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tchbook Contacts July" sheetId="1" r:id="rId4"/>
  </sheets>
  <definedNames>
    <definedName hidden="1" localSheetId="0" name="_xlnm._FilterDatabase">'Pitchbook Contacts July'!$A$1:$X$11008</definedName>
  </definedNames>
  <calcPr/>
</workbook>
</file>

<file path=xl/sharedStrings.xml><?xml version="1.0" encoding="utf-8"?>
<sst xmlns="http://schemas.openxmlformats.org/spreadsheetml/2006/main" count="226496" uniqueCount="67539">
  <si>
    <t>Person ID</t>
  </si>
  <si>
    <t>People</t>
  </si>
  <si>
    <t>First Name</t>
  </si>
  <si>
    <t>Last Name</t>
  </si>
  <si>
    <t>Firm Name</t>
  </si>
  <si>
    <t>Positions</t>
  </si>
  <si>
    <t>Biography</t>
  </si>
  <si>
    <t>Total Board Seats</t>
  </si>
  <si>
    <t>Total Roles</t>
  </si>
  <si>
    <t>Total Mgt Roles</t>
  </si>
  <si>
    <t>Total Deal Roles</t>
  </si>
  <si>
    <t>Phone</t>
  </si>
  <si>
    <t>Email</t>
  </si>
  <si>
    <t>City</t>
  </si>
  <si>
    <t>Location</t>
  </si>
  <si>
    <t>Address Line 1</t>
  </si>
  <si>
    <t>Address Line 2</t>
  </si>
  <si>
    <t>State/Province</t>
  </si>
  <si>
    <t>Post Code</t>
  </si>
  <si>
    <t>Country/Territory/Region</t>
  </si>
  <si>
    <t>Fax</t>
  </si>
  <si>
    <t>Primary Position</t>
  </si>
  <si>
    <t>Primary Company</t>
  </si>
  <si>
    <t>View People Online</t>
  </si>
  <si>
    <t>94944-34P</t>
  </si>
  <si>
    <t>Jeffrey Katz</t>
  </si>
  <si>
    <t>Jeffrey</t>
  </si>
  <si>
    <t>Katz</t>
  </si>
  <si>
    <t>1.5 Ventures</t>
  </si>
  <si>
    <t>Partner</t>
  </si>
  <si>
    <t>Mr. Jeffrey Katz serves as a Partner at 1.5 Ventures. He serves as Advisor at ecoLocked. He served as Vice President of Technology and Advisor at Kiwi. He co-founded ClaritySpring. He has nine years of professional experience as an embedded soft- and hardware engineer. The versatile access control specialist comes from the provider of the largest private access control provider, Brivo Systems. Other than Access Control, he has worked in such diverse industries as Finance, E-Commerce, and Home Entertainment.</t>
  </si>
  <si>
    <t/>
  </si>
  <si>
    <t>+49 (0)15 7377 2798 9</t>
  </si>
  <si>
    <t>jeff@one.five.ventures</t>
  </si>
  <si>
    <t>Berlin</t>
  </si>
  <si>
    <t>Berlin, Germany</t>
  </si>
  <si>
    <t>Schönhauser Allee 175</t>
  </si>
  <si>
    <t>10119</t>
  </si>
  <si>
    <t>Germany</t>
  </si>
  <si>
    <t>296056-81P</t>
  </si>
  <si>
    <t>Julian Weisbrod Ph.D</t>
  </si>
  <si>
    <t>Julian</t>
  </si>
  <si>
    <t>Weisbrod</t>
  </si>
  <si>
    <t>General Partner</t>
  </si>
  <si>
    <t>Dr. Julian Weisbrod serves as General Partner at 1.5 Ventures.</t>
  </si>
  <si>
    <t>julian.weisbrod@one.five.ventures</t>
  </si>
  <si>
    <t>296058-07P</t>
  </si>
  <si>
    <t>Tobias Lechtenfeld</t>
  </si>
  <si>
    <t>Tobias</t>
  </si>
  <si>
    <t>Lechtenfeld</t>
  </si>
  <si>
    <t>Dr. Tobias Lechtenfeld serves as General Partner at 1.5 Ventures. He was an ex-Green Hydrogen program lead at BMZ responsible for business dev, consortia building, and B2B partnerships. He has experience in project finance (World Bank, Infrastructure Finance, PPPs). He has completed his PhD Econ. from the University of Göttingen, and his MSc in Econ. Honors for the om University of Amsterdam.</t>
  </si>
  <si>
    <t>tobias.lechtenfeld@one.five.ventures</t>
  </si>
  <si>
    <t>81963-01P</t>
  </si>
  <si>
    <t>Benjamin Patterson</t>
  </si>
  <si>
    <t>Benjamin</t>
  </si>
  <si>
    <t>Patterson</t>
  </si>
  <si>
    <t>10vc</t>
  </si>
  <si>
    <t>Managing Partner</t>
  </si>
  <si>
    <t>Mr. Benjamin Patterson serves as Advisor at Cortex Fusion Systems. Mr. Benjamin Patterson serves as Managing Partner at 10 VC. He also serves as a General Partner at Elementum Ventures, Parter to 10k Investments (Coors family office), and advisor to 1517 Fund.</t>
  </si>
  <si>
    <t>+1 (650) 302-2082</t>
  </si>
  <si>
    <t>ben@10vc.com</t>
  </si>
  <si>
    <t>Millbrae</t>
  </si>
  <si>
    <t>Millbrae, CA</t>
  </si>
  <si>
    <t>412 Taylor Boulevard</t>
  </si>
  <si>
    <t>California</t>
  </si>
  <si>
    <t>94030</t>
  </si>
  <si>
    <t>United States</t>
  </si>
  <si>
    <t>314664-49P</t>
  </si>
  <si>
    <t>Daniel Ramirez</t>
  </si>
  <si>
    <t>Daniel</t>
  </si>
  <si>
    <t>Ramirez</t>
  </si>
  <si>
    <t>Founding Partner</t>
  </si>
  <si>
    <t>Mr. Daniel Ramirez serves as Chief Operating Officer at East Hrlem Cncil For Humn Service S.He is the Founding Partner at 10 VC. His global background as a venture investor with LEO Pharma, an executive with The Coca-Cola Company, and management consultant with McKinsey, has helped him build a deep network of relationships that help accelerate startups</t>
  </si>
  <si>
    <t>+1 (844) 370-6206</t>
  </si>
  <si>
    <t>dramirez@boriken.org</t>
  </si>
  <si>
    <t>New York</t>
  </si>
  <si>
    <t>New York, NY</t>
  </si>
  <si>
    <t>10035</t>
  </si>
  <si>
    <t>Chief Operating Officer</t>
  </si>
  <si>
    <t>East Hrlem Cncil For Humn Service S</t>
  </si>
  <si>
    <t>1517 Fund</t>
  </si>
  <si>
    <t>Advisor</t>
  </si>
  <si>
    <t>131622-49P</t>
  </si>
  <si>
    <t>Danielle Strachman</t>
  </si>
  <si>
    <t>Danielle</t>
  </si>
  <si>
    <t>Strachman</t>
  </si>
  <si>
    <t>Founder &amp; General Partner</t>
  </si>
  <si>
    <t>Ms. Danielle Strachman serves as Advisor at Cortex Fusion Systems. Ms. Danielle Strachman is a Co-Founder and serves as the General Partner at 1517. She serves as Advisory Board Member at Crescent Fund. She also serves as Advisor at NZVC. In 2010, during the founding of the Thiel Fellowship, Danielle joined to lead the design and operations. She is the visionary behind the Thiel Summit series that has been attended by some 2000 young entrepreneurs. Previous to her work with Peter Thiel, Danielle founded and directed Innovations Academy in San Diego, a K-8 charter school serving 350 students, with a focus on student- led project based learning and other alternative programs.</t>
  </si>
  <si>
    <t>+1 (203) 613-9538</t>
  </si>
  <si>
    <t>danielle@1517fund.com</t>
  </si>
  <si>
    <t>Telluride</t>
  </si>
  <si>
    <t>Telluride, CO</t>
  </si>
  <si>
    <t>115 West Colorado Avenue</t>
  </si>
  <si>
    <t>Colorado</t>
  </si>
  <si>
    <t>81435</t>
  </si>
  <si>
    <t>Co-Founder &amp; General Partner</t>
  </si>
  <si>
    <t>173827-00P</t>
  </si>
  <si>
    <t>Fernando Pontaza</t>
  </si>
  <si>
    <t>Fernando</t>
  </si>
  <si>
    <t>Pontaza</t>
  </si>
  <si>
    <t>Mr. Fernando Pontaza is a Co-Founder and serves as Managing General Partner at Invariantes Fund. He served as Board Member at Osigu. He serves as Advisor at 1517 Fund.</t>
  </si>
  <si>
    <t>+502 2 304 9100</t>
  </si>
  <si>
    <t>fernando@invariantes.com</t>
  </si>
  <si>
    <t>Guatemala City</t>
  </si>
  <si>
    <t>Guatemala City, Guatemala</t>
  </si>
  <si>
    <t>12 calle 4-71 zona 10</t>
  </si>
  <si>
    <t>Guatemala</t>
  </si>
  <si>
    <t>01010</t>
  </si>
  <si>
    <t>Co-Founder &amp; Managing General Partner</t>
  </si>
  <si>
    <t>Invariantes Fund</t>
  </si>
  <si>
    <t>133157-80P</t>
  </si>
  <si>
    <t>Harry Gandhi</t>
  </si>
  <si>
    <t>Harry</t>
  </si>
  <si>
    <t>Gandhi</t>
  </si>
  <si>
    <t>Venture Partner</t>
  </si>
  <si>
    <t>Mr. Harry Gandhi serves as Venture Partner at 1517 Fund. He served as Director at iBoost Zone. He served as Venture Partner at Amplify Capital. He co-founded and served as Chief Executive Officer at Voyage Labs. He has studied at University of Waterloo.</t>
  </si>
  <si>
    <t>352900-45P</t>
  </si>
  <si>
    <t>Haylee Johnson</t>
  </si>
  <si>
    <t>Haylee</t>
  </si>
  <si>
    <t>Johnson</t>
  </si>
  <si>
    <t>Operating Partner</t>
  </si>
  <si>
    <t>Ms. Haylee Johnson serves as Operations Partner at 1517 Fund. She supports the leadership of 1517, oversees operations, and helps to build a strong community with our portfolio founders, investors, and other community members.</t>
  </si>
  <si>
    <t>haylee@1517fund.com</t>
  </si>
  <si>
    <t>Operations Partner</t>
  </si>
  <si>
    <t>131622-67P</t>
  </si>
  <si>
    <t>Michael Gibson</t>
  </si>
  <si>
    <t>Michael</t>
  </si>
  <si>
    <t>Gibson</t>
  </si>
  <si>
    <t>Mr. Michael Gibson serves as Co-Founder &amp; General Partner at 1517 Fund. He was vice president for grants at the Thiel Foundation and a principal at Thiel Capital. He has done the research for Peter's global macro hedge fund, assisted in teaching a course at Stanford Law School on sovereignty and technological change. He serves on the board of the Seasteading Institute. He had a doctorate in philosophy at the University of Oxford.</t>
  </si>
  <si>
    <t>michael@1517fund.com</t>
  </si>
  <si>
    <t>226620-55P</t>
  </si>
  <si>
    <t>Nick Arnett</t>
  </si>
  <si>
    <t>Nick</t>
  </si>
  <si>
    <t>Arnett</t>
  </si>
  <si>
    <t>Mr. Nick Arnett serves as Partner at 1517 Fund. He is the founder and serves on the board of the WayPaver Foundation Prior to his work with WayPaver, he worked with Danielle and Michael at the Thiel Fellowship where he led the development and growth of the Fellowship's community of young makers, hackers, and founders.</t>
  </si>
  <si>
    <t>nick@1517fund.com</t>
  </si>
  <si>
    <t>87643-90P</t>
  </si>
  <si>
    <t>Shea Donna</t>
  </si>
  <si>
    <t>Shea</t>
  </si>
  <si>
    <t>Donna</t>
  </si>
  <si>
    <t>Ms. Shea Donna serves as an Advisor at 1517 Fund. She serves as an Advisor at CerebraAI. She Founded &amp; served as Chief Executive Officer at Zana. She also served as an Advisor at Grit Ventures. Previously, she was senior vice president and part of the founding team at True Ventures, where she built True's platform of founder services. She is also a co-founder of The Story Locker, a San Francisco-based feature film development and production company. She also advises 10k Investments, the venture arm of the Coors family. She has deep experience in the music industry as well as in IT management and business operations.</t>
  </si>
  <si>
    <t>172530-01P</t>
  </si>
  <si>
    <t>Zak Slayback</t>
  </si>
  <si>
    <t>Zak</t>
  </si>
  <si>
    <t>Slayback</t>
  </si>
  <si>
    <t>Mr. Zak Slayback is a partner at 1517 Fund. He served as Chief Mindset Officer at The Mission.</t>
  </si>
  <si>
    <t>zak@1517fund.com</t>
  </si>
  <si>
    <t>299172-52P</t>
  </si>
  <si>
    <t>Abraham Othman</t>
  </si>
  <si>
    <t>Abraham</t>
  </si>
  <si>
    <t>Othman</t>
  </si>
  <si>
    <t>1Indicator</t>
  </si>
  <si>
    <t>Founder</t>
  </si>
  <si>
    <t>Mr. Abraham Othman is a Co-Founder of 1Indicator.</t>
  </si>
  <si>
    <t>aothman@indicatorfund.com</t>
  </si>
  <si>
    <t>San Francisco</t>
  </si>
  <si>
    <t>San Francisco, CA</t>
  </si>
  <si>
    <t>Co-Founder</t>
  </si>
  <si>
    <t>102837-70P</t>
  </si>
  <si>
    <t>Matthew Kraning Ph.D</t>
  </si>
  <si>
    <t>Matthew</t>
  </si>
  <si>
    <t>Kraning</t>
  </si>
  <si>
    <t>Dr. Matthew Kraning is a Co-Founder of 1Indicator. Dr. Kraning co-founded and served as Board Member and Chief Technology Officer at Expanse.</t>
  </si>
  <si>
    <t>+1 (978) 578-6691</t>
  </si>
  <si>
    <t>matt@indicatorfund.com</t>
  </si>
  <si>
    <t>232150-78P</t>
  </si>
  <si>
    <t>Patrick Grossmann-Kavanagh</t>
  </si>
  <si>
    <t>Patrick</t>
  </si>
  <si>
    <t>Grossmann-Kavanagh</t>
  </si>
  <si>
    <t>Mr. Patrick Grossmann-Kavanagh is a Co-Founder of 1Indicator. Mr. Grossmann-Kavanagh is an Angel Investor. He co-founded and served as Board Member at Atlantic Money.</t>
  </si>
  <si>
    <t>pkavanagh@indicatorfund.com</t>
  </si>
  <si>
    <t>133288-57P</t>
  </si>
  <si>
    <t>Ram Ravichandran</t>
  </si>
  <si>
    <t>Ram</t>
  </si>
  <si>
    <t>Ravichandran</t>
  </si>
  <si>
    <t>Mr. Ram Ravichandran is a Co-Founder of Specialized Types. Mr. Ravichandran is a Co-Founder of 1Indicator. He is a Co-Founder of Diagram (Commercial Services). He serves as Chief Technology Officer at Narvar. He worked at Twitter where he joined as their first data scientist. He played a pivotal role and led projects in growth, analytics, relevance, and anti-spam at Twitter. He left Twitter to do a brief stint at Expa before starting Diagram, where he is working on building out the next-generation data science platform and advising companies on data science. His background is in statistical machine learning and analytics. He co-founded Idealix. Ram Ravichandran is an Angel Investor.</t>
  </si>
  <si>
    <t>+1 (480) 299-9252</t>
  </si>
  <si>
    <t>Specialized Types</t>
  </si>
  <si>
    <t>299171-71P</t>
  </si>
  <si>
    <t>Sam D'Amico</t>
  </si>
  <si>
    <t>Sam</t>
  </si>
  <si>
    <t>D'Amico</t>
  </si>
  <si>
    <t>Mr. Sam D'Amico is a Co-Founder of 1Indicator.</t>
  </si>
  <si>
    <t>sdamico@indicatorfund.com</t>
  </si>
  <si>
    <t>36369-91P</t>
  </si>
  <si>
    <t>Alex Iskold</t>
  </si>
  <si>
    <t>Alex</t>
  </si>
  <si>
    <t>Iskold</t>
  </si>
  <si>
    <t>2048 Ventures</t>
  </si>
  <si>
    <t>Founder &amp; Partner</t>
  </si>
  <si>
    <t>Mr. Alex Iskold is a Co-Founder &amp; serves as Partner at 2048 Ventures. Mr. Iskold served as Advisor at SPIDR Tech. He is a 5x founder, a software engineer, and an investor in over 150 startups. He writes one of the top startup blogs called Startup Hacks. He is a lifelong learner and is interested in Complexity Science and Systems Thinking. Prior to founding 2048 ventures, He spent 5 years at Techstars as the Managing Director of its NYC program. He was also the founder and CEO of Info Lab (acquired by IBM), founder and CEO of GetGlue (backed by USV, RRE, and Time Warner), and a Chief Architect of distributed computing startup DataSynapse (acquired by TIBCO). He currently serves as a Coach and a VC in Residence at the Harvard Business School. He previously taught an award-winning undergraduate computer science class at NYU. He holds a B.S. in Math with Honors from Lehigh University and an M.S. in Computer Science from NYU.</t>
  </si>
  <si>
    <t>+1 (781) 801-2599</t>
  </si>
  <si>
    <t>alex@2048.vc</t>
  </si>
  <si>
    <t>330 7th Avenue</t>
  </si>
  <si>
    <t>10th Floor</t>
  </si>
  <si>
    <t>10001</t>
  </si>
  <si>
    <t>Co-Founder &amp; Partner</t>
  </si>
  <si>
    <t>314454-07P</t>
  </si>
  <si>
    <t>Daniella Cohen</t>
  </si>
  <si>
    <t>Daniella</t>
  </si>
  <si>
    <t>Cohen</t>
  </si>
  <si>
    <t>Senior Associate</t>
  </si>
  <si>
    <t>Ms. Daniella Cohen serves as Senior Associate at 2048 Ventures. She is also a Managing Partner for Rough Draft Ventures, where she invests in student-founders across the country.
Prior to 2048, she worked on social and emotional learning projects at Facebook as the youngest person at the company. She was a summer associate at Techstars NYC where she joined a portfolio company, The Clear Cut (DTC diamond startup) as Head of Content.</t>
  </si>
  <si>
    <t>+1 (201) 788-9030</t>
  </si>
  <si>
    <t>daniella@2048.vc</t>
  </si>
  <si>
    <t>Princeton</t>
  </si>
  <si>
    <t>Princeton, NJ</t>
  </si>
  <si>
    <t>214 Carnegie Center</t>
  </si>
  <si>
    <t>Suite 304</t>
  </si>
  <si>
    <t>New Jersey</t>
  </si>
  <si>
    <t>08540</t>
  </si>
  <si>
    <t>278272-72P</t>
  </si>
  <si>
    <t>Julie Wolf Ph.D</t>
  </si>
  <si>
    <t>Julie</t>
  </si>
  <si>
    <t>Wolf</t>
  </si>
  <si>
    <t>Ms. Julie Wolf serves as a Partner at 2048 Ventures. Prior to 2048 Ventures, He was at SOSV's IndieBio New York office, where she was the Chief Science Officer. Before IndieBio, He spent five years at the American Society for Microbiology, working with scientists to curate and communicate their discoveries. She was co-founder of Brooklyn Bio, a biotech startup creating improved microbial strains. He holds a Ph.D. in Microbiology, Immunology, and Cancer Biology from the University of Minnesota and did her postdoctoral fellowship at Albert Einstein College of Medicine. She is a huge proponent of bio literacy and has taught principles of molecular biology and synthetic biology to many audiences, including at the community biolab Genspace.</t>
  </si>
  <si>
    <t>julie@2048.vc</t>
  </si>
  <si>
    <t>382948-66P</t>
  </si>
  <si>
    <t>Sandra Pérez Baos Ph.D</t>
  </si>
  <si>
    <t>Sandra</t>
  </si>
  <si>
    <t>Pérez Baos</t>
  </si>
  <si>
    <t>Associate</t>
  </si>
  <si>
    <t>Dr. Sandra Pérez Baos serves as Associate at 2048 Ventures. Prior to 2048 Ventures, she served as the Director of Mentor Relations at Nucleate's New York chapter. In this role, she coordinated the pairings between network advisors and the first two cohorts of the Activator program in NY, and played an active role in sourcing and evaluating early-stage technologies from academic institutions. She also worked as a Business Development Intern at New York University, where she contributed to accelerate the path to market of NYU's life sciences technologies. She has almost a decade of experience in translational research in immunology and molecular biology. She holds a B.S. in Biotechnology from the University of Salamanca, a M.S. in Immunology from the Complutense University of Madrid, and a Ph.D. in Molecular Biosciences from the Autonomous University of Madrid. After completing her Ph.D., she joined the Schneider Lab at NYU as a postdoctoral scientist, where she pioneered research on translational reprogramming of T cells, and helped launch an mRNA binding protein therapeutics company.</t>
  </si>
  <si>
    <t>sandra@2048.vc</t>
  </si>
  <si>
    <t>334168-66P</t>
  </si>
  <si>
    <t>Zach Johnston</t>
  </si>
  <si>
    <t>Zach</t>
  </si>
  <si>
    <t>Johnston</t>
  </si>
  <si>
    <t>Mr. Zach Johnston serves as an Associate at 2048 Ventures. Prior to 2048 Ventures, he was an Associate Director at the Creative Destruction Lab (CDL) at the University of Toronto. During his time at CDL, he worked with early-stage founders and led strategic program design across the AI, Quantum, Blockchain, and Commerce streams. He holds an Honors BA in International Relations from University of Western Ontario and a Master of Global Affairs from the Munk School of Global Affairs and Public Policy at the University of Toronto. He is also the Director of the Global Ideas Institute at the Munk School, a program that helps high school students develop and pitch innovative solutions to complex global problems.</t>
  </si>
  <si>
    <t>zach@2048.vc</t>
  </si>
  <si>
    <t>206852-86P</t>
  </si>
  <si>
    <t>Zann Ali</t>
  </si>
  <si>
    <t>Zann</t>
  </si>
  <si>
    <t>Ali</t>
  </si>
  <si>
    <t>Mr. Zann Ali serves as Partner at 2048 Ventures. Prior to 2048 Ventures, He was at Putnam Investments, where he worked with the Chief Investment and Operating Officers on investments and special projects. Before Putnam, He spent four years at Fidelity Investments, first with the company's internal strategy team and then with Fidelity Health, an insure-tech startup that he helped launch. He was a pre-seed investor with Dorm Room Fund, where he was fortunate to support and invest in 20+ student-founded startups. He also served on the teaching team for MIT's Entrepreneurial Finance &amp; Venture Capital course. He holds a B.S. in Statistics &amp; Finance with Honors from Babson College and an MBA from the MIT Sloan School of Management. At MIT</t>
  </si>
  <si>
    <t>249794-38P</t>
  </si>
  <si>
    <t>Alexander Kielland</t>
  </si>
  <si>
    <t>Alexander</t>
  </si>
  <si>
    <t>Kielland</t>
  </si>
  <si>
    <t>2150</t>
  </si>
  <si>
    <t>Mr. Alexander Kielland serves as Chief Operating Officer at 2150. He served as Senior Investment Manager at Denmark's Export and Investment Fund. Prior to joining 2150, He worked with venture capital for the Danish Growth Fund for five years. During this period, he primarily served as a legal counsel responsible for the legal execution of various VC financings (both equity and debt) and general operational matters. Prior to his tenure at the Danish Growth Fund, he worked with Corporate/M&amp;A for a large Copenhagen-based law firm. graduated from Copenhagen Business School with a Master's in Business and Commercial Law and further holds a Master's in Financial Law from King's College London and an executive degree from Columbia Business School.</t>
  </si>
  <si>
    <t>+45 5060 5870</t>
  </si>
  <si>
    <t>alexander.kielland@2150.vc</t>
  </si>
  <si>
    <t>London</t>
  </si>
  <si>
    <t>London, United Kingdom</t>
  </si>
  <si>
    <t>Swan House, 6th Floor</t>
  </si>
  <si>
    <t>17-19 Stratford Place</t>
  </si>
  <si>
    <t>England</t>
  </si>
  <si>
    <t>W1C 1BQ</t>
  </si>
  <si>
    <t>United Kingdom</t>
  </si>
  <si>
    <t>230354-11P</t>
  </si>
  <si>
    <t>Bjarke Ingels</t>
  </si>
  <si>
    <t>Bjarke</t>
  </si>
  <si>
    <t>Ingels</t>
  </si>
  <si>
    <t>Mr. Bjarke Ingels is a Co-Founder &amp; serves as Chief Creative Officer at Nabr. Mr. Ingels was a Co-Founder &amp; served as Investors at Mindpool. He also serves as an Advisory Board Member at 2150. He serves as Advisor at Room. He also serves as Board Advisor at Nana. Bjarke is the founder of innovative architect practice BIG Group and an active angel investor.</t>
  </si>
  <si>
    <t>bjarke@nabr.com</t>
  </si>
  <si>
    <t>45 Main Street</t>
  </si>
  <si>
    <t>Suite 9, Brooklyn</t>
  </si>
  <si>
    <t>11201</t>
  </si>
  <si>
    <t>Co-Founder &amp; Chief Creative Officer</t>
  </si>
  <si>
    <t>Nabr</t>
  </si>
  <si>
    <t>51464-08P</t>
  </si>
  <si>
    <t>Christian Gallardo</t>
  </si>
  <si>
    <t>Christian</t>
  </si>
  <si>
    <t>Gallardo</t>
  </si>
  <si>
    <t>Mr. Christian Gallardo is a Co-Founder of 2150 where he serves as a Partner. He serves as a Managing Partner at Urban Partners. He served as a Board Member at Leko Labs. He serves as a Board Member at Kelvin. He also serves as a Board Member at Nodes &amp; Links and Blue Frontier. He also served as a Board Member at Red Sift. He served as a Board Observer at Bloglovin'. He co-founded and served as a Venture Partner at White Star Capital. He also served as a Board Observer at Hole19. He has over 16 years of operating experience in technology companies, developing and scaling products and businesses internationally. Prior to co-founding White Star Capital, he worked at Facebook and led the international expansion of the company's Business Development, Platform, and Gaming Partnerships groups. He also served as a Board Member at KeyMe. He previously held leadership roles in the U.S. and Europe at Google and Microsoft and started his career in technology at MicroStrategy, a startup he joined before its 1999 IPO. He has worked closely with entrepreneurs and leading VCs and has been an active angel investor and advisor. He serves as an Advisor at Seedcamp. He serves as an Advisor at the Digital Task Force for the EVCA and is a Young Global Leader of the World Economic Forum. He holds a degree in Economics from Duke University and an MBA from The Wharton School.</t>
  </si>
  <si>
    <t>christian.hernandez@2150.tech</t>
  </si>
  <si>
    <t>372669-94P</t>
  </si>
  <si>
    <t>Christian Højdevang</t>
  </si>
  <si>
    <t>Højdevang</t>
  </si>
  <si>
    <t>Executive</t>
  </si>
  <si>
    <t>Mr. Christian Højdevang serves as Data Lead at 2150. Before joining 2150 he worked as a Senior Analyst at a sovereign investment fund, focusing on the Danish SME segment, where he was leading the development of AI models for investment decisions. He graduated from Copenhagen Business School with a Master in Finance and Accounting and has since taken additional courses from the Technical University of Denmark focusing on Machine Learning and Data Mining.</t>
  </si>
  <si>
    <t>christian.hojdevang@2150.vc</t>
  </si>
  <si>
    <t>Copenhagen</t>
  </si>
  <si>
    <t>Copenhagen, Denmark</t>
  </si>
  <si>
    <t>Southamptongade 4</t>
  </si>
  <si>
    <t>Denmark</t>
  </si>
  <si>
    <t>Data Lead</t>
  </si>
  <si>
    <t>254547-55P</t>
  </si>
  <si>
    <t>Christian Jølck</t>
  </si>
  <si>
    <t>Jølck</t>
  </si>
  <si>
    <t>Mr. Christian Jølck is a Co-Founder and serves as a Partner at 2150. He serves as a Board Member at NatureMetrics and LuxWall. He also serves as a Board Member at Nordic Investment Opportunities. Before co-founding 2150, he held leadership roles in global industrial B2B companies such as Coloplast and ROCKWOOL, driving changes focused on commercial development, digitalization, and sustainability. He serves as a Board Member at Biomason. He co-founded and chaired SYNERGY, an organization focused on climate and energy efficiency, bringing together large industry participants like Danfoss, Grundfos, Velux, and others to lobby for Danish and European policy changes to reach the Paris Climate Agreement. Today, he is an advisor to the Foundation for Climate Restoration in California. He also holds a Master's degree in Finance and International Business from Aarhus University. He also holds an Executive Degree from INSEAD.</t>
  </si>
  <si>
    <t>christian@2150.vc</t>
  </si>
  <si>
    <t>172801-63P</t>
  </si>
  <si>
    <t>Christopher Burghardt</t>
  </si>
  <si>
    <t>Christopher</t>
  </si>
  <si>
    <t>Burghardt</t>
  </si>
  <si>
    <t>Mr. Christopher Burghardtis serves as Managing Director, Europe at ChargePoint. He serves as Advisor at MacKinnon, Bennett &amp; Company. Mr. Burghardt serves as Venture Partner, Brussels at 2150. He has served as Chairman at Zeromission since February 26, 2021, and has held the same position at Legacy ChargePoint since November 2017. Prior to ChargePoint, He served as Head of Policy and Communications, EMEA for Uber, from September 2016 to November 2017. Mr. Burghardt served in senior management positions at First Solar, Inc., a provider of solar panels and utility-scale PV power plants in Europe, from September 2009 to September 2016, most recently as Managing Director and Vice President of Business Development and Sales from May 2014 to September 2016. He also served as Vice President of Corporate Affairs for Western Europe, among other roles, at Anheuser-Busch InBev. Mr. Burghardt has served as a founding board member for ChargeUp Europe, an EV charging industry alliance, since its inception in March 2020. He holds an MBA from Wharton, an MA from the College of Europe, and a BA from the University of Sussex and Sciences Po Aix.</t>
  </si>
  <si>
    <t>+1 (408) 841-4500</t>
  </si>
  <si>
    <t>christopher.burghardt@chargepoint.com</t>
  </si>
  <si>
    <t>Campbell</t>
  </si>
  <si>
    <t>Campbell, CA</t>
  </si>
  <si>
    <t>240 East Hacienda Avenue</t>
  </si>
  <si>
    <t>95008</t>
  </si>
  <si>
    <t>Managing Director, Europe</t>
  </si>
  <si>
    <t>ChargePoint</t>
  </si>
  <si>
    <t>219410-38P</t>
  </si>
  <si>
    <t>Coen van Oostrom</t>
  </si>
  <si>
    <t>Coen</t>
  </si>
  <si>
    <t>van Oostrom</t>
  </si>
  <si>
    <t>Mr. Coen van Oostrom serves as an Advisory Board Member at 2150. Mr. Coen van Oostrom serves as Angel Investor at Coen van Oostrom. Coen is founder and CEO of EDGE Technologies and a pioneer of smart sustainable buildings.</t>
  </si>
  <si>
    <t>cvo@edge.tech</t>
  </si>
  <si>
    <t>Advisory Board Member</t>
  </si>
  <si>
    <t>164806-48P</t>
  </si>
  <si>
    <t>Danny Lange</t>
  </si>
  <si>
    <t>Danny</t>
  </si>
  <si>
    <t>Lange</t>
  </si>
  <si>
    <t>Mr. Danny Lange serves as the Vice President of AI &amp; BI at Google. He served as the Vice President of AI and Machine Learning at Unity Software. He also serves as an Advisory Board Member at 2150. He serves as a Board Member at Spektral, 2021.AI and ZeroNorth. He is also a former Machine Learning leader at Uber and Amazon.</t>
  </si>
  <si>
    <t>+45 4267 0497</t>
  </si>
  <si>
    <t>Ryesgade 3F</t>
  </si>
  <si>
    <t>Floor 2</t>
  </si>
  <si>
    <t>2200</t>
  </si>
  <si>
    <t>Senior Vice President</t>
  </si>
  <si>
    <t>Unity Software (Former)</t>
  </si>
  <si>
    <t>232507-36P</t>
  </si>
  <si>
    <t>Derek Brooks</t>
  </si>
  <si>
    <t>Derek</t>
  </si>
  <si>
    <t>Brooks</t>
  </si>
  <si>
    <t>Principal</t>
  </si>
  <si>
    <t>Mr. Derek Brooks serves as Principal at 2150. He served as Head of Venture at Flat World Partners. He serves as a Venture Partner at Conscience. Before joining Flat World Partners, he worked in the CEO's Office of The Abraaj Group. He graduated from Bowdoin College with a B.A. in Government and German and earned an M.A. in International Relations and Economics from The Johns Hopkins School for Advanced International Studies.</t>
  </si>
  <si>
    <t>derek@2150.vc</t>
  </si>
  <si>
    <t>14180-86P</t>
  </si>
  <si>
    <t>Eric Archambeau Ph.D</t>
  </si>
  <si>
    <t>Eric</t>
  </si>
  <si>
    <t>Archambeau</t>
  </si>
  <si>
    <t>Dr. Eric Archambeau is a Co-Founder and serves as a Senior Managing Partner at Astanor Ventures. He served as a Board Member at ShipServ. He also serves as a Member of the Advisory Board at One Peak Partners. He served as a Board Member at Nosto. He serves as an Advisor at B&amp;Y Venture Partners. He serves as a Board Member and administrator at Ynsect. He serves as an Advisory Board Member at 2150. He serves as a Board Member and administrator at Ynsect. He served as a Board Member at Soundtrack. He serves as a Board Member at Modern Meadow. He served as a General Partner at Wellington Partners. He was a Board Member at YPlan. He served as a Board Member at FreeNow. He served as a Fund Advisor at HATCH. He served as a Board Member at Onfido. He served as a Board Member at SumAll. He also served as a Board Member at import.io, EWise, and Festicket. He is the Advisor at Spotify. He has extensive technology experience and has spent over 20 years founding and investing in young technology companies. Before Wellington Partners, he was at Benchmark Capital and Atlas Venture. Before becoming a venture capitalist, he was a repeat entrepreneur in Silicon Valley, where he co-founded several successful companies such as RightPoint Software (acquired by e.piphany), Trading Dynamics (acquired by Ariba), and eGroups (acquired by Yahoo!). He is also active in social investing. He is one of the founders of Social-Impact International, a social business accelerator that helps social entrepreneurs globally increase their social impact and reach their full potential. He also serves on the board of the Jamie Oliver Foundation, which focuses on inspiring people to make better food choices through education and training. He holds an MBA from Santa Clara University, an MSME from the University of California at Berkeley, a degree in Electrical Engineering from Stanford University, and a Ph.D. in Computer Science from Grenoble University.</t>
  </si>
  <si>
    <t>+352 32 47 55 90 34 3</t>
  </si>
  <si>
    <t>eric@astanor.com</t>
  </si>
  <si>
    <t>Kirchberg</t>
  </si>
  <si>
    <t>Kirchberg, Luxembourg</t>
  </si>
  <si>
    <t>46a, Avenue J.F.Kennedy</t>
  </si>
  <si>
    <t>1855</t>
  </si>
  <si>
    <t>Luxembourg</t>
  </si>
  <si>
    <t>Co-Founder &amp; Senior Managing Partner</t>
  </si>
  <si>
    <t>Astanor Ventures</t>
  </si>
  <si>
    <t>445225-06P</t>
  </si>
  <si>
    <t>Gemma Shepherd</t>
  </si>
  <si>
    <t>Gemma</t>
  </si>
  <si>
    <t>Shepherd</t>
  </si>
  <si>
    <t>Ms. Gemma Shepherd serves as Associate at 2150. has a background in impact investing, environmental policy, conservation, and research. Before joining 2150, she worked at Regeneration VC, a consumer-focused climate and circular economy venture fund based in the U.S. Before that, she spent a year working for Earth Law Center on various policy initiatives and conservation projects in Kaua'i, Hawai'i. She received a BSc in Environmental Studies from Yale College with a focus on green chemistry and biodiversity. She also holds an MSc in Innovation &amp; Entrepreneurship from the University of San Francisco.</t>
  </si>
  <si>
    <t>gemma@2150.vc</t>
  </si>
  <si>
    <t>75502-99P</t>
  </si>
  <si>
    <t>Jacob Bro</t>
  </si>
  <si>
    <t>Jacob</t>
  </si>
  <si>
    <t>Bro</t>
  </si>
  <si>
    <t>Mr. Jacob Bro is a Co-Founder of 2150 where he serves as a Partner. He also serves as Board Member at Normative. He served as a Global Chief Product Officer at Rocket Internet. Previously, he served as a Management Consultant at Jacob Bro Media. Jacob is a tech operator turned investor who has launched and scaled several technology products both as entrepreneur and as global Chief Product Officer at Rocket Internet, Europe's largest venture builder and investor. Before co-founding 2150, Jacob was advising several startups, private equity investors, and large internet and marketplace companies. He has been a senior advisor to McKinsey &amp; Company and is an active angel investor in urban tech companies such as Spacemaker (acquired by Autodesk) and Disperse. While helping a global leader in smart sustainable buildings, Jacob discovered the big environmental footprint of the built world sectors and the potential to transform it with technology innovation. This experience and a chance meeting with fellow partner Mikkel initiated the 2150 journey. Jacob holds a Master in Economics &amp; Business Administration from Copenhagen Business School. His personal commitment to sustainability in 2021 is to reduce his travel footprint by taking the train whenever feasible.</t>
  </si>
  <si>
    <t>jacob.bro@2150.tech</t>
  </si>
  <si>
    <t>Zionskirchstrasse 33</t>
  </si>
  <si>
    <t>155596-42P</t>
  </si>
  <si>
    <t>Jeremy Oppenheim</t>
  </si>
  <si>
    <t>Jeremy</t>
  </si>
  <si>
    <t>Oppenheim</t>
  </si>
  <si>
    <t>Mr. Jeremy Oppenheim is a Co-Founder &amp; serves as Senior Partner at SystemiQ. Mr. Oppenheim serves as Chairman of the Global Action Plan. He also serves as an Advisory Board Member at 2150. He also serves as Advisor at Systemiq Capital. He serves as a Board Member at NREP. He was a senior partner at McKinsey until April 2016, where he worked for 24 years serving some of the world's leading companies in the finance, consumer goods, technology, healthcare, and energy sectors. He worked extensively with multilateral development banks, the United Nations, and governments in both developed and developing countries. In 2007, he set up McKinsey's Sustainability &amp; Resource Productivity Practice, supporting ambitious public, philanthropic, and private sector clients to put in place low-carbon, resource-efficient strategies. Prior to this, he worked at the World Bank from 1988-1993, specializing in economic transformation programs for middle-income countries. From 2013-2014, he was the program director of the New Climate Economy project. He sits on a number of non-profit boards, including Global Action Plan (as Chair), the Woods Hole Research Center, and Rare (UK). He is also a former Senior Economist from the World Bank (1988-1993). He holds a first-class degree from Cambridge University in Law and Economics (1984) and a master's Degree in Public Administration (1986) from the Kennedy School of Government at Harvard University. He is an Angel Investor. He served as Advisor at Land Life Company.</t>
  </si>
  <si>
    <t>j-oppenheim@systemiq.earth</t>
  </si>
  <si>
    <t>110 High Holborn</t>
  </si>
  <si>
    <t>WC1V 6JS</t>
  </si>
  <si>
    <t>Senior Partner &amp; Co-Founder</t>
  </si>
  <si>
    <t>SystemiQ</t>
  </si>
  <si>
    <t>63153-28P</t>
  </si>
  <si>
    <t>Lynn Loo Ph.D</t>
  </si>
  <si>
    <t>Lynn</t>
  </si>
  <si>
    <t>Loo</t>
  </si>
  <si>
    <t>Dr. Lynn Loo is a Co-Founder of Andalucia Technologies. She also serves as an Advisory Board Member at 2150. She also served as a Strategic Advisory Council Member at NewWorld Capital Group. She is a Professor of Chemical &amp; Biological Engineering at Princeton University where her research group focuses on developing flexible electronics and plastic solar cells. She is also Deputy Director of the Andlinger Center for Energy and the Environment. In this capacity, she has developed a university-wide corporate affiliates program in energy and the environment to foster partnerships between Princeton faculty and the corporate world. She was a Fellow at NewWorld Capital Group while she was on sabbatical from Princeton. Before joining Princeton, she was an Assistant Professor at the University of Texas at Austin. She also spent a year in the Physical Sciences Division of Bell Laboratories, Lucent Technologies, as a Post-Doctoral Member of Technical Staff. She is a Fellow of the American Physical Society and a Young Global Leader of the World Economic Forum. She received BSE degrees in Chemical Engineering and Materials Science and Engineering from the University of Pennsylvania and a PhD in Chemical Engineering from Princeton University.</t>
  </si>
  <si>
    <t>+1 (908) 362-6765</t>
  </si>
  <si>
    <t>100 Overlook Centre</t>
  </si>
  <si>
    <t>08540-7814</t>
  </si>
  <si>
    <t>Andluca</t>
  </si>
  <si>
    <t>311603-59P</t>
  </si>
  <si>
    <t>Max Blanshard Ph.D</t>
  </si>
  <si>
    <t>Max</t>
  </si>
  <si>
    <t>Blanshard</t>
  </si>
  <si>
    <t>Vice President</t>
  </si>
  <si>
    <t>Dr. Max Blanshard serves as Vice President at 2150. He is a trained scientist and has spent his career largely in the Life Sciences space, where he worked in pharmaceuticals, medtech, and healthcare services. Prior to 2150, he was a Consultant at L.E.K. Consulting, working for corporate and private equity clients on due diligence and strategy projects across the U.S. and Europe. He first developed an interest in wastewater and biofuels during his PhD studying the potential of microalgae, and has since expanded his interest to all things climate tech. He has a PhD in Molecular Biology from University College London (UCL) and a 1st Class Degree in Natural Sciences from Durham University.</t>
  </si>
  <si>
    <t>max.blanshard@2150.vc</t>
  </si>
  <si>
    <t>53004-79P</t>
  </si>
  <si>
    <t>Mikkel Bülow-Lehnsby</t>
  </si>
  <si>
    <t>Mikkel</t>
  </si>
  <si>
    <t>Bülow-Lehnsby</t>
  </si>
  <si>
    <t>Mr. Mikkel Bülow-Lehnsby is a Co-Founder &amp; serves as a Partner at 2150. He was a Co-Founder and served as Chairman, Member of the Investment Committee. He serves as Board Member at Kvantify. He is a repeat-entrepreneur and co-founded NREP; a leading Northern European vertically integrated real estate investor. He led the company as CEO for over 13 years and now acts as Chairman, helping NREP drive forward their mission to make real estate better. He has also been an active angel investor in technology, having made successful investments in companies such as Zendesk and Barkbox. He graduated from Copenhagen Business School and went on to complete an MBA at Harvard Business School. He serves as a board member of Green Building Council Denmark and UN Live. His focus on making the world a better place has been embodied by his long-standing efforts to create sustainable buildings and communities, as well as his numerous investments in startups that make an impact.</t>
  </si>
  <si>
    <t>+45 3948 4900</t>
  </si>
  <si>
    <t>445226-59P</t>
  </si>
  <si>
    <t>Nicole Florack</t>
  </si>
  <si>
    <t>Nicole</t>
  </si>
  <si>
    <t>Florack</t>
  </si>
  <si>
    <t>Ms. Nicole Florack serves as Vice President at 2150. Prior to joining 2150, she worked in equity research at Morgan Stanley, focusing on European telecoms. She holds an MPhil in Economics from the University of Oxford and a BSc in Mathematics and a BA in Economics and Spanish from Tulane University.</t>
  </si>
  <si>
    <t>nicole@2150.vc</t>
  </si>
  <si>
    <t>101434-96P</t>
  </si>
  <si>
    <t>Rahul Parekh</t>
  </si>
  <si>
    <t>Rahul</t>
  </si>
  <si>
    <t>Parekh</t>
  </si>
  <si>
    <t>Mr. Rahul Parekh serves as a Partner at 2150. He serves as a Board Member at Ember. He also Co-Founded EatFirst where he served as a Board Member &amp; Chief Executive Officer. He has previously worked with Goldman Sachs. He has been on both sides of the table having founded and exited a VC-backed business. Before joining 2150, he co-founded EatFirst, which he ran as CEO for several years before the company was acquired in 2020. He was also a managing director in Rocket Internet's investment team, focused primarily on urban mobile on-demand businesses. He began his career at Goldman Sachs, where he spent eight years as an executive director in equity derivatives trading. He graduated from the University of Cambridge with an M.A. in economics. He became passionate about sustainability after studying the impact of mass urbanisation on living standards in developing countries and then witnessing this first-hand during a trip to India in 2007. He serves as Board Member at Hometree.</t>
  </si>
  <si>
    <t>+44 (0)79 8544 8624</t>
  </si>
  <si>
    <t>rahul.parekh@2150.vc</t>
  </si>
  <si>
    <t>217054-81P</t>
  </si>
  <si>
    <t>Richard Florida</t>
  </si>
  <si>
    <t>Richard</t>
  </si>
  <si>
    <t>Florida</t>
  </si>
  <si>
    <t>Mr. Richard Florida is the Founder of Creative Class. He also serves as an Advisory Board Member at 2150. He also was a Co-Founder &amp; served as Editor-at-Large at CityLab. He is also a senior editor at The Atlantic. He is a university professor in the University of Toronto's School of Cities and Rotman School of Management, and a distinguished fellow at New York University's Schack Institute of Real Estate and visiting fellow at Florida International University.</t>
  </si>
  <si>
    <t>richard@creativeclass.com</t>
  </si>
  <si>
    <t>Miami Beach</t>
  </si>
  <si>
    <t>Miami Beach, FL</t>
  </si>
  <si>
    <t>1445 16th Street</t>
  </si>
  <si>
    <t>Unit 302</t>
  </si>
  <si>
    <t>33139</t>
  </si>
  <si>
    <t>Creative Class Group</t>
  </si>
  <si>
    <t>369276-76P</t>
  </si>
  <si>
    <t>Shahnaz Khan</t>
  </si>
  <si>
    <t>Shahnaz</t>
  </si>
  <si>
    <t>Khan</t>
  </si>
  <si>
    <t>Ms. Shahnaz Khan serves as Associate at 2150. She serves as Board Observer at LuxWall. Later, she helped spin out an impact measurement startup from Acumen. She graduated from the London School of Economics with a BSc in International Relations and an MSc in Development Management with a specialism in Applied Development Economics</t>
  </si>
  <si>
    <t>shahnaz@2150.vc</t>
  </si>
  <si>
    <t>345875-05P</t>
  </si>
  <si>
    <t>Alessandro Zaccaria</t>
  </si>
  <si>
    <t>Alessandro</t>
  </si>
  <si>
    <t>Zaccaria</t>
  </si>
  <si>
    <t>360 Capital</t>
  </si>
  <si>
    <t>He worked for seven years in consulting on M&amp;A and business strategy projects for a wide range of sectors such as Financial Services, Energy, Industrial goods, Transportation, and Utilities. In 2014 he founded UGO in Italy, a start-up that provides on-demand caregiving for elderly and disabled people. He holds a Master's degree in Management Engineering from Politecnico di Milano</t>
  </si>
  <si>
    <t>alessandro@360cap.vc</t>
  </si>
  <si>
    <t>Milan</t>
  </si>
  <si>
    <t>Milan, Italy</t>
  </si>
  <si>
    <t>Via Brisa 3</t>
  </si>
  <si>
    <t>20123</t>
  </si>
  <si>
    <t>Italy</t>
  </si>
  <si>
    <t>159778-54P</t>
  </si>
  <si>
    <t>Alexandre Mordacq</t>
  </si>
  <si>
    <t>Alexandre</t>
  </si>
  <si>
    <t>Mordacq</t>
  </si>
  <si>
    <t>Mr. Alexandre Mordacq serves as a Partner at 360 Capital. Mr. Mordacq serves as a Board Member at Exotec, Exotrail, ID5, 900. care, BeemEnergy, and others. He was a Board Member of Alsid. He specializes in seed and deeptechAI/robotics investments. He joined the team in 2016, after an experience in VC at Orkos Capital. He graduated from HEC Paris School with a major in new technologies management in partnership with Telecom ParisTech. He served as a Board Member at Enerbee. He served asa Board Member at Preligens.</t>
  </si>
  <si>
    <t>alexandre@360cap.vc</t>
  </si>
  <si>
    <t>Paris</t>
  </si>
  <si>
    <t>Paris, France</t>
  </si>
  <si>
    <t>138, Boulevard Haussmann</t>
  </si>
  <si>
    <t>75008</t>
  </si>
  <si>
    <t>France</t>
  </si>
  <si>
    <t>363152-71P</t>
  </si>
  <si>
    <t>Celeste Mastria</t>
  </si>
  <si>
    <t>Celeste</t>
  </si>
  <si>
    <t>Mastria</t>
  </si>
  <si>
    <t>Ms. Celeste Mastria is an Investor at 360 Capital. Before 360 Capital, she worked as an analyst at AXA Investment Managers and as project manager in Amazon. She completed her studies from ESCP Business School in the Grande Ecole Program with a specialization in Entrepreneurship and Digital Innovation.</t>
  </si>
  <si>
    <t>celeste@360cap.vc</t>
  </si>
  <si>
    <t>Investor</t>
  </si>
  <si>
    <t>48710-71P</t>
  </si>
  <si>
    <t>Cesare Maifredi</t>
  </si>
  <si>
    <t>Cesare</t>
  </si>
  <si>
    <t>Maifredi</t>
  </si>
  <si>
    <t>Mr. Cesare Maifredi serves as a Partner at 360 Capital. He served as a Board Observer at Everli. He serves as Chairman at shopFully. He serves as a Board Member at enspired, Phononic Vibes, Energy Dome, and Neurala. Prior to joining the firm, he worked as Senior Engagement Manager in the Houston office of McKinsey &amp; Company, he also worked for Bain &amp; Company, A2A SpA - one of the leading Italian multi-utilities - and Accenture dealing with investment selection, deal structuring, strategic and business planning, business development, and policymaking. He has gained extensive experience in cleantech, power generation, upstream oil &amp; gas, and more recently, in the digital (internet and mobile) sector. He holds an M.B.A. from the Darden School of Business Administration of the University of Virginia, and a Master's degree in Industrial Engineering and Mechanical Engineering from the University of Brescia.</t>
  </si>
  <si>
    <t>cesare@360cap.vc</t>
  </si>
  <si>
    <t>317777-68P</t>
  </si>
  <si>
    <t>Chicco Testa</t>
  </si>
  <si>
    <t>Chicco</t>
  </si>
  <si>
    <t>Testa</t>
  </si>
  <si>
    <t>Mr. Chicco Testa serves as Advisor at 360 Capital. Mr. Testa served as Board Member at Newlisi.</t>
  </si>
  <si>
    <t>301178-53P</t>
  </si>
  <si>
    <t>Clara Cornu</t>
  </si>
  <si>
    <t>Clara</t>
  </si>
  <si>
    <t>Cornu</t>
  </si>
  <si>
    <t>Ms. Clara Cornu serves as Partner at 360 Capital. Before 360 Capital, Clara worked in Product Development at L'Oreal and helped an FMCG company launch an internal startup studio. She is also the co-founder of HEC for Women.</t>
  </si>
  <si>
    <t>clara@360cap.vc</t>
  </si>
  <si>
    <t>48708-91P</t>
  </si>
  <si>
    <t>Emanuele Levi</t>
  </si>
  <si>
    <t>Emanuele</t>
  </si>
  <si>
    <t>Levi</t>
  </si>
  <si>
    <t>Mr. Emanuele Levi serves as Chief Executive Officer at CDP Venture Capital. He serves as a Partner at 360 Capital. He serves as a Board Member at In&amp;motion Airbags. He serves as a Board member at Le Slip Francais. He started his career in 1993 at Unicredito Italiano Group in London where he spent 4 years on cross-border M&amp;A advisory. He joined in October 1996 Bain &amp; Co in Milan as Senior Consultant and in 1999 he moved to Lazard Investment Banking as a Director of the TMT practice. He holds a degree in Business Economics from the University of Turin and took a Corporate Finance Programme at LBS in London. He also served as a Board Member at France Digitale.</t>
  </si>
  <si>
    <t>+39 06 4216 01</t>
  </si>
  <si>
    <t>emanuele.levi@cdpventurecapital.it</t>
  </si>
  <si>
    <t>Rome</t>
  </si>
  <si>
    <t>Rome, Italy</t>
  </si>
  <si>
    <t>Via Alessandria 220</t>
  </si>
  <si>
    <t>00198</t>
  </si>
  <si>
    <t>+39 06 4216 0415</t>
  </si>
  <si>
    <t>Chief Executive Officer</t>
  </si>
  <si>
    <t>CDP Venture Capital</t>
  </si>
  <si>
    <t>48594-61P</t>
  </si>
  <si>
    <t>Fausto Boni</t>
  </si>
  <si>
    <t>Fausto</t>
  </si>
  <si>
    <t>Boni</t>
  </si>
  <si>
    <t>Mr. Fausto Boni serves as a Board Member at Sinergy Flow. He serves as a Partner at 360 Capital. He served as a Board Member at BeMyEye. He was with McKinsey &amp; Company in Italy, Brazil, India, the United States, and France and with Air Liquide (Paris and Lisbon) as a Logistic Manager. He holds a degree in Business Economics from Bocconi University of Milan in 1989 and received an MBA from INSEAD in 1992.</t>
  </si>
  <si>
    <t>+39 33 0171 1829 12</t>
  </si>
  <si>
    <t>fausto@360cap.vc</t>
  </si>
  <si>
    <t>48712-06P</t>
  </si>
  <si>
    <t>Francois Tison</t>
  </si>
  <si>
    <t>Francois</t>
  </si>
  <si>
    <t>Tison</t>
  </si>
  <si>
    <t>Mr. Francois Tison serves as a Partner at 360 Capital. He started in the Venture Capital industry in 1998 and has since made over 20 investments in 6 countries. He started his career at France Telecom in 1990 where he held a number of strategy and business development positions during his 7 years tenure in Paris and New York. He then discovered Venture Capital as an Associate Director at Nomura and then as SVP at Europ@web before joining the team in 2001. He holds a degree in Telecommunications Engineering from the ENST in Brest and received an MBA from Columbia Business School in New York. He served as Board Member at TVTY.</t>
  </si>
  <si>
    <t>tison@360cap.vc</t>
  </si>
  <si>
    <t>408396-52P</t>
  </si>
  <si>
    <t>Giovanni Giacomozzi</t>
  </si>
  <si>
    <t>Giovanni</t>
  </si>
  <si>
    <t>Giacomozzi</t>
  </si>
  <si>
    <t>Mr. Giovanni Giacomozzi serves as Investor at 360 Capital.</t>
  </si>
  <si>
    <t>giovanni@360cap.vc</t>
  </si>
  <si>
    <t>331958-44P</t>
  </si>
  <si>
    <t>Giulia Galbiati</t>
  </si>
  <si>
    <t>Giulia</t>
  </si>
  <si>
    <t>Galbiati</t>
  </si>
  <si>
    <t>Mr. Giulia Galbiati serves as Executive, Business Development &amp; Investor Relations at 360 Capital.</t>
  </si>
  <si>
    <t>giulia@360cap.vc</t>
  </si>
  <si>
    <t>Executive, Business Development &amp; Investor Relations</t>
  </si>
  <si>
    <t>301179-61P</t>
  </si>
  <si>
    <t>Jean-Marie Perrot</t>
  </si>
  <si>
    <t>Jean-Marie</t>
  </si>
  <si>
    <t>Perrot</t>
  </si>
  <si>
    <t>Chief Financial Officer</t>
  </si>
  <si>
    <t>Mr. Jean-Marie Perrot serves as Chief Financial Officer at 360 Capital. He has also worked for PwC during 7 years. He has notably worked several times for Société Générale and Amundi Asset Management, on acquisitions and disposals of majority and minority shareholdings. He holds a Master in Management from Skema Business School as well as an Audit and Finance Master from Lille II University</t>
  </si>
  <si>
    <t>jeanmarie@360cap.vc</t>
  </si>
  <si>
    <t>409196-26P</t>
  </si>
  <si>
    <t>Katia Da Ros</t>
  </si>
  <si>
    <t>Katia</t>
  </si>
  <si>
    <t>Da Ros</t>
  </si>
  <si>
    <t>Ms. Katia Da Ros serves as an Advisor at 360 Capital.</t>
  </si>
  <si>
    <t>247646-35P</t>
  </si>
  <si>
    <t>Lucrezia Lucotti</t>
  </si>
  <si>
    <t>Lucrezia</t>
  </si>
  <si>
    <t>Lucotti</t>
  </si>
  <si>
    <t>Ms. Lucrezia Lucotti serves as Partner at 360 Capital. She joined 360 Capital in 2020 following a first experience in strategy consulting at Roland Berger. She serves as Board Member at Sinergy Flow. She holds an MSc in Economics and Management of Innovation and Technology from Bocconi University in Milan with a Double Degree program in Strategy and Innovation at Wirtschaftsuniversität Wien.</t>
  </si>
  <si>
    <t>lucrezia@360cap.vc</t>
  </si>
  <si>
    <t>13675-24P</t>
  </si>
  <si>
    <t>Michele Appendino</t>
  </si>
  <si>
    <t>Michele</t>
  </si>
  <si>
    <t>Appendino</t>
  </si>
  <si>
    <t>Mr. Michele Appendino is the Founder of AME Ventures. He serves as an Advisor at 360 Capital. He serves as an Investment Committee Member at Growth Engine. He is the Founder and serves as Chief Executive Officer and Chairman at Solar Ventures. He also serves as an Advisory Board Member at Innogest. He Worked with Andersen Consulting in Spain and with FMC in California (US). He was then a Senior Engagement Manager with McKinsey &amp; Company, in the Milan office (92-96). During this period, he was part of the media, retail, and fashion practice. He co-founded Net Partners Ventures in 1997, the first European venture capitalist exclusively focused on internet startups. In 2005, he founded A.M.E. Ventures, an investment holding focused on startups on the Internet and renewable energy. In 2002 was a Global Leader of Tomorrow at the World Economic Forum and is a member of the Aspen Institute in Italy and of the Young Presidents' Organization, a worldwide network of entrepreneurs. He holds an MBA from INSEAD.</t>
  </si>
  <si>
    <t>+39 02 7621 241</t>
  </si>
  <si>
    <t>michele@ameventures.it</t>
  </si>
  <si>
    <t>Galleria San Babila, 4b</t>
  </si>
  <si>
    <t>20122</t>
  </si>
  <si>
    <t>+39 02 7621 2450</t>
  </si>
  <si>
    <t>AME Ventures</t>
  </si>
  <si>
    <t>107777-71P</t>
  </si>
  <si>
    <t>Nader Sabbaghian</t>
  </si>
  <si>
    <t>Nader</t>
  </si>
  <si>
    <t>Sabbaghian</t>
  </si>
  <si>
    <t>Mr. Nader Sabbaghian serves as a Partner at 360 Capital. He also serves as a Board Member at Casavo, IriusRisk, and Hades AI. He serves as Board Member at Siteflow. He served as a Board Member at GrAI Matter Labs. He also served as Managing Director at R301 Capital. He serves as an Advisor at Soource. As CEO of BravoSolution, he led the creation of a global procurement market leader with an annual turnover of $100M. He is also the founder and investor in Bakeca, one of Italy's leading online classified sites. He holds a Master's degree in Engineering and Management from the Massachusetts Institute of Technology (MIT).</t>
  </si>
  <si>
    <t>nader@360cap.vc</t>
  </si>
  <si>
    <t>408397-33P</t>
  </si>
  <si>
    <t>Noé Robert</t>
  </si>
  <si>
    <t>Noé</t>
  </si>
  <si>
    <t>Robert</t>
  </si>
  <si>
    <t>Mr. Noé Robert serves as an Investor at 360 Capital.</t>
  </si>
  <si>
    <t>noe@360cap.vc</t>
  </si>
  <si>
    <t>330642-46P</t>
  </si>
  <si>
    <t>Philippe Englebert</t>
  </si>
  <si>
    <t>Philippe</t>
  </si>
  <si>
    <t>Englebert</t>
  </si>
  <si>
    <t>Mr. Philippe Englebert serves as Director at Lazard. Mr. Englebert also serves as Advisor at Pasqal and SISTAFUND. He serves as an Advisor at 360 Capital. He also serves as Tech M&amp;A banker on several deals, including the sale of Luko to Admiral Insurance. He has 10 years of experience and joined Lazard in 2022, with a focus on tech M&amp;A, fundraisings and IPOs. Prior to joining Lazard, he was advisor for businesses, financial services, attractiveness and export to President E. Macron, and held other tech advisor positions to the French Government. He started his career in investment banking at Goldman Sachs, before joining the French Treasury Department. In charge of equity financing and start-ups, he was also the rapporteur of the mission led by P. Tibi on the financing of technology companies, and some years later he initiated its European equivalent "Scale-Up Europe" launched by the French President in 2021 with the support of the European Commission. He hold a Master's in Management from Science Po.</t>
  </si>
  <si>
    <t>+33 (0)1 44 13 01 11</t>
  </si>
  <si>
    <t>philippe.englebert@lazard.com</t>
  </si>
  <si>
    <t>175, Boulevard Haussmann</t>
  </si>
  <si>
    <t>Cedex 08</t>
  </si>
  <si>
    <t>Director</t>
  </si>
  <si>
    <t>Lazard</t>
  </si>
  <si>
    <t>274187-98P</t>
  </si>
  <si>
    <t>Silvia Rovere</t>
  </si>
  <si>
    <t>Silvia</t>
  </si>
  <si>
    <t>Rovere</t>
  </si>
  <si>
    <t>Ms. Silvia Rovere is the Founder and serves as Chief Executive Officer at Sensible Capital. She also serves as an Advisor at 360 Capital. She served as Chairman at Kaaja. After graduating from the Faculty of Economics in Turin, she has over twenty-five years of experience in private equity and real estate finance. She is President of Confindustria Assoimmobiliare since 2017. From 2003 to 2005, she was Chief Financial Officer of the Italian Ministry of Economy and Finance, she was later in London as Head of Business Development for Aedes Group, and from 2009 to 2013 she was Chief Executive Officer of REAM SGR. She was also, from 2014 to 2020, Chief Executive Officer of Morgan Stanley SGR. Alongside her professional activity, she carried out academic and research activities for, among others, the Department of Political Economy and the Department of Business Law of the Faculty of Economics of Turin, the Centro L. Einaudi of Turin, and the Master in Real Estate Finance of SDA Bocconi. She is a Fellow member of RICS, a member of the Executive Committee of ULI Italy, and the Directive Committee of Fondazione Res Pubblica, one of the most influential Italian think tanks.</t>
  </si>
  <si>
    <t>+44 (0)20 7887 7830</t>
  </si>
  <si>
    <t>srovere@sensiblecapital.com</t>
  </si>
  <si>
    <t>Corso Italia 22</t>
  </si>
  <si>
    <t>Founder &amp; Chief Executive Officer</t>
  </si>
  <si>
    <t>Sensible Capital</t>
  </si>
  <si>
    <t>269564-59P</t>
  </si>
  <si>
    <t>Thomas Nivard</t>
  </si>
  <si>
    <t>Thomas</t>
  </si>
  <si>
    <t>Nivard</t>
  </si>
  <si>
    <t>Previously he served as Senior Associate at 360 Capital Partners. He serves as Board Member at Oxyle. He serves as a Board Member at Beanstock, HeyTeam &amp; Surfe. He joined 360 Capital in 2021 and is focused on early-stage investments in France. Before joining 360 Capital, he was Head of Investment for an NGO in Cuba for 2 years. He led the investment team on 20+ investments in education and social projects and managed fundraising activities in over 15 countries. Before that, he worked for 3 years as a consultant for Eurogroup Consulting in Paris, helping clients with strategy design and operational excellence in various industries such as F&amp;B, Banking and Transportation. He holds an M.B.A. from INSEAD and an engineering degree from Ecole Centrale Lyon.</t>
  </si>
  <si>
    <t>thomas@360cap.vc</t>
  </si>
  <si>
    <t>153049-42P</t>
  </si>
  <si>
    <t>Adam Petrie</t>
  </si>
  <si>
    <t>Adam</t>
  </si>
  <si>
    <t>Petrie</t>
  </si>
  <si>
    <t>43North</t>
  </si>
  <si>
    <t>Mr. Adam Petrie serves as Chief Financial Officer at 43North. He served as Chief Financial Officer at Z80 Labs. He serves as a Chief Financial Officer at SBNY. He has more than ten years of experience in finance, accounting, investor relations, and operations. He is responsible for the financial oversight of venture funds including accounting, investor reporting, and cash management. Prior to joining SBNY, He spent seven years in the tax and small business departments at Tronconi, Segarra &amp; Associates, a certified public accounting and consulting firm in Buffalo, NY.</t>
  </si>
  <si>
    <t>+1 (716) 845-7526</t>
  </si>
  <si>
    <t>adam@43north.org</t>
  </si>
  <si>
    <t>Buffalo</t>
  </si>
  <si>
    <t>Buffalo, NY</t>
  </si>
  <si>
    <t>1 West Seneca Street</t>
  </si>
  <si>
    <t>24th Floor</t>
  </si>
  <si>
    <t>14203</t>
  </si>
  <si>
    <t>129152-35P</t>
  </si>
  <si>
    <t>Colleen Heidinger</t>
  </si>
  <si>
    <t>Colleen</t>
  </si>
  <si>
    <t>Heidinger</t>
  </si>
  <si>
    <t>President</t>
  </si>
  <si>
    <t>Ms. Colleen Heidinger serves as President at 43North.</t>
  </si>
  <si>
    <t>+1 (716) 332-7980</t>
  </si>
  <si>
    <t>colleen@43north.org</t>
  </si>
  <si>
    <t>167452-30P</t>
  </si>
  <si>
    <t>Dominic Costanzo</t>
  </si>
  <si>
    <t>Dominic</t>
  </si>
  <si>
    <t>Costanzo</t>
  </si>
  <si>
    <t>Mr. Dominic Costanzo serves as Vice President of the portfolio at 43North. He served as Director at Dominion Energy Innovation Center. He is a graduate of VCU School of Business's Entrepreneurship Program. While there, his passion for start-ups was set in motion as he and his team were the eventual winners of the VCU/ACG Business Plan Competition. He also served as captain of the VCU Men's Track and Field Team, and that athletic background led him to be named a member of the U.S. Olympic Development Men's Skeleton Team after graduation. Following his athletic career, he reentered the start-up world by co-founding an online media and retail company centered around the action and adventure sports industry. While not at the D.R.I.C., he also serves as a program manager for the Innovation Gateway at VCU. In his role there, he helps implement a university-wide strategy focused on enhancing the entrepreneurial culture at the University through developing new, collaborative programs across all of the University's disciplines.</t>
  </si>
  <si>
    <t>dominic@43north.org</t>
  </si>
  <si>
    <t>Vice President of Portfolio</t>
  </si>
  <si>
    <t>344275-75P</t>
  </si>
  <si>
    <t>Abdulrahman Aljiffry</t>
  </si>
  <si>
    <t>Abdulrahman</t>
  </si>
  <si>
    <t>Aljiffry</t>
  </si>
  <si>
    <t>500 Global</t>
  </si>
  <si>
    <t>Mr. Abdulrahman Aljiffry serves as a Partner at 500 Global. Mr. Aljiffry serves as Chairman at Lumofy.</t>
  </si>
  <si>
    <t>abdulrahman.aljiffry@500.co</t>
  </si>
  <si>
    <t>Dubai</t>
  </si>
  <si>
    <t>Dubai, United Arab Emirates</t>
  </si>
  <si>
    <t>United Arab Emirates</t>
  </si>
  <si>
    <t>182760-94P</t>
  </si>
  <si>
    <t>Adil Hussain</t>
  </si>
  <si>
    <t>Adil</t>
  </si>
  <si>
    <t>Hussain</t>
  </si>
  <si>
    <t>Entrepreneur-in-Residence &amp; Executive</t>
  </si>
  <si>
    <t>Mr. Adil Hussain serves as Managing Partner at Alexandria Capital. He served as Mentor at First Round Capital. He serves as an Entrepreneur-in-Residence &amp; Mentor at 500 Global. He served as Vice President of Finance at CuneXus. He has worked in finance and technology for 12 years and has co-founded or served as an executive at several startups in the fin-tech and enterprise software industries. His broad experience building businesses as an entrepreneur and investor across the United States and Asia includes his work at Standard Chartered Principal Finance in Singapore, where he invested $20-150 million in companies throughout Asia. After Standard Chartered, he worked at Red Dot &amp; Extream Ventures, where he invested in technology companies from the angel to Series A stage and sat on several company boards. He was also a Research Fellow at a think tank founded by the Prime Minister of Malaysia and authored a policy proposal that led to the creation of a $300 million government investment fund. He holds a Bachelor's degree in Economics and Mathematics from the University of Michigan, Ann Arbor and a Master's degree in Ethics and Finance, and Government from Harvard University. He received an entrepreneurial award from MIT in 2007 and is currently working toward the Certified Corporate Financial Planning and Analysis Professional certification. He began with CuneXus as an Advisory Board Member and has subsequently shifted gears as the Director of Finance.</t>
  </si>
  <si>
    <t>+1 (202) 391-0170</t>
  </si>
  <si>
    <t>adil_h@alexandriacapital.com</t>
  </si>
  <si>
    <t>Arlington</t>
  </si>
  <si>
    <t>Arlington, VA</t>
  </si>
  <si>
    <t>1300 17th Street North</t>
  </si>
  <si>
    <t>Suite 840</t>
  </si>
  <si>
    <t>Virginia</t>
  </si>
  <si>
    <t>22209</t>
  </si>
  <si>
    <t>+1 (202) 391-0178</t>
  </si>
  <si>
    <t>Alexandria Capital</t>
  </si>
  <si>
    <t>336356-47P</t>
  </si>
  <si>
    <t>Alexandra Boffa-Taylor</t>
  </si>
  <si>
    <t>Alexandra</t>
  </si>
  <si>
    <t>Boffa-Taylor</t>
  </si>
  <si>
    <t>Ms. Alexandra Boffa-Taylor serves as Senior Associate, Investor Relations at 500 Global.</t>
  </si>
  <si>
    <t>ally@500.co</t>
  </si>
  <si>
    <t>814 Mission Street</t>
  </si>
  <si>
    <t>6th floor</t>
  </si>
  <si>
    <t>94013</t>
  </si>
  <si>
    <t>Senior Investor Relations Associate</t>
  </si>
  <si>
    <t>262081-63P</t>
  </si>
  <si>
    <t>Amal Dokhan</t>
  </si>
  <si>
    <t>Amal</t>
  </si>
  <si>
    <t>Dokhan</t>
  </si>
  <si>
    <t>General Partner &amp; Managing Partner</t>
  </si>
  <si>
    <t>Ms. Amal Dokhan serves as General Partner &amp; Managing Partner, 500 MENA at 500 Global. She serves as a Board Member at Wayakit. She serves as Executive at Sanabil 500 MENA Seed Accelerator. She served as Investment Committee Member at WomenSpark.</t>
  </si>
  <si>
    <t>amal.dokhan@500.co</t>
  </si>
  <si>
    <t>Riyadh</t>
  </si>
  <si>
    <t>Riyadh, Saudi Arabia</t>
  </si>
  <si>
    <t>Saudi Arabia</t>
  </si>
  <si>
    <t>General Partner &amp; Managing Partner, 500 MENA</t>
  </si>
  <si>
    <t>137037-61P</t>
  </si>
  <si>
    <t>Amal Enan</t>
  </si>
  <si>
    <t>Enan</t>
  </si>
  <si>
    <t>Ms. Amal Enan serves as Partner at 500 Global. Ms. Enan Founded and served as a Managing Partner at Lotus Capital. She served as an Advisor at First Circle Capital. She served as an Investor Advisory Board Member at Tanmiya Capital Ventures. She served as Managing Director - of North Africa/Levant at Global Ventures (Dubai). She served as Executive Director at the Egyptian-American Enterprise Fund. She serves as an Investor Advisory Board Member at Tamiya Capital Ventures. With a passion for knowledge and sustainable development, she obtained a BSc. in Economics from Cairo University with Honors and went further to pursue a Master's in Environment and Development from the London School of Economics. After gaining infrastructure investment experience as an Associate Investment Officer at the International Finance Corporation and completing the CFA program, she took up the challenge of joining the Ministry of Finance as an Economist at the Macro-Fiscal Policy Unit. At the Ministry of Finance, she had the opportunity to work on the formulation of reform policies, and the drafting of the State Budget, and partake in negotiations with international organizations on matters that touch the lives of millions of Egyptians and address the nation's most pressing challenges.</t>
  </si>
  <si>
    <t>amal.enan@500.co</t>
  </si>
  <si>
    <t>378977-05P</t>
  </si>
  <si>
    <t>Amjad Ahmad</t>
  </si>
  <si>
    <t>Amjad</t>
  </si>
  <si>
    <t>Ahmad</t>
  </si>
  <si>
    <t>Mr. Amjad Ahmad serves as Managing Partner at 500 Global.</t>
  </si>
  <si>
    <t>amjad@500.co</t>
  </si>
  <si>
    <t>194775-04P</t>
  </si>
  <si>
    <t>Ana Jiménez San Martín</t>
  </si>
  <si>
    <t>Ana</t>
  </si>
  <si>
    <t>Jiménez San Martín</t>
  </si>
  <si>
    <t>Ms. Ana Jiménez San Martín serves as a Chief of Staff at 500 Global. She served as Associate at IGNIA. She joined IGNIA in 2018 and focuses on providing strategic and analytical support for portfolio companies, as well as evaluating new investments. Before joining Ignia, She worked as an Innovation Investments Analyst at Telefonica, one of the biggest telecommunication companies worldwide. She was responsible for evaluating potential investments in innovative companies with a technological base and considerable growth potential, whose activities are eminently technological and related to Telefónica's strategic projects in fields such as Big Data, Artificial Intelligence, the Internet of Things, cybersecurity, or fintech. During her studies, she has also done various internships in M&amp;A, in Arma Partners, and in Optima Corporate. Ana graduated from CUNEF with a Bilingual Degree in Business Administration, with international studies in The Netherlands.</t>
  </si>
  <si>
    <t>ana@500.co</t>
  </si>
  <si>
    <t>Mexico City</t>
  </si>
  <si>
    <t>Mexico City, Mexico</t>
  </si>
  <si>
    <t>06600</t>
  </si>
  <si>
    <t>Mexico</t>
  </si>
  <si>
    <t>Chief of Staff</t>
  </si>
  <si>
    <t>269636-23P</t>
  </si>
  <si>
    <t>Austin Lee</t>
  </si>
  <si>
    <t>Austin</t>
  </si>
  <si>
    <t>Lee</t>
  </si>
  <si>
    <t>Analyst</t>
  </si>
  <si>
    <t>Mr. Austin Lee serves as an Analyst at 500 Global.</t>
  </si>
  <si>
    <t>austin.lee@500.co</t>
  </si>
  <si>
    <t>41447-53P</t>
  </si>
  <si>
    <t>Bedy Yang</t>
  </si>
  <si>
    <t>Bedy</t>
  </si>
  <si>
    <t>Yang</t>
  </si>
  <si>
    <t>Founder &amp; Managing Partner</t>
  </si>
  <si>
    <t>Ms. Bedy Yang is a Co-Founder &amp; serves as Managing Partner at 500 Global. She uses her multicultural powers to find startups and partners for 500 in Brazil/Latin America, as she catalyzes the startup ecosystem there via Brazil Innovators.</t>
  </si>
  <si>
    <t>bedy@500.co</t>
  </si>
  <si>
    <t>59956-39P</t>
  </si>
  <si>
    <t>Binh Tran</t>
  </si>
  <si>
    <t>Binh</t>
  </si>
  <si>
    <t>Tran</t>
  </si>
  <si>
    <t>Mr. Binh Tran is the Co-Founder and serves as General Partner at Ascend Vietnam Ventures. Mr. Tran is an Angel Investor. He serves as Partner, Vietnam at 500 Global. He serves as Vice Chairman at Vietnam Private Capital Agency. Prior to Ascend Vietnam Ventures, he co-founded 500 Startups Vietnam. He and his team have invested in the seed stages of unicorn companies such as Axie Infinity, Applyboard, Outreach, and Turing. Prior to investing, he co-founded Klout, the Kleiner Perkins-backed social analytics company in San Francisco that was acquired for over USD$200M in 2014.</t>
  </si>
  <si>
    <t>binh@avv.co</t>
  </si>
  <si>
    <t>Ho Chi Minh City</t>
  </si>
  <si>
    <t>Ho Chi Minh City, Vietnam</t>
  </si>
  <si>
    <t>92A Nguyen Huu Canh</t>
  </si>
  <si>
    <t>Binh Thanh District</t>
  </si>
  <si>
    <t>700000</t>
  </si>
  <si>
    <t>Vietnam</t>
  </si>
  <si>
    <t>Co-Founder and General Partner</t>
  </si>
  <si>
    <t>Ascend Vietnam Ventures</t>
  </si>
  <si>
    <t>378999-28P</t>
  </si>
  <si>
    <t>Buck Prasanth</t>
  </si>
  <si>
    <t>Buck</t>
  </si>
  <si>
    <t>Prasanth</t>
  </si>
  <si>
    <t>Investment Analyst</t>
  </si>
  <si>
    <t>Mr. Buck Prasanth serves as Investment Data Analyst at 500 Global.</t>
  </si>
  <si>
    <t>buck.prasanth@500.co</t>
  </si>
  <si>
    <t>Kuala Lumpur</t>
  </si>
  <si>
    <t>Kuala Lumpur, Malaysia</t>
  </si>
  <si>
    <t>Malaysia</t>
  </si>
  <si>
    <t>Investment Data Analyst</t>
  </si>
  <si>
    <t>326318-14P</t>
  </si>
  <si>
    <t>Carmen Hoong</t>
  </si>
  <si>
    <t>Carmen</t>
  </si>
  <si>
    <t>Hoong</t>
  </si>
  <si>
    <t>Ms. Carmen Hoong serves as Senior Investment Data Analyst at 500 Global.</t>
  </si>
  <si>
    <t>carmen.hoong@500.co</t>
  </si>
  <si>
    <t>Senior Investment Data Analyst</t>
  </si>
  <si>
    <t>379010-44P</t>
  </si>
  <si>
    <t>Carrie Liauw</t>
  </si>
  <si>
    <t>Carrie</t>
  </si>
  <si>
    <t>Liauw</t>
  </si>
  <si>
    <t>Executive Director</t>
  </si>
  <si>
    <t>Ms. Carrie Liauw serves as Executive Director at 500 Global. She serves as Executive Director at 500 TukTuks.</t>
  </si>
  <si>
    <t>+1 (650) 743-4738</t>
  </si>
  <si>
    <t>carrie.liauw@500.co</t>
  </si>
  <si>
    <t>Pleasant Hill</t>
  </si>
  <si>
    <t>Pleasant Hill, CA</t>
  </si>
  <si>
    <t>3478 Buskirk Avenue</t>
  </si>
  <si>
    <t>Suite 1000</t>
  </si>
  <si>
    <t>94523</t>
  </si>
  <si>
    <t>247898-80P</t>
  </si>
  <si>
    <t>Cecilia Ezquerro</t>
  </si>
  <si>
    <t>Cecilia</t>
  </si>
  <si>
    <t>Ezquerro</t>
  </si>
  <si>
    <t>Ms. Cecilia Ezquerro serves as Portfolio Director at 500 Global.</t>
  </si>
  <si>
    <t>cecilia.ezquerro@500.co</t>
  </si>
  <si>
    <t>Portfolio Director</t>
  </si>
  <si>
    <t>39567-43P</t>
  </si>
  <si>
    <t>Christine Tsai</t>
  </si>
  <si>
    <t>Christine</t>
  </si>
  <si>
    <t>Tsai</t>
  </si>
  <si>
    <t>Chief Executive Officer &amp; Founding Partner</t>
  </si>
  <si>
    <t>Ms. Christine Tsai is a Co-Founder &amp; Founding Partner &amp; serves as Chief Executive Officer at 500 Global. Ms. Tsai serves as Member of the Venture Advisory Board at Berkeley Frontier Fund. As a 500 Startups Mentor, she guides the companies with Developers &amp; APIs, Marketing, Social, and Video expertise. Before 500, she worked on Google AdSense and early-stage video monetization offerings as well as Google Analytics and YouTube syndication. She holds a BA in Cognitive Science from the University of California at Berkeley.</t>
  </si>
  <si>
    <t>christine@500startups.com</t>
  </si>
  <si>
    <t>Founding Partner &amp; Chief Executive Officer</t>
  </si>
  <si>
    <t>101245-24P</t>
  </si>
  <si>
    <t>Clayton Bryan</t>
  </si>
  <si>
    <t>Clayton</t>
  </si>
  <si>
    <t>Bryan</t>
  </si>
  <si>
    <t>Mr. Clayton Bryan serves as Partner, Global Investment at 500 Global. Mr. Bryan also served as Partner at Dorm Room Fund. He serves as Advisory Board Member at ICA Fund. He is an entrepreneur, growth hacker and product evangelist with 7+ years of experience in technology. Currently at the NYU Stern School of Business, he most recently managed a San Francisco-based accelerator where he was responsible for mentoring early-stage startups on product development, partnerships, and recruitment. Prior to this, he led customer development at startups focusing on commerce and media and began his career at Yahoo!. He is passionate about building better B2C web companies to meet the ever-changing preferences of today's consumer. He received his BA in Political Economies of Industrial Societies from the University of California, Berkeley. He is a Co-Founder and serves as Board Member at Transparent &amp; Black.</t>
  </si>
  <si>
    <t>clayton@500.co</t>
  </si>
  <si>
    <t>Partner, Global Investment</t>
  </si>
  <si>
    <t>59125-06P</t>
  </si>
  <si>
    <t>Courtney Powell</t>
  </si>
  <si>
    <t>Courtney</t>
  </si>
  <si>
    <t>Powell</t>
  </si>
  <si>
    <t>Ms. Courtney Powell serves as Chief Operating Officer at 500 Global. She served as Chief Operating Officer at Agent Pronto. She Co-Founded and served as Chief Executive Officer at PublikDemand. She started PublikDemand to give individuals a voice against large corporations and give corporations an incentive to put their customers before their profits. Her passion for starting companies began at age 20 when she joined Boundless Network, a fledgling startup that quickly became one of the fastest-growing companies in America. Her love for revenue-based marketing and the growing marketing automation industry led her to found LeedSeed in 2009, a marketing automation firm that was sold in 2012. She holds a Degree in Corporate Communication from the University of Texas, Austin.</t>
  </si>
  <si>
    <t>courtney@500.co</t>
  </si>
  <si>
    <t>152159-23P</t>
  </si>
  <si>
    <t>Damaris Mendoza</t>
  </si>
  <si>
    <t>Damaris</t>
  </si>
  <si>
    <t>Mendoza</t>
  </si>
  <si>
    <t>Ms. Damaris Mendoza serves as Partner, 500 Latin America at 500 Global. Mr. Mendoza served as Vice President of Marketing at Boletia.</t>
  </si>
  <si>
    <t>damaris@500.co</t>
  </si>
  <si>
    <t>336352-15P</t>
  </si>
  <si>
    <t>Daniel Walsh</t>
  </si>
  <si>
    <t>Walsh</t>
  </si>
  <si>
    <t>Mr. Daniel Walsh serves as Director, Investor Relations at 500 Global.</t>
  </si>
  <si>
    <t>Director, Investor Relations</t>
  </si>
  <si>
    <t>190424-62P</t>
  </si>
  <si>
    <t>Didier Quiroz</t>
  </si>
  <si>
    <t>Didier</t>
  </si>
  <si>
    <t>Quiroz</t>
  </si>
  <si>
    <t>Mr. Didier Quiroz serves as Partner at 500 Global. Mr. Didier is a Venture Associate at 500 Startups LatAm. He loves helping startups with fundraising and tuning their unit economics. Passionate about finance and economics, he founded his own health tech startup in 2015 and worked at an impact investing venture capital fund and accelerator. He has been accelerating and investing in startups since 2011.</t>
  </si>
  <si>
    <t>didier@500.co</t>
  </si>
  <si>
    <t>43992-28P</t>
  </si>
  <si>
    <t>Edith Yeung</t>
  </si>
  <si>
    <t>Edith</t>
  </si>
  <si>
    <t>Yeung</t>
  </si>
  <si>
    <t>Advisor &amp; General Partner</t>
  </si>
  <si>
    <t>Ms. Edith Yeung serves as General Partner at Race Capital. Ms. Yeung is an Angel Investor. Ms. Edith Yeung is a General Partner at Race Capital. Prior to Race Capital, Edith was a partner at 500 Startups, the world's most active early-stage fund and incubator, which invested in Twilio, Credit Karma, Grab, and 2000 more companies. Before 500, Edith was the general manager at Dolphin Browser, a Sequoia Capital-backed mobile browser with over 150 million installs worldwide. Edith also worked with many Fortune 500 companies such as Siebel, AMS, AT&amp;T Wireless, and Autodesk. She frequently speaks on venture capital, women in leadership, China, and Silicon Valley technology and investment landscape. She is also a frequent guest lecturer at Berkeley and Stanford and commentator on BBC, CNBC, Wall Street Journal, Bloomberg, SCMP, Techcrunch, The Information, etc.</t>
  </si>
  <si>
    <t>+1 (650) 331-1660</t>
  </si>
  <si>
    <t>edith@race.capital</t>
  </si>
  <si>
    <t>Palo Alto</t>
  </si>
  <si>
    <t>Palo Alto, CA</t>
  </si>
  <si>
    <t>437 Lytton Avenue</t>
  </si>
  <si>
    <t>Suite100</t>
  </si>
  <si>
    <t>94301</t>
  </si>
  <si>
    <t>Race Capital</t>
  </si>
  <si>
    <t>293366-98P</t>
  </si>
  <si>
    <t>Ee Lim</t>
  </si>
  <si>
    <t>Ee</t>
  </si>
  <si>
    <t>Lim</t>
  </si>
  <si>
    <t>Ms. Ee Lim serves as Global Mentor at 500 Global.</t>
  </si>
  <si>
    <t>eeling.lim@500.co</t>
  </si>
  <si>
    <t>Global Mentor</t>
  </si>
  <si>
    <t>175995-37P</t>
  </si>
  <si>
    <t>Enis Hulli</t>
  </si>
  <si>
    <t>Enis</t>
  </si>
  <si>
    <t>Hulli</t>
  </si>
  <si>
    <t>Mr. Enis Hulli serves as General Partner at e2vc. He serves as General Partner at 500 Emerging Europe. His goal is to position 500 Startups as the leading actors in the region to reshape the future of innovation at EMEA. He serves as an Advisory Board Member at Sadik Ventures.</t>
  </si>
  <si>
    <t>enis@e2.vc</t>
  </si>
  <si>
    <t>Amsterdam</t>
  </si>
  <si>
    <t>Amsterdam, Netherlands</t>
  </si>
  <si>
    <t>Netherlands</t>
  </si>
  <si>
    <t>e2vc</t>
  </si>
  <si>
    <t>433965-34P</t>
  </si>
  <si>
    <t>Eunhye Shin</t>
  </si>
  <si>
    <t>Eunhye</t>
  </si>
  <si>
    <t>Shin</t>
  </si>
  <si>
    <t>Investment Manager</t>
  </si>
  <si>
    <t>Ms. Eunhye Shin serves as Investment Manager at 500 Global.</t>
  </si>
  <si>
    <t>eunhye.shin@500.co</t>
  </si>
  <si>
    <t>336096-73P</t>
  </si>
  <si>
    <t>Grace Tsou</t>
  </si>
  <si>
    <t>Grace</t>
  </si>
  <si>
    <t>Tsou</t>
  </si>
  <si>
    <t>Ms. Grace Tsou serves as Chief of Staff, Global Investment at 500 Global.</t>
  </si>
  <si>
    <t>grace.tsou@500.co</t>
  </si>
  <si>
    <t>Chief of Staff, Global Investment</t>
  </si>
  <si>
    <t>442815-94P</t>
  </si>
  <si>
    <t>Guhyeonmo Simsa</t>
  </si>
  <si>
    <t>Guhyeonmo</t>
  </si>
  <si>
    <t>Simsa</t>
  </si>
  <si>
    <t>391748-50P</t>
  </si>
  <si>
    <t>Hyunmo Koo</t>
  </si>
  <si>
    <t>Hyunmo</t>
  </si>
  <si>
    <t>Koo</t>
  </si>
  <si>
    <t>Mr. Hyunmo Koo serves as Investment Analyst at 500 Global.</t>
  </si>
  <si>
    <t>97808-86P</t>
  </si>
  <si>
    <t>James Riney</t>
  </si>
  <si>
    <t>James</t>
  </si>
  <si>
    <t>Riney</t>
  </si>
  <si>
    <t>Head</t>
  </si>
  <si>
    <t>Mr. James Riney serves as Head of 500 Startups Japan at 500 Global. Mr. Riney served as Board Member at SmartHR. He also is an Angel Investor. He also serves as Partner at 500 Kobe Pre-Accelerator. He also co-founded the "Medium.com of Japan" before covering venture investments for DeNA, based in Tokyo. He now heads the 500 Startups Japan fund.</t>
  </si>
  <si>
    <t>james@500.co</t>
  </si>
  <si>
    <t>Head of 500 Startups Japan</t>
  </si>
  <si>
    <t>187132-96P</t>
  </si>
  <si>
    <t>James Wu</t>
  </si>
  <si>
    <t>Wu</t>
  </si>
  <si>
    <t>Mr. James Wu serves as Finance Director at 500 Global.</t>
  </si>
  <si>
    <t>jameswu@500.co</t>
  </si>
  <si>
    <t>Finance Director</t>
  </si>
  <si>
    <t>326317-06P</t>
  </si>
  <si>
    <t>Jin Hor</t>
  </si>
  <si>
    <t>Jin</t>
  </si>
  <si>
    <t>Hor</t>
  </si>
  <si>
    <t>Mr. Jin Hor serves as Investment Data Analyst at 500 Global.</t>
  </si>
  <si>
    <t>jinsoong.hor@500.co</t>
  </si>
  <si>
    <t>335995-57P</t>
  </si>
  <si>
    <t>Jordan Sawadogo</t>
  </si>
  <si>
    <t>Jordan</t>
  </si>
  <si>
    <t>Sawadogo</t>
  </si>
  <si>
    <t>Mr. Jordan Sawadogo serves as Associate, Global Investment at 500 Global.</t>
  </si>
  <si>
    <t>jordan.sawadogo@500.co</t>
  </si>
  <si>
    <t>Associate, Global Investment</t>
  </si>
  <si>
    <t>326320-39P</t>
  </si>
  <si>
    <t>Juin Tong</t>
  </si>
  <si>
    <t>Juin</t>
  </si>
  <si>
    <t>Tong</t>
  </si>
  <si>
    <t>Mr. Juin Tong serves as Investment Data Analyst at 500 Global.</t>
  </si>
  <si>
    <t>juinshern.tong@500.co</t>
  </si>
  <si>
    <t>55388-71P</t>
  </si>
  <si>
    <t>Khailee Ng</t>
  </si>
  <si>
    <t>Khailee</t>
  </si>
  <si>
    <t>Ng</t>
  </si>
  <si>
    <t>Mr. Khailee Ng serves as Managing Partner at 500 Global. He served as SIX Network. He also serves as Advisor at Catch That Bus &amp; Glints. He serves as Board Member at Claim Di. He Co-Founded Youth Asia. He served as Chief Executive Officer at Says. He serves as Advisor at GoGet. He serves as Managing Partner at 500 Startups. He served as a Board Member at iMoney Group. He is also co-founder of GroupsMore (acquired by Groupon), SAYS.com, a Social News Network in Southeast Asia.</t>
  </si>
  <si>
    <t>khailee@500.co</t>
  </si>
  <si>
    <t>247902-49P</t>
  </si>
  <si>
    <t>Laila Hassan</t>
  </si>
  <si>
    <t>Laila</t>
  </si>
  <si>
    <t>Hassan</t>
  </si>
  <si>
    <t>Ms. Laila Hassan serves as Venture Partner at 500 Global. Laila worked with several VC firms across the region such as Middle East Venture Partners in UAE and Algebra Ventures in Egypt where she led transactions and worked with portfolio companies on fundraising and operational enhancements. Laila was active in the venture capital and startup landscape in Egypt, where she worked as a consultant for several start-up businesses assisting them in developing operational and fundraising schemes. She led investment assessments and provided recommendations to several VCs and family offices in the region. While completing her MBA from London Business School, Laila joined the investment banking division at Morgan Stanley in London as a summer associate, after which she opted to move back to Egypt to pursue a career among the now-thriving startup community. Prior to her postgraduate studies, she worked as an associate at Qalaa Holdings, a regional private equity firm based out of Cairo, where she focused on the alternative energy, oil and gas and glass sectors. She holds a dual undergraduate degree in Business Administration and Law from the American University in Cairo and Cairo University respectively.</t>
  </si>
  <si>
    <t>laila.hassan@500.co</t>
  </si>
  <si>
    <t>106487-47P</t>
  </si>
  <si>
    <t>Leonard Lee</t>
  </si>
  <si>
    <t>Leonard</t>
  </si>
  <si>
    <t>Mr. Leonard Lee serves as Head of Accelerator Operation, Global Accelerator, Global Investment at 500 Global. Mr. Lee co-founded and served as Chief Operating Officer at Dispatch. He served as a Brand Manager at The Clorox Company. He is the Head of Global Accelerator Ops at 500 Global whose portfolio includes Canva, Twilio, Talkdesk, Sendgrid, Credit Karma, Udemy, Gitlab, Grab, Solana, and others. Previously, he co-founded Dispatchr, an enterprise SaaS startup backed by Floodgate, Backed, and other investors. He holds an MBA (Master of Business Administration) from UCLA Anderson School of Management &amp; BS (Bachelor of Science) from Northwestern University.</t>
  </si>
  <si>
    <t>leonard.lee@500.co</t>
  </si>
  <si>
    <t>Head of Accelerator Operation, Global Accelerator, Global Investment</t>
  </si>
  <si>
    <t>379008-73P</t>
  </si>
  <si>
    <t>Lucia Forero</t>
  </si>
  <si>
    <t>Lucia</t>
  </si>
  <si>
    <t>Forero</t>
  </si>
  <si>
    <t>Ms. Lucia Forero serves as Regional Director, Startup Programs - Market Launch at 500 Global.</t>
  </si>
  <si>
    <t>lucia.forero@500.co</t>
  </si>
  <si>
    <t>Regional Director, Startup Programs - Market Launch</t>
  </si>
  <si>
    <t>345047-41P</t>
  </si>
  <si>
    <t>Mareme Dieng</t>
  </si>
  <si>
    <t>Mareme</t>
  </si>
  <si>
    <t>Dieng</t>
  </si>
  <si>
    <t>Ms. Mareme Dieng serves as Partner at 500 Global. She served as Lead, Market Strategy at 500 Global.</t>
  </si>
  <si>
    <t>mareme.dieng@500.co</t>
  </si>
  <si>
    <t>346171-33P</t>
  </si>
  <si>
    <t>Mei Chel Tan</t>
  </si>
  <si>
    <t>Mei</t>
  </si>
  <si>
    <t>Chel Tan</t>
  </si>
  <si>
    <t>Ms. Mei Chel Tan serves as a Partner, Group Strategy at 500 Global.</t>
  </si>
  <si>
    <t>meichel@500.co</t>
  </si>
  <si>
    <t>Partner, Group Strategy</t>
  </si>
  <si>
    <t>396179-20P</t>
  </si>
  <si>
    <t>Mohammad Khdair</t>
  </si>
  <si>
    <t>Mohammad</t>
  </si>
  <si>
    <t>Khdair</t>
  </si>
  <si>
    <t>Portfolio Manager</t>
  </si>
  <si>
    <t>Mr. Mohammad Khdair serves as a Portfolio Manager at 500 Global.</t>
  </si>
  <si>
    <t>mohammad.khdair@500.co</t>
  </si>
  <si>
    <t>66625-93P</t>
  </si>
  <si>
    <t>Neha Khera</t>
  </si>
  <si>
    <t>Neha</t>
  </si>
  <si>
    <t>Khera</t>
  </si>
  <si>
    <t>Ms. Neha Khera is a Co-Founder &amp; serves as Partner, of 500 Canada at 500 Global. Ms. Khera served as a General Partner at 2048 Ventures. She serves as a Board Observer at Frate. She also served as a Venture Partner at Panache Ventures. She also served as Senior Investment Manager at MaRS Investment Accelerator Fund. She has over ten years of experience in the high-tech and startup markets, spending the early part of her career working in various industries from software development to telecom. Before MaRS, she spent four years with Scotiabank's Business Innovation Group, spearheading the introduction of tech-based banking solutions. Before joining the IAF, she was providing research and mentorship to startups at MaRS.</t>
  </si>
  <si>
    <t>Co-Founder &amp; Partner, 500 Canada</t>
  </si>
  <si>
    <t>269630-74P</t>
  </si>
  <si>
    <t>Nicholas Davison</t>
  </si>
  <si>
    <t>Nicholas</t>
  </si>
  <si>
    <t>Davison</t>
  </si>
  <si>
    <t>Mr. Nicholas Davison serves as Director, Market Strategy at 500 Global.</t>
  </si>
  <si>
    <t>nicholas.davison@500.co</t>
  </si>
  <si>
    <t>Director, Market Strategy</t>
  </si>
  <si>
    <t>77893-12P</t>
  </si>
  <si>
    <t>Oguz Serdar</t>
  </si>
  <si>
    <t>Oguz</t>
  </si>
  <si>
    <t>Serdar</t>
  </si>
  <si>
    <t>Entrepreneur-in-Residence</t>
  </si>
  <si>
    <t>Mr. Oguz Serdar served as Entrepreneur-in-Residence, 500 Southeast Asia at 500 Emerging Europe. Mr. Serdar co-founded Limk and also served as its Chief Executive Officer. He also served as the Strategic Partner at Colendi. He also serves as Entrepreneur-in-Residence, Turkey at 500 Startups.</t>
  </si>
  <si>
    <t>Entrepreneur-in-Residence, 500 Southeast Asia</t>
  </si>
  <si>
    <t>e2vc (Former)</t>
  </si>
  <si>
    <t>342048-88P</t>
  </si>
  <si>
    <t>Oksana Vodonos</t>
  </si>
  <si>
    <t>Oksana</t>
  </si>
  <si>
    <t>Vodonos</t>
  </si>
  <si>
    <t>Ms. Oksana Vodonos serves as Associate at 500 Global. Ms. Vodonos served as Partnership Manager at 3X Capital. She is a driven and passionate professional with extensive experience in Venture Capital and Web3 industry. She excel at building strategic partnerships to drive growth and success in these industries.</t>
  </si>
  <si>
    <t>oksana.vodonos@500.co</t>
  </si>
  <si>
    <t>396200-89P</t>
  </si>
  <si>
    <t>Patricia Desentis</t>
  </si>
  <si>
    <t>Patricia</t>
  </si>
  <si>
    <t>Desentis</t>
  </si>
  <si>
    <t>Ms. Patricia Desentis serves as a Principal at 500 Global.</t>
  </si>
  <si>
    <t>patricia.desentis@500.co</t>
  </si>
  <si>
    <t>103140-91P</t>
  </si>
  <si>
    <t>Paul Yoo</t>
  </si>
  <si>
    <t>Paul</t>
  </si>
  <si>
    <t>Yoo</t>
  </si>
  <si>
    <t>Chief Financial Officer &amp; Managing Partner</t>
  </si>
  <si>
    <t>Mr. Paul Yoo serves as Chief Financial Officer &amp; Managing Partner at 500 Global. Mr. Yoo is a Finance leader with a track record of joining rapidly growing, early-stage tech companies and helping them get their act together, most recently as Controller at Ooyala. He has done BA (Bachelor of Arts) in Economics from University of California, Los Angeles (UCLA).</t>
  </si>
  <si>
    <t>paul@500.co</t>
  </si>
  <si>
    <t>260886-16P</t>
  </si>
  <si>
    <t>Pedro Vieira Ph.D</t>
  </si>
  <si>
    <t>Pedro</t>
  </si>
  <si>
    <t>Vieira</t>
  </si>
  <si>
    <t>Dr. Pedro Vieira serves as an IC Member at Shilling. He serves as a Partner at 500 Global. He holds PhD in Environmental Engineering from University of California, Berkeley.</t>
  </si>
  <si>
    <t>pvieira@shillingcapital.com</t>
  </si>
  <si>
    <t>336355-21P</t>
  </si>
  <si>
    <t>Philippe Schenk</t>
  </si>
  <si>
    <t>Schenk</t>
  </si>
  <si>
    <t>Mr. Philippe Schenk serves as Head of Investor Relations at 500 Global.</t>
  </si>
  <si>
    <t>philippe.schenk@500.co</t>
  </si>
  <si>
    <t>Head of Investor Relations</t>
  </si>
  <si>
    <t>396199-72P</t>
  </si>
  <si>
    <t>Reem Khamis</t>
  </si>
  <si>
    <t>Reem</t>
  </si>
  <si>
    <t>Khamis</t>
  </si>
  <si>
    <t>Ms. Reem Khamis serves as Investment Associate at 500 Global.</t>
  </si>
  <si>
    <t>reem.khamis@500.co</t>
  </si>
  <si>
    <t>Investment Associate</t>
  </si>
  <si>
    <t>211973-14P</t>
  </si>
  <si>
    <t>Regina Zurutuza</t>
  </si>
  <si>
    <t>Regina</t>
  </si>
  <si>
    <t>Zurutuza</t>
  </si>
  <si>
    <t>Ms. Regina Zurutuza serves as Partner at 500 Global.</t>
  </si>
  <si>
    <t>regina.zurutuza@500.co</t>
  </si>
  <si>
    <t>78683-05P</t>
  </si>
  <si>
    <t>René Lomelí Ojeda</t>
  </si>
  <si>
    <t>René</t>
  </si>
  <si>
    <t>Lomelí Ojeda</t>
  </si>
  <si>
    <t>Mr. René Lomelí Ojeda serves as Partner, 500 Latin America at 500 Global. He has helped over 100 startups scale and solve problems as part of the 500 Startups family and keeps things running smoothly at the accelerator in México City. Prior to joining 500 he facilitated 15+ Startup Weekends throughout Mexico. He loves to help others make things happen and always carries a kit of screwdrivers to repair any gadget that needs a little love and care. When not in the office he is training for his next marathon.</t>
  </si>
  <si>
    <t>rene@500.co</t>
  </si>
  <si>
    <t>88775-92P</t>
  </si>
  <si>
    <t>Rob De Heus</t>
  </si>
  <si>
    <t>Rob</t>
  </si>
  <si>
    <t>De Heus</t>
  </si>
  <si>
    <t>Mr. Rob De Heus is an Investor of 500 Global. Mr. De Heus is the Founder and serves as Chief Executive Officer at DHG Communications Network. He is an Investor of YL Ventures. He holds a degree from the University of Amsterdam.</t>
  </si>
  <si>
    <t>Hoogkarspel</t>
  </si>
  <si>
    <t>Hoogkarspel, Netherlands</t>
  </si>
  <si>
    <t>Streekweg 5</t>
  </si>
  <si>
    <t>1616 AA</t>
  </si>
  <si>
    <t>DHG Communications Network</t>
  </si>
  <si>
    <t>119166-67P</t>
  </si>
  <si>
    <t>Robert Neivert</t>
  </si>
  <si>
    <t>Neivert</t>
  </si>
  <si>
    <t>Mr. Robert Neivert serves as a Venture Partner at 500 Global. He serves as Advisor at Portal.</t>
  </si>
  <si>
    <t>+1 (408) 218-1426</t>
  </si>
  <si>
    <t>rob@500startups.com</t>
  </si>
  <si>
    <t>San Jose</t>
  </si>
  <si>
    <t>San Jose, CA</t>
  </si>
  <si>
    <t>5941 Optical Court</t>
  </si>
  <si>
    <t>Suite 100</t>
  </si>
  <si>
    <t>95138</t>
  </si>
  <si>
    <t>Co-Founder &amp; Chief Executive Officer</t>
  </si>
  <si>
    <t>Ionobell</t>
  </si>
  <si>
    <t>62598-52P</t>
  </si>
  <si>
    <t>Roland Osborne</t>
  </si>
  <si>
    <t>Roland</t>
  </si>
  <si>
    <t>Osborne</t>
  </si>
  <si>
    <t>Mr. Roland Osborne serves as Principal at 500 Global. Mr. Osborne is an Angel Investor.</t>
  </si>
  <si>
    <t>roland.osborne@500.co</t>
  </si>
  <si>
    <t>396165-70P</t>
  </si>
  <si>
    <t>Ryotaro Ishikawa</t>
  </si>
  <si>
    <t>Ryotaro</t>
  </si>
  <si>
    <t>Ishikawa</t>
  </si>
  <si>
    <t>Mr. Ryotaro Ishikawa serves as Investment Manager at 500 Global.</t>
  </si>
  <si>
    <t>ir@500.co</t>
  </si>
  <si>
    <t>Tokyo</t>
  </si>
  <si>
    <t>Tokyo, Japan</t>
  </si>
  <si>
    <t>3rd Floor, Otemachi Financial City Grand Cube</t>
  </si>
  <si>
    <t>1-9-2 Otemachi Chiyoda-ku</t>
  </si>
  <si>
    <t>100-0004</t>
  </si>
  <si>
    <t>Japan</t>
  </si>
  <si>
    <t>114031-45P</t>
  </si>
  <si>
    <t>Sanjay Singhal</t>
  </si>
  <si>
    <t>Sanjay</t>
  </si>
  <si>
    <t>Singhal</t>
  </si>
  <si>
    <t>Mr. Sanjay Singhal is the Owner &amp; serves as President at Aquanta Group. He also serves as Director at Singhal Health Foundation. Mr. Singhal Founded and served as Chief Executive Officer at Audiobooks.com. He served as an Advisor, at Field Trip Health. He is also a founding board member of the Canadian angel investment group Angel One. He serves as the Chief Executive Officer at Author's Republic. He served as a Board Member at Vello App. He is also the Owner and President of Aquanta Group. Previously he was the Chief Executive Officer of Fusenet and Chief Operating Officer of Simply Audiobooks. He serves as a Partner, in Canada at 500 Global.</t>
  </si>
  <si>
    <t>Mississauga</t>
  </si>
  <si>
    <t>Mississauga, Canada</t>
  </si>
  <si>
    <t>Ontario</t>
  </si>
  <si>
    <t>Canada</t>
  </si>
  <si>
    <t>Owner &amp; President</t>
  </si>
  <si>
    <t>Aquanta Group</t>
  </si>
  <si>
    <t>43080-04P</t>
  </si>
  <si>
    <t>Santiago Zavala</t>
  </si>
  <si>
    <t>Santiago</t>
  </si>
  <si>
    <t>Zavala</t>
  </si>
  <si>
    <t>Mr. Santiago Zavala serves as Managing Partner at 500 Global. Mr. Zavala serves as Advisor at Polymath Ventures. He serves as a Partner at 500 Startups LatAm. He serves as a Board Member at Proeza Ventures. He served as Advisor at Funnely. He serves as a Board Member at Sport Distribution Network. Previously he served as a General Partner at Mexican. vc. To date, he has made over 130 investments as part of the 500 Startups family and is an expert in Product Development. He is the Founder of Mexican.VC, Super Happy Dev House Mexico City, Startup Weekend Mexico City, and co-curator of Startup Digest SV.</t>
  </si>
  <si>
    <t>santiago@500.co</t>
  </si>
  <si>
    <t>130987-18P</t>
  </si>
  <si>
    <t>Shahril Ibrahim</t>
  </si>
  <si>
    <t>Shahril</t>
  </si>
  <si>
    <t>Ibrahim</t>
  </si>
  <si>
    <t>Mr. Shahril Ibrahim serves as Partner at 500 Southeast Asia. Mr. Ibrahim serves as Partner, Endau Capital at 500 Global. He serves as an Advisor at The Hive Southeast Asia. He was a Director of Investments of Khazanah and started the fund's presence in Silicon Valley. As a founding member and Head of Khazanah Americas, he built a strong network and platform for investments in Silicon Valley and recruited a world class team with technology, finance and investments backgrounds for evaluating technology companies. Investments included direct and fund opportunities with a focus on growth companies in enterprise, cloud, SAAS, software and consumer technologies. Over 400M USD of investments were made during his tenure. His team evaluated over 400 private companies and 100 funds per year, giving him a strong pattern recognition for opportunities and fund models. He was on the Advisory board for March Capital Partners Fund 1 and 2. His career reaches across the fields of venture capital, technology and media. As an innovator, he was the Head of technology for Boss Films and pioneered digital filmmaking and visual effects. As a technologist, he worked at NASA Ames on computer vision and autonomous flight, and has founded two Internet startups. He has a double degree in Engineering and Economics from Harvey Mudd College, and a Masters in Computer Science from the University of Southern California.</t>
  </si>
  <si>
    <t>sibrahim@sea.500.co</t>
  </si>
  <si>
    <t>Singapore</t>
  </si>
  <si>
    <t>Singapore, Singapore</t>
  </si>
  <si>
    <t>328 North Bridge Road</t>
  </si>
  <si>
    <t>Level 02-20, Raffles Hotel Arcade</t>
  </si>
  <si>
    <t>188719</t>
  </si>
  <si>
    <t>500 Southeast Asia</t>
  </si>
  <si>
    <t>269638-57P</t>
  </si>
  <si>
    <t>Shawn Chu</t>
  </si>
  <si>
    <t>Shawn</t>
  </si>
  <si>
    <t>Chu</t>
  </si>
  <si>
    <t>Mr. Shawn Chu serves as Principal, Global Investment at 500 Global.</t>
  </si>
  <si>
    <t>+886 2 2595 0206</t>
  </si>
  <si>
    <t>shawn.chu@500.co</t>
  </si>
  <si>
    <t>Principal, Global Investment</t>
  </si>
  <si>
    <t>378989-29P</t>
  </si>
  <si>
    <t>Sherilynn Ngerng</t>
  </si>
  <si>
    <t>Sherilynn</t>
  </si>
  <si>
    <t>Ngerng</t>
  </si>
  <si>
    <t>Ms. Sherilynn Ngerng serves as Investment Data Analyst at 500 Global.</t>
  </si>
  <si>
    <t>sherilynn.ngerng@500.co</t>
  </si>
  <si>
    <t>423940-69P</t>
  </si>
  <si>
    <t>Shin Dong-yeop</t>
  </si>
  <si>
    <t>Dong-yeop</t>
  </si>
  <si>
    <t>Mr. Shin Dong-yeop serves as Investment Analyst at 500 Global.</t>
  </si>
  <si>
    <t>shin.dong-yeop@500.co</t>
  </si>
  <si>
    <t>124180-12P</t>
  </si>
  <si>
    <t>Shuji Honjo Ph.D</t>
  </si>
  <si>
    <t>Shuji</t>
  </si>
  <si>
    <t>Honjo</t>
  </si>
  <si>
    <t>Dr. Shuji Honjo serves as Advisor at 500 Global. Dr. Honjo is an Angel Investor. He served as Nippon Advisor at 500 Startups. He was the Japan representative and Founder of the Tokyo office of General Atlantic. He also served as the Senior Vice President at Lehman Brothers. He also serves as the Advisor at NTT DoCoMo. He holds a Ph.D. (Doctor of Philosophy) in the field of International Studies From Waseda University, an MBA (Master of Business Administration) in Business from the University of Pennsylvania (Wharton), and a BS (Bachelor of Science) in Materials Science from the University of Tokyo. He serves as Senior Advisor at NSV Wolf Capital.</t>
  </si>
  <si>
    <t>41551-48P</t>
  </si>
  <si>
    <t>Timothy Chae</t>
  </si>
  <si>
    <t>Timothy</t>
  </si>
  <si>
    <t>Chae</t>
  </si>
  <si>
    <t>Mr. Timothy Chae serves as Managing Partner at 500 Global. He also serves as Advisor &amp; Board Member at PeopleFund. Previously he co-founded and served as Board Member, President and Chief Executive Officer at Redeemr. Tim heads up 500's South Korea fund, 500 Kimchi. A proud alumnus of Batch 3, he's trying to make American unicorns out of Korean startups. He serves as Board Member at Alongside.</t>
  </si>
  <si>
    <t>tim@500.co</t>
  </si>
  <si>
    <t>144089-47P</t>
  </si>
  <si>
    <t>Tony Wang JD</t>
  </si>
  <si>
    <t>Tony</t>
  </si>
  <si>
    <t>Wang</t>
  </si>
  <si>
    <t>Mr. Tony Wang serves as Managing Partner at 500 Global. Before Google became the massive global tech company that it is today, Tony was Managing Counsel and part of the executive management team charged with overseeing the Asia Pacific and Latin American regions. During his time there, he contributed to the growth of the regions from zero to over $2B in revenue in less than four years, including setting up Google's joint venture in China, as well as establishing Google's APAC headquarters in Singapore. He was the Founder &amp; served as General Manager at A4A. Tony then gained experience on the other side of the world when he became VP of Europe for Twitter. Tony joined Twitter when it was fewer than 100 people and helped to develop Twitter's global business model. Just before joining 500, Tony was the Chief Operating Officer at Color, the leader in digital health applying software and machine learning to deliver precision health to large populations.</t>
  </si>
  <si>
    <t>tony@500.co</t>
  </si>
  <si>
    <t>124181-92P</t>
  </si>
  <si>
    <t>Vishal Harnal</t>
  </si>
  <si>
    <t>Vishal</t>
  </si>
  <si>
    <t>Harnal</t>
  </si>
  <si>
    <t>Mr. Vishal Harnal serves as Managing Partner at 500 Southeast Asia. Mr. Harnal is a Founding Member of VC3. He also serves as Managing Partner at 500 Startups. He served as Board Member at OxfordCaps. He sources and manages 500's investments across South-East Asia. He has put behind his previous life as a founder (and then lawyer) to hunt for the region's most talented, passionate founders and promising, high-growth startups.</t>
  </si>
  <si>
    <t>vharnal@sea.500.co</t>
  </si>
  <si>
    <t>326318-68P</t>
  </si>
  <si>
    <t>Yee Shim Tan</t>
  </si>
  <si>
    <t>Yee Shim</t>
  </si>
  <si>
    <t>Tan</t>
  </si>
  <si>
    <t>Project Manager</t>
  </si>
  <si>
    <t>Ms. Yee Shim Tan serves as Investment Data Project Manager at 500 Global.</t>
  </si>
  <si>
    <t>yeeshim.tan@500.co</t>
  </si>
  <si>
    <t>Investment Data Project Manager</t>
  </si>
  <si>
    <t>201903-49P</t>
  </si>
  <si>
    <t>Yohei Sawayama</t>
  </si>
  <si>
    <t>Yohei</t>
  </si>
  <si>
    <t>Sawayama</t>
  </si>
  <si>
    <t>Managing Partner &amp; Venture Partner</t>
  </si>
  <si>
    <t>Mr. Yohei Sawayama serves as a Founding Partner at Coral Capital. Before Coral Capital, he co-founded 500 Startups Japan, where he invested in over 40 companies. Before that, he was a researcher at Nomura Securities, where he worked on tech IPOs including Gunosy ($300m), bengo4.com ($80m), FreakOut ($110m), and Voyage Group ($240m). Before Nomura, he covered the TMT sector for J.P. Morgan's investment banking division. He worked on Sony's acquisition of So-Net Entertainment for $785m, Toshiba's acquisition of Landis+Gyrfor $2.3bn (ASIAMONEY Japan Best M&amp;A 2011), and Bain Capital's acquisition of Skylark for $2.1bn. Before his career in finance, he was an engineer. He received his Bachelor's in Computer Simulation and Master's in Nuclear Engineering from the University of Tokyo. He still codes regularly and is likely the only VC to win major hackathons in Japan.</t>
  </si>
  <si>
    <t>yohei@coralcap.co</t>
  </si>
  <si>
    <t>12th Floor, Toranomon Hills Edomizaka Terrace</t>
  </si>
  <si>
    <t>2-9-1 Toranomon, Minato-ku</t>
  </si>
  <si>
    <t>105-0001</t>
  </si>
  <si>
    <t>Coral Capital</t>
  </si>
  <si>
    <t>48806-02P</t>
  </si>
  <si>
    <t>Anthony Arnerich</t>
  </si>
  <si>
    <t>Anthony</t>
  </si>
  <si>
    <t>Arnerich</t>
  </si>
  <si>
    <t>503 Partners</t>
  </si>
  <si>
    <t>Founder &amp; Managing Director</t>
  </si>
  <si>
    <t>Mr. Anthony Arnerich is the Co-Founder and serves as Managing Director at 503 Partners. He served as a Managing Partner at American Century Investments. He served as a Board Member at Rubicon.</t>
  </si>
  <si>
    <t>tarnerich@3x5partners.com</t>
  </si>
  <si>
    <t>Portland</t>
  </si>
  <si>
    <t>Portland, OR</t>
  </si>
  <si>
    <t>2540 Northeast Martin Luther King Junior Boulevard</t>
  </si>
  <si>
    <t>Oregon</t>
  </si>
  <si>
    <t>97212</t>
  </si>
  <si>
    <t>Co-Founder &amp; Managing Director</t>
  </si>
  <si>
    <t>385715-80P</t>
  </si>
  <si>
    <t>Andrew Irwin</t>
  </si>
  <si>
    <t>Andrew</t>
  </si>
  <si>
    <t>Irwin</t>
  </si>
  <si>
    <t>8090 Industries</t>
  </si>
  <si>
    <t>Mr. Andrew Irwin serves as an Investor at 8090 Industries. Before 8090, He served as an Army officer and co-founded a climate tech company. As an Army Ranger, he deployed to Afghanistan three times as part of a joint special operations task force, working across the targeting process. In addition to 8090, He currently serves as an Army Reserve Innovation Officer focused on urban and subterranean warfare. He believes in technology's power to transform these sectors, bringing a perspective formed from experiences as a builder and ground-level user. He holds a B.S. in Systems Engineering from the United States Military Academy at West Point.</t>
  </si>
  <si>
    <t>110 East 25th Street</t>
  </si>
  <si>
    <t>10010</t>
  </si>
  <si>
    <t>348667-66P</t>
  </si>
  <si>
    <t>Emma Hessler</t>
  </si>
  <si>
    <t>Emma</t>
  </si>
  <si>
    <t>Hessler</t>
  </si>
  <si>
    <t>Ms. Emma Hessler serves as Chief of Staff and head of Operations at 8090 Industries. Before joining 8090 Industries, she served in investor relations and financial operations at various funds, giving her the ability to transition seamlessly from front-office to back office as needed. She honed her institutional knowledge at long/short credit funds including Marathon Asset Management and DW Partners. She then moved into the venture sphere, working at Firstmark Capital, an early-stage venture capital firm that led investments in companies such as Pinterest, Airbnb, DraftKings, Shopify, and Discord.</t>
  </si>
  <si>
    <t>emma@8090industries.com</t>
  </si>
  <si>
    <t>Chief of Staff, Head of Operations</t>
  </si>
  <si>
    <t>318103-93P</t>
  </si>
  <si>
    <t>Filip Vurdelja</t>
  </si>
  <si>
    <t>Filip</t>
  </si>
  <si>
    <t>Vurdelja</t>
  </si>
  <si>
    <t>Head &amp; Partner</t>
  </si>
  <si>
    <t>Mr. Filip Vurdelja serves as Partner and Head of Capital Markets &amp;Investor Relations at 8090 Industries. He spent 9 years at BlackRock where he was a Vice President. He his career at Kansai Helios. He received a Master of Science in Finance from University of Rochester and a Bachelor of Business Administration in Finance from Stetson University.</t>
  </si>
  <si>
    <t>filip@8090industries.com</t>
  </si>
  <si>
    <t>Partner and Head of Capital Markets &amp;Investor Relations</t>
  </si>
  <si>
    <t>342346-96P</t>
  </si>
  <si>
    <t>Garuth Acharya</t>
  </si>
  <si>
    <t>Garuth</t>
  </si>
  <si>
    <t>Acharya</t>
  </si>
  <si>
    <t>Mr. Garuth Acharya serves as an Investor at 8090 Industries. Before 8090, He spent time in operations and strategy roles at Amazon (Project Kuiper), SpaceX, Blue Origin, the Department of Defense, and GE. He has lived and worked across the world: wrestling rattlesnakes in Texas, dune bashing in the Middle East, and on Silicon Beach building rockets destined for Mars. Growing up the son of a computer science professor, he's been surrounded by quantum computing, AI, and machine learning since he was a kid. He believes in deep tech because he's seen it change lives, from Starlink providing internet to victims in war zones to leveraging innovative grid systems to electrify Sub-Saharan Africa. He holds a B.S. in nuclear engineering and mechanical engineering from Penn State, an M.S. in systems engineering from Cornell, and an MBA from Wharton.</t>
  </si>
  <si>
    <t>gacharya@8090industries.com</t>
  </si>
  <si>
    <t>334399-87P</t>
  </si>
  <si>
    <t>Grant Brown</t>
  </si>
  <si>
    <t>Grant</t>
  </si>
  <si>
    <t>Brown</t>
  </si>
  <si>
    <t>Mr. Grant Brown serves as Principal at 8090 Industries. He served as CVC Investment Executive at Williams Ventures. He is a member of 8090's investment team focused on Industrial Decarbonization across Energy, Oil &amp; Gas, Transportation, and Climate Mitigation. Before 8090, He spent time in the Energy sector with Williams Companies. He held roles within Engineering, Operations, Trading, and Business Development. In his last role, he led Williams' CVC Fund which closed investments in companies in the Emissions Monitoring, Emissions Certification, Pipeline Integrity, and Hydrogen spaces. He has worked across the country on pipeline assets from Texas to Louisiana to Pennsylvania - and has seen the many efforts that construct the energy economy of the present day. He has a passion for integrating innovative technologies and business practices into the existing infrastructure of our world. He is motivated to usher innovative ideas to the industrial giants that support our standard of living and is looking to align promising new strategies within the mission of the incumbents. By connecting ground-breaking technologies with the world, He hopes to create a bright and sustainable future for communities around the world. He holds a B.S. in Mechanical Engineering from Rose-Hulman Institute of Technology and an MBA from the University of Texas - McCombs School of Business. He was a TEX-E Innovation Fellow in collaboration with Greentown Labs and MIT while in Business School, and is also a licensed Engineer in Training (EIT) in the State of Texas.</t>
  </si>
  <si>
    <t>+1 (512) 557-5515</t>
  </si>
  <si>
    <t>grant@8090industries.com</t>
  </si>
  <si>
    <t>308397-07P</t>
  </si>
  <si>
    <t>Haluk Dincer</t>
  </si>
  <si>
    <t>Haluk</t>
  </si>
  <si>
    <t>Dincer</t>
  </si>
  <si>
    <t>Mr. Haluk Dincer serves as EMEA Partner at 8090 Industries. He serves as Advisory Board Member at Sabancı Ventures. He served as Analyst at General Atlantic. He focuses on investments in the firm's Technology sector. Before joining General Atlantic, he was a 2021 General Atlantic Summer Analyst. He serves as the EMEA Partner of 8090 Industries. He primary focus is expanding 8090's footprint in EMEA, by building partnerships with families and corporate strategics, as well as founders of disruptive technology companies. His passion for decarbonization is rooted in his experience growing up in a developing economy and witnessing the importance of having affordable and clean energy security. Born and raised in Turkey, he realizes the climate crisis is both the greatest challenge of today's generation and the greatest opportunity for collaboration between all stakeholders. Prior to joining 8090 Industries, he was a technology investor at General Atlantic, where he focused on investments in B2B SaaS companies, primarily in DevOps, DataOps, and MLOps. He graduated from Harvard University with a B.A. in Economics.</t>
  </si>
  <si>
    <t>haluk@8090industries.com</t>
  </si>
  <si>
    <t>EMEA Partner</t>
  </si>
  <si>
    <t>385713-73P</t>
  </si>
  <si>
    <t>Ishan Meswani</t>
  </si>
  <si>
    <t>Ishan</t>
  </si>
  <si>
    <t>Meswani</t>
  </si>
  <si>
    <t>Mr. Ishan Meswani serves as an Investor at 8090 Industries. He is a member of 8090's investment team focused on decarbonization. Before 8090, He worked in operating and investing roles across India and the US. As a consultant at McKinsey &amp; Company in New York, He advised various corporations across a wide range of industries on their business strategies and also conducted multiple due diligence analyses for cleantech firms. While in India, He held multiple roles at Reliance Industries Limited, working out of the Office of the Chairman. He worked on numerous corporate venture deals, including the acquisition, scale-up, and certification of a futuristic personal rapid transit system to solve urban mobility challenges. He also formulated strategy and developed analytical tools for the Mumbai Indians during the IPL player auction (India's largest franchise sports league) and contributed to the launch of Reliance Jio, India's largest 4G telecom network. Outside of Reliance, He also worked on the creation of a billion-dollar infrastructure and investment fund, leading the project team that put together the pitch decks and investor presentations and also identified, developed, and evaluated potential investment opportunities. He graduated from the Massachusetts Institute of Technology (MIT) with a B.S. in mechanical engineering and also received an MBA from Harvard Business School (HBS). He has always been passionate about climate change and was the first student to complete a minor in environment and sustainability at MIT.</t>
  </si>
  <si>
    <t>165942-55P</t>
  </si>
  <si>
    <t>Kerem Ozmen</t>
  </si>
  <si>
    <t>Kerem</t>
  </si>
  <si>
    <t>Ozmen</t>
  </si>
  <si>
    <t>Chief Executive Officer &amp; Founder</t>
  </si>
  <si>
    <t>Mr. Kerem Ozmen is a Co-Founder and serves as a Managing Partner at 8090 Partners. He serves as a Board Member at Regent. He also serves as Principal and Managing Director at Ozmen Ventures. He served as Managing Director at K50 Ventures. He also serves as an Advisory Board Member at Reno Seed Fund and a Board Member at Armada. He has worked in many diverse fields, including Telemedicine, Mechanical Engineering, and Information Technologies. His assistance and experience with Program Management have given him keen insight into key aspects of company organization and project execution. Working alongside parents Fatih and Eren Ozmen, he has gained invaluable knowledge on strategic planning, decision making, and business development for a variety of business areas around the world. He is a Co-Founder and serves as Chief Executive Officer at 8090 Industries. He holds a Degree from the University of Nevada, Reno.</t>
  </si>
  <si>
    <t>kerem@8090partners.com</t>
  </si>
  <si>
    <t>Los Angeles</t>
  </si>
  <si>
    <t>Los Angeles, CA</t>
  </si>
  <si>
    <t>Co-Founder &amp; Managing Partner</t>
  </si>
  <si>
    <t>8090 Partners</t>
  </si>
  <si>
    <t>84560-50P</t>
  </si>
  <si>
    <t>Rayyan Islam</t>
  </si>
  <si>
    <t>Rayyan</t>
  </si>
  <si>
    <t>Islam</t>
  </si>
  <si>
    <t>Mr. Rayyan Islam is a Co-Founder &amp; serves as a General Partner at 8090 Industries. He is a Co-Founder and serves as a Board Member at Gold H2. He served as a Venture Partner at Takeoff Capital. He serves as a Venture Partner at Romulus Capital. He co-founded &amp; served as Chief Executive Officer at Emergence Industries. He serves as a Board Member at Cemvita Factory. He served as Vice President of Products at Beacon. He also serves as an Associate at Romulus Capital. He joined Romulus Capital in 2014 and has been involved in sourcing investments and working with portfolio companies. He is particularly interested in innovation in consumer, software, sustainability, data, artificial intelligence, and aerospace. From Austin, TX, he is passionate about helping grow the thriving Austin startup ecosystem. He is an entrepreneur who helped take to market the world's first electronic hookah, scaling it to global distribution and nearly $10M in annual revenue in just two years while in college. He's also a co-founder of a stealth artificial intelligence startup. Previously, he spent time at Deloitte doing strategy consulting in their emerging markets practice as well as with Lazard and Deloitte Corporate Finance doing middle-market investment banking. He moved into venture capital to help other entrepreneurs build disruptive, valuable companies at the early stage, first working with Wasabi Ventures as an analyst and more recently as a venture fellow with 406 Ventures. Build disruptive e-valueable companies at the early stage, first working with Wasabi Ventures as an analyst and more recently as a venture fellow with 406 Ventures. In his free time.</t>
  </si>
  <si>
    <t>+1 (516) 603-9357</t>
  </si>
  <si>
    <t>rayyan@8090industries.com</t>
  </si>
  <si>
    <t>Boston</t>
  </si>
  <si>
    <t>Boston, MA</t>
  </si>
  <si>
    <t>101 Arch Street</t>
  </si>
  <si>
    <t>Suite 1762</t>
  </si>
  <si>
    <t>Massachusetts</t>
  </si>
  <si>
    <t>02110</t>
  </si>
  <si>
    <t>+1 (516) 750-0083</t>
  </si>
  <si>
    <t>8090 Partners (Former)</t>
  </si>
  <si>
    <t>199248-94P</t>
  </si>
  <si>
    <t>Wes Mendenhall</t>
  </si>
  <si>
    <t>Wes</t>
  </si>
  <si>
    <t>Mendenhall</t>
  </si>
  <si>
    <t>Mr. Wes Mendenhall serves as Managing Partner at 8090 Industries. He served as Principal at Fireman Capital Partners. Before joining 8090 Industries, He spent 14 years at Bank of America focused on the largest global family offices, helping build and lead various new platforms across global investment banking, global markets, and global wealth management. 
Before his start in the corporate world, He served 4 years of active duty in the US Army and currently serves on multiple boards and advisory committees with a keen focus on helping form strategic partnerships across sectors, industries, and geographic regions.</t>
  </si>
  <si>
    <t>wes@8090industries.com</t>
  </si>
  <si>
    <t>436197-52P</t>
  </si>
  <si>
    <t>Chetan Gandhi</t>
  </si>
  <si>
    <t>Chetan</t>
  </si>
  <si>
    <t>Aarti Industries</t>
  </si>
  <si>
    <t>Chief Financial Officer &amp; Chief Risk Officer</t>
  </si>
  <si>
    <t>Mr. Chetan Gandhi serves as Chief Financial Officer &amp; Chief Risk Officer at Aarti Industries.</t>
  </si>
  <si>
    <t>+91 (0)22 6797 6666</t>
  </si>
  <si>
    <t>chetan.gandhi@aarti-industries.com</t>
  </si>
  <si>
    <t>Mumbai</t>
  </si>
  <si>
    <t>Mumbai, India</t>
  </si>
  <si>
    <t>71, Udyog Kshetra, 2nd Floor</t>
  </si>
  <si>
    <t>Mulund Goregaon Link Road, Mulund (West)</t>
  </si>
  <si>
    <t>Maharashtra</t>
  </si>
  <si>
    <t>400080</t>
  </si>
  <si>
    <t>India</t>
  </si>
  <si>
    <t>+91 (0)22 2565 3234</t>
  </si>
  <si>
    <t>324974-71P</t>
  </si>
  <si>
    <t>Hrisheekesh Sabnis</t>
  </si>
  <si>
    <t>Hrisheekesh</t>
  </si>
  <si>
    <t>Sabnis</t>
  </si>
  <si>
    <t>Head &amp; Vice President</t>
  </si>
  <si>
    <t>Mr. Hrisheekesh Sabnis serves as Head Business Development (Lifesciences) &amp; Vice President of Global Marketing at Aarti Industries.</t>
  </si>
  <si>
    <t>+91 (0)26 0240 0366</t>
  </si>
  <si>
    <t>hrisheekesh.sabnis@aarti-industries.com</t>
  </si>
  <si>
    <t>Vapi</t>
  </si>
  <si>
    <t>Vapi, India</t>
  </si>
  <si>
    <t>Plot No.-801/23, G.I.D.C Estate, Phase III</t>
  </si>
  <si>
    <t>District - Valsad</t>
  </si>
  <si>
    <t>Gujarat</t>
  </si>
  <si>
    <t>396195</t>
  </si>
  <si>
    <t>Head Business Development (Lifesciences) &amp; Vice President of Global Marketing</t>
  </si>
  <si>
    <t>100524-34P</t>
  </si>
  <si>
    <t>Mirik Gogri</t>
  </si>
  <si>
    <t>Mirik</t>
  </si>
  <si>
    <t>Gogri</t>
  </si>
  <si>
    <t>Mr. Mirik Gogri serves as a Board Member at UnderDOGS. He serves as Director at Aarti Industries. He serves as an Advisory Board Member at BiofuelCircle. He is the head of Corporate Strategy for Aarti Industries Ltd. He has experience in overseeing corporate strategies, sustainable technologies, and commercial execution. He is also associated with Spectrum Impact which is working with companies and organizations across the world to find solutions for Global Climate Goals. To achieve this, he has collaborated with companies operating in various sectors such as energy-efficient appliances, enhanced weathering for carbon capture, hydroponic farming, and aneutronic nuclear fusion, among others. He is the co-founder of Humming Whale Product Innovations and Plancess Edu Solutions. Currently, he is also leading the establishment of a world-class Research and Development Center with 300 scientists and researchers. He is an IIT Bombay alumni with a dual degree in Metallurgical Engineering and Material Science. He has also pursued courses in Energy Innovation and Emerging Technologies from Stanford University. He serves as Advisor at Planet Electric.</t>
  </si>
  <si>
    <t>165995-47P</t>
  </si>
  <si>
    <t>Rajendra Gogri</t>
  </si>
  <si>
    <t>Rajendra</t>
  </si>
  <si>
    <t>Board Member &amp; Chairman</t>
  </si>
  <si>
    <t>Mr. Rajendra Gogri serves as Chairman &amp; Managing Director at Aarti Industries. Mr. Gogri also serves as Executive at Spectrum Impact. He serves as a Board Member at Gala Precision Engineering. He also serves as Director at Aar Em Ventures. He ascended to the position of Chairman in 2012, nearly two decades after having been appointed as the Managing Director of the company. He has been associated with the company since its inception. A rank holder from UDCT, Mumbai, he possesses a master's degree in chemical engineering from the USA. Along with Shri Chandrakant V. Gogri, he has played a pivotal role in AIL acquiring its present stature. In addition to technical acumen, he possesses a keen understanding of the financial and commercial aspects of the chemical industry. Like Shri Chandrakant V. Gogri, he also was conferred with the prestigious 'Distinguished Alumnus Award' from UDCT in the year 1995 for his entrepreneurial achievements. He was recently honored with the 'Hurun Most Respected Entrepreneur of the Year - India' award in the year 2019. In the same year, he was also presented by the Indian Chemical Council with the 'Lala Shriram National Award for leadership in the chemical industry.</t>
  </si>
  <si>
    <t>rajendra@aarti-industries.com</t>
  </si>
  <si>
    <t>Chairman &amp; Managing Director</t>
  </si>
  <si>
    <t>282416-14P</t>
  </si>
  <si>
    <t>Rashesh Gogri</t>
  </si>
  <si>
    <t>Rashesh</t>
  </si>
  <si>
    <t>Board Member &amp; Managing Director</t>
  </si>
  <si>
    <t>Mr. Rashesh C. Gogri serves as Vice Chairman &amp; Managing Director at Aarti Industries. A Whole Time Director of the company since June 1997, he was appointed as the Vice Chairman and Managing Director of the company in 2012. A production engineer from Mumbai University, he has played a key role in the growth of various strategic business units in the chemical, pharma and personal care segments.</t>
  </si>
  <si>
    <t>rashesh.gogri@aarti-industries.com</t>
  </si>
  <si>
    <t>Vice Chairman &amp; Managing Director</t>
  </si>
  <si>
    <t>399499-57P</t>
  </si>
  <si>
    <t>Suyog Kotecha</t>
  </si>
  <si>
    <t>Suyog</t>
  </si>
  <si>
    <t>Kotecha</t>
  </si>
  <si>
    <t>Board Member &amp; Chief Executive Officer</t>
  </si>
  <si>
    <t>Mr. Suyog Kotecha serves as Chief Executive Officer at Aarti Industries. He has over two decades of experience in the chemical and energy sectors, specialising in strategy, business development, and performance transformation. He most recently led Strategy and New Business initiatives for the Petrochemicals business at Reliance Industries Limited. Prior to this, he was a Partner at McKinsey &amp; Company in Mumbai, leading the Chemicals Practice and advising on strategic growth. He has gained valuable experience in the chemicals and oil and gas sectors during his five years in the Netherlands and Singapore. At Sulzer Chemtech, he was a Business Development Lead, managing refinery and petrochemical clients across the Asia-Pacific region. He began his career at Shell Global Solutions, developing technology for large-capacity LNG plants. His academic credentials include a Bachelor's in Chemical Engineering from the Institute of Chemical Technology (formerly UDCT), Mumbai, a Master's in Chemical Engineering from the Universiteit Twente, Netherlands, and an MBA from the Indian School of Business (ISB), Hyderabad.</t>
  </si>
  <si>
    <t>suyog.kotecha@aarti-industries.com</t>
  </si>
  <si>
    <t>Chief Executive Officer &amp; Board Member</t>
  </si>
  <si>
    <t>229060-45P</t>
  </si>
  <si>
    <t>Emily McMahan</t>
  </si>
  <si>
    <t>Emily</t>
  </si>
  <si>
    <t>McMahan</t>
  </si>
  <si>
    <t>Academy Investor Network</t>
  </si>
  <si>
    <t>Ms. Emily McMahan serves as General Partner at Academy Investor Network. She is a Co-Founder and serves as General Partner at AIN Ventures. She also served as Venture Partner at Scout Ventures. She is currently the Director of Programs at the Common Mission Project, where she is creating an international network of mission-driven entrepreneurs solving the critical challenges of our time. Previously, she founded and served as the Executive Director of Capitol Post, an incubator for military veterans to start and grow businesses. Before starting Capitol Post, she was a partner and CFO at a successful startup technology firm serving the federal government. She holds an MBA from the University of Virginia's Darden School of Business and a Bachelor of Science degree from the United States Military Academy at West Point.</t>
  </si>
  <si>
    <t>+1 (312) 532-4307</t>
  </si>
  <si>
    <t>emily@academyinvestor.com</t>
  </si>
  <si>
    <t>Attention AIN Ventures 430 West</t>
  </si>
  <si>
    <t>14th Street</t>
  </si>
  <si>
    <t>10014</t>
  </si>
  <si>
    <t>229057-39P</t>
  </si>
  <si>
    <t>Sherman Williams</t>
  </si>
  <si>
    <t>Sherman</t>
  </si>
  <si>
    <t>Williams</t>
  </si>
  <si>
    <t>Mr. Sherman Williams is a Co-Founder at Academy Investor Network. He serves as Board Member at Bright Uro. He is a Co-Founder and serves as Managing Partner at AIN Ventures. He also served as Venture Partner at Scout Ventures. Prior to his career in finance, he was a Naval Intelligence Officer. He holds an MBA from the University of Chicago and a Bachelor of Science degree from the United States Naval Academy.</t>
  </si>
  <si>
    <t>sherman@academyinvestor.com</t>
  </si>
  <si>
    <t>185469-58P</t>
  </si>
  <si>
    <t>Wes Blackwell</t>
  </si>
  <si>
    <t>Blackwell</t>
  </si>
  <si>
    <t>Founder &amp; Senior Advisor</t>
  </si>
  <si>
    <t>Mr. Wes Blackwell serves as Managing Director at Booz Allen Hamilton. He also served as Managing Director at Booz Allen Ventures. Mr. Blackwell is also Co-Founder of Academy Investor Network and currently serves as Senior Leadership Advisor there. He is a current Board Observer at Hidden Level and Reveal Technology. He previously served as Board Director for Tomahawk Robotics, DeepSig, Arena Labs, Cyr3con, Agnostiq, Onsights (formerly Anno AI), and Trueface. As well as previously serving as a Board Observer at Agnostiq and Anametric. He is an experienced investor, board director, and advisor, specializing in investing in founders from the intelligence, research, and military communities. The practice, evaluation, and development of leadership have been at the core of his career. While on active duty, he flew naval helicopters, leading numerous detachments and combat deployments worldwide. While on staff at the US Naval Academy, he helped lead their admissions and marketing efforts, as well as serving as an adjunct professor, teaching freshman leadership and senior aviation courses. Today, he mentors and advocates for transitioning veterans and is very active in the veteran entrepreneurial community nationally. As an Advisor to DataTribe, a DC-based startup studio, he also assisted founders in building cybersecurity, analytics, and big data companies. Prior to DataTribe, he led enterprise implementation, account management, and tech support at LiveSafe, a venture-backed mobile technology and SaaS company. He has also scaled a private equity-backed company, which specialized in commercial real estate and aviation services. He is a veteran of the U.S. Navy, where he flew naval helicopters for almost 12 years. As a Partner at Scout Ventures, an early-stage venture capital firm, he ran their Washington, D.C. office. He is an active or has formerly been a board member in companies doing machine learning, computer vision, quantum technologies, cyber, and robotic software. He also focuses on identifying hard-to-access founders that are creating over-the-horizon technologies that make the world a better, safer place. He holds a Degree from the U.S. Naval Academy and received his MBA from the University of Virginia Darden School of Business.</t>
  </si>
  <si>
    <t>+1 (202) 898-3300</t>
  </si>
  <si>
    <t>wes_blackwell@bah.com</t>
  </si>
  <si>
    <t>Washington</t>
  </si>
  <si>
    <t>Washington, DC</t>
  </si>
  <si>
    <t>901 15th Street North West</t>
  </si>
  <si>
    <t>Suite 400</t>
  </si>
  <si>
    <t>District of Columbia</t>
  </si>
  <si>
    <t>20005</t>
  </si>
  <si>
    <t>Managing Director</t>
  </si>
  <si>
    <t>Booz Allen Hamilton</t>
  </si>
  <si>
    <t>186517-45P</t>
  </si>
  <si>
    <t>Derek Higashihara</t>
  </si>
  <si>
    <t>Higashihara</t>
  </si>
  <si>
    <t>Acario Innovation</t>
  </si>
  <si>
    <t>Mr. Derek Higashihara serves as Principal at Acario Innovation.</t>
  </si>
  <si>
    <t>+1 (650) 431-8143</t>
  </si>
  <si>
    <t>derek@acarioinnovation.com</t>
  </si>
  <si>
    <t>Menlo Park</t>
  </si>
  <si>
    <t>Menlo Park, CA</t>
  </si>
  <si>
    <t>535 Middlefield Road</t>
  </si>
  <si>
    <t>Suite 180</t>
  </si>
  <si>
    <t>94025</t>
  </si>
  <si>
    <t>425080-00P</t>
  </si>
  <si>
    <t>Kenji Maeda</t>
  </si>
  <si>
    <t>Kenji</t>
  </si>
  <si>
    <t>Maeda</t>
  </si>
  <si>
    <t>Mr. Kenji Maeda serves as Chief Executive Officer at Acario Innovation.</t>
  </si>
  <si>
    <t>kmaeda@acarioinnovation.com</t>
  </si>
  <si>
    <t>378297-10P</t>
  </si>
  <si>
    <t>Nigel Carr</t>
  </si>
  <si>
    <t>Nigel</t>
  </si>
  <si>
    <t>Carr</t>
  </si>
  <si>
    <t>Mr. Nigel Carr serves as Director at Acario Innovation.</t>
  </si>
  <si>
    <t>nigel@acarioinnovation.com</t>
  </si>
  <si>
    <t>378296-74P</t>
  </si>
  <si>
    <t>Shinji Amaha</t>
  </si>
  <si>
    <t>Shinji</t>
  </si>
  <si>
    <t>Amaha</t>
  </si>
  <si>
    <t>Mr. Shinji Amaha serves as Vice President at Acario Innovation.</t>
  </si>
  <si>
    <t>amaha@acarioinnovation.com</t>
  </si>
  <si>
    <t>378297-28P</t>
  </si>
  <si>
    <t>Yu Kawasaki</t>
  </si>
  <si>
    <t>Yu</t>
  </si>
  <si>
    <t>Kawasaki</t>
  </si>
  <si>
    <t>Mr. Yu Kawasaki serves as Associate at Acario Innovation.</t>
  </si>
  <si>
    <t>yu@acarioinnovation.com</t>
  </si>
  <si>
    <t>12936-97P</t>
  </si>
  <si>
    <t>Frank Castellucci JD</t>
  </si>
  <si>
    <t>Frank</t>
  </si>
  <si>
    <t>Castellucci</t>
  </si>
  <si>
    <t>Accomplice VC</t>
  </si>
  <si>
    <t>General Counsel &amp; Partner</t>
  </si>
  <si>
    <t>Mr. Frank Castellucci serves as General Counsel &amp; Partner at Accomplice VC. He served as General Counsel &amp; Partner at Atlas Venture. He was responsible for all legal affairs including the structure, negotiation and execution of investments, fund administration and general corporate matters. Prior to joining Atlas in 2004, Frank was an associate at Testa Hurwitz &amp; Thibeault, where he practiced general corporate law and advised both private and public companies in the high technology and life sciences industries as well as venture capital firms in all areas of partnership, corporate,and general securities law. A member of the Massachusetts Bar Association and an active participant in the NVCA's General Counsel Group, Frank received a JD from Boston College Law School and a BA in economics and history from Bowdoin College.</t>
  </si>
  <si>
    <t>+1 (617) 588-2600</t>
  </si>
  <si>
    <t>frank@accomplice.co</t>
  </si>
  <si>
    <t>56 Wareham Street</t>
  </si>
  <si>
    <t>Floor 3</t>
  </si>
  <si>
    <t>02118</t>
  </si>
  <si>
    <t>12937-33P</t>
  </si>
  <si>
    <t>Jeffrey Fagnan</t>
  </si>
  <si>
    <t>Fagnan</t>
  </si>
  <si>
    <t>Mr. Jeffrey Fagnan is a Co-Founder at Spearhead. He is a Co-Founder of Maiden Lane. He serves as a Partner at Accomplice VC. He is also the founder of Spearhead, Maiden Lane, BOSS (Boston Syndicate), TUGG (Technology Underwriting Greater Good), TINT, and REV Boston. He served as a Board Member at Carbon Black. He served as a Board Member at WellFound. He is well known as a founding investor and has worked with most of his portfolio since inception. His current and past portfolios include AngelList, Coinlist, Datacamp, Freshbooks, Hopper, Integral Ad Science, Orchard, Patreon, PillPack, SecurityScorecard, Teachable, Veracode, Whoop, and ZOE. He served as a Board Member at Recorded Future. He holds an MBA (Master of Business Administration) from the University of Rochester and a BS (Bachelor of Science) from the University of Alaska.</t>
  </si>
  <si>
    <t>+1 (617) 277-4150</t>
  </si>
  <si>
    <t>90 Gold Street</t>
  </si>
  <si>
    <t>94133</t>
  </si>
  <si>
    <t>Maiden Lane</t>
  </si>
  <si>
    <t>74105-11P</t>
  </si>
  <si>
    <t>John Capodilupo</t>
  </si>
  <si>
    <t>John</t>
  </si>
  <si>
    <t>Capodilupo</t>
  </si>
  <si>
    <t>Mr. John Capodilupo serves as President at Synex Medical. He is a Co-Founder &amp; serves as Chief Product Officer at Throne. He serves as Investor at Accomplice VC. He co-founded and served as Chief Technology Officer &amp; Board Member of Whoop. He also serves as a Board observer at Onc. AI. He heads our analytics and software development groups. He left Harvard early to change the world with his technical proficiencies. He holds a degree from Harvard University ()</t>
  </si>
  <si>
    <t>+1 (617) 670-1074</t>
  </si>
  <si>
    <t>john.capodilupo@synexmedical.com</t>
  </si>
  <si>
    <t>Toronto</t>
  </si>
  <si>
    <t>Toronto, Canada</t>
  </si>
  <si>
    <t>123 Front Street West</t>
  </si>
  <si>
    <t>Suite 1701</t>
  </si>
  <si>
    <t>M5J 2T3</t>
  </si>
  <si>
    <t>Synex Medical</t>
  </si>
  <si>
    <t>320452-84P</t>
  </si>
  <si>
    <t>Jonathan Geenty</t>
  </si>
  <si>
    <t>Jonathan</t>
  </si>
  <si>
    <t>Geenty</t>
  </si>
  <si>
    <t>Mr. Jonathan Geenty serves as an Accomplice Blockchain at Accomplice VC. His primary focus is pre-seed and seed investments in the blockchain industry. He currently serves on the Board of Directors at CoinList.</t>
  </si>
  <si>
    <t>+1 (617) 701-6059</t>
  </si>
  <si>
    <t>jon@accomplice.co</t>
  </si>
  <si>
    <t>Accomplice Blockchain</t>
  </si>
  <si>
    <t>64117-54P</t>
  </si>
  <si>
    <t>Rob Shavell</t>
  </si>
  <si>
    <t>Shavell</t>
  </si>
  <si>
    <t>Mr. Rob Shavell is a Co-Founder and serves as Chief Executive Officer at Abine. He serves as Partner at Accomplice VC. He serves as Venture Advisor at Impellent Ventures. He is the Founder and serves as Chairman at Intelligent Relations. He serves as Board Member at IronVest. His commentary on the business of privacy and privacy legislation and trends has been featured in the Wall Street Journal, New York Times, The Telegraph, NPR, NBC, Fox, and ABC, among other publications. Rob is a vocal supporter of a for-profit Privacy Services ecosystem as well as of legislative reforms like the California Privacy Rights Act (CPRA) and the Delete Act, pushing for a future where a level of fairness, privacy, and control over one's digital footprint isn't just a preference, but a right. Before co-founding DeleteMe in 2010, Rob was an analyst at Datamonitor, an associate at SOFTBANK VC, and a startup entrepreneur who helped develop new compliance and identity products at LRN and Identity Force. A Cornell University alumnus, Rob has grown DeleteMe's privacy services to process over 125 million privacy profile removal requests annually.</t>
  </si>
  <si>
    <t>+1 (617) 345-0024</t>
  </si>
  <si>
    <t>rob@abine.com</t>
  </si>
  <si>
    <t>Somerville</t>
  </si>
  <si>
    <t>Somerville, MA</t>
  </si>
  <si>
    <t>18 Bow Street</t>
  </si>
  <si>
    <t>Suite 55</t>
  </si>
  <si>
    <t>02143</t>
  </si>
  <si>
    <t>Abine</t>
  </si>
  <si>
    <t>40493-98P</t>
  </si>
  <si>
    <t>Samuel Clemens</t>
  </si>
  <si>
    <t>Samuel</t>
  </si>
  <si>
    <t>Clemens</t>
  </si>
  <si>
    <t>Mr. Samuel Clemens is a Co-Founder and serves as a Co-Chief Executive Officer &amp; Board Member at Reprise. He serves as Board Member at Appcues. He co-founded and served as the Chief Product Officer at InsightSquared. He serves as a Venture Partner at Accomplice VC. Before InsightSquared, he was VP Product at HubSpot, VP Product at BzzAgent, and on the initial team at Elance.com. He served as Board Member at Privy. His background also includes venture capital with Greylock Partners, the Algorithms group at Amazon.com, and management consulting with Booz Allen Hamilton. Mr. Clemens has an MBA from Harvard Business School and a B.S. in Applied Math from Yale.</t>
  </si>
  <si>
    <t>+1 (617) 671-0100</t>
  </si>
  <si>
    <t>sam@getreprise.com</t>
  </si>
  <si>
    <t>68 Harrison Avenue</t>
  </si>
  <si>
    <t>Suite 605 PMB 72297</t>
  </si>
  <si>
    <t>02111</t>
  </si>
  <si>
    <t>Co-Founder, Chief Executive Officer &amp; Board Member</t>
  </si>
  <si>
    <t>Reprise</t>
  </si>
  <si>
    <t>73863-91P</t>
  </si>
  <si>
    <t>Sarah Downey JD</t>
  </si>
  <si>
    <t>Sarah</t>
  </si>
  <si>
    <t>Downey</t>
  </si>
  <si>
    <t>Ms. Sarah Downey serves as Operating Partner at Accomplice VC. She is the Founder of Yubari. She served as the Head of Marketing &amp; PR at Ovuline. She serves s Board Member at TUGG. She leads marketing and public relations for Ovuline. A a lawyer with expertise in data privacy, she earned her J.D. from the University of Connecticut School of Law and her B.A in Psychology from Hamilton College. She is an Angel Investor.</t>
  </si>
  <si>
    <t>sarah@accomplice.co</t>
  </si>
  <si>
    <t>Yubari</t>
  </si>
  <si>
    <t>15354-37P</t>
  </si>
  <si>
    <t>Travis MacInnes</t>
  </si>
  <si>
    <t>Travis</t>
  </si>
  <si>
    <t>MacInnes</t>
  </si>
  <si>
    <t>Mr. Travis MacInnes serves as Chief Financial Officer at Accomplice VC. He served as a Vice President of Finance at Berkshire Partners. He joined Berkshire Partners in 2011. Prior to Berkshire, he worked at Gödel Capital. Previously, Travis, a CPA, worked for Alta Communications, Boston Ventures Management, the predecessor of BV Investment Partners, and PricewaterhouseCoopers.</t>
  </si>
  <si>
    <t>travis@accomplice.co</t>
  </si>
  <si>
    <t>44624-80P</t>
  </si>
  <si>
    <t>Zoe Anetakis</t>
  </si>
  <si>
    <t>Zoe</t>
  </si>
  <si>
    <t>Anetakis</t>
  </si>
  <si>
    <t>Executive &amp; Investor Relations</t>
  </si>
  <si>
    <t>Ms. Zoe Anetakis serves as Executive, Marketing &amp; Investor Relations at Accomplice VC. She served as Director of Investor Relations at Atlas Venture. She holds a Bachelor of Arts degree in Economics from Emory University (2002).</t>
  </si>
  <si>
    <t>+1 (617) 588-2660</t>
  </si>
  <si>
    <t>zoe@accomplice.co</t>
  </si>
  <si>
    <t>Executive, Marketing &amp; Investor Relations</t>
  </si>
  <si>
    <t>227570-41P</t>
  </si>
  <si>
    <t>Alan Simon JD</t>
  </si>
  <si>
    <t>Alan</t>
  </si>
  <si>
    <t>Simon</t>
  </si>
  <si>
    <t>Acequia Capital</t>
  </si>
  <si>
    <t>Dr. Alan Simon serves as Chief Executive Officer and Manager at North America Closeshoring. He serves as an Advisor, Policy &amp; Regulation at Acequia Capital. He served as Senior Vice President of Business Development at The Broe Group. He served as Vice President of Industrial Development at OmniTRAX an affiliated company of The Broe Group. He has completed his BA from the University of Colorado Boulder and JD from the University of Denver.</t>
  </si>
  <si>
    <t>+1 (713) 489-8811</t>
  </si>
  <si>
    <t>asimon@closeshoring.com</t>
  </si>
  <si>
    <t>Houston</t>
  </si>
  <si>
    <t>Houston, TX</t>
  </si>
  <si>
    <t>10,000 Memorial Drive</t>
  </si>
  <si>
    <t>Suite 920</t>
  </si>
  <si>
    <t>Texas</t>
  </si>
  <si>
    <t>77024</t>
  </si>
  <si>
    <t>Chief Executive Officer &amp; Manager</t>
  </si>
  <si>
    <t>North America Closeshoring</t>
  </si>
  <si>
    <t>57937-87P</t>
  </si>
  <si>
    <t>Charles Songhurst</t>
  </si>
  <si>
    <t>Charles</t>
  </si>
  <si>
    <t>Songhurst</t>
  </si>
  <si>
    <t>Mr. Charles Songhurst serves as an Investment Partner at Nyca Partners. Mr. Songhurst serves as Board Member at Invisible. He serves as a Senior Venture Partner at Acequia Capital. He serves as an Investment Partner at Nyca Partners. He is an Angel Investor. Mr. Songhurst served as Advisor at Spread GmbH. He serves Advisor at Aplo, 8VC, and Veratrak. He is also a Board Member at Beauhurst, CodeSignal, and Rigetti. He served as an Advisor and Board Member at Bear Robotics. He served as a Board Member at Proteus Digital Health, Transit Capital, and SafeGraph. He also served as an Advisor at OpenGov, Legalist, and Mighty AI. He is the Founder and serves as a Partner of Katana Capital, a long-short equity hedge fund. He also runs the Songhurst Group, which holds assets in a variety of private companies. He ran corporate strategy for Microsoft and focused on partnering and M&amp;A. He was involved in the Yahoo acquisition and commercial deal, and the Skype acquisition. Before running the corporate strategy, he was focused on the emergence of Google and the growth of the search industry. He was an analyst at McKinsey &amp; Company in London. He received a bachelor's degree from Oxford University in politics, philosophy, and economics.</t>
  </si>
  <si>
    <t>+1 (212) 893-1168</t>
  </si>
  <si>
    <t>485 Madison Avenue</t>
  </si>
  <si>
    <t>Floor 17</t>
  </si>
  <si>
    <t>10022</t>
  </si>
  <si>
    <t>Investment Partner</t>
  </si>
  <si>
    <t>Nyca Partners</t>
  </si>
  <si>
    <t>75962-62P</t>
  </si>
  <si>
    <t>Chris Strand</t>
  </si>
  <si>
    <t>Chris</t>
  </si>
  <si>
    <t>Strand</t>
  </si>
  <si>
    <t>Mr. Chris Strand serves as Chief Financial Officer at Acequia Capital. He also served as Strand served as Chief Financial Officer at Legendary Archives Company. Principal &amp; Director, High Net Worth Services at Bader Martin. He also serves as Chief Financial Officer at Legendary Archives Company. Chris' clients include entrepreneurs, investors, business owners, professionals, company executives, and many prominent local families. Chris is also skilled in addressing the unique needs of public-company executives, including compensation planning, stock-option consulting, and estate and wealth planning. Chris has significant professional experience in real estate matters, including tax-deferred 1031 exchanges.</t>
  </si>
  <si>
    <t>+1 (206) 667-0302</t>
  </si>
  <si>
    <t>chris@acecap.com</t>
  </si>
  <si>
    <t>Seattle</t>
  </si>
  <si>
    <t>Seattle, WA</t>
  </si>
  <si>
    <t>1711 Evergreen Place</t>
  </si>
  <si>
    <t>98122</t>
  </si>
  <si>
    <t>+1 (206) 682-1874</t>
  </si>
  <si>
    <t>151287-40P</t>
  </si>
  <si>
    <t>David Kilcullen</t>
  </si>
  <si>
    <t>David</t>
  </si>
  <si>
    <t>Kilcullen</t>
  </si>
  <si>
    <t>Dr. David Kilcullen serves as Chief Executive Officer and President at Cordillera Applications Group. He serves as Venture Partner at Acequia Capital. He founded and served as President &amp; Chief Executive Officer at Caerus Associates. Dr. Kilcullen previously served as Chief Operating Officer at Meta Aerospace Capital. He serves as Director at Native. He was Chairman of First Mile Geo, a geospatial firm providing humanitarian mapping for NGOs in Syria and Africa. He is a former Australian Army officer, he has worked with the Australian and US Governments including roles as a senior counter-insurgency advisor to General David Petraeus, Chief Strategist in the Counterterrorism Bureau at the US State Department and special advisor for counter-insurgency to Secretary of State Condoleezza Rice.</t>
  </si>
  <si>
    <t>+1 (303) 357-4606</t>
  </si>
  <si>
    <t>djk@cordillera-apps.com</t>
  </si>
  <si>
    <t>Denver</t>
  </si>
  <si>
    <t>Denver, CO</t>
  </si>
  <si>
    <t>999 18th Street</t>
  </si>
  <si>
    <t>Suite 3000</t>
  </si>
  <si>
    <t>80202</t>
  </si>
  <si>
    <t>Chief Executive Officer &amp; President</t>
  </si>
  <si>
    <t>Cordillera Applications Group</t>
  </si>
  <si>
    <t>366209-38P</t>
  </si>
  <si>
    <t>Divya Biswal</t>
  </si>
  <si>
    <t>Divya</t>
  </si>
  <si>
    <t>Biswal</t>
  </si>
  <si>
    <t>Ms. Divya Biswal serves as Chief of Staff at Acequia Capital. She served as Investor Relations Executive at Angelo Gordon. She has earned Bsc. in Biology &amp; Mathematics.</t>
  </si>
  <si>
    <t>+1 (315) 212-9023</t>
  </si>
  <si>
    <t>divya@acecap.com</t>
  </si>
  <si>
    <t>+1 (425) 287-5704</t>
  </si>
  <si>
    <t>248096-98P</t>
  </si>
  <si>
    <t>Gregory Bernstein</t>
  </si>
  <si>
    <t>Gregory</t>
  </si>
  <si>
    <t>Bernstein</t>
  </si>
  <si>
    <t>Mr. Gregory Bernstein serves as a Venture Partner at Acequia Capital. He also serves as Co-Founder &amp; Chief Executive Officer at The New Industrial Corporation. He was previously an investor within EQT's venture capital arm, focusing on frontier technology in energy, biology, mobility, and computation companies throughout Europe and the U.S. He was affiliated with EQT as an Executive-in-Residence and serves as Board Director for several of his legacy investments including Verkor, Supernormal, Formo, and Insempra. bio. He also served as a military officer for five years with deployments as a counter-narcotics mission commander throughout Latin America and a decorated tour as a Commanding Officer afloat. He holds a BSc. from the United States Coast Guard Academy and an MSc. from Georgetown University's School of Foreign Service. He lives in New York City. He started his career as an afloat officer in the Pacific waters of Central and South America. He then served as the Commanding Officer of a patrol cutter, leading operations in search and rescue, counter-narcotics, and national defense. After completing five years of service and then going through Georgetown University's School of Foreign Service with a degree in international politics and business, he worked as a foreign policy and economic advisor for a presidential campaign in the US. He was then introduced to EQT through the Wallenberg International Fellowship. As a ship captain, he worked at the intersection of multiple disciplines. He had to make decisions in high-risk situations with imperfect information while going deep into understanding the technology that was critical to his team's success. He leverages this background and core skill set for his work as an investor. As a Venture Lead, he focuses on early-stage, frontier technology in the US and Europe. As a member of the frontier technology team, he invests in companies that are not only set to reshape entire industries but unlock the next frontier of technological breakthroughs. He serves as a Member of the Supervisory Board at Verkor and SuperNormal.</t>
  </si>
  <si>
    <t>+1 (917) 748-4052</t>
  </si>
  <si>
    <t>gregory@acecap.com</t>
  </si>
  <si>
    <t>680 5th Avenue</t>
  </si>
  <si>
    <t>Suite 1201</t>
  </si>
  <si>
    <t>10019</t>
  </si>
  <si>
    <t>The New Industrial Corporation</t>
  </si>
  <si>
    <t>88632-73P</t>
  </si>
  <si>
    <t>Hank Vigil</t>
  </si>
  <si>
    <t>Hank</t>
  </si>
  <si>
    <t>Vigil</t>
  </si>
  <si>
    <t>Mr. Hank Vigil is the Founder and serves as Managing Partner at Acequia Capital. He serves as an Advisor at Finlync and LifeQ. He serves as Director at Mercy Corps. He serves as a Board Member at Cargomatic. He is an Angel Investor. He served as a Board Member at ClassPass. He managed Microsoft's strategic acquisitions and investments as well as its relationships with not only prominent executives in software, telecommunications, media, consumer electronics, and e-commerce but also emerging leaders in Silicon Valley and beyond. He was responsible for Microsoft's strategic investments in a number of technology companies (including Facebook), its acquisition of Nokia, and its strategic partnerships with Yahoo, Time Warner, Sony, Samsung, News Corp, Vodafone, Viacom, and others. From 1989 through the launch of Office 95 in 1995, he led the overall product marketing and brand management efforts for the Microsoft Desktop Applications group, with primary responsibility for Excel and the overall strategy for the development of Microsoft Office. He serves as a Board Observer at Connecterra. He served as an Advisor at Parllay Studio.</t>
  </si>
  <si>
    <t>+1 (206) 726-7886</t>
  </si>
  <si>
    <t>hank@acecap.com</t>
  </si>
  <si>
    <t>408328-75P</t>
  </si>
  <si>
    <t>Kevin O'Connell</t>
  </si>
  <si>
    <t>Kevin</t>
  </si>
  <si>
    <t>O'Connell</t>
  </si>
  <si>
    <t>Mr. Kevin O'Connell serves as Venture Partner, Intel &amp; Defense at Acequia Capital. He is a Defense &amp; Intelligence Veteran.</t>
  </si>
  <si>
    <t>Venture Partner, Intel &amp; Defense</t>
  </si>
  <si>
    <t>166323-52P</t>
  </si>
  <si>
    <t>Leif Danielsen</t>
  </si>
  <si>
    <t>Leif</t>
  </si>
  <si>
    <t>Danielsen</t>
  </si>
  <si>
    <t>Mr. Leif Danielsen serves as General Partner at Acequia Capital. He focuses on early stage investment strategy and company building.</t>
  </si>
  <si>
    <t>+1 (206) 359-5205</t>
  </si>
  <si>
    <t>leif@acecap.com</t>
  </si>
  <si>
    <t>53805-79P</t>
  </si>
  <si>
    <t>Marc Jalabert</t>
  </si>
  <si>
    <t>Marc</t>
  </si>
  <si>
    <t>Jalabert</t>
  </si>
  <si>
    <t>Mr. Marc Jalabert serves as European Partner at Acequia Capital. He has a passion for product management and business development. He is mostly based in Paris. He has established Microsoft's first global start-up program.</t>
  </si>
  <si>
    <t>marc@acecap.com</t>
  </si>
  <si>
    <t>European Partner</t>
  </si>
  <si>
    <t>71417-80P</t>
  </si>
  <si>
    <t>Michael Whitticom</t>
  </si>
  <si>
    <t>Whitticom</t>
  </si>
  <si>
    <t>Mr. Michael Whitticom served as an Venture Partner at Acequia Capital. He served as a Partner at FiveNine Ventures. He served as Principal at TrueBridge Capital Partners. Mr. Whitticom is a principal and member of the TrueBridge investment team, focusing on due diligence, deal flow, and industry analysis. Prior to TrueBridge, Mr. Whitticom was an associate and founding member of the Berkeley Endowment Management Company, where he conducted due diligence and recommended investments as part of a five-person investment team. Before his work on the West Coast, Mr. Whitticom spent several years as an investment adviser in Boston with both Partners Capital Investment Group and Cambridge Associates, where he advised on client portfolios and evaluated the potential and existing managers. Mr. Whitticom received a BA in Government from Dartmouth College and completed a four-week mini-MBA program at Dartmouth's Tuck School of Business.</t>
  </si>
  <si>
    <t>200083-87P</t>
  </si>
  <si>
    <t>Rauten Hofmeyr</t>
  </si>
  <si>
    <t>Rauten</t>
  </si>
  <si>
    <t>Hofmeyr</t>
  </si>
  <si>
    <t>Mr. Rauten Hofmeyr serves as Chief Operating Officer at Acequia Capital. Mr. Hofmeyr focuses on keeping the business and deals running smoothly. He is the Founder of Kirkham Ventures. He served as Head Equity Structuring at Rand Merchant Bank. He Co-Headed Derivatives at J.P. Morgan South Africa.</t>
  </si>
  <si>
    <t>+27825522844</t>
  </si>
  <si>
    <t>rauten@acecap.com</t>
  </si>
  <si>
    <t>42094-00P</t>
  </si>
  <si>
    <t>Rio Caraeff</t>
  </si>
  <si>
    <t>Rio</t>
  </si>
  <si>
    <t>Caraeff</t>
  </si>
  <si>
    <t>Mr. Rio Caraeff serves as Chief Business Officer at Musixmatch. He serves as Venture Partner, Media at Acequia Capital. Mr. Caraeff served as Advisor at Syng. He also serves as a Venture Partner at Acequia Capital. He served as Chief Content Officer at Magic Leap. Previously he founded and served as the Chief Executive Officer and President at VEVO. Prior to this, he served as the Executive Vice President at the Universal Music Group. He started his career as an Associate Producer at Crunch Media.</t>
  </si>
  <si>
    <t>+1 (424) 289-4554</t>
  </si>
  <si>
    <t>rio@syng.la</t>
  </si>
  <si>
    <t>Bologna</t>
  </si>
  <si>
    <t>Bologna, Italy</t>
  </si>
  <si>
    <t>Via San Vitale, 5</t>
  </si>
  <si>
    <t>40125</t>
  </si>
  <si>
    <t>Chief Business Officer</t>
  </si>
  <si>
    <t>Musixmatch</t>
  </si>
  <si>
    <t>116664-31P</t>
  </si>
  <si>
    <t>Todd Hooper</t>
  </si>
  <si>
    <t>Todd</t>
  </si>
  <si>
    <t>Hooper</t>
  </si>
  <si>
    <t>Mr. Todd Hooper serves as Partner, Gaming at Acequia Capital. Mr. Hooper served as Chief Executive Officer and Board Member at Aardvark Labs. He founded and served as Chief Executive Officer at Vreal. He co-founded and served as Chief Executive Officer and Board Member at Zipline Games. He has a Business degree from Curtin University of Technology.</t>
  </si>
  <si>
    <t>+1 (206) 419-8928</t>
  </si>
  <si>
    <t>todd@acecap.com</t>
  </si>
  <si>
    <t>Partner, Gaming</t>
  </si>
  <si>
    <t>186641-20P</t>
  </si>
  <si>
    <t>Anna Nitschke</t>
  </si>
  <si>
    <t>Anna</t>
  </si>
  <si>
    <t>Nitschke</t>
  </si>
  <si>
    <t>Activate Capital Partners</t>
  </si>
  <si>
    <t>Chief Financial Officer &amp; Chief Operating Officer</t>
  </si>
  <si>
    <t>Ms. Anna Nitschke serves as Chief Operating Officer &amp; Chief Financial Officer at Activate Capital Partners. Here, she leads and oversees the firm's day-to-day and strategic operations. She served as Chief Financial Officer at Pear. She also serves as Advisor at Ajim Capital. She has served as Vice President of Finance and Operations at Eniac Ventures. Previously, she led finance and operations at Eniac Ventures. Before entering the venture capital world, She worked in business operations for over a decade at various startups, using her broad background in finance, operations, human resources and administration management to help companies scale.She holds a BA in Business Management Economics from University of California, Santa Cruz. She sits on the board of VCBC, a non-profit association of finance professionals in the venture capital industry. She also serves as Treasurer for Let's Talk Ops, a non-profit organization that brings together the top operational, cross-discipline talent fueling today's venture capital community.</t>
  </si>
  <si>
    <t>anna@activatecap.com</t>
  </si>
  <si>
    <t>50 California Street</t>
  </si>
  <si>
    <t>Suite 2050</t>
  </si>
  <si>
    <t>94111</t>
  </si>
  <si>
    <t>Chief Operating Officer &amp; Chief Financial Officer</t>
  </si>
  <si>
    <t>36576-55P</t>
  </si>
  <si>
    <t>Anup Jacob</t>
  </si>
  <si>
    <t>Anup</t>
  </si>
  <si>
    <t>Mr. Anup Jacob serves as Managing Partner at Activate Capital Partners. He served as the Associate Director at Mamoura Diversified Global Holding. He currently serves on the Board for three Activate portfolio companies: Stem, Passport, and Volta Charging. He has been investing in energy, water, and industrial technology businesses for over 20 years. He has served on multiple private and public company boards and chaired audit and compensation committees. Before co-founding Activate, he was a founder and partner at several private equity firms, including Masdar Capital (Managing Partner), Mubadala Capital (Associate Director), Virgin Green Fund (Founder and Partner), and Aqua-TPG (Partner). He currently serves on the boards of several portfolio companies, including Passport Labs and PosiGen, and previously served on the boards of Stem (NYSE: STEM), Volta (NYSE: VLTA), and Boosted (acquired by Lime). He has served as a national judge for the E&amp;Y Entrepreneur of the Year Awards, the Financial Times/Just Means Social Innovations Awards, Zayed Future Energy Prize, the MIT Clean Energy Prize and keynoted at several conferences including the Norwegian Govt Enova Initiative, California's BlueTech Valley, and addressed MBA students at Yale SOM &amp; MIT. He graduated with Honors in Economics from the University of Chicago.</t>
  </si>
  <si>
    <t>+1 (415) 963-3333</t>
  </si>
  <si>
    <t>anup@activatecap.com</t>
  </si>
  <si>
    <t>293907-97P</t>
  </si>
  <si>
    <t>Caroline Chick</t>
  </si>
  <si>
    <t>Caroline</t>
  </si>
  <si>
    <t>Chick</t>
  </si>
  <si>
    <t>Ms. Caroline Chick serves as Associate at Activate Capital Partners. Prior to joining Activate, she was an investment banker at Nomura Greentech, where she advised companies focused on accelerating the sustainable transition. She has experience working with both early growth stage and public companies across the transportation, energy technology, and environmental services sectors. She graduated with honors from The Ohio State University, where she studied finance, history, and Spanish.</t>
  </si>
  <si>
    <t>+1 (937) 238-1242</t>
  </si>
  <si>
    <t>caroline@activatecap.com</t>
  </si>
  <si>
    <t>13142-98P</t>
  </si>
  <si>
    <t>David Lincoln</t>
  </si>
  <si>
    <t>Lincoln</t>
  </si>
  <si>
    <t>Mr. David Lincoln serves as Board Member at CAI Software he serves as Managing Partner at Activate Capital Partners. He served as a Board Member at Element Analytics. He serves as a Board Member at Swimlane, and Parsable. He has been a prominent investor in growth equity for almost 20 years and has over 25 years of experience operating and investing in energy and technology companies. Prior to forming Activate, he founded and built Element Partners. He also served as a Chairman at Amp Electrical Distribution Services. He served as a board member at AquaVenture Holdings. Prior to founding Element in 2005, he was a co-founder and Managing Director of EnerTech Capital Partners, an energy technology venture firm formed in 1996. In 1991, he founded and served as President and CEO of Deven Resources, Inc., a private equity firm dedicated to the acquisition, development, and management of oil &amp; gas properties where he also ran a small E&amp;P company in Lubbock, TX. From 1984 to 1991, he was a partner with CMS Companies, a Philadelphia-based private equity and financial services firm. He began his career at UGI Corporation, a diversified energy, and utility holding company. As a board member of the National Venture Capital Association for four years, he chaired the NVCA Energy &amp; Cleantech Committee and worked with policymakers to promote capital formation for technology companies focused on US energy efficiency and renewable energy technologies. In addition, as the 2014-15 Chair of the NVCA Growth Equity Group, he worked with industry participants, research firms, and policymakers to establish and benchmark Growth Equity as a distinct asset class within private equity. He holds a BA with honors in Geology from Colgate University and an MS in Energy Management and Policy from the University of Pennsylvania. He is also active in addressing the City of Philadelphia school crisis as an Executive Committee and Board member with City Year of Philadelphia. He serves as a Board Member at HOMEE.</t>
  </si>
  <si>
    <t>david@activatecap.com</t>
  </si>
  <si>
    <t>305639-83P</t>
  </si>
  <si>
    <t>Emma Bell</t>
  </si>
  <si>
    <t>Bell</t>
  </si>
  <si>
    <t>Ms. Emma Bell serves as Vice President at Activate Capital Partners. Previously, she served as Vice President at Sidewalk Infrastructure Partners. Prior to that, she was an Investment Associatein J.P. Morgan's Energy Investments group. She began her career in investment banking at J.P. Morgan, where she helped structure and securitize real estate debt capital market offerings. She graduated from Cornell University's College of Engineering with a degree in Operations Research Engineering and a minor in Applied Economics and Management.</t>
  </si>
  <si>
    <t>emma@activatecap.com</t>
  </si>
  <si>
    <t>445282-93P</t>
  </si>
  <si>
    <t>Emmanuelle Uy</t>
  </si>
  <si>
    <t>Emmanuelle</t>
  </si>
  <si>
    <t>Uy</t>
  </si>
  <si>
    <t>Mr. Emmanuelle Uy serves as Finance and Portfolio Operations Analyst at Activate Capital Partners. Prior to joining Activate, he drove climate financial equity quantitative research at the Greenlining Institute, advised on sustainable energy and carbon markets at the US Green Chamber of Commerce, led ESG strategies for Parnassus Investments, consulted at Basics Environmental, and guided foreign commercial services at the US Embassy in Manila. He holds a Masters of Development Engineering with a concentration in Energy, Water and the Environment from the University of California, Berkeley and a Bachelors in Business Administration from the Hong Kong University of Science and Technology.</t>
  </si>
  <si>
    <t>emman@activatecap.com</t>
  </si>
  <si>
    <t>Finance and Portfolio Operations Analyst</t>
  </si>
  <si>
    <t>207591-76P</t>
  </si>
  <si>
    <t>Eric Meyer</t>
  </si>
  <si>
    <t>Meyer</t>
  </si>
  <si>
    <t>Mr. Eric Meyer serves as Partner at Activate Capital Partners. He serves as a Board Member at Omnidian. Before joining Activate, he was an Associate at ValueAct Capital, an activist hedge fund, where he covered investment ideas spanning several sectors including energy and industrials. Most notably, he was involved with the investment in Baker Hughes, advocating the breakup or sale of the company to GE. He began his career as a business analyst at McKinsey &amp; Company in their Silicon Valley office. He graduated from Yale University with his BS in chemistry. He received his MBA from the Wharton School of the University of Pennsylvania where he graduated with high honors.</t>
  </si>
  <si>
    <t>eric@activatecap.com</t>
  </si>
  <si>
    <t>301113-55P</t>
  </si>
  <si>
    <t>Evan Friedman</t>
  </si>
  <si>
    <t>Evan</t>
  </si>
  <si>
    <t>Friedman</t>
  </si>
  <si>
    <t>Mr. Evan Friedman serves as an Senior Associate at Activate Capital Partners. Prior to joining Activate, He was an Equity Research Analyst at Barclays in New York City, where he published research on emergent energy transition technologies and public companies across the Power &amp; Utilities sector. He also has experience working with music and healthtech startups through the Nashville Entrepreneur Center. He holds degrees in Economics and Human &amp; Organizational Development, with honors, from Vanderbilt University.</t>
  </si>
  <si>
    <t>+1 (832) 667-8130</t>
  </si>
  <si>
    <t>evan@activatecap.com</t>
  </si>
  <si>
    <t>39752-38P</t>
  </si>
  <si>
    <t>Jacob Susman</t>
  </si>
  <si>
    <t>Susman</t>
  </si>
  <si>
    <t>Mr. Jacob Susman serves as Chief Operating Officer, Chief Financial Officer &amp; Board Member at Activate Permanent Capital Corp. He served as an Advisor at E8 Ventures. He also serves as an Advisor at Activate Capital Partners. He is the Founder and serves as Chief Executive Officer at Ambient Fuelsb. He served as a Partner at Mission Driven Capital Partners. He also serves as Chief Operating Officer, Chief Financial Officer &amp; Board Member at Activate Permanent Capital Corp. He founded and served as Board Member &amp; Chief Executive Officer at OwnEnergy. He was the Project Manager at AES. He has been building businesses, investing, and developing wind projects in renewable energy since 1999. He has led OwnEnergy since its inception, including recruiting and managing its industry-leading team, raising capital, establishing a nationwide brand, sourcing new business, developing wind projects, and generating revenue. He serves on the board of directors of the American Wind Energy Association (AWEA) and the Leadership Council of the American Council on Renewable Energy (ACORE). In 2010, he was named to Crains New York's '40 Under 40', and in 2012, he was named an E&amp;Y Entrepreneur Of The Year Finalist. He is a Board Member at OwnEnergy. He served as a Board Member at SolarKal.He holds MBA and BS in finance from the University of Pennsylvania (Wharton) and the University of Colorado in 2004 and 1996.</t>
  </si>
  <si>
    <t>+1 (610) 574-9069</t>
  </si>
  <si>
    <t>jacob.susman@ambientfuels.com</t>
  </si>
  <si>
    <t>Suite 680</t>
  </si>
  <si>
    <t>Chief Operating Officer, Chief Financial Officer &amp; Board Member</t>
  </si>
  <si>
    <t>Activate Permanent Capital Corp.</t>
  </si>
  <si>
    <t>35957-08P</t>
  </si>
  <si>
    <t>John Woolard</t>
  </si>
  <si>
    <t>Woolard</t>
  </si>
  <si>
    <t>Mr. John Woolard is a Co-Founder and serves as Chief Executive Officer at Meridian Clean Energy. He also serves as an Advisor at Activate Capital Partners. Mr. Woolard served as President &amp; Chief Executive Officer at Silicon Energy. He served as the Vice President of Energy at Google from 2014-2016. Previously, he served as the President and Chief Executive Officer of BrightSource Energy, Inc. from 2006 to 2013, where he led the development, construction, and commissioning of the $2.2 billion Ivanpah solar thermal power plant, the largest in the world. Mr. Woolard Co-Founded Silicon Energy in 1997, and served as the President, Chief Executive Officer, and Chairman as he led its growth in enterprise energy management software through its acquisition by Itron in 2003. He then served as Vice President and General Manager of End User Solutions Business Unit and Energy Management Solutions Group at Itron through 2005. He began his career in energy at Lawrence Berkeley Labs in 1996, in the Energy and Environment Division, and then joined PG&amp;E Energy Services to lead their efforts in Facility Information and Control Systems. He served on the Board of the California Clean Energy Fund, the Tuolumne River Preservation Trust, and the Strategic Advisory Board for Xcel Energy. He is a Crown Fellow at the Aspen Institute and holds an M.B.A. from the Haas School of Business at the University of California at Berkeley, an M.A. in Environmental Planning from the University of Virginia, and a B.A. in Economics from the University of Virginia.</t>
  </si>
  <si>
    <t>+1 (510) 263-6000</t>
  </si>
  <si>
    <t>jwoolard@meridiancleanenergy.com</t>
  </si>
  <si>
    <t>Alameda</t>
  </si>
  <si>
    <t>Alameda, CA</t>
  </si>
  <si>
    <t>1010 Atlantic Avenue</t>
  </si>
  <si>
    <t>94501</t>
  </si>
  <si>
    <t>President &amp; Chief Executive Officer</t>
  </si>
  <si>
    <t>Silicon Energy</t>
  </si>
  <si>
    <t>293908-33P</t>
  </si>
  <si>
    <t>Jon Guerster</t>
  </si>
  <si>
    <t>Jon</t>
  </si>
  <si>
    <t>Guerster</t>
  </si>
  <si>
    <t>Mr. Jon Guerster serves as a Partner at Activate Capital Partners. He has experience in strategy, operations, and corporate development, he was most recently CEO and co-founder of Dalkia Energy Solutions (formerly Groom Energy) which was acquired by French multinational utility company, EDF. He is also co-founder and chairman of Therm Solutions, a refrigerant carbon credit development company, and was co-founder and board member of Digital Lumens, a venture-backed LED lighting company, that was acquired by Osram. Prior to Groom Energy, he was a general partner at Charles River Ventures (CRV), where he was the lead investor, board member, and advisor for enterprise software and service companies including BeFree (acquired by ValueClick), eDocs (acquired by Siebel Systems), Vignette (VIGN), Virtusa (VRTU) and Xign Corporation (acquired by JP Morgan Chase). Before CRV, he held senior management positions at Open Market, a start-up eCommerce software company that went public in 1996, and served in a variety of senior product marketing and sales management roles with both Hewlett Packard and JP Morgan. He holds a degree in Electrical Engineering and Computer Science from Duke University and an MBA from the Kellogg Graduate School of Management at Northwestern University. He serves as Board Member at Tomorrow.io.</t>
  </si>
  <si>
    <t>jon@activatecap.com</t>
  </si>
  <si>
    <t>318709-36P</t>
  </si>
  <si>
    <t>Karina Diaz</t>
  </si>
  <si>
    <t>Karina</t>
  </si>
  <si>
    <t>Diaz</t>
  </si>
  <si>
    <t>Accountant</t>
  </si>
  <si>
    <t>Ms. Karina Diaz serves as Senior Accountant at Activate Capital Partners. She supports all aspects of financial operations for the firm and the funds. Prior to Activate, she held a variety of accounting roles over the last 20 years at executive search, pharmaceutical, healthcare, and non-profit firms with responsibilities including financial analysis, payroll processing, accounts payable/receivable, invoice management, and account reconciliation. She holds a degree in Business Administration from Universidad Autónoma del Estado de Morelos in Mexico.</t>
  </si>
  <si>
    <t>karina@activatecap.com</t>
  </si>
  <si>
    <t>Senior Accountant</t>
  </si>
  <si>
    <t>161129-35P</t>
  </si>
  <si>
    <t>Kathleen McGinty</t>
  </si>
  <si>
    <t>Kathleen</t>
  </si>
  <si>
    <t>McGinty</t>
  </si>
  <si>
    <t>Ms. Kathleen McGinty serves as Vice President &amp; Chief Sustainability and External Relations Officer at Johnson Controls International. She also serves as an Advisor at Activate Capital Partners. Ms. McGinty has over 25 years of public and private sector experience, and she is a recognized innovator in clean energy and environmental protection. Her public sector career includes being the first woman to serve as Chair of the White House Council on Environmental Quality and as Deputy Assistant to President Clinton (1993-1998), as Pennsylvania Secretary of Environmental Protection (2003-2008), and as Chair of the Pennsylvania Energy Development Authority (2004-2008). She holds a Bachelor of Science in chemistry from St. Joseph's University and a law degree from Columbia University and served as a Senior Visiting Fellow at TERI in New Delhi, India. She has received awards and recognitions, including honorary doctorates from Muhlenberg University, Dickinson College, and Clarion State University. McGinty currently serves on boards including the International Steering Committee of the World Sustainable Development Summit, Alliance to Save Energy, the Keystone Policy Center, the Carnegie Mellon Scott Institute for Energy Innovation, the Delaware River Port Authority, the Energy Futures Initiative and the Goldman Sachs Renewable Power LLC. She is also recognized for her commitment to the environment, including being named "Woman of the Year" awardee from the Women's Council on Energy and the Environment, one of the Top Women in HVAC list of ACHR News, one of the Top 100 Women in Sustainability List by Sustainability Magazine and one of 25 women honored for climate leadership by GreenBiz.</t>
  </si>
  <si>
    <t>+1 (866) 496-1999</t>
  </si>
  <si>
    <t>katie.mcginty@jci.com</t>
  </si>
  <si>
    <t>Milwaukee</t>
  </si>
  <si>
    <t>Milwaukee, WI</t>
  </si>
  <si>
    <t>5757 North Green Bay Avenue</t>
  </si>
  <si>
    <t>Wisconsin</t>
  </si>
  <si>
    <t>53201</t>
  </si>
  <si>
    <t>Vice President &amp; Chief Sustainability and External Relations Officer</t>
  </si>
  <si>
    <t>Johnson Controls International</t>
  </si>
  <si>
    <t>318709-72P</t>
  </si>
  <si>
    <t>Leila Martin</t>
  </si>
  <si>
    <t>Leila</t>
  </si>
  <si>
    <t>Martin</t>
  </si>
  <si>
    <t>Ms. Leila Martin serves as an Senior Associate at Activate Capital Partners. She supports all aspects of the investment process. Prior to joining Activate, she was a Consultant at Boston Consulting Group (BCG) in Toronto, where she worked on climate and sustainability projects with institutional investors, NGOs, and corporations. She was selected for BCG's Social Impact Immersion Program, where she focused on decarbonization technologies for hard-to-abate industries, nature-based solutions, carbon markets, and emissions measurement platforms. Prior to BCG, she participated in a fellowship program at Cape York Partnership in Australia, where she worked on a project supporting economic development in Indigenous communities. She graduated from the University of Toronto with a degree in Finance and Economics and a minor in English Literature.</t>
  </si>
  <si>
    <t>leila@activatecap.com</t>
  </si>
  <si>
    <t>406087-84P</t>
  </si>
  <si>
    <t>Nenita Soper</t>
  </si>
  <si>
    <t>Nenita</t>
  </si>
  <si>
    <t>Soper</t>
  </si>
  <si>
    <t>Ms. Nenita Soper serves as Director of Finance at Activate Capital Partners. She oversees financial operations at Activate, where she focuses on its Funds, including audit, tax and financial reporting. Prior to joining Activate, she was Assistant Fund Controller at Foundation Capital, where she helped manage the firm's accounting and finance operations. Previously, she worked at Khosla Ventures (KV) as Assistant Controller, handling the day-to-day accounting for the funds. Prior to KV, She spent 10 years at Oaktree Capital Management, LP, holding various roles across their corporate and fund accounting teams in both their Los Angeles and London offices. She started her career with Citco Fund Services (SF), Inc. She holds a BA in Economics and a minor in Business Administration from University of California, Berkeley.</t>
  </si>
  <si>
    <t>nenita@activatecap.com</t>
  </si>
  <si>
    <t>Director of Finance</t>
  </si>
  <si>
    <t>31402-72P</t>
  </si>
  <si>
    <t>Patti Szczepaniak</t>
  </si>
  <si>
    <t>Patti</t>
  </si>
  <si>
    <t>Szczepaniak</t>
  </si>
  <si>
    <t>Chief Administrative Officer</t>
  </si>
  <si>
    <t>Ms. Patti Szczepaniak serves as Chief Administrative Officer at Activate Capital Partners. She served as Office Manager at Element Partners. Before coming to Element, she was an Office Manager for Katalyst Securities, a boutique investment bank focused on global opportunities in technology, media, and telecommunications. Prior to Katalyst, she worked at TVSM, publisher of the Cable Guide and Total TV, as an Executive Assistant to the President and VP of Sales. She also worked at CertainTeed Corporation, a leading manufacturer of building materials, where she was an administrative assistant in the purchasing department of the Insulation Group, and later moved to corporate headquarters where she handled relocation/expatriation, transportation, and human resources functions.</t>
  </si>
  <si>
    <t>+1 (610) 947-6403</t>
  </si>
  <si>
    <t>patti@activatecap.com</t>
  </si>
  <si>
    <t>+1 (610) 964-8005</t>
  </si>
  <si>
    <t>94608-73P</t>
  </si>
  <si>
    <t>Paul Jordan</t>
  </si>
  <si>
    <t>Mr. Paul Jordan serves as Partner at Activate Capital Partners. Prior to joining Activate in 2017, He was an Associate at Element Partners where he worked closely with numerous portfolio companies and evaluated new investment opportunities within energy, transportation, industrial software and other sustainable technology sectors. He began his career at Piper Jaffray &amp; Co. where he focused on mergers and acquisitions for diversified industrial and applied technology companies. He earned his B.A. from Duke University.</t>
  </si>
  <si>
    <t>+1 (610) 964-8004</t>
  </si>
  <si>
    <t>paul@activatecap.com</t>
  </si>
  <si>
    <t>13198-96P</t>
  </si>
  <si>
    <t>Phyllis Reid</t>
  </si>
  <si>
    <t>Phyllis</t>
  </si>
  <si>
    <t>Reid</t>
  </si>
  <si>
    <t>Ms. Phyllis Reid serves as Director of Finance at Activate Capital Partners. She served as Director at EnerTech Capital Partners. She was also a consultant for TL Ventures, a broadly diversified technology investor. She managed the financial reporting and investor capital accounts for three of TL Ventures funds. She began her career with KPMG, LLP, working in its audit and assurance group in the Information, Communications &amp; Entertainment practice. She earned her B.S. degree in Accounting from Rowan University. CPA certified 1998-2007.</t>
  </si>
  <si>
    <t>phyllis@activatecap.com</t>
  </si>
  <si>
    <t>177837-31P</t>
  </si>
  <si>
    <t>Rajesh Atluru</t>
  </si>
  <si>
    <t>Rajesh</t>
  </si>
  <si>
    <t>Atluru</t>
  </si>
  <si>
    <t>Mr. Rajesh Atluru serves as Managing Partner at Activate Capital Partners. He serves as a Board Member of Flexe and Omnidian. He served as a Board Member at Voltus &amp; Generate Capital. He served as a Board Member at Scoop. He also served as Board Member at Swimlane. He has been investing in information technology and the energy and resource sectors for 21 years. His primary areas of interest are software, security, storage, energy efficiency, transportation technologies, and novel financing models for deploying distributed energy infrastructure technologies. Prior to Activate, he co-founded Silver Lake Kraftwerk, a growth equity fund focused on late-stage private companies across the energy and resource sectors. From 2000 until 2011, he led the cleantech practice at Draper Fisher Jurvetson, one of the premier early-stage venture funds in Silicon Valley. DFJ was an early investor in notable companies including Tesla Motors, Solar City, EnerNOC, Brightsource Energy, and Sea Micro. From 1996 to 2000, he worked on energy and technology investing for TL Ventures. He has served on several private and public boards and co-founded DFJ Element with David Lincoln in 2005 - at the time, the largest fund ever raised for the cleantech sector. He is a frequent speaker on innovation in the energy and resource markets and has keynoted numerous conferences dedicated to sustainability and innovation. He has both a BS and an MS in Environmental Engineering from Stanford University as well as an MBA from the Stanford Graduate School of Business. He serves as Board Member at Altana Technologies.</t>
  </si>
  <si>
    <t>raj@activatecap.com</t>
  </si>
  <si>
    <t>229062-25P</t>
  </si>
  <si>
    <t>Susan Stella</t>
  </si>
  <si>
    <t>Susan</t>
  </si>
  <si>
    <t>Stella</t>
  </si>
  <si>
    <t>Ms. Susan Stella serves as Head of Investor Relations and Impact at Activate Capital Partners. She served as Head of Investor Relations at Ridge Ventures. She served as an Executive, Investor Relations at BootstrapLabs. She brings 15+ years of experience in the venture capital industry to BootstrapLabs. She has worked with multi-billion-dollar private equity funds, the venture fund of funds, and up-and-coming venture funds as well as industry associations through her business Stella Advisors. She provides extensive expertise in investor relations, strategic communications and leadership, and organizational growth. Previously, She was principal and director with Knightsbridge Advisers, a venture capital fund of funds, where she was responsible for investor relations and marketing efforts. From 2006 to 2009, she served as the Director of the Thunderbird Global Private Equity Center (TPEC), a thought-leadership platform developed by the Thunderbird School of Global Management to advance knowledge on the key issues and trends facing global private equity. From 2004 to 2006, She was a partner in Venture Archetypes, a San Francisco-based strategic advisory firm that works with emerging technology and life science companies that seek venture capital backing. Her background also includes professional assignments with Intel; the German Ministry of Economics and Labor; Roland Berger Strategy Consultants in Germany; and the United Nations, as part of a three-year stint living and working in Mongolia. She received an MBA in International Management from Thunderbird School of Global Management where she received the highest honor awarded to a single graduate, the Barton Kyle Yount Award. She also holds a BA from Drake University.</t>
  </si>
  <si>
    <t>+1 (415) 568-1761</t>
  </si>
  <si>
    <t>susan@activatecap.com</t>
  </si>
  <si>
    <t>Head of Investor Relations and Impact</t>
  </si>
  <si>
    <t>39089-35P</t>
  </si>
  <si>
    <t>Timothy Healy</t>
  </si>
  <si>
    <t>Healy</t>
  </si>
  <si>
    <t>Mr. Timothy Healy serves as Chief Executive Officer &amp; Board Member at Activate Permanent Capital Corp. Mr. Healy also serves as an Advisory Board Member at Ambient Fuels. He is an Angel Investor. He serves as an Operating Partner at Activate Capital Partners and Greenbelt Capital Management. He serves as a Board Member and Chair of the Compensation Committee at Amperon. He has founded two public companies over his thirty-year career in the innovation economy. He co-founded EnerNOC in 2001, led its public offering in 2007 (Mass High Tech's IPO of the Year), and served as its Chairman and CEO until its sale to Enel in 2017 for over $320 million. Prior to EnerNOC, he worked in the Energy Technology Laboratory for Northern Power Systems and held positions with Merrill Lynch, International Fuel Cells (then a subsidiary of United Technologies Corporation), and venture firm Commonwealth Capital Ventures. Early in his career, he co-founded affinity marketing company Student Advantage, which went public (NASDAQ: STAD) in 1999 and was later acquired by CBORD, an independent business unit of Roper Technologies, Inc. (ROP: NYSE). He was a founding Board member of the Advanced Energy Economy (AEE, now AEU) and the Northeast Clean Energy Council (NECEC), where he served for 14 years, and was appointed to the Mayor of Boston's Green Ribbon Commission (GRC) in 2015. He spent six years on TechNet's Executive Committee, helping shape technology and energy policy primarily at the federal level. He served on the Board of Trustees for the New England Aquarium for four successive terms over 12 years and was recently selected to serve on the board of the Trustees of Reservations, the nation's first and Massachusetts' largest preservation and conservation non-profit. Since 2017, he has been helping VC and PE firms build companies at the intersection of energy services, clean energy, finance, and innovation, as well as developing energy projects at universities, healthcare, and other campuses. He served as CEO of the Blackstone entity, P3 Energy, and as an executive advisor to Blackstone's private equity energy team from 2018 until January 2021. From 2018 until 2020, he served on the Board of Veregy, Inc., a private equity-backed energy services company, and, before that, on the Board of Directors of sustainability firms Genability, Inc. and WeSpire, Inc. He is currently on the board of Amperon, Recurve, Micatu, and Powin, and serves as chairman of Dynamo Energy Hub and executive advisor to Ambient Fuels, Sympower, and several other emerging growth companies in the energy transition sector. He holds multiple domestic and international patents in distributed energy control and management, was an E&amp;Y CEO of the year in 2007, and was voted Mass Technology Leadership Council's CEO of the Year in 2012. He holds a degree in Political Science and Government from Dartmouth College and an MBA from the Tuck School of Business at Dartmouth.</t>
  </si>
  <si>
    <t>+1 (603) 674-3519</t>
  </si>
  <si>
    <t>tim@activatecap.com</t>
  </si>
  <si>
    <t>301112-74P</t>
  </si>
  <si>
    <t>William Reilly</t>
  </si>
  <si>
    <t>William</t>
  </si>
  <si>
    <t>Reilly</t>
  </si>
  <si>
    <t>Mr. William Reilly serves as Advisor at Activate Capital Partners. Mr. Reilly has served four US Presidents: Presidents Nixon, George HW Bush, Clinton and Obama. For more than 20 years he was a Senior Advisor to TPG Capital, an international investment partnership. During his tenure with TPG, he was the Founding Partner of Aqua International Partners, a private equity fund dedicated to investing in companies in the water sector. Before joining TPG, Bill was the first Payne Visiting Professor at Stanford University. Bill was Administrator of the US Environmental Protection Agency from 1989 to 1993, during which he led efforts to pass a new Clean Air Act and headed the US delegation to the UN Conference on Environment and Development in Rio in 1992. He served as president of World Wildlife Fund and later chairman of the board; president of The Conservation Foundation; and director of the Rockefeller Task Force on Land Use and Urban Growth. Bill has chaired the Board of the Global Water Challenge and Climate Works Foundation. He serves on the Executive Committee of the US Water Partnership and the board of the Center for Strategic and International Studies. He has also served on several corporate boards, including DuPont, ConocoPhillips and Royal Caribbean.</t>
  </si>
  <si>
    <t>314046-46P</t>
  </si>
  <si>
    <t>Aimee Rose Ph.D</t>
  </si>
  <si>
    <t>Aimee</t>
  </si>
  <si>
    <t>Rose</t>
  </si>
  <si>
    <t>Activate Global</t>
  </si>
  <si>
    <t>Dr. Aimee Rose serves as Executive Managing Director at Activate Global. She oversees and supports the managing directors at each of Activate's four fellow communities. An experienced science-to-product technology leader, she was previously founding chief technology officer at Advanced Functional Fabrics of America. Before that, she spent 11 years with an explosive detection startup launched from her doctoral research, eventually acquired by FLIR Systems (now Teledyne Flir). She obtained four patents and received several honors related to this work, including the U.S. Army's Greatest Invention Award, TR35 Young Innovator Award, and Humanitarian of the Year from MIT Technology Review. She holds a Ph.D. in Chemistry from MIT and a B.S. in Chemistry from Saint Michael's College.</t>
  </si>
  <si>
    <t>aimee.rose@activate.org</t>
  </si>
  <si>
    <t>One Broadway, 14th Floor</t>
  </si>
  <si>
    <t>Kendall Square, Cambridge</t>
  </si>
  <si>
    <t>02142</t>
  </si>
  <si>
    <t>Executive Managing Director</t>
  </si>
  <si>
    <t>436341-97P</t>
  </si>
  <si>
    <t>Andrés Ochoa Ph.D</t>
  </si>
  <si>
    <t>Andrés</t>
  </si>
  <si>
    <t>Ochoa</t>
  </si>
  <si>
    <t>Mr. Andrés Ochoa serves as Managing Director at Activate Global.He has over 15 years of experience as a data scientist and entrepreneur. Most recently, he worked at Product Data Operations and WhatsApp, both part of Meta. Previously he was co-founder and CTO of OneSkin, a company using genomics to develop antiaging solutions, and co-founder and chief scientist officer of Arcturus Biocloud, a virtual bio-foundry for rapid prototyping of microorganisms using genetic engineering. He holds a Ph.D. in biotechnology and DNA data/genomics from Universidade de São Paulo in Brazil and a bachelor's degree in microbiology and virology from Pontificia Universidad Javeriana in Colombia.</t>
  </si>
  <si>
    <t>Berkeley</t>
  </si>
  <si>
    <t>Berkeley, CA</t>
  </si>
  <si>
    <t>2600 Tenth Street</t>
  </si>
  <si>
    <t>Suite 300</t>
  </si>
  <si>
    <t>94710</t>
  </si>
  <si>
    <t>40112-74P</t>
  </si>
  <si>
    <t>Andrew Chang</t>
  </si>
  <si>
    <t>Chang</t>
  </si>
  <si>
    <t>Mr. Andrew Chang Co-Founded and served as Chief Technology Officer at Feel Peak. He recently came from the office of energy efficiency and renewable energy at the US Department of Energy where he worked to identify scalable solutions to mitigating climate change and helped build a foundation for a broader transformation of our energy system. He architected key components of the BetterBuildings Program, one of DOE's signature initiatives, to test and identify models of energy efficiency deployment that can scale. Before DOE, he was the senior energy analyst for Al Gore's Alliance for Climate Protection where he pushed for federal climate and energy legislation, helped build a national climate movement, and assisted Mr. Gore with research for his new book, "Our Choice: A Plan to Solve the Climate Crisis," which became a NY Times best seller. He received a Master's degree in Engineering at Stanford University and a Bachelor's of Science in Electrical Engineering at the University of Michigan.</t>
  </si>
  <si>
    <t>andrew.chang@activate.org</t>
  </si>
  <si>
    <t>314046-73P</t>
  </si>
  <si>
    <t>Brenna Teigler Ph.D</t>
  </si>
  <si>
    <t>Brenna</t>
  </si>
  <si>
    <t>Teigler</t>
  </si>
  <si>
    <t>Executive &amp; Founder</t>
  </si>
  <si>
    <t>Dr. Brenna Teigler is a Co-Founder and serves as Chief Fellowship Officer at Activate Global. She oversees the fellowship experience and programming. Prior to Activate, she managed program operations at Cyclotron Road. She was also a Science and Technology Policy Fellow for the American Association for the Advancement of Science, gaining valuable experience with the U.S. Department of Energy (DOE) Technology to Market program. She was named "Energy Rock Star 2017" by the DOE Office of Energy Efficiency and Renewable Energy. She completed a postdoctoral fellowship at the California Institute of Technology, and she holds a Ph.D. in Biophysics from Harvard University and a B.S. in Professional Physics from Rutgers University.</t>
  </si>
  <si>
    <t>brenna.teigler@activate.org</t>
  </si>
  <si>
    <t>Co-Founder &amp; Chief Fellowship Officer</t>
  </si>
  <si>
    <t>367231-78P</t>
  </si>
  <si>
    <t>Cyrus Wadia</t>
  </si>
  <si>
    <t>Cyrus</t>
  </si>
  <si>
    <t>Wadia</t>
  </si>
  <si>
    <t>Mr. Cyrus Wadia serves as Chief Executive Officer at Activate Global. He holds a Ph.D. in energy and resources from UC Berkeley and bachelor's and master's degrees in chemical engineering from MIT. He was the director of worldwide product sustainability at Amazon, where he launched the company's first sustainable shopping program, and previously vice president of sustainable business &amp; innovation at Nike. He has also served as co-director and faculty member of the Haas School of Business Cleantech to Market program, senior advisor on energy and manufacturing for McKinsey &amp; Company, and project manager at Lawrence Berkeley National Laboratory.</t>
  </si>
  <si>
    <t>cyrus.wadia@activate.org</t>
  </si>
  <si>
    <t>100603-54P</t>
  </si>
  <si>
    <t>Daniel Recht Ph.D</t>
  </si>
  <si>
    <t>Recht</t>
  </si>
  <si>
    <t>Dr. Daniel Recht serves as Chief Product Officer at Lambda (Business/Productivity Software). Dr. Recht previously served as Chief Executive Officer at Lambda (Business/Productivity Software). Dr. Daniel Recht served as Chief Executive Officer at Volute. Previously, he served as a Head of Emerging Markets and Technologies Team at OCI.</t>
  </si>
  <si>
    <t>daniel.recht@activate.org</t>
  </si>
  <si>
    <t>78732-82P</t>
  </si>
  <si>
    <t>Jeremy Pitts</t>
  </si>
  <si>
    <t>Pitts</t>
  </si>
  <si>
    <t>Mr. Jeremy Pitts serves as Managing Director at Activate Global. He served as Chief Technical Officer at Reach Production Solutions. He co-founded &amp; served as Director at Greentown Labs.</t>
  </si>
  <si>
    <t>jeremy.pitts@activate.org</t>
  </si>
  <si>
    <t>112540-51P</t>
  </si>
  <si>
    <t>Jill Fuss Ph.D</t>
  </si>
  <si>
    <t>Jill</t>
  </si>
  <si>
    <t>Fuss</t>
  </si>
  <si>
    <t>Ms. Jill Fuss was a Co-Founder at CinderBio and also served as its Chief Technology Officer and Chief Operating Officer. She has over fifteen years of enzymology experience with expertise in biochemistry, molecular biology, and structural biology.</t>
  </si>
  <si>
    <t>jill.fuss@activate.org</t>
  </si>
  <si>
    <t>264516-94P</t>
  </si>
  <si>
    <t>Karin Lion</t>
  </si>
  <si>
    <t>Karin</t>
  </si>
  <si>
    <t>Lion</t>
  </si>
  <si>
    <t>Ms. Karin Lion serves as Chief Growth Officer at Activate Global. She is responsible for developing the expansion strategy to support 100 new Activate Fellows annually by 2026. An expert in scaling impact across multiple sectors, she was previously VP of strategy for global agtech non-profit Digital Green, where she doubled the annual budget from $7M to $14M. Prior to that, she managed a portfolio of philanthropic investments totaling $150M at the Bill and Melinda Gates Foundation. She has an M.B.A. from the Haas School of Business at U.C. Berkeley, an M.A. in International Policy Studies from The George Washington University, and a B.A. in Government and History from William &amp; Mary.</t>
  </si>
  <si>
    <t>karin.lion@activate.org</t>
  </si>
  <si>
    <t>Chief Growth Officer</t>
  </si>
  <si>
    <t>308937-70P</t>
  </si>
  <si>
    <t>Margaret Lumley Ph.D</t>
  </si>
  <si>
    <t>Margaret</t>
  </si>
  <si>
    <t>Lumley</t>
  </si>
  <si>
    <t>Dr. Margaret Lumley co-founded and served as Chief Executive Officer at ChloBis Water. Her PhD thesis focused on the development of electrodes for desalination. She has also participated in extensive entrepreneurial training and is leading the team's business development efforts.</t>
  </si>
  <si>
    <t>314047-00P</t>
  </si>
  <si>
    <t>Naomi Baer</t>
  </si>
  <si>
    <t>Naomi</t>
  </si>
  <si>
    <t>Baer</t>
  </si>
  <si>
    <t>Ms. Naomi Baer serves as Chief Operating Officer at Activate Global. She is focused on building and refining the business operations critical to scaling Activate. Before joining Activate, she designed and led programs for social entrepreneurs as the practitioner-in-residence at the Center for Social Innovation at Stanford University Graduate School of Business. She also served as chief operating officer and vice president of programs at Net Impact, a non-profit helping individuals leverage business skills for social impact. Additionally, she went from early employee to executive team member at Kiva, an international financial inclusion non-profit that grew substantially during her seven-year tenure. She is a certified Portuguese-to-English translator and holds an Executive Degree from Stanford and a B.A. from Brown University.</t>
  </si>
  <si>
    <t>naomi.baer@activate.org</t>
  </si>
  <si>
    <t>260989-93P</t>
  </si>
  <si>
    <t>Elyse Crowston</t>
  </si>
  <si>
    <t>Elyse</t>
  </si>
  <si>
    <t>Crowston</t>
  </si>
  <si>
    <t>Active Impact Investments</t>
  </si>
  <si>
    <t>Ms. Elyse Crowston serves as Vice President, Operations at Active Impact Investments. She began her career cultivating climate and sustainability campaigns at Ecojustice and has worked was most recently with Rhiza Capital.</t>
  </si>
  <si>
    <t>+1 (604) 809-5386</t>
  </si>
  <si>
    <t>Vancouver</t>
  </si>
  <si>
    <t>Vancouver, Canada</t>
  </si>
  <si>
    <t>106 West 1st Street</t>
  </si>
  <si>
    <t>Suite 401</t>
  </si>
  <si>
    <t>British Columbia</t>
  </si>
  <si>
    <t>V7M 2E7</t>
  </si>
  <si>
    <t>Vice President, Operations</t>
  </si>
  <si>
    <t>223594-66P</t>
  </si>
  <si>
    <t>Imran Jiwa</t>
  </si>
  <si>
    <t>Imran</t>
  </si>
  <si>
    <t>Jiwa</t>
  </si>
  <si>
    <t>Mr. Imran Jiwa serves as a Partner at Lift CPA. He also serves as Vice President of Impact and Finance at Active Impact Investments. He served as Head of Finance at Apollo Exchange. As a Chartered Professional Accountant (CPA, CA), he leads the reporting, tax, and financial governance processes at Apollo. In addition to working with start-ups and early-stage companies, he established financial reporting, tax, compliance, and due diligence procedures at a new venture capital fund.</t>
  </si>
  <si>
    <t>+1 (604) 440-6488</t>
  </si>
  <si>
    <t>2015 Main Street</t>
  </si>
  <si>
    <t>V5T 3C2</t>
  </si>
  <si>
    <t>Lift CPA</t>
  </si>
  <si>
    <t>311981-86P</t>
  </si>
  <si>
    <t>Kelley MacDonald</t>
  </si>
  <si>
    <t>Kelley</t>
  </si>
  <si>
    <t>MacDonald</t>
  </si>
  <si>
    <t>Manager</t>
  </si>
  <si>
    <t>Ms. Kelley MacDonald serves as Operations Manager at Active Impact Investments. Ms. MacDonald is a recent graduate of UBC, where she completed a BSc in Environmental Science and Commerce. She dove into various environmental threats facing our planet over the course of her degree, which led her to become exponentially more curious about the integration of sustainability in business. With her diverse experience working in environmental testing, outdoor education, and customer service, she brings strong organization and task management skills to our operations team.</t>
  </si>
  <si>
    <t>kelleym@activeimpactinvestments.com</t>
  </si>
  <si>
    <t>Operations Manager</t>
  </si>
  <si>
    <t>205760-08P</t>
  </si>
  <si>
    <t>Mike Winterfield</t>
  </si>
  <si>
    <t>Mike</t>
  </si>
  <si>
    <t>Winterfield</t>
  </si>
  <si>
    <t>Mr. Mike Winterfield is the Founder and serves as Managing Partner at Active Impact Investments. He serves as a Board Member at Lumo &amp; Future. He served as a Board Member at Future. He serves as a Board Observer at Metafold. He served as a Board Member at Flair. He serves as a Board Member at Agrology and Optiwatt. He served as a Board Member at Sametrica. He served as Advisor and Board Member at SWTCH. He served as a Board Observer at Jaza. He served as an Advisor at New/Mode. He served as a Board Member and Advisor for Operations and Sales at ChopValue. He exclusively supports small to medium-sized ventures that make our world more environmentally sustainable to scale their impact and profit by providing funding and extensive capacity-building services to the portfolio companies. Before this, he spent 18 years in executive roles in software, professional recruitment, and venture capital.</t>
  </si>
  <si>
    <t>209010-52P</t>
  </si>
  <si>
    <t>Qhalisa Khan</t>
  </si>
  <si>
    <t>Qhalisa</t>
  </si>
  <si>
    <t>Ms. Qhalisa Khan serves as an Associate at Active Impact Investments. She served as an Analyst at Amplify Capital. She served as an Investment Team Member at Front Row Ventures. Prior to Amplify Capital, she worked on the Strategy &amp; Thesis team at Georgian, and as an analyst at Information Venture Partners. Prior to her more technical finance experience, she worked at Ernst &amp; Young in their audit practice, and at Manulife Financial within their investment division. She has an undergraduate degree in Accounting &amp; Finance from the University of Waterloo and is a CFA Level II candidate.</t>
  </si>
  <si>
    <t>259765-39P</t>
  </si>
  <si>
    <t>Sam Hasty</t>
  </si>
  <si>
    <t>Hasty</t>
  </si>
  <si>
    <t>Mr. Sam Hasty serves as Strategist &amp; Consultant at Active Impact Investments. He serves as Board Member at Aquacycl. He serves as a Board Observer at SWTCH. He has studied financing and support systems for startups around the world and most recently has helped Harlem Capital Partners and Opportunity Hub source quality deals and collectively raise $40M+ for their impact investing initiatives. He is the co-founder of an economic development NGO, Let's Innovate Through Education (LITE), that's been recognized as one of 5 grassroots ideas creating change in America by The Atlantic. He has extensive experience as an angel investor, with a portfolio including companies in Aerospace &amp; Defense, Agriculture, Healthcare, Insurtech, Logistics Tech and Advanced Materials.</t>
  </si>
  <si>
    <t>319065-58P</t>
  </si>
  <si>
    <t>Sophia Khan</t>
  </si>
  <si>
    <t>Sophia</t>
  </si>
  <si>
    <t>Ms. Sophia Khan serves as Principal at Active Impact Investments. She served as Principal at Struck Capital. She co-founded and served as Consumer Technology Strategist &amp; Executive Advisor at Speedy. At Struck Studio, She managed the full lifecycle of ventures from brainstorming to prototyping and launch. Prior to joining Struck Studio, she served as the Director of Strategy at the growth-stage sustainable consumer brand Reformation, and before her endeavor at the climate-friendly startup, she spent five years on the investment team at Greycroft working on consumer and enterprise SaaS deals. Before embarking on her career in investing, she spent time in the intelligence space focused on global counter-terrorism across Europe, Asia, and the Middle East. She hopes to use this nascent curiosity of human behavior and her later experience investing in some of the world's fastest-growing startups to help build disruptive businesses with Struck Studio. She earned MA from King's College London and BA from Kenyon College.</t>
  </si>
  <si>
    <t>259771-96P</t>
  </si>
  <si>
    <t>Sophie Seston</t>
  </si>
  <si>
    <t>Sophie</t>
  </si>
  <si>
    <t>Seston</t>
  </si>
  <si>
    <t>Ms. Sophie Seston serves as a Principal at Active Impact Investments. Previously, she has worked with Osler, Hoskin &amp; Harcourt LLP's, 180 Degrees Consulting and Creative Destruction Lab West Accelerator. She is a BCom graduate of UBC.</t>
  </si>
  <si>
    <t>ss@activeimpactinvestments.com</t>
  </si>
  <si>
    <t>259773-22P</t>
  </si>
  <si>
    <t>Tom Boddez</t>
  </si>
  <si>
    <t>Tom</t>
  </si>
  <si>
    <t>Boddez</t>
  </si>
  <si>
    <t>Mr. Tom Boddez serves as General Partner at Active Impact Investments. He has spent 27 years practicing tax law with Thorsteinssons LLP. He joined Active Impact as a Partner in early 2018 shortly after it was founded and provides his expertise in evaluating portfolio opportunities, legal matters and raising capital.</t>
  </si>
  <si>
    <t>321910-21P</t>
  </si>
  <si>
    <t>Adekemi Ajayi</t>
  </si>
  <si>
    <t>Adekemi</t>
  </si>
  <si>
    <t>Ajayi</t>
  </si>
  <si>
    <t>Acumen Fund</t>
  </si>
  <si>
    <t>Ms. Adekemi Ajayi serves as Director, West Africa at Acumen Fund. She was educated in Nigeria and the United Kingdom. She graduated from Imperial College, University of London with an Upper Second in Biochemistry and is a UK-qualified Chartered Management Accountant (ACMA) as well as a Chartered Global Management Accountant (CGMA). Her early professional career was forged in the United Kingdom with Exxon Mobil, where she trained as an accountant and Morgan Stanley, where she worked in investment management and managed foreign exchange risk. In Nigeria, she gained further invaluable experience working in senior and executive management positions at UNIC Asset Management, Etisalat, and Chapel Hill Denham. Prior to joining Acumen, she had a stint at Odu'a Investment Company Limited as the Group Chief Financial Officer, reorganizing and restructuring the finance function of the holding company and its subsidiaries.</t>
  </si>
  <si>
    <t>+234 (0)1 229 6226</t>
  </si>
  <si>
    <t>aajayi@acumen.org</t>
  </si>
  <si>
    <t>Lagos</t>
  </si>
  <si>
    <t>Lagos, Nigeria</t>
  </si>
  <si>
    <t>Lekki Phase 1</t>
  </si>
  <si>
    <t>Plot 18 Sikiru Alade Oloko Crescent</t>
  </si>
  <si>
    <t>Nigeria</t>
  </si>
  <si>
    <t>Director, West Africa</t>
  </si>
  <si>
    <t>425518-21P</t>
  </si>
  <si>
    <t>Alexandra Gordon</t>
  </si>
  <si>
    <t>Gordon</t>
  </si>
  <si>
    <t>Ms. Alexandra Gordon serves as Chief Marketing and Communications Officer at Acumen Fund. She is responsible for bringing to life Acumen's brand voice, insights and impact and amplifying the extraordinary work of their global investees and fellows. She was most recently President and Partner at Matter Unlimited a social impact consultancy that sits at the intersection of culture, capital and cause. She has worked with some of the world's most respected foundations, nonprofits and brands including The Obama Foundation, The Rockefeller Foundation, Nike and UNICEF. Her work has been Emmy nominated, honored multiple years at The Cannes Lions Festival and The Anthem Awards. In the last decade her communication strategies and storytelling have spanned issues from energy poverty to maternal health and the road to net zero. She is President of the board for The 49% a media company using women's storytelling to advocate for sustainable change and has spoken at the UN on the role of storytelling in the fight to end maternal mortality.</t>
  </si>
  <si>
    <t>+1 (212) 566-8821</t>
  </si>
  <si>
    <t>agordon@acumen.org</t>
  </si>
  <si>
    <t>40 Worth Street</t>
  </si>
  <si>
    <t>Suite 303</t>
  </si>
  <si>
    <t>10013</t>
  </si>
  <si>
    <t>+1 (212) 566-8817</t>
  </si>
  <si>
    <t>Chief Marketing and Communications Officer</t>
  </si>
  <si>
    <t>188493-76P</t>
  </si>
  <si>
    <t>Ali Ansari</t>
  </si>
  <si>
    <t>Ansari</t>
  </si>
  <si>
    <t>Mr. Ali Ansari serves as Advisor at Acumen Fund. He started his career as an Investment Manager at Bank of America in London, and then worked as CEO Pakistan and later as COO Emerging Europe for Credit Lyonnais Securities Asia (CLSA). Following this he was CEO AKD Securities and launched Online Trading, Venture Capital and Private Equity in Pakistan. In 2006 he partnered with an Oil &amp; Gas company to form Dewan Drilling which he led as its CEO. He was the President &amp; CEO of Engro Corporation and was concurrently Chairman of all its subsidiaries from May 2012 till May 2015. He has now partnered with Bank Al Falah in Al Falah Securities. He also serves on the board of Kashf Foundation and is a member of the Advisory board of Acumen Fund Pakistan and Chairman of the Advisory Board of the Aman Centre of Entrepreneurship Development at IBA.</t>
  </si>
  <si>
    <t>aansari@acumen.org</t>
  </si>
  <si>
    <t>321910-30P</t>
  </si>
  <si>
    <t>Amrit Singh</t>
  </si>
  <si>
    <t>Amrit</t>
  </si>
  <si>
    <t>Singh</t>
  </si>
  <si>
    <t>Mr. Amrit Singh serves as Portfolio Manager &amp; Portfolio Manager at Acumen Fund. Prior to Acumen, he was a core member of Tata Capital Special Situation Fund, one of India's first turnaround funds, where he was responsible for identifying and evaluating investments, structuring deals, effecting the turnaround, and helping the portfolio companies in preparation for a profitable exit. He holds a Master of Business Administration from the Indian Institute of Management, Kozhikode, and a bachelor's in Electronics and Communication Engineering from the University of Rajasthan.</t>
  </si>
  <si>
    <t>asingh@acumen.org</t>
  </si>
  <si>
    <t>602, Sapphire - Notandas Realty</t>
  </si>
  <si>
    <t>Above Kotak Mahindra Bank, SV Road, Khar West</t>
  </si>
  <si>
    <t>400052</t>
  </si>
  <si>
    <t>Portfolio Manager, Investments</t>
  </si>
  <si>
    <t>78683-86P</t>
  </si>
  <si>
    <t>Amrita Bhandari</t>
  </si>
  <si>
    <t>Amrita</t>
  </si>
  <si>
    <t>Bhandari</t>
  </si>
  <si>
    <t>Ms. Amrita Bhandari serves as Chief of Insights &amp; Strategy at Acumen Fund. She also serves as a Board Member at Burn, Kheyti, and Warc Africa. She advises the management team on a range of topics in addition to getting involved with our portfolio companies on their strategic direction. She served as CFO of Acumen for 3 years before stepping into this role. Prior to Acumen, She was CFO of Katzenbach Partners, a dynamic management consulting firm, and was instrumental in the merger integration of Katzenbach with Booz &amp; Company. In addition to her management role, she consulted with clients across a range of industries with a focus on strategy and planning. Since then, she has developed her own independent consulting practice with a focus on inspiring organizations in the social sector. She has worked with Acumen in the past as a strategy consultant covering a range of topics such as clarifying Acumen's business model, developing a multi-year operating plan, and evaluating Acumen's employee compensation plans. She has also worked with Management Leadership for Tomorrow, Edelman, and other professional services firms. She received a BA in International Relations from The College of Wooster.</t>
  </si>
  <si>
    <t>+1 (646) 747-3687</t>
  </si>
  <si>
    <t>abhandari@acumen.org</t>
  </si>
  <si>
    <t>Chief of Insights &amp; Strategy</t>
  </si>
  <si>
    <t>428039-56P</t>
  </si>
  <si>
    <t>Anthony Wainaina</t>
  </si>
  <si>
    <t>Wainaina</t>
  </si>
  <si>
    <t>Mr. Tony Wainaina serves as an Investment Committee Member at Acumen Fund. He is the Founder and Director at Origins IGA Limited, a firm that provides financial and management advisory services to commercial enterprises. He is also an adjunct faculty member at Strathmore Business School. Over the past 23 years, he has accumulated extensive experience at all levels of originating, executing, and exiting both equity and debt transactions in Africa, which include a broad spectrum of start-up, early-stage, and later-stage transactions. Early in his career, he was responsible for originating and executing direct equity investments in 15 African countries for Citibank's $50 million Direct Equity Investment Fund. After leaving Citibank, he was hired as CEO and Managing Director at ICDC Investment CO, which was East Africa's largest publicly quoted investment company. After leaving ICDC, he was hired as CEO and Managing Director of Trans-Century Limited, a diversified investment holding company involved in buyout, acquisition, and private equity activity in sub-Saharan Africa. He served as a financial advisor to the Government of Uganda for three years, and most recently was a Managing Partner at Fanisi Capital, a venture capital fund investing in high-potential small and medium-sized enterprises in East Africa. While at Fanisi, he helped raise two funds (a combined committed total of $76 million), which included international DFIs, that invested in agribusiness, education, healthcare, and retail/consumer sectors. He holds a BSc in Agricultural Economics from the University of London, and an MBA from Georgetown University, where he received the Thomas Jefferson Fellowship.</t>
  </si>
  <si>
    <t>twainaina@acumen.org</t>
  </si>
  <si>
    <t>Investment Committee Member</t>
  </si>
  <si>
    <t>38969-47P</t>
  </si>
  <si>
    <t>Arianna Huffington</t>
  </si>
  <si>
    <t>Arianna</t>
  </si>
  <si>
    <t>Huffington</t>
  </si>
  <si>
    <t>Ms. Arianna Huffington is the Founder and serves as Chief Executive Officer at Thrive Global. She served as Board Member at Onex (Private Equity). She serves as Global Advisor at Acumen Fund. She served as a Board Member at Uber. She served as Board Member at Committee to Protect Journalists. In May 2005, she launched The Huffington Post, a news and blog site that quickly became one of the most widely-read, linked to, and frequently-cited media brands on the Internet. In August 2016, she launched Thrive Global, a corporate and consumer well-being and productivity platform with the mission of changing the way we work and live by ending the collective delusion that burnout is the price we must pay for success. She has been named to Time Magazine's list of the world's 100 most influential people and the Forbes Most Powerful Women list.Originally from Greece, she moved to England when she was 16 and graduated from Cambridge University with an M.A. in economics. At 21, she became president of the famed debating society, the Cambridge Union.</t>
  </si>
  <si>
    <t>+1 (888) 700-8474</t>
  </si>
  <si>
    <t>arianna@thriveglobal.com</t>
  </si>
  <si>
    <t>599 Broadway</t>
  </si>
  <si>
    <t>6th Floor</t>
  </si>
  <si>
    <t>10012</t>
  </si>
  <si>
    <t>Thrive Global</t>
  </si>
  <si>
    <t>153260-74P</t>
  </si>
  <si>
    <t>Ayesha Khan Ph.D</t>
  </si>
  <si>
    <t>Ayesha</t>
  </si>
  <si>
    <t>Ms. Ayesha Khan serves as Regional Director, of Pakistan at Acumen Fund. Ms. Khan serves as a Board Member at NRSP Microfinance Bank. She has previously been with HBL Bank as the Head of Corporate Planning and Strategy. She has also worked as a strategy consultant with McKinsey &amp; Co. in New York. She earned her Bachelor's degree from Princeton University USA. She also holds a Master's in International Development from Harvard University and a Doctorate in corporate strategy from Harvard Business School.</t>
  </si>
  <si>
    <t>akhan@acumen.org</t>
  </si>
  <si>
    <t>Regional Director, Pakistan</t>
  </si>
  <si>
    <t>270033-40P</t>
  </si>
  <si>
    <t>Babatunde Usman</t>
  </si>
  <si>
    <t>Babatunde</t>
  </si>
  <si>
    <t>Usman</t>
  </si>
  <si>
    <t>Mr. Babatunde Usman serves as Senior Investment Associate at Acumen Fund. Mr. Usman served as an Investment Analyst &amp; Portfolio Manager at Aruwa Capital Management. He served as an Analyst at Platform Capital. Before joining Aruwa Capital Nigeria Limited, he worked as an Investment Analyst at Platform Capital Investment Partners where he worked as a member of the Tech Investment team deploying capital to startup and early-stage companies globally. While at Platform Capital, he was also part of a team that closed transactions over $ 50 million where he worked on investments totaling $7.5 million. Working with a sector-agnostic investment approach he has developed industry knowledge across various sectors and business models including healthcare, renewable energy, fintech, education, and media. He is passionate about changing the African investment landscape by deploying much-needed capital in an ethical and timely manner to unlock the vast untapped potential across the continent. He holds a Bachelor's degree in Business and International Relations from Aston University and an MSc in International Business.</t>
  </si>
  <si>
    <t>busman@acumen.org</t>
  </si>
  <si>
    <t>Senior Investment Associate</t>
  </si>
  <si>
    <t>153252-64P</t>
  </si>
  <si>
    <t>Bavidra Mohan</t>
  </si>
  <si>
    <t>Bavidra</t>
  </si>
  <si>
    <t>Mohan</t>
  </si>
  <si>
    <t>Mr. Bavidra Mohan serves as Fundraising Director, Academy at Acumen Fund. Fundraising Director, AcademyHe also serves as Advisor at Kheyti. Bavidra started his career as a Social Strategy Consultant with JWT, helping Fortune 500's create shared value by aligning social impact with overarching business strategy. In 2011, Bavidra was selected as an Acumen Global Fellow where he was placed with d.light design in Shenzhen and New Delhi, working on brand development, product launches and new product innovation. Upon completion of the Global Fellowship Bavidra Co-Founded a technology start-up in San Francisco that built mobile products for sustainable urban mobility. He holds a BA(h) in Sociology for Queen's University and an MA from Kingston University.</t>
  </si>
  <si>
    <t>bmohan@acumen.org</t>
  </si>
  <si>
    <t>Fundraising Director, Academy</t>
  </si>
  <si>
    <t>221979-43P</t>
  </si>
  <si>
    <t>Bowofade Elegbede</t>
  </si>
  <si>
    <t>Bowofade</t>
  </si>
  <si>
    <t>Elegbede</t>
  </si>
  <si>
    <t>Associate Director</t>
  </si>
  <si>
    <t>Mr. Bowofade Elegbede serves as Associate Director, Portfolio at Acumen Fund. Previously, at Platform Capital, he spearheaded principal investments and successfully led equity transactions in technology and industrial companies. He managed a diverse portfolio of more than 60 companies, both directly and indirectly through limited partner investments in venture capital funds across Nigeria, the USA, and Mexico. He also played a key role in Platform Capital's incubation program, overseeing the screening, selection, onboarding, and management of three cohorts across multiple African countries. Before his tenure at Platform Capital, he worked in the strategy team at Asset and Resource Management Holding (ARM), focusing on corporate development initiatives and strategy formulation. He worked on coordinating sell-side activities for two divestment transactions from ARM's subsidiaries in the insurance and pension segments, supported the concept development of ARM's proposed social impact investments fund and was involved in ARM's acquisition of Mixta where he worked on post-transaction business combination and integration strategies for the combined entities. He began his career at Deloitte, specializing in tax and consulting. He holds a degree in Accounting from Bowen University, Nigeria, a master's degree in E-business from Lancaster University, UK, and is currently a CFA Level II candidate.</t>
  </si>
  <si>
    <t>+234 (0)909 347 8161</t>
  </si>
  <si>
    <t>belegbede@acumen.org</t>
  </si>
  <si>
    <t>Associate Director, Portfolio</t>
  </si>
  <si>
    <t>425519-20P</t>
  </si>
  <si>
    <t>Brian Ondeng</t>
  </si>
  <si>
    <t>Brian</t>
  </si>
  <si>
    <t>Ondeng</t>
  </si>
  <si>
    <t>Mr. Brian Ondeng serves as Portfolio Manager at Acumen Fund. He manages the Acumen East Africa Agriculture Facility, where he also oversees Energy investments. With over 8 years of experience in private equity-type funds across sub-Saharan Africa, he contributes to the entire investment process, from identifying opportunities to post-deal portfolio management. Before his current role, he supported the early expansion of Pharo Ventures, focusing on investments in the Horn of Africa. Before this, he served several years at PwC's Transaction department, before which he started his career in retail investing and public equities. Driven by a passion for supporting the next generation of African farmers, he possesses a green thumb and a keen interest in emerging technologies such as AI and blockchain. He has a strong bias for ventures that empower and support youth.</t>
  </si>
  <si>
    <t>50817-61P</t>
  </si>
  <si>
    <t>Brian Trelstad</t>
  </si>
  <si>
    <t>Trelstad</t>
  </si>
  <si>
    <t>Mr. Brian Trelstad serves as a Board Member at Sawa Credit. He serves as a Partner at Bridges Fund Management. He serves as an Advisory Board Member at milemark.capital. serves as an Advisor at Social Venture Fund. He is an Advisor at GLIN Impact Capital. He served as an Advisor at Solstice Power Technologies. He serves as an Advisor at Acumen Fund. Previously, he was a management consultant with McKinsey &amp; Company in their New Jersey office. He has co-founded and advised several early-stage technology companies and social enterprises and was the lead environmental staffer for President Clinton's Corporation for National Service. He holds a BA in Social Studies from Harvard University and a master's in city planning from the University of California. He completed his MBA from Stanford University.</t>
  </si>
  <si>
    <t>+44 (0)20 3780 8000</t>
  </si>
  <si>
    <t>brian@bridgesfundmanagement.com</t>
  </si>
  <si>
    <t>38 Seymour Street</t>
  </si>
  <si>
    <t>W1H 7BP</t>
  </si>
  <si>
    <t>Bridges Fund Management</t>
  </si>
  <si>
    <t>11562-76P</t>
  </si>
  <si>
    <t>Carlyle Singer</t>
  </si>
  <si>
    <t>Carlyle</t>
  </si>
  <si>
    <t>Singer</t>
  </si>
  <si>
    <t>Ms. Carlyle Singer serves as President at Acumen Fund. She serves as a Investment Committee Member at Acumen America. She joined Acumen in March of 2013, and currently serves as President. Prior to joining Acumen, she spent seven years as President and CEO of Katun Corporation, a global, middle-market, privately held company in the compatible consumables imaging space. She serves as Board Member at FutureFit A. In that role, she was responsible for all aspects of Katun's business operations throughout the world. During her tenure with the Company, her key areas of focus were the development and execution of strategies designed to properly position Katun in a rapidly changing industry, to ensure sales execution around the world, and drive strong financial discipline throughout the organization. Prior to Katun, she was employed for nine years at IKON Office Solutions, a $4.7 billion publicly held office equipment distributor, before being acquired by Ricoh in 2008. She held positions as Senior Vice President of Operations, Vice President and Corporate Controller, and President of IKON France. She is an MBA graduate from Stanford University Graduate School of Business and graduated magna cum laude from Harvard College with a Bachelor of Arts degree in History, with a concentration in Latin American Economic Development.</t>
  </si>
  <si>
    <t>+1 (646) 747-3694</t>
  </si>
  <si>
    <t>csinger@acumenfund.org</t>
  </si>
  <si>
    <t>145874-80P</t>
  </si>
  <si>
    <t>Chris Anderson</t>
  </si>
  <si>
    <t>Anderson</t>
  </si>
  <si>
    <t>Mr. Chris Anderson is a Curator at TED. He also serves as Executive at Virya. He serves as Advisor at Acumen Fund. He attended an American school in the Himalayas for his early education. After boarding school in Bath, England, he went on to Oxford University, graduating in 1978 with a degree in philosophy, politics and economics. He then trained as a journalist, working in newspapers and radio, including two years producing a world news service in the Seychelles Islands. Back in the UK in 1984, he was captivated by the personal computer revolution and became an editor at one of the UK's early computer magazines. A year later he founded Future Publishing with a $25,000 bank loan. The new company initially focused on specialist computer publications but eventually expanded into other areas such as cycling, music, video games, technology and design, doubling in size every year for seven years. In 1994, he moved to the United States where he built Imagine Media, publisher of Business 2.0 magazine and creator of the popular video game users website IGN. He eventually merged Imagine and Future, taking the combined entity public in London in 1999, under the Future name. At its peak, it published 150 magazines and websites and employed 2,000 people. This success allowed him to create a private nonprofit organization, the Sapling Foundation, with the hope of finding new ways to tackle tough global issues through media, technology, entrepreneurship and, most of all, ideas. In 2001, the foundation acquired the TED Conference, then an annual meeting of luminaries in the fields of Technology, Entertainment and Design held in Monterey, California, and he left Future to work full time on TED.</t>
  </si>
  <si>
    <t>+1 (212) 227-6397</t>
  </si>
  <si>
    <t>anderson.chris@ted.com</t>
  </si>
  <si>
    <t>330 Hudson Street</t>
  </si>
  <si>
    <t>11th floor</t>
  </si>
  <si>
    <t>Curator</t>
  </si>
  <si>
    <t>TED</t>
  </si>
  <si>
    <t>293964-40P</t>
  </si>
  <si>
    <t>Chris Maranga</t>
  </si>
  <si>
    <t>Maranga</t>
  </si>
  <si>
    <t>Mr. Chris Maranga serves as a Board Member at Sterling Capital (Kenya). He serves as a Board Member at Medbook Kenya. He has over 15 years of experience in Corporate Finance transactions having worked for PwC, Deloitte, First Africa Capital, Standard Chartered Securities Kenya Limited, Phatsia (USD 300m private equity fund), and is currently the Director for Corporate Finance at Standard &amp; Mutual. He has worked on a diverse range of transactions across the African region including private equity investing, buy and sell-side equity advisory transactions, privatization of Government State Corporations, feasibility studies, and financial due diligence assignments. He has also developed expertise in providing advisory services to clients in the power, agribusiness, petroleum, airlines, financial services, and telecommunications sectors in over 10 countries in Africa, Europe, and the Middle East. He holds a Bachelor of Commerce (Finance) degree and an MBA (Finance) from the University of Nairobi and is also an accountant with the Association of Chartered Certified Accountants (ACCA). He also obtained a higher diploma in Information Systems Management from the Institute for the Management of Information Systems (IMIS) and has completed level one of the CFA programs. He is currently pursuing a Ph.D. in Finance at the University of Nairobi.</t>
  </si>
  <si>
    <t>cmaranga@acumen.org</t>
  </si>
  <si>
    <t>East Africa Director</t>
  </si>
  <si>
    <t>321912-01P</t>
  </si>
  <si>
    <t>Christopher Emmott Ph.D</t>
  </si>
  <si>
    <t>Emmott</t>
  </si>
  <si>
    <t>Mr. Christopher Emmott serves as Associate Director, Investing in Energy Access at Acumen Fund. He serves as a Board Member at Oorja Development Solutions. Prior to joining Acumen in 2022, Chris developed new products to bring energy and financial services to low-income customers across Africa. Most recently he worked with Paga in Nigeria, and prior to this was based in Uganda with Engie Energy Access. Chris' focus on energy access began during his postdoctoral studies, where his research explored the application of novel solar energy technologies. He holds a Bachelors in physics from the University of Edinburgh and a PhD from Imperial College London.</t>
  </si>
  <si>
    <t>+44 (0)20 3701 7376</t>
  </si>
  <si>
    <t>cemmont@acumen.org</t>
  </si>
  <si>
    <t>Somerset House, Strand</t>
  </si>
  <si>
    <t>Office T111, New Wing</t>
  </si>
  <si>
    <t>WC2R 1LA</t>
  </si>
  <si>
    <t>Associate Director, Investing in Energy Access</t>
  </si>
  <si>
    <t>321913-09P</t>
  </si>
  <si>
    <t>Christopher Wayne</t>
  </si>
  <si>
    <t>Wayne</t>
  </si>
  <si>
    <t>Mr. Christopher Wayne serves as Associate Director of Investing in Agriculture at Acumen Fund. Chris's international agricultural work began in Costa Rica, where he worked with plantain, watermelon, and papaya farmers to deploy sustainable growing practices and access new markets. Upon returning to the States, he worked with the New Farmer Development Project to provide access to capital, access to land, and supply chain assistance to immigrant farmers starting small businesses in the Northeastern United States. Chris holds a master of science in Sustainable Management from Columbia University and a bachelor's degree from Ithaca College in creative writing.</t>
  </si>
  <si>
    <t>cwayne@acumen.org</t>
  </si>
  <si>
    <t>Associate Director, Investing in Agriculture</t>
  </si>
  <si>
    <t>378431-92P</t>
  </si>
  <si>
    <t>Craig Nevill-Manning Ph.D</t>
  </si>
  <si>
    <t>Craig</t>
  </si>
  <si>
    <t>Nevill-Manning</t>
  </si>
  <si>
    <t>Mr. Craig Nevill-Manning serves as an Advisor at Acumen Fund. Before joining Sidewalk Labs, he founded Google's first remote engineering center, located in New York City. In his role as Engineering Director at Google, he oversaw the development of products including Google Local (now Maps) and Froogle (now Google Shopping), as well as features of web search such as Question Answering. As engineering director of Google.org, Google's philanthropic arm, he co-founded Google.org's Flu Trends and Crisis Response projects, providing maps, imagery, and a missing person service after crises in Japan and elsewhere. Before joining Google in 2000, he was an assistant professor in the Computer Science Department at Rutgers University, and a Post-Doctoral Fellow in the Biochemistry Department at Stanford University. He is the author of 44 peer-reviewed academic publications and was awarded a Career Grant by the National Science Foundation for work combining information retrieval and computational biology. A native of New Zealand, he earned a BSc in Computer Science from Canterbury University and a PhD in Computer Science from Waikato University.</t>
  </si>
  <si>
    <t>378371-26P</t>
  </si>
  <si>
    <t>Daniel Attah</t>
  </si>
  <si>
    <t>Attah</t>
  </si>
  <si>
    <t>Mr. Daniel Attah serves as an Associate of Portfolio at Acumen Fund. He is a finance professional with about 4 years of experience working in mergers and acquisitions, project finance, trade finance, capital markets, and deal advisory covering multiple sectors in Africa. He holds a Bachelor of Science with Honors in Petroleum Chemistry from the American University of Nigeria and is a CFA Level III candidate. He joins the Acumen West Africa team as an Investment Associate from Lighthouse Capital Limited where he was responsible for research and analysis for investment banking transactions, business valuation exercises, information memoranda and investor presentations preparations, building comprehensive financial models, and supporting deal structuring and transaction management. His contribution extends to supporting fundraising, serving as a facility agent, and actively participating in transactions that span the energy, telecommunications, and agriculture sectors. Before Lighthouse Capital, he worked at the Civic Foundation for Innovation as a research analyst focusing on MSME access initiatives and innovative GovTech solutions. In this role, he helped with the conceptualization and implementation of Civic X, an initiative for teaching children in remote communities basic literacy and digital skills through mobile learning hubs (trucks). His experience also includes a stint at the Department of Petroleum Resources.</t>
  </si>
  <si>
    <t>dattah@acumen.org</t>
  </si>
  <si>
    <t>Associate, Portfolio</t>
  </si>
  <si>
    <t>378432-73P</t>
  </si>
  <si>
    <t>Diana Barrett</t>
  </si>
  <si>
    <t>Diana</t>
  </si>
  <si>
    <t>Barrett</t>
  </si>
  <si>
    <t>Ms. Diana Barrett serves as an Advisor at Acumen Fund. She, President, founded Fledgling in 2005 after a long career at Harvard University, where she taught at both the Harvard Business School and the School of Public Health. At Harvard Business School, she was a member of the Social Enterprise core group teaching Business Leadership in the Social Sector as well as various executive programs. Her areas of interest included the use of public-private partnerships for global poverty reduction and specifically, in addressing the social and personal burden of diseases such as HIV/AIDS. She received both her Masters in Business Administration and her Doctorate in Business Administration from the Harvard Business School. Fledgling provides an opportunity to further those interests by focusing on innovative approaches to complex social issues including the use of media to ignite social change. In addition to leading Fledgling, she serves on the Boards of the International Center for Photography, the Social Change Film Forum at Harvard's Kennedy School of Government, and the Advisory Board of the Acumen Fund.</t>
  </si>
  <si>
    <t>52512-49P</t>
  </si>
  <si>
    <t>Elizabeth Comstock</t>
  </si>
  <si>
    <t>Elizabeth</t>
  </si>
  <si>
    <t>Comstock</t>
  </si>
  <si>
    <t>Ms. Elizabeth Comstock serves as Chief Commercial Officer at Climate Real Impact Solutions II Acquisition. She serves as a Global Advisor at Acumen Fund. She served as an Advisor at TMV(Trail Mix Ventures). She served as a Board Member at EVgo. She serves as a Board Member at Penta Group. She serves as a Board Member at Nike. She serves as a Board Member &amp; Advisor at Nanotronics. She served as the President &amp; Chief Executive Officer at GE Business Innovations. She served as Chief Marketing Officer at GE Ventures. She served as a Board Member at Partnership for New York City. She is a Co-Founder of Hulu. She leads GE's newly formed Business Innovations unit with a mandate to accelerate growth from new businesses and those in transition, intensify commercial impact, and increase brand value. GE Business Innovations includes GE Lighting, GE Ventures &amp; Licensing, software commercialization, and corporate marketing, sales, and communication. Current priorities include accelerating the Industrial Internet, clean energy, and affordable health offerings and partnerships that enhance GE's inventive culture and brand. Previously, she served as President of Integrated Media at NBC Universal, overseeing ad sales, marketing, and research, and led the company's digital media efforts, including the early development of Hulu.com, Peacock Equity and acquiring ivillage.com. In 2003, she was named GE's first Chief Marketing Officer in more than 20 years. Previously, she held a succession of roles at GE, NBC, CBS, and Turner Broadcasting. She is the President of the Cooper-Hewitt Smithsonian Design Museum. She serves on the board of Quirky, a GE partner for smart consumer products. She graduated from the College of William and Mary with a degree in biology. She serves as an Advisor at Exposition Ventures.</t>
  </si>
  <si>
    <t>bcomstock@acumen.org</t>
  </si>
  <si>
    <t>300 Carnegie Center</t>
  </si>
  <si>
    <t>Suite 150</t>
  </si>
  <si>
    <t>Chief Commercial Officer</t>
  </si>
  <si>
    <t>Climate Real Impact Solutions II Acquisition</t>
  </si>
  <si>
    <t>103174-66P</t>
  </si>
  <si>
    <t>Elizabeth Rockett</t>
  </si>
  <si>
    <t>Rockett</t>
  </si>
  <si>
    <t>Ms. Elizabeth Rockett serves as an Investment Committee Member at Acumen Fund. She served as a Senior Advisor at Unseen Capital. She is also an Investment Committee Member at Acumen Fund. She is the founder of Mission Lock. Mission Lock supports innovation for impact in the funding sources and corporate structures in US health &amp; care. Previously Managing Director at Kaiser Permanente Ventures, she pioneered the firm's investment in social enterprises, aligning the investment strategy more closely with the non-profit mission of Kaiser Permanente. She led KP Ventures' investments in Big Health, Groups Recover Together, Everytable, and DexCare. She served on the boards of Big Health, Everytable, KitCheck, OssoVR, Groups, DexCare, and Omada, and as a member of the investment committee for Rock Health. Before KPV, she built the health impact investing practice for Imprint Capital, acquired by Goldman Sachs. She spent an interim year between Imprint and KPV helping design Acumen America and supporting the Robert Wood Johnson Foundation's impact investing interests. Her operating background was focused on commercial operations and new product development at TriZetto (acquired by Cognizant), the Advisory Board Company (acquired by Optum), and Outcome (acquired by Quintiles).</t>
  </si>
  <si>
    <t>lrockett@acumen.org</t>
  </si>
  <si>
    <t>238465-63P</t>
  </si>
  <si>
    <t>Elvia Gomez</t>
  </si>
  <si>
    <t>Elvia</t>
  </si>
  <si>
    <t>Gomez</t>
  </si>
  <si>
    <t>Ms. Elvia Gomez serves as Portfolio Manager for Latin America at Acumen Fund. She joined Acumen in 2020 as Portfolio Manager for Latin America. Before joining Acumen, she was Manager at FIMI, Fondo Acción's impact investment fund in Bogota. Her responsibilities included sourcing, analysis, due diligence and deal execution for equity and debt transactions, and monitoring of investments. Prior to that, in her consulting practice, she specialized in sustainable business development and strategic and financial planning for social enterprises and non-profit organizations, and in gender analysis and assessment. She also has experience working for the investment bank affiliate of Grupo Bancolombia where she originated, structured and executed transactions for companies in diverse industries in Latin America, and where she held increasing responsibilities as associate and project manager. Prior to that, she was an advisor on risk management for the Ministry of Finance. She has an MBA from London Business School and a bachelor's degree in Government and International Relations from Universidad Externado de Colombia in Bogotá.</t>
  </si>
  <si>
    <t>egomez@acumen.org</t>
  </si>
  <si>
    <t>Bogota</t>
  </si>
  <si>
    <t>Bogota, Colombia</t>
  </si>
  <si>
    <t>Avenida Carrera 7 No. 84A - 29</t>
  </si>
  <si>
    <t>Edificio Empresarial La Cabrera, Oficina 502</t>
  </si>
  <si>
    <t>110221</t>
  </si>
  <si>
    <t>Colombia</t>
  </si>
  <si>
    <t>Portfolio Manager for Latin America</t>
  </si>
  <si>
    <t>428035-60P</t>
  </si>
  <si>
    <t>Eric Carroll</t>
  </si>
  <si>
    <t>Carroll</t>
  </si>
  <si>
    <t>Mr. Eric Carroll serves as Risk and Compliance Manager at Acumen Fund. Previously, he worked at Acceso and the Clinton Foundation serving as Associate Director of Agribusiness. In that role, he provided commercial oversight for the organization's portfolio in Latin America and the Caribbean, focusing on Colombia and Haiti (where he lived between 2015 and 2017). Prior to working with Acceso, he served as country director of a small American NGO working in the education sector, Team Tobatí, in Tobatí, Paraguay for +2 years. Following this experience, he worked briefly for the micro-finance organization, Fundación Paraguaya, in Asunción, Paraguay. He holds a Master of Arts in International Political Economy and Development from Fordham University and a Bachelor of Arts in International Studies from Boston College. He is fluent in Spanish and Haitian Creole.</t>
  </si>
  <si>
    <t>ecarroll@acumen.org</t>
  </si>
  <si>
    <t>Risk and Compliance Manager</t>
  </si>
  <si>
    <t>378374-59P</t>
  </si>
  <si>
    <t>Erica Ajayi</t>
  </si>
  <si>
    <t>Erica</t>
  </si>
  <si>
    <t>Director &amp; Executive Assistant</t>
  </si>
  <si>
    <t>Ms. Erica Ajayi serves as Senior Business Associate, Executive Assistant &amp; Regional Director West Africa at Acumen Fund. She joins us from Chapel Hill Denham, where she spent over four years as an Analyst in the Corporate Services Department. She formerly worked in administration for Deloitte Nigeria. She began her career with Thistle Praxis Consulting as a research analyst and executive assistant to the CEO before joining Jumia Nigeria as a Customer Service Executive for over a year and NowNow Digital Systems - a leading African B2B and B2C FinTech company that provides financial empowerment for a better life for Africans, as the Team Lead, Customer Service, where she specialized in planning, organizing, and problem-solving. She holds a B.Sc. in Business Administration from Covenant University, Ogun State, Nigeria</t>
  </si>
  <si>
    <t>eajayi@acumen.org</t>
  </si>
  <si>
    <t>Senior Business Associate, Executive Assistant &amp; Regional Director West Africa</t>
  </si>
  <si>
    <t>238491-73P</t>
  </si>
  <si>
    <t>Faheem Ahmed</t>
  </si>
  <si>
    <t>Faheem</t>
  </si>
  <si>
    <t>Ahmed</t>
  </si>
  <si>
    <t>Mr. Faheem Ahmed serves as Manager of Leadership at Acumen Fund. He brings a decade of experience working in impact-focused global and regional social impact enterprises. Prima facie, applies leadership-development, community-building, and organizational-development practices to initiate and establish programs to support social innovators.</t>
  </si>
  <si>
    <t>fahmed@acumen.org</t>
  </si>
  <si>
    <t>Manager, Leadership</t>
  </si>
  <si>
    <t>78697-18P</t>
  </si>
  <si>
    <t>Farrukh Khan</t>
  </si>
  <si>
    <t>Farrukh</t>
  </si>
  <si>
    <t>Mr. Farrukh Khan serves as Chief Financial Officer at Jazz. Mr. Khan serves as Investment Committee Member at Acumen Fund. He is the Chief Executive Officer (CEO) of Pakistan Stock Exchange Limited (PSX). He qualified as a Chartered Accountant from the Institute of Chartered Accountants in England and Wales, United Kingdom (UK), and also holds a BA (Hons.) in Economics and Finance from the University of Manchester. With over 30 years of senior management and board-level experience, he is an experienced entrepreneur, and leading business and financial advisor who has advised on many landmark transactions. Previously he has held senior positions with Acumen in Pakistan &amp; the UK, including Country Director &amp; CEO, Pakistan, Senior Director of Business Development, Chief Business Development Officer, and member of the Management Committee. He was the founding partner and CEO of BMA Capital Management Limited. Under his stewardship, BMA established itself as the leading investment banking group in Pakistan and received several international awards, including the 2010 EuromoneyAwardd for the best investment bank in Pakistan. His experience includes lead managing the US$813 million GDR offering and London listing of OGDCL, Pakistan's largest listed company, and successfully advising Etisalat on their $2.6 billion acquisition of Pak telecom, the largest mergers and acquisition transaction and the largest foreign direct investment in Pakistan's history. Other historical transactions include the US$ 1.5 billion privatization of Kot Addu Power Company and the US$898 million GDR offering for Pak Telecom. He has advised, either on the buy or sell side, on almost 50% of all successful privatizations in Pakistan, totaling over $4 billion in value. He has also worked with American Express Bank in Pakistan and Deloitte in London. He has an excellent network and deep knowledge of global business and investments. He has previously served as President of the Overseas Investors Chamber of Commerce &amp; Industry (OICCI), Chairman of the Young Presidents' Organization, Pakistan Chapter, and on the boards of prominent public and private sectororganizationss. He was also associated with the Securities and Exchange Commission of Pakistan as a member of its Policy Board from 2018 to 2019. He was selected by Euromoney as one of the top 50 global financial leaders, below the age of 40 years. His philanthropic interests include children's health and education.</t>
  </si>
  <si>
    <t>+92 (0)51 2817533</t>
  </si>
  <si>
    <t>fkhan@jazzxlr8.com.pk</t>
  </si>
  <si>
    <t>Islamabad</t>
  </si>
  <si>
    <t>Islamabad, Pakistan</t>
  </si>
  <si>
    <t>Plot Number C-2, Opposite F-9 Park, New Blue Area</t>
  </si>
  <si>
    <t>Federal Capital Area</t>
  </si>
  <si>
    <t>44000</t>
  </si>
  <si>
    <t>Pakistan</t>
  </si>
  <si>
    <t>Jazz</t>
  </si>
  <si>
    <t>92471-95P</t>
  </si>
  <si>
    <t>Federica Marchionni</t>
  </si>
  <si>
    <t>Federica</t>
  </si>
  <si>
    <t>Marchionni</t>
  </si>
  <si>
    <t>Ms. Federica Marchionni serves as an Advisor at Acumen Fund. She served as the Chief Executive Officer at Lands' End. Previously, she served as a Senior Vice President at Ferrari. She is the Chief Executive Officer at Global Fashion Agenda (GFA), which is a non-profit organization that mobilizes, educates, and inspires the industry to improve its sustainability performance. She is responsible for accelerating the impact of the organization and has the ultimate vision to create a net-positive fashion industry. She leads the elevation of the Global Fashion Agenda's prestigious forums including the Global Fashion Summit (formerly known as Copenhagen Fashion Summit) and the publication of reputable thought leadership and propels its advocacy efforts. All led to fostering a thriving fashion industry that creates prosperity for all people and communities by working within planetary boundaries, reversing its impact on climate change, and protecting biodiversity. Before joining GFA, she attained leadership roles in Europe, the USA, and China. Most recently, the role of International CEO of Secoo, a Chinese e-commerce retailer in China. Prior, she was CEO and Board Director at Lands' End and President of Dolce&amp;Gabbana Inc., based in America. Before moving to the States, she worked as SVP at Ferrari. Her career began in the early stage of the telecommunication industry, working in Italy for global players such as Samsung, Philips, and Ericsson. She graduated from La Sapienza University with a Master's Degree in Business Administration</t>
  </si>
  <si>
    <t>fmarchionni@acumen.org</t>
  </si>
  <si>
    <t>Lands' End (Former)</t>
  </si>
  <si>
    <t>378433-27P</t>
  </si>
  <si>
    <t>Felipe Medina</t>
  </si>
  <si>
    <t>Felipe</t>
  </si>
  <si>
    <t>Medina</t>
  </si>
  <si>
    <t>Mr. Felipe Medina serves as an Advisor at Acumen Fund. and leads the Transforming Philanthropy Initiative. The purpose of this initiative is to create a community of strategic philanthropists and to facilitate collaboration and exchanges of best practices and lessons learned with the final objective of increasing the volume of effective social investments. Mr. Medina spends twenty-five percent of his time analyzing and researching philanthropy and social investment trends. He is particularly interested in studying projects that generate sustainable development in Latin America. Mr. Medina is studying the obstacles that exist to create a culture of philanthropy in Latin America and the motivations for US-based philanthropists to get involved in international philanthropy. Mr. Medina is on the Board of Directors of Give to Colombia, Enseña por Colombia, and LASPAU. He is on the Board of Advisors of Lumni and LeapFrog Investments. He is part of the Steering Group of the Global Philanthropy Forum and the Philanthropy Center at Adolfo Ibañez University. Mr. Medina is a member of the Global Advisory Council of Acumen, Teach for All, Ashoka Support Network, and the Clinton Global Initiative. He is the Chair of the Board of Directors of L'Atelier, a Reggio Emilia-inspired pre-school that he founded with his wife Simonetta. L'Atelier is working with several organizations to establish Reggio Emilia-inspired early education centers. Mr. Medina began his career at Goldman Sachs in 1990, managing assets for Latin American clients and forming the largest team in the region. Between 2000 and 2003, he was Regional Director for Latin America Private Wealth Management. Currently, Mr. Medina manages relationships with some of the most influential families and individuals in the Region. He is a member of the Private Wealth Philanthropy Advisory Committee of Goldman Sachs. Mr. Medina has an MBA from Harvard Business School and a BS in Economics and Civil Engineering from the Massachusetts Institute of Technology.</t>
  </si>
  <si>
    <t>348446-08P</t>
  </si>
  <si>
    <t>Feyisola Adekogbe</t>
  </si>
  <si>
    <t>Feyisola</t>
  </si>
  <si>
    <t>Adekogbe</t>
  </si>
  <si>
    <t>Ms. Feyisola Adekogbe serves as Senior Associate Portfolio at Acumen Fund. She obtained a Bachelors degree from the University of Leicester in Business Economics and a Masters' degree from the London School of Economics &amp; Political Science (LSE) in Management, Organisation &amp; Governance (Entrepreneurship &amp; Innovation). Prior to joining Acumen, she worked for a start-up called Altara Credit Limited as a Finance Manager. She was particularly attracted to Altara as it focuses on alleviating poverty by providing consumer product and cash loans to both individuals in the formal and informal sectors in underserved markets. She also worked as an auditor in the Energy and Resources department at Deloitte, where she was on several engagements across Nigeria. Prior to this, she worked in the Market Risk department at Access Bank and the Corporate Banking Division at FSDH (First Security Discount House).</t>
  </si>
  <si>
    <t>fadekogbe@acumen.org</t>
  </si>
  <si>
    <t>Senior Associate Portfolio</t>
  </si>
  <si>
    <t>348455-71P</t>
  </si>
  <si>
    <t>Gladwel Anzaye</t>
  </si>
  <si>
    <t>Gladwel</t>
  </si>
  <si>
    <t>Anzaye</t>
  </si>
  <si>
    <t>Ms. Gladwel Anzaye serves as Senior Associate, Acumen Academy at Acumen Fund. She is a Senior Programme Associate with Acumen's East Africa team. Her work entails operational support to all aspects of the East Africa Fellows Program as well as any programming under the Acumen Academy in East Africa. Her daily engagement spans program administration, recruitment and selection and business development. Prior to Acumen, she worked at a multinational company in Kenya providing executive support to the Senior Leadership Team (SLT), coordinating all administrative and logistical needs of the team as well as overseeing special projects driven by the SLT. Earlier in her career, she worked for a Pan-African leadership development organization supporting the development of young African leaders.</t>
  </si>
  <si>
    <t>+254 (0)71 625 2802</t>
  </si>
  <si>
    <t>ganzaye@acumen.org</t>
  </si>
  <si>
    <t>Nairobi</t>
  </si>
  <si>
    <t>Nairobi, Kenya</t>
  </si>
  <si>
    <t>Waiyaki Way, Westlands P.O. Box 101883-00101</t>
  </si>
  <si>
    <t>3rd Floor, ABC Towers</t>
  </si>
  <si>
    <t>00101</t>
  </si>
  <si>
    <t>Kenya</t>
  </si>
  <si>
    <t>+254 (0)70 366 3868</t>
  </si>
  <si>
    <t>Senior Associate, Acumen Academy</t>
  </si>
  <si>
    <t>348449-68P</t>
  </si>
  <si>
    <t>Gustavo Cardenas</t>
  </si>
  <si>
    <t>Gustavo</t>
  </si>
  <si>
    <t>Cardenas</t>
  </si>
  <si>
    <t>Mr. Gustavo Cárdenas serves as a Portfolio Senior Associate at Acumen Fund. He joined Acumen in 2022 where he helps oversee investments, portfolio management, and operations. Before joining Acumen, he worked for over 4 years as a Senior Financial Analyst at Genesis Banca de Inversion, a Colombian investment bank and a multi-family office firm. He has experience in financial institution modeling, real estate projects, and valuation of companies in different industries. Formerly worked as a business intelligence analyst at a Colombian brokerage firm. He holds a bachelor's degree in Finance and International Trade from Universidad del Rosario.</t>
  </si>
  <si>
    <t>gcardenas@acumen.org</t>
  </si>
  <si>
    <t>Portfolio Senior Associate</t>
  </si>
  <si>
    <t>63193-42P</t>
  </si>
  <si>
    <t>Hamdi Ulukaya</t>
  </si>
  <si>
    <t>Hamdi</t>
  </si>
  <si>
    <t>Ulukaya</t>
  </si>
  <si>
    <t>Mr. Hamdi Ulukaya is the Founder and serves as Chief Executive Officer at Chobani Incubator. He is a Co-Owner of Shepherd Futures. He is the Co-Owner of Anchor Brewers &amp; Distillers. He is a Co-Founder and serves as Chief Executive Officer at Chobani. Mr. Ulukaya serves as Chairman at La Colombe Coffee Roasters. He serves as an Advisor at Acumen Fund. Raised in a dairy-farming family in a small village in eastern Turkey, he launched Chobani in 2007 with the mission of making better food more accessible. In less than five years, Chobani became the No. 1-selling Greek Yogurt brand in the U.S. with more than a billion dollars in annual sales. Chobani has been named to Fortune's 'Change the World' list of companies, was recently honored with a Salute to Greatness Award by The Martin Luther King Jr. Center for Nonviolent Social Change, and was named one of the 'Best Places to Work for LGBTQ Equality' by the Human Rights Campaign. He has always made helping people and having a positive impact on communities a priority for Chobani. From the beginning, the company has donated a portion of its profits to charitable causes, many of them in Idaho and New York where its products are made. A champion of reducing income and wealth inequality nationwide, he advocated in support of a proposal to increase the minimum wage in New York that ultimately became law. In addition, he implemented a groundbreaking profit-sharing program for the company's 2,000 employees. He also took the rare step in the manufacturing of instituting a six-week, fully paid parental leave program for all of the company's mothers and fathers. In 2016, he launched the Chobani Food Incubator to mentor and support socially responsible food entrepreneurs and further deliver on the company's mission to provide better food for more people. A devoted humanitarian, he founded the Tent Partnership for Refugees to mobilize the private sector to improve the lives &amp; livelihoods of the more than 25 million refugees around the globe. He also signed the Giving Pledge and committed the majority of his wealth to the cause. For these efforts, he was named an Eminent Advocate by the United Nations Refugee Agency (UNHCR) and received the United Nations Foundation Global Leadership Award, among other recognitions. He is also a recipient of the Oslo Business for Peace Award and was named one of TIME's 100 Most Influential People in the World for his work on the refugee crisis and his innovative approach to business. He sits on the board of the Pathfinder Village and The American Turkish Council. Most recently, he became a member of the B Team, a collective of global leaders working to inspire dialogue and business action for a fairer, greener, and more humane economy.</t>
  </si>
  <si>
    <t>+1 (212) 364-6490</t>
  </si>
  <si>
    <t>hamdi.ulukaya@chobani.com</t>
  </si>
  <si>
    <t>200 Lafayette Street</t>
  </si>
  <si>
    <t>Chobani Incubator</t>
  </si>
  <si>
    <t>427967-74P</t>
  </si>
  <si>
    <t>Hannah Tofilska</t>
  </si>
  <si>
    <t>Hannah</t>
  </si>
  <si>
    <t>Tofilska</t>
  </si>
  <si>
    <t>Ms. Hannah Tofilska serves as Director of Finance at Acumen Fund. Prior to joining Acumen, she was part of the corporate tax group at Grant Thornton. She holds a bachelor of science degree in Accounting &amp; Finance with a German minor from Bethel University in St. Paul, MN and she is a certified public accountant.</t>
  </si>
  <si>
    <t>htofilska@acumen.org</t>
  </si>
  <si>
    <t>Director, Finance</t>
  </si>
  <si>
    <t>271305-73P</t>
  </si>
  <si>
    <t>Irtiza Ali</t>
  </si>
  <si>
    <t>Irtiza</t>
  </si>
  <si>
    <t>Mr. Irtiza Ali serves as Portfolio Associate at Acumen Fund. Irtiza is a Portfolio Associate at Acumen where he manages investment-related activities. Prior to joining Acumen, he worked as an Investment Officer for two years at Social Investment Managers and Advisors (SIMA Funds), a US-based impact investment firm. Irtiza's expertise includes end-to-end deal execution: origination, due-diligence, disbursement, and portfolio management. He facilitated origination and management of debt facilities in impact sectors including 'Energy Access and 'Financial Inclusion' across emerging markets in Sub-Saharan Africa and the Asia Pacific. Irtiza graduated from the leading business school in Pakistan - Institute of Business Administration, Karachi with a bachelor's degree in Accounting and Finance in 2017. He was also a recipient of the United States Education Foundation Pakistan (USEFP) student exchange scholarship, through which he spent Spring 2016 studying at the Endicott College based in Massachusetts, USA.</t>
  </si>
  <si>
    <t>iali@acumen.org</t>
  </si>
  <si>
    <t>Portfolio Associate</t>
  </si>
  <si>
    <t>36817-48P</t>
  </si>
  <si>
    <t>Jacqueline Novogratz</t>
  </si>
  <si>
    <t>Jacqueline</t>
  </si>
  <si>
    <t>Novogratz</t>
  </si>
  <si>
    <t>Ms. Jacqueline Novogratz serves as Founder, Chief Executive Officer &amp; Board Member at Acumen Fund. She serves as an Investment Committee Member at K.awiSafi Ventures. She serves as a Board Member at Acumen America. She is also an angel investor. Before Acumen, she founded and directed The Philanthropy Workshop and The Next Generation Leadership programs at the Rockefeller Foundation. She also co-founded Duterimbere, a micro-finance institution in Rwanda. She began her career in international banking with Chase Manhattan Bank. She currently sits on the advisory boards of Sonen Capital and the Harvard Business School Social Enterprise Initiative. She serves on the Aspen Institute Board of Trustees and the board of IDEO. She is a member of the Council on Foreign Relations and the World Economic Forum Global Agenda Council for Sustainable Development. She holds an MBA from Stanford and a BA in Economics/International Relations from the University of Virginia.</t>
  </si>
  <si>
    <t>+1 (646) 747-3964</t>
  </si>
  <si>
    <t>jnovogratz@acumen.org</t>
  </si>
  <si>
    <t>Founder, Chief Executive Officer &amp; Board Member</t>
  </si>
  <si>
    <t>121046-50P</t>
  </si>
  <si>
    <t>Jawad Aslam</t>
  </si>
  <si>
    <t>Jawad</t>
  </si>
  <si>
    <t>Aslam</t>
  </si>
  <si>
    <t>Mr. Jawad Aslam is the Founder &amp; serves as Chief Executive Officer at Ansaar Management Company. He serves as Advisor at Acumen Fund. He has 20 years of experience in the US and Pakistan in the public and private sector, with 9 years specializing in low income housing leading the development of the affordable housing ecosystem in Pakistan. He is the founder and CEO of Ansaar Management Company, which is the only private sector affordable housing developer in Pakistan. AMC is a for-profit spin off of Saiban, and has received investments from Acumen Fund and Bamboo Finance, and is focusing on scaling low-income housing in Pakistan. As a Fellow, he worked to scale the activities of Saiban, a non-profit housing organization providing urban squatters and low-income groups in Pakistan with access to affordable home ownership and essential amenities. Previously, he worked as a project manager for Saiban and for a land development company in Maryland. He has experience in both the public and private sectors in Pakistan and the US, where he earned an MBA from the University of Baltimore.</t>
  </si>
  <si>
    <t>+92 (0)51 8731080</t>
  </si>
  <si>
    <t>jawad.aslam@amcpakistan.org</t>
  </si>
  <si>
    <t>Lahore</t>
  </si>
  <si>
    <t>Lahore, Pakistan</t>
  </si>
  <si>
    <t>H Block, 31/10a Abu Bakar Road</t>
  </si>
  <si>
    <t>Abu Bakar Block Garden Town</t>
  </si>
  <si>
    <t>54000</t>
  </si>
  <si>
    <t>Ansaar Management Company</t>
  </si>
  <si>
    <t>428033-35P</t>
  </si>
  <si>
    <t>Jedidah Ndubi</t>
  </si>
  <si>
    <t>Jedidah</t>
  </si>
  <si>
    <t>Ndubi</t>
  </si>
  <si>
    <t>Ms. Jedidah Ndubi serves as Portfolio Manager at Acumen Fund. Her responsibilities include pipeline development, building trusting relationships within the ecosystem, identifying investment opportunities, conducting due diligence and impact assessments, negotiating deal terms and closing, proactive portfolio management and value creation, coaching junior team members, and enhancing Acumen's brand and reputation. She joined Acumen in February 2022 and focused on investing in local founders and employing a gender lens in investments, actively supporting female founders in accessing capital. Before joining Acumen, she was a PricewaterhouseCoopers (PwC) manager with over 8 years of experience in Transaction Advisory/Corporate Finance Services. In this role, she was extensively involved in business valuations, mergers &amp; acquisitions, capital raising processes, financial modeling, and corporate reorganizations in East Africa. Before PwC, she also gained valuable experience at Ernst &amp; Young. She holds a Master of Science degree in Finance and Investments as well as a Bachelor's degree in Economics and Statistics from the University of Nairobi. She's also a Certified Public Accountant.</t>
  </si>
  <si>
    <t>jndubi@acumen.org</t>
  </si>
  <si>
    <t>65730-07P</t>
  </si>
  <si>
    <t>Jesse Clarke</t>
  </si>
  <si>
    <t>Jesse</t>
  </si>
  <si>
    <t>Clarke</t>
  </si>
  <si>
    <t>Ms. Jesse Clarke serves as an Advisor at Acumen Fund. Ms. Clarke serves as Trustee, of Energy Access at Osprey Foundation. She is also a Co-Founder &amp; Director of The Capacity Lab. She has a diverse professional background and has worked for everything from a Fortune 500 company as a Vehicle Dynamics Engineer to co-founding a startup focused on innovating the capacity-building space. She also co-founded the Los Angeles chapter of +Acumen and the inaugural LA+Acumen Impact Circle. She has been a grantmaker in the energy access sector for over 10 years at the Osprey Foundation and now is leading the Distributed Power Fund. The Distributed Power Fund is focused on both bringing energy (power) to the underserved and the distributed power of equality. She holds an MS in Engineering from Purdue University and a BS in Mechanical Engineering from Lehigh University.</t>
  </si>
  <si>
    <t>378375-67P</t>
  </si>
  <si>
    <t>Jiwoo Choi</t>
  </si>
  <si>
    <t>Jiwoo</t>
  </si>
  <si>
    <t>Choi</t>
  </si>
  <si>
    <t>Chief Strategy Officer</t>
  </si>
  <si>
    <t>Ms. Jiwoo Choi serves as Chief of Strategic Initiatives at Acumen Fund. In this role, she leads Acumen's energy initiative, Hardest to Reach ("H2R"), which aims to bring access to energy to the 215 million people in Africa that live in the hardest-to-reach markets by the year 2030. She comes to Acumen most recently from Shinhan Bank where she was the Chief Risk and Sustainability Officer for the EMEA Region. Prior to her role at Shinhan Bank, she was Deputy Director a.i. of the Green Climate Fund's (GCF) private-sector facility supervising private-sector climate finance. She has more than 20 years of experience in climate finance and a wide range of conventional finance roles that includes serving as the Chief Risk Officer for Dubai Green Fund and multiple assignments at Standard &amp; Poor's Asia Pacific Region. She holds an MBA from INSEAD (France) and Tsinghua University (China).</t>
  </si>
  <si>
    <t>jchoi@acumen.org</t>
  </si>
  <si>
    <t>Chief of Strategic Initiatives</t>
  </si>
  <si>
    <t>121940-47P</t>
  </si>
  <si>
    <t>Jonathan Haidt Ph.D</t>
  </si>
  <si>
    <t>Haidt</t>
  </si>
  <si>
    <t>Dr. Jonathan Haidt is a Co-Founder and serves as Chairman at Constructive Dialogue Institute. He is the Thomas Cooley Professor of Ethical Leadership at New York University's Stern School of Business. He is a social psychologist who studies morality; his current research investigates how to apply moral psychology to improve the functioning of companies, universities, and other complex social systems. He co-founded Heterodox Academy in 2015, and is also a co-founder of EthicalSystems.org, YourMorals.org, and CivilPolitics.org. Dr. Jonathan serves as an Advisor at Acumen Fund. He serves as an Executive at Ethical Systems. He also works as a Professor at NYU Stern School of Business. Previously, he was a Professor at the University of Virginia. He holds a Ph.D. in Psychology from the University of Pennsylvania and a Bachelor's Degree in Philosophy from Yale University. He then did post-doctoral research at the University of Chicago and in Orissa, India. He was a professor at the University of Virginia from 1995 until 2011 when he joined the Stern School of Business. He is a social psychologist whose research focuses on morality - its emotional foundations, cultural variations, and developmental course. He began his career studying the negative moral emotions, such as disgust, shame, and vengeance but then moved on to the understudied positive moral emotions, such as admiration, awe, and moral elevation. He is the co-developer of Moral Foundations Theory and the research site YourMorals.org. He uses his research to help people understand and respect the moral motives of people with whom they disagree (see CivilPolitics.org). He won three teaching awards from the University of Virginia and one from the governor of Virginia. His three TED talks have been viewed more than 3 million times. (Those talks are on political psychology, religion, and the causes of America's political polarization.) He is the author of more than 90 academic articles and two books: The Happiness Hypothesis: Finding Modern Truth in Ancient Wisdom, and the New York Times bestseller The Righteous Mind: Why Good People are Divided by Politics and Religion. At NYU-Stern, he is applying his research on moral psychology to business ethics, asking how companies can structure and run themselves in ways that will be resistant to ethical failures (see EthicalSystems.org). He is currently writing Three Stories about Capitalism: The Moral Psychology of Economic Life.</t>
  </si>
  <si>
    <t>jonathan@constructivedialogue.org</t>
  </si>
  <si>
    <t>244 Madison Avenue</t>
  </si>
  <si>
    <t>Suite 1098</t>
  </si>
  <si>
    <t>10016</t>
  </si>
  <si>
    <t>Co-Founder &amp; Chairman</t>
  </si>
  <si>
    <t>Constructive Dialogue Institute</t>
  </si>
  <si>
    <t>238469-77P</t>
  </si>
  <si>
    <t>Jorge De Angulo</t>
  </si>
  <si>
    <t>Jorge</t>
  </si>
  <si>
    <t>De Angulo</t>
  </si>
  <si>
    <t>Mr. Jorge De Angulo serves as Associate Director, Latin America at Acumen Fund. He joined Acumen in 2019 as the Associate Director for Latin America, where he helps oversee investments, portfolio management, and operations. Before joining Acumen he was a Senior Investment Officer with Accion International, based out of Cambridge MA. His responsibilities included analysis, due diligence and deal execution for debt and equity transactions in microfinance institutions (MFIs). In terms of portfolio management, he oversaw the MFI investments for Accion in Latin America and represented the organization as a Director on several boards. Prior to joining Accion, he worked for a small venture capital firm in Miami. He also has experience working for Citibank Colombia, where he held increasing responsibilities as a credit analyst and relationship manager. He graduated from the Universidad de los Andes in Bogotá, Colombia with a bachelor's degree in economics and completed a master's degree in international economic policy from American University in Washington, D.C.</t>
  </si>
  <si>
    <t>jangulo@acumen.org</t>
  </si>
  <si>
    <t>Associate Director, Latin America</t>
  </si>
  <si>
    <t>176060-17P</t>
  </si>
  <si>
    <t>Julian Ortiz</t>
  </si>
  <si>
    <t>Ortiz</t>
  </si>
  <si>
    <t>Mr. Julian Ortiz serves as Finance Manager of Portfolio at Acumen Fund. Before joining Acumen, he was a member of the Not-For-Profit Services team at PKF O'Connor Davies as a Senior Auditor. His work focused on performing internal control evaluations, financial statement audits, and reviews, together with other attestation engagements, for organizations of all sizes throughout NYC and NJ. His role prior was that of Internal Auditor at C.R. Bard, Inc., a global medical device manufacturer, where he worked closely with teams in Mexico, Puerto Rico, and Latin America. He is a native Spanish speaker who enjoys cultural exchange through frequent travel, adventurous dining, and varied musical tastes. He holds a B.S. in Accounting from Rutgers University - Newark, where he was the President of the Rutgers Newark Book Club.</t>
  </si>
  <si>
    <t>jortiz@acumen.org</t>
  </si>
  <si>
    <t>Finance Manager, Portfolio</t>
  </si>
  <si>
    <t>378435-70P</t>
  </si>
  <si>
    <t>Kasturi Rangan</t>
  </si>
  <si>
    <t>Kasturi</t>
  </si>
  <si>
    <t>Rangan</t>
  </si>
  <si>
    <t>Mr. Kasturi Rangan serves as an Advisor at Acumen Fund. He is the Malcolm P. McNair Professor of Marketing at the Harvard Business School. Formerly the chairman of the Marketing Department (1998-2002), he is one of the co-founders of the school's Social Enterprise Initiative. He has been on the Harvard faculty since 1983. Rangan has co-authored several books, which include: Going to Market, which deals with distribution systems for industrial products, and Business Marketing Strategy, which presents approaches for managing industrial products and markets over their life cycle. Rangan's acclaimed book, Transforming Your Go-to-Market Strategy, presents a unique three-step framework on how to change and evolve a firm's go-to-market strategy. In addition to his interest in Business Marketing, Professor Rangan is actively involved in studying the role of marketing in nonprofit organizations, and specifically how it influences the adoption of social products and ideas. He has written several case studies and articles on the topic. He served as one of the founding co-chairs of the Social Enterprise Initiative at Harvard, whose faculty study the challenges of nonprofit management. His work focuses on strategy development and performance measurement in nonprofits, and other organizations engaged in social enterprise. Before entering academia, Rangan held several sales and marketing positions for a large multinational company in India. Rangan has engaged in a variety of executive education programs, consultancies, and advisory activities for numerous commercial and nonprofit enterprises.</t>
  </si>
  <si>
    <t>79618-78P</t>
  </si>
  <si>
    <t>Kate Montgomery</t>
  </si>
  <si>
    <t>Kate</t>
  </si>
  <si>
    <t>Montgomery</t>
  </si>
  <si>
    <t>Ms. Kate Montgomery serves as Director, Development and Partnerships at Acumen Fund. She serves as Associate Director, Strategic Partnerships at Refugee Investment Network. Kate leads our partnership engagement with bilateral and multilateral government partners, from strategy development to program management. She previously led business development and partner engagement for Acumen's Pioneer Energy Investment Initiative. Prior to joining Acumen, she was d. light's Director of Global Partnerships for five years, developing their strategy for engaging with the public sector and other key partners globally. A key part of this work is the institutionalization of d.light's strategy to rigorously measure and communicate their social impact. Prior to that, she was in the humanitarian aid sector working for Tuft's Feinstein International Center and the International Rescue Committee in Pakistan and Haiti. She holds a BA with honors in Political Science and East Asian Studies from Colgate University and an MSc in Conflict Studies from the London School of Economics and Political Science.</t>
  </si>
  <si>
    <t>kmontgomery@acumen.org</t>
  </si>
  <si>
    <t>Director, Development and Partnerships</t>
  </si>
  <si>
    <t>378436-87P</t>
  </si>
  <si>
    <t>Katherine Fulton</t>
  </si>
  <si>
    <t>Katherine</t>
  </si>
  <si>
    <t>Fulton</t>
  </si>
  <si>
    <t>Chairman</t>
  </si>
  <si>
    <t>Ms. Katherine Fulton serves as Chairman of Global Advisory at Acumen Fund. In more than three decades as a change agent, she has been a journalist, teacher, entrepreneur, philanthropist, convener, strategist, advisor, leader, and citizen. In whatever role she finds herself in, she aspires to work with leaders who are creating the future and to help people and organizations have courage in the face of uncertainty. She loves playing with complicated puzzles: seeing the possibilities and then putting the pieces together in new ways, across sectors, disciplines, and cultures, always seeking to challenge existing assumptions and to engage minds, hearts, and spirits along the way. She is at present a director of Monitor Deloitte Consulting and president of Monitor Institute. In that role, she has advised many of this generation's leading philanthropists and foundations as well as rising social entrepreneurs and established business leaders. She is known for her expertise on the evolution of philanthropy and the emergence of impact investing as the co-author of What's Next for Philanthropy: Acting Bigger and Adapting Better in a Networked World and Investing for Social and Environmental Impact: A Blueprint for Catalyzing an Emerging Industry. She has given dozens of major speeches about the future of philanthropy, including one at the main TED conference. Her work draws upon her own life experiences of change, healing, and transformation. A native Virginian, she graduated Phi Beta Kappa from Harvard and then returned to the South, where she covered politics for a daily newspaper. Driven by a desire to innovate, she co-founded The North Carolina Independent, an award-winning investigative newspaper, which won her both a Nieman Fellowship at Harvard and a foundation prize for community service. After leaving journalism in the early 1990s, she taught at Duke University before working as a consultant and later serving as co-head of the practice at Global Business Network (GBN). At GBN, she worked with world-class futurists, mastered the scenario planning toolkit, and advised leaders in more than a dozen industries as they sought to adapt more skillfully to rapid change. She has served on numerous governing boards, including the global board of Monitor and the founding board of the Global Impact Investing Network.</t>
  </si>
  <si>
    <t>Chairman of Global Advisory</t>
  </si>
  <si>
    <t>378438-22P</t>
  </si>
  <si>
    <t>Kerry Sulkowicz MD</t>
  </si>
  <si>
    <t>Kerry</t>
  </si>
  <si>
    <t>Sulkowicz</t>
  </si>
  <si>
    <t>Mr. Kerry Sulkowicz serves as an Advisor at Acumen Fund. He is a psychiatrist and psychoanalyst and is the founder and Managing Principal of the Boswell Group LLC, a consulting firm based in New York. He advises CEOs, boards, and investors on the psychological aspects of leadership in complex organizations. Dr. Sulkowicz serves as a sounding board to some of the most influential business and political leaders in the US and abroad. He has written and spoken on a range of topics related to the psychology of business, and has been a regular columnist for BusinessWeek and Fast Company magazines, and a contributor to the Harvard Business Review. Dr. Sulkowicz has an AB from Harvard and an MD from the University of Texas. He is a Clinical Professor of Psychiatry at NYU School of Medicine, where he received the Distinguished Teacher Award. He also serves on the board of Physicians for Human Rights.</t>
  </si>
  <si>
    <t>153259-66P</t>
  </si>
  <si>
    <t>Kinza Mahmud</t>
  </si>
  <si>
    <t>Kinza</t>
  </si>
  <si>
    <t>Mahmud</t>
  </si>
  <si>
    <t>Ms. Kinza Mahmud serves as Program Manager, Food Systems Fellowship at Acumen Fund. Prior to joining Acumen, she was working in the Business Development team at Aman Foundation, where she was responsible for building relationships aimed at generating scalable and sustainable solutions for health and education in Pakistan. During her time at Aman, she also focused on improving donor engagement, and streamlining systems and processes in order to optimize the fundraising engine. She completed her B.A in Politics, Psychology and Sociology from the University of Cambridge, UK. While at Cambridge, she also served as Vice President of Enactus Cambridge, a social enterprise, where she contributed to initiating three new projects, and streamlined internal communication by building and implementing a clear communication structure.</t>
  </si>
  <si>
    <t>kmahmud@acumen.org</t>
  </si>
  <si>
    <t>Program Manager, Food Systems Fellowship</t>
  </si>
  <si>
    <t>378438-40P</t>
  </si>
  <si>
    <t>Krista Tippett</t>
  </si>
  <si>
    <t>Krista</t>
  </si>
  <si>
    <t>Tippett</t>
  </si>
  <si>
    <t>Ms. Krista Tippett serves as an Advisor at Acumen Fund. She is a Peabody-award-winning broadcaster, National Humanities Medalist, New York Times bestselling author, and the 2019 Mimi and Peter E. Haas Distinguished Visitor at Stanford University. She founded and leads the On Being Project, an independent non-profit public life and media initiative. She created and hosts the On Being public radio show, which is carried on over 400 public radio stations across the U.S., and the On Being podcast, which has been downloaded over 200 million times. She also curates the Civil Conversations Project, an emergent approach to conversation and relationships across the differences of our age. In 2014, President Obama awarded her the National Humanities Medal at the White House for "thoughtfully delving into the mysteries of human existence. On the air and in print, Ms. Tippett avoids easy answers, she complexity and invites people of every background to join her conversation about faith, ethics, and moral wisdom." She grew up in a small town in Oklahoma, attended Brown University, became a journalist and diplomat in Cold War Berlin, and later received a Master of Divinity from Yale University. Her first book Speaking of Faith, published in 2007, is a memoir of religion in our time, including her move from geopolitical engagement to theology and the cumulative wisdom of her interviews in the early 21st century. In 2010, she published Einstein's God, a New York Times bestseller, drawn from her interviews at the intersection of science, medicine, and spiritual inquiry. Her 2016 New York Times best-selling Becoming Wise: An Inquiry into the Mystery and Art of Living opens into the questions and challenges of this century.</t>
  </si>
  <si>
    <t>238479-67P</t>
  </si>
  <si>
    <t>Laura Polanco</t>
  </si>
  <si>
    <t>Laura</t>
  </si>
  <si>
    <t>Polanco</t>
  </si>
  <si>
    <t>Ms. Laura Polanco serves as Leadership Senior Associate for Latin America at Acumen Fund. She supports the team in activities related to the execution of the Program, in addition to creating pieces and messages for our Spanish-speaking public. She is a social communicator with an emphasis on cybermedia from EAFIT University and a passionate about storytelling.</t>
  </si>
  <si>
    <t>lpolanco@acumen.org</t>
  </si>
  <si>
    <t>Leadership Senior Associate</t>
  </si>
  <si>
    <t>271292-14P</t>
  </si>
  <si>
    <t>Leonie Jarett</t>
  </si>
  <si>
    <t>Leonie</t>
  </si>
  <si>
    <t>Jarett</t>
  </si>
  <si>
    <t>Ms. Leonie Jarett serves as Associate Director of Curriculum and Content at Acumen Fund. She supports the implementation of our accelerator programs - this includes running existing accelerators and helping us launch new programs. She works on the frontlines of participant engagement, running program operations and directly facilitating the learning experience. Before joining Acumen, she spent ten years working in the social impact sector in the UK and also completed projects in Asia, Latin America, and North Africa. She started her career at the School for Social Entrepreneurs where she worked for five years in management and communications. She then spent a year working for Na'atik Language and Culture Institute in Zona Maya, Mexico, before returning to the UK to become a founding team member of Drivers for Change. Before joining the Acumen team, she was working across a portfolio of projects as a self-employed consultant, this included working with Fair4All Finance and the Social Enterprise Support Fund. She currently holds Trustee appointments with LIMUN Foundation and Fat Beehive Foundation. She has a bachelor's degree in Social Policy from the University of Bristol.</t>
  </si>
  <si>
    <t>Associate Director Curriculum and Content</t>
  </si>
  <si>
    <t>153258-13P</t>
  </si>
  <si>
    <t>Loise Nduati</t>
  </si>
  <si>
    <t>Loise</t>
  </si>
  <si>
    <t>Nduati</t>
  </si>
  <si>
    <t>Ms. Loise Nduati serves as Talent Manager at Acumen Fund. She holds a cross-functional role working on the Business Development, Communications and Talent teams. She was previously the Executive Officer of the Federation of Women Entrepreneur Associations, the umbrella body of women entrepreneur associations in Kenya leading policy advocacy, capacity building, strategic business development and entrepreneur mentorship for an enabling business environment for women. Just prior to joining Acumen, Loise was training business member organizations in East Africa on how to engage government for policy change. Loise holds a bachelor's degree in Commerce from Kenyatta University and a MBA from United States International University-Africa</t>
  </si>
  <si>
    <t>lnduati@acumen.org</t>
  </si>
  <si>
    <t>Talent Manager</t>
  </si>
  <si>
    <t>348457-06P</t>
  </si>
  <si>
    <t>Lucía Ferrarese</t>
  </si>
  <si>
    <t>Lucía</t>
  </si>
  <si>
    <t>Ferrarese</t>
  </si>
  <si>
    <t>Ms. Lucía Ferrarese serves as Senior Associate, Acumen Academy at Acumen Fund. She manages the daily operations and supports the implementation of learning programs. She joined Acumen in 2020 to collaborate with the regional Fellows Program teams on the implementation of their Fellowship selection processes across 9 geographies. Her prior experience in the government and nonprofit sectors, as well as her academic experience, have defined her interest in social change. Prior to joining Acumen, she worked at Environmental Defense Fund, where she was responsible for team coordination, project and event management, and supporting program operations. At the same time, she served as a part-time teaching associate at Columbia University for over 2 years, providing academic support for graduate-level courses in conflict resolution. Her career began as a junior legal counsel in Argentina, supporting the implementation of government programs in the most needed areas of the country. She holds a master's degree in negotiation and conflict resolution from Columbia University, and a law degree from University of Buenos Aires (Argentina).</t>
  </si>
  <si>
    <t>lferrarese@acumen.org</t>
  </si>
  <si>
    <t>100793-62P</t>
  </si>
  <si>
    <t>Lynn Roland JD</t>
  </si>
  <si>
    <t>Corporate Secretary &amp; General Counsel</t>
  </si>
  <si>
    <t>Ms. Lynn Roland serves as General Counsel, Corporate Secretary &amp; Management Committee Member at Acumen Fund. She joined Acumen in 2010, and is General Counsel, Corporate Secretary, and a member of our Extended Leadership Team. In such capacity, she ensures that our programs are carried out in furtherance of our mission and in compliance with law, and advises on organizational strategy and board matters. She leads the global legal function, and works across functions and geography to develop and implement organizational structure, policy and projects. Her role involves protecting Acumen, while also enabling it to function with efficiency and creativity. Prior to joining Acumen, she had a short stint at a digital services company as in-house counsel; she spent the majority of her career at McDermott Will &amp; Emery, where she was a partner in the corporate/transactional practice and supported the pro bono program of the New York office. She obtained a BA as an English major from the University of Pennsylvania, and a JD from Columbia Law School.</t>
  </si>
  <si>
    <t>+1 (646) 747-3955</t>
  </si>
  <si>
    <t>lroland@acumen.org</t>
  </si>
  <si>
    <t>General Counsel, Corporate Secretary &amp; Management Committee Member</t>
  </si>
  <si>
    <t>71158-06P</t>
  </si>
  <si>
    <t>Mahesh Yagnaraman</t>
  </si>
  <si>
    <t>Mahesh</t>
  </si>
  <si>
    <t>Yagnaraman</t>
  </si>
  <si>
    <t>Mr. Mahesh Yagnaraman served as Director of India at Acumen Fund. Before joining Acumen, he founded First Energy Private, Ltd., an alternative energy company, which he led as the CEO and Managing Director from 2009. He spent six years with BP as the Head of Strategy for Asia and the Middle East, as well as the Director of Global Trends, based out of London. He also spent three years working for BP &amp; Castrol India in Mumbai as a Customer Marketing Manager and ten years with Unilever in roles. He studied Economics at Delhi University and holds an MBA from XLRI, Jamshedpur. For his entrepreneurship and work, he was conferred the honor of Distinguished Alumnus by XLRI in 2015.</t>
  </si>
  <si>
    <t>myagnaraman@acumen.org</t>
  </si>
  <si>
    <t>Director, India</t>
  </si>
  <si>
    <t>123191-74P</t>
  </si>
  <si>
    <t>Margo Alexander</t>
  </si>
  <si>
    <t>Margo</t>
  </si>
  <si>
    <t>Ms. Margo Alexander serves as Chairman Emeritus at Acumen Fund. She is the retired Chairman and CEO of UBS Global Asset Management (previously, Mitchell Hutchins Asset Management). She retired in 2003 after thirty years at UBS/Paine Webber, in equity research, sales, trading, and asset management. Ms Alexander is a graduate of the University of California at Berkeley and the Harvard Business School. She is a member of the advisory board of Haas School and its Center for Responsible Business, is a member of the Council on Foreign Relations, and serves on the board of the Eleanor Roosevelt Legacy Committee and The New York Stem Cell Foundation.</t>
  </si>
  <si>
    <t>+1 (212) 882-5000</t>
  </si>
  <si>
    <t>malexander@acumen.org</t>
  </si>
  <si>
    <t>Chairman Emeritus</t>
  </si>
  <si>
    <t>294223-33P</t>
  </si>
  <si>
    <t>Maria Angeles Lopez</t>
  </si>
  <si>
    <t>Maria Angeles</t>
  </si>
  <si>
    <t>Lopez</t>
  </si>
  <si>
    <t>Ms. Maria Lopez serves as Co-Founder, President &amp; Board Member at Global Social Impact Investments. She serves as Advisor at Acumen Fund. She studied economics between Ireland and Spain, started her career in Marketing but quickly realized that sales was her natural drive. She is passionate about her work, and enjoys giving to, sharing and trusting people. She works for Telefónica S.A since more than 20 years, where she has led a "digital transformation" sales job. She currently combines this job with her work in the Family foundation. Her philanthropic experience of over 15 years, led to a change in Open Value's model, from a pure philanthropic one, to a personal approach, that combines philanthropy, as seed capital, with private investment and business models, as tools for development and sustainability. Her experiences with Acumen and YSB founders have been of great inspiration for this vision. She is co-founder of Open Value and the creative mind behind Open Value Social Fund, a social impact fund, result of this new vision and of the search for more efficient and impactful ways of supporting the disadvantaged.</t>
  </si>
  <si>
    <t>+34 91 077 0659</t>
  </si>
  <si>
    <t>maria@globalsocialimpact.es</t>
  </si>
  <si>
    <t>Madrid</t>
  </si>
  <si>
    <t>Madrid, Spain</t>
  </si>
  <si>
    <t>Paseo de la Castellana 53</t>
  </si>
  <si>
    <t>Second Floor</t>
  </si>
  <si>
    <t>28046</t>
  </si>
  <si>
    <t>Spain</t>
  </si>
  <si>
    <t>Co-Founder, Board Member, President &amp; Board Member</t>
  </si>
  <si>
    <t>Global Social Impact Investments</t>
  </si>
  <si>
    <t>378439-21P</t>
  </si>
  <si>
    <t>Maria Popova</t>
  </si>
  <si>
    <t>Maria</t>
  </si>
  <si>
    <t>Popova</t>
  </si>
  <si>
    <t>Ms. Maria Popova serves as an Advisor at Acumen Fund. is a reader and a writer, and writes about what she reads on Brain Pickings, which is included in the Library of Congress archive of culturally valuable materials. She has previously written for Wired UK, The Atlantic, The New York Times, Nieman Journalism Lab, and Smithsonian Magazine, among others, and is an MIT Fellow</t>
  </si>
  <si>
    <t>50038-21P</t>
  </si>
  <si>
    <t>Mark Tercek</t>
  </si>
  <si>
    <t>Mark</t>
  </si>
  <si>
    <t>Tercek</t>
  </si>
  <si>
    <t>Mr. Mark Tercek serves as a Global Advisor at Acumen Fund. He also serves as an Advisor at ReGen Ventures. He is also an Angel Investor. He serves as a Board Member at Community Data Platforms. He serves as a Board Member at RNWBL. Previously, he served as Managing Director at Goldman Sachs, where he spent 25 years, he brings deep business experience to his role leading the Conservancy, which he joined in 2008. He is a champion of the idea of natural capital-valuing nature for its own sake as well as for the services it provides for people, such as clean air and water, productive soils, and a stable climate. His forthcoming book, Nature's Fortune: How Business and Society Thrive by Investing in Nature, which will be published by Basic Books this April, explores why responsible stewardship of nature is of the utmost importance to businesses, governments, and societies. ark was recently appointed by New York Governor Andrew Cuomo to serve on the New York State 2100 Commission, which was created in the wake of Superstorm Sandy to advise the governor and the state on how to make the state's infrastructure more resilient to future storms. He is also a member of several boards and councils, including Resources for the Future, the Nicholas Institute for Environmental Policy Solutions, and the Commission on Climate and Tropical Forests. He is also a member of the Council on Foreign Relations. He earned an M.B.A. from Harvard in 1984 and a B.A. from Williams College in 1979.</t>
  </si>
  <si>
    <t>mtercek@acumen.org</t>
  </si>
  <si>
    <t>Global Advisor</t>
  </si>
  <si>
    <t>428033-71P</t>
  </si>
  <si>
    <t>Millycent Aoko</t>
  </si>
  <si>
    <t>Millycent</t>
  </si>
  <si>
    <t>Aoko</t>
  </si>
  <si>
    <t>Ms. Millycent Aoko serves as Investment Manager at Acumen Fund. She is responsible for deal sourcing, due diligence, and post-investment monitoring and support. She has over 13 years of experience spanning impact investing, business advisory, corporate finance, transaction advisory services, and grants management mainly in Eastern Africa. Her experience has been across various sectors including conservation tourism, agribusiness, education, healthcare, retail, manufacturing, renewable energy, and infrastructure. Previously, she was an Associate Investment Director at Thirdway Partners, where she led investment processes within the Africa Conservation and Community Tourism (ACCT) Fund, focusing on impact debt financing. Before this, she served as a Service Delivery Model (SDM) Manager at IDH The Sustainable Trade Initiative, leading engagements with multinationals and African enterprises to enhance their smallholder sourcing strategies' commercial and social sustainability. She also worked as a manager, at Deal Advisory, and as a senior grants associate at KPMG Advisory Services Ltd. She holds a Bachelor of Science degree in Actuarial Science from The University of Nairobi. She is also a Chartered Financial Analyst (CFA) charter holder and a Certified Public Accountant (CPA).</t>
  </si>
  <si>
    <t>maoko@acumen.org</t>
  </si>
  <si>
    <t>119138-32P</t>
  </si>
  <si>
    <t>Milton Lore</t>
  </si>
  <si>
    <t>Milton</t>
  </si>
  <si>
    <t>Lore</t>
  </si>
  <si>
    <t>Mr. Milton Lore serves as Head of Partnerships at Open Capital Advisors. Mr. Milton Lore serves as an Advisor at Acumen Fund. He serves as a Board Member at Juhudi Kilimo. He previously served as Managing Director for the African Venture Capital Association (AVCA) and Intellectual Property Officer at Queen Mary - University of London. Mr. Lore has also worked in several commercial, technical, and policy development capacities within pharmaceutical manufacturing and distribution in the East African region. He holds postgraduate qualifications in intellectual property law and management from Queen Mary, as well as a Bachelor of Science (Hons) in biochemistry and chemistry from the University of Nairobi. Mr. Lore has undertaken executive education on innovation policy for economic development at the Harvard Kennedy School of Government and is a past Open African Innovation and Research (Open A.I.R.) research fellow at the University of Cape Town.</t>
  </si>
  <si>
    <t>mlore@opencapital.com</t>
  </si>
  <si>
    <t>Head of Partnerships</t>
  </si>
  <si>
    <t>Open Capital Advisors</t>
  </si>
  <si>
    <t>270688-33P</t>
  </si>
  <si>
    <t>Mubarik Imam</t>
  </si>
  <si>
    <t>Mubarik</t>
  </si>
  <si>
    <t>Imam</t>
  </si>
  <si>
    <t>Ms. Mubarik Imam serves as an Advisor at Acumen Fund. She is currently exploring ideas for what to build next. She was an early employee at WhatsApp and during her seven years, was involved in several major company initiatives. These included leading the product international growth and integrity teams, data science and engineering, research, and strategy. When she joined WhatsApp, she led the International Growth and Partnerships team. At the time, WhatsApp had less than 200 million people using the service. Over the next six years, she and her team helped WhatsApp grow to a product of over 1.8 billion people. She was closely involved in FB's acquisition of WhatsApp and led the integration efforts across the company. She also spent some time at the intersection of Health and Technology. She led Facebook's exploration of Frontline workers and Health Systems to assist with the company's COVID response. She most recently led Marketing for NimbleRx. Before joining WhatsApp, she worked at Dropbox, the Packages Group, and earlier in her career was an Acumen Fund Fellow and an Associate at Bain and Company. She is a Stanford GSB alum (MBA) and also holds degrees from the Harvard Kennedy School (MPA/ID) and MIT (BSc Electrical Engineering). Having lived and worked in over six countries, She is passionate about the intersection of technology, business, education, and policy. She serves on the Board for the LUMS School of Science and Engineering, the Center for Advanced Studies in the Behavioral Sciences at Stanford, and the Hiller Aviation Museum</t>
  </si>
  <si>
    <t>Angel Investor</t>
  </si>
  <si>
    <t>87532-12P</t>
  </si>
  <si>
    <t>Naeem Zamindar</t>
  </si>
  <si>
    <t>Naeem</t>
  </si>
  <si>
    <t>Zamindar</t>
  </si>
  <si>
    <t>Mr. Naeem Zamindar is a Co-Founder of Neem (Financial Software). He serves as Adviosr at Acumen Fund. He served as Board Member at NRSP Microfinance Bank. At Intel Capital in Silicon Valley, he successfully worked on venture capital investments in 29 high-growth companies primarily in the wireless broadband space. In Pakistan, he held the role of CEO of Wateen Telecom, where he restructured the publicly listed company, turned around the business and repositioned it for growth. He was also a founding member of Pakistan's leading telecom company Mobilink and as a part of the senior leadership team was responsible for scaling the organization from 2 million to 32 million customers and launching the broadband business division. He was certified as a CPA in the United States and has an MBA from INSEAD.</t>
  </si>
  <si>
    <t>+92 (0)21 35846430 x102</t>
  </si>
  <si>
    <t>naeem@neemexponential.com</t>
  </si>
  <si>
    <t>Karachi</t>
  </si>
  <si>
    <t>Karachi, Pakistan</t>
  </si>
  <si>
    <t>Gizri Road, Block 9, Clifton, 2nd Floor</t>
  </si>
  <si>
    <t>MA Tabba Foundation Building</t>
  </si>
  <si>
    <t>75600</t>
  </si>
  <si>
    <t>Neem (Financial Software)</t>
  </si>
  <si>
    <t>271288-27P</t>
  </si>
  <si>
    <t>Nidhisha Phillip</t>
  </si>
  <si>
    <t>Nidhisha</t>
  </si>
  <si>
    <t>Phillip</t>
  </si>
  <si>
    <t>Ms. Nidhisha Phillip serves as Manager of Investing and Fundraising at Acumen Fund. She joined Acumen in India as an Associate in Fundraising and Programs in March 2021. She supports the design and implementation of programs in Acumen's focus sectors in India, agriculture, and workforce development. In this role, she also supports the sector leads in managing fundraising operations and processes. She worked as a capital markets lawyer at S&amp;R Associates on equity fundraising transactions in a range of sectors including infrastructure, banking, and microfinance. She has since transitioned into program management and research roles at the Vidhi Center for Legal Policy as a member of the founding team that launched 'Nyaaya', an initiative that leveraged standards and technology to make laws accessible, and at the Center for Open, Data Enterprise to support research and stakeholder engagement on open data in the United States. She holds a master's degree in international development from The Fletcher School at Tufts University and a bachelor's degree in law from the National Law School of India University.</t>
  </si>
  <si>
    <t>Manager, Investing &amp; Fundraising</t>
  </si>
  <si>
    <t>83918-98P</t>
  </si>
  <si>
    <t>Niko Canner</t>
  </si>
  <si>
    <t>Niko</t>
  </si>
  <si>
    <t>Canner</t>
  </si>
  <si>
    <t>Mr. Niko Canner is the Founder of Incandescent. He serves as Advisor at Acumen Fund. Mr. Canner also serves as Advisor, Organizational Design at TAU Investment Management. He serves as Board Member at Catchafire.He is the Chairman of Skreens. He was co-founder and Managing Partner of the consulting firm Katzenbach Partners and then Senior Partner at Booz &amp; Company following the sale of Katzenbach to Booz in 2009. He was most recently a member of the Management Committee of Bridgewater Associates. He began his consulting career at McKinsey &amp; Company, where he was a founding member of the McKinsey Change Center. He subsequently co-founded Mitchell Madison Group's Organization Practice. He is a co-founder and Director of Goodstone Group, a leading executive coaching firm; a founding investor and board member of Journelle, a lingerie retailer;, an early-stage company applying nanotechnology to the diagnostics industry. He earned an A.B. in economics, summa cum laude, from Harvard College and completed graduate work in philosophy at Oxford University on a Marshall Scholarship. He serves on the Advisory Council of Acumen. He served as Board Member at Sevident.</t>
  </si>
  <si>
    <t>+1 (212) 545-0036</t>
  </si>
  <si>
    <t>niko.canner@incandescent.com</t>
  </si>
  <si>
    <t>28 West 25th Street</t>
  </si>
  <si>
    <t>9th Floor</t>
  </si>
  <si>
    <t>Incandescent</t>
  </si>
  <si>
    <t>378441-73P</t>
  </si>
  <si>
    <t>Noor Pahlavi</t>
  </si>
  <si>
    <t>Noor</t>
  </si>
  <si>
    <t>Pahlavi</t>
  </si>
  <si>
    <t>Ms. Noor Pahlavi serves as an Advisor at Acumen Fund. She is an MBA Candidate at Columbia Business School with a professional background in commercial real estate investing. She and her family have long supported the democratic reform movement in Iran and she has been an outspoken advocate for human and women's rights in Iran and the Middle East. She and her activism have been featured in publications such as Harpers' Bazaar, Marie Claire, and Town and Country. In 2017, she founded Acumen's Young Benefactor Group to increase awareness of Acumen among young professionals and inspire the next generation of philanthropists to join the movement to change the way the world tackles poverty. The group hosts an annual Young Benefactors' Bash fundraising event attended by hundreds of young professionals to celebrate and support Acumen. As an Acumen Advisor, she contributes to fundraising strategy, building awareness for Acumen's work and inspiring a culture of giving among her peers.</t>
  </si>
  <si>
    <t>119281-33P</t>
  </si>
  <si>
    <t>Noramay Cadena</t>
  </si>
  <si>
    <t>Noramay</t>
  </si>
  <si>
    <t>Cadena</t>
  </si>
  <si>
    <t>Ms. Noramay Cadena is a Co-Founder and serves as a General Partner at Supply Change Capital. She is a Co-Founder and serves as Managing Partner at MiLA Capital. She is also an Investment Committee Member at Acumen Fund. She serves as a Board Member at CARE Enterprises. She serves as a Board Member at Terrantic. She serves as an Investment Committee Member at Acumen America. She serves as a Board Member at Michroma. She is a Co-Founder Managing Director and General Partner at Make In LA. She also served as an Advisor at LTX VC. She also serves as an Executive at Portfolia. She holds an MBA, a Master's in Engineering Systems, and a Bachelor's in Mechanical Engineering - all from the Massachusetts Institute of Technology (MIT). She is also a member of The Society of Hispanic Professional Engineers (SHPE), the National Society of Hispanic MBAs (NSHMBA), and the Society of Women Engineers (SWE). Over the last several years, She has been a featured speaker on many platforms across the country - her talks and recognitions cover technical achievement, leadership, and overcoming obstacles. In 2015, the Society of Women Engineers recognized her for technical leadership via a national award. In 2014, she was recognized for technical and community leadership via an IEEE Women in Engineering Magazine article and was named one of the top 20 Latinos in Technology by CNET. She is also an Angel Investor.</t>
  </si>
  <si>
    <t>+1 (310) 625-4932</t>
  </si>
  <si>
    <t>noramay@supplychange.fund</t>
  </si>
  <si>
    <t>Supply Change Capital</t>
  </si>
  <si>
    <t>238518-55P</t>
  </si>
  <si>
    <t>Oghenekome Oruade</t>
  </si>
  <si>
    <t>Oghenekome</t>
  </si>
  <si>
    <t>Oruade</t>
  </si>
  <si>
    <t>Ms. Oghenekome Oruade serves as Global Program Manager, Acumen Angels at Acumen Fund. She leads the Acumen Academy Fellows Program in West Africa. Before joining Acumen, she worked as an Associate Consultant (Fellow) at the Mastercard Foundation on the Young-Africa-Works Project focused on enabling 30 million youths across Africa to access dignified work by 2030. Until 2018, she was the Chief Executive Officer of The Write House. A qualified legal practitioner and arbitrator, she was a Partner at Assizes Lawfirm. She holds an MBA from the Lagos Business School.</t>
  </si>
  <si>
    <t>ooruade@acumen.org</t>
  </si>
  <si>
    <t>Global Program Manager, Acumen Angels</t>
  </si>
  <si>
    <t>195792-85P</t>
  </si>
  <si>
    <t>Paraag Sabhlok</t>
  </si>
  <si>
    <t>Paraag</t>
  </si>
  <si>
    <t>Sabhlok</t>
  </si>
  <si>
    <t>Assistant Director</t>
  </si>
  <si>
    <t>Mr. Paraag Sabhlok serves as Associate Director of Portfolio at Acumen Fund. He serves as a Board Member at LifeSpring Hospitals. He served as a Board Observer at Ziqitza. He joined Acumen in August 2018 where he works on sourcing, evaluating, and supporting innovative companies in healthcare, agriculture, and workforce development. He also manages Acumen's portfolio post-investment to add value to the investee companies. Before joining Acumen, he worked with Hong Kong and Shanghai Banking Corporation in the investment banking strategy team, where he was responsible for the execution of strategic initiatives- restructuring of business verticals, portfolio optimization, technology infrastructure development, and growth strategy for the EMEA region. Previously, he worked with the investment banking team focused on the metals and mining sector, where he advised clients on M&amp;A opportunities. He holds a Master of Business Administration degree from the Indian Institute of Management Ranchi and a bachelor's degree in Biomedical Engineering from Bharti Vidyapeeth University College of Engineering Pune.</t>
  </si>
  <si>
    <t>psabhlok@acumen.org</t>
  </si>
  <si>
    <t>Associate Director, Portfolio (India)</t>
  </si>
  <si>
    <t>378431-74P</t>
  </si>
  <si>
    <t>Patrick Tierney</t>
  </si>
  <si>
    <t>Tierney</t>
  </si>
  <si>
    <t>Mr. Patrick Tierney serves as an Advisor at Acumen Fund. He is the Director of Aviation for Freeport McMoRan, responsible for oversight of corporate flight operations and safety in Indonesia, Africa, and North and South America. He is the Co-Chair of Flight Safety Foundation's Technical Advisory Committee in Melbourne, Australia. Before joining Freeport, he served as a US Army Officer for 27 years in a variety of command and staff positions in conventional and Special Operations forces from Platoon to Brigade Command. He is a veteran of multiple combat and operational tours including Panama, Haiti, Colombia, Iraq, and Afghanistan. Most recently served as the Headquarters Department of the Army, Director of Aviation. He holds a Masters of Aeronautical Science, Airline Transport Pilot rating, and is rated in over 25 military and civilian fixed and rotary wing aircraft. He received a Bachelor's of Business Administration from the University of Georgia, Terry School of Business, and a Master's degree in National Security and Strategic Studies from the US Naval War College.</t>
  </si>
  <si>
    <t>75535-84P</t>
  </si>
  <si>
    <t>Paul Polman</t>
  </si>
  <si>
    <t>Polman</t>
  </si>
  <si>
    <t>Mr. Paul Polaman serves as Board Member at LIVEKINDLY Collective. He serves as Board Member at Dow. He served as Chief Executive Officer at Unilever. He actively seeks cooperation with other companies to implement sustainable, long-term business strategies and drive systemic change. He also serves as Advisor at Systemiq Capital. He is Chairman of the World Business Council for Sustainable Development, a member of the International Business Council of the World Economic Forum, a member of the B Team, and sits on the Board of the UN Global Compact and the Consumer Goods Forum, where he co-chairs the Sustainability Committee. His commitment to long-term, sustainable capitalism is reflected in his position as a member of the Global Board of Directors of Financing Capitalism for the Long-Term (FCLT), whose report 'Measuring the economic impact of short-termism' provides evidence that a long-term approach can lead to superior performance for revenue and earnings, investment, market capitalization, and job creation. He has played a significant role first in developing the Sustainable Development Goals, and now in promoting action towards their delivery as a member of the SDG Advocacy Group. His commitment to the SDGs inspired him and others to establish the Business and Sustainable Development Commission, whose flagship report, 'Better Business, Better World', maps the economic prize for companies that align with the Goals. He is also a member of the recently launched Coalition for Inclusive Capitalism Project and a Counsellor of One Young World. Since 2010, he has been a non-executive director of the Dow Chemical Company. In recognition of his contribution to responsible business, he has received numerous awards and accolades including the Rainforest Alliance Lifetime Achievement Award (2014), the Oslo Business for Peace Award (2015), the UN Environment Programme's Champion of the Earth Award (2015) and the Singapore Government Public Service Star (2016). In 2016, he received France's Chevalier de la LÃ©gion d'Honneur, in recognition of his efforts in galvanizing business action on sustainability and for his involvement during the historic 2015 UN Climate Change Conference (COP21) in Paris. He earned a BBA/BA from the University of Groningen, Netherlands, in 1977 and an MA in Economics and an MBA in finance/international marketing from the University of Cincinnati in 1979. He has been awarded honorary degrees from several Universities, including Northumbria, Liverpool, Groningen, and Cincinnati, and an honorary Doctorate of Science from the University of Cranfield. He is an Angel Investor.</t>
  </si>
  <si>
    <t>+1 (207) 822-5252</t>
  </si>
  <si>
    <t>Board Member</t>
  </si>
  <si>
    <t>Dow (Former)</t>
  </si>
  <si>
    <t>69914-89P</t>
  </si>
  <si>
    <t>Per Heggenes</t>
  </si>
  <si>
    <t>Per</t>
  </si>
  <si>
    <t>Heggenes</t>
  </si>
  <si>
    <t>Mr. Per Heggenes served as Chief Executive Officer at the IKEA Foundation. He also served as a Board Member of the Global Energy Alliance for People and Planet (GEAPP). As CEO, he sets and drives the Foundation's funding and innovation strategies, and is a tireless advocate for children living in some of the world's poorest communities. Since becoming the Foundation's first CEO in 2009, he has presided over the Foundation's evolution into a global, grant-making philanthropy that funds programs in more than 20 countries. In 2012, he was appointed to the UN Commission on Life-Saving Commodities for Women and Children by UN Secretary-General, Ban Ki-moon, who created the Commission to increase access to life-saving medicines and health supplies for the world's most vulnerable people. Previously, he was the Global Head of Corporate Affairs and a member of the Global Executive Team for the shipping and logistics company Wallenius Wilhelmsen Logistics. Before joining WWL, he was the UK President and CEO for the global public relations firm Burson-Marsteller and Co-CEO for Europe. He also held different global roles for Burson-Marsteller based in their New York headquarters. He served in the Norwegian Air Force and graduated from the University of Augsburg in Germany with a "Diplom Oekonom" (MBA).</t>
  </si>
  <si>
    <t>195916-24P</t>
  </si>
  <si>
    <t>Peter Cain</t>
  </si>
  <si>
    <t>Peter</t>
  </si>
  <si>
    <t>Cain</t>
  </si>
  <si>
    <t>Mr. Peter Cain serves as Advisor at Acumen Fund. He has also represented Acumen on the boards of two portfolio companies. He had a 30-year career in the credit markets. He worked with Ambac from 1994 to 2015. Roles there included co-leading the opening of the London office, focusing on global project finance and public-private partnerships, co-leading post-origination portfolio management on credit portfolios totaling hundreds of billions, and serving as the head of credit risk management. He also led Ambac's workout team on several municipal bankruptcies, including Detroit. He graduated from Babson College and holds an MBA from NYU's Stern School of Business. He is also on the board of Habitat for Humanity of Rockland County.</t>
  </si>
  <si>
    <t>pcain@acumen.org</t>
  </si>
  <si>
    <t>63150-31P</t>
  </si>
  <si>
    <t>Peter Goldmark Jr.</t>
  </si>
  <si>
    <t>Goldmark</t>
  </si>
  <si>
    <t>Mr. Peter Goldmark serves as an Advisor at Acumen Fund. He serves as Chairman at Remarkable Ventures Climate. Mr. Goldmark currently works as an independent consultant in areas of philanthropy, environmental policy, international affairs and development, and organizational development in the social change field. He retired as Director of the Environmental Defense Fund's Climate and Air Program in 2010. His public career was highlighted by his service as Budget Director for the State of New York during the 1970s city- and statewide fiscal crisis, and as Executive Director of the Port Authority of New York and New Jersey from 1977 to 1985. He served as president of the Rockefeller Foundation from 1988 through 1997, and as CEO of the International Herald Tribune from 1998-2003. He devotes his remaining years to "helping the next generation do better than ours has in facing the climate change disaster that threatens us all." He served as a trustee of the Rockefeller Brothers Fund (1982-1988), a member of the Board of Overseers of Harvard University (1984-1990), and served on the boards of Knight Ridder Inc. (1991-1998) and Lend Lease Corporation (1999-2014) among others. He is a member of the Council on Foreign Relations. He has taught courses at the JFK School of Government, Harvard; Yale College; The New School; Brandeis University; and Woodrow Wilson School, Princeton University as Visiting Professor of Public and International Affairs. Mr. Goldmark holds a B.A. from Harvard University and several honorary degrees.</t>
  </si>
  <si>
    <t>123178-42P</t>
  </si>
  <si>
    <t>Priyanka Bhasin</t>
  </si>
  <si>
    <t>Priyanka</t>
  </si>
  <si>
    <t>Bhasin</t>
  </si>
  <si>
    <t>Ms. Priyanka Bhasin serves as Head of Corporate Engagement at Acumen Fund. Prior to joining Acumen, she was at Catchafire, a for-profit social venture that works to match professionals with nonprofits on meaningful skills based volunteering projects in order to build capacity for non profit organizations. While at Catchafire, her roles ranged from leading the Account Management team to setting up some of Catchafire's first corporate partnership engagements, with corporations such as Merck, Viacom, and GLG. Previously, she was an Associate at Sanford C. Bernstein's Private Wealth Management group. She has also worked as an entrepreneur, launching her own event planning company, catering to the niche market of South Asian weddings. She holds an MBA from NYU Stern as well as a BS in Industrial Engineering from The Pennsylvania State University.</t>
  </si>
  <si>
    <t>pbhasin@acumenfund.org</t>
  </si>
  <si>
    <t>595 Pacific Avenue</t>
  </si>
  <si>
    <t>4th Floor</t>
  </si>
  <si>
    <t>Head of Corporate Engagement</t>
  </si>
  <si>
    <t>348416-29P</t>
  </si>
  <si>
    <t>Priyanka Dudeja</t>
  </si>
  <si>
    <t>Dudeja</t>
  </si>
  <si>
    <t>Ms. Priyanka Dudeja serves as Portfolio Associate at Acumen Fund. She works in the investments &amp; portfolio team where she is responsible for deal sourcing, evaluation, investments, value creation, and exit. Currently, she is responsible for thesis development and investments in the energy sector in India. Prior to this, she worked as a manager in the treasury of a major NBFC (Non-Banking Financial Company) in India. In this role, she managed regulatory compliance and investor relations. She studied Economics and Statistics at Lady Shri Ram College, University of Delhi; and holds a post-graduate diploma in liberal studies from Ashoka University as a Young India Fellow.</t>
  </si>
  <si>
    <t>pdudeja@acumen.org</t>
  </si>
  <si>
    <t>289221-76P</t>
  </si>
  <si>
    <t>Rebecca Eastmond</t>
  </si>
  <si>
    <t>Rebecca</t>
  </si>
  <si>
    <t>Eastmond</t>
  </si>
  <si>
    <t>Ms. Rebecca Eastmond serves as an Advisor at Acumen Fund. She also serves as Chair of the Impact Debt Committee at Impact Bridge. She is the Co-founder and Chief Executive Officer of Greenwood Place, which provides strategic advice and execution for a small community of entrepreneurial philanthropists. She created Greenwood Place in 2017 to leverage the experience she gained over 20 years of work at the intersection of business and non-profit, including almost a decade with J.P. Morgan Private Bank, where she led the bank's philanthropy advisory offering in Europe, the Middle East, and Africa. She serves as an Advisor at Acumen Fund. She worked as a charity lawyer at Allen &amp; Overy and became Chief Executive Officer of The Prince's Foundation for Arts and Kids, taking it from a start-up to working with 33,000 children in years. She serves on the board of two grant-making foundations, is a trustee of Peek Vision, of Acumen Academy UK, and is a global council member for Acumen. She was previously a trustee of Smart Works and the House of Illustration and served on the UK's Philanthropy Review board. She read law at Oxford University and qualified as a solicitor in England and Wales.</t>
  </si>
  <si>
    <t>176066-29P</t>
  </si>
  <si>
    <t>Rebecca Mincy</t>
  </si>
  <si>
    <t>Mincy</t>
  </si>
  <si>
    <t>Ms. Rebecca Mincy serves as Investment Director at Acumen Resilient Agriculture Fund. She serves as Portfolio Manager at Acumen Fund. She started working for Acumen as a Short-Term Associate for the Portfolio Team in 2012. She worked on the deal teams for Ethio-Chick (Agriculture), First Access (FinTech), and Devergy (Energy). She briefly left Acumen to be the In-Country Manager for IDEO.org's Amplify Program, a series of innovation challenges that invests in early-stage solutions to some of the world's toughest problems. Prior to Acumen, she worked in the foreign service, for a disaster relief-focused NGO, an emerging market debt hedge fund, and in academia. She has an MBA in Finance from Columbia Business School and a BA from Stanford in French. She currently serves as a Trustee for UK-based charity TechForTrade and is co-founder of Catwalk to Freedom, a non-profit that uses fashion to help educate and provide sustainable employment training to South Sudanese refugee girls facing or fleeing early marriage.</t>
  </si>
  <si>
    <t>rmincy@arafund.com</t>
  </si>
  <si>
    <t>Keystone Park</t>
  </si>
  <si>
    <t>Riverside Drive</t>
  </si>
  <si>
    <t>Investment Director</t>
  </si>
  <si>
    <t>Acumen Resilient Agriculture Fund</t>
  </si>
  <si>
    <t>243662-59P</t>
  </si>
  <si>
    <t>Ruth Wairimu</t>
  </si>
  <si>
    <t>Ruth</t>
  </si>
  <si>
    <t>Wairimu</t>
  </si>
  <si>
    <t>Ms. Ruth Wairimu serves as Portfolio Manager at Acumen Fund. She is responsible for the Acumen East Africa Education Facility and oversees the investment and portfolio management for the diverse education portfolio. She is responsible for the end-to-end investment process including deal origination, screening, deal structuring, investment underwriting, closing documentation, and post-close portfolio management. She actively works with the early-stage founders/entrepreneurs in her portfolio delivering Acumen's decades of experience to ensure the companies achieve their mission and budgeted goals. Before Acumen, she worked with Optimizer Foundation closing Pre-Seed and Seed investments in Edtech and Healthtech primarily in East Africa. Before that, she was at Energy Access Ventures (now E3 Capital), focusing on investments in decentralized renewable energy assets across Africa. She began her career in Corporate and Investment Banking at Standard Bank Group.</t>
  </si>
  <si>
    <t>rwairimu@acumen.org</t>
  </si>
  <si>
    <t>40396-60P</t>
  </si>
  <si>
    <t>Sanjay Gupta</t>
  </si>
  <si>
    <t>Gupta</t>
  </si>
  <si>
    <t>Mr. Sanjay Gupta serves as the Global Chief Executive Officer, Advisor and Board Member at EnglishHelper. He serves as Advisor at Acumen Fund. He has several years of experience leading and growing large teams and organizations worldwide. He served a long stint at American Express, where he served as Head of Customer Service - International Markets from Singapore, Head of Global Financial Operations from New York, and Senior Vice President and Head of the India Leadership Team. He has also held senior positions at Motorola, Pepsico, and Eicher in India. Currently, he serves as Director of Bharti AXA Investment Managers, Grow Talent and other companies. He is on the Advisory Boards of organizations including Schneider Electric India and Acumen Fund.</t>
  </si>
  <si>
    <t>+91 (0)11 4708 5970</t>
  </si>
  <si>
    <t>sanjaygupta@englishhelper.com</t>
  </si>
  <si>
    <t>New Delhi</t>
  </si>
  <si>
    <t>New Delhi, India</t>
  </si>
  <si>
    <t>Flat number 323, Vikas Surya Shopping Mall</t>
  </si>
  <si>
    <t>Mangalam Place, Sector - 3, Rohini</t>
  </si>
  <si>
    <t>110085</t>
  </si>
  <si>
    <t>Global Chief Executive Officer, Advisor &amp; Board Member</t>
  </si>
  <si>
    <t>EnglishHelper</t>
  </si>
  <si>
    <t>271299-25P</t>
  </si>
  <si>
    <t>Sarah Bieber</t>
  </si>
  <si>
    <t>Bieber</t>
  </si>
  <si>
    <t>Ms. Sarah Bieber serves as Director, Energy Partnerships at Acumen Fund. Sarah leads partner relations for Acumen's pioneering energy work. As a leading voice in the off-grid energy sector, Sarah cultivates partnerships with donors, corporations, and other investors to advance Acumen's energy initiatives. Sarah previously led the Scaling Off-Grid Energy Grand Challenge at USAID/Power Africa (2016-18) and was elected to the board of the Global Off-Grid Lighting Association (GOGLA) based on her experience investing in pioneering enterprises serving low-income communities in developing markets. Prior to joining Acumen in 2018, Sarah spent seven years as a foreign service officer for the US Agency for International Development (USAID) in Bangkok and Washington, DC. Her career has focused on advancing clean energy to address climate change. Sarah holds a BS in Ecology &amp; Evolutionary Biology from Tulane University and a Masters of International Affairs in Energy &amp; Environment from Columbia University School of International &amp; Public Affairs.</t>
  </si>
  <si>
    <t>sbieber@acumen.org</t>
  </si>
  <si>
    <t>Director, Energy Partnerships</t>
  </si>
  <si>
    <t>118459-90P</t>
  </si>
  <si>
    <t>Seth Godin</t>
  </si>
  <si>
    <t>Seth</t>
  </si>
  <si>
    <t>Godin</t>
  </si>
  <si>
    <t>Mr. Seth Godin serves as an Advisor at Acumen Fund. He serves as an Advisor at ReGen Ventures. He is an author, entrepreneur, and long-time Acumen supporter. He writes and speaks about how ideas spread and the stories we tell others (and ourselves). He is the author of fifteen international bestsellers that have been translated into over 35 languages and have changed the way people think about marketing and work. For a long time, Unleashing the Idea virus was the most popular ebook ever published, and Purple Cow is the bestselling marketing book of the decade. In addition to his writing and speaking, he is the founder and CEO of Squidoo.com, a fast-growing recommendation website. Before his work as a writer and blogger, he was Vice President of Direct Marketing at Yahoo!, a job he got after selling them his pioneering 1990s online startup, Yoyodyne.</t>
  </si>
  <si>
    <t>13552-57P</t>
  </si>
  <si>
    <t>Stuart Davidson</t>
  </si>
  <si>
    <t>Stuart</t>
  </si>
  <si>
    <t>Davidson</t>
  </si>
  <si>
    <t>He is also a Co-Founder and serves as a Board Member and Chairman at Sonen Capital. He is also a Founding Partner and Investment Committee Member at Avesta Fund. He serves as a Managing Partner at Labrador Ventures. He serves as a Founding Member, Board of Directors, Vice Chairman, and Board Secretary for REDF Impact Investing Fund at REDF. He serves as the Advisor at Open Invest and GenePath Dx. He also provides strategic planning and oversight of the firm's overall investment activities and portfolio management for select strategies. He also serves as Managing Partner at Labrador Ventures. He has invested in over a hundred early-stage companies and served on numerous boards. His investment experience includes reviewing and assessing direct impact investments and impact funds on behalf of asset pools for which he serves as trustee, advisor, or investment committee member. He is a founding board member and funder of Acumen Fund where he chairs the investment committee. He is a graduate of Harvard College and Harvard Business School.</t>
  </si>
  <si>
    <t>+1 (415) 534-4444</t>
  </si>
  <si>
    <t>sdavidson@sonencapital.com</t>
  </si>
  <si>
    <t>101 Montgomery Street</t>
  </si>
  <si>
    <t>Suite 2150</t>
  </si>
  <si>
    <t>94104</t>
  </si>
  <si>
    <t>Co-Founder, Board Member &amp; Chairman</t>
  </si>
  <si>
    <t>Sonen Capital</t>
  </si>
  <si>
    <t>428035-33P</t>
  </si>
  <si>
    <t>Sunny Kim JD</t>
  </si>
  <si>
    <t>Sunny</t>
  </si>
  <si>
    <t>Kim</t>
  </si>
  <si>
    <t>Ms. Sunny Kim serves as Director of Legal Counsel at Acumen Fund. Ms. Kim manages global legal support for the implementation of Acumen's programs, including the execution and management of investments as well as legal guidance for the organization's general functions. Prior to joining Acumen, she was a corporate attorney at Cooley where she represented emerging companies throughout their lifecycle. Before that, she was a corporate attorney at White &amp; Case where she represented clients in buy-side and sell-side mergers and acquisitions. She received a BS from New York University's Stern School of Business, and a JD from the Duke University School of Law.</t>
  </si>
  <si>
    <t>Director of Legal Counsel</t>
  </si>
  <si>
    <t>378447-49P</t>
  </si>
  <si>
    <t>Susan Meiselas</t>
  </si>
  <si>
    <t>Meiselas</t>
  </si>
  <si>
    <t>Ms. Susan Meiselas serves as an Advisor at Acumen Fund. She received her B.A. from Sarah Lawrence College and her M.A. in visual education from Harvard University.</t>
  </si>
  <si>
    <t>392786-56P</t>
  </si>
  <si>
    <t>Sydney Thomas</t>
  </si>
  <si>
    <t>Sydney</t>
  </si>
  <si>
    <t>Ms. Sydney Thomas serves as an Investment Committee Member at Acumen Fund. She also serves as an Investment Committee Member at Acumen America. She is the Founder and General Partner of Symphonic Capital, a venture capital firm that invests in companies making life better for the 99%. She is on the strategy committee of BLCK VC, the Board of Colorwave, and the Advisory Board of Invanti, a startup generator in Midwestwest. She grew from Assoc to Principal and now works there part-time as a Venture Partner. Before joining Precursor, Sydney gained experience working in technology startups in business development and product marketing. She has done everything from writing federal SBIR grants to managing customer success teams. Prior to her work in tech, she served in the Bloomberg Administration in NYC. Throughout her tenure, she drafted federal legislation, negotiated a multi-million-dollar contract, and received a full-ride scholarship to her business school of choice. Before her work in tech, she served in the Bloomberg Administration in New York City. She graduated from Berkeley with her MBA and Duke with her BA.</t>
  </si>
  <si>
    <t>sthomas@acumen.org</t>
  </si>
  <si>
    <t>378446-86P</t>
  </si>
  <si>
    <t>Tim Brown</t>
  </si>
  <si>
    <t>Tim</t>
  </si>
  <si>
    <t>Mr. Tim Brown serves as an Advisor at Acumen Fund. He is the Chief Executive Officer and President of IDEO. He frequently speaks about the value of design thinking and innovation to businesspeople and designers around the world. He has participated in the World Economic Forum in Davos, Switzerland, since 2006, and his talk "Serious Play" appears on TED.com. An industrial designer by training, he has earned numerous design awards and has exhibited work at the Museum of Modern Art in New York, Axis Gallery in Tokyo, and the Design Museum in London. He takes a special interest in the convergence of technology and the arts, as well as how design can be used to promote the well-being of people living in emerging economies. He advises senior executives and boards of Fortune 100 companies and has led strategic client relationships with such organizations as the Mayo Clinic, Microsoft, PepsiCo, Procter &amp; Gamble, and Steelcase. He is a board member of the Mayo Innovation Advisory Council. Additionally, he writes extensively, with articles in the Harvard Business Review, The Economist, and other prominent publications. His book on how design thinking transforms organizations, Change by Design, was released by HarperBusiness in September 2009. He maintains a blog on the subject of design thinking.</t>
  </si>
  <si>
    <t>378446-50P</t>
  </si>
  <si>
    <t>Uzodinma Iweala</t>
  </si>
  <si>
    <t>Uzodinma</t>
  </si>
  <si>
    <t>Iweala</t>
  </si>
  <si>
    <t>Mr. Uzodinma Iweala serves as an Advisor at Acumen Fund. He is an award-winning writer, filmmaker, and medical doctor. As the CEO of The Africa Center, he is dedicated to promoting a new narrative about Africa and its Diaspora. He was the CEO, Editor-In-Chief, and co-founder of Ventures Africa Magazine, a publication that covers the evolving business, policy, culture, and innovation spaces in Africa. His books include Beasts of No Nation, a novel released in 2005 to critical acclaim and adapted into a major motion picture; Our Kind of People, a non-fiction account of HIV/AIDS in Nigeria released in 2012; and Speak No Evil (2018), a novel about a queer first-generation Nigerian-American teen living in Washington, D.C. His short stories and essays have appeared in numerous publications like The New York Times Magazine, Vanity Fair, and The Paris Review among others. He was also the founding CEO of the Private Sector Health Alliance of Nigeria, an organization that promotes private-sector investment in health services and health innovation in Nigeria. He sits on the boards of the Sundance Institute, The International Rescue Committee, and the African Development Bank's Presidential Youth Advisory Group.</t>
  </si>
  <si>
    <t>123170-86P</t>
  </si>
  <si>
    <t>Veena Shetty</t>
  </si>
  <si>
    <t>Veena</t>
  </si>
  <si>
    <t>Shetty</t>
  </si>
  <si>
    <t>Ms. Veena Shetty serves as Talent Manager at Acumen Fund. Before Acumen, she worked with Intellectual Capital Advisory Services Pvt Ltd (Intellecap) for 3 years where she focused on Administrative and HR functions. At Acumen she is engaged in administrative and talent functions. She has received her Master's in Commerce (Management) and Bachelor of Commerce from Mumbai University, she also holds a Diploma in NIIT.</t>
  </si>
  <si>
    <t>+91 (0)22 6740 1500</t>
  </si>
  <si>
    <t>vshetty@acumenfund.org</t>
  </si>
  <si>
    <t>378450-55P</t>
  </si>
  <si>
    <t>Vikki Tam</t>
  </si>
  <si>
    <t>Vikki</t>
  </si>
  <si>
    <t>Tam</t>
  </si>
  <si>
    <t>Ms. Vikki Tam serves as an Advisor at Acumen Fund. She is a partner in Bain &amp; Company's New York office and head of the firm's Global Development Practice, which partners with cutting-edge, global organizations that support entrepreneurship in developing and emerging markets to help grow local businesses, create jobs, and ultimately combat global poverty. He directs Bain's global partnership with Acumen. In 2012, he and a Bain team worked with Acumen to better align its global operating model with next-stage growth objectives and helped clarify and improve some of its most critical structures, including a more transparent investment process and post-investment governance. Building upon the success of that effort, he continues to collaborate with Acumen on other strategic topics and research development. She also oversees the firm's global partnership with Endeavor, a non-profit that aims to catalyze long-term economic development in emerging and developed markets through high-impact entrepreneurship. In addition to her client work, he leads Bain's semi-annual Net Promoter Social Impact Forum. The forum brings together executives from leading non-profits to share best practices on using Bain's proprietary Net Promoter SystemSM to enhance stakeholder loyalty and shape how impact is measured in the social sector. Before her current role, he was based in Bain's Shanghai office, where she led the firm's Telecom, Media &amp; Technology, and Organization Practices in Greater China. There, she worked with local and multinational companies on business growth strategies, market entry, organizational design, and corporate performance improvement. She also oversaw Bain's multi-year relationship with Jet Li's One Foundation, China's first non-government public foundation. He credits her personal and professional experiences living and working in China, Japan, Australia, the U.K., and the U.S. with nurturing her sensitive curiosity about different cultures and cultivating a lifelong interest in global development. Through her work at Bain, she combines her expertise in data-driven analysis and developing practical insights with her deep understanding of the non-profit sector to help global development organizations, such as Acumen, increase their social and economic impact. He earned her MBA from the Wharton School of Business and graduated phi beta kappa with a bachelor's degree in economics from the University of Pennsylvania.</t>
  </si>
  <si>
    <t>71719-03P</t>
  </si>
  <si>
    <t>Vinay Nair</t>
  </si>
  <si>
    <t>Vinay</t>
  </si>
  <si>
    <t>Nair</t>
  </si>
  <si>
    <t>Mr. Vinay Nair is a Co-Founder &amp; serves as Chief Executive Officer &amp; Board Member at Lightful. He serves as Advisor at Acumen Fund. He served as Director of Business Development at Social and Sustainable Capital. He serves in the same capacity at SASC's partner organization, the Social Investment Business. He previously worked as Head of International Business Development at the social impact investor, Acumen. He also worked for the Clinton Foundation HIV/AIDS Initiative in Mozambique. He is a former Executive Director at JPMorgan, London, where he was head of a fixed-income marketing team. He received his BA (Hons.) in Economics and Political Science from Trinity College Dublin and a Masters in Public Administration (MPA) from the London School of Economics. He is a Trustee and interim Chair of the Social Entrepreneurs Trust, and an 'expert-in-residence' at the Skoll Centre for Social Entrepreneurship at Oxford University. He is on the advisory board of the Centre for Talented Youth of Ireland and is a Fellow of the Royal Society of the Arts (FRSA).</t>
  </si>
  <si>
    <t>+44 (0)15 1528 6858</t>
  </si>
  <si>
    <t>vinay@lightful.com</t>
  </si>
  <si>
    <t>10 Queen Street Place</t>
  </si>
  <si>
    <t>EC4R 1AG</t>
  </si>
  <si>
    <t>Lightful</t>
  </si>
  <si>
    <t>123171-85P</t>
  </si>
  <si>
    <t>Virgilio Barco</t>
  </si>
  <si>
    <t>Virgilio</t>
  </si>
  <si>
    <t>Barco</t>
  </si>
  <si>
    <t>Mr. Virgilio Barco is the Co-Founder and serves as Managing Partner at Alive Ventures. He also serves as Board Member at uPlanner, Levee and Symplifica. He serves as a Latin America Director at Acumen Fund. He is responsible for all Latin America-related investments, operations, and business development activities. Before joining Acumen, he was the Executive Director of the non-profit Social Investment Bank (Banca de Inversión Social), which has helped lead the development of the impact investing space in Colombia. Prior to that, he was the Founding Director of Invest in Bogota, a public-private partnership that promotes foreign direct investment to the Greater Bogota region. In 2009, Invest in Bogota was ranked as the top non-OECD investment promotion agency in the world by the IFC. He also headed the privatization unit at the Colombian Ministry of Finance and was an advisor on local economic development for the Bogota Planning Department. He has worked in private equity with FondElec Group, as a management consultant at Booz Allen Hamilton in Brazil, and as a financial analyst at Citibank Spain. He has an MBA from MIT Sloan School of Management, an MA in Economics from NYU, and a BA in Government from Harvard University. He serves as a Board Member at AgriCapital.</t>
  </si>
  <si>
    <t>vbarco@alive-ventures.com</t>
  </si>
  <si>
    <t>Ak. 7, Calle 84a-29 ofc 502</t>
  </si>
  <si>
    <t>Localidad de Chapinero</t>
  </si>
  <si>
    <t>Alive Ventures</t>
  </si>
  <si>
    <t>428034-43P</t>
  </si>
  <si>
    <t>Wanji Ng'ang'a</t>
  </si>
  <si>
    <t>Wanji</t>
  </si>
  <si>
    <t>Ng'ang'a</t>
  </si>
  <si>
    <t>Ms. Wanji Ng'ang'a serves as Assistant Director of Portfolio at Acumen Fund. She serves as Board Member at SimuSolar. She has 15 years of experience in commercial banking, off-grid energy, and early-stage investing. Previously she was the Regional Manager in East Africa for Shell Foundation and led SF's activities and strategy in the region. She was responsible for the end-to-end investment-making process to fund entrepreneurs across household energy, productive use, and sustainable mobility portfolios. Before joining SF, she grew businesses in the off-grid lighting sector in various African, Latin American, and Pacific regions. She has worked with SunKing, building and launching their off-grid growth strategy across markets, stewarding four household energy brands to deliver revenue growth, with GOGLA to lead and advocate for more data-driven financial metrics for the energy sector and Biolite, as the VP of sales to launch clean energy products into East and West Africa. She holds a degree in International Business Administration from the United States International University in Kenya and an Impact Investing certification from Oxford University. She is pursuing a Masters in Development Finance from the University of Cape Town.</t>
  </si>
  <si>
    <t>wnga@acumen.org</t>
  </si>
  <si>
    <t>Assistant Director of Portfolio</t>
  </si>
  <si>
    <t>348453-64P</t>
  </si>
  <si>
    <t>Yash Gaddhyan</t>
  </si>
  <si>
    <t>Yash</t>
  </si>
  <si>
    <t>Gaddhyan</t>
  </si>
  <si>
    <t>Consultant</t>
  </si>
  <si>
    <t>Mr. Yash Gaddhyan serves as a Consultant, Hardest-to-Reach at Acumen Fund. He manages Acumen's portfolio companies in India and works on sourcing, evaluating, and supporting new investments. He joined Acumen in 2022. Previously, he worked with Lightbox Ventures in the Investment team, where he was responsible for new investments, deal sourcing, and assisting portfolio companies in business strategy, acquisitions, and venture debt. Before Lightbox, he was with PricewaterhouseCoopers in the Corporate Finance and Investment Banking team and advised clients on M&amp;A and fundraising opportunities across sectors such as metals and mining, automotive, and industrial products. He holds a Bachelor's degree in Economics &amp; Finance and a minor in Entrepreneurship from Ashoka University. He also holds a Post-Graduate Diploma in Advanced Studies and Research from Ashoka University.</t>
  </si>
  <si>
    <t>ygaddhyan@acumen.org</t>
  </si>
  <si>
    <t>Consultant, Hardest-to-Reach</t>
  </si>
  <si>
    <t>100796-68P</t>
  </si>
  <si>
    <t>Yasmina Zaidman</t>
  </si>
  <si>
    <t>Yasmina</t>
  </si>
  <si>
    <t>Zaidman</t>
  </si>
  <si>
    <t>Chief Development Officer</t>
  </si>
  <si>
    <t>Ms. Yasmina Zaidman serves as Chief Development and Partnerships Officer at Acumen Fund. She is responsible for Acumen's external communications and leads its efforts to engage with strategic corporate partners who share Acumen Fund's commitment to supporting entrepreneurial approaches to tackling poverty. She initiated and managed the Water Portfolio at Acumen Fund, and has worked in the arenas of international development, corporate sustainability and social entrepreneurship for the past 16 years. She received a BA from Vassar College and her MBA from Stanford University's Graduate School of Business with a certificate in Public Management. She also serves as Board Member at KadAfrica.</t>
  </si>
  <si>
    <t>+1 (646) 747-3974</t>
  </si>
  <si>
    <t>yzaidman@acumen.org</t>
  </si>
  <si>
    <t>Chief Development and Partnerships Officer</t>
  </si>
  <si>
    <t>381510-82P</t>
  </si>
  <si>
    <t>Yemisi Ayeni</t>
  </si>
  <si>
    <t>Yemisi</t>
  </si>
  <si>
    <t>Ayeni</t>
  </si>
  <si>
    <t>Mr. Yemisi Ayemi serves on the Investment Committee at Acumen Fund. She retired as Managing Director of Shell Nig. Closed Pension Fund Administrator Limited in April 2015. She is a 1985 honors graduate of Economics from the prestigious University of Manchester, UK, and a 1989 Chartered Accountant and Fellow of the Institute of Chartered Accountants in England and Wales. She started her professional career with Price Waterhouse, London in 1985 where she spent 5 years working her way through a variety of increasingly senior Audit roles before moving to the Firm's Corporate Reconstruction and Insolvency team in 1990. She returned to Nigeria in 1991 as a Senior Manager in the Corporate Finance Team of Price Waterhouse, Lagos. In 1994, she joined Shell Nigeria and held a wide variety of roles during her 21 years with Shell. In November 2004, she was appointed Finance Director, Shell Nigeria Exploration &amp; Production Company Ltd. (SNEPCo), earning her the distinction of being the first Nigerian woman to be appointed to the Board of a Shell Company in Nigeria.
 Until her retirement, she was a Council Member of the Nigerian Stock Exchange and the Chair of the Exchange's Demutualization and Technical Committees. She was also Vice Chair of, the Pension Fund Operators' Association and the Chair of the Association's Institute Committee; Chair of LEAP Africa, and a member of the Executive Committee of WIMBIZ. She is currently the Chairperson of NASCON Allied Industries plc, Non-Executive Director of Stanbic IBTC Pension Managers Ltd and Guinness Nigeria plc; and a member of the Investment Committee of Acumen Fund Inc. She is also a member of the Leadership Council of the Aig-Imoukhuede Foundation and Vice-Chair of the Queen's College Old Girls' Association's Board of Trustees.</t>
  </si>
  <si>
    <t>217498-24P</t>
  </si>
  <si>
    <t>Zubyr Soomro</t>
  </si>
  <si>
    <t>Zubyr</t>
  </si>
  <si>
    <t>Soomro</t>
  </si>
  <si>
    <t>Mr. Zubyr Soomro served as the Chairman of the National Bank of Pakistan. He serves as an Advisor at Acumen Fund. He is a Board Member of the Egyptian Financial Group-Hermes Holding. He is currently the Chairman of the Pakistan Microfinance Investment Company, a market-based entity majority-owned by KfW and a DFID subsidiary. He is also on the Board of Directors of the State Bank of Pakistan. His other board roles include Acumen Pakistan, Grameen Foundation USA, the Layton Rahmatulla Benevolent Trust, and Aitchison College. Mr. Soomro spent the majority of his career at Citibank in international corporate, investment, consumer, and private banking, with over 33 years at the bank including work across the Middle East, Turkey, Africa, the UK, and Pakistan. He retired in 2008 as Managing Director and Country Head for Pakistan. In 2004, the Pakistan State Bank awarded him the Quaid e Azam Centenary Gold Medal for his assignment as Chairman and President of United Bank Ltd. where he ran and restructured the bank for privatization. He held the position of Chairman of the Karachi Stock Exchange from 2010 to 2011 and was on the Policy Board of the Securities and Exchange Commission of Pakistan from 2004 to 2007. Before this, he was Chairman of the Pakistan Bank's Association, President of the American Business Council, and President of the Overseas Chamber of Commerce and Industry. He has a Bachelor of Science degree from the London School of Economics, a Master's degree from the School of Oriental and African Studies, and graduated from an Executive Education Program in 2015 on Strategic Leadership in Inclusive Finance from Harvard.</t>
  </si>
  <si>
    <t>+20 (0)2 3535 6499</t>
  </si>
  <si>
    <t>zsoomro@acumen.org</t>
  </si>
  <si>
    <t>+20 (0)2 3535 7111</t>
  </si>
  <si>
    <t>Systems (Pakistan) (Former)</t>
  </si>
  <si>
    <t>44577-37P</t>
  </si>
  <si>
    <t>Mark Goldstein</t>
  </si>
  <si>
    <t>Goldstein</t>
  </si>
  <si>
    <t>Advisors.Fund</t>
  </si>
  <si>
    <t>Mr. Mark Goldstein serves as Seed Partner at Builders VC. He is a Co-Founder and serves as Chief Executive Officer at Great Gums. He serves as a Board Member at GraphWear. He serves as a Board Member at Conversa Health and SewerAI. He served as Chairman at Camio. He is a Co-Founder and serves as Chairman at Backops. He serves as Chairman at Camio. He serves as an Advisor at Mendel and RAIsonance. He is a Co-Founder and serves as Chairman at HireAthena. He served as Chief Executive Officer as well as founded Impulse Buy Network. He also served as an Advisor at Kairos Society and Dispatch. He serves as an Advisor at EcoMom, Inc. He co-founded Loyalty Lab, Inc. (formerly InStorecard, Inc.) of San Francisco and serves as its Chairman. he served as Chief Executive Officer of Loyalty Lab. He served as President of Loyalty Lab. he co-founded BlueLight.com, a joint venture of K-Mart and Softbank in 1999 and also served as its Chief Executive Officer and President from December 1999 to June 2001. He served as President and Chief Executive Officer of Alterego Networks. From September 1997 to July 1999, he served as the Chief Executive Officer of Impulse Buy Network, a web merchandising specialist that he founded in 1997 and served as its Chief Executive Officer. From September 1995 to March 1997, he served as an Executive Vice President of Firefly Networks, a software development subsidiary of Microsoft Corporation. He founded NetAngels a web profiling firm (now a part of Microsoft). Previously, he served as Vice President of Shopping of Inktomi (now a part of Yahoo). Before that, he founded the online trading firm Reality Online (now part of Reuters), where he served as Chief Executive Officer or President for several years. He served as the entrepreneur-in-residence of New Enterprise Associates (NEA) and SOFTBANK Venture Capital. From August 1999 to January 2000, he served as an Internet Executive of Softbank Holdings (Softbank). He launched its e-commerce shopping site. He serves as Director of Commerce Technologies, Inc. and Loyalty Lab, Inc. He serves on the Penn Library Board of Overseers. he serves as Director of NapaStyle, InStorecard, and Tradepoint Solutions, Inc. (now DemandTec). He serves as an Advisor on Customer Loyalty of TicketLeap Inc. He served as a Director of Bluefly, Inc. from December 1999 to February 2002. He served as a Director of Alterego Networks. He served as a Board of Advisor or Director of Salesforce, Bix.com (now Yahoo!), SocialMedia, Stylehive, Rapleaf, and Hawkeye Brewing Technologies. He graduated from the University of Pennsylvania, where he attended the Wharton School. He also serves as an Advisor at Zinrelo and Giftbit. He serves as Managing Partner at Advisors.Fund. He serves as Director at DentiScope.</t>
  </si>
  <si>
    <t>mark@builders.vc</t>
  </si>
  <si>
    <t>601 California Street</t>
  </si>
  <si>
    <t>Suite 700</t>
  </si>
  <si>
    <t>94108</t>
  </si>
  <si>
    <t>Seed Partner</t>
  </si>
  <si>
    <t>Builders VC</t>
  </si>
  <si>
    <t>340725-88P</t>
  </si>
  <si>
    <t>Aaron Ishikawa</t>
  </si>
  <si>
    <t>Aaron</t>
  </si>
  <si>
    <t>Aero X Ventures</t>
  </si>
  <si>
    <t>Executive &amp; General Partner</t>
  </si>
  <si>
    <t>Mr. Aaron Ishikawa serves as a General Partner &amp; Investment Team Lead at Aero X Ventures. Mr. Ishikaw serves as Partner &amp; Chief Operating Officer at Singularity Capital Advisors. He is a technology strategist with over 15 years of experience directing teams to build, fund, and acquire aerospace technologies. He served as a Tech Acquisitions &amp; Strategy Advisor at Booz Allen Hamilton from 2015 to 2022. In this role, he developed strategic planning for aerospace-related technology acquisitions, led business development and capture for new engineering and software business lines, and served as a trusted advisor to United States Air Force procurement leadership. He also founded a corporate incubator for developing data-driven solutions, where he collaborated with startups, top universities, and the aerospace industry's early-stage entrepreneurial ecosystem to create growth opportunities for the firm and its aerospace clients. He holds a Master of Business Administration from the Wharton School at Penn and an MS and BS in Systems Engineering from the University of Southern California.</t>
  </si>
  <si>
    <t>+1 (808) 277-6451</t>
  </si>
  <si>
    <t>aaron@axv.vc</t>
  </si>
  <si>
    <t>General Partner &amp; Investment Team Lead</t>
  </si>
  <si>
    <t>311236-48P</t>
  </si>
  <si>
    <t>Basil Yap</t>
  </si>
  <si>
    <t>Basil</t>
  </si>
  <si>
    <t>Yap</t>
  </si>
  <si>
    <t>Mr. Basil Yap serves as a Strategic Advisor at Aero X Ventures. He served as Vice President of Hovecon Consulting, which provided subject matter expertise and program development for emerging aviation technologies. He is also an appointee to NASA's Aeronautics Research and Technology Roundtable, whose mission is to define and explore critical issues related to the nation's aeronautics research agenda including UAS, electric vertical take-off and landing (eVTOL) technology and Urban Air Mobility. He holds a bachelor's degree in Civil Engineering from North Carolina State University.</t>
  </si>
  <si>
    <t>+1 (336) 745-1259</t>
  </si>
  <si>
    <t>basilyap@aeroxventures.com</t>
  </si>
  <si>
    <t>Strategic Advisor</t>
  </si>
  <si>
    <t>49740-67P</t>
  </si>
  <si>
    <t>David Mounts</t>
  </si>
  <si>
    <t>Mounts</t>
  </si>
  <si>
    <t>Chairman &amp; Founder</t>
  </si>
  <si>
    <t>Mr. David Mounts serves as Co-Founder &amp; Chairman of Investment Committee at Aero X Ventures. He served as Managing Director at Aero X Ventures. He served as Chief Executive Officer and Chairman at Inmar. He also serves as Executive Advisor, Supply Chain &amp; Logistics at Corridor Capital. He has extensive operations and financial management experience in the U.S., Europe, and Asia. He has lived and worked in all three regions. His expertise in investment, innovation, industry collaboration, and corporate development has supported transformative product innovation and the growth of information-driven networks spanning over 200 countries at UPS. Before joining the Inmar team, he was Executive Vice President of the Supply Chain for Domino's Pizza, Inc. He also served as Domino's Chief Financial Officer from 2005 to 2007. Before Domino's, he held several positions during a nearly 23-year tenure at UPS, including Chief Financial Officer, UPS Supply Chain Solutions, and Vice President of Mergers and Acquisitions. He has an MBA from The Wharton School, University of Pennsylvania. He is Chairman of the Wharton Alumni Executive Board, serves on the board of visitors for the Wake Forest University Schools of Business, and is a member of the board of directors for the United Way of Forsyth County.</t>
  </si>
  <si>
    <t>david@axv.vc</t>
  </si>
  <si>
    <t>Co-Founder &amp; Chairman of Investment Committee</t>
  </si>
  <si>
    <t>275069-80P</t>
  </si>
  <si>
    <t>Kyle Mounts</t>
  </si>
  <si>
    <t>Kyle</t>
  </si>
  <si>
    <t>Mr. Kyle Mounts is the Co-Founder and serves as Managing Partner &amp; Chief Investment Officer at Aero X Ventures. He serves as Managing Partner at Singularity Capital Advisors. He served as a Board Member at Point Motion. He also serves as a Board Member at Vermeer. He received a Bachelor of Business Administration in Finance from the University of North Carolina at Greensboro (2016) and a Master of Business Administration with a double major in Finance and Entrepreneurship &amp; Innovation from the Wharton School at the University of Pennsylvania (2021).</t>
  </si>
  <si>
    <t>kyle@axv.vc</t>
  </si>
  <si>
    <t>Miami</t>
  </si>
  <si>
    <t>Miami, FL</t>
  </si>
  <si>
    <t>Co-Founder, Managing Partner &amp; Chief Investment Officer</t>
  </si>
  <si>
    <t>33351-40P</t>
  </si>
  <si>
    <t>Michael Baughan</t>
  </si>
  <si>
    <t>Baughan</t>
  </si>
  <si>
    <t>Mr. Michael Baughan is a Co-Founder &amp; serves as a Partner at Osprey Capital. He serves as a Strategic Advisor at Aero X Ventures. He served as President &amp; Chief Operating Officer at Aircraft Products. He served as President &amp; Chief Operating Officer at PTC Aerospace. He served as Chief Operating Officer &amp; President at Acurex. He serves as an Executive Board Member at ATL Partners. He served as a Board Member at MidOcean Partners. He served as Chairman at JF Petroleum Group. He served as President and Chief Operating Officer of B/E Aerospace, Inc. from 2005 until December 31, 2010. Before that, he served as Senior Vice President and General Manager of the company's Commercial Aircraft Segment and as Group Vice President and General Manager for Seating Products. Earlier in his career, he served as President of AET Systems, Inc., and in various roles at The Boston Company (American Express) and Dow Chemical. He has a B.A. in economics from the University of Virginia and an MBA from Harvard Business School.</t>
  </si>
  <si>
    <t>michaelbaughan@aeroxventures.com</t>
  </si>
  <si>
    <t>6th Floor, Marbel Arch Tower</t>
  </si>
  <si>
    <t>55 Bryanston Street</t>
  </si>
  <si>
    <t>W1H 7AA</t>
  </si>
  <si>
    <t>Osprey Capital</t>
  </si>
  <si>
    <t>408516-13P</t>
  </si>
  <si>
    <t>Aakash Bhasin</t>
  </si>
  <si>
    <t>Aakash</t>
  </si>
  <si>
    <t>Alantra</t>
  </si>
  <si>
    <t>Mr. Aakash Bhasin serves as Managing Director at Alantra. Mr. Bhasin started his career at JP Morgan in New York and joined Alantra from Turtle Bridge Advisors, an M&amp;A boutique he founded. Before that, he was a Managing Director at Wells Fargo Securities focusing on Industrials M&amp;A.</t>
  </si>
  <si>
    <t>aakash.bhasin@alantra.com</t>
  </si>
  <si>
    <t>430 Park Avenue</t>
  </si>
  <si>
    <t>209189-35P</t>
  </si>
  <si>
    <t>Alastair Horrocks</t>
  </si>
  <si>
    <t>Alastair</t>
  </si>
  <si>
    <t>Horrocks</t>
  </si>
  <si>
    <t>Mr. Alastair Horrocks serves as Managing Director at Alantra. Mr. Horrocks served as Director of Corporate Finance at KPMG. Previously co-head of Industrials M&amp;A at KPMG in the UK, Alastair has significant experience of the Diversified Industrials segment with a particular focus on Aerospace &amp; Defence, Marine/Offshore, Nuclear and Industrial Technology borne out of his earlier career at Rolls-Royce and, prior to that, as an officer in the British Army. Alastair holds a bachelor's degree from Durham University and an MBA from INSEAD.</t>
  </si>
  <si>
    <t>+44 (0)20 7246 0500</t>
  </si>
  <si>
    <t>alastair.horrocks@alantra.com</t>
  </si>
  <si>
    <t>25 Cannon Street</t>
  </si>
  <si>
    <t>EC4M 5SB</t>
  </si>
  <si>
    <t>160991-56P</t>
  </si>
  <si>
    <t>Alberto Pareja</t>
  </si>
  <si>
    <t>Alberto</t>
  </si>
  <si>
    <t>Pareja</t>
  </si>
  <si>
    <t>Mr. Alberto Pareja serves as Analyst at Alantra Asset Management. Before joining Alantra, he was part of the FIG M&amp;A team of Barclays in Madrid and previously worked as an intern in the M&amp;A team at Lazard. He holds a Master of Science in Finance from ESADE Business School and a Bachelor in Business Administration from the same University in Barcelona.</t>
  </si>
  <si>
    <t>+34 91 745 8484</t>
  </si>
  <si>
    <t>alberto.pareja@alantra.com</t>
  </si>
  <si>
    <t>Calle de Jose Ortega y Gasset, 29</t>
  </si>
  <si>
    <t>28006</t>
  </si>
  <si>
    <t>438515-11P</t>
  </si>
  <si>
    <t>Alexandre Maroufi</t>
  </si>
  <si>
    <t>Maroufi</t>
  </si>
  <si>
    <t>Mr. Alexandre Maroufi serves as Vice President at Alantra.</t>
  </si>
  <si>
    <t>+33 (0)1 70 91 35 70</t>
  </si>
  <si>
    <t>alexandre.maroufi@alantra.com</t>
  </si>
  <si>
    <t>42 Rue Washington</t>
  </si>
  <si>
    <t>376433-47P</t>
  </si>
  <si>
    <t>Ana Rivero</t>
  </si>
  <si>
    <t>Rivero</t>
  </si>
  <si>
    <t>Mr. Ana Rivero serves as Operating Partner at Alantra. Mr. Rivero has more than 30 years' experience in the ESG practice, having previously worked as Global Head of ESG at Santander Asset Management and as Sustainable Investments Director at Santander Wealth Management &amp; Insurance before she joined Alantra Private Equity as an Operating Partner.
ESG is a cornerstone of Alantra Private Equity's investment strategy, which is implemented in 100% of Alantra Private Equity's portfolio companies. Leveraging her extensive experience in the space, Ana focuses on defining, implementing, and monitoring ESG policies and strategic initiatives of both Alantra Private Equity and its portfolio companies. Ana is a partner in different professional women associations such as WAS (Women Action Sustainability) and EJE&amp;CON and she holds a bachelor's degree in Economics and Business Administration from CUNEF University, Madrid.</t>
  </si>
  <si>
    <t>ana.rivero@alantra.com</t>
  </si>
  <si>
    <t>231499-45P</t>
  </si>
  <si>
    <t>Andre Pereira-Ambrosio</t>
  </si>
  <si>
    <t>Andre</t>
  </si>
  <si>
    <t>Pereira-Ambrosio</t>
  </si>
  <si>
    <t>Head &amp; Managing Director</t>
  </si>
  <si>
    <t>Mr. Andre Pereira-Ambrosio serves as Managing Director &amp; Head of ECM at Alantra. Before Alantra, Mr. Pereira-Ambrosio was a Managing Director at JB Capital Markets where he led the firm's ECM practice. He is a qualified professional and he brings over 15 years of investment banking experience to the role. He has successfully advised on more than 30 transactions worth over €15bn, including IPOs, capital increases, ABBs, M&amp;A, and DCM deals. Prior to Alantra and JB Capital Markets, he worked as an investment banking coverage banker for Bradesco BBI in Brazil and, before that, as an investment banking associate in UBS based in Madrid. André Pereira-Ambrosio holds an economics degree from the University Nova de Lisboa (Portugal).</t>
  </si>
  <si>
    <t>+1 (617) 482-6200</t>
  </si>
  <si>
    <t>Managing Director &amp; Head of ECM</t>
  </si>
  <si>
    <t>408513-16P</t>
  </si>
  <si>
    <t>Andrea Russo</t>
  </si>
  <si>
    <t>Andrea</t>
  </si>
  <si>
    <t>Russo</t>
  </si>
  <si>
    <t>Mr. Andrea Russo serves as Managing Director &amp; Head, Equity Sales at Alantra. Prior to joining Alantra, Mr. Russo was Managing Director in Equity Sales focusing on Italian small-cap companies at Banca Akros. He brings over 20 years of experience in global markets at top investment banking firms as a Sales and Manager. He has spent most of his career in the City of London working for Goldman Sachs and Morgan Stanley, where he was Head of the US equities sales team in Europe. Andrea holds a degree in Business Administration from Ca' Foscari University (Venice, Italy).</t>
  </si>
  <si>
    <t>+39 02 6367 1601</t>
  </si>
  <si>
    <t>andrea.russo@alantra.com</t>
  </si>
  <si>
    <t>Via Borgonuovo 16</t>
  </si>
  <si>
    <t>20121</t>
  </si>
  <si>
    <t>Managing Director &amp; Head, Equity Sales</t>
  </si>
  <si>
    <t>71892-01P</t>
  </si>
  <si>
    <t>Ángel Manotas</t>
  </si>
  <si>
    <t>Ángel</t>
  </si>
  <si>
    <t>Manotas</t>
  </si>
  <si>
    <t>Mr. Ángel Manotas serves as Managing Director at Alantra. Mr. Manotas serves as Board Member at Health In Code. Mr. Manotas served as a Partner at N+1 Mercapital (now part of Alantra). Since he joined N+1 Mercapital in 2007, Angel has played a relevant role in structuring and monitoring investments in the sectors of health, industry, engineering, business services, and food. Angel had previously worked as a consultant at Bain &amp; Company in Madrid and Sidney. He holds an MBA from INSEAD and degrees in Business Administration and Law, both from ICADE-E3.</t>
  </si>
  <si>
    <t>angel.manotas@alantra.com</t>
  </si>
  <si>
    <t>389919-52P</t>
  </si>
  <si>
    <t>Angelina Radovic</t>
  </si>
  <si>
    <t>Angelina</t>
  </si>
  <si>
    <t>Radovic</t>
  </si>
  <si>
    <t>Associate &amp; Fund Manager</t>
  </si>
  <si>
    <t>Ms. Angelina Radovic serves as Communication &amp; Marketing Associate &amp; Fund Manager at Alantra. Ms. Radovic serves as Executive at Harmon Corporate Affairs.</t>
  </si>
  <si>
    <t>angelina.radovic@alantra.com</t>
  </si>
  <si>
    <t>Communication &amp; Marketing Associate &amp; Fund Manager</t>
  </si>
  <si>
    <t>194444-92P</t>
  </si>
  <si>
    <t>Anna Steudel</t>
  </si>
  <si>
    <t>Steudel</t>
  </si>
  <si>
    <t>Ms. Anna Steudel serves as Vice President, Communications &amp; Marketing at Alantra. Ms. Steudel served as Executive at CNC Communications &amp; Network Consulting. She also served as a Director at Harmon Corporate Affairs</t>
  </si>
  <si>
    <t>anna.steudel@alantra.com</t>
  </si>
  <si>
    <t>Vice President, Communications &amp; Marketing</t>
  </si>
  <si>
    <t>145853-74P</t>
  </si>
  <si>
    <t>Ashley Rountree</t>
  </si>
  <si>
    <t>Ashley</t>
  </si>
  <si>
    <t>Rountree</t>
  </si>
  <si>
    <t>Mr. Ashley Rountree serves as Sector Specialist Partner at Alantra. Before joining Alantra, Mr. Rountree founded and managed a computer consulting firm in Paris. In 1988 Mr. Rountree became the head of C.W. Downer &amp; Co. activities in Europe. He served as Managing Director for Corporate Finance International, C.W. Downer &amp; Co.'s joint venture with 3i, from 1989 to 1991. Since 1991, Mr. Rountree has built a multinational European team for the firm and opened three new offices. He serves on the Investment Committee of Turenne Capital. In addition, he has served twice on the ACG Global Board of Directors and received ACG's Meritorious Service Award in 2012. Mr. Rountree received his bachelor's degree cum laude in History and Literature from Harvard College in 1982.</t>
  </si>
  <si>
    <t>ashley.rountree@alantra.com</t>
  </si>
  <si>
    <t>Sector Specialist Partner</t>
  </si>
  <si>
    <t>408070-18P</t>
  </si>
  <si>
    <t>Bastien Gambini</t>
  </si>
  <si>
    <t>Bastien</t>
  </si>
  <si>
    <t>Gambini</t>
  </si>
  <si>
    <t>Mr. Bastien Gambini serves as Managing Partner at Alantra. Mr. Gambini has more than 17 years of experience investing across Europe and North America in both venture and private equity. Former Managing Director for Europe at Equinor Ventures, he previously led the Spanish team at Demeter Partners as Partner and worked for Société Générale and Caisse des Dépôts. He has led deals in the renewable, power grid, waste management, artificial intelligence and energy industries. Bastien has been a board member to more than 12 companies.
Bastien holds two post graduate degrees in Finance from Paris University Panthéon-Assas and an MBA from INSEAD.</t>
  </si>
  <si>
    <t>bastien.gambini@alantra.com</t>
  </si>
  <si>
    <t>68929-21P</t>
  </si>
  <si>
    <t>Bobby Fletcher</t>
  </si>
  <si>
    <t>Bobby</t>
  </si>
  <si>
    <t>Fletcher</t>
  </si>
  <si>
    <t>Mr. Bobby Fletcher serves as Managing Director at Alantra. Mr. Fletcher serves as Managing Director at Alantra Corporate Finance. He is also a member of our Consumer sector team, with a particular focus on restaurants and leisure, including the themes of health and wellbeing. He has also worked with high-profile businesses such as Card Factory, Byron Hamburgers, Revolution Bars Group, On the Beach, and Watches of Switzerland. Before joining Catalyst in November 2013, he spent three years with DC Advisory in both the M&amp;A and Debt Advisory teams. He started his career at Zeus Capital where he focused on private and public company M&amp;A. He graduated from Nottingham University in 2006.</t>
  </si>
  <si>
    <t>bobby.fletcher@alantra.com</t>
  </si>
  <si>
    <t>71889-40P</t>
  </si>
  <si>
    <t>Bruno Delgado de Luque</t>
  </si>
  <si>
    <t>Bruno</t>
  </si>
  <si>
    <t>Delgado de Luque</t>
  </si>
  <si>
    <t>Mr. Bruno Delgado de Luque serves as Partner at Alantra. Mr. Delgado de Luque serves as Board Member at Health In Code. Mr. Delgado de Luque was previously a partner at N+1 Mercapital (now a part of Alantra). His several years of experience in private equity (he joined N+1 Mercapital in 1999), were preceded by his work as a management consultant in Mckinsey, and as a financier at Sevillana de Electricidad. At N+1 Mercapital he has had a leading or co-leading role in a number of investments in the chemical, food, industry, business and infrastructure services and healthcare sectors. He has a strong academic background, as he holds an MBA with honors from INSEAD, an MA in Political Economy from Northwestern University, and a degree in Business and Economics from Univ. of Sevilla/HEC Liège.</t>
  </si>
  <si>
    <t>bruno.delgado@alantra.com</t>
  </si>
  <si>
    <t>173530-72P</t>
  </si>
  <si>
    <t>Carlos Fuenzalida</t>
  </si>
  <si>
    <t>Carlos</t>
  </si>
  <si>
    <t>Fuenzalida</t>
  </si>
  <si>
    <t>Mr. Carlos Fuenzalida serves as Partner at Landmark Alantra. Mr. Fuenzalida serves as Partner - Landmark Alantra Group at Alantra. Mr. has broad experience in corporate finance and M&amp;A. Mr. Fuenzalida has a diverse background in corporate finance and M&amp;A, including the sale of TOC Biometrics to Sovos, the sale of San Francisco Loncomilla to Empresas Carozzi, the sale of Sinacofi Buró to Experian, and the acquisition of City National Bank of Florida by Banco de Crédito e Inversiones. His portfolio also includes overseeing the sale of Chilean salmon farming companies Invermar, Acuinova, and Nova Austral to Alimar, Marine Harvest Group, and Ewos Group, respectively. Additionally, he managed the sale of Centrovet, the leading Chilean laboratory specializing in veterinary vaccines and pharmaceuticals, to the French animal health company Virbac. Before joining Landmark, he played a pivotal role as a founding member of the corporate finance division at Econsult. Mr. Fuenzalida holds a degree in Business Administration from the Pontificia Universidad Católica de Chile.</t>
  </si>
  <si>
    <t>+56 (2) 2636 7300</t>
  </si>
  <si>
    <t>fuenzalida@landmark-cap.com</t>
  </si>
  <si>
    <t>Santiago, Chile</t>
  </si>
  <si>
    <t>Isidora Goyenechea 3000</t>
  </si>
  <si>
    <t>Oficina 1302, Las Condes</t>
  </si>
  <si>
    <t>Chile</t>
  </si>
  <si>
    <t>Landmark Alantra</t>
  </si>
  <si>
    <t>146122-93P</t>
  </si>
  <si>
    <t>Carlos Rodriguez-Vina</t>
  </si>
  <si>
    <t>Rodriguez-Vina</t>
  </si>
  <si>
    <t>Mr. Carlos Rodriguez-Vina serves as Partner at Alantra. Mr. Rodríguez-Viña has been Partner at Alantra since 2014 and currently leads the Energy &amp; Infrastructures, Sustainability and Energy Transition, and Building Materials sectors. He started his professional career in Alpha Corporate (Arthur Andersen Corporate Finance) and joined Alantra in 2004. With 20 years of experience in investment banking, he has advised more than 50 deals, nationally and cross-border. Carlos has deep expertise in M&amp;A, Restructuring and Corporate advisory. Carlos holds a degree in Law and a degree in Business Administration (ICADE).</t>
  </si>
  <si>
    <t>253170-10P</t>
  </si>
  <si>
    <t>Cedric Lagarrigue</t>
  </si>
  <si>
    <t>Cedric</t>
  </si>
  <si>
    <t>Lagarrigue</t>
  </si>
  <si>
    <t>Senior Advisor</t>
  </si>
  <si>
    <t>Mr. Cedric Lagarrigue serves as Senior Advisor at Alantra.</t>
  </si>
  <si>
    <t>279162-10P</t>
  </si>
  <si>
    <t>Charles Lanceley</t>
  </si>
  <si>
    <t>Lanceley</t>
  </si>
  <si>
    <t>Mr. Charles Lanceley serves as Managing Director at Alantra. Mr. Lanceley serves as Managing Director at Alantra Corporate Finance. He focuses exclusively on the food &amp; beverage industry and leads the sector team in the UK. He focuses exclusively on the food &amp; beverage industry and leads the sector team in the UK. He has advised on over 30 transactions across a variety of sub-segments and has significant experience of advising high-growth brands.</t>
  </si>
  <si>
    <t>charles.lanceley@alantra.com</t>
  </si>
  <si>
    <t>72260-47P</t>
  </si>
  <si>
    <t>Christian Carlson Ph.D</t>
  </si>
  <si>
    <t>Carlson</t>
  </si>
  <si>
    <t>Dr. Christian Carlson serves as Director at Alantra. Dr. Carlson has experience in executing mergers and acquisition transactions and providing strategic advisory services to clients in the life science tools, services, and software sector, as well as biopharmaceutical and medical technology companies. Previously, He has over eight years of experience executing M&amp;A and providing strategic advisory services to a variety of clients in the life science tools, services and software sector, as well as biopharmaceutical and medical technology companies. Prior to joining the firm, Christian advised numerous clients on divestiture and acquisition assignments for Crosstree Capital Partners, a boutique healthcare focused investment bank in New York. Prior to his career in investment banking, Christian worked as a research scientist in drug discovery and development leading to clinical development of multiple novel chemical entities. Christian is the recipient of multiple research awards, including a NIH National Research Service Award, the Abbott Laboratories/Northwestern University Fellowship in Diabetes Research, and an American College of Sports Medicine Research Award. Christian is an author of 11 peer-reviewed publications and numerous presentations at international scientific meetings. Christian has a PhD from the University of Texas Health Science Center in Houston and MBA from the Leonard N. Stern School of Business at New York University.</t>
  </si>
  <si>
    <t>christian.carlson@alantra.com</t>
  </si>
  <si>
    <t>408504-16P</t>
  </si>
  <si>
    <t>Christopher Aspden</t>
  </si>
  <si>
    <t>Aspden</t>
  </si>
  <si>
    <t>Mr. Christopher Aspden serves as Managing Director at Alantra. Mr. Aspden serves as Managing Director at Alantra Corporate Finance. He has led several loan portfolio transactions across a range of asset types and asset qualities, supporting a variety of banking and private equity clients across Europe. Before joining Alantra, he worked at KPMG's Portfolio Solutions Group and UBS. Chris holds a Master's in Mechanical Engineering from Durham University.</t>
  </si>
  <si>
    <t>christopher.aspden@alantra.com</t>
  </si>
  <si>
    <t>236755-09P</t>
  </si>
  <si>
    <t>Christopher Jobst</t>
  </si>
  <si>
    <t>Jobst</t>
  </si>
  <si>
    <t>Mr. Christopher Jobst serves as Partner at Alantra. Mr. Jobst joined Alantra in 2015. He has more than 14 years of experience in corporate finance with leading mid-cap focused investment banks in Germany. He advised on more than 35 transactions predominantly in the Healthcare sector for both, corporate as well as private equity clients. At Alantra Germany he is responsible for the Healthcare sector and part of the global healthcare sector team within Alantra. Prior to joining Alantra, Christopher worked as a Vice President in the Healthcare team of Commerzbank M&amp;A Advisory and started his career at Clearwater International. He holds a Master's degree in Business Administration (Diplom-Kaufmann) and studied at University of Mannheim (Germany) and Hanken Svenska Handelshögskolan (Finland).</t>
  </si>
  <si>
    <t>+49 (0)69 9778 860</t>
  </si>
  <si>
    <t>christopher.jobst@alantra.com</t>
  </si>
  <si>
    <t>Frankfurt</t>
  </si>
  <si>
    <t>Frankfurt, Germany</t>
  </si>
  <si>
    <t>Neue Mainzer Strasse 52-58</t>
  </si>
  <si>
    <t>60311</t>
  </si>
  <si>
    <t>73230-49P</t>
  </si>
  <si>
    <t>Daniel Lilliehook</t>
  </si>
  <si>
    <t>Lilliehook</t>
  </si>
  <si>
    <t>Mr. Daniel Lilliehook serves as Partner at Alantra. Mr. Lilliehook served as Partner at GP Bullhound. He served as Managing Director of Investment Banking - Advisory / Corporate Finance at Nordea Bank. He has more than 18 years' experience in Corporate Finance and Growth Capital Advisory in the Nordic region, with a special focus on Nordic PEs and Corporates. He has extensive experience in both private and public M&amp;A, LBOs, ECM, and capital raisings. Before joining Alantra, Daniel worked at GP Bullhound and, prior to that, spent more than 15 years at Nordea Corporate Finance.</t>
  </si>
  <si>
    <t>+46 (0)705 086 725</t>
  </si>
  <si>
    <t>daniel.lilliehook@alantra.com</t>
  </si>
  <si>
    <t>Stockholm</t>
  </si>
  <si>
    <t>Stockholm, Sweden</t>
  </si>
  <si>
    <t>Vastra Tradgardsgatan 15</t>
  </si>
  <si>
    <t>111 53</t>
  </si>
  <si>
    <t>Sweden</t>
  </si>
  <si>
    <t>35306-56P</t>
  </si>
  <si>
    <t>David Waldstein</t>
  </si>
  <si>
    <t>Waldstein</t>
  </si>
  <si>
    <t>Mr. David Waldstein serves as Managing Director at Alantra. Mr. Waldstein served as Vice President at C.W. Downer &amp; Co. Prior to joining C.W. Downer &amp; Co. in 2010, he was an associate at SES Advisors, an advisory firm focused on structuring management buyouts using leveraged ESOP plans. He gained additional M&amp;A experience working with the Global Technologies Division of Assa Abloy, a $1bn division focused on a range of high-tech security solutions. In addition, he was part of the integration team at State Street Corp. during its acquisition of Deustche Bank's fund accounting business which was the largest acquisition the firm had completed at that time. He received his MBA from the Samuel Curtis Johnson School at Cornell University and received his BA from Union College.</t>
  </si>
  <si>
    <t>david.waldstein@alantra.com</t>
  </si>
  <si>
    <t>349990-84P</t>
  </si>
  <si>
    <t>Ernesto Plevisani</t>
  </si>
  <si>
    <t>Ernesto</t>
  </si>
  <si>
    <t>Plevisani</t>
  </si>
  <si>
    <t>Mr. Ernesto Plevisani serves as Managing Director at Alantra. Mr. Plevisani joined Alantra in 2023 as Managing Director to lead the Financial Sponsors coverage in Spain. Ernesto has over 16 years' experience in investment banking, including M&amp;A and capital raisings. Before joining Alantra, Ernesto spent 12 years at Nomura's Iberian Investment Banking division and at Lehman Brothers in London. Most recently, he worked at FTI Capital Advisors. Throughout his career, Ernesto has closed deals worth more than €50bn, having advised Private Equities and Corporate clients in landmark cross-border transactions in a variety of sectors. Ernesto holds a bachelor's in Business Administration (Universidad Pontificia Comillas, ICADE).</t>
  </si>
  <si>
    <t>ernesto.plevisani@alantra.com</t>
  </si>
  <si>
    <t>84435-67P</t>
  </si>
  <si>
    <t>Ezequiel Navar</t>
  </si>
  <si>
    <t>Ezequiel</t>
  </si>
  <si>
    <t>Navar</t>
  </si>
  <si>
    <t>Mr. Ezequiel Navar serves as Managing Director at Alantra. Mr. Ezequiel Navar served as Managing Director and head of HealthTech at Union Square Advisors. Mr. Navar also served as Managing Director at Crosstree Capital Partners. He previously served as Managing Director at JMP Group. Before joining JMP Securities, he was a Managing Director and Head of Healthcare Information Technology and Services at H2C Securities, executing M&amp;A, equity, and debt transactions. He previously served as a director and head of healthcare information technology and services at GCA Savvian Advisors and as a principal and co-head of healthcare information technology at Covington Associates, focusing on mergers and acquisitions. Mr. Navar has also held investment banking roles at Broadview International and Deutsche Banc Alex. Brown. He began his career as a project engineer at General Electric Corporation. Mr. Navar holds an MBA from the Wharton School of the University of Pennsylvania and a BS in mechanical engineering from the University of Maryland.</t>
  </si>
  <si>
    <t>ezequiel.navar@alantra.com</t>
  </si>
  <si>
    <t>80408-62P</t>
  </si>
  <si>
    <t>Fabrice Scheer</t>
  </si>
  <si>
    <t>Fabrice</t>
  </si>
  <si>
    <t>Scheer</t>
  </si>
  <si>
    <t>Mr. Fabrice Scheer serves as Managing Partner at Alantra. Mr. Scheer also serves as an Executive at La Banque d'Affaires. He served as a Managing Director &amp; Head of Mergers &amp; Aquisitions Mid Cap at UBS. Previously, he served as a Senior Manager of Mergers &amp; Acquisitions at Ernst &amp; Young Corporate Finance. Before joining Alantra, he created and managed the French UBS Investment Banking Mid Cap team from 2005 to 2019. He also worked for 6 years at Ernst &amp; Young in the M&amp;A department and 5 years at BDPME (CEPME - Sofaris) in the industrial financing department. He holds a DESS, Bank &amp; Finance from the Université Lumière Lyon 2.</t>
  </si>
  <si>
    <t>fabrice.scheer@alantra.com</t>
  </si>
  <si>
    <t>408512-80P</t>
  </si>
  <si>
    <t>Fabrizio Sicilia</t>
  </si>
  <si>
    <t>Fabrizio</t>
  </si>
  <si>
    <t>Sicilia</t>
  </si>
  <si>
    <t>Mr. Fabrizio Sicilia serves as Managing Director at Alantra. Mr. Sicilia serves as Managing Director at Alantra Corporate Finance. He has supported banks in capital optimisation efforts across Europe, including portfolio disposals. He has also advised buy-side clients in their acquisitions and financing of European loan portfolios. Fabrizio has led the valuation, structuring, arrangement, and distribution of over 25 ABS and loan transactions with an aggregate balance in excess of €70 billion. Before joining Alantra, Fabrizio was part of KPMG's global Portfolio Solutions Group (PSG) with a primary focus on the Southern European market. There he led the quantitative aspects of some of the largest non-performing loan (NPL) portfolio transactions in the country and Europe.</t>
  </si>
  <si>
    <t>fabrizio.sicilia@alantra.com</t>
  </si>
  <si>
    <t>146124-28P</t>
  </si>
  <si>
    <t>Felix Fernandez</t>
  </si>
  <si>
    <t>Felix</t>
  </si>
  <si>
    <t>Fernandez</t>
  </si>
  <si>
    <t>Mr. Felix Fernandez serves as Partner at Alantra. Mr. Fernandez holds a Degree in Business Studies (Caixanova Business School of Vigo). Before joining Alantra in 2014, he worked as Senior Manager at KPMG Corporate Finance, specialized in the transaction of non-core assets. He was also Manager in the Department of "Transaction Services" in PwC where he advised on a wide range of Corporate Transactions. He has extensive experience in the pre-deal, valuation and due diligence processes associated with corporate divestment, mergers, acquisitions and joint ventures. He has advised several financial institutions in their processes of divestment of non-strategic assets.</t>
  </si>
  <si>
    <t>felix.rivera@alantra.com</t>
  </si>
  <si>
    <t>421265-26P</t>
  </si>
  <si>
    <t>Félix Rivera</t>
  </si>
  <si>
    <t>Félix</t>
  </si>
  <si>
    <t>Rivera</t>
  </si>
  <si>
    <t>Mr. Félix Rivera serves as Partner at Alantra.</t>
  </si>
  <si>
    <t>frivera@alantra.com</t>
  </si>
  <si>
    <t>408503-44P</t>
  </si>
  <si>
    <t>Fernando Fernandez-Kelly</t>
  </si>
  <si>
    <t>Fernandez-Kelly</t>
  </si>
  <si>
    <t>Mr. Fernando Fernandez-Kelly serves as Managing Director at Alantra. Mr. Fernandez-Kelly having joined Alantra in 2014. Over the past 10 years, Fernando has been involved in the leading divestment projects for Performing, Non-performing and REOs portfolios in Iberia, advising on over €25 billion worth of face value. Key transactions include: Project Coliseum &amp; Challenger (€9.3bn of REOs), Project Hercules (€6.3bn of secured mortgages) and Project Juno &amp; Hera (€5.0bn of unsecured NPLs). Fernando holds a Degree in Law as well as a Degree in Business Administration and Management (ICADE E-3 at Universidad Pontificia Comillas).</t>
  </si>
  <si>
    <t>fernando.fernandez-kelly@alantra.com</t>
  </si>
  <si>
    <t>408516-49P</t>
  </si>
  <si>
    <t>Fernando Lafuente</t>
  </si>
  <si>
    <t>Lafuente</t>
  </si>
  <si>
    <t>Mr. Fernando Lafuente serves as Managing Partner at Alantra. Mr. Lafuente has 15 years of experience covering Spanish and Portuguese Utilities, as well as Spanish Construction &amp; Infrastructure companies. Previous to Alantra, he worked in Credit Agricole Cheuvreux. He recently got awarded as Top 3 over the last 4 years in Thomson Reuters Fuel &amp; Utilities awards. Also, he is ranked by internal institutional client voting (UK, US, Europe, Spain). Fernando holds a BA in Business Admistration at ICADE in Madrid.</t>
  </si>
  <si>
    <t>fernando_lafuente@alantra.com</t>
  </si>
  <si>
    <t>52989-04P</t>
  </si>
  <si>
    <t>Fernando Ortega</t>
  </si>
  <si>
    <t>Ortega</t>
  </si>
  <si>
    <t>Mr. Fernando Ortega serves as Managing Director at Alantra. Mr. Ortega serves as Board Member at Unión Martín. He served as Principal at N+1 Mercapital (now part of Alantra). Mr. Ortega served as Principal at Dinamia Capital Privado. Previously he was Corporate Development Manager in Spain for AES Corp and Associate Director in the M&amp;A team of DC Advisory. Since his incorporation at Alantra Private Equity he has played a leading or co-leading role in the origination, execution, monitoring and divestment of investments in the health and wellness, hotel, industrial goods and food sectors. Fernando is currently Board Member of Hiperbaric, ROQ and Unión Martín. Fernando holds a Business Administration degree from CUNEF.</t>
  </si>
  <si>
    <t>fortega@alantra.com</t>
  </si>
  <si>
    <t>72527-77P</t>
  </si>
  <si>
    <t>Florian Touchard</t>
  </si>
  <si>
    <t>Florian</t>
  </si>
  <si>
    <t>Touchard</t>
  </si>
  <si>
    <t>Mr. Florian Touchard serves as Partner at Alantra. Mr. Touchard served as Executive Director at Oddo et Cie. He previously served at HSBC. Currently he is Executive Director at N+1 France. he has close to 20 years of M&amp;A experience in various sectors such as Aerospace and Defense, Industrials, Healthcare and Care Services and Transport &amp; Logistics. He has advised entrepreneurs, corporates and private equity firms on more than 60 domestic and cross-border transactions. Before joining Alantra, he worked for Oddo Corporate Finance and HSBC. He is graduated from Ecole Nationale Supérieure d'Arts et Métiers (ENSAM) and holds a Specialized Master in Finance and Strategy from HEC.</t>
  </si>
  <si>
    <t>florian.touchard@alantra.com</t>
  </si>
  <si>
    <t>296614-36P</t>
  </si>
  <si>
    <t>Francisco Amigo Albella</t>
  </si>
  <si>
    <t>Francisco</t>
  </si>
  <si>
    <t>Amigo Albella</t>
  </si>
  <si>
    <t>Secretary</t>
  </si>
  <si>
    <t>Mr. Francisco Amigo Albella serves as Director at Alantra EQMC Asset Management. Mr. Amigo Albella serves as Secretary to the Board of Directors at Alantra. He holds a Degree from the University of Valencia (specializing in Private Law). Member of the Legal Department of AB Asesores in the period 1990 to 1998. Director of the Legal Department of AB Asesores Morgan Stanley (1998-2000). Since 2000, Secretary to the Board, General Secretary and Senior Partner of the Alantra Group's Legal Department. From 2016 Secretary of the Board of the Company.</t>
  </si>
  <si>
    <t>francisco.albella@alantra.com</t>
  </si>
  <si>
    <t>C Ortega Y Gasset 29</t>
  </si>
  <si>
    <t>3rd Floor</t>
  </si>
  <si>
    <t>Alantra EQMC Asset Management</t>
  </si>
  <si>
    <t>160898-32P</t>
  </si>
  <si>
    <t>Francisco De Juan</t>
  </si>
  <si>
    <t>De Juan</t>
  </si>
  <si>
    <t>Mr. Francisco De Juan serves as Managing Partner at Alantra. Mr. De Juan is the CIO of the EQMC Fund since its 2010 inception and Managing Partner of Alantra EQMC Asset Management. With over 25 years of cross-disciplinary experience, De Juan combines extensive expertise in active investing in public equities with his background as a top-ranked equity research analyst (Cheuvreux), investment banker (Lehman Brothers) and a small-time as an auditor. De Juan is a strong believer of deep-dive fundamental analysis and holds a vast experience constructively engaging with European small/ mid-caps. The EQMC fund has been granted multiple international awards under his watch in recent years due to its top performance. He holds a double degree in Law &amp; Business in ICADE (E-3), Madrid (Spain). He collaborates as a lecturer at the IE Business School teaching his course on "creating value through active ownership". He has participated in several nomination committees for EQMC's portfolio companies. He currently serves as a board member at Guala Closures.</t>
  </si>
  <si>
    <t>francisco.dejuan@alantra.com</t>
  </si>
  <si>
    <t>408505-78P</t>
  </si>
  <si>
    <t>Francisco Riquel</t>
  </si>
  <si>
    <t>Riquel</t>
  </si>
  <si>
    <t>Mr. Francisco Riquel serves as Partner &amp; Head, Equity Research at Alantra. Prior to Alantra, Mr. Riquel worked at Credit Agricole Cheuvreux as Head of Equity Research and at Arthur Andersen &amp; Co. as Senior Financial Auditor.</t>
  </si>
  <si>
    <t>francisco.riquel@alantra.com</t>
  </si>
  <si>
    <t>Partner &amp; Head, Equity Research</t>
  </si>
  <si>
    <t>136689-22P</t>
  </si>
  <si>
    <t>Franck Noat</t>
  </si>
  <si>
    <t>Franck</t>
  </si>
  <si>
    <t>Noat</t>
  </si>
  <si>
    <t>Mr. Franck Noat serves as Managing Partner at Alantra. Mr. Noat served as Managing Partner and Head of Mergers &amp; Acquisitions at ODDO BHF Group. He has nearly a 20-year experience in corporate finance, having advised corporate, investment funds and governments in France, Europe and Emerging Markets. He joined N+1 from Oddo &amp; Cie where he was head of M&amp;A in the investment banking arm. He started his career with Société Générale Investment Banking, then joined Rothschild &amp; Cie and later BNP Paribas Corporate Finance. In January 2007, with the support of family offices, he participated to the creation of Partanea, a M&amp;A boutique which was acquired by Oddo &amp; Cie in December 2008. He holds a degree from ESCP Europe in Finance and is a holder of the DESCF (Equiv. ACCA/SIMA).</t>
  </si>
  <si>
    <t>franck.noat@alantra.com</t>
  </si>
  <si>
    <t>115461-10P</t>
  </si>
  <si>
    <t>Franck Portais</t>
  </si>
  <si>
    <t>Portais</t>
  </si>
  <si>
    <t>Mr. Franck Portais serves as Partner at Alantra. Mr. Portais was previously Managing Director of goetzpartners Corporate Finance in Paris, has over 25-year experience in corporate finance, having advised entrepreneurs, families, corporate and private equity funds in France and Europe. He has completed close to 200 transactions for a total value of €20bn in various industries such as consumer goods, technology, and business services. Franck graduated from ESCP Europe in Finance and holds a Diplom-Kaufmann.</t>
  </si>
  <si>
    <t>franck.portais@alantra.com</t>
  </si>
  <si>
    <t>408490-75P</t>
  </si>
  <si>
    <t>Frederic Laurier</t>
  </si>
  <si>
    <t>Frederic</t>
  </si>
  <si>
    <t>Laurier</t>
  </si>
  <si>
    <t>Mr. Frederic Laurier serves as Managing Director at Alantra. Mr. Laurier has over 20 years of M&amp;A experience covering healthcare technology companies across the globe for boutique and bulge bracket investment banks, including CIBC World Markets and Bear Stearns. Prior to joining Alantra, he was responsible for covering healthcare and life sciences technology for Crosstree Capital Partners. Frederic holds a master's degree in finance from London Business School.</t>
  </si>
  <si>
    <t>frederic.laurier@alantra.com</t>
  </si>
  <si>
    <t>302527-90P</t>
  </si>
  <si>
    <t>George Giannakis</t>
  </si>
  <si>
    <t>George</t>
  </si>
  <si>
    <t>Giannakis</t>
  </si>
  <si>
    <t>Mr. George Giannakis serves as Managing Partner at Alantra. Mr. Giannakis has over 15 years of Investment Banking and Capital Markets experience, across M&amp;A, equity and debt capital raising with a key focus in the Maritime sector. Prior to joining Alantra in 2021, he was a managing director in StormHarbour Securities for 8 years, where he set up the firm's Maritime &amp; Real Estate investment banking activity. Prior to he worked for 7 years in major investment banking firms in London, including Citigroup Global Markets where he led the firm's capital markets' coverage in Greece and Central Eastern Europe, Nomura International and Lehman Brothers. His expertise includes numerous debt capital markets, equity capital markets and M&amp;A deals in the Maritime &amp; Offshore sector, with clients in Europe and the Middle East, having completed transactions with the cumulative size of ca. $2.0bn. Apart from Maritime, his industry expertise extends to the fields of Financial Institutions, Real Estate, Oil &amp; Gas and Energy. He holds an MBA from SDA Bocconi School of Management in Milan and a BSc in Banking and Financial Management from the University of Piraeus, Greece.</t>
  </si>
  <si>
    <t>+30 210 327 8900</t>
  </si>
  <si>
    <t>george.giannakis@alantra.com</t>
  </si>
  <si>
    <t>Athens</t>
  </si>
  <si>
    <t>Athens, Greece</t>
  </si>
  <si>
    <t>Filellinon 1</t>
  </si>
  <si>
    <t>105 57</t>
  </si>
  <si>
    <t>Greece</t>
  </si>
  <si>
    <t>113887-72P</t>
  </si>
  <si>
    <t>Gianni Casanova</t>
  </si>
  <si>
    <t>Gianni</t>
  </si>
  <si>
    <t>Casanova</t>
  </si>
  <si>
    <t>Mr. Gianni Casanova serves as Partner at Landmark Alantra. Mr. Casanova serves as Partner at Alantra. He is a Founding Partner and serves as Managing Director at Landmark Alantra. He serves as Partner &amp; Country Head for Brazil at Landmark Capital (Chile). Prior to Landmark, he was a principal at IB Partners and the Corporate Development Manager for ITC Ventures, a technology private equity fund.</t>
  </si>
  <si>
    <t>casanova@landmark-cap.com</t>
  </si>
  <si>
    <t>48840-67P</t>
  </si>
  <si>
    <t>Gonzalo de Rivera</t>
  </si>
  <si>
    <t>Gonzalo</t>
  </si>
  <si>
    <t>de Rivera</t>
  </si>
  <si>
    <t>Mr. Gonzalo de Rivera serves as Managing Partner at Alantra. Mr. de Rivera's extensive private equity career - of over 20 years - was built at some of the best reputed mid-market firms in Spain. Having worked at Excel Partners, Mercapital, Impala Capital Partners and Alantra Private Equity, Mr. Rivera has acquired a multifaceted view of his profession, and has led transactions in the food, packaging, tourism, industry, and distribution sectors. Gonzalo is currently Board Member of Unión Martín, ROQ, Hiperbaric, Salto and Surexport. Gonzalo has a Business Administration degree from Boston University and holds an MBA from IMD.</t>
  </si>
  <si>
    <t>gonzalo.rivera@alantra.com</t>
  </si>
  <si>
    <t>146119-78P</t>
  </si>
  <si>
    <t>Guillermo Arboli</t>
  </si>
  <si>
    <t>Guillermo</t>
  </si>
  <si>
    <t>Arboli</t>
  </si>
  <si>
    <t>Mr. Guillermo Arboli serves as Managing Partner at Alantra. Mr. Arboli has more than 30 years of experience in investment banking at Alantra, Morgan Stanley and AB Asesores. Mr. Arbolí was one of the founding partners of N+1 in December 2000. He is an Industrial Engineer (ETSSI, Bilbao) and MBA (IESE, Barcelona). Currently chairman of Alantra Corporate Finance Spain.</t>
  </si>
  <si>
    <t>guillermo.arboli@alantra.com</t>
  </si>
  <si>
    <t>160898-05P</t>
  </si>
  <si>
    <t>Guillermo Arnaiz</t>
  </si>
  <si>
    <t>Arnaiz</t>
  </si>
  <si>
    <t>Mr. Guillermo Arnaiz serves as Partner at Alantra. Mr. Arnaiz serves as Partner at Landmark Capital (Chile). Mr. Arnaiz worked on transactions in the industrial, agri-business, education and pharmaceutical sectors, including the merger of Pinturas Sipa and Industrias Ceresita, the merger of Salcobrand and Pre Unic, the sale of Versachem Chile to the multinational company Illinois Tool Works, the sale of Central Frenos to Emasa and the sale of an equity stake in leading fruit exporter Copefrut. Prior to Landmark, Mr. Arnaiz worked in the Corporate Finance division of KPMG Argentina, in the High Yield and Origination group at BNP Paribas New York and at Duff &amp; Phelps. He holds a B.A. degree in Economics from the University of Buenos Aires and an MBA from the Stern School of Business at New York University.</t>
  </si>
  <si>
    <t>guillermo.arnaiz@alantra.com</t>
  </si>
  <si>
    <t>Sidora Goyenechea 3000</t>
  </si>
  <si>
    <t>Office 1302, Las Condes</t>
  </si>
  <si>
    <t>160897-33P</t>
  </si>
  <si>
    <t>Hernan Sambucetti</t>
  </si>
  <si>
    <t>Hernan</t>
  </si>
  <si>
    <t>Sambucetti</t>
  </si>
  <si>
    <t>Mr. Hernan Sambucetti serves as Partner &amp; Country Head for Argentina at Alantra. Mr. Sambucetti serves as Partner at Landmark Alantra. He also works as a Partner at Alantra Partners. Before Landmark, he was a principal at IB Partners and a Vice President at UBS Financial Institutions Group. Mr. Sambucetti has extensive experience in corporate finance, advising in various transactions in Latin America, including the purchase of Aseguradora Hidalgo, Mexico's largest life insurer, by MetLife; the acquisition of Banco Conosur on behalf of Bci; the sale of Banco Granahorrar in Colombia to BBVA; the sale of Consolidar Salud (BBVA) to Grupo Omint in Argentina; the sale of Argentine agribusiness company Fondomonte to the Saudi group Almarai; and the sale of Argentine animal health company Biotay to Phibro Animal Health Corporation (NASDAQ: PAHC). He holds a B.S. degree in Industrial Engineering from ITBA and an MBA from the Stern School of Business (NYU).</t>
  </si>
  <si>
    <t>+54 1 115 218 0030</t>
  </si>
  <si>
    <t>hernan.sambucetti@alantra.com</t>
  </si>
  <si>
    <t>Buenos Aires</t>
  </si>
  <si>
    <t>Buenos Aires, Argentina</t>
  </si>
  <si>
    <t>Avenida Cervino 4407, 6B</t>
  </si>
  <si>
    <t>1425 - Ciudad de Buenos Aires, Caba</t>
  </si>
  <si>
    <t>Argentina</t>
  </si>
  <si>
    <t>Partner &amp; Country Head for Argentina</t>
  </si>
  <si>
    <t>408508-57P</t>
  </si>
  <si>
    <t>Holger Beyer</t>
  </si>
  <si>
    <t>Holger</t>
  </si>
  <si>
    <t>Beyer</t>
  </si>
  <si>
    <t>Mr. Holger Beyer serves as Managing Director at Alantra. Mr. Beyer serves as Managing Director at Alantra Corporate Finance. He is a senior banking executive with more than 25 years of experience in a wide range of senior roles within the financial services sector. He has expertise in the securitization of many different asset classes, which he gained at AgFe, Morgan Stanley, UniCredit, and Commerzbank, using both synthetic and traditional structures as well as operational experience from building lending platforms and c-suite roles. Holger has advised on the re-structuring, work-out, and disposal of distressed positions, both structured and corporate, acting for central banks in the Eurosystem and the administrators of various banks in the aftermath of the GFC. Holger has experience in the setting up of asset management structures to invest in financial assets and provided portfolio funding and risk capital to non-bank lending platforms. Holger holds an MA in Psychology and Business Studies from the University of Edinburgh and is a member of the Institute of Chartered Accountants in England and Wales.</t>
  </si>
  <si>
    <t>holger.beyer@alantra.com</t>
  </si>
  <si>
    <t>389466-10P</t>
  </si>
  <si>
    <t>Ignasi Portals</t>
  </si>
  <si>
    <t>Ignasi</t>
  </si>
  <si>
    <t>Portals</t>
  </si>
  <si>
    <t>Mr. Ignasi Portals serves as Managing Director at Alantra. Mr. Portals has more than 25 years of banking experience, having worked at Banco Santander since 1996, where he held different management positions in Barcelona and Madrid leading business and risk teams. Before joining Alantra, he was responsible for Banco Santander's Corporate &amp; Investment Banking business in Catalonia for seven years. He has extensive knowledge of the Catalan market, having advised on numerous transactions in the region, including corporate structured finance, real estate, LBOs, project finance both in financing and coordination and advisory roles. He holds a bachelor's degree (Licenciatura) and MBA from ESADE Barcelona.</t>
  </si>
  <si>
    <t>ignasi.portals@alantra.com</t>
  </si>
  <si>
    <t>160895-89P</t>
  </si>
  <si>
    <t>Inigo de Caceres</t>
  </si>
  <si>
    <t>Inigo</t>
  </si>
  <si>
    <t>de Caceres</t>
  </si>
  <si>
    <t>Mr. Inigo de Caceres serves as Board Member, Partner &amp; Chief Executive Officer at Alantra. Mr. de Cáceres started his career at Arthur Andersen in the Strategy team of the Business Consulting division. In 2002 he moved to Diageo, in its Madrid office, as a Decision Support Manager and member of the Southern Europe Strategy team. In 2006 he joined Alantra, where, as a partner, is in charge of corporate services, and serves as a non-executive director on the board of N1Singer (UK).</t>
  </si>
  <si>
    <t>icaceres@alantra.com</t>
  </si>
  <si>
    <t>Board Member, Partner &amp; Chief Executive Officer</t>
  </si>
  <si>
    <t>303448-06P</t>
  </si>
  <si>
    <t>Inigo Echaniz</t>
  </si>
  <si>
    <t>Echaniz</t>
  </si>
  <si>
    <t>Mr. Inigo Echaniz serves as Managing Director at Alantra. Mr. Echaniz serves as Board Observer at Meteomatics. He has over 10 years of investment experience in the energy sector, having worked in the M&amp;A and Corporate Venture Capital division of Enagas, and at American Express in London and Deloitte &amp; Touche in Madrid. Since the launch of Klima, Iñigo has successfully participated in the closing of several investments, including Mainspring, Meteomatics, and Enmacc. Iñigo holds an MBA from IESE Business School and a degree in Business Administration from the University of Navarra.</t>
  </si>
  <si>
    <t>inigo.echaniz@alantra.com</t>
  </si>
  <si>
    <t>193468-15P</t>
  </si>
  <si>
    <t>Inigo Mateache</t>
  </si>
  <si>
    <t>Mateache</t>
  </si>
  <si>
    <t>Mr. Inigo Mateache serves as Partner at Alantra. Mr. Mateache has 14 years of M&amp;A and Debt Advisory experience. He has 14 years of M&amp;A and Debt Advisory experience. He Joined Alantra in 2007 in the Madrid office and has participated in a significant number of M&amp;A transactions across Industrials and Business Services sectors in Continental Europe, China, South East Asia and the US. Mr. Mateache has as well significant experience in debt advisory, including restructuring (over €5bn refinanced), LBO financing or alternative lending. From 2018 to 2020, Mr. Mateache was based in Shanghai (China) developing Alantra's investment banking division in Asia and coordinating cross-border M&amp;A activities in China and South East Asia. He advised Chinese entrepreneurs and Asian and European multinationals on domestic and cross-border transactions. Mr. Mateache holds a bachelor's degree in Business Administration from CUNEF.</t>
  </si>
  <si>
    <t>inigo.mateache@alantra.com</t>
  </si>
  <si>
    <t>354059-38P</t>
  </si>
  <si>
    <t>Isabel Alvarez</t>
  </si>
  <si>
    <t>Isabel</t>
  </si>
  <si>
    <t>Alvarez</t>
  </si>
  <si>
    <t>Ms. Isabel Alvarez serves as Marketing and Communications Analyst at Alantra.</t>
  </si>
  <si>
    <t>isabelcatherinelawsa@alantra.com</t>
  </si>
  <si>
    <t>Marketing and Communications Analyst</t>
  </si>
  <si>
    <t>146101-78P</t>
  </si>
  <si>
    <t>Jacobo Llanza Figueroa</t>
  </si>
  <si>
    <t>Jacobo</t>
  </si>
  <si>
    <t>Llanza Figueroa</t>
  </si>
  <si>
    <t>Mr. Jacobo Llanza Figueroa serves as Executive Chairman of Asset Management at Alantra. Mr. Llanza holds a degree in Economics and Business Administration by the Université de Paris. He started his professional career in 1989 at the Equity Capital Markets Division of Bancapital (Grupo Mercapital). In 1991 he moved to Mexico as a founding partner and Head of Research at AB Asesores Moneda, a Latin-American financial service company. In 1995 he became Managing Director and lead the expansion of this Group in Mexico, Brazil, Argentina and Chile. In 1999, after the acquisition of AB Asesores by MSDW, he moved to New York as Managing Director and Head of Equities of Dresdner Kleinwort Wasserstein for Latam &amp; EMEA. Finally, returned to Madrid in 2002 to re-join his partners of AB Asesores at Alantra , where he has been involved in the development of the Asset Management (Active Funds, Private Equity, Infrastructure, Real Estate, Debt) and Capital Raising activities.</t>
  </si>
  <si>
    <t>jacobo.llanza@alantra.com</t>
  </si>
  <si>
    <t>Executive Chairman of Asset Management</t>
  </si>
  <si>
    <t>145946-98P</t>
  </si>
  <si>
    <t>Javier Garcia-Palencia</t>
  </si>
  <si>
    <t>Javier</t>
  </si>
  <si>
    <t>Garcia-Palencia</t>
  </si>
  <si>
    <t>Mr. Javier Garcia-Palencia serves as CEO of Alantra Investment Banking at Alantra. Mr. Garcia-Palencia served as Managing Partner at Alantra Partners. He is also the Global Head of Debt Advisory and debt capital markets at Alantra. Javier has 23 years' experience working in investment banking. Prior to joining Alantra, he worked for Citigroup and Royal Bank of Scotland, always holding various roles and positions within the debt space. Javier began his career at Citigroup in New York in the Leveraged Finance Group. He then moved to London and Madrid to work for Royal Bank of Scotland where he was involved in the origination, structuring, and placing of large acquisition financing structures in Europe and LATAM. Javier holds a BSc degree in Business Management, a Master in Finance and an Executive MBA from IE with honours. Javier is also the CEO of a large catering and events business in Spain.</t>
  </si>
  <si>
    <t>javier.garcia-palencia@alantra.com</t>
  </si>
  <si>
    <t>CEO of Alantra Investment Banking</t>
  </si>
  <si>
    <t>130050-64P</t>
  </si>
  <si>
    <t>Javier Saenz</t>
  </si>
  <si>
    <t>Saenz</t>
  </si>
  <si>
    <t>Mr. Javier Saenz serves as Vice President, Business Development at Alantra. Mr. Saenz served as Chairman of the Board at Startup Studio Monterrey. Mr. Saenz brings over eight years of experience in business development within investment banking, currently leading the US Business Development practice at Alantra in New York. He began his path with Alantra in Madrid, before transitioning to the US to expand the firm's presence. Prior to joining Alantra, Javier played a significant role in scaling two tech startups through strategic business development initiatives and gained analytical experience as a junior analyst at the French Chamber of Commerce. He holds a degree in Economics from University Carlos III of Madrid and Paris Sorbonne, and a Master's in Digital Marketing from ESIC Business School.</t>
  </si>
  <si>
    <t>javier.saenz@alantra.com</t>
  </si>
  <si>
    <t>Vice President, Business Development</t>
  </si>
  <si>
    <t>30522-97P</t>
  </si>
  <si>
    <t>Jeffrey Robards</t>
  </si>
  <si>
    <t>Robards</t>
  </si>
  <si>
    <t>Mr. Jeffrey Robards serves as Managing Director at Alantra. Mr. Robards served as Managing Director at C.W. Downer &amp; Co. Before joining C.W. Downer &amp; Co., Mr. Robards was a Director in the US M&amp;A practice of Ernst &amp; Young. Earlier in his career, he worked at Bankers Trust Company and Barclays Bank, advising European multinationals on their US corporate finance activities. From 2000 to 2003 he lived and worked in the Netherlands, where he advised European and North American clients on cross-border transactions. Mr. Robards' industry experience includes food &amp; beverage, consumer products, industrial manufacturing, retail trade, and medical products. He has advised on a broad array of corporate finance issues, with particular emphasis on middle-market acquisitions, divestitures, and buyouts. His experience also includes advising on capital structure matters and troubled company situations. He received his MBA from the Wharton School and a BA in Economics from Emory University.</t>
  </si>
  <si>
    <t>jeff.robards@alantra.com</t>
  </si>
  <si>
    <t>408517-84P</t>
  </si>
  <si>
    <t>Jeremie Senior</t>
  </si>
  <si>
    <t>Jeremie</t>
  </si>
  <si>
    <t>Senior</t>
  </si>
  <si>
    <t>Mr. Jeremie Senior serves as Partner at Alantra. Mr. Senior is Partner of Alantra France Corporate Finance, in charge of Real Estate &amp; Hospitality. He has over 17 years of experience in investment and has advised on more than 50 deals across various sectors such as Office, Retail, Logistics and Hostpitality, over corporate and asset real estate transactions. Before joining Alantra, Jeremie worked as Partner for Groupe Babylone Capital Markets, Fair Value Capital, Reech AIM and KPFF Consulting. Jeremie graduated from a Master of Science degree of ESTP and UCLA, and holds an MBA in Finance from HEC Paris.</t>
  </si>
  <si>
    <t>jeremie.senior@alantra.com</t>
  </si>
  <si>
    <t>415552-96P</t>
  </si>
  <si>
    <t>Jeremy Hermant</t>
  </si>
  <si>
    <t>Hermant</t>
  </si>
  <si>
    <t>Mr. Jeremy Hermant serves as Senior Advisor at Alantra.</t>
  </si>
  <si>
    <t>146120-59P</t>
  </si>
  <si>
    <t>Joel Grau</t>
  </si>
  <si>
    <t>Joel</t>
  </si>
  <si>
    <t>Grau</t>
  </si>
  <si>
    <t>Chairman &amp; Managing Partner</t>
  </si>
  <si>
    <t>Mr. Joel Grau serves as Managing Partner, Chairman &amp; CEO of FIG at Alantra. Before joining Alantra in 2014, Mr. Grau worked as a Director at KPMG Corporate Finance, specializing in transactions of non-core assets. He was also a Senior Manager in the Department of "Transaction Services" in PwC, where he participated in more than 100 Corporate Transactions. During the last 10 years, he has advised on numerous Platforms, Real Estate, and Debt transactions, helping leading sellers in the Spanish market (such as Banco Santander, BBVA, SAREB, CaixaBank, Banco Sabadell, Bankia, BMN, Banco Popular, Bankinter, Ibercaja, CatalunyaCaixa, Banca Cívica, Cajamar, CAM, Deutsche Bank, GMAC, France Telecom, Vodafone) as well as some of the leading buyers globally (such as Apollo, Cerberus, Centerbridge, Elliot Advisors, Fortress, Deutsche Bank, Oaktree, Lone Star, AnaCap, Blackstone, ARES Management). He holds a Degree in Management and Business Administration (UAO) and a Master in Business Administration (ESADE Business School).</t>
  </si>
  <si>
    <t>joel.grau@alantra.com</t>
  </si>
  <si>
    <t>Managing Partner, Chairman &amp; CEO of FIG</t>
  </si>
  <si>
    <t>428198-77P</t>
  </si>
  <si>
    <t>Jon De Perdigo</t>
  </si>
  <si>
    <t>De Perdigo</t>
  </si>
  <si>
    <t>Mr. Jon De Perdigo serves as Director at Alantra. Before joining Alantra, Mr. De Perdigo was a Vice President at PwC M&amp;A in New York, where he completed multiple sell-side and cross-border transactions in the industrials and consumer sectors. He has over a decade of experience executing M&amp;A transactions. Jon started his professional career at Deloitte and joined Alantra in 2019. While at Alantra, he has primarily focused on transactions in the building materials, consumer &amp; technology sectors advising families, private equities and corporates. Prior to joining Alantra, Jon was a Vice President at PwC M&amp;A in New York, where he completed multiple sell-side and cross-border transactions in the industrials and consumer sectors. He received his BA in Business Administration from University of Navarra and his Master's in Finance from the London Business School.</t>
  </si>
  <si>
    <t>jon.deperdigo@alantra.com</t>
  </si>
  <si>
    <t>279172-99P</t>
  </si>
  <si>
    <t>Jonas Baureus</t>
  </si>
  <si>
    <t>Jonas</t>
  </si>
  <si>
    <t>Baureus</t>
  </si>
  <si>
    <t>Mr. Jonas Baureus serves as Managing Partner at Alantra. Mr. Bauréus has more than 20 years of investment banking experience across a wide range of clients and transactions in the Nordic region. A Swedish national, Mr. Bauréus started his career at Lehman Brothers in London in 2000 and he subsequently joined UBS (based both in London and in Stockholm). His professional track record includes more than 50 M&amp;A and capital markets transactions with an aggregate transaction value in excess in €35 billion. Mr. Bauréus established Alantra's Nordic presence during 2016 when he joined to set up the firm's office in Stockholm. During his tenure at Alantra, the firm has been involved in over 35 M&amp;A transactions in the Nordic region and the team now includes 15 professionals across the Stockholm and Copenhagen offices. He holds a M. Sc. In International Business Administration from the Gothenburg School of Economics (including exchange semester at the University of Edinburgh and the Universidad de Navarra, respectively).</t>
  </si>
  <si>
    <t>jonas.baureus@alantra.com</t>
  </si>
  <si>
    <t>202723-30P</t>
  </si>
  <si>
    <t>Jonathan Tetirick</t>
  </si>
  <si>
    <t>Tetirick</t>
  </si>
  <si>
    <t>Mr. Jonathan Tetirick serves as Director at Alantra. Mr. Tetirick has over a decade of experience executing M&amp;A and capital raising transactions. While at Alantra, He has over a decade of experience executing M&amp;A and capital raising transactions. While at Alantra, he has primarily focused on transactions in the business services &amp; industrial sectors. Prior to joining the firm, Jon spent six years leading divestiture and acquisition assignments for Inner Circle Sports ("ICS"), a NY-based boutique investment bank focused on the sports, media and entertainment industries. Prior to ICS, he spent two years completing leveraged buyouts for HIG Capital, a global private investment firm with over $35 billion of capital under management and two years completing M&amp;A transactions for Edgeview Partners (now Piper Sandler), a middle-market investment bank. Before embarking on his investment banking career, Jon played professional soccer in the United States. Jon received his Bachelor of Science, magna cum laude, from Davidson College.</t>
  </si>
  <si>
    <t>jon.tetirick@alantra.com</t>
  </si>
  <si>
    <t>1 Federal Street</t>
  </si>
  <si>
    <t>Floor 22</t>
  </si>
  <si>
    <t>408506-41P</t>
  </si>
  <si>
    <t>Jorge Roa</t>
  </si>
  <si>
    <t>Roa</t>
  </si>
  <si>
    <t>Mr. Jorge Roa serves as Managing Director at Alantra. Mr. Roa joined Alantra in February 2014 and leads the Investment Banking Real Estate and Hospitality team in Spain. Geographically he focuses on Spain and Portugal but has completed transactions involving businesses across Europe and Latin America. Over the last years, he has been involved in over 50 different M&amp;A, capital raising and debt advisory transactions including REITs, developers, hospitality groups and other real estate related companies. His professional education includes studies at the Polytechnic University of Madrid (Spain) and the Karlsruhe Institute of Technology (Germany), where he completed his Master's Degree in Industrial Engineering and Major in Industrial Management.</t>
  </si>
  <si>
    <t>jorge.roa@alantra.com</t>
  </si>
  <si>
    <t>160895-35P</t>
  </si>
  <si>
    <t>Jose Abad</t>
  </si>
  <si>
    <t>Jose</t>
  </si>
  <si>
    <t>Abad</t>
  </si>
  <si>
    <t>Board Member &amp; Founding Partner</t>
  </si>
  <si>
    <t>Mr. Jose Abad is a Founding Partner and serves as Board Member at Alantra. Mr. Abad Zorrilla holds a degree in Economics and Business Administration from the Autonomous University of Madrid. Mr. Abad began his career at Arthur Andersen and has been director of Corporate Finance and member of the Management Committee of AB Asesores and Morgan Stanley Dean Witter. He has served on the boards of Grupo Hagemeyer España and DHL España and he has sat on the board of the Spanish Association of Finance Executives. He is one of the founding partners of Alantra and deputy chairman from 2000 to 2015.</t>
  </si>
  <si>
    <t>jabad@alantra.com</t>
  </si>
  <si>
    <t>52989-40P</t>
  </si>
  <si>
    <t>José Parejo</t>
  </si>
  <si>
    <t>José</t>
  </si>
  <si>
    <t>Parejo</t>
  </si>
  <si>
    <t>Mr. José Parejo serves as Managing Director at Alantra. Mr. Parejo (JAP) has built his career at Alantra since joining in 2008 as the Investor Relations lead for Private Equity and Dinamia, based in Madrid. With over 20 years of experience, he has worked closely with institutional and family office investors across Europe, playing a key role in the growth of Alantra's Asset Management business. His expertise spans capital raising through funds and innovative solutions, with a strong focus on private equity, energy transition, venture capital, and listed equities. Before joining Alantra, JAP was an Investor Relations Manager at Spanish savings bank Caixa Galicia, where he had also worked as an analyst and trader. He began his career in corporate finance at PwC in Madrid and at Santander's New York office. He holds a degree in Economics and a Master's in Financial Markets and Finance from CEU University in Madrid.</t>
  </si>
  <si>
    <t>jose.parejo@alantra.com</t>
  </si>
  <si>
    <t>356319-01P</t>
  </si>
  <si>
    <t>Jose Zabala</t>
  </si>
  <si>
    <t>Zabala</t>
  </si>
  <si>
    <t>Mr. Jose Zabala serves as Managing Director at Alantra. Mr. Zabala has more than 15 years of international experience in strategy consulting, energy, sustainability, and climate resilience. Before joining Alantra, he founded MRC Consultants and Transaction Advisers, an international energy consulting firm with 100 employees and a business volume of more than $15m. He graduated as an industrial engineer from ICAI and holds a master's degree in Corporate Finance from IEB.</t>
  </si>
  <si>
    <t>30522-16P</t>
  </si>
  <si>
    <t>Joseph Downing Jr.</t>
  </si>
  <si>
    <t>Joseph</t>
  </si>
  <si>
    <t>Downing</t>
  </si>
  <si>
    <t>Mr. Joseph Downing serves as Managing Partner at Alantra. Mr. Downing is one of three US-based Partners of Alantra. With twenty-five years of M&amp;A experience, he has initiated, completed and integrated numerous global acquisitions and divestitures. He brings strong cross border capabilities to his client's projects. He lived in Europe for eight years and speaks Danish fluently. He is the head of the US Food &amp; Specialty Ingredients sector and has extensive experience working with companies along the entire food &amp; nutrition chain from agriculture and ingredients to processing and retail products. Previously, he was the head of North American M&amp;A for one of the largest and most successful European based food and nutritional ingredient manufacturers. He holds a bachelor's degree in Business Management/Finance from Boston University where he was a member of the Boston University football team and a master's degree in International Business Administration from the University of Aalborg in Denmark.</t>
  </si>
  <si>
    <t>joseph.downing@alantra.com</t>
  </si>
  <si>
    <t>186268-42P</t>
  </si>
  <si>
    <t>Joseph Nau</t>
  </si>
  <si>
    <t>Nau</t>
  </si>
  <si>
    <t>Mr. Joseph Nau serves as Investment Banking Vice President at Alantra. Mr. Nau served as an Associate at MVP Capital. Prior to joining MVP, Joseph was an Analyst in the Real Estate Investment Banking Group at KeyBanc Capital Markets in Cleveland, Ohio. While at KeyBanc, he worked on a variety of transactions including leveraged buyouts, mergers and acquisitions, debt financings, and equity transactions primarily focused on the real estate sector.</t>
  </si>
  <si>
    <t>joe.nau@alantra.com</t>
  </si>
  <si>
    <t>Investment Banking Vice President</t>
  </si>
  <si>
    <t>55789-57P</t>
  </si>
  <si>
    <t>Joshua Garver</t>
  </si>
  <si>
    <t>Joshua</t>
  </si>
  <si>
    <t>Garver</t>
  </si>
  <si>
    <t>Mr. Joshua Garver serves as Managing Director at Alantra Asset Management. Mr. Garver serves as Board Member &amp; Treasurer at Union Capital Boston. Previously he served as Vice President at C.W. Downer &amp; Co. He has over a decade of experience executing M&amp;A and capital-raising transactions. While at Alantra, he has primarily focused on transactions in the food &amp; beverage and ingredients sectors. Prior to joining the firm, he spent four years at Venturi &amp; Company, a middle-market investment bank based in the San Francisco Bay Area, working on M&amp;A, capital raising, and restructuring transactions. Prior to Venturi &amp; Company, he spent eight years working in the leveraged finance teams at UniCredit Bank and Sumitomo Trust. He holds a BA from Columbia University and an MBA from the Wharton School, where he received the Palmer Scholar designation.</t>
  </si>
  <si>
    <t>joshua.garver@alantra.com</t>
  </si>
  <si>
    <t>376433-65P</t>
  </si>
  <si>
    <t>Juan Navascués</t>
  </si>
  <si>
    <t>Juan</t>
  </si>
  <si>
    <t>Navascués</t>
  </si>
  <si>
    <t>Mr. Juan Navascués serves as Operating Partner at Alantra. Mr. Navascués has over 30 years of experience in the industrials sector, with a particular focus on the automotive industry. Most recently, he served as the Global President of the Operations Steering Committee and as the Spain Country Head of SaarGummi Group, which comprises 17 production plants and employs 6,000 people worldwide. Before that, he held positions at Eaton Aeroquip and Nissan, among others. As an Operating Partner at Alantra Private Equity, he supports management teams in implementing operational transformation strategies, optimizing the supply chain, and improving production organization and efficiency. He specializes in Industrial Tech, a key vertical for Alantra Private Equity, as demonstrated by the four investments made through Alantra PEF III in Hiperbaric, Salto, ROQ and MD Moldes. He formed part of different Boards and Executive Committees throughout his professional career, such as the AHK German Chamber of Commerce, the AEDHE Association of Employers in the Henares industrial zone, and the National Consortium of Rubber Industries. Currently, he remains active as the President of the Industry Committee at AEDHE and as a member of the National Observatory for Industry 4.0. Additionally, he teaches Masterclasses at the ICAI Master of Connected Industry and the UCLM-PWN for the Master of Digital &amp; Human Leadership (LDH). He holds a degree in Mechanical Engineering from Comillas University (ICAI), Madrid, and a master's degree in automotive engineering from the Escuela Técnica Superior de Ingenieros Industriales, Madrid.</t>
  </si>
  <si>
    <t>juanlorenzoden@alantra.com</t>
  </si>
  <si>
    <t>52990-12P</t>
  </si>
  <si>
    <t>Juan Torres do Rego</t>
  </si>
  <si>
    <t>Torres do Rego</t>
  </si>
  <si>
    <t>Mr. Juan Torres do Rego serves as Managing Director at Alantra. Mr. Torres do Rego served as Associate at N+1 Mercapital. He also previously served as an Associate at Dinamia Capital Privado. In N+1 Mercapital since 2008, he has worked in transactions in the sectors of healthcare, industrial distribution, food, and marketing services. Before then, he had worked in Corporate and Investment Banking at Banco Santander. Mr. Torres do Rego holds a Business Administration and Law degree from ICADE-E3.</t>
  </si>
  <si>
    <t>juan_t@alantra.com</t>
  </si>
  <si>
    <t>160898-23P</t>
  </si>
  <si>
    <t>Julian Cepeda</t>
  </si>
  <si>
    <t>Cepeda</t>
  </si>
  <si>
    <t>Managing Partner &amp; Portfolio Manager</t>
  </si>
  <si>
    <t>Mr. Julian Cepeda serves as Managing Partner &amp; QMC Portfolio Manager at Alantra. Mr. Cepeda also serves as Head of Alantra ScaleUp at Alantra ScaleUp. He has More than 30 years' experience including active fund management (at Alantra AM since 2003). Head of equity research at AB Asesores (1996-1999), Schroders (1999-2000) and Dresdner Kleinwort Wasserstein (2000-2003). Julián has been Board member of different Spanish quoted firms.</t>
  </si>
  <si>
    <t>julian.cepeda@alantra.com</t>
  </si>
  <si>
    <t>Managing Partner &amp; QMC Portfolio Manager</t>
  </si>
  <si>
    <t>148635-55P</t>
  </si>
  <si>
    <t>Julio Cardenal</t>
  </si>
  <si>
    <t>Julio</t>
  </si>
  <si>
    <t>Cardenal</t>
  </si>
  <si>
    <t>Mr. Julio Cardenal serves as Managing Partner at Alantra. Mr. Cardenal is a senior partner at Landmark Capital. Previously, he was UBS/Swiss Bank's representative in Chile and head of its investment banking division S.G. Warburg for Chile, Peru and Bolivia. Mr. Cardenal has extensive experience in M&amp;A transactions in Chile, Latin America, The United States and Europe. He has also been a board member of SalcoBrand, Industrias Ceresita, Ferreterías Imperial and Soquimich representing PotashCorp.</t>
  </si>
  <si>
    <t>cardenal@landmark-cap.com</t>
  </si>
  <si>
    <t>48880-90P</t>
  </si>
  <si>
    <t>Justin Crowther</t>
  </si>
  <si>
    <t>Justin</t>
  </si>
  <si>
    <t>Crowther</t>
  </si>
  <si>
    <t>Mr. Justin Crowther serves as Managing Director &amp; Head of Healthcare at Alantra. Mr. Crowther serves as Managing Director &amp; Head of Healthcare at Alantra Corporate Finance. He served as a Partner at Alantra UK. He has over 20 years of successful transaction advisory experience delivering all types of deals to clients across the healthcare sector. As a healthcare services expert, Justin writes regularly for the sector's leading publications and is often sought out by the national press. A graduate of Newcastle University, Justin trained as a chartered accountant with KPMG before moving onto the corporate development team of the then FTSE 100 company Boots plc.</t>
  </si>
  <si>
    <t>justin.crowther@alantra.com</t>
  </si>
  <si>
    <t>Managing Director &amp; Head of Healthcare</t>
  </si>
  <si>
    <t>48883-87P</t>
  </si>
  <si>
    <t>Keith Pickering</t>
  </si>
  <si>
    <t>Keith</t>
  </si>
  <si>
    <t>Pickering</t>
  </si>
  <si>
    <t>Mr. Keith Pickering serves as Partner at Alantra. Mr. Pickering serves as Partner at Alantra Corporate Finance. He served as a Partner at Alantra UK. He has over twenty years of corporate finance experience working in the UK and overseas. His main responsibilities include advising on MBOs, fundraising, company acquisitions, and disposals. he heads up Catalyst's Nottingham office, whilst he is a key member of our Construction team (with a particular focus on building materials and distribution) and industrial team (with a particular focus on the chemicals and oil &amp; gas markets). A chartered accountant by training, he spent ten years with Coopers &amp; Lybrand (now PwC). This included three years of working in Hong Kong before the handover to Chinese control. He left PwC's Nottingham office to become a founding Partner of Catalyst in 1998.</t>
  </si>
  <si>
    <t>+44 (0)11 5957 8233</t>
  </si>
  <si>
    <t>keith.pickering@alantra.com</t>
  </si>
  <si>
    <t>146127-07P</t>
  </si>
  <si>
    <t>Kurt Ruegg</t>
  </si>
  <si>
    <t>Kurt</t>
  </si>
  <si>
    <t>Ruegg</t>
  </si>
  <si>
    <t>Mr. Kurt Ruegg serves as Senior Advisor at Alantra. Mr. Ruegg has executed numerous transactions for Swiss mid-caps such as Arbonia Forster Group, Forbo, Geberit, Implenia, RUAG, Stadler Rail, and many others. His vast experience includes financing as well as M&amp;A advisory with special expertise in the defense of listed companies. Prior to founding Swiss Capital, he has been working for 13 years in various executive positions in the UBS Investment Banking division in Switzerland, England, the Nordics, and Germany. He is a Board Member of several companies, among them Stadler Rail Group and the Cantonal Bank of St. Gallen. He qualified as a Bachelor in Economics and Business Administration in 1985 from the University of Applied Sciences in Bern.</t>
  </si>
  <si>
    <t>+41 (0)44 552 5050</t>
  </si>
  <si>
    <t>Zurich</t>
  </si>
  <si>
    <t>Zurich, Switzerland</t>
  </si>
  <si>
    <t>Stockerstrasse 47</t>
  </si>
  <si>
    <t>8002</t>
  </si>
  <si>
    <t>Switzerland</t>
  </si>
  <si>
    <t>65642-41P</t>
  </si>
  <si>
    <t>Lodewijk Sodderland</t>
  </si>
  <si>
    <t>Lodewijk</t>
  </si>
  <si>
    <t>Sodderland</t>
  </si>
  <si>
    <t>Mr. Lodewijk Sodderland serves as Managing Director at Alantra. Mr. Sodderland has over 25 years of investment banking experience, advising on (cross-border) M&amp;A and ECM transactions for corporates, private equity funds and entrepreneurs. Prior to joining Alantra in 2016, he was Managing Director at ABN AMRO, amongst others as head of the TMT team. Before that, he worked at Fortis and MeesPierson. Lodewijk has a master's degree in law from Leiden University and executive education from INSEAD and Vlerick Business School.</t>
  </si>
  <si>
    <t>lodewijk.sodderland@alantra.com</t>
  </si>
  <si>
    <t>408507-76P</t>
  </si>
  <si>
    <t>Luca Arena</t>
  </si>
  <si>
    <t>Luca</t>
  </si>
  <si>
    <t>Arena</t>
  </si>
  <si>
    <t>Mr. Luca Arena serves as Head, Italian Equity Research at Alantra. Mr. Arena has over 25 years' experience both in domestic and international financial institutions, having covered listed mid cap companies, taking part in several IPO, SPAC and Pre-Booking Company listing processes. Previously, Luca was Head of Equity Research at CFO SIM, a leading Italian investment banking boutique, and has spent several years as senior analyst at Berenberg, Mediobanca, and Cheuvreux. Luca holds a university degree in Business Administration and Finance from the University of Turin and is an ordinary member of AIAF (Italian Association of Financial Analysts).</t>
  </si>
  <si>
    <t>luca.arena@alantra.com</t>
  </si>
  <si>
    <t>Head, Italian Equity Research</t>
  </si>
  <si>
    <t>140697-10P</t>
  </si>
  <si>
    <t>Lucille Bonnet</t>
  </si>
  <si>
    <t>Lucille</t>
  </si>
  <si>
    <t>Bonnet</t>
  </si>
  <si>
    <t>Ms. Lucille Bonnet serves as Managing Partner at Alantra. Ms. Bonnet served as Principal at High-Tech Gründerfonds. She also served as Advisory Board Observer at Synapticon. She has more than 13 years of experience in the field of venture capital in Europe. After working 6 years for Innogy Venture Capital, the venture capital arm of the leading German utility RWE, she joined High-Tech Gründerfonds (HTGF) in 2015. As Principal and authorized proxy holder of HTGF she built a portfolio of 14 investments in the fields of energy, sensorics and automation, with a particular focus on B2B technology companies. Lucille has been a board member or observer to more than 10 companies and is today member of the advisory board of Sunroof, Klimas portfolio company. She holds two Master's degrees in Finance from EDHEC in France and EADA in Spain.</t>
  </si>
  <si>
    <t>lucille.bonnet@alantra.com</t>
  </si>
  <si>
    <t>59080-78P</t>
  </si>
  <si>
    <t>Luis Castellanos</t>
  </si>
  <si>
    <t>Luis</t>
  </si>
  <si>
    <t>Castellanos</t>
  </si>
  <si>
    <t>Mr. Luis Castellanos serves as Managing Partner at Alantra. Before joining Alantra, Mr. Castellanos, holds more than 30 years of international experience in structured credit &amp; asset management. Prior to joining Alantra in 2014, Luis Felipe was Partner at PwC, in charge of the debt advisory practice in Spain. In the past, he has also been Managing Director at European Capital, a €2.8bn European mezzanine debt fund, Head of Leveraged Finance at BNP Paribas Iberia, and a Director of Project Finance at BNP Paribas in New York and Paris offices.</t>
  </si>
  <si>
    <t>luisfelipe.castellanos@alantra.com</t>
  </si>
  <si>
    <t>52989-76P</t>
  </si>
  <si>
    <t>Manuel Alamillo</t>
  </si>
  <si>
    <t>Manuel</t>
  </si>
  <si>
    <t>Alamillo</t>
  </si>
  <si>
    <t>Mr. Manuel Alamillo serves as Managing Director at Alantra. He serves as Board Member at Echandia. He serves as Board Member at Meteomatics. He serves as a Board Member at SWTCH. Mr. Alamillo served as Principal at N+1 Mercapital (now a part of Alantra). Mr. Alamillo has more than 15 years of experience investing across Europe in venture and private equity. His previous investment work for Alantra Private Equity covered many technology sectors. Throughout his career, he has been a board member of nine companies. Now as an Investment Managing Director at Klima Energy Fund, he focuses on transition energies. Manuel holds two postgraduate degrees, in Finance &amp; Law from ICADE.</t>
  </si>
  <si>
    <t>manuel.alamillo@alantra.com</t>
  </si>
  <si>
    <t>395766-82P</t>
  </si>
  <si>
    <t>Manuel Fernandez</t>
  </si>
  <si>
    <t>Mr. Manuel Fernandez serves as Managing Director at Alantra. Mr. Fernandez has over 10 years of experience in Corporate &amp; Investment Banking. He has recovered different positions of responsibility inside the area of Mergers &amp; Acquisitions and Leveraged Finance, at Banco Santander, BBVA and Citigroup. He holds a Degree in Business Administration from Colegio Universitario de Estudios Financieros of Madrid (CUNEF).</t>
  </si>
  <si>
    <t>manuel.fernandez@alantra.com</t>
  </si>
  <si>
    <t>419465-44P</t>
  </si>
  <si>
    <t>María González de Apodaca</t>
  </si>
  <si>
    <t>María</t>
  </si>
  <si>
    <t>González de Apodaca</t>
  </si>
  <si>
    <t>Chief Operating Officer &amp; Partner</t>
  </si>
  <si>
    <t>Ms. María González de Apodaca serves as Partner &amp; Chief Operating Officer at Alantra. Ms. González de Apodaca as more than 14 years of experience and has been working at Alantra for the past 11 years. She has participated in more than 12 corporate transactions including acquisitions, joint ventures and company IPO's. Before joining Alantra she spent two years in Garrigues, a leading Spanish law firm with International presence. She holds a degree in Business Administration by Universidad Comercial de Deusto.</t>
  </si>
  <si>
    <t>Partner &amp; Chief Operating Officer</t>
  </si>
  <si>
    <t>15314-23P</t>
  </si>
  <si>
    <t>Mariano Moreno</t>
  </si>
  <si>
    <t>Mariano</t>
  </si>
  <si>
    <t>Moreno</t>
  </si>
  <si>
    <t>Mr. Mariano Moreno serves as Partner at Alantra. Mr. Moreno served as Board Member at Secuoya Group. He served as Partner at N+1 Mercapital (now part of Alantra). He served as a Partner and Director at Dinamia Capital Privado. Moreno has a unique combination of experience in private equity, industry and management consulting. He has led or co-led private equity investments in the media, municipal services, retailing, education, business services, health and tourism sectors, both at Alantra Private Equity and Apax Partners. While in industry, he worked as Business Development Director at Ferrovial Servicios, where he led a large acquisition and several PPPs. Previously he was a consultant with The Boston Consulting Group. Mariano is currently Board Member of Frías, Hiperbaric, Secuoya and MBA. Mariano holds a Business Administration Degree from ICADE-E2 and an MBA from Harvard Business School.</t>
  </si>
  <si>
    <t>mariano.moreno@alantra.com</t>
  </si>
  <si>
    <t>349399-09P</t>
  </si>
  <si>
    <t>Martin Gamperl</t>
  </si>
  <si>
    <t>Gamperl</t>
  </si>
  <si>
    <t>Mr. Martin Gamperl serves as Managing Director at Alantra. Mr. Gamperl has 15 years of investment banking experience. Prior to Alantra, he worked at Rothschild &amp; Co, where he was a Director in the Swiss Corporate Finance Advisory team focusing on M&amp;A and capital markets transactions. From 2014 to 2017, he was part of Alantra's Swiss Corporate Finance Advisory team and prior to this, he worked at Rothschild &amp; Co in the firm's German and Indian offices.</t>
  </si>
  <si>
    <t>martin.gamperl@alantra.com</t>
  </si>
  <si>
    <t>146126-35P</t>
  </si>
  <si>
    <t>Martin Menzi</t>
  </si>
  <si>
    <t>Menzi</t>
  </si>
  <si>
    <t>Mr. Martin Menzi serves as Senior Advisor at Alantra. Mr. Menzi's started career in M&amp;A in 1990, working for UBS. During this period, he was also on assignment for the German privatization agency Treuhandanstalt in Berlin in 1991/92, heading its food companies' division. Before joining Swiss Capital (now Alantra) in 2000, he worked for 6 years in New York, initially for UBS and then for Bankers Trust/Deutsche Bank. Over the span of 30+ years in investment banking, Martin Menzi has advised on numerous transactions for Swiss companies such as ABB, Aduno, Alpiq, Axpo, Aryzta, Ascom, Dormakaba, Franke, Galenica, Geberit, Hiestand, Maus Frères, Nationale Suisse, Publigroupe, Vaudoise, and many others. Martin graduated with a Master of Law 'magna cum laude' from the University of Zurich in 1988.</t>
  </si>
  <si>
    <t>185031-55P</t>
  </si>
  <si>
    <t>Massimiliano Casella</t>
  </si>
  <si>
    <t>Massimiliano</t>
  </si>
  <si>
    <t>Casella</t>
  </si>
  <si>
    <t>Mr. Massimiliano Casella serves as Managing Director at Alantra. Mr. Casella serves as Head of Investment Banking at Gruppo Nextam Partners. He has over 20 years relevant investment banking experience, having worked as portfolio manager at Intesa San Paolo; and having held various roles in the Institutional Credit Management team of Ducato Asset Management (Banca Monte Paschi Group) and in the Capital Markets desk of Centrobanca (Investment banking arm of UBI Banca). Most recently he has been Co-Head of Investment Banking at Eufidia Financial Advisory and Co-Head of Private Investment Banking at Nextam Partners (Banca Generali Group) in charge of strategic and corporate finance advisory services with a focus on mid-caps across different sectors.</t>
  </si>
  <si>
    <t>massimiliano.casella@alantra.com</t>
  </si>
  <si>
    <t>165160-72P</t>
  </si>
  <si>
    <t>Matthew Wiseman</t>
  </si>
  <si>
    <t>Wiseman</t>
  </si>
  <si>
    <t>Mr. Matthew Wiseman serves as Partner at Alantra. Mr. Wiseman serves as Partner at Alantra Corporate Finance. He joins from Baylor Klein, a beauty and cosmetics M&amp;A advisory house that he co-founded in 2008. Before that, he had spells with PwC and Close Brothers Corporate Finance. Mr. Wiseman has more than 15 years experience of in transacting branded goods. He has worked on deals involving Bulldog, REN Skincare, and Liz Earle, and advised corporates including PZ Cussons and Henkel.</t>
  </si>
  <si>
    <t>matthew.wiseman@alantra.com</t>
  </si>
  <si>
    <t>78929-83P</t>
  </si>
  <si>
    <t>Michael Lenoce</t>
  </si>
  <si>
    <t>Lenoce</t>
  </si>
  <si>
    <t>Mr. Michael Lenoce serves as Partner at Alantra. Mr. Lenoce served as Managing Director at Media Venture Partners. He has advised on numerous M&amp;A advisory, equity, and debt transactions for much-leading technology and telecom clients. He has over 18 years of investment banking experience and extensive experience working with companies within the Machine-to-Machine (M2M), software &amp; IT services, communication software, data center, and managed services sectors. He speaks twice a year at IoT Evolution on M&amp;A and investment trends in the IoT Sector. Having deep industry knowledge and ongoing transaction experience is his key to providing more valuable insight and advice to his clients as well as providing advice based on what is best for the client over the long term. He began his investment banking career at CIBC World Markets where he worked in the Equity Capital Markets group, structuring and marketing IPO and follow-on equity issuances, and the Mergers &amp; Acquisitions group, where he was responsible for executing transactions primarily in the TMT sector. In 2006 he joined the U.S. Technology &amp; Telecommunications group at CIBC/Oppenheimer and worked on numerous advisory, equity, and debt transactions for many leading technologies and telecom clients.</t>
  </si>
  <si>
    <t>+1 (212) 667-5396</t>
  </si>
  <si>
    <t>michael.lenoce@alantra.com</t>
  </si>
  <si>
    <t>349397-47P</t>
  </si>
  <si>
    <t>Michael Maag</t>
  </si>
  <si>
    <t>Maag</t>
  </si>
  <si>
    <t>Mr. Michael Maag serves as Managing Partner at Alantra. Prior to Alantra, Mr. Maag was Managing Director and Head of Investment Banking at Morgan Stanley Switzerland. Before that, he worked in investment banking at Morgan Stanley and Goldman Sachs in Frankfurt and London. Over 20 years in investment banking, he has advised on transactions worth over $50bn, including numerous M&amp;A, IPO and capital raising transactions in a variety of sectors and geographies. He holds a Master's degree in Finance from the University of St. Gallen.</t>
  </si>
  <si>
    <t>michael.maag@alantra.com</t>
  </si>
  <si>
    <t>408507-31P</t>
  </si>
  <si>
    <t>Michael O'Sullivan</t>
  </si>
  <si>
    <t>O'Sullivan</t>
  </si>
  <si>
    <t>Mr. Michael O'Sullivan serves as Managing Director at Alantra. Mr. O'Sullivan leads Alantra FIG's team in Ireland with significant experience in loan portfolio and credit platform transactions across all asset and performance classes in Ireland and Europe. He has worked extensively on both buy-side and sell-side engagements, assisting on all aspects of the transaction across perimeter selection, transaction preparation, valuations, due diligence, bidder engagement, and contract negotiations. He has been crucial in many of the largest Irish credit transactions recently. He has a deep understanding of the key value drivers for performing, reperforming, and nonperforming loans and the requirements for different investor types, together with extensive knowledge of the Irish credit market (pillar banks, NBFIs, and financial investors). Michael has a First-Class Honors degree in Structural Engineering and a Masters in Financial Economics, from the University of College Cork.</t>
  </si>
  <si>
    <t>+353 (0)1 662 0175</t>
  </si>
  <si>
    <t>michael.osullivan@alantra.com</t>
  </si>
  <si>
    <t>Dublin</t>
  </si>
  <si>
    <t>Dublin, Ireland</t>
  </si>
  <si>
    <t>1 Le Pole Square, Ship Street Great</t>
  </si>
  <si>
    <t>5th Floor, DO8E6PD</t>
  </si>
  <si>
    <t>Ireland</t>
  </si>
  <si>
    <t>182158-03P</t>
  </si>
  <si>
    <t>Michael Poerschke</t>
  </si>
  <si>
    <t>Poerschke</t>
  </si>
  <si>
    <t>Mr. Michael Poerschke serves as a Partner at Alantra Asset Management. Mr. Poerschke served as Managing Director at Rothschild &amp; Co. He has over 16 years of M&amp;A experience having completed acquisitions, divestitures, asset swaps, strategic reviews, reorganizations, capital raisings, refinancings, and fairness opinions totaling more than $100bn in transaction volume. His trusted clients include entrepreneurs, families, and private equity funds as well as private and public Consumer &amp; Ingredients companies of all sizes. Prior to Alantra, he worked at Rothschild &amp; Co, where he was a Managing Director in the Global Financial Advisory Group leading the firm's Consumer Ingredients coverage for North America. Michael holds a Bachelor of Science from the European Business School, Oestrich-Winkel.</t>
  </si>
  <si>
    <t>michael.poerschke@alantra.com</t>
  </si>
  <si>
    <t>146118-79P</t>
  </si>
  <si>
    <t>Miguel Hernandez</t>
  </si>
  <si>
    <t>Miguel</t>
  </si>
  <si>
    <t>Hernandez</t>
  </si>
  <si>
    <t>Mr. Miguel Hernandez serves as Managing Partner &amp; Executive Chairman of Investment Banking at Alantra Corporate Finance. He serves as Managing Partner &amp; Executive Chairman of Investment Banking at Alantra. He began his professional career with AB Asesores, as part of the mergers and acquisitions team, and later worked in the investment banking area at Morgan Stanley, joining Alantra in 2000. He has an extensive track-record in M&amp;A transactions in Spain and cross border, both on the sell and buy-sides, especially in real estate, and also in the industrial and consumer sectors. He has an extensive knowledge of financial institutions and national and international institutional investors in Real Estate, having collaborated, among others with: Värde Partners, Kennedy Wilson, Cerberus, BBVA, Santander, Lonestar, BMN, Ibercaja, Catalunya Banc, Baupost, etc. He holds a Bachelor degree in Business Administration from CUNEF.</t>
  </si>
  <si>
    <t>miguel.hernandez@alantra.com</t>
  </si>
  <si>
    <t>Managing Partner &amp; Executive Chairman of Investment Banking</t>
  </si>
  <si>
    <t>Alantra Corporate Finance</t>
  </si>
  <si>
    <t>250250-95P</t>
  </si>
  <si>
    <t>Nicholas Colman</t>
  </si>
  <si>
    <t>Colman</t>
  </si>
  <si>
    <t>Mr. Nicholas Colman serves as Managing Partner at Alantra. Mr. Colman serves as Managing Partner at Alantra Corporate Finance. Before this, he was a partner at KPMG where he was a member of the Global Portfolio Solutions Group but also led Deal Advisor's Banking practice for the UK and a member of KPMG's Deal Advisory Leadership team. He is currently based in London and in addition to working in the UK, he has led NPE and distressed banking projects in Germany, the Netherlands, Austria, Greece, Cyprus, Romania, Poland, Hungary, Slovenia, Croatia, Serbia, and China.</t>
  </si>
  <si>
    <t>nicholas.colman@alantra.com</t>
  </si>
  <si>
    <t>169494-76P</t>
  </si>
  <si>
    <t>Nicolas Senlis</t>
  </si>
  <si>
    <t>Nicolas</t>
  </si>
  <si>
    <t>Senlis</t>
  </si>
  <si>
    <t>Mr. Nicolas Senlis serves as Managing Director at Alantra. Mr. Senlis's career in M&amp;A started in 2006, working for Rothschild. He, then, joined UBS for 13 years. During this period, he advised many French entrepreneurial companies in the evolution of their capital either on LBO transactions or strategic disposals. In 2019, he Senlis has joined Alantra France where he covers Healthcare and Business Services verticals. Over the span of 15 years in investment banking, he Senlis has advised on numerous transactions involving French companies such as Korian, Elsan, LNA Santé, Cap Gemini, Cegid, Kerudys, Provalliance, Ascometal and many others. He holds a Magistère's degree in Finance from Université Paris Dauphine, a MA in International Finance from Brandeis Business School (Boston) and a Master's degree in Accounting (DECF).</t>
  </si>
  <si>
    <t>nicolas.senlis@alantra.com</t>
  </si>
  <si>
    <t>246380-59P</t>
  </si>
  <si>
    <t>Oliver Norman</t>
  </si>
  <si>
    <t>Oliver</t>
  </si>
  <si>
    <t>Norman</t>
  </si>
  <si>
    <t>Mr. Oliver Norman serves as Director at Alantra Asset Management. Mr. Norman has over seven years of M&amp;A experience and focuses on completing deals across voice and networking, IT services, unified communications (UC/UCaaS), contact centre (CC/CCaaS), and broader cloud communications applications. He works alongside our partners to deliver various types of deals for clients including company acquisitions and disposals, management buy-outs, fundraisings and strategic reviews, acting for business owners, management teams, corporates and private equity. He is a graduate in Industrial Economics from Nottingham University, he qualified as a chartered accountant with EY where he spent four years before joining Alantra.</t>
  </si>
  <si>
    <t>+44 (0)77 3635 2052</t>
  </si>
  <si>
    <t>oliver.norman@alantra.com</t>
  </si>
  <si>
    <t>261842-86P</t>
  </si>
  <si>
    <t>Oliver Parker</t>
  </si>
  <si>
    <t>Parker</t>
  </si>
  <si>
    <t>Mr. Oliver Parker serves as Partner at Alantra. Mr. Parker serves as Partner at Alantra Corporate Finance. He has more than 15 years of M&amp;A experience across the technology sector. He has more than 15 years of M&amp;A experience across the technology sector and has worked on over 40 transactions for clients in the UK and across Europe. Oliver joined Alantra from Arma Partners and prior to that, he was a member of the technology team at William Blair.</t>
  </si>
  <si>
    <t>oliver.parker@alantra.com</t>
  </si>
  <si>
    <t>115462-18P</t>
  </si>
  <si>
    <t>Olivier Guignon</t>
  </si>
  <si>
    <t>Olivier</t>
  </si>
  <si>
    <t>Guignon</t>
  </si>
  <si>
    <t>Mr. Olivier Guignon serves as Managing Partner at Alantra. Mr. Guignon started his career as a lawyer during 3 years and then spent 13 years in the Legal and Financial Affairs of Lazard, as Director, where he has been involved in several transactions involving listed companies (public takeovers, anti-takeover defenses). He then joined Oddo Corporate Finance in 2012 as a Partner in charge of stock-market engineering. Olivier Guignon is a leading presenting banker on the French market. He has filed 45 tender offers in France. Mr. Guignon holds degrees from ESCP, the Université Panthéon-Assas and the Barreau de Paris.</t>
  </si>
  <si>
    <t>olivier.guignon@alantra.com</t>
  </si>
  <si>
    <t>82976-32P</t>
  </si>
  <si>
    <t>Oriane Durvye</t>
  </si>
  <si>
    <t>Oriane</t>
  </si>
  <si>
    <t>Durvye</t>
  </si>
  <si>
    <t>Ms. Oriane Durvye serves as Managing Partner at Alantra. Previously Ms. Durvye served as Director at Fortlane Partners. She brings 18 years of experience in mid-cap M&amp;A. She joined Alantra in 2015 as a co-founder of the Paris office, which she contributed to grow from 3 to 50 finance professionals. Over her career, Oriane advised more than 70 transactions across many sectors and developed a strong specialization in tech, food and nutrition. She has an extensive experience of successfully supporting entrepreneurs, families, private equity firms and corporates in their sell-side and buy-side transactions. Prior to Alantra, Oriane worked for 9 years with goetzpartners. Oriane leads the Tech practice of the Paris office of Alantra and is part of the global tech team of Alantra. Aside from her deal responsibilities, Oriane is also in charge of human capital management for Alantra France. Oriane graduated from EM Lyon and the Stockholm School of Economics.</t>
  </si>
  <si>
    <t>oriane.durvye@alantra.com</t>
  </si>
  <si>
    <t>160897-24P</t>
  </si>
  <si>
    <t>Pablo Larrain</t>
  </si>
  <si>
    <t>Pablo</t>
  </si>
  <si>
    <t>Larrain</t>
  </si>
  <si>
    <t>Mr. Pablo Larrain serves as Partner at Alantra. Mr. Larrain is a Founding Partner of Landmark Capital (Chile). He was a principal at IB Partners for 10 years and prior to that he was the Development Director for Endesa in Brazil, where he was responsible for identifying growth opportunities, negotiating with potential partners, and conducting due diligence in the largest energy market in Latin America. He has led numerous successful transactions and negotiated with shareholders and executive management of regional investment funds and local economic groups. He holds a B.A. in Economics from Universidad de Chile and a Masters in Finance from the London Business School.</t>
  </si>
  <si>
    <t>pablo.larrain@alantra.com</t>
  </si>
  <si>
    <t>142209-64P</t>
  </si>
  <si>
    <t>Patricia Pascual-Ramsay</t>
  </si>
  <si>
    <t>Pascual-Ramsay</t>
  </si>
  <si>
    <t>Chief Executive Officer &amp; Partner</t>
  </si>
  <si>
    <t>Ms. Patricia Pascual-Ramsay serves as Partner &amp; CEO, Asset Management at Alantra. She started her career in M&amp;A working for JP Morgan in Paris and then at Goldman Sachs in London. She was Deputy Director in Corporate Development and Investors Relations at Telecinco (Mediaset Group) before joining N+1 in 2006. She is in charge of the corporate development of the group as well as holding responsibility for the international corporate finance business. She holds a Bachelor of Sciences in Business Administration from ICADE and a Master's in International Economics from the London School of Economics &amp; Political Sciences.</t>
  </si>
  <si>
    <t>patricia.pascual-ramsay@alantra.com</t>
  </si>
  <si>
    <t>Partner &amp; CEO , Asset Management</t>
  </si>
  <si>
    <t>295006-87P</t>
  </si>
  <si>
    <t>Patrick Porritt</t>
  </si>
  <si>
    <t>Porritt</t>
  </si>
  <si>
    <t>Mr. Patrick Porritt serves as Managing Director at Alantra. Mr. Porritt serves as Managing Director at Alantra Corporate Finance. He serves as Chief Business Officer &amp; Head of Corporate Finance at BIOS. He served as Board Member at Alqami. Additionally, he Porritt has over 28 years of experience in Global Capital Markets, having held senior positions at renowned institutions including UBS Investment Bank (serving as Global Head of Banks, Head of Asian Financial Institutions Group, Co-Head of EMEA Financial Institutions Group), Bank of America Merrill Lynch (as Head of APAC Financial Institutions Group), and Credit Suisse International (as Vice Chairman, EMEA Investment Banking and Capital Markets).
Additionally, he is an investor in, and serves as Board Member of, various early stage technology companies. Patrick has an MA in History from the University of Cambridge and is a qualified ACA.</t>
  </si>
  <si>
    <t>patrick.porritt@alantra.com</t>
  </si>
  <si>
    <t>112861-99P</t>
  </si>
  <si>
    <t>Patrizia Rossi</t>
  </si>
  <si>
    <t>Patrizia</t>
  </si>
  <si>
    <t>Rossi</t>
  </si>
  <si>
    <t>Ms. Patrizia Rossi serves as Managing Director at Alantra. Ms. Rossi serves as Board Member at Bolzoni. She was previously Head of Corporate Marketing at Intermonte for more than 17 years, combines a deep expertise in sales and advisory matured in more than 20 year working experience at leading Italian corporates and international institutions. She deals with more than 200 listed companies in all the markets and with Italian and international institutional investors and her knowledge and support is widely recognized. Patrizia has been an Independent Board Member of selected listed companies. She holds a degree in Political Sciences in Milan with a specialization in International Law.</t>
  </si>
  <si>
    <t>patrizia.rossi@alantra.com</t>
  </si>
  <si>
    <t>408517-03P</t>
  </si>
  <si>
    <t>Pedro Garnica</t>
  </si>
  <si>
    <t>Garnica</t>
  </si>
  <si>
    <t>Mr. Pedro Garnica serves as Managing Partner at Alantra. Mr. Garnica is one of the founding team members of the Equities' practice at Alantra, where he is currently Managing Partner. He has 18+ years' experience as a specialist sales person focusing on Iberian equities, with a focus on Spain &amp; UK based investios. Previous to Alantra, he worked in Credit Agricole Cheuvreux for 5 years.</t>
  </si>
  <si>
    <t>pedro_garnica@alantra.com</t>
  </si>
  <si>
    <t>30525-67P</t>
  </si>
  <si>
    <t>Philip Smith</t>
  </si>
  <si>
    <t>Philip</t>
  </si>
  <si>
    <t>Smith</t>
  </si>
  <si>
    <t>Mr. Philip Smith serves as Advisor at Alantra. Mr. Smith has a strong engineering and financial background that includes more than 30 years of experience in engineering, corporate finance, corporate recovery, and M&amp;A.</t>
  </si>
  <si>
    <t>104858-56P</t>
  </si>
  <si>
    <t>Philipp Krohn</t>
  </si>
  <si>
    <t>Philipp</t>
  </si>
  <si>
    <t>Krohn</t>
  </si>
  <si>
    <t>Mr. Philipp Krohn serves as Partner &amp; Chief Executive Officer of Investment Banking at Alantra. Mr. Krohn started his career as a strategy consultant with AT Kearney, where he worked on a diverse range of assignments across Europe. He joined Alantra in 2010 in the Private Equity team, where he spent two years analyzing and executing MBOs in Iberia. In 2012, he moved to the corporate development team, where he was responsible for the origination and execution of all corporate transactions. Since 2023, he has been leading Alantra's US business from New York. He holds a Bachelor of Sciences in Business Administration from ICADE and an Executive MBA from IESE Business School.</t>
  </si>
  <si>
    <t>philipp.krohn@alantra.com</t>
  </si>
  <si>
    <t>Partner &amp; Chief Executive Officer of Investment Banking</t>
  </si>
  <si>
    <t>358977-43P</t>
  </si>
  <si>
    <t>Pierre Nahon</t>
  </si>
  <si>
    <t>Pierre</t>
  </si>
  <si>
    <t>Nahon</t>
  </si>
  <si>
    <t>Head &amp; Managing Partner</t>
  </si>
  <si>
    <t>Mr. Pierre Nahon serves as Managing Partner &amp; Head of Debt Advisory at Alantra. Mr. Nahon has 18 years of experience in the financial industry, including 16 years in debt markets, Mr. Nahon provides sponsors, corporates, and real estate investors with tailor-made access to financing markets. He has completed over 65 debt deals for a cumulated value of €13bn in connection with all situations and financing instruments. Before joining Alantra in 2017, he spent 10 years within BNP Paribas' leveraged finance team in Paris. He holds a DESS in Structured Finance from Ecole des Ponts and a Maîtrise de Sciences de Gestion from Paris Nanterre University.</t>
  </si>
  <si>
    <t>pierrelouis.nahon@alantra.com</t>
  </si>
  <si>
    <t>Managing Partner &amp; Head of Debt Advisory</t>
  </si>
  <si>
    <t>381128-68P</t>
  </si>
  <si>
    <t>Pierre-Alain Rikkers</t>
  </si>
  <si>
    <t>Pierre-Alain</t>
  </si>
  <si>
    <t>Rikkers</t>
  </si>
  <si>
    <t>Mr. Pierre-Alain Rikkers serves as Managing Director at Alantra. Mr. Rikkers has more than 20 years of experience in investment banking with specific expertise in the financial technology sector, including payments, banking, data analytics and capital markets technology. Before he joined Alantra, he was a Senior Managing Director at Teneo. Prior to that role, he worked for Arma Partners, Moelis &amp; Company, and Bank of America Merrill Lynch. Pierre-Alain holds an MBA and an MA from the University of Pennsylvania, from the Wharton School and the Lauder Institute, respectively, and an LL.M. in business law from the Law School of Free University of Brussels.</t>
  </si>
  <si>
    <t>pierre-alain.rikkers@alantra.com</t>
  </si>
  <si>
    <t>351704-71P</t>
  </si>
  <si>
    <t>Renato Limuti</t>
  </si>
  <si>
    <t>Renato</t>
  </si>
  <si>
    <t>Limuti</t>
  </si>
  <si>
    <t>Mr. Renato Limuti serves as Managing Director at Alantra. Mr. Limuti has over 20 years of investment banking and capital markets experience. He leads the Financial Institutions Group in Milan and has advised clients as AMCO, Banco BPM, Deutsche Bank, Gardant Group, UniCredit on strategic portfolio and structured finance transactions. Prior to Alantra, he worked at EY as Associate Partner, responsible for coverage of prime international financial sponsors on Italian opportunities (private equity, credit and distressed funds). Previously he worked as Chief Investment Officer for an Italian institutional asset manager, and in the capital markets and financing division of Lehman Brothers and Société Générale in London, Commerzbank in Milan.</t>
  </si>
  <si>
    <t>+39 02 6367 1628</t>
  </si>
  <si>
    <t>renato.limuti@alantra.com</t>
  </si>
  <si>
    <t>67832-65P</t>
  </si>
  <si>
    <t>Renee Shaening</t>
  </si>
  <si>
    <t>Renee</t>
  </si>
  <si>
    <t>Shaening</t>
  </si>
  <si>
    <t>Ms. Renee Shaening serves as Partner at Alantra. Ms. Shaening served as Managing Director at MVP Capital. She is part of the Technology Group, which covers data centers, hosting, managed services, and the Internet of Things. During the RDX process, she worked closely with the company and developed a very keen understanding of the company's financials and business model. Her recent deals also include the recapitalization of VC3 by WestView Capital Partners, the sale of GPS North America and Reltima to SkyBitz, and the sale of FiberCloud to Green House Data. She is also active in the technology industry. She regularly attends industry conferences such as the 451 Group Hosting &amp; Cloud Transformation Summit, HostingCon, IMN Data Center &amp; Cloud Forum, AWS Reinvent, IoT Evolution, and IT Expo. Before joining MVP, she served as an Associate at Venturi &amp; Company, a middle-market investment banking firm providing advisory services for M&amp;A, divestitures, financial restructurings, private placements, strategic alliances, and other transactions. She also worked as a Financial Analyst at Kagan Research (now SNL Kagan), a research and consulting group focused on the media and communications sectors. She earned her B.S. in Civil/Environmental Engineering from Michigan State University and her M.B.A. with a finance emphasis from the Monterey Institute of International Studies.</t>
  </si>
  <si>
    <t>renee.shaening@alantra.com</t>
  </si>
  <si>
    <t>68927-68P</t>
  </si>
  <si>
    <t>Richard Benyahia</t>
  </si>
  <si>
    <t>Benyahia</t>
  </si>
  <si>
    <t>Mr. Richard Benyahia serves as Director at Alantra Asset Management. He serves as a Partner at Headpoint Advisors. His main responsibilities include advising on MBOs, fund raising, company acquisitions and disposals. He is a graduate in Accounting &amp; Finance from Durham University. he qualified as a chartered accountant with PwC where he spent four years within their audit division.</t>
  </si>
  <si>
    <t>+44 (0) 121 654 5023</t>
  </si>
  <si>
    <t>richard.benyahia@alantra.com</t>
  </si>
  <si>
    <t>408509-47P</t>
  </si>
  <si>
    <t>Richard Desgroppes</t>
  </si>
  <si>
    <t>Desgroppes</t>
  </si>
  <si>
    <t>Mr. Richard Desgroppes serves as Partner at Alantra. Mr. Desgroppes serves as Partner of Alantra France Corporate Finance, in charge of Real Estate &amp; Hospitality. He Richard has over 17 years of experience in M&amp;A and private equity transactions and has advised numerous companies and investment funds in many jurisdictions through complex cross border transactions. Before joining Alantra, Richard worked as Partner for Groupe Babylone Capital Markets, as General Counsel for Mazars Group and was previously operating at Colony Capital and Loyens Loeff New York. Richard holds a law degree from Université Jean Moulin Lyon 3, a master degree in business and finance from LSU and is licensed under Paris and New York bars.</t>
  </si>
  <si>
    <t>richard.desgroppes@alantra.com</t>
  </si>
  <si>
    <t>67801-24P</t>
  </si>
  <si>
    <t>Richard Holden</t>
  </si>
  <si>
    <t>Holden</t>
  </si>
  <si>
    <t>Mr. Richard Holden serves as Partner at Alantra. Mr. Holden serves as a Partner at Alantra Corporate Finance. Mr. Holden has over 15 years of corporate finance experience in M&amp;A and private equity in the UK and overseas. His main responsibilities include advising on MBOs, fundraising, company acquisitions, and disposals. He is a key member of our business services sector team, with a particular focus on the facilities management, professional services, and business process outsourcing markets. He has a focus on professional services and consulting, TIC businesses, HR services, and tech-enabled support services. He graduated in French and German from Cambridge University before qualifying as a chartered accountant at RSM Robson Rhodes and working in their London and Paris lead advisory team for eight years.</t>
  </si>
  <si>
    <t>+44 (0) 207 881 2965</t>
  </si>
  <si>
    <t>richard.holden@alantra.com</t>
  </si>
  <si>
    <t>185380-84P</t>
  </si>
  <si>
    <t>Richard Zhu</t>
  </si>
  <si>
    <t>Zhu</t>
  </si>
  <si>
    <t>Mr. Richard Zhu serves as Managing Director &amp; Head Of China at Alantra. Previously, Mr. Zhu served as Managing Director at Alantra Partners. He joined Alantra in 2018 and has over 12 years of experience in M&amp;A. Prior to Alantra, he was a managing director of Lincoln International. He also worked for Morgan Stanley and Bain consulting in China. He has advised a number of multinational and Chinese companies in acquisitions, divestitures, and joint venture transactions. Mr. Zhu holds an MBA degree from the Wharton School.</t>
  </si>
  <si>
    <t>+86 (0)21 6288 6218</t>
  </si>
  <si>
    <t>richard.zhu@alantra.com</t>
  </si>
  <si>
    <t>Shanghai</t>
  </si>
  <si>
    <t>Shanghai, China</t>
  </si>
  <si>
    <t>Room 2008, Tower 1, Kerry Center</t>
  </si>
  <si>
    <t>Number 1515 West Nanjing Road</t>
  </si>
  <si>
    <t>200040</t>
  </si>
  <si>
    <t>China</t>
  </si>
  <si>
    <t>Managing Director &amp; Head Of China</t>
  </si>
  <si>
    <t>262525-78P</t>
  </si>
  <si>
    <t>Robert Norvell</t>
  </si>
  <si>
    <t>Norvell</t>
  </si>
  <si>
    <t>Mr. Robert Norvell serves as Director, U.S. Consumer Food &amp; VMS team at Alantra. Mr. Norvell served as a Vice President at EdgePoint Capital. As Vice President, his focus is on identifying potential buyers/financing sources, financial modeling, facilitating due diligence, preparing to offer memoranda, and process management. Prior to joining the firm, Rob spent more than five years in the New York and London offices of Houlihan Lokey, a publicly traded middle-market investment bank. In this role, he was integral in supporting a variety of transactions, focusing primarily on cross-border private company acquisitions and corporate divestitures in the Consumer sector. Earlier in his career, Rob was a financial advisor at Wells Fargo Advisors. He was also a Staff Sergeant in the United States Army with more than twelve years of service, seven of which were on active duty. Rob earned a BS in Economics and an MS in Finance from Purdue University and is a CFA charter holder.</t>
  </si>
  <si>
    <t>norvellr@alantra.com</t>
  </si>
  <si>
    <t>Director, U.S. Consumer Food &amp; VMS team</t>
  </si>
  <si>
    <t>395769-16P</t>
  </si>
  <si>
    <t>Robert Pearce</t>
  </si>
  <si>
    <t>Pearce</t>
  </si>
  <si>
    <t>Mr. Robert Pearce serves as Director at Alantra. Mr. Pearce has over 15 years of M&amp;A experience. He is a key member of Alantra's Business Services team helping to deliver all types of deals, including company acquisitions and disposals, management buy-outs (MBOs), fundraisings and strategic reviews, acting for private business owners, management teams, corporates, and private equity. He focuses on built environment, TICC, and consulting sectors. He is instrumental in the production of the CIWM &amp; Alantra Waste Fast 50 and the Grocer Food &amp; Drink Fast 50. During his Accounting and Finance degree at Nottingham Business School, he undertook a placement year at Catalyst working as a junior analyst within the research department. On graduation, he spent a year working within his family business. Robert has supported the delivery of a number of transactions including the £163m acquisition of Concept Life Sciences by Spectris plc; the management buy-out of YSC (2017), five acquisitions for Spain's SAICA, the most recent being the acquisition of Americk Packaging; the sales of CP Electronics and Texon; working with the shareholders of Powwownow on its sale to US-based PGi; and supporting Daelmans on the identification and acquisition of Fabulous Bakin' Boys.</t>
  </si>
  <si>
    <t>robert.pearce@alantra.com</t>
  </si>
  <si>
    <t>68934-16P</t>
  </si>
  <si>
    <t>Robert Young</t>
  </si>
  <si>
    <t>Young</t>
  </si>
  <si>
    <t>Mr. Robert Young serves as Director at Alantra. Mr. Young serves as Director, Mergers &amp; Acquisitions at Alantra Corporate Finance. Mr. Young is involved in delivering a wide range of transactions including company acquisitions and disposals, MBOs, and fundraisings, acting for private equity clients, corporates, management teams, and private business owners. He is a member of our Business Services sector team and has worked with several companies in the sector such as Foster + Partners, the world-renowned architectural design practice. Before joining Catalyst in 2014, Mr. Young worked for four and a half years at KPMG in audit and corporate finance where he advised on several buys and sell-side transactions.</t>
  </si>
  <si>
    <t>robert.young@alantra.com</t>
  </si>
  <si>
    <t>160896-79P</t>
  </si>
  <si>
    <t>Roberto Leon</t>
  </si>
  <si>
    <t>Roberto</t>
  </si>
  <si>
    <t>Leon</t>
  </si>
  <si>
    <t>Mr. Roberto Leon serves as a Managing Partner at Alantra Asset Management. Mr. León holds a degree in Business Administration and Law (ICADE). He has been Corporate Finance analyst in AB Asesores and Morgan Stanley Dean Witter (1999-2000).</t>
  </si>
  <si>
    <t>rleon@alantra.com</t>
  </si>
  <si>
    <t>408508-03P</t>
  </si>
  <si>
    <t>Roberto Marantidis</t>
  </si>
  <si>
    <t>Marantidis</t>
  </si>
  <si>
    <t>Mr. Roberto Marantidis serves as Managing Director at Alantra. Mr. Marantidis serves as Managing Director at Alantra Corporate Finance. He has more than fifteen years of experience in finance, focusing on the origination and execution of M&amp;A, Equity Capital Markets, and Debt Capital Markets transactions for financial institutions in the Eurozone and the UK. Before joining Alantra, he worked for AXIA Ventures Group as the Head of FIG and UBS as a Director in the EMEA FIG Investment Banking team. Roberto has advised both sell-side and buy-side clients across a wide range of transactions involving financial institutions, including majority and minority acquisitions and disposals, mergers (public and private), growth equity (for Fintech and challenger banks) and distress equity capital raisings (both listed and private) and multiple transactions involving the deployment of Government capital to support banking systems. Roberto holds an MSc degree in Economic and Social Sciences from Bocconi University and a BSc in Government and Economics from London School of Economics. Roberto has also completed the Oxford Fintech Programme at Oxford Saïd Business School.</t>
  </si>
  <si>
    <t>roberto.marantidis@alantra.com</t>
  </si>
  <si>
    <t>408506-59P</t>
  </si>
  <si>
    <t>Robin Michaels</t>
  </si>
  <si>
    <t>Robin</t>
  </si>
  <si>
    <t>Michaels</t>
  </si>
  <si>
    <t>Mr. Robin Michaels serves as Managing Director at Alantra. Mr. Michaels serves as Managing Director at Alantra Corporate Finance. He began he career working in the Securitised Products Group at Morgan Stanley and also worked in securitisation teams at HSBC and UBS. From 2009 he worked at AgFe where, inter alia, he advised on the resolution of securitisation transactions held by the Bundesbank following the default of Lehman. Robin's experience included structuring numerous transaction types including RMBS, Equity Release, CMBS and balance-sheet CLOs. Since joining his focus has been on the structuring of NPL and RPL securitisation transactions.</t>
  </si>
  <si>
    <t>robin.michaels@alantra.com</t>
  </si>
  <si>
    <t>39378-25P</t>
  </si>
  <si>
    <t>Rusty Ray</t>
  </si>
  <si>
    <t>Rusty</t>
  </si>
  <si>
    <t>Ray</t>
  </si>
  <si>
    <t>Mr. Rusty Ray serves as Managing Partner &amp; Head, US Healthcare Practice at Alantra. Mr. Ray served as Director at Apricus Biosciences. He has over 15 years of M&amp;A experience and is focused exclusively on healthcare investment banking. His client list ranges from large pharmaceuticals to early-stage drug development companies, as well as many service companies. Prior to joining Alantra, Rusty was a managing director at Crosstree Capital Partners, a health science investment bank, a deputy director at a Washington D.C.-based think tank, and he worked with the Meningitis Research Foundation in London. He was also a member of the Board of Directors for Apricus Bio (NASDAQ: APRI). Rusty holds an MBA from Fordham University and received a BS in Biology from Wake Forest University.</t>
  </si>
  <si>
    <t>rusty.ray@alantra.com</t>
  </si>
  <si>
    <t>Managing Partner &amp; Head, US Healthcare Practice</t>
  </si>
  <si>
    <t>35659-45P</t>
  </si>
  <si>
    <t>Saad Ashraf</t>
  </si>
  <si>
    <t>Saad</t>
  </si>
  <si>
    <t>Ashraf</t>
  </si>
  <si>
    <t>Mr. Saad Ashraf serves as Managing Partner at Alantra. Mr. Ashraf served as Principal &amp; Managing Director at StormHarbour. He has been covering the Middle East region for the past 24 years in various leadership and producer roles in investment banking and corporate finance, debt capital markets, fixed income sales and trading, asset management and Islamic finance. Saad is a well-known banker in the region, and prior to joining Alantra, he was a Principal and Managing Director at StormHarbour where was the Head of the Middle East business for more than 5-years and mainly focused on M&amp;A advisory, restructurings and structured finance transactions across various sectors. Prior to that Saad spent collectively 19-years in various roles, both buy-side and sell-side, at Napier Park Capital, Goldman Sachs, Merrill Lynch and Citigroup. His expertise includes more than 65 M&amp;A, restructuring deals, and debt capital markets transactions valued at more than $10bn. These include complex credit transactions in both conventional and Islamic finance in the Middle East with a specific focus on Maritime &amp; Offshore, Financial Institutions, Real Estate and Healthcare. In addition, Saad has C-suite solid relationships in the corporate, FIG, private equity and SWF sectors within the region. Mr Ashraf holds a Masters degree in Engineering Management from Cornell University and a Bachelor of Science degree in Civil Engineering from Purdue University.</t>
  </si>
  <si>
    <t>saad.ashraf@alantra.com</t>
  </si>
  <si>
    <t>52986-70P</t>
  </si>
  <si>
    <t>Santiago Eguidazu</t>
  </si>
  <si>
    <t>Eguidazu</t>
  </si>
  <si>
    <t>Executive &amp; Founding Partner</t>
  </si>
  <si>
    <t>Mr. Santiago Eguidazu serves as Founding Partner &amp; Executive Chairman at Alantra. Mr. Eguidazu holds a degree in Economics and Business Administration, a Master's in Philosophy and he is a State Economist. He began his career in Public Administration, where he was Chief of Staff of Economic Policy of the Ministry of the Economy and Trade as Deputy Director General of the Institute of Foreign Trade and General Technical Secretary of the Spanish Ministry of Industry and Energy.</t>
  </si>
  <si>
    <t>santiago.eguidazu@alantra.com</t>
  </si>
  <si>
    <t>Founding Partner &amp; Executive Chairman</t>
  </si>
  <si>
    <t>414058-06P</t>
  </si>
  <si>
    <t>Sarah Shephard-Smith</t>
  </si>
  <si>
    <t>Shephard-Smith</t>
  </si>
  <si>
    <t>Ms. Sarah Shephard-Smith serves as Chief Financial Officer &amp; Chief Operating Officer of Alantra Investment Banking at Alantra. Ms. Shephard-Smith serves as Chief Financial Officer &amp; Chief Operating Officer at Alantra Corporate Finance. She initially joined Alantra in 2019 as the UK financial controller. Previously, Sarah was an Executive Director in Controllers at Goldman Sachs, having joined them as a graduate in 2009. She is a member of the Institute of Chartered Accountants in England and Wales (ICAEW) and has a 1st class Bsc in Mathematics from Durham University.</t>
  </si>
  <si>
    <t>sarah.shephard-smith@alantra.com</t>
  </si>
  <si>
    <t>Chief Financial Officer &amp; Chief Operating Officer of Alantra Investment Banking</t>
  </si>
  <si>
    <t>104860-27P</t>
  </si>
  <si>
    <t>Sergio Jeronimo</t>
  </si>
  <si>
    <t>Sergio</t>
  </si>
  <si>
    <t>Jeronimo</t>
  </si>
  <si>
    <t>Mr. Sergio Jeronimo serves as Managing Director, Investor Relations at Alantra. Mr. Jeronimo has built his career in the financial sector over the past 24 years. He joined Alantra in April 2005 as part of the Wealth Management team and, in 2009, transitioned to the Group's Financial Department, where he took on responsibilities in Fund Administration and Investor Relations for closed-ended funds. Over the last five years, he has focused on enhancing and professionalizing the Investor Relations team, strengthening its capabilities to support the growth and expansion of Alantra Asset Management. Sergio holds degrees from Universidad Complutense de Madrid and IE Business School (Madrid, Spain).</t>
  </si>
  <si>
    <t>sergio.jeronimo@alantra.com</t>
  </si>
  <si>
    <t>Managing Director, Investor Relations</t>
  </si>
  <si>
    <t>55721-08P</t>
  </si>
  <si>
    <t>Stefano Bellavita</t>
  </si>
  <si>
    <t>Stefano</t>
  </si>
  <si>
    <t>Bellavita</t>
  </si>
  <si>
    <t>Executive &amp; Managing Partner</t>
  </si>
  <si>
    <t>Mr. Stefano Bellavita serves as Executive Chairman &amp; Managing Partner at Alantra. Mr. Bellavita served as Executive Vice President &amp; Managing Partner at Alantra Partners. After three years in the consulting department of Arthur Andersen, in 1992 He joined Schroders and spent three years in London, first in the Investment Banking and then in the Equity Capital Markets department. He then moved to Citi in 2000 and to J.P. Morgan in 2005 where he took charge of the Equity Capital Markets team. He has worked on numerous transactions including capital increases and equity placements and has followed more than 30 IPOs on the Italian equity market. Hhe joined Eidos Partners srl in 2006 and has set up and developed, amongst other things, the IPO advisory practice. She has a degree in Economics from the University of L. Bocconi in Milan.</t>
  </si>
  <si>
    <t>+39 02 8597 9237</t>
  </si>
  <si>
    <t>stefano.bellavita@alantra.com</t>
  </si>
  <si>
    <t>+39 02 8597 9222</t>
  </si>
  <si>
    <t>Executive Chairman &amp; Managing Partner</t>
  </si>
  <si>
    <t>30121-93P</t>
  </si>
  <si>
    <t>Wade Aust</t>
  </si>
  <si>
    <t>Wade</t>
  </si>
  <si>
    <t>Aust</t>
  </si>
  <si>
    <t>Mr. R. Wade Aust serves as Managing Partner and Chairman US at Alantra. Mr. Aust served as Managing Director at C.W. Downer &amp; Co. He has worked in the international corporate development field since 1994. Promoted to Partner in 2000, he has been instrumental in increasing the average transaction size at C.W. Downer &amp; Co. Mr. Aust pioneered the development of the firm's "pre-marketing" divestiture process based upon his in-depth knowledge and experience with European sell-side transactions. This process minimizes the client's time market and enables the seller to proactively select buyers based on market data. In addition, Mr. Aust is responsible for leading C.W. Downer &amp; Co.'s Aerospace and Automotive practice groups and travels extensively between the US, Continental Europe, and the UK. He received his bachelor's degree in Finance and Mathematics from Salve Regina University in 1991. Mr. Aust is a Certified Financial Analyst (CFA) and has a working knowledge of the German language.</t>
  </si>
  <si>
    <t>wade.aust@alantra.com</t>
  </si>
  <si>
    <t>+1 (617) 482-6201</t>
  </si>
  <si>
    <t>Managing Partner and Chairman US</t>
  </si>
  <si>
    <t>119861-11P</t>
  </si>
  <si>
    <t>Xavier Tobena</t>
  </si>
  <si>
    <t>Xavier</t>
  </si>
  <si>
    <t>Tobena</t>
  </si>
  <si>
    <t>Executive &amp; Partner</t>
  </si>
  <si>
    <t>Mr. Xavier Tobena serves as Secretary General and Global General Counsel &amp; Partner at Alantra. Mr. Tobena served as General &amp; Board Secretary and Legal Counsel at Promotora de Informaciones. He served as Board Member &amp; Secretary General at Prisa. He Pujol holds a B.A. and a Masters in Law from ESADE was a visiting student at the Faculty of Law at the University of Minnesota and completed the Program for Leadership Development (PLD) at IESE. He began his career at Cuatrecasas and served as a secondee in the London office of Herbert Smith. Subsequently, in January 2007, he joined Latham &amp; Watkins as the first partner of the U.S. firm, when it opened its office in Spain. He later worked at the London office. In January 2013 he was appointed counsel at Latham &amp; Watkins and in September of the same year, he was appointed Chief Counsel of PRISA RADIO and PRISA NOTICIAS. Since October 2014 he has been deputy secretary-general of the corporate center, a post he holds simultaneously with that of secretary of the Board of Prisa RADIO and that of corporate General Counsel overseeing the Press and Radio business units. As a lawyer, he has advised on a broad range of corporate transactions in sectors such as energy, finance, telecommunications, infrastructure, and new technologies. He also has extensive experience in corporate, corporate governance, and financial restructuring.</t>
  </si>
  <si>
    <t>x-tobena@nplusone.com</t>
  </si>
  <si>
    <t>Secretary General and Global General Counsel &amp; Partner</t>
  </si>
  <si>
    <t>158489-83P</t>
  </si>
  <si>
    <t>Yago Sanchez-Reig</t>
  </si>
  <si>
    <t>Yago</t>
  </si>
  <si>
    <t>Sanchez-Reig</t>
  </si>
  <si>
    <t>Mr. Yago Sanchez-Reig serves as Global Head of Communication, Marketing and Investor Relations at Alantra. Mr. Sanchez-Reig has over 12 years of experience developing and executing impactful communication and marketing strategies in the financial industry across Europe and the US. He joined Alantra in 2014 and was the first hire of the Communication and marketing practice and has led the development of the practice globally. Before that, he worked at a financial communications agency, Estudio de Comunicacion, and in the Corporate Communication department of BBVA, one of the largest financial institutions in Europe. He also worked for several financial media outlets earlier in his career. He holds a Bachelor's in Journalism and a postgraduate program in Corporate Communication from George Washington University and the University of Navarra. He also has an Executive MBA from IESE Business School.</t>
  </si>
  <si>
    <t>yago.sanchez@alantra.com</t>
  </si>
  <si>
    <t>Global Head of Communication, Marketing and Investor Relations</t>
  </si>
  <si>
    <t>408517-39P</t>
  </si>
  <si>
    <t>Yonel Marelli</t>
  </si>
  <si>
    <t>Yonel</t>
  </si>
  <si>
    <t>Marelli</t>
  </si>
  <si>
    <t>Mr. Yonel Marelli serves as Partner at Alantra. Mr. Marelli has 20 years of experience in Real Estate Asset Management and Investment and has advised on more than 80 deals across various sectors such as Office, Retail, Residential, Logistics and Hospitality, over corporate and asset real estate transactions. Before joining Alantra, Yonel worked as Partner for Groupe Babylone Capital Markets, as Partner of Knight Frank Capital Markets and was previously asset manager for Generali Real Estate. Yonel is graduated from Ecole des Ponts ParisTech and holds a MSG Finance and a DESS in Real Estate Strategy from Paris 1 Panthéon Sorbonne University.</t>
  </si>
  <si>
    <t>yonel.marelli@alantra.com</t>
  </si>
  <si>
    <t>398187-73P</t>
  </si>
  <si>
    <t>Annika Lauer</t>
  </si>
  <si>
    <t>Annika</t>
  </si>
  <si>
    <t>Lauer</t>
  </si>
  <si>
    <t>Alchemist Accelerator</t>
  </si>
  <si>
    <t>Ms. Annika Lauer serves as Director of Operations at Alchemist Accelerator. Ms. Lauer is a results-driven Operations Director with exceptional analytical skills, a keen eye for detail, and a strategic mindset, thriving in optimizing organizational operations for maximum efficiency and success.</t>
  </si>
  <si>
    <t>annika@alchemistaccelerator.com</t>
  </si>
  <si>
    <t>660 4th Street</t>
  </si>
  <si>
    <t>94017</t>
  </si>
  <si>
    <t>Director of Operations</t>
  </si>
  <si>
    <t>100709-11P</t>
  </si>
  <si>
    <t>Anup Mehta</t>
  </si>
  <si>
    <t>Mehta</t>
  </si>
  <si>
    <t>Mr. Anup Mehta is a Co-Founder and serves as Chief Executive Officer at DeepEdge. Mr. Mehta serves as Mentor at Alchemist Accelerator. He was a Co-Founder of Clarice Technologies and served as its President and Head of Business Development. He is a serial entrepreneur with two successful exits. Anup incubated Clarice Technologies with two other co-founders, built and scaled the company, and had a successful exit in 2015 when Globant (NYSE: GLOB) acquired Clarice. Prior to Clarice, Anup was part of the founding team at Mindtree US, which went IPO in 2007. Anup held leadership roles at Mindtree and Wipro, driving business in the US, Europe and APAC regions. Anup has been an active mentor at Alchemist Accelerator. He is on the board of Pure2Water, a non-profit organization, and is an advisor to many product start-ups in the bay area. In 2018, Anup incubated DeepEdge along with Ravindra Adapa. Anup and Ravindra worked together at one of his earlier ventures.</t>
  </si>
  <si>
    <t>+1 (408) 218-7100</t>
  </si>
  <si>
    <t>anup@deepedge.ai</t>
  </si>
  <si>
    <t>Pleasanton</t>
  </si>
  <si>
    <t>Pleasanton, CA</t>
  </si>
  <si>
    <t>6701 Koll Center Parkway</t>
  </si>
  <si>
    <t>Suite 250</t>
  </si>
  <si>
    <t>94566</t>
  </si>
  <si>
    <t>DeepEdge</t>
  </si>
  <si>
    <t>240713-11P</t>
  </si>
  <si>
    <t>Arun Shekar</t>
  </si>
  <si>
    <t>Arun</t>
  </si>
  <si>
    <t>Shekar</t>
  </si>
  <si>
    <t>Advisor &amp; Executive</t>
  </si>
  <si>
    <t>Mr. Arun Shekar is a Founder and serves as CEO of Redwood Growth Partners. Mr. Shekar serves as an Advisor &amp; Mentor at Alchemist Accelerator. He has extensive experience with consulting, sales, business development, and growth across multiple businesses. His most recent role has involved strategy and product management in an e-commerce logistics firm where he helped grow a business unit with $100 Million in revenues through organic and inorganic growth initiatives. This has involved creating pricing strategies, avenues for product partnerships, and strategies to create a corporate venture fund. Before this, he was a serial entrepreneur and a management consultant. He had founded 2 companies - a retail data analytic startup, and a consulting firm for early-stage companies. He is currently an advisor for multiple technology startups in the San Francisco Bay Area. He holds an MBA from the University of California Berkeley, Haas School of Business with a focus on entrepreneurship and a master's in Computer Science from the University of North Carolina, Charlotte.</t>
  </si>
  <si>
    <t>+1 (415) 508-7499</t>
  </si>
  <si>
    <t>arun@redwoodgrowthpartners.com</t>
  </si>
  <si>
    <t>94709</t>
  </si>
  <si>
    <t>Founder &amp; CEO</t>
  </si>
  <si>
    <t>Redwood Growth Partners</t>
  </si>
  <si>
    <t>88229-17P</t>
  </si>
  <si>
    <t>Brayton Johnson</t>
  </si>
  <si>
    <t>Brayton</t>
  </si>
  <si>
    <t>Mr. Brayton Johnson serves as COO &amp; Head of Revenue at Eqvista. He serves as Chief Strategy Officer at LeadSecure. He serves as Principal at Brason Consulting. He also serves as Advisor at Alchemist Accelerator. He Co-Founded &amp; served as Chief Operating Officer at Graphiq. He served as an EVP - Business Development, Operations &amp; Finance; Lead Investor at Distroscale. As a serial entrepreneur and early pioneer in the tech space, He has founded and led several Web, tech, and digital advertising firms. He launched his career in corporate and investment banking, ultimately leaving JPMorgan Chase to embark on a career in tech with a focus on strategic planning, operations, finance and revenue stream development.</t>
  </si>
  <si>
    <t>+1 (702) 751-6738</t>
  </si>
  <si>
    <t>brayton@eqvista.com</t>
  </si>
  <si>
    <t>14A, Spear Street</t>
  </si>
  <si>
    <t>Suite 280</t>
  </si>
  <si>
    <t>94105</t>
  </si>
  <si>
    <t>COO &amp; Head of Revenue</t>
  </si>
  <si>
    <t>Eqvista</t>
  </si>
  <si>
    <t>240923-17P</t>
  </si>
  <si>
    <t>Dina Karakash</t>
  </si>
  <si>
    <t>Dina</t>
  </si>
  <si>
    <t>Karakash</t>
  </si>
  <si>
    <t>Ms. Dina Karakash served as Managing Partner at INIT VC. She serves as a Venture Partner at GuruDev Capital. She served as Global Asset Manager at the Internet Initiatives Development Fund. She serves as a Mentor at Alchemist Accelerator &amp; SuperCharger Ventures.</t>
  </si>
  <si>
    <t>datadriven@gurudev.capital</t>
  </si>
  <si>
    <t>GuruDev Capital</t>
  </si>
  <si>
    <t>125114-68P</t>
  </si>
  <si>
    <t>Doug Biehn</t>
  </si>
  <si>
    <t>Doug</t>
  </si>
  <si>
    <t>Biehn</t>
  </si>
  <si>
    <t>Mr. Doug Biehn serves as Chief Executive Officer, Board Member &amp; President at Octave. He serves as Chief Commercial Officer at Cala Health. He is an accomplished leader with over 20 years of healthcare experience building and scaling growth businesses, leading and inspiring world class teams and establishing innovative new standards of care. Prior to joining Octave, Doug held executive leadership roles in such category creating and industry leading companies as iRhythm Technologies, McKesson, AliveCor, Blue Shield of California and most recently, Cala Health. Additionally, he is a Board Advisor for a number of early-stage digital health companies and mentors graduate students in the Stanford Business School Lean Launchpad program. He holds an MBA from the University of San Francisco and a BS from San Francisco State University. He served as an Advisor at AltComm.</t>
  </si>
  <si>
    <t>+1 (650) 459-0942</t>
  </si>
  <si>
    <t>dbiehn@octavebio.com</t>
  </si>
  <si>
    <t>1440 O'Brien Drive</t>
  </si>
  <si>
    <t>Suite B</t>
  </si>
  <si>
    <t>Chief Executive Officer, Board Member &amp; President</t>
  </si>
  <si>
    <t>Octave (Decision/Risk Analysis)</t>
  </si>
  <si>
    <t>46862-92P</t>
  </si>
  <si>
    <t>Eshwar Belani</t>
  </si>
  <si>
    <t>Eshwar</t>
  </si>
  <si>
    <t>Belani</t>
  </si>
  <si>
    <t>Mr. Eshwar Belani serves as a Partner at SymphonyAI. He assumes interim operating roles across SymphonyAI's portfolio to accelerate company business goals and enhance customer and shareholder value. Before SymphonyAI, he led products and alliances for Rubrik, where he launched a suite of products that grew the company to an annual run rate of $100 million after only six quarters. Previously, he was the vice president of strategy at Rocket Fuel (NASDAQ: FUEL), responsible for shaping strategic direction and driving ancillary revenue through new business initiatives. Before that, he was Rocket Fuel's vice president of products and business development, responsible for brand and direct response products and data and measurement partnerships. Previously, he was the founder and CEO of Sensact Applications, an IoT company focused on solutions for smart physical environments; drove product strategy for Epiphany's (now Infor) marketing and analytics products, including Epiphany's flagship CRM marketing and analytics platforms; co-founder and CTO of iLeverage (acquired by Epiphany in 2000), an advertising and collaborative selling solutions company and a software development engineer in Oracle's Application Server Group. He serves as an advisor at Singularity University and Alchemist Accelerator and is a charter member of TiE Silicon Valley. He holds an MS in computer science from U.C. Berkeley, Management of Technology from U.C. Berkeley, and a B.Tech in computer science from the Indian Institute of Technology (IIT), Madras. He has authored several academic publications and holds six patents.</t>
  </si>
  <si>
    <t>+1 (415) 527-0158</t>
  </si>
  <si>
    <t>Stanford</t>
  </si>
  <si>
    <t>Stanford, CA</t>
  </si>
  <si>
    <t>PO Box 20233</t>
  </si>
  <si>
    <t>94309</t>
  </si>
  <si>
    <t>Advisor &amp; Mentor</t>
  </si>
  <si>
    <t>351765-64P</t>
  </si>
  <si>
    <t>Ian Bergman</t>
  </si>
  <si>
    <t>Ian</t>
  </si>
  <si>
    <t>Bergman</t>
  </si>
  <si>
    <t>Managing Director &amp; Partner</t>
  </si>
  <si>
    <t>Mr. Ian Bergman serves as a Partner &amp; Managing Director of AlchemistX at Alchemist Accelerator.</t>
  </si>
  <si>
    <t>ian@alchemistaccelerator.com</t>
  </si>
  <si>
    <t>Partner &amp; Managing Director of AlchemistX</t>
  </si>
  <si>
    <t>181984-69P</t>
  </si>
  <si>
    <t>Jason Fang</t>
  </si>
  <si>
    <t>Jason</t>
  </si>
  <si>
    <t>Fang</t>
  </si>
  <si>
    <t>Mr. Jason Fang is the Founder &amp; serves as Managing Partner at Sora Ventures. He serves as Co-Founder &amp; Managing Partner and chairman at Sora Ventures. He is a Co-Founder &amp; serves as Managing Partner at Sora Ventures. He founded Corra Finance. Since founding the firm in 2018, he has led key initiatives to drive Bitcoin adoption in Asia, including the creation of corporate Bitcoin treasury strategies with Metaplanet in Japan and 1723.HK in Hong Kong. He also hosted Sora Summit, a Web3 conference that attracted more than 100 speakers and over 1,000 delegates in both 2018 and 2023. Prior to founding Sora Ventures, he managed U.S. investments at Fenbushi Capital from 2015 to 2017.</t>
  </si>
  <si>
    <t>jason@sora.vc</t>
  </si>
  <si>
    <t>Taipei</t>
  </si>
  <si>
    <t>Taipei, Taiwan</t>
  </si>
  <si>
    <t>Taipei 101</t>
  </si>
  <si>
    <t>Number.7, Section 5, Xinyi Road</t>
  </si>
  <si>
    <t>110</t>
  </si>
  <si>
    <t>Taiwan</t>
  </si>
  <si>
    <t>Sora Ventures</t>
  </si>
  <si>
    <t>348260-23P</t>
  </si>
  <si>
    <t>Justin Padinske</t>
  </si>
  <si>
    <t>Padinske</t>
  </si>
  <si>
    <t>Mr. Justin Padinske serves as Head of Partnerships at Alchemist Accelerator.</t>
  </si>
  <si>
    <t>+1 (484) 577-3693</t>
  </si>
  <si>
    <t>justin@alchemistaccelerator.com</t>
  </si>
  <si>
    <t>36721-54P</t>
  </si>
  <si>
    <t>Kris Duggan</t>
  </si>
  <si>
    <t>Kris</t>
  </si>
  <si>
    <t>Duggan</t>
  </si>
  <si>
    <t>Mr. Kris Duggan serves as Advisory Chair at Alchemist Accelerator. He served as Strategic Advisor at Boyd Street Ventures. He served as Board Member at Flowhub. He co-founded and served as Chief Executive Officer at BetterWorks. He was also a Co-Founder and served as Chief Strategy Officer and Board Member at Badgeville. Mr. Duggan is a serial entrepreneur with a passion for building innovative, fast-growing SaaS companies with thousands of delighted customers. He is dedicated to helping brands on the web increase user engagement by leveraging proven techniques in social gaming and loyalty. A sought-after speaker on gamification, analytics and user engagement, Mr. Duggan is a thought leader of innovative ways to incorporate game mechanics and social loyalty programs into web and mobile experiences. Prior to founding Badgeville, Duggan worked in leadership roles at a variety of successful companies, including WebEx, and across a wide variety of verticals. Today, Badgeville has grown to almost 100 employees, with $40M raised, and is scaling to hundreds of customers around the world. He also serves as Advisor at Alchemist Accelerator.</t>
  </si>
  <si>
    <t>Advisory Chair</t>
  </si>
  <si>
    <t>89851-42P</t>
  </si>
  <si>
    <t>Matt Pru</t>
  </si>
  <si>
    <t>Matt</t>
  </si>
  <si>
    <t>Pru</t>
  </si>
  <si>
    <t>Mr. Matt Pru is a Co-Founder and serves as Managing Partner at Stackmatix. Mr. Pru serves as Mentor at Alchemist Accelerator. He is an angel investor. He served as Director of Sales at MightyHive. He started Stackmatix after participating in the growth and acquisition of two startups, TalentBin and MightyHive. Pru actively advises, consults, and invests in high-potential companies.</t>
  </si>
  <si>
    <t>+1 (415) 993-9077</t>
  </si>
  <si>
    <t>matt@stackmatix.com</t>
  </si>
  <si>
    <t>55 Divisadero Street</t>
  </si>
  <si>
    <t>94117</t>
  </si>
  <si>
    <t>Stackmatix</t>
  </si>
  <si>
    <t>35907-85P</t>
  </si>
  <si>
    <t>Ravi Belani</t>
  </si>
  <si>
    <t>Ravi</t>
  </si>
  <si>
    <t>Mr. Ravi Belani is a Co-Founder and serves as Chief Executive Officer at Alchemist Accelerator. He serves as an Advisor at Metadata. He serves as an Advisor at MightyHive. He serves as Board Member &amp; Advisor at NFTpay. He serves as an Investor &amp; Advisor at Simularge. He serves as an Advisor at Fuse Inventory. He serves as Advisor at Cobalt (Network Management Software). He serves as a Board Member at Blitzz. He serves as a Board Observer at CodeLock. He serves as an Advisor at Nebuly. He serves as an Advisor at Switch Automation. He served as a Board Member at ProtectedBy.AI. He served as an Advisor and Board Member at RageOn. He served as an Advisor at Qbox. Previously, he served as Advisor at Skyline. He served as a Board Member at DesiHits. He served as an Advisor at Stellic. He served as a Board Member at LiveChek. He served as Executive officer at Belani Capital. He is Fenwick &amp; West Lecturer of Entrepreneurship at Stanford University. He formerly spent six years as part of the investment team at Draper Fisher Jurvetson's Menlo Park global headquarters, where he led investments and served on the boards as the first institutional investor in companies such as Vizu, Yield Software (acq'd by Autonomy), Justin.TV/Socialcam, Pubmatic, and Komli. He formerly worked in product management at two Kleiner Perkins enterprise startups and as a consultant in McKinsey and Company's San Francisco office. He is a Phi Beta Kappa and Tau Beta Pi graduate of Stanford University, holding a BS with Distinction and an MS in Industrial Engineering. He also holds an MBA from Harvard Business School.</t>
  </si>
  <si>
    <t>ravi@alchemistaccelerator.com</t>
  </si>
  <si>
    <t>64201-24P</t>
  </si>
  <si>
    <t>Stu Schmidt</t>
  </si>
  <si>
    <t>Stu</t>
  </si>
  <si>
    <t>Schmidt</t>
  </si>
  <si>
    <t>Mr. Stu Schmidt serves as a Faculty Mentor at Alchemist Accelerator. He served as Chief Revenue Officer at Leadspace. He also served as the Vice President of sales at GoFundMe. He served as the President of Zend Technologies. He combines a proven track record of success with broad executive and cross-functional experience. He brings recognized thought leadership to sales management, sales processes, and sales business intelligence in concert with deep operating experience and P&amp;L responsibility. He is largely credited with putting the sales process in place at WebEx that resulted in their meteoric growth, IPO, and subsequent purchase by Cisco. His inspirational leadership gifts and communication ability consistently foster an environment of commitment, passion, and motivation.</t>
  </si>
  <si>
    <t>Faculty Mentor</t>
  </si>
  <si>
    <t>13531-60P</t>
  </si>
  <si>
    <t>Vinod Khosla</t>
  </si>
  <si>
    <t>Vinod</t>
  </si>
  <si>
    <t>Khosla</t>
  </si>
  <si>
    <t>Mr. Vinod Khosla is the Founder and serves as Managing Director at Khosla Ventures. He serves as a Board Member at Elipsis Health. He is the Founder of Asera. He serves as an Advisor at Academia. He served as Advsior at DevRev. He served as an Advisor at Deep Genomics. He serves as a Board Member and Advisor at Vicarious. He serves as a Board Member at Opentrons. He also serves as an Investor at Breakthrough Energy. He served as a Board Member at Ghost Autonomy. He serves as an Advisor and Board Member of Berkshire Grey. He serves as a Board Member at AliveCor. He serves as a Board Member at Glydways, Q Bio, and WorkWhile. He served as an Advisor at WaveOne. He is a Board Member and advisor at Nova Labs. He served as a Board Member at Learning Health. He also co-founded Khosla Impact. He previously served as a Board Member and an Advisor at Post Intelligence. He was one of the three founders of Daisy Systems, which was the first significant computer-aided design system for electrical engineers. He is also a founding board member of the Indian School of Business. He holds a Bachelor of Technology degree in electrical engineering from the Indian Institute of Technology (IIT) in New Delhi, India, a master's degree in biomedical engineering from Carnegie Mellon University, and an MBA from the Stanford University Graduate School of Business. He Co-Founded Sun Microsystems. He serves as Chief Mentor at Khosla Labs.</t>
  </si>
  <si>
    <t>+1 (650) 376-8500</t>
  </si>
  <si>
    <t>vk@khoslaventures.com</t>
  </si>
  <si>
    <t>2128 Sand Hill Road</t>
  </si>
  <si>
    <t>+1 (650) 926-9590</t>
  </si>
  <si>
    <t>Khosla Ventures</t>
  </si>
  <si>
    <t>207415-27P</t>
  </si>
  <si>
    <t>Vishnu Amble</t>
  </si>
  <si>
    <t>Vishnu</t>
  </si>
  <si>
    <t>Amble</t>
  </si>
  <si>
    <t>Mr. Vishnu Amble is the Founding Director and serves as Investment Committee Member, Head of Investments &amp; Foundation &amp; Trustee at Greenbear Group. Mr. Amble serves as a Mentor at Alchemist Accelerator. He served as Principal Advisor at Larta Institute. He served as Investment Director at Saudi Aramco Energy Ventures. He is also involved in New Market Development and Technology Scouting. He previously served as an Investment Director with Germany-based E.ON, focusing on corporate and strategic venture investments and managing a portfolio of over 20 companies across the globe. Earlier in his career, he served as an investment professional with Global Cleantech Capital, The Abraaj Group, and The Carlyle Group in the US, EMEA, and Asia. He started his career as a Power, Utilities, and Infrastructure Investment Banker with Lehman Brothers. He received his degrees in Economics and Computer Science Engineering from the University of Michigan, Ann Arbor.</t>
  </si>
  <si>
    <t>+1 (727) 222-1842</t>
  </si>
  <si>
    <t>vishnu@greenbeargroupsg.com</t>
  </si>
  <si>
    <t>1300 South Miami Avenue</t>
  </si>
  <si>
    <t>Suite 4502</t>
  </si>
  <si>
    <t>33130</t>
  </si>
  <si>
    <t>Founding Director, Investment Committee Member, Head of Investments &amp; Foundation &amp; Trustee</t>
  </si>
  <si>
    <t>Greenbear Group</t>
  </si>
  <si>
    <t>146964-52P</t>
  </si>
  <si>
    <t>Cindy Chow</t>
  </si>
  <si>
    <t>Cindy</t>
  </si>
  <si>
    <t>Chow</t>
  </si>
  <si>
    <t>Alibaba Group</t>
  </si>
  <si>
    <t>Senior Director</t>
  </si>
  <si>
    <t>Ms. Cindy Chow serves as Executive Director at Alibaba Entrepreneurs Fund. She serves as Senior Director of Finance at Alibaba Group. She joined Alibaba Group in 2007 and has worked in the financial control and planning capacity, most recently as Senior Director of International Finance. Before joining Alibaba, Mrs. Chow worked in a number of Hong Kong-listed companies, specializing in financing and management reporting and planning. Ms. Chow is an Associate Member of the Hong Kong Institute of Certified Public Accountants and a Member of the American Institute of Certified Public Accountants. She holds a bachelor's degree in Business Administration from the Chinese University of Hong Kong and a master's degree in Business Administration from the Hong Kong University of Science and Technology. She also served as the Senior Manager, Group Financial Reporting and Planning at Hutchison Whampoa.</t>
  </si>
  <si>
    <t>cindychow@alibaba-inc.com</t>
  </si>
  <si>
    <t>Hong Kong</t>
  </si>
  <si>
    <t>Hong Kong, Hong Kong</t>
  </si>
  <si>
    <t>26/F Tower One, Times Square</t>
  </si>
  <si>
    <t>1 Matheson Street, Causeway Bay</t>
  </si>
  <si>
    <t>Alibaba Entrepreneurs Fund</t>
  </si>
  <si>
    <t>295044-49P</t>
  </si>
  <si>
    <t>Clarence Ho</t>
  </si>
  <si>
    <t>Clarence</t>
  </si>
  <si>
    <t>Ho</t>
  </si>
  <si>
    <t>Mr. Clarence Ho serves as Office of the Chairman at Alibaba Group.</t>
  </si>
  <si>
    <t>+86 (0)571 8502 2088</t>
  </si>
  <si>
    <t>cho@alibabagroup.com</t>
  </si>
  <si>
    <t>Hangzhou</t>
  </si>
  <si>
    <t>Hangzhou, China</t>
  </si>
  <si>
    <t>969 West Wen Yi Road</t>
  </si>
  <si>
    <t>Yu Hang District</t>
  </si>
  <si>
    <t>Zhejaing</t>
  </si>
  <si>
    <t>311121</t>
  </si>
  <si>
    <t>+86 (0)571 8376 8429</t>
  </si>
  <si>
    <t>Office of the Chairman</t>
  </si>
  <si>
    <t>148546-09P</t>
  </si>
  <si>
    <t>Dana Heide</t>
  </si>
  <si>
    <t>Dana</t>
  </si>
  <si>
    <t>Heide</t>
  </si>
  <si>
    <t>Ms. Dana Heide is a Co-Founder and serves as Chief Commercial Officer at Parcel Perform.</t>
  </si>
  <si>
    <t>+65 6331 7555</t>
  </si>
  <si>
    <t>dana@parcelperform.com</t>
  </si>
  <si>
    <t>138 Cecil Street</t>
  </si>
  <si>
    <t>Number 16-00</t>
  </si>
  <si>
    <t>069538</t>
  </si>
  <si>
    <t>Co-Founder, Chief Commercial Officer &amp; Chief Customer Officer</t>
  </si>
  <si>
    <t>Parcel Perform</t>
  </si>
  <si>
    <t>77084-29P</t>
  </si>
  <si>
    <t>Fan Jiang</t>
  </si>
  <si>
    <t>Fan</t>
  </si>
  <si>
    <t>Jiang</t>
  </si>
  <si>
    <t>Mr. Fan Jiang serves as Senior Director at Alibaba Group. He has served as president of Taobao since December 2017 and president of Tmall since March 2019. Prior to his current position, he had been responsible for the Taobao app since joining our company in August 2013. Previously, he founded and served as the chief executive officer of Umeng, a provider of mobile app analytics solutions for developers which we acquired. Before founding Umeng in 2010, he worked in product development at Google China. Mr. Jiang received a bachelor's degree in computer science from Fudan University. He served as Board Member at Beijing Easyhome Furnishing Chain Store Group Company.</t>
  </si>
  <si>
    <t>fan@alibaba-inc.com</t>
  </si>
  <si>
    <t>284651-47P</t>
  </si>
  <si>
    <t>Hong Xu</t>
  </si>
  <si>
    <t>Hong</t>
  </si>
  <si>
    <t>Xu</t>
  </si>
  <si>
    <t>Chief Accounting Officer &amp; Chief Financial Officer</t>
  </si>
  <si>
    <t>Mr. Toby Xu serves as Chief Financial Officer at Alibaba Group. Before joining Alibaba Group, Mr. Xu was a partner at PricewaterhouseCoopers for 11 years, where he joined in 1996. 
Toby graduated from Fudan University in Shanghai, China, with a bachelor's degree in Physics in 1996. He is a member of the Chinese Institute of Certified Public Accountants.</t>
  </si>
  <si>
    <t>txu@alibabagroup.com</t>
  </si>
  <si>
    <t>91952-56P</t>
  </si>
  <si>
    <t>J. Evans</t>
  </si>
  <si>
    <t>J.</t>
  </si>
  <si>
    <t>Evans</t>
  </si>
  <si>
    <t>Board Member &amp; President</t>
  </si>
  <si>
    <t>Mr. J. Michael Evans serves as Director and President at Alibaba Group. Mr. Evans served as Board Member at Farfetch. He has been our president since August 2015 and our director since September 2014. Mr. Evans served as Vice Chairman of The Goldman Sachs Group, Inc. from February 2008 until his retirement in December 2013. Mr. Evans served as chairman of Asia operations at Goldman Sachs from 2004 to 2013 and was the global head of Growth Markets at Goldman Sachs from January 2011 to December 2013. He also co-chaired the Business Standards Committee of Goldman Sachs from 2010 to 2013. Mr. Evans joined Goldman Sachs in 1993, became a partner of the firm in 1994, and held various leadership positions within the firm's securities business while based in New York and London, including global head of equity capital markets and global co-head of the equities division, and global co-head of the securities business. Mr. Evans is a board member of City Harvest. He is also a trustee of the Asia Society and a member of the Advisory Council for the Bendheim Center for Finance at Princeton University. In August 2014, Mr. Evans joined the board of Barrick Gold Corporation. Mr. Evans received his bachelor's degree in politics from Princeton University in 1981.</t>
  </si>
  <si>
    <t>jmevans@alibaba-inc.com</t>
  </si>
  <si>
    <t>Director &amp; President</t>
  </si>
  <si>
    <t>329521-06P</t>
  </si>
  <si>
    <t>Jane Jiang</t>
  </si>
  <si>
    <t>Jane</t>
  </si>
  <si>
    <t>Chief People Officer &amp; Founder</t>
  </si>
  <si>
    <t>Mr. Jane Jiang is a Co-Founder and serves as Deputy Chief People Officer at Alibaba Group.</t>
  </si>
  <si>
    <t>jane.jiang@alibabagroup.com</t>
  </si>
  <si>
    <t>Co-Founder &amp; Deputy Chief People Officer</t>
  </si>
  <si>
    <t>67857-94P</t>
  </si>
  <si>
    <t>Jason Wu</t>
  </si>
  <si>
    <t>Chief Technology Officer</t>
  </si>
  <si>
    <t>Mr. Jason Wu serves as Chief Technology Officer at Alibaba Group. Mr. John Wu serves as Board Member at Vntrip. Mr. Wu served as a Chairman at F&amp;H Fund Management. He serves as Executive Chairman at Guahao. He was the former Chief Technology Officer of Alibaba Group.</t>
  </si>
  <si>
    <t>jwu@1688.com</t>
  </si>
  <si>
    <t>152040-25P</t>
  </si>
  <si>
    <t>Jeff Zhang</t>
  </si>
  <si>
    <t>Jeff</t>
  </si>
  <si>
    <t>Zhang</t>
  </si>
  <si>
    <t>Mr. Jeff Jianfeng Zhang served as President of Alibaba Cloud Intelligence at Alibaba Group He has served as our chief technology officer since April 2016 and president of Alibaba Cloud Intelligence since November 2018. Previously, Mr. Zhang was president of China retail marketplaces from May 2015 to April 2016, and president of Taobao Marketplace and the wireless business division prior to that. He joined our company in July 2004 and has held various management positions, at different times leading Taobao Marketplace's technology teams, the B2C development team, Alibaba.com's China operations, local services, 1688.com, and Tmall.com. Mr. Zhang studied computer science at Zhejiang University.</t>
  </si>
  <si>
    <t>jeffz@alibaba-inc.com</t>
  </si>
  <si>
    <t>139749-04P</t>
  </si>
  <si>
    <t>Jingren Zhou</t>
  </si>
  <si>
    <t>Jingren</t>
  </si>
  <si>
    <t>Zhou</t>
  </si>
  <si>
    <t>Chief Technology Officer &amp; Senior Vice President</t>
  </si>
  <si>
    <t>Mr. Jingren Zhou serves as Senior Vice President &amp; Chief Technology Officer, Alibaba Cloud at Alibaba Group. He will manage a team of engineers based in China and the U.S. that is working to develop technology in the areas of speech, natural language, image and video processing and large-scale machine learning.</t>
  </si>
  <si>
    <t>jzhou@alibabagroup.com</t>
  </si>
  <si>
    <t>Senior Vice President &amp; Chief Technology Officer, Alibaba Cloud</t>
  </si>
  <si>
    <t>324130-24P</t>
  </si>
  <si>
    <t>Jinwei Zhang</t>
  </si>
  <si>
    <t>Jinwei</t>
  </si>
  <si>
    <t>Mr. Jinwei Zhang serves as Company Secretary at Alibaba Group.</t>
  </si>
  <si>
    <t>+852 2215 5100</t>
  </si>
  <si>
    <t>jzhang@alibabagroup.com</t>
  </si>
  <si>
    <t>+852 2215 5200</t>
  </si>
  <si>
    <t>Secretary, Administration</t>
  </si>
  <si>
    <t>169461-28P</t>
  </si>
  <si>
    <t>Judy Tong</t>
  </si>
  <si>
    <t>Judy</t>
  </si>
  <si>
    <t>Ms. Judy Tong served as Chief People Officer at Alibaba Group. Since joining our company in 2000, Judy has served as director and senior director in various departments in our company, including administration, customer service, and human resources. Between 2007 and 2013, she served as vice president and senior vice president in various departments, including construction, real estate, and procurement. Starting in 2013, Judy led the formation of Cainiao Network and served at various times as chief operating officer, president, chief executive officer, and non-executive chairwoman, overseeing the operations of the company. Judy is a graduate of Zhejiang University.</t>
  </si>
  <si>
    <t>151231-96P</t>
  </si>
  <si>
    <t>Junfang Zheng</t>
  </si>
  <si>
    <t>Junfang</t>
  </si>
  <si>
    <t>Zheng</t>
  </si>
  <si>
    <t>Ms. Junfang Zheng serves as Director and Chief Risk Officer, Cloud Intelligence Group at Alibaba Group. Jessie Zheng has been our chief customer officer since July 2021, our chief risk officer since December 2017, responsible for data and information security across our platforms, and our chief platform governance officer since December 2015, responsible for the governance of our retail and wholesale marketplaces. Prior to her current position, Jessie served as our deputy chief financial officer from November 2013 to June 2016, and financial vice president of Alibaba.com from December 2010 to October 2013. Before joining our company, she was an audit partner at KPMG. Jessie received a bachelor's degree in accounting from Northeastern University in China.</t>
  </si>
  <si>
    <t>junfang_z@alibaba-inc.com</t>
  </si>
  <si>
    <t>Director and Chief Risk Officer, Cloud Intelligence Group</t>
  </si>
  <si>
    <t>226378-90P</t>
  </si>
  <si>
    <t>Luyuan Fan</t>
  </si>
  <si>
    <t>Luyuan</t>
  </si>
  <si>
    <t>Mr. Luyuan Fan serves as chairman and chief executive officer of Digital Media and Entertainment Group at Alibaba Group. He has served as president of our Digital Media &amp; Entertainment Group since November 2018. He has been an executive director of Alibaba Pictures since January 2016, and currently serves as the chief executive officer and chairman of Alibaba Pictures. He joined Alipay in 2007, where he served in a number of senior management positions, including the president of Alipay and the president of Ant Financial's wealth management business. He holds an executive master's degree in business administration from Cheung Kong Graduate School of Business.</t>
  </si>
  <si>
    <t>luyuan@dingtalk.com</t>
  </si>
  <si>
    <t>chairman and chief executive officer of Digital Media and Entertainment Group</t>
  </si>
  <si>
    <t>277158-52P</t>
  </si>
  <si>
    <t>Sara Siying Yu</t>
  </si>
  <si>
    <t>Sara Siying</t>
  </si>
  <si>
    <t>General Counsel</t>
  </si>
  <si>
    <t>Ms. Sara Yu serves as General Counsel at Alibaba Group. Sara joined our company in April 2005 and became one of the first partners of the Alibaba Partnership. Prior to her current role, she served as deputy general counsel, responsible for domestic legal affairs. Before joining Alibaba, Sara worked in various law firms and government departments. Sara received a bachelor of law degree from the East China University of Political Science and Law.</t>
  </si>
  <si>
    <t>syu@alibabagroup.com</t>
  </si>
  <si>
    <t>General Counsel, Legal</t>
  </si>
  <si>
    <t>444779-29P</t>
  </si>
  <si>
    <t>Scott Yang</t>
  </si>
  <si>
    <t>Scott</t>
  </si>
  <si>
    <t>Mr. Scott Yang serves as Head of International Investments at Alibaba Group.</t>
  </si>
  <si>
    <t>syang@alibaba.com</t>
  </si>
  <si>
    <t>Head of International Investments</t>
  </si>
  <si>
    <t>450032-05P</t>
  </si>
  <si>
    <t>Stephen Kuo</t>
  </si>
  <si>
    <t>Stephen</t>
  </si>
  <si>
    <t>Kuo</t>
  </si>
  <si>
    <t>Mr. Stephen Kuo serves as President of Alibaba.com North America at Alibaba Group.</t>
  </si>
  <si>
    <t>President of Alibaba.com North America</t>
  </si>
  <si>
    <t>106321-24P</t>
  </si>
  <si>
    <t>Victor Tang</t>
  </si>
  <si>
    <t>Victor</t>
  </si>
  <si>
    <t>Tang</t>
  </si>
  <si>
    <t>Mr. Victor Tang serves as Investment Director at Alibaba Group.</t>
  </si>
  <si>
    <t>329520-79P</t>
  </si>
  <si>
    <t>Wu Zeming</t>
  </si>
  <si>
    <t>Zeming</t>
  </si>
  <si>
    <t>Mr. Wu Zeming serves as Chief Technology Officer at Alibaba Group. Zeming Serves as Chairman at Ele.me.</t>
  </si>
  <si>
    <t>wu.zeming@alibabagroup.com</t>
  </si>
  <si>
    <t>44130-52P</t>
  </si>
  <si>
    <t>Xiaofeng Shao</t>
  </si>
  <si>
    <t>Xiaofeng</t>
  </si>
  <si>
    <t>Shao</t>
  </si>
  <si>
    <t>Executive Vice President</t>
  </si>
  <si>
    <t>Xiaofeng Shao, Senior Vice President.</t>
  </si>
  <si>
    <t>443397-70P</t>
  </si>
  <si>
    <t>Yan Xiaolei</t>
  </si>
  <si>
    <t>Yan</t>
  </si>
  <si>
    <t>Xiaolei</t>
  </si>
  <si>
    <t>Ms. Yan Xiaolei serves as Chief Executive Officer at Alibaba Group.</t>
  </si>
  <si>
    <t>127202-77P</t>
  </si>
  <si>
    <t>Yongming Wu</t>
  </si>
  <si>
    <t>Yongming</t>
  </si>
  <si>
    <t>Chief Executive Officer &amp; Director</t>
  </si>
  <si>
    <t>Mr. Yongming Wu is the Founder &amp; serves as Partner &amp; Chairman at Vision Plus Capital. He serves as Director and Chief Executive Officer at Alibaba. He is a Co-Founder and serves as a Partner at Alibaba Partnership, He has served as the main business executive of the Ali Group and led the UCWeb, Gaode map, Mo Mo and other investment mergers and acquisitions; in 2015. He graduated from the Computer Department of Zhejiang University of Technology in 1996. He has been the chairman and chief executive officer of Cloud Intelligence Group since September 2023. He is also a director of the Local Services Group and Alibaba International Digital Commerce Group. He was the technology director of Alibaba at the company's inception in 1999. He served as chief technology officer of Alipay from December 2004, and became business director of our monetization platform, Alimama, in November 2005 and was promoted to its general manager in December 2007. In September 2008, he became chief technology officer of Taobao, and in October 2011 he took on the role of head of Alibaba Group's search, advertising and mobile business. He served as a non-executive director of Alibaba Health Information Technology Limited. He graduated from the College of Information Engineering of Zhejiang University of Technology in June 1996.</t>
  </si>
  <si>
    <t>eddie.wu@vplus.vc</t>
  </si>
  <si>
    <t>Beijing</t>
  </si>
  <si>
    <t>Beijing, China</t>
  </si>
  <si>
    <t>Room 605, Block D1, Liangmaqiao Diplomatic Office Building</t>
  </si>
  <si>
    <t>Building Number 19 Dongfang East Road, Chaoyang District</t>
  </si>
  <si>
    <t>100000</t>
  </si>
  <si>
    <t>+86 (0)10 5682 6439</t>
  </si>
  <si>
    <t>Founder, Partner &amp; Chairman</t>
  </si>
  <si>
    <t>Vision Plus Capital</t>
  </si>
  <si>
    <t>46402-75P</t>
  </si>
  <si>
    <t>Yuqing Fan</t>
  </si>
  <si>
    <t>Yuqing</t>
  </si>
  <si>
    <t>Ms. Yuqing Fan serves as Strategic Investment - US and Europe at Alibaba Group. Previously, she was an Analyst at Qatalyst Partners. She previously interned at Citigroup in their Investment Banking Division in New York. Originally from China, Yuqing graduated from the University of Pennsylvania magna cum laude where she received a B.Sc. in Economics from the Wharton School with a concentration in Finance, and a B.A. from the College of Arts and Sciences with a major in Economics and a minor in Comparative Literature.</t>
  </si>
  <si>
    <t>+86 571 8502 2088</t>
  </si>
  <si>
    <t>San Mateo</t>
  </si>
  <si>
    <t>San Mateo, CA</t>
  </si>
  <si>
    <t>400 South El Camino Real</t>
  </si>
  <si>
    <t>94402</t>
  </si>
  <si>
    <t>+1 (408) 748-1218</t>
  </si>
  <si>
    <t>Strategic Investment - US and Europe</t>
  </si>
  <si>
    <t>102478-78P</t>
  </si>
  <si>
    <t>Zhenfei Liu</t>
  </si>
  <si>
    <t>Zhenfei</t>
  </si>
  <si>
    <t>Liu</t>
  </si>
  <si>
    <t>Mr. Zhenfei Liu, Co-Chairman, Local Services Group; Chairman, Amap.</t>
  </si>
  <si>
    <t>242386-30P</t>
  </si>
  <si>
    <t>Brendan Bell</t>
  </si>
  <si>
    <t>Brendan</t>
  </si>
  <si>
    <t>Aligned Climate Capital</t>
  </si>
  <si>
    <t>Mr. Brendan Bell serves as Chief Operating Officer at Aligned Climate Capital. He serves as a Board Member at EVenergi. He serves as a Board Member at Summit Ridge Energy. He served as Board Member at SWTCH and Swell Energy. He served as a Board Member at ChargeNet Stations.</t>
  </si>
  <si>
    <t>brendan@alignedclimatecapital.com</t>
  </si>
  <si>
    <t>3900 West Alameda Avenue</t>
  </si>
  <si>
    <t>Suite 2320</t>
  </si>
  <si>
    <t>91505</t>
  </si>
  <si>
    <t>337066-03P</t>
  </si>
  <si>
    <t>Dylan Hammer</t>
  </si>
  <si>
    <t>Dylan</t>
  </si>
  <si>
    <t>Hammer</t>
  </si>
  <si>
    <t>Mr. Dylan Hammer serves as a Senior Vice President on the Aligned Solar Partners Strategy at Aligned Climate Capital.</t>
  </si>
  <si>
    <t>+1 (914) 724-9981</t>
  </si>
  <si>
    <t>dylan@alignedclimatecapital.com</t>
  </si>
  <si>
    <t>24 West 40th Street</t>
  </si>
  <si>
    <t>16th Floor</t>
  </si>
  <si>
    <t>10018</t>
  </si>
  <si>
    <t>Senior Vice President on the Aligned Solar Partners Strategy</t>
  </si>
  <si>
    <t>297366-22P</t>
  </si>
  <si>
    <t>Eric Lee</t>
  </si>
  <si>
    <t>Mr. Eric Lee serves as Senior Vice President, ESG Investing &amp; IR at Aligned Climate Capital.</t>
  </si>
  <si>
    <t>eric@alignedclimatecapital.com</t>
  </si>
  <si>
    <t>Senior Vice President, ESG Investing &amp; IR</t>
  </si>
  <si>
    <t>300308-32P</t>
  </si>
  <si>
    <t>Eunyoung Shin</t>
  </si>
  <si>
    <t>Eunyoung</t>
  </si>
  <si>
    <t>Ms. Eunyoung Shin serves as Vice President, Finance at Aligned Climate Capital.</t>
  </si>
  <si>
    <t>+1 (917) 754-5489</t>
  </si>
  <si>
    <t>eunyoung@alignedclimatecapital.com</t>
  </si>
  <si>
    <t>Vice President, Finance</t>
  </si>
  <si>
    <t>284241-07P</t>
  </si>
  <si>
    <t>Greg Greenman</t>
  </si>
  <si>
    <t>Greg</t>
  </si>
  <si>
    <t>Greenman</t>
  </si>
  <si>
    <t>Mr. Greg Greenman serves as a Vice President on the Aligned Solar Partners Strategy at Aligned Climate Capital. He served as Vice President, Operations at Greenbacker Capital Management.</t>
  </si>
  <si>
    <t>+1 (415) 290-2946</t>
  </si>
  <si>
    <t>199900-18P</t>
  </si>
  <si>
    <t>Harshul Banthia</t>
  </si>
  <si>
    <t>Harshul</t>
  </si>
  <si>
    <t>Banthia</t>
  </si>
  <si>
    <t>Mr. Harshul Banthia serves as Advisor at Aligned Climate Capital. Mr. Harshul Banthia served as Investment Professional at LLEX Partners. He is Focusing on renewable energy and sustainability, technologies covered include solar, wind, energy efficiency, combined heat and power, and energy storage. Previously, Mr. Banthia was a Director at Sustainable Capital Advisors where he worked closely in an advisory capacity with investors, project developers, commercial clients, and state and local governments providing expertise pertaining to strategy and financial structuring of both project finance and corporate capital. In 2014, Mr. Banthia founded Offset Renewables, a crowdfunding platform for commercial and industrial solar projects which involved the associated structuring for tax equity and debt, along with an understanding of securities regulations pertaining to private placements. Mr. Banthia previous worked at Jefferies Group where he had quantitative finance experience in the risk management department covering a wide variety of asset classes and structured products. Mr. Banthia received a B.S. in mathematics and economics from Carnegie Mellon University in 2007.</t>
  </si>
  <si>
    <t>209401-66P</t>
  </si>
  <si>
    <t>James Rubin</t>
  </si>
  <si>
    <t>Rubin</t>
  </si>
  <si>
    <t>Chief Investment Officer</t>
  </si>
  <si>
    <t>Mr. James Rubin serves as Chief Investment Officer at Aligned Climate Capital. He serves as Board Member at BoxPower &amp; CleanFiber. He serves as Board Member at EVenergi. Previously, he served as Chief Executive Officer, in North America at Meridiam Infrastructure. Prior to that, he was Commissioner of NYS Homes and Community Renewal (HCR), the agency that finances the development and preservation of affordable housing statewide. Before that, he headed the Governor's Office of Storm Recovery (GOSR) where he served as the founding Executive Director, overseeing and creating programs to disburse USD 4.4 billion in disaster recovery funds allocated by the U.S. Department of Housing and Urban Development (HUD).</t>
  </si>
  <si>
    <t>james@alignedclimatecapital.com</t>
  </si>
  <si>
    <t>449213-50P</t>
  </si>
  <si>
    <t>Julia Magliozzo</t>
  </si>
  <si>
    <t>Julia</t>
  </si>
  <si>
    <t>Magliozzo</t>
  </si>
  <si>
    <t>Mrs. Julia Magliozzo serves as a Vice President on the Aligned Solar Partners Strategy at Aligned Climate Capital.</t>
  </si>
  <si>
    <t>julia@alignedclimatecapital.com</t>
  </si>
  <si>
    <t>Vice President on the Aligned Solar Partners Strategy</t>
  </si>
  <si>
    <t>449215-30P</t>
  </si>
  <si>
    <t>Katia Vargas</t>
  </si>
  <si>
    <t>Vargas</t>
  </si>
  <si>
    <t>Mrs. Katia Garrigoux Vargas serves as an Associate on the Aligned Solar Partners Strategy at Aligned Climate Capital.</t>
  </si>
  <si>
    <t>katia@alignedclimatecapital.com</t>
  </si>
  <si>
    <t>Associate on the Aligned Solar Partners Strategy</t>
  </si>
  <si>
    <t>301793-41P</t>
  </si>
  <si>
    <t>Kellie Valladares</t>
  </si>
  <si>
    <t>Kellie</t>
  </si>
  <si>
    <t>Valladares</t>
  </si>
  <si>
    <t>Ms. Kellie Valladares serves as Director of Operations at Aligned Climate Capital. She served as Chief People Officer at Attentive.</t>
  </si>
  <si>
    <t>302061-79P</t>
  </si>
  <si>
    <t>Mary King</t>
  </si>
  <si>
    <t>Mary</t>
  </si>
  <si>
    <t>King</t>
  </si>
  <si>
    <t>Ms. Mary King serves as Vice President at Aligned Climate Capital. Ms. King served as Senior Associate at Aligned Climate Capital.</t>
  </si>
  <si>
    <t>mary@alignedclimatecapital.com</t>
  </si>
  <si>
    <t>281230-84P</t>
  </si>
  <si>
    <t>Megan Neligan</t>
  </si>
  <si>
    <t>Megan</t>
  </si>
  <si>
    <t>Neligan</t>
  </si>
  <si>
    <t>Ms. Megan Neligan serves as Vice President and Member of the Investment Team at Irradiant Partners. She serves as the Director of the Aligned Solar Partners Strategy at Aligned Climate Capital. Previously, she was with Kayne Anderson. Prior to that, she was an associate at Cypress Creek Renewables, where she raised and structured debt and tax equity for utility-scale solar assets across the United States. She graduated with distinction from the University of North Carolina at Chapel Hill, with a B.A. in Environmental Studies with a concentration in energy.</t>
  </si>
  <si>
    <t>+1 (512) 676-3535</t>
  </si>
  <si>
    <t>mneligan@irradiantpartners.com</t>
  </si>
  <si>
    <t>Austin, TX</t>
  </si>
  <si>
    <t>2025 Guadalupe Street</t>
  </si>
  <si>
    <t>Suite 260</t>
  </si>
  <si>
    <t>78705</t>
  </si>
  <si>
    <t>Vice President and Member of the Investment Team</t>
  </si>
  <si>
    <t>Irradiant Partners</t>
  </si>
  <si>
    <t>245550-88P</t>
  </si>
  <si>
    <t>Nneka Kibuule</t>
  </si>
  <si>
    <t>Nneka</t>
  </si>
  <si>
    <t>Kibuule</t>
  </si>
  <si>
    <t>Ms. Nneka Kibuule serves as Senior Vice President at Aligned Climate Capital. She serves as Board Member at BoxPower. She served as Director of Energy Innovation at Elemental Impact. She also serves as Principal at Aligned Climate Capital. She also serves as Board member at UtilityAPI, ChargeNet Stations and pulsESG.</t>
  </si>
  <si>
    <t>nneka@alignedclimatecapital.com</t>
  </si>
  <si>
    <t>119243-80P</t>
  </si>
  <si>
    <t>Peter Davidson</t>
  </si>
  <si>
    <t>Mr. Peter Davidson serves as Chief Executive Officer at Aligned Climate Capital. He co-founded and served as Chief Executive Officer and Board Member of Aligned Intermediary. He served as Advisor and Board Member at SWTCH. He served as Board Member at PulsESG. He founded and owned and served as the Chief Executive Officer at Davidson Media Group. Prior to joining the company, he served as an Executive Director of the Loan Programs Office (LPO) at the U.S. Department of Energy. He was appointed to that position by President Obama in May 2013, he oversaw the program's more than $30 billion portfolios of loans and loan guarantees, making it the largest project finance organization in the U.S. government. Among the many clean energy projects supported by his office were the first new nuclear power facility to be built in the U.S. in 30 years and the nation's first-ever commercial-scale offshore wind facility. Before LPO, he served as an Executive Director of New York State's economic development agency, the Empire State Development Corporation. Before entering government service, he founded and managed six media companies serving the rapidly-growing Hispanic market, including ownership of El Diario and La Prensa, New York City's largest Spanish-language newspaper, as well as three Univision-affiliated TV stations. Since 2001, he has served as Chairman of the JM Kaplan Fund, a family foundation with over $150 million in assets. Under his leadership, he has redirected the foundation's grantmaking focus toward environmental conservation, urban green space, and sustainable transportation. He is also a Fellow at Columbia University's Center on Global Energy Policy, an Adjunct Professor and Adjunct Research Scholar at Columbia's School of International and Public Affairs, and a Member of the Council on Foreign Relations. Earlier in his career, he served as an Executive in the investment banking division of Morgan Stanley &amp; Co. He also serves on several boards of local Brooklyn institutions. He holds a BA from Stanford University and an MBA from Harvard Business School. He serves as Chairman of the Board of Trustees at J M Kaplan Fund.</t>
  </si>
  <si>
    <t>peter@alignedclimatecapital.com</t>
  </si>
  <si>
    <t>449224-66P</t>
  </si>
  <si>
    <t>Rachel Powlen</t>
  </si>
  <si>
    <t>Rachel</t>
  </si>
  <si>
    <t>Powlen</t>
  </si>
  <si>
    <t>Assistant</t>
  </si>
  <si>
    <t>Ms. Rachel Powlen serves as Operations Assistant at Aligned Climate Capital.</t>
  </si>
  <si>
    <t>rachel@alignedclimatecapital.com</t>
  </si>
  <si>
    <t>Operations Assistant</t>
  </si>
  <si>
    <t>449225-65P</t>
  </si>
  <si>
    <t>Sadiqa Khan</t>
  </si>
  <si>
    <t>Sadiqa</t>
  </si>
  <si>
    <t>Ms. Sadiqa Khan serves as Accountant at Aligned Climate Capital.</t>
  </si>
  <si>
    <t>sadiqa@alignedclimatecapital.com</t>
  </si>
  <si>
    <t>449226-28P</t>
  </si>
  <si>
    <t>Sebastian Soltysik</t>
  </si>
  <si>
    <t>Sebastian</t>
  </si>
  <si>
    <t>Soltysik</t>
  </si>
  <si>
    <t>Mr. Sebastian Soltysik serves as a Senior Analyst on the Aligned Climate Fund Strategy at Aligned Climate Capital.</t>
  </si>
  <si>
    <t>sebastian@alignedclimatecapital.com</t>
  </si>
  <si>
    <t>Senior Analyst on the Aligned Climate Fund Strategy</t>
  </si>
  <si>
    <t>302062-24P</t>
  </si>
  <si>
    <t>Tanatswa Mapondera</t>
  </si>
  <si>
    <t>Tanatswa</t>
  </si>
  <si>
    <t>Mapondera</t>
  </si>
  <si>
    <t>Mr. Tanatswa Mapondera serves as Senior Associate at Aligned Climate Capital. Fund Strategy at Aligned Climate Capital.</t>
  </si>
  <si>
    <t>tanatswa@alignedclimatecapital.com</t>
  </si>
  <si>
    <t>297380-89P</t>
  </si>
  <si>
    <t>Zach Good</t>
  </si>
  <si>
    <t>Good</t>
  </si>
  <si>
    <t>Mr. Zach Good serves as a Vice President on the Aligned Solar Partners Strategy at Aligned Climate Capital.</t>
  </si>
  <si>
    <t>+1 (207) 400-2339</t>
  </si>
  <si>
    <t>zach@alignedclimatecapital.com</t>
  </si>
  <si>
    <t>313469-92P</t>
  </si>
  <si>
    <t>Abe Murray</t>
  </si>
  <si>
    <t>Abe</t>
  </si>
  <si>
    <t>Murray</t>
  </si>
  <si>
    <t>AlleyCorp</t>
  </si>
  <si>
    <t>Mr. Abe Murray is the Founder and serves as General Partner &amp; Managing Partner at Alley Robotics Ventures. He serves as a Board Member at Civ Robotics, Koop, and Renovate. Previously, he was a product and engineering leader in various roles at Alphabet, where he worked on Android, built the Verily Life Science product teams, and built the Google Research product management team. Before this, he founded a Web 2.0 startup and worked on unmanned aerial vehicles in the defense industry. He serves as General Partner, Robotics at AlleyCorp. He holds an MBA from Harvard Business School, a master's degree in electrical engineering from Worcester Polytechnic Institute, and a bachelor's degree in computer engineering from the University of Rhode Island.</t>
  </si>
  <si>
    <t>abe@arv.team</t>
  </si>
  <si>
    <t>02025</t>
  </si>
  <si>
    <t>Founder, General Partner &amp; Managing Partner</t>
  </si>
  <si>
    <t>Alley Robotics Ventures</t>
  </si>
  <si>
    <t>420711-13P</t>
  </si>
  <si>
    <t>Alex Martin</t>
  </si>
  <si>
    <t>Mr. Alex Martin serves as Investor at AlleyCorp. He graduated Magna Cum Laude from Yale University with a B.A. in Economics.</t>
  </si>
  <si>
    <t>+1 (212) 741-8242</t>
  </si>
  <si>
    <t>220 5th Avenue</t>
  </si>
  <si>
    <t>17th Floor</t>
  </si>
  <si>
    <t>141052-69P</t>
  </si>
  <si>
    <t>Alexander Nazem MD</t>
  </si>
  <si>
    <t>Nazem</t>
  </si>
  <si>
    <t>Dr. Alexander Nazem is the Co-Founder and serves as a Board Member at Nomad Health. He served as Co-Chief Executive Officer &amp; Board Member at Nomad Health. Dr. Nazem serves as a General Partner at AlleyCorp. He serves as a Board Member at Rejuvenan. In addition to leading Nomad, he is also an Assistant Professor of Medicine at Weill Cornell in New York. Previously, he led field operations for the Institute for Healthcare Improvement's successful 100,000 Lives Campaign. Alexi trained in internal medicine at Brigham &amp; Women's Hospital in Boston after receiving an MD from Yale and an MBA from Harvard. He also holds a BS in Molecular Biophysics and Biochemistry from Yale.</t>
  </si>
  <si>
    <t>+1 (866) 656-6623</t>
  </si>
  <si>
    <t>alexi@nomadhealth.com</t>
  </si>
  <si>
    <t>28 West 44th Street</t>
  </si>
  <si>
    <t>Suite 600</t>
  </si>
  <si>
    <t>10036</t>
  </si>
  <si>
    <t>Co-Founder &amp; Board Member</t>
  </si>
  <si>
    <t>Nomad Health</t>
  </si>
  <si>
    <t>241840-81P</t>
  </si>
  <si>
    <t>Alison Hill</t>
  </si>
  <si>
    <t>Alison</t>
  </si>
  <si>
    <t>Hill</t>
  </si>
  <si>
    <t>Ms. Alison Hill serves as Chief Of Staff at AlleyCorp. She is a top-level Executive/Personal Assistant with more than twenty years experience supporting some of New York's most prestigious executives at GILT, Cole Haan, GUCCI, Citicorp, and Cushman &amp; Wakefield. As a result of many years working alongside, and learning from, some of New York's best and brightest, the scope of her responsibilities have expanded far beyond that of a traditional Executive Assistant role. When she isn't glued to a laptop, she enjoys spending time at the beach, exploring other countries/cultures, and relentlessly trying to develop a passion for running.</t>
  </si>
  <si>
    <t>alison@alleycorp.com</t>
  </si>
  <si>
    <t>338817-52P</t>
  </si>
  <si>
    <t>Brannon Jones</t>
  </si>
  <si>
    <t>Brannon</t>
  </si>
  <si>
    <t>Jones</t>
  </si>
  <si>
    <t>Mr. Brannon Jones serves as Investor at AlleyCorp. Mr. Jones serves as Associate at Alley Robotics Ventures. He was previously worked in SpaceX. He studied mechanical and aerospace engineering at Princeton University &amp; also he holds an MBA from Harvard Business School.</t>
  </si>
  <si>
    <t>brannon@arv.team</t>
  </si>
  <si>
    <t>337573-27P</t>
  </si>
  <si>
    <t>Catherine Diffley</t>
  </si>
  <si>
    <t>Catherine</t>
  </si>
  <si>
    <t>Diffley</t>
  </si>
  <si>
    <t>Ms. Catherine Diffley serves as Director of Platform at AlleyCorp. Prior to joining AlleyCorp, She led Platform at Human Ventures and spent her early career in the art industry, moving from the gallery world to 8 years as an early-stage operator and founder. She graduated from Georgetown University.</t>
  </si>
  <si>
    <t>catherine@alleycorp.com</t>
  </si>
  <si>
    <t>Director of Platform</t>
  </si>
  <si>
    <t>87108-13P</t>
  </si>
  <si>
    <t>Douglas Band</t>
  </si>
  <si>
    <t>Douglas</t>
  </si>
  <si>
    <t>Band</t>
  </si>
  <si>
    <t>Mr. Douglas Band serves as Board Member at Whoosh. Mr. Douglas Band serves as Venture Partner at AlleyCorp. He is a Co-Founder and serves as Director &amp; Board Member at XO Health. He serves as Board of Regents at Georgetown University. He served as Advisory Board at Clinton Global Initiative. He Co-Founded and served as President at Teneo Holdings. He Co-Founded and served as President at Teneo Strategy. He also served as Board Member at Clinton Foundation. He began working in the White House in 1995, serving in the White House Counsel's office for four years and later in the Oval Office as the President's Aide. In 1999, Doug was appointed by President Clinton as a Special Assistant to the President before he was made one of the youngest Deputy Assistants ever to serve a President. Doug served as President Clinton's chief advisor from 2002 until 2012, advising him as the Counselor to the President, and was the key architect of Clinton's post-Presidency. He created and built the Clinton Global Initiative, which to date has raised 69 billion dollars for 2,100 philanthropic initiatives around the world and impacted over 400 million people in 180 countries. On March 1, 2012, President Clinton said of Doug: "I couldn't have achieved half of what I have in my post presidency without Doug Band. Doug is my Counselor and a board member of the Clinton Global Initiative, which was created at his suggestion. He tirelessly works to support the expansion of CGI's activities and my other foundation work around the world. In our first ten years, Doug's strategic vision and fund-raising made it possible for the foundation to survive and thrive. I hope and believe he will continue to advise me and build CGI for another decade." Doug has traveled to 125 countries and to over 2000 cities. In the Summer of 2009, he traveled to North Korea with President Clinton to orchestrate and secure the release of two American journalists. Additionally, he has been involved in other negotiations to free and help Americans held around the world. He has assisted in the rebuilding of nations and regions after some of the worst natural disasters in the past two decades, including New Orleans, Haiti, Southeast Asia, and Gujarat, India. Doug has advised several heads of state, governors and mayors transition out of public office into private life. He was part of the negotiation team that handled all aspects of Hillary Clinton's becoming Secretary of State. He continues to serve his country in assisting various domestic agencies and advising foreign governments on nation-building, infrastructure creation and democratic governance structure. Doug serves on the faculty of New York University as an Adjunct Professor, the Clinton Global Initiative Advisory Board, the Clinton Foundation Sweden Board of Directors, the Humana Challenge in Partnership with the Clinton Foundation Board of Directors, as a Regent on the Georgetown University Board of Regents, the board of the Coca-Cola Company International Advisory Board, the New York City Football Club Board of Directors, America's Cup Organizing Committee, and as a trustee on the Boy's Club of NY, the Center for American Progress, the First Tee of NY and the Oklahoma City National Memorial Museum. Doug served on the Clinton Global Initiative Board of Directors from its inception in 2008 until its conclusion in 2012 and in 2010 on the Board of Directors of the United States Bid Committee for the World Cup. Doug graduated from the University of Florida in 1995 and while working at the White House for 6 years, he simultaneously obtained a masters and a Law degree from Georgetown University by attending both programs in the evenings.</t>
  </si>
  <si>
    <t>+1 (212) 489-0123</t>
  </si>
  <si>
    <t>dband@xohealth.com</t>
  </si>
  <si>
    <t>Stamford</t>
  </si>
  <si>
    <t>Stamford, CT</t>
  </si>
  <si>
    <t>Connecticut</t>
  </si>
  <si>
    <t>XO Health</t>
  </si>
  <si>
    <t>255933-46P</t>
  </si>
  <si>
    <t>Florencia Herra Vega</t>
  </si>
  <si>
    <t>Florencia</t>
  </si>
  <si>
    <t>Herra Vega</t>
  </si>
  <si>
    <t>Chief Technology Officer &amp; Partner</t>
  </si>
  <si>
    <t>Ms. Florencia Herra Vega serves as Partner &amp; Chief Technology Officer at AlleyCorp. She served as Acting Chief Technology Officer at Mixo. She was previously Director of Architecture &amp; Platform at WorkJam, Co-Founder and CTO of Peerio Technologies.</t>
  </si>
  <si>
    <t>florencia@alleycorp.com</t>
  </si>
  <si>
    <t>Partner &amp; Chief Technology Officer</t>
  </si>
  <si>
    <t>277113-25P</t>
  </si>
  <si>
    <t>Jane Suh</t>
  </si>
  <si>
    <t>Suh</t>
  </si>
  <si>
    <t>Ms. Jane Suh serves as Principal at AlleyCorp. She serves as a Board Member at Banquet Health. Prior to joining a16z, she led partnerships and marketing initiatives at an early-stage healthcare startup, connecting cancer patients to clinical trials using AI technology. She operationalized and managed partnerships with key hospital stakeholders, oncologists, and nurses at the highest-ranked cancer hospitals. Before that, she was an investment banker at Broadhaven Capital Partners and executed capital raises and M&amp;A transactions, most notably the $5.2bn acquisition of Interactive Data Corporation by Intercontinental Exchange. She holds an A.B. in Human Developmental and Regenerative Biology from Harvard University. During her time at Harvard, she worked directly with the VP of GSK's Regenerative Medicine group on its strategic partnership with the Harvard Stem Cell Institute, interviewing senior executives and key opinion leaders. She has published her research on global strategic partnerships in regenerative medicine in Cell Press: Trends in Biotechnology.</t>
  </si>
  <si>
    <t>jane@alleycorp.com</t>
  </si>
  <si>
    <t>39882-70P</t>
  </si>
  <si>
    <t>Jay Hass</t>
  </si>
  <si>
    <t>Jay</t>
  </si>
  <si>
    <t>Hass</t>
  </si>
  <si>
    <t>Chief Financial Officer &amp; General Partner</t>
  </si>
  <si>
    <t>Mr. John Hass serves as Chief Financial Officer &amp; General Partner at AlleyCorp. He serves as Board Member &amp; Observer at XO Health. He serves as Board Member at For Wellness. He serves as a Strategic Advisor at RRE Ventures. He serves as Board Member at Mingyian. He formerly served as a Director of Investor Relations. Relations. Prior to joining RRE in 2010, he was at Brown Brothers Harriman for 22 years. At BBH, he was a Managing Director and established BBH's Alternative Investments Group, where he led the formation of and oversaw eight private equity, hedge-fund, and Asian equity funds of funds with peak assets of over $1.3 billion and approximately 1,300 investors. He was an active member of BBH Investment Committees which were Limited Partners of more than 100 externally managed fund investments. In addition, as President of GateHouse Investors, an investment consulting firm, he has advised high-net-worth families and financial service institutions on investment and business operating strategy and has made direct investments in a number of privately held companies. He is a Director of the Cheetah Korea Value Fund and the J.H. Whitney Pan Asia Strategies Fund. He is a past trustee of the Academy of Natural Sciences of Philadelphia and Natural Lands Trust, Inc. Other previous experience includes three years in national political campaign management; serving as a staff member for the US House of Representatives Select Committee on Aging, and serving in account management on Colgate Brands at Ted Bates Advertising in New York. A competitive runner, he has completed 21 marathons, including multiple finishes at Boston and Death Valley. He graduated from Princeton University with an AB in Politics in 1983. He holds a BA in Politics from Princeton University.</t>
  </si>
  <si>
    <t>jay@rre.com</t>
  </si>
  <si>
    <t>259238-26P</t>
  </si>
  <si>
    <t>Jeffery Flavio MD</t>
  </si>
  <si>
    <t>Jeffery</t>
  </si>
  <si>
    <t>Flavio</t>
  </si>
  <si>
    <t>Dr. Jeffery Flavio is a Co-Founder and serves as Chairman at Affect Therapeutics. He is a Co-Founder &amp; serves as Executive Chairman at Chamber Cardio. He serves as a Board member at Conduce Health. He serves as an Executive-in-Residence at AlleyCorp. He co-founded and served as a Board Member at EnSage Health. He is a Co-Founder and serves as Executive Chairman at Pearl Health. He also is a Co-Founder and serves as Executive Chairman at Diana Health. A physician by training, he has dedicated his career to broadening access to healthcare, particularly for underserved populations. He was the founding CEO of Groups: Recover Together, which is now the largest value-based opiate addiction treatment provider in the United States. He is also a Co-Founder of Tempest, an online alcohol addiction treatment program. He received his BA from George Washington University, his MD from the Geisel School of Medicine at Dartmouth, and an MBA from the Tuck School of Business at Dartmouth.</t>
  </si>
  <si>
    <t>+1 (617) 448-6219</t>
  </si>
  <si>
    <t>McLean</t>
  </si>
  <si>
    <t>McLean, VA</t>
  </si>
  <si>
    <t>1640 Boro Place</t>
  </si>
  <si>
    <t>22102</t>
  </si>
  <si>
    <t>Co-Founder and Chairman</t>
  </si>
  <si>
    <t>Affect (Clinics/Outpatient Services)</t>
  </si>
  <si>
    <t>395482-69P</t>
  </si>
  <si>
    <t>José Oberto</t>
  </si>
  <si>
    <t>Oberto</t>
  </si>
  <si>
    <t>Chief Executive Officer &amp; Chief Technology Officer</t>
  </si>
  <si>
    <t>Mr. José Oberto serves as Chief Executive Officer &amp; Chief Technology Officer, AlleyCorp Sur at AlleyCorp. He was previously the Head of Technology at Chiper. Leading over 250 engineers and supporting the company's expansion into 4 countries. He holds a bachelor's degree in computer science, specializing in tech product development, highly scalable architectures, and building tech teams.</t>
  </si>
  <si>
    <t>Chief Executive Officer &amp; Chief Technology Officer, AlleyCorp Sur</t>
  </si>
  <si>
    <t>313473-61P</t>
  </si>
  <si>
    <t>Joseph Krause Ph.D</t>
  </si>
  <si>
    <t>Krause</t>
  </si>
  <si>
    <t>Dr. Joseph Krause is a Co-Founder and serves as Chief Executive Officer &amp; Board Member at Radical AI. He also serves as a Advisor at Alley Robotics Ventures. He serves as a Strategic Advisor at AlleyCorp. He serves as a Board Observer at EnCharge AI. He served as Board Member at Multiscale Technologies.</t>
  </si>
  <si>
    <t>+1 (646) 516-3882</t>
  </si>
  <si>
    <t>180 Madison Ave</t>
  </si>
  <si>
    <t>Radical AI</t>
  </si>
  <si>
    <t>275462-74P</t>
  </si>
  <si>
    <t>Kenneth Auchenberg</t>
  </si>
  <si>
    <t>Kenneth</t>
  </si>
  <si>
    <t>Auchenberg</t>
  </si>
  <si>
    <t>Mr. Kenneth Auchenberg serves as Partner at AlleyCorp. Mr. Auchenberg is an Angel Investor.</t>
  </si>
  <si>
    <t>kenneth@alleycorp.com</t>
  </si>
  <si>
    <t>32522-86P</t>
  </si>
  <si>
    <t>Kevin Ryan</t>
  </si>
  <si>
    <t>Ryan</t>
  </si>
  <si>
    <t>Mr. Kevin Ryan is the Founder and serves as Chief Executive Officer at AlleyCorp. He serves as Board Member at Conduce Health. He also serves as a Board Observer at Pi Health. He is also a co-founder and chairman at Zola. He is an angel investor. He serves as an Ambassador at Endeavor Global. He is a Co-Founder &amp; serves as Chairman at Transcend Therapeutics. He served as Chairman of the Board at Zevv. He serves as a Board Member at Tertulia. He serves as Co-Founder and a Board Member at Reside Health. He is a Co-Founder and serves as a Board Member at Pearl Health. He serves as Vice Chairman &amp; Member of the Executive Committee at Partnership for New York City. He serves as an Advisor and Board Member at Affect Therapeutics. He is a Co-Founder and serves as Chairman at Nomad Health. He served as an Advisory Committee Member at Firstminute Capital. He serves as a Board Member at RippleMatch, Blueground, and Partnership Fund for New York City &amp; also serves as Chairman at Meetup. He was a Co-Founder and served as Chairman at Cortina. He co-founded and served as Chairman at Capable Health. He co-founded and served as Chairman at MongoDB. He is a Co-Founder and serves as Chairman at Kontor. In 2007, he along with a founding team created Gilt as an invitation-only site for coveted women's apparel and accessories. He also serves as an advisor at Gather Ventures. Today, Gilt has over seven million members and has added business lines in the home; baby &amp; kids; men's apparel and gear; local services and experiences, and has founded the leading flash-sale site in Japan, a joint venture with Softbank. He is one of the leading Internet entrepreneurs in the United States having founded several New York-based businesses, including Gilt, and Business Insider. He helped build DoubleClick from 1996 to 2005, first as President and later as CEO. He led DoubleClick's growth from a 20-person startup to a publicly traded global leader with over 1,500 employees. Currently, he serves on the board of Yale Corporation and Human Rights Watch and is a member of the Council on Foreign Relations. He also served as LP Advisor at Nyca Partners. He is also a Co-Founder and serves as Chairman at Humming Homes. He served as a Board Member at Flick. He holds a B.A. from Yale University and an M.B.A. from INSEAD.</t>
  </si>
  <si>
    <t>+1 (646) 747-0245</t>
  </si>
  <si>
    <t>kevinryan@alleycorp.com</t>
  </si>
  <si>
    <t>336602-44P</t>
  </si>
  <si>
    <t>Luc Ryan-Schreiber</t>
  </si>
  <si>
    <t>Luc</t>
  </si>
  <si>
    <t>Ryan-Schreiber</t>
  </si>
  <si>
    <t>Mr. Luc Ryan-Schreiber serves as Advisor at 23 Fund. He serves as Investor at AlleyCorp. He has a B.A in Global Affairs from Yale University and an MBA from Stanford Graduate School of Business. He serves as Board Member at Eventual.</t>
  </si>
  <si>
    <t>The 23 Fund</t>
  </si>
  <si>
    <t>122822-83P</t>
  </si>
  <si>
    <t>Marshall Porter</t>
  </si>
  <si>
    <t>Marshall</t>
  </si>
  <si>
    <t>Porter</t>
  </si>
  <si>
    <t>Mr. Marshall Porter serves as Partner at AlleyCorp. He served as President at Spring. He serves as Chairman at Jozu. He served as Senior Vice President &amp; General Manager, International at Gilt. He is responsible for the growth of the company's international business, including expansion into new markets and international partnerships. Previously, he built and led business development at Gilt, devising strategies and forging long-term relationships between Gilt and brand partners such as Starbucks, Volkswagen, Target, Virgin America, Google, Infiniti, and many others. He joined Gilt in 2010 with extensive experience in mobile and e-commerce. From 2006-2009, he led the mobile business at Digital Fountain (acquired by Qualcomm). Prior to that, he was at Handango for three years, where he was responsible for key global partnerships, and development strategies, driving key infrastructure initiatives, launching new business units, and global partnerships. He holds a BA from Texas Christian University (Phi Beta Kappa) and an MA in Management, Economics, and International Relations from the University of St. Andrews in Scotland.</t>
  </si>
  <si>
    <t>marshall@alleycorp.com</t>
  </si>
  <si>
    <t>140597-56P</t>
  </si>
  <si>
    <t>Michelle Garland</t>
  </si>
  <si>
    <t>Michelle</t>
  </si>
  <si>
    <t>Garland</t>
  </si>
  <si>
    <t>Ms. Michelle Garland serves as a Partner at AlleyCorp. She served as Managing Partner at Daversa Partners. She serves as an Advisor at Reverence. She brings Midwestern values combined with East Coast high energy and edge. With more than 10 years of search experience at Daversa Partners, she has worked for firms including Kleiner Perkins, Sequoia, Benchmark, and Venrock. She has built senior teams for Dataminr, Klout, Big Commerce, Piazza, McDonald's, and SoulCycle. She also leads the firm's Health Care practice represented by work at companies including Audax Health, ZirMed, Teladoc, CareCloud, Lumeris, Emdeon, HealthCatalyst, and ZocDoc. Before Daversa, she was a Director at Dow Jones for The Wall Street Journal. She holds a Bachelor of Science degree from the William Allen White School of Journalism at the University of Kansas.</t>
  </si>
  <si>
    <t>michelle@alleycorp.com</t>
  </si>
  <si>
    <t>277112-08P</t>
  </si>
  <si>
    <t>Omar Njie MD</t>
  </si>
  <si>
    <t>Omar</t>
  </si>
  <si>
    <t>Njie</t>
  </si>
  <si>
    <t>Dr. Omar Njie is a Co-Founder at Diversity Innovation Hub. He serves as Principal at AlleyCorp. He serves as a Board Member at Avo. Previously he served as Investor at AlleyCorp. Prior to matriculating to Mount Sinai, he worked as a healthcare consultant for Deloitte where he served clients in the provider, payer, and pharmaceutical sectors. He was also an early employee at Clover Health, a San Francisco-based health insurance company that leverages data and analytics to improve the health of Medicare beneficiaries. As a medical student, he co-founded the Diversity Innovation Hub, a nationally recognized venture working to address social determinants of health and improve minority representation in healthcare innovation. He has consulted for various healthcare startups and most recently worked as a Venture Fellow for Rock Health. In 2013 he received his B.A. in Global Affairs from Yale College, and, in 2014, he received his M.P.H. in Health Policy &amp; Management from the Yale School of Public Health.</t>
  </si>
  <si>
    <t>omar.nije@dihub.mountsinai.org</t>
  </si>
  <si>
    <t>1 Gustave Levy Place</t>
  </si>
  <si>
    <t>10029</t>
  </si>
  <si>
    <t>Diversity Innovation Hub</t>
  </si>
  <si>
    <t>420709-42P</t>
  </si>
  <si>
    <t>Sercan Ozcan</t>
  </si>
  <si>
    <t>Sercan</t>
  </si>
  <si>
    <t>Ozcan</t>
  </si>
  <si>
    <t>Mr. Sercan Ozcan serves as Partner, Finance &amp; Operations at AlleyCorp. Prior to joining Alleycorp, he was the founder and CIO of Mergen Capital Management. Earlier in his career, he worked at Brown Brothers Harriman, Nomura and Is Investment Securities. He holds an MBA degree from The Wharton School and a BSc degree from Bogazici University.</t>
  </si>
  <si>
    <t>sercan@alleycorp.com</t>
  </si>
  <si>
    <t>Partner, Finance &amp; Operations</t>
  </si>
  <si>
    <t>227033-29P</t>
  </si>
  <si>
    <t>Susannah Shipton</t>
  </si>
  <si>
    <t>Susannah</t>
  </si>
  <si>
    <t>Shipton</t>
  </si>
  <si>
    <t>Ms. Susannah Shipton serves as Partner at AlleyCorp. She also serves as Advisor at Alley Robotics Ventures. She served as Advisor at Mixo. Prior to joining AlleyCorp, she led business strategy and operations at Artsy. She graduated from Princeton.</t>
  </si>
  <si>
    <t>susannah@alleycorp.com</t>
  </si>
  <si>
    <t>342919-09P</t>
  </si>
  <si>
    <t>Tanya Beja</t>
  </si>
  <si>
    <t>Tanya</t>
  </si>
  <si>
    <t>Beja</t>
  </si>
  <si>
    <t>Ms. Tanya Beja serves as General Partner at AlleyCorp. Ms. Beja serves as Board Member at Stepful and Upwage. Prior to AlleyCorp, she worked at Blue Marble Microinsurance, Robin Hood Foundation, and IGNIA Partners. She holds a master's degree in public policy from the Harvard Kennedy School of Government and a BA summa cum laude from Tufts University.</t>
  </si>
  <si>
    <t>tanya@alleycorp.com</t>
  </si>
  <si>
    <t>238015-09P</t>
  </si>
  <si>
    <t>William Georges</t>
  </si>
  <si>
    <t>Georges</t>
  </si>
  <si>
    <t>Entrepreneur-in-Residence &amp; Partner</t>
  </si>
  <si>
    <t>Mr. William Georges serves as Partner &amp; Executive-in-Residence at AlleyCorp. He serves as a Board Member at Siftwell. He served as a Board Observer at Solera. He served as a Board Member at Abacus Insights. He was previously Senior Vice President and Chief Strategy Officer at Horizon Blue Cross Blue Shield of New Jersey. In his role as Senior Vice President and Chief Strategy Officer, Bill was responsible for developing and overseeing the Company's corporate strategy, expanding its business development, and leading the Strategic Initiatives Group, which develops and implements key business programs. He also led the Company's Enterprise Project Management Office and Business Process Improvement functions and managed the Company's venture fund investments. Before his nearly 15 years at Horizon Blue Cross, Bill was Vice President and Senior Analyst at J.P. Morgan Securities, whereas as a sell-side analyst, he covered the managed care industry. Bill holds a Bachelor's degree, magna cum laude, in Economics from Brown University, a Juris Doctor degree from Villanova University, and an MBA in Entrepreneurial Management and Finance from the Wharton School at the University of Pennsylvania.</t>
  </si>
  <si>
    <t>+1 (212) 622-4245</t>
  </si>
  <si>
    <t>bill@alleycorp.com</t>
  </si>
  <si>
    <t>Partner &amp; Executive-in-Residence</t>
  </si>
  <si>
    <t>371435-86P</t>
  </si>
  <si>
    <t>Youssef Kalad</t>
  </si>
  <si>
    <t>Youssef</t>
  </si>
  <si>
    <t>Kalad</t>
  </si>
  <si>
    <t>Mr. Youssef Kalad is an Investor at AlleyCorp. He specializes in investments in its Impact fund. His areas of focus include education, government technology, healthcare, workforce, and financial security. He holds a BA from the University of Chicago and an MBA from the Wharton School.</t>
  </si>
  <si>
    <t>+1 (201) 467-6556</t>
  </si>
  <si>
    <t>youssef@alleycorp.com</t>
  </si>
  <si>
    <t>343239-94P</t>
  </si>
  <si>
    <t>Abdou Seck</t>
  </si>
  <si>
    <t>Abdou</t>
  </si>
  <si>
    <t>Seck</t>
  </si>
  <si>
    <t>Alumni Ventures</t>
  </si>
  <si>
    <t>Mr. Abdou Seck serves as Senior Software Engineer II - Data Infrastructure at Alumni Ventures.</t>
  </si>
  <si>
    <t>+1 (603) 518-8112</t>
  </si>
  <si>
    <t>abdou@av.vc</t>
  </si>
  <si>
    <t>Manchester</t>
  </si>
  <si>
    <t>Manchester, NH</t>
  </si>
  <si>
    <t>670 North Commercial Street</t>
  </si>
  <si>
    <t>Suite 403</t>
  </si>
  <si>
    <t>New Hampshire</t>
  </si>
  <si>
    <t>03101</t>
  </si>
  <si>
    <t>Senior Software Engineer II - Data Infrastructure</t>
  </si>
  <si>
    <t>356347-45P</t>
  </si>
  <si>
    <t>Aisha Robinson</t>
  </si>
  <si>
    <t>Aisha</t>
  </si>
  <si>
    <t>Robinson</t>
  </si>
  <si>
    <t>Ms. Aisha Robinson serves as Vice President of Performance Marketing at Alumni Ventures. She is an experienced marketing professional with over 15 years' experience in developing and executing successful demand generation and marketing strategies. With a data-driven approach attributed to her background in corporate finance, she uses the latest marketing technologies and strategies to identify and engage with market targets, resulting in increased sales and revenue. Prior to joining Alumni Ventures she held leadership positions at several B2B SaaS start-ups. She holds a BA in Economics from the University of Massachusetts Amherst and an MBA in Marketing from Michigan State University.</t>
  </si>
  <si>
    <t>aisha@av.vc</t>
  </si>
  <si>
    <t>Vice President of Performance Marketing</t>
  </si>
  <si>
    <t>430617-79P</t>
  </si>
  <si>
    <t>Akshata Bailkeri</t>
  </si>
  <si>
    <t>Akshata</t>
  </si>
  <si>
    <t>Bailkeri</t>
  </si>
  <si>
    <t>Ms. Akshata Bailkeri serves as Senior Associate, Waterman &amp; 116 Street at Alumni Ventures.</t>
  </si>
  <si>
    <t>akshata@av.vc</t>
  </si>
  <si>
    <t>Senior Associate, Waterman &amp; 116 Street</t>
  </si>
  <si>
    <t>326638-54P</t>
  </si>
  <si>
    <t>Alex Shender</t>
  </si>
  <si>
    <t>Shender</t>
  </si>
  <si>
    <t>Mr. Alex Shender serves as Investor Advisory Council Member at Alumni Ventures. He is a seasoned financial technology professional and a pioneer in the High Frequency Trading industry. He joined Tower Research Capital in 2000 and guided the firm from a core team of a dozen to over 700 employees. As the Chief Information Officer responsible for all technology aspects at Tower, he led a team of 70 employees and grew the trading activities to over 100 markets, with servers spread across 60+ data centers globally. He stepped down from day-to-day operations in 2015 and remains an active partner. He has also served on the advisory board for Tecnologika, a financial markets-focused technology provider, and an angel investor in a handful of companies across various industries. He earned both his BS and MS in Computer Science from Columbia University.</t>
  </si>
  <si>
    <t>Investor Advisory Council Member</t>
  </si>
  <si>
    <t>277781-14P</t>
  </si>
  <si>
    <t>Alexander Wisneski</t>
  </si>
  <si>
    <t>Wisneski</t>
  </si>
  <si>
    <t>Mr. Alexander Wisneski serves as Investor Relations Manager at Alumni Ventures. Mr. Wisneski served as Manager at Chestnut Street Ventures. He holds Bachelor's of Arts degrees in Economics and Psychology from Vassar College.</t>
  </si>
  <si>
    <t>Investor Relations Manager</t>
  </si>
  <si>
    <t>170992-45P</t>
  </si>
  <si>
    <t>Alim Giga</t>
  </si>
  <si>
    <t>Alim</t>
  </si>
  <si>
    <t>Giga</t>
  </si>
  <si>
    <t>Mr. Alim Giga serves as a Partner, Spike &amp; Deep Tech Fund at Alumni Ventures. He is a Partner at Spike Ventures, AV's fund for Stanford alums. Before joining AV, he worked at American Express Ventures and GE Ventures, focusing on enterprise, B2B, fintech, and AI/ML investments. Prior to investing, He worked in tech at Google, where he generated revenue for advertisers and managed a $100M book of business. He also spent time at PayPal in product marketing and Instart Logic, a startup backed by a16z and KPCB, where he focused on business development and partnerships. He holds a BS in Business and Accounting from the University of Southern California where he graduated magna cum laude, an MS in Management Science &amp; Engineering from Stanford University, and an MBA from The Wharton School.</t>
  </si>
  <si>
    <t>alim@av.vc</t>
  </si>
  <si>
    <t>Partner, Spike &amp; Deep Tech Fund</t>
  </si>
  <si>
    <t>356347-72P</t>
  </si>
  <si>
    <t>Amanda Roney</t>
  </si>
  <si>
    <t>Amanda</t>
  </si>
  <si>
    <t>Roney</t>
  </si>
  <si>
    <t>Ms. Amanda Roney serves as Community Manager at Alumni Ventures.</t>
  </si>
  <si>
    <t>amanda@av.vc</t>
  </si>
  <si>
    <t>Community Manager</t>
  </si>
  <si>
    <t>309026-17P</t>
  </si>
  <si>
    <t>Andrew Baum</t>
  </si>
  <si>
    <t>Baum</t>
  </si>
  <si>
    <t>Mr. Andrew Baum serves as Vice President, Treasury and Capital Management at Alumni Ventures.</t>
  </si>
  <si>
    <t>andrew.baum@av.vc</t>
  </si>
  <si>
    <t>Vice President, Treasury and Capital Management</t>
  </si>
  <si>
    <t>42792-49P</t>
  </si>
  <si>
    <t>Andrew Ervin</t>
  </si>
  <si>
    <t>Ervin</t>
  </si>
  <si>
    <t>Mr. Andrew Ervin serves as Deputy Chief Investment Officer at Alumni Ventures. He also serves as Deputy Chief Investment Officer at Chestnut Street Ventures. Mr. Ervin also served as the Senior Vice President of Finance and Administration at MiniLuxe. He most recently served as Principal at The Parthenon Group, developing growth strategies for clients in the retail and consumer goods industries. He holds a bachelor's degree from Penn State University and an MBA from the Tuck School of Business at Dartmouth.</t>
  </si>
  <si>
    <t>+1 (603) 498-1373</t>
  </si>
  <si>
    <t>andy@avgfunds.com</t>
  </si>
  <si>
    <t>Deputy Chief Investment Officer</t>
  </si>
  <si>
    <t>129905-56P</t>
  </si>
  <si>
    <t>Andrew Padilla</t>
  </si>
  <si>
    <t>Padilla</t>
  </si>
  <si>
    <t>Mr. Andrew Padilla serves as Partner, 116 Street &amp;and Doctors Innovate Fund at Alumni Ventures. Prior to joining Alumni Ventures, he was an investor at Mithril Capital, a multi-stage global investment firm backed by Peter Thiel (co-founder of PayPal &amp; Founders Fund), where he focused on deep tech and enterprise software investments. He began his career as a CPA with Big Four accounting firm Ernst &amp; Young. He holds a BBA from Baylor University and an MBA from Columbia Business School.</t>
  </si>
  <si>
    <t>andrew.padilla@av.vc</t>
  </si>
  <si>
    <t>183 Madison Avenue</t>
  </si>
  <si>
    <t>Suite 1800</t>
  </si>
  <si>
    <t>Partner, 116 Street &amp; Doctors Innovate Fund</t>
  </si>
  <si>
    <t>64386-10P</t>
  </si>
  <si>
    <t>Andrew Ressler Ph.D</t>
  </si>
  <si>
    <t>Ressler</t>
  </si>
  <si>
    <t>Dr. Andrew Ressler serves as Chief Technology Officer at Alumni Ventures. Dr. Ressler Co-Founded and served as President at HubAnalytics. He served as Executive Vice President, Consumer Products at EverQuote. Prior to founding HubAnalytics, Andrew was a VP at Majesco Entertainment. There he led the development, deployment, and customer support of new Facebook, web, and mobile games. Before that Andrew was the VP/GM of the website Helium.com, which at that time drew over 9 million unique visitors per month to over 1 MM articles on 100K topics. He managed the user acquisition efforts through SEO and SEM and the monetization of those users. Prior to that, Andrew was the VP/GM of Search at Miva, an advertising network. He also founded Radnet, a provider of web development tools, and he was the inventor of Lotus Forms. Andrew holds a PhD in Artificial Intelligence, an MS in Computer Science and two BS degrees from MIT.</t>
  </si>
  <si>
    <t>andrew.ressler@avgfunds.com</t>
  </si>
  <si>
    <t>55473-40P</t>
  </si>
  <si>
    <t>Beth Obermiller</t>
  </si>
  <si>
    <t>Beth</t>
  </si>
  <si>
    <t>Obermiller</t>
  </si>
  <si>
    <t>Controller &amp; Executive Vice President</t>
  </si>
  <si>
    <t>Ms. Beth Obermiller serves as Chief of Staff, Executive Vice President &amp; Board Member at Alumni Ventures. She also is the President of Big Idea Group, Inc., and has been in that office since 2008. She also served as Vice President of Big Idea Group, from 2002 to 2008. Her responsibilities include client relations, operations, marketing, and product development. From 1995 to 2000 she served as Vice-President of Product Development at Kid Galaxy, a specialty retailer. At Kid Galaxy, she managed the development of products from concept to manufacturing and oversaw the production of marketing materials and corporate collateral. From 1994 to 1995, she was Executive Editor of PREP, a children's educational venture at Pleasant Company (creator and distributor of dolls, books, and ancillary products), where she supervised the editorial development of a reading program. From 1993 to 1994, she was Vice-President of the Software Division at VictorMaxx Technologies, where she recruited software developers for the company's virtual reality headset. She started her career as an Editor and Managing Editor, working for Iowa State University Press from 1982 to 1983 and for educational publisher Perfection Form Company from 1983 to 1992. She holds a B.A. in English from Grinnell College and an M.A. in English Language and Literature from the University of Michigan.</t>
  </si>
  <si>
    <t>beth@avgfunds.com</t>
  </si>
  <si>
    <t>Chief of Staff, Executive Vice President &amp; Board Member</t>
  </si>
  <si>
    <t>297015-94P</t>
  </si>
  <si>
    <t>Brandon Osian</t>
  </si>
  <si>
    <t>Brandon</t>
  </si>
  <si>
    <t>Osian</t>
  </si>
  <si>
    <t>Mr. Brandon Osian serves as Senior Community Manager at Alumni Ventures.</t>
  </si>
  <si>
    <t>brandon.osian@av.vc</t>
  </si>
  <si>
    <t>Senior Community Manager</t>
  </si>
  <si>
    <t>277754-23P</t>
  </si>
  <si>
    <t>Brandon Ossinger</t>
  </si>
  <si>
    <t>Ossinger</t>
  </si>
  <si>
    <t>Mr. Brandon Ossinger served as Principal Data Analyst at Alumni Ventures Group.</t>
  </si>
  <si>
    <t>brandon.ossinger@avgfunds.com</t>
  </si>
  <si>
    <t>Principal Data Analyst</t>
  </si>
  <si>
    <t>192725-74P</t>
  </si>
  <si>
    <t>Brian Keil</t>
  </si>
  <si>
    <t>Keil</t>
  </si>
  <si>
    <t>Mr. Brian Keil serves as Managing Partner, Chestnut Street &amp; Triphammer at Alumni Ventures. Mr. Keil serves as Managing Partner at Chestnut Street Ventures. He served as Managing Director at New York Ventures. He is a seasoned venture capitalist with over 20 years of investing experience across a range of industries. Before joining Chestnut Street Ventures, He was the Managing Director for New York Ventures, the venture capital arm of the State of New York. Prior to New York Ventures, he was VP of Strategy &amp; Corporate Development at Arbitron (now Nielsen Audio) and a Managing Director at the Peacock Fund, the venture capital arm of NBC Universal. Before joining the Peacock Fund, he worked at GE Capital and Bain &amp; Co. He holds an MBA in Finance from The Wharton School and a BS in Industrial Engineering from The University of Southern California.</t>
  </si>
  <si>
    <t>+1 (212) 803-3261</t>
  </si>
  <si>
    <t>brian@av.vc</t>
  </si>
  <si>
    <t>7 Post Office Square</t>
  </si>
  <si>
    <t>Managing Partner, Chestnut Street &amp; Triphammer</t>
  </si>
  <si>
    <t>216729-64P</t>
  </si>
  <si>
    <t>Brook Stroud</t>
  </si>
  <si>
    <t>Brook</t>
  </si>
  <si>
    <t>Stroud</t>
  </si>
  <si>
    <t>Senior Principal</t>
  </si>
  <si>
    <t>Mr. Brook Stroud serves as Senior Principal, Congress Avenue, Ring and Doctors Innovate Fund at Alumni Ventures. He is a member of the Congress Avenue Ventures investment team with experience in operating and private investing. He began his career as an entrepreneur and is the former founder of two acquired consumer startups. Prior to joining Congress Avenue Ventures, he worked for Brand Foundry Ventures where his primary focus was early-stage investing, due diligence, and working with portfolio company founders. He is an active startup investor and brings to Congress Ave his passion for entrepreneurship, business strategy, and investing in bold founders disrupting categories with better products and technology. Prior to venture, he worked for financial technology startup Funding Circle preIPO. He has a BA in History cum laude from the University of Richmond and an MBA with a concentration in Finance from McCombs.</t>
  </si>
  <si>
    <t>brook@avgfunds.com</t>
  </si>
  <si>
    <t>Senior Principal, Congress Avenue, Ring &amp; Doctors Innovate Fund</t>
  </si>
  <si>
    <t>430618-69P</t>
  </si>
  <si>
    <t>Bryan Liu</t>
  </si>
  <si>
    <t>Mr. Bryan Liu serves as Senior Associate, AI First Fund &amp; Blockchain &amp; Fintech Fund at Alumni Ventures. Previously at PayPal, he led and managed seven acquisitions totaling over $7 billion and conducted due diligence on numerous venture investments. Previously at Deloitte, he advised high-profile clients such as Google, Disney, and Sony Pictures on strategy and transaction initiatives. He supported Disney in the integration of 21st Century Fox and the launch of Disney+. He earned a BS from University of Southern California and MBA at Northwestern University's Kellogg School of Management.</t>
  </si>
  <si>
    <t>bryan@av.vc</t>
  </si>
  <si>
    <t>Senior Associate, AI First Fund &amp; Blockchain &amp; Fintech Fund</t>
  </si>
  <si>
    <t>417691-45P</t>
  </si>
  <si>
    <t>Cade Frucci</t>
  </si>
  <si>
    <t>Cade</t>
  </si>
  <si>
    <t>Frucci</t>
  </si>
  <si>
    <t>Mr. Cade Frucci serves as Email Marketing Associate at Alumni Ventures.</t>
  </si>
  <si>
    <t>cade@av.vc</t>
  </si>
  <si>
    <t>Email Marketing Associate</t>
  </si>
  <si>
    <t>139725-73P</t>
  </si>
  <si>
    <t>Carl Choi</t>
  </si>
  <si>
    <t>Carl</t>
  </si>
  <si>
    <t>Mr. Carl Choi serves as a Partner, Strawberry Creek &amp; Deep Tech Fund at Alumni Ventures. Mr. Choi served as Principal at Solasta Ventures. He joined Solasta Ventures Silicon Valley office in January 2021 and brought more than a decade of experience in corporate development/strategy, venture capital, investment banking, finance, and portfolio management. As a director of corporate strategy at Upwork, he has led strategic initiatives in creating economic opportunities through a human cloud marketplace. He served as Director, Corporate Development and Strategy at Riverbed Technology. Previously, he served as an Investment Banking Summer Associate at J.P. Morgan. Hailing from Canada, he holds a double degree in Mathematics and Business Administration from the University of Waterloo and Wilfrid Laurier University respectively, and an MBA from UC Berkeley Haas.</t>
  </si>
  <si>
    <t>carl@av.vc</t>
  </si>
  <si>
    <t>Partner, Strawberry Creek &amp; Deep Tech Fund</t>
  </si>
  <si>
    <t>190270-99P</t>
  </si>
  <si>
    <t>Chris Sacharuk</t>
  </si>
  <si>
    <t>Sacharuk</t>
  </si>
  <si>
    <t>Mr. Chris Sacharuk serves as Director, Investor Relations at Alumni Ventures. He also served as Investor Relations Manager at Chestnut Street Ventures.</t>
  </si>
  <si>
    <t>chris.sacharuk@avgfunds.com</t>
  </si>
  <si>
    <t>15395-68P</t>
  </si>
  <si>
    <t>Chris Sklarin</t>
  </si>
  <si>
    <t>Sklarin</t>
  </si>
  <si>
    <t>Mr. Chris Sklarin serves as Managing Partner, Castor at Alumni Ventures. Previously, he served as Board Advisor at Vinya Intelligence. He served as Vice President at Edison Partners. He has over 20 years of experience in tech investing, product development, and sales engineering. He has invested over $60M in companies from the seed to the venture stage. Most recently, he was Vice President at Edison Partners, where he focused on investments for Enterprise 2.0 and mobile. Previously, he was a Director of Business Development with biomedical venture accelerator BioEnterprise and Director of Business Development with Chrysalis Ventures. Earlier, at JumpStart, a nationally recognized venture development organization, he sourced and executed seed investments. He has an SB EE from MIT ('88) and an MBA from the University of California at Berkeley's Haas School of Business.</t>
  </si>
  <si>
    <t>+1 (216) 658-3965</t>
  </si>
  <si>
    <t>chris@av.vc</t>
  </si>
  <si>
    <t>Managing Partner, Castor</t>
  </si>
  <si>
    <t>452442-97P</t>
  </si>
  <si>
    <t>Clare Brandfonbrener</t>
  </si>
  <si>
    <t>Clare</t>
  </si>
  <si>
    <t>Brandfonbrener</t>
  </si>
  <si>
    <t>Ms. Clare Brandfonbrener serves as Senior Associate, Purple Arch &amp; Lakeshore &amp; Strategic Tech Fund at Alumni Ventures. Her work spans both the public and private sectors-from prosecuting complex criminal networks at the Manhattan DA's Office to driving strategic insight at frontier tech startups, such as Skydio and SandboxAQ.</t>
  </si>
  <si>
    <t>clare@av.vc</t>
  </si>
  <si>
    <t>Chicago</t>
  </si>
  <si>
    <t>Chicago, IL</t>
  </si>
  <si>
    <t>121 West Wacker Drive</t>
  </si>
  <si>
    <t>34th Floor</t>
  </si>
  <si>
    <t>Illinois</t>
  </si>
  <si>
    <t>60601</t>
  </si>
  <si>
    <t>Senior Associate, Purple Arch &amp; Lakeshore &amp; Strategic Tech Fund</t>
  </si>
  <si>
    <t>241737-58P</t>
  </si>
  <si>
    <t>Cody Aubin</t>
  </si>
  <si>
    <t>Cody</t>
  </si>
  <si>
    <t>Aubin</t>
  </si>
  <si>
    <t>Mr. Cody Aubin serves as Senior Manager - AV Fundraise Service &amp; Operations at Alumni Ventures.</t>
  </si>
  <si>
    <t>cody@avgfunds.com</t>
  </si>
  <si>
    <t>Senior Manager - AV Fundraise Service &amp; Operations</t>
  </si>
  <si>
    <t>227242-36P</t>
  </si>
  <si>
    <t>Colin Van Ostern</t>
  </si>
  <si>
    <t>Colin</t>
  </si>
  <si>
    <t>Van Ostern</t>
  </si>
  <si>
    <t>Mr. Colin Van Ostern serves as Executive in Residence at Alumni Ventures. Mr. Colin Van Ostern served as Vice President of Workforce Initiatives at Southern New Hampshire University Endowment. He is an entrepreneurial business leader with experience leading high-growth ventures in higher education, tech, CPG, and politics &amp; government. Most recently, he served as Vice President of Workforce Solutions for Southern New Hampshire University and was on the founding executive team for SNHU's online College for America, which he helped launch and grow to more than 10,000 students and graduates nationwide. He holds a BA in International Studies from George Washington University and an MBA from the Tuck School of Business at Dartmouth.</t>
  </si>
  <si>
    <t>colin@av.vc</t>
  </si>
  <si>
    <t>Executive in Residence</t>
  </si>
  <si>
    <t>233197-84P</t>
  </si>
  <si>
    <t>Daniel Burns</t>
  </si>
  <si>
    <t>Burns</t>
  </si>
  <si>
    <t>Senior Partner</t>
  </si>
  <si>
    <t>Mr. Daniel Burns serves as Senior Partner at Alumni Ventures Group.</t>
  </si>
  <si>
    <t>dan@avgfunds.com</t>
  </si>
  <si>
    <t>235200-16P</t>
  </si>
  <si>
    <t>Darrin Wizst</t>
  </si>
  <si>
    <t>Darrin</t>
  </si>
  <si>
    <t>Wizst</t>
  </si>
  <si>
    <t>Mr. Darrin Wizst serves as Senior Partner at Alumni Ventures Group. He serves as Senior Partner at Chestnut Street Ventures. He is an investment professional with an extensive background in financial services and B2B. Throughout his 25 years career, he has worked with individual investors, investment advisors and their clients, and institutional (foundations and endowments) clients, with various investment vehicles including mutual funds, separately managed accounts, socially responsible portfolios, and alternative investments. He earned a BA in Economics &amp; Public Management from UMaine and an MBA from Boston College.</t>
  </si>
  <si>
    <t>darrin@avgfunds.com</t>
  </si>
  <si>
    <t>159458-59P</t>
  </si>
  <si>
    <t>David Beazley</t>
  </si>
  <si>
    <t>Beazley</t>
  </si>
  <si>
    <t>Mr. David Beazley serves as Managing Partner, Purple Arch &amp; Lakeshore &amp; Westwood at Alumni Ventures. He has played a leading role in many aspects of the VC investment cycle: structuring transactions as a fundless sponsor, improving operations as a consultant, leading management teams as a CEO, evaluating opportunities as an investor and advisor, and selling companies as a licensed business broker. Previously, he founded Synergy Financial, a private capital and consulting firm for entrepreneurs, PE professionals, and family offices. He started his investment career as a professional advisor managing millions in assets. Mr. Beazley served as an Advisor at VDOSH. He has undergraduate and graduate degrees from Northwestern and played for the two-time Big Ten Championship Northwestern Wildcats Football Team. He serves on the NUvention and Kellogg Entrepreneurial Center Advisory Boards.</t>
  </si>
  <si>
    <t>+1 (630) 673-2440</t>
  </si>
  <si>
    <t>dbeazley@av.vc</t>
  </si>
  <si>
    <t>Managing Partner, Purple Arch &amp; Lakeshore &amp; Westwood</t>
  </si>
  <si>
    <t>241770-34P</t>
  </si>
  <si>
    <t>David Mailhiot</t>
  </si>
  <si>
    <t>Mailhiot</t>
  </si>
  <si>
    <t>Mr. David Mailhiot serves as Marketing Applications Support Specialist at Alumni Ventures.</t>
  </si>
  <si>
    <t>davidm@avgfunds.com</t>
  </si>
  <si>
    <t>Marketing Applications Support Specialist</t>
  </si>
  <si>
    <t>252947-89P</t>
  </si>
  <si>
    <t>David Muson</t>
  </si>
  <si>
    <t>Muson</t>
  </si>
  <si>
    <t>Mr. David Muson serves as Chief Financial Officer at Alumni Ventures. He served as Chief Financial Officer at Qapital. He served as Chief Financial Officer at tempCFO.</t>
  </si>
  <si>
    <t>dave@av.vc</t>
  </si>
  <si>
    <t>126173-08P</t>
  </si>
  <si>
    <t>David Shapiro</t>
  </si>
  <si>
    <t>Shapiro</t>
  </si>
  <si>
    <t>Board Member &amp; Managing Partner</t>
  </si>
  <si>
    <t>Mr. David Shapiro serves as Managing Partner &amp; Board Member at Alumni Ventures. He has over 25 years of experience as an investor, advisor, and board member, with expertise across early and late-stage venture capital, growth investing, and secondary deals, as well as in technology operations and entrepreneurship. Before joining the Alumni Ventures Group, he was Senior VP of Corporate Development and Business Development for DataXu, a marketer-aligned data, and analytics company. Prior to his time at DataXu, he was a Director with the global venture and private equity firm 3i and a Managing Partner at Great Point Capital (established to manage a venture portfolio spun off from 3i.) He received his BA in History from Yale in 1991, and an MBA from the Tuck School of Business at Dartmouth in 2000.</t>
  </si>
  <si>
    <t>david@av.vc</t>
  </si>
  <si>
    <t>Managing Partner &amp; Board Member</t>
  </si>
  <si>
    <t>297004-51P</t>
  </si>
  <si>
    <t>Dolla Seng</t>
  </si>
  <si>
    <t>Dolla</t>
  </si>
  <si>
    <t>Seng</t>
  </si>
  <si>
    <t>Ms. Dolla Seng serves as Tax Director at Alumni Ventures.</t>
  </si>
  <si>
    <t>dolla@av.vc</t>
  </si>
  <si>
    <t>Tax Director</t>
  </si>
  <si>
    <t>212356-27P</t>
  </si>
  <si>
    <t>Drew Wandzilak</t>
  </si>
  <si>
    <t>Drew</t>
  </si>
  <si>
    <t>Wandzilak</t>
  </si>
  <si>
    <t>Mr. Drew Wandzilak serves as Senior Associate, Green D &amp; Yard &amp; Strategic Tech Fund at Alumni Ventures. He has worked in high-growth industries as both an investor and operator, focusing on how people and technology interact within organizations. His venture experience began at AV's Seed Fund, identifying and supporting early-stage founders across a variety of industries. This experience led him to join Holistic Industries, a leading private multi-state operator of cannabis cultivation facilities and dispensaries, where he focused on business intelligence, corporate development, and M&amp;A. Prior to rejoining AV, he worked with the founding team of Mirage, an NFT marketplace and view layer for augmented reality assets. He has a BS from Northwestern University in Education and Social Policy with concentrations in Learning &amp; Organizational Change and Entrepreneurship.</t>
  </si>
  <si>
    <t>drew@av.vc</t>
  </si>
  <si>
    <t>Senior Associate, Green D &amp; Yard &amp; Strategic Tech Fund</t>
  </si>
  <si>
    <t>225624-79P</t>
  </si>
  <si>
    <t>Erin Burke</t>
  </si>
  <si>
    <t>Erin</t>
  </si>
  <si>
    <t>Burke</t>
  </si>
  <si>
    <t>Ms. Erin Burke serves as Portfolio Monitoring Director at Alumni Ventures.</t>
  </si>
  <si>
    <t>erin@av.vc</t>
  </si>
  <si>
    <t>Portfolio Monitoring Director</t>
  </si>
  <si>
    <t>152749-99P</t>
  </si>
  <si>
    <t>Evy Chen</t>
  </si>
  <si>
    <t>Evy</t>
  </si>
  <si>
    <t>Chen</t>
  </si>
  <si>
    <t>Ms. Evy Chen serves as Principal, Castor Ventures at Alumni Ventures. She and also served as Chief Executive Officer and Board Member at Evy Tea.</t>
  </si>
  <si>
    <t>evy@av.vc</t>
  </si>
  <si>
    <t>Principal, Castor Ventures</t>
  </si>
  <si>
    <t>319035-88P</t>
  </si>
  <si>
    <t>Garrett Moloney</t>
  </si>
  <si>
    <t>Garrett</t>
  </si>
  <si>
    <t>Moloney</t>
  </si>
  <si>
    <t>Mr. Garrett Moloney serves as Senior Digital Marketing Specialist at Alumni Ventures.</t>
  </si>
  <si>
    <t>garrett@av.vc</t>
  </si>
  <si>
    <t>Senior Digital Marketing Specialist</t>
  </si>
  <si>
    <t>277758-01P</t>
  </si>
  <si>
    <t>Gordon Fung</t>
  </si>
  <si>
    <t>Fung</t>
  </si>
  <si>
    <t>Mr. Gordon Fung serves as Manager at Alumni Ventures.</t>
  </si>
  <si>
    <t>gordon.fung@avgfunds.com</t>
  </si>
  <si>
    <t>332082-01P</t>
  </si>
  <si>
    <t>Graham Sweetnam</t>
  </si>
  <si>
    <t>Graham</t>
  </si>
  <si>
    <t>Sweetnam</t>
  </si>
  <si>
    <t>Mr. Graham Sweetnam serves as Investor Relations Manager at Alumni Ventures.</t>
  </si>
  <si>
    <t>graham@av.vc</t>
  </si>
  <si>
    <t>115691-14P</t>
  </si>
  <si>
    <t>Gregory Baker</t>
  </si>
  <si>
    <t>Baker</t>
  </si>
  <si>
    <t>Mr. Gregory Baker serves as Managing Partner, Bascom &amp; Towerview &amp; Sports Fund at Alumni Ventures. Mr. Baker serves as a Managing Partner at Towerview Ventures. Greg is a highly accomplished executive with experience in corporate leadership, business development, startups, M&amp;A, strategic planning, and more. He has spent much of his career growing business in the electrical products, packaging, and chemical industries. Throughout, he has been buying, selling, and combining companies to fit strategic goals. Previously, Greg served as President and CEO of 2D2C, developing safer energy-saving products. Greg was also VP of Corporate Development and Acting Division President for a high-tech subsidiary at Woodhead Industries and Director of Corporate Development for Tenneco. Greg has a BS in Mechanical Engineering from the University of Wisconsin ('86) and an MBA from the Fuqua School of Business, Duke University.</t>
  </si>
  <si>
    <t>+1 (847) 445-1249</t>
  </si>
  <si>
    <t>greg@av.vc</t>
  </si>
  <si>
    <t>Managing Partner, Bascom &amp; Towerview &amp; Sports Fund</t>
  </si>
  <si>
    <t>356349-16P</t>
  </si>
  <si>
    <t>Henry White</t>
  </si>
  <si>
    <t>Henry</t>
  </si>
  <si>
    <t>White</t>
  </si>
  <si>
    <t>Mr. Henry White serves as Community Manager at Alumni Ventures.</t>
  </si>
  <si>
    <t>henry@av.vc</t>
  </si>
  <si>
    <t>209407-33P</t>
  </si>
  <si>
    <t>Hilary Ncala</t>
  </si>
  <si>
    <t>Hilary</t>
  </si>
  <si>
    <t>Ncala</t>
  </si>
  <si>
    <t>Ms. Hilary Ncala serves as Senior Vice President of Investor Relations at Alumni Ventures. She also served Director, Community Engagement at Green D Ventures. She also served as Vice President, Investor Relations at Chestnut Street Ventures. She also serves as Vice President &amp; Head of Investor Engagement of Sole Manager at Castor Ventures. Prior to joining AVG, she was a Staffing Executive and Program Manager at Robert Half. Previous positions include Retirement Planning &amp; Guidance Consultant for Fidelity and an Investor Assistant for an independent investor. She has a Bachelor of Science, Business Management &amp; Marketing from Fisher College.</t>
  </si>
  <si>
    <t>hilary@avgfunds.com</t>
  </si>
  <si>
    <t>Senior Vice President of Investor Relations</t>
  </si>
  <si>
    <t>381608-74P</t>
  </si>
  <si>
    <t>Jack Barlow</t>
  </si>
  <si>
    <t>Jack</t>
  </si>
  <si>
    <t>Barlow</t>
  </si>
  <si>
    <t>Mr. Jack Barlow serves as Chief Business Development Officer at Alumni Ventures.</t>
  </si>
  <si>
    <t>jack@av.vc</t>
  </si>
  <si>
    <t>Chief Business Development Officer</t>
  </si>
  <si>
    <t>118782-64P</t>
  </si>
  <si>
    <t>Jack Statza</t>
  </si>
  <si>
    <t>Statza</t>
  </si>
  <si>
    <t>Mr. Jack Statza serves as Partner, AI Fund &amp; Westwood at Alumni Ventures. He brings deep-tech venture investing expertise across sectors and stages to his work at Alumni Ventures. He was previously an early-stage investor at Allstate Strategic Ventures, the venture capital arm of Allstate Insurance Company, primarily focusing on AI/ML, Blockchain, and Enterprise SaaS. Before Allstate, He worked in investment banking at Lazard and at Livingstone in Chicago, executing M&amp;A transactions for technology clients. He was also a consultant at the Northern Trust Company, where he gained a deep understanding of the financial markets that blockchain is beginning to disrupt. He has been deeply involved in the blockchain space ever since he first mined Bitcoin in 2010 and is a personal crypto investor in many altcoin projects. He has an MBA from the University of Chicago Booth School of Business and a BBA from the University of Wisconsin-Madison, and he is a CFA charterholder.</t>
  </si>
  <si>
    <t>+1 (312) 670-5908</t>
  </si>
  <si>
    <t>jack.statza@av.vc</t>
  </si>
  <si>
    <t>Partner, AI Fund &amp; Westwood</t>
  </si>
  <si>
    <t>326637-28P</t>
  </si>
  <si>
    <t>Jafar Rizvi</t>
  </si>
  <si>
    <t>Jafar</t>
  </si>
  <si>
    <t>Rizvi</t>
  </si>
  <si>
    <t>Mr. Jafar Rizvi serves as Investor Advisory Council Member at Alumni Ventures. Jafar is a Partner at Harding Loevner, where he manages the Global and International Small Cap Funds. He has over 20 years of experience in investing, with a focus on the technology, media, and telecom industries. Previously, he worked at NDB Capital/Deutsche Bank and Franklin Templeton. He has an MPA in Economic Policy and Management from the School of International and Public Affairs at Columbia; an MBA in Computer Information Systems from Baruch College, CUNY; and undergraduate and Masters' degrees in Economics from Aligarh University and Jawaharlal Nehru University (JNU) in India.</t>
  </si>
  <si>
    <t>55473-76P</t>
  </si>
  <si>
    <t>James Gill</t>
  </si>
  <si>
    <t>Gill</t>
  </si>
  <si>
    <t>Director &amp; Founder</t>
  </si>
  <si>
    <t>Mr. James Gill is a Co-Founder and serves as Board Director at Alumni Ventures. Mr. Gill serves as Co-Founder &amp; Chief Executive Officer at Sun Valley Foods. He served as an Investment Committee Member at Green D Ventures. He serves as an Advisor at Bascom Ventures. He has served as an Advisor at Purple Arch Ventures. he is the Chief Financial Officer of sales at Vista del Sol Foods, LLC. In addition, he is the Director and General Partner at Eagle Holdings General Partners, a New Mexico Area Fund investment management for Laguna Development Corporation and the Laguna Pueblo. He is also an equity holder and member of the Board of Directors of Launch Angels Management Company, an affiliate of the Sponsor engaged to provide certain administrative and support services on behalf of the Fund and the Sponsor. Formerly, he was the CFO of Santa Fe Ingredients and earlier Finance Controller at Intel Corporation. At Intel, he managed the financial analysis and reporting groups for Intel's overseas assembly and testing manufacturing facilities. He is a former investment bank Bond Analyst and Fed funds trader. He graduated from Dartmouth with an AB in Economics and received an MBA from Northwestern University - Kellogg School of Management.</t>
  </si>
  <si>
    <t>jimg@launch-angels.com</t>
  </si>
  <si>
    <t>Co-Founder &amp; Board Director</t>
  </si>
  <si>
    <t>297016-66P</t>
  </si>
  <si>
    <t>Jason Bird</t>
  </si>
  <si>
    <t>Bird</t>
  </si>
  <si>
    <t>Mr. Jason Bird serves as Associate, Seed Fund at Alumni Ventures. Previously, he served as an Analyst at Yard Ventures, specializing in sourcing and conducting due diligence for investment opportunities across various stages. His professional background is primarily in sales, with significant experience in real estate and tech sales. He is also an entrepreneur, having co-founded Hinzu, a one-stop promotional outlet offering development, design, marketing, and startup advice services to artists. He is an alumnus of Babson College, where he earned a Bachelor of Science degree with a focus on entrepreneurship and finance.</t>
  </si>
  <si>
    <t>jason.bird@av.vc</t>
  </si>
  <si>
    <t>Associate, Seed Fund</t>
  </si>
  <si>
    <t>235179-28P</t>
  </si>
  <si>
    <t>Jeannie Masters</t>
  </si>
  <si>
    <t>Jeannie</t>
  </si>
  <si>
    <t>Masters</t>
  </si>
  <si>
    <t>Ms. Jeannie Masters serves as Senior Vice President of Communication at Alumni Ventures Group.As VP of Communications at AVG, she leads content and creative team to produce communications that inform, engage, and motivate. Previously, she was Director of Content Marketing for EnterpriseDB, a leading global provider of an open source-based data management platform based on Postgres. Prior to that, she was Senior Manager of Corporate Marketing for Connection, a Fortune 1000 technology solutions provider, where she was the chief designer of Connection's first content marketing strategy. Sheearned her MBA with a concentration in Marketing and Supply Chain from The University of New Hampshire.</t>
  </si>
  <si>
    <t>jeannie@avgfunds.com</t>
  </si>
  <si>
    <t>Senior Vice President of Communication</t>
  </si>
  <si>
    <t>213370-84P</t>
  </si>
  <si>
    <t>Jenna Beshara</t>
  </si>
  <si>
    <t>Jenna</t>
  </si>
  <si>
    <t>Beshara</t>
  </si>
  <si>
    <t>Ms. Jenna Beshara serves as Director of Community Operations at Alumni Ventures. She served as Investor Relations Manager at Chestnut Street Ventures. She was an Investor Service Representative at Putnam Investments, where she provided customer support to both clients and brokers. She is a graduate of Merrimack College, Girard School of Business, where she studied Business Administration with a dual major in Management and Marketing.</t>
  </si>
  <si>
    <t>jenna@avgfunds.com</t>
  </si>
  <si>
    <t>Director of Community Operations</t>
  </si>
  <si>
    <t>443393-65P</t>
  </si>
  <si>
    <t>Jennifer Rouse</t>
  </si>
  <si>
    <t>Jennifer</t>
  </si>
  <si>
    <t>Rouse</t>
  </si>
  <si>
    <t>Chief People Officer</t>
  </si>
  <si>
    <t>Ms. Jennifer Rouse serves as Chief People Officer at Alumni Ventures.</t>
  </si>
  <si>
    <t>jennifer.rouse@av.vc</t>
  </si>
  <si>
    <t>246008-98P</t>
  </si>
  <si>
    <t>Jin Kim</t>
  </si>
  <si>
    <t>Dr. Jin Kim serves as Senior Vice President of Office of Investments at Alumni Ventures. Mr. Kim served as Chief Growth Officer at Overwatch Imaging. He joined Overwatch Imaging in 2020 to drive sales and pursue strategic business opportunities. He was most recently VP of Strategy and Business Development with Airtech Group, a manufacturer of high-end industrial vacuum pumps. He was brought into Airtech by Eagletree Capital (formerly Wasserstein Perella) to develop and execute a global growth strategy, which he accomplished by penetrating new sectors, rolling out new products, and managing sales territories. Jin developed his passion for aerospace and autonomous systems at United Technologies Corporation (UTC), now Raytheon Technologies, where he was a Senior Director for Business Development. He created a business plan for UAV systems around the Piccolo Autopilot, identified revenue synergies for the UTC-Rockwell Collins merger, and helped initiate a digital incubator, now Raytheon Digital Startup Lab. He also led numerous sales and licensing transactions yielding significant incremental EBIT for the corporation. Prior to joining UTC, he was an Investment Principal at Coller Capital, a private equity firm, and a Manager for Special Projects at IPValue, an innovation investment bank. He started his career as a consultant with The Boston Consulting Group. Jin has a Ph.D. in physics from Oxford University where he wrote about optical quantum properties in semiconductors and graduated with a Diploma in physics from Cologne University in Germany.</t>
  </si>
  <si>
    <t>jin@avgfunds.com</t>
  </si>
  <si>
    <t>Senior Vice President of Office of Investments</t>
  </si>
  <si>
    <t>78771-70P</t>
  </si>
  <si>
    <t>John Zacamy</t>
  </si>
  <si>
    <t>Zacamy</t>
  </si>
  <si>
    <t>Mr. John Zacamy serves as Investor Advisory Council Member at Alumni Ventures. Mr. Zacamy served as the Chief Financial Officer at Autogenomics. He joined as Chief Financial Officer in September 2014, and prior to that served as a strategic advisor to the Company beginning in December 2009. Mr. Zacamy founded Zacamy &amp; Co. LLC, a strategic advisory firm with a focus on healthcare and technology, in 2009, and serves as Managing Director and President. From 2005 to 2009, Mr. Zacamy was Managing Director and President of Cross Lake Capital LLC, a private equity and investment firm. Mr. Zacamy held senior positions in investment banking at Morgan Stanley &amp; Co. Incorporated for 15 years, specializing in corporate finance, mergers and acquisitions, and capital markets transactions. Mr. Zacamy holds an A.B. from Colby College and an M.B.A. from the Tuck School of Business at Dartmouth College.</t>
  </si>
  <si>
    <t>251577-37P</t>
  </si>
  <si>
    <t>Keaton Nankivil</t>
  </si>
  <si>
    <t>Keaton</t>
  </si>
  <si>
    <t>Nankivil</t>
  </si>
  <si>
    <t>Mr. Keaton Nankivil serves as Senior Principal, Bascom and Sports Fund at Alumni Ventures. He has worked with both institutional and corporate venture teams and completed and MBA with a focus on entrepreneurship. He holds a BS in kinesiology from UW-Madison and an MBA from the Nicholas Center for Corporate Finance and Investment Banking from the Wisconsin School of Business.</t>
  </si>
  <si>
    <t>keaton@avgfunds.com</t>
  </si>
  <si>
    <t>Senior Principal, Bascom &amp; Sports Fund</t>
  </si>
  <si>
    <t>309039-49P</t>
  </si>
  <si>
    <t>Keli Anderson</t>
  </si>
  <si>
    <t>Keli</t>
  </si>
  <si>
    <t>Ms. Keli Anderson serves as Legal Associate and Senior Compliance Officer at Alumni Ventures.</t>
  </si>
  <si>
    <t>keli.anderson@av.vc</t>
  </si>
  <si>
    <t>Legal Associate and Senior Compliance Officer</t>
  </si>
  <si>
    <t>37702-27P</t>
  </si>
  <si>
    <t>Kenneth Zannoni</t>
  </si>
  <si>
    <t>Zannoni</t>
  </si>
  <si>
    <t>Mr. Kenneth Zannoni is the Co-Founder and serves as President &amp; Chief Wealth Officer at CW Advisors. He serves as an Investor Advisory Council Member at Alumni Ventures Previously he served as Senior Vice President, Managing Director &amp; Partner at Congress Wealth Management. He is also a member of the Congress Wealth Board of Trustees. His primary responsibility is establishing comprehensive financial plans and investment strategies for the firm's Family Office clients. He also supports the Congress Wealth team of financial advisors daily as well as the firm's ongoing growth initiatives. Ken is a certified financial planner and has over 20 years of experience advising clients on investment management, tax &amp; estate planning, retirement planning, and charitable planning. Before joining the firm, Ken was a Vice President within Fidelity Investments' Private Client Group where his team was responsible for servicing over $2 billion in High Net Worth client assets. In addition to being a CFP, he received a Certificate of Financial Planning through Boston University and certificates for Trust &amp; Estate Planning through the Cannon Financial Institute. He received his BS from the University of Massachusetts with a concentration in Finance and is a member of the National Financial Planning Association.</t>
  </si>
  <si>
    <t>+1 (617) 428-7600</t>
  </si>
  <si>
    <t>ken@congresswealth.com</t>
  </si>
  <si>
    <t>155 Seaport Boulevard, 3rd Floor</t>
  </si>
  <si>
    <t>02210</t>
  </si>
  <si>
    <t>+1 (617) 737-1818</t>
  </si>
  <si>
    <t>Co-Founder, President &amp; Chief Wealth Officer</t>
  </si>
  <si>
    <t>CW Advisors</t>
  </si>
  <si>
    <t>332077-96P</t>
  </si>
  <si>
    <t>Kirsten Bannan</t>
  </si>
  <si>
    <t>Kirsten</t>
  </si>
  <si>
    <t>Bannan</t>
  </si>
  <si>
    <t>Ms. Kirsten Bannan serves as Senior Social Media Manager at Alumni Ventures.</t>
  </si>
  <si>
    <t>kirsten.bannan@av.vc</t>
  </si>
  <si>
    <t>Senior Social Media Manager</t>
  </si>
  <si>
    <t>52469-02P</t>
  </si>
  <si>
    <t>Laura Rippy</t>
  </si>
  <si>
    <t>Rippy</t>
  </si>
  <si>
    <t>Ms. Laura Rippy serves as a Managing PArtner and Board Director at Alumni Ventures Group. She has operational experience across many tech sectors: mobile, consumer, internet, SaaS, cloud-based, marketing, and enterprise software. Most recently, she was a Managing Partner at Ripplecreek Partners' technology practice. Earlier, she was a General Partner at FA Technology Ventures, investing in early-stage tech companies. She also served as CEO at Handango, creating the first marketplace of mobile apps and growing the company into the Inc 500. At Microsoft, she co-founded Sidewalk.com and MSN HomeAdvisor as part of an elite swat team spun out of Bill Gates's office. She holds an MBA from Harvard Business School and an AB in Government from Dartmouth ('89).</t>
  </si>
  <si>
    <t>laura@av.vc</t>
  </si>
  <si>
    <t>Managing Partner &amp; Board Director</t>
  </si>
  <si>
    <t>369193-78P</t>
  </si>
  <si>
    <t>Liam Bulan</t>
  </si>
  <si>
    <t>Liam</t>
  </si>
  <si>
    <t>Bulan</t>
  </si>
  <si>
    <t>Mr. Liam Bulan serves as Vice President, Business Development/Capital Formation at Alumni Ventures. Mr. Bulan serves as Regional Associate Vice President at Bluerock.</t>
  </si>
  <si>
    <t>+1 (646) 701-5839</t>
  </si>
  <si>
    <t>liam.bulan@av.vc</t>
  </si>
  <si>
    <t>Vice President, Business Development/Capital Formation</t>
  </si>
  <si>
    <t>350020-45P</t>
  </si>
  <si>
    <t>Lucas Pasch</t>
  </si>
  <si>
    <t>Lucas</t>
  </si>
  <si>
    <t>Pasch</t>
  </si>
  <si>
    <t>Mr. Lucas Pasch serves as Senior Principal, Purple Arch &amp; Lakeshore at Alumni Ventures. He brings an operator's perspective to Venture Capital, having led teams at fast-growing startups in digital health, protection, and retail. Most recently, he led BizOps at LetsGetChecked, an at-home lab diagnostics company that helps people detect conditions early and live longer lives. He earned his MBA from Kellogg, where he focused on entrepreneurship and venture. He worked part-time while in business school as an investment associate at MATH Venture Partners, where he focused on evaluating early-stage SaaS investments and developed a passion for venture. He earned his undergraduate degree from the University of Michigan.</t>
  </si>
  <si>
    <t>lucas@av.vc</t>
  </si>
  <si>
    <t>Senior Principal, Purple Arch &amp; Lakeshore</t>
  </si>
  <si>
    <t>109168-39P</t>
  </si>
  <si>
    <t>Ludwig Schulze</t>
  </si>
  <si>
    <t>Ludwig</t>
  </si>
  <si>
    <t>Schulze</t>
  </si>
  <si>
    <t>Mr. Ludwig Schulze serves as Managing Partner, Waterman &amp; 116 Street at Alumni Ventures. He serves as an Investment Committee Member and Advisor at Van Wickle Ventures. He also serves as a Managing Partner at Waterman Ventures. He serves as Advisor at Cruisebound. Most recently, he was the Founder and CEO of Mistral Mobile. Prior to that, he was the Founder and CEO of a mobile payments business, General Manager of Digital Financial Services at Nokia, and venture investor with Groupe Arnault. At LVMH Venture Fund &amp; LPS Group, he was a venture investor and product manager. He began his career as a Strategy Consultant atThe Boston Consulting Group. He has a BA in Political Economy from Brown and an MBA from Columbia. He holds several patents and is an active investor.</t>
  </si>
  <si>
    <t>+1 (929) 379-6698</t>
  </si>
  <si>
    <t>ludwig@waterman-ventures.com</t>
  </si>
  <si>
    <t>Managing Partner, Waterman, 116 Street &amp; Doctors Innovate Fund</t>
  </si>
  <si>
    <t>235163-26P</t>
  </si>
  <si>
    <t>Luke Antal</t>
  </si>
  <si>
    <t>Luke</t>
  </si>
  <si>
    <t>Antal</t>
  </si>
  <si>
    <t>Mr. Luke Antal is a Co-Founder and serves as Chief Community Officer &amp; Director of Strategic Initiatives at Alumni Ventures. He is an experienced entrepreneur with a focus on marketing, sales operations, and customer experience. He has a background in private equity and has scaled several startups as employee #1, including bootstrapped, angel-backed, and venture-backed companies. His first company, Urban Escapes, was acquired by LivingSocial. He is also the Founder of the AVG Venture Fellow Program. He has an AB in Environmental Studies from Dartmouth College.</t>
  </si>
  <si>
    <t>luke@av.vc</t>
  </si>
  <si>
    <t>Co-Founder, Chief Community Officer &amp; Director of Strategic Initiatives</t>
  </si>
  <si>
    <t>343238-32P</t>
  </si>
  <si>
    <t>Manisha Vatsa</t>
  </si>
  <si>
    <t>Manisha</t>
  </si>
  <si>
    <t>Vatsa</t>
  </si>
  <si>
    <t>Ms. Manisha Vatsa serves as Senior Software Engineer at Alumni Ventures.</t>
  </si>
  <si>
    <t>manisha@av.vc</t>
  </si>
  <si>
    <t>Senior Software Engineer</t>
  </si>
  <si>
    <t>11598-22P</t>
  </si>
  <si>
    <t>Mark Edwards</t>
  </si>
  <si>
    <t>Edwards</t>
  </si>
  <si>
    <t>Mr. Mark Edwards serves as Chief Investment Officer &amp; Investor Advisory Council Member at Alumni Ventures. He served as Partner at Five Peaks Capital Management. He holds a BA with honors from Stanford University and an MBA with distinction from Tuck, where he graduated as an Edward Tuck Scholar.</t>
  </si>
  <si>
    <t>mark@av.vc</t>
  </si>
  <si>
    <t>Chief Investment Officer &amp; Investor Advisory Council Member</t>
  </si>
  <si>
    <t>326630-17P</t>
  </si>
  <si>
    <t>Mary Bedegi</t>
  </si>
  <si>
    <t>Bedegi</t>
  </si>
  <si>
    <t>Ms. Mary Bedegi serves as Investor Advisory Council Member at Alumni Ventures. She has held several key finance leadership positions with various Silicon Valley VC firms, including Silicon Graphics and WarpSpeed Communications, and was a principal in public accounting with Ernst &amp; Young. Most recently she was CFO at Nokia Growth Partners, where she set up operations in the US, Finland, Switzerland, China, and India. She has contributed to many companies, building business plans, acquiring funding, and leading project teams on process improvement and software installation. She was part of a winning team in the Berkeley Business Plan Competition, as well as a mentor or judge for Berkeley and other business plan competitions, and is a guest lecturer for the Haas venture capital boot camp. She has an MBA from UC Berkeley. She is a CPA (inactive) and a contributing author of the First Mile-Essentials of Entrepreneurship.</t>
  </si>
  <si>
    <t>mary@av.vc</t>
  </si>
  <si>
    <t>379327-87P</t>
  </si>
  <si>
    <t>Mason Hale</t>
  </si>
  <si>
    <t>Mason</t>
  </si>
  <si>
    <t>Hale</t>
  </si>
  <si>
    <t>Mr. Mason Hale serves as Senior Associate, Chestnut Street &amp; Triphammer at Alumni Ventures. He serves as an Senior Associate at Chestnut Street Ventures. Before joining Chestnut Street Ventures, he attended Waseda Business School in Tokyo, Japan where he earned an MSc in Finance and wrote a master's thesis linking founders' attributes and strategic partnerships to firm performance in new ventures. While attending Waseda Business School, he was selected as a G51 Venture Scholar and participated in the Global Venture Catalyst where he served as a graduate startup advisor. He also holds a BA in Economics from The University of Texas at Austin.</t>
  </si>
  <si>
    <t>mason.hale@av.vc</t>
  </si>
  <si>
    <t>Senior Associate, Chestnut Street &amp; Triphammer</t>
  </si>
  <si>
    <t>83769-04P</t>
  </si>
  <si>
    <t>Matthew Caspari</t>
  </si>
  <si>
    <t>Caspari</t>
  </si>
  <si>
    <t>Mr. Matthew Caspari serves as Managing Partner, Strawberry Creek &amp; Deep Tech Fund at Alumni Ventures. He is a two-time venture-backed founder/CEO with a decade of startup operating experience. Before joining Strawberry Creek Ventures, he was an Investing Partner at Spike Ventures, where he participated in over twenty investments. He's an active angel investor and leads an AngelList syndicate with over 1,000 backers. Prior to joining Alumni Ventures, he was a leader of the innovation team at Nike where he oversaw a portfolio of projects and led global cross-functional teams. While at UC Berkeley, he founded Aurora Biofuels, which grew to over 100 employees and raised more than $100m in capital before being acquired by Reliance Industries. He's a longtime Judge / Mentor at LAUNCH: The University of California's Startup Accelerator and a Mentor at Berkeley-Haas Entrepreneurship. He holds an MBA with a Certificate in Entrepreneurship from UC Berkeley's Haas School of Business and a BS in Biochemistry from Georgetown University.</t>
  </si>
  <si>
    <t>+1 (415) 535-9490</t>
  </si>
  <si>
    <t>matthew@av.vc</t>
  </si>
  <si>
    <t>Managing Partner, Strawberry Creek &amp; Deep Tech Fund</t>
  </si>
  <si>
    <t>241842-70P</t>
  </si>
  <si>
    <t>Meera Oak</t>
  </si>
  <si>
    <t>Meera</t>
  </si>
  <si>
    <t>Oak</t>
  </si>
  <si>
    <t>Ms. Meera Oak serves as Partner, Seed Fund &amp; Healthtech &amp; Women's Fund at Alumni Ventures. Her background includes strategic, financial, and operational experience from her time at Yale University, where she managed a $1B budget (of a $4B organization), led M&amp;A transactions, and secured business development relationships with corporate partners. Most recently, she worked with early-stage venture funds and incubators like Create Venture Studio and Polymath Capital Partners and was responsible for launching business ventures and sourcing investments in enterprise SaaS, infrastructure, and ecommerce. She has a BA in Economics from Swarthmore College and an MBA from the Tuck School of Business at Dartmouth.</t>
  </si>
  <si>
    <t>meera@av.vc</t>
  </si>
  <si>
    <t>Partner, Seed Fund &amp; Healthtech &amp; Women's Fund</t>
  </si>
  <si>
    <t>55472-95P</t>
  </si>
  <si>
    <t>Michael Collins</t>
  </si>
  <si>
    <t>Collins</t>
  </si>
  <si>
    <t>Chairman &amp; Chief Executive Officer</t>
  </si>
  <si>
    <t>Mr. Michael Collins is the Co-Founder &amp; serves as Chief Executive Officer &amp; Board Chairman at Alumni Ventures. He was the Founder &amp; served as Chief Executive Officer at Big Idea Group. He has been involved in almost every facet of venturing, from angel investing to venture capital, new business and product launches, and innovation consulting. He is currently CEO of Alumni Ventures Group, the managing company for our fund, and launched AV's first alumni fund, Green D Ventures, where he oversaw the portfolio as Managing Partner and is now Managing Partner Emeritus. He is a serial entrepreneur who has started multiple companies, including Kid Galaxy, Big Idea Group (partially owned by WPP), and RDM. He began his career at VC firm TA Associates. He holds an undergraduate degree in Engineering Science from Dartmouth and an MBA from Harvard Business School.</t>
  </si>
  <si>
    <t>mikec@avgfunds.com</t>
  </si>
  <si>
    <t>Co-Founder, Chief Executive Officer &amp; Board Chairman</t>
  </si>
  <si>
    <t>204129-64P</t>
  </si>
  <si>
    <t>Michael Klieger</t>
  </si>
  <si>
    <t>Klieger</t>
  </si>
  <si>
    <t>Mr. Michael Klieger is a Co-Founder of Varshylben Ventures. He served as a Board Member at SnapWorks. He serves as an Strategic Advisor at Clint. He serves as Investor Advisory Council Member at Alumni Ventures</t>
  </si>
  <si>
    <t>Varshylben Ventures</t>
  </si>
  <si>
    <t>379338-22P</t>
  </si>
  <si>
    <t>Michael Peri</t>
  </si>
  <si>
    <t>Peri</t>
  </si>
  <si>
    <t>Mr. Michael Peri serves as Managing Partner, Purple Arch &amp; Lakeshore &amp; Healthtech Fund at Alumni Ventures. Before joining AV as a Partner, he held a Lead Director role at CVS Health Ventures, where he focused on investments in early and growth-stage digital health companies and played a key role in shaping the firm's portfolio management strategy. Prior to this, he served as a Partner at Distributed Ventures, an early-stage fund with a strong thematic emphasis on digital health, insure tech, and fintech sectors. His journey in the industry began with leadership in product and analytics at Yaro Health, a venture-incubated company that achieved a successful acquisition. Throughout his career, he has assumed pivotal roles in strategy, early-stage startups, and data science, shaping his comprehensive understanding of the venture landscape. He holds a Master of Science in Applied Data Science from the University of Chicago, along with graduate and undergraduate degrees from DePaul University and the University of Iowa, respectively.</t>
  </si>
  <si>
    <t>mike@av.vc</t>
  </si>
  <si>
    <t>Managing Partner, Purple Arch &amp; Lakeshore &amp; Healthtech Fund</t>
  </si>
  <si>
    <t>277759-18P</t>
  </si>
  <si>
    <t>Michael Perry</t>
  </si>
  <si>
    <t>Perry</t>
  </si>
  <si>
    <t>Mr. Michael Perry serves as Director of Analytics at Alumni Ventures.</t>
  </si>
  <si>
    <t>michael.perry@avgfunds.com</t>
  </si>
  <si>
    <t>Director of Analytics</t>
  </si>
  <si>
    <t>235182-70P</t>
  </si>
  <si>
    <t>Michael Phillips JD</t>
  </si>
  <si>
    <t>Phillips</t>
  </si>
  <si>
    <t>Chief Legal Officer &amp; Chief Operating Officer</t>
  </si>
  <si>
    <t>Mr. Michael Phillips serves as Chief Operating Officer &amp; Chief Legal Officer, Board Secretary at Alumni Ventures. He has led legal and business teams in a variety of settings, from start-ups to large financial services companies. As GC, COO, and co-founder of Parker Infrastructure Partners, he helped develop and launch an innovative private equity investment advisory platform aligning the interests of agencies, communities, and investors for large infrastructure projects. Prior to that, he helped grow TIAA/Nuveen's asset management business to $900 billion AUM, by helping create new businesses and developing alternative investment products distributed in the US and internationally across retail, institutional, and high-net-worth clients. His 25+ years of experience includes legal practice for major U.S. law firms (Faegre Drinker and Richards Layton) and other diversified financial services companies (Northern Trust and The Hartford). He is a CFA Charterholder and former U.S. Army Lieutenant. He earned a BA (English) from Dartmouth, a JD (Law) from William &amp; Mary, an LLM (Taxation) from Villanova, and an MBA (Finance) from Wharton.</t>
  </si>
  <si>
    <t>michael@av.vc</t>
  </si>
  <si>
    <t>Chief Operating Officer &amp; Chief Legal Officer, Board Secretary</t>
  </si>
  <si>
    <t>203142-61P</t>
  </si>
  <si>
    <t>Mike Riegelman</t>
  </si>
  <si>
    <t>Riegelman</t>
  </si>
  <si>
    <t>Mr. Mike Riegelman serves as Advisor at Holos. He serves as Investor Advisory Council Member at Alumni Ventures Group. Mike is an experienced operating executive and entrepreneur within the technology space, with a focus on sales and business development. He has a background in finance and marketing, specializing on scaling businesses from the ground up. Recently, Mike was a principal and executive at S2 Security, and helped lead the 2018 exit process, which resulted in a successful takeover by United Technologies Corp. He also Mike led the startup financing of Holos, an augmented reality company focused on the defense industry, and now serves on the company's Board of Directors. In addition, he is the Senior Vice President of Business Development at LenelS2 (a division of Carrier Corp., formerly United Technologies Corp.). Among Mike's interests is participating in many venture and angel investing opportunities. He has Finance &amp; Marketing degrees from the University of Wisconsin-Oshkosh.</t>
  </si>
  <si>
    <t>+1 (414) 745-5109</t>
  </si>
  <si>
    <t>Madison</t>
  </si>
  <si>
    <t>Madison, WI</t>
  </si>
  <si>
    <t>2716 Atwood Avenue</t>
  </si>
  <si>
    <t>Suite 4</t>
  </si>
  <si>
    <t>53705</t>
  </si>
  <si>
    <t>Holos</t>
  </si>
  <si>
    <t>297016-48P</t>
  </si>
  <si>
    <t>Naren Ramaswamy</t>
  </si>
  <si>
    <t>Naren</t>
  </si>
  <si>
    <t>Ramaswamy</t>
  </si>
  <si>
    <t>Mr. Naren Ramaswamy serves as Senior Principal, Spike &amp; Deep Tech Fund at Alumni Ventures. Before joining AV, he worked with the investing team at venture firm Data Collective (DCVC) looking at frontier tech deals. Before that, he was a Program Manager at Apple and Tesla and has worked for multiple consumer startups. He received a BS and MS in mechanical engineering from Stanford University and an MBA from the Stanford Graduate School of Business.</t>
  </si>
  <si>
    <t>naren@av.vc</t>
  </si>
  <si>
    <t>Senior Principal, Spike &amp; Deep Tech Fund</t>
  </si>
  <si>
    <t>155189-80P</t>
  </si>
  <si>
    <t>Nidhi Chadda</t>
  </si>
  <si>
    <t>Nidhi</t>
  </si>
  <si>
    <t>Chadda</t>
  </si>
  <si>
    <t>Ms. Nidhi Chadda is the Founder of Enzo Advisors. Ms. Chadda serves as Chief Impact Officer at Richmond Global Sciences. She serves as an Investor Advisory Council Member at Alumni Ventures. She served as a Managing Director, ESG and Climate Advisory Group at TRC Companies. She is a generalist growth investor and advisor across public and private markets. She focuses on developing and executing business strategies aligned with market and customer insights, with a keen focus on RGS' portfolio construction investment solutions linking financial criteria to various environmental and social impact drivers.</t>
  </si>
  <si>
    <t>nidhi@enzoadvisorsllc.com</t>
  </si>
  <si>
    <t>125 Park Avenue</t>
  </si>
  <si>
    <t>25th Floor</t>
  </si>
  <si>
    <t>10017</t>
  </si>
  <si>
    <t>Enzo Advisors</t>
  </si>
  <si>
    <t>123592-51P</t>
  </si>
  <si>
    <t>Parshant Jain MD</t>
  </si>
  <si>
    <t>Parshant</t>
  </si>
  <si>
    <t>Jain</t>
  </si>
  <si>
    <t>Dr. Parshant Jain serves as an Angel Investor at Alumni Ventures. He is a Co-founder and served as Chief Executive Officer and President at Simplify Reality. He serves as an Advisor at H7 BioCapital. He Co-Founded &amp; served as Chief Health Officer at Doctor Insta. He has more than 16 years of experience in diverse fields, such as practicing medicine and providing management consulting to technology companies and startups. He has extensively worked with Fortune 500 companies and Small/Medium Enterprises and previously served on the Boards of 2 companies in California. He started his career by studying and practicing medicine and later shifted his course toward Management Consulting in the Technology Sector by working with Accenture, Cisco, and Disney (Digital Division). Academically, he has an MBBS from MGM Medical College, Aurangabad, Maharashtra (India), and an MBA degree from Pittsburg State University, KS (USA).</t>
  </si>
  <si>
    <t>297012-52P</t>
  </si>
  <si>
    <t>Pete Mathias</t>
  </si>
  <si>
    <t>Pete</t>
  </si>
  <si>
    <t>Mathias</t>
  </si>
  <si>
    <t>Board Member &amp; Partner</t>
  </si>
  <si>
    <t>Mr. Pete Mathias serves as Partner, Green D &amp; Yard &amp; Strategic Tech Fund &amp; Board Observer at Alumni Ventures. He joins Alumni Ventures from the $1.5B+ venture capital arm of Bertelsmann, where he was a Senior Director across the European Union, China, and U.S. startup ecosystems. Previously a fellow at .406 Ventures and an alumnus of the Harvard Innovation Lab, he has a substantial entrepreneurial and startup operating background. He has an MBA from the Tuck School at Dartmouth, an MPA from Harvard's Kennedy School, a Master's with Distinction from Oxford, and a BA (magna cum laude) from Dartmouth. He has recently been selected as a member of the Council on Foreign Relations.</t>
  </si>
  <si>
    <t>+1 (603) 646-7366</t>
  </si>
  <si>
    <t>pete.mathias@av.vc</t>
  </si>
  <si>
    <t>Partner, Green D &amp; Yard &amp; Strategic Tech Fund &amp; Board Observer</t>
  </si>
  <si>
    <t>188459-47P</t>
  </si>
  <si>
    <t>Peter MacEwan</t>
  </si>
  <si>
    <t>MacEwan</t>
  </si>
  <si>
    <t>Executive Officer</t>
  </si>
  <si>
    <t>Mr. Peter MacEwan serves as Deputy Chief Community Officer at Alumni Ventures. He serves as the Senior General manager at Alumni Ventures Group. He has startup experience in both the non-profit and business sectors, a BA from Wesleyan University, and an MBA from The Wharton School. He developed expertise in building teams and strategic planning in the San Francisco Bay Area, driving growth across multiple seeds- and early-stage companies (with many nights spent as an informal adviser to a network of entrepreneurs). He has a passion for social impact and loves working with people who love what they do and strive to get better at it.</t>
  </si>
  <si>
    <t>peter.macewan@avgfunds.com</t>
  </si>
  <si>
    <t>Deputy Chief Community Officer</t>
  </si>
  <si>
    <t>162425-35P</t>
  </si>
  <si>
    <t>Ray Wu</t>
  </si>
  <si>
    <t>Mr. Ray Wu serves as Managing Partner, AI Fund and Westwood at Alumni Ventures. Before joining Alumni Ventures, he was a partner and adviser at several global venture funds focusing on AI, Web3, FinTech and SaaS investment opportunities across the U.S. and Asia Pacific. Earlier, he spent more than 10 years in the corporate venture space: He was the managing director of HP's new business ventures, responsible for startup technology evaluation, new business incubation, VC relationships, and minority investments, and earlier at Cisco Systems, holding several senior positions leading investment, M&amp;A, internal incubation, and global consulting. Previously, he was a managing partner of a leading Internet consulting firm working with Fortune 1000 companies across North America. He earned a dual MBA degree from the University of California, Berkeley and Columbia University.</t>
  </si>
  <si>
    <t>ray.wu@av.vc</t>
  </si>
  <si>
    <t>Managing Partner, AI Fund &amp; Westwood</t>
  </si>
  <si>
    <t>130672-72P</t>
  </si>
  <si>
    <t>Ron Levin</t>
  </si>
  <si>
    <t>Ron</t>
  </si>
  <si>
    <t>Levin</t>
  </si>
  <si>
    <t>Mr. Ron Levin serves as Managing Partner, Seed Fund &amp; Healthtech Fund at Alumni Ventures. Mr. Levin co-founded &amp; served as Advisor at TravelPerk. He has spent his career in a variety of entrepreneurial, leadership, and business development roles. He has been an angel investor and advisor to over a dozen technology startups. He was Co-Founder and CEO of TravelPerk, a VC-backed travel management platform that is now a "unicorn" company with thousands of employees and customers across the globe. Prior to TravelPerk, he started the B2B division of Booking.com and before that was a consultant with McKinsey &amp; Co. He began his career at Lycos, one of the web's pioneer search engine and web portals. He graduated from Babson College and received his MBA from Harvard Business School. He is the author of the impact-focused Higher Purpose Venture Capital Blog.</t>
  </si>
  <si>
    <t>ron@av.vc</t>
  </si>
  <si>
    <t>Managing Partner, Seed Fund &amp; Healthtech Fund</t>
  </si>
  <si>
    <t>430618-24P</t>
  </si>
  <si>
    <t>Rupika Brito</t>
  </si>
  <si>
    <t>Rupika</t>
  </si>
  <si>
    <t>Brito</t>
  </si>
  <si>
    <t>Ms. Rupika Brito serves as Principal, Strawberry Creek &amp; Deep Tech Fund at Alumni Ventures. Prior to joining Alumni Ventures, she led corporate venture initiatives at Blockstream, a venture-backed Bitcoin infrastructure company, where she sourced and evaluated fintech investment opportunities while also managing product strategy for Blockstream Finance. Previously, she founded a search fund focused on investing in underserved communities, where she helped drive growth through strategic acquisitions, scaling the organization to over $60 million in revenue. Her experience also includes investment banking at Bank of America, where she executed private equity transactions primarily across the technology and healthcare sectors, working on leveraged buyouts, IPOs, and M&amp;A transactions. She holds an MBA from The Wharton School at the University of Pennsylvania and a BA from the University of California, San Diego.</t>
  </si>
  <si>
    <t>rupika@av.vc</t>
  </si>
  <si>
    <t>Principal, Strawberry Creek &amp; Deep Tech Fund</t>
  </si>
  <si>
    <t>305241-76P</t>
  </si>
  <si>
    <t>Ryan Musto</t>
  </si>
  <si>
    <t>Musto</t>
  </si>
  <si>
    <t>Mr. Ryan Musto serves as Senior Associate, Blue Ivy &amp; Nassau Street at Alumni Ventures. He co-founded and served as Chief Operating Officer at Cityline.</t>
  </si>
  <si>
    <t>ryan.musto@av.vc</t>
  </si>
  <si>
    <t>Senior Associate, Blue Ivy &amp; Nassau Street</t>
  </si>
  <si>
    <t>381608-92P</t>
  </si>
  <si>
    <t>Saad Shaheen</t>
  </si>
  <si>
    <t>Shaheen</t>
  </si>
  <si>
    <t>Mr. Saad Shaheen serves as Director at Alumni Ventures.</t>
  </si>
  <si>
    <t>saad@av.vc</t>
  </si>
  <si>
    <t>309025-45P</t>
  </si>
  <si>
    <t>Samrat Shiwakoti</t>
  </si>
  <si>
    <t>Samrat</t>
  </si>
  <si>
    <t>Shiwakoti</t>
  </si>
  <si>
    <t>Mr. Samrat Shiwakoti serves as Senior Full Stack Software Engineer at Alumni Ventures.</t>
  </si>
  <si>
    <t>samrat@av.vc</t>
  </si>
  <si>
    <t>Senior Full Stack Software Engineer</t>
  </si>
  <si>
    <t>417691-00P</t>
  </si>
  <si>
    <t>Seth Grosz</t>
  </si>
  <si>
    <t>Grosz</t>
  </si>
  <si>
    <t>Mr. Seth Grosz serves as Fund Accountant at Alumni Ventures.</t>
  </si>
  <si>
    <t>seth@av.vc</t>
  </si>
  <si>
    <t>Fund Accountant</t>
  </si>
  <si>
    <t>319037-05P</t>
  </si>
  <si>
    <t>Shail Highbloom</t>
  </si>
  <si>
    <t>Shail</t>
  </si>
  <si>
    <t>Highbloom</t>
  </si>
  <si>
    <t>Ms. Shail Highbloom serves as Senior Manager, Platform at Alumni Ventures.</t>
  </si>
  <si>
    <t>shail@av.vc</t>
  </si>
  <si>
    <t>Senior Manager, Platform</t>
  </si>
  <si>
    <t>417690-73P</t>
  </si>
  <si>
    <t>Shivani Singh</t>
  </si>
  <si>
    <t>Shivani</t>
  </si>
  <si>
    <t>Ms. Shivani Singh serves as Senior Associate, Yard Ventures at Alumni Ventures. Her investment experience spans a range of sectors, including enterprise software, defense tech, and healthcare, where she has invested across growth and early-stage opportunities. She began her career at Google, quickly advancing to Senior Product Manager, launching major products such as Google Meet and the Pixel phone. She holds a B.S. in Computer Engineering from the University of Illinois Urbana-Champaign and an MBA from Harvard Business School.</t>
  </si>
  <si>
    <t>shivani@av.vc</t>
  </si>
  <si>
    <t>Senior Associate, Yard Ventures</t>
  </si>
  <si>
    <t>271798-84P</t>
  </si>
  <si>
    <t>Sophia Zhao</t>
  </si>
  <si>
    <t>Zhao</t>
  </si>
  <si>
    <t>Ms. Sophia Zhao serves as a Partner, AI Fund &amp; Westwood &amp; Women's Fund at Alumni Ventures. She immersed herself in the world of cryptocurrencies in 2018 and started her crypto journey with Galaxy Digital, supporting its portfolio of blockchain projects on fundraising, investor relations, and ICO initiatives. During her tenure with Huobi US and Crypto.com, she grew the institutional business by working with crypto hedge funds and trading firm clients in market-making and volume trading programs, covering the Americas, EU, and Latam region. She is also an active volunteer Judge and Mentor with the Ethereum Foundation, Algorand, Harmony, and Solana Labs. She's a mentor with Yale's Tsai Center for Innovative Thinking, as well as an active participant in startup communities such as Techstars, 500 Startups, and Plug and Play. She holds a BBA from Simon Fraser University, an MBA from the University of British Columbia, and an MAM from Yale School of Management.</t>
  </si>
  <si>
    <t>sophia.zhao@av.vc</t>
  </si>
  <si>
    <t>Partner, AI Fund &amp; Westwood &amp; Women's Fund</t>
  </si>
  <si>
    <t>258493-15P</t>
  </si>
  <si>
    <t>Stacey Tsai</t>
  </si>
  <si>
    <t>Stacey</t>
  </si>
  <si>
    <t>Ms. Stacey Tsai serves as Senior Partner at Alumni Ventures Group. She serves as a Senior Partner at Chestnut Street Ventures. She was previously at Morgan Stanley and JPMorgan Private Bank, where she advised global families and executives on asset allocation and investment strategies. She is a graduate of Georgetown University's School of Foreign Service. She received her MBA from the Wharton School and her MPA from the Harvard Kennedy School.</t>
  </si>
  <si>
    <t>stacey@avgfunds.com</t>
  </si>
  <si>
    <t>238880-98P</t>
  </si>
  <si>
    <t>Stephanie King</t>
  </si>
  <si>
    <t>Stephanie</t>
  </si>
  <si>
    <t>Ms. Stephanie King serves as Senior Vice President of Investor Engagement at Alumni Ventures. She served as Director of Investor Engagement at Towerview Ventures. She spent more than 15 years in higher education advancement as a fundraiser and alumni relations professional, getting her start at Tufts University. She also worked at Northeastern University, where she led the programming and engagement for 200,000+ alumni worldwide. Earlier in her career, she had her own consulting practice, which focused on fundraising, board development, and communications strategies in the non-profit sector. A strong advocate for mentorship and networking, she brings those passions to investor engagement at AVG. She holds a BA from the University of New Hampshire, where she was a member of the women's soccer team, and a MA from Emerson College.</t>
  </si>
  <si>
    <t>stephanie@av.vc</t>
  </si>
  <si>
    <t>Senior Vice President of Investor Engagement</t>
  </si>
  <si>
    <t>203724-19P</t>
  </si>
  <si>
    <t>Steven Finn</t>
  </si>
  <si>
    <t>Steven</t>
  </si>
  <si>
    <t>Finn</t>
  </si>
  <si>
    <t>Mr. Steven Finn served as Board Observer at Ayoba. He serves as Board Member at Liberation Lab. He is the Co-Founder and served as Co-Chief Executive Officer and Co-Managing Partner at Siddhi Capital. He also serves as Investor Advisory Council Member at Alumni Ventures. He serves as a Board Member at Arjuna. He serves as Board Observer at Simply Good Jars. He serves as a Board Member at BlueNalu and Ayoba. He served as Board Member at Matrix F.T. Previously, he served as Board Member at Simply Good Jars. Ordersnapp, Marqii, and Incus5. He has over 10 years of experience across the food and beverage, technology, and financial services industries. Since March 2020, he has served as Managing Partner at Siddhi Capital which he co-founded with Ms. Facchina. He served as Board Member at True Made Foods. Since August 2018, he has also served as Administrator of Marstar Investments LLC, an investment vehicle, where he has been investing as a generalist across a broader set of industries and stages. He served as Investment Committee Member at Chestnut Street Ventures. From May 2016 to August 2018, he was Co-Chief Executive Officer and Chief Technology Officer for LocalStove LLC, a food technology startup in the corporate catering space that was acquired by HUNGRY Marketplace. He has continued to serve as an Advisor to HUNGRY since the acquisition. From August 2014 to May 2016, he was a full-time student pursuing his MBA from the Wharton School at the University of Pennsylvania. From 2011 to May 2014, he served as a Financial Software Engineer at Bloomberg L.P., focused on developing their in-house Customer Relationship Management software. From 2009 to 2010, he pursued a full-time master's degree. From 2008 to 2009, he co-founded and served as Vice President of Operations and Technology at Rentmine.com, a technology startup.</t>
  </si>
  <si>
    <t>+1 (646) 993-6320</t>
  </si>
  <si>
    <t>steven@siddhicapital.co</t>
  </si>
  <si>
    <t>Cherry Hill</t>
  </si>
  <si>
    <t>Cherry Hill, NJ</t>
  </si>
  <si>
    <t>1132 Winding Drive</t>
  </si>
  <si>
    <t>08003</t>
  </si>
  <si>
    <t>Co-Founder, Co-Managing Partner &amp; Co-Chief Executive Officer</t>
  </si>
  <si>
    <t>Siddhi Capital</t>
  </si>
  <si>
    <t>213371-83P</t>
  </si>
  <si>
    <t>Taylor Warden</t>
  </si>
  <si>
    <t>Taylor</t>
  </si>
  <si>
    <t>Warden</t>
  </si>
  <si>
    <t>Mr. Taylor Warden serves as Director of Investor Relations at Alumni Ventures. He serves as Senior Investor Relations Manager at Alumni Ventures Group.</t>
  </si>
  <si>
    <t>taylor@avgfunds.com</t>
  </si>
  <si>
    <t>Director of Investor Relations</t>
  </si>
  <si>
    <t>29980-36P</t>
  </si>
  <si>
    <t>Terence Rozier-Byrd JD</t>
  </si>
  <si>
    <t>Terence</t>
  </si>
  <si>
    <t>Rozier-Byrd</t>
  </si>
  <si>
    <t>Mr. Terence Rozier-Byrd serves as Partner, Asset Management at Willkie Farr &amp; Gallagher. Mr. Terence Rozier-Byrd served as Partner, Investment Management Practice at Akin Gump Strauss Hauer &amp; Feld. He served as Investor Advisory Council Member at Alumni Ventures. He served as Partner at Baker Botts. He represents institutional investors, including sovereign wealth funds, pension plans, endowments and family offices, in connection with their private fund investments.</t>
  </si>
  <si>
    <t>+1 (212) 408-2573</t>
  </si>
  <si>
    <t>trozier-byrd@willkie.com</t>
  </si>
  <si>
    <t>787 Seventh Avenue</t>
  </si>
  <si>
    <t>10019-6099</t>
  </si>
  <si>
    <t>+1 (212) 259-2573</t>
  </si>
  <si>
    <t>Partner, Asset Management</t>
  </si>
  <si>
    <t>Willkie Farr &amp; Gallagher</t>
  </si>
  <si>
    <t>125021-98P</t>
  </si>
  <si>
    <t>Todd McIntyre</t>
  </si>
  <si>
    <t>McIntyre</t>
  </si>
  <si>
    <t>Mr. Todd McIntyre serves as Managing Partner, Spike &amp; Deep Tech Fund at Alumni Ventures. He was a Founding Managing Partner at Grey Sky Venture Partners. He also served as a Senior Business Lead in a technology incubator fund. He received his BA in English from Hendrix College and holds an MBA from Stanford Graduate School of Business.</t>
  </si>
  <si>
    <t>todd@av.vc</t>
  </si>
  <si>
    <t>Managing Partner, Spike &amp; Deep Tech Fund</t>
  </si>
  <si>
    <t>206113-33P</t>
  </si>
  <si>
    <t>Wesley Yiu</t>
  </si>
  <si>
    <t>Wesley</t>
  </si>
  <si>
    <t>Yiu</t>
  </si>
  <si>
    <t>Mr. Wesley Yiu serves as Partner, Triphammer &amp; Chestnut Street at Alumni Ventures. He serves as a Partner at Chestnut Street Ventures. He served as Board Observer at OfferFit. He has a background in both technology and investing. Previously, he served as a product manager at BlackRock Solutions. While at BlackRock, he helped grow and scale their enterprise risk analytics platform, including facilitating the onboarding of a $300 bn AUM client. He later transitioned to a traditional investment role where he worked as an investment strategist for the fixed income division of Goldman Sachs Asset Management, which manages over $400 bn in AUM across macro and credit strategies. He is also the author of the blog The Unofficial VC. He received his BS from the College of Engineering at Cornell University.</t>
  </si>
  <si>
    <t>wesley@av.vc</t>
  </si>
  <si>
    <t>Partner, Triphammer &amp; Chestnut Street</t>
  </si>
  <si>
    <t>297011-08P</t>
  </si>
  <si>
    <t>Yevgeny Gelfand</t>
  </si>
  <si>
    <t>Yevgeny</t>
  </si>
  <si>
    <t>Gelfand</t>
  </si>
  <si>
    <t>Mr. Yevgeny Gelfand serves as Partner at Alumni Ventures. Prior to joining Blue Ivy, he spent 15 years as a serial innovator at BlackRock. He was part of the original "skunkworks" team that conceived and seeded PennyMac Mortgage (exited successfully via IPO). He was also a founding member of the Financial Markets Advisory Group (over $2 billion in cumulative revenue), which advised the Federal Reserve, the U.S. Treasury, and over a dozen foreign governments. He separately founded and led the Risk Advisory practice, coupling proprietary SaaS technology with investment consulting to grow the business from zero to over $1 trillion in assets under advisory. Internationally, he drove the expansion of BlackRock in India - growing the employee base from 45 to 1,500 in two years - and the Middle East. He also participated in BlackRock's first-ever Global Innovation Summit, where he incubated a new type of retirement product. Prior to BlackRock, he conceived, prototyped, and patented a new design for the internal combustion engine. He is a CFA charter holder and holds the Chartered Alternative Investment Analyst (CAIA) designation, in addition to several FINRA regulatory licenses (series 7, 24, and 63). He received his BA in Economics and Biomedical Engineering from Yale University.</t>
  </si>
  <si>
    <t>+1 (416) 643-4058</t>
  </si>
  <si>
    <t>yev@av.vc</t>
  </si>
  <si>
    <t>186801-85P</t>
  </si>
  <si>
    <t>Amy Trakinski JD</t>
  </si>
  <si>
    <t>Amy</t>
  </si>
  <si>
    <t>Trakinski</t>
  </si>
  <si>
    <t>Alwyn Capital</t>
  </si>
  <si>
    <t>Ms. Amy Trakinski serves as Managing Director at VegInvest. She serves as Advisor at Alwyn Capital. She served as Board Member at Wild Earth. Before joining VegInvest, She spent 18 years advocating for animals as a partner in the animal law firm, Egert and Trakinski, where she litigated on behalf of national animal protection organizations, grassroots advocacy groups, and individual clients. She is currently Board Chair of Compassion Over Killing and a Director of the Animal Welfare Trust. She has a B.A. in History from Binghamton University and a J.D. from the Benjamin N. Cardozo School of Law.</t>
  </si>
  <si>
    <t>amy@veginvesttrust.com</t>
  </si>
  <si>
    <t>VegInvest</t>
  </si>
  <si>
    <t>237852-46P</t>
  </si>
  <si>
    <t>Heather Courtney</t>
  </si>
  <si>
    <t>Heather</t>
  </si>
  <si>
    <t>Ms. Heather Courtney is the Founder and serves as General Partner &amp; Chief Executive Officer at Alwyn Capital. She brings a diverse background in biotech, venture capital, and brand strategy. Prior to founding Alwyn Capital, she worked as a researcher in the pharmaceutical industry, where she saw firsthand the inefficiencies and inaccuracies of animal testing in drug development. This experience cemented her commitment to funding next-generation biotech solutions that improve human outcomes while eliminating reliance on outdated methods. In addition to her work at Alwyn, She has advised leading organizations driving innovation in science and sustainability, including the Center for Contemporary Sciences and the Material Innovation Initiative. Earlier in her career, she spent a decade as a creative consultant in the fashion industry, helping emerging brands develop high-impact campaigns and establish market presence. She holds a BS in Biochemistry from the University of Florida and a BA in Photography and Visual Communication from Parsons School of Design.</t>
  </si>
  <si>
    <t>+1 (434) 238-0920</t>
  </si>
  <si>
    <t>heather@alwyncapital.com</t>
  </si>
  <si>
    <t>Saint Petersburg</t>
  </si>
  <si>
    <t>Saint Petersburg, FL</t>
  </si>
  <si>
    <t>134 Drive Martin Luther King Jr Street North</t>
  </si>
  <si>
    <t>33705</t>
  </si>
  <si>
    <t>Founder, General Partner &amp; Chief Executive Officer</t>
  </si>
  <si>
    <t>231800-05P</t>
  </si>
  <si>
    <t>John Pattison</t>
  </si>
  <si>
    <t>Pattison</t>
  </si>
  <si>
    <t>Mr. John Pattison serves as Advisor at Alwyn Capital. He serves as Entrepreneur-in-Residence at TitletownTech. Mr. Pattison Co-Founded and served as Chief Executive Officer at Cultured Decadence. Previously, he was the Director of Operations at New Age Meats. He worked in the US and China in various operations and consulting roles before serving as an Army officer with the 25th ID. He received his BA in Economics from UW-Milwaukee and MBA from NYU-Stern.</t>
  </si>
  <si>
    <t>99415-36P</t>
  </si>
  <si>
    <t>Laura Zaim</t>
  </si>
  <si>
    <t>Zaim</t>
  </si>
  <si>
    <t>Ms. Laura Zaim serves as Advisor at Alwyn Capital. Ms. Zaim served as Venture Partner at Unovis Asset Management. Ms. Zaim serves as Senior Director at Louis Dreyfus Company Ventures. Ms. Zaim was a Co-Founder at WorkAmerica and served as its Chief Operating Officer. As such, she implements WorkAmerica's job commitment programs at our partner community and technical colleges, manages the network of embedded student service representatives, oversees internal operations and communications between departments to ensure optimal program delivery, and tracks company performance metrics. She also loves to write for the WorkAmerica blog. She comes from a background in communications and education, having worked at Weber Shandwick and KRC Research in Washington DC, and Breakthrough Collaborative in Miami. She graduated summa cum laude in from Washington University in St. Louis with a degree in Anthropology.</t>
  </si>
  <si>
    <t>Rotterdam</t>
  </si>
  <si>
    <t>Rotterdam, Netherlands</t>
  </si>
  <si>
    <t>Westblaak 92</t>
  </si>
  <si>
    <t>Louis Dreyfus Company Ventures</t>
  </si>
  <si>
    <t>298755-19P</t>
  </si>
  <si>
    <t>Robert Dupree</t>
  </si>
  <si>
    <t>Dupree</t>
  </si>
  <si>
    <t>Mr. Robert Dupree serves as General Partner at Alwyn Capital. He holds a Bachelor of Arts in Philosophy with a focus on Logic and Critical Thinking, and a Master of Fine Arts in Photography and Visual Communication. Prior to joining Alwyn Capital, He spent over a decade in the fashion industry, where he played a pivotal role in developing advertising campaigns and managing e-commerce strategies for luxury brands.</t>
  </si>
  <si>
    <t>robert@alwyncapital.com</t>
  </si>
  <si>
    <t>273510-73P</t>
  </si>
  <si>
    <t>Sonalie Figueiras</t>
  </si>
  <si>
    <t>Sonalie</t>
  </si>
  <si>
    <t>Figueiras</t>
  </si>
  <si>
    <t>Ms. Sonalie Figueiras is a Co-Founder &amp; serves as Chief Executive Officer at Source Green. She serves as Advisor at Alwyn Capital. She served as Head of Products at Source Green. She serves as Advisor at Teja Ventures. She serves as a Venture Partner at Better Bite Ventures. Before founding SourceGreenPackaging.com, Hong-Kong born French-Indian serial social entrepreneur and her keen eye for market trends lead her to found Ekowarehouse, the global sourcing platform for certified organic products, and the award-winning impact media platform Green Queen, where she is editor-in-chief. Based in Hong Kong with a global outlook and an international audience, Green Queen advocates for social &amp; environmental change and is the leading sustainability news outlet in the Asian region. The publication is also a global reference for the alternative protein industry, one of the most important consumer products and investment opportunities of our time. With over a decade of experience in publishing, digital marketing, organic trade, sustainability, alternative proteins, and green packaging, she is an eco-wellness industry veteran, sought-after international speaker, and moderator, sharing her expertise on stages across Asia and beyond, from Harvard Business School to TEDx. She regularly is invited to share her knowledge at corporations including JP Morgan, UBS, and HSBC and leadership organizations such as YPO. Further, she is a global advisor at Social Ventures Hong Kong, an Impact Purpose Organisation committed to re-imagining Hong Kong as a purpose-driven city, an advisor at The Remedy Project.</t>
  </si>
  <si>
    <t>Room 2, 14th Floor, Kingdom Power Commercial Building</t>
  </si>
  <si>
    <t>32-36 Des Voeux Road West</t>
  </si>
  <si>
    <t>Source Green</t>
  </si>
  <si>
    <t>366866-11P</t>
  </si>
  <si>
    <t>Aaron Martin</t>
  </si>
  <si>
    <t>Amazon.com</t>
  </si>
  <si>
    <t>Mr. Aaron Martin serves as Vice President, Healthcare at Amazon.com.</t>
  </si>
  <si>
    <t>+1 (206) 266-1000</t>
  </si>
  <si>
    <t>aaronmartin@amazon.com</t>
  </si>
  <si>
    <t>410 Terry Avenue North</t>
  </si>
  <si>
    <t>98109</t>
  </si>
  <si>
    <t>Vice President, Healthcare</t>
  </si>
  <si>
    <t>339952-06P</t>
  </si>
  <si>
    <t>Aditya Naredi</t>
  </si>
  <si>
    <t>Aditya</t>
  </si>
  <si>
    <t>Naredi</t>
  </si>
  <si>
    <t>Mr. Aditya Naredi serves as Director, Amazon Ads Developer Experience at Amazon.com.</t>
  </si>
  <si>
    <t>adityanaredi@amazon.com</t>
  </si>
  <si>
    <t>Director, Amazon Ads Developer Experience</t>
  </si>
  <si>
    <t>339991-48P</t>
  </si>
  <si>
    <t>Ameya Limaye</t>
  </si>
  <si>
    <t>Ameya</t>
  </si>
  <si>
    <t>Limaye</t>
  </si>
  <si>
    <t>Mr. Ameya Limaye serves as Principal Software Engineer, Alexa Speech at Amazon.com.</t>
  </si>
  <si>
    <t>ameyalimaye@amazon.com</t>
  </si>
  <si>
    <t>Principal Software Engineer, Alexa Speech</t>
  </si>
  <si>
    <t>88122-79P</t>
  </si>
  <si>
    <t>Amit Agarwal</t>
  </si>
  <si>
    <t>Amit</t>
  </si>
  <si>
    <t>Agarwal</t>
  </si>
  <si>
    <t>Head &amp; Senior Vice President</t>
  </si>
  <si>
    <t>Mr. Amit Agarwal serves as Senior Vice President, India and Emerging Markets &amp; Country Head at Amazon.com. He served as a Board Member at Cloudtail India. He served as Advisory Board Member at Fireside Ventures. Profile. Mr. Amit Agarwal obtained his B.Tech. degree in Computer Science in 1995 from IIT Kanpur and further went on to complete his master's in the same discipline from Stanford University in 1997. Following it, he joined Cambridge Technology Partners in Silicon Valley only to leave it in few months for Informatica. However, he was not satisfied working over there and decided to join Amazon when the company approached him a few times. He began his stint at Amazon in February 1999 in Seattle.</t>
  </si>
  <si>
    <t>agarwal@amazon.com</t>
  </si>
  <si>
    <t>Senior Vice President, India and Emerging Markets &amp; Country Head</t>
  </si>
  <si>
    <t>95008-69P</t>
  </si>
  <si>
    <t>Andrew Jassy</t>
  </si>
  <si>
    <t>Jassy</t>
  </si>
  <si>
    <t>Mr. Andrew Jassy serves as Chief Executive Officer, President &amp; Board Member at Amazon.com. He founded and led Amazon Web Services (AWS) from its inception and served as its CEO from April 2016 until July 2021. He joined Amazon in 1997 and, before founding AWS, held various leadership roles across the company, including both business-to-business and business-to-consumer. He serves as a Commissioner on the National Security Commission for AI, on the Trust of the American Academy of Arts and Sciences, on the Board of Trustees for Rainier Scholars, and as Chair of Rainier Prep's Board of Directors. He has an AB from Harvard University and an MBA from Harvard Business School.</t>
  </si>
  <si>
    <t>ajassy@amazon.com</t>
  </si>
  <si>
    <t>Chief Executive Officer, President &amp; Board Member</t>
  </si>
  <si>
    <t>81405-01P</t>
  </si>
  <si>
    <t>Andrew Ruud</t>
  </si>
  <si>
    <t>Ruud</t>
  </si>
  <si>
    <t>Mr. Andrew Ruud serves as Executive, Corporate Projects at Amazon.com. He served as Executive, Worldwide Corporate Development at Amazon.com. Prior to Amazon, Mr. Ruud served as Vice President of Internet Equity Research at Morgan Stanley and as an Investment Analyst at Steel Partners. Mr. Ruud holds a BS in Finance and Accounting from Georgetown University.</t>
  </si>
  <si>
    <t>aruud@amazon.com</t>
  </si>
  <si>
    <t>Executive, Corporate Projects</t>
  </si>
  <si>
    <t>144603-55P</t>
  </si>
  <si>
    <t>Ashini Desai</t>
  </si>
  <si>
    <t>Ashini</t>
  </si>
  <si>
    <t>Desai</t>
  </si>
  <si>
    <t>Ms. Ashini Desai serves as Director of Corporate Development at Amazon.com. She served as Corporate Development at Alphabet.</t>
  </si>
  <si>
    <t>adesai@amazon.com</t>
  </si>
  <si>
    <t>Director of Corporate Development</t>
  </si>
  <si>
    <t>37140-49P</t>
  </si>
  <si>
    <t>Benjamin Skoglund JD</t>
  </si>
  <si>
    <t>Skoglund</t>
  </si>
  <si>
    <t>Mr. Benjamin Skoglund serves as Senior Corporate Counsel, Shopping at Amazon.com. He has a practice focused on assisting buyers, sellers, and shareholders of, as well as investors in, private and public entities in various types of M&amp;A transactions. Ben also assists clients with general corporate issues ranging from contract drafting to regulatory compliance. Before joining Lindquist &amp; Vennum, Ben was a teacher in the Bloomington Public School system in Bloomington, MN.</t>
  </si>
  <si>
    <t>skoglund@amazon.com</t>
  </si>
  <si>
    <t>Senior Corporate Counsel, Shopping</t>
  </si>
  <si>
    <t>241122-25P</t>
  </si>
  <si>
    <t>Beth Galetti</t>
  </si>
  <si>
    <t>Galetti</t>
  </si>
  <si>
    <t>Ms. Beth Galetti serves as Senior Vice President of People Experience and Technology at Amazon.com. She leads a team that oversees the recruitment, growth, development, and support of more than one million employees in 50 countries. Ms. Galetti joined Amazon as Vice President for Worldwide Operations and Customer Service HR in 2013. She serves as Chairwoman of the Board of Directors at Path. Before Amazon, Ms. Galetti worked in the transportation industry for nearly two decades, holding senior technology and operations positions across FedEx Express and FedEx Services. She began her career at FedEx as a software developer and moved into leadership roles for the company's package tracking and international systems. Ms. Galetti is a board member of the healthcare partnership between Amazon, JPMorgan, and Berkshire Hathaway, an alliance founded in 2018. She earned her Bachelor of Science in electrical engineering from Lehigh University and her M.B.A. from Colorado Technical University.</t>
  </si>
  <si>
    <t>beth.galetti@amazon.com</t>
  </si>
  <si>
    <t>Senior Vice President of People Experience and Technology</t>
  </si>
  <si>
    <t>256661-02P</t>
  </si>
  <si>
    <t>Bethanie Baynes</t>
  </si>
  <si>
    <t>Bethanie</t>
  </si>
  <si>
    <t>Baynes</t>
  </si>
  <si>
    <t>Ms. Bethanie Baynes serves as Director Corporate Business Development at Amazon.com. She is an Angel Investor.</t>
  </si>
  <si>
    <t>bethaniebaynes@amazon.com</t>
  </si>
  <si>
    <t>Director, Corporate Business Development</t>
  </si>
  <si>
    <t>162076-96P</t>
  </si>
  <si>
    <t>Bharat Maheshwari</t>
  </si>
  <si>
    <t>Bharat</t>
  </si>
  <si>
    <t>Maheshwari</t>
  </si>
  <si>
    <t>Mr. Bharat Maheshwari serves as Head of Business Development, Payment Products at Amazon.com.</t>
  </si>
  <si>
    <t>bharat@amazon.com</t>
  </si>
  <si>
    <t>Head of Business Development, Payment Products</t>
  </si>
  <si>
    <t>87922-54P</t>
  </si>
  <si>
    <t>Brad Beale</t>
  </si>
  <si>
    <t>Brad</t>
  </si>
  <si>
    <t>Beale</t>
  </si>
  <si>
    <t>Mr. Brad Beale serves as Head of Worldwide Content Licensing for Prime Video at Amazon.com. Previously, he served as a Vice President, Business Development at Peel Technologies Inc.</t>
  </si>
  <si>
    <t>beale@amazon.com</t>
  </si>
  <si>
    <t>Head of WW Content Licensing, Prime Video</t>
  </si>
  <si>
    <t>143361-37P</t>
  </si>
  <si>
    <t>Brent Avila</t>
  </si>
  <si>
    <t>Brent</t>
  </si>
  <si>
    <t>Avila</t>
  </si>
  <si>
    <t>Head &amp; Manager</t>
  </si>
  <si>
    <t>Mr. Brent Avila serves as Head of Retail &amp; Divisional Merchandise Manager (DMM), Amazon Fresh at Amazon.com.</t>
  </si>
  <si>
    <t>+1 (206) 435-1327</t>
  </si>
  <si>
    <t>brent@amazon.com</t>
  </si>
  <si>
    <t>Head of Retail &amp; Divisional Merchandise Manager (DMM), Amazon Fresh</t>
  </si>
  <si>
    <t>77939-65P</t>
  </si>
  <si>
    <t>Brian Olsavsky</t>
  </si>
  <si>
    <t>Olsavsky</t>
  </si>
  <si>
    <t>Chief Financial Officer &amp; Senior Vice President</t>
  </si>
  <si>
    <t>Mr. Brian Olsavsky serves as Chief Financial Officer &amp; Senior Vice President at Amazon.com. He joined Amazon.com in April 2002. Before becoming Senior Vice President and CFO in June 2015, he served as Vice President, Finance, and CFO for the Global Consumer Business. In his role as Vice President, Finance,e, and CFO for the Global Consumer Business, Mr. Olsavsky had oversight and responsibility for the finance team supporting Amazon.com websites, merchant services, and fulfillment operations and subsidiaries. From 2007 to 2010, Mr. Olsavsky was Vice president of finance for Amazon's North American retail business unit and acquisitions, and from 2002 to 2007 Mr. Olsavsky led the finance departments for Amazon's Worldwide Operations organization. Before joining Amazon.com, Mr. Olsavsky spent seven years at Fisher Scientific, where he held a variety of financial and business management roles, and a total of eight years at BF Goodrich and Union Carbide, where he held a variety of financial and operational roles. Mr. Olsavsky received a BS in Mechanical Engineering from Penn State and an MBA in Finance from Carnegie Mellon University.</t>
  </si>
  <si>
    <t>34785-19P</t>
  </si>
  <si>
    <t>Brock Hayes</t>
  </si>
  <si>
    <t>Brock</t>
  </si>
  <si>
    <t>Hayes</t>
  </si>
  <si>
    <t>Mr. Brock Hayes serves as Director, Corporate Development at Amazon.com. He served as Executive, Corporate Development at Amazon.com. He is currently an MBA Candidate at the Harvard School of Business. Previously, he was an Associate at Staley Capital. Before that, he was an Associate at Kamylon and an analyst at J.P. Morgan where he focused on asset-backed securities transactions. Mr. Hayes also interned at J.P. Morgan, where he gained exposure to both the distressed debt and securitized products trading desks. Mr. Hayes graduated summa cum laude with a Bachelor of Science in Business Administration from Georgetown University.</t>
  </si>
  <si>
    <t>bhayes@amazon.com</t>
  </si>
  <si>
    <t>Director, Corporate Development</t>
  </si>
  <si>
    <t>278768-71P</t>
  </si>
  <si>
    <t>Caitlin Polochak</t>
  </si>
  <si>
    <t>Caitlin</t>
  </si>
  <si>
    <t>Polochak</t>
  </si>
  <si>
    <t>Ms. Caitlin Polochak serves as Regional Public Relations Manager at Amazon.com.</t>
  </si>
  <si>
    <t>caitlinpolochak@amazon.com</t>
  </si>
  <si>
    <t>Regional Public Relations Manager</t>
  </si>
  <si>
    <t>81404-74P</t>
  </si>
  <si>
    <t>Carlo Bertucci</t>
  </si>
  <si>
    <t>Carlo</t>
  </si>
  <si>
    <t>Bertucci</t>
  </si>
  <si>
    <t>Mr. Carlo Bertucci serves as Vice President, Corporate Development at Amazon.com. He served as Director, Corporate Development at Amazon.com. Prior to Amazon, he served as a Financial Sponsor at Credit Suisse and Lehman Brothers. He holds BA in Political Science from Duke University and an MBA from MIT.</t>
  </si>
  <si>
    <t>carlob@amazon.com</t>
  </si>
  <si>
    <t>Vice President, Corporate Development</t>
  </si>
  <si>
    <t>345981-43P</t>
  </si>
  <si>
    <t>Cem Sibay</t>
  </si>
  <si>
    <t>Cem</t>
  </si>
  <si>
    <t>Sibay</t>
  </si>
  <si>
    <t>Mr. Cem Sibay serves as Vice President, Corporate Development at Amazon.com. He serves as Angel Investor at Cem Sibay.</t>
  </si>
  <si>
    <t>csibay@amazon.com</t>
  </si>
  <si>
    <t>140042-80P</t>
  </si>
  <si>
    <t>César Tanarro</t>
  </si>
  <si>
    <t>César</t>
  </si>
  <si>
    <t>Tanarro</t>
  </si>
  <si>
    <t>Mr. César Tanarro serves as Director of Product Management, Forecasting at Amazon.com. He also is an Angel Investor. Previously, he served as a Manager Mergers &amp; Acquisitions, Consumer &amp; Retail team.</t>
  </si>
  <si>
    <t>cesar@amazon.com</t>
  </si>
  <si>
    <t>Director of Product Management, Forecasting</t>
  </si>
  <si>
    <t>366889-15P</t>
  </si>
  <si>
    <t>Charles Kim</t>
  </si>
  <si>
    <t>Mr. Charles Kim serves as Senior Design Program Manager at Amazon.com.</t>
  </si>
  <si>
    <t>kcharles@amazon.com</t>
  </si>
  <si>
    <t>Senior Design Program Manager</t>
  </si>
  <si>
    <t>36961-75P</t>
  </si>
  <si>
    <t>Christina Lee</t>
  </si>
  <si>
    <t>Christina</t>
  </si>
  <si>
    <t>Ms. Christina Lee serves as Vice President, Reputation &amp; Content Strategy at Amazon.com. She served as Partner, Marketing and Communications at Kleiner Perkins Caufield &amp; Byers. She supports and provides strategic guidance to KPCB portfolio companies across the digital, greentech and life sciences areas. Before joining KPCB, she was the head of communications at Hulu, a digital media joint venture of NBCUniversal, News Corp. and The Walt Disney Company. She served as company spokesperson and liaison to the press, as well as managed Hulu's Emmy-nominated advertising campaign that was launched at Super Bowl XLIII. Before Hulu, she co-founded an online video annotation service located in Beijing, China (acquired by Hulu in 2007). She began her career in product management and product marketing roles at Amazon.com, Microsoft and Microsoft China. Ms. Lee graduated with a B.S. degree in economics and a B.A. degree in international studies from the Huntsman Program in International Studies at the University of Pennsylvania Wharton School of Business.</t>
  </si>
  <si>
    <t>+1 (650) 233-2750 x3325</t>
  </si>
  <si>
    <t>lee@amazon.com</t>
  </si>
  <si>
    <t>Vice President, Reputation &amp; Content Strategy</t>
  </si>
  <si>
    <t>367468-30P</t>
  </si>
  <si>
    <t>Christina Smith</t>
  </si>
  <si>
    <t>Ms. Christina Smith serves as Senior PR Manager, Healthcare at Amazon.com.</t>
  </si>
  <si>
    <t>christinasmith@amazon.com</t>
  </si>
  <si>
    <t>Senior PR Manager, Healthcare</t>
  </si>
  <si>
    <t>110289-34P</t>
  </si>
  <si>
    <t>Claire Paull</t>
  </si>
  <si>
    <t>Claire</t>
  </si>
  <si>
    <t>Paull</t>
  </si>
  <si>
    <t>Ms. Claire Paull serves as Director of Global Marketing at Amazon Ads at Amazon.com. She served as Chief Communications Officer at BirchBox. She previously worked as Executive Director, International Publicity and Media Promotions at Fox Filmed Entertainment.</t>
  </si>
  <si>
    <t>clairepaull@amazon.com</t>
  </si>
  <si>
    <t>Director of Global Marketing at Amazon Ads</t>
  </si>
  <si>
    <t>367451-29P</t>
  </si>
  <si>
    <t>Claire Winiarek Ph.D</t>
  </si>
  <si>
    <t>Winiarek</t>
  </si>
  <si>
    <t>Director &amp; Head</t>
  </si>
  <si>
    <t>Dr. Claire Winiarek serves as Director and Head of Health Care Policy at Amazon.com.</t>
  </si>
  <si>
    <t>claire.winiarek@amazon.com</t>
  </si>
  <si>
    <t>Director and Head of Health Care Policy</t>
  </si>
  <si>
    <t>366576-49P</t>
  </si>
  <si>
    <t>Craig Dixon</t>
  </si>
  <si>
    <t>Dixon</t>
  </si>
  <si>
    <t>Mr. Craig Dixon serves as Head of Business Development, Amazon Clinic at Amazon.com. He earned a degree from Boston University.</t>
  </si>
  <si>
    <t>craigdixon@amazon.com</t>
  </si>
  <si>
    <t>Head of Business Development, Amazon Clinic</t>
  </si>
  <si>
    <t>81404-56P</t>
  </si>
  <si>
    <t>Dan Grossman</t>
  </si>
  <si>
    <t>Dan</t>
  </si>
  <si>
    <t>Grossman</t>
  </si>
  <si>
    <t>Mr. Dan Grossman serves as Vice President, Worldwide Corporate Development at Amazon.com. Prior to Amazon, he served as a Portfolio Manager at Carlson Capital and as a Principal at Venrock Associates.</t>
  </si>
  <si>
    <t>grossman@amazon.com</t>
  </si>
  <si>
    <t>Vice President, Worldwide Corporate Development</t>
  </si>
  <si>
    <t>241184-80P</t>
  </si>
  <si>
    <t>David Carbon</t>
  </si>
  <si>
    <t>Carbon</t>
  </si>
  <si>
    <t>General Manager &amp; Vice President</t>
  </si>
  <si>
    <t>Mr. David Carbon serves as Vice President &amp; General Manager, Prime Air at Amazon.com. He is responsible for all aspects of Prime Air, including design, certification, build, fulfillment, and operations. Prior to joining Amazon, David was vice president of operations (COO) for Boeing's 787 Program. In this capacity, he was responsible for the end-to-end build and delivery of the 787-8, 9, and 10. Previously, he led the 747 Operation, Machining and Emergent Operations at Boeing Salt Lake City and Boeing / Hawker de Havilland Australia. Prior to joining Boeing in September 2001, Carbon worked for the Ford Motor Company, holding roles in Final Assembly, Powertrain, R&amp;D, and the President's Office. He received his undergraduate degree in legal studies and politics from La Trobe University, a Masters of Business Leadership from the Royal Melbourne Institute of Technology, and successfully completed the Advanced Management Degree at Harvard University.</t>
  </si>
  <si>
    <t>dcarbon@amazon.com</t>
  </si>
  <si>
    <t>Vice President &amp; General Manager, Prime Air</t>
  </si>
  <si>
    <t>44176-42P</t>
  </si>
  <si>
    <t>David Naggar</t>
  </si>
  <si>
    <t>Naggar</t>
  </si>
  <si>
    <t>Mr. David Naggar serves as Vice President, WW Books &amp; Kindle Content at Amazon.com. He served as the President at iAmplify from January 2008 to March 2009. He serves as Chief Operating Officer of Backbone Media. He manages the day-to-day operations of Backbone Media and is the lead Project Manager. Prior to joining Backbone Media, his technical experience included two years as a quality assurance engineer where he wrote and executed software and hardware testing scripts and ensured the high quality of all products delivered to clients. He served as President of Random House Audio, Diversified, Information and Travel Publishing Groups where he oversaw record growth of many businesses including, Fodor's Travel, Random House Audio, Princeton Review, Prima Guides, Living Language, House of Collectibles and Random House Reference, Value and Large Print Publishing. Previously, he served as the Senior Vice President and Director of Sales at Random House where he headed the largest trade sales force in Publishing and Vice President of Sales Development where he managed the integration of sales forces between Random House and Bantam Doubleday Dell. Before joining Random House, he served as Vice President of Direct Response Marketing at France Loisirs (French book club) and Director of Business Operations at Bantam Doubleday Dell. He has experience as a network administrator. He serves as Co-Chairman of Mid Atlantic Board of Advisors to Jumpstart (a childhood literacy non-profit organization). He graduated with an MBA from New York University's Stern School of Business and received his BS from Cornell University and received his B.S. in Business Administration from Boston University's School of Management, where he studied dual concentrations in Marketing and Information Technology.</t>
  </si>
  <si>
    <t>davidn@amazon.com</t>
  </si>
  <si>
    <t>Vice President, WW Books &amp; Kindle Content</t>
  </si>
  <si>
    <t>148984-12P</t>
  </si>
  <si>
    <t>David Zapolsky JD</t>
  </si>
  <si>
    <t>Zapolsky</t>
  </si>
  <si>
    <t>General Counsel &amp; Senior Vice President</t>
  </si>
  <si>
    <t>Mr. David Zapolsky serves as Senior Vice President, Global Public Policy General Counsel and Secretary at Amazon.com. He joined Amazon.com in November 1999 as Associate General Counsel for Litigation and Regulatory matters and was promoted to Vice President in April 2002. He became Vice President, General Counsel and Secretary in September 2012, overseeing the company's legal, policy, compliance, and regulatory affairs, and Senior Vice President, General Counsel and Secretary in May 2014. Prior to joining Amazon.com, David was a partner at the Seattle offices of Dorsey &amp; Whitney and Bogle &amp; Gates. Before moving to Seattle from New York City in 1994, he served as an Assistant District Attorney in the Brooklyn District Attorney's Office and later practiced law at Wachtell Lipton Rosen &amp; Katz. He received his undergraduate degree in music from Columbia University and a J.D. with honors from the University of California, Berkeley.</t>
  </si>
  <si>
    <t>davidzapolsky@amazon.com</t>
  </si>
  <si>
    <t>Senior Vice President, Global Public Policy General Counsel and Secretary</t>
  </si>
  <si>
    <t>162109-00P</t>
  </si>
  <si>
    <t>Dillon Heist</t>
  </si>
  <si>
    <t>Dillon</t>
  </si>
  <si>
    <t>Heist</t>
  </si>
  <si>
    <t>Mr. Dillon Heist serves as Senior Product Marketing Manager, Devices at Amazon.com.</t>
  </si>
  <si>
    <t>heistd@amazon.com</t>
  </si>
  <si>
    <t>Senior Product Marketing Manager, Devices</t>
  </si>
  <si>
    <t>115415-92P</t>
  </si>
  <si>
    <t>Douglas Gurr Ph.D</t>
  </si>
  <si>
    <t>Gurr</t>
  </si>
  <si>
    <t>Dr. Douglas Gurr serves as UK Country Manager at Amazon.com. He serves as the President of Amazon China. He serves as the Board Member and Advisor at It's All About You. Mr. Gurr served as President of China Amazon.com Inc. from September 1, 2014 to July 2016. Mr. Gurr served as Global Vice President - UK at Amazon.com Inc. from 2011 to September 1, 2014, where Mr. Gurr is in charge of outdoor furnishing products. He founded Blueheath Holdings Plc and served as its Chief Executive Officer from June 4, 2004 to August 31, 2006. Mr. Gurr served as a Partner and Head of the UK Retail Practice of McKinsey &amp; Company from 2000 to 2001. He served as Director of Executive Development at ASDA Group Limited until January 2011. Mr. Gurr served at a number of grocery retailers on supply chain and procurement from 1995 to 2001. Prior to McKinsey &amp; Company, he was a Principal at the UK Department of Transport. He served as Chairman of Science Museum trading company. He has been Non-Executive Director at Department for Work and Pensions since February 2016. Mr. Gurr served as an Executive Director of Blueheath Holdings Plc until August 31, 2006. He served as a board member at Wal-Mart. Mr. Gurr served as a Trustee of the Science Museum and a Non Executive Director of their trading company. Mr. Gurr holds PhD in Theoretical Computing from The University of Edinburgh , Master of Mathematics in Pure Mathematics and BA in Mathematics from University of Cambridge.
read less</t>
  </si>
  <si>
    <t>douglas@amazon.com</t>
  </si>
  <si>
    <t>UK Country Manager</t>
  </si>
  <si>
    <t>305870-77P</t>
  </si>
  <si>
    <t>Douglas Herrington</t>
  </si>
  <si>
    <t>Herrington</t>
  </si>
  <si>
    <t>Mr. Douglas Herrington serves as Chief Executive Officer, Worldwide Amazon Stores at Amazon.com. He has served as CEO of Worldwide Amazon Stores since July 2022. In this role, he leads numerous businesses, including Amazon's online and mobile shopping experiences worldwide, global operations and fulfillment, Prime, Amazon Grocery, Amazon Business, Selling Partner Services, and Amazon Health Services. He joined Amazon in 2005 to launch the Amazon consumables business and was named senior vice president of North America Consumer in 2015. Doug is passionate about building and innovating. He led teams that invented services such as Subscribe and Save, Amazon Fresh, Amazon Business, Alexa Shopping, and Buy with Prime. Before joining Amazon, he was the founder and CEO of KeepMedia and previously served on the executive team at online grocery retailer Webvan. Doug received a BA in economics from Princeton University and holds an MBA from Harvard Business School.</t>
  </si>
  <si>
    <t>+1 (231) 582-9455</t>
  </si>
  <si>
    <t>dherring@amazon.com</t>
  </si>
  <si>
    <t>Chief Executive Officer, Worldwide Amazon Stores</t>
  </si>
  <si>
    <t>121132-27P</t>
  </si>
  <si>
    <t>Douglas Jardine</t>
  </si>
  <si>
    <t>Jardine</t>
  </si>
  <si>
    <t>Mr. Douglas Jardine serves as Software Engineering Manager at Amazon.com. Mr. Jardine Co-Founded Airdna and served as its Chief Technology Officer. He has always been a builder, or in many cases a disassembler then (re)builder. Starting off with Legos and R/C cars, then on to hotrod computers and web 1.0 sites and most recently graduating to computer hardware and software projects and grown-up race cars. Prior to Airdna, Doug co-founded a video discovery platform that aggregates millions of video and user data points to discover and categorize top web videos into highly curated and personalized video channels. His platform, PypeTV, is used by 10s of thousands of users across major smart TV platforms. Doug has worked in various engineering and strategy roles for the past 10+ years. After his MIT Sloan School of Management MBA, he worked in corporate strategy and investments for Samsung headquarters in Seoul. Prior to that, he worked in engineering and product at iRobot, developing cutting edge military robotics, and Northrop Grumman, developing data fusion technology and advanced warning systems to protect airports, seaports and other facilities. Doug has a Computer Engineering degree from Tufts University.</t>
  </si>
  <si>
    <t>douglasjardine@amazon.com</t>
  </si>
  <si>
    <t>Software Engineering Manager</t>
  </si>
  <si>
    <t>182458-27P</t>
  </si>
  <si>
    <t>Frederic Duval</t>
  </si>
  <si>
    <t>Duval</t>
  </si>
  <si>
    <t>Manager &amp; Vice President</t>
  </si>
  <si>
    <t>Mr. Frederic Duval serves as Vice President &amp; Country Manager, Belgium at Amazon.com.</t>
  </si>
  <si>
    <t>fredericduval@amazon.com</t>
  </si>
  <si>
    <t>Vice President &amp; Country Manager, Belgium</t>
  </si>
  <si>
    <t>351280-90P</t>
  </si>
  <si>
    <t>Geoff Winkler</t>
  </si>
  <si>
    <t>Geoff</t>
  </si>
  <si>
    <t>Winkler</t>
  </si>
  <si>
    <t>Mr. Geoff Winkler serves as Finance Director of AWS SMGS (WW) &amp; Investor Relations at Amazon.com.</t>
  </si>
  <si>
    <t>geoffwinkler@amazon.com</t>
  </si>
  <si>
    <t>Finance Director of AWS SMGS (WW) &amp; Investor Relations</t>
  </si>
  <si>
    <t>67986-64P</t>
  </si>
  <si>
    <t>Girish Prabhu</t>
  </si>
  <si>
    <t>Girish</t>
  </si>
  <si>
    <t>Prabhu</t>
  </si>
  <si>
    <t>Director &amp; General Manager</t>
  </si>
  <si>
    <t>Mr. Girish Prabhu serves as Director &amp; General Manager amazon.in Advertising at Amazon.com. Previously he served as Director, Advertising Technology at Amazon.com. He served as Head, Products for Supply &amp; Publisher Platform at Tapjoy.</t>
  </si>
  <si>
    <t>girishprabhu@amazon.com</t>
  </si>
  <si>
    <t>Director &amp; General Manager amazon.in Advertising</t>
  </si>
  <si>
    <t>366869-08P</t>
  </si>
  <si>
    <t>Grant Khanbalinov</t>
  </si>
  <si>
    <t>Khanbalinov</t>
  </si>
  <si>
    <t>Mr. Grant Khanbalinov serves as Head of Paid Social Media, Amazon Health at Amazon.com.</t>
  </si>
  <si>
    <t>gkhanbalinov@amazon.com</t>
  </si>
  <si>
    <t>Head of Paid Social Media, Amazon Health</t>
  </si>
  <si>
    <t>35848-18P</t>
  </si>
  <si>
    <t>Jack Sallay</t>
  </si>
  <si>
    <t>Sallay</t>
  </si>
  <si>
    <t>Mr. Jack Sallay serves as Director of Product Management, Health at Amazon.com.</t>
  </si>
  <si>
    <t>sjack@amazon.com</t>
  </si>
  <si>
    <t>Director of Product Management, Health</t>
  </si>
  <si>
    <t>381705-04P</t>
  </si>
  <si>
    <t>James Dibbo</t>
  </si>
  <si>
    <t>Dibbo</t>
  </si>
  <si>
    <t>Chief Financial Officer &amp; Vice President</t>
  </si>
  <si>
    <t>Mr. James Dibbo serves as Vice President &amp; Chief Financial Officer, Global Media &amp; Entertainment, Advertising and Corporate Development at Amazon.com.</t>
  </si>
  <si>
    <t>jamesdibbo@amazon.com</t>
  </si>
  <si>
    <t>Vice President &amp; Chief Financial Officer, Global Media &amp; Entertainment, Advertising and Corporate Development</t>
  </si>
  <si>
    <t>404859-52P</t>
  </si>
  <si>
    <t>Jamey Mulligan</t>
  </si>
  <si>
    <t>Jamey</t>
  </si>
  <si>
    <t>Mulligan</t>
  </si>
  <si>
    <t>Mr. Jamey Mulligan serves as Head of Carbon Neutralization Science and Strategy at Amazon.com.</t>
  </si>
  <si>
    <t>jameymulligan@amazon.com</t>
  </si>
  <si>
    <t>Head of Carbon Neutralization Science and Strategy</t>
  </si>
  <si>
    <t>159000-76P</t>
  </si>
  <si>
    <t>Jamil Ghani</t>
  </si>
  <si>
    <t>Jamil</t>
  </si>
  <si>
    <t>Ghani</t>
  </si>
  <si>
    <t>Mr. Jamil Ghani serves as Vice President, Amazon Prime at Amazon.com. Previously, he served as a Senior Vice President of Strategy &amp; Innovation at Amazon.com. He has been at Target since 2011, holding a variety of business development and strategy positions. Before joining the company, he served as director of the global marketing strategy and planning for the Disney theme parks for four years.</t>
  </si>
  <si>
    <t>jamil@amazon.com</t>
  </si>
  <si>
    <t>Vice President, Amazon Prime</t>
  </si>
  <si>
    <t>351281-71P</t>
  </si>
  <si>
    <t>Jennifer Kirchner</t>
  </si>
  <si>
    <t>Kirchner</t>
  </si>
  <si>
    <t>Coordinator &amp; Executive</t>
  </si>
  <si>
    <t>Ms. Jennifer Kirchner serves as Executive Assistant and Investor Relations Coordinator at Amazon.com.</t>
  </si>
  <si>
    <t>jenniferkirchner@amazon.com</t>
  </si>
  <si>
    <t>Executive Assistant and Investor Relations Coordinator</t>
  </si>
  <si>
    <t>366901-21P</t>
  </si>
  <si>
    <t>Jennifer Moy</t>
  </si>
  <si>
    <t>Moy</t>
  </si>
  <si>
    <t>Ms. Jennifer Moy serves as Executive, Business Development, Amazon Health at Amazon.com.</t>
  </si>
  <si>
    <t>jennifermoy@amazon.com</t>
  </si>
  <si>
    <t>Executive, Business Development, Amazon Health</t>
  </si>
  <si>
    <t>179595-91P</t>
  </si>
  <si>
    <t>Jennifer Salke</t>
  </si>
  <si>
    <t>Salke</t>
  </si>
  <si>
    <t>Executive &amp; Head</t>
  </si>
  <si>
    <t>Ms. Jennifer Salke serves as Head of Amazon and MGM Studios at Amazon.com. She joined Amazon in 2018, after working as Entertainment President at NBC. Prior to joining Amazon, Salke was President of NBC Entertainment for seven consecutive years, where she was responsible for comedy and drama development, current programming, casting and diversity programming initiatives, as well as the entirety of Universal Television operations. Salke served as Executive Vice President of Creative Affairs at Twentieth Century Fox Television, after joining Twentieth Century Fox as Senior Vice President of Drama Development in 2002. Salke began her career at Aaron Spelling Productions in the early 1990s. A board member for the Los Angeles chapter of Big Brothers Big Sisters, Salke also acts as an ambassador for the non-profit Operation Smile. Salke and her husband, Bert, who is President of Fox 21 Television Studios, reside in Los Angeles and have three children: twin daughters Kate and Georgia, and son Henry.</t>
  </si>
  <si>
    <t>jennifer@amazon.com</t>
  </si>
  <si>
    <t>Head of Amazon and MGM Studios</t>
  </si>
  <si>
    <t>367442-29P</t>
  </si>
  <si>
    <t>Jessica Bardoulas</t>
  </si>
  <si>
    <t>Jessica</t>
  </si>
  <si>
    <t>Bardoulas</t>
  </si>
  <si>
    <t>Ms. Jessica Bardoulas serves as Senior Public Relations Manager, Amazon Pharmacy at Amazon.com.</t>
  </si>
  <si>
    <t>jbardoulas@amazon.com</t>
  </si>
  <si>
    <t>Senior Public Relations Manager, Amazon Pharmacy</t>
  </si>
  <si>
    <t>134469-73P</t>
  </si>
  <si>
    <t>Justin Eckhouse</t>
  </si>
  <si>
    <t>Eckhouse</t>
  </si>
  <si>
    <t>Mr. Justin Eckhouse serves as Head of Product, Podcast Playback, Devices, Catalog, Operations at Amazon.com.</t>
  </si>
  <si>
    <t>justin@amazon.com</t>
  </si>
  <si>
    <t>Head of Product, Podcast Playback, Devices, Catalog &amp; Operations</t>
  </si>
  <si>
    <t>251661-79P</t>
  </si>
  <si>
    <t>Kara Hurst</t>
  </si>
  <si>
    <t>Kara</t>
  </si>
  <si>
    <t>Hurst</t>
  </si>
  <si>
    <t>Executive &amp; Vice President</t>
  </si>
  <si>
    <t>Ms. Kara Hurst serves as Vice President, Worldwide Sustainability &amp; Chief Sustainability Officer at Amazon.com. She served as an Executive at The Climate Pledge.</t>
  </si>
  <si>
    <t>khurst@amazon.com</t>
  </si>
  <si>
    <t>Vice President, Worldwide Sustainability &amp; Chief Sustainability Officer</t>
  </si>
  <si>
    <t>140034-97P</t>
  </si>
  <si>
    <t>Katie Hoisington</t>
  </si>
  <si>
    <t>Katie</t>
  </si>
  <si>
    <t>Hoisington</t>
  </si>
  <si>
    <t>Ms. Katie Hoisington serves as Manager, Corporate Development, Acquisition Integration at Amazon.com.</t>
  </si>
  <si>
    <t>hkatie@amazon.com</t>
  </si>
  <si>
    <t>Manager, Corporate Development, Acquisition Integration</t>
  </si>
  <si>
    <t>290295-37P</t>
  </si>
  <si>
    <t>Kimberly Pousman</t>
  </si>
  <si>
    <t>Kimberly</t>
  </si>
  <si>
    <t>Pousman</t>
  </si>
  <si>
    <t>Ms. Kimberly Pousman serves as Senior Manager Global Operations, the Climate Pledge at Amazon.com.</t>
  </si>
  <si>
    <t>kimberlypousma@amazon.com</t>
  </si>
  <si>
    <t>Senior Manager Global Operations, the Climate Pledge</t>
  </si>
  <si>
    <t>351280-63P</t>
  </si>
  <si>
    <t>Kiran Bal</t>
  </si>
  <si>
    <t>Kiran</t>
  </si>
  <si>
    <t>Bal</t>
  </si>
  <si>
    <t>Ms. Kiran Bal serves as Director, Finance - World Wide Books, Kindle Content/Tech and Publishing at Amazon.com.</t>
  </si>
  <si>
    <t>kiranbal@amazon.com</t>
  </si>
  <si>
    <t>Director, Finance - World Wide Books, Kindle Content/Tech and Publishing</t>
  </si>
  <si>
    <t>287193-43P</t>
  </si>
  <si>
    <t>Lisa Kolodny</t>
  </si>
  <si>
    <t>Lisa</t>
  </si>
  <si>
    <t>Kolodny</t>
  </si>
  <si>
    <t>Ms. Lisa Kolodny serves as Head of Marketing - Special Projects at Amazon.com. She served as Chief Marketing Officer at Indagare.</t>
  </si>
  <si>
    <t>lisa.kolodny@amazon.com</t>
  </si>
  <si>
    <t>Head of Marketing - Special Projects</t>
  </si>
  <si>
    <t>367450-39P</t>
  </si>
  <si>
    <t>Maggie Yang</t>
  </si>
  <si>
    <t>Maggie</t>
  </si>
  <si>
    <t>Ms. Maggie Yang serves as Senior Corporate Business Development Manager at Amazon.com.</t>
  </si>
  <si>
    <t>maggieyang@amazon.com</t>
  </si>
  <si>
    <t>Senior Corporate Business Development Manager</t>
  </si>
  <si>
    <t>340224-22P</t>
  </si>
  <si>
    <t>Manoj Aggarwal</t>
  </si>
  <si>
    <t>Manoj</t>
  </si>
  <si>
    <t>Aggarwal</t>
  </si>
  <si>
    <t>Mr. Manoj Aggarwal serves as Director, Applied Science at Amazon.com.</t>
  </si>
  <si>
    <t>aggarwalm@amazon.com</t>
  </si>
  <si>
    <t>Director, Applied Science</t>
  </si>
  <si>
    <t>297637-48P</t>
  </si>
  <si>
    <t>Mariangela Marseglia</t>
  </si>
  <si>
    <t>Mariangela</t>
  </si>
  <si>
    <t>Marseglia</t>
  </si>
  <si>
    <t>Ms. Mariangela Marseglia serves as Vice President Stores for Europe at Amazon.com.</t>
  </si>
  <si>
    <t>mariangelamarseglia@primevideo.com</t>
  </si>
  <si>
    <t>Vice President Stores for Europe</t>
  </si>
  <si>
    <t>87920-38P</t>
  </si>
  <si>
    <t>Mark Hoffman JD</t>
  </si>
  <si>
    <t>Hoffman</t>
  </si>
  <si>
    <t>Associate &amp; Vice President</t>
  </si>
  <si>
    <t>Mr. Mark Hoffman serves as Vice President, Associate General Counsel, Corporate &amp; Securities &amp; Legal Chief Operating Officer at Amazon.com. Mr. Hoffman served as a Partner at DLA Piper. With a background in SEC reporting, corporate governance, mergers and acquisitions, and legal operations, he previously held positions at DLA Piper and Gray Cary as a Partner specializing in public company representation, venture capital, IPOs, and more. He graduated from the University of Michigan Law School with a Juris Doctor (J.D.) and obtained a Bachelor's Degree in Political Economy from Princeton University.</t>
  </si>
  <si>
    <t>+1 (206) 839-4823</t>
  </si>
  <si>
    <t>hoffmanm@amazon.com</t>
  </si>
  <si>
    <t>+1 (206) 494-1788</t>
  </si>
  <si>
    <t>Vice President, Associate General Counsel, Corporate &amp; Securities &amp; Legal Chief Operating Officer</t>
  </si>
  <si>
    <t>145011-52P</t>
  </si>
  <si>
    <t>Matt Cohen</t>
  </si>
  <si>
    <t>General Manager &amp; Head</t>
  </si>
  <si>
    <t>Mr. Matt Cohen serves as General Manager &amp; Head of Prime Video Channels US, Prime Video &amp; Amazon Studios at Amazon.com.</t>
  </si>
  <si>
    <t>matt.c@amazon.com</t>
  </si>
  <si>
    <t>General Manager &amp; Head of Prime Video Channels US, Prime Video &amp; Amazon Studios</t>
  </si>
  <si>
    <t>81404-20P</t>
  </si>
  <si>
    <t>Matthew Peterson</t>
  </si>
  <si>
    <t>Peterson</t>
  </si>
  <si>
    <t>Mr. Matthew Peterson serves as Director, Corporate Development New Initiatives at Amazon.com. Mr. Matthew Peterson serves as Director Amazon Climate Pledge Fund at The Climate Pledge. Previously, He served as Senior Manager of Corporate Development at Amazon. Before heading up new initiatives, Peterson was director of advertising for new initiatives. He spent the preceding 10 years in corporate development, working across every business at Amazon, beginning at manager level, before becoming senior manager then director. At the turn of the millennium, he co-founded an internet company called WarrantyCheck after working at Summit Partners as an associate for two years. He holds a BA in Computer Science from Dartmouth College and an MBA from Northwestern University Kellogg.</t>
  </si>
  <si>
    <t>matthew@amazon.com</t>
  </si>
  <si>
    <t>Director, Corporate Development &amp; New Initiatives</t>
  </si>
  <si>
    <t>367144-03P</t>
  </si>
  <si>
    <t>Matthew Rubin</t>
  </si>
  <si>
    <t>Mr. Matthew Rubin serves as Executive, Public Policy at Amazon.com.</t>
  </si>
  <si>
    <t>mrubin@amazon.com</t>
  </si>
  <si>
    <t>Executive, Public Policy</t>
  </si>
  <si>
    <t>43754-05P</t>
  </si>
  <si>
    <t>Matthew Sandler</t>
  </si>
  <si>
    <t>Sandler</t>
  </si>
  <si>
    <t>Mr. Matthew Sandler serves as Head, Talent &amp; Content Services - Audio, Twitch, &amp; Games at Amazon.com. He co-founded and served as the Chief Executive Officer at Chromatik. He is a professional musician and entrepreneur. He has extensively toured the West Coast, taught woodwinds in the Los Angeles Unified School District, and was recently a lecturer in music technology at UCLA. However, performing and teaching music was not always his gig - Matt's held A&amp;R and technology roles at KROQ 106.7FM and Capitol Records. And from there, he was on the early team of the social marketing startup CitizenNet, leading business development and sales. Blending his experiences in technology and education, Matt founded Chromatik to redefine how people practice, perform and learn music. Matt holds a BA in Saxophone Performance from UCLA and was named a CA Distinguished Arts Scholar by Governor Arnold Schwarzenegger.</t>
  </si>
  <si>
    <t>matthewsandler@amazon.com</t>
  </si>
  <si>
    <t>Head, Talent &amp; Content Services - Audio, Twitch, &amp; Games</t>
  </si>
  <si>
    <t>77994-73P</t>
  </si>
  <si>
    <t>Michael Dubovick</t>
  </si>
  <si>
    <t>Dubovick</t>
  </si>
  <si>
    <t>Mr. Michael Dubovick serves as Head of Strategic Partnership, Amazon Shipping at Amazon.com. He served as a Vice President at MC Credit Partners.</t>
  </si>
  <si>
    <t>dubovick@amazon.com</t>
  </si>
  <si>
    <t>Head of Strategic Partnership, Amazon Shipping</t>
  </si>
  <si>
    <t>245440-00P</t>
  </si>
  <si>
    <t>Min Kang</t>
  </si>
  <si>
    <t>Min</t>
  </si>
  <si>
    <t>Kang</t>
  </si>
  <si>
    <t>Ms. Min Kang serves as Senior Technical Product Manager at Amazon.com. Ms. Kang served as Chief Product and Strategy Officer at Brinks Home Security.</t>
  </si>
  <si>
    <t>minkang@amazon.com</t>
  </si>
  <si>
    <t>Senior Technical Product Manager</t>
  </si>
  <si>
    <t>309734-92P</t>
  </si>
  <si>
    <t>Neil Lindsay</t>
  </si>
  <si>
    <t>Neil</t>
  </si>
  <si>
    <t>Lindsay</t>
  </si>
  <si>
    <t>Mr. Neil Lindsay serves as Senior Vice President, Amazon Health Services, Amazon Stores at Amazon.com. He is Senior Vice President of Amazon Health Services and Amazon Stores. Most recently, he was SVP of Prime and Marketing at Amazon.com, where he previously held other marketing roles. Prior to joining Amazon, Lindsay worked for Sprint, where he was VP of Product Development, VP of Products and Platforms, and CMO. Before that, he was a Principal at 90D. Lindsay also served as COO for Zivo Web Solutions.</t>
  </si>
  <si>
    <t>+1 (800) 522-6645</t>
  </si>
  <si>
    <t>nlindsay@amazon.com</t>
  </si>
  <si>
    <t>Senior Vice President, Amazon Health Services, Amazon Stores</t>
  </si>
  <si>
    <t>81404-02P</t>
  </si>
  <si>
    <t>Nick Komorous</t>
  </si>
  <si>
    <t>Komorous</t>
  </si>
  <si>
    <t>Mr. Nick Komorous serves as Vice President, Corporate Development at Amazon.com. Prior to Amazon, Mr. Komorous served as an Investment Associate at Silver Lake Partners and as an Analyst at Goldman Sachs. Mr. Komorous holds a BA in Economics and Finance from Princeton University and an MBA in General Management from Harvard Business School.</t>
  </si>
  <si>
    <t>komorous@amazon.com</t>
  </si>
  <si>
    <t>144300-16P</t>
  </si>
  <si>
    <t>Oliver Gonzalez</t>
  </si>
  <si>
    <t>Gonzalez</t>
  </si>
  <si>
    <t>Associate &amp; Manager</t>
  </si>
  <si>
    <t>Mr. Oliver Gonzalez serves as Senior Manager, Compensation &amp; Associate, Step Plans &amp; Premium Pay at Amazon.com. He earned a BS in Commerce from Santa Clara University.</t>
  </si>
  <si>
    <t>gonzalez@amazon.com</t>
  </si>
  <si>
    <t>Senior Manager, Compensation &amp; Associate, Step Plans &amp; Premium Pay</t>
  </si>
  <si>
    <t>81404-83P</t>
  </si>
  <si>
    <t>Paul Bernard</t>
  </si>
  <si>
    <t>Bernard</t>
  </si>
  <si>
    <t>Director &amp; Executive</t>
  </si>
  <si>
    <t>Mr. Paul Bernard serves as Director of Worldwide Corporate Development at Amazon Alexa Fund. He served as Board Observer at North. Prior to Amazon, He served as a Vice President of Market Development at Inrix. He served as Director at Alexa Accelerator. He serves as Director of Worldwide Corporate Development and Alexa Fund Lead at Amazon.com.</t>
  </si>
  <si>
    <t>98121</t>
  </si>
  <si>
    <t>Director, Worldwide Corporate Development</t>
  </si>
  <si>
    <t>Amazon Alexa Fund</t>
  </si>
  <si>
    <t>81405-10P</t>
  </si>
  <si>
    <t>Peter Krawiec</t>
  </si>
  <si>
    <t>Krawiec</t>
  </si>
  <si>
    <t>Mr. Peter Krawiec serves as Senior Vice President, Worldwide Corporate and Business Development at Amazon.com. He also serves as Board Member at LivingSocial. Prior to Amazon, Mr. Krawiec served as a Principal at Mid-Atlantic Venture Funds and as an Investment Banking Analyst at JP Morgan. In this role, he oversees all elements of Amazon's corporate development, including mergers and acquisitions. Krawiec was added to Amazon's senior-level executive team in 2019. Prior to joining Amazon in 2004, he worked at Mid-Atlantic Venture Funds and JPMorgan. He earned an MBA from Northwestern University's Kellogg School of Management and a BA in Economics, both from Trinity College.</t>
  </si>
  <si>
    <t>pkrawiec@amazon.com</t>
  </si>
  <si>
    <t>Senior Vice President, Worldwide Corporate and Business Development</t>
  </si>
  <si>
    <t>120097-09P</t>
  </si>
  <si>
    <t>Phil Yerkes</t>
  </si>
  <si>
    <t>Phil</t>
  </si>
  <si>
    <t>Yerkes</t>
  </si>
  <si>
    <t>Mr. Phil Yerkes serves as Director, Business Development, Devices and Digital Services at Amazon.com. He co-founded and served as the Chief Executive Officer of Movaya Wireless.</t>
  </si>
  <si>
    <t>yerkes@amazon.com</t>
  </si>
  <si>
    <t>Director, Business Development, Devices and Digital Services</t>
  </si>
  <si>
    <t>142360-48P</t>
  </si>
  <si>
    <t>Preetham N</t>
  </si>
  <si>
    <t>Preetham</t>
  </si>
  <si>
    <t>N</t>
  </si>
  <si>
    <t>Mr. Preetham N serves as Executive, Investments and Mergers &amp; Acquisitions at Amazon.com. Previously he served as an Associate, Investment Team at Nirvana Venture Advisors. He serves as Executive, Investments at Amazon Smbhav Venture Fund. He worked as an investment banker at Avendus Capital, and an algorithms developer at Siemens. He also holds a US patent for his work at Siemens. He holds a Post Graduate Diploma in management from the Indian Institute of Management, Lucknow.</t>
  </si>
  <si>
    <t>preetham@amazon.com</t>
  </si>
  <si>
    <t>Executive, Investments and Mergers &amp; Acquisitions</t>
  </si>
  <si>
    <t>366816-25P</t>
  </si>
  <si>
    <t>Rachel Limar</t>
  </si>
  <si>
    <t>Limar</t>
  </si>
  <si>
    <t>Chief Marketing Officer</t>
  </si>
  <si>
    <t>Ms. Rachel Limar serves as Chief Marketing Officer, Amazon Pharmacy at Amazon.com.</t>
  </si>
  <si>
    <t>rachellimar@amazon.com</t>
  </si>
  <si>
    <t>Chief Marketing Officer, Amazon Pharmacy</t>
  </si>
  <si>
    <t>132758-11P</t>
  </si>
  <si>
    <t>Russell Grandinetti</t>
  </si>
  <si>
    <t>Russell</t>
  </si>
  <si>
    <t>Grandinetti</t>
  </si>
  <si>
    <t>Mr. Russell Grandinetti serves as Senior Vice President, International Stores at Amazon.com. Prior roles at Amazon, he served as Senior Vice President for Kindle, GM for Amazon's book business in North America, Vice President of Softlines, and as Treasurer of the company in Amazon's early years. Before joining Amazon, Grandinetti was a securities analyst covering technology and Internet companies at Morgan Stanley. Prior to that, he was a systems designer and engineer at Andersen Consulting. He graduated from Princeton University and holds a B.S.E. in Operations Research.</t>
  </si>
  <si>
    <t>russellg@amazon.com</t>
  </si>
  <si>
    <t>Senior Vice President, International Stores</t>
  </si>
  <si>
    <t>89855-92P</t>
  </si>
  <si>
    <t>Saahil Peerbhoy</t>
  </si>
  <si>
    <t>Saahil</t>
  </si>
  <si>
    <t>Peerbhoy</t>
  </si>
  <si>
    <t>Mr. Saahil Peerbhoy serves as Executive, Business Development and Strategy, Amazon Care (Healthcare) at Amazon.com.</t>
  </si>
  <si>
    <t>+44 (0)80 0031 4086</t>
  </si>
  <si>
    <t>saahil@amazon.com</t>
  </si>
  <si>
    <t>60 Holborn Viaduct</t>
  </si>
  <si>
    <t>EC1A 2FD</t>
  </si>
  <si>
    <t>Executive, Business Development and Strategy, Amazon Care (Healthcare)</t>
  </si>
  <si>
    <t>351281-35P</t>
  </si>
  <si>
    <t>Sally Zuau</t>
  </si>
  <si>
    <t>Sally</t>
  </si>
  <si>
    <t>Zuau</t>
  </si>
  <si>
    <t>Ms. Sally Zuau serves as Member, Investor Relations at Amazon.com.</t>
  </si>
  <si>
    <t>sallyzuau@amazon.com</t>
  </si>
  <si>
    <t>Member, Investor Relations</t>
  </si>
  <si>
    <t>366559-03P</t>
  </si>
  <si>
    <t>Samantha Eisen</t>
  </si>
  <si>
    <t>Samantha</t>
  </si>
  <si>
    <t>Eisen</t>
  </si>
  <si>
    <t>Ms. Samantha Eisen serves as Communication Manager, Amazon Health Services at Amazon.com.</t>
  </si>
  <si>
    <t>seisen@amazon.com</t>
  </si>
  <si>
    <t>Communication Manager, Amazon Health Services</t>
  </si>
  <si>
    <t>366887-80P</t>
  </si>
  <si>
    <t>Serena Kelleher-Vergantini</t>
  </si>
  <si>
    <t>Serena</t>
  </si>
  <si>
    <t>Kelleher-Vergantini</t>
  </si>
  <si>
    <t>Ms. Serena Kelleher-Vergantini serves as Principal Product Manager of Technology Kuiper at Amazon.com.</t>
  </si>
  <si>
    <t>serenakellehervergantini@amazon.com</t>
  </si>
  <si>
    <t>Principal Product Manager of Technology Kuiper</t>
  </si>
  <si>
    <t>143770-60P</t>
  </si>
  <si>
    <t>Sheldon Young</t>
  </si>
  <si>
    <t>Sheldon</t>
  </si>
  <si>
    <t>Mr. Sheldon Young serves as Senior Product Manager Technical at Amazon.com. He served as Investment Banking Associate, Mergers and Acquisitions at Deutsche Bank. Previously, he served as Extern at Fairhaven Capital.</t>
  </si>
  <si>
    <t>+1 (919) 321-7901</t>
  </si>
  <si>
    <t>sheldon@amazon.com</t>
  </si>
  <si>
    <t>Senior Product Manager Technical</t>
  </si>
  <si>
    <t>95975-47P</t>
  </si>
  <si>
    <t>Shelley Reynolds</t>
  </si>
  <si>
    <t>Shelley</t>
  </si>
  <si>
    <t>Reynolds</t>
  </si>
  <si>
    <t>Chief Accounting Officer &amp; Vice President</t>
  </si>
  <si>
    <t>Ms. Shelley Reynolds serves as Vice President, Worldwide Controller and Principal Accounting Officer at Amazon.com. She joined Amazon in February 2006 as Vice President of Finance and Controller. In April 2007, she was promoted to Vice President, Worldwide Controller and Principal Accounting Officer. In her role, she oversees Amazon's accounting function, leading the team that touches every geography in which the company operates. Prior to joining Amazon, Ms. Reynolds spent 19 years at Deloitte &amp; Touche LLP, serving as a partner from 1998 to 2006. At Deloitte, Ms. Reynolds specialized in matters related to mergers &amp; acquisitions and the Securities and Exchange Commission, serving multiple publicly traded multi-national corporations from a broad range of industries. Ms. Reynolds received her undergraduate degree from the University of Washington Foster School of Business, where she currently serves on the advisory board.</t>
  </si>
  <si>
    <t>shelleyr@amazon.com</t>
  </si>
  <si>
    <t>Vice President, Worldwide Controller &amp; Principal Accounting Officer</t>
  </si>
  <si>
    <t>366917-05P</t>
  </si>
  <si>
    <t>Sunita Mishra MD</t>
  </si>
  <si>
    <t>Sunita</t>
  </si>
  <si>
    <t>Mishra</t>
  </si>
  <si>
    <t>Chief Medical Officer &amp; Head</t>
  </si>
  <si>
    <t>Dr. Sunita Mishra serves as Chief Medical Officer &amp; Head of AI Clinical Innovation, Amazon Health Services at Amazon.com. Prior to this, she scaled and ran the medical group at Amazon Care. Previously, Mishra was vice president of consumer innovation and chief executive of Express Care at Providence St. Joseph Health in Seattle for eight years. She is an internist and has practiced as a primary care physician for more than 20 years in both the United States and Singapore.</t>
  </si>
  <si>
    <t>sunitamishra@amazon.com</t>
  </si>
  <si>
    <t>Chief Medical Officer &amp; Head of AI Clinical Innovation, Amazon Health Services</t>
  </si>
  <si>
    <t>367211-62P</t>
  </si>
  <si>
    <t>Tanvi Patel</t>
  </si>
  <si>
    <t>Tanvi</t>
  </si>
  <si>
    <t>Patel</t>
  </si>
  <si>
    <t>Ms. Tanvi Patel serves as Director &amp; General Manager, Amazon Pharmacy at Amazon.com. She is currently one of the leaders @ Amazon Pharmacy. She is Operating Executive with 20+ years of general management, business development, and strategy leadership with end-to-end P&amp;L ownership; including innovating, launch, execution, growth, and scaling several multi-billion dollar businesses. Experience spans hiring and developing large teams from day 1, sourcing and negotiating complex partnerships, strategic analysis, marketing, BI/customer insights, content acquisition, selection/pricing/inventory strategy, growth initiatives, financial modeling, creating and achieving paths to profitability, and due diligence / integration of multi-billion dollar mergers &amp; acquisitions. Industry experience includes M&amp;A/acquisition integration, product/feature strategy, Mobile/Telecom, Media &amp; Entertainment, Devices and Hardware, eCommerce, Grocery, Fashion, Omnichannel retail and fulfillment, Pharmacy &amp; Healthcare, and more. She serves as Advisor at Columbia River Partners</t>
  </si>
  <si>
    <t>tanvip@amazon.com</t>
  </si>
  <si>
    <t>Director &amp; General Manager, Amazon Pharmacy</t>
  </si>
  <si>
    <t>87920-74P</t>
  </si>
  <si>
    <t>Tom Shemanski</t>
  </si>
  <si>
    <t>Shemanski</t>
  </si>
  <si>
    <t>Mr. Tom Shemanski serves as Finance Director, Corporate Development at Amazon.com. Previously, he served as a Senior Finance Manager - Enterprise Commerce Services at Amazon.com.</t>
  </si>
  <si>
    <t>shemanski@amazon.com</t>
  </si>
  <si>
    <t>Finance Director, Corporate Development</t>
  </si>
  <si>
    <t>340452-91P</t>
  </si>
  <si>
    <t>Trishul Chilimbi Ph.D</t>
  </si>
  <si>
    <t>Trishul</t>
  </si>
  <si>
    <t>Chilimbi</t>
  </si>
  <si>
    <t>Dr. Trishul Chilimbi serves as Vice President and Distinguished Scientist, Stores Foundational AI at Amazon.com. He earned a degree from Indian Institute of Technology, Bombay &amp; Ph.D. in Logic and Programming languages from University of Wisconsin, Madison.</t>
  </si>
  <si>
    <t>trishulchilimbi@amazon.com</t>
  </si>
  <si>
    <t>Vice President and Distinguished Scientist, Stores Foundational AI</t>
  </si>
  <si>
    <t>366660-46P</t>
  </si>
  <si>
    <t>Vanessa Murray</t>
  </si>
  <si>
    <t>Vanessa</t>
  </si>
  <si>
    <t>Ms. Vanessa Murray serves as Senior Product Leader, Amazon Books at Amazon.com.</t>
  </si>
  <si>
    <t>vanessagalasso@amazon.com</t>
  </si>
  <si>
    <t>Senior Product Leader, Amazon Books</t>
  </si>
  <si>
    <t>84690-19P</t>
  </si>
  <si>
    <t>Werner Vogels Ph.D</t>
  </si>
  <si>
    <t>Werner</t>
  </si>
  <si>
    <t>Vogels</t>
  </si>
  <si>
    <t>Dr. Werner Vogels serves as Chief Technology Officer at Amazon.com. He serves as Chief Technology Officer at AWS Startups. He joined Amazon in 2004 from Cornell University, where he was a distributed systems researcher. He has held technology leadership positions in companies that handle the transition of academic technology into industry. He holds a PhD from the Vrije Universiteit in Amsterdam and has authored many articles on distributed systems technologies for enterprise computing.</t>
  </si>
  <si>
    <t>werner@amazon.com</t>
  </si>
  <si>
    <t>399376-99P</t>
  </si>
  <si>
    <t>Zak Watts</t>
  </si>
  <si>
    <t>Watts</t>
  </si>
  <si>
    <t>Mr. Zak Watts serves as International Director of Sustainability at Amazon.com.</t>
  </si>
  <si>
    <t>zak.watts@amazon.com</t>
  </si>
  <si>
    <t>International Director of Sustainability</t>
  </si>
  <si>
    <t>100858-60P</t>
  </si>
  <si>
    <t>Cleo Chang</t>
  </si>
  <si>
    <t>Cleo</t>
  </si>
  <si>
    <t>American Century Investments</t>
  </si>
  <si>
    <t>Executive Officer &amp; Senior Vice President</t>
  </si>
  <si>
    <t>Ms. Cleo Chang serves as Senior Vice President &amp; Head of Investment Solutions at American Century Investments. She was CIO of Wilshire Funds Management and managing director of Wilshire Associates. leo Chang is Senior Vice President and Chief Investment Solutions Officer for American Century Investments®, an independent, privately controlled, pure-play asset management firm founded in 1958. As Chief Investment Solutions Officer, Ms. Chang is the firm's most senior investment management executive responsible for setting the strategic direction of American Century's exchanged traded fund (ETF) initiatives. Ms. Chang also serves as a member of the Avantis Investments leadership team to help with global client demand and to deepen cross- team connectivity and collaboration. She is a member of American Century's Management Committee, a senior leadership team responsible for establishing and executing strategic priorities. Ms. Chang is co-executive sponsor of American Century's Mosaic business resource group, which represents different minority groups, ethnicities and cultural backgrounds, and is dedicated to linking the firm's work with its internal and external communities and providing a space that allows teammates to be their authentic selves. Prior to joining American Century, Ms. Chang was chief investment officer and managing director with Wilshire Funds Management. As CIO, Ms. Chang oversaw all investment-related functions, including manager research, portfolio management and investment research for both traditional and alternative asset classes. Previously, she was the head of investment research, responsible for creating investment solutions and asset allocation frameworks. Earlier in her career, Ms. Chang served as manager of investments with Harris myCFO Investment Advisory Services, a subsidiary of Bank of Montreal. She earned her BA in economics from the University of California, Berkeley and an MS in mathematical finance from the University of Southern California. She also holds an MBA with a concentration in finance from the Marshall School of Business, University of Souther</t>
  </si>
  <si>
    <t>+1 (816) 531-5575</t>
  </si>
  <si>
    <t>cleo.chang@americancentury.com</t>
  </si>
  <si>
    <t>Kansas City</t>
  </si>
  <si>
    <t>Kansas City, MO</t>
  </si>
  <si>
    <t>PO Box 419200</t>
  </si>
  <si>
    <t>Missouri</t>
  </si>
  <si>
    <t>64141</t>
  </si>
  <si>
    <t>Senior Vice President &amp; Chief Investment Solutions Officer</t>
  </si>
  <si>
    <t>191479-06P</t>
  </si>
  <si>
    <t>Jacob Pflaum</t>
  </si>
  <si>
    <t>Pflaum</t>
  </si>
  <si>
    <t>Mr. Jacob Pflaum serves as Partner at American Century Investments. Mr. Pflaum served as Principal at 503 Partners. He also serves as a Board Member at EnZinc. He brings systems thinking and an eye for detail to his work, whether he's performing due diligence, helping to advance a company's real-world impact, or embarking on his latest gardening or cooking project. A former market researcher and currency trader, he grew up in Japan, Hong Kong, New Zealand, and Singapore.</t>
  </si>
  <si>
    <t>jake.pflaum@americancentury.com</t>
  </si>
  <si>
    <t>358119-19P</t>
  </si>
  <si>
    <t>Jamie Patel</t>
  </si>
  <si>
    <t>Jamie</t>
  </si>
  <si>
    <t>Ms. Jamie Patel serves as Chief Technology Officer at American Century Investments.</t>
  </si>
  <si>
    <t>jamie_patel@americancentury.com</t>
  </si>
  <si>
    <t>229266-64P</t>
  </si>
  <si>
    <t>Joe Schultz</t>
  </si>
  <si>
    <t>Joe</t>
  </si>
  <si>
    <t>Schultz</t>
  </si>
  <si>
    <t>Executive &amp; Senior Vice President</t>
  </si>
  <si>
    <t>Mr. Joe Schultz serves as Senior Vice President &amp; Chief Client Officer at American Century Investments. He is responsible for building and leading the money manager's global business development across its Direct, Intermediary and Institutional channels. In addition to overseeing client relationship teams based in the U.S., London, Hong Kong, Sydney and Frankfurt, Germany, all marketing functions report up to Mr. Schultz. He also is a member of American Century Investments' Management Committee, the firm's senior leadership group. He joined American Century Investments in 2013 as head of Intermediary Sales and in 2017, he become head of Global Institutional Business. In these roles, he was responsible for the firm's distribution relationships and business development. Previously, Mr. Schultz was managing director at Goldman Sachs Asset Management. His various roles included head of U.S. Broker Dealer Sales and head of Global Strategic Relationship Management, with responsibility for managing distribution relationships with the firm's largest clients around the world. Prior to Goldman Sachs, he was senior vice president and director of Sales and Distribution for Prudential Financial. He joined Prudential from PaineWebber, Inc. He has worked in the financial industry since 1994. Mr. Schultz graduated from Fordham University with a bachelor's degree in finance and economics. He is a CFA® charterholder. He is a member of AIMR-N.Y. Society of Security Analysts, the ICI Distribution and Marketing Committee and a board member and former chairman of the Money Management Institute.</t>
  </si>
  <si>
    <t>joe.schultz@americancentury.com</t>
  </si>
  <si>
    <t>Senior Vice President &amp; Chief Client Officer</t>
  </si>
  <si>
    <t>88032-07P</t>
  </si>
  <si>
    <t>John Pak JD</t>
  </si>
  <si>
    <t>Pak</t>
  </si>
  <si>
    <t>Mr. John Pak serves as Senior Vice President &amp; General Counsel at American Century Investments. He served as Chief Legal Officer and General Counsel at BNY Mellon Investment Management. He holds a bachelor's degree in English and Philosophy from Dartmouth College and a J.D. from Cornell Law School.</t>
  </si>
  <si>
    <t>john_pak@americancentury.com</t>
  </si>
  <si>
    <t>Senior Vice President &amp; General Counsel</t>
  </si>
  <si>
    <t>51258-70P</t>
  </si>
  <si>
    <t>Jonathan Thomas</t>
  </si>
  <si>
    <t>Mr. Jonathan Thomas serves as Chief Executive Officer &amp; President at American Century Investments. As the company's highest ranking executive, he also leads the firm's management committee, is responsible for creating, communicating and implementing American Century Investments' strategic vision, mission and overall direction. Mr. Thomas reports to, and is a member of, the firm's Board of Directors. Mr. Thomas joined American Century Investments in 2005 as Chief Financial Officer and Executive Vice President and a member of the American Century Companies Board of Directors. As CFO/EVP, Mr. Thomas' core responsibilities included overseeing the firm's financial, portfolio accounting, retail sales, audit and administrative functions. Mr. Thomas has also served as the Chief Investment Officer for the company. Prior to joining American Century Investments, Mr. Thomas was Global Chief Operating Officer for Morgan Stanley's Investment Management division in New York City. While at Morgan Stanley, Mr. Thomas also served as President of Morgan Stanley Trust Company, Chief Administrative Officer in charge of Operations, Strategy and Products and Chief Risk Officer for Investment Management. Mr. Thomas began his career in the asset management industry at Fidelity Investments and later held senior leadership positions at Bank of America, where he oversaw operations for both the asset and wealth management divisions of the bank and led a variety of acquisition/integration initiatives. He also has served in senior roles at Boston Financial Data Services (BFDS) and First Data Corporation (FDC). Mr. Thomas graduated from the University of Massachusetts with a Bachelor of Arts degree in Economics and earned an MBA from Boston College. Mr. Thomas is a member of the Board of Governors at the Investment Company Institute and also serves on the Bio Med Valley Discoveries' Board of Directors. He is a past board member of the Kansas City Zoo and the American Royal.</t>
  </si>
  <si>
    <t>jonathan_thomas@americancentury.com</t>
  </si>
  <si>
    <t>13805-47P</t>
  </si>
  <si>
    <t>Joseph Biller</t>
  </si>
  <si>
    <t>Biller</t>
  </si>
  <si>
    <t>Mr. Joe Biller serves as Managing Partner at American Century Investments. Mr. Biller served as Managing Partner at 503 Partners. He serves as Board Member at Rivermark Medical. He served as a Managing Director at SightLine Partners. He served as a Board Member at SetPoint Medical. He serves as a Board Member at Koya Medical, InterVene, and Monteris Medical. He served as a Board Member at Adarza BioSystems and Arch Oncology. He brings over a decade of medical device investment experience to the team. Since joining SightLine in 2005, he has been actively involved in sourcing and completing several secondary and primary transactions in several areas within the medical device industry. He actively assists and supports several SightLine portfolio companies as a board member or observer. Before 2005, he was a buy-side investment analyst at Bremer Asset Management where he reported directly to the Chief Investment Officer. While at Bremer, he focused his efforts on public equity stock selection in various industries and worked closely with equity portfolio managers in all facets of investment management and research. He graduated summa cum laude from the University of Wisconsin-Eau Claire and is a CFA charter holder.</t>
  </si>
  <si>
    <t>joe.biller@americancentury.com</t>
  </si>
  <si>
    <t>175464-46P</t>
  </si>
  <si>
    <t>Matt Lewis</t>
  </si>
  <si>
    <t>Lewis</t>
  </si>
  <si>
    <t>Mr. Matt Lewis serves as a Vice President &amp; Head of ETF Implementation &amp; Capital Markets at American Century Investments. Prior to joining American Century, Lewis was BlackRock's head of iShares broker dealer execution services for America. In this role, he led a cross-regional team from the United States, Canada and Latin America to establish partnerships with the various entities required to bring ETFs to market, including custodians, authorized participants, market makers, distributors and exchanges. Previously, as BlackRock's director of product development for Latin America, Lewis led the firm's product development effort to bring locally-listed iShares ETFs into Mexico, Brazil and Colombia. Lewis started his financial services career in 1996 at Barclays Global Investors (BGI), where he served in a series of positions of increasing responsibility, including roles in portfolio accounting, client order management, operations, client service and product management. BlackRock acquired BGI in 2009. Lewis graduated from Santa Clara University with a bachelor's degree in commerce and later received a TRIUM Global Executive MBA, a joint degree program with New York University's Leonard N. Stern School of Business, HEC School of Management (Paris) and London School of Economics and Political Science.</t>
  </si>
  <si>
    <t>matt.lewis@americancentury.com</t>
  </si>
  <si>
    <t>Vice President &amp; Head of ETF Implementation &amp; Capital Markets</t>
  </si>
  <si>
    <t>62241-22P</t>
  </si>
  <si>
    <t>Miguel Castillo</t>
  </si>
  <si>
    <t>Castillo</t>
  </si>
  <si>
    <t>Portfolio Manager &amp; Vice President</t>
  </si>
  <si>
    <t>Mr. Miguel Castillo serves as Portfolio Manager &amp; Vice President at American Century Investments. Mr. Castillo, who joined the company in 2008 as a portfolio research analyst in the Portfolio Advisory Group, served as a senior fixed-income trader prior to becoming a portfolio manager. Mr. Castillo is a member of the Rates and Currency Markets team within the firm's Fixed Income group, where he contributes his expertise to the management of a number of fixed-income strategies. Before joining American Century Investments, he was a fixed-income trader with Banco de Mexico, where he implemented monetary policy. He has worked in the investment industry since 2002. Mr. Castillo holds a bachelor's degree in banking and finance from Escuela Bancaria Y Comercial, Mexico City, and a master's degree in business administration from the University of Minnesota. Previously, he served as a Fixed Income Trader at Banco de Mexico.</t>
  </si>
  <si>
    <t>miguel.castillo@americancentury.com</t>
  </si>
  <si>
    <t>126841-78P</t>
  </si>
  <si>
    <t>Nalin Yogasundram</t>
  </si>
  <si>
    <t>Nalin</t>
  </si>
  <si>
    <t>Yogasundram</t>
  </si>
  <si>
    <t>Mr. Nalin Yogasundram serves as Portfolio Manager &amp; Vice President at American Century Investments. Previously, he served as an Equity Analyst at T. Rowe Price. I ncluding the Heritage and VP Capital Appreciation funds. Yogasundram will share portfolio management responsibilities with portfolio managers David Hollond and Greg Walsh. He also continues to provide fundamental research and analysis for the U.S. Opportunistic Mid Cap Growth (Heritage/VP Capital Appreciation) and U.S. All Cap Growth (All Cap Growth) strategies. Yogasundram joined American Century Investments in 2013 as an investment analyst on the U.S. Small-Mid Cap Growth/U.S. Small Cap Growth team and moved to the U.S. Opportunistic Mid Cap Growth/U.S. All Cap Growth team later that year. Previously, he served as an equity analyst with T. Rowe Price for five years. Before attaining his master's degree in business administration, Yogasundram was an engineer for several telecommunication firms, including Fujitsu Network Communications. He began his career with Texas Instruments. Yogasundram holds a bachelor's degree in electrical engineering from the University of Arkansas, a master's degree in electrical engineering from Southern Methodist University and a master's degree in business administration from The Wharton School at the University of Pennsylvania.</t>
  </si>
  <si>
    <t>nalin_yogasundram@americancentury.com</t>
  </si>
  <si>
    <t>55581-31P</t>
  </si>
  <si>
    <t>Nicholas Walrod</t>
  </si>
  <si>
    <t>Walrod</t>
  </si>
  <si>
    <t>Mr. Nicholas Walrod serves as Managing Partner at American Century Investments. Mr. Walrod Co-Founded and served as Managing Partner at 503 Partners. He also serves as a Board Member at Claros Technologies. He also serves as a Board Member at Bonum Therapeutics, Yarg Foundation, Rubicon, Securus Medical Group, Fervo Energy, Northwest Area Foundation, VendScreen along with many other companies. He also served as a Board Member at Good Therapeutics, Smart Wires and Fishpeople. He received his BA degree in Public Policy from Duke University.</t>
  </si>
  <si>
    <t>+1 (503) 808-9645</t>
  </si>
  <si>
    <t>nicholas.walrod@americancentury.com</t>
  </si>
  <si>
    <t>337125-79P</t>
  </si>
  <si>
    <t>Patricia Ribeiro</t>
  </si>
  <si>
    <t>Ribeiro</t>
  </si>
  <si>
    <t>Chief Investment Officer &amp; Senior Vice President</t>
  </si>
  <si>
    <t>Ms. Patricia Ribeiro serves as Senior Vice President and Chief Investment Officer, Global Growth Equities at American Century Investments.</t>
  </si>
  <si>
    <t>patricia.ribeiro@americancentury.com</t>
  </si>
  <si>
    <t>Chief Investment Officer, Global Growth Equities &amp; Senior Vice President</t>
  </si>
  <si>
    <t>46050-85P</t>
  </si>
  <si>
    <t>Patrick Bannigan JD</t>
  </si>
  <si>
    <t>Bannigan</t>
  </si>
  <si>
    <t>Chief Financial Officer &amp; Executive Vice President</t>
  </si>
  <si>
    <t>Mr. Patrick Bannigan serves as Executive Vice President &amp; Chief Financial Officer at American Century Investments. Mr. Bannigan also served as Board Member at National Endowment for Financial EducationBannigan's most recent position was with RiverSource (now Columbia Management and part of Ameriprise Financial), where he served as president of RiverSource Funds and senior vice president and general manager of RiverSource Investments.siness, including the opera In that role, he was responsible for managing the overall national aspects of the investment management division. Previously, Bannigan was managing director and global head of product for Morgan Stanley Investment Management (MSIM), where he oversaw the management and development of MSIM's retail and institutional product lines. Earlier in his career, he served as president of Touchstone Investments, a third-party wholesale distributed and sub-advised mutual fund provider. He also had experience with Evergreen Investments as director of strategic planning, mergers and acquisitions, and product development. Previously, he was with Alliance Capital Management, where he was a member of its legal department. Bannigan holds a bachelor's degree from Guilford College (Greensboro, N.C.) and a Juris doctorate from the Oklahoma City University School of Law.</t>
  </si>
  <si>
    <t>patrick.bannigan@americancentury.com</t>
  </si>
  <si>
    <t>Executive Vice President &amp; Chief Financial Officer</t>
  </si>
  <si>
    <t>378535-96P</t>
  </si>
  <si>
    <t>Phillipe Rodriguez</t>
  </si>
  <si>
    <t>Phillipe</t>
  </si>
  <si>
    <t>Rodriguez</t>
  </si>
  <si>
    <t>Mr. Phillipe Rodriguez serves as Senior Associate, Private Investments at American Century Investments.</t>
  </si>
  <si>
    <t>phillipe_rodriguez@americancentury.com</t>
  </si>
  <si>
    <t>Senior Associate, Private Investments</t>
  </si>
  <si>
    <t>126696-16P</t>
  </si>
  <si>
    <t>Richard Weiss</t>
  </si>
  <si>
    <t>Weiss</t>
  </si>
  <si>
    <t>Mr. Richard Weiss serves as Chief Investment Officer - Multi-Asset Strategies, Senior Vice President and Senior Portfolio Manager at American Century Investments. Mr. Weiss oversees the team that manages the firm's multi-asset strategies, including the One Choice (Target Risk and Target Date) Portfolios®, Strategic Allocation and investments offered in the Learning Quest® 529 Education Savings Program. He also serves as a member of the American Century Investments Asset Allocation Committee, which is responsible for establishing investment policy and reviewing investment decisions for all of the firm's multi-asset products. Prior to joining the firm in 2010, Mr. Weiss was executive vice president and chief investment officer of City National Bank, where he was responsible for the bank's investment management group and directed investment policy and strategy. Previously, he was executive vice president and chief investment officer at Sanwa Bank California, where he managed all aspects of their investment department. Earlier in his career, Mr. Weiss held senior investment positions at Vantage Global Advisors, TSA Capital Management, PaineWebber and Mellon Bank. An investment veteran with over 35 years of experience, Mr. Weiss holds a bachelor's degree in finance from the Wharton School at the University of Pennsylvania and an MBA from the University of Chicago. He has authored several academic papers and is well known for his advanced work in the field of global investing. Mr. Weiss is also a frequent guest on CNBC, Bloomberg Television, Fox Business and Bloomberg Radio.</t>
  </si>
  <si>
    <t>rich.weiss@americancentury.com</t>
  </si>
  <si>
    <t>Chief Investment Officer - Multi-Asset Strategies, Senior Vice President and Senior Portfolio Manager</t>
  </si>
  <si>
    <t>130935-43P</t>
  </si>
  <si>
    <t>Rob Bove</t>
  </si>
  <si>
    <t>Bove</t>
  </si>
  <si>
    <t>Mr. Rob Bove serves as Senior Investment Analyst at American Century Investments. Which includes the Fundamental Equity fund. Bove will share portfolio management responsibilities with co-portfolio managers Greg Woodhams, CFA, Justin Brown, CFA, and Joe Reiland, CFA. He also continues to provide fundamental research and analysis for the U.S. Systematic Large Cap Core (Fundamental Equity), U.S. Large Cap Growth (Growth/VP Growth) and U.S. Focused Large Cap Growth (Focused Growth) strategies. Bove has been a member of the U.S. Large Cap Growth team since joining American Century Investments in in 2005. Previously, he was an analyst for U.S. Trust Company of New York. Bove earned a bachelor's degree in accounting from Villanova University and a master's degree in business administration with a concentration in finance from New York University.
Nalin Yogasundram.</t>
  </si>
  <si>
    <t>rob.bove@americancentury.com</t>
  </si>
  <si>
    <t>Senior Investment Analyst</t>
  </si>
  <si>
    <t>309633-13P</t>
  </si>
  <si>
    <t>Sarah Cossa</t>
  </si>
  <si>
    <t>Cossa</t>
  </si>
  <si>
    <t>Ms. Sarah Cossa serves as Co-Chief People Officers &amp; Senior Vice President at American Century Investments.</t>
  </si>
  <si>
    <t>sarah_cossa@americancentury.com</t>
  </si>
  <si>
    <t>Co-Chief People Officers &amp; Senior Vice President</t>
  </si>
  <si>
    <t>130933-99P</t>
  </si>
  <si>
    <t>Sherwin Soo</t>
  </si>
  <si>
    <t>Sherwin</t>
  </si>
  <si>
    <t>Soo</t>
  </si>
  <si>
    <t>Mr. Sherwin Soo serves as a Portfolio Manager on the emerging markets equity team at American Century Investments. He is promoted to portfolio manager on the Emerging Markets Equity team. He will co-manage the firm's Emerging Markets Equity strategy, including the Emerging Markets and NT Emerging Markets funds, as well as a new Emerging Markets Small Cap strategy. Soo will share portfolio management responsibilities with current portfolio managers Patricia Ribeiro and Anthony Han. Soo, a member of the Emerging Markets team since joining the firm as an investment analyst in 2011, brings 19 years of experience to his role. Prior to joining American Century, he was a securities analyst at Neuberger Berman and William D. Witter. He also worked as an investment manager for Asia-Pacific equities at HSBC Asset Management and as an investment banking financial analyst for Salomon Brothers in both New York and Hong Kong. Soo holds a bachelor's degree in biological neuroscience from the University of Pennsylvania, a bachelor's degree in finance from the Wharton School at the University of Pennsylvania and an MBA from the MIT Sloan School of Management. He is a CFA charterholder.</t>
  </si>
  <si>
    <t>sherwin.soo@americancentury.com</t>
  </si>
  <si>
    <t>Vice President &amp; Portfolio Manager</t>
  </si>
  <si>
    <t>93984-58P</t>
  </si>
  <si>
    <t>Steven Silverman</t>
  </si>
  <si>
    <t>Silverman</t>
  </si>
  <si>
    <t>Mr. Steve Silverman serves as a Vice President of DCIO Division at American Century Investments. Previously, he served as a Vice President of Retirement Plan Sales at The Newport Group.</t>
  </si>
  <si>
    <t>+1 (513) 508-0681</t>
  </si>
  <si>
    <t>steven_silverman@americancentury.com</t>
  </si>
  <si>
    <t>Vice President, DCIO Division</t>
  </si>
  <si>
    <t>50758-30P</t>
  </si>
  <si>
    <t>Victor Zhang</t>
  </si>
  <si>
    <t>Mr. Victor Zhang serves as Chief Investment Officer &amp; Senior Vice President at American Century Investments. He oversees the equity discipline CIOs who have day-to-day responsibility for the Global &amp; Non-U.S. Equity, U.S. Growth Equity (Large Cap and Mid &amp; Small Cap), U.S. Value Equity and Disciplined Equity &amp; Asset Allocation teams. Prior to joining American Century, Zhang was with Wilshire Funds Management for eight years, most recently serving as president and CIO. In his role as president, Zhang was responsible for the business unit's overall strategic direction and investment platform, while as CIO, he led investment activities, including manager searches and portfolio management. He also was in charge of investigating new markets and the research and evaluation of new products for the firm. Previously, Zhang served as director of investments and held other senior investment positions with multi-family office firm Harris myCFO Investment Advisory Services, a subsidiary of Bank of Montreal. Earlier in his career, Zhang was a consultant with Ernst &amp; Young, LLP.</t>
  </si>
  <si>
    <t>victor.zhang@americancentury.com</t>
  </si>
  <si>
    <t>433221-40P</t>
  </si>
  <si>
    <t>Alison Atkinson</t>
  </si>
  <si>
    <t>Atkinson</t>
  </si>
  <si>
    <t>Anglo American</t>
  </si>
  <si>
    <t>Ms. Alison Atkinson serves as Group Director of Projects &amp; Development at Anglo American.</t>
  </si>
  <si>
    <t>+44 (0)20 7968 8888</t>
  </si>
  <si>
    <t>17 Charterhouse Street</t>
  </si>
  <si>
    <t>EC1N 6RA</t>
  </si>
  <si>
    <t>Group Director of Projects &amp; Development</t>
  </si>
  <si>
    <t>132741-55P</t>
  </si>
  <si>
    <t>Carlos Davila</t>
  </si>
  <si>
    <t>Davila</t>
  </si>
  <si>
    <t>Mr. Carlos Davila serves as Head of Strategy &amp; Business Development (Mergers &amp; Acquisitions); Company Director at Anglo American. Previously, he served as a Manager of Operations and Manager Commissioning- Hot Briquetted Iron at BHP Billiton.</t>
  </si>
  <si>
    <t>+61 (0)7 3834 1333</t>
  </si>
  <si>
    <t>Brisbane</t>
  </si>
  <si>
    <t>Brisbane, Australia</t>
  </si>
  <si>
    <t>201 Charlotte Streett</t>
  </si>
  <si>
    <t>Queensland</t>
  </si>
  <si>
    <t>4000</t>
  </si>
  <si>
    <t>Australia</t>
  </si>
  <si>
    <t>Head of Strategy &amp; Business Development (Mergers &amp; Acquisitions); Company Director</t>
  </si>
  <si>
    <t>386066-98P</t>
  </si>
  <si>
    <t>Chanel Naidoo</t>
  </si>
  <si>
    <t>Chanel</t>
  </si>
  <si>
    <t>Naidoo</t>
  </si>
  <si>
    <t>Ms. Chanel Naidoo serves as a Business Development Specialist at Anglo American. Previously, she served as a Corporate Finance Specialist at Anglo American.</t>
  </si>
  <si>
    <t>chanel.naidoo@angloamerican.com</t>
  </si>
  <si>
    <t>Business Development Specialist</t>
  </si>
  <si>
    <t>84187-54P</t>
  </si>
  <si>
    <t>Duncan Wanblad</t>
  </si>
  <si>
    <t>Duncan</t>
  </si>
  <si>
    <t>Wanblad</t>
  </si>
  <si>
    <t>Mr. Duncan Wanblad serves as Chief Executive at Anglo American. He served as Group Director, Strategy and Business Development at Anglo American (UK). He is a member of the General Management Committee (GMC). Between 2009 and 2013, he held the position of group director of Other Mining and Industrial. He was appointed to the board of Anglo American Platinum in 2004 and was appointed joint interim CEO of Anglo American Platinum in 2007, before taking over as CEO of Anglo American's copper operations in 2008. He holds the qualifications of BSc (Eng) Mech and GDE (Eng Management) from the University of the Witwatersrand, South Africa.</t>
  </si>
  <si>
    <t>duncan.wanblad@angloamerican.com</t>
  </si>
  <si>
    <t>296424-82P</t>
  </si>
  <si>
    <t>Emma Waterworth</t>
  </si>
  <si>
    <t>Waterworth</t>
  </si>
  <si>
    <t>Ms. Emma Waterworth serves as Investor Relations Manager at Anglo American.</t>
  </si>
  <si>
    <t>+44 (0)20 7968 8574</t>
  </si>
  <si>
    <t>emma.waterworth@angloamerican.com</t>
  </si>
  <si>
    <t>262876-96P</t>
  </si>
  <si>
    <t>Helena Nonka</t>
  </si>
  <si>
    <t>Helena</t>
  </si>
  <si>
    <t>Nonka</t>
  </si>
  <si>
    <t>Ms. Helena Nonka serves as Strategy &amp; Sustainability Director at Anglo American. She leads the Business Development, Portfolio Management, Social Impact, Strategy, and Sustainability disciplines. Prior to joining Anglo American in 2022, she was executive vice president of corporate development for Norsk Hydro ASA, with responsibility for group strategy, business development, Sustainability and Technology. Her global career spans more than 20 years in the natural resources industry, professional services, consulting, and academia across Europe, Asia and North America. She previously worked as the global head of new business for natural resources at Switzerland-based SGS. From 2007 to 2019, she worked for Rio Tinto, where she held several global senior commercial leadership roles, including leading corporate strategy.</t>
  </si>
  <si>
    <t>helena.nonka@angloamerican.com</t>
  </si>
  <si>
    <t>Strategy &amp; Sustainability Director</t>
  </si>
  <si>
    <t>156108-43P</t>
  </si>
  <si>
    <t>John Heasley</t>
  </si>
  <si>
    <t>Heasley</t>
  </si>
  <si>
    <t>Board Member &amp; Chief Financial Officer</t>
  </si>
  <si>
    <t>Mr. John Heasley serves as Chief Financial Officer &amp; Board Member at Anglo American. Mr. Heasley served as Finance Director &amp; Board Member at Anglo American. brings to Anglo American proven financial, strategic, and commercial expertise, along with hands-on operational experience in supporting sustainable mining through technology. He is a member of the Executive Leadership Team (ELT) and a director of De Beers. Prior to joining Anglo American in 2023, he served as Chief Financial Officer and Executive Director at The Weir Group PLC, a FTSE 100 global engineering company serving the mining industry. He joined Weir in 2008 and earlier served as Group Financial Controller at Scottish Power plc, following a foundational career in professional services with roles in audit, M&amp;A, and corporate finance. He is a member of the Institute of Chartered Accountants of Scotland.</t>
  </si>
  <si>
    <t>john.heasley@angloamerican.com</t>
  </si>
  <si>
    <t>Chief Financial Officer &amp; Board Member</t>
  </si>
  <si>
    <t>296425-99P</t>
  </si>
  <si>
    <t>Juliet Newth</t>
  </si>
  <si>
    <t>Juliet</t>
  </si>
  <si>
    <t>Newth</t>
  </si>
  <si>
    <t>Ms. Juliet Newth serves as Corporate Finance Principal at Anglo American.</t>
  </si>
  <si>
    <t>+44 (0)20 7968 8830</t>
  </si>
  <si>
    <t>juliet.newth@angloamerican.com</t>
  </si>
  <si>
    <t>Corporate Finance Principal</t>
  </si>
  <si>
    <t>296437-51P</t>
  </si>
  <si>
    <t>Michelle West-Russell</t>
  </si>
  <si>
    <t>West-Russell</t>
  </si>
  <si>
    <t>Ms. Michelle West-Russell serves as Investor Relations Principal at Anglo American.</t>
  </si>
  <si>
    <t>+44 (0)20 7968 1494</t>
  </si>
  <si>
    <t>michelle.west-russell@angloamerican.com</t>
  </si>
  <si>
    <t>Investor Relations Principal</t>
  </si>
  <si>
    <t>296438-59P</t>
  </si>
  <si>
    <t>Natalie Saffery</t>
  </si>
  <si>
    <t>Natalie</t>
  </si>
  <si>
    <t>Saffery</t>
  </si>
  <si>
    <t>Coordinator</t>
  </si>
  <si>
    <t>Ms. Natalie Saffery serves as Investor Relations Coordinator at Anglo American.</t>
  </si>
  <si>
    <t>natalie.saffery@angloamerican.com</t>
  </si>
  <si>
    <t>Investor Relations Coordinator</t>
  </si>
  <si>
    <t>159410-71P</t>
  </si>
  <si>
    <t>Nicholas Jordan</t>
  </si>
  <si>
    <t>Mr. Nicholas Jordan serves as a Company Secretary at Anglo American.</t>
  </si>
  <si>
    <t>nicholas.jordan@angloamerican.com</t>
  </si>
  <si>
    <t>Company Secretary</t>
  </si>
  <si>
    <t>296424-46P</t>
  </si>
  <si>
    <t>Paul Galloway</t>
  </si>
  <si>
    <t>Galloway</t>
  </si>
  <si>
    <t>Mr. Paul Galloway serves as Head of Investor Relations at Anglo American.</t>
  </si>
  <si>
    <t>44 (0) 207 968 8718</t>
  </si>
  <si>
    <t>paul.galloway@angloamerican.com</t>
  </si>
  <si>
    <t>272493-19P</t>
  </si>
  <si>
    <t>Richard Price</t>
  </si>
  <si>
    <t>Price</t>
  </si>
  <si>
    <t>Mr. Richard Price serves as Group General Counsel, Member of the Group Management Committee &amp; Company Secretary at Anglo American. Prior to joining Anglo American, he was a partner at Shearman &amp; Sterling, the international law firm working across EMEA, Asia, and North America. In private practice, Richard acted for clients across the metals, mining, energy, and financial services sectors, among others, assisting them with complex financing, corporate, and compliance matters.</t>
  </si>
  <si>
    <t>richard.price@angloamerican.com</t>
  </si>
  <si>
    <t>Group General Counsel, Member of the Group Management Committee &amp; Company Secretary</t>
  </si>
  <si>
    <t>132741-28P</t>
  </si>
  <si>
    <t>Rupert Burne</t>
  </si>
  <si>
    <t>Rupert</t>
  </si>
  <si>
    <t>Burne</t>
  </si>
  <si>
    <t>Mr. Rupert Burne serves as Head of Strategy and Mergers and Acquisitions, Tarmac Group at Anglo American. Previously, he served as an Executive of Corporate Planning / Finance at Redland plc.</t>
  </si>
  <si>
    <t>Head of Strategy and Mergers &amp; Acquisitions, Tarmac Group</t>
  </si>
  <si>
    <t>393510-34P</t>
  </si>
  <si>
    <t>Thomas Mcculley</t>
  </si>
  <si>
    <t>Mcculley</t>
  </si>
  <si>
    <t>Chief Technology Officer &amp; Executive</t>
  </si>
  <si>
    <t>Mr. Thomas Mcculley serves as Chief Technical Officer &amp; Member of Executive Leadership Team at Anglo American appointed in May 2025, Mr. Mcculley serves as Chief Executive Officer and Board Member at POLY4.He also oversees Anglo American's Crop Nutrients business, having served as its CEO since October 2022. Since joining the company in 2015 as Group Head of Projects, he successfully led the development and commissioning of the Quellaveco copper project in Peru and later took charge of the Woodsmith fertiliser project in the UK. Earlier in his career, he held senior global roles at Newmont and began his professional journey at Fluor Corporation, gaining extensive experience in international oil, gas, and mining projects across the full project lifecycle.</t>
  </si>
  <si>
    <t>tom.mcculley@angloamerican.com</t>
  </si>
  <si>
    <t>Chief Technical Officer &amp; Member of Executive Leadership Team</t>
  </si>
  <si>
    <t>401410-00P</t>
  </si>
  <si>
    <t>Tyler Broda</t>
  </si>
  <si>
    <t>Tyler</t>
  </si>
  <si>
    <t>Broda</t>
  </si>
  <si>
    <t>Mr. Tyler Broda serves as Group Head of Investor Relations at Anglo American.</t>
  </si>
  <si>
    <t>+44 (0)20 7968 1470</t>
  </si>
  <si>
    <t>tyler.broda@angloamerican.com</t>
  </si>
  <si>
    <t>Group Head of Investor Relations</t>
  </si>
  <si>
    <t>122116-24P</t>
  </si>
  <si>
    <t>Greg Castle</t>
  </si>
  <si>
    <t>Castle</t>
  </si>
  <si>
    <t>Anorak Ventures</t>
  </si>
  <si>
    <t>Mr. Greg Castle is a Co-Founder &amp; serves as a Managing Partner at Anorak Ventures. Mr. Castle serves as a Board Member at ZeroTier. He served as an Advisor at Holoride. He also served as a Board Member at ADVANO. He serves as an Advisor at Marin Sonoma Impact Ventures. He serves as an Advisor at Marxent. He served as Advisor, ICT at Denmark's Export and Investment Fund. He serves as the Advisor at UploadVR. Before Anorak, he was an active angel investor with 30 investments counting two exits including Oculus, which was acquired by Facebook for $2bln. With strong ties to the VR/AR community, he focuses much of his time investing in and mentoring startups in this sector. Previously, he led marketing for the popular game development company Scaleform and Autodesk's Game Technology Group. He holds a BS (Bachelor of Science) in Marketing &amp; International Business from the University of Maryland, College Park.</t>
  </si>
  <si>
    <t>+1 (347) 839-1977</t>
  </si>
  <si>
    <t>greg@anorak.vc</t>
  </si>
  <si>
    <t>1770 Pine Street 506</t>
  </si>
  <si>
    <t>94109</t>
  </si>
  <si>
    <t>351339-58P</t>
  </si>
  <si>
    <t>Alicia Cha Umphreys</t>
  </si>
  <si>
    <t>Alicia</t>
  </si>
  <si>
    <t>Cha Umphreys</t>
  </si>
  <si>
    <t>Anthropocene Ventures</t>
  </si>
  <si>
    <t>Ms. Alicia Cha Umphreys serves as Managing Partner at Anthropocene Ventures, where she brings her extensive background as a venture capitalist with diverse roles in the VC ecosystem. Her expertise is particularly noted at 8VC (fka Formation 8), where she was instrumental in launching the inaugural fund (largest first time fund since Redpoint Ventures) and at Brookfield Growth, where she helped launch, manage, and operate the growth and technology investing platform for Brookfield Asset Management. Her tenure overseeing an 8VC portfolio company for three years showcases her deep understanding of growth strategy, business development, and technology investment.</t>
  </si>
  <si>
    <t>+1 (415) 518-8003</t>
  </si>
  <si>
    <t>alicia@anthro.ventures</t>
  </si>
  <si>
    <t>1 Ferry Building</t>
  </si>
  <si>
    <t>Suite 215</t>
  </si>
  <si>
    <t>94110</t>
  </si>
  <si>
    <t>44704-63P</t>
  </si>
  <si>
    <t>Chad Dyer</t>
  </si>
  <si>
    <t>Chad</t>
  </si>
  <si>
    <t>Dyer</t>
  </si>
  <si>
    <t>Mr. Chad Dyer serves as Senior Advisor at Anthropocene Ventures. He served as Chief Information Officer at Sequoia Capital.</t>
  </si>
  <si>
    <t>205661-71P</t>
  </si>
  <si>
    <t>Chante Harris</t>
  </si>
  <si>
    <t>Chante</t>
  </si>
  <si>
    <t>Harris</t>
  </si>
  <si>
    <t>Ms. Chante Harris serves as a Venture Partner at Anthropocene Ventures. She served as Director, Climate Investment &amp; Partnerships at SecondMuse. She served as Vice President, Business Strategy at Capalino+Company, where she assists with the creation and implementation of strategic government relations plans, public relations strategies, and policy analysis. She brings experience in civic engagement, political education, campaign fundraising, and community outreach to the Capalino team. She previously worked to advance policy and campaigns on the national level with Congressman John Conyers. She supported legislative staff in gaining co-sponsorship for a bill aiming to reduce maternal mortality rates and assisted in organizing summits to address the country's unemployment crisis. During the 2014 midterm elections, she managed fundraising efforts that helped in the re-election of vulnerable incumbents in competitive districts. She received her Bachelor of Arts in Communication, Legal Institutions, Economics and Government (CLEG) from American University in Washington D.C. Upon graduation, she was recognized as Her Campus Woman of the Year for her work in administering a community service-learning program and awarded the university's Harold Johnson Award for her organizing efforts on campus.</t>
  </si>
  <si>
    <t>299073-34P</t>
  </si>
  <si>
    <t>Daniel Kriozere</t>
  </si>
  <si>
    <t>Kriozere</t>
  </si>
  <si>
    <t>Mr. Daniel Kriozere serves as a Venture Partner at Climate Capital. He also serves as a Venture Partner at Anthropocene Ventures. He has spent the last three years building relationships with investors and founders in the climate, cleantech, and sustainability sectors. He has volunteered with Powerhouse Ventures, Cleantech Open, One World Training &amp; Investments, and Techstars Startup Weekends. He currently works at Lawrence Livermore National Laboratory (LLNL) as a Product Manager for internal business software systems, and he was previously a Nuclear Safety Engineer, where he performed risk assessments, and a Business Development Analyst, where he carried out market research and techno-economic analysis.</t>
  </si>
  <si>
    <t>daniel@anthro.ventures</t>
  </si>
  <si>
    <t>59003-38P</t>
  </si>
  <si>
    <t>Jacob Kuczeruk</t>
  </si>
  <si>
    <t>Kuczeruk</t>
  </si>
  <si>
    <t>Mr. Jacob Kuczeruk serves as Venture Advisor at Anthropocene Ventures. Mr. Jacob Kuczeruk Co-Founded &amp; served as Chief Marketing Officer at Tie Society.</t>
  </si>
  <si>
    <t>Venture Advisor</t>
  </si>
  <si>
    <t>13049-20P</t>
  </si>
  <si>
    <t>James Boettcher</t>
  </si>
  <si>
    <t>Boettcher</t>
  </si>
  <si>
    <t>Mr. James Boettcher is a Co-Founder at Focus Ventures. He served as an Advisor at LM VENTURES. He serves as a Board member and Director of Proof Energy. He is a Co-Founder and serves as General Partner at Focus Ventures. He is also a Co-Founder and serves as Managing Partner at Anthropocene Ventures. While at Focus, he has led successful investments in Cosine Communications, Netscaler (Citrix), PA Semi (Apple), Pure Digital (Cisco), Starent Networks, Telera (Alcatel) and Teknovus (Broadcom). He is currently responsible for Focus' investments in Apigee, 3VR, Cyan Optics, GSR Ventures, Infoblox, Marin Software, MuDynamics, PCH International, Picarro, Pivot3, and Stoke. He serves as a Board Member at Corigin. He also serves as a Member of the Advisory Board at C.M. Capital Advisors. He was a cofounder in 1986 and a Managing Director of the successful merchant banking boutique, Amsterdam Pacific Corporation, which was purchased by a large European bank in 1994. He served as the Chairman at Oorja Fuel Cells. Before forming Amsterdam Pacific Corporation, he was Vice President in the Telecommunications Section of the Bank of America's Investment Banking Group where he led media and high technology assignments in the U.S., Europe, and the Far East. Outside of his work at Focus, he has successful investments in companies such as ONI, Alteon, Prism Radio Partners, Deeptech, Hello Direct, US Filter, and USA Waste (Waste Management Inc.). Before attending business school, he worked for four years as a telecommunications engineer in the U.S. Air Force, specializing in analog/digital voice systems and digital networking. He serves as a Board Member and Advisor at Kraus Hamdani Aerospace. He is a Co-Founder and serves as a Board Member at Corigin Solutions. He has an Electrical Engineering degree from the University of Wisconsin an MBA (as an Arjay Miller Scholar) and an MA degree from Stanford University.</t>
  </si>
  <si>
    <t>jim@focusventures.com</t>
  </si>
  <si>
    <t>525 University Avenue</t>
  </si>
  <si>
    <t>Suite 225</t>
  </si>
  <si>
    <t>Focus Ventures</t>
  </si>
  <si>
    <t>280631-44P</t>
  </si>
  <si>
    <t>Jane Woodward</t>
  </si>
  <si>
    <t>Woodward</t>
  </si>
  <si>
    <t>Ms. Jane Woodward is the Founder and serves as Managing Partner at WovenEarth Ventures. Ms Woodward serves as a Senior Advisor at Anthropocene Ventures &amp; Board Member at Sandbrook Capital. She serves as a Board Member at Fervo Energy. She is the Founding Partner of MAP Energy. She serves as an Advisor at Molten Industries and Vaulted Deep. She is a founder and Managing Partner at MAP Energy, a renewable energy and natural gas investment firm. She is also an Adjunct Professor in the Department of Civil and Environmental Engineering at Stanford University, where she has taught classes on energy and the environment since 1991. He has a BS in Geology from UC Santa Barbara, an MS in Engineering and Petroleum Geology, and an MBA, both from Stanford University. She serves as a Senior Advisor at Sandbrook Capital</t>
  </si>
  <si>
    <t>+1 (580) 482-0290</t>
  </si>
  <si>
    <t>jane@wovenearth.ventures</t>
  </si>
  <si>
    <t>3000 El Camino Real</t>
  </si>
  <si>
    <t>94306</t>
  </si>
  <si>
    <t>WovenEarth Ventures</t>
  </si>
  <si>
    <t>286624-18P</t>
  </si>
  <si>
    <t>Matthew McGraw</t>
  </si>
  <si>
    <t>McGraw</t>
  </si>
  <si>
    <t>Mr. Matthew McGraw is a Co-Founder and serves as Managing Partner at Anthropocene Ventures. He serves as an Advisor at Pngme. He served as an Advisor at Mempool Ventures. He scaled startups at Rocket Science in the 2000-2015 boom, and joined Anthropocene Ventures in 2019 for climate solutions, excelling in rapid scaling across key areas, leading successful exits, and managing $100+ million M&amp;A.</t>
  </si>
  <si>
    <t>matt@anthro.ventures</t>
  </si>
  <si>
    <t>371426-41P</t>
  </si>
  <si>
    <t>Ace Harper</t>
  </si>
  <si>
    <t>Ace</t>
  </si>
  <si>
    <t>Harper</t>
  </si>
  <si>
    <t>Apple</t>
  </si>
  <si>
    <t>Mr. Ace Harper is the Founder of iCLoud at Apple.</t>
  </si>
  <si>
    <t>+1 (323) 203-9033</t>
  </si>
  <si>
    <t>aceharper@icloud.com</t>
  </si>
  <si>
    <t>Cupertino</t>
  </si>
  <si>
    <t>Cupertino, CA</t>
  </si>
  <si>
    <t>One Apple Park Way</t>
  </si>
  <si>
    <t>95014</t>
  </si>
  <si>
    <t>Founder of iCLoud</t>
  </si>
  <si>
    <t>63342-01P</t>
  </si>
  <si>
    <t>Adam Archer</t>
  </si>
  <si>
    <t>Archer</t>
  </si>
  <si>
    <t>Mr. Adam Archer serves as Senior Software Engineering Manager at Apple. Mr. Archer is an Angel Investor. Mr. Archer was the Co-Founder and also served as CEO at GamesThatGive. He received a BS in Engineering from Arizona State University in 2001.</t>
  </si>
  <si>
    <t>+1 (408) 996-1010</t>
  </si>
  <si>
    <t>aarcher@apple.com</t>
  </si>
  <si>
    <t>Senior Software Engineering Manager</t>
  </si>
  <si>
    <t>248340-25P</t>
  </si>
  <si>
    <t>Adelmise Warner JD</t>
  </si>
  <si>
    <t>Adelmise</t>
  </si>
  <si>
    <t>Warner</t>
  </si>
  <si>
    <t>Ms. Adelmise Warner serves as Senior Director, Global Employee Relations at Apple. Ms. Warner holds a JD (Doctor of Law) from the University of California, Davis, earned in 2001, and a Bachelor of Arts in Political Science from the University of California, Berkeley, completed in 1997.</t>
  </si>
  <si>
    <t>adelmise.r.warner@apple.com</t>
  </si>
  <si>
    <t>Senior Director, Global Employee Relations</t>
  </si>
  <si>
    <t>77646-88P</t>
  </si>
  <si>
    <t>Adi Masputra</t>
  </si>
  <si>
    <t>Adi</t>
  </si>
  <si>
    <t>Masputra</t>
  </si>
  <si>
    <t>Mr. Adi Masputra serves as Principal Architect &amp; Researcher at Apple.</t>
  </si>
  <si>
    <t>a-m@apple.com</t>
  </si>
  <si>
    <t>Principal Architect &amp; Researcher</t>
  </si>
  <si>
    <t>339944-32P</t>
  </si>
  <si>
    <t>Aditya Dua Ph.D</t>
  </si>
  <si>
    <t>Dua</t>
  </si>
  <si>
    <t>Dr. Aditya Dua serves as Engineering Manager, Health Sensing algorithms at Apple. Dr. Dua earned a Ph.D. in Electrical Engineering from Stanford University in 2007, after completing both his B.Tech and M.Tech in Electrical Engineering from the Indian Institute of Technology, Bombay in 2002.</t>
  </si>
  <si>
    <t>aditya@apple.com</t>
  </si>
  <si>
    <t>Engineering Manager, Health Sensing algorithms</t>
  </si>
  <si>
    <t>148099-15P</t>
  </si>
  <si>
    <t>Adrian Perica</t>
  </si>
  <si>
    <t>Adrian</t>
  </si>
  <si>
    <t>Perica</t>
  </si>
  <si>
    <t>Mr. Adrian Perica serves as Vice President, Corporate Development at Apple. Mr. Adrian served as Board Member at DiDi Global. He was Head, Mergers &amp; Acquisitions at Apple. Adrian is responsible for the company's mergers, acquisitions and strategic investing efforts. Since joining Apple in 2009, he has overseen the successful integration of vital technologies and new businesses across hardware, software and services. Prior to Apple, Adrian worked at Goldman Sachs for eight years and before that, he worked at Deloitte Consulting and was an officer in the US Army. Adrian holds a bachelor's degree in Physics from the United States Military Academy at West Point and an MBA from the Massachusetts Institute of Technology. He currently serves on the board of Didi Chuxing.</t>
  </si>
  <si>
    <t>perica@apple.com</t>
  </si>
  <si>
    <t>940 Madison Avenue</t>
  </si>
  <si>
    <t>10021</t>
  </si>
  <si>
    <t>167207-32P</t>
  </si>
  <si>
    <t>Alexander Wong Ph.D</t>
  </si>
  <si>
    <t>Wong</t>
  </si>
  <si>
    <t>Dr. Alexander Wong serves as Director, AI Group at Apple. Dr. Wong co-founded and served as Chief Scientist &amp; Board Member at DarwinAI. He Co-Founded Vital Biosciences. Dr. Wong is a Canada Research Chair and professor at the University of Waterloo and the co-inventor of DarwinAI's Generative Synthesis A.I. technology. Alexander has led over $6M in academic and industrial research projects, is a prolific researcher with more than 450 peer-reviewed scientific articles at top journals and conferences, holds 30 patents and patent applications, and has given over 20 invited talks in both academic and industrial settings. He has degree in Ph.D. (Doctor of Philosophy).</t>
  </si>
  <si>
    <t>alexander.wong@apple.com</t>
  </si>
  <si>
    <t>Director, AI Group</t>
  </si>
  <si>
    <t>17433-28P</t>
  </si>
  <si>
    <t>Alyson Racer</t>
  </si>
  <si>
    <t>Alyson</t>
  </si>
  <si>
    <t>Racer</t>
  </si>
  <si>
    <t>Publisher</t>
  </si>
  <si>
    <t>Ms. Alyson Racer serves as Publisher Revenue Development, Apple News at Apple. Ms. Racer is a Co-Founder at Fuel Growth Services. She served as the Chief Executive Officer at Escapist Media. She served as the Vice President of Sales at DailyCandy. She is a seasoned digital media executive having more than 18 years of strategy, revenue development and management experience. She is CEO of InsideHook, the premier lifestyle media brand for affluent, established men. She is also the founder of memmee, a unique digital platform where members are motivated to record, share and relive small moments. Prior to Trigger Media, Aly was President of Penske Media Corporation leading strategy and revenue development for leading entertainment brands and a red carpet event portfolio, Chief Advertising Officer for Newsweek, and VP Sales for DailyCandy where she led revenue development, strategy and led the team through Comcast's acquisition in September 2008. Before joining DailyCandy, Aly was Vice President, Advertising, for The New York Times. She was responsible for managing The Times's digital advertising, operations and marketing. Prior to this role, Aly held various sales and marketing management positions since joining NYTimes.com in 1997. From 1995 until 1997, she worked in sales and planning at MacFadden Trade Publishing.</t>
  </si>
  <si>
    <t>+1 (212) 430-3161</t>
  </si>
  <si>
    <t>aracer@apple.com</t>
  </si>
  <si>
    <t>Publisher Revenue Development, Apple News</t>
  </si>
  <si>
    <t>33772-06P</t>
  </si>
  <si>
    <t>Amita Patel</t>
  </si>
  <si>
    <t>Amita</t>
  </si>
  <si>
    <t>Controller &amp; Manager</t>
  </si>
  <si>
    <t>Ms. Amita Patel serves as WW Sales Finance Senior Manager - Sales Planning &amp; Operations Controller, Growth Initiatives at Apple. Previously, Ms. Patel served as a Senior Associate of Cliffwater LLC and a member of our private equity research team. Prior to joining Cliffwater in 2006, she was an Accounting Coordinator with Allied Consulting Group. She earned a BA in Economics from the University of California, Los Angeles.</t>
  </si>
  <si>
    <t>amita.patel@apple.com</t>
  </si>
  <si>
    <t>WW Sales Finance Senior Manager - Sales Planning &amp; Operations Controller, Growth Initiatives</t>
  </si>
  <si>
    <t>116834-50P</t>
  </si>
  <si>
    <t>Andrei Zaharescu Ph.D</t>
  </si>
  <si>
    <t>Andrei</t>
  </si>
  <si>
    <t>Zaharescu</t>
  </si>
  <si>
    <t>Dr. Andrei Zaharescu serves as Senior ML Engineer at Apple. Dr. Zaharescu holds a Ph.D. in Computer Vision from Institut polytechnique de Grenoble, earned in 2008. He also holds both a Master's degree (2004) and a Bachelor of Science degree (2002) in Computer Science from York University.</t>
  </si>
  <si>
    <t>azaharescu@apple.com</t>
  </si>
  <si>
    <t>Senior ML Engineer</t>
  </si>
  <si>
    <t>35501-32P</t>
  </si>
  <si>
    <t>Angela Ahrendts</t>
  </si>
  <si>
    <t>Angela</t>
  </si>
  <si>
    <t>Ahrendts</t>
  </si>
  <si>
    <t>Ms. Angela Ahrendts serves as Board Member at Ralph Lauren. Ms. Ahrendts also serves as Board Member &amp; Member of the Nomination and Governance Committee and Sustainability Committee at WPP. Ms. Ahrendts served as Senior Vice President, Apple Retail at Apple. She also serves as Senior Operating Advisor at SKKY Partners. Prior to joining Apple, she served as director and Chief Executive Officer of Burberry plc, a luxury fashion company, from July 2006. She also previously served as Executive Vice President at Liz Claiborne Inc. and as President of Donna Karan International. She graduated in Bachelor's in Marketing from Ball State University.</t>
  </si>
  <si>
    <t>Senior Vice President, Apple Retail</t>
  </si>
  <si>
    <t>84677-23P</t>
  </si>
  <si>
    <t>Brent Ledvina Ph.D</t>
  </si>
  <si>
    <t>Ledvina</t>
  </si>
  <si>
    <t>Dr. Brent Ledvina serves as Location Software Senior Manager at Apple. Dr. Ledvina was the Co-Founder and Vice President, Business Development at Coherent Navigation. He earned his Ph.D. in Electrical and Computer Engineering from Cornell University in 2003 and his Bachelor of Science in Electrical and Computer Engineering from the University of Wisconsin in 1999.</t>
  </si>
  <si>
    <t>bledvina@apple.com</t>
  </si>
  <si>
    <t>Location Software Senior Manager</t>
  </si>
  <si>
    <t>60532-57P</t>
  </si>
  <si>
    <t>Carlo DiNallo</t>
  </si>
  <si>
    <t>DiNallo</t>
  </si>
  <si>
    <t>Dr. Carlo DiNallo serves as Director, iPhone Product RF Design at Apple. Dr. DiNallo served as the Chief Technology Officer at Maxtena. He has Doctorate degree in Electromagnetics from Sapienza University of Rome in 1997.</t>
  </si>
  <si>
    <t>cd@apple.com</t>
  </si>
  <si>
    <t>Director, iPhone Product RF Design</t>
  </si>
  <si>
    <t>65297-26P</t>
  </si>
  <si>
    <t>Chandru Venkataraman</t>
  </si>
  <si>
    <t>Chandru</t>
  </si>
  <si>
    <t>Venkataraman</t>
  </si>
  <si>
    <t>Mr. Chandru Venkataraman serves as Director of Engineering at Apple. Mr. Venkataraman served as the Chief Technology Officer at Hooked Media Group. He holds a Master of Science in Engineering Technology from Birla Institute of Technology and Science, Pilani, earned in 1996.</t>
  </si>
  <si>
    <t>chandru@apple.com</t>
  </si>
  <si>
    <t>Director of Engineering</t>
  </si>
  <si>
    <t>86662-18P</t>
  </si>
  <si>
    <t>Chaohao Wang Ph.D</t>
  </si>
  <si>
    <t>Chaohao</t>
  </si>
  <si>
    <t>Dr. Chaohao Wang serves as Senior Display Technology Manager at Apple. Dr. Wang also Co-Founded Dimensions Lab Technology and served as its Chief Executive Officer. He holds a Ph.D. in Electrical Engineering from Stanford University, earned in 2013, as well as a Master of Science in Electrical Engineering from Stanford. He also holds a Bachelor of Science in Electrical Engineering and Computer Science from the University of California, Berkeley, obtained in 2008.</t>
  </si>
  <si>
    <t>cw@apple.com</t>
  </si>
  <si>
    <t>Senior Display Technology Manager</t>
  </si>
  <si>
    <t>35155-27P</t>
  </si>
  <si>
    <t>Cherie Fuzzell JD</t>
  </si>
  <si>
    <t>Cherie</t>
  </si>
  <si>
    <t>Fuzzell</t>
  </si>
  <si>
    <t>Ms. Cherie Fuzzell serves as Executive, Apple Pay at Apple. Ms. Fuzzell was the Chief Executive Officer at Parkmobile USA. She served as an Executive Vice President and Secretary of Elavon, (formerly NOVA Information Systems). Ms. Fuzzell served as General Counsel of Nanoventions, Ms. Fuzzell has been with Nova Corp. since February 1999. Ms. Fuzzell served as Chief Administrative Officer and General Counsel for NOVA Information Systems. She has extensive mergers and acquisition experience. She served as Vice President of Mergers and Acquisitions for Magellan Health Services. She has been a Director of Sonic Innovations, since December 11, 2006. She serves as a Member of the international law firm of Jones Day. Ms. Fuzzell holds a Bachelor of Science degree in Commerce and Business Administration from the University of Alabama and a law degree from Vanderbilt University School of Law.</t>
  </si>
  <si>
    <t>cfuzzell@apple.com</t>
  </si>
  <si>
    <t>Executive, Apple Pay</t>
  </si>
  <si>
    <t>225825-13P</t>
  </si>
  <si>
    <t>Chris Kondo</t>
  </si>
  <si>
    <t>Kondo</t>
  </si>
  <si>
    <t>Chief Accounting Officer &amp; Executive</t>
  </si>
  <si>
    <t>Mr. Chris Kondo serves as Senior Director at Apple. On January 26, 2015, the Company appointed Chris Kondo, the Company's Senior Director of Corporate Accounting, to the role of Principal Accounting Officer of the company. Mr. Kondo joined the Company in January 2010 and has previously served as the Company's Director of Technical Accounting. Prior to joining the Company, Mr. Kondo was an audit partner with KPMG LLP.</t>
  </si>
  <si>
    <t>ckondo@apple.com</t>
  </si>
  <si>
    <t>255556-72P</t>
  </si>
  <si>
    <t>Ciara Gonzalez-Trinidad</t>
  </si>
  <si>
    <t>Ciara</t>
  </si>
  <si>
    <t>Gonzalez-Trinidad</t>
  </si>
  <si>
    <t>Mr. Ciara Gonzalez-Trinidad serves as Senior Software Engineering Program Manager at Apple.</t>
  </si>
  <si>
    <t>ciara@icloud.com</t>
  </si>
  <si>
    <t>Senior Software Engineering Program Manager</t>
  </si>
  <si>
    <t>86212-90P</t>
  </si>
  <si>
    <t>David Black</t>
  </si>
  <si>
    <t>Black</t>
  </si>
  <si>
    <t>Mr. David Black serves as Senior Software Engineering Manager - iMovie &amp; Clips at Apple. Mr. Black served as Director, Mobile Platforms at Livescribe. Mr. Black earned a degree from Irvine Valley College in 1993.</t>
  </si>
  <si>
    <t>dblack@apple.com</t>
  </si>
  <si>
    <t>Senior Software Engineering Manager - iMovie &amp; Clips</t>
  </si>
  <si>
    <t>217862-56P</t>
  </si>
  <si>
    <t>Deirdre O'Brien</t>
  </si>
  <si>
    <t>Deirdre</t>
  </si>
  <si>
    <t>O'Brien</t>
  </si>
  <si>
    <t>Ms. Deirdre O'Brien serves as Senior Vice President, Retail and and People at Apple. As the leader of Apple's retail and online teams, Ms. O'Brien supports their work to enrich the lives of millions of Apple customers every year. In her role leading the People team, Deirdre works to help Apple connect, develop, and care for its employees - and to help those employees do the best work of their lives. Her teams oversee a broad range of functions including talent development and Apple University, recruiting, employee relations and experience, business partnership, benefits, compensation, and inclusion and diversity. Deirdre holds a bachelor's degree in Operations Management from Michigan State University and an MBA from San Jose State University.</t>
  </si>
  <si>
    <t>deirdre@icloud.com</t>
  </si>
  <si>
    <t>Senior Vice President, Retail and People</t>
  </si>
  <si>
    <t>168129-73P</t>
  </si>
  <si>
    <t>Denis Daly Ph.D</t>
  </si>
  <si>
    <t>Denis</t>
  </si>
  <si>
    <t>Daly</t>
  </si>
  <si>
    <t>Executive &amp; Manager</t>
  </si>
  <si>
    <t>Dr. Denis Daly serves as Senior Manager and Architect, High Speed Data Converters at Apple. Dr. Daly served as Senior Vice President of High-Performance Data Conversion at Omni Design. He has over a decade of experience architecting and designing high performance, low power mixed-signal circuits, including analog-to-digital converters, phase-locked loops and wireless transceivers. Denis received his S.M. and Ph.D. degrees from the Massachusetts Institute of Technology (MIT) in 2005 and 2009, respectively. His Ph.D. research was in the area of highly digital ADCs and ultra-wideband RF circuits for energy-constrained applications. He received a B.A.Sc. degree from the University of Toronto in 2003. In 2010, he joined Cambridge Analog Technologies, Inc. (CAT) where he designed high-performance mixed-signal IP. In August 2011, CAT was acquired by Maxim Integrated, Inc., where Dr. Daly continued to design and architect high-performance ADCs and PLLs and lead engineering projects and teams. He received his Ph.D. from the Massachusetts Institute of Technology in 2009, following a BAS from the University of Toronto in 2003. He also earned an additional degree from MIT in 2005.</t>
  </si>
  <si>
    <t>denis@apple.com</t>
  </si>
  <si>
    <t>Senior Manager and Architect, High Speed Data Converters</t>
  </si>
  <si>
    <t>43303-15P</t>
  </si>
  <si>
    <t>Eddy Cue</t>
  </si>
  <si>
    <t>Eddy</t>
  </si>
  <si>
    <t>Cue</t>
  </si>
  <si>
    <t>Mr. Eddy Cue serves as Senior Vice President of Services at Apple. Mr. Cue oversees Apple's industry-leading content stores including the iTunes Store and Apple Music, as well as Apple Pay, Maps, Search Ads, Apple's innovative iCloud services, and Apple's productivity and creativity apps. Eddy also leads the newly created team responsible for developing all aspects of Apple's worldwide video programming. Eddy's team has an excellent track record of building and strengthening online services to meet and exceed the high expectations of Apple's customers. He joined Apple in 1989 and leads a large organization of amazing people. Eddy was instrumental in creating the Apple online store in 1998, the iTunes Store in 2003 and the App Store in 2008. He also played a key role in developing Apple's award-winning iLife suite of applications. In his early years at Apple, he was a successful manager of software engineering and customer support teams. Eddy was recognized by renowned cancer research center City of Hope with their 2014 Spirit of Life Award, honoring an individual whose work has fundamentally impacted the music, film and entertainment industry. Eddy earned a bachelor's degree in Computer Science and Economics from Duke University.</t>
  </si>
  <si>
    <t>cue@apple.com</t>
  </si>
  <si>
    <t>Senior Vice President of Services</t>
  </si>
  <si>
    <t>83224-54P</t>
  </si>
  <si>
    <t>Eleanor Jiang</t>
  </si>
  <si>
    <t>Eleanor</t>
  </si>
  <si>
    <t>Ms. Eleanor Jiang serves as Director, Corporate Development at Apple. Ms. Jiang has degree from University of California, Berkeley.</t>
  </si>
  <si>
    <t>+1 (408) 862-0832</t>
  </si>
  <si>
    <t>ejiang@apple.com</t>
  </si>
  <si>
    <t>391084-57P</t>
  </si>
  <si>
    <t>Emi Penafiel</t>
  </si>
  <si>
    <t>Emi</t>
  </si>
  <si>
    <t>Penafiel</t>
  </si>
  <si>
    <t>Ms. Emi Penafiel serves as Inclusion and Diversity Manager at Apple. Ms. Penafiel served as Market Leader at Apple. She served as Regional Director at The Children's Place. She served as Regional Director at Wet Seal. She served as District Manager at Max Rave. She served as Branch Manager at Capital One. She served as District Manager at Pacific Clothing. She holds a Bachelor of Arts in History and a minor in International Relations from Wake Forest University.</t>
  </si>
  <si>
    <t>epenafiel@apple.com</t>
  </si>
  <si>
    <t>Inclusion and Diversity Manager</t>
  </si>
  <si>
    <t>63794-44P</t>
  </si>
  <si>
    <t>Eric Hansotte</t>
  </si>
  <si>
    <t>Hansotte</t>
  </si>
  <si>
    <t>Mr. Eric Hansotte serves as Senior Display Exploration Engineer at Apple. Mr. Hansotte served as Director of Optical Engineering at Maskless Lithography. He earned a Master of Science in Optics from the University of Rochester in 1992 and a Bachelor of Science in Applied and Engineering Physics from Cornell University in 1990.</t>
  </si>
  <si>
    <t>ehansotte@apple.com</t>
  </si>
  <si>
    <t>Senior Display Exploration Engineer</t>
  </si>
  <si>
    <t>168785-47P</t>
  </si>
  <si>
    <t>Eve Richey</t>
  </si>
  <si>
    <t>Eve</t>
  </si>
  <si>
    <t>Richey</t>
  </si>
  <si>
    <t>Ms. Eve Richey serves as Worldwide Digital Channel Leader at Apple. Ms. Richey earned a Bachelor of Arts in Communication from Texas A&amp;M University, College Station, in 1995.</t>
  </si>
  <si>
    <t>eve@apple.com</t>
  </si>
  <si>
    <t>Worldwide Digital Channel Leader</t>
  </si>
  <si>
    <t>84410-11P</t>
  </si>
  <si>
    <t>Fabrice Robinet</t>
  </si>
  <si>
    <t>Robinet</t>
  </si>
  <si>
    <t>Mr. Fabrice Robinet serves as Engineering Manager at Apple. Prior to this, Mr. Robinet served as Head of Core Engineering at Plumzi.</t>
  </si>
  <si>
    <t>frobinet@apple.com</t>
  </si>
  <si>
    <t>Engineering Manager</t>
  </si>
  <si>
    <t>78174-10P</t>
  </si>
  <si>
    <t>Fei Ni</t>
  </si>
  <si>
    <t>Fei</t>
  </si>
  <si>
    <t>Ni</t>
  </si>
  <si>
    <t>Mr. Fei Ni serves as Hardware Engineering Manager at Apple. Mr. Ni Co-Founded TouchBase and served as its Chief Technology Officer. Mr. Ni earned a Bachelor of Science in Computer Science and Electrical Engineering from the Massachusetts Institute of Technology (MIT).</t>
  </si>
  <si>
    <t>fni@apple.com</t>
  </si>
  <si>
    <t>Hardware Engineering Manager</t>
  </si>
  <si>
    <t>130873-87P</t>
  </si>
  <si>
    <t>Frederic Jacobs</t>
  </si>
  <si>
    <t>Jacobs</t>
  </si>
  <si>
    <t>Mr. Frederic Jacobs serves as Executive at Apple. Mr. Jacobs is a Belgian-born privacy advocate and coder with a background in cryptography</t>
  </si>
  <si>
    <t>frederic.jacobs@apple.com</t>
  </si>
  <si>
    <t>58649-86P</t>
  </si>
  <si>
    <t>Gabe Benveniste</t>
  </si>
  <si>
    <t>Gabe</t>
  </si>
  <si>
    <t>Benveniste</t>
  </si>
  <si>
    <t>Mr. Gabe Benveniste serves as Product Manager at Apple. Mr. Benveniste was Founder of SonicLiving and served as its Chief Executive Officer. Prior to founding SonicLiving he served as Systems Engineer and Architect for Pixar Animation Studios.</t>
  </si>
  <si>
    <t>gbenveniste@apple.com</t>
  </si>
  <si>
    <t>Product Manager</t>
  </si>
  <si>
    <t>104468-59P</t>
  </si>
  <si>
    <t>Gerhard Lengeling MD</t>
  </si>
  <si>
    <t>Gerhard</t>
  </si>
  <si>
    <t>Lengeling</t>
  </si>
  <si>
    <t>Dr. Gerhard Lengeling serves as Senior Director, Software Engineering at Apple. Dr. Lengeling was a Co-Founder at Emagic. Dr. Lengeling received his Doctor of Medicine (MD) degree in Medicine from the University of Hamburg in 1985.</t>
  </si>
  <si>
    <t>glengeling@apple.com</t>
  </si>
  <si>
    <t>Senior Director, Software Engineering</t>
  </si>
  <si>
    <t>123351-13P</t>
  </si>
  <si>
    <t>Graham Townsend</t>
  </si>
  <si>
    <t>Townsend</t>
  </si>
  <si>
    <t>Mr. Graham Townsend serves as Vice President, Camera &amp; Depth H/W at Apple. Mr. Townsend holds a Bachelor of Science in Engineering from the University of Manchester Institute, earned in 1982.</t>
  </si>
  <si>
    <t>graham@apple.com</t>
  </si>
  <si>
    <t>Vice President, Camera &amp; Depth H/W</t>
  </si>
  <si>
    <t>243375-04P</t>
  </si>
  <si>
    <t>Greg Joswiak</t>
  </si>
  <si>
    <t>Joswiak</t>
  </si>
  <si>
    <t>Mr. Greg Joswiak serves as Senior Vice President, Worldwide Marketing at Apple. Since joining Apple in June 1986, Mr. Joswiak has played a pivotal role in developing and launching some of the world's most beloved consumer products, including the original iPod and iPhone. Joz began his career at Apple working on the early Macintosh computers and supporting the Mac's community of third-party developers. Joz has over 30 years of marketing and management experience at Apple, most recently as the vice president of Apple Product Marketing where he managed the product marketing and product management teams responsible for Apple's entire product lineup. Joz graduated with a Bachelor of Science in Computer Engineering from the University of Michigan in 1986.</t>
  </si>
  <si>
    <t>gj@apple.com</t>
  </si>
  <si>
    <t>Senior Vice President, Worldwide Marketing</t>
  </si>
  <si>
    <t>123346-00P</t>
  </si>
  <si>
    <t>Harris Christiansen</t>
  </si>
  <si>
    <t>Christiansen</t>
  </si>
  <si>
    <t>Mr. Harris Christiansen serves as Apps &amp; Frameworks Engineer at Apple. Mr. Christiansen served as Chief Technology Officer at iDrone. Mr. Christiansen co-founded iDrone. He earned a Bachelor of Science in Computer Science from Purdue University, West Lafayette, in 2018.</t>
  </si>
  <si>
    <t>hchristiansen@apple.com</t>
  </si>
  <si>
    <t>Apps &amp; Frameworks Engineer</t>
  </si>
  <si>
    <t>84102-76P</t>
  </si>
  <si>
    <t>Herb Adis</t>
  </si>
  <si>
    <t>Herb</t>
  </si>
  <si>
    <t>Adis</t>
  </si>
  <si>
    <t>Mr. Herb Adis serves as Engineer at Apple. Mr. Adis earned a degree in Cinematography and Film/Video Production from Bucks County Community College in 2013.</t>
  </si>
  <si>
    <t>hadis@apple.com</t>
  </si>
  <si>
    <t>Engineer</t>
  </si>
  <si>
    <t>212140-27P</t>
  </si>
  <si>
    <t>Isabel Mahe</t>
  </si>
  <si>
    <t>Mahe</t>
  </si>
  <si>
    <t>Managing Director &amp; Vice President</t>
  </si>
  <si>
    <t>Ms. Isabel Mahe serves as Vice President &amp; Managing Director, Greater China at Apple. Ms. Mahe served as Board Member at Starbucks. Ms. Ge Mahe joined Apple in 2008 as vice president of Wireless Technologies, overseeing the development of cellular, Wi-Fi, Bluetooth, NFC, location, and motion technologies for nearly every Apple product. She also played a key role in developing new China-specific features for iPhone and iPad. Before joining Apple, Isabel served as vice president of Wireless Software Engineering at Palm and held key technical and managerial positions at other wireless companies. Isabel holds a Bachelor of Applied Science and a Master of Engineering from Simon Fraser University in British Columbia and an MBA from the University of California, Berkeley.</t>
  </si>
  <si>
    <t>mahe@applie.com</t>
  </si>
  <si>
    <t>Starbucks (Former)</t>
  </si>
  <si>
    <t>319087-00P</t>
  </si>
  <si>
    <t>James Logan</t>
  </si>
  <si>
    <t>Logan</t>
  </si>
  <si>
    <t>Mr. James Logan serves as Senior Manager, Inclusion &amp; Diversity Global Enablement at Apple.</t>
  </si>
  <si>
    <t>jlogan@apple.com</t>
  </si>
  <si>
    <t>Senior Manager, Inclusion &amp; Diversity Global Enablement</t>
  </si>
  <si>
    <t>173020-33P</t>
  </si>
  <si>
    <t>Jamie Erlicht</t>
  </si>
  <si>
    <t>Erlicht</t>
  </si>
  <si>
    <t>Mr. Jamie Erlicht serves as Head of Worldwide Video programming at Apple. Mr. Erlicht has BS (Bachelor of Science) degree from University of California, San Diego and MBA (Master of Business Administration) degree from University of Southern California (USC).</t>
  </si>
  <si>
    <t>erlicht@apple.com</t>
  </si>
  <si>
    <t>Head of Worldwide Video programming</t>
  </si>
  <si>
    <t>43303-96P</t>
  </si>
  <si>
    <t>Jeffery Williams</t>
  </si>
  <si>
    <t>Mr. Jeffery Williams serves as Chief Operating Officer at Apple. Mr. Williams, 56, oversees Apple's entire supply chain, service and support, and social responsibility initiatives for Apple's supply chain. He serves as Chief Operating Officer at Apple. He also oversees the development of the Apple Watch and drives the company's health initiatives. Jeff joined Apple in June 1998 and assumed his current position in December 2015. Jeff's previous positions with Apple include Senior Vice President, Operations and Head of Worldwide Procurement. Prior to joining Apple, Jeff worked in a number of operations and engineering roles at IBM from 1985 to 1998. He holds an MBA from Duke University and a Bachelor's degree in Mechanical Engineering from North Carolina State University.</t>
  </si>
  <si>
    <t>jwilliams@apple.com</t>
  </si>
  <si>
    <t>395795-35P</t>
  </si>
  <si>
    <t>Jennifer Bailey</t>
  </si>
  <si>
    <t>Bailey</t>
  </si>
  <si>
    <t>Ms. Jennifer Bailey serves as Vice President, Internet Services, Apple Pay at Apple. Ms. Jennifer Bailey serves as Board Member &amp; Audit Committee Member at Pepsico. She also serves as Board Member, Chairwoman of Governance and Board Development Committee, Member of Executive Committee, Compensation and Management and Development Committee at American National Red Cross. She earned a BA in Mathematics from Middlebury College and an MS from the Massachusetts Institute of Technology.</t>
  </si>
  <si>
    <t>+1 (914) 253-2000</t>
  </si>
  <si>
    <t>Purchase</t>
  </si>
  <si>
    <t>Purchase, NY</t>
  </si>
  <si>
    <t>700 Anderson Hill Road</t>
  </si>
  <si>
    <t>10577</t>
  </si>
  <si>
    <t>Board Member &amp; Audit Committee Member</t>
  </si>
  <si>
    <t>Pepsico</t>
  </si>
  <si>
    <t>18092-80P</t>
  </si>
  <si>
    <t>Jessica Fink JD</t>
  </si>
  <si>
    <t>Fink</t>
  </si>
  <si>
    <t>Ms. Jessica Fink serves as Counsel at Apple. A position Ms. Fink previously held at Cadwalader, Wickersham &amp; Taft LLP. Ms. Fink's practice focuses on the representation of debtors, individual creditors, equity holders, and ad hoc and official creditors' committees in connection with complex chapter 11 cases, workouts, acquisitions, and debt restructuring. She has represented domestic and foreign clients in an array of industries, including telecommunications, airlines, health care, manufacturing, and financial. Prior to joining CW&amp;T, Jessica was an associate at Milbank, Tweed, Hadley &amp; McCloy LLP; Weil, Gotshal &amp; Manges LLP; and Pillsbury Winthrop LLP. She received her J.D., magna cum laude and Order of the Coif, from Tulane University School of Law, where she was an editor of the Tulane Law Review, and a B.A. from the University of Pennsylvania. She is admitted to practice in the State of New York and before the U.S. District Courts for the Southern and Northern Districts of New York.</t>
  </si>
  <si>
    <t>jfink@apple.com</t>
  </si>
  <si>
    <t>Counsel</t>
  </si>
  <si>
    <t>63033-94P</t>
  </si>
  <si>
    <t>Joe Malia</t>
  </si>
  <si>
    <t>Malia</t>
  </si>
  <si>
    <t>Mr. Joe Malia serves as Designer at Apple. Previously, Mr. Malia served as a Creative Director at BERG Cloud. He received a Master of Arts in Interaction Design from the Royal College of Art in 2006, following a Bachelor of Arts in Graphic Design from the University of the Arts London in 2004.</t>
  </si>
  <si>
    <t>jmalia@apple.com</t>
  </si>
  <si>
    <t>Designer</t>
  </si>
  <si>
    <t>77806-18P</t>
  </si>
  <si>
    <t>John Bridle</t>
  </si>
  <si>
    <t>Bridle</t>
  </si>
  <si>
    <t>Mr. John Bridle serves as Scientist, Siri at Apple. Mr. Bridle earned a Bachelor of Science degree from the University of Southampton in 1967.</t>
  </si>
  <si>
    <t>john.bridle@apple.com</t>
  </si>
  <si>
    <t>Scientist, Siri</t>
  </si>
  <si>
    <t>35711-11P</t>
  </si>
  <si>
    <t>John Giannandrea</t>
  </si>
  <si>
    <t>Giannandrea</t>
  </si>
  <si>
    <t>Dr. John Giannandrea serves as Senior Vice President Machine Learning and AI Strategy at Apple. Dr. Giannandrea co-founded Tellme Networks. Dr. Giannandrea served as Chief of Machine Learning and AI Strategy at Apple. He formerly served as Director &amp; Senior Vice President, Engineering and Head of AI and Search at Alphabet. He was the Co-Founder and Chief Technology Officer of Metaweb. He joined Google in 2010, when the company acquired his startup Metaweb Technologies, a move that formed the basis for the search giant's Knowledge Graph technology. Last year, Google appointed Giannandrea the head of search was the Co-Founder and Chief Technology Officer of Metaweb. Before Metaweb he was the Chief Technology Officer of Tellme Networks from 1999 to 2005. He also worked with INMOS, Silicon Graphics, General Magic, and Netscape. Mr. Giannandrea is the founder of Silicon Valley Colocation. He holds a Bachelor of Science (Honors) degree in Computer Science from the University of Strathclyde. He has also been awarded an honorary doctorate (Doctorate Honoris Causa).</t>
  </si>
  <si>
    <t>jgiannandrea@apple.com</t>
  </si>
  <si>
    <t>Senior Vice President Machine Learning and AI Strategy</t>
  </si>
  <si>
    <t>58687-30P</t>
  </si>
  <si>
    <t>John Penning</t>
  </si>
  <si>
    <t>Penning</t>
  </si>
  <si>
    <t>Mr. John Penning serves as an Executive at Apple. Mr. Penning serves as a Board Member at Foyer (Multi-line Insurance). Mr. Penning co-founded and served as Non-Executive Director at Saphir Capital Partners. He serves as Managing Director &amp; Member of the Group Executive Committee at Luxempart. After several years competing for trophies as a professional golf player, he ran a boutique sports marketing firm before concluding an MBA in the USA and New Zealand (Otago and Kenan-Flagler). Upon graduation, he joined Deloitte's corporate finance team where he led several M&amp;A/corporate finance deals across Europe. He sits on the board of several companies including two listed companies and is a founding partner of STING (a VC fund).</t>
  </si>
  <si>
    <t>jpenning@apple.com</t>
  </si>
  <si>
    <t>260823-52P</t>
  </si>
  <si>
    <t>John Ternus</t>
  </si>
  <si>
    <t>Ternus</t>
  </si>
  <si>
    <t>Mr. John Ternus serves as Senior Vice President of Hardware Engineering at Apple. Mr. Ternus leads all hardware engineering, including the teams behind iPhone, iPad, Mac, AirPods, and more. John joined Apple's Product Design team in 2001 and has been a vice president of Hardware Engineering since 2013. Throughout his tenure at Apple, John has overseen hardware engineering work on a variety of groundbreaking products including every generation and model of iPad, the latest iPhone lineup, and AirPods. He has been a key leader in the ongoing transition of the Mac to Apple silicon. Prior to Apple, John worked as a mechanical engineer at Virtual Research Systems. He holds a bachelor's degree in Mechanical Engineering from the University of Pennsylvania.</t>
  </si>
  <si>
    <t>jternus@apple.com</t>
  </si>
  <si>
    <t>Senior Vice President of Hardware Engineering</t>
  </si>
  <si>
    <t>104189-95P</t>
  </si>
  <si>
    <t>Johny Srouji</t>
  </si>
  <si>
    <t>Johny</t>
  </si>
  <si>
    <t>Srouji</t>
  </si>
  <si>
    <t>Mr. Johny Srouji serves as Senior Vice President, Hardware Technologies at Apple. Mr. Srouji leads all custom silicon architecture and development, covering a wide range of devices and technologies. Johny joined Apple in 2008 to lead the development of Apple's first custom system on a chip (SOC) processor, the A4. He is responsible for oversight and delivery of breakthrough custom silicon and hardware technologies including application processors, storage controllers, touch and sensors, display silicon, connectivity, and other chipsets powering many of Apple's industry-leading devices. Prior to Apple, Johny held senior positions at Intel and IBM in the area of processor development and design. He earned both a bachelor's and master's degree in Computer Science from Technion, Israel's Institute of Technology.</t>
  </si>
  <si>
    <t>srouji@apple.com</t>
  </si>
  <si>
    <t>Senior Vice President, Hardware Technologies</t>
  </si>
  <si>
    <t>42201-37P</t>
  </si>
  <si>
    <t>Joseph Foster</t>
  </si>
  <si>
    <t>Foster</t>
  </si>
  <si>
    <t>Mr. Joseph Foster serves as Strategic Deals and Partnerships at Apple. Mr. Foster served as a Vice President, Business Development at Alta Devices. He manages customer and corporate development at Alta. Prior to joining Alta Devices, Joe worked in the semiconductor industry for 25 years including 12 years as CTO/SVP of Business Development at Celerity. Alta is his seventh startup, third in the solar industry, serving as VP of Sales and Marketing at SoloPower, and via founding his own company in Orion Metrology. Orion was successfully sold to a large semiconductor OEM. Joe has spent the last 15 years in executive roles involved in M&amp;A, equity and debt financings, and customer/market development. He holds a Bachelor's in Mechanical Engineering from CSU Chico, and an MBA from San Jose State University.</t>
  </si>
  <si>
    <t>jf@apple.com</t>
  </si>
  <si>
    <t>Strategic Deals and Partnerships</t>
  </si>
  <si>
    <t>61732-00P</t>
  </si>
  <si>
    <t>Joshua Susskind Ph.D</t>
  </si>
  <si>
    <t>Susskind</t>
  </si>
  <si>
    <t>Dr. Joshua Susskind serves as Research Manager &amp; Deep Learning Scientist at Apple. Dr. Susskind co-founded and served as Lead Deep Learning Scientist at Emotient. He holds a Ph.D. in Psychology and Computer Science from the University of Toronto, earned in 2009, and a Master of Arts in Psychology from the same institution, completed in 2005. He also earned a Bachelor of Science in Cognitive Science from the University of California, San Diego, in 2003.</t>
  </si>
  <si>
    <t>jsusskind@apple.com</t>
  </si>
  <si>
    <t>Research Manager &amp; Deep Learning Scientist</t>
  </si>
  <si>
    <t>240844-33P</t>
  </si>
  <si>
    <t>Kaiann Drance</t>
  </si>
  <si>
    <t>Kaiann</t>
  </si>
  <si>
    <t>Drance</t>
  </si>
  <si>
    <t>Ms. Kaiann Drance serves as Vice President, WW Product Marketing at Apple. Ms. Drance has MBA (Master of Business Administration) degree from University of California, Berkeley and BBA (Bachelor of Business Administration) degree in Finance from University of Michigan (Ross).</t>
  </si>
  <si>
    <t>drance@apple.com</t>
  </si>
  <si>
    <t>Vice President, WW Product Marketing</t>
  </si>
  <si>
    <t>53363-17P</t>
  </si>
  <si>
    <t>Katherine Adams</t>
  </si>
  <si>
    <t>Adams</t>
  </si>
  <si>
    <t>General Counsel &amp; Secretary</t>
  </si>
  <si>
    <t>Ms. Katherine Adams serves as Senior Vice President, Legal and Global Security and General Counsel at Apple. Ms. Adams served as Senior Vice President &amp; General Counsel at Honeywell International. She is responsible for managing all of the company's legal affairs including Securities and Exchange Commission filings and disclosure, corporate governance, human resources and benefits, intellectual property rights, litigation, environmental compliance, and acquisitions and divestitures. In this role, Kate is also responsible for Honeywell's Government Relations and Global Security organizations. Before joining Honeywell, Adams was a partner at Sidley Austin Brown &amp; Wood. She earned a bachelor's degree in Comparative Literature with French and German concentrations from Brown University and a law degree from the University of Chicago Law School in Chicago, Illinois.</t>
  </si>
  <si>
    <t>k.adams@apple.com</t>
  </si>
  <si>
    <t>Senior Vice President, Legal and Global Security and General Counsel</t>
  </si>
  <si>
    <t>194126-95P</t>
  </si>
  <si>
    <t>Kelly Sang</t>
  </si>
  <si>
    <t>Kelly</t>
  </si>
  <si>
    <t>Sang</t>
  </si>
  <si>
    <t>Ms. Kelly Sang serves as Director of Business Development, Internet Services, Apple Pay at Apple. Ms. Sang earned a Bachelor of Arts from Peking University and an MBA from North Carolina State University.</t>
  </si>
  <si>
    <t>kelly@apple.com</t>
  </si>
  <si>
    <t>Director of Business Development, Internet Services, Apple Pay</t>
  </si>
  <si>
    <t>426997-36P</t>
  </si>
  <si>
    <t>Kevan Parekh</t>
  </si>
  <si>
    <t>Kevan</t>
  </si>
  <si>
    <t>Ms. Kevan Parekh serves as Senior Vice President &amp; Chief Financial Officer at Apple. Ms. Parekh joined Apple in 2013, and has played a key role in Apple's financial and business planning, and product development planning since then. Prior to becoming CFO, he served as Apple's vice president of Financial Planning and Analysis. Before that, he served as Apple's vice president of Worldwide Finance, supporting a number of different functions throughout his tenure, including Engineering, iTunes, Marketing, Retail, and Sales. He has over 20 years of experience leading global finance teams at major companies. Before joining Apple, Kevan held a number of senior leadership roles at Thomson Reuters and General Motors, including working across Europe and Asia. Kevan graduated with a Bachelor of Science in Electrical Engineering from the University of Michigan and earned an MBA from the University of Chicago.</t>
  </si>
  <si>
    <t>kparekh@apple.com</t>
  </si>
  <si>
    <t>Senior Vice President &amp; Chief Financial Officer</t>
  </si>
  <si>
    <t>68052-70P</t>
  </si>
  <si>
    <t>Kevin Bouvy</t>
  </si>
  <si>
    <t>Bouvy</t>
  </si>
  <si>
    <t>Mr. Kevin Bouvy serves as Product Lead, Identity at Apple. Mr. Bouvy earned his MBA with a focus on Finance, Accounting, and Economics from the University of Chicago Booth School of Business in 2008. He previously completed a Bachelor of Business Administration in Finance and General Business from Indiana University in 2000.</t>
  </si>
  <si>
    <t>kbouvy@apple.com</t>
  </si>
  <si>
    <t>Product Lead, Identity</t>
  </si>
  <si>
    <t>55477-36P</t>
  </si>
  <si>
    <t>Kevin Lynch</t>
  </si>
  <si>
    <t>Lynch</t>
  </si>
  <si>
    <t>Mr. Kevin Lynch serves as Vice President, Technology at Apple. Mr. Lynch will be reporting to Apple SVP of Technologies Bob Mansfield as VP of Technology. Mansfield's areas of expertise are wireless and semiconductor tech, but his official title gives him a wide berth at the company. Lynch's software role at Adobe may not seem an immediate match for Mansfield's team, but Mansfield was said to be staying on to help oversee development of "future products" after reversing his decision to retire last year. Mr. Lynch has been instrumental in spearheading and helping Adobe's Creative Cloud efforts get off the ground in recent years. Both Creative Cloud (and Marketing Cloud, which Mr. Lynch also led the development of at Adobe) were about moving Adobe away from boxed sales and building its products into primarily cloud-based offerings, with a SaaS approach to sales. He earned a degree from the University of Illinois, Urbana-Champaign in 1988.</t>
  </si>
  <si>
    <t>kevin.lynch@apple.com</t>
  </si>
  <si>
    <t>Vice President, Technology</t>
  </si>
  <si>
    <t>56944-81P</t>
  </si>
  <si>
    <t>Kristin Quayle</t>
  </si>
  <si>
    <t>Kristin</t>
  </si>
  <si>
    <t>Quayle</t>
  </si>
  <si>
    <t>Ms. Kristin Quayle serves as Vice President, Worldwide Communications at Apple. Ms. Quayle is responsible for Apple's global communications strategy, leading the public relations team as well as employee communications. Kristin joined Apple's Communications team in 2005, and led the Corporate PR team for seven years, most recently as vice president. Throughout her tenure at Apple, Kristin has played an instrumental role in shaping and sharing Apple's story of innovation and strong values. Prior to Apple, Kristin worked at Sun Microsystems and Burson-Marsteller. She holds a bachelor's degree in communications and political science from Furman University and an MBA from the Haas School of Business at the University of California, Berkeley.</t>
  </si>
  <si>
    <t>khuguet@apple.com</t>
  </si>
  <si>
    <t>Vice President, Worldwide Communications</t>
  </si>
  <si>
    <t>453005-29P</t>
  </si>
  <si>
    <t>Kristina Raspe</t>
  </si>
  <si>
    <t>Kristina</t>
  </si>
  <si>
    <t>Raspe</t>
  </si>
  <si>
    <t>Ms. Kristina Raspe serves as Vice President of Global Real Estate and Facilities at Apple.</t>
  </si>
  <si>
    <t>kraspe@apple.com</t>
  </si>
  <si>
    <t>84483-91P</t>
  </si>
  <si>
    <t>Lindsey Blumenthal</t>
  </si>
  <si>
    <t>Lindsey</t>
  </si>
  <si>
    <t>Blumenthal</t>
  </si>
  <si>
    <t>Ms. Lindsey Blumenthal serves as Senior Manager, Marketing, Partnerships and Editorial for Apple Maps at Apple. Ms. Blumenthal was also a Co-Founder &amp; served as an Advisor &amp; Executive, Marketing at Shopvida. Prior to joining Shopvida she has been serving as the Manager, International Business at Plum Inc.; Senior Manager, Business Innovation at Plum Inc. (formerly Nest Collective); Summer Associate, Investment Banking at Morgan Stanley; Summer Analyst at DBL Investors; Senior Strategy Consultant at IBM Global Services; Corporate Service Corps at IBM; Research Associate at US Department of Homeland Security. She has been among the Board Directors at Girls on the Run of the Bay Area, Yale Club of San Francisco and Elmseed Enterprise Fund and Advisory Board for Allan Houston Legacy Foundation. She earned his MBA in Strategy and Marketing from the Yale School of Management at Yale University in 2012, and his BA in International Relations from Cornell University in 2006.</t>
  </si>
  <si>
    <t>lblumenthal@apple.com</t>
  </si>
  <si>
    <t>Senior Manager, Marketing, Partnerships and Editorial for Apple Maps</t>
  </si>
  <si>
    <t>104182-03P</t>
  </si>
  <si>
    <t>Lisa Jackson</t>
  </si>
  <si>
    <t>Jackson</t>
  </si>
  <si>
    <t>Ms. Lisa Jackson serves as Vice President Environment, Policy and Social Initiatives at Apple. Ms. Jackson oversees Apple's efforts to minimize its impact on the environment by addressing climate change through renewable energy and energy efficiency, using greener materials, and inventing new ways to conserve precious resources. She is also responsible for Apple's education policy programs such as ConnectED, its product accessibility work, and its worldwide government affairs function. From 2009 to 2013, she served as Administrator of the U.S. Environmental Protection Agency. Appointed by President Barack Obama, she focused on reducing greenhouse gases, protecting air and water quality, preventing exposure to toxic contamination, and expanding outreach to communities on environmental issues. She has also served as Chief of Staff to New Jersey Governor Jon S. Corzine and as Commissioner of New Jersey's Department of Environmental Protection. Lisa holds a master's degree in Chemical Engineering from Princeton University and a bachelor's degree in Chemical Engineering from Tulane University. She serves on the boards of Princeton, Tulane, and the Clinton Foundation.</t>
  </si>
  <si>
    <t>lisa.jackson@apple.com</t>
  </si>
  <si>
    <t>Vice President Environment, Policy and Social Initiatives</t>
  </si>
  <si>
    <t>319087-81P</t>
  </si>
  <si>
    <t>Lyn Stanfield</t>
  </si>
  <si>
    <t>Lyn</t>
  </si>
  <si>
    <t>Stanfield</t>
  </si>
  <si>
    <t>Ms. Lyn Stanfield serves as Global Inclusion and Diversity (I&amp;D) Leader, External Partnerships at Apple. Ms. Stanfield holds a Master of Public Administration from Florida State University, Panama City, earned in 1996, and a degree in Communication from the same institution, completed in 1994.</t>
  </si>
  <si>
    <t>lstanfield@apple.com</t>
  </si>
  <si>
    <t>Global Inclusion and Diversity (I&amp;D) Leader, External Partnerships</t>
  </si>
  <si>
    <t>43005-88P</t>
  </si>
  <si>
    <t>Malcolm Northcott Ph.D</t>
  </si>
  <si>
    <t>Malcolm</t>
  </si>
  <si>
    <t>Northcott</t>
  </si>
  <si>
    <t>Dr. Malcolm Northcott serves as Sensor Systems Engineer at Apple. Dr. Northcott served as Chief Technology Officer, Identity Solutions at AOptix Technologies. Before that he Co-Founded and served as Vice President, Technology at AOptix Technologies. Dr. Northcott also served as an Astronomer at the University of Hawaii and as a research assistant at the Imperial College in London, where he received his Ph.D. in Applied Optics.</t>
  </si>
  <si>
    <t>mnorthcott@apple.com</t>
  </si>
  <si>
    <t>Sensor Systems Engineer</t>
  </si>
  <si>
    <t>319107-25P</t>
  </si>
  <si>
    <t>Marisa Robertson</t>
  </si>
  <si>
    <t>Marisa</t>
  </si>
  <si>
    <t>Robertson</t>
  </si>
  <si>
    <t>Ms. Marisa Robertson serves as Group Strategy Director, Worldwide Marketing Communications at Apple.</t>
  </si>
  <si>
    <t>mrobertson@apple.com</t>
  </si>
  <si>
    <t>Group Strategy Director, Worldwide Marketing Communications</t>
  </si>
  <si>
    <t>108891-37P</t>
  </si>
  <si>
    <t>Marshal Allshouse JD</t>
  </si>
  <si>
    <t>Marshal</t>
  </si>
  <si>
    <t>Allshouse</t>
  </si>
  <si>
    <t>Mr. Marshal Allshouse serves as Senior Director - Wallet, Payments, and Commerce Legal Team at Apple. Previously, Mr. Allshouse served as a Vice President and Corporate Counsel at United Online. He earned a BA in English from the University of California, Los Angeles (UCLA) in 1993 and a JD from the University of Kansas in 1999.</t>
  </si>
  <si>
    <t>mallshouse@apple.com</t>
  </si>
  <si>
    <t>Senior Director - Wallet, Payments, and Commerce Legal Team</t>
  </si>
  <si>
    <t>66987-64P</t>
  </si>
  <si>
    <t>Martin Lindberg Ph.D</t>
  </si>
  <si>
    <t>Lindberg</t>
  </si>
  <si>
    <t>Dr. Martin Lindberg serves as Engineering Manager at Apple. Dr. Lindberg served as Chief Technology Officer at AlgoTrim. He is also a Co-Founder of the company. Martin has been instrumental in bringing new software technologies and inventions from the research stage to production-quality solutions that have been integrated into mobile devices. In the 1990s Martin wrote a thesis on radar image processing and worked in the US at the image and video technology company Summus Ltd., where he also participated in DARPA research projects. He earned his Ph.D. in Industrial Mathematics from Chalmers University of Technology in 2000, following two Master of Science degrees from the same institution-one in Mathematics in 1997 and another in Computer Engineering in 1994.</t>
  </si>
  <si>
    <t>mlindberg@apple.com</t>
  </si>
  <si>
    <t>46427-41P</t>
  </si>
  <si>
    <t>Matt Dickoff</t>
  </si>
  <si>
    <t>Dickoff</t>
  </si>
  <si>
    <t>Mr. Matt Dickoff serves as Senior Engineer - Photos at Apple. Mr. Dickoff has BS (Bachelor of Science) degree from Carnegie Mellon University.</t>
  </si>
  <si>
    <t>mdickoff@apple.com</t>
  </si>
  <si>
    <t>Senior Engineer - Photos</t>
  </si>
  <si>
    <t>142351-57P</t>
  </si>
  <si>
    <t>Matthew Clare</t>
  </si>
  <si>
    <t>Mr. Matthew Clare serves as Executive, Corporate Development at Apple. Previously, Mr. Clare served as an Associate, Principal Investment Area at Goldman Sachs. Mr. Clare earned a degree from the University of Virginia in 2002.</t>
  </si>
  <si>
    <t>matthew@apple.com</t>
  </si>
  <si>
    <t>Executive, Corporate Development</t>
  </si>
  <si>
    <t>139007-08P</t>
  </si>
  <si>
    <t>Michael Beyhs</t>
  </si>
  <si>
    <t>Beyhs</t>
  </si>
  <si>
    <t>Mr. Michael Beyhs serves as Prototyping Engineer, SW, FW, HW | Touch and Sensing Incubation at Apple. Mr. Beyhs co-founded and served as the Chief Technology Officer and Chief Executive Officer at Inreal Technologies. Mr. Beyhs earned a Dipl.-Ing in Electrical Engineering and Electronics from Karlsruhe Institute of Technology in 2012, and previously completed a degree at Universidad de Cádiz in 2010.</t>
  </si>
  <si>
    <t>mbeyhs@apple.com</t>
  </si>
  <si>
    <t>Prototyping Engineer, SW, FW, HW | Touch and Sensing Incubation</t>
  </si>
  <si>
    <t>90737-20P</t>
  </si>
  <si>
    <t>Michael Sorensen Ph.D</t>
  </si>
  <si>
    <t>Sorensen</t>
  </si>
  <si>
    <t>Dr. Michael Sorensen serves as Senior Machine Learning Manager at Apple. Dr. Sorensen also Co-Founded Simatra Modeling Technologies and also served as its CEO. He holds a Ph.D. in Biomedical Engineering from the Georgia Institute of Technology, earned in 2005, and a Bachelor of Science in Electrical Engineering from Rice University, completed in 1999.</t>
  </si>
  <si>
    <t>michael@apple.com</t>
  </si>
  <si>
    <t>Senior Machine Learning Manager</t>
  </si>
  <si>
    <t>450904-51P</t>
  </si>
  <si>
    <t>Mike Fenger</t>
  </si>
  <si>
    <t>Fenger</t>
  </si>
  <si>
    <t>Mr. Mike Fenger serves as Vice president Worldwide Sales. Mr. Fenger oversees global product sales for Apple, and his team plays an important part in helping customers discover products they love. Since joining Apple in 2008, he has also had a key role in strengthening telecommunications and consumer electronic reseller partnerships, and deepening connections with customers in enterprise, education, and government. He began his Apple career as vice president of Global iPhone Sales, where he led the expansion of iPhone distribution to customers around the globe. Mike has over 20 years of experience building and leading sales teams for global companies. Before joining Apple, he held senior positions at General Electric and Motorola, where he helped develop and execute strategy for sales, operations, marketing, and supply chain management in the Americas, Europe, and Greater China. Mike is a graduate of Miami University, where he earned a bachelor's degree in Economics.</t>
  </si>
  <si>
    <t>fenger@apple.com</t>
  </si>
  <si>
    <t>Vice PresidentWorldwide Sales</t>
  </si>
  <si>
    <t>61212-79P</t>
  </si>
  <si>
    <t>Nariman Batlivala</t>
  </si>
  <si>
    <t>Nariman</t>
  </si>
  <si>
    <t>Batlivala</t>
  </si>
  <si>
    <t>Mr. Nariman Batlivala serves as Executive, iOS Programs at Apple. Mr. Batlivala served as VP, Engineering at Seven Networks. Mr. Batlivala earned his BE in Electrical Engineering from the University of Bombay, followed by an MS in Computer Science &amp; Engineering from the University of Michigan, Ann Arbor.</t>
  </si>
  <si>
    <t>nbatlivala@apple.com</t>
  </si>
  <si>
    <t>Executive, iOS Programs</t>
  </si>
  <si>
    <t>44952-85P</t>
  </si>
  <si>
    <t>Nicholas Ascheim</t>
  </si>
  <si>
    <t>Ascheim</t>
  </si>
  <si>
    <t>Mr. Nicholas Ascheim serves as Head of Apple News Business at Apple. Mr. Ascheim served as the Chief Executive Officer at TheSquare.com. He earned a BA from Cornell University in 1992 and an MBA from Harvard Business School in 2000.</t>
  </si>
  <si>
    <t>nascheim@apple.com</t>
  </si>
  <si>
    <t>Head of Apple News Business</t>
  </si>
  <si>
    <t>62277-49P</t>
  </si>
  <si>
    <t>Nikhil Palekar JD</t>
  </si>
  <si>
    <t>Nikhil</t>
  </si>
  <si>
    <t>Palekar</t>
  </si>
  <si>
    <t>Mr. Nikhil Palekar serves as Engineering Manager at Apple. Previously Mr. Palekar co-founded and served as Chief Executive Officer at Nveloped. He earned a Bachelor of Science in Computer Science from Johns Hopkins University in 2005, followed by a Master of Science in Information Security from the same institution in 2006. He later received a Juris Doctor from Duke Law School in 2009.</t>
  </si>
  <si>
    <t>npalekar@apple.com</t>
  </si>
  <si>
    <t>391081-96P</t>
  </si>
  <si>
    <t>Nilufa Akter</t>
  </si>
  <si>
    <t>Nilufa</t>
  </si>
  <si>
    <t>Akter</t>
  </si>
  <si>
    <t>Ms. Nilufa Akter serves as Chief Marketing Officer at Apple. Ms. Akter served as an Assistant Manager at ZoomInfo. Ms. Akter holds a Bachelor of Science in Computer Science from New York University.</t>
  </si>
  <si>
    <t>na@apple.com</t>
  </si>
  <si>
    <t>194398-48P</t>
  </si>
  <si>
    <t>Oliver Schusser Ph.D</t>
  </si>
  <si>
    <t>Schusser</t>
  </si>
  <si>
    <t>Dr. Oliver Schusser serves as Vice President of Music, Video, Sports &amp; International at Apple. Dr. Schusser serves as President at Beats Electronics. Dr. Schusser holds a Bachelor's degree in Business Administration and Economics from the University of Regensburg, an MBA, and a Ph.D. from the University of Cologne.</t>
  </si>
  <si>
    <t>oliver@apple.com</t>
  </si>
  <si>
    <t>Vice President of Music, Video, Sports &amp; International</t>
  </si>
  <si>
    <t>340285-60P</t>
  </si>
  <si>
    <t>Raviraj Bhide</t>
  </si>
  <si>
    <t>Raviraj</t>
  </si>
  <si>
    <t>Bhide</t>
  </si>
  <si>
    <t>Mr. Raviraj Bhide serves as Principal Engineer at Apple. Mr. Bhide earned a degree from the Indian Institute of Technology, Bombay in 1998.</t>
  </si>
  <si>
    <t>rbhide@apple.com</t>
  </si>
  <si>
    <t>Principal Engineer</t>
  </si>
  <si>
    <t>82481-50P</t>
  </si>
  <si>
    <t>Rob Nuenke</t>
  </si>
  <si>
    <t>Nuenke</t>
  </si>
  <si>
    <t>Mr. Rob Nuenke serves as Business Specialist, Acquisitions at Apple. Prior to Apple, Mr. Nuenke served as a President and CEO at Absolute Sound Systems. Mr. Nuenke holds an Associate's Degree in Aerospace Propulsion from the Community College of the US Air Force.</t>
  </si>
  <si>
    <t>rnuenke@apple.com</t>
  </si>
  <si>
    <t>Business Specialist, Acquisitions</t>
  </si>
  <si>
    <t>136955-89P</t>
  </si>
  <si>
    <t>Robert Shanks</t>
  </si>
  <si>
    <t>Shanks</t>
  </si>
  <si>
    <t>Mr. Robert Shanks serves as Senior Content Manager at Apple. Mr. Shanks founded and served as President, Chief Executive Officer and Chief Technology Officer at GlobeXplorer. He holds a Master of Arts in Geographic Information Systems &amp; Computing (1988) and a Bachelor of Arts in Geography and Environmental Studies (1987), both from the University of California, Santa Barbara.</t>
  </si>
  <si>
    <t>r-s@apple.com</t>
  </si>
  <si>
    <t>Senior Content Manager</t>
  </si>
  <si>
    <t>104328-01P</t>
  </si>
  <si>
    <t>Roger Rosner</t>
  </si>
  <si>
    <t>Roger</t>
  </si>
  <si>
    <t>Rosner</t>
  </si>
  <si>
    <t>Mr. Roger Rosner serves as Vice President of Applications at Apple. Mr. Rosner is the Co-Founder &amp; served as the Chief Executive Officer at Blue Fish Labs. He was the Chief Technology Officer of Essential Surfing Gear (ESG), where he built and managed a full-service engineering staff of 30. Prior to ESG, he founded and was Vice President of Engineering for Pangea Corporation, a software services firm acquired by ESG. He was also a founder and President of Lighthouse Design, the most successful independent software vendor in the NeXT market. Lighthouse was ultimately acquired by Sun Microsystems. He is a former US Air Force officer. He holds a double degree in Electrical Engineering and Computer Engineering from Carnegie Mellon University.</t>
  </si>
  <si>
    <t>roger@apple.com</t>
  </si>
  <si>
    <t>Vice President of Applications</t>
  </si>
  <si>
    <t>411734-44P</t>
  </si>
  <si>
    <t>Sabih Khan</t>
  </si>
  <si>
    <t>Sabih</t>
  </si>
  <si>
    <t>Mr. Sabih Khan serves as Chief Operating Officer at Apple. Since joining Apple in 1995, Mr. Khan has played an important role in delivering each of Apple's innovative products to market. Prior to Apple, Sabih worked as an applications development engineer and key account technical leader at GE Plastics. He earned bachelor's degrees in Economics and Mechanical Engineering from Tufts University and a master's degree in Mechanical Engineering from Rensselaer Polytechnic Institute (RPI).</t>
  </si>
  <si>
    <t>sabih@apple.com</t>
  </si>
  <si>
    <t>70221-16P</t>
  </si>
  <si>
    <t>Sam Vafaee</t>
  </si>
  <si>
    <t>Vafaee</t>
  </si>
  <si>
    <t>Mr. Sam Vafaee serves as Engineering Manager, App Store at Apple. Previously, Mr. Vafaee served as a Chief Technology Officer at Paystack. He holds a degree in Architecture from the University of Toronto, earned in 2011, and a Bachelor of Arts in Electrical Engineering and Computer Engineering from the same institution, completed in 2009. He also completed his earlier education at North Toronto Collegiate Institute in 2004.</t>
  </si>
  <si>
    <t>sam@apple.com</t>
  </si>
  <si>
    <t>Engineering Manager, App Store</t>
  </si>
  <si>
    <t>30040-12P</t>
  </si>
  <si>
    <t>Samuel Whittington JD</t>
  </si>
  <si>
    <t>Whittington</t>
  </si>
  <si>
    <t>Mr. Samuel Whittington serves as Senior Director, Corporate Law at Apple. Mr. Whittington holds an LLB (Bachelor of Laws) from The University of Queensland, earned in 2005, and a Bachelor of Arts in International Relations from the same institution, completed in 2002.</t>
  </si>
  <si>
    <t>+1 (212) 474-1225</t>
  </si>
  <si>
    <t>whittington@apple.com</t>
  </si>
  <si>
    <t>Senior Director, Corporate Law</t>
  </si>
  <si>
    <t>51968-80P</t>
  </si>
  <si>
    <t>Scott Margolis</t>
  </si>
  <si>
    <t>Margolis</t>
  </si>
  <si>
    <t>Mr. Scott Margolis serves as Executive, Apple Maps - Product Partnerships at Apple. Mr. Margolis was the Vice President of Business Development and GM of Mobile at HopStop.com. He earned a Bachelor of Business Administration in Marketing from George Washington University in 2005.</t>
  </si>
  <si>
    <t>scott.margolis@apple.com</t>
  </si>
  <si>
    <t>Executive, Apple Maps - Product Partnerships</t>
  </si>
  <si>
    <t>271472-14P</t>
  </si>
  <si>
    <t>Shahab Mohammad</t>
  </si>
  <si>
    <t>Shahab</t>
  </si>
  <si>
    <t>Mr. Shahab Mohammad serves as Executive, Cellular SoC at Apple. Mr. Mohammad earned a Master's in Advanced Studies from UCSD Jacobs School of Engineering in 2013, a Master of Science in Wireless Communications from San Diego State University in 2006, and a Bachelor of Engineering in Electronics from Terna Engineering College in 2001.</t>
  </si>
  <si>
    <t>shahabm@apple.com</t>
  </si>
  <si>
    <t>Executive, Cellular SoC</t>
  </si>
  <si>
    <t>100154-71P</t>
  </si>
  <si>
    <t>Silas Snider</t>
  </si>
  <si>
    <t>Silas</t>
  </si>
  <si>
    <t>Snider</t>
  </si>
  <si>
    <t>Mr. Silas Snider serves as Software Engineer at Apple. Mr. Snider Co-Founded Sonya Labs. Mr. Snider holds a degree from the University of Oregon, Eugene, earned in 2008, and another from Lane Community College, completed in 2004.</t>
  </si>
  <si>
    <t>ssnider@apple.com</t>
  </si>
  <si>
    <t>Software Engineer</t>
  </si>
  <si>
    <t>89723-62P</t>
  </si>
  <si>
    <t>Simone Paulotto Ph.D</t>
  </si>
  <si>
    <t>Simone</t>
  </si>
  <si>
    <t>Paulotto</t>
  </si>
  <si>
    <t>Dr. Simone Paulotto serves as Senior Manager, Antenna &amp; Wireless at Apple. Dr. Paulotto served as the Vice President of Research and Development at Maxtena. Simone holds a PhD in Applied Electromagnetics and a M.S. in Electronic Engineering from "La Sapienza" University of Rome, Italy. After working as a researcher at the Department of Electronic Engineering, "La Sapienza" University of Rome, and at the Department of Electrical and Computer Engineering, University of Houston, TX, (sponsored by Sandia National Laboratories), in 2010 he joined Maxtena Inc. as Principal Antenna Engineer, in 2012 became Head of Antenna Engineering and R&amp;D, and in 2014 became VP of Research and Development.</t>
  </si>
  <si>
    <t>s-p@apple.com</t>
  </si>
  <si>
    <t>Senior Manager, Antenna &amp; Wireless</t>
  </si>
  <si>
    <t>144661-15P</t>
  </si>
  <si>
    <t>Steve Smith</t>
  </si>
  <si>
    <t>Steve</t>
  </si>
  <si>
    <t>Mr. Steve Smith serves as Senior Director, Corporate Development at Apple. Mr. Smith holds a Bachelor of Science in Neuroscience from the University of Pittsburgh (2020) and a Bachelor of Arts in Psychology from Thomas Edison State University. He also earned additional degrees from Saint Leo University in 2004 and Cuyamaca College in 1997.</t>
  </si>
  <si>
    <t>srsmith@apple.com</t>
  </si>
  <si>
    <t>Senior Director, Corporate Development</t>
  </si>
  <si>
    <t>154788-04P</t>
  </si>
  <si>
    <t>Tiffany Hsiou</t>
  </si>
  <si>
    <t>Tiffany</t>
  </si>
  <si>
    <t>Hsiou</t>
  </si>
  <si>
    <t>Ms. Tiffany Hsiou serves as Executive, Apple Music at Apple. Ms. Hsiou earned an MBA in Strategy from Peking University and completed an MBA exchange program at New York University in 2014. He also holds a Master of Public Policy in Homeland Security and International Policy from Georgetown University and a Bachelor of Arts in Political Science from the University of California, Los Angeles (UCLA).</t>
  </si>
  <si>
    <t>thsiou@apple.com</t>
  </si>
  <si>
    <t>Executive, Apple Music</t>
  </si>
  <si>
    <t>61141-06P</t>
  </si>
  <si>
    <t>Tim Booth</t>
  </si>
  <si>
    <t>Booth</t>
  </si>
  <si>
    <t>Mr. Tim Booth serves as Executive, iPhone Technical Operations at Apple. Previously, Mr. Booth served as a Vice President, Applications and Solutions Engineering at Raydiance. He earned a Bachelor's degree in Mechanical Engineering from the University of Southampton in 1989.</t>
  </si>
  <si>
    <t>t.booth@apple.com</t>
  </si>
  <si>
    <t>Executive, iPhone Technical Operations</t>
  </si>
  <si>
    <t>43302-97P</t>
  </si>
  <si>
    <t>Timothy Cook</t>
  </si>
  <si>
    <t>Cook</t>
  </si>
  <si>
    <t>Mr. Timothy Cook serves as Chief Executive Officer and Board Member at Apple. Mr. Cook serves as a Board Member and Chair of the Compensation Committee at Nike. He is an Angel Investor. Before being named CEO in August 2011, he was Apple's Chief Operating Officer and was responsible for all of the company's worldwide sales and operations, including end-to-end management of Apple's supply chain, sales activities, and service and support in all markets and countries. He also headed Apple's Macintosh division and played a key role in the continued development of strategic reseller and supplier relationships, ensuring flexibility in response to an increasingly demanding marketplace. Before joining Apple, he was vice president of Corporate Materials for Compaq and was responsible for procuring and managing all of Compaq's product inventory. Previous to his work at Compaq, he was the chief operating officer of the Reseller Division at Intelligent Electronics. He also spent 12 years with IBM, most recently as director of North American Fulfillment where he led manufacturing and distribution functions for IBM's Personal Computer Company in North and Latin America. He earned an M.B.A. from Duke University, where he was a Fuqua Scholar and a Bachelor of Science degree in Industrial Engineering from Auburn University.</t>
  </si>
  <si>
    <t>tcook@apple.com</t>
  </si>
  <si>
    <t>45185-32P</t>
  </si>
  <si>
    <t>Tito Balsamo</t>
  </si>
  <si>
    <t>Tito</t>
  </si>
  <si>
    <t>Balsamo</t>
  </si>
  <si>
    <t>Mr. Tito Balsamo serves as Design Manager - Health Special Projects at Apple. Mr. Balsamo was a Senior Product Designer at Jawbone. Mr. Balsamo received his BS in Product Design from Stanford University.</t>
  </si>
  <si>
    <t>tbalsamo@apple.com</t>
  </si>
  <si>
    <t>Design Manager - Health Special Projects</t>
  </si>
  <si>
    <t>181379-17P</t>
  </si>
  <si>
    <t>Tom Neumayr</t>
  </si>
  <si>
    <t>Neumayr</t>
  </si>
  <si>
    <t>Mr. Tom Neumayr serves as Corporate Communications at Apple. Mr. Neumayr earned a Bachelor of Arts in Political Science from the University of California, San Diego in 1995.</t>
  </si>
  <si>
    <t>+1 (408) 974-1972</t>
  </si>
  <si>
    <t>tneumayr@apple.com</t>
  </si>
  <si>
    <t>Corporate Communications</t>
  </si>
  <si>
    <t>123258-34P</t>
  </si>
  <si>
    <t>Tor Myhren</t>
  </si>
  <si>
    <t>Tor</t>
  </si>
  <si>
    <t>Myhren</t>
  </si>
  <si>
    <t>Mr. Tor Myhren serves as Vice President, Marketing Communications at Apple. Mr. Myhren joins Apple from Grey Group, where he was chief creative officer and president of Grey New York. According to the Apple, he will be responsible for Apple's advertising efforts and also its interactive web design, packaging and retail store displays. Mr. Myhren will succeed Hiroki Asai, who earlier announced plans to retire after 18 years in graphic design and marketing communications roles at Apple. Tor is a former journalist and award-winning documentary filmmaker. He holds a bachelor's degree in English Literature from Occidental College.</t>
  </si>
  <si>
    <t>tmyhren@apple.com</t>
  </si>
  <si>
    <t>Vice President, Marketing Communications</t>
  </si>
  <si>
    <t>129634-30P</t>
  </si>
  <si>
    <t>Vince Bafetti</t>
  </si>
  <si>
    <t>Vince</t>
  </si>
  <si>
    <t>Bafetti</t>
  </si>
  <si>
    <t>Mr. Vince Bafetti serves as Senior iPhone Hardware Systems Design Engineer at Apple. Mr. Bafetti previously co-founded and served as the Chief Technology Officer at LumiGrow. He earned a BS in Electronics Engineering from the University of California, Berkeley in 1995.</t>
  </si>
  <si>
    <t>vince@icloud.com</t>
  </si>
  <si>
    <t>Senior iPhone Hardware Systems Design Engineer</t>
  </si>
  <si>
    <t>75672-55P</t>
  </si>
  <si>
    <t>Vividh Siddha</t>
  </si>
  <si>
    <t>Vividh</t>
  </si>
  <si>
    <t>Siddha</t>
  </si>
  <si>
    <t>Mr. Vividh Siddha serves as Director at Apple. Previously Mr. Siddha served as Vice President, Engineering at Bluebox. Mr. Siddha serves as President of the Board at Thread Group. He holds a Bachelor of Engineering in Computer Science and Engineering from the University of Pune.</t>
  </si>
  <si>
    <t>vsiddha@apple.com</t>
  </si>
  <si>
    <t>84674-62P</t>
  </si>
  <si>
    <t>William Bencze Ph.D</t>
  </si>
  <si>
    <t>Bencze</t>
  </si>
  <si>
    <t>Dr. William Bencze serves as GNSS Platform Software Engineering Manager at Apple. Dr. Bencze was the Co-Founder and Vice President of Engineering at Coherent Navigation. Dr. Bencze received his BS, MS, and Ph.D. in Electrical Engineering from Stanford University in 1989, 1992, and 1996 respectively. In 2000, he completed an additional degree at the University of California, San Diego.</t>
  </si>
  <si>
    <t>williamb@apple.com</t>
  </si>
  <si>
    <t>GNSS Platform Software Engineering Manager</t>
  </si>
  <si>
    <t>102482-92P</t>
  </si>
  <si>
    <t>Yossi Yatir</t>
  </si>
  <si>
    <t>Yossi</t>
  </si>
  <si>
    <t>Yatir</t>
  </si>
  <si>
    <t>Mr. Yossi Yatir serves as Silicon Validation Engineer at Apple. Previously, Mr. Yatir co-founded and served as Chairman and Co-Chief Executive Officer at Helioris Solar Systems. He holds a Master of Science in Bioelectrical Engineering from Tel Aviv University, earned in 2007, an MBA in Business Administration from the same institution, completed in 1996, and a Bachelor of Science in Electrical Engineering from Tel Aviv University, obtained in 1990.</t>
  </si>
  <si>
    <t>yossi@icloud.com</t>
  </si>
  <si>
    <t>Silicon Validation Engineer</t>
  </si>
  <si>
    <t>173020-78P</t>
  </si>
  <si>
    <t>Zack Van Amburg</t>
  </si>
  <si>
    <t>Zack</t>
  </si>
  <si>
    <t>Van Amburg</t>
  </si>
  <si>
    <t>Mr. Zack Van Amburg serves as Chief Content Officer &amp; Head of Worldwide Video, Apple TV+ at Apple. Mr. Van Amburg has Bachelor's degree from Georgetown University.</t>
  </si>
  <si>
    <t>zack@apple.com</t>
  </si>
  <si>
    <t>Chief Content Officer &amp; Head of Worldwide Video, Apple TV+</t>
  </si>
  <si>
    <t>374754-16P</t>
  </si>
  <si>
    <t>Abdulmohssin Otaibi</t>
  </si>
  <si>
    <t>Abdulmohssin</t>
  </si>
  <si>
    <t>Otaibi</t>
  </si>
  <si>
    <t>Aramco Ventures</t>
  </si>
  <si>
    <t>Mr. Abdulmohssin Otaibi serves as Chief Operations Officer at Aramco Ventures.</t>
  </si>
  <si>
    <t>abdulmohssin.otaibi@aramcoventures.com</t>
  </si>
  <si>
    <t>Dhahran</t>
  </si>
  <si>
    <t>Dhahran, Saudi Arabia</t>
  </si>
  <si>
    <t>Al-Midra Tower</t>
  </si>
  <si>
    <t>11th Floor, West Wing</t>
  </si>
  <si>
    <t>31311</t>
  </si>
  <si>
    <t>Chief Operations Officer</t>
  </si>
  <si>
    <t>405253-09P</t>
  </si>
  <si>
    <t>Ali Hasan</t>
  </si>
  <si>
    <t>Hasan</t>
  </si>
  <si>
    <t>Mr. Ali Hasan serves as Chief Governance Risk &amp; Compliance Officer at Aramco Ventures.</t>
  </si>
  <si>
    <t>ali.al-hasan@aramcoventures.com</t>
  </si>
  <si>
    <t>Chief Governance Risk &amp; Compliance Officer</t>
  </si>
  <si>
    <t>78955-84P</t>
  </si>
  <si>
    <t>Anupam Singh</t>
  </si>
  <si>
    <t>Anupam</t>
  </si>
  <si>
    <t>Mr. Anupam Singh serves as Senior Investment Director, North America at Aramco Ventures. He serves as a Senior investment Director at Prosperity7 Ventures. He also serves as Board Member at Comitt Well Solutions. He served as Board Member at Gryphon Oilfield Solutions. He serves as a Board Member at Pixo.</t>
  </si>
  <si>
    <t>+1 (713) 432-5422</t>
  </si>
  <si>
    <t>anupam.singh@aramcoventures.com</t>
  </si>
  <si>
    <t>1200 Smith Street</t>
  </si>
  <si>
    <t>Two Allen Center, 31st Floor</t>
  </si>
  <si>
    <t>77002</t>
  </si>
  <si>
    <t>Senior Investment Director</t>
  </si>
  <si>
    <t>204438-61P</t>
  </si>
  <si>
    <t>Arne Froiland</t>
  </si>
  <si>
    <t>Arne</t>
  </si>
  <si>
    <t>Froiland</t>
  </si>
  <si>
    <t>Mr. Arne Froiland serves as Senior Investment Director, Europe at Aramco Ventures. He served as Board Member at Sekal and CannSeal. He serves as Board Member at InflowControl, 3yourmind and Earth Science Analytics.</t>
  </si>
  <si>
    <t>+47 90 74 86 33</t>
  </si>
  <si>
    <t>arne.froiland@aramcoventures.com</t>
  </si>
  <si>
    <t>Oslo</t>
  </si>
  <si>
    <t>Oslo, Norway</t>
  </si>
  <si>
    <t>C/O Pier x oslo AS Bryggegata 3</t>
  </si>
  <si>
    <t>0250</t>
  </si>
  <si>
    <t>Norway</t>
  </si>
  <si>
    <t>Senior Investment Director, Europe</t>
  </si>
  <si>
    <t>334672-93P</t>
  </si>
  <si>
    <t>Aysar Tayeb</t>
  </si>
  <si>
    <t>Aysar</t>
  </si>
  <si>
    <t>Tayeb</t>
  </si>
  <si>
    <t>Mr. Aysar Tayeb serves as Executive Managing Director, Prosperity7 at Aramco Ventures.</t>
  </si>
  <si>
    <t>aysar.tayeb@aramcoventures.com</t>
  </si>
  <si>
    <t>Executive Managing Director, Prosperity7</t>
  </si>
  <si>
    <t>53636-50P</t>
  </si>
  <si>
    <t>Bruce Niven</t>
  </si>
  <si>
    <t>Bruce</t>
  </si>
  <si>
    <t>Niven</t>
  </si>
  <si>
    <t>Mr. Bruce Niven serves as Executive Managing Director, Strategic Venturing at Aramco Ventures. He serves as Board Member at NexWafe. He served as Chief Investment Officer at Prosperity7 Ventures. He holds a M.E. in Engineering and Management from the University of Oxford.</t>
  </si>
  <si>
    <t>bruce.niven@aramcoventures.com</t>
  </si>
  <si>
    <t>Executive Managing Director, Strategic Venturing</t>
  </si>
  <si>
    <t>13089-25P</t>
  </si>
  <si>
    <t>Daniel Carter</t>
  </si>
  <si>
    <t>Carter</t>
  </si>
  <si>
    <t>Mr. Daniel Carter serves as Senior Investment Director at Prosperity7 Ventures. Mr. Carter served as Board Member at Taulia. He served as Board Observer at Upside. He also serves as Managing Director, North America at Aramco Ventures. He serves as Senior Investment Director at Saudi Aramco Energy Ventures. He also serves as Board Member at SignalWire, Capsule8, Upside and National Renewable Energy Laboratory. He also served as Board Member at Clarke Valve, Zahroof Valves and Data Gumbo. Furthermore, he also served as Advisor at London Business School. Previously, he served as Principal at Conduit Ventures. Previously, he served as Board Member at PolyFuel, CMR Fuel Cells, Pemeas, Protonex Technology, Rive Technology, and Siluria Technologies, and Board Observer at Cellex Power. He holds a Degree in Exchange from the University of Vienna, a BS in International Economics and Politics from Georgetown University, an MA in International Political Economics from the University of Massachusetts, an MBA in Business from Columbia University, and an MBA from London Business School.</t>
  </si>
  <si>
    <t>daniel.carter@p7vc.com</t>
  </si>
  <si>
    <t>700 Emerson Street</t>
  </si>
  <si>
    <t>Prosperity7 Ventures</t>
  </si>
  <si>
    <t>425629-72P</t>
  </si>
  <si>
    <t>Dee-Dee Huang</t>
  </si>
  <si>
    <t>Dee-Dee</t>
  </si>
  <si>
    <t>Huang</t>
  </si>
  <si>
    <t>Ms. Dee-Dee Huang serves as an Investment Associate at Aramco Ventures.</t>
  </si>
  <si>
    <t>dee-dee.huang@aramcoventures.com</t>
  </si>
  <si>
    <t>295241-23P</t>
  </si>
  <si>
    <t>Dimitris Triantafyllidis Ph.D</t>
  </si>
  <si>
    <t>Dimitris</t>
  </si>
  <si>
    <t>Triantafyllidis</t>
  </si>
  <si>
    <t>Dr. Dimitris Triantafyllidis serves as Investment Director, Europe at Aramco Ventures. He serves as an Investment Director at Prosperity7 Ventures. He serves as a Board Member at CorrosionRADAR and Archlet. He holds a Ph.D. in Mechanical Engineering from The University of Manchester. He also holds a BE and MS from The University of Manchester.</t>
  </si>
  <si>
    <t>dimitris.triantafyllidis@aramcoventures.com</t>
  </si>
  <si>
    <t>10 Portman Square</t>
  </si>
  <si>
    <t>Marylbone</t>
  </si>
  <si>
    <t>W1H 6AZ</t>
  </si>
  <si>
    <t>Investment Director, Europe</t>
  </si>
  <si>
    <t>13151-80P</t>
  </si>
  <si>
    <t>Frank Andrasco</t>
  </si>
  <si>
    <t>Andrasco</t>
  </si>
  <si>
    <t>Mr. Frank Andrasco serves as Senior Investment Director, North America at Aramco Ventures. He served as Director of Venture Capital at Honeywell Ventures. He served as Director at Next47. He also serves as Partner at Egan-Managed Capital. Next47 is the innovation arm of industrial powerhouse Siemens AG. He has been actively investing in technology startups for 17 years. He was a Board Member of Frustum. He has a passion for elegant technology solutions to hard problems and looks for products for which he could be an enthusiastic salesman. Prior to Siemens, he was a General Partner at Egan Capital, a Boston-based, early-stage IT VC firm. Prior to their venture, he held Program Management and Software Development roles at Microsoft, the International Finance Corporation (the private-sector investment arm of the World Bank Group), and Price Waterhouse Consulting. He began his career as a systems engineer for NASA. He is a graduate of the University of Maryland with B.S. degrees in Computer Science and Finance. He earned his MBA from the Harvard Graduate School of Business. He currently serves on the Executive Board of the MIT Enterprise Forum of Cambridge. He served as a Board Member of Vigilent, Atom Power, and Seeq.</t>
  </si>
  <si>
    <t>frank.andrasco@aramcoventures.com</t>
  </si>
  <si>
    <t>Senior Investment Director, North America</t>
  </si>
  <si>
    <t>271631-08P</t>
  </si>
  <si>
    <t>Gordon Rinaldi</t>
  </si>
  <si>
    <t>Rinaldi</t>
  </si>
  <si>
    <t>Mr. Gordon Rinaldi serves as Investment Analyst, Europe at Aramco Ventures.</t>
  </si>
  <si>
    <t>gordon.rinaldi@aramcoventures.com</t>
  </si>
  <si>
    <t>Investment Analyst, Europe</t>
  </si>
  <si>
    <t>374763-34P</t>
  </si>
  <si>
    <t>Haneen Kharashi</t>
  </si>
  <si>
    <t>Haneen</t>
  </si>
  <si>
    <t>Kharashi</t>
  </si>
  <si>
    <t>Ms. Haneen Kharashi serves as Head of Portfolio Management, KSA at Aramco Ventures.</t>
  </si>
  <si>
    <t>haneen.kharashi@aramcoventures.com</t>
  </si>
  <si>
    <t>Head of Portfolio Management</t>
  </si>
  <si>
    <t>425640-25P</t>
  </si>
  <si>
    <t>Hang Zhou</t>
  </si>
  <si>
    <t>Hang</t>
  </si>
  <si>
    <t>Mr. Hang Zhou serves as an Investment Principal at Aramco Ventures.</t>
  </si>
  <si>
    <t>hanson.zhou@aramcoventures.com</t>
  </si>
  <si>
    <t>Jing An Kerry Centre Tower2</t>
  </si>
  <si>
    <t>1515 West Nanjing Road, Jingan Qu</t>
  </si>
  <si>
    <t>Investment Principal</t>
  </si>
  <si>
    <t>52885-81P</t>
  </si>
  <si>
    <t>Hans Middelthon</t>
  </si>
  <si>
    <t>Hans</t>
  </si>
  <si>
    <t>Middelthon</t>
  </si>
  <si>
    <t>Mr. Hans Middelthon serves as Managing Director, Europe at Aramco Ventures. He served as Board Member at Target Intervention. He previously served as Chief Financial officer at target Intervention. Previously, he served as a Partner at Energy Capital Management. He served as Director at 3i, Head of Fixed Income Sales Nordic at Commerzbank, and Fixed Income Sales at Williams de Broe. He holds Masters in Economics, Université de Fribourg (Switzerland) and MBA from London Business School (UK). He serves as Chief Financial Officer at Target Intervention. He served as Board Observer at Zilift.</t>
  </si>
  <si>
    <t>hans.middelthon@aramcoventures.com</t>
  </si>
  <si>
    <t>161187-13P</t>
  </si>
  <si>
    <t>Ionel Nechiti</t>
  </si>
  <si>
    <t>Ionel</t>
  </si>
  <si>
    <t>Nechiti</t>
  </si>
  <si>
    <t>Mr. Ionel Nechiti serves as Investment Director at Aramco Ventures. Mr. Ionel Nechiti served as Chief Executive Officer and Managing Director at Platform Investment. Mr. Nechiti served as Co-Chief Executive Officer &amp; Board Member at Specialty RTP. He served as President at Innovation Platform Capital. He also served as President of Platform Management. He has over 20 years of industry experience in Mergers and Acquisitions, Business Recovery, Corporate Finance, Investment Banking, Supply Chain, Auditing, IT, Human Resources, Accounting Materials and Technology. He built a strong career where he developed these skills with Ernst &amp; Young, Precision Castparts Corporation, and Newmans, a division of Cameron International, where he held the titles of Chief Financial Officer and Chief Strategic Officer. He is dealing with entrepreneurs directly and he has managed several complex M&amp;A transactions.</t>
  </si>
  <si>
    <t>lonel.nechiti@aramcoventures.com</t>
  </si>
  <si>
    <t>334677-61P</t>
  </si>
  <si>
    <t>Iris Wu</t>
  </si>
  <si>
    <t>Iris</t>
  </si>
  <si>
    <t>Ms. Iris Wu serves as Investment Associate, North America at Aramco Ventures.</t>
  </si>
  <si>
    <t>iris.wu@aramcoventures.com</t>
  </si>
  <si>
    <t>Greentown Labs</t>
  </si>
  <si>
    <t>444 Somerville Avenue</t>
  </si>
  <si>
    <t>Investment Associate, North America</t>
  </si>
  <si>
    <t>69057-46P</t>
  </si>
  <si>
    <t>Jason Aramburu</t>
  </si>
  <si>
    <t>Aramburu</t>
  </si>
  <si>
    <t>Mr. Jason Aramburu is a Co-Founder and serves as Chief Executive Officer at Applied Carbon. Mr. Jason Aramburu serves as Investment Director, North America at Aramco Ventures. He served as a Board Member at Parallel Carbon. He serves as a Board Member at NEAR Protocol. He served as an Associate at Baidu Ventures. Before joining BV, he was the founder and CEO of Edyn, a YC-backed Internet of Things Startup. Edyn sells smart sensors and irrigation controllers to the gardening and agriculture industries nationwide through The Home Depot. Before Edyn, he worked overseas in East Africa training farmers to use organic techniques. He studied Ecology and Evolutionary Biology at Princeton University. He is also a Forbes 30 under 30 in Social Entrepreneurs. He is interested in AI and blockchain technology applied to traditional industries such as agriculture, mining, and logistics.</t>
  </si>
  <si>
    <t>jason@climaterobotics.com</t>
  </si>
  <si>
    <t>Walnut</t>
  </si>
  <si>
    <t>Walnut, CA</t>
  </si>
  <si>
    <t>340 South Lemon Avenue</t>
  </si>
  <si>
    <t>Suite 2148</t>
  </si>
  <si>
    <t>91789</t>
  </si>
  <si>
    <t>Applied Carbon</t>
  </si>
  <si>
    <t>37131-49P</t>
  </si>
  <si>
    <t>Jim Sledzik</t>
  </si>
  <si>
    <t>Jim</t>
  </si>
  <si>
    <t>Sledzik</t>
  </si>
  <si>
    <t>Mr. Jim Sledzik serves as Managing Director, North America at Aramco Ventures. He serves as a Board Member at Clarke Valve, ConXtech, Novomer, and Nexa3D. He served as a Senior Advisor at Hall Venture Partners. He served as Senior Advisor at Hall Labs. He served as Senior Partner &amp; President at EV Private Equity. He has 25 years of industry experience. Before joining Energy Ventures, he was the vice president of marketing and new technology at WesternGeco in London. He also served as the vice president of global multi-client services for WesternGeco. Whilst with Schlumberger, he was a global account director for Devon Energy and took part in the 2004 Schlumberger corporate strategy initiative. He served as a Board Member at Maana. He earned a master's degree in business administration from the University of Pittsburgh and a bachelor's degree in geosciences from Pennsylvania State University.</t>
  </si>
  <si>
    <t>jim.sledzik@aramcoventures.com</t>
  </si>
  <si>
    <t>Managing Director, North America</t>
  </si>
  <si>
    <t>216111-97P</t>
  </si>
  <si>
    <t>Kaivan Forouzesh</t>
  </si>
  <si>
    <t>Kaivan</t>
  </si>
  <si>
    <t>Forouzesh</t>
  </si>
  <si>
    <t>Mr. Kaivan Forouzesh serves as Investment Manager, North America at Aramco Ventures. He served as Associate at EV Private Equity. He has a BBA from Southern Methodist University.</t>
  </si>
  <si>
    <t>kaivan.forouzesh@aramcoventures.com</t>
  </si>
  <si>
    <t>Investment Manager, North America</t>
  </si>
  <si>
    <t>271629-28P</t>
  </si>
  <si>
    <t>Kasem Kharbat</t>
  </si>
  <si>
    <t>Kasem</t>
  </si>
  <si>
    <t>Kharbat</t>
  </si>
  <si>
    <t>Mr. Kasem Kharbat serves as Business Development Head at Aramco Ventures.</t>
  </si>
  <si>
    <t>qasem.kharbat@aramcoventures.com</t>
  </si>
  <si>
    <t>Business Development Head</t>
  </si>
  <si>
    <t>334678-24P</t>
  </si>
  <si>
    <t>Kipras Daujotas</t>
  </si>
  <si>
    <t>Kipras</t>
  </si>
  <si>
    <t>Daujotas</t>
  </si>
  <si>
    <t>Mr. Kipras Daujotas serves as Investment Associate at Aramco Ventures. H serves as Board Member at Spiritus. He served as Investment Analyst, North America at Aramco Ventures.</t>
  </si>
  <si>
    <t>kipras.daujotas@aramcoventures.com</t>
  </si>
  <si>
    <t>425632-51P</t>
  </si>
  <si>
    <t>Krystal Somaza</t>
  </si>
  <si>
    <t>Krystal</t>
  </si>
  <si>
    <t>Somaza</t>
  </si>
  <si>
    <t>Ms. Krystal Somaza serves as an Investment Associate at Aramco Ventures.</t>
  </si>
  <si>
    <t>krystal.somaza@aramcoventures.com</t>
  </si>
  <si>
    <t>352908-91P</t>
  </si>
  <si>
    <t>Lisa Schneider</t>
  </si>
  <si>
    <t>Schneider</t>
  </si>
  <si>
    <t>Ms. Lisa Schneider serves as Investment Associate, Europe at Aramco Ventures. She serves as Board Member at Promethean Particles.</t>
  </si>
  <si>
    <t>lisa.schneider@aramcoventures.com</t>
  </si>
  <si>
    <t>Investment Associate, Europe</t>
  </si>
  <si>
    <t>189201-88P</t>
  </si>
  <si>
    <t>Louis Albanese</t>
  </si>
  <si>
    <t>Louis</t>
  </si>
  <si>
    <t>Albanese</t>
  </si>
  <si>
    <t>Mr. Louis Albanese serves as Investment Director at Aramco Ventures.</t>
  </si>
  <si>
    <t>+44 (0)20 7413 3448</t>
  </si>
  <si>
    <t>louis.albanese@aramcoventures.com</t>
  </si>
  <si>
    <t>425628-10P</t>
  </si>
  <si>
    <t>Lovely Sharma</t>
  </si>
  <si>
    <t>Lovely</t>
  </si>
  <si>
    <t>Sharma</t>
  </si>
  <si>
    <t>Ms. Lovely Sharma serves as an Investment Associate at Aramco Ventures.</t>
  </si>
  <si>
    <t>lovely.sharma@aramcoventures.com</t>
  </si>
  <si>
    <t>239469-04P</t>
  </si>
  <si>
    <t>Mahdi Aladel</t>
  </si>
  <si>
    <t>Mahdi</t>
  </si>
  <si>
    <t>Aladel</t>
  </si>
  <si>
    <t>Mr. Mahdi Aladel serves as Chief Executive Officer at Aramco Ventures.</t>
  </si>
  <si>
    <t>mahdi.aladel@aramcoventures.com</t>
  </si>
  <si>
    <t>200876-86P</t>
  </si>
  <si>
    <t>Michael Hill</t>
  </si>
  <si>
    <t>Mr. Michael Hill serves as Senior Investment Director, Europe at Aramco Ventures. Mr. Hill serves as Board Member at Well-SENSE. He served as Board Member at Corrosion RADAR. He serves as Board Member at CorrosionRADAR. Mr. Hill served as Board Member at AnTech, Paradigm Drilling Services and Daphne Technology. Previously, Mr. Hill served as a Partner at Energy Capital Management. He was a former Senior Partner at HitecVision (Oil &amp; Gas private equity investor), Director in the Oil, Gas &amp; Power Team of the investment company 3i. He holds BSc in Accountancy &amp; Computer Science from the University of Dundee (UK) and member of the Institute of Chartered Accountants of Scotland (UK).</t>
  </si>
  <si>
    <t>+44 (0)77 0107 5385</t>
  </si>
  <si>
    <t>michael.hill@aramcoventures.com</t>
  </si>
  <si>
    <t>Aberdeen</t>
  </si>
  <si>
    <t>Aberdeen, United Kingdom</t>
  </si>
  <si>
    <t>Abercrombie Court, Unit 21 Ground Floor</t>
  </si>
  <si>
    <t>Arnhall Business Park, Westhill, Aberdeenshire</t>
  </si>
  <si>
    <t>Scotland</t>
  </si>
  <si>
    <t>AB32 6FE</t>
  </si>
  <si>
    <t>422343-19P</t>
  </si>
  <si>
    <t>Rami Shammary</t>
  </si>
  <si>
    <t>Rami</t>
  </si>
  <si>
    <t>Shammary</t>
  </si>
  <si>
    <t>Mr. Rami Shammary serves as Head of Technology Portfolio Management at Aramco Ventures.</t>
  </si>
  <si>
    <t>rami.shammary@aramcoventures.com</t>
  </si>
  <si>
    <t>Head of Technology Portfolio Management</t>
  </si>
  <si>
    <t>43288-21P</t>
  </si>
  <si>
    <t>Richard Riggs Ph.D</t>
  </si>
  <si>
    <t>Riggs</t>
  </si>
  <si>
    <t>Dr. Richard Riggs serves as Investment Director, Europe at Aramco Ventures. He serves as a Supervisory Board Member at Airborne Oil and Gas. He served as Board Member at Typhon Treatment Systems. He serves as Board Member at HT Materials Science. Previously, he served as a Board member at Oxymem and Daphne Technology. He served as Investment Manager at BASF Venture Capital. Mr. Riggs joined BASF Venture Capital as an Investment Manager in March 2012. Upon joining BASF SE in 2006 he worked in central research, leading scientific projects in the areas of Crop Protection and Performance Chemicals. Prior to this, he worked at Ciba Specialty Chemicals, Grenzach in the now Care Chemicals division. He obtained the Master of Chemistry and Doctorate degrees at the University of St. Andrews, Scotland.</t>
  </si>
  <si>
    <t>richard.riggs@aramcoventures.com</t>
  </si>
  <si>
    <t>425639-17P</t>
  </si>
  <si>
    <t>Rongtao Sun</t>
  </si>
  <si>
    <t>Rongtao</t>
  </si>
  <si>
    <t>Sun</t>
  </si>
  <si>
    <t>Mr. Rongtao Sun serves as Head of China Strategic Investment at Aramco Ventures.</t>
  </si>
  <si>
    <t>rongtao.sun@aramcoventures.com</t>
  </si>
  <si>
    <t>Head of China Strategic Investment</t>
  </si>
  <si>
    <t>200875-42P</t>
  </si>
  <si>
    <t>Salman Juma</t>
  </si>
  <si>
    <t>Salman</t>
  </si>
  <si>
    <t>Juma</t>
  </si>
  <si>
    <t>Mr. Salman Juma serves as Chief Financial Officer at Aramco Ventures.</t>
  </si>
  <si>
    <t>+966 (0)13 880 1299</t>
  </si>
  <si>
    <t>salman.juma@aramcoventures.com</t>
  </si>
  <si>
    <t>199769-95P</t>
  </si>
  <si>
    <t>Sohail Malik</t>
  </si>
  <si>
    <t>Sohail</t>
  </si>
  <si>
    <t>Malik</t>
  </si>
  <si>
    <t>Mr. Sohail Malik serves as Portfolio Manager, SV at Aramco Ventures. He worked for 11 years in a boutique investment firm, Venture Capital Bank, as an Executive Director where he headed the post-acquisition management function and also managed private equity, venture capital, and real estate transactions in the UK, USA, and MENA regions. Earlier, He served 9 years at Ernst &amp; Young in the UK and the Middle East, overseeing due diligence and financial advisory assignments. He is a fully qualified accountant from the UK and holds a degree in Accounting and Finance from the University of Wales, UK.</t>
  </si>
  <si>
    <t>sohail.malik@aramcoventures.com</t>
  </si>
  <si>
    <t>Portfolio Manager, SV</t>
  </si>
  <si>
    <t>334673-29P</t>
  </si>
  <si>
    <t>Suha Shehri</t>
  </si>
  <si>
    <t>Suha</t>
  </si>
  <si>
    <t>Shehri</t>
  </si>
  <si>
    <t>Ms. Suha Shehri serves as Human Resource Consultant at Aramco Ventures.</t>
  </si>
  <si>
    <t>suha.shehri@aramcoventures.com</t>
  </si>
  <si>
    <t>Human Resource Consultant</t>
  </si>
  <si>
    <t>422344-36P</t>
  </si>
  <si>
    <t>Sultan Mirza</t>
  </si>
  <si>
    <t>Sultan</t>
  </si>
  <si>
    <t>Mirza</t>
  </si>
  <si>
    <t>Treasurer</t>
  </si>
  <si>
    <t>Mr. Sultan Mirza serves as Treasurer at Aramco Ventures.</t>
  </si>
  <si>
    <t>sultan.mirza@aramcoventures.com</t>
  </si>
  <si>
    <t>405247-87P</t>
  </si>
  <si>
    <t>Summer Hua</t>
  </si>
  <si>
    <t>Summer</t>
  </si>
  <si>
    <t>Hua</t>
  </si>
  <si>
    <t>Ms. Summer Hua serves as an Investment Analyst at Aramco Ventures.</t>
  </si>
  <si>
    <t>summer.hua@aramcoventures.com</t>
  </si>
  <si>
    <t>361689-94P</t>
  </si>
  <si>
    <t>Syed Hussain</t>
  </si>
  <si>
    <t>Syed</t>
  </si>
  <si>
    <t>Mr. Syed Hussain serves as Head of Venture Capital Investment, SV at Aramco Ventures.</t>
  </si>
  <si>
    <t>syed.hussain@aramcoventures.com</t>
  </si>
  <si>
    <t>Head of Venture Capital Investment, SV</t>
  </si>
  <si>
    <t>32125-42P</t>
  </si>
  <si>
    <t>Tibor Toth</t>
  </si>
  <si>
    <t>Tibor</t>
  </si>
  <si>
    <t>Toth</t>
  </si>
  <si>
    <t>Mr. Tibor Toth serves as Investment Director, North America at Aramco Ventures. He served as a Board Member at 7AC Tech, Parallel Carbon, Amogy, and WeSpire.He is an Angel Investor. He served as Managing Director at Massachusetts Clean Energy Center. He served as a Board Observer at PanelClaw. He served as a Board Member at EnergySage. He served as a Board Member at DemandQ. He is also an Advisory Board member for Harken Capital Advisers (a fund placement agent), a Board member for ACG Boston, and an advisor to Peak Ridge Capital. He served as the Board Member at CoolChip Technologies. He was previously a Managing Director in Babson Capital Management's Mezzanine &amp; Private Equity Group. Prior to joining Babson in 2006, he was a Principal at Ascent Venture Partners and previously held positions at Lee Capital Holdings as a Vice President, at Berkshire Partners as an Associate, and at Drexel Burnham Lambert as a corporate finance analyst. He holds an S.B. in Management Science from MIT, an M.B.A. from the Kellogg School of Management at Northwestern University, and a M.E.M. in Manufacturing Engineering from the McCormick School of Engineering at Northwestern University.</t>
  </si>
  <si>
    <t>+1 (617) 315-9345</t>
  </si>
  <si>
    <t>tibor.toth@aramcoventures.com</t>
  </si>
  <si>
    <t>Investment Director, North America</t>
  </si>
  <si>
    <t>405251-74P</t>
  </si>
  <si>
    <t>Waleed Snobar</t>
  </si>
  <si>
    <t>Waleed</t>
  </si>
  <si>
    <t>Snobar</t>
  </si>
  <si>
    <t>Senior Investment Manager</t>
  </si>
  <si>
    <t>Mr. Waleed Snobar serves as Senior Investment Manager at Aramco Ventures.</t>
  </si>
  <si>
    <t>waleed.snobar@aramcoventures.com</t>
  </si>
  <si>
    <t>415368-19P</t>
  </si>
  <si>
    <t>Xuan Dou</t>
  </si>
  <si>
    <t>Xuan</t>
  </si>
  <si>
    <t>Dou</t>
  </si>
  <si>
    <t>Mr. Xuan Dou serves as an Investment Principal at Aramco Ventures. He serves as an Executive at Primavera Venture Partners. He mainly focuses on investments in new energy and advanced manufacturing. He has participated in investments such as Hytzer Energy. He holds a Bachelor of Mechanical Engineering from the University of Science and Technology of China, a Master's degree in Chemical Engineering from the University of Florida, and a Doctoral degree in Materials Science and Engineering from Northwestern University in Illinois, USA.</t>
  </si>
  <si>
    <t>xuan.dou@aramcoventures.com</t>
  </si>
  <si>
    <t>R07-08,13th Floor, Tower2, CCP</t>
  </si>
  <si>
    <t>Number 79 Jianguo Venue, Chaoyang District</t>
  </si>
  <si>
    <t>422343-82P</t>
  </si>
  <si>
    <t>Zubair Baloch</t>
  </si>
  <si>
    <t>Zubair</t>
  </si>
  <si>
    <t>Baloch</t>
  </si>
  <si>
    <t>Controller</t>
  </si>
  <si>
    <t>Mr. Zubair Baloch serves as Controller at Aramco Ventures.</t>
  </si>
  <si>
    <t>zubair.baloch@aramcoventures.com</t>
  </si>
  <si>
    <t>151651-72P</t>
  </si>
  <si>
    <t>Ari Nowacek Ph.D</t>
  </si>
  <si>
    <t>Ari</t>
  </si>
  <si>
    <t>Nowacek</t>
  </si>
  <si>
    <t>ARCH Venture Partners</t>
  </si>
  <si>
    <t>Dr. Ari Nowacek serves as Partner at AN Ventures. Dr. Nowacek is a Co-Founder &amp; serves as a Board Member at Walden Biosciences. He is a co-founder and a board member at HiberCell. He serves as a Board Member at Synchron and Basking Biosciences. He serves as a Partner at ARCH Venture Partners. He is also a Co-Founder and serves as Vice President of Operations &amp; Business Development and Board Member at HiberCell. He focuses on identifying and evaluating new life sciences technologies and also provides operating assistance to early-stage portfolio companies. He is a physician-scientist by training with over 20 peer-reviewed publications and more than 400 citations in the areas of neuroscience, virology, and antiretroviral therapeutic development. His research has led to 3 issued and 2 pending patents for therapeutic and R&amp;D applications. He holds a B.S. in Biology and a B.S. in Psychology from the University of Indiana-Bloomington where he graduated Magna Cum Laude and was elected to Phi Beta Kappa. He also holds an M.D. and Ph.D. from the University of Nebraska Medical Center and an M.B.A. from the University of Nebraska-Omaha. He subsequently completed a medical residency in pathology and post-doctoral research at The University of Chicago and Massachusetts General Hospital.</t>
  </si>
  <si>
    <t>+1 (650) 291-9747</t>
  </si>
  <si>
    <t>ari@an.vc</t>
  </si>
  <si>
    <t>548 Market Street</t>
  </si>
  <si>
    <t>Suite 16299</t>
  </si>
  <si>
    <t>94104-5401</t>
  </si>
  <si>
    <t>AN Ventures</t>
  </si>
  <si>
    <t>60354-82P</t>
  </si>
  <si>
    <t>Axel Bouchon Ph.D</t>
  </si>
  <si>
    <t>Axel</t>
  </si>
  <si>
    <t>Bouchon</t>
  </si>
  <si>
    <t>Dr. Axel Bouchon serves as Venture Partner at ARCH Venture Partners. He is also a Co-Founder and serves as Chief Executive Officer at Matter. He served as Senior Vice President, New Business and Product Concepts at Moderna Therapeutics. He served as Board Member at MSI. He leads new business concept activities. He has 15 years of experience and proven leadership in research and development, strategic business development, and operational business management. He joined Moderna in November from Bayer, where he served as Vice President of Global Strategy of the Bayer HealthCare Group with responsibility for Pharmaceuticals, Consumer Care Products, Medical Devices, and Animal Health. Prior to this, he was leading the operational business for Bayer HealthCare in Malaysia, Singapore, and Brunei as Managing Director and established Singapore as a leading global R&amp;D hub for Bayer with several local research collaborations. From 2007-2009, he was heading the global M&amp;A department for the newly formed Bayer Pharmaceuticals Division. He successfully managed and closed several acquisitions, licensing, and partnership deals. He studied Chemistry, Biochemistry, Medicine, and Business Administration and holds a Ph.D. from the Eberhard-Karls-University Tübingen in Immunology. In 2008, he completed the Executive MBA &amp; Leadership Program of the IMS Business School in Lausanne, Switzerland.</t>
  </si>
  <si>
    <t>axel@matter.xyz</t>
  </si>
  <si>
    <t>Boulder</t>
  </si>
  <si>
    <t>Boulder, CO</t>
  </si>
  <si>
    <t>3200 Carbon Place</t>
  </si>
  <si>
    <t>Suite 101</t>
  </si>
  <si>
    <t>80301-6135</t>
  </si>
  <si>
    <t>Co-Founder and Chief Executive Officer</t>
  </si>
  <si>
    <t>Matter (Services (B2C Non-Financial))</t>
  </si>
  <si>
    <t>29881-90P</t>
  </si>
  <si>
    <t>Brian Cuneo JD</t>
  </si>
  <si>
    <t>Cuneo</t>
  </si>
  <si>
    <t>Mr. Brian Cuneo is a Co-Founder and serves as Chief Business &amp; Legal Officer at Tenvie. Mr. Cuneo served as Partner at Latham &amp; Watkins. He serves as Senior Partner at ARCH Venture Partners.</t>
  </si>
  <si>
    <t>South San Francisco</t>
  </si>
  <si>
    <t>South San Francisco, CA</t>
  </si>
  <si>
    <t>94080</t>
  </si>
  <si>
    <t>Co-Founder &amp; Chief Business &amp; Legal Officer</t>
  </si>
  <si>
    <t>Tenvie</t>
  </si>
  <si>
    <t>198407-44P</t>
  </si>
  <si>
    <t>Carol Suh</t>
  </si>
  <si>
    <t>Carol</t>
  </si>
  <si>
    <t>Ms. Carol Suh serves as a Partner at ARCH Venture Partners. She is a Co-Founder and serves as Chief Operating Officer at Neumora. She serves as Board Member at Metrodora Institute. She serves as Board Observer at Remix Therapeutics. Besides, she also serves as Board Member at HIBio. Ms.Suh served as Principal at ARCH Venture Partners. She focuses on identifying and evaluating new life science technologies and also provides operating assistance to early-stage portfolio companies. She is a stem cell biologist by training and combines her scientific expertise with experiences on the business side of biotech. Prior to ARCH, She helped launch Magenta Therapeutics, a biotech company transforming the way bone marrow stem cell transplants are performed. Previously, she was a consultant at Trinity Partners, working with a wide range of biotech and pharma companies on corporate strategy, market research, and business development. She began her career in R&amp;D Strategy with GlaxoSmithKline's Regenerative Medicine group. For her work, she was recognized on the 2015 Forbes 30 Under 30 list in Healthcare. Ms. Suh holds an A.B. in Molecular Cellular Biology from Harvard University, where she trained under Dr. David Scadden at the Harvard Stem Cell Institute. She also holds an M.Phil from Yale University and was awarded the National Science Foundation Graduate Research Fellowship for her work in stem cell biology. She completed her M.B.A. from Stanford Graduate School of Business. She is a Co-Founder and serves as Board Member at Orbital Therapeutics. She is a Partner with ARCH Venture Partners. She is a stem cell biologist by training and combines her scientific expertise with experiences on the business side of biotech. She is a co-founder and SVP, of Strategy at Neumora Therapeutics and helped build Sana Biotechnology, Autobahn Therapeutics, and Boundless Bio. Prior to ARCH, She helped launch Magenta Therapeutics, a biotech company transforming the way bone marrow stem cell transplants are performed. Previously, she was a consultant at Trinity Partners, working with a wide range of biotech and pharma companies on corporate strategy, market research, and business development. She began her career in R&amp;D Strategy with GlaxoSmithKline's Regenerative Medicine group. For her work, she was recognized on the 2015 Forbes 30 Under 30 list in Healthcare. She holds an A.B. in Molecular Cellular Biology from Harvard University, where she trained under Dr. David Scadden at the Harvard Stem Cell Institute. She also holds an M.Phil from Yale University and was awarded the National Science Foundation Graduate Research Fellowship for her work in stem cell biology. She completed her M.B.A. from Stanford Graduate School of Business.</t>
  </si>
  <si>
    <t>+1 (415) 565-7103</t>
  </si>
  <si>
    <t>csuh@archventure.com</t>
  </si>
  <si>
    <t>1700 Owens Street</t>
  </si>
  <si>
    <t>Suite 535</t>
  </si>
  <si>
    <t>94158</t>
  </si>
  <si>
    <t>12804-22P</t>
  </si>
  <si>
    <t>Clinton Bybee</t>
  </si>
  <si>
    <t>Clinton</t>
  </si>
  <si>
    <t>Bybee</t>
  </si>
  <si>
    <t>Mr. Clinton Bybee is a Co-Founder of ARCH Venture Partners. He also serves as Board Member at Impinj. He concentrates primarily on advanced materials, electronics, semiconductors, photonics and infrastructure businesses. He has helped organize and finance numerous companies including MicroOptical Devices (acquired by EMCORE-EMKR), Sapphire Energy, Cambrios Technologies, Siluria Technologies, Innovalight (acquired by DuPont-DD), Intelligent Reasoning Systems (acquired by Photon Dynamics), Nanosys, Xtera Communications, Agrivida, Voxel8 and CoolEdge Lighting. He is a board member of Impinj, Cambrios Technologies, Semprius, Siluria Technologies, Agrivida, Voxel8 and CoolEdge Lighting. He also served as Board Member at Semprius and Xtera. He led ARCH's founding role with LabStart, an organization whose purpose is to start companies from technologies developed at Los Alamos National Laboratory. He is an organizing member of the Texas Venture Capital Association and currently serves as its first President. He also serves on the Commercialization Advisory Committee for the Chancellor of the University of Texas System, the Energy Security Review Board for Los Alamos National Laboratory and the Advisory Board of the Yellowstone Park Foundation. Previously, he worked with ARCH Development Corporation. He also managed a venture investment fund for the State of Illinois and was a production engineer with Amoco Corporation. He holds an M.B.A. from the University of Chicago and a B.S. in Engineering from Texas A&amp;M University. He served as Board Member at Cambrios Technologies. Mr. Bybee serves as Board Member at IngredientWerks</t>
  </si>
  <si>
    <t>+1 (773) 380-6600</t>
  </si>
  <si>
    <t>cbybee@archventure.com</t>
  </si>
  <si>
    <t>8755 West Higgins Road</t>
  </si>
  <si>
    <t>Suite 1025</t>
  </si>
  <si>
    <t>60631</t>
  </si>
  <si>
    <t>+1 (773) 380-6606</t>
  </si>
  <si>
    <t>189366-04P</t>
  </si>
  <si>
    <t>Corey Ritter</t>
  </si>
  <si>
    <t>Corey</t>
  </si>
  <si>
    <t>Ritter</t>
  </si>
  <si>
    <t>Mr. Corey Ritter serves as Partner at ARCH Venture Partners. He serves as Board Member at Elephas. He serves as Board Member at Quantum Circuits. He focuses on identifying and evaluating new technologies in life sciences, materials, autonomous systems, and electronics. He also provides operating assistance to early-stage portfolio companies. He was previously an active-duty officer in the U.S. Army. He has contributed business efforts to several Chicago-based startups, including ClostraBio, a food allergy/microbiome therapeutics company. He was also an associate with the University of Chicago Innovation Fund, a seed-stage fund that invests in scientific spinouts from the University of Chicago and Argonne National Lab. He serves as a Board Member at Slingshot.</t>
  </si>
  <si>
    <t>critter@archventure.com</t>
  </si>
  <si>
    <t>390829-15P</t>
  </si>
  <si>
    <t>George Scangos Ph.D</t>
  </si>
  <si>
    <t>Scangos</t>
  </si>
  <si>
    <t>Dr. George Scangos serves as Venture Partner at ARCH Venture Partners. Dr. Scangos has decades of experience building and leading biopharmaceutical companies, most recently as the founding President, CEO (2016 - 2023) and as a continuing board member of Vir Biotechnology. Prior to Vir, Dr. Scangos served as CEO and a board member of Biogen for six years. Previously, he served as President and CEO of Exelixis for 14 years. He was also former President of Bayer Biotechnology, and the former Chair of Anadys Pharmaceuticals, PhRMA, and California Healthcare Institute. He was also a member of the Board of Directors of the Global Alliance for TB Drug Development. Prior to joining the industry, he was a Professor of Biology at Johns Hopkins University. He also serves on the boards of Agilent Technologies, Inc., Voyager Therapeutics, Inc., Octave Bioscience, Rezo Therapeutics and Life Sciences Cares. Dr. Scangos received his B.A. in biology from Cornell University and a Ph.D. in microbiology from the University of Massachusetts.</t>
  </si>
  <si>
    <t>271100-89P</t>
  </si>
  <si>
    <t>Inca Dieterich Ph.D</t>
  </si>
  <si>
    <t>Inca</t>
  </si>
  <si>
    <t>Dieterich</t>
  </si>
  <si>
    <t>Dr. Inca Dieterich is a Co-Founder and serves as Vice President of Strategy &amp; Innovation at Rippl Care. She also serves as a Venture Partner at ARCH Venture Partners. She is a Co-Founder and serves as Vice President of Business Development &amp; Board Member of Vilya. She was a Venture Entrepreneurial Fellow at Flagship Pioneering. She was a biotech consultant for startups in the Madison, WI area. She completed her B.A. in Biology from Occidental College. She holds a Ph.D. in Neuroscience from the University of Wisconsin-Madison.</t>
  </si>
  <si>
    <t>+1 (206) 647-1007</t>
  </si>
  <si>
    <t>inca@ripplcare.com</t>
  </si>
  <si>
    <t>2825 Eastlake Avenue East</t>
  </si>
  <si>
    <t>Suite 230</t>
  </si>
  <si>
    <t>98012</t>
  </si>
  <si>
    <t>Co-Founder &amp; Vice President of Strategy &amp; Innovation</t>
  </si>
  <si>
    <t>Rippl Care</t>
  </si>
  <si>
    <t>35358-85P</t>
  </si>
  <si>
    <t>Jacob Bauer</t>
  </si>
  <si>
    <t>Bauer</t>
  </si>
  <si>
    <t>Mr. Jacob Bauer serves as a Board Member at Attralus. He serves as a Venture Partner at SR One. He served as Chief Business Officer at MyoKardia. He serves as a Board Member at Enliven Therapeutics. He also serves as Chairman at Simcha Therapeutics. He brings more than 15 years of biopharma industry experience. He was responsible for corporate and business development, program management, portfolio strategy, alliance management, and corporate strategy functions. From July 2014 to April 2018, he also led the finance, accounting, information technology, facilities, corporate communications, and investor relations functions as senior vice president, of finance, and corporate development. He joined MyoKardia from Ablexis, LLC, where he was vice president, of business operations, and head of corporate development. At Ablexis, he led the development and implementation of the company's corporate strategy and business development activities and oversaw business operations. Before Ablexis, He was a principal at Third Rock Ventures, where he was actively involved in a variety of leading biopharmaceutical companies including Agios, CytomX, Global Blood Therapeutics, and Zafgen. Before Third Rock Ventures, he served in roles in the investment group at Royalty Pharma, the business development group at Endo Pharmaceuticals, and was previously a management consultant at Putnam Associates. He serves as a Board Member at Attralus.</t>
  </si>
  <si>
    <t>jbauer@srone.com</t>
  </si>
  <si>
    <t>Redwood City</t>
  </si>
  <si>
    <t>Redwood City, CA</t>
  </si>
  <si>
    <t>929 Main Street</t>
  </si>
  <si>
    <t>Suite 200</t>
  </si>
  <si>
    <t>94063</t>
  </si>
  <si>
    <t>SR One Capital Management</t>
  </si>
  <si>
    <t>30341-53P</t>
  </si>
  <si>
    <t>Jason Doren JD</t>
  </si>
  <si>
    <t>Doren</t>
  </si>
  <si>
    <t>Mr. Jason Doren serves as General Counsel at ARCH Venture Partners. He also served as Chief Administrative Officer at Revolution Healthcare Acquisition Corp. Previously, he served as General Counsel at SVB Capital. He also serves as Chief Administrative Officer and General Counsel at Kleiner Perkins. Prior to joining SVB in 2006, Mr. Doren spent more than seven years with Cooley Godward Kronish. Prior to Cooley, Mr. Doren was an attorney with Bronson, Bronson &amp; McKinnon in San Francisco. Mr. Doren earned his law degree in 1994 from the University of California, Los Angeles, School of Law. He also holds a bachelor of science degree in finance, summa cum laude, from the University of Illinois at Urbana-Champaign.</t>
  </si>
  <si>
    <t>+1 (650) 855-3033</t>
  </si>
  <si>
    <t>jdoren@archventure.com</t>
  </si>
  <si>
    <t>252137-08P</t>
  </si>
  <si>
    <t>Jay Markowitz MD</t>
  </si>
  <si>
    <t>Markowitz</t>
  </si>
  <si>
    <t>Dr. Jay Markowitz serves as General Partner at Regeneron Ventures. He serves as Board Observer at Actio Biosciences. He serves as Board member at Tome Biosciences. He served as Chief Executive Officer at Revolution Healthcare Acquisition Corp. He serves as Venture Partner at ARCH Venture Partners. He previously served as Senior Vice President, Portfolio Management, of Regeneron Pharmaceuticals, Inc. (Nasdaq: REGN) from 2017 to 2020. Mr. Markowitz has 16 years of experience as a leading institutional investor and analyst in the biopharmaceutical sector. He was previously at Capital World Investors, where he was a U.S. pharmaceutical and biotechnology analyst and portfolio manager. Prior to Capital World Investors, Mr. Markowitz was a biotechnology analyst and portfolio manager at T. Rowe Price. Before transitioning to an investment career, he was an assistant professor and transplant surgeon at the Johns Hopkins University School of Medicine. Mr. Markowitz earned his M.D. from Duke University and holds a B.A. in Chemistry, summa cum laude, from Columbia University. He completed a fellowship in transplant surgery at the UCLA Medical Center, a surgical residency at Massachusetts General Hospital, and a Research Fellowship in Cellular and Molecular Immunology at the Harvard School of Public Health.</t>
  </si>
  <si>
    <t>+1 (650) 853-1038</t>
  </si>
  <si>
    <t>jmarkowitz@regeneronventures.com</t>
  </si>
  <si>
    <t>Cambridge</t>
  </si>
  <si>
    <t>Cambridge, MA</t>
  </si>
  <si>
    <t>20 University Road</t>
  </si>
  <si>
    <t>02138</t>
  </si>
  <si>
    <t>Revolution Healthcare Acquisition</t>
  </si>
  <si>
    <t>41980-60P</t>
  </si>
  <si>
    <t>Jay Parrish Ph.D</t>
  </si>
  <si>
    <t>Parrish</t>
  </si>
  <si>
    <t>Dr. Jay Parrish serves as Chief Executive Officer &amp; Chairman at Pretzel Therapeutics. Dr. Parrish is a Co-Founder and serves as Board Member at ROME Therapeutics. He serves as Venture Partner at ARCH Venture Partners. He is a Co-Founder and serves as the Chief Business Officer at Vir (Biotechnology). He is Board Member at Interline Therapeutics. He also serves as Venture Partner at ARCH Venture Partners. He He is also a Venture Partner at ARCH Venture Partners and co-founder of ROME Therapeutics. Jay most recently co-founded and served as the Chief Business Officer of Vir Biotechnology, where he helped lead the company as its first employee through its IPO and first drug approval. Jay is an accomplished scientist who began his career at Gilead Sciences, Inc. in the Medicinal Chemistry group, where his research focused on the discovery of small molecule antivirals. He was a co-inventor of ledipasvir (Harvoni®) and remdesivir (Veklury®). After nearly a decade in research, he joined Gilead's Corporate Development team, ultimately leading infectious disease business development for the company. Jay has authored over 25 peer-reviewed scientific publications and holds over 30 issued patents and applications. Jay received his B.S. in chemistry from Emory University, a Ph.D. in synthetic organic chemistry from the University of South Florida and an MBA from the University of California, Berkeley Haas School of Business.</t>
  </si>
  <si>
    <t>jparrish@pretzeltx.com</t>
  </si>
  <si>
    <t>Co-Founder &amp; Chief Business Officer</t>
  </si>
  <si>
    <t>Vir (Former)</t>
  </si>
  <si>
    <t>38893-60P</t>
  </si>
  <si>
    <t>John Maraganore Ph.D</t>
  </si>
  <si>
    <t>Maraganore</t>
  </si>
  <si>
    <t>Dr. John Maraganore is the Founder &amp; serves as Chairman at Orbital Therapeutics. He serves as Board Member at Merida Biosciences. He serves as Board Member at GEMMABio. He serves as Chairman at Aera Therapeutics. He serves as a Senior Advisor at Jefferies Financial Group. He served as the Chief Executive Officer at Alnylam Pharmaceuticals. He is an Angel Investor. He serves as a Strategic Advisor &amp; Board Observer at Lipidio Pharmaceuticals. He serves as Chair of the Board at Aitia. He also serves as the Chairman of the Board at Bio. He also serves as Board Member of Aera Therapeutics. From December 2002 to December 2007, he served as President of Alnylam. From April 2000 to December 2002, he served as Senior Vice President of strategic Product Development with Millennium Pharmaceuticals, Inc. (now a subsidiary of Takeda) where he was responsible for the company's product franchises in Oncology and Cardiovascular, Inflammatory, and Metabolic Diseases. He was previously Vice President, Strategic Planning and M&amp;A and before that he was General Manager of Millennium Bio Therapeutics, Inc. a former subsidiary of Millennium. Before Millennium, he served as director of molecular biology and director of market and business development at Biogen, Inc. (now Biogen Idec, Inc.). At Biogen, he invented and led the discovery and development of Angiomax(TradeMark) (bivalirudin for injection, formerly Hirulog(TradeMark)) currently marketed by The Medicines Company. Before Biogen, he was a scientist at ZymoGenetics, Inc., and The Upjohn Company. He is also a director for Agios Pharmaceuticals (NASDAQ: AGIO) and was previously a director of Regulus Therapeutics, Inc. (NASDAQ: RGLS) through May 2014. He is a member of the Biotechnology Industry Organization (BIO) Board and the BIO Executive Committee. He holds a B.A. in biological sciences from the University of Chicago and an M.S. and a Ph.D. in biochemistry and molecular biology from the University of Chicago. He serves as a Strategic Advisor at Brii Biosciences.</t>
  </si>
  <si>
    <t>jmaraganore@orbitaltx.com</t>
  </si>
  <si>
    <t>100 Binney Street</t>
  </si>
  <si>
    <t>Orbital Therapeutics</t>
  </si>
  <si>
    <t>38769-13P</t>
  </si>
  <si>
    <t>Jonathan Lim MD</t>
  </si>
  <si>
    <t>Dr. Jonathan Lim is the Founder and serves as Managing Partner at City Hill Ventures. He is a Co-Founder and serves as Chief Executive Officer &amp; Chairman at Erasca. He also serves as Venture Partner at ARCH Venture Partners. He co-founded and was the Chairman of Bonti. He co-founded and served as Chief Executive Officer and Chairman at Ignyta. He served as an Executive at Medenovo. He established City Hill Ventures, LLC in December 2010. He is a physician-turned-entrepreneur who, since 2003, has been a leader and founding investor of four other biotechnology startups that delivered novel therapies for the benefit of patients globally, raised a combined $1 billion in capital, and generated more than $4 billion of shareholder value. Previously, he has worked with Eclipse Therapeutics and Halozyme Therapeutics. He is dedicated to building world-class, mission-driven ventures as Managing Partner for City Hill Ventures, an impact-minded investment firm he founded in December 2010, and as Venture Partner at ARCH Venture Partners, which he joined in December 2018. In these capacities, he serves as Chairman and Co-founder of Pretzel Therapeutics and Chairman of Optera Therapeutics. He is also Co-President of the City Hill Foundation and an advisor to nonprofit organizations, including Stanford University, University of California, San Diego, The Scripps Research Institute, and UrbanLife. Earlier in his career, he was a management consultant at McKinsey &amp; Company, an NIH Postdoctoral Fellow at Harvard Medical School and Dana-Farber Cancer Institute, and a general surgery resident at New York Hospital-Cornell and Memorial Sloan Kettering Cancer Center. He holds B.S. and M.S. degrees from Stanford University, an M.D. from McGill University, and an M.P.H. from Harvard University.</t>
  </si>
  <si>
    <t>+1 (858) 369-5737</t>
  </si>
  <si>
    <t>San Diego</t>
  </si>
  <si>
    <t>San Diego, CA</t>
  </si>
  <si>
    <t>4653 Carmel Mountain Road</t>
  </si>
  <si>
    <t>Suite 308-501</t>
  </si>
  <si>
    <t>92130</t>
  </si>
  <si>
    <t>+1 (858) 369-5735</t>
  </si>
  <si>
    <t>City Hill Ventures</t>
  </si>
  <si>
    <t>41965-57P</t>
  </si>
  <si>
    <t>Joseph Jeong Ph.D</t>
  </si>
  <si>
    <t>Jeong</t>
  </si>
  <si>
    <t>Dr. Joseph Jeong serves as Venture Partner at ARCH Venture Partners. He co-founded and served as Partner at Biopath Ventures. He serves as Venture Partner at Black Opal Ventures. He served as Board Observer at Fortix and Innolume. He served as Investment Director at Applied Ventures. He joined Applied Ventures in 2011. His current technology focus is on display and biotech investments, and he also has a regional focus on investments in Asia, primarily Korea. Prior to joining Applied Ventures, he interned with ARCH Venture Partners, a VC firm focused on life and physical sciences. Prior to ARCH Venture Partners, he was a cleantech engineer and project manager at Samsung SDI, doing research and development on lithium-ion batteries and fuel cell systems. He earned his bachelor of science, master of science, and Ph.D. degrees from the Georgia Institute of Technology, majoring in aerospace engineering with a research focus on structural dynamics and acoustics. He also earned his MBA from the University of Chicago Booth School of Business.</t>
  </si>
  <si>
    <t>+1 (408) 748-5973</t>
  </si>
  <si>
    <t>jjeong@archventure.com</t>
  </si>
  <si>
    <t>166144-06P</t>
  </si>
  <si>
    <t>Kaye Foster</t>
  </si>
  <si>
    <t>Kaye</t>
  </si>
  <si>
    <t>Ms. Kaye Foster serves as Venture Partner at ARCH Venture Partners. Ms. Foster serves as Board Member at Resilience (Biotechnology). She serves as Board Member at Prime Medicine. She also served as Board Member at GRAIL. She is also a Senior Advisor with Boston Consulting Group (BCG) and sits on the Board of Directors of Agios as well as the Board of Trustees of Spelman College, Stanford Healthcare, and ValleyCare Health System. She previously served as Senior Vice President, Global Human Resources for Onyx Pharmaceuticals, Vice President of Global Human Resources for Johnson &amp; Johnson leading a worldwide team of over 3,000 Human Resources professionals, and as a Human Resources leader at Pfizer across Japan, Asia, Africa, Middle East, and Latin America. He holds a bachelor's degree from Baruch College and an MBA from Columbia Business School.</t>
  </si>
  <si>
    <t>+1 (617) 465-0013</t>
  </si>
  <si>
    <t>kfoster@archventure.com</t>
  </si>
  <si>
    <t>21 Erie Street</t>
  </si>
  <si>
    <t>02139</t>
  </si>
  <si>
    <t>Prime Medicine</t>
  </si>
  <si>
    <t>12803-32P</t>
  </si>
  <si>
    <t>Keith Crandell</t>
  </si>
  <si>
    <t>Crandell</t>
  </si>
  <si>
    <t>Mr. Keith Crandell is a Co-Founder of ARCH Venture Partners and serves as Managing Director. He serves as Board Member at Airna. He serves as Board Observer at Elephas. He serves as Board Member at Arbor Biotechnologies. He serves as Board Member at ONI. He served as a Board Member at Nanosys. He also served as a Board Member and Chairman of the Investment Committee at Clean Energy Trust. He serves as Board Member at Vizgen, PixelEXX Systems, Boreal Genomics, Genturi, and Ultivue. He served as a Board Member at Genturi and Adesto Technologies. He focuses on chemical and specialty materials companies, electronics and instrumentation, optics and photonics, communications, and enterprise infrastructure businesses. He has played a key role in the formation and initial funding round of Quanterix, 908 Devices, Alfalight, PixelEXX Systems, ALIS Corp. (acquired by Carl Zeiss SMT), Eichrom Industries (acquired by Gary Comer), Nanophase Technologies (NANX), and Illinois Superconductor. He was also responsible for ARCH's investment in New Era of Networks (NEON, acquired by Sybase-SY), Apropos Technology (APRS, acquired by Syntellect-ESL), Teach.com (acquired by Intellinex), CelebrateExpress (BDAY, acquired by Liberty Media-LINTA), Ahura Scientific (acquired by Thermo Fisher Scientific-TMO), Adesto Technologies, Ciespace, Permeon Biologics, Univa, Twist Bioscience, and Crystal IS (acquired by Asahi Kasei-AHKSY), among others. He is a director of Quanterix, Alfalight, Adesto Technologies, 908 Devices, Boreal Genomics, Twist Bioscience, Permeon Biologics, and Ciespace. Since 2004, he has served as Chairman of the Advisory Board of the Illinois State Treasurer Technology Development Account, a fund-of-funds focused on Illinois private equity and venture capital partnerships. He also served on the Entrepreneurship Advisory Board at the Polsky Center for Entrepreneurship, ChicagoBooth since 2005. He has been active with the Illinois Venture Capital Association since its inception, recently serving as Chairman. He also serves on the University of Texas, Arlington Development Board, and the Chicago Historical Society Board of Trustees. He previously served as a Director of the National Venture Capital Association and the Governmental Affairs Committee. Prior to the founding of ARCH, he was with the specialty chemical and polymer company, Hercules, Inc. He serves as a Board Observer at Slingshot. He serves as Board Member at Scale Biosciences.</t>
  </si>
  <si>
    <t>kc@archventure.com</t>
  </si>
  <si>
    <t>61528-69P</t>
  </si>
  <si>
    <t>Keith Lenden</t>
  </si>
  <si>
    <t>Lenden</t>
  </si>
  <si>
    <t>Mr. Keith Lenden serves as Chief Executive Officer &amp; Director at Kisbee Therapeutics. He is a Co-Founder and serves as the Senior Advisor at Autobahn. He co-founded and served as Board Member at Asteroid Therapeutics. In addition to his role at Autobahn, Mr. Lenden is a venture partner at ARCH Venture Partners. Mr.Lenden is a seasoned entrepreneur and leader in the biotechnology and pharmaceutical industries with a proven track record in company formation, executive and project leadership, corporate development, and product and market strategy. Mr. Lenden was a co-founder of Receptos, Inc., multiple sclerosis biology and GPCR drug discovery companies acquired by Celgene (now BMS), Abide Therapeutics, Inc., cannabinoid biology and serine hydrolase drug discovery companies acquired by H. Lundbeck A/S, and Boundless Bio, Inc., an ecDNA cancer biology and drug discovery company. Mr. Lenden has served in a wide range of executive and product leadership roles for both public and private biopharmaceutical companies over the years, including Esperion Therapeutics, Inc., Maxygen, Inc., Acologix, Inc., and Genteric, Inc. Mr. Lenden started his career in biotechnology as a consultant at LEK Consulting. Mr. Lenden holds an MBA from the Haas School of Business at the University of California, Berkeley where he was selected as a Price Institute for Entrepreneurial Studies Venture Capital Fellow. Mr. Lenden also holds an A.B. and B.E. from the Thayer School of Engineering at Dartmouth College. Mr. Lenden is a Kauffman Fellow where he received the Jeff Timmons Leadership Award.</t>
  </si>
  <si>
    <t>+1 (617) 531-9771</t>
  </si>
  <si>
    <t>keith.lenden@kisbeetx.com</t>
  </si>
  <si>
    <t>Watertown</t>
  </si>
  <si>
    <t>Watertown, MA</t>
  </si>
  <si>
    <t>300 North Beacon Street</t>
  </si>
  <si>
    <t>Suite 204</t>
  </si>
  <si>
    <t>02472</t>
  </si>
  <si>
    <t>Kisbee Therapeutics</t>
  </si>
  <si>
    <t>356556-61P</t>
  </si>
  <si>
    <t>Kent Rogers</t>
  </si>
  <si>
    <t>Kent</t>
  </si>
  <si>
    <t>Rogers</t>
  </si>
  <si>
    <t>Mr. Kent Rogers serves as Chief Executive Officer at EveryONE Medicines.He served as Venture Partner at ARCH Venture Partners. He is working to identify and build out commercialization strategies for portfolio companies for ARCH Venture Partners. He is an accomplished senior executive with more than 30 years of experience in product commercialization, supply chain logistics, pricing, market access, reimbursement and growth strategies across top-tier pharmaceutical firms and emerging biotech. Most recently, he was the CCO of EQRx, a disruptive business model in the oncology and immunology space where he led the pre-commercialization strategy for all pipeline assets as well as a middle-eastern partner. Prior to EQRx, He was the Chief Industry Relations Officer for OptumRx (United Health Group's PBM) with responsibility for $40 billion in annual rebate agreements and $16 billion in annual procurement strategies for the specialty pharmacy and infusion operation. Before joining OptumRx, he was a Principal in supply chain consulting with Blue Fin Group, led the global market access team at Acorda Therapeutics, and held various leadership roles in sales and market access at Schering-Plough and Merck. He holds a B.S. in Business Management from Indiana University and an M.B.A. from Emory University's Goizueta School of Business.</t>
  </si>
  <si>
    <t>+1 (617) 456-8212</t>
  </si>
  <si>
    <t>krogers@everyonemedicines.com</t>
  </si>
  <si>
    <t>501 Boylston Street</t>
  </si>
  <si>
    <t>02116</t>
  </si>
  <si>
    <t>EveryONE Medicines</t>
  </si>
  <si>
    <t>349020-91P</t>
  </si>
  <si>
    <t>Kevin Hrusovsky Ph.D</t>
  </si>
  <si>
    <t>Hrusovsky</t>
  </si>
  <si>
    <t>Dr. Kevin Hrusovsky serves as Venture Partner at ARCH Venture Partners. He has a 30-year career leading life sciences companies, currently serving as Chairman of 908 Devices. He previously held the roles of Executive Chairman, Chairman, President, and CEO at Quanterix (QTRX). Prior to Quanterix, he was CEO of Caliper Life Sciences (CALP - acquired by PKI), and Zymark Corp. (acquired by CALP), as well as, President of Life Sciences at PerkinElmer (PKI). He also held senior roles at FMC Corp. and DuPont. In addition, he created Powering Precision Health Foundation, an international non-profit promoting a new era of medicine using biomarker innovation to achieve precision medicine. He is regarded as a pioneering entrepreneur, accelerating adoption and value creation for many game-changing non-invasive early detection technologies for oncology, neuro-degeneration, and cardiology, which are transforming drug development and disease prevention. He is the recipient of several distinguished awards including the 2019 EY Entrepreneur of the Year, the 2017 BBJ Innovation All-Star award for transforming the practices of medicine and health, the 2018 Lifetime Achievement Award for Leadership, and the E.G. Bailey Entrepreneurship Award (2013), both from The Ohio State University. He holds an M.B.A. from Ohio University and a B.X. in Mechanical Engineering from The Ohio State University and received an Honorary Doctorate from Framingham State University for contributions to life sciences.</t>
  </si>
  <si>
    <t>khrusovsky@archventure.com</t>
  </si>
  <si>
    <t>12803-23P</t>
  </si>
  <si>
    <t>Kristina Burow</t>
  </si>
  <si>
    <t>Burow</t>
  </si>
  <si>
    <t>Ms. Kristina Burow serves as Managing Director at ARCH Venture Partners. Ms. Burow serves as Board Member at Mirador Therapeutics and Metsera. She serves as Board Member at Treeline Biosciences. She serves as Board Member at Kisbee Therapeutics. She also served as Board Member at Resonance Medicine. She serves as Board Member at Magnet Biomedicine. She Co-Founded and served as Director at Neumora. She serves as Board Member at Pretzel Therapeutics. She served as Board Member at Lycera. She serves as Board Member at Beam Therapeutics, Gossamer Bio, Metacrine, Scholar Rock, Autobahn, Boragen, Boundless Bio, ROME Therapeutics, and Vividion Therapeutics. She also serves as a Board Observer at Remix Therapeutics and Board Member and Member of the Compensation Committee and Nominating and Corporate Governance Committee at Unity Biotechnology. She serves as the Board Member of the National Venture Capital Association. She served as Board Member at Trelys, Epirium Bio, and AgBiome. She co-founded and served as Director of Sapphire Energy and Board Member at Vir (Biotechnology), AgTech Accelerator, Kilimanjaro Energy, and Receptos. She holds a BS in Chemistry from the University of California, Berkeley, an MA in Chemistry from Columbia University, and an MBA from the University of Chicago. She also served as Board Member at Blackthorn Therapeutics. She is a Co-Founder and serves as Board Member at Orbital Therapeutics. She is a Director of Beam Therapeutics (BEAM), Gossamer Bio (GOSS), Scholar Rock (SRRK), Boundless Bio, Autobahn Therapeutics, ROME Therapeutics, Neumora Therapeutics, Pretzel Therapeutics, and Treeline Biosciences, among others. She previously was a co-founder and Director of Receptos (RCPT - acquired by Celgene) and was a Director of Vir Biotechnology (VIR), Vividion Therapeutics (acquired by Bayer AG), and Epirium Bio among others. She has participated in and led investments in a number of other ARCH portfolio companies including Interline Therapeutics, Erasca (ERAS), Dewpoint Therapeutics, Aledade, Kura Oncology (KURA), Kythera Biopharmaceuticals (KYTH - acquired by Allergan), and Ikaria (acquired by Mallinckrodt). Prior to joining ARCH, she was an Associate with the Novartis BioVenture Fund in San Diego. As an early employee at the Genomics Institute of the Novartis Research Foundation (GNF), she directed Chemistry Operations and was active in Business Development where she helped create numerous companies as spinouts from GNF. She holds an M.B.A. from the University of Chicago, an M.A. in Chemistry from Columbia University, and a B.S. in Chemistry from the University of California, Berkeley. She served as Board Observer at Remix Therapeutics. She served as Director at Sienna Biopharmaceuticals.</t>
  </si>
  <si>
    <t>kburow@archventure.com</t>
  </si>
  <si>
    <t>279112-33P</t>
  </si>
  <si>
    <t>Luciana Borio MD</t>
  </si>
  <si>
    <t>Luciana</t>
  </si>
  <si>
    <t>Borio</t>
  </si>
  <si>
    <t>Dr. Luciana Borio serves as Board Member at Insulet. Dr. Borio serves as Board Member at Paradigm (Healthcare Technology Systems). She serves as a Senior Advisor at Global Health Investment Corporation. She is a venture partner at ARCH Venture Partners where she advises on new investment opportunities related to biologics manufacturing, clinical trials, novel therapies, and areas with large unmet clinical needs. She also serves on the Board of Directors of Eagle Pharmaceuticals, Inc. From 2019 to 2020, she was Senior Vice President at In-Q-Tel, an independent, non-profit, strategic investment firm. From 2017 to 2019, she was Director of Medical and Biodefense Preparedness Policy at the National Security Council. While at the FDA from 2009 to 2017, He held roles of increasing responsibility, including Acting Chief Scientist and Assistant Commissioner for Counterterrorism Policy. She helped develop and execute the FDA's medical countermeasures and public health responses to the 2009 H1N1 flu pandemic, the 2014 Ebola epidemic, and the 2015 Zika outbreak. She also served on the World Health Organization's Emergency Preparedness and Response Scientific Advisory Group. Most recently, He served as a member of the President's Transition COVID-19 Advisory Board. He is a practicing physician at Johns Hopkins Hospital and a senior fellow for Global Health at the Council on Foreign Relations. She earned a Doctor of Medicine from George Washington University School of Medicine and a Bachelor of Science in Zoology from George Washington University.</t>
  </si>
  <si>
    <t>+1 (978) 600-7000</t>
  </si>
  <si>
    <t>Acton</t>
  </si>
  <si>
    <t>Acton, MA</t>
  </si>
  <si>
    <t>100 Nagog Park</t>
  </si>
  <si>
    <t>01720</t>
  </si>
  <si>
    <t>+1 (978) 600-0120</t>
  </si>
  <si>
    <t>Insulet</t>
  </si>
  <si>
    <t>12803-77P</t>
  </si>
  <si>
    <t>Mark McDonnell</t>
  </si>
  <si>
    <t>McDonnell</t>
  </si>
  <si>
    <t>Chief Administrative Officer &amp; Chief Financial Officer</t>
  </si>
  <si>
    <t>Mr. Mark McDonnell serves as Managing Director, Chief Financial Officer &amp; Chief Administrative Officer at ARCH Venture Partners. Mr. McDonnell served as Chief Financial Officer at Revolution Healthcare Acquisition. He also serves as an Advisor at Energy Foundry. He served as a Board Member at Univa. He joined the company in 1999. He is responsible for developing and managing strategies and strategic relationships for ARCH and directs the financing and organizational infrastructure of ARCH's portfolio. He also is responsible for financial reporting and analysis of ARCH's venture funds, and administrative oversight of ARCH operations in five locations in the U.S. and Ireland. Previously, He held the position of CFO at Marquette Venture Partners. He also held previous roles in financial management with Enterprise Systems, a healthcare software developer acquired by HBO &amp; Co., and with KPMG, serving clients primarily in the information and communication industries. He is a C.P.A. and holds a B.S. from Marquette University.</t>
  </si>
  <si>
    <t>mmcdonnell@archventure.com</t>
  </si>
  <si>
    <t>Managing Director, Chief Financial Officer &amp; Chief Administrative Officer</t>
  </si>
  <si>
    <t>259341-94P</t>
  </si>
  <si>
    <t>Mayu Yoshikawa Ph.D</t>
  </si>
  <si>
    <t>Mayu</t>
  </si>
  <si>
    <t>Yoshikawa</t>
  </si>
  <si>
    <t>Dr. Mayu Yoshikawa serves as a Board Member at Myoridge. She also serves as Venture Partner at ARCH Venture Partners. She served as Executive Officer and Venture Capitalist at Beyond Next Ventures. She served as a Board Member at MabGenesis. She also served as a Board Member at Mirtel. She serves as a Board Observer at Biomoneta. Dr. Yoshikawa holds a Ph.D. in Life Sciences from the University of Tokyo's Graduate School of Frontier Sciences.</t>
  </si>
  <si>
    <t>+81 (0)75 585 4560</t>
  </si>
  <si>
    <t>Kyoto</t>
  </si>
  <si>
    <t>Kyoto, Japan</t>
  </si>
  <si>
    <t>Main Building Kyoto Institute of Technology</t>
  </si>
  <si>
    <t>Room B5, 14 Yoshida Kawaramachi, Sakyo-ku</t>
  </si>
  <si>
    <t>606-8305</t>
  </si>
  <si>
    <t>+81 (0)75 746 2013</t>
  </si>
  <si>
    <t>Myoridge</t>
  </si>
  <si>
    <t>189367-30P</t>
  </si>
  <si>
    <t>Nilay Thakar Ph.D</t>
  </si>
  <si>
    <t>Nilay</t>
  </si>
  <si>
    <t>Thakar</t>
  </si>
  <si>
    <t>Dr. Nilay Thakar serves as Principal at ARCH Venture Partners. He served as Board Member at AgBiome. He is a Co-Founder and serves as Board Member, and Head of Business Development at Skylark Bio. He focuses on identifying and evaluating new life sciences technologies and provides operating assistance to early-stage portfolio companies. He has authored 7 peer-reviewed publications with greater than 150 citations in the areas of neuroscience, stem cell biology, intracellular signaling, and epigenetics. Previously, he led the turnaround of an Australian biotech start-up Stem Cells Limited, served as a Think Tank Advisor at the Australian Academy of Sciences, and worked as an Analyst at Dendright Pty Ltd, a biotech start-up developing a Rheumatoid Arthritis therapeutic. He also conceived an app to help blind Australians use public transport and was selected as a Finalist for Queensland Government Open Data Award. He holds a B.S. in Biochemistry (High-Distinction honors), a Ph.D. in Cell Biology from the University of Queensland in Australia, and an M.B.A. from the University of Chicago Booth School of Business.</t>
  </si>
  <si>
    <t>nthakar@archventure.com</t>
  </si>
  <si>
    <t>305062-84P</t>
  </si>
  <si>
    <t>Olivia Zetter</t>
  </si>
  <si>
    <t>Olivia</t>
  </si>
  <si>
    <t>Zetter</t>
  </si>
  <si>
    <t>Advisor &amp; Venture Partner</t>
  </si>
  <si>
    <t>Ms. Olivia Zetter is a Co-Founder at Vilya. Ms. Zetter serves as Strategic Advisor &amp; Venture Partner at ARCH Venture Partners. She also serves as Venture Partner at Risk &amp; Return. She serves as Board Member at Paratus Sciences. She previously held multiple positions in government, including Director for Research and Analysis at the National Security Commission on Artificial Intelligence and Foreign Affairs Officer at the Department of State's Office of the Coordinator for Cyber Issues. She also served as the Special Advisor on Trans-Regional Issues to the Special Presidential Envoy for the Global Coalition to Counter ISIS and at the Department of Defense as a Special Assistant to the Chairman of the Joint Chiefs of Staff as part of the Chairman's Action Group. Earlier in her career, she managed conflict stabilization programs overseas with a U.S. government implementing partner. Ms. Zetter entered government as a Presidential Management Fellow and is the recipient of the Department of State's Superior Honor Award. She is a Truman National Security Project Fellow. She holds a B.A. in International Relations from American University, magna cum laude, phi beta kappa, and an M.P.P. from Harvard University's Kennedy School of Government, where she was a Belfer IGA Student Fellow.</t>
  </si>
  <si>
    <t>o.zetter@vilyatx.com</t>
  </si>
  <si>
    <t>1616 Eastlake Avenue East</t>
  </si>
  <si>
    <t>Suite 208</t>
  </si>
  <si>
    <t>98102-3793</t>
  </si>
  <si>
    <t>Vilya</t>
  </si>
  <si>
    <t>102679-21P</t>
  </si>
  <si>
    <t>Patrick Weiss</t>
  </si>
  <si>
    <t>Mr. Patrick Weiss serves as Venture Partner at ARCH Venture Partners. He serves as Board Member at Slingshot. Previously, he served as Strategic Advisor and Chief Operating Officer at Twist Bioscience. Aged 49, previously served as the Company's Senior Vice President of Research and Development, General Manager of Data Storage from October 2018 to January 2020, and the Company's Vice President of Operations from January 2014 to September 2018. Prior to joining the Company, he served as an outside consultant to various technology companies between April 2010 and December 2013. He also served as Chief Executive Officer of Operon Biotechnologies, Inc. from June 2004 to March 2010. He serves as Chairman at Scale Biosciences. He holds an M.Sc. ETH from the Swiss Federal Institute of Technology in Organic Chemistry and Economics and isthe inventor of several patents and publications in the field of nucleic acid synthesis and related fields. He serves as a Chairman at Moleculent.</t>
  </si>
  <si>
    <t>Twist Bioscience (Former)</t>
  </si>
  <si>
    <t>16466-50P</t>
  </si>
  <si>
    <t>Paul Berns</t>
  </si>
  <si>
    <t>Berns</t>
  </si>
  <si>
    <t>Mr. Paul L. Berns is a Co-Founder and serves as Executive Chairman at Neumora. Mr. Berns serves as Managing Director at ARCH Venture Partners. He serves as a Board Member at Mirador Therapeutics and Metsera. He served as Board Member at Jazz Pharmaceuticals. He served as Chairman at Blackthorn Therapeutics. He also serves as a Board Member, Chairman of the Compensation Committee, and Member of the Audit Committee at Unity Biotechnology. He serves as Chairman at Epirium Bio. Before that, Mr. Berns was Vice President and General Manager of the Immunology, Oncology, and Pain Therapeutics business unit of Abbott Laboratories from 2001 to 2002, and from 2000 to 2001, he served as Vice President of marketing of BASF Pharmaceuticals/Knoll, when it was acquired by Abbott Laboratories in 2001. Earlier in his career, Mr. Berns held various positions, including senior management roles, at Bristol-Myers Squibb Company from 1990 to 2000. Mr. Berns is currently a board member of the privately held company, MC2 Therapeutics (since May 2017) and the publicly held companies Menlo Therapeutics, Inc. (since November 2017). Mr. Berns previously served on the boards of Anacor Pharmaceuticals, Inc. (from June 2012 to June 2016), XenoPort, Inc. (from November 2005 to May 2016), Allos Therapeutics, Inc. (from March 2006 to September 2012), and Bone Care International, Inc. (from June 2002 to July 2005). Mr. Berns received his B.S. in Economics from the University of Wisconsin. Mr. Berns currently serves as the lead independent director of the Board.</t>
  </si>
  <si>
    <t>+1 (857) 760-0900</t>
  </si>
  <si>
    <t>paul.berns@neumoratx.com</t>
  </si>
  <si>
    <t>490 Arsenal Way</t>
  </si>
  <si>
    <t>Chief Executive Officer &amp; Chairman</t>
  </si>
  <si>
    <t>Neumora</t>
  </si>
  <si>
    <t>367384-51P</t>
  </si>
  <si>
    <t>Peter Mintun Ph.D</t>
  </si>
  <si>
    <t>Mintun</t>
  </si>
  <si>
    <t>Dr. Peter Mintun serves as an Associate at ARCH Venture Partners. Dr. Mintun focuses on identifying and evaluating new physical sciences technologies and assisting early-stage portfolio companies. Dr. Mintun is a physical scientist by training and brings extensive subject-matter expertise in fields such as quantum technologies, molecular engineering, optics, and materials science. Prior to ARCH, Dr. Mintun was part of the first graduate student cohort of the Pritzker School of Molecular Engineering at the University of Chicago. His scientific research has been published in top-tier journals including Nature and Science and covered in popular press outlets such as The New York Times. During his time at the University of Chicago, he was engaged in the Lab to Launch program at Booth and was an Innovation Fund Associate, evaluating startups from the University in the therapeutics and healthcare IT spaces. He holds a Ph.D. from the Pritzker School of Molecular Engineering at the University of Chicago. He completed his B.S. in Engineering Physics with Honors from Cornell University.</t>
  </si>
  <si>
    <t>pmintun@archventure.com</t>
  </si>
  <si>
    <t>241454-89P</t>
  </si>
  <si>
    <t>Reetika Bhardwaj Ph.D</t>
  </si>
  <si>
    <t>Reetika</t>
  </si>
  <si>
    <t>Bhardwaj</t>
  </si>
  <si>
    <t>Dr. Reetika Bhardwaj serves as Board Member at AIRNA. Dr. Bhardwaj serves asa Senior Associate at ARCH Venture Partners. She serves as Board Observer at Pretzel Therapeutics. Dr. Bhardwaj focuses on identifying and evaluating new life science technologies and also provides operating assistance to early-stage portfolio companies. Dr. Bhardwaj is a Biochemist by training and combines her subject matter expertise with experiences in healthcare consulting, investment banking and corporate strategy. She has authored 5 peer-reviewed publications with greater than 100 citations in the areas of immunology, oncology, neuroscience and intracellular signaling. Prior to ARCH, Dr. Bhardwaj worked in healthcare consulting as a scientific advisor at Spectrum Science, working with a wide range of biotech and pharma companies on corporate strategy, product positioning, market research, and business development. She began her career as a research fellow at National Institute of Health (NIH) doing pre-clinical research in neuroscience and immunology. Additionally, she worked at the technology commercialization offices at both Georgetown University and Virginia Commonwealth University, assisting in licensing of technologies to pharma/biotech companies. Most recently she also worked with the University of Chicago Innovation Fund, a seed-stage fund that invests in scientific spinouts from the University of Chicago and Argonne National Lab. Dr. Bhardwaj holds a B.S. in Biomedical sciences from University of Delhi (She was Ranked #1 Nationally), a Ph.D. in Biochemistry and Molecular Biology from Virginia Commonwealth University and an M.B.A. from the University of Chicago Booth School of Business.</t>
  </si>
  <si>
    <t>rbhardwaj@archventure.com</t>
  </si>
  <si>
    <t>35659-63P</t>
  </si>
  <si>
    <t>Richard Heyman Ph.D</t>
  </si>
  <si>
    <t>Heyman</t>
  </si>
  <si>
    <t>Dr. Richard Heyman is a Co-Founder and serves as Chairman &amp; Scientific Advisory Board at ORIC Pharmaceuticals. He serves as Board of Director at Curebound. Previously, he served as Chairman &amp; Board Member at RayzeBio. He is a scientist and entrepreneur with more than 25 years of experience in the building of biotech and life science companies. He is the co-founder and Chairman of ORIC Pharmaceuticals, which is developing drugs to overcome resistance in cancer. He currently is the Chairman and co-founder of Metacrine Inc. and served as Chairman of Amunix Pharmaceuticals, Vividion Therapeutics and PMV Pharma. Previously, Rich was the co-founder and CEO of Aragon and Seragon Pharmaceuticals; which focused on therapeutics targeting hormone dependent cancers. J&amp;J purchased Aragon in 2013 and Genentech purchased Seragon in 2014. He has been involved in the discovery and development of multiple therapeutic agents approved by the FDA, including the recently approved prostate cancer drug, Erleada. He is a Venture Partner for Arch Ventures and also serves on the BOD of Gritstone Oncology and Yumanity Therapeutics. In addition to his corporate experience, Rich is Vice Chair of the Board of Trustees at the Salk Institute, on the Board Foundation for the AACR and on the Board of Visitors at the UCSD Moores Cancer Center. He has won numerous awards including Ernst and Young San Diego Regional Entrepreneur of the Year and the Endocrine Society Outstanding Innovation Award. He was an NIH postdoctoral fellow and staff scientist at the Salk Institute. Rich received a PhD in pharmacology and a BS in chemistry and is the author or inventor on more than 125 publications and patents.He has over 25 years of biopharma experience. Previously, he was the co-founder and CEO of Aragon and Seragon Pharmaceuticals, two San Diego biotech companies focused on discovering and developing therapeutics targeting hormone-dependent cancers. Johnson &amp; Johnson purchased Aragon in 2013 and Genentech/Roche purchased Seragon in 2014. Earlier in his career, he was co-founder and Chief Scientific Officer of X-Ceptor Therapeutics and also served as Vice President of Research at Ligand Pharmaceuticals. He has been involved in the discovery and development of multiple therapeutic agents approved by the FDA, including the recently approved drug, Erleada®, that was demonstrated to increase progression-free survival for prostate cancer patients. He is the author or inventor on more than 120 publications and patents. In addition to serving on the board of directors for ORIC, he also serves on the board of directors for Gritstone Oncology, Yumanity Therapeutics, Metacrine, Vividion Therapeutics and Mavu Pharma. He is also the Vice-Chairman of The Salk Institute. He was an NIH postdoctoral fellow at the Salk Institute and received a Ph.D. in pharmacology from the University of Minnesota and a BS in chemistry from the University of Connecticut. . He serves as Board Member &amp; Scientific Advisor at Enliven Therapeutics.</t>
  </si>
  <si>
    <t>+1 (650) 388-5600</t>
  </si>
  <si>
    <t>rheyman@pmvpharma.com</t>
  </si>
  <si>
    <t>240 East Grand Avenue</t>
  </si>
  <si>
    <t>2nd Floor</t>
  </si>
  <si>
    <t>Co-Founder, Chairman &amp; Scientific Advisory Board</t>
  </si>
  <si>
    <t>ORIC Pharmaceuticals</t>
  </si>
  <si>
    <t>12803-95P</t>
  </si>
  <si>
    <t>Robert Nelsen</t>
  </si>
  <si>
    <t>Nelsen</t>
  </si>
  <si>
    <t>Mr. Robert Nelsen is a Co-Founder and serves as Managing Director at ARCH Venture Partners. Mr. Nelsen serves as Chairman at Resilience (Biotechnology). He serves as Board Member at Xaira Therapeutics and City Therapeutics. He serves as Board Member at Paradigm (Healthcare Technology Systems). He serves as a Board Member at Aera Therapeutics. He served as a Board Member at Feelmore Labs. He is the Founder &amp; serves as Director at Rsquared. He is a Co-Founder and serves as Chairman at Rippl Care He is a Co-Founder and serves as Board Member at Neumora. He is the Founding Partner at R2 Risk &amp; Return. He was a Board Member at Arivale. He also serves as the Investment Advisory Board at AIF. He serves as a Board Member at GRAIL, Prime Medicine, and Wisdo. He is a Co-Founder and serves as Chairman at Resilience. He is a Co-Founder and Board Member of Vir Biotechnology and Brii Biosciences. He serves as a Board Member at SciNeuro Pharmaceuticals, Nutcracker, Therapeutics, insitro, Encoded Therapeutics, Beam Therapeutics,Seaport Therapeutics, and Lyell. He is a Director of Sana Biotechnology. He is also a Board Member of Agios Pharmaceuticals since December 2007. Additionally, he also served as an Advisor at Mighty AI. He is a Co-Founder of ARCH Venture Partners, a venture capital firm, and has served in various capacities for ARCH and affiliated entities since 1986. He also served as a board member at Revolution Healthcare Acquisition. He is currently a Managing Director of ARCH Venture Corporation. He has played a significant role in the early sourcing, financing, and development of more than 30 companies. He served as a Board Member at Ensemble Therapeutics. He is a Director of Sapphire Energy, Inc., Ensemble Therapeutics Corporation, Juno Therapeutics, Inc., Syros Pharmaceuticals Inc., Denali Therapeutics, and Faraday Pharmaceuticals, Inc. among other companies. He previously served on the boards of Bellerophon Therapeutics, Inc., Fate Therapeutics, Inc., Elixir Pharmaceuticals, Inc., Ikaria Inc., Kythera Biopharmaceuticals, Inc., NeurogesX, Inc., Sage Therapeutics, Inc. and entities affiliated with deCode Genetics, Inc., among others. He was previously a Trustee of the Fred Hutchinson Cancer Research Institute, the Institute for Systems Biology, and a director of the National Venture Capital Association. He received a B.S. with majors in biology and economics from the University of Puget Sound and an M.B.A. from the University of Chicago. He serves as an Advisor at CityBldr. He served as a Board Member at Xtremity. He serves as a Senior Advisor at Red Cell Partners. He serves as a Board Member at Synchron. He served as a Board Member at Gossamer Bio.</t>
  </si>
  <si>
    <t>+1 (206) 806-8478</t>
  </si>
  <si>
    <t>rn@archventure.com</t>
  </si>
  <si>
    <t>188 East Blaine Street</t>
  </si>
  <si>
    <t>Suite 125</t>
  </si>
  <si>
    <t>98102</t>
  </si>
  <si>
    <t>+1 (206) 674-3026</t>
  </si>
  <si>
    <t>Co-Founder and Managing Director</t>
  </si>
  <si>
    <t>84468-25P</t>
  </si>
  <si>
    <t>Sabah Oney Ph.D</t>
  </si>
  <si>
    <t>Sabah</t>
  </si>
  <si>
    <t>Oney</t>
  </si>
  <si>
    <t>Dr. Sabah Oney is a Co-founder and serves as Interim Chief Executive Officer and Board Member at Vilya. He serves as a Venture Partner at ARCH Venture Partners. He served as the Chief Business Officer at Alector. He also served as Director, Business Development at Ariosa Diagnostics. He served as Board Member &amp; Advisor at Basking Biosciences.</t>
  </si>
  <si>
    <t>+1 (415) 964-5572</t>
  </si>
  <si>
    <t>soney@vilyatx.com</t>
  </si>
  <si>
    <t>Alector (Former)</t>
  </si>
  <si>
    <t>151650-82P</t>
  </si>
  <si>
    <t>Sean Kendall</t>
  </si>
  <si>
    <t>Sean</t>
  </si>
  <si>
    <t>Kendall</t>
  </si>
  <si>
    <t>Mr. Sean Kendall serves as Board Member at AIRNA. Mr. Kendall serves as Partner, Europe at ARCH Venture Partners. He serves as Board Member at Encodia, Moleculent, and Protillion Biosciences. Mr. Kendall focuses on identifying and evaluating new technologies in life science, materials, energy, and electronics. He provides operating assistance to early-stage portfolio companies. Mr. Kendall was an early employee with LS9, Inc. (now REG Life Science), a synthetic biology company producing renewable chemicals. He next worked at Cobalt Technologies, another cleantech startup, bringing laboratory technology to the commercial scale. Mr. Kendall has contributed business efforts to NetEnergy, a Chicago-based energy storage startup, and Twist Bioscience, an ARCH portfolio company. Mr. Kendall holds an M.B.A. on the Dean's Honor List from the University of Chicago and a B.S. and M.S. in Chemical Engineering from Stanford University.</t>
  </si>
  <si>
    <t>skendall@archventure.com</t>
  </si>
  <si>
    <t>Partner, Europe</t>
  </si>
  <si>
    <t>12803-50P</t>
  </si>
  <si>
    <t>Steven Gillis Ph.D</t>
  </si>
  <si>
    <t>Gillis</t>
  </si>
  <si>
    <t>Dr. Steven Gillis serves as Chairman and Acting Chief Executive officer at HiberCell. He serves as Managing Director at ARCH Venture Partners. Dr. Gillis serves as Chief Executive Officer, President, and Chairman of the Board at Lifordi Immunotherapeutics. He also serves as a Board Member at Pheast Therapeutics. He serves as Chairman at TFC Therapeutics. He served as Board Member at Magnolia Neurosciences. He serves as a Board Member at Takeda Pharmaceutical Company. He is a Co-Founder of Vilya. He serves as a Senior Advisor at Accelerator Life Science Partners. He serves as a Chairman at Be Biopharma and Basking Biosciences. He served as a Board Member at ApoGen Biotechnologies. He served as Chairman at HC Bioscience. He served as Chairman at Lycera. He served as a Board Member of Rodeo Therapeutics and ImmusanT. He served as Chairman at Nohla. He serves as the Chairman of Walden Biosciences, Mozart Therapeutics, Faraday Pharmaceuticals, HiberCell &amp; PhaseRx. He has been a director of Pulmatrix since his appointment effective June 15, 2015. He also serves as an Investment Committee Member at The W Fund. He has been a Managing Director at ARCH Venture Fund, a venture capital firm. From 1994 to 2005, he served as Chief Executive Officer and chairman of the board of directors of Corixa Corporation, which he co-founded in October 1994. Previously, he served as a director, head of research and development, chief scientific officer, and acting chief executive officer of Immunex Corporation, which he co-founded. As a former director and chairman of Trubion Pharmaceuticals, Inc., he led its acquisition by Emergent BioSolutions in the fall of 2010. He currently serves as a director of Shire plc, Accelerator Corporation, and Homology Medicines, Inc. and serves as director and chairman of VentiRX Pharmaceuticals, Inc., Oncofactor Corp., and VBI Vaccines. He served as Chairman and Acting President at Theraclone Sciences. He received his B.A. in Biology and English from Williams College and his Ph.D. in Biological Science from Dartmouth College. He also served as a Board Member at Petra Pharma. He serves as a Board member at Proniras. From 1981 until his departure in 1994, he served as Immunex's Director of Research and Development, Chief Scientific Officer, and Chief Executive Officer of Immunex's Research and Development subsidiary. He was interim Chief Executive officer of Immunex Corporation following its majority purchase by the American Cyanamid Company. He remained on the Board of Directors of Immunex until 1997. Immunex was acquired by Amgen in 2002. He is an immunologist by training with over 300 peer-reviewed publications in the areas of molecular and tumor immunology. He serves as Chairman at Bitterroot Bio. He served as Board Member at Viral Logic Systems Technology. He served as Board Member at Groove Biopharma. He served as Board Member at Lodo Therapeutics.</t>
  </si>
  <si>
    <t>sgillis@archventure.com</t>
  </si>
  <si>
    <t>38726-83P</t>
  </si>
  <si>
    <t>Vicki Sato Ph.D</t>
  </si>
  <si>
    <t>Vicki</t>
  </si>
  <si>
    <t>Sato</t>
  </si>
  <si>
    <t>Dr. Vicki Sato serves as Chairman &amp; Board Member at Vir. Dr. Sato serves as Board Member at Aera Therapeutics. She serves as an Advisor at AN Ventures. She serves as Board Member at Encoded Therapeutics. She also serves as Board Member at ClavystBio. She is also a professor of management practice at Harvard Business School, and an affiliate member of the Department of Molecular and Cell Biology, at Harvard University. She has taught in HBS Executive Education programs and is a business advisor to enterprises in the biotechnology and pharmaceutical industries. She retired in 2005 from Vertex Pharmaceuticals, where she served as president since 2000, with responsibility for research and development, business and corporate development, commercial operations, legal, and finance. Prior to becoming president, she was chief scientific officer, senior vice president of research and development, and chair of the Scientific Advisory Board. Under her leadership, Vertex created a diversified pipeline of drugs. Before joining Vertex, she was vice president of research at Biogen, Inc., where she led research programs in the areas of inflammation, thrombosis, and HIV disease, and she participated in the executive management of the company. Several molecules from those programs have now reached the marketplace. She also served as a member of the Biogen Scientific Board. She received her A.B. from Radcliffe College, and her A.M. and Ph.D. degrees from Harvard University. Following postdoctoral work at both the University of California Berkeley and Stanford Medical Center, she was appointed to the faculty of Harvard University, where she was an assistant and associate professor of biology. She also serves as a Venture Partner at ARCH Venture Partners. She served as Board Member at Nimbus Therapeutics. He served as Advisor at Ginger. She is a senior pharmaceutical executive, having served as President of Vertex Pharmaceuticals who currently serves as a Venture Partner at ARCH Venture Partners and as Chairperson of Vir Biotechnology and Denali Therapeutics. Dr. Sato advises multiple biotech and pharma firms and is currently a director of publicly listed companies Akouos and Allogene Therapeutics, having retired recently from the boards of Bristol Myers Squibb and BorgWarner. From 2006-2017, she was professor of management practice at Harvard Business School and professor of the practice, molecular and cell biology, on Harvard's Faculty of Arts and Sciences.</t>
  </si>
  <si>
    <t>+1 (415) 906-4324</t>
  </si>
  <si>
    <t>1800 Owens Street</t>
  </si>
  <si>
    <t>Suite 900</t>
  </si>
  <si>
    <t>Chairman &amp; Board Member</t>
  </si>
  <si>
    <t>Vir</t>
  </si>
  <si>
    <t>265918-87P</t>
  </si>
  <si>
    <t>Brent Xu</t>
  </si>
  <si>
    <t>Argonautic Ventures</t>
  </si>
  <si>
    <t>Mr. Brent Xu is a Co-Founder and serves as Chief Executive Officer and Advisor at UX Chain. He also serves as a Venture Partner at Argonautic Ventures. He currently leads a decentralized cross-chain protocol designed to bridge multiple blockchains, having received funding from investors including Polychain, IDEO CoLab, and Coinbase Ventures. Before blockchain, he had experience working in structured finance as a trader and quantitative researcher with a focus on MBS and CMBS products at Academy Securities, a JP Morgan protégé firm. He received his Bachelor of Science degree in Biology and Statistics from Duke University.</t>
  </si>
  <si>
    <t>brent@umee.cc</t>
  </si>
  <si>
    <t>Co-Founder, Chief Executive Officer &amp; Advisor</t>
  </si>
  <si>
    <t>UX Chain</t>
  </si>
  <si>
    <t>174922-84P</t>
  </si>
  <si>
    <t>Carter Davidson</t>
  </si>
  <si>
    <t>Ms. Carter Davidson serves as Go-To-Market Operating Partner at Argonautic Ventures. Ms. Davidson served as Chief Revenue Officer at Vangst. She served as Vice President, Sales &amp; CS at Baker. She has 20 years of experience launching and scaling new products and services within start-up, emerging, and scale-up companies. Throughout her career, she has built out and scaled high-performance revenue teams within both B2C and B2B verticals across a variety of industries, including Cannabis, Retail, CPG, Sustainability, Travel &amp; Tourism, Healthcare, Health &amp; Wellness, and Language Learning. Her most noteworthy achievement is taking Baker Technologies from beta concept to 1,200 customers, culminating in a successful exit in a public offering after the company achieved a $250m valuation. She holds a BA in Spanish and Foreign Affairs from the University of Virginia, as well as a Master's in International and Intercultural Communication and an International MBA from the University of Denver. She serves as a mentor with both Techstars and Newchip Accelerator programs as well as an advisor for various start-ups.</t>
  </si>
  <si>
    <t>+1 (917) 838-3253</t>
  </si>
  <si>
    <t>1001 Fourth Avenue</t>
  </si>
  <si>
    <t>Suite 4322</t>
  </si>
  <si>
    <t>98154</t>
  </si>
  <si>
    <t>Go-To-Market Operating Partner</t>
  </si>
  <si>
    <t>331507-54P</t>
  </si>
  <si>
    <t>Chase Cho</t>
  </si>
  <si>
    <t>Chase</t>
  </si>
  <si>
    <t>Cho</t>
  </si>
  <si>
    <t>Mr. Chase Cho is the Founding Partner of Argonautic Ventures &amp; serves as Equity Partner at Argonautic Ventures. His network in South Korea is bar none, resulting in Argonautic acquiring the founding families behind Samsung, LG, GS, Hyundai, and Kakao as Limited Partners. Before Argonautic in 2015, he was Property Investment Director at BRV Capital, where he successfully executed their first property deal for 1.3bn USD. He sold Sambu's Seoul Renaissance Hotel and office tower to KKR, and today the site is the Chosun Palace Hotel. He is a graduate of New York University with a bachelor's degree in Economics. He received his MBA from Tsinghua University in a joint international master's degree program with MIT Sloan. He and his family currently reside in Honolulu, where he runs the Argonautic Korea office.</t>
  </si>
  <si>
    <t>chase.cho@argonauticventures.com</t>
  </si>
  <si>
    <t>Equity Partner &amp; Founding Partner, Argonautic Ventures Korea</t>
  </si>
  <si>
    <t>287227-81P</t>
  </si>
  <si>
    <t>Chet Kumar</t>
  </si>
  <si>
    <t>Chet</t>
  </si>
  <si>
    <t>Kumar</t>
  </si>
  <si>
    <t>Associate &amp; Operating Partner</t>
  </si>
  <si>
    <t>Mr. Chet Kumar serves as Operating Partner &amp; Associate at Argonautic Ventures. Before Argonautic, he served as a growth equity investor at NewSpring Capital's healthcare fund in Philadelphia, where he was responsible for all stages of the investment lifecycle, including sourcing, diligence, execution, and portfolio value creation, and used his technical background to add perspective to investments in tech-enabled services and pharmaceutical manufacturing. Before NewSpring Capital, he served on the investment team at Edward-Elmhurst Health Ventures, on the growth strategy team at Surgical Solutions, and on the consulting team at Pariveda Solutions, where he was a founding member of their nationwide machine learning and data science practice while concurrently selling and leading both strategic and technical engagements in advanced analytics and data engineering for enterprise clients across Agriculture, Manufacturing, Industrials, Healthcare, and Logistics. He earned a Bachelor of Science in Computational Biomedical Engineering from the University of Texas at Austin and holds an MBA from the University of Chicago Booth School of Business.</t>
  </si>
  <si>
    <t>chet.kumar@argonauticventures.com</t>
  </si>
  <si>
    <t>Operating Partner &amp; Associate</t>
  </si>
  <si>
    <t>210579-22P</t>
  </si>
  <si>
    <t>Christopher Aw</t>
  </si>
  <si>
    <t>Aw</t>
  </si>
  <si>
    <t>Mr. Christopher Aw serves as Managing Partner at Pandan Ventures. He serves as an Advisor at Fractal. He serves as Operating Partner at Argonautic Ventures. He focuses on private investment, structuring, and partnerships. He also continues to consult for nations, other venture capital firms, and conglomerates in multiple areas of technology and investments. He worked as an advisor in research and development as well as investments for the US government, with $20B annually invested over five years across multiple disciplines. Subsequently, he founded his own companies in cybersecurity and technology consulting. He is on three non-profit boards: Operation Snow Leopard, which focuses on supporting Afghanistan refugees, Veterans in Media and Entertainment, and Family Hippocampus, which aims to build harmony in generational family businesses. He also volunteers with environmental and social causes such as the Unreasonable Group, the Cartier Women's Initiative Awards, and the Moonshot Awards. His education includes a BA in Business (Information Systems) from the University of Washington, an MS in Information Systems from Bowie State University, an MBA from the University of Maryland, a Public Policy program at Harvard University, an Asset Management program at the University of Pennsylvania Wharton Business School, and a Public Leadership program from the University of San Francisco.</t>
  </si>
  <si>
    <t>chris@pandan.vc</t>
  </si>
  <si>
    <t>Pandan Ventures</t>
  </si>
  <si>
    <t>173929-51P</t>
  </si>
  <si>
    <t>Howard Liu</t>
  </si>
  <si>
    <t>Howard</t>
  </si>
  <si>
    <t>Mr. Howard Liu serves as Founding Partner at Argonautic Ventures. He began his career at Swiss Bank Corporation Warburg Dillon Read (now UBS) on the Precious Metals Structured Products desk proprietary metals book. He traded derivatives specifically Index and Interest-rate futures for the 2 largest proprietary trading firms: Generic LLC and the Carlin Financial Group (acquired by RBC and now RBC Carlin). He then managed a book of assets for The AXA Group (#25 on 2017 Fortune 500) before launching Variance Venture Partners in 2014 and Argonautic Ventures in 2016. His venture and hedge fund network spans the globe and has forged elite relationships with the microcap venture community and on-trend vertically-focused funds. Argonautic leads the enablement of highly-developed customized asset allocation strategies defined by coupling vertical with stage, duration, risk, and liquidity preferences. His focus is continuing to build fund partnerships with venture-based leaders in cutting-edge industries and sectors including emerging markets like Israel and Africa and hedge fund-based leaders in crypto-economics, game theory, and the creation of crypto-based derivative trading instruments. He attended New York University's Stern School of Business.</t>
  </si>
  <si>
    <t>howard.liu@argonauticventures.com</t>
  </si>
  <si>
    <t>262882-00P</t>
  </si>
  <si>
    <t>James Slazas</t>
  </si>
  <si>
    <t>Slazas</t>
  </si>
  <si>
    <t>Mr. James Slazas is the Founding Partner at DARMA Capital. He is also the Founder and serves as Chief Executive Officer at VaultLink. He leads the strategic direction of the firm and is responsible for general oversight of corporate operations. He has 30+ years of capital markets experience which began on the derivative exchanges in Chicago and Paris in the late 80s. He later joined Lehman Brothers, to manage a proprietary arbitrage book of derivatives, to make markets in OTC equities/warrants/options, and to create a global risk management group for the Private Client division, encompassing the credit exposure of Lehman's London, Hong Kong, and Swiss banks. Subsequently, He co-founded September Investors, a hedge fund investing in longevity risk through life settlements and insurance premium financing. He has been exploring blockchain technology since 2013 and joined ConsenSys, a global core blockchain company, as Director of Capital Markets. He advises a broad spectrum of financial institutions and regulatory agencies on blockchain strategy and institutional infrastructure.</t>
  </si>
  <si>
    <t>+1 (787) 209-9354</t>
  </si>
  <si>
    <t>js@darma.capital</t>
  </si>
  <si>
    <t>Dorado</t>
  </si>
  <si>
    <t>Dorado, PR</t>
  </si>
  <si>
    <t>313 Dorado Beach East</t>
  </si>
  <si>
    <t>Suite 3741</t>
  </si>
  <si>
    <t>Puerto Rico</t>
  </si>
  <si>
    <t>00646</t>
  </si>
  <si>
    <t>DARMA Capital</t>
  </si>
  <si>
    <t>88009-66P</t>
  </si>
  <si>
    <t>Lex Sokolin JD</t>
  </si>
  <si>
    <t>Lex</t>
  </si>
  <si>
    <t>Sokolin</t>
  </si>
  <si>
    <t>Mr. Lex Sokolin is a Co-Founder &amp; serves as Managing Partner at Generative Ventures, an engaged venture capital fund investing in the Machine Economy powered by Fintech, accelerated by AI, and settled on Web3. He is a Founder and serves as Chief Editor at Fintech Blueprint. He is a builder and investor working on the next generation of socio-economics and financial services. Previously, he held the roles of Chief Economist, Chief Marketing Officer, and Global Fintech Co-Head at Consensys, a leading Web3 blockchain software company, where he focused on protocol crypto economics, digital assets, public and private blockchains, decentralized finance, and DAOs. Prior, he was the Global Director of Fintech Strategy at Autonomous Research, an equity research firm serving institutional investors, where he covered artificial intelligence, blockchain, neo banks, digital lenders, Robo-advisors, payments, insurtech, and mixed reality. Before Autonomous, he was Chief Operating Officer at AdvisorEngine, a digital wealthtech platform, and CEO of NestEgg Wealth, a roboadvisor that partnered with financial advisors. He started his career in investment management and banking at Barclays, Lehman Brothers, and Deutsche Bank. He has contributed thought leadership to the Wall Street Journal, the Economist, Bloomberg, FT, Reuters, Coindesk, American Banker, ThinkAdvisor, and Investment News, among others. His industry newsletter, the Fintech Blueprint, reaches over 200,000 subscribers. He earned a JD/MBA from Columbia University and a B.A. in Economics and Law from Amherst College.</t>
  </si>
  <si>
    <t>lex@genventures.xyz</t>
  </si>
  <si>
    <t>Generative Ventures</t>
  </si>
  <si>
    <t>100610-47P</t>
  </si>
  <si>
    <t>Lucas Nivon Ph.D</t>
  </si>
  <si>
    <t>Nivon</t>
  </si>
  <si>
    <t>Dr. Lucas Nivon is a Co-Founder and serves as Chief Executive Officer and Board Member at Cyrus Biotechnology. He serves as Venture Partner at Argonautic Ventures. He is trained in computational biophysics and protein engineering. Prior to Cyrus, he was a Translational Investigator &amp; Senior Fellow at the Baker lab at UW, developing small-molecule binding proteins and protein design algorithms. He is the founder of PedalAnywhere, a national bike rental startup. His scientific work includes a patented computationally designed enzyme, an RNA-dynamics-modeling software toolkit, and algorithm optimization for the automation of computational protein design. He has done A.B. in Biochemical Sciences (summa cum laude and Goldwater Scholar) from Harvard and Ph.D. in Biophysics from Harvard University.</t>
  </si>
  <si>
    <t>+1 (206) 258-6561</t>
  </si>
  <si>
    <t>lucas@cyrusbio.com</t>
  </si>
  <si>
    <t>3005 1st Avenue</t>
  </si>
  <si>
    <t>Suite 203</t>
  </si>
  <si>
    <t>Cyrus Biotechnology</t>
  </si>
  <si>
    <t>43683-13P</t>
  </si>
  <si>
    <t>Mark McCall</t>
  </si>
  <si>
    <t>McCall</t>
  </si>
  <si>
    <t>Mr. Mark McCall serves as Operating Partner at Argonautic Ventures. Mr. McCall served as Managing Director at iSelect Fund. He served as Executive Vice President of Business Development at Cadenza Innovation. He served as a Managing Director and Entrepreneur-in-Residence at Progress Partners. He has over 20 years of business and investment experience and is a former Managing Director of two long/short equity hedge funds with combined assets of $500 million. He has over 12 years of experience investing in and managing technology and clean energy companies. He was the CEO and is a major shareholder of New Haven, CT-based Greenleaf Biofuels, the developer of the largest biofuels plant in New England. Formerly, he was the President and a Board Member of eMedicalFiles, a software/biometrics company, where he repositioned the company, helped create a new market, and worked with the State of Texas on a major contract win and deployment. He began his career in the commercial real estate industry, eventually forming his firm and completing over $50 million in transactions. He attended the University of Massachusetts Engineering School and completed an Advanced Program in Information Technology at New York University. He has been a guest speaker at the Columbia Business School and was an active conference speaker in the hedge fund industry. He has played and coached lacrosse for 25 years and is a 3rd-degree brown belt in Jujitsu. He has also served in leadership positions with the United Way and the St. Vincent de Paul Society. He has over 20 years of experience in operational leadership, investment banking, and investment management in renewable energy, manufacturing, asset management, and technology businesses. He has led the growth of five early-stage companies as CEO, President, or Managing Director, and has negotiated partnerships and long-term contracts in the $100s of millions. He was awarded a B.S. in Finance from Babson College, Wellesley, MA in 1985. He also holds an Advanced Certificate in Information Technology from NYU.</t>
  </si>
  <si>
    <t>+1 (203) 803-0794</t>
  </si>
  <si>
    <t>mark.mccall@argonauticventures.com</t>
  </si>
  <si>
    <t>422226-19P</t>
  </si>
  <si>
    <t>Michael O'Loughlin</t>
  </si>
  <si>
    <t>O'Loughlin</t>
  </si>
  <si>
    <t>Mr. Michael O'Loughlin serves as Senior Advisor at Mingzulu. He also serves as a Strategic Partner at Argonautic Ventures. He is a Managing Partner at Argonautic Global, leading the firm's investment strategy in Fintech, Artificial Intelligence, and Digital Assets across the Middle East. With over two decades of experience in banking, consulting, and venture investments, he has been at the forefront of financial innovation, working with global institutions, governments, and regulators to shape the future of fintech and emerging asset classes. Before joining Argonautic, he was pivotal in developing Saudi Arabia's fintech ecosystem, advising the Saudi Central Bank, and collaborating with key stakeholders to drive regulatory advancements and market growth. He has held leadership roles in global financial institutions, guiding the adoption of blockchain, digital currencies, and emerging payment technologies while influencing policy and investment strategies at the highest levels. Beyond venture capital, he remains an active advisor to fintech startups, governments, and multinational organizations, helping bridge the gap between innovation and regulation. He has contributed to research on digital identity, financial inclusion, and cross-border payments and frequently speaks at global conferences on the future of finance and technology. He is also committed to mentoring entrepreneurs and supporting ecosystem-building initiatives. His passion for storytelling and education extends to creative projects, including fintech-focused content, executive education programs, and thought leadership. He holds degrees and certifications in finance, technology, and leadership from Technological University Dublin and the Massachusetts Institute of Technology.</t>
  </si>
  <si>
    <t>Strategic Partner</t>
  </si>
  <si>
    <t>121884-76P</t>
  </si>
  <si>
    <t>Min Kim</t>
  </si>
  <si>
    <t>Mr. Min Kim is the Founder &amp; serves as Managing Partner, Argonautic Ventures Korea at Argonautic Ventures. Mr. Kim served as Vice President at The Carlyle Group. Before joining Carlyle, Mr. Kim was a Senior Vice President of CDIB Capital International Corporation. While at CDIB Capital, Mr. Kim was a Director of Wemade Entertainment Co., Ltd. and B&amp;M Holdings, Inc. Before that, Mr. Kim was an Investment Manager of KTB Network Co., Ltd., a Korean private equity and venture capital firm. Mr. Kim received his M.B.A. from Columbia Business School. He received a B.S. from Yonsei University.</t>
  </si>
  <si>
    <t>min.kim@argonauticventures.com</t>
  </si>
  <si>
    <t>Seoul</t>
  </si>
  <si>
    <t>Seoul, South Korea</t>
  </si>
  <si>
    <t>South Korea</t>
  </si>
  <si>
    <t>Founder &amp; Managing Partner, Argonautic Ventures Korea</t>
  </si>
  <si>
    <t>323801-02P</t>
  </si>
  <si>
    <t>Ming Duan</t>
  </si>
  <si>
    <t>Ming</t>
  </si>
  <si>
    <t>Duan</t>
  </si>
  <si>
    <t>Ms. Ming Duan is a Co-Founder &amp; serves as Chief Operating Officer at Umee. She serves as a Venture Partner at Argonautic Ventures. At Dendrite Ventures, she sources first-hand information through her networks while developing crypto-native investment strategies around Decentralized Finance and building investment positions in blockchain infrastructure projects. Since 2019, she has been leading US investments at Fenbushi Capital, where she sourced and executed 25+ high-profile deals and led $60 M+ worth of investments, with many prominent co-investors including Andreessen Horowitz, Paradigm, and Union Square Ventures. Before crypto, she managed a $50MM private equity fund at J &amp; H Capital and specialized in discovering undervalued assets and generating outsized returns through business and financial restructuring. She also has first-hand experience working with unicorn companies in their growth phase. In 2016, she drove the double-digit growth of WeWork Asia on the launch team while leading mergers and acquisitions activities. She started her career as a strategic consultant at Monitor Deloitte. She graduated from Duke University and received her MBA degree in 2016.</t>
  </si>
  <si>
    <t>ming@umee.cc</t>
  </si>
  <si>
    <t>Co-Founder &amp; Chief Operating Officer</t>
  </si>
  <si>
    <t>331504-39P</t>
  </si>
  <si>
    <t>Rita Chiu</t>
  </si>
  <si>
    <t>Rita</t>
  </si>
  <si>
    <t>Chiu</t>
  </si>
  <si>
    <t>Ms. Rita Chiu is a Co-Founder and serves as Chief Financial Officer &amp; Chief Operating Officer at Argonautic Ventures. She Argonautic Ventures SPC in 2016 and currently serves the dual role of CFO and COO of all Argonautic structures across the US, South Korea, Taiwan, Hong Kong, and China. Early on she built Argonautic's sell-side relationships with specific groups with access to Forbes 100 Asia families now LP of Argonautic. In addition, she drives Argonautic's complete legal, audit, and fund administration for over 30 vehicles across Argonautic's Venture and Crypto asset classes. Prior to Argonautic, she was Managing Director of Venture Capital at Isola Capital Asset Management Ltd. During her time at Isola, Rita developed Argonautic institutional venture-based structure products that were later subscribed for by the top 10 Korean multinationals. Prior to Isola Rita was Executive Director of Investment Management at Avenue Asset Management. Avenue was founded by the ex-Group Head of HSBC Private Client Group China and actively collaborates with large China PEs including Hill House. She built Avenues's Opportunistic Fund series in Cayman in partnership with Argonautic as the engine of their vehicle. She brought IPOs in Grab, Honest Company, Benson Hill, and Latch to Avenue during her 2 years with them. Prior to Avenue, she was co-head of Private Wealth at Athena Wealth Management where she built Athena's institutional derivative platform. She began her career at HSBC Hong Kong in Institutional Sales in their global capital markets group. She is a graduate of the University of Waterloo with a Bachelor of Mathematics, Honors Mathematics, and Actuarial Science. She and her family currently reside in both Hong Kong and Vancouver where she manages all Argonautic global operations in addition to co-managing the Argonautic Seattle office.</t>
  </si>
  <si>
    <t>rita.chiu@argonauticventures.com</t>
  </si>
  <si>
    <t>Co-Founder, Chief Financial Officer &amp; Chief Operating Officer</t>
  </si>
  <si>
    <t>331516-81P</t>
  </si>
  <si>
    <t>Steve Dell'Orto</t>
  </si>
  <si>
    <t>Dell'Orto</t>
  </si>
  <si>
    <t>Mr. Steve Dell'Orto serves as ConstructionTech Venture Partner at Argonautic Ventures. He is a recognized construction and building industry leader with deep expertise across project planning and pre-construction phases. He is the Founder and CEO of Concntric.io, a collaborative SaaS platform focused on supporting the design, estimating, and planning professionals involved in the preconstruction/development phase of the project lifecycle. He is an Advisory Board member to several notable emerging prop-tech startups including TraceAir, Extracker, SafeAI, QuoteToMe, TargetDocs, Soil Connect, and ProjectMark.</t>
  </si>
  <si>
    <t>ConstructionTech Venture Partner</t>
  </si>
  <si>
    <t>138527-74P</t>
  </si>
  <si>
    <t>Viken Douzdjian</t>
  </si>
  <si>
    <t>Viken</t>
  </si>
  <si>
    <t>Douzdjian</t>
  </si>
  <si>
    <t>Mr. Viken Douzdjian is the Founder &amp; serves as a Managing Partner at Argonautic Ventures. He serves as a Board Member at Greentank. He served as a Board Observer at Medstack. He served as a Board Member &amp; Advisor at Flywheel he served as a Private Equity Investor at Marlin Equity Partners. His primary responsibilities at Marlin were to evaluate platform and add-on investment opportunities and work closely with management teams to ensure growth and value initiatives were implemented. Before joining Marlin, he worked at Wells Fargo Securities in the Technology group, where he specialized in mergers and acquisitions, debt and equity financings, and other strategic advisory initiatives. He served as a Member of the Investment and Advisory Board at Formula VC. He also serves as a Board Member at Cognaize. He earned a B.A. in Financial Economics from Claremont McKenna College, where he graduated with honors.</t>
  </si>
  <si>
    <t>viken.douzdjian@argonauticventures.com</t>
  </si>
  <si>
    <t>133470-28P</t>
  </si>
  <si>
    <t>William Deuchler</t>
  </si>
  <si>
    <t>Deuchler</t>
  </si>
  <si>
    <t>Mr. William Deuchler serves as a Trustee at the City of Winter Park Police Officers' Pension Plan. He also serves as a Senior Managing Director at Argonautic Ventures. Mr. Deuchler served as Senior Investment Strategist at Chicago Atlantic. He served as Managing Director of Western Region &amp; Florida at Morgan Creek Capital Management. He served as the Managing Director at Cain Brothers &amp; Company. He was responsible for investor solutions and services with a primary focus on the institutional sector. He had 25 years of experience working with institutional clients in the areas of investment strategy, asset allocation, and alternative and traditional manager strategies. Before joining Morgan Creek, he served as Managing Director, Head of Sales &amp; Client Service, and member of the Investment Committee for Cain Brothers Asset Management ("CBAM"). Before CBAM, he was Senior Vice President with Graham Capital Management, a global macro CTA, Managing Director with Zacks Investment Management focusing on equity market-neutral strategies, and Principal with Barclays Global Investors in the Americas Client Service Group. He was also President and Chief Operating Officer of Vantage Consulting Group, a Virginia-based investment consulting firm. He served on the adjunct faculty of the University of Virginia in 1988,team-teaching an executive seminar in portfolio management. He has also been a guest lecturer for the MBA programs at The College of William &amp; Mary and Rollins College. His publications include contributing to "Cases in Portfolio Management," edited by Robert F. Vandell, and Simplifying the Global Equity Benchmark Decision with Stephen Schoenfeld. He also serves as a member of the International Advisory Board for Step Ahead Micro Enterprise Development, a Bangkok, Thailand-based ministry providing microloans to the poor of Bangkok. He received an M.B.A. from the Darden School, University of Virginia, in 1986 and a B.S.E. in Naval Architecture and Marine Engineering from the University of Michigan in 1978.</t>
  </si>
  <si>
    <t>Senior Managing Director</t>
  </si>
  <si>
    <t>179914-78P</t>
  </si>
  <si>
    <t>Chris Howard</t>
  </si>
  <si>
    <t>Arizona State University</t>
  </si>
  <si>
    <t>Chief Operating Officer &amp; Executive Vice President</t>
  </si>
  <si>
    <t>Mr. Chris Howard serves as Advisor at Achieve Partners. He also served as President at Robert Morris University Endowment &amp; as Executive Vice President &amp; Chief Operating Officer at Arizona State University.</t>
  </si>
  <si>
    <t>+1 (855) 278-5080</t>
  </si>
  <si>
    <t>chris.howard@asu.edu</t>
  </si>
  <si>
    <t>Tempe</t>
  </si>
  <si>
    <t>Tempe, AZ</t>
  </si>
  <si>
    <t>1151 South Forest Avenue</t>
  </si>
  <si>
    <t>Arizona</t>
  </si>
  <si>
    <t>85281</t>
  </si>
  <si>
    <t>Executive Vice President &amp; Chief Operating Officer</t>
  </si>
  <si>
    <t>367185-52P</t>
  </si>
  <si>
    <t>David Schwartz</t>
  </si>
  <si>
    <t>Schwartz</t>
  </si>
  <si>
    <t>Mr. David Schwartz serves as Vice President - Strategic Alliances &amp; Business Development at Arizona State University.</t>
  </si>
  <si>
    <t>david.schwartz@asu.edu</t>
  </si>
  <si>
    <t>Vice President - Strategic Alliances &amp; Business Development</t>
  </si>
  <si>
    <t>128242-45P</t>
  </si>
  <si>
    <t>Michael Crow Ph.D</t>
  </si>
  <si>
    <t>Crow</t>
  </si>
  <si>
    <t>Dr. Michael Crow serves as President &amp; Chief Executive Officer at Arizona State University. Dr. Crow serves as President of the Arizona State University Foundation. Dr. Crow serves as Chairman at In-Q-Tel. He also serves as an Advisor at SparkLabs Group. He became the 16th president of Arizona State University on July 1, 2002. He is guiding the transformation of ASU into one of the nation's leading public metropolitan research universities, an institution that combines the highest levels of academic excellence, inclusiveness to a broad demographic, and maximum societal impact-a model he terms the "New American University." Under his direction, the university pursues teaching, research, and creative excellence focused on the major challenges of our time, as well as those central to the quality of life, sustainable development, and economic competitiveness of Arizona and the nation. He has committed the university to sustainability, social embeddedness, and global engagement, and championed initiatives leading to record levels of diversity in the student body. He is a fellow of the American Association for the Advancement of Science (AAAS) and the National Academy of Public Administration, and a member of the Council on Foreign Relations and the U.S. Department of Commerce National Advisory Council on Innovation and Entrepreneurship. The author of books and articles analyzing science and technology policy and the design of knowledge enterprises, Crow received his Ph.D. in Public Administration (Science and Technology Policy) from the Maxwell School of Citizenship and Public Affairs, Syracuse University.</t>
  </si>
  <si>
    <t>+1 (480) 965-5606</t>
  </si>
  <si>
    <t>michael.crow@asu.edu</t>
  </si>
  <si>
    <t>62663-05P</t>
  </si>
  <si>
    <t>Michael Kozicki Ph.D</t>
  </si>
  <si>
    <t>Kozicki</t>
  </si>
  <si>
    <t>Dr. Michael Kozicki serves as Professor at Arizona State University. Dr. Michael Kozicki co-founded &amp; served as Chief Technology Officer &amp; Chairman at Axon Technologies. He served as Chief Scientist at Adesto Technologies. Kozicki has over 25 years of experience in industry and academia and is the inventor of the Programmable Metallization Cell, the scientific platform for Adesto's CBRAM™ technology. He has published and presented extensively in nano ionic and semiconductor science and currently holds around 40 US and 30 international patents in these areas. Dr. Kozicki graduated summa cum laude with a B.Sc and a Ph.D. in Electrical Engineering from the University of Edinburgh, Scotland.</t>
  </si>
  <si>
    <t>+1 (480) 759-7120</t>
  </si>
  <si>
    <t>michael.kozicki@asu.edu</t>
  </si>
  <si>
    <t>Professor</t>
  </si>
  <si>
    <t>59830-39P</t>
  </si>
  <si>
    <t>Neal Woodbury Ph.D</t>
  </si>
  <si>
    <t>Neal</t>
  </si>
  <si>
    <t>Woodbury</t>
  </si>
  <si>
    <t>Chief Scientific Officer &amp; Vice President</t>
  </si>
  <si>
    <t>Dr. Neal Woodbury serves as Vice President of Research, Professor and Chief Science and Technology Officer at Arizona State University. Dr. Woodbury throughout the course of his 36-year tenure with ASU, Woodbury has been a trusted resource and advocate for ASU's research enterprise, regularly advising ASU leadership on issues related to the university's major research activities. He has been responsible for developing new, large-scale, collaborative projects, as well as facilitating broad interactions between the Knowledge Enterprise and ASU's academic units. Woodbury is concurrently a senior global futures scientist with the Julie Ann Wrigley Global Futures Laboratory and a faculty member in the Biodesign Center for Innovations in Medicine, the School of Molecular Sciences and the Global Security Initiative. He previously served as deputy director of the Biodesign Institute and has a well earned reputation as an astute and engaged leader. Woodbury is also past CEO of Science Foundation Arizona, a role in which he helped advance the goals of SFAz as a force for promoting science, high-tech industry and STEM education across Arizona. An esteemed researcher, Woodbury has published more than 165 scientific works. He is an expert in electron transfer and photosynthesis, and he has expanded his vast research repertoire as a human disease detective, co-founding HealthTell with ASU Professor Stephen Johnston. HealthTell focused on a diagnostic technology known as immunosignaturing, which involves fabrication of large numbers of peptides or related heteropolymers on silicon wafers. The resulting peptide arrays are the basis of a diagnostic platform that generates a comprehensive profile of circulating antibodies. In addition to his academic and research achievements, Woodbury is a fellow of the National Academy of Inventors and holds seven patents. He completed his PhD in biochemistry at the University of Washington and holds a bachelor's degree in biochemistry from the University of California at Davis.</t>
  </si>
  <si>
    <t>+1 (480) 965-1880</t>
  </si>
  <si>
    <t>nwoodbury@asu.edu</t>
  </si>
  <si>
    <t>Vice President of Research, Professor and Chief Science and Technology Officer</t>
  </si>
  <si>
    <t>296437-15P</t>
  </si>
  <si>
    <t>Sally Morton</t>
  </si>
  <si>
    <t>Morton</t>
  </si>
  <si>
    <t>Ms. Sally Morton serves as Executive Vice President at Arizona State University.</t>
  </si>
  <si>
    <t>+1 (480) 965-4087</t>
  </si>
  <si>
    <t>scmorton@asu.edu</t>
  </si>
  <si>
    <t>249756-67P</t>
  </si>
  <si>
    <t>Abraham Joseph</t>
  </si>
  <si>
    <t>Arosa Capital Management</t>
  </si>
  <si>
    <t>Founder &amp; Portfolio Manager</t>
  </si>
  <si>
    <t>Mr. Abraham Joseph is the Co-Founder and serves as Portfolio Manager at Arosa Capital Management. From 2008 until founding Arosa, Mr. Joseph was a Portfolio Manager/Director covering the energy sector for the O'Connor Fundamental Long/Short Market Neutral Fund at UBS O'Connor. From 2004 to 2008, he was an energy sector Analyst/Vice President at Delaware Street Capital. From 2002 to 2004 Mr. Joseph was an Analyst in the Investment Banking Group at Merrill Lynch &amp; Co. He graduated with honors in 2002 from the University of Chicago with a B.A. in Economics.</t>
  </si>
  <si>
    <t>+1 (212) 218-0550</t>
  </si>
  <si>
    <t>abraham.joseph@arosacapital.com</t>
  </si>
  <si>
    <t>55 Hudson Yards, 550 West 34th Street</t>
  </si>
  <si>
    <t>Suite 2800</t>
  </si>
  <si>
    <t>+1 (212) 218-0560</t>
  </si>
  <si>
    <t>Co-Founder &amp; Portfolio Manager</t>
  </si>
  <si>
    <t>249758-02P</t>
  </si>
  <si>
    <t>Anish Patel</t>
  </si>
  <si>
    <t>Anish</t>
  </si>
  <si>
    <t>Director &amp; Managing Director</t>
  </si>
  <si>
    <t>Mr. Anish Patel serves as Managing Director, Portfolio Manager &amp; Director, Research at Arosa Capital Management. Prior to joining Arosa, Mr. Patel was a Managing Director at PointState Capital LP where he focused on Oil &amp; Gas investments. Before PointState, he was a Partner and Managing Director/Co-Head of ISI Group's Exploration &amp; Production Equity Research team, which ranked #1 in the 2012 Institutional Investor All-America Research Team survey. Prior to ISI, he was a Vice President at Credit Suisse covering the Mid-Cap Exploration &amp; Production sector and was a core contributing analyst for global natural gas markets. He was the recipient of the 2010 Institutional Investor All-America award for the Best Up &amp; Comer in the Oil &amp; Gas Exploration &amp; Production sector. He has also held positions at Wachovia Securities and Cambridge Associates prior to Credit Suisse. He graduated from Tufts University in 2001 with a B.A. in Economics and is a CFA charter holder.</t>
  </si>
  <si>
    <t>anish.patel@arosacapital.com</t>
  </si>
  <si>
    <t>Managing Director, Portfolio Manager &amp; Director, Research</t>
  </si>
  <si>
    <t>316379-89P</t>
  </si>
  <si>
    <t>Daniel Radden JD</t>
  </si>
  <si>
    <t>Radden</t>
  </si>
  <si>
    <t>Chief Compliance Officer &amp; Chief Operating Officer</t>
  </si>
  <si>
    <t>Dr. Daniel Radden serves as Chief Operating Officer, Chief Compliance Officer, Investment Committee Member &amp; General Counsel at Arosa Capital Management. Prior to joining Arosa, He served as General Counsel and Chief Compliance Office of White Elm Capital, LLC from 2013 to 2019 and Armistice Capital, LLC from 2019 to 2020. Previously, he served as Vice President, Associate Counsel at the Permal Group from 2011 to 2013. From 2008 to 2011, He was an Associate in the Financial Services Group at Katten Muchin Rosenman LLP, where he advised institutional and emerging asset managers, family offices, and financial institutions with a focus on fund structuring, regulatory, compliance, and operational matters. He began his career as an Analyst at JP Morgan Chase. He received a B.S. from Cornell University in 2003 and a J.D. from Fordham University School of Law in 2008.</t>
  </si>
  <si>
    <t>daniel.radden@arosacapital.com</t>
  </si>
  <si>
    <t>Chief Operating Officer, Chief Compliance Officer, Investment Committee Member &amp; General Counsel</t>
  </si>
  <si>
    <t>249757-66P</t>
  </si>
  <si>
    <t>David Zapata</t>
  </si>
  <si>
    <t>Zapata</t>
  </si>
  <si>
    <t>Mr. David Zapata serves as Head Trader at Arosa Capital Management. Prior to joining Arosa, He was Global Head of Trading at Artio Global Investors (acquired by Aberdeen Asset Management in May of 2013). He began his career at Julius Baer Investment Management as a Portfolio Analyst for the International Equity team from September 2000 to November 2006, before transitioning as a Trader for the Global Equities desk. He graduated from Lehigh University in May of 2000 where he received a B.S. in Finance with a concentration in Economics and International Relations.</t>
  </si>
  <si>
    <t>david.zapata@arosacapital.com</t>
  </si>
  <si>
    <t>Head Trader</t>
  </si>
  <si>
    <t>249758-65P</t>
  </si>
  <si>
    <t>Jason Modine</t>
  </si>
  <si>
    <t>Modine</t>
  </si>
  <si>
    <t>Director &amp; Senior Analyst</t>
  </si>
  <si>
    <t>Mr. Jason Modine serves as Director of Credit &amp; Senior Analyst at Arosa Capital Management. Prior to joining Arosa, he served as Global Convertible Arbitrage/HY Bond Portfolio Manager at UBS O'Connor from August 2007 to January 2016 focusing on the global energy sector and special structures. From October 2001 to August 2007 Jason was Global Head of Data Management at UBS for the Alternative and Quantitative Investments (Q) platform. He started his career in February 2000 at Charles Schwab Co. Inc. as an Investment Specialist.</t>
  </si>
  <si>
    <t>+1 (212) 218-0556</t>
  </si>
  <si>
    <t>jason.modine@arosacapital.com</t>
  </si>
  <si>
    <t>Director of Credit &amp; Senior Analyst</t>
  </si>
  <si>
    <t>126725-41P</t>
  </si>
  <si>
    <t>Lillian Shattock</t>
  </si>
  <si>
    <t>Lillian</t>
  </si>
  <si>
    <t>Shattock</t>
  </si>
  <si>
    <t>Ms. Lillian Shattock serves as Director at Arosa Capital Management. She serves as Board Member at eSmart Systems. She began her career in the Global Financial Advisory division of Rothschild Co, London, covering the Industrials, TMT, and Financials sectors. She served as an Associate at AGC Equity Partners. She has over 3 years of experience in investment banking and corporate finance. Prior to joining AGC Equity Partners, she worked in the Global Financial Advisory division of the Rothschild Group in London, where she focused on M&amp;A, equity and debt transactions, and strategic advisory mandates across the General Industrials, Infrastructure, Business Services, and Financial Institutions sectors. She holds a B.A. (Hons.) from Magdalen College, Oxford.</t>
  </si>
  <si>
    <t>+1 (212) 218-0563</t>
  </si>
  <si>
    <t>lillian.shattock@arosacapital.com</t>
  </si>
  <si>
    <t>223324-75P</t>
  </si>
  <si>
    <t>Nancy O'Connor</t>
  </si>
  <si>
    <t>Nancy</t>
  </si>
  <si>
    <t>O'Connor</t>
  </si>
  <si>
    <t>Ms. Nancy O'Connor serves as Chief Financial Officer at Arosa Capital Management. She served as Chief Operating Officer, Chief Financial Officer &amp; Chief ComplianceOfficer at Generative Investment Partners. She was Head of Finance at Deccan Value Investors LP from 2020 to 2021, Chief Financial Officer at White Elm Capital LLC from 2007 to 2020, and Chief Financial Officer and Controller at Narragansett Asset Management LLC from 2001 to 2007. Nancy began her career as a fund accountant at Tudor Investment Corporation from 1997-1999 and as a Senior Account Manager at Citco Fund Services from 2000-2001. She received a B.S. in Accounting from Fordham University in 1997.</t>
  </si>
  <si>
    <t>nancy.oconnor@arosacapital.com</t>
  </si>
  <si>
    <t>1674 Meridian Avenue</t>
  </si>
  <si>
    <t>Suite 500</t>
  </si>
  <si>
    <t>33140</t>
  </si>
  <si>
    <t>249758-38P</t>
  </si>
  <si>
    <t>Peter Chidyllo</t>
  </si>
  <si>
    <t>Chidyllo</t>
  </si>
  <si>
    <t>Mr. Peter Chidyllo serves as the Managing Director of Private Investments at Arosa Capital Management. He serves as a Board Member at Indrio Technologies and Pyran. Prior to joining Arosa, he served as a Partner at Encompass/PioneerPath Capital from July 2008 to February 2014, overseeing both domestic and international Oil Service investments. He was the Senior Oilfield Services Analyst for the energy group at Talek Investments from March 2006 to July 2008, with primary coverage of the long/short Oil Services' equity portfolio. He began his career in June 2004 as an Analyst in the Restructuring Group at Houlihan Lokey, engaged on a number of bankruptcies, liquidations, and solvency cases. He graduated with distinction from the University of Virginia in May 2004 with a B.S. in Commerce.</t>
  </si>
  <si>
    <t>peter.chidyllo@arosacapital.com</t>
  </si>
  <si>
    <t>Managing Director of Private Investments</t>
  </si>
  <si>
    <t>356263-21P</t>
  </si>
  <si>
    <t>Ryan Flynne</t>
  </si>
  <si>
    <t>Flynne</t>
  </si>
  <si>
    <t>Mr. Ryan Flynne serves as an Analyst at Arosa Capital Management. Prior to joining Arosa, he was an Analyst at Stewart Asset Management covering Technology and Consumer investments. He began his career at Stewart in May 2016. He graduated from Lafayette College with a B.A. in Mathematics and Economics.</t>
  </si>
  <si>
    <t>ryan.flynne@arosacapital.com</t>
  </si>
  <si>
    <t>197782-03P</t>
  </si>
  <si>
    <t>Till Bechtolsheimer</t>
  </si>
  <si>
    <t>Till</t>
  </si>
  <si>
    <t>Bechtolsheimer</t>
  </si>
  <si>
    <t>Mr. Till Bechtolsheimer is a Co-Founder and serves as Chief Executive Officer &amp; Portfolio Manager at Arosa Capital Management. He is the Owner of Lola Cars. He is also an Angel Investor. From 2007 until founding Arosa, he was a Portfolio Manager/Director at UBS O'Connor LLC covering the energy sector, at first for the O'Connor Fundamental Long/Short Directional Fund and after early 2010 for the O'Connor Fundamental Long/Short Market Neutral Fund. Prior to joining UBS O'Connor, he was an Associate Director in the Private Equity and Hedge Fund teams at UBS Wealth Management in Zurich from 2005 to 2007. He graduated with honors from The University of Dublin, Trinity College in 2005 with a B.A in Economics with Philosophy.</t>
  </si>
  <si>
    <t>till.bechtolsheimer@arosacapital.com</t>
  </si>
  <si>
    <t>Co-Founder, Chief Executive Officer &amp; Portfolio Manager</t>
  </si>
  <si>
    <t>276015-97P</t>
  </si>
  <si>
    <t>Bill Holt</t>
  </si>
  <si>
    <t>Bill</t>
  </si>
  <si>
    <t>Holt</t>
  </si>
  <si>
    <t>Ascend Venture Capital</t>
  </si>
  <si>
    <t>Mr. Bill Holt serves as Advisor at Ascend Venture Capital. He brings global growth expertise and 30 years of telecom leadership experience to the Ascend team. Holt began his career at AT&amp;T, eventually spending 29 years in various management positions there and becoming regional managing director for its Asia Pacific Business Services branch. He lived and worked for many years in Asia, where he is still active in board and advisory roles. Holt serves as chairman of PSI Pacific, Horizon Wireless, and Horizonte Telecom Chile, and he is also the honorary president of China's International Human Capital Digitalization Commission.</t>
  </si>
  <si>
    <t>+1 (904) 279-9500</t>
  </si>
  <si>
    <t>Saint Louis</t>
  </si>
  <si>
    <t>Saint Louis, MO</t>
  </si>
  <si>
    <t>4220 Duncan Avenue</t>
  </si>
  <si>
    <t>Suite 201</t>
  </si>
  <si>
    <t>63110</t>
  </si>
  <si>
    <t>406265-05P</t>
  </si>
  <si>
    <t>Christopher Holt</t>
  </si>
  <si>
    <t>Mr. Christopher Holt serves as Chief Operations Officer at Ascend Venture Capital. He formally joined Ascend in 2024, after 9 years as one of its Founding Advisors. He is a serial entrepreneur based in St. Louis celebrated for founding TechArtista in 2014, a vibrant and diverse ecosystem of coworking spaces designed for creatives, business professionals, and non-profit organizations across St. Louis. In addition to his work with TechArtista, he has also been instrumental in St. Louis Startup Week, an annual celebration connecting entrepreneurs, investors, and community leaders to bolster the local startup ecosystem. He brings years of founder support for over a hundred companies and is a regular public speaker where he shares insights on transforming creative ideas into successful businesses, navigating entrepreneurial challenges, and fostering community engagement. He graduated from Washington University in St. Louis, with a degree in Chemical Engineering.</t>
  </si>
  <si>
    <t>Chief Operation Officer</t>
  </si>
  <si>
    <t>197973-55P</t>
  </si>
  <si>
    <t>Dan Conner</t>
  </si>
  <si>
    <t>Conner</t>
  </si>
  <si>
    <t>Mr. Dan Conner is the Founder and serves as General Partner at Ascend Venture Capital. He founded Ascend out of a relentless passion for innovation and entrepreneurship. As a c-level operator at disruptive startups, as a quantamental management consultant, and as an investor in big ideas, He has cultivated a career in enabling the future states of industries. He specializes in new marketplaces, programmatic decision-making processes, and science that pushes the boundaries between fiction and reality. He is an Olin Business School MBA graduate and holds an undergraduate degree from Yale in mechanical engineering; he also holds a master's in advanced renewable technologies from Washington University in St. Louis. He's started three businesses and thrived as a performance engineer in the field. He served as an advisor at Sojourn.</t>
  </si>
  <si>
    <t>dan@ascendstl.com</t>
  </si>
  <si>
    <t>General Partner &amp; Founder</t>
  </si>
  <si>
    <t>133673-41P</t>
  </si>
  <si>
    <t>Guy Friedman</t>
  </si>
  <si>
    <t>Guy</t>
  </si>
  <si>
    <t>Mr. Guy Friedman is a Co-Founder and serves as Chief Executive Officer at SteadyMD. He also serves as Advisor at Ascend Venture Capital. Previously, he founded and served as Chief Executive Officer at HigherNext. Prior to founding the company in 2010, he worked in the world of consulting, building statistical models in the finance and management consulting industries. While getting his MBA at Wharton, he worked at Next stage Capital, an early-stage venture capital firm in the Philadelphia area. He also served as Vice President, Product Strategy at ProctorU.</t>
  </si>
  <si>
    <t>+1 (314) 720-1644</t>
  </si>
  <si>
    <t>guy@steadymd.com</t>
  </si>
  <si>
    <t>30 Maryland Plaza</t>
  </si>
  <si>
    <t>63108</t>
  </si>
  <si>
    <t>SteadyMD</t>
  </si>
  <si>
    <t>311580-64P</t>
  </si>
  <si>
    <t>Yinka Faleti</t>
  </si>
  <si>
    <t>Yinka</t>
  </si>
  <si>
    <t>Faleti</t>
  </si>
  <si>
    <t>Mr. Yinka Faleti serves as Venture Partner at Ascend Venture Capital. He joined Ascend out of a passion for ethical impact and social change. Since immigrating to the U.S. at age seven, His unbridled entrepreneurial spirit was borne from an inspiring journey through poverty, service, and hard-won achievement. His path at Ascend started after a captivating campaign as a former candidate for Missouri Secretary of State, ED of Forward Through Ferguson, SVP of United Way of Greater St. Louis, prosecutor at the St. Louis Circuit Attorney's Office, and litigation attorney at Bryan Cave Leighton Paisner. Prior, as an officer in the United States Army, he attained the rank of Captain after deploying in tank units on two tours to Kuwait. He earned his undergraduate degree and officer commission from the U.S. Military Academy at West Point. He earned his law degree from Washington University in St. Louis School of Law.</t>
  </si>
  <si>
    <t>13142-44P</t>
  </si>
  <si>
    <t>Jennifer Fonstad</t>
  </si>
  <si>
    <t>Fonstad</t>
  </si>
  <si>
    <t>Aspect Ventures</t>
  </si>
  <si>
    <t>Ms. Jennifer Fonstad is a Co-Founder &amp; serves as Managing Partner at Aspect Ventures. Ms. Fonstad is an Angel Investor. She co-founded and led the Owl Capital Group, an early-stage investment firm, and earlier co-founded Aspect Ventures. She also currently serves as an Executive Fellow with the Harvard Business School. Previously, she served as a Managing Director with Draper Fisher Jurvetson for 17 years, where she helped grow the firm from $150M under management to over $3.5B. She participated in 100+ investments with 8 IPOs and 23 M&amp;A exits. Her success as an investor has landed her on the Forbes Midas List twice, and in 2016, she was named Deloitte's "Venture Capitalist of the Year." In 2017, 'Working Mother' named her one of "The 50 Most Powerful Moms." She is a graduate of Georgetown University's School of Foreign Service and holds an MBA with Distinction from the Harvard Business School. Before venture investing, Jennifer was a consultant with Bain &amp; Company and spent a year teaching math to high school students in sub-Sahara(n) Africa. She is a lifetime member of the Council on Foreign Relations and a board member of the Mastercard Foundation. Ms. Jennifer Fonstad is a Co-Founder and serves as Managing Partner at Owl Capital. She is a Co-Founder and serves as Managing Partner at Aspect Ventures.</t>
  </si>
  <si>
    <t>+1 (650) 233-9074</t>
  </si>
  <si>
    <t>jsf@aspectventures.com</t>
  </si>
  <si>
    <t>555 Bryant Street</t>
  </si>
  <si>
    <t>Suite 136</t>
  </si>
  <si>
    <t>59900-05P</t>
  </si>
  <si>
    <t>Mark Kraynak</t>
  </si>
  <si>
    <t>Kraynak</t>
  </si>
  <si>
    <t>Mr. Mark Kraynak is a Co-Founder &amp; serves as a Partner at Acrew Capital. He serves as Board Member at Aembit. He served as Board Member at Protect AI. He is an Investor at Aspect Ventures. He serves as Board Member at Silverfort &amp; At-Bay. He is an Investor &amp; serves as Advisor at Aqua (Network Management Software). He is a technology executive, company builder, and erstwhile poet/engineer. Before co-founding Acrew, he joined Aspect Ventures as Entrepreneur in Residence and converted to a full-time investor at the end of 2017. Prior to joining Aspect, he spent nearly 13 years at Imperva, where he held a number of marketing, product, corporate and development, and strategy roles. He joined as an early Imperva go-to-market hire and rose to be the GM of the entire Imperva Enterprise Business. He helped scale the company from a Series A start-up through IPO to a multi-billion dollar public company. He was instrumental in launching and acquiring many new businesses for Imperva, including writing the original business plan for Incapsula, Imperva's cloud business (where he was a board director); and acquiring several other companies and integrating them into Imperva. He has led or co-led investments in At-Bay, CipherTrace, Integris, Indegy, Orkus, Petabyte, Silverfort, Trustar, EvidentID, and Aqua Security. He is currently also an advisor to Exabeam, Indegy, Kloudless, Aqua Security, and Trustar. Prior to Imperva, he led product marketing at Check Point Software Technologies Ltd. and worked in marketing at CacheFlow. Earlier in his career, he provided technology architecture consulting for Fortune 500 clients with Ernst &amp; Young's Center for Technology Enablement. He served as Board Member at Kloudless and CipherTrace. He holds a BS in Electrical Engineering from Duke University and an MFA in Literature from American University.</t>
  </si>
  <si>
    <t>+1 (650) 400-2026</t>
  </si>
  <si>
    <t>mark@acrewcapital.com</t>
  </si>
  <si>
    <t>473 Jackson Street</t>
  </si>
  <si>
    <t>Acrew Capital</t>
  </si>
  <si>
    <t>358273-36P</t>
  </si>
  <si>
    <t>Adrien Chaltiel</t>
  </si>
  <si>
    <t>Adrien</t>
  </si>
  <si>
    <t>Chaltiel</t>
  </si>
  <si>
    <t>Aster Capital</t>
  </si>
  <si>
    <t>Mr. Adrien Chaltiel serves as Venture Partner &amp; Advisor at Aster Capital. He serves as Board Observer at BRÂAM. He holds a Master I in Business Law from Panthéon-Assas University and a Master 221 in Corporate Taxation from Université Paris-Dauphine-PSL. He has been provided with the Professional Lawyer's Certification by the Paris Bar.</t>
  </si>
  <si>
    <t>+33 (0)1 45 61 30 95</t>
  </si>
  <si>
    <t>achaltiel@aster.com</t>
  </si>
  <si>
    <t>26 avenue de l'Opéra</t>
  </si>
  <si>
    <t>75001</t>
  </si>
  <si>
    <t>Venture Partner &amp; Advisor</t>
  </si>
  <si>
    <t>42814-36P</t>
  </si>
  <si>
    <t>Cécile Tirbonod</t>
  </si>
  <si>
    <t>Cécile</t>
  </si>
  <si>
    <t>Tirbonod</t>
  </si>
  <si>
    <t>Chief Financial Officer &amp; Partner</t>
  </si>
  <si>
    <t>Ms. Cécile Tirbonod serves as Chief Financial Officer &amp; Partner at Aster Capital. Prior to joining Aster Capital in 2010, She was a senior auditor at Deloitte. She executed external audit services for middle-sized companies from all kind of sectors. The engagements related to audits of financial statements, including reviews of quarterly financial information, audits of internal control over financial reporting and other attest related services. Previously,She had worked as an assistant in the finance and accounting department of BASF in South Africa. She graduated from Sciences Po, a selective university in Paris where she specialized in finance and corporate management, and also holds the Diplôme Supérieur de Comptabilité et de Gestion.She is in charge of financial and compliance aspects for the two funds under management.</t>
  </si>
  <si>
    <t>ctirbonod@aster.com</t>
  </si>
  <si>
    <t>175547-26P</t>
  </si>
  <si>
    <t>Chama El Shamy</t>
  </si>
  <si>
    <t>Chama</t>
  </si>
  <si>
    <t>El Shamy</t>
  </si>
  <si>
    <t>Ms. Chama El Shamy serves as Head of Operations at Aster Capital. She joined Aster in November 2017 as Financial Controller. Prior to joining Aster, she gained experience in Private Equity at Ardian, where she was a Financial Controller in charge of several mandates. Previously, she worked as a senior auditor in the Asset Management field at E&amp;Y and Deloitte. She holds a Master of Audit &amp; Risk management from the University Paris V Descartes.</t>
  </si>
  <si>
    <t>celshamy@aster.com</t>
  </si>
  <si>
    <t>Head of Operations</t>
  </si>
  <si>
    <t>42812-20P</t>
  </si>
  <si>
    <t>Fabio Lancellotti</t>
  </si>
  <si>
    <t>Fabio</t>
  </si>
  <si>
    <t>Lancellotti</t>
  </si>
  <si>
    <t>Mr. Fabio Lancellotti serves as Partner at Aster Capital. He serves as a Board Member at Atlantium, CustomerMatirx, DCbrain, Terakalis, and OpenDataSoft. He served as Board Member at Iceotope. He served as Board Member at Entouch and Swiftly (San Francisco). He served as a Board Observer at Claroty. He joined Aster in 2010 after starting his Venture Capital experience at EarlyBird in Munich, where he worked on an assignment during his business school period. Prior to that, he has developed experience in the Private Equity practice at Bain and Company in Milan, where he focused on Energy and Telecom sectors during multinational assignments. He holds a degree in engineering from Politecnico of Milan and an MBA from IESE Business School with an exchange period at London Business School.</t>
  </si>
  <si>
    <t>+33 (0)1 45 61 34 53</t>
  </si>
  <si>
    <t>flancellotti@aster.com</t>
  </si>
  <si>
    <t>13895-92P</t>
  </si>
  <si>
    <t>Jean-Marc Bally</t>
  </si>
  <si>
    <t>Jean-Marc</t>
  </si>
  <si>
    <t>Bally</t>
  </si>
  <si>
    <t>Mr. Jean-Marc Bally serves as Managing Partner at Aster Capital. He serves as Board Member at Eficia, Easybike, Karos and Finalcad. He is a Co-Founder of Aster Capital, He served as Board Member at Cosmo Tech and Casanova. where he serves as Managing Partner and Investment Partner. Previously, he has been a co-founder and an Investment Partner at Aster for 5 years where he was responsible for communications and IT industries investments across Europe and North America focusing in particular on IT, nano &amp; microtechnologies, and electronics. The creation of Aster, he spent 5 years in Corporate Finance at Schneider Electric in Austria and France. He holds a Master's degree in Business Management from Grenoble Graduate School of Business, an executive education from INSEAD, and an additional master's degree in Mathematics. He is in charge of the overall management of Aster including compliance, reporting, and investor relations. He also leads our industrial application focus and is involved in deal sourcing, leading and managing investments and exits as well as managing our global portfolio of investments. He currently serves as a director in several companies among which CoSMo, Tronics Microsystems (France), Optiréno (France), and Lucibel (France). He served as a Board Member at EkWateur and Jet Metal Technologies. He served as a Board Member at Solairedirect and Ordinal Software.</t>
  </si>
  <si>
    <t>jmbally@aster.com</t>
  </si>
  <si>
    <t>347699-62P</t>
  </si>
  <si>
    <t>Vincent Prêtet</t>
  </si>
  <si>
    <t>Vincent</t>
  </si>
  <si>
    <t>Prêtet</t>
  </si>
  <si>
    <t>Mr. Vincent Prêtet serves as Venture Partner at Aster Capital. He serves as Board Member at inHEART. He holds a MSc in Engineering from Mines Paris PSL and certificates in Private Equity and Venture Capital from the London Business School and the Haas Business School of UC Berkeley. He is involved in academia and regularly shares insights on Venture Capital in leading business schools or engineering schools.</t>
  </si>
  <si>
    <t>vpretet@aster.com</t>
  </si>
  <si>
    <t>318794-05P</t>
  </si>
  <si>
    <t>Daniel Gould</t>
  </si>
  <si>
    <t>Gould</t>
  </si>
  <si>
    <t>Asymmetry Ventures</t>
  </si>
  <si>
    <t>Mr. Daniel Gould serves as Venture Partner at Asymmetry Ventures.</t>
  </si>
  <si>
    <t>251781-13P</t>
  </si>
  <si>
    <t>Robert Ness</t>
  </si>
  <si>
    <t>Ness</t>
  </si>
  <si>
    <t>Mr. Robert Ness serves as General Partner at Asymmetry Ventures.</t>
  </si>
  <si>
    <t>+1 (510) 761-7116</t>
  </si>
  <si>
    <t>rob@asymmetry.vc</t>
  </si>
  <si>
    <t>327484-36P</t>
  </si>
  <si>
    <t>Aprille Busch JD</t>
  </si>
  <si>
    <t>Aprille</t>
  </si>
  <si>
    <t>Busch</t>
  </si>
  <si>
    <t>Austin Technology Incubator</t>
  </si>
  <si>
    <t>Ms. Aprille Busch serves as SW I-Corps Hub Director &amp; Leadership Team Member at Austin Technology Incubator. She Serves as Director for the National Science Foundation's Southwest Innovation Corps Node (Southwest I-Corps), which aims to increase the economic impact of federally funded research. She holds a BA in Communication from Saint Mary's College, Indiana a Concentration in International Peace Studies from the University of Notre Dame and JD from Tulane University Law School where she specialized in International and European Union law.</t>
  </si>
  <si>
    <t>+1 (512) 475-8952</t>
  </si>
  <si>
    <t>abusch@ati.utexas.edu</t>
  </si>
  <si>
    <t>2815 San Gabriel Street</t>
  </si>
  <si>
    <t>SW I-Corps Hub Director &amp; Leadership Team Member</t>
  </si>
  <si>
    <t>374929-66P</t>
  </si>
  <si>
    <t>Rebecca Taylor</t>
  </si>
  <si>
    <t>Ms. Rebecca Taylor serves as Executive in Residence at Austin Technology Incubator. She is a TEXVMS Mentor. She served as ATI Portfolio Manager &amp; Leadership Team Member at Austin Technology Incubator. She leads ATI in providing services to its portfolio of current and alumni member companies in the Circular Economy, Clean Energy, Food &amp; AgTech, Mobility, and Water industries. Her career spans advanced development and strategy roles across startups, multinational corporations, and senior advisory positions at the U.S. Department of State. She has led and advised on monetization strategies, including licensing, venture capital investment, sales negotiations, and market expansion. An inventor and multiple patent holder, she has contributed to technologies that enhance the intelligence of everyday devices. She is a Senior Member of the Institute for Electrical and Electronics Engineers (IEEE), holds a B.S. in Computer Science from Iowa State University, and a Master of Public Affairs from UT Austin's LBJ School of Public Policy.</t>
  </si>
  <si>
    <t>rebecca.taylor@ati.utexas.edu</t>
  </si>
  <si>
    <t>172736-92P</t>
  </si>
  <si>
    <t>Richard Amato</t>
  </si>
  <si>
    <t>Amato</t>
  </si>
  <si>
    <t>Executive &amp; Executive Director</t>
  </si>
  <si>
    <t>Mr. Richard Amato serves as Executive Director &amp; Leadership Team Member at Austin Technology Incubator. Mr. Amato served as Chief Executive Officer, President &amp; Board Member at Venti Energy. He serves as Co-Chairman of the Events Committee at IC2 Institute. Due to his extensive background and expertise in clean energy and business development, he was sought by Danish investors to establish Venti Energy in 2006 as a niche player in the growing U.S. renewable development market. As founding President and CEO, he aspires to develop the untapped opportunity and potential in clean energy to help minimize the exploitation of depleting natural resources and energy supply worldwide. Prior to his current role, he founded the Clean Energy Incubator (CEI) at The University of Texas at Austin in 2001. Guiding the first incubator of its kind, he established a successful program for clean energy ventures to accelerate their time to market. Partnering with the Austin Clean Energy (ACE) Initiative, he helped elevate the level of awareness in the Central Texas area regarding clean energy within the government, the community, and the media. In addition, he secured $1.5 million in funding for CEI through the Texas State Energy Conservation Office (SECO), the Department of Energy (DOE), the City of Austin, and its utility, Austin Energy. At the national level, he worked with the National Renewable Energy Laboratory (NREL) in the creation of the Clean Energy Alliance (CEA), a group of leading U.S. business incubators dedicated to providing business and financial services tailored to the needs of the clean energy community. The Alliance consists of 17 incubators throughout the country concerned with the development of clean energy venture technologies. He currently serves on the Leadership Team for the CEA. Known worldwide for his groundbreaking involvement in clean energy business development, he has been featured as a keynote speaker and panelist in various conferences throughout the world: Malaysia, Denmark, Norway, Italy, and Kazakhstan. He was also invited in June 2003 by the Mitsubishi Research Institute (MRI) to Japan to discuss various concepts of incubation and clean energy. His introduction into the energy industry began as an engineer in the Natural Gas and Gas Products Department (NG&amp;GP) at Conoco Inc. in the early 1990s. As a graduate of the NG&amp;GP's Management Development Program, he successfully managed several projects including a $7 million installation to capture methane gas released from coal mining operations. He is the current Wind Subcommittee Chair for the Texas Renewable Energy Industries Association (TREIA) as well as a Commissioner on the City of Austin's Resource Management Commission. In addition, he sits on a variety of boards in the clean energy space including CEI, CEA, and TXROSE. He holds an MBA in Entrepreneurship and Management from the University of Texas at Austin and a Bachelor of Science in Mechanical Engineering from Texas A&amp;M University.</t>
  </si>
  <si>
    <t>+1 (512) 305-0000</t>
  </si>
  <si>
    <t>ramato@ati.utexas.edu</t>
  </si>
  <si>
    <t>Executive Director &amp; Leadership Team Member</t>
  </si>
  <si>
    <t>432819-46P</t>
  </si>
  <si>
    <t>Steven Wedel</t>
  </si>
  <si>
    <t>Wedel</t>
  </si>
  <si>
    <t>Mr. Steven Wedel serves as Coordinator &amp; Leadership Team Member at Austin Technology Incubator. He was a professional scuba diver at the Georgia Aquarium, gaining firsthand experience in marine environments and conservation efforts. He holds a Master's in Energy and Earth Resources from UT Austin, with a focus on technology and business, and a B.S. in Earth and Environmental Science from the University of Michigan.</t>
  </si>
  <si>
    <t>steven.wedel@ati.utexas.edu</t>
  </si>
  <si>
    <t>Coordinator &amp; Leadership Team Member</t>
  </si>
  <si>
    <t>286496-65P</t>
  </si>
  <si>
    <t>Ben Samild</t>
  </si>
  <si>
    <t>Ben</t>
  </si>
  <si>
    <t>Samild</t>
  </si>
  <si>
    <t>Australia Future Fund</t>
  </si>
  <si>
    <t>Mr. Ben Samild serves as Chief Investment Officer at Australia Future Fund. He previously served as Deputy Chief Investment Officer of Portfolio Construction at the company. He serves as Board Member at Melbourne Airport. Before this, Mr. Samild was the Future Fund's Head of Alternatives with responsibility for the investment of capital across a range of hedge funds and other skill-based absolute return strategies. Before joining the Future Fund, he had a ten-year career in the hedge fund industry, and four years as Head of Investment Strategy at Industry Super Fund LUCRF Super. He completed his undergraduate degree at the University of Melbourne majoring in behavioral finance, psychology, and history. Mr. Samild also worked as a research fellow while completing a Master of Applied Finance.</t>
  </si>
  <si>
    <t>+61 (0)3 8656 6400</t>
  </si>
  <si>
    <t>ben.samild@futurefund.gov.au</t>
  </si>
  <si>
    <t>Melbourne</t>
  </si>
  <si>
    <t>Melbourne, Australia</t>
  </si>
  <si>
    <t>Level 14</t>
  </si>
  <si>
    <t>447 Collins Street</t>
  </si>
  <si>
    <t>Victoria</t>
  </si>
  <si>
    <t>3000</t>
  </si>
  <si>
    <t>+61 (0)3 8656 6500</t>
  </si>
  <si>
    <t>61225-21P</t>
  </si>
  <si>
    <t>Cameron Price</t>
  </si>
  <si>
    <t>Cameron</t>
  </si>
  <si>
    <t>Executive &amp; General Counsel</t>
  </si>
  <si>
    <t>Mr. Cameron Price serves as General Counsel and Chief Risk Officer at Australia Future Fund. Previously, he was a Partner and Board member at law firm Allens Linklaters, where he had 25 years of experience in corporate law, with particular expertise in mergers and acquisitions, private equity, equity capital markets, and corporate governance. He holds a Bachelor of Economics and a Bachelor of Laws (Hons) from Monash University.</t>
  </si>
  <si>
    <t>cameron.price@futurefund.gov.au</t>
  </si>
  <si>
    <t>General Counsel &amp; Chief Risk Officer</t>
  </si>
  <si>
    <t>94162-33P</t>
  </si>
  <si>
    <t>Craig Thorburn</t>
  </si>
  <si>
    <t>Thorburn</t>
  </si>
  <si>
    <t>Mr. Craig Thorburn serves as Director of Research and Insights at Australia Future Fund.</t>
  </si>
  <si>
    <t>craig.thorburn@futurefund.gov.au</t>
  </si>
  <si>
    <t>Director of Research and Insights</t>
  </si>
  <si>
    <t>34482-25P</t>
  </si>
  <si>
    <t>David Bluff</t>
  </si>
  <si>
    <t>Bluff</t>
  </si>
  <si>
    <t>Mr. David Bluff serves as Head of Priavte Equity at Australia Future Fund. He served as Managing Director &amp; Partner at The Carlyle Group. Earlier he was a Managing Director at The Carlyle Group. He served as a Director, Corporate Private Equity at The Carlyle Group. He is also the Head of its buyout team in Australia and New Zealand. He has been actively involved with Carlyle's current investments in Healthscope, Qube Logistics, and Coates Hire. Prior to joining Carlyle, Mr. Bluff worked with SABMiller plc where he was responsible for acquisitions in Europe and the Americas and J.P. Morgan's M&amp;A teams in both Australia and the UK. Mr. Bluff graduated from the University of Queensland with first-class honors in commerce and law and was awarded the University Medal in Commerce.</t>
  </si>
  <si>
    <t>david.bluff@futurefund.gov.au</t>
  </si>
  <si>
    <t>Managing Director of Real Assets</t>
  </si>
  <si>
    <t>395368-57P</t>
  </si>
  <si>
    <t>Dean Paganis</t>
  </si>
  <si>
    <t>Dean</t>
  </si>
  <si>
    <t>Paganis</t>
  </si>
  <si>
    <t>Mr. Dean Paganis serves as Private Equity Associate at Australia Future Fund.</t>
  </si>
  <si>
    <t>dean.paganis@futurefund.gov.au</t>
  </si>
  <si>
    <t>Private Equity Associate</t>
  </si>
  <si>
    <t>418007-17P</t>
  </si>
  <si>
    <t>Genevieve Murray</t>
  </si>
  <si>
    <t>Genevieve</t>
  </si>
  <si>
    <t>Genevieve Murray serves as Managing Director of Responsible Investment and Listed Equities at Australia Future Fund. She is responsible for the strategy of the Listed Equities portfolio. Prior to joining the Future Fund, Genevieve was the Head of Australian Equities at AMP Capital. Preceding this, she spent two decades at Macquarie Group within the investment management and wealth management divisions.</t>
  </si>
  <si>
    <t>genevieve.murray@futurefund.gov.au</t>
  </si>
  <si>
    <t>Managing Director, Responsible Investment and Listed Equities</t>
  </si>
  <si>
    <t>121793-14P</t>
  </si>
  <si>
    <t>Gordon McKellar</t>
  </si>
  <si>
    <t>McKellar</t>
  </si>
  <si>
    <t>Mr. Gordon McKellar serves as Chief Operating Officer at Australia Future Fund. Mr McKellar joined the Future Fund in 2007. He has over 30 years of operational experience in funds management and asset servicing. He was previously Head of Operations at BNP Paribas Securities Services and before this held several operational and client management roles with Deutsche Bank and Bankers Trust in Edinburgh, New York, and Sydney.</t>
  </si>
  <si>
    <t>gordon.mckellar@futurefund.gov.au</t>
  </si>
  <si>
    <t>186368-77P</t>
  </si>
  <si>
    <t>Hugh Murray</t>
  </si>
  <si>
    <t>Hugh</t>
  </si>
  <si>
    <t>Chief Investment Officer &amp; Head</t>
  </si>
  <si>
    <t>Mr. Hugh Murray serves as Deputy Chief Investment Officer &amp; Head of Overlays at Australia Future Fund. He joined the team at Future Fund in 2011 and was most recently the Head of Overlays. Previously, he was employed as the Head of Asia-Pacific Equity Derivative Trading at Nomura. Before that, he worked with both Lehman Brothers and Goldman Sachs. He holds a Bachelor of Engineering and a Master of Business Administration from the University of Melbourne.</t>
  </si>
  <si>
    <t>hugh.murray@futurefund.gov.au</t>
  </si>
  <si>
    <t>Deputy Chief Investment Officer &amp; Head of Overlays</t>
  </si>
  <si>
    <t>434332-72P</t>
  </si>
  <si>
    <t>James White</t>
  </si>
  <si>
    <t>Mr. James White serves as Director at Australia Future Fund.</t>
  </si>
  <si>
    <t>415044-10P</t>
  </si>
  <si>
    <t>Karel Tan</t>
  </si>
  <si>
    <t>Karel</t>
  </si>
  <si>
    <t>Mr. Karel Tan serves as Senior Associate at Australia Future Fund.</t>
  </si>
  <si>
    <t>karel.tan@futurefund.gov.au</t>
  </si>
  <si>
    <t>351103-51P</t>
  </si>
  <si>
    <t>Kelvin Mak-Lui</t>
  </si>
  <si>
    <t>Kelvin</t>
  </si>
  <si>
    <t>Mak-Lui</t>
  </si>
  <si>
    <t>Mr. Kelvin Mak-Lui serves as Director, Private Equity at Australia Future Fund.</t>
  </si>
  <si>
    <t>kelvin.mak-lui@futurefund.gov.au</t>
  </si>
  <si>
    <t>Director, Private Equity</t>
  </si>
  <si>
    <t>446986-00P</t>
  </si>
  <si>
    <t>Nancy Collins</t>
  </si>
  <si>
    <t>Ms. Nancy Collins serves as Chief Financial Officer &amp; Chief Risk Officer at Australia Future Fund.</t>
  </si>
  <si>
    <t>nancy@futurefund.gov.au</t>
  </si>
  <si>
    <t>444557-17P</t>
  </si>
  <si>
    <t>Patrick Martin</t>
  </si>
  <si>
    <t>Mr. Patrick Martin serves as Manager, Private Equity at Australia Future Fund.</t>
  </si>
  <si>
    <t>patrick.martin@futurefund.gov.au</t>
  </si>
  <si>
    <t>Sydney, Australia</t>
  </si>
  <si>
    <t>100 Market Street</t>
  </si>
  <si>
    <t>Level 6</t>
  </si>
  <si>
    <t>New South Wales</t>
  </si>
  <si>
    <t>2000</t>
  </si>
  <si>
    <t>Manager, Private Equity</t>
  </si>
  <si>
    <t>77603-50P</t>
  </si>
  <si>
    <t>Raphael Arndt Ph.D</t>
  </si>
  <si>
    <t>Raphael</t>
  </si>
  <si>
    <t>Arndt</t>
  </si>
  <si>
    <t>Dr. Raphael Arndt serves as Chief Executive Officer at Australia Future Fund. He commenced as the Chief Executive Officer of the Future Fund on 1 July 2020. He served as the Chief Investment Officer of the Future Fund from 2014 to 2020 and was previously the Future Fund's Head of Infrastructure and Timberland, where he was responsible for establishing both the Infrastructure and Timberland investment programs. He is also a Board Member of the Melbourne Lord Mayor's Charitable Foundation, Australia's largest community foundation. He started his career as an engineer working with Ove Arup &amp; Partners in Melbourne and London. He holds Engineering and Commerce degrees and a PhD from the University of Melbourne, which focused on risk allocation in Public Private Partnerships. He serves as a Board Member at Australia Pacific Airports Corporation. He served as a Board Member at Gatwick Airport. He was previously head of infrastructure and timberlands with the Sovereign Wealth Fund. He has been Head of Infrastructure and Timberland at the Future Fund since 2007 with a particular focus on building and managing the Fund's investments in these areas. He joined Hastings Funds Management where he was an Investment Director responsible for managing successful infrastructure and timberland portfolios as well as leading infrastructure and timberland transactions. He also has significant asset management experience in both sectors. Previously he was Director, of Policy at the Australian Council for Infrastructure Development (AusAID) and completed a Ph.D. at Melbourne University. He served as Acting Chief Investment Officer at OneFortyOne Plantations Holdings.</t>
  </si>
  <si>
    <t>raphael.arndt@futurefund.gov.au</t>
  </si>
  <si>
    <t>87421-24P</t>
  </si>
  <si>
    <t>Sarah Carne</t>
  </si>
  <si>
    <t>Carne</t>
  </si>
  <si>
    <t>Ms. Sarah Carne serves as a Senior Investment Partner at Australia Future Fund.</t>
  </si>
  <si>
    <t>sarah.carne@futurefund.gov.au</t>
  </si>
  <si>
    <t>Senior Investment Partner</t>
  </si>
  <si>
    <t>94161-61P</t>
  </si>
  <si>
    <t>Shikha Gupta</t>
  </si>
  <si>
    <t>Shikha</t>
  </si>
  <si>
    <t>Ms. Shikha Gupta serves as Investment Director of Alternatives at Australia Future Fund.</t>
  </si>
  <si>
    <t>shikha.gupta@futurefund.gov.au</t>
  </si>
  <si>
    <t>Investment Director of Alternatives</t>
  </si>
  <si>
    <t>420599-80P</t>
  </si>
  <si>
    <t>Simone Keane</t>
  </si>
  <si>
    <t>Keane</t>
  </si>
  <si>
    <t>She served as Chief People &amp; Culture Officer at Maurice Blackburn. She Joined Maurice Blackburn in October 2018 and is part of our senior executive team based at the Melbourne office. Prior to joining the firm, Simone held executive positions across multiple industries (resources, logistics, finance, retail) and in large global and ASX listed companies. Her professional experience includes team leadership, leading complex change and transformation programs in both industrial and commercial contexts. At Maurice Blackburn, Simone is responsible for organisational effectiveness and capability; talent and succession management; implementation of people and culture initiatives; leadership development; health, safety risk and environment; workplace relations and all employment and remuneration policies and practices. She is interested in using technology to enhance our employees' experience. Simone's intention is that Maurice Blackburn continues to be a firm with a unique and inclusive culture, supporting its employees to do their best work for clients.</t>
  </si>
  <si>
    <t>+61 (0)3 8102 2089</t>
  </si>
  <si>
    <t>simone.hartley-keane@futurefund.gov.au</t>
  </si>
  <si>
    <t>+61 (0)3 9258 9600</t>
  </si>
  <si>
    <t>Chief People, Culture and Inclusion Officer</t>
  </si>
  <si>
    <t>270374-68P</t>
  </si>
  <si>
    <t>Sonia Khan</t>
  </si>
  <si>
    <t>Sonia</t>
  </si>
  <si>
    <t>Ms. Sonia Khan serves as Strategist, Disruption &amp; Investment Research at Australia Future Fund.</t>
  </si>
  <si>
    <t>sonia.khan@futurefund.gov.au</t>
  </si>
  <si>
    <t>Strategist, Disruption &amp; Investment Research</t>
  </si>
  <si>
    <t>54349-66P</t>
  </si>
  <si>
    <t>Will Hetherton</t>
  </si>
  <si>
    <t>Will</t>
  </si>
  <si>
    <t>Hetherton</t>
  </si>
  <si>
    <t>Mr. Will Hetherton serves as Chief Corporate Affairs Officer at Australia Future Fund. He served as Head of Corporate Affairs at Australia Future Fund. Before joining the Future Fund, Mr Hetherton spent five years in the corporate affairs team at National Australia Bank including roles in Australia and the United Kingdom. Previously he worked in corporate affairs consulting. He is a member of the Advisory Committee of the International Forum of Sovereign Wealth Funds. He holds a degree in Philosophy, Politics and Economics from New College, Oxford, and a post-graduate certificate in Applied Finance from Kaplan Professional.</t>
  </si>
  <si>
    <t>will.hetherton@futurefund.gov.au</t>
  </si>
  <si>
    <t>Chief Corporate Affairs Officer</t>
  </si>
  <si>
    <t>419069-80P</t>
  </si>
  <si>
    <t>Aaron Shaket</t>
  </si>
  <si>
    <t>Shaket</t>
  </si>
  <si>
    <t>Autodesk</t>
  </si>
  <si>
    <t>Chief Operating Officer &amp; Senior Vice President</t>
  </si>
  <si>
    <t>Mr. Aaron Shaket serves as Senior Vice President &amp; Chief Operating Officer, Finance at Autodesk. As Senior Vice President of Go-to-Market Finance, Mr. Shaket provides strategic business partnerships to Autodesk's Go-to-Market organization to ensure effective revenue growth and delivery of a world-class customer experience through financial analysis and business insights. He collaborates closely with Autodesk's Chief Operating Officer and go-to-market leaders in sales, customer success, and marketing to develop and execute impactful ROI-driven strategies for short- and long-term growth. Prior to joining Autodesk, he held various go-to-market-focused roles across finance, strategy, and operations at large-scale companies including Intuit, Heineken, PepsiCo, The Boston Consulting Group, and Proctor &amp; Gamble. Most recently, he served in multiple executive leadership positions at Intuit including Vice President of Global Customer Operations and Vice President of Sales and Marketing Operations. In these roles, he led operations enablement across business units to drive revenue growth, cost savings, and excellent customer experiences, and he played a pivotal role in establishing execution rigor with data-driven insights. He holds a Master of Business Administration from Harvard Business School with advanced coursework in finance and strategy and earned his Bachelor and Master of Arts degrees in economics from Tel-Aviv University.</t>
  </si>
  <si>
    <t>+1 (415) 507-5000</t>
  </si>
  <si>
    <t>aaron.shaket@autodesk.com</t>
  </si>
  <si>
    <t>The Landmark One Market</t>
  </si>
  <si>
    <t>Senior Vice President &amp; Chief Operating Officer, Finance</t>
  </si>
  <si>
    <t>135383-50P</t>
  </si>
  <si>
    <t>Adam Helps</t>
  </si>
  <si>
    <t>Helps</t>
  </si>
  <si>
    <t>Executive &amp; Principal</t>
  </si>
  <si>
    <t>Mr. Adam Helps serves as Principal Software Engineer &amp; Senior Software Engineer at Autodesk.</t>
  </si>
  <si>
    <t>adam.helps@autodesk.com</t>
  </si>
  <si>
    <t>Principal Software Engineer &amp; Senior Software Engineer</t>
  </si>
  <si>
    <t>381527-74P</t>
  </si>
  <si>
    <t>Amy Bunszel</t>
  </si>
  <si>
    <t>Bunszel</t>
  </si>
  <si>
    <t>Mr. Amy Bunszel serves as Executive Vice President, Architecture, Engineering and Construction Solutions at Autodesk. Ms. Bunszel leads product and industry strategy, delivering end-to-end solutions that connect early-stage planning, design, and construction for the AECO industry. Her portfolio includes the Autodesk AEC Collection, Autodesk Forma, the AutoCAD family, Autodesk Revit, Autodesk Civil 3D, Autodesk Water, Autodesk Construction Cloud, and more. With over 30 years of experience innovating software products across the architecture, engineering, construction, manufacturing, and media and entertainment industries, Amy brings deep product management knowledge and a track record of large-scale product transformation. She led the modernization of AutoCAD to a modern multi-platform offering that helped drive Autodesk's shift to a subscription business model. Today, she is building on that legacy by expanding Autodesk's impact in the construction industry and delivering SaaS solutions that improve how projects are designed and built across the AECO Industry. Before joining Autodesk, Amy co-founded Linius Technologies, a company that developed wire harness design software for the manufacturing industry. Autodesk acquired the company in 2003, integrating its technology into Autodesk Inventor. Amy serves on the board of directors of Pixelworks (PXLW) and is a member of the President's Council for Cornell Women, the Entrepreneurship Program at Cornell, and The Athena Alliance. Amy holds a bachelor' s degree in electrical engineering from Cornell University and a master's degree in electrical engineering from the University of Massachusetts, Amherst.</t>
  </si>
  <si>
    <t>amy.bunszel@autodesk.com</t>
  </si>
  <si>
    <t>Executive Vice President, Architecture, Engineering and Construction Solutions</t>
  </si>
  <si>
    <t>84497-86P</t>
  </si>
  <si>
    <t>Andrew Anagnost Ph.D</t>
  </si>
  <si>
    <t>Anagnost</t>
  </si>
  <si>
    <t>Dr. Andrew Anagnost serves as President, Chief Executive Officer &amp; Board Member at Autodesk. He also serves as a Board Member at Autodesk Foundation. His career spans more than 25 years of product, business, and marketing experience focused on driving strategy, transformation, and product development, and includes positions at Autodesk, Lockheed Aeronautical Systems Company, and EXA Corporation. He also completed a doctorate at Stanford University and worked at NASA Ames Research Center as an NRC post-doctoral fellow. He began his career at Autodesk in 1997 and has held a wide range of roles in the areas of marketing, new business development, product management, and product development. Before becoming President and CEO in June 2017, he served as Chief Marketing Officer and SVP of the Business Strategy and Marketing organization. In this role, he served as architect and leader of Autodesk's business model transition-moving the company to become a software-as-a-service (SaaS) solutions provider. Previously, he held various executive positions across Autodesk. Early in his Autodesk career, he led the development of the company's manufacturing products and grew Autodesk Inventor's revenue to over $500 million. He is a member of the Autodesk Board of Directors. He holds a Bachelor of Science Degree in Mechanical Engineering from California State University and holds both an MS in Engineering Science and a Ph.D. in Aeronautical Engineering and Computer Science from Stanford University.</t>
  </si>
  <si>
    <t>President, Chief Executive Officer &amp; Board Member</t>
  </si>
  <si>
    <t>24619-24P</t>
  </si>
  <si>
    <t>Andrew Friendly</t>
  </si>
  <si>
    <t>Friendly</t>
  </si>
  <si>
    <t>Mr. Andrew Friendly serves as Vice President, Government Affairs and Public Policy at Autodesk. Mr. Friendly served as Principal at Advanced Technology Ventures in 2007 and focuses on cleantech investments in the firm's Waltham office. Previously, he was a Director at Idealab, where he evaluated energy and clean technologies, and a Partner at Clean Edge. He also spent five years at The White House where he served as Personal Aide to President Clinton and Senior Advisor to the Special Envoy for the Americas. An active member of New England's cleantech community, he co-leads the Renewable Energy Business Network and serves on the advisory board of the New England Clean Energy Council. He holds an M.B.A. from the J.L. Kellogg Graduate School of Management at Northwestern University and a B.A. from Middlebury College.</t>
  </si>
  <si>
    <t>andrew.friendly@autodesk.com</t>
  </si>
  <si>
    <t>Vice President, Government Affairs and Public Policy</t>
  </si>
  <si>
    <t>446336-56P</t>
  </si>
  <si>
    <t>Andy Elder</t>
  </si>
  <si>
    <t>Andy</t>
  </si>
  <si>
    <t>Elder</t>
  </si>
  <si>
    <t>Chief Revenue Officer</t>
  </si>
  <si>
    <t>Mr. Andy Elder serves as Chief Revenue Officer at Autodesk. Mr. Elder serves as Senior Advisor at Bregal Milestone. He currently serves as a Corporate Vice President at Microsoft within the Security Solutions division. Prior to joining Microsoft in 2021, He was a Senior Vice President at Palo Alto Networks, contributing to the firm's Core &amp; Growth function. Before that, he held key leadership roles, including Chief Sales Officer at Riverbed Technology and President of EMEA at Intel Security. In addition, he has led sales teams at Intellectual Ventures, Cisco, and 3Com. Notably, he spent 13 years at Cisco, where his responsibilities included driving the go-to-market and growth strategy for 130+ countries within the Advanced Technology and Enterprise portfolio, as well as being Head of Sales for Sports and Entertainment Solutions worldwide. Prior to joining Autodesk, Andy was corporate vice president of Microsoft Security Solutions, where he led a multibillion-dollar expansion of one of their fastest-growing business units. At Palo Alto Networks, Andy was responsible for leading the division that generated over three-quarters of company-wide business and spearheaded growth initiatives that put the company on track to nearly double its revenue. As chief sales officer at Riverbed Technology and president of Europe, Middle East and Africa at Intel Security, he consistently delivered transformational results in complex global markets. Andy spent 13 years at Cisco where he transformed multiple technology segments into billion-dollar business units. He also pioneered innovative technology deployments in complex environments and consistently exceeded regional expansion targets across multiple continents. Having lived and worked across Europe, the Americas, and the Middle East, Andy's global perspective positions Autodesk to better capture international market opportunities. Andy's expertise in successfully scaling multiple technology companies through critical transition periods directly supports Autodesk's strategic growth priorities. His leadership approach will build upon Autodesk's strong revenue foundation and further enhance sales efficiency to increase customer lifecycle value across Autodesk's global markets.</t>
  </si>
  <si>
    <t>andy.elder@autodesk.com</t>
  </si>
  <si>
    <t>89264-71P</t>
  </si>
  <si>
    <t>Anthony Ruto</t>
  </si>
  <si>
    <t>Ruto</t>
  </si>
  <si>
    <t>Dr. Anthony Ruto serves as Senior Director, Research Engineering at Autodesk. Previously, Dr. Ruto served as the Chief Technology Officer at Within Technologies. He leads the development of Autodesk Within software and is one of the founding members of the Within team. During Within's inception, Anthony wrote the code base that facilitated the development of Within's lightweight design capabilities in software. He developed and implemented efficient algorithms for generating highly complex lattice geometries and calibrated them to additive manufacturing processes including Direct Metal Laser Sintering and Electron Beam Melting. Anthony leads the software development team at Within and collaborates with other teams in Autodesk to develop the next generation in advanced functional design software. Prior to Within, Anthony worked in the medical imaging sector and innovated solutions for real-time image-guided radiotherapy, including a patented Patient Monitor. He has also been involved in the research and development of TV broadcast scheduling technologies at the BBC and developed software for early 3D body scanning systems. Anthony has an Engineering Doctorate in Virtual Environments Imaging &amp; Visualisation from University College London (UCL) where he specialized in the statistical modeling of 3D human body shapes for various applications. He also holds an MBA in Computer Vision from London Business School, Doctorate &amp; Master's in Engineering &amp; Computer Vision from the University of London, and a Bachelor of Arts in Computer Science from the University of Cambridge.</t>
  </si>
  <si>
    <t>anthony.ruto@autodesk.com</t>
  </si>
  <si>
    <t>Senior Director, Research Engineering</t>
  </si>
  <si>
    <t>433810-09P</t>
  </si>
  <si>
    <t>Carl White</t>
  </si>
  <si>
    <t>Chief Information Officer &amp; Senior Vice President</t>
  </si>
  <si>
    <t>Mr. Carl White serves as Senior Vice President, Global Revenue Operations and Chief Information Officer at Autodesk. In this role, Mr. White drives digital transformation across go-to-market teams, including transitioning to the new buying experience. Within GRO, he oversees sales and channel operations, business models &amp; pricing, enterprise analytics, enablement, vendor and workplace systems management, and enterprise cloud engineering. He previously served as VP of Business Models and Platform Strategy, developing strategic programs and pricing to help the company transition customers from perpetual licensing to subscription models. Over his 20+ year career at Autodesk, He has held various leadership roles, from marketing to product line management for the manufacturing sector. Before joining Autodesk, he worked at Apple Computer and The Los Angeles Times.</t>
  </si>
  <si>
    <t>carl.white@autodesk.com</t>
  </si>
  <si>
    <t>Senior Vice President, Global Revenue Operations and Chief Information Officer</t>
  </si>
  <si>
    <t>86199-22P</t>
  </si>
  <si>
    <t>Catherine Prestinari</t>
  </si>
  <si>
    <t>Prestinari</t>
  </si>
  <si>
    <t>Ms. Catherine Prestinari serves as Director, Mergers &amp; Acquisitions, Integration at Autodesk. Ms. Prestinari served as Senior Manager of M &amp; A Integration at Autodesk. She has BA in Geography from University of Sussex.</t>
  </si>
  <si>
    <t>catherine.prestinari@autodesk.com</t>
  </si>
  <si>
    <t>Director, Mergers &amp; Acquisitions, Integration</t>
  </si>
  <si>
    <t>86205-16P</t>
  </si>
  <si>
    <t>Charlyn McCallum</t>
  </si>
  <si>
    <t>Charlyn</t>
  </si>
  <si>
    <t>McCallum</t>
  </si>
  <si>
    <t>Mr. Charlyn McCallum serves as Manager, Digital Manufacturing Customer Success at Autodesk. Previously, Mr. McCallum served as a Manager of Workforce Development at Concorde Career Colleges, Inc.</t>
  </si>
  <si>
    <t>charlyn.mccallum@autodesk.com</t>
  </si>
  <si>
    <t>Manager, Digital Manufacturing Customer Success</t>
  </si>
  <si>
    <t>266585-77P</t>
  </si>
  <si>
    <t>Clare Bull</t>
  </si>
  <si>
    <t>Bull</t>
  </si>
  <si>
    <t>Ms. Clare Bull serves as Director &amp; Chief of Staff Innovyze at Autodesk.</t>
  </si>
  <si>
    <t>clare.bull@autodesk.com</t>
  </si>
  <si>
    <t>Director &amp; Chief of Staff Innovyze</t>
  </si>
  <si>
    <t>184705-93P</t>
  </si>
  <si>
    <t>Dara Treseder</t>
  </si>
  <si>
    <t>Dara</t>
  </si>
  <si>
    <t>Treseder</t>
  </si>
  <si>
    <t>Ms. Dara Treseder serves as Chief Marketing Officer at Autodesk. Ms. Treseder serves as Board Member at Robinhood. She served as Senior Vice President &amp; Head of Global Marketing and Communications at Peloton. She is an Angel Investor. Ms. Dara Treseder served as the Chief Marketing Officer at Carbon. Dara leads marketing and communications at Carbon. She joined Carbon in 2018 from GE, where she was Chief Marketing Officer of GE Ventures and GE Business Innovations. Before joining GE, Dara led marketing efforts at Apple and Goldman Sachs. She is also the co-founder of the consulting firm NeuBridges. Dara has been widely recognized for her knowledge and achievements in marketing and technology. In 2018, she was featured by Forbes as a "CMO Next" - one of 50 executives the business publication identified as redefining the CMO's role and shaping the future of marketing. Dara was also named by AdAge as one of the "Women to Watch" in 2018. In 2017, she was recognized by Inc. as one of the "30 Inspirational Women to Watch in Tech." Dara graduated with the highest honors in African and African American Studies from Harvard University and holds an MBA from Stanford University.</t>
  </si>
  <si>
    <t>dara.treseder@autodesk.com</t>
  </si>
  <si>
    <t>59793-67P</t>
  </si>
  <si>
    <t>David Waterhouse</t>
  </si>
  <si>
    <t>Waterhouse</t>
  </si>
  <si>
    <t>Manager &amp; Senior Director</t>
  </si>
  <si>
    <t>Mr. David Waterhouse serves as Senior Director - EMEA Demand Generation &amp; Country Manager France at Autodesk. Mr. Waterhouse served as Board Member at Zenpark. He has a bs in Mathematics &amp; Computer Science from Manchester University.</t>
  </si>
  <si>
    <t>david.waterhouse@autodesk.com</t>
  </si>
  <si>
    <t>Senior Director - EMEA Demand Generation &amp; Country Manager France</t>
  </si>
  <si>
    <t>217826-92P</t>
  </si>
  <si>
    <t>Deborah Clifford</t>
  </si>
  <si>
    <t>Deborah</t>
  </si>
  <si>
    <t>Clifford</t>
  </si>
  <si>
    <t>Ms. Deborah Clifford serves as Chief Strategy Officer &amp; Executive Vice President at Autodesk. She also served as Chief Financial Officer &amp; Executive Vice President at Autodesk. She also serves as Chairwoman of the Board at Autodesk Foundation. She serves as Chief Financial Officer at SVMK. She is responsible for all aspects of finance including accounting, tax and treasury, procurement, operations, financial planning and analysis, investor relations, and corporate development. She was previously the chief financial officer at SurveyMonkey. She joined SurveyMonkey shortly after its initial public offering and successfully scaled the finance function as the company experienced high growth and matured as a public company. Before SurveyMonkey, she spent 13 years in various financial leadership roles at Autodesk and was an instrumental player in the company's transition from a perpetual to a subscription business model. Prior to Autodesk, she held positions at Virage, Inc. and Ernst &amp; Young. She serves on the board of Harmonic, a video technology, and services company. She holds a Bachelor of Arts in Political Science from the University of California, Los Angeles, and a Master's in Business Administration from the Stanford Graduate School of Business. She is a certified public accountant (inactive) in the state of California.</t>
  </si>
  <si>
    <t>Chief Strategy Officer &amp; Executive Vice President</t>
  </si>
  <si>
    <t>288541-72P</t>
  </si>
  <si>
    <t>Diana Colella</t>
  </si>
  <si>
    <t>Colella</t>
  </si>
  <si>
    <t>Ms. Diana Colella serves as Executive Vice President, Entertainment &amp; Media Solutions at Autodesk. Ms. Colella is senior vice president of Autodesk's Entertainment &amp; Media vertical solutions group. In this role, she manages product, strategy, and execution for the company's portfolio servicing the film, TV, and games industries. Colella has been with Autodesk for more than 20 years occupying a range of leadership roles, including head of product management and worldwide support. She has extensive experience in strategically transforming business models, creating new product offerings, and optimizing processes on a global scale. Most recently, she served as vice president in Autodesk's Business Strategy and Marketing group, leading the M&amp;E and AutoCAD businesses, which represent more than $1B in annual recurring revenue. In this role, she drove the company's strategy for digital conversion of non-compliant users and launched One AutoCAD. She is the executive sponsor of the Autodesk Women's Network. Before joining Autodesk, Colella worked at KPMG. She holds a Master of Business Administration from McGill - HEC University in Montreal, Canada. She earned a Bachelor of Commerce in Accounting from Concordia University in Montreal and is a Certified Public Accountant.</t>
  </si>
  <si>
    <t>diana.colella@autodesk.com</t>
  </si>
  <si>
    <t>Executive Vice President, Entertainment &amp; Media Solutions</t>
  </si>
  <si>
    <t>201023-29P</t>
  </si>
  <si>
    <t>Elisabeth Zornes</t>
  </si>
  <si>
    <t>Elisabeth</t>
  </si>
  <si>
    <t>Zornes</t>
  </si>
  <si>
    <t>Chief Customer Officer</t>
  </si>
  <si>
    <t>Ms. Elisabeth Zornes serves as Chief Customer Officer at Autodesk. Ms. Zornes served as Chief Customer Officer at Zendesk. As Chief Customer Officer, Elisabeth Zornes focuses on delivering great Autodesk experiences for our customers and partners, allowing them to adopt Autodesk technologies faster and more effectively to best realize the full value of our products. She is passionate about the customer and believes that positive customer experiences drive revenue growth. Elisabeth oversees the global Autodesk teams responsible for all aspects of customer engagement including Consulting, Customer Success, Partner Success, Product Support and Renewals-from customer onboarding through renewal. In her career, she has led global teams of more than 6,000 professionals that serve the needs of customers across all market segments through both digital and human engagement. She began her career as a support agent and customer success executive for leading global IT providers including Microsoft, Cisco, and Siemens Business Services. Most recently, she was Chief Customer Officer at cloud customer support innovator Zendesk. In her global IT executive career, Elisabeth has held global senior level roles in sales and business development, go-to-market and M&amp;A strategy, managed services, channel services, customer support, professional services, service product management, and operations. Elisabeth completed her Master of Science degree at Friedrich Alexander University in Erlangen, Germany, and continued her executive management education with graduate-level programs at MIT Sloan School of Management, Harvard and INSEAD International. She is a Fellow of the International Women's Forum.</t>
  </si>
  <si>
    <t>elisabeth.zornes@autodesk.com</t>
  </si>
  <si>
    <t>271389-07P</t>
  </si>
  <si>
    <t>Erika Cummings</t>
  </si>
  <si>
    <t>Erika</t>
  </si>
  <si>
    <t>Cummings</t>
  </si>
  <si>
    <t>Ms. Erika Cummings serves as Investor Relations Coordinator at Autodesk. Ms. Cummings holds BA (Bachelor of Arts) in Political Science and Government from University of California, Berkeley.</t>
  </si>
  <si>
    <t>+1 (415) 507-6373</t>
  </si>
  <si>
    <t>erika.cummings@autodesk.com</t>
  </si>
  <si>
    <t>79119-55P</t>
  </si>
  <si>
    <t>Heiko Meyerdirks</t>
  </si>
  <si>
    <t>Heiko</t>
  </si>
  <si>
    <t>Meyerdirks</t>
  </si>
  <si>
    <t>Mr. Heiko Meyerdirks serves as Director, Software Engineering at Autodesk. Previously, Mr. Meyerdirks served as a Head of Products at 3D Geo GmbH Potsdam. He has Master's in Computer Science from University of Trier; Postgraduate in Applied Science from Lincoln University &amp; Bachelor's in Geography from Humboldt-Universität zu Berlin.</t>
  </si>
  <si>
    <t>heiko.meyerdirks@autodesk.com</t>
  </si>
  <si>
    <t>Director, Software Engineering</t>
  </si>
  <si>
    <t>128401-39P</t>
  </si>
  <si>
    <t>Jason Oliveira</t>
  </si>
  <si>
    <t>Oliveira</t>
  </si>
  <si>
    <t>Mr. Jason Oliveira serves as User Experience Architect at Autodesk. Mr. Oliveira co-founded &amp; served as Manager of Design Applications, Product Manager &amp; User Experience Architect at Synthicity. She holds a Master in Architecture degree from Harvard University's Graduate School of Design, and a BS in Civil/Structural engineering from Northeastern University.</t>
  </si>
  <si>
    <t>jason.oliveira@autodesk.com</t>
  </si>
  <si>
    <t>User Experience Architect</t>
  </si>
  <si>
    <t>55261-45P</t>
  </si>
  <si>
    <t>Jean Shia</t>
  </si>
  <si>
    <t>Jean</t>
  </si>
  <si>
    <t>Shia</t>
  </si>
  <si>
    <t>Ms. Jean Shia serves as Managing Director, Autodesk Foundation at Autodesk. She served as Head of Portfolio and Investment at Autodesk Foundation at Autodesk. She is the Vice President of Business Operations at Driptech. She was previously a project manager for the investment and development group at Avant Housing, a double-bottom-line real estate fund. She has also worked for several years as a consultant to economic and international development agencies. She received a BS with Honors in Urban Studies from Cornell University and an MBA from UC Berkeley's Haas School of Business.</t>
  </si>
  <si>
    <t>Managing Director, Autodesk Foundation</t>
  </si>
  <si>
    <t>86199-67P</t>
  </si>
  <si>
    <t>Jennifer Bacha</t>
  </si>
  <si>
    <t>Bacha</t>
  </si>
  <si>
    <t>Ms. Jennifer Bacha serves as Senior Human Resource Manager, Mergers and Acquisitions at Autodesk.</t>
  </si>
  <si>
    <t>jennifer.bacha@autodesk.com</t>
  </si>
  <si>
    <t>Senior Human Resource Manager, Mergers and Acquisitions</t>
  </si>
  <si>
    <t>79085-80P</t>
  </si>
  <si>
    <t>Jeremy Carter</t>
  </si>
  <si>
    <t>Mr. Jeremy Carter serves as Strategic Foresigh, Executive at Autodesk. Mr. Carter served as Design Education Evangelist at Autodesk. He served as Head of Program Design and Operations at Startup Institute. He is also the Founder &amp; Luthier at Carter Custom Instruments.</t>
  </si>
  <si>
    <t>jeremy.carter@autodesk.com</t>
  </si>
  <si>
    <t>Strategic Foresigh, Executive</t>
  </si>
  <si>
    <t>86200-84P</t>
  </si>
  <si>
    <t>Jignesh Vakharia</t>
  </si>
  <si>
    <t>Jignesh</t>
  </si>
  <si>
    <t>Vakharia</t>
  </si>
  <si>
    <t>Mr. Jignesh Vakharia serves as Executive of Corporate Development at Autodesk. Previously, Mr. Vakharia served as a Vice President, Technology Investment Banking at Cowen and Company.</t>
  </si>
  <si>
    <t>jignesh.vakharia@autodesk.com</t>
  </si>
  <si>
    <t>Executive of Corporate Development</t>
  </si>
  <si>
    <t>54082-54P</t>
  </si>
  <si>
    <t>Jim Gray</t>
  </si>
  <si>
    <t>Gray</t>
  </si>
  <si>
    <t>Mr. Jim Gray serves as Director, Product, ACS Service Infrastructure at Autodesk.</t>
  </si>
  <si>
    <t>jim.gray@autodesk.com</t>
  </si>
  <si>
    <t>Director, Product, ACS Service Infrastructure</t>
  </si>
  <si>
    <t>375843-79P</t>
  </si>
  <si>
    <t>Joe Speicher</t>
  </si>
  <si>
    <t>Speicher</t>
  </si>
  <si>
    <t>Mr. Joe Speicher serves as Chief Sustainability Officer at Autodesk. He serves as President at Autodesk Foundation. As Autodesk's Chief Sustainability Officer, Mr. Speicher is responsible for the development and execution of Autodesk's corporate Impact Strategy, which enables Autodesk and its customers to design and make a more sustainable, resilient, and inclusive future. In his role, he ensures that Autodesk delivers on our environmental commitments, chairs the ESG Steering Committee, and, where appropriate, enables product and go-to-market teams to embed sustainability into their strategies and goals. Additionally, he acts as executive liaison to enterprise customers and regularly reports to our Board of Directors on the sustainability risks and opportunities in our markets. He also serves as president of the Autodesk Foundation. Prior to joining Autodesk in 2014, he helped found Living Goods, where he spent six years leading operations for the global health organization. He began his career in the banking and finance sector with Deutsche Bank and Cambridge Associates, and then spent three years in the Peace Corps and served as a consultant for the Economist Intelligence Unit, the World Bank, and Google.org. He earned a master's degree from Columbia University in development economics.</t>
  </si>
  <si>
    <t>Chief Sustainability Officer</t>
  </si>
  <si>
    <t>59584-69P</t>
  </si>
  <si>
    <t>Ken Foo</t>
  </si>
  <si>
    <t>Ken</t>
  </si>
  <si>
    <t>Foo</t>
  </si>
  <si>
    <t>Mr. Ken Foo serves as Vice President of Strategic Partnerships at Autodesk. Mr. Foo served as Corporate Controller and Treasurer at Ibrix. He leads alliances that address key customer challenges and redefine industries. With nearly 30 years of experience in strategy, start-ups, and deal-making, he has a strong track record of driving innovation and delivering impactful projects. His expertise includes equity investments, M&amp;A, technology licensing, and joint GTM activities.</t>
  </si>
  <si>
    <t>ken.foo@autodesk.com</t>
  </si>
  <si>
    <t>Vice President of Strategic Partnerships</t>
  </si>
  <si>
    <t>130585-15P</t>
  </si>
  <si>
    <t>Matt Chapman</t>
  </si>
  <si>
    <t>Chapman</t>
  </si>
  <si>
    <t>Mr. Matt Chapman serves as Senior Director, Financial Planning &amp; Analysis at Autodesk. Mr. Chapman served as Director, Financial Planning &amp; Analysis at Autodesk. Previously he served as a Senior Manager, Assurance at KPMG. He holds a BS (Bachelor of Science) in Physics from the University of Nottingham.</t>
  </si>
  <si>
    <t>matt.chapman@autodesk.com</t>
  </si>
  <si>
    <t>Senior Director, Financial Planning &amp; Analysis</t>
  </si>
  <si>
    <t>73734-58P</t>
  </si>
  <si>
    <t>Mimi Hoang</t>
  </si>
  <si>
    <t>Mimi</t>
  </si>
  <si>
    <t>Hoang</t>
  </si>
  <si>
    <t>Ms. Mimi Hoang serves as Vice President, Production Managment, Platform, Media &amp; Entertainment at Autodesk. Ms. Hoang leads the product lines for production management and is responsible for envisioning and executing upon our Flow platform strategy for M&amp;E customers. Most recently, Mimi led the Cross Industry Strategy organization, focusing on the company's business and go-to-market strategy for AutoCAD portfolio and the Genuine program. Prior to that, Mimi ran product for AutoCAD's toolsets and the emerging products group that encompassed Recap &amp; AutoCAD mobile. Prior to Autodesk, Mimi held numerous senior management positions at leading organizations such as JP Morgan, Ernst &amp; Young, and Symantec amassing over 20 years of experience in strategy, technology, and product. Mimi's experience includes both startups and Fortune 500 companies, bringing new cloud &amp; multi-platform products to market as well as growing mature products spanning across consumer, SMB and enterprise segments.</t>
  </si>
  <si>
    <t>mimi.hoang@autodesk.com</t>
  </si>
  <si>
    <t>Vice President, Production Managment, Platform, Media &amp; Entertainment</t>
  </si>
  <si>
    <t>86204-80P</t>
  </si>
  <si>
    <t>Natalia Celli</t>
  </si>
  <si>
    <t>Natalia</t>
  </si>
  <si>
    <t>Celli</t>
  </si>
  <si>
    <t>Ms. Natalia Celli serves as Senior Manager, Business Models and Offering Management at Autodesk. Previously, Ms. Celli served as a Business Development Manager, AEC Division at Autodesk. She has a BS &amp; MBA in Accounting &amp; International Management from Boston College.</t>
  </si>
  <si>
    <t>natalia.celli@autodesk.com</t>
  </si>
  <si>
    <t>Senior Manager, Business Models and Offering Management</t>
  </si>
  <si>
    <t>135383-32P</t>
  </si>
  <si>
    <t>Nicholas North</t>
  </si>
  <si>
    <t>North</t>
  </si>
  <si>
    <t>Owner</t>
  </si>
  <si>
    <t>Mr. Nicholas North serves as Product Owner &amp; Senior Principal Engineer at Autodesk. Mr. North served as a Senior Software Engineer at Autodesk. He served as a Software Engineer at T-Splines. He is also the Co-Founder of the company. His thesis topic was robust algorithms for computing the intersection between a curve and a T-spline surface. Mr. North is also experienced as a private programming consultant, specializing in website design, database design, and custom application development. He has both a BS and MS degree in computer science from Brigham Young University, Provo.</t>
  </si>
  <si>
    <t>nicholas.north@autodesk.com</t>
  </si>
  <si>
    <t>Product Owner &amp; Senior Principal Engineer</t>
  </si>
  <si>
    <t>175787-02P</t>
  </si>
  <si>
    <t>Nicolas Mangon</t>
  </si>
  <si>
    <t>Mangon</t>
  </si>
  <si>
    <t>Mr. Nicolas Mangon serves as Vice President, AEC Strategy at Autodesk. Mr. Mangon is a leader of the global advancement of building information modeling (BIM) across the architecture, engineering and construction (AEC) industries. Mangon's mission is to lead the industry transformation to BIM and the cloud. Educated at the world-renowned Ecole Spéciale des Travaux Public's Institution for Civil and Structural Engineering, Mangon brings deep industry expertise to the continued development of innovative solutions that address the AEC industry.</t>
  </si>
  <si>
    <t>nicolas.mangon@autodesk.com</t>
  </si>
  <si>
    <t>Vice President, AEC Strategy</t>
  </si>
  <si>
    <t>79285-69P</t>
  </si>
  <si>
    <t>Nigel Morris Ph.D</t>
  </si>
  <si>
    <t>Morris</t>
  </si>
  <si>
    <t>Dr. Nigel Morris serves as Senior Principal Research Scientist, Americas at Autodesk. Dr. Morris served as Director, of Computer Science at Morgan Solar. He pioneered the development of Morgan Solar Optics System (MSOS), state-of-the-art optical design software built on cutting-edge algorithms. Nigel now leads a research team that continues to advance the software's capabilities, usability, and efficiency. Under his oversight, MSOS is now capable of rapid prototyping, optimization, and analysis of Morgan Solar's high-efficiency optical systems. Nigel holds a Bachelor of Science degree from Queen's University in Computing and Information Science. He has PhD &amp; MS in Computer Science from the University of Toronto, where his research into 3D reconstruction and scanning of transparent objects in the field of Computer Vision led to his Master's and Doctorate degrees in Computer Science. He has BS in Computing and Informational Science from Queen's University.</t>
  </si>
  <si>
    <t>nigel.morris@autodesk.com</t>
  </si>
  <si>
    <t>Senior Principal Research Scientist, Americas</t>
  </si>
  <si>
    <t>86083-03P</t>
  </si>
  <si>
    <t>Pascal Di Fronzo JD</t>
  </si>
  <si>
    <t>Pascal</t>
  </si>
  <si>
    <t>Di Fronzo</t>
  </si>
  <si>
    <t>Executive Vice President &amp; Secretary</t>
  </si>
  <si>
    <t>Mr. Pascal Di Fronzo served as Executive Vice President, Corporate Affairs, Chief Legal Officer &amp; Corporate Secretary at Autodesk. In this role, Mr. Di Fronzo manages the company's legal department, which is responsible for the legal, corporate development, and public policy activities of Autodesk. He joined Autodesk in 1998 and has held various positions involving business and legal matters during his tenure at the company. Prior to joining Autodesk, he advised high technology and emerging growth companies on business and intellectual property transactions and litigation while in private practice with the Palo Alto, California, law firm of Wilson, Sonsini, Goodrich &amp; Rosati, as well with the Irvine, California, office of Washington, DC-based Ross, Dixon &amp; Masback. He serves on the board of directors of the Business Software Alliance (BSA) and has published and lectured on a variety of corporate and intellectual property law topics. He is a member of the California State Bar and received a Juris Doctor degree from the University of California, Hastings College of the Law, and a Bachelor of Arts degree in Political Science from UCLA.</t>
  </si>
  <si>
    <t>Executive Vice President, Corporate Affairs, Chief Legal Officer &amp; Corporate Secretary</t>
  </si>
  <si>
    <t>212707-00P</t>
  </si>
  <si>
    <t>Paul Blandini</t>
  </si>
  <si>
    <t>Blandini</t>
  </si>
  <si>
    <t>Mr. Paul Blandini serves as Vice President, Business Strategy, Operations, Data Analytics Autodesk Construction Solutions at Autodesk. Mr. Blandini served as Executive at Autodesk. Mr. Paul Blandini served as Board Observer at Rhumbix. He has BA &amp; MBA from University of Plymouth &amp; University of New Hampshire, Durham.</t>
  </si>
  <si>
    <t>paul.blandini@autodesk.com</t>
  </si>
  <si>
    <t>Vice President, Business Strategy, Operations, Data Analytics Autodesk Construction Solutions</t>
  </si>
  <si>
    <t>130583-98P</t>
  </si>
  <si>
    <t>Paul Yesnosky</t>
  </si>
  <si>
    <t>Yesnosky</t>
  </si>
  <si>
    <t>Mr. Paul Yesnosky serves as Director, Corporate Development at Autodesk. Previously Mr. Yesnosky served as a Director, M&amp;A Integration at Cisco. He holds BS in Electrical Engineering from University of Illinois, Urbana-Champaign &amp; MBA from St. Mary's College of California .</t>
  </si>
  <si>
    <t>260584-12P</t>
  </si>
  <si>
    <t>Raji Arasu</t>
  </si>
  <si>
    <t>Raji</t>
  </si>
  <si>
    <t>Arasu</t>
  </si>
  <si>
    <t>Chief Technology Officer &amp; Executive Vice President</t>
  </si>
  <si>
    <t>Ms. Raji Arasu serves as Chief Technology Officer &amp; Executive Vice President at Autodesk. In this role, Mr. Arasu drives Autodesk's technology strategy to accelerate connectivity, intelligence, and productivity for customers, partners, and development teams through a SaaS platform that delivers data, workflow orchestration, developer experience, and core foundational services such as geometry and graphics. Responsible for creating strategic opportunities for Autodesk, its customers, and partners, Raji leads a future-focused team working on a broad range of emerging technologies such as generative design, artificial intelligence, computational geometry, advanced simulation, IoT, robotics, material science, augmented reality, and human-computer interaction. Finally, in keeping with Autodesk's focus on being a trusted digital platform provider, Raji delivers industry-leading technologies for security, compliance, and data ethics. Raji is a technology executive with 30 years of experience in e-commerce, marketplaces, payments, and fintech industries delivering innovative customer experiences and driving growth through technology and a vibrant and inclusive engineering culture. Previously as senior vice president of platform engineering at Intuit, Raji helped shape the platform strategy and technology culture, led the company's cloud transformation, and expanded foundational core capabilities that amplified innovation for customers. Prior to Intuit, Raji served as CTO at StubHub and held other leadership roles at eBay. Raji has received public recognition for her work promoting and mentoring diversity and women in successful leadership roles in technology. She serves on the board of directors for MediaAlpha Inc. Raji holds a bachelor's degree in computer engineering from Savitribai Phule Pune University in India.</t>
  </si>
  <si>
    <t>raji@autodesk.com</t>
  </si>
  <si>
    <t>287387-11P</t>
  </si>
  <si>
    <t>Rebecca Pearce</t>
  </si>
  <si>
    <t>Executive &amp; Executive Vice President</t>
  </si>
  <si>
    <t>Ms. Rebecca Pearce serves as Chief People Officer &amp; Executive Vice President at Autodesk. She also serves as a Board Member at Autodesk Foundation. She is the chief people officer at Autodesk, where she drives all aspects of the company's people and places strategy, including learning and organizational development, talent acquisition, real estate, workplace services, travel, safety and security, employee relations, diversity and belonging, and company culture. Responsible for creating a world-class employee experience for more than 11,500 employees around the globe, she leads a dynamic team committed to building a community of inspired, diverse talent who drive better business outcomes and are empowered to achieve the new possible for themselves, Autodesk customers, and the world. With more than 20 years of human resources experience, most recently as Autodesk's interim Chief People Officer and Vice President, People &amp; Places, she has played a critical role in transforming Autodesk's employee experience, from building innovative talent strategies, developing the company's new Flexible Workplace Program, and leading significant organizational change. In keeping with Autodesk's focus to attract and retain the best talent, she brings an inclusive, global-first mindset and diverse set of work experiences in North America, Europe, and Asia. Prior to Autodesk, she worked in various senior HR leadership positions in multiple global technology companies, including Dyson and Microsoft, where she partnered with executives to develop high-performing teams and inclusive, inspiring workplaces. She holds a Bachelor of Arts in Organizational Behavior and Human Resource Management from Lancaster University and a Master's in Strategic Human Resources Management from Manchester Metropolitan University. She is also a fellow of the Chartered Institute of Personnel and Development.</t>
  </si>
  <si>
    <t>Chief People Officer &amp; Executive Vice President</t>
  </si>
  <si>
    <t>238961-89P</t>
  </si>
  <si>
    <t>Ruth Keene</t>
  </si>
  <si>
    <t>Keene</t>
  </si>
  <si>
    <t>Ms. Ruth Keene serves as Executive Vice President, Corporate Affairs, Chief Legal Officer &amp; Corporate Secretary at Autodesk. She also serves as Secretary of the Board at Autodesk Foundation. She oversees Autodesk's global legal and government affairs team, and related policy decisions for the company, as well as providing counsel to the CEO and board of directors as the company's general counsel. She also serves on the board of directors for the Autodesk Foundation. She has nearly three decades of experience in the technology industry and legal field. She has played a key role in business transformations of platform and technology companies by advising on critical legal and regulatory issues, including corporate governance, intellectual property, data privacy, and mergers and acquisitions. She has been recognized as one of The Recorder's Women Leaders in Technology Law, honoring leadership and expertise in solving the most pressing legal concerns tech companies can face. She was previously the senior vice president, chief legal officer, general counsel, and corporate secretary for Unity. In this role, she supported the growth and expansion of Unity, including its initial public offering in 2020. Before Unity, she was with Autodesk for 11 years and held a variety of roles, including vice president, assistant general counsel, and assistant secretary. Prior to Autodesk, she was a technology transactions attorney at Morrison &amp; Foerster LLP and a market analyst for Teleport Communications Group. She holds a bachelor's degree in History from Cornell University and a law degree from Cornell Law School, both in Ithaca, New York.</t>
  </si>
  <si>
    <t>180888-58P</t>
  </si>
  <si>
    <t>Ryan Macpherson</t>
  </si>
  <si>
    <t>Macpherson</t>
  </si>
  <si>
    <t>Mr. Ryan Macpherson serves as Director, Climate Innovation and Investment at Autodesk. Mr. Macpherson also serves as Climate Innovation &amp; Investment Lead at Autodesk Foundation. He served as an Advisor at Mesodyne.</t>
  </si>
  <si>
    <t>ryan.macpherson@autodesk.com</t>
  </si>
  <si>
    <t>Director, Climate Innovation and Investment</t>
  </si>
  <si>
    <t>380783-98P</t>
  </si>
  <si>
    <t>Ryan McMahon</t>
  </si>
  <si>
    <t>McMahon</t>
  </si>
  <si>
    <t>General Manager</t>
  </si>
  <si>
    <t>Mr. Ryan McMahon serves as General Manager, Manufacturing Informed Design at Autodesk. Mr. McMahon is a veteran of the manufacturing and design industry, bringing more than 25 years of experience delivering products across the medical device, IT, and high-performance computing industries. As General Manager, Manufacturing Informed Design at Autodesk, he leads a team that develops new solutions to bring manufacturing information into the design process enabling Industrialized Construction and bringing manufacturing means and methods to construction. Ryan holds three patents related to the healthcare field. His educational background includes a B.S. in Electrical Engineering and an MBA.</t>
  </si>
  <si>
    <t>ryan.mcmahon@autodesk.com</t>
  </si>
  <si>
    <t>General Manager, Manufacturing Informed Design</t>
  </si>
  <si>
    <t>288363-43P</t>
  </si>
  <si>
    <t>Sebastian Goodwin</t>
  </si>
  <si>
    <t>Goodwin</t>
  </si>
  <si>
    <t>Mr. Sebastian Goodwin serves as Chief Trust Officer at Autodesk. Mr. Goodwin is an Angel Investor. He serves as an Advisor at NightDragon. He serves as Advisor at Permiso Security. In this role, he oversees the fulfillment of Autodesk's commitment to its customers and stakeholders on security, privacy, and data ethics. He helps Autodesk achieve outcomes on security, customer choice, and the ethical use of data to build and scale its products and industry clouds on a trusted platform. He is a recognized cybersecurity leader with over 20 years of experience helping Global 2000 companies measure and manage cyber risk to support sustained business growth. In his previous role as chief information security officer at Nutanix, he built the company's foundation of global cybersecurity, compliance, and risk management. Before Nutanix, he was head of product marketing for endpoint security at Palo Alto Networks and led the company's product launch into the endpoint security market. He was also chief information security officer at Robert Half. He holds a bachelor's degree in applied economics from the University of San Francisco and an MBA from the Wharton School of Business at the University of Pennsylvania.</t>
  </si>
  <si>
    <t>sebastian.goodwin@autodesk.com</t>
  </si>
  <si>
    <t>Chief Trust Officer</t>
  </si>
  <si>
    <t>94972-33P</t>
  </si>
  <si>
    <t>Sidharth Haksar</t>
  </si>
  <si>
    <t>Sidharth</t>
  </si>
  <si>
    <t>Haksar</t>
  </si>
  <si>
    <t>Mr. Sidharth Haksar serves as Vice President &amp; Head of Construction Strategy &amp; Industry Partnerships at Autodesk. Mr. Haksar served as Executive, Corporate Development at Autodesk. Previously he served as an Associate (Technology Group - M&amp;A Advisory) at Evercore and as an Analyst at Pine Cobble Capital.</t>
  </si>
  <si>
    <t>sidharth.haksar@autodesk.com</t>
  </si>
  <si>
    <t>Vice President &amp; Head of Construction Strategy &amp; Industry Partnerships</t>
  </si>
  <si>
    <t>86199-85P</t>
  </si>
  <si>
    <t>Stacey Kinley</t>
  </si>
  <si>
    <t>Kinley</t>
  </si>
  <si>
    <t>Ms. Stacey Kinley serves as Privacy Program Manager, Governance, Risk &amp; Compliance at Autodesk. Ms. Kinley served as Senior Program Manager, Data Governance Operations at Autodesk. Previously, she served as a Senior Project Manager, Professional Services / Consulting at Adobe Systems. She holds a BA (Bachelor of Arts) in Business Management from St. Mary's College of California</t>
  </si>
  <si>
    <t>stacey.kinley@autodesk.com</t>
  </si>
  <si>
    <t>Privacy Program Manager, Governance, Risk &amp; Compliance</t>
  </si>
  <si>
    <t>210796-03P</t>
  </si>
  <si>
    <t>Stephen Hooper</t>
  </si>
  <si>
    <t>Mr. Stephen Hooper serves as Vice President and General Manager for the Fusion 360 Family of Products at Autodesk. Mr. Hooper serves as Board Member at CloudNC. He is responsible for all aspects of product development, marketing, and sales related to the product line and is accountable for the continued commercial growth of the business within the manufacturing industry.</t>
  </si>
  <si>
    <t>stephen.hooper@autodesk.com</t>
  </si>
  <si>
    <t>Vice President and General Manager for the Fusion 360 Family of Products</t>
  </si>
  <si>
    <t>264674-44P</t>
  </si>
  <si>
    <t>Stephen Hope</t>
  </si>
  <si>
    <t>Hope</t>
  </si>
  <si>
    <t>Chief Accounting Officer &amp; Senior Vice President</t>
  </si>
  <si>
    <t>Mr. Stephen Hope serves as Chief Accounting Officer at Autodesk. Mr. Hope owns Autodesk's global accounting and financial reporting function and provides operational support for go-to-market activities such as credit and collections, revenue accounting, and accounts receivable. Stephen is also business owner of core financial reporting systems. With a future-focused mindset, Stephen leads a team of innovative financial experts focused on optimizing corporate accounting processes for lasting industry transformation. Stephen has held a variety of financial roles at Autodesk since joining the company 17 years ago, spanning revenue accounting and operations and corporate controllership. Prior to Autodesk, Stephen served as corporate controller in several early-stage software startups and was with Ernst &amp; Young's technology audit practice for 10 years. He was a member of the American Institute of Certified Public Accountants' (AICPA) Software Industry Task Force, where he contributed to the ACS 606 revenue recognition standard initiative and drove the implementation guidance for on-premise and cloud hybrid offerings. Stephen earned his bachelor's degree from the University of California, Los Angeles, and is a Certified Public Accountant. He also lends his expertise to the San Francisco Asian Art Museum, serving on its audit committee.</t>
  </si>
  <si>
    <t>stephen.hope@autodesk.com</t>
  </si>
  <si>
    <t>Chief Accounting Officer</t>
  </si>
  <si>
    <t>84497-95P</t>
  </si>
  <si>
    <t>Steven Blum</t>
  </si>
  <si>
    <t>Blum</t>
  </si>
  <si>
    <t>Mr. Steven Blum serves as Executive Vice President and Chief Operating Officer at Autodesk. He also serves as Treasurer of the Board at Autodesk Foundation. He is responsible for driving sales worldwide of Autodesk solutions into the AEC, Engineering, Natural Resources &amp; Infrastructure, Manufacturing, and Media &amp; Entertainment industries, as well as to customers within Emerging Markets. He also oversees the company's consulting, premium support, named account, subscription, emerging market, and channel programs around the world. Prior to this position, he was Senior Vice President of Americas Sales at Autodesk. Under his leadership, revenue in the Americas more than doubled to over $ 700 M. He is also credited with developing and implementing a partner channel framework and major account program that were expanded globally after their initial success in the Americas. In 2010, 2011, and 2012, he was recognized by CRN Magazine as a CRN Channel Chief. Before joining Autodesk, he was Executive Vice President of Sales and Account Management for Parago, Inc., where he was responsible for sales of all products and support of all clients. He grew the national client base from 14 to 125 and expanded revenues from $19M to $ 26 M. He also held several sales positions of increasing responsibility at Mentor Graphics. He was Vice President of America's sales, where he grew business from $200M to $250M during his tenure. He also served as Director of Consulting Worldwide and Director of Americas Field Marketing. Before joining Mentor Graphics, he held engineering and sales positions at Advanced Micro Devices and NCR Corporation, where he earned a patent for developing a testing technique to evaluate undershoot and overshoot resistances in programmable logic devices. He holds a bachelor's degree in electrical engineering from the University of Florida.</t>
  </si>
  <si>
    <t>Executive Vice President and Chief Operating Officer</t>
  </si>
  <si>
    <t>358503-22P</t>
  </si>
  <si>
    <t>Theo Agelopoulos</t>
  </si>
  <si>
    <t>Theo</t>
  </si>
  <si>
    <t>Agelopoulos</t>
  </si>
  <si>
    <t>Mr. Theo Agelopoulos serves as Vice President of Design Strategy at Autodesk. Mr. Agelopoulos is well versed in various fields, such as CAD, BIM, GIS, cloud, reality capture, artificial intelligence, machine learning and digital twins.</t>
  </si>
  <si>
    <t>theo.agelopoulos@autodesk.com</t>
  </si>
  <si>
    <t>Vice President of Design Strategy</t>
  </si>
  <si>
    <t>83687-50P</t>
  </si>
  <si>
    <t>Trish Lambert</t>
  </si>
  <si>
    <t>Trish</t>
  </si>
  <si>
    <t>Lambert</t>
  </si>
  <si>
    <t>Ms. Trish Lambert serves as Senior Marketing Manager at Autodesk. Ms. Lambert has done BS (Bachelor of Science) from University of Colorado.</t>
  </si>
  <si>
    <t>trish.lambert@autodesk.com</t>
  </si>
  <si>
    <t>Senior Marketing Manager</t>
  </si>
  <si>
    <t>83342-26P</t>
  </si>
  <si>
    <t>Vincent Dupray</t>
  </si>
  <si>
    <t>Dupray</t>
  </si>
  <si>
    <t>Mr. Dupray served as General Manager Europe at Enprecis. Mr. Dupray is an automotive industry and market research expert with more than 20 years of experience in both fields. He leads European operations, managing clients and expanding business in Europe. Vincent holds degrees in electrical mechanics and intelligence marketing, and began his career for PSA Peugeot Citroën, handling different operational jobs in market research, parts and aftermarket. He then moved on to conduct large CRM projects for OEMs as the Director of Polk operations in France and Regional Director for part of Europe. Vincent came to Enprecis from TNS, the world's largest custom market research firm, where he served as Global Account Director and head of the automotive department in France. He continues to leverage his industry and market expertise for Enprecis. He has MS in Marketing from HEC School of Management.</t>
  </si>
  <si>
    <t>vincent.dupray@autodesk.com</t>
  </si>
  <si>
    <t>Global Account Manager, Automotive and Transportation</t>
  </si>
  <si>
    <t>296346-34P</t>
  </si>
  <si>
    <t>Andrew Gordon</t>
  </si>
  <si>
    <t>Automotive Ventures</t>
  </si>
  <si>
    <t>Mr. Andrew Gordon serves as Head of Value Creation at Automotive Ventures. He founded &amp; served CEO at DealerScience.</t>
  </si>
  <si>
    <t>+1 (470) 223-0227</t>
  </si>
  <si>
    <t>andrew@automotiveventures.com</t>
  </si>
  <si>
    <t>Atlanta</t>
  </si>
  <si>
    <t>Atlanta, GA</t>
  </si>
  <si>
    <t>1922 Wildwood PL North East</t>
  </si>
  <si>
    <t>Georgia</t>
  </si>
  <si>
    <t>30324</t>
  </si>
  <si>
    <t>Head of Value Creation</t>
  </si>
  <si>
    <t>107286-31P</t>
  </si>
  <si>
    <t>Brian Reed</t>
  </si>
  <si>
    <t>Reed</t>
  </si>
  <si>
    <t>Mr. Brian Reed serves as an Operating Partner at Automotive Ventures. He co-founded and served as President, Board Member, Promoter, and Chief Executive Officer at F&amp;I Express. He founded Intersection Technologies and F&amp;I Express in 2008. As President and CEO, he leads the F&amp;I Express® team in its quest to provide world-class technology to support the electronic processing and eCommerce of the automotive industry. Before F&amp;I Express, he was the founding CEO of Pricelock, an online energy solutions provider, where he led the development and filing of 15 patents. He also served as CEO of an online auto financing company, giggo.com, from its inception as a new subsidiary of Daimler Chrysler to its merger with a competitor, PeopleFirst, where he then assumed the role of President. He later structured a successful exit for all parties through the sale of PeopleFirst to Capital One. He holds a degree in Business &amp; Management from Indiana University.</t>
  </si>
  <si>
    <t>+1 (817) 851-8229</t>
  </si>
  <si>
    <t>brian@automotiveventures.com</t>
  </si>
  <si>
    <t>296346-52P</t>
  </si>
  <si>
    <t>Chip Perry</t>
  </si>
  <si>
    <t>Chip</t>
  </si>
  <si>
    <t>Mr. Chip Perry serves as Chief Executive Officer at Sotheby's Motorsport. He also serves as Operating Partner at Automotive Ventures. He was the Founder &amp; serves as CEO of AutoTrader.com, and former CEO of TrueCar.</t>
  </si>
  <si>
    <t>+1 (786) 539-4674</t>
  </si>
  <si>
    <t>5972 North East 4th Avenue</t>
  </si>
  <si>
    <t>33137</t>
  </si>
  <si>
    <t>Sotheby's Motorsport</t>
  </si>
  <si>
    <t>440634-97P</t>
  </si>
  <si>
    <t>Janique Lee</t>
  </si>
  <si>
    <t>Janique</t>
  </si>
  <si>
    <t>Ms. Janique Lee serves as an Investment Analyst at Automotive Ventures. She is a skilled business and strategy professional with a background in mechanical engineering. A Stanford University graduate, Janique earned a B.S. in Mechanical Engineering with a concentration in Dynamic Systems and Controls, and completed internships at Ford Motor Company, MIT, and Stanford.</t>
  </si>
  <si>
    <t>janique@automotiveventures.com</t>
  </si>
  <si>
    <t>296343-46P</t>
  </si>
  <si>
    <t>Justin Charbonneau</t>
  </si>
  <si>
    <t>Charbonneau</t>
  </si>
  <si>
    <t>Mr. Justin Charbonneau serves as Venture Principal at Automotive Ventures. He founded and ran a wholesale grape and bulk wine marketplace, growing the platform's registered users to thousands of wine firms and becoming the industry's largest online source of publicly listed inventory for sale. Before striking out on his own as a founder, he held various strategy and operations roles, including as an internal consultant within AT&amp;T's global supply chain strategy organization and an early team member of a high-growth B2B SaaS startup, where he reported directly to the CTO. He holds a degree from Emory University.</t>
  </si>
  <si>
    <t>justin@automotiveventures.com</t>
  </si>
  <si>
    <t>Venture Principal</t>
  </si>
  <si>
    <t>126344-89P</t>
  </si>
  <si>
    <t>Paul Whitworth</t>
  </si>
  <si>
    <t>Whitworth</t>
  </si>
  <si>
    <t>Mr. Paul Whitworth serves as Chief Strategy Officer at WarrCloud. He also serves as an Operating Partner at Automotive Ventures. He served as Chief Product Officer, at Trader Marketplace and Chief Strategy Officer, at Trader Corporation at AutoTrader Group. He previously co-founded LightSource Renewables and served as its Senior Vice President and Board Member. He holds an MS degree in Civil Engineering from MIT &amp; completed a Bachelor of Applied Science in Civil Engineering from the University of Toronto.</t>
  </si>
  <si>
    <t>+1 (678) 576-9972</t>
  </si>
  <si>
    <t>paul.whitworth@warrcloud.com</t>
  </si>
  <si>
    <t>4818 Washington Boulevard</t>
  </si>
  <si>
    <t>WarrCloud</t>
  </si>
  <si>
    <t>103191-04P</t>
  </si>
  <si>
    <t>Steve Greenfield</t>
  </si>
  <si>
    <t>Greenfield</t>
  </si>
  <si>
    <t>Chief Executive Officer &amp; General Partner</t>
  </si>
  <si>
    <t>Mr. Steve Greenfield is the Founder and serves as Chief Executive Officer and General Partner at Automotive Ventures. Mr. Greenfield serves as Managing Director at Progress Partners. He also serves as Board Member at WarrCloud and Board Observer at Privacy4Cars. He also serves as a Board Member at Lender Compliance Technologies. He is also a Co-Founder of Automotive Ventures and also serves as its Chief Executive Officer. Previously, he was an executive at TrueCar and Cox Automotive Group and has overseen more than $1 billion in automotive technology acquisitions. He Co-Founded and served as Chief Executive Officer at CarLingo.</t>
  </si>
  <si>
    <t>steve@automotive.ventures</t>
  </si>
  <si>
    <t>58575-79P</t>
  </si>
  <si>
    <t>Alan Taub Ph.D</t>
  </si>
  <si>
    <t>Taub</t>
  </si>
  <si>
    <t>Autotech Ventures</t>
  </si>
  <si>
    <t>Dr. Alan Taub serves as Advisor at Autotech Ventures. Dr. Alan Taub served as Board Member at CellEra. He serves as Advisor at Autotech Ventures. Alan Taub retired as Vice President, Global Research &amp; Development for General Motors Company in April 2012. He received his bachelor's degree in materials engineering from Brown University and master's and Ph.D. degrees in applied physics from Harvard University. He spent 15 years in research and development at General Electric, where he earned 26 patents, authored more than 60 papers, and ultimately managed the GE materials properties and processes laboratory. He also worked at Ford Motor Company for eight years, where he was manager of the materials science department. Dr. Taub is a member of the U.S. National Academy of Engineering and served on the Operating Council for the United States Council for Automotive Research. He also is chair of the Visiting Committee on Advanced Technology (VCAT) for NIST. Dr. Taub is presently a professor of Materials Science and Engineering at the University of Michigan.</t>
  </si>
  <si>
    <t>+1 (248) 932-3928</t>
  </si>
  <si>
    <t>525 Middlefield Road</t>
  </si>
  <si>
    <t>Suite 130</t>
  </si>
  <si>
    <t>13394-53P</t>
  </si>
  <si>
    <t>Alexei Andreev Ph.D</t>
  </si>
  <si>
    <t>Alexei</t>
  </si>
  <si>
    <t>Andreev</t>
  </si>
  <si>
    <t>Dr. Alexei Andreev is a Co-Founder and serves as Managing Director at Autotech Ventures.He is an Angel Investor. He served as Board Member at SafeAI. He served as Executive Vice President and Managing Director at 180 Degree Capital. He served as a Board Observer at Xnor.ai. He serves as a Board Member at ShipHawk, Bumper, HDVI, and Cogniac. He is a Co-Founder and serves as Managing Director at AutoTech Ventures. He served as a Board Member at Digital Motors, Fixico &amp; Work Truck Solutions. He also serves as a Board Observer at Rollick Outdoor. He also served as a Board Member at Hayden AI. He brings to Autotech a long track record of investing in hard science startups related to both hardware and software, and he enjoys working with companies that build competitive barriers to entry via fundamental IP or strong network effects. Previously, he was a Managing Director of NYC-based VC firm Harris &amp; Harris Group, leading their Silicon Valley office. Before H&amp;H, he was at Draper Fisher Jurvetson (DFJ), contributing to their VC investments in advanced manufacturing, quantum computing, and alternative energy. He earned his MBA from Stanford, his Ph.D. in Solid State Physics from Moscow Steel &amp; Alloys Institute, and his MA in Liberal Sciences from Dartmouth. He serves as a Venture Partner at 180 Degree Capital. He served as Board Member at Bluedot.</t>
  </si>
  <si>
    <t>+1 (650) 395-7544</t>
  </si>
  <si>
    <t>alexei@autotechvc.com</t>
  </si>
  <si>
    <t>Santa Barbara</t>
  </si>
  <si>
    <t>Santa Barbara, CA</t>
  </si>
  <si>
    <t>925 De La Vina Street</t>
  </si>
  <si>
    <t>93101</t>
  </si>
  <si>
    <t>Executive Vice President &amp; Managing Director</t>
  </si>
  <si>
    <t>180 Degree Capital (Former)</t>
  </si>
  <si>
    <t>190986-22P</t>
  </si>
  <si>
    <t>Anthony Foxx JD</t>
  </si>
  <si>
    <t>Foxx</t>
  </si>
  <si>
    <t>Mr. Anthony Foxx serves as a Board Member and Member of the Nominating, Governance, and Sustainability Committee at NXP Semiconductors. Mr. Foxx serves as a Chairman of the Board at Davidson College. Mr. Foxx and serves as Chief Policy Officer and Senior Advisor to the President &amp; CEO at Lyft. He serves as Board Member at CDW. He also serves as an Advisor at Commonweal Ventures. He serves as a Board Member &amp; Member of the Board's Nominating, Governance, and Sustainability Committee at NXP Semiconductors. He also serves as an Advisor at Autotech Ventures. He served as a Board Member at Hayden AI and Shelter Acquisition I. Mr. Foxx served as a Managing Partner of Related Infrastructure, the infrastructure development group of Related Companies, a real estate firm, from December 2017 to October 2018. From July 2013 to January 2017, Mr. Foxx served as the seventeenth United States Secretary of Transportation. Mr. Foxx served as the mayor of Charlotte, North Carolina from 2009 to 2013 and as a Charlotte City Council Member-at-large representative from 2005 to 2009. Mr. Foxx also has held a variety of legal positions in the public and private sectors. Mr. Foxx serves on the board of directors of Martin Marietta Materials, Inc. and CDW Corporation. He holds a Doctor of Law (J.D.) from New York University School of Law, and a Bachelor of Arts in History from Davidson College.</t>
  </si>
  <si>
    <t>+31 (0)40 272 9999</t>
  </si>
  <si>
    <t>Eindhoven</t>
  </si>
  <si>
    <t>Eindhoven, Netherlands</t>
  </si>
  <si>
    <t>High Tech Campus 60</t>
  </si>
  <si>
    <t>5656 AG</t>
  </si>
  <si>
    <t>Board Member and Member of the Nominating, Governance and Sustainability Committee</t>
  </si>
  <si>
    <t>NXP Semiconductors</t>
  </si>
  <si>
    <t>138386-08P</t>
  </si>
  <si>
    <t>Burak Cendek</t>
  </si>
  <si>
    <t>Burak</t>
  </si>
  <si>
    <t>Cendek</t>
  </si>
  <si>
    <t>Mr. Burak Cendek serves as Partner at Autotech Ventures. Mr. Cendek served as Executive, Venture Capital at Revo Capital. He serves as Board Member at Laka and newtrul. He was Consultant at ZS Associates in Chicago for 8 years, ran start-up accelerator programs across the globe and worked with more than 200 Turkish and American entrepreneurs, financial modeling and growth strategies expert, BS in Electrical Engineering from California Institute of Technology and an MBA from the Booth School of Business at the University of Chicago. He serves as Chief Operating Officer at sente.link.</t>
  </si>
  <si>
    <t>burak@autotechvc.com</t>
  </si>
  <si>
    <t>11676-61P</t>
  </si>
  <si>
    <t>Byron Shaw Ph.D</t>
  </si>
  <si>
    <t>Byron</t>
  </si>
  <si>
    <t>Shaw</t>
  </si>
  <si>
    <t>Dr. Byron Shaw serves as the Board Member at Gentherm. He serves as an Advisor at Autotech Ventures. Dr. Byron is owner of Byron Shaw LLC, a consulting firm providing diligence, strategy and execution advisory services focusing on automotive technology and related services. From 2006 to 2012, Dr. Shaw worked at General Motors in various positions, most recently as Managing Director of the Silicon Valley Office for General Motors Ventures LLC. He previously worked at BMW from 1998 to 2003 holding various positions, including Principal Technology Engineer Manager of Advanced Technology. Dr. Shaw serves on the Board of Directors of three privately-held companies, Smalltech LLC, Project Renovo and iGate NEST. Dr. Shaw received Bachelor of Science degrees and a Master of Science in Mechanical Engineering from the Massachusetts Institute of Technology and a Ph.D. in mechanical engineering/controls from University of California, Berkeley. He served as Board Member at Renovo .</t>
  </si>
  <si>
    <t>+1 (650) 529-1911</t>
  </si>
  <si>
    <t>981 Mission Street</t>
  </si>
  <si>
    <t>94103</t>
  </si>
  <si>
    <t>Gentherm (Former)</t>
  </si>
  <si>
    <t>417743-56P</t>
  </si>
  <si>
    <t>Dilara Bozyilan</t>
  </si>
  <si>
    <t>Dilara</t>
  </si>
  <si>
    <t>Bozyilan</t>
  </si>
  <si>
    <t>Ms. Dilara Bozyilan serves as an Associate at Autotech Ventures. Previously, she worked as a management consultant at Simon-Kucher, focused on crafting growth strategies and performing due diligence across B2B and B2C sectors. She also managed e-commerce strategies and forged strategic partnerships at Procter &amp; Gamble. She is a member of the prestigious fellow program of the Turkish Entrepreneurship Foundation (GIRVAK), a prominent organization known for its exclusive network of business leaders and opinion influencers. Prior, she actively supported startup initiatives in her home country, making valuable contributions to the entrepreneurship ecosystem. She holds a bachelor's degree with honors in Computer Sciences and Business Administration from Koc University in Turkey. She also contributed to innovative research projects for Istanbul Technical University, including an unmanned aerial vehicle project for the Ministry of National Defense.</t>
  </si>
  <si>
    <t>dilara@autotechvc.com</t>
  </si>
  <si>
    <t>154312-93P</t>
  </si>
  <si>
    <t>Ivy Nguyen</t>
  </si>
  <si>
    <t>Ivy</t>
  </si>
  <si>
    <t>Nguyen</t>
  </si>
  <si>
    <t>Ms. Ivy Nguyen serves as Principal at Autotech Ventures. She served as an Investment Team Member in artificial Intelligence at Point72 Ventures. She brings over four years of experience as an investor and startup advisor in the technology space. She served as a Board Member at Toggle. Before joining Zetta Ventures, she was a Senior Associate at NewGen Capital, a venture capital firm providing early-stage deep-tech startups with growth opportunities in China and the greater APAC region. During her tenure at NewGen, she sourced and led investments in several companies including Constructor, NuCypher, Assembly, and Agridata. Before NewGen, she managed the startup accelerator program at Imagine H2O, an organization supporting global water innovation. At IH2O she supported over 40 water tech startups from over 14 countries including Israel, Australia, and Singapore by connecting them to the program's growing network of investors, mentors, and pilot partners at major Fortune 1000 companies. She earned her B.S. in Chemical Engineering from Stanford University, where she served as News Managing Editor of the Stanford Daily.</t>
  </si>
  <si>
    <t>ivy@autotechvc.com</t>
  </si>
  <si>
    <t>41619-34P</t>
  </si>
  <si>
    <t>Kate Fry</t>
  </si>
  <si>
    <t>Fry</t>
  </si>
  <si>
    <t>Ms. Kate Fry is a Co-Founder at Redbrick Associates. She also serves as Chief Financial Officer at Moment Ventures. She serves as Chief Financial Officer at Carbide Ventures. She serves as Chief Financial Officer at Wildcat Venture Partners. She serves as Controller at Autotech Ventures. She served as Executive, Finance at Altos Ventures. She previously served as a Senior Associate at Redwood Valuation Partners. She also serves as a Partner at Redbrick Associates. She is responsible for diligence work on the industries and companies the firm invests in. In addition, she undertakes analytics of business plans and valuation calculations for financial statement reporting. Prior to working at Alloy, she was a research and design engineer at the UK-based electronics company, Snell &amp; Wilcox, working on DSP and FPGA design for motion estimation in their standards conversion equipment for broadcast video. She graduated with honors from the University of Bath with a Bachelor of Electronics and Communications Engineering.</t>
  </si>
  <si>
    <t>+1 (206) 660-1295</t>
  </si>
  <si>
    <t>kate@redbrickassociates.com</t>
  </si>
  <si>
    <t>2121 South El Camino Real</t>
  </si>
  <si>
    <t>94403</t>
  </si>
  <si>
    <t>Redbrick Associates</t>
  </si>
  <si>
    <t>35992-09P</t>
  </si>
  <si>
    <t>Logan Green</t>
  </si>
  <si>
    <t>Green</t>
  </si>
  <si>
    <t>Mr. Logan Green is a Co-Founder and serves as Chairman at Lyft. Mr. Green is an Angel Investor. He served as Chief Executive Officer at Lyft. He serves as a Board Member and Member of the Compensation &amp; Human Capital Committee at eBay. He serves as a Venture Partner at Autotech Ventures. Before Co-Founding Lyft, he created the first car-share program at the University of California, Santa Barbara, and served on the Board of the Santa Barbara Metropolitan Transit District. He holds a B.A. in Business Economics from the University of California, Santa Barbara.</t>
  </si>
  <si>
    <t>+1 (650) 395-7515</t>
  </si>
  <si>
    <t>logan@lyft.com</t>
  </si>
  <si>
    <t>185 Berry Street</t>
  </si>
  <si>
    <t>94107</t>
  </si>
  <si>
    <t>Lyft</t>
  </si>
  <si>
    <t>107691-76P</t>
  </si>
  <si>
    <t>Quin Garcia</t>
  </si>
  <si>
    <t>Quin</t>
  </si>
  <si>
    <t>Garcia</t>
  </si>
  <si>
    <t>Mr. Quin Garcia serves as Advisor at IQTaxi. He is also a Co-Founder and serves as Managing Director at AutoTech Ventures. He served as Advisor at Peloton. He brings to Autotech a passion for forming ground transport startups, assembling teams of complimentary people, raising capital, and growing via partnerships with corporations. He was part of the founding team at Better Place, responsible for partnerships with automakers and auto parts suppliers while living in Israel, Japan, and China. Prior to that, he was a management consultant at Strategic Management Solutions, serving automaker and consumer electronics clients. While earning his MS degree in Management Science and Automotive Engineering from Stanford, he worked at Stanford's Dynamic Design Lab developing autonomous vehicles. While earning his BS degree in Applied Economics and Management from Cornell, he was a leader of the Cornell Hybrid Electric Vehicle Team.</t>
  </si>
  <si>
    <t>qg@autotechvc.com</t>
  </si>
  <si>
    <t>12876-04P</t>
  </si>
  <si>
    <t>Tony Di Bona</t>
  </si>
  <si>
    <t>Di Bona</t>
  </si>
  <si>
    <t>Mr. Tony Di Bona serves as Chief Financial Officer at Autotech Ventures. He served as Chief Financial Officer &amp; General Partner at Alloy Ventures. He serves as Co-Chief Financial Officer at Moment Ventures. He has worked with Altos since 2014 and has more than 25 years of experience as a Chief Financial Officer of venture capital partnerships, including Asset Management and Alloy Ventures, where he was a founding member, CFO, and General Partner. He is in charge of all finance, accounting, and computer operations for Altos and assists in financial due diligence. He has experience structuring, monitoring, exiting, and distributing proceeds from Korea-based investments. He also serves on the Board of the Northern California Private Equity and VC Chapter of the Financial Executive Alliance, a national affinity group administered by First Republic Bank. He received a BSc, majoring in accounting and law, from Sydney University.</t>
  </si>
  <si>
    <t>47989-45P</t>
  </si>
  <si>
    <t>Tony Rimas</t>
  </si>
  <si>
    <t>Rimas</t>
  </si>
  <si>
    <t>Mr. Tony Rimas serves as Board Member at Repairify. Mr. Rimas serves as Board Member at Bumper. Mr. Rimas serves as a Venture Partner at Autotech Ventures. He served as a Chief Financial Officer at Fraser McCombs (FM) Capital. He served as Director of Operations at Red McCombs. He served as a Venture Partner at FM Capital (Boulder). Previously he served as a Board Member at Ecodual. He also served as a Board Member at DigniFi. He also serves as President and Chief Business Development Officer. He has a wide range of experience within many segments of the automotive industry, including retail, remarketing, financial services, aftermarket, and fleet services. Through those years of experience, he has built many strong connections in the industry. Before Fraser McCombs Capital was born, he served as an investor and adviser to many startups with successful exits. From 2001-2012, he served as the Director of Operations for the McCombs Automotive Group, the 37th largest dealer group in the United States. In this capacity, he is recognized for growing McCombs Automotive to the 3rd largest privately held online retailer in the country. He also served as a partner within the McCombs Partners investment portfolio. He originated investments in HomeNet Automotive, ClickMo,tive, and Autodesk, all of which are best-in-class solutions for the automotive retail industry. HomeNet became the market share leader in automotive inventory management; Autotrader.com acquired the company in November 2010. DealerTrack (NASDAQ: TRAK) acquired Clickmotive in October 2012.</t>
  </si>
  <si>
    <t>tr@autotechvc.com</t>
  </si>
  <si>
    <t>390819-52P</t>
  </si>
  <si>
    <t>Harshita Venkatesh</t>
  </si>
  <si>
    <t>Harshita</t>
  </si>
  <si>
    <t>Venkatesh</t>
  </si>
  <si>
    <t>Avesta Fund</t>
  </si>
  <si>
    <t>Ms. Harshita Mira Venkatesh serves as Principal at Avesta Fund. She previously interned with Rivian, the electric vehicle manufacturer, on their Corporate Development team, contributing to their Series E fundraising strategy. Before her time at Rivian, she amassed extensive experience as an economic consultant at Charles River Associates, where she engaged in a variety of high-profile projects ranging from major mergers to intellectual property cases. She holds an MBA from the University of California, Berkeley Haas School of Business, where she was honored with the Berkeley Excellence scholarship. She also possesses a dual degree in Economics and Mathematics from the University of Rochester.</t>
  </si>
  <si>
    <t>harshita@avesta.fund</t>
  </si>
  <si>
    <t>70 Broadway</t>
  </si>
  <si>
    <t>80203</t>
  </si>
  <si>
    <t>12437-92P</t>
  </si>
  <si>
    <t>Srikant Vasan</t>
  </si>
  <si>
    <t>Srikant</t>
  </si>
  <si>
    <t>Vasan</t>
  </si>
  <si>
    <t>Mr. Srikant Vasan is the Founder and serves as a Managing Partner at Avesta Capital. Mr. Vasan is a Co-Founder and serves as Chief Executive Officer at SkillStore. He also serves as a Board Member at Digital Green. He co-founded and served as President, Chairman, and Chief Executive Officer at StorePerform Technologies. Earlier, he was a consultant with McKinsey and Company. He has an MBA from the Wharton School and a BS in Electrical Engineering from the Indian Institute of Technology, Delhi.</t>
  </si>
  <si>
    <t>srikant@avesta.fund</t>
  </si>
  <si>
    <t>291225-25P</t>
  </si>
  <si>
    <t>Zoe Welz</t>
  </si>
  <si>
    <t>Welz</t>
  </si>
  <si>
    <t>Ms. Zoe Welz co-founded &amp; served as Chief Executive Officer at Drovr. She serves as Principal at Avesta Fund. She serves as Principal at Avesta Fund. She is the Co-founder &amp; CEO, of Grazeable, an IoT-powered grazing technology for regenerative agriculture. Entrepreneurship Coach and Managing Director of Catalyze CU, University of Colorado at Boulder. Prior to joining Avesta Fund, She was the Program Manager of a NYSERDA-backed accelerator called Venture For ClimateTech (V4C). As Program Manager she helped launch a global sourcing strategy to recruit top pre-seed climate startups, created and taught a climate-tech-specific curriculum and worked hands-on with cohort companies to help them measure and scale their impact. She has a deep understanding of sourcing founders at scale from her previous experience as Pipeline Coordinator at Techstars. In this role, She helped source startups across Techstars' 50+ accelerator programs. By working closely with Techstars Managing Directors across the world she gained insights into what technology trends to look for across many industries such as Advanced Manufacturing, Sustainability, FoodTech, Workforce Development, and Social Impact. She took the company through multiple accelerator programs including Creative Destruction Lab Rockies, and was awarded an Engineering Excellence Fund grant to build the technology. She started Grazeable after graduating from the University of Colorado at Boulder with a degree in Engineering Plus. She is an Environmental Engineer and Entrepreneur who is passionate about using the tools of education, advanced technologies, and community to build a more sustainable and just world. She is a graduate of the University of Colorado at Boulder, where she was awarded a full ride WGA Evans Scholarship to attend. She is a Catalyze CU and Creative Destruction Lab Alumni, as well as a two time Engineering Excellence Fund Grant recipient.</t>
  </si>
  <si>
    <t>zoe@avesta.fund</t>
  </si>
  <si>
    <t>265096-72P</t>
  </si>
  <si>
    <t>Bryan Cox</t>
  </si>
  <si>
    <t>Cox</t>
  </si>
  <si>
    <t>Avista (US)</t>
  </si>
  <si>
    <t>Mr. Bryan Cox serves as Senior Vice President, Safety, and Chief People Officer at Avista (US). He has served since January 2020; Vice President, Safety and HR Shared Services from January 2018 - January 2020; various other management and staff positions with the Company since 1997. He is vice president, of safety and HR, shared services. In this role, he will continue to heighten the focus on and commitment to safety throughout Avista and will lead safety strategy in addition to other HR functions. He joined Avista in 1997, and most recently, served as senior director of HR operations. He has been Avista's director of Transmission Operations, Director of Operations West, director of Strategic Planning, and Director of Gas Delivery. He has a B.S. in Mathematics-Computer Science from Gonzaga University. He also earned an MBA through the University of Washington's Executive MBA program. He serves on the boards of the YMCA of the Inland Northwest, Boy Scouts of America Inland Northwest Council, and the Avista Credit Union.</t>
  </si>
  <si>
    <t>+1 (509) 489-0500</t>
  </si>
  <si>
    <t>bcox@avistacorp.com</t>
  </si>
  <si>
    <t>Spokane</t>
  </si>
  <si>
    <t>Spokane, WA</t>
  </si>
  <si>
    <t>1411 East Mission Avenue</t>
  </si>
  <si>
    <t>99252-0001</t>
  </si>
  <si>
    <t>Senior Vice President, Safety and Chief People Officer</t>
  </si>
  <si>
    <t>276688-99P</t>
  </si>
  <si>
    <t>Daniel Loutzenhiser</t>
  </si>
  <si>
    <t>Loutzenhiser</t>
  </si>
  <si>
    <t>Mr. Daniel Loutzenhiser serves as Board Observer at Omnidian.</t>
  </si>
  <si>
    <t>Director, Tax</t>
  </si>
  <si>
    <t>78718-69P</t>
  </si>
  <si>
    <t>David Meyer</t>
  </si>
  <si>
    <t>Mr. David Meyer served as Senior Vice President at Retirement Plan For The Employees Of The Avista Corporation. Mr. Meyer is vice president and chief counsel for regulatory and governmental affairs for Avista Corp. He joined the company in 1998. He is a native of Glendive, Montana, and is a graduate of Valparaiso University, where he received political science and economics degrees. He is a 1978 graduate of Cornell University Law School. He joined the Spokane law firm Paine Hamblen Coffin Brooke and Miller in 1978 and was a partner in the firm for 17 years. While with Paine Hamblen, he represented Avista Corp. in a number of areas, including regulatory and business-related capacities. He is a member of the Washington, Idaho, and Oregon State Bar Associations and the Federal Energy Bar Association.</t>
  </si>
  <si>
    <t>david.meyer@avistacorp.com</t>
  </si>
  <si>
    <t>265101-76P</t>
  </si>
  <si>
    <t>Gregory Hesler</t>
  </si>
  <si>
    <t>Hesler</t>
  </si>
  <si>
    <t>Mr. Gregory Hesler serves as Senior Vice President, General Counsel, Corporate Secretary, and Chief Ethics/Compliance Officer at Avista (US). He joined Avista in 2015, after more than a decade of work as outside counsel for Avista while working as a partner in the law firm Paine Hamblen, LLP, where his practice focused on, among other things, utilities, land use, environmental and tribal issues, and general commercial litigation. Hesler has held a variety of roles within Avista, including responsibility for departmental leadership and providing legal support for operations, real estate, environmental, compliance, and other functions. Hesler has a Bachelor of Business Administration in Accounting from Gonzaga University and a Juris Doctorate from the University of Washington School of Law. He currently serves as the Immediate Past Chair of the Litigation Section Executive Committee of the Washington State Bar Association. In addition, he completed the Utility Executive Course at the University of Idaho and the Executive Leadership Development Program from the American Gas Association.</t>
  </si>
  <si>
    <t>ghesler@avistacorp.com</t>
  </si>
  <si>
    <t>Senior Vice President, General Counsel, Corporate Secretary and Chief Ethics/Compliance Officer</t>
  </si>
  <si>
    <t>217906-75P</t>
  </si>
  <si>
    <t>Heather Rosentrater</t>
  </si>
  <si>
    <t>Rosentrater</t>
  </si>
  <si>
    <t>Ms. Heather Rosentrater serves as President, Chief Executive Officer &amp; Board Member at Avista. In this capacity, she oversees all aspects of the Company's business. She is also the Chair of Alaska Electric Light and Power Company. She started with the company in 1996 as a student engineering technician for Avista Labs, a fuel cell subsidiary business that was later sold. In 1999, she joined Avista Corp. as an Electrical Engineer and was quickly promoted to leadership roles that have built her expertise across both Avista's electric and natural gas businesses. She's managed departments and projects in electric transmission and distribution, system operations, natural gas supply and business process improvement before being named Vice President of Energy Delivery in 2015. By 2019, she was named Senior Vice President of Energy Delivery and Shared Services. And in 2022, her responsibilities expanded to Senior Vice President and Chief Operating Officer. She is a registered Professional Engineer and holds a Bachelor of Science degree in Electrical Engineering from Gonzaga University. She currently serves as a Board Member for the American Gas Association (AGA), Edison Electric Institute (EEI), Western Energy Institute (WEI), and Washington Roundtable. She also serves on the board of directors for Avista Foundation, Second Harvest Inland Northwest, and Urbanova. In addition, she is a member of Gonzaga University's School of Engineering and Applied Science Executive Council.</t>
  </si>
  <si>
    <t>hrosentrater@avistacorp.com</t>
  </si>
  <si>
    <t>78720-94P</t>
  </si>
  <si>
    <t>Jason Thackston</t>
  </si>
  <si>
    <t>Thackston</t>
  </si>
  <si>
    <t>Chief Strategy Officer &amp; Senior Vice President</t>
  </si>
  <si>
    <t>Mr. Jason Thackston serves as Senior Vice President &amp; Chief Strategy and Clean Energy Officer at Avista. He serves as a Board Member at the Health Sciences &amp; Services Authority. He served as Senior Vice President, Energy Resources &amp; Environmental Compliance Officer at Avista. He joined the company in 1996 and has held leadership positions in customer solutions, energy delivery, finance, risk management, investor relations, and corporate development. He holds a Bachelor of Arts degree from Whitworth University with a major in international studies and an emphasis in business management. He earned his Master of Business Administration degree from Gonzaga University. He serves on the board of trustees of Whitworth University as well as on the boards of the Pacific Northwest Utilities Conference Committee, Previously, he served on the boards of the YMCA of the Inland Northwest, the Northwest Business Development Association, and the Business Development Corporation of Eastern Washington.</t>
  </si>
  <si>
    <t>jason.thackston@avistacorp.com</t>
  </si>
  <si>
    <t>Senior Vice President &amp; Chief Strategy Officer, Strategy</t>
  </si>
  <si>
    <t>403894-45P</t>
  </si>
  <si>
    <t>John Gibson</t>
  </si>
  <si>
    <t>Mr. John Gibson serves as Chief Research and Development Engineer at Avista. With more than 25 years of experience in the electric utility industry, he is currently leading the development of a shared energy model called an eco-district, which uses a centralized plant to supply energy to multiple buildings in an area referred to as the "five smartest blocks" in Spokane, Wash. This innovative model could transform how the electric grid of the future operates and help reinvent the utility business model. He holds a Bachelor of Science in electrical (BSEE) and civil engineering (BSCE), plus a Master's in Engineering Management. He is a registered Professional Engineer in the state of Washington.</t>
  </si>
  <si>
    <t>Chief Research and Development Engineer</t>
  </si>
  <si>
    <t>216285-67P</t>
  </si>
  <si>
    <t>John Wilcox</t>
  </si>
  <si>
    <t>Wilcox</t>
  </si>
  <si>
    <t>Mr. John Wilcox serves as Plan Sponsor at Retirement Plan for the Employees of the Avista Corporation.</t>
  </si>
  <si>
    <t>Director of Accounting</t>
  </si>
  <si>
    <t>312317-92P</t>
  </si>
  <si>
    <t>Joshua DiLuciano</t>
  </si>
  <si>
    <t>DiLuciano</t>
  </si>
  <si>
    <t>Josh DiLuciano is vice president of energy delivery at Avista, where he's responsible for electric and natural gas engineering, operations, and shared services such as fleet, facilities, and supply chain. He joined Avista 2006 as an entry level engineer and has held a variety of technical engineering roles and leadership positions in engineering, gas operations, and electric operations. Previously he was the Director of Electrical Engineering, where he oversaw Avista's Washington Advanced Metering Infrastructure and the transmission and distribution infrastructure investments. He is a veteran of the United States Navy. He received his Bachelor of Science in Electrical Engineering from Washington State University, Master of Science in Management and Leadership from Western Governors University. He is also a registered Professional Engineer in Washington state. He currently serves on the board of the West Central Community Center and has served as an industry advisory member for the Electrical Engineering and Computer Science departments at Washington State University and Eastern Washington University.</t>
  </si>
  <si>
    <t>265094-02P</t>
  </si>
  <si>
    <t>Kevin Christie</t>
  </si>
  <si>
    <t>Christie</t>
  </si>
  <si>
    <t>Chief Financial Officer &amp; Executive</t>
  </si>
  <si>
    <t>Mr. Kevin Christie serves as Chief Financial Officer, Treasurer and Regulatory Affairs Officer, and Senior Vice President, External Affairs at Avista. He serves as Chief Executive Officer at Avista Development. He joined Avista in 2005 as the manager of Natural Gas Planning. In 2007, he was named the director of Gas Supply. He was appointed the senior director of Finance in 2012, named senior director of Customer Solutions in 2014, named vice president and chief customer officer in 2017, and named senior vice president, External Affairs and chief customer officer in 2019. He has extensive experience in finance and the energy industry. Before joining Avista, he worked for Gas Transmission Northwest (GTN), where he served as the director of Pipeline Marketing and Development, and as the director of Pricing and Business Analysis. In addition, he has held positions in finance, business analysis, regulatory affairs, and revenue accounting for PG&amp;E Corporation, Pacific Gas Transmission Company, and Chevron USA. He has a Bachelor of Arts degree in accounting from Washington State University. In addition, he completed the Utility Executive Course at the University of Idaho, the Finance for Senior Executives and Succeeding as the Strategic CFO executive programs at Harvard Business School, and the Strategic Business Leadership program at the University of Chicago Graduate School of Business. He serves on the board of directors for the Community Colleges of Spokane Foundation and the Avista Foundation.</t>
  </si>
  <si>
    <t>+1 (509) 495-4203</t>
  </si>
  <si>
    <t>kevin.christie@avistacorp.com</t>
  </si>
  <si>
    <t>Chief Financial Officer, Senior Vice President, Treasurer and Regulatory Affairs Officer</t>
  </si>
  <si>
    <t>265102-66P</t>
  </si>
  <si>
    <t>Latisha Hill</t>
  </si>
  <si>
    <t>Latisha</t>
  </si>
  <si>
    <t>Ms. Latisha Hill serves as Vice President of Community Affairs and Chief Customer Officer at Avista (US). since January 2020; various other management and staff positions with the Company since 2005. She assumed these responsibilities on Jan. 1, 2020. She is a Spokane native and has a bachelor's in Communications from Washington State University and a Masters in Urban and Regional Planning from Eastern Washington University. She has worked in a number of roles since joining Avista in 2005, including operational and business policy support for multiple areas of the Avista service territory. Most recently, she has led the redevelopment of the University District South Landing development which resulted in the Catalyst building that is currently under construction. she completed the Willamette Executive Utility Management Program and the Finance for Non-Finance Executives Program at Wharton Business School. Over the past decade, she has served on several community boards and committees, including the Group Health Foundation, Visit Spokane, University District Public Development Authority, Northeast Public Development Authority, the Washington State Transportation Commission, and Greater Spokane Incorporated, to participate in efforts to move the community and region forward and foster economic development and vitality.</t>
  </si>
  <si>
    <t>lhill@avistacorp.com</t>
  </si>
  <si>
    <t>Vice President Community Affairs and Chief Customer Officer</t>
  </si>
  <si>
    <t>58820-50P</t>
  </si>
  <si>
    <t>Marian Durkin JD</t>
  </si>
  <si>
    <t>Marian</t>
  </si>
  <si>
    <t>Durkin</t>
  </si>
  <si>
    <t>Chief Legal Officer &amp; Senior Vice President</t>
  </si>
  <si>
    <t>Ms. Marian Durkin served as Senior Vice President &amp; Chief Legal Officer at Avista (US). Ms. Durkin added responsibilities for Chief Compliance Officer. And in 2016, she became Corporate Secretary. Durkin's legal career started in 1977 as a paralegal at the law firm of Briggs and Morgan, P.A., in Minneapolis. While working at the firm, she attended law school and became an attorney in 1984. During her 18 years at the law firm, she held a number of different roles before leaving the firm as a partner in 1995 to join United Airlines. At United, Durkin was vice president, deputy general counsel, and assistant corporate secretary. She left United Airlines in 2005 to join Avista's senior leadership team. Her professional involvement includes serving on the Edison Electric Institute Legal Committee and the Energy Insurance Mutual Board for the past decade. Effective August 1, 2020, Marian M. Durkin informed the Board of Directors of Avista Corporation that she plans to retire.</t>
  </si>
  <si>
    <t>Senior Vice President &amp; Chief Legal Officer</t>
  </si>
  <si>
    <t>170350-21P</t>
  </si>
  <si>
    <t>Mark Gustafson</t>
  </si>
  <si>
    <t>Gustafson</t>
  </si>
  <si>
    <t>Mr. Mark Gustafson serves as Director of Strategic Investments at Avista. He also serves as President at Avista Development. He serves as Chief Executive Officer and President at Avista Edge. He serves as a Board Member at Safeguard and ConnectDER. He is an Angel Investor. He serves as a Board Member of Edo and Open Energy Solutions. He serves in many board observer roles. He served as a Board Observer of Omnidian.</t>
  </si>
  <si>
    <t>+1 (509) 468-7910</t>
  </si>
  <si>
    <t>mark.gustafson@avistacorp.com</t>
  </si>
  <si>
    <t>Director of Strategic Investments &amp; President, Avista Development</t>
  </si>
  <si>
    <t>90191-35P</t>
  </si>
  <si>
    <t>Ryan Krasselt</t>
  </si>
  <si>
    <t>Krasselt</t>
  </si>
  <si>
    <t>Chief Accounting Officer &amp; Controller</t>
  </si>
  <si>
    <t>Mr. Ryan Krasselt serves as Vice President, Controller &amp; Principal Accounting Officer at Avista Corporation. He was named to his current position in October 2015. In this role, he is responsible for accounting, taxes, financial reporting, and internal controls for the corporation. He joined Avista in 2001 as a financial business partner in the accounting department. His experience at Avista has also included leadership roles within treasury and risk management. Prior to joining Avista, he was a senior manager at the accounting firm PricewaterhouseCoopers, where he oversaw audit engagements. He has a Bachelor of Science degree with a double major in accounting and finance from the University of Idaho and is a certified public accountant (CPA). In addition, he completed the Utility Executive Course at the University of Idaho. He currently serves on the board of directors for Mobius Science Center in Spokane.</t>
  </si>
  <si>
    <t>ryan.krasselt@avistacorp.com</t>
  </si>
  <si>
    <t>Chief Accounting Officer, Accounting &amp; Controller, Finance</t>
  </si>
  <si>
    <t>414013-24P</t>
  </si>
  <si>
    <t>Scott Kinney</t>
  </si>
  <si>
    <t>Kinney</t>
  </si>
  <si>
    <t>Mr. Scott Kinney serves as Vice President at Avista (US). He started working at Avista in 1999 and has held several senior technical and leadership positions in Transmission and Distribution Planning and Operations and Power and Gas Supply. Previously, He was the Director of System Operations and Planning and the Director of Energy Supply. He has developed extensive knowledge and experience in electric system planning, operations, and energy markets. He received his Electrical Engineering degree from Gonzaga University and started his career at the Bonneville Power Administration working as a Transmission Planning Engineer, before joining Avista. Throughout his career, He has been actively involved in regional reliability and market coordination efforts and has chaired both the Western Electricity Coordinating Council and Northwest Power Pool Operating Committees. He is the current vice-chair of the Pacific Northwest Utilities Conference Committee. He has also participated in multiple regional organized market development efforts dating back to RTO West in the early 2000s and has been actively engaged in the Western Resource Adequacy Program development to create a regional resource capacity program.</t>
  </si>
  <si>
    <t>skinney@avistacorp.com</t>
  </si>
  <si>
    <t>303700-42P</t>
  </si>
  <si>
    <t>Stacey Walters</t>
  </si>
  <si>
    <t>Walters</t>
  </si>
  <si>
    <t>Ms. Stacey Walters serves as Manager, Investor Relations at Avista.</t>
  </si>
  <si>
    <t>+1 (509) 495-2046</t>
  </si>
  <si>
    <t>stacey.walters@avistacorp.com</t>
  </si>
  <si>
    <t>Manager, Investor Relations</t>
  </si>
  <si>
    <t>400750-39P</t>
  </si>
  <si>
    <t>Wayne Manuel</t>
  </si>
  <si>
    <t>Chief Information Officer &amp; Executive</t>
  </si>
  <si>
    <t>Mr. Wayne Manuel serves as Chief Information Officer, Chief Security Officer and Vice President at Avista (US). Wayne Manuel is Vice President, Chief Information Officer and Chief Security Officer. He joined Avista in 2023. Previously, Mr. Manuel held the role of Senior Vice President, Chief Strategy Officer and Chief Information Officer at Valley Medical Center in Renton, WA, the largest nonprofit healthcare provider between Seattle and Tacoma. During the pandemic, Mr. Manuel designed and implemented near real-time COVID-19 Operational Dashboards and facilitated and instituted a plan to handle major surges in patient volumes. He also directed the implementation and operationalization of the hospital's advanced cybersecurity team and framework. Beyond Information Technology, his responsibilities have also included Strategy, Human Resources, Marketing, Clinical (P&amp;L) Operations, Research, Process Improvement, Project Management, and Change Management. Before joining Valley Medical Center, Mr. Manuel held roles at The Cleveland Clinic, Providence Health &amp; Services, and ConocoPhillips. He was born just outside of Houston, Texas, joined the U.S. Army as an engineer after high school graduation and served for six years in multiple geographies including Alaska. He earned his Bachelor of Business Administration in Management Information Systems from the University of Alaska-Anchorage and his Master of Business Administration from the University of Houston-Victoria.</t>
  </si>
  <si>
    <t>wmanuel@avistacorp.com</t>
  </si>
  <si>
    <t>436898-98P</t>
  </si>
  <si>
    <t>Adam Garrison</t>
  </si>
  <si>
    <t>Garrison</t>
  </si>
  <si>
    <t>Avnet</t>
  </si>
  <si>
    <t>Mr. Adam Garrison serves as AMD Technical Sales Engineer at Avnet.</t>
  </si>
  <si>
    <t>+1 (480) 643-2000</t>
  </si>
  <si>
    <t>Phoenix</t>
  </si>
  <si>
    <t>Phoenix, AZ</t>
  </si>
  <si>
    <t>2211 South 47th Street</t>
  </si>
  <si>
    <t>85034</t>
  </si>
  <si>
    <t>+1 (480) 794-9782</t>
  </si>
  <si>
    <t>AMD Technical Sales Engineer</t>
  </si>
  <si>
    <t>321756-13P</t>
  </si>
  <si>
    <t>Carraig Stanwyck</t>
  </si>
  <si>
    <t>Carraig</t>
  </si>
  <si>
    <t>Stanwyck</t>
  </si>
  <si>
    <t>Mr. Carraig Stanwyck serves as Vice President &amp; Head of Global Cybersecurity and Compliance at Avnet.</t>
  </si>
  <si>
    <t>carraig.stanwyck@avnet.com</t>
  </si>
  <si>
    <t>Vice President &amp; Head of Global Cybersecurity and Compliance</t>
  </si>
  <si>
    <t>304639-12P</t>
  </si>
  <si>
    <t>Claire Senga</t>
  </si>
  <si>
    <t>Senga</t>
  </si>
  <si>
    <t>Ms. Claire Senga serves as Vice President, Global DEI and Talent Management Programs at Avnet.</t>
  </si>
  <si>
    <t>claire.senga@avnet.com</t>
  </si>
  <si>
    <t>Vice President, Global DEI and Talent Management Programs</t>
  </si>
  <si>
    <t>417999-88P</t>
  </si>
  <si>
    <t>Dave Youngblood</t>
  </si>
  <si>
    <t>Dave</t>
  </si>
  <si>
    <t>Youngblood</t>
  </si>
  <si>
    <t>Mr. Dave Youngblood serves as Chief Digital Officer at Avnet. He has a M.A. in Communications from St. Mary's University and a B.A. in Communications from Austin College</t>
  </si>
  <si>
    <t>dave.youngblood@avnet.com</t>
  </si>
  <si>
    <t>Chief Digital Officer</t>
  </si>
  <si>
    <t>278081-29P</t>
  </si>
  <si>
    <t>Elizabeth McMullen</t>
  </si>
  <si>
    <t>McMullen</t>
  </si>
  <si>
    <t>Ms. Elizabeth A. McMullen serves as Senior Vice President of Global Operations at Avnet. She is responsible for driving consistent and efficient execution of Avnet's global strategy, including the leadership of the Salesforce Global Center of Excellence and Global Data Management. In addition, she oversees the Logistics team and Avnet's Program Management Office. She joined Avnet's Global Information Systems (GIS) team in 2010 and was responsible for leading and transforming a technology program for the legacy Electronic Marketing team, and the GIS Project Management Office. She has continued to play a critical role in the Avnet transformation, holding leadership positions in Global Logistics &amp; Operations and the Logistics Business Transformation Office. Prior to joining Avnet, she held senior leadership positions at DP DHL and Arthur Andersen. She holds a bachelor's degree in business management from Fairleigh Dickinson University and a master's degree in international management from the Thunderbird School of International Management.</t>
  </si>
  <si>
    <t>beth.mcmullen@avnet.com</t>
  </si>
  <si>
    <t>144439-93P</t>
  </si>
  <si>
    <t>Greg Frazier</t>
  </si>
  <si>
    <t>Frazier</t>
  </si>
  <si>
    <t>Mr. Greg Frazier serves as Senior Vice President, Business Development and Innovation at Avnet.</t>
  </si>
  <si>
    <t>greg.frazier@avent.com</t>
  </si>
  <si>
    <t>+1 (480) 643-7777</t>
  </si>
  <si>
    <t>Senior Vice President, Business Development and Innovation</t>
  </si>
  <si>
    <t>54716-32P</t>
  </si>
  <si>
    <t>John Fossett</t>
  </si>
  <si>
    <t>Fossett</t>
  </si>
  <si>
    <t>Mr. John Fossett serves as Vice President, Global Solutions Management and General Manager, Integration Manufacturing &amp; Senior Director, Global Solutions Management at Avnet. He served as General Manager of Operations at Avnet. He served as a Vice President of Operations at Enlighted. Prior to Enlighted, he served as vice president of manufacturing operations for Network Equipment Technologies. He previously served as vice president of operations for Vernier Networks, director of strategic partner programs for Ecrio, and in program management roles with NuvoMedia and Lam Research. He holds a BS in mechanical engineering from the University of Virginia and an MS in mechanical engineering from Stanford University.</t>
  </si>
  <si>
    <t>john.fossett@avnet.com</t>
  </si>
  <si>
    <t>Vice President, Global Solutions Management and General Manager, Integration Manufacturing &amp; Senior Director, Global Solutions Management</t>
  </si>
  <si>
    <t>226299-88P</t>
  </si>
  <si>
    <t>Ken Arnold</t>
  </si>
  <si>
    <t>Arnold</t>
  </si>
  <si>
    <t>Mr. Ken Arnold serves as Global Chief People Officer &amp; Senior Vice President at Avnet. He previously served in various human resource leadership roles with the Company, including as Vice President, Human Resources from 2009 to February 2019 and Director, Human Resources - Talent Acquisition and HR Services from 2007 to 2009.</t>
  </si>
  <si>
    <t>ken.arnold@avnet.com</t>
  </si>
  <si>
    <t>Global Chief People Officer &amp; Senior Vice President</t>
  </si>
  <si>
    <t>226106-56P</t>
  </si>
  <si>
    <t>Kenneth Jacobson</t>
  </si>
  <si>
    <t>Jacobson</t>
  </si>
  <si>
    <t>Mr. Kenneth Jacobson serves as Chief Financial Officer at Avnet. He served as a Plan Administrator at Avnet Pension Plan. He served as Vice President and Corporate Controller at Avnet. From August 2017 to January 2018, he also served as the Interim Chief Financial Officer. Prior to joining the Company, Mr. Jacobson served as the Director of External Reporting and Accounting Research for First Solar Inc. from 2011 to 2013, where he led external reporting and provided accounting support for acquisitions and sales of solar power projects. Mr. Jacobson is a Certified Public Accountant.</t>
  </si>
  <si>
    <t>+1 (480) 643-7510</t>
  </si>
  <si>
    <t>ken.jacobson@avnet.com</t>
  </si>
  <si>
    <t>278081-11P</t>
  </si>
  <si>
    <t>Leng Chan</t>
  </si>
  <si>
    <t>Leng</t>
  </si>
  <si>
    <t>Chan</t>
  </si>
  <si>
    <t>Max Chan has served as the Chief Information Officer since 2019. Since joining the Company in 2013, he has served in various roles including Vice President, Information Technology Global Supply Chain from 2016 to 2019 and Vice President of Information for Avnet Technology Solutions (a subsidiary of the Company) in Asia from 2013 to 2016. Prior to joining the Company, Mr. Chan had held several Information Technology leadership roles, including Chief Information Officer, Asia at VF Corporation (NYSE: VFC) from 2008 to 2010 and Vice President, IT Global Supply Chain, Building Efficiency at Johnson Controls International (NYSE: JCI) from 2001 to 2008 and 2010 to 2012.</t>
  </si>
  <si>
    <t>jchan@avnet.com</t>
  </si>
  <si>
    <t>213958-27P</t>
  </si>
  <si>
    <t>Max Chan</t>
  </si>
  <si>
    <t>Chief Information Officer</t>
  </si>
  <si>
    <t>Mr. Max Chan serves as Chief Information Officer at Avnet. As CIO, Chan is responsible for all information technology (IT) areas throughout the Avnet ecosystem, which includes the delivery of all strategic business IT and digital transformation initiatives. Chan will work closely with Avnet senior executives to translate their business strategies into IT roadmaps, and also set the prioritization of these initiatives through a global governance process. He oversees the resources and capabilities of the global IT team, ensuring the organization maintains a robust and optimized IT environment for the company. Prior to joining Avnet, Chan held several IT leadership roles, including Chief Information Officer, Asia at VF Corporation, and vice president, IT Global Supply Chain, Building Efficiency at Johnson Controls. He earned a Bachelor of Science in mathematics from Malayan University, Malaysia, and a Master of Business Administration in strategy from University of Birmingham, UK.</t>
  </si>
  <si>
    <t>max.chan@avnet.com</t>
  </si>
  <si>
    <t>228363-58P</t>
  </si>
  <si>
    <t>Michael McCoy JD</t>
  </si>
  <si>
    <t>McCoy</t>
  </si>
  <si>
    <t>Mr. Michael McCoy serves as Senior Vice President, General Counsel, and Chief Legal Officer at Avnet. In this role, he leads the company's global legal, trade compliance, and security teams. He is a member of the Avnet Executive Leadership Team and a corporate officer. He recently served as general counsel, international, overseeing Avnet's legal teams in EMEA and Asia Pacific. He also previously served as Avnet's corporate secretary. Before joining Avnet, he worked at two international firms representing companies in securities, governance, and M&amp;A matters. He began his legal career as an attorney with the U.S. Securities and Exchange Commission's Division of Corporation Finance. He earned a Bachelor of Arts degree in Political Science from the University of Arizona and a Juris Doctor from the James E. Rogers College of Law at the University of Arizona.</t>
  </si>
  <si>
    <t>michael.mccoy@avnet.com</t>
  </si>
  <si>
    <t>Senior Vice President, General Counsel and Chief Legal Officer</t>
  </si>
  <si>
    <t>190284-49P</t>
  </si>
  <si>
    <t>Michael O'Neill JD</t>
  </si>
  <si>
    <t>O'Neill</t>
  </si>
  <si>
    <t>Mr. Michael O'Neill served as Chief Legal Officer &amp; General Counsel at Avnet. Before joining Avnet in 2016, Mr. O'Neill served as vice president and chief legal officer at Canadian Helicopter Corporation. Previously he held the position of senior vice president and general counsel at Lenovo, and prior to that he was at Honeywell, where during the course of 17 years his career progressed with increasing responsibility encompassing deputy general counsel, general counsel international (Brussels), and worldwide responsibilities for global contract management. For six years, Mr. O'Neill was a partner at Howrey, Simon, Arnold and White LLP, responsible for client mergers, acquisitions and other business transactions for both domestic and international clients of the firm. In addition, he has served as a member of the board for several organizations, including TRW International, CFC, and currently he is on the board of advisors at ARC Technologies. He received his Bachelor of Arts in Business Administration and Economics from Belmont Abbey College, and his Juris Doctor and MBA in Finance from University of Baltimore Law School. He has also completed postgraduate programs at Duke University and George Washington University.</t>
  </si>
  <si>
    <t>Chief Legal Officer &amp; General Counsel</t>
  </si>
  <si>
    <t>94453-75P</t>
  </si>
  <si>
    <t>Philip Gallagher</t>
  </si>
  <si>
    <t>Gallagher</t>
  </si>
  <si>
    <t>Mr. Philip R. Gallagher serves as Chief Executive Officer &amp; Board Member at Avnet. He has served as President of Electronic Components since August 2018, and had served as the Global President of Core Distribution Business from May 2017 to August 2018. He began his career with the Company in 1982 and held executive leadership positions in sales, marketing and operations during his 30 years at the company. He led two former operating groups for the company, serving as president of Avnet Electronic Marketing Americas from 2004 to 2009, and as global president of Avnet Technology Solutions from 2009 to 2014. He left the Company in 2014, and re-entered the workforce in 2016 to serve as President of Americas Sales and Marketing at TTI, a leading authorized distributor of interconnect, passive, electromechanical and discrete components, from 2016 to 2017 before rejoining the Company in May 2017. He currently serves on the advisory boards for Axxess Unlimited and AON (Access Digital Networks). He is also a past president of the National Electronics Distributors Association (NEDA), now known as the Electronic Components Industry Association. In 2009, he received the Gail S. Carter Award, one of the organization's highest honors. He currently serves on the Arizona Commerce Authority Board of Directors and the Advisory Board of Women in Electronics. He is also a member of Greater Phoenix Leadership and the Greater Phoenix Economic Council.</t>
  </si>
  <si>
    <t>+1 (480) 643-2532</t>
  </si>
  <si>
    <t>82345-60P</t>
  </si>
  <si>
    <t>Rick Marble</t>
  </si>
  <si>
    <t>Rick</t>
  </si>
  <si>
    <t>Marble</t>
  </si>
  <si>
    <t>Mr. Rick Marble serves as Senior Vice President, Finance Americas, Core Electronics Business at Avnet.</t>
  </si>
  <si>
    <t>rick.marble@avnet.com</t>
  </si>
  <si>
    <t>Senior Vice President, Finance Americas, Core Electronics Business</t>
  </si>
  <si>
    <t>296757-64P</t>
  </si>
  <si>
    <t>David Mansfield</t>
  </si>
  <si>
    <t>Mansfield</t>
  </si>
  <si>
    <t>AWN Holdings</t>
  </si>
  <si>
    <t>Mr. David Mansfield served as Chief Financial Officer at AWN Holdings. He served as Chief Financial Officer &amp; Chief Accounting Officer at VinFast Auto. He kicked off his career in Structured Fixed Income Derivatives trading at Greenwich Natwest Markets. He then moved to Goldman Sachs, where he helped establish their Equity Derivatives business. He moved to Asia in 2005, where he has remained since, and built businesses for both Credit Suisse and JP Morgan. His career has since spanned leadership roles in major investment banks and high-growth ventures, including serving as CFO of an electric vehicle company, where he played a key role in listing VinFast on NASDAQ. He holds a strong background in finance, with a focus on structured financing, platform development, and technology optimization.</t>
  </si>
  <si>
    <t>+61 (0)2 8083 9800</t>
  </si>
  <si>
    <t>davidm@arowanaco.com</t>
  </si>
  <si>
    <t>North Sydney</t>
  </si>
  <si>
    <t>North Sydney, Australia</t>
  </si>
  <si>
    <t>Level 11, 153 Walker Street</t>
  </si>
  <si>
    <t>2060</t>
  </si>
  <si>
    <t>Chief Financial Officer &amp; Chief Accounting Officer</t>
  </si>
  <si>
    <t>VinFast Auto (Former)</t>
  </si>
  <si>
    <t>451498-33P</t>
  </si>
  <si>
    <t>Joel Crowe</t>
  </si>
  <si>
    <t>Crowe</t>
  </si>
  <si>
    <t>Mr. Joel Crowe serves as Director, Investments at AWN Holdings. He holds a Bachelor of Accounting degree, majoring in Accounting and Finance, and is a qualified Chartered Accountant. He started his career at Macquarie Group before moving on to turnaround consulting and corporate advisory at KordaMentha and 333 Capital, where he worked alongside the senior management of several ASX-listed companies to help restructure their businesses. As an Investment Associate Director at Arowana, he is responsible for identifying and assessing investment opportunities. He also works closely with investee management teams in developing and executing strategic initiatives and navigating periods of transformation.</t>
  </si>
  <si>
    <t>joelc@arowanaco.com</t>
  </si>
  <si>
    <t>Level 11, Matisse Tower</t>
  </si>
  <si>
    <t>110 Mary Street</t>
  </si>
  <si>
    <t>Director, Investments</t>
  </si>
  <si>
    <t>153391-06P</t>
  </si>
  <si>
    <t>Kevin Chin</t>
  </si>
  <si>
    <t>Chin</t>
  </si>
  <si>
    <t>Mr. Kevin Chin is a Founder and serves as the Chief Executive Officer and Executive Chairman at AWN Holdings. He is a Co-Founder and serves as Executive Chairman at VivoPower International. He is an impact-focused entrepreneur who has successfully started, bought, built, fixed, scaled up, and sold businesses across a range of industries-including software, education, funds management, media, road infrastructure services, solar power, and electric vehicles. He has exited multiple businesses and successfully led five IPOs across the NASDAQ, ASX, and NZX exchanges as well as originated four fund vehicles (listed and unlisted). His entrepreneurial journey commenced in 2003 with the startup and scale-up of an ice cream business that spanned Australia and Southeast Asia. His primary strategic and operational expertise includes the art of scaling up businesses (specifically navigating growing pains issues and inflection points for enterprises experiencing exponential rates of growth) and leading companies through distressed and complex turnaround situations. His previous experience covers investment management (private equity and mezzanine credit), direct funds management (equities in Australia and Asia), fund of funds management (Asia and hedge funds), mergers and acquisitions, corporate finance, litigation support, and forensic accounting. He has worked for LFG, J.P. Morgan, PwC, and Deloitte. He holds a Bachelor of Commerce degree from the University of New South Wales, where he was part of the inaugural cohort of Co-op Scholars in the School of Banking and Finance. He is also a qualified Chartered Accountant (Chartered Accountants Australia and New Zealand) and a Fellow of FINSIA (the Financial Services Institute of Australasia), where he lectured in postgraduate subjects including Advanced Industrial Equities Analysis and Corporate Finance.</t>
  </si>
  <si>
    <t>kevinc@arowanaco.com</t>
  </si>
  <si>
    <t>Founder, Chief Executive Officer &amp; Executive Chairman</t>
  </si>
  <si>
    <t>230905-27P</t>
  </si>
  <si>
    <t>Afnajjer Hernandez</t>
  </si>
  <si>
    <t>Afnajjer</t>
  </si>
  <si>
    <t>Azolla Ventures</t>
  </si>
  <si>
    <t>Mr. Afnajjer Hernandez serves as Principal at Azolla Ventures. He served as Senior Associate at The Ecosystem Integrity Fund. His responsibilities include sector research, pipeline development and tracking, and investment due diligence support. Before EIF, he was a Senior Strategic Planner at the newly formed Lockheed Martin (LM) Energy. At LM Energy, he oversaw the research and development investment portfolio and was key in developing the long-term strategy. He worked alongside senior executives on business development, mergers and acquisitions, technology investments, and international market entry strategies. Before transitioning into a strategy position, he led the LM Energy Engineering &amp; Technology Finance team. In this role, he successfully integrated financial tools during an internal merger, developed investment tracking financial models, and held oversight of management finances. Prior to joining the LM Energy team, he worked as a Financial Analyst for LM Missiles and Fire Control, where he developed intellectual property royalty financial models, led cross-functional teams through cost-saving processes, and oversaw over $200 million of Department of Defense contracts. He received a Bachelor of Science degree in Business Administration from the University of Central Florida and is completing a Masters of Business Administration from the UC Berkeley Haas School of Business.</t>
  </si>
  <si>
    <t>af@azollaventures.com</t>
  </si>
  <si>
    <t>625 Massachusetts Avenue</t>
  </si>
  <si>
    <t>370966-06P</t>
  </si>
  <si>
    <t>Ally Harada</t>
  </si>
  <si>
    <t>Ally</t>
  </si>
  <si>
    <t>Harada</t>
  </si>
  <si>
    <t>Ms. Ally Harada serves as Head, Finance &amp; Operations at Azolla Ventures. She previously served as the Chief of Staff at Azolla Ventures. At Azolla Ventures she is responsible for firm and fund strategy and operations, branding and marketing efforts, team culture, compliance, vendor management, and back office oversight. She joins Azolla Ventures from a career in investor relations at alternative asset managers including Benedict Canyon Equities, a multifamily real estate investment firm based in Los Angeles, and Aurelius Capital Management, a distressed debt hedge fund based in New York City. She began her career as a CPA in the Financial Services Office Assurance Practice at EY. She holds a B.S. in Accounting from Lehigh University.</t>
  </si>
  <si>
    <t>ally@azollaventures.com</t>
  </si>
  <si>
    <t>Head, Finance</t>
  </si>
  <si>
    <t>227959-12P</t>
  </si>
  <si>
    <t>Amy Duffuor</t>
  </si>
  <si>
    <t>Duffuor</t>
  </si>
  <si>
    <t>Ms. Amy Duffuor is a Co-Founder and serves as the General Partner at Azolla Ventures. She serves as a Board Observer at Noon Energy. She serves as Managing Director at Prime Impact Fund. Furthermore, she also served as a Board Member at Heaten and a Board Observer at Leading Edge Equipment Technologies. Prior to Prime, she worked as a renewables and power investment banker at Bank of America; and ran early-stage social venture accelerators around Southeast Asia for the Impact Investment Exchange. She holds a BA in Urban Studies from Columbia University, a Master of Philosophy in Migration Studies from the University of Oxford, and an MBA in Finance from the University of Pennsylvania (Wharton).</t>
  </si>
  <si>
    <t>amy@azollaventures.com</t>
  </si>
  <si>
    <t>329376-52P</t>
  </si>
  <si>
    <t>Cassandra Vickers</t>
  </si>
  <si>
    <t>Cassandra</t>
  </si>
  <si>
    <t>Vickers</t>
  </si>
  <si>
    <t>Ms. Cassandra Vickers serves as an Investment Associate at Azolla Ventures. She also serves as an Associate at Prime Impact Fund. At Azolla Ventures she is responsible for sourcing investment opportunities, researching and developing theses to guide the investment pipeline, and supporting investment diligence. She joined Azolla Ventures from National Grid, one of the world's largest utilities, where she held various roles in the innovation department building out first-of-a-kind demand response and electric vehicle utility programs. Her work at National Grid also involved improving the experience of utility customers, which trained her in design thinking and the art of a human-centered approach to problem-solving. She has been recognized as a GreenBiz 30 under 30 awardee and holds a B.A. in Environmental Studies from the University of Pennsylvania.</t>
  </si>
  <si>
    <t>cassandra@azollaventures.com</t>
  </si>
  <si>
    <t>400984-12P</t>
  </si>
  <si>
    <t>Eric Yao</t>
  </si>
  <si>
    <t>Yao</t>
  </si>
  <si>
    <t>Mr. Eric Yao serves as Investment Analyst at Azolla Ventures where he is responsible for sourcing investment opportunities, managing the investment pipeline and CRM operations, and aiding investment diligence. He joined Azolla Ventures upon graduating from Rutgers University. At Rutgers, he helped lead the Road to Wall Street program, conducted product research and market mapping for a climate-tech startup, and advised Fortune 500 firms on sustainability policy and branding. He holds a B.A. in Economics and minor in Computer Science, with a focus on the intersection of finance and sustainability.</t>
  </si>
  <si>
    <t>eric@azollaventures.com</t>
  </si>
  <si>
    <t>446101-84P</t>
  </si>
  <si>
    <t>Erik Knall Ph.D</t>
  </si>
  <si>
    <t>Erik</t>
  </si>
  <si>
    <t>Knall</t>
  </si>
  <si>
    <t>Dr. Erik Knall serves as Investment Associate at Azolla Ventures. He applies a strong technical foundation to sourcing, research, and diligence for early-stage technology investments with climate impact potential. His experiences span national labs, industry, and international settings, blending scientific rigor with real-world application. He began his career programming cameras for plasma physics experiments at University of California, Los Angeles and later earned a Ph.D. in Applied Physics from Harvard University, focusing on nanofabrication of diamonds for quantum technology.</t>
  </si>
  <si>
    <t>erik@azollaventures.com</t>
  </si>
  <si>
    <t>400981-15P</t>
  </si>
  <si>
    <t>Jillian Chase Ph.D</t>
  </si>
  <si>
    <t>Jillian</t>
  </si>
  <si>
    <t>Dr. Jillian Chase serves as Principal at Azolla Ventures. She is trained as a biochemist and molecular biophysicist, with a specific focus on structural biology, protein structure &amp; function, DNA structure &amp; function, and biotechnology. She has spent her career in venture capital at Flatiron Venture Partners, where she was most recently a Vice President. Her work at Flatiron fostered a keen interest in cellular manufacturing, sustainable manufacturing techniques, and AgTech. She received a B.S. in Pharmaceutical Sciences with a concentration in Pharmacology &amp; Toxicology from the University of Rhode Island, spent time working in the in vivo Immunology product development group at Johnson &amp; Johnson (NYSE: JNJ) and worked in the lab of Nobel Laureate Dr. Roderick MacKinnon at Rockefeller University / HHMI before receiving her Ph.D. in Biochemistry &amp; Molecular Biophysics at the City University of New York / City College of New York.</t>
  </si>
  <si>
    <t>jillian@azollaventures.com</t>
  </si>
  <si>
    <t>203259-88P</t>
  </si>
  <si>
    <t>Johanna Wolfson Ph.D</t>
  </si>
  <si>
    <t>Johanna</t>
  </si>
  <si>
    <t>Wolfson</t>
  </si>
  <si>
    <t>Dr. Johanna Wolfson is a Co-Founder and serves as a General Partner at Azolla Ventures. She is a Co-Founder and serves as Managing Director at Prime Impact Fund. She serves as Board Member at Verdox, Tynt, C-Motive, BioLumic, Sublime Systems, and Zanskar. She serves as a Board Member at Zanskar and Muon Vision. She serves as a Member of the Investment Committee at Evergreen Climate Innovations. She joined PRIME from her role as Director of Technology-to-Market in the Department of Energy's Office of Energy Efficiency and Renewable Energy (EERE). Her work at DOE included testing new models for financing and commercialization, launching entrepreneurs and new businesses out of universities and National Labs, and supporting early-stage clean energy businesses with funding, training, and technical resources. Prior to DOE, she was with the Fraunhofer Center for Sustainable Energy Systems where she led TechBridge, a technical validation and demonstration program that de-risks promising early-stage energy technologies prior to investment. She has a Ph.D. in Physical Chemistry from MIT, where she conducted research on photo-induced solid-state dynamics. She also holds a BA from the University of Wisconsin.</t>
  </si>
  <si>
    <t>johanna@azollaventures.com</t>
  </si>
  <si>
    <t>400982-86P</t>
  </si>
  <si>
    <t>Mariama Seydi</t>
  </si>
  <si>
    <t>Mariama</t>
  </si>
  <si>
    <t>Seydi</t>
  </si>
  <si>
    <t>Ms. Mariama Seydi serves as Investment Analyst at Azolla Ventures where she is responsible for sourcing investment opportunities, supporting investment diligence and pipeline management, and building out climate justice frameworks. She has previously interned in the United States and North Africa, with most of her work centering on public policy research. She has executed policy memos, briefed the Office of Massachusetts's 4th District Member to the House of Representatives on active bills, and worked extensively with District Representatives on issues ranging from housing to grant funding for small businesses. She has a B.A. magna cum laude in Political Science from Wellesley College.</t>
  </si>
  <si>
    <t>mariama@azollaventures.com</t>
  </si>
  <si>
    <t>31448-35P</t>
  </si>
  <si>
    <t>Matthew Nordan</t>
  </si>
  <si>
    <t>Nordan</t>
  </si>
  <si>
    <t>Mr. Matthew Nordan serves as a Board Member at Scalvy. Mr. Nordan is a Co-Founder and serves as General Partner at Azolla Ventures. He serves as a Board Member at Rock Zero. He served as a Board Member at MicroByre. He is a Founding Partner and serves as an Investment Committee Member at Mobility Impact Partners. He is a Co-Founder and serves as Managing Director at Prime Impact Fund. He served as a Board of Directors at Greentown Labs. He serves as a Board Member at Funga and SiTration, FINsix, and Avalanche. He served as a Board Member at Leading Edge Equipment Technologies. He served as Managing Director at PRIME Coalition. He serves as a Founding Partner at Mobility Impact Partners. He is also a Co-Founder and serves as Managing Partner at MNL Partners. He also served as a Board Observer at C-Motive Technologies. He serves as a Board Member and Advisor at Lilac Solutions. He served as a Board Observer at Sublime Systems. He holds a BA in Psychology and Neuroscience from Yale University. He serves as a Board Member at Sightline Climate.</t>
  </si>
  <si>
    <t>+1 (781) 729-2066</t>
  </si>
  <si>
    <t>Sunnyvale</t>
  </si>
  <si>
    <t>Sunnyvale, CA</t>
  </si>
  <si>
    <t>1159 Sonora Court</t>
  </si>
  <si>
    <t>Suite 151</t>
  </si>
  <si>
    <t>94086</t>
  </si>
  <si>
    <t>Scalvy</t>
  </si>
  <si>
    <t>307805-50P</t>
  </si>
  <si>
    <t>Nolan English</t>
  </si>
  <si>
    <t>Nolan</t>
  </si>
  <si>
    <t>English</t>
  </si>
  <si>
    <t>Mr. Nolan English served as Director of Portfolio Services at SOSV. He serves as the Head of Platform at Azolla Ventures. He is responsible for actively developing and maintaining SOSV's global community of 1000+ portfolio companies and their founders. He and his team curate services and programming for the SOSV founder community in the form of platform tools, peer networking, events, expert content and masterclasses, and strategic partnerships. He works closely with SOSV's investment teams to ensure founders have access to everything they need to successfully launch and scale their businesses from day one. he first joined SOSV as a Program Manager for Food-X in 2014, responsible for the day-to-day operations of the program and portfolio management. Before SOSV, he worked in Washington DC in the corporate meeting and events industry. He holds a BA in Literature from Bard College.</t>
  </si>
  <si>
    <t>+1 (512) 698-9600</t>
  </si>
  <si>
    <t>nolan@azollaventures.com</t>
  </si>
  <si>
    <t>Head of Platform</t>
  </si>
  <si>
    <t>412180-21P</t>
  </si>
  <si>
    <t>Tenzin Choeyang</t>
  </si>
  <si>
    <t>Tenzin</t>
  </si>
  <si>
    <t>Choeyang</t>
  </si>
  <si>
    <t>Ms. Tenzin Choeyang is Azolla Venture's first Operations Analyst. She is responsible for firm and fund strategy and operations, investor relations, team culture, communications, and external presence. Before joining Azolla Ventures, she was a Venture Development &amp; ACCEL Program Coordinator at Greentown Labs, the largest climate tech startup incubator in North America. At Greentown Labs, she played a key role in building the ACCEL program, the inaugural climate-tech startup accelerator supporting diverse entrepreneurs. Outside of her professional endeavors, she has been a Global Shaper at the World Economic Forum since 2020 and a Climate Reality Leader. Notably, she is the first Tibetan woman featured on BBC in 2017 for her work at the World Literacy Foundation. She holds a B.S. in Environmental Sciences and Global Health from Duke University.</t>
  </si>
  <si>
    <t>tenzin@azollaventures.com</t>
  </si>
  <si>
    <t>Operations Analyst</t>
  </si>
  <si>
    <t>161974-54P</t>
  </si>
  <si>
    <t>Andreas Guggenbühl</t>
  </si>
  <si>
    <t>Andreas</t>
  </si>
  <si>
    <t>Guggenbühl</t>
  </si>
  <si>
    <t>BackBone Ventures</t>
  </si>
  <si>
    <t>Mr. Andreas Guggenbühl serves as Venture Partner at BackBone Ventures. Mr. Guggenbühl co-founded Selfnation and served as its Chief Executive Officer, Zurich. He develops the editing techniques and conducts the quality inspection and production. He studied mechanical engineering at the Swiss Federal Institute of Technology in Zurich (ETHZ).</t>
  </si>
  <si>
    <t>Waisenhausstrasse 5</t>
  </si>
  <si>
    <t>8001</t>
  </si>
  <si>
    <t>216019-63P</t>
  </si>
  <si>
    <t>Jan Munoz Ph.D</t>
  </si>
  <si>
    <t>Jan</t>
  </si>
  <si>
    <t>Munoz</t>
  </si>
  <si>
    <t>Dr. Jan Munoz serves as a Partner at BackBone Ventures. Dr. Munoz serves as Board Member at liftOS and Boostbar. Dr. Munoz served as a Partner at Schumpeter Ventures. Ph.D. in law from the University of Heidelberg and an MBA from INSEAD. He was the managing director of Axel Springer Media for Equity in Berlin and later partner at m2p ventures in Frankfurt, where he worked on early-stage investments in Germany &amp; MENA. Before becoming a venture capitalist, He worked for a large private equity fund on their Swiss investments and as a lawyer for a New York-based law firm.</t>
  </si>
  <si>
    <t>228610-45P</t>
  </si>
  <si>
    <t>Joel Roos</t>
  </si>
  <si>
    <t>Roos</t>
  </si>
  <si>
    <t>Mr. Joel Roos is an Active Investorr at BackBone Ventures. Mr. Roos co-founded and served as Chief Executive Officer and Managing Director at VAY (Business/Productivity Software). He serves as Venture Partner at QBIT Capital. He has background in mechanical engineering and robotics from ETH Zürich. He is currently leading the Center of Excellence at Nautilus Inc. Inc in Zurich.</t>
  </si>
  <si>
    <t>+41 (0)79 797 9799</t>
  </si>
  <si>
    <t>jroos@qbitcapital.xyz</t>
  </si>
  <si>
    <t>Technoparkstrasse 1</t>
  </si>
  <si>
    <t>8005</t>
  </si>
  <si>
    <t>Active Investor</t>
  </si>
  <si>
    <t>QBIT Capital</t>
  </si>
  <si>
    <t>249184-36P</t>
  </si>
  <si>
    <t>Louis Zuppinger</t>
  </si>
  <si>
    <t>Zuppinger</t>
  </si>
  <si>
    <t>Mr. Louis Zuppinger serves as Head of Finance &amp; Operations at BackBone Ventures. He co-founded and served as Business Development Manager at Huperty.</t>
  </si>
  <si>
    <t>lpz@backbone.vc</t>
  </si>
  <si>
    <t>Head of Finance &amp; Operations</t>
  </si>
  <si>
    <t>326874-16P</t>
  </si>
  <si>
    <t>Marcel Kubli</t>
  </si>
  <si>
    <t>Marcel</t>
  </si>
  <si>
    <t>Kubli</t>
  </si>
  <si>
    <t>Mr. Marcel Kubli serves as Board Member at Aeon. He serves as Venture Partner at BackBone Ventures. For multiple years he was part of the Digitec Galaxus and VIU leadership teams before he entered the medical retail space with his own ventures and most recently co-founded the preventive health startup CARE. An impressive milestone was the dental startup bestsmile, which he co-founded in 2018 and has and won the Swiss Economic Award in 2020. After successfully building the company over four years, bestsmile was sold to Migros.</t>
  </si>
  <si>
    <t>+41 (0)79 158 3000</t>
  </si>
  <si>
    <t>Winterthur</t>
  </si>
  <si>
    <t>Winterthur, Switzerland</t>
  </si>
  <si>
    <t>Neuwiesenstrasse 15</t>
  </si>
  <si>
    <t>14th Floor</t>
  </si>
  <si>
    <t>8400</t>
  </si>
  <si>
    <t>Aeon</t>
  </si>
  <si>
    <t>211599-46P</t>
  </si>
  <si>
    <t>Miklos Stanek</t>
  </si>
  <si>
    <t>Miklos</t>
  </si>
  <si>
    <t>Stanek</t>
  </si>
  <si>
    <t>Chairman &amp; Founding Partner</t>
  </si>
  <si>
    <t>Mr. Miklos Stanek is a Co-Founding Partner and serves as Chairman at BackBone Ventures. He serves as a Board Member at Neon and Findependent. He serves as an Advisor at Creaitor.ai.</t>
  </si>
  <si>
    <t>ms@backbone.vc</t>
  </si>
  <si>
    <t>Co-Founding Partner &amp; Chairman</t>
  </si>
  <si>
    <t>229979-98P</t>
  </si>
  <si>
    <t>Philippe Bernet</t>
  </si>
  <si>
    <t>Bernet</t>
  </si>
  <si>
    <t>Mr. Philippe Bernet is a Co-Founding Partner at BackBone Ventures.</t>
  </si>
  <si>
    <t>Co-Founding Partner</t>
  </si>
  <si>
    <t>423110-71P</t>
  </si>
  <si>
    <t>Yannick Ritschel</t>
  </si>
  <si>
    <t>Yannick</t>
  </si>
  <si>
    <t>Ritschel</t>
  </si>
  <si>
    <t>Mr. Yannick Ritschel serves as Venture Partner at BackBone Ventures.</t>
  </si>
  <si>
    <t>286715-35P</t>
  </si>
  <si>
    <t>Adena Wallingford</t>
  </si>
  <si>
    <t>Adena</t>
  </si>
  <si>
    <t>Wallingford</t>
  </si>
  <si>
    <t>Backed VC</t>
  </si>
  <si>
    <t>Executive Assistant</t>
  </si>
  <si>
    <t>Ms. Adena Wallingford serves as Executive Assistant at Backed VC.</t>
  </si>
  <si>
    <t>adena@backed.vc</t>
  </si>
  <si>
    <t>6 Cavendish Square</t>
  </si>
  <si>
    <t>W1G 0PD</t>
  </si>
  <si>
    <t>133580-80P</t>
  </si>
  <si>
    <t>Alexander Brunicki</t>
  </si>
  <si>
    <t>Brunicki</t>
  </si>
  <si>
    <t>Mr. Alexander Brunicki is a Co-Founder &amp; serves as the Partner at Backed VC. Mr. Brunicki serves as a Board Member at Flexciton. He serves as a Board Observer at Amenitiz. He is an Angel Investor. He serves as a Finance Executive and Board Member at Zaptic. He leads on investing and post-investment support. For him, early-stage investing is about human capital, and he thinks the best investor-founder relationships are built on empathy, earned trust, and sheer hard graft - on both sides. He geeks out on deep tech solutions to today's problems. He served as a Board Member at Cytosolix, FabricNano, Ruka Hair, Dataset, Unsolved Studios, Hutch, Tech Will Save Us, The Engineering Company, and Armada Interactive.</t>
  </si>
  <si>
    <t>alex@backed.vc</t>
  </si>
  <si>
    <t>301667-23P</t>
  </si>
  <si>
    <t>Andre de Haes</t>
  </si>
  <si>
    <t>de Haes</t>
  </si>
  <si>
    <t>Mr. Andre de Haes is a Co-Founder &amp; serves as Managing Partner at Backed VC. He served as Board Member at Garten.</t>
  </si>
  <si>
    <t>andre@backed.vc</t>
  </si>
  <si>
    <t>375561-73P</t>
  </si>
  <si>
    <t>Clare Hunter</t>
  </si>
  <si>
    <t>Hunter</t>
  </si>
  <si>
    <t>Ms. Clare Hunter serves as Head of Brand, Communications and Marketing at Backed VC.</t>
  </si>
  <si>
    <t>clare@backed.vc</t>
  </si>
  <si>
    <t>Head of Brand, Communications and Marketing</t>
  </si>
  <si>
    <t>294339-97P</t>
  </si>
  <si>
    <t>David Linsey</t>
  </si>
  <si>
    <t>Linsey</t>
  </si>
  <si>
    <t>Mr. David Linsey serves as Generalist Associate at Backed VC. He co-founded Jipay. Mr. Linsey has a degree from Oxford, where he studied Economics and Management. He also runs a charity providing medical training and equipment in Southeast Asia.</t>
  </si>
  <si>
    <t>david@backed.vc</t>
  </si>
  <si>
    <t>Generalist Associate</t>
  </si>
  <si>
    <t>374161-78P</t>
  </si>
  <si>
    <t>Dominic Barnard</t>
  </si>
  <si>
    <t>Barnard</t>
  </si>
  <si>
    <t>Mr. Dominic Barnard serves as Finance Manager at Backed VC.</t>
  </si>
  <si>
    <t>dominic@backed.vc</t>
  </si>
  <si>
    <t>Finance Manager</t>
  </si>
  <si>
    <t>383186-71P</t>
  </si>
  <si>
    <t>Henry Ang</t>
  </si>
  <si>
    <t>Ang</t>
  </si>
  <si>
    <t>Mr. Henry Ang serves as Investor at Backed VC.</t>
  </si>
  <si>
    <t>158907-79P</t>
  </si>
  <si>
    <t>Tom Hopkins</t>
  </si>
  <si>
    <t>Hopkins</t>
  </si>
  <si>
    <t>Mr. Tom Hopkins serves as Chief Operating Officer at Backed VC. Mr. Hopkins served as Business Development Director at Parkwalk Advisors. Tom has 13 years' experience across multiple functions in VC, including being a partner at MMC Ventures and COO at Active Partners. Tom qualified as a chartered accountant (ACA) at PwC, graduated from Edinburgh University and holds a MBA from INSEAD.</t>
  </si>
  <si>
    <t>tom@backed.vc</t>
  </si>
  <si>
    <t>375560-20P</t>
  </si>
  <si>
    <t>Vinay Chaudhri</t>
  </si>
  <si>
    <t>Chaudhri</t>
  </si>
  <si>
    <t>Mr. Vinay Chaudhri serves as Head of Special Projects at Backed VC. He lead on all things brand, content, events and media for BACKED, including our legendary Slush parties and tech frontier exploration event, VISIONQUEST.</t>
  </si>
  <si>
    <t>vinay@backed.vc</t>
  </si>
  <si>
    <t>Head of Special Projects</t>
  </si>
  <si>
    <t>357417-73P</t>
  </si>
  <si>
    <t>Yasmin Siraj</t>
  </si>
  <si>
    <t>Yasmin</t>
  </si>
  <si>
    <t>Siraj</t>
  </si>
  <si>
    <t>Ms. Yasmin Siraj serves as an Investor at Backed VC. She focuses on investments in the life sciences sector, working at all stages of the process from sourcing and diligence to portfolio support and thematic strategy development. Prior to Backed, she studied molecular and cellular biology at Harvard, conducted research at the Wyss Institute for biologically inspired engineering, worked in management consulting at Oliver Wyman with a focus on healthcare and life sciences, and worked with the early-stage investment team at RA Capital as a full-time intern prior to getting my masters at Cambridge in biotech and entrepreneurship.</t>
  </si>
  <si>
    <t>yasmin@backed.vc</t>
  </si>
  <si>
    <t>327905-38P</t>
  </si>
  <si>
    <t>Chris Zarou</t>
  </si>
  <si>
    <t>Zarou</t>
  </si>
  <si>
    <t>Backwards Capital</t>
  </si>
  <si>
    <t>Mr. Chris Zaro is the Founder of Backwards Capital. Mr. Zarou is the Founder and serves as Chief Executive Officer at Visionary Records. He also serves as Founder &amp; Managing Partner at Backwards Capital. He founded Visionary Music Group in 2010, where he identified and managed the careers of artists Logic, Jon Bellion, Chelsea Cutler, Quinn XCII, and Jeremy Zucker, among others. After 14 years in the highly competitive entertainment space, he sold VMG to the largest live entertainment company in the world, Live Nation. He has over a decade of experience consistently identifying talent early and has translated that intuition and experience into early-stage start-up investing. He cut his teeth in the venture by risking his capital as an active angel investor. Over the last 6 years, he has put together an impressive angel portfolio of 50+ companies as a proof of concept and is now raising from strategic partners to invest on a larger scale. Operating at the intersection of entertainment and tech, He has established a unique global network. This enables him to add value to founders well beyond the traditional venture capital support structure and grants him access to competitive deals that are often inaccessible to others.</t>
  </si>
  <si>
    <t>cz@backwardscapital.com</t>
  </si>
  <si>
    <t>351475-75P</t>
  </si>
  <si>
    <t>Elizabeth Pullman</t>
  </si>
  <si>
    <t>Pullman</t>
  </si>
  <si>
    <t>Ms. Elizabeth Pullman serves as Chief of Staff &amp; Investor at Backwards Capital. She supports the fund across dealflow, platform, and operations.</t>
  </si>
  <si>
    <t>elizabeth@backwardscapital.com</t>
  </si>
  <si>
    <t>Chief of Staff &amp; Investor</t>
  </si>
  <si>
    <t>179715-61P</t>
  </si>
  <si>
    <t>David Solsky</t>
  </si>
  <si>
    <t>Solsky</t>
  </si>
  <si>
    <t>Bandera Capital</t>
  </si>
  <si>
    <t>Mr. David Solsky serves as Chairman at RELA. He serves as an Operating Partner at Bandera Capital. He co-founded and served as Chief Executive Officer &amp; Director at Envizi which was sold to IBM. He is a seasoned technology and climate/sustainability entrepreneur, with over 25 years experience as a founder and CEO. His most recent venture, Envizi, grew to become a global leader in carbon and sustainability software and was acquired by IBM in January 2022. David served as IBM's VP of Sustainability Solutions until March 2024. Previous ventures include Databank Technologies, an Australian market leader in disaster recovery, which was sold to Freightways (a New Zealand public company) in 2006 as well as Access Telecommunications, an early entrant in Australia's deregulated Telco market. Most recently, David has focused his efforts and attention in Australia's climate technology startup sector. He is an operating partner with Bandera Capital, an investor in RELA. He also advises and mentors a number of Bandera's other early stage investments. David's professional background was in accounting and finance. He holds a Bcomm from UNSW and was a member of the Institute of Chartered Accountants. He spent 8 years of his early career with Coopers &amp; Lybrand in their audit and corporate advisory practices.
Portrait of RELA team member
Gabriel</t>
  </si>
  <si>
    <t>+61 (0)13 0011 7352</t>
  </si>
  <si>
    <t>david@bandera.capital</t>
  </si>
  <si>
    <t>Level 13</t>
  </si>
  <si>
    <t>50 Carrington Street</t>
  </si>
  <si>
    <t>167337-64P</t>
  </si>
  <si>
    <t>Gabriel Reyna</t>
  </si>
  <si>
    <t>Gabriel</t>
  </si>
  <si>
    <t>Reyna</t>
  </si>
  <si>
    <t>Mr. Gabriel Reyna serves as Managing Partner &amp; Board Member at Bandera Capital. He also serves as a Board Member at Kanin Energy, RELA Australia, Texas State University CIEDAR, and Texas Alternatives Foundation. He served as Board Member at Duality Health.</t>
  </si>
  <si>
    <t>+1 (512) 879-3548</t>
  </si>
  <si>
    <t>gabriel@bandera.capital</t>
  </si>
  <si>
    <t>600 Congress Avenue</t>
  </si>
  <si>
    <t>78701</t>
  </si>
  <si>
    <t>211146-31P</t>
  </si>
  <si>
    <t>Jeremy Atkin</t>
  </si>
  <si>
    <t>Atkin</t>
  </si>
  <si>
    <t>Mr. Jeremy Atkin serves as Managing Partner at Bandera Capital and Board Member at Sea Forest and Bueno Systems.</t>
  </si>
  <si>
    <t>jeremy@bandera.capital</t>
  </si>
  <si>
    <t>73932-58P</t>
  </si>
  <si>
    <t>Aamir Khan</t>
  </si>
  <si>
    <t>Aamir</t>
  </si>
  <si>
    <t>Barclays</t>
  </si>
  <si>
    <t>Mr. Aamir Khan serves as Managing Director of Investment Banking at Barclays. He served as Vice President and Director at Lazard.</t>
  </si>
  <si>
    <t>+44 (0)20 7623 2323</t>
  </si>
  <si>
    <t>aamir.khan@barclays.com</t>
  </si>
  <si>
    <t>1 Churchill Place</t>
  </si>
  <si>
    <t>Canary Wharf</t>
  </si>
  <si>
    <t>E14 5HP</t>
  </si>
  <si>
    <t>Managing Director of Investment Banking</t>
  </si>
  <si>
    <t>154931-23P</t>
  </si>
  <si>
    <t>Abhishek Singhal</t>
  </si>
  <si>
    <t>Abhishek</t>
  </si>
  <si>
    <t>Mr. Abhishek Singhal serves as Managing Director , Technology Investment Banking at Barclays. Mr. Singhal joins Barclays from Citigroup where he was a Managing Director in the FinTech Investment Banking division. Prior to joining Citigroup in 2018, he worked at Deutsche Bank on the TMT Investment Banking team.</t>
  </si>
  <si>
    <t>asinghal@home.barclays</t>
  </si>
  <si>
    <t>Managing Director , Technology Investment Banking</t>
  </si>
  <si>
    <t>138278-80P</t>
  </si>
  <si>
    <t>Adam Edwards</t>
  </si>
  <si>
    <t>Mr. Adam Edwards serves as Relationship Director at Barclays Corporate Banking. Previously, he served as a Strategy Manager at Central Bank of Seychelles.</t>
  </si>
  <si>
    <t>adam.edwards@barclays.com</t>
  </si>
  <si>
    <t>Relationship Director, Barclays Corporate Banking</t>
  </si>
  <si>
    <t>132659-38P</t>
  </si>
  <si>
    <t>Adam Mehmet</t>
  </si>
  <si>
    <t>Mehmet</t>
  </si>
  <si>
    <t>Mr. Adam Mehmet serves as Relationship Director, Hospitality &amp; Leisure at Barclays.</t>
  </si>
  <si>
    <t>adam.mehmet@barclays.com</t>
  </si>
  <si>
    <t>Relationship Director, Hospitality &amp; Leisure</t>
  </si>
  <si>
    <t>336289-96P</t>
  </si>
  <si>
    <t>Adeel Khan</t>
  </si>
  <si>
    <t>Adeel</t>
  </si>
  <si>
    <t>Mr. Adeel Khan serves as Head of Global Markets, Trading at Barclays.</t>
  </si>
  <si>
    <t>akhan@home.barclays</t>
  </si>
  <si>
    <t>Head of Global Markets, Trading</t>
  </si>
  <si>
    <t>312824-53P</t>
  </si>
  <si>
    <t>Adrian Beidas</t>
  </si>
  <si>
    <t>Beidas</t>
  </si>
  <si>
    <t>Mr. Adrian Beidas serves as Co-Head UK advisory at Barclays.</t>
  </si>
  <si>
    <t>adrian.beidas@barclays.com</t>
  </si>
  <si>
    <t>Co-Head UK advisory</t>
  </si>
  <si>
    <t>203090-32P</t>
  </si>
  <si>
    <t>Ajay Rajadhyaksha</t>
  </si>
  <si>
    <t>Ajay</t>
  </si>
  <si>
    <t>Rajadhyaksha</t>
  </si>
  <si>
    <t>Mr. Ajay Rajadhyaksha serves as Global Chairman of Research at Barclays.</t>
  </si>
  <si>
    <t>ajay.rajadhyaksha@barclays.com</t>
  </si>
  <si>
    <t>Global Chairman, Research</t>
  </si>
  <si>
    <t>383583-07P</t>
  </si>
  <si>
    <t>Akihiko Yamada</t>
  </si>
  <si>
    <t>Akihiko</t>
  </si>
  <si>
    <t>Yamada</t>
  </si>
  <si>
    <t>Mr. Akihiko Yamada serves as Head of TMT, Investment Banking at Barclays.</t>
  </si>
  <si>
    <t>akihiko.yamada@barclays.com</t>
  </si>
  <si>
    <t>Head of TMT, Investment Banking</t>
  </si>
  <si>
    <t>420510-16P</t>
  </si>
  <si>
    <t>Alan Duff</t>
  </si>
  <si>
    <t>Duff</t>
  </si>
  <si>
    <t>Mr. Alan Duff serves as Vice President Business Relationship Director at Barclays.</t>
  </si>
  <si>
    <t>aduff@home.barclays</t>
  </si>
  <si>
    <t>Vice President Business Relationship Director</t>
  </si>
  <si>
    <t>421051-60P</t>
  </si>
  <si>
    <t>Alastair Blackman</t>
  </si>
  <si>
    <t>Blackman</t>
  </si>
  <si>
    <t>Mr. Alastair Blackman serves as Managing Director at Barclays.</t>
  </si>
  <si>
    <t>alastair.blackman@barclays.com</t>
  </si>
  <si>
    <t>399873-88P</t>
  </si>
  <si>
    <t>Alexander Altmann</t>
  </si>
  <si>
    <t>Altmann</t>
  </si>
  <si>
    <t>Mr. Alexander Altmann serves as Managing Director &amp; Global Head of Equities Tactical Strategies at Barclays.</t>
  </si>
  <si>
    <t>alexander.altmann@barclays.com</t>
  </si>
  <si>
    <t>Managing Director &amp; Global Head of Equities Tactical Strategies</t>
  </si>
  <si>
    <t>360100-72P</t>
  </si>
  <si>
    <t>Alexander Stromberg</t>
  </si>
  <si>
    <t>Stromberg</t>
  </si>
  <si>
    <t>Mr. Alexander Stromberg serves as Co-Chairman of the Board of Directors at Loan Syndications &amp; Trading Association. Mr. Stromberg serves as Managing Director &amp; Co-Head of U.S. Credit Trading at Barclays. Mr. Stromberg joined Barclays from Lehman Brothers in September 2008, where he was the senior cash loan trader on the high-yield loan and derivative desk. He joined Lehman Brothers in 2001 in the investment banking division and spent time in mergers and acquisitions and capital markets/syndicates before joining the trading desk in 2005. Mr. Stromberg graduated from Emory University with a BBA in Finance and Accounting.</t>
  </si>
  <si>
    <t>alexander.stromberg@barclays.com</t>
  </si>
  <si>
    <t>Managing Director &amp; Co-Head of U.S. Credit Trading</t>
  </si>
  <si>
    <t>376653-25P</t>
  </si>
  <si>
    <t>Alishba Ali</t>
  </si>
  <si>
    <t>Alishba</t>
  </si>
  <si>
    <t>Ms. Alishba Ali serves as Managing Director and UK head of Consumer and Technology, Media, and Telecoms Coverage at Barclays. Before joining JPMorgan Chase, Ms. Ali held several roles at Bank of America Merrill Lynch in New York City. She started her career in Atlanta with Bank of America, in a Treasury Management Leadership Program which took her to San Francisco and Mexico City.</t>
  </si>
  <si>
    <t>a.ali@barclays.com</t>
  </si>
  <si>
    <t>Managing Director &amp; Head of Consumer and TMT Coverage</t>
  </si>
  <si>
    <t>280709-38P</t>
  </si>
  <si>
    <t>Alison Monks-Roberts</t>
  </si>
  <si>
    <t>Monks-Roberts</t>
  </si>
  <si>
    <t>Mr. Alison Monks-Roberts serves as Business Manager at Barclays.</t>
  </si>
  <si>
    <t>alison.monks-roberts@barclayscorporate.com</t>
  </si>
  <si>
    <t>Business Manager</t>
  </si>
  <si>
    <t>203130-01P</t>
  </si>
  <si>
    <t>Alistair Currie</t>
  </si>
  <si>
    <t>Alistair</t>
  </si>
  <si>
    <t>Currie</t>
  </si>
  <si>
    <t>Chief Executive Officer &amp; Chief Operating Officer</t>
  </si>
  <si>
    <t>Mr. Alistair Currie serves as Group Chief Operating Officer and Chief Executive of Barclays Execution Services at Barclays.</t>
  </si>
  <si>
    <t>alistair.currie@barclays.com</t>
  </si>
  <si>
    <t>Group Chief Operating Officer and Chief Executive of Barclays Execution Services</t>
  </si>
  <si>
    <t>434385-55P</t>
  </si>
  <si>
    <t>Amaar Khan</t>
  </si>
  <si>
    <t>Amaar</t>
  </si>
  <si>
    <t>Chief Information Officer &amp; Managing Director</t>
  </si>
  <si>
    <t>Mr. Amaar Khan serves as Chief Information Officer,Managing Director &amp; Head of Corporate Banking Technology, APAC &amp; Middle East at Barclays.</t>
  </si>
  <si>
    <t>akhan@barclays.com</t>
  </si>
  <si>
    <t>Chief Information Officer,Managing Director &amp; Head of Corporate Banking Technology, APAC &amp; Middle East</t>
  </si>
  <si>
    <t>416187-91P</t>
  </si>
  <si>
    <t>Amit Sonpal</t>
  </si>
  <si>
    <t>Sonpal</t>
  </si>
  <si>
    <t>Mr. Amit Sonpal serves as Head of Mid Corporate East Midlands at Barclays.</t>
  </si>
  <si>
    <t>amit.sonpal@barclayscorporate.com</t>
  </si>
  <si>
    <t>Head of Mid Corporate East Midlands</t>
  </si>
  <si>
    <t>275629-78P</t>
  </si>
  <si>
    <t>Amit Tyagi</t>
  </si>
  <si>
    <t>Tyagi</t>
  </si>
  <si>
    <t>Mr. Amit Tyagi serves as Managing Director, Health-Care Investment Banking Group at Barclays.</t>
  </si>
  <si>
    <t>amit.tyagi@barclays.com</t>
  </si>
  <si>
    <t>Managing Director, Health-Care Investment Banking Group</t>
  </si>
  <si>
    <t>88274-35P</t>
  </si>
  <si>
    <t>Amy Russell</t>
  </si>
  <si>
    <t>Ms. Amy Russell serves as Senior Vice President, Oil &amp; Gas Asset Finance at Barclays. Previously, She served as a Vice President, Oil &amp; Gas at Rothschild.</t>
  </si>
  <si>
    <t>amy.russell@barclays.com</t>
  </si>
  <si>
    <t>Senior Vice President, Oil &amp; Gas Asset Finance</t>
  </si>
  <si>
    <t>270949-06P</t>
  </si>
  <si>
    <t>Amy Wilson</t>
  </si>
  <si>
    <t>Wilson</t>
  </si>
  <si>
    <t>Ms. Amy Wilson serves as Director of Trade and Working Capital at Barclays.</t>
  </si>
  <si>
    <t>wilson@barclays.com</t>
  </si>
  <si>
    <t>Director, Trade and Working Capital</t>
  </si>
  <si>
    <t>354257-65P</t>
  </si>
  <si>
    <t>Anastasia Chernetskaya</t>
  </si>
  <si>
    <t>Anastasia</t>
  </si>
  <si>
    <t>Chernetskaya</t>
  </si>
  <si>
    <t>Ms. Anastasia Chernetskaya serves as Director of Leveraged Finance at Barclays.</t>
  </si>
  <si>
    <t>chernetskaya@barclays.com</t>
  </si>
  <si>
    <t>Director of Leveraged Finance</t>
  </si>
  <si>
    <t>154577-62P</t>
  </si>
  <si>
    <t>Andrew Ashman</t>
  </si>
  <si>
    <t>Ashman</t>
  </si>
  <si>
    <t>Mr. Andrew Ashman serves as Managing Director &amp; Head of Loan Syndicate at Barclays.</t>
  </si>
  <si>
    <t>andrew.ashman@barclays.com</t>
  </si>
  <si>
    <t>Managing Director &amp; Head of Loan Syndicate</t>
  </si>
  <si>
    <t>203455-81P</t>
  </si>
  <si>
    <t>Andrew Challis</t>
  </si>
  <si>
    <t>Challis</t>
  </si>
  <si>
    <t>Mr. Andrew Challis serves as Managing Director &amp; Co-Head of Principal Investments at Barclays. He serves as an Executive at Barclays Climate Ventures. He serves as Managing Director at Barclays Accelerator. He serves as a Board Member at RESPONSIBLE and Nuada. He serves as a Board Member at ZeroAvia. He serves as a Board Member and Advisor at Brill Power.</t>
  </si>
  <si>
    <t>andrew.challis@barclays.com</t>
  </si>
  <si>
    <t>Managing Director &amp; Co-Head of Principal Investments</t>
  </si>
  <si>
    <t>214376-05P</t>
  </si>
  <si>
    <t>Andrew Kidger</t>
  </si>
  <si>
    <t>Kidger</t>
  </si>
  <si>
    <t>Mr. Andrew Kidger serves as Relationship Director at Barclays.</t>
  </si>
  <si>
    <t>andrew.kidger@barclays.com</t>
  </si>
  <si>
    <t>Relationship Director</t>
  </si>
  <si>
    <t>80888-77P</t>
  </si>
  <si>
    <t>Andrew Woeber JD</t>
  </si>
  <si>
    <t>Woeber</t>
  </si>
  <si>
    <t>Mr. Andrew Woeber serves as Global Head of Mergers &amp; Acquisitions at Barclays. Mr. Woeber serves as Managing Partner at Industry Partners (New York). Mr. Woeber served as a Partner at Centerview Partners and a Board Member at Amy's Kitchen. Mr. Woeber has more than 25 years of experience advising leading global companies on transactions across sectors. He was formerly a Partner at Centerview, leading c-suite coverage and strategic transactions for several large companies across a broad range of industries. Mr. Woeber also held leadership roles at Greenhill &amp; Co. and Morgan Stanley. Early in his career, he was a corporate lawyer at Cravath, Swaine &amp; Moore in New York, where he focused primarily on M&amp;A. Mr. Woeber received a law degree from Harvard and an economics degree from Stanford. Mr. Woeber has completed M&amp;A and financing transactions with many important global companies including Amphenol, Berkshire Hathaway, Blackstone, Clayton, Dubilier &amp; Rice, Comcast, Dolby, KKR, Safeway, Schwab, Sprint, Time Warner, Verizon, Volvo and Wells Fargo.</t>
  </si>
  <si>
    <t>andrew.woeber@home.barclays</t>
  </si>
  <si>
    <t>Global Head of Mergers &amp; Acquisitions</t>
  </si>
  <si>
    <t>233647-48P</t>
  </si>
  <si>
    <t>Andy Hall</t>
  </si>
  <si>
    <t>Hall</t>
  </si>
  <si>
    <t>Mr. Andy Hall serves as the Head of Corporate Banking at Barclays.</t>
  </si>
  <si>
    <t>andy.hall@home.barclays</t>
  </si>
  <si>
    <t>Head of Corporate Banking</t>
  </si>
  <si>
    <t>266558-32P</t>
  </si>
  <si>
    <t>Andy Mayne</t>
  </si>
  <si>
    <t>Mayne</t>
  </si>
  <si>
    <t>Mr. Andy Mayne serves as Relationship Director at Barclays.</t>
  </si>
  <si>
    <t>andy.mayne@barclayscorporate.com</t>
  </si>
  <si>
    <t>175453-12P</t>
  </si>
  <si>
    <t>Anna Cross</t>
  </si>
  <si>
    <t>Cross</t>
  </si>
  <si>
    <t>Ms. Anna Cross serves as Group Finance Director and Board Member at Barclays Bank. Ms. Cross serves as Group Finance Director, Board Member, and Member of the Executive Committee at Barclays Bank. She is responsible for Finance, including Tax, Treasury, Investor Relations and Strategy. She became the CFO of Barclays Bank UK plc in 2016 and the Group Financial Controller in 2019. She has worked in Banking and Retail and has held various roles at Asda, HBOS and Lloyds Banking Group. Anna joined Barclays in 2013. She is a qualified chartered accountant at KPMG in London.</t>
  </si>
  <si>
    <t>anna.cross@barclays.com</t>
  </si>
  <si>
    <t>Group Finance Director, Board Member, and Member of the Executive Committee</t>
  </si>
  <si>
    <t>95544-37P</t>
  </si>
  <si>
    <t>Arif Vohra</t>
  </si>
  <si>
    <t>Arif</t>
  </si>
  <si>
    <t>Vohra</t>
  </si>
  <si>
    <t>Mr. Arif Vohra serves as Co Head of Investment Banking Financial Institutions Group (FIG) in Europe, Middle East, and Africa (EMEA). at Barclays. Arif will co-lead the business alongside Enrique Pinel, and together they will work closely with Joel Fleck and Tim Main, Global Co-Heads of FIG, and Gary Antenberg, Head of FIG Americas, to increase the client base and broaden our banking coverage. During his career, Arif has worked on mergers and acquisitions, capital raising and restructuring transactions for a wide range of financial institutions and corporates across EMEA and globally. He joins Barclays from Bank of America where he was most recently co-leading their FIG Investment Banking business in EMEA. He joined Merrill Lynch in 2001 in their Corporate Finance team. In 2010 he took on the role of Co-Head of Corporate Finance in EMEA, and three years later he moved to the FIG team to lead their UK franchise. Arif was promoted to his most recent role in 2015.</t>
  </si>
  <si>
    <t>arif.vohra@barclays.com</t>
  </si>
  <si>
    <t>Co Head of Investment Banking Financial Institutions Group (FIG) in Europe, Middle East, and Africa (EMEA).</t>
  </si>
  <si>
    <t>133315-03P</t>
  </si>
  <si>
    <t>Arnaud Bouyer</t>
  </si>
  <si>
    <t>Arnaud</t>
  </si>
  <si>
    <t>Bouyer</t>
  </si>
  <si>
    <t>Mr. Arnaud Bouyer serves as Head of Investment Banking for France BeLux. at Barclays. Mr. Arnaud Bouyer served as Investment Partner at Groupe Bruxelles Lambert. Mr. Arnaud Bouyer served as Managing Director at Morgan Stanley.</t>
  </si>
  <si>
    <t>arnaud.bouyer@barclays.com</t>
  </si>
  <si>
    <t>Head of Investment Banking for France BeLux.</t>
  </si>
  <si>
    <t>240643-18P</t>
  </si>
  <si>
    <t>Ashley Hallam</t>
  </si>
  <si>
    <t>Hallam</t>
  </si>
  <si>
    <t>Mr. Ashley Hallam serves as Business Development Leader at Barclays.</t>
  </si>
  <si>
    <t>ashley.hallam@barclays.com</t>
  </si>
  <si>
    <t>Business Development Leader</t>
  </si>
  <si>
    <t>453919-24P</t>
  </si>
  <si>
    <t>Avinash Thakur</t>
  </si>
  <si>
    <t>Avinash</t>
  </si>
  <si>
    <t>Thakur</t>
  </si>
  <si>
    <t>Mr. Avinash Thakur serves as Head of Investment Banking, Asia Pacific at Barclays.</t>
  </si>
  <si>
    <t>athakur@home.barclays</t>
  </si>
  <si>
    <t>Head of Investment Banking, Asia Pacific</t>
  </si>
  <si>
    <t>395439-85P</t>
  </si>
  <si>
    <t>Babor Hussain</t>
  </si>
  <si>
    <t>Babor</t>
  </si>
  <si>
    <t>Mr. Babor Hussain serves as Managing Director &amp; Head Managing Director &amp; Head of Strategic Partners &amp; Financial Institutions Group at Barclays.</t>
  </si>
  <si>
    <t>babor.hussain@barclays.com</t>
  </si>
  <si>
    <t>Managing Director &amp; Head Managing Director &amp; Head of Strategic Partners &amp; Financial Institutions Group</t>
  </si>
  <si>
    <t>114712-30P</t>
  </si>
  <si>
    <t>Baturalp Peltekoglu</t>
  </si>
  <si>
    <t>Baturalp</t>
  </si>
  <si>
    <t>Peltekoglu</t>
  </si>
  <si>
    <t>Mr. Baturalp Peltekoglu serves as Vice President, Financial Institutions Group at Barclays.</t>
  </si>
  <si>
    <t>baturalp.peltekoglu@barclays.com</t>
  </si>
  <si>
    <t>88048-72P</t>
  </si>
  <si>
    <t>Bhavini Kadiwar</t>
  </si>
  <si>
    <t>Bhavini</t>
  </si>
  <si>
    <t>Kadiwar</t>
  </si>
  <si>
    <t>Ms. Bhavini Kadiwar serves as Strategic Transformation | Private Bank and Wealth Management at Barclays. Previously, she served as a Senior Associate Consultant at L.E.K. Consulting.</t>
  </si>
  <si>
    <t>bhavini.kadiwar@barclays.com</t>
  </si>
  <si>
    <t>Strategic Transformation | Private Bank and Wealth Management</t>
  </si>
  <si>
    <t>360099-19P</t>
  </si>
  <si>
    <t>Brad Dudley</t>
  </si>
  <si>
    <t>Dudley</t>
  </si>
  <si>
    <t>Mr. Brad Dudley serves as Director and Head of US Loan Closing and Settlments at Barclays.</t>
  </si>
  <si>
    <t>bdudley@home.barclays</t>
  </si>
  <si>
    <t>Director and Head of US Loan Closing and Settlments</t>
  </si>
  <si>
    <t>360102-07P</t>
  </si>
  <si>
    <t>Bradley Rogoff</t>
  </si>
  <si>
    <t>Bradley</t>
  </si>
  <si>
    <t>Rogoff</t>
  </si>
  <si>
    <t>Mr. Bradley Rogoff serves as Global Head of Research at Barclays.</t>
  </si>
  <si>
    <t>bradley.rogoff@barclays.com</t>
  </si>
  <si>
    <t>Global Head of Research</t>
  </si>
  <si>
    <t>280470-79P</t>
  </si>
  <si>
    <t>C. Venkatakrishnan Ph.D</t>
  </si>
  <si>
    <t>C.</t>
  </si>
  <si>
    <t>Venkatakrishnan</t>
  </si>
  <si>
    <t>Dr. CS Venkatakrishnan serves as Group Chief Executive, Board Member &amp; Member of the Executive and Board Sustainability Committees at Barclays. With effect from 1 November 2021, Dr. C.S. Venkatakrishnan will take over as Group Chief Executive. Prior to his appointment as Group Chief Executive, he served as Head of Global Markets and Co-President of Barclays Bank PLC from October 2020 and Group Chief Risk Officer from 2016 to 2020. Prior to joining Barclays in 2016, he worked at JP Morgan Chase from 1994, holding senior roles in Asset Management where he was Chief Investment Officer in Global Fixed Income, as well as in Investment Banking, and in Risk. He holds S.B., S.M., and Ph.D. degrees from the Massachusetts Institute of Technology.</t>
  </si>
  <si>
    <t>cs.venkatakrishnan@barclays.com</t>
  </si>
  <si>
    <t>Group Chief Executive, Board Member &amp; Member of the Executive and Board Sustainability Committees</t>
  </si>
  <si>
    <t>362016-46P</t>
  </si>
  <si>
    <t>Carmen Chan</t>
  </si>
  <si>
    <t>Mr. Carmen Chan serves as Managing Director of Internet Coverage at Barclays.</t>
  </si>
  <si>
    <t>carmen.chan@barclays.com</t>
  </si>
  <si>
    <t>Managing Director of Internet Coverage</t>
  </si>
  <si>
    <t>268796-80P</t>
  </si>
  <si>
    <t>Cathal Deasy</t>
  </si>
  <si>
    <t>Cathal</t>
  </si>
  <si>
    <t>Deasy</t>
  </si>
  <si>
    <t>Ms. Cathal Deasy serves as Global Co-Head of Investment Banking at Barclays. Ms. Cathal Deasy served as Co-Head of Global M&amp;A at Credit Suisse. With over 20 years of experience in investment banking and mergers &amp; acquisitions, Cathal joined Barclays in 2023. Before that, he served as Global Co-Head of Mergers &amp; Acquisitions and Co-Head of EMEA Investment Banking and Capital Markets at Credit Suisse. He was also a member of their IBCM Management Committee. Before that Cathal held several investment banking roles at Deutsche Bank. He received a Masters in Business Studies and a Bachelor of Commerce from the University of Cork, Ireland.</t>
  </si>
  <si>
    <t>cathal.deasy@barclays.com</t>
  </si>
  <si>
    <t>Global Co-Head of Investment Banking</t>
  </si>
  <si>
    <t>310103-65P</t>
  </si>
  <si>
    <t>Cathreen Wong</t>
  </si>
  <si>
    <t>Cathreen</t>
  </si>
  <si>
    <t>Ms. Cathreen Wong serves as Investment Director at Barclays. She serves as Investment Director at Barclays Climate Ventures. She holds a Bachelor of Commerce degree in Psychology, German &amp; finance from Monash University.</t>
  </si>
  <si>
    <t>cathreen.wong@barclays.com</t>
  </si>
  <si>
    <t>14909-05P</t>
  </si>
  <si>
    <t>Cathy Leonhardt</t>
  </si>
  <si>
    <t>Cathy</t>
  </si>
  <si>
    <t>Leonhardt</t>
  </si>
  <si>
    <t>Ms. Cathy Leonhardt serves as Global Head of Retail within Investment Banking at Barclays. She served as Partner &amp; Co-Head Of Consumer Retail at Solomon Partners (Investment Banks). She serves as a Board Member at Loli Beauty. She joined PJSC in 2003. With over 15 years of experience advising clients on mergers and acquisitions, She recently advised French luxury retailer PPR in its pending acquisition of Volcom. She advised Phillips-Van Heusen Corporation in its acquisition of Tommy Hilfiger, Quiksilver, in its recapitalization, and Athleta in its sale to The Gap. She also represented Redcats USA (PPR Group) in its acquisition of United Retail Group, and Phillips-Van Heusen Corporation in its acquisition of Superba Inc. Prior to joining PJSC, She spent seven years at Morgan Stanley &amp; Co., rising to Vice President in the mergers and acquisitions group where she was involved in domestic and cross-border acquisitions. At Morgan Stanley, Her selected transactions included: Sears Roebuck &amp; Co's acquisition of Land's End, Inc., Tommy Hilfiger's acquisition of Tommy Europe, Jones Apparel's acquisition of McNaughton, the merger of Monsanto Company and Pharmacia, Georgia-Pacific's spin-off of The Timber Company to Plum Creek Timber Company, and the sale of Donna Karan's beauty business to Estée Lauder Companies. She began her career at Wachovia as an officer in the US Corporate Banking Group. She received her M.B.A. from the Kellogg School of Management at Northwestern University and a B.S. from the University of Alabama, graduating summa cum laude.</t>
  </si>
  <si>
    <t>+1 (212) 508-1660</t>
  </si>
  <si>
    <t>cathy.leonhardt@home.barclays</t>
  </si>
  <si>
    <t>Global Head of Retail within Investment Banking</t>
  </si>
  <si>
    <t>360672-31P</t>
  </si>
  <si>
    <t>Chintan Thattey</t>
  </si>
  <si>
    <t>Chintan</t>
  </si>
  <si>
    <t>Thattey</t>
  </si>
  <si>
    <t>Ms. Chintan Thattey serves as Director at Barclays.</t>
  </si>
  <si>
    <t>chintan.thattey@barclays.com</t>
  </si>
  <si>
    <t>262859-41P</t>
  </si>
  <si>
    <t>Chris Manners</t>
  </si>
  <si>
    <t>Manners</t>
  </si>
  <si>
    <t>Executive &amp; Managing Director</t>
  </si>
  <si>
    <t>Mr. Chris Manners serves as Managing Director &amp; Senior Relationship Management at Barclays.</t>
  </si>
  <si>
    <t>+44 (0)20 7773 2136</t>
  </si>
  <si>
    <t>chris.manners@barclays.com</t>
  </si>
  <si>
    <t>Managing Director &amp; Senior Relationship Management</t>
  </si>
  <si>
    <t>364865-14P</t>
  </si>
  <si>
    <t>Christian Oberle</t>
  </si>
  <si>
    <t>Oberle</t>
  </si>
  <si>
    <t>Mr. Christian Oberle serves as a Head of Americas Financial Sponsors Group at Barclays.</t>
  </si>
  <si>
    <t>christian.oberle@barclays.com</t>
  </si>
  <si>
    <t>Head of Americas Financial Sponsors Group</t>
  </si>
  <si>
    <t>400391-29P</t>
  </si>
  <si>
    <t>Christian Wagner</t>
  </si>
  <si>
    <t>Wagner</t>
  </si>
  <si>
    <t>Mr. Christian Wagner serves as Head Investment Banking at Barclays.</t>
  </si>
  <si>
    <t>cwagner@home.barclays</t>
  </si>
  <si>
    <t>Head Investment Banking</t>
  </si>
  <si>
    <t>169735-96P</t>
  </si>
  <si>
    <t>Christine Cho</t>
  </si>
  <si>
    <t>Ms. Christine Cho serves as Managing Director at Barclays.</t>
  </si>
  <si>
    <t>christine.cho@barclays.com</t>
  </si>
  <si>
    <t>114780-88P</t>
  </si>
  <si>
    <t>Christopher Stelter</t>
  </si>
  <si>
    <t>Stelter</t>
  </si>
  <si>
    <t>Mr. Christopher Stelter serves as Director at Barclays.</t>
  </si>
  <si>
    <t>christoph.stelter@barclays.com</t>
  </si>
  <si>
    <t>409423-87P</t>
  </si>
  <si>
    <t>Clare Briscoe</t>
  </si>
  <si>
    <t>Briscoe</t>
  </si>
  <si>
    <t>Ms. Clare Briscoe serves as Associate, ESG Structuring at Barclays.</t>
  </si>
  <si>
    <t>clare.briscoe@barclays.com</t>
  </si>
  <si>
    <t>Associate, ESG Structuring</t>
  </si>
  <si>
    <t>368722-72P</t>
  </si>
  <si>
    <t>Colton Morris</t>
  </si>
  <si>
    <t>Colton</t>
  </si>
  <si>
    <t>Ms. Colton Morris serves as Vice President of Principal Investments at Barclays.</t>
  </si>
  <si>
    <t>colton.morris@barclays.com</t>
  </si>
  <si>
    <t>Vice President - Principal Investments</t>
  </si>
  <si>
    <t>35529-76P</t>
  </si>
  <si>
    <t>Craig Stine</t>
  </si>
  <si>
    <t>Stine</t>
  </si>
  <si>
    <t>Vice Chairman</t>
  </si>
  <si>
    <t>Mr. Craig Stine serves as Vice Chairman, Global Financial Institutions Group (FIG) Banking at Barclays. He also serves as Chairman of the Board of Trustees &amp; an Ex-Officio Member of all Committees at Hobart and William Smith Colleges. He served as Co-Head, Investment Banking at Citadel Securities. Prior to joining Citadel in 2009, Mr. Stine spent nearly 18 years with Citi (legacy Salomon Brothers), most recently as Co-Head of the North American Financial Institutions Group and Head of Diversified Financials &amp; Banks. He began his career with PNC Financial Group in Philadelphia. He earned a bachelor's degree from Hobart College.</t>
  </si>
  <si>
    <t>craig.stine@barclays.com</t>
  </si>
  <si>
    <t>Vice Chairman, Global Financial Institutions Group (FIG) Banking</t>
  </si>
  <si>
    <t>250205-77P</t>
  </si>
  <si>
    <t>Dan Reinhold</t>
  </si>
  <si>
    <t>Reinhold</t>
  </si>
  <si>
    <t>Mr. Dan Reinhold serves as Head of Business Development and Origination for Barclays Private Bank in the UK at Barclays. He serves as Associate Partner, Private Equity Portfolio Services &amp; Value Creation at KPMG.</t>
  </si>
  <si>
    <t>+44 (0) 207 694 8281</t>
  </si>
  <si>
    <t>dan.reinhold@barclays.com</t>
  </si>
  <si>
    <t>Head of Business Development and Origination for Barclays Private Bank in the UK</t>
  </si>
  <si>
    <t>262860-58P</t>
  </si>
  <si>
    <t>Daniel Colvin</t>
  </si>
  <si>
    <t>Colvin</t>
  </si>
  <si>
    <t>Mr. Daniel Colvin serves as Debt Investor Relations at Barclays.</t>
  </si>
  <si>
    <t>+44 (0)20 7116 6533</t>
  </si>
  <si>
    <t>daniel.colvin@barclays.com</t>
  </si>
  <si>
    <t>Debt Investor Relations</t>
  </si>
  <si>
    <t>315499-96P</t>
  </si>
  <si>
    <t>Daniel Hanna</t>
  </si>
  <si>
    <t>Hanna</t>
  </si>
  <si>
    <t>Mr. Daniel Hanna serves as Group Head, Sustainable and Transition Finance at Barclays.</t>
  </si>
  <si>
    <t>daniel.hanna@barclays.com</t>
  </si>
  <si>
    <t>Group Head, Sustainable and Transition Finance</t>
  </si>
  <si>
    <t>304973-11P</t>
  </si>
  <si>
    <t>Dave Dai</t>
  </si>
  <si>
    <t>Dai</t>
  </si>
  <si>
    <t>Mr. Dave Dai serves as the Head ESG Research at Barclays.</t>
  </si>
  <si>
    <t>dave.dai@barclays.com</t>
  </si>
  <si>
    <t>Head ESG Research</t>
  </si>
  <si>
    <t>105866-29P</t>
  </si>
  <si>
    <t>David Collins</t>
  </si>
  <si>
    <t>Mr. David Collins serves as Relationship Director - Corporate at Barclays.</t>
  </si>
  <si>
    <t>david.collins@barclays.com</t>
  </si>
  <si>
    <t>Relationship Director - Corporate</t>
  </si>
  <si>
    <t>391592-62P</t>
  </si>
  <si>
    <t>David Garner</t>
  </si>
  <si>
    <t>Garner</t>
  </si>
  <si>
    <t>Mr. David Garner serves as Global Head of Securitized Products Bond Trading &amp; Managing Director at Barclays.</t>
  </si>
  <si>
    <t>dgarner@home.barclays</t>
  </si>
  <si>
    <t>Global Head of Securitized Products Bond Trading &amp; Managing Director</t>
  </si>
  <si>
    <t>30308-14P</t>
  </si>
  <si>
    <t>David King</t>
  </si>
  <si>
    <t>Mr. David King serves as Global Head of Technology M&amp;A at Barclays. Mr. King served as Managing Director &amp; Co-Head of Technology M&amp;A, Americas at Deutsche Bank. Previously, he served as an Investment Banker at Bank of America Merrill Lynch.</t>
  </si>
  <si>
    <t>david.king@barclays.com</t>
  </si>
  <si>
    <t>Global Head of Technology M&amp;A</t>
  </si>
  <si>
    <t>263098-18P</t>
  </si>
  <si>
    <t>David MacGown</t>
  </si>
  <si>
    <t>MacGown</t>
  </si>
  <si>
    <t>Mr. David MacGown serves as Managing Director &amp; Head of North America Specialty Finance at Barclays. Mr. MacGown joins Barclays with over thirty years of experience in investment banking, most recently as Head of Balance Sheet and Capital Structure Advisory within FIG Banking at Credit Suisse. Prior to joining Credit Suisse in 2014, Mr. MacGown was a Managing Director in Fixed Income at Morgan Stanley, covering investment grade financials.</t>
  </si>
  <si>
    <t>david.macgown@barclays.com</t>
  </si>
  <si>
    <t>Managing Director &amp; Head of North America Specialty Finance</t>
  </si>
  <si>
    <t>409424-23P</t>
  </si>
  <si>
    <t>David Mudie</t>
  </si>
  <si>
    <t>Mudie</t>
  </si>
  <si>
    <t>Mr. David Mudie serves as Director at Barclays.</t>
  </si>
  <si>
    <t>david.mudie@barclays.com</t>
  </si>
  <si>
    <t>275628-52P</t>
  </si>
  <si>
    <t>Davide Sala</t>
  </si>
  <si>
    <t>Davide</t>
  </si>
  <si>
    <t>Sala</t>
  </si>
  <si>
    <t>Mr. Davide Sala serves as Managing Director of Industrials M&amp;A for Europe, Middle East and Africa at Barclays plc.</t>
  </si>
  <si>
    <t>davide.sala@barclays.com</t>
  </si>
  <si>
    <t>Managing Director, Industrials M&amp;A for Europe, Middle East and Africa</t>
  </si>
  <si>
    <t>114784-66P</t>
  </si>
  <si>
    <t>Davide Supino</t>
  </si>
  <si>
    <t>Supino</t>
  </si>
  <si>
    <t>Mr. Davide Supino serves as Director at Barclays. He served as an IBD Analyst at Barclays Bank. Previously, he served as a Trainee at BNP Paribas.</t>
  </si>
  <si>
    <t>davide.supino@barclays.com</t>
  </si>
  <si>
    <t>114781-24P</t>
  </si>
  <si>
    <t>Denis Samokhval</t>
  </si>
  <si>
    <t>Samokhval</t>
  </si>
  <si>
    <t>Mr. Denis Samokhval serves as Managing Director at Barclays. Previously he served as an Investment Banking Analyst at Piper Jaffray.</t>
  </si>
  <si>
    <t>denis.samokhval@barclays.com</t>
  </si>
  <si>
    <t>417200-68P</t>
  </si>
  <si>
    <t>Denise Haedrich</t>
  </si>
  <si>
    <t>Denise</t>
  </si>
  <si>
    <t>Haedrich</t>
  </si>
  <si>
    <t>Mr. Denise Haedrich serves as Head of Insurance, Funds and Corporate Business Solutions in Germany at Barclays.</t>
  </si>
  <si>
    <t>denise.haedrich@home.barclays</t>
  </si>
  <si>
    <t>Head of Insurance, Funds and Corporate Business Solutions in Germany</t>
  </si>
  <si>
    <t>262764-91P</t>
  </si>
  <si>
    <t>Denise Wong</t>
  </si>
  <si>
    <t>Ms. Denise Wong serves as Head of Sustainable and Impact Banking, Asia Pacific at Barclays. Ms. Denise Wong serves as Chief Financial Officer at Green Monday Holdings.</t>
  </si>
  <si>
    <t>denise.wong@barclays.com</t>
  </si>
  <si>
    <t>Head of Sustainable and Impact Banking, Asia Pacific</t>
  </si>
  <si>
    <t>446711-32P</t>
  </si>
  <si>
    <t>Denny Nealon</t>
  </si>
  <si>
    <t>Denny</t>
  </si>
  <si>
    <t>Nealon</t>
  </si>
  <si>
    <t>Mr. Denny Nealon serves as Chief Executive Officer for Barclays US Consumer Bank (USCB) and Barclays Bank Delaware (BBDE) at Barclays. Prior to joining Barclays, Denny worked at Bank One and Chase Card Services, where he held leadership positions in finance, business development and partnership management.</t>
  </si>
  <si>
    <t>denny.nealon@barclays.com</t>
  </si>
  <si>
    <t>Chief Executive Officer, Barclays US Consumer Bank (USCB) and Barclays Bank Delaware (BBDE)</t>
  </si>
  <si>
    <t>413493-22P</t>
  </si>
  <si>
    <t>Derek Davidson</t>
  </si>
  <si>
    <t>Mr. Derek Davidson serves as Managing Director at Barclays.</t>
  </si>
  <si>
    <t>derek.davidson@barclays.com</t>
  </si>
  <si>
    <t>333232-66P</t>
  </si>
  <si>
    <t>Divya Mehta</t>
  </si>
  <si>
    <t>Ms. Divya Mehta serves as Vice President, Global Supplier Diversity Venture Development at Barclays. Ms. Mehta co-founded and served as Chief Operating Officer at Vital Audio.</t>
  </si>
  <si>
    <t>divya.mehta@barclays.com</t>
  </si>
  <si>
    <t>Vice President, Global Supplier Diversity Venture Development</t>
  </si>
  <si>
    <t>288804-34P</t>
  </si>
  <si>
    <t>Duncan Beattie</t>
  </si>
  <si>
    <t>Beattie</t>
  </si>
  <si>
    <t>Mr. Duncan Beattie serves as Managing Director (Investment Banking - Australia) at Barclays.</t>
  </si>
  <si>
    <t>+61 (0)2 9003 8358</t>
  </si>
  <si>
    <t>duncan.beattie@barclays.com</t>
  </si>
  <si>
    <t>Managing Director (Investment Banking - Australia)</t>
  </si>
  <si>
    <t>288805-51P</t>
  </si>
  <si>
    <t>Duncan Connellan</t>
  </si>
  <si>
    <t>Connellan</t>
  </si>
  <si>
    <t>Mr. Duncan Connellan serves as Managing Director (Investment Banking - Australia) at Barclays.</t>
  </si>
  <si>
    <t>+61 2 9334 6196</t>
  </si>
  <si>
    <t>duncan.connellan@barclays.com</t>
  </si>
  <si>
    <t>88075-99P</t>
  </si>
  <si>
    <t>Dwight Schmidt</t>
  </si>
  <si>
    <t>Dwight</t>
  </si>
  <si>
    <t>Mr. Dwight Schmidt serves as Director, Strategy and Corporate Development at Barclays. Previously, he served as an Executive at KPMG Corporate Finance.</t>
  </si>
  <si>
    <t>dschmidt@home.barclays</t>
  </si>
  <si>
    <t>Director, Strategy and Corporate Development</t>
  </si>
  <si>
    <t>269319-88P</t>
  </si>
  <si>
    <t>Ee Tay</t>
  </si>
  <si>
    <t>Tay</t>
  </si>
  <si>
    <t>Ms. Ee Tay serves as Head of MA, Asia Pacific &amp; Head of Southeast Asia Banking at Barclays.</t>
  </si>
  <si>
    <t>et@barclays.com</t>
  </si>
  <si>
    <t>114719-32P</t>
  </si>
  <si>
    <t>Elisha Najak</t>
  </si>
  <si>
    <t>Elisha</t>
  </si>
  <si>
    <t>Najak</t>
  </si>
  <si>
    <t>Ms. Elisha Najak serves as Vice President Credit Risk Management at Barclays. She served as an Analyst at Barclays Bank. Previously she served as an Intern at Royal Bank of Scotland.</t>
  </si>
  <si>
    <t>elisha.najak@barclays.com</t>
  </si>
  <si>
    <t>Vice President Credit Risk Management</t>
  </si>
  <si>
    <t>129938-32P</t>
  </si>
  <si>
    <t>Emily Carter</t>
  </si>
  <si>
    <t>Ms. Emily Carter serves as Vice President, Group Strategy at Barclays.</t>
  </si>
  <si>
    <t>emily.carter@barclays.com</t>
  </si>
  <si>
    <t>Vice President, Group Strategy</t>
  </si>
  <si>
    <t>362015-38P</t>
  </si>
  <si>
    <t>Emma Taylor</t>
  </si>
  <si>
    <t>Ms. Emma Taylor serves as Global Head of Internet Investment Banking at Barclays.</t>
  </si>
  <si>
    <t>emma.taylor@barclays.com</t>
  </si>
  <si>
    <t>Global Head of Internet Investment Banking</t>
  </si>
  <si>
    <t>79953-13P</t>
  </si>
  <si>
    <t>Enrico Massaro</t>
  </si>
  <si>
    <t>Enrico</t>
  </si>
  <si>
    <t>Massaro</t>
  </si>
  <si>
    <t>Mr. Enrico Massaro serves as Head of Consumer and Retail Group for Europe, Middle East and Africa at Barclays. He also served as Managing Director - Investment Banking &amp; Head of Luxury Goods &amp; Brands - Consumer and Retail at J.P. Morgan. He was previously working as a Business Analyst at Roland Berger Strategy Consultant.</t>
  </si>
  <si>
    <t>enrico.massaro@barclays.com</t>
  </si>
  <si>
    <t>Head of Consumer and Retail Group for Europe, Middle East and Africa</t>
  </si>
  <si>
    <t>399058-39P</t>
  </si>
  <si>
    <t>Eric Pinn</t>
  </si>
  <si>
    <t>Pinn</t>
  </si>
  <si>
    <t>Mr. Eric Pinn serves as Managing Director &amp; Head of UK Distribution at Barclays.</t>
  </si>
  <si>
    <t>eric.pinn@barclays.com</t>
  </si>
  <si>
    <t>Managing Director &amp; Head of UK Distribution</t>
  </si>
  <si>
    <t>269052-40P</t>
  </si>
  <si>
    <t>Evonne Tan</t>
  </si>
  <si>
    <t>Evonne</t>
  </si>
  <si>
    <t>Ms. Evonne Tan serves as Managing Director &amp; Head of the Private Bank at Barclays. She joins Barclays from UBS Singapore where she was a Market Team Head responsible for running the UHNW Singapore business. She has over 25 years of experience in the financial services industry which includes broad exposure to foreign exchange sales and trading, corporate solutions structuring, fund management, and private wealth management. Before UBS, Evonne held roles at Morgan Stanley, Merrill Lynch, and Deutsche Bank in various positions within Global Markets and Wealth Management. She is a graduate of the National University of Singapore and holds a Master of Wealth Management from the University of Rochester and a Masters in Finance from the University of Bern.</t>
  </si>
  <si>
    <t>evonne.tan@barclays.com</t>
  </si>
  <si>
    <t>Managing Director &amp; Head of the Private Bank</t>
  </si>
  <si>
    <t>409426-75P</t>
  </si>
  <si>
    <t>Ewan Mills</t>
  </si>
  <si>
    <t>Ewan</t>
  </si>
  <si>
    <t>Mills</t>
  </si>
  <si>
    <t>Mr. Ewan Mills serves as Finance Analyst at Barclays.</t>
  </si>
  <si>
    <t>emills@home.barclays</t>
  </si>
  <si>
    <t>Finance Analyst</t>
  </si>
  <si>
    <t>314567-74P</t>
  </si>
  <si>
    <t>Fareed Luqman</t>
  </si>
  <si>
    <t>Fareed</t>
  </si>
  <si>
    <t>Luqman</t>
  </si>
  <si>
    <t>Mr. Fareed Luqman serves as Director - Education and Healthcare at Barclays.</t>
  </si>
  <si>
    <t>fareed.luqman@barclays.com</t>
  </si>
  <si>
    <t>Director - Education and Healthcare</t>
  </si>
  <si>
    <t>453418-30P</t>
  </si>
  <si>
    <t>Farzad Billimoria</t>
  </si>
  <si>
    <t>Farzad</t>
  </si>
  <si>
    <t>Billimoria</t>
  </si>
  <si>
    <t>Mr. Farzad Billimoria serves as Head of Private Bank, UAE at Barclays.</t>
  </si>
  <si>
    <t>farzad.billimoria@barclays.com</t>
  </si>
  <si>
    <t>Head of Private Bank, UAE</t>
  </si>
  <si>
    <t>372578-50P</t>
  </si>
  <si>
    <t>Fatenah El-Danab</t>
  </si>
  <si>
    <t>Fatenah</t>
  </si>
  <si>
    <t>El-Danab</t>
  </si>
  <si>
    <t>Ms. Fatenah Danab serves as Head of Trade and Working Capital, Middle East at Barclays. Dubai-based El Danab previously spent more than four years as an associate director at HSBC and has held roles at QInvest, Global Investment House, and Gulf Bank. She also chairs the Middle East regional committee at the International Trade and Forfaiting Association. She is tasked with boosting Barclays' traditional trade and working capital solutions offerings in the region, as well as its export and agency finance business.</t>
  </si>
  <si>
    <t>fatenah.eldanab@barclays.com</t>
  </si>
  <si>
    <t>Head of Trade and Working Capital, Middle East</t>
  </si>
  <si>
    <t>451672-93P</t>
  </si>
  <si>
    <t>Fiona Parkes</t>
  </si>
  <si>
    <t>Fiona</t>
  </si>
  <si>
    <t>Parkes</t>
  </si>
  <si>
    <t>Ms. Fiona Parkes serves as Relationship Director at Barclays.</t>
  </si>
  <si>
    <t>fiona.parkes@barclays.com</t>
  </si>
  <si>
    <t>245651-14P</t>
  </si>
  <si>
    <t>Florent Rodier</t>
  </si>
  <si>
    <t>Florent</t>
  </si>
  <si>
    <t>Rodier</t>
  </si>
  <si>
    <t>Mr. Florent Rodier serves as Head of Exotic Derivatives, Asia Pacific at Barclays.</t>
  </si>
  <si>
    <t>frodier@home.barclays</t>
  </si>
  <si>
    <t>Head of Exotic Derivatives, Asia Pacific</t>
  </si>
  <si>
    <t>118415-53P</t>
  </si>
  <si>
    <t>Francesco Ceccato</t>
  </si>
  <si>
    <t>Francesco</t>
  </si>
  <si>
    <t>Ceccato</t>
  </si>
  <si>
    <t>Mr. Francesco Ceccato serves as Chief Executive Officer at Barclays.</t>
  </si>
  <si>
    <t>francesco.ceccato@barclays.com</t>
  </si>
  <si>
    <t>Chief Executive Officer, Barclays Europe</t>
  </si>
  <si>
    <t>165260-35P</t>
  </si>
  <si>
    <t>Gary Atkinson</t>
  </si>
  <si>
    <t>Gary</t>
  </si>
  <si>
    <t>Mr. Gary Atkinson serves as Loan Servicing Specialist at Barclays.</t>
  </si>
  <si>
    <t>gary.atkinson@barclays.com</t>
  </si>
  <si>
    <t>Loan Servicing Specialist</t>
  </si>
  <si>
    <t>246108-07P</t>
  </si>
  <si>
    <t>Gauthier Milon</t>
  </si>
  <si>
    <t>Gauthier</t>
  </si>
  <si>
    <t>Milon</t>
  </si>
  <si>
    <t>Mr. Gauthier Milon serves as the Head of Mergers and Acquisitions, France at Barclays.</t>
  </si>
  <si>
    <t>gauthier.lemilon@barclays.com</t>
  </si>
  <si>
    <t>Head of Mergers and Acquisitions, France</t>
  </si>
  <si>
    <t>33495-04P</t>
  </si>
  <si>
    <t>Geoffrey Belsher</t>
  </si>
  <si>
    <t>Geoffrey</t>
  </si>
  <si>
    <t>Belsher</t>
  </si>
  <si>
    <t>Mr. Geoffrey Belsher served as Global Head of Investment Banking at CIBC Capital Markets. He served as an Advisor at Impression Ventures. He also serves as Managing Director and Group Co-Head of Wholesale Banking at the Canadian Imperial Bank Of Commerce.</t>
  </si>
  <si>
    <t>+1 (212) 893-8223</t>
  </si>
  <si>
    <t>gbelsher@home.barclays</t>
  </si>
  <si>
    <t>Global Head of Investment Banking</t>
  </si>
  <si>
    <t>CIBC Capital Markets (Former)</t>
  </si>
  <si>
    <t>409477-06P</t>
  </si>
  <si>
    <t>Georgia Louca</t>
  </si>
  <si>
    <t>Louca</t>
  </si>
  <si>
    <t>Assistant Vice President &amp; Principal</t>
  </si>
  <si>
    <t>Mr. Georgia Louca serves as Principal Investments &amp; Assistant Vice President at Barclays.</t>
  </si>
  <si>
    <t>georgia.louca@barclays.com</t>
  </si>
  <si>
    <t>Principal Investments &amp; Assistant Vice President</t>
  </si>
  <si>
    <t>326695-87P</t>
  </si>
  <si>
    <t>Gordon Beck</t>
  </si>
  <si>
    <t>Beck</t>
  </si>
  <si>
    <t>Mr. Gordon Beck serves as Managing Director at Barclays.</t>
  </si>
  <si>
    <t>gordon.beck@barclays.com</t>
  </si>
  <si>
    <t>451881-82P</t>
  </si>
  <si>
    <t>Gordon Scott</t>
  </si>
  <si>
    <t>Mr. Gordon Scott serves as Head of Private Bank and Wealth Management UK - North at Barclays.</t>
  </si>
  <si>
    <t>gordon.scott@barclays.com</t>
  </si>
  <si>
    <t>Head of Private Bank and Wealth Management UK - North</t>
  </si>
  <si>
    <t>269468-29P</t>
  </si>
  <si>
    <t>Graeme MacLaughlin</t>
  </si>
  <si>
    <t>Graeme</t>
  </si>
  <si>
    <t>MacLaughlin</t>
  </si>
  <si>
    <t>Mr. Graeme MacLaughlin serves as Relationship Director at Barclays.</t>
  </si>
  <si>
    <t>graeme.maclaughlin@barclays.com</t>
  </si>
  <si>
    <t>349219-90P</t>
  </si>
  <si>
    <t>Graham Warner</t>
  </si>
  <si>
    <t>Mr. Graham Warner serves as Head of International Corporate Banking at Barclays. Prior to Deutsche Bank, He spent eight years at Citigroup in a variety of roles within transaction services, commercial banking and private wealth divisions based in the United States and Hong Kong.</t>
  </si>
  <si>
    <t>graham.warner@barclays.com</t>
  </si>
  <si>
    <t>Head of International Corporate Banking</t>
  </si>
  <si>
    <t>346555-63P</t>
  </si>
  <si>
    <t>Greer Hooper</t>
  </si>
  <si>
    <t>Greer</t>
  </si>
  <si>
    <t>Ms. Greer Hooper serves as the Head, of South Wales Corporate at Barclays.</t>
  </si>
  <si>
    <t>greer.hooper@barclays.com</t>
  </si>
  <si>
    <t>Head, South Wales Corporate</t>
  </si>
  <si>
    <t>334947-16P</t>
  </si>
  <si>
    <t>Greg Debicki</t>
  </si>
  <si>
    <t>Debicki</t>
  </si>
  <si>
    <t>Mr. Greg Debicki serves as Executive, Principal Investments at Barclays.</t>
  </si>
  <si>
    <t>+48 60 496 0809</t>
  </si>
  <si>
    <t>greg.d@barclayscorporate.com</t>
  </si>
  <si>
    <t>Executive, Principal Investments</t>
  </si>
  <si>
    <t>58335-40P</t>
  </si>
  <si>
    <t>Hannah Bernard</t>
  </si>
  <si>
    <t>Ms. Hannah Bernard serves as Co-Chairman at Invest in Women Taskforce. Ms.Bernard serves as Head of Business Banking at Barclays.</t>
  </si>
  <si>
    <t>hbernard@investinwomentaskforce.org</t>
  </si>
  <si>
    <t>Co-Chairman</t>
  </si>
  <si>
    <t>Invest in Women Taskforce</t>
  </si>
  <si>
    <t>296797-51P</t>
  </si>
  <si>
    <t>Harshna Cayley</t>
  </si>
  <si>
    <t>Harshna</t>
  </si>
  <si>
    <t>Cayley</t>
  </si>
  <si>
    <t>Ms. Harshna Cayley serves as Managing Director &amp; Head of Product Gateway and Online Payments at Barclays.</t>
  </si>
  <si>
    <t>harshna.cayley@barclays.com</t>
  </si>
  <si>
    <t>Managing Director &amp; Head of Product Gateway and Online Payments</t>
  </si>
  <si>
    <t>96561-46P</t>
  </si>
  <si>
    <t>Henry Cleary</t>
  </si>
  <si>
    <t>Cleary</t>
  </si>
  <si>
    <t>Mr. Henry Cleary serves as Head of Real Estate Lending and Structured Finance at Barclays.</t>
  </si>
  <si>
    <t>henry.cleary@barclays.com</t>
  </si>
  <si>
    <t>Head of Real Estate Lending and Structured Finance</t>
  </si>
  <si>
    <t>349641-91P</t>
  </si>
  <si>
    <t>Hossein Zaimi</t>
  </si>
  <si>
    <t>Hossein</t>
  </si>
  <si>
    <t>Zaimi</t>
  </si>
  <si>
    <t>Mr. Hossein Zaimi serves as Head of Markets Asia Pacific at Barclays.</t>
  </si>
  <si>
    <t>hossein.zaimi@barclays.com</t>
  </si>
  <si>
    <t>Head of Markets Asia Pacific</t>
  </si>
  <si>
    <t>358710-76P</t>
  </si>
  <si>
    <t>Hugues Desportes</t>
  </si>
  <si>
    <t>Hugues</t>
  </si>
  <si>
    <t>Desportes</t>
  </si>
  <si>
    <t>Mr. Hugues Desportes serves as Director and Head of FraBeLux ECM / Iberia Equity-Linked &amp; Financing Solutions at Barclays.</t>
  </si>
  <si>
    <t>hugues.desportes@barclays.com</t>
  </si>
  <si>
    <t>Managing Director &amp; Head of FraBeLux ECM and Iberia Equity-Linked and Financing Solutions Group</t>
  </si>
  <si>
    <t>404495-02P</t>
  </si>
  <si>
    <t>Hussain Selani</t>
  </si>
  <si>
    <t>Selani</t>
  </si>
  <si>
    <t>Mr. Hussain Selani serves as Managing Director &amp; Head of Investments India at Barclays.</t>
  </si>
  <si>
    <t>hussain.selani@barclays.com</t>
  </si>
  <si>
    <t>Managing Director &amp; Head of Investments India</t>
  </si>
  <si>
    <t>141037-66P</t>
  </si>
  <si>
    <t>Iain Duff</t>
  </si>
  <si>
    <t>Iain</t>
  </si>
  <si>
    <t>Mr. Iain Duff serves as Corporate Development Director at Barclays. Previously, he served as a Partner, Business Development at Clydesdale bank.</t>
  </si>
  <si>
    <t>iain.duff@barclays.com</t>
  </si>
  <si>
    <t>Corporate Development Director</t>
  </si>
  <si>
    <t>35744-95P</t>
  </si>
  <si>
    <t>Iain Smedley</t>
  </si>
  <si>
    <t>Smedley</t>
  </si>
  <si>
    <t>Mr. Iain Smedley serves as Chairman of Global Banking at Barclays. He also serves as Chairman of Global Banking at Barclays Investment Bank.</t>
  </si>
  <si>
    <t>iain.smedley@barcap.com</t>
  </si>
  <si>
    <t>Chairman, Global Banking</t>
  </si>
  <si>
    <t>96323-59P</t>
  </si>
  <si>
    <t>Ingrid Hengster</t>
  </si>
  <si>
    <t>Ingrid</t>
  </si>
  <si>
    <t>Hengster</t>
  </si>
  <si>
    <t>Chief Executive Officer &amp; Executive</t>
  </si>
  <si>
    <t>Dr. Ingrid Hengster serves as Chief Executive Officer (Germany) and Global Chairman of Investment Banking at Barclays. She also served as Chairwoman of the Supervisory Board and Member of the Advisory Board at KfW Capital. She also served as the First Deputy Chairwoman of the Supervisory Board at DEG. Hengster served as Board Member at tbg Technologie-Beteiligungsgesellschaft. She also serves as Chairwoman of the Supervisory Board, the Executive Committee, the Remuneration Control Committee, and the Loan Committee and is a Member of the Audit Committee at KfW IPEX-Bank.</t>
  </si>
  <si>
    <t>ingrid.hengster@barclays.com</t>
  </si>
  <si>
    <t>Chief Executive Officer (Germany) &amp; Global Chairman, Investment Banking</t>
  </si>
  <si>
    <t>151714-36P</t>
  </si>
  <si>
    <t>Jackie Gillan</t>
  </si>
  <si>
    <t>Jackie</t>
  </si>
  <si>
    <t>Gillan</t>
  </si>
  <si>
    <t>Ms. Jackie Gillan serves as Relationship Director at Barclays Corporate. She has over 20 years of experience in the banking sector and is currently a Relationship Director in the Manufacturing, Transport &amp; Logistics team, specializing in the coverage of Global Corporate accounts in the Manufacturing, Transport and Logistics and Aerospace and Defence sectors. She is using her investment banking background to benefit the Clients in the sector alongside her corporate banking knowledge. She joined Barclays in 1998 working in the Loan Syndications Team, covering Origination and Distribution of a very wide variety of transactions, from corporate loans to project finance, Mergers and Acquisitions and other structured solutions. Prior to joining Barclays she held senior roles in Syndications and Debt Capital Markets sales at Union Bank Switzerland and JPMorgan. She is Chairperson of the Barclays Corporate Coverage Womens Network focussing on our external reach into our Client base.</t>
  </si>
  <si>
    <t>jackie.gillan@barclays.com</t>
  </si>
  <si>
    <t>Relationship Director, Barclays Corporate</t>
  </si>
  <si>
    <t>61184-89P</t>
  </si>
  <si>
    <t>James Birchenough MD</t>
  </si>
  <si>
    <t>Birchenough</t>
  </si>
  <si>
    <t>Dr. James Birchenough serves as Co-Head of Global Biopharma Investment Banking and Chairman of Global Biopharma Investment Banking at Barclays. He also served as a Vice Chairman at Wells Fargo Securities.</t>
  </si>
  <si>
    <t>james.birchenough@barclays.com</t>
  </si>
  <si>
    <t>Co-Head, Global Biopharma Investment Banking &amp; Chairman, Global Healthcare Investment Banking</t>
  </si>
  <si>
    <t>359720-74P</t>
  </si>
  <si>
    <t>James Edmonds</t>
  </si>
  <si>
    <t>Edmonds</t>
  </si>
  <si>
    <t>Mr. James Edmonds serves as Global Head of Sustainable Project Finance at Barclays.</t>
  </si>
  <si>
    <t>james.edmonds@barclayscapital.com</t>
  </si>
  <si>
    <t>Global Head of Sustainable Project Finance</t>
  </si>
  <si>
    <t>184084-66P</t>
  </si>
  <si>
    <t>James Ferrier</t>
  </si>
  <si>
    <t>Ferrier</t>
  </si>
  <si>
    <t>Mr. James Ferrier serves as Director at Barclays Climate Ventures. Mr. Ferrier serves as a Board Member at Sunswap and GeoPura. He served as a Board Member at Energy Dome. He also served as Director at US Real Estate Holdings No. 4. His 25 years of transaction and portfolio management experience spanning careers at Barclays and EY includes work on large portfolio sales, buyouts, and mid-market PE deals in the Americas, Europe, and Asia. He is a Chartered Accountant and Chartered Tax Advisor and holds a master's degree in mathematics from the University of Oxford.</t>
  </si>
  <si>
    <t>james.ferrier@barclays.com</t>
  </si>
  <si>
    <t>Barclays Climate Ventures</t>
  </si>
  <si>
    <t>262860-31P</t>
  </si>
  <si>
    <t>James Johnson</t>
  </si>
  <si>
    <t>Mr. James Johnson serves as Director, Investor Relations at Barclays.</t>
  </si>
  <si>
    <t>+44 (0)20 7116 7233</t>
  </si>
  <si>
    <t>james.johnson@barclays.com</t>
  </si>
  <si>
    <t>188078-68P</t>
  </si>
  <si>
    <t>James Jordan</t>
  </si>
  <si>
    <t>Mr. James Jordan serves as Head of Mid-Corporate at Barclays.</t>
  </si>
  <si>
    <t>james.jordan@barclays.com</t>
  </si>
  <si>
    <t>Head of Mid-Corporate</t>
  </si>
  <si>
    <t>160145-11P</t>
  </si>
  <si>
    <t>James Rossman</t>
  </si>
  <si>
    <t>Rossman</t>
  </si>
  <si>
    <t>Mr James Rossman serves as Global Head of Shareholder Advisory at Barclays. Mr James Rossman served as Managing Director &amp; Head of Corporate Preparedness at Lazard. He was the Senior Vice President, Equity Capital Markets and Head of Equity Restructuring at Lehman Brothers. He serves as the Chairman of the Brooklyn Historical Society.</t>
  </si>
  <si>
    <t>james.rossman@barclays.com</t>
  </si>
  <si>
    <t>Global Head of Shareholder Advisory</t>
  </si>
  <si>
    <t>450458-92P</t>
  </si>
  <si>
    <t>James Whybrow</t>
  </si>
  <si>
    <t>Whybrow</t>
  </si>
  <si>
    <t>Mr. James Whybrow serves as Managing Director, Barclays Private Bank at Barclays.</t>
  </si>
  <si>
    <t>james.whybrow@barclays.com</t>
  </si>
  <si>
    <t>Managing Director, Barclays Private Bank</t>
  </si>
  <si>
    <t>45488-08P</t>
  </si>
  <si>
    <t>Jamie Grant</t>
  </si>
  <si>
    <t>Mr. Jamie Grant serves as Head of Corporate Banking, Scotland at Barclays. He served as Head of Region Scotland &amp; Northern Ireland at Barclays Bank. He also serves as the Director of Barclays Leveraged Finance. Previously, served as a Structured Finance Associate Director at the Bank of Scotland. Jamie is a qualified Chartered Accountant with more than 15 years of experience in Corporate Banking. Jamie has been involved in several high-profile deals in the UK and was named the Emerging Dealmaker of the Year in 2006 and was nominated as Banker of the Year in 2008.</t>
  </si>
  <si>
    <t>jamie.grant@barclays.com</t>
  </si>
  <si>
    <t>Head of Corporate Banking, Scotland</t>
  </si>
  <si>
    <t>269398-63P</t>
  </si>
  <si>
    <t>Jason Coleman</t>
  </si>
  <si>
    <t>Coleman</t>
  </si>
  <si>
    <t>Mr. Jason Coleman serves as Relationship Director at Barclays.</t>
  </si>
  <si>
    <t>jason.coleman@home.barclays</t>
  </si>
  <si>
    <t>441495-73P</t>
  </si>
  <si>
    <t>Jason Short</t>
  </si>
  <si>
    <t>Short</t>
  </si>
  <si>
    <t>Mr. Jason Short serves as Managing Director, Financial Sponsors Group at Barclays.</t>
  </si>
  <si>
    <t>jason.short@home.barclays</t>
  </si>
  <si>
    <t>Managing Director, Financial Sponsors Group</t>
  </si>
  <si>
    <t>76298-95P</t>
  </si>
  <si>
    <t>Jatin Patel</t>
  </si>
  <si>
    <t>Jatin</t>
  </si>
  <si>
    <t>Mr. Jatin Patel serves as Head of Mortgages, Savings, and Insurance Divisions at Barclays. He serves as Director, Product &amp; Digital at TSB Banking Group. Jatin is Product Director at TSB, and joined the bank at the beginning of 2013. Prior to joining TSB he was the Current Accounts Director at Lloyds TSB, and prior to that held a number of roles in the Lloyds TSB Current Account business gaining broad experience of leading strategy, product management and product development. Jatin also has experience of working in Group Strategy and Corporate Development and worked for a number of years in strategy consulting. Jatin was born and brought up in London, and graduated from Cambridge University in 2000 with a Masters in Manufacturing Engineering.</t>
  </si>
  <si>
    <t>jpatel@home.barclays</t>
  </si>
  <si>
    <t>Head of Mortgages, Savings, and Insurance Divisions</t>
  </si>
  <si>
    <t>375080-86P</t>
  </si>
  <si>
    <t>Jean Patois</t>
  </si>
  <si>
    <t>Patois</t>
  </si>
  <si>
    <t>Mr. Jean Patois serves as Head of Equity Derivatives ex-strategic Derivatives at Barclays.</t>
  </si>
  <si>
    <t>jpatois@home.barclays</t>
  </si>
  <si>
    <t>Head of Equity Derivatives ex-Strategic Derivatives</t>
  </si>
  <si>
    <t>395325-46P</t>
  </si>
  <si>
    <t>Jean-Damien Marie</t>
  </si>
  <si>
    <t>Jean-Damien</t>
  </si>
  <si>
    <t>Marie</t>
  </si>
  <si>
    <t>Mr. Jean-Damien Marie serves as Global Head of Investments, Private Bank and Wealth Management &amp; Managing Director at Barclays.</t>
  </si>
  <si>
    <t>jean-damien.marie@barclays.com</t>
  </si>
  <si>
    <t>Global Head of Investments, Private Bank and Wealth Management &amp; Managing Director</t>
  </si>
  <si>
    <t>360099-91P</t>
  </si>
  <si>
    <t>Jennifer Engels</t>
  </si>
  <si>
    <t>Engels</t>
  </si>
  <si>
    <t>Ms. Jennifer Engels serves as US Head of Loan Origination and Servicing, Wholesale Lending, Director at Barclays.</t>
  </si>
  <si>
    <t>jennifer.engels@barclays.com</t>
  </si>
  <si>
    <t>US Head of Loan Origination and Servicing, Wholesale Lending, Director</t>
  </si>
  <si>
    <t>265519-36P</t>
  </si>
  <si>
    <t>Jennifer Toyama</t>
  </si>
  <si>
    <t>Toyama</t>
  </si>
  <si>
    <t>Ms. Jennifer Toyama serves as Executive at Barclays.</t>
  </si>
  <si>
    <t>jennifer.toyama@barclays.com</t>
  </si>
  <si>
    <t>353410-03P</t>
  </si>
  <si>
    <t>Jerry Minier</t>
  </si>
  <si>
    <t>Jerry</t>
  </si>
  <si>
    <t>Minier</t>
  </si>
  <si>
    <t>Mr. Jerry Minier serves as Co-Head of G10 FX Trading at Barclays.</t>
  </si>
  <si>
    <t>jerry.minier@barclays.com</t>
  </si>
  <si>
    <t>Co-Head of G10 FX Trading</t>
  </si>
  <si>
    <t>368712-37P</t>
  </si>
  <si>
    <t>Jiten Mistry</t>
  </si>
  <si>
    <t>Jiten</t>
  </si>
  <si>
    <t>Mistry</t>
  </si>
  <si>
    <t>Director &amp; Principal</t>
  </si>
  <si>
    <t>Mr. Jiten Mistry serves as Director &amp; Principal Investments at Barclays. He serves as Director at Barclays Climate Ventures. He holds an BS degree in Management Science from London School of Economics and Political Science.</t>
  </si>
  <si>
    <t>jiten.mistry@barclays.com</t>
  </si>
  <si>
    <t>Director &amp; Principal Investments</t>
  </si>
  <si>
    <t>310388-86P</t>
  </si>
  <si>
    <t>Joe Reid</t>
  </si>
  <si>
    <t>Mr. Joe Reid serves as Business Development Director, Large Corporate -Retail and Wholesale at Barclays.</t>
  </si>
  <si>
    <t>jreid@home.barclays</t>
  </si>
  <si>
    <t>Business Development Director, Large Corporate -Retail and Wholesale</t>
  </si>
  <si>
    <t>135151-21P</t>
  </si>
  <si>
    <t>Joel Fleck</t>
  </si>
  <si>
    <t>Fleck</t>
  </si>
  <si>
    <t>Mr. Joel Fleck serves as Global Co-Head FIG at Barclays.</t>
  </si>
  <si>
    <t>joel.fleck@barclays.com</t>
  </si>
  <si>
    <t>Global Co-Head FIG</t>
  </si>
  <si>
    <t>316421-65P</t>
  </si>
  <si>
    <t>John Hunter</t>
  </si>
  <si>
    <t>Mr. John Hunter serves as a Specialist Relationship Manager at Barclays.</t>
  </si>
  <si>
    <t>john.w.hunter@barclays.com</t>
  </si>
  <si>
    <t>Specialist Relationship Manager</t>
  </si>
  <si>
    <t>437797-99P</t>
  </si>
  <si>
    <t>John Kolz</t>
  </si>
  <si>
    <t>Kolz</t>
  </si>
  <si>
    <t>Mr. John Kolz serves as Global Co-Head of Equity Capital Markets at Barclays. John joins Barclays with over 25 years of experience in equity capital markets. He spent 10 years at Credit Suisse, most recently as Co-Head of Americas ECM Origination and started his career at Goldman Sachs, where he held various ECM roles including Co-Head of Equity Syndicate. He is joining from RBC Capital Markets where he was Co-Head of Global ECM.</t>
  </si>
  <si>
    <t>kolz@barclays.com</t>
  </si>
  <si>
    <t>Global Co-Head of Equity Capital Markets</t>
  </si>
  <si>
    <t>89096-23P</t>
  </si>
  <si>
    <t>John Mathers</t>
  </si>
  <si>
    <t>Mathers</t>
  </si>
  <si>
    <t>Mr. John Mathers serves as Head of Corporate Banking, Northern Ireland at Barclays. Mr. Mathers served as Corporate Development Director at Barclays Corporate Banking. Previously, he served as an Acting Regional Business Manager at Bank of Ireland.</t>
  </si>
  <si>
    <t>john.mathers@barclays.com</t>
  </si>
  <si>
    <t>Head of Corporate Banking, Northern Ireland</t>
  </si>
  <si>
    <t>186303-16P</t>
  </si>
  <si>
    <t>John Sandhu</t>
  </si>
  <si>
    <t>Sandhu</t>
  </si>
  <si>
    <t>Mr. John Sandhu serves as the Head of Corporate Development at Barclays. Mr. John Sandhu served as Managing Director at Morgan Stanley. He formerly led Citi's team of investment bankers serving finance firms in the UK.</t>
  </si>
  <si>
    <t>john.sandhu@barclays.com</t>
  </si>
  <si>
    <t>Head of Corporate Development</t>
  </si>
  <si>
    <t>88097-41P</t>
  </si>
  <si>
    <t>Jon Lowes-Bond</t>
  </si>
  <si>
    <t>Lowes-Bond</t>
  </si>
  <si>
    <t>Mr. Jon Lowes-Bond serves as Vice President, Governance and Control at Barclays Bank. Previously, he served as a Corporate Credit Assistant at Barclays Bank.</t>
  </si>
  <si>
    <t>jon.lowes-bond@barclays.com</t>
  </si>
  <si>
    <t>Vice President, Governance and Control</t>
  </si>
  <si>
    <t>407635-75P</t>
  </si>
  <si>
    <t>Jonathon Traer-Clark</t>
  </si>
  <si>
    <t>Jonathon</t>
  </si>
  <si>
    <t>Traer-Clark</t>
  </si>
  <si>
    <t>Mr. Jonathon Traer-Clark serves as Head of Americas for Global Transaction Banking at Barclays.</t>
  </si>
  <si>
    <t>jonathon.traer-clark@home.barclays</t>
  </si>
  <si>
    <t>Head of Americas for Global Transaction Banking</t>
  </si>
  <si>
    <t>212563-36P</t>
  </si>
  <si>
    <t>Joseph Pelaez</t>
  </si>
  <si>
    <t>Pelaez</t>
  </si>
  <si>
    <t>Chief Operating Officer &amp; Executive</t>
  </si>
  <si>
    <t>Mr. Joseph Pelaez serves as Chief Operating Officer &amp; Global Mergers and acquisitions at Barclays.</t>
  </si>
  <si>
    <t>joseph.pelaez@barclays.com</t>
  </si>
  <si>
    <t>Chief Operating Officer &amp; Global Mergers and acquisitions</t>
  </si>
  <si>
    <t>115053-22P</t>
  </si>
  <si>
    <t>Joseph Sumner</t>
  </si>
  <si>
    <t>Sumner</t>
  </si>
  <si>
    <t>Mr. Joseph Sumner serves as Managing Director at Barclays.</t>
  </si>
  <si>
    <t>joe.sumner@barclays.com</t>
  </si>
  <si>
    <t>120155-32P</t>
  </si>
  <si>
    <t>Kamal Ahmed</t>
  </si>
  <si>
    <t>Kamal</t>
  </si>
  <si>
    <t>Mr. Kamal Ahmed serves as Global Head of Electronics Banking at Barclays. Mr. Kamal Ahmed served as Managing Director, Technology Investment Banking at Credit Suisse. Mr. Kamal Ahmed served as Managing Director, Technology Investment Banking at GCA Advisors. He has advised leading technology companies worldwide across a wide range of M&amp;A situations including complex mergers, cross-border deals, hostile takeover defense and shareholder activism. In terms of financings, Kamal has led IPO and secondary transactions, private placements, spin-offs, as well as convertible, high yield and asset-backed financings. Prior to GCA, Kamal was a Partner at GTK Partners. Prior to that, Kamal was a Managing Director in the technology investment banking group at Morgan Stanley and was based in Menlo Park. Kamal began his investment banking career in New York at CS First Boston. He received a BA from Yale University and an MBA from Cornell University, where he was a JGSM Scholar.</t>
  </si>
  <si>
    <t>k.ahmed@barclays.com</t>
  </si>
  <si>
    <t>Global Head of Electronics Banking</t>
  </si>
  <si>
    <t>80323-84P</t>
  </si>
  <si>
    <t>Kath Whitrow</t>
  </si>
  <si>
    <t>Kath</t>
  </si>
  <si>
    <t>Whitrow</t>
  </si>
  <si>
    <t>Ms. Kath Whitrow serves as Relationship Director at Barclays.</t>
  </si>
  <si>
    <t>kath.whitrow@home.barclays</t>
  </si>
  <si>
    <t>194948-74P</t>
  </si>
  <si>
    <t>Katharine Braddick</t>
  </si>
  <si>
    <t>Katharine</t>
  </si>
  <si>
    <t>Braddick</t>
  </si>
  <si>
    <t>Ms. Katharine Braddick serves as Group Head of Strategic Policy &amp; Advisor to the Group CEO at Barclays. Ms. Katharine Braddick served as Director General, Financial Services at HM Treasury. Responsibilities include ensuring the delivery of HM Treasury's work programme, in particular supporting the government's objective to promote stability, fairness, efficiency and competitiveness in financial markets leading the Treasury's relationships with the Prudential Regulatory Authority and the Financial Conduct Authority, and representing HM Treasury on the Bank of England's Financial Policy Committee engaging with external stakeholders in the financial services industry, including consumer groups, industry groups and financial institutions</t>
  </si>
  <si>
    <t>katharine.braddick@barclays.com</t>
  </si>
  <si>
    <t>58798-54P</t>
  </si>
  <si>
    <t>Keith Herod</t>
  </si>
  <si>
    <t>Herod</t>
  </si>
  <si>
    <t>Mr. Keith Herod serves as the Director of Corporate Development at Barclays.</t>
  </si>
  <si>
    <t>keith.herod@barclays.com</t>
  </si>
  <si>
    <t>186121-72P</t>
  </si>
  <si>
    <t>Kester Keating</t>
  </si>
  <si>
    <t>Kester</t>
  </si>
  <si>
    <t>Keating</t>
  </si>
  <si>
    <t>Mr. Kester Keating serves as Director &amp; Head of US Principal Investments at Barclays. He serves as Board Member at Acadia. He served as Board Member at Here. He is the Head of US Strategic Investments for Barclays based in New York. He has ten years capital markets experience and announced deals he has led include Cloud9 Technologies, Neptune Networks and H20.ai . He is a board member at BIDS Trading. He served as Board Member at Cloud9 Technologies. Prior to Barclays he was a strategy consultant at Oliver Wyman. He has a master's degree from Columbia University and bachelor's degree from Oxford University.</t>
  </si>
  <si>
    <t>kester.keating@barclays.com</t>
  </si>
  <si>
    <t>Director &amp; Head of US Principal Investments</t>
  </si>
  <si>
    <t>373388-41P</t>
  </si>
  <si>
    <t>Kevin Lim</t>
  </si>
  <si>
    <t>Mr. Kevin Lim serves as Head of Deal Support at Barclays.</t>
  </si>
  <si>
    <t>kevin.lim@barclayscorporate.com</t>
  </si>
  <si>
    <t>Head, Deal Support</t>
  </si>
  <si>
    <t>441170-47P</t>
  </si>
  <si>
    <t>Kieran Whitty</t>
  </si>
  <si>
    <t>Kieran</t>
  </si>
  <si>
    <t>Whitty</t>
  </si>
  <si>
    <t>Mr. Kieran Whitty serves as Co-Head of Healthcare for Europe, Middle East and Africa at Barclays.</t>
  </si>
  <si>
    <t>kwhitty@home.barclays</t>
  </si>
  <si>
    <t>Co-Head of Healthcare for Europe, Middle East and Africa</t>
  </si>
  <si>
    <t>345261-25P</t>
  </si>
  <si>
    <t>Kirsty Everett</t>
  </si>
  <si>
    <t>Kirsty</t>
  </si>
  <si>
    <t>Everett</t>
  </si>
  <si>
    <t>Chief Compliance Officer</t>
  </si>
  <si>
    <t>Ms. Kirsty Everett serves as Group Chief Compliance Officer at Barclays.</t>
  </si>
  <si>
    <t>kirsty.everett@barclays.com</t>
  </si>
  <si>
    <t>Group Chief Compliance Officer</t>
  </si>
  <si>
    <t>88259-77P</t>
  </si>
  <si>
    <t>Laura Wilkes</t>
  </si>
  <si>
    <t>Wilkes</t>
  </si>
  <si>
    <t>Ms. Laura Wilkes serves as Engagement Manager at Barclays. She served as Acquisitions Manager at Barclays Bank. Previously, She served as a Marketing at Barclays.</t>
  </si>
  <si>
    <t>laura.wilkes@barclays.com</t>
  </si>
  <si>
    <t>Engagement Manager</t>
  </si>
  <si>
    <t>85934-53P</t>
  </si>
  <si>
    <t>Lee Counselman</t>
  </si>
  <si>
    <t>Counselman</t>
  </si>
  <si>
    <t>Mr. Lee Counselman serves as Managing Director in Technology Investment Banking at Barclays. He served as a Venture Partner at Companyon Ventures. Mr. Counselman served as Global Head of Software Investment Banking at Deutsche Bank. Previously, he served as an Associate - Investment Banking at Merrill Lynch.</t>
  </si>
  <si>
    <t>lee.counselman@barclays.com</t>
  </si>
  <si>
    <t>Managing Director in Technology Investment Banking</t>
  </si>
  <si>
    <t>88050-88P</t>
  </si>
  <si>
    <t>Lesley Barnwell</t>
  </si>
  <si>
    <t>Lesley</t>
  </si>
  <si>
    <t>Barnwell</t>
  </si>
  <si>
    <t>Ms. Lesley Barnwell serves as Corporate Development Director at Barclays. Previously, she served as an Assistant Manager at Deloitte and Touche.</t>
  </si>
  <si>
    <t>lesley.barnwell@barclays.com</t>
  </si>
  <si>
    <t>368839-18P</t>
  </si>
  <si>
    <t>Lili Uznadze</t>
  </si>
  <si>
    <t>Lili</t>
  </si>
  <si>
    <t>Uznadze</t>
  </si>
  <si>
    <t>Assistant Vice President</t>
  </si>
  <si>
    <t>Ms. Lili Uznadze serves as Assistant Vice President, Sustainable Impact Capital at Barclays.</t>
  </si>
  <si>
    <t>lili.uznadze@barclays.com</t>
  </si>
  <si>
    <t>Assistant Vice President, Sustainable Impact Capital</t>
  </si>
  <si>
    <t>366339-52P</t>
  </si>
  <si>
    <t>Lisa Bagley</t>
  </si>
  <si>
    <t>Bagley</t>
  </si>
  <si>
    <t>Ms. Lisa Bagley serves as Manager at Barclays.</t>
  </si>
  <si>
    <t>lisa.bagley@barclays.com</t>
  </si>
  <si>
    <t>88052-50P</t>
  </si>
  <si>
    <t>Malcolm Crawford</t>
  </si>
  <si>
    <t>Crawford</t>
  </si>
  <si>
    <t>Mr. Malcolm Crawford serves as Corporate Development Director at Barclays Bank. Previously, he served as a Manager at Anglo Irish Bank.</t>
  </si>
  <si>
    <t>malcolm.crawford@barclays.com</t>
  </si>
  <si>
    <t>250584-67P</t>
  </si>
  <si>
    <t>Mandeep Bibra</t>
  </si>
  <si>
    <t>Mandeep</t>
  </si>
  <si>
    <t>Bibra</t>
  </si>
  <si>
    <t>Mr. Mandeep Bibra serves as Business Relationship Manager at Barclays.</t>
  </si>
  <si>
    <t>mandeep.bibra@barclays.com</t>
  </si>
  <si>
    <t>Business Relationship Manager</t>
  </si>
  <si>
    <t>272265-49P</t>
  </si>
  <si>
    <t>Mani Joseph</t>
  </si>
  <si>
    <t>Mani</t>
  </si>
  <si>
    <t>Mr. Mani Joseph serves as Managing Director at Barclays.</t>
  </si>
  <si>
    <t>joseph@barclays.com</t>
  </si>
  <si>
    <t>412126-03P</t>
  </si>
  <si>
    <t>Manpreet Singh Mann</t>
  </si>
  <si>
    <t>Manpreet Singh</t>
  </si>
  <si>
    <t>Mann</t>
  </si>
  <si>
    <t>Mr. Manpreet Singh Mann serves as Managing Director at Barclays.</t>
  </si>
  <si>
    <t>singh.mann@barclays.com</t>
  </si>
  <si>
    <t>315221-95P</t>
  </si>
  <si>
    <t>Marc Giannoni</t>
  </si>
  <si>
    <t>Giannoni</t>
  </si>
  <si>
    <t>Mr. Marc Giannoni serves as Managing Director &amp; Chief US Economist at Barclays.</t>
  </si>
  <si>
    <t>marc.giannoni@barclays.com</t>
  </si>
  <si>
    <t>Managing Director &amp; Chief US Economist</t>
  </si>
  <si>
    <t>447608-71P</t>
  </si>
  <si>
    <t>Marc Warm</t>
  </si>
  <si>
    <t>Warm</t>
  </si>
  <si>
    <t>Mr. Marc Warm serves as Global Co-Head of Capital Markets at Barclays.</t>
  </si>
  <si>
    <t>marc@home.barclays</t>
  </si>
  <si>
    <t>Global Co-Head of Capital Markets</t>
  </si>
  <si>
    <t>142117-57P</t>
  </si>
  <si>
    <t>Marco Baldini</t>
  </si>
  <si>
    <t>Marco</t>
  </si>
  <si>
    <t>Baldini</t>
  </si>
  <si>
    <t>Mr. Marco Baldini serves as Co-Head of Investment Grade Debt Syndicate at Barclays.</t>
  </si>
  <si>
    <t>marco.baldini@barclays.com</t>
  </si>
  <si>
    <t>Co-Head of Investment Grade Debt Syndicate</t>
  </si>
  <si>
    <t>328016-80P</t>
  </si>
  <si>
    <t>Marie-Jose Freier</t>
  </si>
  <si>
    <t>Marie-Jose</t>
  </si>
  <si>
    <t>Freier</t>
  </si>
  <si>
    <t>Ms. Marie-Jose Freier serves as Co-Head of Energy Transition Banking, EMEA at Barclays.</t>
  </si>
  <si>
    <t>mfreier@home.barclays</t>
  </si>
  <si>
    <t>Co-Head of Energy Transition Banking, EMEA</t>
  </si>
  <si>
    <t>389850-85P</t>
  </si>
  <si>
    <t>Mark Mills</t>
  </si>
  <si>
    <t>Mr. Mark Mills serves as Head of investment distribution, private bank and wealth management for the UK and Crown Dependencies at Barclays.</t>
  </si>
  <si>
    <t>mark.mills@barclays.com</t>
  </si>
  <si>
    <t>Head of investment distribution, private bank and wealth management for the UK and Crown Dependencies</t>
  </si>
  <si>
    <t>241975-18P</t>
  </si>
  <si>
    <t>Martin Brown</t>
  </si>
  <si>
    <t>Mr. Martin Brown serves as Relationship Director at Barclays.</t>
  </si>
  <si>
    <t>martin.brown@barclayscorporate.com</t>
  </si>
  <si>
    <t>190947-07P</t>
  </si>
  <si>
    <t>Martin Crook</t>
  </si>
  <si>
    <t>Crook</t>
  </si>
  <si>
    <t>Mr. Martin Crook serves as Relationship Director at Barclays.</t>
  </si>
  <si>
    <t>martin.crook@home.barclays</t>
  </si>
  <si>
    <t>410822-38P</t>
  </si>
  <si>
    <t>Martin Douglass</t>
  </si>
  <si>
    <t>Douglass</t>
  </si>
  <si>
    <t>Mr. Martin Douglass serves as Head, Financial Sponsors M&amp;A at Barclays.</t>
  </si>
  <si>
    <t>mdouglass@barclays.com</t>
  </si>
  <si>
    <t>Head, Financial Sponsors M&amp;A</t>
  </si>
  <si>
    <t>130318-84P</t>
  </si>
  <si>
    <t>Martin Perry</t>
  </si>
  <si>
    <t>Mr. Martin Perry serves as Director at Barclays. Previously, he served as Relationship Director at Barclays Corporate Banking.</t>
  </si>
  <si>
    <t>mperry@home.barclays</t>
  </si>
  <si>
    <t>421839-73P</t>
  </si>
  <si>
    <t>Mathias Gonzalez</t>
  </si>
  <si>
    <t>Mr. Mathias Gonzalez serves as Chief Investment Officer &amp; Head of Investments for Barclays Private Bank at Barclays.</t>
  </si>
  <si>
    <t>mathias.gonzalez@barclays.com</t>
  </si>
  <si>
    <t>Chief Investment Officer &amp; Head of Investments for Barclays Private Bank</t>
  </si>
  <si>
    <t>336069-19P</t>
  </si>
  <si>
    <t>Matt Fitzwater</t>
  </si>
  <si>
    <t>Fitzwater</t>
  </si>
  <si>
    <t>Mr. Matt Fitzwater serves as Group Chief Compliance Officer at Barclays Investment Bank. He serves as Group Chief Compliance Officer at Barclays. He is currently the interim Group Chief Compliance Officer for Barclays and has worked at the bank since 2014. He until November 2022, held the position of General Counsel for Conduct and Customer and Client Affairs overseeing all litigation, employment, competition, and financial crime legal matters for the bank globally across all business lines. Before that time, he was the Global Head of Litigation and Investigations for Barclays. Before joining Barclays, he was Special Counsel at Sullivan &amp; Cromwell in New York where he represented large financial institutions in criminal and regulatory matters. He is from Greenville, Ohio, and graduated from The Ohio State University College of Law in 2001 and graduated summa cum laude and Phi Beta Kappa from Miami University (Ohio) in 1998 with a double major in History and Political Science.</t>
  </si>
  <si>
    <t>fitzwater.matt@home.barclays</t>
  </si>
  <si>
    <t>211577-86P</t>
  </si>
  <si>
    <t>Matt Hammerstein</t>
  </si>
  <si>
    <t>Hammerstein</t>
  </si>
  <si>
    <t>Mr. Matt Hammerstein serves as Chief Executive of the UK Corporate Bank and Head of Public Policy and Corporate Responsibility at Barclays. Before becoming Chief Executive Officer, he was Head of Retail Lending covering both the secured and unsecured lending businesses. He joined Barclays in 2004 as Director of Group Strategy, later progressing to become the Group Chief of Staff; a key strategic role in which he provided vital support to the Group CEO during the financial crisis. He went on to manage Barclays Group Corporate Strategy and Corporate Relations, Barclays Customer and Client Experience in Retail and Business Banking, and Barclays UK Retail Products and Segments.</t>
  </si>
  <si>
    <t>matt.hammerstein@barclays.com</t>
  </si>
  <si>
    <t>Chief Executive of the UK Corporate Bank and Head of Public Policy and Corporate Responsibility</t>
  </si>
  <si>
    <t>231908-32P</t>
  </si>
  <si>
    <t>Matthew Bennett</t>
  </si>
  <si>
    <t>Bennett</t>
  </si>
  <si>
    <t>Investment Director &amp; Principal</t>
  </si>
  <si>
    <t>Mr. Matthew Bennett serves as Investment Director &amp; Principal Investments at Barclays. He serves as a Board Member at Protium. His experience spans careers across Barclays and PwC, including deal origination, execution, investment and portfolio management responsibilities built upon a strong finance and strategic planning foundation. He acts as a board director at Protium Green Solutions and SaveMoneyCutCarbon as well as a board observer at ZeroAvia, Air Protein and Brill Power. He is a qualified Chartered Accountant and has a bachelor's degree from the University of Nottingham in Finance, Accounting &amp; Management.</t>
  </si>
  <si>
    <t>matthew.bennett@barclays.com</t>
  </si>
  <si>
    <t>Investment Director &amp; Principal Investments</t>
  </si>
  <si>
    <t>216440-29P</t>
  </si>
  <si>
    <t>Matthew Chenery</t>
  </si>
  <si>
    <t>Chenery</t>
  </si>
  <si>
    <t>Mr. Matthew Chenery serves as Relationship Director at Barclays.</t>
  </si>
  <si>
    <t>matthew.chenery@home.barclays</t>
  </si>
  <si>
    <t>125499-16P</t>
  </si>
  <si>
    <t>Mr. Matthew Chenery serves as Relationship Director, Barclays Corporate Banking at Barclays.</t>
  </si>
  <si>
    <t>matthew.chenery@barclayscorporate.com</t>
  </si>
  <si>
    <t>368734-96P</t>
  </si>
  <si>
    <t>Megha Shah</t>
  </si>
  <si>
    <t>Megha</t>
  </si>
  <si>
    <t>Shah</t>
  </si>
  <si>
    <t>Investment Analyst &amp; Principal</t>
  </si>
  <si>
    <t>Ms. Megha Shah serves as Investment Analyst &amp; Principal Investments AVP at Barclays.</t>
  </si>
  <si>
    <t>megha.shah@barclays.com</t>
  </si>
  <si>
    <t>Investment Analyst &amp; Principal Investments AVP</t>
  </si>
  <si>
    <t>370399-06P</t>
  </si>
  <si>
    <t>Michael Del Giudice</t>
  </si>
  <si>
    <t>Del Giudice</t>
  </si>
  <si>
    <t>Mr. Michael Del Giudice serves as Chairman of the Financial Sponsors Group at Barclays. He joins Barclays with over 30 years of investment banking experience. He joins Barclays with over 30 years of investment banking experience. He was most recently a senior Managing Director in Citi's Global Asset Management group, having joined one of its predecessor firms, Smith, Barney, Harris Upham, in 1992. Mr. Del Giudice has deep connections across the private equity and alternative asset management industry and has long-standing institutional relationships with industry leaders such as Blackstone, Warburg Pincus, Carlyle, Onex, EQT, and Centerbridge, among others. He has advised on and arranged financing for myriad transactions that helped to define the private equity industry over the last several decades. Mr. Del Giudice will work closely with Christian Oberle, who last month was announced as Head of Americas Financial Sponsors Group at Barclays, to further drive the bank's strategy and coverage of financial sponsor clients.</t>
  </si>
  <si>
    <t>michael.delgiudice@barclays.com</t>
  </si>
  <si>
    <t>Chairman, Financial Sponsors Group</t>
  </si>
  <si>
    <t>169560-73P</t>
  </si>
  <si>
    <t>Michael Dempsey</t>
  </si>
  <si>
    <t>Dempsey</t>
  </si>
  <si>
    <t>Mr. Michael Dempsey serves as Vice President, Capital and Financial Risk Management at Barclays.</t>
  </si>
  <si>
    <t>michael.dempsey@barclays.com</t>
  </si>
  <si>
    <t>Vice President, Capital and Financial Risk Management</t>
  </si>
  <si>
    <t>426616-21P</t>
  </si>
  <si>
    <t>Michael Figg</t>
  </si>
  <si>
    <t>Figg</t>
  </si>
  <si>
    <t>Mr. Michael Figg serves as Head of Social Housing at Barclays.</t>
  </si>
  <si>
    <t>michael.figg@barclays.com</t>
  </si>
  <si>
    <t>Head of Social Housing</t>
  </si>
  <si>
    <t>241497-55P</t>
  </si>
  <si>
    <t>Michael Masters</t>
  </si>
  <si>
    <t>Mr. Mike Masters serves as Managing Director at Barclays.</t>
  </si>
  <si>
    <t>michael.masters@barclays.com</t>
  </si>
  <si>
    <t>400423-51P</t>
  </si>
  <si>
    <t>Michael Metallo</t>
  </si>
  <si>
    <t>Metallo</t>
  </si>
  <si>
    <t>Mr. Michael Metallo serves as Managing Director at Barclays.</t>
  </si>
  <si>
    <t>michael.metallo@barclays.com</t>
  </si>
  <si>
    <t>242661-07P</t>
  </si>
  <si>
    <t>Michael Powell</t>
  </si>
  <si>
    <t>Mr. Michael Powell serves as Managing Director &amp; Head of Oil &amp; Gas EMEA at Barclays.</t>
  </si>
  <si>
    <t>michael.j.powell@barclays.com</t>
  </si>
  <si>
    <t>Managing Director &amp; Head of Oil &amp; Gas EMEA</t>
  </si>
  <si>
    <t>176938-39P</t>
  </si>
  <si>
    <t>Michael Watson</t>
  </si>
  <si>
    <t>Watson</t>
  </si>
  <si>
    <t>Mr. Michael Watson serves as Director - Finance Business Manager tor &amp; Director - Valuation Control at Barclays.</t>
  </si>
  <si>
    <t>mwatson@home.barclays</t>
  </si>
  <si>
    <t>Director, Business Development</t>
  </si>
  <si>
    <t>380316-52P</t>
  </si>
  <si>
    <t>Mike Cormier</t>
  </si>
  <si>
    <t>Cormier</t>
  </si>
  <si>
    <t>Mr. Mike Cormier serves as Global Head of the Energy Transition Group at Barclays.</t>
  </si>
  <si>
    <t>mike.cormier@home.barclays</t>
  </si>
  <si>
    <t>Global Head of the Energy Transition Group</t>
  </si>
  <si>
    <t>199727-74P</t>
  </si>
  <si>
    <t>Mike Giddings</t>
  </si>
  <si>
    <t>Giddings</t>
  </si>
  <si>
    <t>Mr. Mike Giddings serves as Director at Barclays.</t>
  </si>
  <si>
    <t>+44 (0)77 6636 4731</t>
  </si>
  <si>
    <t>mike.giddings@barclays.com</t>
  </si>
  <si>
    <t>233283-16P</t>
  </si>
  <si>
    <t>Mike Saul</t>
  </si>
  <si>
    <t>Saul</t>
  </si>
  <si>
    <t>Mr. Mike Saul serves as Head of Hospitality &amp; Leisure at Barclays.</t>
  </si>
  <si>
    <t>msaul@barclayscorporate.com</t>
  </si>
  <si>
    <t>Head of Hospitality &amp; Leisure</t>
  </si>
  <si>
    <t>384341-05P</t>
  </si>
  <si>
    <t>Na Wei</t>
  </si>
  <si>
    <t>Na</t>
  </si>
  <si>
    <t>Wei</t>
  </si>
  <si>
    <t>Ms. Na Wei serves as Global Head of Leveraged Finance at Barclays.</t>
  </si>
  <si>
    <t>na.wei@barclays.com</t>
  </si>
  <si>
    <t>Global Head of Leveraged Finance</t>
  </si>
  <si>
    <t>379666-00P</t>
  </si>
  <si>
    <t>Naohiko Baba</t>
  </si>
  <si>
    <t>Naohiko</t>
  </si>
  <si>
    <t>Baba</t>
  </si>
  <si>
    <t>Mr. Naohiko Baba serves as Chief Japan Economist, Managing Director, and Head of Japan Research at Barclays.</t>
  </si>
  <si>
    <t>naohiko.baba@barclays.com</t>
  </si>
  <si>
    <t>Chief Japan Economist, Managing Director and Head of Japan Research</t>
  </si>
  <si>
    <t>141519-16P</t>
  </si>
  <si>
    <t>Neil Barnes</t>
  </si>
  <si>
    <t>Barnes</t>
  </si>
  <si>
    <t>Mr. Neil Barnes serves as Relationship Director at Barclays Corporate Banking. Previously, he serves as a Relationship Director at Barclays Corporate.</t>
  </si>
  <si>
    <t>neil.barnes@barclays.com</t>
  </si>
  <si>
    <t>73509-76P</t>
  </si>
  <si>
    <t>Neil Fleming</t>
  </si>
  <si>
    <t>Fleming</t>
  </si>
  <si>
    <t>Mr. Neil Fleming serves as Director of Infrastructure and Project Finance at Barclays Bank. He holds an MS in Business and Management from the University of Strathclyde Graduate School of Business and a BS in Geography from the University of Edinburgh, Scotland.</t>
  </si>
  <si>
    <t>neil.fleming@barclays.com</t>
  </si>
  <si>
    <t>Director, Infrastructure and Project Finance</t>
  </si>
  <si>
    <t>354174-40P</t>
  </si>
  <si>
    <t>Niall McArdle</t>
  </si>
  <si>
    <t>Niall</t>
  </si>
  <si>
    <t>McArdle</t>
  </si>
  <si>
    <t>Mr. Niall McArdle serves as Assistant Vice President, Leveraged Finance at Barclays.</t>
  </si>
  <si>
    <t>niall.mcardle@barclays.com</t>
  </si>
  <si>
    <t>Assistant Vice President, Leveraged Finance</t>
  </si>
  <si>
    <t>187421-32P</t>
  </si>
  <si>
    <t>Nicola Tennent</t>
  </si>
  <si>
    <t>Nicola</t>
  </si>
  <si>
    <t>Tennent</t>
  </si>
  <si>
    <t>Ms. Nicola Tennent serves as Managing Director, Corporate Banking at Barclays.</t>
  </si>
  <si>
    <t>nicola.tennent@barclays.com</t>
  </si>
  <si>
    <t>Managing Director, Corporate Banking</t>
  </si>
  <si>
    <t>106183-63P</t>
  </si>
  <si>
    <t>Omar Faruqui</t>
  </si>
  <si>
    <t>Faruqui</t>
  </si>
  <si>
    <t>Mr. Omar Faruqui serves as Co-Head of Mergers &amp; Acquisitions, EMEA at Barclays. He has more than 20 years of experience in investment banking across UK corporate finance and financial sponsors. Previously Omar was at HSBC where he was Global Head, Mergers &amp; Acquisitions Origination and before that Co-Head of Financial Sponsors in Europe. Prior to that Omar spent seven years in UK M&amp;A at Deutsche Bank and seven years at Rothschild. Omar has advised on number acquisitions and disposals for blue-chip and other major UK companies such as Element, LGC, Northumbrian Water, Reckitt Benckiser, Arriva, Just Retirement, BAE Systems, Anglian Water, Associated British Ports and BAA.</t>
  </si>
  <si>
    <t>omar.faruqui@barclays.com</t>
  </si>
  <si>
    <t>Co-Head of Mergers &amp; Acquisitions, EMEA</t>
  </si>
  <si>
    <t>377474-59P</t>
  </si>
  <si>
    <t>Paolo Arena</t>
  </si>
  <si>
    <t>Paolo</t>
  </si>
  <si>
    <t>Mr. Paolo Arena serves as Managing Director,Infrastructure Investment Banking at Barclays.</t>
  </si>
  <si>
    <t>paolo.arena@barclays.com</t>
  </si>
  <si>
    <t>Managing Director,Infrastructure Investment Banking</t>
  </si>
  <si>
    <t>330632-65P</t>
  </si>
  <si>
    <t>Pascal Martin</t>
  </si>
  <si>
    <t>Mr. Pascal Martin serves as Head Insurance and Funds France and Italy and Head Business Development Funds Europe at Barclays.</t>
  </si>
  <si>
    <t>pascal.martin@barclays.com</t>
  </si>
  <si>
    <t>Head Insurance and Funds France and Italy and Head Business Development Funds Europe</t>
  </si>
  <si>
    <t>344688-13P</t>
  </si>
  <si>
    <t>Paul Ernoult</t>
  </si>
  <si>
    <t>Ernoult</t>
  </si>
  <si>
    <t>Mr. Paul Ernoult serves as Vice President, Investment Banking EMEA at Barclays.</t>
  </si>
  <si>
    <t>paul.ernoult@barclays.com</t>
  </si>
  <si>
    <t>Vice President, Investment Banking EMEA</t>
  </si>
  <si>
    <t>187243-93P</t>
  </si>
  <si>
    <t>Paul Harries</t>
  </si>
  <si>
    <t>Harries</t>
  </si>
  <si>
    <t>Mr. Paul Harries serves as National Business Development Director - Manufacturing, Transport &amp; Logistics at Barclays. He served as Relationship Director - Manufacturing, Transport and Logistics at Barclays.</t>
  </si>
  <si>
    <t>paul.harries@barclays.com</t>
  </si>
  <si>
    <t>National Business Development Director - Manufacturing, Transport &amp; Logistics</t>
  </si>
  <si>
    <t>430296-40P</t>
  </si>
  <si>
    <t>Paul Johnson</t>
  </si>
  <si>
    <t>Mr. Paul Johnson serves as Head of Equities, Asia Pacific at Barclays.</t>
  </si>
  <si>
    <t>pjohnson@home.barclays</t>
  </si>
  <si>
    <t>Head of Equities, Asia Pacific</t>
  </si>
  <si>
    <t>114795-01P</t>
  </si>
  <si>
    <t>Pavneet Chadha</t>
  </si>
  <si>
    <t>Pavneet</t>
  </si>
  <si>
    <t>Chadha</t>
  </si>
  <si>
    <t>Mr. Pavneet Chadha serves as a Director at Barclays. He served as Investment Banking Associate at Barclays. Previously, he served as an Intern at Rajah &amp; Tann.</t>
  </si>
  <si>
    <t>pavneet.chadha@barclays.com</t>
  </si>
  <si>
    <t>141060-52P</t>
  </si>
  <si>
    <t>Pete Allman</t>
  </si>
  <si>
    <t>Allman</t>
  </si>
  <si>
    <t>Mr. Pete Allman serves as Vice President Barclays Strategy and Corporate Development &amp; Corporate Finance Manager at Barclays.</t>
  </si>
  <si>
    <t>pallman@home.barclays</t>
  </si>
  <si>
    <t>Vice President Barclays Strategy and Corporate Development &amp; Corporate Finance Manager</t>
  </si>
  <si>
    <t>392539-78P</t>
  </si>
  <si>
    <t>Philip Richardson</t>
  </si>
  <si>
    <t>Richardson</t>
  </si>
  <si>
    <t>Mr. Philip Richardson serves as Industry Director- Hospitality &amp; Leisure Team at Barclays.</t>
  </si>
  <si>
    <t>philip.richardson@barclays.com</t>
  </si>
  <si>
    <t>Industry Director- Hospitality &amp; Leisure Team</t>
  </si>
  <si>
    <t>368780-14P</t>
  </si>
  <si>
    <t>Phuong Pham</t>
  </si>
  <si>
    <t>Phuong</t>
  </si>
  <si>
    <t>Pham</t>
  </si>
  <si>
    <t>Mr. Phuong Pham serves as Assistant Vice President at Barclays.</t>
  </si>
  <si>
    <t>phuong.pham@barclays.com</t>
  </si>
  <si>
    <t>55279-72P</t>
  </si>
  <si>
    <t>Piers Deppe</t>
  </si>
  <si>
    <t>Piers</t>
  </si>
  <si>
    <t>Deppe</t>
  </si>
  <si>
    <t>Mr. Piers Deppe serves as Relationship Director at Barclays.</t>
  </si>
  <si>
    <t>piers.deppe@barclays.com</t>
  </si>
  <si>
    <t>Relationship Director, Barclays</t>
  </si>
  <si>
    <t>415476-55P</t>
  </si>
  <si>
    <t>Pranava Boyidapu</t>
  </si>
  <si>
    <t>Pranava</t>
  </si>
  <si>
    <t>Boyidapu</t>
  </si>
  <si>
    <t>Ms. Pranava Boyidapu serves as Director, Credit Research at Barclays. Ms. Boyidapu covers European securitized products and property-related credit such as real estate corporates and UK Housing Associations. Prior to joining Barclays in 2018, Pranava spent seven years at Natwest Markets in research and strategy roles covering the European securitisation market across all asset classes, with a focus on regulatory developments. Pranava holds an MBA from the Indian Institute of Management Calcutta and a bachelor's in Mechanical Engineering from the Indian Institute of Technology Madras.</t>
  </si>
  <si>
    <t>pranava.boyidapu@barclays.com</t>
  </si>
  <si>
    <t>Director, Credit Research</t>
  </si>
  <si>
    <t>354168-64P</t>
  </si>
  <si>
    <t>Rachael Dorn</t>
  </si>
  <si>
    <t>Rachael</t>
  </si>
  <si>
    <t>Dorn</t>
  </si>
  <si>
    <t>Ms. Rachael Dorn serves as Capital Introductions Analyst at Barclays.</t>
  </si>
  <si>
    <t>rachael.dorn@barclays.com</t>
  </si>
  <si>
    <t>Capital Introductions Analyst</t>
  </si>
  <si>
    <t>261390-25P</t>
  </si>
  <si>
    <t>Rahim Daya</t>
  </si>
  <si>
    <t>Rahim</t>
  </si>
  <si>
    <t>Daya</t>
  </si>
  <si>
    <t>Chief Executive Officer &amp; Head</t>
  </si>
  <si>
    <t>Mr. Rahim Daya serves as Chief Executive Officer - Barclays Private Bank, Switzerland &amp; Head of Middle East at Barclays.</t>
  </si>
  <si>
    <t>rahim.daya@barclays.com</t>
  </si>
  <si>
    <t>Chief Executive Officer - Barclays Private Bank, Switzerland &amp; Head of Middle East</t>
  </si>
  <si>
    <t>317088-37P</t>
  </si>
  <si>
    <t>Ravi Ramakrishna</t>
  </si>
  <si>
    <t>Ramakrishna</t>
  </si>
  <si>
    <t>Mr. Ravi Ramakrishna serves as Director at Barclays.</t>
  </si>
  <si>
    <t>+44 (0)99 0209 8008</t>
  </si>
  <si>
    <t>ravi.ramakrishna@barclays.com</t>
  </si>
  <si>
    <t>114743-08P</t>
  </si>
  <si>
    <t>Reza Zargham</t>
  </si>
  <si>
    <t>Reza</t>
  </si>
  <si>
    <t>Zargham</t>
  </si>
  <si>
    <t>Mr. Reza Zargham serves as Managing Director and Head of Strategic Capital &amp; Alternative Finance at Barclays. Previously, he served as a Vice President, High Yield Sales at Bank of America Merrill Lynch.</t>
  </si>
  <si>
    <t>reza.zargham@barclayscapital.com</t>
  </si>
  <si>
    <t>Managing Director &amp; Head of Strategic Capital &amp; Alternative Finance</t>
  </si>
  <si>
    <t>357291-19P</t>
  </si>
  <si>
    <t>Ricardo Fernandez</t>
  </si>
  <si>
    <t>Ricardo</t>
  </si>
  <si>
    <t>Mr. Ricardo Fernandez serves as Head of Investment Banking for Mexico at Barclays.</t>
  </si>
  <si>
    <t>ricardo.fernandez@barclays.com</t>
  </si>
  <si>
    <t>Head, Investment Banking for Mexico</t>
  </si>
  <si>
    <t>368803-63P</t>
  </si>
  <si>
    <t>Riccardo Preda</t>
  </si>
  <si>
    <t>Riccardo</t>
  </si>
  <si>
    <t>Preda</t>
  </si>
  <si>
    <t>Mr. Riccardo Preda serves as Executive, Barclays Principal Investments at Barclays.</t>
  </si>
  <si>
    <t>riccardo.preda@barclays.com</t>
  </si>
  <si>
    <t>Executive, Barclays Principal Investments</t>
  </si>
  <si>
    <t>450352-99P</t>
  </si>
  <si>
    <t>Rich Robinson</t>
  </si>
  <si>
    <t>Rich</t>
  </si>
  <si>
    <t>Mr. Rich Robinson serves as Head, Hospitality and Leisure at Barclays.</t>
  </si>
  <si>
    <t>Head, Hospitality and Leisure</t>
  </si>
  <si>
    <t>453918-61P</t>
  </si>
  <si>
    <t>Richard Satchwell</t>
  </si>
  <si>
    <t>Satchwell</t>
  </si>
  <si>
    <t>Mr. Richard Satchwell serves as Head of Capital Markets Financing, Asia Pacific at Barclays.</t>
  </si>
  <si>
    <t>richard.satchwell@barclays.com</t>
  </si>
  <si>
    <t>Head of Capital Markets Financing, Asia Pacific</t>
  </si>
  <si>
    <t>413177-14P</t>
  </si>
  <si>
    <t>Rob Patterson</t>
  </si>
  <si>
    <t>Mr. Rob Patterson serves as Head of Data &amp; Information Platforms Coverage at Barclays.</t>
  </si>
  <si>
    <t>rob.patterson@barclays.com</t>
  </si>
  <si>
    <t>Head of Data &amp; Information Platforms Coverage</t>
  </si>
  <si>
    <t>229820-59P</t>
  </si>
  <si>
    <t>Robert Weston</t>
  </si>
  <si>
    <t>Weston</t>
  </si>
  <si>
    <t>Mr. Robert Weston serves as Business Development Manager at Barclays.</t>
  </si>
  <si>
    <t>robert.weston@barclays.com</t>
  </si>
  <si>
    <t>Business Development Manager</t>
  </si>
  <si>
    <t>384316-75P</t>
  </si>
  <si>
    <t>Ross Mackay</t>
  </si>
  <si>
    <t>Ross</t>
  </si>
  <si>
    <t>Mackay</t>
  </si>
  <si>
    <t>Mr. Ross Mackay serves as Director, Corporate Real Estate at Barclays.</t>
  </si>
  <si>
    <t>ross.mackay@barclays.com</t>
  </si>
  <si>
    <t>Director, Corporate Real Estate</t>
  </si>
  <si>
    <t>88071-94P</t>
  </si>
  <si>
    <t>Ryan Hayward</t>
  </si>
  <si>
    <t>Hayward</t>
  </si>
  <si>
    <t>Mr. Ryan Hayward serves as Global Head of Digital Assets &amp; Head of Strategic Investments, Europe and Asia at Barclays. He serves as Board Observer at Kriya. He also serves as Director, Corporate Development and Principal Investments at Barclays. He currently serves as an Angel Investor at CoInvestor. He is also an Angel Investor. He also serves as Board Observer at Spark. He serves as a Board Member at Fnality International.</t>
  </si>
  <si>
    <t>ryan.hayward@barclays.com</t>
  </si>
  <si>
    <t>Head, Strategy</t>
  </si>
  <si>
    <t>96305-32P</t>
  </si>
  <si>
    <t>Ryan Voegeli</t>
  </si>
  <si>
    <t>Voegeli</t>
  </si>
  <si>
    <t>Mr. Ryan Voegeli serves as Head of Investment Banking, Canada at Barclays. He served as Managing Director at CIBC Capital Markets. Previously, he served as a Director at Merrill Lynch.</t>
  </si>
  <si>
    <t>rvoegeli@home.barclays</t>
  </si>
  <si>
    <t>Head of Investment Banking, Canada</t>
  </si>
  <si>
    <t>368704-36P</t>
  </si>
  <si>
    <t>Sally Barrett</t>
  </si>
  <si>
    <t>Analyst &amp; Assistant Vice President</t>
  </si>
  <si>
    <t>Ms. Sally Barrett serves as Assistant Vice President, Principal Investments &amp; Analyst at Barclays.</t>
  </si>
  <si>
    <t>sally.barrett@barclays.com</t>
  </si>
  <si>
    <t>Assistant Vice President, Principal Investments &amp; Analyst</t>
  </si>
  <si>
    <t>352151-92P</t>
  </si>
  <si>
    <t>Samantha Cole</t>
  </si>
  <si>
    <t>Cole</t>
  </si>
  <si>
    <t>Ms. Samantha Cole serves as Director at Barclays.</t>
  </si>
  <si>
    <t>sam.cole@barclays.com</t>
  </si>
  <si>
    <t>88149-88P</t>
  </si>
  <si>
    <t>Santiago Godard</t>
  </si>
  <si>
    <t>Godard</t>
  </si>
  <si>
    <t>Mr. Santiago Godard serves as Managing Director at Barclays.</t>
  </si>
  <si>
    <t>santiago.godard@barclays.com</t>
  </si>
  <si>
    <t>166961-62P</t>
  </si>
  <si>
    <t>Sasha Wiggins</t>
  </si>
  <si>
    <t>Sasha</t>
  </si>
  <si>
    <t>Wiggins</t>
  </si>
  <si>
    <t>Ms. Sasha Wiggins serves as Chief Executive Officer of Private Bank &amp; Wealth Management at Barclays. She served as Managing Director of Corporate Banking in the East and South East region at Barclays. She serves as a Head of East &amp; South East in UK Corporate Banking at Barclays Bank. She served as the CEO at Barclays Bank. She has held a number of senior leadership positions in Barclays, most recently as chief executive of Barclays Bank Ireland. Previously, she worked as national head of charities and professionals for Barclays Wealth and Investment Management in the UK. Wiggins joined Barclays in 2002 as a private banker, having trained as a stockbroker.</t>
  </si>
  <si>
    <t>sasha.wiggins@barclays.com</t>
  </si>
  <si>
    <t>Chief Executive Officer of Private Bank &amp; Wealth Management</t>
  </si>
  <si>
    <t>356768-65P</t>
  </si>
  <si>
    <t>Scott Schulte</t>
  </si>
  <si>
    <t>Schulte</t>
  </si>
  <si>
    <t>Mr. Scott Schulte serves as Global Co-Head of Investment Grade Syndicate at Barclays.</t>
  </si>
  <si>
    <t>scott.schulte@barclays.com</t>
  </si>
  <si>
    <t>Global Co-Head of Investment Grade Syndicate</t>
  </si>
  <si>
    <t>334960-39P</t>
  </si>
  <si>
    <t>Sean White</t>
  </si>
  <si>
    <t>Mr. Sean White serves as Managing Director at Barclays.</t>
  </si>
  <si>
    <t>sean.white@barclayscorporate.com</t>
  </si>
  <si>
    <t>358703-74P</t>
  </si>
  <si>
    <t>Sereen Ahmed</t>
  </si>
  <si>
    <t>Sereen</t>
  </si>
  <si>
    <t>Ms. Sereen Ahmed serves as Head of Trade and Working Capital in Americas at Barclays.</t>
  </si>
  <si>
    <t>sereen.ahmed@barclays.com</t>
  </si>
  <si>
    <t>Head of Trade and Working Capital in Americas</t>
  </si>
  <si>
    <t>368717-95P</t>
  </si>
  <si>
    <t>Shanice Mistry</t>
  </si>
  <si>
    <t>Shanice</t>
  </si>
  <si>
    <t>Ms. Shanice Mistry serves as Executive, Principal Investments at Barclays.</t>
  </si>
  <si>
    <t>shanice.mistry@barclays.com</t>
  </si>
  <si>
    <t>100320-31P</t>
  </si>
  <si>
    <t>Simon Groves</t>
  </si>
  <si>
    <t>Groves</t>
  </si>
  <si>
    <t>Mr. Simon Groves served as Commercial and Marketing Director at Tesco Mobile.</t>
  </si>
  <si>
    <t>sgroves@barclayscapital.com</t>
  </si>
  <si>
    <t>Global Managing Director of Brand, Creative and Media</t>
  </si>
  <si>
    <t>412179-49P</t>
  </si>
  <si>
    <t>Simon Thwaites</t>
  </si>
  <si>
    <t>Thwaites</t>
  </si>
  <si>
    <t>Mr. Simon Thwaites serves as Managing Director at Barclays.</t>
  </si>
  <si>
    <t>simon.thwaites@barclays.com</t>
  </si>
  <si>
    <t>418013-29P</t>
  </si>
  <si>
    <t>Simon Vittle</t>
  </si>
  <si>
    <t>Vittle</t>
  </si>
  <si>
    <t>Mr. Simon Vittle serves as Director of large corporates at Barclays.</t>
  </si>
  <si>
    <t>simon.vittle@barclays.com</t>
  </si>
  <si>
    <t>Director of large corporates</t>
  </si>
  <si>
    <t>268166-98P</t>
  </si>
  <si>
    <t>Sinead McCall</t>
  </si>
  <si>
    <t>Sinead</t>
  </si>
  <si>
    <t>Mr. Sinead McCall serves as Relationship Development Director at Barclays.</t>
  </si>
  <si>
    <t>sinead.mccall@barclays.com</t>
  </si>
  <si>
    <t>Relationship Development Director</t>
  </si>
  <si>
    <t>106459-30P</t>
  </si>
  <si>
    <t>Spyros Svoronos</t>
  </si>
  <si>
    <t>Spyros</t>
  </si>
  <si>
    <t>Svoronos</t>
  </si>
  <si>
    <t>Mr. Spyros Svoronos serves as Global Co-Head of Industrials in Investment Banking at Barclays. Mr. Spyros Svoronos served as Managing Director &amp; Global Head of Chemicals Investment Banking at Credit Suisse.</t>
  </si>
  <si>
    <t>spyros.svoronos@barclays.com</t>
  </si>
  <si>
    <t>Global Co-Head of Industrials in Investment Banking</t>
  </si>
  <si>
    <t>387055-27P</t>
  </si>
  <si>
    <t>Stefanie Frese</t>
  </si>
  <si>
    <t>Stefanie</t>
  </si>
  <si>
    <t>Frese</t>
  </si>
  <si>
    <t>Ms. Stefanie Frese serves as Managing Director at Barclays.</t>
  </si>
  <si>
    <t>stefanie.frese@barclays.com</t>
  </si>
  <si>
    <t>282774-79P</t>
  </si>
  <si>
    <t>Stephane Goursat</t>
  </si>
  <si>
    <t>Stephane</t>
  </si>
  <si>
    <t>Goursat</t>
  </si>
  <si>
    <t>Mr. Stephane Goursat serves as Head of Equity Derivatives Institutional Sales at Barclays. Goursat, previously head of investment solutions at Credit Suisse, will report jointly to Nicolas Reille, head of equity derivatives structuring for Asia.</t>
  </si>
  <si>
    <t>stephane.goursat@barclays.com</t>
  </si>
  <si>
    <t>Head of Equity Derivatives Institutional Sales</t>
  </si>
  <si>
    <t>170323-84P</t>
  </si>
  <si>
    <t>Stephen Dainton</t>
  </si>
  <si>
    <t>Dainton</t>
  </si>
  <si>
    <t>Executive &amp; President</t>
  </si>
  <si>
    <t>Mr. Stephen Dainton serves as President &amp; Member of the Group Executive Committee at Barclays. He is Head of Investment Bank Management, based in London. He chairs the Investment Bank Management Team. He is accountable for the governance and regulatory obligations of Barclays Bank PLC (BBPLC), exercising executive management responsibilities associated with the operation of the legal entity and the Investment Bank. He has over 30 years of experience in global markets across trading, sales, risk, capital markets, structuring, and research. He joined Barclays in September 2017 as Global Head of Equities and Co-Head of Global Markets. Before Barclays, he spent 14 years at Credit Suisse, where he served as Co-Head of Global Markets for the EMEA region. He joined Credit Suisse in 2003 in the Equity Division and went on to become Head of Equities for the region, before assuming his global markets role. Previously, he worked at Goldman Sachs as Head of US and International Equities, based in New York. He has also held roles in Equities at Donaldson, Lufkin &amp; Jenrette in both London and New York. He graduated from the University of Exeter.</t>
  </si>
  <si>
    <t>stephen.dainton@barclays.com</t>
  </si>
  <si>
    <t>President &amp; Member of the Group Executive Committee</t>
  </si>
  <si>
    <t>345866-77P</t>
  </si>
  <si>
    <t>Stephen Evans</t>
  </si>
  <si>
    <t>Mr. Stephen Evans serves as Private Banker at Barclays.</t>
  </si>
  <si>
    <t>sevans@home.barclays</t>
  </si>
  <si>
    <t>Private Banker</t>
  </si>
  <si>
    <t>399165-22P</t>
  </si>
  <si>
    <t>Stephen Pick</t>
  </si>
  <si>
    <t>Pick</t>
  </si>
  <si>
    <t>Mr. Stephen Pick serves as Head of M&amp;A EMEA at Barclays.</t>
  </si>
  <si>
    <t>stephen.p@barclayscorporate.com</t>
  </si>
  <si>
    <t>Head of M&amp;A EMEA</t>
  </si>
  <si>
    <t>225694-99P</t>
  </si>
  <si>
    <t>Stephen Shapiro</t>
  </si>
  <si>
    <t>Mr. Stephen Shapiro serves as Group General Counsel at Barclays, where he oversees the global Legal function and is a member of the Group Executive Committee (ExCo). Mr. Shapiro brings extensive experience as a lawyer and company secretary, with a deep understanding of legal, corporate governance, and regulatory matters. Prior to his role at Barclays, he served as Group Company Secretary and Deputy General Counsel at SABMiller plc. Before joining SABMiller, he practiced law in South Africa as a partner in a law firm and later specialized in corporate law and M&amp;A at Hogan Lovells in the UK. Mr. Shapiro was appointed Group Company Secretary of Barclays in November 2017 and later elevated to Group General Counsel in August 2020. He is an active contributor to the industry, having served as a member of the Executive Committee of the GC100, the Association of General Counsel and Company Secretaries working in FTSE100 companies, where he also served as Vice-Chair. Additionally, Mr. Shapiro has previously held the position of Chairman of the ICC UK's Committee on Anti-Corruption.</t>
  </si>
  <si>
    <t>stephen.shapiro@barclays.com</t>
  </si>
  <si>
    <t>Group General Counsel</t>
  </si>
  <si>
    <t>408636-55P</t>
  </si>
  <si>
    <t>Stephen Stewart</t>
  </si>
  <si>
    <t>Stewart</t>
  </si>
  <si>
    <t>Mr. Stephen Stewart serves as Head of M&amp;A Execution for Canada at Barclays.</t>
  </si>
  <si>
    <t>stephen.stewart@barclays.com</t>
  </si>
  <si>
    <t>Head of M&amp;A Execution for Canada</t>
  </si>
  <si>
    <t>278346-16P</t>
  </si>
  <si>
    <t>Steve Berry</t>
  </si>
  <si>
    <t>Berry</t>
  </si>
  <si>
    <t>Mr. Steve Berry serves as Relationship Director at Barclays.</t>
  </si>
  <si>
    <t>berry@barclays.com</t>
  </si>
  <si>
    <t>253707-49P</t>
  </si>
  <si>
    <t>Steve Butler</t>
  </si>
  <si>
    <t>Butler</t>
  </si>
  <si>
    <t>Mr. Steve Butler serves as Relationship Director at Barclays.</t>
  </si>
  <si>
    <t>steve.butler@barclays.com</t>
  </si>
  <si>
    <t>184435-75P</t>
  </si>
  <si>
    <t>Steven Burman</t>
  </si>
  <si>
    <t>Burman</t>
  </si>
  <si>
    <t>Chief Operating Officer &amp; Managing Director</t>
  </si>
  <si>
    <t>Mr. Steven Burman serves as Managing Director &amp; Chief Operating Officer and Chief Controls Officer, Group Compliance at Barclays.</t>
  </si>
  <si>
    <t>steven.burman@barclays.com</t>
  </si>
  <si>
    <t>Managing Director &amp; Chief Operating Officer and Chief Controls Officer, Group Compliance</t>
  </si>
  <si>
    <t>231906-97P</t>
  </si>
  <si>
    <t>Steven Poulter</t>
  </si>
  <si>
    <t>Poulter</t>
  </si>
  <si>
    <t>Mr. Steven Poulter serves as Head of Principal Structuring and Investments at Barclays. He serves as a Board Member at Sustainable Ventures. He served as an Executive at Barclays Climate Ventures. He serves as Chairman at SaveMoneyCutCarbon. He also serves as a Board Member at Protium. He also serves as Shareholder Director - Barclays at BGF. Since joining Barclays in 1999, he has held various positions in London, Hong Kong, and New York in the Investment Bank and head office, including being responsible for the corporate restructuring required to implement Structural Reform and the establishment of Barclays UK. He has a degree in Economics from Queens' College, Cambridge University, and is qualified as a chartered accountant and a chartered tax adviser at Arthur Andersen. He is Head of Principal Structuring &amp; Investments at Barclays, a member of Barclays Climate and Sustainable Finance Council, and Chair of Barclays Treasury Environmental Action Group. This broad remit allows him to help drive the green agenda through investing in equity capital of sustainability-focused companies, helping Barclays' clients transition to net zero. He has a degree in Economics from Queen's College, Cambridge University, and is qualified as a Chartered Accountant and a Chartered Tax Adviser at Arthur Andersen.</t>
  </si>
  <si>
    <t>steven.poulter@barclays.com</t>
  </si>
  <si>
    <t>Head of Principal Structuring and Investments</t>
  </si>
  <si>
    <t>235438-57P</t>
  </si>
  <si>
    <t>Stuart McAleese</t>
  </si>
  <si>
    <t>McAleese</t>
  </si>
  <si>
    <t>Mr. Stuart McAleese serves as Relationship Director at Barclays.</t>
  </si>
  <si>
    <t>stuart.mcaleese@barclays.com</t>
  </si>
  <si>
    <t>244112-77P</t>
  </si>
  <si>
    <t>Stuart Rowland</t>
  </si>
  <si>
    <t>Rowland</t>
  </si>
  <si>
    <t>Mr. Stuart Rowland serves as Relationship Director at Barclays.</t>
  </si>
  <si>
    <t>stuart.rowland@barclays.com</t>
  </si>
  <si>
    <t>81742-24P</t>
  </si>
  <si>
    <t>Syed Ali JD</t>
  </si>
  <si>
    <t>Mr. Syed Ali serves as Managing Director &amp; Global Head of Markets Legal at Barclays. He served as Managing Director &amp; Associate General Counsel at J.P. Morgan. Previously, he served as a Attorney at Allen &amp; Overy.</t>
  </si>
  <si>
    <t>ali.syed@barclays.com</t>
  </si>
  <si>
    <t>Managing Director &amp; Global Head of Markets Legal</t>
  </si>
  <si>
    <t>244595-62P</t>
  </si>
  <si>
    <t>Taalib Shaah</t>
  </si>
  <si>
    <t>Taalib</t>
  </si>
  <si>
    <t>Shaah</t>
  </si>
  <si>
    <t>Chief Risk Officer &amp; Executive</t>
  </si>
  <si>
    <t>Mr. Taalib Shaah serves as the Group Chief Risk Officer at Barclays. He is responsible for helping to define, set, and manage the risk profile of the bank and leads the risk management organization across the group. He is a member of the Group Executive Committee. He joined Barclays in late 2014 as Chief Risk Officer for the Investment Bank and in 2017 assumed the role of Chief Risk Officer for Barclays International (BBPLC), responsible for the Corporate and Investment Bank, the Private Bank, and the Cards &amp; Payments business. He assumed his current role in October 2020. Before Barclays, he spent four years at Citigroup where he was most recently Chief Risk Officer for Market Risk, Real Estate Credit, Treasury, Private Equity, and Head of Model Validation. Previously, he spent 17 years at Credit Suisse, working in various areas, including risk and the front office. He began his career at Ernst and Young. He holds an MA in Engineering Science and Economics from Oxford University and is a Chartered Accountant.</t>
  </si>
  <si>
    <t>taalib.shaah@barclays.com</t>
  </si>
  <si>
    <t>Group Chief Risk Officer</t>
  </si>
  <si>
    <t>370151-20P</t>
  </si>
  <si>
    <t>Taylor Wright</t>
  </si>
  <si>
    <t>Wright</t>
  </si>
  <si>
    <t>Mr. Taylor Wright serves as Global Co-Head of Investment Banking at Barclays. Mr. Wright has over 30 years of banking and ECM experience and joins Barclays from Morgan Stanley where he was most recently Head of Financial Institutions and Services ECM. During his more than 24 years at Morgan Stanley, Mr. Wright originated and led more than $250 billion of equity and equity-linked offerings across multiple industries and geographies.</t>
  </si>
  <si>
    <t>taylor.wright@barclays.com</t>
  </si>
  <si>
    <t>115059-34P</t>
  </si>
  <si>
    <t>Thomas Flichy</t>
  </si>
  <si>
    <t>Flichy</t>
  </si>
  <si>
    <t>Mr. Thomas Flichy serves as Managing Director &amp; Head of the Global Finance Solutions at Barclays. Previously, he served as a Vice President at Barclays Capital.</t>
  </si>
  <si>
    <t>thomas.flichy@barclays.com</t>
  </si>
  <si>
    <t>Managing Director &amp; Head, Global Finance Solutions</t>
  </si>
  <si>
    <t>300996-64P</t>
  </si>
  <si>
    <t>Thomas Luglio</t>
  </si>
  <si>
    <t>Luglio</t>
  </si>
  <si>
    <t>Mr. Thomas Luglio serves as Managing Director at Barclays.</t>
  </si>
  <si>
    <t>thomas.luglio@barclays.com</t>
  </si>
  <si>
    <t>298267-75P</t>
  </si>
  <si>
    <t>Tim Devine</t>
  </si>
  <si>
    <t>Devine</t>
  </si>
  <si>
    <t>Mr. Tim Devine serves as Managing Director and Co-Head of Financial Institutions Group (FIG) at Barclays.</t>
  </si>
  <si>
    <t>tim.devine@barclays.com</t>
  </si>
  <si>
    <t>Managing Director and Co-Head of Financial Institutions Group (FIG)</t>
  </si>
  <si>
    <t>412287-22P</t>
  </si>
  <si>
    <t>Tim Hartzell</t>
  </si>
  <si>
    <t>Hartzell</t>
  </si>
  <si>
    <t>Mr. Tim Hartzell serves as Global Head of Portfolio Management at Barclays.</t>
  </si>
  <si>
    <t>tim.hartzell@barclays.com</t>
  </si>
  <si>
    <t>Global Head of Portfolio Management</t>
  </si>
  <si>
    <t>38863-63P</t>
  </si>
  <si>
    <t>Tim Main</t>
  </si>
  <si>
    <t>Main</t>
  </si>
  <si>
    <t>Mr. Tim Main serves as Head of EMEA Investment Banking at Barclays. Previously, he served as a Senior Managing Director at Evercore Group. Before joining Evercore in 2011, he spent 23 years at JPMorgan Chase and was most recently Head of North America FIG and Co-Head of Global FIG. In this capacity over the last decade, he worked on several significant transactions including advisor to Wells Fargo on the acquisition of Wachovia; advisor to PNC on the acquisition of National City; advisor to Santander on its acquisition of Sovereign; advisor to Ameriquest on its sale to Citigroup. He also served as an ongoing advisor to Capital One and CIT. He also spent three years as Assistant to then Chairman and CEO Dennis Weatherstone, including leading the team that worked on the sale of Banesto, which had been seized by the Bank of Spain, to Santander. He graduated from Princeton University, majoring in Economics and Mathematics.</t>
  </si>
  <si>
    <t>tim.main@barclays.com</t>
  </si>
  <si>
    <t>Head of EMEA Investment Banking</t>
  </si>
  <si>
    <t>96220-09P</t>
  </si>
  <si>
    <t>Tim Virgo</t>
  </si>
  <si>
    <t>Virgo</t>
  </si>
  <si>
    <t>Mr. Tim Virgo serves as Head of Mid Corporate Banking - North Wales and The Shires at Barclays. He served as Relationship Director and Lead on HG&amp;E - Barclays Corporate at Barclays.</t>
  </si>
  <si>
    <t>tim.virgo@barclays.com</t>
  </si>
  <si>
    <t>Head of Mid Corporate Banking - North Wales and The Shires</t>
  </si>
  <si>
    <t>300375-73P</t>
  </si>
  <si>
    <t>Tom Erlich</t>
  </si>
  <si>
    <t>Erlich</t>
  </si>
  <si>
    <t>Mr. Tom Erlich serves as Managing Director &amp; Head of EMEA Media and Internet Banking at Barclays.</t>
  </si>
  <si>
    <t>tom.erlich@barclays.com</t>
  </si>
  <si>
    <t>Managing Director &amp; Head, EMEA Media and Internet Banking</t>
  </si>
  <si>
    <t>447609-16P</t>
  </si>
  <si>
    <t>Tom Johnson</t>
  </si>
  <si>
    <t>Mr. Tom Johnson serves as Global Co-Head of Capital Markets at Barclays.</t>
  </si>
  <si>
    <t>tom@home.barclays</t>
  </si>
  <si>
    <t>270446-77P</t>
  </si>
  <si>
    <t>Travis Barnes</t>
  </si>
  <si>
    <t>Mr. Travis Barnes serves as Global Co-Head of Capital Markets at Barclays. He serves as Director at P10.</t>
  </si>
  <si>
    <t>travis.barnes@barclays.com</t>
  </si>
  <si>
    <t>211579-03P</t>
  </si>
  <si>
    <t>Tristram Roberts</t>
  </si>
  <si>
    <t>Tristram</t>
  </si>
  <si>
    <t>Roberts</t>
  </si>
  <si>
    <t>Mr. Tristram Roberts serves as Group Human Resources Director at Barclays. Tristram joined Barclays in July 2013 as HR Director for the Investment Bank. His remit was expanded in May 2014 to include HR responsibilities for Barclays Non-Core, and he became the Group HR Director in December 2015. In April 2018 Tristrams remit was expanded further to incorporate Global Corporate Relations.</t>
  </si>
  <si>
    <t>tristram.roberts@barclays.com</t>
  </si>
  <si>
    <t>Group Human Resources Director</t>
  </si>
  <si>
    <t>360671-23P</t>
  </si>
  <si>
    <t>Vijay Santhanam</t>
  </si>
  <si>
    <t>Vijay</t>
  </si>
  <si>
    <t>Santhanam</t>
  </si>
  <si>
    <t>Mr. Vijay Santhanam serves as Managing Director &amp; Head of Corporate Banking at Barclays.</t>
  </si>
  <si>
    <t>vijay.santhanam@barclays.com</t>
  </si>
  <si>
    <t>Managing Director &amp; Head of Corporate Banking</t>
  </si>
  <si>
    <t>434387-26P</t>
  </si>
  <si>
    <t>Vijay Shankar</t>
  </si>
  <si>
    <t>Shankar</t>
  </si>
  <si>
    <t>Mr. Vijay Shankar serves as Managing Director &amp; Head of Global Transaction Banking, APAC &amp; ME at Barclays.</t>
  </si>
  <si>
    <t>vshankar@barclays.com</t>
  </si>
  <si>
    <t>Managing Director &amp; Head of Global Transaction Banking, APAC &amp; ME</t>
  </si>
  <si>
    <t>386300-80P</t>
  </si>
  <si>
    <t>Vim Maru</t>
  </si>
  <si>
    <t>Vim</t>
  </si>
  <si>
    <t>Maru</t>
  </si>
  <si>
    <t>Mr. Vim Maru serves as Chief Executive Officer at Barclays UK. Before joining Barclays, he spent 11 years at Lloyds Banking Group, latterly as the Group Director for Retail and 12 years at Santander UK in a range of roles.</t>
  </si>
  <si>
    <t>vim.maru@barclays.com</t>
  </si>
  <si>
    <t>88258-33P</t>
  </si>
  <si>
    <t>Virgilio Silveira</t>
  </si>
  <si>
    <t>Silveira</t>
  </si>
  <si>
    <t>Chief Development Officer &amp; Executive</t>
  </si>
  <si>
    <t>Mr. Virgilio Silveira serves as Senior Strategy &amp; Corporate Development Officer at Barclays. Previously he served as a MD Head Corp Dev and Strategy Insurance at Tranquilidade / ESFG.</t>
  </si>
  <si>
    <t>vsilveira@home.barclays</t>
  </si>
  <si>
    <t>Senior Strategy &amp; Corporate Development Officer</t>
  </si>
  <si>
    <t>334146-52P</t>
  </si>
  <si>
    <t>Vladimir Ganchev</t>
  </si>
  <si>
    <t>Vladimir</t>
  </si>
  <si>
    <t>Ganchev</t>
  </si>
  <si>
    <t>Mr. Vladimir Ganchev serves as Managing Director in Technology M&amp;A at Barclays.</t>
  </si>
  <si>
    <t>vladimir.ganchev@barclays.com</t>
  </si>
  <si>
    <t>Managing Director in Technology M&amp;A</t>
  </si>
  <si>
    <t>88090-66P</t>
  </si>
  <si>
    <t>Win Chung</t>
  </si>
  <si>
    <t>Win</t>
  </si>
  <si>
    <t>Chung</t>
  </si>
  <si>
    <t>Ms. Win Chung serves as Global Head Mergers and Acquisitions and Strategic Transactions Legal at Barclays. Previously, she served as a Corporate Legal Advisor at British Sky Broadcasting Group.</t>
  </si>
  <si>
    <t>win.chung@barclays.com</t>
  </si>
  <si>
    <t>Global Head Mergers and Acquisitions and Strategic Transactions Legal</t>
  </si>
  <si>
    <t>56640-25P</t>
  </si>
  <si>
    <t>Yana Tereshkova</t>
  </si>
  <si>
    <t>Yana</t>
  </si>
  <si>
    <t>Tereshkova</t>
  </si>
  <si>
    <t>Ms. Yana Tereshkova serves as Vice President, Principal Investments at Barclays. She joined the team from EBRD where she worked since January 2012 specializing in FI analysis and due diligence. Prior to that, Yana was an Equity Research Analyst at a boutique investment bank in London, focusing on the CEE/CIS region. Yana holds a BA in International Economics from the Donetsk National University of Economics and Trade and a BA from the University of Greenwich. She also holds MA in International Business, MSc in Real Estate and MSc in Management with specialism in Marketing.</t>
  </si>
  <si>
    <t>yana.tereshkova@barclays.com</t>
  </si>
  <si>
    <t>Vice President, Principal Investments</t>
  </si>
  <si>
    <t>434413-45P</t>
  </si>
  <si>
    <t>Yoichi Takemura</t>
  </si>
  <si>
    <t>Yoichi</t>
  </si>
  <si>
    <t>Takemura</t>
  </si>
  <si>
    <t>Mr. Yoichi Takemura serves as Head of Japan Macro Trading at Barclays.</t>
  </si>
  <si>
    <t>ytakemura@home.barclays</t>
  </si>
  <si>
    <t>Head of Japan Macro Trading</t>
  </si>
  <si>
    <t>88136-74P</t>
  </si>
  <si>
    <t>Young Ran</t>
  </si>
  <si>
    <t>Ran</t>
  </si>
  <si>
    <t>Mr. Young Ran serves as Managing Director at Barclays. Previously, he served as a Summer Analyst at Lehman Brothers.</t>
  </si>
  <si>
    <t>young.ran@barclays.com</t>
  </si>
  <si>
    <t>346543-30P</t>
  </si>
  <si>
    <t>Yun Zhang</t>
  </si>
  <si>
    <t>Yun</t>
  </si>
  <si>
    <t>Mr. Yun Zhang serves as the Head of Macro Trading at Barclays.</t>
  </si>
  <si>
    <t>yun.zhang@barclays.com</t>
  </si>
  <si>
    <t>Head of Macro Trading</t>
  </si>
  <si>
    <t>352087-93P</t>
  </si>
  <si>
    <t>Yuri Shakhmin</t>
  </si>
  <si>
    <t>Yuri</t>
  </si>
  <si>
    <t>Shakhmin</t>
  </si>
  <si>
    <t>Mr. Yuri Shakhmin serves as Managing Director in the Global Industrials Group at Barclays. He has a strong track record advising industrial clients, with extensive transaction experience and relationships across corporates and financial sponsors.</t>
  </si>
  <si>
    <t>yuri.shakhmin@barclays.com</t>
  </si>
  <si>
    <t>Managing Director, Global Industrials Group</t>
  </si>
  <si>
    <t>352461-52P</t>
  </si>
  <si>
    <t>Adam Sykes</t>
  </si>
  <si>
    <t>Sykes</t>
  </si>
  <si>
    <t>Bayerische Motoren Werke</t>
  </si>
  <si>
    <t>Mr. Adam Sykes serves as Vice President of Investor Relations at BMW Group.</t>
  </si>
  <si>
    <t>+49 (0)89 3822 5387</t>
  </si>
  <si>
    <t>adam.sykes@bmwgroup.com</t>
  </si>
  <si>
    <t>Munich</t>
  </si>
  <si>
    <t>Munich, Germany</t>
  </si>
  <si>
    <t>Petuelring 130</t>
  </si>
  <si>
    <t>80809</t>
  </si>
  <si>
    <t>+49 (0)89 3827 0258 58</t>
  </si>
  <si>
    <t>Vice President of Investor Relations</t>
  </si>
  <si>
    <t>387969-22P</t>
  </si>
  <si>
    <t>Alexander Buresch</t>
  </si>
  <si>
    <t>Buresch</t>
  </si>
  <si>
    <t>Mr. Alexander Buresch serves as Senior Vice President of BMW Group IT at BMW Group.</t>
  </si>
  <si>
    <t>+49 (0)89 3820</t>
  </si>
  <si>
    <t>alexander.buresch@bmwgroup.com</t>
  </si>
  <si>
    <t>Senior Vice President of BMW Group IT</t>
  </si>
  <si>
    <t>380823-40P</t>
  </si>
  <si>
    <t>Alexander Efthimiou</t>
  </si>
  <si>
    <t>Efthimiou</t>
  </si>
  <si>
    <t>Mr. Alexander Efthimiou serves as Vice President of Strategic Cooperations and Mergers &amp; Acquisitions at Bayerische Motoren Werke.</t>
  </si>
  <si>
    <t>alexander.efthimiou@bmwgroup.com</t>
  </si>
  <si>
    <t>Vice President of Strategic Cooperations and Mergers &amp; Acquisitions</t>
  </si>
  <si>
    <t>290659-42P</t>
  </si>
  <si>
    <t>Andreas Stoffler</t>
  </si>
  <si>
    <t>Stoffler</t>
  </si>
  <si>
    <t>Mr. Andreas Stoffler serves as Equity Investor Relations and Annual General Meeting (AGM) at BMW Group.</t>
  </si>
  <si>
    <t>+49 (0)89 3821 7944</t>
  </si>
  <si>
    <t>Equity Investor Relations and Annual General Meeting (AGM)</t>
  </si>
  <si>
    <t>289971-46P</t>
  </si>
  <si>
    <t>Anna Wolff</t>
  </si>
  <si>
    <t>Wolff</t>
  </si>
  <si>
    <t>Ms. Anna Wolff serves as Global Investor Relations at Bayerische Motoren Werke.</t>
  </si>
  <si>
    <t>anna.wolff@bmwgroup.com</t>
  </si>
  <si>
    <t>Global Investor Relations</t>
  </si>
  <si>
    <t>91695-97P</t>
  </si>
  <si>
    <t>Bernhard Blättel</t>
  </si>
  <si>
    <t>Bernhard</t>
  </si>
  <si>
    <t>Blättel</t>
  </si>
  <si>
    <t>Mr. Bernhard Blättel serves as Head of Mobility Services and Head of Product Management BMW Compact Class (1, 2 series, X1, X2) at BMW Group.</t>
  </si>
  <si>
    <t>bernhard@bmwgroup.com</t>
  </si>
  <si>
    <t>352462-60P</t>
  </si>
  <si>
    <t>Daniela Beer</t>
  </si>
  <si>
    <t>Daniela</t>
  </si>
  <si>
    <t>Beer</t>
  </si>
  <si>
    <t>Ms. Daniela Beer serves as Investor Relations Manager and Equity &amp; ESG Investor Relations at BMW Group.</t>
  </si>
  <si>
    <t>+49 (0)89 3822 5428</t>
  </si>
  <si>
    <t>Investor Relations Manager and Equity &amp; ESG Investor Relations</t>
  </si>
  <si>
    <t>290657-71P</t>
  </si>
  <si>
    <t>Gerald Schmutz</t>
  </si>
  <si>
    <t>Gerald</t>
  </si>
  <si>
    <t>Schmutz</t>
  </si>
  <si>
    <t>Mr. Gerald Schmutz serves as Executive of Strategy, Sustainability and Mobility at BMW Group.</t>
  </si>
  <si>
    <t>+49 (0)89 3826 2393</t>
  </si>
  <si>
    <t>gerald.schmutz@bmwgroup.com</t>
  </si>
  <si>
    <t>Executive of Strategy, Sustainability and Mobility</t>
  </si>
  <si>
    <t>352466-29P</t>
  </si>
  <si>
    <t>Julia Krause</t>
  </si>
  <si>
    <t>Dr. Julia Krause serves as Investor Relations Manager and Equity &amp; Debt Investor Relations at BMW Group.</t>
  </si>
  <si>
    <t>+49 (0)89 3823 3310</t>
  </si>
  <si>
    <t>julia.krause@bmwgroup.com</t>
  </si>
  <si>
    <t>Investor Relations Manager and Equity &amp; Debt Investor Relations</t>
  </si>
  <si>
    <t>380820-43P</t>
  </si>
  <si>
    <t>Lisa Schroeder</t>
  </si>
  <si>
    <t>Schroeder</t>
  </si>
  <si>
    <t>Ms. Lisa Schroeder serves as Investor Relations Manager at BMW Group.</t>
  </si>
  <si>
    <t>lisa.schroeder@bmwgroup.com</t>
  </si>
  <si>
    <t>290660-23P</t>
  </si>
  <si>
    <t>Mirjam Wipfler</t>
  </si>
  <si>
    <t>Mirjam</t>
  </si>
  <si>
    <t>Wipfler</t>
  </si>
  <si>
    <t>Ms. Mirjam Wipfler serves as Head of Internal Controls Processes at BMW Group. She served as Manager, Equity &amp; Debt Investor Relations at BMW Group.</t>
  </si>
  <si>
    <t>+49 (0)89 3827 6974</t>
  </si>
  <si>
    <t>mirjam.wipfler@bmwgroup.com</t>
  </si>
  <si>
    <t>Head of Internal Controls Processes</t>
  </si>
  <si>
    <t>451795-33P</t>
  </si>
  <si>
    <t>Nicolai Pest</t>
  </si>
  <si>
    <t>Nicolai</t>
  </si>
  <si>
    <t>Pest</t>
  </si>
  <si>
    <t>Mr. Nicolai Pest serves as Investor Relations for Specialist Capital Markets Communication at Bayerische Motoren Werke.</t>
  </si>
  <si>
    <t>pestn@bmwgroup.com</t>
  </si>
  <si>
    <t>Investor Relations for Specialist Capital Markets Communication</t>
  </si>
  <si>
    <t>209315-08P</t>
  </si>
  <si>
    <t>Oliver Zipse</t>
  </si>
  <si>
    <t>Zipse</t>
  </si>
  <si>
    <t>Mr. Oliver Zipse serves as Chief Executive Officer and Chairman of the Board at BMW Group. Since August 16, 2019, Mr. Zipse has served as the Chairman of the Board of Management of BMW. Before his current role, from 2015 to 2019, he was a Member of the Board of Management of BMW, overseeing Production. He held the position of Senior Vice President of Corporate Planning and Product Strategy from 2012 to 2015, and before that, from 2009 to 2012, he served as Senior Vice President of Technical Planning. He has a diverse background, including his time as the Managing Director of Plant Oxford, UK, from 2007 to 2008. From 1994 to 2006, he held various leadership roles in Development, Production, and Production Planning, both in Munich and Rosslyn, South Africa. In 1992, he worked as a Project Engineer for Technology Innovation, and he joined BMW in 1991 as a Trainee in Development and Production. He pursued his Executive MBA from WHU Koblenz and Kellogg School of Management, Evanston, USA, from 1997 to 1999. He completed his graduation in Mechanical Engineering (Dipl.-Ing.) from Technical University Darmstadt in 1991. He also spent time studying Computer Science and Mathematics at the University of Utah, Salt Lake City, USA, from 1983 to 1985.</t>
  </si>
  <si>
    <t>o.zipse@bmwgroup.com</t>
  </si>
  <si>
    <t>Chief Executive Officer and Chairman of the Board of Management</t>
  </si>
  <si>
    <t>290656-90P</t>
  </si>
  <si>
    <t>Patrick Neumayer</t>
  </si>
  <si>
    <t>Neumayer</t>
  </si>
  <si>
    <t>Investor Relations</t>
  </si>
  <si>
    <t>Mr. Patrick Neumayer serves as Executive, Equity &amp; Debt Investor Relations at BMW Group.</t>
  </si>
  <si>
    <t>+49 (0)89 3822 4272</t>
  </si>
  <si>
    <t>patrick.neumayer@bmwgroup.com</t>
  </si>
  <si>
    <t>Executive, Equity &amp; Debt Investor Relations</t>
  </si>
  <si>
    <t>290652-31P</t>
  </si>
  <si>
    <t>Sabine Rabus</t>
  </si>
  <si>
    <t>Sabine</t>
  </si>
  <si>
    <t>Rabus</t>
  </si>
  <si>
    <t>Ms. Sabine Rabus serves as Coordinator of Investor Relations at BMW Group.</t>
  </si>
  <si>
    <t>+49 (0)89 3823 1739</t>
  </si>
  <si>
    <t>sabine.rabus@bmwgroup.com</t>
  </si>
  <si>
    <t>Coordinator of Investor Relations</t>
  </si>
  <si>
    <t>442120-42P</t>
  </si>
  <si>
    <t>Tiago V.</t>
  </si>
  <si>
    <t>Tiago</t>
  </si>
  <si>
    <t>V.</t>
  </si>
  <si>
    <t>Mr. Tiago V. serves as Treasurer at BMW Group.</t>
  </si>
  <si>
    <t>451794-07P</t>
  </si>
  <si>
    <t>Ulrike Bastian</t>
  </si>
  <si>
    <t>Ulrike</t>
  </si>
  <si>
    <t>Bastian</t>
  </si>
  <si>
    <t>Ms. Ulrike Bastian serves as Senior Manager Global Investor Relations and ESG at Bayerische Motoren Werke.</t>
  </si>
  <si>
    <t>+49 (0)89 3822 8044</t>
  </si>
  <si>
    <t>ulrike.bastian@bmwgroup.com</t>
  </si>
  <si>
    <t>Senior Manager Global Investor Relations and ESG</t>
  </si>
  <si>
    <t>290650-78P</t>
  </si>
  <si>
    <t>Veronika Rosler</t>
  </si>
  <si>
    <t>Veronika</t>
  </si>
  <si>
    <t>Rosler</t>
  </si>
  <si>
    <t>Ms. Veronika Rosler serves as Head of Payment Transactions and Travel Management at BMW Group.</t>
  </si>
  <si>
    <t>veronika.r@bmwgroup.com</t>
  </si>
  <si>
    <t>Head of Payment Transactions and Travel Management</t>
  </si>
  <si>
    <t>352458-73P</t>
  </si>
  <si>
    <t>Walter Mertl</t>
  </si>
  <si>
    <t>Walter</t>
  </si>
  <si>
    <t>Mertl</t>
  </si>
  <si>
    <t>Mr. Walter Mertl serves as Member of the Board of Management, Finance &amp; Chief Financial Officer at BMW Group. In February 1998, Mr. Mertl joined BMW From 1992 to 1998, he pursued studies in Business Administration with a focus on Organization and Business Informatics at the University of Applied Sciences in Augsburg. He worked as an IT Specialist for Financial Planning Systems from 1998 to 1999, followed by a five-year stint in Sales Controlling for the Region of Europe from 1999 to 2004. From 2004 to 2007, he served as Team Lead for Consolidation and Reporting at BMW UK in Bracknell. He then transitioned to the role of Team Lead for the Process and Standard Team IFT from 2007 to 2008. Between 2008 and 2013, he held the position of Head of the Intra-Annual Group. Following that, he assumed the role of Head of Accounting for Services at BMW from 2013 to 2017. In 2017, he became the Head of Controlling for the A-, F-, and P-. Divisions at BMW Group Corporate, where he remained until 2020. During this time, he showcased his proficiency in financial management and control. From 2020 to May 11, 2023, he served as the Head of BMW Group Corporate Controlling, contributing his skills to the company's financial operations.</t>
  </si>
  <si>
    <t>walter.mertl@bmwgroup.com</t>
  </si>
  <si>
    <t>Member of the Board of Management, Finance &amp; Chief Financial Officer</t>
  </si>
  <si>
    <t>38537-11P</t>
  </si>
  <si>
    <t>Alexander Brown</t>
  </si>
  <si>
    <t>Beacon Venture Partners</t>
  </si>
  <si>
    <t>Mr. Alexander Brown serves as a General Partner at Beacon Venture Partners. He is also a General Partner at Launchpad Venture Group. He holds a BS (Bachelor of Science) in Civil Engineering and an ME (Master of Engineering) in Transportation from Cornell University. He also holds an MBA (Master of Business Administration) in Strategic Management from the University of Pennsylvania (Wharton).</t>
  </si>
  <si>
    <t>+1 (617) 500-4263</t>
  </si>
  <si>
    <t>alex@beaconventurepartners.com</t>
  </si>
  <si>
    <t>12 Myrtle Street</t>
  </si>
  <si>
    <t>02114</t>
  </si>
  <si>
    <t>259653-97P</t>
  </si>
  <si>
    <t>Raza Shaikh</t>
  </si>
  <si>
    <t>Raza</t>
  </si>
  <si>
    <t>Shaikh</t>
  </si>
  <si>
    <t>Mr. Raza Shaikh serves as a General Partner at Beacon Venture Partners. He serves as Managing Director at Launchpad Venture Group. He is an active angel investor in early-stage companies in the New England area and has been investing with Launchpad since 2016. He co-manages The Beacon Venture Partners Fund, which invests in a diversified basket of local early-stage companies including the Launchpad portfolio. He mentors and advises several Boston-based companies. He co-founded NorthBay which is one of the largest independent Amazon AWS partners helping large enterprises with their transition to the cloud and the new world of AI and ML. He built Kendall Square Labs in the early days of casual mobile gaming and mobility. Previously, he was part of the Broad Institute of MIT and Harvard building a large-scale science platform for small molecule synthesis and high-throughput screening. Before that, he was an early start-up employee at Formulatrix building software and robotics for drug discovery applications. He did technology consulting in a number of areas and industries including telecommunications CRM, facial recognition, financial services, IT governance, and healthcare. He earned a B.S. in Computer Science from the National University of Computer &amp; Emerging Sciences in Pakistan and came to America on an H1-B lottery.</t>
  </si>
  <si>
    <t>raza@beaconventurepartners.com</t>
  </si>
  <si>
    <t>394452-64P</t>
  </si>
  <si>
    <t>Bob Dornich</t>
  </si>
  <si>
    <t>Bob</t>
  </si>
  <si>
    <t>Dornich</t>
  </si>
  <si>
    <t>Ben Franklin Technology Partners of Central and Northern Pennsylvania</t>
  </si>
  <si>
    <t>Mr. Bob Dornich serves as Program Director at Ben Franklin Technology Partners of Central and Northern Pennsylvania.</t>
  </si>
  <si>
    <t>+1 (814) 863-4558</t>
  </si>
  <si>
    <t>bobdornich@cnp.benfranklin.org</t>
  </si>
  <si>
    <t>State College</t>
  </si>
  <si>
    <t>State College, PA</t>
  </si>
  <si>
    <t>200 Innovation Boulevard</t>
  </si>
  <si>
    <t>Pennsylvania</t>
  </si>
  <si>
    <t>16803</t>
  </si>
  <si>
    <t>Program Director</t>
  </si>
  <si>
    <t>44286-67P</t>
  </si>
  <si>
    <t>Brian Slawin</t>
  </si>
  <si>
    <t>Slawin</t>
  </si>
  <si>
    <t>Director &amp; Portfolio Manager</t>
  </si>
  <si>
    <t>Mr. Slawin serves as Regional Director and Portfolio Manager at Pennsylvania State University, Erie - Behrend College. He also serves as Regional Director and Portfolio Manager at Ben Franklin Technology Partners of Northeastern Pennsylvania. Previously he served as an IT Sector Leader / Mentor at Center for Emerging Technologies. He has a passion for helping people turn their ideas into companies by finding the most promising opportunities and then leveraging the available resources and assets to help the company grow. Throughout his career, he has helped build strong operating and sales teams, managed technology products, and brought them profitably to market. In addition, his experience raising capital and managing companies to exit will allow him to bring a unique perspective to the entrepreneurs who come to Ben Franklin for funding and business support services. He graduated from the Parks College of Saint Louis University with a Bachelor of Aeronautical Science Degree in 1989 and attended Penn State University from 1984 - 1987.</t>
  </si>
  <si>
    <t>+1 (814) 898-6650</t>
  </si>
  <si>
    <t>brianslawin@cnp.benfranklin.org</t>
  </si>
  <si>
    <t>Erie</t>
  </si>
  <si>
    <t>Erie, PA</t>
  </si>
  <si>
    <t>5240 Knowledge Parkway</t>
  </si>
  <si>
    <t>16510</t>
  </si>
  <si>
    <t>Regional Director &amp; Portfolio Manager</t>
  </si>
  <si>
    <t>131459-23P</t>
  </si>
  <si>
    <t>John Sider</t>
  </si>
  <si>
    <t>Sider</t>
  </si>
  <si>
    <t>Mr. John Sider serves as Vice President of Business Development at Ben Franklin Technology Partners of Central and Northern Pennsylvania. Mr. Sider was most recently a Senior Policy Advisor to Pennsylvania State Senator Vincent Hughes where he did fiscal analysis for the Senate Democratic Appropriations Committee and managed economic development projects in the Senator's district. Previously, he was Managing Director of Statewide Initiatives for Pennsylvania's four Ben Franklin Centers. In this capacity, he played a central role in the conception, development, and passage of Pennsylvania's 2013 "Innovate in PA" legislation which will provide $100 million in tax credits to fund a continuum of capital formation activities in the state. He is a graduate with specialization in Political Science and Economics from Wheaton College and earned his MBA with specialization in Finance from the Fox School of Business at Temple University. He also has a Certificate of International Politics from American University.</t>
  </si>
  <si>
    <t>+1 (717) 948-6339</t>
  </si>
  <si>
    <t>johnsider@benfranklin.org</t>
  </si>
  <si>
    <t>Harrisburg</t>
  </si>
  <si>
    <t>Harrisburg, PA</t>
  </si>
  <si>
    <t>3211 North Front Street</t>
  </si>
  <si>
    <t>17110</t>
  </si>
  <si>
    <t>146523-88P</t>
  </si>
  <si>
    <t>John Siggins</t>
  </si>
  <si>
    <t>Siggins</t>
  </si>
  <si>
    <t>Mr. John Siggins serves as North Central Region Portfolio Manager Portfolio Manager at Ben Franklin Technology Partners of Central &amp; Northern PA at Ben Franklin Technology Partners of Central and Northern Pennsylvania. He is a graduate of Penn State University with a degree in Chemical Engineering and has more than 30 years of relevant experience, including expertise in the energy and environmental consulting, and waste management sectors, and an extensive background in technology transfer. Before joining SGICC, Mr. He spent 15 years in the private sector before joining Penn State in 2000. At Penn State, He spent time as a Senior Technical Specialist in the Office of Technology Management, and prior to that, he was the Associate Director of the Industrial Research Office at Penn State for 11 years. He has extensive experience in tech transfer and forming teams to direct early-stage high-tech commercialization efforts. He joined the SGICC in 2012. In the position of Assistant Director to the Center, He focuses on identifying promising nascent technologies coming out of early-stage companies, and the entrepreneurial community focused on the shale energy space. He seeks those innovations that are environmentally sound, and through commercialization, increase employment opportunities for the citizens of the Commonwealth. He works closely with the center's industry partners as well as governmental agencies to advance these commercialization opportunities by building successful collaborative teams.</t>
  </si>
  <si>
    <t>johnsiggins@cnp.benfranklin.org</t>
  </si>
  <si>
    <t>North Central Region Portfolio Manager Portfolio Manager</t>
  </si>
  <si>
    <t>146048-05P</t>
  </si>
  <si>
    <t>Joseph Hackett</t>
  </si>
  <si>
    <t>Hackett</t>
  </si>
  <si>
    <t>Mr. Joseph Hackett serves as Chief Operating Officer at MI-12 Ventures. He serves as South Central Region Portfolio Manager at Ben Franklin Technology Partners of Central and Northern Pennsylvania. Previously, he served as a Vice President, Private banking relationship manager at Clermont Wealth Strategies.</t>
  </si>
  <si>
    <t>+1 (717) 858-3046</t>
  </si>
  <si>
    <t>jhackett@cnp.benfranklin.org</t>
  </si>
  <si>
    <t>York</t>
  </si>
  <si>
    <t>York, PA</t>
  </si>
  <si>
    <t>350 School Street</t>
  </si>
  <si>
    <t>17402</t>
  </si>
  <si>
    <t>MI-12 Ventures</t>
  </si>
  <si>
    <t>146217-88P</t>
  </si>
  <si>
    <t>Michael Chmela</t>
  </si>
  <si>
    <t>Chmela</t>
  </si>
  <si>
    <t>Mr. Michael Chmela serves as Project Director at Ben Franklin Technology Partners of Central and Northern Pennsylvania. He is responsible for market research for the SGICC. Michael is a degreed Engineer with a wide range of business expertise and a history of growing small companies. His experience includes new business development, product development and management, and manufacturing engineering in a variety of industries. He has also implemented value analysis and strategic planning programs.</t>
  </si>
  <si>
    <t>University Park</t>
  </si>
  <si>
    <t>University Park, PA</t>
  </si>
  <si>
    <t>Project Director</t>
  </si>
  <si>
    <t>311191-93P</t>
  </si>
  <si>
    <t>Sherry Davidson</t>
  </si>
  <si>
    <t>Sherry</t>
  </si>
  <si>
    <t>Ms. Sherry Davidson serves as Director of Operations at Ben Franklin Technology Partners of Central and Northern Pennsylvania.</t>
  </si>
  <si>
    <t>sherrydavidson@cnp.benfranklin.org</t>
  </si>
  <si>
    <t>40128-76P</t>
  </si>
  <si>
    <t>Stephen Brawley</t>
  </si>
  <si>
    <t>Brawley</t>
  </si>
  <si>
    <t>Mr. Stephen Brawley serves as Chief Executive Officer, President &amp; Board Member at Ben Franklin Technology Partners of Central and Northern Pennsylvania. He served as the Member of Investments Committee at Penn Venture Partners. As the CEO of Ben Franklin, He is responsible for the implementation of the Ben Franklin investment program in the 32-county footprint served by the Program and oversees a portfolio of approximately 150 early-stage investments. He has been with the Center for more than 18 years and has extensive experience in economic development and seed investing. Before his current role, he held various positions at the Center including Vice-President and Associate Director, Director of the South Central Regional Office in Harrisburg, and Program Director of Training and New Business. A graduate of Penn State University with a Master's Degree in Public Administration, He has been employed with various state and university programs since 1989. He currently sits on several Boards including regional Technology Councils, and the Advisory Panel for the Harrisburg/Lancaster/Erie Keystone Innovation Zones. He received his Master's from Pennsylvania State University (Penn State).</t>
  </si>
  <si>
    <t>+1 (814) 865-8669</t>
  </si>
  <si>
    <t>stevebrawley@cnp.benfranklin.org</t>
  </si>
  <si>
    <t>42274-36P</t>
  </si>
  <si>
    <t>Todd Erdley</t>
  </si>
  <si>
    <t>Erdley</t>
  </si>
  <si>
    <t>Mr. Todd Erdley serves as Central Regional Director at Ben Franklin Technology Partners of Central and Northern Pennsylvania. He is a Co-Founder and serves as Chairman and President at Videon. He has emphasized teamwork and community as essential parts of work at Videon ever since. Early on, he envisioned a place where employees would work with one another in a supportive environment, producing high-quality products and enjoying themselves at the same time. That vision has been realized in Videon. He still focuses on his vision for Videon. He assesses the industry, the market and our team to initiate course corrections in our goals and the paths we will use to reach them. He also identifies and works to develop our leadership team, driving the company towards our vision. Overall, his leadership helps us recognize where we want to be and plan our route to get there. For he, the path to Videon began with BS and MS degrees in Electrical Engineering from Penn State. He remains an enthusiastic member of the Penn State community, having served on various committees like the College of Engineering's Industrial Professional Advisory Committee (IPAC) and frequently offering lectures in engineering classes. He also supports the community through extensive involvement in the Centre Region Entrepreneur Network and other local business groups.</t>
  </si>
  <si>
    <t>+1 (814) 235-1111</t>
  </si>
  <si>
    <t>todd@videon-central.com</t>
  </si>
  <si>
    <t>2171 Sandy Drive</t>
  </si>
  <si>
    <t>Co-Founder, Chairman &amp; President</t>
  </si>
  <si>
    <t>Videon (Commercial Products)</t>
  </si>
  <si>
    <t>221652-01P</t>
  </si>
  <si>
    <t>Amy Recht</t>
  </si>
  <si>
    <t>Beresford Ventures</t>
  </si>
  <si>
    <t>Ms. Amy Recht serves as Manager at Beresford Ventures. Since moving to Florida, Amy has been involved with early stage investing including serving on the board of the Tallahassee Chapter of the Florida Angel Nexus and on their state-wide screening committee. Amy believes that investing in early stage companies is a foundational element that drives economic progress in local communities. Based on this belief, Amy was one of the pioneers in promoting angel investing in Tallahassee and has served on corporate boards and as an advisor and mentor to local start-ups. Since 1994, Amy has served as the manager of a closely held investment company, currently focused on investing in early stage companies. Holding a BA in Computer Science, Amy began her career in the corporate arena with various Fortune 500 companies including Monsanto and Edward Jones.</t>
  </si>
  <si>
    <t>amyrecht@beresfordventures.com</t>
  </si>
  <si>
    <t>Delray Beach</t>
  </si>
  <si>
    <t>Delray Beach, FL</t>
  </si>
  <si>
    <t>33483</t>
  </si>
  <si>
    <t>221649-67P</t>
  </si>
  <si>
    <t>David Wiener</t>
  </si>
  <si>
    <t>Wiener</t>
  </si>
  <si>
    <t>Mr. David Wiener serves as Partner at Beresford Ventures. He has been actively investing in early-stage tech deals since 2012. Based in Miami, Florida, he also spends time in Latin America and NY, where he is from originally. He has worked in several fields, including teaching, restaurant management/ownership, and real estate advisory/investing, and is working on the launch of a podcast. He attended UPENN as a Benjamin Franklin Scholar before receiving his BA from Georgetown University.</t>
  </si>
  <si>
    <t>davidwiener@beresfordventures.com</t>
  </si>
  <si>
    <t>221643-28P</t>
  </si>
  <si>
    <t>Jim Balaschak</t>
  </si>
  <si>
    <t>Balaschak</t>
  </si>
  <si>
    <t>Manager &amp; Partner</t>
  </si>
  <si>
    <t>Mr. Jim Balaschak serves as Partner &amp; Manager at Beresford Ventures. He served as an Investor at Deepwork Capital. He is a Florida native, graduated from UCF in 1986 with a BSBA in Finance and an MBA in 1992. He founded Applicant Screening And Processing (ASAP) in 1993 to screen tenants for the multi-family industry. ASAP developed its own database of public records on evictions and criminal records and the industry's first Windows software. While expanding the business, he also served as President for the National Association of Screening Agencies. He sold the company to Choicepoint (NYSE:CPS) in 2003 and helped manage a merger of three companies. He was awarded the UCF Alumni Professional Achievement Award in 2005, and inducted into the UCF College of Business Hall Fame in 2007 he has become an active investor in public and private companies, as well as, an angel investor in numerous start-ups. He served on the board and screening committee for Florida Angel Nexus, and has judged numerous business plan competitions/ pitch events. He volunteers for several organizations including the UCF College of Business Dean's Advisory Board.</t>
  </si>
  <si>
    <t>jimbalaschak@beresfordventures.com</t>
  </si>
  <si>
    <t>Partner &amp; Manager</t>
  </si>
  <si>
    <t>205950-25P</t>
  </si>
  <si>
    <t>Jim Horowitz</t>
  </si>
  <si>
    <t>Horowitz</t>
  </si>
  <si>
    <t>Mr. Jim Horowitz is the Founder of Beresford Ventures. Mr. Horowitz serves as a Partner at Bacchus Venture Capital. He served as an Executive at Beresford Partners. He received an MBA from New York University (Stern) and a BA from Yale.</t>
  </si>
  <si>
    <t>jimhorowitz@beresfordventures.com</t>
  </si>
  <si>
    <t>237430-90P</t>
  </si>
  <si>
    <t>Saim Ozyurek</t>
  </si>
  <si>
    <t>Saim</t>
  </si>
  <si>
    <t>Ozyurek</t>
  </si>
  <si>
    <t>Mr. Saim Ozyurek serves as Manager &amp; Partner at Beresford Ventures. He serves as a Member of the Investment Committee at Deepwork Capital. He has been an active early-stage investor since 2015. He serves as a Board Member at Vesteck. He is an entrepreneur with successful exits. Currently based in Central Florida, he is active in multiple countries. He has 25+ years of experience in sales, business development, corporate planning, operations, and executive leadership in Healthcare and the Medical Device industry. He has the experience, among others as president and CEO of Ozyurek AS since 2010 and as a Member of the Board of Directors for ASHS (NYSE: AMS) since 2011. He has a BS in Engineering.</t>
  </si>
  <si>
    <t>186556-78P</t>
  </si>
  <si>
    <t>Scott Saliterman</t>
  </si>
  <si>
    <t>Saliterman</t>
  </si>
  <si>
    <t>Mr. Scott Saliterman serves as Executive at Beresford Ventures. Mr. Saliterman is an Angel Investor. Mr. Scott Saliterman served as Vice President at NEBO Capital. A 20+ year veteran of real estate capital markets, Scott has also been an investor in early-stage, technology-driven companies since 2014. Recognizing that "secular growth" venture investing compliments the cyclicality of real estate, Scott joined forces with Beresford Ventures to help support the group's deal flow, company analysis, and networking capabilities. Based in Miami, Scott received his MBA from Thunderbird, his BA from Tufts University, and is a Charted Financial Analyst.</t>
  </si>
  <si>
    <t>+1 (305) 401-2048</t>
  </si>
  <si>
    <t>scottsaliterman@beresfordventures.com</t>
  </si>
  <si>
    <t>221644-18P</t>
  </si>
  <si>
    <t>Turner Dean</t>
  </si>
  <si>
    <t>Turner</t>
  </si>
  <si>
    <t>Mr. S. Turner Dean serves as Manager at Beresford Ventures. He serves as Vice President, Sales at CurveBeam AI. Turner is President and COO of CurveBeam Mobile, a weight-bearing CT imaging service. He is also co-founder of POP909 Healthcare, a clinical decision-support patient triage tool for primary care physicians treating patients with lower back pain (LBP). Turner has been an advisor to numerous start-ups, has held numerous senior executive roles in healthcare and technology companies, and successfully exited his security software business in 2009 which he co-founded. Originally from Chicago, Turner attended the University of Illinois, graduated from the University of Wisconsin and advanced his education in business administration at Marquette University.</t>
  </si>
  <si>
    <t>turnerdean@beresfordventures.com</t>
  </si>
  <si>
    <t>54553-42P</t>
  </si>
  <si>
    <t>Eric Klein</t>
  </si>
  <si>
    <t>Klein</t>
  </si>
  <si>
    <t>Better Ventures</t>
  </si>
  <si>
    <t>Mr. Eric Klein serves as a Partner at Lemnos. He serves as an Advisor at Eko. He also serves as Managing Partner at Klein Venture Partners. He serves as an Advisor at Better Ventures. He serves as an Advisor at Spectrohm. He has been developing technological innovations and sharing hard-earned insights since he started coding Apple II apps. His experience in Silicon Valley spans the full stack, from hardware to software, from product development to product marketing, and from startups to industry leaders. He has held executive and product roles at Nokia, Sun Microsystems, Real Networks, Palm, and Apple. He also played an early role in several successful startups, including as Executive Director of Bungie, the developers of the Halo game franchise, and Dash Navigation, the world's first connected GPS device. Now as a partner at Lemnos, the premier early-stage hardware investment fund, he is helping the next generation of entrepreneurs bypass the mistakes he made and instead make the big "mistakes" that spur their success and shape our futures.
He has a degree in BBA (Bachelor of Business Administration) in Management Information Systems from University of Texas, Austin</t>
  </si>
  <si>
    <t>+1 (408) 335-4710</t>
  </si>
  <si>
    <t>eric@lemnos.vc</t>
  </si>
  <si>
    <t>2 Embarcadero Center</t>
  </si>
  <si>
    <t>8th Floor</t>
  </si>
  <si>
    <t>Lemnos</t>
  </si>
  <si>
    <t>212070-43P</t>
  </si>
  <si>
    <t>Lyndsey Boucherle</t>
  </si>
  <si>
    <t>Lyndsey</t>
  </si>
  <si>
    <t>Boucherle</t>
  </si>
  <si>
    <t>Ms. Lyndsey Boucherle serves as a Partner at Better Ventures. She serves as Vice Chairman at Farming Hope. She is passionate about the role companies can play in catalyzing significant and scalable positive change in the world. She has 12 years of experience in finance with UBS in Switzerland, Hong Kong, and the US where she held numerous leadership roles across investment products and services, business development, and corporate strategy. She also helped launch UBS and Society an initiative bringing together the bank's sustainable investing and social impact offerings, and led a global program sourcing financial solutions to support the Sustainable Development Goals. She has spent the last decade advising social enterprises in Asia, Africa, and the US and is passionate about connecting early-stage entrepreneurs with the resources and capital to succeed and scale. She has a Masters in Management from Stanford Graduate School of Business and now lives in Oakland, CA. An avid adventurer and music lover she is often off exploring the outdoors of Northern California or seeking out live music. She serves as a Board Member and Advisor at AdeptID.</t>
  </si>
  <si>
    <t>+1 (510) 725-9255</t>
  </si>
  <si>
    <t>lyndsey@better.vc</t>
  </si>
  <si>
    <t>Oakland</t>
  </si>
  <si>
    <t>Oakland, CA</t>
  </si>
  <si>
    <t>470 25th Street</t>
  </si>
  <si>
    <t>94612</t>
  </si>
  <si>
    <t>42045-58P</t>
  </si>
  <si>
    <t>Richard Moss</t>
  </si>
  <si>
    <t>Moss</t>
  </si>
  <si>
    <t>Mr. Richard Moss is the Founding Partner of Better Ventures. He served as Board Member at Apostrophe, HILOS, and Iris Healthcare. He served as Advisor at Berkeley Ventures. He spent nearly a decade at Sun Microsystems and Oracle leading acquisitions, venture investments, and strategic alliances in software. He also held positions with Computer Sciences Corporation in management consulting and with Salomon Brothers in investment banking. He also serves as Advisor at UtilityAPI. His entrepreneurial experience includes positions with The ModemShop, which he founded, and Kleiner Perkins-funded WineShopper.com. He holds an undergraduate degree from Trinity College and an MBA from the Amos Tuck School at Dartmouth College. He served as Board Member at Dimension Inx.</t>
  </si>
  <si>
    <t>rmoss@better.vc</t>
  </si>
  <si>
    <t>42756-13P</t>
  </si>
  <si>
    <t>Wesley Selke</t>
  </si>
  <si>
    <t>Selke</t>
  </si>
  <si>
    <t>Founder &amp; Founding Partner</t>
  </si>
  <si>
    <t>Mr. Wesley Selke is a Co-Founder &amp; Founding Partner of Better Ventures. Mr, Selke is an Angel Investor. He served as a Board Member at Iris Healthcare. He serves as an Advisor at UtilityAPI. He also serves as a Board Member at Pluton Biosciences. He also served as an Advisor at Bee Partners. He enjoys rolling up his sleeves to help mission-driven entrepreneurs realize their vision for building high-growth world-changing companies. He has over 20 years of venture capital and investment experience with Better Ventures, Good Capital, William Blair, and Ernst &amp; Young's Mergers &amp; Acquisitions group. He earned an MBA from the Haas School of Business at UC Berkeley and a BBA from the University of Michigan. He has volunteered with organizations around the globe, which has fueled his passion for applying his business skills to build a better world.</t>
  </si>
  <si>
    <t>wes@better.vc</t>
  </si>
  <si>
    <t>Co-Founder &amp; Founding Partner</t>
  </si>
  <si>
    <t>380794-78P</t>
  </si>
  <si>
    <t>Anne Nicacio</t>
  </si>
  <si>
    <t>Anne</t>
  </si>
  <si>
    <t>Nicacio</t>
  </si>
  <si>
    <t>BHP Group</t>
  </si>
  <si>
    <t>Ms. Anne Nicacio serves as Vice President Business Development - Minerals Australia at BHP Group. She served as General Manager Commercial Strategy and Partnerships, Senior Manager Business Development, Senior Manager Commercial and Development and Manager Business Analysis and Development at Rio Tinto. She served as Senior Analyst - Corporate Finance at Deloitte. She completed Executive Education (Project Management) from INSEAD (2011-2012), Master's degree (Economics and Finance) from Ibmec (2002-2004) and Bachelor's degree (Economics) from Ibmec (1998-2001).</t>
  </si>
  <si>
    <t>+61 (0)13 0055 4757</t>
  </si>
  <si>
    <t>anne.nicacio@bhp.com</t>
  </si>
  <si>
    <t>171 Collins Street</t>
  </si>
  <si>
    <t>+61 (0)3 9609 3015</t>
  </si>
  <si>
    <t>Vice President Business Development - Minerals Australia</t>
  </si>
  <si>
    <t>226371-16P</t>
  </si>
  <si>
    <t>Caroline Cox</t>
  </si>
  <si>
    <t>Chief Legal Officer &amp; Executive</t>
  </si>
  <si>
    <t>Ms Cox serves as Chief Legal, Governance &amp; External Affairs Officer at BHP Group. Ms Cox joined BHP in 2015 as Vice President Legal and was appointed Group General Counsel in March 2016, a role she continues to hold. Prior to BHP, Ms Cox was a Partner at Herbert Smith Freehills, a firm she was with for 11 years, specializing in cross-border regulatory investigations, inquiries and disputes. Earlier in her career, Ms Cox was a solicitor at the Canadian law firm, Osler Hoskin &amp; Harcourt and clerked for Judges at the Alberta Court of Appeal and Court of Queen's Bench.</t>
  </si>
  <si>
    <t>caroline.cox@bhp.com</t>
  </si>
  <si>
    <t>Chief Legal, Governance &amp; External Affairs Officer</t>
  </si>
  <si>
    <t>306593-11P</t>
  </si>
  <si>
    <t>Catherine Raw</t>
  </si>
  <si>
    <t>Raw</t>
  </si>
  <si>
    <t>Ms. Catherine Raw serves as Chief Development Officer at BHP Group. Ms. Catherine joined SSE in April 2022, bringing significant operational and commercial expertise, having served as Chief Financial Officer and the North America region's Chief Operating Officer for Barrick Gold Corporation, a global mining company headquartered in Toronto and listed on the Toronto and NY stock exchanges. She holds a master's degree in natural sciences from Downing College, University of Cambridge, and an MSC from Imperial College, London.</t>
  </si>
  <si>
    <t>+44 (0)20 7743 2582</t>
  </si>
  <si>
    <t>catherine@bhp.com</t>
  </si>
  <si>
    <t>142096-24P</t>
  </si>
  <si>
    <t>Ms. Catherine Raw serves as Chief Development Officer at BHP Group. Ms. Raw joined BHP on 29 April 2024 as Chief Development Officer. Catherine is responsible for strategy, acquisitions and divestments, securing early-stage growth options and ventures. Prior to joining BHP, Catherine held senior roles in resources and finance industries, including at SSE Thermal (a business unit of SSE plc) as Managing Director, Barrick Gold Corporation as Chief Operating Officer for North America and as Chief Financial Officer, and BlackRock as Managing Director, Natural Resources Team.</t>
  </si>
  <si>
    <t>381669-58P</t>
  </si>
  <si>
    <t>Charlee Johnson</t>
  </si>
  <si>
    <t>Charlee</t>
  </si>
  <si>
    <t>Mr. Charlee Johnson serves as Head of Commercial - Exploration at BHP Group.</t>
  </si>
  <si>
    <t>charlee.johnson@bhp.com</t>
  </si>
  <si>
    <t>Head of Commercial - Exploration</t>
  </si>
  <si>
    <t>254728-45P</t>
  </si>
  <si>
    <t>Edgar Basto</t>
  </si>
  <si>
    <t>Edgar</t>
  </si>
  <si>
    <t>Basto</t>
  </si>
  <si>
    <t>Mr. Edgar Basto serves as Chief Operating Officer at Minerals Australia at BHP Group. As Chief Operating Officer he will enable acceleration in safety and productivity improvement across the Group. He will have accountability for the continued transformation of BHP through the embedment of the BHP Operating System, and for BHP's global performance and improvement and Health, Safety and Environment functions. He was Asset President of Western Australia Iron Ore (WAIO) from March 2016 and Acting President of Operations Minerals Australia from November 2019. He has held senior leadership roles across a range of commodities including iron ore, copper, coal and nickel, and has deep technical capability in both mining and smelting operations. Originally from Colombia, he has a Bachelor of Applied Science (Metallurgical Engineering) from the Universidad Industrial de Santander. He joined BHP in 1989.</t>
  </si>
  <si>
    <t>edgar.basto@bhp.com</t>
  </si>
  <si>
    <t>Chief Operating Officer, Operations</t>
  </si>
  <si>
    <t>308666-26P</t>
  </si>
  <si>
    <t>Edmund Gaither</t>
  </si>
  <si>
    <t>Edmund</t>
  </si>
  <si>
    <t>Gaither</t>
  </si>
  <si>
    <t>Mr. Edmund Gaither serves as Practice Lead, Mergers &amp; Acquisitions at BHP Group.</t>
  </si>
  <si>
    <t>edmund.gaither@bhp.com</t>
  </si>
  <si>
    <t>Practice Lead, Mergers &amp; Acquisitions</t>
  </si>
  <si>
    <t>227489-59P</t>
  </si>
  <si>
    <t>Fiona Wild</t>
  </si>
  <si>
    <t>Wild</t>
  </si>
  <si>
    <t>Ms. Fiona Wild serves as Group Climate and Sustainability Officer at BHP Group.</t>
  </si>
  <si>
    <t>+61 (0)3 9609 2265</t>
  </si>
  <si>
    <t>fiona.wild@bhp.com</t>
  </si>
  <si>
    <t>Group Climate and Sustainability Officer</t>
  </si>
  <si>
    <t>226433-80P</t>
  </si>
  <si>
    <t>Geraldine Slattery</t>
  </si>
  <si>
    <t>Geraldine</t>
  </si>
  <si>
    <t>Slattery</t>
  </si>
  <si>
    <t>Ms. Geraldine Slattery serves as President, Petroleum at BHP Group. Ms. Geraldine Slattery, BSc, Physics, MSc, International Management (Oil &amp; Gas). Ms Slattery joined BHP in 1994 and was appointed President Operations, Petroleum in March 2019. Ms Slattery has 25 years' of experience with BHP, most recently as Asset President Conventional, and prior to that in several senior operational and business leadership roles across the Petroleum business in the United Kingdom, Australia and the United States.</t>
  </si>
  <si>
    <t>gslattery@bhp.com</t>
  </si>
  <si>
    <t>President, Petroleum</t>
  </si>
  <si>
    <t>312837-85P</t>
  </si>
  <si>
    <t>Jad Vodopija</t>
  </si>
  <si>
    <t>Jad</t>
  </si>
  <si>
    <t>Vodopija</t>
  </si>
  <si>
    <t>Ms. Jad Vodopija serves as Chief People Officer at BHP Group. As CPO he is responsible for delivering innovative people and culture strategies, programs and policies to support the employment and development of BHP's employees globally and ensuring the company has the right people and capabilities to deliver its strategy.</t>
  </si>
  <si>
    <t>jad.vodopija@bhp.com</t>
  </si>
  <si>
    <t>20772-01P</t>
  </si>
  <si>
    <t>Johan van Jaarsveld</t>
  </si>
  <si>
    <t>Johan</t>
  </si>
  <si>
    <t>van Jaarsveld</t>
  </si>
  <si>
    <t>Mr. Johan van Jaarsveld serves as Chief Development Officer at BHP Group. He serves as Chief Development Officer at BHP Ventures. He was Managing Director at Goldman Sachs Hong Kong. He was Managing Director at the Blackstone Group from 2008-2011. Before joining Blackstone, he was with the Natural Resources and Industrials M&amp;A teams at Deutsche Bank in Australia, Merrill Lynch in Hong Kong and, most recently, Lehman Brothers in Hong Kong. He holds a Bachelor of Chemical Engineering (Extractive Metallurgy) from the University of Stellenbosch, South Africa, a Masters of Applied Finance, and a PhD in Chemical Engineering (Minerals Processing), from the University of Melbourne.He is also an Honorary Fellow at the Department of Chemical Engineering, University of Melbourne, Australia. Currently he served as SVP Business Development at Barrick Gold Corporation.</t>
  </si>
  <si>
    <t>johan.vanjaarsveld@bhp.com</t>
  </si>
  <si>
    <t>130296-16P</t>
  </si>
  <si>
    <t>Josephine Tan</t>
  </si>
  <si>
    <t>Josephine</t>
  </si>
  <si>
    <t>Ms. Josephine Tan serves as Vice President Mergers, Acquisition at BHP Group. She was a Founding Member of Sandown Bay Resource Capital. She serves as independent director of Australian Governance Masters Index Fund Ltd. Ms. Tan was a former Executive Director at UBS Investment Bank.</t>
  </si>
  <si>
    <t>jtan@bhp.com</t>
  </si>
  <si>
    <t>Vice President Mergers, Acquisition</t>
  </si>
  <si>
    <t>142842-07P</t>
  </si>
  <si>
    <t>Megan Saleeba</t>
  </si>
  <si>
    <t>Saleeba</t>
  </si>
  <si>
    <t>Ms. Megan Saleeba serves as Vice President Mergers &amp; Acquisitions at BHP Group. Previously she served as Senior Manager Commercial.</t>
  </si>
  <si>
    <t>megan.saleeba@bhp.com</t>
  </si>
  <si>
    <t>Vice President Mergers &amp; Acquisitions</t>
  </si>
  <si>
    <t>220654-81P</t>
  </si>
  <si>
    <t>Michael Henry</t>
  </si>
  <si>
    <t>Mr. Mike Henry serves as Chief Executive Officer &amp; Board Member at BHP Group. Mr. Henry has over 30 years of experience in the global mining and petroleum industry, spanning operational, commercial, safety, technology, and marketing roles. Mike joined BHP in 2003 and has been a member of the Executive Leadership Team since 2011. Before joining BHP, Mike worked in the resources industry in Canada, Japan, and Australia. Mike brings deep operational and market knowledge across a range of commodities and a strategic approach to resource and skills development to implement BHP's strategy and future growth options that will support global economic growth and decarbonization. He is focused on creating a safe, high-performance culture, enabled by an inclusive workplace in which people are empowered at every level through the BHP operating system. Mike is committed to building strong relationships with governments, Indigenous partners, community stakeholders, and business partners to ensure BHP's activities deliver mutual benefit to these stakeholders while driving strong value for shareholders. Mike brings a disciplined approach to the Board's considerations of capital allocation in assets, technology, commodities, and risk management.</t>
  </si>
  <si>
    <t>mhenry@bhp.com</t>
  </si>
  <si>
    <t>276261-85P</t>
  </si>
  <si>
    <t>Ragnar Udd</t>
  </si>
  <si>
    <t>Ragnar</t>
  </si>
  <si>
    <t>Udd</t>
  </si>
  <si>
    <t>Mr. Ragnar Udd serves as President, Minerals Americas at BHP Group. He has more than 20 years of experience in the global resources industry, including in Australia and North America, and brings strong operational and leadership experience. He joined BHP in 1997 and has held a number of senior leadership positions across operations, logistics, projects, infrastructure and technology. In 2015, he was appointed BHP Mitsubishi Alliance (BMA) Asset President. He served as president of the Queensland Resources Council from 2016 to 2019. He has held a number of senior leadership positions across BHP in operations, logistics, projects and technology, including most recently as Acting Chief Technology Officer.</t>
  </si>
  <si>
    <t>rudd@bhp.com</t>
  </si>
  <si>
    <t>390899-98P</t>
  </si>
  <si>
    <t>Rod Mainland</t>
  </si>
  <si>
    <t>Rod</t>
  </si>
  <si>
    <t>Mainland</t>
  </si>
  <si>
    <t>Mr. Rod Mainland serves as Vice President Portfolio Strategy &amp; Development at BHP Group. He serves as Board Member at I-ROX..</t>
  </si>
  <si>
    <t>rod.mainland@bhp.com</t>
  </si>
  <si>
    <t>Vice President Portfolio Strategy &amp; Development</t>
  </si>
  <si>
    <t>305646-31P</t>
  </si>
  <si>
    <t>Ron McNeilly</t>
  </si>
  <si>
    <t>McNeilly</t>
  </si>
  <si>
    <t>Mr. Ron McNeilly serves as Executive Director, Global Markets at BHP Group.</t>
  </si>
  <si>
    <t>ron.mcneilly@bhp.com</t>
  </si>
  <si>
    <t>Executive Director, Global Markets</t>
  </si>
  <si>
    <t>271839-16P</t>
  </si>
  <si>
    <t>Stefanie Wilkinson</t>
  </si>
  <si>
    <t>Wilkinson</t>
  </si>
  <si>
    <t>Ms. Stefanie Wilkinson serves as Group Company Secretary, Administration at BHP Group.Ms Wilkinson was appointed Group Company Secretary effective March 2021. Prior to joining BHP, Stefanie was a Partner at Herbert Smith Freehills, a firm she was with for 15 years, specializing in corporate law and governance for listed companies. Earlier in her career, Stefanie was a solicitor at Allen &amp; Overy in the Middle East. Stefanie is a fellow of the Governance Institute of Australia.</t>
  </si>
  <si>
    <t>stefanie.wilkinson@bhp.com</t>
  </si>
  <si>
    <t>General Counsel, Legal &amp; Secretary, Administration</t>
  </si>
  <si>
    <t>427345-30P</t>
  </si>
  <si>
    <t>Tim O'Connor</t>
  </si>
  <si>
    <t>Mr. Tim O'Connor serves as Group Exploration Officer at BHP Group.</t>
  </si>
  <si>
    <t>Group Exploration Officer</t>
  </si>
  <si>
    <t>217570-69P</t>
  </si>
  <si>
    <t>Vandita Pant</t>
  </si>
  <si>
    <t>Vandita</t>
  </si>
  <si>
    <t>Pant</t>
  </si>
  <si>
    <t>Ms. Vandita Pant serves as Chief Financial Officer at BHP Group. She also serves as Chairwoman of the Board at BHP Billiton Foundation. She joined BHP in 2016 and was appointed Chief Commercial Officer in July 2019, with global accountabilities for Marketing, Procurement, Maritime and Logistics, and for developing the Company's views on global commodities markets. Prior to this role, she was Group Treasurer and Head of Europe. Before joining BHP, she held roles with ABN Amro and Royal Bank of Scotland and has lived and worked in Singapore, India, Japan, and the UK. She holds a Bachelor of Commerce (Hons) degree from Delhi University and an MBA from the Indian Institute of Management (IIM), Lucknow.</t>
  </si>
  <si>
    <t>vandita.pant@bhp.com</t>
  </si>
  <si>
    <t>349307-11P</t>
  </si>
  <si>
    <t>Anat Bujanover</t>
  </si>
  <si>
    <t>Anat</t>
  </si>
  <si>
    <t>Bujanover</t>
  </si>
  <si>
    <t>BIRD Foundation</t>
  </si>
  <si>
    <t>Mr. Anat Bujanover serves as Director, West Coast at BIRD Foundation.</t>
  </si>
  <si>
    <t>+972 (0)3 698 8300</t>
  </si>
  <si>
    <t>anatb@birdf.com</t>
  </si>
  <si>
    <t>Tel Aviv</t>
  </si>
  <si>
    <t>Tel Aviv, Israel</t>
  </si>
  <si>
    <t>Park Atidim</t>
  </si>
  <si>
    <t>Building 4, 15th floor</t>
  </si>
  <si>
    <t>6158001</t>
  </si>
  <si>
    <t>Israel</t>
  </si>
  <si>
    <t>+972 (0)3 698 8327</t>
  </si>
  <si>
    <t>Director, West Coast</t>
  </si>
  <si>
    <t>35680-15P</t>
  </si>
  <si>
    <t>Jaron Lotan</t>
  </si>
  <si>
    <t>Jaron</t>
  </si>
  <si>
    <t>Lotan</t>
  </si>
  <si>
    <t>JARON LOTAN has served as a Director and the Chairman of the Board. He also serves as Executive Director at BIRD Foundation. Mr. Lotan currently serves as Chief Operating Officer of Gilat Satellite Networks (NASDAQ: GILT, TASE), a provider of satellite and hybrid networking products, services, and solutions. He currently serves also on the board of directors of Magink Display Technologies. Mr. Lotan served as the President and Chief Operating Officer of Technomatix Technologies Ltd., a provider of digital manufacturing solutions, from October 2002 until the sale of that company to UGS Corp. in April 2005. He was appointed Chief Executive Officer of Technomatix in January 2004. Following the acquisition of Technomatix Technologies Ltd., Mr. Lotan served as Senior Vice President of UGS Corp. from April 2005 until September 2005. Prior to joining Technorati in October 2002, he was corporate executive vice president for business and strategy at Orbotech Ltd., a supplier of automated optical inspection and other productivity solutions for the electronics industry, responsible for the worldwide sales, marketing, and support organization, corporate marketing activities, and strategy and business development. Prior to this, Mr. Lotan served as president of the Orbotech PCB Division and president of Orbotech Europe. Before joining Orbotech in 1992, he co-founded and served as general manager, in North America for Rosh Intelligent Systems, a software company offering knowledge-based solutions to customer support organizations. Mr. Lotan holds a B.A. in Economics and Mathematics and an M.A. in Economics both from the Hebrew University in Jerusalem, Israel.</t>
  </si>
  <si>
    <t>+1 (908) 526-7756</t>
  </si>
  <si>
    <t>Bridgewater</t>
  </si>
  <si>
    <t>Bridgewater, NJ</t>
  </si>
  <si>
    <t>991 Highway 22 West</t>
  </si>
  <si>
    <t>08807</t>
  </si>
  <si>
    <t>+1 (908) 864-8099</t>
  </si>
  <si>
    <t>RadView Software</t>
  </si>
  <si>
    <t>235234-72P</t>
  </si>
  <si>
    <t>Omer Carmel</t>
  </si>
  <si>
    <t>Omer</t>
  </si>
  <si>
    <t>Carmel</t>
  </si>
  <si>
    <t>Mr. Omer Carmel serves as Director of Business Development at BIRD Foundation.</t>
  </si>
  <si>
    <t>omer@birdf.com</t>
  </si>
  <si>
    <t>Director of Business Development</t>
  </si>
  <si>
    <t>14088-88P</t>
  </si>
  <si>
    <t>Phillip Singerman Ph.D</t>
  </si>
  <si>
    <t>Singerman</t>
  </si>
  <si>
    <t>Dr. Phillip Singerman serves as Associate Director for Innovation and Industry Services at the National Institute of Standards and Technology. He also serves as a Board Member at TEDCO. In this capacity, he is responsible for the NIST suite of external partnership programs, including the Hollings Manufacturing Extension Partnership, the Baldrige Performance Excellence Program, the Office of Advanced Manufacturing, NIST technology transfer, economic analysis, and small business innovation research awards. Mr. Singerman serves as the Advisor to the Board of the Israel-U.S. Binational Industrial Research and Development (BIRD) Foundation and on the U.S. - India Science &amp; Technology Endowment Board (STEB) and the Stakeholders Council of the Advanced Functional Fabrics of America (AFFOA). Mr. Singerman was appointed to his position in January 2011. Immediately prior to joining NIST, he was a Senior Vice President at B&amp;D Consulting, a DC-based firm providing strategic advice and technical assistance on federal economic development programs to non-profit organizations, local governments, and universities. Previously he was a managing director of a$120 million seed-stage venture fund that invested in biotechnology. Mr. Singerman has more than 35 years of experience in tech-based economic development; he was the first chief executive of two of the best-known and longest-lasting private-public partnerships; the Ben Franklin Technology Center of Southeastern Pennsylvania and the Maryland Technology Development Corporation. During the Clinton Administration, he served as U.S. Assistant Secretary of Commerce for Economic Development, a Presidential appointment requiring Senate confirmation. He holds a Ph.D. in Political Science from Yale University and a BA in Political Science from Oberlin College.</t>
  </si>
  <si>
    <t>+1 (301) 975-2340</t>
  </si>
  <si>
    <t>phillip.singerman@nist.gov</t>
  </si>
  <si>
    <t>Gaithersburg</t>
  </si>
  <si>
    <t>Gaithersburg, MD</t>
  </si>
  <si>
    <t>100 Bureau Drive</t>
  </si>
  <si>
    <t>Maryland</t>
  </si>
  <si>
    <t>20899</t>
  </si>
  <si>
    <t>Associate Director for Innovation and Industry Services</t>
  </si>
  <si>
    <t>National Institute of Standards and Technology</t>
  </si>
  <si>
    <t>442715-50P</t>
  </si>
  <si>
    <t>Rotem Palash</t>
  </si>
  <si>
    <t>Rotem</t>
  </si>
  <si>
    <t>Palash</t>
  </si>
  <si>
    <t>Ms. Rotem Palash serves as Chief Financial Officer at BIRD Foundation.</t>
  </si>
  <si>
    <t>+972 (0)3 698 8305</t>
  </si>
  <si>
    <t>rotem@birdf.com</t>
  </si>
  <si>
    <t>106336-00P</t>
  </si>
  <si>
    <t>Ian McDonald</t>
  </si>
  <si>
    <t>McDonald</t>
  </si>
  <si>
    <t>Black &amp; Mcdonald</t>
  </si>
  <si>
    <t>Mr. Ian McDonald serves as Co-Chief Executive Officer at Black &amp; Mcdonald.</t>
  </si>
  <si>
    <t>+1 (416) 920-5100</t>
  </si>
  <si>
    <t>imcdonald@blackandmcdonald.com</t>
  </si>
  <si>
    <t>2 Bloor Street East</t>
  </si>
  <si>
    <t>Suite 2100</t>
  </si>
  <si>
    <t>M4W 1A8</t>
  </si>
  <si>
    <t>Co-Chief Executive Officer</t>
  </si>
  <si>
    <t>215036-38P</t>
  </si>
  <si>
    <t>Abhijeet Naik</t>
  </si>
  <si>
    <t>Abhijeet</t>
  </si>
  <si>
    <t>Naik</t>
  </si>
  <si>
    <t>Black &amp; Veatch</t>
  </si>
  <si>
    <t>Mr. Abhijeet Naik serves as Managing Director, Asset Management Utility Infrastructure at Black &amp; Veatch.</t>
  </si>
  <si>
    <t>+1 (913) 359-1622</t>
  </si>
  <si>
    <t>naikav@bv.com</t>
  </si>
  <si>
    <t>Overland Park</t>
  </si>
  <si>
    <t>Overland Park, KS</t>
  </si>
  <si>
    <t>11401 Lamar Avenue</t>
  </si>
  <si>
    <t>Kansas</t>
  </si>
  <si>
    <t>66211</t>
  </si>
  <si>
    <t>Managing Director, Asset Management Utility Infrastructure</t>
  </si>
  <si>
    <t>411230-17P</t>
  </si>
  <si>
    <t>Alex Bettencourt</t>
  </si>
  <si>
    <t>Bettencourt</t>
  </si>
  <si>
    <t>Mr. Alex Bettencourt serves as Senior Managing Director, Business Development at Black &amp; Veatch. He is a Senior Managing Director in Management Consulting and is responsible for Canadian practice and Electrification of Transportation offerings globally. Mr. Bettencourt is a recognized thought leader in the field of grid modernization and a pioneer in fleet electrification. He has led multiple large projects that have spanned the breadth of the utility, including transmission station upgrades, control centre upgrades, distribution modernization and technology projects. He is well-versed in the technical aspects of building and operating the power grid.</t>
  </si>
  <si>
    <t>Senior Managing Director, Business Development</t>
  </si>
  <si>
    <t>367681-60P</t>
  </si>
  <si>
    <t>Andrea Bernica JD</t>
  </si>
  <si>
    <t>Bernica</t>
  </si>
  <si>
    <t>Board Member &amp; Chief People Officer</t>
  </si>
  <si>
    <t>Ms. Andrea Bernica serves as Board Member, Chief People Officer &amp; President at Black &amp; Veatch. She is responsible for leading all elements of the Global HR strategy and for managing talent and organizational capability across the organization by cultivating an inclusive and high-performing work environment with professionals from diverse backgrounds. Her integrity, deep understanding of our culture, and passion for fostering employee growth and development align with our company's values and performance priorities. With more than 20 years of industry and legal experience, including 12 years with Black &amp; Veatch, Her most recently served as Chief of Staff and previously as Lead Employment and Corporate Counsel. Before joining Black &amp; Veatch she was an attorney at three major law firms.</t>
  </si>
  <si>
    <t>bernicaa@bv.com</t>
  </si>
  <si>
    <t>Chief People Officer &amp; Board Member, President</t>
  </si>
  <si>
    <t>58683-43P</t>
  </si>
  <si>
    <t>Andrew McMaster Jr.</t>
  </si>
  <si>
    <t>McMaster</t>
  </si>
  <si>
    <t>Mr. Andrew McMaster serves as Trustee, Chairman of the Audit and Compliance Committee, &amp; Member of the Executive, Financial Management, Governance, and Investment Committees at Hobart and William Smith Colleges. He joined Black &amp; Veatch's board of directors in June 2015, serving as an independent director and chair of the audit committee. In May 2015, Mr. McMaster retired from Deloitte &amp; Touche LLP, one of the world's largest professional services networks providing audit, tax, consulting, enterprise risk, and financial advisory services. At Deloitte &amp; Touche, he served as senior partner, deputy chief executive officer, and vice-chairman. He also serves as Trustee, Co-Chairman of the Investment Committee &amp; Member of the Executive Committee, the Financial Management Committee, and the Governance Committee at Hobart and William Smith Colleges. He serves as the Independent Lead Director at Black &amp; Veatch.</t>
  </si>
  <si>
    <t>+1 (315) 781-3449</t>
  </si>
  <si>
    <t>anmcmaster@deloitte.com</t>
  </si>
  <si>
    <t>Independent Lead Director</t>
  </si>
  <si>
    <t>411225-58P</t>
  </si>
  <si>
    <t>Ann Bui</t>
  </si>
  <si>
    <t>Ann</t>
  </si>
  <si>
    <t>Bui</t>
  </si>
  <si>
    <t>Ms. Ann Bui serves as Senior Managing Director at Black &amp; Veatch. She has more than 30 years of experience working with utilities on more than 400 engagements and has provided financial and business planning services for public and investor-owned utilities across the US of all different sizes ranging from those with less than 5,000 service connections to those that serve populations over 3 million.</t>
  </si>
  <si>
    <t>buia@bv.com</t>
  </si>
  <si>
    <t>414353-80P</t>
  </si>
  <si>
    <t>Ashley Davidson</t>
  </si>
  <si>
    <t>Chief Marketing Officer &amp; Senior Vice President</t>
  </si>
  <si>
    <t>Mr. Ashley Davidson serves as Chief Marketing Officer &amp; Senior Vice President at Black &amp; Veatch.</t>
  </si>
  <si>
    <t>340477-57P</t>
  </si>
  <si>
    <t>Brad Hardin</t>
  </si>
  <si>
    <t>Hardin</t>
  </si>
  <si>
    <t>Mr. Brad Hardin serves as President and Executive Vice President at Diode Ventures. Mr. Hardin serv es as Chief Executive Officer at The Green Korea. Mr. Hardin has twenty years of experience as a construction executive, architect, entrepreneur and business leader, He is known for his ability to create better business models, find solutions and create seamless client experiences. As the leader of Diode Ventures, a Black &amp; Veatch company, He and his team develop turnkey infrastructure solutions for customers seeking to scale their businesses and build a more sustainable future all around the world. Prior to managing the Diode Ventures business, He served as the Chief Technology Officer for Black &amp; Veatch for five years.</t>
  </si>
  <si>
    <t>+1 (913) 458-2000</t>
  </si>
  <si>
    <t>hardinb@diodeventures.com</t>
  </si>
  <si>
    <t>President &amp; Executive Vice President</t>
  </si>
  <si>
    <t>Diode Ventures</t>
  </si>
  <si>
    <t>399124-45P</t>
  </si>
  <si>
    <t>Charlie Sanchez</t>
  </si>
  <si>
    <t>Charlie</t>
  </si>
  <si>
    <t>Sanchez</t>
  </si>
  <si>
    <t>Mr. Charlie Sanchez serves as President of Strategic Advisory and Lifecycle Resiliency Services at Black &amp; Veatch. Most recently, he served as an innovation and consulting leader at Deloitte &amp; Touche, LLP in Houston, TX, where he focused on Digital, AI, Value Chain Optimization, Climate Change, and Energy Transition. Throughout his career, he has excelled in delivering meaningful results and growing new service offerings in complex business initiatives.</t>
  </si>
  <si>
    <t>sanchezc@bv.com</t>
  </si>
  <si>
    <t>President of Strategic Advisory and Lifecycle Resiliency Services</t>
  </si>
  <si>
    <t>411229-18P</t>
  </si>
  <si>
    <t>Chris Billinger</t>
  </si>
  <si>
    <t>Billinger</t>
  </si>
  <si>
    <t>Mr. Chris Billinger serves as Principal at Black &amp; Veatch. He helps facilitate merger and acquisition transactions and project financing critical infrastructure (power, water, telecom, and oil &amp; gas) by advising clients on the technical aspects of the assets underlying those transactions.</t>
  </si>
  <si>
    <t>246738-52P</t>
  </si>
  <si>
    <t>Christopher Murphy</t>
  </si>
  <si>
    <t>Murphy</t>
  </si>
  <si>
    <t>Mr. Christopher Murphy serves as Global Chief Technology Officer at Black &amp; Veatch. Before joining Black &amp; Veatch in 2020, he served as a global IT leader for solutions architecture at The Coca-Cola Company from October 2011 through September 2019. In that role, Murphy guided the strategic design, architecture and implementation of critical products and projects developed by regional development centers for Marketing and Public Affairs, Communications and Sustainability (PACS). Along the way, he led and influenced the strategy, roadmap, alignment, acquisition and consolidation of technologies and technical services used for tactical and strategic initiatives. Prior to that, Murphy was an independent consultant at J3 Development Inc. for nearly seven years.</t>
  </si>
  <si>
    <t>Global Chief Technology Officer</t>
  </si>
  <si>
    <t>411226-30P</t>
  </si>
  <si>
    <t>David Shallberg</t>
  </si>
  <si>
    <t>Shallberg</t>
  </si>
  <si>
    <t>Mr. David Shallberg serves as Managing Director, Transactions at Black &amp; Veatch. He has more than 27 years of experience in the power industry and is responsible for directing and performing technical due diligence and independent engineering assessments for new construction projects, transaction support for asset sales, and valuation for owners, developers and project lenders.</t>
  </si>
  <si>
    <t>shallbergd@bv.com</t>
  </si>
  <si>
    <t>Managing Director, Transactions</t>
  </si>
  <si>
    <t>215036-83P</t>
  </si>
  <si>
    <t>Doug Preece</t>
  </si>
  <si>
    <t>Preece</t>
  </si>
  <si>
    <t>Mr. Doug Preece serves as Managing Director, Operational Technology at Black &amp; Veatch.</t>
  </si>
  <si>
    <t>preecedr@bv.com</t>
  </si>
  <si>
    <t>Managing Director, Operational Technology</t>
  </si>
  <si>
    <t>411227-38P</t>
  </si>
  <si>
    <t>Heather Donaldson</t>
  </si>
  <si>
    <t>Donaldson</t>
  </si>
  <si>
    <t>Ms. Heather Donaldson serves as Managing Director, Strategy &amp; Planning at Black &amp; Veatch. She is a recognized thought leader serving as a member and advisor in forums focused on enabling technical capabilities, business model and policy changes. Her experience spans electricity industry domains including distributed energy resource integration, grid modernization, wholesale markets, and distribution and transmission planning.</t>
  </si>
  <si>
    <t>donaldsonh@bv.com</t>
  </si>
  <si>
    <t>Managing Director, Strategy &amp; Planning</t>
  </si>
  <si>
    <t>411226-93P</t>
  </si>
  <si>
    <t>Hua Fang Ph.D</t>
  </si>
  <si>
    <t>Dr. Hua Fang serves as Managing Director, Strategy &amp; Planning at Black &amp; Veatch. She oversees Black &amp; Veatch's Energy Market Perspective (EMP), a comprehensive long-term projection of energy market outlook, incorporating the latest development in renewable and storage technology trends, resource costs, environmental policy, federal and state energy initiatives, as well as all aspects of the natural gas and other fuels market trends, utilizing sophisticated software tools such as PLEXOS and GPCM.</t>
  </si>
  <si>
    <t>fangh@bv.com</t>
  </si>
  <si>
    <t>219749-14P</t>
  </si>
  <si>
    <t>Hyleme George</t>
  </si>
  <si>
    <t>Hyleme</t>
  </si>
  <si>
    <t>Mr. Hyleme George serves as Vice President, Mergers &amp; Acquisitions at Black &amp; Veatch. He served as Executive at Black &amp; Veatch Cleantech Accelerator.</t>
  </si>
  <si>
    <t>georgehs@bv.com</t>
  </si>
  <si>
    <t>Vice President, Mergers &amp; Acquisitions</t>
  </si>
  <si>
    <t>386500-87P</t>
  </si>
  <si>
    <t>Jason Haney</t>
  </si>
  <si>
    <t>Haney</t>
  </si>
  <si>
    <t>Mr. Jason Haney serves as Co-Founder of Innovative Floating Solutions at Black &amp; Veatch.</t>
  </si>
  <si>
    <t>jason-haney@bv.com</t>
  </si>
  <si>
    <t>Co-Founder of Innovative Floating Solutions</t>
  </si>
  <si>
    <t>281121-49P</t>
  </si>
  <si>
    <t>Jeffrey Spivak</t>
  </si>
  <si>
    <t>Spivak</t>
  </si>
  <si>
    <t>Mr. Jeffrey Spivak serves as Market Insights Director at Black &amp; Veatch.</t>
  </si>
  <si>
    <t>spivakjg@bv.com</t>
  </si>
  <si>
    <t>Market Insights Director</t>
  </si>
  <si>
    <t>254654-56P</t>
  </si>
  <si>
    <t>Kristie Deiuliis</t>
  </si>
  <si>
    <t>Kristie</t>
  </si>
  <si>
    <t>Deiuliis</t>
  </si>
  <si>
    <t>Ms. Kristie Deiuliis serves as Managing Director, Strategy &amp; Planning at Black &amp; Veatch. Kristie's 25-year career is characterized by three strength threads: collaborative strategy, flexible exploring, and innovative execution. She has applied her hybrid capabilities to develop the strategies and tactics (like an executive GPS) to execute and scale the dreams of visionaries.</t>
  </si>
  <si>
    <t>+1 (781) 273-5700</t>
  </si>
  <si>
    <t>369994-78P</t>
  </si>
  <si>
    <t>Laszlo von Lazar</t>
  </si>
  <si>
    <t>Laszlo</t>
  </si>
  <si>
    <t>von Lazar</t>
  </si>
  <si>
    <t>Mr. Laszlo von Lazar serves as President at Black &amp; Veatch. He earned a Master of Law and Diplomacy from the Fletcher School of Law and Diplomacy at Tufts University in Massachusetts, and a Bachelor of International Relations also from Tufts University. Having joined Black &amp; Veatch in 2019 as leader of global projects for the company's previous power organization, he oversaw engineering, procurement, construction, quality, and business excellence. Laszlo was named the company's president of BV Operations in 2021 as part of a companywide transformation, successfully establishing BV Ops and its critical role within the company's global operating model. His project execution experience spans the company's diverse client base and geographies.</t>
  </si>
  <si>
    <t>President, Energy &amp; Process Industries</t>
  </si>
  <si>
    <t>411225-94P</t>
  </si>
  <si>
    <t>Marc Lipski</t>
  </si>
  <si>
    <t>Lipski</t>
  </si>
  <si>
    <t>Mr. Marc Lipski serves as Managing Director at Black &amp; Veatch. Mr. Lipski offers expertise in strategy development, technical and business needs assessment and analysis, technology roadmap development, program implementation, and meter standards compliance. He is a technical professional with more than 30 years of experience in the energy and utility arena managing complex projects, product development and implementation, solutions and services, and business relationships. He focuses on many of the smart technologies and advanced applications that comprise the Smart Grid solution set, particularly smart metering and advanced metering infrastructure (AMI) solutions, data management (MDMS), demand response, underlying telecommunications networks and related technologies. He offers expertise in strategy development, technical and business needs assessment and analysis, technology roadmap development, program implementation, and meter standards compliance. He supports smart grid, smart meter, meter data management, demand response, implementation and deployment management, and related technology initiatives for utilities.</t>
  </si>
  <si>
    <t>249584-68P</t>
  </si>
  <si>
    <t>Mario Azar</t>
  </si>
  <si>
    <t>Mario</t>
  </si>
  <si>
    <t>Azar</t>
  </si>
  <si>
    <t>Mr. Mario Azar serves as Chief Executive Officer and chairman at Black &amp; Veatch. He has served as president of Black &amp; Veatch's power business since joining the company in December 2018. A 30-year energy industry veteran who also serves on the company's executive committee, Mr. Azar leads all aspects of the power business, including strategy, business development, project execution, operations, workforce planning, and organizational capability and effectiveness. He also serves on the company's Executive Committee. Before joining Black &amp; Veatch, Azar held several other diverse energy positions, including being the founder of ALP Citadel Business Management Consulting &amp; Services, where he offered strategic guidance to companies in the global energy market. He also served as CEO of Siemens Oil &amp; Gas and Marine, an engineered solutions and integration business unit operating globally in over 21 countries.</t>
  </si>
  <si>
    <t>azarm@bv.com</t>
  </si>
  <si>
    <t>281120-95P</t>
  </si>
  <si>
    <t>Mark Shreve</t>
  </si>
  <si>
    <t>Shreve</t>
  </si>
  <si>
    <t>Mr. Mark Shreve serves as Product Development Lead at Black &amp; Veatch.</t>
  </si>
  <si>
    <t>shrevema@bv.com</t>
  </si>
  <si>
    <t>Product Development Lead</t>
  </si>
  <si>
    <t>415369-72P</t>
  </si>
  <si>
    <t>Mark Vranicar</t>
  </si>
  <si>
    <t>Vranicar</t>
  </si>
  <si>
    <t>Mr. Mark Vranicar serves as Manager at Black &amp; Veatch.</t>
  </si>
  <si>
    <t>vranicarm@bv.com</t>
  </si>
  <si>
    <t>369967-96P</t>
  </si>
  <si>
    <t>Matt Futch</t>
  </si>
  <si>
    <t>Futch</t>
  </si>
  <si>
    <t>Mr. Matt Futch serves as Managing Director at Black &amp; Veatch.</t>
  </si>
  <si>
    <t>+1 303-638-9412</t>
  </si>
  <si>
    <t>244897-66P</t>
  </si>
  <si>
    <t>Michael Adams</t>
  </si>
  <si>
    <t>Mr. Michael Adams serves as Chief Digital Technology Officer at Black &amp; Veatch. Earlier he served as Chief Information Officer at Brunswick (US). In this role, he is responsible for leading and overseeing the vision, strategy and operations of Brunswick's IT organization. In addition, he provides strategic leadership and direction for Brunswick and its business units while delivering technology solutions that will continue to drive innovation and operational excellence throughout the organization. Mr. Adams held various leadership roles since joining the company including Chief Architect, interim Chief Information Security Officer, Vice President of Infrastructure, Cloud, and Operations and, most recently, Divisional CIO for Business Acceleration. In addition, he is a certified Lean Six Sigma Black Belt who will continue to transform Brunswick's digital capability globally. Prior to joining Brunswick, Mr. Adams spent 15 years at DuPont in various leadership roles in Global Infrastructure and Data Transformation. Mr. Adams earned his bachelor's degree in business administration and Bachelor of Science from William &amp; Mary and his Master of Business Administration, specializing in international business and global management, from Drexel University.</t>
  </si>
  <si>
    <t>Chief Digital Technology Officer</t>
  </si>
  <si>
    <t>369993-79P</t>
  </si>
  <si>
    <t>Michael Orth</t>
  </si>
  <si>
    <t>Orth</t>
  </si>
  <si>
    <t>Mr. Michael Orth serves as CHIEF EXECUTIVE OFFICER at Gannett Fleming. He served as Co-Chief Executive Officer at Gannett Fleming and President, Governments &amp; Environment and Connectivity, Commercial &amp; Industrial at Black &amp; Veatch. Bringing nearly 36 years of dynamic leadership experience to the recently merged firm. He drives GFT's strategic vision and propels the firm's continued growth and expansion in current and new markets. Orth previously served as president of governments and communities at Black &amp; Veatch, where he provided federal, state, and local clients with water, power, environmental, and mission-critical solutions. A recognized AEC industry thought leader, Orth was a member of the Forbes Business Council and executive sponsor of the United Way.</t>
  </si>
  <si>
    <t>+1 (717) 763-7211</t>
  </si>
  <si>
    <t>morth@gftinc.com</t>
  </si>
  <si>
    <t>300 Sterling Parkway</t>
  </si>
  <si>
    <t>17050</t>
  </si>
  <si>
    <t>+1 (717) 763-8150</t>
  </si>
  <si>
    <t>CHIEF EXECUTIVE OFFICER</t>
  </si>
  <si>
    <t>Gannett Fleming</t>
  </si>
  <si>
    <t>328579-03P</t>
  </si>
  <si>
    <t>Michael Williams</t>
  </si>
  <si>
    <t>Mr. Michael Williams serves as Chief Financial Officer at Black &amp; Veatch. He has extensive expertise in all aspects of corporate financial operations and systems, as well as contract and change management, process improvement, project management, and professional development. Previously Black &amp; Veatch's Senior Vice President of Finance and Treasurer, Williams has served in several financial leadership positions since joining the company in 2011, including at the corporate level and as Director of Finance for the company's former telecommunications business. A model of the employee-owner mindset, Williams was an instrumental leader during Black &amp; Veatch's companywide transformation, which aligned the organization to meet the global megatrends reshaping the world of critical human infrastructure and the rapidly expanding need for innovative solutions.</t>
  </si>
  <si>
    <t>353597-32P</t>
  </si>
  <si>
    <t>Narsingh Chaudhary</t>
  </si>
  <si>
    <t>Narsingh</t>
  </si>
  <si>
    <t>Chaudhary</t>
  </si>
  <si>
    <t>Mr. Narsingh Chaudhary serves as President of Fuels &amp; Natural Resources (FNR) at Black &amp; Veatch. He leads the region providing adapted, scaled, and market-specific solutions to clients, capitalizing on the company's integrated solutions across its full portfolio from consulting and services to lump-sum turnkey infrastructure solutions. The company actively supports the region's energy transition - deploying emerging decarbonization, hydrogen, renewables, and energy storage solutions - and works across many sectors including power, gas, alternative fuels and chemicals, data centers, mining, and next-generation agriculture. Narsingh has been with Black &amp; Veatch for four years and previously worked for Siemens.</t>
  </si>
  <si>
    <t>chaudharyn@bv.com</t>
  </si>
  <si>
    <t>President of Fuels &amp; Natural Resources (FNR)</t>
  </si>
  <si>
    <t>227628-82P</t>
  </si>
  <si>
    <t>Oscar Falcon</t>
  </si>
  <si>
    <t>Oscar</t>
  </si>
  <si>
    <t>Falcon</t>
  </si>
  <si>
    <t>Managing Director &amp; Senior Vice President</t>
  </si>
  <si>
    <t>Mr. Oscar Falcon serves as Senior Vice President &amp; Managing Director, Power - Latin America at Black &amp; Veatch.</t>
  </si>
  <si>
    <t>Senior Vice President &amp; Managing Director, Power - Latin America</t>
  </si>
  <si>
    <t>290705-86P</t>
  </si>
  <si>
    <t>Patrick Hogan Ph.D</t>
  </si>
  <si>
    <t>Hogan</t>
  </si>
  <si>
    <t>Mr. Patrick Hogan serves as Chief Client Officer at Black &amp; Veatch. He serves as a Board Member at Acalvio. He served as Managing Director at Honeywell Ventures. At Honeywell, he had previously held a number of executive leadership roles focused on the translation of strategy into accelerated execution of new differentiated solutions combined with competitive commercialization capabilities. With three decades of proven leadership experience in solving critical customer problems on a global scale, he has a true passion for improving the customer experience with new business models and advanced service levels. Prior to Honeywell, He had a number of leadership roles in growing technology-centric portfolios in life sciences, energy, IT/OT, and manufacturing.</t>
  </si>
  <si>
    <t>patrickhogan@bv.com</t>
  </si>
  <si>
    <t>Chief Client Officer</t>
  </si>
  <si>
    <t>411231-88P</t>
  </si>
  <si>
    <t>Payam Yeganah</t>
  </si>
  <si>
    <t>Payam</t>
  </si>
  <si>
    <t>Yeganah</t>
  </si>
  <si>
    <t>Mr. Payam Yeganah serves as Managing Director at Black &amp; Veatch. He is a business consultant and a deep technologist with over 20 years' experience in Energy &amp; Utilities (Electricity, Water, Oil and Gas) including more than 15 years in business consulting services and technical solutions delivery.</t>
  </si>
  <si>
    <t>174467-08P</t>
  </si>
  <si>
    <t>Randy Woelfel</t>
  </si>
  <si>
    <t>Randy</t>
  </si>
  <si>
    <t>Woelfel</t>
  </si>
  <si>
    <t>Mr. Randy Woelfel serves as an Independent Director at Black &amp; Veatch. He was the Chief Executive Officer of NOVA Chemicals from 2009 to 2014. He has 37 years of extensive industry experience, beginning his career with Shell Oil Company in 1977. While at Shell Oil, he was a key member of the team that helped create Montell Polyolefins - today part of Lyondell Basell. He subsequently held the positions of President of Basell International and President of Basell North America. Before joining NOVA Chemicals, he was Managing Director of Energy for the Houston Technology Center, Texas' largest incubator and accelerator for emerging technology companies; and President of Cereplast, Inc., a bioplastics developer.</t>
  </si>
  <si>
    <t>Independent Director</t>
  </si>
  <si>
    <t>297237-79P</t>
  </si>
  <si>
    <t>Richard Azer</t>
  </si>
  <si>
    <t>Azer</t>
  </si>
  <si>
    <t>Assistant Vice President &amp; Associate</t>
  </si>
  <si>
    <t>Mr. Richard Azer is a Founding Member, Growth Accelerator and serves as Assistant Vice President &amp; Associate, Strategy &amp; Innovation at Black &amp; Veatch. He commercializes new technologies and service offerings that extend the company's position as a leader in critical human infrastructure, with a focus on the intersection of the physical and digital worlds. Azer has led many of Black &amp; Veatch's advanced transportation initiatives, including a nationwide network of high-power electric vehicle charging stations, multiple hyperloop feasibility studies, projects related to the implementation of connected, autonomous vehicle and smart city mobility infrastructure. Prior to joining Black &amp; Veatch, Azer worked for a number of years at Qualcomm. He is cochair of the Board of Directors at Cleantech San Diego.</t>
  </si>
  <si>
    <t>azerre@bv.com</t>
  </si>
  <si>
    <t>Founding Member, Growth Accelerator, Assistant Vice President &amp; Associate, Strategy &amp; Innovation</t>
  </si>
  <si>
    <t>215037-19P</t>
  </si>
  <si>
    <t>Robert Wilhite III</t>
  </si>
  <si>
    <t>Wilhite</t>
  </si>
  <si>
    <t>Director &amp; Senior Vice President</t>
  </si>
  <si>
    <t>Mr. Robert Wilhite serves as Senior Vice President and Director of global Distributed Energy at Black &amp; Veatch. Rob Wilhite leads Black &amp; Veatch's Global Distributed Energy business line. This includes the design, engineering, development, and monitoring/maintenance of client-sustainable power solutions, including distributed generation, microgrids, battery energy storage, asset management services, and utility grid services.</t>
  </si>
  <si>
    <t>robert.wilhite@kema.com</t>
  </si>
  <si>
    <t>Strategic Advisory Lead, Senior Vice President</t>
  </si>
  <si>
    <t>281120-05P</t>
  </si>
  <si>
    <t>Ryan Pletka</t>
  </si>
  <si>
    <t>Pletka</t>
  </si>
  <si>
    <t>Mr. Ryan Pletka serves as Vice President - Growth Accelerator at Black &amp; Veatch. He serves as Vice President, Growth Accelerator at Black &amp; Veatch IgniteX.</t>
  </si>
  <si>
    <t>pletkarj@bv.com</t>
  </si>
  <si>
    <t>Vice President - Growth Accelerator</t>
  </si>
  <si>
    <t>277142-68P</t>
  </si>
  <si>
    <t>Shibu Cherian</t>
  </si>
  <si>
    <t>Shibu</t>
  </si>
  <si>
    <t>Cherian</t>
  </si>
  <si>
    <t>Chief Information Officer &amp; Vice President</t>
  </si>
  <si>
    <t>Mr. Shibu Cherian serves as Vice President &amp; Chief Information and Security Officer at Black &amp; Veatch. He serves as Advisor, Enterprise at Tau Ventures. He leads the Information Technology (IT) services team which provides the company's global workforce with the tools and technologies needed to offer world-class solutions and services to clients. In addition, he serves as the company's Chief Information Security Officer. He has more than 20 years of global experience in Technology Management, Digital Strategy, Cybersecurity Protection, and Risk Management. He has led in the areas of IT Strategy Development, IT Services, Cybersecurity Program Management, Architecture and Engineering, Cloud Enablement, Cyber Operations, M&amp;A Risk Assessment, Product Security, and Risk Management in various industries including Critical Infrastructure, Financial &amp; Accounting Services, Retail /eCommerce, Consulting, Healthcare, and Telecommunication. He earned a Bachelor's degree in Management Information Systems from the Dominican College of New York; and a Master's degree in Information Technology and E-commerce Management from Pace University.</t>
  </si>
  <si>
    <t>cherians@bv.com</t>
  </si>
  <si>
    <t>Vice President &amp; Chief Information and Security Officer</t>
  </si>
  <si>
    <t>399187-54P</t>
  </si>
  <si>
    <t>Steve Meck JD</t>
  </si>
  <si>
    <t>Meck</t>
  </si>
  <si>
    <t>Chief Compliance Officer &amp; Executive</t>
  </si>
  <si>
    <t>Mr. Steve Meck serves as General Counsel, Chief Compliance Officer &amp; Board Secretary at Black &amp; Veatch. He oversees all legal affairs, risk management and compliance initiatives across the company's global business. He also as guides the in-house legal compliance and government affairs business enablement functions.</t>
  </si>
  <si>
    <t>General Counsel, Chief Compliance Officer &amp; Board Secretary</t>
  </si>
  <si>
    <t>411225-04P</t>
  </si>
  <si>
    <t>Steve Uhlmansiek</t>
  </si>
  <si>
    <t>Uhlmansiek</t>
  </si>
  <si>
    <t>Mr. Steve Uhlmansiek serves as Vice President &amp; Chief of Staff at Black &amp; Veatch. He works alongside Chairman and CEO Mario Azar on companywide strategic objectives and helps to prioritize and track the progress of companywide initiatives as well as manage follow-through on decisions and actions for Black &amp; Veatch's Board of Directors.</t>
  </si>
  <si>
    <t>uhlmansieks@bv.com</t>
  </si>
  <si>
    <t>Vice President &amp; Chief of Staff</t>
  </si>
  <si>
    <t>411231-25P</t>
  </si>
  <si>
    <t>Thiam Giam</t>
  </si>
  <si>
    <t>Thiam</t>
  </si>
  <si>
    <t>Giam</t>
  </si>
  <si>
    <t>Mr. Thiam Giam serves as Senior Managing Director at Black &amp; Veatch. He has successfully completed various due diligence engagements (technical, environmental, market analysis) related to development, transaction and refinancing of various energy and water projects/companies globally. His areas of expertise include business and proposal development, client relationship management, project management, business process review, contract review/negotiation, vendor/subcontractor management, independent engineering due diligence, litigation support, interconnection study/procedure review, cost estimates, budgeting, cost control, proposal preparation, procurement, critical path method (CPM) scheduling, optimal power generation expansion modeling, production costing (financial) modeling, protective relay setting, substation electrical arrangement, and control and protection design.</t>
  </si>
  <si>
    <t>411228-64P</t>
  </si>
  <si>
    <t>Yatin Premchand</t>
  </si>
  <si>
    <t>Yatin</t>
  </si>
  <si>
    <t>Premchand</t>
  </si>
  <si>
    <t>Mr. Yatin Premchand serves as Managing Director, APAC, Global Advisory at Black &amp; Veatch. As a strategic specialist, he guides private and public sector infrastructure investments, and the development and implementation of decarbonization pathways, strategies, technologies, and projects.</t>
  </si>
  <si>
    <t>+65 6955 7648</t>
  </si>
  <si>
    <t>premchandy@bv.com</t>
  </si>
  <si>
    <t>18 Robinson Road</t>
  </si>
  <si>
    <t>Number 16-01, Suites 1637, 1638</t>
  </si>
  <si>
    <t>048547</t>
  </si>
  <si>
    <t>Managing Director, APAC, Global Advisory</t>
  </si>
  <si>
    <t>271716-94P</t>
  </si>
  <si>
    <t>Himalaya Rao</t>
  </si>
  <si>
    <t>Himalaya</t>
  </si>
  <si>
    <t>Rao</t>
  </si>
  <si>
    <t>Black Founders Matter</t>
  </si>
  <si>
    <t>Ms. Himalaya Rao serves as Managing Director and Fund Manager at Black Founders Matter. She serves as Managing Partner at The BFM Fund. She serves as Angel Investor at She is one of the Managing Directors of the Black Founders Matter Fund which is a $10mm seed-stage fund focused on highly scalable Black-led deal flow within the United States, Prior to becoming a General Partner, she worked as a Venture Capital Consultant for seven different firms along the West Coast. She continues to work with Portland Seed Fund as their diligence lead and is actively fundraising and deploying from the Black Founders Matter Fund. She has a passion for expanding the accessibility of entrepreneurship to BIPOC and rural communities as a pathway for economic development and generational wealth building.</t>
  </si>
  <si>
    <t>+1 (203) 526-9305</t>
  </si>
  <si>
    <t>himalayarao@bfm.fund</t>
  </si>
  <si>
    <t>Hampton</t>
  </si>
  <si>
    <t>Hampton, VA</t>
  </si>
  <si>
    <t>134 Harris Creek Road</t>
  </si>
  <si>
    <t>23669</t>
  </si>
  <si>
    <t>237573-64P</t>
  </si>
  <si>
    <t>Marceau Michel</t>
  </si>
  <si>
    <t>Marceau</t>
  </si>
  <si>
    <t>Michel</t>
  </si>
  <si>
    <t>Mr. Marceau Michel is the Founder and serves as Managing Director at Black Founders Matter. After leaving a long career as an ordained minister, he got his start in the startup business world by winning TechStars Startup Weekend late in 2016. He went on to launch Werkhorse, an on-demand staffing platform for the gig economy. He became an Entrepreneur in Residence at the Jaguar Land Rover Incubator before being invited to the 2018 PIE (Portland Incubator Experiment). In 2017, he launched the Black Founders Matter Apparel line to raise awareness about the disparity in funding between Black entrepreneurs and their White counterparts. In 2018, he became an Analyst for Rogue Venture Partners. He has served as a judge for TechfestNW, InventOR and many other local and regional startup competitions in Oregon and the Pacific Northwest. He also serves as a Mentor in Residence at PIE and actively advises several startups.</t>
  </si>
  <si>
    <t>+1 (718) 341-0040</t>
  </si>
  <si>
    <t>marceau-michel@blackfoundersmatter.org</t>
  </si>
  <si>
    <t>378496-81P</t>
  </si>
  <si>
    <t>Rachel Wilson</t>
  </si>
  <si>
    <t>Ms. Rachel Wilson serves as a Managing Partner at Black Founders Matter.</t>
  </si>
  <si>
    <t>216207-55P</t>
  </si>
  <si>
    <t>Aarthi Sowrirajan</t>
  </si>
  <si>
    <t>Aarthi</t>
  </si>
  <si>
    <t>Sowrirajan</t>
  </si>
  <si>
    <t>BlackRock</t>
  </si>
  <si>
    <t>Ms. Aarthi Sowrirajan serves as Managing Director &amp; Co-Head of Portfolio Management for BlackRock Impact Opportunities at BlackRock. She serves as Board Member at Conexon and Acelero Learning. She also serves as a Board Member at Equitable Facilities Fund. She served as Managing Director at Turner Impact Capital.She is a Managing Director and Co-Head of Portfolio Management for the BlackRock Impact Opportunities (BIO) Fund within the Equity Private Markets team.</t>
  </si>
  <si>
    <t>+1 (212) 810-5800</t>
  </si>
  <si>
    <t>a.sowrirajan@blackrock.com</t>
  </si>
  <si>
    <t>50 Hudson Yards</t>
  </si>
  <si>
    <t>Managing Director &amp; Co-Head of Portfolio Management for BlackRock Impact Opportunities</t>
  </si>
  <si>
    <t>410330-35P</t>
  </si>
  <si>
    <t>Abtine Vakilian</t>
  </si>
  <si>
    <t>Abtine</t>
  </si>
  <si>
    <t>Vakilian</t>
  </si>
  <si>
    <t>Mr. Fabien Vakilian serves as Vice President - Aladdin Business Development at BlackRock.</t>
  </si>
  <si>
    <t>abtine.vakilian@blackrock.com</t>
  </si>
  <si>
    <t>Vice President - Aladdin Business Development</t>
  </si>
  <si>
    <t>103223-08P</t>
  </si>
  <si>
    <t>Adam Ryan</t>
  </si>
  <si>
    <t>Chief Investment Officer &amp; Managing Director</t>
  </si>
  <si>
    <t>Mr. Adam Ryan serves as Managing Director, Co-Chief Investment Officer of Multi-Alternatives &amp; Head of the Diversified Strategies at BlackRock. He is Head of the Diversified Strategies team and is the lead portfolio manager of Dynamic Diversified Growth (DDG). He is also a portfolio manager for BGF Market Navigator and BlackRock Strategic Growth Funds. His service with the firm dates back to 1999, including his years with Merrill Lynch Investment Managers (MLIM), which merged with BlackRock in 2006. His background is in fixed-income portfolio management, where he was Head of Fixed Income for MLIM's Private Client business before developing and managing diversified multi-asset portfolios for both private and institutional clients. He earned a BA degree with honors in engineering from Cambridge University in 1991.</t>
  </si>
  <si>
    <t>+44 (0)20 7743 3000</t>
  </si>
  <si>
    <t>adam.ryan@blackrock.com</t>
  </si>
  <si>
    <t>12 Throgmorton Avenue</t>
  </si>
  <si>
    <t>Drapers Gardens</t>
  </si>
  <si>
    <t>EC2N 2DL</t>
  </si>
  <si>
    <t>Managing Director, Co-Chief Investment Officer of Multi-Alternatives &amp; Head of the Diversified Strategies</t>
  </si>
  <si>
    <t>60528-61P</t>
  </si>
  <si>
    <t>Adolfo Favieres</t>
  </si>
  <si>
    <t>Adolfo</t>
  </si>
  <si>
    <t>Favieres</t>
  </si>
  <si>
    <t>Mr. Adolfo Favieres serves as Managing Director &amp; Head of Real Estate Equity for Southern Europe at BlackRock. He also served as Head of Spain at Cornerstone Real Estate Advisers. Prior to joining H.I.G. Capital, he was Country Head of Lapithus (Apollo Management Group) for Spain and Portugal, where he was responsible for the management of a number of loans and REO portfolios owned by Apollo European Principal Finance Fund.</t>
  </si>
  <si>
    <t>+34 91 788 9400</t>
  </si>
  <si>
    <t>adolfo.favieres@blackrock.com</t>
  </si>
  <si>
    <t>Plaza Pablo Ruiz Picasso, North 1</t>
  </si>
  <si>
    <t>Torre Picasso</t>
  </si>
  <si>
    <t>28020</t>
  </si>
  <si>
    <t>Managing Director &amp; Head of Real Estate Equity for Southern Europe</t>
  </si>
  <si>
    <t>114319-90P</t>
  </si>
  <si>
    <t>Aitor Jauregui</t>
  </si>
  <si>
    <t>Aitor</t>
  </si>
  <si>
    <t>Jauregui</t>
  </si>
  <si>
    <t>Mr. Aitor Jauregui serves as Managing Director at BlackRock. Prior to joining BlackRock in March 2011, he worked for 7 years at EuroMTS, the leading electronic trading platform for fixed income products in Europe, as a senior sales manager and member of the executive committee. Previously, he worked for Safei Banca Privada for two years, where he was part of the wealth management team. He has extensive professional experience that includes asset management, investment banking, and private banking. He obtained a BA in Economics and Law from the University of Deusto (Bilbao) in 2002 and an Executive MBA from IESE in 2009. He also took an advanced course at IEB on Options and Futures in 2004.</t>
  </si>
  <si>
    <t>aitor.jauregui@blackrock.com</t>
  </si>
  <si>
    <t>83689-48P</t>
  </si>
  <si>
    <t>Alan Coffey</t>
  </si>
  <si>
    <t>Coffey</t>
  </si>
  <si>
    <t>Mr. Alan Coffey serves as Business Development Director at Baillie Gifford. Mr. Coffey serves as Director - Private Equity Fundraising, Europe at BlackRock. Mr. Coffey is an Angel investor. He served as Investment Director at SL Capital Partners. He is based in the Edinburgh office and joined SL Capital in 2014. He is responsible for developing private market solutions with investors across private equity, infrastructure and private credit. Prior to joining SL Capital, he worked at Goldman Sachs in London for ten years where he also focused on client solutions across private markets. He has a Bachelor of Business and Legal Studies from University College Dublin (Hons) and a Masters in Finance (Hons) from the Michael Smurfit Graduate School of Business, Dublin. He is also a CFA charterholder.</t>
  </si>
  <si>
    <t>+44 (0)13 1275 2000</t>
  </si>
  <si>
    <t>alan.coffey@bailliegifford.com</t>
  </si>
  <si>
    <t>Edinburgh</t>
  </si>
  <si>
    <t>Edinburgh, United Kingdom</t>
  </si>
  <si>
    <t>Calton Square</t>
  </si>
  <si>
    <t>1 Greenside Row</t>
  </si>
  <si>
    <t>EH1 3AN</t>
  </si>
  <si>
    <t>+44 (0)13 1275 3999</t>
  </si>
  <si>
    <t>Business Development Director</t>
  </si>
  <si>
    <t>Baillie Gifford</t>
  </si>
  <si>
    <t>158813-65P</t>
  </si>
  <si>
    <t>Alastair Bishop</t>
  </si>
  <si>
    <t>Bishop</t>
  </si>
  <si>
    <t>Mr. Alastair Bishop serves as Portfolio Manager at BlackRock. He was a Senior Research Analyst at Piper Jaffray. Prior to joining Piper Jaffray in 2009, he covered the Renewable Energy and Industrial sectors for 8 years at Dresdner Kleinwort. He earned a BSc degree in Economics from the University of Nottingham in 2001.</t>
  </si>
  <si>
    <t>alastair.bishop@blackrock.com</t>
  </si>
  <si>
    <t>340023-61P</t>
  </si>
  <si>
    <t>Aleksandar Zukanovic</t>
  </si>
  <si>
    <t>Aleksandar</t>
  </si>
  <si>
    <t>Zukanovic</t>
  </si>
  <si>
    <t>Mr. Aleksandar Zukanovic serves as Director at BlackRock.</t>
  </si>
  <si>
    <t>aleksandar.zukanovic@blackrock.com</t>
  </si>
  <si>
    <t>279853-03P</t>
  </si>
  <si>
    <t>Alexa Oyague</t>
  </si>
  <si>
    <t>Alexa</t>
  </si>
  <si>
    <t>Oyague</t>
  </si>
  <si>
    <t>Ms. Alexa Oyague serves as Director at BlackRock.</t>
  </si>
  <si>
    <t>alexa.oyague@blackrock.com</t>
  </si>
  <si>
    <t>63754-21P</t>
  </si>
  <si>
    <t>Alexander Tarantino</t>
  </si>
  <si>
    <t>Tarantino</t>
  </si>
  <si>
    <t>Mr. Alexander Tarantino serves as Commercial Director at Colmore. Mr. Tarantino serves as Managing Director at BlackRock. He served as a Director of Business Development at SS&amp;C Technologies. Previously, he served as a Product Manager of Private Equity &amp; Venture Capital at PrivCo. He has a degree in Political Science, Italian Studies from Università di Bologna and Bachelor of Arts in Government, Italian Studies from Cornell University.</t>
  </si>
  <si>
    <t>+44 (0)73 8726 6759</t>
  </si>
  <si>
    <t>atarantino@colmore.com</t>
  </si>
  <si>
    <t>Birmingham</t>
  </si>
  <si>
    <t>Birmingham, United Kingdom</t>
  </si>
  <si>
    <t>2 Colmore Square, 38</t>
  </si>
  <si>
    <t>Colmore Circus</t>
  </si>
  <si>
    <t>B4 6BN</t>
  </si>
  <si>
    <t>Commercial Director</t>
  </si>
  <si>
    <t>Colmore</t>
  </si>
  <si>
    <t>398890-27P</t>
  </si>
  <si>
    <t>Alexis Calmon</t>
  </si>
  <si>
    <t>Alexis</t>
  </si>
  <si>
    <t>Calmon</t>
  </si>
  <si>
    <t>Mr. Alexis Calmon serves as Head of Account Management at BlackRock. Alexis CALMON brings experience from previous roles at BlackRock, Front, and eFront (Paris). Alexis CALMON holds a 1999 - 2000 BA in Management &amp; Finance at Saint Louis University. With a robust skill set that includes Pre-sales, Financial Markets, Business Analysis, Business Development, Team Managemen,t and more.</t>
  </si>
  <si>
    <t>alexis.calmon@blackrock.com</t>
  </si>
  <si>
    <t>Head of Account Management</t>
  </si>
  <si>
    <t>338432-77P</t>
  </si>
  <si>
    <t>Alina Akbas</t>
  </si>
  <si>
    <t>Alina</t>
  </si>
  <si>
    <t>Akbas</t>
  </si>
  <si>
    <t>Ms. Alina Akbas serves as Vice President at BlackRock. Ms. Akbas served as Senior Account Manager, Germany at Preqin.</t>
  </si>
  <si>
    <t>alina.akbas@blackrock.com</t>
  </si>
  <si>
    <t>148857-04P</t>
  </si>
  <si>
    <t>Amra Balic</t>
  </si>
  <si>
    <t>Amra</t>
  </si>
  <si>
    <t>Balic</t>
  </si>
  <si>
    <t>Ms. Amra Balic serves as Managing Director, Global Head of Research &amp; Product Strategy &amp; Head of EMEA Investment Stewardship at BlackRock. She is responsible for leading BlackRock's investment stewardship efforts covering company engagement including voting in Europe, the Middle East, and Africa on behalf of BlackRock's clients globally. The team engages companies and others in the investment stewardship ecosystem to promote governance and business practices aligned with long-term value creation. She is a member of the Stewardship Global Executive Committee and EMEA Executive Investments Subcommittee. She currently serves on several industry bodies and initiatives to enhance governance and sustainable business practices including the UK Investment Association's Stewardship Committee, the UK Institute of Directors Center for Corporate Governance Advisory Board, the FRC Investor Advisory Board, Eumedion General Board, the UK Investor Forum Board of Directors and the ECGRF Board of Trustees. Previously she was a member of the European Commission (EC) Expert Group on technical aspects of corporate governance processes and the Pensions and Lifetime Savings Association (UK) Stewardship Advisory Group. She is an active participant in the public corporate governance, stewardship, and sustainably debate and regularly speaks on the importance of these issues for company performance and investment decisions. She is an alumna of BlackRock's Women's Leadership Forum. In 2019, she was named one of the "100 most influential women in European finance" by Financial News magazine. Before joining BlackRock, she spent years working on issues surrounding investors and investment decisions ranging from fixed income analysis, deal origination, investment appraisal, and management of research &amp; analytical content. She joined BlackRock after 11 years with Standard &amp; Poor's (now S&amp;P Global), where she was a Director in European Corporate Credit Ratings. She started her career at the European Bank for Reconstruction and Development (EBRD), London in 1997. She holds a B.A. (Hons) in Economics and an MSc in Accounting and Finance from the London School of Economics and Political Science (LSE).</t>
  </si>
  <si>
    <t>abalic@blackrock.com</t>
  </si>
  <si>
    <t>Managing Director, Global Head of Research &amp; Product Strategy &amp; Head of EMEA Investment Stewardship</t>
  </si>
  <si>
    <t>38154-70P</t>
  </si>
  <si>
    <t>Anders Engdahl</t>
  </si>
  <si>
    <t>Anders</t>
  </si>
  <si>
    <t>Engdahl</t>
  </si>
  <si>
    <t>Director &amp; Investor Relations</t>
  </si>
  <si>
    <t>Mr. Anders Engdahl serves as a Director - Credit Product Strategy &amp; Investor Relations at BlackRock. Mr. Anders Engdahl serves as Chairman at Waya Finance &amp; Technology. Mr. Anders Engdahl served as President &amp; Chief Executive Officer at Intrum. He served as Chief Financial Officer at Intrum. He has held this position since June 2017. Previous to that Engdahl was EVP Debt Purchasing at Lindorff. Anders started in Lindorff already in October 2014 as a consultant. He has an extensive international experience in investment banking and management consulting from Morgan Stanley, Goldman Sachs, Credit Suisse and McKinsey. At Morgan Stanley, Anders was a Managing Director and Head of Nordic Financial Institutions investment banking and has over the past two decades been involved in a large number of financial institutions M&amp;A and financing transactions including within the credit management services industry across Europe. Anders has a MSc (Business administration and Economics) degree from the Stockholm School of Economics.</t>
  </si>
  <si>
    <t>aengdahl@blackrock.com</t>
  </si>
  <si>
    <t>Director - Credit Product Strategy &amp; Investor Relations</t>
  </si>
  <si>
    <t>333915-04P</t>
  </si>
  <si>
    <t>André Bourbonnais</t>
  </si>
  <si>
    <t>André</t>
  </si>
  <si>
    <t>Bourbonnais</t>
  </si>
  <si>
    <t>Mr. André Bourbonnais serves as Managing Director, Executive Chairman of Long Term Private Capital &amp; Chairman of BlackRock Canada at BlackRock. He brings over 30 years of private equity investment and leadership experience. He has deep experience in TMT, Financial Services, and Industrials. He previously served as Senior Managing Director and Global Head of Private Investments at the Canada Pension Plan Investment Board (CPPIB).</t>
  </si>
  <si>
    <t>+1 (514) 843-5128</t>
  </si>
  <si>
    <t>Montreal</t>
  </si>
  <si>
    <t>Montreal, Canada</t>
  </si>
  <si>
    <t>1000 Sherbrooke Street West</t>
  </si>
  <si>
    <t>Quebec</t>
  </si>
  <si>
    <t>H3A 0A6</t>
  </si>
  <si>
    <t>Managing Director, Executive Chairman of Long Term Private Capital &amp; Chairman of BlackRock Canada</t>
  </si>
  <si>
    <t>102778-21P</t>
  </si>
  <si>
    <t>Andrew Ang Ph.D</t>
  </si>
  <si>
    <t>Dr. Andrew Ang served as Managing Director &amp; Head of Factors, Sustainable and Solutions for BlackRock Systematic at BlackRock. He also serves as a Member of the Investment Advisory Panel at Sarawak Sovereign Wealth Future Fund. He also serves as Senior Advisor to BlackRock Retirement Solutions. He is a well-known financial economist specializing in quantitative investing. Author of over 100 publications, he has published on equities, fixed income, optimal asset allocation, and alternative assets. He has written seminal papers in the area of factor investing, including the research behind the minimum volatility factor, incorporating macro factors into bond pricing models, and factor allocation. Before joining BlackRock, he was the Ann F. Kaplan Professor of Business at Columbia Business School. He was previously Chair of the Finance and Economics Division and a Faculty Research Fellow of the National Bureau of Economic Research. As a professor, he worked with several large institutional managers as an advisor. He earned a BEc(Hons) from Macquarie University and a Ph.D. in finance and MS in statistics from Stanford University.</t>
  </si>
  <si>
    <t>andrew.ang@blackrock.com</t>
  </si>
  <si>
    <t>Managing Director &amp; Head of Factors, Sustainable and Solutions for BlackRock Systematic</t>
  </si>
  <si>
    <t>42377-77P</t>
  </si>
  <si>
    <t>Andrew Landman</t>
  </si>
  <si>
    <t>Landman</t>
  </si>
  <si>
    <t>Mr. Andrew Landman serves as Deputy Head of APAC, Head of Southeast Asia and Oceania, Head of APAC Wealth at BlackRock. Previously, he worked at Ascalon as CEO and Head of Investment Strategy BT Financial Group. He also served as a CFO of Funds Management at Challenger. He holds an B.comm degree in Commerce from University of Newcastle.</t>
  </si>
  <si>
    <t>andrew.landman@blackrock.com</t>
  </si>
  <si>
    <t>371779-03P</t>
  </si>
  <si>
    <t>Anmay Dittman</t>
  </si>
  <si>
    <t>Anmay</t>
  </si>
  <si>
    <t>Dittman</t>
  </si>
  <si>
    <t>Managing Director &amp; Portfolio Manager</t>
  </si>
  <si>
    <t>Mr. Anmay Dittman serves as Managing Director, Senior Investor &amp; Portfolio Manager at BlackRock.</t>
  </si>
  <si>
    <t>anmay.dittman@blackrock.com</t>
  </si>
  <si>
    <t>Managing Director, Senior Investor &amp; Portfolio Manager</t>
  </si>
  <si>
    <t>85132-72P</t>
  </si>
  <si>
    <t>Anne Ackerley</t>
  </si>
  <si>
    <t>Ackerley</t>
  </si>
  <si>
    <t>Ms. Anne Ackerley serves as Senior Advisor on Retirement at BlackRock. Ms. Ackerley serves as Member of Board of Trustee at Northwestern Mutual. She is also a co-founder of BlackRock's Women's Network (WIN). Outside the industry, she is a trustee of the Mosaic Mental Health Association. She earned a BA degree, magna cum laude and Phi Beta Kappa, in economics from Harvard College in 1984, and an MBA degree from Harvard Business School in 1988. she has held various leadership positions and is a member of BlackRock's Global Operating Committee and Global Client Business Executive Committee. Prior to assuming her current role, Ackerley was BlackRock's Chief Marketing Officer, where she was responsible for driving the firm's marketing strategy and building the BlackRock brand. She also served as the Chief Operating Officer of BlackRock's Global Client Group and spent 15 years at Merrill Lynch in investment banking. Ackerley earned a bachelor's degree in economics, magna cum laude and Phi Beta Kappa.</t>
  </si>
  <si>
    <t>anne.ackerley@blackrock.com</t>
  </si>
  <si>
    <t>Senior Advisor on Retirement</t>
  </si>
  <si>
    <t>221344-75P</t>
  </si>
  <si>
    <t>Anthony Vitarelli</t>
  </si>
  <si>
    <t>Vitarelli</t>
  </si>
  <si>
    <t>Mr. Anthony Vitarelli serves as Managing Director &amp; Co-Chief Operating Officer, Legal &amp; Compliance at BlackRock. He served as President and General Counsel at Shogun.</t>
  </si>
  <si>
    <t>anthony.vitarelli@blackrock.com</t>
  </si>
  <si>
    <t>Managing Director &amp; Co-Chief Operating Officer, Legal &amp; Compliance</t>
  </si>
  <si>
    <t>74935-54P</t>
  </si>
  <si>
    <t>Antonio DeSpirito</t>
  </si>
  <si>
    <t>Antonio</t>
  </si>
  <si>
    <t>DeSpirito</t>
  </si>
  <si>
    <t>Mr. Antonio DeSpirito serves as Managing Director &amp; Global Co-Chief Investment Officer, US Fundamental Equities at BlackRock. He serves as Managing Principal and Portfolio Manager at Pzena Investment Management.</t>
  </si>
  <si>
    <t>tony.despirito@blackrock.com</t>
  </si>
  <si>
    <t>Managing Director &amp; Global Co-Chief Investment Officer, US Fundamental Equities</t>
  </si>
  <si>
    <t>86961-52P</t>
  </si>
  <si>
    <t>Armando Senra</t>
  </si>
  <si>
    <t>Armando</t>
  </si>
  <si>
    <t>Senra</t>
  </si>
  <si>
    <t>Mr. Armando Senra serves as Head of Americas Institutional Business &amp; Business in Canada, and Latin America at BlackRock. He also serves on EII's Management Committee and America's Executive Committee. He serves as president of the iShares Board, chairs the iShares Americas Executive Committee, and is a member of the Board of Directors for the Americas Society/Council of the Americas and 100 Women in Finance. In his current role, he is focused on unlocking growth and innovation for iShares - from investing in sustainability to fixed income to new client segments. His expertise in investing is focused on his drive for the unconventional, reflected through his global work and leadership at iShares. Prior to his current role with the firm, he was most recently the Head of Latin America and Iberia, responsible for all business activities in markets across the region. His service with the firm dates back to 1994, including his years with Merrill Lynch Investment Managers (MLIM), which merged with BlackRock in 2006. Throughout his career, he has held a number of leadership roles worldwide, including Head of Institutional and Wealth Business in Latin America &amp; Iberia, Country Head of Iberia, Head of MLIM's International Global Wealth Management Business, and Director of MLIM's Private Investor Business. He graduated from Universidad Antonio de Nebrija in Madrid, Spain, with a dual bachelor's degree in business management &amp; economics.</t>
  </si>
  <si>
    <t>armandos@blackrock.com</t>
  </si>
  <si>
    <t>Head of Americas Institutional Business &amp; Business in Canada, and Latin America</t>
  </si>
  <si>
    <t>330840-37P</t>
  </si>
  <si>
    <t>Ashleigh Jones</t>
  </si>
  <si>
    <t>Ashleigh</t>
  </si>
  <si>
    <t>Mr. Ashleigh Jones serves as Vice President at BlackRock. Mr. Ashleigh Jones served as Senior Account Manager at Preqin.</t>
  </si>
  <si>
    <t>ashleigh.jones@blackrock.com</t>
  </si>
  <si>
    <t>159531-94P</t>
  </si>
  <si>
    <t>Ashley Schulten</t>
  </si>
  <si>
    <t>Schulten</t>
  </si>
  <si>
    <t>Ms. Ashley Schulten serves as Head of ESG Investment, Global Fixed Income at BlackRock. Ms. Schulten is a portfolio manager on global green and socially responsible mandates She partners with BlackRock's Global Fixed Income teams to bring ESG and climate risk integration tools and strategies to the investment process. Previous to BlackRock, Ms. Schulten's work included 20 years as a sell-side interest rate and options trader. She is a member of the Global Fixed Income Executive Committee. Ms. Schulten earned a BA in Political Science from Vanderbilt University in 1992. She serves on the Executive Committee of Green Bond Principles and Cicero's Climate Finance Board. She is an Aspen Institutes First Mover Fellow. In her personal capacity, she sits on the Board of the Mianus River Gorge, the first Nature Conservancy land project.</t>
  </si>
  <si>
    <t>ashley.schulten@blackrock.com</t>
  </si>
  <si>
    <t>Head of ESG Investment, Global Fixed Income</t>
  </si>
  <si>
    <t>138874-33P</t>
  </si>
  <si>
    <t>Ashwin Laheja</t>
  </si>
  <si>
    <t>Ashwin</t>
  </si>
  <si>
    <t>Laheja</t>
  </si>
  <si>
    <t>Mr. Ashwin Laheja serves as a Portfolio Manager at BlackRock. He is a member of BlackRock's Financial Markets Advisory Group within BlackRock Solutions. He specializes in managing portfolios of CDOs and other credit derivatives. Prior to joining Blackrock in 2008, he was a Vice President in the Securitized Products Group of Morgan Stanley, where he structured, analyzed and traded CDOs. He earned a BS degree in chemical engineering from the Indian Institute of Technology Bombay in 1997, an MS degree in chemical engineering from Massachusetts Institute of Technology in 1999, and an MBA degree from the University of Chicago in 2005.</t>
  </si>
  <si>
    <t>ashwin.laheja@blackrock.com</t>
  </si>
  <si>
    <t>41942-53P</t>
  </si>
  <si>
    <t>Audrey Delorenzo</t>
  </si>
  <si>
    <t>Audrey</t>
  </si>
  <si>
    <t>Delorenzo</t>
  </si>
  <si>
    <t>Ms. Audrey Delorenzo serves as Vice President at BlackRock. She served as Account Manager at DMLT - Investment Cafe.</t>
  </si>
  <si>
    <t>audrey.delorenzo@blackrock.com</t>
  </si>
  <si>
    <t>412069-06P</t>
  </si>
  <si>
    <t>Audrey Gaillard</t>
  </si>
  <si>
    <t>Gaillard</t>
  </si>
  <si>
    <t>Fund Manager &amp; Vice President</t>
  </si>
  <si>
    <t>Mr. Audrey Gaillard serves as Vice President, Institutional Sales at BlackRock.</t>
  </si>
  <si>
    <t>audrey.gaillard@blackrock.com</t>
  </si>
  <si>
    <t>Vice President, Institutional Sales</t>
  </si>
  <si>
    <t>198222-94P</t>
  </si>
  <si>
    <t>Aurélie Maillard</t>
  </si>
  <si>
    <t>Aurélie</t>
  </si>
  <si>
    <t>Maillard</t>
  </si>
  <si>
    <t>Ms. Aurélie Maillard serves as Product Strategist &amp; Vice President at BlackRock. Ms. Maillard served as Head of Private Equity at Societe Generale Private Banking. Ms. Maillard served as Vice President, Investor Relations and Business Development at Flexstone Partners. Based in Geneva, she addresses investor queries and requests, maintains investor presentations, and diligence materials, and supports the fundraising process. She also coordinates the investor reporting and valuation processes. Before joining Euro Private Equity, a predecessor to Flexstone Partners, Aurélie worked as a Private Banker at Private Bank 1818 (Natixis Wealth Management) and oversaw the development of wealth management for regional banks. Aurélie holds a Master's degree from the EM Lyon, a Master's in civil law from Lyon III University, as well as a Master's in business law from UPEC, and a Bachelor's degree in law from Sheffield Hallam University (United Kingdom).</t>
  </si>
  <si>
    <t>+33 (0)1 56 43 29 00</t>
  </si>
  <si>
    <t>aurelie.maillard@blackrock.com</t>
  </si>
  <si>
    <t>Le Centorial</t>
  </si>
  <si>
    <t>16-18 rue du Quatre Septembre</t>
  </si>
  <si>
    <t>75002</t>
  </si>
  <si>
    <t>Product Strategist &amp; Vice President</t>
  </si>
  <si>
    <t>177768-28P</t>
  </si>
  <si>
    <t>Axel Christensen</t>
  </si>
  <si>
    <t>Christensen</t>
  </si>
  <si>
    <t>Mr. Axel Christensen serves as Managing Director and Chief Investment Strategist in Latin America &amp; Iberia at BlackRock. He serves as an Advisor at 30N Ventures. He served with the firm dating back to 2009, including time with Barclays Global Investors (BGI), which merged with BlackRock in December 2009. Before joining the firm, he was Chief Executive Officer for Cruz del Sur Inversiones, the financial services unit of the largest industrial group in Chile, from 2008 to 2009. From 2002 to 2007, he was Partner and Managing Director at Moneda Asset Management, the largest independent asset management firm in Chile. He also was the Chief Investment Officer at AFP Cuprum, one of Chile's largest pension fund managers, from 1997 to 2002. Between 1992 and 1997, he also held positions at Citicorp, McKinsey, and Banco de Santiago. He currently serves as a member of the Advisory Council on Capital Reform for Chile's Finance Ministry. He has also been a member of the Presidential Committee for Pension Reform in 2006, as well as an advisor to the World Bank and the Finance Ministry and Securities regulator in Chile. He was nominated to the Global Young Leaders program of the World Economic Forum in 2008. He earned an industrial engineering degree (with distinction) from the Catholic University of Chile in 1992 and an MBA from Stanford University in 1996, where he was an Arjay Miller Scholar. He is fluent in Spanish and English.</t>
  </si>
  <si>
    <t>axel.christensen@blackrock.com</t>
  </si>
  <si>
    <t>Managing Director, Chief Investment Strategist Latin America &amp; Iberia</t>
  </si>
  <si>
    <t>160212-70P</t>
  </si>
  <si>
    <t>Belinda Boa</t>
  </si>
  <si>
    <t>Belinda</t>
  </si>
  <si>
    <t>Boa</t>
  </si>
  <si>
    <t>Ms. Belinda Boa serves as a Managing Director, Head of Active Investments for Asia Pacific &amp; CIO of Emerging Markets at BlackRock. She is responsible for delivering investment excellence and success in the region, including overseeing regulated investor activities. Her role encompasses all areas of the Active Investment business, including Fundamental and Scientific Equity, Fixed Income, and Multi-Asset. Prior to her current role, she was the Head of Risk and Quantitative Analysis for Asia Pacific where she was responsible for all areas of risk across the region. She worked in quantitative finance in South Africa and for over 15 years in London, leading Risk and Quantitative Research teams for equity businesses. She is a member of the London Quant Group. She earned her degree with honours in Finance and Statistics from the University of the Witwatersrand, South Africa in 1995.</t>
  </si>
  <si>
    <t>+852 3903 2800</t>
  </si>
  <si>
    <t>belinda.boa@blackrock.com</t>
  </si>
  <si>
    <t>16th Floor Champion Tower</t>
  </si>
  <si>
    <t>Three Garden Road</t>
  </si>
  <si>
    <t>Managing Director, Head of Active Investments for Asia Pacific &amp; CIO of Emerging Markets</t>
  </si>
  <si>
    <t>348384-97P</t>
  </si>
  <si>
    <t>Benjamin Gregson</t>
  </si>
  <si>
    <t>Gregson</t>
  </si>
  <si>
    <t>Mr. Benjamin Gregson serves as Managing Director &amp; Head of Luxembourg Regulatory Governance at BlackRock.</t>
  </si>
  <si>
    <t>benjamin.gregson@blackrock.com</t>
  </si>
  <si>
    <t>Luxembourg, Luxembourg</t>
  </si>
  <si>
    <t>35a Avenue John Fitzgerald Kennedy</t>
  </si>
  <si>
    <t>Managing Director &amp; Head of Luxembourg Regulatory Governance</t>
  </si>
  <si>
    <t>186829-84P</t>
  </si>
  <si>
    <t>Bettina Mazzocchi-Mallarmé</t>
  </si>
  <si>
    <t>Bettina</t>
  </si>
  <si>
    <t>Mazzocchi-Mallarmé</t>
  </si>
  <si>
    <t>Ms. Bettina Mazzocchi-Mallarmé serves as a Head of Wealth Solutions EMEA, Multi-Asset Strategies &amp; Solutions at BlackRock. Before joining BlackRock last April, she was previously Country Head of France and Monaco at Pimco since 2008. Before that, she was head of Northern Europe, distribution, and account management. Other roles held between 2003 and 2007 were with Morgan Stanley and Bank of America where she focused on credit derivatives and structured credit respectively. She started her career at Credit Suisse First Boston in the debt capital markets unit in 2000. Head of iShares &amp; Wealth for FraBeLux</t>
  </si>
  <si>
    <t>bettina.mazzocchi@blackrock.com</t>
  </si>
  <si>
    <t>Head of Wealth Solutions EMEA, Multi-Asset Strategies &amp; Solutions</t>
  </si>
  <si>
    <t>412219-63P</t>
  </si>
  <si>
    <t>Björn Rasche</t>
  </si>
  <si>
    <t>Björn</t>
  </si>
  <si>
    <t>Rasche</t>
  </si>
  <si>
    <t>Mr. Björn Rasche serves as a Director at BlackRock.</t>
  </si>
  <si>
    <t>+49 (0)69 5050 0319 9</t>
  </si>
  <si>
    <t>brasche@blackrock.com</t>
  </si>
  <si>
    <t>Bockenheimer Landstrasse 2-4</t>
  </si>
  <si>
    <t>OpernTurm Complex</t>
  </si>
  <si>
    <t>60306</t>
  </si>
  <si>
    <t>138868-57P</t>
  </si>
  <si>
    <t>Brandon Hall</t>
  </si>
  <si>
    <t>Mr. Brandon Hall serves as Managing Director &amp; Deputy Co-Chief Operating Officer at BlackRock. Before joining BlackRock in 2010, he was a Senior Financial &amp; Policy Analyst at the Federal Reserve Bank of New York (FRBNY), where he provided senior management with analysis and policy guidance concerning the supervision of high-profile financial institutions. He earned a BA in Classics from Princeton University in 2002 and a Master in International Finance &amp; Comparative Education from Columbia University in 2007.</t>
  </si>
  <si>
    <t>bhall@blackrock.com</t>
  </si>
  <si>
    <t>Managing Director &amp; Deputy Co-Chief Operating Officer</t>
  </si>
  <si>
    <t>312707-26P</t>
  </si>
  <si>
    <t>Brendan Galloway</t>
  </si>
  <si>
    <t>Mr. Brendan Galloway serves as Head of European Opportunistic Credit at BlackRock.</t>
  </si>
  <si>
    <t>brendan.galloway@blackrock.com</t>
  </si>
  <si>
    <t>Head of European Opportunistic Credit</t>
  </si>
  <si>
    <t>41455-72P</t>
  </si>
  <si>
    <t>Brent Patry</t>
  </si>
  <si>
    <t>Patry</t>
  </si>
  <si>
    <t>Mr. Brent Patry serves as Managing Director and global Head of Equity Private Markets and Capital Markets at BlackRock. In 2020, he was asked to lead the newly created BCM group by integrating the Private and Public Capital Markets team to create one cohesive, scalable function. Before this current role, he was the founding member and head of the firm's Private Capital Markets Group (BPCM), now part of BCM. Before joining BlackRock in 2017, he spent over two decades leading, managing, and growing alternative asset origination and financing businesses. He is accomplished in financial sponsorship and corporate account coverage in the US, Canada, Europe, and Asia. Most recently, he spent 19 years at Credit Suisse, where he held some management roles, including Head of Leveraged Finance Capital Markets, Head of High Yield Capital Markets, and Managing Director of the Financial Sponsors Coverage Group. In many of these roles, he had senior responsibility for originating and underwriting a broad range of transactions across the capital structure, including loans, high yield, mezzanine, bridge loans, and equities. At Credit Suisse, he was the Chair of the US Capital Commitments Committee and a member of the Credit Executive, Fixed Income Operating, and Corporate Banking Oversight Committees. His earlier career included various investment banking and M&amp;A roles in Toronto, Calgary, Hong Kong, and New York at Scotia McLeod and RBC Dominion Securities. He earned a Bachelor of Commerce (Honors) and Bachelor of Arts from Queen's University in Kingston, Ontario, Canada, and is a CFA. He serves as a member of the Board of Directors for the Global Lyme Alliance.</t>
  </si>
  <si>
    <t>brent.patry@blackrock.com</t>
  </si>
  <si>
    <t>Managing Director &amp; Global Head of Equity Private Markets and Capital Markets</t>
  </si>
  <si>
    <t>395222-32P</t>
  </si>
  <si>
    <t>Brian Grossman</t>
  </si>
  <si>
    <t>Mr. Brian Grossman serves as a Managing Director &amp; Head of Business Development, Americas Product Strategy for Alternative Solutions Group at BlackRock. For the majority of my six years at BlackRock, he did not consider being openly gay as integral to my professional trajectory or contribution to the firm.</t>
  </si>
  <si>
    <t>brian.grossman@blackrock.com</t>
  </si>
  <si>
    <t>Managing Director &amp; Head of Business Development, Americas Product Strategy for Alternative Solutions Group</t>
  </si>
  <si>
    <t>260013-34P</t>
  </si>
  <si>
    <t>Bruno Barino</t>
  </si>
  <si>
    <t>Barino</t>
  </si>
  <si>
    <t>Mr. Bruno Barino serves as Chief Executive Officer, Brazil at BlackRock. He served as Co-Chief Executive Officer at Consenso.</t>
  </si>
  <si>
    <t>+1 (617) 357-1200</t>
  </si>
  <si>
    <t>bruno.barino@blackrock.com</t>
  </si>
  <si>
    <t>60 State Street</t>
  </si>
  <si>
    <t>02109</t>
  </si>
  <si>
    <t>Chief Executive Officer, Brazil</t>
  </si>
  <si>
    <t>92066-32P</t>
  </si>
  <si>
    <t>Cameron Alcala</t>
  </si>
  <si>
    <t>Alcala</t>
  </si>
  <si>
    <t>Mr. Cameron Alcala serves as Director at BlackRock.</t>
  </si>
  <si>
    <t>cameron.alcala@blackrock.com</t>
  </si>
  <si>
    <t>346022-20P</t>
  </si>
  <si>
    <t>Cameron Joyce</t>
  </si>
  <si>
    <t>Joyce</t>
  </si>
  <si>
    <t>Mr. Cameron Joyce serves as Director at BlackRock. Mr. Joyce served as Senior Vice President &amp; Head of Research Insights at Preqin. Mr. Joyce has 12 years of experience in the investment industry and is currently part of Preqin's Research Insights team based in London, focusing on private equity and venture capital. He previously worked on the international equity desk of a pension fund where he managed a $5bn allocation to Emerging Market equities in Asia. He is also a CFA Charterholder and an Economics graduate from the University of Manchester.</t>
  </si>
  <si>
    <t>joyce@blackrock.com</t>
  </si>
  <si>
    <t>42409-45P</t>
  </si>
  <si>
    <t>Camille de Lamotte</t>
  </si>
  <si>
    <t>Camille</t>
  </si>
  <si>
    <t>de Lamotte</t>
  </si>
  <si>
    <t>Mr. Camille de Lamotte serves as Co-Head of Private Debt Origination in France, Head of Origination in Spain and Managing Director at BlackRock. Mr. Camille de Lamotte served as France Head of Origination at The Goldman Sachs Group. Previously, he served as Director at GE Capital.</t>
  </si>
  <si>
    <t>camille.delamotte@blackrock.com</t>
  </si>
  <si>
    <t>Co-Head of Private Debt Origination in France, Head of Origination in Spain and Managing Director</t>
  </si>
  <si>
    <t>196065-28P</t>
  </si>
  <si>
    <t>Carlton Burrell</t>
  </si>
  <si>
    <t>Carlton</t>
  </si>
  <si>
    <t>Burrell</t>
  </si>
  <si>
    <t>Mr. Carlton Burrell serves as an Investor at BlackRock. He served as an Associate at FTV Capital. Prior to joining FTV Capital, Carlton was an investment banking analyst in the financial institutions group at Bank of America Merrill Lynch, where he worked primarily in the financial technology and insurance services verticals. He holds a degree in Master of Business Administration degree from Harvard Business School and graduated with a Bachelor of Science in Industrial and Labor Relations from Cornell University.</t>
  </si>
  <si>
    <t>carlton.burrell@blackrock.com</t>
  </si>
  <si>
    <t>412038-91P</t>
  </si>
  <si>
    <t>Carole Murienne</t>
  </si>
  <si>
    <t>Carole</t>
  </si>
  <si>
    <t>Murienne</t>
  </si>
  <si>
    <t>Ms. Carole Murienne serves as Institutional Sales Director, France Belgium and Luxemburg at BlackRock.</t>
  </si>
  <si>
    <t>carole.murienne@blackrock.com</t>
  </si>
  <si>
    <t>Institutional Sales Director, France Belgium and Luxemburg</t>
  </si>
  <si>
    <t>72590-23P</t>
  </si>
  <si>
    <t>Carolyn Glick</t>
  </si>
  <si>
    <t>Carolyn</t>
  </si>
  <si>
    <t>Glick</t>
  </si>
  <si>
    <t>Ms. Carolyn Glick serves as Managing Director at BlackRock. She also serves as Treasurer at Playingforchange. Ms. Glick serves as Director at Blackrock Capital Investment. She served as Director at Tennenbaum Capital Partners. Before joining TCP in 2014, Ms. Glick was a senior vice president at Bank of America Business Capital, responsible for loan originations and financial sponsor coverage. Before Bank of America, she was with Wells Fargo Capital Finance serving in various credit and originations roles, most recently as a business development officer responsible for originating, structuring, and managing asset-backed loans. She earned a Bachelor of Arts from Claremont McKenna College in Government &amp; Economics.</t>
  </si>
  <si>
    <t>+1 (310) 899-4965</t>
  </si>
  <si>
    <t>carolyn.glick@blackrock.com</t>
  </si>
  <si>
    <t>14702-50P</t>
  </si>
  <si>
    <t>Catherine Lynch</t>
  </si>
  <si>
    <t>Executive &amp; Trustee</t>
  </si>
  <si>
    <t>Ms. Catherine Lynch serves as a Member of the Investment Advisory Committee at the New York State Common Retirement Fund. She also serves on the Board of BlackRock Energy and Resources Trust. She served as the Chief Executive Officer and Chief Investment Officer of the National Railroad Retirement Investment Trust, benefiting the Board by providing business leadership experience and diverse knowledge of pensions and endowments. She serves as an Independent Trustee and Chairman of the Audit Committee at BlackRock. She earned a BA in Philosophy from Yale University.</t>
  </si>
  <si>
    <t>+1 (518) 474-4044</t>
  </si>
  <si>
    <t>Albany</t>
  </si>
  <si>
    <t>Albany, NY</t>
  </si>
  <si>
    <t>110 State Street</t>
  </si>
  <si>
    <t>12236</t>
  </si>
  <si>
    <t>+1 (518) 473-9560</t>
  </si>
  <si>
    <t>Member of the Investment Advisory Committee</t>
  </si>
  <si>
    <t>New York State Common Retirement Fund</t>
  </si>
  <si>
    <t>415480-33P</t>
  </si>
  <si>
    <t>Catherine Streeter</t>
  </si>
  <si>
    <t>Streeter</t>
  </si>
  <si>
    <t>Ms. Catherine Streeter serves as Director &amp; Head of Non-Bank Financial Institutions (NBFI) Sales - International Cash Management at BlackRock.</t>
  </si>
  <si>
    <t>catherine.streeter@blackrock.com</t>
  </si>
  <si>
    <t>Director &amp; Head of Non-Bank Financial Institutions (NBFI) Sales - International Cash Management</t>
  </si>
  <si>
    <t>189192-43P</t>
  </si>
  <si>
    <t>Celia Yan</t>
  </si>
  <si>
    <t>Celia</t>
  </si>
  <si>
    <t>Ms. Celia Yan serves as Managing Director &amp; Head of APAC Private Credit at BlackRock. Celia Yan, Managing Director, is the Head of APAC Private Credit within BlackRock Alternatives. Celia is the Chair of the Investment Committee and is the Lead Portfolio Manager of Blackrock's APAC Private Credit funds. She is responsible for leading the platform, originating and executing investment opportunities, leading the investment process, and maintaining relationships with key deal sources and intermediaries across APAC. Celia serves on BlackRock's Global Private Credit Executive Committee and is also a senior member of the Asian Fixed Income &amp; Credit leadership team. Prior to joining Blackrock in 2020, Celia was the Head of Greater China with ADM Capital where she joined in 2011. As a senior private credit investor, she led the overall investment strategy and specialized in sourcing and executing private credit investments with Chinese angles, including inbound deals to mainland China and outbound deals across Asia and globally. Prior to that, Celia worked for National Australia Bank in Melbourne, where she advised on investment, performance and risk analysis solutions. Celia has a Bachelor of Commerce from The University of Melbourne (Australia), a Master of Applied Econometrics from Monash University (Australia), and is currently pursuing a Finance EMBA with PBCSF, Tsinghua University (China). She also serves as Partner at Apollo Global Management.</t>
  </si>
  <si>
    <t>celia.yan@blackrock.com</t>
  </si>
  <si>
    <t>Managing Director &amp; Head of APAC Private Credit</t>
  </si>
  <si>
    <t>138870-10P</t>
  </si>
  <si>
    <t>Charles Hatami</t>
  </si>
  <si>
    <t>Hatami</t>
  </si>
  <si>
    <t>Mr. Charles Hatami serves as Senior Managing Director, Member of BlackRock's Global Executive Committee &amp; Global Head of the Financial &amp; Strategic Investors Group at BlackRock. He is also responsible for BlackRock's advisory business, which delivers a range of balance sheet management &amp; analytics, capital markets, and portfolio construction services to banks, insurance companies, and official institutions globally. Before joining BlackRock in 2010, he served as the Managing Partner of Xeryus Capital Management, a boutique global macro hedge fund he founded in London, UK. Previously, he worked at Banco Itau in Sao Paulo, Brazil. Before that, he worked as a research analyst at a hedge fund in NYC and in risk management at BNP Paribas in Frankfurt, Germany. He serves as a member of the Executive Council of the International Insurance Society, a global forum for all insurance industry stakeholders. He also serves as an Advisory Board member of the MIT Golub Center for Finance &amp; Policy. He earned an MBA degree with a concentration in finance from the Massachusetts Institute of Technology Sloan School of Management, and an MSc. in Financial Engineering, with honors, from Leonardo Da Vinci Engineering School in Paris, France.</t>
  </si>
  <si>
    <t>chatami@blackrock.com</t>
  </si>
  <si>
    <t>Senior Managing Director, Member of BlackRock's Global Executive Committee &amp; Global Head of the Financial &amp; Strategic Investors Group</t>
  </si>
  <si>
    <t>133205-86P</t>
  </si>
  <si>
    <t>Charley Hung</t>
  </si>
  <si>
    <t>Charley</t>
  </si>
  <si>
    <t>Hung</t>
  </si>
  <si>
    <t>Mr. Charley Hung serves as Managing Director &amp; Portfolio Manager at BlackRock. He served as Portfolio Management &amp; Investments Analyst at Rock Maple Funds.</t>
  </si>
  <si>
    <t>charley.hung@blackrock.com</t>
  </si>
  <si>
    <t>242668-90P</t>
  </si>
  <si>
    <t>Charlie Reid</t>
  </si>
  <si>
    <t>Mr. Charlie Reid serves as Managing Director at BlackRock. He is a founding member of BlackRock Renewable Power and BlackRock Infrastructure having joined the team upon its formation in 2011. As a Senior Portfolio Manager and Head of APAC, he is responsible for leading investment and portfolio management activities across the region, as well as sourcing, executing, and managing renewable infrastructure assets. He established the Renewable Income platform which now manages over US$2.2bn of capital and has invested in over 60 wind and solar assets in a range of markets across Europe. Before joining BlackRock, He worked in corporate and energy finance for NTR plc, the Clinton Foundation, and Lazard. He earned an MA in Modern Languages from the University of Oxford with first-class honors.</t>
  </si>
  <si>
    <t>charlie.reid@blackrock.com</t>
  </si>
  <si>
    <t>417522-25P</t>
  </si>
  <si>
    <t>Charlotte Mansson</t>
  </si>
  <si>
    <t>Charlotte</t>
  </si>
  <si>
    <t>Mansson</t>
  </si>
  <si>
    <t>Charlotte Mansson serves as Head of Sustainable &amp; Transition Solution, Nordics and Netherlands at BlackRock.</t>
  </si>
  <si>
    <t>charlotte.mansson@blackrock.com</t>
  </si>
  <si>
    <t>Head of Sustainable &amp; Transition Solution, Nordics and Netherlands</t>
  </si>
  <si>
    <t>86764-33P</t>
  </si>
  <si>
    <t>Chris McCormack</t>
  </si>
  <si>
    <t>McCormack</t>
  </si>
  <si>
    <t>Mr. Chris McCormack serves as a Director &amp; Head, Development EMEA at BlackRock. He served as Director - Asset and Development Management at MGPA.</t>
  </si>
  <si>
    <t>chris.mccormack@blackrock.com</t>
  </si>
  <si>
    <t>Director &amp; Head, Development EMEA</t>
  </si>
  <si>
    <t>56170-54P</t>
  </si>
  <si>
    <t>Christian Clausen</t>
  </si>
  <si>
    <t>Clausen</t>
  </si>
  <si>
    <t>Board Member &amp; Executive</t>
  </si>
  <si>
    <t>Mr. Christian Clausen serves as a Board Member and Chairman of the Nordic Region at BlackRock. Mr. Clausen is also a Board Member of Sampo Plc. He was previously President of the European Banking Federation, the Swedish Banking Association, the Danish Stockbrokers Association, and Nordea Bank subsidiaries in various countries. He was also a Board Member of the OMX Exchanges Ltd, Stockholm Stock Exchange, and Copenhagen Stock Exchange amongst others. Mr. Clausen began his career in the 1970s. From 1979 - 1987, he held Management positions at Erik Møllers Efterfølgere A/S, Andelsbanken A/S, and Henriques Bank. Mr. Clausen became the Managing Director of Privatbørsen in 1988. When Unibank was formed in 1990, Mr. Clausen was appointed Managing Director and Chief Executive of Unibørs Securities, and later in 1996, he became Managing Director and Chief Executive of Unibank Markets. In 1998, Mr. Clausen was appointed Member of the Executive Board of Unibank. When Nordea was formed in 2000 as a result of the merger between MeritaNordbanken, Unidanmark, and Christiania Bank, Mr. Clausen became Head of Asset Management &amp; Life and a Member of the Group Executive Management of Nordea. On 13 April 2007, Mr. Clausen assumed the position of President and Group CEO of Nordea and held the position until October 2015, when he stepped down to take on an advisory role. Mr. Clausen holds a Master of Science (Economics) from Copenhagen University.</t>
  </si>
  <si>
    <t>christian.clausen@blackrock.com</t>
  </si>
  <si>
    <t>Board Member &amp; Chairman, Nordic Region</t>
  </si>
  <si>
    <t>122940-82P</t>
  </si>
  <si>
    <t>Christopher Accettella</t>
  </si>
  <si>
    <t>Accettella</t>
  </si>
  <si>
    <t>Mr. Christopher Accettella serves as Director of Portfolio Management &amp; Trading at BlackRock. Prior to joining BlackRock in 2005, Mr. Accettella was an institutional sales trader with American Technology Research. From 2001 to 2003, he was with Deutsche Asset Management where he was responsible for derivatives and program trading. Prior to that, he was a senior associate in the Pacific Basin Equity Group at Scudder Investments Singapore Limited. Mr. Accettella began his investment career in 1997 as a portfolio analyst in the European Equity group of Scudder Kemper Investments, Inc.</t>
  </si>
  <si>
    <t>christopher.accettella@blackrock.com</t>
  </si>
  <si>
    <t>Director of Portfolio Management &amp; Trading</t>
  </si>
  <si>
    <t>34993-27P</t>
  </si>
  <si>
    <t>Christopher Brown</t>
  </si>
  <si>
    <t>Mr. Christopher Brown serves as Managing Director at BlackRock. He is responsible for all audit and advisory activities for Investment businesses, as well as managing relationships with the relevant senior executives. He moved to London in January 2018 after three years working in New York as a Director on the Internal Audit team. Prior to joining BlackRock, he spent over six years in the Financial Advisory Services practice at AlixPartners, where he assisted clients in assessing risks and navigating through high-profile fraud, compliance, and regulatory-related matters in addition to analyzing complex financial transactions. He started his career in the Investment Banking Division at Lehman Brothers where he covered Industrial companies; he also worked as a Foreign Exchange Salesperson for two years while at Lehman Brothers covering institutional accounts and regional banks. He earned an MS in Accountancy from Baruch College - Zicklin School of Business in 2013 and a BA in Economics from Middlebury College in 2003.</t>
  </si>
  <si>
    <t>+1 (212) 845-4049</t>
  </si>
  <si>
    <t>92338-93P</t>
  </si>
  <si>
    <t>Christopher Hall</t>
  </si>
  <si>
    <t>Mr. Christopher Hall serves as Managing Director at BlackRock. Previously, he served as a Senior Investment Officer at Argo Investments Limited.</t>
  </si>
  <si>
    <t>chall@blackrock.com</t>
  </si>
  <si>
    <t>165544-75P</t>
  </si>
  <si>
    <t>Christopher Meade JD</t>
  </si>
  <si>
    <t>Meade</t>
  </si>
  <si>
    <t>Mr. Christopher Meade serves as General Counsel, Chief Legal Officer &amp; Member of the Global Executive Committee at BlackRock. A member of the Global Executive Committee, he leads the Legal &amp; Compliance group. Before joining BlackRock, he was the General Counsel of the U.S. Department of the Treasury. At Treasury, he provided legal and policy counseling to the Treasury Secretary and other senior Treasury officials on a wide range of issues, relating to domestic finance, international economic affairs, terrorism finance, financial crimes enforcement, and tax policy. He was also the head of the Treasury Legal Division, a separate bureau within Treasury that includes all legal counsel of the Treasury Department. He received the Alexander Hamilton Award, the Treasury Department's highest honor. Before joining Treasury, he was a partner with the law firm of Wilmer Cutler Pickering Hale and Dorr, where he was a member of the Litigation and Securities Departments, as well as the Appellate and Supreme Court Litigation Group. While at WilmerHale, he argued four cases before the U.S. Supreme Court. Earlier in his career, he served as a law clerk to Justice John Paul Stevens on the U.S. Supreme Court and Judge Harry T. Edwards of the U.S. Court of Appeals for the D.C. Circuit. He is a member of the Board of NYU Law School and the Partnership for Children's Rights. He received his A.B. from Princeton University, magna cum laude, and his J.D. from NYU Law School, magna cum laude, where he was the Editor-and-Chief of the Law Review.</t>
  </si>
  <si>
    <t>+31 (0)20 549 5200</t>
  </si>
  <si>
    <t>cmeade@blackrock.com</t>
  </si>
  <si>
    <t>Amstelplein 1, Rembrandt Tower</t>
  </si>
  <si>
    <t>1096 HA</t>
  </si>
  <si>
    <t>General Counsel, Chief Legal Officer &amp; Member of the Global Executive Committee</t>
  </si>
  <si>
    <t>28873-72P</t>
  </si>
  <si>
    <t>Christopher Morris</t>
  </si>
  <si>
    <t>Mr. Christopher Morris serves as a Director at BlackRock.</t>
  </si>
  <si>
    <t>+1 (215) 349-9700</t>
  </si>
  <si>
    <t>christopher.morris@blackrock.com</t>
  </si>
  <si>
    <t>Philadelphia</t>
  </si>
  <si>
    <t>Philadelphia, PA</t>
  </si>
  <si>
    <t>2929 Arch Street</t>
  </si>
  <si>
    <t>Suite 1600</t>
  </si>
  <si>
    <t>19104</t>
  </si>
  <si>
    <t>395309-08P</t>
  </si>
  <si>
    <t>Christopher Rock</t>
  </si>
  <si>
    <t>Rock</t>
  </si>
  <si>
    <t>Mr. Christopher Rock serves as Managing Director at BlackRock. Mr. Rock earned BA/BS (Bachelor of Arts and Sciences) from Bucknell University in Business Management.</t>
  </si>
  <si>
    <t>chris@blackrock.com</t>
  </si>
  <si>
    <t>14040-37P</t>
  </si>
  <si>
    <t>Colm Lanigan JD</t>
  </si>
  <si>
    <t>Colm</t>
  </si>
  <si>
    <t>Lanigan</t>
  </si>
  <si>
    <t>Mr. Colm Lanigan serves as Chief Executive Officer at Tara Technologies. Mr. Colm Lanigan serves as Head of the Americas, Private Equities Department at Abu Dhabi Investment Authority. He has served as the Chief Executive Officer of Tara Technologies Corporation from the time it was established as an independent company in 2006. He was also the founder of Tara Capital, the controlling shareholder of Tara Technologies. Prior to his appointment at Tara Technologies, he was a partner in a $2 billion investment fund that focused on manufacturing companies.He has also served with the International Monetary Fund as a strategic advisor to governments in Asia on issues of financial reform and economic development. In the course of his career, he has been involved in providing strategic and financial advice to companies and governments in transactions totaling more than $15 billion. He has degrees in Science and Law from the University of Toronto. He also serves as the Head, Principal Investments at Abu Dhabi Investment Authority. He also serves as the Director at PETCO. He serves as a Managing Director &amp; Global Head of LTPC at BlackRock. He serves as Board Member at Authentic Brands Group. He served as Managing Director at BlackRock Private Equity Partners.</t>
  </si>
  <si>
    <t>+1 (386) 843-9654</t>
  </si>
  <si>
    <t>colm.lanigan@adia.ae</t>
  </si>
  <si>
    <t>Daytona Beach</t>
  </si>
  <si>
    <t>Daytona Beach, FL</t>
  </si>
  <si>
    <t>305 Fentress Boulevard</t>
  </si>
  <si>
    <t>32114</t>
  </si>
  <si>
    <t>+1 (386) 257-0122</t>
  </si>
  <si>
    <t>Tara Technologies</t>
  </si>
  <si>
    <t>241462-09P</t>
  </si>
  <si>
    <t>Connor Hartley</t>
  </si>
  <si>
    <t>Connor</t>
  </si>
  <si>
    <t>Hartley</t>
  </si>
  <si>
    <t>Mr. Connor Hartley serves as Managing Director &amp; Head, Corporate Development at BlackRock. He served as Managing Director, Corporate Development at IHS Markit.</t>
  </si>
  <si>
    <t>connor.hartley@blackrock.com</t>
  </si>
  <si>
    <t>Managing Director &amp; Head, Corporate Development</t>
  </si>
  <si>
    <t>380684-08P</t>
  </si>
  <si>
    <t>Corinne Hutchison</t>
  </si>
  <si>
    <t>Corinne</t>
  </si>
  <si>
    <t>Hutchison</t>
  </si>
  <si>
    <t>Ms. Corinne Hutchison serves as an Executive, EMEA Sales - Aladdin Alternatives at BlackRock.</t>
  </si>
  <si>
    <t>corinne.hutchison@blackrock.com</t>
  </si>
  <si>
    <t>Executive, EMEA Sales - Aladdin Alternatives</t>
  </si>
  <si>
    <t>141214-06P</t>
  </si>
  <si>
    <t>Courtney Lynfield</t>
  </si>
  <si>
    <t>Lynfield</t>
  </si>
  <si>
    <t>Ms. Courtney Lynfield serves as Vice President, Long Term Private Capital Product Strategy at BlackRock. Previously she served as a Global Solutions &amp; Innovation Marketing Intern at Visa.</t>
  </si>
  <si>
    <t>courtney.lynfield@blackrock.com</t>
  </si>
  <si>
    <t>Vice President, Long Term Private Capital Product Strategy</t>
  </si>
  <si>
    <t>401477-05P</t>
  </si>
  <si>
    <t>Curtis Chou</t>
  </si>
  <si>
    <t>Curtis</t>
  </si>
  <si>
    <t>Chou</t>
  </si>
  <si>
    <t>Mr. Curtis Chou serves as a Vice President, Corporate Communications at BlackRock.</t>
  </si>
  <si>
    <t>+1 (646) 231-1031</t>
  </si>
  <si>
    <t>curtis.chou@blackrock.com</t>
  </si>
  <si>
    <t>Vice President, Corporate Communications</t>
  </si>
  <si>
    <t>38861-20P</t>
  </si>
  <si>
    <t>Dag Skattum</t>
  </si>
  <si>
    <t>Dag</t>
  </si>
  <si>
    <t>Skattum</t>
  </si>
  <si>
    <t>Mr. Dag Skattum serves as Managing Director &amp; Head of Long Term Private Capital Europe at BlackRock. He serves as Board Member at Authentic Brands Group. He serves as Vice Chairman, Europe, the Middle East and Africa of JP Morgan since January 2015. Previously, he served as Partner of TPG, a leading global private investment firm, based in London from 2007 until 2013. Prior to that, he worked for JP Morgan for 21 years in a variety of roles in New York and London until his departure as Managing Director and Co-head of Global Mergers and Acquisitions in 2007. He currently serves on the board of Sonae SGPS S.A. in Portugal, the advisory board of the UAMS Myeloma Institute for Research and Therapy, Little Rock, Arkansas; and the International Board of Directors of Right To Play, a global organization leveraging sports and play to support children in troubled parts of the world. He received a B.A. in History from Allegheny College and an MBA from the Simon Graduate School of Business at the University of Rochester.</t>
  </si>
  <si>
    <t>dag.skattum@blackrock.com</t>
  </si>
  <si>
    <t>1411 Broadway</t>
  </si>
  <si>
    <t>21st Floor</t>
  </si>
  <si>
    <t>Nabors Industries (Former)</t>
  </si>
  <si>
    <t>37110-43P</t>
  </si>
  <si>
    <t>Dan Worrell</t>
  </si>
  <si>
    <t>Worrell</t>
  </si>
  <si>
    <t>Mr. Dan Worrell serves Co- Chief Investment Officer and he served as a Managing Director, Portfolio Manager &amp; Global Credit Platform Member at BlackRock. He is a Portfolio Manager/Research Analyst focused on the middle market performing loans and special situations largely in the US. He heads industry coverage for consumer goods, retail, and specialty finance, and supports healthcare. He sits on the Board of Directors for portfolio companies in the Consumer and Healthcare industries. He has been at BlackRock and its predecessor, TCP Capital, since 2007. Before his current role, he was a High Yield Portfolio Manager with Mulholland Capital Advisors, where he analyzed and invested in high-yield credit opportunities, capital structure arbitrage, and special situations. Before joining Mulholland, he was an Investment Manager and Vice President at a Central Asia-focused private equity fund based in Kazakhstan. Before working in Kazakhstan, he was a vice president with JP Morgan Securities and an analyst with Gruss Partners. He earned an M.B.A. (Dean's List) from Columbia University in 1991.</t>
  </si>
  <si>
    <t>dan.worrell@blackrock.com</t>
  </si>
  <si>
    <t>Managing Director &amp; Co- Chief Investment Officer</t>
  </si>
  <si>
    <t>398874-61P</t>
  </si>
  <si>
    <t>Daniel Fuchs Ph.D</t>
  </si>
  <si>
    <t>Fuchs</t>
  </si>
  <si>
    <t>Dr. Daniel Fuchs serves as Managing Director at BlackRock.</t>
  </si>
  <si>
    <t>daniel.fuchs@blackrock.com</t>
  </si>
  <si>
    <t>345853-27P</t>
  </si>
  <si>
    <t>Danil Eremeev</t>
  </si>
  <si>
    <t>Danil</t>
  </si>
  <si>
    <t>Eremeev</t>
  </si>
  <si>
    <t>Mr. Danil Eremeev serves as Director at BlackRock. Mr. Eremeev served as Assistant Vice President &amp; Team Lead - Global Accounts at Preqin.</t>
  </si>
  <si>
    <t>+971 (0)4 450 0700</t>
  </si>
  <si>
    <t>de@blackrock.com</t>
  </si>
  <si>
    <t>ICD Brookfield Place, 312 Al Mustaqbal Street, Trade Centre DIFC</t>
  </si>
  <si>
    <t>Unit 15-01, Dubai International Financial Centre</t>
  </si>
  <si>
    <t>159532-93P</t>
  </si>
  <si>
    <t>Darren Wills</t>
  </si>
  <si>
    <t>Darren</t>
  </si>
  <si>
    <t>Wills</t>
  </si>
  <si>
    <t>Mr. Darren Wills serves as Managing Director &amp; APAC Head of iShares Product at BlackRock.</t>
  </si>
  <si>
    <t>darren.wills@blackrock.com</t>
  </si>
  <si>
    <t>Managing Director &amp; APAC Head of iShares Product</t>
  </si>
  <si>
    <t>425089-90P</t>
  </si>
  <si>
    <t>David O Brien</t>
  </si>
  <si>
    <t>O Brien</t>
  </si>
  <si>
    <t>Mr. David O Brien serves as Managing Director at BlackRock.</t>
  </si>
  <si>
    <t>david.obrien@blackrock.com</t>
  </si>
  <si>
    <t>32892-04P</t>
  </si>
  <si>
    <t>David Trucano</t>
  </si>
  <si>
    <t>Trucano</t>
  </si>
  <si>
    <t>Mr. David Trucano serves as Managing Director &amp; Head of BlackRock Opportunistic Credit at BlackRock. He is the Lead Portfolio Manager and Chairman of the Investment Committee of BlackRock's Global Credit Opportunities Fund and is the Lead Portfolio Manager responsible for BlackRock Credit Alpha and managing the credit allocation within The Obsidian Fund, two BlackRock hedge funds across its Global Credit and Global Fixed Income businesses, respectively. In addition, he assists in managing special situations and distressed investing positions across the BlackRock Alternative Investors platform.</t>
  </si>
  <si>
    <t>david.trucano@blackrock.com</t>
  </si>
  <si>
    <t>Managing Director &amp; Head of BlackRock Opportunistic Credit</t>
  </si>
  <si>
    <t>164437-12P</t>
  </si>
  <si>
    <t>Davide Terrani</t>
  </si>
  <si>
    <t>Terrani</t>
  </si>
  <si>
    <t>Mr. Davide Terrani serves as Director at BlackRock Private Equity Partners. He serves as a Managing Director at BlockRock.</t>
  </si>
  <si>
    <t>+1 (919) 416-6895</t>
  </si>
  <si>
    <t>davide.terrani@blackrock.com</t>
  </si>
  <si>
    <t>Bahnhofstrasse 39</t>
  </si>
  <si>
    <t>BlackRock Private Equity Partners</t>
  </si>
  <si>
    <t>42349-60P</t>
  </si>
  <si>
    <t>Dean Silverman</t>
  </si>
  <si>
    <t>Mr. Dean Silverman serves as Models Specialist, USWA Leveraged Sales at BlackRock.</t>
  </si>
  <si>
    <t>+1 (914) 589-5650</t>
  </si>
  <si>
    <t>dean.silverman@blackrock.com</t>
  </si>
  <si>
    <t>Models Specialist, US Wealth Advisory</t>
  </si>
  <si>
    <t>33339-61P</t>
  </si>
  <si>
    <t>Deborah Ho</t>
  </si>
  <si>
    <t>Ms. Deborah Ho serves as Managing Director &amp; Country Head of Southeast Asia &amp; Singapore at BlackRock. She also serves as a Trustee &amp; Member of the Committee for Institutional Advancement at Singapore Management University. She formerly served as Managing Director and Co-Head of Senior Relationship Management at Barclays Capital. She also served as Chief Executive Officer, of DBS Asset Management at DBS Bank. She has 30 years of experience in Investment Banking and Asset Management and is on the investment committee of the LKY fund for Bilingualism. She is a Board member of the Singapore Land Transport Authority and sits on the Advisory Board for the Sim Kee Boon Institute for Financial Economics at the Singapore Management University.</t>
  </si>
  <si>
    <t>+65 6411 3000</t>
  </si>
  <si>
    <t>deborah.ho@blackrock.com</t>
  </si>
  <si>
    <t>Twenty Anson</t>
  </si>
  <si>
    <t>20 Anson Road</t>
  </si>
  <si>
    <t>079912</t>
  </si>
  <si>
    <t>Managing Director &amp; Conurty Head of Southeast Asia &amp; Singapore</t>
  </si>
  <si>
    <t>368620-48P</t>
  </si>
  <si>
    <t>Dennis Quah</t>
  </si>
  <si>
    <t>Dennis</t>
  </si>
  <si>
    <t>Quah</t>
  </si>
  <si>
    <t>Mr. Dennis Quah serves as Head of Singapore Wealth Management at BlackRock.</t>
  </si>
  <si>
    <t>dennis.quah@blackrock.com</t>
  </si>
  <si>
    <t>Head of Singapore Wealth Management</t>
  </si>
  <si>
    <t>52203-52P</t>
  </si>
  <si>
    <t>Derek Stein</t>
  </si>
  <si>
    <t>Stein</t>
  </si>
  <si>
    <t>Head &amp; Senior Managing Director</t>
  </si>
  <si>
    <t>Mr. Derek Stein serves as Senior Managing Director, Global Head of Technology &amp; Operations, and Global Executive Committee Member at BlackRock. This group is responsible for the firm's worldwide operations across all asset classes and geographies. The operational functions are aligned with clients, products, fund structures, and our third-party provider networks. He serves as a member of the Global Executive Committee and the Global Operating Committee. Mr. Stein's service with the firm dates back to 2005, including his years with Barclays Global Investors (BGI), which merged with BlackRock in 2009. At BGI Mr. Stein served as Chief Information Officer, responsible for all aspects of BGI's operations and technology services. Before joining BGI, Mr. Stein was an executive vice president at Knight Capital, which he joined in 2001, overseeing operations, services, technology, strategy, and risk management. In addition, he led Knight's Electronic Services business. Prior to that, Mr. Stein spent 10 years with Merrill Lynch &amp; Co. where he was a senior director responsible for the management and coordination of Merrill Lynch's institutional global services organization across fixed income and equities, infrastructure investments, and e-commerce operations. Earlier, he spent several years as a senior manager with Ernst and Young's capital markets and banking management consulting practice. Before moving to the US from South Africa, Mr. Stein managed a long/short equity fund and was a practicing Chartered Accountant. Mr. Stein earned a BA degree in computer science in 1982, and an MS degree in finance in 1984, both from the University of Witwatersrand in South Africa.</t>
  </si>
  <si>
    <t>+1 (415) 670-2000</t>
  </si>
  <si>
    <t>derek.stein@blackrock.com</t>
  </si>
  <si>
    <t>400 Howard Street</t>
  </si>
  <si>
    <t>Senior Managing Director, Global Head of Technology &amp; Operations, and Global Executive Committee Member</t>
  </si>
  <si>
    <t>51810-04P</t>
  </si>
  <si>
    <t>Derrick Weatherspoon</t>
  </si>
  <si>
    <t>Derrick</t>
  </si>
  <si>
    <t>Weatherspoon</t>
  </si>
  <si>
    <t>Mr. Derrick Weatherspoon serves as Senior Portfolio Manager of Alternative Investors at BlackRock. He also serves as a Board Member at Tricolor Holdings. He served as Managing Director at IMB Partners. He joined IMB in 2020. He has over 10 years of experience in private equity and has invested over $2.5 billion of capital in over 10 large platform investments and add-on acquisitions. Prior to IMB, He was a Vice President at The Carlyle Group, where he was a member of the Consumer, Media &amp; Retail group within the firm's US Buyout Fund, from 2012-2019. He also worked at Welsh, Carson, Andersen &amp; Stowe as a private equity associate and at Lehman Brothers as an investment banking analyst from 2005 to 2010. He received a BS in Finance from the University of Maryland's Robert H. Smith School of Business and an MBA from Harvard Business School, where he was a Robert Toigo Fellow.</t>
  </si>
  <si>
    <t>+1 (240) 507-1660</t>
  </si>
  <si>
    <t>derrick.weatherspoon@blackrock.com</t>
  </si>
  <si>
    <t>Senior Portfolio Manager of Alternative Investors</t>
  </si>
  <si>
    <t>255722-23P</t>
  </si>
  <si>
    <t>Dickon Pinner</t>
  </si>
  <si>
    <t>Dickon</t>
  </si>
  <si>
    <t>Pinner</t>
  </si>
  <si>
    <t>Mr. Dickon Pinner serves as Head of Transition Capital at BlackRock. He served as Senior Partner and Global Co-Lead for McKinsey Sustainability at McKinsey &amp; Company.</t>
  </si>
  <si>
    <t>+1 (312) 395-9300</t>
  </si>
  <si>
    <t>dickon.pinner@blackrock.com</t>
  </si>
  <si>
    <t>227 West Monroe Street</t>
  </si>
  <si>
    <t>60606</t>
  </si>
  <si>
    <t>Head of Transition Capital</t>
  </si>
  <si>
    <t>178242-67P</t>
  </si>
  <si>
    <t>Dirk Schmitz</t>
  </si>
  <si>
    <t>Dirk</t>
  </si>
  <si>
    <t>Schmitz</t>
  </si>
  <si>
    <t>Mr. Dirk Schmitz serves as Chief Executive Officer, Head of Germany, Austria and Eastern Europe &amp; Regional Head of DACH (EEGA &amp; Switzerland) at BlackRock. He serves as Advisory Board Member at KfW Capital. He has more than 20 years of leadership experience in the investment industry. Most recently, he was responsible for investment banking in Germany at Deutsche Bank. In the past, he also worked in investment trading and distribution for Morgan Stanley and J.P. Morgan and worked in New York, London, and Frankfurt.</t>
  </si>
  <si>
    <t>dirk.schmitz@blackrock.com</t>
  </si>
  <si>
    <t>Chief Executive Officer, Head of Germany, Austria and Eastern Europe &amp; Regional Head of DACH (EEGA &amp; Switzerland)</t>
  </si>
  <si>
    <t>140732-38P</t>
  </si>
  <si>
    <t>Dominik Rohe</t>
  </si>
  <si>
    <t>Dominik</t>
  </si>
  <si>
    <t>Rohe</t>
  </si>
  <si>
    <t>Mr. Dominik Rohe serves as Global Head of Client Platform, Co-Head of New York Office &amp; Board Member at BlackRock. He was the Country Head of Australia and Chairman of the Australian Board, responsible for all business activity in Australasia. His service with BlackRock dates back to 2005. Prior to his move to Australia, he held a number of leadership positions, including Head of the Wealth and Institutional businesses for the Latin America &amp; Iberia region where he was responsible for building BlackRock's business across both client segments, overseeing teams across seven BlackRock offices in the region. In addition, he has been part of BlackRock's merger integration teams, having worked in 2007 on the integration of Merrill Lynch Investment Management in London and Frankfurt and in 2009 on the integration of BGI's Latin America business in Sao Paulo. Prior to joining BlackRock in 2005, he worked at Dresdner Kleinwort Wasserstein on the private placement and frequent issuer desks within Debt Capital Markets for six years. He began his career in 1997 as an Emerging Markets Credit Analyst at Republic National Bank of New York. He earned a BA degree, cum laude, in business administration with a minor in economics from St. Francis College. He is a member of the American Council in Germany.</t>
  </si>
  <si>
    <t>drohe@blackrock.com</t>
  </si>
  <si>
    <t>438407-47P</t>
  </si>
  <si>
    <t>Douglas Heyman</t>
  </si>
  <si>
    <t>Mr. Douglas Heyman serves as Managing Director &amp; Portfolio Manager - Opportunistic Investments at BlackRock.</t>
  </si>
  <si>
    <t>douglas.heyman@blackrock.com</t>
  </si>
  <si>
    <t>Managing Director &amp; Portfolio Manager - Opportunistic Investments</t>
  </si>
  <si>
    <t>160791-67P</t>
  </si>
  <si>
    <t>Ed Cook</t>
  </si>
  <si>
    <t>Ed</t>
  </si>
  <si>
    <t>Mr. Ed Cook serves as Managing Director &amp; Global Head of Liquid Capital Markets &amp; Corporate Solutions at BlackRock.</t>
  </si>
  <si>
    <t>ed.cook@blackrock.com</t>
  </si>
  <si>
    <t>Managing Director &amp; Global Head of Liquid Capital Markets &amp; Corporate Solutions</t>
  </si>
  <si>
    <t>55504-81P</t>
  </si>
  <si>
    <t>Edward Fishwick</t>
  </si>
  <si>
    <t>Edward</t>
  </si>
  <si>
    <t>Fishwick</t>
  </si>
  <si>
    <t>Chief Risk Officer</t>
  </si>
  <si>
    <t>Mr. Edward Fishwick serves as Chief Risk Officer, Head of the Risk and Quantitative Analysis Group, Chairman of the Enterprise Risk Management Committee &amp; Member of the Global Executive Committee at BlackRock. In addition, he is a member of the European Executive and Global Operating Committees of the firm and is a member of the Board of BlackRock Group Ltd. He has worked in quantitative finance for over 30 years in London, New York, and Boston. Previously, he was Head of Risk Management and Investment Process Research at AXA Investment Managers and Director of Research at Quantec. He also serves as the Chairman of the Investments Sub-Committee at the University of Liverpool. He is a member of the Editorial Board of the Journal of Asset Management and is the Chairman of the London Quant Group. He earned a BA in Economics from the University of Liverpool and studied post-graduate economics at the University of Cambridge.</t>
  </si>
  <si>
    <t>edward.fishwick@blackrock.com</t>
  </si>
  <si>
    <t>Chief Risk Officer, Head of the Risk and Quantitative Analysis Group, Chairman of Enterprise Risk Management Committee &amp; Member of the Global Executive Committee</t>
  </si>
  <si>
    <t>444689-65P</t>
  </si>
  <si>
    <t>Edward Whittaker</t>
  </si>
  <si>
    <t>Whittaker</t>
  </si>
  <si>
    <t>Mr. Edward Whittaker serves as Vice President Corporate Communications at BlackRock.</t>
  </si>
  <si>
    <t>+44 (0) 7881 217939</t>
  </si>
  <si>
    <t>edward.whittaker@blackrock.com</t>
  </si>
  <si>
    <t>Vice President Corporate Communications</t>
  </si>
  <si>
    <t>338106-97P</t>
  </si>
  <si>
    <t>Edward Winter</t>
  </si>
  <si>
    <t>Winter</t>
  </si>
  <si>
    <t>Mr. Edward Winter serves as a Managing Director and Head of EMEA, Diversified Infrastructure at BlackRock. Mr. Rujis also serves as Board Member at Tata Power Renewable Energy. Mr. Eduard Ruijs is the Managing Director and Head of the London-based BlackRock GlobalInfrastructure Fund team and a member of the Investment Committee and oversees investment activities in EMEA and APAC. He is also leading the firm's Evergreen Infrastructure Funds focused on opportunities related to energy transition and energy security. Prior to joining BlackRock in 2011, he was the Investment Director and Partner at NIBC Bank. Infrastructure Partners, where he was responsible for investing in the NIBC European Infrastructure Fund. Prior to NIBC, he spent over 10 years as a strategy consultant with Boston Consulting Group and A.T. Kearney focused on the energy sector and renewables specifically. He earned an M. Juris in Law and Economics from Oxford University where he was a Chevening Scholar. He also earned an M.Sc.(Drs.) in Economics and M.A.(Mr.) in Law from the Vrije Universiteit Amsterdam, a Bachelor in Business Administration from Nijenrode University in the Netherlands and obtained an Executive MBA from Michigan Business School as well as graduated from Japan Prizewinners Programme at Leiden University in Tokyo.</t>
  </si>
  <si>
    <t>edward.winter@blackrock.com</t>
  </si>
  <si>
    <t>Managing Director and Head of EMEA, Diversified Infrastructure</t>
  </si>
  <si>
    <t>36921-70P</t>
  </si>
  <si>
    <t>Edwin Conway</t>
  </si>
  <si>
    <t>Edwin</t>
  </si>
  <si>
    <t>Conway</t>
  </si>
  <si>
    <t>Mr. Edwin Conway serves as Senior Managing Director, Member of Global Executive Committee &amp; Global Head of BlackRock Alternatives at BlackRock. As Global Head of BlackRock Alternatives, Mr. Conway is responsible for the strategic direction and day-to-day oversight of BlackRock's global platform of alternatives investment capabilities, spanning Private Equity, Infrastructure, Real Estate, Credit, and Hedge Funds across both liquid and illiquid markets. He previously served as Global Head of BlackRock's Institutional Client Business, responsible for the firm's client strategy and relationship management across the global institutional client community. Prior to joining BlackRock in 2011, he was a Senior Managing Director at The Blackstone Group where he led the Global Investor Relations &amp; Business Development Group. Before joining Blackstone in 2005, he was an Executive Director at Arden Asset Management, Inc., and prior to that, he was a Director at Credit Suisse Asset Management located both in London and New York. He earned a BComm degree from University College Dublin.</t>
  </si>
  <si>
    <t>+1 (212) 810-5300</t>
  </si>
  <si>
    <t>edwin.conway@blackrock.com</t>
  </si>
  <si>
    <t>Senior Managing Director, Member of Global Executive Committee &amp; Global Head of BlackRock Alternatives</t>
  </si>
  <si>
    <t>314302-06P</t>
  </si>
  <si>
    <t>Elaine Wu</t>
  </si>
  <si>
    <t>Elaine</t>
  </si>
  <si>
    <t>Ms. Elaine Wu serves as a Managing Director at BlackRock.</t>
  </si>
  <si>
    <t>elaine.wu@blackrock.com</t>
  </si>
  <si>
    <t>380813-50P</t>
  </si>
  <si>
    <t>Elena Simonova</t>
  </si>
  <si>
    <t>Elena</t>
  </si>
  <si>
    <t>Simonova</t>
  </si>
  <si>
    <t>Ms. Elena Simonova serves as Director, Alternatives Specialists at BlackRock.</t>
  </si>
  <si>
    <t>elena.simonova@blackrock.com</t>
  </si>
  <si>
    <t>Director, Alternatives Specialists</t>
  </si>
  <si>
    <t>395840-08P</t>
  </si>
  <si>
    <t>Elizabeth Koehler</t>
  </si>
  <si>
    <t>Koehler</t>
  </si>
  <si>
    <t>Mr. Elizabeth Koehler serves as Managing Director &amp; Head of Advisor Engagement at BlackRock. Ms. Koehler serves as Board Member at Willow. er team develops and delivers programs on practice management, portfolio construction and market insights. At BlackRock for 18+ years, she's also held roles in product strategy and marketing. Liz earned a B.S. in Business from the University of Virginia and a Master's in Applied Positive Psychology from the University of Pennsylvania.</t>
  </si>
  <si>
    <t>ekoehler@blackrock.com</t>
  </si>
  <si>
    <t>Managing Director &amp; Head of Advisor Engagement</t>
  </si>
  <si>
    <t>120000-43P</t>
  </si>
  <si>
    <t>Emily Fletcher</t>
  </si>
  <si>
    <t>Fund Manager</t>
  </si>
  <si>
    <t>Ms. Emily Fletcher serves as Fund Manager at BlackRock.</t>
  </si>
  <si>
    <t>emily.fletcher@blackrock.com</t>
  </si>
  <si>
    <t>133204-24P</t>
  </si>
  <si>
    <t>Ernesto Bettoni</t>
  </si>
  <si>
    <t>Bettoni</t>
  </si>
  <si>
    <t>Mr. Ernesto Bettoni serves as a Managing Director, Emerging Markets Fixed Income at BlackRock. He has responsibility for fundamental global fixed-income strategies across all emerging markets. He joined BlackRock in 2012 and has 18 years of experience in emerging markets debt. Before joining BlackRock, he was an emerging markets fixed-income investment specialist at BNP Paribas Investment Partners, Fortis Investments, and ABN AMRO Asset Management, where he contributed to building and overseeing a growing book of business over 5 years.</t>
  </si>
  <si>
    <t>ernesto.bettoni@blackrock.com</t>
  </si>
  <si>
    <t>Managing Director, Emerging Markets Fixed Income</t>
  </si>
  <si>
    <t>365910-85P</t>
  </si>
  <si>
    <t>Estelle Castres</t>
  </si>
  <si>
    <t>Estelle</t>
  </si>
  <si>
    <t>Castres</t>
  </si>
  <si>
    <t>Director &amp; Fund Manager</t>
  </si>
  <si>
    <t>Ms. Estelle Castres serves as Director, France, Belgium and Luxembourg (FraBeLux) &amp; Fund Manager at BlackRock.</t>
  </si>
  <si>
    <t>estelle.castres@blackrock.com</t>
  </si>
  <si>
    <t>Director, France, Belgium and Luxembourg (FraBeLux) &amp; Fund Manager</t>
  </si>
  <si>
    <t>405285-94P</t>
  </si>
  <si>
    <t>Eve Cout</t>
  </si>
  <si>
    <t>Cout</t>
  </si>
  <si>
    <t>Mr. Eve Cout serves as Managing Director at BlackRock.</t>
  </si>
  <si>
    <t>eve.cout@blackrock.com</t>
  </si>
  <si>
    <t>357450-49P</t>
  </si>
  <si>
    <t>Fabio Osta</t>
  </si>
  <si>
    <t>Osta</t>
  </si>
  <si>
    <t>Mr. Fabio Osta serves as Managing Director and Head of Alternatives Specialists EMEA Wealth at BlackRock.</t>
  </si>
  <si>
    <t>fabio.osta@blackrock.com</t>
  </si>
  <si>
    <t>Managing Director and Head of Alternatives Specialists EMEA Wealth</t>
  </si>
  <si>
    <t>369964-09P</t>
  </si>
  <si>
    <t>Fadel Hussein</t>
  </si>
  <si>
    <t>Fadel</t>
  </si>
  <si>
    <t>Hussein</t>
  </si>
  <si>
    <t>Mr. Fadel Hussein serves as Vice President at BlackRock. Mr. Hussein served as Director - Account Management at Preqin.</t>
  </si>
  <si>
    <t>fadel.hussein@blackrock.com</t>
  </si>
  <si>
    <t>364131-55P</t>
  </si>
  <si>
    <t>Freek Spoorenberg</t>
  </si>
  <si>
    <t>Freek</t>
  </si>
  <si>
    <t>Spoorenberg</t>
  </si>
  <si>
    <t>Mr. Freek Spoorenberg serves as Managing Director, of BlackRock Infrastructure at BlackRock. He is focused on business growth with responsibility for product development, fundraising, and investor relations. Before joining BlackRock, he was a Structured Products Sales Analyst at Societe Generale Corporate &amp; Investment Banking providing cross-asset solutions to Benelux institutional clients, private banks, and asset managers. He earned an MSc degree in International Business from Maastricht University and also holds a Bachelor of Business Administration.</t>
  </si>
  <si>
    <t>freek.spoorenberg@blackrock.com</t>
  </si>
  <si>
    <t>Managing Director, BlackRock Infrastructure</t>
  </si>
  <si>
    <t>245491-30P</t>
  </si>
  <si>
    <t>Gabriel Alberici</t>
  </si>
  <si>
    <t>Alberici</t>
  </si>
  <si>
    <t>Mr. Gabriel Alberici serves as Aladdin Business Development at BlackRock.</t>
  </si>
  <si>
    <t>+1 (212) 644-5110</t>
  </si>
  <si>
    <t>gabriel.alberici@blackrock.com</t>
  </si>
  <si>
    <t>Aladdin Business Development</t>
  </si>
  <si>
    <t>372025-63P</t>
  </si>
  <si>
    <t>Gabriel Kamensky</t>
  </si>
  <si>
    <t>Kamensky</t>
  </si>
  <si>
    <t>Mr. Gabriel Kamensky serves as Director at BlackRock. Based in Zurich, he is responsible for investing in private equity funds, executing co-investment projects and direct growth investments in Europe. Prior to joining BlackRock in 2012, he worked at Swiss Re Private Equity Partners and Horizon21 as a member of private equity investment teams. Gabriel earned an MSc in International Business from University of Hertfordshire, United Kingdom and a Master's degree in Corporate Management from University of Economics in Slovakia.</t>
  </si>
  <si>
    <t>gabriel.kamensky@blackrock.com</t>
  </si>
  <si>
    <t>193552-75P</t>
  </si>
  <si>
    <t>Gabriella Barschdorff</t>
  </si>
  <si>
    <t>Gabriella</t>
  </si>
  <si>
    <t>Barschdorff</t>
  </si>
  <si>
    <t>Ms. Gabriella Barschdorff serves as Managing Director, Co-Head Pension OCIO at BlackRock. Before joining BlackRock in 2014, she was a Client Portfolio Manager at J.P. Morgan Asset Management. Her expertise covers asset allocation, pension finance, asset-liability modeling, and liability-driven investing (LDI). Before joining J.P. Morgan, she was responsible for Institutional Solutions at AllianceBernstein where she worked with large institutional investors conducting customized research on asset allocation, alpha-beta management, and liability-driven investing. Other experience includes J.P. Morgan's Strategic Investment Advisory Group and covering developed markets as an economist at AllianceBernstein. She holds a Master of International Affairs from Columbia University and a Bachelor of Economics from the London School of Economics.</t>
  </si>
  <si>
    <t>gabriella.barschdorff@blackrock.com</t>
  </si>
  <si>
    <t>Managing Director, Co-Head Pension OCIO</t>
  </si>
  <si>
    <t>32694-04P</t>
  </si>
  <si>
    <t>Gary Shedlin</t>
  </si>
  <si>
    <t>Shedlin</t>
  </si>
  <si>
    <t>Mr. Gary Shedlin serves as Vice Chairman at BlackRock. As a member of the Office of the Chairman, Mr. Shedlin focuses on strengthening relationships with some of the firm's most important clients and partners as well as key strategic initiatives. He also serves as Chairman of BlackRock's Financial Markets Advisory business, which delivers a range of balance sheet management and analytics, capital markets, and portfolio construction services to banks, insurance companies, and official institutions globally. In addition, Mr. Shedlin is Chairman of Decarbonization Partners, BlackRock's 50/50 JV with Temasek, and an Executive Sponsor of the Firm's Veterans &amp; Allies Network. Mr. Shedlin served as BlackRock's Chief Financial Officer and a member of the Global Executive Committee. Before joining BlackRock in 2013, Mr. Shedlin was at Morgan Stanley where he was a Vice Chairman, Investment Banking, and a Managing Director in the Financial Institutions Group. During his investment banking career, he focused on providing strategic advice to a broad array of banks, finance, asset management, and brokerage clients. Before joining Morgan Stanley, Mr. Shedlin was Chairman of Citi's Financial Institutions Group and a Managing Director and Co-Head of the Financial Institutions Group at Lazard. He serves on the Board of Directors of the Bob Woodruff Foundation, dedicated to ensuring our nation's veterans, service members, and their families have stable and successful futures. He has previously served on the Board of Directors of The American Cancer Society and is a recipient of the St. George National Award given to outstanding volunteers who have made significant contributions to the Society's strategic goals. Mr. Shedlin received a BA in Economics, summa cum laude, from Colgate University, where he was elected to Phi Beta Kappa, and his MBA from Harvard Business School.</t>
  </si>
  <si>
    <t>gary.shedlin@blackrock.com</t>
  </si>
  <si>
    <t>190216-09P</t>
  </si>
  <si>
    <t>Gauhar Turmuhambetova Ph.D</t>
  </si>
  <si>
    <t>Gauhar</t>
  </si>
  <si>
    <t>Turmuhambetova</t>
  </si>
  <si>
    <t>Ms. Gauhar Turmuhambetova serves as Managing Director &amp; Head of Structured Products and Derivatives Modeling at BlackRock. Mr. Turmuhambetova serves as Managing Director at Centerbridge Partners. She joined Centerbridge in 2018 and focuses on Structured Product investing activities, including mortgages and consumer debt-related products. Prior to joining Centerbridge, she was a Managing Director, and Head of Agency Mortgage Modeling and Research, at BlackRock, Inc. Previously, she was the Head of Consumer Whole Loan and ABS Modeling and Research at Blackrock, Inc.</t>
  </si>
  <si>
    <t>gauhar.turmuhambetova@blackrock.com</t>
  </si>
  <si>
    <t>Managing Director &amp; Head of Structured Products and Derivatives Modeling</t>
  </si>
  <si>
    <t>348682-96P</t>
  </si>
  <si>
    <t>Giovanni Sandri</t>
  </si>
  <si>
    <t>Sandri</t>
  </si>
  <si>
    <t>Giovanni Sandri serves as Head of Southern Europe - Italia, Iberia, Grecia e Israele at BlackRock.</t>
  </si>
  <si>
    <t>giovanni.sandri@blackrock.com</t>
  </si>
  <si>
    <t>Head of Southern Europe - Italia, Iberia, Grecia e Israele</t>
  </si>
  <si>
    <t>160212-88P</t>
  </si>
  <si>
    <t>Gordon Fraser</t>
  </si>
  <si>
    <t>Fraser</t>
  </si>
  <si>
    <t>Mr. Gordon Fraser serves as Fund Manager at BlackRock. He is a lead portfolio manager for the Core Global Emerging Markets strategy and co-manages the Emerging Frontiers Hedge Fund. He is also named manager of the Emerging Markets Equity Strategies and Emerging Markets Absolute Return strategies. He is also the research pod leader of the North Asia Healthcare, Industrials, Energy, Materials, and Utility research pod and is the platform lead for macroeconomic analysis. He joined BlackRock as an Analyst in 2006. He earned a BA (1st class) and an MPhil (distinction) in Economics from Cambridge University in 2006. He is also a CFA Charter holder.</t>
  </si>
  <si>
    <t>gordon.fraser@blackrock.com</t>
  </si>
  <si>
    <t>366290-20P</t>
  </si>
  <si>
    <t>Gregoire Staub</t>
  </si>
  <si>
    <t>Gregoire</t>
  </si>
  <si>
    <t>Staub</t>
  </si>
  <si>
    <t>Mr. Gregoire Staub serves as Co-Chief Operating Officer for France, Belgium and Luxembourg at BlackRock. He holds an MS degree in Baning &amp; Finance from ESME Sudria &amp; also completed an Degree in Mathematics from Lycée Victor Duruy.</t>
  </si>
  <si>
    <t>gregoire.staub@blackrock.com</t>
  </si>
  <si>
    <t>Co-Chief Operating Officer for France, Belgium and Luxembourg</t>
  </si>
  <si>
    <t>364855-96P</t>
  </si>
  <si>
    <t>Gregory Benhamou</t>
  </si>
  <si>
    <t>Benhamou</t>
  </si>
  <si>
    <t>Mr. Gregory Benhamou serves as Head of Alternatives Distribution,| France, Belgium, Lux, Monaco at BlackRock.</t>
  </si>
  <si>
    <t>gregory.benhamou@blackrock.com</t>
  </si>
  <si>
    <t>Head of Alternatives Distribution,| France, Belgium, Lux, Monaco</t>
  </si>
  <si>
    <t>58447-54P</t>
  </si>
  <si>
    <t>Gregory Rosta JD</t>
  </si>
  <si>
    <t>Rosta</t>
  </si>
  <si>
    <t>Mr. Gregory Rosta serves as Global Head of Electronic Communications Surveillance &amp; Director at BlackRock.</t>
  </si>
  <si>
    <t>+1 (609) 282-2000</t>
  </si>
  <si>
    <t>gregory.rosta@blackrock.com</t>
  </si>
  <si>
    <t>1 University Square Drive</t>
  </si>
  <si>
    <t>1st Floor</t>
  </si>
  <si>
    <t>Global Head of Electronic Communications Surveillance&amp; Director</t>
  </si>
  <si>
    <t>369824-95P</t>
  </si>
  <si>
    <t>Greta Bagarauskyte</t>
  </si>
  <si>
    <t>Greta</t>
  </si>
  <si>
    <t>Bagarauskyte</t>
  </si>
  <si>
    <t>Ms. Greta Bagarauskyte serves as Vice President at BlackRock. Ms. Bagarauskyte served as Client Relations Director at Preqin.</t>
  </si>
  <si>
    <t>gb@blackrock.com</t>
  </si>
  <si>
    <t>33699-97P</t>
  </si>
  <si>
    <t>Griff Norquist</t>
  </si>
  <si>
    <t>Griff</t>
  </si>
  <si>
    <t>Norquist</t>
  </si>
  <si>
    <t>Mr. Griff Norquist serves as a Managing Director at BlackRock. He is the Project Engagement Oversight Manager for BlackRock's Financial Markets Advisory Group within BlackRock Solutions, responsible for the oversight of engagements in the United States. Prior to joining BlackRock in 2016, he was a Senior Vice President at Moelis &amp; Company, where he was a member of the Financial Institutions Group. He earned a BS degree from the United States Military Academy at West Point in 1996 and an MBA from the Johnson Graduate School of Management at Cornell University in 2003.</t>
  </si>
  <si>
    <t>griff.norquist@blackrock.com</t>
  </si>
  <si>
    <t>80069-95P</t>
  </si>
  <si>
    <t>Guillaume Claire</t>
  </si>
  <si>
    <t>Guillaume</t>
  </si>
  <si>
    <t>Mr. Guillaume Claire serves as Co-Head of Private Debt France &amp; Managing Director at BlackRock. Mr. Claire served as Principal at LGT Capital Partners. He served as Investment Director at LGT European Capital. Guillaume started his career in 2006 at JP Morgan within the Leverage Finance team in London where he participated in several transactions. He is a graduate of HEC Paris with a major in Finance. He is also an Angel Investor.</t>
  </si>
  <si>
    <t>guillaume.claire@blackrock.com</t>
  </si>
  <si>
    <t>Co-Head of Private Debt France &amp; Managing Director</t>
  </si>
  <si>
    <t>364122-19P</t>
  </si>
  <si>
    <t>Guillaume Vandewalle</t>
  </si>
  <si>
    <t>Vandewalle</t>
  </si>
  <si>
    <t>Mr. Guillaume Vandewalle served as a Director Infrastructure Debt EMEA at BlackRock.</t>
  </si>
  <si>
    <t>Director Infrastructure Debt EMEA</t>
  </si>
  <si>
    <t>228083-32P</t>
  </si>
  <si>
    <t>Hamish MacDonald</t>
  </si>
  <si>
    <t>Hamish</t>
  </si>
  <si>
    <t>Mr. Hamish MacDonald serves as Managing Director - Head and Chief Investment Officer of APAC Real Estate at BlackRock. He oversees the real estate investment teams across the region. He is responsible for leading the origination, evaluation, and execution of investments, managing business plans, and advising on hold/sell, and ultimate disposition. His service with the firm dates back to 2007, including his years with MGPA, which was acquired by BlackRock in 2013. He joined MGPA's London office as Head of Acquisitions - in the UK and 2012, he established MGPA's Sydney office. He has over 20 years of experience in real estate, with over 10 years specializing in the sourcing of investment opportunities. He began his career in Sydney at the Mirvac Group and Colliers International.</t>
  </si>
  <si>
    <t>hamish.macdonald@blackrock.com</t>
  </si>
  <si>
    <t>Managing Director - Head and Chief Investment Officer of APAC Real Estate</t>
  </si>
  <si>
    <t>380782-27P</t>
  </si>
  <si>
    <t>Hannah Wallis</t>
  </si>
  <si>
    <t>Wallis</t>
  </si>
  <si>
    <t>Fund Manager &amp; Head</t>
  </si>
  <si>
    <t>Ms. Hannah Wallis serves as Co-Head of Multi Alternative Strategy EMEA &amp; Fund Manager at BlackRock.</t>
  </si>
  <si>
    <t>hannah.wallis@blackrock.com</t>
  </si>
  <si>
    <t>Co-Head of Multi Alternative Strategy EMEA &amp; Fund Manager</t>
  </si>
  <si>
    <t>48079-72P</t>
  </si>
  <si>
    <t>Hayden Lee</t>
  </si>
  <si>
    <t>Hayden</t>
  </si>
  <si>
    <t>Mr. Hayden Lee serves as Managing Director at BlackRock. He served as General Manager of Finance at MGPA. He has 14 years of financial and commercial experience in Europe and Asia of which the past seven years have been spent in the real estate sector. Prior to joining MGPA in Singapore, he was Group Finance Manager for Crosby Lend Lease, a large-scale residential and mixed-use developer in the UK. He qualified as a chartered accountant having undertaken roles in Audit and Corporate Finance at Andersen and Deloitte.</t>
  </si>
  <si>
    <t>hayden.lee@blackrock.com</t>
  </si>
  <si>
    <t>308837-35P</t>
  </si>
  <si>
    <t>Henny Sender</t>
  </si>
  <si>
    <t>Henny</t>
  </si>
  <si>
    <t>Sender</t>
  </si>
  <si>
    <t>Ms. Henny Sender serves as Managing Director at BlackRock.</t>
  </si>
  <si>
    <t>henny.sender@blackrock.com</t>
  </si>
  <si>
    <t>187739-65P</t>
  </si>
  <si>
    <t>Henri Chabadel</t>
  </si>
  <si>
    <t>Henri</t>
  </si>
  <si>
    <t>Chabadel</t>
  </si>
  <si>
    <t>Mr. Henri Chabadel serves as Co-Chief Investment Officer of France &amp; Belgium &amp; Luxembourg at BlackRock. He, who recently left Groupama Asset Management where he was head of Multi-Assets, will be based in Paris and provide clients with customized and direct access to BlackRock's investment and portfolio construction expertise. This newly created role aims to reinforce BlackRock's presence in France. He has worked for 10 years at Groupama AM, where he has also been head of Investment Solutions and of the Sigma fund range (absolute and total return). Before that, he worked at HSBC Private Bank as head of Risk Management and multi-assets portfolio manager. He started his career in the general inspection department of Société Générale in 1998.</t>
  </si>
  <si>
    <t>henri.chabadel@blackrock.com</t>
  </si>
  <si>
    <t>Co-Chief Investment Officer of France &amp; Belgium &amp; Luxembourg</t>
  </si>
  <si>
    <t>431696-62P</t>
  </si>
  <si>
    <t>Hilary Thorndike</t>
  </si>
  <si>
    <t>Thorndike</t>
  </si>
  <si>
    <t>Mr. Hilary Thorndike serves as Managing Director at BlackRock.</t>
  </si>
  <si>
    <t>hilary.thorndike@blackrock.com</t>
  </si>
  <si>
    <t>379549-72P</t>
  </si>
  <si>
    <t>Hua Fan</t>
  </si>
  <si>
    <t>Mr. Hua Fan serves as Head of China at BlackRock. She has been a key leader in scaling the business of our wealth management joint venture and transforming the leadership. With over 25 years' experience in the investment industry, Hua has served as Chief Investment Officer for China Merchant Bank's wealth management subsidiary, and also worked at China Investment Corporation and Goldman Sachs.</t>
  </si>
  <si>
    <t>+86 (0)10 6619 0500</t>
  </si>
  <si>
    <t>hua.fan@blackrock.sg</t>
  </si>
  <si>
    <t>Number 6 Wudinghou Street</t>
  </si>
  <si>
    <t>Excel Center, Xi Cheng District</t>
  </si>
  <si>
    <t>100032</t>
  </si>
  <si>
    <t>Head of China</t>
  </si>
  <si>
    <t>396435-70P</t>
  </si>
  <si>
    <t>Ian Pilgrim</t>
  </si>
  <si>
    <t>Pilgrim</t>
  </si>
  <si>
    <t>Mr. Ian Pilgrim serves as Director at BlackRock.</t>
  </si>
  <si>
    <t>ian.pilgrim@blackrock.com</t>
  </si>
  <si>
    <t>339788-71P</t>
  </si>
  <si>
    <t>Isabella Seidl</t>
  </si>
  <si>
    <t>Isabella</t>
  </si>
  <si>
    <t>Seidl</t>
  </si>
  <si>
    <t>Ms. Isabella Seidl serves as Head of Continental Europe Global Consultant Relations at BlackRock.</t>
  </si>
  <si>
    <t>isabella.seidl@blackrock.com</t>
  </si>
  <si>
    <t>Head of Continental Europe Global Consultant Relations</t>
  </si>
  <si>
    <t>412078-24P</t>
  </si>
  <si>
    <t>Ivan Pascual</t>
  </si>
  <si>
    <t>Ivan</t>
  </si>
  <si>
    <t>Pascual</t>
  </si>
  <si>
    <t>Mr. Ivan Pascual serves as Head of EMEA Wealth Client Business at BlackRock.</t>
  </si>
  <si>
    <t>ivan.pascual@blackrock.com</t>
  </si>
  <si>
    <t>Head of EMEA Wealth Client Business</t>
  </si>
  <si>
    <t>338864-14P</t>
  </si>
  <si>
    <t>Ivana Bulj</t>
  </si>
  <si>
    <t>Ivana</t>
  </si>
  <si>
    <t>Bulj</t>
  </si>
  <si>
    <t>Ms. Ivana Bulj serves as Vice President, Marketing at BlackRock.</t>
  </si>
  <si>
    <t>ivana.bulj@blackrock.com</t>
  </si>
  <si>
    <t>Vice President, Marketing</t>
  </si>
  <si>
    <t>39059-11P</t>
  </si>
  <si>
    <t>J. Kushel</t>
  </si>
  <si>
    <t>Kushel</t>
  </si>
  <si>
    <t>Mr. J. Richard Kushel serves as Senior Managing Director, Head of the Portfolio Management Group, Global Executive and Global Operating Committee Member at BlackRock. He is a member of the Global Executive and Global Operating Committees. He is also the Global Executive Committee sponsor of the firm's Black Professionals Network. Most recently, Mr. Kushel was the Head of Multi-Asset Strategies and Global Fixed Income, and the GEC Co-Sponsor of Client Portfolio Solutions. His prior roles include heading Strategic Product Management, BlackRock Investment Stewardship, and the BlackRock Investment Institute. He has also served as Chief Product Officer and Deputy COO. From 2009 to 2011, Mr. Kushel was based in London, and during that time served as Chairman of BlackRock's International Businesses, responsible for the regional management of BlackRock's businesses and operations outside the US and Canada. Prior to that assignment, Mr. Kushel held several other positions within the firm, including heading BlackRock's International Institutional Business and BlackRock's Alternatives and Wealth Management Groups. Prior to joining BlackRock in 1991, he was an Associate in the Financial Institutions Group at Prudential Securities. Mr. Kushel currently serves as the Vice Chairman of the Advisory Council of the Freeman Spogli Institute for International Studies at Stanford University. Mr. Kushel holds a Bachelor of Science degree in Industrial Engineering from Stanford University.</t>
  </si>
  <si>
    <t>rich.richardkushel@blackrock.com</t>
  </si>
  <si>
    <t>Senior Managing Director, Head of the Portfolio Management Group, Global Executive &amp; Global Operating Committee Member</t>
  </si>
  <si>
    <t>263834-92P</t>
  </si>
  <si>
    <t>Jackie Krese</t>
  </si>
  <si>
    <t>Krese</t>
  </si>
  <si>
    <t>Ms. Jackie Krese serves as Head of U.S. Capital Markets at BlackRock.</t>
  </si>
  <si>
    <t>jackie.krese@blackrock.com</t>
  </si>
  <si>
    <t>Head of U.S. Capital Markets</t>
  </si>
  <si>
    <t>389328-31P</t>
  </si>
  <si>
    <t>James Berner</t>
  </si>
  <si>
    <t>Berner</t>
  </si>
  <si>
    <t>Mr. James Berner serves as Partner, Global Infrastructure Partners at BlackRock.</t>
  </si>
  <si>
    <t>james.berner@blackrock.com</t>
  </si>
  <si>
    <t>Partner, Global Infrastructure Partners</t>
  </si>
  <si>
    <t>415417-69P</t>
  </si>
  <si>
    <t>James Craven</t>
  </si>
  <si>
    <t>Craven</t>
  </si>
  <si>
    <t>Mr. James Craven serves as Associate, European Leveraged Finance Product Strategy at BlackRock.</t>
  </si>
  <si>
    <t>james.craven@blackrock.com</t>
  </si>
  <si>
    <t>Associate, European Leveraged Finance Product Strategy</t>
  </si>
  <si>
    <t>58274-56P</t>
  </si>
  <si>
    <t>James Keenan</t>
  </si>
  <si>
    <t>Keenan</t>
  </si>
  <si>
    <t>Mr. James Keenan serves as Managing Director, Co-Chief Investment Officer &amp; Global Head of Private Debt at BlackRock. He also serves as the Chairman &amp; Interim Chief Executive Officer at Blackrock Capital Investment. He has led BlackRock's Global Credit platform since 2006, overseeing investment strategy, processes, performance, risk management, platform strategic planning and growth initiatives, and partnerships with BlackRock's distribution channels. Under his leadership, the platform has significantly expanded to offer clients a full range of investment strategies and solutions in leveraged finance, hedge fund and liquid alternative strategies, and private credit opportunities in middle market direct lending, opportunistic credit, and specialty finance. Since 2004, he has managed investment portfolios at BlackRock across a range of strategies including high-yield credit, opportunistic and distressed lending, and long/short hedge funds. He serves on BlackRock's Global Operating Committee, the Executive Committees of BlackRock Alternative Investors and Global Fixed Income, Investment Committees for BlackRock Private Equity Partners and BlackRock Alternative Solutions Group, and BlackRock's Infrastructure Debt Management Committee. He began his career in credit research and trading with UBS Global Asset Management and Columbia Management Group. He earned a BBA in finance from the University of Notre Dame in 1998.</t>
  </si>
  <si>
    <t>james.keenan@blackrock.com</t>
  </si>
  <si>
    <t>Managing Director, Co-Chief Investment Officer &amp; Global Head of Private Debt</t>
  </si>
  <si>
    <t>330773-95P</t>
  </si>
  <si>
    <t>James Raby</t>
  </si>
  <si>
    <t>Raby</t>
  </si>
  <si>
    <t>Mr. James Raby serves as Managing Director at BlackRock.</t>
  </si>
  <si>
    <t>james.raby@blackrock.com</t>
  </si>
  <si>
    <t>339810-76P</t>
  </si>
  <si>
    <t>James Tarplett</t>
  </si>
  <si>
    <t>Tarplett</t>
  </si>
  <si>
    <t>Mr. James Tarplett serves as Vice President of Business Development at Preqin. Mr. Tarplett serves as Managing Director at BlackRock. He serves as Vice President, Business Development EMEA at Colmore.</t>
  </si>
  <si>
    <t>+44 (0)20 3207 0200</t>
  </si>
  <si>
    <t>james.tarplett@preqin.com</t>
  </si>
  <si>
    <t>Verde</t>
  </si>
  <si>
    <t>10 Bressenden Place</t>
  </si>
  <si>
    <t>SW1E 5DH</t>
  </si>
  <si>
    <t>Vice President of Business Development</t>
  </si>
  <si>
    <t>Preqin</t>
  </si>
  <si>
    <t>346070-44P</t>
  </si>
  <si>
    <t>Jan-Frederik Modell</t>
  </si>
  <si>
    <t>Jan-Frederik</t>
  </si>
  <si>
    <t>Modell</t>
  </si>
  <si>
    <t>Mr. Jan-Frederik Modell serves as a Director of Private Equity, Product Strategy, and Investor Relations at BlackRock. He is responsible for business development as well as the creation and implementation of customized private equity separate account solutions and comingled private equity funds. Before joining BlackRock Private Equity Partners in 2015, he worked at Partners Group in the Investment Solutions group where he was responsible for investor relations, corporate development, and client relationship management for the firm's listed private equity fund. Previously, he worked at Partners Group in the Private Equity Product Management group focusing on private equity commingled funds and separate accounts. He began his career at UBS Investment Bank in the Alternative Investment Solutions group where he was working with the hedge fund derivatives structuring team. He earned a BS degree in General Management from EBS Business School, Oestrich-Winkel, Germany in 2008 and an MBA and Master in Advanced Finance degree from IE Business School, Madrid, Spain in 2014.</t>
  </si>
  <si>
    <t>jmodell@blackrock.com</t>
  </si>
  <si>
    <t>Director, Private Equity, Product Strategy and Investor Relations</t>
  </si>
  <si>
    <t>348803-02P</t>
  </si>
  <si>
    <t>Jarid Colucci</t>
  </si>
  <si>
    <t>Jarid</t>
  </si>
  <si>
    <t>Colucci</t>
  </si>
  <si>
    <t>Mr. Jarid Colucci serves as Managing Director &amp; Co-Head, Secondaries and Liquidity Solutions at BlackRock. He holds an MBA degree from Clarkson University &amp; also completed an BS degree in finance from Siena College.</t>
  </si>
  <si>
    <t>jarid.colucci@blackrock.com</t>
  </si>
  <si>
    <t>Managing Director &amp; Co-Head, Secondaries and Liquidity Solutions</t>
  </si>
  <si>
    <t>52098-49P</t>
  </si>
  <si>
    <t>Jason Collins</t>
  </si>
  <si>
    <t>Mr. Jason Collins serves as Head of Australia at BlackRock. He served as Head of Ascalon Capital Managers Australia at BT Financial Group. He holds a Bachelor's degree in Business from the University of Technology, Sydney.</t>
  </si>
  <si>
    <t>+61 (0)2 9272 2200</t>
  </si>
  <si>
    <t>jason.collins@blackrock.com</t>
  </si>
  <si>
    <t>Chifley Tower</t>
  </si>
  <si>
    <t>2 Chifley Square</t>
  </si>
  <si>
    <t>Head of Australia</t>
  </si>
  <si>
    <t>399510-73P</t>
  </si>
  <si>
    <t>Jason Mehring</t>
  </si>
  <si>
    <t>Mehring</t>
  </si>
  <si>
    <t>Managing Director &amp; President</t>
  </si>
  <si>
    <t>Mr. Jason Mehring serves as Chief Operating Officer at BlackRock TCP Capital BDC. Mr. Jason Mehring serves as Managing Director &amp; President of BlackRock TCP Capital Corp at BlackRock.</t>
  </si>
  <si>
    <t>+1 (310) 566-1000</t>
  </si>
  <si>
    <t>Santa Monica</t>
  </si>
  <si>
    <t>Santa Monica, CA</t>
  </si>
  <si>
    <t>2951 28th Street</t>
  </si>
  <si>
    <t>90405</t>
  </si>
  <si>
    <t>BlackRock TCP Capital BDC</t>
  </si>
  <si>
    <t>75755-26P</t>
  </si>
  <si>
    <t>Jean Boivin Ph.D</t>
  </si>
  <si>
    <t>Boivin</t>
  </si>
  <si>
    <t>Dr. Jean Boivin serves as a Head of the BlackRock Investment Institute and Global Head of Research at BlackRock. He, a member of BlackRock's EMEA Executive Committee, is also BII's Global Head of Research. He is responsible for economic and market research, and for developing the core principles and intellectual property that underpin BlackRock's approach to portfolio design, such as capital market assumptions and optimization tools. Before joining BlackRock in 2014, he served as Deputy Governor of the Bank of Canada and Associate Deputy Finance Minister, serving as Canada's representative at the G7, G20, and Financial Stability Board. He has also taught at Columbia Business School and HEC Montreal and has written widely on macroeconomics, monetary policy, and finance. He earned a B.Sc. degree in economics from the Université de Montreal in 1995, an MA in economics from Princeton University in 1997, and a Ph.D. in economics from Princeton University in 2000.</t>
  </si>
  <si>
    <t>jean.boivin@blackrock.com</t>
  </si>
  <si>
    <t>Head of the BlackRock Investment Institute and Global Head of Research</t>
  </si>
  <si>
    <t>44746-57P</t>
  </si>
  <si>
    <t>Jean-Christophe Rey</t>
  </si>
  <si>
    <t>Jean-Christophe</t>
  </si>
  <si>
    <t>Rey</t>
  </si>
  <si>
    <t>Mr. Jean-Christophe Rey serves as Fund Manager, Managing Director &amp; Head of Private Credit Fundraising and Private Credit Distribution, EMEA at BlackRock. Mr. Rey served as Managing Director, of Southern Europe &amp; Latin America, Marketing and Client Relations - Europe at Intermediate Capital Group. He has over ten years of experience in investor relations with financial and investment institutions. He is a Graduate of the Ecole Supérieure de Commerce de Bordeaux and holds an MSc in International Finance from Salford University and is a CFA Charterholder.</t>
  </si>
  <si>
    <t>+44 (0)20 3201 7700</t>
  </si>
  <si>
    <t>jeanchristophe.rey@blackrock.com</t>
  </si>
  <si>
    <t>Fund Manager, Managing Director &amp; Head of Private Credit Fundraising and Private Credit Distribution, EMEA</t>
  </si>
  <si>
    <t>63193-15P</t>
  </si>
  <si>
    <t>Jean-Francois Cirelli</t>
  </si>
  <si>
    <t>Jean-Francois</t>
  </si>
  <si>
    <t>Cirelli</t>
  </si>
  <si>
    <t>Mr. Jean-Francois Cirelli serves as a President at BlackRock. He serves as Vice Chairman of the Board of Directors at Electrabel Suez. He also serves as a Board Member and Chairman of the Supervisory Board at IDEMIA. Previously, he served as a Supervisory Board Member. Since the end of 2015, he has been the Chairman and Senior Adviser of the French, Belgian and Luxembourg subsidiaries of Blackrock. He is also a senior advisor with Advent International and McKinsey &amp; Company. Before joining Blackrock, he was Vice President and Chief Executive Officer of GDF SUEZ (now known as ENGIE), where he was directly responsible for all energy activities in Europe between 2012 and 2014. Prior to its merger with Suez, he was Chairman and General Manager of Gaz de France, a position he held from 2004. He also served as Chairman deputy of the Board of Directors of the Belgian subsidiary Electrabel. He began his professional career in French administration by joining the Treasury Department of the French Ministry of Economy and Finance in 1985. He was successively in charge of housing policy, the General Secretariat of the Paris Club (sovereign debt rescheduling) and financial market regulation. He was also Alternate Director for France at the IMF. In 1995, he was appointed economic advisor to the French President where he remained until 2002. In 2002, he was appointed Deputy Director of the Cabinet of Prime Minister Jean-Pierre RAFFARIN, in charge of economic, industrial and social matters. he is a graduate of the Institut d'Etudes Politiques de Paris and holds a law degree. He is a former student of the Ecole Nationale d'Administration (1983-1985). Has been awarded Officier de la Légion d'Honneur and Officier du Mérite.</t>
  </si>
  <si>
    <t>jcirelli@blackrock.com</t>
  </si>
  <si>
    <t>172117-72P</t>
  </si>
  <si>
    <t>Jean-Marc Routier</t>
  </si>
  <si>
    <t>Routier</t>
  </si>
  <si>
    <t>Mr. Jean-Marc Routier serves as Head of Fundamental Equity Sustainable &amp; Transition Product Strategy at BlackRock.</t>
  </si>
  <si>
    <t>jean-marc.routier@blackrock.com</t>
  </si>
  <si>
    <t>Head of Fundamental Equity Sustainable &amp; Transition Product Strategy</t>
  </si>
  <si>
    <t>39704-95P</t>
  </si>
  <si>
    <t>Jeffrey Rosenberg</t>
  </si>
  <si>
    <t>Rosenberg</t>
  </si>
  <si>
    <t>Mr. Jeffrey Rosenberg serves as Managing Director and Senior Portfolio Manager, Systematic Fixed Income at BlackRock. In this role, he serves as a member of the SFI Investment and Executive Committees and as a senior portfolio manager for a number of our investment products including the Systematic Multi-Strategy fund. Mr. Rosenberg's service with the firm dates back to 2011 when he joined the Fundamental fixed income group as Chief Investment Strategist for fixed income. In 2016, this role transitioned into the BlackRock Investment Institute. His responsibilities included helping to develop BlackRock's strategic and tactical views on sector allocation within fixed income, currencies, and commodities. Prior to joining BlackRock, Mr. Rosenberg spent nearly 10 years at Bank of America Merrill Lynch as the Chief Credit Strategist coordinating strategy across all fixed income, securitized assets, credit, FX and commodities. In addition, Mr. Rosenberg specialized in quantitative credit modeling and developed the first commercialized credit portfolio analytics system from a dealer firm. Mr. Rosenberg earned a Master of Science degree in Computational Finance from Carnegie Mellon, a BA in Mathematics from the Univ. of Minnesota, and a BA in Finance from the Univ. of Wisconsin.</t>
  </si>
  <si>
    <t>jeffrey.rosenberg@blackrock.com</t>
  </si>
  <si>
    <t>Managing Director &amp; Senior Portfolio Manager, Systematic Fixed Income</t>
  </si>
  <si>
    <t>150000-94P</t>
  </si>
  <si>
    <t>Jeffrey Shen Ph.D</t>
  </si>
  <si>
    <t>Shen</t>
  </si>
  <si>
    <t>Dr. Jeffrey Shen serves as a Managing Director, Co-Chief Investment Officer &amp; Co-Head of Systematic Equities, Systematic investment Team at BlackRock. He is a member of the Global Operating Committee, Human Capital Committee, and Asia Pacific Operating Committee. His service with the firm dates back to 2004, including his years with Barclays Global Investors (BGI), which merged with BlackRock in 2009. At BGI, he was the Head of Asia and Emerging Market Equity Investment. Before joining BGI, he was the Global Head of Asset Allocation Research and Macro Absolute Return Investment at JP Morgan Asset Management. He began his career in 1997 and worked in hedge funds, risk management research, and macro investment functions for JPMorgan in New York and London. In addition, he is an Adjunct Professor at NYU teaching an MBA class on International Investment. He earned a BA degree in economics from Hobart College, an MA degree in economics from the University of Massachusetts at Amherst, and a Ph.D. degree in finance from New York University.</t>
  </si>
  <si>
    <t>jeff.shen@blackrock.com</t>
  </si>
  <si>
    <t>Managing Director, Co-Chief Investment Officer &amp; Co-Head of Systematic Active Equity Group</t>
  </si>
  <si>
    <t>399021-31P</t>
  </si>
  <si>
    <t>Jennifer Cohen</t>
  </si>
  <si>
    <t>Analyst &amp; Associate</t>
  </si>
  <si>
    <t>Ms. Jennifer Cohen serves as Associate, Aladdin Business Development &amp; Analyst at BlackRock.</t>
  </si>
  <si>
    <t>cohen@blackrock.com</t>
  </si>
  <si>
    <t>Associate, Aladdin Business Development &amp; Analyst</t>
  </si>
  <si>
    <t>46248-67P</t>
  </si>
  <si>
    <t>Jeong Lee</t>
  </si>
  <si>
    <t>Mr. Jeong Lee serves as the Head of North Asia, Alternative Investment Strategy Group at BlackRock. He comes to BlackRock from Fortress Investment Group, where he served as the head of that firm's business in Seoul.</t>
  </si>
  <si>
    <t>jhlee@blackrock.com</t>
  </si>
  <si>
    <t>Head of North Asia, Alternative Investment Strategy Group</t>
  </si>
  <si>
    <t>361459-72P</t>
  </si>
  <si>
    <t>Jerome Leyvigne</t>
  </si>
  <si>
    <t>Jerome</t>
  </si>
  <si>
    <t>Leyvigne</t>
  </si>
  <si>
    <t>Mr. Jerome Leyvigne serves as Managing Director at BlackRock.</t>
  </si>
  <si>
    <t>jerome.leyvigne@blackrock.com</t>
  </si>
  <si>
    <t>364137-31P</t>
  </si>
  <si>
    <t>Jessica Franks</t>
  </si>
  <si>
    <t>Franks</t>
  </si>
  <si>
    <t>Ms. Jessica Franks serves as Vice President, Infrastructure Debt Investment Management at BlackRock.</t>
  </si>
  <si>
    <t>jessica.franks@blackrock.com</t>
  </si>
  <si>
    <t>Vice President, Infrastructure Debt Investment Management</t>
  </si>
  <si>
    <t>138882-61P</t>
  </si>
  <si>
    <t>Jessica Tan</t>
  </si>
  <si>
    <t>Ms. Jessica Tan serves as Head of Americas for Global Product Solutions at BlackRock. Prior to joining BlackRock in 2010, she was a Vice President in the Equity Sales &amp; Trading division of Merrill Lynch, where she covered U.S. clients trading international equity portfolios. She earned an MBA from Harvard Business School in 2010 and graduated magna cum laude and Phi Beta Kappa with a B.S. in economics from Duke University in 2003.</t>
  </si>
  <si>
    <t>jessica.tan@blackrock.com</t>
  </si>
  <si>
    <t>Head of Americas for Global Product Solutions</t>
  </si>
  <si>
    <t>85134-16P</t>
  </si>
  <si>
    <t>Jim Badenhausen</t>
  </si>
  <si>
    <t>Badenhausen</t>
  </si>
  <si>
    <t>Mr. Jim Badenhausen serves as Senior Advisor at BlackRock. He also serves on the firm's Philanthropy board and the Government Relations Steering Committee. Prior to joining BlackRock in 2011, he was a partner with Robinson Lerer &amp; Montgomery, a strategic communications consulting firm. He advised a wide variety of global companies and other organizations on corporate reputation, crisis management and financial communications. From 1991 to 1997, he was Director of Public Affairs and a speechwriter for California Governor Pete Wilson. He graduated from Dartmouth College with a degree in Government.</t>
  </si>
  <si>
    <t>330840-55P</t>
  </si>
  <si>
    <t>Joe Horner</t>
  </si>
  <si>
    <t>Horner</t>
  </si>
  <si>
    <t>Mr. Joe Horner serves as Vice President at BlackRock. Mr. Horner served as Senior Manager, Account Executive at Preqin.</t>
  </si>
  <si>
    <t>j-h@blackrock.com</t>
  </si>
  <si>
    <t>54310-06P</t>
  </si>
  <si>
    <t>John Doyle</t>
  </si>
  <si>
    <t>Doyle</t>
  </si>
  <si>
    <t>Mr. John Doyle serves as Director &amp; Member of Blackrock's Global Credit Platform at Blackrock Capital Investment Corporation BDC. He serves as Managing Director at BlackRock. He was most recently a Summer Associate at Silver Lake Kraftwerk, a growth stage venture capital firm focused on energy and resources, researching the agriculture and smart grid security sectors. Prior to Kraftwerk, Doyle was the Lead Associate for Business and Financial Services at Hyde Park Angels and Hyde Park Venture Partners, the University of Chicago-affiliated angel group and venture capital arm. Previously, Doyle founded and led the business development effort at Fountain Partners, a San Francisco-based venture leasing firm. Doyle received a B.S. from the University of Southern California and an M.B.A. from the Booth School of Business at the University of Chicago.</t>
  </si>
  <si>
    <t>+1 (650) 292-3644</t>
  </si>
  <si>
    <t>john.doyle@blackrock.com</t>
  </si>
  <si>
    <t>Director &amp; Member of Blackrock's Global Credit Platform</t>
  </si>
  <si>
    <t>Blackrock Capital Investment Corporation BDC</t>
  </si>
  <si>
    <t>387276-85P</t>
  </si>
  <si>
    <t>John Griffith III</t>
  </si>
  <si>
    <t>Griffith</t>
  </si>
  <si>
    <t>Mr. John Griffith serves as Managing Director at BlackRock. Before moving to his current role, he was the senior product strategist for the US Investment Grade Credit &amp; Long Duration business. In that role, he oversaw business development activities for global clients investing in US Investment Grade Credit, and he worked closely with the Liability Driven Investment Strategy team to implement LDI investment solutions for US corporate pensions. Before that, he was a member of the Proprietary Alpha Strategies team, focusing on US equity and fixed-income hedge fund product management and development. He holds a BS degree in Business &amp; Economics from Lehigh University.</t>
  </si>
  <si>
    <t>john.griffith@blackrock.com</t>
  </si>
  <si>
    <t>221201-65P</t>
  </si>
  <si>
    <t>Jonathan Callan</t>
  </si>
  <si>
    <t>Callan</t>
  </si>
  <si>
    <t>Mr. Jonathan Callan serves as Director &amp; Head of Portfolio Management AMRS - Alternative Portfolio Solutions at BlackRock. He focuses on Alternative Solutions' research initiatives and is responsible for risk analysis of opportunistic investments. Additional responsibilities include developing relative-value allocation models that aid in the portfolio construction process. He began his career with BlackRock in 2012 as an analyst in the Risk and Quantitative Analysis Group, where he was responsible for risk management and research across a variety of BlackRock's alternative funds including private equity fund of funds, infrastructure, and REITs portfolios. He graduated with a BS degree in Commerce and a BA degree in Mathematics from the University of Virginia.</t>
  </si>
  <si>
    <t>+1 (212) 810-5860</t>
  </si>
  <si>
    <t>jonathan.callan@blackrock.com</t>
  </si>
  <si>
    <t>Director &amp; Head of Portfolio Management AMRS - Alternative Portfolio Solutions</t>
  </si>
  <si>
    <t>346340-44P</t>
  </si>
  <si>
    <t>Jordan Wiggin</t>
  </si>
  <si>
    <t>Wiggin</t>
  </si>
  <si>
    <t>Mr. Jordan Wiggin serves as Vice President at BlackRock. Mr. Wiggin served as Account Manager, Global Accounts at Preqin.</t>
  </si>
  <si>
    <t>jordanw@blackrock.com</t>
  </si>
  <si>
    <t>285420-79P</t>
  </si>
  <si>
    <t>Joseph Chalom</t>
  </si>
  <si>
    <t>Chalom</t>
  </si>
  <si>
    <t>Mr. Joseph Chalom serves as Managing Director &amp; Head of Strategic Ecosystem Partnerships at BlackRock. He serves as a Board Member at Clarity AI.</t>
  </si>
  <si>
    <t>joseph.chalom@blackrock.com</t>
  </si>
  <si>
    <t>Managing Director &amp; Head of Strategic Ecosystem Partnerships</t>
  </si>
  <si>
    <t>79573-69P</t>
  </si>
  <si>
    <t>Juan Leautaud</t>
  </si>
  <si>
    <t>Leautaud</t>
  </si>
  <si>
    <t>Mr. Juan Leautaud serves as Senior Advisor at BlackRock.</t>
  </si>
  <si>
    <t>+52 (01)55 5241 4300</t>
  </si>
  <si>
    <t>juanalberto.leautaud@blackrock.com</t>
  </si>
  <si>
    <t>Torre Virreyes Pedregal 24</t>
  </si>
  <si>
    <t>Colonia Molino del Rey Del Miguel Hidalgo</t>
  </si>
  <si>
    <t>11040</t>
  </si>
  <si>
    <t>145267-66P</t>
  </si>
  <si>
    <t>Julien Thebault</t>
  </si>
  <si>
    <t>Julien</t>
  </si>
  <si>
    <t>Thebault</t>
  </si>
  <si>
    <t>Mr. Julien Thebault serves as Director, Business Development, Asset Servicing EMEA &amp; Executive, Business Service at BlackRock. Mr. Thebault served as a Senior Director, Head of Sales for Investment Bank at S&amp;P Global Market Intelligence. Previously, he served as a Sales Director, Southern Europe Sell Side at S&amp;P Capital IQ.</t>
  </si>
  <si>
    <t>julien.thebault@blackrock.com</t>
  </si>
  <si>
    <t>Director, Business Development, Asset Servicing EMEA &amp; Executive, Business Service</t>
  </si>
  <si>
    <t>425083-96P</t>
  </si>
  <si>
    <t>Kai Aschick</t>
  </si>
  <si>
    <t>Kai</t>
  </si>
  <si>
    <t>Aschick</t>
  </si>
  <si>
    <t>Mr. Kai Aschick serves as Director at BlackRock.</t>
  </si>
  <si>
    <t>kai.aschick@blackrock.com</t>
  </si>
  <si>
    <t>138862-63P</t>
  </si>
  <si>
    <t>Kapil Arora</t>
  </si>
  <si>
    <t>Kapil</t>
  </si>
  <si>
    <t>Arora</t>
  </si>
  <si>
    <t>Mr. Kapil Arora serves as a Managing Director at BlackRock. He is responsible for BlackRock Solutions' global presence in India and provides direction and leadership to the FMA, Client Solutions, Financial Modeling Group, PAG, and Aladdin Solutions Center groups. As a member of the India Executive Committee, he is responsible for planning and executing strategies to build and grow the firm's global platform in India. He earned an Engineering degree in Computer Science from Nagpur University in 1999.</t>
  </si>
  <si>
    <t>+91 (0)22 6187 3500</t>
  </si>
  <si>
    <t>karora@blackrock.com</t>
  </si>
  <si>
    <t>NESCO IT Building III</t>
  </si>
  <si>
    <t>Nesco IT Park</t>
  </si>
  <si>
    <t>400063</t>
  </si>
  <si>
    <t>91596-52P</t>
  </si>
  <si>
    <t>Katharine Field</t>
  </si>
  <si>
    <t>Field</t>
  </si>
  <si>
    <t>Ms. Katharine Field serves as Head of EMEA Credit Product Strategy at BlackRock. She served as Director, Marketing and Client Relations at Intermediate Capital Group. She has held two previous roles at ICG, most recently as Corporate Strategy Director with responsibility for business development including ICG's entry into the US mezzanine market. Prior to this she was an Investment Director in European LBOs working on deals such as Pets at Home and TeamSystem. Before ICG she worked in Natwest Acquisition Finance and corporate banking at Lloyds TSB. She is a modern languages graduate from Durham University.</t>
  </si>
  <si>
    <t>katharine.field@blackrock.com</t>
  </si>
  <si>
    <t>Head of EMEA Credit Product Strategy</t>
  </si>
  <si>
    <t>141215-41P</t>
  </si>
  <si>
    <t>Katie Grogan</t>
  </si>
  <si>
    <t>Grogan</t>
  </si>
  <si>
    <t>Ms. Katie Grogan serves as Vice President, Global Learning at BlackRock. Previously she served as a Associate, Portfolio Management at CastleRock Management.</t>
  </si>
  <si>
    <t>katie.grogan@blackrock.com</t>
  </si>
  <si>
    <t>Vice President, Global Learning</t>
  </si>
  <si>
    <t>130459-42P</t>
  </si>
  <si>
    <t>Ked Hogan Ph.D</t>
  </si>
  <si>
    <t>Ked</t>
  </si>
  <si>
    <t>Dr. Ked Hogan serves as Managing Director at BlackRock. He is responsible for driving innovation in research for BlackRock's factor investment platform, including the firm's flagship macro and style factor funds, Market Advantage and Style Advantage. His service with the firm dates back to 1997, including his years with Barclays Global Investors (BGI), which merged with BlackRock in 2009. Previously, he has served as the head of Thematic Equity Investing for SAE, and as the Head of Equity and Emerging Market Research in GMSG. Before joining BGI, he was a professor of finance at McGill University. He has published in many academic journals including the Journal of Finance, the Journal of Financial Quantitative Analysis, and the Journal of International Economics. In addition, he has been rewarded the William Sharpe Award for the best paper of 2007 in the Journal of Financial Quantitative Analysis. He earned a BA degree and Ph.D. in economics from Arizona State University in 1982 and 1990, respectively.</t>
  </si>
  <si>
    <t>ked.hogan@blackrock.com</t>
  </si>
  <si>
    <t>258816-16P</t>
  </si>
  <si>
    <t>Keith Mangan</t>
  </si>
  <si>
    <t>Mangan</t>
  </si>
  <si>
    <t>Mr. Keith Mangan serves as Managing Director, Renewable Power at BlackRock. He joined BlackRock in 2011 and is a founding member of the Renewable Power platform. He is responsible for sourcing, executing, and managing renewable power infrastructure equity strategies and assets across APAC. He has over 25 years of experience in the energy markets and in his current role has invested in more than 30 wind and solar assets across a range of markets. Before joining BlackRock, he worked for NTR plc, an Irish-based, private, global infrastructure project developer, operator, and business owner. He began his career at Goldman Sachs where he worked for 12 years in the Commodities Division. He earned a Bachelor of Electrical and Electronic Engineering from University College Cork in Ireland.</t>
  </si>
  <si>
    <t>+353 (0)1 246 7000</t>
  </si>
  <si>
    <t>keith.mangan@blackrock.com</t>
  </si>
  <si>
    <t>2 Ballsbridge Park</t>
  </si>
  <si>
    <t>Ballsbridge</t>
  </si>
  <si>
    <t>D04 YW83</t>
  </si>
  <si>
    <t>Managing Director, Renewable Power</t>
  </si>
  <si>
    <t>91890-82P</t>
  </si>
  <si>
    <t>Keon Reed</t>
  </si>
  <si>
    <t>Keon</t>
  </si>
  <si>
    <t>Mr. Keon Reed serves as Board Member at Blackrock Capital Investment Corporation BDC. Mr. Reed served as Senior Associate at Tennenbaum Capital Partners. He serves as Board Member at Fishbowl (Alexandria). Prior to joining TCP in 2014, he was an Associate at Hercules Technology Growth Capital, within the Energy Technology Group. Before Hercules, Keon held positions at NEPC and Putnam Investments.</t>
  </si>
  <si>
    <t>keon.reed@blackrock.com</t>
  </si>
  <si>
    <t>135453-52P</t>
  </si>
  <si>
    <t>Khoabane Phoofolo</t>
  </si>
  <si>
    <t>Khoabane</t>
  </si>
  <si>
    <t>Phoofolo</t>
  </si>
  <si>
    <t>Mr. Khoabane Phoofolo serves as Managing Director &amp; Head of Africa at BlackRock. He holds an MBA degree from University of Pennsylvania (Wharton) &amp; completed an B.A degree in Economics &amp; Political Science from Bates College.</t>
  </si>
  <si>
    <t>khoabane.phoofolo@blackrock.com</t>
  </si>
  <si>
    <t>Managing Director &amp; Head of Africa</t>
  </si>
  <si>
    <t>129873-52P</t>
  </si>
  <si>
    <t>Kurt Vandenberg</t>
  </si>
  <si>
    <t>Vandenberg</t>
  </si>
  <si>
    <t>Mr. Kurt Vandenberg serves as Managing Director at BlackRock. Mr. Vandenberg served as Advisor at Mezzobit.</t>
  </si>
  <si>
    <t>kurt.vandenberg@blackrock.com</t>
  </si>
  <si>
    <t>122944-87P</t>
  </si>
  <si>
    <t>Kyle McClements</t>
  </si>
  <si>
    <t>McClements</t>
  </si>
  <si>
    <t>Mr. Kyle McClements serves as Managing Director &amp; Portfolio Manager at BlackRock. He is a senior trader responsible for executing equity derivatives and options trades. His service with the firm dates back to 2004, including his years with State Street Research &amp; Management (SSRM), which merged with BlackRock in 2005. At SSRM, he was a Vice President and senior derivatives strategist responsible for equity derivative strategy and trading in the Quantitative Equity Group. Before joining SSRM in 2004, he was a senior trader/analyst at Deutsche Asset Management, responsible for derivatives, equity programs, technology and energy sectors, and foreign exchange trading. He began his career in 1994 as a derivatives analyst with Donaldson Lufkin &amp; Jenrette responsible for pricing and performance analytics for the derivatives trading desk.</t>
  </si>
  <si>
    <t>kmcclements@blackrock.com</t>
  </si>
  <si>
    <t>72334-99P</t>
  </si>
  <si>
    <t>Ladell Robbins</t>
  </si>
  <si>
    <t>Ladell</t>
  </si>
  <si>
    <t>Robbins</t>
  </si>
  <si>
    <t>Mr. Ladell Robbins serves as Managing Director, Alternative Investors at BlackRock. Mr. Robbins served as Vice President and Investment Officer at African Capital Alliance. He joined ACA in August 2013, after managing his own investment and advisory firm BlueSky Partners which he ran from July 2009 to July 2013. During this time, Mr. Robbins also assisted in the development of Doreo Partners, a Nigerian agriculture-focused investment and advisory firm. Prior to that, Mr. Robbins was part of the initial team which established Renaissance Capital's investment banking business in Africa in addition to having worked at other leading financial institutions such as Credit Suisse (London) and JP Morgan (New York). Mr. Robbins served as a Senior Manager in Lucent Technologies M&amp;A department where he worked to significantly restructure the company in the early 2000s. Mr. Robbins has over 15 years of experience in financial services in North America, Europe, and Africa and he has worked on a variety of M&amp;A, ECM, DCM, and principal investment transactions. Mr. Robbins holds a B.A. in Economics with a Minor in Business Administration from the University of North Carolina at Chapel Hill (Morehead Scholar) and an MBA from the Harvard Business School.</t>
  </si>
  <si>
    <t>ladell.robbins@blackrock.com</t>
  </si>
  <si>
    <t>Managing Director, Alternative Investors</t>
  </si>
  <si>
    <t>16220-35P</t>
  </si>
  <si>
    <t>Laurence Fink</t>
  </si>
  <si>
    <t>Laurence</t>
  </si>
  <si>
    <t>Mr. Laurence Fink is a Co-Founder &amp; serves as Chief Executive Officer &amp; Chairman at BlackRock. He served as a Board Member at Partnership for New York City. He also served as an Executive at BlackRock Fund Advisors. He also leads the Global Executive Committee. He served as a Board Member at 98point6. He has led the firm since its founding in 1988, keeping client-centric solutions and innovation at the forefront of his leadership. Before founding BlackRock in 1988, he was a member of the Management Committee and a Managing Director of The First Boston. He joined First Boston in 1976 and quickly became one of the first mortgage-backed securities traders on Wall Street. During his tenure at First Boston, he was co-head of the Taxable Fixed Income Division, which was responsible for trading and distribution of all government, mortgage, and corporate securities. He also started the Financial Futures and Options Department and headed the Mortgage and Real Estate Products Group. He serves as a member of the Board of Trustees of New York University and is Co-Chairman of the NYU Langone Medical Center Board of Trustees. He also serves on the Boards of The Museum of Modern Art (MoMA), the Council on Foreign Relations, and Robin Hood, the New York City charitable organization. He is also Co-Chairman of The Partnership for New York City, which works to engage the business community in efforts to advance the City's economy and maintain its position as the center of world commerce, finance, and innovation. He earned an MBA degree with a concentration in real estate from the University of California at Los Angeles (UCLA) in 1976 and a BA degree in political science from UCLA in 1974.</t>
  </si>
  <si>
    <t>laurence.fink@blackrock.com</t>
  </si>
  <si>
    <t>Co-Founder, Chief Executive Officer &amp; Chairman</t>
  </si>
  <si>
    <t>373045-33P</t>
  </si>
  <si>
    <t>Lawrence Waldron</t>
  </si>
  <si>
    <t>Lawrence</t>
  </si>
  <si>
    <t>Waldron</t>
  </si>
  <si>
    <t>Mr. Lawrence Waldron serves as Vice President at BlackRock. Mr. Waldron served as Account Manager, EMEA Fund Manager Team &amp; Associate, Business Services at Preqin.</t>
  </si>
  <si>
    <t>lawrence.waldron@blackrock.com</t>
  </si>
  <si>
    <t>221663-62P</t>
  </si>
  <si>
    <t>Leigh Farris</t>
  </si>
  <si>
    <t>Leigh</t>
  </si>
  <si>
    <t>Farris</t>
  </si>
  <si>
    <t>Ms. Leigh Farris serves as Global Head of Corporate Communications at BlackRock. She served as Partner, Global Head of Corporate Communications &amp; Member of Leadership and Operating Committees at The Carlyle Group. Prior to joining Carlyle, she served in several roles, including most recently Managing Director, Head of CEO Communications. She was also the Chief of Staff to the President and Co-Chief Operating Officer of Goldman Sachs. She joined Goldman Sachs in 2014 in the Executive Office, overseeing communications for the firm's global impact investing platform, including the Goldman Sachs Foundation and Urban Investment Group. He holds a degree from the University of Texas, Austin.</t>
  </si>
  <si>
    <t>leigh.farris@blackrock.com</t>
  </si>
  <si>
    <t>Global Head of Corporate Communications</t>
  </si>
  <si>
    <t>133207-21P</t>
  </si>
  <si>
    <t>Lili Forouraghi</t>
  </si>
  <si>
    <t>Forouraghi</t>
  </si>
  <si>
    <t>Ms. Lili Forouraghi serves as Managing Director and Head of Endowment and Foundations at BlackRock. She serves as a Board Member at Women of the World Endowment. She is a member of the US and Canada Institutional Executive Committee within BlackRock's Institutional Client Business. Ms. Forouraghi serves on the advisory boards for Win. She is also a trustee for the James Martin Trust of Oxford Martin School. Previously, she was a senior member of BlackRock's Financial Institutions Group (FIG) and Financial Markets Advisory (FMA. Prior to her current role, Ms. Forouraghi held several leadership roles across BlackRock's Financial Institutions, Financial Markets Advisory, and Official Institutions Groups, where she worked closely with BlackRock's institutional clients including insurance companies, central banks, multilateral agencies, and other official entities, pension funds, and foundations &amp; endowments. Ms. Forouraghi joined BlackRock in 2002 as a founding member of the firm's Wealth Management team. Prior to joining BlackRock, Ms. Forouraghi was a Vice President and Senior Investment Strategist for Fixed Income at Goldman Sachs Asset Management, Global Multi-Manager Strategies. From 1991 to 1999, Ms. Forouraghi assumed several roles at the Treasury of the International Finance Corporation (a World Bank affiliate). Ms. Forouraghi began her career at The World Bank Treasury in 1990. Ms. Forouraghi earned a BS degree in French and German literature from Georgetown University and an MBA degree in Finance &amp; Investments/International Business from George Washington University.</t>
  </si>
  <si>
    <t>lili.forouraghi@blackrock.com</t>
  </si>
  <si>
    <t>Managing Director &amp; Head of Endowment and Foundations</t>
  </si>
  <si>
    <t>404474-23P</t>
  </si>
  <si>
    <t>Lior Katz</t>
  </si>
  <si>
    <t>Lior</t>
  </si>
  <si>
    <t>Mr. Lior Katz serves as Family Office - Head of Continental Europe and Director at BlackRock.</t>
  </si>
  <si>
    <t>lior.katz@blackrock.com</t>
  </si>
  <si>
    <t>Family Office - Head of Continental Europe and Director</t>
  </si>
  <si>
    <t>358154-20P</t>
  </si>
  <si>
    <t>Lisa Sun</t>
  </si>
  <si>
    <t>Ms. Lisa Sun serves as Managing Director &amp; Co-Head of Secondaries and Liquidity Solutions at BlackRock.</t>
  </si>
  <si>
    <t>lisa.sun@blackrock.com</t>
  </si>
  <si>
    <t>Managing Director &amp; Co-Head of Secondaries and Liquidity Solutions</t>
  </si>
  <si>
    <t>434371-87P</t>
  </si>
  <si>
    <t>Louise Kooy-Henckel</t>
  </si>
  <si>
    <t>Louise</t>
  </si>
  <si>
    <t>Kooy-Henckel</t>
  </si>
  <si>
    <t>Ms. Louise Kooy-Henckel serves as Head at BlackRock.</t>
  </si>
  <si>
    <t>lkooyhenckel@blackrock.com</t>
  </si>
  <si>
    <t>EMEA Head of Sustainable and Transition Solutions</t>
  </si>
  <si>
    <t>363907-09P</t>
  </si>
  <si>
    <t>Ludovic Legrand</t>
  </si>
  <si>
    <t>Ludovic</t>
  </si>
  <si>
    <t>Legrand</t>
  </si>
  <si>
    <t>Mr. Ludovic Legrand serves as Head of Sales &amp; Asset Servicing, Director &amp; Head of Business Development, Asset Servicing EMEA at BlackRock. He has experience from previous roles at eFront and BI-SAM Technologie. Ludovic Legrand holds a 2006 - 2007 Master of Arts (MA) in International Business &amp; Management at the University of Westminster. With a robust skill set that includes Management, PowerPoint, Business Analysis, Business Development, Key Account Management and more, Ludovic Legrand contributes valuable insights to the industry.</t>
  </si>
  <si>
    <t>ludovic.legrand@blackrock.com</t>
  </si>
  <si>
    <t>Head of Sales &amp; Asset Servicing, Director &amp; Head of Business Development, Asset Servicing EMEA</t>
  </si>
  <si>
    <t>200240-29P</t>
  </si>
  <si>
    <t>Mandy Lui</t>
  </si>
  <si>
    <t>Mandy</t>
  </si>
  <si>
    <t>Lui</t>
  </si>
  <si>
    <t>Ms. Mandy Lui serves as Member of Hong Kong Leadership Team at BlackRock. She served as Chair of Barings APAC DEI Council, Head of Wealth/Retail Distribution, Greater China &amp; S.E. Asia and Board Member at Barings.</t>
  </si>
  <si>
    <t>mandy.lui@blackrock.com</t>
  </si>
  <si>
    <t>Member of Hong Kong Leadership Team</t>
  </si>
  <si>
    <t>365919-76P</t>
  </si>
  <si>
    <t>Manuel Encarnacao</t>
  </si>
  <si>
    <t>Encarnacao</t>
  </si>
  <si>
    <t>Mr. Manuel Encarnacao serves as Director of Real Assets, Infrastructure Solutions at BlackRock.</t>
  </si>
  <si>
    <t>manuel.encarnacao@blackrock.com</t>
  </si>
  <si>
    <t>Director of Real Assets, Infrastructure Solutions</t>
  </si>
  <si>
    <t>225820-00P</t>
  </si>
  <si>
    <t>Marc Comerchero</t>
  </si>
  <si>
    <t>Comerchero</t>
  </si>
  <si>
    <t>Chief Accounting Officer &amp; Managing Director</t>
  </si>
  <si>
    <t>Mr. Marc Comerchero serves as Chief Accounting Officer, Global Controller &amp; Managing Director at BlackRock. On February 29, 2016, the Company announced that he (age 43) will become the Company's PAO, effective March 1, 2016. He, who is a Certified Public Accountant, joined BlackRock in 2006 and has held a variety of positions within the Company's Finance Department, including as head of Global Corporate Accounting and head of External Reporting. Prior to his appointment as PAO, he had been BlackRock's Global Controller since 2013 where he was responsible for all matters within the controller's group, including external/regulatory reporting, accounting policy, compensation accounting, investment accounting and finance operations.</t>
  </si>
  <si>
    <t>marc.comerchero@blackrock.com</t>
  </si>
  <si>
    <t>Chief Accounting Officer, Global Controller &amp; Managing Director</t>
  </si>
  <si>
    <t>109661-23P</t>
  </si>
  <si>
    <t>Marcia Moffat</t>
  </si>
  <si>
    <t>Marcia</t>
  </si>
  <si>
    <t>Moffat</t>
  </si>
  <si>
    <t>Ms. Marcia Moffat serves as a Managing Director and Country Head of Canada at BlackRock. As Country Head, Ms. Moffat is responsible for the leadership and strategic direction of BlackRock's business activities in the region. Through our institutional client and iShares businesses, and growing technology and advisory services, the Canada team is focused on sharing the very best of the firm's global capabilities and local expertise with Canadian clients. Ms. Moffat is also a member of the firm's Global Operating Committee, Global Human Capital Committee and US &amp; Canada Executive Committee. Ms. Moffat joined BlackRock in 2015 with over 15 years of experience in financial services. She has spent most of her career in financial services, including several years at the Royal Bank of Canada where she held progressively senior roles in Investment Banking, Investor Relations and Retail Banking. Earlier in her career, she worked as a corporate finance lawyer in the New York and Paris offices of Shearman &amp; Sterling. Beyond the firm, Ms. Moffat is actively involved with several industry and not-for-profit organizations, and speaks regularly at conferences and other events. She is Board Chair of the Canadian Coalition for Good Governance, Board Vice Chair of the Ontario Brain Institute, a Board Member of the C.D. Howe Institute, a member of the Business Council of Canada and Co-chair of McGill University's campaign for its third century. She also dedicates time and resources to a number of philanthropic endeavors. She earned her MBA and Law degrees from the University of Toronto, and a Bachelor of Science (biology) degree from McGill University.</t>
  </si>
  <si>
    <t>+1 (416) 643-4000</t>
  </si>
  <si>
    <t>marcia.moffat@blackrock.com</t>
  </si>
  <si>
    <t>161 Bay Street</t>
  </si>
  <si>
    <t>M5J 2S1</t>
  </si>
  <si>
    <t>Managing Director &amp; Country Head of Canada</t>
  </si>
  <si>
    <t>140212-81P</t>
  </si>
  <si>
    <t>Maria Rassam</t>
  </si>
  <si>
    <t>Rassam</t>
  </si>
  <si>
    <t>Ms. Maria Rassam serves as Portfolio Manager at BlackRock. She serves as Portfolio Manager at Cairn Capital. Maria Rassam joined Cairn Capital in 2010 and is a portfolio manager for the Cairn Special Opportunities Credit Fund as well as being responsible for the CLO equity and debt investment strategy and the macro hedging strategy with a particular focus on volatility products. Previously, Maria was involved in leveraged loans portfolio management. Prior to joining Cairn Capital, Maria was a senior analyst at Bank of America Merrill Lynch working closely with asset managers on a wide range of cash and synthetic CLO products, as well as a number of similar structures with leveraged loans and corporate bonds serving as the underlying collateral. Maria has almost 10 years of experience in financial markets covering portfolio management, analysis, and modelling. Maria is a holder of the CFA UK Level 4 Certificate in Investment Management (formerly IMC).</t>
  </si>
  <si>
    <t>maria.rassam@blackrock.com</t>
  </si>
  <si>
    <t>408538-81P</t>
  </si>
  <si>
    <t>Maria Sala</t>
  </si>
  <si>
    <t>Ms. Maria Sala serves as Head of Wealth Alternatives Specialists DACH at BlackRock.</t>
  </si>
  <si>
    <t>maria.sala@blackrock.com</t>
  </si>
  <si>
    <t>Head of Wealth Alternatives Specialists DACH</t>
  </si>
  <si>
    <t>412102-45P</t>
  </si>
  <si>
    <t>Marie-Pierre Ravoteur</t>
  </si>
  <si>
    <t>Marie-Pierre</t>
  </si>
  <si>
    <t>Ravoteur</t>
  </si>
  <si>
    <t>Mr. Marie-Pierre Ravoteur serves as Head of the Institutional Clients Division for France, Belgium and Luxembourg &amp; Managing Director at BlackRock.</t>
  </si>
  <si>
    <t>marie-pierre.ravoteur@blackrock.com</t>
  </si>
  <si>
    <t>Head of the Institutional Clients Division for France, Belgium and Luxembourg &amp; Managing Director</t>
  </si>
  <si>
    <t>188910-82P</t>
  </si>
  <si>
    <t>Mark Azzopardi</t>
  </si>
  <si>
    <t>Azzopardi</t>
  </si>
  <si>
    <t>Mr. Mark Azzopardi serves as Global Head of Insurance Solutions at BlackRock. His primary responsibility is to ensure that BlackRock's investment, advisory, risk management and product offerings for insurance companies reflect the environment in which they operate. The Financial Markets Advisory Group provides a wide range of advisory, capital markets, portfolio construction and analytical solutions to its clients. The Capital Markets &amp; Portfolio Advisory Group is a global team that combines markets and portfolio management skills with sector expertise, modeling and analytical capabilities. Prior to joining the firm in 2010, he was the senior portfolio manager at AllianceBernstein responsible for new product development and strategic advice to insurance and pension scheme clients. From 2000 to 2008 he was head of Insurance &amp; Pensions at BNP Paribas. Prior to that, he managed actuarial teams at Zurich Financial Services' Head Office and at the Hiscox Group in London. He began his career at Clay &amp; Partners, (now Aon Consulting) in 1988. He earned an MA degree in mathematics from Cambridge University in 1988 and became a Fellow of the Institute of Actuaries in 1991.</t>
  </si>
  <si>
    <t>mark.azzopardi@blackrock.com</t>
  </si>
  <si>
    <t>Managing Director &amp; Global Head of Insurance Solutions</t>
  </si>
  <si>
    <t>130618-27P</t>
  </si>
  <si>
    <t>Mark Everitt</t>
  </si>
  <si>
    <t>Everitt</t>
  </si>
  <si>
    <t>Mr. Mark Everitt serves as Head of Investment Research and Strategy, Alternatives at BlackRock. He is a member of the BAA Investment Committee and the BAA Management Committee. He has direct portfolio responsibilities as a member of the portfolio management team for the BAA co-investment and retail-focused funds. He serves as the Director of BAA Risk Management, a group embedded in the investment team that evaluates hedge fund portfolios as part of the BAA investment process. His service with the firm dates back to 2003, including his years with Quellos Group, LLC, of which the alternative investment management business was acquired by BlackRock in 2007. From 2000 to 2003, he was a managing director for market and liquidity risk with BNP Paribas, leading a team responsible for risk management in fixed income, equity, and commodity products across the Americas. He joined BNP Paribas London in 1995, where he was the global head of the Counterparty Risk and Portfolio Analysis Team. Before joining BNP Paribas, he held roles in management consulting with Price Waterhouse (1993 to 1995) and in capital markets with NatWest Markets (1988 to 2003). From 2008 until 2015, he was an affiliate instructor for the University of Washington teaching Computational Finance and Risk Management. He earned a BSc degree, with joint honors, in geography and topographic science from the University of Wales in 1988. He has passed all the qualifying examinations for Associate membership of the Chartered Institute of Bankers in the UK.</t>
  </si>
  <si>
    <t>mark.everitt@blackrock.com</t>
  </si>
  <si>
    <t>Head of Investment Research and Strategy, Alternatives</t>
  </si>
  <si>
    <t>31435-30P</t>
  </si>
  <si>
    <t>Mark Florian</t>
  </si>
  <si>
    <t>Mr. Mark Florian serves as Managing Director &amp; Head of Global Energy &amp; Power Infrastructure Funds at BlackRock. He started the Energy and Power Infrastructure business at First Reserve in 2008. The team now includes about 35 investment professionals and is located in Greenwich Connecticut, London, and Houston. The Team expects to open an office in the Asia-Pacific region in 2020. Prior to First Reserve, he had a 23-year career at Goldman Sachs. He was a Partner at this Firm and worked across many areas including corporate investment banking, mergers, and acquisitions, and public finance in his career there. His last position at Goldman was as the COO of the Public Sector and Infrastructure Department, managing the infrastructure investment banking business which included about 150 people, and a member of the investment committee for Goldman Sachs Infrastructure Partners. He has an undergraduate degree from Duke University, magna cum laude, majoring in Computer Science and Economics, and an MBA from the University of Chicago in Finance.</t>
  </si>
  <si>
    <t>mark.florian@blackrock.com</t>
  </si>
  <si>
    <t>Utica Minerals Development (Former)</t>
  </si>
  <si>
    <t>430332-49P</t>
  </si>
  <si>
    <t>Mark Levitt</t>
  </si>
  <si>
    <t>Levitt</t>
  </si>
  <si>
    <t>Executive &amp; Fund Manager</t>
  </si>
  <si>
    <t>Mr. Mark Levitt serves as Fund Manager &amp; Chief of Staff at BlackRock.</t>
  </si>
  <si>
    <t>ml@blackrock.com</t>
  </si>
  <si>
    <t>Fund Manager &amp; Chief of Staff</t>
  </si>
  <si>
    <t>174239-65P</t>
  </si>
  <si>
    <t>Mark Saxe</t>
  </si>
  <si>
    <t>Saxe</t>
  </si>
  <si>
    <t>Mr. Mark Saxe serves as Managing Director at BlackRock. He joined the Energy and Power Infrastructure business at First Reserve in 2011. The team now includes about 35 investment professionals and is located in Greenwich Connecticut, London, and Houston. The Team expects to open an office in the Asia-Pacific region in 2020. Before First Reserve, he worked at Loews Corporation where he was part of a team responsible for monitoring the Company's investments in upstream and midstream. His responsibilities include investment origination, execution, and exit strategy focused primarily on the midstream sector. He holds a Bachelor of Commerce from McGill University with concentrations in Finance and Information Technology.</t>
  </si>
  <si>
    <t>mark.saxe@blackrock.com</t>
  </si>
  <si>
    <t>56063-80P</t>
  </si>
  <si>
    <t>Mark Wiedman JD</t>
  </si>
  <si>
    <t>Wiedman</t>
  </si>
  <si>
    <t>Mr. Wiedman serves as President of The PNC Financial Services Group, Inc. He has been Senior Managing Director and Head of the Global Client Business since January 2023. From 2019 to 2022, Mr. Wiedman served as Head of International and of Corporate Strategy, and as Global Head of iShares and Index Investments from 2011 to 2019. Mr. Wiedman joined BlackRock in 2004 to help start what became the Financial Markets Advisory Group. Before joining BlackRock, he was Senior Advisor to the Under Secretary for Domestic Finance at the U.S. Treasury and a management consultant at McKinsey &amp; Company. Mr. Wiedman is the Executive Sponsor of the Company's SOMOS Latinx &amp; Allies Network.</t>
  </si>
  <si>
    <t>mark.wiedman@pnc.com</t>
  </si>
  <si>
    <t>408543-31P</t>
  </si>
  <si>
    <t>Marten Vading</t>
  </si>
  <si>
    <t>Marten</t>
  </si>
  <si>
    <t>Vading</t>
  </si>
  <si>
    <t>Mr. Marten Vading serves as Managing Director at BlackRock.</t>
  </si>
  <si>
    <t>marten.vading@blackrock.com</t>
  </si>
  <si>
    <t>193552-30P</t>
  </si>
  <si>
    <t>Martin Jaugietis</t>
  </si>
  <si>
    <t>Jaugietis</t>
  </si>
  <si>
    <t>Mr. Martin Jaugietis serves as Managing Director, Co-Head Pensions OCIO, Americas at BlackRock. The MASS team is the investment group at the heart of BlackRock's portfolio construction, asset allocation, and active management ecosystem. Before joining Blackrock in 2018, he was Managing Director, of Multi-Asset Solutions at Russell Investments in New York where he led client portfolio management activity for U.S. institutional clients, building custom portfolio solutions across pension, non-profit, and defined contribution channels. At Russell, he also served as Head of Liability Driven Investment (LDI) Solutions for five years and also spent several years as a Senior Investment Consultant in its advisory business. He started his career as an analyst and investment consultant at Towers Perrin in Melbourne, Australia, and also spent time in Towers Perrin's global consulting group based in New York advising multinational corporations on their international pension investing arrangements. He graduated from the Australian National University in 1997 with a Bachelor of Commerce degree (with Honors) and a Bachelor of Arts degree majoring in Political Science.</t>
  </si>
  <si>
    <t>martin.jaugietis@blackrock.com</t>
  </si>
  <si>
    <t>Managing Director, Co-Head Pensions OCIO, Americas</t>
  </si>
  <si>
    <t>92343-52P</t>
  </si>
  <si>
    <t>Martin Small JD</t>
  </si>
  <si>
    <t>Small</t>
  </si>
  <si>
    <t>Mr. Martin Small serves as Chief Financial Officer, Senior Managing Director &amp; Global Head of Corporate Strategy at BlackRock. He is responsible for leading BlackRock's global financial and corporate strategy teams. He oversees accounting and controllership, financial planning and analysis, tax, treasury, investor relations, corporate development, and corporate strategy. He is a member of BlackRock's Global Executive Committee (GEC) and serves as the GEC sponsor for BlackRock's GIVES Network, which coordinates and supports employee philanthropy and volunteerism. Before becoming CFO in 2023, he had been Head of BlackRock's U.S. Wealth Advisory business from 2018 to 2022. The U.S. Wealth Advisory teams distribute BlackRock's active, iShares, separately managed account (SMA), model portfolio, and alternatives investment capabilities to wealth management clients and platforms and lead the adoption of BlackRock's portfolio construction and digital wealth technologies by financial advisors. He was also responsible for leading the acquisition of and overseeing, the Aperio personalized index SMA business. He served as Head of U.S. and Canada iShares from 2014 to 2018. He was responsible for leading BlackRock's U.S. and Canada ETF businesses across institutional and intermediary sales and marketing, product, and capital markets. He served as a member of the ETF &amp; Index Investments global management committee. From 2008 to 2014, he helped establish and served in global and regional leadership roles for, the firm's Financial Markets Advisory (FMA) group. The FMA team delivers portfolio construction, asset management, and risk and regulatory advisory services to public and private institutions. He also served as a member of the BlackRock Solutions/Aladdin Operating Committee. He joined BlackRock in 2006 as a member of the Legal &amp; Compliance Department. Before joining BlackRock, he was a corporate lawyer with the law firm of Davis Polk &amp; Wardwell in New York. He started his career as a federal law clerk for the Honorable Richard Owen, U.S. District Judge in the Southern District of New York. He is a former member of the Board of Governors for the Money Management Institute (MMI). He earned a B.A. degree from Brown University and a J.D. degree from New York University School of Law.</t>
  </si>
  <si>
    <t>msmall@blackrock.com</t>
  </si>
  <si>
    <t>Chief Financial Officer, Senior Managing Director &amp; Global Head of Corporate Strategy</t>
  </si>
  <si>
    <t>95755-06P</t>
  </si>
  <si>
    <t>Matthew Anestis JD</t>
  </si>
  <si>
    <t>Anestis</t>
  </si>
  <si>
    <t>Mr. Matthew Anestis serves as Managing Director &amp; Global Head of Investment Process and Operating Risk for Alternatives at BlackRock. He has previously served as Chief of Staff to the President and COO of BlackRock, as the COO of BlackRock's Aladdin Product Group, the COO of BlackRock Alternative Investors, and as the Global Head of BlackRock Platform Innovation. He has served on various firm leadership committees including BlackRock's Global Operating Committee, Global Human Capital Committee, and Americas Executive Committee. He also served as Head of BlackRock's Boston office. Prior to joining Blackrock, Mr. Anestis was a Partner and Managing Director with The Boston Consulting Group in Hong Kong and also worked with Microsoft and in the White House. He serves as a Senior Advisor to the Presidential Scholars Foundation and founded the Boston Volunteer Bridge and Toronto Volunteer Bridge. He is also a Founding Curator of the World Economic Forum's Boston Global Shapers Hub. Mr. Anestis earned an undergraduate degree (magna cum laude) in Economics from Harvard, an MBA (with high distinction) from Harvard Business School (Baker Scholar), and a JD (magna cum laude) from Harvard Law School.</t>
  </si>
  <si>
    <t>matthew.anestis@blackrock.com</t>
  </si>
  <si>
    <t>Managing Director &amp; Global Head of Investment Process and Operating Risk for Alternatives</t>
  </si>
  <si>
    <t>221201-29P</t>
  </si>
  <si>
    <t>Matthew Kaczmarek</t>
  </si>
  <si>
    <t>Kaczmarek</t>
  </si>
  <si>
    <t>Mr. Matthew Kaczmarek serves as Managing Director at BlackRock. He is a member of the firm's geopolitical risk and inclusion and diversity committees. He teaches public policy analysis as an adjunct assistant professor of public service at NYU's Wagner School. He serves on the candidate endorsement board of the National LGBT Victory Fund and is a term member of the Council on Foreign Relations. Before joining BlackRock, he held senior appointments in the administration of former U.S. President Barack Obama, including as senior advisor to the Deputy National Security Advisor for international economic policy in the White House. He served in the international finance division of the U.S. Treasury Department during the global financial crisis and later as Secretary of State John Kerry's White House liaison. He has managed or advised eight Democratic campaigns for local, state, and federal offices. He received his BA from the University of California, Los Angeles (UCLA), where he was president of the University of California Student Association, and MA from the Johns Hopkins University School of Advanced International Studies (SAIS), where he was editor-in-chief of the SAIS Review of International Affairs.</t>
  </si>
  <si>
    <t>matt.kaczmarek@blackrock.com</t>
  </si>
  <si>
    <t>165783-88P</t>
  </si>
  <si>
    <t>Matthew Kamen</t>
  </si>
  <si>
    <t>Kamen</t>
  </si>
  <si>
    <t>Mr. Matthew Kamen serves as Managing Director at BlackRock. Previously, he served as Senior Vice President, Engineering at Foursquare. Prior to joining Foursquare in 2011, He worked in search and web technologies for Goldman Sachs.</t>
  </si>
  <si>
    <t>matthew.kamen@blackrock.com</t>
  </si>
  <si>
    <t>181668-43P</t>
  </si>
  <si>
    <t>Matthew Klimchak</t>
  </si>
  <si>
    <t>Klimchak</t>
  </si>
  <si>
    <t>Mr. Matthew Klimchak serves as Vice President at BlackRock. Mr. Klimchak served as Assistant Vice President &amp; Enterprise Sales Manager at Preqin.</t>
  </si>
  <si>
    <t>matthew.klimchak@blackrock.com</t>
  </si>
  <si>
    <t>56147-50P</t>
  </si>
  <si>
    <t>Matthew Pearse</t>
  </si>
  <si>
    <t>Pearse</t>
  </si>
  <si>
    <t>Mr. Matthew Pearse serves as a Director, Growth Lending at BlackRock. He served as Head of Investor Relations and Business Development at Kreos Capital. Prior to Kreos, He worked at Asante Capital, a global private placement agent, fundraising across a wide variety of asset classes. He has a BSc in international business management from Cardiff University and is a registered Chartered Accountant with the Institute of Chartered Accountants of Scotland ("ICAS").</t>
  </si>
  <si>
    <t>matthew.pearse@blackrock.com</t>
  </si>
  <si>
    <t>Director, Growth Lending</t>
  </si>
  <si>
    <t>15450-58P</t>
  </si>
  <si>
    <t>Matthew Raben JD</t>
  </si>
  <si>
    <t>Raben</t>
  </si>
  <si>
    <t>Mr. Matthew Raben serves as Head of Transaction Structuring and Execution for the Diversified Infrastructure funds &amp; Head of Co-investment Activities in the Investment Team at BlackRock. He served as a Board Member at Hearthstone Utilities. Mr. Raben served as Managing Director at First Reserve. Previously, he served as Director at First Reserve. He joined First Reserve in 2006. Prior to joining First Reserve, Mr. Raben was a Corporate Associate with Simpson Thacher &amp; Bartlett LLP. Prior to joining Simpson Thacher &amp; Bartlett, he was a Senior Analyst with Cornerstone Research, as well as a Financial Analyst with Smith Barney. Mr. Raben holds a B.A. in History from Dartmouth College and a J.D. from Stanford Law School.</t>
  </si>
  <si>
    <t>+1 (203) 661-6601</t>
  </si>
  <si>
    <t>matt.raben@blackrock.com</t>
  </si>
  <si>
    <t>Head of Transaction Structuring and Execution for the Diversified Infrastructure funds &amp; Head of Co-investment Activities in Investment Team</t>
  </si>
  <si>
    <t>117605-53P</t>
  </si>
  <si>
    <t>Matthew Singer</t>
  </si>
  <si>
    <t>Mr. Matthew Singer serves as Managing Director and Head of Innovation Capital at BlackRock. He also serves as Board Observer at Deep Instinct, He serves as an Executive at Blackrock Innovation Capital Group. He served as a Vice President at WhiteHorse Capital. Previously, he served as a Investment Professional at AB Private Credit Investors. He served as Board Observer at Volocopter. He served as Vice President at Goldman Sachs Asset Management.</t>
  </si>
  <si>
    <t>matt.singer@blackrock.com</t>
  </si>
  <si>
    <t>Managing Director &amp; Head, Innovation Capital</t>
  </si>
  <si>
    <t>412125-49P</t>
  </si>
  <si>
    <t>Maya Nikolaeva</t>
  </si>
  <si>
    <t>Maya</t>
  </si>
  <si>
    <t>Nikolaeva</t>
  </si>
  <si>
    <t>Ms. Maya Nikolaeva serves as Vice President, Corporate Communications at BlackRock.</t>
  </si>
  <si>
    <t>397030-42P</t>
  </si>
  <si>
    <t>Mei Friedman</t>
  </si>
  <si>
    <t>Ms. Mei Friedman serves as Managing Director &amp; Chief Operating Officer for Long Term Private Capital at BlackRock. Mei Friedman, Managing Director, is the Chief Operating Officer and is responsible for the business organization and operations of the BlackRock Long Term Private Capital platform. Mei brings over 20 years of experience in direct private equity investing, primary fund and co-investing, and strategic advisory. Mei currently sits on the board of Outcomes and Alacrity Solutions. Prior to Long Term Private Capital, Mei was a Managing Director on BlackRock's Private Equity Partners investment team. Mei previously headed up the Asian investment team at Swiss Re Private Equity Partners based in Hong Kong. Prior to Swiss Re, she ran private equity business development in Asia and China for Angelo, Gordon &amp; Co. Prior to that, Mei structured convertible and equity derivative securities at Merrill Lynch's Equity Capital Markets, and spent several years in investment banking at Merrill Lynch covering industrial clients. Mei received her MBA from Harvard Business School and a BS in Economics and Computer Science from Wellesley College.</t>
  </si>
  <si>
    <t>mei.friedman@blackrock.com</t>
  </si>
  <si>
    <t>Managing Director &amp; Chief Operating Officer for Long Term Private Capital</t>
  </si>
  <si>
    <t>141321-79P</t>
  </si>
  <si>
    <t>Melissa Ding</t>
  </si>
  <si>
    <t>Melissa</t>
  </si>
  <si>
    <t>Ding</t>
  </si>
  <si>
    <t>Ms. Melissa Ding serves as Director of Private Equity &amp; Infrastructure at BlackRock. Previously she served as a Investment Associate at Harding Loevner LP.</t>
  </si>
  <si>
    <t>melissa.ding@blackrock.com</t>
  </si>
  <si>
    <t>Director of Private Equity &amp; Infrastructure</t>
  </si>
  <si>
    <t>196554-34P</t>
  </si>
  <si>
    <t>Melissa Ferraz</t>
  </si>
  <si>
    <t>Ferraz</t>
  </si>
  <si>
    <t>Ms. Melissa Ferraz serves as Managing Director &amp; Global Head of Aladdin Alternatives at BlackRock. Ms. Ferraz served as Managing Director &amp; Global Head of Client Development at Ipreo. She holds Master of Business Administration in Finance &amp; Doctor of Jurisprudence in Law from Loyola University Chicago and Bachelor of Business Administration in Finance from University of Iowa.</t>
  </si>
  <si>
    <t>melissa.ferraz@blackrock.com</t>
  </si>
  <si>
    <t>Managing Director &amp; Global Head of Aladdin Alternatives</t>
  </si>
  <si>
    <t>399134-17P</t>
  </si>
  <si>
    <t>Melissa Reed</t>
  </si>
  <si>
    <t>Ms. Melissa Reed serves as Vice President at BlackRock. Melissa Reed holds a 2014 - 2018 Economics at Princeton University.</t>
  </si>
  <si>
    <t>melissa.reed@blackrock.com</t>
  </si>
  <si>
    <t>141322-51P</t>
  </si>
  <si>
    <t>Michael Colen</t>
  </si>
  <si>
    <t>Colen</t>
  </si>
  <si>
    <t>Mr. Michael Colen serves as Managing Director &amp; Global Private Debt Co-Chief Operating Officer at BlackRock.</t>
  </si>
  <si>
    <t>michael.colen@blackrock.com</t>
  </si>
  <si>
    <t>Managing Director &amp; Global Private Debt Co-Chief Operating Officer</t>
  </si>
  <si>
    <t>220344-04P</t>
  </si>
  <si>
    <t>Michael Dennis</t>
  </si>
  <si>
    <t>Mr. Michael Dennis serves as Managing Director &amp; Head of Alternatives Strategy &amp; Capital Markets at BlackRock. Mr. Dennis is responsible for leading BlackRock Alternative Investors (BAI) strategy and leading BlackRock Capital Markets (BCM) in the region. Mr. Dennis is a member of the BAI Executive Committee and a member of the APAC Executive Committee. 
Mr. Dennis is responsible for BlackRock's alternative business in the region including Infrastructure, Credit, Real Estate, Hedge Funds and Private Equity. He is responsible for setting direction in the region and partnering with clients to drive a holistic view of alternatives. BlackRock Capital Markets (BCM) operates across the entirety of the firm's investment platform to provide our investors the ability to access primary issuance markets, source across the capital structure and unlock greater alpha opportunities for the benefit of our clients. Covering the full spectrum of public and private markets, BCM offers a centralized function for sourcing and syndication, financing, co-investment and corporate solutions activities. Having been part of the team launching Capital Markets in EMEA and Asia-Pacific, Mr. Dennis works to build deep relationships with leading clients, corporates, investments banks and financial sponsors in the APAC region. Mr. Dennis represents BlackRock as Co-Chair of the ASIFMA AAMG Equities Sub-Committee, a major industry body in the region. Previously Mr. Dennis, worked in BlackRock's London office as part of Capital Markets, up until May 2013 when he moved to Hong Kong. Prior to joining BlackRock in 2012, Mr. Dennis was a long/short equity portfolio manager at Marshall Wace LLP in London. Mr. Dennis earned a BA degree in Economics.</t>
  </si>
  <si>
    <t>michael.dennis@blackrock.com</t>
  </si>
  <si>
    <t>Managing Director &amp; Head of Alternatives Strategy &amp; Capital Markets</t>
  </si>
  <si>
    <t>242554-78P</t>
  </si>
  <si>
    <t>Michael Lawton</t>
  </si>
  <si>
    <t>Lawton</t>
  </si>
  <si>
    <t>Mr. Michael Lawton serves as Managing Director at BlackRock.</t>
  </si>
  <si>
    <t>michael.lawton@blackrock.com</t>
  </si>
  <si>
    <t>155157-13P</t>
  </si>
  <si>
    <t>Michael Rudiger</t>
  </si>
  <si>
    <t>Rudiger</t>
  </si>
  <si>
    <t>Mr. Michael Rüdiger serves as a Member of the Supervisory Board at Deutsche Börse Group. Mr. Rüdiger is also an Angel Investor. He is the Chairman of the DACH Region at BlackRock. He served as Chief Executive Officer at DekaBank Deutsche Girozentrale. He also served as Chief Executive Officer at DekaBank Deutsche Girozentrale and was a Board Member of Deutscher Sparkassen &amp; Giroverband. He started his professional career in 1983 as a bank trainee at Raiffeisenbank Kurhessen eG, Kassel, Germany. He went on to study at Justus Liebig University in Giessen, Germany and graduated in Business Studies. He then joined the trainee program of Hoffmann-La Roche, Basel, Switzerland. From 1991 to 1996, he worked in Risk Management at the former Schweizerische Kreditanstalt in Zurich, Switzerland, and Frankfurt/Main, Germany before being appointed to the Management Board of Schweizerische Bankgesellschaft (Deutschland) AG, now UBS, in 1996 for two years. From 1998 to 2000, he was Managing Director of Allianz Asset Management GmbH. He held a variety of management positions in the Credit Suisse Group starting at the end of 2000 and was appointed Chief Executive Officer for Central Europe on 1 March 2008. He has been CEO of DekaBank since 1 November 2012 and is a member of the Board of Management of Deutsche Sparkassen- und Giroverband e.V. and Bundesverband öffentlicher Banken Deutschlands e.V. In addition to numerous volunteer activities in the arts and culture and education (in particular as a member of the Board of Trustees of Goethe University Frankfurt and a member of the Board of Management and Executive Committee of Gesellschaft für Kapitalmarktforschung e.V.), Mr. Rüdiger is also a member of the Supervisory Board of Evonik Industries AG (and Chairman of the Finance and Investment Committee), Head of Frankfurt Stock Exchange Exchange Council and Member of the Börsensachverständigenkommission (Exchange Experts Commission Germany), and the Exchange Council of Eurex Deutschland.</t>
  </si>
  <si>
    <t>m.rudiger@blackrock.com</t>
  </si>
  <si>
    <t>Chairman, DACH Region</t>
  </si>
  <si>
    <t>38140-75P</t>
  </si>
  <si>
    <t>Michael Weissenburger</t>
  </si>
  <si>
    <t>Weissenburger</t>
  </si>
  <si>
    <t>Mr. Michael Weissenburger serves as a Director, US Private Capital at BlackRock. He served as Managing Director &amp; Head of Origination at DDJ Capital Management. He joined DDJ in 2015 and has more than 25 years of industry experience, including 10 years of experience sourcing, analyzing, and direct lending across a variety of industries. As the Head of Origination, he is primarily responsible for building relationships across several financing channels, including investment banks, commercial lenders, private equity firms, Business Development Companies (BDCs), restructuring advisors/consultants and other non-traditional lenders. Prior to joining DDJ, he served for 10 years as the Director of Direct Loan Origination at Wells Fargo Capital Finance, where he originated new transactions by effectively sourcing, reviewing, and establishing relationships from Maine to Pennsylvania as well as in Eastern Canada. Prior to his experience at Wells Fargo, he held financial positions at Sonus Networks, Cognos (since acquired by IBM Corporation) and Converge. He received his MBA from Northeastern University and his BA at the University of Connecticut.</t>
  </si>
  <si>
    <t>michael.weissenburger@blackrock.com</t>
  </si>
  <si>
    <t>Director, US Private Capital</t>
  </si>
  <si>
    <t>81315-64P</t>
  </si>
  <si>
    <t>Michelle Edkins</t>
  </si>
  <si>
    <t>Edkins</t>
  </si>
  <si>
    <t>Ms. Michelle Edkins serves as Managing Director at BlackRock. She also serves on the firm's Global Operating and Government Relations Steering Committees. She is an alumna of BlackRock's Women's Leadership Forum, Enterprise Leadership Program, and Human Capital Committee. She is an active participant in the public corporate governance debate and regularly speaks and writes on the importance of good stewardship for company performance. She currently serves on several industry initiatives to enhance governance and sustainable business practices including the US chapter of the 30% Club, a market initiative to increase the number of women on boards and in senior management, and the Sustainability Accounting Standards Board (SASB) Investor Advisory Group and the CECP's Strategic Investor Initiative. Before joining BlackRock in 2009, she was Managing Director at Governance for Owners, an independent partnership offering products that support responsible long-term share ownership. She holds a B.Comm degree in Economics from Otago University, New Zealand.</t>
  </si>
  <si>
    <t>michelle.edkins@blackrock.com</t>
  </si>
  <si>
    <t>248133-61P</t>
  </si>
  <si>
    <t>Michelle Gadsden-Williams</t>
  </si>
  <si>
    <t>Gadsden-Williams</t>
  </si>
  <si>
    <t>Ms. Michelle Gadsden-Williams serves as Managing Director &amp; Global Head of Diversity, Equity and Inclusion at BlackRock.</t>
  </si>
  <si>
    <t>michelle.gadsdenwilliams@blackrock.com</t>
  </si>
  <si>
    <t>Managing Director &amp; Global Head of Diversity, Equity and Inclusion</t>
  </si>
  <si>
    <t>71901-37P</t>
  </si>
  <si>
    <t>Mireille Abujawdeh</t>
  </si>
  <si>
    <t>Mireille</t>
  </si>
  <si>
    <t>Abujawdeh</t>
  </si>
  <si>
    <t>Ms. Mireille Abujawdeh serves as Managing Director &amp; Head of EMEA Family Offices, Foundations &amp; Endowments at BlackRock. She served as Director, Client &amp; Partner Group at Kohlberg Kravis Roberts. Prior to joining KKR, She was with the Goldman Sachs Group for almost 12 years, most recently responsible for the coverage of sovereign wealth funds and government entities in the Middle East &amp; North Africa for Goldman Sachs asset management. Ms. Abujawdeh was also in the investment banking division of Goldman Sachs where she led the origination and structuring of infrastructure transactions in the transport sector. Ms. Abujawdeh holds a B.A. with honors from Sussex University and an M.B.A. from London Business School.</t>
  </si>
  <si>
    <t>mireille.abujawdeh@blackrock.com</t>
  </si>
  <si>
    <t>Managing Director &amp; Head of EMEA Family Offices, Foundations &amp; Endowments</t>
  </si>
  <si>
    <t>391523-05P</t>
  </si>
  <si>
    <t>Mitchell King</t>
  </si>
  <si>
    <t>Mitchell</t>
  </si>
  <si>
    <t>Mr. Mitchell King serves as Managing Director - Americas Institutional Business at BlackRock.</t>
  </si>
  <si>
    <t>+1 (212) 810-5838</t>
  </si>
  <si>
    <t>mitchell.king@blackrock.com</t>
  </si>
  <si>
    <t>Managing Director - Americas Institutional Business</t>
  </si>
  <si>
    <t>400834-09P</t>
  </si>
  <si>
    <t>Mohammad Fahim</t>
  </si>
  <si>
    <t>Fahim</t>
  </si>
  <si>
    <t>Mr. Mohammad Fahim serves as Managing Director &amp; Head of UAE, Bahrain &amp; Oman at BlackRock.</t>
  </si>
  <si>
    <t>mohammad.alfahim@blackrock.com</t>
  </si>
  <si>
    <t>Managing Director &amp; Head of UAE, Bahrain &amp; Oman</t>
  </si>
  <si>
    <t>116585-20P</t>
  </si>
  <si>
    <t>Monique Donders Ph.D</t>
  </si>
  <si>
    <t>Monique</t>
  </si>
  <si>
    <t>Donders</t>
  </si>
  <si>
    <t>Manager &amp; Managing Director</t>
  </si>
  <si>
    <t>Dr. Monique Donders serves as Country Manager Netherlands at BlackRock. He, in addition to managing the institutional client team, will oversee the asset manager's Benelux institutional business, focusing on relationships with pension funds, insurers, and government bodies. She joins Robeco, where she has served as chief risk officer for the last 13 years, responsible for developing and managing the Group Risk Management Team. From 2000 to 2009, she was a professor of financial management at the University of Maastricht, responsible for the educational program for risk management in financial institutions for master students. Before then, she held a number of roles at MeesPierson/Fortis, the Institute for Research and Investment Services, and Erasmus University. Until recently, Dr. Donders was a member of the supervisory boards at Pensioenfonds Zorg &amp; Welzijn (PFZW) and APG Treasury Centre. She was also an external adviser to the ING and KLM pension funds.</t>
  </si>
  <si>
    <t>monique.donders@blackrock.com</t>
  </si>
  <si>
    <t>Country Manager Netherlands</t>
  </si>
  <si>
    <t>151909-03P</t>
  </si>
  <si>
    <t>Nathalie von Niederhausern</t>
  </si>
  <si>
    <t>Nathalie</t>
  </si>
  <si>
    <t>von Niederhausern</t>
  </si>
  <si>
    <t>Ms. Nathalie von Niederhausern serves as Managing Director, Member of the BlackRock Private Equity Partners Group &amp; Head of EMEA for Private Equity Partners at BlackRock. Ms. von Niederhaeusern has more than 15 years of experience in the private equity and corporate finance industry. She started her career in 1997 at Zurich Financial Services, Switzerland, in the Mergers &amp; Acquisitions department, focusing on the life and non-life insurance sectors. In 1999, she joined Swiss Re, Switzerland, focusing on the company's strategic, long-term investments in the insurance industry. As from 2001, she worked for Swiss Re's Private Equity Fund of Funds unit, where she was responsible for investments in European and US based private equity fund managers. In 2005, she moved to New York, United States, to establish the North American presence of the unit. Prior to joining BlackRock Private Equity Partners, Ms. von Niederhaeusern was Head Private Equity and Investment Monitoring and member of the Investment Committee at Swiss Re Private Equity Partners. Ms. von Niederhaeusern holds a Master Degree in Business Administration from the University of Bern, and is a CFA and CAIA charterholder.</t>
  </si>
  <si>
    <t>+41 (0)44 205 5321</t>
  </si>
  <si>
    <t>nvon-niederhausern@blackrock.com</t>
  </si>
  <si>
    <t>Managing Director, Member of the BlackRock Private Equity Partners Group &amp; Head of EMEA for Private Equity Partners</t>
  </si>
  <si>
    <t>340562-89P</t>
  </si>
  <si>
    <t>Nicholas Peach</t>
  </si>
  <si>
    <t>Peach</t>
  </si>
  <si>
    <t>Mr. Nicholas Peach serves as Head of Markets &amp; Investments, iShares and Index Investments, APAC at BlackRock.</t>
  </si>
  <si>
    <t>nicholas.peach@blackrock.com</t>
  </si>
  <si>
    <t>Head of Markets &amp; Investments, iShares and Index Investments, APAC</t>
  </si>
  <si>
    <t>156962-35P</t>
  </si>
  <si>
    <t>Nick Hogwood</t>
  </si>
  <si>
    <t>Hogwood</t>
  </si>
  <si>
    <t>Mr. Nick Hogwood serves as Managing Director &amp; Global Head of Transition Management at BlackRock.</t>
  </si>
  <si>
    <t>nick.hogwood@blackrock.com</t>
  </si>
  <si>
    <t>Managing Director &amp; Global Head of Transition Management</t>
  </si>
  <si>
    <t>387164-89P</t>
  </si>
  <si>
    <t>Nick Jorritsma</t>
  </si>
  <si>
    <t>Jorritsma</t>
  </si>
  <si>
    <t>Mr. Nick Jorritsma serves as Vice President at BlackRock. Mr. Jorritsma served as Business Development Manager at Preqin.</t>
  </si>
  <si>
    <t>nick.jorritsma@blackrock.com</t>
  </si>
  <si>
    <t>412156-54P</t>
  </si>
  <si>
    <t>Nicole Jeary</t>
  </si>
  <si>
    <t>Jeary</t>
  </si>
  <si>
    <t>Ms. Nicole Jeary serves as Corporate Communications Associate at BlackRock.</t>
  </si>
  <si>
    <t>+44 (20) 3649 3469</t>
  </si>
  <si>
    <t>nicole.jeary@blackrock.com</t>
  </si>
  <si>
    <t>Corporate Communications Associate</t>
  </si>
  <si>
    <t>351017-20P</t>
  </si>
  <si>
    <t>Nidhi Sharma</t>
  </si>
  <si>
    <t>Ms. Nidhi Sharma serves as Associate at BlackRock.</t>
  </si>
  <si>
    <t>nidhi@blackrock.com</t>
  </si>
  <si>
    <t>339274-36P</t>
  </si>
  <si>
    <t>Nil Koeppel</t>
  </si>
  <si>
    <t>Nil</t>
  </si>
  <si>
    <t>Koeppel</t>
  </si>
  <si>
    <t>Ms. Nil Koeppel serves as Director at BlackRock.</t>
  </si>
  <si>
    <t>+41 (0)44 297 7373</t>
  </si>
  <si>
    <t>nil.koeppel@blackrock.com</t>
  </si>
  <si>
    <t>92076-31P</t>
  </si>
  <si>
    <t>Noah Sakimura</t>
  </si>
  <si>
    <t>Noah</t>
  </si>
  <si>
    <t>Sakimura</t>
  </si>
  <si>
    <t>Mr. Noah Sakimura serves as Managing Director, Corporate Strategy and Development at BlackRock. Mr. Sakimura serves as Board Member at Institutional Capital Network. He earned a BE in Mechanical Engineering from Duke University in 2007.</t>
  </si>
  <si>
    <t>noah.sakimura@blackrock.com</t>
  </si>
  <si>
    <t>Managing Director, Corporate Strategy and Development</t>
  </si>
  <si>
    <t>138883-24P</t>
  </si>
  <si>
    <t>Olivier Eyseren</t>
  </si>
  <si>
    <t>Eyseren</t>
  </si>
  <si>
    <t>Mr. Olivier Eyseren serves as Managing Director, Financial Institutions Group at BlackRock. He is a member of BlackRock's Financial Markets Advisory Group within BlackRock Solutions. He leads the Group's business development efforts with banks and global financial institutions in the UK. Before joining BlackRock in London in 2016, he worked with Société Générale (the French bank) as a Managing Director, where he was most recently leading the bank advisory team within Global Markets, which executed several public and private mandates for various European institutions, on a broad variety of topics including legacy management, portfolio valuation &amp; disposals, RWA &amp; regulatory ratios optimization, asset &amp; liability management and risk mitigation strategies.</t>
  </si>
  <si>
    <t>olivier.vaneyseren@blackrock.com</t>
  </si>
  <si>
    <t>Managing Director, Financial Institutions Group</t>
  </si>
  <si>
    <t>364073-68P</t>
  </si>
  <si>
    <t>Ophelie Paquin</t>
  </si>
  <si>
    <t>Ophelie</t>
  </si>
  <si>
    <t>Paquin</t>
  </si>
  <si>
    <t>Ms. Ophelie Paquin serves as a Head of Business Development- BlackRock Solutions - FraBeLux at BlackRock.</t>
  </si>
  <si>
    <t>+33 (0)1 44 94 29 73</t>
  </si>
  <si>
    <t>ophelie.paquin@blackrock.com</t>
  </si>
  <si>
    <t>Head of Business Development- BlackRock Solutions - FraBeLux</t>
  </si>
  <si>
    <t>138863-08P</t>
  </si>
  <si>
    <t>Owen Butler</t>
  </si>
  <si>
    <t>Owen</t>
  </si>
  <si>
    <t>Mr. Owen Butler serves as Managing Director, Private Debt at BlackRock. He holds a Masters in Financial Services from UCD Smurfit Business School and a Bachelor of Commerce from UCD.</t>
  </si>
  <si>
    <t>obutler@blackrock.com</t>
  </si>
  <si>
    <t>Managing Director, Private Debt</t>
  </si>
  <si>
    <t>440948-62P</t>
  </si>
  <si>
    <t>Pablo Defelippe</t>
  </si>
  <si>
    <t>Defelippe</t>
  </si>
  <si>
    <t>Mr. Pablo Defelippe serves as Director at BlackRock.</t>
  </si>
  <si>
    <t>pablo.defelippe@blackrock.com</t>
  </si>
  <si>
    <t>65632-42P</t>
  </si>
  <si>
    <t>Pablo Goldberg</t>
  </si>
  <si>
    <t>Goldberg</t>
  </si>
  <si>
    <t>Mr. Pablo Goldberg serves as Managing Director, Head of Research and Portfolio Manager at BlackRock. He will formulate alpha-generating research, develop investment strategies and manage portfolios within the firm's emerging markets fixed-income team. He was head of emerging markets research at HSBC Holdings. He joins BlackRock from HSBC, where since 2010 he was Managing Director and Global Head of Emerging Markets Research. He was responsible for HSBC's view on the emerging markets, risk analysis and portfolio allocation. Prior to joining HSBC, he was Global Head of Emerging Market Debt Strategy, and Chief Economist for Latin America at Merrill Lynch &amp; Co, a position he held for eight years. He brings 20 years of experience focusing on the emerging markets. He graduated in 1996 with an MSc in economics from the London School of Economics and in 1993 with a Master's Degree in economics from Instituto Di Tella in Argentina.</t>
  </si>
  <si>
    <t>pablo.goldberg@blackrock.com</t>
  </si>
  <si>
    <t>Managing Director, Head of Research &amp; Portfolio Manager, Emerging Market Debt</t>
  </si>
  <si>
    <t>408653-20P</t>
  </si>
  <si>
    <t>Pascal Nguyen</t>
  </si>
  <si>
    <t>Mr. Pascal Nguyen serves as Director &amp; Head of Portfolio Management EMEA - Alternative Portfolio Solutions at BlackRock.</t>
  </si>
  <si>
    <t>pascal.nguyen@blackrock.com</t>
  </si>
  <si>
    <t>Director &amp; Head of Portfolio Management EMEA - Alternative Portfolio Solutions</t>
  </si>
  <si>
    <t>365953-87P</t>
  </si>
  <si>
    <t>Patrick Archer</t>
  </si>
  <si>
    <t>Mr. Patrick Archer serves as Co-Head of Business Development Continental Europe BlackRock Solutions at BlackRock.</t>
  </si>
  <si>
    <t>patrick.archer@blackrock.com</t>
  </si>
  <si>
    <t>Co-Head of Business Development Continental Europe BlackRock Solutions</t>
  </si>
  <si>
    <t>399981-07P</t>
  </si>
  <si>
    <t>Paul Braude</t>
  </si>
  <si>
    <t>Braude</t>
  </si>
  <si>
    <t>Mr. Paul Braude serves as Managing Director, Chief Investment Officer &amp; Head, Direct Private Opportunities at BlackRock. Mr. Braude serves as Board Member at Happy Money.</t>
  </si>
  <si>
    <t>paul.braude@blackrock.com</t>
  </si>
  <si>
    <t>Managing Director, Chief Investment Officer &amp; Head, Direct Private Opportunities</t>
  </si>
  <si>
    <t>412153-66P</t>
  </si>
  <si>
    <t>Paul Willem</t>
  </si>
  <si>
    <t>Willem</t>
  </si>
  <si>
    <t>Mr. Paul Willem serves as Associate at BlackRock.</t>
  </si>
  <si>
    <t>paul.willem@blackrock.com</t>
  </si>
  <si>
    <t>156958-93P</t>
  </si>
  <si>
    <t>Peter Loehnert</t>
  </si>
  <si>
    <t>Loehnert</t>
  </si>
  <si>
    <t>Mr. Peter Loehnert serves as APAC Head of BlackRock Global Markets &amp; Index Investments at BlackRock. Based in Hong Kong, he is responsible for growing iShares Exchange Traded Fund (ETF) market share and ETF adoption among investors in the region, as well as institutional index mandates. He most recently headed BlackRock's International Cash Management Business, driving the growth in global liquidity assets across multiple currencies.</t>
  </si>
  <si>
    <t>peter.loehnert@blackrock.com</t>
  </si>
  <si>
    <t>APAC Head of BlackRock Global Markets &amp; Index Investments</t>
  </si>
  <si>
    <t>80544-25P</t>
  </si>
  <si>
    <t>Peter Winning</t>
  </si>
  <si>
    <t>Winning</t>
  </si>
  <si>
    <t>Mr. Peter Winning serves as a Director at BlackRock. He served as Investment Manager at Aberdeen Asset Management.</t>
  </si>
  <si>
    <t>peter.winning@blackrock.com</t>
  </si>
  <si>
    <t>359081-74P</t>
  </si>
  <si>
    <t>Phil Tseng</t>
  </si>
  <si>
    <t>Tseng</t>
  </si>
  <si>
    <t>Mr. Phil Tseng serves as Managing Director, Co-Head of US Private Credit at BlackRock. He is responsible for co-leading the platform, originating and executing investment opportunities, and maintaining relationships with key deal sources and intermediaries across the US. He is also Co-Chair of the Management Operating Committee for US Private Capital and a member of the Private Credit Executive Committee for Global Credit. Before joining BlackRock, he served on the Management Committee and was a Managing Partner at Tennenbaum Capital Partners (TCP). TCP managed more than $9 billion in committed capital and was acquired by BlackRock in 2018. In addition to managing the growth and build-out of TCP, he was responsible for sourcing, evaluating, structuring, and executing private debt and equity investments. Before TCP, he worked in equity research with Credit Suisse First Boston where he initiated coverage of several public technology and business services companies. Before that, he worked in Credit Suisse First Boston's Technology Investment Banking group and at Deutsche Banc Alex Brown. He currently serves as a Director on the Board of Connexity Inc., and previously on First Advantage, ITC DeltaCom, and Anacomp, Inc. He also serves on the Board of Trustees for the California Science Center Foundation and as a Director of the United States Tennis Association (USTA) Southern California. He received his A.B. with honors in Economics from Harvard College and his M.B.A. from Harvard Business School.</t>
  </si>
  <si>
    <t>phil.tseng@blackrock.com</t>
  </si>
  <si>
    <t>Managing Director, Co-Head of US Private Credit</t>
  </si>
  <si>
    <t>17914-24P</t>
  </si>
  <si>
    <t>Philip Vasan Ph.D</t>
  </si>
  <si>
    <t>Dr. Philip Vasan serves as Managing Director, Co-Head of Fundamental Equity, and Deputy Head of the Portfolio Management Group at BlackRock. He previously led Investments and Portfolio Solutions for BlackRock U.S. Wealth Advisory, where he was responsible for providing alpha-seeking and iShares investment products leveraging BlackRock portfolio construction capabilities for financial advisors. He joined the Firm in 2016. Before joining BlackRock, he was with Credit Suisse and a member of the Management Committee of the Private Bank and before that the Investment Bank. He was most recently CEO of the Private Bank for Credit Suisse in the Americas. Before that, he developed and led Credit Suisse's Prime Services franchise serving hedge funds and institutional investors. He also served as worldwide Head of Equity Derivatives and Convertibles, Program Trading, and Proprietary Arbitrage Trading, and prior to that ran the Global Foreign Exchange. He also directed Credit Suisse's e-commerce investments and managed its cost reduction program. He received his B.A. with High Honors from Oberlin College, and his Ph.D. in Economics from Harvard University, where he was named the top graduate instructor in the University. He has served as a visiting lecturer in Finance at the MIT Sloan School of Management and has lectured at the Wharton School of Business. He has also served on the Investment Committee for the Oberlin College Endowment and is a former Director of the Managed Funds Association, which represents the global hedge fund industry and its investors to advocate for sound industry practices and public policies.</t>
  </si>
  <si>
    <t>philip.vasan@blackrock.com</t>
  </si>
  <si>
    <t>Managing Director, Co-Head of Fundamental Equity and Deputy Head of Portfolio Management Group</t>
  </si>
  <si>
    <t>415378-63P</t>
  </si>
  <si>
    <t>Philippe Matsumoto</t>
  </si>
  <si>
    <t>Matsumoto</t>
  </si>
  <si>
    <t>Managing Director &amp; Treasurer</t>
  </si>
  <si>
    <t>Mr. Philippe Matsumoto serves as Managing Director, Global Treasurer at BlackRock. In connection with completion of Merger, appointed as Treasurer and Managing Director effective October 1, 2024. Mr. Matsumoto joins BlackRock from NYSE Euronext where he served as Senior Vice President and Global Treasurer since 2007. Prior to the merger between the New York Stock Exchange and Euronext in 2007, Mr. Matsumoto held various corporate finance roles at Euronext in Europe from 2001 to 2007. He served as Group Treasurer of Euronext, Treasurer of the LCH.Clearnet SA clearing house and oversaw major acquisitions of Euronext at the CEO's Office. Mr. Matsumoto began his career at Societe Generale where he was in charge of extended audit and advisory assignments at the General Inspection department reporting to the CEO of the bank from 1997 to 2001.</t>
  </si>
  <si>
    <t>philippe.matsumoto@blackrock.com</t>
  </si>
  <si>
    <t>Managing Director, Global Treasurer</t>
  </si>
  <si>
    <t>107972-83P</t>
  </si>
  <si>
    <t>Philippe Verboogen</t>
  </si>
  <si>
    <t>Verboogen</t>
  </si>
  <si>
    <t>Mr. Philippe Verboogen serves as Managing Director at BlackRock. He is an Angel Investor. He served as the Chief Services Officer at eFront. Philippe is responsible for global services &amp; support in Europe, Asia and Americas. A graduate from HEC in Brussels (ICHEC) in 1986, Philippe started his career in the ERP business as Program Director for a Swiss pharmaceutical company, working in several countries in Europe. In the mid-nineties, he became Senior Manager at KPMG Peat Marwick and ran large ERP implementations for major US and European companies. In 2000, Philippe joined Hyperion Software, a US-based corporate performance management software vendor, where he held leadership roles in the sales and consulting areas. When Hyperion was acquired in 2007, he moved to Business Objects (acquired by SAP in 2008) to lead one of the EMEA Business Units. Immediately prior to joining eFront, Philippe was employed by Linedata as Managing Director for Continental Europe.</t>
  </si>
  <si>
    <t>philippe.verboogen@blackrock.com</t>
  </si>
  <si>
    <t>339938-02P</t>
  </si>
  <si>
    <t>Pia Schaefer</t>
  </si>
  <si>
    <t>Pia</t>
  </si>
  <si>
    <t>Schaefer</t>
  </si>
  <si>
    <t>Ms. Pia Schaefer serves as Global Head of Value Engineering, Aladdin Business at BlackRock.</t>
  </si>
  <si>
    <t>pia.schaefer@blackrock.com</t>
  </si>
  <si>
    <t>Global Head of Value Engineering, Aladdin Business</t>
  </si>
  <si>
    <t>126674-92P</t>
  </si>
  <si>
    <t>Pierre Sarrau</t>
  </si>
  <si>
    <t>Sarrau</t>
  </si>
  <si>
    <t>Mr. Pierre Sarrau serves as Managing Director, Co-Head, and Co-Chief Investment Officer for Multi-Asset Strategies &amp; Solutions, Global Operating Committee Member &amp; EMEA Executive Steering Committee Member at BlackRock. The Multi-Asset Strategies &amp; Solutions (MASS) team is the investment group at the heart of BlackRock's portfolio construction, asset allocation, and active management ecosystem. MASS draws on the full toolkit of BlackRock's index, factor, and alpha-seeking investment capabilities to deliver precise investment outcomes and cutting-edge alpha insights. MASS constructs active asset allocation strategies and whole portfolio solutions across a wide spectrum of commingled funds, separate accounts, model portfolios, and outsourcing solutions in the wealth and institutional channels. His service with the firm dates back to 2001, including his years with Merrill Lynch Investment Managers which merged with BlackRock in 2006. Before his current role, he was part of the Risk and Quantitative Analysis group where he was in charge of the team overseeing all multi-asset activities at the firm including Client Solutions and Multi-Asset Strategies. As part of his role, he has led the development of multi-asset risk analytics in Aladdin in partnership with BlackRock Solutions. Before joining the firm, he was the head of risk with a French Bank where he began his career in 1998. He is on the editorial board of the Journal of Investment Strategies. He earned a Diplome d'Ingenieur from Ecole Centrale de Lyon combined with a diploma in mathematical statistics from Cambridge University in 1997, and a diploma in accounting and finance from the London School of Economics in 1998.</t>
  </si>
  <si>
    <t>pierre.sarrau@blackrock.com</t>
  </si>
  <si>
    <t>Managing Director, Co-Head and Co-Chief Investment Officer for Multi-Asset Strategies &amp; Solutions, Global Operating Committee Member &amp; EMEA Executive Steering Committee Member</t>
  </si>
  <si>
    <t>358971-58P</t>
  </si>
  <si>
    <t>Pierre-Marie Nowaczyk</t>
  </si>
  <si>
    <t>Pierre-Marie</t>
  </si>
  <si>
    <t>Nowaczyk</t>
  </si>
  <si>
    <t>Mr. Pierre-Marie Nowaczyk serves as Director, Business Development Asset Service EMEA at BlackRock.</t>
  </si>
  <si>
    <t>+352 34 20 10 42 01</t>
  </si>
  <si>
    <t>pierremarie.nowaczyk@blackrock.com</t>
  </si>
  <si>
    <t>Director, Business Development Asset Service EMEA</t>
  </si>
  <si>
    <t>114083-29P</t>
  </si>
  <si>
    <t>Puneet Chabbewal</t>
  </si>
  <si>
    <t>Puneet</t>
  </si>
  <si>
    <t>Chabbewal</t>
  </si>
  <si>
    <t>Mr. Puneet Chabbewal serves as Private Capital Investing at BlackRock. Mr. Chabbewal served as Vice President at White Oak Global Advisors. He previously served at Moelis &amp; Company, where he focused on M&amp;A, equity and debt transactions. Mr. Chabbewal received a B.S. in Finance from the Kelley School of Business at Indiana University.</t>
  </si>
  <si>
    <t>puneet.chabbewal@blackrock.com</t>
  </si>
  <si>
    <t>Private Capital Investing</t>
  </si>
  <si>
    <t>426234-34P</t>
  </si>
  <si>
    <t>Raj Rao</t>
  </si>
  <si>
    <t>Raj</t>
  </si>
  <si>
    <t>Executive &amp; Senior Managing Director</t>
  </si>
  <si>
    <t>Mr. Raj Rao serves as Senior Managing Director &amp; Member of the Global Executive Committee at BlackRock. He is the President and Chief Operating Officer of Global Infrastructure Partners (GIP) and is a founding partner of the firm. He is a Senior Managing Director of BlackRock and a member of the firm's Global Executive Committee (GEC). At GIP, Mr. Rao is a member of the Office of the Chairman and is a member of the firm's Executive Committee and its Investment Committee. Mr. Rao was previously GIP's Global Head of Energy. He is based in New York. Before GIP, Mr. Rao worked in the Global Energy Group of the Investment Banking Division of Credit Suisse and, before that, was in the Energy Investment Banking Group at Barclays Capital in London. He began his career in the equity sales group of Kotak Securities in Mumbai. Mr. Rao currently serves on the board of directors of Naturgy and Vena Energy. He has previously served on the board of directors of CLH, London City Airport, Saeta Yield, and Transit Gas Pipeline. He is also a member of the Board of Trustees of Asia Society, as well as the Board of Directors of Sponsors for Educational Opportunity (SEO). Mr. Rao holds a Bachelor of Engineering from the National Institute of Technology Karnataka, an M.B.A. from the Faculty of Management Studies of Delhi University, and a Masters in Finance from London Business School.</t>
  </si>
  <si>
    <t>raj.rao@blackrock.com</t>
  </si>
  <si>
    <t>Senior Managing Director &amp; Member of the Global Executive Committee</t>
  </si>
  <si>
    <t>189871-66P</t>
  </si>
  <si>
    <t>Ray Cameron</t>
  </si>
  <si>
    <t>Mr. Ray Cameron serves as Managing Director - Aladdin at BlackRock. Through direct engagement with companies, the team encourages corporate governance practices that support sustainable financial performance over the long term. Prior to joining BlackRock, he most recently managed the corporate access engagement practice at several investment banking firms, including Stifel and Cowen. In these capacities, he oversaw teams that established and enhanced constructive dialogue with hundreds of portfolio companies' boards and management teams. He started his Wall Street career at Morgan Stanley on the institutional equity sales desk. After spending several years as a generalist, he became a technology specialist. It was in that capacity, he recognized the potential of corporate access as a stand-alone business opportunity. He is credited for creating and managing the first fully integrated corporate access team on Wall Street. His team included a diverse group of sector specialists who were responsible for driving engagements in their respective industries and enhancing relationships with corporate boards and management and with internal investment professionals within the firm. He was subsequently recruited to re-engineer the corporate access engagement practice at Lehman Brothers. There he successfully maintained the entire team through the Lehman bankruptcy filing and the eventual acquisition of equity assets by Barclays. He earned his Master of Business Administration degree from Southern Methodist University, Dallas, Texas, and his Bachelor of Business Administration degree from The University of Texas at Austin.</t>
  </si>
  <si>
    <t>ray.cameron@blackrock.com</t>
  </si>
  <si>
    <t>Managing Director - Aladdin</t>
  </si>
  <si>
    <t>317958-49P</t>
  </si>
  <si>
    <t>Raymond Chia</t>
  </si>
  <si>
    <t>Raymond</t>
  </si>
  <si>
    <t>Chia</t>
  </si>
  <si>
    <t>Mr. Raymond Chia serves as Managing Director, Global Fundamental Fixed Income at BlackRock.</t>
  </si>
  <si>
    <t>raymond.chia@blackrock.com</t>
  </si>
  <si>
    <t>Managing Director, Global Fundamental Fixed Income</t>
  </si>
  <si>
    <t>411210-19P</t>
  </si>
  <si>
    <t>Rebecca Cumming</t>
  </si>
  <si>
    <t>Cumming</t>
  </si>
  <si>
    <t>Ms. Rebecca Cumming serves as Vice President, Marketing at BlackRock.</t>
  </si>
  <si>
    <t>rebecca.cumming@blackrock.com</t>
  </si>
  <si>
    <t>141222-79P</t>
  </si>
  <si>
    <t>Rebecca Meskin</t>
  </si>
  <si>
    <t>Meskin</t>
  </si>
  <si>
    <t>Ms. Rebecca Meskin serves as Managing Director, Retirement Group at BlackRock.</t>
  </si>
  <si>
    <t>rebecca.meskin@blackrock.com</t>
  </si>
  <si>
    <t>Managing Director, Retirement Group</t>
  </si>
  <si>
    <t>133753-15P</t>
  </si>
  <si>
    <t>Richard Newman</t>
  </si>
  <si>
    <t>Newman</t>
  </si>
  <si>
    <t>Mr. Richard Newman serves as Managing Director at BlackRock. Mr. Newman Co-Founded Innovative Systems Techniques. Mr. Newman Co-Founded &amp; served as Chief Executive Officer at Ark Data. He served as a Senior Vice President, Global Director, Content and Technology Solutions at FactSet Research Systems. Previously he served as a Senior Vice President, Director, Vision Integrated Solutions at FactSet. He was a founder and CEO of Insyte, a software firm with a focus on providing solutions for quantitative investors at some of the largest global investment management firms. In 2000, Insyte was the first company acquired by FactSet. He then spent the last 20 years with FactSet, and was the creator of the off-platform data group later called CTS. The CTS group was one of the largest and fastest growing business units within FactSet and he was a member of FactSet's Executive Committee.</t>
  </si>
  <si>
    <t>richard.newman@blackrock.com</t>
  </si>
  <si>
    <t>30298-33P</t>
  </si>
  <si>
    <t>Rick Rieder</t>
  </si>
  <si>
    <t>Rieder</t>
  </si>
  <si>
    <t>Mr. Rick Rieder serves as Senior Managing Director, Chief Investment Officer of Global Fixed Income, Head of the Fundamental Fixed Income, Head of the Global Allocation Investment Team, Member of the Global Executive Committee, GEC Investment Sub-Committee &amp; Chairman of the Investment Council at BlackRock. He also serves as Vice Chairman of the Investment Committee at Emory University Investment Management. Mr. Rieder served as President, Chief Executive Officer &amp; Head, Global Principal Strategy at R3 Capital Partners. He served as Vice Chairman and member of the Borrowing Committee for the U.S. Treasury and member of the Federal Reserve's Investment Advisory Committee on Financial Markets. He currently serves on the Alphabet/Google Investment Advisory Committee and the UBS Research Advisory Board. Four of the funds he manages (Strategic Income Opportunities, Fixed Income Global Opportunities, Total Return, and Strategic Global Bond) have been awarded Gold Medals by Morningstar. From 1987 to 2008, he was with Lehman Brothers, most recently as head of the firm's Global Principal Strategies team, a global proprietary investment platform. He was also global head of the firm's credit businesses, Chairman of the Corporate Bond and Loan Capital Commitment Committee, and a member of the Board of Trustees for the corporate pension fund. Before joining Lehman Brothers, he was a credit analyst at SunTrust Banks in Atlanta. He earned a BBA degree in Finance from Emory University in 1983 and an MBA degree from The Wharton School of the University of Pennsylvania in 1987. He is a member of the board of Emory University, Emory's Business School, and the University's Finance Committee, and is the Vice Chairman of the Investment Committee. He is the founder and chairman of the business school's BBA investment fund and community financial literacy program. He serves as Chairman and President of the Board of Education for North Star Academy's fourteen Charter Schools in Newark, New Jersey, and is the Founder and Chairman of the Board of Graduation Generation Public School Collaboration in Atlanta. He is on the Board of the BlackRock Foundation, the Board of Advisors for the Hospital for Special Surgery, and the Board of Big Brothers/Big Sisters of Newark and Essex County. He formerly served on the Board and National Leadership Council of the Communities in Schools Educational Foundation and Trustee for the US Olympic Foundation.</t>
  </si>
  <si>
    <t>rick.rieder@blackrock.com</t>
  </si>
  <si>
    <t>Senior Managing Director, Chief Investment Officer of Global Fixed Income, Head of the Fundamental Fixed Income, Head of the Global Allocation Investment Team, Member of the Global Executive Committee, and GEC Investment Sub-Committee &amp; Chairman of the Investment Council</t>
  </si>
  <si>
    <t>339386-05P</t>
  </si>
  <si>
    <t>Rizwan Khan</t>
  </si>
  <si>
    <t>Rizwan</t>
  </si>
  <si>
    <t>Mr. Rizwan Khan serves as Director &amp; Head of Private Credit Germany, Austria and Switzerland at BlackRock.</t>
  </si>
  <si>
    <t>rizwan.khan@blackrock.com</t>
  </si>
  <si>
    <t>Director &amp; Head of Private Credit Germany, Austria and Switzerland</t>
  </si>
  <si>
    <t>16301-89P</t>
  </si>
  <si>
    <t>Robert Kapito</t>
  </si>
  <si>
    <t>Kapito</t>
  </si>
  <si>
    <t>Board Member &amp; Founder</t>
  </si>
  <si>
    <t>Mr. Robert Kapito is a Co-Founder and serves as President, Director, Member of the Global Executive Committee &amp; Chairman of the Global Operating Committee at BlackRock. He is also a member of BlackRock's Global Executive Committee. He also served as Chairman of, the Board of Directors at the United Jewish Appeal Federation of Jewish Philanthropies of New York. He is responsible for the day-to-day oversight of all of BlackRock's key operating units including Investment Strategies, Client Businesses, Strategic Product Management, Technology &amp; Operations, and Risk &amp; Quantitative Analysis. He is also a Director of iShares Inc. Prior to assuming his current responsibilities in 2007, he served as Head of BlackRock's Portfolio Management Group. In this role, he was responsible for overseeing all portfolio management within BlackRock, including Fixed Income, Equity, Liquidity, and Alternative Investment Groups. Prior to founding BlackRock in 1988, he was a Vice President in the Mortgage Products Group at The First Boston Corporation. He serves as a member of the Board of Trustees of the University of Pennsylvania and the Harvard Business School Board of Dean's Advisors. He is also President of the Board of Directors for the Hope &amp; Heroes Children's Cancer Fund. He earned a BS degree in economics from the Wharton School of the University of Pennsylvania in 1979, and an MBA degree from Harvard Business School in 1983. He also serves as the Chairman of the Board at the United Jewish Appeal Federation of Jewish Philanthropies of New York.</t>
  </si>
  <si>
    <t>rkapito@blackrock.com</t>
  </si>
  <si>
    <t>Co-Founder, President, Director, Member of the Global Executive Committee &amp; Chairman of the Global Operating Committee</t>
  </si>
  <si>
    <t>162567-37P</t>
  </si>
  <si>
    <t>Robert Nicholson</t>
  </si>
  <si>
    <t>Nicholson</t>
  </si>
  <si>
    <t>Mr. Robert Nicholson serves as an Executive, Private Equity and Alternative Investments at BlackRock. He served as a Partner at Archon Investments. He serves as the Senior Vice President at CION Investments. Previously, he was at Commerce Group. Prior to Commerce Group. He was Senior Vice President with Cole Capital where he ultimately headed the RIA and Institutional divisions. Prior to Cole Capital, he held wholesaling roles at Hines and Wells Real Estate. He earned an MBA from Columbia Business School; an MBA from London Business School and a B.A. degree from the University of Texas at Austin.</t>
  </si>
  <si>
    <t>rob.nicholson@blackrock.com</t>
  </si>
  <si>
    <t>Executive, Private Equity and Alternative Investments</t>
  </si>
  <si>
    <t>138881-53P</t>
  </si>
  <si>
    <t>Roberto Speranza</t>
  </si>
  <si>
    <t>Speranza</t>
  </si>
  <si>
    <t>Mr. Roberto Speranza serves as Managing Director at BlackRock. He is a member of FMA ExCo and leads the Group business development efforts in EMEA. Before joining BlackRock in 2016, he worked at UBS AG (London), where he was a Managing Director and the head of the FIG EMEA Debt Capital Market and Client Solution Team. He was a member of the EMEA DCM Executive Committee; EMEA Sales Committee; EMEA Suitability and Reputational Committee; and the Investment Banking European Business Review Committee. His team mandate included primary market issuances of debt and hybrid instruments, liability management, ABS, and solutions business with a special focus on asset &amp; liability management, balance sheet optimization, NPL advisory, and collateralized funding. Before UBS, he worked at Lehman Brothers (Nomura post-2008 acquisition) where he was responsible for the Southern European Structured and Principal Finance teams. He started his career in 1996 at WestLB in London in the Securitization and Principal Finance team. He is a visiting teacher at the Corporate Finance course of the LUISS University part-time MBIA and serves as Chair of the Finance Committee at the Governor's Board of St Joseph Primary School in London. He holds an MSc degree in finance from London Business School in 1999 and a BS degree in economics, with first-class honors, from LUISS Guido Carli University, Rome in 1995.</t>
  </si>
  <si>
    <t>roberto.speranza@blackrock.com</t>
  </si>
  <si>
    <t>444300-13P</t>
  </si>
  <si>
    <t>Rohan Arora</t>
  </si>
  <si>
    <t>Rohan</t>
  </si>
  <si>
    <t>Mr. Rohan Arora serves as Vice President, BlackRock Private Market Solutions at BlackRock.</t>
  </si>
  <si>
    <t>rohan.arora@blackrock.com</t>
  </si>
  <si>
    <t>Vice President, BlackRock Private Market Solutions</t>
  </si>
  <si>
    <t>139873-42P</t>
  </si>
  <si>
    <t>Roland Arnold</t>
  </si>
  <si>
    <t>Mr. Roland Arnold serves as Fund Manager at BlackRock. He has worked at BlackRock for 15 years and became co-manager of the fund in March 2015.</t>
  </si>
  <si>
    <t>roland.arnold@blackrock.com</t>
  </si>
  <si>
    <t>115050-52P</t>
  </si>
  <si>
    <t>Ron Redmond</t>
  </si>
  <si>
    <t>Redmond</t>
  </si>
  <si>
    <t>Mr. Ron Redmond serves as Managing Director at BlackRock. He is a portfolio manager focusing on illiquid and bespoke credit investments. He joined Blackrock from Deutsche Bank where he spent six years managing a proprietary trading desk focused on similar asset classes. Prior to Deutsche Bank, he worked at Five Mile Capital a hedge fund where he focused on investments in structured finance, mezzanine debt, and leveraged finance. He earned a BA degree from Boston College and an MBA from New York University.</t>
  </si>
  <si>
    <t>ron.redmond@blackrock.com</t>
  </si>
  <si>
    <t>144058-33P</t>
  </si>
  <si>
    <t>Ronald Loon</t>
  </si>
  <si>
    <t>Ronald</t>
  </si>
  <si>
    <t>Loon</t>
  </si>
  <si>
    <t>Mr. Ronald Loon serves as European Fixed Income Portfolio Manager at BlackRock.</t>
  </si>
  <si>
    <t>ronald.vanloon@blackrock.com</t>
  </si>
  <si>
    <t>European Fixed Income Portfolio Manager</t>
  </si>
  <si>
    <t>102707-56P</t>
  </si>
  <si>
    <t>Rory O'Connor</t>
  </si>
  <si>
    <t>Rory</t>
  </si>
  <si>
    <t>Mr. Rory O'Connor serves as Managing Director, Global Co-Chief Investment Officer, and Head of Europe for Renewable Power at BlackRock. He has managed the investment by BlackRock in over 110 wind and solar projects in Europe since joining BlackRock in 2011, at the establishmment of BlackRock's Renewable Power Group. In 2019, in addition to his role as Head of Europe, he was appointed to the role of Global Chief Investment Officer for BlackRock Renewable Power. Before joining BlackRock in 2011, he was Group Treasurer, Head of Corporate Finance, and a member of the Group Executive senior management team at NTR plc where he managed investment, financing, portfolio management, and investment realization programs in renewable energy and sustainable waste management and infrastructure, including investments in and the sale of Airtricity and NTR's monetization of its toll road infrastructure assets. Previously, he served as Director of Strategic Planning, at Elan Corporation plc, and worked in the M&amp;A Division of Morgan Stanley International in London. He earned a first-class degree in International Commerce from University College Dublin in 1997 and a Master's in Business Administration from INSEAD in 2001. He also graduated from the Advanced Management Program at Harvard Business School in 2009.</t>
  </si>
  <si>
    <t>rory.oconnor@blackrock.com</t>
  </si>
  <si>
    <t>Managing Director, Global Co-Chief Investment Officer &amp; Head of Europe for the Renewable Power</t>
  </si>
  <si>
    <t>369880-66P</t>
  </si>
  <si>
    <t>Rose de la Venta</t>
  </si>
  <si>
    <t>de la Venta</t>
  </si>
  <si>
    <t>Ms. Rose de la Venta serves as Director, Global Head of Real Estate and Private Markets at BlackRock.</t>
  </si>
  <si>
    <t>rose.delaventa@blackrock.com</t>
  </si>
  <si>
    <t>Director, Global Head of Real Estate and Private Markets</t>
  </si>
  <si>
    <t>329447-17P</t>
  </si>
  <si>
    <t>Ross Mackey</t>
  </si>
  <si>
    <t>Mackey</t>
  </si>
  <si>
    <t>Mr. Ross Mackey serves as Director at BlackRock.</t>
  </si>
  <si>
    <t>ross.mackey@blackrock.com</t>
  </si>
  <si>
    <t>75875-86P</t>
  </si>
  <si>
    <t>Russ Koesterich JD</t>
  </si>
  <si>
    <t>Russ</t>
  </si>
  <si>
    <t>Koesterich</t>
  </si>
  <si>
    <t>Mr. Russ Koesterich serves as Portfolio Manager at BlackRock. His service with the firm dates back to 2005, including his years with Barclays Global Investors (BGI), which merged with BlackRock in 2009. He joined the BlackRock Global Allocation team in 2016 as Head of Asset Allocation and was named a portfolio manager of the Fund in 2017. Previously, he was BlackRock's Global Chief Investment Strategist and Chairman of the Investment Committee for the Model Portfolio Solutions business, and formerly served as the Global Head of Investment Strategy for scientific active equities and as a senior portfolio manager in the U.S. Market Neutral Group. Before joining BGI, he was the Chief North American Strategist at State Street Bank and Trust. He began his investment career at Instinet Research Partners where he occupied several positions in research, including Director of Investment Strategy for both U.S. and European research, and Equity Analyst. He is a frequent contributor to financials news media and the author of two books, including his most recent "The Ten Trillion Dollar Gamble." He earned a BA in history from Brandeis University, a JD from Boston College, and an MBA from Columbia University. He is a CFA Charterholder.</t>
  </si>
  <si>
    <t>russ.koesterich@blackrock.com</t>
  </si>
  <si>
    <t>40561-12P</t>
  </si>
  <si>
    <t>Ryan Coulter</t>
  </si>
  <si>
    <t>Coulter</t>
  </si>
  <si>
    <t>Mr. Ryan Coulter serves as Director at BlackRock and Vice President at BlackRock Private Equity Partners. He served as Forensic Accounting &amp; Litigation Services Intern at FTI Consulting.</t>
  </si>
  <si>
    <t>+1 (609) 282-2303</t>
  </si>
  <si>
    <t>rcoulter@blackrock.com</t>
  </si>
  <si>
    <t>Director, Private Equity Product Strategy</t>
  </si>
  <si>
    <t>455669-92P</t>
  </si>
  <si>
    <t>Salik Ahmed</t>
  </si>
  <si>
    <t>Salik</t>
  </si>
  <si>
    <t>Mr. Salik Ahmed serves as Associate, Research Insights at BlackRock.</t>
  </si>
  <si>
    <t>salik.ahmed@blackrock.com</t>
  </si>
  <si>
    <t>Associate, Research Insights</t>
  </si>
  <si>
    <t>415341-28P</t>
  </si>
  <si>
    <t>Samara Cohen</t>
  </si>
  <si>
    <t>Samara</t>
  </si>
  <si>
    <t>Ms. Samara Cohen serves as Senior Managing Director and Chief Investment Officer of ETF and Index Investments at BlackRock.As CIO for ETF and Index Investments, she leads the teams delivering the market quality and investment integrity of roughly $6.6 trillion of BlackRock's index funds and iShares ETFs. Encompassing portfolio managers, risk managers, platform architects, and market structure developers, her teams continuously pursue better ways for clients to access expanding investment opportunities and seek to lead in the modernization of the indexing industry and ETF markets. She is a member of the GEC Investment Subcommittee and the GEC Talent Subcommittee. She is also the GEC sponsor for BlackRock's Women's Initiative &amp; Allies Network (WIN) and Co-Head of the Global Diversity, Equity, and Inclusion Steering Committee. She earned a BS Econ in Finance from the Wharton School and a BA in Theatre Arts from the College of Arts and Sciences of the University of Pennsylvania. She earned an MBA from Harvard Business School.</t>
  </si>
  <si>
    <t>samara.cohen@blackrock.com</t>
  </si>
  <si>
    <t>Chief Investment Officer of ETF and Index Investments</t>
  </si>
  <si>
    <t>133206-22P</t>
  </si>
  <si>
    <t>Samir Lakhani</t>
  </si>
  <si>
    <t>Samir</t>
  </si>
  <si>
    <t>Lakhani</t>
  </si>
  <si>
    <t>Mr. Samir Lakhani serves as Managing Director, Portfolio Manager &amp; Co-Head of Securitized Assets at BlackRock. Before joining BlackRock in 2009, he was a Vice President at R3 Capital Partners, where he invested in securitized assets including ABS, CMBS, CLO, and Specialty Finance transactions. He held similar roles at Lehman Brothers in their Global Principal Strategies group. He joined Lehman Brothers in 2006 initially in Structured Credit Products. Previously, he held positions at JP Morgan Partners, in their Private Equity and Mezzanine Debt group, from 2001 to 2004. He served on the Board of Governors for the Commercial Real Estate Finance Council ("CREFC") from 2012 - 2018. He earned a B.S. Degree in Economics and a B.S. Degree in Engineering, summa cum laude, from the University of Pennsylvania, and an MBA degree from Harvard Business School.</t>
  </si>
  <si>
    <t>samir.lakhani@blackrock.com</t>
  </si>
  <si>
    <t>Managing Director, Portfolio Manager &amp; Co-Head of Securitized Assets</t>
  </si>
  <si>
    <t>154360-54P</t>
  </si>
  <si>
    <t>Samir Menon</t>
  </si>
  <si>
    <t>Menon</t>
  </si>
  <si>
    <t>Mr. Samir Menon serves as Managing Director and Portfolio Manager of BlackRock Private Equity Partners at BlackRock. Mr. Menon serves as Board Member at Qumulo. He served as Board Member at Cofense. Samir is a member of the BlackRock Private Equity Partners (PEP) group. He is responsible for evaluating and executing on private equity direct and primary fund investments. Mr. Menon was previously a Vice President at Firelight Capital Partners, where he was responsible for sourcing, evaluating and executing buyout and growth equity investments in consumer &amp; retail companies. Prior to business school, Mr. Menon was an investment professional at BlackRock Private Equity Partners in London and Princeton. He began his career with PEP in 2006. Mr. Menon earned a B.A. degree in Economics from Emory University and an M.B.A. from Columbia Business School.</t>
  </si>
  <si>
    <t>+1 (646) 849-4119</t>
  </si>
  <si>
    <t>samir.menon@blackrock.com</t>
  </si>
  <si>
    <t>Managing Director &amp; Portfolio Manager, BlackRock Private Equity Partners</t>
  </si>
  <si>
    <t>387166-60P</t>
  </si>
  <si>
    <t>Samuel Owen</t>
  </si>
  <si>
    <t>Mr. Samuel Owen serves as Vice President at BlackRock. Mr. Owen served as Assistant Vice President, Sales - West Coast at Preqin.</t>
  </si>
  <si>
    <t>owen@blackrock.com</t>
  </si>
  <si>
    <t>360107-11P</t>
  </si>
  <si>
    <t>Sandra Stulberger</t>
  </si>
  <si>
    <t>Stulberger</t>
  </si>
  <si>
    <t>Ms. Sandra Stulberger serves as Managing Director at BlackRock.</t>
  </si>
  <si>
    <t>sandra.stulberger@blackrock.com</t>
  </si>
  <si>
    <t>158069-35P</t>
  </si>
  <si>
    <t>Sarah Melvin</t>
  </si>
  <si>
    <t>Melvin</t>
  </si>
  <si>
    <t>Ms. Sarah Melvin serves as Head of UK and Chair of Africa, BlackRock at BlackRock. In this role, She is responsible for leading the UK business including setting the UK strategy, delivering the full suite of BlackRock products &amp; services to UK clients, and engaging with key stakeholders. Before this role, she was Head of the Institutional Client Business (ICB) for the U.S. and Canada where she was responsible for leading BlackRock's business serving clients across Public Pensions, Corporate Pensions, Family Offices, Endowments &amp; Foundations &amp; Healthcare organizations. She was the Chief of Staff to the Chairman and Chief Executive Officer from 2015 to 2017. In addition to being responsible for oversight of the Executive Office, she also led the firm's Global Strategic Client Programme. Between 2012 and 2015, she served as Chief Operating Officer of the EMEA Retail business based in London. She was previously Co-Head and Managing Director of BlackRock's Strategy Group. She serves on several firm governance bodies including the Global Operating Committee, the EMEA Executive Committee, and the Global Client Council. Before joining BlackRock in 2006, she was Head of Strategy at Gartmore Investment Management. She held previous Corporate Strategy roles with Australian Financial Services Company, AMP, and worked in the Life &amp; Pensions and General Insurance sectors before entering Asset Management. She has a Master's Degree in English from London University and is based in London.</t>
  </si>
  <si>
    <t>sarah.melvin@blackrock.com</t>
  </si>
  <si>
    <t>Head of UK and Chair of Africa, BlackRock</t>
  </si>
  <si>
    <t>345687-85P</t>
  </si>
  <si>
    <t>Sebastian Bingold</t>
  </si>
  <si>
    <t>Bingold</t>
  </si>
  <si>
    <t>Mr. Sebastian Bingold serves as Senior Sales Executive, Vice President &amp; Executive, Aladdin Business Development at BlackRock.</t>
  </si>
  <si>
    <t>sebastian.bingold@blackrock.com</t>
  </si>
  <si>
    <t>Senior Sales Executive, Vice President &amp; Executive, Aladdin Business Development</t>
  </si>
  <si>
    <t>38141-20P</t>
  </si>
  <si>
    <t>Serge-Alexandre Lauper</t>
  </si>
  <si>
    <t>Serge-Alexandre</t>
  </si>
  <si>
    <t>Lauper</t>
  </si>
  <si>
    <t>Mr. Serge-Alexandre Lauper serves as Managing Director &amp; Head of Infrastructure Solutions at BlackRock.</t>
  </si>
  <si>
    <t>serge-alexandre.lauper@blackrock.com</t>
  </si>
  <si>
    <t>Managing Director &amp; Head of Infrastructure Solutions</t>
  </si>
  <si>
    <t>445667-68P</t>
  </si>
  <si>
    <t>Shadé Bull</t>
  </si>
  <si>
    <t>Shadé</t>
  </si>
  <si>
    <t>Ms. Shadé Bull serves as Senior Project Manager at BlackRock.</t>
  </si>
  <si>
    <t>shade.bull@blackrock.com</t>
  </si>
  <si>
    <t>Senior Project Manager</t>
  </si>
  <si>
    <t>392492-53P</t>
  </si>
  <si>
    <t>Sierra Resovsky</t>
  </si>
  <si>
    <t>Sierra</t>
  </si>
  <si>
    <t>Resovsky</t>
  </si>
  <si>
    <t>Ms. Sierra Resovsky serves as Director at BlackRock. Ms. Resovsky served as Assistant Vice President, Business Development at Preqin.</t>
  </si>
  <si>
    <t>sierra.resovsky@blackrock.com</t>
  </si>
  <si>
    <t>100175-50P</t>
  </si>
  <si>
    <t>Simona Paravani-Mellinghoff</t>
  </si>
  <si>
    <t>Simona</t>
  </si>
  <si>
    <t>Paravani-Mellinghoff</t>
  </si>
  <si>
    <t>Dr. Simona Paravani-Mellinghoff serves as a Managing Director &amp; Global Co-Chief Investment Officer of Solutions for Multi-Asset Strategies &amp; Solutions at BlackRock. Before joining Blackrock in 2015, she spent ten years at HSBC where she held several senior positions in Hong Kong, London, and New York including Global Investment Strategist and CIO in the asset management division. During her tenure at HSBC, she was responsible for a range of investment solutions covering both institutional and retail clients including being the lead PM on the World Selection global range. Before HSBC, she was the quantitative strategist at Julius Baer Asset Management in Zurich. She started her career in 1998 as a quantitative analyst at Orbis in London. She was named for two consecutive years in 2009 and 2010 as a rising star of finance under 40 by Financial News, a sister company of the Wall Street Journal. She is an Industrial Professor at the Institute of Finance and Technology at UCL where she teaches Financial Analytics and Machine Learning. She earned both a BA and MA in Economics from Cambridge University.</t>
  </si>
  <si>
    <t>simona.paravanimellinghoff@blackrock.com</t>
  </si>
  <si>
    <t>Managing Director &amp; Global Co-Chief Investment Officer of Solutions for Multi-Asset Strategies &amp; Solutions</t>
  </si>
  <si>
    <t>145492-03P</t>
  </si>
  <si>
    <t>Sion Cole</t>
  </si>
  <si>
    <t>Sion</t>
  </si>
  <si>
    <t>Mr. Sion Cole serves as Managing Director &amp; Head of Outsourced Partnerships UK, Europe &amp; Africa at BlackRock. He served as Senior Partner &amp; Head of European Distribution - Delegated Consulting Services at Aon Hewitt. Previously, he served as a Senior Strategist Global Investment Solutions at UBS Global Asset Management. He has overall responsibility of fiduciary management services at BlackRock. He helps UK pension scheme trustees and their corporate sponsors meet their funding goals.</t>
  </si>
  <si>
    <t>+44 (20) 77431919</t>
  </si>
  <si>
    <t>sion.cole@blackrock.com</t>
  </si>
  <si>
    <t>Managing Director &amp; Head of Outsourced Partnerships UK, Europe &amp; Africa</t>
  </si>
  <si>
    <t>406665-82P</t>
  </si>
  <si>
    <t>Sonia Rocher</t>
  </si>
  <si>
    <t>Rocher</t>
  </si>
  <si>
    <t>Ms. Sonia Rocher is an Investor, Sustainability Lead and serves as Managing Director &amp; Senior Portfolio Manager within Global Private Debt Team at BlackRock. Ms. Rocher joined BlackRock in 2015 as a senior investment professional and is a founding member of BlackRock Middle Market Private Debt in Europe within BlackRock Alternative Investors (BAI). Based in London, Sonia is the Head of the Research team and responsible for leading the underwriting and monitoring of Private Debt investments in Europe. She has also been leading ESG engagement and integration for Private Credit globally. Prior to joining BlackRock, Sonia was part of RBS' Corporate &amp; Institutional Banking Division where she spent 10 years in roles of increasing responsibility in leveraged finance. Her last role was in their Financial Sponsor Group focusing on sourcing and aligning capital and risk appetite for new leveraged finance transactions. Prior to RBS, she was a Senior Auditor in audit and transaction services at KPMG in Paris. She started her career at Societe Generale in Leveraged Finance Mid Cap and M&amp;A teams in Paris and London.</t>
  </si>
  <si>
    <t>sonia.rocher@blackrock.com</t>
  </si>
  <si>
    <t>Investor, Sustainability Lead, Managing Director &amp; Senior Portfolio Manager within Global Private Debt Team</t>
  </si>
  <si>
    <t>113741-02P</t>
  </si>
  <si>
    <t>Sorca Kelly-Scholte</t>
  </si>
  <si>
    <t>Sorca</t>
  </si>
  <si>
    <t>Kelly-Scholte</t>
  </si>
  <si>
    <t>Ms. Sorca Kelly-Scholte serves as Client Chief Investment Officer at BlackRock. She served as Head of EMEA Pensions Solutions &amp; Advisory at JP Morgan Asset Management. She is responsible for advising European institutional investors and leading strategic, proprietary research, and thought leadership initiatives on pension investment issues. She has 20 years of advisory experience, most recently at Russell Investments where she led strategic advice to advisory and fiduciary management clients in EMEA.</t>
  </si>
  <si>
    <t>Client Chief Investment Officer</t>
  </si>
  <si>
    <t>138865-06P</t>
  </si>
  <si>
    <t>Stefan Dreesbach</t>
  </si>
  <si>
    <t>Stefan</t>
  </si>
  <si>
    <t>Dreesbach</t>
  </si>
  <si>
    <t>Mr. Stefan Dreesbach serves as Managing Director - European Head Financial Markets Advisory at BlackRock. He is responsible for its advisory business in Germany, Austria and Switzerland for BlackRock's Financial Markets Advisory Group within BlackRock Solutions. Prior to joining BlackRock, he has been a Senior Adviser to McKinsey &amp; Co. Before that he was a member of the management board of Portigon AG (former WestLB AG) responsible for Capital Markets, Treasury and Restructuring, being based in Düsseldorf, Germany. He studied business administration at a Senior Executive Program at the London Business School.</t>
  </si>
  <si>
    <t>+49 (0)89 4272 9589 9</t>
  </si>
  <si>
    <t>stefan.dreesbach@blackrock.com</t>
  </si>
  <si>
    <t>Lenbachplatz 1</t>
  </si>
  <si>
    <t>80333</t>
  </si>
  <si>
    <t>Managing Director - European Head Financial Markets Advisory</t>
  </si>
  <si>
    <t>397814-95P</t>
  </si>
  <si>
    <t>Stefanie Gromling</t>
  </si>
  <si>
    <t>Gromling</t>
  </si>
  <si>
    <t>Ms. Stefanie Gromling serves as Head of Family Office DACH at BlackRock.</t>
  </si>
  <si>
    <t>stefanie.groemling@blackrock.com</t>
  </si>
  <si>
    <t>Head of Family Office DACH</t>
  </si>
  <si>
    <t>81388-18P</t>
  </si>
  <si>
    <t>Stephan Caron</t>
  </si>
  <si>
    <t>Stephan</t>
  </si>
  <si>
    <t>Caron</t>
  </si>
  <si>
    <t>Mr. Stephan Caron serves as Managing Director, Head of European Middle Market Private Debt &amp; Head of Global Direct Lending, Portfolio Management Group (PMG) at BlackRock. In this role, Mr. Caron is responsible for leading the platform, originating, and executing investment opportunities, leading the investment process and maintaining relationships with key sponsors and intermediaries across Europe. He is the Lead Portfolio Manager and Chairman of the Investment Committee of BlackRock's European Middle Market Private Debt Fund and serves on BlackRock's Private Debt Executive Committee. Prior to joining BlackRock in 2014 Mr. Caron was Chief Commercial Officer at GE Capital Bank Ltd, where he was responsible for originating, structuring, and executing mid-market lending and leasing transactions and was also member of the Bank Executive and Investment Committees. He was with GE for 14 years in roles of increasing responsibility in structured finance, equity investing, Mergers &amp; Acquisitions and leveraged finance. Prior to that Mr. Caron worked at Suez and JP Morgan. Mr. Caron earned an undergraduate degree from ISG in Paris is 1991 and a master's from ESCP-EAP European School of Management in 1992.</t>
  </si>
  <si>
    <t>stephan.caron@blackrock.com</t>
  </si>
  <si>
    <t>Managing Director, Head of European Middle Market Private Debt &amp; Head of Global Direct Lending, Portfolio Management Group (PMG)</t>
  </si>
  <si>
    <t>127030-60P</t>
  </si>
  <si>
    <t>Stephane Lapiquonne</t>
  </si>
  <si>
    <t>Lapiquonne</t>
  </si>
  <si>
    <t>Mr. Stephane Lapiquonne serves as Head of Sustainability &amp; Transition Affairs at BlackRock.</t>
  </si>
  <si>
    <t>stephane.lapiquonne@blackrock.com</t>
  </si>
  <si>
    <t>Head of Sustainability &amp; Transition Affairs</t>
  </si>
  <si>
    <t>261782-65P</t>
  </si>
  <si>
    <t>Stephen Cohen</t>
  </si>
  <si>
    <t>Mr. Stephen Cohen serves as Chief Product Office and served as Head of the Europe, Middle East and Africa at BlackRock. Before taking up this role in April 2021, he was Head of iShares &amp; Wealth business and Index Investments in EMEA, responsible for leading BlackRock's relationships with wealth management firms and platforms, the development and distribution of technology, data and investments, and overseeing the firm's index portfolio management capability in the region. He has previously served as Global Head of Fixed Income Indexing for BlackRock, where he led the iShares fixed income business and oversaw the fixed income index investment group. Prior to that, he was the Chief Investment Strategist for International Fixed Income and iShares. He joined BlackRock in 2011 from Nomura, where he was Global Head of Equity Linked Strategy, and led the #1 Institutional Investor ranked Convertibles research team. He joined Nomura from ING Barings in 2003, having started his career in fixed income at UBS in 1996. In addition, he has been a Director of Enovara, an Irish funds company. He earned a First Class honours degree in Economics from the University of Southampton in 1996.</t>
  </si>
  <si>
    <t>stephen.cohen@blackrock.com</t>
  </si>
  <si>
    <t>Chief Product Office</t>
  </si>
  <si>
    <t>308675-89P</t>
  </si>
  <si>
    <t>Sudhir Nair</t>
  </si>
  <si>
    <t>Sudhir</t>
  </si>
  <si>
    <t>Mr. Sudhir Nair serves as Senior Managing Director, Global Head of the Aladdin Business &amp; Member of Global Executive Committee at BlackRock. As head of the Aladdin Business, he is responsible for business development, client relationships, implementation and delivery of our services to investors around the world. He is also a member of BlackRock's Global Executive Committee. He began his career at BlackRock in 2000 as an Analyst in the Portfolio Analytics Group within BlackRock Solutions, where he was responsible for producing daily risk reporting and special analytics for Aladdin clients. Since that time, he has successfully led multiple Aladdin implementations within the asset management, insurance and banking industries. Most recently, he was head of the Business Development and Implementations and Delivery groups within the Aladdin Business, where he was responsible for coordinating business process engineering and new product rollouts across Aladdin clients. He serves on the Board of Trustees for the New York Hall of Science. Mr. Nair earned a BS degree in Finance and Information Systems from Boston College.</t>
  </si>
  <si>
    <t>sudhir.nair@blackrock.com</t>
  </si>
  <si>
    <t>Senior Managing Director, Global Head of the Aladdin Business &amp; Member of Global Executive Committee</t>
  </si>
  <si>
    <t>380871-28P</t>
  </si>
  <si>
    <t>Susan Chan</t>
  </si>
  <si>
    <t>Ms. Susan Chan serves as Head of Asia-Pacific at BlackRock. Prior to joining BlackRock, she was a Managing Director at Deutsche Bank AG, Hong Kong where she was Head of Equity Structuring, Strategic Equity Transactions and DBx Asia Pacific. Before Deutsche BlBank, she was Managing Director at Barclays Capital Asia Limited where she held various leadership positions in equity derivatives with the most recent being Head of Equity and Funds Structured, Asia Pacific. She is a graduate of Boston University, Boston, Mass.</t>
  </si>
  <si>
    <t>schan@blackrock.com</t>
  </si>
  <si>
    <t>Head of Asia-Pacific</t>
  </si>
  <si>
    <t>363963-70P</t>
  </si>
  <si>
    <t>Sylvain Buchalet</t>
  </si>
  <si>
    <t>Sylvain</t>
  </si>
  <si>
    <t>Buchalet</t>
  </si>
  <si>
    <t>Mr. Sylvain Buchalet serves as Director &amp; Head of Presales EMEA and Apac at BlackRock.</t>
  </si>
  <si>
    <t>sylvain.buchalet@blackrock.com</t>
  </si>
  <si>
    <t>Director &amp; Head of Presales EMEA and Apac</t>
  </si>
  <si>
    <t>16820-74P</t>
  </si>
  <si>
    <t>Tarek Chouman</t>
  </si>
  <si>
    <t>Tarek</t>
  </si>
  <si>
    <t>Chouman</t>
  </si>
  <si>
    <t>Mr. Tarek Chouman serves as Global Head of Aladdin Client Business at BlackRock. He served as Chief Executive Officer at eFront. Previously he served as Global Chief Operating Officer at eFront. He had previously been Chief Sales and Marketing Officer (since January 2016), Chief Operating Officer, for EMEA &amp; Asia (in 2015), and Chief Operating Officer for Asia and the Middle East before this (2008-2014). Over the past years, he was instrumental in positioning eFront as a global industry leader and expanding eFront's footprint globally particularly in the Middle East and APAC regions where he opened 7 offices and built strong local teams. He originally joined eFront in 2003 as a Services Manager before being appointed Managing Director for France and Continental Europe in 2004. A graduate of the International School of ISIM, Tarek Chouman started his career in IT services. In 1997, he joined the Logispace Group to take charge of the development of a software suite dedicated to the management of real estate assets for large corporations. In 1999, he joined Canadian Group Cognicase, as Manager of Integration and Engineering Activities in Europe.</t>
  </si>
  <si>
    <t>tarek.chouman@blackrock.com</t>
  </si>
  <si>
    <t>Global Head of Aladdin Client Business</t>
  </si>
  <si>
    <t>156961-90P</t>
  </si>
  <si>
    <t>Tarek Mahmoud</t>
  </si>
  <si>
    <t>Mahmoud</t>
  </si>
  <si>
    <t>Mr. Tarek Mahmoud serves as Managing Director &amp; Chairman of EMEA Private Markets, Head of Multi-Alternatives, Multi-Asset Strategies and Solutions (MASS) group, Chair for BlackRock's Multi-Alternatives Executive Committee, member of BlackRock's Portfolio Management Group Executive Committee, Global Operating Committee, EMEA Executive Committee, Multi-Asset Strategies &amp; Solutions Executive Committee, EMEA Investments Committee, Executive Investment Committee and the BlackRock Saudi Arabia board at BlackRock. Mr. Mahmoud has over 40 years of financial markets and management experience, where he has worked across capital markets, lending, and trading functions. He holds an BA degree in Economics from Universite Aix-Marseilles &amp; also completed an MBA degree from Babson College.</t>
  </si>
  <si>
    <t>tarek.mahmoud@blackrock.com</t>
  </si>
  <si>
    <t>Managing Director &amp; Chairman of EMEA Private Markets, Head of Multi-Alternatives, Multi-Asset Strategies and Solutions (MASS) group, Chair, Multi-Alternatives Executive Committee, member of Portfolio Management Group Executive Committee, Global Operating Committee, EMEA Executive Committee, Multi-Asset Strategies &amp; Solutions Executive Committee, EMEA Investments Committee, Executive Investment Committee and the BlackRock Saudi Arabia board</t>
  </si>
  <si>
    <t>395645-86P</t>
  </si>
  <si>
    <t>Tatiana Rosen</t>
  </si>
  <si>
    <t>Tatiana</t>
  </si>
  <si>
    <t>Rosen</t>
  </si>
  <si>
    <t>Ms. Tatiana Rosen serves as Vice President at BlackRock.</t>
  </si>
  <si>
    <t>rt@blackrock.com</t>
  </si>
  <si>
    <t>191944-63P</t>
  </si>
  <si>
    <t>Ted Stratigos</t>
  </si>
  <si>
    <t>Ted</t>
  </si>
  <si>
    <t>Stratigos</t>
  </si>
  <si>
    <t>Mr. Ted Stratigos serves as Managing Director at BlackRock. Mr. Ted Stratigos is an Angel Investor.</t>
  </si>
  <si>
    <t>ted.stratigos@blackrock.com</t>
  </si>
  <si>
    <t>412188-67P</t>
  </si>
  <si>
    <t>Thibaut Visy</t>
  </si>
  <si>
    <t>Thibaut</t>
  </si>
  <si>
    <t>Visy</t>
  </si>
  <si>
    <t>Mr. Thibaut Visy serves as Vice President - Institutional Sales at BlackRock. Mr. Visy holds MS (Master of Science) from EDHEC Business School and a Bachelor's Degree from University of San Diego.</t>
  </si>
  <si>
    <t>thibaut.visy@blackrock.com</t>
  </si>
  <si>
    <t>Vice President - Institutional Sales</t>
  </si>
  <si>
    <t>94358-35P</t>
  </si>
  <si>
    <t>Thomas Mueller</t>
  </si>
  <si>
    <t>Mueller</t>
  </si>
  <si>
    <t>Mr. Thomas Mueller serves as Global Co-Head of Real Estate and Global Chief Investment Officer for Value-add Real Estate at BlackRock. He serves as Portfolio Manager for EFV at BlackRock Real Assets. He was a senior vice president in the London office of Partners Group and had a lead role in the firm's primary and direct European real estate business. He holds an MBA degree in Business Administration from INSEAD &amp; also completed a Degree from Universität St. Gallen-Hochschule für Wirtschafts-, Rechts- und Sozialwissenschaften.</t>
  </si>
  <si>
    <t>Global Co-Head of Real Estate and Global Chief Investment Officer for Value-add Real Estate</t>
  </si>
  <si>
    <t>285656-86P</t>
  </si>
  <si>
    <t>Thorsten Slyta</t>
  </si>
  <si>
    <t>Thorsten</t>
  </si>
  <si>
    <t>Slyta</t>
  </si>
  <si>
    <t>Mr. Thorsten Slyta serves as Managing Director &amp; Head of Nordic, Equity Private Markets &amp; Real Estate at BlackRock.</t>
  </si>
  <si>
    <t>+46 (0)8 5057 2600</t>
  </si>
  <si>
    <t>thorsten.slyta@blackrock.com</t>
  </si>
  <si>
    <t>32 Malmskillnadsgatan</t>
  </si>
  <si>
    <t>111 51</t>
  </si>
  <si>
    <t>Managing Director &amp; Head of Nordic, Equity Private Markets &amp; Real Estate</t>
  </si>
  <si>
    <t>431804-71P</t>
  </si>
  <si>
    <t>Tim Fenwick</t>
  </si>
  <si>
    <t>Fenwick</t>
  </si>
  <si>
    <t>Mr. Tim Fenwick serves as Director at BlackRock. With a background in banking and corporate finance, he has successfully invested in a range of companies across various sectors including Digital Health and FinTech, with notable investments in companies like DataGuard (Series B) and KatKin (Series A).</t>
  </si>
  <si>
    <t>tim.fenwick@blackrock.com</t>
  </si>
  <si>
    <t>369559-36P</t>
  </si>
  <si>
    <t>Timo Toenges</t>
  </si>
  <si>
    <t>Timo</t>
  </si>
  <si>
    <t>Toenges</t>
  </si>
  <si>
    <t>Mr. Timo Toenges serves as Head of Digital Wealth business (EMEA) at BlackRock.</t>
  </si>
  <si>
    <t>timo.toenges@blackrock.com</t>
  </si>
  <si>
    <t>Head of Digital Wealth business (EMEA)</t>
  </si>
  <si>
    <t>270353-26P</t>
  </si>
  <si>
    <t>Tony Kim</t>
  </si>
  <si>
    <t>Mr. Tony Kim serves as Managing Director &amp; Head of the Global Technology Team at BlackRock. He is a portfolio manager and sector head for the technology vertical and runs the Global Technology funds. He joined BlackRock in 2013. He has 22 years of experience in investments at companies including Artisan Partners, Credit Suisse Asset Management, Neuberger Berman, Merrill Lynch, SG Warburg, and Rockwell Intl. He has an MBA from Columbia, and a BS in Industrial Engineering from the University of Illinois.</t>
  </si>
  <si>
    <t>tony.kim@blackrock.com</t>
  </si>
  <si>
    <t>Managing Director &amp; Head of the Global Technology Team</t>
  </si>
  <si>
    <t>269051-86P</t>
  </si>
  <si>
    <t>Valerie Speth</t>
  </si>
  <si>
    <t>Valerie</t>
  </si>
  <si>
    <t>Speth</t>
  </si>
  <si>
    <t>Ms. Valerie Speth serves as Managing Director, Head of the APAC region for the Climate Infrastructure Group, Member of the global management and investment committee, and Chairman of the Portfolio platform committee at BlackRock. She led investment and portfolio management efforts in Southeast Asian economies for BlackRock's current flagship Global Renewable Power strategy and the Climate Finance Partnership (CFP) program in Asia.</t>
  </si>
  <si>
    <t>vspeth@blackrock.com</t>
  </si>
  <si>
    <t>Managing Director, Head of APAC region for the Climate Infrastructure Group, Member of the global management and investment committee and Chairman the Portfolio platform committee</t>
  </si>
  <si>
    <t>186173-92P</t>
  </si>
  <si>
    <t>Venu Krishnamurthy</t>
  </si>
  <si>
    <t>Venu</t>
  </si>
  <si>
    <t>Krishnamurthy</t>
  </si>
  <si>
    <t>Mr. Venu Krishnamurthy serves as Global Head of Aladdin Wealth at BlackRock. He joins the asset management giant from Citigroup, where he was the U.S. head of Citigold and Citi Priority client segments, as well as Citi Personal Wealth Management, according to an internal memo provided by BlackRock to Financial Planning, a sister publication of American Banker. At Citi, he oversaw the development of a suite of investment products and services. He also led the national wealth management sales force. Previously, he served as a global chief financial officer for Citi's private bank out of London, and chief operating officer of global wealth management in Singapore. He holds a BA degree in Engineering from the National Institute of Technology, Surathkal &amp; completed an MBA degree from the Indian Institute of Management Ahmedabad.</t>
  </si>
  <si>
    <t>venu.krishnamurthy@blackrock.com</t>
  </si>
  <si>
    <t>Global Head of Aladdin Wealth</t>
  </si>
  <si>
    <t>445667-50P</t>
  </si>
  <si>
    <t>Victor Roberts</t>
  </si>
  <si>
    <t>Mr. Victor Roberts serves as Account Manager - A.C.E at BlackRock.</t>
  </si>
  <si>
    <t>victor.roberts@blackrock.com</t>
  </si>
  <si>
    <t>Account Manager - A.C.E</t>
  </si>
  <si>
    <t>412203-52P</t>
  </si>
  <si>
    <t>Victoria Arnold</t>
  </si>
  <si>
    <t>Ms. Victoria Arnold serves as Institutional Client Coverage France and Head of Sustainable Clients Solutions at BlackRock.</t>
  </si>
  <si>
    <t>victoria.arnold@blackrock.com</t>
  </si>
  <si>
    <t>Institutional Client Coverage France and Head of Sustainable Clients Solutions</t>
  </si>
  <si>
    <t>366232-33P</t>
  </si>
  <si>
    <t>Viktoria Warkentin</t>
  </si>
  <si>
    <t>Viktoria</t>
  </si>
  <si>
    <t>Warkentin</t>
  </si>
  <si>
    <t>Ms. Viktoria Warkentin serves as Associate at BlackRock.</t>
  </si>
  <si>
    <t>viktoria.warkentin@blackrock.com</t>
  </si>
  <si>
    <t>412203-70P</t>
  </si>
  <si>
    <t>William Choi</t>
  </si>
  <si>
    <t>Mr. William Choi serves as EMEA Product Strategy at BlackRock.</t>
  </si>
  <si>
    <t>wchoi@blackrock.com</t>
  </si>
  <si>
    <t>EMEA Product Strategy</t>
  </si>
  <si>
    <t>198869-86P</t>
  </si>
  <si>
    <t>William Hutchings</t>
  </si>
  <si>
    <t>Hutchings</t>
  </si>
  <si>
    <t>Mr. William Hutchings serves as Director, Securitized Portfolio Manager at BlackRock.</t>
  </si>
  <si>
    <t>will.hutchings@blackrock.com</t>
  </si>
  <si>
    <t>Director, Securitized Portfolio Manager</t>
  </si>
  <si>
    <t>41942-08P</t>
  </si>
  <si>
    <t>Yan Yang MD</t>
  </si>
  <si>
    <t>Dr. Yan Yang serves as Managing Director &amp; Global Investment Committee Member at BlackRock. He served as Vice President of private Equity at China Investment Corporation. He is responsible for BlackRock PEP investment activities within the Asia Pacific region with an important role in PEP's global healthcare investment strategy. He holds an MBA in Finance &amp; Management from Georgetown University &amp; also completed an MD degree in Clinical Medicine from Peking Union Medical College.</t>
  </si>
  <si>
    <t>yan.yang@blackrock.com</t>
  </si>
  <si>
    <t>Managing Director &amp; Global Investment Committee Member</t>
  </si>
  <si>
    <t>42988-60P</t>
  </si>
  <si>
    <t>Zachary Viders</t>
  </si>
  <si>
    <t>Zachary</t>
  </si>
  <si>
    <t>Viders</t>
  </si>
  <si>
    <t>Mr. Zachary Viders serves as Managing Director and Portfolio Manager, of Global Credit Opportunities at BlackRock. Before joining BlackRock in 2016, he was a Managing Director and Head of Distressed Investing for CCMP Capital, an $8+ billion private equity firm where he helped launch a distressed-for-control investment mandate. He served in a similar role for Kohlberg &amp; Co, a middle-market private equity firm, where he also completed several traditional buyouts, from 2008 through 2013. Earlier in his career, he was a credit analyst at Gradient Partners, a stressed/distressed hedge fund, and began his career as a restructuring banker at the Blackstone Group. He earned a Bachelor's degree in Economics from Harvard in 1999 and a Columbia MBA in 2005.</t>
  </si>
  <si>
    <t>zviders@blackrock.com</t>
  </si>
  <si>
    <t>Managing Director and Portfolio Manager, Global Credit Opportunities</t>
  </si>
  <si>
    <t>151916-14P</t>
  </si>
  <si>
    <t>Ahmed Hentati</t>
  </si>
  <si>
    <t>Hentati</t>
  </si>
  <si>
    <t>Blindspot Ventures</t>
  </si>
  <si>
    <t>Mr. Ahmed Hentati is the Founder and serves as Managing Partner at Blindspot Ventures. He also served as Venture Investor at TechNexus Venture Collaborative. He leads the firm's search for the next inspiring pioneers to back, along with supporting the fund's portfolio. As a Boston enthusiast, he started his career by working with local startup accelerators and seed venture funds, before founding Blindspot Ventures to double down on the ecosystem.</t>
  </si>
  <si>
    <t>+1 (202) 390-1367</t>
  </si>
  <si>
    <t>ahmed@blindspot.vc</t>
  </si>
  <si>
    <t>303 Cambridge Street</t>
  </si>
  <si>
    <t>Unit 3</t>
  </si>
  <si>
    <t>321605-20P</t>
  </si>
  <si>
    <t>Hassan Dayekh</t>
  </si>
  <si>
    <t>Dayekh</t>
  </si>
  <si>
    <t>Mr. Hassan Dayekh serves as Managing Partner &amp; Co-Head of the Investment Committee at Blindspot Ventures. A dedicated practitioner of Brazilian Jiujitsu, he started his career in banking and, later on, as a managing partner in the growth stage venture capital arm of a $4B+ Multi-Family office co-leading their investments across private markets.</t>
  </si>
  <si>
    <t>hassan@blindspot.vc</t>
  </si>
  <si>
    <t>Managing Partner &amp; Co-Head of Investment Committee</t>
  </si>
  <si>
    <t>11553-04P</t>
  </si>
  <si>
    <t>Alex Krueger</t>
  </si>
  <si>
    <t>Krueger</t>
  </si>
  <si>
    <t>Blue Bear Capital</t>
  </si>
  <si>
    <t>Mr. Alex Krueger serves as Managing Partner &amp; Chairman at First Reserve. He serves as an Advisor at Blue Bear Capital. He serves as Board Member at IOG Capital. His responsibilities include overall firm management as well as deal origination and sourcing, due diligence and structuring, financing and transaction execution, and ongoing portfolio management. Mr. Krueger joined First Reserve in 1999. Before joining First Reserve, Mr. Krueger worked in the Energy group of Donaldson, Lufkin &amp; Jenrette in Houston. He holds a BS from the University of Pennsylvania.</t>
  </si>
  <si>
    <t>akrueger@firstreserve.com</t>
  </si>
  <si>
    <t>262 Harbor Drive</t>
  </si>
  <si>
    <t>06902</t>
  </si>
  <si>
    <t>+1 (203) 661-6729</t>
  </si>
  <si>
    <t>Managing Partner &amp; Chairman</t>
  </si>
  <si>
    <t>First Reserve</t>
  </si>
  <si>
    <t>149991-40P</t>
  </si>
  <si>
    <t>Carolin Funk Ph.D</t>
  </si>
  <si>
    <t>Carolin</t>
  </si>
  <si>
    <t>Funk</t>
  </si>
  <si>
    <t>Dr. Carolin Funk serves as a Partner at Blue Bear Capital. She serves as Advisors at Liminal Insights. She served as Board Member at Copper Labs. She serves as Board Member at ACCURE Battery Intelligence. She also serves as Board Observer at Datch. She serves as an Advisor at Feasible. She particularly focuses on smart grid, AI, and IoT solutions in the renewable energy and mobility sectors. She has spent her career supporting renewable energy technology programs across government agencies, large corporations, and early-stage ventures. Prior to joining Blue Bear, she served as Chief Operating Officer of FreeWire Technologies and Caban Systems, energy storage businesses based in the Bay Area. At FreeWire she led product development, helped scale the team from 11 to 30 people, and supported a Series A fundraise bringing BP Ventures, Stanley Black &amp; Decker, and Blue Bear Capital into the company. Before FreeWire, she spent four years as Manager and then Director of Venture Technology at Siemens in Berkeley, helping screen and develop startups for partnership with Siemens business units. Her focus areas at Siemens included smart grids, autonomous machines, big data, and AI. She began her career in Germany, serving as a Research Associate at the Technical University of Berlin and Project Manager and Project Director at the Germany Energy Agency. She holds a Ph.D. in Mechanical Engineering and an MBA from the Technical University of Berlin.</t>
  </si>
  <si>
    <t>+1 (917) 543-8891</t>
  </si>
  <si>
    <t>carolin@bluebearcap.com</t>
  </si>
  <si>
    <t>Jackson, WY</t>
  </si>
  <si>
    <t>50 South King Street</t>
  </si>
  <si>
    <t>Wyoming</t>
  </si>
  <si>
    <t>83001</t>
  </si>
  <si>
    <t>12022-48P</t>
  </si>
  <si>
    <t>Edmund Browne of Madingley</t>
  </si>
  <si>
    <t>Browne of Madingley</t>
  </si>
  <si>
    <t>Mr. Edmund Browne serves as Non-Executive Chairman of the Board at Windward. He serves as Baord Chaiman at Avathon He of Madingley serves as Chairman at Courtauld Institute of Art Endowment. He serves as Senior Advisor at General Atlantic. Additionally, he serves as the Chairman of the Board at the Courtauld Institute of Art and as a Board Member at Venterra Group. He has been the Chairman of the Governing Board of The Courtauld since 2017. Furthermore, he serves as an Advisory Board Member at Giant Ventures and as an Advisor at Angeleno Group. He also sits on the Supervisory Board at DEA Deutsche Erdoel and is the Chairman of L1 Energy and Huawei (UK). Before joining L1 Energy in March 2015, He was a partner at Riverstone Holdings LLC, an energy and power-focused private equity firm, for eight years. During his 41 years at British Petroleum, he held various senior management positions. In 1991, he joined the board of The British Petroleum Company plc, becoming the group chief executive in 1995 and remaining in that position until May 2007. He served as the Chairman of the Advisory Board of Apax Partners LLC from 2006 to 2007, a non-executive director of Goldman Sachs from 1999 to 2007, and a non-executive director of Intel Corporation from 1997 to 2006. He was a trustee of The British Museum from 1995 to 2005, a member of the supervisory board of DaimlerChrysler AG from 1998 to 2001, and a non-executive director of SmithKline Beecham from 1996 to 1999. From 2006 to 2011, He served as the president of the Royal Academy of Engineering and is currently the Chairman of the Trustees of the Queen Elizabeth Prize for Engineering. He is a fellow of the Royal Society and a foreign member of the U.S. Academy of Arts and Sciences. In August 2007, he was appointed a trustee of the Tate Gallery, assuming the role of chairman of the trustees in January 2009. Additionally, he is a member of the board of governors of the Folger Shakespeare Library in Washington, D.C. He chaired the Independent Review of Higher Education Funding and Student Finance, with the report published in October 2010. From June 2010 to January 2015, he served as the UK Government's lead non-executive board member. He was knighted in 1998 and made a life peer in 2001. He holds an MS in Business from Stanford Graduate School of Business and a Bachelor's in Physics from Cambridge University.</t>
  </si>
  <si>
    <t>+44 (0)20 7725 1800</t>
  </si>
  <si>
    <t>35 Portman Square</t>
  </si>
  <si>
    <t>W1H 6LR</t>
  </si>
  <si>
    <t>+44 (0)20 7725 1802</t>
  </si>
  <si>
    <t>Stanhope Capital</t>
  </si>
  <si>
    <t>33129-64P</t>
  </si>
  <si>
    <t>Ernst Sack</t>
  </si>
  <si>
    <t>Ernst</t>
  </si>
  <si>
    <t>Sack</t>
  </si>
  <si>
    <t>Mr. Ernst Sack is a Co-Founder and serves as Partner at Blue Bear Capital. He leads the firm's investment activities. He also serves as Chairman at Shoreline. He serves as Board Member at Axiom Cloud, Raptor Maps, and Datch. He serves as Board Observer &amp; Advisor at Everactive. He serves as Board Observer at Omnidian. From 2008 through 2016, he was an investment professional at Riverstone, the world's leading energy specialist private equity firm with $34 billion in assets under management and over 120 investments. His transaction experience includes deal sourcing, execution, financing, board-level monitoring, strategic acquisitions, and exits across the oil, gas, and renewable energy supply chain. Since 2012 he has been an active independent investor in technology-enabled businesses disrupting traditional industries. From 2006 to 2008, He was an Analyst in the Mergers &amp; Acquisitions team at Citigroup. He has participated on the Boards of Directors of over ten conventional and renewable energy companies. He was also a Venture Partner at Cimbria Capital, a private equity and growth capital firm focused on the water and agriculture industries. He graduated with honors from the School of Foreign Service at Georgetown University where he received a degree in Science, Technology &amp; International Affairs and a certificate in Eurasian, Russian &amp; East European Studies. He received his M.B.A. from Columbia Business School and London Business School through a joint degree program.</t>
  </si>
  <si>
    <t>ernst@bluebearcap.com</t>
  </si>
  <si>
    <t>237590-56P</t>
  </si>
  <si>
    <t>Hank Hattemer</t>
  </si>
  <si>
    <t>Hattemer</t>
  </si>
  <si>
    <t>Chief Operating Officer &amp; General Counsel</t>
  </si>
  <si>
    <t>Mr. Hank Hattemer serves as General Counsel &amp; Chief Operating Officer at Blue Bear Capital. He serves as Board Member at Demex. Previously, he spent six years in leveraged finance at Latham &amp; Watkins in Los Angeles, handling acquisition financing, syndicated loan, and venture debt transactions for sponsor and borrower clients. He graduated from Georgetown with a degree in Economics and received his law degree from USC Law School. He is a member of the California bar.</t>
  </si>
  <si>
    <t>hank@bluebearcap.com</t>
  </si>
  <si>
    <t>General Counsel &amp; Chief Operating Officer</t>
  </si>
  <si>
    <t>316926-64P</t>
  </si>
  <si>
    <t>Hayley Nystrom</t>
  </si>
  <si>
    <t>Hayley</t>
  </si>
  <si>
    <t>Nystrom</t>
  </si>
  <si>
    <t>Investment Executive</t>
  </si>
  <si>
    <t>Ms. Hayley Nystrom serves as an Investor at Blue Bear Capital. She is engaged in deal flow, diligence, and investment activities for emerging technologies within the clean tech and renewable energy sector. Previously, she was an Equity Analyst at a sustainability-focused investment manager, Terra Alpha Investments, covering the utilities and healthcare sectors. She received a B.A. in Political Science from Texas Christian University and a Master of Environmental Studies &amp; Energy Management from the University of Pennsylvania.</t>
  </si>
  <si>
    <t>+1 (203) 246-5371</t>
  </si>
  <si>
    <t>hayley@bluebearcap.com</t>
  </si>
  <si>
    <t>10250 Constellation Boulevard</t>
  </si>
  <si>
    <t>90067</t>
  </si>
  <si>
    <t>160755-13P</t>
  </si>
  <si>
    <t>Jacquelynn Craw</t>
  </si>
  <si>
    <t>Jacquelynn</t>
  </si>
  <si>
    <t>Craw</t>
  </si>
  <si>
    <t>Ms. Jacquelynn Craw serves as Advisor at Blue Bear Capital. She has legal experience in both corporate and NGO roles in the international oil and gas industry. She currently heads the Norwegian desk for international law firm, CMS Cameron McKenna LLP. Ms. Craw is also the Managing Director of the Offshore Pollution Liability Association (OPOL), an environmental compensation program for exploration and production companies in North Western Europe. Ms. Craw served as General Counsel to Fairfield Energy Limited, an independent UK oil and gas exploration and production company based in Aberdeen and London. Her experience also spans over 25 years working with major oil and gas companies such as Shell UK and Talisman Energy. At Talisman UK she served as a Director, Company Secretary and Vice President of Legal and Corporate Social Responsibility, developing a strong expertise in international energy M&amp;A transactions. A Board Governor of the University of Aberdeen from 2006-14, she is now Chair of the Aberdeen University Pension scheme. She is also Vice Chair and Director of the Scottish Ballet.</t>
  </si>
  <si>
    <t>316927-90P</t>
  </si>
  <si>
    <t>Jeffrey Fleming</t>
  </si>
  <si>
    <t>Mr. Jeffrey Fleming serves as Senior Operations Associate at Blue Bear Capital. He is engaged with company reporting, investor relations, business operations and accounting. Previously, he worked in operations at a Family Office and Cambridge Associates. He holds a BS in Finance from American University. He was a Performance Reporting Associate at Cambridge Associates, servicing endowments, foundations and family office clients as well as leading process improvements.</t>
  </si>
  <si>
    <t>+1 (401) 749-3965</t>
  </si>
  <si>
    <t>jeff@bluebearcap.com</t>
  </si>
  <si>
    <t>Senior Operations Associate</t>
  </si>
  <si>
    <t>36577-00P</t>
  </si>
  <si>
    <t>Joel Moxley Ph.D</t>
  </si>
  <si>
    <t>Moxley</t>
  </si>
  <si>
    <t>Dr. Joel Moxley serves as Managing Partner at Echelon Capital (Evanston). He serves as Board Member at Confection, and Source. He serves as Advisor at Blue Bear Capital, Sovereign's Capital, Tachyus and Advisory Board Member at Groma. He co-founded and served as Executive Vice President of Business Development at Foro Energy. He also serves as Board Member at Imidex and Frontline Wildfire Defense. He served as an Advisor at Insurtech Gateway. He served as Board Member at Aionics and Vestorly. He is a Co-Founder of Moxley Holdings, Rho AI, a founding investor in Pie Insurance, Rubicon, and Zero Mass Water, and an early-stage investor in 20+ technology companies. He holds a Ph.D. from MIT and BSE from Princeton in Chemical Engineering and is an Adjunct Professor of Engineering at Stanford.</t>
  </si>
  <si>
    <t>joel@echelon.xyz</t>
  </si>
  <si>
    <t>Evanston</t>
  </si>
  <si>
    <t>Evanston, WY</t>
  </si>
  <si>
    <t>221 10th Street</t>
  </si>
  <si>
    <t>82930</t>
  </si>
  <si>
    <t>Echelon Capital (Evanston)</t>
  </si>
  <si>
    <t>71958-97P</t>
  </si>
  <si>
    <t>Martin Rajcan</t>
  </si>
  <si>
    <t>Rajcan</t>
  </si>
  <si>
    <t>Mr. Martin Rajcan serves as General Partner at Kaya VC. He serves as Venture Partner at Blue Bear Capital. He is closely involved in the investment process at Blue Bear Capital. His investment experience spans the spectrum from seed-stage businesses to mature buy-outs across industries and geographies. He currently serves as CFO at Priori Data, a market intelligence software utilizing big data in the mobile app analytics space. He is also an active angel investor in primarily US-based businesses. His investment approach is shaped by nearly ten years of experiences at KKR Private Equity in London and Morgan Stanley's Investment Banking team in New York, Singapore, and Hong Kong, in both cases with a heavy focus on the energy sector. He was active at the board level in KKR's investments in Acteon, Flowstream Commodities, Consorcio SSFD, U.N. Ro-Ro, and others. He graduated as class valedictorian from Middlebury College, VT in 2006 with a Bachelor of Arts in Economics and Chinese Language &amp; Literature. He is a Trustee of NESsT UK, an organization that enables workforce integration of marginalised groups of transition economies in Eastern Europe and Latin America.</t>
  </si>
  <si>
    <t>martin.rajcan@kaya.vc</t>
  </si>
  <si>
    <t>Prague</t>
  </si>
  <si>
    <t>Prague, Czech Republic</t>
  </si>
  <si>
    <t>Thámova 183/11</t>
  </si>
  <si>
    <t>Karlín</t>
  </si>
  <si>
    <t>186 00</t>
  </si>
  <si>
    <t>Czech Republic</t>
  </si>
  <si>
    <t>Kaya VC</t>
  </si>
  <si>
    <t>182183-86P</t>
  </si>
  <si>
    <t>Paige Carratturo</t>
  </si>
  <si>
    <t>Paige</t>
  </si>
  <si>
    <t>Carratturo</t>
  </si>
  <si>
    <t>Ms. Paige Carratturo is a Co-founder of Sea Change Advisors. Previously, she was the Founder and serves as Chief Executive Officer and Managing Director at Enertech Search Partners. She is also the Founder and serves as Managing Partner and Operating Partner at Cipactil Partners. She serves as a Talent Partner at Blue Bear Capital. She served as a Venture Partner at E8 Ventures. She served as an Associate at Momenta Partners. She serves as the Talent Partner of Blue Bear. He drives the portfolio-level talent strategy. At Sea Change Advisors, she drives thought leadership and leads advisory services and C-level recruiting. Her expertise spans the entire energy technology ecosystem, with a particular focus on distributed energy resources and enabling technologies, mobility, and smart infrastructure. She was a first-mover in the energy transition and broader climate tech markets. She founded Enertech Search Partners in 2009, and her company has supported the growth of over 100 early-stage energy, mobility, and infrastructure technology companies. She has been a partner and advisor to some of the most compelling emerging and market-leading technology companies, as well as their investors and ecosystem partners. Before founding Enertech, she was a Senior Executive Recruiter of Energy and Technology at Richard, Wayne &amp; Roberts, one of the largest single-office contingency search firms in the country. There she built a niche practice in Energy Technology and Services and served clients across a broad swath of the energy sector. Her clients included ETRM software firms, retail energy providers, demand response and energy services companies, as well as emerging markets, including smart grid and energy intelligence software firms.</t>
  </si>
  <si>
    <t>+1 (949) 351-7740</t>
  </si>
  <si>
    <t>paige@seachange-advisors.com</t>
  </si>
  <si>
    <t>1700 Montgomery Street</t>
  </si>
  <si>
    <t>Suite 108</t>
  </si>
  <si>
    <t>Sea Change Talent</t>
  </si>
  <si>
    <t>12747-88P</t>
  </si>
  <si>
    <t>Riaz Siddiqi</t>
  </si>
  <si>
    <t>Riaz</t>
  </si>
  <si>
    <t>Siddiqi</t>
  </si>
  <si>
    <t>Mr. Riaz Siddiqi is the Founder &amp; serves as Chairman at Epochal Technologies. Mr. Siddiqi serves as Senior Advisor at Tinsley Park Partners. Prior to Tinsley Park, he was a co-founder of Denham Capital, a global private equity firm with approximately $9.0 billion in assets under management. He served as Managing Partner - Emeritus at Denham Capital Management. He also sits on the Board of Directors of Endeavor Energy. He is a Founder and serves as Chief Executive Officer &amp; Chairman at Epochal Technologies. He served as Chairman at MetOx Technologies. In the early 2000s, he served as President and CEO of Thermal North America, the largest district heating and cooling company in the US. He also served as President and CEO of Wharton County Power Partners, a Texas company that owned power generation facilities. Prior to joining Denham in 2004, he was President and CEO of Capstone Global Energy, a company that he founded. He received a Bachelor of Science in Electrical Engineering from the Pakistan University of Energy &amp; Technology and a Master of Business Administration degree from the Graduate School of Business at Mississippi State University.</t>
  </si>
  <si>
    <t>+1 (844) 737-6242</t>
  </si>
  <si>
    <t>rs@epochaltechnologies.com</t>
  </si>
  <si>
    <t>1990 Post Oak Boulevard</t>
  </si>
  <si>
    <t>Suite 240</t>
  </si>
  <si>
    <t>77056</t>
  </si>
  <si>
    <t>Founder &amp; Chairman</t>
  </si>
  <si>
    <t>Epochal Technologies</t>
  </si>
  <si>
    <t>133714-72P</t>
  </si>
  <si>
    <t>Robert Macinnis Ph.D</t>
  </si>
  <si>
    <t>Macinnis</t>
  </si>
  <si>
    <t>Dr. Robert Macinnis serves as Partner and Chief Technology Officer at Blue Bear Capital. He serves as Interim Chief Technology Officer at Transect. Rob oversees elements of due diligence and portfolio company management, with a particular focus on software development and commercialization. Also co-Founder and serves as CEO of AetherStore and AetherWorks since 2010, Rob has led the design and build-out of multiple software solutions. He holds several patents in the sector, and his present research activity spans fields from drones and augmented reality through to 'fog computing' and IoT. In tandem with ventures in location-based advertising and online gaming software, Rob completed his post-graduate research at the University of St Andrews and was awarded his PhD in 2010 for a thesis entitled "A Scalable Architecture for the Demand-driven Deployment of Location-neutral Software Services". Rob received a B.Sc. Honours (First Class) in Computer Science from the University of St Andrews in 2005. He serves as a member and treasurer of the board of trustees of the University of St Andrews American Foundation.</t>
  </si>
  <si>
    <t>robert@bluebearcap.com</t>
  </si>
  <si>
    <t>440655-22P</t>
  </si>
  <si>
    <t>Thomas Ferguson</t>
  </si>
  <si>
    <t>Ferguson</t>
  </si>
  <si>
    <t>Mr. Thomas Ferguson serves as Investor at Blue Bear Capital. Previously, he worked at Intel Capital as an associate on the seed stage venture platform for cloud infrastructure, AI/IT operations, and developer tools. Prior to Intel Capital, he worked in the business unit at Intel in multiple roles across business development, partnerships, and technical program management. Since 2021, he has been an active independent investor and leads the Jackson Hole-based angel group, Teton Angels, overseeing deal flow, underwriting, and syndication. He also developed startup incubation programming at Silicon Couloir, a nonprofit dedicated to bolstering the entrepreneurial ecosystem in the Mountain West. He graduated from UC Berkeley with degrees in Political Economy and Computer Science.</t>
  </si>
  <si>
    <t>160744-51P</t>
  </si>
  <si>
    <t>Timothy Kopra</t>
  </si>
  <si>
    <t>Kopra</t>
  </si>
  <si>
    <t>Advisor &amp; Partner</t>
  </si>
  <si>
    <t>Mr. Timothy Kopra is a Co-Founder and serves as Advisor and Partner at Blue Bear Capital. An engineer by training, since 1998 he has served in various leadership and operational roles at NASA including as Flight Engineer and Commander of the International Space Station. He has been responsible for numerous technology development, deployment, and operations programs including for Space Shuttle launch operations, Space Station hardware and communications systems, and spacewalk interface verification and testing. Prior to NASA, he served in the US Army for 25 years as an Army aviator. He deployed to Operations Desert Shield and Storm and then commanded an AH-64 Attack Helicopter Company. Following studies at Georgia Tech and completing the US Navy Test Pilot School, he served as the Developmental Test Director for the Army's Comanche Program until his assignment to NASA.</t>
  </si>
  <si>
    <t>+1 (917) 656-5665</t>
  </si>
  <si>
    <t>tim@bluebearcap.com</t>
  </si>
  <si>
    <t>200 Academy Drive</t>
  </si>
  <si>
    <t>78704</t>
  </si>
  <si>
    <t>MDA Space (Former)</t>
  </si>
  <si>
    <t>154405-27P</t>
  </si>
  <si>
    <t>Vaughn Blake</t>
  </si>
  <si>
    <t>Vaughn</t>
  </si>
  <si>
    <t>Blake</t>
  </si>
  <si>
    <t>Mr. Vaughn Blake serves as Partner at Blue Bear Capital. Mr. Blake serves as Board Member at Topanga.io. He was the Founder and Managing Director at Autochrome Ventures. He also serves as Board Member at First Resonance. He served as Venture Partner at NextGen Venture Partners. He served as Board Member at and Mira. He is specifically focused on themes and opportunities where policy and technology catalysts interconnect. He is a graduate of Colorado College. A strong proponent of diversity within the ranks of both high-growth technology companies and venture capital, he was one of the first limited partners in Backstage Capital and is a founding member of PledgeLA. He currently holds board positions at Emerge and Pactum Capital, and sits on the investment committee of Treehouse Macro Partners. He also serves as Board Member at Transect and Chargetrip.</t>
  </si>
  <si>
    <t>vaughn@bluebearcap.com</t>
  </si>
  <si>
    <t>132514-48P</t>
  </si>
  <si>
    <t>Alison Klein</t>
  </si>
  <si>
    <t>Blue Earth Capital</t>
  </si>
  <si>
    <t>Ms. Alison Klein serves as a Member of the Investment Committee at Blue Earth Capital. She focuses on Private Equity Partnerships. She served as Manager, Private Equity at Netherlands Development Finance Company. She is the managing director of Akmazo, an independent investment advisory firm dedicated to helping investors flourish through strategy formation, due diligence, firm-building, and investment selection. She is an experienced private equity investor with nearly 20 years of experience in funds and co-investments in both developed and emerging markets. For over 10 year,s she was part of the private equity team at FMO, the Dutch development finance institution, with exposure to generalist, renewable energy, and venture funds; financial institutions, forestry, and co-investments in multiple sectors in Africa and Latin America. She frequently served on the global PE screening IC and co-led both the global PE Funds team and the global Forestry team. Previously, she was part of the funds team at AlpInvest Partners, where she covered cleantech, venture, growth capital, and buyout funds in Western Europe and emerging markets; and earlier in her career, she managed to catch the peak of the internet bubble in Silicon Valley at late-stage venture firm Focus Ventures. She is a dual US and Dutch citizen. She has an MBA from INSEAD and an AB from Harvard College.</t>
  </si>
  <si>
    <t>+41 (0)41 768 8300</t>
  </si>
  <si>
    <t>Baar</t>
  </si>
  <si>
    <t>Baar, Switzerland</t>
  </si>
  <si>
    <t>Neuhofstrasse 4</t>
  </si>
  <si>
    <t>Baar-Zug</t>
  </si>
  <si>
    <t>6340</t>
  </si>
  <si>
    <t>Member of the Investment Committee</t>
  </si>
  <si>
    <t>31195-72P</t>
  </si>
  <si>
    <t>Amy Wang</t>
  </si>
  <si>
    <t>Ms. Amy Wang serves as Managing Director &amp; Head of Private Credit at Blue Earth Capital. She served as an associate at the Wharton Social Venture Fund, which is housed in the Wharton School of Business at the University of Pennsylvania. She joined the Wharton Social Venture Fund in October 2010. Before coming to Wharton, she worked as an Investment Associate at Centinela Capital Partners, a private equity funds-of-funds, focused on investing in domestic emerging managers. Prior to Centinela, she was an investment banking analyst in the public finance group at Citigroup. While at Citigroup, she focused on funding infrastructure and low-income housing projects. In addition, she has been involved with Wokai, a start-up online P2P microfinance institution focused on rural entrepreneurs in China, since late 2007. She was most recently the Vice President of the NY chapter. She holds an MBA from the Wharton School of Business from the University of Pennsylvania, an MA in International Affairs from the Lauder Institute from the University of Pennsylvania, and a Bachelor of Science from Carnegie Mellon University. She serves as Board Member at Pursuit.</t>
  </si>
  <si>
    <t>amy.wang@blueearth.capital</t>
  </si>
  <si>
    <t>Managing Director &amp; Head of Private Credit</t>
  </si>
  <si>
    <t>158663-17P</t>
  </si>
  <si>
    <t>Andreas Kirchschläger</t>
  </si>
  <si>
    <t>Kirchschläger</t>
  </si>
  <si>
    <t>Mr. Andreas Kirchschläger serves as Founding Partner &amp; Chief Executive Officer at elea Foundation. He served as Supervisory Board Member at Awamo. He also serves as a Member of the Board of Directors at Blue Earth Capital. He serves as president of the board of trustees of the Max Schmidheiny Foundation and as a member of the board of directors of Altium Capital AG and Pakka AG. Prior to joining elea, he was Managing Director and President of the St. Gallen Foundation for International Studies. He holds a Master's degree in Law and Economics from the University of St. Gallen.</t>
  </si>
  <si>
    <t>+41 (0)43 466 7744</t>
  </si>
  <si>
    <t>ak@elea.org</t>
  </si>
  <si>
    <t>Wiesenstrasse 7</t>
  </si>
  <si>
    <t>8008</t>
  </si>
  <si>
    <t>elea Foundation</t>
  </si>
  <si>
    <t>395430-94P</t>
  </si>
  <si>
    <t>Andreas Wohlhueter</t>
  </si>
  <si>
    <t>Wohlhueter</t>
  </si>
  <si>
    <t>Mr. Andreas Wohlhueter serves as Vice President, Private Credit at Blue Earth Capital. He joined Blue Earth Capital in 2024, bringing nearly a decade of experience in impact investing. Previously, he was with the International Finance Corporation (IFC), where he focused on direct and fund investments across climate and social impact themes, while also building and co-leading IFC's blue finance business globally. Prior to IFC, he worked with the Inter-American Development Bank, KfW, and Deutsche Bank in research, investment, and advisory roles. His work experience spans across Latin America, Asia, Africa, and Europe. He holds MSc and BSc degrees in International Economics from the Barcelona School of Economics and University of Tuebingen.</t>
  </si>
  <si>
    <t>andreas.wohlhueter@blueearth.capital</t>
  </si>
  <si>
    <t>Vice President, Private Credit</t>
  </si>
  <si>
    <t>320348-08P</t>
  </si>
  <si>
    <t>Angélique Wernli</t>
  </si>
  <si>
    <t>Angélique</t>
  </si>
  <si>
    <t>Wernli</t>
  </si>
  <si>
    <t>Ms. Angélique Wernli serves as Associate, Private Equity Partnerships at Blue Earth Capital. She joined Blue Earth in 2022 from Partners Group's Private Equity Integrated team where she worked on Co-Investments, as well as Secondary and Primary investments. Prior to that, she worked for 2.5 years as a management consultant in London and Copenhagen working on Public Sector projects. She holds a BA in International Affairs and a MA in Banking &amp; Finance from The University of St.Gallen (HSG), Switzerland.</t>
  </si>
  <si>
    <t>angelique.wernli@blueearth.capital</t>
  </si>
  <si>
    <t>Associate, Private Equity Partnerships</t>
  </si>
  <si>
    <t>276636-70P</t>
  </si>
  <si>
    <t>Antonia Chorschew</t>
  </si>
  <si>
    <t>Antonia</t>
  </si>
  <si>
    <t>Chorschew</t>
  </si>
  <si>
    <t>Ms. Antonia Chorschew serves as an Associate in fundraising &amp; Investor Relations at Blue Earth Capital. She joined Blue Earth Capital in December 2023. Previously, she worked at Ufenau Capital Partners AG, a private equity buyout fund, where she specialized in investor relations and ESG. Prior to that, she gained experience in structured product sales and marketing within the finance industry. She holds a Bachelor's degree in Banking and Finance from the Zurich University of Applied Sciences.</t>
  </si>
  <si>
    <t>antonia.chorschew@blueearth.capital</t>
  </si>
  <si>
    <t>Associate, Fundraising &amp; Investor Relations</t>
  </si>
  <si>
    <t>277806-52P</t>
  </si>
  <si>
    <t>Benjamin Hogan</t>
  </si>
  <si>
    <t>Mr. Benjamin Hogan serves as Director, Private Equity at Blue Earth Capital. He serves as Board Observer at Sense (Electronics (B2C)). He has been active in zero-carbon transition investments for over a decade across both private and public markets. He led investments on behalf of Blue Earth and sits on the board of TS Conductor, AMP, Sense, CarbonCure, and SWTCH. Before joining Blue Earth Capital, he was a Director at Inherent Group, led energy investing at Orange Capital, and was a Principal at Asset Management Finance, a growth equity subsidiary of Credit Suisse. He received a BSc in Economics from Duke University and an MSc in Sustainability Science from Columbia University.</t>
  </si>
  <si>
    <t>+1 (212) 908-2600</t>
  </si>
  <si>
    <t>benjamin.hogan@blueearth.capital</t>
  </si>
  <si>
    <t>600 Fifth Avenue</t>
  </si>
  <si>
    <t>10020</t>
  </si>
  <si>
    <t>455491-54P</t>
  </si>
  <si>
    <t>Blythe Burkhart</t>
  </si>
  <si>
    <t>Blythe</t>
  </si>
  <si>
    <t>Burkhart</t>
  </si>
  <si>
    <t>Ms. Blythe Burkhart serves as Analyst, Private Equity at Blue Earth Capital. She joined Blue Earth in 2024. She previously worked at Goldman Sachs in the Private Equity investment team for two years, investing across sectors, including impact. She holds a degree in Modern &amp; Medieval Languages from Cambridge.</t>
  </si>
  <si>
    <t>blythe.burkhart@blueearth.capital</t>
  </si>
  <si>
    <t>Analyst, Private Equity</t>
  </si>
  <si>
    <t>297624-61P</t>
  </si>
  <si>
    <t>Celia Wong</t>
  </si>
  <si>
    <t>Ms. Celia Wong serves as Managing Director at Kiva Capital Management. She also serves as a Member of the Investment Committee at Blue Earth Capital, where she focuses on Private Credit. She brings over 20 years of market experience in raising, structuring and managing capital from US and European institutional and private investors. She was most recently the head of Kiva Capital, the asset management unit of the impact crowdfunding platform Kiva. During her time at Kiva, she has led new initiatives, including the development of gender equity investment strategies with the support of USAID. Prior to Kiva, she served as a principal portfolio manager of the Deutsche Bank/DWS Sustainable Investments funds, and oversaw the fund formation and investment portfolios in microfinance institutions, financial services companies and social enterprises across developing countries. In addition to impact investments, her financial market experiences included emerging markets credit trading, structured credits, and fixed income and credit portfolio management in both public and private markets at Shinsei Bank and Credit Suisse. She graduated from the University of British Columbia with a bachelor's degree in Civil Engineering and holds an M.Eng from Cornell University. She is a CFA charter holder.</t>
  </si>
  <si>
    <t>+1 (828) 479-5482</t>
  </si>
  <si>
    <t>986 Mission Street</t>
  </si>
  <si>
    <t>Kiva Capital Management</t>
  </si>
  <si>
    <t>248312-89P</t>
  </si>
  <si>
    <t>Charles Feutray</t>
  </si>
  <si>
    <t>Feutray</t>
  </si>
  <si>
    <t>Mr. Charles Feutray serves as Vice President, Private Credit at Blue Earth Capital. Previously, he was a Senior Portfolio Associate at the Global Development Incubator (GDI) in New York, where he supported the creation and scale-up of social enterprises and non-profits in emerging countries. Prior to GDI, he was a Senior M&amp;A Analyst at Solocal in Paris, where he conducted direct equity investments in digital companies. He has worked across Latin America, Africa, Asia and Europe, in sectors that include healthcare, clean cooking, and anti-modern slavery. A French-American national, he holds an MBA from INSEAD and a Bachelor of Business Administration from HEC Montreal.</t>
  </si>
  <si>
    <t>charles.feutray@blueearth.capital</t>
  </si>
  <si>
    <t>320343-85P</t>
  </si>
  <si>
    <t>Christiane Tan</t>
  </si>
  <si>
    <t>Christiane</t>
  </si>
  <si>
    <t>Ms. Christiane Tan serves as an Analyst, Private Equity at Blue Earth Capital. She joined Blue Earth Capital in 2022 and has over 3 years of experience in private equity. Prior to joining Blue Earth Capital, she was a member of the growth equity investment team at Pollination, a specialist climate change investment and advisory firm. She had also previously spent 2 years at Temasek International within the Industrials investment team, where she evaluated public and private equity investments globally. She holds a Bachelor of Arts (Hons) in Land Economy from the University of Cambridge.</t>
  </si>
  <si>
    <t>christiane.tan@blueearth.capital</t>
  </si>
  <si>
    <t>Associate, Private Equity</t>
  </si>
  <si>
    <t>203009-05P</t>
  </si>
  <si>
    <t>Clara Sanchez</t>
  </si>
  <si>
    <t>Ms. Clara Sanchez serves as Director, Private Credit at Blue Earth Capital. Prior to joining PG Impact Investments, she worked on the Sustainable Investments team at Deutsche Asset Management, where she was primarily responsible for managing private debt transactions in Latin America. She has deal experience across financial services, healthcare, fintech, and education. Previously, she also worked at the European Bank of Reconstruction and Development and at HSBC's Private Bank in various investment research and advisory roles. She is a CFA charter holder and holds a BA in Economics from the University of Pennsylvania and an MPA from the London School of Economics.</t>
  </si>
  <si>
    <t>clara.sanchez@pg-impact.com</t>
  </si>
  <si>
    <t>Director, Private Credit</t>
  </si>
  <si>
    <t>104256-19P</t>
  </si>
  <si>
    <t>Claude Kamga</t>
  </si>
  <si>
    <t>Claude</t>
  </si>
  <si>
    <t>Kamga</t>
  </si>
  <si>
    <t>Mr. Claude Kamga serves as Director / Private Equity at Blue Earth Capital. Mr. Kamga served as Director at Wendel Group. He served as an Investment Professional at Kohlberg Kravis Roberts. Mr. Kamga joined Wendel in 2016. He was previously an investment professional with KKR &amp; Co. in London, where for three years he was involved in a number of private equity, special situations, and public markets transactions, in both Europe and Africa. He began his career in 2006 as an investment banker with Credit Suisse First Boston in London, where he advised corporations and financial sponsors on mergers, acquisitions, divestitures, takeover defenses, and restructurings. He holds a BCom in Economics &amp; Finance from McGill University (First Class, Joint Honors) and an MBA from Harvard Business School. He also served as Board Member at Tsebo Solutions Group.</t>
  </si>
  <si>
    <t>447867606258</t>
  </si>
  <si>
    <t>claude.kamga@blueearth.capital</t>
  </si>
  <si>
    <t>320344-66P</t>
  </si>
  <si>
    <t>Constantin Wedekind</t>
  </si>
  <si>
    <t>Constantin</t>
  </si>
  <si>
    <t>Wedekind</t>
  </si>
  <si>
    <t>Mr. Constantin Wedekind serves as Associate, Private Equity at Blue Earth Capital. He joined Blue Earth in March 2022. Previously, he was an investment banker in the Energy and Infrastructure M&amp;A team at Nomura Greentech in London, a global investment bank with a focus on the energy transition. He was the financial modeler and valuer on a range of billion-dollar mandates spanning energy infrastructure in Europe, renewable power generation assets in emerging markets, and technology companies driving the circular economy. Prior to investment banking, he worked at the Africa-focused PE fund Emerging Capital Partners (ECP) in Paris and was a strategy consultant in the digital infrastructure team of EY-Parthenon in Boston, where he conducted commercial due diligence for large PE clients. He holds a Bachelor's degree in Physics from Brown University and a Master's degree in Economics and Finance from HEC Paris.</t>
  </si>
  <si>
    <t>constantin.wedekind@blueearth.capital</t>
  </si>
  <si>
    <t>395435-98P</t>
  </si>
  <si>
    <t>Cordelia Peters</t>
  </si>
  <si>
    <t>Cordelia</t>
  </si>
  <si>
    <t>Peters</t>
  </si>
  <si>
    <t>Ms. Cordelia Peters serves as Associate, Private Equity at Blue Earth Capital. She joined Blue Earth Capital in 2023 and has 4 years of industry experience. Prior to joining Blue Earth Capital, she held positions at Goldman Sachs in both Investment Banking and the Executive Office. Most recently, she worked as an Associate in Goldman's Sustainable Finance Group, which is responsible for partnering with the firm's businesses to drive sustainability-related commercial activity for the firm and its clients. She also helped support the firm's leadership on climate change, including by advancing the firm's thought leadership, policy positions, business practices, and external engagement efforts on climate. Prior to that, she spent two years in Investment Banking, where she advised companies on M&amp;A and capital markets transactions, with a focus on real estate, lodging, gaming, and real estate technology. She holds a B.S. in Business Administration from Washington &amp; Lee University, where she graduated summa cum laude and Phi Beta Kappa. She was a member of the Varsity women's lacrosse team and a two-time Academic All-American.</t>
  </si>
  <si>
    <t>cordelia.peters@blueearth.capital</t>
  </si>
  <si>
    <t>373207-51P</t>
  </si>
  <si>
    <t>Daniel Perroud</t>
  </si>
  <si>
    <t>Perroud</t>
  </si>
  <si>
    <t>Mr. Daniel Perroud serves as Managing Director (Head of Fundraising &amp; Investor Relations) at Blue Earth Capital. HE joined Blue Earth Capital in 2023 as Head of Fundraising &amp; Investor Relations. He has over 20 years of in-depth industry knowledge and extensive experience in business development. He joined from BlueOrchard, where he worked for 5 years as Global Head of Business Development and a member of the Executive Management. Before that, he served in leadership roles at Harcourt Investment Consulting, Franklin Templeton, and Muzinich &amp; Co. His educational background includes a Master in Laws from the University of Fribourg, and he also completed the INSEAD Executive Program in Finance.</t>
  </si>
  <si>
    <t>daniel.perroud@blueearth.capital</t>
  </si>
  <si>
    <t>Managing Director and Head of Fundraising &amp; Investor Relations</t>
  </si>
  <si>
    <t>455518-45P</t>
  </si>
  <si>
    <t>Daniel Tjemkes</t>
  </si>
  <si>
    <t>Tjemkes</t>
  </si>
  <si>
    <t>Mr. Daniel Tjemkes serves as Head of Portfolio Management Advice at Blue Earth Capital. He joined Blue Earth in 2024. Prior to joining Blue Earth Capital, he worked as a Portfolio Manager for Partners Group, focusing on Swiss SMAs, closed-ended products, and evergreens in private markets. Before joining Partners Group, he worked for ASR Asset Management as a junior portfolio manager focused on public markets as well as a private market fund selection analyst. He holds a Master of Science in Financial Economics and a Bachelor of Science in Economics &amp; Business Economics from Maastricht University. He also holds the professional designation of Chartered Alternative Investment Analyst (CAIA).</t>
  </si>
  <si>
    <t>daniel.tjemkes@blueearth.capital</t>
  </si>
  <si>
    <t>Head of Portfolio Management Advice</t>
  </si>
  <si>
    <t>58559-05P</t>
  </si>
  <si>
    <t>David Keel</t>
  </si>
  <si>
    <t>Keel</t>
  </si>
  <si>
    <t>Mr. David Keel serves as Managing Director (DACH Region) at Blue Earth Capital. He joined Blue Earth Capital in 2020 and has over 20 years of industry experience. Prior to joining Blue Earth Capital he was Head of Business Development and a Member of the Executive Management at BlueOrchard, a leading microfinance manager. Prior to that, he worked for several large asset managers including BlueBay, Lyxor and Barclays Capital as Head of Sales Switzerland. From 2002 - 2011, he worked for Zurich based fund of hedge funds and commodity specialist Harcourt where he acted as Managing Partner and Head of Business Development. He has started his career in financial markets at Merrill Lynch in Zurich. He is both a CFA and CAIA Chartholder, and holds a master's degree in Law from the University of Fribourg (1997), Switzerland.</t>
  </si>
  <si>
    <t>david.keel@blueearth.capital</t>
  </si>
  <si>
    <t>Managing Director (DACH Region)</t>
  </si>
  <si>
    <t>320340-34P</t>
  </si>
  <si>
    <t>David Moore</t>
  </si>
  <si>
    <t>Moore</t>
  </si>
  <si>
    <t>Mr. David Moore serves as Director, Private Equity Partnerships at Blue Earth Capital. He joined Blue Earth Capital in 2022 and has 14 years of industry experience. Prior to joining Blue Earth Capital, he was Head of Alternative Investments at Alexander Forbes Investments where he lead the development of Private Market programmes which invested across Infrastructure, Private Debt, Direct Property and Private Equity. Previously, he was at FMO - Dutch Entrepreneurial Development Bank (sustainable private sector investment in emerging markets), Standard Bank (corporate and investment banking) and RisCura (unlisted asset valuation and advisory). He holds a M.Bus.Sc (Finance), M.Com (Financial Management) and B.Bus.Sc (Finance) from the University of Cape Town.</t>
  </si>
  <si>
    <t>david.moore@blueearth.capital</t>
  </si>
  <si>
    <t>Director, Private Equity Partnerships</t>
  </si>
  <si>
    <t>248313-70P</t>
  </si>
  <si>
    <t>Espen Haugen</t>
  </si>
  <si>
    <t>Espen</t>
  </si>
  <si>
    <t>Haugen</t>
  </si>
  <si>
    <t>Mr. Espen Haugen serves as Vice President / Private Equity at Blue Earth Capital. Espen Haugen joined Blue Earth Capital in 2020 and has over 6 years of industry experience. Before joining Blue Earth Capital, Espen spent 2 years as an Associate with Partners Group working across their Real Estate and Private Equity teams. He also spent 4 years working on M&amp;A transactions for commercial real estate covering the Nordics for a boutique advisory firm. He holds an MBA from the University of St. Gallen, Switzerland, and a Bachelor's degree in Business and Economics from BI Norwegian Business School.</t>
  </si>
  <si>
    <t>espenugland.haugen@blueearth.capital</t>
  </si>
  <si>
    <t>Vice President, Private Equity</t>
  </si>
  <si>
    <t>374666-68P</t>
  </si>
  <si>
    <t>Fabian Hess</t>
  </si>
  <si>
    <t>Fabian</t>
  </si>
  <si>
    <t>Hess</t>
  </si>
  <si>
    <t>Mr. Fabian Hess serves as Vice President, Fundraising &amp; Investor Relations at Blue Earth Capital. He joined Blue Earth Capital in November 2022. Previously, he worked as a Business Developer in the Strategy &amp; Initiatives area within the Swiss division of Credit Suisse, where he contributed to strategy development and execution. Before that, he gained experience in various positions in the fields of asset management, financial controlling, financial advisory, and the solar industry. He holds a Master's degree in Accounting &amp; Finance from the University of St. Gallen (HSG) as well as a federal diploma in commerce from an apprenticeship with UBS earlier in his career.</t>
  </si>
  <si>
    <t>+41 (0)41 784 6000</t>
  </si>
  <si>
    <t>fabian.hess@blueearth.capital</t>
  </si>
  <si>
    <t>Vice President, Fundraising &amp; Investor Relations</t>
  </si>
  <si>
    <t>395436-88P</t>
  </si>
  <si>
    <t>Fabio De Pascale</t>
  </si>
  <si>
    <t>De Pascale</t>
  </si>
  <si>
    <t>Mr. Fabio De Pascale serves as an Analyst of private Equity Partnerships at Blue Earth Capital. He joined Blue Earth in March 2023. Previously, he was part of the Private Equity team at Edmond de Rothschild, focusing on impact-driven investments across multiple strategies. He also had significant experience in investment banking at BNP Paribas and direct infrastructure investing at Green Arrow Capital, where he focused on renewable energies. He holds a Bachelor's degree in Economics &amp; Management from LUISS University and a Master's degree in Management from ESCP Business School.</t>
  </si>
  <si>
    <t>fabio.depascale@blueearth.capital</t>
  </si>
  <si>
    <t>395438-59P</t>
  </si>
  <si>
    <t>Florence Perramond</t>
  </si>
  <si>
    <t>Florence</t>
  </si>
  <si>
    <t>Perramond</t>
  </si>
  <si>
    <t>Ms. Florence Perramond serves as Analyst, Fundraising &amp; Investor Relations at Blue Earth Capital. She joined Blue Earth Capital in November 2023. Previously, she worked as Sustainability Associate at PlanetFirst Partners, a London-based growth equity fund, where she contributed to the sustainability, technical and commercial due diligence processes, as well as enlarging the ecosystem of funds and potential co-investors throughout Europe. Shealso gained experience working closely with the Founders of start-ups in France and Switzerland.</t>
  </si>
  <si>
    <t>florence.perramond@blueearth.capital</t>
  </si>
  <si>
    <t>Analyst, Fundraising &amp; Investor Relations</t>
  </si>
  <si>
    <t>62958-16P</t>
  </si>
  <si>
    <t>Imar Nandha</t>
  </si>
  <si>
    <t>Imar</t>
  </si>
  <si>
    <t>Nandha</t>
  </si>
  <si>
    <t>Mr. Imar Nandha serves as Director, Private Credit at Blue Earth Capital. He served as an Associate Director at the Bank of London and The Middle East. He serves as Investment Manager at Puma Investments. Prior to joining Blue Earth Capital, he worked as a Senior Investment Officer at BlueOrchard Finance, providing private debt to microfinance institutions and fintech platforms in South and South East Asia. Previously he has also worked at Silicon Valley Bank, Puma Private Equity, Bank of London and the Middle East, and KPMG. He is an ACA chartered accountant and holds a BSc in Chemistry with Management from the University of Warwick.</t>
  </si>
  <si>
    <t>imar.nandha@blueearth.capital</t>
  </si>
  <si>
    <t>203313-16P</t>
  </si>
  <si>
    <t>Ines Rocha</t>
  </si>
  <si>
    <t>Ines</t>
  </si>
  <si>
    <t>Rocha</t>
  </si>
  <si>
    <t>Ms. Ines Rocha serves as Vice President, Private Equity at Blue Earth Capital. She joined Blue Earth Capital in 2023 and has 8 years of industry experience. She previously held the position of Investment Manager at Norrsken VC, a leading European impact fund, where she invested in climate intelligence, energy transition, and healthcare companies. Prior to her time at Norrsken VC, she served as a private equity Associate at Hellman &amp; Friedman, concentrating primarily on software businesses. She began her career with Bain &amp; Company in Madrid, working as a member of their Private Equity Group. She holds a BSc. in Economics from the University of Porto.</t>
  </si>
  <si>
    <t>ines.amorimrocha@blueearth.capital</t>
  </si>
  <si>
    <t>423841-42P</t>
  </si>
  <si>
    <t>Irina Pereira</t>
  </si>
  <si>
    <t>Irina</t>
  </si>
  <si>
    <t>Pereira</t>
  </si>
  <si>
    <t>Ms. Irina Pereira serves as Analyst, Private Equity Partnerships at Blue Earth Capital. She serves as an Analyst at Evoco. She is involved across the investment cycle of our portfolio companies (origination, deal execution, and portfolio management). Prior to joining, she gained experience in the finance industry at Bank of America and The SMC Group, an independent advisory house. She conducted financial analyses on various companies with a focus on value investing and M&amp;A processes. She graduated from Nova School of Economics in Portugal with a BSc. in Management, with a semester abroad at Queen's University in Canada. She also holds a Double MSc. Degree in Finance from Nova School of Economics and Bocconi University, Italy.</t>
  </si>
  <si>
    <t>pereira@evocope.com</t>
  </si>
  <si>
    <t>Analyst, Private Equity Partnerships</t>
  </si>
  <si>
    <t>455492-62P</t>
  </si>
  <si>
    <t>Isabella Chan</t>
  </si>
  <si>
    <t>Ms. Isabella Chan serves as Analyst, Private Equity at Blue Earth Capital. She joined Blue Earth Capital in 2024. Prior to joining Blue Earth Capital, she was an investment banker at Bank of America, where she advised companies on M&amp;A and capital markets transactions, with a focus on asset management and specialty finance. She holds a Bachelor of Science in Applied Mathematics-Economics from Brown University.</t>
  </si>
  <si>
    <t>isabella.chan@blueearth.capital</t>
  </si>
  <si>
    <t>64916-11P</t>
  </si>
  <si>
    <t>Kayode Akinola</t>
  </si>
  <si>
    <t>Kayode</t>
  </si>
  <si>
    <t>Akinola</t>
  </si>
  <si>
    <t>Mr. Kayode Akinola serves as Managing Director Head of Private Equity at Blue Earth Capital. He serves as Board Member at CarbonCure. He also serves as Board Member at SWTCH. He serves as a Board Director at Sense. He served as Managing Partner at Arkana Partners. He served as Director, Private Equity at Kohlberg Kravis Roberts. He joined KKR in 2013 to lead and develop the Firm's African efforts. Prior to joining KKR, he was a Partner with Helios Investment Partners LLP, an Africa-focused private equity firm he joined from inception and where he worked extensively across Africa, concluding start-up, growth, and buy-out transactions. Before focusing on Africa he was an Investment Executive at Investcorp concluding European private equity investments and also worked in the Acquisition Finance Division of Deutsche Bank in London arranging to finance for private equity transactions across Europe. He holds an LLB (Hons) in Law from the University College London.</t>
  </si>
  <si>
    <t>kayode.akinola@pg-impact.com</t>
  </si>
  <si>
    <t>Managing Director and Head of Private Equity</t>
  </si>
  <si>
    <t>320345-29P</t>
  </si>
  <si>
    <t>Lien Vo</t>
  </si>
  <si>
    <t>Lien</t>
  </si>
  <si>
    <t>Vo</t>
  </si>
  <si>
    <t>Ms. Lien Vo serves as Vice President, Private Credit at Blue Earth Capital. She joined Blue Earth Capital in 2022. The bulk of her prior experience was in Leveraged Finance at RBS, where she worked predominantly on structuring and executing LBO financings in the European Leveraged Loan and High Yield Bond markets in support of Private Equity Sponsors. Directly before joining Blue Earth, she was a Senior Associate on Pantheon's Private Debt team focusing on secondary investments into European Private Debt funds. She holds a BSc in Economics &amp; Politics from The University of Warwick.</t>
  </si>
  <si>
    <t>lien.vo@blueearth.capital</t>
  </si>
  <si>
    <t>320347-36P</t>
  </si>
  <si>
    <t>Luvina Yao</t>
  </si>
  <si>
    <t>Luvina</t>
  </si>
  <si>
    <t>Ms. Luvina Yao serves as Associate, Private Credit at Blue Earth Capital. She joined Blue Earth Capital in 2022. Prior to joining Blue Earth Capital, she had six years of experience working in the corporate banking division at Citi and Mizuho in Hong Kong, responsible for the banking needs of large multinational companies. She holds an MBA Degree from Cambridge Judge Business School and a Bachelor's Degree in Economics and Finance from The University of Hong Kong.</t>
  </si>
  <si>
    <t>luvina.yao@blueearth.capital</t>
  </si>
  <si>
    <t>Associate, Private Credit</t>
  </si>
  <si>
    <t>320339-17P</t>
  </si>
  <si>
    <t>Marc Williams</t>
  </si>
  <si>
    <t>Mr. Marc Williams serves as Principal, Impact &amp; ESG at Blue Earth Capital. He joined Blue Earth Capital in 2021 and has over 10 years of experience working as an ESG and impact specialist. Prior to joining Blue Earth Capital, he spent 10 years at ERM, the largest global sustainability consultancy, where he developed and implemented ESG and impact frameworks for many of the world's leading private equity, infrastructure, and impact investors, working closely with GPs and their portfolio companies to enhance their ESG impact and performance. Prior to ERM, he had a role working on climate change and development at the Institute of Development Studies. He started his career at KPMG, where he became an ACA-qualified accountant. He holds an MSc (Distinction) in Environmental Technology from Imperial College and a BSc (First Class) in Chemistry from the University of Leeds.</t>
  </si>
  <si>
    <t>marc.williams@blueearth.capital</t>
  </si>
  <si>
    <t>Principal, Impact &amp; ESG</t>
  </si>
  <si>
    <t>455517-37P</t>
  </si>
  <si>
    <t>Mark Rowe</t>
  </si>
  <si>
    <t>Rowe</t>
  </si>
  <si>
    <t>Mr. Mark Rowe serves as Chief Operating Officer at Blue Earth Capital. He is a seasoned consultant in the private equity sector with extensive expertise in financial accounting and administration for alternative investments. With over 22 years at Partners Group, including 13 years as a Partner, he has held key leadership roles such as Head of the Guernsey office, and overseeing Product Accounting and Investment Operations. A Fellow of the Association of Chartered Certified Accountants, Mr. Rowe also serves as a Director for several Partners Group-related entities and as an Advisory Partner for the firm.</t>
  </si>
  <si>
    <t>mark.rowe@blueearth.capital</t>
  </si>
  <si>
    <t>150443-29P</t>
  </si>
  <si>
    <t>Marko Roder</t>
  </si>
  <si>
    <t>Marko</t>
  </si>
  <si>
    <t>Roder</t>
  </si>
  <si>
    <t>Mr. Marko Roder serves as Chief Executive Officer at Blue Earth Capital. He is the Head of Investment and Finance Solutions at the Ursimone Wietlisbach Foundation. He was previously Head of Asset Management and a member of the Executive Board at Vontobel. During his 17 years at Vontobel, he significantly expanded the area of sustainable and impact investments. He is convinced that entrepreneurial action must be harmonized with a positive impact on the environment and society. As an expert in cultural and talent development, his focus at the Ursimone Wietlisbach Foundation is on implementing innovative commitments in the field of education to sustainably support talented young people on their way into professional life. He earned his Master's in Economics from Technische Universität Berlin.</t>
  </si>
  <si>
    <t>395438-41P</t>
  </si>
  <si>
    <t>Matthias Daum</t>
  </si>
  <si>
    <t>Matthias</t>
  </si>
  <si>
    <t>Daum</t>
  </si>
  <si>
    <t>Mr. Matthias Daum serves as Analyst, Fundraising &amp; Investor Relations at Blue Earth Capital. He joined Blue Earth Capital in September 2022. Previously, he worked at S8nations, a Zurich-based NGO, managing the launch of an investment product, and at Fronteris Group, where he helped build a company in the Gambia. He has also worked in asset management, renewable energy, audit, and real estate at several German SMEs.
Next to his Master in Banking &amp; Finance at the University of St. Gallen (HSG), he obtained the Certificate Managing Climate Solutions (MaCS-HSG), reflecting his passion for climate action.</t>
  </si>
  <si>
    <t>matthias.daum@blueearth.capital</t>
  </si>
  <si>
    <t>51488-47P</t>
  </si>
  <si>
    <t>Melissa Cheong</t>
  </si>
  <si>
    <t>Cheong</t>
  </si>
  <si>
    <t>Ms. Melissa Cheong serves as Managing Partner at Blackhorn Ventures. She serves as a Board Member at Briq &amp; Optera. She served as a Board Member at Locomotion. She serves as a member of the Investment Committee, and she is a private equity partner at Blue Earth Capital. She served as an Advisor at Electriphi. She served as Chief Investment Officer at Zoma Capital. She serves as Chief Investment Officer at Treehouse Investments. She serves as a Board Member at Locomotion. Most recently, she was the Chief Investment Officer at ZOMA Capital, the private family office of Ben and Lucy Ana Walton, where she oversaw the management of the family's various investment activities, employing a fully values-aligned investment strategy. She serves on the Finance &amp; Investment Committee at the Innovators Society. She also serves as a Trustee and Investment Committee Member at Bonfils Stanton Foundation. She serves as a Board Member at the Colorado Gives Foundation. She serves as Board Observer at Fero Labs. She served as a Board Member at Agorus. She has also worked in various finance and investment roles with organizations such as Treehouse Investments, Imprint Capital, Plainfield Asset Management, Metzler Bank, and Deutsche Bank. As a Managing Director at Imprint Capital, she was a member of the management team and was responsible for overseeing and managing the firm's direct investment and private credit platforms. In this role, she worked with a broad range of family offices, foundations, and financial institutions to build customized mission-aligned social impact investment portfolios. Currently, she also serves as a member of the Investment Committee for Partners Group Impact Investments. She has served as a director on the boards of Shasta Renewable Resources Group, RPM Events, and Techtonic Group. She also serves on the board of Agora Partnerships, a non-profit organization that works with entrepreneurs to build businesses focused on solving deep social and environmental challenges in emerging markets. She has been featured by Trusted Insight in 2017 and 2018 as one of the "Top 30 Family Office Chief Investment Officers" and is a frequent speaker and presenter at events and conferences on social and environmental impact investing issues, as well as on topics related to various family office structures and corresponding approaches to investing. She holds a BA in Political Science from the University of Chicago, where she was a recipient of the Richter Grant. She received an MBA from Columbia Business School, with a concentration in Finance and International Development.</t>
  </si>
  <si>
    <t>+1 (720) 598-2951</t>
  </si>
  <si>
    <t>melissa@blackhornvc.com</t>
  </si>
  <si>
    <t>44 Cook Street</t>
  </si>
  <si>
    <t>Suite 110</t>
  </si>
  <si>
    <t>80206</t>
  </si>
  <si>
    <t>Blackhorn Ventures</t>
  </si>
  <si>
    <t>13779-91P</t>
  </si>
  <si>
    <t>Michael Barben</t>
  </si>
  <si>
    <t>Barben</t>
  </si>
  <si>
    <t>Mr. Michael Barben is the Owner of Variant Perception Ventures. Mr. Michael Barben serves as Operating Partner at Partners Group. He served as Chairman at Cleveron. He also serves as a Member of the Investment Committee, Private Equity at Blue Earth Capital. He supports the development of Partners Group's Private Infrastructure business. He is a member of the Board of Directors of the firm's portfolio companies, Fermaca, VSB Renewables, and Techem. Previously, he served as Co-Head of the Private Infrastructure business department and Chairman of the Private Infrastructure Investment Committee. He has been with Partners Group since 2000 and has 28 years of industry experience. Before joining Partners Group, he worked at Zurmont Management and SBC Warburg. He holds a master's degree in economics from the University of St. Gallen (HSG), Switzerland. He is also a CFA charterholder, a certified Swiss stock trader, and holds the Financial Risk Manager designation.</t>
  </si>
  <si>
    <t>+41 (0)79 535 4379</t>
  </si>
  <si>
    <t>michael.barben@vpv-partners.ch</t>
  </si>
  <si>
    <t>Langenthal</t>
  </si>
  <si>
    <t>Langenthal, Switzerland</t>
  </si>
  <si>
    <t>Schutzenstrasse 28</t>
  </si>
  <si>
    <t>4900</t>
  </si>
  <si>
    <t>Variant Perception Ventures</t>
  </si>
  <si>
    <t>248313-25P</t>
  </si>
  <si>
    <t>Nadya Menshikova</t>
  </si>
  <si>
    <t>Nadya</t>
  </si>
  <si>
    <t>Menshikova</t>
  </si>
  <si>
    <t>Ms. Nadya Menshikova serves as Vice President, Private Credit at Blue Earth Capital. She joined Blue Earth Capital in 2018. Previously, she was an Associate in the investment banking division at Goldman Sachs in London, where she worked across M&amp;A and capital markets transactions in the EMEA financial institutions space. Prior to that, she did several internships in impact investing and asset management in South-East Asia. She has experience with the non-profit sector having volunteered with NGOs in Vietnam and Thailand and working as an external consultant for ActionAid International. She holds an MSc in Development Management and Anthropology and a BSc in Management from the London School of Economics.</t>
  </si>
  <si>
    <t>nadya.menshikova@blueearth.capital</t>
  </si>
  <si>
    <t>196422-13P</t>
  </si>
  <si>
    <t>Nicolas Muller</t>
  </si>
  <si>
    <t>Muller</t>
  </si>
  <si>
    <t>Mr. Nicolas Muller serves as Managing Director and Head of Private Equity Partnerships at Blue Earth Capital. He served as Investment Manager at Obviam. He served as Vice President of Primaries at Capital Dynamics. Prior to joining Capital Dynamics, he was a private equity analyst at the Caisse des Dépôts et Consignations in Paris, where he focused on due diligence and monitoring. He holds a master's degree in Asset Management from the INSEEC Group, Paris, and a master's degree in Corporate Finance from the École de Commerce européenne (ECE), Lyon. He holds the professional designation of Chartered Alternative Investment Analyst (CAIA).</t>
  </si>
  <si>
    <t>+41 (0)31 310 0930</t>
  </si>
  <si>
    <t>nicolas.muller@blueearth.capital</t>
  </si>
  <si>
    <t>Managing Director and Head of Private Equity Partnerships</t>
  </si>
  <si>
    <t>395434-09P</t>
  </si>
  <si>
    <t>Rita Nguyen</t>
  </si>
  <si>
    <t>Ms. Rita Nguyen serves as Vice President, Private Equity Partnerships at Blue Earth Capital. She joined Blue Earth Capital in 2024 and has 5 years of industry experience. Prior to joining Blue Earth Capital, she was an Investment Manager at PGGM, an asset manager of the Dutch pension fund of the healthcare sector, where she worked on fund and co-investments mainly in Europe and Asia across different sectors. Rita holds an MSc in Finance and Investments Advanced and a BSc in International Business Administration from Rotterdam School of Management, Erasmus University.</t>
  </si>
  <si>
    <t>rita.nguyen@blueearth.capital</t>
  </si>
  <si>
    <t>Vice President, Private Equity Partnerships</t>
  </si>
  <si>
    <t>185714-47P</t>
  </si>
  <si>
    <t>Rohan Ghose</t>
  </si>
  <si>
    <t>Ghose</t>
  </si>
  <si>
    <t>Mr. Rohan Ghose serves as Director, Private Equity Partnerships at Blue Earth Capital. He served as Associate Director at Enclude. He joined PG Impact Investments in 2020 and has 14 years of industry experience. Prior to joining PG Impact Investments, he was a Director at Palladium Impact Capital, an impact investment bank. Previously, he was at LetterOne Technology (growth equity and VC investing), KPMG (deal advisory), and Analysys Mason (strategy consulting). He holds a BSc in Economics from the London School of Economics and completed the Social Finance Programme at Saïd Business School, University of Oxford.</t>
  </si>
  <si>
    <t>+44 (0)20 7636 4352</t>
  </si>
  <si>
    <t>rohan.ghose@pg-impact.com</t>
  </si>
  <si>
    <t>135133-39P</t>
  </si>
  <si>
    <t>Scott Essex</t>
  </si>
  <si>
    <t>Essex</t>
  </si>
  <si>
    <t>Mr. Scott Essex serves as Board Member at The Teagle Foundation. Mr. Essex serves as Partner &amp; Head of Private Debt Americas at Partners Group Private Equity Performance Holding. He served as an Advisory Partner at Partners Group. He also serves as a Member of the Investment Committee at Blue Earth Capital. He focuses on Private Credit. He also sits on the Board of Directors of the firm's portfolio companies, CapitalSpring Finance Company, Diversified Maintenance Systems, and Partners Group US Management CLO LLC. He has been with Partners Group since 2007 and has 20 years of industry experience. Prior to joining Partners Group, he worked at GE Capital in the Media, Communications, and Entertainment finance division. Prior to that, he worked at Lazard Ltd in the corporate finance department in London. He holds an MBA with distinction from Georgetown University's McDonough School of Business, Washington, D.C., USA, and a B.S. in Business Administration from the University of Vermont, USA.</t>
  </si>
  <si>
    <t>+1 (212) 373-1972</t>
  </si>
  <si>
    <t>570 Lexington Avenue</t>
  </si>
  <si>
    <t>38th Floor</t>
  </si>
  <si>
    <t>+1 (212) 123-4567</t>
  </si>
  <si>
    <t>The Teagle Foundation</t>
  </si>
  <si>
    <t>455523-76P</t>
  </si>
  <si>
    <t>Sophia Xu</t>
  </si>
  <si>
    <t>Ms. Sophia Xu serves as Investment Operations Manager at Blue Earth Capital. She joined Blue Earth Capital in 2022 and has over three years of experience in the social impact sector. Prior to joining Blue Earth Capital, her work at nonprofit organizations focused on education and child development in underserved communities in the United States, Hong Kong and mainland China. She holds a master's degree in Psychology from the University of Hong Kong and a bachelor's degree in Biology from Yale University.</t>
  </si>
  <si>
    <t>sophia.xu@blueearth.capital</t>
  </si>
  <si>
    <t>Investment Operations Manager</t>
  </si>
  <si>
    <t>395435-44P</t>
  </si>
  <si>
    <t>Sunit Shah</t>
  </si>
  <si>
    <t>Sunit</t>
  </si>
  <si>
    <t>Mr. Sunit Shah serves as Principal, Private Equity Partnerships at Blue Earth Capital. He joined Blue Earth Capital in 2024 and has 12 years of industry experience. Prior to joining Blue Earth Capital, he was a Director at The Rockefeller Foundation, where he led impact investments across the climate landscape. Prior to that, he was a consultant in Bain &amp; Company's New York office focused on strategy work for Fortune 100 clients across industries. Previously, he was an Investment Analyst at the International Finance Corporation (Funds, Venture Capital) and a Senior Investment Analyst at Prudential Financial (Alternative Assets). He holds an MBA from the Wharton School at the University of Pennsylvania and a BS in Mechanical Engineering from Cornell University. He is also a CFA Charterholder.</t>
  </si>
  <si>
    <t>sunit.shah@blueearth.capital</t>
  </si>
  <si>
    <t>Principal, Private Equity Partnerships</t>
  </si>
  <si>
    <t>195379-66P</t>
  </si>
  <si>
    <t>Thomas Lee</t>
  </si>
  <si>
    <t>Mr. Thomas Lee serves as Vice President, Private Equity at Blue Earth Capital. Before joining Blue Earth Capital, he spent 5 years at New Island Capital, a large impact investment firm based in San Francisco, where he invested growth equity in companies primarily in the renewable energy and sustainable consumer sectors. He holds a B.S. in Business Administration and a B.A. in Economics from the University of California, Berkeley.</t>
  </si>
  <si>
    <t>thomas.lee@blueearth.capital</t>
  </si>
  <si>
    <t>13780-99P</t>
  </si>
  <si>
    <t>Urs Wietlisbach</t>
  </si>
  <si>
    <t>Urs</t>
  </si>
  <si>
    <t>Wietlisbach</t>
  </si>
  <si>
    <t>Mr. Urs Wietlisbach is a Co-Founder and serves as a Member of the Board of Directors, Chairman of the Board's Client Oversight Committee &amp; Member of the Corporate Development Committee at Partners Group. He serves as a Board Member at Entrepreneur Partners (Asset Management). He was also a Co-Founder of Property One Partners and served as a Member of the Advisory Board at both Property One Partners and Swiss Startup Capital. He is the Founder and serves as President of the Wietlisbach Foundation. He is a Co-Founder and serves as the Chairman of the Board of Directors and Member of the Investment Committee of Blue Earth Capital. He was initially responsible for the firm's partnership investment activities and was instrumental in building Partners Group's private equity funds portfolio and a global industry network. Later, he also focused on business development responsibilities, first in Europe, and subsequently in the USA and the Asia-Pacific region. Before founding Partners Group, he was an executive director at Goldman Sachs &amp; Co., where, after assignments in London and New York, he was appointed head of the firm's institutional clients business in Switzerland. Previously, he was a relationship manager for multinational corporate clients at Credit Suisse in New York and Zurich. He holds a master's degree in business administration from the University of St. Gallen (HSG).</t>
  </si>
  <si>
    <t>urs.wietlisbach@partnersgroup.com</t>
  </si>
  <si>
    <t>Zug</t>
  </si>
  <si>
    <t>Zug, Switzerland</t>
  </si>
  <si>
    <t>Unternehmer-Park 3</t>
  </si>
  <si>
    <t>+41 (0)41 784 6001</t>
  </si>
  <si>
    <t>Co-Founder, Member of the Board of Directors, Chairman of the Board's Client Oversight Committee &amp; Member, Corporate Development Committee</t>
  </si>
  <si>
    <t>Partners Group</t>
  </si>
  <si>
    <t>455495-32P</t>
  </si>
  <si>
    <t>Vita Mateychuk</t>
  </si>
  <si>
    <t>Vita</t>
  </si>
  <si>
    <t>Mateychuk</t>
  </si>
  <si>
    <t>Ms. Vita Mateychuk serves as Analyst, Private Equity Partnerships at Blue Earth Capital. Shee joined Blue Earth Capital in 2025, bringing a background in investment banking and early-stage business leadership. Previously, she was involved in strategic and capital markets transactions at Citi's Investment Banking Division, supporting corporate and private equity clients. She also led the launch and financial management of an early-stage venture. She holds a BSc in Business Administration and Management from Bocconi University and an MSc in International Business Economics from City, University of London.</t>
  </si>
  <si>
    <t>vita.mateychuk@blueearth.capital</t>
  </si>
  <si>
    <t>67136-59P</t>
  </si>
  <si>
    <t>William Pierson</t>
  </si>
  <si>
    <t>Pierson</t>
  </si>
  <si>
    <t>Mr. William Pierson serves as Managing Partner at Marguerite Adviser. He also serves as a Member of the Investment Committee at Blue Earth Capital. Hr focuses on Private Equity. He is a former Global Head of Project Finance at Royal Dutch Shell, Partner at Santander Infrastructure Capital, Director at Credit Suisse, and SG with over 20 years of experience in Project Finance, M&amp;A, Fund and Asset Management in greenfield oil &amp; gas, power, renewable, environmental services, and transportation. His experience includes Industry, Banking, and Fund sectors as a Shareholder, Board Member, Advisor, and Debt Arranger. He has over 10 years of experience as a principal investor in greenfield projects with total project costs ranging from USD 50 million to USD 18 billion. During this time as a principal investor and sponsor, he has been involved in raising over USD 15 billion in debt and other third-party capital.</t>
  </si>
  <si>
    <t>+352 26 86 53 1</t>
  </si>
  <si>
    <t>wpierson@margueritefund.eu</t>
  </si>
  <si>
    <t>4 Rue du fort Wallis</t>
  </si>
  <si>
    <t>2714</t>
  </si>
  <si>
    <t>Marguerite Investment Management</t>
  </si>
  <si>
    <t>170519-32P</t>
  </si>
  <si>
    <t>Benjamin Orthlieb</t>
  </si>
  <si>
    <t>Orthlieb</t>
  </si>
  <si>
    <t>Blue Moon (San Francisco)</t>
  </si>
  <si>
    <t>Mr. Benjamin Orthlieb is a Co-Founder &amp; serves as General Partner at 2|Twelve. He co-founded and served as General Partner at Off The Grid Ventures. He served as an Advisor at Acquire App. He is also an angel investor. He is Head of Corp. Dev. at LinkedIn. He leads investments and acquisitions from sourcing to dealing with negotiation &amp; integration. He works with founders, VCs, bankers, and lawyers to get deals done.</t>
  </si>
  <si>
    <t>+1 (650) 421-5748</t>
  </si>
  <si>
    <t>ben@212angels.com</t>
  </si>
  <si>
    <t>94907</t>
  </si>
  <si>
    <t>247655-62P</t>
  </si>
  <si>
    <t>David Straus</t>
  </si>
  <si>
    <t>Straus</t>
  </si>
  <si>
    <t>Mr. David Straus serves as Partner at 2.12 Angels. Mr. Straus is an accomplished Leadership and Executive Coach, working with clients globally. He is also an Angel Investor. Mr. David Straus founded &amp; served as Chief Executive Officer at Withoutabox. He has an undergraduate degree from Pitzer College and is a graduate of the UCLA School of Theater, Film and Television MFA program.</t>
  </si>
  <si>
    <t>+1 (310) 663-4093</t>
  </si>
  <si>
    <t>38009-35P</t>
  </si>
  <si>
    <t>David Yarnold</t>
  </si>
  <si>
    <t>Yarnold</t>
  </si>
  <si>
    <t>Mr. David Yarnold served as an Advisor at Entytle. He also serves as CEO Partner at Harmonic Growth Partners. He serves as a Board Member at Model N and MATRIXX Software. He serves as a Mentor at 2 | Twleve. He serves as Chairman and Advisor at Vidsig. He served as Chief Executive Officer at ServiceMax. He has 30+ years of executive leadership in early stage enterprise software businesses (ERP, CRM, Talent Management, SaaS &amp; Cloud computing, Field Service ). I helped build some of the era's most successful and fastest growing software companies. Most recently, built ServiceMax into world's most trusted field service solution =&gt; acquired in 2017 by GE Digital for $1B. Now sharing some of my experiences as a CEO coach, advisor, board member, and CEO-Partner at Harmonic Growth Partners (harmonicgp.com).</t>
  </si>
  <si>
    <t>+1 (650) 504-3719</t>
  </si>
  <si>
    <t>777 Mariners Island Boulevard</t>
  </si>
  <si>
    <t>94404</t>
  </si>
  <si>
    <t>+1 (650) 610-4699</t>
  </si>
  <si>
    <t>Entytle (Former)</t>
  </si>
  <si>
    <t>264539-62P</t>
  </si>
  <si>
    <t>Justin Ferira</t>
  </si>
  <si>
    <t>Ferira</t>
  </si>
  <si>
    <t>Blueprint Local</t>
  </si>
  <si>
    <t>Mr. Justin Ferira serves as Chief Investment Officer at Blueprint Local.</t>
  </si>
  <si>
    <t>+1 (410) 537-5400</t>
  </si>
  <si>
    <t>justin@blueprint-local.com</t>
  </si>
  <si>
    <t>Baltimore</t>
  </si>
  <si>
    <t>Baltimore, MD</t>
  </si>
  <si>
    <t>901 South Bond Street</t>
  </si>
  <si>
    <t>21231</t>
  </si>
  <si>
    <t>71474-95P</t>
  </si>
  <si>
    <t>Ross Baird</t>
  </si>
  <si>
    <t>Baird</t>
  </si>
  <si>
    <t>Mr. Ross Baird serves as Founder &amp; Chief Executive Officer at Blueprint LocalHe is an Angel Investor. He is a Co-Founder and serves as Board Member at Village Capital. He also served as Advisor at Capria Ventures. He serves as Board Member at University Venture Fund. He has led the development of programs worldwide. Before launching Village Capital, he worked with First Light Ventures, a seed fund focused on impact investments. Prior to First Light, he worked on the development of four education-related start-up ventures: the Indian School Finance Company in Hyderabad, India, the National College Advising Corps in Chapel Hill, North Carolina, and two ventures using technology to promote civic participation. He has an MPhil from the University of Oxford, where he was a Marshall Scholar, and a BA from the University of Virginia, where he was a Truman Scholar and a Jefferson Scholar.</t>
  </si>
  <si>
    <t>ross@blueprint-local.com</t>
  </si>
  <si>
    <t>144669-34P</t>
  </si>
  <si>
    <t>Andrew Pahl</t>
  </si>
  <si>
    <t>Pahl</t>
  </si>
  <si>
    <t>Bonterra</t>
  </si>
  <si>
    <t>Mr. Andrew Pahl serves as Senior Vice President Operations at Bonterra.</t>
  </si>
  <si>
    <t>andrew.pahl@bonterratech.com</t>
  </si>
  <si>
    <t>10801 North MoPac Expressway</t>
  </si>
  <si>
    <t>78759</t>
  </si>
  <si>
    <t>Senior Vice President Operations</t>
  </si>
  <si>
    <t>65988-73P</t>
  </si>
  <si>
    <t>Ben Cohen</t>
  </si>
  <si>
    <t>Mr. Ben Cohen served as Chief Revenue Officer at Weaspire. He serves as the Chief Revenue Officer at Bonterra. Mr. Ben Cohen served as President and Chief Revenue Officer at Aurea. He is responsible for growing Aurea through a scalable, sustainable revenue model - from building profitable customer and partner relationships to enhancing innovation and operations. Prior to joining Aurea, he was President at Vast, a technology firm focused on using data science to help optimize the purchases of homes and automobiles. He oversaw the company's business operations, including sales, marketing, business development, partnership,s and product strategy, helping to double the company's revenue each year. Previously, he headed the Global Automotive Business Unit at Trilogy Inc. In this role, he worked with senior executives at Global 2000 companies, translating client needs into customized software and data-driven insights to help improve the efficiency of the retail and development processes. He holds a BS in Industrial Engineering from Stanford University.</t>
  </si>
  <si>
    <t>ben.cohen@bonterratech.com</t>
  </si>
  <si>
    <t>334822-15P</t>
  </si>
  <si>
    <t>Courtney Browne JD</t>
  </si>
  <si>
    <t>Browne</t>
  </si>
  <si>
    <t>Chief Legal Officer</t>
  </si>
  <si>
    <t>Ms. Courtney Browne serves as Chief Legal Officer at Bonterra. She served as Chief Legal Officer at Social Solutions Global. She also serves as Chief Legal Officer at CyberGrants. She is the chief legal officer of Bonterra-a social good software company focused on powering those who power social impact with donor engagement, supporter engagement, program management, and corporate social responsibility (CSR) tech solutions. Courtney is an experienced legal practitioner dedicated to utilizing her fine-tuned skills and exceptional experience to enable Bonterra to build a best-in-class legal function to support its critical work within the social good sector. Before Bonterra, Courtney was a general council at TULA Skincare, a leading probiotic skincare and wellness brand. She launched her legal career at the New York office of the law firm Skadden, Arps, Slate, Meagher &amp; Flom LLP where she represented clients in mergers and acquisitions and other complex transactions, and throughout her tenure, she has advised organizations across industry sectors and practice areas, including consumer goods, technology, nonprofits, intellectual property, and corporate transactions. She lives in New York, NY, and holds a JD from Columbia Law School and a BA in Economics, Spanish, and Art History, from Vanderbilt University.</t>
  </si>
  <si>
    <t>courtney.browne@bonterratech.com</t>
  </si>
  <si>
    <t>258393-16P</t>
  </si>
  <si>
    <t>Dionn Schaffner</t>
  </si>
  <si>
    <t>Dionn</t>
  </si>
  <si>
    <t>Schaffner</t>
  </si>
  <si>
    <t>Chief Diversity Officer</t>
  </si>
  <si>
    <t>Ms. Dionn Schaffner serves as Chief Diversity Officer at Bonterra. She served as Chief Diversity Officer at Aurea. She is the chief diversity officer of Bonterra-a social good software company focused on powering those who power social impact with Case Management, Nonprofit Fundraising and Engagement, and Corporate Social Responsibility (CSR) tech solutions. Dionn's focus will be on leveraging diversity as a source of strength, fostering an inclusive environment, promoting fairness through equity initiatives, and nurturing a sense of belonging within our organization. Her leadership will contribute to the ongoing cultivation of a corporate culture that acts as a powerful catalyst for positive impact, not only within our organization but also in the broader community. With over 25 years of experience in software development, marketing strategy, and management consulting, Dionn brings a unique perspective to the DEIB industry. She integrates people, processes, technology, and teamwork to achieve impactful results. Passionate about breaking down barriers and creating opportunities, Dionn employs education, inspiration, and accountability as catalysts for organizational and societal change. Beyond her professional endeavors, Dionn's career is deeply informed by her community work. She is the Executive Director of a nonprofit she founded and has held leadership roles in several non-profits in the child welfare sphere. Additionally, she provides political advice on anti-racism initiatives with state legislators. Dionn is immersed in driving positive change through her holistic approach to social impact. Recognized as a "Black Voice to Follow" on LinkedIn, she is a frequent speaker on equity issues. Dionn is a graduate of Stanford University with a degree in Computer Science and an MBA from Stanford's Graduate School of Business. She currently resides in Austin, Texas actively engaging in the local musical theatre community. She is serving in her 15th year as Director and Choreographer for a non-profit youth musical theatre program.</t>
  </si>
  <si>
    <t>dionn.schaffner@bonterratech.com</t>
  </si>
  <si>
    <t>105810-85P</t>
  </si>
  <si>
    <t>John Manganaro</t>
  </si>
  <si>
    <t>Manganaro</t>
  </si>
  <si>
    <t>Mr. John Manganaro serves as Chief Product Officer at CyberGrants. He served as Chief Product Officer at Social Solutions Global. He has spent over a decade in the SaaS world. Most recently, he helped launch a startup company with a group of friends called DRIVIN, which grew quickly and was successfully acquired by a data partner in just under two years. At DRIVIN Mr. Manganaro led a team of Product Owners, UX developers and Data Scientists, who together created data-driven software products for car dealers across the country. Prior to DRIVIN, he was a strategy consultant with PricewaterhouseCoopers where he helped companies build go-to-market strategies launching new software products, including pricing strategies and sales strategies.</t>
  </si>
  <si>
    <t>john.manganaro@bonterratech.com</t>
  </si>
  <si>
    <t>Chief Product Officer</t>
  </si>
  <si>
    <t>264580-30P</t>
  </si>
  <si>
    <t>Kellie Capote</t>
  </si>
  <si>
    <t>Capote</t>
  </si>
  <si>
    <t>Kellie Capote serves as Chief Customer Officer at Bonterra. She served as Chief Customer Officer at Gainsight.</t>
  </si>
  <si>
    <t>kellie.capote@bonterratech.com</t>
  </si>
  <si>
    <t>36929-35P</t>
  </si>
  <si>
    <t>Matthew Hardy</t>
  </si>
  <si>
    <t>Hardy</t>
  </si>
  <si>
    <t>Mr. Matthew Hardy serves as Chief Financial Officer at Bonterra. A social good software company focused on empowering those who drive social impact with case management, corporate social good, philanthropy, and fundraising and relationship management technology solutions. In his role, he supports Bonterra's mission by leading the company's financial function and the Office of the CIO with operational discipline, a strategic mindset, and a focus on sustainable growth. Before Bonterra, he served as CFO of several leading SaaS companies across e-commerce, EdTech, FinTech, and more - including CommerceHub, Illuminate Education, InMoment, TeleSign, LiveOffice, and Digital Insight. In addition to working closely with Bonterra investors like Apax Partners, he has delivered value to shareholders at Insight Partners, Summit Partners, Adams Street Partners, Goldman, GTCR, Sycamore, and Madison Dearborn Partners and and holds an MBA from the Wharton School at the University of Pennsylvania as well as an undergraduate degree in Accounting from Brigham Young University.</t>
  </si>
  <si>
    <t>matthew.hardy@bonterratech.com</t>
  </si>
  <si>
    <t>235314-73P</t>
  </si>
  <si>
    <t>Meredith Crouse</t>
  </si>
  <si>
    <t>Meredith</t>
  </si>
  <si>
    <t>Crouse</t>
  </si>
  <si>
    <t>Chief Human Resources Officer</t>
  </si>
  <si>
    <t>Ms. Meredith Crouse serves as the Chief Human Resources Officer at Bonterra.She served as Senior Vice President, Chief People Officer and Internal Communications Leader at Advisor360. She is responsible for improving the overall employee experience through effective HR initiatives aligned with Advisor360°'s business strategy. She leads the company's people strategy and functions, including talent acquisition, talent management, learning and development, employee relations, organizational design, HR systems and total rewards. Prior to Advisor360°, she was the Chief Human Resources Officer and head of internal communications for Monster Worldwide. She holds a BA in communications from Le Moyne College and studied law at Boston University.</t>
  </si>
  <si>
    <t>+1 (978) 461-8366</t>
  </si>
  <si>
    <t>meredith.crouse@bonterratech.com</t>
  </si>
  <si>
    <t>75290-23P</t>
  </si>
  <si>
    <t>Scott Brighton</t>
  </si>
  <si>
    <t>Brighton</t>
  </si>
  <si>
    <t>Mr. Scott Brighton serves as Chief Executive Officer at Bonterra. He also serves as Chief Executive Officer at Jive Software. He served as Chief Executive Officer at Aurea Software. He leads the executive team in defining our mission and strategy - which he balances with his passion for spending time with clients, understanding their business objectives, and ensuring our solutions are designed to deliver success. Before Aurea, Scott served as the President and CEO of Artemis International, a global project and portfolio management software company serving hundreds of Global 2000 companies across the world. Under his leadership, Artemis arrested a multi-year trend of revenue decline with three consecutive years of double-digit growth while also tripling profitability. In 2012, Scott led Artemis through the successful acquisition and integration of Accept Corporation, a SAAS-based product planning software company.</t>
  </si>
  <si>
    <t>scott.brighton@bonterratech.com</t>
  </si>
  <si>
    <t>304198-48P</t>
  </si>
  <si>
    <t>Shrey Bhatia</t>
  </si>
  <si>
    <t>Shrey</t>
  </si>
  <si>
    <t>Bhatia</t>
  </si>
  <si>
    <t>Chief Sales Officer</t>
  </si>
  <si>
    <t>Mr. Shrey Bhatia serves as Chief Sales Officer at Bonterra. He served as Chief Sales Officer at Social Solutions Global. He also serves as Chief Sales Officer at CyberGrants.</t>
  </si>
  <si>
    <t>shrey.bhatia@bonterratech.com</t>
  </si>
  <si>
    <t>190069-93P</t>
  </si>
  <si>
    <t>Stacy West</t>
  </si>
  <si>
    <t>Stacy</t>
  </si>
  <si>
    <t>West</t>
  </si>
  <si>
    <t>Ms. Stacy West served as Chief Marketing Officer at Bonterra. She serves as Chief Marketing Officer at Insightsoftware. She served as Vice President, Corporate Marketing at SolarWinds MSP. She brings over 25 years of experience to her current role-leading and managing all aspects of SolarWinds MSP's marketing efforts. These include revenue marketing, product marketing, PR, customer engagement, loyalty and retention, and field marketing. Prior to joining SolarWinds MSP, Stacy was VP of Marketing &amp; Communications at SciQuest, where she boosted year-over-year net new leads, increased lead conversions, and exceeded sales pipeline goals. Before that, she was a director of marketing at Canon Solutions America, where she dramatically reduced cost-per-lead, increased leads year over year, implemented and ran monthly marketing campaigns, and oversaw a highly successful Customer Experience Center. Additionally, Stacy has held high-level leadership positions at HCL Hewlett Packard, Interaction Publishers, Inc., Intelligent Strategies Intuitive Solutions, and LeasePartners. She served as Chief Marketing Officer at Relias Learning.</t>
  </si>
  <si>
    <t>stacy.west@bonterratech.com</t>
  </si>
  <si>
    <t>423924-40P</t>
  </si>
  <si>
    <t>Tanuja Korlepra</t>
  </si>
  <si>
    <t>Tanuja</t>
  </si>
  <si>
    <t>Korlepra</t>
  </si>
  <si>
    <t>Mr. Tanuja Korlepra serves as Chief Technology Officer at Bonterra. She leads technical strategy, innovation, product development, and engineering operations at Bonterra to empower social good organizations with innovative and best-in-class technology solutions for social good. Over her two-decade career, she worked as an Engineering and Product leader creating business value and customer impact. She formerly served as CTO at USAFacts, a nonpartisan and unbiased civic data initiative founded by Steve Ballmer, the ex-CEO of Microsoft, to empower Americans with trustworthy government data to ground debates in facts. She has extensive experience working on hyper-scale environments at Amazon Web Services, Microsoft Azure, and Veritas driving innovation in areas such as Cloud, High-Performance Computing (HPC), Artificial Intelligence (AI), Data Platforms, and Data Protection for B2B and B2C SaaS, PaaS, and IaaS products and services. She is passionate about driving technological progress while promoting a workplace culture that values innovation, collaboration, continuous improvement, and positive outcomes in a rapidly evolving technological landscape.</t>
  </si>
  <si>
    <t>tanuja.korlepra@bonterratech.com</t>
  </si>
  <si>
    <t>46441-27P</t>
  </si>
  <si>
    <t>Adam Draper</t>
  </si>
  <si>
    <t>Draper</t>
  </si>
  <si>
    <t>Boost VC</t>
  </si>
  <si>
    <t>Mr. Adam Draper is a Co-Founder &amp; serves as Managing Director at Boost VC. Mr. Draper serves as Advisor at 7shifts, Momentum Capital &amp; Ava. He is an Angel Investor. He served as an Advisor at Alpha Investing. He was a Board Member of Make School. He co-founded and served as Director and Board Member at Ender's Fund. He is a member of the board for several firms including Makegameswith.us and Xpert Financial where he is also the Founder. He served as an advisor at Coinage. In 2009, the same year that he graduated from UCLA, he founded Xpert Financial, a secondary market for private securities. After settling millions of dollars in private security transactions and becoming a registered broker-dealer, he left Xpert Financial in late 2012 and began angel investing, where he backed such startups as Coinbase, Plangrid, and Amplitude. He then partnered up with Brayton Williams to change the face of global startup mentorship. He holds a Degree in English from the University of California, Los Angeles (UCLA) in 2009.</t>
  </si>
  <si>
    <t>+1 (650) 458-7039</t>
  </si>
  <si>
    <t>adam@boost.vc</t>
  </si>
  <si>
    <t>55 East 3rd Avenue</t>
  </si>
  <si>
    <t>94401</t>
  </si>
  <si>
    <t>Co-Founder, Partner &amp; Managing Director</t>
  </si>
  <si>
    <t>60649-03P</t>
  </si>
  <si>
    <t>Brayton Williams</t>
  </si>
  <si>
    <t>Mr. Brayton Williams is a Co-Founder and serves as a Partner at Boost VC. He also serves as a Board Member at Octane AI and District0x. He serves as an Advisor at 7shifts, Keep, Mifiel, Momentum Capital, and Aragon. He served as an Advisor at Coinage. He has spent his career in finance working with too-big-to-fail Morgan Stanley in wealth management and then to a FinTech startup selling private company securities. Then in 2012, he joined his co-worker, Adam Draper, to start Boost VC. He got rid of his apartment and moved into the dorms that house the portfolio companies as he launched the startup to fund startups. He can still be spotted heading to a room he keeps after late nights in the office. He likes to be first. He was the first member of Boost VC to buy a Bitcoin but unfortunately, also the first to sell - he didn't make this mistake again with Ethereum. He was the first on the team to try virtual reality before it was widely available and paid for that spending the rest of the day sick on the couch. But his proudest first moment was winning the California state free-throw championship at age 12. At Boost VC, he wears many hats but focuses on the 300+ portfolio alumni and their needs. If those don't keep him busy enough, he also manages Boost VC's finances, general operations, social media, and investment decisions.</t>
  </si>
  <si>
    <t>brayton@boost.vc</t>
  </si>
  <si>
    <t>373249-00P</t>
  </si>
  <si>
    <t>Derek Brown</t>
  </si>
  <si>
    <t>Mr. Derek Brown serves as Controller at Boost VC. He dedicated the latter part of his career to solving the complexities of operating a venture capital business. With stints at Carta, Juniper Square, and Sydecar, he has built teams and products designed for the challenges of the venture landscape. Now, he's channeling that expertise into propelling Boost to new heights. Outside of Boost, He enjoys podcasts spanning topics from Bitcoin and macroeconomics to fantasy football and taking his boys to (many) Seattle sporting events
Once a college track runner, He now channels his competitiveness into constantly pushing Boost to iterate and improve. He's also trying to determine what is happening with all the UAP disclosures.</t>
  </si>
  <si>
    <t>derek@boost.vc</t>
  </si>
  <si>
    <t>338819-23P</t>
  </si>
  <si>
    <t>Emily Yu</t>
  </si>
  <si>
    <t>Ms. Emily Yu serves as Investor at Boost VC. She serves as Venture Partner at Alley Robotics Ventures. She holds a Bachelor of Science degree in Robotics &amp; Mechanical Engineering from WPI, also holds Masters in Business Administration from MIT Solan. Roboticist by training, she spent her career in both startup-land and big tech innovation across additive manufacturing, logistics, and food and Bev. She's built robotic bartenders for offices, teleoperator robots for medical facilities, and mini-battle bots. Most recently she led design teams at Amazon Robotics shaping the future of warehouse automation. She is passionate about leveraging automation and deep tech to transform legacy industries at the intersection of hardware and software. She loves working with people and actively advises founders on research commercialization as well as adopting the outlier entrepreneurial mindset.</t>
  </si>
  <si>
    <t>emily@boost.vc</t>
  </si>
  <si>
    <t>308785-51P</t>
  </si>
  <si>
    <t>Gus Domel Ph.D</t>
  </si>
  <si>
    <t>Gus</t>
  </si>
  <si>
    <t>Domel</t>
  </si>
  <si>
    <t>Dr. Gus Domel serves as Principal at Boost VC. He is a scientist and engineer who loves working at the forefront of scientific innovation. He spent his PhD at Harvard and his postdoc at Stanford developing a wide range of futuristic technologies, including an octopus-like soft robot, shark skin-inspired aerodynamic surfaces, and sensor-embedded brain injury wearables. His various works have been featured in National Geographic, Newsweek, The New York Times, and the Syfy Network, among others. Before joining the investment team at Boost VC, he served as the Chief Scientist &amp; Director of Product at a brain health tech startup developing novel technologies to understand and prevent traumatic brain injury.</t>
  </si>
  <si>
    <t>+1 (224) 388-2006</t>
  </si>
  <si>
    <t>gus@boost.vc</t>
  </si>
  <si>
    <t>179429-32P</t>
  </si>
  <si>
    <t>Maddie Callander</t>
  </si>
  <si>
    <t>Maddie</t>
  </si>
  <si>
    <t>Callander</t>
  </si>
  <si>
    <t>Ms. Maddie Callander serves as Partner at Boost VC. Before joining Boost VC, she built out the private aviation department for the Yellowstone Club in Big Sky, Montana, where she managed member air transportation: marketing, selling, and arranging private shuttles (Boeing 737s), private flights (XOJET), and shared-ride options. Additionally, she held operation and marketing roles in healthcare and real estate industries &amp; freelanced as an event coordinator for NYC event firm Van Wyck &amp; Van Wyck. She attended Draper University in Fall 2013. She has a B.A. in Art History and Spanish from Denison University in Granville, Ohio.</t>
  </si>
  <si>
    <t>maddie@boost.vc</t>
  </si>
  <si>
    <t>293365-63P</t>
  </si>
  <si>
    <t>Mark Beylin</t>
  </si>
  <si>
    <t>Beylin</t>
  </si>
  <si>
    <t>Mr. Mark Beylin serves as an Associate at Boost VC. He co-founded and served as Chief Executive Officer at Myco.Space. He is the Founder and serves as Chief Executive Officer at The Bounties Network. He is an ex-founder and crypto product builder, with 7+ years of experience building protocols, products, and NFTs on Ethereum. His first project was an early bounty platform, which was funded by ConsenSys and at its peak grew to $1M+ TVL in 2017-19. Since then his work has centered around mechanism design, tokenized incentives, and the increasingly blurry line that exists between companies and their external constituents (aka "communities"). His background in Computer Science (BCS from the University of Waterloo) and Business (BBA from Wilfrid Laurier University) combine to help him operate across all levels of the crypto stack, from architecting core protocols all the way up to designing end-user experiences.</t>
  </si>
  <si>
    <t>mark@boost.vc</t>
  </si>
  <si>
    <t>38602-09P</t>
  </si>
  <si>
    <t>Benjamin Shaw</t>
  </si>
  <si>
    <t>Borealis Ventures</t>
  </si>
  <si>
    <t>Mr. Benjamin Shaw is the Founder and serves as Partner of Black Point Group. He is a Co-Founder and serves as President, Chief Executive Officer, and Board Member at Covetrus. He is the Founder and serves as President &amp; Chairman at Blue Rabbit. He manages a mix of private and public equity investment activities in the healthcare, internet media, and technology industries. His recent private investments have included Ikaria, Ironwood, and FetchDog. Prior to Black Point Group, he managed business development at The VIA Group. He serves on the boards of The Jackson Laboratory, Western Mountains Foundation, and the Maine Business Roundtable. he has served as a Trustee of Maine Huts &amp; Trails and The Jackson Laboratory. He is an active alumni advisor to Bates College. He graduated with a triple B.A. degree in Biology, Political Science, and Environmental Sciences from Bates College. He serves as a Partner at Borealis Ventures.</t>
  </si>
  <si>
    <t>bshaw@blackpointgroup.com</t>
  </si>
  <si>
    <t>Portland, ME</t>
  </si>
  <si>
    <t>7 Custom House Street</t>
  </si>
  <si>
    <t>Maine</t>
  </si>
  <si>
    <t>04101</t>
  </si>
  <si>
    <t>Covetrus (Former)</t>
  </si>
  <si>
    <t>172646-74P</t>
  </si>
  <si>
    <t>Emily Snyder</t>
  </si>
  <si>
    <t>Snyder</t>
  </si>
  <si>
    <t>Ms. Emily Snyder serves as Principal at Borealis Ventures. Emily supports deal flow and provides oversight to various companies in the firm's healthcare portfolio, having spent her early career in healthcare venture capital for a Boston firm. Emily holds a biology degree from the University of Louisville, magna cum laude, and most recently graduated as a Tuck Scholar with an MBA from the Tuck School of Business at Dartmouth College. While at Tuck, Emily served as Managing Director for the Tuck/DEN Venture Fund, where she advised local entrepreneurs and Dartmouth-affiliated startups. She also served as Board Member at Blue Rabbit.</t>
  </si>
  <si>
    <t>+1 (603) 643-1500</t>
  </si>
  <si>
    <t>emily@borealis.vc</t>
  </si>
  <si>
    <t>Hanover</t>
  </si>
  <si>
    <t>Hanover, NH</t>
  </si>
  <si>
    <t>10 Allen Street</t>
  </si>
  <si>
    <t>03755</t>
  </si>
  <si>
    <t>+1 (603) 643-7600</t>
  </si>
  <si>
    <t>37149-76P</t>
  </si>
  <si>
    <t>Julia Stephanus</t>
  </si>
  <si>
    <t>Stephanus</t>
  </si>
  <si>
    <t>Ms. Julia Stephanus serves as a Partner at Borealis Ventures. She is the Founder and serves as Executive Chairperson at Jenga Biosciences. Previously, she served as Chief Commercial Officer at Aratana Therapeutics. She serves as Board Member at Okava Pharmaceuticals, ELIAS Animal Health and Synovetin OA. He also served as President &amp; Chief Executive Officer at Summit VetPharm. She holds a BS in Telecommunications, Journalism &amp; Busines from Indiana University Bloomington.</t>
  </si>
  <si>
    <t>jstephanus@borealis.vc</t>
  </si>
  <si>
    <t>Aratana Therapeutics (Former)</t>
  </si>
  <si>
    <t>22520-98P</t>
  </si>
  <si>
    <t>Philip Ferneau JD</t>
  </si>
  <si>
    <t>Ferneau</t>
  </si>
  <si>
    <t>Mr. Philip Ferneau is a Co-Founder and serves as Partner at Borealis Ventures. He served as Board Member at Avitide. He also serves as Board Member &amp; Investor at Compass Therapeutics and, Ovation, and Vets First Choice. He capitalizes on over fifteen years of experience working with entrepreneurs in the extended Dartmouth College network and other centers of innovation to identify and support the most promising technology commercialization opportunities. He currently is a Director on the boards of Borealis portfolio companies PCD Partners and Direct Vet Marketing. and served on the board of Avedro. He also led Borealis' investment in Adimab and the firm's prior investments in Medical Metrx Solutions (acquired by AIG Altaris Health Partners) and GlycoFi (acquired by Merck &amp; Company). He served as Board Member at Amagma Therapeutics. He joined Borealis from Dartmouth College's Tuck School of Business, where he was the founding Executive Director of the Center for Private Equity and Entrepreneurship and an adjunct professor teaching venture capital and entrepreneurship topics. He remains a Fellow at the Center and teaches an advanced venture capital seminar each year. He is also a Fellow of the Dartmouth Entrepreneurial Network and a board director of the Dartmouth Regional Technology Center. Prior to joining the Tuck faculty, He held senior strategy and business development roles at a privately-held application software company in New Hampshire. Earlier in private legal practice, he counseled technology startups, Fortune 500 companies, and foreign governments on sensitive trade, tax, and investment matters. He received an A.B. degree from Dartmouth College, a J.D. from the University of Virginia School of Law, and an M.B.A. from the Tuck School of Business at Dartmouth (with High Distinction). A Tuck Scholar, He also received the Tuck School's Adams Award for Entrepreneurship and the Walter Jacobs Prize for Intellectual Leadership. He serves as Board Member at T-Cypher Bio.</t>
  </si>
  <si>
    <t>pferneau@borealisventures.com</t>
  </si>
  <si>
    <t>214766-20P</t>
  </si>
  <si>
    <t>Daniel Roever</t>
  </si>
  <si>
    <t>Roever</t>
  </si>
  <si>
    <t>Boro Capital</t>
  </si>
  <si>
    <t>Mr. Daniel Roever serves as Managing Partner at Boro Capital. Previously he held senior investment roles at Deutsche Bank and Aflac Global Investments.</t>
  </si>
  <si>
    <t>+1 (212) 393-4893</t>
  </si>
  <si>
    <t>daniel@borocapital.com</t>
  </si>
  <si>
    <t>26 Wall Street</t>
  </si>
  <si>
    <t>10005</t>
  </si>
  <si>
    <t>435223-72P</t>
  </si>
  <si>
    <t>Aaron Brown</t>
  </si>
  <si>
    <t>Boston Consulting Group</t>
  </si>
  <si>
    <t>Mr. Aaron Brown serves as Managing Director &amp; Partner at Boston Consulting Group. He works extensively with large health insurers, supporting them on corporate and growth strategy, sales and marketing, and clinical strategy, with extensive experience in the over-65 insurance market. Additionally, Aaron supports value-based care providers-including primary care, post-acute care, and behavioral health-as well as payer services companies, particularly Medicare brokers.</t>
  </si>
  <si>
    <t>+1 (312) 993-3300</t>
  </si>
  <si>
    <t>brown.aaron@bcg.com</t>
  </si>
  <si>
    <t>360 North Green Street</t>
  </si>
  <si>
    <t>60607</t>
  </si>
  <si>
    <t>+1 (312) 876-0771</t>
  </si>
  <si>
    <t>436288-42P</t>
  </si>
  <si>
    <t>Abhay Varma</t>
  </si>
  <si>
    <t>Abhay</t>
  </si>
  <si>
    <t>Varma</t>
  </si>
  <si>
    <t>Managing Director &amp; Senior Partner</t>
  </si>
  <si>
    <t>Mr. Abhay Varma serves as Managing Director &amp; Senior Partner, Head of Retail, Asia-Pacific at Boston Consulting Group. He is a core leader of Boston Consulting Group's Consumer practice with 20 years of relevant experience with clients in Australia and New Zealand, the US, Asia, and the UK. He currently leads BCG's Retail business in Asia-Pacific, and leads the Consumer practice in the Australia-New Zealand (ANZ) region. His primary focus is large scale change, value creation, and capability build. Prior to joining BCG, he spent ten years in industry positions at Unilever and Coles Group (Wesfarmers). He held several P&amp;L, commercial, and strategic roles in merchandising, operations, marketing, and strategy.</t>
  </si>
  <si>
    <t>+61 (0)2 9323 5600</t>
  </si>
  <si>
    <t>varma.abhay@bcg.com</t>
  </si>
  <si>
    <t>Level 26</t>
  </si>
  <si>
    <t>60 Martin Place</t>
  </si>
  <si>
    <t>+61 (0)2 9323 5666</t>
  </si>
  <si>
    <t>Managing Director &amp; Senior Partner, Head of Retail, Asia-Pacific</t>
  </si>
  <si>
    <t>260286-31P</t>
  </si>
  <si>
    <t>Abheek Singhi</t>
  </si>
  <si>
    <t>Abheek</t>
  </si>
  <si>
    <t>Singhi</t>
  </si>
  <si>
    <t>Mr. Abheek Singhi serves as Managing Director &amp; Senior Partner at Boston Consulting Group. He leads The Boston Consulting Group's Consumer practice in Asia-Pacific. He was named a BCG Fellow in 2015; his fellowship is examining how digital and other technologies can provide leapfrog opportunities in emerging markets. He has nearly 20 years of experience with clients in emerging markets such as India, China, Southeast Asia, and the Middle East. In addition, he has worked in BCG San Francisco with clients in the US and Canada. He has worked with leading consumer packaged, consumer durable, and retail companies on a wide variety of projects related to strategy, operational excellence, and organizational improvement. In those assignments, he has led teams delivering significant top-line and bottom-line impact for clients. Mr. Singhi has been a member of the National FMCG (fast-moving consumer goods) Committee and the National Retail Committee of the Confederation of Indian Industry (CII) for several years. In that role, he has worked to monitor the industry trends and to shape industrywide responses. He has also been selected by the Aspen Institute as part of the India Leadership Initiative program and is a member of the Aspen Global Leadership Network.</t>
  </si>
  <si>
    <t>+91 (0)22 6829 9000</t>
  </si>
  <si>
    <t>abheeksinghi@bcg.com</t>
  </si>
  <si>
    <t>G2 (Ground Floor), 2, North Avenue</t>
  </si>
  <si>
    <t>Maker Maxity, Bandra Kurla Complex</t>
  </si>
  <si>
    <t>400051</t>
  </si>
  <si>
    <t>435841-66P</t>
  </si>
  <si>
    <t>Achim Fechtel Ph.D</t>
  </si>
  <si>
    <t>Achim</t>
  </si>
  <si>
    <t>Fechtel</t>
  </si>
  <si>
    <t>Director &amp; Partner</t>
  </si>
  <si>
    <t>Mr. Achim Fechtel serves as Partner &amp; Director at Boston Consulting Group. He leads The Boston Consulting Group's work in Europe and Latin America in the travel and tourism sector. He is also a core member of BCG's Consumer and Corporate Development practices. He is also a member of the firm's Technology, Media &amp; Telecommunications and Marketing, Sales &amp; Pricing practices.</t>
  </si>
  <si>
    <t>+49 (0)89 2317 40</t>
  </si>
  <si>
    <t>fechtel.achim@bcg.com</t>
  </si>
  <si>
    <t>Ludwigstrasse 21</t>
  </si>
  <si>
    <t>80539</t>
  </si>
  <si>
    <t>+49 (0)89 2606 698</t>
  </si>
  <si>
    <t>Partner &amp; Director</t>
  </si>
  <si>
    <t>455354-92P</t>
  </si>
  <si>
    <t>Achim Ruckensteiner</t>
  </si>
  <si>
    <t>Ruckensteiner</t>
  </si>
  <si>
    <t>Mr. Achim Ruckensteiner serves as Managing Director &amp; Partner at Boston Consulting Group. He is a core member of the Financial Institutions practice at the firm, focuses on strategic and digital transformation (digitization; business model transformation; sales force transformation; carveouts, M&amp;A, and PMI; and cost reduction) and growth acceleration (proposition, pricing and product design, sales transformation and digital sales, sales productivity acceleration, and partnering strategies).</t>
  </si>
  <si>
    <t>+43 (0)3 153 7568 0</t>
  </si>
  <si>
    <t>ruckensteiner.achim@bcg.com</t>
  </si>
  <si>
    <t>Vienna</t>
  </si>
  <si>
    <t>Vienna, Austria</t>
  </si>
  <si>
    <t>Postgasse 10</t>
  </si>
  <si>
    <t>1010</t>
  </si>
  <si>
    <t>Austria</t>
  </si>
  <si>
    <t>+43 (0)1 537 5681 10</t>
  </si>
  <si>
    <t>436230-46P</t>
  </si>
  <si>
    <t>Adam Chang</t>
  </si>
  <si>
    <t>Mr. Adam Chang serves as Partner at Boston Consulting Group. He has worked on many engagements in globalization, go-to-market and distribution strategies, supply chain management, business turnaround, and M&amp;A.</t>
  </si>
  <si>
    <t>+81 (0)36 387 2000</t>
  </si>
  <si>
    <t>chang.adam@bcg.com</t>
  </si>
  <si>
    <t>Nihonbashi Muromachi Mitsui Tower 25 Floor</t>
  </si>
  <si>
    <t>3-2-1 Nihonbashi-Muromachi, Chuo-ku</t>
  </si>
  <si>
    <t>Chuo-ku</t>
  </si>
  <si>
    <t>103-0022</t>
  </si>
  <si>
    <t>+81 (0)36 387 0333</t>
  </si>
  <si>
    <t>103421-71P</t>
  </si>
  <si>
    <t>Adam Farber</t>
  </si>
  <si>
    <t>Farber</t>
  </si>
  <si>
    <t>Mr. Adam Farber serves as Managing Director &amp; Senior Partner at Boston Consulting Group. He previously served as Chief Risk Officer at the firm. Since he joined the company in 1998, his client work has covered multiple sectors in health care, including biopharma and Medtech, payers, providers, and global health. His client work has ranged from strategy definition to business model/organization changes, growth and innovation, operations/supply chain transformation, and applying digital and analytics to drive business acceleration. He has authored articles for the industry journal Pharmaceutical Executive, and he has contributed a chapter to the company book, Own the Future: 50 Ways to Win from The Boston Consulting Group. Prior to joining the company, he worked at the management consultancy Lochridge &amp; Company.</t>
  </si>
  <si>
    <t>+1 (617) 973-1200</t>
  </si>
  <si>
    <t>adamfarber@bcg.com</t>
  </si>
  <si>
    <t>200 Pier 4 Boulevard</t>
  </si>
  <si>
    <t>+1 (617) 973-1339</t>
  </si>
  <si>
    <t>455887-81P</t>
  </si>
  <si>
    <t>Adam Goldberg</t>
  </si>
  <si>
    <t>Mr. Adam Goldberg serves as Managing Director &amp; Partner at Boston Consulting Group. He is a member of the Consumer practice at the firm and helps lead the firm's work in the Travel &amp; Tourism, focusing on serving hotel, cruise, theme park, casino, and sports business clients. His work in the Consumer practice has also covered retail and consumer durables clients, leading cases focused on growth strategy. Prior to joining BCG, he worked in brand strategy for Starwood Hotels. He also worked for Deloitte Consulting, advising clients in the hospitality, retail banking, and automotive industries.</t>
  </si>
  <si>
    <t>+1 (771) 208-8000</t>
  </si>
  <si>
    <t>goldberg.adam@bcg.com</t>
  </si>
  <si>
    <t>655 15th Street North West</t>
  </si>
  <si>
    <t>Suite 1100</t>
  </si>
  <si>
    <t>+1 (301) 664-7401</t>
  </si>
  <si>
    <t>435714-04P</t>
  </si>
  <si>
    <t>Adam Gordon</t>
  </si>
  <si>
    <t>Mr. Adam Gordon serves as Managing Director &amp; Partner at Boston Consulting Group. He leads Boston Consulting Group's Toronto office and is a core member of BCG's Consumer and Marketing, Sales &amp; Pricing practices. Adam also leads the firm's personalization and digital marketing work for travel and tourism.</t>
  </si>
  <si>
    <t>+1 (416) 955-4200</t>
  </si>
  <si>
    <t>gordon.adam@bcg.com</t>
  </si>
  <si>
    <t>81 Bay Street</t>
  </si>
  <si>
    <t>Suite 4800</t>
  </si>
  <si>
    <t>M5J 0E7</t>
  </si>
  <si>
    <t>+1 (416) 955-4201</t>
  </si>
  <si>
    <t>455554-54P</t>
  </si>
  <si>
    <t>Adam Grzyb</t>
  </si>
  <si>
    <t>Grzyb</t>
  </si>
  <si>
    <t>Mr. Adam Grzyb serves as a Partner at Boston Consulting Group. He is a core member of the Financial Institutions practice at the firm. He has over ten years of experience in banking and consulting. His relevant project experience includes a Digital Revolution program for one of the largest banks in Poland. Prior to joining BCG, he worked at Getin Noble Bank, where he was responsible for managing the product offerings of alternative sales channels (online, mobile, call center), managing the personal accounts offer of all bank segments, developing electronic banking, and designing a new financial brand dedicated to a group of young clients.</t>
  </si>
  <si>
    <t>+971 (0)4 448 0300</t>
  </si>
  <si>
    <t>grzyb.adam@bcg.com</t>
  </si>
  <si>
    <t>The Offices 3 at One Central Dubai</t>
  </si>
  <si>
    <t>Level 7 Post Office Box 32257</t>
  </si>
  <si>
    <t>+971 (0)4 448 0333</t>
  </si>
  <si>
    <t>435617-38P</t>
  </si>
  <si>
    <t>Adam Kotsis</t>
  </si>
  <si>
    <t>Kotsis</t>
  </si>
  <si>
    <t>Associate Director &amp; Partner</t>
  </si>
  <si>
    <t>Mr. Adam Kotsis serves as Partner &amp; Associate Director at Boston Consulting Group. He has also worked extensively in the health care and energy sectors, focusing on various strategic and operational topics in Europe and beyond.</t>
  </si>
  <si>
    <t>+36 (06)1 888 0200</t>
  </si>
  <si>
    <t>adam@bcg.com</t>
  </si>
  <si>
    <t>Budapest</t>
  </si>
  <si>
    <t>Budapest, Hungary</t>
  </si>
  <si>
    <t>Piarista koz 2</t>
  </si>
  <si>
    <t>1052</t>
  </si>
  <si>
    <t>Hungary</t>
  </si>
  <si>
    <t>+36 (06)1 235 9010</t>
  </si>
  <si>
    <t>Partner &amp; Associate Director</t>
  </si>
  <si>
    <t>436223-98P</t>
  </si>
  <si>
    <t>Adam Rothman Ph.D</t>
  </si>
  <si>
    <t>Rothman</t>
  </si>
  <si>
    <t>Mr. Adam Rothman serves as Managing Director &amp; Senior Partner at Boston Consulting Group. He leads the Chemicals and Process Industries Topics for North America, and is a core member of the Process Industries and Building Materials, Strategy, and Operations practice areas at BCG.</t>
  </si>
  <si>
    <t>rothman.adam@bcg.com</t>
  </si>
  <si>
    <t>435003-49P</t>
  </si>
  <si>
    <t>Adeel Ikram</t>
  </si>
  <si>
    <t>Ikram</t>
  </si>
  <si>
    <t>Mr. Adeel Ikram serves as Managing Director &amp; Partner at Boston Consulting Group. His primary areas of focus are centers of government support, strategy development, economic development, and governance and government-related topics.</t>
  </si>
  <si>
    <t>ikram.adeel@bcg.com</t>
  </si>
  <si>
    <t>455784-58P</t>
  </si>
  <si>
    <t>Adham Abouzied</t>
  </si>
  <si>
    <t>Adham</t>
  </si>
  <si>
    <t>Abouzied</t>
  </si>
  <si>
    <t>Mr. Adham Abouzied serves as Managing Director &amp; Partner at Boston Consulting Group. He is a core member of the firm's Energy practice. In the energy space, he worked on transforming the African activities of energy &amp; industrial players, as well as supporting their digital acceleration journey. He has supported clients from various sectors on operations and network performance optimization. He is an urban planner by training and has participated in several regional and town planning projects in Egypt and the Middle East before joining BCG. He is also a specialist in geospatial analysis and modeling techniques. He speaks Arabic, English, and French.</t>
  </si>
  <si>
    <t>a-a@bcg.com</t>
  </si>
  <si>
    <t>456102-55P</t>
  </si>
  <si>
    <t>Adi Zolotov</t>
  </si>
  <si>
    <t>Zolotov</t>
  </si>
  <si>
    <t>Dr. Adi Zolotov serves as Managing Director, Partner &amp; Global Lead, BCG X AI Science Institute at Boston Consulting Group. In addition to her work with the Institute, she focuses on developing AI and digital solutions that unlock value and generate insights across aerospace, defense, and security operations. She leads the Global Data Science chapter for BCG X and is also a member of the firm's Public Sector practice. Prior to joining BCG, she founded the Data Science Division at the Center for Naval Analyses and served as its first Vice President. Before serving in the public sector, she was an academic specializing in building and running large-scale simulations of the Universe to better understand the nature of dark matter and the evolution of galaxies.</t>
  </si>
  <si>
    <t>zolotov.adi@bcg.com</t>
  </si>
  <si>
    <t>Managing Director, Partner &amp; Global Lead BCG X AI Science Institute</t>
  </si>
  <si>
    <t>455591-26P</t>
  </si>
  <si>
    <t>Adina Symreng Ph.D</t>
  </si>
  <si>
    <t>Adina</t>
  </si>
  <si>
    <t>Symreng</t>
  </si>
  <si>
    <t>Dr. Adina Symreng serves as a Partner at Boston Consulting Group. She is a core member of both the Health Care and Principal Investors &amp; Private Equity (PIPE) practices at the firm. She is an expert in health care strategy, large-scale transformations, and health tech, and leads BCG's work with payers and providers in the Nordics. As a member of the Health Care practice, she has worked in all aspects of health care, including biopharma, medtech, health care payers and providers, life science tools, in vitro diagnostics (IVD), and investors, across Europe, the US, and the Middle East. She has had more than ten papers published in peer-reviewed scientific journals.</t>
  </si>
  <si>
    <t>+46 (0)8 402 44 00</t>
  </si>
  <si>
    <t>adina.symreng@bcg.com</t>
  </si>
  <si>
    <t>Gustav Adolfs Torg 18</t>
  </si>
  <si>
    <t>111 52</t>
  </si>
  <si>
    <t>+46 (0)8 402 46 00</t>
  </si>
  <si>
    <t>456247-45P</t>
  </si>
  <si>
    <t>Adrian Dimitri</t>
  </si>
  <si>
    <t>Dimitri</t>
  </si>
  <si>
    <t>Mr. Adrian Dimitri serves as Managing Director &amp; Partner at Boston Consulting Group. He is a core member of the firm's Transform and Industrial Goods practices, and the marketing lead for the Jakarta office. He works with state-owned enterprises and private sector clients in Indonesia on strategy development, transformation, operational improvement, and operating model design. He has a particular focus on Indonesian state-owned plantations and has led multiple transformation and operations engagements with some of the largest in Indonesia. He has also worked with food, toll road, and mining companies, as well as contractors and airlines. Before joining BCG, he was a Director at Strategy&amp; (Formerly Booz&amp;Co), a Corporate Strategy Project Manager at XL Axiata, and a General Field Engineer at Schlumberger.</t>
  </si>
  <si>
    <t>+62 (0)21 3006 2888</t>
  </si>
  <si>
    <t>dimitri.adrian@bcg.com</t>
  </si>
  <si>
    <t>Jakarta</t>
  </si>
  <si>
    <t>Jakarta, Indonesia</t>
  </si>
  <si>
    <t>Sampoern Strategic Square, 19th Floor</t>
  </si>
  <si>
    <t>Jl. Jenderala Sudirman Kav. 45-46</t>
  </si>
  <si>
    <t>12930</t>
  </si>
  <si>
    <t>Indonesia</t>
  </si>
  <si>
    <t>+62 (0)21 3006 2889</t>
  </si>
  <si>
    <t>434990-44P</t>
  </si>
  <si>
    <t>Adrian Steinberg Ph.D</t>
  </si>
  <si>
    <t>Steinberg</t>
  </si>
  <si>
    <t>Mr. Adrian Steinberg serves as Managing Director &amp; Partner at Boston Consulting Group. He works with clients on large-scale organizational and global/international transformations, operating model design, digital technology strategy development, and large capex teams and governance, as well as corporate strategy.</t>
  </si>
  <si>
    <t>steinberg.adrian@bcg.com</t>
  </si>
  <si>
    <t>456140-17P</t>
  </si>
  <si>
    <t>Adriann Negreros</t>
  </si>
  <si>
    <t>Adriann</t>
  </si>
  <si>
    <t>Negreros</t>
  </si>
  <si>
    <t>Mr. Adriann Negreros serves as a Principal at Boston Consulting Group. She is a core member of the firm's People &amp; Organization practice with a focus on the industrial goods and consumer industries. He works extensively with CEOs, operations leaders, HR executives, and frontline supervisors, and has led projects on organizational design, redefining operating models, crafting compelling employee value propositions, and leading complex change management initiatives. He previously served as an Ambassador at the BCG Henderson Institute.</t>
  </si>
  <si>
    <t>negreros.adriann@bcg.com</t>
  </si>
  <si>
    <t>435025-36P</t>
  </si>
  <si>
    <t>Adrien Duthoit</t>
  </si>
  <si>
    <t>Duthoit</t>
  </si>
  <si>
    <t>Mr. Adrien Duthoit serves as Managing Director &amp; Partner at Boston Consulting Group. He helps industrial goods companies conduct and deliver their digital transformation.</t>
  </si>
  <si>
    <t>+33 (0)1 40 17 10 10</t>
  </si>
  <si>
    <t>duthoit.adrien@bcg.com</t>
  </si>
  <si>
    <t>75 Avenue de la Grande Armee</t>
  </si>
  <si>
    <t>75016</t>
  </si>
  <si>
    <t>+33 (0)1 40 17 10 15</t>
  </si>
  <si>
    <t>117537-31P</t>
  </si>
  <si>
    <t>Adrien Le Bail</t>
  </si>
  <si>
    <t>Le Bail</t>
  </si>
  <si>
    <t>Mr. Adrien Le Bail serves as Managing Director &amp; Partner at Boston Consulting Group. He is an active member of the Health Care and Principal Investors &amp; Private Equity (PIPE) practices at the firm, helping his clients define and implement their strategic agendas. He has worked on or led several strategic projects for European biopharma players, contract manufacturing organizations (CMOs), and contract development and manufacturing organizations (CDMOs). Mr. Le Bail served as Director at Omnes Capital.</t>
  </si>
  <si>
    <t>lebail.adrien@bcg.com</t>
  </si>
  <si>
    <t>436710-34P</t>
  </si>
  <si>
    <t>Adrienne Bross</t>
  </si>
  <si>
    <t>Adrienne</t>
  </si>
  <si>
    <t>Bross</t>
  </si>
  <si>
    <t>Ms. Adrienne Bross serves as Managing Director &amp; Partner at Boston Consulting Group. She specializes in E2E process redesign, activist program management, employee centric change management, and the role of data and analytics in driving and sustaining change.</t>
  </si>
  <si>
    <t>bross.adrienne@bcg.com</t>
  </si>
  <si>
    <t>456494-23P</t>
  </si>
  <si>
    <t>Adwoa Banful</t>
  </si>
  <si>
    <t>Adwoa</t>
  </si>
  <si>
    <t>Banful</t>
  </si>
  <si>
    <t>Ms. Adwoa Banful serves as a Partner at Boston Consulting Group. She is a core member of the firm's Climate &amp; Sustainability practice, specializing in energy, particularly in Africa. She has experience in a broad range of topics within the climate and sustainability space, including policy, adaptation and resilience, developing country transition, implementation, and climate finance. Before joining the firm, she worked at Airtel Ghana and IMANI Africa.</t>
  </si>
  <si>
    <t>+27 (0)11 245 1600</t>
  </si>
  <si>
    <t>adwoa.banful@bcg.com</t>
  </si>
  <si>
    <t>Johannesburg</t>
  </si>
  <si>
    <t>Johannesburg, South Africa</t>
  </si>
  <si>
    <t>5 Parks Boulevard</t>
  </si>
  <si>
    <t>Oxford Parks, Dunkeld</t>
  </si>
  <si>
    <t>2196</t>
  </si>
  <si>
    <t>South Africa</t>
  </si>
  <si>
    <t>+27 (0)11 245 1601</t>
  </si>
  <si>
    <t>283543-48P</t>
  </si>
  <si>
    <t>Aftab Hussain</t>
  </si>
  <si>
    <t>Aftab</t>
  </si>
  <si>
    <t>Mr. Aftab Hussain serves as Managing Director &amp; Senior Partner at Boston Consulting Group. Mr. Hussain serves as Co-Vice Chairman of the Board of Trustees at Cooper Union for the Advancement of Science and Art. He also serves as Chairman of the Finance and Business Affairs Committee and Member of the Compensation Committee. Before joining BCG, Mr. Hussain was a Finance Manager at Unilever HPC in Chicago and a Senior Project Engineer with Lockheed Martin. Mr. Hussain graduated from The Cooper Union with a Bachelor's in Mechanical Engineering. He also earned an MS in Engineering from the Georgia Institute of Technology and an MBA in Finance and Management from the Stern School of Business at New York University.</t>
  </si>
  <si>
    <t>+1 (973) 218-8300</t>
  </si>
  <si>
    <t>hussain.aftab@bcg.com</t>
  </si>
  <si>
    <t>Summit</t>
  </si>
  <si>
    <t>Summit, NJ</t>
  </si>
  <si>
    <t>466 Springfield Avenue</t>
  </si>
  <si>
    <t>07901</t>
  </si>
  <si>
    <t>+1 (973) 218-8301</t>
  </si>
  <si>
    <t>434821-96P</t>
  </si>
  <si>
    <t>Ahsan Ali</t>
  </si>
  <si>
    <t>Ahsan</t>
  </si>
  <si>
    <t>Mr. Ahsan Ali serves as Partner &amp; Associate Director at Boston Consulting Group. His client experience has covered ZBB strategic cost reduction, margin management, stock optimization, forecasting and budgeting, and promotion planning.</t>
  </si>
  <si>
    <t>+44 (0)20 7753 5353</t>
  </si>
  <si>
    <t>ali.ahsan@bcg.com</t>
  </si>
  <si>
    <t>80 Charlotte Street</t>
  </si>
  <si>
    <t>W1T 4QS</t>
  </si>
  <si>
    <t>455407-57P</t>
  </si>
  <si>
    <t>Aissa Boudadi</t>
  </si>
  <si>
    <t>Aissa</t>
  </si>
  <si>
    <t>Boudadi</t>
  </si>
  <si>
    <t>Mr. Aissa Boudadi serves as Partner &amp; Associate Director at Boston Consulting Group. He is a core member of the firm's Corporate Finance &amp; Strategy practice and a leader in BCG's Center for CFO Excellence. He has over 15 years of experience advising finance functions on large-scale finance transformations and tech-enabled change. He has worked with clients in the Americas, Europe, and Asia Pacific. In addition, he supports private equity due diligence work for the office of the CFO software assets and strategy projects for private-equity-owned and enterprise-software-owned CFO solutions.</t>
  </si>
  <si>
    <t>+1 (786) 497-8100</t>
  </si>
  <si>
    <t>boudadi.aissa@bcg.com</t>
  </si>
  <si>
    <t>1450 Brickell Avenue</t>
  </si>
  <si>
    <t>33131</t>
  </si>
  <si>
    <t>+1 (786) 497-8120</t>
  </si>
  <si>
    <t>455967-28P</t>
  </si>
  <si>
    <t>Ajay Chowdhury</t>
  </si>
  <si>
    <t>Chowdhury</t>
  </si>
  <si>
    <t>Mr. Ajay Chowdhury serves as Managing Director &amp; Senior Partner at Boston Consulting Group. He is a member of BCG X and has over 25 years of startup and venture experience helping clients build disruptive new digital businesses in a wide range of industries, especially consumer, retail, technology, media, and telecommunications. He has particular expertise in mobile, e-commerce, digital media, data analytics, digital retail, and government, and strong functional expertise in sales, strategy development, product development, and fundraising. Before joining the firm, he was CEO of Seatwave, a leading European online and mobile ticket marketplace that he sold to Ticketmaster. He was also the Chairman and founder investor in Shazam, which was sold to Apple. He was also the founder and CEO of ComQi, a global cloud-based retail technology platform to allow retailers to connect their online and offline businesses. In addition, he founded a venture capital fund and worked at Bain &amp; Company. He serves on the boards of several other companies, including as Chairman of Cambridge Enterprise, Cambridge University's spinout arm.</t>
  </si>
  <si>
    <t>chowdhury.ajay@bcg.com</t>
  </si>
  <si>
    <t>436312-72P</t>
  </si>
  <si>
    <t>Akihiro Kooka</t>
  </si>
  <si>
    <t>Akihiro</t>
  </si>
  <si>
    <t>Kooka</t>
  </si>
  <si>
    <t>Mr. Akihiro Kooka serves as Partner at Boston Consulting Group. He is a core member of the firm's Operations, Industrial Goods, and Technology, Media, &amp; Telecommunications practices with a focus on transformation.</t>
  </si>
  <si>
    <t>kooka.akihiro@bcg.com</t>
  </si>
  <si>
    <t>455882-77P</t>
  </si>
  <si>
    <t>Akihito Sugai</t>
  </si>
  <si>
    <t>Akihito</t>
  </si>
  <si>
    <t>Sugai</t>
  </si>
  <si>
    <t>Mr. Akihito Sugai serves as Managing Director &amp; Partner at Boston Consulting Group. He is a core member of the firm's Operations and Transformation practices. He works extensively with companies in a variety of industries, mainly in manufacturing and energy. He has assisted his clients on operational reform, especially on efficiency improvement and functional enhancement of corporate functions, cost reduction through consolidating groupwide operations, introducing shared services, and BPO (business process outsourcing) of non-core operations. Prior to joining BCG, he worked at Accenture.</t>
  </si>
  <si>
    <t>sugai.akihito@bcg.com</t>
  </si>
  <si>
    <t>435088-72P</t>
  </si>
  <si>
    <t>Akin Soysal</t>
  </si>
  <si>
    <t>Akin</t>
  </si>
  <si>
    <t>Soysal</t>
  </si>
  <si>
    <t>Mr. Akin Soysal serves as Managing Director &amp; Partner at Boston Consulting Group. He has advised many financial institutions on market entry, digital growth strategy, and build-up of digital attackers. He is a co-author of BCG's annual Global Wealth Report.</t>
  </si>
  <si>
    <t>+41 (0)44 388 8666</t>
  </si>
  <si>
    <t>soysal.akin@bcg.com</t>
  </si>
  <si>
    <t>Bleicherweg 62</t>
  </si>
  <si>
    <t>+41 (0)44 388 8686</t>
  </si>
  <si>
    <t>455722-57P</t>
  </si>
  <si>
    <t>Akira Abe</t>
  </si>
  <si>
    <t>Akira</t>
  </si>
  <si>
    <t>Mr. Akira Abe serves as Managing Director &amp; Partner, BCG X at Boston Consulting Group. He leads new business launches and corporate venturing at BCG X, the firm's tech build and design division. He supports clients in the insurance, logistics, and health care industries as they create new businesses. In particular, he has extensive experience creating new businesses through the build-operate-transfer (BOT) method. Prior to joining BCG, he worked at DeNA and at mixi, Inc. Before that, he worked at NTT DOCOMO Inc. and at a startup that specializes in image recognition.</t>
  </si>
  <si>
    <t>abe.akira@bcg.com</t>
  </si>
  <si>
    <t>Managing Director &amp; Partner, BCG X</t>
  </si>
  <si>
    <t>435704-50P</t>
  </si>
  <si>
    <t>Akira Morita</t>
  </si>
  <si>
    <t>Morita</t>
  </si>
  <si>
    <t>Mr. Akira Morita serves as Managing Director &amp; Senior Partner at Boston Consulting Group. He has advised clients across a range of industries, including consumer goods, retail, and transportation. He has acquired deep experience in the food and beverage sector and the transportation industry.</t>
  </si>
  <si>
    <t>morita.akira@bcg.com</t>
  </si>
  <si>
    <t>456030-73P</t>
  </si>
  <si>
    <t>Akitake Fujita</t>
  </si>
  <si>
    <t>Akitake</t>
  </si>
  <si>
    <t>Fujita</t>
  </si>
  <si>
    <t>Mr. Akitake Fujita serves as Managing Director &amp; Partner at Boston Consulting Group. He is a core member of the firm's Travel, Cities &amp; Infrastructure, and Corporate Finance &amp; Strategy practices. He has worked with companies in industries including travel, transportation, logistics, public transportation, real estate, and retail in multiple topics, including corporate transformation, digitization, scenario planning, globalization strategy, corporate finance, and organizational management. Prior to joining BCG, he worked at Link and Motivation and Arthur D. Little.</t>
  </si>
  <si>
    <t>fujita.akitake@bcg.com</t>
  </si>
  <si>
    <t>455901-13P</t>
  </si>
  <si>
    <t>Akram Awad Ph.D</t>
  </si>
  <si>
    <t>Akram</t>
  </si>
  <si>
    <t>Awad</t>
  </si>
  <si>
    <t>Dr. Akram Awad serves as Managing Director &amp; Partner at Boston Consulting Group. He is a core member of BCG's Public Sector and Technology Advantage practices with over ten years of experience in consulting, telecommunications, and technology. He is an expert on artificial intelligence, big data and analytics, digital transformation, and innovation management, and has worked with clients from around the world, primarily in the public sector and technology, media, and telecommunications industries.</t>
  </si>
  <si>
    <t>akram.awad@bcg.com</t>
  </si>
  <si>
    <t>435343-69P</t>
  </si>
  <si>
    <t>Alain Schneuwly</t>
  </si>
  <si>
    <t>Alain</t>
  </si>
  <si>
    <t>Schneuwly</t>
  </si>
  <si>
    <t>Mr. Alain Schneuwly serves as Managing Director at Boston Consulting Group. He works with clients to identify their highest-value opportunities, address their most critical challenges, and implement key initiatives.</t>
  </si>
  <si>
    <t>schneuwly.alain@bcg.com</t>
  </si>
  <si>
    <t>435279-97P</t>
  </si>
  <si>
    <t>Alan Iny</t>
  </si>
  <si>
    <t>Iny</t>
  </si>
  <si>
    <t>Mr. Alan Iny serves as Partner &amp; Director, Creativity &amp; Scenarios at Boston Consulting Group. He has trained thousands of people on how to think creatively, and he works with a wide range of clients across industries worldwide. He also has a deep focus on navigating uncertainty, using scenarios to help clients think more expansively about the future.</t>
  </si>
  <si>
    <t>+1 (212) 446-2800</t>
  </si>
  <si>
    <t>iny.alan@bcg.com</t>
  </si>
  <si>
    <t>40-47, 10 Hudson Yards</t>
  </si>
  <si>
    <t>+1 (212) 446-2801</t>
  </si>
  <si>
    <t>Partner &amp; Director, Creativity &amp; Scenarios</t>
  </si>
  <si>
    <t>435546-28P</t>
  </si>
  <si>
    <t>Alan Thomson</t>
  </si>
  <si>
    <t>Thomson</t>
  </si>
  <si>
    <t>Mr. Alan Thomson serves as Managing Director &amp; Senior Partner at Boston Consulting Group. He has extensive experience and expertise in strategy development, transformation, low carbon energy and decarbonization, organization design, corporate governance, digital transformation, and operations (supply chain and manufacturing).</t>
  </si>
  <si>
    <t>+1 (713) 286-7000</t>
  </si>
  <si>
    <t>at@bcg.com</t>
  </si>
  <si>
    <t>1221 McKinney</t>
  </si>
  <si>
    <t>77010</t>
  </si>
  <si>
    <t>+1 (713) 286-7001</t>
  </si>
  <si>
    <t>456554-26P</t>
  </si>
  <si>
    <t>Alan Wise</t>
  </si>
  <si>
    <t>Wise</t>
  </si>
  <si>
    <t>Mr. Alan Wise serves as Managing Director &amp; Senior Partner at Boston Consulting Group. He leads the firm's South System of offices encompassing Atlanta, Austin, Dallas, Denver, Houston, Mexico City, Miami, and Monterrey. He is a member of the firm's North America Management Team and also serves as the leader for airline engagements within the firm's travel and tourism work in North America. He works with a range of clients, including airlines-network carriers, low-cost carriers, and cargo, hotels, cruise lines, and travel distribution companies. His experience includes strategy development and execution (commercial, digital, operations), transformation and turnaround, M&amp;A, and evaluation of new business opportunities.</t>
  </si>
  <si>
    <t>wise.alan@bcg.com</t>
  </si>
  <si>
    <t>436311-01P</t>
  </si>
  <si>
    <t>Alberic Noel</t>
  </si>
  <si>
    <t>Alberic</t>
  </si>
  <si>
    <t>Noel</t>
  </si>
  <si>
    <t>Mr. Alberic Noel serves as Managing Director &amp; Partner at Boston Consulting Group. His current focus is on next-generation enterprise solution, data and digital platform architectures, and turnaround.</t>
  </si>
  <si>
    <t>noel.alberic@bcg.com</t>
  </si>
  <si>
    <t>456289-57P</t>
  </si>
  <si>
    <t>Albert Waas Ph.D</t>
  </si>
  <si>
    <t>Albert</t>
  </si>
  <si>
    <t>Waas</t>
  </si>
  <si>
    <t>Dr. Albert Waas serves as Managing Director &amp; Senior Partner at Boston Consulting Group. He leads the firm's automotive and mobility sector in Europe, the Middle East, South America, and Africa. He has collaborated with a broad range of clients, including European and international automotive OEMs, suppliers, aftermarket players, importers, dealers, and mobility players across the entire value chain. His expertise includes holistic transformations, strategy development, go-to-market strategy, restructuring, company build-up and scaling, cost programs, digital transformation initiatives, sustainability agendas, and due diligence.</t>
  </si>
  <si>
    <t>waas.albert@bcg.com</t>
  </si>
  <si>
    <t>436232-98P</t>
  </si>
  <si>
    <t>Alberto Fuente</t>
  </si>
  <si>
    <t>Fuente</t>
  </si>
  <si>
    <t>Mr. Alberto Fuente serves as Managing Director &amp; Partner at Boston Consulting Group. He is a core member of the Energy and Operations practices, working with oil and gas, and petrochemical companies around the world. He specializes in strategy and operational optimization, with a focus on bottom-line impact.</t>
  </si>
  <si>
    <t>+34 91 520 6100</t>
  </si>
  <si>
    <t>fuente.alberto@bcg.com</t>
  </si>
  <si>
    <t>Alcala, 95-2nd Floor</t>
  </si>
  <si>
    <t>28009</t>
  </si>
  <si>
    <t>+34 91 520 6222</t>
  </si>
  <si>
    <t>435337-66P</t>
  </si>
  <si>
    <t>Alberto Guerrini</t>
  </si>
  <si>
    <t>Guerrini</t>
  </si>
  <si>
    <t>Mr. Alberto Guerrini serves as Managing Director &amp; Senior Partner at Boston Consulting Group. He has helped clients addressing strategic planning, M&amp;A, post-merger integration, turnaround, organization redesign, commercial excellence (network design, pricing, revenue management, ancillary revenues, digital strategy), and operations optimization (supply chain, strategic sourcing, cost reduction programs). He has led over 20 transformations in pricing and revenue management for travel operators around the globe.</t>
  </si>
  <si>
    <t>+39 02 6559 91</t>
  </si>
  <si>
    <t>guerrini.alberto@bcg.com</t>
  </si>
  <si>
    <t>Via Ugo Foscolo 1</t>
  </si>
  <si>
    <t>+39 02 6559 9655</t>
  </si>
  <si>
    <t>435225-70P</t>
  </si>
  <si>
    <t>Alejandro Navarro</t>
  </si>
  <si>
    <t>Alejandro</t>
  </si>
  <si>
    <t>Navarro</t>
  </si>
  <si>
    <t>Mr. Alejandro Navarro serves as Managing Director &amp; Partner at Boston Consulting Group. He works with clients on driving broad transformation programs, developing winning corporate and business unit strategies, and helping them define and achieve their ESG ambitions. He has particular expertise in reimagining consumer product portfolios to optimize for sustainability, cost, and consumer value.</t>
  </si>
  <si>
    <t>+31 (0)20 548 4000</t>
  </si>
  <si>
    <t>navarro.alejandro@bcg.com</t>
  </si>
  <si>
    <t>Gustav Mahlerlaan 40, 1082 MC Amsterdam</t>
  </si>
  <si>
    <t>Post Office Box 87597</t>
  </si>
  <si>
    <t>1080 JN</t>
  </si>
  <si>
    <t>+31 (0)20 548 4001</t>
  </si>
  <si>
    <t>455423-95P</t>
  </si>
  <si>
    <t>Alejandro Tfeli</t>
  </si>
  <si>
    <t>Tfeli</t>
  </si>
  <si>
    <t>Mr. Alejandro Tfeli serves as Managing Director &amp; Partner at Boston Consulting Group. He is a core member of the firm's Financial Institutions practice and leads the firm's work in payments and transactional banking for Spanish-speaking South America. Alejandro is currently serving as the office leader for Buenos Aires. Since joining BCG, his work has covered all aspects of the payments value chain, including merchant acquirers, issuing, processors, ATM networks, bill payments, and payment fintechs.</t>
  </si>
  <si>
    <t>tfeli.alejandro@bcg.com</t>
  </si>
  <si>
    <t>Avenue Cordoba 111</t>
  </si>
  <si>
    <t>17th floor</t>
  </si>
  <si>
    <t>455910-58P</t>
  </si>
  <si>
    <t>Alessandra Catozzella</t>
  </si>
  <si>
    <t>Alessandra</t>
  </si>
  <si>
    <t>Catozzella</t>
  </si>
  <si>
    <t>Dr. Alessandra Catozzella serves as Managing Director &amp; Partner at Boston Consulting Group. She is a core member of the Health Care and Public Sector practices at the firm. She works with health care private payers and providers, and leads the development of public sector health care across the EMC region (Italy, Greece, Turkey, Israel, and the Caspian). She primarily advises health care payers, providers, and systems on driving integrated, digital, and data-enabled health care strategies. Prior to joining BCG, she held senior roles at leading international insurance companies in Italy and Switzerland, including at AXA Italia, where she was most recently Head of Health and Executive Director.</t>
  </si>
  <si>
    <t>catozzella.alessandra@bcg.com</t>
  </si>
  <si>
    <t>456220-36P</t>
  </si>
  <si>
    <t>Alessandro Callioni</t>
  </si>
  <si>
    <t>Callioni</t>
  </si>
  <si>
    <t>Mr. Alessandro Callioni serves as Managing Director &amp; Partner at Boston Consulting Group. He is a core member of the Industrial Goods practice at the firm, with a specific focus on engineering, procurement, and construction (EPC), large capex program management, and the steel industry. He has considerable expertise in strategy, business planning, implementation, and change management. He is a member of BCG's Italy, Greece, Turkey, and Israel Career Development Committee, as well as the Recruiting and Training Team. Prior to joining BCG, he worked at Roland Berger Strategy Consultants and at Ernst &amp; Young.</t>
  </si>
  <si>
    <t>callioni.alessandro@bcg.com</t>
  </si>
  <si>
    <t>434957-95P</t>
  </si>
  <si>
    <t>Alessandro Zampieri Ph.D</t>
  </si>
  <si>
    <t>Zampieri</t>
  </si>
  <si>
    <t>Mr. Alessandro Zampieri serves as Partner &amp; Associate Director at Boston Consulting Group. He focuses on technology innovation and commercialization, from R&amp;D to pilots/demos, and scale-up to pre-commercial and commercial projects.</t>
  </si>
  <si>
    <t>zampieri.alessandro@bcg.com</t>
  </si>
  <si>
    <t>455470-03P</t>
  </si>
  <si>
    <t>Alessio Cavallini</t>
  </si>
  <si>
    <t>Alessio</t>
  </si>
  <si>
    <t>Cavallini</t>
  </si>
  <si>
    <t>Mr. Alessio Cavallini serves as Managing Director &amp; Partner at Boston Consulting Group. He is a core member of the firm's Technology &amp; Digital Advantage practice focusing on insurance and technology clients. He advises insurance companies on strategic technology topics including core insurance system replacements, insurance operations (IT and business) optimization and automation, GenAI\AI scale up, and optimization of the technology area setup.</t>
  </si>
  <si>
    <t>cavallini.alessio@bcg.com</t>
  </si>
  <si>
    <t>435739-24P</t>
  </si>
  <si>
    <t>Alex Barocas</t>
  </si>
  <si>
    <t>Barocas</t>
  </si>
  <si>
    <t>Mr. Alex Barocas serves as Partner &amp; Associate Director at Boston Consulting Group. He is a member of the firm's Marketing, Sales &amp; Pricing practice and the Digital Marketing Accelerator. He began as an account executive and quickly ascended to senior executive, sales director, global agency lead, and then regional vice president. Before joining BCG, he was the regional VP for Turn, a company that provides insights, analytics, and planning to leading advertising agencies, brands, and media companies.</t>
  </si>
  <si>
    <t>barocas.alex@bcg.com</t>
  </si>
  <si>
    <t>62861-50P</t>
  </si>
  <si>
    <t>Alex Baxter</t>
  </si>
  <si>
    <t>Baxter</t>
  </si>
  <si>
    <t>Mr. Alex Baxter serves as Managing Director &amp; Partner at Boston Consulting Group. Mr. Alex Baxter served as President and Chief Executive Officer at CauseForce. A senior digital media and technology executive, with a data and analytics-based perspective on decision making, Baxter brings years of leadership experience within digital, media and live event/entertainment organization. Prior to CauseForce, he served as Chief Executive Officer of RGM Group, a private equity backed digital media and ad technology business that creates and monetizes advertising opportunities on digital properties like OpenTable and GrubHub/Seamless. Other roles include Chief Digital Officer at private equity backed Competitor Group, Vice President and General Manager, Digital for Condé Nast's PARADE Publications, Executive Director of Digital Media at Wenner Media (Rolling Stone, US Weekly and Men's Journal) and Director of Internet Sales &amp; Marketing at News Corporation for The Wall Street Journal's vertical network of digital properties. He holds an MBA from Columbia Business School and a BS, BA and Honorary Doctorate from Southern Wesleyan University.</t>
  </si>
  <si>
    <t>baxter.alex@bcg.com</t>
  </si>
  <si>
    <t>434835-82P</t>
  </si>
  <si>
    <t>Alex Bostrom Ph.D</t>
  </si>
  <si>
    <t>Bostrom</t>
  </si>
  <si>
    <t>Mr. Alex Bostrom serves as Partner at Boston Consulting Group. He focuses on all aspects of the media landscape, including TV, radio, traditional and digital publishing, and social media. He has specialized knowledge in both ad sales and retail media, and coleads a BCG team exploring the potentials of the metaverse.</t>
  </si>
  <si>
    <t>bostrom.alex@bcg.com</t>
  </si>
  <si>
    <t>455727-07P</t>
  </si>
  <si>
    <t>Alex Caffey</t>
  </si>
  <si>
    <t>Caffey</t>
  </si>
  <si>
    <t>Mr. Alex Caffey serves as Managing Director &amp; Partner at Boston Consulting Group. He is a core member of the firm's Consumer practice. He focuses on corporate strategy and large-scale change initiatives. He has substantial expertise working with leading consumer goods manufacturers, distributors, and service providers. He helps his clients navigate complex corporate strategy questions. He has deep experience leading large-scale change initiatives that bring strategy to life: operating and organizational model transformation; commercial go-to-market performance improvement; and strategic transactions. Prior to joining BCG, he advised corporate and financial sponsor clients on mergers and acquisitions at Sagent Advisors, a boutique investment bank.</t>
  </si>
  <si>
    <t>caffey.alex@bcg.com</t>
  </si>
  <si>
    <t>435862-81P</t>
  </si>
  <si>
    <t>Alex Dewar</t>
  </si>
  <si>
    <t>Dewar</t>
  </si>
  <si>
    <t>Mr. Alex Dewar serves as Managing Director &amp; Partner at Boston Consulting Group. He works with a wide range of energy, industrial, and financial sector clients to assess the risks and opportunities presented by climate change and the energy transition.</t>
  </si>
  <si>
    <t>dewar.alex@bcg.com</t>
  </si>
  <si>
    <t>455705-29P</t>
  </si>
  <si>
    <t>Alex Dumbell</t>
  </si>
  <si>
    <t>Dumbell</t>
  </si>
  <si>
    <t>Mr. Alex Dumbell serves as Managing Director &amp; Partner at Boston Consulting Group. He is a core member of the firm's Technology, Media &amp; Telecommunications practice, focusing on B2B information services. He is also a member of the Marketing, Sales &amp; Pricing practice, leading the pricing and packaging topic for B2B information services in London. He has significant experience in supporting corporate clients, as well as private equity firms and their companies through all stages of the ownership cycle, covering growth strategy, portfolio strategy, pricing and packaging, buy-side due diligence, and sell-side due diligence. Before joining the firm, he spent two years as a Senior Strategy Manager at Liberty Global and six years as a Manager at OC&amp;C Strategy Consultants.</t>
  </si>
  <si>
    <t>dumbell.alex@bcg.com</t>
  </si>
  <si>
    <t>435658-51P</t>
  </si>
  <si>
    <t>Alex Koster</t>
  </si>
  <si>
    <t>Koster</t>
  </si>
  <si>
    <t>Mr. Alex Koster serves as Managing Director &amp; Senior Partner at Boston Consulting Group. He leads BCG's global automotive technology business, which includes automotive software, semiconductors, and autonomous vehicles. He also leads BCG's global digital ecosystems, joint ventures and alliances work.</t>
  </si>
  <si>
    <t>koster.alex@bcg.com</t>
  </si>
  <si>
    <t>435290-77P</t>
  </si>
  <si>
    <t>Alex Mur</t>
  </si>
  <si>
    <t>Mur</t>
  </si>
  <si>
    <t>Mr. Alex Mur serves as Managing Director &amp; Senior Partner at Boston Consulting Group. His work has included helping clients deliver large margin-improvement programs (e.g., operations, change management, transformation), develop strategy plans, and plan for business development and sustainable growth.</t>
  </si>
  <si>
    <t>alex@bcg.com</t>
  </si>
  <si>
    <t>456256-18P</t>
  </si>
  <si>
    <t>Alex Wright</t>
  </si>
  <si>
    <t>Mr. Alex Wright serves as Managing Director &amp; Partner at Boston Consulting Group. He is a core member of the firm's Principal Investor &amp; Private Equity and Travel, Cities &amp; Infrastructure practices, and the infrastructure investing lead for North America. He currently serves as the career services lead for the Boston office. He primarily works with private equity firms and their portfolio companies on both transaction support and portfolio acceleration efforts. He has extensive experience in the fields of transportation and logistics, energy transition, digital infrastructure, and social infrastructure/environmental services. He has led numerous sell-side vendor due diligence efforts in a variety of industries. Prior to coming to work at BCG, he worked with the tech startup Concentra Consulting and AT Kearney.</t>
  </si>
  <si>
    <t>wright.alex@bcg.com</t>
  </si>
  <si>
    <t>436370-86P</t>
  </si>
  <si>
    <t>Alex Wulz</t>
  </si>
  <si>
    <t>Wulz</t>
  </si>
  <si>
    <t>Mr. Alex Wulz serves as Managing Director &amp; Partner at Boston Consulting Group. His client work has included airline, cruise ship, rail, and travel distribution, within which he has helped clients shape strategy and achieve operational excellence, with a balanced focus on cost, reliability, and customer experience.</t>
  </si>
  <si>
    <t>+1 (404) 877-5200</t>
  </si>
  <si>
    <t>wulz.alex@bcg.com</t>
  </si>
  <si>
    <t>1075 Peachtree Street North East</t>
  </si>
  <si>
    <t>Suite 3800</t>
  </si>
  <si>
    <t>30309</t>
  </si>
  <si>
    <t>+1 (404) 877-5201</t>
  </si>
  <si>
    <t>456552-55P</t>
  </si>
  <si>
    <t>Alex Xie</t>
  </si>
  <si>
    <t>Xie</t>
  </si>
  <si>
    <t>Mr. Alex Xie serves as Managing Director &amp; Partner at Boston Consulting Group. He is a core member of the Industrial Goods practice at the firm. He focuses on the automotive industry. He has advised leading multinational and domestic automotive companies in Germany and China on designing corporate and business strategies, executing mergers and acquisitions, joint venture formations, and implementing organizational transformations. Before joining the firm, he was the head of strategy for one of the leading Chinese internet companies and a senior legal and tax advisor at PricewaterhouseCoopers. He is a chartered financial analyst (CFA).</t>
  </si>
  <si>
    <t>+86 (0)121 2082 3000</t>
  </si>
  <si>
    <t>xie.alex@bcg.com</t>
  </si>
  <si>
    <t>41st Floor, Phase II</t>
  </si>
  <si>
    <t>Shanghai ifc 8 Century Avenue</t>
  </si>
  <si>
    <t>200120</t>
  </si>
  <si>
    <t>+86 (0)21 2082 3222</t>
  </si>
  <si>
    <t>456042-07P</t>
  </si>
  <si>
    <t>Alex Yurek</t>
  </si>
  <si>
    <t>Yurek</t>
  </si>
  <si>
    <t>Mr. Alex Yurek serves as Managing Director &amp; Partner at Boston Consulting Group. He is a core member of the firm's Consumer and Operations practices. Alex works within the consumer goods space with a focus on digital and AI transformation work that drives value for frontline sales, manufacturing, and supply chain teams. He has led digital transformations for companies around the globe. His work has impacted thousands of workers, reinforcing value-adding work and contributing millions of dollars of bottom-line impact for his clients. Before coming to BCG, he was the founder of a portfolio holding company of food and beverage brands, and he continues to sit on the board of directors for Big League Foods Inc.</t>
  </si>
  <si>
    <t>yurek.alex@bcg.com</t>
  </si>
  <si>
    <t>455636-17P</t>
  </si>
  <si>
    <t>Alexander Brenner</t>
  </si>
  <si>
    <t>Brenner</t>
  </si>
  <si>
    <t>Mr. Alexander Brenner serves as Managing Director &amp; Partner at Boston Consulting Group. He is the office lead for the firm in Hamburg and a core member of BCG's Industrial Goods practice. He is also a member of the automotive and mobility leadership team for Europe, the Middle East, and South America, where he is the regional lead for suppliers and aftermarket. In addition, he is the global squad lead of the automotive aftermarket where it intersects with Marketing, Sales, &amp; Pricing. He is an expert in strategies and M&amp;A along the automotive lifecycle, with a focus on automotive suppliers and aftermarket for car and truck manufacturers, suppliers, wholesalers, and e-commerce players. Before joining the firm, he worked at Roland Berger for 16 years, holding various positions, most recently as Senior Partner and non-elected member of the supervisory board's strategy and people committee.</t>
  </si>
  <si>
    <t>+49 (0)40 3099 60</t>
  </si>
  <si>
    <t>brenner.alex@bcg.com</t>
  </si>
  <si>
    <t>Hamburg</t>
  </si>
  <si>
    <t>Hamburg, Germany</t>
  </si>
  <si>
    <t>Ballindamm 17</t>
  </si>
  <si>
    <t>20095</t>
  </si>
  <si>
    <t>+49 (0)40 3379 45</t>
  </si>
  <si>
    <t>456066-10P</t>
  </si>
  <si>
    <t>Alexander Duerloo Ph.D</t>
  </si>
  <si>
    <t>Duerloo</t>
  </si>
  <si>
    <t>Dr. Alexander Duerloo serves as a Partner at Boston Consulting Group. As a core member of the firm's Tech &amp; Digital Advantage practice, as well as BCG X, the firm's tech build and design unit, Dr. Duerloo focuses on boosting organizational productivity and effectiveness through cutting-edge AI solutions. He helps clients develop AI strategy, build AI systems, and transform processes to maximize the value from AI. He has hands-on experience as an operator in technology development and large-scale deployment programs applied to domains, including marketing, pricing, planning, forecasting, and back-office information processing. Prior to joining BCG, he was a scientist at Stanford University, where he used computer simulations and AI models to discover new nanomaterial applications.</t>
  </si>
  <si>
    <t>duerloo.alexander@bcg.com</t>
  </si>
  <si>
    <t>455496-31P</t>
  </si>
  <si>
    <t>Alexander Elboth</t>
  </si>
  <si>
    <t>Elboth</t>
  </si>
  <si>
    <t>Mr. Alexander Elboth serves as Managing Director &amp; Partner at Boston Consulting Group. He is a core member of the firm's Energy and Corporate Finance &amp; Strategy practices. He also has extensive experience across a variety of industries, including strategy development, shareholder value advisory, transaction support (including post-merger integrations), and target operating model design and implementation. Before joining BCG, he spent seven years in the Royal Norwegian Navy, initially as a cadet at the Naval Academy and then as an officer onboard a Fridtjof Nansen-class frigate.</t>
  </si>
  <si>
    <t>+47 21 04 68 00</t>
  </si>
  <si>
    <t>elboth.alexander@bcg.com</t>
  </si>
  <si>
    <t>Henrik Ibsens Gate 4</t>
  </si>
  <si>
    <t>0255</t>
  </si>
  <si>
    <t>+47 21 04 68 15</t>
  </si>
  <si>
    <t>436115-80P</t>
  </si>
  <si>
    <t>Alexander Felde</t>
  </si>
  <si>
    <t>Felde</t>
  </si>
  <si>
    <t>Mr. Alexander Felde serves as Partner &amp; Associate Director, Total Societal Impact &amp; Sustainability &amp; Circular Economy at Boston Consulting Group. He is associate director for Total Societal Impact (TSI), sustainability, and circular economy, and a core member of BCG's Strategy, Industrial Goods, and Social Impact practices.</t>
  </si>
  <si>
    <t>felde.alexander@bcg.com</t>
  </si>
  <si>
    <t>Partner &amp; Associate Director, Total Societal Impact &amp; Sustainability &amp; Circular Economy</t>
  </si>
  <si>
    <t>435393-01P</t>
  </si>
  <si>
    <t>Alexander Grawert</t>
  </si>
  <si>
    <t>Grawert</t>
  </si>
  <si>
    <t>Mr. Alexander Grawert serves as Managing Director &amp; Partner at Boston Consulting Group. He has provided strategic, corporate development, business transformation, and financial steering advice to insurance leaders across Asia and Europe through a broad strategic perspective supported by Alexander's strong financial and operational foundation.</t>
  </si>
  <si>
    <t>+852 2506 2111</t>
  </si>
  <si>
    <t>grawert.alexander@bcg.com</t>
  </si>
  <si>
    <t>37 Floor Two Taikoo Place</t>
  </si>
  <si>
    <t>979 King's Road, Quarry Bay</t>
  </si>
  <si>
    <t>+852 2506 9084</t>
  </si>
  <si>
    <t>455494-96P</t>
  </si>
  <si>
    <t>Alexander Gray</t>
  </si>
  <si>
    <t>Mr. Alexander Gray serves as Managing Director at Boston Consulting Group. He leads BCG Platinion for the firm in Oslo. He has over 20 years of experience in digital transformation, enterprise architecture, software engineering, AI, and IT strategy. He has led numerous large-scale technology transformations as program lead, technical project lead, chief architect, and strategic advisor to executives and boards. He combines deep technology skills in software development, solution architecture, and data and analytics with a strong understanding of business drivers, change management, benefits realization, and organizational behavior. Prior to joining BCG, he was a partner with PriceWaterhouseCoopers and has also worked at Accenture and other consulting firms.</t>
  </si>
  <si>
    <t>gray.alexander@bcg.com</t>
  </si>
  <si>
    <t>436414-42P</t>
  </si>
  <si>
    <t>Alexander Kluger Ph.D</t>
  </si>
  <si>
    <t>Kluger</t>
  </si>
  <si>
    <t>Mr. Alexander Kluger serves as Managing Director &amp; Partner at Boston Consulting Group. He supported several large energy and mining players in their performance improvement and transformation programs, including operations, supply chain, support functions, and digital acceleration.</t>
  </si>
  <si>
    <t>+61 (0)8 6364 4300</t>
  </si>
  <si>
    <t>kluger.alexander@bcg.com</t>
  </si>
  <si>
    <t>Perth</t>
  </si>
  <si>
    <t>Perth, Australia</t>
  </si>
  <si>
    <t>Level 32</t>
  </si>
  <si>
    <t>250 Saint Georges Terrace</t>
  </si>
  <si>
    <t>Western Australia</t>
  </si>
  <si>
    <t>6000</t>
  </si>
  <si>
    <t>+61 (0)8 6364 5251</t>
  </si>
  <si>
    <t>434836-36P</t>
  </si>
  <si>
    <t>Alexander Nossmann Ph.D</t>
  </si>
  <si>
    <t>Nossmann</t>
  </si>
  <si>
    <t>Mr. Alexander Nossmann serves as Managing Director &amp; Partner at Boston Consulting Group. He helps his clients define and implement a sustainable strategy that includes a radical customer focus on e2e business and corporate center processes, organizational structures, functional operating models (sales, over support, regulatory), change management/communication, and HR.</t>
  </si>
  <si>
    <t>+49 (0)21 1301 130</t>
  </si>
  <si>
    <t>alexander.nossmann@bcg.com</t>
  </si>
  <si>
    <t>Dusseldorf</t>
  </si>
  <si>
    <t>Dusseldorf, Germany</t>
  </si>
  <si>
    <t>Konigsallee 2</t>
  </si>
  <si>
    <t>40212</t>
  </si>
  <si>
    <t>+49 (0)21 1131 296</t>
  </si>
  <si>
    <t>64595-08P</t>
  </si>
  <si>
    <t>Alexander Roos</t>
  </si>
  <si>
    <t>Mr. Alexander Roos serves as Senior Partner, Managing Director, and Global Leader, at the Center for CFO Excellence at Boston Consulting Group. Mr. Roos is the global leader of Boston Consulting Group's Center for CFO Excellence and a member of the Industrial Goods practice. Since joining BCG in 1998, His client work has included global corporations as well as international private-equity investors and sovereign wealth funds covering a wide range of industries. He has extensive experience supporting global portfolio and strategy reviews, developing and implementing acquisition strategies and divestiture programs, structuring and managing turnaround processes and performance improvements, and organizing investor management and capital market studies. Prior to joining BCG, he held positions in consulting, financial advisory services, and corporate controlling in Europe and North America.</t>
  </si>
  <si>
    <t>+49 (0)30 2887 10</t>
  </si>
  <si>
    <t>a-r@bcg.com</t>
  </si>
  <si>
    <t>Am Postbahnhof 15</t>
  </si>
  <si>
    <t>10243</t>
  </si>
  <si>
    <t>+49 (0)30 2809 8305</t>
  </si>
  <si>
    <t>Senior Partner, Managing Director &amp; Global Leader, Center for CFO Excellence</t>
  </si>
  <si>
    <t>435710-89P</t>
  </si>
  <si>
    <t>Alexander Turpitz Ph.D</t>
  </si>
  <si>
    <t>Turpitz</t>
  </si>
  <si>
    <t>Mr. Alexander Turpitz serves as Managing Director &amp; Senior Partner at Boston Consulting Group. His experience covers business strategy projects, new business developments, organization redesign, economic development, nationalization, and policy development for Middle East governments.</t>
  </si>
  <si>
    <t>+49 (0)69 9150 20</t>
  </si>
  <si>
    <t>alexander.tuerpitz@bcg.com</t>
  </si>
  <si>
    <t>Bockenheimer Landstrasse 47</t>
  </si>
  <si>
    <t>60325</t>
  </si>
  <si>
    <t>+49 (0)69 5964 793</t>
  </si>
  <si>
    <t>254241-37P</t>
  </si>
  <si>
    <t>Alexander Wachtmeister</t>
  </si>
  <si>
    <t>Wachtmeister</t>
  </si>
  <si>
    <t>Mr. Alexander Wachtmeister serves as Managing Director &amp; Senior Partner at Boston Consulting Group. Mr. Alexander Wachtmeister serves as Supervisory Board Member, Industrials, operations, business transformation at DIA Management. He has worked with clients around the world, including in China, Korea, Russia, South America, Europe, and Germany. He has specific expertise in China.</t>
  </si>
  <si>
    <t>+65 6429 2500</t>
  </si>
  <si>
    <t>wachtmeister.alex@bcg.com</t>
  </si>
  <si>
    <t>79 Robinson Road</t>
  </si>
  <si>
    <t>Level 27 CapitaSky</t>
  </si>
  <si>
    <t>068897</t>
  </si>
  <si>
    <t>+65 6226 2610</t>
  </si>
  <si>
    <t>97584-40P</t>
  </si>
  <si>
    <t>Alexandra Friedman</t>
  </si>
  <si>
    <t>Ms. Alexandra Friedman is a Co-Founder and serves as Advisor and Board Member at Lola. Ms. Friedman also serves as Managing Director &amp; Partner, BCG X at Boston Consulting Group. She is a core member of the Consumer and Principal Investors &amp; Private Equity (PIPE) practices at the firm, and a member of X.Ventures, a part of BCG X, the firm's tech build and design unit. She leads consumer packaged goods (CPG) for X.Ventures, and oversees the X.Ventures PIPE strategy in North America. She has completed her Bachelor's degree from Dartmouth College.</t>
  </si>
  <si>
    <t>+1 (866) 232-0970</t>
  </si>
  <si>
    <t>alex@mylola.com</t>
  </si>
  <si>
    <t>440 Park Avenue South</t>
  </si>
  <si>
    <t>Co-Founder &amp; Advisor</t>
  </si>
  <si>
    <t>LOLA</t>
  </si>
  <si>
    <t>435282-31P</t>
  </si>
  <si>
    <t>Alexandre Aractingi</t>
  </si>
  <si>
    <t>Aractingi</t>
  </si>
  <si>
    <t>Mr. Alexandre Aractingi serves as Managing Director &amp; Senior Partner at Boston Consulting Group. He has worked extensively with telecom operators and international banks on large-scale technology-transformation projects. Besides technology-related projects, he has also worked with financial institutions on commercial development, reorganization, and cost- optimization projects.</t>
  </si>
  <si>
    <t>aractingi.alexandre@bcg.com</t>
  </si>
  <si>
    <t>456010-03P</t>
  </si>
  <si>
    <t>Alexandre Montoro</t>
  </si>
  <si>
    <t>Montoro</t>
  </si>
  <si>
    <t>Mr. Alexandre Montoro serves as Managing Director &amp; Partner at Boston Consulting Group. He has over 15 years of management consulting experience working in the telecommunications, financial services, and insurance industries. He is a core member of the firm's Financial Services, Technology, Media &amp; Telecommunications, and Consumer practices, and a coleader of the BCG X hub in Brazil. Before joining BCG, he worked at McKinsey &amp; Company as an Associate Partner and at Oliver Wyman as a Principal.</t>
  </si>
  <si>
    <t>+55 11 3046 3533</t>
  </si>
  <si>
    <t>montoro.alexandre@bcg.com</t>
  </si>
  <si>
    <t>Sao Paulo</t>
  </si>
  <si>
    <t>Sao Paulo, Brazil</t>
  </si>
  <si>
    <t>Avenida Brig Faria Lima 3732</t>
  </si>
  <si>
    <t>18 Andar</t>
  </si>
  <si>
    <t>04538-132</t>
  </si>
  <si>
    <t>Brazil</t>
  </si>
  <si>
    <t>456197-32P</t>
  </si>
  <si>
    <t>Alexis Albritton</t>
  </si>
  <si>
    <t>Albritton</t>
  </si>
  <si>
    <t>Ms. Alexis Albritton serves as Chief of Staff, Cyber &amp; Digital Risk at Boston Consulting Group. She is also the global manager of the firm and BCG Platinion's joint cyber and digital risk offering. She works closely with the cyber and risk global leadership, stakeholders across the Technology &amp; Digital Advantage (TDA) practice, BCG Platinion, and other industry and functional teams, driving the go-to-market strategy and growth of the global offer, and advising senior leadership. In addition, she is accountable for financials, marketing, brand, and client success, working closely with the TDA Knowledge Team. Before joining BCG, she was an associate for a boutique executive recruiting firm specializing in IT and high-tech CxO placements.</t>
  </si>
  <si>
    <t>albritton.alexis@bcg.com</t>
  </si>
  <si>
    <t>Chief of Staff, Cyber &amp; Digital Risk</t>
  </si>
  <si>
    <t>436287-43P</t>
  </si>
  <si>
    <t>Alexis Bour</t>
  </si>
  <si>
    <t>Bour</t>
  </si>
  <si>
    <t>Mr. Alexis Bour serves as Managing Director &amp; Partner at Boston Consulting Group. He works primarily with clients in mining, chemicals, energy, industrial goods, and consumer products.</t>
  </si>
  <si>
    <t>alexis.bour@bcg.com</t>
  </si>
  <si>
    <t>455463-46P</t>
  </si>
  <si>
    <t>Alexis Colombo</t>
  </si>
  <si>
    <t>Colombo</t>
  </si>
  <si>
    <t>Mr. Alexis Colombo serves as Managing Director &amp; Partner at Boston Consulting Group. He is a core member of the Consumer practice and the Transaction and Integration Excellence (TIE) team, working with clients on M&amp;A (pre- and post-deal) and shareholder value with a focus on consumer-facing businesses.</t>
  </si>
  <si>
    <t>colombo.alexis@bcg.com</t>
  </si>
  <si>
    <t>456623-74P</t>
  </si>
  <si>
    <t>Alfonso Abella</t>
  </si>
  <si>
    <t>Alfonso</t>
  </si>
  <si>
    <t>Abella</t>
  </si>
  <si>
    <t>Mr. Alfonso Abella serves as Managing Director, Senior Partner &amp; Leader for Deep Customer Engagement AI by BCG at Boston Consulting Group. He leads the firm's Operations practice in Iberia, and he is a core member of BCG's Energy, People &amp; Organization, and Technology, Media, &amp; Telecommunications practices. He works extensively with clients in the energy and telco industries on issues related to asset management, customer centricity, and value-based analytics.</t>
  </si>
  <si>
    <t>abella.alfonso@bcg.com</t>
  </si>
  <si>
    <t>Managing Director, Senior Partner &amp; Leader for Deep Customer Engagement AI by BCG</t>
  </si>
  <si>
    <t>434998-09P</t>
  </si>
  <si>
    <t>Alfonso Astudillo</t>
  </si>
  <si>
    <t>Astudillo</t>
  </si>
  <si>
    <t>Mr. Alfonso Astudillo serves as Managing Director &amp; Partner at Boston Consulting Group. He is the Customer Journeys node, the Agile@Scale node, and the Global Advantage node for the firm in spanish-speaking South America. Alfonso is currently focusing on helping B2C clients develop digital and agile capabilities.</t>
  </si>
  <si>
    <t>+56 (0)2 2338 9600</t>
  </si>
  <si>
    <t>astudillo.alfonso@bcg.com</t>
  </si>
  <si>
    <t>Avenida Costanera Sur 2730, 8th Floor</t>
  </si>
  <si>
    <t>Parque Titanium Las Condes</t>
  </si>
  <si>
    <t>436217-23P</t>
  </si>
  <si>
    <t>Alice Bolton</t>
  </si>
  <si>
    <t>Alice</t>
  </si>
  <si>
    <t>Bolton</t>
  </si>
  <si>
    <t>Ms. Alice Bolton serves as Partner &amp; Associate Director at Boston Consulting Group. She has particular expertise in the people and organizational tools to enable climate and sustainability transformation.</t>
  </si>
  <si>
    <t>bolton.alice@bcg.com</t>
  </si>
  <si>
    <t>376537-33P</t>
  </si>
  <si>
    <t>Alicia Pittman</t>
  </si>
  <si>
    <t>Pittman</t>
  </si>
  <si>
    <t>Ms. Alicia Pittman serves as Managing Director &amp; Senior Partner; Global People Chair Washington, DC at Boston Consulting Group. As Global People Team chair, She is responsible for BCG's efforts to attract, retain, and develop exceptional talent, ensuring BCG delivers leading-edge capabilities and diversity of perspectives to our clients. She also serves on the firm's Executive and Operating Committees.Prior to her current role of Global People Team chair, She was the North America Consulting People Team chair and led Women@BCG for North America. Over the last five years, she has played a vital role in shaping BCG's people strategy through COVID and developing new programs such as Teaming@BCG and Pathways@BCG. She has also been instrumental in upgrading compensation and benefits, strengthening career development processes, and expanding the DEI agenda to prioritize inclusion. These inclusion efforts included co-chairing BCG's Racial Equity task force and successfully increasing the representation, seniority, and engagement metrics of BCG's Black and LatinX networks. Her passion for BCG's value of "grow by growing others" guides her approach to mentoring BCGers the world over. Using an approach of deep engagement married with data and transparency, she helps BCG's current and rising leaders navigate the complexities of the business world and society. During her time at BCG, She has primarily been part of the Washington, DC office, while her client work has spanned France, the UK, China, Australia, India, and Brazil. Prior to joining the firm, She worked as an intelligence analyst for the CIA, where she specialized in West Africa. She has done BA from Princeton University and MBA with honors from University of Chicago.</t>
  </si>
  <si>
    <t>ap@bcg.com</t>
  </si>
  <si>
    <t>Managing Director &amp; Senior Partner; Global People Chair Washington, DC</t>
  </si>
  <si>
    <t>455360-23P</t>
  </si>
  <si>
    <t>Aline Ribeiro</t>
  </si>
  <si>
    <t>Aline</t>
  </si>
  <si>
    <t>Ms. Aline Ribeiro serves as Managing Director &amp; Partner at Boston Consulting Group. In her over 20 years in supply chain consulting, she has led over 200 projects related to logistics, planning, E2E supply chain cost reduction, supply chain strategy, and digital solutions to supply chain challenges. She is a core member of the firm's Consumer Goods and Industrial Goods practices, and has worked extensively in the oil and gas, agriculture, and pulp and paper industries. She serves as the lead for the firm's supply chain work in Brazil.</t>
  </si>
  <si>
    <t>ribeiro.aline@bcg.com</t>
  </si>
  <si>
    <t>456841-63P</t>
  </si>
  <si>
    <t>Aljoscha Zahner</t>
  </si>
  <si>
    <t>Aljoscha</t>
  </si>
  <si>
    <t>Zahner</t>
  </si>
  <si>
    <t>Mr. Aljoscha Zahner serves as Managing Director &amp; Partner at Boston Consulting Group. He is a core member of the firm's Large-Scale Change team, focusing on large end-to-end business transformations, turnarounds, and post-merger integrations (PMI), all three with the common objective of significant client value creation. His client work has included more than ten major transformations and post-merger integrations across sectors, including private equity, fast-moving consumer goods, white goods, banks, and other financial institutions. Before joining the firm, he worked for UBS Investment Banking as an assistant to the CEO for France and FICC sales trading, and KPMG, in the audit and M&amp;A departments.</t>
  </si>
  <si>
    <t>zahner.aljoscha@bcg.com</t>
  </si>
  <si>
    <t>435773-35P</t>
  </si>
  <si>
    <t>Allard Creyghton</t>
  </si>
  <si>
    <t>Allard</t>
  </si>
  <si>
    <t>Creyghton</t>
  </si>
  <si>
    <t>Mr. Allard Creyghton serves as Managing Director &amp; Senior Partner at Boston Consulting Group. He leads BCG's work focused on high-performance organizations, alternative channels, and sales force effectiveness-among other topics.</t>
  </si>
  <si>
    <t>creyghton.allard@bcg.com</t>
  </si>
  <si>
    <t>455644-45P</t>
  </si>
  <si>
    <t>Allon Glaser</t>
  </si>
  <si>
    <t>Allon</t>
  </si>
  <si>
    <t>Glaser</t>
  </si>
  <si>
    <t>Mr. Allon Glaser serves as Managing Director &amp; Partner at Boston Consulting Group. He is a member of the Technology &amp; Digital Advantage practice, with expertise in IT strategy and complex transformation management from vision through implementation and value realization. He brings 14 years of experience in technology strategy, transformation planning and delivery, ERP (enterprise resource planning) strategy and roadmapping, and executive change management to BCG. Prior to joining the firm, he was a Managing Director at Accenture and led the North American Transformation Excellence practice for Accenture's Technology Strategy and Advisory group.</t>
  </si>
  <si>
    <t>+1 (267) 773-5700</t>
  </si>
  <si>
    <t>glaser.allon@bcg.com</t>
  </si>
  <si>
    <t>1735 Market Street</t>
  </si>
  <si>
    <t>Suite 4000</t>
  </si>
  <si>
    <t>19103</t>
  </si>
  <si>
    <t>+1 (267) 773-5701</t>
  </si>
  <si>
    <t>435992-50P</t>
  </si>
  <si>
    <t>Alpesh Shah</t>
  </si>
  <si>
    <t>Alpesh</t>
  </si>
  <si>
    <t>Mr. Alpesh Shah serves as Managing Director &amp; Senior Partner at Boston Consulting Group. He has extensive experience in the insurance, financial services, telecommunications, and technology sectors in Asia, specifically India.</t>
  </si>
  <si>
    <t>shah.alpesh@bcg.com</t>
  </si>
  <si>
    <t>435353-77P</t>
  </si>
  <si>
    <t>Alvaro Bourio</t>
  </si>
  <si>
    <t>Alvaro</t>
  </si>
  <si>
    <t>Bourio</t>
  </si>
  <si>
    <t>Mr. Alvaro Bourio serves as Managing Director &amp; Partner at Boston Consulting Group. He has substantial experience working with national and international oil and gas companies as well as utilities on topics including transformation, digital, strategy, corporate development, and operations improvement.</t>
  </si>
  <si>
    <t>+ (57)1 6461240</t>
  </si>
  <si>
    <t>bourio.alvaro@bcg.com</t>
  </si>
  <si>
    <t>Avenue Calle 82 Number 9-65</t>
  </si>
  <si>
    <t>Edificio Savile 07th Floor</t>
  </si>
  <si>
    <t>162089-11P</t>
  </si>
  <si>
    <t>Aly-Khan Jamal</t>
  </si>
  <si>
    <t>Aly-Khan</t>
  </si>
  <si>
    <t>Jamal</t>
  </si>
  <si>
    <t>Mr. Aly-Khan Jamal serves as Managing Director &amp; Partner at Boston Consulting Group. He works with clients deploying capital, especially when they are aiming to achieve a combination of returns, sustainability, and impact. As a core member of the firm's Principal Investors &amp; Private Equity, Climate &amp; Sustainability, and Social Impact practices, he works with multilateral development banks, development finance institutions, impact investors, and private equity and venture capital players. He also works in agriculture/agribusiness and energy on issues from strategy through to social impact, inclusion, and sustainability. In these industries, he has worked with clients including leading multinational corporations, major philanthropies, the public sector, and investors. Mr. Jamal served as Partner &amp; Regional Director for Europe at Dalberg Global Development Advisors. He holds a Bachelor of Arts from Oxford University in Politics, Philosophy, and Economics and a Master's in Economics from McGill University.</t>
  </si>
  <si>
    <t>+234 (0)908 707 3300</t>
  </si>
  <si>
    <t>jamal.aly-khan@bcg.com</t>
  </si>
  <si>
    <t>The Rising Sun Building</t>
  </si>
  <si>
    <t>2 Olumegbon Road, Off Alfred Rewane (Kingsway) Road, Ikoyi</t>
  </si>
  <si>
    <t>435630-61P</t>
  </si>
  <si>
    <t>Aman Gupta</t>
  </si>
  <si>
    <t>Aman</t>
  </si>
  <si>
    <t>Mr. Aman Gupta serves as Managing Director &amp; Partner at Boston Consulting Group. He is a core member of the Consumer practice at the firm. His client work focuses on growth strategy initiatives covering pricing, revenue management, sales force effectiveness, and innovation. He has worked with business leaders across different sectors in the consumer goods and retail, including consumer health, personal care, health and wellness, and confectionery.</t>
  </si>
  <si>
    <t>gupta.aman@bcg.com</t>
  </si>
  <si>
    <t>456557-41P</t>
  </si>
  <si>
    <t>Aman Modi</t>
  </si>
  <si>
    <t>Modi</t>
  </si>
  <si>
    <t>Mr. Aman Modi serves as Managing Director &amp; Partner at Boston Consulting Group. He is a core member of the Energy, Corporate Finance &amp; Strategy, and Global Advantage practices at the firm in Southeast Asia. He works with clients in Southeast Asia, the Middle East, and Europe, across the energy value chain, on both traditional and energy transition topics. He has extensive experience in strategy and portfolio management, organization and operational transformation, M&amp;A and post-merger integration, and growth, innovation, and digital. He also has worked extensively with both private and public sector clients as they develop new businesses in next-generation auto, fintech, and other digital and technology-enabled industries. Before joining BCG in 2013, he worked in Corporate Finance, Investments, and M&amp;A at Royal Mail, and in M&amp;A for Deloitte covering the UK and Western Europe.</t>
  </si>
  <si>
    <t>modi.aman@bcg.com</t>
  </si>
  <si>
    <t>456384-25P</t>
  </si>
  <si>
    <t>Amanda Luther</t>
  </si>
  <si>
    <t>Luther</t>
  </si>
  <si>
    <t>Ms. Amanda Luther serves as Managing Director &amp; Senior Partner at Boston Consulting Group. She is a core member of the Consumer, Tech and Digital Advantage, and Marketing, Sales &amp; Pricing practices and a co-founder of BCG's Austin office, where she leads the recruiting and people development efforts. She co-leads Digital Transformation globally and is a member of the Tech and Digital Advantage leadership team. She is an expert on digital, data, and advanced analytics topics, serving clients in industries including retail, restaurants, CPG, travel and tourism, and the public sector. Her client work typically involves both digital and data strategy, as well as end-to-end implementations, managing teams of product managers, data scientists, and software engineers to deliver transformative digital and analytics products.</t>
  </si>
  <si>
    <t>luther.amanda@bcg.com</t>
  </si>
  <si>
    <t>435739-87P</t>
  </si>
  <si>
    <t>Amane Dannouni</t>
  </si>
  <si>
    <t>Amane</t>
  </si>
  <si>
    <t>Dannouni</t>
  </si>
  <si>
    <t>Mr. Amane Dannouni serves as Managing Director &amp; Partner at Boston Consulting Group. He cofounded BCG's Digital &amp; Technology Enablement Center in Asia Pacific, which helps clients execute and sustain large-scale digital transformation efforts.</t>
  </si>
  <si>
    <t>+212 (0)529023049</t>
  </si>
  <si>
    <t>dannouni.amane@bcg.com</t>
  </si>
  <si>
    <t>Casablanca</t>
  </si>
  <si>
    <t>Casablanca, Morocco</t>
  </si>
  <si>
    <t>104 Boulevard Abdellatif Ben Kaddour</t>
  </si>
  <si>
    <t>20050</t>
  </si>
  <si>
    <t>Morocco</t>
  </si>
  <si>
    <t>344857-69P</t>
  </si>
  <si>
    <t>Amaryllis Liampoti</t>
  </si>
  <si>
    <t>Amaryllis</t>
  </si>
  <si>
    <t>Liampoti</t>
  </si>
  <si>
    <t>Ms. Amaryllis Liampoti serves as Managing Director &amp; Partner at BCG Digital Ventures. Ms. Liampoti also serves as Managing Director &amp; Partner, BCG X at Boston Consultancy Group. Her expertise lies in accelerating business growth through advanced, scalable, and data-driven marketing solutions enhanced by AI technologies. She collaborates closely with c-suite executives and global leaders to drive dynamic transformative growth.</t>
  </si>
  <si>
    <t>+49 (0)30 3001 3750 0</t>
  </si>
  <si>
    <t>amaryllis.liampoti@bcgdv.com</t>
  </si>
  <si>
    <t>Dircksenstraße 41</t>
  </si>
  <si>
    <t>10178</t>
  </si>
  <si>
    <t>BCG Digital Ventures</t>
  </si>
  <si>
    <t>456143-50P</t>
  </si>
  <si>
    <t>Amaury Boucquey</t>
  </si>
  <si>
    <t>Amaury</t>
  </si>
  <si>
    <t>Boucquey</t>
  </si>
  <si>
    <t>Mr. Amaury Boucquey serves as a Partner at Boston Consulting Group. He is a core member of BCG's Energy and Operations practices. He works with clients across the power and utilities industry, with a focus on large capital projects. He specializes in the nuclear industry and broader energy transition and decarbonization challenges. He also leads the firm's net-zero initiative in France.</t>
  </si>
  <si>
    <t>boucquey.amaury@bcg.com</t>
  </si>
  <si>
    <t>436704-22P</t>
  </si>
  <si>
    <t>Amber Grewal</t>
  </si>
  <si>
    <t>Amber</t>
  </si>
  <si>
    <t>Grewal</t>
  </si>
  <si>
    <t>Ms. Amber Grewal serves as Managing Director &amp; Partner at Boston Consulting Group. She is responsible for redefining, augmenting, and future-proofing BCG's human capital strategy, as well as driving the strategic transformation and digitization of global talent to grow human potential, move the world forward through people capabilities, and maximize impact to clients and industries across the globe.</t>
  </si>
  <si>
    <t>+1 (415) 732-8000</t>
  </si>
  <si>
    <t>grewal.amber@bcg.com</t>
  </si>
  <si>
    <t>Two Embarcadero Center</t>
  </si>
  <si>
    <t>Suite 2400</t>
  </si>
  <si>
    <t>+1 (415) 732-8200</t>
  </si>
  <si>
    <t>435012-76P</t>
  </si>
  <si>
    <t>Amine Benayad</t>
  </si>
  <si>
    <t>Amine</t>
  </si>
  <si>
    <t>Benayad</t>
  </si>
  <si>
    <t>Mr. Amine Benayad serves as Managing Director &amp; Partner at Boston Consulting Group. He focuses on climate transition, including net zero transformations in Europe, Asia, the Middle East and Africa, transition finance go-to-market agendas in high emitting sectors, and new low-carbon technologies financing, as well as wholesale banking, including businesses and functions transformation and tech and deeptech ecosystems and platforms.</t>
  </si>
  <si>
    <t>benayad.amine@bcg.com</t>
  </si>
  <si>
    <t>436440-07P</t>
  </si>
  <si>
    <t>Amir Kolton</t>
  </si>
  <si>
    <t>Amir</t>
  </si>
  <si>
    <t>Kolton</t>
  </si>
  <si>
    <t>Mr. Amir Kolton serves as Managing Director &amp; Partner at Boston Consulting Group. He has substantial experience in automotive and mobility and is a leading member of the firm's Industrial Goods, Global Advantage, and Marketing, Sales &amp; Pricing practices. Amir also leads BCG's work in AI in Auto for North America.</t>
  </si>
  <si>
    <t>kolton.amir@bcg.com</t>
  </si>
  <si>
    <t>455337-82P</t>
  </si>
  <si>
    <t>Amit Kumar</t>
  </si>
  <si>
    <t>Mr. Amit Kumar serves as Managing Director &amp; Senior Partner at Boston Consulting Group. He is a member of the firm's Technology, Media &amp; Telecommunications practice and the firm's global lead for software. He serves clients across the software, IT services, and high-tech industries, advising them on large-scale transformations, strategy, go-to-market, M&amp;A (integrations and divestitures), and forward-looking topics such as quantum and AI. Prior to joining BCG, he worked for the supply chain and manufacturing group at Unilever, India.</t>
  </si>
  <si>
    <t>kumar.amit@bcg.com</t>
  </si>
  <si>
    <t>456100-03P</t>
  </si>
  <si>
    <t>Mr. Amit Kumar serves as Managing Director &amp; Partner at Boston Consulting Group. He is a member of the leadership team for the firm's Technology, Media &amp; Telecommunications practice. He focuses on tech products, tech services, and engineering and R&amp;D services. He has a keen interest in all things technology. He has advised clients on a range of topics, including market entry strategy, product/service offering design, sales acceleration, operating model redesign, customer success, M&amp;A, and profitability enhancement.</t>
  </si>
  <si>
    <t>amit.kumar@bcg.com</t>
  </si>
  <si>
    <t>435757-96P</t>
  </si>
  <si>
    <t>Amit Mittal</t>
  </si>
  <si>
    <t>Mittal</t>
  </si>
  <si>
    <t>Mr. Amit Mittal serves as Partner &amp; Associate Director at Boston Consulting Group. He currently leads the development and deployment of BCG's proprietary digital GTM (go-to-market) tools, and helps clients think through the future of go-to-market.</t>
  </si>
  <si>
    <t>amit@bcg.com</t>
  </si>
  <si>
    <t>436224-88P</t>
  </si>
  <si>
    <t>Amita Parekh</t>
  </si>
  <si>
    <t>Ms. Amita Parekh serves as Managing Director &amp; Partner at Boston Consulting Group. She is a core member of the Industrial Goods practice, working specifically with clients in the automotive and agrochemical industries.</t>
  </si>
  <si>
    <t>parekh.amita@bcg.com</t>
  </si>
  <si>
    <t>456430-96P</t>
  </si>
  <si>
    <t>Amy MacDougall Ph.D</t>
  </si>
  <si>
    <t>MacDougall</t>
  </si>
  <si>
    <t>Dr. Amy MacDougall serves as a Partner at Boston Consulting Group. She is a lead member of the firm's Corporate Finance &amp; Strategy and Health Care practices. Her work focuses on strategy topics related to total shareholder return (TSR), growth and innovation, and transformations. She works with clients across industries, with a focus on medtech and biopharma, as well as health care more broadly. She also has considerable expertise in digital health, molecular diagnostics, pharmacology, life science tools, data analytics, deep tech, large-scale transformation, and commercialization. Before joining the firm, she worked as a research fellow in pharmacology at Baylor College of Medicine. She was a founder and board member of Enventure, a non-profit organization connecting life science entrepreneurs with educational and networking resources.</t>
  </si>
  <si>
    <t>+1 (213) 621-2772</t>
  </si>
  <si>
    <t>macdougall.amy@bcg.com</t>
  </si>
  <si>
    <t>515 South Flower Street</t>
  </si>
  <si>
    <t>Suite 5100</t>
  </si>
  <si>
    <t>90071</t>
  </si>
  <si>
    <t>+1 (213) 621-1639</t>
  </si>
  <si>
    <t>435212-83P</t>
  </si>
  <si>
    <t>Ana Morales</t>
  </si>
  <si>
    <t>Morales</t>
  </si>
  <si>
    <t>Ms. Ana Morales serves as Managing Director &amp; Partner at Boston Consulting Group. She has worked with leading banks and insurance companies in Mexico, Chile, and Peru with a focus on business transformation, strategy, digital, innovation, organizational effectiveness, pricing optimization, data and analytics, and agile.</t>
  </si>
  <si>
    <t>+51 1 7437720</t>
  </si>
  <si>
    <t>morales.ana@bcg.com</t>
  </si>
  <si>
    <t>Lima</t>
  </si>
  <si>
    <t>Lima, Peru</t>
  </si>
  <si>
    <t>Avenue Jorge Basadre Nro. 347</t>
  </si>
  <si>
    <t>Edificio Patio Centric piso 9, Oficina 903</t>
  </si>
  <si>
    <t>Peru</t>
  </si>
  <si>
    <t>456077-44P</t>
  </si>
  <si>
    <t>Ana Vieira</t>
  </si>
  <si>
    <t>Ms. Ana Vieira serves as Managing Director, BCG Platinion at Boston Consulting Group. She is a core member of BCG's Tech &amp; Digital Advantage practice, focused on financial institutions and consumer companies. She has extensive experience leading complex technology projects, helping companies to evolve their digital platforms and operating models and unlock business value through technology and innovation. She works with clients to solve technology and organizational challenges through tech strategy, architecture design, project management, tech cost optimization, and tech adoption. She joined BCG in 2021, after working in various business units at IBM for over 20 years, most recently as Cloud &amp; Cognitive Solutions Tech Sales and Services Director.</t>
  </si>
  <si>
    <t>vieira.ana@bcg.com</t>
  </si>
  <si>
    <t>Managing Director, BCG Platinion</t>
  </si>
  <si>
    <t>436393-54P</t>
  </si>
  <si>
    <t>Analia Olgiati Ph.D</t>
  </si>
  <si>
    <t>Analia</t>
  </si>
  <si>
    <t>Olgiati</t>
  </si>
  <si>
    <t>Ms. Analia Olgiati serves as Managing Director &amp; Partner at Boston Consulting Group. She is a core member of the firm's global Technology Advantage and Financial Institutions practices with a focus on data and digital platforms. Analia leads the Amsterdam office's work in technology in financial institutions.</t>
  </si>
  <si>
    <t>olgiati.analia@bcg.com</t>
  </si>
  <si>
    <t>456383-08P</t>
  </si>
  <si>
    <t>Anand Raghavan</t>
  </si>
  <si>
    <t>Anand</t>
  </si>
  <si>
    <t>Raghavan</t>
  </si>
  <si>
    <t>Mr. Anand Raghavan serves as Managing Director &amp; Senior Partner at Boston Consulting Group. He is part of the firm's Principal Investors &amp; Private Equity (PIPE) practice. He focuses on buy- and sell-side commercial due diligence engagements with large- and mid-cap private equity clients, and on the strategic transformation of private-equity-owned portfolio companies. He has worked on numerous due diligence, strategy, portfolio value creation, and performance improvement engagements in business services, health care, technology, industrials, consumer/leisure, and other industries. Prior to joining BCG, he led the Private Equity Practice at Roland Berger in London, focusing on large- and mid-cap transactions.</t>
  </si>
  <si>
    <t>raghavan.anand@bcg.com</t>
  </si>
  <si>
    <t>435316-24P</t>
  </si>
  <si>
    <t>Anand Veeraraghavan</t>
  </si>
  <si>
    <t>Veeraraghavan</t>
  </si>
  <si>
    <t>Mr. Anand Veeraraghavan serves as Managing Director &amp; Senior Partner at Boston Consulting Group. He is a core member of BCG's Industrial Goods and Consumer practices. Within industrial goods, he works with clients in steel, chemicals, infrastructure, aviation, and automotive parts; and in consumer goods, he has worked mainly in travel and tourism and retail. He has worked on a variety of topics including pricing, growth and go-to-market strategy, M&amp;A target screening and investment process development, value-based management, and consumer research and modeling. He is a member of the firm's Corporate Development Task Force. Prior to joining BCG, he was a consultant with NCS Private Limited (a SingTel subsidiary), where he held a variety of roles in corporate strategy, sales, and consulting.</t>
  </si>
  <si>
    <t>veeraraghavan.anand@bcg.com</t>
  </si>
  <si>
    <t>455593-24P</t>
  </si>
  <si>
    <t>Anant Shivraj</t>
  </si>
  <si>
    <t>Anant</t>
  </si>
  <si>
    <t>Shivraj</t>
  </si>
  <si>
    <t>Mr. Anant Shivraj serves as Managing Director &amp; Partner at Boston Consulting Group. He leads the firm's Technology, Media &amp; Telecommunications (TMT) practice in Southeast Asia and the transactions and integrations work for Asia Pacific. In TMT, he has led large company-wide transformation programs focusing on revenue and margin expansion, and digital transformation. He has also helped telecommunications and leading technology disruptors build and scale new digital corporate ventures, including successful digital platforms and digital financial businesses in the region. Anant has extensive experience building and scaling digital ecosystems. He also does a significant amount of work in the corporate strategy and corporate development space.</t>
  </si>
  <si>
    <t>shivraj.anant@bcg.com</t>
  </si>
  <si>
    <t>90592-21P</t>
  </si>
  <si>
    <t>Anas Laabi</t>
  </si>
  <si>
    <t>Anas</t>
  </si>
  <si>
    <t>Laabi</t>
  </si>
  <si>
    <t>Mr. Anas Laabi serves as Managing Director &amp; Partner at Boston Consulting Group. Mr. Anas Laabi served as Director, Corporate Strategy at Technicolor. Previously, he served as a Senior Manager at A.T. Kearney. He has over 16 years of experience in large scale digital transformation, end-to-end operations excellence, mergers and acquisitions, post-merger integration, and new market entry strategies.</t>
  </si>
  <si>
    <t>laabi.anas@bcg.com</t>
  </si>
  <si>
    <t>435171-43P</t>
  </si>
  <si>
    <t>Anastasia Kouvela Ph.D</t>
  </si>
  <si>
    <t>Kouvela</t>
  </si>
  <si>
    <t>Ms. Anastasia Kouvela serves as Managing Director &amp; Partner at Boston Consulting Group. She is an expert in large-scale operations and climate transformations in the consumer products space.</t>
  </si>
  <si>
    <t>anastasia.kouvela@bcg.com</t>
  </si>
  <si>
    <t>435160-90P</t>
  </si>
  <si>
    <t>Anastasios Panagiotou</t>
  </si>
  <si>
    <t>Anastasios</t>
  </si>
  <si>
    <t>Panagiotou</t>
  </si>
  <si>
    <t>Mr. Anastasios Panagiotou serves as Managing Director &amp; Partner at Boston Consulting Group. He is a core member of BCG's Insurance practice and BCG's Finance and Risk practice, and he is also the EMESA (Europe, Middle East and South America) leader for Finance and Risk in Insurance.</t>
  </si>
  <si>
    <t>+49 (0)22 1550 050</t>
  </si>
  <si>
    <t>anastasios.panagiotou@bcg.com</t>
  </si>
  <si>
    <t>Cologne</t>
  </si>
  <si>
    <t>Cologne, Germany</t>
  </si>
  <si>
    <t>Koln Turn</t>
  </si>
  <si>
    <t>Im Mediapark 8</t>
  </si>
  <si>
    <t>50670</t>
  </si>
  <si>
    <t>389088-46P</t>
  </si>
  <si>
    <t>Anders Faeste</t>
  </si>
  <si>
    <t>Faeste</t>
  </si>
  <si>
    <t>Mr. Anders Faeste serves as Managing Director and Senior Partner at Boston Consulting Group. He supports leading global companies across the pharma and medtech industries. Prior to joining BCG, he worked as the head of marketing at APMM.</t>
  </si>
  <si>
    <t>faeste.anders@bcg.com</t>
  </si>
  <si>
    <t>456686-92P</t>
  </si>
  <si>
    <t>Anders Madsen</t>
  </si>
  <si>
    <t>Madsen</t>
  </si>
  <si>
    <t>Mr. Anders Madsen serves as Managing Director &amp; Senior Partner at Boston Consulting Group. He is a core member of the firm's Industrial Goods practice. He is part of the Nordic management team for BCG and the Stockholm office lead. His primary industry focus is industrial goods clients, including the automotive and process industries (forest and chemicals), as well as transport and logistics. But he also serves clients in other industries, mostly with a functional focus on post-merger integration and people and organization.</t>
  </si>
  <si>
    <t>anders.madsen@bcg.com</t>
  </si>
  <si>
    <t>456277-42P</t>
  </si>
  <si>
    <t>Anders Porsborg-Smith</t>
  </si>
  <si>
    <t>Porsborg-Smith</t>
  </si>
  <si>
    <t>Mr. Anders Porsborg-Smith serves as Managing Director &amp; Senior Partner at Boston Consulting Group. He is part of the global leadership team of the firm's Energy practice. He heads the firm's global midstream, gas, and LNG business line and leads BCG's energy scenarios and environmental markets work. He focuses on strategic topics linked to the commercial practices of commodity industries, including strategic reviews, strategy development, operating model enhancements, hedging principles, portfolio management, mergers and acquisitions, and post-merger integration. Prior to joining BCG, he held different roles in commodity trading at Merrill Lynch, Mercuria Trading, and NEAS Energy (now Centrica Energy Trading).</t>
  </si>
  <si>
    <t>anders.porsborg-smith@bcg.com</t>
  </si>
  <si>
    <t>435219-85P</t>
  </si>
  <si>
    <t>Andra London</t>
  </si>
  <si>
    <t>Andra</t>
  </si>
  <si>
    <t>Ms. Andra London serves as Managing Director at Boston Consulting Group. Her industry experience includes automotive, fashion retail, financial institutions, healthcare, and industrial goods. Her functional expertise centers on purpose articulation and activation, human-centered change management and communications, culture and behaviors, and brand strategy. Andra is a member of BCG's People &amp; Organization, Consumer, Helathcare and Transform practices.</t>
  </si>
  <si>
    <t>london.andra@bcg.com</t>
  </si>
  <si>
    <t>455965-30P</t>
  </si>
  <si>
    <t>Andre Lemos</t>
  </si>
  <si>
    <t>Lemos</t>
  </si>
  <si>
    <t>Mr. Andre Lemos serves as Managing Director &amp; Partner at Boston Consulting Group. He leads the Risk &amp; Compliance practice for the firm in Iberia and South America. He focuses on strategy development, operating model transformation, analytics, and innovation, as well as regulatory response and compliance across financial and non-financial risks. His work covers everything from top-of-the-house strategy-setting and organizational (re)design to risk, compliance, and balance sheet management. In addition to his risk and compliance focus, he is a core member of BCG's Financial Institutions practice and has over 15 years of experience advising financial institutions' senior executives across Iberia and Latin America on strategy, organization, operating model, and payments.</t>
  </si>
  <si>
    <t>lemos.andre@bcg.com</t>
  </si>
  <si>
    <t>435434-77P</t>
  </si>
  <si>
    <t>Andre Pinto</t>
  </si>
  <si>
    <t>Pinto</t>
  </si>
  <si>
    <t>Mr. Andre Pinto serves as Managing Director &amp; Senior Partner at Boston Consulting Group. He focuses on the energy industry (Oil&amp;Gas and Power&amp; Gas) in topics such as strategy, corporate development, operations optimization and advanced analytics.</t>
  </si>
  <si>
    <t>+55 21 2546 5050</t>
  </si>
  <si>
    <t>pinto.andre@bcg.com</t>
  </si>
  <si>
    <t>Rio de Janeiro</t>
  </si>
  <si>
    <t>Rio de Janeiro, Brazil</t>
  </si>
  <si>
    <t>Rua Lauro Muller, 116</t>
  </si>
  <si>
    <t>29th Floor - Cjs Number 2903</t>
  </si>
  <si>
    <t>22290-160</t>
  </si>
  <si>
    <t>+55 21 2546 5051</t>
  </si>
  <si>
    <t>455765-05P</t>
  </si>
  <si>
    <t>Andre Selva</t>
  </si>
  <si>
    <t>Selva</t>
  </si>
  <si>
    <t>Mr. Andre Selva serves as Managing Director &amp; Partner, BCG X at Boston Consulting Group. He is also a member of BCG's Industrial Goods and Energy practices, with significant experience in material and process industries, especially steel and agribusiness. He has particular expertise in topics related to the application of advanced analytics and data science in supply chain, operations, and sales and pricing in B2B. Before joining BCG, he was a Consultant at Monitor Group.</t>
  </si>
  <si>
    <t>selva.andre@bcg.com</t>
  </si>
  <si>
    <t>455613-94P</t>
  </si>
  <si>
    <t>Andre Wenske</t>
  </si>
  <si>
    <t>Wenske</t>
  </si>
  <si>
    <t>Mr. Andre Wenske serves as Managing Director &amp; Partner at Boston Consulting Group. He is a member of the firm's Financial Institutions practice with more than 15 years of experience in retail and SME banking. He combines strategy consulting expertise with practical experience as a bank manager and chief product owner of a corporate venture. He is passionate about working with clients on designing sustainable business and distribution models for the digital age. For his retail and SME banking clients, he drives meaningful, large-scale transformations.</t>
  </si>
  <si>
    <t>wenske.andre@bcg.com</t>
  </si>
  <si>
    <t>435807-91P</t>
  </si>
  <si>
    <t>Andre Xavier</t>
  </si>
  <si>
    <t>Mr. Andre Xavier serves as Managing Director &amp; Senior Partner at Boston Consulting Group. He supports multiple leading companies in his native Brazil as well as across North and South America and Europe.</t>
  </si>
  <si>
    <t>xavier.andre@bcg.com</t>
  </si>
  <si>
    <t>435173-32P</t>
  </si>
  <si>
    <t>Andrea Blasi</t>
  </si>
  <si>
    <t>Blasi</t>
  </si>
  <si>
    <t>Mr. Andrea Blasi serves as Managing Director &amp; Partner at Boston Consulting Group. He has focused his work on helping A&amp;D clients deliver world-class performance in their programs while preparing compelling value propositions for their products and services.</t>
  </si>
  <si>
    <t>blasi.andrea@bcg.com</t>
  </si>
  <si>
    <t>201347-02P</t>
  </si>
  <si>
    <t>Andrea Nogara</t>
  </si>
  <si>
    <t>Nogara</t>
  </si>
  <si>
    <t>Mr. Andrea Nogara serves as Managing Director &amp; Partner at Boston Consulting Group. Mr. Nogara joined The Boston Consulting Group in 2011. As a member of the BCG Industrial Goods Practice for Italy, Greece, and Turkey, he has been involved in several strategic and operational cases focusing on the construction and automotive industries. Mr. Nogara has deep experience in the industrial goods sector, from business planning to commercial strategy and operations. His main focus has been improving performance and operational processes. He led the implementation of lean production techniques in several projects for both commodity producers and manufacturers. In the construction sector, Mr. Nogara supported a leading company in all aspects of its national and international acquisitions and helped improve its operational performance. Before joining BCG, Mr. Nogara worked for another consulting firm on industrial goods and private equity.</t>
  </si>
  <si>
    <t>andrea.nogara@bcg.com</t>
  </si>
  <si>
    <t>436289-50P</t>
  </si>
  <si>
    <t>Andrea Ventura</t>
  </si>
  <si>
    <t>Ventura</t>
  </si>
  <si>
    <t>Mr. Andrea Ventura serves as Managing Director &amp; Partner at Boston Consulting Group. He is an expert in operations turnaround, manufacturing excellence, product development optimization, lean transformation, and digital enablers for operations excellence.</t>
  </si>
  <si>
    <t>ventura.andrea@bcg.com</t>
  </si>
  <si>
    <t>455907-70P</t>
  </si>
  <si>
    <t>Andreanne Leduc</t>
  </si>
  <si>
    <t>Andreanne</t>
  </si>
  <si>
    <t>Leduc</t>
  </si>
  <si>
    <t>Ms. Andreanne Leduc serves as Managing Director &amp; Partner at Boston Consulting Group. She is a core member of the Industrial Goods practice and works on large-scale transformation, strategy, and advanced analytics engagements, mostly with industrial goods and transportation clients. Outside of BCG, she has worked at Amazon as a senior program manager and at JDA Software as a business analyst.</t>
  </si>
  <si>
    <t>+1 (514) 228-5900</t>
  </si>
  <si>
    <t>leduc.andreanne@bcg.com</t>
  </si>
  <si>
    <t>1000 de la Gauchetiere Street West</t>
  </si>
  <si>
    <t>42nd Floor</t>
  </si>
  <si>
    <t>H3B 4W5</t>
  </si>
  <si>
    <t>+1 (514) 228-5901</t>
  </si>
  <si>
    <t>456270-67P</t>
  </si>
  <si>
    <t>Andreas Dietze Ph.D</t>
  </si>
  <si>
    <t>Dietze</t>
  </si>
  <si>
    <t>Dr. Andreas Dietze serves as Managing Director, BCG Platinion at Boston Consulting Group. He focuses especially on the management and turnaround of complex tech transformations and the digitization of business processes in enterprise resource planning, transportation management, supply chain management, product lifecycle management/product data management, and manufacturing execution.</t>
  </si>
  <si>
    <t>dietze.andreas@bcg.com</t>
  </si>
  <si>
    <t>456419-80P</t>
  </si>
  <si>
    <t>Andreas Dinger Ph.D</t>
  </si>
  <si>
    <t>Dinger</t>
  </si>
  <si>
    <t>Dr. Andreas Dinger serves as Managing Director at Boston Consulting Group. He is a core member of the firm's Industrial Goods practice and leader of the firm's e-mobility topic. He has been head of BCG's Munich office since 2013. Since joining BCG in 2001, he has focused on the automotive industry. He has acquired deep expertise in the automotive value chain, working for original equipment manufacturers and automotive suppliers.</t>
  </si>
  <si>
    <t>dinger.andreas@bcg.com</t>
  </si>
  <si>
    <t>436221-01P</t>
  </si>
  <si>
    <t>Andreas Gocke Ph.D</t>
  </si>
  <si>
    <t>Gocke</t>
  </si>
  <si>
    <t>Dr. Andreas Gocke serves as Managing Director &amp; Senior Partner at Boston Consulting Group. He leads The Boston Consulting Group's global work in the chemical sector. He is a core member of the firm's Industrial Goods practice. He has focused on working with clients in the chemicals industry. He has also acquired deep experience in and knowledge about procurement and the aerospace and defense industries. Before joining BCG, he worked at the University of St. Gallen.</t>
  </si>
  <si>
    <t>gocke.andreas@bcg.com</t>
  </si>
  <si>
    <t>456619-96P</t>
  </si>
  <si>
    <t>Andreas Graef</t>
  </si>
  <si>
    <t>Graef</t>
  </si>
  <si>
    <t>Mr. Andreas Graef serves as Managing Director &amp; Partner at Boston Consulting Group. She is a core member of the firm's Operations and Industrial Goods practices, as well as an expert in large-scale change. He works with leading OEMs, suppliers, and engineering service providers, helping them to optimize business and operating models, as well as cost structures, through large-scale transformation, recovery, and Zero-Based-Budgeting (ZBB) programs.</t>
  </si>
  <si>
    <t>graef.andreas@bcg.com</t>
  </si>
  <si>
    <t>52859-98P</t>
  </si>
  <si>
    <t>Andreas Holmbom</t>
  </si>
  <si>
    <t>Holmbom</t>
  </si>
  <si>
    <t>Mr. Andreas Holmbom serves as Managing Director &amp; Partner at Boston Consulting Group. He is a core member of the firm's Transform and Consumer Products practices, and an expert on growth-driven transformations and turnarounds in consumer companies. Mr. Holmbom served as an Analyst at Odin Equity Partners. He assisted the investment team in managing the portfolio companies and analyzing new investment opportunities.</t>
  </si>
  <si>
    <t>holmbom.andreas@bcg.com</t>
  </si>
  <si>
    <t>435827-08P</t>
  </si>
  <si>
    <t>Andreas Jentzsch Ph.D</t>
  </si>
  <si>
    <t>Jentzsch</t>
  </si>
  <si>
    <t>Mr. Andreas Jentzsch serves as Managing Director &amp; Senior Partner at Boston Consulting Group. He is responsible for the functional BCG practices. He is also head of the Operations practice in Central Europe.</t>
  </si>
  <si>
    <t>jentzsch.andreas@bcg.com</t>
  </si>
  <si>
    <t>436185-82P</t>
  </si>
  <si>
    <t>Andreas Klar Ph.D</t>
  </si>
  <si>
    <t>Klar</t>
  </si>
  <si>
    <t>Dr. Andreas Klar serves as Managing Director &amp; Partner at Boston Consulting Group. He is a core member of BCG's Health Care and Insurance practices with a focus on health insurance systems/payers. He leads the Health Care practice's payer, provider, and health care system work for Europe and the Middle East. He primarily focuses on large-scale transformations, growth strategies, and digital services. Prior to joining BCG, he developed and managed outpatient clinics in Central and Eastern Europe.</t>
  </si>
  <si>
    <t>klar.andreas@bcg.com</t>
  </si>
  <si>
    <t>435634-48P</t>
  </si>
  <si>
    <t>Andreas Liedtke</t>
  </si>
  <si>
    <t>Liedtke</t>
  </si>
  <si>
    <t>Mr. Andreas Liedtke serves as Managing Director &amp; Senior Partner at Boston Consulting Group. He is a core member of BCG's Consumer and Marketing, Sales &amp; Pricing practices.</t>
  </si>
  <si>
    <t>andreas.liedtke@bcg.com</t>
  </si>
  <si>
    <t>389097-73P</t>
  </si>
  <si>
    <t>Andreas Malby</t>
  </si>
  <si>
    <t>Malby</t>
  </si>
  <si>
    <t>Mr. Andreas Malby serves as Managing Director &amp; Senior Partner at Boston Consulting Group. He is the regional lead for Boston Consulting Group's Consumer practice in Europe, the Middle East, Africa, and South America, as well as a member of the global leadership team for that practice. He specializes in retail and consumer goods engagements and has significant experience in large-scale transformation and performance improvement programs, corporate and digital strategy, advanced analytics, and organizational change.</t>
  </si>
  <si>
    <t>+45 7732 3400</t>
  </si>
  <si>
    <t>malby.andreas@bcg.com</t>
  </si>
  <si>
    <t>J. C. Jacobsens Gade 12</t>
  </si>
  <si>
    <t>1799</t>
  </si>
  <si>
    <t>+45 7732 3499</t>
  </si>
  <si>
    <t>456481-27P</t>
  </si>
  <si>
    <t>Andreas Rindler</t>
  </si>
  <si>
    <t>Rindler</t>
  </si>
  <si>
    <t>Mr. Andreas Rindler serves as Managing Director &amp; Partner at Boston Consulting Group. He is a core member of the firm's Tech &amp; Digital Advantage (TDA) practice and the system leader for Platinion in London, Amsterdam, and Brussels (the LAB system). He has over 20 years of experience in IT strategy, product, and tech transformation, and data platforms for global clients in software and technology, media, consumer, and financial services. Prior to joining BCG, he was a partner at a global management and technology consultancy and part of the firm's leadership team for digital and data transformation services. He started his career as a data modeler and workflow software engineer.</t>
  </si>
  <si>
    <t>rindler.andreas@bcg.com</t>
  </si>
  <si>
    <t>288868-87P</t>
  </si>
  <si>
    <t>Andrei Navitski</t>
  </si>
  <si>
    <t>Navitski</t>
  </si>
  <si>
    <t>Mr. Andrei Navitski serves as Managing Director &amp; Partner at Boston Consulting Group. Mr. Andrei Navitski serves as Member of the Advisory Board at Smart Partnership Capital.</t>
  </si>
  <si>
    <t>+7 (8)495 662 7287</t>
  </si>
  <si>
    <t>a-n@bcg.com</t>
  </si>
  <si>
    <t>456625-27P</t>
  </si>
  <si>
    <t>Andrej Levin Ph.D</t>
  </si>
  <si>
    <t>Andrej</t>
  </si>
  <si>
    <t>Dr. Andrej Levin serves as Managing Director &amp; Partner at Boston Consulting Group. He leads the firm's work in big data and analytics in automotive. He is a core member of the Industrial Goods and Automotive practices. He works with global OEMs and OESs to define and execute sales, growth, and sourcing strategies and build new mobility offerings. Prior to joining BCG, he was an assistant professor at the University of Siegen and also worked at several international law offices in Germany and the US.</t>
  </si>
  <si>
    <t>levin.andrej@bcg.com</t>
  </si>
  <si>
    <t>435654-01P</t>
  </si>
  <si>
    <t>Andres Garro</t>
  </si>
  <si>
    <t>Andres</t>
  </si>
  <si>
    <t>Garro</t>
  </si>
  <si>
    <t>Mr. Andres Garro serves as Managing Director &amp; Partner at Boston Consulting Group. He has led digital supply chain projects in sales and operations planning (S&amp;OP), process improvement, and advanced analytics, and he has a track record of helping clients build advanced capabilities in these areas. He is a core member of the firm's Operations, Health Care, and Consumer practice areas with a special focus on digital supply chain management. Before joining the firm, he had spent time working at Nike, Inc., Zara, and as an engineer for the Motorola and General Motors Corporations.</t>
  </si>
  <si>
    <t>ag@bcg.com</t>
  </si>
  <si>
    <t>436301-65P</t>
  </si>
  <si>
    <t>Andres Giraldo</t>
  </si>
  <si>
    <t>Giraldo</t>
  </si>
  <si>
    <t>Mr. Andres Giraldo serves as Managing Director &amp; Partner at Boston Consulting Group. His experience in retail includes grocery and specialty retail in mainstream, luxury, and HD formats. As a core member of the Consumer practice at Boston Consulting Group, Mr. Giraldo focuses on retail and consumer goods clients across Latin America. Within consumer goods, he has worked with clients in packaged foods, beverages, dairy products, cosmetics, and health and wellness. Prior to joining BCG, he was a management consultant for six years and later held executive positions as general manager in marketing and sales, and strategy with Latin American and European companies.</t>
  </si>
  <si>
    <t>+52 (01)55 5258 9999</t>
  </si>
  <si>
    <t>giraldo.andres@bcg.com</t>
  </si>
  <si>
    <t>Reforma 342, Piso 31</t>
  </si>
  <si>
    <t>+52 (01)55 5258 0444</t>
  </si>
  <si>
    <t>99436-69P</t>
  </si>
  <si>
    <t>Andrew Arcuri</t>
  </si>
  <si>
    <t>Arcuri</t>
  </si>
  <si>
    <t>Mr. Andrew Arcuri serves as Senior Partner and Managing Director at The Boston Consulting Group. He also served as Board Member at Arkose Labs.</t>
  </si>
  <si>
    <t>andrew@bcg.com</t>
  </si>
  <si>
    <t>Senior Partner &amp; Managing Director</t>
  </si>
  <si>
    <t>28564-84P</t>
  </si>
  <si>
    <t>Andrew Claerhout</t>
  </si>
  <si>
    <t>Claerhout</t>
  </si>
  <si>
    <t>Mr. Andrew Claerhout serves as Partner and Director at Boston Consulting Group. He is currently a core member of BCG's Principal Investor &amp; Private Equity (PIPE) and Travel, Cities &amp; Infrastructure (TCI) practices. Mr. Claerhout served as a Board Member at BRG Sports. Mr. Claerhout served as a Partner at Searchlight Capital Partners. He served as the Senior Managing Director &amp; Head of Infrastructure &amp; Natural Resources at Ontario Teachers' Pension Plan. He served as a Board Member at Serta. He leads the Teachers' Infrastructure Group, overseeing acquisitions and asset management globally. He joined Teachers' in 2005 and was most recently Vice-President, Teachers' Private Capital, where he managed the consumer, retail, and industrial sectors. He also previously headed the Teachers' London office from its opening in 2007 until returning to Toronto in 2009. He has extensive international experience, having worked for Pacific Equity Partners in Australia and Bain &amp; Company in Hong Kong before his involvement with Teachers' in the United Kingdom. While at Teachers' Private Capital, he was involved in a number of private equity transactions across various geographies and industries. He is a director of Global Container Terminals and the Heart &amp; Stroke Foundation of Canada and previously served on the boards of Alexander Forbes, Alliance Laundry Systems, Dematic, Easton-Bell Sports, EXAL Group, General Nutrition Centers, National Bedding (Serta), Munchkin and Simmons Mattress Co. Mr. Andrew earned his HBA at the Ivey Business School at Western University, completed the Stanford Executive Program and has ICD.D certification from the Institute of Corporate Directors.</t>
  </si>
  <si>
    <t>claerhout.andrew@bcg.com</t>
  </si>
  <si>
    <t>Riddell (Former)</t>
  </si>
  <si>
    <t>436159-63P</t>
  </si>
  <si>
    <t>Andrew Newsome</t>
  </si>
  <si>
    <t>Newsome</t>
  </si>
  <si>
    <t>Mr. Andrew Newsome serves as Managing Director &amp; Partner at Boston Consulting Group. He has 20 years of international experience in strategy, transactions, and large-scale transformation in industrials and infrastructure, including in construction, building materials, transport, energy, mining, defense, and telecommunications.</t>
  </si>
  <si>
    <t>newsome.andrew@bcg.com</t>
  </si>
  <si>
    <t>435981-07P</t>
  </si>
  <si>
    <t>Andrew Rodriguez</t>
  </si>
  <si>
    <t>Mr. Andrew Rodriguez serves as Managing Director &amp; Senior Partner at Boston Consulting Group. His clients have included multinational companies, foundations, and international organizations.</t>
  </si>
  <si>
    <t>rodriguez.andrew@bcg.com</t>
  </si>
  <si>
    <t>456530-32P</t>
  </si>
  <si>
    <t>Andrew Simon JD</t>
  </si>
  <si>
    <t>Dr. Andrew Simon serves as Managing Director &amp; Partner at Boston Consulting Group. He leads BCG's Corporate Finance &amp; Strategy practice in the US Southwest and oversees the office's social impact initiatives. He is also a core member of BCG's Technology, Media &amp; Telecommunications (TMT) practice. He has specific expertise across the media and interactive entertainment ecosystem, semiconductors, enterprise technology, retail, and the legal sector - including law firms, legal tech providers, and court systems. He also has significant experience in med-tech, private equity, and broader consumer sectors. Before joining BCG, he worked in Corporate Strategy and M&amp;A at Accenture, Transaction Advisory Services at EY, as an attorney at Skadden, Arps, Slate, Meagher &amp; Flom LLP, and co-founded Nocturnal Beverage Company, a functional beverage startup that ultimately wound down, but gave him lasting insights into building early-stage consumer brands.</t>
  </si>
  <si>
    <t>+1 (214) 849-1500</t>
  </si>
  <si>
    <t>simon.andrew@bcg.com</t>
  </si>
  <si>
    <t>Dallas</t>
  </si>
  <si>
    <t>Dallas, TX</t>
  </si>
  <si>
    <t>2501 North Harwood</t>
  </si>
  <si>
    <t>Suite 2200</t>
  </si>
  <si>
    <t>75201</t>
  </si>
  <si>
    <t>+1 (214) 849-1501</t>
  </si>
  <si>
    <t>456746-41P</t>
  </si>
  <si>
    <t>Andrew Toma</t>
  </si>
  <si>
    <t>Toma</t>
  </si>
  <si>
    <t>Mr. Andrew Toma serves as Managing Director &amp; Senior Partner at Boston Consulting Group. He is a leader of the People &amp; Organization practice and a member of the Financial Institutions practice at the firm. Since joining BCG in 2001, he has advised on more than 50 major reorganization efforts, including large-scale enterprise organization redesigns, transforming corporate functions, and building shared-service organizations. Before joining BCG, he worked as an investment-banking analyst at Salomon Smith Barney.</t>
  </si>
  <si>
    <t>toma.andrew@bcg.com</t>
  </si>
  <si>
    <t>436236-94P</t>
  </si>
  <si>
    <t>Andrew Veitch</t>
  </si>
  <si>
    <t>Veitch</t>
  </si>
  <si>
    <t>Mr. Andrew Veitch serves as Managing Director &amp; Partner at Boston Consulting Group. He leads BCG's Consumer practice in the Middle East, drawing on expertise gained in a career working in 40 countries and six continents, in both developed and emerging markets. primarily supports consumer and retail clients on growth transformation topics including strategy, consumer engagement, marketing, sales, and pricing, store, ecommerce, and marketplace development, digital and data acceleration, mergers and acquisitions, and holistic transformation. In addition to the Consumer practice, he is a core member of the Marketing, Sales &amp; Pricing practice and BCG Transform. He has also led work with clients in private equity and other consumer-facing industries, including banking, insurance, and media.</t>
  </si>
  <si>
    <t>veitch.andy@bcg.com</t>
  </si>
  <si>
    <t>436431-52P</t>
  </si>
  <si>
    <t>Andrew Yu</t>
  </si>
  <si>
    <t>Mr. Andrew Yu serves as Managing Director &amp; Partner at Boston Consulting Group. He has over 20 years of extensive health care consulting experience, serving a wide range of multinational and local clients in established pharma, biotech, medical devices, in vitro diagnostics, and health care institutions.</t>
  </si>
  <si>
    <t>yu.andrew@bcg.com</t>
  </si>
  <si>
    <t>434835-01P</t>
  </si>
  <si>
    <t>Andrey Berdichevskiy</t>
  </si>
  <si>
    <t>Andrey</t>
  </si>
  <si>
    <t>Berdichevskiy</t>
  </si>
  <si>
    <t>Assistant Director &amp; Partner</t>
  </si>
  <si>
    <t>Mr. Andrey Berdichevskiy serves as Partner &amp; Assistant Director at Boston Consulting Group. He has held leadership positions in transportation and urban mobility, and served as automotive community leader for the World Economic Forum.</t>
  </si>
  <si>
    <t>berdichevskiy.andrey@bcg.com</t>
  </si>
  <si>
    <t>Partner &amp; Assistant Director</t>
  </si>
  <si>
    <t>454961-62P</t>
  </si>
  <si>
    <t>Andy Heaton</t>
  </si>
  <si>
    <t>Heaton</t>
  </si>
  <si>
    <t>Andy Heaton serves as Managing Director &amp; Partner at Boston Consulting Group.</t>
  </si>
  <si>
    <t>aheaton@bcg.com</t>
  </si>
  <si>
    <t>434922-31P</t>
  </si>
  <si>
    <t>Andy Redman</t>
  </si>
  <si>
    <t>Redman</t>
  </si>
  <si>
    <t>Mr. Andy Redman serves as Managing Director at Boston Consulting Group. He has also articulated and activated purpose for companies across various industries (transportation, government, technology, agriculture, and finance).</t>
  </si>
  <si>
    <t>redman.andy@bcg.com</t>
  </si>
  <si>
    <t>435817-36P</t>
  </si>
  <si>
    <t>Angel Martinez</t>
  </si>
  <si>
    <t>Angel</t>
  </si>
  <si>
    <t>Martinez</t>
  </si>
  <si>
    <t>Mr. Angel Martinez serves as Managing Director &amp; Senior Partner at Boston Consulting Group. He is a core member of the firm's Energy, Climate &amp; Sustainability, and Marketing, Sales &amp; Pricing practices. He joined BCG in 2007 and has more than 17 years of experience in the energy, sustainability, and infrastructure fields. Before joining BCG, he worked for six years as a project manager for a multinational contractor on projects in Canada, Portugal, Ireland, and Spain.</t>
  </si>
  <si>
    <t>martinez.angel@bcg.com</t>
  </si>
  <si>
    <t>344839-24P</t>
  </si>
  <si>
    <t>Angelo Candreia</t>
  </si>
  <si>
    <t>Angelo</t>
  </si>
  <si>
    <t>Candreia</t>
  </si>
  <si>
    <t>Mr. Angelo Candreia serves as Managing Director &amp; Senior Partner at Boston Consulting Group. Mr. Candreia serves as a Board Member at Evorest. He is a member of the global insurance leadership team. He leads 'Distribution Excellence' globally as well as BCG's Insurance practice in Switzerland. He is an insurance expert with a particular focus on disruptive digital business models and ecosystem strategies, and next-gen sales.</t>
  </si>
  <si>
    <t>candreia.angelo@bcg.com</t>
  </si>
  <si>
    <t>435584-26P</t>
  </si>
  <si>
    <t>Anirudh Tara</t>
  </si>
  <si>
    <t>Anirudh</t>
  </si>
  <si>
    <t>Tara</t>
  </si>
  <si>
    <t>Mr. Anirudh Tara serves as Managing Director &amp; Partner at Boston Consulting Group. He focuses on new business build, go-to-market acceleration, and digital transformations in sales, marketing, and pricing functions.</t>
  </si>
  <si>
    <t>anirudh.tara@bcg.com</t>
  </si>
  <si>
    <t>456185-17P</t>
  </si>
  <si>
    <t>Anish Thanatil</t>
  </si>
  <si>
    <t>Thanatil</t>
  </si>
  <si>
    <t>Mr. Anish Thanatil serves as Managing Director &amp; Partner at Boston Consulting Group. He is a core member of the firm's Industrial Goods and Health Care practices. He leads BCG's forestry, pulp, paper, and packaging work in North America and is part of the North America leadership team for the firm's materials and process industries work. He focuses on value delivery and turnarounds, and has in-depth experience in commercial excellence and operations transformations. He has led multiple enterprise-wide transformation efforts, helping clients unlock value through procurement, operating model design, and end-to-end performance improvement.</t>
  </si>
  <si>
    <t>thanatil.anish@bcg.com</t>
  </si>
  <si>
    <t>456528-34P</t>
  </si>
  <si>
    <t>Anita Oh</t>
  </si>
  <si>
    <t>Anita</t>
  </si>
  <si>
    <t>Oh</t>
  </si>
  <si>
    <t>Ms. Anita Oh serves as Managing Director &amp; Partner at Boston Consulting Group. She leads the Energy practice for the east coast of Australia, and the firm's digital, climate, and sustainability work for Australia and New Zealand. She works mostly in the energy industry. She works for leading companies and government agencies, with a strong focus on helping them drive their energy transition. Her projects cover decarbonization, carbon and climate strategy, and business model innovation, spanning green technologies including solar, wind, battery energy storage systems, electric vehicles, and hydrogen-and their respective value chains.</t>
  </si>
  <si>
    <t>oh.anita@bcg.com</t>
  </si>
  <si>
    <t>434822-50P</t>
  </si>
  <si>
    <t>Ankur Aggarwal</t>
  </si>
  <si>
    <t>Ankur</t>
  </si>
  <si>
    <t>Mr. Ankur Aggarwal serves as Managing Director &amp; Partner at Boston Consulting Group. He is a core member of the firm's Operations and Consumer practices. His current focus is advising clients in a broad range of industries (including consumer, financial institutions, industrial goods, and health care) on ways to improve procurement effectiveness and optimize costs.</t>
  </si>
  <si>
    <t>aggarwal.ankur@bcg.com</t>
  </si>
  <si>
    <t>435139-93P</t>
  </si>
  <si>
    <t>Ankush Wadhera</t>
  </si>
  <si>
    <t>Ankush</t>
  </si>
  <si>
    <t>Wadhera</t>
  </si>
  <si>
    <t>Mr. Ankush Wadhera serves as Managing Director &amp; Partner at Boston Consulting Group. He has worked with large and mid-tier IT and IT-enabled services (ITeS) clients in India, Southeast Asia, and Europe, and has supported their business and service units on growth, profitability, and M&amp;A. He also actively works with key central and state governments, and their agencies, to shape their strategic priorities.</t>
  </si>
  <si>
    <t>wadhera.ankush@bcg.com</t>
  </si>
  <si>
    <t>435403-45P</t>
  </si>
  <si>
    <t>Anna Green</t>
  </si>
  <si>
    <t>Ms. Anna Green serves as Managing Director &amp; Senior Partner at Boston Consulting Group. She has a passion for problems at the intersection of strategy and customer experience, particularly within industries such as media, telecommunications, consumer goods, and retail.</t>
  </si>
  <si>
    <t>green.anna@bcg.com</t>
  </si>
  <si>
    <t>456057-01P</t>
  </si>
  <si>
    <t>Anna Lassiter</t>
  </si>
  <si>
    <t>Lassiter</t>
  </si>
  <si>
    <t>Ms. Anna Lassiter serves as Managing Director &amp; Partner at Boston Consulting Group. She is a core member of BCG's Consumer practice with a focus on transformation and operations in retail. She leads the firm's diversity and inclusion efforts for Dallas. She has led indirect spend optimizations, cost optimizations, PMOs, and ops transformations for discount, specialty, apparel, and grocery retailers. She has experience supporting private-equity-backed portfolio companies as well. Prior to joining BCG, she taught special education and English in New York City public schools with Teach for America. She was also a Fulbright Scholar in South Korea.</t>
  </si>
  <si>
    <t>lassiter.anna@bcg.com</t>
  </si>
  <si>
    <t>455264-47P</t>
  </si>
  <si>
    <t>Anna Oberauer</t>
  </si>
  <si>
    <t>Oberauer</t>
  </si>
  <si>
    <t>Ms. Anna Oberauer serves as a Partner at Boston Consulting Group. She is a core member of the firm's Corporate Finance &amp; Strategy practice, as well as leading the Center for CFO Excellence in Central Europe. She advises CFOs and finance functions on a multitude of topics, including finance strategy, (agile) operating model, talent strategy, and performance management topics. She works mainly with clients in the health care and industrial goods industries, but supports projects across industries globally.</t>
  </si>
  <si>
    <t>anna@bcg.com</t>
  </si>
  <si>
    <t>455683-06P</t>
  </si>
  <si>
    <t>Anna Pirhofer</t>
  </si>
  <si>
    <t>Pirhofer</t>
  </si>
  <si>
    <t>Ms. Anna Pirhofer serves as Managing Director &amp; Partner at Boston Consulting Group. She is a core member of the firm's Technology, Media &amp; Telecommunications (TMT) practice, with a focus on growth and large-scale transformations. She has worked with TMT companies in more than 20 European, Asian, North American, and Latin American countries. She is a member of BCG's global TMT leadership team and heads the firm's TMT people initiatives globally, including Women@TMT. In addition, she is a core member of the Marketing, Sales &amp; Pricing (MSP) practice and co-leads that practice for technology, media, and telecommunications in Europe.</t>
  </si>
  <si>
    <t>pirhofer.anna@bcg.com</t>
  </si>
  <si>
    <t>434842-48P</t>
  </si>
  <si>
    <t>Annalena Hagenauer</t>
  </si>
  <si>
    <t>Annalena</t>
  </si>
  <si>
    <t>Hagenauer</t>
  </si>
  <si>
    <t>Ms. Annalena Hagenauer serves as Principal at Boston Consulting Group. She works with private and public sector clients on emission reduction, climate policies, and regulation, as well as on identifying innovation and growth opportunities in the context of the green energy and net-zero transition, both globally and in the Middle East.</t>
  </si>
  <si>
    <t>hagenauer.annalena@bcg.com</t>
  </si>
  <si>
    <t>435162-34P</t>
  </si>
  <si>
    <t>Anne Eekeren</t>
  </si>
  <si>
    <t>Eekeren</t>
  </si>
  <si>
    <t>Ms. Anne Eekeren serves as Partner at Boston Consulting Group. She is active in the Financial Institutions and People &amp; Organization practices at Boston Consulting Group.</t>
  </si>
  <si>
    <t>ae@bcg.com</t>
  </si>
  <si>
    <t>436380-85P</t>
  </si>
  <si>
    <t>Anne Kleppe Ph.D</t>
  </si>
  <si>
    <t>Kleppe</t>
  </si>
  <si>
    <t>Dr. Anne Kleppe serves as Managing Director &amp; Partner at Boston Consulting Group. She has over 15 years of experience in quantitative modeling for banks and financial institutions, with a special focus on environmental, social, and governance (ESG) and sustainability issues, as well as risk management. Prior to joining BCG, she was a Partner with d-fine.</t>
  </si>
  <si>
    <t>kleppe.anne@bcg.com</t>
  </si>
  <si>
    <t>434826-64P</t>
  </si>
  <si>
    <t>Anne Nguyen</t>
  </si>
  <si>
    <t>Ms. Anne Nguyen serves as Managing Director &amp; Partner at Boston Consulting Group. She works primarily in health care and consumer goods, and is a core member of both the Health Care and Consumer practices at the firm.</t>
  </si>
  <si>
    <t>nguyen.anne@bcg.com</t>
  </si>
  <si>
    <t>436709-44P</t>
  </si>
  <si>
    <t>Anne-Marie Badache</t>
  </si>
  <si>
    <t>Anne-Marie</t>
  </si>
  <si>
    <t>Badache</t>
  </si>
  <si>
    <t>Ms. Anne-Marie Badache serves as Managing Director &amp; Partner at Boston Consulting Group. She is the global lead for green buildings for the firm and leads the building technology work in the Europe, the Middle East, South America, and Africa (EMESA) region.</t>
  </si>
  <si>
    <t>badache.anne-marie@bcg.com</t>
  </si>
  <si>
    <t>436172-14P</t>
  </si>
  <si>
    <t>Annik Penders</t>
  </si>
  <si>
    <t>Annik</t>
  </si>
  <si>
    <t>Penders</t>
  </si>
  <si>
    <t>Ms. Annik Penders serves as Managing Director &amp; Senior Partner, EMESA Regional Leader, Insurance Practice at Boston Consulting Group. She leads BCG's Insurance practice in Europe, the Middle East, South America, and Africa, and is a member of the practice's global leadership team.</t>
  </si>
  <si>
    <t>+32 (0)2 289 02 02</t>
  </si>
  <si>
    <t>penders.annik@bcg.com</t>
  </si>
  <si>
    <t>Brussels</t>
  </si>
  <si>
    <t>Brussels, Belgium</t>
  </si>
  <si>
    <t>Keizerinlaan 13</t>
  </si>
  <si>
    <t>Boulevard de l'Imperatrice</t>
  </si>
  <si>
    <t>1000</t>
  </si>
  <si>
    <t>Belgium</t>
  </si>
  <si>
    <t>Managing Director &amp; Senior Partner, EMESA Regional Leader, Insurance Practice</t>
  </si>
  <si>
    <t>436406-32P</t>
  </si>
  <si>
    <t>Annika Zawadzki</t>
  </si>
  <si>
    <t>Zawadzki</t>
  </si>
  <si>
    <t>Ms. Annika Zawadzki serves as Managing Director &amp; Partner at Boston Consulting Group. She works with public sector and industrial goods clients on projects relating to strategy and implementation, institutional build up, and transformation, as well as procurement.</t>
  </si>
  <si>
    <t>zawadzki.annika@bcg.com</t>
  </si>
  <si>
    <t>436148-02P</t>
  </si>
  <si>
    <t>Anthony Roediger</t>
  </si>
  <si>
    <t>Roediger</t>
  </si>
  <si>
    <t>Mr. Anthony Roediger serves as Managing Director &amp; Senior Partner at Boston Consulting Group. He has served as the firm's managing partner for Australia and New Zealand. Anthony has worked in industries including infrastructure, transportation, and energy; education, health, housing, and social services; media and communications; and government financing and resourcing.</t>
  </si>
  <si>
    <t>roediger.anthony@bcg.com</t>
  </si>
  <si>
    <t>435928-06P</t>
  </si>
  <si>
    <t>Antoine Gourevitch</t>
  </si>
  <si>
    <t>Antoine</t>
  </si>
  <si>
    <t>Gourevitch</t>
  </si>
  <si>
    <t>Mr. Antoine Gourevitch serves as Managing Director &amp; Senior Partner at Boston Consulting Group. He has deep experience in strategy and innovation, having helped a number of automotive manufacturers and suppliers redefine their distribution and sales plans, improve commercial competitiveness, and launch digital strategies.</t>
  </si>
  <si>
    <t>gourevitch.antoine@bcg.com</t>
  </si>
  <si>
    <t>455615-92P</t>
  </si>
  <si>
    <t>Antoine Samaha</t>
  </si>
  <si>
    <t>Samaha</t>
  </si>
  <si>
    <t>Mr. Antoine Samaha serves as Managing Director &amp; Partner at Boston Consulting Group. He is a core member of the Principal Investors &amp; Private Equity (PIPE) practice at the firm and one of the founding members of the PIPE team in the Middle East. He is also a core member of the Corporate Finance &amp; Strategy (CFS) practice. He covers all aspects of fund investment strategy and operations, transaction support (due diligence), and portfolio value creation and innovation. His main areas of expertise are new investment strategies, corporate and investment portfolio strategies, sustainable investing, strategic planning, capital allocation, and funds governance and operations (including integration of ESG in investment policies and processes).</t>
  </si>
  <si>
    <t>antoine.samaha@bcg.com</t>
  </si>
  <si>
    <t>455327-83P</t>
  </si>
  <si>
    <t>Anton Aristov</t>
  </si>
  <si>
    <t>Anton</t>
  </si>
  <si>
    <t>Aristov</t>
  </si>
  <si>
    <t>Mr. Anton Aristov serves as Managing Director &amp; Partner at Boston Consulting Group. He is a core member of the Energy and Transform practices at the firm. He specializes in upstream oil and gas. He works with client investment strategies, integrated project management systems, major capital investment projects, digitization of onshore and offshore assets, operational efficiency in conventional and unconventional fields, exploration strategy, and organization transformations. Prior to coming to BCG, he worked in transaction advisory services at EY.</t>
  </si>
  <si>
    <t>aristov.anton@bcg.com</t>
  </si>
  <si>
    <t>456708-52P</t>
  </si>
  <si>
    <t>Anton Kosach</t>
  </si>
  <si>
    <t>Kosach</t>
  </si>
  <si>
    <t>Mr. Anton Kosach serves as Managing Director &amp; Partner at Boston Consulting Group. He is a key member of Boston Consulting Group's Energy practice and a leader of the Climate &amp; Sustainability practice for the Caspian region and CIS countries. He works with oil and gas, and power clients on such topics as development, operational, and organizational transformation, capex efficiency improvement, implementation of major capital investment projects, and renewables development. Prior to joining BCG, he worked for Roland Berger Strategy Consultants and PwC.</t>
  </si>
  <si>
    <t>anton.kosach@bcg.com</t>
  </si>
  <si>
    <t>456717-25P</t>
  </si>
  <si>
    <t>Antonio Faraldi</t>
  </si>
  <si>
    <t>Faraldi</t>
  </si>
  <si>
    <t>Mr. Antonio Faraldi serves as Managing Director &amp; Partner at Boston Consulting Group. He is a core member of the firm's Consumer practice with a concentration in fast-moving consumer goods (FMCG). He also leads the Marketing, Sales &amp; Pricing (MSP) practice area in the firm's Eastern Mediterranean &amp; Caspian system, and is part of the global team leading BCG's work on ecommerce. He has served family-owned businesses, private and public corporations and private equity funds, predominantly in Europe and North America.</t>
  </si>
  <si>
    <t>faraldi.antonio@bcg.com</t>
  </si>
  <si>
    <t>94909-60P</t>
  </si>
  <si>
    <t>Antoon Schneider</t>
  </si>
  <si>
    <t>Antoon</t>
  </si>
  <si>
    <t>Previously, he served as a Partner at McKinsey &amp; Co. Antoon has led several research projects on private equity, covering topics such as deal sourcing, auctions, active ownership, and industry structure.</t>
  </si>
  <si>
    <t>antoons@bcg.com</t>
  </si>
  <si>
    <t>435621-70P</t>
  </si>
  <si>
    <t>Antti Belt</t>
  </si>
  <si>
    <t>Antti</t>
  </si>
  <si>
    <t>Belt</t>
  </si>
  <si>
    <t>Mr. Antti Belt serves as Managing Director &amp; Partner at Boston Consulting Group. He is the lead author of BCG research on digitalization of commodity trading and is a frequent speaker in industry events and in the financial press.</t>
  </si>
  <si>
    <t>+358 (0)98 568 6000</t>
  </si>
  <si>
    <t>belt.antti@bcg.com</t>
  </si>
  <si>
    <t>Helsinki</t>
  </si>
  <si>
    <t>Helsinki, Finland</t>
  </si>
  <si>
    <t>Kluuvikatu 3A</t>
  </si>
  <si>
    <t>00100</t>
  </si>
  <si>
    <t>Finland</t>
  </si>
  <si>
    <t>+358 (0)98 568 6099</t>
  </si>
  <si>
    <t>392265-10P</t>
  </si>
  <si>
    <t>Aparna Bharadwaj</t>
  </si>
  <si>
    <t>Aparna</t>
  </si>
  <si>
    <t>Bharadwaj</t>
  </si>
  <si>
    <t>Ms. Aparna Bharadwaj serves as Managing Director &amp; Partner; Global Leader, Global Advantage Practice at Boston Consulting Group. She is Boston Consulting Group's global leader for the Global Advantage practice. She is also a core member of BCG's Marketing, Sales &amp; Pricing and Public Sector practices. Previously, Aparna led the firm's Center for Customer Insight globally in 50 markets.</t>
  </si>
  <si>
    <t>aparna.bharadwaj@bcg.com</t>
  </si>
  <si>
    <t>Managing Director &amp; Partner; Global Leader, Global Advantage Practice</t>
  </si>
  <si>
    <t>435016-54P</t>
  </si>
  <si>
    <t>Archit Choudhary</t>
  </si>
  <si>
    <t>Archit</t>
  </si>
  <si>
    <t>Choudhary</t>
  </si>
  <si>
    <t>Mr. Archit Choudhary serves as Managing Director &amp; Partner at Boston Consulting Group. He also specializes in TMT, having worked across topics like strategy, sales/channel orchestration, analytics, and ways of working for companies across SEA.</t>
  </si>
  <si>
    <t>choudhary.archit@bcg.com</t>
  </si>
  <si>
    <t>456435-46P</t>
  </si>
  <si>
    <t>Arjun Bhaduri</t>
  </si>
  <si>
    <t>Arjun</t>
  </si>
  <si>
    <t>Bhaduri</t>
  </si>
  <si>
    <t>Mr. Arjun Bhaduri serves as Managing Director &amp; Partner at Boston Consulting Group. He is a core member of TURN, the firm's turnaround, restructuring, and transformation practice area. He is also a core member of BCG's Industrial Goods and Operations practice areas, with a focus on the steel and automotive industries. He is an expert in transformation and strategy programs.</t>
  </si>
  <si>
    <t>bhaduri.arjun@bcg.com</t>
  </si>
  <si>
    <t>435843-91P</t>
  </si>
  <si>
    <t>Armin Lohr Ph.D</t>
  </si>
  <si>
    <t>Armin</t>
  </si>
  <si>
    <t>Lohr</t>
  </si>
  <si>
    <t>Mr. Armin Lohr serves as Managing Director &amp; Senior Partner at Boston Consulting Group. He has broad experience with top ministries, developers, construction companies, infrastructure operators, and transportation companies in the Middle East and globally. He comes from a family of construction engineers and also worked in the family construction business before going into consulting.</t>
  </si>
  <si>
    <t>+966 (0)11 224 5400</t>
  </si>
  <si>
    <t>armin.lohr@bcg.com</t>
  </si>
  <si>
    <t>Floor 20, Tadawul Tower</t>
  </si>
  <si>
    <t>Financial Boulevard, Al Aqeeq District</t>
  </si>
  <si>
    <t>+966 (0)11 224 5444</t>
  </si>
  <si>
    <t>455333-77P</t>
  </si>
  <si>
    <t>Arnab Sinha Ph.D</t>
  </si>
  <si>
    <t>Arnab</t>
  </si>
  <si>
    <t>Sinha</t>
  </si>
  <si>
    <t>Dr. Arnab Sinha serves as Managing Director &amp; Senior Partner at Boston Consulting Group. He is a core member of the firm's Consumer, Marketing, Sales &amp; Pricing practices and leads the firm's work in revenue management. He has worked with companies in a variety of industries, including airlines, automotive, food and beverages, luxury retail, and restaurants and food services, and across Europe, Australia, and North and South America. He focuses on helping his clients with marketing and sales topics, especially net revenue management via targeted pricing, promotions, and mix actions.</t>
  </si>
  <si>
    <t>sinha.arnab@bcg.com</t>
  </si>
  <si>
    <t>456101-20P</t>
  </si>
  <si>
    <t>Arnaud Bassoulet</t>
  </si>
  <si>
    <t>Bassoulet</t>
  </si>
  <si>
    <t>Mr. Arnaud Bassoulet serves as Managing Director &amp; Partner, BCG X at Boston Consulting Group. He is an expert in AI and software focused on large-scale commercial transformations (including innovation, marketing, sales, and pricing) powered by AI and GenAI for consumer packaged goods (CPG) and retail companies. He supports clients along the entire AI journey, from strategy to delivery and impact.</t>
  </si>
  <si>
    <t>bassoulet.arnaud@bcg.com</t>
  </si>
  <si>
    <t>455703-76P</t>
  </si>
  <si>
    <t>Arnaud Ginolin</t>
  </si>
  <si>
    <t>Ginolin</t>
  </si>
  <si>
    <t>Mr. Arnaud Ginolin serves as Managing Director &amp; Partner at Boston Consulting Group. He is a core member of the firm's Industrial Goods, Energy, and Public Sector practices. He has expertise in large-scale and digital transformations for private and public clients in Vietnam, Asia Pacific, and Europe. Before joining the firm, he worked at AlixPartners and Mars &amp; Co.</t>
  </si>
  <si>
    <t>+84 (0)8 62888728</t>
  </si>
  <si>
    <t>ginolin.arnaud@bcg.com</t>
  </si>
  <si>
    <t>MPlaza Saigon</t>
  </si>
  <si>
    <t>13th Floor, 39 Le Duan Street, District 1</t>
  </si>
  <si>
    <t>435088-18P</t>
  </si>
  <si>
    <t>Arndt Roller</t>
  </si>
  <si>
    <t>Roller</t>
  </si>
  <si>
    <t>Mr. Arndt Roller serves as Managing Director &amp; Partner at Boston Consulting Group. He specializes in building and scaling European online companies, in the fields of software as a service (SaaS)/subscriptions, internet of things (IOT), marketplaces, and digital solutions.</t>
  </si>
  <si>
    <t>roller.arndt@bcg.com</t>
  </si>
  <si>
    <t>435655-27P</t>
  </si>
  <si>
    <t>Arne Burfeind</t>
  </si>
  <si>
    <t>Burfeind</t>
  </si>
  <si>
    <t>Mr. Arne Burfeind serves as Managing Director &amp; Senior Partner at Boston Consulting Group. He is a core member of the Industrial Goods practice focusing on engineered products and building materials and construction. He is also a core member of the Marketing, Sales &amp; Pricing practice. Before rejoining BCG, he was head of commercial strategies and support for a leading global building materials company.</t>
  </si>
  <si>
    <t>burfeind.arne@bcg.com</t>
  </si>
  <si>
    <t>456415-39P</t>
  </si>
  <si>
    <t>Arnold Kogan</t>
  </si>
  <si>
    <t>Kogan</t>
  </si>
  <si>
    <t>Mr. Arnold Kogan serves as Managing Director &amp; Partner at Boston Consulting Group. He is a core member of the Consumer and Operations practices at the firm. He is also the global lead for manufacturing and supply chain diagnostics and benchmarking. He has extensive experience helping companies across center store categories (such as snacks and toys) and perimeter store categories (such as cheese and meat) transform their end-to-end supply chains to enable channel growth, increase EBITDA, and manage working capital. He is an expert in complexity management, supply chain planning, manufacturing and distribution strategy, global category sourcing, and digital capability building. Prior to joining BCG, he was with Deloitte Consulting and Texas Instruments, where he worked in a variety of operations and finance leadership roles around the globe.</t>
  </si>
  <si>
    <t>kogan.arnold@bcg.com</t>
  </si>
  <si>
    <t>455411-44P</t>
  </si>
  <si>
    <t>Arthur Ramos</t>
  </si>
  <si>
    <t>Arthur</t>
  </si>
  <si>
    <t>Ramos</t>
  </si>
  <si>
    <t>Mr. Arthur Ramos serves as Managing Director &amp; Partner at Boston Consulting Group. He is a core member of the firm's Energy practice, and leads the Climate &amp; Sustainability practice for Brazil. He has over 25 years of experience with local and international corporations in the energy industry. He is an expert on issues related to policymaking, market design, and regulatory contribution along the power, natural gas, and fuels value chains.</t>
  </si>
  <si>
    <t>ramos.arthur@bcg.com</t>
  </si>
  <si>
    <t>435176-92P</t>
  </si>
  <si>
    <t>Arthur Salaun</t>
  </si>
  <si>
    <t>Salaun</t>
  </si>
  <si>
    <t>Mr. Arthur Salaun serves as Partner at Boston Consulting Group. His main expertise lies in vaccines for African countries, and he has a deep understanding of end-to-end manufacturing processes, supply and demand dynamics, and regulatory processes.</t>
  </si>
  <si>
    <t>salaun.arthur@bcg.com</t>
  </si>
  <si>
    <t>455277-88P</t>
  </si>
  <si>
    <t>Arturs Smilkstins</t>
  </si>
  <si>
    <t>Arturs</t>
  </si>
  <si>
    <t>Smilkstins</t>
  </si>
  <si>
    <t>Mr. Arturs Smilkstins serves as Managing Director, Partner &amp; Global Topic Leader for City Mobility Solutions at Boston Consulting Group. As a leader in the Industrial Goods practice, he co-leads the automotive work for the UK, Belgium, and the Netherlands. His expertise is primarily in the automotive and mobility industries, where he has worked extensively with global clients in Europe, the Middle East, and Asia. Before joining BCG, he worked at Market Gravity, a London-based innovation consultancy (part of Deloitte), where he focused on new product development and enhancing customer experiences. Earlier in his career, he held General Partner and Head of Sales roles at a personal development and consulting firm dedicated to motivating people and advancing small and medium-sized businesses.</t>
  </si>
  <si>
    <t>arturs.smilkstins@bcg.com</t>
  </si>
  <si>
    <t>Managing Director, Partner &amp; Global Topic Leader for City Mobility Solutions</t>
  </si>
  <si>
    <t>455833-09P</t>
  </si>
  <si>
    <t>Arun Malik-McLean</t>
  </si>
  <si>
    <t>Malik-McLean</t>
  </si>
  <si>
    <t>Mr. Arun Malik-McLean serves as a Principal at Boston Consulting Group. He is a member of the firm's Climate &amp; Sustainability and Health Care practices. Within climate and sustainability, Arun has a focus on nature and biodiversity and their connections to global health. He also co-leads the Asian Diversity Network in the BCG LAB (London-Amsterdam-Brussels) system.</t>
  </si>
  <si>
    <t>arun@bcg.com</t>
  </si>
  <si>
    <t>436219-75P</t>
  </si>
  <si>
    <t>Arun Rajamani</t>
  </si>
  <si>
    <t>Rajamani</t>
  </si>
  <si>
    <t>Mr. Arun Rajamani serves as Managing Director &amp; Partner at Boston Consulting Group. He has worked in the energy and chemicals industries in many geographies, including North America, the Middle East, India, and Southeast Asia.</t>
  </si>
  <si>
    <t>rajamani.arun@bcg.com</t>
  </si>
  <si>
    <t>434982-52P</t>
  </si>
  <si>
    <t>Arun Ravindran Ph.D</t>
  </si>
  <si>
    <t>Ravindran</t>
  </si>
  <si>
    <t>Partner &amp; Vice President</t>
  </si>
  <si>
    <t>Mr. Arun Ravindran serves as Partner, Vice President, and Chief Data Scientist for BCG X at Boston Consulting Group. He works with: retail and consumer clients on demand forecasting, revenue management, pricing, labor analytics, operational analytics, attrition modeling, and lead management; banks and credit card companies on acquisition, underwriting, credit line assignment, collections, fraud, willingness to pay/ability to pay, loss, and risk modeling; insurance clients on pricing benchmarking, pricing strategy, reputation risk analysis, service optimization, and automated damage detection for claims processing (patented); and health care clients on pricing, drug marketing, and fraud.</t>
  </si>
  <si>
    <t>ravindran.arun@bcg.com</t>
  </si>
  <si>
    <t>Partner, Vice President and Chief Data Scientist for BCG X</t>
  </si>
  <si>
    <t>435783-07P</t>
  </si>
  <si>
    <t>Asaf Eliakim</t>
  </si>
  <si>
    <t>Asaf</t>
  </si>
  <si>
    <t>Eliakim</t>
  </si>
  <si>
    <t>Mr. Asaf Eliakim serves as Managing Director &amp; Partner at Boston Consulting Group. His work with clients has included creating a go-to-market advantage (GTMA) strategy for an automotive supplier; developing and implementing a standardized scheduling system for managing equipment and parts; creating a supply chain and inventory management strategy for a leading tire manufacturer; and leading cost-reduction initiatives across the entire cost base of a leading Israeli shipping company.</t>
  </si>
  <si>
    <t>+972 (0)3 793 1000</t>
  </si>
  <si>
    <t>eliakim.asaf@bcg.com</t>
  </si>
  <si>
    <t>132 Menachem Begin Road</t>
  </si>
  <si>
    <t>3 Azrieli Center</t>
  </si>
  <si>
    <t>6701101</t>
  </si>
  <si>
    <t>+972 (0)3 793 1001</t>
  </si>
  <si>
    <t>456394-33P</t>
  </si>
  <si>
    <t>Asheesh Sastry</t>
  </si>
  <si>
    <t>Asheesh</t>
  </si>
  <si>
    <t>Sastry</t>
  </si>
  <si>
    <t>Mr. Asheesh Sastry serves as Managing Director &amp; Senior Partner at Boston Consulting Group. He is a core member of the firm's Energy practice, specializing in the oil and gas sector, with a focus on upstream and natural gas issues. He also has broad experience in downstream and petrochemicals. He is also a member of the firm's Strategy practice. Prior to joining the firm, he was a partner at Booz &amp; Company, having spent 9 years there and 5 years at Royal Dutch/Shell.</t>
  </si>
  <si>
    <t>sastry.asheesh@bcg.com</t>
  </si>
  <si>
    <t>455373-46P</t>
  </si>
  <si>
    <t>Ashish Garg</t>
  </si>
  <si>
    <t>Ashish</t>
  </si>
  <si>
    <t>Garg</t>
  </si>
  <si>
    <t>Mr. Ashish Garg serves as Managing Director &amp; Senior Partner at Boston Consulting Group. He is the leader of the People &amp; Organization practice in Asia-Pacific and a core member of the Financial Institutions and Public Sector practices. He leads BCG's work in skilling, capital markets, and wealth management in India. He has deep experience in new operating models, channels, organization structure, people strategies, and operations. He has been involved in numerous long-term transformation programs, as well as having led and delivered on very large programs.</t>
  </si>
  <si>
    <t>garg.ashish@bcg.com</t>
  </si>
  <si>
    <t>74533-42P</t>
  </si>
  <si>
    <t>Ashkan Afkhami</t>
  </si>
  <si>
    <t>Ashkan</t>
  </si>
  <si>
    <t>Afkhami</t>
  </si>
  <si>
    <t>Mr. Ashkan Afkhami serves as Managing Director &amp; Senior Partner at Boston Consulting Group. Mr. Ashkan Afkhami served as Board Member at Pumpkin Insurance Services. He served as Board Member at Moneta. He worked at publicly traded venture capital firm Hercules Technology Growth Capital within its life sciences and technology group before coming to Mobiquity. He has also worked at companies such as Boston Beer Company, Cisco Systems, BlackRock and Antigenics (now Agenus) as an undergraduate student at Northeastern University. He started and ran several businesses including IDEA, a Northeastern venture accelerator program that supported and provided funding, shared services, and mentoring to more than 300 companies. He was the founder and CFO of technology online resource startup Greenhorn Connect. He serves on the board of companies focused on technology, innovation, and education, including Prepr Foundation and Reel Ventures. He graduated from Northeastern University with a B.S. and a master's in technological entrepreneurship.</t>
  </si>
  <si>
    <t>+1 (516) 256-7766</t>
  </si>
  <si>
    <t>afkhami.ashkan@bcg.com</t>
  </si>
  <si>
    <t>456389-47P</t>
  </si>
  <si>
    <t>Ashwin Bhave</t>
  </si>
  <si>
    <t>Bhave</t>
  </si>
  <si>
    <t>Mr. Ashwin Bhave serves as Managing Director &amp; Senior Partner at Boston Consulting Group. He is a core member of the Technology Advantage and Consumer practices at the firm and leads the firm's IT in the consumer and retail topic in North America. He also leads BCG's industry-leading IT benchmarking for consumer packaged goods, conducted in partnership with the Grocery Manufacturers Association. He focuses on working with clients in the consumer packaged goods, retail, and consumer products distribution sectors. Prior to joining BCG, he helped establish and run the offshore services center of The Corporate Executive Board. He has also helped multiple Silicon Valley startups commercialize their products and technologies.</t>
  </si>
  <si>
    <t>bhave.ashwin@bcg.com</t>
  </si>
  <si>
    <t>435845-62P</t>
  </si>
  <si>
    <t>Ask Heje</t>
  </si>
  <si>
    <t>Ask</t>
  </si>
  <si>
    <t>Heje</t>
  </si>
  <si>
    <t>Mr. Ask Heje serves as Principal at Boston Consulting Group. His research was focused on corporate transformations, growth during crises, and capital allocation decisions.</t>
  </si>
  <si>
    <t>heje.ask@bcg.com</t>
  </si>
  <si>
    <t>455192-47P</t>
  </si>
  <si>
    <t>Assaf Tayar</t>
  </si>
  <si>
    <t>Assaf</t>
  </si>
  <si>
    <t>Tayar</t>
  </si>
  <si>
    <t>Mr. Assaf Tayar serves as Platinion Managing Director at Boston Consulting Group. He is a founding member of the firm's deep technology strategy and transformation business, BCG Platinion, in Western Europe and South America.</t>
  </si>
  <si>
    <t>assaf.tayar@bcg.com</t>
  </si>
  <si>
    <t>Platinion Managing Director</t>
  </si>
  <si>
    <t>191486-17P</t>
  </si>
  <si>
    <t>Astrid Latzel</t>
  </si>
  <si>
    <t>Astrid</t>
  </si>
  <si>
    <t>Latzel</t>
  </si>
  <si>
    <t>Ms. Astrid Latzel serves as Managing Director &amp; Partner at Boston Consulting Group. Ms. Latzel is an Angel Investor. She has more than 20 years of experience advising companies on M&amp;A, due diligence, and value enhancement programs (including full potential programs, transformations, strategy, and commercial excellence). She leads the climate and sustainability/ESG agenda for products for the firm's Principal Investors &amp; Private Equity practice in Central Europe. Her primary industry focus is industrial goods and pharma/health care. At BCG, she advises financial investors and private equity funds on buy- and sell-side transactions, value creation along the investment cycle, growth sales, and pricing for portfolio companies. She is passionate about helping investors define and execute their ESG transformation journey, identify investable sectors/targets, and support their value creation. Before joining the firm, she was a Partner &amp; Managing Director at Kearney, leading their private equity business in Central Europe.</t>
  </si>
  <si>
    <t>astrid.latzel@bcg.com</t>
  </si>
  <si>
    <t>436349-35P</t>
  </si>
  <si>
    <t>Asuka Hayashi Ph.D</t>
  </si>
  <si>
    <t>Asuka</t>
  </si>
  <si>
    <t>Hayashi</t>
  </si>
  <si>
    <t>Ms. Asuka Hayashi serves as Partner at Boston Consulting Group. She is a core member of BCG's Health Care, People &amp; Organization, and Operations practices.</t>
  </si>
  <si>
    <t>hayashi.asuka@bcg.com</t>
  </si>
  <si>
    <t>246115-00P</t>
  </si>
  <si>
    <t>Augustin Wegscheider</t>
  </si>
  <si>
    <t>Augustin</t>
  </si>
  <si>
    <t>Wegscheider</t>
  </si>
  <si>
    <t>Mr. Augustin Wegscheider serves as Managing Director &amp; Partner at Boston Consulting Group. He served as a Mentor at Sente Ventures. He is a North America Co-Leader for the Center for Mobility Innovation. He specializes in working with automotive manufacturers and suppliers on strategy, sales, marketing, distribution, and new mobility topics. In his recent client work at BCG, he has worked with a North American tire distributor to restore profitability and led BCG's collaboration with the World Economic Forum on the Future of Urban and Autonomous Mobility. Before joining the firm, he worked at Audi of America for four years and at Siemens Management Consulting in both Munich and New York.</t>
  </si>
  <si>
    <t>aw@bcg.com</t>
  </si>
  <si>
    <t>456012-55P</t>
  </si>
  <si>
    <t>Augusto Incampo</t>
  </si>
  <si>
    <t>Augusto</t>
  </si>
  <si>
    <t>Incampo</t>
  </si>
  <si>
    <t>Mr. Augusto Incampo serves as Managing Director &amp; Partner at Boston Consulting Group. He is a core member of the firm's Health Care practice with 20 years of experience in management consulting and top management positions in the biopharma industry. He focuses primarily on portfolio strategy, product launch, commercial excellence, and E2E transformation for midsized pharma companies. Prior to joining BCG, he held senior management positions at Bracco Imaging, gaining deep knowledge of the medical imaging industry.</t>
  </si>
  <si>
    <t>incampo.augusto@bcg.com</t>
  </si>
  <si>
    <t>456116-14P</t>
  </si>
  <si>
    <t>Austin Gispanski</t>
  </si>
  <si>
    <t>Gispanski</t>
  </si>
  <si>
    <t>Mr. Austin Gispanski serves as Managing Director &amp; Partner, BCG X at Boston Consulting Group. He works at the intersection of health care, technology, and business transformation. With two decades of experience spanning private equity, corporates, startups, and consultancies, Austin brings in-depth cross-functional expertise in engineering, product, strategy, operations, and profit and loss ownership. He partners with health care organizations to radically rewire their operating models-shifting from activity-based project delivery to outcome-driven product ecosystems that scale quickly and deliver lasting value. He also leads BCG's (Gen)AI agenda across the health care payer, provider, and services space.</t>
  </si>
  <si>
    <t>gispanski.austin@bcg.com</t>
  </si>
  <si>
    <t>456547-33P</t>
  </si>
  <si>
    <t>Awais Ali</t>
  </si>
  <si>
    <t>Awais</t>
  </si>
  <si>
    <t>Mr. Awais Ali serves as Managing Director &amp; Partner at Boston Consulting Group. He is a leader in the BCG's digital work and a core member of the firm's Technology, Media &amp; Telecommunications (TMT) practice. He has worked with leading telecommunications and technology clients across Europe, Asia, and Australia. His client work focuses on shaping and executing transformative programs, typically enabled by digital processes and advances in technology. He has deep expertise in growth strategy, go-to-market, operations, M&amp;A, digital transformation, and IT governance and organization. Prior to joining BCG, he was a Manager at Accenture in both its Management and Technology Consulting practices. He advised and implemented leading technology solutions for clients across sectors.</t>
  </si>
  <si>
    <t>ali.awais@bcg.com</t>
  </si>
  <si>
    <t>455421-70P</t>
  </si>
  <si>
    <t>Axel Griewel Ph.D</t>
  </si>
  <si>
    <t>Griewel</t>
  </si>
  <si>
    <t>Dr. Axel Griewel serves as Managing Director, BCG Platinion at Boston Consulting Group. He also leads BCG's technology and digital business within the Technology, Media &amp; Telecommunications (TMT) practice for the Europe, Middle East, and Africa (EMEA) region and South America. He has a background in computer science, AI, pattern recognition, and life sciences. He previously worked as a bioinformatics research scientist at the University of Hamburg and the University of Texas.</t>
  </si>
  <si>
    <t>griewel.alex@bcg.com</t>
  </si>
  <si>
    <t>455814-37P</t>
  </si>
  <si>
    <t>Ayaka Kurokawa</t>
  </si>
  <si>
    <t>Ayaka</t>
  </si>
  <si>
    <t>Kurokawa</t>
  </si>
  <si>
    <t>Ms. Ayaka Kurokawa serves as a Partner at Boston Consulting Group. She is a core member of the firm's Technology, Media &amp; Telecommunications, and People &amp; Organization practices. She works mainly with clients in the broadcasting and financial services industries. Her expertise covers group governance strategies, mid- to long-term corporate strategy formulation, organizational reforms, and globalization strategies. She is a certified public accountant. Before joining BCG, she worked at Mitsui &amp; Co. Europe PLC, Ernst &amp; Young ShinNihon LLC, and at Japan Exchange Group (formerly Tokyo Stock Exchange).</t>
  </si>
  <si>
    <t>kurokawa.ayaka@bcg.com</t>
  </si>
  <si>
    <t>176764-33P</t>
  </si>
  <si>
    <t>Ayash Basu</t>
  </si>
  <si>
    <t>Ayash</t>
  </si>
  <si>
    <t>Basu</t>
  </si>
  <si>
    <t>Mr. Ayash Basu serves as Managing Director &amp; Partner at Boston Consulting Group. Mr. Ayash Basu co-founded and served as Chief Executive Officer at Loculars. Ayash has over 16 years of marketing, strategy, insights and analytics experience. Prior to starting Loculars, he was a Management Consultant with McKinsey &amp; Company, where he was a core member and leader in the Marketing &amp; Sales practice. Photography started as a hobby during his college days at IIT Roorkee as a member of the "Himalayan Explorer's Club, and over the years, his love for unique travel experiences has fueled his passion for capturing those stories visually. He is an avid tennis fan in his spare time, having reached a USTA Mixed Doubles National championship. Ayash holds an MBA from Columbia Business School, New York.</t>
  </si>
  <si>
    <t>basu.ayash@bcg.com</t>
  </si>
  <si>
    <t>435354-67P</t>
  </si>
  <si>
    <t>Aykan Gokbulut</t>
  </si>
  <si>
    <t>Aykan</t>
  </si>
  <si>
    <t>Gokbulut</t>
  </si>
  <si>
    <t>Mr. Aykan Gokbulut serves as Managing Director &amp; Senior Partner at Boston Consulting Group. He focuses his work increasingly on operational improvement of industrial operations.</t>
  </si>
  <si>
    <t>+90 (0)212 339 0108</t>
  </si>
  <si>
    <t>gokbulut.aykan@bcg.com</t>
  </si>
  <si>
    <t>Istanbul</t>
  </si>
  <si>
    <t>Istanbul, Turkey</t>
  </si>
  <si>
    <t>Kanyon Ofis</t>
  </si>
  <si>
    <t>Buyukdere Cad Number 185 K:16, Levent</t>
  </si>
  <si>
    <t>Turkey</t>
  </si>
  <si>
    <t>455858-02P</t>
  </si>
  <si>
    <t>Badr Choufari</t>
  </si>
  <si>
    <t>Badr</t>
  </si>
  <si>
    <t>Choufari</t>
  </si>
  <si>
    <t>Mr. Badr Choufari serves as Managing Director &amp; Partner at Boston Consulting Group. He is an expert in travel and tourism and economic development, and a core member of the Public Sector and Social Impact at the firm. The main focus of his work has been strategy, marketing, sales, and organization. He works with Middle East and African countries on social protection action and strategy plans, and investment acceleration and employment strategies. Before joining BCG, he was a Fragrance Strategy analyst at International Flavors &amp; Fragrances.</t>
  </si>
  <si>
    <t>badr.choufari@bcg.com</t>
  </si>
  <si>
    <t>436385-08P</t>
  </si>
  <si>
    <t>Bahar Carroll</t>
  </si>
  <si>
    <t>Bahar</t>
  </si>
  <si>
    <t>Ms. Bahar Carroll serves as Principal at Boston Consulting Group. She has worked with cross-functional teams across regions and cultures, including Asia, Europe and the Middle-East.</t>
  </si>
  <si>
    <t>+1 (206) 538-5000</t>
  </si>
  <si>
    <t>carroll.bahar@bcg.com</t>
  </si>
  <si>
    <t>1201 Third Avenue</t>
  </si>
  <si>
    <t>Suite 5400</t>
  </si>
  <si>
    <t>98101</t>
  </si>
  <si>
    <t>436411-36P</t>
  </si>
  <si>
    <t>Bailey Hand</t>
  </si>
  <si>
    <t>Hand</t>
  </si>
  <si>
    <t>Ms. Bailey Hand serves as Managing Director &amp; Partner at Boston Consulting Group. She was a Special Assistant to the US Secretary of Defense providing support in strategic budget decision making, national security strategy formulation and execution, organizational transformation, and crisis management.</t>
  </si>
  <si>
    <t>+61 (0)2 6243 2800</t>
  </si>
  <si>
    <t>hand.bailey@bcg.com</t>
  </si>
  <si>
    <t>Canberra</t>
  </si>
  <si>
    <t>Canberra, Australia</t>
  </si>
  <si>
    <t>16 Marcus Clarke Street</t>
  </si>
  <si>
    <t>Level 5</t>
  </si>
  <si>
    <t>Australian Capital Territory</t>
  </si>
  <si>
    <t>2601</t>
  </si>
  <si>
    <t>+61 (0)2 6243 2888</t>
  </si>
  <si>
    <t>435143-08P</t>
  </si>
  <si>
    <t>Balazs Zoletnik JD</t>
  </si>
  <si>
    <t>Balazs</t>
  </si>
  <si>
    <t>Zoletnik</t>
  </si>
  <si>
    <t>Mr. Balazs Zoletnik serves as Partner at Boston Consulting Group. He supports clients across industries &amp; geographies in carrying out their strategic transformation programs. He also leads significant recruiting activities for the firm in Budapest.</t>
  </si>
  <si>
    <t>zoletnik.balazs@bcg.com</t>
  </si>
  <si>
    <t>435357-64P</t>
  </si>
  <si>
    <t>Bartolomeo Banche</t>
  </si>
  <si>
    <t>Bartolomeo</t>
  </si>
  <si>
    <t>Banche</t>
  </si>
  <si>
    <t>Mr. Bartolomeo Banche serves as Managing Director &amp; Partner at Boston Consulting Group. He has more than 20 years of experience in strategies and broad-scale transformations for information and communications technology (ICT), digital media, and telecommunications clients.</t>
  </si>
  <si>
    <t>banche.bartolomeo@bcg.com</t>
  </si>
  <si>
    <t>435283-03P</t>
  </si>
  <si>
    <t>Bas Sudmeijer</t>
  </si>
  <si>
    <t>Bas</t>
  </si>
  <si>
    <t>Sudmeijer</t>
  </si>
  <si>
    <t>Mr. Bas Sudmeijer serves as Managing Director &amp; Partner at Boston Consulting Group. He led the build out of BCG's CCUS and CDR team and topic for 5 years including the build out of BCG's partnership with OGCI on cost and locational modelling.</t>
  </si>
  <si>
    <t>sudmeijer.bas@bcg.com</t>
  </si>
  <si>
    <t>435444-94P</t>
  </si>
  <si>
    <t>Basir Mustaghni Ph.D</t>
  </si>
  <si>
    <t>Basir</t>
  </si>
  <si>
    <t>Mustaghni</t>
  </si>
  <si>
    <t>Mr. Basir Mustaghni serves as Managing Director &amp; Partner at Boston Consulting Group. He focuses on digital go-to-market with deep experience in omni-channel, eCommerce, eEnabled Sales, next-generation sales, digital marketing, and digital transformation.</t>
  </si>
  <si>
    <t>mustaghni.basir@bcg.com</t>
  </si>
  <si>
    <t>434900-71P</t>
  </si>
  <si>
    <t>Bassem Fayek</t>
  </si>
  <si>
    <t>Bassem</t>
  </si>
  <si>
    <t>Fayek</t>
  </si>
  <si>
    <t>Mr. Bassem Fayek serves as Managing Director &amp; Partner at Boston Consulting Group. He advises Middle East public and private sector clients on strategy formulation, value creation, and modernization. His past projects have covered business strategy and value creation, operating and governance model development, organization and large-scale transformation, digitization, investment due diligence and execution, joint venture development, and supply chain optimization.</t>
  </si>
  <si>
    <t>fayek.bassem@bcg.com</t>
  </si>
  <si>
    <t>456013-72P</t>
  </si>
  <si>
    <t>Bayo Owolabi</t>
  </si>
  <si>
    <t>Bayo</t>
  </si>
  <si>
    <t>Owolabi</t>
  </si>
  <si>
    <t>Mr. Bayo Owolabi serves as a Partner at Boston Consulting Group. He is a core member of the firm's Energy and Climate &amp; Sustainability practices. His expertise in decarbonization strategies and energy transition informs his collaborations with governments, private enterprises, and public sector organizations to design and implement low-carbon infrastructure solutions. Before joining BCG, his career was for the most part at Schlumberger, managing drilling and measurement operations across West Africa, with a focus on deep-water exploration and development campaigns.</t>
  </si>
  <si>
    <t>owolabi.bayo@bcg.com</t>
  </si>
  <si>
    <t>456138-19P</t>
  </si>
  <si>
    <t>Beatrice Lemucchi</t>
  </si>
  <si>
    <t>Beatrice</t>
  </si>
  <si>
    <t>Lemucchi</t>
  </si>
  <si>
    <t>Ms. Beatrice Lemucchi serves as Managing Director &amp; Partner at Boston Consulting Group. She is a member of the firm's Consumer practice. She has led a variety of high-profile projects in the luxury and retail arena. She has over 15 years of experience in management consulting in seven different countries. Prior to joining BCG, she worked as analyst in the Stock Lending department of Banca IMI Sec., New York branch.</t>
  </si>
  <si>
    <t>lemucchi.beatrice@bcg.com</t>
  </si>
  <si>
    <t>435083-32P</t>
  </si>
  <si>
    <t>Becky Frederick Ph.D</t>
  </si>
  <si>
    <t>Becky</t>
  </si>
  <si>
    <t>Frederick</t>
  </si>
  <si>
    <t>Ms. Becky Frederick serves as Managing Director &amp; Partner at Boston Consulting Group. She has led several large-scale digital transformations, including shifts to agile ways of working, product and platform delivery, modern architecture, and unlocking the value of data.</t>
  </si>
  <si>
    <t>frederick.becky@bcg.com</t>
  </si>
  <si>
    <t>435126-07P</t>
  </si>
  <si>
    <t>Ben DeStein</t>
  </si>
  <si>
    <t>DeStein</t>
  </si>
  <si>
    <t>Mr. Ben DeStein serves as Managing Director &amp; Partner at Boston Consulting Group. His expertise includes branding, best customer strategy, customer targeting, consumer insight, marketing spend optimization, loyalty program design, consumer CRM, and personalization.</t>
  </si>
  <si>
    <t>destein.ben@bcg.com</t>
  </si>
  <si>
    <t>120597-85P</t>
  </si>
  <si>
    <t>Ben Feldman</t>
  </si>
  <si>
    <t>Feldman</t>
  </si>
  <si>
    <t>Mr. Ben Feldman serves as a Partner at Boston Consulting Group. He is a core member of the firm's Principal Investors &amp; Private Equity (PIPE) practice and Tech Capital team, with a focus on M&amp;A, growth, and transformation in the software-enabled world. He leads BCG's product/technology due diligence team in North America. He is also focused on how generative AI is impacting software development, working with leading software companies to boost R&amp;D productivity and helping investors rethink how they evaluate and manage software-driven businesses. Prior to coming to BCG, he was part of the Software Strategy Group at EY-Parthenon. Mr. Ben Feldman as an Executive- ITunes at Apple. He also co-founded and served as an Advisor at DeskConnect.</t>
  </si>
  <si>
    <t>feldman.ben@bcg.com</t>
  </si>
  <si>
    <t>456424-21P</t>
  </si>
  <si>
    <t>Ben Keneally</t>
  </si>
  <si>
    <t>Keneally</t>
  </si>
  <si>
    <t>Mr. Ben Keneally serves as Managing Director &amp; Partner at Boston Consulting Group. He is the Asia Pacific leader for payers, providers, systems, and services within the firm's Health Care practice. He advises public and private sector health care provider organizations and health care system managers. His work particularly focuses on applying a value-based health care lens to a range of challenges in health care-from staff engagement to improving patient outcomes.</t>
  </si>
  <si>
    <t>bkeneally@bcg.com</t>
  </si>
  <si>
    <t>434958-94P</t>
  </si>
  <si>
    <t>Ben Morley</t>
  </si>
  <si>
    <t>Morley</t>
  </si>
  <si>
    <t>Mr. Ben Morley serves as Partner &amp; Associate Director at Boston Consulting Group. He helps private equity investors create enduring value for all stakeholders through the effective integration of ESG considerations across the investment value chain (fund strategy, due diligence, and portfolio value creation).</t>
  </si>
  <si>
    <t>morley.ben@bcg.com</t>
  </si>
  <si>
    <t>435206-71P</t>
  </si>
  <si>
    <t>Ben Polak</t>
  </si>
  <si>
    <t>Polak</t>
  </si>
  <si>
    <t>Mr. Ben Polak serves as Managing Director &amp; Partner at Boston Consulting Group. He has worked on many operations topics, including operations strategy, product development and industrialization, supply chain planning and logistics, E2E supply chain planning, inventory management, and complexity optimization. He also served as the acting Executive Director of Supply Planning &amp; Sourcing, for a multinational Tier 1 automotive supplier.</t>
  </si>
  <si>
    <t>polak.ben@bcg.com</t>
  </si>
  <si>
    <t>436705-12P</t>
  </si>
  <si>
    <t>Ben Shuttleworth</t>
  </si>
  <si>
    <t>Shuttleworth</t>
  </si>
  <si>
    <t>Mr. Ben Shuttleworth serves as Managing Director &amp; Partner at Boston Consulting Group. His client work focuses on the people components of large-scale transformations and ways of working, including: organization design, operating model, strategic workforce planning, learning and development, leadership and culture, and change management.</t>
  </si>
  <si>
    <t>ben.shuttleworth@bcg.com</t>
  </si>
  <si>
    <t>456123-61P</t>
  </si>
  <si>
    <t>Benjamin Desalm</t>
  </si>
  <si>
    <t>Desalm</t>
  </si>
  <si>
    <t>Mr. Benjamin Desalm serves as Managing Director &amp; Partner at Boston Consulting Group. He is a core member of the firm's Public Sector, Financial Institutions, and Risk &amp; Compliance practices. He co-leads the firm's work on global regulators and central banks. He has almost 20 years of experience working with government finance institutions in Europe, Asia, and the Middle East on their strategy and digital transformations.</t>
  </si>
  <si>
    <t>desalm.benjamin@bcg.com</t>
  </si>
  <si>
    <t>435082-24P</t>
  </si>
  <si>
    <t>Benjamin Deschietere</t>
  </si>
  <si>
    <t>Deschietere</t>
  </si>
  <si>
    <t>Mr. Benjamin Deschietere serves as Managing Director &amp; Partner at Boston Consulting Group. He leads the firm's work on cities, real estate, and tourism in Europe, the Middle East, South America, and Africa.</t>
  </si>
  <si>
    <t>deschietere.benjamin@bcg.com</t>
  </si>
  <si>
    <t>261065-53P</t>
  </si>
  <si>
    <t>Benjamin Entraygues</t>
  </si>
  <si>
    <t>Entraygues</t>
  </si>
  <si>
    <t>Mr. Benjamin Entraygues serves as Managing Director &amp; Senior Partner, Global Leader, Principal of Investors and Private Equity at Boston Consulting Group. He has deep expertise in the industrial goods, health care, and retail sectors. He was previously with Roland Berger GmbH, acting as Senior Partner in the Paris team of the Global Investor Support Group.</t>
  </si>
  <si>
    <t>benjamin.entraygues@bcg.com</t>
  </si>
  <si>
    <t>Managing Director &amp; Senior Partner, Global Leader, Principal, Investors and Private Equity</t>
  </si>
  <si>
    <t>435187-27P</t>
  </si>
  <si>
    <t>Benjamin Grosch Ph.D</t>
  </si>
  <si>
    <t>Grosch</t>
  </si>
  <si>
    <t>Mr. Benjamin Grosch serves as Managing Director &amp; Senior Partner, Global Chair, Positioning &amp; Communications Function at Boston Consulting Group. He is a designated expert on digital transformation, payers, e-health, biopharma, and med tech, and is a member of BCG's management team for Germany and Austria.</t>
  </si>
  <si>
    <t>grosch.benjamin@bcg.com</t>
  </si>
  <si>
    <t>Managing Director &amp; Senior Partner, Global Chair, Positioning &amp; Communications Function</t>
  </si>
  <si>
    <t>436375-09P</t>
  </si>
  <si>
    <t>Benjamin Rehberg</t>
  </si>
  <si>
    <t>Rehberg</t>
  </si>
  <si>
    <t>Mr. Benjamin Rehberg serves as Managing Director &amp; Senior Partner at Boston Consulting Group. He focuses primarily on the financial services sector, including banking, insurance, and payments, on multiple digital, technology, and operational issues.</t>
  </si>
  <si>
    <t>rehberg.benjamin@bcg.com</t>
  </si>
  <si>
    <t>140933-71P</t>
  </si>
  <si>
    <t>Benjamin Sheridan</t>
  </si>
  <si>
    <t>Sheridan</t>
  </si>
  <si>
    <t>Mr. Benjamin Sheridan serves as Managing Director &amp; Senior Partner at Boston Consulting Group.</t>
  </si>
  <si>
    <t>ben.sheridan@bcg.com</t>
  </si>
  <si>
    <t>456285-61P</t>
  </si>
  <si>
    <t>Benjamin Vannier</t>
  </si>
  <si>
    <t>Vannier</t>
  </si>
  <si>
    <t>Mr. Benjamin Vannier serves as Managing Director &amp; Senior Partner at Boston Consulting Group. He is a core member of the firm's Energy practice focused on utilities, power generation, and energy retail. He co-leads the Energy practice on the East Coast and leads the firm's work in nuclear and power generation. He is also a member of BCG's Corporate Finance &amp; Strategy practice and is the energy/corporate development liaison for North America. Prior to joining BCG, he worked at Areva Wind (offshore wind OEM), where he led the supply chain assessment for entry in North America, and was a production manager at Areva's nuclear fuel reprocessing plant. He also worked in private equity, international finance, and development.</t>
  </si>
  <si>
    <t>benjamin.vannier@bcg.com</t>
  </si>
  <si>
    <t>436311-46P</t>
  </si>
  <si>
    <t>Benjamin Wahl</t>
  </si>
  <si>
    <t>Wahl</t>
  </si>
  <si>
    <t>Mr. Benjamin Wahl serves as Partner &amp; Associate Director at Boston Consulting Group. He has led numerous projects across sectors with a focus on supply chain and procurement optimization in the Middle East and globally.</t>
  </si>
  <si>
    <t>wahl.benjamin@bcg.com</t>
  </si>
  <si>
    <t>455979-88P</t>
  </si>
  <si>
    <t>Benny Yoshpa</t>
  </si>
  <si>
    <t>Benny</t>
  </si>
  <si>
    <t>Yoshpa</t>
  </si>
  <si>
    <t>Mr. Benny Yoshpa serves as Managing Director &amp; Partner at Boston Consulting Group. He is a core member of the global Technology, Media &amp; Telecommunications (TMT) practice at the firm and leads the firm's TMT and digital work for the Caspian region. He has over 20 years of consulting and industry experience focusing on telecommunications and technology. He has also worked with clients in the public sector, private equity, energy, financial services, utilities, and industrials. His geographic focus includes Eastern and Western Europe, the US, and the Middle East. Before joining BCG, he worked at Booz &amp; Company and Intel Corp.</t>
  </si>
  <si>
    <t>yoshpa.benny@bcg.com</t>
  </si>
  <si>
    <t>435814-48P</t>
  </si>
  <si>
    <t>Bernd Ziegler Ph.D</t>
  </si>
  <si>
    <t>Bernd</t>
  </si>
  <si>
    <t>Ziegler</t>
  </si>
  <si>
    <t>Mr. Bernd Ziegler serves as Managing Director &amp; Senior Partner at Boston Consulting Group. He has worked extensively with clients in the pharmaceutical industry, with a strong focus on issues related to corporate strategy.</t>
  </si>
  <si>
    <t>ziegler.bernd@bcg.com</t>
  </si>
  <si>
    <t>435431-08P</t>
  </si>
  <si>
    <t>Bernhard Kronfellner Ph.D</t>
  </si>
  <si>
    <t>Kronfellner</t>
  </si>
  <si>
    <t>Mr. Bernhard Kronfellner serves as Partner &amp; Associate Director at Boston Consulting Group. He has worked with banking clients and financial regulators around the world on cryptocurrencies, tokenization, metaverse, digitization, blockchain, post-merger integration, active credit portfolio management, and private market/private equity, as well as on market risk topics such as the Fundamental Review of the Trading Book (FRTB).</t>
  </si>
  <si>
    <t>bernhard.kronfellner@bcg.com</t>
  </si>
  <si>
    <t>435021-31P</t>
  </si>
  <si>
    <t>Beth Viner</t>
  </si>
  <si>
    <t>Viner</t>
  </si>
  <si>
    <t>Ms. Beth Viner serves as Managing Director &amp; Partner at Boston Consulting Group. Her recent work has focused on evolving decentralized finance and digital disruption for the finance and personal banking sectors. She is also a leading expert on metaverse applications for consumers and building emerging bets to tap into the potential of Web3.</t>
  </si>
  <si>
    <t>viner.beth@bcg.com</t>
  </si>
  <si>
    <t>456122-98P</t>
  </si>
  <si>
    <t>Bharat Mimani</t>
  </si>
  <si>
    <t>Mimani</t>
  </si>
  <si>
    <t>Mr. Bharat Mimani serves as Managing Director &amp; Partner at Boston Consulting Group. She is a core member of the Consumer practice, with a focus on retail. He has extensive experience in fast-moving consumer goods, food retail, and textiles and apparel. He is the designated node for digital and technology for the consumer vertical in India. He works with multinational and Indian clients, and his recent experience includes digital transformations, post-merger integration, next-generation sales, demand-centric growth (brand strategy), corporate and business unit strategy, and omni-channel retail format design. He is currently actively driving the next-generation go-to-market and net revenue management work for the practice.</t>
  </si>
  <si>
    <t>bharat.mimani@bcg.com</t>
  </si>
  <si>
    <t>435815-92P</t>
  </si>
  <si>
    <t>Bharat Poddar</t>
  </si>
  <si>
    <t>Poddar</t>
  </si>
  <si>
    <t>Mr. Bharat Poddar serves as Managing Director &amp; Senior Partner at Boston Consulting Group. His client experience has covered a wide range of topics, including digitization, digital innovations, operational excellence, market-entry strategy, turnaround, strategic planning, customer segmentation, and organizational effectiveness.</t>
  </si>
  <si>
    <t>poddar.bharat@bcg.com</t>
  </si>
  <si>
    <t>455620-06P</t>
  </si>
  <si>
    <t>Bhavya Kumar</t>
  </si>
  <si>
    <t>Bhavya</t>
  </si>
  <si>
    <t>Mr. Bhavya Kumar serves as Managing Director &amp; Partner at Boston Consulting Group. He leads the firm's digital work within the Financial Institutions practice in the Middle East. His client work is focused on banking, fintech, capital markets, digital, technology, and sustainability. He has established deep expertise in the areas of strategy and transformation, disruptive innovation, digital-driven business models, digital attacker banks, fintech strategy, green finance, operating model design, agile, technology effectiveness, core systems, tech companies M&amp;A, and portfolio prioritization through working with global and regional clients.</t>
  </si>
  <si>
    <t>bhavya.kumar@bcg.com</t>
  </si>
  <si>
    <t>436163-68P</t>
  </si>
  <si>
    <t>Bingbing Liu</t>
  </si>
  <si>
    <t>Bingbing</t>
  </si>
  <si>
    <t>Mr. Bingbing Liu serves as Managing Director &amp; Partner at Boston Consulting Group. He has more than 12 years of experience in consulting, and has worked with many leading domestic and international financial institutions on strategic planning, organizational transformation, and risk management.</t>
  </si>
  <si>
    <t>liu.bingbing@bcg.com</t>
  </si>
  <si>
    <t>436287-88P</t>
  </si>
  <si>
    <t>Bitan Datta</t>
  </si>
  <si>
    <t>Bitan</t>
  </si>
  <si>
    <t>Datta</t>
  </si>
  <si>
    <t>Mr. Bitan Datta serves as Managing Director &amp; Partner at Boston Consulting Group. He has significant comprehensive experience in the steel, cement, and automotive sectors, as well as in construction, heavy equipment, textiles, and pharma.</t>
  </si>
  <si>
    <t>datta.bitan@bcg.com</t>
  </si>
  <si>
    <t>435646-00P</t>
  </si>
  <si>
    <t>Bodo Hulsen</t>
  </si>
  <si>
    <t>Bodo</t>
  </si>
  <si>
    <t>Hulsen</t>
  </si>
  <si>
    <t>Mr. Bodo Hulsen serves as Managing Director &amp; Partner at Boston Consulting Group. He has led many projects covering digital transformations, the implications of a digitized workforce, and E2E digital customer journeys, among others.</t>
  </si>
  <si>
    <t>b-h@bcg.com</t>
  </si>
  <si>
    <t>141986-98P</t>
  </si>
  <si>
    <t>Boon Tan</t>
  </si>
  <si>
    <t>Boon</t>
  </si>
  <si>
    <t>Mr. Boon Tan serves as Knowledge Analyst, Corporate Development at Boston Consulting Group.</t>
  </si>
  <si>
    <t>byt@bcg.com</t>
  </si>
  <si>
    <t>Knowledge Analyst, Corporate Development</t>
  </si>
  <si>
    <t>456222-61P</t>
  </si>
  <si>
    <t>Bora Goekbora</t>
  </si>
  <si>
    <t>Bora</t>
  </si>
  <si>
    <t>Goekbora</t>
  </si>
  <si>
    <t>Mr. Bora Goekbora serves as a Partner at Boston Consulting Group. He is a core member of the firm's Technology, Media &amp; Telecommunications (TMT) practice. He works mostly with clients in the technology and telecommunications industries, and with public companies, private equity investors, and portfolio companies on engagements involving strategy, corporate development, and transactions. Prior to joining BCG, he was a leader within Accenture Strategy's Communications, Media &amp; Technology practice.</t>
  </si>
  <si>
    <t>goekbora.bora@bcg.com</t>
  </si>
  <si>
    <t>435595-33P</t>
  </si>
  <si>
    <t>Borge Kristoffersen</t>
  </si>
  <si>
    <t>Borge</t>
  </si>
  <si>
    <t>Kristoffersen</t>
  </si>
  <si>
    <t>Mr. Borge Kristoffersen serves as Managing Director &amp; Senior Partner at Boston Consulting Group. He has worked extensively in the utilities, process, transportation and logistics, high-tech, consumer goods, and oil field services industries.</t>
  </si>
  <si>
    <t>kristoffersen.borge@bcg.com</t>
  </si>
  <si>
    <t>455769-46P</t>
  </si>
  <si>
    <t>Boris Goutkin</t>
  </si>
  <si>
    <t>Boris</t>
  </si>
  <si>
    <t>Goutkin</t>
  </si>
  <si>
    <t>Mr. Boris Goutkin serves as Managing Director &amp; Partner at Boston Consulting Group. He is a core member of the firm's Financial Institutions and Technology &amp; Digital Advantage practices. Since joining the firm, he has led numerous digital transformation projects, from multispeed IT function design to the development of a digital banking concept, for clients including leading banks and domestic tech companies, and national energy corporations. Before joining BCG, Mr. Goutkin worked as Technology Strategy Practice Lead for Russia at Accenture, as well as Senior Consultant at Deloitte &amp; Touche, and a Senior Engineer and Regional CTO at Celltick Technologies in Tel Aviv and Moscow.</t>
  </si>
  <si>
    <t>goutkin.boris@bcg.com</t>
  </si>
  <si>
    <t>455761-81P</t>
  </si>
  <si>
    <t>Boris Stoff</t>
  </si>
  <si>
    <t>Stoff</t>
  </si>
  <si>
    <t>Mr. Boris Stoff serves as Managing Director, Platinion at Boston Consulting Group. He is the Financial Institutions and Principal Investors &amp; Private Equity lead for BCG Platinion, and leads BCG's Tech &amp; Digital Advantage practice in the Middle East. He works with banks, exchanges, investors, wealth funds, and tech and fintech companies in Europe, North America, and the Middle East. He focuses on IT, data architecture, and digital build topics, helping organizations develop digital products that align with their business strategy. Prior to joining BCG Platinion, he worked as a consultant in enterprise information management and gained broad technology experience in finance, insurance, telecommunications, industrial goods, the public sector, and energy.</t>
  </si>
  <si>
    <t>b-s@bcg.com</t>
  </si>
  <si>
    <t>Managing Director, Platinion</t>
  </si>
  <si>
    <t>434995-75P</t>
  </si>
  <si>
    <t>Brad Baker</t>
  </si>
  <si>
    <t>Mr. Brad Baker serves as Managing Director &amp; Partner at Boston Consulting Group. He works with leading brands on growth strategy, digital and analytics, and omnichannel.</t>
  </si>
  <si>
    <t>baker.brad@bcg.com</t>
  </si>
  <si>
    <t>435335-41P</t>
  </si>
  <si>
    <t>Brad Loftus</t>
  </si>
  <si>
    <t>Loftus</t>
  </si>
  <si>
    <t>Mr. Brad Loftus serves as Managing Director &amp; Senior Partner at Boston Consulting Group. He has worked with a broad range of retail clients, including grocery, DIY, pharmacy, food, apparel, consumer electronics, and private equity to create and develop strategies on topics such as strategy, growth, merchandising, store operations, and organization.</t>
  </si>
  <si>
    <t>brad.loftus@bcg.com</t>
  </si>
  <si>
    <t>456588-10P</t>
  </si>
  <si>
    <t>Brad Martens</t>
  </si>
  <si>
    <t>Martens</t>
  </si>
  <si>
    <t>Mr. Brad Martens serves as Managing Director &amp; Senior Partner at Boston Consulting Group. He is a core member of the Corporate Finance &amp; Strategy practice and has deep expertise in corporate strategy and transformation. He is also the office leader for BCG's Chicago office and the global leader for the firm's Growth topic. He is an expert on high-performance operating system design and implementation. He has worked with clients in industries including medical devices, packaging, engineered products, and chemicals on topics such as growth strategy, portfolio strategy, go-to-market strategy, pricing and salesforce effectiveness, M&amp;A due diligence, and post-merger integration. Prior to joining the firm, he worked as a consultant with Ernst &amp; Young LLP, where he specialized in process improvement for the telecommunications industry.</t>
  </si>
  <si>
    <t>martens.brad@bcg.com</t>
  </si>
  <si>
    <t>435559-42P</t>
  </si>
  <si>
    <t>Brent Powers</t>
  </si>
  <si>
    <t>Powers</t>
  </si>
  <si>
    <t>Mr. Brent Powers serves as Principal at Boston Consulting Group. He has worked with energy, financial institutions, and private equity clients on operational improvement initiatives and major transformations and turnarounds, including digital transformations.</t>
  </si>
  <si>
    <t>powers.brent@bcg.com</t>
  </si>
  <si>
    <t>456749-29P</t>
  </si>
  <si>
    <t>Brian Collie</t>
  </si>
  <si>
    <t>Collie</t>
  </si>
  <si>
    <t>Mr. Brian Collie serves as Managing Director &amp; Senior Partner at Boston Consulting Group. He is also the Global Lead for the Automotive &amp; Mobility sector and a core member of the Industrial Goods, Operations, Strategy, Cost Optimization, and Global Advantage practices. He specializes in working with automotive manufacturers and suppliers on a broad range of strategy, operations, and organizational topics. He is an expert on new mobility and passionate about the potential for the convergence of sharing, autonomous technologies, and electrification to change the world. Prior to joining BCG, he was a partner at Booz &amp; Company and served as an officer in the US Navy.</t>
  </si>
  <si>
    <t>collie.brian@bcg.com</t>
  </si>
  <si>
    <t>431138-62P</t>
  </si>
  <si>
    <t>Brian Gross</t>
  </si>
  <si>
    <t>Gross</t>
  </si>
  <si>
    <t>Mr. Brian Gross serves as Chief Operating Officer at Morrison &amp; Foerster. He oversees all financial, operational, marketing, and administrative support functions, ensuring that they align seamlessly with the firm's commitment to exceptional client service, innovative solutions, and strategic growth. Mr. Gross also serves as Managing Director, Partner &amp; North America Chief Operating Officer at Boston Consulting Group. In this role, he oversees the firm's operations, human resources, and business services teams in the US, Canada, and Mexico</t>
  </si>
  <si>
    <t>+1 (415) 268-6999</t>
  </si>
  <si>
    <t>briangross@mofo.com</t>
  </si>
  <si>
    <t>425 Market Street</t>
  </si>
  <si>
    <t>94105-2482</t>
  </si>
  <si>
    <t>+1 (415) 268-7522</t>
  </si>
  <si>
    <t>Morrison &amp; Foerster</t>
  </si>
  <si>
    <t>171367-84P</t>
  </si>
  <si>
    <t>Brian Harris</t>
  </si>
  <si>
    <t>Mr. Brian Harris is a Co-Founder and serves as a Managing Partner at EndCAP Venture Partners. Mr. Harris serves as Senior Advisor at Boston Consulting Group. He is also a member of the Consumer practice leadership team for North America at The Boston Consulting Group. He leads the North American Expert Career Track for the firm. Since joining BCG in 1997, Brian has partnered with several major retailers to help drive strategic growth and operational change and to achieve industry-leading results. He has significant experience across many retail formats including drug stores, grocery, big box, fast food, convenience stores, discount, office supplies, business services, and travel retail. He has had the great fortune to work with some of the best retail leadership teams around to help drive unmatched results. Before joining BCG, he spent four years as a sports agent at ProServ, Inc. He holds a BA from Yale University and an MBA from Harvard Business School.</t>
  </si>
  <si>
    <t>bharris@endcapvp.com</t>
  </si>
  <si>
    <t>EndCAP Venture Partners</t>
  </si>
  <si>
    <t>436114-99P</t>
  </si>
  <si>
    <t>Brian Myerholtz</t>
  </si>
  <si>
    <t>Myerholtz</t>
  </si>
  <si>
    <t>Mr. Brian Myerholtz serves as Managing Director &amp; Senior Partner at Boston Consulting Group. He leads the firm's overall recruitment efforts for North America and is a member of the North American Regional Leadership Team.</t>
  </si>
  <si>
    <t>myerholtz.brian@bcg.com</t>
  </si>
  <si>
    <t>435738-61P</t>
  </si>
  <si>
    <t>Brian Nadres</t>
  </si>
  <si>
    <t>Nadres</t>
  </si>
  <si>
    <t>Mr. Brian Nadres serves as Partner &amp; Associate Director at Boston Consulting Group. He has significant digital media experience specifically in paid search, paid social, and programmatic media.</t>
  </si>
  <si>
    <t>nadres.brian@bcg.com</t>
  </si>
  <si>
    <t>436693-06P</t>
  </si>
  <si>
    <t>Briar Thompson</t>
  </si>
  <si>
    <t>Briar</t>
  </si>
  <si>
    <t>Thompson</t>
  </si>
  <si>
    <t>Ms. Briar Thompson serves as Partner at Boston Consulting Group. She is passionate about improving economic mobility, and many of her projects in the education space have focused either on helping students from diverse and low-income backgrounds gain access to higher education, or on building stronger connections between education and the workforce.</t>
  </si>
  <si>
    <t>thompson.briar@bcg.com</t>
  </si>
  <si>
    <t>436707-55P</t>
  </si>
  <si>
    <t>Brooke Bollyky</t>
  </si>
  <si>
    <t>Brooke</t>
  </si>
  <si>
    <t>Bollyky</t>
  </si>
  <si>
    <t>Ms. Brooke Bollyky serves as Managing Director &amp; Partner, North America Public Sector Practice Leader at Boston Consulting Group. She is a longtime leader in the Public Sector practice and the firm's work with the US Federal Government.</t>
  </si>
  <si>
    <t>bollyky.brooke@bcg.com</t>
  </si>
  <si>
    <t>Managing Director &amp; Partner, North America Public Sector Practice Leader</t>
  </si>
  <si>
    <t>435816-73P</t>
  </si>
  <si>
    <t>Bruno Antunes</t>
  </si>
  <si>
    <t>Antunes</t>
  </si>
  <si>
    <t>Mr. Bruno Antunes serves as Principal at Boston Consulting Group. His engagements have covered sectors such as consumer, retail, health care, travel and tourism, industrial goods, energy, and financial services.</t>
  </si>
  <si>
    <t>antunes.bruno@bcg.com</t>
  </si>
  <si>
    <t>455822-11P</t>
  </si>
  <si>
    <t>Bruno Galvani</t>
  </si>
  <si>
    <t>Galvani</t>
  </si>
  <si>
    <t>Mr. Bruno Galvani serves as Managing Director &amp; Partner at Boston Consulting Group. He has more than ten years of management consulting experience focused on retail and consumer products companies. His expertise covers a wide range of topics, including transformations/turnarounds, business and portfolio strategy, marketing, sales, operations, organization, and change management. Before joining the firm, he cofounded a fashion e-commerce platform in Brazil. He also spent nine years at Bain &amp; Company.</t>
  </si>
  <si>
    <t>galvani.bruno@bcg.com</t>
  </si>
  <si>
    <t>435222-55P</t>
  </si>
  <si>
    <t>Bruno Mourao</t>
  </si>
  <si>
    <t>Mourao</t>
  </si>
  <si>
    <t>Mr. Bruno Mourao serves as Managing Director &amp; Partner at Boston Consulting Group. He leads corporate development and transformation strategy engagements for Latin American clients, including midstream and downstream oil and gas companies and private equity funds.</t>
  </si>
  <si>
    <t>mourao.bruno@bcg.com</t>
  </si>
  <si>
    <t>456274-09P</t>
  </si>
  <si>
    <t>Bruno Vasconcellos</t>
  </si>
  <si>
    <t>Vasconcellos</t>
  </si>
  <si>
    <t>Mr. Bruno Vasconcellos serves as Managing Director &amp; Partner at Boston Consulting Group. He is a core member of the Travel, Cities &amp; Infrastructure, and Corporate Finance &amp; Strategy practices at the firm. He has broad experience in strategic projects for transport and logistics clients in industries including rail, shipping, ports, sanitation, and offshore pipelines. Before joining BCG, he was Finance Manager, Consumer Products Division, at L'Oréal, and a Senior Analyst at Itau BBA.</t>
  </si>
  <si>
    <t>vasconcellos.bruno@bcg.com</t>
  </si>
  <si>
    <t>456124-06P</t>
  </si>
  <si>
    <t>Bryan Berumen</t>
  </si>
  <si>
    <t>Berumen</t>
  </si>
  <si>
    <t>Mr. Bryan Berumen serves as Managing Director &amp; Partner at Boston Consulting Group. He brings experience in sales, marketing, and service transformation, including operations, effectiveness, Salesforce.com enablement, and business and technology operating model design. At BCG, he helps clients accelerate and get more value from their customer relationship management (CRM) investments by focusing on business value creation, process and operating model impacts, and incorporating next-gen AI capabilities. He leads BCG's CRM work for the EMESA region (Europe, Middle East, South America, Africa). Before joining the firm, he spent 21 years at Accenture, most recently as the EMEA Salesforce Business Group Lead.</t>
  </si>
  <si>
    <t>berumen.bryan@bcg.com</t>
  </si>
  <si>
    <t>434899-81P</t>
  </si>
  <si>
    <t>Bryan Gauch</t>
  </si>
  <si>
    <t>Gauch</t>
  </si>
  <si>
    <t>Mr. Bryan Gauch serves as Managing Director &amp; Partner at Boston Consulting Group. He is an expert in shaping next gen sales and services strategies and delivering large-scale transformations with a focus on growth, profitability, and innovation.</t>
  </si>
  <si>
    <t>bryan@bcg.com</t>
  </si>
  <si>
    <t>455467-24P</t>
  </si>
  <si>
    <t>Bryan Head</t>
  </si>
  <si>
    <t>Mr. Bryan Head serves as Managing Director &amp; Partner at Boston Consulting Group. He is a core member of the firm's Health Care and Operations practices, with a focus on manufacturing and supply chain. His work in medtech and biopharma has covered network strategy, large-scale operating model transformation, organization design, and post-merger integration. He has also worked on projects covering operations in health insurance, org redesign in financial services, and supply chain strategy in global health. He focuses on helping medtech clients with commercial and operational transformations.</t>
  </si>
  <si>
    <t>head.bryan@bcg.com</t>
  </si>
  <si>
    <t>435024-10P</t>
  </si>
  <si>
    <t>Bryann DaSilva</t>
  </si>
  <si>
    <t>Bryann</t>
  </si>
  <si>
    <t>DaSilva</t>
  </si>
  <si>
    <t>Mr. Bryann DaSilva serves as Principal at Boston Consulting Group. He served as a BCG Henderson Institute Ambassador researching sustainable business model innovation (how companies can transform to gain competitive advantage by advancing environmental and societal benefits) and strategic implications of the transition to net zero.</t>
  </si>
  <si>
    <t>dasilva.bryann@bcg.com</t>
  </si>
  <si>
    <t>456742-99P</t>
  </si>
  <si>
    <t>Burak Tansan</t>
  </si>
  <si>
    <t>Tansan</t>
  </si>
  <si>
    <t>Mr. Burak Tansan serves as Managing Director &amp; Senior Partner at Boston Consulting Group. He is the firm's global leader for environmental, social, and governance (ESG) in emerging markets and chairman of the Turkey office. He has over 25 years of senior-level experience in multiple industries, with a specific focus on banking, insurance, consumer and retail, industrial goods, and conglomerates. His consulting project experience has included large-scale transformations and post-merger integration programs for leading Turkish and multinational companies, governance and organizational model redesign for leading conglomerates and companies, and portfolio assessment and governance models.</t>
  </si>
  <si>
    <t>tansan.burak@bcg.com</t>
  </si>
  <si>
    <t>434892-16P</t>
  </si>
  <si>
    <t>Caio Guimarães</t>
  </si>
  <si>
    <t>Caio</t>
  </si>
  <si>
    <t>Guimarães</t>
  </si>
  <si>
    <t>Mr. Caio Guimarães serves as Managing Director &amp; Partner at Boston Consulting Group. He leads digital and analytics transformations, delivering end-to-end custom-built AI solutions to clients in industries including retail, airlines, energy, petrochemicals, mining, and pulp and paper. These transformation cover sales and operations planning, logistics, and supply chain, among other things.</t>
  </si>
  <si>
    <t>guimaraes.caio@bcg.com</t>
  </si>
  <si>
    <t>456188-05P</t>
  </si>
  <si>
    <t>Caitlin Hartman</t>
  </si>
  <si>
    <t>Hartman</t>
  </si>
  <si>
    <t>Ms. Caitlin Hartman serves as Managing Director &amp; Partner at Boston Consulting Group. He is a core leader in the firm's Financial Institutions and Public Sector practices, with a focus on technology and digital advantage. She leads Economic Development &amp; Finance for BCG's Center for Government in North America. She leads complex transformations for financial services firms, advising senior leaders on large-scale technology and digital modernization, operating model and organizational transformation, performance management, and operational efficiency. Prior to joining BCG, she worked in emerging markets and served as a Special Assistant in the U.S. federal government. She serves on the board of Leadership Greater Washington and is an advocate for small businesses in the District of Columbia.</t>
  </si>
  <si>
    <t>hartman.caitlin@bcg.com</t>
  </si>
  <si>
    <t>436333-60P</t>
  </si>
  <si>
    <t>Camila Penazzo</t>
  </si>
  <si>
    <t>Camila</t>
  </si>
  <si>
    <t>Penazzo</t>
  </si>
  <si>
    <t>Ms. Camila Penazzo serves as Partner at Boston Consulting Group. She leads global teams building and leveraging AI to create extensive internal efficiencies at large corporations, and building and accelerating new products and startups in market with large corporations.</t>
  </si>
  <si>
    <t>penazzo.camila@bcg.com</t>
  </si>
  <si>
    <t>435510-73P</t>
  </si>
  <si>
    <t>Camille Engel</t>
  </si>
  <si>
    <t>Engel</t>
  </si>
  <si>
    <t>Ms. Camille Engel serves as Managing Director &amp; Partner at Boston Consulting Group. She is a core member of both the Health Care and Public Sector practices with a focus on advanced analytics and digital supply chain. She leads the supply chain AI team for those practices and co-leads digital and AI for health care operations. In addition, she is the CDC advisor for associates. She leads large transformation programs, often for global pharma and medtech companies, including running the transformation management office.</t>
  </si>
  <si>
    <t>camille.engel@bcg.com</t>
  </si>
  <si>
    <t>435219-58P</t>
  </si>
  <si>
    <t>Campbell Craig</t>
  </si>
  <si>
    <t>Mr. Campbell Craig serves as Managing Director &amp; Partner at Boston Consulting Group. His expertise and project experience span a variety of topics, including high-level strategy development, organization and operating model transformation, and operations excellence.</t>
  </si>
  <si>
    <t>craig.campbell@bcg.com</t>
  </si>
  <si>
    <t>456116-95P</t>
  </si>
  <si>
    <t>Can Schnigula</t>
  </si>
  <si>
    <t>Can</t>
  </si>
  <si>
    <t>Schnigula</t>
  </si>
  <si>
    <t>Mr. Can Schnigula serves as Partner at Boston Consulting Group. He leads the firm's global medtech commercial study series Milkman, and is a member of the firm's global medtech commercial leadership team. He is a core member of BCG's Health Care and Marketing, Sales &amp; Pricing practices. He has worked extensively with medtech and life sciences clients globally. In his client work, he focuses on creating lasting growth through market and business expansion, next-generation commercial transformations, including field sales optimization, remote sales, and innovation programs across the industry.</t>
  </si>
  <si>
    <t>schnigula.can@bcg.com</t>
  </si>
  <si>
    <t>434841-94P</t>
  </si>
  <si>
    <t>Candice Mascarello</t>
  </si>
  <si>
    <t>Candice</t>
  </si>
  <si>
    <t>Mascarello</t>
  </si>
  <si>
    <t>Ms. Candice Mascarello serves as Managing Director &amp; Partner at Boston Consulting Group. She leads projects in banking, insurance, and payments, concentrating on customer experience, process and cost optimization, strategy, culture, distribution, and other topics. She also works with clients on due diligence and operating model and organizational structure.</t>
  </si>
  <si>
    <t>mascarello.candice@bcg.com</t>
  </si>
  <si>
    <t>436692-52P</t>
  </si>
  <si>
    <t>Carin Forsling</t>
  </si>
  <si>
    <t>Carin</t>
  </si>
  <si>
    <t>Forsling</t>
  </si>
  <si>
    <t>Ms. Carin Forsling serves as Managing Director &amp; Partner at Boston Consulting Group. She specializes in building and transforming digital functions and capabilities inside large global companies.</t>
  </si>
  <si>
    <t>carin.forsling@bcg.com</t>
  </si>
  <si>
    <t>436431-97P</t>
  </si>
  <si>
    <t>Carl Clayton</t>
  </si>
  <si>
    <t>Mr. Carl Clayton serves as Partner &amp; Associate Director, Low Carbon Solutions at Boston Consulting Group. He has deep expertise in low carbon solutions, covering carbon capture and storage (CCS), bioenergy, biofuels, carbon removal, and hydrogen and derivatives.</t>
  </si>
  <si>
    <t>c-c@bcg.com</t>
  </si>
  <si>
    <t>Partner &amp; Associate Director, Low Carbon Solutions</t>
  </si>
  <si>
    <t>435135-88P</t>
  </si>
  <si>
    <t>Carla Spoerle</t>
  </si>
  <si>
    <t>Carla</t>
  </si>
  <si>
    <t>Spoerle</t>
  </si>
  <si>
    <t>Ms. Carla Spoerle serves as Managing Director &amp; Partner at Boston Consulting Group. She works with them on a broad range of commercial excellence topics, including launch excellence, sales force excellence and next-generation sales, digital marketing, key account management, and pricing.</t>
  </si>
  <si>
    <t>spoerle.carla@bcg.com</t>
  </si>
  <si>
    <t>455463-19P</t>
  </si>
  <si>
    <t>Carlo Bravin</t>
  </si>
  <si>
    <t>Bravin</t>
  </si>
  <si>
    <t>Mr. Carlo Bravin serves as a Partner at Boston Consulting Group. He is a member of the leadership team for the firm's Financial Institutions practice for the Eastern Mediterranean and Caspian region. He as spent more than ten years working extensively with international financial institutions, including commercial banks, investment banks, and payments providers, to drive their transformation efforts. Within the Financial Institutions practice, he has developed deep proficiency in areas including, large-scale transformation programs, distribution and pricing strategy, digital product innovation, new market entry, organization redesign, and workforce planning.</t>
  </si>
  <si>
    <t>bravin.carlo@bcg.com</t>
  </si>
  <si>
    <t>455281-66P</t>
  </si>
  <si>
    <t>Carlos Barrantes</t>
  </si>
  <si>
    <t>Barrantes</t>
  </si>
  <si>
    <t>Mr. Carlos Barrantes serves as Managing Director, BCG Platinion at Boston Consulting Group. He works on strategy consulting, digital ventures, and data science to bring client decisions to life in complex and fast-paced environments. Before joining the firm, he was the Director of the Agile Center of Excellence at Everis-NTT Data in Chile.</t>
  </si>
  <si>
    <t>barrantes.carlos@bcg.com</t>
  </si>
  <si>
    <t>435596-59P</t>
  </si>
  <si>
    <t>Carlos Elavai</t>
  </si>
  <si>
    <t>Elavai</t>
  </si>
  <si>
    <t>Mr. Carlos Elavai serves as Managing Director &amp; Partner at Boston Consulting Group. He collaborates with clients to define new strategic paths, address challenging questions around their business models, identify the potential for optimizing operations, and implement transformative programs of change to further enlarge their contribution to the economy and society.</t>
  </si>
  <si>
    <t>+351 21 321 4800</t>
  </si>
  <si>
    <t>elavai.carlos@bcg.com</t>
  </si>
  <si>
    <t>Lisbon</t>
  </si>
  <si>
    <t>Lisbon, Portugal</t>
  </si>
  <si>
    <t>Rua das Chagas 7 - 15</t>
  </si>
  <si>
    <t>1200-106</t>
  </si>
  <si>
    <t>Portugal</t>
  </si>
  <si>
    <t>+351 21 321 4801</t>
  </si>
  <si>
    <t>435432-16P</t>
  </si>
  <si>
    <t>Carlos Paci</t>
  </si>
  <si>
    <t>Paci</t>
  </si>
  <si>
    <t>Mr. Carlos Paci serves as Managing Director &amp; Partner at Boston Consulting Group. He is a member of the Technology Advantage and Financial Institutions practice areas at BCG and an expert in the IT Sourcing topic. He is currently serving as the office leader for Santiago.</t>
  </si>
  <si>
    <t>carlos.paci@bcg.com</t>
  </si>
  <si>
    <t>174984-85P</t>
  </si>
  <si>
    <t>Carol Liao</t>
  </si>
  <si>
    <t>Liao</t>
  </si>
  <si>
    <t>Ms. Carol Liao serves as Managing Director &amp; Senior Partner at Boston Consulting Group. She is a core member of the Consumer and Marketing, Sales &amp; Pricing practices at BCG. She has acquired deep expertise working with both multinational companies and Asian corporations on an array of strategy and organizational issues, personally leading business growth and optimization initiatives for major global consumer firms across China and Asia. Before joining BCG, Carol worked for Procter &amp; Gamble, China.</t>
  </si>
  <si>
    <t>cl@bcg.com</t>
  </si>
  <si>
    <t>Managing Director, Senior Partner &amp; Chairman, Greater China</t>
  </si>
  <si>
    <t>456219-55P</t>
  </si>
  <si>
    <t>Carolin Eistert Ph.D</t>
  </si>
  <si>
    <t>Eistert</t>
  </si>
  <si>
    <t>Dr. Carolin Eistert serves as Managing Director &amp; Partner at Boston Consulting Group. He is a core group member of the Health Care practice at the firm, with a focus on the payer segment. She currently serves as head of recruiting for Germany and Austria.</t>
  </si>
  <si>
    <t>eistert.carolin@bcg.com</t>
  </si>
  <si>
    <t>436278-34P</t>
  </si>
  <si>
    <t>Caroline Israel</t>
  </si>
  <si>
    <t>Ms. Caroline Israel serves as Managing Director &amp; Partner at Boston Consulting Group. She is an expert in retail and has worked in Australia, the US, and Europe in the grocery, convenience, food service, apparel and accessories industries.</t>
  </si>
  <si>
    <t>israel.caroline@bcg.com</t>
  </si>
  <si>
    <t>455944-24P</t>
  </si>
  <si>
    <t>Carsten Nee Ph.D</t>
  </si>
  <si>
    <t>Carsten</t>
  </si>
  <si>
    <t>Nee</t>
  </si>
  <si>
    <t>Dr. Carsten Nee serves as Partner &amp; Associate Director at Boston Consulting Group. He is a procurement transformation expert and a core member of the Operations practice at the firm. He advises and serves a broad range of clients-particularly in the automotive industry-working with them on procurement optimization, including identifying and implementing cost savings and sustaining new ways of working in large-scale procurement transformations. He is the topic lead for risk management. In addition to procurement cost savings, he is experienced in risk, digital, sustainability, product development, and organization and operating model topics.</t>
  </si>
  <si>
    <t>nee.carsten@bcg.com</t>
  </si>
  <si>
    <t>336143-17P</t>
  </si>
  <si>
    <t>Carsten Schaetzberger</t>
  </si>
  <si>
    <t>Schaetzberger</t>
  </si>
  <si>
    <t>Mr. Carsten Schaetzberger serves as Managing Director at Boston Consulting Group. Mr. Schaetzberger joined Boston Consulting Group in 2003 and spent time in BCG's Cologne and Detroit offices before moving to Stuttgart. Mr. Schaetzberger is the global leader of Boston Consulting Group's Industrial Goods practice.
Mr. Schaetzberger has worked extensively with automotive, aerospace, and industrial clients, in Europe, the US, and Asia, advising them on a wide range of topics. He has led multiple transformation programs with performance optimization along the full value chain (fixed-cost and restructuring, product cost and procurement, research, and development, sales, and after-sales). In recent years, he has also had a strong focus on digital transformation, including digital business building, and advanced analytics-based optimization.
Before joining BCG, Mr. Schaetzberger worked as a researcher at Fraunhofer Institute for Industrial Engineering. He also worked at TÜV Rheinland Japan, and on high-precision measurement techniques for BAE Systems in the UK.</t>
  </si>
  <si>
    <t>+49 (0)71 1202 070</t>
  </si>
  <si>
    <t>c-s@bcg.com</t>
  </si>
  <si>
    <t>Stuttgart</t>
  </si>
  <si>
    <t>Stuttgart, Germany</t>
  </si>
  <si>
    <t>Calwer Strasse 7</t>
  </si>
  <si>
    <t>Postal Address: Kronprinzstrasse 6</t>
  </si>
  <si>
    <t>70173</t>
  </si>
  <si>
    <t>+49 (0)71 1221 238</t>
  </si>
  <si>
    <t>Managing Director, Senior Partner &amp; Global Leader, Industrial Goods Practice</t>
  </si>
  <si>
    <t>436705-66P</t>
  </si>
  <si>
    <t>Cassandra Yong</t>
  </si>
  <si>
    <t>Yong</t>
  </si>
  <si>
    <t>Ms. Cassandra Yong serves as Partner at Boston Consulting Group. Her recent work includes financial improvement programs, clinical reconfiguration, elective recovery, large scale transformations, and health venture builds.</t>
  </si>
  <si>
    <t>yong.cassandra@bcg.com</t>
  </si>
  <si>
    <t>435013-30P</t>
  </si>
  <si>
    <t>Cate Blankenship</t>
  </si>
  <si>
    <t>Cate</t>
  </si>
  <si>
    <t>Blankenship</t>
  </si>
  <si>
    <t>Ms. Cate Blankenship serves as Partner at Boston Consulting Group. She divides her work between the public and private sectors, with her public sector work focusing on digital topics, including AI and operations.</t>
  </si>
  <si>
    <t>blankenship.cate@bcg.com</t>
  </si>
  <si>
    <t>436159-36P</t>
  </si>
  <si>
    <t>Catherine Rivet Ph.D</t>
  </si>
  <si>
    <t>Rivet</t>
  </si>
  <si>
    <t>Ms. Catherine Rivet serves as Managing Director &amp; Partner at Boston Consulting Group. Along with biopharma topics such as corporate strategy, business development, and research and development (R&amp;D), she works with clients on life sciences R&amp;D and global health issues. She also works with providers (academic medical centers, physician groups) on issues of strategy, operations, and transformational change.</t>
  </si>
  <si>
    <t>rivet.catherine@bcg.com</t>
  </si>
  <si>
    <t>435925-63P</t>
  </si>
  <si>
    <t>Cecilia Aureliano</t>
  </si>
  <si>
    <t>Aureliano</t>
  </si>
  <si>
    <t>Ms. Cecilia Aureliano serves as Managing Director &amp; Partner at Boston Consulting Group. She specializes in revenue management, and has experience in projects using machine learning.</t>
  </si>
  <si>
    <t>aureliano.cecilia@bcg.com</t>
  </si>
  <si>
    <t>436120-48P</t>
  </si>
  <si>
    <t>Cesar Sanchez</t>
  </si>
  <si>
    <t>Cesar</t>
  </si>
  <si>
    <t>Mr. Cesar Sanchez serves as Managing Director &amp; Partner at Boston Consulting Group. His project experience covers government policy definition, implementation, government organization setup and development, project management, organizational excellence, and service delivery.</t>
  </si>
  <si>
    <t>sanchez.cesar@bcg.com</t>
  </si>
  <si>
    <t>436340-26P</t>
  </si>
  <si>
    <t>Ceyda Haga</t>
  </si>
  <si>
    <t>Ceyda</t>
  </si>
  <si>
    <t>Haga</t>
  </si>
  <si>
    <t>Ms. Ceyda Haga serves as Partner at Boston Consulting Group. She has over ten years of international experience in delivering large-scale strategic top-line and bottom-line transformations for clients in multiple industries and geographies, primarily focusing on technology companies and telecom operators.</t>
  </si>
  <si>
    <t>haga.ceyda@bcg.com</t>
  </si>
  <si>
    <t>455735-35P</t>
  </si>
  <si>
    <t>Changwook Kim</t>
  </si>
  <si>
    <t>Changwook</t>
  </si>
  <si>
    <t>Mr. Changwook Kim serves as Managing Director &amp; Partner at Boston Consulting Group. He is the firm's semiconductor lead for Korea and is a core member of the Technology, Media &amp; Telecommunications practice. He has extensive experience with various semiconductor products (memory, logic, analog, sensors, etc.), the entire semiconductor value chain (chip design, manufacturing, substrate, packaging, testing, module house, etc.), and business models (fabless, foundry, IDM, and OSAT). He is a global expert for advanced packaging at BCG. Before joining BCG, he worked at A.T. Kearney, Accenture, and LG CNS.</t>
  </si>
  <si>
    <t>+82 (0)2 399 2500</t>
  </si>
  <si>
    <t>kim.changwook@bcg.com</t>
  </si>
  <si>
    <t>Grand Central Tower B</t>
  </si>
  <si>
    <t>27th Floor, 14 Sejong-daero, Jung-gu</t>
  </si>
  <si>
    <t>Jung-gu</t>
  </si>
  <si>
    <t>04527</t>
  </si>
  <si>
    <t>+82 (0)2 399 2525</t>
  </si>
  <si>
    <t>435358-63P</t>
  </si>
  <si>
    <t>Chantal Chalouhi</t>
  </si>
  <si>
    <t>Chantal</t>
  </si>
  <si>
    <t>Chalouhi</t>
  </si>
  <si>
    <t>Ms. Chantal Chalouhi serves as Partner at Boston Consulting Group. She has strong business and managerial experience, and has worked with leading private and public entities on diversifying their portfolio, tapping into new spaces, and unlocking the potential of emerging and innovative technologies.</t>
  </si>
  <si>
    <t>chalouhi.chantal@bcg.com</t>
  </si>
  <si>
    <t>118010-62P</t>
  </si>
  <si>
    <t>Charles Gildehaus JD</t>
  </si>
  <si>
    <t>Gildehaus</t>
  </si>
  <si>
    <t>Mr. Charles Gildehaus serves as Managing Director &amp; Senior Partner at Boston Consulting Group. Mr. Charles Gildehaus is a Co-Founder and serves as Partner, Global Head of Financial Services, and Director of the New York Innovation Center at BCG Digital Ventures. Mr. Gildehaus co-founded his first digital startup in 1994 and has spent the last 20 years on the digital frontier as an entrepreneur, investor, and advisor to the world's leading technology companies. He is a relentless innovator and business builder compelled by a vision of how digital technologies can help solve society's problems - both big and small. His pioneering views on digital disruption are reshaping how business leaders think about corporate venturing and the opportunity to reimagine their business to compete and win in the digital age. Charles co-founded BCG Digital Ventures in January 2014, which has become one of the fastest-growing corporate investment and incubation firms worldwide. He is currently leading the build-out and launch of BCGDV's new global Innovation and Investment Center in New York City and also leads the firm's work for financial institutions in the Americas. Over the last two years, Charles has launched disruptive ventures for market leaders in the financial services, consumer, and healthcare sectors. In each case, he led the venture team from "big idea" to "market launch" in under 10 months. Charles began his career on Wall Street working for Merrill Lynch's Mergers and Acquisition Group and Cahill Gordon &amp; Reindel. He co-founded Mercator Partners and served as CEO for nine years, where he invested in and incubated a series of successful digital startups and served on Samsung's Office of the CEO Digital Advisory Council. He also served as a Partner at Oliver Wyman, where he led the Communications and Technology Group in North America.</t>
  </si>
  <si>
    <t>charles.gildehaus@bcg.com</t>
  </si>
  <si>
    <t>455401-81P</t>
  </si>
  <si>
    <t>Charles Hendren</t>
  </si>
  <si>
    <t>Hendren</t>
  </si>
  <si>
    <t>Mr. Charles Hendren serves as Managing Director &amp; Partner at Boston Consulting Group. He is a core member of the Principal Investors &amp; Private Equity (PIPE) practice, focusing on health care and technology. With his private equity clients, he works on transactions and portfolio value acceleration. Within the health care industry, his expertise includes medtech, specialty pharma, pharma services, life science tools and diagnostics, and health care technology.</t>
  </si>
  <si>
    <t>hendren.charles@bcg.com</t>
  </si>
  <si>
    <t>456245-74P</t>
  </si>
  <si>
    <t>Charles Hosner</t>
  </si>
  <si>
    <t>Hosner</t>
  </si>
  <si>
    <t>Mr. Charles Hosner serves as Managing Director &amp; Partner at Boston Consulting Group. He is the firm's lead for cybersecurity in the London, Amsterdam, and Brussels regions. He is a core member of BCG's Digital, Technology &amp; Data team, as well as the Industrial Goods and Energy practices. He is an expert in cybersecurity strategy and transformation for industrial clients. Before joining the firm, he was a Cyber Security Partner at Deloitte UK and a Partner for Risk Consulting and Global Leader of the Operational Technology Practice at KPMG.</t>
  </si>
  <si>
    <t>hosner.charles@bcg.com</t>
  </si>
  <si>
    <t>456477-94P</t>
  </si>
  <si>
    <t>Charles-Antoine Wallaert</t>
  </si>
  <si>
    <t>Charles-Antoine</t>
  </si>
  <si>
    <t>Wallaert</t>
  </si>
  <si>
    <t>Mr. Charles-Antoine Wallaert serves as Managing Director &amp; Partner at Boston Consulting Group. He is a core member of the firm's Insurance practice. He specializes in AI@scale transformation, technical excellence, and claims improvement programs, strategic reviews for French insurance companies, and PMIs. Before joining the firm, he was an investment director at Gilde Buy Out Partners, a mid-market private equity investor, in Paris.</t>
  </si>
  <si>
    <t>wallaert.charles-antoine@bcg.com</t>
  </si>
  <si>
    <t>435731-32P</t>
  </si>
  <si>
    <t>Charley Xu</t>
  </si>
  <si>
    <t>Mr. Charley Xu serves as Managing Director &amp; Partner at Boston Consulting Group. He has developed expertise in three major areas: brand position and marketing communication, large-scale transformation, and digital strategy and implementation.</t>
  </si>
  <si>
    <t>xu.charley@bcg.com</t>
  </si>
  <si>
    <t>455597-47P</t>
  </si>
  <si>
    <t>Chen Yu</t>
  </si>
  <si>
    <t>Mr. Chen Yu serves as Managing Director &amp; Partner at Boston Consulting Group. He is a core member of the firm's Principal Investment &amp; Private Equity (PIPE) and Technology, Media &amp; Telecommunications (TMT) practices. He has experience in many different TMT topics, including semiconductors, hardware and consumer devices, IoT, cloud technology, software and SaaS, infrastructure, and carriers.</t>
  </si>
  <si>
    <t>yu.chen@bcg.com</t>
  </si>
  <si>
    <t>455624-47P</t>
  </si>
  <si>
    <t>Chenao Yu</t>
  </si>
  <si>
    <t>Chenao</t>
  </si>
  <si>
    <t>Mr. Chenao Yu serves as Managing Director &amp; Partner at Boston Consulting Group. He is a core member of the Technology, Media &amp; Telecommunications practice at the firm with a focus on strategy, go-to-market, and M&amp;A. He has worked with leading telecommunications, enterprise technology, media and entertainment, and private equity companies. His expertise includes consumer insight, digital marketing, sales transformation, enterprise infrastructure, cybersecurity, technology investment, and cross-border acquisitions. Prior to joining the firm in 2018, he worked at Cisco Systems and Eight Roads (affiliated with Fidelity International)</t>
  </si>
  <si>
    <t>yu.chenao@bcg.com</t>
  </si>
  <si>
    <t>435423-16P</t>
  </si>
  <si>
    <t>Chitomi Takaki</t>
  </si>
  <si>
    <t>Chitomi</t>
  </si>
  <si>
    <t>Takaki</t>
  </si>
  <si>
    <t>Ms. Chitomi Takaki serves as Partner &amp; Associate Director at Boston Consulting Group. Her experience includes CX-based growth strategies, business strategies, operational and organizational reforms, business transformation, digital transformation, and project management.</t>
  </si>
  <si>
    <t>takaki.chitomi@bcg.com</t>
  </si>
  <si>
    <t>455686-57P</t>
  </si>
  <si>
    <t>Chittaranjan Jha</t>
  </si>
  <si>
    <t>Chittaranjan</t>
  </si>
  <si>
    <t>Jha</t>
  </si>
  <si>
    <t>Dr. Chittaranjan Jha serves as Partner &amp; Director at Boston Consulting Group. He works with clients around the world to solve strategic issues related to procurement and supply chain, digitization of procurement and supply chains, vendor development, sustainability, and post-merger integration. As the Asia Pacific leader for procurement, he works across all industries. He is a core member of the Operations practice in Asia Pacific. Prior to joining BCG, he worked both as a consultant and an industry practitioner. He served as regional business leader for GEP in Asia and led Accenture Strategy's procurement practice in Southeast Asia. Before that, he worked with IBM, Chevron, and ABB in various procurement roles.</t>
  </si>
  <si>
    <t>jha.chittaranjan@bcg.com</t>
  </si>
  <si>
    <t>456586-21P</t>
  </si>
  <si>
    <t>Chris Barrett</t>
  </si>
  <si>
    <t>Mr. Chris Barrett serves as Managing Director, Senior Partner &amp; Global Leader of Post-Merger Integration at Boston Consulting Group. He has served clients in a wide range of industries, including medtech, pharmaceutical, retail, defense, and media, on work such as overall PMI program design and operation, cost and revenue synergies, operating-model and organization design, talent retention and selection, culture integration, and change management. Before joining BCG, he worked at Andersen Consulting (Accenture) as a process consultant to clients in the telecommunications industry.</t>
  </si>
  <si>
    <t>barrett.chris@bcg.com</t>
  </si>
  <si>
    <t>Managing Director, Senior Partner &amp; Global Leader of Post-Merger Integration</t>
  </si>
  <si>
    <t>455461-84P</t>
  </si>
  <si>
    <t>Chris Bennani</t>
  </si>
  <si>
    <t>Bennani</t>
  </si>
  <si>
    <t>Mr. Chris Bennani serves as Managing Director &amp; Partner at Boston Consulting Group. He is a core member of the Health Care practice at the firm. He is the global leader for the firm's work on life sciences research and IVD (in vitro diagnostic) tools and services, and is part of the leadership team for R&amp;D operations. In addition, he serves as the Health Care practice node for the Boston office. He has experience working across the biopharma value chain on operational, organizational, and strategy topics, including CDMO (contract development and manufacturing organization) and CRO (contract research organization). In addition to biopharma, he has worked with clients in the pharmaceutical, life sciences, and medical devices and technology industries. Before joining BCG, he worked as director in strategy and business development roles in the bioscience division of Millipore and as a senior associate in the investment team at the private equity fund Audax.</t>
  </si>
  <si>
    <t>bennani.chris@bcg.com</t>
  </si>
  <si>
    <t>435664-45P</t>
  </si>
  <si>
    <t>Chris Biggs</t>
  </si>
  <si>
    <t>Biggs</t>
  </si>
  <si>
    <t>Mr. Chris Biggs serves as Managing Director &amp; Senior Partner at Boston Consulting Group. He is a core member of the Consumer practice at the firm and a member of the firm's global retail leadership team. He leads BCG's work in digital retail. Chris is a topic expert for grocery e-commerce. Before joining BCG, he worked at Tesco.com.</t>
  </si>
  <si>
    <t>biggs.chris@bcg.com</t>
  </si>
  <si>
    <t>435285-10P</t>
  </si>
  <si>
    <t>Chris Goodchild</t>
  </si>
  <si>
    <t>Goodchild</t>
  </si>
  <si>
    <t>Mr. Chris Goodchild serves as Managing Director &amp; Senior Partner at Boston Consulting Group. He is a core member of the Consumer and Marketing, Sales &amp; Pricing practices at BCG, focusing on the food and beverage industry.</t>
  </si>
  <si>
    <t>goodchild.chris@bcg.com</t>
  </si>
  <si>
    <t>436161-97P</t>
  </si>
  <si>
    <t>Chris Livitsanis</t>
  </si>
  <si>
    <t>Livitsanis</t>
  </si>
  <si>
    <t>Mr. Chris Livitsanis serves as Managing Director &amp; Partner at Boston Consulting Group. He specializes in operations, most significantly in supply chain optimization, procurement, maintenance, capital projects, and operating models.</t>
  </si>
  <si>
    <t>+61 (0)3 9656 2100</t>
  </si>
  <si>
    <t>livitsanis.chris@bcg.com</t>
  </si>
  <si>
    <t>101 Collins Street</t>
  </si>
  <si>
    <t>Level 51</t>
  </si>
  <si>
    <t>+61 (0)3 9656 2111</t>
  </si>
  <si>
    <t>435950-02P</t>
  </si>
  <si>
    <t>Chris Mattey</t>
  </si>
  <si>
    <t>Mattey</t>
  </si>
  <si>
    <t>Mr. Chris Mattey serves as Managing Director &amp; Partner at Boston Consulting Group. He focuses primarily on the consumer and media sectors, specializing in digital transformation.</t>
  </si>
  <si>
    <t>chris.mattey@bcg.com</t>
  </si>
  <si>
    <t>456252-58P</t>
  </si>
  <si>
    <t>Chris Meier Ph.D</t>
  </si>
  <si>
    <t>Meier</t>
  </si>
  <si>
    <t>Dr. Chris Meier serves as Managing Director &amp; Partner at Boston Consulting Group. He is a core member of the firm's Health Care practice, focusing on pharmaceutical R&amp;D and medical and commercial topics. He is also a core member of BCG X, the firm's data science unit. He serves as the global lead for medical and innovation within the Health Care practice, as well as the global lead for AI, data, and analytics in biopharma. Before joining BCG, he was a principal scientist in the pharmaceutical industry, working in drug discovery research.</t>
  </si>
  <si>
    <t>meier.chris@bcg.com</t>
  </si>
  <si>
    <t>435147-67P</t>
  </si>
  <si>
    <t>Christian Gabe</t>
  </si>
  <si>
    <t>Mr. Christian Gabe serves as Managing Director at Boston Consulting Group. He is an expert on IT management; IT assessment; evaluation and optimization of IT processes, structures, and architectures; and large-scale project management.</t>
  </si>
  <si>
    <t>gabe.christian@bcg.com</t>
  </si>
  <si>
    <t>389098-27P</t>
  </si>
  <si>
    <t>Christian Gruss</t>
  </si>
  <si>
    <t>Gruss</t>
  </si>
  <si>
    <t>Mr. Christian Gruss serves as Managing Director and Partner at Boston Consulting Group. Before joining BCG, he worked for a consulting firm specializing in restructuring and turnaround, where he focused on corporate restructurings and operational turnarounds, specifically involving clients who are experiencing various forms of distress.</t>
  </si>
  <si>
    <t>christian.gruss@bcg.com</t>
  </si>
  <si>
    <t>456258-97P</t>
  </si>
  <si>
    <t>Christian Guse</t>
  </si>
  <si>
    <t>Guse</t>
  </si>
  <si>
    <t>Mr. Christian Guse serves as Managing Director &amp; Partner at Boston Consulting Group. He is a core member of the Operations and Industrial Goods practices at the firm. He is an expert in lean and process optimization in production and along the value chain, as well as in operations transformations using Industry 4.0 and advanced analytics. He is the firm's lead for operations in materials and process industries.</t>
  </si>
  <si>
    <t>guse.christian@bcg.com</t>
  </si>
  <si>
    <t>456418-81P</t>
  </si>
  <si>
    <t>Christian Haslestad</t>
  </si>
  <si>
    <t>Haslestad</t>
  </si>
  <si>
    <t>Mr. Christian Haslestad serves as Managing Director &amp; Partner at Boston Consulting Group. He is a core member of the Operations and Industrial Goods practices and serves as the global head of People for the Operations practice. He has significant experience working with clients on operations topics, particularly digital and lean manufacturing, digital and lean process improvements for service companies, supply chain, and cost efficiency and improvement programs. He has worked in many industries, including industrial goods, consumer goods, financial institutions, and telecommunications. Prior to joining BCG, he worked with lean and business systems at Robert Bosch GmbH in Germany as part of their Junior Managers Program.</t>
  </si>
  <si>
    <t>haslestad.christian@bcg.com</t>
  </si>
  <si>
    <t>435116-62P</t>
  </si>
  <si>
    <t>Christian Kirschniak</t>
  </si>
  <si>
    <t>Kirschniak</t>
  </si>
  <si>
    <t>Mr. Christian Kirschniak serves as Managing Director &amp; Partner at Boston Consulting Group. His expertise lies primarily in digital leadership, AI, data transformation, and large-scale programs; and his aim is to enable organizations to be more data-driven. He has consulted on, designed, and implemented digital programs in various client environments.</t>
  </si>
  <si>
    <t>kirschniak.christian@bcg.com</t>
  </si>
  <si>
    <t>435661-30P</t>
  </si>
  <si>
    <t>Christian Krammer Ph.D</t>
  </si>
  <si>
    <t>Krammer</t>
  </si>
  <si>
    <t>Mr. Christian Krammer serves as Managing Director &amp; Senior Partner at Boston Consulting Group. His project work has concentrated on supporting banks and financial institutions, with a focus on portfolio strategy, transformation and restructuring, business strategies and digitization/AI.</t>
  </si>
  <si>
    <t>krammer.christian@bcg.com</t>
  </si>
  <si>
    <t>204636-25P</t>
  </si>
  <si>
    <t>Christian Maas JD</t>
  </si>
  <si>
    <t>Maas</t>
  </si>
  <si>
    <t>Mr. Christian Maas serves as Managing Director &amp; Partner at Boston Consulting Group. Mr. Christian Maas serves as Partner &amp; Managing Director at BCG Digital Ventures. He served as a Member of Board of Advisors at Endpoint Closing. leads the BCG X Insurance practice globally, as well as the Manhattan Beach innovation center. BCG X is BCG's dedicated technology and business building unit that identifies and builds innovative digital experiences, platforms, and capabilities, providing competitive advantage and outsized returns for corporate partners and clients.</t>
  </si>
  <si>
    <t>maas.christian@bcg.com</t>
  </si>
  <si>
    <t>435842-92P</t>
  </si>
  <si>
    <t>Christian Reber</t>
  </si>
  <si>
    <t>Reber</t>
  </si>
  <si>
    <t>Mr. Christian Reber serves as Managing Director &amp; Partner at Boston Consulting Group. His clients include many of the world's leading reinsurers and brokers on all continents, as well as major primary insurance companies across Europe.</t>
  </si>
  <si>
    <t>cr@bcg.com</t>
  </si>
  <si>
    <t>435611-44P</t>
  </si>
  <si>
    <t>Christian Schuh</t>
  </si>
  <si>
    <t>Schuh</t>
  </si>
  <si>
    <t>Mr. Christian Schuh serves as Managing Director &amp; Senior Partner at Boston Consulting Group. He supports leading BCG client companies in developing new customer-centric business models with the help of advanced analytics.</t>
  </si>
  <si>
    <t>schuh.christian@bcg.com</t>
  </si>
  <si>
    <t>456826-69P</t>
  </si>
  <si>
    <t>Christian Schwaerzler</t>
  </si>
  <si>
    <t>Schwaerzler</t>
  </si>
  <si>
    <t>Mr. Christian Schwaerzler serves as Managing Director &amp; Senior Partner at Boston Consulting Group. He is the chair of the firm's Center for Public Economics. He is a global expert on economic development and development strategies, and a member of the firm's Public Sector practice leadership team. He works with both private and public sector organizations on growth and development topics and helps clients define, navigate, and achieve their socioeconomic ambitions. He leads engagements on economic policy and government decision-making, private sector development and diversification, local content development, balance of payments and trade, and employment and human capital strategy. He previously worked at L.E.K. Consulting, Siemens, an e-commerce startup, and other consulting firms in Europe, North America, and Nigeria.</t>
  </si>
  <si>
    <t>schwaerzler.christian@bcg.com</t>
  </si>
  <si>
    <t>436412-08P</t>
  </si>
  <si>
    <t>Christian Wagener Ph.D</t>
  </si>
  <si>
    <t>Wagener</t>
  </si>
  <si>
    <t>Mr. Christian Wagener serves as Managing Director &amp; Partner at Boston Consulting Group. His functional expertise includes omnichannel B2C/B2B customer engagement and subscription business models.</t>
  </si>
  <si>
    <t>wagener.christian@bcg.com</t>
  </si>
  <si>
    <t>435408-85P</t>
  </si>
  <si>
    <t>Christian Wagner Ph.D</t>
  </si>
  <si>
    <t>Dr. Christian Wagner serves as Partner &amp; Director at Boston Consulting Group. He coleads BCG's global risk analytics team and is a core member of the Financial Institutions practice.</t>
  </si>
  <si>
    <t>wagner.christian@bcg.com</t>
  </si>
  <si>
    <t>435846-34P</t>
  </si>
  <si>
    <t>Christian Weiss</t>
  </si>
  <si>
    <t>Mr. Christian Weiss serves as Managing Director &amp; Partner at Boston Consulting Group. He is a leader in the firm's work in automotive and mobility work focusing on digital and IT topics in the automotive industry. He has worked on many digital cases, covering connected cars, IT cost savings, health checks, and organizational governance.</t>
  </si>
  <si>
    <t>weiss.christian@bcg.com</t>
  </si>
  <si>
    <t>455351-32P</t>
  </si>
  <si>
    <t>Christin Owings</t>
  </si>
  <si>
    <t>Christin</t>
  </si>
  <si>
    <t>Owings</t>
  </si>
  <si>
    <t>Ms. Christin Owings serves as Managing Director &amp; Partner at Boston Consulting Group. She is a member of the People &amp; Organization practice at the firm, and she leads the firm's work in change management in the Western Europe and South America regions. She focuses on large-scale change programs, specifically how to make change happen and stick. Christin also has experience in leading large-scale organizational transformations from overall design all the way to reorganization execution.</t>
  </si>
  <si>
    <t>owings.christin@bcg.com</t>
  </si>
  <si>
    <t>436706-20P</t>
  </si>
  <si>
    <t>Christine Astorino</t>
  </si>
  <si>
    <t>Astorino</t>
  </si>
  <si>
    <t>Ms. Christine Astorino serves as Managing Director at Boston Consulting Group. Her casework is focused on designing data-driven transformational omnichannel experiences for B2C and B2B clients.</t>
  </si>
  <si>
    <t>astorino.christine@bcg.com</t>
  </si>
  <si>
    <t>225659-08P</t>
  </si>
  <si>
    <t>Christine Barton JD</t>
  </si>
  <si>
    <t>Barton</t>
  </si>
  <si>
    <t>Dr. Christine Barton serves as Managing Director, Senior Partner &amp; North America Lead, CEO Advisory at Boston Consulting Group. She is a core member of the Marketing, Sales &amp; Pricing, and Consumer practices, as well as a member of the Corporate Development practice. She is also the North American advisor for BCG's Center for Customer Insight and has served as the global leader for the firm's Consumer Sentiment Survey and millennial research. Dr. Barton served as a Board Member at David's Bridal. Her client work has focused on the apparel, specialty retail, and private equity sectors. She joined BCG directly after finishing her degree at Yale Law School.</t>
  </si>
  <si>
    <t>+1 (615) 492-6999</t>
  </si>
  <si>
    <t>barton.christine@bcg.com</t>
  </si>
  <si>
    <t>Nashville</t>
  </si>
  <si>
    <t>Nashville, TN</t>
  </si>
  <si>
    <t>1320 Adams Street</t>
  </si>
  <si>
    <t>Tennessee</t>
  </si>
  <si>
    <t>37208</t>
  </si>
  <si>
    <t>Managing Director, Senior Partner &amp; North America Lead, CEO Advisory</t>
  </si>
  <si>
    <t>436149-10P</t>
  </si>
  <si>
    <t>Christine Wurzbacher</t>
  </si>
  <si>
    <t>Wurzbacher</t>
  </si>
  <si>
    <t>Ms. Christine Wurzbacher serves as Managing Director &amp; Partner at Boston Consulting Group. Her work focuses on large transformations often with a digital or data analytics component.</t>
  </si>
  <si>
    <t>wurzbacher.christine@bcg.com</t>
  </si>
  <si>
    <t>434896-12P</t>
  </si>
  <si>
    <t>Christoph Albert</t>
  </si>
  <si>
    <t>Christoph</t>
  </si>
  <si>
    <t>Mr. Christoph Albert serves as Managing Director &amp; Partner at Boston Consulting Group. He is a licensed physician and has extensive experience working with clients on health care and medtech engagements including ophthalmological equipment, eye care, and vision correction.</t>
  </si>
  <si>
    <t>christoph.albert@bcg.com</t>
  </si>
  <si>
    <t>436128-49P</t>
  </si>
  <si>
    <t>Christoph Brack</t>
  </si>
  <si>
    <t>Brack</t>
  </si>
  <si>
    <t>Mr. Christoph Brack serves as Partner &amp; Associate Director at Boston Consulting Group. He has longstanding professional experience in the successful steering of compliance enforcement actions, following Deferred Prosecution Agreements in the US.</t>
  </si>
  <si>
    <t>brack.christoph@bcg.com</t>
  </si>
  <si>
    <t>455508-01P</t>
  </si>
  <si>
    <t>Christoph Denner</t>
  </si>
  <si>
    <t>Denner</t>
  </si>
  <si>
    <t>Mr. Christoph Denner serves as Managing Director &amp; Partner at Boston Consulting Group. He is a core member of the Health Care practice and a member of the MedTech team. His client work focuses on medtech, including value creation, strategy, organization design, and commercial topics. He has conducted many engagements around the globe, particularly in Germany, the US, Japan, Italy, and the UK. His clients are mostly medtech, biopharma, and private equity companies.</t>
  </si>
  <si>
    <t>denner.christoph@bcg.com</t>
  </si>
  <si>
    <t>435633-85P</t>
  </si>
  <si>
    <t>Christoph Gauger</t>
  </si>
  <si>
    <t>Gauger</t>
  </si>
  <si>
    <t>Mr. Christoph Gauger serves as Managing Director &amp; Senior Partner at Boston Consulting Group. He focuses his digital and IT experience on the automotive and mobility sector. His recent projects include the definition of the digital ecosystem for an auto OEM; a customer-centric digital transformation for a leading mobility player; and a digital transformation of an OEM's CFO organization.</t>
  </si>
  <si>
    <t>gauger.christoph@bcg.com</t>
  </si>
  <si>
    <t>455885-65P</t>
  </si>
  <si>
    <t>Christoph Heuser</t>
  </si>
  <si>
    <t>Heuser</t>
  </si>
  <si>
    <t>Mr. Christoph Heuser serves as Managing Director &amp; Partner at Boston Consulting Group. He is a core member of the firm's Industrial Goods practice and the automotive team. He has more than ten years of experience in the automotive space, with a strong focus on sales and aftersales, electric mobility, and mobility overall. He works with his clients on go-to-market strategies and other topics along the automotive value chain and manufacturing. Before joining the firm, he was a Manager at Ricardo Strategic Consulting GmbH in Munich, focusing on the automotive industry, strategy, and operations.</t>
  </si>
  <si>
    <t>heuser.christoph@bcg.com</t>
  </si>
  <si>
    <t>435619-81P</t>
  </si>
  <si>
    <t>Christoph Hilberath</t>
  </si>
  <si>
    <t>Hilberath</t>
  </si>
  <si>
    <t>Mr. Christoph Hilberath serves as Managing Director &amp; Partner at Boston Consulting Group. He is a member of the Central Europe leadership teams of BCG's People &amp; Organization and Operations practices, and a core member of both the Industrial Goods practice and the building materials team. His expertise includes large-scale transformation programs, cost transformations, and change management, ensuring bottom-line impact by directly linking transformation efforts to the P&amp;L.</t>
  </si>
  <si>
    <t>hilberath.christoph@bcg.com</t>
  </si>
  <si>
    <t>435947-95P</t>
  </si>
  <si>
    <t>Christoph Rothballer</t>
  </si>
  <si>
    <t>Rothballer</t>
  </si>
  <si>
    <t>Mr. Christoph Rothballer serves as Partner &amp; Associate Director, Infrastructure at Boston Consulting Group. He is a Global Co-Lead of the Center for Mobility Innovation at Boston Consulting Group. He is a core member of BCG's Industrial Goods practice. He is also a member of the Public Sector, Global Advantage, and Strategy practice at the firm. He also advises public sector organizations on prioritization, planning, and financing of large capital projects and smart mobility and smart infrastructure.</t>
  </si>
  <si>
    <t>rothballer.christoph@bcg.com</t>
  </si>
  <si>
    <t>Partner &amp; Associate Director, Infrastructure</t>
  </si>
  <si>
    <t>55383-49P</t>
  </si>
  <si>
    <t>Christoph Schweizer</t>
  </si>
  <si>
    <t>Schweizer</t>
  </si>
  <si>
    <t>Mr. Christoph Schweizer serves as Chief Executive Officer at Boston Consulting Group. He a member of the firm's Executive and Operating Committees. Mr. Schweizer served as BCG's chairman for Central and Eastern Europe and the Middle East. He has also served as a member of the firm's Executive and Operating Committees since 2014. He is a member of several leading organizations, including the Business Roundtable and the World Economic Forum's International Business Council. From 2020-2023, INvolve People recognized Christoph as a HERoes Advocate Executive Role Model for his work with Women@BCG-our program to increase inclusion and success of women at the firm. He joined BCG in 1997, first in Munich, and then New York from 2007 to 2012, before returning to Munich. He received an MBA from the University of Texas at Austin's McCombs School of Business and holds a BA from WHU - Otto Beisheim School of Management in Koblenz.</t>
  </si>
  <si>
    <t>christoph-schweizer@bcg.com</t>
  </si>
  <si>
    <t>456718-24P</t>
  </si>
  <si>
    <t>Christophe Durand</t>
  </si>
  <si>
    <t>Christophe</t>
  </si>
  <si>
    <t>Durand</t>
  </si>
  <si>
    <t>Mr. Christophe Durand serves as Managing Director &amp; Senior Partner at Boston Consulting Group. He is a core member of the Health Care practice, with deep industry experience in medtech and biopharma generics. He is also a global topic leader in growth and innovation in medtech. He has direct experience in multiple medtech and life science segments, including large equipment, clinical supplies, orthopedics, cardiac, general surgery, critical care, and emergency medicine.</t>
  </si>
  <si>
    <t>durand.christophe@bcg.com</t>
  </si>
  <si>
    <t>454963-15P</t>
  </si>
  <si>
    <t>Christopher Bisset</t>
  </si>
  <si>
    <t>Bisset</t>
  </si>
  <si>
    <t>Mr. Christopher Bisset serves as Partner at Boston Consulting Group.</t>
  </si>
  <si>
    <t>cbisset@bcg.com</t>
  </si>
  <si>
    <t>455633-11P</t>
  </si>
  <si>
    <t>Christopher Blain</t>
  </si>
  <si>
    <t>Blain</t>
  </si>
  <si>
    <t>Mr. Christopher Blain serves as Managing Director &amp; Partner at Boston Consulting Group. He is a core member of the firm's rincipal Investors &amp; Private Equity (PIPE) practice focused on tech capital. He leads the firm's fintech and payments topics for North American tech capital. He has expertise in vertical fintech and ISV (integrated software vendors), office of the chief financial officer (OCFO), B2B data businesses, and legal software, among other software and data verticals. He leads buy-side, sell-side, due diligence, and portfolio growth strategy projects for leading private equity clients on tech, data, and B2B media businesses. Before joining the firm, he was a vice president at EY-Parthenon, in private equity and growth strategy in the tech and financial services industries. Before that, he was a Senior Analyst at Analysis Group and an Analyst at ABT Associates.</t>
  </si>
  <si>
    <t>blaine.chris@bcg.com</t>
  </si>
  <si>
    <t>435776-32P</t>
  </si>
  <si>
    <t>Christopher Daniel Ph.D</t>
  </si>
  <si>
    <t>Mr. Christopher Daniel serves as Managing Director &amp; Senior Partner at Boston Consulting Group. His project experience covers strategy development, budgeting, ecosystem governance, efficiency improvement, HR, organization, service delivery, transformation, and large-scale transformation projects across multiple stakeholders.</t>
  </si>
  <si>
    <t>daniel.christopher@bcg.com</t>
  </si>
  <si>
    <t>435649-69P</t>
  </si>
  <si>
    <t>Christopher Detzel</t>
  </si>
  <si>
    <t>Detzel</t>
  </si>
  <si>
    <t>Mr. Christopher Detzel serves as Partner at Boston Consulting Group. He leads the Service Operations and Field Services topics for BCG in North America and is a core member of the Technology, Media &amp; Telecommunications and Energy practices. Chris is also the Digital Node for the DC office.</t>
  </si>
  <si>
    <t>christopher.detzel@bcg.com</t>
  </si>
  <si>
    <t>260469-19P</t>
  </si>
  <si>
    <t>Christopher Freese Ph.D</t>
  </si>
  <si>
    <t>Freese</t>
  </si>
  <si>
    <t>Dr. Christopher Freese serves as Managing Director &amp; Senior Partner at Boston Consulting Group. Dr. Christopher Freese is an Angel Investor. He serves as Advisor at Workpath. Some of his recent experience includes creating customer-focused digital market-entry strategies for German and international insurance companies, founding and commercializing a successful German direct insurer, and developing an assistance-focused business extension in the mobility space for the leading German car insurer.</t>
  </si>
  <si>
    <t>freese.christopher@bcg.com</t>
  </si>
  <si>
    <t>455744-08P</t>
  </si>
  <si>
    <t>Christopher Richard</t>
  </si>
  <si>
    <t>Mr. Christopher Richard serves as Managing Director &amp; Partner at Boston Consulting Group. As a member of the firm's Technology, Media &amp; Telecommunications (TMT) and Operations practices, he focuses on all aspects of the semiconductor industry, especially operations. He works with semiconductor and high-tech clients in the US and worldwide. Prior to joining BCG, he was a partner at PRTM Management Consultants, A. T. Kearney, and Deloitte Consulting. Before becoming a consultant, he served in a number of operations and engineering leadership roles at Intel Corporation. He started his career as an officer in the US Army.</t>
  </si>
  <si>
    <t>+1 (720) 800-9800</t>
  </si>
  <si>
    <t>richard.chris@bcg.com</t>
  </si>
  <si>
    <t>1144 15th Street</t>
  </si>
  <si>
    <t>+1 (720) 302-2337</t>
  </si>
  <si>
    <t>455734-27P</t>
  </si>
  <si>
    <t>Christopher Weisz</t>
  </si>
  <si>
    <t>Weisz</t>
  </si>
  <si>
    <t>Mr. Christopher Weisz serves as Managing Director &amp; Partner at Boston Consulting Group. He is a core member of BCG X and of the Industrial Goods practice, leading the practice in northern South America, Central America, and the Caribbean. He supports leading industrial goods players in the region, as well as technology, media, and telecommunications; travel and transportation; and consumer goods companies, with a strong focus on advanced analytics. He currently co-leads the BCG X teams in SSA. Prior to joining BCG, he worked for Black &amp; Decker in a variety of engineering and manufacturing roles.</t>
  </si>
  <si>
    <t>weisz.christopher@bcg.com</t>
  </si>
  <si>
    <t>38299-15P</t>
  </si>
  <si>
    <t>Christy Carter</t>
  </si>
  <si>
    <t>Christy</t>
  </si>
  <si>
    <t>Ms. Christy Carter serves as Senior Partner &amp; Managing Director at Boston Consulting Group. Christy Carter is a core member of Boston Consulting Group's Principal Investors &amp; Private Equity (PIPE) practice and leads the middle market for that practice in North America. She has over 15 years of experience in and deep knowledge of private equity markets and transactions across sectors. She has particularly deep knowledge of high growth, middle market, consumer-oriented, and business services transactions throughout the lifecycle, including buy-side diligence, portfolio acceleration, M&amp;A strategy, and exit. Christy is also the coverage officer in the US for many middle market and scale PE funds, and she has extensive experience as a trusted buy-side and M&amp;A strategy advisor to private equity firms and corporations across a wide variety of sectors. Prior to joining BCG, Christy spent five years as an investor executing transactions and overseeing a portfolio at CCMP Capital, a $3.6 billion private equity fund. Prior to that, she worked at Bain &amp; Company for seven years, where she focused on private equity due diligence as well as corporate growth strategy.</t>
  </si>
  <si>
    <t>christy.carter@bcg.com</t>
  </si>
  <si>
    <t>455884-12P</t>
  </si>
  <si>
    <t>Christy Liu</t>
  </si>
  <si>
    <t>Ms. Christy Liu serves as Managing Director &amp; Partner at Boston Consulting Group. She is a core member of the Technology, Media &amp; Telecommunications and Technology Advantage practices at the firm. She focuses on advanced technologies including semiconductors, IoT, 5G, AR/VR, metaverse, and Web 3.0. She works to help clients define their technology and digital strategy. Within digital, her expertise is mainly in digital transformations, complex technology implementations, agile, and data/analytics platforms. She previously worked at Misfit Wearables as product growth manager and product manager of the data science team.</t>
  </si>
  <si>
    <t>liu.christy@bcg.com</t>
  </si>
  <si>
    <t>435619-09P</t>
  </si>
  <si>
    <t>Chryssos Kavounides Ph.D</t>
  </si>
  <si>
    <t>Chryssos</t>
  </si>
  <si>
    <t>Kavounides</t>
  </si>
  <si>
    <t>Mr. Chryssos Kavounides serves as Managing Director &amp; Partner at Boston Consulting Group. He is a core member of the Financial Institutions practice and focuses primarily on financial services.</t>
  </si>
  <si>
    <t>+30 210 726 0200</t>
  </si>
  <si>
    <t>kavounides.chryssos@bcg.com</t>
  </si>
  <si>
    <t>18, Vassilissis Sophias Avenue</t>
  </si>
  <si>
    <t>106 74</t>
  </si>
  <si>
    <t>+30 210 726 0300</t>
  </si>
  <si>
    <t>435660-76P</t>
  </si>
  <si>
    <t>Chun Wu Ph.D</t>
  </si>
  <si>
    <t>Chun</t>
  </si>
  <si>
    <t>Ms. Chun Wu serves as Managing Director, Senior Partner &amp; Managing Partner, Greater China at Boston Consulting Group. She has served various multinational and local healthcare clients on strategic and operational topics, covering healthcare reform impact and growth strategy; R&amp;D, especially new technology platforms; commercial excellence and digital transformation; and organization change.</t>
  </si>
  <si>
    <t>wu.chun@bcg.com</t>
  </si>
  <si>
    <t>Managing Director, Senior Partner &amp; Managing Partner, Greater China</t>
  </si>
  <si>
    <t>436275-28P</t>
  </si>
  <si>
    <t>Cinthia Chen</t>
  </si>
  <si>
    <t>Cinthia</t>
  </si>
  <si>
    <t>Ms. Cinthia Chen serves as Managing Director &amp; Partner at Boston Consulting Group. She has extensive experience in a wide spectrum of consumer industries, advising both multinational and Chinese companies on topics such as strategy formulation, transformation and change management, branding, digitization, operational excellence, organization and talent, globalization, M&amp;A, and post-merger integration.</t>
  </si>
  <si>
    <t>chen.cinthia@bcg.com</t>
  </si>
  <si>
    <t>455971-51P</t>
  </si>
  <si>
    <t>Clark O'Niell</t>
  </si>
  <si>
    <t>Clark</t>
  </si>
  <si>
    <t>O'Niell</t>
  </si>
  <si>
    <t>Mr. Clark O'Niell serves as Managing Director &amp; Partner at Boston Consulting Group. He is the global lead for AI, infrastructure, and cyber for the firm's Principal Investors &amp; Private Equity practice. He is also a core member of the Technology, Media &amp; Telecommunications practice at BCG. He is an expert in infrastructure and cybersecurity, having worked with clients on R&amp;D, sales and marketing, manufacturing, supply chain, strategic planning, portfolio strategy, digital transformation, and M&amp;A. Prior to joining BCG, he was a Partner with EY-Parthenon and held corporate strategy and M&amp;A roles with EMC and Bain &amp; Company. He began his career as a technologist at IBM and holds nine patents in semiconductor design.</t>
  </si>
  <si>
    <t>oniell.clark@bcg.com</t>
  </si>
  <si>
    <t>434961-55P</t>
  </si>
  <si>
    <t>Claudia Martin</t>
  </si>
  <si>
    <t>Claudia</t>
  </si>
  <si>
    <t>Ms. Claudia Martin serves as Managing Director &amp; Partner at Boston Consulting Group. She has significant experience in impact investing, education technology, and economic and workforce development; and focuses on strategy and operational transformation.</t>
  </si>
  <si>
    <t>martin.claudia@bcg.com</t>
  </si>
  <si>
    <t>455367-52P</t>
  </si>
  <si>
    <t>Clemens Elgeti</t>
  </si>
  <si>
    <t>Elgeti</t>
  </si>
  <si>
    <t>Mr. Clemens Elgeti serves as Partner &amp; Associate Director at Boston Consulting Group. He is a core member of the global Risk &amp; Compliance, Transform, Corporate Finance, and Strategy practices at the firm, and a leader for Balance Sheet Optimization and Treasury. His work for financial and corporate clients has included large-scale transformations, post-merger integrations, strategy projects, and engagements focused on treasury, working capital, and more broadly, balance sheet optimization. Before joining BCG, he worked as a consultant for Treasury and Risk Management at KPMG. He is a CFA Charterholder.</t>
  </si>
  <si>
    <t>elgeti.clemens@bcg.com</t>
  </si>
  <si>
    <t>456863-32P</t>
  </si>
  <si>
    <t>Clemens Moeller Ph.D</t>
  </si>
  <si>
    <t>Moeller</t>
  </si>
  <si>
    <t>Dr. Clemens Moeller serves as Managing Director &amp; Partner at Boston Consulting Group. He is a core member of the Health Care, People &amp; Organization, and Public Sector practices at the firm. He leads the firm's work in biopharma R&amp;D globally and is the firm's leading global expert in biomedical 3-D printing. His work has focused on leading large-scale transformation initiatives with private and public sector clients. He has consulted biopharma companies and government health care agencies on strategy, innovation, operational readiness, process improvement, and organizational change. He also has extensive experience utilizing data, analytics, and digital technology to drive business acceleration and sustainable value. Before joining BCG, he worked on identifying antiviral drug targets at Pfizer and investigated chronic kidney disease at Massachusetts General Hospital and Harvard Medical School.</t>
  </si>
  <si>
    <t>moeller.clemens@bcg.com</t>
  </si>
  <si>
    <t>282766-06P</t>
  </si>
  <si>
    <t>Cliff Grevler</t>
  </si>
  <si>
    <t>Cliff</t>
  </si>
  <si>
    <t>Grevler</t>
  </si>
  <si>
    <t>Mr. Cliff Grevler serves as Managing Director &amp; Senior Partner at Boston Consulting Group. He Grevler serves as Advisor at KB Partners. He is a Senior Partner and Managing Director of the Boston Consulting Group. He is also the Managing Partner of the Boston Consulting Group in Canada, where he co-leads BCG's Global Sports Practice. He began his career at BCG in 1997 and led the Consumer Goods and Retail Practice for several years. He brings his passion for sports to the Boardroom and has spent the past 20 years as an advisor to senior executives across the sports ecosystem. He has worked across all 5 major sports leagues in North America in addition to having advised the International Cricket Council, The English Premier League, and the PGA Tour. He has participated in several Olympic Games/Bids and was a lead advisor in bringing the World Cup back to North America in 2026. He has worked intimately with the Commissioners and Executive Teams of these leading leagues and organizations to transform their strategies, with a focus on monetizing media rights, enhancing fan development, developing growth strategies, digital innovation and global expansion. In addition, he has worked across the gaming ecosystem in the emerging sports betting industry in North America. He was a Governor for Golf Canada for many years and sits on the Board of the Maple Leaf Sports and Entertainment Foundation. He is a guest lecturer at and a member of the advisory committee for the MBA in Sports Business Program at the Ted Rogers School of Management.</t>
  </si>
  <si>
    <t>+1 (416) 962-2122</t>
  </si>
  <si>
    <t>cliff.grevler@bcg.com</t>
  </si>
  <si>
    <t>435781-18P</t>
  </si>
  <si>
    <t>Clint Follette</t>
  </si>
  <si>
    <t>Clint</t>
  </si>
  <si>
    <t>Follette</t>
  </si>
  <si>
    <t>Mr. Clint Follette serves as Managing Director &amp; Senior Partner at Boston Consulting Group. He is a leader in BCG's Climate &amp; Sustainability practice and has advised leading companies on sustainability topics including, decarbonization, plastic waste, and renewable fuels and materials.</t>
  </si>
  <si>
    <t>follette.clint@bcg.com</t>
  </si>
  <si>
    <t>455711-50P</t>
  </si>
  <si>
    <t>Clotilde Begon-Lours</t>
  </si>
  <si>
    <t>Clotilde</t>
  </si>
  <si>
    <t>Begon-Lours</t>
  </si>
  <si>
    <t>Ms. Clotilde Begon-Lours serves as Managing Director &amp; Partner at Boston Consulting Group. She is a member of the firm's Technology, Media &amp; Telecommunications, and Marketing, Sales &amp; Pricing practices. She specializes in European telecoms and technology companies with a focus on B2B sales and service transformation, customer experience, and strategy. She works with clients on marketing and sales, operations, post-merger integration, and strategy. Although she focuses on B2B with telco clients, she also has significant experience in B2C.</t>
  </si>
  <si>
    <t>begon-lours.clotilde@bcg.com</t>
  </si>
  <si>
    <t>436164-58P</t>
  </si>
  <si>
    <t>Colleen Desmond</t>
  </si>
  <si>
    <t>Desmond</t>
  </si>
  <si>
    <t>Ms. Colleen Desmond serves as Managing Director &amp; Partner at Boston Consulting Group. She is a core member of Boston Consulting Group's Health Care practice and a lead member of the US payer, provider, services, and systems (PPSS) team. She focuses on the intersection of strategy and execution while helping clients define and realize their vision. She is also a Board Member of BCG's Center for Illinois' Future (CIF) which oversees the Chicago office's social impact investments and thought leadership in the local community.</t>
  </si>
  <si>
    <t>cd@bcg.com</t>
  </si>
  <si>
    <t>455889-79P</t>
  </si>
  <si>
    <t>Constantin Probst</t>
  </si>
  <si>
    <t>Probst</t>
  </si>
  <si>
    <t>Mr. Constantin Probst serves as Managing Director &amp; Partner at Boston Consulting Group. He is a core member of the Corporate Finance &amp; Strategy, Consumer, and Health Care practices at the firm, and has led several multi-year transformations using zero-based budgeting (ZBB). He is part of the ZBB leadership team and was a core member of the team that developed the ZBB methodology for BCG. In his functional work, he focuses on zero-based budgeting, cost transformation, commercial excellence, business planning, and trade terms optimization. Before joining BCG, he was a consultant at Roland Berger.</t>
  </si>
  <si>
    <t>probst.constantin@bcg.com</t>
  </si>
  <si>
    <t>435608-38P</t>
  </si>
  <si>
    <t>Cornelius Pieper Ph.D</t>
  </si>
  <si>
    <t>Cornelius</t>
  </si>
  <si>
    <t>Pieper</t>
  </si>
  <si>
    <t>Mr. Cornelius Pieper serves as Managing Director &amp; Senior Partner at Boston Consulting Group. He has served as part of the BCG delegation to COP26, COP27, and COP28, and is currently leading BCG's support for the First Movers Coalition.</t>
  </si>
  <si>
    <t>pieper.cornelius@bcg.com</t>
  </si>
  <si>
    <t>436152-34P</t>
  </si>
  <si>
    <t>Cory Kaplin Ph.D</t>
  </si>
  <si>
    <t>Cory</t>
  </si>
  <si>
    <t>Kaplin</t>
  </si>
  <si>
    <t>Mr. Cory Kaplin serves as Managing Director &amp; Partner at Boston Consulting Group. He helps clients pursue both operational excellence and change management using lean practices to evolve the way people work across all layers of an organization, from front lines to leadership.</t>
  </si>
  <si>
    <t>kaplin.cory@bcg.com</t>
  </si>
  <si>
    <t>435005-11P</t>
  </si>
  <si>
    <t>Craig Prager</t>
  </si>
  <si>
    <t>Prager</t>
  </si>
  <si>
    <t>Mr. Craig Prager serves as Managing Director &amp; Partner at Boston Consulting Group. His work focuses on digital transformation, growth strategy, sales effectiveness, pricing, shareholder value, investor relations, customer journeys, and post-merger integration.</t>
  </si>
  <si>
    <t>prager.craig@bcg.com</t>
  </si>
  <si>
    <t>435818-35P</t>
  </si>
  <si>
    <t>Cristian Carafi</t>
  </si>
  <si>
    <t>Cristian</t>
  </si>
  <si>
    <t>Carafi</t>
  </si>
  <si>
    <t>Mr. Cristian Carafi serves as Managing Director &amp; Partner at Boston Consulting Group. He has supported world-leading companies in strategy, digital transformation, and reorganization in multiple geographies-and more recently, in the redefinition of their work models in order to win in the new reality product of COVID-19.</t>
  </si>
  <si>
    <t>carafi.cristian@bcg.com</t>
  </si>
  <si>
    <t>456221-53P</t>
  </si>
  <si>
    <t>Cristian Rodriguez-Chiffelle</t>
  </si>
  <si>
    <t>Rodriguez-Chiffelle</t>
  </si>
  <si>
    <t>Mr. Cristian Rodriguez-Chiffelle serves as Partner &amp; Director, Trade, Investment &amp; Geopolitics at Boston Consulting Group. He has deep expertise in sustainable FDI strategies, investment attraction and promotion, FDI in renewable energy, global value chains and nearshoring, negotiation/implementation of trade agreements, climate change considerations on corporate governance, and Latin America. Before joining BCG, he was CEO of InvestChile, the nation's investment promotion agency.</t>
  </si>
  <si>
    <t>+41 (0)22 888 2500</t>
  </si>
  <si>
    <t>rodriguez-chiffelle.cristian@bcg.com</t>
  </si>
  <si>
    <t>Geneva</t>
  </si>
  <si>
    <t>Geneva, Switzerland</t>
  </si>
  <si>
    <t>Rue de Lausanne 15</t>
  </si>
  <si>
    <t>1201</t>
  </si>
  <si>
    <t>+41 (0)22 888 2501</t>
  </si>
  <si>
    <t>Partner &amp; Director, Trade, Investment &amp; Geopolitics</t>
  </si>
  <si>
    <t>435857-68P</t>
  </si>
  <si>
    <t>Cristiano Rizzi</t>
  </si>
  <si>
    <t>Cristiano</t>
  </si>
  <si>
    <t>Rizzi</t>
  </si>
  <si>
    <t>Mr. Cristiano Rizzi serves as Managing Director &amp; Senior Partner at Boston Consulting Group. His primary expertise lies in market and digital strategy, operating models, business transformation, and change management.</t>
  </si>
  <si>
    <t>cristiano.rizzi@bcg.com</t>
  </si>
  <si>
    <t>456831-19P</t>
  </si>
  <si>
    <t>Cristina Lilly</t>
  </si>
  <si>
    <t>Cristina</t>
  </si>
  <si>
    <t>Lilly</t>
  </si>
  <si>
    <t>Ms. Cristina Lilly serves as Brighthouse President, North America, and Managing Director at Boston Consulting Group. She is a core member of BCG's Consumer, Marketing, Sales &amp; Pricing practices. She has experience in consumer packaged goods, technology, fashion, retail, automotive, insurance, financial institutions, and luxury, with a focus on uncovering a brand's purpose and leveraging it to develop strategic roadmaps for growth. Prior to joining the firm, she spent over 20 years in advertising and marketing roles on both the agency and client side. Her client-side experience includes senior marketing roles at the Diamond Trading Company, a DeBeers Group Company, the Ralph Lauren Corporation, and Steinway &amp; Sons.</t>
  </si>
  <si>
    <t>lilly.cristina@bcg.com</t>
  </si>
  <si>
    <t>Brighthouse President, North America and Managing Director</t>
  </si>
  <si>
    <t>436225-87P</t>
  </si>
  <si>
    <t>Dai Koshimizu</t>
  </si>
  <si>
    <t>Koshimizu</t>
  </si>
  <si>
    <t>Mr. Dai Koshimizu serves as Managing Director &amp; Partner at Boston Consulting Group. He has worked extensively with clients in manufacturing industries, particularly materials companies on various topics. He has rich experience in corporate strategy, mid-term corporate strategy, scenario planning, and new business strategy.</t>
  </si>
  <si>
    <t>koshimizu.dai@bcg.com</t>
  </si>
  <si>
    <t>435018-43P</t>
  </si>
  <si>
    <t>Daisuke Sohta</t>
  </si>
  <si>
    <t>Daisuke</t>
  </si>
  <si>
    <t>Sohta</t>
  </si>
  <si>
    <t>Mr. Daisuke Sohta serves as Managing Director &amp; Partner at Boston Consulting Group. He has worked with clients in aerospace and defense, machinery, and automation industries on transformation, business model transformation, corporate governance, global business strategy, and procurement reform.</t>
  </si>
  <si>
    <t>+81 (0)52 533 3466</t>
  </si>
  <si>
    <t>sohta.daisuke@bcg.com</t>
  </si>
  <si>
    <t>Nagoya</t>
  </si>
  <si>
    <t>Nagoya, Japan</t>
  </si>
  <si>
    <t>JR Central Towers 36F</t>
  </si>
  <si>
    <t>1-1-4 Meieki, Nakamura-ku</t>
  </si>
  <si>
    <t>450-6036</t>
  </si>
  <si>
    <t>+81 (0)52 533 3468</t>
  </si>
  <si>
    <t>231282-19P</t>
  </si>
  <si>
    <t>Dale Williams</t>
  </si>
  <si>
    <t>Dale</t>
  </si>
  <si>
    <t>Mr. Dale Williams serves as Managing Director &amp; Partner at Boston Consulting Group. He is a core member of the firm's Operations practice. He is an expert in operational transformations, and most recently, digital transformations. He guides companies through large-scale, multi-year global performance transformations and specializes in the application of advanced analytics to drive operational performance. Prior to BCG, he was head of operations consulting at KPMG.</t>
  </si>
  <si>
    <t>dalew@bcg.com</t>
  </si>
  <si>
    <t>436279-42P</t>
  </si>
  <si>
    <t>Damon Bland</t>
  </si>
  <si>
    <t>Damon</t>
  </si>
  <si>
    <t>Bland</t>
  </si>
  <si>
    <t>Mr. Damon Bland serves as Partner &amp; Director, Operational Transformation at Boston Consulting Group. He focuses on operations strategy and effectiveness in the metals and mining, oil and gas, automotive, aerospace, fast-moving consumer goods, medical technology, and pharmaceutical sectors.</t>
  </si>
  <si>
    <t>bland.damon@bcg.com</t>
  </si>
  <si>
    <t>Partner &amp; Director, Operational Transformation</t>
  </si>
  <si>
    <t>434823-31P</t>
  </si>
  <si>
    <t>Dan Saacks</t>
  </si>
  <si>
    <t>Saacks</t>
  </si>
  <si>
    <t>Mr. Dan Saacks serves as Managing Director &amp; Partner at Boston Consulting Group. He is the lead for health care marketing for the firm and a member of the Commercial Biopharma Leadership team.</t>
  </si>
  <si>
    <t>saacks.dan@bcg.com</t>
  </si>
  <si>
    <t>456544-72P</t>
  </si>
  <si>
    <t>Dan Wald</t>
  </si>
  <si>
    <t>Wald</t>
  </si>
  <si>
    <t>Mr. Dan Wald serves as Managing Director &amp; Senior Partner at Boston Consulting Group. He leads the firm's consumer products sector globally. He is active in the firm's recruitment and training efforts. Since joining BCG in 2005, he has focused his client work on the consumer industry, including consumer goods and sports businesses. He helps consumer companies grow in difficult environments. He works throughout the commercial organization on consumer insights, innovation, branding, M&amp;A, and go-to-market advantage. Before joining BCG, he was a consultant specializing in strategy for and commercialization of intellectual property.</t>
  </si>
  <si>
    <t>wald.dan@bcg.com</t>
  </si>
  <si>
    <t>455684-86P</t>
  </si>
  <si>
    <t>Dana Hughes</t>
  </si>
  <si>
    <t>Hughes</t>
  </si>
  <si>
    <t>Mr. Dana Hughes serves as Partner &amp; Associate Director at Boston Consulting Group. He is an expert partner for transactions and Integration (TI) in life sciences, health care, industrial goods, and other industries. He is a core member of both the firm's Health Care and Corporate Finance &amp; Strategy practices, with strong experience in mergers and acquisitions, transactions, organizing business development functions, and leading post-merger integrations, large-scale transformations, and organizational design efforts. Prior to this, he was Vice President in Pfizer's Worldwide Business Development group, sitting on the Leadership Team, and responsible for integration, strategic alliances, and the corporate deal committee.</t>
  </si>
  <si>
    <t>hughes.dana@bcg.com</t>
  </si>
  <si>
    <t>434808-01P</t>
  </si>
  <si>
    <t>Daniel Acosta JD</t>
  </si>
  <si>
    <t>Acosta</t>
  </si>
  <si>
    <t>Mr. Daniel Acosta serves as Managing Director &amp; Senior Partner at Boston Consulting Group. He works with clients to achieve large-scale transformations of their organizations and operations. His private sector clients included media and entertainment and financial services companies.</t>
  </si>
  <si>
    <t>acosta.daniel@bcg.com</t>
  </si>
  <si>
    <t>435318-76P</t>
  </si>
  <si>
    <t>Daniel Azevedo</t>
  </si>
  <si>
    <t>Azevedo</t>
  </si>
  <si>
    <t>Mr. Daniel Azevedo serves as Managing Director &amp; Senior Partner at Boston Consulting Group. He leads Boston Consulting Group's Global Advantage practice in Europe, the Middle East, South America, and Africa; the Consumer practice in Brazil; and the Center for Customer Insight for Latin America.</t>
  </si>
  <si>
    <t>azevedo.daniel@bcg.com</t>
  </si>
  <si>
    <t>436282-66P</t>
  </si>
  <si>
    <t>Daniel Feldkamp</t>
  </si>
  <si>
    <t>Feldkamp</t>
  </si>
  <si>
    <t>Mr. Daniel Feldkamp serves as Managing Director &amp; Partner at Boston Consulting Group. His client work has focused on large-scale transformations, mainly for companies in the building materials and mining industries.</t>
  </si>
  <si>
    <t>feldkamp.daniel@bcg.com</t>
  </si>
  <si>
    <t>436212-91P</t>
  </si>
  <si>
    <t>Daniel Gorlin JD</t>
  </si>
  <si>
    <t>Gorlin</t>
  </si>
  <si>
    <t>Mr. Daniel Gorlin serves as Managing Director &amp; Senior Partner at Boston Consulting Group. He helps his private sector clients build market strategies and transform their go-to-market, clinical, and digital capabilities. He is an expert on regulatory policy and has led industrywide initiatives including helping minorities in underserved communities gain access to COVID-19 vaccine supply.</t>
  </si>
  <si>
    <t>gorlin.daniel@bcg.com</t>
  </si>
  <si>
    <t>456097-60P</t>
  </si>
  <si>
    <t>Daniel Gospodinov</t>
  </si>
  <si>
    <t>Gospodinov</t>
  </si>
  <si>
    <t>Mr. Daniel Gospodinov serves as a Principal at Boston Consulting Group. He leads the firm's work in retail media, personalization, and marketing in retail topics for Europe, the Middle East, Africa, and South America. He works with retailers (in grocery, home improvement, and general merchandise), and with fashion and luxury companies. He has extensive experience in digital strategy and new digital venture design and build (including marketplaces, ecosystem businesses, rapid delivery, and loyalty programs). He has worked extensively in the UK, the US, Canada, South Africa, and Europe. He is a core member of the firm's Consumer practice with a focus on digital growth, marketing, and advertising topics.</t>
  </si>
  <si>
    <t>daniel.gospodinov@bcg.com</t>
  </si>
  <si>
    <t>436294-72P</t>
  </si>
  <si>
    <t>Daniel Gott</t>
  </si>
  <si>
    <t>Gott</t>
  </si>
  <si>
    <t>Mr. Daniel Gott serves as Managing Director &amp; Senior Partner at Boston Consulting Group. He is an expert with BCG TURN, which helps clients deliver rapid, visible performance improvements in the short term while strengthening their organizations and positioning them to win in the future.</t>
  </si>
  <si>
    <t>daniel@bcg.com</t>
  </si>
  <si>
    <t>455955-22P</t>
  </si>
  <si>
    <t>Daniel Jimenez</t>
  </si>
  <si>
    <t>Jimenez</t>
  </si>
  <si>
    <t>Mr. Daniel Jimenez serves as Managing Director &amp; Partner at Boston Consulting Group. She is a core member of the Marketing, Sales &amp; Pricing practice at the firm. He concentrates on clients in downstream oil, financial services, and insurance, working with them on digital transformation programs, advanced analytics, and M&amp;A processes. Before joining BCG, he worked for two years at Instituto de Investigación Tecnológica (IIT), in a program developing optimization models for the energy sector.</t>
  </si>
  <si>
    <t>jimenez.daniel@bcg.com</t>
  </si>
  <si>
    <t>456715-18P</t>
  </si>
  <si>
    <t>Daniel Kaegi</t>
  </si>
  <si>
    <t>Kaegi</t>
  </si>
  <si>
    <t>Mr. Daniel Kaegi serves as Managing Director &amp; Senior Partner at Boston Consulting Group. He leads BCG's Operations practice in Switzerland and is a core member of the Health Care and Operations practices. He has worked closely with clients in the pharmaceutical, biotechnology, medical technology, and industrial goods sectors across the US, Europe, and emerging markets. He has acquired significant experience in operations across all major topics, including supply chain, manufacturing, quality, regulatory, development, lean, and network transformations.</t>
  </si>
  <si>
    <t>kaegi.daniel@bcg.com</t>
  </si>
  <si>
    <t>456400-45P</t>
  </si>
  <si>
    <t>Daniel Kessler</t>
  </si>
  <si>
    <t>Kessler</t>
  </si>
  <si>
    <t>Mr. Daniel Kessler serves as Managing Director &amp; Senior Partner at Boston Consulting Group. He is a core member of BCG's Financial Institutions practice and the global leader of wealth management and private banking. Throughout his career, he has worked with clients in Switzerland, across Europe, in Southeast Asia, and in the US. His client work focuses on large-scale change programs, primarily with clients in the financial services and insurance industry, as well as adjacent industries.</t>
  </si>
  <si>
    <t>kessler.daniel@bcg.com</t>
  </si>
  <si>
    <t>456722-20P</t>
  </si>
  <si>
    <t>Daniel Kuepper Ph.D</t>
  </si>
  <si>
    <t>Kuepper</t>
  </si>
  <si>
    <t>Dr. Daniel Kuepper serves as Managing Director &amp; Senior Partner at Boston Consulting Group. He leads the firm's Operations practice in Germany and Austria, as well as leading the Innovation Center for Operations in Central Europe. He is also a core member of BCG's Center for Digital in Industrials. He focuses on operations, primarily lean and manufacturing. He has led numerous projects defining manufacturing strategy, including the achievement of deeper value and better make-or-buy decisions, and optimizing manufacturing networks. Before joining BCG, Daniel worked in research facilities at MIT and RWTH Aachen University.</t>
  </si>
  <si>
    <t>kuepper.daniel@bcg.com</t>
  </si>
  <si>
    <t>436275-73P</t>
  </si>
  <si>
    <t>Daniel Lohner Ph.D</t>
  </si>
  <si>
    <t>Lohner</t>
  </si>
  <si>
    <t>Mr. Daniel Lohner serves as Principal - Data Science at Boston Consulting Group. He is a core member of BCG X, the firm's tech build and design unit. He focuses on data-driven solutions for the financial industry, in particular in the domain of climate and sustainability, cross-selling, and risk management.</t>
  </si>
  <si>
    <t>lohner.daniel@bcg.com</t>
  </si>
  <si>
    <t>Principal - Data Science</t>
  </si>
  <si>
    <t>456652-99P</t>
  </si>
  <si>
    <t>Daniel Lopez</t>
  </si>
  <si>
    <t>Mr. Daniel Lopez serves as Managing Director &amp; Senior Partner at Boston Consulting Group. He leads the firm's Energy Practice in the Iberian Peninsula and is the co-leader of the Refining and Petrochemicals operations business line. He is also a senior member of the Corporate Development practice. He is the former head of BCG's global Oil and Gas Sector. Before he came to the firm, he was CEO and founder of a VC-backed supply chain execution software company and also worked at JP Morgan.</t>
  </si>
  <si>
    <t>lopez.daniel@bcg.com</t>
  </si>
  <si>
    <t>434828-71P</t>
  </si>
  <si>
    <t>Daniel Martines</t>
  </si>
  <si>
    <t>Martines</t>
  </si>
  <si>
    <t>Mr. Daniel Martines serves as Managing Director at Boston Consulting Group. He is currently leading tech and data transformations for a health care clinical research organization, and a US military health care provider. He also has retail and commercial banking experience, and leads the firm's work in data engineering and Anaplan transformations.</t>
  </si>
  <si>
    <t>martines.daniel@bcg.com</t>
  </si>
  <si>
    <t>435226-51P</t>
  </si>
  <si>
    <t>Daniel Oehling</t>
  </si>
  <si>
    <t>Oehling</t>
  </si>
  <si>
    <t>Mr. Daniel Oehling serves as Managing Director &amp; Partner at Boston Consulting Group. He works with investors and industrial conglomerates on developing their climate and sustainability investment strategies, decarbonizing their investment portfolios, and measuring and sustaining their climate efforts.</t>
  </si>
  <si>
    <t>oehling.daniel@bcg.com</t>
  </si>
  <si>
    <t>435946-87P</t>
  </si>
  <si>
    <t>Daniel Sack</t>
  </si>
  <si>
    <t>Mr. Daniel Sack serves as Managing Director &amp; Partner at Boston Consulting Group. He is a global lead for BCG's Center for Responsible Generative AI, and also coleads BCG X's Plan AI efforts integrating advanced analytics into end-to-end planning processes.</t>
  </si>
  <si>
    <t>sack.daniel@bcg.com</t>
  </si>
  <si>
    <t>435313-00P</t>
  </si>
  <si>
    <t>Daniel Schlecht</t>
  </si>
  <si>
    <t>Schlecht</t>
  </si>
  <si>
    <t>Mr. Daniel Schlecht serves as Managing Director &amp; Senior Partner at Boston Consulting Group. He has led multiple digital transformations for both utilities and oil and gas companies. In particular, he has supported clients in the implementation of big data and analytics initiatives and the creation of new business models based on digital.</t>
  </si>
  <si>
    <t>schlecht.daniel@bcg.com</t>
  </si>
  <si>
    <t>456834-25P</t>
  </si>
  <si>
    <t>Daniel Schroer</t>
  </si>
  <si>
    <t>Schroer</t>
  </si>
  <si>
    <t>Mr. Daniel Schroer serves as Managing Director &amp; Senior Partner at Boston Consulting Group. He is a member of the firm's Health Care and Technology Advantage practices and a topic expert for medical technology. He has worked with numerous major health care and medtech companies on issues related to corporate strategy and new commercial models, mergers and acquisitions, and go-to-market strategy, as well as many sales, marketing, and pricing excellence projects. Before joining BCG, he was a research assistant at the Fraunhofer Institutes and worked as an intern for Arthur D. Little, DaimlerChrysler, Bayer, and BRAINnet.</t>
  </si>
  <si>
    <t>schroer.daniel@bcg.com</t>
  </si>
  <si>
    <t>281630-17P</t>
  </si>
  <si>
    <t>Daniel Selikowitz</t>
  </si>
  <si>
    <t>Selikowitz</t>
  </si>
  <si>
    <t>Mr. Daniel Selikowitz serves as Managing Director and Partner at Boston Consulting Group. He is a member of Boston Consulting Group's Center for Digital Government and a core member of the Public Sector and Corporate Finance &amp; Strategy practice areas, specializing in transaction support, sourcing, and market design in the public sector. He is also the Australian node for Public Wealth and a leader in the Principal Investors &amp; Private Equity practice area. Mr. Selikowitz's work focuses on the intersection of the public and private sectors, with an emphasis on delivering outstanding commercial and policy outcomes. In his public sector work, Mr. Selikowitz focuses on working with government clients to effectively engage the market and strike the right balance between commercial and policy considerations in sourcing and transactions. He has extensive experience in immigration and border protection, infrastructure, health care, and disability services, having led several high-profile market design, transaction, and tender processes in these domains. Beyond the public sector, Mr. Selikowitz has led transaction, sourcing, and strategy programs with a range of private sector clients in Australia and the United States, including principal investors, private equity firms, and financial institutions.</t>
  </si>
  <si>
    <t>daniel.selikowitz@bcg.com</t>
  </si>
  <si>
    <t>455370-49P</t>
  </si>
  <si>
    <t>Daniel Shadd</t>
  </si>
  <si>
    <t>Shadd</t>
  </si>
  <si>
    <t>Mr. Daniel Shadd serves as Managing Director &amp; Partner at Boston Consulting Group. He is a member of the firm's global Consumer Products leadership team and leads the Marketing, Sales &amp; Pricing practice in Canada. He primarily engages in leading companies through transformative change to accelerate growth, build next-gen operating capabilities, and unlock synergy potential from acquisitions. He has specific expertise in commercial excellence, including channel strategy and go-to-market advantage, price margin management, operating model design, and omnichannel sales.</t>
  </si>
  <si>
    <t>shadd.daniel@bcg.com</t>
  </si>
  <si>
    <t>456503-32P</t>
  </si>
  <si>
    <t>Daniel Tanuri</t>
  </si>
  <si>
    <t>Tanuri</t>
  </si>
  <si>
    <t>Mr. Daniel Tanuri serves as Managing Director &amp; Partner at Boston Consulting Group. He is a core member of the firm's Principal Investors &amp; Private Equity practice, with a focus on real estate and infrastructure investments. He is also a core member of the Corporate Finance &amp; Strategy practice. He also advises large-scale real estate and infrastructure developers on corporate and business topics covering the full lifecycle of their projects and investments, including business planning, financial assessments, funding strategies, design and delivery management, operations, and exits.</t>
  </si>
  <si>
    <t>tanuri.daniel@bcg.com</t>
  </si>
  <si>
    <t>434943-37P</t>
  </si>
  <si>
    <t>Daniel Wilderotter</t>
  </si>
  <si>
    <t>Wilderotter</t>
  </si>
  <si>
    <t>Mr. Daniel Wilderotter serves as Managing Director &amp; Partner at Boston Consulting Group. He has worked with clients across North America on topics such as vegetation management, transmission and distribution operations, capital deployment, agile execution, and embedding digital as a core competitive advantage.</t>
  </si>
  <si>
    <t>wilderotter.daniel@bcg.com</t>
  </si>
  <si>
    <t>455276-80P</t>
  </si>
  <si>
    <t>Daniel Zepter</t>
  </si>
  <si>
    <t>Zepter</t>
  </si>
  <si>
    <t>Mr. Daniel Zepter serves as Managing Director &amp; Partner at Boston Consulting Group. He is a member of the firm's People &amp; Organization practice, and a member of the Culture &amp; Change Management team for the firm. In addition, he is a leading member of the firm's Travel, Cities &amp; Infrastructure practice, with a focus on public transportation and logistics.</t>
  </si>
  <si>
    <t>zepter.daniel@bcg.com</t>
  </si>
  <si>
    <t>384879-88P</t>
  </si>
  <si>
    <t>Danielle Ullner</t>
  </si>
  <si>
    <t>Ullner</t>
  </si>
  <si>
    <t>Ms. Danielle Ullner serves as Managing Director &amp; Partner at Boston Consulting Group. Ms. Danielle Ullner serves as Board Member at FYLD. She is Managing Director and Partner at BCG X, and is the global lead for its Energy practice. Strategically placed to advise FYLD on its growth journey, Danielle has 20 years' experience as an advisor, investor, and operator in the venture capital and startup ecosystem.</t>
  </si>
  <si>
    <t>ullner.danielle@bcg.com</t>
  </si>
  <si>
    <t>455811-58P</t>
  </si>
  <si>
    <t>Dario Accorona</t>
  </si>
  <si>
    <t>Dario</t>
  </si>
  <si>
    <t>Accorona</t>
  </si>
  <si>
    <t>Mr. Dario Accorona serves as Principal at Boston Consulting Group. He is a member of the Industrial Goods and Climate &amp; Sustainability practices with a focus on paper and packaging companies in both Italy and Europe, as well as on climate and sustainability topics. He specializes in helping industrial and energy clients design and enable growth through restructuring and renewal in pursuit of sustainability and efficiency. He has covered topics including decarbonization and ESG strategy, strategy review, operational restructuring, go-to-market strategy, productivity improvement programs, post-merger operations, cost structure review, and energy management review. Before joining the firm, he was a business analyst at BIP.</t>
  </si>
  <si>
    <t>accorona.dario@bcg.com</t>
  </si>
  <si>
    <t>189557-74P</t>
  </si>
  <si>
    <t>Darren Cole</t>
  </si>
  <si>
    <t>Mr. Darren Cole serves as Managing Director &amp; Partner at Boston Consulting Group. He is a leader in the firm's Principal Investors &amp; Private Equity (PIPE) practice in Canada. He works with investment funds across North America on topics including fund strategy and operations, buy- and sell-side due diligence, and portfolio company value acceleration. He has led numerous due diligence for private equity and pension clients in software, technology, residential services, consumer goods, goods distribution, B2B services, infrastructure (energy), and health care/biotech. He has also served investors on a range of strategic and functional topics, including organizational and investment strategy and ESG. Mr. Cole served as an Associate at Birch Hill Equity Partners. Before joining Birch Hill in 2018, he was an Engagement Manager with McKinsey &amp; Company in Toronto, where he helped lead a series of strategic digital and cost transformations, working predominantly with North American banking, insurance, and private equity clients. He received his B. Comm. (First Class Honours) from Queen's University.</t>
  </si>
  <si>
    <t>cole.darren@bcg.com</t>
  </si>
  <si>
    <t>456058-09P</t>
  </si>
  <si>
    <t>Darren Jackson</t>
  </si>
  <si>
    <t>Mr. Darren Jackson serves as Managing Director &amp; Partner at Boston Consulting Group. He is a core member of the firm's Technology, Media &amp; Telecommunications (TMT) and Principal Investors &amp; Private Equity (PIPE) practices. He joined BCG in August 2023, bringing more than 17 years of experience in industries including technology, telecommunications, and media, as well as private equity firms and non-profits. At BCG, he works with corporate TMT clients and PE-backed TMT portfolio companies. He is one of the West Coast leaders for diversity and inclusion, specifically Black and Latinx talent. Before joining BCG, he was a partner at Bain &amp; Company, where he served both B2B and B2C clients in a variety of industries.</t>
  </si>
  <si>
    <t>jackson.darren@bcg.com</t>
  </si>
  <si>
    <t>435606-76P</t>
  </si>
  <si>
    <t>Dave Ryeson</t>
  </si>
  <si>
    <t>Ryeson</t>
  </si>
  <si>
    <t>Mr. Dave Ryeson serves as Partner &amp; Associate Director, Manufacturing / Industry 4.0 at Boston Consulting Group. He has focused on the automotive (original equipment manufacturers and tier one suppliers), aerospace, pharmaceutical, industrial goods, and consumer sectors. He has acquired deep expertise in manufacturing, lean advantage, cultural change, and procurement.</t>
  </si>
  <si>
    <t>+1 (313) 756-6300</t>
  </si>
  <si>
    <t>ryeson.dave@bcg.com</t>
  </si>
  <si>
    <t>Detroit</t>
  </si>
  <si>
    <t>Detroit, MI</t>
  </si>
  <si>
    <t>2715 Woodward Avenue</t>
  </si>
  <si>
    <t>Michigan</t>
  </si>
  <si>
    <t>48201</t>
  </si>
  <si>
    <t>+1 (313) 447-2890</t>
  </si>
  <si>
    <t>Partner &amp; Associate Director, Manufacturing / Industry 4.0</t>
  </si>
  <si>
    <t>456411-52P</t>
  </si>
  <si>
    <t>Dave Sivaprasad</t>
  </si>
  <si>
    <t>Sivaprasad</t>
  </si>
  <si>
    <t>Mr. Dave Sivaprasad serves as Managing Director &amp; Partner at Boston Consulting Group. He is a core member of the Energy, Social Impact, Public Sector, and People &amp; Organization practices at the firm. He is a member of BCG's global climate leadership team and works with public and private sector clients on climate action and energy transition. He has significant experience and expertise in the energy sector, including oil and gas, power and utilities, green energy, energy infrastructure, and energy public policy. He has worked with clients around the globe on growth strategies, performance improvement, organizational development, and managing large-scale change. He is also an expert on the firm's climate risk, adaptation, and resilience work in the public sector.</t>
  </si>
  <si>
    <t>sivaprasad.dave@bcg.com</t>
  </si>
  <si>
    <t>118009-27P</t>
  </si>
  <si>
    <t>David Allred</t>
  </si>
  <si>
    <t>Allred</t>
  </si>
  <si>
    <t>Mr. David Allred is a Co-Founder and serves as Managing Director at BCG Digital Ventures. He also serves as Managing Director &amp; Senior Partner, BCG X at Boston Consulting Group. He leads BCG X's Tech, Media &amp; Telecommunications (TMT) practice area globally and previously led the firm's Industrial Goods practice. Mr. Allerd holds an MBA (Master of Business Administration) in Strategy, Marketing &amp; Entrepreneurship from Northwestern University (Kellogg), along with a BS (Bachelor of Science) in Accounting and Finance from Brigham Young University, Provo.</t>
  </si>
  <si>
    <t>+1 (310) 698-1200</t>
  </si>
  <si>
    <t>david@bcgdv.com</t>
  </si>
  <si>
    <t>Manhattan Beach</t>
  </si>
  <si>
    <t>Manhattan Beach, CA</t>
  </si>
  <si>
    <t>1240 Rosecrans Avenue</t>
  </si>
  <si>
    <t>90266</t>
  </si>
  <si>
    <t>194589-82P</t>
  </si>
  <si>
    <t>David Bronstein</t>
  </si>
  <si>
    <t>Bronstein</t>
  </si>
  <si>
    <t>Mr. David Bronstein serves as a Senior Advisor at Boston Consulting Group. He leads The Boston Consulting Group's private-equity topic for the Americas and is a member of the Financial Institutions practice. He joined the firm's Chicago office in 1997, transferring to the Sydney office two years later, before returning to the U.S. in 2001. David works with private-equity clients on due diligence and portfolio support projects across a variety of verticals, including financial services, business services, consumer, education, industrial goods, health care, and energy. In his work with financial services clients, he has focused on wealth management, asset management, retail banking, and payments. He has significant expertise in corporate development, operations improvement, and postmerger integrations. David has been a key contributor to the Financial Services practice's annual Global Wealth reports. Before joining BCG, David was a financial analyst in BlackRock's account management group in New York.</t>
  </si>
  <si>
    <t>david.bronstein@bcg.com</t>
  </si>
  <si>
    <t>455416-84P</t>
  </si>
  <si>
    <t>David Brooks</t>
  </si>
  <si>
    <t>Mr. David Brooks serves as Managing Director &amp; Partner at Boston Consulting Group. He is a core member of the firm's Insurance and Transform practices. He co-leads BCG's General Insurance team for the UK, Netherlands, and Belgium. He has worked with General Insurers, Life Insurers, and Asset &amp; Wealth Managers on a broad range of topics, including strategy, transformation, M&amp;A, post-merger integration, digital and data, and climate and sustainability. Before joining BCG, he worked for Deutsche Bank covering the European sovereign debt crisis.</t>
  </si>
  <si>
    <t>david.brooks@bcg.com</t>
  </si>
  <si>
    <t>455502-43P</t>
  </si>
  <si>
    <t>David Chan</t>
  </si>
  <si>
    <t>Mr. David Chan serves as Managing Director &amp; Partner at Boston Consulting Group. He leads BCG's Financial Institutions practice in Hong Kong and specializes in orchestrating large-scale transformations for financial institutions across the region, with a focus on digital transformation, performance acceleration, change management, and new business innovation and build. He is also part of the leadership team of BCG's Digital Asset and Web3 Capability Center in Asia Pacific.</t>
  </si>
  <si>
    <t>david@bcg.com</t>
  </si>
  <si>
    <t>455774-23P</t>
  </si>
  <si>
    <t>David Galley Ph.D</t>
  </si>
  <si>
    <t>Galley</t>
  </si>
  <si>
    <t>Dr. David Galley serves as Managing Director and Partner, BCG X at Boston Consulting Group. He focuses on helping consumer packaged goods, fashion, luxury, and pharmaceutical companies allocate their commercial dollars effectively and efficiently using advanced analytics. He's the Data Science chapter lead for BCG X in Europe, the Middle East, and South America, and the CTO of Commercial Allocation by BCG X, BCG X's tech asset supporting the BCG Smart Commercial Allocation offering. Since joining the firm, he has been a core member of the Marketing, Sales &amp; Pricing, and Consumer practices. He has worked on several AI at scale transformations, developing new offers and solutions for AI-driven business decisions. Before joining BCG, he worked for nine years at Saint-Gobain, in R&amp;D and manufacturing.</t>
  </si>
  <si>
    <t>david.galley@bcg.com</t>
  </si>
  <si>
    <t>Managing Director and Partner, BCG X</t>
  </si>
  <si>
    <t>456540-76P</t>
  </si>
  <si>
    <t>David He</t>
  </si>
  <si>
    <t>He</t>
  </si>
  <si>
    <t>Mr. David He serves as Managing Director &amp; Senior Partner at Boston Consulting Group. He leads the firm's work in serving Greater China's financial industry. He also leads the research conducted by the firm's China Banking Institute and BCG's work in the technology arena. He has acquired deep insight into China's macroeconomic and financial policies, insurance, commercial banks, asset management, wealth management, financial technologies, and enterprise globalization. He is a certified project management professional (PMP). Before joining BCG in 2008, he worked at the Bank of China as a senior manager at headquarters, at a Hong Kong subsidiary, and in New York.</t>
  </si>
  <si>
    <t>+86 (0)10 8527 9000</t>
  </si>
  <si>
    <t>he.david@bcg.com</t>
  </si>
  <si>
    <t>Level 22 West Tower, Genesis Beijing</t>
  </si>
  <si>
    <t>8 Xinyuan South Road, Chaoyang District</t>
  </si>
  <si>
    <t>100027</t>
  </si>
  <si>
    <t>+86 (0)10 8527 9999</t>
  </si>
  <si>
    <t>456223-42P</t>
  </si>
  <si>
    <t>David Knott Ph.D</t>
  </si>
  <si>
    <t>Knott</t>
  </si>
  <si>
    <t>Mr. David Knott serves as a Partner at Boston Consulting Group. He is a core member of the firm's Technology &amp; Digital Advantage practice. He is a technology leader, strategist, and architect with over 30 years' experience in many industries, including banking, insurance, transportation, utilities, and media. He is currently focusing on the cloud, DevOps, and digital transformation. Immediately prior to joining BCG, he was a Digital Transformation Officer at Google Cloud. Before that, he was Chief Architect at HSBC Banking Group and Global Head of Enterprise Architecture at Wipro Technologies.</t>
  </si>
  <si>
    <t>knott.david@bcg.com</t>
  </si>
  <si>
    <t>434948-68P</t>
  </si>
  <si>
    <t>David Lee</t>
  </si>
  <si>
    <t>Mr. David Lee serves as Principal IT Architect at Boston Consulting Group. He has expert knowledge of key emerging technologies including generative AI and blockchain/Web3, as well as key enablers including cloud technologies, enterprise data management and formal architecture governance.</t>
  </si>
  <si>
    <t>lee.david@bcg.com</t>
  </si>
  <si>
    <t>Principal IT Architect</t>
  </si>
  <si>
    <t>434803-51P</t>
  </si>
  <si>
    <t>David Martin</t>
  </si>
  <si>
    <t>Mr. David Martin serves as Managing Director &amp; Senior Partner at Boston Consulting Group. He drives the firm's comprehensive client strategies in organizational design, talent management, culture, purpose, change management, and the evolving HRTech landscape</t>
  </si>
  <si>
    <t>david.martin@bcg.com</t>
  </si>
  <si>
    <t>436296-61P</t>
  </si>
  <si>
    <t>David Panhans</t>
  </si>
  <si>
    <t>Panhans</t>
  </si>
  <si>
    <t>Mr. David Panhans serves as Managing Director &amp; Senior Partner at Boston Consulting Group. He has worked with numerous fixed and mobile operators on projects related to corporate strategy, opportunity assessments, and commercial turnaround strategies.</t>
  </si>
  <si>
    <t>panhans.david@bcg.com</t>
  </si>
  <si>
    <t>456272-29P</t>
  </si>
  <si>
    <t>David Parlongue Ph.D</t>
  </si>
  <si>
    <t>Parlongue</t>
  </si>
  <si>
    <t>Dr. David Parlongue serves as Managing Director &amp; Partner at Boston Consulting Group. He is a member of the Travel, Cities &amp; Infrastructure, and Health Care practices at the firm. His key areas of expertise include transportation and logistics, regulation, health care providers, and transaction support.</t>
  </si>
  <si>
    <t>parlongue.david@bcg.com</t>
  </si>
  <si>
    <t>57033-82P</t>
  </si>
  <si>
    <t>David Rhodes</t>
  </si>
  <si>
    <t>Rhodes</t>
  </si>
  <si>
    <t>Mr. David Rhodes serves as Senior Advisor at Boston Consulting Group. Since joining BCG in 1985, David has worked with financial services clients all over the world on projects involving major strategy and organizational change. Although his main focus is supporting senior management on questions of overall portfolio and governance, David continues to devote as much time as possible to working in the retail end of the business. He received his bachelor's degree in jurisprudence from University College, Oxford, and his M.B.A. from Harvard Business School.</t>
  </si>
  <si>
    <t>d-r@bcg.com</t>
  </si>
  <si>
    <t>49571-56P</t>
  </si>
  <si>
    <t>David Ritter</t>
  </si>
  <si>
    <t>Mr. David Ritter serves as Senior Vice President, Board Member &amp; Principal at LCG Associates. He serves as Partner &amp; Director at Boston Consulting Group. He serves as Board Member at ICIVICS INC. He is a Member of Boston Consulting Group's Technology Advantage; Technology, Media &amp; Telecommunications; and Marketing, Sales &amp; Pricing practices. He advises clients on using technology for competitive advantage, developing effective IT and data strategy, and optimizing IT infrastructure. David's clients include educational endowments, foundations, other non-profit organizations, and healthcare systems. In addition to lead consulting responsibilities, he conducts capital market and asset class research, investment manager due diligence, and special topical studies. Previously, David was Assistant Vice President within the Investment Management Group of JP Morgan Chase Bank in Dallas. There, he was responsible for consulting with institutional clients on investment policy, asset allocation, manager selection and due-diligence, performance attribution and evaluation, and other investment related issues. Prior to that, David was a Consultant with William M. Mercer Investment Consulting, Inc. in Dallas. His investment career began with Fidelity Investments as a Retirement Representative.</t>
  </si>
  <si>
    <t>+1 (770) 644-0100</t>
  </si>
  <si>
    <t>dritter@lcgassociates.com</t>
  </si>
  <si>
    <t>400 Galleria Parkway</t>
  </si>
  <si>
    <t>30339</t>
  </si>
  <si>
    <t>+1 (770) 644-0105</t>
  </si>
  <si>
    <t>Senior Vice President, Board Member &amp; Principal</t>
  </si>
  <si>
    <t>LCG Associates</t>
  </si>
  <si>
    <t>436358-26P</t>
  </si>
  <si>
    <t>David Sadoff</t>
  </si>
  <si>
    <t>Sadoff</t>
  </si>
  <si>
    <t>Mr. David Sadoff serves as Managing Director &amp; Senior Partner at Boston Consulting Group. His client engagements have included operations redesigns, performance improvement programs, customer care improvement efforts, and merger integrations. Mr. Sadoff is a core member of The Boston Consulting Group's Health Care practice; he leads BCG's Denver office. Prior to joining BCG, he held strategic planning positions in the B2B services industry.</t>
  </si>
  <si>
    <t>sadoff.david@bcg.com</t>
  </si>
  <si>
    <t>456412-78P</t>
  </si>
  <si>
    <t>David Sandberg</t>
  </si>
  <si>
    <t>Sandberg</t>
  </si>
  <si>
    <t>Mr. David Sandberg serves as Managing Director &amp; Senior Partner at Boston Consulting Group. He is a core member of BCG's TURN team, focusing on large-scale business transformations. He has extensive experience in consumer goods and retail at the firm. He maintains a strong focus on the consumer goods and retail sectors and has experience along the entire food value chain. He has led transformations for international retailers and FMCG companies covering short-term cost and revenue workstreams, procurement/COGS, pricing and promotions, and organization.</t>
  </si>
  <si>
    <t>david.sandberg@bcg.com</t>
  </si>
  <si>
    <t>455970-34P</t>
  </si>
  <si>
    <t>David Sayah</t>
  </si>
  <si>
    <t>Sayah</t>
  </si>
  <si>
    <t>Mr. David Sayah serves as Managing Director &amp; Partner at Boston Consulting Group. He is a core member of the Energy practice at the firm. Since joining the firm, he has worked with national oil companies, international oil companies, investment funds, and energy regulators across the Middle East, Africa, and Europe. Prior to joining BCG, he worked as a management consultant focused on the energy sector at McKinsey &amp; Company, and before that, at Booz &amp; Company.</t>
  </si>
  <si>
    <t>sayah.david@bcg.com</t>
  </si>
  <si>
    <t>435786-94P</t>
  </si>
  <si>
    <t>David Schaar Ph.D</t>
  </si>
  <si>
    <t>Schaar</t>
  </si>
  <si>
    <t>Mr. David Schaar serves as Managing Director &amp; Partner at Boston Consulting Group. He works with clients on a range of functional topics, including growth strategy, operating performance improvement, and procurement.</t>
  </si>
  <si>
    <t>schaar.david@bcg.com</t>
  </si>
  <si>
    <t>435130-30P</t>
  </si>
  <si>
    <t>David Viljoen</t>
  </si>
  <si>
    <t>Viljoen</t>
  </si>
  <si>
    <t>Mr. David Viljoen serves as Managing Director &amp; Partner at Boston Consulting Group. He has worked with clients across industries including retail, financial services, and energy, on topics in business building, innovation, marketplaces, and digital product development.</t>
  </si>
  <si>
    <t>viljoen.david@bcg.com</t>
  </si>
  <si>
    <t>435557-08P</t>
  </si>
  <si>
    <t>David Webb</t>
  </si>
  <si>
    <t>Webb</t>
  </si>
  <si>
    <t>Mr. David Webb serves as Managing Director &amp; Senior Partner, Chief Sustainability Officer, Managing Director of North American Systems at Boston Consulting Group. He has considerable expertise in the beverage alcohol sector, having worked with several of the leading companies in the industry.</t>
  </si>
  <si>
    <t>webb.david@bcg.com</t>
  </si>
  <si>
    <t>Managing Director &amp; Senior Partner, Chief Sustainability Officer, Managing Director of North American Systems</t>
  </si>
  <si>
    <t>435389-50P</t>
  </si>
  <si>
    <t>David Young</t>
  </si>
  <si>
    <t>Mr. David Young serves as Managing Director &amp; Senior Partner at Boston Consulting Group. He works closely with the leaders of the Social Impact practice to assist clients with efforts at the intersection of social impact, the firm's Public Sector practice, and the private sector.</t>
  </si>
  <si>
    <t>young.david@bcg.com</t>
  </si>
  <si>
    <t>435197-89P</t>
  </si>
  <si>
    <t>Davide Camisa</t>
  </si>
  <si>
    <t>Camisa</t>
  </si>
  <si>
    <t>Mr. Davide Camisa serves as Managing Director &amp; Partner at Boston Consulting Group. He is an expert in omnichannel retail, operational efficiency, large-scale change programs, and growth strategy.</t>
  </si>
  <si>
    <t>davide.camisa@bcg.com</t>
  </si>
  <si>
    <t>207277-21P</t>
  </si>
  <si>
    <t>Davide Corradi</t>
  </si>
  <si>
    <t>Corradi</t>
  </si>
  <si>
    <t>Mr. Davide Corradi serves as Managing Director &amp; Senior Partner at Boston Consulting Group. Mr. Davide Corradi is an Angel Investor. He has advised the top insurance players in Europe and Italy-including industry regulators and associations-on how to evolve and reinforce competitive advantage in light of the profound changes reshaping the industry globally.</t>
  </si>
  <si>
    <t>corradi.davide@bcg.com</t>
  </si>
  <si>
    <t>456694-66P</t>
  </si>
  <si>
    <t>Davide Domenico</t>
  </si>
  <si>
    <t>Domenico</t>
  </si>
  <si>
    <t>Mr. Davide Domenico serves as Managing Director &amp; Senior Partner at Boston Consulting Group. He is the firm's system lead for the East Mediterranean, Caspian (EMC) region, and the sector lead for automotive and mobility for Europe, the Middle East, South America, and Africa (EMESA). He leads large-scale transformation and turnaround programs for a number of global manufacturers. He has also helped a wide range of industrial companies navigate strategic partnerships, mergers and acquisitions, joint ventures, and the due diligence process. In addition, he is a former leader for BCG's Center for Digital in Automotive. Prior to joining BCG, he was head of the European aftermarket operations for Asahi Group, a tier-one automotive supplier. He previously held several leadership positions at Fiat.</t>
  </si>
  <si>
    <t>davide.didomenico@bcg.com</t>
  </si>
  <si>
    <t>436381-84P</t>
  </si>
  <si>
    <t>Davide Urani</t>
  </si>
  <si>
    <t>Urani</t>
  </si>
  <si>
    <t>Director &amp; Managing Partner</t>
  </si>
  <si>
    <t>Mr. Davide Urani serves as Managing Partner &amp; Director, Change Management &amp; People Strategy at Boston Consulting Group. He works mostly on large-scale transformations and reengineering of operating models with a global list of clients in a variety of industries including fashion, logistics, consumer goods, and retail. Before joining the firm, he was Chief Strategy and Transformation Officer at IKEA Group, a member of the Strategic Council of the World Economic Forum, Supply Chain Director for EMEA at IKEA Group, and Director of Industry Accounts at Japan Airlines Co. Ltd.</t>
  </si>
  <si>
    <t>davide.urani@bcg.com</t>
  </si>
  <si>
    <t>Managing Partner &amp; Director,Change Management &amp; People Strategy</t>
  </si>
  <si>
    <t>435291-49P</t>
  </si>
  <si>
    <t>Davids Tjhin</t>
  </si>
  <si>
    <t>Davids</t>
  </si>
  <si>
    <t>Tjhin</t>
  </si>
  <si>
    <t>Mr. Davids Tjhin serves as Managing Director &amp; Senior Partner at Boston Consulting Group. He leads the Strategy practice for Southeast Asia and is a core member of the Technology, Media, &amp; Telecommunications, People &amp; Organization, and Global Advantage practices. He also serves as a recruiting director for the firm in Indonesia.</t>
  </si>
  <si>
    <t>tjhin.davids@bcg.com</t>
  </si>
  <si>
    <t>436215-43P</t>
  </si>
  <si>
    <t>Dawie Scholtz</t>
  </si>
  <si>
    <t>Dawie</t>
  </si>
  <si>
    <t>Scholtz</t>
  </si>
  <si>
    <t>Mr. Dawie Scholtz serves as a Partner at Boston Consulting Group. His engagements have included large-scale project implementation, operating model restructuring, due diligence for potential acquisitions, long-term growth strategy, and financial turnaround. He is a core member of the Industrial Goods and Operations practices at the firm.</t>
  </si>
  <si>
    <t>scholtz.dawie@bcg.com</t>
  </si>
  <si>
    <t>435502-99P</t>
  </si>
  <si>
    <t>Dean Frankle</t>
  </si>
  <si>
    <t>Frankle</t>
  </si>
  <si>
    <t>Mr. Dean Frankle serves as Managing Director &amp; Partner at Boston Consulting Group. He has led numerous projects in corporate strategy, organizational design, operations, and IT. He works mostly with clients in the UK, but has also led and supported projects in Europe and globally.</t>
  </si>
  <si>
    <t>frankle.dean@bcg.com</t>
  </si>
  <si>
    <t>168894-10P</t>
  </si>
  <si>
    <t>Decker Walker</t>
  </si>
  <si>
    <t>Decker</t>
  </si>
  <si>
    <t>Walker</t>
  </si>
  <si>
    <t>Mr. Decker Walker serves as Senior Partner &amp; Managing Director at Boston Consulting Group. He is a core member of The Boston Consulting Group's Industrial Goods practice, where he leads the global agribusiness topic, and the Corporate Development practice, where he leads the North America mergers and acquisitions topic. Since joining BCG in 2007, Mr. Walker has worked extensively with public and private companies, governments, and nongovernment organizations on projects related to growth strategy, merger and acquisition strategy, strategic and private-equity due diligence, and postmerger integration. His experience has covered a wide range of industries, focusing in particular on industrial goods but also working in consumer, technology, healthcare, and financial services. Mr. Walker has deep experience in food and agriculture, where he has helped clients develop corporate strategies, evaluate investment opportunities, and analyze industry and technological changes.</t>
  </si>
  <si>
    <t>walker.decker@bcg.com</t>
  </si>
  <si>
    <t>257513-59P</t>
  </si>
  <si>
    <t>Deepak Goyal</t>
  </si>
  <si>
    <t>Deepak</t>
  </si>
  <si>
    <t>Goyal</t>
  </si>
  <si>
    <t>Mr. Deepak Goyal is a Co-Founder at Plaksha University. Mr. Goyal serves as Managing Director &amp; Senior Partner at Boston Consulting Group. He has advised global clients on a range of issues, including strategy, pricing, operations and IT, organization, and overall transformation. Before joining BCG, he worked at McKinsey in India, where he developed a deep understanding of financial institutions and market dynamics. With a strong background in strategy and execution, he continues to shape the future of financial services through data-driven insights and transformative business solutions.</t>
  </si>
  <si>
    <t>+91 (0)17 2412 6260</t>
  </si>
  <si>
    <t>dg@plaksha.edu.in</t>
  </si>
  <si>
    <t>Sahibzada Ajit Singh Nagar</t>
  </si>
  <si>
    <t>Sahibzada Ajit Singh Nagar, India</t>
  </si>
  <si>
    <t>Alpha, Sector 101</t>
  </si>
  <si>
    <t>IT City Road</t>
  </si>
  <si>
    <t>Punjab</t>
  </si>
  <si>
    <t>140306</t>
  </si>
  <si>
    <t>Plaksha University</t>
  </si>
  <si>
    <t>456103-36P</t>
  </si>
  <si>
    <t>Dennis Mikulla</t>
  </si>
  <si>
    <t>Mikulla</t>
  </si>
  <si>
    <t>Mr. Dennis Mikulla serves as a Partner at Boston Consulting Group. He is a core member of the firm's Travel, Cities &amp; Infrastructure practice. He specializes in working with transportation, logistics, parcel, shipping, and mobility clients, helping them succeed and leverage opportunities in a changing world. His expertise includes strategy, transformation, and growth, as well as digital business, M&amp;A, and decarbonization. He has worked with clients across Europe, Asia, and the Middle East on engagements including full potential plan development, go-to-market strategy, and corporate strategy development, as well as company transformation. Before joining the firm, he worked for five years at Arthur D. Little, and before that, for ten years at DB Schenker.</t>
  </si>
  <si>
    <t>mikulla.dennis@bcg.com</t>
  </si>
  <si>
    <t>455399-11P</t>
  </si>
  <si>
    <t>Dennis Utzerath Ph.D</t>
  </si>
  <si>
    <t>Utzerath</t>
  </si>
  <si>
    <t>Dr. Dennis Utzerath serves as Managing Director &amp; Partner at Boston Consulting Group. He leads the firm's Travel, Cities &amp; Infrastructure (TCI) practice for Central Europe and TCI's Travel Distribution and Technology team in the Europe, Middle East, South America, and Africa (EMESA) region. He is an expert on airlines and travel. He has deep expertise in commercial and operations topics, as well as mergers and acquisitions, and large-scale transformations.</t>
  </si>
  <si>
    <t>utzerath.dennis@bcg.com</t>
  </si>
  <si>
    <t>435965-05P</t>
  </si>
  <si>
    <t>Derek Kennedy</t>
  </si>
  <si>
    <t>Kennedy</t>
  </si>
  <si>
    <t>Mr. Derek Kennedy serves as Managing Director &amp; Senior Partner at Boston Consulting Group. He is a core member of the Technology, Media &amp; Telecommunications practice at Boston Consulting Group, and he leads the firm's global work in the technology sector.</t>
  </si>
  <si>
    <t>kennedy.derek@bcg.com</t>
  </si>
  <si>
    <t>455286-43P</t>
  </si>
  <si>
    <t>Derek Rodenhausen</t>
  </si>
  <si>
    <t>Rodenhausen</t>
  </si>
  <si>
    <t>Mr. Derek Rodenhausen serves as Managing Director &amp; Partner at Boston Consulting Group. He is part of the leadership team for the Marketing, Sales &amp; Pricing practice at the firm with a focus on digital growth. He has over 15 years of experience in marketing topics, including digital marketing and personalization, data-driven marketing transformations, and consumer data strategy. He works with clients to design overall marketing and digital growth strategies, improve their media effectiveness, build e-commerce channels and first-party data strategies with future-proof ad tech and marketing tech foundations, monetize data assets, and better leverage consumer insights and analytics.</t>
  </si>
  <si>
    <t>derek.rodenhausen@bcg.com</t>
  </si>
  <si>
    <t>455645-71P</t>
  </si>
  <si>
    <t>Derek Wang</t>
  </si>
  <si>
    <t>Mr. Derek Wang serves as Managing Director &amp; Partner at Boston Consulting Group. He is a core member of the firm's Principal Investors &amp; Private Equity (PIPE) practice and an expert in services and commercial biopharma. His recent concentration has been at the intersection of life sciences, pharma services, and private equity. In addition, he has considerable expertise in residential and B2B services. He has led multiple buy- and sell-side due diligence, portfolio acceleration initiatives, and exit support projects for clients in many industries. In pharma services, he has worked with both clinical and commercialization clients, including in medical communications, medical affairs, health care marketing, market access, and hub services. Before coming to BCG, he worked at EY-Parthenon as a Case Team Leader.</t>
  </si>
  <si>
    <t>wang.derek@bcg.com</t>
  </si>
  <si>
    <t>435022-30P</t>
  </si>
  <si>
    <t>Dharmendra Dubey</t>
  </si>
  <si>
    <t>Dharmendra</t>
  </si>
  <si>
    <t>Dubey</t>
  </si>
  <si>
    <t>Mr. Dharmendra Dubey serves as Partner &amp; Associate Director at Boston Consulting Group. He is a specialist in marketing and advertising technology strategy, solution design, and technology implementation, and has worked across industries, leading data-driven marketing and personalization projects.</t>
  </si>
  <si>
    <t>dubey.dharmendra@bcg.com</t>
  </si>
  <si>
    <t>154512-64P</t>
  </si>
  <si>
    <t>Dhruv Gupta</t>
  </si>
  <si>
    <t>Dhruv</t>
  </si>
  <si>
    <t>Mr. Dhruv Gupta serves as Principal at Boston Consulting Group. Mr. Gupta co-founded and served as Board Member at SeekSherpa. Previously, Mr. Gupta served as Chief Executive Officer at SeekSherpa. he holds B.Comm (Bachelor of Commerce) from Shri Ram College of Commerce.</t>
  </si>
  <si>
    <t>gupta.dhruv@bcg.com</t>
  </si>
  <si>
    <t>434900-17P</t>
  </si>
  <si>
    <t>Dhruv Jayanth</t>
  </si>
  <si>
    <t>Jayanth</t>
  </si>
  <si>
    <t>Mr. Dhruv Jayanth serves as a Partner at Boston Consulting Group. He is a core member of BCG's Health Care practice focused on the intersection of science and technology. He specializes in the biopharma industry, specifically in driving productivity improvements, primarily in R&amp;D, through advanced analytics and refreshing portfolio strategy, as well as through broader cost optimization. He has particular expertise in AI and GenAI, from both strategic and technical perspectives, with hands-on experience in a number of different life sciences contexts in R&amp;D and beyond.</t>
  </si>
  <si>
    <t>jayanth.dhruv@bcg.com</t>
  </si>
  <si>
    <t>456842-62P</t>
  </si>
  <si>
    <t>Diana Dimitrova</t>
  </si>
  <si>
    <t>Dimitrova</t>
  </si>
  <si>
    <t>Ms. Diana Dimitrova serves as Managing Director &amp; Partner at Boston Consulting Group. He is a member of the Center for Digital in Industrials at the firm. She has expertise in industrial goods, aerospace and defense, operations, supply chain operations, and digital. Her focus is on using advanced analytics to deliver supply chain transformation, and she is also involved in in-client software solution development. Before she joined BCG, she worked on foreign direct investment legislation, contracts, and negotiations for the National Investment Commission of Liberia and in the investment banking division of Goldman Sachs Group.</t>
  </si>
  <si>
    <t>dimitrova.diana@bcg.com</t>
  </si>
  <si>
    <t>435292-48P</t>
  </si>
  <si>
    <t>Diederik Vismans</t>
  </si>
  <si>
    <t>Diederik</t>
  </si>
  <si>
    <t>Vismans</t>
  </si>
  <si>
    <t>Mr. Diederik Vismans serves as Managing Director &amp; Senior Partner at Boston Consulting Group. He has a major interest in helping clients leverage digital, data, and advanced analytics to stimulate revenue growth through digital marketing, personalization, targeted advertising, CRM and e-commerce.</t>
  </si>
  <si>
    <t>vismans.diederik@bcg.com</t>
  </si>
  <si>
    <t>455516-02P</t>
  </si>
  <si>
    <t>Dima Golovinski</t>
  </si>
  <si>
    <t>Dima</t>
  </si>
  <si>
    <t>Golovinski</t>
  </si>
  <si>
    <t>Mr. Dima Golovinski serves as Managing Director &amp; Partner at Boston Consulting Group. He is a core member of BCG's Industrial Goods practice with a focus on metals and mining, and significant experience in large-capex project management. He has worked with steelmakers and other metals and mining clients on large capital project management, including investment governance, delivery strategies, value engineering, commissioning, and operations readiness. He has also supported clients as they develop corporate strategies, conduct due diligence and large-scale reorganizations, and execute operations efficiency programs around the globe, including the US, Canada, Mexico, and Europe.</t>
  </si>
  <si>
    <t>golovinski.dima@bcg.com</t>
  </si>
  <si>
    <t>434834-20P</t>
  </si>
  <si>
    <t>Dima Pogorelsky</t>
  </si>
  <si>
    <t>Pogorelsky</t>
  </si>
  <si>
    <t>Mr. Dima Pogorelsky serves as Managing Director &amp; Partner at Boston Consulting Group. He has expertise in the development of project management system, supporting large capital projects at different stages in many topics including cost estimating, schedule management, risk assessment, contracting strategy, negotiation, and value engineering.</t>
  </si>
  <si>
    <t>pogorelsky.dima@bcg.com</t>
  </si>
  <si>
    <t>455426-47P</t>
  </si>
  <si>
    <t>Dimitrios Lagias</t>
  </si>
  <si>
    <t>Dimitrios</t>
  </si>
  <si>
    <t>Lagias</t>
  </si>
  <si>
    <t>Mr. Dimitrios Lagias serves as Managing Director &amp; Partner at Boston Consulting Group. He is a core member of the Financial Institutions practice at the firm, focusing on strategy, funding, capital markets, operations, and technology. His work with clients has included growth strategy and multi-year implementation for a government sponsored enterprise providing liquidity in mortgage lenders; the market entry strategy in niche lending and payments for a leading financial institution; strategic due diligence and negotiations support for a tech assets carve-out for a leading US student loan lender/servicer; and a large scale agile transformation of lending processes for a leading global development bank.</t>
  </si>
  <si>
    <t>lagias.dimitrios@bcg.com</t>
  </si>
  <si>
    <t>434946-52P</t>
  </si>
  <si>
    <t>Dirk Cohausz</t>
  </si>
  <si>
    <t>Cohausz</t>
  </si>
  <si>
    <t>Mr. Dirk Cohausz serves as Managing Director &amp; Partner at Boston Consulting Group. He has developed expertise in growth marketing and complex loyalty systems. He is an expert in sports tech and is committed to bringing fan engagement and community building in sports to the next level.</t>
  </si>
  <si>
    <t>cohausz.dirk@bcg.com</t>
  </si>
  <si>
    <t>276989-14P</t>
  </si>
  <si>
    <t>Dirk-Maarten Molenaar</t>
  </si>
  <si>
    <t>Dirk-Maarten</t>
  </si>
  <si>
    <t>Molenaar</t>
  </si>
  <si>
    <t>Mr. Dirk-Maarten Molenaar serves as Managing Director &amp; Senior Partner at Boston Consulting Group. He is a dedicated member of BCG's travel and tourism sector; a member of the global leadership team for the firm's travel and tourism sector; and a global topic leader for airline operations and airline organizations. Mr. Molenaar also serves as the official leader of the Amsterdam office.</t>
  </si>
  <si>
    <t>molenaar.dirk-maarten@bcg.com</t>
  </si>
  <si>
    <t>456117-40P</t>
  </si>
  <si>
    <t>Divya Gupta</t>
  </si>
  <si>
    <t>Ms. Divya Gupta serves as Partner &amp; Associate Director at Boston Consulting Group. She is a core member of the firm's People &amp; Organization practice and leads BCG U's upskilling and reskilling capability for clients on a transformative journey in India and the Middle East. She has led reskilling and upskilling programs across India and the Middle East for public and private sector clients in areas such as climate and sustainability, digital transformation, product management, procurement, and leadership development. Before joining the firm, she worked at NASSCOMM, where she was the founding team member and co-architect of the FutureSkills Prime initiative. Before that, she spent almost two decades at Intel Corporation.</t>
  </si>
  <si>
    <t>divya.gupta@bcg.com</t>
  </si>
  <si>
    <t>455403-61P</t>
  </si>
  <si>
    <t>Dominic Klemmer Ph.D</t>
  </si>
  <si>
    <t>Klemmer</t>
  </si>
  <si>
    <t>Dr. Dominic Klemmer serves as Managing Director &amp; Partner at Boston Consulting Group. He is a core member of the Consumer practice with a focus on Consumer Products, FMCG, and Fashion &amp; Luxury. He is also a member of the Transform practice and leads BCG's Corporate Finance &amp; Strategy business in Switzerland. He supports consumer goods clients mainly in the context of large-scale digital transformation projects with a strong focus on value creation and growth.</t>
  </si>
  <si>
    <t>klemmer.dominic@bcg.com</t>
  </si>
  <si>
    <t>435224-08P</t>
  </si>
  <si>
    <t>Dominic Veken</t>
  </si>
  <si>
    <t>Veken</t>
  </si>
  <si>
    <t>Mr. Dominic Veken serves as Managing Director &amp; Partner at Boston Consulting Group. He was Managing Partner and Head of Strategy at the creative agency Kolle Rebbe. Besides various other clients he advised Angela Merkel and the CDU on the campaign for the German federal elections in 2009.</t>
  </si>
  <si>
    <t>veken.dominic@bcg.com</t>
  </si>
  <si>
    <t>436200-94P</t>
  </si>
  <si>
    <t>Dominik Keupp</t>
  </si>
  <si>
    <t>Keupp</t>
  </si>
  <si>
    <t>Mr. Dominik Keupp serves as Managing Director &amp; Partner at Boston Consulting Group. He has worked extensively with a broad set of leading industrial goods, building materials, transportation, and logistics companies with a specific focus on large-scale transformation programs.</t>
  </si>
  <si>
    <t>keupp.dominik@bcg.com</t>
  </si>
  <si>
    <t>434820-61P</t>
  </si>
  <si>
    <t>Dominique Cina</t>
  </si>
  <si>
    <t>Dominique</t>
  </si>
  <si>
    <t>Cina</t>
  </si>
  <si>
    <t>Mr. Dominique Cina serves as Managing Director &amp; Partner at Boston Consulting Group. He is a core member of the Health Care practice at the firm and has worked with biopharma clients in Europe, North and South America, and Asia, on E2E supply chain transformations, manufacturing and operational excellence, and lean production system designs and deployments, among other things.</t>
  </si>
  <si>
    <t>cina.dominique@bcg.com</t>
  </si>
  <si>
    <t>436299-31P</t>
  </si>
  <si>
    <t>Donat Wunderlich</t>
  </si>
  <si>
    <t>Donat</t>
  </si>
  <si>
    <t>Wunderlich</t>
  </si>
  <si>
    <t>Mr. Donat Wunderlich serves as Partner &amp; Associate Director at Boston Consulting Group. He is an expert for the firm's zero-based budgeting work and a member of the large-scale change team.</t>
  </si>
  <si>
    <t>wunderlich.donat@bcg.com</t>
  </si>
  <si>
    <t>435207-16P</t>
  </si>
  <si>
    <t>Doug Peck</t>
  </si>
  <si>
    <t>Peck</t>
  </si>
  <si>
    <t>Mr. Doug Peck serves as Managing Director &amp; Partner at Boston Consulting Group. He has a broad mix of functional topic experience, including maintenance, repair, and overhaul (MRO), engineering, supply chain, organizational design, agile ways of working, digital, and strategy.</t>
  </si>
  <si>
    <t>doug.peck@bcg.com</t>
  </si>
  <si>
    <t>456647-41P</t>
  </si>
  <si>
    <t>Douglas Beal</t>
  </si>
  <si>
    <t>Beal</t>
  </si>
  <si>
    <t>Mr. Douglas Beal serves as Partner &amp; Director at Boston Consulting Group. He leads the firm's client work with financial institutions on sustainable finance and investing. Prior to his current role, he was the global head for economic development at the firm. He works with the firm's largest banking and insurance clients to look beyond corporate social responsibility to total societal impact, which integrates social impact as a source of business value. He also works with corporate and investment banks to build and grow sustainable finance across multiple product areas and sectors, including climate transition finance.</t>
  </si>
  <si>
    <t>beal.douglas@bcg.com</t>
  </si>
  <si>
    <t>273241-45P</t>
  </si>
  <si>
    <t>Douglas Hohner</t>
  </si>
  <si>
    <t>Hohner</t>
  </si>
  <si>
    <t>Mr. Douglas Hohner serves as Managing Director &amp; Senior Partner at Boston Consulting Group. He is a core member of the Industrial Goods and Marketing, Sales, and Pricing (MSP) practices, and he leads BCG's business serving business-to-business distributors. He leads a group of specialized partners and principals in working with a range of distribution clients to develop strategy and directly drive superior performance. Mr. Hohner serves as a Board Member at Tractor Zoom. Prior to joining BCG, he worked at Andersen Consulting in their advanced technologies group, working on applications of decision sciences to difficult business problems.</t>
  </si>
  <si>
    <t>hohner.doug@bcg.com</t>
  </si>
  <si>
    <t>435289-69P</t>
  </si>
  <si>
    <t>Drew Donovan</t>
  </si>
  <si>
    <t>Donovan</t>
  </si>
  <si>
    <t>Mr. Drew Donovan serves as Managing Director &amp; Senior Partner at Boston Consulting Group. He is a core member of the Consumer, and Marketing, Sales &amp; Pricing practice areas focusing on retail and distribution, with a functional expertise in sales.</t>
  </si>
  <si>
    <t>donovan.drew@bcg.com</t>
  </si>
  <si>
    <t>436696-66P</t>
  </si>
  <si>
    <t>Duncan Melville JD</t>
  </si>
  <si>
    <t>Melville</t>
  </si>
  <si>
    <t>Mr. Duncan Melville serves as Managing Director &amp; Partner at Boston Consulting Group. His client work focuses on all aspects of natural resources, including oil and gas, metals and mining, and utilities and infrastructure. He has experience in mined commodities including copper, gold, metallurgical coal, potash, and zinc.</t>
  </si>
  <si>
    <t>+1 (587) 441-1100</t>
  </si>
  <si>
    <t>melville.duncan@bcg.com</t>
  </si>
  <si>
    <t>Calgary</t>
  </si>
  <si>
    <t>Calgary, Canada</t>
  </si>
  <si>
    <t>525 8th Avenue South-West</t>
  </si>
  <si>
    <t>Suite 3150</t>
  </si>
  <si>
    <t>Alberta</t>
  </si>
  <si>
    <t>T2P 1G1</t>
  </si>
  <si>
    <t>+1 (587) 441-1101</t>
  </si>
  <si>
    <t>436216-24P</t>
  </si>
  <si>
    <t>Dusan Miljevic</t>
  </si>
  <si>
    <t>Dusan</t>
  </si>
  <si>
    <t>Miljevic</t>
  </si>
  <si>
    <t>Mr. Dusan Miljevic serves as Partner at Boston Consulting Group. He works with clients to unlock value through digital and data strategy, product design and build, large digital transformations, and next gen operating models.</t>
  </si>
  <si>
    <t>dusan.miljevic@bcg.com</t>
  </si>
  <si>
    <t>456629-59P</t>
  </si>
  <si>
    <t>Dustin Burke</t>
  </si>
  <si>
    <t>Dustin</t>
  </si>
  <si>
    <t>Mr. Dustin Burke serves as Managing Director &amp; Senior Partner at Boston Consulting Group. He is the firm's co-leader for manufacturing and supply chain. He leads BCG's Supply Chain AI team of digital supply chain specialists, building customized solutions to address clients' operations needs. He previously led BCG's transportation and logistics work in North America. His client work focuses on end-to-end supply chain transformations, digital supply chain, post-merger integration, and distribution, logistics, and cost optimization for consumer and industrial goods companies. He also advises carriers, infrastructure providers, and principal investors active in supply chain and logistics across transportation modes on operational and strategy topics.</t>
  </si>
  <si>
    <t>burke.dustin@bcg.com</t>
  </si>
  <si>
    <t>125409-07P</t>
  </si>
  <si>
    <t>Dutch MacDonald</t>
  </si>
  <si>
    <t>Dutch</t>
  </si>
  <si>
    <t>Mr. Dutch MacDonald serves as Strategic Advisor at Small Change. He serves as Managing Director &amp; Partner at Boston Consulting Group. He also served as President and Chief Executive Officer at MAYA Design. As president and CEO of MAYA Design, he leads a highly-skilled, interdisciplinary team that works at the intersection of complex, information-rich technology and human experience. He previously served as the company's chief operating officer for over 6 years. During his tenure, he established a strong track record of year-over-year growth, operational excellence, and client diversification, while also leading MAYA's Creative Environment consulting practice.</t>
  </si>
  <si>
    <t>dutch.macdonald@bcg.com</t>
  </si>
  <si>
    <t>455836-51P</t>
  </si>
  <si>
    <t>Dwight Hutchins</t>
  </si>
  <si>
    <t>Hutchins</t>
  </si>
  <si>
    <t>Mr. Dwight Hutchins serves as Managing Director &amp; Senior Partner at Boston Consulting Group. He is a senior member of the Marketing, Sales &amp; Pricing practice and the Center for Digital Government at the firm. Mr. Hutchins helps c-suite executives of global organizations improve enterprise performance by accelerating economic growth and enhancing customer engagement. He works with both major corporations and public agencies to identify and capture growth opportunities using advanced analytics to develop differentiated market insights and programs.</t>
  </si>
  <si>
    <t>hutchins.dwight@bcg.com</t>
  </si>
  <si>
    <t>282677-05P</t>
  </si>
  <si>
    <t>Dylan Bolden</t>
  </si>
  <si>
    <t>Bolden</t>
  </si>
  <si>
    <t>Mr. Dylan Bolden serves as Managing Director, Senior Partner and Chair, Functional Practices at Boston Consulting Group. He serves as a Board Member at Fishbrain. He has worked across a variety of industries and functions worldwide-focusing in retail, restaurants, travel and tourism, and consumer packaged goods. He helps clients establish sustainable growth strategies and significant competitive advantage.</t>
  </si>
  <si>
    <t>dylan@bcg.com</t>
  </si>
  <si>
    <t>Managing Director, Senior Partner &amp; Chair, Functional Practices</t>
  </si>
  <si>
    <t>435927-25P</t>
  </si>
  <si>
    <t>Mr. Dylan Bolden serves as Managing Director, Senior Partner &amp; Chair, Functional Practices at Boston Consulting Group. He is a core member of the Consumer and Marketing, Sales &amp; Pricing practices at BCG. He is also the co-creator and global topic coleader for BCG's Demand Centric Growth approach, heads the firm's Dallas office, serves on BCG's Partner Development Committee, and leads the firm's branding and loyalty topics globally. He helps clients establish sustainable growth strategies and a significant competitive advantage. Before joining BCG, Mr. Bolden was a consultant with Shell Oil.</t>
  </si>
  <si>
    <t>bolden.dylan@bcg.com</t>
  </si>
  <si>
    <t>435172-51P</t>
  </si>
  <si>
    <t>Eden Jones Ph.D</t>
  </si>
  <si>
    <t>Eden</t>
  </si>
  <si>
    <t>Mr. Eden Jones serves as Partner at Boston Consulting Group. He has worked with numerous businesses, governments, and non-profits to set their sustainability agendas, often with a particular emphasis on biodiversity.</t>
  </si>
  <si>
    <t>cottee-jones.eden@bcg.com</t>
  </si>
  <si>
    <t>456410-26P</t>
  </si>
  <si>
    <t>Edoardo Palmisani</t>
  </si>
  <si>
    <t>Edoardo</t>
  </si>
  <si>
    <t>Palmisani</t>
  </si>
  <si>
    <t>Mr. Edoardo Palmisani serves as Managing Director &amp; Partner at Boston Consulting Group. He leads the firm's Corporate Finance &amp; Strategy practice for the EMC (East Mediterranean and Caspian) region. He works with leading European clients on a wide range of topics, including fund strategy, investments, corporate strategy, shareholder value, capital management, CFO office and processes, company transformation, M&amp;A, partnership, post-merger integration, and new business launches. Before joining BCG, he worked in London for a leading investment bank and in the private equity sector.</t>
  </si>
  <si>
    <t>+39 06 4620 1011</t>
  </si>
  <si>
    <t>palmisani.edoardo@bcg.com</t>
  </si>
  <si>
    <t>Via Abruzzi 2/4</t>
  </si>
  <si>
    <t>00187</t>
  </si>
  <si>
    <t>+39 06 4620 1010</t>
  </si>
  <si>
    <t>435426-67P</t>
  </si>
  <si>
    <t>Eduard Pujol</t>
  </si>
  <si>
    <t>Eduard</t>
  </si>
  <si>
    <t>Pujol</t>
  </si>
  <si>
    <t>Mr. Eduard Pujol serves as Managing Director &amp; Partner at Boston Consulting Group. He has worked with clients in Europe and Latin America, focusing mainly on operational efficiency, corporate development, and digital transformation projects within the industrial goods and energy sectors. Prior to joining BCG, he worked as an internal auditor at Faurecia, a leading automotive supplier.</t>
  </si>
  <si>
    <t>pujol.eduard@bcg.com</t>
  </si>
  <si>
    <t>456589-54P</t>
  </si>
  <si>
    <t>Eduard Viladesau</t>
  </si>
  <si>
    <t>Viladesau</t>
  </si>
  <si>
    <t>Mr. Eduard Viladesau serves as Partner &amp; Associate Director at Boston Consulting Group. He is a core member of the Health Care and Operations practice areas, as well as the London Operations Center. He has significant pharmaceutical industry experience in large-scale transformations across the end-to-end (E2E) supply chain and site operations. Before joining the firm, he worked as a civil engineer at Europrincipia.</t>
  </si>
  <si>
    <t>viladesau.eduard@bcg.com</t>
  </si>
  <si>
    <t>436292-38P</t>
  </si>
  <si>
    <t>Eduardo Canabarro</t>
  </si>
  <si>
    <t>Eduardo</t>
  </si>
  <si>
    <t>Canabarro</t>
  </si>
  <si>
    <t>Mr. Eduardo Canabarro serves as Managing Director &amp; Partner at Boston Consulting Group. He specializes in working with automotive and mobility, industrial, and oil and gas clients on topics related to transformation, turnaround, go-to-market, and organization (delayering, workforce planning, corporate center restructuring, etc.).</t>
  </si>
  <si>
    <t>canabarro.eduardo@bcg.com</t>
  </si>
  <si>
    <t>435433-51P</t>
  </si>
  <si>
    <t>Eduardo Leone</t>
  </si>
  <si>
    <t>Leone</t>
  </si>
  <si>
    <t>Mr. Eduardo Leone serves as Managing Director &amp; Partner at Boston Consulting Group. He is an expert in digital transformation, operational efficiency, and corporate development, and has worked with many Consumer practice clients on revenue management, go-to-market, and sales force effectiveness.</t>
  </si>
  <si>
    <t>leone.eduardo@bcg.com</t>
  </si>
  <si>
    <t>374970-61P</t>
  </si>
  <si>
    <t>Edward Crouch JD</t>
  </si>
  <si>
    <t>Crouch</t>
  </si>
  <si>
    <t>Mr. Edward Crouch serves as Managing Director &amp; Senior Partner at Boston Consulting Group. Mr. Edward Crouch serves as Board Member at Players' Lounge. He also serves a broad set of travel distribution players, including global distribution systems, meta-search, travel management companies, and more traditional travel agencies.</t>
  </si>
  <si>
    <t>edward.crouch@bcg.com</t>
  </si>
  <si>
    <t>435079-27P</t>
  </si>
  <si>
    <t>Edward Zaayman Ph.D</t>
  </si>
  <si>
    <t>Zaayman</t>
  </si>
  <si>
    <t>Mr. Edward Zaayman serves as Partner &amp; Associate Director at Boston Consulting Group. He has served clients in oil and gas, electric power, renewables, hydrogen, and mining across Australia, Asia, Africa, Europe, and North America. Edward is a core member of the firm's Industrial Goods practice.</t>
  </si>
  <si>
    <t>zaayman.edward@bcg.com</t>
  </si>
  <si>
    <t>436118-14P</t>
  </si>
  <si>
    <t>Edwin Utama</t>
  </si>
  <si>
    <t>Utama</t>
  </si>
  <si>
    <t>Mr. Edwin Utama serves as Managing Director &amp; Senior Partner at Boston Consulting Group. He has worked with financial services and public-sector clients on strategy, organization, and operation improvement assignments and is a core member of the Financial Institutions and Public Sector practices.</t>
  </si>
  <si>
    <t>utama.edwin@bcg.com</t>
  </si>
  <si>
    <t>435543-85P</t>
  </si>
  <si>
    <t>Edzard Wesselink</t>
  </si>
  <si>
    <t>Edzard</t>
  </si>
  <si>
    <t>Wesselink</t>
  </si>
  <si>
    <t>Mr. Edzard Wesselink serves as Partner at Boston Consulting Group. He is an expert in risk and compliance (with a focus on non-financial risk), operational excellence, and operating model and organization design (including agile and new ways of working).</t>
  </si>
  <si>
    <t>wesselink.edzard@bcg.com</t>
  </si>
  <si>
    <t>306918-82P</t>
  </si>
  <si>
    <t>Eelke Kraak Ph.D</t>
  </si>
  <si>
    <t>Eelke</t>
  </si>
  <si>
    <t>Kraak</t>
  </si>
  <si>
    <t>Dr. Eelke P. Kraak serves as Managing Director &amp; Partner at Boston Consulting Group. He is a core member of the Energy practice and a member of the Corporate Development task force at Boston Consulting Group. He is currently recruiting director for BCG Amsterdam. He previously worked for BCG in Africa, South America, and the Middle East. Dr. Kraak works with utilities, oil and gas companies, and investors on topics related to climate, energy transition, and digital.</t>
  </si>
  <si>
    <t>eelke_kraak@bcg.com</t>
  </si>
  <si>
    <t>436153-51P</t>
  </si>
  <si>
    <t>Ekaterina Sycheva</t>
  </si>
  <si>
    <t>Ekaterina</t>
  </si>
  <si>
    <t>Sycheva</t>
  </si>
  <si>
    <t>Ms. Ekaterina Sycheva serves as Managing Director &amp; Partner at Boston Consulting Group. She has expertise in commercial excellence, customer centricity, go-to-market, post-merger integration, and large-scale change.</t>
  </si>
  <si>
    <t>sycheva.ekaterina@bcg.com</t>
  </si>
  <si>
    <t>455504-05P</t>
  </si>
  <si>
    <t>Ekaterina Timofeeva</t>
  </si>
  <si>
    <t>Timofeeva</t>
  </si>
  <si>
    <t>Ms. Ekaterina Timofeeva serves as Managing Director &amp; Partner at Boston Consulting Group. She is a core member of the firm's Health Care and People &amp; Organization practices. She is a health care specialist with a focus on health care providers and pharma. Her functional expertise lies in people and organization topics. Prior to joining BCG, she worked for two years in the strategy department of an industrial goods company.</t>
  </si>
  <si>
    <t>kt@bcg.com</t>
  </si>
  <si>
    <t>436158-37P</t>
  </si>
  <si>
    <t>Elia Tziambazis</t>
  </si>
  <si>
    <t>Elia</t>
  </si>
  <si>
    <t>Tziambazis</t>
  </si>
  <si>
    <t>Mr. Elia Tziambazis serves as Managing Director &amp; Partner at Boston Consulting Group. His work with pharmaceutical and medtech companies has included climate and sustainability, manufacturing and supply chain, procurement, working capital optimization, and transformation (including post-merger integration.</t>
  </si>
  <si>
    <t>tziambazis.elia@bcg.com</t>
  </si>
  <si>
    <t>435770-47P</t>
  </si>
  <si>
    <t>Elias Baltassis</t>
  </si>
  <si>
    <t>Elias</t>
  </si>
  <si>
    <t>Baltassis</t>
  </si>
  <si>
    <t>Mr. Elias Baltassis serves as Partner &amp; Director at Boston Consulting Group. He leads analytics and AI projects across many industries and functions, and regularly works in areas such as data strategy, data governance, and data regulation. He works with clients in several European countries and the US.</t>
  </si>
  <si>
    <t>elias.baltassis@bcg.com</t>
  </si>
  <si>
    <t>291512-44P</t>
  </si>
  <si>
    <t>Elisa Crotti</t>
  </si>
  <si>
    <t>Elisa</t>
  </si>
  <si>
    <t>Crotti</t>
  </si>
  <si>
    <t>Mr. Elisa Crotti serves as Managing Director &amp; Partner at Boston Consulting Group.</t>
  </si>
  <si>
    <t>elisa-crotti@bcg.com</t>
  </si>
  <si>
    <t>435627-73P</t>
  </si>
  <si>
    <t>Elizabeth Lyle</t>
  </si>
  <si>
    <t>Lyle</t>
  </si>
  <si>
    <t>Ms. Elizabeth Lyle serves as Managing Director &amp; Partner at Boston Consulting Group. She focuses on preparing leaders, talent, and organizations for a rapidly evolving future through culture, leadership, and operating model transformation, as well as through programmatic digital capability-building to address organizations' upskilling and reskilling needs. She is a core member of the firm's People &amp; Organization practice and a member of BCG U's leadership team. She is also a founding member of BCG's Leadership &amp; Talent Enablement Center in North America.</t>
  </si>
  <si>
    <t>e-l@bcg.com</t>
  </si>
  <si>
    <t>435658-96P</t>
  </si>
  <si>
    <t>Elliot Vaughn</t>
  </si>
  <si>
    <t>Elliot</t>
  </si>
  <si>
    <t>Mr. Elliot Vaughn serves as Managing Director &amp; Senior Partner at Boston Consulting Group. He has concentrated his client work in health care with a particular focus on organization transformation and manufacturing and supply chain. He is a core member of the Health Care, Operations, and People &amp; Organization practices at the firm. Prior to joining BCG, he worked for five years as a public affairs consultant serving clients across a range of industries.</t>
  </si>
  <si>
    <t>elliot@bcg.com</t>
  </si>
  <si>
    <t>455804-02P</t>
  </si>
  <si>
    <t>Emanuele Costa</t>
  </si>
  <si>
    <t>Costa</t>
  </si>
  <si>
    <t>Mr. Emanuele Costa serves as Partner &amp; Director at Boston Consulting Group. He is a core member of the firm's Insurance practice. He has worked on both Italian and international cases, mainly in BCG's Financial Services and Insurance practices. He has broad experience in corporate growth strategies, organization, and restructuring plans, often working with leading multinational financial groups. At BCG, he tends to focus on insurance, including claims, commercial insurance, reinsurance, direct insurance, and "bancassurance," as well as on banking, including credit cards, payment systems, retail banking, and consumer finance. Before joining BCG, he was an analyst for the Italian development team of a large US power utility. He also completed an internship at a producer of high-end computers in Orlando, Florida.</t>
  </si>
  <si>
    <t>costa.emanuele@bcg.com</t>
  </si>
  <si>
    <t>436342-87P</t>
  </si>
  <si>
    <t>Emil Stamp</t>
  </si>
  <si>
    <t>Emil</t>
  </si>
  <si>
    <t>Stamp</t>
  </si>
  <si>
    <t>Mr. Emil Stamp serves as Managing Director &amp; Partner at Boston Consulting Group. He works mostly on large-scale transformation, growth strategy, transactions (including due diligence and vendor due diligence), full potential plans, and integration support.</t>
  </si>
  <si>
    <t>stamp.emil@bcg.com</t>
  </si>
  <si>
    <t>456028-12P</t>
  </si>
  <si>
    <t>Emile Detry</t>
  </si>
  <si>
    <t>Emile</t>
  </si>
  <si>
    <t>Detry</t>
  </si>
  <si>
    <t>Mr. Emile Detry serves as Managing Director &amp; Partner at Boston Consulting Group. As a core member of BCG's Industrial Goods practice, he focuses on strategic design and operational improvement projects across Africa for industrial goods and commodity products clients, as well as those in transportation and logistics. He is a specialist in heavy industries and raw materials such as mining and metallurgy, chemistry, and construction materials. He helps clients define and implement growth strategies while leading operational and digital transformations focused on critical challenges such as energy transition, industrial decarbonization, and renewable energy, with a particular emphasis on green hydrogen technologies. Before joining BCG, he was a Senior Manager at Ykems and a consultant at Bearing Point.</t>
  </si>
  <si>
    <t>detry.emile@bcg.com</t>
  </si>
  <si>
    <t>455628-25P</t>
  </si>
  <si>
    <t>Emile Salhab</t>
  </si>
  <si>
    <t>Salhab</t>
  </si>
  <si>
    <t>Mr. Emile Salhab serves as Managing Director &amp; Partner at Boston Consulting Group. He is a member of the firm's Health Care practice. He leads primarily provider, payer, and health systems projects. He has worked with public and private clients in North America and the Middle East. Within health care, he has functional expertise in strategic planning, service line optimization, health system governance, privatization, mergers and acquisitions, greenfield hospital implementations, and large-scale transformations. Before joining the firm, he worked in research and development for the design of innovative automated anesthesia devices.</t>
  </si>
  <si>
    <t>emile.salhab@bcg.com</t>
  </si>
  <si>
    <t>435208-42P</t>
  </si>
  <si>
    <t>Emily Kos</t>
  </si>
  <si>
    <t>Kos</t>
  </si>
  <si>
    <t>Ms. Emily Kos serves as Managing Director &amp; Partner at Boston Consulting Group. She is experienced in large-scale change management, strategic organization design, capability building, agile implementation, and post-merger integration.</t>
  </si>
  <si>
    <t>kos.emily@bcg.com</t>
  </si>
  <si>
    <t>435944-17P</t>
  </si>
  <si>
    <t>Emir Pandır</t>
  </si>
  <si>
    <t>Emir</t>
  </si>
  <si>
    <t>Pandır</t>
  </si>
  <si>
    <t>Mr. Emir Pandır serves as Managing Director &amp; Partner at Boston Consulting Group. He is a core member of the Financial Institutions, Strategy, Corporate Development, and People &amp; Organization practices.</t>
  </si>
  <si>
    <t>pandir.emir@bcg.com</t>
  </si>
  <si>
    <t>455720-23P</t>
  </si>
  <si>
    <t>Emmanuel Austruy</t>
  </si>
  <si>
    <t>Emmanuel</t>
  </si>
  <si>
    <t>Austruy</t>
  </si>
  <si>
    <t>Mr. Emmanuel Austruy serves as Managing Director &amp; Partner at Boston Consulting Group. He is a core member of both the Energy and Principal Investors &amp; Private Equity (PIPE) practices at the firm. He is an expert on energy and environment topics, including power and gas, water and waste, and energy services. He also leads the firm's work on hydrogen for the Paris office. With a background in electrical engineering, he serves leading global energy and utilities companies, as well as smaller local energy players, on strategy and performance projects. He has worked with many private equity and infrastructure funds on transaction due diligence and post-deal projects (growth strategies, sales excellence, cost excellence).</t>
  </si>
  <si>
    <t>austruy.emmanuel@bcg.com</t>
  </si>
  <si>
    <t>435917-89P</t>
  </si>
  <si>
    <t>Emmanuel Ricolfi</t>
  </si>
  <si>
    <t>Ricolfi</t>
  </si>
  <si>
    <t>Mr. Emmanuel Ricolfi serves as Managing Director &amp; Partner at Boston Consulting Group. He is a core member of the Energy and Operations practice areas at BCG with significant experience in upstream oil and gas. He is the North America leader for the decommissioning topic (Gulf of Mexico and US onshore).</t>
  </si>
  <si>
    <t>ricolfi.emmanuel@bcg.com</t>
  </si>
  <si>
    <t>435315-25P</t>
  </si>
  <si>
    <t>Emmanuel Sissimatos Ph.D</t>
  </si>
  <si>
    <t>Sissimatos</t>
  </si>
  <si>
    <t>Mr. Emmanuel Sissimatos serves as Managing Director &amp; Senior Partner at Boston Consulting Group. He is the global lead for Services &amp; Support Operations within BCG's Operations practice, and a core member of the firm's Industrial Goods, Operations, People &amp; Organization, and Corporate Finance &amp; Strategy practices. He spent a year as a BCG Ambassador in the Washington, DC office.</t>
  </si>
  <si>
    <t>sissimatos.emmanuel@bcg.com</t>
  </si>
  <si>
    <t>456007-51P</t>
  </si>
  <si>
    <t>Enes Oelcer</t>
  </si>
  <si>
    <t>Enes</t>
  </si>
  <si>
    <t>Oelcer</t>
  </si>
  <si>
    <t>Mr. Enes Oelcer serves as Managing Director &amp; Partner at Boston Consulting Group. He is an expert in large-scale transformation and a core member of BCG TURN, the firm's transformation and turnaround practice. He is also a core member of BCG's Operations practice. He focuses on performance improvement programs both at multinational corporations and private equity portfolio companies, covering topics such as holistic cost transformation, procurement transformation, zero-based budgeting, and PMI. Prior to joining BCG, he was a Director at AlixPartners, where he spent five years delivering operational improvement programs, including major procurement transformations. Prior to that, he was a Principal at Efficio Consulting.</t>
  </si>
  <si>
    <t>oelcer.enes@bcg.com</t>
  </si>
  <si>
    <t>455275-72P</t>
  </si>
  <si>
    <t>Enrico Tanduo</t>
  </si>
  <si>
    <t>Tanduo</t>
  </si>
  <si>
    <t>Mr. Enrico Tanduo serves as Managing Director &amp; Partner at Boston Consulting Group. He is a core member of the firm's Corporate Finance &amp; Strategy practice. He works with financial institutions, sovereign wealth funds, and large corporates.</t>
  </si>
  <si>
    <t>tanduo.enrico@bcg.com</t>
  </si>
  <si>
    <t>455725-81P</t>
  </si>
  <si>
    <t>Eran Koren</t>
  </si>
  <si>
    <t>Eran</t>
  </si>
  <si>
    <t>Koren</t>
  </si>
  <si>
    <t>Mr. Eran Koren serves as Managing Director &amp; Partner at Boston Consulting Group. He is a core member of the firm's Public Sector practice, and a leader for BCG's work in large-scale change. He mainly works on developing growth and transformation strategies for global companies, mostly consumer packaged goods and retail players. Prior to joining BCG, he worked as an advisor at PricewaterhouseCoopers. He served as a combat officer in the Israeli Defense Force, and worked as a combat instructor for the Israeli parliament guard. He is a Certified Public Accountant.</t>
  </si>
  <si>
    <t>eran.koren@bcg.com</t>
  </si>
  <si>
    <t>435838-60P</t>
  </si>
  <si>
    <t>Eric Boudier</t>
  </si>
  <si>
    <t>Boudier</t>
  </si>
  <si>
    <t>Mr. Eric Boudier serves as Managing Director &amp; Senior Partner at Boston Consulting Group. He is the global head of Commodity Optimization and Trading sector, and a member of Energy Practice leadership team.</t>
  </si>
  <si>
    <t>boudier.eric@bcg.com</t>
  </si>
  <si>
    <t>17449-57P</t>
  </si>
  <si>
    <t>Eric Ellul</t>
  </si>
  <si>
    <t>Ellul</t>
  </si>
  <si>
    <t>Mr. Eric Ellul serves as Senior Advisor at Boston Consulting Group. He also serves as Vice Chair of the Board and Chair of the Audit and Risks Committee at Cerba HealthCare. Since joining BCG in 1984, he has focused his client work, particularly on the private-equity sector, where he has had direct responsibility for a number of global accounts. He has acquired deep expertise in procurement, complexity reduction, and overhead cost reduction.</t>
  </si>
  <si>
    <t>ellul.eric@bcg.com</t>
  </si>
  <si>
    <t>455855-41P</t>
  </si>
  <si>
    <t>Eric Fournier</t>
  </si>
  <si>
    <t>Fournier</t>
  </si>
  <si>
    <t>Mr. Eric Fournier serves as Partner &amp; Associate Director at Boston Consulting Group. He is a member of the firm's Industrial Goods and People &amp; Organization practices. He specializes in agile for engineered products and engineering performance uplifts. He works mostly for large players in aerospace and defense, automotive, and utilities. Before joining the firm, he worked at Roland Berger. He has worked in France, Morocco, Germany, Nigeria, the US, China, Hong Kong, Spain, Switzerland, the Netherlands, and Dubai. He is a certified Black Belt Lean Six Sigma, Scrum Master, and Product Owner.</t>
  </si>
  <si>
    <t>fournier.eric@bcg.com</t>
  </si>
  <si>
    <t>456123-07P</t>
  </si>
  <si>
    <t>Eric Jesse Ph.D</t>
  </si>
  <si>
    <t>Dr. Eric Jesse serves as Managing Director &amp; Partner at Boston Consulting Group. He is a core member of the firm's Marketing, Sales &amp; Pricing and Industrial Goods practices, supporting automotive and aerospace original equipment manufacturers (OEMs) and suppliers. He focuses on creating digital solutions for industrial goods clients, thereby unlocking significant value. His recent projects include growth strategy (roadmap and business case), portfolio design and optimization, due diligence, M&amp;A integration planning, and digital product builds. He also has experience working with clients on omnichannel architecture and journey design, and GenAI and machine learning applications. Prior to coming to BCG, he spent eight years in the United States Air Force.</t>
  </si>
  <si>
    <t>eric.jesse@bcg.com</t>
  </si>
  <si>
    <t>434998-81P</t>
  </si>
  <si>
    <t>Eric Li</t>
  </si>
  <si>
    <t>Li</t>
  </si>
  <si>
    <t>Mr. Eric Li serves as Managing Director &amp; Partner at Boston Consulting Group. He has worked extensively with clients along the entire automotive value chain, including upstream tier one companies, OEMs, and downstream dealer groups.</t>
  </si>
  <si>
    <t>li.eric@bcg.com</t>
  </si>
  <si>
    <t>435005-47P</t>
  </si>
  <si>
    <t>Eric Sparks</t>
  </si>
  <si>
    <t>Sparks</t>
  </si>
  <si>
    <t>Mr. Eric Sparks serves as Managing Director &amp; Partner at Boston Consulting Group. He is a core member of the firm's Industrial Goods practice specializing in aerospace and defense, infrastructure/transportation, and social impact cases. Eric's primary focus is delivering large-scale transformations across MRO (maintenance, repair, and overhaul) systems. He has considerable expertise in process-based operations improvements.</t>
  </si>
  <si>
    <t>sparks.eric@bcg.com</t>
  </si>
  <si>
    <t>456226-57P</t>
  </si>
  <si>
    <t>Eric Sullivan</t>
  </si>
  <si>
    <t>Sullivan</t>
  </si>
  <si>
    <t>Mr. Eric Sullivan serves as Managing Director &amp; Partner at Boston Consulting Group. He is a core member of the firm's Public Sector and Travel, Cities &amp; Infrastructure practices. He primarily supports clients in the infrastructure and transportation industries, including private sector corporations, crown corporations, and governments. He has deep experience leading strategy definition and planning efforts, as well as leading larger operating model transformation programs to drive lasting change at scale across a variety of functional topics, including sourcing and procurement, organizational effectiveness, and cost excellence.</t>
  </si>
  <si>
    <t>sullivan.eric@bcg.com</t>
  </si>
  <si>
    <t>435511-72P</t>
  </si>
  <si>
    <t>Eric Wick</t>
  </si>
  <si>
    <t>Wick</t>
  </si>
  <si>
    <t>Mr. Eric Wick serves as Managing Director &amp; Senior Partner at Boston Consulting Group. He is passionate about helping ambitious companies through transformative change, simultaneously building winning positions, nurturing a high-performance culture, and delivering sustained and superior total shareholder returns.</t>
  </si>
  <si>
    <t>wick.eric@bcg.com</t>
  </si>
  <si>
    <t>435215-26P</t>
  </si>
  <si>
    <t>Erik Adams</t>
  </si>
  <si>
    <t>Mr. Erik Adams serves as Managing Director &amp; Partner at Boston Consulting Group. He has project experience in commercial and go-to-market strategy, strategic planning, business unit strategy, digital enablement, organization design, post-merger integration, procurement excellence, shared services, and shareholder return optimization.</t>
  </si>
  <si>
    <t>adams.erik@bcg.com</t>
  </si>
  <si>
    <t>455585-95P</t>
  </si>
  <si>
    <t>Erik Dufva</t>
  </si>
  <si>
    <t>Dufva</t>
  </si>
  <si>
    <t>Mr. Erik Dufva serves as Managing Director &amp; Partner at Boston Consulting Group. He leads the firm's Industrial Goods practice in Sweden and spends the majority of his time working with engineered products companies specializing in B2B and B2C transactions. He has expertise in many digital topics and has led two digital business builds, in Europe and China. He is also active in the Operations practice at the firm. He works with his clients on strategy topics such as digital strategy, growth, and M&amp;A, and also hands-on operational topics including supply chain optimization, new product development, sales force efficiency, and running new business operations-often with a digital aspect-to drive change.</t>
  </si>
  <si>
    <t>dufva.erik@bcg.com</t>
  </si>
  <si>
    <t>436121-56P</t>
  </si>
  <si>
    <t>Erik Ekevall</t>
  </si>
  <si>
    <t>Ekevall</t>
  </si>
  <si>
    <t>Mr. Erik Ekevall serves as Managing Director &amp; Partner at Boston Consulting Group. He is an expert with BCG TURN, which helps clients deliver rapid, visible performance improvements in the short term while strengthening their organizations and positioning them to win in the future.</t>
  </si>
  <si>
    <t>ekevall.erik@bcg.com</t>
  </si>
  <si>
    <t>435629-80P</t>
  </si>
  <si>
    <t>Erik Lenhard Ph.D</t>
  </si>
  <si>
    <t>Lenhard</t>
  </si>
  <si>
    <t>Mr. Erik Lenhard serves as Partner &amp; Director, Enterprise Agility at Boston Consulting Group. He has deep knowledge and experience in agile software development, agile organizational design, agile transformation and information management.</t>
  </si>
  <si>
    <t>lenhard.erik@bcg.com</t>
  </si>
  <si>
    <t>Partner &amp; Director, Enterprise Agility</t>
  </si>
  <si>
    <t>455468-68P</t>
  </si>
  <si>
    <t>Erik Surtevall</t>
  </si>
  <si>
    <t>Surtevall</t>
  </si>
  <si>
    <t>Mr. Erik Surtevall serves as Managing Director &amp; Partner at Boston Consulting Group. He is a core member of the Health Care and Principal Investors &amp; Private Equity practices at the firm. He serves as the regional leader for BCG's work in medical technologies (MedTech) in Europe, the Middle East, South America, and Africa. He works with a broad range of clients in the health care industry, including companies in medical equipment and devices, in vitro diagnostics, and life science tools. His work is focused on growth strategy, innovation, operational improvement programs, and M&amp;A. Mr. Surtevall also advises private equity clients on buy-side, sell-side, and portfolio company optimizations.</t>
  </si>
  <si>
    <t>surtevall.erik@bcg.com</t>
  </si>
  <si>
    <t>435547-63P</t>
  </si>
  <si>
    <t>Erin George</t>
  </si>
  <si>
    <t>Ms. Erin George serves as Managing Director &amp; Senior Partner at Boston Consulting Group. She specializes in holistic retail transformations including consumer insights, branding strategy and positioning, customer experience, change management, and cost optimization.</t>
  </si>
  <si>
    <t>erin.george@bcg.com</t>
  </si>
  <si>
    <t>436424-41P</t>
  </si>
  <si>
    <t>Erin White</t>
  </si>
  <si>
    <t>Ms. Erin White serves as Managing Director &amp; Partner at Boston Consulting Group. Her main areas of focus are transformation/growth strategy, category management, and merchandise planning across retail categories, with a variety of companies including fashion and luxury (department stores and specialty apparel), supermarkets, electronics, and home improvement.</t>
  </si>
  <si>
    <t>white.erin@bcg.com</t>
  </si>
  <si>
    <t>435911-95P</t>
  </si>
  <si>
    <t>Eriola Beetz</t>
  </si>
  <si>
    <t>Eriola</t>
  </si>
  <si>
    <t>Beetz</t>
  </si>
  <si>
    <t>Ms. Eriola Beetz serves as Managing Director &amp; Partner at Boston Consulting Group. She is an expert in climate advisory and leads the Europe, Middle East, South America region's Climate &amp; Sustainability practice for financial institutions.</t>
  </si>
  <si>
    <t>beetz.eriola@bcg.com</t>
  </si>
  <si>
    <t>435966-58P</t>
  </si>
  <si>
    <t>Ernest Saudjana</t>
  </si>
  <si>
    <t>Ernest</t>
  </si>
  <si>
    <t>Saudjana</t>
  </si>
  <si>
    <t>Mr. Ernest Saudjana serves as Managing Director &amp; Senior Partner at Boston Consulting Group. He has worked with major institutions, technology attackers, and regulators in Southeast Asia and the US. His work covers strategy, corporate-wide transformation, and new business build, and has driven significant impact and innovation in the financial services industry throughout Asia Pacific and beyond.</t>
  </si>
  <si>
    <t>saudjana.ernest@bcg.com</t>
  </si>
  <si>
    <t>456518-62P</t>
  </si>
  <si>
    <t>Ernesto Pagano</t>
  </si>
  <si>
    <t>Pagano</t>
  </si>
  <si>
    <t>Mr. Ernesto Pagano serves as Managing Director &amp; Senior Partner at Boston Consulting Group. He is a core member of the Technology, Media &amp; Telecommunication practice at the firm and leads the firm's media work globally. He has deep experience in media (with a focus on gaming, video, publishing, sports, and entertainment), information services, and education/upskilling. Prior to joining BCG, he was an investment banker with Merrill Lynch in London and Hong Kong, as part of the mergers and acquisitions team. He also co-founded a startup to connect and match students interested in studying abroad with universities.</t>
  </si>
  <si>
    <t>ernesto.pagano@bcg.com</t>
  </si>
  <si>
    <t>436123-72P</t>
  </si>
  <si>
    <t>Ernesto Wandeler Ph.D</t>
  </si>
  <si>
    <t>Wandeler</t>
  </si>
  <si>
    <t>Mr. Ernesto Wandeler serves as Managing Director &amp; Partner at Boston Consulting Group. He leads BCG's Global Center for High-Stakes Auctions and Tenders, as well as BCG's TMT practice in Central Europe.</t>
  </si>
  <si>
    <t>wandeler.ernesto@bcg.com</t>
  </si>
  <si>
    <t>434962-27P</t>
  </si>
  <si>
    <t>Erwin Dirnberger Ph.D</t>
  </si>
  <si>
    <t>Erwin</t>
  </si>
  <si>
    <t>Dirnberger</t>
  </si>
  <si>
    <t>Mr. Erwin Dirnberger serves as Partner &amp; Associate Director at Boston Consulting Group. He is a core member of the firm's Insurance and Technology Advantage practices, with a focus on digital in insurance. He leads digital transformation cases, specializing in end-to-end digital customer journey, agile at scale, bionic operations, and service excellence in operations.</t>
  </si>
  <si>
    <t>dirnberger.erwin@bcg.com</t>
  </si>
  <si>
    <t>389097-37P</t>
  </si>
  <si>
    <t>Esben Hegnsholt</t>
  </si>
  <si>
    <t>Esben</t>
  </si>
  <si>
    <t>Hegnsholt</t>
  </si>
  <si>
    <t>Mr. Esben Hegnsholt serves as Managing Director &amp; Senior Partner at Boston Consulting Group. He is a member of the firm's Climate &amp; Sustainability practice in the Nordics serving clients on decarbonization and sustainable business strategies across industries. He works with teams and serves clients across five continents. Functionally, he covers strategy-led business transformation, organization, and end-to-end M&amp;A.</t>
  </si>
  <si>
    <t>hegnsholt.esben@bcg.com</t>
  </si>
  <si>
    <t>456712-39P</t>
  </si>
  <si>
    <t>Ethan Choi</t>
  </si>
  <si>
    <t>Ethan</t>
  </si>
  <si>
    <t>Mr. Ethan Choi serves as Managing Director &amp; Senior Partner at Boston Consulting Group. He is a core member of the Strategy and Technology, Media &amp; Telecommunications practices at the firm and is also a member of the Corporate Development and Marketing, Sales &amp; Pricing practices. He leads BCG's TMT practice in Asia-Pacific. He advises clients across an array of industries, including financial services, consumer electronics, semiconductors, telecommunications, media, and industrial goods. Prior to joining BCG, he worked as a systems analyst with LG-EDS Systems.</t>
  </si>
  <si>
    <t>choi.ethan@bcg.com</t>
  </si>
  <si>
    <t>455897-35P</t>
  </si>
  <si>
    <t>Ethan Dabbs</t>
  </si>
  <si>
    <t>Dabbs</t>
  </si>
  <si>
    <t>Mr. Ethan Dabbs serves as Managing Director &amp; Senior Partner at Boston Consulting Group. As a core member of the Health Care practice, he leads the firm's biopharma work in North America. In addition, he serves as the firm's Northeast System lead. He is an expert in biopharma strategy and operations, including commercialization, marketing, positioning, segmentation, product launch, market access and pricing, field force effectiveness, clinical operations, medical affairs, and field-based medicine. He has extensive experience in over 20 disease categories, including oncology, cell and gene therapy, hematology, rare disease, inflammation, immunology, CV, neurology, and respiratory disease. He co-leads the BCG Medical Roundtable. Prior to joining BCG, he was a Director at PwC and a Senior Strategist at Agency.com, a full-line digital agency.</t>
  </si>
  <si>
    <t>dabbs.ethan@bcg.com</t>
  </si>
  <si>
    <t>455945-05P</t>
  </si>
  <si>
    <t>Etugo Nwokah</t>
  </si>
  <si>
    <t>Etugo</t>
  </si>
  <si>
    <t>Nwokah</t>
  </si>
  <si>
    <t>Mr. Etugo Nwokah serves as Managing Director &amp; Partner at Boston Consulting Group. He is a member of BCG X and a core member of BCG's Health Care practice and digital lead for PPSS (Payers, Providers, Services, and Systems). He also co-leads the Digital Front Door team. He is an expert in product management, operations, and business strategy, and has experience working with Fortune 500 businesses and growth-stage companies. Before joining BCG, he was Chief Product Officer at WellMatch, Senior Vice President of Product Management at Zipari, and Senior Vice President of Product Management at Capital Rx.</t>
  </si>
  <si>
    <t>nwokah.etugo@bcg.com</t>
  </si>
  <si>
    <t>435555-91P</t>
  </si>
  <si>
    <t>Evelien Dupont</t>
  </si>
  <si>
    <t>Evelien</t>
  </si>
  <si>
    <t>Dupont</t>
  </si>
  <si>
    <t>Ms. Evelien Dupont serves as Managing Director &amp; Partner at Boston Consulting Group. She focuses on social impact work and leads the Social Impact practice's flagship project with the Rwanda Development Board, designing and implementing a novel model to attract private sector investments to accelerate economic growth.</t>
  </si>
  <si>
    <t>dupont.evelien@bcg.com</t>
  </si>
  <si>
    <t>456774-22P</t>
  </si>
  <si>
    <t>Fabian Klinz</t>
  </si>
  <si>
    <t>Klinz</t>
  </si>
  <si>
    <t>Mr. Fabian Klinz serves as Managing Director &amp; Partner at Boston Consulting Group. He is a core member of the Principal Investors and Private Equity (PIPE) practice area at BCG. He specializes in transaction support (buy- and sell-side commercial due diligence, strategy, equity story) for leading financial investors and works with portfolio companies on full potential programs, growth strategy, and post-acquisition strategy. His primary industry focus is on industrial goods and technology.</t>
  </si>
  <si>
    <t>klinz.fabian@bcg.com</t>
  </si>
  <si>
    <t>414162-28P</t>
  </si>
  <si>
    <t>Fabian Uhrich Ph.D</t>
  </si>
  <si>
    <t>Uhrich</t>
  </si>
  <si>
    <t>Dr. Fabian Uhrich serves as Partner &amp; Associate Director at Boston Consulting Group. Dr. Fabian Uhrich serves as Chief Product Officer at QuickLizard. Dr. Uhrich serves as an Executive at Kurt &amp; Friends Ventures. He works as Head of Pricing for the zooplus AG - Europe's leading online pet shop. Before joining Zooplus he led more than 20 Projects for the Boston Consulting Group for the Marketing, Sales and Pricing practice in the consumer goods and B2B industry, for telcos, media, high-tech and IT clients. He is responsible for the company's pricing strategy, ensuring that maximum value is generated for clients both today and in the future. With an extensive background in pricing, Dr. Uhrich brings valuable experience from his previous roles, including serving as a Partner and global expert in pricing at the Boston Consulting Group. Additionally, Dr. Uhrich has held the position of Head of Pricing &amp; Online Marketing at Zooplus, Europe's largest online pet supplies shop. Dr. Uhrich holds a PhD in behavioural pricing from TU Munich and remains actively engaged in research as a resident guest lecturer at ETH Zurich.</t>
  </si>
  <si>
    <t>uhrich.fabian@bcg.com</t>
  </si>
  <si>
    <t>436126-24P</t>
  </si>
  <si>
    <t>Fabien Hassan</t>
  </si>
  <si>
    <t>Fabien</t>
  </si>
  <si>
    <t>Mr. Fabien Hassan serves as Partner at Boston Consulting Group. In 2017-2018, he was an Ambassador with the Strategy Lab of the BCG Henderson Institute in New York, exploring topics such as sustainability, long-term orientation of companies, corporate vitality, and digital transformation.</t>
  </si>
  <si>
    <t>hassan.fabien@bcg.com</t>
  </si>
  <si>
    <t>455813-11P</t>
  </si>
  <si>
    <t>Fabio Fattori</t>
  </si>
  <si>
    <t>Fattori</t>
  </si>
  <si>
    <t>Mr. Fabio Fattori serves as Partner &amp; Associate Director at Boston Consulting Group. He is a member of the Industrial Goods practice, specializing in manufacturing and Industry 4.0. At BCG, he has led lean transformations of manufacturing plants; redesigned supply chain processes for several industrial goods, fast-moving consumer goods (FMCG), and durable goods companies; and redefined the supplier operations models for a furniture company. Prior to joining BCG, he worked for a Japanese consulting boutique with a focus on lean supply chain and lean manufacturing.</t>
  </si>
  <si>
    <t>fattori.fabio@bcg.com</t>
  </si>
  <si>
    <t>435275-56P</t>
  </si>
  <si>
    <t>Fabio Pan</t>
  </si>
  <si>
    <t>Pan</t>
  </si>
  <si>
    <t>Mr. Fabio Pan serves as Managing Director &amp; Senior Partner at Boston Consulting Group. He leads Aerospace &amp; Defense in Europe, the Middle East, and Africa, and is a core member of the Industrial Goods practice focused on automotive clients.</t>
  </si>
  <si>
    <t>435609-37P</t>
  </si>
  <si>
    <t>Fabrizio Pessina</t>
  </si>
  <si>
    <t>Pessina</t>
  </si>
  <si>
    <t>Mr. Fabrizio Pessina serves as Managing Director &amp; Senior Partner at Boston Consulting Group. He specializes in IT, digital operations, transformations, and cyber security, working for public and private companies in Italy and Europe. He has experience in data and digital platforms, Agile@Scale, all aspects of IT and OPS strategy, and Next Generali Technology Function.</t>
  </si>
  <si>
    <t>pessina.fabrizio@bcg.com</t>
  </si>
  <si>
    <t>455284-72P</t>
  </si>
  <si>
    <t>Faisal Hamady</t>
  </si>
  <si>
    <t>Faisal</t>
  </si>
  <si>
    <t>Hamady</t>
  </si>
  <si>
    <t>Mr. Faisal Hamady serves as Managing Director &amp; Partner at Boston Consulting Group. He is a core member of the Technology, Media &amp; Telecommunications (TMT) practice at the firm. He is experienced in corporate transformations, go-to-market approaches, and growth strategies (especially in the cyber-tech and telco spaces) across several international markets, including the UK, the Czech Republic, Indonesia, the US, and the Middle East. Before joining the firm, he was a platform engineer at Intel Corporation. He also cofounded Bringo, a digital retail startup.</t>
  </si>
  <si>
    <t>hamady.faisal@bcg.com</t>
  </si>
  <si>
    <t>455721-22P</t>
  </si>
  <si>
    <t>Faizul Ali</t>
  </si>
  <si>
    <t>Faizul</t>
  </si>
  <si>
    <t>Mr. Faizul Ali serves as Managing Director &amp; Partner at Boston Consulting Group. He is a core member of the Principal Investors &amp; Private Equity (PIPE) and Technology, Media &amp; Telecommunications (TMT) practices at the firm. He leads the firm's PIPE tech capital team in London and is the co-leader in Europe, Middle East, Africa, South America (EMEASA). Faizul is also the global leader of Product and Technology and Cyber Diligence at BCG. He leads the firm's work globally in this area, bringing dedicated expertise, teams, and the best of BCG to the table for our clients' most complex commercial and technology decisions. He joined BCG from EY-Parthenon, where he was an equity partner in the transactions business.</t>
  </si>
  <si>
    <t>ali.faizul@bcg.com</t>
  </si>
  <si>
    <t>435915-82P</t>
  </si>
  <si>
    <t>Fang Ruan</t>
  </si>
  <si>
    <t>Ruan</t>
  </si>
  <si>
    <t>Ms. Fang Ruan serves as Managing Director &amp; Senior Partner at Boston Consulting Group. She has extensive experience in corporate governance, organization transformation, people management, and corporate strategy.</t>
  </si>
  <si>
    <t>ruan.fang@bcg.com</t>
  </si>
  <si>
    <t>455257-00P</t>
  </si>
  <si>
    <t>Fanny Gronlund</t>
  </si>
  <si>
    <t>Fanny</t>
  </si>
  <si>
    <t>Gronlund</t>
  </si>
  <si>
    <t>Ms. Fanny Gronlund serves as Managing Director &amp; Partner at Boston Consulting Group. She is a core member of the Consumer practice and works on assignments related to retail and consumer packaged goods, with a specific focus on AI and analytics. She is also a leading member of BCG's Plan.AI team, which focuses on solutions for end-to-end planning enabled by advanced analytics.</t>
  </si>
  <si>
    <t>gronlund.fanny@bcg.com</t>
  </si>
  <si>
    <t>456765-67P</t>
  </si>
  <si>
    <t>Fanny Potier</t>
  </si>
  <si>
    <t>Potier</t>
  </si>
  <si>
    <t>Ms. Fanny Potier serves as Partner &amp; Director, People Strategy &amp; Leadership at Boston Consulting Group. She is a senior expert within the People &amp; Organization practice at the firm. She serves as a director of BCG's people leadership and executive coaching offering. Over the course of her career, she has advised many Fortune 500 companies on how to create a lasting people advantage and lead in their markets. She has been part of over 200 large-scale transformations and has significant experience in post-merger integration. Fanny works in a broad variety of industries.</t>
  </si>
  <si>
    <t>potier.fanny@bcg.com</t>
  </si>
  <si>
    <t>Partner &amp; Director, People Strategy &amp; Leadership</t>
  </si>
  <si>
    <t>436155-49P</t>
  </si>
  <si>
    <t>Farboud Cheraghi</t>
  </si>
  <si>
    <t>Farboud</t>
  </si>
  <si>
    <t>Cheraghi</t>
  </si>
  <si>
    <t>Mr. Farboud Cheraghi serves as Partner at Boston Consulting Group. He specializes in supply chain management, digital supply chain, net working capital optimization, and logistics.</t>
  </si>
  <si>
    <t>cheraghi.farboud@bcg.com</t>
  </si>
  <si>
    <t>436128-94P</t>
  </si>
  <si>
    <t>Federico Colombara</t>
  </si>
  <si>
    <t>Federico</t>
  </si>
  <si>
    <t>Colombara</t>
  </si>
  <si>
    <t>Mr. Federico Colombara serves as Managing Director &amp; Partner at Boston Consulting Group. He is actively involved in the firm's Energy practice, for which he has led more than 100 assignments on operational excellence and yield maximization, logistics redesign, large-investment management, business development, and capital markets relations. Federico also specializes in oil downstream work.</t>
  </si>
  <si>
    <t>colombara.federico@bcg.com</t>
  </si>
  <si>
    <t>436422-16P</t>
  </si>
  <si>
    <t>Federico Fabbri</t>
  </si>
  <si>
    <t>Fabbri</t>
  </si>
  <si>
    <t>Mr. Federico Fabbri serves as Managing Director &amp; Partner at Boston Consulting Group. He focuses on pricing and sales transformations for technology companies, and is an expert on go-to-market topics, including pricing strategy, discount management, sales force effectiveness, revenue operations, and tech ecosystem management.</t>
  </si>
  <si>
    <t>fabbri.federico@bcg.com</t>
  </si>
  <si>
    <t>195937-48P</t>
  </si>
  <si>
    <t>Federico Muxí</t>
  </si>
  <si>
    <t>Muxí</t>
  </si>
  <si>
    <t>Mr. Federico Muxí serves as Senior Partner &amp; Managing Director at Boston Consulting Group. Since joining BCG full-time in 2002, Federico has worked extensively throughout Latin America for clients in the financial services sector, including leading retail and corporate banks, wealth and asset managers, card issuers, processors and acquirers, and insurance companies. He has successfully led many clients through digital transformations.</t>
  </si>
  <si>
    <t>federico.m@bcg.com</t>
  </si>
  <si>
    <t>455363-47P</t>
  </si>
  <si>
    <t>Federico Vigani</t>
  </si>
  <si>
    <t>Vigani</t>
  </si>
  <si>
    <t>Mr. Federico Vigani serves as Partner, BCG X at Boston Consulting Group. He also serves as lead for the Product Chapter for Europe, the Middle East, South America, and Africa (EMESA), driving innovation across the region, with a current focus on public sector transformation. His expertise spans public sector, health care, insurance, shipping, D2C, B2B, and SaaS, within which he has shaped close-to-core ventures and disruptive new vertical businesses.</t>
  </si>
  <si>
    <t>vigani.federico@bcg.com</t>
  </si>
  <si>
    <t>Partner, BCG X</t>
  </si>
  <si>
    <t>456853-33P</t>
  </si>
  <si>
    <t>Felix Bejarano</t>
  </si>
  <si>
    <t>Bejarano</t>
  </si>
  <si>
    <t>Mr. Felix Bejarano serves as Managing Director &amp; Senior Partner at Boston Consulting Group. He is a core member of the Financial Institutions, the Insurance, and the Technology Advantage practices at the firm, and he leads the firm's Technology Advantage practice in Iberia. He is also a member of the Energy and Operations practices. His client work has focused primarily on the financial services, insurance, and energy sectors. He has acquired deep experience in transformation and organization. Prior to joining BCG, he worked as a systems engineer with Motorola.</t>
  </si>
  <si>
    <t>bejarano.felix@bcg.com</t>
  </si>
  <si>
    <t>455336-47P</t>
  </si>
  <si>
    <t>Felix Benz Ph.D</t>
  </si>
  <si>
    <t>Benz</t>
  </si>
  <si>
    <t>Dr. Felix Benz serves as a Partner at Boston Consulting Group. He is a core member of the firm's Travel, Cities &amp; Infrastructure and People &amp; Organizations practices. He focuses mainly on the rail, logistics, and public transportation industries. He works with clients on a range of functional topics including, large-scale transformation, operating model, and business strategy.</t>
  </si>
  <si>
    <t>benz.felix@bcg.com</t>
  </si>
  <si>
    <t>435288-43P</t>
  </si>
  <si>
    <t>Felix Hildebrand</t>
  </si>
  <si>
    <t>Hildebrand</t>
  </si>
  <si>
    <t>Mr. Felix Hildebrand serves as Managing Director &amp; Partner at Boston Consulting Group. He has more than 15 years of experience in the global financial industry, in particular regulatory compliance, non-financial risk, digitization risk and compliance, risk strategy, data and risk governance, and digital risk</t>
  </si>
  <si>
    <t>hildebrand.felix@bcg.com</t>
  </si>
  <si>
    <t>435394-63P</t>
  </si>
  <si>
    <t>Felix Krueger</t>
  </si>
  <si>
    <t>Mr. Felix Krueger serves as Managing Director &amp; Partner at Boston Consulting Group. He is a core member of the Consumer Goods practice, working exclusively in with fashion and luxury brands, retailers, and online platforms.</t>
  </si>
  <si>
    <t>krueger.felix@bcg.com</t>
  </si>
  <si>
    <t>436180-15P</t>
  </si>
  <si>
    <t>Felix Reszewski</t>
  </si>
  <si>
    <t>Reszewski</t>
  </si>
  <si>
    <t>Mr. Felix Reszewski serves as Managing Director &amp; Partner at Boston Consulting Group. He is a core member of the Transportation and Operations practice areas at Boston Consulting Group. He is the leader of BCG's global rail sector and an expert in cargo operations, as well as digitization in rail. He also has deep experience in driving large-scale organizational change.</t>
  </si>
  <si>
    <t>reszewski.felix@bcg.com</t>
  </si>
  <si>
    <t>393448-15P</t>
  </si>
  <si>
    <t>Felix Stellmaszek Ph.D</t>
  </si>
  <si>
    <t>Stellmaszek</t>
  </si>
  <si>
    <t>Dr. Felix Stellmaszek serves as Managing Director, Senior Partner &amp; Global Leader, Automotive &amp; Mobility Practice at Boston Consulting Group. He is a core member of the firm's Industrial Goods practice and the global leader of the firm's automotive and mobility work. His focus is on driving end-to-end margin and shareholder value optimization programs. Mr. Stellmaszek serves as a Board Member at Kindred Motorworks.</t>
  </si>
  <si>
    <t>stellmaszek.felix@bcg.com</t>
  </si>
  <si>
    <t>Managing Director, Senior Partner &amp; Global Leader, Automotive &amp; Mobility Practice</t>
  </si>
  <si>
    <t>436218-85P</t>
  </si>
  <si>
    <t>Ferdinand Varga Ph.D</t>
  </si>
  <si>
    <t>Ferdinand</t>
  </si>
  <si>
    <t>Varga</t>
  </si>
  <si>
    <t>Mr. Ferdinand Varga serves as Managing Director &amp; Senior Partner at Boston Consulting Group. He is a core member of the firm's Energy practice, specializing in power and utilities as well as energy markets regulation.</t>
  </si>
  <si>
    <t>varga.ferdinand@bcg.com</t>
  </si>
  <si>
    <t>455685-85P</t>
  </si>
  <si>
    <t>Fergie Romero</t>
  </si>
  <si>
    <t>Fergie</t>
  </si>
  <si>
    <t>Romero</t>
  </si>
  <si>
    <t>Ms. Fergie Romero serves as a Partner at Boston Consulting Group. She is a core member of the Financial Institutions (FI) and Corporate Finance &amp; Strategy (CFS) practices at the firm. Since joining BCG, she has worked predominantly to support clients with strategic business growth and organizational transformations, with a focus on people, talent, and culture. Prior to joining BCG, she worked as a structural engineer, focused primarily on large public infrastructure and biosecurity projects. She also spent some time abroad, delivering water and sanitation projects for non-profit organizations in locations such as Papua New Guinea, India, and Latin America.</t>
  </si>
  <si>
    <t>romero.fergie@bcg.com</t>
  </si>
  <si>
    <t>436309-03P</t>
  </si>
  <si>
    <t>Fernando Lunardini</t>
  </si>
  <si>
    <t>Lunardini</t>
  </si>
  <si>
    <t>Mr. Fernando Lunardini serves as Managing Director &amp; Partner at Boston Consulting Group. He brings more than 25 years of experience in management consulting, entrepreneurship, and C-level executive positions.</t>
  </si>
  <si>
    <t>lunardini.fernando@bcg.com</t>
  </si>
  <si>
    <t>455901-40P</t>
  </si>
  <si>
    <t>Ferrante Benvenuti</t>
  </si>
  <si>
    <t>Ferrante</t>
  </si>
  <si>
    <t>Benvenuti</t>
  </si>
  <si>
    <t>Mr. Ferrante Benvenuti serves as Managing Director &amp; Partner at Boston Consulting Group. He is actively involved in the Energy practice. He has considerable experience working in upstream oil and gas, in particular, drilling, reservoir, and production optimization, and midstream (gas and LNG). He is one of the firm's top experts in digital subsurface and drilling. Prior to coming to BCG, he worked in an E&amp;P company (Tecpetrol) as the planning and continuous improvement manager of a business unit responsible for several oil and gas fields in Argentina.</t>
  </si>
  <si>
    <t>benvenuti.ferrante@bcg.com</t>
  </si>
  <si>
    <t>455410-36P</t>
  </si>
  <si>
    <t>Filip Hansen</t>
  </si>
  <si>
    <t>Hansen</t>
  </si>
  <si>
    <t>Mr. Filip Hansen serves as a Partner at Boston Consulting Group. He is a core member of the Health Care practice at the firm focusing on med-tech globally, and in the Nordics in particular. His areas of expertise are within corporate strategy, commercial, pricing, market access, M&amp;A, and corporate development.</t>
  </si>
  <si>
    <t>hansen.filip@bcg.com</t>
  </si>
  <si>
    <t>435709-72P</t>
  </si>
  <si>
    <t>Filip Saelens</t>
  </si>
  <si>
    <t>Saelens</t>
  </si>
  <si>
    <t>Mr. Filip Saelens serves as Managing Director &amp; Partner at Boston Consulting Group. He focuses on transaction-related work (buy- and sell-side commercial due diligence, integrated commercial and technology due diligence, bolt-on M&amp;A, and divestiture planning) and strategy work for private equity backed businesses (post-deal value creation/full potential planning, growth strategy).</t>
  </si>
  <si>
    <t>saelens.filip@bcg.com</t>
  </si>
  <si>
    <t>435919-51P</t>
  </si>
  <si>
    <t>Filipe Mesquita</t>
  </si>
  <si>
    <t>Filipe</t>
  </si>
  <si>
    <t>Mesquita</t>
  </si>
  <si>
    <t>Mr. Filipe Mesquita serves as Managing Director &amp; Partner at Boston Consulting Group. He works with clients along the entire health care value chain, including biopharma, med tech, payers, providers, distributors, and retail pharmacy, along with other health service companies.</t>
  </si>
  <si>
    <t>mesquita.filipe@bcg.com</t>
  </si>
  <si>
    <t>195924-88P</t>
  </si>
  <si>
    <t>Filippo Agnoli</t>
  </si>
  <si>
    <t>Filippo</t>
  </si>
  <si>
    <t>Agnoli</t>
  </si>
  <si>
    <t>Mr. Filippo Agnoli serves as Managing Director &amp; Senior Partner at Boston Consulting Group. He has deep experience in portfolio strategy, transformation, sales improvement and multichannel approaches, organizational simplification, technical excellence, and PMI. In the private equity field, Filippo developed a profound, multi-year experience in leading large-scale transformations of portfolio companies supporting some of the leading international funds. He has worked in a variety of industries, including payments and industrial B2B, services, and in several European countries. He has also led multiple cases on the transactions side (commercial and vendor due diligence). In the insurance field, Filippo has supported many of the leading European players in different markets, focusing on broad strategic plans (company and line of business strategy), distribution, efficiency, and operating model. Previously Filippo was a Partner at Bain &amp; Company where he worked in the offices of Moscow and Copenhagen.</t>
  </si>
  <si>
    <t>agnoli@bcg.com</t>
  </si>
  <si>
    <t>392813-38P</t>
  </si>
  <si>
    <t>Filippo Bianchi</t>
  </si>
  <si>
    <t>Bianchi</t>
  </si>
  <si>
    <t>Mr. Filippo Bianchi serves as Managing Director &amp; Senior Partner, EMESA Regional Lead, Fashion &amp; Luxury Industry at Boston Consulting Group.</t>
  </si>
  <si>
    <t>filippo@bcg.com</t>
  </si>
  <si>
    <t>Managing Director &amp; Senior Partner ,EMESA Regional Lead, Fashion &amp; Luxury Industry</t>
  </si>
  <si>
    <t>435144-79P</t>
  </si>
  <si>
    <t>Filippo Fioravanti</t>
  </si>
  <si>
    <t>Fioravanti</t>
  </si>
  <si>
    <t>Mr. Filippo Fioravanti serves as Managing Director &amp; Partner at Boston Consulting Group. He has worked with clients on SME lending, fintech, credit risk advanced analytics and credit processes, regulatory stress testing, risk appetite, capital management, and financial modeling\forecasting. His recent work has focused on credit processes, climate risk, risk-weighted asset optimization, and enterprise risk management.</t>
  </si>
  <si>
    <t>fioravanti.filippo@bcg.com</t>
  </si>
  <si>
    <t>435910-69P</t>
  </si>
  <si>
    <t>Filippo Scognamiglio</t>
  </si>
  <si>
    <t>Scognamiglio</t>
  </si>
  <si>
    <t>Mr. Filippo Scognamiglio serves as Managing Director &amp; Partner at Boston Consulting Group. He helps leading financial institutions transform into technology-driven firms, and, in particular, helps them design and develop their next-generation digital B2B and B2B2C offerings.</t>
  </si>
  <si>
    <t>scognamiglio.filippo@bcg.com</t>
  </si>
  <si>
    <t>436690-09P</t>
  </si>
  <si>
    <t>Finn Ruthenberg</t>
  </si>
  <si>
    <t>Ruthenberg</t>
  </si>
  <si>
    <t>Mr. Finn Ruthenberg serves as Managing Director &amp; Partner at Boston Consulting Group. He focuses on technology and data-driven change, and is committed to enabling clients to get the most out of advanced analytics and artificial intelligence in their day-to-day processes and decision making.</t>
  </si>
  <si>
    <t>fr@bcg.com</t>
  </si>
  <si>
    <t>435443-32P</t>
  </si>
  <si>
    <t>Flavio Magalhaes</t>
  </si>
  <si>
    <t>Magalhaes</t>
  </si>
  <si>
    <t>Mr. Flavio Magalhaes serves as Managing Director &amp; Senior Partner at Boston Consulting Group. He has considerable expertise in driving value/growth programs, and believes in the development of high-performing teams and the importance of rethinking management models to drive greater productivity and returns.</t>
  </si>
  <si>
    <t>magalhaes.flavio@bcg.com</t>
  </si>
  <si>
    <t>456246-55P</t>
  </si>
  <si>
    <t>Florent Berthod</t>
  </si>
  <si>
    <t>Berthod</t>
  </si>
  <si>
    <t>Mr. Florent Berthod serves as Managing Director &amp; Partner at Boston Consulting Group. He is a core member of the firm's Operations and Principal Investors &amp; Private Equity (PIPE) practices. He is the lead for large transformation topics in operations for Western Europe, South America, and Africa. Prior to joining BCG, he worked for Groupe PSA in France, Central Europe, and China for 19 years, holding positions including Plant Director and Worldwide Operations Transformation Leader.</t>
  </si>
  <si>
    <t>berthod.florent@bcg.com</t>
  </si>
  <si>
    <t>436146-40P</t>
  </si>
  <si>
    <t>Florian Burgdorf Ph.D</t>
  </si>
  <si>
    <t>Burgdorf</t>
  </si>
  <si>
    <t>Mr. Florian Burgdorf serves as Partner &amp; Associate Director, Procurement at Boston Consulting Group. He has substantial experience in transformations, both digital and conventional. Within Operations, Florian is a member of the Procurement leadership team.</t>
  </si>
  <si>
    <t>burgdorf.florian@bcg.com</t>
  </si>
  <si>
    <t>Partner &amp; Associate Director, Procurement</t>
  </si>
  <si>
    <t>380670-22P</t>
  </si>
  <si>
    <t>Florian Kahn</t>
  </si>
  <si>
    <t>Kahn</t>
  </si>
  <si>
    <t>Mr. Florian Kahn serves as Managing Director &amp; Partner at Boston Consulting Group. Prior to joining BCG, Florian interned at Dassault Falcon Services, a major aviation player, and spent eight months as an officer in a French Airborne Commandos unit.</t>
  </si>
  <si>
    <t>florian.kahn@bcg.com</t>
  </si>
  <si>
    <t>456115-60P</t>
  </si>
  <si>
    <t>France Joris</t>
  </si>
  <si>
    <t>Joris</t>
  </si>
  <si>
    <t>Ms. France Joris serves as Managing Director &amp; Partner at Boston Consulting Group. She is a core member of the firm's People &amp; Organization practice, and advises clients on people and organizational challenges with a focus on operating model transformation. She serves as the chair of the Brussels career advising team. She has led organization efforts across Europe in a broad range of industries, including health care, retail, pharma and biopharma, banks and financial institutions, energy distribution, and consumer goods.</t>
  </si>
  <si>
    <t>joris.france@bcg.com</t>
  </si>
  <si>
    <t>435217-06P</t>
  </si>
  <si>
    <t>Francisco Hidalgo</t>
  </si>
  <si>
    <t>Hidalgo</t>
  </si>
  <si>
    <t>Mr. Francisco Hidalgo serves as Managing Director &amp; Partner at Boston Consulting Group. He has worked on several projects in Latin America for the Energy and Climate &amp; Sustainability practices, supporting mainly large energy and mining companies.</t>
  </si>
  <si>
    <t>hidalgo.francisco@bcg.com</t>
  </si>
  <si>
    <t>435852-73P</t>
  </si>
  <si>
    <t>Francisco Salmeron</t>
  </si>
  <si>
    <t>Salmeron</t>
  </si>
  <si>
    <t>Mr. Francisco Salmeron serves as Partner &amp; Director at Boston Consulting Group. He has helped numerous companies design the strategy for their service businesses, and he has supported them in service sales, service delivery, customer management, and the definition of the necessary organization and KPIs to support transformation.</t>
  </si>
  <si>
    <t>salmeron.francisco@bcg.com</t>
  </si>
  <si>
    <t>102476-53P</t>
  </si>
  <si>
    <t>Franciszek Hutten-Czapski</t>
  </si>
  <si>
    <t>Franciszek</t>
  </si>
  <si>
    <t>Hutten-Czapski</t>
  </si>
  <si>
    <t>Mr. Franciszek Hutten-Czapski serves as a Senior Partner, Managing Director, and Chairman, of BCG Poland at Boston Consulting Group. He is a core member of the Financial Institutions, Insurance, Marketing, Sales, and pricing practices at The Boston Consulting Group. His main area of expertise is advising CEOs and executives in the banking and insurance industries. He leads projects in digital transformation, sales growth, distribution effectiveness, customer value proposition, digital marketing, pricing strategy, and post-merger integration. He has also led several projects for private equity firms.</t>
  </si>
  <si>
    <t>+48 22 820 3600</t>
  </si>
  <si>
    <t>franciszekhutten-czapski@bcg.com</t>
  </si>
  <si>
    <t>Warsaw</t>
  </si>
  <si>
    <t>Warsaw, Poland</t>
  </si>
  <si>
    <t>Zebra Tower</t>
  </si>
  <si>
    <t>Ulica Mokotowska 1, 6th floor</t>
  </si>
  <si>
    <t>00-640</t>
  </si>
  <si>
    <t>Poland</t>
  </si>
  <si>
    <t>+48 22 820 3636</t>
  </si>
  <si>
    <t>Senior Partner, Managing Director &amp; Chairman, BCG Poland</t>
  </si>
  <si>
    <t>274973-05P</t>
  </si>
  <si>
    <t>Franck Luisada</t>
  </si>
  <si>
    <t>Luisada</t>
  </si>
  <si>
    <t>Mr. Franck Luisada serves as Managing Director &amp; Senior Partner, Global Sector Leader, Telecommunications at Boston Consulting Group.</t>
  </si>
  <si>
    <t>franck_luisada@bcg.com</t>
  </si>
  <si>
    <t>Managing Director &amp; Senior Partner, Global Sector Leader, Telecommunications</t>
  </si>
  <si>
    <t>455888-71P</t>
  </si>
  <si>
    <t>Francois Bastard</t>
  </si>
  <si>
    <t>Bastard</t>
  </si>
  <si>
    <t>Mr. Francois Bastard serves as a Partner at Boston Consulting Group. He is a core member of the firm's Industrial Goods and Climate &amp; Sustainability practices, and leads the firm's work in greentech and green growth acceleration for France. He works mainly with industrial goods clients on climate and sustainability. His engagements have covered topics including strategic assessment, CapEx program de-risking/acceleration, supply chain ramp-up and resilience, and product development acceleration. He currently focuses on supporting industrial companies, enabling the electrification of the industry and energy industries, electric mobility companies, and greentech companies. Before coming to BCG, he worked in the construction and oil and gas industries.</t>
  </si>
  <si>
    <t>francois.bastard@bcg.com</t>
  </si>
  <si>
    <t>456401-62P</t>
  </si>
  <si>
    <t>Francois Dalens</t>
  </si>
  <si>
    <t>Dalens</t>
  </si>
  <si>
    <t>Mr. Francois Dalens serves as Managing Director &amp; Senior Partner at Boston Consulting Group. He is a core member of BCG's Consumer and Marketing, Sales &amp; Pricing practices. Since joining BCG in 1997, he has advised multinational corporations and retailers on a wide range of topics, including growth strategy, marketing and sales effectiveness, operational efficiency, post-merger integration, and organization. He previously led BCG's global packaged goods sector. Prior to joining BCG, he was a manager at A.T. Kearney. He previously worked for Procter &amp; Gamble as the European marketing director for the personal cleansing category.</t>
  </si>
  <si>
    <t>dalens.francois@bcg.com</t>
  </si>
  <si>
    <t>455771-44P</t>
  </si>
  <si>
    <t>Francois Delvaux</t>
  </si>
  <si>
    <t>Delvaux</t>
  </si>
  <si>
    <t>Mr. Francois Delvaux serves as a Partner at Boston Consulting Group. He is a core member of BCG's Energy and Travel, Cities &amp; Infrastructure practices. He works with energy retailers, producers, and grids/infrastructure owners and operators, transportation and logistics players, and the public sector. He advises clients on growth strategy and people and organizational challenges, with a focus on operating model transformations. In addition to his client work, he is part of the Career Development Committee.</t>
  </si>
  <si>
    <t>delvaux.francois@bcg.com</t>
  </si>
  <si>
    <t>456874-93P</t>
  </si>
  <si>
    <t>Francois Stragier</t>
  </si>
  <si>
    <t>Stragier</t>
  </si>
  <si>
    <t>Mr. Francois Stragier serves as Partner &amp; Director at Boston Consulting Group. He is a core member of the firm's Technology &amp; Digital Advantage, People &amp; Organization, and Corporate Finance &amp; Strategy practices. His expertise not only lies in crafting a bold strategic vision but also in ensuring execution on the ground to generate sustainable business value.</t>
  </si>
  <si>
    <t>stragier.francois@bcg.com</t>
  </si>
  <si>
    <t>436182-85P</t>
  </si>
  <si>
    <t>Francois-Regis Turc</t>
  </si>
  <si>
    <t>Francois-Regis</t>
  </si>
  <si>
    <t>Turc</t>
  </si>
  <si>
    <t>Mr. Francois-Regis Turc serves as Managing Director &amp; Partner at Boston Consulting Group. He is a member of the Industrial Goods practice, specializing in transportation and logistics, and of the Transformation &amp; BCG TURN practice. Prior to joining BCG, Mr. Turc worked as a political advisor in the private staff of the French Minister for Ecology, Sustainable Development, Transportation, and Housing.</t>
  </si>
  <si>
    <t>turc.francoisregis@bcg.com</t>
  </si>
  <si>
    <t>436118-86P</t>
  </si>
  <si>
    <t>Frank Felden</t>
  </si>
  <si>
    <t>Felden</t>
  </si>
  <si>
    <t>Mr. Frank Felden serves as Managing Director &amp; Senior Partner at Boston Consulting Group. He is a member of the Technology Advantage practice's global leadership team and is the firm's worldwide leader for technology advantage in TMT. He is also people head of the Central Europe and Middle East Technology Advantage office.</t>
  </si>
  <si>
    <t>felden.frank@bcg.com</t>
  </si>
  <si>
    <t>435433-69P</t>
  </si>
  <si>
    <t>Frank Jia</t>
  </si>
  <si>
    <t>Jia</t>
  </si>
  <si>
    <t>Mr. Frank Jia serves as Managing Director &amp; Partner at Boston Consulting Group. He has extensive experience in health care, and has served many local and multinational pharmaceutical and medtech companies, and health care service providers.</t>
  </si>
  <si>
    <t>jia.frank@bcg.com</t>
  </si>
  <si>
    <t>435859-57P</t>
  </si>
  <si>
    <t>Frank Klose</t>
  </si>
  <si>
    <t>Klose</t>
  </si>
  <si>
    <t>Mr. Frank Klose serves as Managing Director &amp; Senior Partner at Boston Consulting Group. He leads the firm's Energy practice in Germany and Austria and the large-capex management topic in the firm's power and gas sector.</t>
  </si>
  <si>
    <t>klose.frank@bcg.com</t>
  </si>
  <si>
    <t>436311-91P</t>
  </si>
  <si>
    <t>Frank Palmer</t>
  </si>
  <si>
    <t>Palmer</t>
  </si>
  <si>
    <t>Mr. Frank Palmer serves as Managing Director &amp; Partner at Boston Consulting Group. He is a core member of the Operations practice at Boston Consulting Group, specializing in procurement. His current areas of focus are smart consumption, supplier diversity, procurement post-merger integration, and large-scale change. He also advises clients on topics including procurement operating model, category strategy, and supplier negotiation. Prior to joining BCG in 2016, he worked as a researcher at Memorial Sloan Kettering Cancer Center, where he developed data-based predictive models to guide surgical decision making.</t>
  </si>
  <si>
    <t>palmer.frank@bcg.com</t>
  </si>
  <si>
    <t>57035-44P</t>
  </si>
  <si>
    <t>Frans Blom</t>
  </si>
  <si>
    <t>Frans</t>
  </si>
  <si>
    <t>Blom</t>
  </si>
  <si>
    <t>Mr. Frans Blom serves as Senior Advisor at Boston Consulting Group. He also serves as Chairman of the Supervisory Board at Van Lanschot Kempen. Since joining BCG in 1991, he has worked in many industries and multiple countries. Over that time, he has specialized in working for banks and insurance companies, developing growth strategies and value-management programs, as well as numerous profit-improvement programs, reorganization projects, and complete transformations. He holds a BBA from the European University (Belgium and Switzerland) and an MBA from INSEAD. He is a reservist in the Royal Dutch Marine Corps. Before BCG, he worked for Staal Bankiers, a specialized private bank in The Netherlands. He serves as an Advisor at Fortaegis.</t>
  </si>
  <si>
    <t>f-b@bcg.com</t>
  </si>
  <si>
    <t>455422-78P</t>
  </si>
  <si>
    <t>Frederic Brugere</t>
  </si>
  <si>
    <t>Brugere</t>
  </si>
  <si>
    <t>Mr. Frederic Brugere serves as Managing Director &amp; Partner at Boston Consulting Group. He is a core member of the Financial Institutions practice with a focus on payments, market infrastructure, and asset servicing. He also has expertise in large-scale transformation programs and complex cross-border integrations. Prior to joining BCG, he worked for three years as a consultant at Stanwell, a French consulting company specializing in financial services.</t>
  </si>
  <si>
    <t>brugere.frederic@bcg.com</t>
  </si>
  <si>
    <t>435740-59P</t>
  </si>
  <si>
    <t>Frederic Geurts Ph.D</t>
  </si>
  <si>
    <t>Geurts</t>
  </si>
  <si>
    <t>Mr. Frederic Geurts serves as Managing Director &amp; Senior Partner at Boston Consulting Group. He leads BCG's industrial goods business in the UK-Benelux region, and has 20 years of experience in driving large-scale transformational change across Europe, Africa, and the Middle East.</t>
  </si>
  <si>
    <t>frederic.geurts@bcg.com</t>
  </si>
  <si>
    <t>455824-72P</t>
  </si>
  <si>
    <t>Frederik Flock</t>
  </si>
  <si>
    <t>Frederik</t>
  </si>
  <si>
    <t>Flock</t>
  </si>
  <si>
    <t>Mr. Frederik Flock serves as Managing Director &amp; Partner at Boston Consulting Group. He is a core member of the firm's Industrial Goods practice, focusing on chemicals clients. As a specialist in the chemicals industry, he has extensive experience in strategy development, large-scale transformation, and M&amp;A, working with clients across the US, Europe, Asia, and the Middle East. His work extends to operations, digital innovation, and operating model redesign, ensuring organizations stay competitive in an evolving landscape. Before coming to BCG, he worked in consulting at Strategy&amp; (formerly Booz &amp; Co.) and German consultancies, with a focus on performance improvement and restructuring.</t>
  </si>
  <si>
    <t>flock.frederik@bcg.com</t>
  </si>
  <si>
    <t>435215-71P</t>
  </si>
  <si>
    <t>Friedemann Wolf Ph.D</t>
  </si>
  <si>
    <t>Friedemann</t>
  </si>
  <si>
    <t>Dr. Friedemann Wolf serves as Managing Director &amp; Senior Partner at Boston Consulting Group. He is particularly experienced in strategy and large-scale transformations, digital transformations, and marketing and sales-related topics, with a focus on using data and analytics to drive go-to-market strategies. He also works with his clients on biotech venturing, digital health, and new technology strategies.</t>
  </si>
  <si>
    <t>wolf.friedemann@bcg.com</t>
  </si>
  <si>
    <t>426882-70P</t>
  </si>
  <si>
    <t>Friedrich Moeckel</t>
  </si>
  <si>
    <t>Friedrich</t>
  </si>
  <si>
    <t>Moeckel</t>
  </si>
  <si>
    <t>Mr. Friedrich Moeckel serves as a Partner at Boston Consulting Group.</t>
  </si>
  <si>
    <t>fm@bcg.com</t>
  </si>
  <si>
    <t>434889-01P</t>
  </si>
  <si>
    <t>Gabriel Purkyt</t>
  </si>
  <si>
    <t>Purkyt</t>
  </si>
  <si>
    <t>Mr. Gabriel Purkyt serves as Partner at Boston Consulting Group. Before joining BCG, he spent nine years in various positions at Bain &amp; Company, most recently Senior Manager where he led work in Financial Services and Insurance for major Latin American companies, driving significant value and fostering a customer-centric approach.</t>
  </si>
  <si>
    <t>purkyt.gabriel@bcg.com</t>
  </si>
  <si>
    <t>435855-43P</t>
  </si>
  <si>
    <t>Gabriela Barrios</t>
  </si>
  <si>
    <t>Gabriela</t>
  </si>
  <si>
    <t>Barrios</t>
  </si>
  <si>
    <t>Mr. Gabriela Barrios serves as Partner &amp; Director, Customer Centricity at Boston Consulting Group. She is the lead expert for the Center for Customer Insight in the Americas and a core member of the Consumer, Global Advantage, and Marketing, Sales &amp; Pricing practices at the firm. Her work focuses on Demand Centric Growth in the retail, consumer packaged goods, restaurant, hospitality and financial services industries. Prior to joining BCG, she was a manager with FTI consulting.</t>
  </si>
  <si>
    <t>barrios.gaby@bcg.com</t>
  </si>
  <si>
    <t>Partner &amp; Director, Customer Centricity</t>
  </si>
  <si>
    <t>456248-53P</t>
  </si>
  <si>
    <t>Gabriela Werneck</t>
  </si>
  <si>
    <t>Werneck</t>
  </si>
  <si>
    <t>Ms. Gabriela Werneck serves as Managing Director &amp; Partner at Boston Consulting Group. He is a member of the firm's Travel, Cities &amp; Infrastructure (TCI) practice. She works with clients on transportation, water and wastewater, and engineering and construction engagements in Brazil. Her expertise includes transformation, post-merger integration, and corporate governance.</t>
  </si>
  <si>
    <t>werneck.gabriela@bcg.com</t>
  </si>
  <si>
    <t>456587-29P</t>
  </si>
  <si>
    <t>Gabriele Ferri</t>
  </si>
  <si>
    <t>Gabriele</t>
  </si>
  <si>
    <t>Ferri</t>
  </si>
  <si>
    <t>Mr. Gabriele Ferri serves as Managing Director &amp; Partner at Boston Consulting Group. He leads the Travel, Cities &amp; Infrastructure (TCI) practice for Italy, Greece, Turkey, Israel, and the Caspian region. In addition, he is the global leader of the BCG Center for Revenue Management in Travel, and the global lead for customer experience in travel. His work focuses on strategy, commercial transformation, revenue management, customer experience, and M&amp;A. Prior to joining BCG, he worked as a project manager at Roland Berger Strategy Consultants, where he focused on the aviation and health care services industries. Before that, he was a consultant at KPMG Advisory, where he served multinational companies in the automotive and packaged goods industries.</t>
  </si>
  <si>
    <t>ferri.gabriele@bcg.com</t>
  </si>
  <si>
    <t>436313-35P</t>
  </si>
  <si>
    <t>Gabriele Terland</t>
  </si>
  <si>
    <t>Terland</t>
  </si>
  <si>
    <t>Ms. Gabriele Terland serves as Partner &amp; Associate Director, Fashion &amp; Luxury at Boston Consulting Group. She has supported teams all over the world on topics across the fashion value chain (retail excellence, omni-channel management, sourcing optimization, E2E merchandising, customer relationship management, etc.), as well as buy- and sell-side due diligences.</t>
  </si>
  <si>
    <t>terland.gabriele@bcg.com</t>
  </si>
  <si>
    <t>Partner &amp; Associate Director, Fashion &amp; Luxury</t>
  </si>
  <si>
    <t>326912-05P</t>
  </si>
  <si>
    <t>Gabrielle Novacek Ph.D</t>
  </si>
  <si>
    <t>Gabrielle</t>
  </si>
  <si>
    <t>Novacek</t>
  </si>
  <si>
    <t>Dr. Gabrielle Novacek serves as Partner &amp; Director at Boston Consulting Group. Her work often sits at the intersection of people topics and large-scale strategic transformation. Her experiences include leading the go-to-market transformation for one of the world's largest food and beverage manufacturers, helping a Fortune 100 company transform its operating model, and realigning the organization of a global consumer packaged goods company against a set of new strategic ambitions. In addition, she has deep expertise in post-merger integration. Prior to joining BCG, Gabrielle received her Ph.D. with honors from the University of Chicago, where her academic research focused on the archaeology of the Middle East in the fourth millennium B.C. As an archaeologist, Gabrielle's fieldwork took her to Egypt, Israel, Jordan, Syria, and Turkey.</t>
  </si>
  <si>
    <t>gabrielle_n@bcg.com</t>
  </si>
  <si>
    <t>435626-02P</t>
  </si>
  <si>
    <t>Gang Xu Ph.D</t>
  </si>
  <si>
    <t>Gang</t>
  </si>
  <si>
    <t>Mr. Gang Xu serves as Managing Director &amp; Senior Partner at Boston Consulting Group. He has led more than ten projects for a domestic automotive original equipment manufacturer (OEM) in China, covering product strategy and planning, overseas market entry, technology assessment, product development benchmarking, voice-of-customer analysis, and module strategy development.</t>
  </si>
  <si>
    <t>xu.gang@bcg.com</t>
  </si>
  <si>
    <t>435336-58P</t>
  </si>
  <si>
    <t>Gaurav Jindal</t>
  </si>
  <si>
    <t>Gaurav</t>
  </si>
  <si>
    <t>Jindal</t>
  </si>
  <si>
    <t>Mr. Gaurav Jindal serves as Managing Director &amp; Partner at Boston Consulting Group. He creates profit impact and competitive advantage by unleashing the power of data to transform clients' business using artificial intelligence and big-data-based advanced analytics.</t>
  </si>
  <si>
    <t>jindal.gaurav@bcg.com</t>
  </si>
  <si>
    <t>435716-29P</t>
  </si>
  <si>
    <t>Gautham Krishnan</t>
  </si>
  <si>
    <t>Gautham</t>
  </si>
  <si>
    <t>Krishnan</t>
  </si>
  <si>
    <t>Mr. Gautham Krishnan serves as Managing Director &amp; Partner at Boston Consulting Group. He has worked extensively with financial industry clients on customer journeys, digital transformations, and business building programs.</t>
  </si>
  <si>
    <t>krishnan.gautham@bcg.com</t>
  </si>
  <si>
    <t>301432-87P</t>
  </si>
  <si>
    <t>Gee Wee</t>
  </si>
  <si>
    <t>Gee</t>
  </si>
  <si>
    <t>Wee</t>
  </si>
  <si>
    <t>Mr. Gee Wee serves as Global Research Sources Lead - Knowledge at Boston Consulting Group.</t>
  </si>
  <si>
    <t>wee.geeshing@bcg.com</t>
  </si>
  <si>
    <t>Global Research Sources Lead - Knowledge</t>
  </si>
  <si>
    <t>289777-24P</t>
  </si>
  <si>
    <t>Geoff Healy</t>
  </si>
  <si>
    <t>Mr. Geoff Healy serves as Senior Advisor at Boston Consulting Group. He served as Chief External Affairs Officer at BHP Group. He served as Chief External Affairs Officer, responsible for the miner's reputation and non-financial risk over 5 continents and in more than 25 locations. In the role, He led a team of 500+ professionals across seven functional disciplines, and had executive responsibility for BHP's Social Investment Program and for the BHP Foundation.</t>
  </si>
  <si>
    <t>geoff.healy@bcg.com</t>
  </si>
  <si>
    <t>436208-77P</t>
  </si>
  <si>
    <t>Georg Beyer</t>
  </si>
  <si>
    <t>Georg</t>
  </si>
  <si>
    <t>Mr. Georg Beyer serves as Managing Director &amp; Senior Partner at Boston Consulting Group. He is also a member of the firm's Transform practice, which helps clients shape and accelerate transformation programs to deliver rapid, visible performance improvements in the short term while strengthening their organizations and positioning them to win in the future.</t>
  </si>
  <si>
    <t>beyer.georg@bcg.com</t>
  </si>
  <si>
    <t>435587-05P</t>
  </si>
  <si>
    <t>Georg Kappen</t>
  </si>
  <si>
    <t>Kappen</t>
  </si>
  <si>
    <t>Mr. Georg Kappen serves as Managing Director &amp; Partner at Boston Consulting Group. He has recent experience in large scale transformation programs and cost and procurement optimizations, as well as efficiency improvement and quality management programs.</t>
  </si>
  <si>
    <t>kappen.georg@bcg.com</t>
  </si>
  <si>
    <t>61456-06P</t>
  </si>
  <si>
    <t>George Stalk Jr.</t>
  </si>
  <si>
    <t>Stalk</t>
  </si>
  <si>
    <t>Mr. George Stalk serves as Senior Advisor at The Boston Consulting Group. He joined The Boston Consulting Group in 1978. He became a senior partner and managing director and was a longtime member of the firm's Strategy, Consumer, Organization, and Operations practices. He has focused his consulting career on helping companies create sustainable competitive advantage and has advised the top management of a range of organizations-mostly in manufacturing, technology, and consumer products-throughout the Americas, Europe, and Asia. As a BCG Fellow from 2008 through 2017, George explored how companies can better strategize in times of high uncertainty. Most companies make few changes to their proven business models and global supply chains-tweaking only in order to lower costs or improve operational effectiveness. George's research focused on how they can better overcome the dangers of inertia. George's thinking on corporate strategy has shaped the modern business environment. His early years with BCG were spent in Tokyo, where his work led to BCG's breakthrough notion of "time-based competition" and George's best-selling book Competing Against Time: How Time-Based Competition Is Reshaping Global Markets. This innovative thought leadership has helped countless companies find new ways to create sustainable competitive advantage. George also wrote Kaisha: The Japanese Corporation and Hardball: Are You Playing to Play or Playing to Win? His latest book, Five Future Strategies You Need Right Now: Memo to the CEO, came out in 2008. In 2008, he was inducted as a fellow in the Strategic Management Society, joining BCG founder Bruce Henderson as the only professional consultants in the society. Outside of BCG, George serves as an adjunct professor of strategic management for the Rotman School of Management at the University of Toronto and is a fellow of the Strategic Management Society and a senior fellow of the Asia Pacific Foundation of Canada.</t>
  </si>
  <si>
    <t>stalk.george@bcg.com</t>
  </si>
  <si>
    <t>456037-30P</t>
  </si>
  <si>
    <t>Geraldine Rhodes</t>
  </si>
  <si>
    <t>Ms. Geraldine Rhodes serves as Managing Director &amp; Partner at Boston Consulting Group. A core member of the Operations, Transform, Consumer, and Global Advantage practices at the firm, Ms. Rhodes is the North America leader for consumer products operations and accelerated cost advantage in consumer packaged goods (CPG). Her focus is on driving rapid, strategic transformational change with sustainable results for consumer industry clients. In addition to driving large-scale transformations, her recent focus has been on helping clients navigate the impacts and opportunities of US policies on their supply chain and operations.</t>
  </si>
  <si>
    <t>rhodes.geraldine@bcg.com</t>
  </si>
  <si>
    <t>280979-83P</t>
  </si>
  <si>
    <t>Gerd Wuebbels</t>
  </si>
  <si>
    <t>Gerd</t>
  </si>
  <si>
    <t>Wuebbels</t>
  </si>
  <si>
    <t>Mr. Gerd Wuebbels serves as Managing Director &amp; Partner at Boston Consulting Group. He leads the firm's Frankfurt office and is a core member of the firm's Health Care and People &amp; Organization practices. He is an expert in the life sciences industry (pharma, biopharma, medtech, agriculture, etc.) and works with clients on a wide range of topics, including large-scale transformations (particularly post-merger integration) and commercial operations. Mr. Wuebbels served as a Board Member at PhagoMed Biopharma. He has more than 15 years' experience advising Healthcare companies on Commercial Excellence and strategic transformations. At The Boston Consulting Group (BCG), Gerd advises Top 10 Pharma and MedTech companies. Gerd also has extensive entrepreneurial experience as a Managing Director at BCG, but also through his angel investments. Gerd studied business administration in Münster, Manchester, and Monterrey.</t>
  </si>
  <si>
    <t>wuebbels.gerd@bcg.com</t>
  </si>
  <si>
    <t>435405-61P</t>
  </si>
  <si>
    <t>Gerold Grasshoff</t>
  </si>
  <si>
    <t>Gerold</t>
  </si>
  <si>
    <t>Grasshoff</t>
  </si>
  <si>
    <t>Mr. Gerold Grasshoff serves as Managing Director &amp; Senior Partner at Boston Consulting Group. His premerger and postmerger support for European banks has included risk reduction programs for large investment banking portfolios and the complete setup of best-practice risk organizations.</t>
  </si>
  <si>
    <t>grasshoff.gerold@bcg.com</t>
  </si>
  <si>
    <t>436429-81P</t>
  </si>
  <si>
    <t>Gerry Feigin Ph.D</t>
  </si>
  <si>
    <t>Gerry</t>
  </si>
  <si>
    <t>Feigin</t>
  </si>
  <si>
    <t>Mr. Gerry Feigin serves as Partner &amp; Vice President - Data Science at Boston Consulting Group. He works with clients on constructing optimization, digital twin, and predictive models for operational transformation in supply chain, manufacturing, distribution, and service operations across multiple industries. He leads the firm's work in supply chain and operations advanced analytics in North America.</t>
  </si>
  <si>
    <t>gerry.feigin@bcg.com</t>
  </si>
  <si>
    <t>Partner &amp; Vice President - Data Science</t>
  </si>
  <si>
    <t>17449-93P</t>
  </si>
  <si>
    <t>Gerry Hansell</t>
  </si>
  <si>
    <t>Hansell</t>
  </si>
  <si>
    <t>Mr. Gerry Hansell serves as Managing Director &amp; Senior Partner at Boston Consulting Group. Gerry's research focused on the value patterns that describe how a company's starting position at a given time shapes the range and types of strategic moves that are most likely to create value for that company. The common types of value patterns that inform a company's investment thesis and strategic agenda are defined, not by industry, but by business model economics and investor appeal.</t>
  </si>
  <si>
    <t>gerryh@bcg.com</t>
  </si>
  <si>
    <t>389073-52P</t>
  </si>
  <si>
    <t>Gertie Laerkholm</t>
  </si>
  <si>
    <t>Gertie</t>
  </si>
  <si>
    <t>Laerkholm</t>
  </si>
  <si>
    <t>Ms. Gertie Laerkholm serves as Managing Director and Partner at Boston Consulting Group.</t>
  </si>
  <si>
    <t>laerkholm.gertie@bcg.com</t>
  </si>
  <si>
    <t>456484-87P</t>
  </si>
  <si>
    <t>Ghita Jalal Ph.D</t>
  </si>
  <si>
    <t>Ghita</t>
  </si>
  <si>
    <t>Jalal</t>
  </si>
  <si>
    <t>Dr. Ghita Jalal serves as Principal, BCG X at Boston Consulting Group. She has over ten years of experience in design research, human-centered design, and strategic innovation in the fields of energy, education, financial services, and health care. She leads the design chapter of BCG's tech hub in Casablanca. She works with clients on digital transformations to AI-based organizations, while building innovative products and business solutions. She focuses on building design teams that bring value and impact at a strategic level.</t>
  </si>
  <si>
    <t>jalal.ghita@bcg.com</t>
  </si>
  <si>
    <t>Principal, BCG X</t>
  </si>
  <si>
    <t>455368-42P</t>
  </si>
  <si>
    <t>Gian-Carlo Walker</t>
  </si>
  <si>
    <t>Gian-Carlo</t>
  </si>
  <si>
    <t>Mr. Gian-Carlo Walker serves as Managing Director &amp; Partner at Boston Consulting Group. He is a core member of the Health Care practice at the firm. His work at BCG focuses on supply chain operations and transformation, primarily with biopharmaceutical and medical devices companies. He has experience in digital supply chain and advanced analytics for biopharma operations and contract development and manufacturing organizations (CDMOs), supply chain planning, operating model design, strategic collaborations, and other topics. He has also led due diligence and post-merger integration planning engagements. Prior to joining BCG, he worked in investment banking at Credit Suisse in Zurich.</t>
  </si>
  <si>
    <t>gwalker@bcg.com</t>
  </si>
  <si>
    <t>456522-22P</t>
  </si>
  <si>
    <t>Gianfranco Cuscito</t>
  </si>
  <si>
    <t>Gianfranco</t>
  </si>
  <si>
    <t>Cuscito</t>
  </si>
  <si>
    <t>Mr. Gianfranco Cuscito serves as Managing Director &amp; Partner at Boston Consulting Group. He is the system leader for BCG Platinion in the East Mediterranean and Caspian (EMC) region. His expertise covers IT operating models, cost optimization, enterprise resource planning (ERP) transformations, innovation, and process automation, as well as the design of IT applications and infrastructure architecture. Before joining BCG Platinion, he held senior roles at leading consulting firms including AlixPartners, McKinsey &amp; Company, and Deloitte. He also served as Chief Technology Officer for a major Italian utility company.</t>
  </si>
  <si>
    <t>cuscito.gianfranco@bcg.com</t>
  </si>
  <si>
    <t>455743-00P</t>
  </si>
  <si>
    <t>Gianluca Barca</t>
  </si>
  <si>
    <t>Gianluca</t>
  </si>
  <si>
    <t>Barca</t>
  </si>
  <si>
    <t>Mr. Gianluca Barca serves as a Partner at Boston Consulting Group. He is a core member of the firm's Public Sector practice. He works with clients in the Middle East, primarily in Saudi Arabia, where he typically advises on investment programs and economic policies. He has contributed to projects involving setting up major investment programs, including identifying investment opportunities, developing policies and ecosystem governance, and supporting the setup of related entities. Before joining BCG, he was head of corporate development at Hilti Operations and Marketing Manager at Ariston Turkey.</t>
  </si>
  <si>
    <t>barca.gianluca@bcg.com</t>
  </si>
  <si>
    <t>435712-78P</t>
  </si>
  <si>
    <t>Gideon Walter</t>
  </si>
  <si>
    <t>Gideon</t>
  </si>
  <si>
    <t>Mr. Gideon Walter serves as Managing Director &amp; Senior Partner at Boston Consulting Group. He has led global supply chain transformations and reorganizations in biopharma, created operational-excellence programs for manufacturing in pharmaceuticals, and driven supply chain optimization in fast-moving consumer goods. He is also a core member of the Operations and Health Care Practice Areas. Over the past years, Gideon served as North America's Operations RPAL. He is also the firm's supply chain topic leader for North America.</t>
  </si>
  <si>
    <t>walter.gideon@bcg.com</t>
  </si>
  <si>
    <t>207673-39P</t>
  </si>
  <si>
    <t>Gildas Bouteiller</t>
  </si>
  <si>
    <t>Gildas</t>
  </si>
  <si>
    <t>Bouteiller</t>
  </si>
  <si>
    <t>Mr. Gildas Bouteiller served as Chief Information Technology Officer at SportFive. He has worked with clients in multiple industries, especially in health care, FMCG, and logistics and transportation, among others.</t>
  </si>
  <si>
    <t>bouteiller.gildas@bcg.com</t>
  </si>
  <si>
    <t>17449-75P</t>
  </si>
  <si>
    <t>Gili Gordon</t>
  </si>
  <si>
    <t>Gili</t>
  </si>
  <si>
    <t>Mr. Gili Gordon serves as Managing Director &amp; Senior Partner at Boston Consulting Group. He has advised CEOs, senior management, and directorial boards on complex strategic issues across an array of industries, including consumer and industrial goods, energy, and financial services. He has acquired deep experience in transaction banking, intellectual property, cybersecurity, and IT risk management.</t>
  </si>
  <si>
    <t>gili.g@bcg.com</t>
  </si>
  <si>
    <t>455595-13P</t>
  </si>
  <si>
    <t>Giorgo Paizanis</t>
  </si>
  <si>
    <t>Giorgo</t>
  </si>
  <si>
    <t>Paizanis</t>
  </si>
  <si>
    <t>Mr. Giorgo Paizanis serves as a Partner at Boston Consulting Group. He leads growth marketing teams at BCG X and is a core member of the Consumer practice and the Green Tech and Metaverse teams at the firm. He has over 15 years of experience leading corporate venturing and marketing teams in the consumer, industrial goods, automotive, finance, and energy sectors. His primary focus is at the intersection of digital growth and consumer brands-he helps companies to develop and execute innovative go-to-market strategies to drive profitable growth, change, and bottom-line financial performance. Prior to BCG, he was Managing Director at Habbo Hotel. He also served as Director of Corporate Development at Elisa Oyj (ELISA.HE), leading M&amp;A and growth strategy for a telecom venture portfolio.</t>
  </si>
  <si>
    <t>paizanis.giorgo@bcg.com</t>
  </si>
  <si>
    <t>455807-71P</t>
  </si>
  <si>
    <t>Giovanni Lucini</t>
  </si>
  <si>
    <t>Lucini</t>
  </si>
  <si>
    <t>Mr. Giovanni Lucini serves as Partner &amp; Director at Boston Consulting Group. He is a core member of the firm's Risk &amp; Compliance practice and leads the Risk &amp; Compliance team's work in risk analytics and technologies and climate risk quantification. He has 15 years of consulting experience in top-tier consulting firms and six years as a senior executive. He is currently leading the BCG effort to further develop tools and methodologies for climate physical risk quantification and adaptation. Before joining the firm, he worked at Unicredit Group as Head of Transaction Banking and other roles, at McKinsey &amp; Company, and at Arthur D. Little.</t>
  </si>
  <si>
    <t>giovanni@bcg.com</t>
  </si>
  <si>
    <t>456640-75P</t>
  </si>
  <si>
    <t>Giovanni Moscatelli</t>
  </si>
  <si>
    <t>Moscatelli</t>
  </si>
  <si>
    <t>Mr. Giovanni Moscatelli serves as Managing Director &amp; Senior Partner at Boston Consulting Group. He is a core member of the Industrial Goods practice at BCG, where he focuses on transportation, logistics, infrastructure, and shipping. He has over ten years of consulting experience in Europe, the US, and the Middle East, mainly with industrial goods players. He has worked with shipping, logistics, electronics, and engineering companies, among others. He is also a member of BCG's Digital Center for Transportation &amp; Logistics. Prior to joining BCG, he worked extensively for the United Nations.</t>
  </si>
  <si>
    <t>moscatelli.giovanni@bcg.com</t>
  </si>
  <si>
    <t>455880-25P</t>
  </si>
  <si>
    <t>Giovanni Tracia</t>
  </si>
  <si>
    <t>Tracia</t>
  </si>
  <si>
    <t>Mr. Giovanni Tracia serves as Managing Director, BCG Platinion at Boston Consulting Group. He is a core member of BCG Platinion's Technology, Media &amp; Telecommunications (TMT) practice. He advises TMT service providers and senior technology executives on digital and large technology transformations. He serves his clients by advising them on how to transform their business support systems applications landscape, enabling commercial offering transformation and evolution on assisted and digital channels. He has supported initiatives on productivity improvements, sourcing, cost optimization, go-to-market strategy, process intelligence, and AI automation. Before joining BCG, he was CIO at Sky Italia, and before that, a Senior Managing Partner in TMT at Gartner Consulting.</t>
  </si>
  <si>
    <t>tracia.giovanni@bcg.com</t>
  </si>
  <si>
    <t>436165-03P</t>
  </si>
  <si>
    <t>Gitte Frederiksen</t>
  </si>
  <si>
    <t>Gitte</t>
  </si>
  <si>
    <t>Frederiksen</t>
  </si>
  <si>
    <t>Ms. Gitte Frederiksen serves as Partner at Boston Consulting Group. She specializes in orchestrating a holistic change and driving real adoption and impact in order to make data a strategic asset and sustained, competitive advantage.</t>
  </si>
  <si>
    <t>frederiksen.gitte@bcg.com</t>
  </si>
  <si>
    <t>435820-69P</t>
  </si>
  <si>
    <t>Giuseppe Bonaccorsi</t>
  </si>
  <si>
    <t>Giuseppe</t>
  </si>
  <si>
    <t>Bonaccorsi</t>
  </si>
  <si>
    <t>Mr. Giuseppe Bonaccorsi serves as Managing Director &amp; Partner at Boston Consulting Group. He has functional expertise in strategy, digital transformation, sustainability and circular economy, innovation, and setting up of new digital businesses.</t>
  </si>
  <si>
    <t>bonaccorsi.giuseppe@bcg.com</t>
  </si>
  <si>
    <t>436289-05P</t>
  </si>
  <si>
    <t>Giuseppe Falco</t>
  </si>
  <si>
    <t>Falco</t>
  </si>
  <si>
    <t>Mr. Giuseppe Falco serves as Managing Director &amp; Senior Partner at Boston Consulting Group. He has handled extensive transformations for large companies and family businesses involving turnarounds, relaunches, business model innovation, and digital transformation.</t>
  </si>
  <si>
    <t>falco.giuseppe@bcg.com</t>
  </si>
  <si>
    <t>455820-85P</t>
  </si>
  <si>
    <t>Giuseppe Franco</t>
  </si>
  <si>
    <t>Franco</t>
  </si>
  <si>
    <t>Mr. Giuseppe Franco serves as Managing Director &amp; Partner at Boston Consulting Group. He leads the firm's Insurance practice in the East Mediterranean and the Caspian system. As a core member of BCG's global Insurance practice, he specializes in the property and casualty sector, with deep expertise in pricing, underwriting, and claims management. His work is focused on helping clients unlock value by integrating artificial intelligence and generative AI to transform the core business and enhance decision-making.</t>
  </si>
  <si>
    <t>franco@bcg.com</t>
  </si>
  <si>
    <t>435009-16P</t>
  </si>
  <si>
    <t>Gonzalo Fuentes</t>
  </si>
  <si>
    <t>Fuentes</t>
  </si>
  <si>
    <t>Mr. Gonzalo Fuentes serves as Managing Director &amp; Partner at Boston Consulting Group. He is a core member of the firm's Financial Institutions and Technology &amp; Digital Advantage practices. He has developed deep knowledge of cutting-edge technologies and has experience designing and implementing digital platforms, agile ways of working, DevOps, Cloud, and advanced analytics, among other things.</t>
  </si>
  <si>
    <t>gfuentes@bcg.com</t>
  </si>
  <si>
    <t>435404-08P</t>
  </si>
  <si>
    <t>Gotz Gerecke</t>
  </si>
  <si>
    <t>Gotz</t>
  </si>
  <si>
    <t>Gerecke</t>
  </si>
  <si>
    <t>Mr. Gotz Gerecke serves as Managing Director &amp; Senior Partner at Boston Consulting Group. He heads BCG's medtech commercial business worldwide and is the leader for medtech and the Marketing, Sales &amp; Pricing practice in Switzerland. He is also responsible for BCG's recruiting in Central Europe, the Middle East, and Africa.</t>
  </si>
  <si>
    <t>gerecke.goetz@bcg.com</t>
  </si>
  <si>
    <t>258620-50P</t>
  </si>
  <si>
    <t>Graeme Steen</t>
  </si>
  <si>
    <t>Steen</t>
  </si>
  <si>
    <t>Mr. Graeme Steen serves as Partner at Boston Consulting Group. Mr. Steen served as Chief Operating Officer at Kandua. He is a member of the Technology &amp; Digital Advantage; Technology, Media &amp; Telecommunications; and Financial Institutions practices at the firm.</t>
  </si>
  <si>
    <t>steen.graeme@bcg.com</t>
  </si>
  <si>
    <t>456698-53P</t>
  </si>
  <si>
    <t>Grant McCabe</t>
  </si>
  <si>
    <t>McCabe</t>
  </si>
  <si>
    <t>Mr. Grant McCabe serves as Managing Director &amp; Senior Partner at Boston Consulting Group. He is the managing partner for the firm in Australia and New Zealand, and a member of the Asia Pacific leadership team. He previously served as the regional lead for the Operations practice in Asia Pacific. He is a core member and client service partner of the Industrial Goods, Operations, and Transformation practices. He specializes in mining and has significant experience in digital operations, climate transition, strategy, change management, and large-scale transformation. Before joining BCG, he worked in the automotive industry with General Motors Holden in Australia.</t>
  </si>
  <si>
    <t>mccabe.grant@bcg.com</t>
  </si>
  <si>
    <t>214924-06P</t>
  </si>
  <si>
    <t>Grantly Mailes</t>
  </si>
  <si>
    <t>Grantly</t>
  </si>
  <si>
    <t>Mailes</t>
  </si>
  <si>
    <t>Mr. Grantly Mailes serves as Partner &amp; Associate Director, Emerging Technologies at Boston Consulting Group. Mr. Grantly Mailes is a Co-Founder and serves as Co-Chief Executive Officer at Civic Ledger. He is a technology advisor, entrepreneur, and innovator with experience in advising senior business and government leaders on the use of digital technologies to reshape enterprises and governments. He is a globally recognised leader in emerging technologies, including blockchain and artificial intelligence. He works with senior government officials and C-suite executives around the world and is an Associate Director of the Boston Consulting Group. He is an Inaugural Blockchain Fellow of Australia.</t>
  </si>
  <si>
    <t>mailes.grantly@bcg.com</t>
  </si>
  <si>
    <t>Partner &amp; Associate Director, Emerging Technologies</t>
  </si>
  <si>
    <t>435641-41P</t>
  </si>
  <si>
    <t>Greg Boison</t>
  </si>
  <si>
    <t>Boison</t>
  </si>
  <si>
    <t>Mr. Greg Boison serves as Managing Director &amp; Partner at Boston Consulting Group. He has worked extensively with numerous US federal government organizations, including the Department of Homeland Security, the Federal Bureau of Investigation, the Department of Justice, the Department of Energy, and financial regulators.</t>
  </si>
  <si>
    <t>boison.greg@bcg.com</t>
  </si>
  <si>
    <t>455509-00P</t>
  </si>
  <si>
    <t>Greg Ebersole MD</t>
  </si>
  <si>
    <t>Ebersole</t>
  </si>
  <si>
    <t>Dr. Greg Ebersole serves as Managing Director &amp; Partner at Boston Consulting Group. He is a physician and a core member of the firm's Health Care practice. At BCG, he has focused heavily on care delivery strategy and operations for providers, payers, and integrated systems across multiple delivery channels, including digital, inpatient, outpatient, and home. He has led multiple initiatives focused on population health improvements, cost and quality management, site of care strategy, and service line strategy. He has significant experience supporting clients on value-based care topics.</t>
  </si>
  <si>
    <t>ebersole.greg@bcg.com</t>
  </si>
  <si>
    <t>455427-91P</t>
  </si>
  <si>
    <t>Greg Emerson</t>
  </si>
  <si>
    <t>Emerson</t>
  </si>
  <si>
    <t>Mr. Greg Emerson serves as Managing Director &amp; Senior Partner at Boston Consulting Group. He is a core member of the Principal Investors &amp; Private Equity and Technology, Media &amp; Telecom practices. He leads BCG's technology capital business globally. He is deeply interested in the intersection of technology and private capital. He has specific expertise in transaction diligence (buy-side and sell-side), covering enterprise software, payments, fintech, data, and consumer internet business.</t>
  </si>
  <si>
    <t>emerson.greg@bcg.com</t>
  </si>
  <si>
    <t>456088-96P</t>
  </si>
  <si>
    <t>Greg Fischer Ph.D</t>
  </si>
  <si>
    <t>Fischer</t>
  </si>
  <si>
    <t>Dr. Greg Fischer serves as Partner &amp; Director at Boston Consulting Group. He is a member of the Climate &amp; Sustainability and Social Impact practices at the firm, working closely with the Principal Investors &amp; Private Equity (PIPE) and Corporate Finance &amp; Strategy (CFS) teams. He specializes in sustainable investment strategies for private equity, asset, and wealth managers, working investors, corporates, and the public sector to build and integrate sustainable investment and management practices that generate value. He also co-leads the firm's impact investing and blended finance activities globally. Prior to joining BCG, he was the Chief Economist at Y Analytics. He also co-founded a SaaS-based, sustainability and impact data-collection, management, and reporting company.</t>
  </si>
  <si>
    <t>greg.fischer@bcg.com</t>
  </si>
  <si>
    <t>435830-23P</t>
  </si>
  <si>
    <t>Greg Mallory Ph.D</t>
  </si>
  <si>
    <t>Mallory</t>
  </si>
  <si>
    <t>Mr. Greg Mallory serves as Managing Director &amp; Senior Partner at Boston Consulting Group. He has worked extensively with A&amp;D original equipment manufacturers, defense contractors, system and component suppliers, and service suppliers on revenue and profit growth programs, organization design, supply chain optimization programs, services strategies, cost reduction programs, mergers and acquisitions, and post-merger integration efforts.</t>
  </si>
  <si>
    <t>mallory.greg@bcg.com</t>
  </si>
  <si>
    <t>435357-28P</t>
  </si>
  <si>
    <t>Greg Papp</t>
  </si>
  <si>
    <t>Papp</t>
  </si>
  <si>
    <t>Mr. Greg Papp serves as Managing Director &amp; Senior Partner at Boston Consulting Group. His work with consumer clients has focused on topics such as corporate strategy, growth, category management and profit improvement, salesforce effectiveness, new market entry, and customer analytics. He also works with management teams in a variety of industries on corporate strategy and growth topics.</t>
  </si>
  <si>
    <t>papp.greg@bcg.com</t>
  </si>
  <si>
    <t>436144-87P</t>
  </si>
  <si>
    <t>Gregor Gossy Ph.D</t>
  </si>
  <si>
    <t>Gregor</t>
  </si>
  <si>
    <t>Gossy</t>
  </si>
  <si>
    <t>Mr. Gregor Gossy serves as Partner &amp; Director, Cost &amp; Service Excellence at Boston Consulting Group. As a core member of BCG's Operations practice, he has considerable experience in cost excellence, support function/overhead excellence, organizational design, restructuring, and transformations.</t>
  </si>
  <si>
    <t>gossy.gregor@bcg.com</t>
  </si>
  <si>
    <t>Partner &amp; Director, Cost &amp; Service Excellence</t>
  </si>
  <si>
    <t>435659-77P</t>
  </si>
  <si>
    <t>Gregory Meyding</t>
  </si>
  <si>
    <t>Meyding</t>
  </si>
  <si>
    <t>Mr. Gregory Meyding serves as Partner &amp; Associate Director, Change Management at Boston Consulting Group. His expertise extends to change management, digital transformation, organizational design, enterprise change capability building, culture change, learning, and large-scale program management. His industry experience includes consumer products, life sciences, retail, travel and transportation, financial services, and industrial.</t>
  </si>
  <si>
    <t>meyding.greg@bcg.com</t>
  </si>
  <si>
    <t>Partner &amp; Associate Director, Change Management</t>
  </si>
  <si>
    <t>456210-19P</t>
  </si>
  <si>
    <t>Gregory Rice</t>
  </si>
  <si>
    <t>Rice</t>
  </si>
  <si>
    <t>Mr. Gregory Rice serves as Partner &amp; Director at Boston Consulting Group. He is a member of the Corporate Finance &amp; Strategy practice at the firm and co-leads the firm's Shareholder Advisory &amp; Activism effort. He brings the perspective of an investor and capital markets leader to BCG clients who are facing complex shareholder issues.</t>
  </si>
  <si>
    <t>rice.gregory@bcg.com</t>
  </si>
  <si>
    <t>435204-01P</t>
  </si>
  <si>
    <t>Guervan Adnet</t>
  </si>
  <si>
    <t>Guervan</t>
  </si>
  <si>
    <t>Adnet</t>
  </si>
  <si>
    <t>Mr. Guervan Adnet serves as Partner at Boston Consulting Group. He has worked with pharma and biopharma companies, as well as insurers, on transformation and change management topics.</t>
  </si>
  <si>
    <t>adnet.guervan@bcg.com</t>
  </si>
  <si>
    <t>455438-08P</t>
  </si>
  <si>
    <t>Guia Ricci</t>
  </si>
  <si>
    <t>Guia</t>
  </si>
  <si>
    <t>Ricci</t>
  </si>
  <si>
    <t>Ms. Guia Ricci serves as Managing Director &amp; Partner at Boston Consulting Group. She is a core member of the Consumer Goods practice, with a focus on fashion and luxury. She has developed her broad expertise working with high-end European and Italian department stores, luxury companies, apparel companies, and apparel retailers on topics including advanced analytics and data, digital and omnichannel, merchandising and collection structure, organizational redesign, new concept development and launch, and consumer understanding and segmentation.</t>
  </si>
  <si>
    <t>ricci.guia@bcg.com</t>
  </si>
  <si>
    <t>456532-75P</t>
  </si>
  <si>
    <t>Guillaume Darrieus</t>
  </si>
  <si>
    <t>Darrieus</t>
  </si>
  <si>
    <t>Mr. Guillaume Darrieus serves as Managing Director &amp; Partner at Boston Consulting Group. He is a core member of the firm's Principal Investors &amp; Private Equity (PIPE) practice. He has experience in both transaction and portfolio work. Within the PIPE practice, he focuses on people-based services (testing, inspection, and certification; IT services; engineering services) as well as social infrastructure (education, retail health care, leisure, funeral services), and beauty. He leads value-creation programs and value due diligence for clients across industries.</t>
  </si>
  <si>
    <t>darrieus.guillaume@bcg.com</t>
  </si>
  <si>
    <t>436120-03P</t>
  </si>
  <si>
    <t>Guillaume Gardy</t>
  </si>
  <si>
    <t>Gardy</t>
  </si>
  <si>
    <t>Mr. Guillaume Gardy serves as Partner &amp; Director at Boston Consulting Group. He has particularly deep experience in the telecom industry and industrial goods industries and has helped numerous companies optimize sourcing in an international environment.</t>
  </si>
  <si>
    <t>gardy.guillaume@bcg.com</t>
  </si>
  <si>
    <t>456098-95P</t>
  </si>
  <si>
    <t>Guillaume Lemoine</t>
  </si>
  <si>
    <t>Lemoine</t>
  </si>
  <si>
    <t>Mr. Guillaume Lemoine serves as Managing Director &amp; Partner at Boston Consulting Group. He is an active member of the Travel, Cities &amp; Infrastructure (TCI), Principal Investors &amp; Private Equity (PIPE), and Insurance practices at the firm. He has led numerous projects in the insurance/mutual insurance ecosystem, notably with a focus on distribution and brokerage strategies, and in the real estate ecosystem and its entire value chain, including real estate companies, developers, builders, and operators (hotels, residences). He has also supported transactional assignments in the insurance and real estate industries, including brokerage, third-party administrators (TPA), assistance/expert networks, real estate developers, and independent financial advisors (IFA) networks.</t>
  </si>
  <si>
    <t>lemoine.guillaume@bcg.com</t>
  </si>
  <si>
    <t>456226-03P</t>
  </si>
  <si>
    <t>Guillaume Rubens</t>
  </si>
  <si>
    <t>Rubens</t>
  </si>
  <si>
    <t>Mr. Guillaume Rubens serves as Managing Director &amp; Partner at Boston Consulting Group. He leads the firm's European Principle Investors &amp; Private Equity (PIPE) practice in the Nordics. He works with private equity funds throughout the ownership lifecycle, including investment strategy, sourcing, transaction support (commercial due diligence), value creation with portfolio companies, and exit preparations (vendor due diligence).</t>
  </si>
  <si>
    <t>rubens.guillaume@bcg.com</t>
  </si>
  <si>
    <t>453235-51P</t>
  </si>
  <si>
    <t>Guillaume Vernier</t>
  </si>
  <si>
    <t>Vernier</t>
  </si>
  <si>
    <t>Mr. Guillaume Vernier serves as Managing Director &amp; Partner at Boston Consulting Group. He is a core member of the Energy practice with a focus on energy transition and decentralized energy solutions (photovoltaic, charging infrastructures, HVAC, etc.), as well as waste and water management. He has led many engagements with utilities, energy services, and environmental services companies. His expertise covers corporate strategy (market and competitive analyses, portfolio optimization, and war-gaming and scenario planning exercises), top-line development, organizational and operational performance, and transformation programs. Mr. Vernier previously worked at Roland Berger, where he specialized in utilities (energy and environment) and private equity.</t>
  </si>
  <si>
    <t>vernier.guillaume@bcg.com</t>
  </si>
  <si>
    <t>435085-93P</t>
  </si>
  <si>
    <t>Gunnar Trommer Ph.D</t>
  </si>
  <si>
    <t>Gunnar</t>
  </si>
  <si>
    <t>Trommer</t>
  </si>
  <si>
    <t>Mr. Gunnar Trommer serves as Managing Director &amp; Partner at Boston Consulting Group. He has built up the firm's expertise in digital health, covering design for patients and clinicians, health care compliant data transmission, storage, and analytics, as well as curating a network of partners across the clinical and technical digital health ecosystem.</t>
  </si>
  <si>
    <t>trommer.gunnar@bcg.com</t>
  </si>
  <si>
    <t>435407-68P</t>
  </si>
  <si>
    <t>Gustavo Loforte</t>
  </si>
  <si>
    <t>Loforte</t>
  </si>
  <si>
    <t>Mr. Gustavo Loforte serves as Partner &amp; Associate Director at Boston Consulting Group. He has focused on Argentina, Chile, and Bolivia and on issues related to organizational, operational, and commercial strategy.</t>
  </si>
  <si>
    <t>loforte.gustavo@bcg.com</t>
  </si>
  <si>
    <t>242796-25P</t>
  </si>
  <si>
    <t>Guy Gilliland</t>
  </si>
  <si>
    <t>Gilliland</t>
  </si>
  <si>
    <t>Mr. Guy Gilliland serves as Senior Partner &amp; Managing Director at Boston Consulting Group. Previously, he served as Chief Executive Officer &amp; Board Member at Nuburu. He has over 20 years of experience as a management consultant as a Senior Partner &amp; Managing Director for the Boston Consulting Group. He held leadership positions at BCG as the worldwide head of BCG's Technology practice and the North American head of our Tech, Media, Telecom practice. Prior to his consulting career, he was a researcher and professor in the field of semiconductor and laser research at IBM, Arizona State University and Emory University. He received a B.S. in Physics from Baylor University. He received his M.S. and Ph.D. in Physics from Oklahoma State University where he was awarded a graduate fellowship from the Office of Naval Research. Furthermore, he also received his MBA from Wharton, where he graduated with Distinction.</t>
  </si>
  <si>
    <t>guyg@bcg.com</t>
  </si>
  <si>
    <t>456825-52P</t>
  </si>
  <si>
    <t>Gwenhael Le Boulay</t>
  </si>
  <si>
    <t>Gwenhael</t>
  </si>
  <si>
    <t>Le Boulay</t>
  </si>
  <si>
    <t>Mr. Gwenhael Le Boulay serves as Managing Director &amp; Senior Partner at Boston Consulting Group. He is a core member of the Financial Institutions (FI) practice of the firm. He focuses primarily on corporate and investment banking, as well as on risk and compliance. He leads BCG's wholesale banking segment globally, and also leads the firm's FI Segment Organizations (Retail Banking, Wholesale Banking, Transaction Banking, and Wealth and Asset Management). He has worked with numerous institutions to support new directions for corporate and investment banks, including portfolio strategy, capital allocation, target operating model, and organization.</t>
  </si>
  <si>
    <t>leboulay.gwenhael@bcg.com</t>
  </si>
  <si>
    <t>456630-04P</t>
  </si>
  <si>
    <t>Hady Farag Ph.D</t>
  </si>
  <si>
    <t>Hady</t>
  </si>
  <si>
    <t>Farag</t>
  </si>
  <si>
    <t>Dr. Hady Farag serves as Partner &amp; Director, Shareholder Value Strategy at Boston Consulting Group. He is a core member of the Corporate Finance &amp; Strategy practice at the firm. He is an expert in corporate strategy and shareholder value and, since 2006, has worked extensively on these topics with clients around the world in various industries, including technology, health care, transportation and logistics, and consumer goods. He has helped clients implement capital market strategies, responses to activist attacks, and transformative value creation roadmaps. He has also advised clients on acquisitions and divestitures, strategic alliances, and corporate venturing.</t>
  </si>
  <si>
    <t>farag.hady@bcg.com</t>
  </si>
  <si>
    <t>Partner &amp; Director, Shareholder Value Strategy</t>
  </si>
  <si>
    <t>435219-13P</t>
  </si>
  <si>
    <t>Haikal Siregar</t>
  </si>
  <si>
    <t>Haikal</t>
  </si>
  <si>
    <t>Siregar</t>
  </si>
  <si>
    <t>Mr. Haikal Siregar serves as Managing Director &amp; Partner at Boston Consulting Group. He is a core leader in the firm's Consumer and Industrial Goods practices, and has expertise in digital, people and organization, and sustainability across industries.</t>
  </si>
  <si>
    <t>siregar.haikal@bcg.com</t>
  </si>
  <si>
    <t>434934-37P</t>
  </si>
  <si>
    <t>Haixu Wang</t>
  </si>
  <si>
    <t>Haixu</t>
  </si>
  <si>
    <t>Mr. Haixu Wang serves as Managing Director &amp; Partner at Boston Consulting Group. He has deep insights into the broader technology space, especially corporate strategy design and implementation, globalization, investment, and M&amp;A support.</t>
  </si>
  <si>
    <t>wang.haixu@bcg.com</t>
  </si>
  <si>
    <t>456588-46P</t>
  </si>
  <si>
    <t>Hajime Tsujigaki</t>
  </si>
  <si>
    <t>Hajime</t>
  </si>
  <si>
    <t>Tsujigaki</t>
  </si>
  <si>
    <t>Mr. Hajime Tsujigaki serves as Partner &amp; Director at Boston Consulting Group. He is an expert in BCG's Principal Investors and Private Equity practice in Japan. He is also a core member of Marketing, Sales, and Pricing, and Industrial Goods practices. He has rich experience in supporting principal investors and private equities in areas such as deal sourcing, due diligence, value creation, PMI, and turnaround.</t>
  </si>
  <si>
    <t>tsujigaki.hajime@bcg.com</t>
  </si>
  <si>
    <t>456200-92P</t>
  </si>
  <si>
    <t>Hakim Hamane</t>
  </si>
  <si>
    <t>Hakim</t>
  </si>
  <si>
    <t>Hamane</t>
  </si>
  <si>
    <t>Mr. Hakim Hamane serves as Managing Director, BCG Platinion at Boston Consulting Group. He leads BCG Platinion in Africa. He specializes in IT modernization and digital transformations in industries including insurance, banking, telecom, and mining, and the public sector. Before joining BCG, he was most recently Executive VP Information Technology at Sanlam Morocco, and before that, was VP Head of Technology, Organization &amp; Project Management Office at Cheikh Khalifa Foundation.</t>
  </si>
  <si>
    <t>hamane.hakim@bcg.com</t>
  </si>
  <si>
    <t>434886-04P</t>
  </si>
  <si>
    <t>Hanjo Seibert</t>
  </si>
  <si>
    <t>Hanjo</t>
  </si>
  <si>
    <t>Seibert</t>
  </si>
  <si>
    <t>Mr. Hanjo Seibert serves as Managing Director &amp; Partner at Boston Consulting Group. He specializes in large-scale transformations with a focus on data-driven, tech-enabled, and risk-based approaches yielding efficiency uplifts and effectiveness enhancements and culture transformations.</t>
  </si>
  <si>
    <t>seibert.hanjo@bcg.com</t>
  </si>
  <si>
    <t>455358-88P</t>
  </si>
  <si>
    <t>Hannah Hill</t>
  </si>
  <si>
    <t>Ms. Hannah Hill serves as a Partner at Boston Consulting Group. She is a core member of the firm's Social Impact practice. Within that practice, she has a special focus on, and has led engagements in, education and the digital divide, and climate and sustainability. She also has experience working on engagements in operations, tech advantage, and consumer topics. At BCG, the focus of her work has been on systemic inequities and closing the digital divide.</t>
  </si>
  <si>
    <t>hill.hannah@bcg.com</t>
  </si>
  <si>
    <t>52437-79P</t>
  </si>
  <si>
    <t>Hanno Stegmann</t>
  </si>
  <si>
    <t>Hanno</t>
  </si>
  <si>
    <t>Stegmann</t>
  </si>
  <si>
    <t>Mr. Hanno Stegmann serves as Managing Director &amp; Partner, BCG X at Boston Consulting Group. Mr. Stegmann served as Board Observer at moebel.de. He served as Chief Executive Officer at Asia Pacific Internet Group. He served as Chief Executive Officer at Rocket Internet Asia Pacific HQ at Rocket Internet. Prior to his appointment as CEO of APACIG, he worked for several years as Managing Director and CFO of SevenVentures GmbH - a leading German venture fund and was Vice President, M&amp;A, responsible for the digital acquisition projects of ProSiebenSat.1 Media AG, one of Europe's largest Media conglomerates. Before entering the Digital space, Hanno was employed as a strategy consultant at the Boston Consulting Group, where he worked on various strategy and M&amp;A assignments around the globe. He holds an MBA with distinction from INSEAD in Fontainebleau (France) &amp; Singapore as well as a B.A. in Management from the University of St. Gallen (Switzerland).</t>
  </si>
  <si>
    <t>stegmann.hanno@bcg.com</t>
  </si>
  <si>
    <t>435388-42P</t>
  </si>
  <si>
    <t>Hans Clement</t>
  </si>
  <si>
    <t>Clement</t>
  </si>
  <si>
    <t>Mr. Hans Clement serves as Managing Director &amp; Partner at Boston Consulting Group. He supports his clients in the conceptualization, construction, and operationalization of large tourism and entertainment destination developments.</t>
  </si>
  <si>
    <t>clement.hans@bcg.com</t>
  </si>
  <si>
    <t>456186-79P</t>
  </si>
  <si>
    <t>Hardik Shah</t>
  </si>
  <si>
    <t>Hardik</t>
  </si>
  <si>
    <t>Mr. Hardik Shah serves as Managing Director &amp; Partner at Boston Consulting Group. He is a core member of BCG's Financial Institutions practice in India. Hardik has significant expertise in small and medium-sized enterprise and retail business build and transformation, large-scale digital transformations, and growth strategy. He advises banks and non-banks on various risk management topics, including new-age credit risk management, enterprise risk management, and collections excellence. His work spans the financial services ecosystem in India. Before joining BCG, he worked at CNK &amp; Associates, Chartered Accountants.</t>
  </si>
  <si>
    <t>shah.hardik@bcg.com</t>
  </si>
  <si>
    <t>456683-32P</t>
  </si>
  <si>
    <t>Hardik Sheth</t>
  </si>
  <si>
    <t>Sheth</t>
  </si>
  <si>
    <t>Mr. Hardik Sheth serves as Partner &amp; Director, Center for CFO Excellence at Boston Consulting Group. He is a leader of the firm's CFO Excellence practice area in North America, and a member of the Corporate Finance &amp; Strategy and Insurance practices globally. He has over 15 years of experience advising CFOs on a broad range of strategic topics so they can determine their vision, mission, strategy, organization structure, capability profiles, engagement models, and supporting processes and systems. He has worked with clients in the insurance, financial services, life sciences, and technology industries on digitally enabled large-scale transformations, and has extensive experience in operating model redesigns, finance process and technology optimization, data and analytics, and performance management. In addition to BCG, Hardik has worked at Deloitte Consulting.</t>
  </si>
  <si>
    <t>sheth.hardik@bcg.com</t>
  </si>
  <si>
    <t>Partner &amp; Director, Center for CFO Excellence</t>
  </si>
  <si>
    <t>455762-44P</t>
  </si>
  <si>
    <t>Harika Ensarioglu</t>
  </si>
  <si>
    <t>Harika</t>
  </si>
  <si>
    <t>Ensarioglu</t>
  </si>
  <si>
    <t>Ms. Harika Ensarioglu serves as a Partner at Boston Consulting Group. She is a member of the Industrial Goods practice specializing in automotive and mobility. She works primarily with major original equipment manufacturers (OEMs) both in Turkey and globally. Her expertise covers strategy development, operating model redesign, transformation, and cost improvement topics. Before joining BCG, she worked for five years at A.T. Kearney.</t>
  </si>
  <si>
    <t>ensarioglu.harika@bcg.com</t>
  </si>
  <si>
    <t>456690-52P</t>
  </si>
  <si>
    <t>Harish Hemmige</t>
  </si>
  <si>
    <t>Harish</t>
  </si>
  <si>
    <t>Hemmige</t>
  </si>
  <si>
    <t>Mr. Harish Hemmige serves as Managing Director &amp; Senior Partner at Boston Consulting Group. He is a member of the global leadership team for the Public Sector practice. He has expertise working with private and public sector clients to drive sustainable value. He has supported senior executives on a variety of topics, including cost optimization, operational transformation, digital transformation, customer experience, and strategy. Before joining BCG, he worked in the public sector, investment banking, and at a Fortune 100 company.</t>
  </si>
  <si>
    <t>hemmige.harish@bcg.com</t>
  </si>
  <si>
    <t>17451-10P</t>
  </si>
  <si>
    <t>Harold Sirkin</t>
  </si>
  <si>
    <t>Harold</t>
  </si>
  <si>
    <t>Sirkin</t>
  </si>
  <si>
    <t>Mr. Harold Sirkin serves as Senior Partner and Managing Director at The Boston Consulting Group. He serves as a member of the Technology Committee. His extensive experience in advising companies on a broad range of matters, including strategy, operations and new product development, as well as general business experience, provides the Board with expertise and insight to drive operations improvement and growth.</t>
  </si>
  <si>
    <t>hal-sirkin@bcg.com</t>
  </si>
  <si>
    <t>374922-19P</t>
  </si>
  <si>
    <t>Hassane Kante</t>
  </si>
  <si>
    <t>Hassane</t>
  </si>
  <si>
    <t>Kante</t>
  </si>
  <si>
    <t>Mr. Hassane Kante serves as a Managing Director and Partner at Boston Consulting Group. He is a core member of the firm's Principal Investors &amp; Private Equity practice. Mr.Kante also has expertise in the business services and industrial goods distribution industries having led several commercial due diligences and value creation projects in those sectors.</t>
  </si>
  <si>
    <t>+44 (0)74 5331 7957</t>
  </si>
  <si>
    <t>kante.hassane@bcg.com</t>
  </si>
  <si>
    <t>434838-61P</t>
  </si>
  <si>
    <t>Hassen Benothman</t>
  </si>
  <si>
    <t>Hassen</t>
  </si>
  <si>
    <t>Benothman</t>
  </si>
  <si>
    <t>Mr. Hassen Benothman serves as Managing Director at Boston Consulting Group. He focuses on energy companies, the public sector, financial institutions, and other industries across Europe and the Middle East.</t>
  </si>
  <si>
    <t>benothman.hassen@bcg.com</t>
  </si>
  <si>
    <t>436127-86P</t>
  </si>
  <si>
    <t>Havard Holmas Ph.D</t>
  </si>
  <si>
    <t>Havard</t>
  </si>
  <si>
    <t>Holmas</t>
  </si>
  <si>
    <t>Mr. Havard Holmas serves as Partner &amp; Associate Director at Boston Consulting Group. His work focuses on digital transformation, where he supports leading energy companies around the world.</t>
  </si>
  <si>
    <t>holmas.havard@bcg.com</t>
  </si>
  <si>
    <t>456700-96P</t>
  </si>
  <si>
    <t>Havard Kalland</t>
  </si>
  <si>
    <t>Kalland</t>
  </si>
  <si>
    <t>Mr. Havard Kalland serves as Partner &amp; Director at Boston Consulting Group. He is an expert in operational transformation, including program and change management. In addition, he has broad experience with organizational development and corporate development at the firm. His focus is on large-scale operational improvements, and he leads the firm's Operations practice in the Nordics.</t>
  </si>
  <si>
    <t>kalland.havard@bcg.com</t>
  </si>
  <si>
    <t>455834-98P</t>
  </si>
  <si>
    <t>Haytham Yassine</t>
  </si>
  <si>
    <t>Haytham</t>
  </si>
  <si>
    <t>Yassine</t>
  </si>
  <si>
    <t>Mr. Haytham Yassine serves as Managing Director &amp; Partner at Boston Consulting Group. He specializes in large-scale AI transformations and builds product innovation around emerging technologies, consumer loyalty, and personalization. He is a core member of the leadership team driving Boston Consulting Group's AI-led servicing operations offerings, with a focus on generative AI. He is also part of the firm's Financial Institutions and Marketing, Sales, &amp; Pricing practices leadership.</t>
  </si>
  <si>
    <t>haytham.yassine@bcg.com</t>
  </si>
  <si>
    <t>435770-02P</t>
  </si>
  <si>
    <t>Hean-Ho Loh</t>
  </si>
  <si>
    <t>Hean-Ho</t>
  </si>
  <si>
    <t>Loh</t>
  </si>
  <si>
    <t>Mr. Hean-Ho Loh serves as Managing Director &amp; Senior Partner at Boston Consulting Group. He held various roles, including the Southeast Asia system lead of BCG X AI &amp; Software, global lead for transportation infrastructure and airports, and Asia Pacific regional lead for travel and tourism. He has also held the roles of Southeast Asia people chair and office head for Kuala Lumpur.</t>
  </si>
  <si>
    <t>hean-ho.loh@bcg.com</t>
  </si>
  <si>
    <t>435170-35P</t>
  </si>
  <si>
    <t>Heike Dorninger Ph.D</t>
  </si>
  <si>
    <t>Heike</t>
  </si>
  <si>
    <t>Dorninger</t>
  </si>
  <si>
    <t>Ms. Heike Dorninger serves as Managing Director &amp; Partner at Boston Consulting Group. She works on projects in health insurance and data and analytics, including disease prediction, precision medicine, provider performance variation, and quality measurement.</t>
  </si>
  <si>
    <t>dorninger.heike@bcg.com</t>
  </si>
  <si>
    <t>435593-44P</t>
  </si>
  <si>
    <t>Heiner Himmelreich</t>
  </si>
  <si>
    <t>Heiner</t>
  </si>
  <si>
    <t>Himmelreich</t>
  </si>
  <si>
    <t>Mr. Heiner Himmelreich serves as Partner &amp; Director at Boston Consulting Group. He has worked on IT sourcing projects in several industries. These include development and implementation of an IT sourcing strategy, sourcing contract renegotiations, IT infrastructure, and application management outsourcing in banking, consumer goods, the public sector, and the oil and gas industries.</t>
  </si>
  <si>
    <t>himmelreich.heiner@bcg.com</t>
  </si>
  <si>
    <t>195958-36P</t>
  </si>
  <si>
    <t>Heitor Carrera</t>
  </si>
  <si>
    <t>Heitor</t>
  </si>
  <si>
    <t>Carrera</t>
  </si>
  <si>
    <t>Mr. Heitor Carrera serves as Senior Partner &amp; Managing Director at The Boston Consulting Group. Most of his work with clients has involved strategy development for a wide range of industries, including metals and mining, process industries, financial services, consumer goods and private equity. His area of expertise includes Mergers and acquisitions, divestitures, new business development and strategic planning.</t>
  </si>
  <si>
    <t>heitorcarrera@bcg.com</t>
  </si>
  <si>
    <t>436231-18P</t>
  </si>
  <si>
    <t>Helena Conant</t>
  </si>
  <si>
    <t>Conant</t>
  </si>
  <si>
    <t>Ms. Helena Conant serves as Partner at Boston Consulting Group. She works with clients on a wide range of functional topics in food and agriculture, including growth strategy, marketing and consumer insights, go-to-market and enterprise sales, digital strategy and product build, commercial/supply chain/vendor due diligence, and operating model design.</t>
  </si>
  <si>
    <t>conant.helena@bcg.com</t>
  </si>
  <si>
    <t>435440-80P</t>
  </si>
  <si>
    <t>Henning Schierholz Ph.D</t>
  </si>
  <si>
    <t>Henning</t>
  </si>
  <si>
    <t>Schierholz</t>
  </si>
  <si>
    <t>Mr. Henning Schierholz serves as Managing Director &amp; Senior Partner at Boston Consulting Group. His focus is on transportation and logistics, with a special focus on rail. In addition, Henning is one of BCG's experts for large-scale transformations of industrial goods companies.</t>
  </si>
  <si>
    <t>schierholz.henning@bcg.com</t>
  </si>
  <si>
    <t>435610-45P</t>
  </si>
  <si>
    <t>Henning Streubel Ph.D</t>
  </si>
  <si>
    <t>Streubel</t>
  </si>
  <si>
    <t>Mr. Henning Streubel serves as Managing Director &amp; Senior Partner at Boston Consulting Group. His experience with national and international oil companies, as well as utilities, has covered a wide range of strategic, organizational, and operations-related engagements.</t>
  </si>
  <si>
    <t>streubel.henning@bcg.com</t>
  </si>
  <si>
    <t>435146-05P</t>
  </si>
  <si>
    <t>Henri Hagenmuller Ph.D</t>
  </si>
  <si>
    <t>Hagenmuller</t>
  </si>
  <si>
    <t>Mr. Henri Hagenmuller serves as Managing Director &amp; Partner at Boston Consulting Group. He has broad expertise in the medtech industry as well as with providers, and has led many commercial model, operations, and digital strategy engagements.</t>
  </si>
  <si>
    <t>hagenmueller.henri@bcg.com</t>
  </si>
  <si>
    <t>435808-99P</t>
  </si>
  <si>
    <t>Henrique Sinatura</t>
  </si>
  <si>
    <t>Henrique</t>
  </si>
  <si>
    <t>Sinatura</t>
  </si>
  <si>
    <t>Mr. Henrique Sinatura serves as Managing Director &amp; Senior Partner at Boston Consulting Group. He is a core member of the Energy and Corporate Development practices at the firm. He has collaborated with clients in the oil and gas, industrial goods, and financial services sectors, addressing a wide range of business disciplines including strategy, corporate development, organization, and operations. Prior to joining BCG, Mr. Sinatura was an intern at Votorantim Asset Management in Brazil. He also worked as a summer associate with J.P. Morgan in New York.</t>
  </si>
  <si>
    <t>sinatura.henrique@bcg.com</t>
  </si>
  <si>
    <t>34995-16P</t>
  </si>
  <si>
    <t>Henry Caffrey</t>
  </si>
  <si>
    <t>Caffrey</t>
  </si>
  <si>
    <t>Mr. Henry Caffrey serves as Partner &amp; Director, Supply Chain at Boston Consulting Group. Mr. Henry Caffrey served as Director at AlixPartners.He is an integral part of the firm's Operations Center in Chicago, one of ten global operations centers that serve as hubs for comprehensive operations support and offer tailored, fully integrated solutions to optimize operations for long-term success.</t>
  </si>
  <si>
    <t>henry.caffrey@bcg.com</t>
  </si>
  <si>
    <t>Partner &amp; Director, Supply Chain</t>
  </si>
  <si>
    <t>435732-76P</t>
  </si>
  <si>
    <t>Henry Leon</t>
  </si>
  <si>
    <t>Mr. Henry Leon serves as Managing Director &amp; Partner at Boston Consulting Group. He works with clients in many industries-including consumer goods, health, automotive, financial services, and private equity-and with many brands and their partners.</t>
  </si>
  <si>
    <t>leon.henry@bcg.com</t>
  </si>
  <si>
    <t>455953-15P</t>
  </si>
  <si>
    <t>Hidenori Chida</t>
  </si>
  <si>
    <t>Hidenori</t>
  </si>
  <si>
    <t>Chida</t>
  </si>
  <si>
    <t>Mr. Hidenori Chida serves as a Partner at Boston Consulting Group. He is a core member of BCG's Technology, Media &amp; Telecommunications, Industrial Goods, and Corporate Finance &amp; Strategy practices. Mr. Chida works mainly with clients in the electronics, factory automation equipment, semiconductor, and electronic component industries. His project experience includes formulating vision and medium-term business plans, developing growth strategies, new business development, transformation, globalization support (including geopolitical risk response), and supply chain management.</t>
  </si>
  <si>
    <t>chida.hidenori@bcg.com</t>
  </si>
  <si>
    <t>456495-58P</t>
  </si>
  <si>
    <t>Hidetoshi Endo</t>
  </si>
  <si>
    <t>Hidetoshi</t>
  </si>
  <si>
    <t>Endo</t>
  </si>
  <si>
    <t>Mr. Hidetoshi Endo serves as Managing Director &amp; Partner at Boston Consulting Group. He is a core member of BCG's Public Sector and Social Impact practices. He has worked extensively with public sector clients, including central and local government organizations and educational institutions. Prior to joining BCG, he worked at Sumitomo Corporation.</t>
  </si>
  <si>
    <t>endo.hidetoshi@bcg.com</t>
  </si>
  <si>
    <t>280172-35P</t>
  </si>
  <si>
    <t>Hidetoshi Okayasu Ph.D</t>
  </si>
  <si>
    <t>Okayasu</t>
  </si>
  <si>
    <t>Dr. Hidetoshi Okayasu serves as A Partner at Boston Consulting Group. He is a core member of the firm's Operations practice. He works mainly with clients in the financial services and retail industries, and has been involved in projects dealing with operational reforms, procurement cost reduction, and digital strategy formulation. Dr. Okayasu served as Chief Strategy Officer at Fixer (Systems and Information Management).</t>
  </si>
  <si>
    <t>okayasu.hidetoshi@bcg.com</t>
  </si>
  <si>
    <t>436206-52P</t>
  </si>
  <si>
    <t>Hikmat Noujeim</t>
  </si>
  <si>
    <t>Hikmat</t>
  </si>
  <si>
    <t>Noujeim</t>
  </si>
  <si>
    <t>Mr. Hikmat Noujeim serves as Managing Director &amp; Partner at Boston Consulting Group. He is a core member of Boston Consulting Group's Public Sector practice, where he primarily supports defense and security entities. He specializes in large-scale transformations in the public sector as well as acquisitions and local industry development topics. In addition, he has supported private sector entities on strategy and organizational restructuring projects in financial services, energy, industrial goods, and telecommunications.</t>
  </si>
  <si>
    <t>noujeim.hikmat@bcg.com</t>
  </si>
  <si>
    <t>435912-94P</t>
  </si>
  <si>
    <t>Hirohisa Ichikawa</t>
  </si>
  <si>
    <t>Hirohisa</t>
  </si>
  <si>
    <t>Ichikawa</t>
  </si>
  <si>
    <t>Mr. Hirohisa Ichikawa serves as Managing Director &amp; Partner at Boston Consulting Group. He is a core member of the firm's Marketing, Sales &amp; Pricing; Technology, Media &amp; Telecommunications; People &amp; Organization; and Corporate Finance &amp; Strategy practices.</t>
  </si>
  <si>
    <t>hirohisa.ichikawa@bcg.com</t>
  </si>
  <si>
    <t>455816-26P</t>
  </si>
  <si>
    <t>Hiroki Kitagawa</t>
  </si>
  <si>
    <t>Hiroki</t>
  </si>
  <si>
    <t>Kitagawa</t>
  </si>
  <si>
    <t>Mr. Hiroki Kitagawa serves as Managing Director &amp; Partner at Boston Consulting Group. He leads the firm's Operations practice in Japan and is a core member of the Industrial Goods and Travel, Cities &amp; Infrastructure practices. He has worked on many operational reform and digital transformation projects, mainly with clients in the industrial goods, consumer goods, health care, transportation, and logistics industries. He also works with the Japanese government on supply chain management reforms, particularly through a logistics lens, across industries. Prior to joining BCG, he worked at Deloitte Tohmatsu Consulting, PwC, and Accenture.</t>
  </si>
  <si>
    <t>kitagawa.hiroki@bcg.com</t>
  </si>
  <si>
    <t>434956-60P</t>
  </si>
  <si>
    <t>Hironori Ishizuki</t>
  </si>
  <si>
    <t>Hironori</t>
  </si>
  <si>
    <t>Ishizuki</t>
  </si>
  <si>
    <t>Mr. Hironori Ishizuki serves as Partner &amp; Associate Director at Boston Consulting Group. He has extensive experience in digital transformation over a wide range of areas including product development, supply chain management (SCM), infrastructure, and security.</t>
  </si>
  <si>
    <t>ishizuki.hironori@bcg.com</t>
  </si>
  <si>
    <t>434999-44P</t>
  </si>
  <si>
    <t>Hitesh Tak</t>
  </si>
  <si>
    <t>Hitesh</t>
  </si>
  <si>
    <t>Tak</t>
  </si>
  <si>
    <t>Mr. Hitesh Tak serves as Managing Director &amp; Partner at Boston Consulting Group. His functional expertise lies in driving tangible change on the ground, for the clients, covering strategy, operations and large-scale transformations.</t>
  </si>
  <si>
    <t>+60 (0)3 2688 5000</t>
  </si>
  <si>
    <t>tak.hitesh@bcg.com</t>
  </si>
  <si>
    <t>Level 28, Menara IMC</t>
  </si>
  <si>
    <t>Number 8 Jalan Sultan Ismail</t>
  </si>
  <si>
    <t>50250</t>
  </si>
  <si>
    <t>+60 (0)3 2688 5100</t>
  </si>
  <si>
    <t>435915-28P</t>
  </si>
  <si>
    <t>Hod Fleishman</t>
  </si>
  <si>
    <t>Hod</t>
  </si>
  <si>
    <t>Fleishman</t>
  </si>
  <si>
    <t>Mr. Hod Fleishman serves as Partner &amp; Vice President, Global IoT at Boston Consulting Group. He is an expert in innovation, product development and build, and business build, specifically for Deep Tech. He co-founded and served as Chief Executive Officer at GreenRoad.</t>
  </si>
  <si>
    <t>fleishman.hod@bcg.com</t>
  </si>
  <si>
    <t>Partner &amp; Vice President, Global IoT</t>
  </si>
  <si>
    <t>435949-39P</t>
  </si>
  <si>
    <t>Hrvoje Jenkac Ph.D</t>
  </si>
  <si>
    <t>Hrvoje</t>
  </si>
  <si>
    <t>Jenkac</t>
  </si>
  <si>
    <t>Dr. Hrvoje Jenkac serves as Managing Director &amp; Partner at Boston Consulting Group. He is a core member of the Operations and Technology, Media &amp; Telecommunications (TMT) practice areas, focusing on operations in service industries. He leads the customer service topic at BCG and is the topic leader for Customer Service 4.0.</t>
  </si>
  <si>
    <t>jenkac.hrvoje@bcg.com</t>
  </si>
  <si>
    <t>57034-90P</t>
  </si>
  <si>
    <t>Hubertus Meinecke Ph.D</t>
  </si>
  <si>
    <t>Hubertus</t>
  </si>
  <si>
    <t>Meinecke</t>
  </si>
  <si>
    <t>Dr. Hubertus Meinecke serves as Managing Director &amp; Senior Partner; Global Leader, Climate &amp; Sustainability Practice at Boston Consulting Group. Hubertus Meinecke has been the chairman of Boston Consulting Group's Western Europe, South America, and Africa region since 2017 as well as a member of the firm's Executive Committee starting in 2009. Under his leadership, this region has undergone exponential growth across all geographies and practices as a result of substantial investments in new offices and digital capabilities to drive large-scale transformations. Since joining the firm in 1996, Hubertus' client work has focused on industrial goods clients with a focus on bionic and sustainable transformations to create positive economic, social, and environmental impact. Hubertus previously served as the Global Leader of BCG's Industrial Goods practice from 2013-2017. He also serves on the board of directors of the BCG Henderson Institute, represents BCG at the World Economic Forum (Davos), and actively supports the Yunus Foundation for several years. He has worked at BCG's Boston, London, and Johannesburg offices and now lives with his family in Hamburg. Hubertus holds a PhD in business administration from the University of St. Gallen, Switzerland, and he earned his master's degree in Industrial Engineering from the Technical University of Darmstadt.</t>
  </si>
  <si>
    <t>h-m@bcg.com</t>
  </si>
  <si>
    <t>Managing Director &amp; Senior Partner; Global Leader, Climate &amp; Sustainability Practice</t>
  </si>
  <si>
    <t>456011-65P</t>
  </si>
  <si>
    <t>Hugo Garnier</t>
  </si>
  <si>
    <t>Hugo</t>
  </si>
  <si>
    <t>Garnier</t>
  </si>
  <si>
    <t>Mr. Hugo Garnier serves as a Partner at Boston Consulting Group. He is a core member of the firm's Transform practice and the people lead for BCG Transform in London. He has ten years of experience in large-scale performance improvement programs, including business transformations, turnarounds, and post-merger integrations, across industries, and with a primary focus on fast-moving consumer goods, telecommunications, and financial institutions.</t>
  </si>
  <si>
    <t>garnier.hugo@bcg.com</t>
  </si>
  <si>
    <t>456536-17P</t>
  </si>
  <si>
    <t>Hui Zhu</t>
  </si>
  <si>
    <t>Hui</t>
  </si>
  <si>
    <t>Mr. Hui Zhu serves as Managing Director &amp; Partner at Boston Consulting Group. He is a core member of the firm's Public Sector practice in Greater China. He has worked extensively with organizations, as well as urban infrastructure developers, on industry development planning and urbanization, as well as other urban and economic development issues. He helps clients create regional development solutions by leveraging urban development planning, industry research, and related policy making. He also provides consulting services in corporate strategy, business strategy, market research, and organizational change for leading real estate and other companies.</t>
  </si>
  <si>
    <t>zhu.hui@bcg.com</t>
  </si>
  <si>
    <t>455886-46P</t>
  </si>
  <si>
    <t>Hunkar Toyoglu Ph.D</t>
  </si>
  <si>
    <t>Hunkar</t>
  </si>
  <si>
    <t>Toyoglu</t>
  </si>
  <si>
    <t>Dr. Hunkar Toyoglu serves as Managing Director &amp; Partner at Boston Consulting Group. He is a core member of the Industrial Goods practice area. He is an expert in optimization and machine learning techniques applied to continuous process industries, logistics, supply chain, network design, pricing, and revenue management. He has worked with clients in the metals and mining, airline, hotel, travel, and transportation industries. Before joining BCG, he worked at McKinsey, Quantum Black, and Sabre Airline Solutions, and before that, was Operations Research Lead in the Turkish Army.</t>
  </si>
  <si>
    <t>toyoglu.hunkar@bcg.com</t>
  </si>
  <si>
    <t>436395-07P</t>
  </si>
  <si>
    <t>Hyun Kim Ph.D</t>
  </si>
  <si>
    <t>Hyun</t>
  </si>
  <si>
    <t>Mr. Hyun Kim serves as Managing Director &amp; Partner at Boston Consulting Group. He has led major programs to improve business performance through process reengineering, better product portfolios, and organization restructuring.</t>
  </si>
  <si>
    <t>kim.hyun@bcg.com</t>
  </si>
  <si>
    <t>435286-90P</t>
  </si>
  <si>
    <t>Hyungkon Kim</t>
  </si>
  <si>
    <t>Hyungkon</t>
  </si>
  <si>
    <t>Mr. Hyungkon Kim serves as Managing Director &amp; Senior Partner at Boston Consulting Group. He has focused his work on advising major Korean insurance and financial services clients. He has acquired deep experience in digital strategy and operations innovation.</t>
  </si>
  <si>
    <t>kim.hyungkon@bcg.com</t>
  </si>
  <si>
    <t>103284-37P</t>
  </si>
  <si>
    <t>Ian Stuart-Hoff</t>
  </si>
  <si>
    <t>Stuart-Hoff</t>
  </si>
  <si>
    <t>Mr. Ian Stuart-Hoff serves as Managing Director &amp; Partner at Boston Consulting Group. He served as Operations Manager at Sprig. He served as an Associate at Lightbank. Ian joined Lightbank as an associate in January 2015. While at Lightbank, Ian focuses on big data, mobile healthcare, and the IoT. Prior to joining Lightbank, Ian was most recently a consultant for the Boston Consulting Group in Chicago. At BCG Ian worked primarily in the healthcare, industrial, and insurance sectors across a wide range of topics from manufacturing to financial strategy. Earlier in his career, Ian held manufacturing and supply chain roles at GE Healthcare and Cardinal Health. Ian holds a B.S.E and M.S.E in industrial and operations engineering from the University of Michigan.</t>
  </si>
  <si>
    <t>ian@bcg.com</t>
  </si>
  <si>
    <t>455945-68P</t>
  </si>
  <si>
    <t>Iana Kouris Ph.D</t>
  </si>
  <si>
    <t>Iana</t>
  </si>
  <si>
    <t>Kouris</t>
  </si>
  <si>
    <t>Dr. Iana Kouris serves as Managing Director at Boston Consulting Group. She is a core member of BCG X and the head of design for Central and Eastern Europe for BCG X, and leads customer experience work in that region. She is also a core member of the firm's Marketing, Sales &amp; Pricing practice. She has particularly deep expertise in customer experience, innovation, and design management, including customer journey redesign, product design, design thinking, and service design. Before joining BCG, she worked at Nokia and Nokia Bell Labs for six years. She spent the first seven years of her career in management consulting at McKinsey &amp; Company Inc.</t>
  </si>
  <si>
    <t>kouris.iana@bcg.com</t>
  </si>
  <si>
    <t>456740-65P</t>
  </si>
  <si>
    <t>Ib Lofgren</t>
  </si>
  <si>
    <t>Ib</t>
  </si>
  <si>
    <t>Lofgren</t>
  </si>
  <si>
    <t>Mr. Ib Lofgren serves as Managing Director &amp; Senior Partner at Boston Consulting Group. He is a member of the firm's Transform practice and the Nordics system lead. Since joining BCG in 2008, Ib has set up and led numerous holistic, large-scale transformations, operating models, and organizational restructuring programs. He has achieved significant bottom-line impact and change for his clients.</t>
  </si>
  <si>
    <t>lofgren.ib@bcg.com</t>
  </si>
  <si>
    <t>368340-67P</t>
  </si>
  <si>
    <t>Ichiro Kaku</t>
  </si>
  <si>
    <t>Ichiro</t>
  </si>
  <si>
    <t>Kaku</t>
  </si>
  <si>
    <t>Mr. Ichiro Kaku serves as Managing Director &amp; Senior Partner at Boston Consulting Group. He joined Boston Consulting Group in January 2011. He leads the firm's Principal Investors &amp; Private Equity practice in the Asia-Pacific region. He is also a core member of the firm's Corporate Finance &amp; Strategy, Industrial Goods and Global Advantage practices. Since joining BCG, he has worked closely with clients in a wide variety of industries including manufacturing, general trading, consumer products, and private equity. He has rich experience in M&amp;A support, business restructuring, alliance, mid- to long-term corporate strategy, and post-merger integration (PMI). He is a member of the Business Restructuring Study Group at the Japanese Ministry of Economy, Trade and Industry. Before joining the firm, he worked for a private equity firm and for other strategy consulting firms.</t>
  </si>
  <si>
    <t>ik@bcg.com</t>
  </si>
  <si>
    <t>455872-15P</t>
  </si>
  <si>
    <t>Ignacio Hafner</t>
  </si>
  <si>
    <t>Ignacio</t>
  </si>
  <si>
    <t>Hafner</t>
  </si>
  <si>
    <t>Mr. Ignacio Hafner serves as Managing Director &amp; Partner at Boston Consulting Group. He specializes in data-driven customer management transformations for subscription businesses at the firm. His clients include energy retailers, telcos, tech companies, media clients, insurers, and retail banks. The majority of his transformation case work has focused on churn management, x-sell and u-sell, personalized pricing based on pricing sensitivity, client acquisition, and data-driven default management, from admissions to collections.</t>
  </si>
  <si>
    <t>hafner.ignacio@bcg.com</t>
  </si>
  <si>
    <t>435541-96P</t>
  </si>
  <si>
    <t>Igor Lakic</t>
  </si>
  <si>
    <t>Igor</t>
  </si>
  <si>
    <t>Lakic</t>
  </si>
  <si>
    <t>Mr. Igor Lakic serves as Managing Director &amp; Partner at Boston Consulting Group. He works with clients in the energy, mining, and process industries on developing innovative strategies, building high performing organizations to make those strategies stick, and scaling digital capabilities to take advantage of new opportunities.</t>
  </si>
  <si>
    <t>lakic.igor@bcg.com</t>
  </si>
  <si>
    <t>148912-30P</t>
  </si>
  <si>
    <t>Ihab Khalil</t>
  </si>
  <si>
    <t>Ihab</t>
  </si>
  <si>
    <t>Khalil</t>
  </si>
  <si>
    <t>Mr. Ihab Khalil serves as Senior Partner &amp; Managing Director at Boston Consulting Group. Prior to this, he served at Booz &amp; Company. Since joining BCG in 2014, Ihab has worked primarily in the area of principal investments and private equity, with a particular focus on the areas of investment strategy formulation, asset allocation, portfolio review and restructuring, merger and acquisition support, and operating model design. Over the course of his consulting career, Ihab has provided transactional decision support for a wide range of clients, and he has partnered with a number of private-equity funds to perform industry landscaping, target screening, and due diligence, as w He has acquired extensive experience working with regional investment institutions, sovereign wealth funds, family offices, and diversified financial institutions. Over the course of his consulting career, Ihab has provided transactional decision support for a wide range of clients, and he has partnered with a number of private-equity funds to perform industry landscaping, target screening, and due diligence, as well as develop value-creation strategies. He has also designed corporate strategies and operating models for diversified investment institutions, family offices, and wealth managers.</t>
  </si>
  <si>
    <t>+971 (5)0 454 6015</t>
  </si>
  <si>
    <t>khalil.ihab@bcg.com</t>
  </si>
  <si>
    <t>456764-41P</t>
  </si>
  <si>
    <t>Il-Dong Kwon</t>
  </si>
  <si>
    <t>Il-Dong</t>
  </si>
  <si>
    <t>Kwon</t>
  </si>
  <si>
    <t>Mr. Il-Dong Kwon serves as Managing Director &amp; Partner at Boston Consulting Group. He is the Vietnam lead at the firm. He has been with the Vietnam office for seven years, working with industry leaders and central and provincial governments on their strategy and large-scale transformation programs. He also co-leads BCG's work in risk management for the Asia Pacific region.</t>
  </si>
  <si>
    <t>kwon.ildong@bcg.com</t>
  </si>
  <si>
    <t>435968-20P</t>
  </si>
  <si>
    <t>Ilshat Haris Ph.D</t>
  </si>
  <si>
    <t>Ilshat</t>
  </si>
  <si>
    <t>Haris</t>
  </si>
  <si>
    <t>Dr. Ilshat Haris serves as Managing Director &amp; Partner at Boston Consulting Group. He leads Boston Consulting Group's work in low carbon solutions and bioenergy globally. He is a core member of the Energy, Climate &amp; Sustainability, Strategy, and Global Advantage practices. He co-leads BCG's Social Impact work in Houston and has collaborated with major local non-profit organizations on creating diversity, equity, and inclusion opportunities for all.</t>
  </si>
  <si>
    <t>haris.ilshat@bcg.com</t>
  </si>
  <si>
    <t>456681-52P</t>
  </si>
  <si>
    <t>Ilson Dal-Ri</t>
  </si>
  <si>
    <t>Ilson</t>
  </si>
  <si>
    <t>Dal-Ri</t>
  </si>
  <si>
    <t>Mr. Ilson Dal-Ri serves as Managing Director &amp; Senior Partner at Boston Consulting Group. He currently serves as the Office Administrator for BCG in Brazil. He is a core member of the Energy, Industrial Goods, and Corporate Development practices at BCG and is a specialist in the Exploration and Production sector for the Oil and Gas industry.</t>
  </si>
  <si>
    <t>dal-ri.ilson@bcg.com</t>
  </si>
  <si>
    <t>435011-77P</t>
  </si>
  <si>
    <t>Inderpreet Batra</t>
  </si>
  <si>
    <t>Inderpreet</t>
  </si>
  <si>
    <t>Batra</t>
  </si>
  <si>
    <t>Mr. Inderpreet Batra serves as Managing Director &amp; Senior Partner at Boston Consulting Group. He works with leading players in the payments, data, and fintech ecosystems, including issuers, acquirers, processors, networks, merchants, software companies, and various data and technology service providers.</t>
  </si>
  <si>
    <t>batra.inderpreet@bcg.com</t>
  </si>
  <si>
    <t>455732-83P</t>
  </si>
  <si>
    <t>Indraneil Basu</t>
  </si>
  <si>
    <t>Indraneil</t>
  </si>
  <si>
    <t>Mr. Indraneil Basu serves as Managing Director &amp; Partner at Boston Consulting Group. He is a core member of the Health Care and Principal Investors and Private Equity (PIPE) practices, supporting biopharma, private equity, and medtech clients on a range of strategic, operational, and transactional topics. Since joining BCG, he has supported leading private equity and biopharma companies across a range of commercial topics and broader organizational strategy, including portfolio strategy and launch excellence, PMI planning and execution, org design and operating model definition, and zero-based budgeting, as well as commercial and vendor due diligence and associated portfolio company work. He has also worked with several leading medtech clients on commercial topics. Prior to joining BCG, he was a clinician in the UK National Health Service.</t>
  </si>
  <si>
    <t>basu.indraneil@bcg.com</t>
  </si>
  <si>
    <t>455910-04P</t>
  </si>
  <si>
    <t>Ingmar Broemstrup Ph.D</t>
  </si>
  <si>
    <t>Ingmar</t>
  </si>
  <si>
    <t>Broemstrup</t>
  </si>
  <si>
    <t>Dr. Ingmar Broemstrup serves as Managing Director &amp; Senior Partner at Boston Consulting Group. He is the firm's North America Financial Institutions Regional Practice Area Lead. He is a core member of the Capital Markets team and the Corporate Finance &amp; Strategy (CFS) practice, where he focuses on the cross-section of corporate development and financial institutions. Ingmar served as North America's first Risk and Compliance regional Practice Area Lead. He has experience and expertise in topics from fintech to payments to large-scale transformations.</t>
  </si>
  <si>
    <t>broemstrup.ingmar@bcg.com</t>
  </si>
  <si>
    <t>455647-60P</t>
  </si>
  <si>
    <t>Ingrid Cornander</t>
  </si>
  <si>
    <t>Cornander</t>
  </si>
  <si>
    <t>Ms. Ingrid Cornander serves as a Partner at Boston Consulting Group. He is a core member of the Climate &amp; Sustainability practice at the firm and co-lead of that practice in Sweden. She specializes in sustainability, ESG strategy, decarbonization, and supply chain. She works with clients in many industries with special focus on the consumer and construction industries. She is a member of the BCG Extended EMESA Infrastructure, Transport, and Construction Leadership team. Prior to joining BCG, she was an associate partner at EY where she led the sustainability practice in Sweden. Prior to this she worked as a sustainability professional and consultant in Australia between 2003 and 2014.</t>
  </si>
  <si>
    <t>cornander.ingrid@bcg.com</t>
  </si>
  <si>
    <t>436132-00P</t>
  </si>
  <si>
    <t>Injin Choi</t>
  </si>
  <si>
    <t>Injin</t>
  </si>
  <si>
    <t>Mr. Injin Choi serves as Managing Director &amp; Senior Partner at Boston Consulting Group. He has acquired deep experience in large-capital program management and transformation.</t>
  </si>
  <si>
    <t>choi.injin@bcg.com</t>
  </si>
  <si>
    <t>434831-68P</t>
  </si>
  <si>
    <t>Ipshita Bhattacharya</t>
  </si>
  <si>
    <t>Ipshita</t>
  </si>
  <si>
    <t>Bhattacharya</t>
  </si>
  <si>
    <t>Ms. Ipshita Bhattacharya serves as Senior Advisor at Boston Consulting Group. She has primarily worked with clients on analytics, digital, and telecommunications topics, including infrastructure and strategy, technology drivers, and the application of advanced analytics.</t>
  </si>
  <si>
    <t>bhattacharya.ipshita@bcg.com</t>
  </si>
  <si>
    <t>435544-75P</t>
  </si>
  <si>
    <t>Isabel Poensgen</t>
  </si>
  <si>
    <t>Poensgen</t>
  </si>
  <si>
    <t>Ms. Isabel Poensgen serves as Partner &amp; Associate Director, Leadership Coaching at Boston Consulting Group. She is the director of the Leadership Coaching offering, part of BCG's People &amp; Organization practice (POP). She is currently establishing and developing a cadre of leadership coaches, composed of senior executives across industries and functions, as well as experienced C-suite business coaches.</t>
  </si>
  <si>
    <t>poensgen.isabel@bcg.com</t>
  </si>
  <si>
    <t>Partner &amp; Associate Director, Leadership Coaching</t>
  </si>
  <si>
    <t>455513-41P</t>
  </si>
  <si>
    <t>Isao Nagatomi</t>
  </si>
  <si>
    <t>Isao</t>
  </si>
  <si>
    <t>Nagatomi</t>
  </si>
  <si>
    <t>Mr. Isao Nagatomi serves as a Partner at Boston Consulting Group. He is a core member of BCG's Industrial Goods practice. He works mainly with clients in industrial goods manufacturing. He has extensive experience supporting clients on mid- to long-term strategies, innovation strategies, M&amp;A, transactions, and PMI. Prior to joining BCG, he worked at Arthur D. Little Japan, NTT DOCOMO, INC., PwC Advisory LLC, and DENTSU SOKEN INC.</t>
  </si>
  <si>
    <t>nagatomi.isao@bcg.com</t>
  </si>
  <si>
    <t>456634-54P</t>
  </si>
  <si>
    <t>Ivan Bascle</t>
  </si>
  <si>
    <t>Bascle</t>
  </si>
  <si>
    <t>Mr. Ivan Bascle serves as Managing Director &amp; Senior Partner at Boston Consulting Group. Currently, he heads the firm's Consumer practice in Germany and Switzerland, and is the cofounder of BCG's Center for Consumer Insights, which is dedicated to the world of future-oriented market research. He was also elected by the BCG Partnership to serve on the Senior Officer Screening Committee (SOSC), a BCG body that selects BCG's future Senior Partners. Before joining BCG, he worked at Procter &amp; Gamble in marketing in Frankfurt and at Benckiser in Poland and Italy, where he became the global head of new initiatives and the global head of fine fabrics.</t>
  </si>
  <si>
    <t>bascle.ivan@bcg.com</t>
  </si>
  <si>
    <t>435277-27P</t>
  </si>
  <si>
    <t>Ivan D'Avanzo</t>
  </si>
  <si>
    <t>D'Avanzo</t>
  </si>
  <si>
    <t>Mr. Ivan D'Avanzo serves as Managing Director &amp; Partner at Boston Consulting Group. He works with biopharma and medtech executives on digital and AI topics covering strategy and technical solution development, including omni-channel customer engagement and next best action (NBA), next-generation launch (digital launch control tower), AI-driven segmentation and targeting, digital Marketing ROI analytics, patient identification based on real world data (RWD) to match patients with the right therapies, digital and analytics strategy and transformation, digital and analytics talent strategy, and health care data strategy and governance.</t>
  </si>
  <si>
    <t>davanzo.ivan@bcg.com</t>
  </si>
  <si>
    <t>179703-46P</t>
  </si>
  <si>
    <t>Ivan Marten Ph.D</t>
  </si>
  <si>
    <t>Mr. Ivan Marten serves as Senior Advisor at Boston Consulting Group. Mr. Marten served as Senior Partner, Vice Chairman of Energy Practice &amp; Managing Director at The Boston Consulting Group. Since joining BCG in 1987, Mr. Marten's client work has focused on the oil, gas, and power sectors, as well as on the energy engineering, equipment, and services segment. He has also worked for industry companies that are heavy energy consumers, and for players that are emerging in the sustainable development topic. Mr. Marten has deep experience in helping CEOs to transform their companies by defining the change agenda and assisting in the transformation.</t>
  </si>
  <si>
    <t>ivan_m@bcg.com</t>
  </si>
  <si>
    <t>435214-81P</t>
  </si>
  <si>
    <t>Ivana Zupa</t>
  </si>
  <si>
    <t>Zupa</t>
  </si>
  <si>
    <t>Ms. Ivana Zupa serves as Managing Director &amp; Partner at Boston Consulting Group. She advises clients in the financial institutions industry-from asset managers to universal banks-on a broad range of strategic topics: ESG / sustainability strategy, compliance and remediation strategies, transformations, and more.</t>
  </si>
  <si>
    <t>zupa.ivana@bcg.com</t>
  </si>
  <si>
    <t>165693-79P</t>
  </si>
  <si>
    <t>J. Puckett</t>
  </si>
  <si>
    <t>Puckett</t>
  </si>
  <si>
    <t>Mr. J. Puckett serves as Senior Advisor at Boston Consulting Group. Mr. Puckett previously served as Managing Director &amp; Senior Partner at Boston Consulting Group. He serves as an Advisor at Phoenix Strategy Investments. He is the leader of the firm's Energy Practice in the Central U.S. He joined the Chicago office of BCG in 1989 and transferred to Dallas in 1994. Mr. Puckett has worked in a wide variety of industries and functional areas. He has managed projects in strategy development, organization and process redesign, operational effectiveness, and cost reduction for companies in the energy, industrial goods, high technology, and services sectors. Prior to joining BCG, Mr. Puckett worked for IBM. Mr. Puckett received a BS in Computer Science and Religion from Duke University and an MBA in Finance and Management from The Wharton School of the University of Pennsylvania.</t>
  </si>
  <si>
    <t>+1 (214) 849-1560</t>
  </si>
  <si>
    <t>j-p@bcg.com</t>
  </si>
  <si>
    <t>456679-99P</t>
  </si>
  <si>
    <t>Jaap Backx</t>
  </si>
  <si>
    <t>Jaap</t>
  </si>
  <si>
    <t>Backx</t>
  </si>
  <si>
    <t>Mr. Jaap Backx serves as Managing Director &amp; Senior Partner at Boston Consulting Group. He is a core member of the firm's Financial Institutions and People &amp; Organization practices and co-leads the Enterprise Agility topic globally. He has more than 12 years' experience in Dutch retail and wholesale banking and has worked extensively on many people -and organization cases, mostly in relation to agile, organization design, and Smart Simplicity.</t>
  </si>
  <si>
    <t>backx.jaap@bcg.com</t>
  </si>
  <si>
    <t>435216-43P</t>
  </si>
  <si>
    <t>Jaap Schreurs</t>
  </si>
  <si>
    <t>Schreurs</t>
  </si>
  <si>
    <t>Mr. Jaap Schreurs serves as Partner at Boston Consulting Group. He is a core member of the Health Care and Insurance practices at the firm, focusing on health, insurance and (semi-)public domains. Jaap works with health, property and casualty, and life insurers, hospitals, and medtech companies on strategy, mergers and acquisitions and partnerships, transformation, go to market, and digital and advanced analytics.</t>
  </si>
  <si>
    <t>schreurs.jaap@bcg.com</t>
  </si>
  <si>
    <t>455361-58P</t>
  </si>
  <si>
    <t>Jack Bugas</t>
  </si>
  <si>
    <t>Bugas</t>
  </si>
  <si>
    <t>Mr. Jack Bugas serves as Partner &amp; Associate Director at Boston Consulting Group. He is an expert in sustainable food and agriculture at the firm. In previous engagements, he has led sustainability initiatives across industries, guiding global organizations from strategy development to measurable impact. His work has helped clients harness sustainability for competitive advantage, reimagine business models for sustainability and circularity, scale regenerative agriculture and nature-based solutions, and decarbonize supply chains.</t>
  </si>
  <si>
    <t>bugas.jack@bcg.com</t>
  </si>
  <si>
    <t>28525-78P</t>
  </si>
  <si>
    <t>Jaclyn Cole</t>
  </si>
  <si>
    <t>Jaclyn</t>
  </si>
  <si>
    <t>Ms. Jaclyn Cole serves as Managing Director &amp; Senior Partner at Boston Consulting Group. She is a leader in the firm's Principal Investors &amp; Private Equity (PIPE) practice, where she leads the Washington, DC due diligence team and sits on the global leadership for the practice as marketing lead.</t>
  </si>
  <si>
    <t>cole.jaclyn@bcg.com</t>
  </si>
  <si>
    <t>435777-85P</t>
  </si>
  <si>
    <t>Jacob Rosenzweig</t>
  </si>
  <si>
    <t>Rosenzweig</t>
  </si>
  <si>
    <t>Mr. Jacob Rosenzweig serves as Managing Director &amp; Partner at Boston Consulting Group. His client experience ranges across many topics, including strategy, organization, cost reduction, marketing and sales excellence, and transformation.</t>
  </si>
  <si>
    <t>rosenzweig.jacob@bcg.com</t>
  </si>
  <si>
    <t>456416-83P</t>
  </si>
  <si>
    <t>Jacopo Brunelli</t>
  </si>
  <si>
    <t>Jacopo</t>
  </si>
  <si>
    <t>Brunelli</t>
  </si>
  <si>
    <t>Dr. Jacopo Brunelli serves as Managing Director &amp; Senior Partner at Boston Consulting Group. He is a core member of the firm's Operations practice. He is a recognized operations expert with particular expertise in industrial goods. He is also the East Mediterranean and Caspian region functional practice areas and alternative business models Chair for the firm.</t>
  </si>
  <si>
    <t>brunelli.jacopo@bcg.com</t>
  </si>
  <si>
    <t>436281-40P</t>
  </si>
  <si>
    <t>Jacqueline Foster-Mutungu</t>
  </si>
  <si>
    <t>Foster-Mutungu</t>
  </si>
  <si>
    <t>Ms. Jacqueline Foster-Mutungu serves as Managing Director &amp; Partner at Boston Consulting Group. She works primarily with financial institution clients in Africa on topics including customer journey and personalization, leadership development and training, and all aspects of turnaround strategy. Prior to joining BCG, she worked in the consumer food space, covering brands across the US, South Africa, and Zambia, and in investment banking in the US and UK.</t>
  </si>
  <si>
    <t>fostermutungu.jacqueline@bcg.com</t>
  </si>
  <si>
    <t>456837-85P</t>
  </si>
  <si>
    <t>Jacqueline Govers</t>
  </si>
  <si>
    <t>Govers</t>
  </si>
  <si>
    <t>Ms. Jacqueline Govers serves as Managing Director &amp; Partner at Boston Consulting Group. She is a core member of the firm's Technology &amp; Digital Advantage practice, specializing in transactions and mergers, and acquisitions. She leads the practice across the London-Amsterdam-Brussels system and is the global product lead for technology in transactions. Her recent work focuses on technology in transactions (carve-outs and post-merger integrations) and digital and data transformation more broadly. She has led BCG's tech team on several large-scale buy-side carve-outs and has led digital transformations across industries. She also has hands-on experience running one of these programs as a program director.</t>
  </si>
  <si>
    <t>govers.jacqueline@bcg.com</t>
  </si>
  <si>
    <t>435401-56P</t>
  </si>
  <si>
    <t>Jacqueline Martinez</t>
  </si>
  <si>
    <t>Ms. Jacqueline Martinez serves as Managing Director &amp; Partner at Boston Consulting Group. Her expertise includes overall merchandising strategy and capabilities (including planning and allocations), pricing and value strategy (including discounting and personalization), assortment optimization and localization, and supplier negotiations and category strategies.</t>
  </si>
  <si>
    <t>martinez.jacqueline@bcg.com</t>
  </si>
  <si>
    <t>435534-40P</t>
  </si>
  <si>
    <t>Jad Bitar</t>
  </si>
  <si>
    <t>Bitar</t>
  </si>
  <si>
    <t>Mr. Jad Bitar serves as Managing Director &amp; Senior Partner at Boston Consulting Group. His experience has included helping government agencies and private clients with strategy design and implementation, vision and mission development, corporate and unit strategy, and operating model transformation.</t>
  </si>
  <si>
    <t>bitar.jad@bcg.com</t>
  </si>
  <si>
    <t>435541-33P</t>
  </si>
  <si>
    <t>Jad Rahbani</t>
  </si>
  <si>
    <t>Rahbani</t>
  </si>
  <si>
    <t>Mr. Jad Rahbani serves as Managing Director &amp; Partner at Boston Consulting Group. He has worked with many clients from the public sector, supporting them in the design and implementation of large-scale transformation programs including end-to-end citizen experience digitization, strategy and operating model design, change management, and capability enablement.</t>
  </si>
  <si>
    <t>rahbani.jad@bcg.com</t>
  </si>
  <si>
    <t>434897-65P</t>
  </si>
  <si>
    <t>Jade Leet</t>
  </si>
  <si>
    <t>Jade</t>
  </si>
  <si>
    <t>Leet</t>
  </si>
  <si>
    <t>Ms. Jade Leet serves as Managing Director at Boston Consulting Group. She has led over 20 insurance and health care client projects focusing on purpose, strategy, brand, transformation, communications, creative development, agency management, and ESG. Jade serves on the firm's Black and Latinx Network's leadership team. She is a frequent guest lecturer at Emory University's Goizueta Business School.</t>
  </si>
  <si>
    <t>leet.jade@bcg.com</t>
  </si>
  <si>
    <t>436282-21P</t>
  </si>
  <si>
    <t>Jaime Ruiz-Cabrero</t>
  </si>
  <si>
    <t>Jaime</t>
  </si>
  <si>
    <t>Ruiz-Cabrero</t>
  </si>
  <si>
    <t>Mr. Jaime Ruiz-Cabrero serves as Managing Director &amp; Senior Partner at Boston Consulting Group. He has acquired deep expertise in all stages of the integrated energy value chain in both transformations and strategy development work, including digital business model innovation and just energy transition. Before joining BCG, he was a manager in the London office of a multinational engineering company.</t>
  </si>
  <si>
    <t>ruiz-cabrero.jaime@bcg.com</t>
  </si>
  <si>
    <t>435607-57P</t>
  </si>
  <si>
    <t>Jaison Justin</t>
  </si>
  <si>
    <t>Jaison</t>
  </si>
  <si>
    <t>Mr. Jaison Justin serves as Managing Director &amp; Senior Partner at Boston Consulting Group. He leads the firm's Technology, Media &amp; Telecommunications (TMT) practice for the US South System and is the global topic lead for large-scale R&amp;D transformations through Product Innovation &amp; Engineering. He is also the Office Leader for BCG Austin. Before he joined the firm, he worked as a semiconductor product manager at Electro Scientific Industries, Inc., where he led marketing strategies for the semiconductor and LCD manufacturing industries.</t>
  </si>
  <si>
    <t>justin.jaison@bcg.com</t>
  </si>
  <si>
    <t>435751-39P</t>
  </si>
  <si>
    <t>James Brindley</t>
  </si>
  <si>
    <t>Brindley</t>
  </si>
  <si>
    <t>Mr. James Brindley serves as Managing Director &amp; Partner at Boston Consulting Group. He is a core member of BCG's Consumer practice, focusing on supporting retailers and wholesalers both locally and internationally.</t>
  </si>
  <si>
    <t>+420 227 060 111</t>
  </si>
  <si>
    <t>brindley.james@bcg.com</t>
  </si>
  <si>
    <t>Na Florenci 2139/4</t>
  </si>
  <si>
    <t>110 00</t>
  </si>
  <si>
    <t>+420 227 060 222</t>
  </si>
  <si>
    <t>35104-69P</t>
  </si>
  <si>
    <t>James Gott</t>
  </si>
  <si>
    <t>Mr. James Gott served as Principal at Boston Consulting Group. He previously served as President, Project Manager &amp; Co-Founder at Ice River Springs. He works with retail and consumer products clients on growth strategy, consumer insights, network design, and digital transformation. James is also a leader in diversity, equity, and inclusion, and currently leads Pride@BCG in Canada.</t>
  </si>
  <si>
    <t>gott.james@bcg.com</t>
  </si>
  <si>
    <t>195943-06P</t>
  </si>
  <si>
    <t>James Tucker</t>
  </si>
  <si>
    <t>Tucker</t>
  </si>
  <si>
    <t>Mr. James Tucker serves as Senior Partner, Managing Director &amp; Global Leader, Corporate Finance and Strategy Practice at the firm. He is a member of the Global Leadership Team for Boston Consulting Group's Corporate Finance &amp; Strategy practice and leads the practice in North America. He is also a member of the Global Leadership Team for the firm's Financial Institutions practice and leads Large Scale Change globally, including M&amp;A, PMI, transformation, turnaround, and zero-based budgeting. He leads the Financial Institutions practice in Canada. He primarily serves large multi-line financial institutions, corporate and retail banks, wealth and asset managers, pension funds, sovereign wealth funds, payments companies, and select private equity players, and their respective portfolio companies. Prior to joining BCG, he amassed significant experience in sales, marketing, and business development across multiple industries. He is particularly active in the community, supporting several charities, having sat on several boards, and having taught in the Marketing Faculty at the Rotman School of Management. He was awarded the Ontario Medal for Good Citizenship by the Lieutenant Governor of Ontario. Prior to joining BCG, he spent more than 15 years in a variety of industries, including work at Molson Coors and CTV, as well as owning and operating his own business.</t>
  </si>
  <si>
    <t>jtucker@bcg.com</t>
  </si>
  <si>
    <t>Senior Partner, Managing Director &amp; Global Leader, Corporate Finance and Strategy Practice</t>
  </si>
  <si>
    <t>435975-67P</t>
  </si>
  <si>
    <t>Jamie McCarthy</t>
  </si>
  <si>
    <t>McCarthy</t>
  </si>
  <si>
    <t>Mr. Jamie McCarthy serves as Partner &amp; Director at Boston Consulting Group. He is a core member of the firm's Operations and Consumer practices and focuses on advising pharmaceutical and consumer goods companies on a variety of strategic and operational issues.</t>
  </si>
  <si>
    <t>mccarthy.jamie@bcg.com</t>
  </si>
  <si>
    <t>436145-68P</t>
  </si>
  <si>
    <t>Jamie Webster</t>
  </si>
  <si>
    <t>Webster</t>
  </si>
  <si>
    <t>Mr. Jamie Webster serves as Partner &amp; Associate Director, Center for Energy Impact at Boston Consulting Group. He is as an expert in energy markets and geopolitics, with a focus on energy scenario forecasting, resource issues, energy transitions, changes in energy market structure, and national energy policies.</t>
  </si>
  <si>
    <t>webster.jamie@bcg.com</t>
  </si>
  <si>
    <t>Partner &amp; Associate Director, Center for Energy Impact</t>
  </si>
  <si>
    <t>435319-39P</t>
  </si>
  <si>
    <t>Jan Bender Ph.D</t>
  </si>
  <si>
    <t>Bender</t>
  </si>
  <si>
    <t>Mr. Jan Bender serves as Managing Director &amp; Senior Partner at Boston Consulting Group. He leads BCG's global work in material and process industries, and leads BCG's Climate &amp; Sustainability practice in the EMESA (Europe, Middle East, South America &amp; Africa) region.</t>
  </si>
  <si>
    <t>436222-81P</t>
  </si>
  <si>
    <t>Jan Friese Ph.D</t>
  </si>
  <si>
    <t>Friese</t>
  </si>
  <si>
    <t>Mr. Jan Friese serves as Managing Director &amp; Senior Partner at Boston Consulting Group. He focuses his work on portfolio strategy, marketing and sales, merger management and organizational transformation topics.</t>
  </si>
  <si>
    <t>friese.jan@bcg.com</t>
  </si>
  <si>
    <t>136652-14P</t>
  </si>
  <si>
    <t>Jan Gildemeister Ph.D</t>
  </si>
  <si>
    <t>Gildemeister</t>
  </si>
  <si>
    <t>Dr. Jan Gildemeister serves as Managing Director &amp; Senior Partner at Boston Consulting Group. Dr. Jan Gildemeister co-founded and served as Board Member at FR8Star. He works with clients to define and implement digital strategies, both through targeted deployment of digital levers in their core and the creation of entirely new ventures and business models.</t>
  </si>
  <si>
    <t>gildemeister.jan@bcg.com</t>
  </si>
  <si>
    <t>456114-97P</t>
  </si>
  <si>
    <t>Jan Ittner Ph.D</t>
  </si>
  <si>
    <t>Ittner</t>
  </si>
  <si>
    <t>Dr. Jan Ittner serves as Partner &amp; Vice President, BCG X at Boston Consulting Group. He is the global engineering chapter lead at BCG X. A hands-on software engineer and data scientist, he has spent more than 25 years turning advanced AI and data-driven ideas into reliable, high-impact software products. Before joining BCG, he worked as a software engineer and PhD researcher in computer science.</t>
  </si>
  <si>
    <t>ittner.jan@bcg.com</t>
  </si>
  <si>
    <t>Partner &amp; Vice President, BCG X</t>
  </si>
  <si>
    <t>456251-23P</t>
  </si>
  <si>
    <t>Jan Lindenberg</t>
  </si>
  <si>
    <t>Lindenberg</t>
  </si>
  <si>
    <t>Mr. Jan Lindenberg serves as Managing Director &amp; Partner at Boston Consulting Group. He is a core member of the Transform practice with a focus on consumer products, retail, and industrial goods. He is also a member of the firm's restructuring task force. He has worked with German manufacturing and retail clients on restructuring and transformation, liquidity management and refinancing, operational restructuring, and scenario analysis. Before joining BCG, he worked for seven years in the restructuring advisory practice of a Big Four audit firm, where he specialized in operational and financial restructuring.</t>
  </si>
  <si>
    <t>lindenberg.jan@bcg.com</t>
  </si>
  <si>
    <t>435120-94P</t>
  </si>
  <si>
    <t>Jan Mohr</t>
  </si>
  <si>
    <t>Mohr</t>
  </si>
  <si>
    <t>Mr. Jan Mohr serves as Managing Director &amp; Partner at Boston Consulting Group. His experience is especially focused on strategy and post-merger integration, marketing and sales, and sustainability and digital. He has also helped guide many applications companies on semiconductor-related questions, such as working in the automotive industry with the digitization of vehicles.</t>
  </si>
  <si>
    <t>mohr.jan@bcg.com</t>
  </si>
  <si>
    <t>455260-69P</t>
  </si>
  <si>
    <t>Jan Noecker Ph.D</t>
  </si>
  <si>
    <t>Noecker</t>
  </si>
  <si>
    <t>Dr. Jan Noecker serves as Partner &amp; Associate Director at Boston Consulting Group. He is a core member of the firm's Operations and Industrial Goods practices. He is an expert in digital manufacturing and serves as the firm's global quality and maintenance lead. In addition, he co-leads BCG's Center for Operations in Automotive. His focus is on manufacturing transformations for industrial goods clients. Prior to joining BCG, he led the Operations Excellence System at Beiersdorf AG, Hamburg.</t>
  </si>
  <si>
    <t>noecker.jan@bcg.com</t>
  </si>
  <si>
    <t>435665-44P</t>
  </si>
  <si>
    <t>Jan Zenneck Ph.D</t>
  </si>
  <si>
    <t>Zenneck</t>
  </si>
  <si>
    <t>Mr. Jan Zenneck serves as Partner &amp; Associate Director at Boston Consulting Group. He focuses on green energy, where he leads BCG's solar energy work and serves as global expert for distributed energy and energy storage.</t>
  </si>
  <si>
    <t>zenneck.jan@bcg.com</t>
  </si>
  <si>
    <t>455416-03P</t>
  </si>
  <si>
    <t>Jan-Frederik Jerratsch Ph.D</t>
  </si>
  <si>
    <t>Jerratsch</t>
  </si>
  <si>
    <t>Dr. Jan-Frederik Jerratsch serves as Managing Director &amp; Partner at Boston Consulting Group. He is a core member of the firm's Health Care practice and a specialist in life sciences, working with major high-tech, biopharma, and agribusiness clients globally. He focuses on major transformations with digitally enabled business models as well as new innovation approaches.</t>
  </si>
  <si>
    <t>jan-frederik.jerratsch@bcg.com</t>
  </si>
  <si>
    <t>456280-30P</t>
  </si>
  <si>
    <t>Janet Balis</t>
  </si>
  <si>
    <t>Janet</t>
  </si>
  <si>
    <t>Balis</t>
  </si>
  <si>
    <t>Ms. Janet Balis serves as Managing Director &amp; Partner at Boston Consulting Group. She specializes in growth strategy at the intersection of the media, marketing, and technology, and has in-depth expertise in advertising, marketing, sales transformation, and data-driven commercial excellence. Before joining the firm, she played key roles in consulting, including serving as CMO Practice Leader and Global Advisory Leader for Media &amp; Entertainment Consulting at EY. She also held industry leadership roles, including Publisher of the Huffington Post and EVP, Media Sales and Marketing at Martha Stewart Living Omnimedia; as well as executive positions at Betaworks, AOL, and Time Warner.</t>
  </si>
  <si>
    <t>jb@bcg.com</t>
  </si>
  <si>
    <t>435080-17P</t>
  </si>
  <si>
    <t>Janggyun Im</t>
  </si>
  <si>
    <t>Janggyun</t>
  </si>
  <si>
    <t>Im</t>
  </si>
  <si>
    <t>Mr. Janggyun Im serves as Managing Director &amp; Partner at Boston Consulting Group. He has advised clients across technology, telecommunications, and media, working with executive leadership at firms in the semiconductor, display, home appliance, mobile, network, software, video, and game businesses.</t>
  </si>
  <si>
    <t>im.janggyun@bcg.com</t>
  </si>
  <si>
    <t>57035-80P</t>
  </si>
  <si>
    <t>Janmejaya Sinha Ph.D</t>
  </si>
  <si>
    <t>Janmejaya</t>
  </si>
  <si>
    <t>Dr. Janmejaya Sinha serves as Senior Partner, Managing Director &amp; Chairman, of India at The Boston Consulting Group. Since joining BCG, he has worked extensively with clients across the globe on a range of issues encompassing large-scale organizational transformation, strategy, governance, family business issues, and operations turnaround. Dr. Sinha served as a Member of the Advisory Board of Cyril Amarchand Mangaldas.</t>
  </si>
  <si>
    <t>sinha@bcg.com</t>
  </si>
  <si>
    <t>Senior Partner, Managing Director &amp; Chairman, India</t>
  </si>
  <si>
    <t>436121-20P</t>
  </si>
  <si>
    <t>Jannik Leiendecker</t>
  </si>
  <si>
    <t>Jannik</t>
  </si>
  <si>
    <t>Leiendecker</t>
  </si>
  <si>
    <t>Mr. Jannik Leiendecker serves as Partner &amp; Associate Director at Boston Consulting Group. He advises clients across different industries on various ESG-related regulatory matters which include preparing for upcoming ESG reporting requirements or avoiding greenwashing.</t>
  </si>
  <si>
    <t>leiendecker.jannik@bcg.com</t>
  </si>
  <si>
    <t>456138-55P</t>
  </si>
  <si>
    <t>Japjit Ghai</t>
  </si>
  <si>
    <t>Japjit</t>
  </si>
  <si>
    <t>Ghai</t>
  </si>
  <si>
    <t>Mr. Japjit Ghai serves as Managing Director &amp; Partner, BCG X at Boston Consulting Group. He works with the firm's SaaS/software, network tech, IT services, and telecom clients globally to accelerate growth and efficiency through predictive and generative AI across sales, marketing, and customer success. As part of BCG X's Deep Customer Engagement AI leadership, he shapes the firm's approach to AI-driven personalization and value capture for B2B enterprises. He also contributes to various cross-industry conversations on the future of commercial transformation with AI.</t>
  </si>
  <si>
    <t>ghai.japjit@bcg.com</t>
  </si>
  <si>
    <t>435221-11P</t>
  </si>
  <si>
    <t>Jason Green</t>
  </si>
  <si>
    <t>Mr. Jason Green serves as Managing Director &amp; Partner at Boston Consulting Group. He is a leader in the firm's Energy, Industrial Goods, and Operations practices. Jason has over 25 years of experience serving clients in the oil and gas, agriculture, mining, and utility industries on aspects of strategy, operational effectiveness, capital project management, and digital and technology management. He co-leads Women@BCG in Canada.</t>
  </si>
  <si>
    <t>green.jason@bcg.com</t>
  </si>
  <si>
    <t>181582-57P</t>
  </si>
  <si>
    <t>Jason Guggenheim</t>
  </si>
  <si>
    <t>Guggenheim</t>
  </si>
  <si>
    <t>Mr. Jason Guggenheim serves as Managing Director &amp; Senior Partner, Travel &amp; Tourism Global Leader at Boston Consulting Group. Mr. Jason Guggenheim served as Board Member at Journera. He has extensive experience in most areas of travel, including cruise lines, hotels, airlines, car rental and travel technology (data, distribution, hotel systems).</t>
  </si>
  <si>
    <t>guggenheim.jason@bcg.com</t>
  </si>
  <si>
    <t>Managing Director &amp; Senior Partner, Travel &amp; Tourism Global Leader</t>
  </si>
  <si>
    <t>455409-01P</t>
  </si>
  <si>
    <t>Jason Jager</t>
  </si>
  <si>
    <t>Jager</t>
  </si>
  <si>
    <t>Mr. Jason Jager serves as Managing Director &amp; Senior Partner at Boston Consulting Group. He currently leads the firm's medtech and life science work for the US West Coast. His experience includes commercial, go-to-market, pricing, growth strategies, operational effectiveness, and M&amp;A for a range of clients. He has worked for the firm in the Los Angeles, New York, Chicago, and Seoul offices. In addition, he has case experience in the fields of biopharma and life science, as well as extensive corporate development experience, including integrations, carve-outs, and due diligence.</t>
  </si>
  <si>
    <t>jager.jason@bcg.com</t>
  </si>
  <si>
    <t>195940-36P</t>
  </si>
  <si>
    <t>Jason Moy</t>
  </si>
  <si>
    <t>Mr. Jason Moy serves as a Partner &amp; Managing Director at Boston Consulting Group. He works with leading retailers on large-scale transformation in the digital age. Jason co-leads BCG's Vietnam business and helps Vietnamese companies capture in-market demand, meet rising foreign competition, and explore internationalization. His experience encompasses a broad range of assignments across retail and consumer goods sectors-including supermarkets, apparel, and online-involving large-scale transformations, corporate development, digital transformation, store operations, and end-to-end supply chain.</t>
  </si>
  <si>
    <t>j-m@bcg.com</t>
  </si>
  <si>
    <t>Partner &amp; Managing Director</t>
  </si>
  <si>
    <t>436438-72P</t>
  </si>
  <si>
    <t>Jatin Srivastava</t>
  </si>
  <si>
    <t>Srivastava</t>
  </si>
  <si>
    <t>Mr. Jatin Srivastava serves as Managing Director, Platinion at Boston Consulting Group. His recent focus has been on cloud transformation, next generation enterprise resource planning, business process transformation/outsourcing, automation, blockchain, cognitive computing, and analytics.</t>
  </si>
  <si>
    <t>srivastava.jatin@bcg.com</t>
  </si>
  <si>
    <t>455737-06P</t>
  </si>
  <si>
    <t>Javier Doblas</t>
  </si>
  <si>
    <t>Doblas</t>
  </si>
  <si>
    <t>Mr. Javier Doblas serves as Managing Director &amp; Partner at Boston Consulting Group. He is a core member of the Energy and Climate &amp; Sustainability practices at the firm. He works with clients in the energy sector (oil and gas, utilities), focusing on clean energy strategies, sector reform, transactions (IPO, spin-off, debt raising) and innovation. He has supported leading corporates in these areas across Europe and the Middle East. He joined the firm in January 2016 after previous experience in consulting and private equity.</t>
  </si>
  <si>
    <t>javier.doblas@bcg.com</t>
  </si>
  <si>
    <t>435142-45P</t>
  </si>
  <si>
    <t>Javier Moino</t>
  </si>
  <si>
    <t>Moino</t>
  </si>
  <si>
    <t>Mr. Javier Moino serves as Managing Director &amp; Partner at Boston Consulting Group. He is the global lead for digital acquisition programs in banking and a key expert in digital marketing for other industries such as telecommunications, insurance, utilities, travel and consumer packaged goods.</t>
  </si>
  <si>
    <t>moino.javier@bcg.com</t>
  </si>
  <si>
    <t>435625-03P</t>
  </si>
  <si>
    <t>Jaykumar Patel</t>
  </si>
  <si>
    <t>Jaykumar</t>
  </si>
  <si>
    <t>Dr. Jaykumar Patel serves as Managing Director &amp; Partner at Boston Consulting Group. He has consulted with governments and established a cross-governmental multi-year transformation programs at the center of government, overseeing multiple sectors for socioeconomic development.</t>
  </si>
  <si>
    <t>patel.jaykumar@bcg.com</t>
  </si>
  <si>
    <t>435091-24P</t>
  </si>
  <si>
    <t>Jazz Tobaccowalla</t>
  </si>
  <si>
    <t>Tobaccowalla</t>
  </si>
  <si>
    <t>Mr. Jazz Tobaccowalla serves as Managing Director &amp; Partner at Boston Consulting Group. He works with clients across the health care spectrum in payers, providers, and biopharma. He also works with private equity firms on market opportunities and due diligences in health technologies and pharma services.</t>
  </si>
  <si>
    <t>tobaccowalla.jazz@bcg.com</t>
  </si>
  <si>
    <t>435081-07P</t>
  </si>
  <si>
    <t>Jean Binefa</t>
  </si>
  <si>
    <t>Binefa</t>
  </si>
  <si>
    <t>Mr. Jean Binefa serves as Partner at Boston Consulting Group. He has focused on climate transition related topics for financial institutions, such as transition finance go-to-market agendas in high-emitting sectors, new low-carbon technologies financing, and net-zero transformations.</t>
  </si>
  <si>
    <t>binefa.jean@bcg.com</t>
  </si>
  <si>
    <t>456808-78P</t>
  </si>
  <si>
    <t>Jean Clavel</t>
  </si>
  <si>
    <t>Clavel</t>
  </si>
  <si>
    <t>Mr. Jean Clavel serves as Managing Director &amp; Senior Partner at Boston Consulting Group. He is a core member of the firm's Financial Institutions and Technology Advantage practices. He works extensively with leading financial institutions on a broad range of topics, including strategy, business development, large-scale transformation, post-merger integration, and operations. His client work covers business lines such as retail banking, consumer finance, corporate and investment banking, payments, and insurance. Prior to joining BCG, he was an M&amp;A associate within Rothschild's financial institutions team in Paris, advising clients on buy-side, sell-side, and joint venture creation deals.</t>
  </si>
  <si>
    <t>clavel.jean@bcg.com</t>
  </si>
  <si>
    <t>435369-97P</t>
  </si>
  <si>
    <t>Jean Lee</t>
  </si>
  <si>
    <t>Ms. Jean Lee serves as Partner &amp; Director, Customer Centricity at Boston Consulting Group. She has advised on consumer insight topics for travel and tourism, apparel and retail, financial services, industrial goods, and health care. Jean has also worked with a number of social impact organizations.</t>
  </si>
  <si>
    <t>lee.jean@bcg.com</t>
  </si>
  <si>
    <t>435446-02P</t>
  </si>
  <si>
    <t>Jean-Baptiste Bearez</t>
  </si>
  <si>
    <t>Jean-Baptiste</t>
  </si>
  <si>
    <t>Bearez</t>
  </si>
  <si>
    <t>Mr. Jean-Baptiste Bearez serves as Managing Director &amp; Partner at Boston Consulting Group. He leads the firm's Technology, Media, &amp; Telecommunications (TMT) practice in Paris. His core clients include leading telecommunications, technology, gaming, and IT services companies. He is also a core member of the firm's Marketing, Sales &amp; Pricing, Strategy, and Technology Advantage practices. He is a global BCG expert on customer experience in TMT and beyond. He has worked extensively with companies across the TMT space on growth strategies and customer experience. He has helped numerous clients conduct IT, data/AI, and digital/agile transformations.</t>
  </si>
  <si>
    <t>bearez.jean-baptiste@bcg.com</t>
  </si>
  <si>
    <t>456476-14P</t>
  </si>
  <si>
    <t>Jean-Christophe Bernardini</t>
  </si>
  <si>
    <t>Bernardini</t>
  </si>
  <si>
    <t>Mr. Jean-Christophe Bernardini serves as Managing Director &amp; Partner at Boston Consulting Group. He is a core member of the firm's Energy and Operations practices with a special focus on oil and gas. He has worked with major national and international oil companies on a wide range of strategic and operational issues, including designing and implementing improvement programs, optimizing operating expenditures, and fostering efficiency in manufacturing and services. His client work has also focused on boosting productivity, reducing costs, developing new business, and building teams. Prior to joining BCG, he was a senior manager at Accenture, where his work focused on the oil and gas industry.</t>
  </si>
  <si>
    <t>bernardini.jean-christophe@bcg.com</t>
  </si>
  <si>
    <t>456390-55P</t>
  </si>
  <si>
    <t>Jean-Christophe Gard</t>
  </si>
  <si>
    <t>Gard</t>
  </si>
  <si>
    <t>Managing Director &amp; Special Partner</t>
  </si>
  <si>
    <t>Mr. Jean-Christophe Gard serves as Managing Director &amp; Special Partner at Boston Consulting Group. He is a core member of the Insurance and Marketing, Sales &amp; Pricing practices at the firm. Currently, he leads the development and deployment of BCG's capabilities and offers in AI, data, and analytics in insurance. Prior to this role, he led the firm's property and casualty insurance engagements globally for six years.</t>
  </si>
  <si>
    <t>gard.jean-christophe@bcg.com</t>
  </si>
  <si>
    <t>435656-44P</t>
  </si>
  <si>
    <t>Jean-Francois Bobier</t>
  </si>
  <si>
    <t>Bobier</t>
  </si>
  <si>
    <t>Mr. Jean-Francois Bobier serves as Partner &amp; Vice President, Deep Tech at Boston Consulting Group. He is a core member of Boston Consulting Group's Tech Advantage practice with a focus on technology-driven transformation at scale.</t>
  </si>
  <si>
    <t>bobier.jean-francois@bcg.com</t>
  </si>
  <si>
    <t>Partner &amp; Vice President, Deep Tech</t>
  </si>
  <si>
    <t>456709-78P</t>
  </si>
  <si>
    <t>Jean-Francois Lahet</t>
  </si>
  <si>
    <t>Lahet</t>
  </si>
  <si>
    <t>Mr. Jean-Francois Lahet serves as Managing Director &amp; Senior Partner at Boston Consulting Group. He leads the Industrial Goods practice in the firm's Paris, Casablanca, and Tel Aviv offices. He is also a member of the Financial Institutions, Operations, People &amp; Organization, and Strategy practices. He works primarily in the industrial goods sector, advising companies around the world on issues of strategy, operations, pricing, postmerger integration, and corporate development (including due diligence and divestments).</t>
  </si>
  <si>
    <t>lahet.jean-francois@bcg.com</t>
  </si>
  <si>
    <t>315502-93P</t>
  </si>
  <si>
    <t>Jean-Manuel Izaret Ph.D</t>
  </si>
  <si>
    <t>Jean-Manuel</t>
  </si>
  <si>
    <t>Izaret</t>
  </si>
  <si>
    <t>Mr. Jean-Manuel Izaret serves as Managing Director, Senior Partner &amp; Global Leader of Marketing, Sales &amp; Pricing at Boston Consulting Group. He leads the Marketing, Sales, and Pricing (MSP) practice for Boston Consulting Group in North America, as well as the global pricing topic. He is also a member of the firm's Technology, Media &amp; Telecommunications, Financial Institutions, and Industrial Goods practices. He is a BCG Fellow concentrating on the topic of pricing model transformation-defining a unified theory of pricing as well as developing tactics executives can use to make pricing drive growth and profit for their companies. He has worked on pricing issues across industries, including consumer goods, retail, high-tech, financial services, and industrial goods. His experience includes developing pricing model strategies, transforming pricing practices, improving product lineup pricing, and designing strategies to optimize bundling for numerous technology, media, and telecom companies. He teaches several courses on pricing at Coursera. Before joining BCG, he worked for Royal Dutch Shell in marketing and sales and as a quality engineer in the company's chemical plants.</t>
  </si>
  <si>
    <t>izaret@bcg.com</t>
  </si>
  <si>
    <t>Managing Director, Senior Partner &amp; Global Leader, Marketing, Sales &amp; Pricing</t>
  </si>
  <si>
    <t>435188-53P</t>
  </si>
  <si>
    <t>Jean-Sebastien Verwaerde</t>
  </si>
  <si>
    <t>Jean-Sebastien</t>
  </si>
  <si>
    <t>Verwaerde</t>
  </si>
  <si>
    <t>Mr. Jean-Sebastien Verwaerde serves as Managing Director &amp; Partner at Boston Consulting Group. He has worked with leading global FMCGs and B2C companies to transform their net revenue management capabilities by leveraging AI and analytics solutions covering pricing, promotions, and assortment.</t>
  </si>
  <si>
    <t>verwaerde.jean-sebastien@bcg.com</t>
  </si>
  <si>
    <t>456060-70P</t>
  </si>
  <si>
    <t>Jeet Brahmandam</t>
  </si>
  <si>
    <t>Jeet</t>
  </si>
  <si>
    <t>Brahmandam</t>
  </si>
  <si>
    <t>Mr. Jeet Brahmandam serves as Managing Director &amp; Partner at Boston Consulting Group. He is a core member of the firm's Industrial Goods practice, focusing on the automotive industry. He has deep expertise in connected cars, electric vehicles, and autonomous vehicles. He is passionate about diversity and inclusion and leads diversity and inclusion for the Detroit office. Prior to joining BCG, he spent over eight years working in the automotive industry in various engineering and management roles.</t>
  </si>
  <si>
    <t>brahmandam.jeet@bcg.com</t>
  </si>
  <si>
    <t>435176-02P</t>
  </si>
  <si>
    <t>Jeff Kiderman</t>
  </si>
  <si>
    <t>Kiderman</t>
  </si>
  <si>
    <t>Mr. Jeff Kiderman serves as Partner at Boston Consulting Group. He focuses on strategy and organizational effectiveness, with a particular emphasis on data-driven decision making and advanced analytics capabilities development.</t>
  </si>
  <si>
    <t>kiderman.jeff@bcg.com</t>
  </si>
  <si>
    <t>435705-40P</t>
  </si>
  <si>
    <t>Jeff Nicholas</t>
  </si>
  <si>
    <t>Mr. Jeff Nicholas serves as Partner &amp; Associate Director at Boston Consulting Group. He is a seasoned technology leader with experience in delivering client-facing digital platforms and big-data analytics solutions.</t>
  </si>
  <si>
    <t>nicholas.jeff@bcg.com</t>
  </si>
  <si>
    <t>435646-54P</t>
  </si>
  <si>
    <t>Jeff Walters</t>
  </si>
  <si>
    <t>Mr. Jeff Walters serves as Managing Director &amp; Senior Partner at Boston Consulting Group. He has deep experience in the evolving consumer landscape in China, including consumer consumption patterns, the geographic distribution of China's growing middle class, online behavior, and the growth of e-commerce.</t>
  </si>
  <si>
    <t>jeff.walters@bcg.com</t>
  </si>
  <si>
    <t>388832-59P</t>
  </si>
  <si>
    <t>Jeffrey Chua</t>
  </si>
  <si>
    <t>Chua</t>
  </si>
  <si>
    <t>Mr. Jeffrey Chua serves as Managing Director &amp; Senior Partner at Boston Consulting Group. Mr. Jeffrey Chua serves as Global Advisory Board Member at Longreach Group. He is also Managing Director&amp; Senior Partner at Boston Consulting Group and a Member of International Advisory Panel for Sustainable Air Hub, Singapore Government.</t>
  </si>
  <si>
    <t>chua.jeffrey@bcg.com</t>
  </si>
  <si>
    <t>436283-83P</t>
  </si>
  <si>
    <t>Jeffrey Gao</t>
  </si>
  <si>
    <t>Gao</t>
  </si>
  <si>
    <t>Mr. Jeffrey Gao serves as Managing Director &amp; Partner at Boston Consulting Group. He has consulted with leading automotive OEMs and parts suppliers, as well as industrial goods companies in China and globally.</t>
  </si>
  <si>
    <t>gao.jeffrey@bcg.com</t>
  </si>
  <si>
    <t>436119-58P</t>
  </si>
  <si>
    <t>Jeffrey Wu</t>
  </si>
  <si>
    <t>Mr. Jeffrey Wu serves as Managing Director &amp; Partner at Boston Consulting Group. He has worked with clients in the technology, media, and telecom; consumer; and financial services industries, on topics including due diligence, PMI, strategy, organization and human resources, IT, R&amp;D, marketing and sales, supply chain, and turnaround.</t>
  </si>
  <si>
    <t>wu.jeffrey@bcg.com</t>
  </si>
  <si>
    <t>435948-85P</t>
  </si>
  <si>
    <t>Jegor Tsihnjajev</t>
  </si>
  <si>
    <t>Jegor</t>
  </si>
  <si>
    <t>Tsihnjajev</t>
  </si>
  <si>
    <t>Mr. Jegor Tsihnjajev serves as Managing Director &amp; Partner at Boston Consulting Group. He is part of BCG's Technology Advantage and Energy practices. He has expertise in digital strategy and transformation, digital governance and operating model, and digital capability build-up.</t>
  </si>
  <si>
    <t>tsihnjajev.jegor@bcg.com</t>
  </si>
  <si>
    <t>435509-20P</t>
  </si>
  <si>
    <t>Jennifer Clawson</t>
  </si>
  <si>
    <t>Clawson</t>
  </si>
  <si>
    <t>Ms. Jennifer Clawson serves as Partner &amp; Director, Value-Based Health Systems at Boston Consulting Group. She helped design data-driven business models on condition and patient level for a large private-provider organization and has implemented a clinical trials registry and database.</t>
  </si>
  <si>
    <t>clawson.jennifer@bcg.com</t>
  </si>
  <si>
    <t>Partner &amp; Director, Value-Based Health Systems</t>
  </si>
  <si>
    <t>435742-84P</t>
  </si>
  <si>
    <t>Jens Baier</t>
  </si>
  <si>
    <t>Jens</t>
  </si>
  <si>
    <t>Baier</t>
  </si>
  <si>
    <t>Mr. Jens Baier serves as Managing Director &amp; Senior Partner at Boston Consulting Group. He he has managed a wide range of projects, including HR excellence programs, migration of HR IT to cloud solutions, strategy development, large scale transformation, organizational redesign, role of the center definition, set up and optimization of shared services, and cost efficiency programs.</t>
  </si>
  <si>
    <t>j-b@bcg.com</t>
  </si>
  <si>
    <t>435279-43P</t>
  </si>
  <si>
    <t>Jens Burchardt Ph.D</t>
  </si>
  <si>
    <t>Burchardt</t>
  </si>
  <si>
    <t>Mr. Jens Burchardt serves as Managing Director &amp; Partner at Boston Consulting Group. He has supported decarbonization projects with a total investment volume of several billion euros in sectors such as oil and gas, power, steel, cement, chemicals, automotive, shipping, aviation, and consumer goods. He also helped clients set up new low-carbon businesses in areas like hydrogen, e-fuels, and carbon credits.</t>
  </si>
  <si>
    <t>burchardt.jens@bcg.com</t>
  </si>
  <si>
    <t>434813-95P</t>
  </si>
  <si>
    <t>Jens de Vries</t>
  </si>
  <si>
    <t>de Vries</t>
  </si>
  <si>
    <t>Mr. Jens de Vries serves as Managing Director &amp; Partner at Boston Consulting Group. He works with multinational companies on R&amp;D, commercial, operations, and corporate strategy topics. He has supported organizations on strategy and enablement, innovation and design, portfolio decisions, and transformation.</t>
  </si>
  <si>
    <t>vries.jens@bcg.com</t>
  </si>
  <si>
    <t>455325-40P</t>
  </si>
  <si>
    <t>Jens Grueger</t>
  </si>
  <si>
    <t>Grueger</t>
  </si>
  <si>
    <t>Mr. Jens Grueger serves as artner and Director, Market Access and Pricing in Health Care at Boston Consulting Group. He is the firm's senior expert for pricing and market access in health care, and a core member of the firm's Health Care practice. He is currently a BCG Henderson Institute (BHI) fellow, exploring a system-of-systems approach to solving global crises, with a focus on health equity.</t>
  </si>
  <si>
    <t>grueger.jens@bcg.com</t>
  </si>
  <si>
    <t>artner and Director, Market Access and Pricing in Health Care</t>
  </si>
  <si>
    <t>456538-87P</t>
  </si>
  <si>
    <t>Jens Jahn</t>
  </si>
  <si>
    <t>Jahn</t>
  </si>
  <si>
    <t>Mr. Jens Jahn serves as Managing Director &amp; Partner at Boston Consulting Group. He is also the People Chair of the firm's People &amp; Organization practice, and a leadership team member of the Industrial Goods practice. He advises CEOs and senior executives worldwide on transformation, organization design, organizational cost, change management, HR, and people change implementation. He is a recognized expert in the people side of transformations, post-merger integrations, carve-outs, reorganizations, and restructurings, and helps organizations navigate complex change using a pragmatic, data-driven, business-focused approach.</t>
  </si>
  <si>
    <t>jahn.jens@bcg.com</t>
  </si>
  <si>
    <t>195942-25P</t>
  </si>
  <si>
    <t>Jens Kengelbach Ph.D</t>
  </si>
  <si>
    <t>Kengelbach</t>
  </si>
  <si>
    <t>Head &amp; Senior Partner</t>
  </si>
  <si>
    <t>Dr. Jens Kengelbach serves as Senior Partner, Managing Director &amp; Global Head, Mergers &amp; Acquisitions at Boston Consulting Group. He leads the firm's M&amp;A and post-merger integration work. He is a member of BCG's Corporate Finance &amp; Strategy and Industrial Goods practices. Since joining the firm in 2002, Jens has worked on numerous due diligence and transaction projects-on both the buy side and the sell side. He has executed M&amp;A strategy and target-search mandates using a profound portfolio strategy, M&amp;A strategy, and execution road map. Jens has run multiple strategic and commercial due diligence checks across numerous sectors, including industrial goods, pharmaceuticals, metals, engineered products, and automotive supply. He has extensive experience on the sell side in end-to-end divestiture support in all phases, including equity story, information memorandum, management presentation, Q&amp;A sessions, site-visit preparation, and bid comparison. He has led dual- and triple-track equity deconstructions, including carve-outs and IPOs. Jens is the author of BCG's annual M&amp;A report and has written many internal and external M&amp;A-related publications. He is also responsible for the worldwide marketing activities for M&amp;A and post-merger integration.</t>
  </si>
  <si>
    <t>jkengelbach@bcg.com</t>
  </si>
  <si>
    <t>Senior Partner, Managing Director &amp; Global Head, Mergers &amp; Acquisitions</t>
  </si>
  <si>
    <t>434830-78P</t>
  </si>
  <si>
    <t>Jens Ortmann Ph.D</t>
  </si>
  <si>
    <t>Ortmann</t>
  </si>
  <si>
    <t>Mr. Jens Ortmann serves as Principal, Data Science at Boston Consulting Group. He builds and industrializes advanced analytics solutions in sales and operations in the automotive industry. He is passionate about solving business problems for his automotive clients with predictive modeling, supervised learning, and optimization techniques.</t>
  </si>
  <si>
    <t>ortmann.jens@bcg.com</t>
  </si>
  <si>
    <t>Principal, Data Science</t>
  </si>
  <si>
    <t>195943-78P</t>
  </si>
  <si>
    <t>Jeremy Boote</t>
  </si>
  <si>
    <t>Boote</t>
  </si>
  <si>
    <t>Mr. Jeremy Boote serves as a Partner &amp; Managing Director at The Boston Consulting Group. He joined The Boston Consulting Group in 2008. He primarily works within the Corporate Development and Private Equity practice areas with a focus on consumer, retail and industrial goods. He also serves as People Head of Corporate Development in Western Europe and South America (WESA).</t>
  </si>
  <si>
    <t>jboote@bcg.com</t>
  </si>
  <si>
    <t>436688-47P</t>
  </si>
  <si>
    <t>Jeremy Kay</t>
  </si>
  <si>
    <t>Kay</t>
  </si>
  <si>
    <t>Mr. Jeremy Kay serves as Managing Director &amp; Partner at Boston Consulting Group. He has more than two decades of hands-on operations experience, specializing in supply chain, procurement, and cost excellence topics. Jeremy has particular expertise in direct materials procurement within industrial goods.</t>
  </si>
  <si>
    <t>kay.jeremy@bcg.com</t>
  </si>
  <si>
    <t>455492-44P</t>
  </si>
  <si>
    <t>Jeremy Kuriloff</t>
  </si>
  <si>
    <t>Kuriloff</t>
  </si>
  <si>
    <t>Mr. Jeremy Kuriloff serves as Managing Director &amp; Partner at Boston Consulting Group. He is a core member of the firm's Consumer and Principal Investors &amp; Private Equity practices. He works with consumer clients in North America, Europe, Asia, and Latin America on projects including net revenue management, operating model, growth acceleration, post-merger integration, and brand strategy. He has worked with companies in packaged food and beverage, beverage, alcohol retail, and consumer health. Prior to joining BCG, he was a senior manager at Mars Incorporated.</t>
  </si>
  <si>
    <t>kuriloff.jeremy@bcg.com</t>
  </si>
  <si>
    <t>426882-34P</t>
  </si>
  <si>
    <t>Jeremy Merz</t>
  </si>
  <si>
    <t>Merz</t>
  </si>
  <si>
    <t>Mr. Jeremy Merz serves as Managing Director &amp; Partner at Boston Consulting Group.</t>
  </si>
  <si>
    <t>jmerz@bcg.com</t>
  </si>
  <si>
    <t>455498-65P</t>
  </si>
  <si>
    <t>Jeroen Hendrix</t>
  </si>
  <si>
    <t>Jeroen</t>
  </si>
  <si>
    <t>Hendrix</t>
  </si>
  <si>
    <t>Mr. Jeroen Hendrix serves as Managing Director &amp; Partner at Boston Consulting Group. He is a core member of the Industrial Goods practice at the firm with a focus on materials and process industries, including chemical value chains, natural resources, (food) ingredients, and discrete manufacturing. He advises management teams and senior executives on creating top and bottom-line competitive advantage. In addition, he is a core member of the firm's Operations practice, to which he brings deep expertise in procurement as well as operations and supply chain. Before coming to BCG, he was a Partner with Kearney.</t>
  </si>
  <si>
    <t>hendrix.jeroen@bcg.com</t>
  </si>
  <si>
    <t>435332-98P</t>
  </si>
  <si>
    <t>Jerome Rein</t>
  </si>
  <si>
    <t>Rein</t>
  </si>
  <si>
    <t>Mr. Jerome Rein serves as Managing Director &amp; Senior Partner at Boston Consulting Group. He is a core member of the firm's Industrial Goods and Operations practices. He is the Commercial Aerospace topic leader at BCG. He has worked with industrial clients on a wide range of strategic and management issues, including restructuring and performance improvement. He has led numerous engagements around industrial performance, program management and recovery, post-merger integration, and large-scale transformation. Prior to joining BCG, Mr. Rein was a partner at Roland Berger Strategy Consultants.</t>
  </si>
  <si>
    <t>rein.jerome@bcg.com</t>
  </si>
  <si>
    <t>165567-43P</t>
  </si>
  <si>
    <t>Jerry Ronaghan</t>
  </si>
  <si>
    <t>Ronaghan</t>
  </si>
  <si>
    <t>Mr. Jerry Ronaghan serves as Managing Director at Boston Consulting Group. Mr. Jerry Ronaghan served as Senior Vice President, Agency &amp; Ad Tech at DataSift. In his previous role, Jerry worked for Dun &amp; Bradstreet, where he was the co-founder of their Audience Solutions business, a B2B programmatic media data provider that delivered solutions to both ad-tech partners and enterprise customers in the technology, finance and publishing verticals. In addition, he was the Founder of D&amp;B's Innovation Lab, a new business incubator that delivered significant new revenue growth and product lines over a three-year period.</t>
  </si>
  <si>
    <t>ronaghan.jerry@bcg.com</t>
  </si>
  <si>
    <t>435497-59P</t>
  </si>
  <si>
    <t>Jesper Damm</t>
  </si>
  <si>
    <t>Jesper</t>
  </si>
  <si>
    <t>Damm</t>
  </si>
  <si>
    <t>Mr. Jesper Damm serves as Managing Director &amp; Senior Partner at Boston Consulting Group. His engagements have focused on designing and implementing large-scale change for sustainable performance improvement; and his client work has covered strategy, procurement, manufacturing, organization, sales force, and digital.</t>
  </si>
  <si>
    <t>damm.jesper@bcg.com</t>
  </si>
  <si>
    <t>63303-85P</t>
  </si>
  <si>
    <t>Jesper Nielsen</t>
  </si>
  <si>
    <t>Nielsen</t>
  </si>
  <si>
    <t>Mr. Jesper Nielsen serves as Senior Partner &amp; Managing Director at Boston Consulting Group. He previously was an Investment Director with Cazenove Private Equity.</t>
  </si>
  <si>
    <t>nielsen.jesper@bcg.com</t>
  </si>
  <si>
    <t>456282-46P</t>
  </si>
  <si>
    <t>Jessica Apotheker</t>
  </si>
  <si>
    <t>Apotheker</t>
  </si>
  <si>
    <t>Chief Marketing Officer &amp; Managing Director</t>
  </si>
  <si>
    <t>Ms. Jessica Apotheker serves as Chief Marketing Officer, Managing Director &amp; Senior Partner at Boston Consulting Group. In her client work, she is the global lead for the Digital Growth team and a member of BCG X, Boston Consulting Group's tech build and design unit. She is an expert in large-scale digital marketing and digital go-to-market transformation, data-driven marketing in B2B2C and B2B, marketing analytics and ROI measurement, and marketing acceleration and operating model redesign.</t>
  </si>
  <si>
    <t>apotheker.jessica@bcg.com</t>
  </si>
  <si>
    <t>Chief Marketing Officer, Managing Director &amp; Senior Partner</t>
  </si>
  <si>
    <t>435189-52P</t>
  </si>
  <si>
    <t>Jessica Distler Ph.D</t>
  </si>
  <si>
    <t>Distler</t>
  </si>
  <si>
    <t>Ms. Jessica Distler serves as Managing Director &amp; Partner at Boston Consulting Group. She has extensive experience with both food and non-food retail clients, as well as fashion, luxury, and sportswear. She has led engagements along the entire value chain with a special focus on customer-centric and digital transformation.</t>
  </si>
  <si>
    <t>distler.jessica@bcg.com</t>
  </si>
  <si>
    <t>156906-10P</t>
  </si>
  <si>
    <t>Jessica Frame</t>
  </si>
  <si>
    <t>Frame</t>
  </si>
  <si>
    <t>Ms. Jessica Frame serves as Managing Director &amp; Partner at Boston Consulting Group. Ms. Jessica Frame served as Chief Executive Officer &amp; Board Member at The Vet. She has previously held senior leadership roles at Tesco, BCG and NutriCentre. She joined from NutriCentre, a specialist health food retailer, where as a managing director she delivered step-changes in the company's digital offering, commercial terms, supply chain and team culture, and gained a strong grounding in running expertise-led B2C businesses. She had previously been Customer Strategy &amp; Foresight Director at Tesco, focusing on proposition development, innovation and customer-led strategies; and before that, she spent a number of years at Boston Consulting Group, where she specialized in retail, healthcare and pharmaceuticals.</t>
  </si>
  <si>
    <t>jessica.frame@bcg.com</t>
  </si>
  <si>
    <t>435968-83P</t>
  </si>
  <si>
    <t>Jesus Herran</t>
  </si>
  <si>
    <t>Jesus</t>
  </si>
  <si>
    <t>Herran</t>
  </si>
  <si>
    <t>Mr. Jesus Herran serves as Managing Director &amp; Partner at Boston Consulting Group. He has worked primarily in the telecommunications sector, helping a wide range of organizations develop strategies and optimize their marketing and sales efforts.</t>
  </si>
  <si>
    <t>herran.jesus@bcg.com</t>
  </si>
  <si>
    <t>403365-43P</t>
  </si>
  <si>
    <t>Ji-hoon Kim Ph.D</t>
  </si>
  <si>
    <t>Ji-hoon</t>
  </si>
  <si>
    <t>Dr. Ji-hoon Kim serves as Managing Director and Senior Partner at Boston Consulting Group. His client work has covered gas, power generation, and commodity trading. He is a member of the firm's Energy and Strategy practices, as well as a member of BCG's Health Care Scientist Network. He also has deep experience in the industrial goods sector, having helped a wide range of companies conduct market studies and forecasts, analyze macroeconomic trends, and develop turnaround strategies. He has also worked with numerous clients in biopharma, private equity, metals and mining, chemicals, and process industries.</t>
  </si>
  <si>
    <t>kim@bcg.com</t>
  </si>
  <si>
    <t>436174-12P</t>
  </si>
  <si>
    <t>Jihoon Kang</t>
  </si>
  <si>
    <t>Jihoon</t>
  </si>
  <si>
    <t>Mr. Jihoon Kang serves as Managing Director &amp; Partner at Boston Consulting Group. He is a lead member of the Industrial Goods practice area and an active member of BCG TURN, which helps clients deliver rapid, visible performance improvements in the short term while strengthening their organizations and positioning them to win in the future.</t>
  </si>
  <si>
    <t>kang.jihoon@bcg.com</t>
  </si>
  <si>
    <t>455588-83P</t>
  </si>
  <si>
    <t>Jilco Schuurmans</t>
  </si>
  <si>
    <t>Jilco</t>
  </si>
  <si>
    <t>Schuurmans</t>
  </si>
  <si>
    <t>Mr. Jilco Schuurmans serves as Platinum Managing Director at Boston Consulting Group. He is the BCG Platinum regional consumer products leader and global co-lead for the (digital) transformation, de-risking, and quality assurance offering. Platinum is the firm's digital excellence offering, focused on the design and implementation of business-critical IT architecture and digital products and solutions. He works with clients in the consumer goods, industrial goods, oil and gas, electronics, health tech, and pharma industries. Prior to joining BCG Platinion, he worked as an executive partner at IBM, leading the Cognitive Process Transformation and Technology Strategy practices. Before that, he worked at DSM as part of the design and implementation of their digital transformation.</t>
  </si>
  <si>
    <t>schuurmans.jilco@bcg.com</t>
  </si>
  <si>
    <t>439390-63P</t>
  </si>
  <si>
    <t>Jill Wang</t>
  </si>
  <si>
    <t>Ms. Jill Wang serves as Managing Director &amp; Partner at Boston Consulting Group. She is a core member of the firm's Consumer, Operations, and Global Advantage practices. She is a global leader for food category performance improvement and assortment, with a focus on customer value proposition and format strategy. Her expertise includes merchandising excellence, private label strategy, and supplier management. Her approach to category management leverages GenAI and focuses on enablement to ensure sustained impact. Ms. Wang serves as an Investment Director &amp; Angel Investor at 37 Angels.</t>
  </si>
  <si>
    <t>wang.jill@bcg.com</t>
  </si>
  <si>
    <t>435588-58P</t>
  </si>
  <si>
    <t>Jim Hemerling</t>
  </si>
  <si>
    <t>Hemerling</t>
  </si>
  <si>
    <t>Mr. Jim Hemerling serves as Managing Director &amp; Senior Partner at Boston Consulting Group. His experience includes working with clients around the world in technology, consumer, financial, and manufacturing industries.</t>
  </si>
  <si>
    <t>hemerling.jim@bcg.com</t>
  </si>
  <si>
    <t>435607-84P</t>
  </si>
  <si>
    <t>Jim Morabito</t>
  </si>
  <si>
    <t>Morabito</t>
  </si>
  <si>
    <t>Mr. Jim Morabito serves as Partner &amp; Director at Boston Consulting Group. He has acquired deep knowledge and expertise advising clients around the world on operations topics across a number of sectors, including automotive, biopharma, medtech, durable goods, food and beverage, consumer products, and aerospace.</t>
  </si>
  <si>
    <t>morabito.jim@bcg.com</t>
  </si>
  <si>
    <t>435441-43P</t>
  </si>
  <si>
    <t>Jimmy Feng</t>
  </si>
  <si>
    <t>Jimmy</t>
  </si>
  <si>
    <t>Feng</t>
  </si>
  <si>
    <t>Mr. Jimmy Feng serves as Managing Director &amp; Partner at Boston Consulting Group. He specializes in consumer electronics sales and marketing, augmented reality and virtual reality (VR/AR), strategic planning, and product development.</t>
  </si>
  <si>
    <t>+886 (0)28 7222000</t>
  </si>
  <si>
    <t>feng.jmmy@bcg.com</t>
  </si>
  <si>
    <t>27 Floor, Cathay Landmark, Number 68, Sector 5</t>
  </si>
  <si>
    <t>Zhongxiao East Road, Xinyi District</t>
  </si>
  <si>
    <t>+886 (0)28 7222088</t>
  </si>
  <si>
    <t>435137-77P</t>
  </si>
  <si>
    <t>Jinseok Jang</t>
  </si>
  <si>
    <t>Jinseok</t>
  </si>
  <si>
    <t>Jang</t>
  </si>
  <si>
    <t>Mr. Jinseok Jang serves as Managing Director &amp; Partner at Boston Consulting Group. He is actively working at the forefront of industrial digital transformation, providing leading companies in Korea with insights on their current situation and what they need to do in terms of digital transformation.</t>
  </si>
  <si>
    <t>jinseok.jang@bcg.com</t>
  </si>
  <si>
    <t>435122-92P</t>
  </si>
  <si>
    <t>Joachim Engesser</t>
  </si>
  <si>
    <t>Joachim</t>
  </si>
  <si>
    <t>Engesser</t>
  </si>
  <si>
    <t>Mr. Joachim Engesser serves as Managing Director &amp; Partner at Boston Consulting Group. He works with clients on large scale digital transformation and digital strategy, IT architecture design, and data and analytics transformation. He has specific expertise in IT project management, IT post-merger integration, business intelligence, and data management. Prior to joining the firm, Joachim worked at Deloitte Consulting.</t>
  </si>
  <si>
    <t>engesser.joachim@bcg.com</t>
  </si>
  <si>
    <t>455868-37P</t>
  </si>
  <si>
    <t>Joakim Kalvenes Ph.D</t>
  </si>
  <si>
    <t>Joakim</t>
  </si>
  <si>
    <t>Kalvenes</t>
  </si>
  <si>
    <t>Ms. Joakim Kalvenes serves as Managing Director &amp; Partner at Boston Consulting Group. He is a core member of the firm's Industrial Goods and Operations practices, as well as BCG X, the firm's tech build and design unit. He is the chief technology officer and regional head of Natural Resource Ops, BCG X's AI operating system for natural resource industries-as well as its intellectual property development leader. His client engagements focus on analytics-driven, transformational improvement in operational efficiency for metals and mining companies. Before joining BCG, he was Executive Principal and Vice President of Operations Research and Data Science Consulting at the travel technology company Sabre, Executive VP of Client Service at The Nielsen Company, and COO of NeuroFocus. He has also held faculty positions at the University of Texas at Dallas and Southern Methodist University.</t>
  </si>
  <si>
    <t>joakim.kalvenes@bcg.com</t>
  </si>
  <si>
    <t>434809-00P</t>
  </si>
  <si>
    <t>Joan Sol</t>
  </si>
  <si>
    <t>Joan</t>
  </si>
  <si>
    <t>Sol</t>
  </si>
  <si>
    <t>Mr. Joan Sol serves as Managing Director &amp; Partner at Boston Consulting Group. He has worked with a wide range of consumer and retail clients to address key issues associated with strategy and corporate development, sales and marketing, omnichannel, digital, operations, and organization topics.</t>
  </si>
  <si>
    <t>+34 93 363 4700</t>
  </si>
  <si>
    <t>sol.joan@bcg.com</t>
  </si>
  <si>
    <t>Barcelona</t>
  </si>
  <si>
    <t>Barcelona, Spain</t>
  </si>
  <si>
    <t>Avenida Diagonal 640 - 5A</t>
  </si>
  <si>
    <t>08017</t>
  </si>
  <si>
    <t>+34 93 363 4710</t>
  </si>
  <si>
    <t>434891-53P</t>
  </si>
  <si>
    <t>Joanna Stringer</t>
  </si>
  <si>
    <t>Joanna</t>
  </si>
  <si>
    <t>Stringer</t>
  </si>
  <si>
    <t>Ms. Joanna Stringer serves as Managing Director &amp; Partner at Boston Consulting Group. She combines her strongly analytical background with a deep understanding of the emotional aspects of decision making in order to deliver significant commercial impact from the combination of insight, data, creative assets, and technology.</t>
  </si>
  <si>
    <t>stringer.joanna@bcg.com</t>
  </si>
  <si>
    <t>455651-11P</t>
  </si>
  <si>
    <t>Joao Curado</t>
  </si>
  <si>
    <t>Joao</t>
  </si>
  <si>
    <t>Curado</t>
  </si>
  <si>
    <t>Mr. Joao Curado serves as Managing Director &amp; Partner at Boston Consulting Group. She is a core member of the firm's Financial Institutions practice. He has developed expertise in many aspects of the industry, having worked with leading banks, payments providers, fintechs, institutional investors, and regulators across Brazil, broader Latin America, and North America. At BCG, he leads high-performing teams on key retail banking topics such as payments, credit, fintech, and data-driven personalization; as well as risk and compliance issues, including financial risk modeling, treasury, balance sheet optimization, and stress testing. His recent client engagements have covered revenue management, pricing transformation, due diligence, market entry, and customer acquisition and retention. Prior to joining BCG in 2021, he spent eight years at Oliver Wyman Financial Services.</t>
  </si>
  <si>
    <t>jp@bcg.com</t>
  </si>
  <si>
    <t>435956-77P</t>
  </si>
  <si>
    <t>Joaquin Olmo</t>
  </si>
  <si>
    <t>Joaquin</t>
  </si>
  <si>
    <t>Olmo</t>
  </si>
  <si>
    <t>Mr. Joaquin Olmo serves as Managing Director &amp; Senior Partner at Boston Consulting Group. He has served a wide variety of clients across Europe, the US, and Latin America.</t>
  </si>
  <si>
    <t>olmo.joaquin@bcg.com</t>
  </si>
  <si>
    <t>456474-88P</t>
  </si>
  <si>
    <t>Jochen Schoenfelder</t>
  </si>
  <si>
    <t>Jochen</t>
  </si>
  <si>
    <t>Schoenfelder</t>
  </si>
  <si>
    <t>Mr. Jochen Schoenfelder serves as Managing Director &amp; Senior Partner at Boston Consulting Group. He leads the firm's Cologne office and is a member of BCG's Consumer, Corporate Development, Industrial Goods, and Transform practices. He is an expert with BCG's Transform practice area, which helps clients deliver rapid, visible performance improvements in the short term while strengthening their organizations and positioning them to win in the future. He also leads BCG's Transform practice in Central Europe. Prior to joining BCG, he was a partner at Roland Berger.</t>
  </si>
  <si>
    <t>schoenfelder.jochen@bcg.com</t>
  </si>
  <si>
    <t>436125-34P</t>
  </si>
  <si>
    <t>Jochen Weber Ph.D</t>
  </si>
  <si>
    <t>Weber</t>
  </si>
  <si>
    <t>Mr. Jochen Weber serves as Partner &amp; Associate Director at Boston Consulting Group. He is a core group member of the Energy practice and leader of the German retail energy topic team. As the operational lead for worldwide sales and service benchmarking, Jochen has been involved in benchmarking at various utilities in Europe and beyond.</t>
  </si>
  <si>
    <t>weber.jochen@bcg.com</t>
  </si>
  <si>
    <t>456642-82P</t>
  </si>
  <si>
    <t>Jody Foldesy</t>
  </si>
  <si>
    <t>Jody</t>
  </si>
  <si>
    <t>Foldesy</t>
  </si>
  <si>
    <t>Mr. Jody Foldesy serves as Managing Director &amp; Senior Partner at Boston Consulting Group. He is a core member of the Corporate Finance &amp; Strategy and Principal Investor &amp; Private Equity practices at the firm. He has deep experience across multiple industry practices, including Industrial Goods, Health Care, Technology, Media &amp; Telecommunications, and Consumer. He is deeply involved in all aspects of the Corporate Development practice, including growth, corporate and portfolio strategy, shareholder value creation and total shareholder return (TSR), investor strategy, capital deployment, M&amp;A, and postmerger integration. He leads the firm's global work in shareholder activism, and he leads BCG's work on TSR-led transformation in North America. Prior to joining BCG, he worked as a journalist at The Washington Times.</t>
  </si>
  <si>
    <t>foldesy.jody@bcg.com</t>
  </si>
  <si>
    <t>456500-98P</t>
  </si>
  <si>
    <t>Joe Jabbour</t>
  </si>
  <si>
    <t>Jabbour</t>
  </si>
  <si>
    <t>Mr. Joe Jabbour serves as Managing Director &amp; Partner at Boston Consulting Group. He is a core member of the firm's Travel, Cities &amp; Infrastructure, and Operations practices. He focuses on supporting megaprojects in the Middle East, as well as large-scale real estate, social infrastructure, and industrial development engagements. His experience covers all aspects of the development lifecycle, including initial vision and feasibility, master planning, construction, operations ramp-up, fundraising and investment attraction, and exit/IPO strategy. He also supports governance, organization, and transformation of development authorities and real estate development companies. Before joining BCG, he worked in the oil and gas sector at Schlumberger. He also held multiple roles, including big data analytics, simulation engineering, and on-site construction engineer, at Consolidated Contractors Company.</t>
  </si>
  <si>
    <t>jabbour.joe@bcg.com</t>
  </si>
  <si>
    <t>435440-44P</t>
  </si>
  <si>
    <t>Joe Khoury</t>
  </si>
  <si>
    <t>Khoury</t>
  </si>
  <si>
    <t>Mr. Joe Khoury serves as Managing Director &amp; Partner at Boston Consulting Group. He has expertise in operational transformation and efficiency, cost management, distribution strategy, data and analytics with a focus on machine learning, advanced analytics, new digital product development, and scaling in insurance.</t>
  </si>
  <si>
    <t>khoury.joe@bcg.com</t>
  </si>
  <si>
    <t>435123-37P</t>
  </si>
  <si>
    <t>Joe Saab</t>
  </si>
  <si>
    <t>Saab</t>
  </si>
  <si>
    <t>Mr. Joe Saab serves as Managing Director at Boston Consulting Group. He leads the technology agenda for the Insurance practice in Iberia and South America, and is the cloud leader for BCG Platinion in Europe, the Middle East, South America, and Africa.</t>
  </si>
  <si>
    <t>saab.joe@bcg.com</t>
  </si>
  <si>
    <t>436423-15P</t>
  </si>
  <si>
    <t>Joel King</t>
  </si>
  <si>
    <t>Mr. Joel King serves as Managing Director &amp; Partner at Boston Consulting Group. His work focuses on operations and large-scale change in distribution businesses.</t>
  </si>
  <si>
    <t>king.joel@bcg.com</t>
  </si>
  <si>
    <t>436438-45P</t>
  </si>
  <si>
    <t>Joel Muniz</t>
  </si>
  <si>
    <t>Muniz</t>
  </si>
  <si>
    <t>Mr. Joel Muniz serves as Managing Director &amp; Senior Partner at Boston Consulting Group. His goal is to help his clients develop and deploy digitally enhanced solutions to maximize value and accelerate business growth, as well as build and transfer new capabilities.</t>
  </si>
  <si>
    <t>muniz.joel@bcg.com</t>
  </si>
  <si>
    <t>346304-35P</t>
  </si>
  <si>
    <t>Joerg Hildebrandt</t>
  </si>
  <si>
    <t>Joerg</t>
  </si>
  <si>
    <t>Hildebrandt</t>
  </si>
  <si>
    <t>Mr. Joerg Hildebrandt serves as Managing Director &amp; Senior Partner, Global Leader, Public Sector Practice at Boston Consulting Group. He leads Boston Consulting Group's operations in the Middle East and is a member of the firm's European management team. He works with clients in the public sector and has advised senior leaders and board members of world-class organizations in the Middle East and globally on strategic transformations to deliver future success. In his client engagements, he seeks to unlock the full potential of large corporations and public sector institutions. He has deep expertise in large-scale transformations, strategy, operating models, digitization, marketing, organizational design, corporate governance, and change management. In addition to his commitment to his BCG clients, he has supported non-profit organizations and NGOs in their strategy development and execution. Before joining BCG, He was the managing partner of Oliver Wyman in the Middle East.</t>
  </si>
  <si>
    <t>joerg.hildebrandt@bcg.com</t>
  </si>
  <si>
    <t>Managing Director &amp; Senior Partner, Global Leader, Public Sector Practice</t>
  </si>
  <si>
    <t>17450-65P</t>
  </si>
  <si>
    <t>Johan Oberg</t>
  </si>
  <si>
    <t>Oberg</t>
  </si>
  <si>
    <t>Mr. Johan Oberg serves as Managing Director &amp; Senior Partner at Boston Consulting Group. He also serves as Board Member at OnDosis. Since joining BCG in 2000, he has worked in a variety of industries in the Nordics and throughout Europe, as well as in the US and Asia. He has specific experience in private equity and mergers and acquisitions. He has led a wide range of commercial due-diligence projects for top investors seeking opportunities in health care, including private providers and clients in pharma, MedTech, and biotech. He also has deep expertise in growth strategies for healthcare systems, including market assessments and mergers and acquisitions.</t>
  </si>
  <si>
    <t>oberg.johan@bcg.com</t>
  </si>
  <si>
    <t>456756-31P</t>
  </si>
  <si>
    <t>Johann Harnoss Ph.D</t>
  </si>
  <si>
    <t>Johann</t>
  </si>
  <si>
    <t>Harnoss</t>
  </si>
  <si>
    <t>Associate Director &amp; Managing Director</t>
  </si>
  <si>
    <t>Dr. Johann Harnoss serves as Partner and Associate Director, Innovation; BCG Henderson Institute Fellow at Boston Consulting Group. He is a member of the firm's Corporate Finance &amp; Strategy practice. His advisory work centers on developing more effective innovation strategies and operating models to improve clients' hit rate on breakthrough innovation. He is the founder and CEO of Imagine Foundation, a social startup dedicated to advancing global equality of opportunity by providing digital coaching to students in the Middle East.</t>
  </si>
  <si>
    <t>harnoss.johann@bcg.com</t>
  </si>
  <si>
    <t>Partner and Associate Director, Innovation; BCG Henderson Institute Fellow</t>
  </si>
  <si>
    <t>456809-77P</t>
  </si>
  <si>
    <t>Johann Stiessberger</t>
  </si>
  <si>
    <t>Stiessberger</t>
  </si>
  <si>
    <t>Mr. Johann Stiessberger serves as Managing Director &amp; Senior Partner at Boston Consulting Group. He leads the firm's Health Care practice in Germany and serves as the Business Development Chair on the G&amp;A Leadership Team. He heads the Consumer Health and Animal Health topics for that area. His project experience covers commercial, development, and manufacturing topics, including long-term strategies and new commercial approaches for future health care environments, business unit strategies, mergers and acquisitions, and postmerger integration support, and commercial strategies on both the product and portfolio level.</t>
  </si>
  <si>
    <t>stiessberger.johann@bcg.com</t>
  </si>
  <si>
    <t>456810-04P</t>
  </si>
  <si>
    <t>Johanna Benesty</t>
  </si>
  <si>
    <t>Benesty</t>
  </si>
  <si>
    <t>Ms. Johanna Benesty serves as Managing Director &amp; Senior Partner at Boston Consulting Group. She is a core member of the firm's Health Care and Social Impact practices. She leads the firm's work in global health, as well as BCG X in France. She has worked with leading health care organizations, both private and public sector, on advancing equitable access to health care products and services in high-income and low- and middle-income countries. Her work has spanned a wide range of strategic and operational issues, including defining the go-to-market models for specific vaccines, developing strategies for generics, and defining generic drug portfolios for emerging markets. Prior to joining BCG, she was an intern in the strategy departments of Disneyland Resort Paris, Star Alliance in Frankfurt, and L.E.K. in Paris.</t>
  </si>
  <si>
    <t>benesty.johanna@bcg.com</t>
  </si>
  <si>
    <t>434959-48P</t>
  </si>
  <si>
    <t>Johanna Puetz Ph.D</t>
  </si>
  <si>
    <t>Puetz</t>
  </si>
  <si>
    <t>Ms. Johanna Puetz serves as Managing Director &amp; Partner at Boston Consulting Group. She is a core member of BCG's Climate &amp; Sustainability and Industrial Goods practice areas and leads BCG's Climate &amp; Sustainability business in Central Europe.</t>
  </si>
  <si>
    <t>puetz.johanna@bcg.com</t>
  </si>
  <si>
    <t>293065-75P</t>
  </si>
  <si>
    <t>Johannes Distler Ph.D</t>
  </si>
  <si>
    <t>Johannes</t>
  </si>
  <si>
    <t>Dr. Johannes Distler serves as Managing Director &amp; Partner at Boston Consulting Group. He is a member of the Travel, Cities &amp; Infrastructure practice, with significant industry experience in logistics, postal, and shipping, and functional experience in strategy, performance improvement, and large-scale transformation projects. In addition, he has an extensive track record leading M&amp;A and post-merger integration projects in the Middle East and globally. Dr. Distler served as Chief Strategy Officer at Aramex. Before Aramex, he was a Partner at Roland Berger, leading their transportation and logistics work in the Middle East.</t>
  </si>
  <si>
    <t>distler.johannes@bcg.com</t>
  </si>
  <si>
    <t>456091-57P</t>
  </si>
  <si>
    <t>Johannes Glugla</t>
  </si>
  <si>
    <t>Glugla</t>
  </si>
  <si>
    <t>Mr. Johannes Glugla serves as Managing Director &amp; Partner at Boston Consulting Group. He is a core member of the firm's Principal Investors &amp; Private Equity (PIPE) practice in Central Europe, and leads Fund Strategy &amp; Operations for the EMESA region. He has considerable experience in fund strategy and operations along the entire investment value chain, as well as in fund administration and transaction and value creation.</t>
  </si>
  <si>
    <t>glugla.johannes@bcg.com</t>
  </si>
  <si>
    <t>456703-39P</t>
  </si>
  <si>
    <t>Johannes Thoms</t>
  </si>
  <si>
    <t>Thoms</t>
  </si>
  <si>
    <t>Mr. Johannes Thoms serves as Managing Director &amp; Senior Partner at Boston Consulting Group. He is a member of the Health Care and Principal Investors &amp; Private Equity (PIPE) practices at the firm. He works primarily at the intersection of private equity and health care, with a particular focus on biopharma, biopharma services, and in-vitro diagnostics/life science tools, both in transaction and post-close value-creation settings. He also has considerable experience in the pharmaceutical and medical technology industry, working for global companies on commercial and transformation topics.</t>
  </si>
  <si>
    <t>thoms.johannes@bcg.com</t>
  </si>
  <si>
    <t>435325-06P</t>
  </si>
  <si>
    <t>John Cheru</t>
  </si>
  <si>
    <t>Cheru</t>
  </si>
  <si>
    <t>Mr. John Cheru serves as Managing Director &amp; Senior Partner at Boston Consulting Group. He is a core member of the firm's Financial Services, Consumer, and Health Care practices.</t>
  </si>
  <si>
    <t>cheru.john@bcg.com</t>
  </si>
  <si>
    <t>434981-17P</t>
  </si>
  <si>
    <t>John Elder</t>
  </si>
  <si>
    <t>Mr. John Elder serves as Managing Director &amp; Partner at Boston Consulting Group. He has substantial global experience working with leading airlines, car rental companies, theme parks, hotels, and other travel providers. He is the lead for pricing in travel and tourism for North America.</t>
  </si>
  <si>
    <t>elder.john@bcg.com</t>
  </si>
  <si>
    <t>436228-48P</t>
  </si>
  <si>
    <t>John Florez</t>
  </si>
  <si>
    <t>Florez</t>
  </si>
  <si>
    <t>Mr. John Florez serves as Partner &amp; Associate Director at Boston Consulting Group. He is a refining and chemical plant operations expert, having developed and led activities to reduce OPEX spend and improve profitability through reorganization, digital tool deployment, best practice implementation, and overall business remodel.</t>
  </si>
  <si>
    <t>florez.john@bcg.com</t>
  </si>
  <si>
    <t>435752-47P</t>
  </si>
  <si>
    <t>John Gooch Ph.D</t>
  </si>
  <si>
    <t>Gooch</t>
  </si>
  <si>
    <t>Mr. John Gooch serves as Managing Director &amp; Senior Partner at Boston Consulting Group. He specializes in driving large programs focused on commercial and operational effectiveness, as well as setting up program management offices and systems.</t>
  </si>
  <si>
    <t>gooch.john@bcg.com</t>
  </si>
  <si>
    <t>455903-20P</t>
  </si>
  <si>
    <t>John Knapp</t>
  </si>
  <si>
    <t>Knapp</t>
  </si>
  <si>
    <t>Mr. John Knapp serves as Managing Director &amp; Senior Partner at Boston Consulting Group. He is a core member of the Operations practice, leads the global manufacturing business line, and leads the firm's work in manufacturing and supply chain in North America. In addition, he leads digital manufacturing (Manufacturing AI by BCG X) globally. He specializes in manufacturing, lean production systems, manufacturing network design, digital manufacturing, and supply chain. He works mostly with clients in the consumer, health care, and industrial goods industries. Prior to joining BCG, he worked at Celanese in chemicals manufacturing operations, where he held various positions in engineering and operations.</t>
  </si>
  <si>
    <t>knapp.john@bcg.com</t>
  </si>
  <si>
    <t>435500-11P</t>
  </si>
  <si>
    <t>John Pineda</t>
  </si>
  <si>
    <t>Pineda</t>
  </si>
  <si>
    <t>Mr. John Pineda serves as Managing Director &amp; Partner at Boston Consulting Group. He is a core member of BCG's Technology, Media, &amp; Telecommunications and Marketing, Sales &amp; Pricing practices.</t>
  </si>
  <si>
    <t>pineda.john@bcg.com</t>
  </si>
  <si>
    <t>17449-39P</t>
  </si>
  <si>
    <t>John Rose</t>
  </si>
  <si>
    <t>Mr. John Rose serves as Senior Partner &amp; Managing Director at Boston Consulting Group. He serves as Board Member at Tenetic. He serves as Board Member at ViewLift. He has focused his consulting practice over the past several years on collaborating with a broad set of technology, media, and telecommunications companies to address the uncertainty unleashed by new forms of online content, new distribution pathways, new devices, new consumer behaviors, and new business models that are disrupting the competitive landscape.</t>
  </si>
  <si>
    <t>johnrose@bcg.com</t>
  </si>
  <si>
    <t>435993-76P</t>
  </si>
  <si>
    <t>John Wenstrup</t>
  </si>
  <si>
    <t>Wenstrup</t>
  </si>
  <si>
    <t>Mr. John Wenstrup serves as Managing Director &amp; Senior Partner at Boston Consulting Group. He advises CEOs and senior business leaders of technology and media companies. He is particularly focused on driving strategy, value growth, and large-scale change agendas.</t>
  </si>
  <si>
    <t>john.wenstrup@bcg.com</t>
  </si>
  <si>
    <t>455393-53P</t>
  </si>
  <si>
    <t>John Wilson</t>
  </si>
  <si>
    <t>Mr. John Wilson serves as Managing Director at Boston Consulting Group. He is a member of the Principal Investors &amp; Private Equity (PIPE) and Corporate Finance &amp; Strategy (CFS) practices at the firm. He leads both buy- and sell-side due diligence efforts for leading global private equity funds, as well as strategy and M&amp;A efforts for leading corporate clients. He works with clients across the tech, health care, business services, and consumer industries on topics including due diligence and portfolio strategy. In addition to case work, he leads recruiting efforts for BCG's Southern California offices and is a member of the firm's Career Development Committee.</t>
  </si>
  <si>
    <t>wilson.john@bcg.com</t>
  </si>
  <si>
    <t>435498-22P</t>
  </si>
  <si>
    <t>Jon Brock</t>
  </si>
  <si>
    <t>Mr. Jon Brock serves as Partner &amp; Director, Technology &amp; Digital Transformation at Boston Consulting Group. He is a transformation leader with an extensive track record of shaping and delivering transformation initiatives for his executive clients.</t>
  </si>
  <si>
    <t>brock.jon@bcg.com</t>
  </si>
  <si>
    <t>Partner &amp; Director, Technology &amp; Digital Transformation</t>
  </si>
  <si>
    <t>455371-75P</t>
  </si>
  <si>
    <t>Jon Ferris</t>
  </si>
  <si>
    <t>Ferris</t>
  </si>
  <si>
    <t>Mr. Jon Ferris serves as Managing Director, Partner, and Chief Financial Officer, BCG X at Boston Consulting Group. He also leads the firm's finance function for other global specialty businesses and global practices, as well as BCG's Global Services headquarters in Boston. His client work is focused on transactional support and strategic diligence for private equity and consumer goods clients. He was also a founding member of the public education practice in the U.S.</t>
  </si>
  <si>
    <t>ferris.jon@bcg.com</t>
  </si>
  <si>
    <t>Managing Director, Partner and Chief Financial Officer, BCG X</t>
  </si>
  <si>
    <t>436233-88P</t>
  </si>
  <si>
    <t>Jon Hampton</t>
  </si>
  <si>
    <t>Mr. Jon Hampton serves as Managing Director &amp; Partner at Boston Consulting Group. He has substantial practical experience in a number of B2B industries including engineered products, machinery, chemicals, building materials, software, and semiconductors.</t>
  </si>
  <si>
    <t>jon.hampton@bcg.com</t>
  </si>
  <si>
    <t>213702-49P</t>
  </si>
  <si>
    <t>Jon Kaplan</t>
  </si>
  <si>
    <t>Kaplan</t>
  </si>
  <si>
    <t>Mr. Jon Kaplan serves as Executive Venture Partner at Caduceus Capital Partners. He also serves as Managing Director &amp; Senior Partner at Boston Consulting Group. He leads BCG's health-care payers and services team in North and South America. He is also a member of the firm's Strategy practice. Mr. Kaplan served as Investment Partner at Frist Cressey Ventures. He served as a Board Member at Picwell. He works with the firm to advise on investment opportunities and assist portfolio companies with their strategic direction and execution. He also serves as a Managing Director and Senior Partner with the Boston Consulting Group, where he focuses on the healthcare market, setting strategies and building effective operating models for corporations and organizations in the US and across the globe. He is an A.B. in economics from Cornell University, an M.P.H. in epidemiology and biostatistics from the University of Pittsburgh, and an executive M.B.A. from the Kellogg School of Management.</t>
  </si>
  <si>
    <t>jon@caduceus.vc</t>
  </si>
  <si>
    <t>4235 Hillsboro Pike</t>
  </si>
  <si>
    <t>37215</t>
  </si>
  <si>
    <t>Executive Venture Partner</t>
  </si>
  <si>
    <t>Caduceus Capital Partners</t>
  </si>
  <si>
    <t>455709-52P</t>
  </si>
  <si>
    <t>Jonas Aarsnes</t>
  </si>
  <si>
    <t>Aarsnes</t>
  </si>
  <si>
    <t>Mr. Jonas Aarsnes serves as Managing Director &amp; Partner at Boston Consulting Group. He is a core member of the firm's global Technology, Media &amp; Telecommunications (TMT) and Corporate Finance &amp; Strategy (CFS) practices. He leads the TMT team in Oslo. He has extensive experience working on growth strategies, performance improvement, and transformation programs. He focuses on work in the telecommunications, media, and technology industry, but has also led a broad range of transformation and M&amp;A related projects for private equity and industrial clients. Before joining the firm, he was a squad leader in the Norwegian Army.</t>
  </si>
  <si>
    <t>aarsnes.jonas@bcg.com</t>
  </si>
  <si>
    <t>456645-70P</t>
  </si>
  <si>
    <t>Jonas Geerinck</t>
  </si>
  <si>
    <t>Geerinck</t>
  </si>
  <si>
    <t>Mr. Jonas Geerinck serves as Managing Director &amp; Senior Partner at Boston Consulting Group. He is a core member of the Energy and Health Care practices at the firm. He is also a member of the Operations practice. He works extensively with leading energy and health sector clients, advising them on strategic, operational, and regulatory issues.</t>
  </si>
  <si>
    <t>geerinck.jonas@bcg.com</t>
  </si>
  <si>
    <t>426881-71P</t>
  </si>
  <si>
    <t>Jonas Hiltrop</t>
  </si>
  <si>
    <t>Hiltrop</t>
  </si>
  <si>
    <t>Mr. Jonas Hiltrop serves as Managing Director &amp; Partner, BCG X at Boston Consulting Group. He is a core member of the firm's Industrial Goods and Automotive Practices and part of BCG X, the company's technology build and design unit. Prior to joining BCG, he worked on technology commercialization at the Fraunhofer Center for Sustainable Energy Systems and in economic and financial consulting at Cornerstone Research (both in Boston, MA).</t>
  </si>
  <si>
    <t>jhiltrop@bcg.com</t>
  </si>
  <si>
    <t>455263-66P</t>
  </si>
  <si>
    <t>Jonas Lorentzen</t>
  </si>
  <si>
    <t>Lorentzen</t>
  </si>
  <si>
    <t>Mr. Jonas Lorentzen serves as Managing Director &amp; Partner at Boston Consulting Group. He is a core member of the Consumer practice focusing on retail, consumer goods, and fashion and luxury, with expertise in large-scale change, turnaround, and transformation, cost out, strategy, and retail operations. Currently, he is focusing on working with consumer and retail clients on their digital transformations. In addition, he is a core member of the Transform, Technology &amp; Digital Advantage, and Corporate Finance &amp; Strategy practices. Prior to coming to BCG, he worked with Novozymes, Denmark, in business finance research and development as a financial and strategic analyst.</t>
  </si>
  <si>
    <t>lorentzen.jonas@bcg.com</t>
  </si>
  <si>
    <t>435835-63P</t>
  </si>
  <si>
    <t>Jonathan Brown Ph.D</t>
  </si>
  <si>
    <t>Dr. Jonathan Brown serves as Managing Director &amp; Partner at Boston Consulting Group. He has deep experience in operations, strategy management, and digitization, and has mainly worked on projects in the industrial goods and chemicals industries. His current focus is on machinery and automation clients, working with them on operations and digital transformation.</t>
  </si>
  <si>
    <t>brown.jonathan@bcg.com</t>
  </si>
  <si>
    <t>435501-10P</t>
  </si>
  <si>
    <t>Jonathan Fahey</t>
  </si>
  <si>
    <t>Fahey</t>
  </si>
  <si>
    <t>Mr. Jonathan Fahey serves as Managing Director &amp; Senior Partner at Boston Consulting Group. He is a core member of the firm's Consumer, Marketing, Sales &amp; Pricing, and Operations practices. He has extensive experience across most major functions in food and durable goods retail, and he has also led a number of large-scale transformations in the UK and Australia, from strategy through to delivery. Prior to joining BCG, he worked for Vodafone in internal strategy, and he was previously a design engineer for Airbus Industries and Alstom.</t>
  </si>
  <si>
    <t>fahey.jonathan@bcg.com</t>
  </si>
  <si>
    <t>435084-58P</t>
  </si>
  <si>
    <t>Jonathan Morse</t>
  </si>
  <si>
    <t>Morse</t>
  </si>
  <si>
    <t>Mr. Jonathan Morse serves as Managing Director &amp; Partner at Boston Consulting Group. He works with private equity clients on commercial due diligence, sell-side diligence, and portfolio company acceleration efforts.</t>
  </si>
  <si>
    <t>morse.jonathan@bcg.com</t>
  </si>
  <si>
    <t>456624-37P</t>
  </si>
  <si>
    <t>Jonathan Nipper</t>
  </si>
  <si>
    <t>Nipper</t>
  </si>
  <si>
    <t>Mr. Jonathan Nipper serves as Managing Director &amp; Partner at Boston Consulting Group. He is a core member of the firm's Industrial Goods practice, focusing on the automotive industry. He has significant experience across the automotive value chain with both OEMs and tier 1 suppliers. He has in-depth knowledge of connected cars, electric vehicles, mobility, and autonomous vehicles. Jonathan also leads recruiting for the Detroit office. He works with clients on strategy, transformation, procurement and sourcing, manufacturing, due diligence, quality, and product planning and development.</t>
  </si>
  <si>
    <t>nipper.jonathan@bcg.com</t>
  </si>
  <si>
    <t>435612-25P</t>
  </si>
  <si>
    <t>Jonathan Scott</t>
  </si>
  <si>
    <t>Mr. Jonathan Scott serves as Managing Director &amp; Senior Partner at Boston Consulting Group. His clients include hospitals, health systems and other health services companies, state and local governments, and private equity firms and their portfolio companies.</t>
  </si>
  <si>
    <t>scott.jonathan@bcg.com</t>
  </si>
  <si>
    <t>455194-63P</t>
  </si>
  <si>
    <t>Jorg Wulftange</t>
  </si>
  <si>
    <t>Jorg</t>
  </si>
  <si>
    <t>Wulftange</t>
  </si>
  <si>
    <t>Mr. Jorg Wulftange serves as Platinion Managing Director at Boston Consulting Group. He is a leading member of BCG Platinion (BCG's digital transformation practice) in Munich, and heads the Enterprise Solution Chapter, where he is responsible for the enterprise resource planning offering, especially S/4HANA transformations and digitization of customer relationship management and human resources. He previously worked in the Copenhagen area, where he started and scaled BCG Platinion for the Nordics.</t>
  </si>
  <si>
    <t>wulftange.jorg@bcg.com</t>
  </si>
  <si>
    <t>435323-89P</t>
  </si>
  <si>
    <t>Jorge Colado</t>
  </si>
  <si>
    <t>Colado</t>
  </si>
  <si>
    <t>Mr. Jorge Colado serves as Managing Director &amp; Senior Partner at Boston Consulting Group. He has led projects to help clients develop and implement customer experience programs, identify the most profitable customers, and segment their commercial initiatives.</t>
  </si>
  <si>
    <t>colado.jorge@bcg.com</t>
  </si>
  <si>
    <t>434827-90P</t>
  </si>
  <si>
    <t>Jose Moreno</t>
  </si>
  <si>
    <t>Mr. Jose Moreno serves as Managing Director &amp; Partner at Boston Consulting Group. He has deep expertise in large-scale change programs in technology industries, covering digital transformation, product portfolio prioritization and value-based pricing, business model innovation, and strategic planning.</t>
  </si>
  <si>
    <t>moreno.jose@bcg.com</t>
  </si>
  <si>
    <t>455852-98P</t>
  </si>
  <si>
    <t>Jose Velasco</t>
  </si>
  <si>
    <t>Velasco</t>
  </si>
  <si>
    <t>Mr. Jose Velasco serves as Partner &amp; Director at Boston Consulting Group. He leads interdisciplinary teams of strategists, marketers, product managers, designers, engineers, and recruiters to invent, build, launch, and scale new disruptive companies and products in the automotive sector. He has special expertise in the automotive finance space and works with auto industry banks on innovation and digitization for both automotive and finance firms. Before joining BCG, he worked at Deutsche Börse Cloud Exchange AG in Berlin as VP of Products and at Zimory GmbH in Berlin as VP of Products.</t>
  </si>
  <si>
    <t>jose.velasco@bcg.com</t>
  </si>
  <si>
    <t>162013-42P</t>
  </si>
  <si>
    <t>Joseph Davis</t>
  </si>
  <si>
    <t>Davis</t>
  </si>
  <si>
    <t>Mr. Joseph Davis serves as Senior Advisor at Boston Consulting Group. Mr. Davis is the former regional chair for Boston Consulting Group in North America and a former member of the firm's Executive Committee. During his time as regional chair, he oversaw BCG's operations in the US, Canada, and Mexico. He serves as Senior Advisor at B Capital Group. He was recognized as one of Consulting magazine's Top 25 Consultants in 2011 for excellence in the public sector. He played an instrumental role in advancing BCG's Diversity, Equity &amp; Inclusion agenda. Mr.Davis joined BCG in 1988, beginning his career in the Boston office. In his early BCG years, he transferred to Melbourne, Australia, to support the cultural integration of a BCG acquisition. He co-founded the firm's Washington, DC office in 1996 and spent the next ten years working with a range of retail and consumer clients, primarily focused on fundamental transformations and organizational effectiveness. After leading the Washington office, he was the firm's first managing director and lead of the Northeast office system. He led the launch of BCG's Public Sector practice in the US in 2008 and was deeply involved in the firm's work with Sheila Bair and the FDIC during the peak of the banking crisis. Among other public sector achievements, he supported the US Postal Service as it managed a massive mail volume change and the SEC as it responded to the demands of the Dodd-Frank Law. He moved to the San Francisco office in 2013 and led a BCG team that worked to bring the 50th Super Bowl to San Francisco in 2016. His 2013 TED talk-"Passing the Super Bowl"-was about this work, and he is now a founding member of the Bay Area Super Bowl 50 Host Committee. Prior to BCG, he worked for six years at Procter &amp; Gamble in sales and marketing. He earned an undergraduate degree in Economics at Whitman College and also completed his MBA from Harvard Business School.</t>
  </si>
  <si>
    <t>j-d@bcg.com</t>
  </si>
  <si>
    <t>436688-92P</t>
  </si>
  <si>
    <t>Joseph Fitzgerald</t>
  </si>
  <si>
    <t>Fitzgerald</t>
  </si>
  <si>
    <t>Mr. Joseph Fitzgerald serves as Managing Director &amp; Partner at Boston Consulting Group. He has over 20 years of experience in semiconductors, electronics and advanced systems manufacturing, and supply chain.</t>
  </si>
  <si>
    <t>jf@bcg.com</t>
  </si>
  <si>
    <t>456551-92P</t>
  </si>
  <si>
    <t>Josh Ding</t>
  </si>
  <si>
    <t>Josh</t>
  </si>
  <si>
    <t>Mr. Josh Ding serves as Managing Director &amp; Partner at Boston Consulting Group. He is a core member of the firm's Consumer Practice in Greater China. His experience in China covers many consumer goods categories, including apparel, luxury goods, food and beverage, spirits, appliances, and electronics, from both the brand company and retailer perspectives. He is the lead for Innovation in Consumer Products for the Asia Pacific region.</t>
  </si>
  <si>
    <t>ding.josh@bcg.com</t>
  </si>
  <si>
    <t>435287-35P</t>
  </si>
  <si>
    <t>Joshua Kellar Ph.D</t>
  </si>
  <si>
    <t>Kellar</t>
  </si>
  <si>
    <t>Mr. Joshua Kellar serves as Managing Director &amp; Senior Partner at Boston Consulting Group. He focuses on innovation in health care that drives public good. His particular areas of focus are: digital, scientific, and payment-model based innovation. He works closely with integrated health systems, private investors, and biopharmaceutical and medical technology companies.</t>
  </si>
  <si>
    <t>kellar.josh@bcg.com</t>
  </si>
  <si>
    <t>435840-94P</t>
  </si>
  <si>
    <t>JT Hsu</t>
  </si>
  <si>
    <t>JT</t>
  </si>
  <si>
    <t>Hsu</t>
  </si>
  <si>
    <t>Mr. JT Hsu serves as Managing Director &amp; Senior Partner at Boston Consulting Group. He has acquired extensive experience consulting along the value chain in consumer electronics, working with clients in the semiconductor, components, devices, content, and services sectors.</t>
  </si>
  <si>
    <t>hsu.jt@bcg.com</t>
  </si>
  <si>
    <t>456502-06P</t>
  </si>
  <si>
    <t>Juan Ferrer</t>
  </si>
  <si>
    <t>Ferrer</t>
  </si>
  <si>
    <t>Mr. Juan Ferrer serves as Managing Director &amp; Partner at Boston Consulting Group. He leads the firm's People &amp; Organization practice in Iberia and South America. He is currently focusing on people strategy, organizational design, change management, and human resources operating model. He helps clients shape workforce strategies, drive HR transformations, and unlock talent potential. He is also a core member of BCG's Travel, Cities &amp; Infrastructure practice, with extensive experience across the infrastructure space. His recent work has focused on megacities, waste management, travel, and helping public and private sector organizations navigate complex transformation challenges.</t>
  </si>
  <si>
    <t>ferrer.juan@bcg.com</t>
  </si>
  <si>
    <t>456063-76P</t>
  </si>
  <si>
    <t>Juan Jose Mansilla</t>
  </si>
  <si>
    <t>Juan Jose</t>
  </si>
  <si>
    <t>Mansilla</t>
  </si>
  <si>
    <t>Mr. Juan Jose Mansilla serves as Managing Director &amp; Partner at Boston Consulting Group. He is a member of the Iberia leadership team for the firm's Tech &amp; Digital Advantage practice. He has expertise in digital strategy, data-driven decision making, business planning, and business development, in industries including retail, energy, consumer goods, and travel. He has developed and launched multiple digital and advanced analytics programs and has a special expertise in loyalty programs and hyper-personalization strategy. Before joining the firm, he worked at Oracle and Vodafone.</t>
  </si>
  <si>
    <t>mansilla.juanjose@bcg.com</t>
  </si>
  <si>
    <t>434895-40P</t>
  </si>
  <si>
    <t>Juan Sanchez</t>
  </si>
  <si>
    <t>Mr. Juan Sanchez serves as Partner at Boston Consulting Group. He has considerable experience working with clients in the automotive, aerospace, mobility, and other industries on topics including strategy, operations, transformation, digital and analytics, and corporate finance.</t>
  </si>
  <si>
    <t>sanchez.juan@bcg.com</t>
  </si>
  <si>
    <t>195941-17P</t>
  </si>
  <si>
    <t>Juan Vazquez</t>
  </si>
  <si>
    <t>Vazquez</t>
  </si>
  <si>
    <t>Mr. Juan Vazquez serves as Managing Director &amp; Senior Partner at Boston Consulting Group. Since joining BCG in 2004, Mr. Vazquez has advised energy clients in multiple markets around the world, developing deep experience across the gas and liquefied natural gas (LNG) value chain. In his industrial sector work, he has worked with many clients on projects in acquisitions and growth strategy. Within the industrial goods sector, Mr. Vazquez has experience in acquisition processes, PMI, and growth strategies, primarily in the engineering, procurement, and construction; concessionaires; and construction materials sub-sectors.</t>
  </si>
  <si>
    <t>j-v@bcg.com</t>
  </si>
  <si>
    <t>434978-83P</t>
  </si>
  <si>
    <t>Juan Velez</t>
  </si>
  <si>
    <t>Velez</t>
  </si>
  <si>
    <t>Mr. Juan Velez serves as Managing Director &amp; Partner at Boston Consulting Group. He partners with banks, payments providers, asset managers, and associated data and technology providers on operational, organizational, and digital transformation. He has particularly deep experience working with clients on end-to-end process engineering, contact centers, and automation.</t>
  </si>
  <si>
    <t>velez.juan@bcg.com</t>
  </si>
  <si>
    <t>456650-29P</t>
  </si>
  <si>
    <t>Judith Wallenstein</t>
  </si>
  <si>
    <t>Judith</t>
  </si>
  <si>
    <t>Wallenstein</t>
  </si>
  <si>
    <t>Ms. Judith Wallenstein serves as Managing Director &amp; Senior Partner at Boston Consulting Group. She leads the firm's CEO Advisory work globally and in the Europe, Middle East, and South America region. She is a core member of BCG's Health Care practice, notably serving fast-growing biotech companies. She co-leads BCG's Climate &amp; Sustainability Moonshot and led the Social Impact and Sustainability practices in Central and Eastern Europe and the Middle East for two years.</t>
  </si>
  <si>
    <t>wallenstein.judith@bcg.com</t>
  </si>
  <si>
    <t>225781-84P</t>
  </si>
  <si>
    <t>Julia Dhar</t>
  </si>
  <si>
    <t>Dhar</t>
  </si>
  <si>
    <t>Ms. Julia Dhar serves as Managing Director &amp; Partner at Boston Consulting Group. Ms. Dhar is an Angel Investor. She is a core member of the People &amp; Organization, Industrial Goods, Public Sector, and Social Impact practices. She works with private sector clients to integrate choice architecture and customer insights to improve productivity, performance, employee engagement, and customer experience of organizations in sectors including manufacturing, distribution, airlines, energy, technology, and telecommunications.</t>
  </si>
  <si>
    <t>dhar.julia@bcg.com</t>
  </si>
  <si>
    <t>436151-98P</t>
  </si>
  <si>
    <t>Julia Gebhardt Ph.D</t>
  </si>
  <si>
    <t>Gebhardt</t>
  </si>
  <si>
    <t>Ms. Julia Gebhardt serves as Managing Director &amp; Partner at Boston Consulting Group. She is a core member of the leadership team for compliance, risk, and ESG.</t>
  </si>
  <si>
    <t>gebhardt.julia@bcg.com</t>
  </si>
  <si>
    <t>436392-46P</t>
  </si>
  <si>
    <t>Julia Madden</t>
  </si>
  <si>
    <t>Madden</t>
  </si>
  <si>
    <t>Ms. Julia Madden serves as Partner &amp; Associate Director,Agile at Scale at Boston Consulting Group. She has worked with clients including pharma companies, banks, utilities and energy companies, NGOs, and insurers on next generation operating model design and implementation, agile ways of working implementation, capability building, and culture and leadership, among other topics.</t>
  </si>
  <si>
    <t>madden.julia@bcg.com</t>
  </si>
  <si>
    <t>Partner &amp; Associate Director,Agile at Scale</t>
  </si>
  <si>
    <t>313399-18P</t>
  </si>
  <si>
    <t>Julia Wiesermann</t>
  </si>
  <si>
    <t>Wiesermann</t>
  </si>
  <si>
    <t>Ms. Julia Wiesermann serves as Managing Director at BCG Platinion. She is a core member of Boston Consulting Group's Health Care and Industrial Goods practices and leads BCG Platinion's biopharma work in the Europe, the Middle East, and South America (EMESA) region. She is an expert in large-scale event-driven and foundational IT transformations. Prior to joining BCG Platinion, she was a Director with AlixPartners in the IT &amp; Digital practice, where she also acted in interim IT Lead roles. Before that, she was a Vice President of IT Strategy at Deutsche Bank.</t>
  </si>
  <si>
    <t>j.wiesermann@bcgplatinion.com</t>
  </si>
  <si>
    <t>BCG Platinion</t>
  </si>
  <si>
    <t>455856-67P</t>
  </si>
  <si>
    <t>Julian Cua</t>
  </si>
  <si>
    <t>Cua</t>
  </si>
  <si>
    <t>Mr. Julian Cua serves as Managing Director &amp; Partner at Boston Consulting Group. He is a core member of the firm's Consumer, Technology, Media &amp; Telecommunications (TMT) practices, specializing in leveraging digital and AI technologies for practical applications to transform companies in an emerging market context. He is also a core leader for BCG's Center for Consumer Insights in the Philippines, which builds proprietary insights about consumers. Prior to BCG, he worked at Amazon.</t>
  </si>
  <si>
    <t>julian.cua@bcg.com</t>
  </si>
  <si>
    <t>192460-69P</t>
  </si>
  <si>
    <t>Julian Herman</t>
  </si>
  <si>
    <t>Herman</t>
  </si>
  <si>
    <t>Mr. Julian Herman serves as Managing Director &amp; Partner at Boston Consulting Group. Mr. Julian Herman serves as Board Member at MediaStream. He also serves as the Managing Director at The Boston Consulting Group's Platinion Santiago and collaborator in strategic consulting, digital ventures and data science to give life to strategic decisions complex environments and in short periods of time.</t>
  </si>
  <si>
    <t>herman.julian@bcg.com</t>
  </si>
  <si>
    <t>281628-28P</t>
  </si>
  <si>
    <t>Julian King Ph.D</t>
  </si>
  <si>
    <t>Dr. Julian King serves as Managing Director &amp; Partner at Boston Consulting Group. He is one of BCG's leaders in analytics-driven, customer-centric personalization, having designed and built personalization engines for clients on three continents. He is a permanent lecturer at BCG's Analytics University, and in 2020-2021 led the firm's work on probability and statistics globally. Dr. King was the epidemiology modeling lead for BCG's COVID-19 response. Dr. King has worked with clients in many industries, but focuses on technology, media, and telecommunications; financial institutions; insurance; consumer; and the public sector. Before joining BCG in 2015, Dr. King was an executive director at a boutique Australian management consulting and M&amp;A advisory firm.</t>
  </si>
  <si>
    <t>julian.king@bcg.com</t>
  </si>
  <si>
    <t>436220-56P</t>
  </si>
  <si>
    <t>Juliana Abreu</t>
  </si>
  <si>
    <t>Juliana</t>
  </si>
  <si>
    <t>Abreu</t>
  </si>
  <si>
    <t>Ms. Juliana Abreu serves as Managing Director &amp; Senior Partner at Boston Consulting Group. She is a core member of the Industrial Goods, People &amp; Organization, and Transform practices at Boston Consulting Group. She leads the Transform practice in Iberia and South America. She has worked with clients across process industries, chemicals, metals, and mining, and is an expert in change management and organizational and governance design. Prior to joining BCG, Ms. Abreu worked in the telecommunications sector for five years, including a time as a coordinator with Brasil Telecom.</t>
  </si>
  <si>
    <t>abreu.juliana@bcg.com</t>
  </si>
  <si>
    <t>455432-05P</t>
  </si>
  <si>
    <t>Juliana Lisi</t>
  </si>
  <si>
    <t>Lisi</t>
  </si>
  <si>
    <t>Ms. Juliana Lisi serves as Partner &amp; Assistant Director at Boston Consulting Group. She is a core member of the firm's People &amp; Organization practice, with a particular focus on people strategy and change management. She plans and manages large programmatic change efforts such as talent transformations or post-merger integrations, most often focused on IT and tech organizations. She works with clients across a range of industries, including health care (pharma and medtech), financial institutions, and consumer tech. Prior to joining BCG, she worked for EnerNOC, a clean-tech startup in the demand response space, and Mercator Partners, a boutique consultancy focused on technology, media, and telecommunications strategy.</t>
  </si>
  <si>
    <t>lisi.juliana@bcg.com</t>
  </si>
  <si>
    <t>456388-75P</t>
  </si>
  <si>
    <t>Juliana Sguerra</t>
  </si>
  <si>
    <t>Sguerra</t>
  </si>
  <si>
    <t>Ms. Juliana Sguerra serves as Managing Director &amp; Partner at Boston Consulting Group. She is a core member of the Financial Institutions and Insurance practices with over 15 years of consulting experience in those fields. She is BCG's Bogota office leader and currently serves as lead for North Latin America (Bogota, Lima, and Panama). She also leads diversity and inclusion programs for Spanish-speaking South America (SSA). Within the Financial Institutions and Insurance practices, her work has recently focused on bionic distribution, agile, and the use of analytics across marketing, sales, risk, and operations. She also works with clients on digital ecosystems in banking. Before joining the firm, she held a number of positions at Oliver Wyman in New York and Colombia.</t>
  </si>
  <si>
    <t>sguerra.juliana@bcg.com</t>
  </si>
  <si>
    <t>456281-29P</t>
  </si>
  <si>
    <t>Julie Bedard</t>
  </si>
  <si>
    <t>Bedard</t>
  </si>
  <si>
    <t>Ms. Julie Bedard serves as Managing Director &amp; Partner at Boston Consulting Group. He is a leader in people strategy and value creation at the firm. She leads the firm's People Agenda of the Future team, as well as the strategy to deploy AI and drive adoption in client organizations. She works with clients in a variety of industries on people topics at the moment of change. As a leading member of the People &amp; Organization and Tech &amp; Digital Advantage practices at BCG, she has significant expertise in organizational transformation, digital transformation, talent strategies, and human resources across industries. She is a frequent speaker on these topics at leading tech and other forums. Before joining BCG, she worked at The Bridgespan Group and CRA International, Inc.</t>
  </si>
  <si>
    <t>julie.bedard@bcg.com</t>
  </si>
  <si>
    <t>436397-86P</t>
  </si>
  <si>
    <t>Julie Dethier Ph.D</t>
  </si>
  <si>
    <t>Dethier</t>
  </si>
  <si>
    <t>Ms. Julie Dethier serves as Partner at Boston Consulting Group. She works with clients on strategy and action planning, portfolio prioritization, private sector engagement, innovation and scale-up support, transformation, and change management.</t>
  </si>
  <si>
    <t>dethier.julie@bcg.com</t>
  </si>
  <si>
    <t>456483-52P</t>
  </si>
  <si>
    <t>Julie Graham</t>
  </si>
  <si>
    <t>Ms. Julie Graham serves as Partner &amp; Associate Director at Boston Consulting Group. He is a core member of the firm's Corporate Finance &amp; Strategy practice, specializing in business transformations and zero-based budgeting (ZBB). With over 20 years of experience, she has worked on some of the firm's largest and most successful engagements in cost optimization, supply chain, and ZBB. She works directly with senior client leadership and their teams to help address strategic challenges throughout the change life cycle.</t>
  </si>
  <si>
    <t>graham.julie@bcg.com</t>
  </si>
  <si>
    <t>456868-90P</t>
  </si>
  <si>
    <t>Julie Jefson</t>
  </si>
  <si>
    <t>Jefson</t>
  </si>
  <si>
    <t>Ms. Julie Jefson serves as Managing Director &amp; Partner at Boston Consulting Group. She is part of BCG's global People &amp; Organization leadership team, and serves as global lead for the People &amp; Organization practice in consumer packaged goods. She has extensive experience in organization and operating model design, talent strategy, culture and change management, and post-merger integration across industries. Before joining the firm, she worked for the Dickson Company in both London and Illinois.</t>
  </si>
  <si>
    <t>jefson.julie@bcg.com</t>
  </si>
  <si>
    <t>435741-31P</t>
  </si>
  <si>
    <t>Julien Bert</t>
  </si>
  <si>
    <t>Bert</t>
  </si>
  <si>
    <t>Mr. Julien Bert serves as Managing Director &amp; Partner at Boston Consulting Group. He specializes in working with automotive OEMs, suppliers, and mobility service providers on a broad range of strategy, operations, organizational design, and sales and marketing topics.</t>
  </si>
  <si>
    <t>bert.julien@bcg.com</t>
  </si>
  <si>
    <t>435655-63P</t>
  </si>
  <si>
    <t>Julien Dangles</t>
  </si>
  <si>
    <t>Dangles</t>
  </si>
  <si>
    <t>Mr. Julien Dangles serves as Managing Director &amp; Senior Partner at Boston Consulting Group. He is a core member of the firm's Consumer, Marketing, Sales &amp; Pricing, and Strategy practices. Prior to joining BCG, he launched a specialty e-commerce business.</t>
  </si>
  <si>
    <t>julien.dangles@bcg.com</t>
  </si>
  <si>
    <t>455273-11P</t>
  </si>
  <si>
    <t>Julien Ghesquieres</t>
  </si>
  <si>
    <t>Ghesquieres</t>
  </si>
  <si>
    <t>Mr. Julien Ghesquieres serves as Managing Director, Senior Partner &amp; Global Leader, Corporate Finance at Boston Consulting Group. His extensive experience and expertise allow him to help his clients on their transformation journeys--from framing the value creation for the company and its shareholders (total shareholder return, strategy, growth initiatives) to operational improvement levers (cost take-out, organization redesign, go-to-market), and sales effectiveness and pricing.</t>
  </si>
  <si>
    <t>ghesquieres.julien@bcg.com</t>
  </si>
  <si>
    <t>Managing Director, Senior Partner &amp; Global Leader, Corporate Finance</t>
  </si>
  <si>
    <t>435432-88P</t>
  </si>
  <si>
    <t>Julien Imbert</t>
  </si>
  <si>
    <t>Imbert</t>
  </si>
  <si>
    <t>Mr. Julien Imbert serves as Managing Director &amp; Partner at Boston Consulting Group. He has worked primarily with clients in the industrial goods, automotive, and airline industries, on operations and artificial intelligence topics. He specializes in lean operations, cost and efficiency, and digital supply chain.</t>
  </si>
  <si>
    <t>imbert.julien@bcg.com</t>
  </si>
  <si>
    <t>455763-61P</t>
  </si>
  <si>
    <t>Julien Lardet</t>
  </si>
  <si>
    <t>Lardet</t>
  </si>
  <si>
    <t>Mr. Julien Lardet serves as Managing Director &amp; Partner at Boston Consulting Group. A core member of the firm's Travel, Cities &amp; Infrastructure practice with over 15 years of experience, Mr. Lardet focuses on the aviation industry. He is part of the leadership team for the KLM-BCG Partnership for Digital Airline Operations and leads the firm's climate and sustainability work for the aviation industry globally. His core expertise is in airline operations (scheduling, ground, cockpit and cabin crew, operations control center) and digital (leveraging AI to optimize airline operations). He also has significant experience in other key strategic topics, including org design, transformation, and strategy. Prior to joining BCG, he worked at Air France in Paris in various customer service and operational roles. He also worked in the Paris and Sydney offices of Monitor Group and Deloitte.</t>
  </si>
  <si>
    <t>lardet-maurin.julien@bcg.com</t>
  </si>
  <si>
    <t>455256-73P</t>
  </si>
  <si>
    <t>Juliet Grabowski</t>
  </si>
  <si>
    <t>Grabowski</t>
  </si>
  <si>
    <t>Ms. Juliet Grabowski serves as Managing Director, Partner, and Finance Technology &amp; Transformation Lead at Boston Consulting Group. Prior to this leadership position, she was a member of the Corporate Finance &amp; Strategy and Financial Institutions practices. She also co-led BCG's Center for CFO Excellence globally.</t>
  </si>
  <si>
    <t>juliet.grabowski@bcg.com</t>
  </si>
  <si>
    <t>Managing Director, Partner, and Finance Technology &amp; Transformation Lead</t>
  </si>
  <si>
    <t>455923-27P</t>
  </si>
  <si>
    <t>Julius Neiser</t>
  </si>
  <si>
    <t>Julius</t>
  </si>
  <si>
    <t>Neiser</t>
  </si>
  <si>
    <t>Mr. Julius Neiser serves as Managing Director &amp; Partner, BCG X at Boston Consulting Group. He leads the BCG X Health Care Venture work for the firm's London/Amsterdam/Brussels system. He is part of the global leadership team for GenAI in biopharma, and leads the disease management platform build work for the firm. In addition, he leads BCG's Health Tech Hub, working with innovators to radically improve health outcomes by unlocking the potential of technology. His client engagements have covered digital health and health tech venture build, GenAI, health care due diligence and transaction support, digital strategy, medical and commercial excellence, and large-scale transformation and turnarounds.</t>
  </si>
  <si>
    <t>neiser.julius@bcg.com</t>
  </si>
  <si>
    <t>435707-02P</t>
  </si>
  <si>
    <t>Jun Naito</t>
  </si>
  <si>
    <t>Jun</t>
  </si>
  <si>
    <t>Naito</t>
  </si>
  <si>
    <t>Mr. Jun Naito serves as Managing Director &amp; Partner at Boston Consulting Group. He has worked with clients in a wide range of industries including consumer, retail, fashion, and technology, on formulating and implementing corporate strategy, business strategy, new business strategy, and digital transformation. He is also an expert on turnaround and organization reforms.</t>
  </si>
  <si>
    <t>naito.jun@bcg.com</t>
  </si>
  <si>
    <t>436207-60P</t>
  </si>
  <si>
    <t>Jun Tanaka</t>
  </si>
  <si>
    <t>Tanaka</t>
  </si>
  <si>
    <t>Mr. Jun Tanaka serves as Managing Director &amp; Partner at Boston Consulting Group. He works closely with clients in a wide range of industries, including the energy industry, petroleum wholesale industry and infrastructure industry such as telecommunications, railroads, and electric companies, as well as government agencies.</t>
  </si>
  <si>
    <t>tanaka.jun@bcg.com</t>
  </si>
  <si>
    <t>436229-56P</t>
  </si>
  <si>
    <t>Jun Tsuboi</t>
  </si>
  <si>
    <t>Tsuboi</t>
  </si>
  <si>
    <t>Mr. Jun Tsuboi serves as Partner &amp; Director, People Strategy at Boston Consulting Group. He has experience working in people strategy, HR system reform, talent management, HR excellence, reorganization, post-merger integration, and organizational culture reform.</t>
  </si>
  <si>
    <t>tsuboi.jun@bcg.com</t>
  </si>
  <si>
    <t>Partner &amp; Director, People Strategy</t>
  </si>
  <si>
    <t>436303-90P</t>
  </si>
  <si>
    <t>Jungkiu Choi</t>
  </si>
  <si>
    <t>Jungkiu</t>
  </si>
  <si>
    <t>Mr. Jungkiu Choi serves as Senior Advisor at Boston Consulting Group. He is a member of the Financial Institutions practice at Boston Consulting Group, specializing in strategy, transformation, business development/M&amp;A/PMI, sales force productivity, and operations improvements. He leads marketing for the firm in Southeast Asia. He focuses on digital banking/challenger bank build, coalition loyalty, bank tech/digital transformation, corporate governance/conglomerate strategy, and executive coaching/development. Prior to joining BCG, he worked as Director of Corporate Strategy and Management Development at NURI Management, Head of Financial Institutions Practice Asia Pacific at Kearney, and Group Head of Strategy/Business Development/Reengineering at Standard Chartered Bank.</t>
  </si>
  <si>
    <t>choi.jungkiu@bcg.com</t>
  </si>
  <si>
    <t>131196-25P</t>
  </si>
  <si>
    <t>Jungmin Cho</t>
  </si>
  <si>
    <t>Jungmin</t>
  </si>
  <si>
    <t>Mr. Jungmin Cho serves as Managing Director &amp; Partner at Boston Consulting Group. He served as Partner at L.E.K. Consulting. He helped establish L.E.K.'s Seoul office when he joined the firm as a principal in 2013. Jungmin has broad experience in strategy, marketing, mergers &amp; acquisitions and consumer research. He specializes in consumer electronics, display, electronic components, and automotive parts industries, advising clients on a range of critical strategic issues including growth strategy, go-to-market strategy, investment feasibility and commercial/vendor due diligence.</t>
  </si>
  <si>
    <t>cho@bcg.com</t>
  </si>
  <si>
    <t>456399-28P</t>
  </si>
  <si>
    <t>Jungo Inoue</t>
  </si>
  <si>
    <t>Jungo</t>
  </si>
  <si>
    <t>Inoue</t>
  </si>
  <si>
    <t>Mr. Jungo Inoue serves as Managing Director &amp; Senior Partner at Boston Consulting Group. He leads the firm's Risk &amp; Compliance practice in Japan and is a core member of the firm's Technology &amp; Digital Advantage and Technology, Media &amp; Telecommunications practices. His client work has been focused on the IT and digital spaces. He has worked closely with clients in various industries, including technology, IT systems, software, electronics, financial services, and insurance. He is experienced in transformation, digital transformation, corporate reform leveraging AI and IoT, Salesforce reform, operational reform, cost reduction, leadership development, new business building, and development of innovation and R&amp;D capability. Prior to joining BCG, he was a senior project manager with Nippon Telegraph and Telephone Corporation (NTT).</t>
  </si>
  <si>
    <t>inoue.jungo@bcg.com</t>
  </si>
  <si>
    <t>435194-83P</t>
  </si>
  <si>
    <t>Junichi Matsuya</t>
  </si>
  <si>
    <t>Junichi</t>
  </si>
  <si>
    <t>Matsuya</t>
  </si>
  <si>
    <t>Mr. Junichi Matsuya serves as Partner &amp; Associate Director at Boston Consulting Group. He has worked with clients across a wide range of industries, including consumer goods, consumer services, media, telecommunications, automotive, and industrial goods. His recent client work includes marketing, digital marketing, digital business, and customer-centric transformation.</t>
  </si>
  <si>
    <t>matsuya.junichi@bcg.com</t>
  </si>
  <si>
    <t>235452-07P</t>
  </si>
  <si>
    <t>Jurgen Eckel</t>
  </si>
  <si>
    <t>Jurgen</t>
  </si>
  <si>
    <t>Eckel</t>
  </si>
  <si>
    <t>Mr. Jurgen Eckel serves as Managing Director &amp; Partner, BCG X at Boston Consulting Group. He leads BCG X (Boston Consulting Group's tech build and design unit) in the London, Amsterdam, Brussels (LAB) region, as well as the BCG X Insurance practice for Europe, the Middle East, South America, and Africa (EMESA). He is an expert in venture building and innovation with a focus on GenAI, insurance, and insurtech ecosystem plays, and technology adoption and scale-up. Mr. Eckel served as Managing Director and Partner, Head of Europe, Middle East, South America &amp; Africa at BCG Digital Ventures. He serves as an Advisor at Lympo.</t>
  </si>
  <si>
    <t>eckel.juergen@bcg.com</t>
  </si>
  <si>
    <t>435639-70P</t>
  </si>
  <si>
    <t>Jurgen Lucke Ph.D</t>
  </si>
  <si>
    <t>Lucke</t>
  </si>
  <si>
    <t>Mr. Jurgen Lucke serves as Managing Director &amp; Senior Partner at Boston Consulting Group. He previously led the Health Care practice in the US, where he worked for more than a decade. He is a core member of BCG's Marketing, Sales &amp; Pricing practice.</t>
  </si>
  <si>
    <t>luecke.juergen@bcg.com</t>
  </si>
  <si>
    <t>315503-11P</t>
  </si>
  <si>
    <t>Justin Dean</t>
  </si>
  <si>
    <t>Mr. Justin Dean serves as Managing Director and Senior Partner at Boston Consulting Group. He joined Boston Consulting Group in 2008. He is a core member of the firm's Energy practice area and serves as the North America EPG East Coast node. He is also head of the firm's Washington office and has served as WAS Recruiting Partner, WAS Diversity and Inclusion lead, and CDC advisor. He was recognized by Savoy Magazine as one of the "Top 100 Most Influential Blacks in Corporate America" for 2018. His education and work experience have given him expertise in many aspects of engineering and power generation. For BCG, He has led a variety of projects within the power and utilities sector, including the financial diligence on solar PV and energy storage expansion for a leading US hybrid utility, and the TSR strategic planning effort for a large hybrid utility, including analyzing market expansion opportunities across the US (Distributed Energy Resources, energy storage, and fossil generation in an evolving operational environment), among many others. Prior to joining BCG, he worked for NV Energy as a Senior Regional Engineer in transmission and distribution services, managing the construction and maintenance of distribution infrastructure in Las Vegas and coordinating engineering standards across other local gas and water utilities. He also worked as a Lead Design Engineer for ALSTOM Power.</t>
  </si>
  <si>
    <t>dean.justin@bcg.com</t>
  </si>
  <si>
    <t>195933-97P</t>
  </si>
  <si>
    <t>Justin Manly</t>
  </si>
  <si>
    <t>Manly</t>
  </si>
  <si>
    <t>Mr. Justin Manly serves as Senior Partner &amp; Managing Director at The Boston Consulting Group. He leads growth and innovation for Boston Consulting Group globally and has broad growth and innovation experience across industries and geographies. He has substantial experience in consumer goods and is a core member of BCG's Consumer Goods, Corporate Finance &amp; Strategy, and Marketing, Sales &amp; Pricing practices. He has consulted with leading consumer products companies on growth strategy, merger integration, transformation, and marketing and sales topics. He has led numerous innovation strategy projects and transformations across many industries, helping clients grow existing businesses, enter new spaces, and reimagine innovation capabilities. He is also active in social impact and public sector work and is on the board of BCG's Center for Illinois' Future (CIF), which oversees BCG Chicago's investments and thought leadership in those areas. He led the firm's North American alumni relations to joining BCG, and he worked at Piper Jaffray. He also spent time in the technology investment banking group at Merrill Lynch. He is a member of the Board of Directors of Intrinsic Schools, a Chicago-based charter school network, and Thrive Chicago, a collective impact organization.</t>
  </si>
  <si>
    <t>jmanly@bcg.com</t>
  </si>
  <si>
    <t>435121-66P</t>
  </si>
  <si>
    <t>Justin McBride</t>
  </si>
  <si>
    <t>McBride</t>
  </si>
  <si>
    <t>Mr. Justin McBride serves as Managing Director &amp; Partner at Boston Consulting Group. He focuses on driving growth via personalization and AI@Scale (BCG's analytics-led digital transformation offering), for both B2C and B2B clients.</t>
  </si>
  <si>
    <t>mcbride.justin@bcg.com</t>
  </si>
  <si>
    <t>456429-70P</t>
  </si>
  <si>
    <t>Kaj Burchardi</t>
  </si>
  <si>
    <t>Kaj</t>
  </si>
  <si>
    <t>Burchardi</t>
  </si>
  <si>
    <t>Mr. Kaj Burchardi serves as Platinion Managing Director at Boston Consulting Group. He is head of BCG Platinion Netherlands, a division of the firm providing IT consulting services focused on the development and implementation of business-critical IT architecture and solutions. His focus is on IT in banking and consumer goods, paying special attention to IT architecture strategy, core system modernization, IT transformation, multi-channel integration, analyses for payment architectures, mobile and digital channel architectures, and Blockchain. Before joining the firm, he held positions at Allianz and Proxicom.</t>
  </si>
  <si>
    <t>burchardi.kaj@bcg.com</t>
  </si>
  <si>
    <t>455201-11P</t>
  </si>
  <si>
    <t>Kana Suzuki</t>
  </si>
  <si>
    <t>Kana</t>
  </si>
  <si>
    <t>Suzuki</t>
  </si>
  <si>
    <t>Ms. Kana Suzuki serves as Partner at Boston Consulting Group. She is a core member of the firm's Climate &amp; Sustainability, Public Sector, and Industrial Goods practices. She has led projects supporting decarbonization and innovation policy formulation for government ministries and municipalities. She also has extensive experience working with private companies on new business strategy development, partnership facilitation, and global expansion strategies.</t>
  </si>
  <si>
    <t>suzuki.kana@bcg.com</t>
  </si>
  <si>
    <t>160029-28P</t>
  </si>
  <si>
    <t>Kanchan Samtani</t>
  </si>
  <si>
    <t>Kanchan</t>
  </si>
  <si>
    <t>Samtani</t>
  </si>
  <si>
    <t>Ms. Kanchan Samtani serves as Managing Director &amp; Senior Partner at Boston Consulting Group. She founded and leads Boston Consulting Group's Principal Investors &amp; Private Equity practice in India, and the Corporate Finance &amp; Strategy practice across Asia Pacific. She is a member of BCG's global Executive Committee. In particular, she partners with private equity funds, investors, and global organizations on supporting M&amp;A, transactions, post-merger support, corporate finance, and portfolio value creation.</t>
  </si>
  <si>
    <t>k-s@bcg.com</t>
  </si>
  <si>
    <t>456122-44P</t>
  </si>
  <si>
    <t>Kanika Sanghi</t>
  </si>
  <si>
    <t>Kanika</t>
  </si>
  <si>
    <t>Sanghi</t>
  </si>
  <si>
    <t>Ms. Kanika Sanghi serves as Partner &amp; Director at Boston Consulting Group. As global lead for market acceleration at the firm, she focuses on helping companies drive sales acceleration through superior channel strategy and execution in emerging markets. In addition, she is an expert with BCG's Center for Customer Insight in India. The Center develops proprietary insights into Indian consumers. Her work has spanned industries including financial services, consumer products, and durables, and has covered topics including retail, influencers, digital, and segmentation.</t>
  </si>
  <si>
    <t>sanghi.kanika@bcg.com</t>
  </si>
  <si>
    <t>455506-57P</t>
  </si>
  <si>
    <t>Kaoru Mano</t>
  </si>
  <si>
    <t>Kaoru</t>
  </si>
  <si>
    <t>Mano</t>
  </si>
  <si>
    <t>Mr. Kaoru Mano serves as Managing Director &amp; Partner at Boston Consulting Group. He is a core member of BCG's Industrial Goods and Corporate Finance &amp; Strategy practices in Japan. He has worked closely with clients mainly in the chemicals and materials industries. His experience covers business portfolio restructuring through M&amp;A, reorganization, carve-outs, and new business building. Prior to joining BCG, he worked at KPMG FAS, Genpact (formerly Headstrong Japan Ltd.), EY Strategy and Consulting Co., Ltd. (formerly Ernst &amp; Young Transaction Advisory Services Co., Ltd.), and Corporate Directions, Inc.</t>
  </si>
  <si>
    <t>mano.kaoru@bcg.com</t>
  </si>
  <si>
    <t>436202-47P</t>
  </si>
  <si>
    <t>Karan Mistry Ph.D</t>
  </si>
  <si>
    <t>Karan</t>
  </si>
  <si>
    <t>Mr. Karan Mistry serves as Managing Director &amp; Partner at Boston Consulting Group. He supports clients from all major industries along the energy value chain, primarily through energy transition, including work in decarbonization, climate technology, energy infrastructure, and energy policy.</t>
  </si>
  <si>
    <t>karan.mistry@bcg.com</t>
  </si>
  <si>
    <t>435597-94P</t>
  </si>
  <si>
    <t>Karen Tordjman</t>
  </si>
  <si>
    <t>Karen</t>
  </si>
  <si>
    <t>Tordjman</t>
  </si>
  <si>
    <t>Ms. Karen Tordjman serves as Managing Director &amp; Senior Partner at Boston Consulting Group. She currently heads BCG's global customer experience initiatives, driving the transformation of customer experience strategies with an emphasis on digital customer journeys, e-commerce, omnichannel solutions, loyalty programs, and the enhancement of customer satisfaction and measurement.</t>
  </si>
  <si>
    <t>tordjman.karen@bcg.com</t>
  </si>
  <si>
    <t>455649-49P</t>
  </si>
  <si>
    <t>Karianto Wong Ph.D</t>
  </si>
  <si>
    <t>Karianto</t>
  </si>
  <si>
    <t>Dr. Karianto Wong serves as Partner &amp; Associate Director at Boston Consulting Group. He is a member of the firm's Financial Institutions practice and part of the Risk &amp; Compliance team. He has expertise in risk analytics, regulations, and supervisory management, particularly in a bank post-merger integration context. Within risk analytics, he specializes in the development and validation of credit risk models, especially of internal ratings-based (IRB) models, and the related regulatory requirements for these models. Since joining BCG in 2010, he has led and supported numerous engagements for European banks and financial institutions focusing on risk management and regulations, as well as post-merger integration. Before joining the firm, he was a Research and Teaching Assistant at the Faculty of Computer Science, RWTH Aachen University, Germany.</t>
  </si>
  <si>
    <t>karianto.wong@bcg.com</t>
  </si>
  <si>
    <t>59509-54P</t>
  </si>
  <si>
    <t>Karl Johnson</t>
  </si>
  <si>
    <t>Karl</t>
  </si>
  <si>
    <t>Mr. Karl Johnson serves as Managing Director &amp; Partner at Boston Consulting Group. Mr. Karl Johnson serves as CTO at ByteCubed. He also served as Chief Technology Officer at Venga. He heads BCG's digital growth accelerator for the Financial Institutions practice, and has led digital marketing and personalization transformations for some of the largest brands in financial institutions, retail, biopharma, and automotive.</t>
  </si>
  <si>
    <t>johnson.karl@bcg.com</t>
  </si>
  <si>
    <t>435016-99P</t>
  </si>
  <si>
    <t>Karl Werner</t>
  </si>
  <si>
    <t>Mr. Karl Werner serves as Managing Director &amp; Partner at Boston Consulting Group. He co-leads the firm's work in operational excellence in insurance for Continental Europe. Recently, he has worked with Swiss insurers and European insurance groups in both commercial and retail insurance on analytics, customer journeys, customer-centric ecosystems, transformation, and efficiency and process simplification.</t>
  </si>
  <si>
    <t>werner.karl@bcg.com</t>
  </si>
  <si>
    <t>435006-37P</t>
  </si>
  <si>
    <t>Karlo Kampmann Ph.D</t>
  </si>
  <si>
    <t>Karlo</t>
  </si>
  <si>
    <t>Kampmann</t>
  </si>
  <si>
    <t>Mr. Karlo Kampmann serves as Managing Director &amp; Partner at Boston Consulting Group. His current focus is digital transformations, specifically, scaling up agile ways of working across organizations, and supporting financial institutions in setting up credit portfolio management solutions to actively steer their loan portfolios.</t>
  </si>
  <si>
    <t>kampmann.karlo@bcg.com</t>
  </si>
  <si>
    <t>435212-56P</t>
  </si>
  <si>
    <t>Karsten Schott</t>
  </si>
  <si>
    <t>Karsten</t>
  </si>
  <si>
    <t>Schott</t>
  </si>
  <si>
    <t>Mr. Karsten Schott serves as Partner &amp; Associate Director at Boston Consulting Group. His functional expertise includes finance, manufacturing, R&amp;D, engineering, sales support, sourcing, and supply chain optimization. He is currently concentrating on maximizing business value from next-generation ERP programs by running them as combined business and IT transformations.</t>
  </si>
  <si>
    <t>schott.karsten@bcg.com</t>
  </si>
  <si>
    <t>203994-73P</t>
  </si>
  <si>
    <t>Karthik Subramanya</t>
  </si>
  <si>
    <t>Karthik</t>
  </si>
  <si>
    <t>Subramanya</t>
  </si>
  <si>
    <t>Executive &amp; Senior Advisor</t>
  </si>
  <si>
    <t>Mr. Karthik Subramanya serves as Senior Advisor &amp; Executive Coach at Boston Consulting Group. Mr. Subramanya serves as a Board Member at Scottish Enterprise. He is a Non-executive Director of Our Power, an independent energy supplier based in Edinburgh, working on alleviating fuel poverty with a very strong social purpose. Before taking on a portfolio of roles, Mr. Subramanya held senior executive roles in Utilities and Banking. He was Director of Strategy and Performance at SSE plc and was also Director of Group Strategy and M&amp;A of Lloyds Banking Group. He has held senior management positions in private equity, management consulting, and corporate banking.</t>
  </si>
  <si>
    <t>k.subramanya@bcg.com</t>
  </si>
  <si>
    <t>Senior Advisor &amp; Executive Coach</t>
  </si>
  <si>
    <t>436159-90P</t>
  </si>
  <si>
    <t>Karthik Valluru</t>
  </si>
  <si>
    <t>Valluru</t>
  </si>
  <si>
    <t>Mr. Karthik Valluru serves as Managing Director &amp; Partner, Global Leader - Materials &amp; Process Industries at Boston Consulting Group. His areas of focus include industrial goods, medtech, operations, and corporate development.</t>
  </si>
  <si>
    <t>valluru.karthik@bcg.com</t>
  </si>
  <si>
    <t>Managing Director &amp; Partner, Global Leader - Materials &amp; Process Industries</t>
  </si>
  <si>
    <t>435424-06P</t>
  </si>
  <si>
    <t>Katharina Hefter Ph.D</t>
  </si>
  <si>
    <t>Katharina</t>
  </si>
  <si>
    <t>Hefter</t>
  </si>
  <si>
    <t>Ms. Katharina Hefter serves as Managing Director &amp; Partner at Boston Consulting Group. She leads BCG Risk &amp; Compliance in Central Europe. She specializes in compliance, ethics, and risk transformation programs ensuring effective and efficient compliance risk management as well as sustainable culture change.</t>
  </si>
  <si>
    <t>hefter.katharina@bcg.com</t>
  </si>
  <si>
    <t>436226-59P</t>
  </si>
  <si>
    <t>Katherine Phillips Ph.D</t>
  </si>
  <si>
    <t>Ms. Katherine Phillips serves as Principal at Boston Consulting Group. She works primarily with oil and gas and chemical companies, climate tech startups, and their investors, helping clients answer strategic questions related to decarbonization, carbon removal, and circularity.</t>
  </si>
  <si>
    <t>phillips.katherine@bcg.com</t>
  </si>
  <si>
    <t>436201-66P</t>
  </si>
  <si>
    <t>Katie Sinyard</t>
  </si>
  <si>
    <t>Sinyard</t>
  </si>
  <si>
    <t>Ms. Katie Sinyard serves as Managing Director &amp; Partner at Boston Consulting Group. Her focus is on marketing (strategy, planning, activation, measurement) and ecommerce. Since joining BCG, she has gained experience working on revenue generation and growth topics for travel and leisure, food and beverage, beauty, fashion, and automotive clients.</t>
  </si>
  <si>
    <t>sinyard.katie@bcg.com</t>
  </si>
  <si>
    <t>456873-04P</t>
  </si>
  <si>
    <t>Katsuyoshi Kurihara</t>
  </si>
  <si>
    <t>Katsuyoshi</t>
  </si>
  <si>
    <t>Kurihara</t>
  </si>
  <si>
    <t>Mr. Katsuyoshi Kurihara serves as Managing Director &amp; Partner at Boston Consulting Group. He leads BCG's Insurance practice in Japan and is a core member of the firm's Corporate Finance &amp; Strategy and Financial Institutions practices. Since joining BCG, he has worked closely with clients on projects involving mid- to long-term corporate strategy, new business strategy, digital transformation, and IT cost optimization. Prior to joining the firm, he worked for Daiwa Securities Group.</t>
  </si>
  <si>
    <t>kurihara.katsuyoshi@bcg.com</t>
  </si>
  <si>
    <t>435196-18P</t>
  </si>
  <si>
    <t>Kaustubh Wagle</t>
  </si>
  <si>
    <t>Kaustubh</t>
  </si>
  <si>
    <t>Wagle</t>
  </si>
  <si>
    <t>Mr. Kaustubh Wagle serves as Managing Director &amp; Partner at Boston Consulting Group. He leads the Telecoms and Tech Capital sectors and advises Middle East businesses, VC/PE funds, and sovereign wealth funds on a range of topics, with a focus on strategy, tech investments and business build.</t>
  </si>
  <si>
    <t>kaustubh.wagle@bcg.com</t>
  </si>
  <si>
    <t>435156-40P</t>
  </si>
  <si>
    <t>Kazim Zaidi</t>
  </si>
  <si>
    <t>Kazim</t>
  </si>
  <si>
    <t>Zaidi</t>
  </si>
  <si>
    <t>Mr. Kazim Zaidi serves as Managing Director &amp; Partner at Boston Consulting Group. His client work primarily focuses on developing corporate and business unit strategies, and operational excellence and performance transformations for publicly traded, mutual, and not-for-profit organizations.</t>
  </si>
  <si>
    <t>zaidi.kazim@bcg.com</t>
  </si>
  <si>
    <t>436123-45P</t>
  </si>
  <si>
    <t>Kazuaki Yuba</t>
  </si>
  <si>
    <t>Kazuaki</t>
  </si>
  <si>
    <t>Yuba</t>
  </si>
  <si>
    <t>Mr. Kazuaki Yuba serves as Managing Director &amp; Partner at Boston Consulting Group. He is a core member of BCG's Technology, Media &amp; Telecommunications, and Marketing, Sales &amp; Pricing practices.</t>
  </si>
  <si>
    <t>yuba.kazuaki@bcg.com</t>
  </si>
  <si>
    <t>435832-39P</t>
  </si>
  <si>
    <t>Kazukiyo Toyoshima</t>
  </si>
  <si>
    <t>Kazukiyo</t>
  </si>
  <si>
    <t>Toyoshima</t>
  </si>
  <si>
    <t>Mr. Kazukiyo Toyoshima serves as Managing Director &amp; Partner at Boston Consulting Group. He has extensive experience in digital strategy, digital transformation, generating and promoting innovation, investment in new business, and new technology strategy.</t>
  </si>
  <si>
    <t>toyoshima.kazukiyo@bcg.com</t>
  </si>
  <si>
    <t>436131-28P</t>
  </si>
  <si>
    <t>Kazumasa Sakurai</t>
  </si>
  <si>
    <t>Kazumasa</t>
  </si>
  <si>
    <t>Sakurai</t>
  </si>
  <si>
    <t>Mr. Kazumasa Sakurai serves as Managing Director &amp; Senior Partner at Boston Consulting Group. He leads BCG's Technology, Media &amp; Telecom practice in Japan, and is a core member of the firm's People &amp; Organization, Consumer, and Social Impact practices.</t>
  </si>
  <si>
    <t>sakurai.kazumasa@bcg.com</t>
  </si>
  <si>
    <t>258656-23P</t>
  </si>
  <si>
    <t>Kazuyuki Hanyu</t>
  </si>
  <si>
    <t>Kazuyuki</t>
  </si>
  <si>
    <t>Hanyu</t>
  </si>
  <si>
    <t>Mr. Kazuyuki Hanyu serves as Managing Director &amp; Partner at Boston Consulting Group. He is a core member of the firm's Consumer and Marketing, Sales &amp; Pricing practices. He works with portfolio companies in the consumer products Industry, especially food and food services companies. Mr. Hanyu served as Co-Chief Executive Officer and President at Westunitis.</t>
  </si>
  <si>
    <t>hanyu.kazuyuki@bcg.com</t>
  </si>
  <si>
    <t>456470-47P</t>
  </si>
  <si>
    <t>Kei Nakanishi</t>
  </si>
  <si>
    <t>Kei</t>
  </si>
  <si>
    <t>Nakanishi</t>
  </si>
  <si>
    <t>Mr. Kei Nakanishi serves as Managing Director &amp; Partner at Boston Consulting Group. He is a core member of the firm's Industrial Goods and Corporate Finance &amp; Strategy practices. He has worked with manufacturing clients, particularly material companies, on enhancing corporate value, portfolio and business strategies, equity story development, R&amp;D and innovation, and new business development. Prior to joining BCG, he worked at a leading consulting firm and AGC Inc.</t>
  </si>
  <si>
    <t>nakanishi.kei@bcg.com</t>
  </si>
  <si>
    <t>455202-46P</t>
  </si>
  <si>
    <t>Keigo Okamoto</t>
  </si>
  <si>
    <t>Keigo</t>
  </si>
  <si>
    <t>Okamoto</t>
  </si>
  <si>
    <t>Mr. Keigo Okamoto serves as Partner at Boston Consulting Group. He is a core member of the firm's Industrial Goods and Corporate Finance &amp; Strategy practices. He has extensive experience working with manufacturing clients, particularly materials companies, on projects such as portfolio and business strategy, innovation and new business creation, mid-term strategy development, and scenario planning.</t>
  </si>
  <si>
    <t>okamoto.keigo@bcg.com</t>
  </si>
  <si>
    <t>435128-77P</t>
  </si>
  <si>
    <t>Keiko Kihira</t>
  </si>
  <si>
    <t>Keiko</t>
  </si>
  <si>
    <t>Kihira</t>
  </si>
  <si>
    <t>Ms. Keiko Kihira serves as Managing Director &amp; Partner at Boston Consulting Group. She has extensive experience in helping corporate plan development based on consumer research, and supporting top-line growth through pricing and alliance strategies.</t>
  </si>
  <si>
    <t>kihira.keiko@bcg.com</t>
  </si>
  <si>
    <t>455973-40P</t>
  </si>
  <si>
    <t>Keisuke Fukui</t>
  </si>
  <si>
    <t>Keisuke</t>
  </si>
  <si>
    <t>Fukui</t>
  </si>
  <si>
    <t>Mr. Keisuke Fukui serves as a Partner at Boston Consulting Group. He is a core member of the firm's Energy, Climate &amp; Sustainability practices. He has worked extensively with clients in the energy industry, especially electric utilities. He has expertise in scenario analyses of long-term business environments, business portfolio reform, carbon-neutral strategy, and R&amp;D strategy. He is also an expert on energy policy and technology development, and was seconded to the New Energy and Industrial Technology Development Organization (NEDO). Prior to joining BCG, he worked at A.T. Kearney, Accenture, and Canon Marketing Japan Inc.</t>
  </si>
  <si>
    <t>fukui.keisuke@bcg.com</t>
  </si>
  <si>
    <t>133553-98P</t>
  </si>
  <si>
    <t>Keith Gillespie</t>
  </si>
  <si>
    <t>Gillespie</t>
  </si>
  <si>
    <t>Mr. Keith Gillespie serves as Chief Sales Officer &amp; Senior Vice President at Flowserve. He served as Senior Vice President, Chief Strategy and Administrative Officer at Flowserve Corporation Retirement Savings Plan. He served as Managing Director at AlixPartners. He has been in this position since May 2015 with responsibility for corporate strategy and strategic transactions at the company. In this capacity he has responsibility for the Research and Development, Corporate Development, Marketing and Communications organizations. Before joining the Company, Mr. Gillespie was Managing Director at AlixPartners from 2002 to 2015. Mr. Gillespie was responsible for leading the firm's Business and Consumer Services Practice and the firm's Growth and Strategy Practice, as well as business improvement efforts at global companies across multiple sectors. Prior to AlixPartners, Mr. Gillespie served in various senior executive roles at McKinsey &amp; Company, i2 Technologies, and TenFold Corporation.</t>
  </si>
  <si>
    <t>+1 (214) 647-7623</t>
  </si>
  <si>
    <t>keith.gillespie@flowserve.com</t>
  </si>
  <si>
    <t>Flowserve (Former)</t>
  </si>
  <si>
    <t>456685-66P</t>
  </si>
  <si>
    <t>Kelly Newton</t>
  </si>
  <si>
    <t>Newton</t>
  </si>
  <si>
    <t>Ms. Kelly Newton serves as Managing Director &amp; Partner at Boston Consulting Group. She is co-managing partner for the firm in New Zealand, where she focuses on transformation and value delivery. She is also BCG's global lead for Teaming@BCG, the firm's center of excellence for the future of work and how BCG teams work together. She works primarily with industrial goods clients, helping them with their transformation, next-gen sales, and productivity agendas. While she is recognized as one of the firm's global leaders in distribution, she also spends much of her time working with clients in agriculture, building materials, aerospace and defense, infrastructure, and private equity, helping them fundamentally reshape their businesses to succeed in a rapidly changing and uncertain world.</t>
  </si>
  <si>
    <t>+64 (0)9 377 2297</t>
  </si>
  <si>
    <t>newton.kelly@bcg.com</t>
  </si>
  <si>
    <t>Auckland</t>
  </si>
  <si>
    <t>Auckland, New Zealand</t>
  </si>
  <si>
    <t>12 Madden Street</t>
  </si>
  <si>
    <t>Wynyard Quarter</t>
  </si>
  <si>
    <t>New Zealand</t>
  </si>
  <si>
    <t>+64 (0)9 307 0958</t>
  </si>
  <si>
    <t>435627-01P</t>
  </si>
  <si>
    <t>Kelsey Clark</t>
  </si>
  <si>
    <t>Kelsey</t>
  </si>
  <si>
    <t>Ms. Kelsey Clark serves as Managing Director &amp; Partner at Boston Consulting Group. Her client work has included supporting the development and implementation of a comprehensive early childhood education strategy-from birth to third grade-for one of the largest urban school districts in the US.</t>
  </si>
  <si>
    <t>clark.kelsey@bcg.com</t>
  </si>
  <si>
    <t>435191-59P</t>
  </si>
  <si>
    <t>Ken Shigeta</t>
  </si>
  <si>
    <t>Shigeta</t>
  </si>
  <si>
    <t>Mr. Ken Shigeta serves as Managing Director &amp; Partner at Boston Consulting Group. He has extensive experience in mid- to long-term strategy formulation, corporate reforms for creating corporate value, transformation, and business strategy development including new business planning.</t>
  </si>
  <si>
    <t>shigeta.ken@bcg.com</t>
  </si>
  <si>
    <t>455330-62P</t>
  </si>
  <si>
    <t>Kenji Arimoto</t>
  </si>
  <si>
    <t>Arimoto</t>
  </si>
  <si>
    <t>Mr. Kenji Arimoto serves as Managing Director &amp; Partner at Boston Consulting Group. He is a core member of BCG's Tech and Digital Advantage and Insurance practices. He has worked extensively with clients in the financial services, insurance, telecommunications, and energy industries on formulating and implementing digital and IT strategy. In the digital arena, he has experience in digital transformation and formulating digital roadmaps. In IT, he has worked on IT grand design, IT cost optimization, and project management of large-scale system development. Prior to joining BCG, he worked at Accenture.</t>
  </si>
  <si>
    <t>arimoto.kenji@bcg.com</t>
  </si>
  <si>
    <t>456250-06P</t>
  </si>
  <si>
    <t>Kenji Tanaka</t>
  </si>
  <si>
    <t>Mr. Kenji Tanaka serves as Managing Director &amp; Partner at Boston Consulting Group. He is a core member of the firm's Transform, Corporate Finance &amp; Strategy, and Consumer practices. He has over 20 years of experience in assisting companies on enterprise-wide transformation, business portfolio strategy, companywide organizational reform, cost reduction, and post-merger integration (PMI). He has worked extensively with clients across a wide range of industries, including automotive, electronics, chemicals, materials manufacturing, retail, and services. Before joining BCG, he served as CEO at Gordon Brothers Japan Co., Ltd., and worked at Goldman Sachs Securities Co., Ltd, and Development Bank of Japan Inc.</t>
  </si>
  <si>
    <t>tanaka.kenji@bcg.com</t>
  </si>
  <si>
    <t>181142-02P</t>
  </si>
  <si>
    <t>Kenny Kurtzman</t>
  </si>
  <si>
    <t>Kenny</t>
  </si>
  <si>
    <t>Kurtzman</t>
  </si>
  <si>
    <t>Mr. Kenny Kurtzman serves as Managing Director &amp; Senior Partner at Boston Consulting Group. Mr. Kenny Kurtzman served as Chief Strategy and People Officer at Tandem Hospital Partners. As chief strategy and people officer of Tandem Hospital Partners, Mr. Kurtzman is responsible for strategic planning and market prioritization, including project management services to support the launch of all hospital markets. Mr. Kurtzman is also responsible for all people processes including recruiting, onboarding, training, development, total rewards, and performance management. In addition, Mr. Kurtzman will also sit on Tandem Joint Venture Boards.</t>
  </si>
  <si>
    <t>kurtzman.kenny@bcg.com</t>
  </si>
  <si>
    <t>434815-66P</t>
  </si>
  <si>
    <t>Kentaro Hashimoto</t>
  </si>
  <si>
    <t>Kentaro</t>
  </si>
  <si>
    <t>Hashimoto</t>
  </si>
  <si>
    <t>Mr. Kentaro Hashimoto serves as Managing Director &amp; Partner at Boston Consulting Group. He works with clients in a wide range of industries including financial institutions, insurance, and electric power and gas, on mid- to long-term strategy, sales strategy, human resources and organizational reform, and operational reform.</t>
  </si>
  <si>
    <t>hashimoto.kentaro@bcg.com</t>
  </si>
  <si>
    <t>436227-49P</t>
  </si>
  <si>
    <t>Kesh Mudaly</t>
  </si>
  <si>
    <t>Kesh</t>
  </si>
  <si>
    <t>Mudaly</t>
  </si>
  <si>
    <t>Mr. Kesh Mudaly serves as Partner at Boston Consulting Group. He is currently focusing his work on decarbonization pathways for South Africa, especially in the energy sector, and has expertise in green hydrogen/PTX, sustainability, and large scale climate transformation.</t>
  </si>
  <si>
    <t>mudaly.kesh@bcg.com</t>
  </si>
  <si>
    <t>435858-40P</t>
  </si>
  <si>
    <t>Keunmo Koo</t>
  </si>
  <si>
    <t>Keunmo</t>
  </si>
  <si>
    <t>Mr. Keunmo Koo serves as Managing Director &amp; Partner at Boston Consulting Group. He works closely with a wide range of companies either involved in the health care sector, or considering entering the market.</t>
  </si>
  <si>
    <t>koo.keunmo@bcg.com</t>
  </si>
  <si>
    <t>456263-11P</t>
  </si>
  <si>
    <t>Kevin Antoine</t>
  </si>
  <si>
    <t>Mr. Kevin Antoine serves as a Partner at Boston Consulting Group. He is a core member of the firm's Travel, Cities &amp; Infrastructure, Energy, and Principal Investors &amp; Private Equity practices. He has in-depth experience in transport, energy, and postal and logistics infrastructures across growth and market strategies, capacity planning and management, and digitization and transaction topics. He advises transport and logistic operators, large utilities, renewables developers, infrastructure funds, and private investors on value creation through strategy, operations, large capital delivery, asset management, and procurement projects, mainly in Belgium, France, the Netherlands, and the UK.</t>
  </si>
  <si>
    <t>antoine.kevin@bcg.com</t>
  </si>
  <si>
    <t>456807-16P</t>
  </si>
  <si>
    <t>Kevin Dsouza</t>
  </si>
  <si>
    <t>Dsouza</t>
  </si>
  <si>
    <t>Mr. Kevin Dsouza serves as Managing Director &amp; Senior Partner at Boston Consulting Group. He is a member of the firm's Operations and Health Care practices. He leads BCG's work in quality and regulatory in pharmaceuticals and medtech globally. He focuses on large-scale transformations. He has significant experience leading operational excellence programs including operating model restructurings and redesigns that are driven by M&amp;A and divestitures. He has also led BCG's manufacturing Strategy topic (including externalization and make versus buy) in North America.</t>
  </si>
  <si>
    <t>dsouza.kevin@bcg.com</t>
  </si>
  <si>
    <t>456519-97P</t>
  </si>
  <si>
    <t>Kevin Kelley</t>
  </si>
  <si>
    <t>Mr. Kevin Kelley serves as Managing Director, Senior Partner, and Global Lead for Operating Model, Organization &amp; Cost at Boston Consulting Group. He is a core member of the firm's People &amp; Organization practice and leads the firm's organization design and operating model work globally. He leads client engagements in operating models for strategy implementation, organization design, post-merger integration (PMI), change management, and transformation. He works closely with clients to design and implement transformation programs that deliver on immediate objectives while also promoting the correct long-term behaviors across all levels of the organization.</t>
  </si>
  <si>
    <t>kelley.kevin@bcg.com</t>
  </si>
  <si>
    <t>Managing Director, Senior Partner and Global Lead for Operating Model, Organization &amp; Cost</t>
  </si>
  <si>
    <t>250052-32P</t>
  </si>
  <si>
    <t>Kevin Meme</t>
  </si>
  <si>
    <t>Meme</t>
  </si>
  <si>
    <t>Mr. Kevin Meme serves as Managing Director &amp; Member of Oaktree's Portfolio Transformation Team at Brookfield Oaktree Holdings. In addition to conducting investment due diligence, he specializes in driving commercial and operational performance improvement initiatives - including turnarounds - collaboratively with management teams. He also serves as a Partner at Boston Consulting Group. He is a member of BCG's Consumer, Health Care, and People &amp; Organization practice areas. He works with clients driving major strategy, operations, and large-scale change efforts primarily in the consumer, retail, auto/industrial, and health care spaces. Earlier in his career, Mr. Meme worked as an economic researcher at the Center for Retirement Research at Boston College. He has also spent time as an equity analyst at T. Rowe Price and interned in the U.S. Department of the Treasury's Office of Economic Policy. Mr. Meme holds an M.B.A. in finance from The Wharton School, University of Pennsylvania; an M.T.S. in systemic theology from the University of Notre Dame; and a B.A. in economics from Boston College, magna cum laude, where he was a Presidential Scholar and elected to Phi Beta Kappa.</t>
  </si>
  <si>
    <t>+1 (213) 830-6300</t>
  </si>
  <si>
    <t>kmeme@oaktreecapital.com</t>
  </si>
  <si>
    <t>333 South Grand Avenue</t>
  </si>
  <si>
    <t>28th Floor</t>
  </si>
  <si>
    <t>+1 (213) 830-6293</t>
  </si>
  <si>
    <t>Managing Director &amp; Member of of Oaktree's Portfolio Transformation Team</t>
  </si>
  <si>
    <t>Brookfield Oaktree Holdings</t>
  </si>
  <si>
    <t>455633-92P</t>
  </si>
  <si>
    <t>Kevin Solchenberger</t>
  </si>
  <si>
    <t>Solchenberger</t>
  </si>
  <si>
    <t>Mr. Kevin Solchenberger serves as Platinum Managing Director at Boston Consulting Group. He is a core member of the firm's Technology &amp; Digital Advantage practice and co-leads the firm's North America Digital Transformation team. He has deep experience in large transformational programs, PMI, digital products and services, and developing digital and data platforms. He is an active member of BCG Platinion's infrastructure, travel, transportation, cities, and logistics; consumer packaged goods; industrial goods; and insurance teams. He has over 20 years of experience, and before joining the firm, was most recently with the InterContinental Hotels Group, where he served as an IT executive and was responsible for leading the digital experience and core services platform across the US and greater China. He began his career at Accenture, BearingPoint, and Cox Communications, focused on application development and architecture, where he led product development, enterprise architecture, digital strategies, and key vendor relationships.</t>
  </si>
  <si>
    <t>solchenberger.kevin@bcg.com</t>
  </si>
  <si>
    <t>455875-57P</t>
  </si>
  <si>
    <t>Khaled Tawfik</t>
  </si>
  <si>
    <t>Khaled</t>
  </si>
  <si>
    <t>Tawfik</t>
  </si>
  <si>
    <t>Mr. Khaled Tawfik serves as Managing Director &amp; Partner at Boston Consulting Group. He leads the retail work for the firm's practice for Europe, the Middle East, South America, and Africa (EMESA), as well as leading the retail marketplaces work globally. He mainly works with retail clients in food and non-food segments. Most of his client engagements have focused on multi-year transformations, typically with a strong focus on commercial and digital topics underpinned by advanced analytics/artificial intelligence, and consumer-led strategy. Prior to coming to BCG, he worked for Disney Consumer Products in Los Angeles.</t>
  </si>
  <si>
    <t>tawfik.khaled@bcg.com</t>
  </si>
  <si>
    <t>434925-10P</t>
  </si>
  <si>
    <t>Khatchig Karamanoukian</t>
  </si>
  <si>
    <t>Khatchig</t>
  </si>
  <si>
    <t>Karamanoukian</t>
  </si>
  <si>
    <t>Mr. Khatchig Karamanoukian serves as Managing Director &amp; Partner at Boston Consulting Group. He helps clients drive large scale transformation programs including design and implementation support.</t>
  </si>
  <si>
    <t>karamanoukian.khatchig@bcg.com</t>
  </si>
  <si>
    <t>456716-26P</t>
  </si>
  <si>
    <t>Kiran Konanur</t>
  </si>
  <si>
    <t>Konanur</t>
  </si>
  <si>
    <t>Mr. Kiran Konanur serves as Managing Director &amp; Partner at Boston Consulting Group. He is a core member of the firm's Financial Institutions practice. He focuses on advanced analytics, large-scale transformation, and strategy. At the firm, he has led engagements covering credit analytics, growth analytics, attrition, and end-to-end process redesign in retail and commercial banking. He has also led multi-year transformation programs for leading financial institutions in North America. Before coming to BCG, he was Product Marketing Director at Icera Semiconductor (now nVidia) and VP of Marketing &amp; Sales at Sirific Wireless.</t>
  </si>
  <si>
    <t>kiran.konanur@bcg.com</t>
  </si>
  <si>
    <t>455959-00P</t>
  </si>
  <si>
    <t>Kirill Tuishev</t>
  </si>
  <si>
    <t>Kirill</t>
  </si>
  <si>
    <t>Tuishev</t>
  </si>
  <si>
    <t>Mr. Kirill Tuishev serves as Managing Director, Senior Partner &amp; BCG Baku Office Leader at Boston Consulting Group. He leads the firm's Energy practice for the Eastern Mediterranean, and Caspian (EMC) region, comprising Azerbaijan, Greece, Israel, Italy, Kazakhstan, Turkey, and Uzbekistan. He works primarily on energy topics, advising senior executives of prominent oil and gas and petrochemical companies. His experience includes corporate transformation, large capital project management, operations (procurement, working capital management), people and organization (organizational design, capability building, motivation, and engagement), and strategy. Prior to joining BCG, Mr. Tuishev worked as director of strategy and corporate development in the Russian diversified holding company AK BARS. He also worked for seven years as director of finance for V&amp;S Corporation, a US export company.</t>
  </si>
  <si>
    <t>tuishev.kirill@bcg.com</t>
  </si>
  <si>
    <t>Managing Director, Senior Partner &amp; BCG Baku Office Leader</t>
  </si>
  <si>
    <t>456009-13P</t>
  </si>
  <si>
    <t>Kirk Francis</t>
  </si>
  <si>
    <t>Kirk</t>
  </si>
  <si>
    <t>Francis</t>
  </si>
  <si>
    <t>Mr. Kirk Francis serves as Platinum Managing Director at Boston Consulting Group. He is a leader for the firm's Technology &amp; Digital Advantage practice, as well as the Platinum global management team. He is the global lead for Platinion's Enterprise Solutions practice with a focus on the Next Gen ERP offering. Kirk works with key clients to enable end-to-end digital, enterprise, and data transformations. Before joining BCG, he worked at Accenture, where he was a member of the North American SAP Leadership team involved with large-scale, global transformation delivery projects.</t>
  </si>
  <si>
    <t>francis.kirk@bcg.com</t>
  </si>
  <si>
    <t>434923-30P</t>
  </si>
  <si>
    <t>Kirsten Rulf</t>
  </si>
  <si>
    <t>Rulf</t>
  </si>
  <si>
    <t>Ms. Kirsten Rulf serves as Partner &amp; Associate Director at Boston Consulting Group. Her primary fields of expertise are global AI regulation and governance; data governance; the geopolitics of tech; and crafting and implementing data-driven business models.</t>
  </si>
  <si>
    <t>rulf.kirsten@bcg.com</t>
  </si>
  <si>
    <t>456054-40P</t>
  </si>
  <si>
    <t>Kirsten Xu</t>
  </si>
  <si>
    <t>Ms. Kirsten Xu serves as a Principal at Boston Consulting Group. She is a core member of the Industrial Goods, Travel, Cities &amp; Infrastructure, and Corporate Finance &amp; Strategy practices at the firm. She leads the firm's work in diversity and inclusion in the Nordics. Her focus is on advancing diversity and inclusion both internally at BCG and externally for clients. She also works extensively on ESG (environmental, social, and governance) strategy for industrial goods clients, as well as value creation and growth strategy, and commercial transformation. Before joining BCG in 2013, she was a junior consultant at Qvartz+Co (now Bain).</t>
  </si>
  <si>
    <t>xu.kirsten@bcg.com</t>
  </si>
  <si>
    <t>435539-89P</t>
  </si>
  <si>
    <t>Kjetil Holgeid Ph.D</t>
  </si>
  <si>
    <t>Kjetil</t>
  </si>
  <si>
    <t>Holgeid</t>
  </si>
  <si>
    <t>Mr. Kjetil Holgeid serves as Managing Director &amp; Partner at Boston Consulting Group. He has worked on an array of large-scale tech and IT transformations, including strategizing for success, de-risking, recovery and turnaround of tech-enabled transformations, IT project benefits management, and CIO advisory including IT governance and IT cost optimization.</t>
  </si>
  <si>
    <t>holgeid.kjetil@bcg.com</t>
  </si>
  <si>
    <t>455414-59P</t>
  </si>
  <si>
    <t>Koen Alfrink</t>
  </si>
  <si>
    <t>Koen</t>
  </si>
  <si>
    <t>Alfrink</t>
  </si>
  <si>
    <t>Mr. Koen Alfrink serves as Managing Director &amp; Partner at Boston Consulting Group. He is a core member of the Financial Institutions, Corporate Finance &amp; Strategy, and People &amp; Organization practices. He works with leading financial institutions on large-scale digital/agile transformations, and strategy, and has deep experience in post-merger integrations and business unit carve-outs.</t>
  </si>
  <si>
    <t>alfrink.koen@bcg.com</t>
  </si>
  <si>
    <t>436364-02P</t>
  </si>
  <si>
    <t>Kohei Sakabe</t>
  </si>
  <si>
    <t>Kohei</t>
  </si>
  <si>
    <t>Sakabe</t>
  </si>
  <si>
    <t>Mr. Kohei Sakabe serves as Partner at Boston Consulting Group. He has extensive experience supporting clients in companywide transformation, business turnaround, mid- to long-term strategies, restructuring, organizational reform, and new product launch strategies.</t>
  </si>
  <si>
    <t>sakabe.kohei@bcg.com</t>
  </si>
  <si>
    <t>455332-06P</t>
  </si>
  <si>
    <t>Koichi Hasegawa</t>
  </si>
  <si>
    <t>Koichi</t>
  </si>
  <si>
    <t>Hasegawa</t>
  </si>
  <si>
    <t>Mr. Koichi Hasegawa serves as Managing Director &amp; Partner at Boston Consulting Group. He is a core member of BCG's Technology, Media &amp; Telecommunications, and Tech and Digital Advantage practices. He has worked extensively with clients in industries including electronics, semiconductors, IT, industrial goods, and retail, on driving innovation utilizing digital technology, business development, and operations reform. Prior to joining BCG, he worked at Deloitte Tohmatsu Consulting and at the Japanese Ministry of Foreign Affairs.</t>
  </si>
  <si>
    <t>hasegawa.koichi@bcg.com</t>
  </si>
  <si>
    <t>435409-93P</t>
  </si>
  <si>
    <t>Koichi Ito</t>
  </si>
  <si>
    <t>Ito</t>
  </si>
  <si>
    <t>Mr. Koichi Ito serves as Managing Director &amp; Partner at Boston Consulting Group. He is a core member of the firm's Financial Institutions and Corporate Finance &amp; Strategy practices. He has worked extensively with clients in the financial services industry on formulating corporate and business strategies, and supporting channel and product strategy development, business transformation, and reorganization. Prior to joining BCG, he worked at Accenture.</t>
  </si>
  <si>
    <t>ito.koichi@bcg.com</t>
  </si>
  <si>
    <t>455203-36P</t>
  </si>
  <si>
    <t>Koichi Tsuchizawa</t>
  </si>
  <si>
    <t>Tsuchizawa</t>
  </si>
  <si>
    <t>Mr. Koichi Tsuchizawa serves as Partner at Boston Consulting Group. He is a core member of the firm's Operations practice. He has worked extensively on supply chain management across various industries, focusing on supply structure transformation, logistics reform, platform design, and sales and operations planning (S&amp;OP). He is an expert in end-to-end enterprise transformation governance and process model design to digital tool implementation.</t>
  </si>
  <si>
    <t>tsuchizawa.koichi@bcg.com</t>
  </si>
  <si>
    <t>435558-07P</t>
  </si>
  <si>
    <t>Koji Hagio</t>
  </si>
  <si>
    <t>Koji</t>
  </si>
  <si>
    <t>Hagio</t>
  </si>
  <si>
    <t>Mr. Koji Hagio serves as Managing Director &amp; Partner at Boston Consulting Group. He has worked extensively with clients in the health care field, including pharmaceutical companies and medical device manufacturers. He is experienced in formulating and implementing new business strategies for future growth and globalization.</t>
  </si>
  <si>
    <t>hagio.koji@bcg.com</t>
  </si>
  <si>
    <t>435737-17P</t>
  </si>
  <si>
    <t>Konark Singh</t>
  </si>
  <si>
    <t>Konark</t>
  </si>
  <si>
    <t>Mr. Konark Singh serves as Managing Director &amp; Senior Partner at Boston Consulting Group. He has worked extensively with clients in retail energy on issues such as risk management, portfolio assessment, and consumer behavior. In his work with utilities, he has led a number of smart-grid implementation efforts and deployed several end-to-end digital customer offerings.</t>
  </si>
  <si>
    <t>singh.konark@bcg.com</t>
  </si>
  <si>
    <t>435374-20P</t>
  </si>
  <si>
    <t>Konstantin Storms Ph.D</t>
  </si>
  <si>
    <t>Konstantin</t>
  </si>
  <si>
    <t>Storms</t>
  </si>
  <si>
    <t>Mr. Konstantin Storms serves as Managing Director &amp; Partner at Boston Consulting Group. He is a core member of the firm's Health Care and Insurance practices. Konstantin works mainly with clients in the health care system, both payers and providers, often with a focus on personalized care management and data-driven claims management. He also has expertise in areas including analytics and artificial intelligence.</t>
  </si>
  <si>
    <t>storms.konstantin@bcg.com</t>
  </si>
  <si>
    <t>436237-12P</t>
  </si>
  <si>
    <t>Kotaro Sato</t>
  </si>
  <si>
    <t>Kotaro</t>
  </si>
  <si>
    <t>Mr. Kotaro Sato serves as Managing Director &amp; Partner at Boston Consulting Group. He works primarily with clients in retail, industrial goods, chemical, and transportation &amp; logistics industries, focusing on projects involving operational reforms and digital strategy formulation.</t>
  </si>
  <si>
    <t>sato.kotaro@bcg.com</t>
  </si>
  <si>
    <t>434928-43P</t>
  </si>
  <si>
    <t>Kozo Fukushima</t>
  </si>
  <si>
    <t>Kozo</t>
  </si>
  <si>
    <t>Fukushima</t>
  </si>
  <si>
    <t>Mr. Kozo Fukushima serves as Managing Director &amp; Partner at Boston Consulting Group. He has worked extensively with clients in the insurance and industrial goods industries, on engagements including digital transformation, portfolio reform, formulating and implementing growth strategies, and business development through working with startups.</t>
  </si>
  <si>
    <t>fukushima.kozo@bcg.com</t>
  </si>
  <si>
    <t>436310-02P</t>
  </si>
  <si>
    <t>Krishna Srikumar</t>
  </si>
  <si>
    <t>Krishna</t>
  </si>
  <si>
    <t>Srikumar</t>
  </si>
  <si>
    <t>Mr. Krishna Srikumar serves as Managing Director &amp; Partner at Boston Consulting Group. His main area of interest is at the intersection of health care (medtech, pharma), technology, and topics related to new digital business (prescriptive digital therapeutics, analytics, product redesign, and core system transformation).</t>
  </si>
  <si>
    <t>srikumar.krishna@bcg.com</t>
  </si>
  <si>
    <t>455976-64P</t>
  </si>
  <si>
    <t>Krishnan Ramachandran</t>
  </si>
  <si>
    <t>Ramachandran</t>
  </si>
  <si>
    <t>Mr. Krishnan Ramachandran serves as Partner &amp; Associate Director, Digital in Financial Institutions at Boston Consulting Group. He is a core member of the leadership team of the firm's Tech &amp; Digital Advantage practice. He is a technology leader and architect with over 30 years of experience driving business outcomes through strategic technology choices, modern IT architecture, cloud strategy, engineering practices, and implementation of next-generation technologies. Before joining the firm, he was a Distinguished Engineer and Global CTO for Banking and Financial Markets at IBM Consulting. He holds several patents in the areas of digital technology and artificial intelligence.</t>
  </si>
  <si>
    <t>ramachandran.krishnan@bcg.com</t>
  </si>
  <si>
    <t>Partner &amp; Associate Director, Digital in Financial Institutions</t>
  </si>
  <si>
    <t>455400-64P</t>
  </si>
  <si>
    <t>Kristi Rogers</t>
  </si>
  <si>
    <t>Kristi</t>
  </si>
  <si>
    <t>Ms. Kristi Rogers serves as Managing Director &amp; Partner at Boston Consulting Group. She is a core member of the Technology, Media &amp; Telecommunications practice at the firm. Her main area of focus is media and information services, both B2B and B2C. Kristi has a keen interest and deep experience in topics related to growth strategy/M&amp;A, consumer insights, go-to-market, and data/analytics. She is closely affiliated with the Marketing, Sales &amp; Pricing practice.</t>
  </si>
  <si>
    <t>rogers.kristi@bcg.com</t>
  </si>
  <si>
    <t>436205-53P</t>
  </si>
  <si>
    <t>Kristian Kuhlmann Ph.D</t>
  </si>
  <si>
    <t>Kristian</t>
  </si>
  <si>
    <t>Kuhlmann</t>
  </si>
  <si>
    <t>Mr. Kristian Kuhlmann serves as Managing Director &amp; Partner at Boston Consulting Group. He leads the firm's work in business line manufacturing and supply chain for Europe, the Middle East, and Africa.</t>
  </si>
  <si>
    <t>kuhlmann.kristian@bcg.com</t>
  </si>
  <si>
    <t>435011-05P</t>
  </si>
  <si>
    <t>Kristin Wheatley</t>
  </si>
  <si>
    <t>Wheatley</t>
  </si>
  <si>
    <t>Ms. Kristin Wheatley serves as Managing Director &amp; Partner at Boston Consulting Group. She has worked on TSR growth strategy, omni-channel advice, salesforce effectiveness, price optimization, and other projects. She is the Canada lead for BCG@60, as well as a career development advisor.</t>
  </si>
  <si>
    <t>wheatley.kristin@bcg.com</t>
  </si>
  <si>
    <t>148425-49P</t>
  </si>
  <si>
    <t>Kristy Ellmer</t>
  </si>
  <si>
    <t>Kristy</t>
  </si>
  <si>
    <t>Ellmer</t>
  </si>
  <si>
    <t>Ms. Kristy Ellmer serves as Managing Director &amp; Partner at Boston Consulting Group. She is a core member of BCG Transform, Boston Consulting Group's transformation and turnaround unit. She has led numerous large-scale, complex transformations in a variety of industries and geographies, which have led to significant improvement in P&amp;L and organizational health for clients. Ms. Ellmer served as Senior Vice President at McKinsey &amp; Company. Previously, she served as a Senior Consultant at Ernst &amp; Young.</t>
  </si>
  <si>
    <t>ellmer.kristy@bcg.com</t>
  </si>
  <si>
    <t>456719-23P</t>
  </si>
  <si>
    <t>Kwonyoung Jang</t>
  </si>
  <si>
    <t>Kwonyoung</t>
  </si>
  <si>
    <t>Mr. Kwonyoung Jang serves as Managing Director &amp; Partner at Boston Consulting Group. He is a core member of the firm's Insurance and Financial Institutions practices and the firm's Transformation &amp; TURN work. He focuses on large-scale change. He is also active with the Principal Investors &amp; Private Equity (PIPE) and Corporate Finance practices. His main focus is helping his clients' top management redefine their strategy and operational capability and steer them toward value creation opportunities. He also specializes in interim C-suite roles for insurers undergoing distressed turnaround or other major business/operation transformations. Before joining BCG, he worked for a media and entertainment company focusing on internet marketing.</t>
  </si>
  <si>
    <t>jang.kwonyoung@bcg.com</t>
  </si>
  <si>
    <t>436410-19P</t>
  </si>
  <si>
    <t>Kyle Ruttan</t>
  </si>
  <si>
    <t>Ruttan</t>
  </si>
  <si>
    <t>Mr. Kyle Ruttan serves as Managing Director &amp; Partner at Boston Consulting Group. His recent engagements have covered operating model and ways of working, as well as operational areas such as field force optimization, AI in call center operations, applying AI to revenue growth and cost optimization, and AI at scale in telecommunications.</t>
  </si>
  <si>
    <t>kyle.ruttan@bcg.com</t>
  </si>
  <si>
    <t>456199-84P</t>
  </si>
  <si>
    <t>Lachlan George</t>
  </si>
  <si>
    <t>Lachlan</t>
  </si>
  <si>
    <t>Mr. Lachlan George serves as Partner at Boston Consulting Group. He is a cybersecurity specialist at the firm and core member of the firm's Technology &amp; Digital Advantage practice. He has extensive operational experience assisting large global companies in managing risks to their information and technology assets, developing business-aligned cybersecurity strategies, supporting business response and recovery following highly disruptive cyberattacks, and delivering large-scale cybersecurity transformation programs.</t>
  </si>
  <si>
    <t>george.lachlan@bcg.com</t>
  </si>
  <si>
    <t>434825-56P</t>
  </si>
  <si>
    <t>Lale Ertok</t>
  </si>
  <si>
    <t>Lale</t>
  </si>
  <si>
    <t>Ertok</t>
  </si>
  <si>
    <t>Ms. Lale Ertok serves as Managing Director &amp; Partner at Boston Consulting Group. She has worked with leading financial services institutions in Turkey, Europe, the US, and the Middle East on strategy, organization, business model design, sales and marketing, and digital transformation.</t>
  </si>
  <si>
    <t>ertok.lale@bcg.com</t>
  </si>
  <si>
    <t>242060-68P</t>
  </si>
  <si>
    <t>Lamberto Biscarini</t>
  </si>
  <si>
    <t>Lamberto</t>
  </si>
  <si>
    <t>Biscarini</t>
  </si>
  <si>
    <t>Mr. Lamberto Biscarini serves as Managing Director &amp; Senior Partner at Boston Consulting Group. Mr. Lamberto Biscarini served as Board Member at Hippocrates Holding. He has international experience in portfolio strategy, pricing and revenue management, branding, marketing, and go-to-market strategy.</t>
  </si>
  <si>
    <t>biscarini.lamberto@bcg.com</t>
  </si>
  <si>
    <t>436003-12P</t>
  </si>
  <si>
    <t>Lane McBride</t>
  </si>
  <si>
    <t>Lane</t>
  </si>
  <si>
    <t>Mr. Lane McBride serves as Managing Director &amp; Senior Partner at Boston Consulting Group. He has focused primarily on the education sector, spanning topics such as strategy, organization design and transformation, change management, cost efficiency, performance management, and consumer insight.</t>
  </si>
  <si>
    <t>lane.mcbride@bcg.com</t>
  </si>
  <si>
    <t>435594-34P</t>
  </si>
  <si>
    <t>Lara Koslow</t>
  </si>
  <si>
    <t>Lara</t>
  </si>
  <si>
    <t>Koslow</t>
  </si>
  <si>
    <t>Ms. Lara Koslow serves as Managing Director &amp; Senior Partner at Boston Consulting Group. She focuses on commercial strategy and execution across industries, though a significant portion of her work is in the consumer, travel and tourism, retail, and automotive areas. Lara has also worked in financial services, health care, technology, and media.</t>
  </si>
  <si>
    <t>koslow.lara@bcg.com</t>
  </si>
  <si>
    <t>435391-75P</t>
  </si>
  <si>
    <t>Lars Holm</t>
  </si>
  <si>
    <t>Lars</t>
  </si>
  <si>
    <t>Holm</t>
  </si>
  <si>
    <t>Mr. Lars Holm serves as Partner &amp; Director at Boston Consulting Group. He has also worked with leading OEMs on subjects such as improving the execution of offshore projects, identifying market potentials and assessing the market approach, and reducing material costs by improving the sourcing process.</t>
  </si>
  <si>
    <t>holm.lars@bcg.com</t>
  </si>
  <si>
    <t>435771-46P</t>
  </si>
  <si>
    <t>Lars Littig Ph.D</t>
  </si>
  <si>
    <t>Littig</t>
  </si>
  <si>
    <t>Dr. Lars Littig serves as Managing Director &amp; Partner at Boston Consulting Group. His current work includes one of the largest transformation programs worldwide which he has supported in a leading role throughout the design, pre-launch, and implementation phases.</t>
  </si>
  <si>
    <t>littig.lars@bcg.com</t>
  </si>
  <si>
    <t>455611-69P</t>
  </si>
  <si>
    <t>Lasse Ringstad</t>
  </si>
  <si>
    <t>Lasse</t>
  </si>
  <si>
    <t>Ringstad</t>
  </si>
  <si>
    <t>Mr. Lasse Ringstad serves as Managing Director &amp; Partner at Boston Consulting Group. He is a core member of the firm's Principal Investors &amp; Private Equity (PIPE) practice. He has led over 70 buy- and sell-side due diligence for private equity clients, and supports investors on various portfolio improvement initiatives. He works with investors on a wide range of topics and with BCG experts in a variety of fields to ensure the best outcome for his clients. Recently, he has led multiple efforts across life sciences, technology, telecom, education, and consumer and industrial goods. He was one of the firm's first dedicated private equity team consultants for New York and supports engagements across Europe, the Middle East, and the US.</t>
  </si>
  <si>
    <t>ringstad.lasse@bcg.com</t>
  </si>
  <si>
    <t>456844-42P</t>
  </si>
  <si>
    <t>Laszlo Juhasz</t>
  </si>
  <si>
    <t>Juhasz</t>
  </si>
  <si>
    <t>Mr. Laszlo Juhasz serves as Managing Director and Senior Partner, SEE Lead at Boston Consulting Group. He leads the firm in Central and Eastern Europe, covering the firm's business in Hungary, Poland, the Czech Republic, Slovakia, Southeastern Europe, and Romania. He is a core member of the firm's Industrial Goods, Financial Institutions, Insurance, People &amp; Organization, and Consumer practices. His primary focus is on helping key clients in the region with their transformations and operational-improvement programs. Before coming to BCG, he worked as a manager in the treasury departments of Alcoa, Fundamenta, and Cora.</t>
  </si>
  <si>
    <t>juhasz.laszlo@bcg.com</t>
  </si>
  <si>
    <t>Managing Director and Senior Partner, SEE Lead</t>
  </si>
  <si>
    <t>456082-30P</t>
  </si>
  <si>
    <t>Laura Borland</t>
  </si>
  <si>
    <t>Borland</t>
  </si>
  <si>
    <t>Ms. Laura Borland serves as Managing Director &amp; Partner at Boston Consulting Group. She is a core member of the firm's Energy practice and specializes in growth/market strategy and M&amp;A. She has ten years experience serving as a strategy consultant for oil and gas companies and investors. Prior to joining BCG, she spent over seven years at McKinsey &amp; Company where she was a leader in the oil and gas and energy private equity practices.</t>
  </si>
  <si>
    <t>borland.laura@bcg.com</t>
  </si>
  <si>
    <t>436150-81P</t>
  </si>
  <si>
    <t>Laure Bezert</t>
  </si>
  <si>
    <t>Laure</t>
  </si>
  <si>
    <t>Bezert</t>
  </si>
  <si>
    <t>Ms. Laure Bezert serves as Partner at Boston Consulting Group. She focuses on helping companies build and execute technology-enabled transformation strategies through tech strategy, tech operating model, tech sourcing, and financial management.</t>
  </si>
  <si>
    <t>bezert.laure@bcg.com</t>
  </si>
  <si>
    <t>456845-59P</t>
  </si>
  <si>
    <t>Lauren Jensen</t>
  </si>
  <si>
    <t>Lauren</t>
  </si>
  <si>
    <t>Jensen</t>
  </si>
  <si>
    <t>Ms. Lauren Jensen serves as Managing Director &amp; Partner at Boston Consulting Group. She is a core member of the Consumer practice and the Minneapolis lead for Women@BCG. She works with consumer industry clients on strategy (growth, portfolio, commercial), marketing and sales, pricing, corporate development, end-to-end M&amp;A (diligence, integration), and people and organization topics (including the future of work). Previously, she worked at the intersection of business and medicine, both at UnitedHealth Group Ventures and Boston Scientific.</t>
  </si>
  <si>
    <t>+1 (612) 253-4100</t>
  </si>
  <si>
    <t>jensen.lauren@bcg.com</t>
  </si>
  <si>
    <t>Minneapolis</t>
  </si>
  <si>
    <t>Minneapolis, MN</t>
  </si>
  <si>
    <t>60 South Sixth Street</t>
  </si>
  <si>
    <t>Suite 2300</t>
  </si>
  <si>
    <t>Minnesota</t>
  </si>
  <si>
    <t>55402</t>
  </si>
  <si>
    <t>+1 (612) 253-4101</t>
  </si>
  <si>
    <t>57495-25P</t>
  </si>
  <si>
    <t>Lauren Wiener</t>
  </si>
  <si>
    <t>Ms. Lauren Wiener serves as Managing Director &amp; Senior Partner at Boston Consulting Group. Ms. Wiener served as President, Global Sales &amp; Marketing at Telaria Video. She brings more than 20 years of experience driving innovation and revenue growth at fast-growing digital properties and as a corporate development expert and strategy consultant at several premier global firms. Prior to joining Tremor Video, she spent nine years at Meredith Corporation, building Meredith Digital from the ground up through organic growth and acquisitions. Prior to Meredith, she held general management, business development, and sales positions at Primedia, Star Media Network, and MTV; and worked as a strategy consultant at Boston Consulting Group. She holds a B.A. in history from Yale University and an M.B.A. from Harvard Business School.</t>
  </si>
  <si>
    <t>lauren_wiener@bcg.com</t>
  </si>
  <si>
    <t>456473-26P</t>
  </si>
  <si>
    <t>Laurence Birdsey</t>
  </si>
  <si>
    <t>Birdsey</t>
  </si>
  <si>
    <t>Mr. Laurence Birdsey serves as Managing Director &amp; Partner at Boston Consulting Group. As a member of the leadership teams for the firm's Health Care and Operations practices, he works with leading medtech and biopharma clients on a variety of strategy and operations topics. He spearheads BCG's quality and regulatory compliance work for health care clients globally, having led multiple quality transformation efforts in recent years. Before coming to the firm, he was Executive Director of an international education non-profit that staffs and supports a network of bilingual schools in low-income areas of Central America.</t>
  </si>
  <si>
    <t>birdsey.laurence@bcg.com</t>
  </si>
  <si>
    <t>455406-94P</t>
  </si>
  <si>
    <t>Lauri Saarela</t>
  </si>
  <si>
    <t>Lauri</t>
  </si>
  <si>
    <t>Saarela</t>
  </si>
  <si>
    <t>Mr. Lauri Saarela serves as Managing Director &amp; Partner at Boston Consulting Group. He leads the firm's work in materials and process industries in the Nordics, as well as the Industrial Goods practice for Helsinki. His current clients are leading Nordic and global industrial companies and investors. He is also an active member of the Principle Investors &amp; Private Equity (PIPE) practice at the firm.</t>
  </si>
  <si>
    <t>saarela.lauri@bcg.com</t>
  </si>
  <si>
    <t>436151-44P</t>
  </si>
  <si>
    <t>Laurin Frommann</t>
  </si>
  <si>
    <t>Laurin</t>
  </si>
  <si>
    <t>Frommann</t>
  </si>
  <si>
    <t>Mr. Laurin Frommann serves as Managing Director &amp; Partner at Boston Consulting Group. He is a core member of the Financial Institutions practice, with a particular focus on financial crime, transformations, ESG compliance, compliance target operating model, non-financial risk, and BCBS239.</t>
  </si>
  <si>
    <t>frommann.laurin@bcg.com</t>
  </si>
  <si>
    <t>455262-04P</t>
  </si>
  <si>
    <t>Laurin Menton</t>
  </si>
  <si>
    <t>Menton</t>
  </si>
  <si>
    <t>Ms. Laurin Menton serves as Managing Director &amp; Partner at Boston Consulting Group. She is a retail specialist and core member of the firm's Corporate Finance &amp; Strategy and Consumer practices with a focus on digital transformation. She advises clients on strategic topics, including corporate strategy, operating model design, and advanced analytics. She is an expert in finance topics. Before joining the firm, she worked at AlixPartners, Deloitte Consulting, and Aritzia LLP.</t>
  </si>
  <si>
    <t>menton.laurin@bcg.com</t>
  </si>
  <si>
    <t>455741-83P</t>
  </si>
  <si>
    <t>Leila Hamidou</t>
  </si>
  <si>
    <t>Hamidou</t>
  </si>
  <si>
    <t>Ms. Leila Hamidou serves as Managing Director &amp; Partner at Boston Consulting Group. She is a core member of the Marketing, Sales &amp; Pricing, Consumer, and Health Care practices at the firm. She is a member of the Commercial Allocation by BCG X and leads Women@BCG in Paris. She has worked with biopharma, OTC, and chemicals clients, as well as FMCG companies, including in wines and spirits, beverages, fresh food, and beauty. In addition, she has supported several private equity firms during confidential acquisitions. She has experience in all aspects of marketing and trade and special expertise in data-driven marketing and revenue management.</t>
  </si>
  <si>
    <t>hamidou.leila@bcg.com</t>
  </si>
  <si>
    <t>456392-35P</t>
  </si>
  <si>
    <t>Leila Hoteit Ph.D</t>
  </si>
  <si>
    <t>Hoteit</t>
  </si>
  <si>
    <t>Dr. Leila Hoteit serves as Managing Director, Senior Partner, and Global Leader for Education, Employment, and Welfare at Boston Consulting Group. She is a member of the Public Sector practice with over 20 years of strategy and operations experience acquired through projects in the Middle East and Europe. She is also on the leadership team of BCG's global Social Impact practice. She also has extensive experience in social development and culture, and works with policymakers, regulatory authorities, and key public sector entities on policy development, strategic planning, organizational development, and governance.</t>
  </si>
  <si>
    <t>hoteit.leila@bcg.com</t>
  </si>
  <si>
    <t>Managing Director, Senior Partner, and Global Leader for Education, Employment, and Welfare</t>
  </si>
  <si>
    <t>456191-74P</t>
  </si>
  <si>
    <t>Lenita Tobing</t>
  </si>
  <si>
    <t>Lenita</t>
  </si>
  <si>
    <t>Tobing</t>
  </si>
  <si>
    <t>Ms. Lenita Tobing serves as Managing Director &amp; Partner at Boston Consulting Group. She is the Southeast Asia (SEA) lead for the firm's People &amp; Organization practice, as well as a core member of the Energy and Industrial Goods practices. She guides her clients in all aspects of transformation and change management, and organization and governance. She is currently the SEA lead for the Transport, Travel, Tourism, Cities and Infrastructure (TCI) team as well as the SEA lead for Women@BCG. Before joining the firm, she was a Partner at Strategy&amp; in Jakarta, and a Partner at Arghajata Consulting, also in Jakarta.</t>
  </si>
  <si>
    <t>tobing.lenita@bcg.com</t>
  </si>
  <si>
    <t>436423-87P</t>
  </si>
  <si>
    <t>Lin An</t>
  </si>
  <si>
    <t>Lin</t>
  </si>
  <si>
    <t>An</t>
  </si>
  <si>
    <t>Ms. Lin An serves as Managing Director &amp; Partner at Boston Consulting Group. Her expertise includes corporate strategy, investment strategy, digital transformation, business turnaround, market entry, digital marketing and sales, business portfolio, organization revitalization, business model innovation, and mergers and acquisitions.</t>
  </si>
  <si>
    <t>an.lin@bcg.com</t>
  </si>
  <si>
    <t>436695-67P</t>
  </si>
  <si>
    <t>Lina Bankert</t>
  </si>
  <si>
    <t>Lina</t>
  </si>
  <si>
    <t>Bankert</t>
  </si>
  <si>
    <t>Ms. Lina Bankert serves as Managing Director &amp; Partner at Boston Consulting Group. She works with clients on strategic planning, market analysis, performance and sustainability improvement, organization design, talent pipeline development, and large-scale transformation.</t>
  </si>
  <si>
    <t>bankert.lina@bcg.com</t>
  </si>
  <si>
    <t>436234-51P</t>
  </si>
  <si>
    <t>Linda Matula Ph.D</t>
  </si>
  <si>
    <t>Linda</t>
  </si>
  <si>
    <t>Matula</t>
  </si>
  <si>
    <t>Dr. Linda Matula serves as Managing Director, BCG BrightHouse at Boston Consulting Group. Her recent engagements have included establishing a comprehensive employee engagement and culture activation program for a German energy company as part of a large-scale transformation, as well as engagements with an oil and gas company in the Middle East, a private bank in Germany, and a luxury household appliances brand in Europe. Before joining BCG BrightHouse, she worked for EY's People Advisory Services as a Senior Manager. She previously held marketing and advisory roles on the client side. Linda is a trained business and management coach.</t>
  </si>
  <si>
    <t>matula.linda@bcg.com</t>
  </si>
  <si>
    <t>Managing Director, BCG BrightHouse</t>
  </si>
  <si>
    <t>455610-88P</t>
  </si>
  <si>
    <t>Lindy Foo</t>
  </si>
  <si>
    <t>Lindy</t>
  </si>
  <si>
    <t>Ms. Lindy Foo serves as a Partner at Boston Consulting Group. She is a member of the Consumer, Industrial Goods, and Operations practices at the firm. She has over 15 years of experience working with both multinational corporations and family-owned businesses, across Asia Pacific and in particular Indonesia. Her clients have been in a cross-section of industries, including fast-moving consumer goods, food and beverage, personal care, retail, agriculture, and packaging. She supports clients on business growth and operations optimization topics, including end-to-end manufacturing and supply chain optimization, network strategy, last-mile delivery, industry 4.0, procurement, cost excellence, pricing, salesforce effectiveness, and go-to-market. In the current digital age, she is increasingly focused on leveraging big data, analytics, and digital tools to help digitize and automate clients' operations to unlock further value.</t>
  </si>
  <si>
    <t>l-f@bcg.com</t>
  </si>
  <si>
    <t>435125-08P</t>
  </si>
  <si>
    <t>Linus Bergstrom</t>
  </si>
  <si>
    <t>Linus</t>
  </si>
  <si>
    <t>Bergstrom</t>
  </si>
  <si>
    <t>Mr. Linus Bergstrom serves as Managing Director &amp; Partner at Boston Consulting Group. He is part of the North America Tech Capital leadership team at the firm. He is a core member of the Principal Investors &amp; Private Equity and Technology &amp; Digital Advantage practices. He has, in addition, extensive experience in strategic and operational projects for large technology and digital media companies.</t>
  </si>
  <si>
    <t>bergstrom.linus@bcg.com</t>
  </si>
  <si>
    <t>456079-24P</t>
  </si>
  <si>
    <t>Lionel Corre</t>
  </si>
  <si>
    <t>Lionel</t>
  </si>
  <si>
    <t>Corre</t>
  </si>
  <si>
    <t>Mr. Lionel Corre serves as Managing Director &amp; Partner at Boston Consulting Group. He is a core member of the firm's Insurance practice. He leads the Risk &amp; Finance for Insurance team in Paris. He covers all topics related to insurance, with particular emphasis on life insurance and CFO and CRO topics. He is an expert in insurance regulation and public policy for BCG worldwide. Prior to joining BCG, he worked for more than 15 years for the French Government and the Treasury in Paris, mostly in financial regulation.</t>
  </si>
  <si>
    <t>corre.lionel@bcg.com</t>
  </si>
  <si>
    <t>435593-89P</t>
  </si>
  <si>
    <t>Lionnel Bourgouin</t>
  </si>
  <si>
    <t>Lionnel</t>
  </si>
  <si>
    <t>Bourgouin</t>
  </si>
  <si>
    <t>Mr. Lionnel Bourgouin serves as Managing Director &amp; Partner, Leader Pricing Catalyst at Boston Consulting Group. His consulting work includes pricing strategy, new pricing models, pricing transformations and organization enablement, and net revenue management efforts (promotional effectiveness, trade optimization, etc).</t>
  </si>
  <si>
    <t>bourgouin.lionnel@bcg.com</t>
  </si>
  <si>
    <t>Managing Director &amp; Partner, Leader Pricing Catalyst</t>
  </si>
  <si>
    <t>435753-28P</t>
  </si>
  <si>
    <t>Lisa Ivers</t>
  </si>
  <si>
    <t>Ivers</t>
  </si>
  <si>
    <t>Ms. Lisa Ivers serves as Managing Director, Senior Partner &amp; Head of Africa at Boston Consulting Group. Her focus is on organization and talent in rapidly developing economies (RDEs), go-to-market in RDEs, Africa insight, change management, and international strategy.</t>
  </si>
  <si>
    <t>li@bcg.com</t>
  </si>
  <si>
    <t>Managing Director, Senior Partner &amp; Head of Africa</t>
  </si>
  <si>
    <t>455801-95P</t>
  </si>
  <si>
    <t>Lisa Krayer Ph.D</t>
  </si>
  <si>
    <t>Krayer</t>
  </si>
  <si>
    <t>Dr. Lisa Krayer serves as Principal at Boston Consulting Group. She is a core member of the firm's Technology, Media &amp; Telecommunications, Technology &amp; Digital Advantage, and Marketing, Sales &amp; Pricing practices. She has conducted in-depth research into the impact of generative AI on individuals and businesses for the BCG Henderson Institute. She has also supported thought leadership in quantum computing and other emerging/deep technologies. In her client work, she has helped define sales and R&amp;D strategies for various enterprise software and deep tech solutions, such as defining the product strategy of vertical-specific cloud solutions, defining R&amp;D roadmaps for deep tech startups, and building next best action models for various enterprise software and solutions.</t>
  </si>
  <si>
    <t>krayer.lisa@bcg.com</t>
  </si>
  <si>
    <t>435914-02P</t>
  </si>
  <si>
    <t>Lisa-Katharina Schmitz</t>
  </si>
  <si>
    <t>Lisa-Katharina</t>
  </si>
  <si>
    <t>Ms. Lisa-Katharina Schmitz serves as Managing Director &amp; Partner at Boston Consulting Group. She is a core member of BCG's Technology, Media, and Telecommunications and People &amp; Organization practices. She has extensive experience advising clients on strategic, organizational, and transformational topics. Her particular focus is on digital transformations in media, working with senior leadership teams on business strategy and operating model changes. She previously worked in the firm's Hamburg, New Delhi, and Chicago offices.</t>
  </si>
  <si>
    <t>schmitz.lisa@bcg.com</t>
  </si>
  <si>
    <t>436352-68P</t>
  </si>
  <si>
    <t>Lise Lorup Ph.D</t>
  </si>
  <si>
    <t>Lise</t>
  </si>
  <si>
    <t>Lorup</t>
  </si>
  <si>
    <t>Ms. Lise Lorup serves as a Partner at Boston Consulting Group. She is a core member of Boston Consulting Group's Consumer and Health Care practices. She works mainly with consumer goods, retail and health care clients on strategy and large-scale transformation. Her background, including a PhD in Digital Health and work with Laerdal Medical (a medtech company) gives her a unique advantage in helping clients to develop and implement new technology. With her health care clients, she is particularly interested in digital health and health care services to improve delivery.</t>
  </si>
  <si>
    <t>loerup.lise@bcg.com</t>
  </si>
  <si>
    <t>436166-56P</t>
  </si>
  <si>
    <t>Llorenc Mitjavila</t>
  </si>
  <si>
    <t>Llorenc</t>
  </si>
  <si>
    <t>Mitjavila</t>
  </si>
  <si>
    <t>Mr. Llorenc Mitjavila serves as Managing Director &amp; Senior Partner at Boston Consulting Group. He has deep functional expertise in digital transformation, data and digital platforms, AI and advanced analytics, and transformation of the tech function.</t>
  </si>
  <si>
    <t>mitjavila.llorenc@bcg.com</t>
  </si>
  <si>
    <t>148515-40P</t>
  </si>
  <si>
    <t>Loïc Mesnage</t>
  </si>
  <si>
    <t>Loïc</t>
  </si>
  <si>
    <t>Mesnage</t>
  </si>
  <si>
    <t>Mr. Loïc Mesnage serves as Managing Director &amp; Senior Partner at Boston Consulting Group. He joined the firm in January 2018 after 21 years in consulting. He is a member of the Technology Advantage and Industrial Goods practices, and he specializes in digital transformations and large technology-driven transformations. He works with clients in industrial goods, aerospace, and defense, as well as the utility and energy sectors, to solve complex business problems in IT strategy and digital transformation. He uses many levers of change, including technology, data, and new ways of working. Prior to joining the firm, he worked for PwC for 16 years, where he created and led technology consulting in France as well as the data analytics practice.</t>
  </si>
  <si>
    <t>+33 (0)5 62 27 57 57</t>
  </si>
  <si>
    <t>l-mesnage@bcg.com</t>
  </si>
  <si>
    <t>436226-86P</t>
  </si>
  <si>
    <t>Lorenz Dolezalek</t>
  </si>
  <si>
    <t>Lorenz</t>
  </si>
  <si>
    <t>Dolezalek</t>
  </si>
  <si>
    <t>Mr. Lorenz Dolezalek serves as Partner at Boston Consulting Group. He partners with CDOs to drive value creation, business transformation, and profit improvement through digitization and AI-particularly in industrial goods companies.</t>
  </si>
  <si>
    <t>dolezalek.lorenz@bcg.com</t>
  </si>
  <si>
    <t>426882-16P</t>
  </si>
  <si>
    <t>Lorenz Kunze</t>
  </si>
  <si>
    <t>Kunze</t>
  </si>
  <si>
    <t>Mr. Lorenz Kunze serves as Managing Director &amp; Partner at Boston Consulting Group. He has supported multiple commercial due diligence projects, with a focus on European health care targets, and several projects for multinational pharma companies on topics including go-to-market, pricing strategy, and analysis of strategic growth opportunities.</t>
  </si>
  <si>
    <t>lkunze@bcg.com</t>
  </si>
  <si>
    <t>435453-04P</t>
  </si>
  <si>
    <t>Lorenzo Fantini</t>
  </si>
  <si>
    <t>Lorenzo</t>
  </si>
  <si>
    <t>Fantini</t>
  </si>
  <si>
    <t>Mr. Lorenzo Fantini serves as Managing Director &amp; Partner at Boston Consulting Group. He focuses on ESG and ESG compliance across industries, primarily in Southern Europe. He has helped leading banks, insurers, industrial, and energy companies successfully complete net zero, climate risks, ESG strategy, and ESG regulations projects. He also has experience in funding and liquidity risk management.</t>
  </si>
  <si>
    <t>fantini.lorenzo@bcg.com</t>
  </si>
  <si>
    <t>456772-15P</t>
  </si>
  <si>
    <t>Lorenzo Positano</t>
  </si>
  <si>
    <t>Positano</t>
  </si>
  <si>
    <t>Mr. Lorenzo Positano serves as Managing Director &amp; Partner at Boston Consulting Group. He leads the firm's Health Care practice in Italy, Greece, Turkey, and Israel, and is a core member of BCG's global Health Care and Operations practices. He has extensive experience leading strategic, operational, and organizational transformations, both in solution design and implementation, having worked on many projects in the EU, the US, the Middle East, and Asia for global payers and providers and leaders in the biopharma and medtech industries. Before joining the firm, he worked for McKinsey &amp; Company and for Accenture.</t>
  </si>
  <si>
    <t>lorenzo.positano@bcg.com</t>
  </si>
  <si>
    <t>436396-78P</t>
  </si>
  <si>
    <t>Louis Watt</t>
  </si>
  <si>
    <t>Watt</t>
  </si>
  <si>
    <t>Mr. Louis Watt serves as Managing Director &amp; Partner at Boston Consulting Group. He has significant experience in strategy and transformation across a wide range of public sector departments and agencies in the UK and internationally. His expertise includes strategy development, complex change, organizational redesign, and capability building.</t>
  </si>
  <si>
    <t>watt.louis@bcg.com</t>
  </si>
  <si>
    <t>435638-53P</t>
  </si>
  <si>
    <t>Luc Grimond</t>
  </si>
  <si>
    <t>Grimond</t>
  </si>
  <si>
    <t>Mr. Luc Grimond serves as Managing Director &amp; Senior Partner at Boston Consulting Group. He has worked across Southeast Asia and Europe serving a broad range of clients across different industries, primarily focusing on financial services, telecommunications, the airline and hospitality industry, and high tech.</t>
  </si>
  <si>
    <t>luc.grimond@bcg.com</t>
  </si>
  <si>
    <t>456589-99P</t>
  </si>
  <si>
    <t>Lucas Chaumontet</t>
  </si>
  <si>
    <t>Chaumontet</t>
  </si>
  <si>
    <t>Mr. Lucas Chaumontet serves as Managing Director &amp; Senior Partner at Boston Consulting Group. He leads the firm in South Africa and is a member of the firm's Energy practice leadership team as global leader for Climate &amp; Sustainability in Energy. He works primarily on engagements in energy, natural resources, process industries, and infrastructure. His expertise includes capital project development, the incubation and scaling of new low-carbon businesses, corporate transformations, and national and global energy transition initiatives.</t>
  </si>
  <si>
    <t>chaumontet.lucas@bcg.com</t>
  </si>
  <si>
    <t>436407-85P</t>
  </si>
  <si>
    <t>Lucas Frenay</t>
  </si>
  <si>
    <t>Frenay</t>
  </si>
  <si>
    <t>Mr. Lucas Frenay serves as Managing Director &amp; Partner at Boston Consulting Group. He has worked with clients in many industries, including real estate, energy, automotive, technology, retail, industrial goods, manufacturing, and in particular, telecommunications.</t>
  </si>
  <si>
    <t>frenay.lucas@bcg.com</t>
  </si>
  <si>
    <t>456213-70P</t>
  </si>
  <si>
    <t>Lucas Garrido</t>
  </si>
  <si>
    <t>Garrido</t>
  </si>
  <si>
    <t>Mr. Lucas Garrido serves as Managing Director &amp; Partner at Boston Consulting Group. He leads the firm's Corporate Finance &amp; Strategy (CFS) practice for Latin America and Iberia. He is also actively involved in the firm's Energy and Industrial Goods practices, leveraging his extensive experience in these industries to support BCG's clients across the region, especially on topics related to finance or larger transformations.</t>
  </si>
  <si>
    <t>garrido.lucas@bcg.com</t>
  </si>
  <si>
    <t>436129-30P</t>
  </si>
  <si>
    <t>Lucas Quarta Ph.D</t>
  </si>
  <si>
    <t>Quarta</t>
  </si>
  <si>
    <t>Mr. Lucas Quarta serves as Managing Director &amp; Partner at Boston Consulting Group. He has also worked with many clients to shape the chief data officer agenda in terms of data vision and strategy, advanced analytics and AI, data governance, and IT architecture, leveraging both regulatory and strategic business transformation objectives.</t>
  </si>
  <si>
    <t>lucas.quarta@bcg.com</t>
  </si>
  <si>
    <t>435813-49P</t>
  </si>
  <si>
    <t>Lucas Zuquim</t>
  </si>
  <si>
    <t>Zuquim</t>
  </si>
  <si>
    <t>Mr. Lucas Zuquim serves as Managing Director &amp; Partner at Boston Consulting Group. He is a specialist in strategy development projects, operational efficiency, and major transformation programs implementation.</t>
  </si>
  <si>
    <t>zuquim.lucas@bcg.com</t>
  </si>
  <si>
    <t>436314-34P</t>
  </si>
  <si>
    <t>Luciano Guidolin</t>
  </si>
  <si>
    <t>Luciano</t>
  </si>
  <si>
    <t>Guidolin</t>
  </si>
  <si>
    <t>Mr. Luciano Guidolin serves as Managing Director &amp; Partner at Boston Consulting Group. His expertise spans strategy, finance, operations, and reorganization. He is a core member of the firm's Industrial Goods practice.</t>
  </si>
  <si>
    <t>guidolin.luciano@bcg.com</t>
  </si>
  <si>
    <t>436231-90P</t>
  </si>
  <si>
    <t>Lucyann Murray</t>
  </si>
  <si>
    <t>Lucyann</t>
  </si>
  <si>
    <t>Ms. Lucyann Murray serves as Partner at Boston Consulting Group. She maintains a passionate advocacy for nature in her work, concentrating on how water, land use, forests, ecosystems, and biodiversity are intricately intertwined with operations, supply chains, and surrounding communities.</t>
  </si>
  <si>
    <t>murray.lucyann@bcg.com</t>
  </si>
  <si>
    <t>436339-00P</t>
  </si>
  <si>
    <t>Ludger Kupper</t>
  </si>
  <si>
    <t>Ludger</t>
  </si>
  <si>
    <t>Kupper</t>
  </si>
  <si>
    <t>Mr. Ludger Kupper serves as Managing Director, BCG Platinion at Boston Consulting Group. He is head of core technology transformation in financial institutions for Europe, the Middle East, South America, and Africa (EMESA) for BCG Platinion, a division of Boston Consulting Group focused on IT implementation and risk management services. He focuses on core modernization, IT architecture, IT strategy, and M&amp;A/tech due diligence for financial institutions. In addition, he has led several decommissioning programs. Before joining BCG, Mr. Kupper was Founder &amp; Managing Partner of movatis GmbH. Before that, he was a Project Manager for Business Solution Technology at SAP SE.</t>
  </si>
  <si>
    <t>ludger@bcg.com</t>
  </si>
  <si>
    <t>296279-92P</t>
  </si>
  <si>
    <t>Luis Barallat</t>
  </si>
  <si>
    <t>Barallat</t>
  </si>
  <si>
    <t>Mr. Luis Barallat serves as Managing Director &amp; Senior Partner at Boston Consulting Group. Since joining BCG in 2000, Mr. Barallat has developed deep expertise across the energy value chain. He has worked with leading companies on a wide array of topics, with a particular focus on growth strategies, large-scale transformation, and sustainability.</t>
  </si>
  <si>
    <t>luis.barallat@bcg.com</t>
  </si>
  <si>
    <t>455375-08P</t>
  </si>
  <si>
    <t>Luis Denia</t>
  </si>
  <si>
    <t>Denia</t>
  </si>
  <si>
    <t>Mr. Luis Denia serves as Managing Director &amp; Partner at Boston Consulting Group. He leads the Principal Investors &amp; Private Equity (PIPE) practice in Iberia and is a core member of the Consumer practice at the firm. He leads transaction and portfolio work for private-equity-owned companies across different industries. He has led several value creation engagements for these companies, from broad full-potential plans to specific initiatives that accelerate value creation, including growth plans, operational efficiency, and organizational design. In addition, he serves clients in the consumer space, from fashion retailers to fast-moving consumer goods. He has led projects on strategy, commercial processes, organization, and digitally enabled use cases.</t>
  </si>
  <si>
    <t>denia.luis@bcg.com</t>
  </si>
  <si>
    <t>435831-31P</t>
  </si>
  <si>
    <t>Luis Leon</t>
  </si>
  <si>
    <t>Mr. Luis Leon serves as Managing Director &amp; Partner at Boston Consulting Group. He has worked with major global airlines and other travel-related clients on a range of commercial, operational, and strategy issues, delivering tangible and measured top- and bottom-line results.</t>
  </si>
  <si>
    <t>leon.luis@bcg.com</t>
  </si>
  <si>
    <t>435284-56P</t>
  </si>
  <si>
    <t>Lukas Haider Ph.D</t>
  </si>
  <si>
    <t>Lukas</t>
  </si>
  <si>
    <t>Haider</t>
  </si>
  <si>
    <t>Mr. Lukas Haider serves as Managing Director &amp; Senior Partner at Boston Consulting Group. He has advised leading US and European financial institutions in their retail, corporate and private banking businesses.</t>
  </si>
  <si>
    <t>haider.lukas@bcg.com</t>
  </si>
  <si>
    <t>456388-39P</t>
  </si>
  <si>
    <t>Lukasz Rey</t>
  </si>
  <si>
    <t>Lukasz</t>
  </si>
  <si>
    <t>Mr. Lukasz Rey serves as Managing Director &amp; Partner at Boston Consulting Group. He leads the firm's Financial Institutions (FI) practice in the Middle East. He is most recognized for his expertise in addressing issues related to growth strategy, digital advantage, big data utilization, personalization, and post-merger integration. Prior to joining BCG, he worked as a consultant for a prominent advisory firm.</t>
  </si>
  <si>
    <t>rey.lukasz@bcg.com</t>
  </si>
  <si>
    <t>195936-40P</t>
  </si>
  <si>
    <t>Maarten Bekking</t>
  </si>
  <si>
    <t>Maarten</t>
  </si>
  <si>
    <t>Bekking</t>
  </si>
  <si>
    <t>Mr. Maarten Bekking serves as Partner &amp; Managing Director at Boston Consulting Group. He is a core member of The Boston Consulting Group's Principal Investors and Private Equity practice (PIPE), and he works with clients across the Benelux and DACH region. Since joining BCG in 2004, Maarten has led numerous (&gt;60) transactions through buy-side and sell-side commercial due diligence efforts. In addition, Maarten also works on "full potential plans" to design and drive the value creation agenda at newly acquired companies. His sector expertise spans across industrial goods and business services, covering sectors such as 3D printing, chemical distribution, on- and off-shore equipment and services, building materials, car leasing, and parking. Maarten has performed multiple commercial (vendor) due diligence projects in both B2B and B2C consumer goods and retail, working with clients in a.o. luxury watches, sports drinks, casinos, cleaning services, bottling, and holiday parks. As part of his transaction expertise, he also has deep experience in the field of corporate M&amp;A, where Maarten worked on multiple carve-outs and designed separation strategies.</t>
  </si>
  <si>
    <t>m-b@bcg.com</t>
  </si>
  <si>
    <t>455552-20P</t>
  </si>
  <si>
    <t>Maciej Gerhardt</t>
  </si>
  <si>
    <t>Maciej</t>
  </si>
  <si>
    <t>Gerhardt</t>
  </si>
  <si>
    <t>Mr. Maciej Gerhardt serves as a Partner at Boston Consulting Group. He is the Consumer/Retail Practice Leader for Poland and a core member of the Consumer Practice in Central Europe at the firm. His client work focuses on stakeholder engagement and client enablement in the areas of growth (strategy, sales force effectiveness), large-scale transformations (PMIs, digital transformations), and margin improvement (pricing, sourcing strategy, COGS reduction). Prior to joining BCG, he was a consultant in the business advisory department at a Big Four firm based in London.</t>
  </si>
  <si>
    <t>gerhardt.maciej@bcg.com</t>
  </si>
  <si>
    <t>436228-93P</t>
  </si>
  <si>
    <t>Madjar Navah</t>
  </si>
  <si>
    <t>Madjar</t>
  </si>
  <si>
    <t>Navah</t>
  </si>
  <si>
    <t>Mr. Madjar Navah serves as Managing Director &amp; Partner at Boston Consulting Group. He has led global transformation programs across all phases from strategy to design to implementation for both family and non-family businesses.</t>
  </si>
  <si>
    <t>navah.madjar@bcg.com</t>
  </si>
  <si>
    <t>436200-67P</t>
  </si>
  <si>
    <t>Mads Ulstrup</t>
  </si>
  <si>
    <t>Mads</t>
  </si>
  <si>
    <t>Ulstrup</t>
  </si>
  <si>
    <t>Mr. Mads Ulstrup serves as Managing Director &amp; Partner at Boston Consulting Group. He works with national, regional, and global private capital investors and corporations on commercial buy- and sell-side due diligences, value acceleration (including full potential plans, PMI, 100-day programs, transformation, growth, and M&amp;A roll-up strategy), and fund investment strategy.</t>
  </si>
  <si>
    <t>mads.ulstrup@bcg.com</t>
  </si>
  <si>
    <t>435129-49P</t>
  </si>
  <si>
    <t>Madura Jayatunga Ph.D</t>
  </si>
  <si>
    <t>Madura</t>
  </si>
  <si>
    <t>Jayatunga</t>
  </si>
  <si>
    <t>Mr. Madura Jayatunga serves as Partner at Boston Consulting Group. He has helped clients understand the impact of new innovations; define their investment strategy; and change their operating models, ways of working, technology stack, and governance to maximize the impact across their R&amp;D organizations.</t>
  </si>
  <si>
    <t>jayatunga.madura@bcg.com</t>
  </si>
  <si>
    <t>435821-50P</t>
  </si>
  <si>
    <t>Mael Robin</t>
  </si>
  <si>
    <t>Mael</t>
  </si>
  <si>
    <t>Mr. Mael Robin serves as Managing Director &amp; Partner at Boston Consulting Group. He has been involved in over 20 engagements, mostly in retail banking, asset management, and insurance.</t>
  </si>
  <si>
    <t>robin.mael@bcg.com</t>
  </si>
  <si>
    <t>435662-02P</t>
  </si>
  <si>
    <t>Magen Xia</t>
  </si>
  <si>
    <t>Magen</t>
  </si>
  <si>
    <t>Xia</t>
  </si>
  <si>
    <t>Ms. Magen Xia serves as Managing Director &amp; Partner at Boston Consulting Group. Her recent project experience includes helping a prominent insurer's development in a healthcare industry park focusing on provider businesses, assessing a private general hospital chain business for a global investor, and evaluating the feasibility of cooperation between an investor and an international hospital to jointly establish a new hospital for women and children in South China.</t>
  </si>
  <si>
    <t>xia.magen@bcg.com</t>
  </si>
  <si>
    <t>436419-10P</t>
  </si>
  <si>
    <t>Maggie Orr</t>
  </si>
  <si>
    <t>Orr</t>
  </si>
  <si>
    <t>Ms. Maggie Orr serves as Managing Director &amp; Partner at Boston Consulting Group. Her focus is on labor optimization and process redesign. In addition, she leads the firm's efforts on AI capabilities in retail operations including forecasting, scheduling, and workforce management.</t>
  </si>
  <si>
    <t>orr.maggie@bcg.com</t>
  </si>
  <si>
    <t>435649-24P</t>
  </si>
  <si>
    <t>Maggie Schear</t>
  </si>
  <si>
    <t>Schear</t>
  </si>
  <si>
    <t>Ms. Maggie Schear serves as Managing Director at Boston Consulting Group. Her expertise includes development of purpose-based brand strategy, organizational transformation, and social impact strategy and messaging.</t>
  </si>
  <si>
    <t>schear.maggie@bcg.com</t>
  </si>
  <si>
    <t>436280-05P</t>
  </si>
  <si>
    <t>Magin Yanez</t>
  </si>
  <si>
    <t>Magin</t>
  </si>
  <si>
    <t>Yanez</t>
  </si>
  <si>
    <t>Mr. Magin Yanez serves as Managing Director &amp; Senior Partner at Boston Consulting Group. He is also a core member of the Industrial Goods practice with a special interest in smart mobility and infrastructures.</t>
  </si>
  <si>
    <t>yanez.magin@bcg.com</t>
  </si>
  <si>
    <t>71962-12P</t>
  </si>
  <si>
    <t>Magnus Proesch</t>
  </si>
  <si>
    <t>Magnus</t>
  </si>
  <si>
    <t>Proesch</t>
  </si>
  <si>
    <t>Mr. Magnus Proesch serves as Managing Director &amp; Partner at Boston Consulting Group. He is a core member of the Corporate Finance &amp; Strategy and Consumer practices at the firm, specializing in corporate finance and CFO excellence. Before rejoining BCG, Mr. Proesch served as an Investment Director at FSN Capital and held a board position at ODLO. He previously worked as an Associate at Herkules Capital, having joined the firm in August 2011. During his tenure there, he was part of the investment team overseeing Enoro, with a sector focus spanning telecom and media, consumer goods, and retail. He holds an MSc (Distinction) in Management Research from Said Business School, Oxford University, and a BSc in Economics and Business Administration from the Norwegian School of Economics (NHH).</t>
  </si>
  <si>
    <t>proesch.magnus@bcg.com</t>
  </si>
  <si>
    <t>434798-56P</t>
  </si>
  <si>
    <t>Mai-Britt Poulsen</t>
  </si>
  <si>
    <t>Mai-Britt</t>
  </si>
  <si>
    <t>Poulsen</t>
  </si>
  <si>
    <t>Ms. Mai-Britt Poulsen serves as Managing Director &amp; Senior Partner at Boston Consulting Group. She specializes in consumer goods and has significant experience in large-scale transformation and performance improvement programs, corporate strategy and M&amp;A, go-to-market strategies, and other topics including leadership, change management, and enablement.</t>
  </si>
  <si>
    <t>mai-britt.poulsen@bcg.com</t>
  </si>
  <si>
    <t>435447-55P</t>
  </si>
  <si>
    <t>Maikel Wilms</t>
  </si>
  <si>
    <t>Maikel</t>
  </si>
  <si>
    <t>Wilms</t>
  </si>
  <si>
    <t>Mr. Maikel Wilms serves as Partner &amp; Director, Communications at Boston Consulting Group. He has worked extensively with leading telcos for more than 15 years on multiple projects, with a focus on network strategy and roll-out and on B2B commercial strategies.</t>
  </si>
  <si>
    <t>wilms.maikel@bcg.com</t>
  </si>
  <si>
    <t>Partner &amp; Director, Communications</t>
  </si>
  <si>
    <t>455883-40P</t>
  </si>
  <si>
    <t>Maki Hasegawa</t>
  </si>
  <si>
    <t>Maki</t>
  </si>
  <si>
    <t>Ms. Maki Hasegawa serves as Managing Director &amp; Partner at Boston Consulting Group. She is a core member of the firm's Technology, Media &amp; Telecommunications, and Marketing, Sales &amp; Pricing practices. She works closely with technology and media (internet and traditional) companies on medium- to long-term strategy formulation, sales reform, new business development and promotion, and mission-critical system implementation.</t>
  </si>
  <si>
    <t>hasegawa.maki@bcg.com</t>
  </si>
  <si>
    <t>435665-98P</t>
  </si>
  <si>
    <t>Makio Kitazawa</t>
  </si>
  <si>
    <t>Makio</t>
  </si>
  <si>
    <t>Kitazawa</t>
  </si>
  <si>
    <t>Mr. Makio Kitazawa serves as Managing Director &amp; Senior Partner at Boston Consulting Group. He has worked with a wide range of health care companies, health care providers, and health related financial services clients over the course of his career.</t>
  </si>
  <si>
    <t>kitazawa.makio@bcg.com</t>
  </si>
  <si>
    <t>456268-06P</t>
  </si>
  <si>
    <t>Makoto Morihara</t>
  </si>
  <si>
    <t>Makoto</t>
  </si>
  <si>
    <t>Morihara</t>
  </si>
  <si>
    <t>Mr. Makoto Morihara serves as Managing Director &amp; Partner at Boston Consulting Group. He is a core member of BCG's Public Sector and Climate &amp; Sustainability practices. He works with clients in the public sector, including central government agencies and a wide range of industries, on supporting policy making and domestic and international rulemaking strategy formulation. He has extensive experience supporting economic security, climate change, smart cities, and regional development.</t>
  </si>
  <si>
    <t>morihara.makoto@bcg.com</t>
  </si>
  <si>
    <t>455978-17P</t>
  </si>
  <si>
    <t>Mamello Selamolela</t>
  </si>
  <si>
    <t>Mamello</t>
  </si>
  <si>
    <t>Selamolela</t>
  </si>
  <si>
    <t>Ms. Mamello Selamolela serves as a Partner at Boston Consulting Group. She is a core member of the Technology, Media &amp; Telecommunications (TMT) practice focused on TMT in emerging markets. She is also affiliated with the Social Impact and Technology &amp; Digital Advantage practices, with a particular interest in the intersection of social impact and technology. Before joining BCG, she held various positions at Vodacom Group, most recently as Managing Executive, Group Strategy &amp; Innovation. Before that, she worked at MTN in South Africa and McKinsey &amp; Company in South Africa and London.</t>
  </si>
  <si>
    <t>mamello.selamolela@bcg.com</t>
  </si>
  <si>
    <t>435276-37P</t>
  </si>
  <si>
    <t>Manabu Kohyama</t>
  </si>
  <si>
    <t>Manabu</t>
  </si>
  <si>
    <t>Kohyama</t>
  </si>
  <si>
    <t>Mr. Manabu Kohyama serves as Managing Director &amp; Partner at Boston Consulting Group. He is a core member of BCG's Energy; Marketing, Sales &amp; Pricing; Industrial Goods; and People &amp; Organization practices.</t>
  </si>
  <si>
    <t>kohyama.manabu@bcg.com</t>
  </si>
  <si>
    <t>435442-06P</t>
  </si>
  <si>
    <t>Mandeep Kohli</t>
  </si>
  <si>
    <t>Kohli</t>
  </si>
  <si>
    <t>Mr. Mandeep Kohli serves as Managing Director &amp; Partner at Boston Consulting Group. He has worked extensively with leading Indian heritage and global IT services clients, as well as traditional and digital media players, on the topics of strategy formulation (market entry, turnaround, roadmaps), driving sales excellence, running proactive sales programs, cost effectiveness programs, lean operations, implementation (program management, reviews, and facilitation), big data, analytics, and personalization.</t>
  </si>
  <si>
    <t>kohli.mandeep@bcg.com</t>
  </si>
  <si>
    <t>456687-91P</t>
  </si>
  <si>
    <t>Manfred Beck</t>
  </si>
  <si>
    <t>Manfred</t>
  </si>
  <si>
    <t>Mr. Manfred Beck serves as Partner &amp; Director at Boston Consulting Group. He is a core member of the firm's Industrial Goods practice, specializing in the automotive industry. He leads the firm's efforts in the automotive supplier business. He leads BCG's work with automotive suppliers and has advised OEMs and tier-one companies on global growth strategies, cost improvement, and acquisitions since first joining BCG in 1996. Between 2004 and 2013, Mr. Beck held senior leadership roles at a global supplier, including Global Head of Corporate Development and CFO of its Brazilian operations, where he drove product and regional strategies, business development, and bank negotiations during the global financial crisis. Before first joining BCG, he worked in the corporate development department of Daimler.</t>
  </si>
  <si>
    <t>beck.manfred@bcg.com</t>
  </si>
  <si>
    <t>455870-26P</t>
  </si>
  <si>
    <t>Manoj Kothiyal</t>
  </si>
  <si>
    <t>Kothiyal</t>
  </si>
  <si>
    <t>Mr. Manoj Kothiyal serves as Managing Director &amp; Partner at Boston Consulting Group. As a core member of the firm's Consumer, Industrial Goods, and Operations practices, Mr. Kothiyal focuses on large-scale data science transformations, digital manufacturing, and supply chain programs. He specializes in digital and AI/machine learning transformation topics, as well as the cloud and product management. He is the tech lead for BCG's digital and AI manufacturing platform, Manufacturing AI by BCG X, and leads BCG's proprietary supply chain network product, Supply Network Optimization by BCG X. Before coming to BCG, he was a Founding Member and Head of Data Sciences Group at WNS, India, and Group Manager, Data Science consulting.</t>
  </si>
  <si>
    <t>manoj.kothiyal@bcg.com</t>
  </si>
  <si>
    <t>435124-27P</t>
  </si>
  <si>
    <t>Manuel Diehn Ph.D</t>
  </si>
  <si>
    <t>Diehn</t>
  </si>
  <si>
    <t>Dr. Manuel Diehn serves as Principal - Data Scientist at Boston Consulting Group. He is a principal data scientist and a core member of the firm's Financial Institutions practice. He is an expert in prescriptive analysis, machine learning, data engineering, time series analysis, and probabilistic risk analysis.</t>
  </si>
  <si>
    <t>diehn.manuel@bcg.com</t>
  </si>
  <si>
    <t>Principal - Data Scientist</t>
  </si>
  <si>
    <t>435827-98P</t>
  </si>
  <si>
    <t>Manuel Luiz</t>
  </si>
  <si>
    <t>Luiz</t>
  </si>
  <si>
    <t>Mr. Manuel Luiz serves as Managing Director &amp; Partner at Boston Consulting Group. He has worked extensively in cost optimization and efficiency, human resources, change management, and organizational restructuring, and is an expert in Smart Simplicity.</t>
  </si>
  <si>
    <t>luiz.manuel@bcg.com</t>
  </si>
  <si>
    <t>456744-88P</t>
  </si>
  <si>
    <t>Marc Franke Ph.D</t>
  </si>
  <si>
    <t>Franke</t>
  </si>
  <si>
    <t>Dr. Marc Franke serves as Partner &amp; Associate Director at Boston Consulting Group. He is a core member of the firm's Tech and Digital Advantage Practice and leads the BCG Digital Acceleration Index product. He is a topic expert in digital transformation with experience working with clients across industries, including public services, consumer goods, pharmaceuticals, industrial goods, utilities, and insurance. He joined the firm in 2014 after having worked for Accenture and BearingPoint.</t>
  </si>
  <si>
    <t>435127-69P</t>
  </si>
  <si>
    <t>Marc Giesener</t>
  </si>
  <si>
    <t>Giesener</t>
  </si>
  <si>
    <t>Mr. Marc Giesener serves as Managing Director &amp; Partner at Boston Consulting Group. He primarily works on engagements in industrial goods, the public sector, aerospace and defense, defense and security, and technology. He has expertise in a wide range of topics including strategy, due diligence, operations, acquisition, procurement, open systems, innovation, and large-scale transformation.</t>
  </si>
  <si>
    <t>giesener.marc@bcg.com</t>
  </si>
  <si>
    <t>456751-09P</t>
  </si>
  <si>
    <t>Marc Gilbert</t>
  </si>
  <si>
    <t>Gilbert</t>
  </si>
  <si>
    <t>Mr. Marc Gilbert serves as Managing Director, Senior Partner &amp; Global Lead, Center for Geopolitics at Boston Consulting Group. He is a core member of the Industrial Goods and Consumer practices at the firm and a leader in BCG's Global Advantage and Operations practices. He leads the firm's work in geopolitics and trade impact within the Global Advantage practice and is the global lead of BCG's Center for Geopolitics. Prior to joining BCG, he worked at Merck &amp; Co. in its manufacturing division, in process and new product engineering, and in new plant design. He also worked for Merck's specialty chemicals division.</t>
  </si>
  <si>
    <t>gilbert.marc@bcg.com</t>
  </si>
  <si>
    <t>Managing Director, Senior Partner &amp; Global Lead, Center for Geopolitics</t>
  </si>
  <si>
    <t>436236-49P</t>
  </si>
  <si>
    <t>Marc Papritz</t>
  </si>
  <si>
    <t>Papritz</t>
  </si>
  <si>
    <t>Mr. Marc Papritz serves as Managing Director &amp; Senior Partner at Boston Consulting Group. He is a core member of BCG's Technology &amp; Digital Advantage and Financial Institutions practices. His fields of expertise include asset-based finance, risk-IT, core bank migrations, and steering of large-scale IT projects. Before joining BCG, he founded an IT enterprise and acted as a general manager for several IT and multimedia companies, including serving as CIO at Trio Group, a leading German advertising agency.</t>
  </si>
  <si>
    <t>papritz.marc@bcg.com</t>
  </si>
  <si>
    <t>435447-10P</t>
  </si>
  <si>
    <t>Marc Pauly</t>
  </si>
  <si>
    <t>Pauly</t>
  </si>
  <si>
    <t>Mr. Marc Pauly serves as Partner &amp; Director at Boston Consulting Group. He has worked with banks and other financial institutions on (among other things) retention, cross-sell, and other use cases; evaluation and prioritization of advanced analytics; statistical model development, calibration, and implementation of credit rating systems, collections tools, and early warning tools; and credit process integration.</t>
  </si>
  <si>
    <t>pauly.marc@bcg.com</t>
  </si>
  <si>
    <t>456587-74P</t>
  </si>
  <si>
    <t>Marc Schmidt</t>
  </si>
  <si>
    <t>Mr. Marc Schmidt serves as Managing Director &amp; Senior Partner at Boston Consulting Group. He is a core member of the Energy, Industrial Goods, Operations, and People &amp; Organization practices at the firm. He works primarily with clients across Southeast Asia. He focuses on advising clients in the energy upstream, natural resources, and infrastructure sectors. He has acquired deep expertise in commercial and operational excellence, large-capital-project management, and strategy. Before joining BCG, he was a project manager with Bayer Material Science in Germany.</t>
  </si>
  <si>
    <t>schmidt.marc@bcg.com</t>
  </si>
  <si>
    <t>434833-66P</t>
  </si>
  <si>
    <t>Marc Schuster</t>
  </si>
  <si>
    <t>Schuster</t>
  </si>
  <si>
    <t>Mr. Marc Schuster serves as Managing Director &amp; Partner at Boston Consulting Group. He has extensive experience in financial services, having helped banks define and operationalize their net-zero strategy, and become more efficient and effective as they transition to a more sustainable future.</t>
  </si>
  <si>
    <t>m.schuster@bcg.com</t>
  </si>
  <si>
    <t>435807-10P</t>
  </si>
  <si>
    <t>Marc Schuuring</t>
  </si>
  <si>
    <t>Schuuring</t>
  </si>
  <si>
    <t>Mr. Marc Schuuring serves as Managing Director &amp; Senior Partner at Boston Consulting Group. He has deep experience in technology-enabled strategies, transformation, and enterprise architecture.</t>
  </si>
  <si>
    <t>schuuring.marc@bcg.com</t>
  </si>
  <si>
    <t>455900-14P</t>
  </si>
  <si>
    <t>Marc Sterman</t>
  </si>
  <si>
    <t>Sterman</t>
  </si>
  <si>
    <t>Mr. Marc Sterman serves as Managing Director, BCG Platinion at Boston Consulting Group. He has more than 25 years of experience applying technology in financial services and other industries. He is a leader of BCG Platinion's global architecture and North American data and digital platforms teams, and is a member of the financial industry's leadership team. His clients have included, among others, a government agency, banks and financial institutions, and an entertainment company. Prior to joining BCG Platinion, he worked for Credit Suisse, Knightsbridge Solution/HP, PW/PwC/IBM, and DRT Systems.</t>
  </si>
  <si>
    <t>sterman.marc@bcg.com</t>
  </si>
  <si>
    <t>435840-49P</t>
  </si>
  <si>
    <t>Marc Vos</t>
  </si>
  <si>
    <t>Vos</t>
  </si>
  <si>
    <t>Mr. Marc Vos serves as Managing Director &amp; Senior Partner at Boston Consulting Group. He is a core member of the Technology, Media &amp; Telecommunications (TMT) practice at The Boston Consulting Group.</t>
  </si>
  <si>
    <t>vos.marc@bcg.com</t>
  </si>
  <si>
    <t>435422-35P</t>
  </si>
  <si>
    <t>Marc Wunderlich</t>
  </si>
  <si>
    <t>Mr. Marc Wunderlich serves as Managing Director at Boston Consulting Group. He is a core member of Boston Consulting Group's Technology &amp; Digital Advantage and Energy practices, and the node for technology and digital advantage in the Energy practice for Central Europe.</t>
  </si>
  <si>
    <t>wunderlich.marc@bcg.com</t>
  </si>
  <si>
    <t>435834-46P</t>
  </si>
  <si>
    <t>Marc-Andre Drillose</t>
  </si>
  <si>
    <t>Marc-Andre</t>
  </si>
  <si>
    <t>Drillose</t>
  </si>
  <si>
    <t>Mr. Marc-Andre Drillose serves as Managing Director &amp; Partner at Boston Consulting Group. He is an expert in digital transformation and IT. In the last several years he had a strong focus on advising his clients on how to create sustainable value from digital.</t>
  </si>
  <si>
    <t>drillose.marc-andre@bcg.com</t>
  </si>
  <si>
    <t>436420-45P</t>
  </si>
  <si>
    <t>Marcel Sieke Ph.D</t>
  </si>
  <si>
    <t>Sieke</t>
  </si>
  <si>
    <t>Mr. Marcel Sieke serves as Partner &amp; Associate Director at Boston Consulting Group. He is an expert on supply chain strategy, artificial intelligence (AI), digital supply chain, advanced planning, and after-market supply chains.</t>
  </si>
  <si>
    <t>sieke.marcel@bcg.com</t>
  </si>
  <si>
    <t>455952-43P</t>
  </si>
  <si>
    <t>Marcelle Goncalves</t>
  </si>
  <si>
    <t>Marcelle</t>
  </si>
  <si>
    <t>Goncalves</t>
  </si>
  <si>
    <t>Ms. Marcelle Goncalves serves as a Partner at Boston Consulting Group. She is a core member of the firm's Industrial Goods and Energy practices. She works with clients, primarily industrial goods and energy companies, on operations and supply chain, infrastructure, capex optimization, transformations and turnarounds, geoanalytics, resource allocation strategy, and commercial strategy. She has worked on engagements in Brazil and abroad, including the Middle East and the US. Before joining BCG, she worked at Tarpon Investimentos, SOMOS Educação, Banco BBM, and Nokia.</t>
  </si>
  <si>
    <t>goncalves.marcelle@bcg.com</t>
  </si>
  <si>
    <t>435446-47P</t>
  </si>
  <si>
    <t>Marcial Gonzalez</t>
  </si>
  <si>
    <t>Marcial</t>
  </si>
  <si>
    <t>Mr. Marcial Gonzalez serves as Managing Director &amp; Partner at Boston Consulting Group. He is a core member of the firm's worldwide Technology Advantage, Financial Institutions, and Energy practices, and one of the firm's experts in digital acceleration. He has broad experience in digital topics in a variety of industries (including banks, insurance companies, private equity, energy, and airlines) and in many countries across the Americas. Prior to joining BCG, he was an officer in the Chilean Navy for ten years, and worked for three years in the private sector, primarily in the energy field.</t>
  </si>
  <si>
    <t>gonzalez.marcial@bcg.com</t>
  </si>
  <si>
    <t>195925-24P</t>
  </si>
  <si>
    <t>Marcin Jedrzejewski</t>
  </si>
  <si>
    <t>Marcin</t>
  </si>
  <si>
    <t>Jedrzejewski</t>
  </si>
  <si>
    <t>Mr. Marcin Jedrzejewski serves as Senior Advisor at Boston Consulting Group. Mr. Jedrzejewski previously served as Partner &amp; Assistant Director at Boston Consulting Group. He served as Assistant Director at Boston Consulting Group. He is a core member of the Energy, Industrial Goods, and Operations practices at the firm. He has many years of industry and consulting expertise. Since joining BCG in 2011, He has focused his client work on the energy and industrial sectors in Poland and the Middle East. Before joining BCG, Marcin worked with A.T. Kearney.</t>
  </si>
  <si>
    <t>m-j@bcg.com</t>
  </si>
  <si>
    <t>195926-32P</t>
  </si>
  <si>
    <t>Marcin Kotlarek</t>
  </si>
  <si>
    <t>Kotlarek</t>
  </si>
  <si>
    <t>Mr. Marcin Kotlarek serves as a Partner and director at Boston Consulting Group. He is a core member of the Financial Institutions practice at The Boston Consulting Group. Mr. Kotlarek is also a member of the firm's Consumer, Strategy, and Marketing, Sales &amp; Pricing practices. Since joining BCG in 2000, Mr. Kotlarek has focused his client work on the financial services and consumer goods sectors. He has acquired deep experience in retail banking and private equity.</t>
  </si>
  <si>
    <t>m-k@bcg.com</t>
  </si>
  <si>
    <t>435433-96P</t>
  </si>
  <si>
    <t>Marco Biselli</t>
  </si>
  <si>
    <t>Biselli</t>
  </si>
  <si>
    <t>Mr. Marco Biselli serves as Managing Director &amp; Senior Partner at Boston Consulting Group. He is a core member of the Energy and Corporate Development practices at the firm. Before joining BCG, he worked at ITM Channel Marketing and at Pirelli Tires (Milan) and he worked as MBA summer associate at Grupo Boticário.</t>
  </si>
  <si>
    <t>biselli.marco@bcg.com</t>
  </si>
  <si>
    <t>436344-76P</t>
  </si>
  <si>
    <t>Marco Tonegutti</t>
  </si>
  <si>
    <t>Tonegutti</t>
  </si>
  <si>
    <t>Mr. Marco Tonegutti serves as Managing Director &amp; Senior Partner at Boston Consulting Group. He has served many international, national, and independent energy and industrial companies across Europe, the Middle East, Asia and Africa.</t>
  </si>
  <si>
    <t>tonegutti.marco@bcg.com</t>
  </si>
  <si>
    <t>435334-15P</t>
  </si>
  <si>
    <t>Marcos Aguiar Ph.D</t>
  </si>
  <si>
    <t>Marcos</t>
  </si>
  <si>
    <t>Aguiar</t>
  </si>
  <si>
    <t>Mr. Marcos Aguiar serves as Managing Director &amp; Senior Partner at Boston Consulting Group. He also serves as a Board Member at Catarina Fund. He has acquired expertise in insight and agenda-setting for transformations in Brazil. He is an expert in tools for modeling and supporting decision-making, and helping executive teams and boards in the rapid development of strategic agendas.</t>
  </si>
  <si>
    <t>aguiar.marcos@bcg.com</t>
  </si>
  <si>
    <t>435023-11P</t>
  </si>
  <si>
    <t>Marcus Ehrhardt Ph.D</t>
  </si>
  <si>
    <t>Marcus</t>
  </si>
  <si>
    <t>Ehrhardt</t>
  </si>
  <si>
    <t>Mr. Marcus Ehrhardt serves as Managing Director &amp; Senior Partner at Boston Consulting Group. He is an expert in digital and analytics in biopharma operations. Marcus has broad international experience working with executive teams and clients from biopharma/biotech, medtech, animal health companies, and CMOs and private equity firms across the globe.</t>
  </si>
  <si>
    <t>ehrhardt.marcus@bcg.com</t>
  </si>
  <si>
    <t>434931-58P</t>
  </si>
  <si>
    <t>Marcus Kroth Ph.D</t>
  </si>
  <si>
    <t>Kroth</t>
  </si>
  <si>
    <t>Mr. Marcus Kroth serves as Managing Director &amp; Partner at Boston Consulting Group. He covers a broad range of topics, including corporate strategy and growth, commercial excellence, and digitization and advanced analytics.</t>
  </si>
  <si>
    <t>kroth.marcus@bcg.com</t>
  </si>
  <si>
    <t>435010-60P</t>
  </si>
  <si>
    <t>Marcus Wittig</t>
  </si>
  <si>
    <t>Wittig</t>
  </si>
  <si>
    <t>Mr. Marcus Wittig serves as Managing Director &amp; Partner at Boston Consulting Group. He is the firm's global lead for GenAI in operations, data and AI in service operations, and cost and productivity in communication service providers. Prior to working for BCG, Marcus worked for Daimler-Chrysler AG in finance and accounting and T-Systems in portfolio management.</t>
  </si>
  <si>
    <t>wittig.marcus@bcg.com</t>
  </si>
  <si>
    <t>455826-97P</t>
  </si>
  <si>
    <t>Margaret Ayers</t>
  </si>
  <si>
    <t>Ayers</t>
  </si>
  <si>
    <t>Ms. Margaret Ayers serves as a Partner at Boston Consulting Group. She is a core member of the firm's Health Care and Tech &amp; Digital Advantage practices. She focuses on tech, digital, and AI across all health care industries, including pharma, medtech, providers, and health tech. She works with large and small companies to change how health care is delivered through digital, data, and analytics. Before joining the firm, she worked at Halo Neuroscience and State Street Bank.</t>
  </si>
  <si>
    <t>ayers.margaret@bcg.com</t>
  </si>
  <si>
    <t>436416-76P</t>
  </si>
  <si>
    <t>Maria Enderiz</t>
  </si>
  <si>
    <t>Enderiz</t>
  </si>
  <si>
    <t>Ms. Maria Enderiz serves as Managing Director &amp; Partner at Boston Consulting Group. She is a core member of the firm's Energy and Climate &amp; Sustainability practices. She is also a core member of the Travel, Cities &amp; Infrastructure practice with a special interest in environmental services (waste and water management). She focuses on projects involving strategy, operations, and large-scale transformation programs, working with clients in Iberia, Latin America, and the US. She has particular experience with utilities, and is an expert on renewables and sustainable business innovation.</t>
  </si>
  <si>
    <t>enderiz.maria@bcg.com</t>
  </si>
  <si>
    <t>436214-53P</t>
  </si>
  <si>
    <t>Maria Lopez Ph.D</t>
  </si>
  <si>
    <t>Ms. Maria Lopez serves as Managing Director &amp; Partner at Boston Consulting Group. She has worked primarily in the health care industry, helping clients address their most critical challenges in business (strategy, sales, and market access) and organization (reorganization design, new ways of working, and change management).</t>
  </si>
  <si>
    <t>lopez.maria@bcg.com</t>
  </si>
  <si>
    <t>435440-08P</t>
  </si>
  <si>
    <t>Mariam Jaafar</t>
  </si>
  <si>
    <t>Mariam</t>
  </si>
  <si>
    <t>Jaafar</t>
  </si>
  <si>
    <t>Ms. Mariam Jaafar serves as Managing Director &amp; Senior Partner at Boston Consulting Group. Her recent focus has been on helping clients respond to and pursue opportunities created by digital disruption. She also leads the wealth management segment for BCG across Asia-Pacific as well as the Women@BCG initiative in Southeast Asia.</t>
  </si>
  <si>
    <t>jaafar.mariam@bcg.com</t>
  </si>
  <si>
    <t>435021-85P</t>
  </si>
  <si>
    <t>Marian Richter</t>
  </si>
  <si>
    <t>Richter</t>
  </si>
  <si>
    <t>Mr. Marian Richter serves as Managing Director &amp; Partner at Boston Consulting Group. He covers a broad range of topics, including commercial excellence, digitization, category management, and E2E supply chain.</t>
  </si>
  <si>
    <t>richter.marian@bcg.com</t>
  </si>
  <si>
    <t>436342-06P</t>
  </si>
  <si>
    <t>Marianna Leoni</t>
  </si>
  <si>
    <t>Marianna</t>
  </si>
  <si>
    <t>Leoni</t>
  </si>
  <si>
    <t>Ms. Marianna Leoni serves as Managing Director &amp; Partner at Boston Consulting Group. She is a core member of the Financial Institutions practice and has a deep knowledge of financial services data and analytics frameworks, as well as data architecture.</t>
  </si>
  <si>
    <t>leoni.marianna@bcg.com</t>
  </si>
  <si>
    <t>389090-89P</t>
  </si>
  <si>
    <t>Marianne Dahl</t>
  </si>
  <si>
    <t>Marianne</t>
  </si>
  <si>
    <t>Dahl</t>
  </si>
  <si>
    <t>Ms. Marianne Dahl serves as Senior Advisor at Boston Consulting Group. She leads the Technology, Media &amp; Telecommunications (TMT) practice for BCG in the Nordics, and is affiliated with the B2B team of the global Marketing, Sales &amp; Pricing (MSP) practice.</t>
  </si>
  <si>
    <t>dahl.marianne@bcg.com</t>
  </si>
  <si>
    <t>434819-26P</t>
  </si>
  <si>
    <t>Mariano Marmolejo</t>
  </si>
  <si>
    <t>Marmolejo</t>
  </si>
  <si>
    <t>Mr. Mariano Marmolejo serves as Partner &amp; Associate Director at Boston Consulting Group. He has worked mainly in the consumer, financial services, and industrial goods industries on transformation, strategy, and organization/target operating model engagements. He has worked with clients both in Europe and Latin America.</t>
  </si>
  <si>
    <t>marmolejo.mariano@bcg.com</t>
  </si>
  <si>
    <t>455205-34P</t>
  </si>
  <si>
    <t>Mariano Parro</t>
  </si>
  <si>
    <t>Parro</t>
  </si>
  <si>
    <t>Mr. Mariano Parro serves as Partner at Boston Consulting Group. He is a member of the North America education, employment, and welfare leadership team, and the Public Sector, Social Impact and People &amp; Organization practices at Boston Consulting Group. He is currently focusing on economic and workforce development, education technology, higher education, and organization change.</t>
  </si>
  <si>
    <t>parro.mariano@bcg.com</t>
  </si>
  <si>
    <t>455954-59P</t>
  </si>
  <si>
    <t>Marie-Luise Meyer</t>
  </si>
  <si>
    <t>Marie-Luise</t>
  </si>
  <si>
    <t>Ms. Marie-Luise Meyer serves as a Partner at Boston Consulting Group. She is an expert in sustainable metals, especially green steel. She is a core member of Boston Consulting Group's Climate &amp; Sustainability and Industrial Goods practices, and her expertise includes sourcing and commercial/go-to-market topics as well as production scenario-based PCF modeling and certification. She has worked with clients on conceptualizing and calculating certifiable product carbon footprints, large-scale transformations, and carbon strategies based on Corporate Carbon Footprint (CCF).</t>
  </si>
  <si>
    <t>meyer.marie-luise@bcg.com</t>
  </si>
  <si>
    <t>455612-86P</t>
  </si>
  <si>
    <t>Marine Baudin-Sarlet</t>
  </si>
  <si>
    <t>Marine</t>
  </si>
  <si>
    <t>Baudin-Sarlet</t>
  </si>
  <si>
    <t>Ms. Marine Baudin-Sarlet serves as Managing Director &amp; Partner at Boston Consulting Group. She is a core member of the firm's Industrial Goods and Operations practices. She works primarily with clients in construction (building materials, building equipment, B2B distribution), process industries, and aerospace and defense. She has led more than 30 assignments across Europe (particularly in France, the UK, the Netherlands, Belgium, Spain, the Nordics, Poland, and Greece). Her key areas of focus include strategy and transformation (growth trajectory, performance improvement, organization redesign, and change management), procurement (negotiation preparation, category strategy, collaborative approaches with strategic suppliers, and green procurement), commercial excellence (salesforce effectiveness, digital marketing and lead generation, and e-commerce), and mergers and acquisitions (due diligences, vendor due diligences, and portfolio work).</t>
  </si>
  <si>
    <t>baudin-sarlet.marine@bcg.com</t>
  </si>
  <si>
    <t>456062-23P</t>
  </si>
  <si>
    <t>Marion Graizon</t>
  </si>
  <si>
    <t>Marion</t>
  </si>
  <si>
    <t>Graizon</t>
  </si>
  <si>
    <t>Ms. Marion Graizon serves as Managing Director &amp; Partner at Boston Consulting Group. She is a core member of the firm's Technology, Media &amp; Telecommunications (TMT) and Marketing, Sales &amp; Pricing (MSP) practices with a focus on customer experience topics. She is the global lead for customer experience in TMT and customer experience in financial institutions for Europe, the Middle East, South America, and Africa. Prior to joining BCG, she was a consultant at Stratorg, a strategy consulting firm based in Paris.</t>
  </si>
  <si>
    <t>graizon.marion@bcg.com</t>
  </si>
  <si>
    <t>368341-75P</t>
  </si>
  <si>
    <t>Mark Harris</t>
  </si>
  <si>
    <t>Mr. Mark Harris serves as Managing Director &amp; Partner at Boston Consulting Group. He is co-leader of Boston Consulting Group's Principal Investors &amp; Private Equity (PIPE) practice in Canada. He works with Canadian investors across asset classes to develop fund strategy, optimize fund operations, assess new investment opportunities, and unlock tangible value at their portfolio companies. He is an expert in portfolio acceleration, fund strategy and operations, and digital growth and transformation. He is the global lead for BCG's work with pensions, and supports global pensions as they develop fund strategy and move up the maturity curve to become world-class global investors. He is currently focused on helping funds determine how digital innovation and analytics will shape their fund strategy and ultimately unlock value in their portfolios. Before joining the firm, he was an analyst with Scotiabank's Private Client Group.</t>
  </si>
  <si>
    <t>harris@bcg.com</t>
  </si>
  <si>
    <t>435538-00P</t>
  </si>
  <si>
    <t>Mark Kistulinec</t>
  </si>
  <si>
    <t>Kistulinec</t>
  </si>
  <si>
    <t>Mr. Mark Kistulinec serves as Managing Director &amp; Senior Partner at Boston Consulting Group. He has generated substantial value for his clients with customer-oriented strategies, programmatic execution, and change.</t>
  </si>
  <si>
    <t>kistulinec.mark@bcg.com</t>
  </si>
  <si>
    <t>435809-98P</t>
  </si>
  <si>
    <t>Mark Schofield</t>
  </si>
  <si>
    <t>Schofield</t>
  </si>
  <si>
    <t>Mr. Mark Schofield serves as Managing Director &amp; Senior Partner at Boston Consulting Group. He primarily advises commercial banks, insurers, and wealth managers on issues including portfolio strategy, full potential and growth strategy, customer segmentation, value proposition development, distribution strategy, digital strategy and business models, operational improvement, cost reduction, risk management, capital allocation, due diligence, and transaction support.</t>
  </si>
  <si>
    <t>schofield.mark@bcg.com</t>
  </si>
  <si>
    <t>436150-54P</t>
  </si>
  <si>
    <t>Marko Lackovic Ph.D</t>
  </si>
  <si>
    <t>Lackovic</t>
  </si>
  <si>
    <t>Mr. Marko Lackovic serves as Managing Director &amp; Partner at Boston Consulting Group. He has worked with clients on a broad range of issues including energy transition and decarbonization, transformations, strategy development, operational improvements, zero-based budgeting, and new-business launches across Asia-Pacific and Europe.</t>
  </si>
  <si>
    <t>lackovic.marko@bcg.com</t>
  </si>
  <si>
    <t>456139-27P</t>
  </si>
  <si>
    <t>Markus Ampenberger Ph.D</t>
  </si>
  <si>
    <t>Markus</t>
  </si>
  <si>
    <t>Ampenberger</t>
  </si>
  <si>
    <t>Dr. Markus Ampenberger serves as Managing Director &amp; Partner at Boston Consulting Group. He is a member of BCG's Financial Institutions practice and a member of the global management team for payments and transaction banking. Since joining BCG, he has worked mostly with payment service providers, banks, and fintechs. He has led many engagements in strategy, M&amp;A, and post-merger integration, as well as target operating model (TOM) design and optimization. Before joining BCG, he completed his doctoral studies and worked for a few years for a German regional bank.</t>
  </si>
  <si>
    <t>ampenberger.markus@bcg.com</t>
  </si>
  <si>
    <t>456397-03P</t>
  </si>
  <si>
    <t>Markus Hagenmaier Ph.D</t>
  </si>
  <si>
    <t>Hagenmaier</t>
  </si>
  <si>
    <t>Dr. Markus Hagenmaier serves as Partner, Associate Director, and Global Co-Head Center for Mobility Innovation at Boston Consulting Group. He leads automotive and mobility projects for the firm and is an expert in the future of mobility and digital services in the automotive and mobility context. He has worked extensively with global automotive OEMs, tier 1 suppliers, and leading mobility service providers. His case work is focused on digital and strategic topics and includes defining future mobility strategy, building new digital hubs or corporate venturing vehicles in new mobility, and developing new digital service concepts.</t>
  </si>
  <si>
    <t>hagenmaier.markus@bcg.com</t>
  </si>
  <si>
    <t>Partner, Associate Director, and Global Co-Head Center for Mobility Innovation</t>
  </si>
  <si>
    <t>256874-14P</t>
  </si>
  <si>
    <t>Markus Lorenz</t>
  </si>
  <si>
    <t>Mr. Markus Lorenz serves as Managing Director &amp; Senior Partner at Boston Consulting Group. He is an Angel Investor. He is a core group member of Boston Consulting Group's Industrial Goods and Operations practices, concentrating on performance improvement, sales, and R&amp;D programs. He is the global leader of the firm's machinery and components sub-sector. He has used his knowledge of lean engineering and new-processes engineering in numerous restructuring, reengineering, and turnaround projects with clients. He has also helped guide innovation and product development programs as well as sales and service activations.</t>
  </si>
  <si>
    <t>markus.lorenz@bcg.com</t>
  </si>
  <si>
    <t>172997-20P</t>
  </si>
  <si>
    <t>Markus Massi</t>
  </si>
  <si>
    <t>Massi</t>
  </si>
  <si>
    <t>Mr. Markus Massi serves as Managing Director &amp; Senior Partner at Boston Consulting Group. Since joining BCG in 2000, Markus has worked with numerous SWFs, pension funds, private equity companies, investment holdings, and family conglomerates on projects related to investment strategies, due diligence, portfolio enhancements, and a wide range of organizational and operational topics. Additionally, he has helped a number of government institutions develop country and sector strategies.</t>
  </si>
  <si>
    <t>markus@bcg.com</t>
  </si>
  <si>
    <t>455718-79P</t>
  </si>
  <si>
    <t>Markus Streiner</t>
  </si>
  <si>
    <t>Streiner</t>
  </si>
  <si>
    <t>Mr. Markus Streiner serves as Managing Director &amp; Partner at Boston Consulting Group. He is a specialist in bionic insurance, bionic operations, digital claims transformation, digitally led transformation programs, digitally enabled business and operating model redesign, cost and efficiency improvements, and works council negotiations. He has worked with insurance clients in Europe, the Middle East, and Africa, as well as in the US and Asia. Before joining the firm, he worked at Oliver Wyman and Groupe Deutsche Bourse.</t>
  </si>
  <si>
    <t>streiner.markus@bcg.com</t>
  </si>
  <si>
    <t>436218-31P</t>
  </si>
  <si>
    <t>Markus Weidmann Ph.D</t>
  </si>
  <si>
    <t>Weidmann</t>
  </si>
  <si>
    <t>Mr. Markus Weidmann serves as Managing Director &amp; Partner at Boston Consulting Group. He is a core member of the Operations practice and a supply chain specialist with a strong industry background in industrial goods, logistics, postal and express, retail, and pharmaceuticals.</t>
  </si>
  <si>
    <t>weidmann.markus@bcg.com</t>
  </si>
  <si>
    <t>195710-05P</t>
  </si>
  <si>
    <t>Marta Guzzafame</t>
  </si>
  <si>
    <t>Marta</t>
  </si>
  <si>
    <t>Guzzafame</t>
  </si>
  <si>
    <t>Ms. Marta Guzzafame serves as Managing Director &amp; Partner at Boston Consulting Group. Ms. Marta Guzzafame serves as Advisor at Cemex Ventures. Some of her key client work has been in net-zero strategy and new sustainable businesses strategy for cement and building materials players; climate change strategy in steel making; circular economy strategy for a European capital city; strategy definition for engineering, procurement, and construction (EPC) companies; operational improvement and turnarounds in steelmaking, mining, rolling stock clients; digitization of operations for a wind turbine manufacturer.</t>
  </si>
  <si>
    <t>guzzafame.marta@bcg.com</t>
  </si>
  <si>
    <t>435969-37P</t>
  </si>
  <si>
    <t>Martha Vasquez</t>
  </si>
  <si>
    <t>Martha</t>
  </si>
  <si>
    <t>Vasquez</t>
  </si>
  <si>
    <t>Ms. Martha Vasquez serves as Partner &amp; Associate Director at Boston Consulting Group. She is a core member of the Energy practice at Boston Consulting Group, specializing in upstream oil and gas, and oil and gas assets decarbonization and decommissioning.</t>
  </si>
  <si>
    <t>vasquez.martha@bcg.com</t>
  </si>
  <si>
    <t>436164-13P</t>
  </si>
  <si>
    <t>Martin Barthel</t>
  </si>
  <si>
    <t>Barthel</t>
  </si>
  <si>
    <t>Mr. Martin Barthel serves as Managing Director &amp; Partner at Boston Consulting Group. He leads the growth, ventures, and design teams in Paris with a mission to invent, build, and scale digital-centric businesses, products, and services.</t>
  </si>
  <si>
    <t>barthel.martin@bcg.com</t>
  </si>
  <si>
    <t>157996-27P</t>
  </si>
  <si>
    <t>Martin Bell</t>
  </si>
  <si>
    <t>Mr. Martin Bell serves as Partner &amp; Director at Boston Consulting Group. He is an upstream oil and gas expert at the firm. He has broad upstream oil and gas experience covering petroleum development engineering and mechanical engineering, and including subsurface and surface engineering, oil wells, facilities engineering, operations, commercial, economics, and finance. He is a core member of the Energy practice at the firm. Mr. Bell served as Chief Development Officer, Chief Financial Officer, and Board Member at Tulip Oil. He began his career at Shell as a production technologist, and also worked in the areas of drilling the limit, Sakhalin, new business development, Iraq, Shell Global Solutions, and unconventionals. Within BCG, he leads the Upstream Commercial practice area.</t>
  </si>
  <si>
    <t>bell.martin@bcg.com</t>
  </si>
  <si>
    <t>455618-89P</t>
  </si>
  <si>
    <t>Martin Blechta</t>
  </si>
  <si>
    <t>Blechta</t>
  </si>
  <si>
    <t>Mr. Martin Blechta serves as a Partner at Boston Consulting Group. He has over ten years of experience in banking and strategy consulting across Europe, Asia, and the Middle East. He has worked with leading global financial institutions across these regions with a strong focus on emerging markets. He is a leading member of the firm's Financial Institutions practice, specializing in corporate strategy, large-scale digital transformation, and emerging challenger banks. He has led many successful engagements and is a trusted advisor to CEOs and boards of directors. Before joining the firm, he was a member of the financial institutions practice at A.T. Kearney.</t>
  </si>
  <si>
    <t>blechta.martin@bcg.com</t>
  </si>
  <si>
    <t>436117-42P</t>
  </si>
  <si>
    <t>Martin Feth</t>
  </si>
  <si>
    <t>Feth</t>
  </si>
  <si>
    <t>Mr. Martin Feth serves as Managing Director &amp; Partner at Boston Consulting Group. He has led many projects globally, covering a broad range of commodities, including coal, iron ore, and base and precious metals, as well as cement and aggregates.</t>
  </si>
  <si>
    <t>martin.feth@bcg.com</t>
  </si>
  <si>
    <t>435416-05P</t>
  </si>
  <si>
    <t>Martin Fink Ph.D</t>
  </si>
  <si>
    <t>Mr. Martin Fink serves as Managing Director &amp; Partner at Boston Consulting Group. He is an expert in optimization, primarily in the airlines industry, but also in the broader transportation industry.</t>
  </si>
  <si>
    <t>fink.martin@bcg.com</t>
  </si>
  <si>
    <t>456036-40P</t>
  </si>
  <si>
    <t>Martin Goldmann</t>
  </si>
  <si>
    <t>Goldmann</t>
  </si>
  <si>
    <t>Mr. Martin Goldmann serves as Managing Director &amp; Partner at Boston Consulting Group. She is a core member of the firm's Transportation, Cities &amp; Infrastructure practice with a focus on shipping, logistics, and engineering services. He specializes in growth strategies (organic and inorganic), operating models, and larger performance transformations. He has led several large-scale transformations and strategy planning engagements for leading industrial companies, as well as numerous M&amp;A and post-merger integration efforts in shipping and logistics and heavy equipment industries--including working with clients on go-to-market and M&amp;A target searches.</t>
  </si>
  <si>
    <t>goldmann.martin@bcg.com</t>
  </si>
  <si>
    <t>456829-21P</t>
  </si>
  <si>
    <t>Martin Hoegel</t>
  </si>
  <si>
    <t>Hoegel</t>
  </si>
  <si>
    <t>Mr. Martin Hoegel serves as Partner &amp; Director at Boston Consulting Group. He specializes in operations, primarily in procurement and supply chain management. He is a core member of the firm's Operations and Energy Practices. He has worked extensively with companies across industries to help them realize more value from their supply, including sourcing and partnering strategies, cost reduction, and organizational efficacy and functional transformation. He has also worked on supply chain and distribution, industrial scale-up, product cost optimization, and capital project management. Prior to joining BCG, Mr. Hoegel led two regional operations consulting businesses that were later acquired by Accenture and KPMG. He began his career at Siemens Power Generation, holding engineering and commercial roles in Chile and Germany.</t>
  </si>
  <si>
    <t>hoegel.martin@bcg.com</t>
  </si>
  <si>
    <t>456741-91P</t>
  </si>
  <si>
    <t>Martin Lofqvist</t>
  </si>
  <si>
    <t>Lofqvist</t>
  </si>
  <si>
    <t>Mr. Martin Lofqvist serves as Managing Director &amp; Partner at Boston Consulting Group. He is a core member of the firm's Health Care and Corporate Finance &amp; Strategy practice areas. He has extensive experience in large-scale change programs (including short-term cost reduction and transformation of both digital and clinical capabilities), corporate and business unit strategy, commercial models, go-to-market strategy, and market access and pricing. He also has substantial experience in corporate strategy and other commercial topics (including due diligence, market assessments, and market access and pricing). Prior to joining BCG, he worked at a number of financial services companies, including Goldman Sachs, Kaupthing Bank, and Brummer and Partners.</t>
  </si>
  <si>
    <t>lofqvist.martin@bcg.com</t>
  </si>
  <si>
    <t>455255-74P</t>
  </si>
  <si>
    <t>Martin Luers</t>
  </si>
  <si>
    <t>Luers</t>
  </si>
  <si>
    <t>Mr. Martin Luers serves as Managing Director &amp; Partner at Boston Consulting Group. He is a member of the leadership team of the firm's Industrial Goods and Climate &amp; Sustainability practices. He leads the firm's climate action efforts within machinery engagements. He works for metals and engineered products clients from around the globe. He also serves principal investors in these industries. His work encompasses climate and sustainability, portfolio strategies, and sales strategies. He is an expert in value-based strategy development, business model transformations, go-to-market, M&amp;A support, and transformations. Mr. Luers previously worked as a project manager for Siemens AG, as a Manager for L.E.K. Consulting, and as a Principal for Roland Berger.</t>
  </si>
  <si>
    <t>luers.martin@bcg.com</t>
  </si>
  <si>
    <t>435950-47P</t>
  </si>
  <si>
    <t>Martin Manetti</t>
  </si>
  <si>
    <t>Manetti</t>
  </si>
  <si>
    <t>Mr. Martin Manetti serves as Managing Director &amp; Senior Partner at Boston Consulting Group. He leads the Public Sector practice in Central and Eastern Europe, the Middle East, and Africa and is a core member of the Energy practice. He has been based in the Middle East since 2006.</t>
  </si>
  <si>
    <t>manetti.martin@bcg.com</t>
  </si>
  <si>
    <t>436209-49P</t>
  </si>
  <si>
    <t>Martin Meninato</t>
  </si>
  <si>
    <t>Meninato</t>
  </si>
  <si>
    <t>Mr. Martin Meninato serves as Managing Director &amp; Partner at Boston Consulting Group. He has participated in engagements covering organizational structure, design of operational models, operations, corporate strategy, and productivity improvement, mainly in the industrial goods and financial services industries in countries including Chile, Argentina, and Brazil.</t>
  </si>
  <si>
    <t>meninato.martin@bcg.com</t>
  </si>
  <si>
    <t>435178-18P</t>
  </si>
  <si>
    <t>Martin Metzker Ph.D</t>
  </si>
  <si>
    <t>Metzker</t>
  </si>
  <si>
    <t>Mr. Martin Metzker serves as Managing Director &amp; Partner at Boston Consulting Group. He works with industrial goods and technology companies on corporate strategy (including transaction support), commercial excellence, growth and profitability, and setting up digital ecosystems and driving impact through advanced analytics.</t>
  </si>
  <si>
    <t>metzker.martin@bcg.com</t>
  </si>
  <si>
    <t>45417-34P</t>
  </si>
  <si>
    <t>Martin Reeves</t>
  </si>
  <si>
    <t>Reeves</t>
  </si>
  <si>
    <t>Mr. Martin Reeves serves as Managing Director, Senior Partner &amp; Chairman of the BCG at Boston Consulting Group. Since joining BCG in 1989, Mr. Reeves has led a broad range of strategy assignments in the Financial Institutions, Consumer Goods, Industrial Goods, and Health Care sectors. He has particular expertise in the areas of adaptive strategy, strategy for multi-business systems, sustainability strategies, ecosystem strategies, collective learning and innovation, corporate vitality, and trust. Before joining BCG, Mr. Reeves worked for Zeneca in Japan and the United Kingdom, where he focused on marketing and strategic planning.</t>
  </si>
  <si>
    <t>reevesm@bcg.com</t>
  </si>
  <si>
    <t>Managing Director, Senior Partner &amp; Chairman of the BCG</t>
  </si>
  <si>
    <t>435089-89P</t>
  </si>
  <si>
    <t>Martin Tonko</t>
  </si>
  <si>
    <t>Tonko</t>
  </si>
  <si>
    <t>Mr. Martin Tonko serves as Managing Director &amp; Partner at Boston Consulting Group. He works with global OEMs and suppliers from Japan, as well as foreign corporates in the Japanese automotive and industrial goods industries</t>
  </si>
  <si>
    <t>tonko.martin@bcg.com</t>
  </si>
  <si>
    <t>455710-60P</t>
  </si>
  <si>
    <t>Martin Twesten</t>
  </si>
  <si>
    <t>Twesten</t>
  </si>
  <si>
    <t>Mr. Martin Twesten serves as Partner &amp; Assistant Director at Boston Consulting Group. He is a core member of BCG's Operations and People &amp; Organization practices, and is part of the expert team that focuses on cost and service excellence, large-scale organizational transformations, operating model design, and excellence in support functions, including their digitization opportunities.</t>
  </si>
  <si>
    <t>twesten.martin@bcg.com</t>
  </si>
  <si>
    <t>435327-85P</t>
  </si>
  <si>
    <t>Mary Martin</t>
  </si>
  <si>
    <t>Ms. Mary Martin serves as Managing Director &amp; Senior Partner at Boston Consulting Group. She is a thought leader and expert on topics including consumer-driven brand, growth strategy, and digitization for restaurants; delivery strategy; and supply chain and operations.</t>
  </si>
  <si>
    <t>martin.mary@bcg.com</t>
  </si>
  <si>
    <t>435131-11P</t>
  </si>
  <si>
    <t>Masahiro Nakagawa</t>
  </si>
  <si>
    <t>Masahiro</t>
  </si>
  <si>
    <t>Nakagawa</t>
  </si>
  <si>
    <t>Mr. Masahiro Nakagawa serves as Managing Director &amp; Partner at Boston Consulting Group. He has worked with clients in industries such as consumer goods, retail, and insurance, as well as government organizations on topics related to digital. In particular, he has rich experience in formulating digital and data strategy, operational optimization using AI and analytics, launching new businesses utilizing digital, digital government, and sales digitization.</t>
  </si>
  <si>
    <t>nakagawa.masahiro@bcg.com</t>
  </si>
  <si>
    <t>435755-62P</t>
  </si>
  <si>
    <t>Masaki Hamura Ph.D</t>
  </si>
  <si>
    <t>Masaki</t>
  </si>
  <si>
    <t>Hamura</t>
  </si>
  <si>
    <t>Mr. Masaki Hamura serves as Partner &amp; Director at Boston Consulting Group. He has served on numerous urban development committees, including as a Member of Consultative Group of Expert at G20 Smart City Alliance, World Economic Forum.</t>
  </si>
  <si>
    <t>hamura.masaki@bcg.com</t>
  </si>
  <si>
    <t>455823-28P</t>
  </si>
  <si>
    <t>Masami Shibatani</t>
  </si>
  <si>
    <t>Masami</t>
  </si>
  <si>
    <t>Shibatani</t>
  </si>
  <si>
    <t>Mr. Masami Shibatani serves as Managing Director, Platinion at Boston Consulting Group. He is a core member of BCG's Tech &amp; Digital Advantage and Public Sector practices. He has led numerous projects in the public sector and the financial services and telecommunications industries, designing and implementing digital platforms to drive transformation across society, industries, and businesses. Prior to joining BCG, he worked at Accenture and the Nomura Research Institute.</t>
  </si>
  <si>
    <t>shibatani.masami@bcg.com</t>
  </si>
  <si>
    <t>320743-99P</t>
  </si>
  <si>
    <t>Masanori Namatame</t>
  </si>
  <si>
    <t>Masanori</t>
  </si>
  <si>
    <t>Namatame</t>
  </si>
  <si>
    <t>Mr. Masanori Namatame serves as a Partner at Boston Consulting Group. He is a core member of BCG's Technology, Media &amp; Telecommunications and Technology &amp; Digital Advantage practices. He works with clients in a wide range of industries with a central focus on technology, media, and telecommunications. He has extensive experience supporting business strategy, new business building, digital transformation, open innovation, and IT cost reduction. Mr. Namatame serves as a Partner at One Capital. He has also previously worked at Accenture and Future Architect, Inc.</t>
  </si>
  <si>
    <t>namatame.masanori@bcg.com</t>
  </si>
  <si>
    <t>195934-78P</t>
  </si>
  <si>
    <t>Masao Ukon</t>
  </si>
  <si>
    <t>Masao</t>
  </si>
  <si>
    <t>Ukon</t>
  </si>
  <si>
    <t>Mr. Masao Ukon serves as Senior Partner &amp; Managing Director at Boston Consulting Group. He leads Boston Consulting Group's work in Automotive in Western Europe and South America. Masao has extensive experience working with clients in the airline, automotive and mobility, manufacturing, and other industrial sectors across topics including strategy, digital and analytics, marketing and sales, mergers and acquisitions, and corporate finance. He also has significant experience helping companies address issues related to large-scale transformations, turnaround, productivity, and operations. Prior to joining the firm, Masao worked for General Motors, where he held positions in project engineering and product development.</t>
  </si>
  <si>
    <t>mukon@bcg.com</t>
  </si>
  <si>
    <t>455200-39P</t>
  </si>
  <si>
    <t>Masato Yoshimoto</t>
  </si>
  <si>
    <t>Masato</t>
  </si>
  <si>
    <t>Yoshimoto</t>
  </si>
  <si>
    <t>Mr. Masato Yoshimoto serves as Partner at Boston Consulting Group. He is a core member of BCG's Health Care, Operations, and Transform practices. He has extensive experience working with pharmaceutical and medical device companies on engagements focusing on manufacturing, supply chain management, quality control, quality assurance reform, and companywide transformation.</t>
  </si>
  <si>
    <t>yoshimoto.masato@bcg.com</t>
  </si>
  <si>
    <t>455463-73P</t>
  </si>
  <si>
    <t>Masayuki Kato</t>
  </si>
  <si>
    <t>Masayuki</t>
  </si>
  <si>
    <t>Kato</t>
  </si>
  <si>
    <t>Mr. Masayuki Kato serves as Managing Director &amp; Partner at Boston Consulting Group. He is a core member of BCG's Health Care and Corporate Finance &amp; Strategy practices. He has worked primarily with pharmaceutical and medical equipment companies on mid- to long-term strategy, operational reform, cost optimization, and digital solution development. Prior to joining BCG, he worked at Nomura Securities, and at Mitsubishi Electric Corporation.</t>
  </si>
  <si>
    <t>kato.masayuki@bcg.com</t>
  </si>
  <si>
    <t>195933-07P</t>
  </si>
  <si>
    <t>Massimiliano Merlini</t>
  </si>
  <si>
    <t>Merlini</t>
  </si>
  <si>
    <t>Mr. Massimiliano Merlini serves as Senior Partner &amp; Managing Director at Boston Consulting Group. Mr. Merlini has functional experience in IT--including strategy, sourcing (for both ADM and FM), and infrastructure as well as digital transformation and enablement, mergers and acquisitions and post-merger management, operations optimization and lean, cost reduction programs, the management of complex outsourcing and offshoring programs, and the reorganization of central, business, and support functions.</t>
  </si>
  <si>
    <t>massimiliano.merlini@bcg.com</t>
  </si>
  <si>
    <t>455830-48P</t>
  </si>
  <si>
    <t>Mateusz Malek</t>
  </si>
  <si>
    <t>Mateusz</t>
  </si>
  <si>
    <t>Malek</t>
  </si>
  <si>
    <t>Mr. Mateusz Malek serves as a Principal at Boston Consulting Group. He is a core member of the Financial Institutions practice at the firm. He specializes in delivering successful strategy and transformation projects, with a focus on enabling banks and insurance companies to achieve digital innovation, operational excellence, and growth through technology. He has extensive experience leading large-scale transformation programs, including digital transformations, operational transformations, and the design of future-ready operating models. Before coming to BCG, he was a Senior Manager at Deloitte Strategy, now Monitor Deloitte.</t>
  </si>
  <si>
    <t>malek.mateusz@bcg.com</t>
  </si>
  <si>
    <t>348026-32P</t>
  </si>
  <si>
    <t>Mathieu Lamiaux</t>
  </si>
  <si>
    <t>Mathieu</t>
  </si>
  <si>
    <t>Lamiaux</t>
  </si>
  <si>
    <t>Mr. Mathieu Lamiaux serves as Managing Director &amp; Senior Partner at Boston Consulting Group. He leads the firm's Health Care practice in Western Europe and South America. He is also a core member of the firm's Marketing, Sales &amp; Pricing, and Global Advantage practices. He is part of the French management team in charge of Career Development. He also leads the firm's global-health initiatives in Europe, working closely with the World Health Organization, the Global Fund, and several public-private partnerships to tackle AIDS, tuberculosis, and malaria. Before joining BCG, he worked for the Agence Française de Développement in Africa. Mr. Lamiaux also served as a Mentor at Investir &amp;+.</t>
  </si>
  <si>
    <t>lamiaux.mathieu@bcg.com</t>
  </si>
  <si>
    <t>435599-02P</t>
  </si>
  <si>
    <t>Mathieu Menegaux</t>
  </si>
  <si>
    <t>Menegaux</t>
  </si>
  <si>
    <t>Mr. Mathieu Menegaux serves as Managing Director &amp; Senior Partner at Boston Consulting Group. He has worked with clients in a wide range of sectors to create and launch performance-improvement programs, including the definition of targets, identification of levers, structure of the plan, and set-up of the project management office.</t>
  </si>
  <si>
    <t>menegaux.mathieu@bcg.com</t>
  </si>
  <si>
    <t>435218-23P</t>
  </si>
  <si>
    <t>Matias Raby</t>
  </si>
  <si>
    <t>Matias</t>
  </si>
  <si>
    <t>Mr. Matias Raby serves as Managing Director &amp; Partner at Boston Consulting Group. He works frequently with clients in the copper mining industry on strategy and operations, especially on applying analytics in operations to improve business decisions.</t>
  </si>
  <si>
    <t>raby.matias@bcg.com</t>
  </si>
  <si>
    <t>435429-01P</t>
  </si>
  <si>
    <t>Matt Beckett</t>
  </si>
  <si>
    <t>Beckett</t>
  </si>
  <si>
    <t>Mr. Matt Beckett serves as Partner &amp; Director at Boston Consulting Group. He is a global pricing expert at BCG, leading engagements that include pricing diagnostics and strategy development, managing implementation of pricing programs, and building client pricing capabilities.</t>
  </si>
  <si>
    <t>beckett.matt@bcg.com</t>
  </si>
  <si>
    <t>65103-31P</t>
  </si>
  <si>
    <t>Matt Clarke</t>
  </si>
  <si>
    <t>Mr. Matt Clarke serves as Managing Director &amp; Partner at Boston Consulting Group. Matt Clarke served as the Chief Technical Officer at Amaze. He has been responsible for the successful delivery and direction of projects for HP, Toyota, Lexus, Coats and Unilever. Matt leads the technical direction for Amaze and has strong relationships with Microsoft, Apple and many of the leading digital technology vendors. He is instrumental in introducing new and emerging technologies to clients within Amaze.</t>
  </si>
  <si>
    <t>clarke.matt@bcg.com</t>
  </si>
  <si>
    <t>455396-23P</t>
  </si>
  <si>
    <t>Matt Kalmus</t>
  </si>
  <si>
    <t>Kalmus</t>
  </si>
  <si>
    <t>Mr. Matt Kalmus serves as Managing Director &amp; Partner at Boston Consulting Group. He is a core member of BCG's Technology, Media &amp; Telecommunications (TMT) practice. He has considerable expertise in cable/telco, satellite, and technology strategy topics for both B2B and B2C, frequently supporting clients across key go-to-market, merger/carve-out, and operations and network topics.</t>
  </si>
  <si>
    <t>kalmus.matt@bcg.com</t>
  </si>
  <si>
    <t>456120-82P</t>
  </si>
  <si>
    <t>Matt Keogh</t>
  </si>
  <si>
    <t>Keogh</t>
  </si>
  <si>
    <t>Mr. Matt Keogh serves as Managing Director &amp; Partner, BCG X at Boston Consulting Group. He is a core member of the firm's Tech &amp; Digital Advantage practice. Leveraging his extensive global, cross-industry experience, He guides organizations in harnessing AI, data, and digital transformations to drive measurable impact and competitive advantage. Prior to joining BCG, he was a Managing Director at Accenture, where he oversaw the delivery of consulting, digital, and technology programs for multiple clients. He began his career as a systems engineer at EDS.</t>
  </si>
  <si>
    <t>keogh.matt@bcg.com</t>
  </si>
  <si>
    <t>434975-86P</t>
  </si>
  <si>
    <t>Matt Langione Ph.D</t>
  </si>
  <si>
    <t>Langione</t>
  </si>
  <si>
    <t>Mr. Matt Langione serves as Managing Director &amp; Partner at Boston Consulting Group. He specializes in bringing research-driven, high-potential "deep tech" to market. Matt's client work and his publications reside at the nexus of science, business, and policy.</t>
  </si>
  <si>
    <t>langione.matt@bcg.com</t>
  </si>
  <si>
    <t>456622-12P</t>
  </si>
  <si>
    <t>Matt Sweeny</t>
  </si>
  <si>
    <t>Sweeny</t>
  </si>
  <si>
    <t>Mr. Matt Sweeny serves as Managing Director &amp; Partner at Boston Consulting Group. He leads the firm's Global Advantage practice in Japan and is a core member of the Insurance, Financial Institutions, and Principal Investors &amp; Private Equity practices. He has worked extensively with clients across most financial institutions' sub-verticals, including life, health, and property and casualty insurance; retail and commercial banking; private equity; and wealth management. Prior to rejoining BCG, he worked at Bain &amp; Company in Tokyo and in Johannesburg, Standard Chartered Bank in Singapore, and Nomura Securities in Tokyo.</t>
  </si>
  <si>
    <t>sweeny.matt@bcg.com</t>
  </si>
  <si>
    <t>435008-17P</t>
  </si>
  <si>
    <t>Matt Westerlund</t>
  </si>
  <si>
    <t>Westerlund</t>
  </si>
  <si>
    <t>Mr. Matt Westerlund serves as Managing Director &amp; Partner at Boston Consulting Group. He has deep industry experience across the agribusiness value chain, from farm inputs through grain marketing and ingredients. His functional experience includes portfolio and growth strategy, M&amp;A, go-to-market strategy, enterprise sales, ecommerce, industrial IoT, and digital transformation.</t>
  </si>
  <si>
    <t>westerlund.matt@bcg.com</t>
  </si>
  <si>
    <t>376540-03P</t>
  </si>
  <si>
    <t>Matteo Coppola</t>
  </si>
  <si>
    <t>Matteo</t>
  </si>
  <si>
    <t>Coppola</t>
  </si>
  <si>
    <t>Mr. Matteo Coppola serves as Managing Director &amp; Senior Partner; Global Leader, Risk &amp; Compliance Practice at Boston Consulting Group. He has worked with clients in a variety of industries and geographies on topics including credit risk, compliance risk, cybersecurity, climate risk, scenario planning, operational resilience, business continuity, and the risks associated with emerging technologies. He believes in a proactive approach to risk management, regulatory changes, scenario planning, and risk anticipation. He is experienced in the management of financial and geopolitical risks as well as crisis management, and has successfully led a number of complex transformation programs at banks and insurers, with an emphasis on credit, liquidity, and operations risk management. He also has significant experience working with regulators and central banks. He is a strong advocate of environmental, social, and governance (ESG) programs, sustainability, and climate change, embedding climate risk and sustainable finance in transformation programs. He helps clients adapt responsibly, create value, and effectively mitigate associated risks in the fast-changing ESG regulatory and compliance landscape. He actively leads and participates in research and thought leadership within BCG and with higher education institutions to advance the development of risk management and compliance practices in the 21st century. Prior to joining BCG, He was Director of Centralized Sales at HSBC in the US. He returned to Europe in 2007 to join BCG and established the multidisciplinary Risk Management &amp; Compliance team based in Milan. He did his BSc, cum laude, mechanical engineering, from Polytechnic University of Milan and MBA , second-year honors fromHarvard Business School</t>
  </si>
  <si>
    <t>matteo.coppola@bcg.com</t>
  </si>
  <si>
    <t>Managing Director &amp; Senior Partner; Global Leader, Risk &amp; Compliance Practice</t>
  </si>
  <si>
    <t>436127-32P</t>
  </si>
  <si>
    <t>Matteo Radice</t>
  </si>
  <si>
    <t>Radice</t>
  </si>
  <si>
    <t>Mr. Matteo Radice serves as Managing Director &amp; Partner at Boston Consulting Group. He has led a number of banking projects with a main focus on retail, corporate, and transaction banking for several Italian and European players.</t>
  </si>
  <si>
    <t>radice.matteo@bcg.com</t>
  </si>
  <si>
    <t>195938-56P</t>
  </si>
  <si>
    <t>Matthew Aaronson</t>
  </si>
  <si>
    <t>Aaronson</t>
  </si>
  <si>
    <t>Mr. Matthew Aaronson serves as Senior Partner and Managing Director at Boston Consulting Group. He leads BCG's Aerospace and Defense practice globally and is also involved with our Industrial Goods and Operations practices. He leads the firm's Career Development Committee in the Chicago office. Since joining BCG in 2004, Matt has worked with clients on a range of strategic projects across the capital equipment and engineered products sectors. He now works predominantly with OEMs and suppliers in the aerospace and defence sector, and he specializes in driving large-scale transformational change programs. Before joining BCG, Matt worked at Monitor Group.</t>
  </si>
  <si>
    <t>aaronson@bcg.com</t>
  </si>
  <si>
    <t>456691-69P</t>
  </si>
  <si>
    <t>Matthew Abel</t>
  </si>
  <si>
    <t>Abel</t>
  </si>
  <si>
    <t>Mr. Matthew Abel serves as Managing Director &amp; Senior Partner at Boston Consulting Group. He is a core member of the firm's Energy practice. He works extensively with major oil and gas companies, advising clients on both the upstream and downstream sides of the business. He has particularly deep experience managing transformations for oil company business units and support functions, including portfolio strategy, organizational redesign, process optimization, and culture change. Matthew has driven these change and profit improvement efforts across both refiners and upstream producers. Prior to joining BCG, he worked for Shell Oil in both reservoir engineering and planning roles.</t>
  </si>
  <si>
    <t>abel.matthew@bcg.com</t>
  </si>
  <si>
    <t>436687-12P</t>
  </si>
  <si>
    <t>Matthew Fallon</t>
  </si>
  <si>
    <t>Fallon</t>
  </si>
  <si>
    <t>Mr. Matthew Fallon serves as Principal at Boston Consulting Group. He helps clients realize the benefits of sound risk management practices, from strategic vision down to tactical operations.</t>
  </si>
  <si>
    <t>fallon.matthew@bcg.com</t>
  </si>
  <si>
    <t>455518-63P</t>
  </si>
  <si>
    <t>Matthew Freiman</t>
  </si>
  <si>
    <t>Freiman</t>
  </si>
  <si>
    <t>Mr. Matthew Freiman serves as Managing Director &amp; Partner at Boston Consulting Group. He has expertise in bank-wide transformations and post-merger integrations. He is a leading member of BCG's Financial Institutions practice, with deep expertise in risk and commercial banking. Before joining the firm, he worked at SVB in several roles, including head of transformation and CAO of the private bank, joining three months prior to its collapse. Before that, he was a Partner at McKinsey &amp; Company, an Associate at Onex, and an Analyst at Goldman Sachs.</t>
  </si>
  <si>
    <t>freiman.matt@bcg.com</t>
  </si>
  <si>
    <t>455631-04P</t>
  </si>
  <si>
    <t>Matthew Gallagher</t>
  </si>
  <si>
    <t>Mr. Matthew Gallagher serves as Managing Director &amp; Partner at Boston Consulting Group. He is a core member of the firm's Principal Investors &amp; Private Equity (PIPE) practice area. He focuses primarily on commercial due diligence, sell-side diligence, and portfolio company acceleration efforts for private equity companies. He has significant experience leading due diligence and growth strategy efforts across a range of industries including financial services, industrial goods, consumer, health care, and technology. Before joining BCG, he was an Investment Analyst at Boston University. Before Boston University, Mr. Gallagher worked as a Senior Consulting Associate at Cambridge Associates in Boston.</t>
  </si>
  <si>
    <t>gallagher.matt@bcg.com</t>
  </si>
  <si>
    <t>455521-87P</t>
  </si>
  <si>
    <t>Matthew Huddle MD</t>
  </si>
  <si>
    <t>Huddle</t>
  </si>
  <si>
    <t>Dr. Matthew Huddle serves as Managing Director &amp; Partner at Boston Consulting Group. He is a lead member of the firm's Health Care practice. His work focuses primarily on growth strategy, M&amp;A, digital innovation (including GenAI), and digital transformation in providers, payers, and health care services. He leads the firm's work on digital front door in health care providers.</t>
  </si>
  <si>
    <t>huddle.matthew@bcg.com</t>
  </si>
  <si>
    <t>136651-42P</t>
  </si>
  <si>
    <t>Matthew Kropp</t>
  </si>
  <si>
    <t>Kropp</t>
  </si>
  <si>
    <t>Mr. Matthew Kropp serves as Managing Director &amp; Senior Partner at Boston Consulting Group. Mr. Matthew Kropp Co-Founded FR8Star. Previously he served as a Project Leader at The Boston Consulting Group. He co-founded and served as Chief Technology Officer and Board Member at Transplant Connect.</t>
  </si>
  <si>
    <t>kropp.matthew@bcg.com</t>
  </si>
  <si>
    <t>455706-28P</t>
  </si>
  <si>
    <t>Matthew Lackowski</t>
  </si>
  <si>
    <t>Lackowski</t>
  </si>
  <si>
    <t>Mr. Matthew Lackowski serves as Managing Director &amp; Partner at Boston Consulting Group. He is a core member of the firm's Operations practice and an expert in procurement. He has deep third-party cost-reduction expertise across direct and indirect spend categories in the consumer, industrial goods, financial services, and medtech industries. He advises clients on value opportunity assessment, programmatic third-party cost reduction, spend category strategy, negotiation execution, demand management, procurement operating model design/implementation, and post-merger integration. Prior to joining BCG, he worked as a consultant focusing on strategic sourcing and procurement transformation programs. Prior to receiving his MBA, he also worked as a structural engineer.</t>
  </si>
  <si>
    <t>lackowski.matthew@bcg.com</t>
  </si>
  <si>
    <t>435733-48P</t>
  </si>
  <si>
    <t>Matthew Leach</t>
  </si>
  <si>
    <t>Leach</t>
  </si>
  <si>
    <t>Mr. Matthew Leach serves as Managing Director &amp; Partner at Boston Consulting Group. He works with mining and technology clients on major capital projects covering all large-capital project management topics.</t>
  </si>
  <si>
    <t>matthew.leach@bcg.com</t>
  </si>
  <si>
    <t>456029-11P</t>
  </si>
  <si>
    <t>Matthew Marchingo</t>
  </si>
  <si>
    <t>Marchingo</t>
  </si>
  <si>
    <t>Mr. Matthew Marchingo serves as Managing Director &amp; Partner at Boston Consulting Group. A core member of the firm's People &amp; Organization practice, Mr. Marchingo specializes in next-generation support functions. He focuses on the intersection of digital, process, and technology to deliver transformed service operations in all support functions. He is an expert in organizational transformations, digital support functions, and E2E service management, including order-to-cash (O2C) and record-to-report (R2R). He works with clients in the consumer, retail, manufacturing, industrial goods, technology, telecommunications, and energy industries. Before joining BCG, he was a project consultant at Booz &amp; Company, leading the Operating Model and Organizational Design platforms for the Asia Pacific and Middle East.</t>
  </si>
  <si>
    <t>marchingo.matthew@bcg.com</t>
  </si>
  <si>
    <t>455468-41P</t>
  </si>
  <si>
    <t>Matthew Mooney</t>
  </si>
  <si>
    <t>Mooney</t>
  </si>
  <si>
    <t>Mr. Matthew Mooney serves as Managing Director &amp; Partner at Boston Consulting Group. He has led multiple post-merger integrations (PMIs) in his time with the firm, including overseeing the program management offices focused on integration planning, as well as Day 1 preparation and synergy capture. He has worked with clients in North America, Europe, Asia, and Australia on integration planning and management. He has worked with companies in entertainment, travel and tourism, manpower, and food processing, among others.</t>
  </si>
  <si>
    <t>mooney.matt@bcg.com</t>
  </si>
  <si>
    <t>435706-66P</t>
  </si>
  <si>
    <t>Matthew Sundberg</t>
  </si>
  <si>
    <t>Sundberg</t>
  </si>
  <si>
    <t>Mr. Matthew Sundberg serves as Managing Director &amp; Partner at Boston Consulting Group. His particular expertise includes renewable energy, growth strategy, digital, transformation, and operations and maintenance.</t>
  </si>
  <si>
    <t>sundberg.matthew@bcg.com</t>
  </si>
  <si>
    <t>436348-18P</t>
  </si>
  <si>
    <t>Matthew Ward</t>
  </si>
  <si>
    <t>Ward</t>
  </si>
  <si>
    <t>Mr. Matthew Ward serves as Managing Director &amp; Partner at Boston Consulting Group. He is a recognized expert in next generation sales (NGS) and serves as the global lead for the firm's Digital Sales Accelerator (DSA). With a broad background in scaling and optimizing sales and go-to-market teams, Matthew has extensive experience across various industries, including technology, telecommunications, industrial goods, consumer goods, energy, and health care.</t>
  </si>
  <si>
    <t>ward.matthew@bcg.com</t>
  </si>
  <si>
    <t>455899-69P</t>
  </si>
  <si>
    <t>Matthew Williams</t>
  </si>
  <si>
    <t>Mr. Matthew Williams serves as a Principal at Boston Consulting Group. He is a core member of the Industrial Goods, Public Sector, and Operations practices at the firm. He is an expert in aerospace and defense, with significant experience leading large-scale operational improvements for aerospace clients, diagnosing and addressing supply chain and manufacturing issues affecting aircraft operations, and developing AI education strategies for a defense client's workforce. Before joining BCG, he served as a U.S. Marine Corps Infantry Officer, leading teams as an operations officer, project manager (PMP certified), and leadership instructor.</t>
  </si>
  <si>
    <t>williams.matthew@bcg.com</t>
  </si>
  <si>
    <t>456809-32P</t>
  </si>
  <si>
    <t>Matthias Becker Ph.D</t>
  </si>
  <si>
    <t>Becker</t>
  </si>
  <si>
    <t>Dr. Matthias Becker serves as Managing Director &amp; Senior Partner at Boston Consulting Group. He is a core member of the Insurance and Health Care practices at the firm, as well as a leader of the Health Care Payer and Health Insurance sectors for Europe and the Middle East. He has deep experience in public payers and private health insurers, and has worked with clients across the health care and health insurance sectors on population health management, strategy development, mergers and post-merger integrations, advanced analytics in health insurance, and large-scale change and transformation.</t>
  </si>
  <si>
    <t>becker.matthias@bcg.com</t>
  </si>
  <si>
    <t>455729-14P</t>
  </si>
  <si>
    <t>Matthias Egler</t>
  </si>
  <si>
    <t>Egler</t>
  </si>
  <si>
    <t>Mr. Matthias Egler serves as Managing Director &amp; Partner at Boston Consulting Group. He co-leads the Corporate Finance &amp; Strategy practice for the firm in the Australia/New Zealand (ANZ) region. He works primarily for financial institutions and private equity firms in North America, Europe, and Australia/New Zealand. He leads global, cross-functional engagements for clients in the financial services and insurance industries, focusing on strategy and digital transformation. He has considerable experience in corporate and business strategy, shareholder value/total shareholder return, business model innovation, retail banking, wealth management, payments, and fintech. He leads the alumni relationships and career services team for BCG's ANZ region and is a senior member of the ANZ People team. Before joining BCG, Mr. Egler worked at EY Mergers and Acquisitions in Berlin and Shanghai, and before that worked at Bayer Healthcare in Berlin and Cairo.</t>
  </si>
  <si>
    <t>egler.matt@bcg.com</t>
  </si>
  <si>
    <t>455197-96P</t>
  </si>
  <si>
    <t>Matthias Gehder</t>
  </si>
  <si>
    <t>Gehder</t>
  </si>
  <si>
    <t>Dr. Matthias Gehder serves as Partner &amp; Director, Digital Health at Boston Consulting Group. His clients include companies in pharma, medtech, public health, and payers. He supports public, large corporate, and mid-size health players globally as they define and implement their digital and IT strategy and operating model.</t>
  </si>
  <si>
    <t>gehder.matthias@bcg.com</t>
  </si>
  <si>
    <t>Partner &amp; Director, Digital Health</t>
  </si>
  <si>
    <t>456775-12P</t>
  </si>
  <si>
    <t>Matthias Kruehler Ph.D</t>
  </si>
  <si>
    <t>Kruehler</t>
  </si>
  <si>
    <t>Dr. Matthias Kruehler serves as Managing Director &amp; Senior Partner at Boston Consulting Group. He leads the firm's Energy practice in Central Europe. He is dedicated to helping the energy industry achieve a more sustainable and safe future, and enabling it to have a lasting impact. He has led engagements for several large-scale European clients, successfully helping them master energy crises, secure supply, and adapt to dynamic trends such as the transition to net-zero. In addition, he leads the firm's post-merger integration (PMI) work in Central Europe.</t>
  </si>
  <si>
    <t>kruehler.matthias@bcg.com</t>
  </si>
  <si>
    <t>294394-24P</t>
  </si>
  <si>
    <t>Matthias Tauber</t>
  </si>
  <si>
    <t>Tauber</t>
  </si>
  <si>
    <t>Mr. Matthias Tauber serves as Managing Director, Senior Partner, and Chair of EMESA at Boston Consulting Group. He leads Boston Consulting Group's operations in Europe, the Middle East, South America, and Africa. He is a member of BCG's management team in Europe. His client work focuses on large-scale change programs with clients in the building materials, metals and mining, and chemicals industries.</t>
  </si>
  <si>
    <t>tauber.matthias@bcg.com</t>
  </si>
  <si>
    <t>Managing Director, Senior Partner, and EMESA Chair</t>
  </si>
  <si>
    <t>455944-78P</t>
  </si>
  <si>
    <t>Matthieu Berthion</t>
  </si>
  <si>
    <t>Matthieu</t>
  </si>
  <si>
    <t>Berthion</t>
  </si>
  <si>
    <t>Mr. Matthieu Berthion serves as Managing Director &amp; Partner at Boston Consulting Group. He is a core member of the Transform and Technology, Media &amp; Telecommunications (TMT) practices, and has worked with clients across sectors, with a focus on consumer, telecom, media, and energy. His clients have included large corporations, medium-sized companies, and private equity funds' portfolio companies. Before joining the firm, he worked as a Management Consultant at Capgemini in Telecom Media. He specialized in marketing and economic modeling and worked primarily for telco operators in Europe and the Middle East.</t>
  </si>
  <si>
    <t>berthion.matthieu@bcg.com</t>
  </si>
  <si>
    <t>455467-51P</t>
  </si>
  <si>
    <t>Matthieu Schmitt</t>
  </si>
  <si>
    <t>Schmitt</t>
  </si>
  <si>
    <t>Mr. Matthieu Schmitt serves as Managing Director &amp; Partner at Boston Consulting Group. He is a core member of the firm's Industrial Goods practice. He has a particular focus on turnaround/restructuring projects, transforming all aspects of the business, including pricing, go-to-market strategy, supply chain, manufacturing and distribution networks, G&amp;A rightsizing, and working capital management. He has conducted due diligence in the power, aviation, and consumer goods spaces.</t>
  </si>
  <si>
    <t>schmitt.matthieu@bcg.com</t>
  </si>
  <si>
    <t>435601-36P</t>
  </si>
  <si>
    <t>Maurice Berns</t>
  </si>
  <si>
    <t>Maurice</t>
  </si>
  <si>
    <t>Mr. Maurice Berns serves as Managing Director &amp; Senior Partner, Chair, Center for Energy Impact at Boston Consulting Group. He helps his clients navigate the energy trilemma, considering the challenges of energy sustainability, security and affordability. He is passionate about defining innovative solutions and leveraging opportunities that arise from energy transition, digital approaches, and value chain integration to create shareholder value.</t>
  </si>
  <si>
    <t>berns.maurice@bcg.com</t>
  </si>
  <si>
    <t>Managing Director &amp; Senior Partner, Chair, Center for Energy Impact</t>
  </si>
  <si>
    <t>435964-42P</t>
  </si>
  <si>
    <t>Max Hauser</t>
  </si>
  <si>
    <t>Hauser</t>
  </si>
  <si>
    <t>Mr. Max Hauser serves as Managing Director &amp; Partner at Boston Consulting Group. He has extensive experience in retail and corporate banking, insurance, and investment funds, having completed more than 60 projects across Western Europe, Eastern Europe, CIS, and Asia.</t>
  </si>
  <si>
    <t>hauser.max@bcg.com</t>
  </si>
  <si>
    <t>435198-25P</t>
  </si>
  <si>
    <t>Max Holz</t>
  </si>
  <si>
    <t>Holz</t>
  </si>
  <si>
    <t>Mr. Max Holz serves as Managing Director &amp; Partner at Boston Consulting Group. He has consulted with leading consumer products companies on promotion optimization (including 'Next-Gen' use cases), pricing and pack architecture, localized pricing, mix management, governance and compliance, dashboards and reporting, and trade terms management. In addition, he led the optimization of a major beverage manufacturer's distribution processes across its independent retail outlets.</t>
  </si>
  <si>
    <t>holz.max@bcg.com</t>
  </si>
  <si>
    <t>434962-90P</t>
  </si>
  <si>
    <t>Max Pulido</t>
  </si>
  <si>
    <t>Pulido</t>
  </si>
  <si>
    <t>Mr. Max Pulido serves as Managing Director &amp; Special Partner at Boston Consulting Group. He leads the firm's Financial Institutions and Insurance practices in Mexico and is a core member of the Consumer and Retail practices. He works with clients on topics including strategy and digital and data programs as well as large-scale change programs.</t>
  </si>
  <si>
    <t>pulido.max@bcg.com</t>
  </si>
  <si>
    <t>435652-84P</t>
  </si>
  <si>
    <t>Maximilian Rohnke</t>
  </si>
  <si>
    <t>Maximilian</t>
  </si>
  <si>
    <t>Rohnke</t>
  </si>
  <si>
    <t>Mr. Maximilian Rohnke serves as Managing Director &amp; Partner at Boston Consulting Group. He has comprehensive experience with clients in the automotive industry, OEMs, and the commercial vehicle industry, and he works with them to face their strategic challenges, in particular urban mobility.</t>
  </si>
  <si>
    <t>rohnke.maximilian@bcg.com</t>
  </si>
  <si>
    <t>455686-75P</t>
  </si>
  <si>
    <t>Maximilian Sandholzer</t>
  </si>
  <si>
    <t>Sandholzer</t>
  </si>
  <si>
    <t>Dr. Maximilian Sandholzer serves as Managing Director &amp; Partner at Boston Consulting Group. He is a core member of the firm's Industrial Goods practice focused on automotive and mobility clients. He has over ten years of experience in the automotive space and works with entry, volume, and premium OEMs (original equipment manufacturers) as well as Tier 1 suppliers, in Europe and China. His work focuses on corporate and functional strategies along the entire automotive value chain. He has deep expertise in go-to-market (including sales model, network, customer, pricing), engineering, digital business models, cost reductions, organizational transformations, and due diligence.</t>
  </si>
  <si>
    <t>sandholzer.maximilian@bcg.com</t>
  </si>
  <si>
    <t>455464-18P</t>
  </si>
  <si>
    <t>Maximilian Strauch Ph.D</t>
  </si>
  <si>
    <t>Strauch</t>
  </si>
  <si>
    <t>Dr. Maximilian Strauch serves as a Partner at Boston Consulting Group. He is a core member of the firm's Corporate Finance &amp; Strategy (CFS) and Energy practices, as well as the Transaction &amp; Integration Excellence team and Corporate Finance task force leadership. He specializes in corporate finance and development with a focus on transaction engagements. He works with clients on topics along the full M&amp;A value chain (strategy, target identification, and investor search; deal execution; post-deal measures/full potential plans). He has worked on buy-side, sell-side, IPO, and joint venture mandates, and drives BCG's efforts in M&amp;A target search and M&amp;A organization design.</t>
  </si>
  <si>
    <t>strauch.maximilian@bcg.com</t>
  </si>
  <si>
    <t>434994-94P</t>
  </si>
  <si>
    <t>Maya Hachem</t>
  </si>
  <si>
    <t>Hachem</t>
  </si>
  <si>
    <t>Ms. Maya Hachem serves as Managing Director &amp; Partner at Boston Consulting Group. She leads the firm's work in human capital development and social impact strategies and transformations in the GCC. She also supports megaprojects and tourism transformations.</t>
  </si>
  <si>
    <t>maya.elhachem@bcg.com</t>
  </si>
  <si>
    <t>436286-80P</t>
  </si>
  <si>
    <t>Mayank Jha</t>
  </si>
  <si>
    <t>Mayank</t>
  </si>
  <si>
    <t>Mr. Mayank Jha serves as Managing Director &amp; Partner at Boston Consulting Group. His clients have included banks (private and public sector), non-banking financial companies (NBFCs), asset managers, and insurers.</t>
  </si>
  <si>
    <t>mayank.jha@bcg.com</t>
  </si>
  <si>
    <t>456619-24P</t>
  </si>
  <si>
    <t>Megan DeFauw Ph.D</t>
  </si>
  <si>
    <t>DeFauw</t>
  </si>
  <si>
    <t>Dr. Megan DeFauw serves as Managing Director &amp; Partner at Boston Consulting Group. She is a core member of the firm's Health Care and Operations practices. She focuses on biopharma and medtech manufacturing and supply chain. She works extensively in strategy and operations topics, including network design, quality, organization design, large-scale transformation, post-merger integration, and divestitures. She leads the firm's work in quality for North America, as well as for cost transformation in health care operations.</t>
  </si>
  <si>
    <t>defauw.megan@bcg.com</t>
  </si>
  <si>
    <t>456080-59P</t>
  </si>
  <si>
    <t>Megha Ramanuja</t>
  </si>
  <si>
    <t>Ramanuja</t>
  </si>
  <si>
    <t>Mr. Megha Ramanuja serves as Managing Director &amp; Partner at Boston Consulting Group. He co-leads Fabriq Personalization AI by BCG X, a marketing personalization platform to accelerate transformations, and leads the firm's large-scale computing network. He specializes in personalization, digital marketing, and customer relationship management. In addition, he is versed in machine learning, data visualization, and big data. Before joining BCG, he was the director of data science at TrueCar, where he developed and implemented innovative data products and solutions for the online automotive marketplace.</t>
  </si>
  <si>
    <t>ramanuja.megha@bcg.com</t>
  </si>
  <si>
    <t>259743-43P</t>
  </si>
  <si>
    <t>Meghna Eichelberger</t>
  </si>
  <si>
    <t>Meghna</t>
  </si>
  <si>
    <t>Eichelberger</t>
  </si>
  <si>
    <t>Ms. Meghna Eichelberger serves as Partner &amp; Associate Director at Boston Consulting Group. A core member of the firm's Health Care practice, she has considerable expertise within all medical technology (MedTech) topics, including product development, strategy, regulatory, and commercialization. She is a member of the MedTech leadership team and serves as the global marketing lead for MedTech, as well as the lead for the diabetes segment. Ms. Eichelberger serves as a Board Member at CathVision. Prior to joining BCG in 2013, she spent eight years at C.R. Bard in strategic marketing, program management, and business development roles. She also spent four years at Philips Healthcare in 3D cardiac ultrasound and two years at Cambridge Heart focused on sudden cardiac death.</t>
  </si>
  <si>
    <t>eichelberger.meghna@bcg.com</t>
  </si>
  <si>
    <t>456646-15P</t>
  </si>
  <si>
    <t>Melanie Larsen</t>
  </si>
  <si>
    <t>Melanie</t>
  </si>
  <si>
    <t>Larsen</t>
  </si>
  <si>
    <t>Ms. Melanie Larsen serves as Managing Director &amp; Partner at Boston Consulting Group. She is a core member of the People &amp; Organization practice at the firm. She is also a member of the Consumer practice. She focuses her work on advising clients in the consumer products and retail sectors. She has acquired deep experience in transformation and organization. Prior to joining BCG, she worked for more than ten years as a principal at A.T. Kearney and for more than five years in the fashion industry and legal services.</t>
  </si>
  <si>
    <t>seierlarsen.melanie@bcg.com</t>
  </si>
  <si>
    <t>456828-31P</t>
  </si>
  <si>
    <t>Meldon Wolfgang Ph.D</t>
  </si>
  <si>
    <t>Meldon</t>
  </si>
  <si>
    <t>Wolfgang</t>
  </si>
  <si>
    <t>Dr. Meldon Wolfgang serves as Managing Director &amp; Senior Partner at Boston Consulting Group. He serves on the firm's Industrial Goods practice leadership team and the North American management team, where he is responsible for all partner human resources and development. He is also the North American co-leader for the firm's change management work and a member of the firm's People &amp; Organization, Strategy, and Public Sector practices. He has supported a wide range of industrial and technology businesses, as well as public sector agencies, through large-scale transformation agendas. His work has covered issues such as strategy development, growth, due diligence, mergers and acquisitions, post-merger integration, organization design and culture management, cost optimization, pricing, and commercial excellence programs.</t>
  </si>
  <si>
    <t>meldon.wolfgang@bcg.com</t>
  </si>
  <si>
    <t>435119-86P</t>
  </si>
  <si>
    <t>Melissa Ruseler</t>
  </si>
  <si>
    <t>Ruseler</t>
  </si>
  <si>
    <t>Ms. Melissa Ruseler serves as Managing Director &amp; Partner at Boston Consulting Group. She is experienced in growth strategy, corporate development and transaction support, marketing and sales topics and large scale transformations.</t>
  </si>
  <si>
    <t>melissa.ruseler@bcg.com</t>
  </si>
  <si>
    <t>436425-94P</t>
  </si>
  <si>
    <t>Miao He</t>
  </si>
  <si>
    <t>Miao</t>
  </si>
  <si>
    <t>Ms. Miao serves as Principal - Data Science at Boston Consulting Group. She has experience in supply chain management, manufacturing optimization, recommender systems, and customer analytics. She is an INFORMS Certified Analytics Professional.</t>
  </si>
  <si>
    <t>he.miao@bcg.com</t>
  </si>
  <si>
    <t>455590-09P</t>
  </si>
  <si>
    <t>Mic Rosiello</t>
  </si>
  <si>
    <t>Mic</t>
  </si>
  <si>
    <t>Rosiello</t>
  </si>
  <si>
    <t>Mr. Mic Rosiello serves as Partner &amp; Associate Director at Boston Consulting Group. He is a member of the firm's Transaction &amp; Integration leadership and a core member of the Health Care practice. He has in-depth expertise in the health care industry (specifically biopharma and medical technologies) as well as other industries, and works with clients on strategy, M&amp;A, and corporate development, post-merger integration, organizational design efforts, large transformations, and change management. Prior to joining BCG, he worked for two years at KPMG Advisory as a consultant in the Consumer &amp; Industrial Markets Practice. Prior to that, he worked for several years as a violinist and assistant concertmaster with renowned symphony orchestras.</t>
  </si>
  <si>
    <t>rosiello.mic@bcg.com</t>
  </si>
  <si>
    <t>204636-16P</t>
  </si>
  <si>
    <t>Micah Jindal</t>
  </si>
  <si>
    <t>Micah</t>
  </si>
  <si>
    <t>Mr. Micah Jindal serves as MManaging Director &amp; Senior Partner, and Insurance Regional Practice Area Lead at Boston Consulting Group. He also has deep expertise serving regional banks and P&amp;C insurers on the West Coast on topics such as cost transformation, organization design, and total shareholder return strategies.</t>
  </si>
  <si>
    <t>jindal.micah@bcg.com</t>
  </si>
  <si>
    <t>MManaging Director &amp; Senior Partner, Insurance Regional Practice Area Lead</t>
  </si>
  <si>
    <t>455425-48P</t>
  </si>
  <si>
    <t>Michael Breitenstein Ph.D</t>
  </si>
  <si>
    <t>Breitenstein</t>
  </si>
  <si>
    <t>Dr. Michael Breitenstein serves as Partner &amp; Director at Boston Consulting Group. He is a member of the firm's Technology, Media &amp; Telecommunications (TMT) and Technology Advantage (TA) practices, as well as BCG's Center for Telecommunications Networks and Center for High-Stakes Auctions. As a global 5G topic leader and expert in digital infrastructure, business strategy, and auctions, he advises clients on the impact of new technologies and helps shape their strategy and business models.</t>
  </si>
  <si>
    <t>breitenstein.michael@bcg.com</t>
  </si>
  <si>
    <t>435600-19P</t>
  </si>
  <si>
    <t>Michael Buffet</t>
  </si>
  <si>
    <t>Buffet</t>
  </si>
  <si>
    <t>Mr. Michael Buffet serves as Managing Director &amp; Partner at Boston Consulting Group. His broader energy sector experience covers renewable energies, CCUS, and methane emissions reduction. He has also explored opportunities and challenges arising from adjacent new sectors like ocean mining.</t>
  </si>
  <si>
    <t>buffet.michael@bcg.com</t>
  </si>
  <si>
    <t>436373-92P</t>
  </si>
  <si>
    <t>Michael Choy Ph.D</t>
  </si>
  <si>
    <t>Choy</t>
  </si>
  <si>
    <t>Dr. Michael Choy serves as Managing Director &amp; Senior Partner at Boston Consulting Group. He has extensive experience serving clients around the world on high-impact programs, developing strategies, and delivering innovative solutions, including the US Federal Government, State governments, and industry leaders.</t>
  </si>
  <si>
    <t>choy.michael@bcg.com</t>
  </si>
  <si>
    <t>435509-74P</t>
  </si>
  <si>
    <t>Michael Dahle</t>
  </si>
  <si>
    <t>Dahle</t>
  </si>
  <si>
    <t>Mr. Michael Dahle serves as Managing Director &amp; Partner at Boston Consulting Group. He leads Boston Consulting Group's Industrial Goods practice in Switzerland and has broad experience in large-scale transformations, performance improvement programs, and digitization of sales and service.</t>
  </si>
  <si>
    <t>dahle.michael@bcg.com</t>
  </si>
  <si>
    <t>456747-31P</t>
  </si>
  <si>
    <t>Michael Deimler</t>
  </si>
  <si>
    <t>Deimler</t>
  </si>
  <si>
    <t>Mr. Michael Deimler serves as Managing Director &amp; Senior Partner at Boston Consulting Group. He has significant experience advising clients on a broad range of classic and emerging strategy topics, including business model innovation, growth strategy, strategies for complex and uncertain environments, and strategies for innovation and intellectual property.</t>
  </si>
  <si>
    <t>deimler.michael@bcg.com</t>
  </si>
  <si>
    <t>455622-04P</t>
  </si>
  <si>
    <t>Michael Demyttenaere</t>
  </si>
  <si>
    <t>Demyttenaere</t>
  </si>
  <si>
    <t>Mr. Michael Demyttenaere serves as Managing Director &amp; Partner, CFO Excellence NAMR Leader at Boston Consulting Group. He is a core member of the firm's Corporate Finance &amp; Strategy and Transform practices. He leads North America's CFO Excellence work at BCG and has significant expertise in corporate finance and value acceleration. In his role as CFO Excellence leader, Michael works with CFOs on driving greater efficiency and effectiveness in finance functions. His expertise includes end-to-end finance transformations, operating model redesign, organization redesign, implementation of advanced planning and forecasting capabilities, and digital transformations.</t>
  </si>
  <si>
    <t>michael.demyttenaere@bcg.com</t>
  </si>
  <si>
    <t>Managing Director &amp; Partner; CFO Excellence NAMR Leader</t>
  </si>
  <si>
    <t>456005-80P</t>
  </si>
  <si>
    <t>Michael Engelhardt</t>
  </si>
  <si>
    <t>Engelhardt</t>
  </si>
  <si>
    <t>Mr. Michael Engelhardt serves as Managing Director, BCG Platinion at Boston Consulting Group. He co-leads the firm's cloud and next-generation ERP business in Europe, the Middle East, Africa, and South America (EMESA). He specializes in developing future-proof IT architectures and steering major IT transformation programs for clients primarily in the industrial goods and health care industries. He helps clients design and migrate to next-generation architectures, including transforming IT organizations so they can adeptly manage large-scale IT programs through agile methodologies. Prior to joining BCG, he worked as a software developer in Germany.</t>
  </si>
  <si>
    <t>engelhardt.michael@bcg.com</t>
  </si>
  <si>
    <t>435413-44P</t>
  </si>
  <si>
    <t>Michael Engels Ph.D</t>
  </si>
  <si>
    <t>Mr. Michael Engels serves as Managing Director &amp; Partner at Boston Consulting Group. He routinely engages in work with private equity funds in the area of software and IT service assets (cDD, vDD, FPP).</t>
  </si>
  <si>
    <t>engels.michael@bcg.com</t>
  </si>
  <si>
    <t>435861-91P</t>
  </si>
  <si>
    <t>Michael Fraser JD</t>
  </si>
  <si>
    <t>Mr. Michael Fraser serves as Managing Director &amp; Partner at Boston Consulting Group. His digital transformation focus is on managing the complexity of a digital program, innovation, new business build, customer journey, and scaling new ways of working. He has a particular interest in digitizing the core.</t>
  </si>
  <si>
    <t>michael.fraser@bcg.com</t>
  </si>
  <si>
    <t>456759-10P</t>
  </si>
  <si>
    <t>Michael Grebe Ph.D</t>
  </si>
  <si>
    <t>Grebe</t>
  </si>
  <si>
    <t>Dr. Michael Grebe serves as Managing Director &amp; Senior Partner at Boston Consulting Group. He is a member of the leadership team for the firm's Tech &amp; Digital Advantage practice. He has significant experience in IT, digital, and AI across industries, with a focus on transforming IT organizations into world-class technology functions (WCTFs) and assessing the digital and AI maturity of companies using BCG's Build for the Future x AI (BFFxAI) assessment. He co-leads BCG's WCTF and BFFxAI offers globally. Before joining the firm, he trained as a banker, worked as a software developer with an engineering company, and conducted several benchmark projects with IBM.</t>
  </si>
  <si>
    <t>grebe.michael@bcg.com</t>
  </si>
  <si>
    <t>436357-00P</t>
  </si>
  <si>
    <t>Michael Hu</t>
  </si>
  <si>
    <t>Hu</t>
  </si>
  <si>
    <t>Mr. Michael Hu serves as Managing Director &amp; Partner at Boston Consulting Group. is focus for the last 17 years has been working with consumer packaged goods (CPG) companies and retailers on digital supply chain, operations, and supply chain transformation to enable growth and unlock margins.</t>
  </si>
  <si>
    <t>hu.michael@bcg.com</t>
  </si>
  <si>
    <t>455630-14P</t>
  </si>
  <si>
    <t>Michael Kahlich</t>
  </si>
  <si>
    <t>Kahlich</t>
  </si>
  <si>
    <t>Mr. Michael Kahlich serves as Managing Director &amp; Partner at Boston Consulting Group. He is a core member of the firm's Financial Institutions practice and has extensive experience in the wealth management industry in Switzerland, Europe, and Asia. He has strong expertise in international wealth management, digital, and human resources topics and is also a member of BCG's Global Wealth Management leadership team.</t>
  </si>
  <si>
    <t>kahlich.michael@bcg.com</t>
  </si>
  <si>
    <t>456835-24P</t>
  </si>
  <si>
    <t>Michael Lutz</t>
  </si>
  <si>
    <t>Lutz</t>
  </si>
  <si>
    <t>Mr. Michael Lutz serves as Partner &amp; Associate Director at Boston Consulting Group. He leads the firm's work on the Office of the Chief Transformation Officer. He is a core member of BCG's People &amp; Organization practice area and works across industry sectors with a focus on change management and people change implementation. He is also a member of BCG TURN, the firm's transformation and turnaround practice. He works with clients on large-scale transformations as well as people change implementation, headcount reduction, and codetermination negotiations.</t>
  </si>
  <si>
    <t>lutz.michael@bcg.com</t>
  </si>
  <si>
    <t>182120-50P</t>
  </si>
  <si>
    <t>Michael McAdoo</t>
  </si>
  <si>
    <t>McAdoo</t>
  </si>
  <si>
    <t>Mr. Michael McAdoo serves as a Partner &amp; Director of Global Trade &amp; Investment at The Boston Consulting Group. Mr. McAdoo returned to The Boston Consulting Group in 2017. He is a core member of the firm's Global Advantage practice and a member of the Industrial Goods practice. For years, Mr. McAdoo has worked at the nexus of corporate strategy, public policy, and international geopolitics. He has been a member of the senior staff of the prime minister of a G7 country; a BCG principal; and a C-suite executive responsible for strategy, international trade, and international business development. He has successfully resolved trade disputes and/or market access barriers in the US, the EU, Russia, China, and Brazil. Mr. McAdoo began his career as a staffer in the Parliament of Canada, where he rose to become executive assistant to the prime minister. In this role, he participated in trade and diplomatic missions to several countries. He first joined BCG in 1995, working in the Toronto and Monterrey offices, and serving clients primarily in manufacturing. In 2001, he became a senior executive of Bombardier Inc., where he held leadership and C-suite roles in strategy, operations, international trade, and industrial services.</t>
  </si>
  <si>
    <t>michael_m@bcg.com</t>
  </si>
  <si>
    <t>Partner &amp; Director, Global Trade &amp; Investment</t>
  </si>
  <si>
    <t>456865-30P</t>
  </si>
  <si>
    <t>Michael Ruessmann</t>
  </si>
  <si>
    <t>Ruessmann</t>
  </si>
  <si>
    <t>Mr. Michael Ruessmann serves as Managing Director &amp; Senior Partner at Boston Consulting Group. He is the leader of DigitalBCG and the firm's Technology Advantage practice, as well as the TMT Technology Sector in Central and Eastern Europe and the Middle East. He is also a member of BCG's Telecommunications, Media &amp; Technology, and Industrial Goods practices. Since joining BCG, he has focused on clients in the telecommunications, software, and high-tech industries, as well as in traditional industries, such as automotive, transportation, logistics, building materials, machinery, and health care. Before joining BCG, he was a senior manager at Accenture Strategy.</t>
  </si>
  <si>
    <t>ruessmann.michael@bcg.com</t>
  </si>
  <si>
    <t>435442-51P</t>
  </si>
  <si>
    <t>Michael Ryba</t>
  </si>
  <si>
    <t>Ryba</t>
  </si>
  <si>
    <t>Mr. Michael Ryba serves as Partner &amp; Director at Boston Consulting Group. He leads the firm's work in logistics and distribution globally. He has over 25 years of experience working with clients on supply chain projects. He advises senior executives in the retail, consumer products, and distribution industries on supply chain vision, network design, sales and operations planning (S&amp;OP), inventory deployment and optimization, transportation, distribution center/fulfillment center operations (DC/FC) operations, and digital.</t>
  </si>
  <si>
    <t>ryba.michael@bcg.com</t>
  </si>
  <si>
    <t>435174-13P</t>
  </si>
  <si>
    <t>Michael Schmalzle Ph.D</t>
  </si>
  <si>
    <t>Schmalzle</t>
  </si>
  <si>
    <t>Mr. Michael Schmalzle serves as Managing Director &amp; Partner at Boston Consulting Group. His main area of expertise is the automotive industry, and he has worked on a number of transformation and performance improvement projects for automotive clients, focusing on marketing and sales as well as after-sales.</t>
  </si>
  <si>
    <t>michael.schmaelzle@bcg.com</t>
  </si>
  <si>
    <t>435451-06P</t>
  </si>
  <si>
    <t>Michael Schniering</t>
  </si>
  <si>
    <t>Schniering</t>
  </si>
  <si>
    <t>Mr. Michael Schniering serves as Managing Director &amp; Partner at Boston Consulting Group. He has led several transformation efforts, including in customer experience, channels, and operations to drive better customer experience. He has also led major business-building and new capabilities projects with an emphasis on using new digital, data, and technology as an enabler.</t>
  </si>
  <si>
    <t>schniering.michael@bcg.com</t>
  </si>
  <si>
    <t>435363-40P</t>
  </si>
  <si>
    <t>Michael Steiger</t>
  </si>
  <si>
    <t>Steiger</t>
  </si>
  <si>
    <t>Mr. Michael Steiger serves as Managing Director &amp; Partner at Boston Consulting Group. He has considerable expertise in mobile and fixed telecommunication networks, including 5G, network transformations, plan and build, cloudification, efficiency levers, automation and analytics, and network transactions and separations.</t>
  </si>
  <si>
    <t>steiger.michael@bcg.com</t>
  </si>
  <si>
    <t>456044-50P</t>
  </si>
  <si>
    <t>Michael Sticklen</t>
  </si>
  <si>
    <t>Sticklen</t>
  </si>
  <si>
    <t>Mr. Michael Sticklen serves as Managing Director &amp; Partner at Boston Consulting Group. He is a core member of the firm's People &amp; Organization and Technology practices. Since joining the firm in 2014, he has accumulated deep international experience in operating model &amp; organization design, operational excellence, and talent strategy. In addition, he has worked with clients across industries on large-scale transformation, M&amp;A in both PMIs and pre-close due diligence, and front and back-office redesign. Before joining BCG, he worked in corporate strategy and operations for Lennox International in Dallas.</t>
  </si>
  <si>
    <t>sticklen.michael@bcg.com</t>
  </si>
  <si>
    <t>435355-48P</t>
  </si>
  <si>
    <t>Michael Widowitz</t>
  </si>
  <si>
    <t>Widowitz</t>
  </si>
  <si>
    <t>Mr. Michael Widowitz serves as Managing Director &amp; Partner at Boston Consulting Group. He is an expert in the application of artificial intelligence, advanced analytics, and big data in financial institutions. He is a core member of the Financial Institutions practice at Boston Consulting Group.</t>
  </si>
  <si>
    <t>widowitz.michael@bcg.com</t>
  </si>
  <si>
    <t>434996-65P</t>
  </si>
  <si>
    <t>Michael Zhang</t>
  </si>
  <si>
    <t>Mr. Michael Zhang serves as Managing Director &amp; Partner at Boston Consulting Group. He has extensive experience in corporate strategy, organization and operating model transformation, digital capability development, and sales and marketing effectiveness.</t>
  </si>
  <si>
    <t>michael@bcg.com</t>
  </si>
  <si>
    <t>152378-11P</t>
  </si>
  <si>
    <t>Michal Panowicz</t>
  </si>
  <si>
    <t>Michal</t>
  </si>
  <si>
    <t>Panowicz</t>
  </si>
  <si>
    <t>Mr. Michal Panowicz serves as Managing Director &amp; Partner at Boston Consulting Group. Mr. Michal Panowicz served as Chief Product and Information Officer at Kreditech. He joined Kreditech as CPO in September 2016. His responsibilities include managing the Product teams as well as the technology department. Panowicz is known as "a digital frontrunner in banking" bringing nearly 20 years of proven track-record in financial services and technology. A major success in Panowicz's career was a complete digital transformation of the 3rd largest bank in Poland - mBank - and growing it to one of the most recognized brands in financial innovation worldwide. Directly prior to joining Kreditech, Panowicz was SVP &amp; Deputy Head of Digital Banking at Nordea where he staged the roadmap and execution platform for new digital channels of the Group. His earlier experiences include leadership positions at Microsoft, eBay, The Boston Consulting Group and serving as Independent Director on supervisory board of the Polish startup bank - Alior Bank. He holds an MBA from Harvard Business School and an MA in Finance and Banking from SGH Warsaw School of Economics.</t>
  </si>
  <si>
    <t>michal.panowicz@bcg.com</t>
  </si>
  <si>
    <t>435124-63P</t>
  </si>
  <si>
    <t>Michel Hochstrasser</t>
  </si>
  <si>
    <t>Hochstrasser</t>
  </si>
  <si>
    <t>Mr. Michel Hochstrasser serves as Managing Director &amp; Partner at Boston Consulting Group. He collaborates with biopharma and medtech companies on a broad range of strategic and operational topics, particularly commercial strategies, market access, and pricing at both the portfolio and brand level.</t>
  </si>
  <si>
    <t>hochstrasser.michel@bcg.com</t>
  </si>
  <si>
    <t>435435-85P</t>
  </si>
  <si>
    <t>Michelle Russell Ph.D</t>
  </si>
  <si>
    <t>Ms. Michelle Russell serves as Managing Director &amp; Senior Partner at Boston Consulting Group. Her work is focused on academic medical centers, hospital systems, and payers. She has deep client experience in change management and strategy.</t>
  </si>
  <si>
    <t>russell.michelle@bcg.com</t>
  </si>
  <si>
    <t>125410-51P</t>
  </si>
  <si>
    <t>Mickey McManus</t>
  </si>
  <si>
    <t>Mickey</t>
  </si>
  <si>
    <t>McManus</t>
  </si>
  <si>
    <t>Mr. Mickey McManus serves as Senior Advisor at Boston Consulting Group. He served as Chairman at MAYA Design. He a slo serves as Senior Advisor at The Boston Consulting Group. Mickey McManus is a pioneer in the field of collaborative innovation, pervasive computing, human-centered design, and education. He is the principal of MAYA Design and the chairman of the board. For over a decade, Mickey served as MAYA's president, delivering above-industry-average profit margins-year over year while consistently re-investing substantial funds back into MAYA's R&amp;D efforts. These investments form the core of a pool of intellectual property, trade secrets and most importantly talent that drives MAYA's agility, adaptability, and success.</t>
  </si>
  <si>
    <t>m-m@bcg.com</t>
  </si>
  <si>
    <t>455747-14P</t>
  </si>
  <si>
    <t>Mieke Gielis</t>
  </si>
  <si>
    <t>Mieke</t>
  </si>
  <si>
    <t>Gielis</t>
  </si>
  <si>
    <t>Ms. Mieke Gielis serves as Partner &amp; Associate Director, Organization Design &amp; Agile at Boston Consulting Group. She is a core member of the firm's People &amp; Organization practice. She has over 15 years of experience in large-scale organization transformation and change management in industries including life sciences, consumer goods, industrial goods, and energy and utilities. She works with clients to build bionic companies that are agile, resilient, and robust, enabling digital innovation and delivering purposeful and sustainable change. Before joining BCG, she was Executive Director, Advisory at Ernst &amp; Young, Belgium and the Netherlands. Before that, she worked as a business consultant at Mercuri Urval and MCR (KU Leuven) in Belgium.</t>
  </si>
  <si>
    <t>mieke.gielis@bcg.com</t>
  </si>
  <si>
    <t>Partner &amp; Associate Director, Organization Design &amp; Agile</t>
  </si>
  <si>
    <t>436180-96P</t>
  </si>
  <si>
    <t>Migaku Takizawa</t>
  </si>
  <si>
    <t>Migaku</t>
  </si>
  <si>
    <t>Takizawa</t>
  </si>
  <si>
    <t>Mr. Migaku Takizawa serves as Managing Director &amp; Partner at Boston Consulting Group. He is a core member of BCG's Industrial Goods and Marketing, Sales &amp; Pricing practices. He is also a leader in the firm's work in the automotive industry for Japan.</t>
  </si>
  <si>
    <t>takizawa.migaku@bcg.com</t>
  </si>
  <si>
    <t>435505-24P</t>
  </si>
  <si>
    <t>Miguel Carrasco</t>
  </si>
  <si>
    <t>Carrasco</t>
  </si>
  <si>
    <t>Mr. Miguel Carrasco serves as Managing Director &amp; Senior Partner at Boston Consulting Group. He has deep expertise in a wide range of topics, including artificial intelligence, digital strategy and transformation, digital innovation and service delivery, citizen-centric government, digital identity and trust, legacy systems modernization, IT strategy, tech program de-risking and recovery, the future of work, and the digital economy.</t>
  </si>
  <si>
    <t>carrasco.miguel@bcg.com</t>
  </si>
  <si>
    <t>435945-43P</t>
  </si>
  <si>
    <t>Miho Orimo</t>
  </si>
  <si>
    <t>Miho</t>
  </si>
  <si>
    <t>Orimo</t>
  </si>
  <si>
    <t>Ms. Miho Orimo serves as Managing Director &amp; Partner at Boston Consulting Group. She is also a core member of the firm's Public Sector and Climate &amp; Sustainability practices.</t>
  </si>
  <si>
    <t>mo@bcg.com</t>
  </si>
  <si>
    <t>435978-19P</t>
  </si>
  <si>
    <t>Mikael Le Mouellic</t>
  </si>
  <si>
    <t>Mikael</t>
  </si>
  <si>
    <t>Le Mouellic</t>
  </si>
  <si>
    <t>Mr. Mikael Le Mouellic serves as Managing Director &amp; Partner at Boston Consulting Group. He has broad operations experience across geographies (France, Italy, Germany, Thailand, China) in the automotive, aerospace, industrial goods, and consumer goods sectors.</t>
  </si>
  <si>
    <t>lemouellic.mikael@bcg.com</t>
  </si>
  <si>
    <t>435448-00P</t>
  </si>
  <si>
    <t>Mikael Ternhult</t>
  </si>
  <si>
    <t>Ternhult</t>
  </si>
  <si>
    <t>Mr. Mikael Ternhult serves as Managing Director &amp; Partner at Boston Consulting Group. He leads BCG's Automotive practice in the Nordics and has worked for Europe-based automotive OEMs and suppliers along all steps of the value chain and across geographies. He has a strong functional grounding in operations and leads the Swedish Operations practice.</t>
  </si>
  <si>
    <t>ternhult.mikael@bcg.com</t>
  </si>
  <si>
    <t>455405-50P</t>
  </si>
  <si>
    <t>Mike Duffy</t>
  </si>
  <si>
    <t>Duffy</t>
  </si>
  <si>
    <t>Mr. Mike Duffy serves as Managing Director &amp; Senior Partner at Boston Consulting Group. He leads the firm's Health Care practice for the Southern US. He works with clients in the health care services industry and has deep experience with providers, payers, and pharmacy services (wholesale, pharmacy benefit managers, manufacturer services, and retail pharmacy). His engagements are typically within enterprise strategy and growth, strategic partnerships (M&amp;A), transformation, organization design, operations, and post-merger integration.</t>
  </si>
  <si>
    <t>duffy.mike@bcg.com</t>
  </si>
  <si>
    <t>435090-52P</t>
  </si>
  <si>
    <t>Mike Evans</t>
  </si>
  <si>
    <t>Mr. Mike Evans serves as Managing Director &amp; Partner at Boston Consulting Group. He has previous experience as a retail operator in chief marketing officer, head of digital, and strategy roles, and as a startup entrepreneur, strategy consultant, and investment banker.</t>
  </si>
  <si>
    <t>evans.mike@bcg.com</t>
  </si>
  <si>
    <t>435715-30P</t>
  </si>
  <si>
    <t>Mike Lewis</t>
  </si>
  <si>
    <t>Mr. Mike Lewis serves as Managing Director &amp; Senior Partner, Leader Key by BCG at Boston Consulting Group. He works primarily with clients in the energy sector, he has consulted on projects involving strategy, operations, and organization and change management-topics for which he is a top BCG team member.</t>
  </si>
  <si>
    <t>lewis.mike@bcg.com</t>
  </si>
  <si>
    <t>Managing Director &amp; Senior Partner, Leader Key by BCG</t>
  </si>
  <si>
    <t>436157-29P</t>
  </si>
  <si>
    <t>Mike Marquis</t>
  </si>
  <si>
    <t>Marquis</t>
  </si>
  <si>
    <t>Mr. Mike Marquis serves as Managing Director &amp; Partner at Boston Consulting Group. His recent work on development includes building and developing R&amp;D operating models, accelerating clinical trial programs, embedding more agile ways of working in product development teams, and designing effective governance.</t>
  </si>
  <si>
    <t>marquis.mike@bcg.com</t>
  </si>
  <si>
    <t>436366-27P</t>
  </si>
  <si>
    <t>Mike Matson Ph.D</t>
  </si>
  <si>
    <t>Matson</t>
  </si>
  <si>
    <t>Mr. Mike Matson serves as Partner &amp; Associate Director, Low Carbon Solutions at Boston Consulting Group. He focuses on subsurface innovations that facilitate the energy transition across various industries, including carbon capture, utilization, and storage (CCUS), direct air capture (DAC), critical mineral recovery, and white hydrogen production.</t>
  </si>
  <si>
    <t>matson.mike@bcg.com</t>
  </si>
  <si>
    <t>435207-61P</t>
  </si>
  <si>
    <t>Mike Quinn</t>
  </si>
  <si>
    <t>Quinn</t>
  </si>
  <si>
    <t>Mr. Mike Quinn serves as Managing Director &amp; Partner at Boston Consulting Group. He leads the Center for Digital and Automotive for Boston Consulting Group.</t>
  </si>
  <si>
    <t>quinn.mike@bcg.com</t>
  </si>
  <si>
    <t>436173-04P</t>
  </si>
  <si>
    <t>Mikhail Volkov</t>
  </si>
  <si>
    <t>Mikhail</t>
  </si>
  <si>
    <t>Volkov</t>
  </si>
  <si>
    <t>Mr. Mikhail Volkov serves as Managing Director &amp; Partner at Boston Consulting Group. He focuses on topics in large-scale transformation, artificial intelligence, and operational excellence.</t>
  </si>
  <si>
    <t>volkov.mikhail@bcg.com</t>
  </si>
  <si>
    <t>455461-39P</t>
  </si>
  <si>
    <t>Mikko Tynkkynen</t>
  </si>
  <si>
    <t>Mikko</t>
  </si>
  <si>
    <t>Tynkkynen</t>
  </si>
  <si>
    <t>Mr. Mikko Tynkkynen serves as Managing Director &amp; Partner at Boston Consulting Group. He leads the firm's BCG Transform practice in Helsinki. He leads large-scale change engagements covering strategic questions, program design, and execution, to deliver the results in close cooperation with client teams. He has worked with clients on ambitious cost-out programs, post-merger integrations, and holistic business transformations. Mr. Tynkkynen is also a lead member of BCG's Industrial Goods and Operations practices.</t>
  </si>
  <si>
    <t>mikko.tynkkynen@bcg.com</t>
  </si>
  <si>
    <t>434898-37P</t>
  </si>
  <si>
    <t>Milan Wadher</t>
  </si>
  <si>
    <t>Wadher</t>
  </si>
  <si>
    <t>Mr. Milan Wadher serves as Partner &amp; Associate Director at Boston Consulting Group. He has worked with retailers globally on e-marketplace strategies, logistics and fulfillment strategies, end-to-end supply chain optimization, post-merger integration, commercial due diligence, and performance improvement, among other engagements.</t>
  </si>
  <si>
    <t>wadher.milan@bcg.com</t>
  </si>
  <si>
    <t>456697-90P</t>
  </si>
  <si>
    <t>Mills Schenck</t>
  </si>
  <si>
    <t>Schenck</t>
  </si>
  <si>
    <t>Mr. Mills Schenck serves as Managing Director &amp; Senior Partner at Boston Consulting Group. He is head of the firm's Nairobi office. He is a core member of BCG's Corporate Finance &amp; Strategy (CFS) practice area, and has deep experience in corporate strategy, covering growth, portfolio, M&amp;A, and investor strategy across a range of industries, including health care, financial services, and consumer goods. Prior to joining BCG, he worked in Visa USA's corporate development group and at Harris Williams &amp; Co., a boutique investment bank.</t>
  </si>
  <si>
    <t>schenck.mills@bcg.com</t>
  </si>
  <si>
    <t>455716-18P</t>
  </si>
  <si>
    <t>Mindy Crenshaw</t>
  </si>
  <si>
    <t>Mindy</t>
  </si>
  <si>
    <t>Crenshaw</t>
  </si>
  <si>
    <t>Ms. Mindy Crenshaw serves as Managing Director &amp; Partner at Boston Consulting Group. She is a core member of the firm's Health Care practice, specializing in the medical technology industry. The current focus of her work is next-generation commercial model design in medtech, and she spends much of her time working with clients on sales force excellence/redesign, inside sales, pricing, key accounts, and digital topics. She also has extensive experience leading post-merger integration and commercial model integration processes for her medtech clients.</t>
  </si>
  <si>
    <t>crenshaw.mindy@bcg.com</t>
  </si>
  <si>
    <t>182001-79P</t>
  </si>
  <si>
    <t>Mindy Hauptman</t>
  </si>
  <si>
    <t>Hauptman</t>
  </si>
  <si>
    <t>Ms. Mindy Hauptman serves as Partner &amp; Associate Director, Retail Banking at Boston Consulting Group. Ms. Mindy Hauptman served as Managing Director at Financial Health Network. She believes that financial institutions are well positioned to help their customers improve their financial health, and that doing so will improve the institutions' business performance as well. She is the Managing Director of CFSI's consulting/advisory practice. She provides strategic direction, performs business development, and contributes to processes that ensure the delivery of high quality insights and advice to clients. She brings to CFSI 15 years of experience at a top 10 bank where she held positions in deposit products, branch sales strategy, and marketing. Prior to this, she worked in market research and strategic planning, focusing on financial and other service institutions. She earned an MBA from the Wharton School of the University of Pennsylvania and a BA in Public Policy from Princeton University.</t>
  </si>
  <si>
    <t>hauptman.mindy@bcg.com</t>
  </si>
  <si>
    <t>Partner &amp; Associate Director, Retail Banking</t>
  </si>
  <si>
    <t>455365-09P</t>
  </si>
  <si>
    <t>Ming Deng</t>
  </si>
  <si>
    <t>Deng</t>
  </si>
  <si>
    <t>Ms. Ming Deng serves as a Partner at Boston Consulting Group. She is a core member of BCG's Principal Investors &amp; Private Equity, Corporate Finance &amp; Strategy, and Consumer practices. She has extensive experience in collaborating with global private equity funds, leading investors in Japan, and large corporations on M&amp;A-related topics. Her expertise spans due diligence, post-merger integration (PMI), joint ventures, strategic alliances, and carve-outs. Prior to joining BCG, she worked at a Hong Kong-based equity research firm serving hedge funds.</t>
  </si>
  <si>
    <t>ming.deng@bcg.com</t>
  </si>
  <si>
    <t>436131-64P</t>
  </si>
  <si>
    <t>Minjee Kim</t>
  </si>
  <si>
    <t>Minjee</t>
  </si>
  <si>
    <t>Ms. Minjee Kim serves as Managing Director &amp; Partner at Boston Consulting Group. She specializes in corporate and portfolio strategy, operational transformation, new business development, and digital and agile transformation.</t>
  </si>
  <si>
    <t>kim.minjee@bcg.com</t>
  </si>
  <si>
    <t>456214-87P</t>
  </si>
  <si>
    <t>Mir Salim Ph.D</t>
  </si>
  <si>
    <t>Mir</t>
  </si>
  <si>
    <t>Salim</t>
  </si>
  <si>
    <t>Dr. Mir Salim serves as Managing Director at Boston Consulting Group. He is a core member of the Principal Investors &amp; Private Equity and Corporate Finance &amp; Strategy practices at the firm. His clients are predominantly Malaysian institutional investors and their portfolio companies, especially in the energy and infrastructure industries. Before joining the firm, he was an Assistant Professor of Business Administration at the University of Virginia's Darden School of Business.</t>
  </si>
  <si>
    <t>salim.mir@bcg.com</t>
  </si>
  <si>
    <t>436433-77P</t>
  </si>
  <si>
    <t>Mitch Colgan</t>
  </si>
  <si>
    <t>Mitch</t>
  </si>
  <si>
    <t>Colgan</t>
  </si>
  <si>
    <t>Mr. Mitch Colgan serves as Managing Director &amp; Partner at Boston Consulting Group. His focus is on large-scale digital transformations across industries, particularly centered on AI and data monetization (personalization, retail media, etc.).</t>
  </si>
  <si>
    <t>colgan.mitch@bcg.com</t>
  </si>
  <si>
    <t>456114-07P</t>
  </si>
  <si>
    <t>Miyabi Honda</t>
  </si>
  <si>
    <t>Miyabi</t>
  </si>
  <si>
    <t>Honda</t>
  </si>
  <si>
    <t>Ms. Miyabi Honda serves as Managing Director &amp; Partner at Boston Consulting Group. She is a core member of the People &amp; Organization (POP) practice at the firm. She works on large-scale transformations, organizational design and implementation, process reengineering, change management, post-merger integration, and driving functional excellence. She draws on operational insights and enterprise strategy to execute transformation programs that deliver on immediate objectives while also realigning organizations to long-term business priorities on a global scale. She collaborates with clients across a wide range of industries, including industrial goods, real estate, construction, technology, travel, energy, and health care.</t>
  </si>
  <si>
    <t>honda.miyabi@bcg.com</t>
  </si>
  <si>
    <t>436409-29P</t>
  </si>
  <si>
    <t>Mohammad Khan</t>
  </si>
  <si>
    <t>Mr. Mohammad Khan serves as Managing Director &amp; Partner at Boston Consulting Group. His clients span retail and commercial banks, sovereign wealth funds, and financial regulators; and he works with them on a broad range of topics including strategy, transformation, and product design.</t>
  </si>
  <si>
    <t>khan.mohammad@bcg.com</t>
  </si>
  <si>
    <t>436425-04P</t>
  </si>
  <si>
    <t>Mohammed Ajmal</t>
  </si>
  <si>
    <t>Mohammed</t>
  </si>
  <si>
    <t>Ajmal</t>
  </si>
  <si>
    <t>Mr. Mohammed Ajmal serves as Managing Director &amp; Partner at Boston Consulting Group. He has significant experience working with FI clients in large-scale transformations, operating model and organization design efforts, technology function assessments and redesign, and cost improvement projects.</t>
  </si>
  <si>
    <t>ajmal.mohammed@bcg.com</t>
  </si>
  <si>
    <t>436204-27P</t>
  </si>
  <si>
    <t>Monica Schwarm JD</t>
  </si>
  <si>
    <t>Monica</t>
  </si>
  <si>
    <t>Schwarm</t>
  </si>
  <si>
    <t>Ms. Monica Schwarm serves as Managing Director &amp; Partner at Boston Consulting Group. She focuses on transformational topics, including M&amp;A, operating model redesign, cost optimization, growth strategy, and large-scale change.</t>
  </si>
  <si>
    <t>schwarm.monica@bcg.com</t>
  </si>
  <si>
    <t>435373-03P</t>
  </si>
  <si>
    <t>Monika Saunders Ph.D</t>
  </si>
  <si>
    <t>Monika</t>
  </si>
  <si>
    <t>Saunders</t>
  </si>
  <si>
    <t>Dr. Monika Saunders serves as Managing Director &amp; Partner at Boston Consulting Group. She is a core member of the Operations and Industrial Goods practices at the firm. She works primarily with mining and manufacturing clients, focusing on cost optimization, full potential plans, frontline enablement, and lean operations.</t>
  </si>
  <si>
    <t>saunders.monika@bcg.com</t>
  </si>
  <si>
    <t>455204-35P</t>
  </si>
  <si>
    <t>Moritz Hagenmuller Ph.D</t>
  </si>
  <si>
    <t>Moritz</t>
  </si>
  <si>
    <t>Dr. Moritz Hagenmuller serves as Managing Director &amp; Senior Partner at Boston Consulting Group. He is a leading member of the firm's Principal Investor &amp; Private Equity and Tech &amp; Digital Advantage practices focused on digitization and technology value creation. He is committed to helping clients turn disruption into growth opportunities.</t>
  </si>
  <si>
    <t>hagenmuller.moritz@bcg.com</t>
  </si>
  <si>
    <t>455707-27P</t>
  </si>
  <si>
    <t>Moritz Kordes</t>
  </si>
  <si>
    <t>Kordes</t>
  </si>
  <si>
    <t>Mr. Moritz Kordes serves as Managing Director &amp; Partner at Boston Consulting Group. He is a core member of the Corporate Finance &amp; Strategy, Health Care, and Industrial Goods practices at the firm. He focuses on strategy development, transactions, and full potential plans, specifically at the intersection of health care and industrial goods. As a member of the firm's European Corporate Finance &amp; Strategy Task Force, he has extensive experience in corporate and business unit strategy, divestments, and acquisitions. His recent work includes vendor due diligence, business plan development, and carve-outs. He has also supported several buy-side efforts for corporate and private equity clients.</t>
  </si>
  <si>
    <t>kordes.moritz@bcg.com</t>
  </si>
  <si>
    <t>435420-82P</t>
  </si>
  <si>
    <t>Morten Bjornson</t>
  </si>
  <si>
    <t>Morten</t>
  </si>
  <si>
    <t>Bjornson</t>
  </si>
  <si>
    <t>Mr. Morten Bjornson serves as Partner at Boston Consulting Group. He supports his clients on topics related to strategy, corporate finance, operating models and large-scale transformations.</t>
  </si>
  <si>
    <t>bjornson.morten@bcg.com</t>
  </si>
  <si>
    <t>436435-30P</t>
  </si>
  <si>
    <t>Motoko Ishikawa</t>
  </si>
  <si>
    <t>Motoko</t>
  </si>
  <si>
    <t>Ms. Motoko Ishikawa serves as Partner at Boston Consulting Group. She has worked on numerous projects including covering R&amp;D and innovation strategies, medium- and long-term corporate strategies, organizational reform, and market access strategies.</t>
  </si>
  <si>
    <t>ishikawa.motoko@bcg.com</t>
  </si>
  <si>
    <t>436698-28P</t>
  </si>
  <si>
    <t>Mukund Rajagopalan</t>
  </si>
  <si>
    <t>Mukund</t>
  </si>
  <si>
    <t>Rajagopalan</t>
  </si>
  <si>
    <t>Mr. Mukund Rajagopalan serves as Partner &amp; Director at Boston Consulting Group. He has worked on virtually all aspects of organization and human resources, including strategic manpower planning, recruiting, performance management systems, talent management, leadership development, training, organization design, HR effectiveness, and HR IT.</t>
  </si>
  <si>
    <t>rajagopalan.mukund@bcg.com</t>
  </si>
  <si>
    <t>435082-69P</t>
  </si>
  <si>
    <t>Munir Nasser</t>
  </si>
  <si>
    <t>Munir</t>
  </si>
  <si>
    <t>Nasser</t>
  </si>
  <si>
    <t>Mr. Munir Nasser serves as Managing Director &amp; Partner at Boston Consulting Group. He has supported and provided digital transformation advisory services to C-level executives in multiple industries, including financial services, retail, telecommunications, media, travel and transportation, and entertainment.</t>
  </si>
  <si>
    <t>nasser.munir@bcg.com</t>
  </si>
  <si>
    <t>128736-01P</t>
  </si>
  <si>
    <t>Myrto Lee Ph.D</t>
  </si>
  <si>
    <t>Myrto</t>
  </si>
  <si>
    <t>Dr. Myrto Lee serves as Managing Director, Member - Health Care and Global Advantage practice &amp; Partner at Boston Consulting Group. Dr. Myrto Lee served as Director, Finance &amp; Administration at HICX Solutions. Previously she served as Board Member at the company. She joined HICX as CF&amp;AO in 2009 to oversee the financial, human resources and legal functions of the company. She also serves as a member of HICX's Board of Directors. Myrto started her career working with the leading pharmaceutical company Pfizer, before leaving to complete her PhD in Drug Delivery. Afterwards, she spent a number of years working in the biotech startup industry, in variety of cross-functional roles. From then she moved into the pharma regulatory space, where she oversaw approval of innovative drugs coming to market. Myrto holds a Bachelor's of Pharmacy from King's College London, a PhD from Cardiff University, and an MBA from London Business School.</t>
  </si>
  <si>
    <t>m-l@bcg.com</t>
  </si>
  <si>
    <t>Managing Director, Member - Health Care and Global Advantage practice &amp; Partner</t>
  </si>
  <si>
    <t>456140-71P</t>
  </si>
  <si>
    <t>Nabil Mikou</t>
  </si>
  <si>
    <t>Nabil</t>
  </si>
  <si>
    <t>Mikou</t>
  </si>
  <si>
    <t>Mr. Nabil Mikou serves as Managing Director &amp; Partner at Boston Consulting Group. He leads BCG X Ventures in Morocco, as well as learning and development for BCG in Africa. At BCG X, he focuses on venture building, innovation, and transformation across industries. He leads BCG's efforts to accelerate innovation across Morocco and Africa, partnering with clients to design, build, and scale disruptive ventures and products that create significant value for businesses and society alike. He works to empower his clients by combining BCG's deep industry expertise with advanced technology capabilities, including AI, digital, product design, business development, and entrepreneurship. Before joining the firm, he was a Manager, FI &amp; Risk Management, at Accenture.</t>
  </si>
  <si>
    <t>mikou.nabil@bcg.com</t>
  </si>
  <si>
    <t>455349-52P</t>
  </si>
  <si>
    <t>Nadeem Kola</t>
  </si>
  <si>
    <t>Nadeem</t>
  </si>
  <si>
    <t>Kola</t>
  </si>
  <si>
    <t>Mr. Nadeem Kola serves as a Principal at Boston Consulting Group. He is a core member of the firm's Financial Institutions, Insurance, and Transform practices. He has over 15 years of experience working with clients in Africa, the Middle East, Europe, and the US on topics including strategy development, operations optimization, large-scale transformation, and product innovation. Before joining the firm, he worked in banking, insurance, and consulting at Absa, Hollard Insurance, and other companies.</t>
  </si>
  <si>
    <t>kola.nadeem@bcg.com</t>
  </si>
  <si>
    <t>456531-67P</t>
  </si>
  <si>
    <t>Nadia Leao</t>
  </si>
  <si>
    <t>Nadia</t>
  </si>
  <si>
    <t>Leao</t>
  </si>
  <si>
    <t>Ms. Nadia Leao serves as Managing Director &amp; Partner at Boston Consulting Group. He is a core member of the firm's Consumer, Marketing, Sales &amp; Pricing, People &amp; Organization, and Global Advantage practices. She has particular expertise in beauty, consumer goods, fashion, and luxury. She leads Women @BCG in Brazil. Before coming to BCG, she held positions at Grupo Boticário, Walmart, Google, AB Inbev/Ambev, and Danone.</t>
  </si>
  <si>
    <t>nadia.leao@bcg.com</t>
  </si>
  <si>
    <t>434841-40P</t>
  </si>
  <si>
    <t>Nadim Sah</t>
  </si>
  <si>
    <t>Nadim</t>
  </si>
  <si>
    <t>Sah</t>
  </si>
  <si>
    <t>Mr. Nadim Sah serves as Partner at Boston Consulting Group. In his work with semiconductor clients, software companies, and private equity funds, he often focuses on how to grow the top and bottom line through branching into adjacencies, innovating business models, or unlocking new pathways through M&amp;A.</t>
  </si>
  <si>
    <t>ns@bcg.com</t>
  </si>
  <si>
    <t>435338-74P</t>
  </si>
  <si>
    <t>Nadine Moore</t>
  </si>
  <si>
    <t>Nadine</t>
  </si>
  <si>
    <t>Ms. Nadine Moore serves as Managing Director &amp; Senior Partner at Boston Consulting Group. She focuses on bringing DAS solutions to insurance clients, especially those in the property and casualty space. She also works with financial services clients on finance, risk, regulatory issues, and cybersecurity. Prior to joining BCG, she was a managing director and practice leader at Accenture.</t>
  </si>
  <si>
    <t>moore.nadine@bcg.com</t>
  </si>
  <si>
    <t>324887-50P</t>
  </si>
  <si>
    <t>Nadjia Yousif</t>
  </si>
  <si>
    <t>Nadjia</t>
  </si>
  <si>
    <t>Yousif</t>
  </si>
  <si>
    <t>Chief Diversity Officer &amp; Managing Director</t>
  </si>
  <si>
    <t>Ms. Nadjia Yousif serves as Chief Diversity Officer, Partner &amp; Managing Director at Boston Consulting Group. She joined BCG in 2004 in the US and rejoined the firm in 2009 in the UK after spending several years at UBS Wealth Management. She currently acts as DE&amp;I lead for BCG in Europe, the Middle East, South America, and Africa (EMEA), and previously led the DE&amp;I agenda for BCG's London, Amsterdam, and Brussels (LAB) system. Yousif has coauthored numerous BCG articles on advancing the role of women in tech and effective DE&amp;I metrics, and has helped BCG lead societal change through partnerships with Bloomberg, the Women's Forum, Catalyst, TED Women, EurOut, ROMBA, The Valuable 500, Girls Who Code, and others.</t>
  </si>
  <si>
    <t>nadjia.yousif@bcg.com</t>
  </si>
  <si>
    <t>Chief Diversity Officer, Partner &amp; Managing Director</t>
  </si>
  <si>
    <t>435640-69P</t>
  </si>
  <si>
    <t>Nadya Bartol</t>
  </si>
  <si>
    <t>Bartol</t>
  </si>
  <si>
    <t>Ms. Nadya Bartol serves as Managing Director, BCG Platinion at Boston Consulting Group. She advises clients in the financial services, technology, energy, insurance, professional services, and consumer packaged goods sectors on cybersecurity strategy and implementation. Her focus is on helping BCG clients improve their cybersecurity strategies and cybersecurity programs.</t>
  </si>
  <si>
    <t>bartol.nadya@bcg.com</t>
  </si>
  <si>
    <t>435780-01P</t>
  </si>
  <si>
    <t>Nandini DasGupta</t>
  </si>
  <si>
    <t>Nandini</t>
  </si>
  <si>
    <t>DasGupta</t>
  </si>
  <si>
    <t>Ms. Nandini DasGupta serves as Senior Advisor at Boston Consulting Group. Ms. DasGupta previously served as Managing Director &amp; Senior Partner at the firm. She leads BCG's People &amp; Organization practice in Canada, is the People Chair for BCG Canada, and the Leader of the Women@BCG Initiative in North America. She is also a core member of the firm's Financial Institutions practice. She has worked predominantly in the financial services and consumer retail industries, and is one of the firm's experts in the topics of customer experience and women in business, both in terms of inclusion in the workforce and targeting women as customers. Before joining BCG, she worked at General Electric as a project engineer.</t>
  </si>
  <si>
    <t>dasgupta.nan@bcg.com</t>
  </si>
  <si>
    <t>436439-53P</t>
  </si>
  <si>
    <t>Nanne Louw</t>
  </si>
  <si>
    <t>Nanne</t>
  </si>
  <si>
    <t>Louw</t>
  </si>
  <si>
    <t>Ms. Nanne Louw serves as Managing Director &amp; Partner at Boston Consulting Group. She leads the Women@BCG initiative in Canada, and is a member of the global Industrial Goods leadership team for Alumni &amp; Spirit, and the global Global Advantage leadership team for People.</t>
  </si>
  <si>
    <t>louw.nanne@bcg.com</t>
  </si>
  <si>
    <t>456827-50P</t>
  </si>
  <si>
    <t>Naoto Kubo</t>
  </si>
  <si>
    <t>Naoto</t>
  </si>
  <si>
    <t>Kubo</t>
  </si>
  <si>
    <t>Mr. Naoto Kubo serves as Managing Director &amp; Senior Partner at Boston Consulting Group. He first joined the firm in 2003. He rejoined the firm in 2012 after working at Advantage Partners, a Japanese private equity firm. He is a coleader of BCG's People &amp; Organization practice in Japan, and a core member of the firm's Financial Institutions practice. He has worked closely with clients, mostly in financial services. Much of his work involves the implementation of business strategies, transformation, group management, digital transformation, and post-merger integration (PMI). Prior to joining BCG in 2003, Mr. Kubo worked for Mizuho Financial Group.</t>
  </si>
  <si>
    <t>kubo.naoto@bcg.com</t>
  </si>
  <si>
    <t>402737-41P</t>
  </si>
  <si>
    <t>Natasha Taylor</t>
  </si>
  <si>
    <t>Natasha</t>
  </si>
  <si>
    <t>Ms. Natasha Taylor serves as Managing Director &amp; Senior Partner at Boston Consulting Group. She is a leader in the firm's Health Care practice. She has extensive experience working on mergers and acquisitions with providers, payers, and physician groups. She has also led numerous transformation engagements, including an end-to-end cost and clinical function transformation for a national health system. Before joining BCG, she worked at The Advisory Board Company, a health care research and consulting firm in Washington, where she focused on strategic planning and capital allocation guidance for hospitals.</t>
  </si>
  <si>
    <t>taylor.natasha@bcg.com</t>
  </si>
  <si>
    <t>456426-82P</t>
  </si>
  <si>
    <t>Nate Holobinko</t>
  </si>
  <si>
    <t>Nate</t>
  </si>
  <si>
    <t>Holobinko</t>
  </si>
  <si>
    <t>Mr. Nate Holobinko serves as Managing Director &amp; Senior Partner at Boston Consulting Group. He is the North America leader for payers, providers, systems, and services (PPSS) within Boston Consulting Group's Health Care practice. He previously led BCG's Health Care practice for the Western US. He focuses on the intersection of insurance and care delivery, where the rapid evolution in therapeutics, analytics, and regulation is creating new opportunities for growth, improved economics, and better patient outcomes. Prior to joining BCG, he was a principal in Booz &amp; Company's health care strategy practice.</t>
  </si>
  <si>
    <t>holobinko.nate@bcg.com</t>
  </si>
  <si>
    <t>456212-80P</t>
  </si>
  <si>
    <t>Nate Shenck</t>
  </si>
  <si>
    <t>Shenck</t>
  </si>
  <si>
    <t>Mr. Nate Shenck serves as Managing Director, Senior Partner &amp; Global Leader, Retail Sector at Boston Consulting Group. He is a core member of the firm's Consumer, Health Care, and Operations practices. He works primarily with major retail and health care companies to drive significant strategic and operational change in order to address their most critical challenges and achieve sustainable impact. Prior to joining BCG, he was a nuclear submarine officer in the United States Navy and a military professor at the United States Naval Academy. Nate is also the past Leader of BCG's North America Veteran Network.</t>
  </si>
  <si>
    <t>shenck.nate@bcg.com</t>
  </si>
  <si>
    <t>Managing Director, Senior Partner &amp; Global Leader, Retail Sector</t>
  </si>
  <si>
    <t>202538-89P</t>
  </si>
  <si>
    <t>Nathalia Bellizia JD</t>
  </si>
  <si>
    <t>Nathalia</t>
  </si>
  <si>
    <t>Bellizia</t>
  </si>
  <si>
    <t>Ms. Nathlia Bellizia serves as Managing Director &amp; Partner at Boston Consulting Group. Nathi is a core member of the Insurance practice at Boston Consulting Group with deep expertise in life insurance, particularly growth strategy, underwriting, distribution, and asset management. Nathi rejoined BCG in 2018 after a year at Marsh &amp; McLennan Companies, where she worked mostly with insurance brokerages and health and wealth industry companies. At the firm, Nathi specializes in life and commercial P&amp;C insurance, and from a value chain standpoint, focuses on distribution, underwriting, and operations. She also works with clients on corporate finance and strategy topics, including growth, portfolio optimization, Total Shareholder Return (TSR), and M&amp;A. She has helped global and regional insurers develop growth, M&amp;A, digital, and enterprise-wide digital strategies.</t>
  </si>
  <si>
    <t>bellizia.nathalia@bcg.com</t>
  </si>
  <si>
    <t>455335-66P</t>
  </si>
  <si>
    <t>Nathan Micon</t>
  </si>
  <si>
    <t>Nathan</t>
  </si>
  <si>
    <t>Micon</t>
  </si>
  <si>
    <t>Mr. Nathan Micon serves as a Partner at Boston Consulting Group. He is a core member of the firm's Technology, Media &amp; Telecommunications practice, primarily focused on video and sports. He is also a leading member of the firm's Global Institute for the Future of Television (GIFT), which produces BCG research and publications on emerging consumer video consumption habits and preferences.</t>
  </si>
  <si>
    <t>nathan@bcg.com</t>
  </si>
  <si>
    <t>435370-96P</t>
  </si>
  <si>
    <t>Nathan Niese Ph.D</t>
  </si>
  <si>
    <t>Niese</t>
  </si>
  <si>
    <t>Mr. Nathan Niese serves as Managing Director &amp; Partner at Boston Consulting Group. His client work focuses on energy transition, the circular economy, and emerging opportunities created by sustainable technologies and environmental regulations.</t>
  </si>
  <si>
    <t>nathan.niese@bcg.com</t>
  </si>
  <si>
    <t>434837-80P</t>
  </si>
  <si>
    <t>Nathaniel Kenninger</t>
  </si>
  <si>
    <t>Nathaniel</t>
  </si>
  <si>
    <t>Kenninger</t>
  </si>
  <si>
    <t>Mr. Nathaniel Kenninger serves as Partner at Boston Consulting Group. He works across functions with his clients to ensure corporate resilience. As such, he has extensive experience in corporate strategy, organization design, and operational improvement.</t>
  </si>
  <si>
    <t>kenninger.nathaniel@bcg.com</t>
  </si>
  <si>
    <t>435828-97P</t>
  </si>
  <si>
    <t>Neal Rich</t>
  </si>
  <si>
    <t>Mr. Neal Rich serves as Partner &amp; Director at Boston Consulting Group. He has been critical to developing BCG's approaches to ROMI: Return on Marketing Investment across both B2C and B2B industries. Neal maintains BCG's relationships with third-party analytic firms and leverages his prior work experience to help clients better partner with their agencies.</t>
  </si>
  <si>
    <t>neal.rich@bcg.com</t>
  </si>
  <si>
    <t>456772-78P</t>
  </si>
  <si>
    <t>Neal Zuckerman</t>
  </si>
  <si>
    <t>Zuckerman</t>
  </si>
  <si>
    <t>Mr. Neal Zuckerman serves as Managing Director &amp; Senior Partner at Boston Consulting Group. He is a core member of the Strategy and Technology, Media &amp; Telecommunications practices of the firm. He works in the media, entertainment, and communications industries, particularly on business building, large-scale transformation, technology, advertising, and sales force effectiveness. Before joining BCG, he worked for Time Warner as head of strategy and business development for Time Inc.'s corporate sales group and as an executive director in Time Warner's strategic planning group. He was also previously a senior associate at McKinsey, working predominantly for print media companies on growth strategies (traditional and Internet) and cost reduction efforts.</t>
  </si>
  <si>
    <t>zuckerman.neal@bcg.com</t>
  </si>
  <si>
    <t>109271-44P</t>
  </si>
  <si>
    <t>Neeraj Aggarwal</t>
  </si>
  <si>
    <t>Neeraj</t>
  </si>
  <si>
    <t>Mr. Neeraj Aggarwal serves as Co-Founder &amp; Trustee at Plaksha University. Mr. Aggarwal serves as Managing Director, Senior Partner; Chair of Asia-Pacific and member of the Executive Committee at Boston Consulting Group. He oversees BCG's business in Australia, China, India, Japan, South Korea, and Southeast Asia. Prior to this he had led the BCG India office since 2015. He has 20 years of experience with clients in the technology, financial services, and consumer sectors. He has worked with clients across geographies ranging across India, Europe, Southeast Asia, the Middle East, and North America. In recent years, he has worked closely with sectors that have been at the forefront of considerable change in India. He has deep experience in driving transformative change in both large and ambitious mid-sized organizations. He has worked on issues including business strategy, sales force effectiveness, digital disruption, operations excellence, and organization design. More recently, he has focused much of his work on the disruptive impact of digital across businesses. He is very passionate about using technology to leapfrog development and large-scale change in India. He has been playing a very active role in mobile payments and financial inclusion, leveraging his cross-industry expertise. He is a member of the firm's global client service team, which focuses on transforming BCG's engagement model with clients. In the past, he has also headed recruiting and operations at BCG in India. He is the author of multiple reports across technology, media, and financial services. Over the years, he has worked with numerous committees associated with India's Ministry of Finance, Telecom, CII, AIMA and NASSCOM. Prior to joining BCG, he was a senior member of technical staff at Cadence Design Systems, an electronic design automation (EDA) company.</t>
  </si>
  <si>
    <t>neeraj.aggarwal@plaksha.edu.in</t>
  </si>
  <si>
    <t>Co-Founder &amp; Trustee</t>
  </si>
  <si>
    <t>436165-84P</t>
  </si>
  <si>
    <t>Neeru Ravi</t>
  </si>
  <si>
    <t>Neeru</t>
  </si>
  <si>
    <t>Ms. Neeru Ravi serves as Partner at Boston Consulting Group. She specializes in consumer insights, growth strategies, end-to-end merchandising, operating models, and large-scale organizational change.</t>
  </si>
  <si>
    <t>ravi.neeru@bcg.com</t>
  </si>
  <si>
    <t>455292-28P</t>
  </si>
  <si>
    <t>Neha Gupta</t>
  </si>
  <si>
    <t>Ms. Neha Gupta serves as Managing Director &amp; Partner at Boston Consulting Group. She is core member of the firm's Financial Services practice in India. She advises banks and non-banks on a range of topics including retail and SME transformation, driving digital agenda, sales enablement and operational improvement, and people transformation. She also leads the practice's pricing work in financial institutions for Asia Pacific. In addition, she drives the knowledge and research team for the Financial Services practice in India to develop industry-level insights.</t>
  </si>
  <si>
    <t>gupta.neha@bcg.com</t>
  </si>
  <si>
    <t>456831-73P</t>
  </si>
  <si>
    <t>Neil Pardasani</t>
  </si>
  <si>
    <t>Pardasani</t>
  </si>
  <si>
    <t>Mr. Neil Pardasani serves as Managing Director &amp; Senior Partner at Boston Consulting Group. He is a leader of the firm's West Coast Financial Institutions and Insurance practices, a member of BCG's North America Financial Institutions management team, and a past leader of BCG's asset and wealth management work. As a leader in the financial services industry, he moves organizations, people, capabilities, and ideas into action by applying his extensive experience in growth strategy, organizational optimization, business transformation, and technology/digital transformation. He is actively involved in recruiting new talent for the firm and has previously led its recruiting function.</t>
  </si>
  <si>
    <t>pardasani.neil@bcg.com</t>
  </si>
  <si>
    <t>435009-52P</t>
  </si>
  <si>
    <t>Neveen Awad Ph.D</t>
  </si>
  <si>
    <t>Neveen</t>
  </si>
  <si>
    <t>Dr. Neveen Awad serves as Managing Director &amp; Senior Partner at Boston Consulting Group. She is a core member of the Tech and Digital Advantage practice and leadership team at the firm. She is an expert in technology-enabled transformation, including digital product and program development, operations transformation, and broader large-scale technology programs.</t>
  </si>
  <si>
    <t>awad.neveen@bcg.com</t>
  </si>
  <si>
    <t>435015-28P</t>
  </si>
  <si>
    <t>Nicholas Clark</t>
  </si>
  <si>
    <t>Mr. Nicholas Clark serves as Partner &amp; Associate Director, Service and Support Operations at Boston Consulting Group. He focuses on helping organizations develop customer service capabilities that align with the needs of their business, customers, and employees. In particular, he works on using AI and agile ways of working to build innovative new models for customer service.</t>
  </si>
  <si>
    <t>clark.nicholas@bcg.com</t>
  </si>
  <si>
    <t>Partner &amp; Associate Director, Service and Support Operations</t>
  </si>
  <si>
    <t>435404-62P</t>
  </si>
  <si>
    <t>Nicholas Goad</t>
  </si>
  <si>
    <t>Goad</t>
  </si>
  <si>
    <t>Mr. Nicholas Goad serves as Managing Director &amp; Senior Partner at Boston Consulting Group. He recently led an 18-month holistic pricing effort considering regular prices, promo effectiveness, private-label pricing strategy, zone-based pricing, and customer-based pricing, with a focus on delivering quick wins for a retail client.</t>
  </si>
  <si>
    <t>goad.nicholas@bcg.com</t>
  </si>
  <si>
    <t>436149-91P</t>
  </si>
  <si>
    <t>Nicholas Sukitsch</t>
  </si>
  <si>
    <t>Sukitsch</t>
  </si>
  <si>
    <t>Mr. Nicholas Sukitsch serves as Managing Director &amp; Partner at Boston Consulting Group. His project work focuses on strategy and innovation across a range of disease and therapeutic areas including malaria and other mosquito-borne diseases, maternal and child health, HIV, tuberculosis, oncology, and other non-communicable diseases.</t>
  </si>
  <si>
    <t>sukitsch.nicholas@bcg.com</t>
  </si>
  <si>
    <t>434950-66P</t>
  </si>
  <si>
    <t>Nick Smaling</t>
  </si>
  <si>
    <t>Smaling</t>
  </si>
  <si>
    <t>Mr. Nick Smaling serves as Managing Director &amp; Partner at Boston Consulting Group. His client work has covered a broad range of topics including agile, (cyber) security, digital growth strategy, IT strategy, and S4/HANA-enabled transformations.</t>
  </si>
  <si>
    <t>smaling.nick@bcg.com</t>
  </si>
  <si>
    <t>188424-28P</t>
  </si>
  <si>
    <t>Nick South</t>
  </si>
  <si>
    <t>South</t>
  </si>
  <si>
    <t>Mr. Nick South serves as Managing Director and Senior Partner at Boston Consulting Group. Since joining BCG in 2003, He has worked with a wide range of clients in different sectors to redesign organizations and operating models, build employee capabilities, drive behavioral change, improve operational performance, and successfully manage change. He is a core member of BCG's global People and Organization practice. He led the People &amp; Organization team in London from 2010 to 2022.</t>
  </si>
  <si>
    <t>nsouth@bcg.com</t>
  </si>
  <si>
    <t>455860-00P</t>
  </si>
  <si>
    <t>Nico Geisel Ph.D</t>
  </si>
  <si>
    <t>Nico</t>
  </si>
  <si>
    <t>Geisel</t>
  </si>
  <si>
    <t>Dr. Nico Geisel serves as Managing Director &amp; Partner at Boston Consulting Group. He is a partner at BCG X, the firm's tech-build and design business unit specializing in advanced analytics and data science. He is an expert in advanced analytics and data science and has led multiple AI transformation journeys for some of BCG's largest clients, delivering end-to-end AI solutions. He is a leading member of Auto AI by BCG X, a unique collection of advanced analytics and AI solutions that use business and technology expertise to help clients achieve lasting, end-to-end implementations that change the course of the industry.</t>
  </si>
  <si>
    <t>nico@bcg.com</t>
  </si>
  <si>
    <t>455727-79P</t>
  </si>
  <si>
    <t>Nicolai Cummerow</t>
  </si>
  <si>
    <t>Cummerow</t>
  </si>
  <si>
    <t>Mr. Nicolai Cummerow serves as Managing Director &amp; Partner at Boston Consulting Group. He is a core member of the Corporate Finance &amp; Strategy and Industrial Goods practices. He is an expert with the BCG Transform practice area, which helps clients deliver rapid, visible performance improvements in the short term while strengthening their organizations and positioning them to win in the future. He has gained deep experience in restructuring and turnaround management, including independent business reviews (IBRs), holistic turnaround concepts, going-concern prognoses, cash release and net working capital management, and (pre-)insolvency support. In addition, he works with clients on large-scale transformations, full potential plans, and M&amp;A transactions. Before joining the firm, he was with KPMG AG, Duesseldorf/Germany, for two years.</t>
  </si>
  <si>
    <t>cummerow.nicolai@bcg.com</t>
  </si>
  <si>
    <t>435754-81P</t>
  </si>
  <si>
    <t>Nicolas Bellefonds</t>
  </si>
  <si>
    <t>Bellefonds</t>
  </si>
  <si>
    <t>Mr. Nicolas Bellefonds serves as Managing Director &amp; Senior Partner at Boston Consulting Group. He specializes in leveraging digital, data, and advanced analytics to encourage revenue growth through digital marketing, targeted advertising, CRM, e-commerce, and omnichannel distribution.</t>
  </si>
  <si>
    <t>nicolas@bcg.com</t>
  </si>
  <si>
    <t>455854-15P</t>
  </si>
  <si>
    <t>Nicolas Busch MD</t>
  </si>
  <si>
    <t>Dr. Nicolas Busch serves as Partner &amp; Director at Boston Consulting Group. He is a member of the firm's Health Care and Insurance practices with a strong focus on payers and providers. He has extensive knowledge of European and Asian health care systems and has worked with a broad spectrum of stakeholders (payer, health insurance, provider, digital health, private equity) in those systems. He also has extensive knowledge of claims management, cost optimization using big data, and value-based care.</t>
  </si>
  <si>
    <t>busch.nicolas@bcg.com</t>
  </si>
  <si>
    <t>435620-62P</t>
  </si>
  <si>
    <t>Nicolas Hunke</t>
  </si>
  <si>
    <t>Hunke</t>
  </si>
  <si>
    <t>Mr. Nicolas Hunke serves as Managing Director &amp; Partner at Boston Consulting Group. He is coleader of the Agile@BCG project, which aims to introduce agile principles in BCG's project management approach, and he has advised numerous organizations on making hardware-to-software transformations.</t>
  </si>
  <si>
    <t>hunke.nicolas@bcg.com</t>
  </si>
  <si>
    <t>17450-20P</t>
  </si>
  <si>
    <t>Nicolas Kachaner</t>
  </si>
  <si>
    <t>Kachaner</t>
  </si>
  <si>
    <t>Mr. Nicolas Kachaner serves as Senior Partner &amp; Managing Director at Boston Consulting Group. He is BCG's global topic leader for strategic planning and co-leader of the firm's family business topic. He is also an expert with BCG TURN, which helps clients deliver rapid, visible performance improvements in the short term while strengthening their organizations and positioning them to win in the future. He has been with BCG since 1988.</t>
  </si>
  <si>
    <t>nicolask@bcg.com</t>
  </si>
  <si>
    <t>455924-44P</t>
  </si>
  <si>
    <t>Nicolas Manuelli</t>
  </si>
  <si>
    <t>Manuelli</t>
  </si>
  <si>
    <t>Mr. Nicolas Manuelli serves as Managing Director &amp; Partner at Boston Consulting Group. He is a core member of Boston Consulting Group's Marketing, Sales &amp; Pricing and Industrial Goods practices. He focuses on B2B pricing and marketing, and sales optimization-especially for B2B services. He also works with clients on commercial excellence, pricing model and strategy, commercial excellence transformation, pricing in industrial goods, pricing in turnarounds, and digital data and service offerings. He has worked with IT companies, private equity-owned companies, chemicals, automotive, food services, and hydro services, among others. Prior to joining the firm, he worked as a CEO assistant for Dextra Group in Hong Kong.</t>
  </si>
  <si>
    <t>manuelli.nicolas@bcg.com</t>
  </si>
  <si>
    <t>435125-53P</t>
  </si>
  <si>
    <t>Nicolas Meyer</t>
  </si>
  <si>
    <t>Mr. Nicolas Meyer serves as Managing Director &amp; Partner at Boston Consulting Group. He has deep experience in large scale transformation, supply chain optimization, and organizational efficiency improvements.</t>
  </si>
  <si>
    <t>meyer.nicolas@bcg.com</t>
  </si>
  <si>
    <t>436122-73P</t>
  </si>
  <si>
    <t>Nicolas Polo</t>
  </si>
  <si>
    <t>Polo</t>
  </si>
  <si>
    <t>Mr. Nicolas Polo serves as Managing Director &amp; Partner at Boston Consulting Group. He focuses on the intersection of tech/digital and financial institutions, and has extensive experience in technology topics, including digital transformations, IT operating models, and technology sourcing.</t>
  </si>
  <si>
    <t>polo.nicolas@bcg.com</t>
  </si>
  <si>
    <t>183844-72P</t>
  </si>
  <si>
    <t>Nicolas Schmidt</t>
  </si>
  <si>
    <t>Mr. Nicolas Schmidt serves as Managing Director &amp; Partner at Boston Consulting Group. He is a core member of the firm's Principal Investors &amp; Private Equity (PIPE) practice with a focus on technology investment/tech capital clients. He has considerable experience leading private equity engagements and is a leading member of the growth equity and consumer tech team. Mr. Schmidt served as an Associate at BC Partners. He joined BC Partners in Hamburg in 2017. Previously, Nicolas spent almost four years at BCG in Zurich, where he primarily focused on strategy and investments in the healthcare sector.</t>
  </si>
  <si>
    <t>schmidt.nicolas@bcg.com</t>
  </si>
  <si>
    <t>82575-10P</t>
  </si>
  <si>
    <t>Nicole Meissner</t>
  </si>
  <si>
    <t>Meissner</t>
  </si>
  <si>
    <t>Ms. Nicole Meissner serves as Managing Director &amp; Partner at Boston Consulting Group. Ms. Nicole Meissner served as Executive Vice President &amp; Head, UK/European Operations at Plesk. She brings a wealth of experience to her role with Yappn, providing considerable expertise in leading entrepreneurial technology based companies through strategic and financial growth. Ms. Meissner Co-Founded Synchronica PLC, now Myriad Group, grew the company from a two-person operation to an international mobile technology company with five global offices, 680+ staff members and an annual turnover of $30 million. Her experience also comes from companies such as Asdis Software, a Berlin based organization that develops secure server management solutions for the financial services and telecommunications industries and Peppermint Group, a venture capital and private equity company focusing on new technologies.</t>
  </si>
  <si>
    <t>meissner.nicole@bcg.com</t>
  </si>
  <si>
    <t>435943-45P</t>
  </si>
  <si>
    <t>Nicole Voigt</t>
  </si>
  <si>
    <t>Voigt</t>
  </si>
  <si>
    <t>Ms. Nicole Voigt serves as Managing Director &amp; Partner at Boston Consulting Group. She is the global lead for the metals topic for the firm and has deep expertise in working with clients in the steel and copper industry.</t>
  </si>
  <si>
    <t>nicole@bcg.com</t>
  </si>
  <si>
    <t>455626-81P</t>
  </si>
  <si>
    <t>Niels Volkmer</t>
  </si>
  <si>
    <t>Niels</t>
  </si>
  <si>
    <t>Volkmer</t>
  </si>
  <si>
    <t>Dr. Niels Volkmer serves as Managing Director &amp; Partner at Boston Consulting Group. He is a core member of the firm's Transform and Energy practices. He has helped energy, industrial, consumer goods, and other clients through significant transformations and turnarounds, operational model redesigns, and performance and cash improvements. Before joining BCG, he held the position of senior manager in the restructuring practice at PwC.</t>
  </si>
  <si>
    <t>volkmer.niels@bcg.com</t>
  </si>
  <si>
    <t>436147-30P</t>
  </si>
  <si>
    <t>Nihmal Marrie</t>
  </si>
  <si>
    <t>Nihmal</t>
  </si>
  <si>
    <t>Marrie</t>
  </si>
  <si>
    <t>Mr. Nihmal Marrie serves as Managing Director &amp; Partner at Boston Consulting Group. He has helped clients in the telecommunications and financial institutions industries drive large digital and agile transformation initiatives.</t>
  </si>
  <si>
    <t>nihmal.marrie@bcg.com</t>
  </si>
  <si>
    <t>435022-75P</t>
  </si>
  <si>
    <t>Nikhil Idnani</t>
  </si>
  <si>
    <t>Idnani</t>
  </si>
  <si>
    <t>Mr. Nikhil Idnani serves as Managing Director &amp; Partner at Boston Consulting Group. He is a physician by training and has more than 15 years of professional experience in health care and consulting in North America, Asia, and the Middle East.</t>
  </si>
  <si>
    <t>idnani.nikhil@bcg.com</t>
  </si>
  <si>
    <t>435713-68P</t>
  </si>
  <si>
    <t>Niki Aryana</t>
  </si>
  <si>
    <t>Niki</t>
  </si>
  <si>
    <t>Aryana</t>
  </si>
  <si>
    <t>Mr. Niki Aryana serves as Managing Director &amp; Senior Partner at Boston Consulting Group. He has worked on numerous operational and strategic projects in the television, publishing, and information services industries. He has also worked on engagements in the music industry, covering topics from artist portfolio management to online music distribution and strategy. Niki leads BCG's television topic worldwide.</t>
  </si>
  <si>
    <t>aryana.niki@bcg.com</t>
  </si>
  <si>
    <t>435853-36P</t>
  </si>
  <si>
    <t>Nils Klever</t>
  </si>
  <si>
    <t>Nils</t>
  </si>
  <si>
    <t>Klever</t>
  </si>
  <si>
    <t>Mr. Nils Klever serves as Managing Director &amp; Partner at Boston Consulting Group. He works with operators and suppliers on strategic challenges across the energy value chains, and has experience with oil, gas, wind, solar, and hydropower.</t>
  </si>
  <si>
    <t>klever.nils@bcg.com</t>
  </si>
  <si>
    <t>436298-41P</t>
  </si>
  <si>
    <t>Nimrod Pais</t>
  </si>
  <si>
    <t>Nimrod</t>
  </si>
  <si>
    <t>Pais</t>
  </si>
  <si>
    <t>Mr. Nimrod Pais serves as Managing Director &amp; Senior Partner at Boston Consulting Group. He is a core member of the Financial Institutions practice at Boston Consulting Group. He has focused his work on supporting financial services and industrial goods clients in the Central and Eastern Europe (CEE) region. He has acquired deep experience in risk management and restructuring. Prior to joining BCG, he worked as a project manager with MAV Hungarian Railways.</t>
  </si>
  <si>
    <t>pais.nimrod@bcg.com</t>
  </si>
  <si>
    <t>436382-38P</t>
  </si>
  <si>
    <t>Nina Kataeva</t>
  </si>
  <si>
    <t>Nina</t>
  </si>
  <si>
    <t>Kataeva</t>
  </si>
  <si>
    <t>Ms. Nina Kataeva serves as Managing Director &amp; Partner at Boston Consulting Group. She has led several large-scale agile transformations focusing on full organization transformation, new ways of working, digitization, and build-up of new digital capabilities.</t>
  </si>
  <si>
    <t>nina.kataeva@bcg.com</t>
  </si>
  <si>
    <t>435000-61P</t>
  </si>
  <si>
    <t>Nipun Misra Ph.D</t>
  </si>
  <si>
    <t>Nipun</t>
  </si>
  <si>
    <t>Misra</t>
  </si>
  <si>
    <t>Mr. Nipun Misra serves as Managing Director &amp; Partner at Boston Consulting Group. His recent client experience includes large-scale go-to-market transformation for a SaaS player, ecosystem strategy for an infrastructure provider, incubation of SaaS business for an enterprise solution provider, and operating model design for a data infrastructure player.</t>
  </si>
  <si>
    <t>misra.nipun@bcg.com</t>
  </si>
  <si>
    <t>435504-43P</t>
  </si>
  <si>
    <t>Nithya Vaduganathan</t>
  </si>
  <si>
    <t>Nithya</t>
  </si>
  <si>
    <t>Vaduganathan</t>
  </si>
  <si>
    <t>Ms. Nithya Vaduganathan serves as Managing Director &amp; Partner at Boston Consulting Group. She has deep expertise across the entire education value chain, and functional expertise in new talent models, operating and organizational model redesign, and change management</t>
  </si>
  <si>
    <t>vaduganathan.nithya@bcg.com</t>
  </si>
  <si>
    <t>456137-56P</t>
  </si>
  <si>
    <t>Noah Broestl</t>
  </si>
  <si>
    <t>Broestl</t>
  </si>
  <si>
    <t>Mr. Noah Broestl serves as Partner &amp; Associate Director at Boston Consulting Group. He is an expert in the responsible development and use of generative AI products at the firm. He has over a decade of experience in technology development, including data collection, vendor operations, AI model training and evaluation, AI model deployment, and post-launch monitoring. He has in-depth experience in system evaluation, including red-teaming, application benchmarking, and post-launch monitoring. Before joining BCG, he spent 13 years at Google, most recently leading safety evaluations for Google's first generative AI application, Bard. Before Google, he was an Intelligence Analyst with the US Air Force. He is a Steering Committee Member of the Green Software Foundation.</t>
  </si>
  <si>
    <t>noah.broestl@bcg.com</t>
  </si>
  <si>
    <t>455514-67P</t>
  </si>
  <si>
    <t>Norbert Wunsche Ph.D</t>
  </si>
  <si>
    <t>Norbert</t>
  </si>
  <si>
    <t>Wunsche</t>
  </si>
  <si>
    <t>Dr. Norbert Wunsche serves as a Principal at Boston Consulting Group. He is a core member of the firm's Corporate Finance &amp; Strategy practice and the firm's Center for CFO Excellence. He focuses on transaction preparation (IPO/exit readiness, full potential planning), transaction execution (carve-out, PMI), finance transformation, financial planning, and capital allocation. He also has experience in driving the CFO's agenda. He has led corporate strategy and finance engagements with global and European clients in sportswear, gas and utilities, freight forwarding, health care technology, automotive, energy, and more. Prior to joining BCG, he gained relevant work experience at the investment banking division of Goldman Sachs.</t>
  </si>
  <si>
    <t>wunsche.norbert@bcg.com</t>
  </si>
  <si>
    <t>455206-24P</t>
  </si>
  <si>
    <t>Noriyuki Aramaki</t>
  </si>
  <si>
    <t>Noriyuki</t>
  </si>
  <si>
    <t>Aramaki</t>
  </si>
  <si>
    <t>Mr. Noriyuki Aramaki serves as Partner at Boston Consulting Group. He is a core member of BCG's Marketing, Sales &amp; Pricing and Consumer practices. He has extensive experience in the consumer and retail industries leading projects leveraging data analysis and machine learning. He specializes in end-to-end support for personalized marketing and pricing, from strategy development to hands-on implementation.</t>
  </si>
  <si>
    <t>aramaki.noriyuki@bcg.com</t>
  </si>
  <si>
    <t>436290-49P</t>
  </si>
  <si>
    <t>Nuno Gomes</t>
  </si>
  <si>
    <t>Nuno</t>
  </si>
  <si>
    <t>Gomes</t>
  </si>
  <si>
    <t>Mr. Nuno Gomes serves as Managing Director &amp; Partner at Boston Consulting Group. Before moving to the Middle East, Mr. Gomes led Boston Consulting Group's Technology, Media &amp; Telecommunications (TMT) practice in Latin America for six years. He hold particular expertise in omnichannel, product development and pricing for telecom operators and customer-care strategies. He also has deep expertise in mobile virtual network operators (MVNO).</t>
  </si>
  <si>
    <t>gomes.nuno@bcg.com</t>
  </si>
  <si>
    <t>195939-46P</t>
  </si>
  <si>
    <t>Nuno Monteiro</t>
  </si>
  <si>
    <t>Monteiro</t>
  </si>
  <si>
    <t>Mr. Nuno Monteiro serves as Senior Partner &amp; Managing Director at Boston Consulting Group. He is a core member of the Consumer, Technology, Media &amp; Telecommunications, Strategy, and Marketing, Sales &amp; Pricing practices at Boston Consulting Group. He is the founder of BCG Bogotá and Panama offices and serves as the Head of the Caribbean, Central America, and Spanish-speaking South America region. Since joining BCG in 1995, Nuno has worked in a broad set of geographies (Europe, Latin America, sub-Saharan Africa, Southeast Asia, and North America) covering many industry topics. Nuno has focused on servicing client relationships with a long-term perspective, supporting strategic and complex transformation topics. His broad portfolio of expertise covers strategy definition, organization, efficiency, and corporate development.</t>
  </si>
  <si>
    <t>nmonteiro@bcg.com</t>
  </si>
  <si>
    <t>436703-32P</t>
  </si>
  <si>
    <t>Nurlin Salleh</t>
  </si>
  <si>
    <t>Nurlin</t>
  </si>
  <si>
    <t>Salleh</t>
  </si>
  <si>
    <t>Ms. Nurlin Salleh serves as Managing Director &amp; Partner at Boston Consulting Group. She has worked with multiple governments and government ministries on economic policies including on FDI, sovereign wealth funds, and economic stimulus packages.</t>
  </si>
  <si>
    <t>salleh.nurlin@bcg.com</t>
  </si>
  <si>
    <t>435663-82P</t>
  </si>
  <si>
    <t>Odd Sjatil</t>
  </si>
  <si>
    <t>Odd</t>
  </si>
  <si>
    <t>Sjatil</t>
  </si>
  <si>
    <t>Mr. Odd Sjatil serves as Managing Director &amp; Senior Partner at Boston Consulting Group. He has supported clients on the various parts of the energy trilemma, providing strategic advice and working on operational improvement in the oil and gas, renewables, and low carbon sectors.</t>
  </si>
  <si>
    <t>sjatil.odd@bcg.com</t>
  </si>
  <si>
    <t>455705-02P</t>
  </si>
  <si>
    <t>Oded Kaplan</t>
  </si>
  <si>
    <t>Oded</t>
  </si>
  <si>
    <t>Mr. Oded Kaplan serves as Principal, BCG Platinion at Boston Consulting Group. He is a core member of the firm's tech capital, tech in principle investors, and private equity teams. He specializes in integrated commercial and technology due diligence of software companies, as well as software, technology, and product-tech due diligence, and technology portfolio value creation. He has broad knowledge of and experience in the tech sector, including sales, go-to-market and technology partnerships, and business and software development. Before joining BCG, Mr. Kaplan was a Senior Pre-Sales Manager at Jacada (acquired by Uniphore), a Pre-Sales Consultant at Click Software (acquired by Salesforce), and a Sales Engineer at Quiksee (acquired by Google).</t>
  </si>
  <si>
    <t>kaplan.oded@bcg.com</t>
  </si>
  <si>
    <t>Principal, BCG Platinion</t>
  </si>
  <si>
    <t>456748-03P</t>
  </si>
  <si>
    <t>Oktawian Zajac</t>
  </si>
  <si>
    <t>Oktawian</t>
  </si>
  <si>
    <t>Zajac</t>
  </si>
  <si>
    <t>Mr. Oktawian Zajac serves as Managing Director, Senior Partner &amp; Head of BCG Poland at Boston Consulting Group. He is a core member of the Industrial Goods and Consumer practices at the firm. He focuses on large-scale transformations, restructuring, due diligence, and cost-optimization projects in the industrial goods and consumer goods industries. He has advised leading global players on new market-entry strategies across geographies and has set up several innovative business models and ventures across the globe, including disruptive digital platforms.</t>
  </si>
  <si>
    <t>zajac.oktawian@bcg.com</t>
  </si>
  <si>
    <t>Managing Director, Senior Partner &amp; Head of BCG Poland</t>
  </si>
  <si>
    <t>435784-42P</t>
  </si>
  <si>
    <t>Olaf Rehse</t>
  </si>
  <si>
    <t>Olaf</t>
  </si>
  <si>
    <t>Rehse</t>
  </si>
  <si>
    <t>Mr. Olaf Rehse serves as Managing Director &amp; Senior Partner at Boston Consulting Group. His client work has focused on operational excellence projects in service industries such as telecommunications, media, insurance, and banking.</t>
  </si>
  <si>
    <t>rehse.olaf@bcg.com</t>
  </si>
  <si>
    <t>435141-01P</t>
  </si>
  <si>
    <t>Olayinka Majekodunmi</t>
  </si>
  <si>
    <t>Olayinka</t>
  </si>
  <si>
    <t>Majekodunmi</t>
  </si>
  <si>
    <t>Mr. Olayinka Majekodunmi serves as Partner at Boston Consulting Group. Focusing on global development, health care, and financial inclusion, he works with clients in the private, public, and international development sectors across Africa on strategy, transformation, marketing and sales, and supply chain topics.</t>
  </si>
  <si>
    <t>majekodunmi.olayinka@bcg.com</t>
  </si>
  <si>
    <t>455469-40P</t>
  </si>
  <si>
    <t>Ole Sveen</t>
  </si>
  <si>
    <t>Ole</t>
  </si>
  <si>
    <t>Sveen</t>
  </si>
  <si>
    <t>Mr. Ole Sveen serves as Managing Director &amp; Partner at Boston Consulting Group. He is a member of the Financial Institutions, Insurance, and Principal Investors &amp; Private Equity practices, and focuses on corporate development, customer journeys, agile transformations, and digital development. He works mostly with clients in the financial services, technology, and consumer goods industries, but also has experience in the energy, industrial goods, and telecommunications industries.</t>
  </si>
  <si>
    <t>osveen@bcg.com</t>
  </si>
  <si>
    <t>435226-06P</t>
  </si>
  <si>
    <t>Oliver Kude</t>
  </si>
  <si>
    <t>Kude</t>
  </si>
  <si>
    <t>Mr. Oliver Kude serves as Managing Director &amp; Partner at Boston Consulting Group. His expertise includes next-generation business and tech collaboration models, data governance and data platforms, AI and GenAI strategies, and optimizing tech function efficiency and cost.</t>
  </si>
  <si>
    <t>kude.oliver@bcg.com</t>
  </si>
  <si>
    <t>416000-44P</t>
  </si>
  <si>
    <t>Oliver Schwager</t>
  </si>
  <si>
    <t>Schwager</t>
  </si>
  <si>
    <t>Mr. Oliver Schwager serves as Chief Operating Officer at Paul Tech. He also serves as Platinion Managing Director at Boston Consultancy Group.</t>
  </si>
  <si>
    <t>+49 (0)62 1921 0010 0</t>
  </si>
  <si>
    <t>oliver.schwager@paul.tech</t>
  </si>
  <si>
    <t>Mannheim</t>
  </si>
  <si>
    <t>Mannheim, Germany</t>
  </si>
  <si>
    <t>Theodor-Heuss-Anlage 12</t>
  </si>
  <si>
    <t>68165</t>
  </si>
  <si>
    <t>+49 (0)62 1921 0010 1</t>
  </si>
  <si>
    <t>Paul Tech</t>
  </si>
  <si>
    <t>435501-91P</t>
  </si>
  <si>
    <t>Olivier Bouffault</t>
  </si>
  <si>
    <t>Bouffault</t>
  </si>
  <si>
    <t>Mr. Olivier Bouffault serves as Managing Director &amp; Senior Partner at Boston Consulting Group. He co-leads the KLM-BCG partnership for digital operations in airlines, designing and deploying AI-based solutions at multiple airlines around the globe.</t>
  </si>
  <si>
    <t>bouffault.olivier@bcg.com</t>
  </si>
  <si>
    <t>436297-60P</t>
  </si>
  <si>
    <t>Olivier Muehlstein</t>
  </si>
  <si>
    <t>Muehlstein</t>
  </si>
  <si>
    <t>Mr. Olivier Muehlstein serves as Managing Director &amp; Partner at Boston Consulting Group. He has extensive experience in the telecommunications and media sectors in Southeast Asia, and he has been deeply involved in developing BCG's mobile data and digital expertise in emerging markets. He is a core group member of the Strategy, Marketing, Sales &amp; Pricing, and Technology, Media, &amp; Telecommunications practices at BCG. He is an expert in market research and customer insight. Prior to joining the firm, he worked as a consultant for Monitor-based in Singapore, where he covered the telecommunications and tourism industries in Southeast Asia, India, and Korea.</t>
  </si>
  <si>
    <t>muehlstein.olivier@bcg.com</t>
  </si>
  <si>
    <t>455468-14P</t>
  </si>
  <si>
    <t>Olivier Rival Ph.D</t>
  </si>
  <si>
    <t>Rival</t>
  </si>
  <si>
    <t>Dr. Olivier Rival serves as Managing Director &amp; Partner at Boston Consulting Group. He focuses on telecommunications networks and digital infrastructures as a core member of the firm's Technology, Media &amp; Telecommunication (TMT) practice. He works with TMT clients on network strategy, network analytics, customer experience, cost efficiency, and large scale transformation, as well as M&amp;A and PMI, Netco/Serveco separation, and tower and fiber carveouts. Prior to joining BCG, he worked as a scientist for Alcatel-Lucent Bell Labs and for the University of Oxford.</t>
  </si>
  <si>
    <t>rival.olivier@bcg.com</t>
  </si>
  <si>
    <t>456757-84P</t>
  </si>
  <si>
    <t>Olivier Sampieri</t>
  </si>
  <si>
    <t>Sampieri</t>
  </si>
  <si>
    <t>Mr. Olivier Sampieri serves as Managing Director &amp; Senior Partner at Boston Consulting Group. He is a core member of the Financial Institutions and Marketing, Sales &amp; Pricing practices at Boston Consulting Group. He leads the Financial Institution practice in Paris. Since joining BCG in 1999, he has worked with financial services clients on a wide variety of topics, including overall strategy, organization, and data analytics. He has supported several large post-merger integrations and transformation programs. Prior to joining BCG, he worked as an analyst with Paribas Affaires Industrielles.</t>
  </si>
  <si>
    <t>sampieri.olivier@bcg.com</t>
  </si>
  <si>
    <t>456839-29P</t>
  </si>
  <si>
    <t>Olivier Scalabre</t>
  </si>
  <si>
    <t>Scalabre</t>
  </si>
  <si>
    <t>Mr. Olivier Scalabre serves as Head of BCG France, Managing Director &amp; Senior Partner at Boston Consulting Group. He is a core member of the Operations and Industrial Goods practices. He is the global leader of BCG's engineered products sector for aeronautics, defense, mobility, and energy, and leads the greentech sector (CCUs, hydrogen, long storage batteries), helping our clients to accelerate the deployment of these technologies at scale.</t>
  </si>
  <si>
    <t>scalabre.olivier@bcg.com</t>
  </si>
  <si>
    <t>Head of BCG France, Managing Director &amp; Senior Partner</t>
  </si>
  <si>
    <t>456766-93P</t>
  </si>
  <si>
    <t>Olivier Wierzba</t>
  </si>
  <si>
    <t>Wierzba</t>
  </si>
  <si>
    <t>Mr. Olivier Wierzba serves as Managing Director &amp; Senior Partner at Boston Consulting Group. He is a core member of the firm's Corporate Development and Health Care practices. He leads BCG's global work in corporate strategy and mergers and acquisitions within the biopharma sector. He is particularly knowledgeable about corporate transactions, scenario planning, and strategy development. His project experience includes supporting M&amp;A transactions at all stages for biopharma, biotech, and private equity companies, helping companies through the process of postmerger integration, and leading large-scale transformation efforts. Prior to joining BCG, he worked as an investment banking analyst with Lehman Brothers in London.</t>
  </si>
  <si>
    <t>wierzba.olivier@bcg.com</t>
  </si>
  <si>
    <t>456840-64P</t>
  </si>
  <si>
    <t>Olof Darpo</t>
  </si>
  <si>
    <t>Olof</t>
  </si>
  <si>
    <t>Darpo</t>
  </si>
  <si>
    <t>Mr. Olof Darpo serves as Managing Director &amp; Partner at Boston Consulting Group. As a core member of the Consumer practice, Mr. Dorpo leads the firm's work in e-commerce and marketing in retail for Europe. He has significant expertise in many retail industries, with a focus on fashion, luxury, and specialty retail. He leads BCG's growth team in the Nordics, a team of hands-on marketing and e-commerce practitioners. His main areas of expertise are data-driven marketing and building high-performing marketing organizations; ecommerce acceleration and building ecommerce organizations that deliver above-market growth through better demand generation, conversion, product offering, and pricing, and enabled by world-class tech and operations; and data-driven and dynamic pricing, including building in-house pricing engines and integrating and tuning existing pricing engines to better reach (often conflicting) core business objectives.</t>
  </si>
  <si>
    <t>darpo.olof@bcg.com</t>
  </si>
  <si>
    <t>455287-96P</t>
  </si>
  <si>
    <t>Olof Sundstrom</t>
  </si>
  <si>
    <t>Sundstrom</t>
  </si>
  <si>
    <t>Mr. Olof Sundstrom serves as Managing Director &amp; Partner at Boston Consulting Group. He is a core member of the firm's Principal Investors &amp; Private Equity (PIPE) practice focused on tech capital. He works mainly with private equity firms on tech and software investments, divestments, and operational improvements. His core areas of expertise include vertical and horizontal B2B software, digital infrastructure, and managed IT.</t>
  </si>
  <si>
    <t>sundstrom.olof@bcg.com</t>
  </si>
  <si>
    <t>435538-99P</t>
  </si>
  <si>
    <t>Or Klier</t>
  </si>
  <si>
    <t>Or</t>
  </si>
  <si>
    <t>Klier</t>
  </si>
  <si>
    <t>Mr. Or Klier serves as Managing Director &amp; Partner at Boston Consulting Group. He is part of BCG's Digital in Financial Services, Cybersecurity, and Data and Digital Platform global leadership teams.</t>
  </si>
  <si>
    <t>klier.or@bcg.com</t>
  </si>
  <si>
    <t>435174-94P</t>
  </si>
  <si>
    <t>Osamu Takimoto</t>
  </si>
  <si>
    <t>Osamu</t>
  </si>
  <si>
    <t>Takimoto</t>
  </si>
  <si>
    <t>Mr. Osamu Takimoto serves as Managing Director &amp; Partner at Boston Consulting Group. He has extensive experience in supporting companies in industries such as telecommunications, internet media, B2B SaaS, and B2C subscription services. His recent work includes building business and service strategies, launching services, and transformation.</t>
  </si>
  <si>
    <t>takimoto.osamu@bcg.com</t>
  </si>
  <si>
    <t>456620-86P</t>
  </si>
  <si>
    <t>Othman Omary</t>
  </si>
  <si>
    <t>Omary</t>
  </si>
  <si>
    <t>Mr. Othman Omary serves as Managing Director &amp; Partner at Boston Consulting Group. He is a member of the Financial Institutions practice area at the firm. His main area of focus is financial services. His recent client projects include: design and implementation of a transformation program for a major banking group in North Africa, elaboration of a five-year strategic plan for a West African bank, and the design and implementation of a new retail channel network for an African bank. Prior to joining the firm, he worked for ten years at a strategy consulting firm and specialized in retail banking and insurance.</t>
  </si>
  <si>
    <t>omary.othman@bcg.com</t>
  </si>
  <si>
    <t>435965-32P</t>
  </si>
  <si>
    <t>Ozgur Adigozel</t>
  </si>
  <si>
    <t>Ozgur</t>
  </si>
  <si>
    <t>Adigozel</t>
  </si>
  <si>
    <t>Mr. Ozgur Adigozel serves as Managing Director &amp; Senior Partner at Boston Consulting Group. His client work has focused on the health insurance sector. He has acquired deep experience in growth strategy, payer operations, and consumer marketing and product innovation.</t>
  </si>
  <si>
    <t>adigozel.ozgur@bcg.com</t>
  </si>
  <si>
    <t>455596-39P</t>
  </si>
  <si>
    <t>Paari Rajendran</t>
  </si>
  <si>
    <t>Paari</t>
  </si>
  <si>
    <t>Rajendran</t>
  </si>
  <si>
    <t>Mr. Paari Rajendran serves as Managing Director &amp; Partner at Boston Consulting Group. He leads the firm's West Coast Operations practice and is a core member of the firm's Health Care practice. He is an operations and supply chain expert and works with health care, biopharma, and consumer clients on end-to-end operations transformations, including digital transformation and digital solution development. His areas of focus include digital operations, manufacturing and distribution strategy, end-to-end supply chain planning, inventory optimization, postponement strategy, plant productivity, supply chain operating models, and supply chain strategy to enable growth. Prior to joining BCG, he worked for Sears Holding in the inventory management group and Deloitte Consulting in its operations practice.</t>
  </si>
  <si>
    <t>rajendran.paari@bcg.com</t>
  </si>
  <si>
    <t>435617-02P</t>
  </si>
  <si>
    <t>Pablo Martinez</t>
  </si>
  <si>
    <t>Mr. Pablo Martinez serves as Managing Director &amp; Senior Partner, Middle East System Lead at Boston Consulting Group. His recent client engagements have included defining the strategy for the tourism sector a GCC country, and the strategy design and concept definition for ten new tourism destinations (giga-projects) in Saudi Arabia.</t>
  </si>
  <si>
    <t>martinez.pablo@bcg.com</t>
  </si>
  <si>
    <t>Managing Director &amp; Senior Partner, Middle East System Lead</t>
  </si>
  <si>
    <t>303621-31P</t>
  </si>
  <si>
    <t>Paige Winburn</t>
  </si>
  <si>
    <t>Winburn</t>
  </si>
  <si>
    <t>Ms. Paige Winburn serves as Head of Marketing- North America at Boston Consulting Group.</t>
  </si>
  <si>
    <t>paige.winburn@bcg.com</t>
  </si>
  <si>
    <t>Head of Marketing- North America</t>
  </si>
  <si>
    <t>291754-99P</t>
  </si>
  <si>
    <t>Paola Scarpa</t>
  </si>
  <si>
    <t>Paola</t>
  </si>
  <si>
    <t>Scarpa</t>
  </si>
  <si>
    <t>Ms. Paola Scarpa serves as Managing Director &amp; Partner at Boston Consulting Group. Ms. Paola Scarpa served as an Independent Board Member at Progressio SGR. She has worked with B2C companies on data-driven transformation, AI digital media optimization, AI marketing and media optimization, and AI network optimization.</t>
  </si>
  <si>
    <t>scarpa.paola@bcg.com</t>
  </si>
  <si>
    <t>455517-55P</t>
  </si>
  <si>
    <t>Paolo Valente</t>
  </si>
  <si>
    <t>Valente</t>
  </si>
  <si>
    <t>Mr. Paolo Valente serves as Managing Director, BCG Platinion at Boston Consulting Group. As a core member of the firm's Financial Institutions practice and BCG Platinion, he leads the firm's work in technology and digital advantage in banking in the EMC region (Italy, Greece, Turkey, Israel, and the Caspian). He has significant expertise in the financial services market (retail and private banking, wealth and asset management, insurance, and payments). He previously held CIO/COO roles at Unicredit Group and Ersel Private Banking Group, as well as management positions at McKinsey &amp; Company and Accenture.</t>
  </si>
  <si>
    <t>valente.paolo@bcg.com</t>
  </si>
  <si>
    <t>455466-61P</t>
  </si>
  <si>
    <t>Paolo Vicino</t>
  </si>
  <si>
    <t>Vicino</t>
  </si>
  <si>
    <t>Mr. Paolo Vicino serves as Managing Director &amp; Partner at Boston Consulting Group. He is a member of the firm's Health Care, Operations, and People &amp; Organization practices. In his work for the firm, he has supported multiple M&amp;A and strategy projects for medical aesthetic and pharmaceutical companies, focusing on commercial and operations functions. Prior to joining BCG, he worked for an Italian firm in the renewable energy industry.</t>
  </si>
  <si>
    <t>vicino.paolo@bcg.com</t>
  </si>
  <si>
    <t>435778-39P</t>
  </si>
  <si>
    <t>Parmeet Grover Ph.D</t>
  </si>
  <si>
    <t>Parmeet</t>
  </si>
  <si>
    <t>Grover</t>
  </si>
  <si>
    <t>Mr. Parmeet Grover serves as Managing Director &amp; Senior Partner at Boston Consulting Group. He is currently working on elevating MSP capacities, specifically in the industrial goods space, and, with his team, is creating a Commercial Accelerator (Applied for a trademark for CA) for this purpose.</t>
  </si>
  <si>
    <t>grover.parmeet@bcg.com</t>
  </si>
  <si>
    <t>455946-13P</t>
  </si>
  <si>
    <t>Parul Shah</t>
  </si>
  <si>
    <t>Parul</t>
  </si>
  <si>
    <t>Ms. Parul Shah serves as Partner &amp; Associate Director at Boston Consulting Group. She is an expert in upskilling and enterprise agility at the firm, and the product owner of BCG's Digital + AI, GenAI, and Agile Accelerator, which help organizations build capabilities at scale. She is a core member of the firm's People &amp; Organization practice, a member of the Enterprise Agility leadership team, and a member of BCG U's leadership team. BCG U is the firm's learning solution designed for high-performance upskilling at scale to drive true business impact. Before joining BCG, she spent five years working in HR, leadership, and operations at Amazon.com.</t>
  </si>
  <si>
    <t>shah.parul@bcg.com</t>
  </si>
  <si>
    <t>455266-63P</t>
  </si>
  <si>
    <t>Pascal Vogt Ph.D</t>
  </si>
  <si>
    <t>Vogt</t>
  </si>
  <si>
    <t>Dr. Pascal Vogt serves as Partner &amp; Director at Boston Consulting Group. He is a core member of the global Risk &amp; Compliance practice at the firm and global leader for Balance Sheet Optimization &amp; Treasury. He focuses on balance sheet management, asset liability management (ALM), liquidity management, and treasury for financial institutions and corporates.</t>
  </si>
  <si>
    <t>vogt.pascal@bcg.com</t>
  </si>
  <si>
    <t>315503-83P</t>
  </si>
  <si>
    <t>Patrick Dupoux</t>
  </si>
  <si>
    <t>Dupoux</t>
  </si>
  <si>
    <t>Mr. Patrick Dupoux serves as Managing Director, Senior Partner, Head of Social Impact Practice for EMESA and Member of BCG's Executive Committee at Boston Consulting Group. He opened BCG's Casablanca office in 2010. Before helping found the Casablanca office, he had worked for BCG in Paris since 2001, on assignments in the energy and environment, industrial goods, and corporate finance industries as well as in the public sector. Today, he is Head of the BCG Africa system, and over the last ten years, he has led BCG's work in Morocco and North Africa and helped with assignments for Morocco's leading public and private sector institutions. He also leads the Social Impact practice's global development impact area. In his career, he has supported more than 50 multinational companies (across industrial goods, fertilizer, consumer goods, transportation and logistics, infrastructure, and commodities) as they expand into Africa. He currently co-chairs the Regional Business Council for Africa of the World Economic Forum. He also leads BCG's Public Sector and Social Impact practices in Africa and has supported several African governments and financial development institutions on economic development topics (industrialization, FDI attraction, development of cities and financial centers, etc.). He leads BCG's work in globalization for the Europe, Africa, and South America regions. Before joining BCG, he spent three years in Argentina with Suez Water, one year in project finance with BNP Paribas, and one year in the US and Africa with the World Bank.</t>
  </si>
  <si>
    <t>patrick@bcg.com</t>
  </si>
  <si>
    <t>Managing Director, Senior Partner, Head of Social Impact Practice for EMESA and Member of BCG's Executive Committee</t>
  </si>
  <si>
    <t>55381-33P</t>
  </si>
  <si>
    <t>Patrick Forth Ph.D</t>
  </si>
  <si>
    <t>Forth</t>
  </si>
  <si>
    <t>Dr. Patrick Forth serves as Chairman at Fabulate. He serves as Senior Partner &amp; Managing Director at Boston Consulting Group. He serves as an Advisor at Centerstone Capital. He spent five years as the regional leader of the practice for Asia-Pacific. In addition to his global leadership role, he is a member of BCG's Corporate Development, Strategy, and Operations practices. His experience includes work on corporate strategy, mergers and acquisitions, post-merger integration, innovation, operational improvement, and transformation for global and local companies in Europe, Australia, and Asia. He also previously led the European office for iFormation Group, a joint venture between BCG, Goldman Sachs, and General Atlantic Partners focused on making technology investments alongside leading companies. Dr. Forth holds a doctorate in turbomachinery from Oxford University, where he was a Rhodes Scholar and research fellow, and a bachelor's degree in aeronautical engineering from Manchester University.</t>
  </si>
  <si>
    <t>p-f@bcg.com</t>
  </si>
  <si>
    <t>56984-59P</t>
  </si>
  <si>
    <t>Patrick Herhold Ph.D</t>
  </si>
  <si>
    <t>Herhold</t>
  </si>
  <si>
    <t>Dr. Patrick Herhold serves as Managing Director &amp; Senior Partner at Boston Consulting Group. Dr. Herhold is the Chief Executive Officer and Co-Founder of Dresden Silicon. He is an expert in climate change topics including abatement levers and their economics, markets and emissions regulation, and related strategies for private and public sector organizations. He serves as an advisor to energy companies, OEMs, investors, and associations. He is currently focused on de-carbonization projects.</t>
  </si>
  <si>
    <t>herhold.patrick@bcg.com</t>
  </si>
  <si>
    <t>435980-44P</t>
  </si>
  <si>
    <t>Patrick Roche</t>
  </si>
  <si>
    <t>Roche</t>
  </si>
  <si>
    <t>Mr. Patrick Roche serves as Managing Director &amp; Senior Partner at Boston Consulting Group. He has extensive experience working across industries and geographies on all aspects of strategy, transformation, digital, organization, and operations--and specializes in strategy, transformation, and large-scale change.</t>
  </si>
  <si>
    <t>roche.patrick@bcg.com</t>
  </si>
  <si>
    <t>455429-53P</t>
  </si>
  <si>
    <t>Patrick Sykes</t>
  </si>
  <si>
    <t>Mr. Patrick Sykes serves as Managing Director &amp; Partner at Boston Consulting Group. He is the firm's North America lead for M&amp;A. With deep expertise in M&amp;A and strategy, he specializes in industrial goods, working with both financial sponsors and corporate acquirers. As a core member of BCG's Industrial Goods and Corporate Finance &amp; Strategy practices, he offers a unique perspective at the intersection of these disciplines, bringing clarity and strategic vision to clients' most critical decisions. His client base consists mostly of engineered products businesses, though his experience spans the broader industrials and services landscape. Before joining the firm, he worked at Capital One in the US and UK.</t>
  </si>
  <si>
    <t>sykes.patrick@bcg.com</t>
  </si>
  <si>
    <t>434800-81P</t>
  </si>
  <si>
    <t>Pattabi Seshadri</t>
  </si>
  <si>
    <t>Pattabi</t>
  </si>
  <si>
    <t>Seshadri</t>
  </si>
  <si>
    <t>Mr. Pattabi Seshadri serves as Managing Director &amp; Senior Partner at Boston Consulting Group. He is the former global leader of BCG's gas and power work, and has worked with energy clients on issues including strategy development, capabilities improvement, technology-driven transformations, M&amp;A, organization and leadership, and new business build.</t>
  </si>
  <si>
    <t>pattabiseshadri@bcg.com</t>
  </si>
  <si>
    <t>195958-00P</t>
  </si>
  <si>
    <t>Paul Duerloo</t>
  </si>
  <si>
    <t>Mr. Paul Duerloo serves as Senior Advisor at Boston Consulting Group. Mr. Duerloo previously served as a Senior Partner and Managing Director at the firm. He works closely with clients in a variety of industries including energy, industrial goods, and chemicals. His recent experience includes new business development, globalization strategy, marketing, organizational transformation, supply chain management, and innovation. Before joining BCG, he was a vice president and managing director at Booz and a field engineer at Royal Dutch Shell.</t>
  </si>
  <si>
    <t>pduerloo@bcg.com</t>
  </si>
  <si>
    <t>195957-46P</t>
  </si>
  <si>
    <t>Paul Gordon</t>
  </si>
  <si>
    <t>Mr. Paul Gordon serves as Senior Partner &amp; Managing Director at Boston Consulting Group. He is a member of Boston Consulting Group's North American management team and has led both the Industrial Goods and Operations practice areas in the Americas. Paul focuses on clients in the industrial goods and med tech sectors, and has led several large industrial company transformations including for a large chemicals company, a global building automation company, and a medical device company. Paul was named one of 2018's "Top 25 Consultants" for his excellence in leadership by Consultant Magazine. During his client engagements, Paul has fundamentally redesigned operating models, repositioned portfolios, achieved significant cost reductions, and allowed clients to achieve sustainable competitive advantage and become global leaders in their respective markets.</t>
  </si>
  <si>
    <t>p-g@bcg.com</t>
  </si>
  <si>
    <t>434918-80P</t>
  </si>
  <si>
    <t>Paul Hutchinson</t>
  </si>
  <si>
    <t>Hutchinson</t>
  </si>
  <si>
    <t>Mr. Paul Hutchinson serves as Managing Director &amp; Partner at Boston Consulting Group. He works primarily within the firm's Financial Institutions and Consumer practices.</t>
  </si>
  <si>
    <t>hutchinson.paul@bcg.com</t>
  </si>
  <si>
    <t>435160-00P</t>
  </si>
  <si>
    <t>Paul Pierson</t>
  </si>
  <si>
    <t>Mr. Paul Pierson serves as Managing Director at Boston Consulting Group. He works with clients from around the world in the technology, financial services, and travel and tourism industries. He focuses on advancing the firm's design thinking and branding capabilities.</t>
  </si>
  <si>
    <t>pierson.paul@bcg.com</t>
  </si>
  <si>
    <t>435328-57P</t>
  </si>
  <si>
    <t>Paul Poduri</t>
  </si>
  <si>
    <t>Poduri</t>
  </si>
  <si>
    <t>Mr. Paul Poduri serves as Managing Director &amp; Senior Partner at Boston Consulting Group. He is an expert in supply chain transformations and reorganizations in the pharmaceutical industry. He has also worked with clients on pricing strategy, sales force effectiveness, and long-term corporate strategy in the consumer, medical device, and pharma industries.</t>
  </si>
  <si>
    <t>paul.poduri@bcg.com</t>
  </si>
  <si>
    <t>57036-88P</t>
  </si>
  <si>
    <t>Paul Tranter</t>
  </si>
  <si>
    <t>Tranter</t>
  </si>
  <si>
    <t>Chief Financial Officer &amp; Managing Director</t>
  </si>
  <si>
    <t>Mr. Paul Tranter serves as Managing Director, Member of Executive Committee and Operating Committee, Chief Financial Officer &amp; Senior Partner at Boston Consulting Group. He is a member of the firm's Executive Committee and Operating Committee and is responsible for their organization and facilitation. He is also responsible for the company's biannual global partner meetings and sits on a number of other change initiatives and committees, including the Global Marketing Committee. Since joining the company in 1998, he has worked for clients in a range of industries and sectors including energy, travel and tourism, consumer, and industrial goods. He specializes in advising CEOs and senior executives on managing large transformations and building their businesses. He was deeply involved in the establishment of Jetstar, a major Australian Airline. He acted as Chief Financial Officer until the launch of the business. Most recently he has focused on business transformation in the energy and electricity industry. Prior to joining the company, he worked in the agribusiness sector through the management of his family's dairy-farming business, which grew into one of Australia's largest dairy-farming operations.</t>
  </si>
  <si>
    <t>tranter.paul@bcg.com</t>
  </si>
  <si>
    <t>Managing Director, Member of Executive Committee and Operating Committee, Chief Financial Officer &amp; Senior Partner</t>
  </si>
  <si>
    <t>435002-59P</t>
  </si>
  <si>
    <t>Paul-Alexis Kebabtchieff</t>
  </si>
  <si>
    <t>Paul-Alexis</t>
  </si>
  <si>
    <t>Kebabtchieff</t>
  </si>
  <si>
    <t>Mr. Paul-Alexis Kebabtchieff serves as Managing Director &amp; Partner at Boston Consulting Group. He is the global lead for the firm's medical client work, part of the commercial biopharma leadership team, and a North America leader for commercial transformation.</t>
  </si>
  <si>
    <t>kebabtchieff.paul-alexis@bcg.com</t>
  </si>
  <si>
    <t>456007-15P</t>
  </si>
  <si>
    <t>Paulina Barido</t>
  </si>
  <si>
    <t>Paulina</t>
  </si>
  <si>
    <t>Barido</t>
  </si>
  <si>
    <t>Ms. Paulina Barido serves as Managing Director &amp; Partner at Boston Consulting Group. She is a core member of the Social Impact practice at the firm. She focuses on climate and the environment and is dedicated to helping clients increase their sustainability and economic development. She has worked with leading private, public, and non-profit organizations on strategy development, operational improvement, change management, and program implementation.</t>
  </si>
  <si>
    <t>paulina.poncedeleonbarido@bcg.com</t>
  </si>
  <si>
    <t>436315-15P</t>
  </si>
  <si>
    <t>Paulo Mattosinho</t>
  </si>
  <si>
    <t>Paulo</t>
  </si>
  <si>
    <t>Mattosinho</t>
  </si>
  <si>
    <t>Mr. Paulo Mattosinho serves as Managing Director &amp; Partner at Boston Consulting Group. He has extensive hands-on experience in strategy, corporate development, transactions, operations, and turnarounds acquired over 20 years serving funds, multinational companies, and family conglomerates, in several industries.</t>
  </si>
  <si>
    <t>mattosinho.paulo@bcg.com</t>
  </si>
  <si>
    <t>455199-31P</t>
  </si>
  <si>
    <t>Paulo Stanis</t>
  </si>
  <si>
    <t>Stanis</t>
  </si>
  <si>
    <t>Mr. Paulo Stanis serves as Partner &amp; Director, Manufacturing &amp; Procurement at Boston Consulting Group. In his over 20 years of management consulting experience has served clients extensively in Procurement Transformations, Strategic Sourcing and Design to Value in diverse industries like Consumer Goods, Automotive, Retails, Energy, Basic Materials, Construction and Finance Institutions.</t>
  </si>
  <si>
    <t>pstanis@bcg.com</t>
  </si>
  <si>
    <t>Partner &amp; Director, Manufacturing &amp; Procurement</t>
  </si>
  <si>
    <t>435158-74P</t>
  </si>
  <si>
    <t>Pawet Michalski</t>
  </si>
  <si>
    <t>Pawet</t>
  </si>
  <si>
    <t>Michalski</t>
  </si>
  <si>
    <t>Mr. Pawet Michalski serves as Partner at Boston Consulting Group. He is a core member of the Financial Institutions and Technology Advantage practices at the firm. He works principally with banking and insurance clients, concentrating on digital transformation, agile at scale, and IT strategy.</t>
  </si>
  <si>
    <t>michalski.pawel@bcg.com</t>
  </si>
  <si>
    <t>436399-12P</t>
  </si>
  <si>
    <t>Payam Djavdan</t>
  </si>
  <si>
    <t>Djavdan</t>
  </si>
  <si>
    <t>Mr. Payam Djavdan serves as Partner &amp; Director, Agile at Scale at Boston Consulting Group. He advises and upskills different levels including C-level leaders in client organizations in banking, pharma, retail, employment services, and insurance as they transform to new operating models and ways of working.</t>
  </si>
  <si>
    <t>djavdan.payam@bcg.com</t>
  </si>
  <si>
    <t>Partner &amp; Director, Agile at Scale</t>
  </si>
  <si>
    <t>435605-14P</t>
  </si>
  <si>
    <t>Pedro Pereira</t>
  </si>
  <si>
    <t>Mr. Pedro Pereira serves as Managing Director &amp; Senior Partner at Boston Consulting Group. His work has focused on advising clients and organizations to achieve sustainable competitive advantage across a broad range of industries. He has deep experience supporting clients both on strategy definition and on transformation and execution.</t>
  </si>
  <si>
    <t>pereira.pedro@bcg.com</t>
  </si>
  <si>
    <t>435602-35P</t>
  </si>
  <si>
    <t>Pelayo Losada</t>
  </si>
  <si>
    <t>Pelayo</t>
  </si>
  <si>
    <t>Losada</t>
  </si>
  <si>
    <t>Mr. Pelayo Losada serves as Managing Director &amp; Partner at Boston Consulting Group. He is the global lead for Climate &amp; Sustainability for BCG's aerospace and defense work, as well as actively involved in the Industrial Goods practice, with a focus on aerospace and defense, automotive, engineered products, and process industries.</t>
  </si>
  <si>
    <t>losada.pelayo@bcg.com</t>
  </si>
  <si>
    <t>435629-08P</t>
  </si>
  <si>
    <t>Pepe Rodriguez</t>
  </si>
  <si>
    <t>Pepe</t>
  </si>
  <si>
    <t>Mr. Pepe Rodriguez serves as Managing Director &amp; Partner at Boston Consulting Group. He leads the Digital Supply Chain topic for BCG globally. He is also an expert in digital supply chain and advanced analytics for operations, having supported teams across industries (consumer goods, industrial goods, and technology). Prior to joining BCG, he worked for Tecnológico de Monterrey, a leading university in Mexico, where he was part of the university's internal consulting group, leading strategy and operations projects both in education and health care.</t>
  </si>
  <si>
    <t>p-r@bcg.com</t>
  </si>
  <si>
    <t>456807-61P</t>
  </si>
  <si>
    <t>Peri Edelstein</t>
  </si>
  <si>
    <t>Edelstein</t>
  </si>
  <si>
    <t>Ms. Peri Edelstein serves as Managing Director &amp; Senior Partner at Boston Consulting Group. She is the regional practice lead for the North America Consumer practice area. She focuses on growth, go-to-market strategy, and organization strategy. She has worked extensively in the consumer goods space, with food and beverage, personal care, and apparel companies, among others. Before joining the firm, she worked in the consumer card division of American Express, leading a regional marketing campaign launch.</t>
  </si>
  <si>
    <t>edelstein.peri@bcg.com</t>
  </si>
  <si>
    <t>325592-11P</t>
  </si>
  <si>
    <t>Peter Cho</t>
  </si>
  <si>
    <t>Mr. Peter Cho serves as Managing Director &amp; Senior Partner at Boston Consulting Group. Mr. Peter Cho served as Board Member at SOL-X. He is a core member of the firm's Transformation practice; he focuses on the Financial Institutions and Technology, Media &amp; Telecommunications practices.</t>
  </si>
  <si>
    <t>cho.peter@bcg.com</t>
  </si>
  <si>
    <t>435402-91P</t>
  </si>
  <si>
    <t>Peter Clearkin</t>
  </si>
  <si>
    <t>Clearkin</t>
  </si>
  <si>
    <t>Mr. Peter Clearkin serves as Managing Director &amp; Partner at Boston Consulting Group. He focuses on performance improvement and turnarounds for large industrial and mining clients, advising them on company strategy, organizational redesign, cost reduction, productivity improvement, and mine strategy and planning.</t>
  </si>
  <si>
    <t>clearkin.peter@bcg.com</t>
  </si>
  <si>
    <t>456830-29P</t>
  </si>
  <si>
    <t>Peter Czerepak</t>
  </si>
  <si>
    <t>Czerepak</t>
  </si>
  <si>
    <t>Mr. Peter Czerepak serves as Managing Director &amp; Senior Partner at Boston Consulting Group. He leads the firm's Boston global asset management work. He supports asset managers (including public and private equity and hedge funds) and wealth managers on strategy, fund operations, commercial due diligence (buy-side and sell-side), and portfolio company growth transformations. He has significant experience in investing topics related to industries, including industrial goods, technology, infrastructure, and business services. He leads the global asset and wealth team and contributes to BCG's annual asset and wealth reports. He also leads the private equity knowledge team globally.</t>
  </si>
  <si>
    <t>czerepak.peter@bcg.com</t>
  </si>
  <si>
    <t>456254-83P</t>
  </si>
  <si>
    <t>Peter Daniel</t>
  </si>
  <si>
    <t>Mr. Peter Daniel serves as Partner &amp; Director at Boston Consulting Group. He is a member of the firm's Global Advantage and Corporate Finance &amp; Strategy practices. He supports clients on equity investments, partnerships, and joint ventures, and leads the firm's work on these topics in North America. His work typically falls into one of three buckets: translating business strategy into investment and partnering strategy; planning, structuring, and implementing new ventures and partnerships; and reviewing and improving existing ventures and partnerships. Prior to joining BCG, he worked for 15 years at the boutique consulting firm Water Street Partners (now Ankura) and as an independent consultant and senior advisor. Prior to that, he worked for the Corporate Executive Board (now Gartner).</t>
  </si>
  <si>
    <t>daniel.peter@bcg.com</t>
  </si>
  <si>
    <t>35596-09P</t>
  </si>
  <si>
    <t>Peter Davis</t>
  </si>
  <si>
    <t>Mr. Peter Davis serves as Chief Operating Officer, President, Secretary and Board Member at Excolere Acquisition. Mr. Davis serves as Senior Advisor &amp; Partner at The Boston Consulting Group. He also serves as Advisor at Junction Education. He also serves as Advisor and Board Member at Mogul. He serves as Senior Advisor at The EdTech Fund. He also serves as Advisor at EdTechFund and as a Senior Advisor and Partner at The Boston Consulting Group. He also serves as Board Member &amp; Advisor at Reading Plus. He has extensive experience in the education industry. As the former president of McGraw-Hill Education, he was responsible for leading one of the world's top education companies, serving teachers, students, and individuals in a range of professions worldwide. Before joining McGraw-Hill Education, he was executive vice president of global strategy for The McGraw-Hill Companies. Earlier in his career, he was a managing director at Novantas LLC and a senior partner at Booz Allen Hamilton. He holds a bachelor's degree from Rutgers College and a master's degree in business administration from the Johnson School of Management at Cornell University.</t>
  </si>
  <si>
    <t>2029 Century Park East</t>
  </si>
  <si>
    <t>Suite 400North</t>
  </si>
  <si>
    <t>Chief Operating Officer, President, Secretary and Board Member</t>
  </si>
  <si>
    <t>Excolere Acquisition</t>
  </si>
  <si>
    <t>436116-43P</t>
  </si>
  <si>
    <t>Peter Dewey Ph.D</t>
  </si>
  <si>
    <t>Dewey</t>
  </si>
  <si>
    <t>Mr. Peter Dewey serves as Managing Director &amp; Partner at Boston Consulting Group. He specializes in building new digital businesses and transforming companies' digital capabilities.</t>
  </si>
  <si>
    <t>dewey.peter@bcg.com</t>
  </si>
  <si>
    <t>435918-43P</t>
  </si>
  <si>
    <t>Peter Geluk</t>
  </si>
  <si>
    <t>Geluk</t>
  </si>
  <si>
    <t>Mr. Peter Geluk serves as Managing Director &amp; Senior Partner at Boston Consulting Group. His client engagements have included leading an all-encompassing efficiency review of the Dutch public broadcasting network, and he has also worked extensively with the Dutch Ministry of Infrastructure in the public transport sector.</t>
  </si>
  <si>
    <t>geluk.peter@bcg.com</t>
  </si>
  <si>
    <t>456504-85P</t>
  </si>
  <si>
    <t>Peter Jameson</t>
  </si>
  <si>
    <t>Jameson</t>
  </si>
  <si>
    <t>Mr. Peter Jameson serves as Managing Director &amp; Partner at Boston Consulting Group. He is the Nordic lead for the firm's Climate &amp; Sustainability practice, and the global topic lead for sustainability and climate for the firm's infrastructure, cities, and transport team. He works across industries with a focus on climate and sustainability strategy and transformation. Before joining the firm, he gained experience in a senior position at Coloplast, a leading Danish medtech company, where he was responsible for innovation, and during the first part of his career, in the British Royal Navy.</t>
  </si>
  <si>
    <t>jameson.peter@bcg.com</t>
  </si>
  <si>
    <t>455642-74P</t>
  </si>
  <si>
    <t>Peter Mattsson</t>
  </si>
  <si>
    <t>Mattsson</t>
  </si>
  <si>
    <t>Mr. Peter Mattsson serves as Managing Director &amp; Partner at Boston Consulting Group. He is a core member of the firm's Consumer practice with a special focus on fashion and luxury. He is also a member of the Marketing, Sales &amp; Pricing and Technology &amp; Digital Advantage practices at the firm. He has led several AI products from proof-of-concept to industrialization, as well as projects within pricing, large-scale transformation, supply chain, and assortment.</t>
  </si>
  <si>
    <t>mattsson.peter@bcg.com</t>
  </si>
  <si>
    <t>455775-13P</t>
  </si>
  <si>
    <t>Peter Pessoa</t>
  </si>
  <si>
    <t>Pessoa</t>
  </si>
  <si>
    <t>Mr. Peter Pessoa serves as Managing Director &amp; Partner at Boston Consulting Group. He leads large-scale digital and AI programs across the Americas. He specializes in helping clients shape their digital strategy, build agile organizations, apply AI to enhance customer value, and launch impactful digital products. As part of BCG X's global Deep Customer Engagement AI leadership team, he works closely with telco and tech clients through the Technology, Media &amp; Telecommunications practice. Earlier in his career, Mr. Pessoa worked at IBM focusing on global strategy and implementation, led digital initiatives for a retail startup, and served as SVP at a middle-market private equity firm.</t>
  </si>
  <si>
    <t>peter.pessoa@bcg.com</t>
  </si>
  <si>
    <t>434929-78P</t>
  </si>
  <si>
    <t>Peter Rockert</t>
  </si>
  <si>
    <t>Rockert</t>
  </si>
  <si>
    <t>Mr. Peter Rockert serves as Managing Director &amp; Partner at Boston Consulting Group. He has extensive experience from retail banking and corporate and investment (CIB)/wholesale banking, and private equity. With his private equity clients, Peter focuses on transactions and portfolio acceleration in the financial and business services, and tech sectors.</t>
  </si>
  <si>
    <t>rockert.peter@bcg.com</t>
  </si>
  <si>
    <t>435774-43P</t>
  </si>
  <si>
    <t>Peter Ullrich Ph.D</t>
  </si>
  <si>
    <t>Ullrich</t>
  </si>
  <si>
    <t>Mr. Peter Ullrich serves as Managing Director &amp; Partner at Boston Consulting Group. His client engagements have included projects in strategy development, performance improvement and transformation, and reorganization.</t>
  </si>
  <si>
    <t>ullrich.peter@bcg.com</t>
  </si>
  <si>
    <t>436285-27P</t>
  </si>
  <si>
    <t>Philip Jones</t>
  </si>
  <si>
    <t>Mr. Philip Jones serves as Partner &amp; Associate Director at Boston Consulting Group. He is a core member of BCG's Transform practice which helps clients deliver rapid, visible performance improvements in the short term, while strengthening their organizations and positioning them to win in the future.</t>
  </si>
  <si>
    <t>jones.philip@bcg.com</t>
  </si>
  <si>
    <t>435631-24P</t>
  </si>
  <si>
    <t>Philip Whittaker</t>
  </si>
  <si>
    <t>Mr. Philip Whittaker serves as Partner &amp; Director, Oil &amp; Gas at Boston Consulting Group. He has 30 years' experience in oil and gas exploration and production in the industry. As a consultant, he has worked with operators, national oil companies, service companies, and investors in more than 30 countries on a range of strategic and operational issues.</t>
  </si>
  <si>
    <t>whittaker.philip@bcg.com</t>
  </si>
  <si>
    <t>Partner &amp; Director, Oil &amp; Gas</t>
  </si>
  <si>
    <t>455366-17P</t>
  </si>
  <si>
    <t>Philip Zakahi</t>
  </si>
  <si>
    <t>Zakahi</t>
  </si>
  <si>
    <t>Mr. Philip Zakahi serves as Managing Director &amp; Partner at Boston Consulting Group. She is a member of the firm's Technology, Media, and Telecommunications practice. He works primarily with clients in enterprise software and technology services. He advises clients across a range of topics, including corporate strategy, mergers and acquisitions, go-to-market transformation, and operational efficiency. He has particular expertise in partner ecosystems strategy and transformation. In 2018, he served as interim CIO/CTO for a private equity-owned fashion company.</t>
  </si>
  <si>
    <t>philip.zakahi@bcg.com</t>
  </si>
  <si>
    <t>456651-64P</t>
  </si>
  <si>
    <t>Philipp Carlsson-Szlezak Ph.D</t>
  </si>
  <si>
    <t>Carlsson-Szlezak</t>
  </si>
  <si>
    <t>Dr. Philipp Carlsson-Szlezak serves as Managing Director, Partner &amp; Global Chief Economist at Boston Consulting Group. He also leads the Center for Macroeconomics at the BCG Henderson Institute. He advises executives and investors on the tactical economic outlook and on structural change. He was previously Chief Economist at Sanford C. Bernstein, where he covered the economy and markets for institutional investors in the global asset management industry. Earlier in his career, he spent more than ten years advising financial institutions and governments at BCG, the Organization for Economic Co-operation and Development (OECD), and McKinsey &amp; Company.</t>
  </si>
  <si>
    <t>carlsson-szlezak.philipp@bcg.com</t>
  </si>
  <si>
    <t>Managing Director, Partner &amp; Global Chief Economist</t>
  </si>
  <si>
    <t>195924-07P</t>
  </si>
  <si>
    <t>Philipp Jostarndt</t>
  </si>
  <si>
    <t>Jostarndt</t>
  </si>
  <si>
    <t>Mr. Philipp Jostarndt serves as Managing Director &amp; Senior Partner at Boston Consulting Group. At BCG, Philipp has focused on strategy (portfolio transformation, organization, investor strategy) and transaction-related work (mostly corporate divestitures, but also buy-side M&amp;A for corporate clients and financial sponsors).</t>
  </si>
  <si>
    <t>p-j@bcg.com</t>
  </si>
  <si>
    <t>435322-09P</t>
  </si>
  <si>
    <t>Philippe Cyr</t>
  </si>
  <si>
    <t>Cyr</t>
  </si>
  <si>
    <t>Mr. Philippe Cyr serves as Managing Director &amp; Senior Partner at Boston Consulting Group. He is an expert in large-scale urban and real estate development. During his career, he has been instrumental in supporting more than 20 complex mega-projects across the Middle East and North Africa. He works with mega-project clients along their whole project life cycles, from initial strategy to construction and operations.</t>
  </si>
  <si>
    <t>cyr.philippe@bcg.com</t>
  </si>
  <si>
    <t>104574-34P</t>
  </si>
  <si>
    <t>Philippe Removille</t>
  </si>
  <si>
    <t>Removille</t>
  </si>
  <si>
    <t>Mr. Philippe Removille serves as Managing Director &amp; Partner at Boston Consulting Group. He served as Partner at Roland Berger. Mr. Removille is a Partner at Roland Berger's Paris office. He joined the firm in 2006 and has extensive experience advising clients in the insurance and manufacturing sectors. Mr. Removille's work mainly focuses on strategic transformation and restructuring, where he leverages his expertise in digitization, e-business, and development strategy. He has spent years working in consulting and also spent time working in Venture Capital before joining Roland Berger. He holds two master's degrees: one in Engineering from the École Centrale de Lyon and one in Finance from the Paris Dauphine University, both in France.</t>
  </si>
  <si>
    <t>+33 1 5367-0948</t>
  </si>
  <si>
    <t>philippe.removille@bcg.com</t>
  </si>
  <si>
    <t>435340-72P</t>
  </si>
  <si>
    <t>Phillip Andersen</t>
  </si>
  <si>
    <t>Andersen</t>
  </si>
  <si>
    <t>Mr. Phillip Andersen serves as Managing Director &amp; Senior Partner at Boston Consulting Group. He has deep experience in the B2B enterprise IT segment, with a focus on large scale go-to-market transformations to help these companies modernize their capabilities. His recent project experience includes a new channel launch, CEO-led transformation, and market entry strategy.</t>
  </si>
  <si>
    <t>andersen.phillip@bcg.com</t>
  </si>
  <si>
    <t>281627-56P</t>
  </si>
  <si>
    <t>Phillip Benedetti</t>
  </si>
  <si>
    <t>Benedetti</t>
  </si>
  <si>
    <t>Mr. Phillip Benedetti serves as Senior Advisor at Boston Consulting Group. He has worked across industries as a core member of BCG's Corporate Finance &amp; Strategy practice, helping support clients on their value-creation, growth, and innovation agendas. Before joining BCG, he worked as an innovation consultant at OI Pharma Partners and as a Research Fellow at the University of Pennsylvania.</t>
  </si>
  <si>
    <t>phillip.benedetti@bcg.com</t>
  </si>
  <si>
    <t>435744-28P</t>
  </si>
  <si>
    <t>Phillip Shinall</t>
  </si>
  <si>
    <t>Shinall</t>
  </si>
  <si>
    <t>Mr. Phillip Shinall serves as Managing Director &amp; Senior Partner at Boston Consulting Group. He has extensive experience in growth and portfolio strategy, and he has worked with clients across a number of industries.</t>
  </si>
  <si>
    <t>shinall.phillip@bcg.com</t>
  </si>
  <si>
    <t>455908-69P</t>
  </si>
  <si>
    <t>Phillipa Osakwe-Okoye</t>
  </si>
  <si>
    <t>Phillipa</t>
  </si>
  <si>
    <t>Osakwe-Okoye</t>
  </si>
  <si>
    <t>Ms. Phillipa Osakwe-Okoye serves as a Partner at Boston Consulting Group. She has more than ten years of financial services and consulting experience across Africa, the UK, and the US. She advises multinational and African businesses, particularly in financial services, on strategy design, portfolio optimization, cost management, people performance, and delivering large-scale organizational transformations. Prior to joining BCG, she worked at Bain &amp; Company and Roland Berger in Nigeria. Before that, she worked in investment banking at Deutsche Bank in New York and Stanbic Nigeria.</t>
  </si>
  <si>
    <t>osakwe-okoye.phillipa@bcg.com</t>
  </si>
  <si>
    <t>435024-46P</t>
  </si>
  <si>
    <t>Pia Carona</t>
  </si>
  <si>
    <t>Carona</t>
  </si>
  <si>
    <t>Ms. Pia Carona serves as Partner at Boston Consulting Group. She advises private sector, NGO, and government clients on strategic, operational, market access, and development topics. She has worked in countries across Europe and Africa, including France, Portugal, Spain, Switzerland, the UK, Angola, Ethiopia, Kenya, Mozambique, Zambia, Zimbabwe, and South Africa.</t>
  </si>
  <si>
    <t>carona.pia@bcg.com</t>
  </si>
  <si>
    <t>174985-39P</t>
  </si>
  <si>
    <t>Pia Tischhauser</t>
  </si>
  <si>
    <t>Tischhauser</t>
  </si>
  <si>
    <t>Ms. Pia Tischhauser serves as Managing Director &amp; Senior Partner; Global Leader, and Chief Alumni Officer at Boston Consulting Group. She also serves as Chairwoman at Swiss Re Europe. She has worked internationally for almost two decades across three continents and out of BCG's offices in Chicago, London, and Zurich. She has been working with management teams of large international and local insurers, brokers, reinsurers, and regulators. For many years, she has been the firm's global leader in the commercial insurance and reinsurance sector. She has advised numerous worldwide financial services clients on a broad range of strategic questions, including market opportunity assessment, digital/industry disruption, cost reduction, risk and performance management, portfolio reviews, post-merger integration, and divestiture. Before joining the firm, she worked as a financial analyst in investment banking and as a research assistant. She is a Graduate MBA scholar, at Kellogg School of Management, USA, and Master's degree in Economics from the University of Berne, Switzerland.</t>
  </si>
  <si>
    <t>pia.tischhauser@bcg.com</t>
  </si>
  <si>
    <t>Managing Director &amp; Senior Partner; Global Leader,; Chief Alumni Officer</t>
  </si>
  <si>
    <t>435665-17P</t>
  </si>
  <si>
    <t>Pierre Dupreelle JD</t>
  </si>
  <si>
    <t>Dupreelle</t>
  </si>
  <si>
    <t>Mr. Pierre Dupreelle serves as Managing Director &amp; Partner at Boston Consulting Group. He has extensive experience working with clients in the consumer packaged goods, and fashion and luxury sectors. He has helped numerous organizations address key issues related to marketing and branding strategy, segmentation, customer journeys, and customer-centric transformation.</t>
  </si>
  <si>
    <t>pierre.dupreelle@bcg.com</t>
  </si>
  <si>
    <t>164426-68P</t>
  </si>
  <si>
    <t>Pierre Laugeri</t>
  </si>
  <si>
    <t>Laugeri</t>
  </si>
  <si>
    <t>Mr. Pierre Laugeri serves as Partner &amp; Director at Boston Consulting Group. Mr. Pierre Laugeri served as Administrateur de l'enterprise at Pouly. He has led or participated in turnaround situations in more than 15 European based Global firms.</t>
  </si>
  <si>
    <t>laugeri.pierre@bcg.com</t>
  </si>
  <si>
    <t>456586-84P</t>
  </si>
  <si>
    <t>Pierre Mercier</t>
  </si>
  <si>
    <t>Mercier</t>
  </si>
  <si>
    <t>Mr. Pierre Mercier serves as Managing Director &amp; Senior Partner at Boston Consulting Group. He is a global leader of the firm's retail supply chain topic and a member of the firm's Operations and Consumer practices. He is also an integral part of the firm's Operations Center in London, one of ten global operations centers that serve as hubs for comprehensive operations support and offer tailored, fully integrated solutions to optimize operations for long-term success. He holds the American Production and Inventory Control Society's certificate in supply chain management. Before joining BCG, he worked with Mitchell Madison Group and Deloitte Consulting.</t>
  </si>
  <si>
    <t>mercier.pierre@bcg.com</t>
  </si>
  <si>
    <t>456588-28P</t>
  </si>
  <si>
    <t>Pierre Roussel</t>
  </si>
  <si>
    <t>Roussel</t>
  </si>
  <si>
    <t>Mr. Pierre Roussel serves as Managing Director &amp; Senior Partner at Boston Consulting Group. He is a core member of the firm's Financial Institutions practice. He has assisted numerous financial institutions in France and Luxembourg, mostly on aspects of retail and private banking, and has worked for major players to develop and implement large-scale and digital transformations, optimize operational efficiency, and develop growth strategies. He is also a core member of the Post-Merger Integration (PMI) team and has led a number of international integration projects over the years.</t>
  </si>
  <si>
    <t>roussel.pierre@bcg.com</t>
  </si>
  <si>
    <t>435367-63P</t>
  </si>
  <si>
    <t>Pieter Berg</t>
  </si>
  <si>
    <t>Pieter</t>
  </si>
  <si>
    <t>Berg</t>
  </si>
  <si>
    <t>Mr. Pieter Berg serves as Managing Director &amp; Partner at Boston Consulting Group. He is a is a core member of the firm's Financial Institutions practice, and leads BCG's Corporate Banking segment in North America, including business banking, commercial lending, and treasury management. He oversees BCG's performance benchmarking in this segment, as well as BCG's treasury management sales benchmarking.</t>
  </si>
  <si>
    <t>p-b@bcg.com</t>
  </si>
  <si>
    <t>456095-35P</t>
  </si>
  <si>
    <t>Pieter Himpens</t>
  </si>
  <si>
    <t>Himpens</t>
  </si>
  <si>
    <t>Mr. Pieter Himpens serves as Managing Director &amp; Partner at Boston Consulting Group. He co-leads the firm's Financial Institutions and Insurance Practices in Belgium. He advises banks, insurers, and other financial institutions across the firm's London, Amsterdam, and Brussels systems, working with clients on a variety of strategy, distribution, large-scale transformation, organizational effectiveness, and operational efficiency topics. In addition, he has led several agile at scale transformations. He leads BCG's corporate, private, and retail banking benchmark in Belgium and Luxembourg. He also serves as a recruiting partner for the Brussels office and as a career advisor to junior staff.</t>
  </si>
  <si>
    <t>himpens.pieter@bcg.com</t>
  </si>
  <si>
    <t>455966-47P</t>
  </si>
  <si>
    <t>Pietro Romanin</t>
  </si>
  <si>
    <t>Pietro</t>
  </si>
  <si>
    <t>Romanin</t>
  </si>
  <si>
    <t>Mr. Pietro Romanin serves as Managing Director &amp; Partner at Boston Consulting Group. He is a core member of the Energy and Operations practices and has worked extensively in the oil and gas industry-in major international oil companies (IOCs) as well as international engineering, procurement, and construction (EPC) contractors and original equipment manufacturers (OEMs), across strategy, digital, and operations. Prior to joining BCG, he was a senior consultant for the in-house consulting firm of the German sports car manufacturer Porsche AG.</t>
  </si>
  <si>
    <t>romanin.pietro@bcg.com</t>
  </si>
  <si>
    <t>436437-73P</t>
  </si>
  <si>
    <t>Pim Hilbers</t>
  </si>
  <si>
    <t>Pim</t>
  </si>
  <si>
    <t>Hilbers</t>
  </si>
  <si>
    <t>Mr. Pim Hilbers serves as Managing Director &amp; Partner at Boston Consulting Group. He has significant experience developing future-proof strategies, and putting those strategies into action through operating model, technology, and talent and skills transformations.</t>
  </si>
  <si>
    <t>hilbers.pim@bcg.com</t>
  </si>
  <si>
    <t>435642-40P</t>
  </si>
  <si>
    <t>Pinaki Roy</t>
  </si>
  <si>
    <t>Pinaki</t>
  </si>
  <si>
    <t>Roy</t>
  </si>
  <si>
    <t>Mr. Pinaki Roy serves as Managing Director &amp; Partner at Boston Consulting Group. He specializes in architecting front office technology platforms and helping clients adopt emerging technologies to advance enterprise-level digital transformations.</t>
  </si>
  <si>
    <t>roy.pinaki@bcg.com</t>
  </si>
  <si>
    <t>340265-62P</t>
  </si>
  <si>
    <t>Prakash Chandrasekar</t>
  </si>
  <si>
    <t>Prakash</t>
  </si>
  <si>
    <t>Chandrasekar</t>
  </si>
  <si>
    <t>Managing Partner &amp; Partner</t>
  </si>
  <si>
    <t>Mr. Prakash Chandrasekar serves as Partner &amp; Managing Partner at Boston Consulting Group. He is a core member of Boston Consulting Group's Industrial Goods, Energy, and Operations practices. He is committed to using advanced analytics and digital technologies to drive operational performance improvement for his clients. Prakash works with chemicals, materials, and agribusiness companies across the value chain, and on their most critical issues related to strategy, operational performance improvement, and M&amp;A. He has deep experience in designing and executing large-scale transformation programs that deliver rapid improvement in EBITDA and cash flow while building capabilities within his client's organization to sustain results over time. Earlier in his career, Prakash served as a member of the Executive Leadership Team at Nexeo Solutions (acquired by Univar), where he was a direct report to the president &amp; CEO and led their business transformation program globally across the enterprise. Just prior to joining BCG in 2019, Prakash was a managing director at Accenture.</t>
  </si>
  <si>
    <t>prakash.chandrasekar@bcg.com</t>
  </si>
  <si>
    <t>Partner &amp; Managing Partner</t>
  </si>
  <si>
    <t>435657-34P</t>
  </si>
  <si>
    <t>Pranay Jhunjhunwala</t>
  </si>
  <si>
    <t>Pranay</t>
  </si>
  <si>
    <t>Jhunjhunwala</t>
  </si>
  <si>
    <t>Mr. Pranay Jhunjhunwala serves as Managing Director &amp; Senior Partner at Boston Consulting Group. His client work has focused heavily on the travel and tourism sector, including airlines, hotels, cruise lines, and travel distribution.</t>
  </si>
  <si>
    <t>jhunjhunwala.pranay@bcg.com</t>
  </si>
  <si>
    <t>434818-63P</t>
  </si>
  <si>
    <t>Prashant Choudhary</t>
  </si>
  <si>
    <t>Prashant</t>
  </si>
  <si>
    <t>Mr. Prashant Choudhary serves as Managing Director &amp; Partner at Boston Consulting Group. He advises consumer goods and telecommunications clients on strategy, go-to-market (route-to-market model design, digitization, sales and distribution, marketing, pricing, and customer support) within B2B and B2C contexts, as well as consumer insights, and revenue management.</t>
  </si>
  <si>
    <t>choudhary.prashant@bcg.com</t>
  </si>
  <si>
    <t>455962-33P</t>
  </si>
  <si>
    <t>Prashant Mehrotra</t>
  </si>
  <si>
    <t>Mehrotra</t>
  </si>
  <si>
    <t>Mr. Prashant Mehrotra serves as Managing Director &amp; Partner at Boston Consulting Group. He is a core member of the firm's Energy, Climate &amp; Sustainability practices. He designs and deploys large-scale transformation programs that deliver lasting change in operating model, culture, behaviors, and performance management. Before joining the firm, he was a reservoir engineer with Shell and a strategy consultant with Schlumberger.</t>
  </si>
  <si>
    <t>mehrotra.prashant@bcg.com</t>
  </si>
  <si>
    <t>436156-12P</t>
  </si>
  <si>
    <t>Priya Chandran</t>
  </si>
  <si>
    <t>Priya</t>
  </si>
  <si>
    <t>Chandran</t>
  </si>
  <si>
    <t>Ms. Priya Chandran serves as Managing Director &amp; Senior Partner, Global Sector Leader, Biopharmaceuticals at Boston Consulting Group. Priya Chandran is a core member of the Health Care and Public Sector practices at Boston Consulting Group. Her biopharma work at BCG has spanned a range of topics across major biopharma companies, including corporate strategy, M&amp;A, discovery and development innovation and productivity, medical affairs and regulatory. Prior to joining BCG, she was a researcher and project analyst at Ligand Pharmaceuticals in San Diego.</t>
  </si>
  <si>
    <t>chandran.priya@bcg.com</t>
  </si>
  <si>
    <t>Managing Director &amp; Senior Partner, Global Sector Leader, Biopharmaceuticals</t>
  </si>
  <si>
    <t>455519-98P</t>
  </si>
  <si>
    <t>Puso Thahane</t>
  </si>
  <si>
    <t>Puso</t>
  </si>
  <si>
    <t>Thahane</t>
  </si>
  <si>
    <t>Mr. Puso Thahane serves as a Partner at Boston Consulting Group. He is a core member of the Industrial Goods practice. He supports metals and mining companies across Africa, the US, and Europe. He has experience driving large-scale transformations, optimizing operational performance, and shaping forward-thinking strategies. At BCG, he specializes in guiding clients through complex operational performance improvements and end-to-end digital and analytics transformations (from design to deployment), and embedding sustainable ESG (environmental, social, and governance) strategies into their operations to ensure long-term value creation. Before joining BCG, he was an Associate Partner at McKinsey &amp; Company. Prior to his consulting career, he worked as a corporate attorney at Bowmans, specializing in M&amp;A and advising on cross-border transactions and post-merger integration strategies.</t>
  </si>
  <si>
    <t>pt@bcg.com</t>
  </si>
  <si>
    <t>455583-07P</t>
  </si>
  <si>
    <t>Qicong Hu</t>
  </si>
  <si>
    <t>Qicong</t>
  </si>
  <si>
    <t>Mr. Qicong Hu serves as Managing Director &amp; Partner at Boston Consulting Group. He is a core member of the firm's Health Care practice in Greater China, as well as a member of the Corporate Finance &amp; Strategy practice. He has supported the strategy, operations, and organization transformation of leading pharmaceutical, medtech, and life sciences companies, and large health care providers, providing guidance on topics including group and business unit strategies, corporate development, inbound and outbound M&amp;A, new product launch, market access, due diligence, operations, organization restructuring, R&amp;D strategy, portfolio planning, and medical strategy.</t>
  </si>
  <si>
    <t>hu.qicong@bcg.com</t>
  </si>
  <si>
    <t>436205-26P</t>
  </si>
  <si>
    <t>Quentin Decouvelaere</t>
  </si>
  <si>
    <t>Quentin</t>
  </si>
  <si>
    <t>Decouvelaere</t>
  </si>
  <si>
    <t>Mr. Quentin Decouvelaere serves as Managing Director &amp; Senior Partner at Boston Consulting Group. He has deep experience working for biopharma, generic, vaccine, and diagnostics companies, as well as for international organizations involved in global health topics.</t>
  </si>
  <si>
    <t>decouvelaere.quentin@bcg.com</t>
  </si>
  <si>
    <t>455943-70P</t>
  </si>
  <si>
    <t>Raakhi Agrawal</t>
  </si>
  <si>
    <t>Raakhi</t>
  </si>
  <si>
    <t>Agrawal</t>
  </si>
  <si>
    <t>Ms. Raakhi Agrawal serves as Managing Director &amp; Partner, BCG X at Boston Consulting Group. She is a core member of the BCG's leadership team and the firm's Digital Growth practice. She leads client engagements to help companies launch new products and initiatives, transform into more data-centric organizations, and build high-performing teams. She has worked with pharma, consumer health, energy, and personal investing and private equity companies, as well as financial institutions. She is a leader in marketing organization and operating model, and CX topics at BCG. Before coming to BCG, she was Head of Digital Strategy for the Beverage Portfolio of Brands at Nestlé and a Management Consultant at Booz Allen Hamilton.</t>
  </si>
  <si>
    <t>agrawal.raakhi@bcg.com</t>
  </si>
  <si>
    <t>455909-32P</t>
  </si>
  <si>
    <t>Rachel Grace</t>
  </si>
  <si>
    <t>Ms. Rachel Grace serves as Managing Director &amp; Partner at Boston Consulting Group. She is a core member of the Public Sector and Industrial Goods practices at the firm. She has expertise in cost and performance management, change management, and advanced analytics. She works with clients on large-scale change efforts, with a focus on the power of data-driven decision making, rigorous program management, and workforce capability-building to transform organizations. She has supported clients through cost-saving and performance management efforts across industries, including aerospace and defense, health care, and the US public sector.</t>
  </si>
  <si>
    <t>grace.rachel@bcg.com</t>
  </si>
  <si>
    <t>435326-05P</t>
  </si>
  <si>
    <t>Rachit Mathur</t>
  </si>
  <si>
    <t>Rachit</t>
  </si>
  <si>
    <t>Mathur</t>
  </si>
  <si>
    <t>Mr. Rachit Mathur serves as Managing Director &amp; Senior Partner at Boston Consulting Group. He is a core member of BCG's global Consumer practice and works with clients in India across a wide variety of strategic and operational transformation issues.</t>
  </si>
  <si>
    <t>mathur.rachit@bcg.com</t>
  </si>
  <si>
    <t>456490-63P</t>
  </si>
  <si>
    <t>Rae Chen</t>
  </si>
  <si>
    <t>Rae</t>
  </si>
  <si>
    <t>Ms. Rae Chen serves as Managing Director &amp; Partner at Boston Consulting Group. She is a core member of BCG's Insurance practice. Her focus is on digital and analytics, and she works with insurance companies and key players in the insurance ecosystem on a wide range of topics, including strategy, marketing and sales, claims transformation, and digital transformation. Before joining BCG, she was Vice President of TongDun Technology, a unicorn fintech company, and General Manager of its insurtech business providing AI-enabled solutions to insurance companies. Before that, she was a partner at McKinsey &amp; Company.</t>
  </si>
  <si>
    <t>rc@bcg.com</t>
  </si>
  <si>
    <t>455724-37P</t>
  </si>
  <si>
    <t>Rafael Nanawa</t>
  </si>
  <si>
    <t>Rafael</t>
  </si>
  <si>
    <t>Nanawa</t>
  </si>
  <si>
    <t>Mr. Rafael Nanawa serves as Managing Director &amp; Partner at Boston Consulting Group. He is a core member of Boston Consulting Group's Tech &amp; Digital Advantage practice as well as its global Transactions &amp; Integrations team (part of the Corporate Finance &amp; Strategy practice). He brings more than 20 years of digital and IT experience covering a range of topics, with particular depth in complex technology transformations and digital and IT in transactions (including IT carve-outs, integrations, and tech-enabled value creation). Prior to joining BCG, he led various technology projects and programs at PwC in the UK, as well as at IBM and Procter &amp; Gamble across Southeast Asia (based in the Philippines).</t>
  </si>
  <si>
    <t>nanawa.rafael@bcg.com</t>
  </si>
  <si>
    <t>435341-71P</t>
  </si>
  <si>
    <t>Rafael Rilo</t>
  </si>
  <si>
    <t>Rilo</t>
  </si>
  <si>
    <t>Mr. Rafael Rilo serves as Managing Director &amp; Senior Partner at Boston Consulting Group. His engagements have included developing market-entry strategies, commercial strategies, and business plans, as well as addressing efficiency improvement and transformation/restructuring programs.</t>
  </si>
  <si>
    <t>rilo.rafael@bcg.com</t>
  </si>
  <si>
    <t>455656-42P</t>
  </si>
  <si>
    <t>Rafael Sa</t>
  </si>
  <si>
    <t>Sa</t>
  </si>
  <si>
    <t>Mr. Rafael Sa serves as Managing Director &amp; Partner at Boston Consulting Group. He is a retail and e-commerce expert and a member of the firm's Consumer practice, with over 15 years of strategy consulting experience. He has worked in a variety of consumer industries in South America, including with leading players in grocery, pharmacy, electronics, home and furnishings, travel, fashion, and gas stations. He has deep expertise in growth strategy, transformation, M&amp;A, post-merger integration, and due diligence in the retail space, as well as performance improvement through applying advanced analytics solutions to pricing and promotions, assortment planning and allocation, go-to-market, and supply chain optimization. In addition, he has accumulated extensive experience in the e-commerce, loyalty, and retail financial services landscape. Before joining the firm, he worked at Bain &amp; Company in Rio de Janeiro for 15 years. Prior to that, he worked at Whirlpool in Latin America.</t>
  </si>
  <si>
    <t>sa.rafael@bcg.com</t>
  </si>
  <si>
    <t>455258-35P</t>
  </si>
  <si>
    <t>Raffael Kazda</t>
  </si>
  <si>
    <t>Raffael</t>
  </si>
  <si>
    <t>Kazda</t>
  </si>
  <si>
    <t>Mr. Raffael Kazda serves as Managing Director, BCG Platinion at Boston Consulting Group. He is the lead for BCG Platinion's Financial Services practice in Central Europe. He is an expert in IT strategy, IT application landscape, IT processes, and organizational development, as well as large-scale IT transformations. He has led recent client engagements with banks and other financial institutions across Europe on agile restructuring, core system modernization, program progress transparency, development and implementation of measures for project recovery, and IT strategy development and design, among many others. Mr. Kazda previously worked as a Senior Associate at KPMG in Advisory, Information Risk Management.</t>
  </si>
  <si>
    <t>kazda.raffael@bcg.com</t>
  </si>
  <si>
    <t>435764-89P</t>
  </si>
  <si>
    <t>Rahool Panandiker Ph.D</t>
  </si>
  <si>
    <t>Rahool</t>
  </si>
  <si>
    <t>Panandiker</t>
  </si>
  <si>
    <t>Dr. Rahool Panandiker serves as Managing Director &amp; Senior Partner at Boston Consulting Group. He is a core member of the Energy and Corporate Finance &amp; Strategy practices and has considerable functional experience in innovation, operations, people and organization, and strategy. Within the Energy practice, his focus has been on the oil and gas industry, renewables, and climate and sustainability.</t>
  </si>
  <si>
    <t>panandiker.rahool@bcg.com</t>
  </si>
  <si>
    <t>456468-85P</t>
  </si>
  <si>
    <t>Rahul Aggarwal</t>
  </si>
  <si>
    <t>Mr. Rahul Aggarwal serves as Managing Director &amp; Senior Partner at Boston Consulting Group. He is a core member of the firm's Technology, Media &amp; Telecommunications practice and specializes in telco cost reductions, energy, and operations. He is the Marketing Leader for BCG in Southeast Asia and also leads TURN, BCG's turnaround practice, for that region. He has broad experience in technology and telecommunications in the US and in Southeast Asia, especially the Philippines, Malaysia, and Singapore, and has helped many companies with growth-related issues. Before he became a consultant, he developed telecommunications software for large telco equipment manufacturers.</t>
  </si>
  <si>
    <t>rahul.aggarwal@bcg.com</t>
  </si>
  <si>
    <t>456409-09P</t>
  </si>
  <si>
    <t>Rahul Khubchandani</t>
  </si>
  <si>
    <t>Khubchandani</t>
  </si>
  <si>
    <t>Mr. Rahul Khubchandani serves as Partner &amp; Associate Director at Boston Consulting Group. He is a core member of BCG's Transaction and Integration Excellence center with a particular focus on mergers and acquisitions and divestitures. He is also an active member of BCG's Corporate Finance &amp; Strategy and Consumer practices. At BCG, he works with consumer, health care, med tech, pharmaceutical, and industrial clients on all aspects of M&amp;A and divestitures, including business planning and valuation, due diligence, and transaction structuring. He also has expertise in credit ratings and funding, deal execution, and business improvement. Prior to joining BCG, he spent eight years on the corporate development team of Australian conglomerate Wesfarmers.</t>
  </si>
  <si>
    <t>khubchandani.rahul@bcg.com</t>
  </si>
  <si>
    <t>436184-38P</t>
  </si>
  <si>
    <t>Rahul Sanghvi</t>
  </si>
  <si>
    <t>Sanghvi</t>
  </si>
  <si>
    <t>Mr. Rahul Sanghvi serves as Managing Director &amp; Partner at Boston Consulting Group. He is a core member of Boston Consulting Group's Industrial Goods and Infrastructure &amp; Logistics practices, and has extensive expertise in end-to-end transformations, business turnarounds, and growth acceleration.</t>
  </si>
  <si>
    <t>sanghvi.rahul@bcg.com</t>
  </si>
  <si>
    <t>456720-94P</t>
  </si>
  <si>
    <t>Rajat Modwel</t>
  </si>
  <si>
    <t>Rajat</t>
  </si>
  <si>
    <t>Modwel</t>
  </si>
  <si>
    <t>Mr. Rajat Modwel serves as Managing Director &amp; Partner at Boston Consulting Group. He is a core member of the Public Sector, Transportation, Cities &amp; Infrastructure, and Strategy practices at the firm. At BCG, he focuses on the public sector and social impact areas, using his expertise in transportation, urban issues, industry, economic development, climate, energy, tourism, skills, education, agriculture, finance, and governance. Before joining BCG, he was the CEO of Research Triangle Institute in India, where he built practices in health, energy, and WaSH, engaging mostly with government, multilaterals, and foundations.</t>
  </si>
  <si>
    <t>modwel.rajat@bcg.com</t>
  </si>
  <si>
    <t>455181-67P</t>
  </si>
  <si>
    <t>Rajeev Singh</t>
  </si>
  <si>
    <t>Rajeev</t>
  </si>
  <si>
    <t>Mr. Rajeev Singh serves as Platinum Managing Director at Boston Consulting Group. Platiniona division of the firm responsible for steering and securing large-scale system deployments. He leads and delivers large digital transformation programs, ecommerce, and data strategies. He manages complex business and tech frameworks, aiming to surpass his clients' objectives by harnessing the strengths of both internal teams and external partnerships. His strategic focuses include CIO advisory, cost-talent management, future of work (learning development strategy), CIO budget, digital transformation strategy, and application capability assessment and roadmap.</t>
  </si>
  <si>
    <t>singh.rajeev@bcg.com</t>
  </si>
  <si>
    <t>435707-83P</t>
  </si>
  <si>
    <t>Rajesh Shetty</t>
  </si>
  <si>
    <t>Mr. Rajesh Shetty serves as Partner &amp; Associate Director at Boston Consulting Group. His current focus is developing and implementing digital supply chain roadmaps and capabilities, and working with clients to design and implement sales and operations planning programs.</t>
  </si>
  <si>
    <t>rajesh.shetty@bcg.com</t>
  </si>
  <si>
    <t>435205-72P</t>
  </si>
  <si>
    <t>Rajiv Murali</t>
  </si>
  <si>
    <t>Rajiv</t>
  </si>
  <si>
    <t>Murali</t>
  </si>
  <si>
    <t>Mr. Rajiv Murali serves as Managing Director &amp; Partner at Boston Consulting Group. He is a core member of the Energy practice with extensive experience in digital initiatives across heavy industry companies, including exploration, development, operations, supply chain, digital transformations, and decarbonization/carbon accounting.</t>
  </si>
  <si>
    <t>murali.rajiv@bcg.com</t>
  </si>
  <si>
    <t>456195-88P</t>
  </si>
  <si>
    <t>Rajive Mathur</t>
  </si>
  <si>
    <t>Rajive</t>
  </si>
  <si>
    <t>Mr. Rajive Mathur serves as Partner &amp; Director, Digital &amp; Organization Transformation at Boston Consulting Group. He is a leader within the firm's Technology Advantage practice area. Before joining BCG, most recently, he was Chief Information Officer &amp; Deputy Commissioner Systems at the US Social Security Administration, where he led IT Operations and Transformation/Modernization efforts in order to deliver on the agency's mission to serve millions of beneficiaries and recipients. Prior to the SSA, he led enterprise-wide digital transformation for the IRS, where he had day-to-day responsibility for the web service channel via IRS.gov as well as other citizen-facing services. At BCG, his work with clients is informed by his expertise in digital transformation issues, ranging from leading large-scale strategic change, omnichannel service delivery, cybersecurity, product management, and product development, digital identity, customer experience, artificial intelligence, data analytics, and IT operations.</t>
  </si>
  <si>
    <t>mathur.rajive@bcg.com</t>
  </si>
  <si>
    <t>Partner &amp; Director, Digital &amp; Organization Transformation</t>
  </si>
  <si>
    <t>114326-92P</t>
  </si>
  <si>
    <t>Ralf Moldenhauer Ph.D</t>
  </si>
  <si>
    <t>Ralf</t>
  </si>
  <si>
    <t>Moldenhauer</t>
  </si>
  <si>
    <t>Mr. Ralf Moldenhauer serves as Senior Partner &amp; Managing Director at Boston Consulting Group. Previously, he served as a Partner at Roland Berger Strategy Consultants. Moldenhauer is a core member of the Corporate Development; Industrial Goods; and Operations practices at The Boston Consulting Group. He is an expert with BCG TURN, which helps clients deliver rapid, visible performance improvements in the short term while positioning them to win in the future. His work in restructuring and recovery is focused on Central Europe, the Middle East, and Africa (CEMA), and he is a global topic leader for restructuring-specific expertise. Since joining BCG in 2010, Ralf has focused his client work on turning around struggling and distressed companies. He has acquired deep experience in crisis prevention and management as well as refinancing. Examples are his project work include providing turnaround support across industries; a complete turnaround of the third-largest German public hospital group, from the initial blueprint to the final structure; and the restructuring of concepts for internationally operating medium-sized companies (known as German Mittelstand), with a focus on business models, cost excellence, and foreign operations. He has also helped clients achieve liquidity improvement, including liquidity planning, and he has prepared insolvency solutions as an option for restructuring in Germany.</t>
  </si>
  <si>
    <t>ralfmoldenhauer@bcg.com</t>
  </si>
  <si>
    <t>456499-18P</t>
  </si>
  <si>
    <t>Rami Mourtada</t>
  </si>
  <si>
    <t>Mourtada</t>
  </si>
  <si>
    <t>Mr. Rami Mourtada serves as Partner &amp; Director, Digital Transformation at Boston Consulting Group. He is an inaugural member of BCG's Digital Accelerator System. He is also a core member of global DigitalBCG, the Technology Advantage and Public Sector practices, and the firm's Center for Digital Government. He focuses on business-led digital transformation and is an expert in digital, data, and technology strategy, covering roadmaps, design, architecture, and user journeys, as well as overall transformation program oversight and execution. Before joining BCG, he worked at Booz &amp; Co. in Europe and the Middle East, and, before that, in the US high-tech industry.</t>
  </si>
  <si>
    <t>mourtada.rami@bcg.com</t>
  </si>
  <si>
    <t>Partner &amp; Director, Digital Transformation</t>
  </si>
  <si>
    <t>435618-19P</t>
  </si>
  <si>
    <t>Rami Rafih</t>
  </si>
  <si>
    <t>Rafih</t>
  </si>
  <si>
    <t>Mr. Rami Rafih serves as Managing Director &amp; Partner at Boston Consulting Group. He leads the firm's Global Advantage practice for Europe, the Middle East, South America, and Africa. He is a core member of BCG's Center for Geopolitics, where he advises multinational corporations and advances the firm's thinking on geopolitics, trade, investment, and economic competitiveness. He is also a board member of several associations and NGOs.</t>
  </si>
  <si>
    <t>rami.rafih@bcg.com</t>
  </si>
  <si>
    <t>435449-26P</t>
  </si>
  <si>
    <t>Ramiro Palma Ph.D</t>
  </si>
  <si>
    <t>Ramiro</t>
  </si>
  <si>
    <t>Palma</t>
  </si>
  <si>
    <t>Mr. Ramiro Palma serves as Managing Director &amp; Partner at Boston Consulting Group. He has advised clients in the technology, media, and telecommunications and industrial-goods sectors on topics including go-to-market strategy, large-scale transformation, and organizational design.</t>
  </si>
  <si>
    <t>palma.ramiro@bcg.com</t>
  </si>
  <si>
    <t>435017-71P</t>
  </si>
  <si>
    <t>Ramsey Baker</t>
  </si>
  <si>
    <t>Ramsey</t>
  </si>
  <si>
    <t>Mr. Ramsey Baker serves as Managing Director &amp; Partner at Boston Consulting Group. He has functional expertise in all aspects of operations and advanced analytics. Ramsey currently leads digital airline operations for North America.</t>
  </si>
  <si>
    <t>baker.ramsey@bcg.com</t>
  </si>
  <si>
    <t>456096-61P</t>
  </si>
  <si>
    <t>Raphael Blanchin</t>
  </si>
  <si>
    <t>Blanchin</t>
  </si>
  <si>
    <t>Mr. Raphael Blanchin serves as Managing Director &amp; Partner at Boston Consulting Group. He is a core member of the firm's Consumer practice. He leads BCG's work in the beauty industry in EMESA (Europe, Middle East, South America, Africa) and has extensive experience in the food, spirits, and pet care industries. He is also a member of the Principal Investors &amp; Private Equity practice, having led more than 50 projects for European and US investment funds. His project experience covers strategy, due diligence, transformation, and M&amp;A.</t>
  </si>
  <si>
    <t>raphael.blanchin@bcg.com</t>
  </si>
  <si>
    <t>435019-33P</t>
  </si>
  <si>
    <t>Raphael Estripeau</t>
  </si>
  <si>
    <t>Estripeau</t>
  </si>
  <si>
    <t>Mr. Raphael Estripeau serves as Partner at Boston Consulting Group. He has worked on marketing, sales, and pricing strategies for key consumer goods corporations (including market development, demand segmentation, innovation and growth strategies); designed customer experience programs for long-term travel, fashion, and restaurant clients; and helped create digital marketing accelerators for clients in several different industries.</t>
  </si>
  <si>
    <t>estripeau.raphael@bcg.com</t>
  </si>
  <si>
    <t>426882-88P</t>
  </si>
  <si>
    <t>Raphael Troitzsch Ph.D</t>
  </si>
  <si>
    <t>Troitzsch</t>
  </si>
  <si>
    <t>Mr. Raphael Troitzsch serves as Managing Director &amp; Partner at Boston Consulting Group. He focuses on commercial insurance and reinsurance clients, working with them on strategy via operations, IT, and risk modeling; and covering established companies and attackers, as well as regulators. His focus is bringing commercial and reinsurance to the bionic age by collaborating with the firm's Digital Accelerator System, DigitalBCG, AI, and agile.</t>
  </si>
  <si>
    <t>raphael.troitzsch@bcg.com</t>
  </si>
  <si>
    <t>455963-32P</t>
  </si>
  <si>
    <t>Raphaelli Leite</t>
  </si>
  <si>
    <t>Raphaelli</t>
  </si>
  <si>
    <t>Leite</t>
  </si>
  <si>
    <t>Mr. Raphaelli Leite serves as a Partner at Boston Consulting Group. He is a member of the firm's Energy and Transform practices, with extensive experience in large scale change topics including strategy, operations, and people and organization.</t>
  </si>
  <si>
    <t>leite.raphaelli@bcg.com</t>
  </si>
  <si>
    <t>435495-79P</t>
  </si>
  <si>
    <t>Rashi Agarwal</t>
  </si>
  <si>
    <t>Rashi</t>
  </si>
  <si>
    <t>Ms. Rashi Agarwal serves as Managing Director &amp; Partner at Boston Consulting Group. She has worked extensively with companies on strategy, operating model redesign, shared service setup and optimization, and large-scale back-office transformation initiatives.</t>
  </si>
  <si>
    <t>rashi.agarwal@bcg.com</t>
  </si>
  <si>
    <t>436383-64P</t>
  </si>
  <si>
    <t>Rashik Gupta</t>
  </si>
  <si>
    <t>Rashik</t>
  </si>
  <si>
    <t>Mr. Rashik Gupta serves as Managing Director &amp; Partner at Boston Consulting Group. He has worked on procurement-related transformation projects with clients in process industries, consumer goods, engineered products, fast-moving consumer goods, and metals and mining.</t>
  </si>
  <si>
    <t>gupta.rashik@bcg.com</t>
  </si>
  <si>
    <t>455958-19P</t>
  </si>
  <si>
    <t>Raul Mur</t>
  </si>
  <si>
    <t>Raul</t>
  </si>
  <si>
    <t>Mr. Raul Mur serves as Managing Director &amp; Partner at Boston Consulting Group. He is a lead member of the firm's Technology &amp; Digital Advantage and Consumer practices with over 18 years of experience spearheading digital transformations and technology strategies. He has led engagements with major publicly traded and privately owned entities across North America, Europe, and emerging markets. Prior to joining BCG, he served as a leader in both the corporate and entrepreneurial spheres, including at Dragados USA (an ACS Group company) and a biotech startup.</t>
  </si>
  <si>
    <t>raul.mur@bcg.com</t>
  </si>
  <si>
    <t>434812-78P</t>
  </si>
  <si>
    <t>Ravi Hanspal</t>
  </si>
  <si>
    <t>Hanspal</t>
  </si>
  <si>
    <t>Mr. Ravi Hanspal serves as Partner at Boston Consulting Group. He has worked with banks and other financial institutions globally on the topic for over ten years. Ravi runs BCG's Global Trade Model for forecasting market dynamics in global trade, and its associated finance products.</t>
  </si>
  <si>
    <t>ravi.hanspal@bcg.com</t>
  </si>
  <si>
    <t>435118-96P</t>
  </si>
  <si>
    <t>Ravi Prashad</t>
  </si>
  <si>
    <t>Prashad</t>
  </si>
  <si>
    <t>Mr. Ravi Prashad serves as Managing Director &amp; Partner at Boston Consulting Group. He is an expert in applying big data to marketing, sales, and personalization opportunities in consumer-facing industries. He works with clients to scale up their capabilities and deliver tangible results from solutions powered by advanced analytics.</t>
  </si>
  <si>
    <t>prashad.ravi@bcg.com</t>
  </si>
  <si>
    <t>455176-45P</t>
  </si>
  <si>
    <t>Ravi Srivastava</t>
  </si>
  <si>
    <t>Mr. Ravi Srivastava serves as Managing Director, Senior Partner &amp; Global Leader, Operations Practice at Boston Consulting Group. He is a core group member of the firm's Industrial Goods practice. Since joining the firm in 2000, he has worked extensively with clients in the automotive, capital goods, and construction industries across the Asia-Pacific arena. He has covered a wide range of topics, focusing on operations transformation, large-project management, sales and marketing excellence, and service excellence. He has also worked in a number of other industries, including steel and cement, where he has helped companies address issues such as market entry, growth, and organization restructuring. Before joining BCG, Mr. Srivastava interned at Credit Suisse First Boston.</t>
  </si>
  <si>
    <t>srivastava.ravi@bcg.com</t>
  </si>
  <si>
    <t>Managing Director, Senior Partner &amp; Global Leader, Operations Practice</t>
  </si>
  <si>
    <t>435199-06P</t>
  </si>
  <si>
    <t>Ray Yu</t>
  </si>
  <si>
    <t>Mr. Ray Yu serves as Managing Director &amp; Partner at Boston Consulting Group. He has an extensive experience leading digitally enabled growth initiatives for retail and multi-brand consumer packaged goods clients, including in beauty, food and beverage, fashion, consumer durables, and OTC pharma.</t>
  </si>
  <si>
    <t>ray.yu@bcg.com</t>
  </si>
  <si>
    <t>456627-34P</t>
  </si>
  <si>
    <t>Rebecca Fitz</t>
  </si>
  <si>
    <t>Fitz</t>
  </si>
  <si>
    <t>Ms. Rebecca Fitz serves as Partner &amp; Director, Center for Energy Impact at Boston Consulting Group. She is a founding member of the firm's Center for Energy Impact. She has advised major oil, gas, and other energy companies on various corporate and portfolio strategy, shareholder return, and investor strategy topics. Her work focuses on performance and sustainability issues in the energy sector and competitive benchmarking in an evolving global energy system. She previously worked at IHS and PFC Energy, where she led teams responsible for upstream strategy and competition research.</t>
  </si>
  <si>
    <t>fitz.rebecca@bcg.com</t>
  </si>
  <si>
    <t>Partner &amp; Director, Center for Energy Impact</t>
  </si>
  <si>
    <t>455704-48P</t>
  </si>
  <si>
    <t>Rebecca Hood</t>
  </si>
  <si>
    <t>Hood</t>
  </si>
  <si>
    <t>Ms. Rebecca Hood serves as Managing Director &amp; Partner at Boston Consulting Group. She is a core member of the firm's Industrial Goods and Energy practices. She works with clients on high-impact programs in those industries, including oil and gas and other natural resources companies. She has extensive expertise in upstream operations, both onshore and offshore. She has worked with majors, independents, oil field services, equipment, and broader natural resources organizations. Prior to BCG, she was a Fulbright Scholar and worked in commercial real estate private equity for five years.</t>
  </si>
  <si>
    <t>hood.rebecca@bcg.com</t>
  </si>
  <si>
    <t>456139-81P</t>
  </si>
  <si>
    <t>Rebecca Russell</t>
  </si>
  <si>
    <t>Ms. Rebecca Russell serves as Managing Director &amp; Partner at Boston Consulting Group. She is the firm's climate and sustainability lead for Australia and New Zealand. She leads the firm's work in sustainable operations for Asia-Pacific and is a core member of the Energy, Industrial Goods, and Public Sector practices. Her work helps clients in the private, public, and social sectors navigate the complex journey toward a low-emissions future, including climate strategy, energy transition, nature-positive outcomes, and equitable transition pathways. Prior to joining the firm, she was an executive in the Victorian Government's Department of Transport, and also worked in engineering and construction with AECOM.</t>
  </si>
  <si>
    <t>russell.rebecca@bcg.com</t>
  </si>
  <si>
    <t>435278-08P</t>
  </si>
  <si>
    <t>Regis Nieto</t>
  </si>
  <si>
    <t>Regis</t>
  </si>
  <si>
    <t>Nieto</t>
  </si>
  <si>
    <t>Mr. Regis Nieto serves as Managing Director &amp; Senior Partner at Boston Consulting Group. He is a core member of the Marketing, Sales &amp; Pricing, Industrial Goods, and Consumer practices at the firm. He leads the firm's pricing topic in Brazil for both B2C and B2B companies. In addition, he co-leads the Automotive practice in Brazil. Prior to joining BCG, he completed internships with Unilever and A.T. Kearney.</t>
  </si>
  <si>
    <t>nieto.regis@bcg.com</t>
  </si>
  <si>
    <t>435398-86P</t>
  </si>
  <si>
    <t>Remco Mol</t>
  </si>
  <si>
    <t>Remco</t>
  </si>
  <si>
    <t>Mol</t>
  </si>
  <si>
    <t>Mr. Remco Mol serves as Managing Director &amp; Partner at Boston Consulting Group. He focuses on large-scale digital and tech-enabled transformations to help organizations build digital and AI-enabled capabilities at scale.</t>
  </si>
  <si>
    <t>mol.remco@bcg.com</t>
  </si>
  <si>
    <t>455415-40P</t>
  </si>
  <si>
    <t>Remi Seners</t>
  </si>
  <si>
    <t>Remi</t>
  </si>
  <si>
    <t>Seners</t>
  </si>
  <si>
    <t>Mr. Remi Seners serves as Managing Director &amp; Partner at Boston Consulting Group. He is a member of Consumer practice at the firm with a focus on retail. He has worked with many of the largest food and non-food retailers and consumer packaged goods (CPG) companies in Europe, Asia, and North America on strategy, growth acceleration, and performance improvement programs. Before joining the firm, he was a principal at Oliver Wyman and assistant brand manager at the Dannon Company.</t>
  </si>
  <si>
    <t>rseners@bcg.com</t>
  </si>
  <si>
    <t>284306-14P</t>
  </si>
  <si>
    <t>Renaud Fages</t>
  </si>
  <si>
    <t>Renaud</t>
  </si>
  <si>
    <t>Fages</t>
  </si>
  <si>
    <t>Mr. Renaud Fages serves as Managing Director &amp; Partner at Boston Consulting Group. He is the North America lead for the firm's asset and wealth management work. He has focused on strategy, large-scale operations and technology transformations, and new business build with leading asset managers, wealth managers, and principal investment firms. Mr. Fages was the Senior Vice President of Global Operations at Bird. Mr. Fages led Bird's on-the-ground operations. He was responsible for managing Bird's day-to-day business as well as driving the growth and strategy of the future business. Mr. Fages joined Bird in 2020 after a career in consulting in Europe and the United States, where he managed global teams focused on strategy and operations across multiple geographies and industries as a Partner and Managing Director at the Boston Consulting Group from 2015. Mr. Fages has been at the center of the core initiatives driving business transformation both at Bird and other sector-leading firms. Mr. Fages received a Master's in Engineering from École Centrale de Paris.</t>
  </si>
  <si>
    <t>fages.renaud@bcg.com</t>
  </si>
  <si>
    <t>Bird Global (Former)</t>
  </si>
  <si>
    <t>456702-22P</t>
  </si>
  <si>
    <t>Renaud Montupet</t>
  </si>
  <si>
    <t>Montupet</t>
  </si>
  <si>
    <t>Mr. Renaud Montupet serves as Managing Director &amp; Senior Partner at Boston Consulting Group. He is a core member of BCG's Transform practice area, where he leads BCG Transform's Special Situations unit in Europe, the Middle East, South America, and Africa. He is an expert in the transformation, turnaround, and restructuring of stressed and distressed companies. He has over 20 years of experience in operational and financial turnarounds, as well as performance improvement engagements. He is able to combine his management consulting and managerial expertise to drive operational improvement, as well as EBITDA and cash optimization. Prior to joining BCG, he was a Managing Director at Alix Partners.</t>
  </si>
  <si>
    <t>montupet.renaud@bcg.com</t>
  </si>
  <si>
    <t>435914-74P</t>
  </si>
  <si>
    <t>Renee Laverdiere Ph.D</t>
  </si>
  <si>
    <t>Laverdiere</t>
  </si>
  <si>
    <t>Ms. Renee Laverdiere serves as Managing Director &amp; Partner at Boston Consulting Group. She is a member of BCG's US Education, Employment, and Welfare leadership team and the Public Sector practice.</t>
  </si>
  <si>
    <t>laverdiere.renee@bcg.com</t>
  </si>
  <si>
    <t>455961-61P</t>
  </si>
  <si>
    <t>Ricardo Pierozzi</t>
  </si>
  <si>
    <t>Pierozzi</t>
  </si>
  <si>
    <t>Mr. Ricardo Pierozzi serves as Managing Director &amp; Partner at Boston Consulting Group. He is a core member of the firm's Energy practice with particular emphasis on energy transition and bioenergy. He has over 20 years of experience as an executive leading enterprise-wide transformation programs, and as a consultant serving clients across the entire transformation cycle on growth strategy, digital, organization effectiveness, value proposition, operational efficiency, regulation, and M&amp;A. He is an expert in integrated energy distribution, biofuels, hydrogen/PtX, and power grids. Before joining BCG, he was a partner at Strategy&amp; (formerly Booz &amp; Co.), Director General of João Fortes Engenharia S/A, and Director of Organizational Development CoE for Rede Globo.</t>
  </si>
  <si>
    <t>pierozzi.ricardo@bcg.com</t>
  </si>
  <si>
    <t>455362-57P</t>
  </si>
  <si>
    <t>Ricardo Serra</t>
  </si>
  <si>
    <t>Serra</t>
  </si>
  <si>
    <t>Mr. Ricardo Serra serves as a Partner at Boston Consulting Group. He is a core member of the firm's Transform practice in Brazil. He specializes in working with financial institutions and insurance companies, mostly on topics related to transformation, turnaround, corporate strategy, and cost efficiency/transformation. Prior to joining BCG, he worked at Roland Berger in its Transformation practice, and in investment banking at Itau BBA.</t>
  </si>
  <si>
    <t>ricardo.serra@bcg.com</t>
  </si>
  <si>
    <t>435658-24P</t>
  </si>
  <si>
    <t>Ricardo Tiezzi</t>
  </si>
  <si>
    <t>Tiezzi</t>
  </si>
  <si>
    <t>Mr. Ricardo Tiezzi serves as Managing Director &amp; Partner at Boston Consulting Group. He has particular experience in the financial services space, especially in banking, consumer finance, payments, wealth management, and insurance.</t>
  </si>
  <si>
    <t>tiezzi.ricardo@bcg.com</t>
  </si>
  <si>
    <t>434805-22P</t>
  </si>
  <si>
    <t>Rich Hutchinson</t>
  </si>
  <si>
    <t>Mr. Rich Hutchinson serves as Managing Director &amp; Senior Partner at Boston Consulting Group. He has largely focused on enhancing marketing, pricing, and commercial capabilities for clients across a range of industries, including health care, industrial goods, consumer goods, travel and tourism, and transportation.</t>
  </si>
  <si>
    <t>hutchinson.rich@bcg.com</t>
  </si>
  <si>
    <t>435223-27P</t>
  </si>
  <si>
    <t>Richard Lau Ph.D</t>
  </si>
  <si>
    <t>Lau</t>
  </si>
  <si>
    <t>Mr. Richard Lau serves as Partner at Boston Consulting Group. He is also one of BCG's experts in energy for mobility, encompassing integrated B2C value propositions, B2B fleets, and the future of mobility, including electrification, autonomous vehicles, and low-carbon fuels.</t>
  </si>
  <si>
    <t>lau.richard@bcg.com</t>
  </si>
  <si>
    <t>297062-65P</t>
  </si>
  <si>
    <t>Richard Lesser</t>
  </si>
  <si>
    <t>Lesser</t>
  </si>
  <si>
    <t>Mr. Richard Lesser serves as Vice Chairman, Climate &amp; Sustainability &amp; Senior Advisor at B Capital Group. He serves as Global Chair at Boston Consulting Group. He currently serves as chief advisor to the World Economic Forum's Alliance of CEO Climate Leaders, on the steering committee of the Council for Inclusive Capitalism, on the board of directors of the Centre for Public Impact, and is a member of several leading organizations, such as the WEF's Community of Chairpersons, the EDISON Alliance, Southern Communities Initiative, among others. Mr. Lesser has an MBA from Harvard Business School and a B.S. in chemical engineering from the University of Michigan.</t>
  </si>
  <si>
    <t>rlesser@bcg.com</t>
  </si>
  <si>
    <t>Global Chair</t>
  </si>
  <si>
    <t>260060-68P</t>
  </si>
  <si>
    <t>Richard Sargeant</t>
  </si>
  <si>
    <t>Sargeant</t>
  </si>
  <si>
    <t>Mr. Richard Sargeant serves as Managing Director, Partner, Global Leader for City Flow by BCG X, and Core Member, City Mobility Solutions Hub at Boston Consulting Group. Mr. Sargeant served as Chief Operating Officer at Faculty. Working in the public sector, energy, and other industries, he supports clients in the UK and around the world as they renew their organizations to take full advantage of artificial intelligence.</t>
  </si>
  <si>
    <t>sargeant.richard@bcg.com</t>
  </si>
  <si>
    <t>Managing Director, Partner, Global Leader for City Flow by BCG X, and Core Member, City Mobility Solutions Hub</t>
  </si>
  <si>
    <t>456136-57P</t>
  </si>
  <si>
    <t>Ricole Tan</t>
  </si>
  <si>
    <t>Ricole</t>
  </si>
  <si>
    <t>Ms. Ricole Tan serves as Partner &amp; Director at Boston Consulting Group. She is the firm's regional lead for special situations (turnaround and restructuring) for Asia Pacific, and a core member of BCG Transform. She has over 25 years of experience advising underperforming/stressed/distressed businesses. She is also a member of the Climate &amp; Sustainability practice and has considerable experience advising on sustainable financing topics. She has helped many clients with both operational and financial restructuring, including performance improvements, cost reductions, liquidity management, balance sheet optimizations, carve-outs and divestitures, and debt restructuring and refinancing with the aim of creating sustainable businesses poised for growth. Before joining the firm, she was a Senior Managing Director, Corporate Finance &amp; Restructuring Hong Kong and Head of Indonesia at FTI Consulting, and before that, a Director at Global Restructuring Group at The Royal Bank of Scotland.</t>
  </si>
  <si>
    <t>tan.ricole@bcg.com</t>
  </si>
  <si>
    <t>36431-56P</t>
  </si>
  <si>
    <t>Riddhish Dubal</t>
  </si>
  <si>
    <t>Riddhish</t>
  </si>
  <si>
    <t>Dubal</t>
  </si>
  <si>
    <t>Mr. Riddhish Dubal serves as Managing Director &amp; Senior Partner at Boston Consulting Group. Mr. Dubal served as Managing Director at Alvarez &amp; Marsal. He brings more than 17 years of experience with private equity and strategic clients in successfully executing mergers and acquisitions transactions, operational turnarounds and restructuring, performance and profit improvement, and operations management. Mr. Dubal's experience has spanned a wide variety of industries, including aerospace and defense, automotive and transportation, construction, and building services, consumer and industrial products, entertainment and media, financial and business services, food and beverage, gaming and hospitality, healthcare and medical devices, real estate and development, retail, and grocery, technology, and telecommunications. Mr. Dubal has deep experience in financial and operational improvement in the areas of cash and working capital management, liquidity and cash flow analyses, restructuring and liquidation process, pre- and post-integration, separation planning, transition support, SGA optimization, manufacturing and distribution footprint optimization, supply chain optimization, strategy and business planning, sales and marketing. Before joining A&amp;M, Mr. Dubal worked with KPMG as a National Practice Leader in Operational Due Diligence and with AlixPartners, leading an operational turnaround and performance improvement firm.</t>
  </si>
  <si>
    <t>dubalr@bcg.com</t>
  </si>
  <si>
    <t>435204-82P</t>
  </si>
  <si>
    <t>Rishabh Bindlish</t>
  </si>
  <si>
    <t>Rishabh</t>
  </si>
  <si>
    <t>Bindlish</t>
  </si>
  <si>
    <t>Mr. Rishabh Bindlish serves as Managing Director &amp; Partner at Boston Consulting Group. He works with governments and life sciences companies to make treatments more affordable and access more equitable for patients while helping companies outperform their potential.</t>
  </si>
  <si>
    <t>bindlish.rishabh@bcg.com</t>
  </si>
  <si>
    <t>456553-18P</t>
  </si>
  <si>
    <t>Rob Sims</t>
  </si>
  <si>
    <t>Sims</t>
  </si>
  <si>
    <t>Mr. Rob Sims serves as Managing Director &amp; Partner at Boston Consulting Group. He is a core member of the firm's Insurance practice, leading the firm's life insurance and group benefits work. His focus is on disruptive strategies and large-scale change efforts. Prior to rejoining BCG in 2017, he spent three years as an executive with Sun Life Financial as SVP of Strategy and Market Development for Client Solutions for Canada and SVP of Strategy and Corporate Development for Sun Life globally. He previously worked at BCG from 2000 to 2014.</t>
  </si>
  <si>
    <t>sims.rob@bcg.com</t>
  </si>
  <si>
    <t>456555-34P</t>
  </si>
  <si>
    <t>Rob Souza</t>
  </si>
  <si>
    <t>Souza</t>
  </si>
  <si>
    <t>Mr. Rob Souza serves as Chief Financial Officer for North America, Managing Director &amp; Senior Partner at Boston Consulting Group. Since joining BCG in 2000, he has worked with clients in a range of industries, with a focus on consumer and retail. He holds a mechanical engineering degree from MIT and an MBA from Harvard.</t>
  </si>
  <si>
    <t>rob@bcg.com</t>
  </si>
  <si>
    <t>Chief Financial Officer for North America, Managing Director &amp; Senior Partner</t>
  </si>
  <si>
    <t>435856-60P</t>
  </si>
  <si>
    <t>Robert Archacki</t>
  </si>
  <si>
    <t>Archacki</t>
  </si>
  <si>
    <t>Mr. Robert Archacki serves as Partner &amp; Associate Director, B2B Marketing &amp; Sales at Boston Consulting Group. His consulting experience has centered on marketing effectiveness and digital strategy, including growth strategy, digital transformation, digital globalization, digital marketing, digital/social operations scaling, and online customer analytics.</t>
  </si>
  <si>
    <t>robert@bcg.com</t>
  </si>
  <si>
    <t>Partner &amp; Associate Director, B2B Marketing &amp; Sales</t>
  </si>
  <si>
    <t>76647-52P</t>
  </si>
  <si>
    <t>Robert Derow</t>
  </si>
  <si>
    <t>Derow</t>
  </si>
  <si>
    <t>Mr. Robert Derow serves as Partner and Managing Director at BCG Digital Ventures. Mr. Derow serves as Managing Director and Partner at Boston Consulting Group. He is the firm's North America leader for digital growth. He is a core member of the Marketing, Sales &amp; Pricing practice at the firm and an expert on marketing, customer experience, and digital growth. He works with his clients to develop go-to-market strategies and commercialization methods for cross-industry new ventures and mid-market and large enterprise organizations. He served as Head of Global Acquisition Marketing (UA) at Gamesys. He serves as a Board Member at EnergyBot. He holds a BS in Business Administration from Bridgewater State University.</t>
  </si>
  <si>
    <t>robert.derow@bcgdv.com</t>
  </si>
  <si>
    <t>455954-14P</t>
  </si>
  <si>
    <t>Robert Grosvenor</t>
  </si>
  <si>
    <t>Grosvenor</t>
  </si>
  <si>
    <t>Mr. Robert Grosvenor serves as Managing Director &amp; Partner at Boston Consulting Group. He is a core member of the Industrial Goods practice at the firm, with a specific focus on the automotive and mobility sector. He is the firm's auto data monetization expert for North America within the Center for Digital in Automotive. He primarily supports automotive and off-highway companies on a broad range of strategy, operations, and organizational topics. He has expertise in product development, specifically electrification, connectivity, and new services (including services with recurring revenue). Prior to joining the firm, he was a Senior Engineer at Ford Motor Company in Australia.</t>
  </si>
  <si>
    <t>grosvenor.rob@bcg.com</t>
  </si>
  <si>
    <t>435134-80P</t>
  </si>
  <si>
    <t>Robert Hjorth</t>
  </si>
  <si>
    <t>Hjorth</t>
  </si>
  <si>
    <t>Mr. Robert Hjorth serves as Managing Director &amp; Partner at Boston Consulting Group. He is passionate about airlines and is a former practice Ambassador on the topic in Atlanta. He leads the firm's work in aviation in the Nordics and has worked with several clients across Europe, the US, the Middle East, and Asia in the airport and airlines industries.</t>
  </si>
  <si>
    <t>robert.hjorth@bcg.com</t>
  </si>
  <si>
    <t>456626-26P</t>
  </si>
  <si>
    <t>Robert Stern</t>
  </si>
  <si>
    <t>Stern</t>
  </si>
  <si>
    <t>Mr. Robert Stern serves as Partner &amp; Vice President at Boston Consulting Group. He is a member of the Consumer practice specializing in retail. He has worked on numerous projects for BCG clients in Europe, the US, and Asia, including grocery retail, consumer products pricing, discount retail, travel retail, and department stores. His expertise encompasses pricing and revenue management, large-scale data analytics (tools and organizational setup/processes), and AI/ML in retail. He leads BCG's Retail Catalyst team, which runs a cloud-based data analytics platform for retail case teams and clients.</t>
  </si>
  <si>
    <t>stern.robert@bcg.com</t>
  </si>
  <si>
    <t>436216-60P</t>
  </si>
  <si>
    <t>Robert Werner</t>
  </si>
  <si>
    <t>Mr. Robert Werner serves as Partner &amp; Director at Boston Consulting Group. He is a senior expert and global leader for culture transformation, leadership effectiveness, and change management at Boston Consulting Group. He has over 20 years of experience in leadership, talent, and organizational development, and helps clients sustainably develop the culture and leadership capabilities required to successfully drive transformational change. His work at the firm has covered financial services, retail, oil and gas, consumer products, health care, pharmaceuticals, telecommunications, industrial goods, and the public sector, among others.</t>
  </si>
  <si>
    <t>robert.werner@bcg.com</t>
  </si>
  <si>
    <t>455947-75P</t>
  </si>
  <si>
    <t>Roberto Bosisio Ph.D</t>
  </si>
  <si>
    <t>Bosisio</t>
  </si>
  <si>
    <t>Dr. Roberto Bosisio serves as Managing Director &amp; Partner at Boston Consulting Group. He is a core member of the firm's Digital Acceleration System and the Insurance and Energy practices for the CEMA (Central Europe and Middle East) region. He supports large enterprises as they leverage new technologies (big data, AI, cloud, agile, and DevOps) to enable their digital strategy. His current work focuses on two main topics: setting up digital data platform solutions to unlock digital use cases, enable data-driven solutions, and accelerate the pace of transformation; and designing marketing automation solutions, including digital marketing, personalization, and multichannel orchestration. Before joining BCG, he worked at McKinsey &amp; Company.</t>
  </si>
  <si>
    <t>bosisio.roberto@bcg.com</t>
  </si>
  <si>
    <t>456007-96P</t>
  </si>
  <si>
    <t>Roberto de Angelis</t>
  </si>
  <si>
    <t>de Angelis</t>
  </si>
  <si>
    <t>Mr. Roberto de Angelis serves as Managing Director &amp; Partner at Boston Consulting Group. He is a core member of the Consumer and Marketing &amp; Sales practices at the firm. He leads the firm's sales excellence work in consumer goods, helping organizations set up the next generation of commercial capabilities to embed the "new normal" of hybrid working and digital interactions, and deal with increasingly volatile demand and prices. He previously worked at Procter &amp; Gamble, leading the work in trade spend optimization and Salesforce effectiveness in Europe.</t>
  </si>
  <si>
    <t>deangelis.roberto@bcg.com</t>
  </si>
  <si>
    <t>455957-11P</t>
  </si>
  <si>
    <t>Roberto Ventura</t>
  </si>
  <si>
    <t>Mr. Roberto Ventura serves as Managing Director &amp; Partner at Boston Consulting Group. He is a core member of the Energy and Operations practices at the firm. His focus is on artificial intelligence/advanced analytics and digital, and he leads the firm's maintenance strategy optimization product (OPTIMA). He works with clients on digital transformation programs, development of AI solutions, operational improvement projects, organization restructuring, application of the agile methodology, M&amp;A, and strategy. Prior to coming to BCG, he worked at A.P. Moller-Maersk, a major global logistics and energy conglomerate.</t>
  </si>
  <si>
    <t>roberto.ventura@bcg.com</t>
  </si>
  <si>
    <t>435854-17P</t>
  </si>
  <si>
    <t>Rodrigo Escudero</t>
  </si>
  <si>
    <t>Rodrigo</t>
  </si>
  <si>
    <t>Escudero</t>
  </si>
  <si>
    <t>Mr. Rodrigo Escudero serves as Managing Director &amp; Senior Partner at Boston Consulting Group. He has supported clients in a wide range of revenue optimization and commercial strategy topics with a focus on advanced analytics and economics, including sales, pricing, and channel strategy. Specifically, he has helped clients transform their customer acquisition, revenue management systems, pricing, channel strategy, customer segmentation, and product activation.</t>
  </si>
  <si>
    <t>escudero.rodrigo@bcg.com</t>
  </si>
  <si>
    <t>455648-86P</t>
  </si>
  <si>
    <t>Rodrigo Maranhao</t>
  </si>
  <si>
    <t>Maranhao</t>
  </si>
  <si>
    <t>Mr. Rodrigo Maranhao serves as Managing Director &amp; Partner at Boston Consulting Group. He leads the firm's Insurance practice in Brazil and is an active member of the global Financial Institutions practice. With more than 20 years of experience in strategic consulting, He works mainly with insurers and banks on a wide variety of topics focused on transformations and supporting executives to make their companies leaders in their areas. He specializes in corporate strategy, customer experience, operations and performance improvement, organization, and M&amp;A. Prior to joining BCG, he was a leader in the financial services practice for Bain &amp; Company in South America.</t>
  </si>
  <si>
    <t>maranhao.rodrigo@bcg.com</t>
  </si>
  <si>
    <t>456253-75P</t>
  </si>
  <si>
    <t>Roger Hu</t>
  </si>
  <si>
    <t>Mr. Roger Hu serves as Managing Director &amp; Partner at Boston Consulting Group. He is a member of the leadership team for the firm's Consumer practice in Greater China. He focuses on consumer necessities, including food and beverage, food service and restaurants, and grocery retail. He works with both local and global companies. He has end-to-end project experience from strategy to implementation, and covers M&amp;A and portfolio management, including digital, route-to-market, and branding. He started his career as a licensing and sponsorship manager at NBA China.</t>
  </si>
  <si>
    <t>hu.roger@bcg.com</t>
  </si>
  <si>
    <t>40919-32P</t>
  </si>
  <si>
    <t>Rohan Kadakia</t>
  </si>
  <si>
    <t>Kadakia</t>
  </si>
  <si>
    <t>Mr. Rohan Kadakia serves as Managing Director &amp; Partner at Boston Consulting Group. Mr. Kadakia served as an Associate at Industrial Growth Partners. He joined IGP from Sagent Advisors, where he was an analyst in the Investment Banking Division in New York. While at Sagent, Mr. Kadakia focused on mergers and acquisitions and private placements for companies across a variety of industries. Mr. Kadakia received a Bachelor of Science degree in Finance, magna cum laude, from the Leonard N. Stern School of Business at New York University.</t>
  </si>
  <si>
    <t>rohan.kadakia@bcg.com</t>
  </si>
  <si>
    <t>434806-03P</t>
  </si>
  <si>
    <t>Rohan Sajdeh</t>
  </si>
  <si>
    <t>Sajdeh</t>
  </si>
  <si>
    <t>Mr. Rohan Sajdeh serves as Managing Director &amp; Senior Partner at Boston Consulting Group. His topic expertise includes corporate and business unit strategy, Demand Centric Growth, innovation, marketing, and go-to-market topics, and he has a track record of generating unique insights for transformative impact.</t>
  </si>
  <si>
    <t>sajdeh.rohan@bcg.com</t>
  </si>
  <si>
    <t>436332-43P</t>
  </si>
  <si>
    <t>Rohin Wood Ph.D</t>
  </si>
  <si>
    <t>Rohin</t>
  </si>
  <si>
    <t>Wood</t>
  </si>
  <si>
    <t>Mr. Rohin Wood serves as Managing Director &amp; Partner at Boston Consulting Group. His experience covers range of industries, including mining and metals, transportation, aerospace, telecommunications, defense, and financial services.</t>
  </si>
  <si>
    <t>wood.rohin@bcg.com</t>
  </si>
  <si>
    <t>456385-15P</t>
  </si>
  <si>
    <t>Rohit Nalgirkar</t>
  </si>
  <si>
    <t>Rohit</t>
  </si>
  <si>
    <t>Nalgirkar</t>
  </si>
  <si>
    <t>Mr. Rohit Nalgirkar serves as Managing Director &amp; Senior Partner at Boston Consulting Group. He is a leading member of the firm's Technology and Digital Advantage practice. He has led multiple technology projects with clients in technology, energy, financial services, insurance, health care, and consumer goods. Within the Technology &amp; Digital Advantage practice, he leads core technology offers for North America clients and co-leads the world-class tech function, BCG's offering for CIOs and CTOs. His recent focus is on clients looking for cost acceleration and GenAI transformation. Prior to joining BCG, he worked at Tata Consultancy Services, managing multiple technology projects and leading large programs across Europe and Asia.</t>
  </si>
  <si>
    <t>rohit.nalgirkar@bcg.com</t>
  </si>
  <si>
    <t>435331-54P</t>
  </si>
  <si>
    <t>Rohit Ramesh</t>
  </si>
  <si>
    <t>Ramesh</t>
  </si>
  <si>
    <t>Mr. Rohit Ramesh serves as Managing Director &amp; Senior Partner at Boston Consulting Group. He has worked with leading conglomerates and consumer businesses in India on a wide variety of projects related to strategy, go-to-market, operational excellence, and organization effectiveness. He has lead large-scale transformation efforts across organizations to enhance their capabilities and to deliver significant top-line and bottom-line impact.</t>
  </si>
  <si>
    <t>ramesh.rohit@bcg.com</t>
  </si>
  <si>
    <t>435787-84P</t>
  </si>
  <si>
    <t>Rohit Vohra</t>
  </si>
  <si>
    <t>Mr. Rohit Vohra serves as Managing Director &amp; Senior Partner at Boston Consulting Group. He has worked extensively with organizations in the areas of strategy, transformation and business turnaround, operational excellence, manufacturing, supply chain, procurement, go to market, sales, and pricing.</t>
  </si>
  <si>
    <t>vohra.rohit@bcg.com</t>
  </si>
  <si>
    <t>435590-20P</t>
  </si>
  <si>
    <t>Roland Haslehner</t>
  </si>
  <si>
    <t>Haslehner</t>
  </si>
  <si>
    <t>Mr. Roland Haslehner serves as Managing Director &amp; Senior Partner at Boston Consulting Group. His extensive knowledge of engineered products, infrastructure, and metals and mining make him a valuable asset on strategic and operational projects. He has led numerous transformation and restructuring programs for family-owned businesses and major global corporations.</t>
  </si>
  <si>
    <t>haslehner.roland@bcg.com</t>
  </si>
  <si>
    <t>435548-98P</t>
  </si>
  <si>
    <t>Rolf Kilian Ph.D</t>
  </si>
  <si>
    <t>Rolf</t>
  </si>
  <si>
    <t>Kilian</t>
  </si>
  <si>
    <t>Dr. Rolf Kilian serves as Managing Director &amp; Senior Partner at Boston Consulting Group. He has worked with automotive clients across a wide range of topics, including the launch of a premium compact car, the concept and launch of a preowned automotive brand, the creation of mobility and pricing strategies, and the design and launch of new service concepts.</t>
  </si>
  <si>
    <t>kilian.rolf@bcg.com</t>
  </si>
  <si>
    <t>455549-68P</t>
  </si>
  <si>
    <t>Rolf Tveten</t>
  </si>
  <si>
    <t>Tveten</t>
  </si>
  <si>
    <t>Mr. Rolf Tveten serves as Managing Director &amp; Partner at Boston Consulting Group. He is a core member of the firm's global Transportation, Cities &amp; Infrastructure, and Public Sector practices. Throughout his career, he has worked at the intersection of infrastructure and the public sector, focusing on defense, infrastructure, energy, and logistics, primarily in large transformations including organizational design and operating model, cost optimization, post-merger integration, and connecting strategy to performance management. He is currently working primarily in asset-heavy industries such as defense, rail, logistics, and oil and gas. Prior to joining BCG, he worked as a political adviser to the Prime Minister of Norway, Erna Solberg.</t>
  </si>
  <si>
    <t>tveten.rolferik@bcg.com</t>
  </si>
  <si>
    <t>456085-27P</t>
  </si>
  <si>
    <t>Roman Friedrich Ph.D</t>
  </si>
  <si>
    <t>Roman</t>
  </si>
  <si>
    <t>Dr. Roman Friedrich serves as Managing Director &amp; Partner at Boston Consulting Group. He is the ESG lead for the firm's Technology, Media &amp; Telecommunications practice in Europe, the Middle East, and South America. He is the co-lead for the firm's global digital infrastructure initiative and is responsible for BCG's Telco Sustainability Index product and Fiber in a Box methodology, which enables telcos and investors to deploy fiber quickly and efficiently. Although he has worked across the entire telecommunications value chain, his current areas of focus are helping telco clients become more sustainable, supporting digital infrastructure deals (fiber, data center), and optimizing the performance of digital infrastructure companies.</t>
  </si>
  <si>
    <t>roman.friedrich@bcg.com</t>
  </si>
  <si>
    <t>436437-37P</t>
  </si>
  <si>
    <t>Romane Roch</t>
  </si>
  <si>
    <t>Romane</t>
  </si>
  <si>
    <t>Roch</t>
  </si>
  <si>
    <t>Ms. Romane Roch serves as Managing Director &amp; Partner at Boston Consulting Group. She has worked with numerous OEMs and aerospace and defense companies on function transformations, including digital and AI/GenAI-driven review of end-to-end processes.</t>
  </si>
  <si>
    <t>roch.romane@bcg.com</t>
  </si>
  <si>
    <t>455397-58P</t>
  </si>
  <si>
    <t>Romney Resney</t>
  </si>
  <si>
    <t>Romney</t>
  </si>
  <si>
    <t>Resney</t>
  </si>
  <si>
    <t>Ms. Romney Resney serves as Managing Director &amp; Senior Partner at Boston Consulting Group. She is a leader in the firm's Health Care practice, working with pharmaceutical, biotech, and medical devices clients from around the world, as well as payers and providers. As a member of the North America Leadership Team, she has been instrumental in building and growing that region's health care team. She serves as the global lead for BCG on launch, customer-centricity, and commercial excellence.</t>
  </si>
  <si>
    <t>romney.resney@bcg.com</t>
  </si>
  <si>
    <t>113156-74P</t>
  </si>
  <si>
    <t>Ron Nicol</t>
  </si>
  <si>
    <t>Nicol</t>
  </si>
  <si>
    <t>Mr. Ron Nicol served as a Special Advisor at Tritium Partners. Mr. Nicol also serves as a Senior Advisor at The Boston Consulting Group. Mr. Nicol served as Board Member at Axsun Technologies. He serves as the Head of the global practice areas, leader of the Technology and Communications practice, and is a member of the Executive Committee. He also serves as an Advisor &amp; Venture Partner at Anzu Partners. He works out of the Dallas office, which he opened in 1994. Over the last several years, he has also served as the global head of the Organization practice and Americas regional chair. Since joining The Boston Consulting Group in 1987, his focus has been telecommunications and airlines, and he has worked on major business transformations with several Fortune 50 companies. He received a B.S. in physics with honors from the United States Naval Academy, where he was awarded the Congressional Medal of Honor Society Prize for outstanding engineering work. He has an M.B.A. from Duke University, where he was named a Fuqua Scholar.</t>
  </si>
  <si>
    <t>+1 (202) 742-5870</t>
  </si>
  <si>
    <t>ron@bcg.com</t>
  </si>
  <si>
    <t>801, 17th Street, North West</t>
  </si>
  <si>
    <t>20006</t>
  </si>
  <si>
    <t>Anzu Partners</t>
  </si>
  <si>
    <t>148913-47P</t>
  </si>
  <si>
    <t>Ronald Maalouf</t>
  </si>
  <si>
    <t>Maalouf</t>
  </si>
  <si>
    <t>Mr. Ronald Maalouf serves as Managing Director &amp; Senior Partner at Boston Consulting Group. He is a core member of the Principal Investors &amp; Private Equity (PIPE) practice at Boston Consulting Group. His clients are located primarily in the Middle East. Ronald has worked with leading sovereign wealth funds, investment funds, and family-owned investment groups on all aspects of fund investment strategy and operations, transaction support (due diligence), and portfolio value creation, including business plans, innovation, digital, and transformations. Before joining the firm, Ronald worked as a senior associate of financial services at Booz &amp; Company and as a manager of advisory services at PriceWaterhouseCoopers.</t>
  </si>
  <si>
    <t>rmaalouf@bcg.com</t>
  </si>
  <si>
    <t>268970-05P</t>
  </si>
  <si>
    <t>Ronny Fehling</t>
  </si>
  <si>
    <t>Ronny</t>
  </si>
  <si>
    <t>Fehling</t>
  </si>
  <si>
    <t>Mr. Ronny Fehling serves as Partner &amp; Director at Boston Consulting Group. Mr. Ronny Fehling serves as Advisor &amp; Portfolio Board Member at Yttrium. As founder of Boston Consulting Group's "Spend AI," a patented AI solution to categorize and classify SG&amp;A spend, He leads one of BCG GAMMA's 'Big Bets' disrupting spend analytics. Before that, he joined Airbus as Vice President for Artificial Intelligence, leading and driving the group's strategic roadmaps and projects. He focuses on AI@scale and building AI solutions across multiple industries. He has over 20 years of experience in artificial intelligence, data science, database innovation, sensor networks, and IoT and cloud.</t>
  </si>
  <si>
    <t>fehling.ronny@bcg.com</t>
  </si>
  <si>
    <t>456714-64P</t>
  </si>
  <si>
    <t>Roope Talasmaa</t>
  </si>
  <si>
    <t>Roope</t>
  </si>
  <si>
    <t>Talasmaa</t>
  </si>
  <si>
    <t>Mr. Roope Talasmaa serves as Managing Director &amp; Partner at Boston Consulting Group. He leads the firm's Financial Institutions and Insurance practices in Finland and is a core member of the Nordic Financial Institutions and Operations practices. His work focuses on large-scale change management in financial institutions, including enterprise agile, digital reimagining of end-to-end customer journeys, and operating model redesign. He also has significant experience in strategy and transaction-related topics, supporting both private equity and corporate clients in areas such as commercial due diligence and post-merger integration.</t>
  </si>
  <si>
    <t>talasmaa.roope@bcg.com</t>
  </si>
  <si>
    <t>273545-29P</t>
  </si>
  <si>
    <t>Roshni Rathi</t>
  </si>
  <si>
    <t>Roshni</t>
  </si>
  <si>
    <t>Rathi</t>
  </si>
  <si>
    <t>Ms. Roshni Rathi serves as Managing Director &amp; Partner at Boston Consulting Group. She is a core member of the firm's Principal Investors &amp; Private Equity (PIPE) and Corporate Finance &amp; Strategy (CFS) practices in India. She works extensively with private equity clients and investors on topics along the investment lifecycle. Her experience includes commercial due diligence, portfolio acceleration, exit planning, sell-side due diligence, and fund strategy and operations. She has a deep knowledge of assets in financial services, consumer, health care, and growth tech industries. Ms. Rathi is an Angel Investor.</t>
  </si>
  <si>
    <t>rathi.roshni@bcg.com</t>
  </si>
  <si>
    <t>456016-87P</t>
  </si>
  <si>
    <t>Rosie Sargeant</t>
  </si>
  <si>
    <t>Rosie</t>
  </si>
  <si>
    <t>Ms. Rosie Sargeant serves as Principal at Boston Consulting Group. She is a core member of the firm's People &amp; Organization practice and is particularly interested in helping organizations design a better future of work to attract, grow, and retain talent, and optimize business performance. Prior to joining BCG, she spent two years at London-based boutique fitness gym 1Rebel, where she assisted with a successful funding raise to support the studio's expansion plans. Before that, she worked in the private wealth management division at Goldman Sachs in London and Frankfurt.</t>
  </si>
  <si>
    <t>435606-22P</t>
  </si>
  <si>
    <t>Ross Middleton</t>
  </si>
  <si>
    <t>Middleton</t>
  </si>
  <si>
    <t>Mr. Ross Middleton serves as Managing Director &amp; Senior Partner at Boston Consulting Group. His projects have included portfolio optimization (such as asset productivity, procurement, and lean-organization design), large-capital-project management and sustaining-capital optimization, and mine operational excellence.</t>
  </si>
  <si>
    <t>middleton.ross@bcg.com</t>
  </si>
  <si>
    <t>444282-94P</t>
  </si>
  <si>
    <t>Ruben Behaeghe</t>
  </si>
  <si>
    <t>Ruben</t>
  </si>
  <si>
    <t>Behaeghe</t>
  </si>
  <si>
    <t>Manager &amp; Principal</t>
  </si>
  <si>
    <t>Mr. Ruben Behaeghe serves as Principal, Project Advisor &amp; Platinion Manager at Boston Consulting Group.</t>
  </si>
  <si>
    <t>behaeghe.ruben@bcg.com</t>
  </si>
  <si>
    <t>Principal, Project Advisor &amp; Platinion Manager</t>
  </si>
  <si>
    <t>435427-66P</t>
  </si>
  <si>
    <t>Ruchin Goyal</t>
  </si>
  <si>
    <t>Ruchin</t>
  </si>
  <si>
    <t>Mr. Ruchin Goyal serves as Managing Director &amp; Senior Partner at Boston Consulting Group. His experience has covered topics such as large-scale transformations, growth strategy, operational improvement, and organizational effectiveness.</t>
  </si>
  <si>
    <t>goyal.ruchin@bcg.com</t>
  </si>
  <si>
    <t>435221-56P</t>
  </si>
  <si>
    <t>Rudi Blerk</t>
  </si>
  <si>
    <t>Rudi</t>
  </si>
  <si>
    <t>Blerk</t>
  </si>
  <si>
    <t>Mr. Rudi Blerk serves as Partner at Boston Consulting Group. Within the energy industry, he has experience in oil and gas and utilities; and within industrial goods, he focuses on mining.</t>
  </si>
  <si>
    <t>blerk.rudi@bcg.com</t>
  </si>
  <si>
    <t>456876-73P</t>
  </si>
  <si>
    <t>Ruediger Wolf</t>
  </si>
  <si>
    <t>Ruediger</t>
  </si>
  <si>
    <t>Mr. Ruediger Wolf serves as Managing Director &amp; Senior Partner at Boston Consulting Group. He is a core member of the firm's transformation practice. Which helps clients shape and accelerate transformation programs to deliver rapid, visible performance improvements in the short term while strengthening their organizations and positioning them to win in the future. Before joining BCG, he was CFO at J.J. Sietas KG Schiffswerft in Hamburg, where he led the implementation of the restructuring concept. He started his career as an insolvency trustee and restructuring advisor.</t>
  </si>
  <si>
    <t>wolf.ruediger@bcg.com</t>
  </si>
  <si>
    <t>118757-17P</t>
  </si>
  <si>
    <t>Russell Dubner</t>
  </si>
  <si>
    <t>Dubner</t>
  </si>
  <si>
    <t>Mr. Russell Dubner serves as Senior Partner, Global Chief Communications Officer &amp; Managing Director at Boston Consulting Group. He served as Global Vice Chairman and Chair of Edelman Trust Institute at Edelman. He has been with Edelman since 1992, joining as an entry-level account executive and today overseeing the U.S. region - the firm's largest operation. He works with a wide range of clients including Tough Mudder, Boston Consulting Group and Schwab. His contributions to the firm's IP and offerings include tenets for enduring engagement known as the Participation Platform, a thought leadership methodology and our Master Narrative approach to corporate storytelling. Previously, he was president of the New York office. Under his leadership, the office doubled in size to become one of New York's largest agencies and received numerous awards for both client work and employee satisfaction. He sits on the boards of Center for an Urban Future and Coro NY Leadership Center.</t>
  </si>
  <si>
    <t>russell-dubner@bcg.com</t>
  </si>
  <si>
    <t>Senior Partner, Global Chief Communications Officer &amp; Managing Director</t>
  </si>
  <si>
    <t>44351-11P</t>
  </si>
  <si>
    <t>Russell Kellner</t>
  </si>
  <si>
    <t>Kellner</t>
  </si>
  <si>
    <t>Mr. Russell Kellner serves as Senior Partner &amp; Managing Director at Boston Consulting Group. He was a Managing Director Russell Kellner serves as Partner &amp; Managing Director at The Boston Consulting Group. at Alvarez &amp; Marsal, and based in Boston. Prior to joining A&amp;M, he was a Principal at Bain &amp; Company and a leader in the firm's Private Equity Group where he oversaw 80+ commercial due diligence projects on prospective investments with analyses including market sizing and growth, competitive positioning, and performance improvement opportunities. With A&amp;M, he will focus on pre-acquisition diligence support and operational improvement. He received his MBA from the MIT Sloan School of Management and earned a bachelor's degree in chemical engineering with honors from Cornell University.</t>
  </si>
  <si>
    <t>russell.kellner@bcg.com</t>
  </si>
  <si>
    <t>456706-45P</t>
  </si>
  <si>
    <t>Ryan Curley</t>
  </si>
  <si>
    <t>Curley</t>
  </si>
  <si>
    <t>Mr. Ryan Curley serves as Managing Director &amp; Partner at Boston Consulting Group. He is a core member of the Financial Institutions practice area and serves on the North American Retail Banking Leadership team. He is also a core member of the Operations practice area. He has deep expertise in comprehensive cost transformation efforts for retail and commercial banking clients, covering org design, process transformation, postmerger integration, operating model strategy, and more. He also serves on BCG's Career Development Committee. He also has extensive experience in b2b information services, including growth strategy, target operating model, and strategic due diligence.</t>
  </si>
  <si>
    <t>curley.ryan@bcg.com</t>
  </si>
  <si>
    <t>434945-71P</t>
  </si>
  <si>
    <t>Ryan Ordway</t>
  </si>
  <si>
    <t>Ordway</t>
  </si>
  <si>
    <t>Mr. Ryan Ordway served as Managing Director &amp; Partner at Boston Consulting Group. He specialized in working with clients on large-scale technology and digital modernization efforts, technology strategy, operating model and organizational transformation, procurement, acquisition excellence, cost reduction, and go-to-market strategy.</t>
  </si>
  <si>
    <t>455599-09P</t>
  </si>
  <si>
    <t>Ryan Shain</t>
  </si>
  <si>
    <t>Shain</t>
  </si>
  <si>
    <t>Mr. Ryan Shain serves as Managing Director &amp; Partner at Boston Consulting Group. He is a core member of the firm's Health Care practice. His focus on payer/provider topics includes market strategy, transformation, integration, and partnerships, and growth across a variety of vectors (such as value-based payment and ambulatory expansion). He has led numerous engagements transforming end-to-end functions, conducting strategic diligence for partnership opportunities, developing local-market strategies with a variety of game-theory-inspired approaches, advising on new market and diversified revenue stream opportunities, and improving integrated care to positively impact patient experience and outcomes. Before joining BCG, he started a successful e-learning company focused on food safety and completed independent global health work in Vietnam with the Ministry of Health. He has published a paper on health reform options in Vietnam.</t>
  </si>
  <si>
    <t>shain.ryan@bcg.com</t>
  </si>
  <si>
    <t>456517-99P</t>
  </si>
  <si>
    <t>Ryan Taylor</t>
  </si>
  <si>
    <t>Mr. Ryan Taylor serves as Managing Director &amp; Partner at Boston Consulting Group. He leads BrightHouse's Dubai office, championing purpose in both public and private sector entities all over the Middle East. He has helped set new directions for energy companies, collaborated with governors to transform economies, and infused the employee experience at one of KSA's giga-projects with the power of play.</t>
  </si>
  <si>
    <t>taylor.ryan@bcg.com</t>
  </si>
  <si>
    <t>456228-10P</t>
  </si>
  <si>
    <t>Ryosuke Funabashi</t>
  </si>
  <si>
    <t>Ryosuke</t>
  </si>
  <si>
    <t>Funabashi</t>
  </si>
  <si>
    <t>Mr. Ryosuke Funabashi serves as a Partner at Boston Consulting Group. He is a core member of the firm's Energy practice. He has worked primarily with clients in the energy sector. He has rich project experience in business strategy, business administration, organizational structure building of trading, alliance negotiations, scenario planning, and cost reduction.</t>
  </si>
  <si>
    <t>funabashi.ryosuke@bcg.com</t>
  </si>
  <si>
    <t>456832-81P</t>
  </si>
  <si>
    <t>Ryosuke Torii</t>
  </si>
  <si>
    <t>Torii</t>
  </si>
  <si>
    <t>Mr. Ryosuke Torii serves as Managing Director &amp; Senior Partner at Boston Consulting Group. He is a global leader of the Integrated Power team within BCG's Energy practice. He is also a core member of the firm's Corporate Finance &amp; Strategy and Operations practices. Over the course of his career, he has worked primarily with clients in the energy, utilities, and transportation industries. His recent experience includes developing business strategies, business management, trading structure development, scenario planning, cost reduction, organizational transformation, alliances, business turnaround, and digital transformation.</t>
  </si>
  <si>
    <t>torii.ryosuke@bcg.com</t>
  </si>
  <si>
    <t>455470-84P</t>
  </si>
  <si>
    <t>Ryuji Sakaue</t>
  </si>
  <si>
    <t>Ryuji</t>
  </si>
  <si>
    <t>Sakaue</t>
  </si>
  <si>
    <t>Mr. Ryuji Sakaue serves as Partner &amp; Associate Director at Boston Consulting Group. He is a core member of BCG's Corporate Finance &amp; Strategy practice, and Principal Investors &amp; Private Equity practice. He has worked with clients in a wide range of industries on TSR / shareholder value strategy, mid-term plan development, portfolio strategy development, and M&amp;A (business due diligence, sell-side support, and PMI). Prior to joining BCG, he worked at the Japanese Ministry of Foreign Affairs.</t>
  </si>
  <si>
    <t>sakaue.ryuji@bcg.com</t>
  </si>
  <si>
    <t>455356-72P</t>
  </si>
  <si>
    <t>Sabrina Kristic Ph.D</t>
  </si>
  <si>
    <t>Sabrina</t>
  </si>
  <si>
    <t>Kristic</t>
  </si>
  <si>
    <t>Dr. Sabrina Kristic serves as Managing Director &amp; Partner at Boston Consulting Group. She is a core member of the firm's Health Care practice. She is a member of the global biopharma leadership team and serves as leader of the firm's biopharma business. She advises clients in the pharma, consumer health, wholesale, and pharmacy businesses.</t>
  </si>
  <si>
    <t>kristic.sabrina@bcg.com</t>
  </si>
  <si>
    <t>435756-79P</t>
  </si>
  <si>
    <t>Sagar Goel</t>
  </si>
  <si>
    <t>Sagar</t>
  </si>
  <si>
    <t>Goel</t>
  </si>
  <si>
    <t>Mr. Sagar Goel serves as Managing Director &amp; Partner/Global Insights Leader at BCG Henderson Institute at Boston Consulting Group. He leads the firm's client work in digital reskilling and workforce development. He has worked with clients in the public sector, banking, infrastructure, technology, consumer goods, media, agribusiness, health care, insurance, energy, and industrial goods, on talent strategy, HR transformation, workforce development, and AI adoption.</t>
  </si>
  <si>
    <t>sagar.goel@bcg.com</t>
  </si>
  <si>
    <t>Managing Director &amp; Partner/Global Insights Leader at BCG Henderson Institute</t>
  </si>
  <si>
    <t>455394-61P</t>
  </si>
  <si>
    <t>Sahil Sanghvi</t>
  </si>
  <si>
    <t>Sahil</t>
  </si>
  <si>
    <t>Mr. Sahil Sanghvi serves as Managing Director &amp; Partner at Boston Consulting Group. He is a core member of the Health Care practice at the firm, an area leader for the US medtech team, and an active member of the biopharma team within that practice. He is also the chair for the CDC in Minneapolis and co-chair for the North American Asian Diversity Network. In addition, he works with clients in the firm's Industrial Goods and Social Impact practices. He is the office lead for the firm's Minneapolis office. He works with clients around the globe in these industries, has been comprehensive, but with a focus on transformational growth topics, including: growth strategy, data-driven portfolio management, emerging market strategy, and go-to-market; as well as organizational design, post-merger integration, and implementation (running PMOs and execution strategy).</t>
  </si>
  <si>
    <t>sanghvi.sahil@bcg.com</t>
  </si>
  <si>
    <t>436417-84P</t>
  </si>
  <si>
    <t>Sahithya Vemana</t>
  </si>
  <si>
    <t>Sahithya</t>
  </si>
  <si>
    <t>Vemana</t>
  </si>
  <si>
    <t>Ms. Sahithya Vemana serves as Partner at Boston Consulting Group. She has worked extensively with banking, asset management, and other financial services clients in London, Europe, Africa, and India, on topics including technology strategy, technology operating model, and technology-led large-scale transformations.</t>
  </si>
  <si>
    <t>vemana.sahithya@bcg.com</t>
  </si>
  <si>
    <t>187807-15P</t>
  </si>
  <si>
    <t>Saleh Al-Ateeqi</t>
  </si>
  <si>
    <t>Saleh</t>
  </si>
  <si>
    <t>Al-Ateeqi</t>
  </si>
  <si>
    <t>Mr. Saleh Al-Ateeqi serves as Managing Director &amp; Partner at Boston Consulting Group. He is a core member of the Principal Investors &amp; Private Equity practice at the firm. He advises sovereign wealth funds and other institutional investors on key topics including strategy, portfolio review, performance management, and portfolio acceleration, including due diligence. Mr. Al-Ateeqi served as President, KIO - London at Kuwait Investment Authority. He is a board member at the Wharton School Executive Board for Europe, the Middle East &amp; Africa, and previously worked as Senior Advisor to Tony Blair &amp; Associates.</t>
  </si>
  <si>
    <t>al-ateeqi.saleh@bcg.com</t>
  </si>
  <si>
    <t>455809-15P</t>
  </si>
  <si>
    <t>Salvatore Cali</t>
  </si>
  <si>
    <t>Salvatore</t>
  </si>
  <si>
    <t>Cali</t>
  </si>
  <si>
    <t>Mr. Salvatore Cali serves as Partner &amp; Assistant Director at Boston Consulting Group. He is a core member of the firm's Operations and People &amp; Organization practices with a special focus on service and support operations. He leads BCG's Lean Enablement Center in Paris and regularly teaches classes at several universities. He is a certified master black belt in Six Sigma. He works extensively with clients across industries on issues related to lean services. His engagements have focused on lean enablement in support functions, including finance, IT, sales and marketing, effectiveness and efficiency of processes, and process excellence programs. Prior to joining BCG, he worked for General Electric in the oil and gas, capital, and health care units.</t>
  </si>
  <si>
    <t>cali.salvatore@bcg.com</t>
  </si>
  <si>
    <t>456275-98P</t>
  </si>
  <si>
    <t>Sam Farley</t>
  </si>
  <si>
    <t>Farley</t>
  </si>
  <si>
    <t>Mr. Sam Farley serves as Managing Director &amp; Senior Partner at Boston Consulting Group. He is a core member of the Technology, Media &amp; Telecommunications practice, working mainly with clients in the technology, automotive, aerospace, and consumer industries. He focuses on transactions for private and strategic buyers, growth strategy, and operational improvement, including due diligence for corporate clients, post-merger integration, strategy, shareholder value, and activist response. He is the firm's global lead for strategic planning and the Australia and New Zealand head for tech capital. He is also currently serving as the office leader for Melbourne. Prior to joining BCG, he worked for Porsche Consulting.</t>
  </si>
  <si>
    <t>sam@bcg.com</t>
  </si>
  <si>
    <t>456915-25P</t>
  </si>
  <si>
    <t>Sam Ridesic</t>
  </si>
  <si>
    <t>Ridesic</t>
  </si>
  <si>
    <t>Mr. Sam Ridesic serves as Managing Director &amp; Senior Partner at Boston Consulting Group. He is a senior member of the firm's Consumer practice. He is a strategic advisor with 27 years of experience supporting CEOs, boards, and management teams in strategy development and execution. He has extensive global experience across multiple industries, with a particular focus on consumer goods and retail, as well as digital transformation. Prior to joining BCG in 1998, he was a cofounder of Advanced Dynamics, a nationally awarded entrepreneurial venture. He is also a cofounder of The Exchange Brewery and an investor in several innovative post-revenue companies.</t>
  </si>
  <si>
    <t>ridesic.sam@bcg.com</t>
  </si>
  <si>
    <t>456421-51P</t>
  </si>
  <si>
    <t>Sam Stewart</t>
  </si>
  <si>
    <t>Mr. Sam Stewart serves as Managing Director &amp; Senior Partner at Boston Consulting Group. He also leads two of BCG's practice areas in Australia and New Zealand: Financial Institutions and Strategy. He is also the firm's global topic leader for strategic planning, strategy as a service, and strategy department excellence. He works mostly with leading banks, insurance companies, and wealth managers on a range of topics including M&amp;A, pricing, risk analytics, front line productivity, growth strategies, and portfolio management.</t>
  </si>
  <si>
    <t>stewart.sam@bcg.com</t>
  </si>
  <si>
    <t>456043-60P</t>
  </si>
  <si>
    <t>Sambhav Jain</t>
  </si>
  <si>
    <t>Sambhav</t>
  </si>
  <si>
    <t>Mr. Sambhav Jain serves as Managing Director &amp; Partner at Boston Consulting Group. He is a core member of the firm's Technology, Media &amp; Telecommunications (TMT) and Corporate Finance &amp; Strategy (CFS) practices focused on the intersection of technology, strategy, and corporate finance. He has extensive experience advising IT and business process outsourcing (BPO) services firms on AI transformation, growth strategy, and innovation.</t>
  </si>
  <si>
    <t>jain.sambhav@bcg.com</t>
  </si>
  <si>
    <t>436277-17P</t>
  </si>
  <si>
    <t>Sana Rafiq</t>
  </si>
  <si>
    <t>Sana</t>
  </si>
  <si>
    <t>Rafiq</t>
  </si>
  <si>
    <t>Ms. Sana Rafiq serves as Partner &amp; Leader of Behavioral Science Lab in North America at Boston Consulting Group. She leads Boston Consulting Group's Behavioral Science Lab in North America. She is also a core member of BCG's Public Sector and People &amp; Organization practices.</t>
  </si>
  <si>
    <t>rafiq.sana@bcg.com</t>
  </si>
  <si>
    <t>Partner &amp; Leader of Behavioral Science Lab in North America</t>
  </si>
  <si>
    <t>436284-46P</t>
  </si>
  <si>
    <t>Sandeep Chugani</t>
  </si>
  <si>
    <t>Sandeep</t>
  </si>
  <si>
    <t>Chugani</t>
  </si>
  <si>
    <t>Mr. Sandeep Chugani serves as Managing Director &amp; Senior Partner at Boston Consulting Group. He is a core member of the Transform, Consumer, and Operations practices.</t>
  </si>
  <si>
    <t>chugani.sandeep@bcg.com</t>
  </si>
  <si>
    <t>435628-36P</t>
  </si>
  <si>
    <t>Sandro Marzo</t>
  </si>
  <si>
    <t>Sandro</t>
  </si>
  <si>
    <t>Marzo</t>
  </si>
  <si>
    <t>Mr. Sandro Marzo serves as Managing Director &amp; Partner at Boston Consulting Group. His recent work is focused on unlocking growth and driving digital transformation for leading companies in Latin America, covering strategy definition, marketing, sales, pricing, organization, and efficiency topics.</t>
  </si>
  <si>
    <t>marzo.sandro@bcg.com</t>
  </si>
  <si>
    <t>455828-50P</t>
  </si>
  <si>
    <t>Sanjay Chari</t>
  </si>
  <si>
    <t>Chari</t>
  </si>
  <si>
    <t>Mr. Sanjay Chari serves as Managing Director &amp; Partner at Boston Consulting Group. He leads the firm's consumer and retail work in Melbourne and is the global co-lead for Convenience &amp; Fuel Retail within the Consumer practice. He also serves as the firm's marketing lead for Australia and New Zealand (ANZ). He is an expert in large-scale transformations and has successfully led value delivery programs covering all aspects of profit and loss in multiple formats, including e-commerce/omnichannel, department stores, mass-market grocery, specialty retail, club/discount, and convenience. Prior to joining BCG, he held positions at Credit Suisse &amp; Macquarie.</t>
  </si>
  <si>
    <t>sanjay.chari@bcg.com</t>
  </si>
  <si>
    <t>436169-80P</t>
  </si>
  <si>
    <t>Sanjay Saxena MD</t>
  </si>
  <si>
    <t>Saxena</t>
  </si>
  <si>
    <t>Mr. Sanjay Saxena serves as Managing Director &amp; Senior Partner at Boston Consulting Group. He works closely with venture capital, private equity, and technology firms that are looking to invest in, grow, and scale their health care businesses.</t>
  </si>
  <si>
    <t>saxena.sanjay@bcg.com</t>
  </si>
  <si>
    <t>436181-68P</t>
  </si>
  <si>
    <t>Sanjaya Mohottala</t>
  </si>
  <si>
    <t>Sanjaya</t>
  </si>
  <si>
    <t>Mohottala</t>
  </si>
  <si>
    <t>Mr. Sanjaya Mohottala serves as Managing Director &amp; Partner at Boston Consulting Group. He has extensive experience in strategy, advance analytics, operational improvement, sales and marketing, and organization design.</t>
  </si>
  <si>
    <t>sanjaya.mohottala@bcg.com</t>
  </si>
  <si>
    <t>48262-87P</t>
  </si>
  <si>
    <t>Santiago Aviles</t>
  </si>
  <si>
    <t>Aviles</t>
  </si>
  <si>
    <t>Mr. Santiago Aviles serves as Managing Director &amp; Partner at Boston Consulting Group. Mr. Santiago Aviles is an Intern at Crane Street Capital. He works with them on pricing and promotions, revenue management, sales, personalization and advertising, marketing, multichannel strategy, and localization.</t>
  </si>
  <si>
    <t>aviles.santiago@bcg.com</t>
  </si>
  <si>
    <t>417824-11P</t>
  </si>
  <si>
    <t>Santiago Ferrer</t>
  </si>
  <si>
    <t>Mr. Santiago Ferrer serves as Managing Director &amp; Senior Partner at Boston Consulting Group. He supports clients in real estate, infrastructure, and the public sector across various topics, including corporate and business strategy, M&amp;A, customer journey and service model, operating model and organizational redesign, and transformation. Mr. Ferrer serves as Member of the Board of Governors at Los Angeles Chamber of Commerce. Before joining BCG, he worked for the United Nations in economic development and peacekeeping operations.</t>
  </si>
  <si>
    <t>ferrer.santiago@bcg.com</t>
  </si>
  <si>
    <t>455969-17P</t>
  </si>
  <si>
    <t>Santiago Gallego Lopez</t>
  </si>
  <si>
    <t>Gallego Lopez</t>
  </si>
  <si>
    <t>Mr. Santiago Gallego Lopez serves as Partner &amp; Associate Director at Boston Consulting Group. He is a core member of the firm's Operations practice with over 20 years of experience performing process evaluations and defining and implementing roadmaps through digital technology. His focus is on maintenance, engineering, and operations fields. He is an asset management 4.0 global expert and part of the firm's Service &amp; Support Operations leadership team. He works within processes and digital technologies to design the integrated management of the entire asset life cycle, from engineering through the definition of models and digital technologies for managing maintenance activities.</t>
  </si>
  <si>
    <t>gallego.santiago@bcg.com</t>
  </si>
  <si>
    <t>434926-54P</t>
  </si>
  <si>
    <t>Santiago Stephenson</t>
  </si>
  <si>
    <t>Stephenson</t>
  </si>
  <si>
    <t>Mr. Santiago Stephenson serves as Managing Director &amp; Partner at Boston Consulting Group. He has worked with global and Latin American financial institutions clients, specifically in the payments industry.</t>
  </si>
  <si>
    <t>stephenson.santiago@bcg.com</t>
  </si>
  <si>
    <t>456284-35P</t>
  </si>
  <si>
    <t>Santino Lacanna</t>
  </si>
  <si>
    <t>Santino</t>
  </si>
  <si>
    <t>Lacanna</t>
  </si>
  <si>
    <t>Mr. Santino Lacanna serves as Managing Director &amp; Partner at Boston Consulting Group. He leads the firm's Social Impact practice in South America and the People &amp; Organization practice in Brazil. In addition, he is a core member of the Climate &amp; Sustainability and Health Care practices and has served as a BCG Henderson Institute Ambassador, focusing on trust and digital trust. In the people and organization domain, he has advised senior leaders across industries on large-scale organizational transformations, workforce strategy, talent development, and culture challenges. Before joining BCG, he spent four years at Monitor Group.</t>
  </si>
  <si>
    <t>lacanna.santino@bcg.com</t>
  </si>
  <si>
    <t>455641-30P</t>
  </si>
  <si>
    <t>Sarah Berhalter</t>
  </si>
  <si>
    <t>Berhalter</t>
  </si>
  <si>
    <t>Ms. Sarah Berhalter serves as Managing Director &amp; Partner at Boston Consulting Group. She is a core member of the firm's Transaction &amp; Integration (T&amp;I) and Industrial Goods (IG) practices. Within T&amp;I, she is a key leader of the divestiture and carve-out topics within North America, where she also serves as the people lead. She covers topics in end-to-end carve-out/spin-off transaction strategy and execution for both the buy and sell side parties. In addition, she has experience in large-scale operating models, digital and transformation efforts, with particular expertise in people and engagement strategy and operational effectiveness. Prior to joining BCG, she held management positions within the equestrian industry, where she was recognized with the Zeppa International Award for management in her field.</t>
  </si>
  <si>
    <t>berhalter.sarah@bcg.com</t>
  </si>
  <si>
    <t>436337-20P</t>
  </si>
  <si>
    <t>Sarah Uetz</t>
  </si>
  <si>
    <t>Uetz</t>
  </si>
  <si>
    <t>Ms. Sarah Uetz serves as Managing Director &amp; Partner at Boston Consulting Group. She is a core member of the Consumer practice and a member of the consumer goods core group with a focus on fast-moving consumer goods and consumer durables.</t>
  </si>
  <si>
    <t>uetz.sarah@bcg.com</t>
  </si>
  <si>
    <t>456808-33P</t>
  </si>
  <si>
    <t>Satoshi Kiyama</t>
  </si>
  <si>
    <t>Satoshi</t>
  </si>
  <si>
    <t>Kiyama</t>
  </si>
  <si>
    <t>Mr. Satoshi Kiyama serves as Managing Director &amp; Senior Partner at Boston Consulting Group. He works closely with clients in a variety of industries such as automotive, machinery, electronic parts, materials, trading business, construction, real estate, energy, and utilities. He leads the firm's transformation practice (BCG Transform) in Japan. He is also a core member of the firm's Travel, Cities &amp; Infrastructure, Global Advantage, Industrial Goods, and People &amp; Organization practices. Prior to joining BCG, he worked in the real estate department of ITOCHU Corporation, where he was responsible for real estate securitization in Japan.</t>
  </si>
  <si>
    <t>sk@bcg.com</t>
  </si>
  <si>
    <t>435735-10P</t>
  </si>
  <si>
    <t>Satoshi Komiya</t>
  </si>
  <si>
    <t>Komiya</t>
  </si>
  <si>
    <t>Mr. Satoshi Komiya serves as Managing Director &amp; Senior Partner at Boston Consulting Group. His recent experience covers formulating and implementing business and globalization strategy, transformation, operational reform, cost reduction, profitability improvement, and salesforce reform.</t>
  </si>
  <si>
    <t>komiya.satoshi@bcg.com</t>
  </si>
  <si>
    <t>456216-40P</t>
  </si>
  <si>
    <t>Satoshi Urayama</t>
  </si>
  <si>
    <t>Urayama</t>
  </si>
  <si>
    <t>Mr. Satoshi Urayama serves as a Partner at Boston Consulting Group. He is a core member of the firm's Travel, Cities &amp; Infrastructure, Industrial Goods, Corporate Finance &amp; Strategy, and Transformation practices. He has primarily worked with clients in the transportation and infrastructure, construction and real estate, and industrial goods industries. He has worked on numerous projects, including mid- to long-term strategy, portfolio reform, business transformation, and new business strategy. Prior to joining BCG, he worked at Hakuhodo Inc.</t>
  </si>
  <si>
    <t>urayama.satoshi@bcg.com</t>
  </si>
  <si>
    <t>455178-25P</t>
  </si>
  <si>
    <t>Saurabh Tripathi</t>
  </si>
  <si>
    <t>Saurabh</t>
  </si>
  <si>
    <t>Tripathi</t>
  </si>
  <si>
    <t>Mr. Saurabh Tripathi serves as Managing Director, Senior Partner &amp; Global Leader, Financial Institutions Practice at Boston Consulting Group. In a career spanning over two decades, he has advised financial services clients on strategy development, digital business builds, post-merger integrations, digital transformation, and large organizational change.</t>
  </si>
  <si>
    <t>saurabh.tripathi@bcg.com</t>
  </si>
  <si>
    <t>Managing Director, Senior Partner &amp; Global Leader, Financial Institutions Practice</t>
  </si>
  <si>
    <t>455267-98P</t>
  </si>
  <si>
    <t>Scott St Marie</t>
  </si>
  <si>
    <t>St Marie</t>
  </si>
  <si>
    <t>Mr. Scott St Marie serves as Managing Director &amp; Partner at Boston Consulting Group. He a core member of the firm's Public Sector practice where he leads strategy, large-scale change, and digitization projects for state and local governments. He leads the firm's work on political transitions for state and local governments, including supporting newly elected mayors and governors. Before joining BCG, he was Strategy Manager at West Health Institute, and before that, a Consultant at Katzenbach Partners.</t>
  </si>
  <si>
    <t>scott.stmarie@bcg.com</t>
  </si>
  <si>
    <t>435217-60P</t>
  </si>
  <si>
    <t>Sean Mathewson</t>
  </si>
  <si>
    <t>Mathewson</t>
  </si>
  <si>
    <t>Mr. Sean Mathewson serves as Managing Director &amp; Partner at Boston Consulting Group. He has also led projects with BCG clients in public sector and social impact areas. Among other topics, Sean has expertise in portfolio strategy, research and development, inorganic growth and M&amp;A, commercial launch in biopharma, and Total Shareholder Return.</t>
  </si>
  <si>
    <t>mathewson.sean@bcg.com</t>
  </si>
  <si>
    <t>434811-79P</t>
  </si>
  <si>
    <t>Sebastian Bak</t>
  </si>
  <si>
    <t>Bak</t>
  </si>
  <si>
    <t>Mr. Sebastian Bak serves as Managing Director &amp; Partner at Boston Consulting Group. He co-leads pricing globally and has over 15 years of experience working in the intersection of retail strategy with data, advanced analytics, and AI.</t>
  </si>
  <si>
    <t>bak.sebastian@bcg.com</t>
  </si>
  <si>
    <t>204732-37P</t>
  </si>
  <si>
    <t>Sebastian Boger</t>
  </si>
  <si>
    <t>Boger</t>
  </si>
  <si>
    <t>Mr. Sebastian Boger serves as Managing Director &amp; Senior Partner at Boston Consulting Group. Sebastian Boger is a core member of the Consumer Goods practice at The Boston Consulting Group. He focuses on the fashion and luxury sector. Sebastian has worked on many client projects in the fashion and retail industry along the entire value chain with a special focus on customer-centric transformations, store concept reinvention, advanced analytics, and sustainability. Sebastian has also worked on brand positioning and shopping experience in fashion. He is skilled in setting up CRM systems, omnichannel strategy, and end-to-concept-to-shelfhelf processes. He is the co-author author of the 2018 Pulse of the Fashion Industry report, cosponsored by BCG, the Global Fashion Agenda (GFA), and the Sustainable Apparel Collation (SAC) which looked into the environmental and social performance of the fashion sector from the perspective of CEOs decision-makers.</t>
  </si>
  <si>
    <t>boger.sebastian@bcg.com</t>
  </si>
  <si>
    <t>435126-52P</t>
  </si>
  <si>
    <t>Sebastian Heimbach</t>
  </si>
  <si>
    <t>Heimbach</t>
  </si>
  <si>
    <t>Mr. Sebastian Heimbach serves as Managing Director &amp; Partner at Boston Consulting Group. He is people lead for the firm's work in greentech and engineered products for Central Europe, and played a crucial role in bringing BCG's Digital Technology Center/Digital Builders Showroom concept to life.</t>
  </si>
  <si>
    <t>heimbach.sebastian@bcg.com</t>
  </si>
  <si>
    <t>456211-27P</t>
  </si>
  <si>
    <t>Sebastian Kocher</t>
  </si>
  <si>
    <t>Kocher</t>
  </si>
  <si>
    <t>Mr. Sebastian Kocher serves as Managing Director &amp; Partner at Boston Consulting Group. He is a core member of the firm's Industrial Goods and Operations practices. He is an expert in transformation, digitization, full potential plans, manufacturing excellence, and operations strategy, and drives BCG's offering for Scope 1 and 2 decarbonization and sustainable manufacturing. His client work focuses mainly on materials and process industries, as well as related industries.</t>
  </si>
  <si>
    <t>koecher.sebastian@bcg.com</t>
  </si>
  <si>
    <t>434888-47P</t>
  </si>
  <si>
    <t>Sebastian Schrapp Ph.D</t>
  </si>
  <si>
    <t>Schrapp</t>
  </si>
  <si>
    <t>Mr. Sebastian Schrapp serves as Managing Director &amp; Partner at Boston Consulting Group. He is co-leading the topic for Hydrogen in Industrial Goods with a focus on mobile and stationary applications in the on- and off-highway segment.</t>
  </si>
  <si>
    <t>schrapp.sebastian@bcg.com</t>
  </si>
  <si>
    <t>456434-20P</t>
  </si>
  <si>
    <t>Sebastian Stange Ph.D</t>
  </si>
  <si>
    <t>Stange</t>
  </si>
  <si>
    <t>Dr. Sebastian Stange serves as Partner and Director, Corporate Strategy and CFO Excellence at Boston Consulting Group. He is a senior expert for corporate strategy and CFO excellence, and leads the firm's work in strategic planning in Europe, the Middle East, and South America (EMESA). He supports clients and projects globally in many industries. Within corporate strategy, he has a particular interest in group and business strategy development, parenting strategy (role of the corporate center), corporate portfolio strategy, capital allocation and investment governance, strategic planning and the strategy development process, and corporate governance and supervisory board best practices.</t>
  </si>
  <si>
    <t>stange.sebastian@bcg.com</t>
  </si>
  <si>
    <t>Partner and Director, Corporate Strategy and CFO Excellence</t>
  </si>
  <si>
    <t>436378-96P</t>
  </si>
  <si>
    <t>Sebastian Ullrich Ph.D</t>
  </si>
  <si>
    <t>Mr. Sebastian Ullrich serves as Managing Director at Boston Consulting Group. He has special expertise in organizational transformation topics within TMT, as well as across industries.</t>
  </si>
  <si>
    <t>ullrich.sebastian@bcg.com</t>
  </si>
  <si>
    <t>455708-44P</t>
  </si>
  <si>
    <t>Sebastien Bard</t>
  </si>
  <si>
    <t>Sebastien</t>
  </si>
  <si>
    <t>Bard</t>
  </si>
  <si>
    <t>Mr. Sebastien Bard serves as Partner &amp; Director, Transaction &amp; Integration Excellence at Boston Consulting Group. He is one of the firm's leading experts in post-merger integration in Europe and a core member of the Financial Institutions practice at the firm. He has led over ten large-scale post-merger integration projects and has been involved in more than 30 transactions and deals of all kinds across various sectors and geographies, including buy-side due diligence, joint venture preparation, cross-border mergers, outside-in synergy assessment, and divestment strategy. Before joining the firm, he was a Consultant at Deutsche Post DHL.</t>
  </si>
  <si>
    <t>bard.sebastien@bcg.com</t>
  </si>
  <si>
    <t>Partner &amp; Director, Transaction &amp; Integration Excellence</t>
  </si>
  <si>
    <t>435966-13P</t>
  </si>
  <si>
    <t>Sebastien Rexhausen</t>
  </si>
  <si>
    <t>Rexhausen</t>
  </si>
  <si>
    <t>Mr. Sebastien Rexhausen serves as Managing Director &amp; Senior Partner at Boston Consulting Group. He is a core member of BCG's Energy practice and a member of the firm's commodity trading and risk-management sector.</t>
  </si>
  <si>
    <t>rexhausen.sebastien@bcg.com</t>
  </si>
  <si>
    <t>332436-25P</t>
  </si>
  <si>
    <t>Seddik Fihri</t>
  </si>
  <si>
    <t>Seddik</t>
  </si>
  <si>
    <t>Fihri</t>
  </si>
  <si>
    <t>Mr. Seddik Fihri serves as Managing Director &amp; Partner at Boston Consulting Group. He is based in Casablanca, where he supports many major private equity firms, principal investors, multinationals, and pan-African companies. Before joining BCG in 2011, Mr. Fihri held different positions within the Kuwait Investment Authority, the Moroccan conglomerate ONA-SNI (now Al Mada), and PwC.</t>
  </si>
  <si>
    <t>sf@bcg.com</t>
  </si>
  <si>
    <t>456218-74P</t>
  </si>
  <si>
    <t>Seiko Matsuo</t>
  </si>
  <si>
    <t>Seiko</t>
  </si>
  <si>
    <t>Matsuo</t>
  </si>
  <si>
    <t>Mr. Seiko Matsuo serves as Managing Director &amp; Partner at Boston Consulting Group. He is a core member of the firm's Travel, Cities &amp; Infrastructure, Industrial Goods, Corporate Finance &amp; Strategy, Transform, and Global Advantage practices. He has worked extensively with clients in the real estate, construction, shipping, transportation, and urban development industries. In particular, he has worked on projects involving corporate transformation, corporate strategy, business portfolio strategy, M&amp;A strategy, transformation, and globalization strategy. Prior to joining BCG, he worked at Ernst &amp; Young ShinNihon LLC.</t>
  </si>
  <si>
    <t>matsuo.seiko@bcg.com</t>
  </si>
  <si>
    <t>435283-84P</t>
  </si>
  <si>
    <t>Selin Zalma</t>
  </si>
  <si>
    <t>Selin</t>
  </si>
  <si>
    <t>Zalma</t>
  </si>
  <si>
    <t>Ms. Selin Zalma serves as Managing Director &amp; Senior Partner at Boston Consulting Group. Her core focus is delivering operational enhancements and complex large-scale transformations across resident-facing services including health, economic development, and transportation, as well as improving internal government operations including digitization of services, procurement, and supply chain operations.</t>
  </si>
  <si>
    <t>zalma.selin@bcg.com</t>
  </si>
  <si>
    <t>436230-73P</t>
  </si>
  <si>
    <t>Semi Park Ph.D</t>
  </si>
  <si>
    <t>Semi</t>
  </si>
  <si>
    <t>Park</t>
  </si>
  <si>
    <t>Ms. Semi Park serves as Partner &amp; Associate Director at Boston Consulting Group. She has worked mainly with materials and chemical clients, supporting formulation and implementation of growth strategy and go-to-market strategy, alliances, due diligence, and vision development. In the chemical industry, she has assisted upstream and downstream companies.</t>
  </si>
  <si>
    <t>park.semi@bcg.com</t>
  </si>
  <si>
    <t>435603-61P</t>
  </si>
  <si>
    <t>Sergio Figuerola</t>
  </si>
  <si>
    <t>Figuerola</t>
  </si>
  <si>
    <t>Mr. Sergio Figuerola serves as Partner &amp; Director, Energy Transition at Boston Consulting Group. His client work has covered operational improvement in power generation; new business development; business unit strategy definition; and regulation development in the power, gas, and renewablesectors .</t>
  </si>
  <si>
    <t>figuerola.sergio@bcg.com</t>
  </si>
  <si>
    <t>Partner &amp; Director, Energy Transition</t>
  </si>
  <si>
    <t>435926-53P</t>
  </si>
  <si>
    <t>Sesh Iyer</t>
  </si>
  <si>
    <t>Sesh</t>
  </si>
  <si>
    <t>Iyer</t>
  </si>
  <si>
    <t>Mr. Sesh Iyer serves as Managing Director &amp; Senior Partner at Boston Consulting Group. He also leads the firm's work in the Americas in lean services and operations in technology and IT, cloud computing, and the firm's work with the IT Capability Maturity Framework (IT-CMF).</t>
  </si>
  <si>
    <t>iyer.sesh@bcg.com</t>
  </si>
  <si>
    <t>191805-94P</t>
  </si>
  <si>
    <t>Shalini Unnikrishnan</t>
  </si>
  <si>
    <t>Shalini</t>
  </si>
  <si>
    <t>Unnikrishnan</t>
  </si>
  <si>
    <t>Ms. Shalini Unnikrishnan serves as Managing Director and Senior Partner at The Boston Consulting Group. She is the Global Lead for Societal Impact in the Consumer and Social Impact practices at Boston Consulting Group. Her work at BCG is focused on the intersection of the private, public, and social sectors. She is the co-author of "Total Societal Impact," which explores how companies can gain business and societal value through their core operations. Ms. Unnikrishnan gained expertise in this subject through her work with private-sector clients. She also supports public and social sector clients in private sector engagement. Ms. Unnikrishnani has worked extensively in emerging markets on value chains of private sector companies in agriculture, financial inclusion, women's empowerment, and economic development. Her experience includes supporting the UN Mission for Ebola Emergency Response in West Africa, working within presidencies in Africa as an advisor on economic development, supporting global health and education coalitions, and designing public-private partnerships for consumer companies.</t>
  </si>
  <si>
    <t>s-u@bcg.com</t>
  </si>
  <si>
    <t>455947-21P</t>
  </si>
  <si>
    <t>Shane Fisher</t>
  </si>
  <si>
    <t>Shane</t>
  </si>
  <si>
    <t>Fisher</t>
  </si>
  <si>
    <t>Ms. Shane Fisher serves as Managing Director &amp; Partner at Boston Consulting Group. She is a core member of the Consumer practice, specializing in retail, and an expert in digital marketing, media, and personalization, and large-scale change for retail and consumer clients. She leads the Women@BCG initiative for the Seattle office as well as pro bono work with local social and public sector clients.</t>
  </si>
  <si>
    <t>fisher.shane@bcg.com</t>
  </si>
  <si>
    <t>304265-98P</t>
  </si>
  <si>
    <t>Shantanu Garg</t>
  </si>
  <si>
    <t>Shantanu</t>
  </si>
  <si>
    <t>Mr. Shantanu Garg serves as Managing Director at Boston Consulting Group. He is an Angel Investor.</t>
  </si>
  <si>
    <t>garg.shantanu@bcg.com</t>
  </si>
  <si>
    <t>435581-92P</t>
  </si>
  <si>
    <t>Sharad Verma</t>
  </si>
  <si>
    <t>Sharad</t>
  </si>
  <si>
    <t>Verma</t>
  </si>
  <si>
    <t>Mr. Sharad Verma serves as Managing Director &amp; Senior Partner at Boston Consulting Group. He is a topic expert on the subject of M&amp;A and joint ventures, having worked with several multinational corporation and local clients on these issues.</t>
  </si>
  <si>
    <t>verma.sharad@bcg.com</t>
  </si>
  <si>
    <t>55380-34P</t>
  </si>
  <si>
    <t>Sharon Marcil</t>
  </si>
  <si>
    <t>Sharon</t>
  </si>
  <si>
    <t>Marcil</t>
  </si>
  <si>
    <t>Ms. Sharon Marcil serves as Managing Director &amp; Senior Partner, NAMR Chair at Boston Consulting Group. She leads the firm in the US, Canada, and Mexico. She previously served as BCG's Chief Marketing Officer, Chair of BCG's Global Sales and Revenue Management Team, North America and Global Head of the Consumer practice, and Regional Head of the Public Sector practice.</t>
  </si>
  <si>
    <t>marcil.sharon@bcg.com</t>
  </si>
  <si>
    <t>Managing Director &amp; Senior Partner, NAMR Chair</t>
  </si>
  <si>
    <t>436124-98P</t>
  </si>
  <si>
    <t>Sharon Skinner</t>
  </si>
  <si>
    <t>Skinner</t>
  </si>
  <si>
    <t>Ms. Sharon Skinner serves as Partner at Boston Consulting Group. She is a core member of the Financial Institutions practice and has worked with clients across the banking industry in the UK, the US, and Europe.</t>
  </si>
  <si>
    <t>skinner.sharon@bcg.com</t>
  </si>
  <si>
    <t>455767-03P</t>
  </si>
  <si>
    <t>Sharonee Dutta</t>
  </si>
  <si>
    <t>Sharonee</t>
  </si>
  <si>
    <t>Dutta</t>
  </si>
  <si>
    <t>Ms. Sharonee Dutta serves as Managing Director, BCG Platinion at Boston Consulting Group. She is a core member of BCG Platinion, a division of BCG focused on IT implementation and risk management services. She specializes in enterprise solutions that enable business transformation across finance, procurement, and supply chain. She leads transformations for energy, consumer, industrial goods, and health care clients, and she has industry experience in energy and utilities, consumer goods, industrial goods, travel and transportation, life sciences, and health care. Before joining BCG, she worked at PwC UK, SAP Consulting, IBM, and as an IT architect.</t>
  </si>
  <si>
    <t>dutta.sharonee@bcg.com</t>
  </si>
  <si>
    <t>436197-79P</t>
  </si>
  <si>
    <t>Shashank Modi</t>
  </si>
  <si>
    <t>Shashank</t>
  </si>
  <si>
    <t>Mr. Shashank Modi serves as Managing Director &amp; Partner at Boston Consulting Group. He works mostly with telecom and technology clients on digital, operations, network, and strategy topics. He is the North America topic lead for digital ecosystems.</t>
  </si>
  <si>
    <t>modi.shashank@bcg.com</t>
  </si>
  <si>
    <t>456559-48P</t>
  </si>
  <si>
    <t>Shaun Yow</t>
  </si>
  <si>
    <t>Shaun</t>
  </si>
  <si>
    <t>Yow</t>
  </si>
  <si>
    <t>Mr. Shaun Yow serves as Managing Director &amp; Partner at Boston Consulting Group. He is a core member of the firm's Insurance practice and leads BCG's Life Insurance team for Western Europe, South America, and Africa. During his time with the firm, he works with life insurers, wealth managers, and asset managers on a broad range of topics, including growth strategy, portfolio management, transformation, M&amp;A, and post-merger integration. Prior to joining BCG, he worked in investment management with Macquarie Bank.</t>
  </si>
  <si>
    <t>yow.shaun@bcg.com</t>
  </si>
  <si>
    <t>435862-36P</t>
  </si>
  <si>
    <t>Shaveen Garg</t>
  </si>
  <si>
    <t>Shaveen</t>
  </si>
  <si>
    <t>Mr. Shaveen Garg serves as Managing Director &amp; Partner at Boston Consulting Group. He has deep experience in helping clients with their growth and transformation agenda and helping them leverage the power of data mining and analytics.</t>
  </si>
  <si>
    <t>garg.shaveen@bcg.com</t>
  </si>
  <si>
    <t>147669-85P</t>
  </si>
  <si>
    <t>Shelby Senzer</t>
  </si>
  <si>
    <t>Shelby</t>
  </si>
  <si>
    <t>Senzer</t>
  </si>
  <si>
    <t>Ms. Shelby Senzer serves as Managing Director &amp; Partner at Boston Consulting Group. Ms. Shelby Senzer served as President and Head of Sales at Babiators. Her work focuses on using a data-driven approach to optimize digital media spend, drive e-commerce conversion, and build personalized experiences in consumer verticals.</t>
  </si>
  <si>
    <t>senzer.shelby@bcg.com</t>
  </si>
  <si>
    <t>435312-37P</t>
  </si>
  <si>
    <t>Shelly Trench</t>
  </si>
  <si>
    <t>Shelly</t>
  </si>
  <si>
    <t>Trench</t>
  </si>
  <si>
    <t>Ms. Shelly Trench serves as Managing Director &amp; Senior Partner at Boston Consulting Group. She is a global functional leader for BCG's climate and sustainability business and is also a core member of the firm's Energy practice.</t>
  </si>
  <si>
    <t>trench.shelly@bcg.com</t>
  </si>
  <si>
    <t>436235-32P</t>
  </si>
  <si>
    <t>Shenyu Yan</t>
  </si>
  <si>
    <t>Shenyu</t>
  </si>
  <si>
    <t>Mr. Shenyu Yan serves as Managing Director &amp; Partner at Boston Consulting Group. He has extensive experience in growth strategy, digital marketing, and digital business innovation and incubation.</t>
  </si>
  <si>
    <t>yan.shenyu@bcg.com</t>
  </si>
  <si>
    <t>435390-04P</t>
  </si>
  <si>
    <t>Shervin Khodabandeh Ph.D</t>
  </si>
  <si>
    <t>Shervin</t>
  </si>
  <si>
    <t>Khodabandeh</t>
  </si>
  <si>
    <t>Mr. Shervin Khodabandeh serves as Managing Director &amp; Senior Partner at Boston Consulting Group. He is an expert in organization-wide analytics transformation. He has helped numerous companies devise their analytics strategy, drive growth and margin through analytics solutions, and build strong internal teams and capabilities.</t>
  </si>
  <si>
    <t>khodabandeh.shervin@bcg.com</t>
  </si>
  <si>
    <t>455512-24P</t>
  </si>
  <si>
    <t>Shigeo Kashijuku</t>
  </si>
  <si>
    <t>Shigeo</t>
  </si>
  <si>
    <t>Kashijuku</t>
  </si>
  <si>
    <t>Mr. Shigeo Kashijuku serves as Managing Director &amp; Partner at Boston Consulting Group. He is a core member of the firm's Corporate Finance &amp; Strategy practice. He primarily works with clients across a range of industries, offering comprehensive support from growth strategy to pre-M&amp;A, due diligence, alliance negotiation, and PMI. In recent years, he has been involved in projects on business portfolio strategy, capital allocation, carve-outs, value enhancement, and corporate venturing, as well. He also has seven years of experience stationed in China and ASEAN, supporting Japanese companies in many cross-border M&amp;As for globalization. Prior to joining BCG, he worked at Accenture.</t>
  </si>
  <si>
    <t>kashijuku.shigeo@bcg.com</t>
  </si>
  <si>
    <t>435146-59P</t>
  </si>
  <si>
    <t>Shin Asami</t>
  </si>
  <si>
    <t>Asami</t>
  </si>
  <si>
    <t>Mr. Shin Asami serves as Managing Director &amp; Partner at Boston Consulting Group. He has worked primarily with financial institutions such as insurance companies and banks on mid- to long-term strategies, new business strategies, shareholder value maximization, sustainability strategies, business transformation, digital transformation, and IT cost optimization.</t>
  </si>
  <si>
    <t>asami.shin@bcg.com</t>
  </si>
  <si>
    <t>436355-47P</t>
  </si>
  <si>
    <t>Shinichi Sato</t>
  </si>
  <si>
    <t>Shinichi</t>
  </si>
  <si>
    <t>Mr. Shinichi Sato serves as Partner at Boston Consulting Group. He has extensive experience supporting clients in mid- to long-term strategies, new business building, and go-to-market strategy development.</t>
  </si>
  <si>
    <t>sato.shinichi@bcg.com</t>
  </si>
  <si>
    <t>435833-92P</t>
  </si>
  <si>
    <t>Shinji Taira</t>
  </si>
  <si>
    <t>Taira</t>
  </si>
  <si>
    <t>Mr. Shinji Taira serves as Managing Director &amp; Partner at Boston Consulting Group. He is a core member of BCG's Climate &amp; Sustainability and Energy practices.</t>
  </si>
  <si>
    <t>taira.shinji@bcg.com</t>
  </si>
  <si>
    <t>455953-60P</t>
  </si>
  <si>
    <t>Shinya Yamade</t>
  </si>
  <si>
    <t>Shinya</t>
  </si>
  <si>
    <t>Yamade</t>
  </si>
  <si>
    <t>Mr. Shinya Yamade serves as a Partner at Boston Consulting Group. He is a core member of the firm's Technology &amp; Digital Advantage practice. He has worked on numerous projects focused on conceptualization and project management office (PMO) support for large-scale systems integration projects, new business building, and business reform using digital technology, as well as digital transformations using an agile approach. Prior to joining BCG, he worked at Future Architect, Inc.</t>
  </si>
  <si>
    <t>yamade.shinya@bcg.com</t>
  </si>
  <si>
    <t>436359-16P</t>
  </si>
  <si>
    <t>Shiva Kant</t>
  </si>
  <si>
    <t>Shiva</t>
  </si>
  <si>
    <t>Kant</t>
  </si>
  <si>
    <t>Ms. Shiva Kant serves as Managing Director &amp; Partner at Boston Consulting Group. She focuses on integrated energy transition and has prior industry experience, having previously worked for Schlumberger and Shell in Asia and Europe.</t>
  </si>
  <si>
    <t>kant.shiva@bcg.com</t>
  </si>
  <si>
    <t>456193-36P</t>
  </si>
  <si>
    <t>Shoaib Yousuf</t>
  </si>
  <si>
    <t>Shoaib</t>
  </si>
  <si>
    <t>Yousuf</t>
  </si>
  <si>
    <t>Mr. Shoaib Yousuf serves as Managing Director &amp; Partner at Boston Consulting Group. He is an expert on digital transformation and cybersecurity at the firm, and a core member of the firm's Technology, Media &amp; Telecommunications (TMT) practice and Tech and Digital Advantage. He has worked with leading telecommunications, technology, and oil and gas clients across Europe, Asia, and Australia. His client work focuses on shaping and executing transformative programs, typically enabled by digital processes and advances in technology. He has taken the lead on multiple projects, identifying and building new businesses, and transforming operations and capabilities to drive better customer experience and growth ambition. Prior to joining BCG, he served as a VP for IT Strategy, Enterprise Architecture &amp; Cybersecurity at the leading telco group in Southeast Asia and has led multiple transformation projects across both business and technology in a range of industries, including mining, utilities, financial services, telecommunications, and law enforcement.</t>
  </si>
  <si>
    <t>yousuf.shoaib@bcg.com</t>
  </si>
  <si>
    <t>435632-77P</t>
  </si>
  <si>
    <t>Shruthi Makanju</t>
  </si>
  <si>
    <t>Shruthi</t>
  </si>
  <si>
    <t>Makanju</t>
  </si>
  <si>
    <t>Ms. Shruthi Makanju serves as Partner at Boston Consulting Group. She is focused on bringing systems-based approaches to global agricultural markets, and believes in multi-sectoral approaches grounded in deep partnerships to solve the complex challenges that affect our food systems today.</t>
  </si>
  <si>
    <t>makanju.shruthi@bcg.com</t>
  </si>
  <si>
    <t>434829-52P</t>
  </si>
  <si>
    <t>Shubham Kumar</t>
  </si>
  <si>
    <t>Shubham</t>
  </si>
  <si>
    <t>Mr. Shubham Kumar serves as Managing Director &amp; Partner at Boston Consulting Group. He works with energy clients on topics including grid modernization systems and architecture, decarbonization and portfolio transition, operational excellence (particularly in transmission and distribution operations), capital plan development, next-generation vegetation management, digital transformation, and customer operations.</t>
  </si>
  <si>
    <t>kumar.shubham@bcg.com</t>
  </si>
  <si>
    <t>455259-43P</t>
  </si>
  <si>
    <t>Shunya Hasegawa</t>
  </si>
  <si>
    <t>Shunya</t>
  </si>
  <si>
    <t>Mr. Shunya Hasegawa serves as Managing Director &amp; Partner at Boston Consulting Group. He is a co-leader of BCG's People &amp; Organization practice in Japan, and a core member of the firm's Health Care practice. He works mainly with clients in health care and pharmaceutical industries. He has particularly extensive experience in supporting Japanese companies in building global governance and organization, sales and distribution strategy and structure development, and companywide transformation. Prior to joining BCG, Mr. Hasegawa worked at a general IT consulting firm.</t>
  </si>
  <si>
    <t>hasegawa.shunya@bcg.com</t>
  </si>
  <si>
    <t>43080-31P</t>
  </si>
  <si>
    <t>Sid Thekkepat</t>
  </si>
  <si>
    <t>Sid</t>
  </si>
  <si>
    <t>Thekkepat</t>
  </si>
  <si>
    <t>Mr. Sid Thekkepat serves as Managing Director &amp; Partner, BCG X at Boston Consulting Group. He is a core member of the Health Care and Consumer practices at BCG X, Boston Consulting Group's tech build and design unit. His primary focus is on health tech, and he has extensive experience supporting new business launches and digital ecosystem partnerships for biopharma and medtech clients. Mr. Thekkepat served as Vice President at m8 Capital. Prior to this, he was a management consultant with Oliver Wyman, working with telcos on strategic issues and advising them on their M&amp;A activity. He also worked with Vodafone on a project to identify adjacent market growth for mobile operators' opportunities, including NFC, healthcare, cloud computing, and financial services. He is a graduate of the Georgia Institute of Technology (B.S.) and of London Business School (MBA).</t>
  </si>
  <si>
    <t>sid.thekkepat@bcg.com</t>
  </si>
  <si>
    <t>456102-19P</t>
  </si>
  <si>
    <t>Silvio Belletti</t>
  </si>
  <si>
    <t>Silvio</t>
  </si>
  <si>
    <t>Belletti</t>
  </si>
  <si>
    <t>Mr. Silvio Belletti serves as Managing Director &amp; Partner at Boston Consulting Group. He leads the firm's work in health care strategy, corporate development, and commercial operations for Italy, Greece, Turkey, and Israel. He is a core member of BCG's global Health Care and Principal Investor &amp; Private Equity practices. He supports large and mid-sized pharma clients in their large-scale digital transformations, helping them unlock financial resources to fuel growth. He is an expert in next-generation commercial models, digital, and optimization of customer experience. Before joining BCG, he worked at Kearney and at Arthur D. Little.</t>
  </si>
  <si>
    <t>silvio.belletti@bcg.com</t>
  </si>
  <si>
    <t>435326-77P</t>
  </si>
  <si>
    <t>Silvio Palumbo</t>
  </si>
  <si>
    <t>Palumbo</t>
  </si>
  <si>
    <t>Mr. Silvio Palumbo serves as Managing Director &amp; Senior Partner at Boston Consulting Group. He is analytics lead in North America for the Personalization topic. He focuses on bringing machine learning and an AI-enabled approach to multi-channel marketing platforms and solutions.</t>
  </si>
  <si>
    <t>palumbo.silvio@bcg.com</t>
  </si>
  <si>
    <t>435588-04P</t>
  </si>
  <si>
    <t>Simon Monette</t>
  </si>
  <si>
    <t>Monette</t>
  </si>
  <si>
    <t>Mr. Simon Monette serves as Managing Director &amp; Partner at Boston Consulting Group. He works with industrial goods clients and energy clients on strategic and operational challenges.</t>
  </si>
  <si>
    <t>monette.simon@bcg.com</t>
  </si>
  <si>
    <t>455874-58P</t>
  </si>
  <si>
    <t>Simon Moore</t>
  </si>
  <si>
    <t>Mr. Simon Moore serves as Partner &amp; Associate Director at Boston Consulting Group. He is an expert in organizational design and operating models with a cross-industry focus on creating systems to identify and deliver value effectively and efficiently. He is a leader in BCG's Technology &amp; Digital Advantage and People &amp; Organization practices and leads BCG's Platform Operating Model and Enterprise Agility work in Asia Pacific. He helps organizations design and embed systems to identify value, and then deliver that value in an effective and efficient way through utilizing levers including structure and platforms; governance, prioritization, and funding; leadership behaviors; culture; processes; people practices; measurement and metrics; and transformation support.</t>
  </si>
  <si>
    <t>moore.simon@bcg.com</t>
  </si>
  <si>
    <t>436234-87P</t>
  </si>
  <si>
    <t>Simon Murphy</t>
  </si>
  <si>
    <t>Mr. Simon Murphy serves as Managing Director &amp; Senior Partner at Boston Consulting Group. He has extensive experience in supporting business transformation programs in retail in both Australia and Europe.</t>
  </si>
  <si>
    <t>murphy.simon@bcg.com</t>
  </si>
  <si>
    <t>456684-67P</t>
  </si>
  <si>
    <t>Simon Rees</t>
  </si>
  <si>
    <t>Rees</t>
  </si>
  <si>
    <t>Mr. Simon Rees serves as Managing Director &amp; Partner at Boston Consulting Group. He leads the firm's Corporate Finance &amp; Strategy practice in the Great Lakes region of North America. He works with both public and private sector clients on a wide range of business and enterprise-level strategic issues. He is a member of the Industrial Goods practice leadership team, where he is the lead for greentech, machinery, and automation in North America. In addition, he helps drive the firm's work in industrial services and has a leadership role within the BCG Center for Climate &amp; Sustainability.</t>
  </si>
  <si>
    <t>rees.simon@bcg.com</t>
  </si>
  <si>
    <t>435709-00P</t>
  </si>
  <si>
    <t>Simon Shenton</t>
  </si>
  <si>
    <t>Shenton</t>
  </si>
  <si>
    <t>Mr. Simon Shenton serves as Managing Director &amp; Partner at Boston Consulting Group. He is a core member of the UK's Public Sector and Technology Advantage practices, and the Technology Recruitment Director for the London office.</t>
  </si>
  <si>
    <t>shenton.simon@bcg.com</t>
  </si>
  <si>
    <t>455469-04P</t>
  </si>
  <si>
    <t>Simon Sonntag</t>
  </si>
  <si>
    <t>Sonntag</t>
  </si>
  <si>
    <t>Mr. Simon Sonntag serves as Managing Director &amp; Partner at Boston Consulting Group. He is a founding member of the firm's Principal Investors &amp; Private Equity (PIPE) practice in Central Europe. In addition, he is a core member of the Health Care practice and co-leads the firm's work with inpatient and outpatient health care providers in Central Europe. He specializes in advising financial investors along the entire investment lifecycle, from due diligences and full potential/value creation plans to vendor due diligences.</t>
  </si>
  <si>
    <t>sonntag.simon@bcg.com</t>
  </si>
  <si>
    <t>435014-11P</t>
  </si>
  <si>
    <t>Simon Sprague Ph.D</t>
  </si>
  <si>
    <t>Sprague</t>
  </si>
  <si>
    <t>Mr. Simon Sprague serves as Partner at Boston Consulting Group. He works primarily with clients in the pharmaceutical industry, where he has a strong focus on biopharma operations and has experience in diagnostic projects, solution design and implementation, and change management across a range of departments.</t>
  </si>
  <si>
    <t>sprague.simon@bcg.com</t>
  </si>
  <si>
    <t>435317-14P</t>
  </si>
  <si>
    <t>Simon Voller</t>
  </si>
  <si>
    <t>Voller</t>
  </si>
  <si>
    <t>Mr. Simon Voller serves as Managing Director &amp; Senior Partner at Boston Consulting Group. He works with biopharma and medtech companies, focusing on corporate development, strategy, pricing, and digitization/innovation. He is BCG's lead for pricing in medtech.</t>
  </si>
  <si>
    <t>voeller.simon@bcg.com</t>
  </si>
  <si>
    <t>455879-08P</t>
  </si>
  <si>
    <t>Simon Weinstein</t>
  </si>
  <si>
    <t>Weinstein</t>
  </si>
  <si>
    <t>Mr. Simon Weinstein serves as Managing Director &amp; Partner at Boston Consulting Group. He is the Global and North America Product leader in the firm's Transform practice. He also leads the strategic TRF x CFS initiative at the intersection of Transform and Corporate Finance &amp; Strategy. He helps his clients through the setup of best-in-class transformation offices and drives targeted change management and organizational upskilling through leader enablement, people engagement, and desired culture shift efforts. Prior to joining BCG, he was a research engineer in the automotive space focused on turbocharger and fuel cell applications.</t>
  </si>
  <si>
    <t>weinstein.simon@bcg.com</t>
  </si>
  <si>
    <t>436177-99P</t>
  </si>
  <si>
    <t>Simone Schondorfer</t>
  </si>
  <si>
    <t>Schondorfer</t>
  </si>
  <si>
    <t>Ms. Simone Schondorfer serves as Partner at Boston Consulting Group. She works with key topics in climate and sustainability across industries, covering decarbonization, low-carbon technologies, and renewable energy topics.</t>
  </si>
  <si>
    <t>schondorfer.simone@bcg.com</t>
  </si>
  <si>
    <t>436699-45P</t>
  </si>
  <si>
    <t>Simone Schwemer</t>
  </si>
  <si>
    <t>Schwemer</t>
  </si>
  <si>
    <t>Ms. Simone Schwemer serves as Managing Director &amp; Partner at Boston Consulting Group. She works with insurance companies on key trends affecting the industry, with a focus on digitization, organization model transformations, and people-related topics, putting special emphasis on the impact of digitization on skill requirements and ways of working.</t>
  </si>
  <si>
    <t>schwemer.simone@bcg.com</t>
  </si>
  <si>
    <t>435024-91P</t>
  </si>
  <si>
    <t>Sjoerd Houdt</t>
  </si>
  <si>
    <t>Sjoerd</t>
  </si>
  <si>
    <t>Houdt</t>
  </si>
  <si>
    <t>Mr. Sjoerd Houdt serves as Partner at Boston Consulting Group. His focus is on supporting grocery retailers; and he has extensive experience in category performance improvement (CPI). More recently, he has been involved in digital transformation programs and the setting up of new digital ecosystems.</t>
  </si>
  <si>
    <t>sjoerd.vandenhoudt@bcg.com</t>
  </si>
  <si>
    <t>435167-83P</t>
  </si>
  <si>
    <t>Smruthi Suryaprakash Ph.D</t>
  </si>
  <si>
    <t>Smruthi</t>
  </si>
  <si>
    <t>Suryaprakash</t>
  </si>
  <si>
    <t>Dr. Smruthi Suryaprakash serves as Partner at Boston Consulting Group. She has driven numerous efforts to build an integrated oncology knowledge base and also been integral to driving the firm's internal knowledge efforts on the topics of clinical development and cell and gene therapy.</t>
  </si>
  <si>
    <t>suryaprakash.smruthi@bcg.com</t>
  </si>
  <si>
    <t>109525-60P</t>
  </si>
  <si>
    <t>Snehil Gambhir</t>
  </si>
  <si>
    <t>Snehil</t>
  </si>
  <si>
    <t>Gambhir</t>
  </si>
  <si>
    <t>Mr. Snehil Gambhir serves as Partner &amp; Director, Transformation at Boston Consulting Group. Mr. Snehil Gambhir served as Chief Operating Officer at Aviva Life Insurance Company India. He works with global clients in industries including technology services and business process services on topics such as digital transformation, operating model redesign, market entry strategy, sales acceleration, and M&amp;A.</t>
  </si>
  <si>
    <t>gambhir.snehil@bcg.com</t>
  </si>
  <si>
    <t>Partner &amp; Director, Transformation</t>
  </si>
  <si>
    <t>434947-69P</t>
  </si>
  <si>
    <t>Somesh Chaturvedi</t>
  </si>
  <si>
    <t>Somesh</t>
  </si>
  <si>
    <t>Chaturvedi</t>
  </si>
  <si>
    <t>Mr. Somesh Chaturvedi serves as Principal IT Architect at Boston Consulting Group. His client experience includes engagements in technology due diligence, architecture audit and future roadmap, high-value use case delivery, marketing technology architecture redesign, complex IT transformation for a large bank, and IT sourcing for a global energy firm.</t>
  </si>
  <si>
    <t>chaturvedi.somesh@bcg.com</t>
  </si>
  <si>
    <t>435361-96P</t>
  </si>
  <si>
    <t>Sonke Lorenz Ph.D</t>
  </si>
  <si>
    <t>Sonke</t>
  </si>
  <si>
    <t>Mr. Sonke Lorenz serves as Partner &amp; Director, Commodity Management at Boston Consulting Group. He has focused on projects with a commodities exchange, in mining, and with a sugar refinery and other clients from the agriculture industry. Before joining BCG, he was a project coordinator at the Maltheon research center in Berlin.</t>
  </si>
  <si>
    <t>lorenz.soenke@bcg.com</t>
  </si>
  <si>
    <t>Partner &amp; Director, Commodity Management</t>
  </si>
  <si>
    <t>456523-48P</t>
  </si>
  <si>
    <t>Sonya Hoo</t>
  </si>
  <si>
    <t>Sonya</t>
  </si>
  <si>
    <t>Hoo</t>
  </si>
  <si>
    <t>Ms. Sonya Hoo serves as Managing Director &amp; Partner at Boston Consulting Group. She is a sustainable food systems and agricultural development expert at the firm. She is a core member of the firm's Social Impact, Climate &amp; Sustainability, and Public Sector practices. She works with companies, governments, and foundations/NGOs on strategy development, people and organization, supply chain and operations, and digital and data &amp; analytics, with a strong focus on sustainable food systems and agricultural development. Prior to joining the firm, she was a consultant for The Lucas Group (a boutique consulting firm) and a research analyst at the Urban-Brookings Tax Policy Center.</t>
  </si>
  <si>
    <t>hoo.sonya@bcg.com</t>
  </si>
  <si>
    <t>434840-32P</t>
  </si>
  <si>
    <t>Sophie Dejonckheere</t>
  </si>
  <si>
    <t>Dejonckheere</t>
  </si>
  <si>
    <t>Ms. Sophie Dejonckheere serves as Partner &amp; Associate Director at Boston Consulting Group. She helps her clients (corporates, financial institutions, and governments) align their financing strategies with sustainability objectives using impact investments and the debt capital markets with a focus on climate mitigation and adaptation-in particular, with infrastructure and cities.</t>
  </si>
  <si>
    <t>dejonckheere.sophie@bcg.com</t>
  </si>
  <si>
    <t>435157-66P</t>
  </si>
  <si>
    <t>Sophie Ding</t>
  </si>
  <si>
    <t>Ms. Sophie Ding serves as Principal at Boston Consulting Group. She is a cybersecurity and data privacy expert for BCG Platinion. She has experience with financial institutions, retail, manufacturing, consumer goods, and private equity. Before joining BCG, shewas a Cybersecurity Manager at E&amp;Y and a Cybersecurity Senior Consultant at Deloitte.</t>
  </si>
  <si>
    <t>ding.sophie@bcg.com</t>
  </si>
  <si>
    <t>456027-40P</t>
  </si>
  <si>
    <t>Sophie Gebel</t>
  </si>
  <si>
    <t>Gebel</t>
  </si>
  <si>
    <t>Ms. Sophie Gebel serves as Managing Director &amp; Partner at Boston Consulting Group. She is a core member of the firm's Consumer Products (CP) and Marketing, Sales &amp; Pricing (MSP) practices, with a focus on consumer demand and innovation. Since joining BCG in 2014, she has been helping fast-moving consumer goods (FMCG) clients build their growth strategies, drive consumer-centric and deep tech innovations, define go-to-market strategies, optimize portfolios, and run overall business transformations. Prior to joining BCG, she worked in the Sales &amp; Marketing Graduate Programme of Reckitt Benckiser: as a sales rep and in trade marketing (France), and as a brand manager (UK).</t>
  </si>
  <si>
    <t>sophie.gebel@bcg.com</t>
  </si>
  <si>
    <t>434932-57P</t>
  </si>
  <si>
    <t>Souhail Fassi</t>
  </si>
  <si>
    <t>Souhail</t>
  </si>
  <si>
    <t>Fassi</t>
  </si>
  <si>
    <t>Mr. Souhail Fassi serves as Managing Director &amp; Partner at Boston Consulting Group. He is a core member of the Technology, Media &amp; Telecommunications and Principal Investors &amp; Private Equity practices at the firm.</t>
  </si>
  <si>
    <t>fassi.souhail@bcg.com</t>
  </si>
  <si>
    <t>455497-66P</t>
  </si>
  <si>
    <t>Souta Kiyoshi</t>
  </si>
  <si>
    <t>Souta</t>
  </si>
  <si>
    <t>Kiyoshi</t>
  </si>
  <si>
    <t>Mr. Souta Kiyoshi serves as a Partner at Boston Consulting Group. He is a core member of the firm's Health Care, People &amp; Organization, Global Advantage, Principal Investors &amp; Private Equity, and Marketing, Sales &amp; Pricing practices. He has worked with companies in the health care industry and companies considering entering the health care industry. He has experience supporting globalization strategy development, global governance, acquisitions, PMI, commercial strategies, and new business development. Prior to joining BCG, Mr. Kiyoshi worked at Takeda Pharmaceutical Company Limited.</t>
  </si>
  <si>
    <t>kiyoshi.souta@bcg.com</t>
  </si>
  <si>
    <t>436702-60P</t>
  </si>
  <si>
    <t>Sreyssha George</t>
  </si>
  <si>
    <t>Sreyssha</t>
  </si>
  <si>
    <t>Ms. Sreyssha George serves as Managing Director &amp; Partner at Boston Consulting Group. She is a core member of the Technology, Media &amp; Telecommunications and Financial Services practices, and works with clients located around the globe, leading engagements that cover large-scale change, talent and performance, sustainability, digital transformation, and sales force effectiveness.</t>
  </si>
  <si>
    <t>george.sreyssha@bcg.com</t>
  </si>
  <si>
    <t>435645-37P</t>
  </si>
  <si>
    <t>Srikant Vaidyanathan Ph.D</t>
  </si>
  <si>
    <t>Vaidyanathan</t>
  </si>
  <si>
    <t>Mr. Srikant Vaidyanathan serves as Managing Director &amp; Senior Partner at Boston Consulting Group. He is a core member of the firm's Health Care; Marketing, Sales &amp; Pricing; and Operations practices. He leads BCG's market access and pricing sector worldwide and is an expert in technial operations across the value chain in both small molecules and biologics.</t>
  </si>
  <si>
    <t>srikant.vaidyanathan@bcg.com</t>
  </si>
  <si>
    <t>456836-86P</t>
  </si>
  <si>
    <t>Stefan Bleyhl</t>
  </si>
  <si>
    <t>Bleyhl</t>
  </si>
  <si>
    <t>Mr. Stefan Bleyhl serves as Managing Director &amp; Senior Partner at Boston Consulting Group. He is a core member of the Financial Institutions and Insurance practices at the firm. He initially joined BCG in 1999. He left the firm as a principal in 2007 and, after working as an executive director at Bulow &amp; Consorten, returned in 2015, bringing deep business expertise in operations and distribution.</t>
  </si>
  <si>
    <t>bleyhl.stefan@bcg.com</t>
  </si>
  <si>
    <t>435425-05P</t>
  </si>
  <si>
    <t>Stefan Bochtler</t>
  </si>
  <si>
    <t>Bochtler</t>
  </si>
  <si>
    <t>Mr. Stefan Bochtler serves as Managing Director &amp; Partner at Boston Consulting Group. He has over ten years of international experience in banking and corporate finance, specializing in topics including strategy, post-merger integration, transformations, risk and regulation, operational resilience, agile in risk and digitization.</t>
  </si>
  <si>
    <t>bochtler.stefan@bcg.com</t>
  </si>
  <si>
    <t>435767-32P</t>
  </si>
  <si>
    <t>Stefan Dab</t>
  </si>
  <si>
    <t>Dab</t>
  </si>
  <si>
    <t>Mr. Stefan Dab serves as Managing Director &amp; Senior Partner at Boston Consulting Group. He has advised clients on strategy definition and large-scale transformation.</t>
  </si>
  <si>
    <t>dab.stefan@bcg.com</t>
  </si>
  <si>
    <t>435736-27P</t>
  </si>
  <si>
    <t>Stefan Deutscher Ph.D</t>
  </si>
  <si>
    <t>Deutscher</t>
  </si>
  <si>
    <t>Mr. Stefan Deutscher serves as Partner &amp; Director at Boston Consulting Group. He is BCG's global topic leader for cybersecurity and IT risk management, as well as BCG's global topic leader for IT infrastructure and data center operations, and he often supports his clients at the crossroads of these two topics.</t>
  </si>
  <si>
    <t>deutscher.stefan@bcg.com</t>
  </si>
  <si>
    <t>435429-82P</t>
  </si>
  <si>
    <t>Stefan Gstettner Ph.D</t>
  </si>
  <si>
    <t>Gstettner</t>
  </si>
  <si>
    <t>Mr. Stefan Gstettner serves as Partner &amp; Director at Boston Consulting Group. He has in-depth experience in supply chain transformations across core industries.</t>
  </si>
  <si>
    <t>stefan.gstettner@bcg.com</t>
  </si>
  <si>
    <t>434835-46P</t>
  </si>
  <si>
    <t>Stefan Leve</t>
  </si>
  <si>
    <t>Leve</t>
  </si>
  <si>
    <t>Mr. Stefan Leve serves as Managing Director &amp; Partner at Boston Consulting Group. His main area of expertise is the intersection of health care (pharma, pharm services/clinical research organizations, medtech, providers) and digital (including digital product build, analytics, AI/GenAI at scale, new digital business models).</t>
  </si>
  <si>
    <t>leve.stefan@bcg.com</t>
  </si>
  <si>
    <t>435970-27P</t>
  </si>
  <si>
    <t>Stefan Mohr</t>
  </si>
  <si>
    <t>Mr. Stefan Mohr serves as Managing Director &amp; Senior Partner at Boston Consulting Group. He helps business and technology leaders use existing and emerging technologies to innovate customer propositions and transform business operations.</t>
  </si>
  <si>
    <t>mohr.stefan@bcg.com</t>
  </si>
  <si>
    <t>456141-88P</t>
  </si>
  <si>
    <t>Stefania Costa</t>
  </si>
  <si>
    <t>Stefania</t>
  </si>
  <si>
    <t>Ms. Stefania Costa serves as Managing Director &amp; Partner at Boston Consulting Group. She is a core member of the firm's Consumer practice with a focus on fast-moving consumer goods (FMCG). She has worked with Italian and international clients on mergers and acquisitions, post-merger integration, corporate strategy, strategic planning, commercial strategy, and marketing and route-to-market design. She has experience in multiple industries in FMCG, including food and beverage, beauty and consumer care, and retail, and in countries in Europe, Asia Pacific (India, China), and Latin America (Mexico, Brazil). Before joining BCG, she worked at Accenture Strategy.</t>
  </si>
  <si>
    <t>costa.stefania@bcg.com</t>
  </si>
  <si>
    <t>455412-61P</t>
  </si>
  <si>
    <t>Stefano Cazzaniga</t>
  </si>
  <si>
    <t>Cazzaniga</t>
  </si>
  <si>
    <t>Mr. Stefano Cazzaniga serves as Managing Director &amp; Partner at Boston Consulting Group. He is a member of the Health Care and Insurance practices at the firm. He leads that practice's work in payers and providers for Italy, Greece, Turkey, and Israel. He has worked with clients on commercial excellence and operating model redesign in the diagnostics space, digital transformation of patient journeys, transparency of outcomes and quality performance management, value-based health care, hospital strategy and operations, lean hospital transformation, elderly care, and health insurance strategy and reforms.</t>
  </si>
  <si>
    <t>cazzaniga.stefano@bcg.com</t>
  </si>
  <si>
    <t>456039-82P</t>
  </si>
  <si>
    <t>Stefano Masino</t>
  </si>
  <si>
    <t>Masino</t>
  </si>
  <si>
    <t>Mr. Stefano Masino serves as Partner &amp; Associate Director at Boston Consulting Group. He is a core member of the firm's Public Sector and Tech &amp; Digital Advantage practices. He works primarily on economic development projects in the public sector and on digital transformations across public and private sectors, with a focus on B.O.T. (build, operate, transfer). His clients have included companies in the public and private sectors (including ministries, public sector entities, private equity, tech, industrial goods, and automotive). He has practical experience in economic development, organization, and target operating model design and implementation, digital transformation and enablement, carve-outs, and post-merger integrations. Before joining the firm, he worked at Mercer, Pirelli, and Deloitte Consulting.</t>
  </si>
  <si>
    <t>masino.stefano@bcg.com</t>
  </si>
  <si>
    <t>435640-15P</t>
  </si>
  <si>
    <t>Stefano Niavas</t>
  </si>
  <si>
    <t>Niavas</t>
  </si>
  <si>
    <t>Mr. Stefano Niavas serves as Managing Director &amp; Senior Partner at Boston Consulting Group. He leads BCG's Africa Center for Customer Insight, which develops proprietary insights, data, and methodologies for understanding consumers in the "many Africas."</t>
  </si>
  <si>
    <t>niavas.stefano@bcg.com</t>
  </si>
  <si>
    <t>435165-58P</t>
  </si>
  <si>
    <t>Stefano Pini</t>
  </si>
  <si>
    <t>Pini</t>
  </si>
  <si>
    <t>Mr. Stefano Pini serves as Managing Director &amp; Partner at Boston Consulting Group. He focuses on helping power and utilities clients with strategic and industrial footprint reviews to steer energy transition, innovation and new energy solutions, business lines creation, digitization, and data ecosystems.</t>
  </si>
  <si>
    <t>pini.stefano@bcg.com</t>
  </si>
  <si>
    <t>455810-32P</t>
  </si>
  <si>
    <t>Stefano Rocchi</t>
  </si>
  <si>
    <t>Rocchi</t>
  </si>
  <si>
    <t>Mr. Stefano Rocchi serves as Partner &amp; Associate Director at Boston Consulting Group. He is a core member of the Travel, Cities &amp; Infrastructure (TCI) practice at the firm and a leading member of the Center for Revenue Management in Travel. He has worked on or led 54 travel and tourism engagements around the world, including for airline, rail, tour operator, hotel, cruise, and cargo clients. He has expertise in design tools for demand forecasting (including machine learning models) and pricing optimization algorithms, and has led sales initiatives to reach the annual revenue target for the TCI practice in terms of revenue management, pricing, and distribution. Before joining BCG, he worked as an Account Director at Sabre Holding, a Revenue Management Systems Manager at Alitalia, and a Network Planning Manager at Alitalia-KLM.</t>
  </si>
  <si>
    <t>rocchi.stefano@bcg.com</t>
  </si>
  <si>
    <t>435613-24P</t>
  </si>
  <si>
    <t>Stefano Todescan</t>
  </si>
  <si>
    <t>Todescan</t>
  </si>
  <si>
    <t>Mr. Stefano Todescan serves as Managing Director &amp; Partner at Boston Consulting Group. He has led several strategic and operational cases focusing on fashion, durables and appliances, packaged goods, and retail.</t>
  </si>
  <si>
    <t>todescan.stefano@bcg.com</t>
  </si>
  <si>
    <t>435717-01P</t>
  </si>
  <si>
    <t>Stephane Cairole</t>
  </si>
  <si>
    <t>Cairole</t>
  </si>
  <si>
    <t>Mr. Stephane Cairole serves as Managing Director &amp; Senior Partner at Boston Consulting Group. He has focused his client experience on issues related to marketing and sales, strategy, branding, organization, and operations. He has worked in a wide range of industries, including cosmetics, food and beverage, retail, medtech, and pharmaceuticals.</t>
  </si>
  <si>
    <t>cairole.stephane@bcg.com</t>
  </si>
  <si>
    <t>229623-67P</t>
  </si>
  <si>
    <t>Stephane Israel</t>
  </si>
  <si>
    <t>Mr. Stephane Israel serves as Managing Director &amp; Partner at Boston Consulting Group. Following two years of preparatory literature courses at the prestigious Henri IV secondary school in Paris, Mr Israel began his tertiary studies in 1991 at École Normale Supérieure, where he obtained postgraduate and teaching degrees in history (1993-1995) before going on to attend École Nationale d'Administration (ENA) in 1999. He taught at Harvard University (1994-1995) and Université de Valenciennes in northern France (1997-1998) and worked for the Chairman of the French National Assembly from 1997 to 1998. In 2001, he joined the Cour des Comptes (second chamber), France's Court of Accounts, as an auditor and was appointed as a senior auditor. In 2004, he contributed to the report on corporate tax competition published by France's Taxation Board. From 2005 to 2007, he also worked as an associate professor at École Normale Supérieure (ENS) in Paris and founded and directed a joint programme with the school to prepare students for the ENA entrance exam. In 2007, He joined the Airbus group, where he served as advisor to Louis Gallois, Executive Chairman of EADS (as the group was known at the time), before holding various operational management positions in the group's space division, including in budget and programme control for the ballistic missile project management unit and in the services segment of the European Global Monitoring for Environment and Safety (Copernicus) programme. From 2012 to 2013, he was Chief of Staff to the French Minister for Productive Recovery (the Ministry in charge of industry). In April 2013, he joined Arianespace SA as Chairman and Chief Executive Officer. In 2017, he became Executive Chairman of Arianespace SAS and joined the Executive Committee of ArianeGroup, a subsidiary of Airbus and Safran. He is also the Chairman of MEDEF International's France-South Korea Business Club and was named a Chevalier de l'Ordre National de la Légion d'Honneur. H brings to the Board of Directors the skills and expertise he has acquired through his extensive experience in the management of a multinational company, in business strategy and innovation, and in the areas of accounting and finance. His skills and experience make him a valuable member of the Board of Directors and its Audit Committee. Mr. Israel was also appointed Lead Director of the Carrefour group on April 20, 2020</t>
  </si>
  <si>
    <t>+33 (0)1 64 50 50 00</t>
  </si>
  <si>
    <t>israel.stephane@bcg.com</t>
  </si>
  <si>
    <t>Massy</t>
  </si>
  <si>
    <t>Massy, France</t>
  </si>
  <si>
    <t>Carrefour Service du DPO</t>
  </si>
  <si>
    <t>93 Avenue de Paris</t>
  </si>
  <si>
    <t>15105</t>
  </si>
  <si>
    <t>Carrefour (Massy)</t>
  </si>
  <si>
    <t>436702-06P</t>
  </si>
  <si>
    <t>Stephanie Carpio</t>
  </si>
  <si>
    <t>Carpio</t>
  </si>
  <si>
    <t>Ms. Stephanie Carpio serves as Partner &amp; Associate Director, POP in Energy at Boston Consulting Group. She has experience across the energy industry, specializing in energy transition, digital and innovation, transformation and change management, cost reduction, refinery supply, and people and organization.</t>
  </si>
  <si>
    <t>sc@bcg.com</t>
  </si>
  <si>
    <t>Partner &amp; Associate Director, POP in Energy</t>
  </si>
  <si>
    <t>435643-66P</t>
  </si>
  <si>
    <t>Stephanie Mingardon</t>
  </si>
  <si>
    <t>Mingardon</t>
  </si>
  <si>
    <t>Ms. Stephanie Mingardon serves as Managing Director &amp; Senior Partner, Global Leader, Financial Institutions Practice at Boston Consulting Group. Her extensive experience working with major financial institutions' clients, combined with a specialist's understanding of change management in a digital context, has equipped her to lead the practice into a future of innovation and ambitious client impact.</t>
  </si>
  <si>
    <t>stephanie.mingardon@bcg.com</t>
  </si>
  <si>
    <t>Managing Director &amp; Senior Partner, Global Leader, Financial Institutions Practice</t>
  </si>
  <si>
    <t>436421-53P</t>
  </si>
  <si>
    <t>Stephen Edison</t>
  </si>
  <si>
    <t>Edison</t>
  </si>
  <si>
    <t>Mr. Stephen Edison serves as Managing Director &amp; Senior Partner at Boston Consulting Group. He supports clients as they define their digital agenda based on customer journey insights, design their future-state tech stack, implement digital solutions in cross-functional agile teams, and optimize results in-market. He is the global leader of Boston Consulting Group's Technology &amp; Digital Advantage practice as it relates to technology, media, and telecommunications clients. He is also the North American leader for customer experience across industries.</t>
  </si>
  <si>
    <t>edison.stephen@bcg.com</t>
  </si>
  <si>
    <t>435644-83P</t>
  </si>
  <si>
    <t>Stephen Remedios</t>
  </si>
  <si>
    <t>Remedios</t>
  </si>
  <si>
    <t>Mr. Stephen Remedios serves as Partner &amp; Associate Director, People Strategy at Boston Consulting Group. He works with clients on leadership and talent, digital delivery, neuroscience-based learning design, top team effectiveness, and impact analytics.</t>
  </si>
  <si>
    <t>remedios.stephen@bcg.com</t>
  </si>
  <si>
    <t>Partner &amp; Associate Director, People Strategy</t>
  </si>
  <si>
    <t>455491-45P</t>
  </si>
  <si>
    <t>Stephen Robnett</t>
  </si>
  <si>
    <t>Robnett</t>
  </si>
  <si>
    <t>Mr. Stephen Robnett serves as Managing Director &amp; Partner at Boston Consulting Group. He leads the firm's global e-commerce efforts and the firm's customer experience work in North America. He focuses on the intersection of marketing and sales with technology and has led some of BCG's largest digital projects. He helps companies across industries think through their end-to-end e-commerce/digital sales strategy and develop the capabilities needed to drive greater digital channel share. He has also spent significant time focused on strategy, corporate development, and private equity topics. Prior to joining BCG, he held roles in research and development, field sales and marketing, and startup operations.</t>
  </si>
  <si>
    <t>robnett.stephen@bcg.com</t>
  </si>
  <si>
    <t>435734-20P</t>
  </si>
  <si>
    <t>Stephen Waddell</t>
  </si>
  <si>
    <t>Waddell</t>
  </si>
  <si>
    <t>Mr. Stephen Waddell serves as Managing Director &amp; Senior Partner at Boston Consulting Group. He is BCG's global topic lead for biopharma sales, and he also leads the North America health care sector for BCG's People &amp; Organization practice.</t>
  </si>
  <si>
    <t>waddell.stephen@bcg.com</t>
  </si>
  <si>
    <t>435662-83P</t>
  </si>
  <si>
    <t>Steve Mitchelmore</t>
  </si>
  <si>
    <t>Mitchelmore</t>
  </si>
  <si>
    <t>Mr. Steve Mitchelmore serves as Managing Director &amp; Senior Partner at Boston Consulting Group. He has worked with many clients across sectors with an emphasis on growth and customer-driven transformation.</t>
  </si>
  <si>
    <t>mitchelmore.steve@bcg.com</t>
  </si>
  <si>
    <t>436219-39P</t>
  </si>
  <si>
    <t>Steve Spencer</t>
  </si>
  <si>
    <t>Spencer</t>
  </si>
  <si>
    <t>Mr. Steve Spencer serves as Managing Director &amp; Partner at Boston Consulting Group. He is a core member of the Energy and Climate &amp; Sustainability practices. He works with both oil and gas and power and utility clients on a variety of topics, such as strategy, operations, organization design, due diligence, and post-merger integration. Prior to joining BCG, he worked in corporate strategy at Comcast and as a financial analyst for Wells Fargo in the Utilities and Power Division.</t>
  </si>
  <si>
    <t>spencer.steve@bcg.com</t>
  </si>
  <si>
    <t>435829-51P</t>
  </si>
  <si>
    <t>Steve Thogmartin</t>
  </si>
  <si>
    <t>Thogmartin</t>
  </si>
  <si>
    <t>Mr. Steve Thogmartin serves as Managing Director &amp; Senior Partner at Boston Consulting Group. He has particularly deep experience in strategy development, target-operating-model development, organization transformation, digital multichannel strategies, cost transformation, and sales force effectiveness.</t>
  </si>
  <si>
    <t>thogmartin.steve@bcg.com</t>
  </si>
  <si>
    <t>435940-75P</t>
  </si>
  <si>
    <t>Steven Kok</t>
  </si>
  <si>
    <t>Kok</t>
  </si>
  <si>
    <t>Mr. Steven Kok serves as Partner &amp; Associate Director at Boston Consulting Group. He has over ten years of experience in technology and operations strategy in the financial services, energy, and semiconductors businesses.</t>
  </si>
  <si>
    <t>steven.kok@bcg.com</t>
  </si>
  <si>
    <t>435446-20P</t>
  </si>
  <si>
    <t>Steven Mills</t>
  </si>
  <si>
    <t>Mr. Steven Mills serves as Managing Director, Partner &amp; Chief AI Ethics Officer at Boston Consulting Group. His technical leadership includes AI product development, implementing complex machine learning use cases, and providing decision support through large-scale modeling and simulation.</t>
  </si>
  <si>
    <t>mills.steven@bcg.com</t>
  </si>
  <si>
    <t>Managing Director, Partner &amp; Chief AI Ethics Officer</t>
  </si>
  <si>
    <t>455392-09P</t>
  </si>
  <si>
    <t>Stuart Groves</t>
  </si>
  <si>
    <t>Mr. Stuart Groves serves as Managing Director &amp; Partner at Boston Consulting Group. He is a core member of the firm's Energy practice. He has 25 years of experience working in the energy sector both as a consultant and an engineer. His work focuses on performance improvement, operating model transformation, digital, and business model innovation. He has experience across the industry, focusing specifically on retail, aviation, and lubricants.</t>
  </si>
  <si>
    <t>groves.stuart@bcg.com</t>
  </si>
  <si>
    <t>436724-47P</t>
  </si>
  <si>
    <t>Stuart Westgate</t>
  </si>
  <si>
    <t>Westgate</t>
  </si>
  <si>
    <t>Mr. Stuart Westgate serves as Partner &amp; Director at Boston Consulting Group. He leads capital investment services engagements for the Travel, Cities &amp; Infrastructure practice at the firm, and is a core member of the Public Sector practice.</t>
  </si>
  <si>
    <t>westgate.stuart@bcg.com</t>
  </si>
  <si>
    <t>456279-49P</t>
  </si>
  <si>
    <t>Suchita Shah</t>
  </si>
  <si>
    <t>Suchita</t>
  </si>
  <si>
    <t>Ms. Suchita Shah serves as Managing Director &amp; Partner at Boston Consulting Group. She is a core member of BCG's Health Care practice and has significant experience in biopharma-specifically focused on market access, pricing, commercial strategy, and innovative growth. She is the lead for global value, access, and pricing in biopharmaceuticals. She helps clients with new product planning by supporting investment decisions and ensuring careful consideration of the relevant market and development drivers. Before joining the firm, she worked at Genentech, Abbott Vascular, and Eli Lilly in commercial and manufacturing roles.</t>
  </si>
  <si>
    <t>shah.suchita@bcg.com</t>
  </si>
  <si>
    <t>434837-08P</t>
  </si>
  <si>
    <t>Sudeep Maitra</t>
  </si>
  <si>
    <t>Sudeep</t>
  </si>
  <si>
    <t>Maitra</t>
  </si>
  <si>
    <t>Mr. Sudeep Maitra serves as Managing Director &amp; Partner at Boston Consulting Group. He works extensively with infrastructure investors and private equity firms on portfolio strategy and transactions in the energy and environment spaces.</t>
  </si>
  <si>
    <t>maitra.sudeep@bcg.com</t>
  </si>
  <si>
    <t>455951-35P</t>
  </si>
  <si>
    <t>Sudhanshu Chawla</t>
  </si>
  <si>
    <t>Sudhanshu</t>
  </si>
  <si>
    <t>Chawla</t>
  </si>
  <si>
    <t>Mr. Sudhanshu Chawla serves as Managing Director &amp; Partner at Boston Consulting Group. He is a core member of the Technology, Media &amp; Telecommunications practice at the firm. He is focused on growing BCG's technology services practice in India. He has worked with a diverse set of clients in India, the US, Canada, and Europe on topics including strategy, growth, margin improvement, ESG, and end-to-end transformation. He is also a core member of BCG's People &amp; Organization practice, where he works on operating model, organization redesign, and performance management engagements. His expertise includes go-to-market, large-scale transformation, market entry strategy, margin improvement, operating model, and large-scale transformation. Before joining BCG, he worked at D.E. Shaw &amp; Co., a hedge fund.</t>
  </si>
  <si>
    <t>chawla.sudhanshu@bcg.com</t>
  </si>
  <si>
    <t>435560-86P</t>
  </si>
  <si>
    <t>Sukand Ramachandran</t>
  </si>
  <si>
    <t>Sukand</t>
  </si>
  <si>
    <t>Mr. Sukand Ramachandran serves as Managing Director &amp; Senior Partner at Boston Consulting Group. He advises clients across industries on digital and technology-enabled transformations. He leads BCG's corporate banking work in Europe, its trade finance work globally, and the firm's work in technology and digital in wholesale banking as well.</t>
  </si>
  <si>
    <t>ramachandran.sukand@bcg.com</t>
  </si>
  <si>
    <t>455551-12P</t>
  </si>
  <si>
    <t>Suketu Shah</t>
  </si>
  <si>
    <t>Suketu</t>
  </si>
  <si>
    <t>Mr. Suketu Shah serves as Managing Director &amp; Partner at Boston Consulting Group. He is a core member of the People &amp; Organization and Energy practices, and specializes in large-scale transformation efforts with a particular focus on organization redesign, cost take-out, and post-merger integration. Suketu has led several transformation programs in the energy, industrial goods, and technology industries. He serves as the South System node for organization design and the Dallas lead for the Seat at the Table Initiatives. Before coming to BCG, he worked at ITC Holdings, a stand-alone electric transmission utility, where he did real-time operations and long-term planning and supported regulatory rate-making processes.</t>
  </si>
  <si>
    <t>shah.suketu@bcg.com</t>
  </si>
  <si>
    <t>435276-73P</t>
  </si>
  <si>
    <t>Sultan Hochweiss</t>
  </si>
  <si>
    <t>Hochweiss</t>
  </si>
  <si>
    <t>Mr. Sultan Hochweiss serves as Managing Director &amp; Partner at Boston Consulting Group. He has worked with clients in the pharma, biotech, diagnostics, and consumer goods industries in developed and emerging markets on a range of projects across the value chain covering operations and commercial market topics, and including overall strategy, Agile@Scale, efficiency programs, manufacturing, supply chain, Agile organization and behavior, change management, market access, and regulations and pricing.</t>
  </si>
  <si>
    <t>hochweiss.sultan@bcg.com</t>
  </si>
  <si>
    <t>455773-06P</t>
  </si>
  <si>
    <t>Sunaryo Gunawan</t>
  </si>
  <si>
    <t>Sunaryo</t>
  </si>
  <si>
    <t>Gunawan</t>
  </si>
  <si>
    <t>Mr. Sunaryo Gunawan serves as Managing Director &amp; Partner at Boston Consulting Group. He is a core member of the Financial Institutions, Public Sector, and Transform practices at the firm. He has over ten years of experience delivering banking transformation projects covering all aspects, including strategy, change management, CFO excellence, cost transformation, channel transformation, people and organization, and performance management. He currently serves as BCG's Business Analyst Cohort Career Development Chair and is a member of the core team for the Southeast Asia Transform and Financial Institutions practices. Before joining the firm, he was a Manager at Accenture Management Consulting in Jakarta, the Purchasing Programs Lead for the Ford Motor Company in Australia, and the Project Infrastructure Procurement Lead at the University of Melbourne.</t>
  </si>
  <si>
    <t>gunawan.sunaryo@bcg.com</t>
  </si>
  <si>
    <t>434807-11P</t>
  </si>
  <si>
    <t>Suresh Subudhi</t>
  </si>
  <si>
    <t>Suresh</t>
  </si>
  <si>
    <t>Subudhi</t>
  </si>
  <si>
    <t>Mr. Suresh Subudhi serves as Managing Director &amp; Senior Partner at Boston Consulting Group. He advises both public and private sector clients on infrastructure, real estate, urban development, tourism, travel, and logistics.</t>
  </si>
  <si>
    <t>subudhi.suresh@bcg.com</t>
  </si>
  <si>
    <t>455430-61P</t>
  </si>
  <si>
    <t>Susan Schriver</t>
  </si>
  <si>
    <t>Schriver</t>
  </si>
  <si>
    <t>Ms. Susan Schriver serves as Managing Director &amp; Senior Partner at Boston Consulting Group. He is a core member of the Health Care, People &amp; Organization, and Marketing, Sales &amp; Pricing practices at the firm. She is an expert in post-merger integration, transformation, organization design, and delayering. She has considerable experience in consumer, marketing, and sales topics, most notably marketing strategy, branding, and consumer insight. She leads BCG's commercial biopharma work globally. She works with biopharma companies on commercial and corporate strategy issues. Prior to joining the firm, she worked for Merck &amp; Co., Inc., in various technical and operations roles, including first-line manufacturing supervisor. She also worked for McKesson Corporation in San Francisco in retail marketing.</t>
  </si>
  <si>
    <t>schriver.susan@bcg.com</t>
  </si>
  <si>
    <t>435339-91P</t>
  </si>
  <si>
    <t>Sushmita Banerjee</t>
  </si>
  <si>
    <t>Sushmita</t>
  </si>
  <si>
    <t>Banerjee</t>
  </si>
  <si>
    <t>Ms. Sushmita Banerjee serves as Managing Director &amp; Senior Partner, Corporate Finance &amp; Strategy Regional Practice Area Lead at Boston Consulting Group. She works extensively with clients on areas related to strategy, growth, organization, large-scale transformation, operational improvement, total shareholder return, post-merger integration, and digital identity. She is also a core member of BCG's Social Impact practice, partnering with several clients to advance their goals in a sustainable manner.</t>
  </si>
  <si>
    <t>banerjee.sushmita@bcg.com</t>
  </si>
  <si>
    <t>Managing Director &amp; Senior Partner, Corporate Finance &amp; Strategy Regional Practice Area Lead</t>
  </si>
  <si>
    <t>435004-39P</t>
  </si>
  <si>
    <t>Sven Fraterman Ph.D</t>
  </si>
  <si>
    <t>Sven</t>
  </si>
  <si>
    <t>Fraterman</t>
  </si>
  <si>
    <t>Mr. Sven Fraterman serves as Managing Director &amp; Partner at Boston Consulting Group. He focuses on R&amp;D, medical affairs, and commercial considerations, particularly in the areas of oncology, immunology, rare diseases, and cardio-renal metabolic diseases.</t>
  </si>
  <si>
    <t>fraterman.sven@bcg.com</t>
  </si>
  <si>
    <t>435397-51P</t>
  </si>
  <si>
    <t>Sverre Lindseth</t>
  </si>
  <si>
    <t>Sverre</t>
  </si>
  <si>
    <t>Lindseth</t>
  </si>
  <si>
    <t>Mr. Sverre Lindseth serves as Managing Director &amp; Partner at Boston Consulting Group. His expertise includes transformative business and operating models for both renewables and oil and gas.</t>
  </si>
  <si>
    <t>lindseth.sverre@bcg.com</t>
  </si>
  <si>
    <t>246016-00P</t>
  </si>
  <si>
    <t>Sverre Martinsen</t>
  </si>
  <si>
    <t>Martinsen</t>
  </si>
  <si>
    <t>Mr. Sverre Martinsen serves as Managing Director &amp; Partner at Boston Consulting Group. He Co-Founded and served as General Partner at Fynd Ocean Ventures. Previously, he served as Managing Director &amp; Partner at Boston Consulting Group. He has a Venture investment experience. He also has a Strong track record from value creation.</t>
  </si>
  <si>
    <t>s-m@bcg.com</t>
  </si>
  <si>
    <t>304605-46P</t>
  </si>
  <si>
    <t>Sylvain Duranton</t>
  </si>
  <si>
    <t>Duranton</t>
  </si>
  <si>
    <t>Mr. Sylvain Duranton serves as Senior Partner &amp; Managing Director at Boston Consulting Group. He helps leading organizations solve strategic challenges and achieve their full digital potential.</t>
  </si>
  <si>
    <t>sduranton@bcg.com</t>
  </si>
  <si>
    <t>304516-72P</t>
  </si>
  <si>
    <t>Sylvain Santamarta</t>
  </si>
  <si>
    <t>Santamarta</t>
  </si>
  <si>
    <t>Mr. Sylvain Santamarta serves as Managing Director &amp; Senior Partner at Boston Consulting Group. Since joining BCG in 2008, Sylvain has worked with clients throughout the energy sector, across the full value chain. He has extensive experience working with national, international, and independent oil companies on a wide range of strategic and operational issues.</t>
  </si>
  <si>
    <t>sylvain@bcg.com</t>
  </si>
  <si>
    <t>435706-12P</t>
  </si>
  <si>
    <t>Szabolcs Markovszky</t>
  </si>
  <si>
    <t>Szabolcs</t>
  </si>
  <si>
    <t>Markovszky</t>
  </si>
  <si>
    <t>Mr. Szabolcs Markovszky serves as Managing Director &amp; Partner at Boston Consulting Group. His client work is focused on helping governments design and implement major economic structural reforms.</t>
  </si>
  <si>
    <t>szabolcs.markovszky@bcg.com</t>
  </si>
  <si>
    <t>455731-39P</t>
  </si>
  <si>
    <t>Szabolcs Mihalik</t>
  </si>
  <si>
    <t>Mihalik</t>
  </si>
  <si>
    <t>Mr. Szabolcs Mihalik serves as Partner &amp; Associate Director at Boston Consulting Group. He is a core member of the firm's Energy, Corporate Finance &amp; Strategy, and People &amp; Organization practices. He supports oil and gas companies in Europe, the Middle East, North America, Asia, and Africa. He is currently focusing on energy transition, sustainability, and digital topics. Prior to joining BCG, he worked in various business and functional areas at MOL for four years, most recently as the head of the Commercial Project Management business unit.</t>
  </si>
  <si>
    <t>mihalik.szabolcs@bcg.com</t>
  </si>
  <si>
    <t>456914-17P</t>
  </si>
  <si>
    <t>Szabolcs Szalay</t>
  </si>
  <si>
    <t>Szalay</t>
  </si>
  <si>
    <t>Mr. Szabolcs Szalay serves as Partner &amp; Associate Director at Boston Consulting Group. He is a core member of the Technology Advantage practice at the firm. He focuses his work on advising clients in the financial services sector. He has acquired a deep understanding of banking operations and IT systems. Prior to joining BCG, he worked for 15 years in banking, investment management, and management consulting in Hungary and CEE.</t>
  </si>
  <si>
    <t>szalay.szabolcs@bcg.com</t>
  </si>
  <si>
    <t>436157-83P</t>
  </si>
  <si>
    <t>Szoa Geng</t>
  </si>
  <si>
    <t>Szoa</t>
  </si>
  <si>
    <t>Geng</t>
  </si>
  <si>
    <t>Ms. Szoa Geng serves as Managing Director &amp; Partner at Boston Consulting Group. She has worked extensively with academic health centers, cancer centers, integrated and regional health systems, and national and regional payers across the country.</t>
  </si>
  <si>
    <t>geng.szoa@bcg.com</t>
  </si>
  <si>
    <t>435444-40P</t>
  </si>
  <si>
    <t>Tad Roselund</t>
  </si>
  <si>
    <t>Tad</t>
  </si>
  <si>
    <t>Roselund</t>
  </si>
  <si>
    <t>Mr. Tad Roselund serves as Managing Director &amp; Senior Partner at Boston Consulting Group. He works with BCG clients on non-financial risk &amp; compliance topics, including target operating models, risk management culture, organizational design, and crisis management and remediation. He also advises on some of the most salient, cutting-edge risk issues, including responsible use of AI, incorporating geopolitical risk into operational management, cybersecurity, and many others. He is the senior sponsor for the firm's Global Data organization, which oversees and drives the creation of foundational data capabilities and assets across the enterprise.</t>
  </si>
  <si>
    <t>roselund.tad@bcg.com</t>
  </si>
  <si>
    <t>455818-60P</t>
  </si>
  <si>
    <t>Tadamitsu Nishida</t>
  </si>
  <si>
    <t>Tadamitsu</t>
  </si>
  <si>
    <t>Nishida</t>
  </si>
  <si>
    <t>Mr. Tadamitsu Nishida serves as Managing Director &amp; Partner at Boston Consulting Group. He is a core member of the firm's Industrial Goods and Transform practices, and has strong expertise in managing complex, large-scale programs. He works primarily with companies in the manufacturing industry, including automotive OEMs, automotive parts, chemicals, materials, and electronic components manufacturers, on enterprise-wide transformations, structural reforms addressing both business and organizational aspects, B2B pricing, and growth strategy development. Before joining BCG, he worked at the Japanese government's Ministry of Education, Culture, Sports, Science and Technology (MEXT).</t>
  </si>
  <si>
    <t>nishida.tadamitsu@bcg.com</t>
  </si>
  <si>
    <t>455254-84P</t>
  </si>
  <si>
    <t>Takahiro Shimizu</t>
  </si>
  <si>
    <t>Takahiro</t>
  </si>
  <si>
    <t>Shimizu</t>
  </si>
  <si>
    <t>Mr. Takahiro Shimizu serves as a Partner at Boston Consulting Group. He is a core member of the firm's Consumer, Marketing, Sales &amp; Pricing practices. He has worked extensively with clients in the consumer products and food and beverage industries, focusing on new business development, overseas market entry strategies, and business expansion in health and wellness topics. Prior to joining BCG, he worked at Hakuhodo Inc.</t>
  </si>
  <si>
    <t>shimizu.takahiro@bcg.com</t>
  </si>
  <si>
    <t>455652-91P</t>
  </si>
  <si>
    <t>Takahisa Tabuchi</t>
  </si>
  <si>
    <t>Takahisa</t>
  </si>
  <si>
    <t>Tabuchi</t>
  </si>
  <si>
    <t>Mr. Takahisa Tabuchi serves as Managing Director &amp; Partner at Boston Consulting Group. He is a core member of BCG's Technology, Media &amp; Telecommunications practice. He works mostly with clients in the media, entertainment, and telecommunications industries. His project expertise covers new business development using digital technologies, support for alliances and M&amp;As for startups, and growth strategy formulation and implementation support. Prior to joining BCG, he worked as the head of overseas expansion in the e-commerce business area at DeNA Co., and managed a startup as a COO, CFO, and Co-CEO.</t>
  </si>
  <si>
    <t>tabuchi.takahisa@bcg.com</t>
  </si>
  <si>
    <t>436183-75P</t>
  </si>
  <si>
    <t>Takashi Miyazaki</t>
  </si>
  <si>
    <t>Takashi</t>
  </si>
  <si>
    <t>Miyazaki</t>
  </si>
  <si>
    <t>Mr. Takashi Miyazaki serves as Managing Director &amp; Partner at Boston Consulting Group. He has rich experience in supporting clients in new business development, business model formulation, globalization strategies, and cost optimization of direct and indirect expenditures.</t>
  </si>
  <si>
    <t>miyazaki.takashi@bcg.com</t>
  </si>
  <si>
    <t>455655-43P</t>
  </si>
  <si>
    <t>Takashi Yokotaki</t>
  </si>
  <si>
    <t>Yokotaki</t>
  </si>
  <si>
    <t>Mr. Takashi Yokotaki serves as Managing Director &amp; Partner at Boston Consulting Group. He is a leader of BCG Japan's Corporate Finance &amp; Strategy practice. In addition to large-scale cross-border deals with a focus on globalization, his recent experience includes M&amp;A, joint venture, and alliance projects for building new businesses, and business and digital transformations. He also has extensive experience in supporting industry restructuring. Prior to joining BCG, he worked at SoftBank Corp. and Accenture.</t>
  </si>
  <si>
    <t>yokotaki.takashi@bcg.com</t>
  </si>
  <si>
    <t>435185-74P</t>
  </si>
  <si>
    <t>Takashi Yoshimoto</t>
  </si>
  <si>
    <t>Mr. Takashi Yoshimoto serves as Managing Director &amp; Partner at Boston Consulting Group. He has worked with clients in travel and tourism industry on wide range of topics including corporate strategy, digital transformation, operational improvement, cost reduction, and new business development. He also has extensive experience in B2C areas such as retail, apparel, and consumer goods.</t>
  </si>
  <si>
    <t>yoshimoto.takashi@bcg.com</t>
  </si>
  <si>
    <t>435195-55P</t>
  </si>
  <si>
    <t>Takayoshi Morii</t>
  </si>
  <si>
    <t>Takayoshi</t>
  </si>
  <si>
    <t>Morii</t>
  </si>
  <si>
    <t>Mr. Takayoshi Morii serves as Managing Director &amp; Partner at Boston Consulting Group. He has worked with clients in technology, media, and telecommunications industries on formulating and implementing corporate strategy and new business strategy, as well as digital marketing, cashless payments, and loyalty programs.</t>
  </si>
  <si>
    <t>morii.takayoshi@bcg.com</t>
  </si>
  <si>
    <t>436208-23P</t>
  </si>
  <si>
    <t>Takayuki Yamada</t>
  </si>
  <si>
    <t>Takayuki</t>
  </si>
  <si>
    <t>Mr. Takayuki Yamada serves as Managing Director &amp; Partner at Boston Consulting Group. He has rich experience in corporate reform and transformations, focusing on operational areas for companies in industries including manufacturing, services, pharmaceuticals, trading, finance, telecommunications, and railroads. He has provided comprehensive support from planning to execution for operational reform and cost reduction.</t>
  </si>
  <si>
    <t>yamada.takayuki@bcg.com</t>
  </si>
  <si>
    <t>436403-98P</t>
  </si>
  <si>
    <t>Takeshi Nakamura Ph.D</t>
  </si>
  <si>
    <t>Takeshi</t>
  </si>
  <si>
    <t>Nakamura</t>
  </si>
  <si>
    <t>Mr. Takeshi Nakamura serves as Managing Director &amp; Partner at Boston Consulting Group. He has rich experience in working with pharmaceutical and medical equipment companies on corporate strategy, R&amp;D, commercial, organizational reforms, and cost transformation.</t>
  </si>
  <si>
    <t>nakamura.takeshi@bcg.com</t>
  </si>
  <si>
    <t>456753-88P</t>
  </si>
  <si>
    <t>Takeshi Oikawa</t>
  </si>
  <si>
    <t>Oikawa</t>
  </si>
  <si>
    <t>Mr. Takeshi Oikawa serves as Managing Director &amp; Partner at Boston Consulting Group. He has over a decade of experience in Africa, working with both public sector and private sector clients at BCG, and previously working at the Japan International Cooperation Agency (JICA). He has supported African governments and private sector players on topics including investment promotion, market entry strategy, due diligence, strategy, and operating model. He is a core member of BCG's Global Advantage practice and has actively supported Asian companies with their business in Africa.</t>
  </si>
  <si>
    <t>oikawa.takeshi@bcg.com</t>
  </si>
  <si>
    <t>436691-08P</t>
  </si>
  <si>
    <t>Takeshi Okamoto</t>
  </si>
  <si>
    <t>Mr. Takeshi Okamoto serves as Managing Director &amp; Partner at Boston Consulting Group. He works with medical institutions and governments in relation to health care.</t>
  </si>
  <si>
    <t>okamoto.takeshi@bcg.com</t>
  </si>
  <si>
    <t>435089-35P</t>
  </si>
  <si>
    <t>Takeshi Yanagimoto</t>
  </si>
  <si>
    <t>Yanagimoto</t>
  </si>
  <si>
    <t>Mr. Takeshi Yanagimoto serves as Managing Director &amp; Partner at Boston Consulting Group. He works with clients to support growth strategies and innovation management in drug discovery R&amp;D, as well as new health care businesses, globalization, and organization and talent management.</t>
  </si>
  <si>
    <t>yanagimoto.takeshi@bcg.com</t>
  </si>
  <si>
    <t>436687-84P</t>
  </si>
  <si>
    <t>Takuma Sekiguchi</t>
  </si>
  <si>
    <t>Takuma</t>
  </si>
  <si>
    <t>Sekiguchi</t>
  </si>
  <si>
    <t>Mr. Takuma Sekiguchi serves as Partner &amp; Associate Director at Boston Consulting Group. He has worked extensively with clients in the energy industry on topics including new business development, renewable energy strategies, retail business strategies, cost reduction, operational excellence, and group management.</t>
  </si>
  <si>
    <t>ts@bcg.com</t>
  </si>
  <si>
    <t>455898-70P</t>
  </si>
  <si>
    <t>Takuya Matsumoto</t>
  </si>
  <si>
    <t>Takuya</t>
  </si>
  <si>
    <t>Mr. Takuya Matsumoto serves as a Partner at Boston Consulting Group. He is a core member of the firm's Insurance, Marketing, Sales &amp; Pricing, Tech, and Digital Advantage, and Financial Institutions practices. He has primarily worked with clients in the insurance industry. He has extensive experience in mid- to long-term strategy formulation, company-wide reform planning and implementation support, business operation model development, organizational reform, and business transformation utilizing digital technology and generative AI. Prior to joining BCG, he worked at Hakuhodo Inc.</t>
  </si>
  <si>
    <t>matsumoto.takuya@bcg.com</t>
  </si>
  <si>
    <t>435022-12P</t>
  </si>
  <si>
    <t>Tamer Obied</t>
  </si>
  <si>
    <t>Tamer</t>
  </si>
  <si>
    <t>Obied</t>
  </si>
  <si>
    <t>Mr. Tamer Obied serves as Managing Director &amp; Partner at Boston Consulting Group. He has extensive experience working alongside leading governments, sovereign wealth funds, energy, and heavy industry players in Europe, the Middle East, and Asia, to define their energy transition strategy, including long-term net zero pathway definition, asset decarbonization, and clean energy investment strategy.</t>
  </si>
  <si>
    <t>obied.tamer@bcg.com</t>
  </si>
  <si>
    <t>435023-29P</t>
  </si>
  <si>
    <t>Tanmay Jain</t>
  </si>
  <si>
    <t>Tanmay</t>
  </si>
  <si>
    <t>Mr. Tanmay Jain serves as Partner at Boston Consulting Group. His work has focused on consumer-insight driven strategy, advanced analytics, commercial topics, and cost transformation, including cost of goods sold (COGS) and goods not for resale (GNFR).</t>
  </si>
  <si>
    <t>tanmay.jain@bcg.com</t>
  </si>
  <si>
    <t>435450-43P</t>
  </si>
  <si>
    <t>Tapio Schrey</t>
  </si>
  <si>
    <t>Tapio</t>
  </si>
  <si>
    <t>Schrey</t>
  </si>
  <si>
    <t>Mr. Tapio Schrey serves as Partner &amp; Associate Director, Transformation &amp; BCG TURN at Boston Consulting Group. He is an internationally experienced trainer who, over the course of his career, has engaged with more than 100 multicultural teams in almost 30 countries. He has certifications in coaching, Myers-Briggs Type Indicator (MBTI) Steps I and II, DiSC, and is a certified ScrumMaster.</t>
  </si>
  <si>
    <t>schrey.tapio@bcg.com</t>
  </si>
  <si>
    <t>Partner &amp; Associate Director, Transformation &amp; BCG TURN</t>
  </si>
  <si>
    <t>435078-37P</t>
  </si>
  <si>
    <t>Tarandeep Singh</t>
  </si>
  <si>
    <t>Tarandeep</t>
  </si>
  <si>
    <t>Mr. Tarandeep Singh serves as Managing Director &amp; Partner at Boston Consulting Group. His areas of focus are growth tech (startups), B2B SaaS, ecommerce, customer relationship management (CRM), data monetization, and the Cloud.</t>
  </si>
  <si>
    <t>singh.tarandeep@bcg.com</t>
  </si>
  <si>
    <t>456260-50P</t>
  </si>
  <si>
    <t>Tariq Nanji</t>
  </si>
  <si>
    <t>Tariq</t>
  </si>
  <si>
    <t>Nanji</t>
  </si>
  <si>
    <t>Mr. Tariq Nanji serves as Partner &amp; Associate Director at Boston Consulting Group. He is a leader in the firm's Principal Investors &amp; Private Equity and Climate &amp; Sustainability practices. He supports institutional, infrastructure, private equity, and growth equity clients on various climate and sustainability topics. He works primarily with climate and sustainability-focused investors across asset classes (infrastructure, private equity, growth equity) on transaction support, fund strategy, and portfolio value creation. Before joining the firm, he was a software developer at BlackBerry.</t>
  </si>
  <si>
    <t>nanji.tariq@bcg.com</t>
  </si>
  <si>
    <t>55378-09P</t>
  </si>
  <si>
    <t>Tawfik Hammoud</t>
  </si>
  <si>
    <t>Hammoud</t>
  </si>
  <si>
    <t>Mr. Tawfik Hammoud serves as Managing Director, Senior Partner, Chief Client Officer, Chair, Industry Practices &amp; Member of the Global Executive and Operating Committees at Boston Consulting Group. He was previously the global head of BCG's Principal Investors &amp; Private Equity practice, which he helped launch in 2015. Since joining BCG in 2005, Tawfik has worked extensively with clients in Europe, North America, and Asia, helping transform their businesses. He has also worked with private and public institutional investors around the world. Tawfik advises clients on all aspects of business strategy, mergers and acquisitions, corporate finance, operations, and family business and governance. He has also spent a significant amount of time in the broader digital space and is the Board Chair for the firm's Digital Ventures business. Prior to joining BCG, Tawfik worked in consulting, investment banking, and tech in the US, Canada, and France.</t>
  </si>
  <si>
    <t>tawfik.hammoud@bcg.com</t>
  </si>
  <si>
    <t>Managing Director, Senior Partner, Chief Client Officer, Chair, Industry Practices &amp; Member of the Global Executive and Operating Committees</t>
  </si>
  <si>
    <t>436171-69P</t>
  </si>
  <si>
    <t>Taylor Smith</t>
  </si>
  <si>
    <t>Mr. Taylor Smith serves as Managing Director &amp; Senior Partner at Boston Consulting Group. He is a core member of BCG's Consumer practice, as well as the firm's Marketing, Sales &amp; Pricing practice. He is also a member of the BCG's global consumer packaged goods (CPG) sector leadership team. He leads BCG's digital, artificial intelligence, and advanced analytics work in CPG. Prior to BCG, Mr. Smith worked at Lehman Brothers in investment banking.</t>
  </si>
  <si>
    <t>smith.taylor@bcg.com</t>
  </si>
  <si>
    <t>436130-38P</t>
  </si>
  <si>
    <t>Ted Chan</t>
  </si>
  <si>
    <t>Mr. Ted Chan serves as Managing Director &amp; Senior Partner at Boston Consulting Group. He is a topic leader of Climate and Sustainability in Greater China, and also a core member of the firm's Industrial Goods practice and the Center for Digital in Transportation.</t>
  </si>
  <si>
    <t>chan.ted@bcg.com</t>
  </si>
  <si>
    <t>456867-28P</t>
  </si>
  <si>
    <t>Teemu Ruska</t>
  </si>
  <si>
    <t>Teemu</t>
  </si>
  <si>
    <t>Ruska</t>
  </si>
  <si>
    <t>Mr. Teemu Ruska serves as Managing Director, Senior Partner &amp; EMESA Leader of Transactions &amp; Integrations at Boston Consulting Group. He leads the firm's M&amp;A, carve-out, and post-merger integration business in EMESA (Europe, the Middle East, South America, and Africa). He previously led BCG in Finland and has led BCG's work in operations transformation globally. His work focuses on transformation programs, M&amp;A/PMI, and large-capital projects. Before joining BCG, he worked for the Finnish utility Fortum.</t>
  </si>
  <si>
    <t>teemu.ruska@bcg.com</t>
  </si>
  <si>
    <t>Managing Director, Senior Partner &amp; EMESA Leader of Transactions &amp; Integrations</t>
  </si>
  <si>
    <t>435979-09P</t>
  </si>
  <si>
    <t>Tejus Kothari</t>
  </si>
  <si>
    <t>Tejus</t>
  </si>
  <si>
    <t>Kothari</t>
  </si>
  <si>
    <t>Mr. Tejus Kothari serves as Managing Director &amp; Partner at Boston Consulting Group. He has extensive experience supporting higher education institutions, state and local governments, large employers, investors, and foundations as they drive impact in the rapidly changing education and "future of work" landscape.</t>
  </si>
  <si>
    <t>kothari.tejus@bcg.com</t>
  </si>
  <si>
    <t>434795-32P</t>
  </si>
  <si>
    <t>Teresa Espírito Santo</t>
  </si>
  <si>
    <t>Teresa</t>
  </si>
  <si>
    <t>Espírito Santo</t>
  </si>
  <si>
    <t>Ms. Teresa Espírito Santo serves as Managing Director, Partner &amp; Global Chief of Staff at Boston Consulting Group. Her work with clients includes the conceptualization and implementation of a revenue-growth strategy for a major company in Portugal and the establishment of a global sourcing unit for a major electric player in Portugal.</t>
  </si>
  <si>
    <t>santa.teresa@bcg.com</t>
  </si>
  <si>
    <t>Managing Director, Partner &amp; Global Chief of Staff</t>
  </si>
  <si>
    <t>455806-36P</t>
  </si>
  <si>
    <t>Teri Naccarato</t>
  </si>
  <si>
    <t>Teri</t>
  </si>
  <si>
    <t>Naccarato</t>
  </si>
  <si>
    <t>Ms. Teri Naccarato serves as Partner &amp; Director, Fashion &amp; Luxury, Brand &amp; Business Transformations at Boston Consulting Group. He is a leader in Boston Consulting Group's work in fashion and luxury within the Consumer Goods practice, and leads the firm's E2E operational transformation work globally. She is an industry expert in developing new brands, concepts, collections, and categories for rapid course correction and return to stability. Widely recognized in the industry as an expert merchant, she advises the firm's senior client executives on urgent in-season trading turnarounds and longer-term strategic E2E process implementations.</t>
  </si>
  <si>
    <t>naccarato.teri@bcg.com</t>
  </si>
  <si>
    <t>Partner &amp; Director, Fashion &amp; Luxury, Brand &amp; Business Transformations</t>
  </si>
  <si>
    <t>456059-44P</t>
  </si>
  <si>
    <t>Tessa Swieten</t>
  </si>
  <si>
    <t>Tessa</t>
  </si>
  <si>
    <t>Swieten</t>
  </si>
  <si>
    <t>Ms. Tessa Swieten serves as Managing Director &amp; Partner at Boston Consulting Group. She co-leads the firm's Public Sector practice in Amsterdam, serving governments and semi-public organizations. She specializes in complex program management, accelerating decision making, and operational excellence in a broad range of topics, including the energy transition, digital and AI, government services, and strategy. She also leads the diversity and inclusion effort for BCG in Amsterdam. She has particular expertise in the area of women's retention and recruiting and inclusive leadership.</t>
  </si>
  <si>
    <t>swieten.tessa@bcg.com</t>
  </si>
  <si>
    <t>435705-04P</t>
  </si>
  <si>
    <t>Tetsuya Takigawa</t>
  </si>
  <si>
    <t>Tetsuya</t>
  </si>
  <si>
    <t>Takigawa</t>
  </si>
  <si>
    <t>Mr. Tetsuya Takigawa serves as Managing Director &amp; Partner at Boston Consulting Group. His work with clients includes supporting the formulation and implementation of strategy related to carbon neutrality, new business building, business portfolio restructuring, procurement, optimization, people strategy, and digital strategy.</t>
  </si>
  <si>
    <t>takigawa.tetsuya@bcg.com</t>
  </si>
  <si>
    <t>456827-32P</t>
  </si>
  <si>
    <t>Tetsuya Uekusa</t>
  </si>
  <si>
    <t>Uekusa</t>
  </si>
  <si>
    <t>Mr. Tetsuya Uekusa serves as Managing Director &amp; Senior Partner at Boston Consulting Group. He works extensively with leading Japanese and MNC pharmaceutical and medtech companies. He has advised his clients in the health care industry on such issues as global governance, M&amp;A, post-merger integration (PMI), global operational excellence, R&amp;D productivity, mid- to long-term business strategy, and commercial excellence. Before he joined BCG, he worked as a senior account executive for Dentsu, the largest advertising and PR agency in the world.</t>
  </si>
  <si>
    <t>uekusa.tetsuya@bcg.com</t>
  </si>
  <si>
    <t>231852-79P</t>
  </si>
  <si>
    <t>Thais Esteves</t>
  </si>
  <si>
    <t>Thais</t>
  </si>
  <si>
    <t>Esteves</t>
  </si>
  <si>
    <t>Ms. Thais Esteves serves as Principal at Boston Consulting Group. She co-leads the firm's Climate &amp; Sustainability and Social Impact practices for Latin America. She is passionate about social impact, particularly climate, sustainability, and just transition topics. She has worked for clients in multiple industries, as well as with NGOs and the public sector. Ms.Esteves previously co-founded SuperPetFoods. She also worked for Arco Educação and Arapyau, an NGO focused on sustainability, especially forests and agriculture.</t>
  </si>
  <si>
    <t>esteves.thais@bcg.com</t>
  </si>
  <si>
    <t>435707-29P</t>
  </si>
  <si>
    <t>Thiago Cardoso</t>
  </si>
  <si>
    <t>Thiago</t>
  </si>
  <si>
    <t>Cardoso</t>
  </si>
  <si>
    <t>Mr. Thiago Cardoso serves as Partner &amp; Director at Boston Consulting Group. He has acquired deep experience in strategy, corporate development, and people and organization topics.</t>
  </si>
  <si>
    <t>tc@bcg.com</t>
  </si>
  <si>
    <t>456124-60P</t>
  </si>
  <si>
    <t>Thibaud Aschbacher</t>
  </si>
  <si>
    <t>Thibaud</t>
  </si>
  <si>
    <t>Aschbacher</t>
  </si>
  <si>
    <t>Mr. Thibaud Aschbacher serves as a Principal at Boston Consulting Group. He leads the Product Chapter for BCG X and is a core member of the Industrial Goods and Financial Institutions practices, with a focus on climate and sustainability, innovation, and AI. Before joining the firm, he was an M&amp;A analyst at Edmond de Rothschild.</t>
  </si>
  <si>
    <t>aschbacher.thibaud@bcg.com</t>
  </si>
  <si>
    <t>436203-46P</t>
  </si>
  <si>
    <t>Thibault Collin</t>
  </si>
  <si>
    <t>Thibault</t>
  </si>
  <si>
    <t>Collin</t>
  </si>
  <si>
    <t>Mr. Thibault Collin serves as Partner at Boston Consulting Group. He is a core member of Boston Consulting Group's Health Care and Operations practice. He works primarily with clients in the US and EU with Biopharma and Global Health organizations on topics such as vaccines manufacturing, E2E supply chain transformations, commercial strategy, safety and risk management. Prior to joining the Boston Consulting Group, he worked for Monitor Deloitte as a strategy consultant in São Paulo.</t>
  </si>
  <si>
    <t>collin.thibault@bcg.com</t>
  </si>
  <si>
    <t>435001-60P</t>
  </si>
  <si>
    <t>Thibault Lassignardie</t>
  </si>
  <si>
    <t>Lassignardie</t>
  </si>
  <si>
    <t>Mr. Thibault Lassignardie serves as Managing Director &amp; Partner at Boston Consulting Group. He works with clients on their specialized financing businesses (consumer finance, leasing, factoring) as well as on the implementation of major transformations taking place between large industrial companies and their financial institution partners-in France and across Europe.</t>
  </si>
  <si>
    <t>lassignardie.thibault@bcg.com</t>
  </si>
  <si>
    <t>435586-15P</t>
  </si>
  <si>
    <t>Thilo Zelt</t>
  </si>
  <si>
    <t>Thilo</t>
  </si>
  <si>
    <t>Zelt</t>
  </si>
  <si>
    <t>Mr. Thilo Zelt serves as Managing Director &amp; Partner at Boston Consulting Group. He is an expert on digital strategies for government agencies and cities (Smart Cities), artificial intelligence, reorganization and process optimization, change management, program management, and communication strategies.</t>
  </si>
  <si>
    <t>zelt.thilo@bcg.com</t>
  </si>
  <si>
    <t>435731-59P</t>
  </si>
  <si>
    <t>Thomas Baker Ph.D</t>
  </si>
  <si>
    <t>Dr. Thomas Baker serves as Managing Director &amp; Partner at Boston Consulting Group. He has worked on clean-tech, low carbon energy, and other power topics with a variety of clients, including utilities, technology, industrial goods, and public sector companies, as well as clean-tech pure-players. He has rich experience across the US and globally, including project work in Europe, Asia, and Australia.</t>
  </si>
  <si>
    <t>baker.thomas@bcg.com</t>
  </si>
  <si>
    <t>455295-25P</t>
  </si>
  <si>
    <t>Thomas Delano</t>
  </si>
  <si>
    <t>Delano</t>
  </si>
  <si>
    <t>Mr. Thomas Delano serves as Managing Director &amp; Partner at Boston Consulting Group. He is a core member of the Health Care practice and works with biopharma clients on R&amp;D topics, digital transformation, and investor strategy. He has also conducted several large transformations and PMIs with health care clients. He also has experience in global health, particularly regarding access to medicines and regulatory harmonization.</t>
  </si>
  <si>
    <t>delano.thomas@bcg.com</t>
  </si>
  <si>
    <t>455714-92P</t>
  </si>
  <si>
    <t>Thomas Giraud</t>
  </si>
  <si>
    <t>Giraud</t>
  </si>
  <si>
    <t>Mr. Thomas Giraud serves as Managing Director &amp; Partner at Boston Consulting Group. He is a core member of the Energy and Climate &amp; Sustainability practices at the firm. He has a focus on upstream and midstream energy supply chain, low carbon energy, decarbonization, large scale transformation, transactions, and large post-merger integrations. Before joining BCG, he worked for TotalEnergies in the field.</t>
  </si>
  <si>
    <t>giraud.thomas@bcg.com</t>
  </si>
  <si>
    <t>436152-79P</t>
  </si>
  <si>
    <t>Thomas Hosking</t>
  </si>
  <si>
    <t>Hosking</t>
  </si>
  <si>
    <t>Mr. Thomas Hosking serves as Managing Director &amp; Partner at Boston Consulting Group. His main area of expertise is consumer media and entertainment, with a focus on music and sport, where he leads the sports media rights topic for the firm.</t>
  </si>
  <si>
    <t>hosking.thomas@bcg.com</t>
  </si>
  <si>
    <t>435788-74P</t>
  </si>
  <si>
    <t>Thomas Jensen</t>
  </si>
  <si>
    <t>Mr. Thomas Jensen serves as Managing Director &amp; Senior Partner at Boston Consulting Group. He has worked with clients across the Nordics, Europe, and the globe on all major sectors and topics, spending the majority of his time helping leading international retailers transform their businesses.</t>
  </si>
  <si>
    <t>jensen.thomas@bcg.com</t>
  </si>
  <si>
    <t>455902-57P</t>
  </si>
  <si>
    <t>Thomas Krueger Ph.D</t>
  </si>
  <si>
    <t>Dr. Thomas Krueger serves as Partner &amp; Director at Boston Consulting Group. He is a member of the firm's Technology Advantage (TA) and Technology, Media &amp; Telecommunications (TMT) practices. He is an expert in IT strategy and architecture, digital/IT transformations, IT sourcing, IT performance and optimization, and ICT (information and communication technology) markets/service delivery. He has worked with telco operators, media companies, financial institutions, public sector organizations, ICT services providers, and a wide range of international corporations. He is chairman of the Network &amp; IT Transformation Working Group (formerly Enterprise Architecture WG) of ETIS and is responsible for the yearly TeBIT benchmarking with ETIS. He is also part of BCG's Technology Advantage Sourcing Leadership Team.</t>
  </si>
  <si>
    <t>krueger.thomas@bcg.com</t>
  </si>
  <si>
    <t>456768-46P</t>
  </si>
  <si>
    <t>Dr. Thomas Krueger serves as a Partner at Boston Consulting Group. He is a member of the firm's Operations practice. He is an expert in manufacturing and digitization with a strong focus on Industry 4.0 and strong topical expertise in additive manufacturing. In his work with clients, he concentrates on digitization in operations, new production technology, 3D printing/additive manufacturing, industrial IoT, digital business opportunities in machinery, and shopfloor optimization.</t>
  </si>
  <si>
    <t>tkrueger@bcg.com</t>
  </si>
  <si>
    <t>436725-10P</t>
  </si>
  <si>
    <t>Thomas Payen</t>
  </si>
  <si>
    <t>Payen</t>
  </si>
  <si>
    <t>Mr. Thomas Payen serves as Managing Director &amp; Partner at Boston Consulting Group. His recent projects include developing an African strategy to limit the emergence of resistance to ACTs for malaria, and supporting the inception of an oxygen taskforce during the COVID-19 pandemic period for a global health partnership.</t>
  </si>
  <si>
    <t>payen.thomas@bcg.com</t>
  </si>
  <si>
    <t>435750-31P</t>
  </si>
  <si>
    <t>Thomas Peddicord</t>
  </si>
  <si>
    <t>Peddicord</t>
  </si>
  <si>
    <t>Mr. Thomas Peddicord serves as Managing Director &amp; Senior Partner at Boston Consulting Group. In the public sector, he has advised the US Department of Defense, the US Navy, and the US Air Force on improving major program designs and strategies, as well as developing government procurement plans.</t>
  </si>
  <si>
    <t>thomas.peddicord@bcg.com</t>
  </si>
  <si>
    <t>435330-64P</t>
  </si>
  <si>
    <t>Thomas Pfuhler</t>
  </si>
  <si>
    <t>Pfuhler</t>
  </si>
  <si>
    <t>Mr. Thomas Pfuhler serves as Managing Director &amp; Senior Partner at Boston Consulting Group. He is one of BCG's key experts in risk management in financial services and payments companies and has worked for leading incumbents and new players across geographies.</t>
  </si>
  <si>
    <t>pfuhler.thomas@bcg.com</t>
  </si>
  <si>
    <t>435618-64P</t>
  </si>
  <si>
    <t>Thomas Recchione</t>
  </si>
  <si>
    <t>Recchione</t>
  </si>
  <si>
    <t>Mr. Thomas Recchione serves as Partner &amp; Associate Director at Boston Consulting Group. He advises clients on the latest methods and applications of marketing response analytics and provides a liaison with practitioners in the field globally.</t>
  </si>
  <si>
    <t>thomas.recchione@bcg.com</t>
  </si>
  <si>
    <t>456093-91P</t>
  </si>
  <si>
    <t>Thomas Vikenes</t>
  </si>
  <si>
    <t>Vikenes</t>
  </si>
  <si>
    <t>Mr. Thomas Vikenes serves as a Partner at Boston Consulting Group. He co-leads the firm's Principal Investors &amp; Private Equity (PIPE) practice for Oslo. He supports investors during the entire ownership lifecycle, from setting the investment strategy to sourcing and transaction support (commercial/tech/ESG DDs) to helping companies reach their full potential during ownership, as well as exit preparations. He has extensive experience with transaction work across industries, in particular infrastructure, waste and circularity, and aquaculture. In addition, he is an angel/VC investor focusing on funds and companies that contribute to technology advancement or green transition. Before joining the firm, he was an accountant at DOF Subsea, and before that, a member of the International Military Police for NATO.</t>
  </si>
  <si>
    <t>vikenes.thomas@bcg.com</t>
  </si>
  <si>
    <t>435496-42P</t>
  </si>
  <si>
    <t>Thomas Vogt</t>
  </si>
  <si>
    <t>Mr. Thomas Vogt serves as Managing Director &amp; Partner at Boston Consulting Group. He has experience in a broad range of metals and mining topics, including strategy, operations transformations, major capital projects, digital and technology in mining, integrated planning, organizational design, and value creation programs.</t>
  </si>
  <si>
    <t>tv@bcg.com</t>
  </si>
  <si>
    <t>436001-41P</t>
  </si>
  <si>
    <t>Thomas Weber Ph.D</t>
  </si>
  <si>
    <t>Mr. Thomas Weber serves as Managing Director &amp; Partner at Boston Consulting Group. He is a core member of the Industrial Goods practice and the Automotive sector team at Boston Consulting Group. He is an expert for BCG's Center for Mobility Innovation.</t>
  </si>
  <si>
    <t>weber.thomas@bcg.com</t>
  </si>
  <si>
    <t>436197-07P</t>
  </si>
  <si>
    <t>Thomas Wenstrom</t>
  </si>
  <si>
    <t>Wenstrom</t>
  </si>
  <si>
    <t>Mr. Thomas Wenstrom serves as Managing Director &amp; Partner at Boston Consulting Group. He has extensive experience in digital strategy and transformation, IT cost reduction, operating model, and data and analytics.</t>
  </si>
  <si>
    <t>wenstrom.thomas@bcg.com</t>
  </si>
  <si>
    <t>435213-28P</t>
  </si>
  <si>
    <t>Tiago Kullberg</t>
  </si>
  <si>
    <t>Kullberg</t>
  </si>
  <si>
    <t>Mr. Tiago Kullberg serves as Managing Director &amp; Partner at Boston Consulting Group. He collaborates closely with clients on everything from strategic definition to acceleration of business results. His is a core member of the firm's Insurance and Financial Institutions practices.</t>
  </si>
  <si>
    <t>kullberg.tiago@bcg.com</t>
  </si>
  <si>
    <t>456545-89P</t>
  </si>
  <si>
    <t>Tian Feng JD</t>
  </si>
  <si>
    <t>Tian</t>
  </si>
  <si>
    <t>Dr. Tian Feng serves as a Partner at Boston Consulting Group. She is a core member of the firm's Industrial Goods and Climate &amp; Sustainability practices, focused on the intersection of industrial goods, digital, and sustainability. She was previously an ambassador to the BCG Henderson Institute studying how companies can participate in the data economy, and how to address large-scale societal problems such as climate change through enterprise data sharing. Prior to joining BCG, she worked in finance and the public sector with Morgan Stanley and the World Food Programme.</t>
  </si>
  <si>
    <t>feng.tian@bcg.com</t>
  </si>
  <si>
    <t>435214-27P</t>
  </si>
  <si>
    <t>Tibor Merey</t>
  </si>
  <si>
    <t>Merey</t>
  </si>
  <si>
    <t>Mr. Tibor Merey serves as Managing Director &amp; Partner at Boston Consulting Group. His main focus is the acceleration of digitization specifically as it relates to data-driven growth and the integration of artificial intelligence.</t>
  </si>
  <si>
    <t>merey.tibor@bcg.com</t>
  </si>
  <si>
    <t>434832-76P</t>
  </si>
  <si>
    <t>Tiffany Yeh</t>
  </si>
  <si>
    <t>Yeh</t>
  </si>
  <si>
    <t>Ms. Tiffany Yeh serves as Managing Director &amp; Partner at Boston Consulting Group. She focuses on consumer retail, and fashion and luxury, and is skilled in leading transformations in private equity-owned retailers.</t>
  </si>
  <si>
    <t>yeh.tiffany@bcg.com</t>
  </si>
  <si>
    <t>455439-43P</t>
  </si>
  <si>
    <t>Till Boluarte MD</t>
  </si>
  <si>
    <t>Boluarte</t>
  </si>
  <si>
    <t>Dr. Till Boluarte serves as Managing Director &amp; Partner at Boston Consulting Group. He is a core member of the Health Care practice at the firm. His focus is on business development and project oversight in the medtech, biopharma, and provider sectors of the health care industry. He works with clients on corporate strategy development, buy- and sell-side M&amp;A, R&amp;D, commercial excellence, digital business model innovation, and value-based health care solutions.</t>
  </si>
  <si>
    <t>boluarte.till@bcg.com</t>
  </si>
  <si>
    <t>434963-80P</t>
  </si>
  <si>
    <t>Tilman Buchner Ph.D</t>
  </si>
  <si>
    <t>Tilman</t>
  </si>
  <si>
    <t>Buchner</t>
  </si>
  <si>
    <t>Mr. Tilman Buchner serves as Partner &amp; Director at Boston Consulting Group. He is an expert in the (industrial) metaverse and internet of things ecosystem, as well as a recognized thought leader in software-defined automation and cognitive robotics.</t>
  </si>
  <si>
    <t>buchner.tilman@bcg.com</t>
  </si>
  <si>
    <t>456497-29P</t>
  </si>
  <si>
    <t>Tim Chapman</t>
  </si>
  <si>
    <t>Mr. Tim Chapman serves as Partner &amp; Director at Boston Consulting Group. He is a leading member of the firm's Travel, Cities &amp; Infrastructure (TCI) practice. He focuses on how to deliver new infrastructure systems more efficiently on time and on budget, with a strong focus on outcomes and benefits, including how they serve communities. After a career of designing major infrastructure, including risk mitigation, he has now been employed by BCG to help infrastructure owners avoid the many pitfalls in the delivery of large capital projects. Immediately before joining BCG, he was Director at Arup, running the London office. He led Arup's infrastructure design group for ten years.</t>
  </si>
  <si>
    <t>chapman.tim@bcg.com</t>
  </si>
  <si>
    <t>435020-50P</t>
  </si>
  <si>
    <t>Tim Figures</t>
  </si>
  <si>
    <t>Figures</t>
  </si>
  <si>
    <t>Mr. Tim Figures serves as Partner &amp; Associate Director, EU &amp; Global Trade and Investment at Boston Consulting Group. He works with private and public sector clients globally to analyze and explain changes to trade conditions and trade patterns, assess impact, and recommend actions to maintain competitiveness and value.</t>
  </si>
  <si>
    <t>tim.figures@bcg.com</t>
  </si>
  <si>
    <t>Partner &amp; Associate Director, EU &amp; Global Trade and Investment</t>
  </si>
  <si>
    <t>455705-83P</t>
  </si>
  <si>
    <t>Tim Keller</t>
  </si>
  <si>
    <t>Keller</t>
  </si>
  <si>
    <t>Mr. Tim Keller serves as Managing Director, BrightHouse at Boston Consulting Group. He is an expert in purpose-driven transformation, positioning, product development, and brand strategy. He works with major European and Asian companies to emotionalize their strategic direction and create momentum across all hierarchies and functions. With more than 20 years of experience, he has consulted across a wide range of industries, including insurance, financial institutions, industrial goods, energy, media, technology, telecommunications, consumer goods, travel, and logistics.</t>
  </si>
  <si>
    <t>keller.tim@bcg.com</t>
  </si>
  <si>
    <t>Managing Director, BrightHouse</t>
  </si>
  <si>
    <t>435164-32P</t>
  </si>
  <si>
    <t>Tim Kuhrcke</t>
  </si>
  <si>
    <t>Kuhrcke</t>
  </si>
  <si>
    <t>Mr. Tim Kuhrcke serves as Managing Director at Boston Consulting Group. He works with major European corporations from the insurance, energy, industrial goods, automotive, technology, and consumer goods industries to help them define their path to purpose and an inspired organization.</t>
  </si>
  <si>
    <t>tim@bcg.com</t>
  </si>
  <si>
    <t>436154-41P</t>
  </si>
  <si>
    <t>Tim Leach</t>
  </si>
  <si>
    <t>Mr. Tim Leach serves as Managing Director &amp; Partner at Boston Consulting Group. He has deep experience supporting clients across Western Europe. He focuses on automotive suppliers, helping them navigate the transition from internal combustion engines to electric vehicles, while addressing the challenges and opportunities that arise from this once-in-a-generation shift.</t>
  </si>
  <si>
    <t>tim.leach@bcg.com</t>
  </si>
  <si>
    <t>257462-20P</t>
  </si>
  <si>
    <t>Tim Mohin</t>
  </si>
  <si>
    <t>Mohin</t>
  </si>
  <si>
    <t>Mr. Tim Mohin serves as Partner &amp; Director at Boston Consulting Group. Mr. Tim Mohin served as Chief Sustainability Officer and Executive Vice President at Persefoni. He is a globally recognized sustainability/ESG executive, helping Intel, Apple, and AMD embed sustainability strategies into their business. He has led the development of environmental policy, including the Clean Air Act, within the EPA &amp; U.S. Senate. He served as Chief Executive Officer of the Global Reporting Initiative (GRI).</t>
  </si>
  <si>
    <t>mohin.tim@bcg.com</t>
  </si>
  <si>
    <t>456524-83P</t>
  </si>
  <si>
    <t>Tim Nolan</t>
  </si>
  <si>
    <t>Mr. Tim Nolan serves as Managing Director &amp; Senior Partner at Boston Consulting Group. He is a core member of the firm's Technology, Media &amp; Telecommunications and Corporate Development practices. He leads BCG's information services area and is an expert in B2B pricing. He came to the firm after working at iFormation Group, a joint venture of BCG, Goldman Sachs, and General Atlantic Partners that invested in technology-related corporate spin-offs. While at iFormation and at the Hearst Corporation before that, he worked with media and marketing companies to understand and capture value from new technologies and strategic initiatives.</t>
  </si>
  <si>
    <t>nolan.tim@bcg.com</t>
  </si>
  <si>
    <t>455433-76P</t>
  </si>
  <si>
    <t>Timm Rugen</t>
  </si>
  <si>
    <t>Timm</t>
  </si>
  <si>
    <t>Rugen</t>
  </si>
  <si>
    <t>Mr. Timm Rugen serves as Managing Director &amp; Partner at Boston Consulting Group. As a core member of the firm's Energy and Corporate Finance &amp; Strategy practices, he is responsible for guiding clients through their major transformation journeys. He helps large energy clients across Europe set up for success in an energy transition and net-zero world. He focuses on downstream and infrastructure projects as well as commercial optimization along the value chain.</t>
  </si>
  <si>
    <t>rugen.timm@bcg.com</t>
  </si>
  <si>
    <t>455462-20P</t>
  </si>
  <si>
    <t>Timo Grund</t>
  </si>
  <si>
    <t>Grund</t>
  </si>
  <si>
    <t>Mr. Timo Grund serves as Managing Director &amp; Partner at Boston Consulting Group. He is a core member of the Energy and Corporate Finance &amp; Strategy practices, and he is also an expert in transactions and integration excellence. He focuses on the strategic and financial transformation of international energy companies. He works with power and utilities clients on CFO excellence, strategy development, post-merger integration, and carve-outs. Before joining BCG, he worked in the office of the CFO at Siemens AG</t>
  </si>
  <si>
    <t>grund.timo@bcg.com</t>
  </si>
  <si>
    <t>456385-96P</t>
  </si>
  <si>
    <t>Tina Gao</t>
  </si>
  <si>
    <t>Tina</t>
  </si>
  <si>
    <t>Mr. Tina Gao serves as Managing Director &amp; Senior Partner at Boston Consulting Group. She is the firm's Washington, DC office lead and the current co-lead of the North America Asian Diversity Network (ADN). At the Washington level, she has held leadership roles, including CDC chair, Women@BCG lead, and recruiting director. She is the North America Consumer &amp; Business Services lead, and has helped to stand up and accelerate the firm's work with B2B service businesses in the Consumer practice. She has expertise in wholesale distribution within multiple industries, including food service management, hospitality services, facility services, and landscape services.</t>
  </si>
  <si>
    <t>gao.tina@bcg.com</t>
  </si>
  <si>
    <t>456274-72P</t>
  </si>
  <si>
    <t>Tina Zuzek-Arden</t>
  </si>
  <si>
    <t>Zuzek-Arden</t>
  </si>
  <si>
    <t>Ms. Tina Zuzek-Arden serves as Managing Director at Boston Consulting Group. He is a leader in the firm's Energy and Public Sector practices. She has advised some of the largest public utilities in the US, large-scale energy developers, hyperscalers, large corporations, and the US federal government on a variety of energy topics. She is BCG's lead for energy work in the US federal government, as well as for physical risk and resiliency in North America. She works with clients on defining baselines, energy, and physical resiliency; advanced energy technologies; energy procurement; and broad-scale transformations of procurement and operations, while remaining mission-focused.</t>
  </si>
  <si>
    <t>zuzek-arden.tina@bcg.com</t>
  </si>
  <si>
    <t>456492-34P</t>
  </si>
  <si>
    <t>Tjun Tang</t>
  </si>
  <si>
    <t>Tjun</t>
  </si>
  <si>
    <t>Mr. Tjun Tang serves as Managing Director &amp; Senior Partner at Boston Consulting Group. He is a member of the firm's Insurance, Financial Institutions, and Technology, Media &amp; Telecommunications practices, and he is the global leader for life insurance. Since joining BCG, he has advised clients on major strategic business and operating model transformations. He has led strategy development, mergers and acquisitions, and functional-capability development across the Asia-Pacific region. His focus is on working with clients on new digital business models and digital innovation, as well as launching new ventures.</t>
  </si>
  <si>
    <t>tang.tjun@bcg.com</t>
  </si>
  <si>
    <t>455418-55P</t>
  </si>
  <si>
    <t>Tobias Hofer</t>
  </si>
  <si>
    <t>Hofer</t>
  </si>
  <si>
    <t>Mr. Tobias Hofer serves as Partner &amp; Associate Director at Boston Consulting Group. He is a core member of the firm's Insurance and Marketing, Sales &amp; Pricing practices. He has advised leading financial institutions in Europe (especially Switzerland and Austria), North America, and Southeast Asia. He spent one year on the US East Coast as part of BCG's Associate Abroad program. His work is wide-ranging and includes marketing and sales, corporate and business strategies, digital transformations, and mergers and acquisitions. He leads next-generation sales in insurance for the firm in Switzerland.</t>
  </si>
  <si>
    <t>hofer.tobias@bcg.com</t>
  </si>
  <si>
    <t>456711-22P</t>
  </si>
  <si>
    <t>Tobias Mahnke</t>
  </si>
  <si>
    <t>Mahnke</t>
  </si>
  <si>
    <t>Mr. Tobias Mahnke serves as Managing Director &amp; Partner at Boston Consulting Group. He is a core member of BCG's Industrial Goods practice area with a focus on the chemicals and process industries. His main areas of expertise are strategy and strategy-based large-scale transformations and reorganizations. He is currently focused on the next wave of growth for clients and exploring the impact of digital along all steps of the value chain.</t>
  </si>
  <si>
    <t>mahnke.tobias@bcg.com</t>
  </si>
  <si>
    <t>455189-59P</t>
  </si>
  <si>
    <t>Tobias Schmidt</t>
  </si>
  <si>
    <t>Mr. Tobias Schmidt serves as Managing Director &amp; Partner at Boston Consulting Group. He is a core member of the Industrial Goods practice at the firm. He works mainly with automotive clients including global automotive tier-1 suppliers in Europe, the US, and Asia, as well as OEMs. His main areas of focus are sales/volume steering, supply chain analytics/AI, and future mobility solutions. He leads the firm's work in automotive AI, product innovation, and supply chain analytics.</t>
  </si>
  <si>
    <t>schmidt.tobias@bcg.com</t>
  </si>
  <si>
    <t>300336-76P</t>
  </si>
  <si>
    <t>Tobias Schmitter</t>
  </si>
  <si>
    <t>Schmitter</t>
  </si>
  <si>
    <t>Mr. Tobias Schmitter serves as Managing Director &amp; Partner at Boston Consulting Group.</t>
  </si>
  <si>
    <t>tobias_s@bcg.com</t>
  </si>
  <si>
    <t>455462-56P</t>
  </si>
  <si>
    <t>Tobias Sollner</t>
  </si>
  <si>
    <t>Sollner</t>
  </si>
  <si>
    <t>Mr. Tobias Sollner serves as Partner &amp; Associate Director at Boston Consulting Group. He is a core member of the Corporate Finance &amp; Strategy practice at the firm. As part of BCG's mergers and acquisitions team, he supports corporate and private equity clients with a focus on transactions-related topics, including M&amp;A, due diligence, divestitures, and business plan development. He has worked with clients in various industries over the years, in particular in manufacturing, automotive, transportation, and business services.</t>
  </si>
  <si>
    <t>tsollner@bcg.com</t>
  </si>
  <si>
    <t>436299-76P</t>
  </si>
  <si>
    <t>Tobias Wens</t>
  </si>
  <si>
    <t>Wens</t>
  </si>
  <si>
    <t>Mr. Tobias Wens serves as Managing Director &amp; Senior Partner at Boston Consulting Group. He is a core member of the Restructuring &amp; Turnaround Task Force and BCG's Transform practice. His client work focuses on restructuring and turnarounds in various industries, and he has led a large number of complex operational turnarounds and financial restructurings, especially for mid-sized companies. Before joining BCG, he worked for over two years at Roland Berger.</t>
  </si>
  <si>
    <t>wens.tobias@bcg.com</t>
  </si>
  <si>
    <t>436376-98P</t>
  </si>
  <si>
    <t>Tobias Wuergler Ph.D</t>
  </si>
  <si>
    <t>Wuergler</t>
  </si>
  <si>
    <t>Mr. Tobias Wuergler serves as Managing Director &amp; Partner at Boston Consulting Group. He co-leads Boston Consulting Group's global market infrastructure work, serving leading exchange, market infrastructure, asset servicing, and financial tech providers around the globe.</t>
  </si>
  <si>
    <t>wuergler.tobias@bcg.com</t>
  </si>
  <si>
    <t>435987-55P</t>
  </si>
  <si>
    <t>Todd Bishop</t>
  </si>
  <si>
    <t>Mr. Todd Bishop serves as Managing Director &amp; Partner at Boston Consulting Group. He specializes in merchandising operations, category management, retail strategy, enablement and change management, and end-to-end supply chain optimization.</t>
  </si>
  <si>
    <t>bishop.todd@bcg.com</t>
  </si>
  <si>
    <t>456394-06P</t>
  </si>
  <si>
    <t>Tolu Oyekan</t>
  </si>
  <si>
    <t>Tolu</t>
  </si>
  <si>
    <t>Oyekan</t>
  </si>
  <si>
    <t>Mr. Tolu Oyekan serves as Managing Director &amp; Partner at Boston Consulting Group. He is a core member of the Corporate Finance &amp; Strategy, Social Impact, Financial Institutions, Energy, and Global Advantage practices. His client work focuses on strategy and operational topics in the private, social, and public sectors-in industries including oil and gas, banking, government, industrial goods, and health care. Before joining BCG, he worked as an engineer supporting equipment and process development for a global material science company.</t>
  </si>
  <si>
    <t>oyekan.tolu@bcg.com</t>
  </si>
  <si>
    <t>456525-46P</t>
  </si>
  <si>
    <t>Tom Brijs Ph.D</t>
  </si>
  <si>
    <t>Brijs</t>
  </si>
  <si>
    <t>Dr. Tom Brijs serves as a Partner at Boston Consulting Group. He is a core member of the firm's Energy and Climate &amp; Sustainability practices. He works with energy producers, industrials, grid/infrastructure owners and operators, investment funds, and the public sector, and drives BCG's global thinking on energy markets as a member of the firm's Center for Energy Impact. He has 11 years of experience in energy, especially in energy transition topics including power generation, renewables, hydrogen, carbon capture utilization, and storage (CCUS), grids, and energy markets.</t>
  </si>
  <si>
    <t>brijs.tom@bcg.com</t>
  </si>
  <si>
    <t>17450-29P</t>
  </si>
  <si>
    <t>Tom Lutz</t>
  </si>
  <si>
    <t>Mr. Tom Lutz serves as Managing Director, Senior Partner &amp; Vice Chairman, Consumer &amp; Retail at Boston Consulting Group. In addition to this role, he also serves as the global leader of the Private Equity Portfolio Value Accelerator. Since joining BCG in 1992, he has worked extensively with retailers, restaurants, hotels, packaged goods companies, and private equity firms. His client work has focused on growth strategy, consumer insight, portfolio strategy, M&amp;A/due diligence, and post-merger integration.</t>
  </si>
  <si>
    <t>t.lutz@bcg.com</t>
  </si>
  <si>
    <t>Managing Director, Senior Partner &amp; Vice Chairman, Consumer &amp; Retail</t>
  </si>
  <si>
    <t>435650-59P</t>
  </si>
  <si>
    <t>Tom McCaleb</t>
  </si>
  <si>
    <t>McCaleb</t>
  </si>
  <si>
    <t>Mr. Tom McCaleb serves as Managing Director &amp; Partner at Boston Consulting Group. His work in the Consumer practice has covered retail, restaurants, hotels and resorts, cruise lines, airlines, and other aspects of travel and tourism, as well as air cargo and grocery.</t>
  </si>
  <si>
    <t>tom@bcg.com</t>
  </si>
  <si>
    <t>456548-41P</t>
  </si>
  <si>
    <t>Tom Rapp</t>
  </si>
  <si>
    <t>Rapp</t>
  </si>
  <si>
    <t>Mr. Tom Rapp serves as Managing Director &amp; Partner at Boston Consulting Group. He is a procurement expert and a core member of the firm's Operations practice. He has deep procurement and cost transformation expertise across industries, including health care, financial services, consumer, retail, and industrial goods. He advises clients on topics including procurement organization and operating model, category strategy and supplier negotiation, cost reduction and demand management, supplier diversity, and procurement post-merger integration. Prior to receiving his MBA, he worked as a product support manager for his family business, Merchant Software Corp., a provider of point-of-sale and payments software.</t>
  </si>
  <si>
    <t>rapp.tom@bcg.com</t>
  </si>
  <si>
    <t>436435-75P</t>
  </si>
  <si>
    <t>Tom Retelewski</t>
  </si>
  <si>
    <t>Retelewski</t>
  </si>
  <si>
    <t>Mr. Tom Retelewski serves as Managing Director &amp; Partner at Boston Consulting Group. He focuses on digital patient experience, technology transformation, cloud enablement, and engineering for health care clients.</t>
  </si>
  <si>
    <t>retelewski.tom@bcg.com</t>
  </si>
  <si>
    <t>455956-03P</t>
  </si>
  <si>
    <t>Tomas Estevez</t>
  </si>
  <si>
    <t>Tomas</t>
  </si>
  <si>
    <t>Estevez</t>
  </si>
  <si>
    <t>Mr. Tomas Estevez serves as Managing Director &amp; Partner at Boston Consulting Group. He is a core member of the firm's Energy practice and part of the leadership of the Doha office. He works with oil and gas clients-both international oil companies (IOCs) and national oil companies (NOCs). He has worked for clients in South America and Europe, but is currently focused on the Middle East. Before joining BCG, he was a project engineer at Tecnicas Reunidas, an O&amp;G EPC contractor.</t>
  </si>
  <si>
    <t>estevez.tomas@bcg.com</t>
  </si>
  <si>
    <t>456628-06P</t>
  </si>
  <si>
    <t>Tomas Nordahl</t>
  </si>
  <si>
    <t>Nordahl</t>
  </si>
  <si>
    <t>Mr. Tomas Nordahl serves as Managing Director &amp; Senior Partner at Boston Consulting Group. He leads the Industrial Goods practice in the Nordics and is a core member of the Operations and People &amp; Organization practice. He is a member of BCG's Industrial Goods global leadership team. He rejoined the firm in 2015, after leaving to work for Sandvik in 2011. At Sandvik, he was an executive vice president responsible for IT, sourcing, strategy, and M&amp;A. He was also the business area president of Sandvik Venture, which included a diverse set of businesses: industrial tools, drilling equipment for mining and oil and gas, and processing equipment.</t>
  </si>
  <si>
    <t>nordahl.tomas@bcg.com</t>
  </si>
  <si>
    <t>436303-18P</t>
  </si>
  <si>
    <t>Tomi Mansio</t>
  </si>
  <si>
    <t>Tomi</t>
  </si>
  <si>
    <t>Mansio</t>
  </si>
  <si>
    <t>Mr. Tomi Mansio serves as Managing Director &amp; Partner at Boston Consulting Group. He works on large-scale transformation, operational improvement, and strategy engagements across industries, primarily in industrial goods and energy.</t>
  </si>
  <si>
    <t>mansio.tomi@bcg.com</t>
  </si>
  <si>
    <t>455253-76P</t>
  </si>
  <si>
    <t>Tomohisa Endo</t>
  </si>
  <si>
    <t>Tomohisa</t>
  </si>
  <si>
    <t>Mr. Tomohisa Endo serves as a Partner at Boston Consulting Group. He is a core member of the firm's Technology, Media &amp; Telecommunications, Corporate Finance &amp; Strategy, and Marketing, Sales &amp; Pricing practices. He has extensive experience in the technology and industrial goods industries, particularly with semiconductor and electronic components companies. His expertise includes companywide transformations, portfolio strategy, finance function enhancement, and pricing improvement initiatives.</t>
  </si>
  <si>
    <t>endo.tomohisa@bcg.com</t>
  </si>
  <si>
    <t>455293-54P</t>
  </si>
  <si>
    <t>Tomoya Maegawa</t>
  </si>
  <si>
    <t>Tomoya</t>
  </si>
  <si>
    <t>Maegawa</t>
  </si>
  <si>
    <t>Mr. Tomoya Maegawa serves as Managing Director &amp; Partner at Boston Consulting Group. He is a core member of BCG's Health Care and Marketing, Sales &amp; Pricing practices. He has worked with clients in the pharmaceutical and medtech industries on companywide transformation, salesforce reform, sales organization design, marketing strategy, new drug launch strategy, turnaround of underperforming businesses, R&amp;D strategy, mid-term corporate planning, and supply chain management reform.</t>
  </si>
  <si>
    <t>maegawa.tomoya@bcg.com</t>
  </si>
  <si>
    <t>343306-18P</t>
  </si>
  <si>
    <t>Torben Danger Ph.D</t>
  </si>
  <si>
    <t>Torben</t>
  </si>
  <si>
    <t>Danger</t>
  </si>
  <si>
    <t>Dr. Torben Danger serves as Managing Director and Senior Partner; Global Leader, Health Care Practice at Boston Consulting Group. He is the global leader for Boston Consulting Group's Health Care practice, which encompasses biopharma, medical technologies, payers, providers, health systems, and global health. Since joining BCG in 2005, he has centered his client work on strategy, sales and marketing, integration, transformation, and operations projects in the medical technology and biopharma industries. Through his assignments across many healthcare segments and locations, he has developed a firsthand appreciation of how cost pressure, provider consolidation, and other trends such as digitization affect the industry.</t>
  </si>
  <si>
    <t>torben.danger@bcg.com</t>
  </si>
  <si>
    <t>Managing Director and Senior Partner; Global Leader, Health Care Practice</t>
  </si>
  <si>
    <t>455960-44P</t>
  </si>
  <si>
    <t>Toru Nishi</t>
  </si>
  <si>
    <t>Toru</t>
  </si>
  <si>
    <t>Nishi</t>
  </si>
  <si>
    <t>Mr. Toru Nishi serves as a Partner at Boston Consulting Group. He is a core member of BCG's Energy practice. He works mainly with clients in the energy and automotive industries. His recent experience includes business strategy formulation and implementation, sales and marketing reform, and digital transformation. Prior to joining BCG, he worked at Accenture.</t>
  </si>
  <si>
    <t>nishi.toru@bcg.com</t>
  </si>
  <si>
    <t>435419-83P</t>
  </si>
  <si>
    <t>Toshiaki Katsuraya</t>
  </si>
  <si>
    <t>Toshiaki</t>
  </si>
  <si>
    <t>Katsuraya</t>
  </si>
  <si>
    <t>Mr. Toshiaki Katsuraya serves as Managing Director &amp; Partner at Boston Consulting Group. He has worked closely with clients in the retail and fashion/luxury goods industries on topics including digital transformation, new business building and implementation, operations reform, and cost efficiency.</t>
  </si>
  <si>
    <t>katsuraya.toshiaki@bcg.com</t>
  </si>
  <si>
    <t>455352-85P</t>
  </si>
  <si>
    <t>Toshihiko Kubo</t>
  </si>
  <si>
    <t>Toshihiko</t>
  </si>
  <si>
    <t>Mr. Toshihiko Kubo serves as Managing Director, Platinion at Boston Consulting Group. He is one of the leaders of DigitalBCG in Japan, a unit within BCG that specializes in digital. He is also a core member of BCG's Tech and Digital Advantage and Financial Institutions practices. He works on a wide range of projects from strategy development to implementation of digital transformation for companies in various industries, especially in financial and insurance companies. In particular, he has extensive experience in supporting the development of enterprise-wide architectures that bridge management and digital strategies, as well as designing and implementing corporate transformation utilizing data and AI.</t>
  </si>
  <si>
    <t>kubo.toshihiko@bcg.com</t>
  </si>
  <si>
    <t>434992-87P</t>
  </si>
  <si>
    <t>Trap Yates</t>
  </si>
  <si>
    <t>Trap</t>
  </si>
  <si>
    <t>Yates</t>
  </si>
  <si>
    <t>Mr. Trap Yates serves as Managing Director &amp; Partner at Boston Consulting Group. He works with retail and consumer goods clients on transformational strategies and deploying advanced analytics solutions in retail merchandising and operations.</t>
  </si>
  <si>
    <t>trap.yates@bcg.com</t>
  </si>
  <si>
    <t>456038-56P</t>
  </si>
  <si>
    <t>Travis Dezendorf</t>
  </si>
  <si>
    <t>Dezendorf</t>
  </si>
  <si>
    <t>Mr. Travis Dezendorf serves as Managing Director &amp; Partner at Boston Consulting Group. He is a core member of the firm's Consumer practice and the B2B Distribution team. He also leads Sustainability for retail in North America. He has worked with clients on topics including category profitability improvement, private label strategy and assortment design, sourcing, sustainability, and pricing. He has expertise across a variety of industry verticals, including food service, grocery, beauty, office supplies, and jan-san. Before joining BCG, he worked in financial services, at a math education tech startup, and ran a sport-for-development program in Uganda.</t>
  </si>
  <si>
    <t>dezendorf.travis@bcg.com</t>
  </si>
  <si>
    <t>435118-06P</t>
  </si>
  <si>
    <t>Travis Meyer</t>
  </si>
  <si>
    <t>Mr. Travis Meyer serves as Managing Director &amp; Partner at Boston Consulting Group. He is currently focusing primarily on large-scale programmatic efforts with a concentration in transformation, organization design, and post-merger integration.</t>
  </si>
  <si>
    <t>meyer.travis@bcg.com</t>
  </si>
  <si>
    <t>456699-70P</t>
  </si>
  <si>
    <t>Trish Stroman</t>
  </si>
  <si>
    <t>Stroman</t>
  </si>
  <si>
    <t>Ms. Trish Stroman serves as Managing Director &amp; Senior Partner at Boston Consulting Group. She leads the firm's Social Impact (SI) practice in North America. She is a core member of the Health Care and Public Sector practices and leads BCG's global health impact area. Her work is increasingly focused on the intersection of the public and private sectors as organizations collaborate across sectors toward the sustainable development goals. Before joining BCG, she was an internal consultant for the physician group at Kaiser Permanente.</t>
  </si>
  <si>
    <t>stroman.trish@bcg.com</t>
  </si>
  <si>
    <t>435941-74P</t>
  </si>
  <si>
    <t>Tristan Hoag</t>
  </si>
  <si>
    <t>Tristan</t>
  </si>
  <si>
    <t>Hoag</t>
  </si>
  <si>
    <t>Mr. Tristan Hoag serves as Managing Director, Partner &amp; North America Cochair, BCG X at Boston Consulting Group. More specifically, he leads global efforts in building cutting-edge AI and digital systems that go beyond prototypes to transform clients' core businesses. He helps clients build modern data environments and integrate their existing IT landscapes, translate data strategies into realistic and actionable implementation plans, transition to modern data environments, and deliver in high-impact areas of big data projects. He has led many architecture projects across industries as diverse as banking, food manufacturing, pharma, and shipbuilding.</t>
  </si>
  <si>
    <t>hoag.tristan@bcg.com</t>
  </si>
  <si>
    <t>Managing Director, Partner &amp; North America Cochair, BCG X</t>
  </si>
  <si>
    <t>435402-28P</t>
  </si>
  <si>
    <t>Tristan Mallet</t>
  </si>
  <si>
    <t>Mallet</t>
  </si>
  <si>
    <t>Mr. Tristan Mallet serves as Managing Director &amp; Partner at Boston Consulting Group. He works mainly with consumer goods and industrial goods companies. He is the technical lead for Plan AI, BCG's E2E planning transformation offer.</t>
  </si>
  <si>
    <t>mallet.tristan@bcg.com</t>
  </si>
  <si>
    <t>436160-62P</t>
  </si>
  <si>
    <t>Troy Mullane</t>
  </si>
  <si>
    <t>Troy</t>
  </si>
  <si>
    <t>Mullane</t>
  </si>
  <si>
    <t>Mr. Troy Mullane serves as Managing Director &amp; Partner at Boston Consulting Group. He has worked with a variety of clients in the health care space, especially in biopharma where his clients range from pre-commercial biotechs to top-ten biopharma manufacturers.</t>
  </si>
  <si>
    <t>mullane.troy@bcg.com</t>
  </si>
  <si>
    <t>435448-45P</t>
  </si>
  <si>
    <t>Troy Thomas</t>
  </si>
  <si>
    <t>Mr. Troy Thomas serves as Managing Director &amp; Partner at Boston Consulting Group. He is currently focused on positioning BCG to seize the opportunity presented by a new space age across the public and private sector.</t>
  </si>
  <si>
    <t>thomas.troy@bcg.com</t>
  </si>
  <si>
    <t>436433-32P</t>
  </si>
  <si>
    <t>Tsutomu Komiyama</t>
  </si>
  <si>
    <t>Tsutomu</t>
  </si>
  <si>
    <t>Komiyama</t>
  </si>
  <si>
    <t>Mr. Tsutomu Komiyama serves as Partner at Boston Consulting Group. He works mainly with domestic and global companies in the automotive, automotive parts, and assembly manufacturing industries.</t>
  </si>
  <si>
    <t>komiyama.tsutomu@bcg.com</t>
  </si>
  <si>
    <t>455271-40P</t>
  </si>
  <si>
    <t>Tsutomu Takagi</t>
  </si>
  <si>
    <t>Takagi</t>
  </si>
  <si>
    <t>Mr. Tsutomu Takagi serves as Partner &amp; Associate Director at Boston Consulting Group. He is a core member of the firm's Operations, Public Sector, Health Care, and Technology, Media &amp; Telecommunications practices. He has worked with clients in a range of industries, including public sectors such as local government organizations and educational institutions, the pharmaceutical industry, hospitals, and manufacturing industries. He has extensive experience in various operational improvements, including procurement cost reforms and company-wide transformations. Prior to joining BCG, he worked at Nippon Life Insurance Company.</t>
  </si>
  <si>
    <t>takagi.tsutomu@bcg.com</t>
  </si>
  <si>
    <t>436297-87P</t>
  </si>
  <si>
    <t>Tushar Agarwal</t>
  </si>
  <si>
    <t>Tushar</t>
  </si>
  <si>
    <t>Mr. Tushar Agarwal serves as Managing Director &amp; Partner at Boston Consulting Group. He has special expertise in value-based large-scale turnaround programs in financial institutions across Asia Pacific.</t>
  </si>
  <si>
    <t>tushar.agarwal@bcg.com</t>
  </si>
  <si>
    <t>402737-95P</t>
  </si>
  <si>
    <t>Tuukka Seppa</t>
  </si>
  <si>
    <t>Tuukka</t>
  </si>
  <si>
    <t>Seppa</t>
  </si>
  <si>
    <t>Mr. Tuukka Seppa serves as Managing Director, Senior Partner &amp; Global Leader, BCG Transform at Boston Consulting Group. He specializes in transformation and large-scale-change programs where the aim is to fundamentally alter the performance trajectory of a company by addressing multiple levers, such as corporate transformation programs, reorganizations, performance improvement, turnaround, large-scale M&amp;A, post-merger integration, and strategy resetting.</t>
  </si>
  <si>
    <t>tuukka.seppa@bcg.com</t>
  </si>
  <si>
    <t>Managing Director, Senior Partner &amp; Global Leader, BCG Transform</t>
  </si>
  <si>
    <t>456631-48P</t>
  </si>
  <si>
    <t>Tycho Moencks</t>
  </si>
  <si>
    <t>Tycho</t>
  </si>
  <si>
    <t>Moencks</t>
  </si>
  <si>
    <t>Mr. Tycho Moencks serves as Managing Director &amp; Partner at Boston Consulting Group. He is a core member of the firm's Industrial Goods practice, primarily focused on metals and mining. He leads BCG's work in commodity market insights and mining operations and leads the firm's mining practice in Africa. He also works with BCG's large-scale change initiative. In addition to chemicals and mining companies, he has worked with mining upstream players as well as institutional and private equity investors.</t>
  </si>
  <si>
    <t>moencks.tycho@bcg.com</t>
  </si>
  <si>
    <t>435443-86P</t>
  </si>
  <si>
    <t>Ugo Cotroneo</t>
  </si>
  <si>
    <t>Ugo</t>
  </si>
  <si>
    <t>Cotroneo</t>
  </si>
  <si>
    <t>Mr. Ugo Cotroneo serves as Managing Director &amp; Senior Partner at Boston Consulting Group. He has worked extensively with major European banks and insurance companies on strategy, organization, marketing and sales, operations, retail banking and payments, and digital transformations. Recently, he has been driving activities in digital innovation, fintech, and ecosystems.</t>
  </si>
  <si>
    <t>cotroneo.ugo@bcg.com</t>
  </si>
  <si>
    <t>435916-63P</t>
  </si>
  <si>
    <t>Ulrich Pidun Ph.D</t>
  </si>
  <si>
    <t>Ulrich</t>
  </si>
  <si>
    <t>Pidun</t>
  </si>
  <si>
    <t>Mr. Ulrich Pidun serves as Partner &amp; Director at Boston Consulting Group. He is a professor for corporate strategy at Technical University of Berlin, Germany, and has published a widely acknowledged textbook on corporate strategy.</t>
  </si>
  <si>
    <t>pidun.ulrich@bcg.com</t>
  </si>
  <si>
    <t>435840-04P</t>
  </si>
  <si>
    <t>Ulrich Villis</t>
  </si>
  <si>
    <t>Villis</t>
  </si>
  <si>
    <t>Mr. Ulrich Villis serves as Partner at Boston Consulting Group. He has worked with global organizations, foundations, and corporations on a wide range of topics, including strategy development, organization design, impact management, and people development.</t>
  </si>
  <si>
    <t>villis.ulrich@bcg.com</t>
  </si>
  <si>
    <t>436173-94P</t>
  </si>
  <si>
    <t>Ulrik Sanders</t>
  </si>
  <si>
    <t>Ulrik</t>
  </si>
  <si>
    <t>Sanders</t>
  </si>
  <si>
    <t>Mr. Ulrik Sanders serves as Managing Director &amp; Senior Partner at Boston Consulting Group. He has focused his client work on the transportation and logistics industry.</t>
  </si>
  <si>
    <t>sanders.ulrik@bcg.com</t>
  </si>
  <si>
    <t>63545-95P</t>
  </si>
  <si>
    <t>Ulrike Schwarz-Runer JD</t>
  </si>
  <si>
    <t>Schwarz-Runer</t>
  </si>
  <si>
    <t>Ms. Ulrike Schwarz-Runer serves as Managing Director Senior Partner and General Counsel at Boston Consulting Group. Ms. Schwarz-Runer serves as Managing Director and Senior Partner at Boston Consulting Group. She serves as a Board Member at SALZBURG GLOBAL SEMINAR INC. She is responsible for BCG's global legal function and all legal and related governance matters. In her role, Ulrike is involved in the firm's critical business priorities including assessing new markets and arenas the firm enters. Prior to joining BCG, Ulrike was general counsel and a board director of Grosvenor, one of the largest family-owned businesses in the UK. She also served as general counsel of a sovereign wealth fund in the Middle East and as executive director at Goldman Sachs advising ultra-high-net-worth individuals and family-owned businesses. Earlier in her career, Ulrike was a corporate lawyer at Freshfields Bruckhaus Deringer and at Simpson Thacher &amp; Bartlett. She held nonexecutive director roles in the financial services industry.</t>
  </si>
  <si>
    <t>ulrike.schwarz-runer@bcg.com</t>
  </si>
  <si>
    <t>Managing Director &amp; Senior Partner; General Counsel</t>
  </si>
  <si>
    <t>434999-89P</t>
  </si>
  <si>
    <t>Umang Shah</t>
  </si>
  <si>
    <t>Umang</t>
  </si>
  <si>
    <t>Mr. Umang Shah serves as Managing Director &amp; Partner at Boston Consulting Group. He has advised integrated utilities, renewable platforms, clean energy financing firms, and regulatory bodies on key strategic topics such as platform structuring, growth strategy, full potential plan development, emerging area financing, and green hydrogen production roadmap. Prior to joining BCG, Umang worked at other consulting firms.</t>
  </si>
  <si>
    <t>shah.umang@bcg.com</t>
  </si>
  <si>
    <t>456846-49P</t>
  </si>
  <si>
    <t>Uwe Berberich</t>
  </si>
  <si>
    <t>Uwe</t>
  </si>
  <si>
    <t>Berberich</t>
  </si>
  <si>
    <t>Mr. Uwe Berberich serves as Managing Director &amp; Partner at Boston Consulting Group. He is a core member of the Corporate, Finance &amp; Strategy, Industrial Goods, and Energy practices. He is also a part of the Corporate Finance task force and BCG's work in M&amp;A and post-merger integration. He has a strong focus on corporate transactions and has worked with clients in industrial goods, health care, consumer goods, energy, and financial industries. Prior to BCG, he worked in the financial services industry for five years.</t>
  </si>
  <si>
    <t>berberich.uwe@bcg.com</t>
  </si>
  <si>
    <t>57037-42P</t>
  </si>
  <si>
    <t>Vaishali Rastogi</t>
  </si>
  <si>
    <t>Vaishali</t>
  </si>
  <si>
    <t>Rastogi</t>
  </si>
  <si>
    <t>Ms. Vaishali Rastogi serves as Managing Director, Senior Partner &amp; Global Leader, Technology, Media, &amp; Telecommunications Practice at Boston Consulting Group. Vaishali joined BCG in 1997 and has worked in our Singapore and India offices. She leads the Technology, Media and Telecom practice for BCG in Southeast Asia, and is the Asia-Pacific leader for Marketing and Sales. Vaishali has worked across more than 20 emerging markets and brings deep expertise in the consumer industry as well as go-to-market strategies for rapidly developing economies. During her time at BCG Vaishali has led assignments covering strategy, business build in the new digital space, and large-scale transformations. She has experience in segmentation, retail/POS excellence, marketing effectiveness, and organization. She has held a number of leadership positions, including heading BCG's business in Southeast Asia-covering all ASEAN markets-during which time she led a rapid expansion of the business into digital, analytics, and transformation. Vaishali has also been the co-leader for BCG's sales work globally, leader for go-to-market for rapidly developing economies, and the Asia Pacific leader for BCG's Marketing, Sales &amp; Pricing practice. She has been a member of BCG's global Executive Committee. Vaishali brings deep experience in helping transform telcos, technology, and other consumer facing businesses across many markets. She has published multiple reports on digital transformation, go-to-market, and consumers in Southeast Asia. She is also leading efforts on how the new reality post-COVID-19 will affect different sub-sectors of TMT, and how companies can rebound and reimagine their business model and operations to seize advantage in adversity.</t>
  </si>
  <si>
    <t>vaishali.rastogi@bcg.com</t>
  </si>
  <si>
    <t>Managing Director, Senior Partner &amp; Global Leader, Technology, Media, &amp; Telecommunications Practice</t>
  </si>
  <si>
    <t>455290-75P</t>
  </si>
  <si>
    <t>Valerio Napolitano</t>
  </si>
  <si>
    <t>Valerio</t>
  </si>
  <si>
    <t>Napolitano</t>
  </si>
  <si>
    <t>Mr. Valerio Napolitano serves as Managing Director &amp; Partner at Boston Consulting Group. He is a core member of the Financial Institutions practice with a focus on strategy and transformation. He works with Italian and EU banks and financial institutions to develop business plans, turnaround strategies, pricing programs, and digital and retail transformations. He is currently concentrating on TURN and revenue management in banking. Prior to joining BCG, he worked as analyst at a private equity fund where he was involved in screening, valuation, and execution of deal opportunities in the financial institutions space.</t>
  </si>
  <si>
    <t>napolitano.valerio@bcg.com</t>
  </si>
  <si>
    <t>435449-80P</t>
  </si>
  <si>
    <t>Valery Panier Ph.D</t>
  </si>
  <si>
    <t>Valery</t>
  </si>
  <si>
    <t>Panier</t>
  </si>
  <si>
    <t>Mr. Valery Panier serves as Managing Director &amp; Senior Partner at Boston Consulting Group. He has extensive experience in biopharma strategy, operations, and organization-related topics, and has supported biotech and biopharma companies globally on many aspects of research and development. His primary areas of expertise include disease area strategy and portfolio review, clinical development optimization, R&amp;D governance effectiveness, and innovation sourcing.</t>
  </si>
  <si>
    <t>panier.valery@bcg.com</t>
  </si>
  <si>
    <t>456648-85P</t>
  </si>
  <si>
    <t>Vanessa Lyon</t>
  </si>
  <si>
    <t>Lyon</t>
  </si>
  <si>
    <t>Ms. Vanessa Lyon serves as Managing Director &amp; Senior Partner at Boston Consulting Group. She is a member of the leadership team of the firm's Technology &amp; Digital Advantage practice, where she leads cybersecurity and digital risk globally. She co-founded the firm's Build-Operate-Transfer (BOT) offer and has held several leadership roles, including global Tech &amp; Digital Advantage people chair, head of France business development team, leader for technology topics in industrial goods, and, most recently, global offer leader for IoT and Web3.</t>
  </si>
  <si>
    <t>lyon.vanessa@bcg.com</t>
  </si>
  <si>
    <t>162092-26P</t>
  </si>
  <si>
    <t>Varad Pande</t>
  </si>
  <si>
    <t>Varad</t>
  </si>
  <si>
    <t>Pande</t>
  </si>
  <si>
    <t>Mr. Varad Pande serves as Partner &amp; Director at Boston Consulting Group. He is a leader in the firm's Climate &amp; Sustainability (C&amp;S) and Social Impact (SI) practices with a focus on emerging markets. He is part of BCG's Asia leadership team for social impact, climate finance, and adaptation and resilience. He has over 20 years of global experience as a senior ministerial advisor, an impact investor, and a strategy consultant. Mr. Pande served as Partner at Omidyar Network and as Partner &amp; Co-Lead of Dalberg's Financial Inclusion Practice Area at Dalberg Global Development Advisors. He holds degrees from Harvard Kennedy School (MPA), University of Cambridge (MA Economics), and St. Stephen's College, Delhi (BA Economics).</t>
  </si>
  <si>
    <t>varad.pande@bcg.com</t>
  </si>
  <si>
    <t>436302-10P</t>
  </si>
  <si>
    <t>Varun Boppana</t>
  </si>
  <si>
    <t>Varun</t>
  </si>
  <si>
    <t>Boppana</t>
  </si>
  <si>
    <t>Mr. Varun Boppana serves as Managing Director &amp; Partner at Boston Consulting Group. He is a core member of the Industrial Goods practice at Boston Consulting Group. He has worked extensively with clients in the metals, mining, building materials, and automotive industries.</t>
  </si>
  <si>
    <t>boppana.varun@bcg.com</t>
  </si>
  <si>
    <t>456713-92P</t>
  </si>
  <si>
    <t>Varun Kejriwal</t>
  </si>
  <si>
    <t>Kejriwal</t>
  </si>
  <si>
    <t>Mr. Varun Kejriwal serves as Managing Director &amp; Partner at Boston Consulting Group. He is a core member of the Financial Institutions and People &amp; Organization practices at the firm, and leads the Seat-At-The-Table (SATT) agenda and marketing activities for the People &amp; Organization practice in Asia Pacific. He is an expert in digital performance management, leadership development, organization design, end-to-end customer journey digitization, post-merger integration, digital-first business build, and market entry strategy.</t>
  </si>
  <si>
    <t>kejriwal.varun@bcg.com</t>
  </si>
  <si>
    <t>456654-70P</t>
  </si>
  <si>
    <t>Vassilis Antoniades</t>
  </si>
  <si>
    <t>Vassilis</t>
  </si>
  <si>
    <t>Antoniades</t>
  </si>
  <si>
    <t>Mr. Vassilis Antoniades serves as Managing Director &amp; Senior Partner at Boston Consulting Group. He is a regional leader of the Financial Institutions practice in Central Europe and the Middle East, and he is a member of BCG's Global CEO Advisory Council. He is a government-appointed board member of Greece's National Council for Research and Innovation (NCRI) and advises the Greek government on green transition and post-pandemic economic recovery. He also serves on the boards of the Bodossaki Philanthropic Foundation and the Benaki Museum.</t>
  </si>
  <si>
    <t>antoniades.vassilis@bcg.com</t>
  </si>
  <si>
    <t>162085-60P</t>
  </si>
  <si>
    <t>Veronica Chau</t>
  </si>
  <si>
    <t>Veronica</t>
  </si>
  <si>
    <t>Chau</t>
  </si>
  <si>
    <t>Ms. Veronica Chau serves as Partner &amp; Director, Sustainable Investing &amp; Social Impact at Boston Consulting Group. She focuses on finance, working with financial institutions, philanthropies, and companies to create value through strategies that realize both financial returns and broader positive impacts for people and the planet. Ms. Chau served as a Partner at Dalberg Global Development Advisors. She led the firm's work on strategic evaluations of global organizations, impact evaluations of funds and initiatives, and social impact metrics. She has served as the principal investigator or evaluation advisor for many of the firm's major impact evaluations, including the independent evaluations for multilateral institutions, bilateral donors, and foundations. Ms. Chau has also worked with social impact investors to develop innovative approaches for measuring and communicating the impact of investing in small and growing businesses in emerging markets. She has been a consultant with the Boston Consulting Group, International Trade Canada, and the United Nations Conference for Trade and Development. Ms. Chau holds a Master's of Public Policy from the Kennedy School of Government at Harvard University as well as a Bachelor of Arts in Economics from the University of Waterloo (Canada).</t>
  </si>
  <si>
    <t>chau.veronica@bcg.com</t>
  </si>
  <si>
    <t>Partner &amp; Director, Sustainable Investing &amp; Social Impact</t>
  </si>
  <si>
    <t>456755-05P</t>
  </si>
  <si>
    <t>Veronique Yang</t>
  </si>
  <si>
    <t>Veronique</t>
  </si>
  <si>
    <t>Ms. Veronique Yang serves as Managing Director &amp; Senior Partner at Boston Consulting Group. She is leading BCG's Consumer practice in Greater China. She has acquired extensive experience in the fast-moving consumer goods (FMCG), consumer durables, apparel, restaurant and food service, and e-commerce sectors in Greater China. She works with both local and global companies.</t>
  </si>
  <si>
    <t>yang.veronique@bcg.com</t>
  </si>
  <si>
    <t>436158-64P</t>
  </si>
  <si>
    <t>Victor Corzo</t>
  </si>
  <si>
    <t>Corzo</t>
  </si>
  <si>
    <t>Mr. Victor Corzo serves as Managing Director &amp; Partner at Boston Consulting Group. His focus is medtech and pharma services. Victor works mainly with private equity and health care firms on health care investments, divestments, and operational improvements.</t>
  </si>
  <si>
    <t>corzo.victor@bcg.com</t>
  </si>
  <si>
    <t>435161-26P</t>
  </si>
  <si>
    <t>Victoria Good</t>
  </si>
  <si>
    <t>Ms. Victoria Good serves as Principal at Boston Consulting Group. She works mostly with health care clients (pharmaceuticals and medical devices and technology), and consumer companies.</t>
  </si>
  <si>
    <t>good.victoria@bcg.com</t>
  </si>
  <si>
    <t>88830-46P</t>
  </si>
  <si>
    <t>Vikas Taneja</t>
  </si>
  <si>
    <t>Vikas</t>
  </si>
  <si>
    <t>Taneja</t>
  </si>
  <si>
    <t>Mr. Vikas Taneja is a Co-Founder of Plaksha University. Mr. Taneja serves as Senior Partner and Managing Director at Boston Consulting Group. He also serves as BCG Advisor at B Capital Group. He joined The Boston Consulting Group in 1998. He is a global topic leader in sales, sales force effectiveness, account planning, and several other topics within the firm's Marketing, Sales &amp; Pricing practice. He is also BCG's technology, media, and telecommunications node in Boston. He has focused on achieving profitable growth at major corporations. He is also an Angel Investor. He is on the Boston Advisory Board for Pratham, an India-based organization. He received his MBA with Honors from the University of Chicago and holds a Bachelor of Arts and Sciences in Computer Systems Engineering and Economics from Stanford University.</t>
  </si>
  <si>
    <t>436300-48P</t>
  </si>
  <si>
    <t>Vikash Agarwalla</t>
  </si>
  <si>
    <t>Vikash</t>
  </si>
  <si>
    <t>Agarwalla</t>
  </si>
  <si>
    <t>Mr. Vikash Agarwalla serves as Managing Director &amp; Partner at Boston Consulting Group. He has worked on strategy and operations topics with several pharmacos, especially those focused on the generics and branded generics space in India. He has also worked with some of the leading consumer health care and fast-moving consumer goods companies.</t>
  </si>
  <si>
    <t>agarwalla.vikash@bcg.com</t>
  </si>
  <si>
    <t>435861-10P</t>
  </si>
  <si>
    <t>Vikash Jain</t>
  </si>
  <si>
    <t>Mr. Vikash Jain serves as Managing Director &amp; Senior Partner at Boston Consulting Group. He is a senior leader in the firm's global Technology practice and also leads BCG's IT services and business process outsourcing (BPO) work in North America. His expertise includes strategy, growth, and large-scale transformations in the areas of go-to-market, operations and delivery, organization, and operating model. Prior to joining BCG, Mr. Jain was a Partner with Everest Group and a Strategy Consultant at Accenture. He started his career with Standard Chartered Grindlays in the foreign exchange markets.</t>
  </si>
  <si>
    <t>jain.vikash@bcg.com</t>
  </si>
  <si>
    <t>434810-26P</t>
  </si>
  <si>
    <t>Vikram Aggarwal Ph.D</t>
  </si>
  <si>
    <t>Vikram</t>
  </si>
  <si>
    <t>Mr. Vikram Aggarwal serves as Managing Director &amp; Partner at Boston Consulting Group. He is the global lead for next-generation sales in medtech, and specializes in digitally enabled selling models leveraging advanced analytics for both medtech and biopharma clients.</t>
  </si>
  <si>
    <t>aggarwal.vikram@bcg.com</t>
  </si>
  <si>
    <t>435967-48P</t>
  </si>
  <si>
    <t>Vikram Bhalla</t>
  </si>
  <si>
    <t>Bhalla</t>
  </si>
  <si>
    <t>Mr. Vikram Bhalla serves as Managing Director &amp; Senior Partner at Boston Consulting Group. He is the global leader of Boston Consulting Group's leadership and talent topic and the head of the Leadership and Talent Enablement Center in Singapore.</t>
  </si>
  <si>
    <t>bhalla.vikram@bcg.com</t>
  </si>
  <si>
    <t>455659-03P</t>
  </si>
  <si>
    <t>Vikrant Chaudhary</t>
  </si>
  <si>
    <t>Vikrant</t>
  </si>
  <si>
    <t>Mr. Vikrant Chaudhary serves as Managing Director &amp; Partner at Boston Consulting Group. He is a core member of the Industrial Goods practice with a focus on large-scale business transformations. Vikrant is passionate about helping his clients by driving sustainable productivity improvements through building capabilities and embedding improved decision-making. He has experience in the power, utilities, mining, chemicals, and logistics industries globally and within Australia. He brings over a decade of experience in operations improvement, supply chain optimization, digital strategy, analytics, and M&amp;A. Before joining the firm, he was Executive General Manager, Strategy and Transformation at Toll Group. Before that, he worked at Microsoft, Deutsche Bank, the Michael and Susan Dell Foundation, and Kearney.</t>
  </si>
  <si>
    <t>chaudhary.vikrant@bcg.com</t>
  </si>
  <si>
    <t>155206-63P</t>
  </si>
  <si>
    <t>Vinay Shandal</t>
  </si>
  <si>
    <t>Shandal</t>
  </si>
  <si>
    <t>Mr. Vinay Shandal serves as Senior Partner &amp; Managing Director at Boston Consulting Group. Mr. Shandal serves as Advisor at FYLD. He served as Partner at The Boston Consulting Group. Since joining BCG in 2009, Mr. Shandal has worked with clients in North America and Europe on transaction support, strategy, value creation, and operating model topics across investment organizations (pension funds, sovereign wealth funds, and private equity, infrastructure, and real estate funds) and financial services and public sector organizations. Recent mandates have focused on digital strategy, big data and analytics, pricing, activism support, and regulatory strategy. He also serves as an Advisor at Thought Partnership.</t>
  </si>
  <si>
    <t>vinay.shandal@bcg.com</t>
  </si>
  <si>
    <t>435763-54P</t>
  </si>
  <si>
    <t>Vinciane Beauchene</t>
  </si>
  <si>
    <t>Vinciane</t>
  </si>
  <si>
    <t>Beauchene</t>
  </si>
  <si>
    <t>Ms. Vinciane Beauchene serves as Managing Director &amp; Partner at Boston Consulting Group. She focuses on supporting large transformations (GenAI/AI, agile, digital, and data-driven) from the people and organization angle, including upskilling strategy, new ways of working, leadership coaching and team effectiveness, new capability build, change management, performance/talent management and HR function excellence.</t>
  </si>
  <si>
    <t>vinciane.beauchene@bcg.com</t>
  </si>
  <si>
    <t>456517-09P</t>
  </si>
  <si>
    <t>Vineet Vijayavargia</t>
  </si>
  <si>
    <t>Vineet</t>
  </si>
  <si>
    <t>Vijayavargia</t>
  </si>
  <si>
    <t>Mr. Vineet Vijayavargia serves as Managing Director &amp; Partner at Boston Consulting Group. He is a senior member of the Public Sector practice at the firm, in India. He has over ten years of infrastructure, public-private partnership (PPP), and investment experience covering a broad range of infrastructure sectors, including airports, ports, shipping, roads and highways, industrial parks, smart cities, housing, and urban and social infrastructure. Before joining BCG, he worked at Google in India.</t>
  </si>
  <si>
    <t>vijayavargia.vineet@bcg.com</t>
  </si>
  <si>
    <t>435622-42P</t>
  </si>
  <si>
    <t>Vipin Gupta</t>
  </si>
  <si>
    <t>Vipin</t>
  </si>
  <si>
    <t>Mr. Vipin Gupta serves as Managing Director &amp; Partner at Boston Consulting Group. He has worked with these clients on functional topics including growth strategy, digital transformation, new business build, go-to-market, distribution, sales force effectiveness, and organization.</t>
  </si>
  <si>
    <t>gupta.vipin@bcg.com</t>
  </si>
  <si>
    <t>435200-41P</t>
  </si>
  <si>
    <t>Vipin V</t>
  </si>
  <si>
    <t>V</t>
  </si>
  <si>
    <t>Mr. Vipin V serves as Managing Director &amp; Partner at Boston Consulting Group. His client work focuses on fintech partnership strategy, digital business builds in lending and insurance, large-scale digital transformation, customer journey reimagination, analytics-based underwriting strategy and collections, sales acceleration programs, and digital talent build.</t>
  </si>
  <si>
    <t>v.vipin@bcg.com</t>
  </si>
  <si>
    <t>436367-80P</t>
  </si>
  <si>
    <t>Vishal Jalan</t>
  </si>
  <si>
    <t>Jalan</t>
  </si>
  <si>
    <t>Mr. Vishal Jalan serves as Managing Director &amp; Partner at Boston Consulting Group. His experience includes defining growth strategies for companies as they venture into new adjacent and non-core segments.</t>
  </si>
  <si>
    <t>jalan.vishal@bcg.com</t>
  </si>
  <si>
    <t>434951-29P</t>
  </si>
  <si>
    <t>Vishwas Sugla</t>
  </si>
  <si>
    <t>Vishwas</t>
  </si>
  <si>
    <t>Sugla</t>
  </si>
  <si>
    <t>Mr. Vishwas Sugla serves as Managing Director &amp; Partner at Boston Consulting Group. He is the New Jersey office lead for both those practices. He has considerable experience and deep expertise in vertical (B2B SaaS, human capital management, IT services, mid-market tech) and horizontal (digital and business transformation, software product innovation, tech organization and operating model excellence) topics.</t>
  </si>
  <si>
    <t>sugla.vishwas@bcg.com</t>
  </si>
  <si>
    <t>456870-97P</t>
  </si>
  <si>
    <t>Vit Pumprla</t>
  </si>
  <si>
    <t>Vit</t>
  </si>
  <si>
    <t>Pumprla</t>
  </si>
  <si>
    <t>Mr. Vit Pumprla serves as Partner and Director, Digital Sales at Boston Consulting Group. He leads the firm's work for Financial Institutions clients in the Czech Republic. He is a core member of BCG's Financial Institutions and Insurance practices, serving clients across multiple geographies, including the Czech Republic, Central and Eastern Europe, and the Middle East. He has built expertise and supports his clients in digital transformations, digital sales, and analytics-powered personalization, new business build, transactions support (due diligence and post-merger integrations), and organization transformations with new ways of working. Prior to joining BCG, he worked at Rolls-Royce in the UK and HVB Bank in the Czech Republic.</t>
  </si>
  <si>
    <t>pumprla.vit@bcg.com</t>
  </si>
  <si>
    <t>Partner and Director, Digital Sales</t>
  </si>
  <si>
    <t>435177-55P</t>
  </si>
  <si>
    <t>Vivek Mandhata</t>
  </si>
  <si>
    <t>Vivek</t>
  </si>
  <si>
    <t>Mandhata</t>
  </si>
  <si>
    <t>Mr. Vivek Mandhata serves as Managing Director &amp; Partner at Boston Consulting Group. He has worked with many clients on growth strategy, retail payments, customer journey transformation, SME and retail lending risk, cost reduction, branch optimization, operations digitization, robotics and AI-based automation, financial transformation, and process reengineering.</t>
  </si>
  <si>
    <t>+91 (0)44 6618 2100</t>
  </si>
  <si>
    <t>mandhata.vivek@bcg.com</t>
  </si>
  <si>
    <t>Chennai</t>
  </si>
  <si>
    <t>Chennai, India</t>
  </si>
  <si>
    <t>1st floor, Prestige Palladium Bayan</t>
  </si>
  <si>
    <t>129 - 140, Greams Road, Nungambakkam Division, Egmore</t>
  </si>
  <si>
    <t>Tamil Nadu</t>
  </si>
  <si>
    <t>600006</t>
  </si>
  <si>
    <t>+91 (0)12 4459 7001</t>
  </si>
  <si>
    <t>456055-75P</t>
  </si>
  <si>
    <t>Vivek Sarma</t>
  </si>
  <si>
    <t>Sarma</t>
  </si>
  <si>
    <t>Mr. Vivek Sarma serves as Managing Director &amp; Partner at Boston Consulting Group. He is a core member of the firm's Financial Institutions (FI) practice and BCG Transform, the firm's transformation and turnaround practice. Since joining BCG in 2014, he has worked with numerous financial institutions on large-scale change, turnaround, and transformation, and corporate finance and strategy. He has worked on banking transformations across North America and has led multi-year turnaround efforts of North American middle-market organizations across industries. He has also worked on strategies in growth, digital, and target operating model. Before joining BCG, he worked in multiple corporate development, M&amp;A, and transaction services roles across Canada and the US.</t>
  </si>
  <si>
    <t>vivek.sarma@bcg.com</t>
  </si>
  <si>
    <t>315504-64P</t>
  </si>
  <si>
    <t>Vladimir Lukic</t>
  </si>
  <si>
    <t>Lukic</t>
  </si>
  <si>
    <t>Mr. Vladimir Lukic serves as Managing Director, Senior Partner &amp; Global Leader of Tech and Digital Advantage at Boston Consulting Group. He is a member of The Boston Consulting Group's Industrial Goods, Operations, and People &amp; Organization practices. He is focused on actively shaping clients' advanced analytics, IoT, and digital agendas. Since joining BCG in 2006, he has focused much of his work on strategy, operations, and organization. His case experience spans a wide range of industries, such as industrial goods, transportation and logistics, and technology. He is a co-leader of BCG's digital agenda and has helped found and grow BCG's advanced analytics and analytics capabilities. His client engagements have included several strategic planning, transformation, and organization change projects-from developing growth strategies for large diversified industrial conglomerates and executing complex postmerger-integration efforts, to running multiyear digital and advanced-analytics transformation efforts for leading companies in many different industries. He is also a member of BCG's GAMMA team, which creates competitive advantages for organizations by unleashing the power of signals hidden deep within large and complex data sets. Before joining BCG, he was at Gisdata in Zagreb, Croatia, where he worked on business development across southeastern Europe and the implementation of complex IT solutions.</t>
  </si>
  <si>
    <t>v-l@bcg.com</t>
  </si>
  <si>
    <t>Managing Director, Senior Partner &amp; Global Leader, Tech and Digital Advantage</t>
  </si>
  <si>
    <t>456838-39P</t>
  </si>
  <si>
    <t>Vladimir Rogov</t>
  </si>
  <si>
    <t>Rogov</t>
  </si>
  <si>
    <t>Mr. Vladimir Rogov serves as Managing Director &amp; Partner at Boston Consulting Group. He is a core member of the Energy practice, specializing in oil and gas. He has considerable experience leading projects for oil and gas companies in the Caspian, the US, the Middle East, Europe, and India. He works with energy clients to support large capital projects, develop investment strategies and long-term energy plans, evaluate merger and acquisition opportunities, optimize organizational structures, introduce new systems and management structures, and increase operational efficiency. Prior to joining BCG, he worked at the Swedish Trade Council, where he developed and implemented strategies for entering the local market on behalf of Swedish industrial companies.</t>
  </si>
  <si>
    <t>rogov.vladimir@bcg.com</t>
  </si>
  <si>
    <t>456387-58P</t>
  </si>
  <si>
    <t>Vladislav Boutenko</t>
  </si>
  <si>
    <t>Vladislav</t>
  </si>
  <si>
    <t>Boutenko</t>
  </si>
  <si>
    <t>Mr. Vladislav Boutenko serves as Managing Director, Senior Partner, and Global Segment Leader Cities &amp; Regions at Boston Consulting Group. He is also a member of the firm's Technology, Media &amp; Telecommunications, and People &amp; Organization practices. He creates and implements strategic programs that focus on long-term development, implementing innovations, and attracting investors. He has particular expertise and experience in high-tech industries. His recent work has focused on the future of mobility, the topology of human settlement, city planning and operations, global migration of talent, resident needs, and the value proposition of cities.</t>
  </si>
  <si>
    <t>boutenko.vladislav@bcg.com</t>
  </si>
  <si>
    <t>Managing Director, Senior Partner and Global Segment Leader Cities &amp; Regions</t>
  </si>
  <si>
    <t>81897-67P</t>
  </si>
  <si>
    <t>Vuk Trifkovic Ph.D</t>
  </si>
  <si>
    <t>Vuk</t>
  </si>
  <si>
    <t>Trifkovic</t>
  </si>
  <si>
    <t>Dr. Vuk Trifkovic serves as Managing Director &amp; Partner, BCG X at Boston Consulting Group. He drives BCG X's green growth acceleration coverage in Europe, the Middle East, and South America. Mr. Trifkovic also serves as Venture Partner &amp; Expert at Ninepointfive. He served as Chief Product Officer at Lamudi. Dr. Trifkovic serves as Head of Product at Vimcar. He was the Head of Product at Bonusbox GmbH. In addition, he has 20 years' startup experience in Berlin and London with a focus on geospatial data problems, as well as several tech industry analysis houses.</t>
  </si>
  <si>
    <t>vuk.trifkovic@bcg.com</t>
  </si>
  <si>
    <t>436175-74P</t>
  </si>
  <si>
    <t>Wade Barnes</t>
  </si>
  <si>
    <t>Mr. Wade Barnes serves as Managing Director &amp; Partner at Boston Consulting Group. He has expertise in value chain optimization, LNG, renewables, and oilfield services/EPC.</t>
  </si>
  <si>
    <t>barnes.wade@bcg.com</t>
  </si>
  <si>
    <t>436690-72P</t>
  </si>
  <si>
    <t>Wales Wei</t>
  </si>
  <si>
    <t>Wales</t>
  </si>
  <si>
    <t>Mr. Wales Wei serves as Managing Director &amp; Partner at Boston Consulting Group. He is an expert in logistics and manufacturing, focusing on strategy and operational improvements in digital environments.</t>
  </si>
  <si>
    <t>wei.wales@bcg.com</t>
  </si>
  <si>
    <t>435163-60P</t>
  </si>
  <si>
    <t>Warren Chetty</t>
  </si>
  <si>
    <t>Warren</t>
  </si>
  <si>
    <t>Chetty</t>
  </si>
  <si>
    <t>Mr. Warren Chetty serves as Managing Director &amp; Partner at Boston Consulting Group. He has worked with clients in the banking, private equity, consumer goods, and other industries, advising them on topics including strategy, digital strategy, customer strategy, agile delivery, and transformational program implementation. He has worked with companies in South Africa, Nigeria, the Middle East, and Europe.</t>
  </si>
  <si>
    <t>chetty.warren@bcg.com</t>
  </si>
  <si>
    <t>436141-99P</t>
  </si>
  <si>
    <t>Wendi Backler</t>
  </si>
  <si>
    <t>Wendi</t>
  </si>
  <si>
    <t>Backler</t>
  </si>
  <si>
    <t>Ms. Wendi Backler serves as Partner &amp; Director, Innovation Analytics &amp; IP at Boston Consulting Group. She helps clients expand their business and fuel growth through innovation and technology.</t>
  </si>
  <si>
    <t>backler.wendi@bcg.com</t>
  </si>
  <si>
    <t>Partner &amp; Director, Innovation Analytics &amp; IP</t>
  </si>
  <si>
    <t>436701-25P</t>
  </si>
  <si>
    <t>Whitney Hughes-Plummer</t>
  </si>
  <si>
    <t>Whitney</t>
  </si>
  <si>
    <t>Hughes-Plummer</t>
  </si>
  <si>
    <t>Ms. Whitney Hughes-Plummer serves as Managing Director &amp; Partner at Boston Consulting Group. She has a particular focus on digital transformation in energy, mining, and industrial goods, helping clients deliver value and build capabilities through digital technologies.</t>
  </si>
  <si>
    <t>455437-18P</t>
  </si>
  <si>
    <t>Whitney Merchant</t>
  </si>
  <si>
    <t>Merchant</t>
  </si>
  <si>
    <t>Mr. Whitney Merchant serves as Managing Director &amp; Partner at Boston Consulting Group. She is a core member of the firm's Energy and Climate &amp; Sustainability practices. She has extensive experience in strategy and transformation in Australia, Canada, and Central Asia/Asia Pacific. Before joining BCG, she was a Business Development Analyst at Kinder Morgan Canada.</t>
  </si>
  <si>
    <t>merchant.whitney@bcg.com</t>
  </si>
  <si>
    <t>455338-72P</t>
  </si>
  <si>
    <t>Wietse Bloemzaad</t>
  </si>
  <si>
    <t>Wietse</t>
  </si>
  <si>
    <t>Bloemzaad</t>
  </si>
  <si>
    <t>Mr. Wietse Bloemzaad serves as Managing Director &amp; Partner, BCG X at Boston Consulting Group. At BCG X, he supports corporate partners with designing, building and scaling new business and GenAI products, which often fuel a wider digital transformation. Similarly, he supports corporates with their digital innovation strategy-particularly how to leverage corporate assets and turn them into digital advantages. His experience covers many industries, including chemical, real estate, public sector, and telecom. He has worked extensively in Europe and the Middle East.</t>
  </si>
  <si>
    <t>bloemzaad.wietse@bcg.com</t>
  </si>
  <si>
    <t>456585-67P</t>
  </si>
  <si>
    <t>Wilderich Heising Ph.D</t>
  </si>
  <si>
    <t>Wilderich</t>
  </si>
  <si>
    <t>Heising</t>
  </si>
  <si>
    <t>Dr. Wilderich Heising serves as Partner &amp; Director, Manufacturing and Supply Chain at Boston Consulting Group. He is a core member of the firm's Operations Center and a leader of BCG's manufacturing and supply chain work. His client work is focused on operations topics in health care, consumer products, and industrial goods. He co-leads the firm's work in advanced network optimization globally and additive manufacturing for Europe. Prior to joining BCG, he spent time working in the automotive industry and with engineered products.</t>
  </si>
  <si>
    <t>heising.wilderich@bcg.com</t>
  </si>
  <si>
    <t>Partner &amp; Director, Manufacturing and Supply Chain</t>
  </si>
  <si>
    <t>456266-62P</t>
  </si>
  <si>
    <t>Wilhelm Schmundt Ph.D</t>
  </si>
  <si>
    <t>Wilhelm</t>
  </si>
  <si>
    <t>Schmundt</t>
  </si>
  <si>
    <t>Dr. Wilhelm Schmundt serves as Managing Director &amp; Senior Partner at Boston Consulting Group. He is a core member of the firm's Principal Investors &amp; Private Equity (PIPE) practice and is the global lead for BCG's work with infrastructure investors. He advises leading infrastructure investors, private equity funds, and family offices on fund strategy and the design of operating models. He previously worked as a Partner in Bain &amp; Company's Private Equity Group. He is a guest lecturer at the University of Mannheim, where he teaches a course on private equity.</t>
  </si>
  <si>
    <t>schmundt.wilhelm@bcg.com</t>
  </si>
  <si>
    <t>456526-81P</t>
  </si>
  <si>
    <t>Will Bate</t>
  </si>
  <si>
    <t>Bate</t>
  </si>
  <si>
    <t>Mr. Will Bate serves as Managing Director &amp; Partner at Boston Consulting Group. He is a core member of the Consumer and DigitalBCG practices, with expertise in large-scale change. He brings deep experience working with companies across the consumer and consumer services sectors, with a focus on portfolio strategy and digital transformation topics. He co-leads the Consumer practice in the Northeast and has served as recruiting director and head of Family@BCG in Washington, DC. Prior to joining the firm, he worked as a high-yield bond investor with Guggenheim Partners.</t>
  </si>
  <si>
    <t>bate.will@bcg.com</t>
  </si>
  <si>
    <t>435545-38P</t>
  </si>
  <si>
    <t>Wim Celen</t>
  </si>
  <si>
    <t>Wim</t>
  </si>
  <si>
    <t>Celen</t>
  </si>
  <si>
    <t>Mr. Wim Celen serves as Managing Director &amp; Partner at Boston Consulting Group. He is a core member of the firm's Health Care and Operations practices. He has worked with clients in the pharmaceutical industry in manufacturing and supply chain as well as corporate development (M&amp;A, joint ventures, and carve-outs).</t>
  </si>
  <si>
    <t>wim.celen@bcg.com</t>
  </si>
  <si>
    <t>436129-75P</t>
  </si>
  <si>
    <t>Wolfgang Schnellbacher Ph.D</t>
  </si>
  <si>
    <t>Schnellbacher</t>
  </si>
  <si>
    <t>Dr. Wolfgang Schnellbacher serves as Managing Director &amp; Partner at Boston Consulting Group. He is an expert in procurement, transformation, digital procurement, supply chain management, and production. He leads Boston Consulting Group's procurement practice in Europe, Middle East, and South America. He is an expert in procurement, transformation, digital procurement, supply chain management, and production. Before joining the firm, he worked for six years at McKinsey &amp; Company as a member of the procurement global leadership team, where he concentrated on indirect optimizations and built the procure-to-pay service line.</t>
  </si>
  <si>
    <t>schnellbaecher.wolfgang@bcg.com</t>
  </si>
  <si>
    <t>455209-39P</t>
  </si>
  <si>
    <t>Wolfgang Walther Ph.D</t>
  </si>
  <si>
    <t>Walther</t>
  </si>
  <si>
    <t>Dr. Wolfgang Walther serves as Partner &amp; Associate Director at Boston Consulting Group. He is a core member of the firm's Marketing, Sales &amp; Pricing practice. He has special expertise in commercial excellence and next-gen go-to-market projects for B2B clients. His goal is to help clients achieve profitable growth and customer loyalty by developing and implementing next-generation sales and marketing models.</t>
  </si>
  <si>
    <t>walther.wolfgang@bcg.com</t>
  </si>
  <si>
    <t>456550-30P</t>
  </si>
  <si>
    <t>WuDi Wu JD</t>
  </si>
  <si>
    <t>WuDi</t>
  </si>
  <si>
    <t>Dr. WuDi Wu serves as Managing Director &amp; Partner at Boston Consulting Group. He is a core member of the firm's Consumer and Principal Investors &amp; Private Equity (PIPE) practices. He co-leads the PIPE practice for the Great Lakes region. Within the Consumer practice, he works with consumer packaged goods (CPG) clients on topics such as portfolio/M&amp;A strategy, growth strategy, go-to-market, and pricing. Within the Private Equity practice, he works on buy-sides, sell-sides, and portfolio companies in the consumer space, including food and beverage brands, contract manufacturers, and car washes.</t>
  </si>
  <si>
    <t>wu.wudi@bcg.com</t>
  </si>
  <si>
    <t>455584-78P</t>
  </si>
  <si>
    <t>Xavier Genis</t>
  </si>
  <si>
    <t>Genis</t>
  </si>
  <si>
    <t>Mr. Xavier Genis serves as Managing Director &amp; Partner at Boston Consulting Group. He is a core member of the Energy and Financial Institution practices at the firm and is focused on serving clients in the power and gas, banking, and asset management industries. He is the Spanish-speaking South America node for the Corporate Finance &amp; Strategy practice and currently serves as recruiting leader for Spanish-speaking South America.</t>
  </si>
  <si>
    <t>genis.xavier@bcg.com</t>
  </si>
  <si>
    <t>456479-74P</t>
  </si>
  <si>
    <t>Yamin Groeninger</t>
  </si>
  <si>
    <t>Yamin</t>
  </si>
  <si>
    <t>Groeninger</t>
  </si>
  <si>
    <t>Ms. Yamin Groeninger serves as Managing Director &amp; Partner at Boston Consulting Group. He is a core member of the firm's Insurance practice. She works with multinational insurance groups, particularly reinsurance, property and casualty, and health, focusing on driving the business transformation agenda. She is the firm's property and casualty insurance lead for Southeast Asia. She has over eleven years of experience in business model innovation, digital transformation, organization structure design, workforce planning, and financial planning and analytics. She serves as the Women@BCG lead in Southeast Asia. Prior to coming to BCG, he worked for McKinsey and EY.</t>
  </si>
  <si>
    <t>groeninger.yamin@bcg.com</t>
  </si>
  <si>
    <t>435190-87P</t>
  </si>
  <si>
    <t>Yana Topalova</t>
  </si>
  <si>
    <t>Topalova</t>
  </si>
  <si>
    <t>Ms. Yana Topalova serves as Managing Director &amp; Partner at Boston Consulting Group. She has expertise in commercial, strategy, transformation, marketing, and digital topics, and has led multiple projects for clients in Europe and the Middle East. She has worked with a variety of clients (passenger and cargo airlines, airports, tourism) on joint ventures, large-scale transformation, digital capability development, cost transformation, and commercial transformation and redesign, among other things.</t>
  </si>
  <si>
    <t>topalova.yana@bcg.com</t>
  </si>
  <si>
    <t>434947-15P</t>
  </si>
  <si>
    <t>Yandi Mini</t>
  </si>
  <si>
    <t>Yandi</t>
  </si>
  <si>
    <t>Mini</t>
  </si>
  <si>
    <t>Mr. Yandi Mini serves as Partner at Boston Consulting Group. He works with local and international mining businesses on strategy, operations, and people and organization topics. He also leverages his past industry and consulting experience to work with consumer goods clients.</t>
  </si>
  <si>
    <t>mini.yandi@bcg.com</t>
  </si>
  <si>
    <t>435743-65P</t>
  </si>
  <si>
    <t>Yann Letourneux</t>
  </si>
  <si>
    <t>Yann</t>
  </si>
  <si>
    <t>Letourneux</t>
  </si>
  <si>
    <t>Mr. Yann Letourneux serves as Partner &amp; Director at Boston Consulting Group. He is a worldwide expert in lean services. He is focused on operational excellence, enablement, customer journeys, and lean digital.</t>
  </si>
  <si>
    <t>yann.letourneux@bcg.com</t>
  </si>
  <si>
    <t>436276-54P</t>
  </si>
  <si>
    <t>Yannick Bastubbe</t>
  </si>
  <si>
    <t>Bastubbe</t>
  </si>
  <si>
    <t>Mr. Yannick Bastubbe serves as Principal at Boston Consulting Group. He is a core member of Boston Consulting Group's Operations practice. He has worked with clients in the automotive industry focusing on Tier 1 suppliers and OEMs, as well as in industrial goods, consumer goods, biopharma, and private equity.</t>
  </si>
  <si>
    <t>bastubbe.yannick@bcg.com</t>
  </si>
  <si>
    <t>435831-76P</t>
  </si>
  <si>
    <t>Yasemin Gunay</t>
  </si>
  <si>
    <t>Yasemin</t>
  </si>
  <si>
    <t>Gunay</t>
  </si>
  <si>
    <t>Ms. Yasemin Gunay serves as Managing Director &amp; Partner at Boston Consulting Group. She is actively involved in the Consumer and Technology, Media &amp; Telecommunications practices at Boston Consulting Group.</t>
  </si>
  <si>
    <t>gunay.yasemin@bcg.com</t>
  </si>
  <si>
    <t>434945-17P</t>
  </si>
  <si>
    <t>Yasmine Hamri</t>
  </si>
  <si>
    <t>Yasmine</t>
  </si>
  <si>
    <t>Hamri</t>
  </si>
  <si>
    <t>Ms. Yasmine Hamri serves as Managing Director &amp; Partner at Boston Consulting Group. She has led major AI-driven marketing transformations to maximize topline performance through client conversion, upsell, and churn optimization, enabled by future-proof marketing and tech ecosystems.</t>
  </si>
  <si>
    <t>hamri.yasmine@bcg.com</t>
  </si>
  <si>
    <t>456217-75P</t>
  </si>
  <si>
    <t>Yasunori Oizumi</t>
  </si>
  <si>
    <t>Yasunori</t>
  </si>
  <si>
    <t>Oizumi</t>
  </si>
  <si>
    <t>Mr. Yasunori Oizumi serves as Partner, BCG X at Boston Consulting Group. He is a core member of the firm's Consumer, Financial Institutions, and Marketing, Sales &amp; Pricing practices. He has led numerous projects focusing on new business development, innovation, and digital transformation, particularly in the financial industry, including insurance and securities companies. Prior to joining BCG, he founded SPIRAL Inc. and served as its CEO. Before that, he worked at Digital Garage, Inc., PwC Consulting LLC, and Panasonic Corporation.</t>
  </si>
  <si>
    <t>oizumi.yasunori@bcg.com</t>
  </si>
  <si>
    <t>435735-82P</t>
  </si>
  <si>
    <t>Yasushi Sasaki</t>
  </si>
  <si>
    <t>Yasushi</t>
  </si>
  <si>
    <t>Sasaki</t>
  </si>
  <si>
    <t>Mr. Yasushi Sasaki serves as Managing Director &amp; Senior Partner at Boston Consulting Group. He has worked closely with clients in those sectors on various management issues including mid- to long-term strategy, reorganization, sales reform, IT strategy, and digital strategy.</t>
  </si>
  <si>
    <t>sasaki.yasushi@bcg.com</t>
  </si>
  <si>
    <t>434893-69P</t>
  </si>
  <si>
    <t>Yasuyuki Sugiyama</t>
  </si>
  <si>
    <t>Yasuyuki</t>
  </si>
  <si>
    <t>Sugiyama</t>
  </si>
  <si>
    <t>Mr. Yasuyuki Sugiyama serves as Senior Advisor at Boston Consulting Group. Mr. Sugiyama previously served as Managing Director &amp; Partner at the firm. He works closely with clients, mainly in the insurance industry, on IT and digital strategy, from strategy development through implementation. He has extensive experience in IT grand design (future vision) development, IT modernization planning, large-scale PMO, and PMI.</t>
  </si>
  <si>
    <t>sugiyama.yasuyuki@bcg.com</t>
  </si>
  <si>
    <t>456065-02P</t>
  </si>
  <si>
    <t>Yehia Amar Ph.D</t>
  </si>
  <si>
    <t>Yehia</t>
  </si>
  <si>
    <t>Amar</t>
  </si>
  <si>
    <t>Dr. Yehia Amar serves as a Principal at Boston Consulting Group. He is a core member of the global Travel, Cities &amp; Infrastructure, People &amp; Organization, and Industrial Goods practices. He has advised on and led global transformations and reorganizations in many industries, and in all phases-from strategy to design to implementation. Prior to joining BCG, he worked in Singapore and the UK, conducting research in chemical engineering.</t>
  </si>
  <si>
    <t>amar.yehia@bcg.com</t>
  </si>
  <si>
    <t>435736-81P</t>
  </si>
  <si>
    <t>Yeonhee Kim</t>
  </si>
  <si>
    <t>Yeonhee</t>
  </si>
  <si>
    <t>Ms. Yeonhee Kim serves as Managing Director &amp; Senior Partner at Boston Consulting Group. She showcased her focus on the female Asian consumer during her 2014 TED Talk, during which she revealed her three keys to success for Korean global leaders and explained why business leaders cannot always follow the rules they learned in business school.</t>
  </si>
  <si>
    <t>kim.yeonhee@bcg.com</t>
  </si>
  <si>
    <t>456537-16P</t>
  </si>
  <si>
    <t>Yi Guo</t>
  </si>
  <si>
    <t>Yi</t>
  </si>
  <si>
    <t>Guo</t>
  </si>
  <si>
    <t>Mr. Yi Guo serves as Managing Director &amp; Partner at Boston Consulting Group. He is a core member of the firm's real estate and urbanization sectors. He has extensive experience consulting institutions and organizations, leading real-estate developers, and investors. Before joining BCG in 2011, he worked at Amazon, Deloitte Consulting, and 3M.</t>
  </si>
  <si>
    <t>guo.yi@bcg.com</t>
  </si>
  <si>
    <t>435839-50P</t>
  </si>
  <si>
    <t>Yichao Huang Ph.D</t>
  </si>
  <si>
    <t>Yichao</t>
  </si>
  <si>
    <t>Mr. Yichao Huang serves as Managing Director &amp; Partner at Boston Consulting Group. He works primarily with clients in TMT, consumer goods, industrial goods and automotive, and health care industries.</t>
  </si>
  <si>
    <t>huang.yichao@bcg.com</t>
  </si>
  <si>
    <t>333783-64P</t>
  </si>
  <si>
    <t>Yinian Nicol Zhou</t>
  </si>
  <si>
    <t>Yinian Nicol</t>
  </si>
  <si>
    <t>Mr. Yinian Nicol Zhou serves as Managing Director &amp; Partner at Boston Consulting Group. Mr. Yinian Nicol Zhou serves as Board Member at Kulfi. He is an expert in sales and marketing topics in consumer packaged goods. He has recent case experience in the nutrition and beauty categories, as well as in wine, beer, and spirits-including craft spirits; and has also worked in retail, travel and tourism, and pharma and health care.</t>
  </si>
  <si>
    <t>zhou.nicol@bcg.com</t>
  </si>
  <si>
    <t>435782-08P</t>
  </si>
  <si>
    <t>Yogesh Mishra</t>
  </si>
  <si>
    <t>Yogesh</t>
  </si>
  <si>
    <t>Mr. Yogesh Mishra serves as Managing Director &amp; Partner at Boston Consulting Group. He is a member of the firm's Insurance and Financial Institutions practices, and has worked extensively with large financial services firms in front-office and digital transformation.</t>
  </si>
  <si>
    <t>mishra.yogesh@bcg.com</t>
  </si>
  <si>
    <t>435412-36P</t>
  </si>
  <si>
    <t>Yoh Kano</t>
  </si>
  <si>
    <t>Yoh</t>
  </si>
  <si>
    <t>Kano</t>
  </si>
  <si>
    <t>Mr. Yoh Kano serves as Managing Director &amp; Partner at Boston Consulting Group. He works with clients in the health care industry, including pharmaceutical companies and medical device manufacturers, on a wide range of topics. In particular, he has extensive experience in formulating and implementing business strategies, new product/services launch strategies, and the use of digital data for development and sales.</t>
  </si>
  <si>
    <t>kano.yoh@bcg.com</t>
  </si>
  <si>
    <t>455470-48P</t>
  </si>
  <si>
    <t>Yohei Kaneko</t>
  </si>
  <si>
    <t>Kaneko</t>
  </si>
  <si>
    <t>Mr. Yohei Kaneko serves as Managing Director &amp; Partner at Boston Consulting Group. He is a core member of BCG's Industrial Goods and Operations practices. He has worked with clients in automotive, auto components, and discrete manufacturing industries, both domestic and multinational, on issues including manufacturing, supply chain networks optimization, and plant indirect costs reduction. He also has rich experience in cross-border transformation and M&amp;A (PMI) support. Prior to joining BCG, he worked at Strategy&amp;, formerly Booz and Company.</t>
  </si>
  <si>
    <t>kaneko.yohei@bcg.com</t>
  </si>
  <si>
    <t>434894-68P</t>
  </si>
  <si>
    <t>Yohei Omura</t>
  </si>
  <si>
    <t>Omura</t>
  </si>
  <si>
    <t>Mr. Yohei Omura serves as Managing Director &amp; Partner at Boston Consulting Group. He is a core member of BCG's Industrial Goods, Climate &amp; Sustainability, and Corporate Finance &amp; Strategy practices. He works with clients mainly in the infrastructure, manufacturing, and energy industries, as well as private equity funds on corporate strategies, business portfolio strategies, new business strategies, scenario planning, and mergers and acquisitions. His recent experience includes business structure transformation and new business strategy development related to carbon neutrality. In addition to assistance for private sector companies, he has extensive experience in supporting energy and industrial policies formulation, and institutional design for government organizations. Prior to joining BCG, he worked at Mitsubishi Heavy Industries, Ltd.</t>
  </si>
  <si>
    <t>omura.yohei@bcg.com</t>
  </si>
  <si>
    <t>315505-81P</t>
  </si>
  <si>
    <t>Yohei Takabe</t>
  </si>
  <si>
    <t>Takabe</t>
  </si>
  <si>
    <t>Mr. Yohei Takabe serves as Managing Director, Senior Partner &amp; Global Leader of Insurance at Boston Consulting Group. He is the global leader of Boston Consulting Group's Insurance practice. He joined BCG in 2005 and has focused his work on leveraging technology to develop a competitive advantage for his clients. He has acquired deep experience in digital- and IT-related topics across a range of industries with a particular focus on insurance and financial services. His recent experience includes digital transformation, digital marketing, multichannel strategy, strategies leveraging AI, and big data. He is one of the leaders of DigitalBCG in Japan and is also a core member of the Technology Advantage; Financial Institutions; and Technology, Media &amp; Telecommunications practices. Before joining BCG, Mr. Takabe was a consultant with IBM Business Consulting Services (formerly PriceWaterhouseCoopers).</t>
  </si>
  <si>
    <t>yohei_t@bcg.com</t>
  </si>
  <si>
    <t>Managing Director, Senior Partner &amp; Global Leader, Insurance</t>
  </si>
  <si>
    <t>455881-60P</t>
  </si>
  <si>
    <t>Yolanda Anton-Perez</t>
  </si>
  <si>
    <t>Yolanda</t>
  </si>
  <si>
    <t>Anton-Perez</t>
  </si>
  <si>
    <t>Ms. Yolanda Anton-Perez serves as Managing Director &amp; Partner at Boston Consulting Group. He is a core member of the firm's Industrial Goods practice and an expert on engineered components and materials. She has worked on and led a variety of engagements in strategy, operations, and people and organization. Her work has covered large-scale transformation, manufacturing and field operations, engineering and innovation, people strategy, operating model, digital growth, market expansion, total shareholder return, due diligence, mergers and acquisitions, cost optimization, network redesign, and commercial excellence. Prior to joining the firm, she accumulated over ten years of operational experience, eight of them at Airbus, in roles that included engineering, manufacturing, customer service, and supplier and project management.</t>
  </si>
  <si>
    <t>anton-perez.yolanda@bcg.com</t>
  </si>
  <si>
    <t>455500-90P</t>
  </si>
  <si>
    <t>Yoshiaki Hori</t>
  </si>
  <si>
    <t>Yoshiaki</t>
  </si>
  <si>
    <t>Hori</t>
  </si>
  <si>
    <t>Mr. Yoshiaki Hori serves as Partner &amp; Associate Director at Boston Consulting Group. He is a core member of the firm's Financial Institutions and People &amp; Organization practices. He has worked mainly with clients in banking, investment banking, leasing, and insurance. His extensive project experience covers mid- to long-term strategy, organizational reform, sales reform, IT strategy, and digital strategy development. Prior to joining BCG, he worked at Accenture and Industrial Bank of Japan (now Mizuho Financial Group).</t>
  </si>
  <si>
    <t>hori.yoshiaki@bcg.com</t>
  </si>
  <si>
    <t>456391-81P</t>
  </si>
  <si>
    <t>Yoshiaki Tsukahara</t>
  </si>
  <si>
    <t>Tsukahara</t>
  </si>
  <si>
    <t>Mr. Yoshiaki Tsukahara serves as Managing Director &amp; Partner at Boston Consulting Group. He leads the firm's Travel, Cities &amp; Infrastructure practice in Japan, and is a core member of the Consumer practice. In his work at BCG, he has advised airports and airline companies, railroad companies, and retail industry clients-including supermarkets-and clients in the media and entertainment industries. His recent work has covered digital transformation, marketing, supply chain/logistics, mergers and acquisitions, and post-merger integration.</t>
  </si>
  <si>
    <t>tsukahara.yoshiaki@bcg.com</t>
  </si>
  <si>
    <t>435647-44P</t>
  </si>
  <si>
    <t>Yoshifumi Yamagata</t>
  </si>
  <si>
    <t>Yoshifumi</t>
  </si>
  <si>
    <t>Yamagata</t>
  </si>
  <si>
    <t>Mr. Yoshifumi Yamagata serves as Managing Director &amp; Partner at Boston Consulting Group. He focuses on digital, and works with insurance and financial institutions clients to formulate business strategy and implement company-wide transformation using agile. He also has experience with digital transformation, data analytics and AI, and building a digital organization.</t>
  </si>
  <si>
    <t>yamagata.yoshifumi@bcg.com</t>
  </si>
  <si>
    <t>455950-54P</t>
  </si>
  <si>
    <t>Yoshihiro Nakazawa</t>
  </si>
  <si>
    <t>Yoshihiro</t>
  </si>
  <si>
    <t>Nakazawa</t>
  </si>
  <si>
    <t>Mr. Yoshihiro Nakazawa serves as Managing Director &amp; Partner at Boston Consulting Group. He is a core member of the Insurance, Financial Institutions, Tech and Digital Advantage, and Marketing, Sales &amp; Pricing practices at Boston Consulting Group. His work at BCG mostly takes place at the intersection of digital, innovation, and business transformations across a range of industries, especially insurance and financial services. After graduating from Harvard Business School, he joined the firm in 2014. Prior to joining BCG, Mr. Nakazawa was an associate director in the investment banking division at Daiwa Securities SMBC Co. Ltd., where he engaged in origination and execution of cross-border capital markets transactions.</t>
  </si>
  <si>
    <t>nakazawa.yoshihiro@bcg.com</t>
  </si>
  <si>
    <t>436432-69P</t>
  </si>
  <si>
    <t>Yosuke Niimura</t>
  </si>
  <si>
    <t>Yosuke</t>
  </si>
  <si>
    <t>Niimura</t>
  </si>
  <si>
    <t>Mr. Yosuke Niimura serves as Partner at Boston Consulting Group. He works mainly with clients in manufacturing, retail, and insurance industries.</t>
  </si>
  <si>
    <t>niimura.yosuke@bcg.com</t>
  </si>
  <si>
    <t>436345-75P</t>
  </si>
  <si>
    <t>Yotam Ariav</t>
  </si>
  <si>
    <t>Yotam</t>
  </si>
  <si>
    <t>Ariav</t>
  </si>
  <si>
    <t>Mr. Yotam Ariav serves as Managing Director, Senior Partner &amp; Global Leader, Consumer Products Sector at Boston Consulting Group. He has worked with consumer products and retail companies on many aspects of transformation, customer-centricity, and redesign, including portfolio strategy, brand strategy, go-to-market strategy, customer journey, and product and business model innovation.</t>
  </si>
  <si>
    <t>ariav.yotam@bcg.com</t>
  </si>
  <si>
    <t>Managing Director, Senior Partner &amp; Global Leader, Consumer Products Sector</t>
  </si>
  <si>
    <t>456808-42P</t>
  </si>
  <si>
    <t>Younes Zrikem</t>
  </si>
  <si>
    <t>Younes</t>
  </si>
  <si>
    <t>Zrikem</t>
  </si>
  <si>
    <t>Mr. Younes Zrikem serves as Managing Director &amp; Partner at Boston Consulting Group. He leads the firm's Public Sector practice in Morocco. He is a core member of BCG's Global Advantage practice. He has extensive experience advising decision makers in government and C-level executives in the public and private sectors. He focuses on international trade, foreign direct investments, agriculture development and agribusiness, travel and tourism, and climate change negotiations. Before joining BCG, he was a partner at Roland Berger Strategy Consulting. He previously worked on agriculture and multilateral negotiations in both the public and private sectors. He was the general manager of Azura, a leading Moroccan agribusiness company.</t>
  </si>
  <si>
    <t>zrikem.younes@bcg.com</t>
  </si>
  <si>
    <t>456471-55P</t>
  </si>
  <si>
    <t>Yue Hong Zhang</t>
  </si>
  <si>
    <t>Yue Hong</t>
  </si>
  <si>
    <t>Mr. Yue Hong Zhang serves as Managing Director &amp; Partner at Boston Consulting Group. He is a leading member of the firm's Principal Investors &amp; Private Equity (PIPE) practice in Greater China and the Asia Pacific region. He has advised leading private equity and strategic investors on over 80 commercial due diligence, M&amp;A, and portfolio acceleration engagements in the consumer, business service, and health care industries. He is also the global co-lead of the firm's digital assets work, including Web3/blockchain strategy, investment, and use-case design for digital native and traditional players.</t>
  </si>
  <si>
    <t>zhang.yuehong@bcg.com</t>
  </si>
  <si>
    <t>435194-20P</t>
  </si>
  <si>
    <t>Yuji Ohkita</t>
  </si>
  <si>
    <t>Yuji</t>
  </si>
  <si>
    <t>Ohkita</t>
  </si>
  <si>
    <t>Mr. Yuji Ohkita serves as Managing Director &amp; Partner at Boston Consulting Group. He works with clients in the insurance industry on formulating business strategy, developing and implementing companywide reform plans, building business and operational models, business and organizational transformation, and business transformation using digital technology.</t>
  </si>
  <si>
    <t>ohkita.yuji@bcg.com</t>
  </si>
  <si>
    <t>455617-81P</t>
  </si>
  <si>
    <t>Yuki Minamino</t>
  </si>
  <si>
    <t>Yuki</t>
  </si>
  <si>
    <t>Minamino</t>
  </si>
  <si>
    <t>Mr. Yuki Minamino serves as Managing Director &amp; Partner at Boston Consulting Group. He is a core member of BCG's Energy and Corporate Finance &amp; Strategy practices. He has worked extensively with clients in energy and industrial goods on growth strategies, M&amp;A, alliance negotiations, PMI, large-scale project management, turnaround, and cost reduction. Prior to joining BCG, he worked at Sojitz Corporation.</t>
  </si>
  <si>
    <t>minamino.yuki@bcg.com</t>
  </si>
  <si>
    <t>435394-00P</t>
  </si>
  <si>
    <t>Yukie Kawamura</t>
  </si>
  <si>
    <t>Yukie</t>
  </si>
  <si>
    <t>Kawamura</t>
  </si>
  <si>
    <t>Ms. Yukie Kawamura serves as Managing Director &amp; Partner at Boston Consulting Group. She has advised clients in a range of industries including central governmental organizations and non-profits on formulating policies and strategies and developing response measures. She has considerable experience supporting talent development, human resource policies, organization strategy, public relations, and marketing. She was previously seconded to the Cabinet Public Affairs Office, Cabinet Secretariat, government of Japan.</t>
  </si>
  <si>
    <t>yukie.kawamura@bcg.com</t>
  </si>
  <si>
    <t>435920-77P</t>
  </si>
  <si>
    <t>Yukimasa Uchida</t>
  </si>
  <si>
    <t>Yukimasa</t>
  </si>
  <si>
    <t>Uchida</t>
  </si>
  <si>
    <t>Mr. Yukimasa Uchida serves as Managing Director &amp; Senior Partner at Boston Consulting Group. He is a core member of the firm's Financial Institutions; Technology, Media &amp; Telecommunications; and Insurance practices in Japan.</t>
  </si>
  <si>
    <t>uchida.yukimasa@bcg.com</t>
  </si>
  <si>
    <t>455786-11P</t>
  </si>
  <si>
    <t>Yuko Otawa</t>
  </si>
  <si>
    <t>Yuko</t>
  </si>
  <si>
    <t>Otawa</t>
  </si>
  <si>
    <t>Ms. Yuko Otawa serves as a Partner, BCG X at Boston Consulting Group. She is a core member of the Consumer, Marketing, Sales &amp; Pricing practices, as well as of BCG X, the firm's tech build and design unit. She uncovers customer insights and creates customer experiences using design methodologies. She also leads projects centered on generating ideas and launching new businesses using generative AI, as well as transforming organizations and business models with a customer-centric approach. Prior to joining BCG, she worked at MHD Moët Hennessy Diageo K.K., The P&amp;G Japan Limited, and McCann Erickson Inc.</t>
  </si>
  <si>
    <t>otawa.yuko@bcg.com</t>
  </si>
  <si>
    <t>455208-04P</t>
  </si>
  <si>
    <t>Yuko Watanabe</t>
  </si>
  <si>
    <t>Watanabe</t>
  </si>
  <si>
    <t>Ms. Yuko Watanabe serves as Partner at Boston Consulting Group. he is a core member of the firm's Technology, Media &amp; Telecommunications, and Marketing, Sales &amp; Pricing practices. She focuses on business strategy, growth strategy, brand strategy, marketing strategy, and new business development in the technology, media, and telecommunications industries, as well as in manufacturing.</t>
  </si>
  <si>
    <t>watanabe.yuko@bcg.com</t>
  </si>
  <si>
    <t>435536-74P</t>
  </si>
  <si>
    <t>Yulius Yulius</t>
  </si>
  <si>
    <t>Yulius</t>
  </si>
  <si>
    <t>Mr. Yulius Yulius serves as Managing Director &amp; Senior Partner at Boston Consulting Group. He leads BCG's People &amp; Organization and Operation practices in Southeast Asia. He has extensive experiences in organization re-design, delivering cost-reduction programs, and managing large-scale change. He also leads BCG's Social Impact Practice Network in Southeast Asia, where BCG strives to drive social impact through its ongoing work with local and global social impact partners. Before joining BCG, Mr. Yulius worked as a consultant and database administrator at KPMG in Indonesia.</t>
  </si>
  <si>
    <t>yulius.yulius@bcg.com</t>
  </si>
  <si>
    <t>456762-43P</t>
  </si>
  <si>
    <t>Yumi Hiratani</t>
  </si>
  <si>
    <t>Yumi</t>
  </si>
  <si>
    <t>Hiratani</t>
  </si>
  <si>
    <t>Ms. Yumi Hiratani serves as Managing Director &amp; Senior Partner at Boston Consulting Group. She leads the firm's Health Care practice in Japan. She is also a core member of the firm's Corporate Finance &amp; Strategy and Climate &amp; Sustainability practices. She works primarily with companies in the pharmaceutical and medtech industries. Within those industries, she has rich experience in go-to-market strategy, new drug launch planning, sales force transformation, wholesaler and distribution strategy, pricing strategy, and cost optimization. She has also partnered with numerous clients on mid- and long-term strategy, growth strategy, post-merger integration, and transformation.</t>
  </si>
  <si>
    <t>yumi.hiratani@bcg.com</t>
  </si>
  <si>
    <t>456118-39P</t>
  </si>
  <si>
    <t>Yusuke Shimizu</t>
  </si>
  <si>
    <t>Yusuke</t>
  </si>
  <si>
    <t>Mr. Yusuke Shimizu serves as a Partner at Boston Consulting Group. He is a core member of the firm's Operations, Industrial Goods, and Global Advantage practices. He has extensive experience supporting the development and implementation of electrification strategies, digital (SDV) strategies, and globalization strategies, primarily in the automotive and automotive parts industries. He is also proficient in building organizational and talent foundations. Prior to joining BCG, he worked at Deloitte Tohmatsu Consulting, A.T. Kearney, and Nissan Motor Co., Ltd.</t>
  </si>
  <si>
    <t>shimizu.yusuke@bcg.com</t>
  </si>
  <si>
    <t>436353-94P</t>
  </si>
  <si>
    <t>Yusuke Yabe</t>
  </si>
  <si>
    <t>Yabe</t>
  </si>
  <si>
    <t>Mr. Yusuke Yabe serves as Partner at Boston Consulting Group. His recent engagements have covered people and organizational strategies, including talent management, engagement enhancement, and HR system reform.</t>
  </si>
  <si>
    <t>yabe.yusuke@bcg.com</t>
  </si>
  <si>
    <t>455723-56P</t>
  </si>
  <si>
    <t>Yutaro Oku</t>
  </si>
  <si>
    <t>Yutaro</t>
  </si>
  <si>
    <t>Oku</t>
  </si>
  <si>
    <t>Mr. Yutaro Oku serves as Partner &amp; Associate Director at Boston Consulting Group. He is a core member of the firm's Financial Institutions, Global Advantage, and Corporate Finance &amp; Strategy practices. He works with clients, mainly financial institutions, in the areas of wholesale banking and payments. In particular, he has extensive experience supporting clients in business strategy, globalization, M&amp;A, and alliances. Prior to joining BCG, he worked at Nomura Research Institute.</t>
  </si>
  <si>
    <t>oku.yutaro@bcg.com</t>
  </si>
  <si>
    <t>435759-58P</t>
  </si>
  <si>
    <t>Ziad Halabi</t>
  </si>
  <si>
    <t>Ziad</t>
  </si>
  <si>
    <t>Halabi</t>
  </si>
  <si>
    <t>Mr. Ziad Halabi serves as Managing Director &amp; Partner at Boston Consulting Group. He has worked extensively with public sector clients across the Gulf Cooperation Council (GCC) with particular focus on Ministries of Finance, tax authorities, customs authorities, and other key institutions within the government finance ecosystem.</t>
  </si>
  <si>
    <t>halabi.ziad@bcg.com</t>
  </si>
  <si>
    <t>455851-81P</t>
  </si>
  <si>
    <t>Zoe Karl-Waithaka</t>
  </si>
  <si>
    <t>Karl-Waithaka</t>
  </si>
  <si>
    <t>Mr. Zoe Karl-Waithaka serves as Managing Director &amp; Partner at Boston Consulting Group. She has more than ten years of experience in management consulting, advising multinational and African businesses on strategy and operations in a range of industries including agriculture, telecommunications, mining, and oil and gas. She works with clients on customer experience, change management, and delivering large-scale organizational transformations. Before joining BCG, she was an Associate Partner at Bain and a Product Specialist at Bloomberg, L.P. She is a Fellow of the Archbishop Tutu Leadership Programme.</t>
  </si>
  <si>
    <t>karl-waithaka.zoe@bcg.com</t>
  </si>
  <si>
    <t>266180-95P</t>
  </si>
  <si>
    <t>Aliana Pineiro</t>
  </si>
  <si>
    <t>Aliana</t>
  </si>
  <si>
    <t>Pineiro</t>
  </si>
  <si>
    <t>Boston Impact Initiative</t>
  </si>
  <si>
    <t>Aliana Pineiro serves as Impact Director at Boston Impact Initiative. Most recently, she worked as a researcher at the Global Impact Investing Network publishing practitioner-oriented research for impact investors around the world. Previously, she was an impact evaluator for organizations operating in Latin America, including RUNA, a social enterprise in the Ecuadorian Amazon. She began her career in asset management, spending several years at ClearBridge Investments in New York.</t>
  </si>
  <si>
    <t>+1 (617) 702-9132</t>
  </si>
  <si>
    <t>aliana@bostonimpact.com</t>
  </si>
  <si>
    <t>Roxbury</t>
  </si>
  <si>
    <t>Roxbury, MA</t>
  </si>
  <si>
    <t>2300 Washington Street</t>
  </si>
  <si>
    <t>02119</t>
  </si>
  <si>
    <t>Impact Director</t>
  </si>
  <si>
    <t>51587-29P</t>
  </si>
  <si>
    <t>Angela Brown</t>
  </si>
  <si>
    <t>Ms. Angela Brown serves as Member of Grants Advisory Committee at Boston Impact Initiative. Ms. Brown served as Director of Programs at Hyams Foundation. She joined the Foundation in 2004. Before coming to Hyams she was a manager with the Women's Institute for Housing and Economic Development, the Local Initiatives Support Corporation, and The New York City Economic Development Corporation. She has a B.A. in Economics from the University of Massachusetts at Amherst and a Masters in Public Policy from Harvard University's John F. Kennedy School of Government. Angela is a board member of Neighborhood Funders Group and New England Blacks in Philanthropy.</t>
  </si>
  <si>
    <t>Member of Grants Advisory Committee</t>
  </si>
  <si>
    <t>281700-46P</t>
  </si>
  <si>
    <t>Betty Francisco JD</t>
  </si>
  <si>
    <t>Betty</t>
  </si>
  <si>
    <t>Ms. Betty Francisco serves as Chief Executive Officer, Investment Committee Member, Board Member and Member of Grants Advisory Council at Boston Impact Initiative. She also serves as Board Member at Beth Israel Lahey Health. She also serves as a Board Member at the Nellie Mae Education Foundation. She recently served as General Counsel at Compass Working Capital. She is a dedicated community leader who has been involved with a number of non-profit and civic leadership organizations. She is co-founder of Latina Circle, a Boston-based network that is advancing Latina leaders into positions of power and influence and which recently launched Amplify Latinx to increase Latino civic engagement and political representation. She is also an investor with Pipeline Angels, a network of women investors creating capital for women social entrepreneurs. She obtained her Juris Doctor and Master of Business Administration from Northeastern University and her bachelor's degree in history from Bard College.</t>
  </si>
  <si>
    <t>betty@bostonimpact.com</t>
  </si>
  <si>
    <t>Chief Executive Officer, Investment Committee Member, Board Member and Member of Grants Advisory Council</t>
  </si>
  <si>
    <t>169227-91P</t>
  </si>
  <si>
    <t>Deborah Frieze</t>
  </si>
  <si>
    <t>Frieze</t>
  </si>
  <si>
    <t>Ms. Deborah Frieze is a Co-Founder and serves as President, Investment Committee Member at Boston Impact Initiative. She is also founder of the Old Oak Dojo, an urban learning center where neighbors gather to rediscover how to create healthy and resilient communities.</t>
  </si>
  <si>
    <t>+1 (617) 357-7140</t>
  </si>
  <si>
    <t>deborah@bostonimpact.com</t>
  </si>
  <si>
    <t>281720-80P</t>
  </si>
  <si>
    <t>Eric Esteves</t>
  </si>
  <si>
    <t>Mr. Eric Esteves serves as Advisor at Boston Impact Initiative. He is a connector, convener, philanthropist, artist and community advocate. His life mission is to connect people to resources and opportunities in order to transform their lives. Eric is the former Executive Director of the Lenny Zakim Fund and before that was the Director of the Social Innovation Fund at The Boston Foundation. He's also worked for Root Cause, Harvard Business School, Lesley University, the Boston Impact Initiative and the Boston Public Schools. He has a bachelor's degree in business administration and a master's degree in information systems from Northeastern University.</t>
  </si>
  <si>
    <t>353881-27P</t>
  </si>
  <si>
    <t>Guillermo Quinteros</t>
  </si>
  <si>
    <t>Quinteros</t>
  </si>
  <si>
    <t>Board Member &amp; Executive Director</t>
  </si>
  <si>
    <t>Mr. Guillermo Quinteros serves as Board Member &amp; Executive Director, Partnership for Democracy &amp; Education, LLC at Boston Impact Initiative. Mr. Quinteros serves as Executive Director at Jobin-Leeds Partnership for Democracy &amp; Education. Mr. Quinteros is an Executive Director and Managing Weaver of the Partnership for Democracy &amp; Education, LLC, which connects change-makers with donors, funders, investors, and political leaders to promote more generative and democratic forms of politics and the solidarity economy. This is the latest phase of his longstanding work in helping build the electoral and political infrastructure of the social justice sector to contest for governance power. He previously served as senior fellow and founder of the Independent Resource Generation (IRG) Hub at Amalgamated Foundation. Earlier and for several years, he was program director of both the Solidago Foundation, a public charity, and the See Forward Fund, a 501(c)(4) social welfare foundation, where he contributed to the development of what is now called independent political organizations. He has also led community-based and statewide organizations working on education and democracy reform issues, leaders and candidate development, and elections. He currently serves on the board of the Proteus Action League. He has a master's degree in city planning from the Massachusetts Institute of Technology and from Stony Brook University (SUNY) and a BA in economics from the University of Puerto Rico at Rio Piedras.</t>
  </si>
  <si>
    <t>Board Member &amp; Executive Director, Partnership for Democracy &amp; Education, LLC</t>
  </si>
  <si>
    <t>258062-86P</t>
  </si>
  <si>
    <t>Henry Noël Jr.</t>
  </si>
  <si>
    <t>Noël</t>
  </si>
  <si>
    <t>Mr. Henry Noël serves as Investment Director at Boston Impact Initiative. He serves as Advisory Council Member at Kirchner Food Fellowship. He brings tremendous insight and value to clients ranging from early-stage private ventures to public micro/mid-cap companies. He is focused on the intersection of impact investing, economic justice, and building resilience in inner-city communities from the ground up. He is an alum of the Impact Investing Program at Oxford University's Saïd Business School, holds an MBA from the Zarb School of Business at Hofstra University, and has a BA in Business Administration from Atlantic Union College.</t>
  </si>
  <si>
    <t>+1 (978) 660-8678</t>
  </si>
  <si>
    <t>henry@bostonimpact.com</t>
  </si>
  <si>
    <t>353880-64P</t>
  </si>
  <si>
    <t>Juan Leyton</t>
  </si>
  <si>
    <t>Leyton</t>
  </si>
  <si>
    <t>Chairman &amp; Director</t>
  </si>
  <si>
    <t>Mr. Juan Leyton serves as Director of Organizing, National Community Reinvestment Coalition &amp; Chairman at Boston Impact Initiative. Mr. Leyton Juan Leyton is the director of organizing at the National Community Reinvestment Coalition. NCRC is an association of more than 600 community-based organizations that promote access to basic banking services, affordable housing, entrepreneurship, job creation and vibrant communities for America's working families. His past work experience includes working for Madison Park Development Corporation, Local Enterprise Assistance Fund, MIT Community Innovators Lab (CoLab) and the Solidago Foundation. He also served as executive director of Dudley Street Neighborhood Initiative, Neighbor to Neighbor Massachusetts and City Life/Vida Urbana in Boston, and as director of community building at NeighborWorks America. He has been a Barr Foundation and MIT Community Innovators Lab fellow. He holds master's degrees in community economic development from Southern New Hampshire University and in public policy from Tufts University.</t>
  </si>
  <si>
    <t>Director of Organizing, National Community Reinvestment Coalition &amp; Chairman</t>
  </si>
  <si>
    <t>294232-06P</t>
  </si>
  <si>
    <t>Kafilat Lawal</t>
  </si>
  <si>
    <t>Kafilat</t>
  </si>
  <si>
    <t>Lawal</t>
  </si>
  <si>
    <t>Ms. Kafilat Lawal serves as Financial Controller at Boston Impact Initiative. She is a finance professional who comes to BII with ten years of experience in the non-profit educational sector, where she managed the finance operations of organizations that have worked to close inequities within marginalized communities.</t>
  </si>
  <si>
    <t>kafilat@bostonimpact.com</t>
  </si>
  <si>
    <t>Financial Controller</t>
  </si>
  <si>
    <t>311325-22P</t>
  </si>
  <si>
    <t>Malia Lazu</t>
  </si>
  <si>
    <t>Lazu</t>
  </si>
  <si>
    <t>Ms. Malia Lazu serves as an Investment Committee Member at Boston Impact Initiative. In her most recent role as EVP and Regional President at Berkshire Bank, she worked to generate wealth for communities by expanding access to capital and spurring economic growth -especially in communities of color that have traditionally been left behind. She served as an Advisor at Nue Capital. She began her career as a political organizer and bridge-builder founding Mass VOTE, a state-wide voter engagement campaign. She has led culture-shifting campaigns for the actor and civil rights activist Harry Belafonte, as well as businessmen and philanthropists like Peter Lewis and George Soros. She currently sits on the boards of the Massachusetts Business Roundtable, Revolutionary Spaces, Chica Project, Artist Asylum, and the Nation Magazine Editorial Board. She was named one of Essence Magazine's 50 founders to watch in 2017 and Boston Business Journal's Women Who Mean Business in 2019.</t>
  </si>
  <si>
    <t>311324-41P</t>
  </si>
  <si>
    <t>Matt Kahn</t>
  </si>
  <si>
    <t>Consultant &amp; Executive</t>
  </si>
  <si>
    <t>Mr. Matt Kahn serves as Investment Committee Member &amp; Consultant at Boston Impact Initiative. Mr. Kahn serves on the board of directors of a number of private and public companies. Previously, he spent 17 years at Gordon Brothers Group, where he was a founding member of the private equity and second lien lending business. Prior to joining Gordon Brothers in 1995, he was the chief financial officer of Joseph Bank Clothiers and was the senior vice president of finance at Nature Food Centres. He has an MBA and was also a CPA.</t>
  </si>
  <si>
    <t>Investment Committee Member &amp; Consultant</t>
  </si>
  <si>
    <t>21604-42P</t>
  </si>
  <si>
    <t>Michael Frieze</t>
  </si>
  <si>
    <t>Mr. Michael Frieze is a Chairman Emeritus of Gordon Brothers. Previously, he was Chairman Chief Investment Officer, and the firm's Chief Executive Officer. He is the Co-Founder and serves as an Investment Committee Member at Boston Impact Initiative. He has served on the philanthropic boards at the Dana Farber, Boston Children's Hospital; Combined Jewish Philanthropies; Brandeis University, College Bound; JOIN for Justice; Impact-Israel; Shalom Hartman Institute; American Technion Society, and Our Generation Speaks. He has a Bachelor of Arts from Bowdoin College and a Master of Business Administration from MIT Sloan School of Management.</t>
  </si>
  <si>
    <t>+1 (617) 422-6206</t>
  </si>
  <si>
    <t>mfrieze@gordonbrothers.com</t>
  </si>
  <si>
    <t>Co-Founder &amp; Investment Committee Member</t>
  </si>
  <si>
    <t>281719-54P</t>
  </si>
  <si>
    <t>Mike Leyba</t>
  </si>
  <si>
    <t>Leyba</t>
  </si>
  <si>
    <t>Mr. Mike Leyba serves as Investment Committee Member at Boston Impact Initiative. He is the Co-Executive Director for the anti-displacement community organizing group City Life/Vida Urbana and has been a part of this community since 2012. He has managed and worked on many local electoral campaigns, both in Boston and Los Angeles. He currently serves on the Board of Directors of Boston Impact Initiative and is currently developing a Boston-focused community land trust building acquisition fund.</t>
  </si>
  <si>
    <t>281702-98P</t>
  </si>
  <si>
    <t>Pablo Limon</t>
  </si>
  <si>
    <t>Limon</t>
  </si>
  <si>
    <t>Mr. Pablo Limon serves as Investment Committee Member &amp; Portfolio Advisor at Boston Impact Initiative. He has served previously as BII's Investment Director. He has an MBA in entrepreneurship from Babson College and a bachelor's degree in Accounting from Universidad Panamericana in Mexico. He brings more than eight years of experience in the finance and consulting industries. He previously worked for Itaú, the largest Latin American bank, and EY. He has specialized in mergers and acquisitions, restructuring, and cross-border</t>
  </si>
  <si>
    <t>pablo@bostonimpact.com</t>
  </si>
  <si>
    <t>Investment Committee Member &amp; Portfolio Advisor</t>
  </si>
  <si>
    <t>353882-44P</t>
  </si>
  <si>
    <t>Paulina Apone</t>
  </si>
  <si>
    <t>Apone</t>
  </si>
  <si>
    <t>Ms. Paulina Apone serves as an Impact Investing Associate at Boston Impact Initiative. She brings knowledge and experience supporting BIPOC and LGBTQIA+ entrepreneurs in realizing their ventures. Prior to BII, she lived in New Orleans, where she worked with an affordable housing nonprofit formerly known as the Tulane/Canal Neighborhood Development Corporation, now People's Housing+. She also was a microentrepreneur financial advisor for Fund 17. Currently, her focus is on economic development for historically marginalized communities in the New England area and learning the local history and the effects it has on community development. Professionally, she strives to work with BII in community economic growth, using affordable and accessible real estate to mitigate displacement and supporting programs that emphasize environmental justice. She holds an MBA from Brandeis' Heller School for Social Policy and Management and a BA in English from Portland State University.</t>
  </si>
  <si>
    <t>paulina@bostonimpact.com</t>
  </si>
  <si>
    <t>Impact Investing Associate</t>
  </si>
  <si>
    <t>281716-30P</t>
  </si>
  <si>
    <t>Zack Young</t>
  </si>
  <si>
    <t>Director &amp; Senior Associate</t>
  </si>
  <si>
    <t>Mr. Zack Young serves as Senior Impact Investing Associate and Director of Integrated Capital Solutions at Boston Impact Initiative. He performs due diligence on potential BII investments, provides financial coaching to local, mission-aligned organizations, and generates regular reporting on BII's Fund performance and health. In addition, he works closely with BII's Fund Building Cohort, contributing to curriculum development and advising cohort members. With an MBA in Social Impact from Brandeis's Heller School for Social Justice and as a candidate for Level II of the Chartered Alternative Investment Analyst designation</t>
  </si>
  <si>
    <t>zack@bostonimpact.com</t>
  </si>
  <si>
    <t>Senior Impact Investing Associate and Director of Integrated Capital Solutions</t>
  </si>
  <si>
    <t>249216-85P</t>
  </si>
  <si>
    <t>Amy Hook</t>
  </si>
  <si>
    <t>Hook</t>
  </si>
  <si>
    <t>Boston University</t>
  </si>
  <si>
    <t>Ms. Amy Hook serves as Vice President of Marketing &amp; Creative Services at Boston University.</t>
  </si>
  <si>
    <t>+1 (617) 353-2000</t>
  </si>
  <si>
    <t>233 Bay State Road</t>
  </si>
  <si>
    <t>02215</t>
  </si>
  <si>
    <t>Vice President of Marketing &amp; Creative Services</t>
  </si>
  <si>
    <t>36705-16P</t>
  </si>
  <si>
    <t>Clarissa Hunnewell</t>
  </si>
  <si>
    <t>Clarissa</t>
  </si>
  <si>
    <t>Hunnewell</t>
  </si>
  <si>
    <t>Ms. Clarissa Hunnewell serves as Chief Investment Officer at Boston University. She serves as Chief Investment Officer at Boston University Endowment. She holds BA in Economics from Princeton University and MBA from Harvard Business School.</t>
  </si>
  <si>
    <t>+1 (617) 353-4913</t>
  </si>
  <si>
    <t>lilawell@bu.edu</t>
  </si>
  <si>
    <t>+1 (617) 358-5220</t>
  </si>
  <si>
    <t>414541-00P</t>
  </si>
  <si>
    <t>Melissa Gilliam Ph.D</t>
  </si>
  <si>
    <t>Gilliam</t>
  </si>
  <si>
    <t>Ms. Melissa Gilliam serves as President and Trustee at Boston University. Before joining Ohio State, Dr. Gilliam spent the majority of her career at the University of Chicago, where she was the Ellen H. Block Distinguished Service Professor of Health Justice, a professor of obstetrics and gynecology and pediatrics, and vice provost. In the latter role, her portfolio consisted of faculty hiring, faculty development, chair development, and diversity and inclusion. In these roles, she oversaw the Neubauer Family Assistant Professors Program, the Provost Postdoctoral Scholars Program, and faculty awards and recognition. She earned her Bachelor of Arts in English literature from Yale University, a Master of Arts in philosophy and politics from the University of Oxford, a Doctor of Medicine from Harvard University, and a Master of Public Health from the University of Illinois, Chicago. She completed an internship in general surgery at the University of Chicago and her residency in obstetrics and gynecology at Northwestern University.</t>
  </si>
  <si>
    <t>+1 (617) 353-2200</t>
  </si>
  <si>
    <t>mgilliam@bu.edu</t>
  </si>
  <si>
    <t>143434-00P</t>
  </si>
  <si>
    <t>Michael Pratt</t>
  </si>
  <si>
    <t>Pratt</t>
  </si>
  <si>
    <t>Mr. Michael Pratt serves as Managing Director, Technology Development at Boston University. He joined Boston University's Office of Technology Development in May 2000. He serves as Board Observer at Beta Bionics. He worked in Technology Transfer, responsible for the transfer of technologies from the fields of physical, engineering, and computer sciences, as Director of the Office of Corporate Business Development, responsible for building long term partnerships with a special focus on technology development between Boston University/Boston Medical Center and industry and as Director of Translational Research &amp; Corporate Relations, providing support to faculty that participate in translational research programs through proposal development, implementation of translational research, and facilitating collaboration with industry. As Executive Director Business Development he led a team of business development professionals across all technical fields to connect Boston University discoveries with commercial opportunities. He is currently serving as Managing Director. Prior to OTD, Mr. Pratt was the Global Support Manager at NESLAB Instruments, Inc. of Portsmouth New Hampshire. His duties included management of the Application Engineering and Technical Support departments, P&amp;L responsibility for the field service operation, and maintaining relationships with their International Dealer network. Mr. Pratt holds a Bachelor of Arts in Physics from the College of the Holy Cross and an MBA from Boston University. He is a member of the Licensing Executives Society and the Association of University Technology Managers (AUTM).</t>
  </si>
  <si>
    <t>+1 (617) 353-4569</t>
  </si>
  <si>
    <t>mpratt@bu.edu</t>
  </si>
  <si>
    <t>Managing Director, Technology Development</t>
  </si>
  <si>
    <t>380954-80P</t>
  </si>
  <si>
    <t>Nicole Tirella</t>
  </si>
  <si>
    <t>Tirella</t>
  </si>
  <si>
    <t>Ms. Nicole Tirella serves as Senior Vice President, Chief Financial Officer and Treasurer at Boston University.</t>
  </si>
  <si>
    <t>ntirella@bu.edu</t>
  </si>
  <si>
    <t>Senior Vice President, Chief Financial Officer and Treasurer</t>
  </si>
  <si>
    <t>77101-12P</t>
  </si>
  <si>
    <t>Robert Brown Ph.D</t>
  </si>
  <si>
    <t>Dr. Robert Brown serves as the President Emeritus and Professor of Computing and Data Sciences at Boston University. A Texas native, Dr. Brown, 63, earned B.S. and M.S. degrees in chemical engineering at the University of Texas at Austin. He received his Ph.D. in chemical engineering from the University of Minnesota, where he worked under the guidance of Professor L.E. Scriven. He is a member of the American Academy of Arts and Sciences, the National Academy of Engineering, and the National Academy of Sciences, among other professional societies. At Boston University, Dr. Brown has emphasized strengthening the core missions of undergraduate, graduate, and professional education, interdisciplinary work, and research and scholarship across all sixteen schools and colleges. He initiated an eighteen-month planning process that culminated in a ten-year strategic plan, Choosing to be Great. The plan articulates Boston University's core values in a set of institutional commitments. It also defines goals to be met in order to establish Boston University as one of the great large private research universities in the world. Under Brown's leadership, Boston University was invited in 2012 to join the Association of American Universities (AAU), the organization of the 62 leading research universities in the United States and Canada.</t>
  </si>
  <si>
    <t>president@bu.edu</t>
  </si>
  <si>
    <t>Boston University Endowment (Former)</t>
  </si>
  <si>
    <t>340663-33P</t>
  </si>
  <si>
    <t>Vivek Pandit</t>
  </si>
  <si>
    <t>Pandit</t>
  </si>
  <si>
    <t>Mr. Vivek Pandit serves as Director, Industry Engagement - Computing and Data Sciences at Boston University.</t>
  </si>
  <si>
    <t>vpandit@bu.edu</t>
  </si>
  <si>
    <t>Director, Industry Engagement - Computing and Data Sciences</t>
  </si>
  <si>
    <t>288809-11P</t>
  </si>
  <si>
    <t>Bersabel Tadesse</t>
  </si>
  <si>
    <t>Bersabel</t>
  </si>
  <si>
    <t>Tadesse</t>
  </si>
  <si>
    <t>Bowery Capital</t>
  </si>
  <si>
    <t>Ms. Bersabel Tadesse serves as Venture Partner at Bowery Capital. She is a product leader, investor, and startup advisor. She's currently a Product Manager at Figma, a collaborative online design platform, where she oversees the company's developer platform and APIs. Prior to Figma, she was a Director of Product at Mapbox, a mapping platform for developers. At Mapbox, Bersabel was one of the first product leaders, where she launched many key, first-in-market products and customer partnerships. Prior to Mapbox, Bersabel briefly started and ran a subscription-based coffee roastery, which roasted ethically sourced Ethiopian coffee and donated 50% of profits to organizations that financially support coffee farmers and fund sustainable water infrastructure projects. Bersabel started her career in venture capital research and investing at Hall Capital Partners, and holds dual B.A.'s in Economics and French Language &amp; Literature from Williams College.</t>
  </si>
  <si>
    <t>+1 (415) 277-2622</t>
  </si>
  <si>
    <t>123 Lafayette Street</t>
  </si>
  <si>
    <t>77107-24P</t>
  </si>
  <si>
    <t>Emmanuelle Skala</t>
  </si>
  <si>
    <t>Skala</t>
  </si>
  <si>
    <t>Ms. Emmanuelle Skala serves as Senior Vice President of Customer Success and General Manager of Hardware at Toast.</t>
  </si>
  <si>
    <t>+1 (949) 226-5700</t>
  </si>
  <si>
    <t>100 Broadway</t>
  </si>
  <si>
    <t>Emerald Holding</t>
  </si>
  <si>
    <t>207264-25P</t>
  </si>
  <si>
    <t>Jessica Bernido</t>
  </si>
  <si>
    <t>Bernido</t>
  </si>
  <si>
    <t>Ms. Jessica Bernido serves as Vice President, Talent at Bowery Capital. Ms. Bernido is based in New York. She works closely with Bowery Capitals' portfolio founders on their human capital and hiring strategies. Prior to joining Bowery Capital, she was the Head of People and Talent at Rocketrip where she built and led Recruiting, and Human Resources and subsequently ran Office Management. Before Rocketrip, she also worked for Clarity Staffing where she focused on filling corporate positions for a range of companies, including Shutterstock and Blue Apron. She holds a Bachelor of Business and Commerce, majoring in Human Resource Management and Industrial Relations from the University of Western Sydney.</t>
  </si>
  <si>
    <t>+1 (212) 402-4600</t>
  </si>
  <si>
    <t>jessica.bernido@bowerycap.com</t>
  </si>
  <si>
    <t>Vice President, Talent</t>
  </si>
  <si>
    <t>139374-46P</t>
  </si>
  <si>
    <t>Loren Straub</t>
  </si>
  <si>
    <t>Loren</t>
  </si>
  <si>
    <t>Straub</t>
  </si>
  <si>
    <t>Ms. Loren Straub serves as a General Partner at Bowery Capital. She serves as a Board Member at epallet, QuoteBeam &amp; Paladin Cloud. She serves as a Board Member at FruitScout. She served as Principal at Bowery Capital. She serves as a Board Observer at Selfie Networks. She serves as a Board Member at SupplyShift and Klir. She serves as a Board Member at Reibus International. She served as Board Member at Oncue. Prior to joining Bowery Capital, she was an Associate in the Investment Banking Division at Goldman Sachs where she participated in a number of equity, debt, and M&amp;A transactions, predominantly in the enterprise software and internet sectors. Prior to Goldman Sachs, she worked at Groupon in the Corporate Finance Division where she built and led the initial Investor Relations department and subsequently ran Financial Planning &amp; Analysis for the company's 12 countries in APAC. She started her career at Activision Blizzard in the Investor Relations department. She has a B.S. in Communication from Boston University.</t>
  </si>
  <si>
    <t>+1 (877) 812-8689</t>
  </si>
  <si>
    <t>loren.straub@bowerycap.com</t>
  </si>
  <si>
    <t>221928-22P</t>
  </si>
  <si>
    <t>Mark Roberge</t>
  </si>
  <si>
    <t>Roberge</t>
  </si>
  <si>
    <t>Mr. Mark Roberge is a Co-Founder &amp; serves as Managing Director at Stage 2 Capital. He serves as Board Member at Sales Impact Academy. He serves as Revenue Council Member at Bowery Capital. He is a Senior Lecturer in the Entrepreneurial Management Unit at the Harvard Business School. He teaches Entrepreneurial Sales and Marketing in the second-year MBA program in the Fall term and The Entrepreneurial Manager in the first-year MBA program in the Winter term. Prior to HBS, He served as SVP of Global Sales and Services at HubSpot (NYSE: HUBS) where he scaled annualized revenue from $0 to $100 million and expanded his team from 1 to 450 employees. He was ranked #19 in Forbes' Top 30 Social Sellers in the World. He was also awarded the 2010 Salesperson of the Year at the MIT Sales Conference. He is active with a number of startups as a board of director's member, advisory board member, and angel investor. He received his MBA from the MIT Sloan School of Management and a B.A. in Mechanical Engineering from Lehigh University. He has been featured in the Wall Street Journal, Forbes Magazine, Inc. Magazine, Boston Globe, TechCrunch, Harvard Business Review, and other major publications for his entrepreneurial ventures. He is the author of the bestselling book The Sales Acceleration Formula: Using Data, Technology, and Inbound Selling to go from $0 to $100 Million.</t>
  </si>
  <si>
    <t>+1 (212) 204-7210</t>
  </si>
  <si>
    <t>mark@stage2.capital</t>
  </si>
  <si>
    <t>160 East 48th Street</t>
  </si>
  <si>
    <t>Unit 3S</t>
  </si>
  <si>
    <t>Co-Founder &amp; Managing Director, Stage 2 Capital</t>
  </si>
  <si>
    <t>Stage 2 Capital</t>
  </si>
  <si>
    <t>202847-77P</t>
  </si>
  <si>
    <t>Michael Brown</t>
  </si>
  <si>
    <t>Mr. Michael Brown is the Founder and serves as General Partner at Bowery Capital. He serves as a Board Member at Pantomath. He served as a Board Member at mParticle. He served as a Board Member at Selfie Networks and VNDLY. While at Bowery Capital, He has been influential in the creation of the firm's Acceleration Team. The Acceleration Team is a group of sales, marketing, and customer success practitioners that focus their efforts solely on helping early-stage founders with revenue-related growth. Outside of their support, the Acceleration Team is widely recognized for their content efforts including the Bowery Capital Startup Sales Podcast and their annual Startup Sales Stack Report featuring 2,000 vendors of sales technology. Prior to forming Bowery Capital, He co-founded AOL Ventures and also worked for the investment arm of Richard Branson's Virgin Group, helping to invest capital in early-stage internet startups on behalf of the British entrepreneur. He began his career at Morgan Stanley. Outside of his professional life, He serves on the Board of Directors of the National Forest Foundation and the Columbia College Alumni Association. He holds a B.A. from Columbia University. He serves as a Board Member at Cerby. He serves as Board Member at Elevate (Financial Software).</t>
  </si>
  <si>
    <t>+1 (201) 741-4861</t>
  </si>
  <si>
    <t>mike.brown@bowerycap.com</t>
  </si>
  <si>
    <t>38740-78P</t>
  </si>
  <si>
    <t>Neil Capel</t>
  </si>
  <si>
    <t>Capel</t>
  </si>
  <si>
    <t>Mr. Neil Capel serves as Venture Partner at Bowery Capital. He was the Founder and CEO of Sailthru, a recommendation and personalized communications platform based in New York and backed by Benchmark Capital and RRE Ventures. Neil is a recognized leader in the world of large-scale, high-demand web systems with over fifteen years of experience focused on technical infrastructure, behavioral targeting and big data collection and usage. Prior to founding Sailthru, Neil was the CTO for MusicNation, ASmallWorld, and MoneyMedia (Financial Times). Neil graduated with a BS and MS in Computer Science from the University of Portsmouth.</t>
  </si>
  <si>
    <t>+1 (646) 858-4687</t>
  </si>
  <si>
    <t>353261-44P</t>
  </si>
  <si>
    <t>Patrick McGovern</t>
  </si>
  <si>
    <t>McGovern</t>
  </si>
  <si>
    <t>Mr. Patrick McGovern serves as Principal at Bowery Capital. Prior to joining Bowery Capital, he worked as an independent consultant advising early-stage B2B SaaS &amp; marketplace businesses. Before attending business school, he worked as a consultant at Charles River Associates and K2 Intelligence. He holds a M.B.A from Yale School of Management and a B.A. from New York University.</t>
  </si>
  <si>
    <t>patrick.mcgovern@bowerycap.com</t>
  </si>
  <si>
    <t>37203-31P</t>
  </si>
  <si>
    <t>Stuart Wall</t>
  </si>
  <si>
    <t>Wall</t>
  </si>
  <si>
    <t>Mr. Stuart Wall is a Co-Founder &amp; serves as Chief Executive Officer at Setpoint. Mr. Wall serves as Venture Partner at Bowery Capital. Previously, he co-founded and served as Chief Executive Officer at Signpost. He manages product and recruiting for Signpost. Before Signpost, he worked as a consultant at Bain &amp; Company. He studied French and Finance at Miami University and has an MBA from Harvard Business School.</t>
  </si>
  <si>
    <t>+1 (631) 412-2121</t>
  </si>
  <si>
    <t>swall@setpoint.io</t>
  </si>
  <si>
    <t>310 Comal Street</t>
  </si>
  <si>
    <t>78702</t>
  </si>
  <si>
    <t>Setpoint</t>
  </si>
  <si>
    <t>39012-49P</t>
  </si>
  <si>
    <t>Zachary Sims</t>
  </si>
  <si>
    <t>Mr. Zachary Sims serves as Venture Partner at Bowery Capital. He co-founded Codecademy where he served as Chief Executive Officer. He also serves as Venture Partner at Bowery Capital. He is a Co-Founder and serves as Chief Executive Officer at Ryzac. Codecademy has reached millions of users in every country in the world. Codecademy's investors include Kleiner Perkins Caufield and Byers, Index Ventures, Richard Branson, Yuri Milner, and more. has Zach worked with GroupMe (acq. by Skype) and drop.io (acq. by Facebook). Zach was named to Inc. Magazine and Forbes Magazine's 30 Under 30 lists, was selected as a Technology Pioneer by the World Economic Forum, and was voted as one of TIME Magazine's 100 Most Influential People of 2013. He is an Angel Investor.</t>
  </si>
  <si>
    <t>100488-52P</t>
  </si>
  <si>
    <t>Adam Rothenberg</t>
  </si>
  <si>
    <t>Rothenberg</t>
  </si>
  <si>
    <t>BoxGroup</t>
  </si>
  <si>
    <t>Mr. Adam Rothenberg is a Co-Founder and serves as Partner and Investor at BoxGroup. He is an Angel Investor. He serves as Board Member at Gray Scalable.</t>
  </si>
  <si>
    <t>+1 (646) 655-9190</t>
  </si>
  <si>
    <t>adam@boxgroup.com</t>
  </si>
  <si>
    <t>1 Little West twelveth street</t>
  </si>
  <si>
    <t>5th Floor</t>
  </si>
  <si>
    <t>Co-Founder, Investor &amp; Partner</t>
  </si>
  <si>
    <t>211418-11P</t>
  </si>
  <si>
    <t>Adina Davis</t>
  </si>
  <si>
    <t>Ms. Adina Davis serves as an Investor at BoxGroup.</t>
  </si>
  <si>
    <t>adina@boxgroup.com</t>
  </si>
  <si>
    <t>67809-52P</t>
  </si>
  <si>
    <t>Brian Aledort</t>
  </si>
  <si>
    <t>Aledort</t>
  </si>
  <si>
    <t>Mr. Brian Aledort serves as Chief Financial Officer at BoxGroup. He served as Executive at Marker. Prior to joining Marker, Brian was a Senior Auditor within the alternative investments group at Marcum LLP. Brian earned a BBA with distinction from the Ross School of Business at the University of Michigan and is a Certified Public Accountant.</t>
  </si>
  <si>
    <t>brian@boxgroup.com</t>
  </si>
  <si>
    <t>318887-11P</t>
  </si>
  <si>
    <t>Claire Goldsmith</t>
  </si>
  <si>
    <t>Goldsmith</t>
  </si>
  <si>
    <t>Ms. Claire Goldsmith serves as Investor at BoxGroup.</t>
  </si>
  <si>
    <t>cg@boxgroup.com</t>
  </si>
  <si>
    <t>211573-27P</t>
  </si>
  <si>
    <t>Claire Smilow</t>
  </si>
  <si>
    <t>Smilow</t>
  </si>
  <si>
    <t>Ms. Claire Smilow serves as an Investor at BoxGroup. She is also an Angel investor. She served as Partner at Dorm Room Fund. She holds a degree fromHarvard Business School.</t>
  </si>
  <si>
    <t>+1 (203) 454-6040</t>
  </si>
  <si>
    <t>claire@boxgroup.com</t>
  </si>
  <si>
    <t>40354-84P</t>
  </si>
  <si>
    <t>David Tisch JD</t>
  </si>
  <si>
    <t>Tisch</t>
  </si>
  <si>
    <t>Mr. David Tisch is a Co-Founder &amp; Investor and serves as Managing Partner at BoxGroup. Mr. Tisch serves as Chairman at Good Dog. He serves as Advisor at ID.me. He serves as Board Member at HUDSON RIVER PARK TRUST. He is also the co-founder of TechStars NYC and previously served as Managing Director of the program. David was named to NYC Mayor Bloomberg's Advisory Council on Technology and serves on the Investor Board of Venture for America. He is also a regular contributor to the Wall Street Journal 'The Accelerators' online blog. Prior to joining TechStars, David served as Executive Vice President of Interactive Strategies at kgb, a global information services company. While at KGB, David founded and lead Knowmore.com, a social aggregation startup within kgb. David has a B.A. in American History from the University of Pennsylvania and a J.D. from New York University School of Law. He served as Executive at Trigger.nyc.</t>
  </si>
  <si>
    <t>david@boxgroup.com</t>
  </si>
  <si>
    <t>Co-Founder, Investor &amp; Managing Partner</t>
  </si>
  <si>
    <t>406257-13P</t>
  </si>
  <si>
    <t>Disha Karale</t>
  </si>
  <si>
    <t>Disha</t>
  </si>
  <si>
    <t>Karale</t>
  </si>
  <si>
    <t>Ms. Disha Karale serves as Investor at BoxGroup.</t>
  </si>
  <si>
    <t>disha@boxgroup.com</t>
  </si>
  <si>
    <t>104733-64P</t>
  </si>
  <si>
    <t>Gregory Rosen</t>
  </si>
  <si>
    <t>Mr. Gregory Rosen is an Investor &amp; serves as Partner at BoxGroup. He serves as a Board Observer at Loyal. Previously, He was a Principal at Benchmark and BoxGroup. He started his career in venture capital in 2012 at Raptor Ventures. He has made investments in companies such as Memphis Meats, Cobalt Robotics, Brud, Citizen, Coinbase (SPV), and Roman.</t>
  </si>
  <si>
    <t>greg@boxgroup.com</t>
  </si>
  <si>
    <t>Investor &amp; Partner</t>
  </si>
  <si>
    <t>254527-39P</t>
  </si>
  <si>
    <t>Jeff Silverstein</t>
  </si>
  <si>
    <t>Silverstein</t>
  </si>
  <si>
    <t>Mr. Jeff Silverstein serves as Investor at BoxGroup. He served as Investment Partner at Andreessen Horowitz. He is an Angel Investor.</t>
  </si>
  <si>
    <t>+1 (617) 965-4249</t>
  </si>
  <si>
    <t>90784-99P</t>
  </si>
  <si>
    <t>Nimi Katragadda</t>
  </si>
  <si>
    <t>Nimi</t>
  </si>
  <si>
    <t>Katragadda</t>
  </si>
  <si>
    <t>Ms. Nimi Katragadda is an Investor and serves as Partner at BoxGroup. She focuses on investments in fintech, healthcare, and marketplaces. She sources and invests in entrepreneurs building disruptive technology companies that aim to create category-defining businesses. Previously, she worked in Investment Banking at J.P. Morgan and later as an Associate Product Marketing Manager at Google, focused on growing small business advertisers. She graduated with an Honors BA degree from Harvard, majoring in Economics and Government, and also received an MBA with Distinction from Harvard Business School. In 2017, Nimi was named to the Forbes 30 Under 30 list for Venture Capital.</t>
  </si>
  <si>
    <t>nimi@boxgroup.com</t>
  </si>
  <si>
    <t>Partner &amp; Investor</t>
  </si>
  <si>
    <t>291891-79P</t>
  </si>
  <si>
    <t>Arvind Ramanathan</t>
  </si>
  <si>
    <t>Arvind</t>
  </si>
  <si>
    <t>Ramanathan</t>
  </si>
  <si>
    <t>BoxOne Ventures</t>
  </si>
  <si>
    <t>Mr. Arvind Ramanathan is a Co-Founder at BoxOne Ventures. In 2005, he and Josh Felker cofounded Vigilant Global, a proprietary trading company. From its modest beginning in his mother's apartment in Lasalle, Vigilant Global grew to one of Canada's top trading firm thanks to some great algorithms and several brilliant early hires. When DRW acquired Vigilant in 2012, he joined DRW as a partner. In 2021, after helping the Montreal office expand to over 200 employees, he decided to focus on new challenges. He actively supports youth education. He has been on the board of Youth Fusion, an organization that helps increase high school graduation rates, for almost fifteen years. He also started the Sun and Truth Foundation, which supports initiatives that promote youth education and aims to help humans reconnect with nature. He is also still involved in giving back to his high school, LCCHS, and participates in robotics programs and food drives.</t>
  </si>
  <si>
    <t>arv@boxone.xyz</t>
  </si>
  <si>
    <t>1001 Lenoir Street</t>
  </si>
  <si>
    <t>Suite B532</t>
  </si>
  <si>
    <t>H4C 2Z6</t>
  </si>
  <si>
    <t>344509-12P</t>
  </si>
  <si>
    <t>Felicity Meyer</t>
  </si>
  <si>
    <t>Felicity</t>
  </si>
  <si>
    <t>Ms. Felicity Meyer serves as Cleantech Investment Manager at BoxOne Ventures. She actively supports the BoxOne portfolio, leveraging her experience in managing lab operations for Boston's top biotech accelerator and leading teams at two evolving startups. As a McGill Sustainability Education Fellow, she developed a new research-based graduate course, and as a Fonds du recherche du Quebec Grad2VC Fellow, she promoted research commercialization in Montreal's universities. Additionally, she mentors for Simmons University's NASA-funded DREAM-WSTEM program. She is both an avid climber and skier. She holds a Master's in Bioresource Engineering from McGill University, as well as a B.S. in Chemistry and B.S. in Physics from Simmons University in beautiful Boston, Massachusetts.</t>
  </si>
  <si>
    <t>felicity@boxone.xyz</t>
  </si>
  <si>
    <t>Cleantech Investment Manager</t>
  </si>
  <si>
    <t>162904-42P</t>
  </si>
  <si>
    <t>Josh Felker</t>
  </si>
  <si>
    <t>Felker</t>
  </si>
  <si>
    <t>Mr. Josh Felker is a Co-Founder at Nascent. He is a Co-Founder and serves as &amp; Managing Partner at BoxOne Ventures. he was the co-founder of the Montreal-based proprietary trading firm Vigilant Global, an early pioneer in the use of FPGAs and wireless communication technologies in financial markets. A leader in the most latency-sensitive and technology-driven areas of trading, Vigilant was acquired by proprietary trading firm DRW Trading in 2012. As a partner at DRW, he helped oversee a highly diversified global trading firm with responsibilities spanning liquidity provision operations, risk-taking/directional trading, real estate, venture investing, and cryptocurrency trading. He received a Bachelor's degree in Genetics from the University of Western Ontario and is a proud father of four.</t>
  </si>
  <si>
    <t>josh@boxone.xyz</t>
  </si>
  <si>
    <t>Nascent</t>
  </si>
  <si>
    <t>185162-77P</t>
  </si>
  <si>
    <t>Nathaniel Kirsh</t>
  </si>
  <si>
    <t>Kirsh</t>
  </si>
  <si>
    <t>Mr. Nathaniel Kirsh serves as Head of Finance at BoxOne Ventures. He has done CPA, MBA, CBV, and is Head of Finance at BoxOne, with the primary goal of ensuring the success of the team and its portfolio companies. He is responsible for evaluating new opportunities and monitoring the firm's investments, including providing financial and strategic guidance. He joined BoxOne in 2022, drawing on his experience in valuations and litigations, quantifying damage due to loss of value, breach of contract, and theft of intellectual property. Nathaniel also has experience in mergers and acquisitions and management consulting. He is a Chartered Professional Accountant and Chartered Business Valuator in Canada. Outside of BoxOne, he helped incorporate a local charity in 2015, which provides scholarships to underprivileged areas of Montréal. He is also a course lecturer at McGill University.</t>
  </si>
  <si>
    <t>+1 (514) 295-0689</t>
  </si>
  <si>
    <t>nathaniel@boxone.xyz</t>
  </si>
  <si>
    <t>Head of Finance</t>
  </si>
  <si>
    <t>408692-53P</t>
  </si>
  <si>
    <t>Rebecca Allan Ph.D</t>
  </si>
  <si>
    <t>Allan</t>
  </si>
  <si>
    <t>Dr. Rebecca Allan serves as Life Sciences Investment Manager at BoxOne Ventures. She co-founded Scivance. She has experience in venture creation studios and student-led VC funds has provided her with a robust foundation in identifying and enhancing visionary companies. During her thesis work and working as an independent consultant, she cultivated vital operational expertise, particularly in navigating the intricacies of spin-out companies. She holds a Master's in Chemistry from Cardiff University and a Ph.D. in Chemistry from the University of Toronto, with a specialization in small molecules and rare diseases.</t>
  </si>
  <si>
    <t>rebecca@boxone.xyz</t>
  </si>
  <si>
    <t>Life Sciences Investment Manager</t>
  </si>
  <si>
    <t>164159-74P</t>
  </si>
  <si>
    <t>Albertien Greijdanus</t>
  </si>
  <si>
    <t>Albertien</t>
  </si>
  <si>
    <t>Greijdanus</t>
  </si>
  <si>
    <t>Brabantse Ontwikkelings Maatschappij</t>
  </si>
  <si>
    <t>Ms. Albertien Greijdanus serves as Senior Investment Manager at Brabantse Ontwikkelings Maatschappij. She co-founded and served as Vice President of Finance, Administration and Human Resources &amp; CCO at Alleviant Medical.</t>
  </si>
  <si>
    <t>+31 (0)62 859 8705</t>
  </si>
  <si>
    <t>agreijdanus@bom.nl</t>
  </si>
  <si>
    <t>Tilburg</t>
  </si>
  <si>
    <t>Tilburg, Netherlands</t>
  </si>
  <si>
    <t>Goirlese Weg 15</t>
  </si>
  <si>
    <t>5026 PB</t>
  </si>
  <si>
    <t>151820-38P</t>
  </si>
  <si>
    <t>Anouk Groothuis</t>
  </si>
  <si>
    <t>Anouk</t>
  </si>
  <si>
    <t>Groothuis</t>
  </si>
  <si>
    <t>Ms. Anouk Groothuis serves as Business Controller at Brabantse Ontwikkelings Maatschappij. She holds Master's in Leadership and Management from TiasNimbas Business School and Bachelor's in International Business from Avans Hogeschool Den Bosch.</t>
  </si>
  <si>
    <t>+31 (0)64 673 2395</t>
  </si>
  <si>
    <t>agroothuis@bom.nl</t>
  </si>
  <si>
    <t>Business Controller</t>
  </si>
  <si>
    <t>151828-12P</t>
  </si>
  <si>
    <t>Bart Mul</t>
  </si>
  <si>
    <t>Bart</t>
  </si>
  <si>
    <t>Mul</t>
  </si>
  <si>
    <t>Mr. Bart Mul serves as Senior Investment Manager, Fund to Fund at Brabantse Ontwikkelings Maatschappij. He serves as Chief Financial Officer at Prespective</t>
  </si>
  <si>
    <t>+31 (0)65 257 9406</t>
  </si>
  <si>
    <t>bmul@bom.nl</t>
  </si>
  <si>
    <t>Senior Investment Manager, Fund to Fund</t>
  </si>
  <si>
    <t>151823-71P</t>
  </si>
  <si>
    <t>Bram van den Hoogen</t>
  </si>
  <si>
    <t>Bram</t>
  </si>
  <si>
    <t>van den Hoogen</t>
  </si>
  <si>
    <t>Mr. Bram van den Hoogen serves as Public Affairs Manager at Brabantse Ontwikkelings Maatschappij.</t>
  </si>
  <si>
    <t>+31 (0)64 697 8211</t>
  </si>
  <si>
    <t>bvandenhoogen@bom.nl</t>
  </si>
  <si>
    <t>Public Affairs Manager</t>
  </si>
  <si>
    <t>143570-98P</t>
  </si>
  <si>
    <t>Brigit van Dijk-van de Reijt</t>
  </si>
  <si>
    <t>Brigit</t>
  </si>
  <si>
    <t>van Dijk-van de Reijt</t>
  </si>
  <si>
    <t>Ms. Brigit van Dijk-van de Reijt serves as Chief Executive Officer at Brabantse Ontwikkelings Maatschappij. Previously, she served as Chief Executive Officer at DOB Equity. She has over 18 years of experience investing in private companies in growth markets in various sectors in Latin America, Africa, and Asia. Until she joined DOB Equity in early 2015, she was a Director and Senior Advisor to The Abraaj Group based out of Singapore. Before that, she was a Partner with Aureos Capital in London. Between 1999 and 2007, She was with FMO, the Netherlands Development Finance Company, most recently as Director of Private Equity. She started her career with ABN AMRO Bank, Corporate Investments. She holds an M.Sc. in Economics from the University of Amsterdam. She is a Member of the Supervisory Board of CORDAID, the Catholic Organisation for Relief and Development Aid, and one of the larger international development organizations in the Netherlands. She is a member of the Sustainability Committee of AVCA, the African Venture Capital and Private Equity Association, the steering committee of the Abraaj Alumni Network, and an Independent Advisor to several emerging markets private equity funds.</t>
  </si>
  <si>
    <t>+31 (0)62 142 1930</t>
  </si>
  <si>
    <t>bvandijk@bom.nl</t>
  </si>
  <si>
    <t>263852-20P</t>
  </si>
  <si>
    <t>Constance de Kok</t>
  </si>
  <si>
    <t>Constance</t>
  </si>
  <si>
    <t>de Kok</t>
  </si>
  <si>
    <t>Ms. Constance de Kok serves as Data Specialist, Foreign Investments &amp; International Trade at Brabantse Ontwikkelings Maatschappij.</t>
  </si>
  <si>
    <t>+31 (0)61 013 3726</t>
  </si>
  <si>
    <t>cdekok@bom.nl</t>
  </si>
  <si>
    <t>Data Specialist, Foreign Investments &amp; International Trade</t>
  </si>
  <si>
    <t>279976-33P</t>
  </si>
  <si>
    <t>Daan Cloe</t>
  </si>
  <si>
    <t>Daan</t>
  </si>
  <si>
    <t>Cloe</t>
  </si>
  <si>
    <t>Mr. Daan De Cloe serves as Managing Director Foreign Investments &amp; International Trade and Member MT at Brabantse Ontwikkelings Maatschappij. He co-founded &amp; served as Chief Technology Officer at AutoFill Technologies</t>
  </si>
  <si>
    <t>+31 (0)65 280 3643</t>
  </si>
  <si>
    <t>daan@bom.nl</t>
  </si>
  <si>
    <t>Managing Director Foreign Investments &amp; International Trade and Member MT</t>
  </si>
  <si>
    <t>240729-85P</t>
  </si>
  <si>
    <t>Daan van Lange</t>
  </si>
  <si>
    <t>van Lange</t>
  </si>
  <si>
    <t>Executive &amp; Senior Investment Manager</t>
  </si>
  <si>
    <t>Mr. Daan van Lange serves as Senior Investment Manager &amp; Team Lead Climate Tech at Brabantse Ontwikkelings Maatschappij.</t>
  </si>
  <si>
    <t>+31 (0)64 441 2869</t>
  </si>
  <si>
    <t>dvanlange@bom.nl</t>
  </si>
  <si>
    <t>Senior Investment Manager &amp; Team Lead Climate Tech</t>
  </si>
  <si>
    <t>315508-33P</t>
  </si>
  <si>
    <t>David Aghina</t>
  </si>
  <si>
    <t>Aghina</t>
  </si>
  <si>
    <t>Mr. David Aghina serves as Investment Manager at Brabantse Ontwikkelings Maatschappij.</t>
  </si>
  <si>
    <t>+31 (0)62 555 9508</t>
  </si>
  <si>
    <t>daghina@bom.nl</t>
  </si>
  <si>
    <t>368086-24P</t>
  </si>
  <si>
    <t>Dirk Metsaars</t>
  </si>
  <si>
    <t>Metsaars</t>
  </si>
  <si>
    <t>Mr. Dirk Metsaars serves as Managing Director, Business Insights &amp; Control and member MT at Brabantse Ontwikkelings Maatschappij.</t>
  </si>
  <si>
    <t>+31 (0)61 871 0240</t>
  </si>
  <si>
    <t>dmetsaars@bom.nl</t>
  </si>
  <si>
    <t>Managing Director, Business Insights &amp; Control and member MT</t>
  </si>
  <si>
    <t>151820-11P</t>
  </si>
  <si>
    <t>Edith Groenewolt</t>
  </si>
  <si>
    <t>Groenewolt</t>
  </si>
  <si>
    <t>Ms. Edith Groenewolt serves as Impact Officer at Brabantse Ontwikkelings Maatschappij.</t>
  </si>
  <si>
    <t>+31 (0)61 524 9858</t>
  </si>
  <si>
    <t>egroenewolt@bom.nl</t>
  </si>
  <si>
    <t>Impact Officer</t>
  </si>
  <si>
    <t>368090-20P</t>
  </si>
  <si>
    <t>Edwin Koopman</t>
  </si>
  <si>
    <t>Koopman</t>
  </si>
  <si>
    <t>Mr. Edwin Koopman serves as Financial Controller at Brabantse Ontwikkelings Maatschappij.</t>
  </si>
  <si>
    <t>+31 (0)68 135 7767</t>
  </si>
  <si>
    <t>ekoopman@bom.nl</t>
  </si>
  <si>
    <t>151839-37P</t>
  </si>
  <si>
    <t>Edwin Zonder</t>
  </si>
  <si>
    <t>Zonder</t>
  </si>
  <si>
    <t>Mr. Edwin Zonder serves as Senior Project Manager, Foreign Investments at Brabantse Ontwikkelings Maatschappij.</t>
  </si>
  <si>
    <t>+31 (0)63 194 3677</t>
  </si>
  <si>
    <t>ezonder@bom.nl</t>
  </si>
  <si>
    <t>Senior Project Manager, Foreign Investments</t>
  </si>
  <si>
    <t>426116-26P</t>
  </si>
  <si>
    <t>Eline Doornenbal</t>
  </si>
  <si>
    <t>Eline</t>
  </si>
  <si>
    <t>Doornenbal</t>
  </si>
  <si>
    <t>Ms. Eline Doornenbal serves as Associate at Brabantse Ontwikkelings Maatschappij.</t>
  </si>
  <si>
    <t>+31 (0)68 136 1894</t>
  </si>
  <si>
    <t>edoornenbal@bom.nl</t>
  </si>
  <si>
    <t>254820-52P</t>
  </si>
  <si>
    <t>Ellen de Brabander Ph.D</t>
  </si>
  <si>
    <t>Ellen</t>
  </si>
  <si>
    <t>de Brabander</t>
  </si>
  <si>
    <t>Member of Supervisory Board</t>
  </si>
  <si>
    <t>Dr. Ellen de Brabander serves as Member of Investment Committee &amp; Member of Scientific Advisory Board at PeakBridge. She serves as SVP of R&amp;D at PepsiCo, Board Member at New York Academy of Science, former CEO at EIT Food, former CTO at DSM and CTO at Merial. She also serves as the Member of Supervisory Board at Brabantse Ontwikkelings Maatschappij.</t>
  </si>
  <si>
    <t>+356 9927 6583</t>
  </si>
  <si>
    <t>ellen@peakbridge.vc</t>
  </si>
  <si>
    <t>Member of Investment Committee &amp; Member of Scientific Advisory Board</t>
  </si>
  <si>
    <t>PeakBridge</t>
  </si>
  <si>
    <t>203659-93P</t>
  </si>
  <si>
    <t>Ernst Coolen</t>
  </si>
  <si>
    <t>Coolen</t>
  </si>
  <si>
    <t>Head &amp; Investment Director</t>
  </si>
  <si>
    <t>Mr. Ernst Coolen serves as Investment Director and Team lead Renewable Energy at Brabantse Ontwikkelings Maatschappij. He serves as Investment Director at SecFund.</t>
  </si>
  <si>
    <t>+31 (0)61 324 9273</t>
  </si>
  <si>
    <t>ecoolen@bom.nl</t>
  </si>
  <si>
    <t>Investment Director &amp; Team lead Renewable Energy</t>
  </si>
  <si>
    <t>203659-12P</t>
  </si>
  <si>
    <t>Esther Raats-Coster</t>
  </si>
  <si>
    <t>Esther</t>
  </si>
  <si>
    <t>Raats-Coster</t>
  </si>
  <si>
    <t>Ms. Esther Raats-Coster serves as Member of Supervisory Board at Brabantse Ontwikkelings Maatschappij.</t>
  </si>
  <si>
    <t>+31 (0)88 831 1120</t>
  </si>
  <si>
    <t>426118-24P</t>
  </si>
  <si>
    <t>Fabbio Hu</t>
  </si>
  <si>
    <t>Fabbio</t>
  </si>
  <si>
    <t>Mr. Fabbio Hu serves as Investment Analyst at Brabantse Ontwikkelings Maatschappij.</t>
  </si>
  <si>
    <t>+31 (0)68 136 1899</t>
  </si>
  <si>
    <t>fhu@bom.nl</t>
  </si>
  <si>
    <t>189414-37P</t>
  </si>
  <si>
    <t>Fabian Hendrix</t>
  </si>
  <si>
    <t>Mr. Fabian Hendrix serves as Investment Manager, a.i. at Brabantse Ontwikkelings Maatschappij.</t>
  </si>
  <si>
    <t>+31 (0)65 581 0122</t>
  </si>
  <si>
    <t>fhendrix@bom.nl</t>
  </si>
  <si>
    <t>Investment Manager, a.i.</t>
  </si>
  <si>
    <t>218349-55P</t>
  </si>
  <si>
    <t>Femke Brenninkmeijer</t>
  </si>
  <si>
    <t>Femke</t>
  </si>
  <si>
    <t>Brenninkmeijer</t>
  </si>
  <si>
    <t>Ms. Femke Brenninkmeijer serves as Chief Executive Officer at NPRC. She also serves as Chairman of the Investment Committee (BOM Projects) at Brabantse Ontwikkelings Maatschappij. She serves as Chief Executive Officer at NPRC. She holds Degree in International Law and Administrative Law from Free University of Bozen-Bolzano</t>
  </si>
  <si>
    <t>+31 (0)10 313 9901</t>
  </si>
  <si>
    <t>femke.brenninkmeijer@nprc.nl</t>
  </si>
  <si>
    <t>Boterdiep 46</t>
  </si>
  <si>
    <t>South Holland</t>
  </si>
  <si>
    <t>3077 AW</t>
  </si>
  <si>
    <t>NPRC</t>
  </si>
  <si>
    <t>165252-52P</t>
  </si>
  <si>
    <t>Floris Hamel</t>
  </si>
  <si>
    <t>Floris</t>
  </si>
  <si>
    <t>Hamel</t>
  </si>
  <si>
    <t>Mr. Floris Hamel serves as Senior Investment Manager Lifesciences &amp; Medtech at Brabantse Ontwikkelings Maatschappij.</t>
  </si>
  <si>
    <t>+31 (0)62 197 0449</t>
  </si>
  <si>
    <t>fhamel@bom.nl</t>
  </si>
  <si>
    <t>Senior Investment Manager Lifesciences &amp; Medtech</t>
  </si>
  <si>
    <t>151824-07P</t>
  </si>
  <si>
    <t>Frits Hoeve</t>
  </si>
  <si>
    <t>Frits</t>
  </si>
  <si>
    <t>Hoeve</t>
  </si>
  <si>
    <t>Mr. Frits Hoeve serves as Programme Manager at Brabantse Ontwikkelings Maatschappij.</t>
  </si>
  <si>
    <t>+31 (0)63 194 2046</t>
  </si>
  <si>
    <t>fhoeve@bom.nl</t>
  </si>
  <si>
    <t>Programme Manager</t>
  </si>
  <si>
    <t>263851-30P</t>
  </si>
  <si>
    <t>Guido Leestemaker</t>
  </si>
  <si>
    <t>Guido</t>
  </si>
  <si>
    <t>Leestemaker</t>
  </si>
  <si>
    <t>Mr. Guido Leestemaker serves as Cybersecurity Quartermaster at Brabantse Ontwikkelings Maatschappij. He holds MS in Management from Tilburg University.</t>
  </si>
  <si>
    <t>+31 (0)62 527 2500</t>
  </si>
  <si>
    <t>gleestemaker@bom.nl</t>
  </si>
  <si>
    <t>Cybersecurity Quartermaster</t>
  </si>
  <si>
    <t>174958-39P</t>
  </si>
  <si>
    <t>Herke van Hulst</t>
  </si>
  <si>
    <t>Herke</t>
  </si>
  <si>
    <t>van Hulst</t>
  </si>
  <si>
    <t>Ms. Herke van Hulst serves as Partner &amp; Advocaat at Osborne Clarke. She serves as Member of Investment Committee at Brabantse Ontwikkelings Maatschappij. She has a broad transactional and corporate advisory practice across a wide range of sectors. She has a particular interest in transactions in healthcare and life sciences and digital sectors. Clients include national and international private equity and venture capital firms, investment funds and national and international corporate clients. She is a graduate of the University of Utrecht, studied law at Panthéon-Assas in Paris, and was admitted to the Dutch bar in 1996. Prior to joining Osborne Clarke in December 2015, she was Counsel at Clifford Chance in Amsterdam where she worked for 15 years. Over the course of her career she worked from Amsterdam, London and Kuala Lumpur.</t>
  </si>
  <si>
    <t>+31 20 702 8672</t>
  </si>
  <si>
    <t>herke.vanhulst@osborneclarke.com</t>
  </si>
  <si>
    <t>One London Wall</t>
  </si>
  <si>
    <t>EC2Y 5EB</t>
  </si>
  <si>
    <t>Partner &amp; Advocaat</t>
  </si>
  <si>
    <t>Osborne Clarke</t>
  </si>
  <si>
    <t>69549-58P</t>
  </si>
  <si>
    <t>Ilse Massart</t>
  </si>
  <si>
    <t>Ilse</t>
  </si>
  <si>
    <t>Massart</t>
  </si>
  <si>
    <t>Ms. Ilse Massart serves as Senior Investment Manager Climate Tech at Brabantse Ontwikkelings Maatschappij.</t>
  </si>
  <si>
    <t>+31 (0)62 115 0489</t>
  </si>
  <si>
    <t>imassart@bom.nl</t>
  </si>
  <si>
    <t>Senior Investment Manager Climate Tech</t>
  </si>
  <si>
    <t>263854-99P</t>
  </si>
  <si>
    <t>Ingrid Nieweg</t>
  </si>
  <si>
    <t>Nieweg</t>
  </si>
  <si>
    <t>Ms. Ingrid Nieweg serves as Investment Manager Climate Tech at Brabantse Ontwikkelings Maatschappij.</t>
  </si>
  <si>
    <t>+31 (0)61 555 7133</t>
  </si>
  <si>
    <t>inieweg@bom.nl</t>
  </si>
  <si>
    <t>Investment Manager Climate Tech</t>
  </si>
  <si>
    <t>426232-90P</t>
  </si>
  <si>
    <t>Ivana Vollenbroek</t>
  </si>
  <si>
    <t>Vollenbroek</t>
  </si>
  <si>
    <t>Ms. Ivana Vollenbroek serves as Senior Investment Manager Key Tech at Brabantse Ontwikkelings Maatschappij.</t>
  </si>
  <si>
    <t>+31 (0)63 936 2234</t>
  </si>
  <si>
    <t>isersic@bom.nl</t>
  </si>
  <si>
    <t>Senior Investment Manager Key Tech</t>
  </si>
  <si>
    <t>232651-18P</t>
  </si>
  <si>
    <t>Jeroen Willems</t>
  </si>
  <si>
    <t>Willems</t>
  </si>
  <si>
    <t>Mr. Jeroen Willems serves as Senior Investment Manager at Brabantse Ontwikkelings Maatschappij.</t>
  </si>
  <si>
    <t>+31 (0)62 926 1292</t>
  </si>
  <si>
    <t>jwillems@bom.nl</t>
  </si>
  <si>
    <t>69548-32P</t>
  </si>
  <si>
    <t>Jurgen van Eck</t>
  </si>
  <si>
    <t>van Eck</t>
  </si>
  <si>
    <t>Mr. Jurgen van Eck serves as Senior Investment Manager &amp; Venture Developer at Brabantse Ontwikkelings Maatschappij. He serves as Supervisory Board Member and Observer at SALDtech.</t>
  </si>
  <si>
    <t>+31 (0)64 699 6026</t>
  </si>
  <si>
    <t>jvaneck@bom.nl</t>
  </si>
  <si>
    <t>Senior Investment Manager &amp; Venture Developer</t>
  </si>
  <si>
    <t>151825-33P</t>
  </si>
  <si>
    <t>Koen den Houting</t>
  </si>
  <si>
    <t>den Houting</t>
  </si>
  <si>
    <t>Mr. Koen den Houting serves as Investment Manager, Renewable Energy at Brabantse Ontwikkelings Maatschappij.</t>
  </si>
  <si>
    <t>+31 (0)64 699 6014</t>
  </si>
  <si>
    <t>kdenhouting@bom.nl</t>
  </si>
  <si>
    <t>Investment Manager, Renewable Energy</t>
  </si>
  <si>
    <t>426238-03P</t>
  </si>
  <si>
    <t>Koen Voskuil</t>
  </si>
  <si>
    <t>Voskuil</t>
  </si>
  <si>
    <t>Mr. Koen Voskuil serves as Investment Analyst at Brabantse Ontwikkelings Maatschappij.</t>
  </si>
  <si>
    <t>+31 (0)64 207 0284</t>
  </si>
  <si>
    <t>kvoskuil@bom.nl</t>
  </si>
  <si>
    <t>263853-19P</t>
  </si>
  <si>
    <t>Maarten Brouwer</t>
  </si>
  <si>
    <t>Brouwer</t>
  </si>
  <si>
    <t>Mr. Maarten Brouwer serves as Teamleader Foreign Investments at Brabantse Ontwikkelings Maatschappij.</t>
  </si>
  <si>
    <t>+31 (0)65 549 7102</t>
  </si>
  <si>
    <t>mbrouwer@bom.nl</t>
  </si>
  <si>
    <t>Teamleader Foreign Investments</t>
  </si>
  <si>
    <t>286245-37P</t>
  </si>
  <si>
    <t>Marc Jansen</t>
  </si>
  <si>
    <t>Jansen</t>
  </si>
  <si>
    <t>Mr. Marc Jansen serves as Managing Director of Investments and Member MT at Brabantse Ontwikkelings Maatschappij. He served as a Board Member at Preceyes.</t>
  </si>
  <si>
    <t>+31 (0)65 263 3676</t>
  </si>
  <si>
    <t>mjansen@bom.nl</t>
  </si>
  <si>
    <t>Managing Director Investments and Member MT</t>
  </si>
  <si>
    <t>245873-62P</t>
  </si>
  <si>
    <t>Mark Broekman</t>
  </si>
  <si>
    <t>Broekman</t>
  </si>
  <si>
    <t>Mr. Mark Broekman serves as Member of Investment Committee, BOM Projects at Brabantse Ontwikkelings Maatschappij. He has been active in the field of investment financing and innovation for more than 20 years. For the first 8 years, his focus was mainly on companies from the Brabant region. For the past 12 years he has advised companies throughout Europe with a strong focus on the Energy &amp; Environment sector. After studying Technical Innovation Sciences with a mechanical engineering component at the Eindhoven University of Technology, Mark started as a consultant at Arthur Andersen. In 2003 he continued his career at one of the "big four", EY (Ernst &amp; Young), where he was active in various management and consultancy roles. In 2007 he joined the PNO Group, where he was responsible for, among other things, the strategy, business development and expansion of the expertise group Energy &amp; Environment. This expertise group has since grown into a fully-fledged European company EGEN and is active in seven countries. In the position of Managing Director EGEN Europe, for example, he is responsible for a large group of enthusiastic consultants in Europe who work on accelerating green innovation and investments in the energy transition. In addition, he is responsible for the overall subsidy acquisition at large accounts (network operators, energy producers and developers) in the energy sector in the Netherlands.</t>
  </si>
  <si>
    <t>Member of Investment Committee, BOM Projects</t>
  </si>
  <si>
    <t>315507-25P</t>
  </si>
  <si>
    <t>Martijn Vleuten</t>
  </si>
  <si>
    <t>Martijn</t>
  </si>
  <si>
    <t>Vleuten</t>
  </si>
  <si>
    <t>Mr. Martijn Vleuten serves as Associate at Brabantse Ontwikkelings Maatschappij.</t>
  </si>
  <si>
    <t>+31 (0)62 550 7951</t>
  </si>
  <si>
    <t>mvandervleuten@bom.nl</t>
  </si>
  <si>
    <t>446378-86P</t>
  </si>
  <si>
    <t>Martijn Wagemakers</t>
  </si>
  <si>
    <t>Wagemakers</t>
  </si>
  <si>
    <t>Mr. Martijn Wagemakers serves as Managing Director, Business Insights &amp; Control at Brabantse Ontwikkelings Maatschappij.</t>
  </si>
  <si>
    <t>+31 (0)68 135 6582</t>
  </si>
  <si>
    <t>mwagemakers@bom.nl</t>
  </si>
  <si>
    <t>Managing Director, Business Insights &amp; Control</t>
  </si>
  <si>
    <t>263854-27P</t>
  </si>
  <si>
    <t>Mengjuan Zhou</t>
  </si>
  <si>
    <t>Mengjuan</t>
  </si>
  <si>
    <t>Ms. Mengjuan Zhou serves as Senior Project Manager Foreign Investment at Brabantse Ontwikkelings Maatschappij.</t>
  </si>
  <si>
    <t>+31 (0)65 261 1987</t>
  </si>
  <si>
    <t>mzhou@bom.nl</t>
  </si>
  <si>
    <t>Senior Project Manager Foreign Investment</t>
  </si>
  <si>
    <t>189415-36P</t>
  </si>
  <si>
    <t>Mercedes Tuin</t>
  </si>
  <si>
    <t>Mercedes</t>
  </si>
  <si>
    <t>Tuin</t>
  </si>
  <si>
    <t>Ms. Mercedes Tuin serves as Board Member at Flindr Therapeutics. Ms. Tuin serves as Investment Director &amp; Team lead of Lifesciences &amp; Medtech at Brabantse Ontwikkelings Maatschappij. She served as Board Member at RiboPro.</t>
  </si>
  <si>
    <t>+31 (0)61 133 5711</t>
  </si>
  <si>
    <t>mtuin@bom.nl</t>
  </si>
  <si>
    <t>Investment Director &amp; Teamlead Lifesciences &amp; Medtech</t>
  </si>
  <si>
    <t>236373-13P</t>
  </si>
  <si>
    <t>Michael Colijn</t>
  </si>
  <si>
    <t>Colijn</t>
  </si>
  <si>
    <t>Mr. Michael Colijn serves as Group Chief Executive Officer at Heliox. He serves as Member of Investment Committee at Brabantse Ontwikkelings Maatschappij. He started his international career in solar energy and has been able to contribute to the energy transition from the inside, in the past 20 years. In his last position, he was responsible for growing the Asia Pacific clean heating business as General Manager Heating Asia for Bekaert, world leader in ultra low emissions and high efficiency heating technology. During his tenure, the company grew exponentially due to the rapid introduction of new products, the development of a services arm and new business models and channels including turnkey BOT boiler room solutions. He serves as Board Member at Fermata Energy.</t>
  </si>
  <si>
    <t>+31 (0)88 501 6300</t>
  </si>
  <si>
    <t>michael.colijn@heliox.nl</t>
  </si>
  <si>
    <t>Veldhoven</t>
  </si>
  <si>
    <t>Veldhoven, Netherlands</t>
  </si>
  <si>
    <t>De Run 4315</t>
  </si>
  <si>
    <t>5503 LP</t>
  </si>
  <si>
    <t>Group Chief Executive Officer</t>
  </si>
  <si>
    <t>Heliox</t>
  </si>
  <si>
    <t>426240-91P</t>
  </si>
  <si>
    <t>Michelle Groetelaers</t>
  </si>
  <si>
    <t>Groetelaers</t>
  </si>
  <si>
    <t>Ms. Michelle Groetelaers serves as Investment Analyst at Brabantse Ontwikkelings Maatschappij.</t>
  </si>
  <si>
    <t>0031681361903</t>
  </si>
  <si>
    <t>mgroetelaers@bom.nl</t>
  </si>
  <si>
    <t>69550-66P</t>
  </si>
  <si>
    <t>Miriam Dragstra</t>
  </si>
  <si>
    <t>Miriam</t>
  </si>
  <si>
    <t>Dragstra</t>
  </si>
  <si>
    <t>Ms. Miriam Dragstra serves as Special Advisor at Brabantse Ontwikkelings Maatschappij. She also serves as Member of the Supervisory Board at Limburg Development and Investment Company.</t>
  </si>
  <si>
    <t>+31 (0)65 260 6094</t>
  </si>
  <si>
    <t>mdragstra@bom.nl</t>
  </si>
  <si>
    <t>Special Advisor</t>
  </si>
  <si>
    <t>189414-28P</t>
  </si>
  <si>
    <t>Monique Dullens</t>
  </si>
  <si>
    <t>Dullens</t>
  </si>
  <si>
    <t>Ms. Monique Dullens served as Investment Manager, a.i. at Brabantse Ontwikkelings Maatschappij.</t>
  </si>
  <si>
    <t>mdullens@bom.nl</t>
  </si>
  <si>
    <t>189416-26P</t>
  </si>
  <si>
    <t>Nancy Gillavry</t>
  </si>
  <si>
    <t>Gillavry</t>
  </si>
  <si>
    <t>Ms. Nancy Gillavry serves as Member of Supervisory Board at Brabantse Ontwikkelings Maatschappij. Starting in 2017 she has headed global Non-Product-Related Procurement as vice-president of Strategic Sourcing &amp; Procurement. Previous posts include heading the financial reporting team at ASML and drafting CSR reports. Before joining ASML, Mac Gillavry held a number of finance-related positions at Pricewaterhouse Coopers (1998-2004) and Océ (2004-2007). In addition, Mac Gillavry is a board member of the Ronald McDonald house in Veldhoven.</t>
  </si>
  <si>
    <t>357404-95P</t>
  </si>
  <si>
    <t>Olivier Vos</t>
  </si>
  <si>
    <t>Mr. Olivier Vos also serves as Investment Manager Fund to Fund at Brabantse Ontwikkelings Maatschappij. He served as Asset Manager at Clavis Family Office.</t>
  </si>
  <si>
    <t>+31 (0)65 326 3972</t>
  </si>
  <si>
    <t>ovos@bom.nl</t>
  </si>
  <si>
    <t>Investment Manager Fund to Fund</t>
  </si>
  <si>
    <t>232650-55P</t>
  </si>
  <si>
    <t>Paul Vernooij</t>
  </si>
  <si>
    <t>Vernooij</t>
  </si>
  <si>
    <t>Mr. Paul Vernooij serves as Investment Manager - Life Sciences &amp; Medtech at Brabantse Ontwikkelings Maatschappij.</t>
  </si>
  <si>
    <t>+31 (0)64 699 6022</t>
  </si>
  <si>
    <t>pvernooij@bom.nl</t>
  </si>
  <si>
    <t>Investment Manager - Life Sciences &amp; Medtech</t>
  </si>
  <si>
    <t>210128-14P</t>
  </si>
  <si>
    <t>Pepijn Herman</t>
  </si>
  <si>
    <t>Pepijn</t>
  </si>
  <si>
    <t>Mr. Pepijn Herman serves as Senior Product Developer at Brabantse Ontwikkelings Maatschappij.</t>
  </si>
  <si>
    <t>+31 (0)63 194 0962</t>
  </si>
  <si>
    <t>pherman@bom.nl</t>
  </si>
  <si>
    <t>Senior Product Developer</t>
  </si>
  <si>
    <t>426242-35P</t>
  </si>
  <si>
    <t>Pim Claessen</t>
  </si>
  <si>
    <t>Claessen</t>
  </si>
  <si>
    <t>Mr. Pim Claessen serves as Investment Analyst at Brabantse Ontwikkelings Maatschappij.</t>
  </si>
  <si>
    <t>+31 (0)64 206 7497</t>
  </si>
  <si>
    <t>pclaessen@bom.nl</t>
  </si>
  <si>
    <t>140907-25P</t>
  </si>
  <si>
    <t>Rachel Embregts - Schapendonk</t>
  </si>
  <si>
    <t>Embregts - Schapendonk</t>
  </si>
  <si>
    <t>Accountant &amp; Advisor</t>
  </si>
  <si>
    <t>Ms. Rachel Embregts - Schapendonk serves as Senior Financial Accountant &amp; Human Resources Advisor at Brabantse Ontwikkelings Maatschappij.</t>
  </si>
  <si>
    <t>+31 (0)65 283 3864</t>
  </si>
  <si>
    <t>rembregts@bom.nl</t>
  </si>
  <si>
    <t>Senior Financial Accountant &amp; Human Resources Advisor</t>
  </si>
  <si>
    <t>211664-53P</t>
  </si>
  <si>
    <t>Remie Bastiaansen</t>
  </si>
  <si>
    <t>Remie</t>
  </si>
  <si>
    <t>Bastiaansen</t>
  </si>
  <si>
    <t>Mr. Remie Bastiaansen serves as Investment Manager Softtech at Brabantse Ontwikkelings Maatschappij.</t>
  </si>
  <si>
    <t>+31 (0)61 538 6279</t>
  </si>
  <si>
    <t>rbastiaansen@bom.nl</t>
  </si>
  <si>
    <t>140910-49P</t>
  </si>
  <si>
    <t>René Krijgsman</t>
  </si>
  <si>
    <t>Krijgsman</t>
  </si>
  <si>
    <t>Mr. René Krijgsman serves as Information Manager at Brabantse Ontwikkelings Maatschappij.</t>
  </si>
  <si>
    <t>+31 (0)65 283 4649</t>
  </si>
  <si>
    <t>rkrijgsman@bom.nl</t>
  </si>
  <si>
    <t>Information Manager</t>
  </si>
  <si>
    <t>162290-08P</t>
  </si>
  <si>
    <t>Richelle Ros</t>
  </si>
  <si>
    <t>Richelle</t>
  </si>
  <si>
    <t>Ros</t>
  </si>
  <si>
    <t>Ms. Richelle Ros serves as Partner at Kruger (Rotterdam). She serves as Member of Investment Committee at Brabantse Ontwikkelings Maatschappij. She graduated in Business Administration at Nyenrode Business University and began her career as a consultant with BDO Corporate Finance. She then became Business Development Manager for an internet start-up company which quickly established itself as a household name. Since joining Kruger in 2002, she has become an all-round specialist in the more unusual situations which companies can encounter.</t>
  </si>
  <si>
    <t>+31 (0)65 143 7348</t>
  </si>
  <si>
    <t>rros@kruger.eu</t>
  </si>
  <si>
    <t>Steupelstraat 50</t>
  </si>
  <si>
    <t>3065 JE</t>
  </si>
  <si>
    <t>+31 (0)10 212 2409</t>
  </si>
  <si>
    <t>Kruger (Rotterdam)</t>
  </si>
  <si>
    <t>203659-75P</t>
  </si>
  <si>
    <t>Robin Hendrickx</t>
  </si>
  <si>
    <t>Hendrickx</t>
  </si>
  <si>
    <t>Head &amp; Investment Manager</t>
  </si>
  <si>
    <t>Mr. Robin Hendrickx serves as Senior Investment Manager and Teamlead of Key Technologies at Brabantse Ontwikkelings Maatschappij.</t>
  </si>
  <si>
    <t>+31 (0)61 327 0677</t>
  </si>
  <si>
    <t>rhendrickx@bom.nl</t>
  </si>
  <si>
    <t>Senior Investment Manager &amp; Teamlead Key Technologies</t>
  </si>
  <si>
    <t>126284-86P</t>
  </si>
  <si>
    <t>Ronald Slaats</t>
  </si>
  <si>
    <t>Slaats</t>
  </si>
  <si>
    <t>Mr. Ronald Slaats serves as Member of Supervisory Board at Brabantse Ontwikkelings Maatschappij. He served as Chief Executive Officer at De Meeuw.</t>
  </si>
  <si>
    <t>426243-52P</t>
  </si>
  <si>
    <t>Ronald Vliegen</t>
  </si>
  <si>
    <t>Vliegen</t>
  </si>
  <si>
    <t>Mr. Ronald Vliegen serves as Senior Investment Manager at Brabantse Ontwikkelings Maatschappij.</t>
  </si>
  <si>
    <t>+31 (0)61 564 7548</t>
  </si>
  <si>
    <t>rvliegen@bom.nl</t>
  </si>
  <si>
    <t>326791-45P</t>
  </si>
  <si>
    <t>Seetha Chandramouli</t>
  </si>
  <si>
    <t>Seetha</t>
  </si>
  <si>
    <t>Chandramouli</t>
  </si>
  <si>
    <t>Ms. Seetha Chandramouli serves as Investment Manager at Brabantse Ontwikkelings Maatschappij.</t>
  </si>
  <si>
    <t>+31 (0)62 136 8784</t>
  </si>
  <si>
    <t>schandramouli@bom.nl</t>
  </si>
  <si>
    <t>245871-10P</t>
  </si>
  <si>
    <t>Sjoerd Coolen</t>
  </si>
  <si>
    <t>Mr. Sjoerd Coolen serves as Senior Investment Manager at Brabantse Ontwikkelings Maatschappij.</t>
  </si>
  <si>
    <t>+31 (0)64 670 1863</t>
  </si>
  <si>
    <t>scoolen@bom.nl</t>
  </si>
  <si>
    <t>113967-10P</t>
  </si>
  <si>
    <t>Stephan Hulsbergen</t>
  </si>
  <si>
    <t>Hulsbergen</t>
  </si>
  <si>
    <t>Venture Manager</t>
  </si>
  <si>
    <t>Mr. Stephan Hulsbergen serves as Venture Developer at Brabantse Ontwikkelings Maatschappij. He served as Business Manager at CbusineZ. He after his HEAO training will undertake in the field of integrated security and consumer health. Here he gained experience in the field of venture management and product innovation. Since 2012 he has been a business manager responsible for various strategic projects, performing reconnaissance, assessing and starting new ventures.</t>
  </si>
  <si>
    <t>shulsbergen@bom.nl</t>
  </si>
  <si>
    <t>Venture Developer</t>
  </si>
  <si>
    <t>315508-24P</t>
  </si>
  <si>
    <t>Stijn Geurts</t>
  </si>
  <si>
    <t>Stijn</t>
  </si>
  <si>
    <t>Mr. Stijn Geurts serves as Investment Analyst at Brabantse Ontwikkelings Maatschappij.</t>
  </si>
  <si>
    <t>sgeurts@bom.nl</t>
  </si>
  <si>
    <t>253084-60P</t>
  </si>
  <si>
    <t>Stijn Vestjens</t>
  </si>
  <si>
    <t>Vestjens</t>
  </si>
  <si>
    <t>Mr. Stijn Vestjens serves as Investment Manager at Brabantse Ontwikkelings Maatschappij. He served as a Junior Investment Analyst at Holland Capital (Nederlands).</t>
  </si>
  <si>
    <t>+31627151048</t>
  </si>
  <si>
    <t>svestjens@bom.nl</t>
  </si>
  <si>
    <t>270723-25P</t>
  </si>
  <si>
    <t>Thijs Taminiau</t>
  </si>
  <si>
    <t>Thijs</t>
  </si>
  <si>
    <t>Taminiau</t>
  </si>
  <si>
    <t>Mr. Thijs Taminiau serves as Teamleader Foreign Investments at Brabantse Ontwikkelings Maatschappij.</t>
  </si>
  <si>
    <t>+31 (0)61 460 0514</t>
  </si>
  <si>
    <t>ttaminiau@bom.nl</t>
  </si>
  <si>
    <t>326791-90P</t>
  </si>
  <si>
    <t>Tom Vroemen</t>
  </si>
  <si>
    <t>Vroemen</t>
  </si>
  <si>
    <t>Mr. Tom Vroemen is a Founder and serves as Chief Executive Officer, President &amp; Chairman at TETMET. He serves as a Member of the Investment Committee at Brabantse Ontwikkelings Maatschappij. After studying mechanical engineering and international business administration, he worked for the Royal BAM Group and received his MBA from HEC Paris. In 2009 he established the Dutch fintech pioneer CrowdAboutNow. He then both set up and acted as CEO of BuzzMaster and Ripple Yachts. He acts as a mentor and advisor for a range of international incubation programs and is also an active investor in sustainable technology companies in the Netherlands, Germany, and France.</t>
  </si>
  <si>
    <t>+31611260828</t>
  </si>
  <si>
    <t>tvr@tetmet.com</t>
  </si>
  <si>
    <t>1 Forecourt of La Défense</t>
  </si>
  <si>
    <t>Grande Arche Paroi Nord</t>
  </si>
  <si>
    <t>92060</t>
  </si>
  <si>
    <t>Founder, Chief Executive Officer, President &amp; Chairman</t>
  </si>
  <si>
    <t>TETMET</t>
  </si>
  <si>
    <t>100388-35P</t>
  </si>
  <si>
    <t>Victor van der Chijs</t>
  </si>
  <si>
    <t>van der Chijs</t>
  </si>
  <si>
    <t>Mr. Victor van der Chijs serves as President Commissioner and Chairman of the Remuneration Committee at Brabantse Ontwikkelings Maatschappij. He served as President of the Executive Board at the University of Twente. He studied Law in Amsterdam and completed postgraduate education at the Amsterdam School of International Relations and INSEAD. Van der Chijs worked at ING, and lastly as Vice President of Structured and Project Finance in Hong Kong. In 1998 he started at Schiphol Group, first as Director of Public Affairs, while in later years he became responsible for Schiphol's activities in the USA. In 2003 he took on responsibility for all of Schiphol's international activities. A year later he was asked by Rem Koolhaas to take on the management of OMA, where in recent years he was able to manage the structure, processes, and culture of OMA in such a way that he allowed room for professionalism in the architects, resulting in a newly focused organization. This development has contributed to OMA's leading position as a world-class, creative enterprise.</t>
  </si>
  <si>
    <t>President Commissioner &amp; Chairman, Remuneration Committee</t>
  </si>
  <si>
    <t>151834-87P</t>
  </si>
  <si>
    <t>Victoria Vasjuta</t>
  </si>
  <si>
    <t>Vasjuta</t>
  </si>
  <si>
    <t>Ms. Victoria Vasjuta serves as Senior Project Manager, Foreign Investments at Brabantse Ontwikkelings Maatschappij.</t>
  </si>
  <si>
    <t>+31 (0)64 699 6016</t>
  </si>
  <si>
    <t>vvasjuta@bom.nl</t>
  </si>
  <si>
    <t>218345-95P</t>
  </si>
  <si>
    <t>Vivian Xiong</t>
  </si>
  <si>
    <t>Vivian</t>
  </si>
  <si>
    <t>Xiong</t>
  </si>
  <si>
    <t>Ms. Vivian Xiong serves as Member of the Investment Committee at Brabantse Ontwikkelings Maatschappij.</t>
  </si>
  <si>
    <t>426246-13P</t>
  </si>
  <si>
    <t>Wessel Hendriks</t>
  </si>
  <si>
    <t>Wessel</t>
  </si>
  <si>
    <t>Hendriks</t>
  </si>
  <si>
    <t>Mr. Wessel Hendriks serves as Investment Analyst at Brabantse Ontwikkelings Maatschappij.</t>
  </si>
  <si>
    <t>+31 (0)64 307 4884</t>
  </si>
  <si>
    <t>whendriks@bom.nl</t>
  </si>
  <si>
    <t>117986-23P</t>
  </si>
  <si>
    <t>Ben Rogers</t>
  </si>
  <si>
    <t>Braemar Energy Ventures</t>
  </si>
  <si>
    <t>Mr. Ben Rogers serves as Chief Development Officer at Electrada. He serves as Advisor at Electronx. He is a Co-Founder and served as Advisor at Broadscale Group. He serves as Venture Partner at Braemar Energy Ventures. He brings deep experience to Broadscale's collaborations in the power and utility industry. He has worked for over 16 years in the energy and utility sectors (regulated and merchant) and has been an investment banker advising utilities and alternative energy companies on M&amp;A, financing, strategy, and business development. He has experience in energy efficiency, power-related asset management, energy storage, poly-silicon production, wind and solar generation, and water and coal remediation. Ben received a BA in Economics from The Catholic University of America and an MBA from The University of Chicago.</t>
  </si>
  <si>
    <t>+1 (513) 632-0360</t>
  </si>
  <si>
    <t>brogers@electrada.com</t>
  </si>
  <si>
    <t>Cincinnati</t>
  </si>
  <si>
    <t>Cincinnati, OH</t>
  </si>
  <si>
    <t>231 West 12th Street</t>
  </si>
  <si>
    <t>Ohio</t>
  </si>
  <si>
    <t>45202</t>
  </si>
  <si>
    <t>Electrada</t>
  </si>
  <si>
    <t>146919-61P</t>
  </si>
  <si>
    <t>Carsten Reinhardt</t>
  </si>
  <si>
    <t>Reinhardt</t>
  </si>
  <si>
    <t>Mr. Carsten Reinhardt serves as a Strategic Advisory Board member at Braemar Energy Ventures. He served as President &amp; Chief Executive Officer at Voith Turbo. Previously, he served as Executive (ArvinMeritor) at Meritor and as Board of Directors and Chairman of Compensation Committee at Garrett Motion. He has nearly 20 years of international management experience in the areas of commercial vehicles and powertrain manufacturing. He holds a Bachelor of Science degree in Mechanical Engineering from the Technical University of Esslingen, Germany, and a Master of Science degree in Automobile Engineering from the University of Hertfordshire, U.K. He started his professional career in 1993 in the Commercial Vehicle Division of the former Mercedes-Benz AG, now Daimler AG, in Stuttgart/Germany. Following assignments of increasing responsibility in Manufacturing Engineering at Freightliner Corporation, Reinhardt became Vice President and General Manager of Western Star Trucks in 2001. In 2003 Reinhardt was appointed President and CEO of Daimler Trucks' North American Engine business, Detroit Diesel Corporation. In 2006 he joined Meritor Inc. in Troy, Michigan/USA. As President and Chief Operating Officer, he was responsible for the company's Commercial Vehicle, Industrial, and Aftermarket businesses. While at Meritor, Reinhardt lead a comprehensive modernization of its global manufacturing operations, worked to expand the company's product offering and innovative capabilities, and focused the company on growth in the emerging markets of South America and Asia.</t>
  </si>
  <si>
    <t>+1 (212) 697-0900</t>
  </si>
  <si>
    <t>350 Madison Avenue</t>
  </si>
  <si>
    <t>23rd Floor</t>
  </si>
  <si>
    <t>+1 (212) 210-5788</t>
  </si>
  <si>
    <t>Strategic Advisory Board member</t>
  </si>
  <si>
    <t>13880-80P</t>
  </si>
  <si>
    <t>Dennis Costello</t>
  </si>
  <si>
    <t>Costello</t>
  </si>
  <si>
    <t>Mr. Dennis Costello serves as Venture Partner at Braemar Energy Ventures. He also served as Managing Director at Rock Maple Ventures. He Served as Advisory Board Member at CleanFiber. He has several years of experience in the energy and venture capital industries. He was previously a Partner with Advent International, an international private equity firm, where Mr. Costello rose to Chief Investment oOficer for North America. He was personally responsible for 23 investments, 10 of which were in the energy area. He holds an M.S. degree in business from the Massachusetts Institute of Technology, where he was an Alfred P. Sloan Fellow. He sits on the boards of Nuventix, Luminus, LumEnergi, NexSteppe, and Albeo. He served on the board of directors of the New England Venture Capital Association from 1997-1999. Mr. Costello was the Founder and Chairman of the MIT Enterprise Forum of Colorado. He served as Board Member at Fulham, PRIME Coalition and Laser Light Engines. He is a member of the Dean's Advisory Council of the University of Rhode Island's Graduate School of Oceanography. He also holds an M.A. in economics from Ohio State University and a B.A. in economics from the State University of New York (SUNY), College at Fredonia.</t>
  </si>
  <si>
    <t>+1 (212) 682-9439</t>
  </si>
  <si>
    <t>271544-50P</t>
  </si>
  <si>
    <t>Diane Bao</t>
  </si>
  <si>
    <t>Diane</t>
  </si>
  <si>
    <t>Bao</t>
  </si>
  <si>
    <t>Ms. Diane Bao serves as Associate at Braemar Energy Ventures.</t>
  </si>
  <si>
    <t>dbao@braemarenergy.com</t>
  </si>
  <si>
    <t>57942-91P</t>
  </si>
  <si>
    <t>Donald Tappan</t>
  </si>
  <si>
    <t>Donald</t>
  </si>
  <si>
    <t>Tappan</t>
  </si>
  <si>
    <t>Mr. Donald Tappan serves as a Partner at Braemar Energy Ventures. He also serves as Board Member at UtiliData. He serves as Board Observer at General Fusion. Before joining Braemar, he was a consultant at The Boston Consulting Group in Detroit. While at BCG, Don worked on projects in strategy and operations across the energy and industrial sectors. He graduated with High Distinction from the University of Michigan with a BBA in Strategy and a BSE in Mechanical Engineering. At Michigan, he focused his coursework on energy and was involved with several energy start-ups.</t>
  </si>
  <si>
    <t>+1 (212) 210-5782</t>
  </si>
  <si>
    <t>dtappan@braemarenergy.com</t>
  </si>
  <si>
    <t>40139-92P</t>
  </si>
  <si>
    <t>Dorothea Bersani</t>
  </si>
  <si>
    <t>Dorothea</t>
  </si>
  <si>
    <t>Bersani</t>
  </si>
  <si>
    <t>Ms. Dorothea Bersani serves as New York Office Manager at Braemar Energy Ventures. She also serves as a Director, Technical Services at Charles of the Ritz. Prior to coming to Braemar, she had over 35 years experience in IT as a Technical Services manager at AT&amp;T, Avon, Squibb, and Dow Jones.</t>
  </si>
  <si>
    <t>+1 (212) 697-0900 x5799</t>
  </si>
  <si>
    <t>dbersani@braemarenergy.com</t>
  </si>
  <si>
    <t>108740-62P</t>
  </si>
  <si>
    <t>Emily Reichert Ph.D</t>
  </si>
  <si>
    <t>Reichert</t>
  </si>
  <si>
    <t>Dr. Emily Reichert served as Chief Executive Officer at Greentown Labs. She serves as a Strategic Advisory Board member at Braemar Energy Ventures. As the company's first employee, she has spearheaded the rapid growth of Greentown Labs into a global center for clean technology innovation, attracting visitors and partners from around the world. She started her career at Arthur D. Little as a Ph.D. scientist and progressed into R&amp;D, business development, and general management roles. Before Greentown Labs, she was the Director of Business Operations at the Warner Babcock Institute for Green Chemistry where she helped grow the angel-funded startup into a sustainable contract R&amp;D business with a mission to minimize the environmental impact of chemical products. She also served as an MIT Sloan Fellow in Innovation and Global Leadership as well as a Venture Labs Fellow at Flagship Ventures, a Boston-based Venture Capital firm. She has served as a board member or as a key advisor for several innovation and entrepreneurship-focused organizations including the Northeast Clean Energy Council, Cleantech Open Northeast, Cyclotron Road, the Incubatenergy Network, and the MIT Enterprise Forum. She has been appointed to leadership positions in innovation, economic development, entrepreneurship, and clean technology commercialization at both the state and federal levels including Massachusetts Governor Charlie Baker's Economic Development Planning Council and the U.S. Secretary of Commerce's National Advisory Council on Innovation and Entrepreneurship. She has earned international recognition for her leadership in cleantech innovation and has received invitations to speak at International Conferences such as Les Rencontres Economiques d'Aix-en-Provence, France, and the Fish Family Foundation's Japanese Women's Leadership Initiative in Tokyo, Japan. She holds a Ph.D. in Physical Chemistry from the University of Wisconsin-Madison and earned her MBA from the MIT Sloan School of Management.</t>
  </si>
  <si>
    <t>39369-70P</t>
  </si>
  <si>
    <t>Eric Schultz</t>
  </si>
  <si>
    <t>Mr. Eric Schultz serves as Chief Financial Officer at Braemar Energy Ventures. He has more than 15 years of accounting and control experience, including eight years of experience providing financial services to the private equity sector. He has a B.S. in economics from the State University of New York at Oneonta. He is a founder of EAS Accounting Services, CPA LLC, which provides outsourced Chief Financial Officer and controller services, primarily to private equity firms. Previously, he was a partner at Berson &amp; Corrado, a New York City-based accounting firm.</t>
  </si>
  <si>
    <t>eschultz@braemarenergy.com</t>
  </si>
  <si>
    <t>44987-68P</t>
  </si>
  <si>
    <t>James Russell</t>
  </si>
  <si>
    <t>Mr. James Russell serves as Director, Europe at Braemar Energy Ventures. He founded and served as Board Member at Tamar Energy. He has more than 10 years experience in private equity focused on energy and environmental businesses. Prior to joining Braemar, he helped form Tamar Energy, a UK company building anaerobic digestion plants. Prior to Tamar Energy, he worked for Jacob Rothschild's Family Office in London on direct opportunities in the energy and environmental sector. Prior to that, he was a Senior Director of The Clinton Climate Initiative ("CCI") where he focused on transactions in energy efficiency in commercial real estate, waste management and forestry. Before joining CCI, he was one of the early employees at Climate Change Capital ("CCC"), the first boutique investment bank focused on the European commercial opportunities around Climate Change. At CCC, he worked on several funds including the first Venture Capital Trust to invest in renewable energy projects in the UK and the first private equity funds raised to invest in carbon credits and their underlying projects. His activities were focused on land fill gas and HFC-23 destruction projects in China. He began his career at McKinsey &amp; Co., working in London, New York and Palo Alto. He serves on the advisory board of 3Degrees. He served as Advisor at Berkeley Energy. He currently serves on the boards of Tamar Energy, 5th Tier Technologies and The Bedford Estate. He has a BA from Harvard University and an MBA from the Stanford Graduate School of Business.</t>
  </si>
  <si>
    <t>Director, Europe</t>
  </si>
  <si>
    <t>16177-60P</t>
  </si>
  <si>
    <t>Jiong Ma Ph.D</t>
  </si>
  <si>
    <t>Jiong</t>
  </si>
  <si>
    <t>Ma</t>
  </si>
  <si>
    <t>Dr. Jiong Ma, 59, serves as a director of the Company, a position she has held since February 2022. She also serves as a General Partner at Phoenix Venture Partners. Since 2021, Dr. Ma has served as a Founder and Chief Executive Officer of Chavant Capital Acquisition Corp. (NASDAQ: CLAY) (Chavant), a special-purpose acquisition company seeking to invest in high-growth technology companies. From 2008 to 2020, Dr. Ma served as a Partner at Braemar Energy Ventures (Braemar), a venture capital firm investing in early to mid-stage technology companies operating in the mobility, power, resources, and infrastructure sectors. At Braemar, Dr. Ma focused on investments in the digitization of industry, resource efficiency, mobility, renewable energy infrastructure, and depth. She serves as a Board Member at Nexus Photonics. She served as a Board Member at EnnoDC. Before joining Braemar, Dr. Ma served in the Venture Capital Group at 3i Group plc (3i), a global private equity firm, from 2004 to 2008, where she was responsible for investment in the information technology and cleantech sectors. Before 3i, Dr. Ma served as Senior Manager of the Optical Networking Group, Technology and Business Leadership at Lucent Technologies and Bell Labs, where she was responsible for product portfolio strategy, new product launches for Optical and Data Networking, and research and product development. Dr. Ma was also a founding team member of Onetta, a fiber networks company. Dr. Ma has served on the boards of Chavant and Anavex Life Sciences (NASDAQ: AVXL) since 2021. Dr. Ma received her PhD in electrical engineering from the University of Colorado at Boulder, MS in electrical engineering from the Worcester Polytechnic Institute in Massachusetts, and BS in Physics from Lanzhou University. She serves as a Board Member at Nexus Photonics</t>
  </si>
  <si>
    <t>+1 (617) 972-3411</t>
  </si>
  <si>
    <t>jma@braemarenergy.com</t>
  </si>
  <si>
    <t>Woburn</t>
  </si>
  <si>
    <t>Woburn, MA</t>
  </si>
  <si>
    <t>35 Cabot Road</t>
  </si>
  <si>
    <t>01801</t>
  </si>
  <si>
    <t>SES AI</t>
  </si>
  <si>
    <t>18086-23P</t>
  </si>
  <si>
    <t>John Cavalier JD</t>
  </si>
  <si>
    <t>Cavalier</t>
  </si>
  <si>
    <t>Mr. John Cavalier served as Chief Executive Officer and Chief Financial Officer at Climate Real Impact Solutions II Acquisition. Mr. Cavalier serves as a Senior Advisor at Tach2yone. He serves as a Venture Partner at Braemar Energy Ventures. He served as Vice Chairman at Credit Suisse. Additionally, he has served as Chief Financial Officer and a board observer of CRIS I since August 2020 and September 2020, respectively. Previously, from 2000 to 2008 and from 2012 to 2020, he held a number of senior positions at Credit Suisse, including Chairman of the Global Energy Group and Head of the Global Renewables Group. Prior to joining Credit Suisse, from 1990 to 2000, he served as the Managing Director and founding member of Donaldson, Lufkin &amp; Jenrette's Power &amp; Energy group. From 2008 to 2015, He served as a managing partner of Hudson Clean Energy, a private equity firm focused on clean energy. Earlier in his career, he served in the U.S. Army for nine years where he was an officer in the Signal Corps and later the Judge Advocate Generals Corps. He holds a B.S. from the U.S. Military Academy, a J.D. from the University of Illinois School of Law, and an M.B.A. from Harvard Business School.</t>
  </si>
  <si>
    <t>Chief Executive Officer &amp; Chief Financial Officer</t>
  </si>
  <si>
    <t>57025-09P</t>
  </si>
  <si>
    <t>Mohammad Zaidi Ph.D</t>
  </si>
  <si>
    <t>Dr. Mohammad Zaidi serves as Strategic Advisory Board member at Braemar Energy Ventures. He serves as Chairman at Exergyn. He is also a Board Member at Programmable Control Services. He provides technical guidance on numerous issues related to new technologies, product development, and delivery excellence. He was appointed Executive Vice President and Chief Technical Officer - Technology, Market Strategy and Corporate Quality for Alcoa in 2006. He also served as UtiliData. He had served as Chief Technical Officer and a vice president of the company since 2003. He was responsible for corporate technology programs and projects, as well as strategic product and process developments. He was also a member of the Alcoa Executive Council, the senior leadership group that provides strategic direction for the company. As a member of Alcoa's Executive Council, he was responsible for corporate technology programs and projects, as well as strategic product and process developments. As a council member on The World Business Council for Sustainable Development, he co-chaired WBCSD's 'Vision 2050' project in collaboration with 29 leading companies, worldwide.</t>
  </si>
  <si>
    <t>+1 (718) 465-6047</t>
  </si>
  <si>
    <t>mohammad.zaidi@alcoa.com</t>
  </si>
  <si>
    <t>12912-85P</t>
  </si>
  <si>
    <t>Neil Suslak</t>
  </si>
  <si>
    <t>Suslak</t>
  </si>
  <si>
    <t>Mr. Neil Suslak serves as Board Member at Fractal Systems. He is also a Co-Founder and Managing Partner at Braemar Energy Ventures. He has more than 20 years of experience in the venture capital and investment banking industries, largely in the energy space. Prior to co-founding Braemar, he worked at S.G. Warburg and Co. and Swiss Bank Corporation (now UBS) in the corporate finance area and was in charge of the bank's equity capital markets business in North America. During his career, he completed numerous financing and advisory assignments for clients in the energy, communications and transportation sectors. Mr. Suslak has an M.B.A. from Columbia Business School and a B.A. from The University of Rochester, where he was a member of the Varsity Lacrosse Team. He is a former secretary and member of the executive committee of the Alumni Board of the Rye Country Day School and a board member of the Henry Street Settlement in New York and chairman of the Steering Committee. He is also on the board of directors of the Venture Investors Association of New York (VIANY), the North American Advisory Board of The Cleantech Organization and is a member of the New York City Investment Fund Cleantech Sector and the Venture Capital Advisory Panel for the Governor's Task Force on Diversifying the N.Y. State Economy. Mr. Suslak is also on the boards of several Braemar portfolio companies including Enerkem, Afina, Sefaira, Getaround and Ioxus and is an observer to the Board of Directors of Utility, PowerGenix, Powervation. He served as Board Observer at Fulham and Board Member for ChargePoint.</t>
  </si>
  <si>
    <t>+1 (403) 263-0103</t>
  </si>
  <si>
    <t>nsuslak@braemarenergy.com</t>
  </si>
  <si>
    <t>3 Avenue South West</t>
  </si>
  <si>
    <t>Suite 780-521</t>
  </si>
  <si>
    <t>T2P 3T3</t>
  </si>
  <si>
    <t>+1 (819) 566-7775</t>
  </si>
  <si>
    <t>Fractal Systems</t>
  </si>
  <si>
    <t>65999-35P</t>
  </si>
  <si>
    <t>Tim Eggar</t>
  </si>
  <si>
    <t>Eggar</t>
  </si>
  <si>
    <t>The Rt. Honorable Tim Eggar serves as Strategic Advisory Board member at Braemar Energy Ventures. Tim was a UK government minister under Prime Ministers Thatcher and Major with responsibility for a number of departments, including serving as energy minister from 1992-1996. Mr. Eggar had a distinguished parliamentary career from 1979 to 1997. He has extensive international experience including Chief Executive of Monument Oil and Gas, Chairman of AGIP UK, Chairman of Harrison Lovegrove and Chairman of Indago Petroleum. Tim is currently Chairman 3 Legs Resources plc, the Russo-British Chamber of Commerce, MyCelx Technologies Corporation. Mr. Eggar is a graduate of Magdalene College, Cambridge and the College of Law.</t>
  </si>
  <si>
    <t>tim.eggar@haulfryn.co.uk</t>
  </si>
  <si>
    <t>242995-78P</t>
  </si>
  <si>
    <t>Volker Sick</t>
  </si>
  <si>
    <t>Volker</t>
  </si>
  <si>
    <t>Sick</t>
  </si>
  <si>
    <t>Mr. Volker Sick serves as Strategic Advisory Board member at Braemar Energy Ventures. Volker Sick is the DTE Energy Professor of Advanced Energy Research and an Arthur F. Thurnau Professor at the University of Michigan, Ann Arbor. He leads the Global CO2 Initiative at the University of Michigan that aims to reduce atmospheric CO2 levels by transforming CO2 into commercially successful products using technology assessment, technology development and commercialization. Major administrative roles at the University of Michigan include appointments as Faculty Advisor to International Programs in Engineering from 2007-2012 and Associate Vice President for Research from 2012-2018. He is active in developing and applying imaging diagnostics for research in thermodynamics, heat transfer, fluid mechanics, and ophthalmology. His teaching portfolio includes a foundational laboratory course, an overseas summer program, and an entrepreneurial course. He received awards for teaching, research, and service, including the President's Award for Distinguished Service in International Education, the Combustion Institute Silver Medal, and the SAE International Leadership Citation. He is a Fellow of SAE International and the Combustion Institute. His degrees from the University of Heidelberg, Germany, include Habilitation in Physical Chemistry, Dr. rer. nat. and Diploma in Chemistry.</t>
  </si>
  <si>
    <t>59059-36P</t>
  </si>
  <si>
    <t>Wesley Clark Sr.</t>
  </si>
  <si>
    <t>Mr. Wesley Clark serves as General Partner at Four Seasons Ventures. Mr. Clark serves as Board Member at MCF Energy. He serves as a Strategic Advisor at Vital Capital Fund. He serves as an Advisor at Regeneration VC. He serves as a Supervisory Board Member at Meridiam. He serves as Board Member &amp; Advisor at My Next Health. He also serves as a Board Member at GeoOptics. He served as a Board Member at Solace. He also serves as a Strategic Advisory Board Member at Braemar Energy Ventures. He also served as Senior Advisor at The Blackstone Group. He served as Chairman at Enverra Partners. He also serves as a General Partner . He also serves as a Strategic Advisor at Braemar Energy Ventures. His expertise focuses on helping clients understand and navigate the USG and foreign government structures and position technologies for early adoption and acceptance by the U.S. armed services. His 38 years of service in the U.S. Army and rank as a four-star general supports this focus. He is a businessman, educator, writer, and commentator. He serves as Chairman and CEO of Wesley K. Clark &amp; Associates, a strategic consulting firm; Chairman of investment bank Rodman &amp; Renshaw; Co-Chairman of Growth Energy; senior fellow at UCLA's Burkle Center for International Relations; Chairman of Clean Terra, Inc.; Director of International Crisis Group; Chairman of City Year Little Rock; as well as numerous corporate boards. He has authored three books and serves as a member of the Clinton Global Initiative's Energy &amp; Climate Change Advisory Board and ACORE's Advisory Board. He retired as a four-star general after 38 years in the United States Army. He graduated first in his class at West Point and completed degrees in Philosophy, Politics, and Economics at Oxford University (B.A. and M.A.) as a Rhodes Scholar. While serving in Vietnam, he commanded an infantry company in combat, where he was severely wounded and evacuated home on a stretcher. He later commanded at the battalion, brigade, and division level and served in a number of significant staff positions, including service as the Director of Strategic Plans and Policy (J-5). In his last assignment as Supreme Allied Commander Europe, he led NATO forces to victory in Operation Allied Force, saving 1.5 million Albanians from ethnic cleansing. His awards include the Presidential Medal of Freedom, Defense Distinguished Service Medal (five awards), Silver star, bronze star, purple heart, honorary knighthoods from the British and Dutch governments, and numerous other awards from other governments, including the award of Commander of the Legion of Honor (France). He also served as an Advisory Board Member at Paladin Capital Group.</t>
  </si>
  <si>
    <t>+1 (604) 685-4554</t>
  </si>
  <si>
    <t>595 Burrard Street Three Bentall Centre</t>
  </si>
  <si>
    <t>Suite 3123, P.O. Box 49139</t>
  </si>
  <si>
    <t>V7X 1J1</t>
  </si>
  <si>
    <t>MCF Energy</t>
  </si>
  <si>
    <t>12912-67P</t>
  </si>
  <si>
    <t>William Lese</t>
  </si>
  <si>
    <t>Lese</t>
  </si>
  <si>
    <t>Mr. William Lese is a Co-Founder &amp; serves as Managing Partner at Braemar Energy Ventures. He co-founded Braemar in 2003 and leads the firm's activities in the power, resources, and infra-tech segments. He served as Board Member as BrightVolt. He currently serves on the boards of Carbonfree Chemicals, Voxel8, Fulham, Lusbio, and is responsible for Braemar's investments in General Fusion, Metalenz and Renew Financial. With experience that spans technical, operating, strategy, and investment roles, he has been active in energy innovation for over 30 years. Prior to starting Braemar, Bill was a Partner at Mantis Holdings, a venture firm focused on environmental and energy efficiency businesses. He was also one of the original team members at Sithe Energies, a global leader in independent power development, and Director of Corporate Development for NPS Industries. Bill designed his first solar panel at 17, has authored several research papers for the Department of Energy and helped pioneer the commercialization of Kinetic Hydro Energy Conversion systems. Bill serves on the Investment Advisory Board of the New York State Energy Research and Development Authority (NYSERDA), on the Steering Committee of the Northeast Clean Energy Council, as well as the advisory committees of the New York City Accelerator for a Clean and Renewable Economy (NYC ACRE), and Chain Reaction Innovations (CRI) of the Argonne National Laboratory. Bill has an M.S. in Applied Energy Science and a B.A. in Physics from New York University. He is a former Co-Chair of the New Committee of the Royal Academy Trust and a member of the Harvard College Parents Committee.</t>
  </si>
  <si>
    <t>wlese@braemarenergy.com</t>
  </si>
  <si>
    <t>85308-13P</t>
  </si>
  <si>
    <t>Brett Brohl</t>
  </si>
  <si>
    <t>Brett</t>
  </si>
  <si>
    <t>Brohl</t>
  </si>
  <si>
    <t>Bread &amp; Butter Ventures</t>
  </si>
  <si>
    <t>Mr. Brett Brohl serves as Managing Partner at Bread &amp; Butter Ventures. He serves as a Board Member at Gudea and ConverSight.ai. He serves as an Advisor at Atlanta Ventures. He formerly served as Managing Director, of Farm to Fork Accelerator at Techstars. He served as a Board Member at Local Crate. He served as a Board Member at EcoPlant. He co-founded and served as the CMO and Chief Executive Officer at BoomBoom Prints. He also serves as a Board Member at Alchemy 365, Upsie, and a Board Observer at Bizzy Coffee, and HeavyConnect. He serves as an Advisor at Omnia Fishing. An experienced entrepreneur, investor, and mentor, he is driven to make a difference in the world by helping entrepreneurs succeed. He honed his start-up skills as the CEO of multiple companies leading 3 to exit. Prior to the Techstars Farm to Fork Accelerator, he served as Director of the inaugural Techstars Startup Next Food &amp; Ag in Partnership with Land O'Lakes and as the Entrepreneur in Residence at Techstars Retail Accelerator in Partnership with Target. He honed his start-up skills as the CEO of multiple companies including ScrubSquared and BoomBoom Prints. He led 3 of his teams to exit but also went through a company failure, experiences he draws on when working with founders. He serves as a Board Member at Firstshift AI.</t>
  </si>
  <si>
    <t>brett@breadandbutterventures.com</t>
  </si>
  <si>
    <t>55420</t>
  </si>
  <si>
    <t>40765-78P</t>
  </si>
  <si>
    <t>Mary Grove</t>
  </si>
  <si>
    <t>Grove</t>
  </si>
  <si>
    <t>Ms. Mary Grove serves as Managing Partner at Bread &amp; Butter Ventures. She served as a Board Member at Orbiit. She serves as a Board Member at Kahilla. She also serves as Co-Vice Chairwoman &amp; Secretary at the Minneapolis Foundation. She served as an Advisor at Tundra Ventures. She served as a Partner at Revolution. She formerly served as Founding Director at Google For Entrepreneurs. She leads Google for Entrepreneurs, the company's programs and partnerships to support startups and entrepreneurs in over 100 countries around the world. She joined Google in 2004 as part of the legal team working on the company's IPO then moved to New Business Development where she spent 6 years focused on a range of early-stage product incubation and partnerships. She has led dozens of strategic technology partnerships across products including Gmail, Google Docs, Search, Chrome, and Social. She is an active leader in entrepreneur and developer outreach efforts both in the US and internationally, spanning initiatives in Europe, the Middle East, Latin America, Asia, and Africa. She has led exploratory trips and efforts for Google in Pakistan, Afghanistan, Iraq, Gaza, and the West Bank. She earned her B.A. and M.A. from Stanford University and sits on the Alumni Association Board of Directors.</t>
  </si>
  <si>
    <t>mary@breadandbutterventures.com</t>
  </si>
  <si>
    <t>72056-17P</t>
  </si>
  <si>
    <t>Stephanie Rich</t>
  </si>
  <si>
    <t>Ms. Stephanie Rich serves as Partner, Platform at Bread &amp; Butter Ventures. She serves as an Advisor at Edge Sound Research. She served as Vice President of Business Development at Spark Labs. She also served as an Independent Consultant at SR Consulting. She is the founder of Starting Up North. She received her BSJ at the Medill School of Journalism and her MBA at the University of Cambridge.</t>
  </si>
  <si>
    <t>stephanie@breadandbutterventures.com</t>
  </si>
  <si>
    <t>Partner, Platform</t>
  </si>
  <si>
    <t>426138-76P</t>
  </si>
  <si>
    <t>Coco Krumme Ph.D</t>
  </si>
  <si>
    <t>Coco</t>
  </si>
  <si>
    <t>Krumme</t>
  </si>
  <si>
    <t>Breakout Ventures</t>
  </si>
  <si>
    <t>Dr. Coco Krumme serves as Venture Partner at Breakout Ventures.</t>
  </si>
  <si>
    <t>+1 (415) 441-1460</t>
  </si>
  <si>
    <t>One Letterman Drive</t>
  </si>
  <si>
    <t>Building C 400</t>
  </si>
  <si>
    <t>94129</t>
  </si>
  <si>
    <t>175419-73P</t>
  </si>
  <si>
    <t>Dana Watt Ph.D</t>
  </si>
  <si>
    <t>Dr. Dana Watt serves as a Partner at Breakout Ventures. Previously, she served as Investment Associate at Ascension Ventures. She joined Ascension Ventures in 2018 from the Skandalaris Center for Interdisciplinary Innovation and Entrepreneurship at Washington University in St. Louis. There, she assisted faculty members in commercializing University-developed technologies, specializing in SBIR/STTR applications. She previously co-founded and served as CSO of Pro-Arc Diagnostics, a personalized medicine company operating in St. Louis. She received her PhD in Neurosciences from Washington University in St. Louis and her B.A. in Neurosciences and Biology from Carthage College.</t>
  </si>
  <si>
    <t>dana@breakout.vc</t>
  </si>
  <si>
    <t>13836-25P</t>
  </si>
  <si>
    <t>Ilan Zipkin Ph.D</t>
  </si>
  <si>
    <t>Ilan</t>
  </si>
  <si>
    <t>Zipkin</t>
  </si>
  <si>
    <t>Dr. Ilan Zipkin served as a Board Member at Via Nova Therapeutics. He is the Founder and serves as Chief Executive Officer at Supercede Therapeutics. He served as Chief Executive Officer &amp; President at Anteris Bio. He served as Partner and Vice President of Business Development at Aditum Bio. He serves as Venture Partner Breakout Ventures. He was a Board Member of Cortexyme. Before this, he served as Senior Investment Director at Takeda Ventures. He was a Board Member at Bioniz Therapeutics. He has been involved in biotechnology and pharmaceutical venture capital since 2000. He was previously a Partner at the institutional venture firms Prospect Venture Partners and MPM Capital, where he focused on investments in therapeutics companies as well as platform technologies. In addition to serving on the Board of several private and public biotechnology companies. He served as the CEO of Chimeros, Inc., a protein-based system for the development of multivalent biologic therapeutics. Before his venture capital experience. He was the Science Editor of BioCentury Publications Inc., a biotechnology news and analysis publication. He received a Ph.D. in cell biology and biochemistry from the University of California at San Francisco (UCSF) and a B.A. in Molecular and Cell Biology from U.C. Berkeley. He has been a biotechnology venture capital investor and entrepreneur for more than 20 years. He has been a board member or observer, founder, CEO, and head of business development for more than 20 startup biotech companies. Most recently Ilan was a Partner at Aditum Bio, where he led the formation of multiple companies based on products in-licensed from pharma and biotech.</t>
  </si>
  <si>
    <t>New Castle</t>
  </si>
  <si>
    <t>New Castle, DE</t>
  </si>
  <si>
    <t>Delaware</t>
  </si>
  <si>
    <t>Supercede Therapeutics</t>
  </si>
  <si>
    <t>90300-79P</t>
  </si>
  <si>
    <t>James Chan</t>
  </si>
  <si>
    <t>Mr. James Chan serves as Chief Financial Officer at Breakout Ventures. Mr. Chan serves as Chief Financial Officer at Bow Capital. He serves as Chief Financial Officer at Ohana Capital Partners. He served as Chief Financial Officer at Yamaha Motor Ventures &amp; Laboratory Silicon Valley. He served as a Venture Partner at Silicon Valley Real Ventures. He also served as Vice President of Corporate Finance at Quirky. He is a CPA with a diverse background in controllership, corporate and operation finance, strategic planning, capital budgeting, IT, and tax consulting. Over 10 years of experience with proven records in public accounting, Fortune 500, turnaround, and start-up. His positions have for example been with Beats by Dr. Dre, Zodiac Aerospace, and Black &amp; Decker. He holds an MS (Master of Science) and BA (Bachelor of Arts) in Business Taxation from the University of Southern California (USC) and Business Economics from the University of California, Los Angeles (UCLA) respectively. He is an Angel Investor.</t>
  </si>
  <si>
    <t>james@breakout.vc</t>
  </si>
  <si>
    <t>117156-97P</t>
  </si>
  <si>
    <t>Julia Moore</t>
  </si>
  <si>
    <t>Ms. Julia Moore serves as Managing Partner at Breakout Ventures. Ms. Moore serves as a Board Member at Checkerspot. She serves as a Board Member at Vitra Labs. She also serves as Portfolio Director at Breakout Labs. She serves as a Board Member at Checkerspot and Immusoft and a Board Director at Parthenon Therapeutics, EnPlusOne Biosciences, and Seatrec. She served as a Board Member at STRM.BIO. She holds a BS in Finance and International Business from the University of Virginia and an MBA from Stanford University. She serves as a Board Observer at Noetik. Julia Moore is a Managing Partner and co-founder of Breakout Ventures. Julia has spent over two decades as an investor and operator of science-driven companies, helping founders navigate the translation of new life science technologies for customer adoption and scale. Having begun her career as a public investor and research analyst on Wall Street, Julia has worked with companies from founding through exit. Julia is a Kauffman Fellow and an active Board Member in companies across the broad range of the Breakout Ventures portfolio, including Immusoft, Checkerspot, and Vitra Labs. She is an Angel Investor.</t>
  </si>
  <si>
    <t>julia@breakout.vc</t>
  </si>
  <si>
    <t>56542-24P</t>
  </si>
  <si>
    <t>Lindy Fishburne</t>
  </si>
  <si>
    <t>Fishburne</t>
  </si>
  <si>
    <t>Ms. Lindy Fishburne is the Founder &amp; serves as Managing Partner at Breakout Labs. She is an Angel Investor. She serves as Board Member at Cytovale, Surf Bio and Phylagen. She serves as Board Observer at A-Alpha Bio, Copernic Catalysts.</t>
  </si>
  <si>
    <t>lindy@breakout.vc</t>
  </si>
  <si>
    <t>One Letterman Drive Building C</t>
  </si>
  <si>
    <t>Breakout Labs</t>
  </si>
  <si>
    <t>280288-36P</t>
  </si>
  <si>
    <t>Nima Ronaghi Ph.D</t>
  </si>
  <si>
    <t>Nima</t>
  </si>
  <si>
    <t>Ronaghi</t>
  </si>
  <si>
    <t>Dr. Nima Ronaghi serves as Principal at Breakout Ventures. He serves as a Board Observer at Copernic Catalysts. He previously served as a Fellow for Breakout Ventures and an Ambassador for Breakout Labs.</t>
  </si>
  <si>
    <t>nima@breakout.vc</t>
  </si>
  <si>
    <t>426140-02P</t>
  </si>
  <si>
    <t>Rebecca Nugent Ph.D</t>
  </si>
  <si>
    <t>Nugent</t>
  </si>
  <si>
    <t>Dr. Rebecca Nugent serves as Venture Partner at Breakout Ventures.</t>
  </si>
  <si>
    <t>145137-34P</t>
  </si>
  <si>
    <t>Renee Shenton</t>
  </si>
  <si>
    <t>Ms. Renee Shenton serves as Chief of Staff at Breakout Ventures. She served as Community Manager at Highway1. She served as Operations Manager at The Gardens at Heather Farm.</t>
  </si>
  <si>
    <t>renee@breakout.vc</t>
  </si>
  <si>
    <t>115821-10P</t>
  </si>
  <si>
    <t>Sridhar Iyengar Ph.D</t>
  </si>
  <si>
    <t>Sridhar</t>
  </si>
  <si>
    <t>Iyengar</t>
  </si>
  <si>
    <t>Mr. Sridhar Iyengar is a Co-Founder and serves as Chief Strategy &amp; Technology Officer &amp; Chairman at Elemental Machines. Previously, he served as Chief Executive Officer at Elemental Machines. He serves as an Executive at TechU. He also serves as an Advisor in healthcare at Tau Ventures. He also serves as a Venture Partner at Breakout Ventures. A serial entrepreneur in connected medical devices and wearables, he is focused on strategy and management at Elemental Machines. Previously, he was a founder and director of Misfit, makers of elegant wearable products, which was acquired by Fossil in 2015. Before Misfit, he founded AgaMatrix, a blood glucose monitoring company that made the world's first medical device connecting directly to the iPhone. AgaMatrix shipped 15+ FDA-cleared medical products, 2B+ biosensors, and 6M+ glucose meters, with partnerships with Apple, Sanofi, and Walgreens. He holds over 30 US and international patents and received his Ph.D. from Cambridge University as a Marshall Scholar. He serves as an Advisor at Trilobio.</t>
  </si>
  <si>
    <t>+1 (617) 871-9692</t>
  </si>
  <si>
    <t>sridhar@elementalmachines.io</t>
  </si>
  <si>
    <t>185 Alewife Brook Parkway</t>
  </si>
  <si>
    <t>Co-Founder, Chief Strategy &amp; Technology Officer &amp; Chairman</t>
  </si>
  <si>
    <t>Elemental Machines</t>
  </si>
  <si>
    <t>63610-84P</t>
  </si>
  <si>
    <t>Walter Solomon</t>
  </si>
  <si>
    <t>Solomon</t>
  </si>
  <si>
    <t>Mr. Walter Solomon serves as a Board Member at Checkerspot. He serves as the Chairman at Debut. He served as the Vice President &amp; Chief Growth Officer at Ashland. He also serves as a Board Chairperson at the Jewish Foundation of Cincinnati. He also serves as a Venture Partner at Breakout Ventures. He is responsible for the company's enterprise strategy. His team has mapped Ashland's transformation from a U.S. regional oil refiner into a global specialty chemical company and leader in sustainable chemistry. Solomon joined Ashland in 2002 as senior vice president and general manager of Ashland Consumer Markets' (Valvoline) Do-It-Yourself business unit. While in that role, his team grew profitability and premium lubricant volume each year. Before joining Ashland, Solomon spent 20 years growing both large and small companies. His first 10 years were in a series of brand management roles with Procter &amp; Gamble, ultimately directing marketing in P&amp;G's hair care and juice drink businesses. During that time, Pantene* grew from a small, boutique brand into a $100+ million business en route to becoming one of P&amp;G's billion-dollar global brands. He spent the next 10 years leading privately funded startup companies in the healthcare and software industries, including an Inc. 500* company and an internet technology incubator. A native of Charleston, S.C., Solomon has served as president, chairman, or vice chairman of the board of trustees of four not-for-profit organizations and as a board member for six others. He received his bachelor's degree in commerce from the University of Virginia.</t>
  </si>
  <si>
    <t>+1 (513) 214-1200</t>
  </si>
  <si>
    <t>8044 Montgomery Road</t>
  </si>
  <si>
    <t>Suite 516</t>
  </si>
  <si>
    <t>45236</t>
  </si>
  <si>
    <t>Advancion (Former)</t>
  </si>
  <si>
    <t>215472-61P</t>
  </si>
  <si>
    <t>Brightlane Ventures</t>
  </si>
  <si>
    <t>Mr. Anish Patel is the Founder and serves as Managing Partner at Brightlane Ventures. He was also a Founding Partner of AMJ Ventures. Prior to Brightlane, he led corporate growth at Collabera, a global tech talent services and solutions company with over $750M of revenue. There, he focused on devising B2C go-to-market and customer acquisition strategies for Cognixia, a digital tech upskilling platform, and Cliksource, a cloud-based AI-driven recruitment software. Prior to Collabera, he was a Strategist Consultant at Prophet, a next-generation marketing strategy and innovation consulting firm. During his time there, he advised on growth transformation, new market entry, and product ideation for a variety of B2C and B2B clients like AT&amp;T, MetLife, Chick-fil-A, Ford, Mayo Clinic, and Manulife. He is also the Founder of Uplift Humanity, a 501(c)3 focused on reducing juvenile recidivism and enabling access to education in India. He has a BS in Finance and Marketing from NYU Stern School of Business.</t>
  </si>
  <si>
    <t>+1 (212) 548-3281</t>
  </si>
  <si>
    <t>anish@brightlane.co</t>
  </si>
  <si>
    <t>111 25th Street</t>
  </si>
  <si>
    <t>141214-78P</t>
  </si>
  <si>
    <t>Jared Zawada</t>
  </si>
  <si>
    <t>Jared</t>
  </si>
  <si>
    <t>Zawada</t>
  </si>
  <si>
    <t>Mr. Jared Zawada serves as Principal at Brightlane Ventures. He served as Director of Strategy and Corporate Development at Collabera. His background and expertise lie in strategy and growth in technology and tech-enabled services businesses, with industry experience spanning SaaS, IT services, HR tech, and Media &amp; Information Services. In his role at Brightlane, he focuses on B2B SaaS investments and provides strategic guidance across go-to-market, product development, and new market entry. Prior to his roles at Brightlane and Collabera, he was Director of Strategy &amp; Business Development at UBM - a global, publicly-traded media and information services business with operations in more than 20 countries. During his tenure, he led the organic growth strategy for multiple lines of business for the Americas division and outlined and implemented the revenue synergies strategy for the company's $4.4b mergers and integration with Informa. Preceding UBM, he worked in strategy and corporate development at iCIMS, a high-growth B2B SaaS-based recruiting platform. While at the company, the business surpassed $100m in annual recurring revenue and raised a $56m Series B financing round. He has worked in early-stage startups and began his career at IBM. He currently serves as an advisor to the Board of Directors at StyleCracker. He received a BA and BS from Lehigh University.</t>
  </si>
  <si>
    <t>+1 (973) 889-5200</t>
  </si>
  <si>
    <t>196240-69P</t>
  </si>
  <si>
    <t>Tayla Martin</t>
  </si>
  <si>
    <t>Tayla</t>
  </si>
  <si>
    <t>Ms. Tayla Martin serves as a Partner at Brightlane Ventures. She served as Vice President at RET Ventures. She joined RETV from the Tuck School of Business at Dartmouth, where she earned her MBA in 2018. While pursuing her MBA, she gained real estate venture experience through multiple stints at Fifth Wall Ventures.</t>
  </si>
  <si>
    <t>Park City</t>
  </si>
  <si>
    <t>Park City, UT</t>
  </si>
  <si>
    <t>Utah</t>
  </si>
  <si>
    <t>165167-11P</t>
  </si>
  <si>
    <t>Alex Glaros</t>
  </si>
  <si>
    <t>Glaros</t>
  </si>
  <si>
    <t>Brightside Health</t>
  </si>
  <si>
    <t>Mr. Alex Glaros serves as Head of Business Development at Brightside Health. He served as Product &amp; Marketing Director at MedZed. Most recently, Alex served as Marketing Director in the orthopedics sector bringing his creative methodologies to develop and launch new products. Alex holds a degree in Industrial Design from the Savannah College of Art &amp; Design</t>
  </si>
  <si>
    <t>+1 (415) 360-3348</t>
  </si>
  <si>
    <t>alex@brightside.com</t>
  </si>
  <si>
    <t>2261 Market Street</t>
  </si>
  <si>
    <t>Suite 10222</t>
  </si>
  <si>
    <t>94114</t>
  </si>
  <si>
    <t>Associate Director of Business Development</t>
  </si>
  <si>
    <t>62034-49P</t>
  </si>
  <si>
    <t>Bradley Kittredge</t>
  </si>
  <si>
    <t>Kittredge</t>
  </si>
  <si>
    <t>Mr. Bradley Kittredge is the Founder and serves as Chief Executive Officer &amp; Board Member at Brightside Health. He served as the Vice President of Product at Everteam. As VP Product, Brad Kittredge is responsible for all elements of the 23andMe user experience, including product vision, design and management. Prior to joining 23andMe, Brad served as director of product management, health at Jawbone. Prior to his tenure at Jawbone, Brad was manager of corporate strategy at McKesson Corp and CEO and founder of ComplexDx, a startup concept focused on solutions to resolve complex medical cases by connecting patients and physicians. Brad holds an MBA from the Walter A. Haas School of Business; a Master's degree in Public Health Management, Health Policy from the University of California, Berkeley; a Master's in International Affairs from the University of California, San Diego and a Bachelor's degree in Psychology from the University of California, Berkeley.</t>
  </si>
  <si>
    <t>brad.kittredge@brightside.com</t>
  </si>
  <si>
    <t>342941-77P</t>
  </si>
  <si>
    <t>Chris Murray</t>
  </si>
  <si>
    <t>Mr. Chris Murray serves as Chief Financial Officer at Brightside Health.</t>
  </si>
  <si>
    <t>chris@brightside.com</t>
  </si>
  <si>
    <t>176281-48P</t>
  </si>
  <si>
    <t>Jeremy Barth</t>
  </si>
  <si>
    <t>Barth</t>
  </si>
  <si>
    <t>Board Member &amp; Chief Technology Officer</t>
  </si>
  <si>
    <t>Mr. Jeremy Barth is a Co-Founder and serves as Chief Technology Officer &amp; Board Member at Brightside. He served as Chief Technology Officer at WellnessFX.</t>
  </si>
  <si>
    <t>jeremy.barth@brightside.com</t>
  </si>
  <si>
    <t>Co-Founder, Chief Technology Officer &amp; Board Member</t>
  </si>
  <si>
    <t>366883-57P</t>
  </si>
  <si>
    <t>Jeremy Keim</t>
  </si>
  <si>
    <t>Keim</t>
  </si>
  <si>
    <t>Mr. Jeremy Keim serves as Vice President of Commercial at Brightside Health. Jeremy Keim leads Brightside Health's commercial business where he brings nearly 20 years of health care experience to the role. Prior to Brightside, he built a foundation in actuarial work supporting employer benefits strategies at both Aetna and Optum, with a special focus on improving mental health and substance use. At Brightside, Mr. Keim leverages this broad and deep health care perspective to bring life-changing mental health care to the complete health care ecosystem, including health plans, health systems and plan sponsors.</t>
  </si>
  <si>
    <t>jeremy.keim@brightside.com</t>
  </si>
  <si>
    <t>Vice President of Commercial</t>
  </si>
  <si>
    <t>206709-40P</t>
  </si>
  <si>
    <t>Julia Bernstein</t>
  </si>
  <si>
    <t>Ms. Julia Bernstein serves as Chief Operating Officer at Brightside Health. She serves as a Board Member at PharmaCCX. Previously, she served as Chief Operating Officer at Tempest. She currently serves as VP of Operations at Thirty Madison. Previously, she was COO at Tempest. She has been a commercial leader at Ginger.io, Beacon Health Options, Institute on Aging, and McKinsey. She is a graduate of Stanford GSB and Dartmouth College. Bernstein will play an integral role in maintaining the operational rigor of Brightside Health's business as the company expands its member base and enters new markets to deliver critical mental health care. She will also serve as a strategic partner to the executive team, charged with refining and implementing a scalable operational infrastructure for the business that encompasses people, processes, and technology.</t>
  </si>
  <si>
    <t>+1 (516) 944-7929</t>
  </si>
  <si>
    <t>julia.bernstein@brightside.com</t>
  </si>
  <si>
    <t>348213-34P</t>
  </si>
  <si>
    <t>Mark Jacobson</t>
  </si>
  <si>
    <t>Mr. Mark Jacobson serves as Chief Marketing Officer at Brightside Health.</t>
  </si>
  <si>
    <t>cjacobson@brightside.com</t>
  </si>
  <si>
    <t>366640-84P</t>
  </si>
  <si>
    <t>Mimi Gadsden</t>
  </si>
  <si>
    <t>Gadsden</t>
  </si>
  <si>
    <t>Ms. Mimi Gadsden serves as Commercial Marketing and Events Strategy at Brightside Health.</t>
  </si>
  <si>
    <t>mimi@brightside.com</t>
  </si>
  <si>
    <t>Commercial Marketing and Events Strategy</t>
  </si>
  <si>
    <t>223968-25P</t>
  </si>
  <si>
    <t>Mimi Winsberg MD</t>
  </si>
  <si>
    <t>Winsberg</t>
  </si>
  <si>
    <t>Chief Medical Officer &amp; Founder</t>
  </si>
  <si>
    <t>Dr. Mimi Winsberg is a Co-Founder and serves as Chief Medical Officer at Brightside.</t>
  </si>
  <si>
    <t>Co-Founder &amp; Chief Medical Officer</t>
  </si>
  <si>
    <t>367489-09P</t>
  </si>
  <si>
    <t>Wendy Stapleton</t>
  </si>
  <si>
    <t>Wendy</t>
  </si>
  <si>
    <t>Stapleton</t>
  </si>
  <si>
    <t>Mr. Wendy Stapleton serves as Head of Client Success at Brightside Health.</t>
  </si>
  <si>
    <t>wendy@brightside.com</t>
  </si>
  <si>
    <t>Head of Client Success</t>
  </si>
  <si>
    <t>228039-58P</t>
  </si>
  <si>
    <t>Rick Stockburger</t>
  </si>
  <si>
    <t>Stockburger</t>
  </si>
  <si>
    <t>BRITE Energy Innovators</t>
  </si>
  <si>
    <t>Mr. Rick Stockburger is the President and serves as Chief Executive Officer at BRITE Energy Innovators. He drives the mission and vision of BRITE by actively engaging with prospective and current portfolio companies and their founders. As a founder himself, and through his experiences in executive positions, he has had the opportunity to lead many individuals and help many companies to innovate and grow.</t>
  </si>
  <si>
    <t>+1 (330) 395-3500</t>
  </si>
  <si>
    <t>rick@brite.org</t>
  </si>
  <si>
    <t>Warren, OH</t>
  </si>
  <si>
    <t>125 West Market Street</t>
  </si>
  <si>
    <t>44481</t>
  </si>
  <si>
    <t>80216-20P</t>
  </si>
  <si>
    <t>Aditya Joshi</t>
  </si>
  <si>
    <t>Joshi</t>
  </si>
  <si>
    <t>Brookfield Corporation</t>
  </si>
  <si>
    <t>Mr. Aditya Joshi serves as Managing Partner, Private Equity at Brookfield Corporation. He serves as Managing Director, Private Equity at Brookfield Business Partners. He also serves as Managing Partner, Private Equity Group at Brookfield Capital Partners. He is responsible for private equity strategy, including deal sourcing and execution, and portfolio monitoring. Prior to joining Brookfield in 2019, Mr. Joshi was a Principal at Apax Partners in India where he led and participated in transactions in the healthcare, technology services, and financial services. At Blackstone, Mr. Joshi focused on technology and business services. He began his career at Morgan Stanley, working on fundraising, and mergers and acquisitions across various industries. Mr. Joshi holds a Master of Business Administration degree from The Wharton School, University of Pennsylvania, and a Bachelor's degree from the University of Pune. He is a Chartered Accountant, a member of The Institute of Chartered Accountants of India, and a member of FICCI's National Committee on Private Equity for India.</t>
  </si>
  <si>
    <t>+91 (0)22 4050 8400</t>
  </si>
  <si>
    <t>aditya.joshi@brookfield.com</t>
  </si>
  <si>
    <t>Brookfield Place, Suite 100</t>
  </si>
  <si>
    <t>181 Bay Street</t>
  </si>
  <si>
    <t>Managing Partner, Private Equity</t>
  </si>
  <si>
    <t>301334-95P</t>
  </si>
  <si>
    <t>Alberto Garaizabal</t>
  </si>
  <si>
    <t>Garaizabal</t>
  </si>
  <si>
    <t>Mr. Alberto Garaizabal serves as Managing Director, Real Estate at Brookfield Property Partners. He serves as Managing Director, Real Estate at Brookfield Corporation. In this role, he is responsible for sourcing and executing investments across Southern Europe. Before joining Brookfield in 2016, he had worked at H.I.G. Capital as part of its distressed and real estate investment team in Madrid. Previously he worked for UBS Investment Bank, where he focused on M&amp;A, equity, and debt transactions across several sectors, asset classes, and jurisdictions. He holds a business degree from Universidad Francisco de Vitoria and has been a professor at the Instituto de Empresa Business School since 2016.</t>
  </si>
  <si>
    <t>+1 (416) 363-9491</t>
  </si>
  <si>
    <t>alberto.nin@brookfield.com</t>
  </si>
  <si>
    <t>Brookfield Place</t>
  </si>
  <si>
    <t>Suite 100, 181 Bay Street</t>
  </si>
  <si>
    <t>Managing Director, Real Estate</t>
  </si>
  <si>
    <t>Brookfield Property Partners</t>
  </si>
  <si>
    <t>121769-38P</t>
  </si>
  <si>
    <t>Alex Elawadi</t>
  </si>
  <si>
    <t>Elawadi</t>
  </si>
  <si>
    <t>Mr. Alex Elawadi serves as Managing Partner, Real Estate at Brookfield Property Partners. Mr. Elawadi serves as Managing Partner, Real Estate at Brookfield Corporation. He is responsible for real estate transactions across asset classes in the U.S., with a focus on corporate and portfolio investments. Before joining Brookfield in 2017, Mr. Elawadi held positions in real estate acquisitions and asset management at The Carlyle Group and began his career in real estate investment banking at Bank of America Merrill Lynch. He received a Master of Business Administration degree from Columbia University and a Bachelor of Science degree from Virginia Tech.</t>
  </si>
  <si>
    <t>alex.elawadi@bpy.brookfield.com</t>
  </si>
  <si>
    <t>Managing Partner, Real Estate</t>
  </si>
  <si>
    <t>92991-52P</t>
  </si>
  <si>
    <t>Alex Yang JD</t>
  </si>
  <si>
    <t>Mr. Alex Yang serves as Managing Partner, Private Equity &amp; Head of Greater China and Southeast Asia at Brookfield Corporation. He serves as Managing Director of Private Equity &amp; Head of Greater China and Southeast Asia at Brookfield Business Partners. He also serves as Managing Partner, Private Equity Group &amp; Head of Greater China and Southeast Asia at Brookfield Capital Partners. He is responsible for the origination, execution, and operation of investments in the Greater China area. Prior to joining Brookfield in 2021, Mr. Yang was a Senior Managing Director at Blackstone Private Equity Group based in Hong Kong, a principal at TPG Capital based in Beijing, an associate at Morgan Stanley Investment Banking Division based in New York, and an attorney at Kirkland &amp; Ellis LLP based in Chicago. He previously served on the boards of Global Sources, Shya Hsin Packaging, Essel Propack, and HCP Packaging. Mr. Yang holds a Juris Doctor from the University of Minnesota Law School, an MBA from the University of Chicago Booth School of Business, and a Bachelor of Law from Peking University in China.</t>
  </si>
  <si>
    <t>alex.yang@brookfield.com</t>
  </si>
  <si>
    <t>Managing Partner, Private Equity &amp; Head of Greater China and Southeast Asia</t>
  </si>
  <si>
    <t>348068-08P</t>
  </si>
  <si>
    <t>Alexandre Sabet</t>
  </si>
  <si>
    <t>Sabet</t>
  </si>
  <si>
    <t>Mr. Alexandre Sabet serves as Client Relationship Managers &amp; Senior Vice President at Brookfield Corporation.</t>
  </si>
  <si>
    <t>alexandre.sabet@brookfieldoaktree.com</t>
  </si>
  <si>
    <t>Client Relationship Managers &amp; Senior Vice President</t>
  </si>
  <si>
    <t>79997-05P</t>
  </si>
  <si>
    <t>Alexandre Thiollier</t>
  </si>
  <si>
    <t>Thiollier</t>
  </si>
  <si>
    <t>Mr. Alexandre Thiollier serves as Managing Partner, Private Equity at Brookfield Asset Management. He serves as Managing Partner, Private Equity at Brookfield Business Partners. He also serves as Managing Partner, Private Equity at Brookfield Capital Partners. Prior to his current role, Mr. Thiollier was responsible for coordinating Brookfield's investment platform in Latin America and being interim CEO at one of Brookfield's portfolio companies. Prior to joining Brookfield in 2017, Mr. Thiollier covered Latin America for Cartesian Capital Group and Capital International Private Equity and held investment advisory positions at Bear Stearns in New York and Spectrum Strategy Consultants in Sao Paulo. He received a Bachelor of Arts from the Pontificia Universidade Catolica in São Paulo and a Master of Business Administration degree from the Tuck School of Business at Dartmouth College.</t>
  </si>
  <si>
    <t>alexandre.thiollier@brookfield.com</t>
  </si>
  <si>
    <t>99873-28P</t>
  </si>
  <si>
    <t>Amy Lancaster</t>
  </si>
  <si>
    <t>Lancaster</t>
  </si>
  <si>
    <t>Ms. Amy Lancaster serves as Managing Director, Real Estate at Brookfield Property Partners. Ms. Lancaster serves as Managing Director, Real Estate at Brookfield Corporation. Ms. Lancaster served as Senior Vice President, Hospitality Finance Group at Wells Fargo. Ms. Lancaster also serves as Senior Vice President, Real Estate at The Blackstone Group. Ms. Lancaster spent most of her career in Blackstone's real estate asset management group, where she managed hotel investments ranging from individual full-service hotels to portfolio companies comprising 500+ hotels. Ms. Lancaster holds a Bachelor of Science degree from Villanova University.</t>
  </si>
  <si>
    <t>amy.lancaster@brookfield.com</t>
  </si>
  <si>
    <t>209096-56P</t>
  </si>
  <si>
    <t>Anamica Broetz</t>
  </si>
  <si>
    <t>Anamica</t>
  </si>
  <si>
    <t>Broetz</t>
  </si>
  <si>
    <t>Ms. Anamica Broetz serves as Managing Director, Private Equity at Brookfield Corporation. She serves as Managing Director, Private Equity at Brookfield Capital Partners. She serves as Managing Director at Brookfield Business Partners. Prior to joining Brookfield in 2023, She was global head of PE fundraising and investor relations at DWS Private Equity, where she successfully led the fundraising of several commingled funds across multiple strategies including secondaries, co-investments, fund of funds, and private credit. She was also a voting member of the PE Investment Committee. Prior to DWS, Ms. Broetz held several capital markets roles with firms including Deutsche Bank M&amp;A, Dresdner Kleinwort Wasserstein, Flemings, and Peregrine Capital. She holds a Masters in Finance degree from Delhi University and a Bachelor of Arts (Honors) degree from Shri Ram College of Commerce of Delhi University.</t>
  </si>
  <si>
    <t>anamica.broetz@brookfield.com</t>
  </si>
  <si>
    <t>Managing Director, Private Equity</t>
  </si>
  <si>
    <t>265047-22P</t>
  </si>
  <si>
    <t>Andrew Burych</t>
  </si>
  <si>
    <t>Burych</t>
  </si>
  <si>
    <t>Mr. Andrew Burych serves as Managing Partner, Real Estate &amp; Head of East Asia at Brookfield Property Partners. Previously, Mr. Burych held several positions across the organization including roles with Brookfield Financial and the European Real Estate Investment team in London. Before joining Brookfield in 2010, Mr. Burych worked at a real estate private equity firm in the UK. He holds a Master's degree from the London School of Economics and a Bachelor's degree from the University of Toronto.</t>
  </si>
  <si>
    <t>andrew.burych@brookfield.com</t>
  </si>
  <si>
    <t>Managing Partner, Real Estate &amp; Head of East Asia</t>
  </si>
  <si>
    <t>405999-91P</t>
  </si>
  <si>
    <t>Andy Smith</t>
  </si>
  <si>
    <t>Mr. Andy Smith serves as Managing Partner, Real Estate at Brookfield Corporation. Mr. Smith serves as Managing Partner, Real Estate at Brookfield Property Partners. He leads North American investments for logistics, playing a key role in the growth of the sector globally including its expansion into new markets. He previously worked for Brookfield's Private Equity Group, focusing on the Special Investments strategy. Mr. Smith holds a Bachelor of Business Administration degree from the University of Texas.</t>
  </si>
  <si>
    <t>andy.smith@brookfield.com</t>
  </si>
  <si>
    <t>206573-59P</t>
  </si>
  <si>
    <t>Ankur Gupta</t>
  </si>
  <si>
    <t>Mr. Ankur Gupta serves as Managing Partner, Real Estate &amp; Head of Asia Pacific and Middle East, Real Estate Group at Brookfield Property Partners. He also serves as a Managing Partner and Head, of Brookfield Real Estate, Asia Pacific, and Middle East at Brookfield Properties. He oversees all of Brookfield's real estate activities in the country, including strategy, investments, and asset management. He joined Brookfield in 2012 and has held several roles within the real estate investment team in New York and India since then. Mr Gupta established Brookfield's real estate business in India through three large portfolio acquisitions and the acquisition of The Leela, a luxury hospitality business. Before establishing Brookfield's presence in India, he was involved in numerous investments, including IDI Logistics, Associated Estates, Rouse Properties, and Forest City Realty Trust. Before joining Brookfield, he worked for a leading real estate development firm. He received his MBA with Dean's Honors from Columbia Business School and holds a Bachelor of Technology in Chemical Engineering from the Indian Institute of Technology, Bombay.</t>
  </si>
  <si>
    <t>ankur.gupta@brookfield.com</t>
  </si>
  <si>
    <t>Managing Partner, Real Estate &amp; Head of Asia Pacific and Middle East, Real Estate Group</t>
  </si>
  <si>
    <t>376202-17P</t>
  </si>
  <si>
    <t>Annie Harvey</t>
  </si>
  <si>
    <t>Annie</t>
  </si>
  <si>
    <t>Harvey</t>
  </si>
  <si>
    <t>Ms. Annie Harvey serves as Senior Vice President at Brookfield Corporation.</t>
  </si>
  <si>
    <t>65099-44P</t>
  </si>
  <si>
    <t>Anthony Bavaro</t>
  </si>
  <si>
    <t>Bavaro</t>
  </si>
  <si>
    <t>Mr. Anthony Bavaro serves as Chief Operating Officer, Brookfield Asset Management at Brookfield Capital Partners. He serves as Managing Director, Chief Operating Officer, and Risk Manager of Special Investments at Brookfield Business Partners. He also serves as Managing Director, Private Equity at Brookfield Corporation. In this role, he is responsible for all aspects of operational fund management, risk reporting, and tracking. Additionally, he works across Brookfield's businesses assisting with trade execution, settlement, and fund origination. He has over 18 years of experience. Before joining Brookfield in 2014, he was Chief Financial Officer and Partner at Sandell Asset Management, responsible for financial reporting, operations, and back office administration. He holds a Bachelor of Science in Accounting, magna cum laude, from Wagner College and is a New York State licensed Certified Public Accountant.</t>
  </si>
  <si>
    <t>anthony.bavaro@brookfield.com</t>
  </si>
  <si>
    <t>Chief Operating Officer, Brookfield Asset Management</t>
  </si>
  <si>
    <t>Brookfield Capital Partners</t>
  </si>
  <si>
    <t>41927-68P</t>
  </si>
  <si>
    <t>Anthony Gardner JD</t>
  </si>
  <si>
    <t>Gardner</t>
  </si>
  <si>
    <t>Mr. Anthony Gardner serves as Executive Advisor at Brookfield Corporation. Mr. Gardner serves as a Board Member and member of the Executive Committee, and Appointments Committee at Iberdrola. He serves as Member of Investment Committee at Qualitas Funds. He served as Board Member &amp; Managing Partner, Private Equity at Brookfield Business Partners. He served as an Advisor at Fortino Capital Partners. S.A. Previously, he served as U.S. Ambassador to the European Union from 2014 to 2017, and spent several years on the leadership team of Palamon Capital Partners, a London-based private equity firm, and in the leveraged finance and M&amp;A groups of Bank of America and GE Capital, respectively. He has also worked at international law firms in London, Paris, New York, and Brussels. He holds a B.A. in Government from Harvard University, an MPhil in International Relations from Oxford University, a J.D. from Columbia Law School, and a Master in Finance from London Business School.</t>
  </si>
  <si>
    <t>anthony.gardner@brookfield.com</t>
  </si>
  <si>
    <t>Executive Advisor</t>
  </si>
  <si>
    <t>44839-09P</t>
  </si>
  <si>
    <t>Anuj Ranjan</t>
  </si>
  <si>
    <t>Anuj</t>
  </si>
  <si>
    <t>Ranjan</t>
  </si>
  <si>
    <t>Mr. Anuj Ranjan serves as Chief Executive Officer, Private Equity at Brookfield Asset Management. He serves as Chief Executive Officer at Brookfield Business Partners. He served as Chief Executive Officer of private equity business, Private Equity&amp; Head, and Business Development at Brookfield Corporation. He serves as President of Private Equity &amp; Global Head of Business Development at Brookfield Business Partners. He also serves as Chief Executive Officer, Private Equity Group &amp; Brookfield Business Partners at Brookfield Capital Partners. He is currently responsible for Brookfield's business initiatives in India. He has been involved in over $ 20 billion of real estate and infrastructure transactions with Brookfield globally. He holds a Bachelor of Science from the University of Alberta and an MBA from the University of Western Ontario.</t>
  </si>
  <si>
    <t>anuj.ranjan@brookfield.com</t>
  </si>
  <si>
    <t>Chief Executive Officer, Private Equity</t>
  </si>
  <si>
    <t>Brookfield Asset Management</t>
  </si>
  <si>
    <t>81186-31P</t>
  </si>
  <si>
    <t>Arpit Agrawal</t>
  </si>
  <si>
    <t>Arpit</t>
  </si>
  <si>
    <t>Mr. Arpit Agrawal serves as Managing Director, Infrastructure &amp; Head of India and the Middle East, Infrastructure Group at Brookfield Asset Management and Brookfield Infrastructure Partners. He serves as Managing Partner &amp; Head of India and the Middle East for Brookfield's Infrastructure at Brookfield Renewable Partners. He also serves as Managing Partner and Head of Infrastructure at Brookfield Asset Management. He serves as a Board Member at Peak Infrastructure. In this role, he is responsible for all infrastructure investment activity in the regions. Before joining Brookfield in 2016, Mr. Agrawal was a vice president with an infrastructure asset manager. He holds a Master of Business Administration from the Indian Institute of Management Bangalore and a Bachelor's degree from the National Institute of Technology Allahabad.</t>
  </si>
  <si>
    <t>arpit.agrawal@brookfield.com</t>
  </si>
  <si>
    <t>Managing Partner, Infrastructure &amp; Head of India and the Middle East</t>
  </si>
  <si>
    <t>141657-49P</t>
  </si>
  <si>
    <t>Arturo Pelaez</t>
  </si>
  <si>
    <t>Arturo</t>
  </si>
  <si>
    <t>Mr. Arturo Pelaez serves as Managing Director at Brookfield Corporation. He served as Vice President of Corporate Mergers &amp; Acquisitions at Voya Financial. He served as Director of Strategy and Corporate Development. Previously, he served as a Vice President at Citi.</t>
  </si>
  <si>
    <t>arturo.pelaez@brookfield.com</t>
  </si>
  <si>
    <t>Managing Director, Brookfield Wealth Solutions</t>
  </si>
  <si>
    <t>55606-42P</t>
  </si>
  <si>
    <t>Benedict Annable</t>
  </si>
  <si>
    <t>Benedict</t>
  </si>
  <si>
    <t>Annable</t>
  </si>
  <si>
    <t>Mr. Benedict Annable serves as Managing Director, Real Estate at Brookfield Property Partners. Mr. Annable serves as Managing Director, Real Estate at Brookfield Corporation. He served as a Board Member at Student Roost. He served as Senior Vice President at Brookfield Property Partners. Mr. Annable serves as a Board Member at Center Parcs. He is responsible for advising on all legal aspects of Brookfield's real estate platform, specifically focusing on European acquisitions, dispositions, and related financings. Since joining Brookfield in 2018, he has been involved in several acquisitions across various asset classes and jurisdictions, including offices, student housing, and apart-hotel businesses and assets in the United Kingdom, France, and Spain. Before joining Brookfield, he was a Partner at the law firm of Mishcon de Reya LLP, where he focused on acquisitions, disposals, investments, and joint ventures, primarily in the real estate sector. He holds a BA (Hons) from Durham University.</t>
  </si>
  <si>
    <t>+44 (0)20 7440 7096</t>
  </si>
  <si>
    <t>ben.annable@brookfield.com</t>
  </si>
  <si>
    <t>+44 (0)20 7831 8933</t>
  </si>
  <si>
    <t>44839-90P</t>
  </si>
  <si>
    <t>Benjamin Vaughan</t>
  </si>
  <si>
    <t>Vaughan</t>
  </si>
  <si>
    <t>Chief Operating Officer &amp; Operating Partner</t>
  </si>
  <si>
    <t>Mr. Benjamin Vaughan serves as Operating Partner &amp; Chief Operating Officer, Infrastructure at Brookfield Infrastructure Partners. He also served as Chairman at HQI Transelec Chile. He also serves as a Chief Operating Officer &amp; Operating Partner, Infrastructure at Brookfield Corporation. He also serves as Board Member at Sociedad Concesionaria Túnel San Cristóbal. He joined the company in 2001 and, during his time here, has helped Brookfield achieve a track record of driving value in its portfolio companies through growth initiatives, increasing cash flows, and mitigating risks. Before his current role, he held a series of executive positions at Brookfield's Renewable Power business, helping grow the business through organic development projects and building a scalable commercial and operating platform. In addition to his role in the Renewable Power business, he has lived in Brazil and played a key role in Brookfield's investment activities across South America. He is a Chartered Accountant and holds a Bachelor of Commerce degree from Queen's University in Canada. He currently sits on several public and private portfolio company boards.</t>
  </si>
  <si>
    <t>bvaughan@brookfield.com</t>
  </si>
  <si>
    <t>Brookfield Place, 181 Bay Street</t>
  </si>
  <si>
    <t>Operating Partner &amp; Chief Operating Officer, Infrastructure</t>
  </si>
  <si>
    <t>Brookfield Infrastructure Partners</t>
  </si>
  <si>
    <t>187321-96P</t>
  </si>
  <si>
    <t>Brad Hyler</t>
  </si>
  <si>
    <t>Hyler</t>
  </si>
  <si>
    <t>Mr. Brad Hyler serves as Managing Partner, Real Estate &amp; Head of Real Estate, Europe at Brookfield Property Partners. Mr. Hyler serves as Managing Partner, Real Estate at Brookfield Corporation. He also serves as a Board Member at Center Parcs. He is responsible for overseeing business development and new investment activity in Europe. Mr. Hyler joined Brookfield in 2011 in New York and relocated to London in 2015. Since joining, he has been heavily involved in several significant M&amp;A transactions including Verde, IDI, Gazeley, Roost, Saco, IC, and Vesta. He has also been instrumental in the creation and expansion of Brookfield's logistics and student housing operating platforms. Mr. Hyler serves as a director on Brookfield's real estate portfolio company boards in Europe. Before joining Brookfield, Mr. Hyler held various positions at O'Connor Capital Partners and Jones Lang Lasalle. Mr. Hyler holds a BA in Economics from the University of North Carolina at Chapel Hill.</t>
  </si>
  <si>
    <t>brad.hyler@brookfield.com</t>
  </si>
  <si>
    <t>Managing Partner, Real Estate &amp; Head of Real Estate, Europe</t>
  </si>
  <si>
    <t>406009-09P</t>
  </si>
  <si>
    <t>Bradley Weismiller</t>
  </si>
  <si>
    <t>Weismiller</t>
  </si>
  <si>
    <t>Mr. Bradley Weismiller serves as Managing Partner, Real Estate at Brookfield Corporation. Mr. Weismiller serves as Managing Partner, Real Estate &amp; Head of Capital Markets, Real Estate Group at Brookfield Property Partners. He is responsible for the strategy and execution of asset-level and corporate financings across Brookfield's global real estate strategies. Mr. Weismiller joined Brookfield in 2004. Prior to his current role, Mr. Weismiller was Chief Financial Officer for Brookfield Asset Management in Europe and responsible for strategy and execution of all European financings. Additionally, Mr. Weismiller helped oversee Brookfield's foreign exchange and interest rate risk management, including active management of hedging strategies. Mr. Weismiller holds a Bachelor of Business Administration degree from the Mason School of Business at the College of William and Mary in Virginia.</t>
  </si>
  <si>
    <t>+1 (212) 417-7000</t>
  </si>
  <si>
    <t>bradley.weismiller@brookfield.com</t>
  </si>
  <si>
    <t>250 Vesey Street, 15th Floor</t>
  </si>
  <si>
    <t>10281-0221</t>
  </si>
  <si>
    <t>271323-64P</t>
  </si>
  <si>
    <t>Brett Fox JD</t>
  </si>
  <si>
    <t>Fox</t>
  </si>
  <si>
    <t>Mr. Brett Fox serves as Managing Partner, Real Estate at Brookfield Properties. Mr. Fox serves as Managing Partner, Real Estate at Brookfield Property Partners. Prior to joining Brookfield in 2002, Mr. Fox was an associate at the law firm Cahill Gordon &amp; Reindel. Mr. Fox earned a Juris Doctor degree from Fordham University School of Law and a Bachelor of Arts degree from Cornell University.</t>
  </si>
  <si>
    <t>brett.fox@brookfield.com</t>
  </si>
  <si>
    <t>Brookfield Place New York</t>
  </si>
  <si>
    <t>10281</t>
  </si>
  <si>
    <t>Chief Administrative Officer, Administration &amp; General Counsel, Legal</t>
  </si>
  <si>
    <t>Brookfield Properties</t>
  </si>
  <si>
    <t>65451-25P</t>
  </si>
  <si>
    <t>Brian Baker</t>
  </si>
  <si>
    <t>Mr. Brian Baker serves as an Operating Partner at Brookfield Infrastructure Partners. He serves as Chief Executive Officer and President &amp; Chairman at Inter Pipeline. He also serves as Interim President &amp; Chief Executive Officer at Inter Pipeline. He also serves as Managing Partner and Regional Head of North America - Infrastructure Group at Brookfield Asset Management. In this role, he is responsible for evaluating investment opportunities, including the oversight and investment strategy within the data infrastructure and transportation sectors. Mr. Baker joined Brookfield in 2007 after spending four years as Vice President and Chief Financial Officer for several oil and gas production companies in Western Canada. He was previously a Partner with Collins Barrow Chartered Accountants, where he focused on advisory work in the oil and gas sector. Mr. Baker holds a Bachelor of Commerce degree from the University of Calgary and is a Chartered Professional Accountant.</t>
  </si>
  <si>
    <t>+44 (0)20 7659 3500</t>
  </si>
  <si>
    <t>brian.baker@brookfield.com</t>
  </si>
  <si>
    <t>One Canada Square</t>
  </si>
  <si>
    <t>Level 25, Canary Wharf</t>
  </si>
  <si>
    <t>E14 5AA</t>
  </si>
  <si>
    <t>Operating Partner, Infrastructure</t>
  </si>
  <si>
    <t>160819-30P</t>
  </si>
  <si>
    <t>Brian Cook</t>
  </si>
  <si>
    <t>Mr. Brian Cook serves as Managing Director, Renewable Power &amp; Transition Group at Brookfield Asset Management. Mr. Cook also serves as Managing Director, Renewable Power &amp; Transition at Brookfield Renewable Partners. Mr. Cook joined the company in 2008 and held the position of CFO in Brookfield's energy marketing group in 2011 was promoted to Senior Vice President, Finance, for Brookfield Renewable Partners in 2013. Prior to joining Brookfield Renewable Partners, Mr. Cook held senior finance and investment positions at a major Canadian mutual fund company. Mr. Cook holds a Chartered Financial Analyst and a Chartered Professional Accountant designation. He is also on the investment committee for the Terry Fox Foundation and The Ottawa Hospital Foundation.</t>
  </si>
  <si>
    <t>brian.cook@brookfield.com</t>
  </si>
  <si>
    <t>Managing Director, Renewable Power &amp; Transition Group</t>
  </si>
  <si>
    <t>405966-61P</t>
  </si>
  <si>
    <t>Brian Hurowitz JD</t>
  </si>
  <si>
    <t>Hurowitz</t>
  </si>
  <si>
    <t>Mr. Brian Hurowitz serves as Managing Director, Real Estate at Brookfield Property Partners. Mr. Hurowitz serves as Managing Director, Real Estate at Brookfield Corporation. He also serves as Managing Director, Real Estate at Brookfield Property Partners. Before joining Brookfield in 2012, He was the head of tax at a global media company. He also spent a decade at EY, in their financial services office where he assisted his clients with mergers &amp; acquisitions, restructurings, and tax provisions. Mr. Hurowitz holds a Master's in Tax from New York University School of Law, a Juris Doctor degree from Duke University School of Law, and a Bachelor of Science degree from Cornell University.</t>
  </si>
  <si>
    <t>brian.hurowitz@brookfield.com</t>
  </si>
  <si>
    <t>152786-53P</t>
  </si>
  <si>
    <t>Bryan Smith</t>
  </si>
  <si>
    <t>Mr. Bryan Smith serves as Managing Director, Real Estate Group at Brookfield Corporation. Mr. Smith serves as Managing Director, Real Estate at Brookfield Property Partners. He is responsible for accounting, reporting, and operations of Brookfield's real estate private funds. Before joining Brookfield in March 2018, Mr. Smith was the CFO of U.S. real estate at The Carlyle Group. Mr. Smith also held positions at Ernst &amp; Young's assurance practice, FINRA, and CapitalSource. Mr. Smith holds dual bachelor's degrees from Virginia Tech.</t>
  </si>
  <si>
    <t>bryan.smith@brookfield.com</t>
  </si>
  <si>
    <t>Managing Director, Real Estate Group</t>
  </si>
  <si>
    <t>67624-75P</t>
  </si>
  <si>
    <t>Carlos Castro</t>
  </si>
  <si>
    <t>Castro</t>
  </si>
  <si>
    <t>Mr. Carlos Castro serves as the Operating Partner of infrastructure at Brookfield Corporation. He also serves as an Operating Partner of Infrastructure, in Latin America and Country Head of Colombia at Brookfield Infrastructure Partners. He serves as a Board Member at AeioTu. He is responsible for operations in Colombia and oversight of Brookfield's Colombian Infrastructure Fund. Before joining Brookfield in 2012, Mr. Castro held corporate finance roles in the financial and industrial sectors in Colombia, Washington, D.C., and Sao Paulo. He also worked in investment banking in Colombia and as the Chief Financial Officer of two Colombian companies. He holds a Master of Science degree from the London Business School and a bachelor's degree from Universidad de Los Andes in Bogotá.</t>
  </si>
  <si>
    <t>carlos.d.castro@brookfield.com</t>
  </si>
  <si>
    <t>Operating Partner of Infrastructure, Latin America &amp; Country Head of Colombia</t>
  </si>
  <si>
    <t>305243-92P</t>
  </si>
  <si>
    <t>Carolina Parisi</t>
  </si>
  <si>
    <t>Carolina</t>
  </si>
  <si>
    <t>Parisi</t>
  </si>
  <si>
    <t>Ms. Carolina Parisi serves as Senior Vice President at Brookfield Capital Partners. She Carolina Parisi co-founded Ibisa.</t>
  </si>
  <si>
    <t>348481-72P</t>
  </si>
  <si>
    <t>Carolyn Bidwell JD</t>
  </si>
  <si>
    <t>Bidwell</t>
  </si>
  <si>
    <t>Ms. Carolyn Bidwell serves as Managing Director, Global Client Group at Brookfield Corporation.</t>
  </si>
  <si>
    <t>Managing Director, Global Client Group</t>
  </si>
  <si>
    <t>297536-41P</t>
  </si>
  <si>
    <t>Chloe Berry</t>
  </si>
  <si>
    <t>Chloe</t>
  </si>
  <si>
    <t>Ms. Chloe Berry serves as Managing Partner, Infrastructure &amp; Head of the Brookfield Infrastructure Income Strategy at Brookfield Infrastructure Partners. She is responsible for the global capital markets and treasury functions. She has held several roles within Brookfield, including recently leading the finance and operations of Brookfield's private infrastructure funds. Before joining Brookfield in 2017, Ms. Berry worked in corporate finance and M&amp;A at large multinational corporations and a global investment bank. Ms. Berry holds a Bachelor of Science degree from McGill University.</t>
  </si>
  <si>
    <t>chloe.berry@brookfield.com</t>
  </si>
  <si>
    <t>Managing Partner, Infrastructure &amp; Head of the Brookfield Infrastructure Income Strategy</t>
  </si>
  <si>
    <t>35240-32P</t>
  </si>
  <si>
    <t>Chris Harris</t>
  </si>
  <si>
    <t>Mr. Chris Harris serves as Managing Director, Global Client Group at Brookfield Corporation. He is responsible for client relations in the Western United States. Prior to joining Brookfield in 2010, he was a director with Macquarie and before that, Citi. In 2005, he was appointed a Trustee to the Arizona State Retirement System. During his seven years on the $30 billion plan, his service included roles as Vice Chairman of the Investment Committee and the Trustee Representative on the private markets, real estate and private equity sub-committees. During his tenure, he helped spearhead a new investment policy statement, streamlined governance policies with regards to manager selection and was involved in two tactical asset allocation surveys and implementations. He holds a Bachelor of Science degree in Finance and Entrepreneurship from the University of Arizona. He currently serves on the National Board of Advisors at the University of Arizona Eller Business School and on a number of other non-profit committees and boards.</t>
  </si>
  <si>
    <t>charris@brookfield.com</t>
  </si>
  <si>
    <t>265256-11P</t>
  </si>
  <si>
    <t>Christopher Reilly</t>
  </si>
  <si>
    <t>Mr. Christopher Reilly serves as Managing Partner &amp; Head of Real Estate Solutions Group at Brookfield Property Partners. Mr. Reilly serves as Managing Partner and Head of Real Estate Secondaries - Real Estate Group at Brookfield Corporation. He also serves as Managing Partner, Real Estate at Brookfield Property Partners. He oversees the origination, execution, and asset management of the Firm's real estate secondary investments globally. Before joining Brookfield in 2012, Mr. Reilly was a Managing Director at Natixis Real Estate Capital Markets, ran the large loan group at UBS, and was an Executive Director at Morgan Stanley, focused on the origination and distribution of commercial real estate loans. Before Morgan Stanley, Mr. Reilly was a Credit Analyst at Fitch Ratings. He holds a Bachelor of Science degree from the Stern School of Business at New York University.</t>
  </si>
  <si>
    <t>christopher.reilly@brookfield.com</t>
  </si>
  <si>
    <t>Managing Partner &amp; Head of Real Estate Solutions Group</t>
  </si>
  <si>
    <t>82711-27P</t>
  </si>
  <si>
    <t>Craig Laurie</t>
  </si>
  <si>
    <t>Laurie</t>
  </si>
  <si>
    <t>Mr. Craig Laurie serves as a Managing Partner, Credit at Brookfield Corporation. He serves as Managing Partner, Insurance Solutions at Brookfield Asset Management. He serves as a Board member at Altera. He serves as Managing Partner, Private Equity at Brookfield Business Partners. He oversees Capital Markets, Finance, and Planning. He joined Brookfield in 1997 and has held a number of senior finance positions across the organization, including the Chief Financial Officer of Brookfield Business Partners. Prior to joining Brookfield, he worked in restructuring and advisory services at Deloitte. He's a Chartered Professional Accountant and holds a Bachelor of Commerce from Queen's University. He also serves as Director and Member of Corporate Governance Committee at Altera Infrastructure.</t>
  </si>
  <si>
    <t>craig.laurie@brookfield.com</t>
  </si>
  <si>
    <t>Managing Partner, Credit</t>
  </si>
  <si>
    <t>405975-43P</t>
  </si>
  <si>
    <t>Cristiano Machado</t>
  </si>
  <si>
    <t>Machado</t>
  </si>
  <si>
    <t>Mr. Cristiano Machado serves as Managing Partner, Real Estate at Brookfield Property Partners. Mr. Machado serves as Managing Partner, Real Estate at Brookfield Corporation. He also has been involved in a wide range of investment, financing, and capital market activities. Mr. Machado joined Brookfield in 1995 and has held several senior positions, including Chief Financial Officer for Brookfield-affiliated companies in the retail, hotel, and development sectors. He also has been involved in a wide range of investment, financing, and capital market activities. Mr. Machado received a Master of Business Administration and Bachelor of Arts degrees from the Federal University of Rio de Janeiro. He also completed the Advanced Management Program at Harvard Business School. Mr. Machado is a board member of the NCREIF PREA Reporting Standards Board.</t>
  </si>
  <si>
    <t>cristiano.machado@brookfield.com</t>
  </si>
  <si>
    <t>297543-61P</t>
  </si>
  <si>
    <t>Dani Brody JD</t>
  </si>
  <si>
    <t>Dani</t>
  </si>
  <si>
    <t>Brody</t>
  </si>
  <si>
    <t>Ms. Dani Brody serves as Managing Director, Real Estate at Brookfield Property Partners. Ms. Brody serves as Managing Director, Real Estate at Brookfield Corporation. She is responsible for various legal and operational matters, including oversight of key governance frameworks and global enterprise risk management. Before joining Brookfield in 2014, Ms. Brody worked at the law firm Allen &amp; Overy LLP where she focused on cross-border mergers and acquisitions. Ms. Brody holds a Juris Doctor degree from Vanderbilt University Law School as well as a Master of Arts and Bachelor of Arts degree from Lehigh University.</t>
  </si>
  <si>
    <t>dani.brody@brookfield.com</t>
  </si>
  <si>
    <t>445516-66P</t>
  </si>
  <si>
    <t>Darren Soice</t>
  </si>
  <si>
    <t>Soice</t>
  </si>
  <si>
    <t>Mr. Darren Soice serves as Senior Vice President at Brookfield Corporation.</t>
  </si>
  <si>
    <t>265160-98P</t>
  </si>
  <si>
    <t>Dave Gregory</t>
  </si>
  <si>
    <t>Mr. Dave Gregory serves as Managing Partner, Private Equity Group at Brookfield Corporation. He serves as Managing Partner, Private Equity, and Chief Investment Officer at Brookfield Business Partners. He also serves as Managing Partner, Private Equity at Brookfield Capital Partners. He joined Brookfield in 2010. Prior to that, he worked at Genuity Capital Markets in the Mergers, Acquisitions &amp; Restructuring Group. He holds an Honors Business Administration Degree from the University of Western Ontario.</t>
  </si>
  <si>
    <t>dave.gregory@brookfield.com</t>
  </si>
  <si>
    <t>Managing Partner, Private Equity Group</t>
  </si>
  <si>
    <t>265266-46P</t>
  </si>
  <si>
    <t>Dave Robison</t>
  </si>
  <si>
    <t>Robison</t>
  </si>
  <si>
    <t>Mr. Dave Robison serves as Managing Director, Global Client Group at Brookfield Corporation. In this role, he is responsible for leading the firm's consultant relations strategy. Prior to joining Brookfield in 2019, he was an executive director at J.P. Morgan where he worked closely with investment consultants across JPM's private markets capabilities. Previously, he worked at Russell Investments where he advised consultants and plan sponsors on systematic investment strategies and at Deutsche Bank where he advised consultants on the implementation of rules-based equity strategies. He began his career at Thomson Reuters. He holds a Master of Business Administration degree from the Gabelli School of Business at Fordham University and a Bachelor of Arts degree from Hartwick College.</t>
  </si>
  <si>
    <t>dave.robison@brookfield.com</t>
  </si>
  <si>
    <t>44838-55P</t>
  </si>
  <si>
    <t>David Aiken</t>
  </si>
  <si>
    <t>Aiken</t>
  </si>
  <si>
    <t>Mr. David Aiken serves as Managing Partner, Private Equity at Brookfield Asset Management. He also serves as Managing Partner, Private Equity at Brookfield Business Partners. He is a Chief Investment Officer in Brookfield's Private Equity Group. He is responsible for evaluating investment opportunities, including investment strategy and transaction execution within the industrial sector. Mr. Aiken joined Brookfield in 2007 and has held several roles across the organization in both Canada and Brazil. He has been involved in a number of significant transactions across a range of industries, including real estate, industrial operations, and financial and real estate services, and has executed a number of capital raises for companies in the Brookfield group. Prior to joining Brookfield, Mr. Aiken spent three years working in investment banking in New York, focused on restructuring and leveraged finance. Mr. Aiken holds a Bachelor of Commerce from the John Molson School of Business at Concordia University.</t>
  </si>
  <si>
    <t>+1 (213) 527-7769</t>
  </si>
  <si>
    <t>david.aiken@brookfield.com</t>
  </si>
  <si>
    <t>265174-75P</t>
  </si>
  <si>
    <t>David Krant</t>
  </si>
  <si>
    <t>Krant</t>
  </si>
  <si>
    <t>Mr. David Krant serves as Chief Financial Officer &amp; Managing Partner, Infrastructure at Brookfield Infrastructure Partners. He has overall responsibility for the group's finance, tax, treasury, and investor relations activities. He has been a longstanding member of the infrastructure finance leadership team and has been actively involved in a number of key transactions and business development initiatives for the business. He joined Brookfield in 2012 and has held a number of senior roles within the organization. Prior to joining Brookfield, he was in the assurance and advisory group at one of the Big Four accounting firms. He earned a Bachelor of Commerce degree from the School of Business and Economics at Wilfrid Laurier University and holds Certified Public Accountant and Chartered Accountant designations.</t>
  </si>
  <si>
    <t>david.krant@brookfield.com</t>
  </si>
  <si>
    <t>Managing Partner, Infrastructure &amp; Chief Financial Officer</t>
  </si>
  <si>
    <t>215025-58P</t>
  </si>
  <si>
    <t>David Mullane</t>
  </si>
  <si>
    <t>Mr. David Mullane serves as Senior Vice President at Brookfield Asset Management.</t>
  </si>
  <si>
    <t>+1 (510) 901-8409</t>
  </si>
  <si>
    <t>dmmullane@gmail.com</t>
  </si>
  <si>
    <t>44838-37P</t>
  </si>
  <si>
    <t>David Nowak</t>
  </si>
  <si>
    <t>Nowak</t>
  </si>
  <si>
    <t>Mr. David Nowak serves as President, Private Equity at Brookfield Corporation. Mr. Nowak serves as Board Member at BrandSafway. He also serves as Chairman at Sagen MI Canada. He serves as Managing Partner, Private Equity at Brookfield Business Partners. He is responsible for investment origination, analysis and execution across North America. Mr. Nowak has deep experience in principal investing and the execution of mergers and acquisitions. Prior to joining Brookfield in 2011, he was a Managing Director at Westerkirk Capital where he invested in private equity and real estate and was actively involved with the investee management teams as a member of the portfolio companies' board of directors. Mr. Nowak holds a Bachelor of Laws from the University of Western Ontario and an MBA from Duke University.</t>
  </si>
  <si>
    <t>+1 (416) 359-8634</t>
  </si>
  <si>
    <t>david.nowak@brookfield.com</t>
  </si>
  <si>
    <t>President, Private Equity</t>
  </si>
  <si>
    <t>160817-68P</t>
  </si>
  <si>
    <t>David Stalter</t>
  </si>
  <si>
    <t>Stalter</t>
  </si>
  <si>
    <t>Mr. David Stalter serves as Managing Partner, Real Estate Group at Brookfield Corporation. Mr. Stalter serves as Managing Partner, Real Estate at Brookfield Property Partners. He is responsible for leading the tax team in Brookfield's Property Group globally. Mr. Stalter joined Brookfield in 2009, initially as Vice President in charge of US tax for Brookfield across all business platforms. He has held his current role since 2012. Before joining Brookfield, Mr. Stalter was a Director at PricewaterhouseCoopers, where he spent 13 years specializing in strategic and private equity mergers and acquisitions transactions. Mr. Stalter holds Master of Business Administration and Master of Science degrees from Fordham University's Graduate School of Business Administration, and a Bachelor of Arts degree from The College of the Holy Cross. He is also a Certified Public Accountant.</t>
  </si>
  <si>
    <t>david.stalter@brookfield.com</t>
  </si>
  <si>
    <t>Managing Partner, Real Estate Group</t>
  </si>
  <si>
    <t>406005-22P</t>
  </si>
  <si>
    <t>David Todd</t>
  </si>
  <si>
    <t>Mr. David Todd serves as Managing Director, Real Estate at Brookfield Corporation. He serves as Chief Executive Officer at Maymont Homes. Mr. Todd serves as Managing Director, Real Estate at Brookfield Property Partners. He is responsible for equity and debt investments, portfolio management, and operations. Before his current position, Mr. Todd focused on investment opportunities for the real estate M&amp;A team. Prior to joining Brookfield in 2017, Mr. Todd held real estate acquisition, development and asset management roles after positions as a management consultant and computer programmer. Mr. Todd holds a Master of Business Administration degree from the University of Virginia Darden School of Business and a Bachelor of Science degree from Virginia Tech.</t>
  </si>
  <si>
    <t>david.todd@brookfield.com</t>
  </si>
  <si>
    <t>265271-68P</t>
  </si>
  <si>
    <t>Dev Santani</t>
  </si>
  <si>
    <t>Dev</t>
  </si>
  <si>
    <t>Santani</t>
  </si>
  <si>
    <t>Mr. Dev Santani serves as Board Member at Kanai Technology Parks. He serves as Managing Director, Private Equity Group at Brookfield Asset Management. He serves as Managing Director, Private Equity at Brookfield Business Partners. He also serves as Managing Partner, Private Equity at Brookfield Corporation. He is focused on the Brookfield Special Investments Fund. Mr. Santani is responsible for overseeing opportunistic and private credit opportunities in India. Mr. Santani has extensive experience in private equity, restructurings, structured and corporate finance. Prior to joining Brookfield in 2014, Mr. Santani worked for AIG Global Real Estate. Mr. Santani is a Chartered Accountant and holds a Master of Management Studies from the University of Mumbai.</t>
  </si>
  <si>
    <t>dev.santani@brookfield.com</t>
  </si>
  <si>
    <t>297547-30P</t>
  </si>
  <si>
    <t>Devin Barnwell</t>
  </si>
  <si>
    <t>Devin</t>
  </si>
  <si>
    <t>Ms. Devin Barnwell serves as Managing Partner, Real Estate at Brookfield Corporation. Ms. Barnwell serves as Managing Partner &amp; Head of Portfolio Management at Brookfield Properties. She serves as Managing Partner, Real Estate at Brookfield Property Partners. Before joining Brookfield in 2019, Ms. Barnwell worked in the real estate investing group at Morgan Stanley, where she was an asset manager in the real estate investing practice overseeing the Southeast and Texas. Ms. Barnwell holds Master of Business Administration and Master of Science degrees from Georgia State University's J. Mack Robinson College of Business and a Bachelor of Business Administration degree from the University of Georgia's Terry College of Business.</t>
  </si>
  <si>
    <t>devin.barnwell@brookfield.com</t>
  </si>
  <si>
    <t>406010-71P</t>
  </si>
  <si>
    <t>Dominic Williamson</t>
  </si>
  <si>
    <t>Williamson</t>
  </si>
  <si>
    <t>Mr. Dominic Williamson serves as Managing Director, Real Estate at Brookfield Corporation. Mr. Williamson serves as Managing Director, Real Estate at Brookfield Property Partners. He is responsible for investments throughout the U.K. and Ireland, as well as the ongoing portfolio company management of businesses such as ARC and Brookfield's U.K. Science and Innovation business. Prior to joining Brookfield in 2017, Mr. Williamson was an investment manager at Gingko Tree Investment, a wholly owned subsidiary of the China State Administration of Foreign Exchange, responsible for acquisition and asset management of real estate throughout Europe. Mr. Williamson is a qualified lawyer and former investment banker, most recently at Morgan Stanley in their European Real Estate Investment Banking team. Mr. Williamson holds a Graduate Diploma in Law from Nottingham Law School and a Bachelor of Science degree from Nottingham University.</t>
  </si>
  <si>
    <t>dominic.williamson@brookfield.com</t>
  </si>
  <si>
    <t>402481-99P</t>
  </si>
  <si>
    <t>Dorothy Lacuha</t>
  </si>
  <si>
    <t>Dorothy</t>
  </si>
  <si>
    <t>Lacuha</t>
  </si>
  <si>
    <t>Mr. Dorothy Lacuha serves as a Vice President, Events and Global Client Group at Brookfield Corporation.</t>
  </si>
  <si>
    <t>dorothy.lacuha@brookfield.com</t>
  </si>
  <si>
    <t>Vice President, Events and Global Client Group</t>
  </si>
  <si>
    <t>30050-11P</t>
  </si>
  <si>
    <t>Doug Bayerd</t>
  </si>
  <si>
    <t>Bayerd</t>
  </si>
  <si>
    <t>Mr. Doug Bayerd serves as Managing Partner, Private Equity at Brookfield Asset Management. He serves as Managing Partner, Private Equity at Brookfield Business Partners. He also serves as a managing partner for the Private Equity Group at Brookfield Capital Partners. In this role, he is responsible for investment origination, analysis, and execution in the technology and software sectors. He served as Vice President at Golden Gate Capital. Before joining Brookfield in 2021, he was a Principal at Marlin Equity Partners where he led transactions in technology with an emphasis in enterprise software. He also worked in the special situations division of Oaktree Capital Management and began his career at Deutsche Bank, working on leveraged finance and financial sponsor mergers and acquisitions. He holds a Master of Business Administration degree from Harvard Business School and a Bachelor of Arts degree from the University of California, Los Angeles. He serves as a Board Member at CDK Global.</t>
  </si>
  <si>
    <t>doug.bayerd@brookfield.com</t>
  </si>
  <si>
    <t>181271-98P</t>
  </si>
  <si>
    <t>Eduardo Salgado</t>
  </si>
  <si>
    <t>Salgado</t>
  </si>
  <si>
    <t>Mr. Eduardo Salgado served as Board Member at Isagen and Empresa De Energía De Boyacá. He serves as Managing Partner, Infrastructure &amp; Co-Head of Brookfield's open-end core infrastructure fund at Brookfield Infrastructure Partners.</t>
  </si>
  <si>
    <t>eduardo.salgado@brookfield.com</t>
  </si>
  <si>
    <t>Managing Partner, Infrastructure Group</t>
  </si>
  <si>
    <t>405957-70P</t>
  </si>
  <si>
    <t>Elad Argaman</t>
  </si>
  <si>
    <t>Elad</t>
  </si>
  <si>
    <t>Argaman</t>
  </si>
  <si>
    <t>Mr. Elad Argaman serves as Managing Director, Real Estate at Brookfield Property Partners. Mr. Argaman serves as Managing Director, Real Estate at Brookfield Corporation. He also serves as Managing Director, Real Estate at Brookfield Brasil Asset Management Investimentos. He focuses on real estate investments in Brazil, as well as other initiatives in Latin America across sectors, including office, logistics, and housing. Before joining Brookfield in 2009, Mr. Argaman worked for Morgan Stanley. Mr. Argaman holds a Bachelor of Science degree from the University of Southern California.</t>
  </si>
  <si>
    <t>elad.argaman@brookfield.com</t>
  </si>
  <si>
    <t>262196-29P</t>
  </si>
  <si>
    <t>Eric Bonnor</t>
  </si>
  <si>
    <t>Bonnor</t>
  </si>
  <si>
    <t>Mr. Eric Bonnor serves as Managing Director, Global Client Group at Brookfield Corporation. In this role, he is the senior relationship manager responsible for the Canadian market. He joined Brookfield in 1998 and has held a number of senior positions across the organization. Prior to his current role, he was responsible for capital raising, marketing and investor relations efforts globally. He also served as Managing Director for the company's timber assets in Brazil and established Brookfield's Brazil Timber Fund I. He holds a Bachelor of Science degree from the University of Toronto.</t>
  </si>
  <si>
    <t>eric.bonnor@brookfield.com</t>
  </si>
  <si>
    <t>319670-29P</t>
  </si>
  <si>
    <t>Eric Weng</t>
  </si>
  <si>
    <t>Weng</t>
  </si>
  <si>
    <t>Mr. Eric Weng serves as Managing Director of Renewable Power &amp; Transition investing at Brookfield Asset Management. He serves as Managing Director of Renewable Power &amp; Transition investing at Brookfield Renewable Partners. In this role, he is responsible for origination and execution of renewable power and transition investments in North America. Prior to joining Brookfield in 2022, Mr. Weng worked at Macquarie Capital, where he focused on the power, utilities and infrastructure sectors, and began his career in investment banking at Deutsche Bank. He holds a Bachelor of Science degree from the Wharton School of the University of Pennsylvania.</t>
  </si>
  <si>
    <t>eric.weng@brookfield.com</t>
  </si>
  <si>
    <t>Managing Director of Renewable Power &amp; Transition</t>
  </si>
  <si>
    <t>405963-37P</t>
  </si>
  <si>
    <t>Esteban Fornasar</t>
  </si>
  <si>
    <t>Esteban</t>
  </si>
  <si>
    <t>Fornasar</t>
  </si>
  <si>
    <t>Mr. Esteban Fornasar serves as Managing Director, Finance at Brookfield Asset Management. Mr. Fornasar serves as Managing Director, Corporate at Brookfield Corporation. He also serves as Managing Director, Finance at Brookfield Brasil Asset Management Investimentos. He focuses on strategic planning initiatives across finance, administration, and capital markets. He also manages relationships with regional banks and other financial institutions in Brazil. Mr. Fornasar holds a Bachelor of Business Administration degree from Universidade Federal do Rio de Janeiro. He is a CFA charterholder.</t>
  </si>
  <si>
    <t>esteban.fornasar@brookfield.com</t>
  </si>
  <si>
    <t>250 Vesey Street</t>
  </si>
  <si>
    <t>15th Floor</t>
  </si>
  <si>
    <t>Managing Director, Finance</t>
  </si>
  <si>
    <t>405992-17P</t>
  </si>
  <si>
    <t>Fabian Schmidt</t>
  </si>
  <si>
    <t>Mr. Fabian Schmidt serves as Managing Director, Real Estate at Brookfield Corporation. Mr. Schmidt serves as Managing Director, Real Estate at Brookfield Property Partners. He leads the corporate finance team focusing on the financial analysis and reporting related to public company real estate matters. Prior to joining Brookfield in 2012, Mr. Schmidt worked for Duff &amp; Phelps providing financial and accounting due diligence advisory services. Mr. Schmidt holds a Bachelor of Science degree from Boston University Questrom School of Business. He is a CFA charterholder.</t>
  </si>
  <si>
    <t>fabian.schmidt@brookfield.com</t>
  </si>
  <si>
    <t>265222-72P</t>
  </si>
  <si>
    <t>Felipe Ortiz</t>
  </si>
  <si>
    <t>Mr. Felipe Ortiz serves as Managing Director of Infrastructure Group at Brookfield Asset Management. He serves as Managing Director, Infrastructure at Brookfield Infrastructure Partners. He also serves as Board Member at Scotia Gas Networks. He is responsible for leading the origination and execution of European deals for Brookfield's open-end core infrastructure fund. Since joining Brookfield in 2009, he has led multiple infrastructure transactions that include global investments in the utilities, transport, and data sectors. Prior to joining Brookfield, he worked in an investment bank in New York, providing mergers and acquisitions and capital markets advisory to infrastructure funds. He holds a Master of Science degree from the Stanford University Graduate School of Business and a Bachelor of Engineering degree from Universidad de Los Andes.</t>
  </si>
  <si>
    <t>felipe.ortiz@brookfield.com</t>
  </si>
  <si>
    <t>Managing Director, Infrastructure Group</t>
  </si>
  <si>
    <t>329646-25P</t>
  </si>
  <si>
    <t>Frank Yu</t>
  </si>
  <si>
    <t>Mr. Frank Yu serves as Managing Partner, Private Equity at Brookfield Corporation. He serves as Managing Partner, Private Equity at Brookfield Capital Partners. He also serves as Managing Partner, Private Equity at Brookfield Business Partners. He is responsible for investment origination, analysis, and execution in the Brookfield Special Investments Fund. Prior to joining Brookfield in 2019, he worked in the tactical opportunities group at Blackstone, the mezzanine finance group at Oaktree Capital Management, and began his career in investment banking at Moelis &amp; Company and Rothschild Inc. He holds a Bachelor of Science degree from the Stern School of Business at New York University.</t>
  </si>
  <si>
    <t>frank.yu@brookfield.com</t>
  </si>
  <si>
    <t>265150-45P</t>
  </si>
  <si>
    <t>Frederick Day JD</t>
  </si>
  <si>
    <t>Day</t>
  </si>
  <si>
    <t>Mr. Fred Day serves as Managing Director, Infrastructure Group at Brookfield Asset Management. Mr. Day serves as Managing Partner &amp; Head of Legal of Infrastructure at Brookfield Infrastructure Partners. He serves as a Board Member at Genesee &amp; Wyoming. He leads the legal activities of the Infrastructure Group in the U.S. and has legal oversight over Brookfield's infrastructure credit investments and capital markets activities. Prior to joining Brookfield in 2015, Mr. Day was an associate with a leading law firm. He holds a Juris Doctor degree from the SMU Dedman School of Law, a Master of Business Administration degree from IE Business School, and a Bachelor of Arts degree from the University of Houston.</t>
  </si>
  <si>
    <t>fred.day@brookfield.com</t>
  </si>
  <si>
    <t>114714-91P</t>
  </si>
  <si>
    <t>Frederik Clement</t>
  </si>
  <si>
    <t>Mr. Frederik Clement serves as Vice President at Brookfield Corporation. Mr. Frederik Clement served as Investment Banking Analyst, Barclays at Barclays Bank. Mr. Frederik Clement served as Investment Banking Analyst at Barclays. Previously, he served as an M&amp;A Intern at Lazard.</t>
  </si>
  <si>
    <t>frederik.clement@brookfield.com</t>
  </si>
  <si>
    <t>265221-46P</t>
  </si>
  <si>
    <t>Gabriele Montesi</t>
  </si>
  <si>
    <t>Montesi</t>
  </si>
  <si>
    <t>Mr. Gabriele Montesi serves as an Operating Partner, at Brookfield's Infrastructure Group, Europe at Brookfield Corporation. He also serves as an Operating Partner of Infrastructure, in Europe at Brookfield Infrastructure Partners. He serves as a Board Member at Boxt. Mr. Montesi oversees operations for all infrastructure assets in Europe. He has previously held several investment roles at Brookfield in London. Before joining Brookfield in 2010, he worked for Citi's investment banking unit in mergers and acquisitions and capital markets. He holds a combined Bachelor of Arts degree from Regent's University London. He currently serves on several private portfolio company boards.</t>
  </si>
  <si>
    <t>gabriele.montesi@brookfield.com</t>
  </si>
  <si>
    <t>Operating Partner, Brookfield's Infrastructure Group,Europe</t>
  </si>
  <si>
    <t>202299-76P</t>
  </si>
  <si>
    <t>Gail Cecil</t>
  </si>
  <si>
    <t>Gail</t>
  </si>
  <si>
    <t>Cecil</t>
  </si>
  <si>
    <t>Ms. Gail Cecil serves as Managing Director, Strategic Initiatives at Brookfield Asset Management. She is focused on new product development and strategic initiatives for Brookfield Asset Management. Ms. Cecil joined Brookfield in 2003 and has held investment roles across various groups, including private equity, principal lending, and public securities. Before joining Brookfield, Ms. Cecil worked for an investment bank in its mergers and acquisitions, corporate finance, and equity capital markets groups. Ms. Cecil earned a Master of Business Administration degree (with honors) from the Wharton School, University of Pennsylvania, a Bachelor of Arts degree in Statistics from the University of Western Ontario, and an Honors Business Administration degree from the University of Western Ontario. Ms. Cecil holds the Chartered Financial Analyst designation.</t>
  </si>
  <si>
    <t>gail.cecil@brookfield.com</t>
  </si>
  <si>
    <t>Managing Director, Strategic Initiatives</t>
  </si>
  <si>
    <t>405959-68P</t>
  </si>
  <si>
    <t>Gena Cangeloso</t>
  </si>
  <si>
    <t>Gena</t>
  </si>
  <si>
    <t>Cangeloso</t>
  </si>
  <si>
    <t>Ms. Gena Cangeloso serves as Managing Director, Real Estate at Brookfield Property Partners. Ms. Cangeloso serves as Managing Director at Brookfield Corporation. She focuses on investor relations strategy and fundraising support for real estate private funds globally. Before joining Brookfield in 2018, Ms. Cangeloso held multiple client relations roles at KKR. Ms. Cangeloso holds a Bachelor of Arts degree from the University of North Carolina at Chapel Hill.</t>
  </si>
  <si>
    <t>gena.cangeloso@brookfield.com</t>
  </si>
  <si>
    <t>339758-83P</t>
  </si>
  <si>
    <t>Gerhard Single</t>
  </si>
  <si>
    <t>Single</t>
  </si>
  <si>
    <t>Mr. Gerhard Single serves as EU Head of Family Offices, Senior Vice President &amp; Managing Director at Brookfield Corporation.</t>
  </si>
  <si>
    <t>gerhard.single@brookfield.com</t>
  </si>
  <si>
    <t>EU Head of Family Offices, Senior Vice President &amp; Managing Director</t>
  </si>
  <si>
    <t>398654-74P</t>
  </si>
  <si>
    <t>Hadley Marshall</t>
  </si>
  <si>
    <t>Hadley</t>
  </si>
  <si>
    <t>Mr. Hadley Marshall serves as Managing Partner at Brookfield Corporation. She is responsible for overseeing the firm's finance, treasury, tax and investor relations functions. She is also a Managing Partner and co-Head of Brookfield's infrastructure debt and structured solutions businesses, where she oversees the origination, execution and asset management of the Firm's infrastructure credit and structured solutions investments.</t>
  </si>
  <si>
    <t>Chief Financial Officer, Brookfield Asset Management and Managing Partner, Infrastructure</t>
  </si>
  <si>
    <t>201188-35P</t>
  </si>
  <si>
    <t>Henrique Martins</t>
  </si>
  <si>
    <t>Martins</t>
  </si>
  <si>
    <t>Mr. Henrique Martins serves as Managing Partner &amp; Chief Executive Officer at Brookfield Brasil Asset Management Investimentos. He serves as Board Member at Unidas frotas and BRK Ambiental. He is a Managing Partner and Chief Executive Officer of Brookfield Brazil, where he directly oversees the growth, operations and setting and monitoring of the region's investment strategies. He has over 20 years of experience in the power generation, regulation and marketing areas of the power and mergers &amp; acquisition industry. Since joining Brookfield in 2009, he has held many leadership positions, including Senior Vice President of Mergers &amp; Acquisitions and Chief Executive Officer and Chief Operating Officer of Brookfield's Renewable Group's Brazilian business. Before joining Brookfield, he was a Senior Manager at Companhia Siderúrgica Nacional (CSN), where he participated in various mergers &amp; acquisitions operations. He holds a bachelor's degree in economics from PUC-Rio and an MBA from the University of Michigan. He has served on Abiape, Abrace, Itá Energética S.A., Consórcio Igarapava and Tegra boards.</t>
  </si>
  <si>
    <t>+55 21 3527 7863</t>
  </si>
  <si>
    <t>hmartins@brookfieldbr.com</t>
  </si>
  <si>
    <t>Elera Renováveis (Former)</t>
  </si>
  <si>
    <t>64558-99P</t>
  </si>
  <si>
    <t>Ignacio Font</t>
  </si>
  <si>
    <t>Font</t>
  </si>
  <si>
    <t>Mr. Ignacio Font serves as Managing Director, Global Client Group at Brookfield Corporation. Mr. Font served as Director, EMEA Business Development at American Century Investments. Previously he served as a Director, Equity Product Specialist at HSBC Global Asset Management. Before joining Brookfield in 2017, Mr. Font led institutional sales and client relations in the Middle East for American Century Investments. He also held EMEA sales and relationship management roles at DIAM and Wellington Management. Before that, he was an equity analyst at several firms, including Dresdner Kleinwort.</t>
  </si>
  <si>
    <t>nacho.font@brookfield.com</t>
  </si>
  <si>
    <t>442268-29P</t>
  </si>
  <si>
    <t>Isaac Macdonald</t>
  </si>
  <si>
    <t>Isaac</t>
  </si>
  <si>
    <t>Macdonald</t>
  </si>
  <si>
    <t>Mr. Isaac Macdonald serves as Senior Vice President, Tax at Brookfield Corporation.</t>
  </si>
  <si>
    <t>Senior Vice President, Tax</t>
  </si>
  <si>
    <t>255743-74P</t>
  </si>
  <si>
    <t>J. Flatt</t>
  </si>
  <si>
    <t>Flatt</t>
  </si>
  <si>
    <t>Mr. Bruce Flatt serves as Chief Executive Officer, Management &amp; Affiliated Director and Chairman at Brookfield Corporation. Mr. Flatt is currently the Chief Executive Officer of Brookfield and has served as a director of the Corporation since April 2001. Mr. Flatt joined the Corporation in 1990 and became Chief Executive Officer in 2002. Mr. Flatt has been on numerous public company boards over the past three decades and does not currently sit on any external corporate boards. Prior to his current role, Mr. Flatt ran Brookfield's real estate and investment operations and has served on numerous public company boards over the past two decades.</t>
  </si>
  <si>
    <t>bruce.flatt@brookfield.com</t>
  </si>
  <si>
    <t>Chief Executive Officer, Management &amp; Affiliated Director, Brookfield Corporation</t>
  </si>
  <si>
    <t>262199-62P</t>
  </si>
  <si>
    <t>Jad Ellawn</t>
  </si>
  <si>
    <t>Ellawn</t>
  </si>
  <si>
    <t>Mr. Jad Ellawn serves as Managing Partner &amp; Regional Head of the Middle East at Brookfield Property Partners. Mr. Ellawn serves as Managing Partner, Real Estate &amp; Regional Head at Brookfield Corporation. He was also intricately involved in several transactions including Brookfield's partnerships with Meraas and the Abu Dhabi National Oil Company. Before joining Brookfield in 2018, he held senior roles in the private equity division of a leading international investment bank. Before that, he held various roles within a large investment bank in New York and London. He holds a Master of Business Administration degree from INSEAD in Fontainebleau, France, and a Bachelor of Science degree from Georgetown University.</t>
  </si>
  <si>
    <t>jad.ellawn@brookfield.com</t>
  </si>
  <si>
    <t>Managing Partner &amp; Regional Head of the Middle East</t>
  </si>
  <si>
    <t>397128-07P</t>
  </si>
  <si>
    <t>James Popplewell</t>
  </si>
  <si>
    <t>Popplewell</t>
  </si>
  <si>
    <t>Mr. James Popplewell serves as Senior Vice President &amp; Fund Manager at Brookfield Corporation.</t>
  </si>
  <si>
    <t>james.popplewell@brookfield.com</t>
  </si>
  <si>
    <t>201389-50P</t>
  </si>
  <si>
    <t>Jan Sucharda</t>
  </si>
  <si>
    <t>Sucharda</t>
  </si>
  <si>
    <t>Mr. Jan Sucharda serves as Managing Partner and Global Head of Real Estate Group at Brookfield Corporation. Mr. Sucharda serves as Managing Partner, Real Estate &amp; Global Head of Office, Asset Management's Real Estate Group at Brookfield Property Partners. He joined Brookfield in 2005 and has held several leadership roles across the organization including Global President and Chief Operating Officer, Office Division, Brookfield Properties and President and Chief Executive Officer of Brookfield Canada Office Properties. Prior to joining Brookfield, Mr Sucharda worked at O &amp; Y Properties and O &amp; Y REIT, as well as a major financial institution and a Toronto-based construction management company. Mr. Sucharda holds a Master of Business Administration from York University and a B.Sc. (Eng.) from Queen's University.</t>
  </si>
  <si>
    <t>jan.sucharda@brookfield.com</t>
  </si>
  <si>
    <t>Managing Partner and Global Head of Real Estate Group</t>
  </si>
  <si>
    <t>405960-58P</t>
  </si>
  <si>
    <t>Jason Dyki</t>
  </si>
  <si>
    <t>Dyki</t>
  </si>
  <si>
    <t>Mr. Jason Dyki serves as Managing Director, Capital Markets &amp; Treasury at Brookfield Corporation. He is responsible originating, executing and managing the debt capital solutions that support Brookfield's investment strategies across the real estate, infrastructure, renewable power and private equity platforms in the Asia Pacific region.</t>
  </si>
  <si>
    <t>+61 (0)2 9158 5100</t>
  </si>
  <si>
    <t>jason.dyki@brookfield.com</t>
  </si>
  <si>
    <t>Brookfield Place, Level 19</t>
  </si>
  <si>
    <t>10 Carrington Street</t>
  </si>
  <si>
    <t>Managing Director, Capital Markets &amp; Treasury</t>
  </si>
  <si>
    <t>219678-40P</t>
  </si>
  <si>
    <t>Jason Fooks</t>
  </si>
  <si>
    <t>Fooks</t>
  </si>
  <si>
    <t>Mr. Jason Fooks serves as Managing Director, Investor Relations at Brookfield Asset Management. He oversees all aspects of investor relations for the publicly traded company. In this role, he is responsible for communicating the company's strategy, growth opportunities, and financial position to public investors, research analysts, and other key stakeholders. Prior to joining Brookfield in 2023, Mr. Fooks held senior-level roles in investor relations and capital markets. Mr. Fooks holds a Master of Business Administration degree from Columbia Business School and a Bachelor of Arts degree from Brandeis University.</t>
  </si>
  <si>
    <t>jason.fooks@brookfield.com</t>
  </si>
  <si>
    <t>150405-94P</t>
  </si>
  <si>
    <t>Jaspreet Dehl</t>
  </si>
  <si>
    <t>Jaspreet</t>
  </si>
  <si>
    <t>Dehl</t>
  </si>
  <si>
    <t>Ms. Jaspreet Dehl serves as the Managing Partner, Private Equity at Brookfield Corporation. She serves as Managing Partner, Private Equity at Brookfield Business Partners. She serves as a Managing Partner at Brookfield Capital Partners. She is the Chief Financial Officer in Brookfield's Private Equity Group. Since joining Brookfield in 2011, she has held several senior finance positions, including within Brookfield's Private Equity Group and in Brookfield's Private Funds Group. Prior to joining Brookfield, she was part of the Financial Advisory Services practice at Deloitte, specializing in corporate restructuring services and transaction execution services to private equity clients. She holds a Bachelor of Arts in Economics and Accounting from Wilfrid Laurier University and is a designated Chartered Professional Accountant.</t>
  </si>
  <si>
    <t>jaspreet.dehl@brookfield.com</t>
  </si>
  <si>
    <t>191405-98P</t>
  </si>
  <si>
    <t>Jean-Baptiste Guille-Biel</t>
  </si>
  <si>
    <t>Guille-Biel</t>
  </si>
  <si>
    <t>Mr. Jean-Baptiste Guille-Biel serves as Managing Director of Private Equity at Brookfield Corporation. He is a Managing Director, Private Equity at Brookfield Capital Partners, and Brookfield Business Partners. He served as a Private Credit - Investment Professional at HPS Investment Partners. Prior to joining HPS in 2015, he worked as an Analyst in the Leveraged Finance Group at Deutsche Bank for two years. He holds an MSc in International Business (CEMS) from HEC Paris.</t>
  </si>
  <si>
    <t>jeanbaptiste.guillebiel@brookfield.com</t>
  </si>
  <si>
    <t>60251-68P</t>
  </si>
  <si>
    <t>Jeffrey Roberts</t>
  </si>
  <si>
    <t>Mr. Jeffrey Roberts serves as Senior Vice President, Product Specialist at Brookfield Corporation. He served as Principal &amp; Director of Private Equity Research at NEPC. Jeff is involved in NEPC's private markets research and due diligence activities, in addition to providing consulting services for the non-traditional asset classes of various public, corporate, Taft-Hartley and endowment/foundation clients. Prior to joining NEPC in December of 2008, Jeff was an Officer in the The PrivateEdge Group at State Street Corporation. In his role at State Street, Jeff was a member of a team that provided private equity performance and analytics to institutional investors, created custom reporting packages, board reports and presentations. He was also responsible for preparing qualitative investment monitoring reports for over twenty Private Equity partnerships. Jeff also worked for Lucent Technologies as a Senior Financial Analyst. While at Lucent, Jeff was a member of Lucent Venture Partners, a group that made direct investments in early stage technology companies within the communications sector. Jeff performed market research and comparative company analysis as part of the due diligence process for potential investments as well as for the post-IPO/acquisition public portfolio. Prior to LVP, Jeff was an Analyst in Lucent's asset management group supporting the alternative investment activities of the Company's pension fund. Jeff began his professional career as a litigation assistant with Cravath, Swaine &amp; Moore. Jeff received his M.B.A. from Babson College, and his B.A. from Franklin &amp; Marshall College.</t>
  </si>
  <si>
    <t>jeff.roberts@brookfield.com</t>
  </si>
  <si>
    <t>Senior Vice President, Product Specialist/Consultant Relations</t>
  </si>
  <si>
    <t>280391-05P</t>
  </si>
  <si>
    <t>Jehangir Vevaina</t>
  </si>
  <si>
    <t>Jehangir</t>
  </si>
  <si>
    <t>Vevaina</t>
  </si>
  <si>
    <t>Mr. Jehangir Vevaina serves as Managing Partner &amp; Global Chief Investment Officer of Renewable Power &amp; Transition at Brookfield Renewable Partners. In this role, Mr. Vevaina is responsible for regional oversight and investment strategy leadership. In addition, Mr. Vevaina is involved in the screening, evaluation, and execution of global investment initiatives. Mr. Vevaina has previously held several investment and asset management roles within the group. Prior to joining Brookfield in 2015, he worked in the power and energy infrastructure group of a large financial institution. He earned a Bachelor of Commerce degree from McGill University.</t>
  </si>
  <si>
    <t>jehangir.vevaina@brookfield.com</t>
  </si>
  <si>
    <t>Managing Partner &amp; Global Chief Investment Officer of Renewable Power &amp; Transition</t>
  </si>
  <si>
    <t>Brookfield Renewable Partners</t>
  </si>
  <si>
    <t>405966-34P</t>
  </si>
  <si>
    <t>John Hinkle</t>
  </si>
  <si>
    <t>Hinkle</t>
  </si>
  <si>
    <t>Mr. John Hinkle serves as Managing Director, Real Estate at Brookfield Property Partners. Mr. Hinkle serves as Managing Director, Real Estate at Brookfield Corporation. He is responsible for multifamily investment activity throughout the Mid-Atlantic and Southeast regions of the U.S. Before joining Brookfield in 2020, Mr. Hinkle held senior roles with large institutional real estate firms, focusing on the acquisition, disposition, and development of residential and mixed-use investment properties throughout the U.S. Mr. Hinkle holds a Bachelor of Science degree from Lehigh University.</t>
  </si>
  <si>
    <t>john.hinkle@brookfield.com</t>
  </si>
  <si>
    <t>265177-90P</t>
  </si>
  <si>
    <t>John Lee</t>
  </si>
  <si>
    <t>Mr. John Lee serves as Managing Director, Credit at Brookfield Property Partners. Mr. Lee serves as Managing Director, Credit at Brookfield Corporation. He also serves as Managing Director, Real Estate at Brookfield Property Partners. He joined Brookfield in 2008 and brings to this role over 25 years of real estate finance and asset management experience. Before joining Brookfield, he held positions in the commercial real estate group at Deutsche Bank and Countrywide with a focus on credit and portfolio management, underwriting, and mezzanine lending. Mr. Lee holds a Bachelor of Science degree from St. John's University.</t>
  </si>
  <si>
    <t>john.lee@brookfield.com</t>
  </si>
  <si>
    <t>Managing Director, Credit</t>
  </si>
  <si>
    <t>316523-26P</t>
  </si>
  <si>
    <t>Jon Bayer</t>
  </si>
  <si>
    <t>Bayer</t>
  </si>
  <si>
    <t>Mr. Jon Bayer serves as Managing Partner, Insurance Solutions at Brookfield Asset Management. He also serves as Managing Partner at Brookfield Reinsurance. He is responsible for mergers and acquisitions. Prior to joining Brookfield in 2021, he served as Executive Vice President, Head of Corporate Development, at Fidelity &amp; Guaranty Life. He was previously an investment banker, focused on advising insurance companies on M&amp;A and capital raising transactions. He holds a bachelor's degree from Washington and Lee University.</t>
  </si>
  <si>
    <t>jon.bayer@brookfield.com</t>
  </si>
  <si>
    <t>Managing Partner, Brookfield Wealth Solutions</t>
  </si>
  <si>
    <t>265174-30P</t>
  </si>
  <si>
    <t>Jonathan Kramer JD</t>
  </si>
  <si>
    <t>Kramer</t>
  </si>
  <si>
    <t>Mr. Jonathan Kramer serves as Managing Director, Real Estate at Brookfield Property Partners. Mr. Kramer serves as Managing Director, Real Estate at Brookfield Corporation. He is responsible for the structuring, negotiation, and execution of mergers, acquisitions,s and other strategic transactions. He joined Brookfield in 2011 as a member of the commercial office real estate investments legal team. He received a Juris Doctor degree from Fordham University School of Law and a bachelor's degree from Binghamton University.</t>
  </si>
  <si>
    <t>jonathan.kramer@brookfield.com</t>
  </si>
  <si>
    <t>84020-68P</t>
  </si>
  <si>
    <t>Jordan Sawkin</t>
  </si>
  <si>
    <t>Sawkin</t>
  </si>
  <si>
    <t>Mr. Jordan Sawkin serves as Managing Director, Private Equity at Brookfield Corporation. He serves as Managing Director, Private Equity &amp; Co-Head of Brookfield Sponsor Solutions business at Brookfield Capital Partners. Mr. Sawkin also serves as Managing Director, Private Equity at Brookfield Business Partners. Mr. Sawkin served as Senior Principal at DWS. Prior to joining Brookfield in 2023, Mr. Sawkin was a senior principal at DWS Private Equity, where he was responsible for the sourcing and execution of transactions in the U.S. and Europe. Prior to DWS, Mr. Sawkin was a senior associate at Grosvenor Capital Management, where his responsibilities included direct, co-investments and secondary transactions across private equity and energy/infrastructure asset classes. Prior to joining GCM, he was an investment analyst within Credit Suisse's private equity group. Mr. Sawkin holds a Bachelor of Arts degree from The College of Wooster.</t>
  </si>
  <si>
    <t>jordan.sawkin@brookfield.com</t>
  </si>
  <si>
    <t>55921-33P</t>
  </si>
  <si>
    <t>Juan Jimenez JD</t>
  </si>
  <si>
    <t>Mr. Juan Jimenez serves as Managing Director, Global Client Group at Brookfield Corporation. In this role, he is responsible for client portfolio management, capital raising and co-investment activities. Previously, he oversaw product development and fundraising for Brookfield's real estate strategies. Prior to joining Brookfield in 2013, he worked at a U.S.-focused real estate private equity firm and for a global investment bank. He holds a Master of Business Administration degree from Columbia Business School and Juris Doctor and Bachelor of Business Administration degrees from the University of Texas at Austin.</t>
  </si>
  <si>
    <t>juan.jimenez@brookfield.com</t>
  </si>
  <si>
    <t>405992-71P</t>
  </si>
  <si>
    <t>Julian Seek</t>
  </si>
  <si>
    <t>Seek</t>
  </si>
  <si>
    <t>Mr. Julian Seek serves as Managing Director, Real Estate at Brookfield Corporation. Mr. Seek serves as Managing Director, Real Estate at Brookfield Property Partners. He leads investment activities in the multifamily sector across North America. Prior to joining Brookfield in 2016, Mr. Seek was an associate at the real estate lending platform Loancore Capital and an investment banking analyst at Goldman Sachs. Mr. Seek holds a Bachelor of Arts degree from Columbia University.</t>
  </si>
  <si>
    <t>julian.seek@brookfield.com</t>
  </si>
  <si>
    <t>405983-62P</t>
  </si>
  <si>
    <t>Justin Monge</t>
  </si>
  <si>
    <t>Monge</t>
  </si>
  <si>
    <t>Mr. Justin Monge serves as Managing Director, Credit at Brookfield Corporation. Mr. Monge serves as Managing Director, Credit at Brookfield Property Partners. In this role, he is responsible for investor relations, fundraising and finance activities for the group's real estate debt strategies. Prior to joining Brookfield in 2003, he was a director at Deutsche Bank where he was a member of the management team for realty mezzanine investment funds and served in various capacities within its real estate investment banking, real estate private equity and asset management operations groups. He holds a Master of Business Administration degree from Columbia University Graduate School of Business and an Artium Baccalaureus from Harvard College.</t>
  </si>
  <si>
    <t>justin.monge@brookfield.com</t>
  </si>
  <si>
    <t>340014-70P</t>
  </si>
  <si>
    <t>Katie Zorbas</t>
  </si>
  <si>
    <t>Zorbas</t>
  </si>
  <si>
    <t>Ms. Katie Zorbas serves as Managing Director, Private Equity at Brookfield Corporation, and Brookfield Business Partners. She serves as Managing Director, Private Equity at Brookfield Capital Partners. In this role, she is responsible for capital raising, co-investment syndication, and investor relations for Brookfield's private equity funds. She joined Brookfield in 2008 and was previously responsible for investment valuation, due diligence, and asset management. She holds a Bachelor of Commerce degree from the University of Calgary and the Chartered Financial Analyst designation.</t>
  </si>
  <si>
    <t>katie.zorbas@brookfield.com</t>
  </si>
  <si>
    <t>265169-80P</t>
  </si>
  <si>
    <t>Keiji Hattori</t>
  </si>
  <si>
    <t>Keiji</t>
  </si>
  <si>
    <t>Hattori</t>
  </si>
  <si>
    <t>Mr. Keiji Hattori serves as Managing Director, Private Funds at Brookfield Asset Management. He is responsible for developing and maintaining relationships with leading investors in Japan. He is also a Managing Director, Global Client Group &amp; Representative Director of Brookfield Japan K.K. Before joining Brookfield in 2015, he was at Credit Suisse's private fund group, where he established Asia coverage and led distribution activities across Asia. Before that, he held various senior roles as an investment banker at global investment banks, as well as a founding member of a private equity fund in Japan. He started his career in the audit practice of Ernst &amp; Young. He holds a Bachelor of Arts from Keio University and a Master of Business Administration from the Columbia Business School. He is a Certified Public Accountant (USA).</t>
  </si>
  <si>
    <t>keiji.hattori@brookfield.com</t>
  </si>
  <si>
    <t>218077-12P</t>
  </si>
  <si>
    <t>Keir Hunt</t>
  </si>
  <si>
    <t>Keir</t>
  </si>
  <si>
    <t>Hunt</t>
  </si>
  <si>
    <t>Mr. Keir Hunt serves as Managing Director at Brookfield Asset Management. He also serves as Managing Director, Infrastructure at Brookfield Infrastructure Partners. He served as General Counsel &amp; Secretary at Helios Fairfax Partners. He has been the General Counsel of the Company since its formation and was appointed Corporate Secretary in August 2018. He is also AVP, International Law for Fairfax, and is the General Counsel and Corporate Secretary of Fairfax India Holdings Corporation. Before joining the Company, he was Senior Director, Legal for George Weston Limited, and prior to that was an M&amp;A/corporate finance lawyer with Goodmans LLP in Toronto. He received a Bachelor of Laws degree from Queen's University and has a Bachelor of Arts degree from Thompson Rivers University. He is a resident of Toronto, Ontario, Canada.</t>
  </si>
  <si>
    <t>keir.hunt@brookfield.com</t>
  </si>
  <si>
    <t>Helios Fairfax Partners (Former)</t>
  </si>
  <si>
    <t>437332-87P</t>
  </si>
  <si>
    <t>Kerri Brown</t>
  </si>
  <si>
    <t>Kerri</t>
  </si>
  <si>
    <t>Ms. Kerri Brown serves as Associate at Brookfield Corporation.</t>
  </si>
  <si>
    <t>kerri.brown@brookfield.com</t>
  </si>
  <si>
    <t>53717-95P</t>
  </si>
  <si>
    <t>Kevin English</t>
  </si>
  <si>
    <t>Mr. Kevin English serves as Managing Director, the Global Client Group at Brookfield Public Securities Group. He serves as Managing Director, Public Securities at Brookfield Asset Management. He oversees portfolio operations across the firm's public equities and fixed income securities platform. He has over 14 years of operations experience, including 12 years with J.P. Morgan in both New York and London. He earned a Master of Business Administration degree from Columbia University and a Bachelor of Arts degree from the College of the Holy Cross.</t>
  </si>
  <si>
    <t>kevin.english@brookfield.com</t>
  </si>
  <si>
    <t>Brookfield Place, 225 Liberty Street</t>
  </si>
  <si>
    <t>35th Floor</t>
  </si>
  <si>
    <t>+1 (212) 549-8300</t>
  </si>
  <si>
    <t>Brookfield Public Securities Group</t>
  </si>
  <si>
    <t>265220-38P</t>
  </si>
  <si>
    <t>Kevin McCrain JD</t>
  </si>
  <si>
    <t>McCrain</t>
  </si>
  <si>
    <t>Mr. Kevin McCrain serves as Managing Partner, Real Estate at Brookfield Property Partners. Mr. McCrain serves as Managing Partner, Real Estate Group at Brookfield Corporation. He also serves as a Managing Partner and Head of Retail, US at Brookfield Properties. He joined Brookfield in 2010 and has been located in both the New York and London offices. Before taking over global portfolio management responsibility for the retail sector, he had been involved in several significant acquisitions and dispositions, including Center Parcs, Gazeley, IDI, Student Roost, and Seoul IFC. He has also been on the board of several of our portfolio companies, including Center Parcs, IFC Seoul, and Student Roost, and currently sits on the board of our various retail portfolio companies. He holds a law degree from Georgetown University Law Center and a bachelor's degree from Sacred Heart University. He serves as a Board Member at Creating Culinary Communities.</t>
  </si>
  <si>
    <t>kevin.mccrain@brookfield.com</t>
  </si>
  <si>
    <t>329653-81P</t>
  </si>
  <si>
    <t>Kristen Haase JD</t>
  </si>
  <si>
    <t>Kristen</t>
  </si>
  <si>
    <t>Haase</t>
  </si>
  <si>
    <t>Ms. Kristen Haase serves as Managing Partner, Private Equity at Brookfield Business Partners. She also serves as a Managing Partner, Private Equity at Brookfield Corporation. She serves as Managing Partner, Private Equity at Brookfield Capital Partners. In this role, she is responsible for the legal aspects of transaction execution for North America.Prior to joining Brookfield in 2015, She worked in the mergers and acquisitions group at Davis Polk. She holds a Juris Doctor degree from University of Virginia School of Law and a Bachelor of Arts degree from The College of William and Mary.</t>
  </si>
  <si>
    <t>kristen.haase@brookfield.com</t>
  </si>
  <si>
    <t>Brookfield Business Partners</t>
  </si>
  <si>
    <t>405972-28P</t>
  </si>
  <si>
    <t>Kristina Lam</t>
  </si>
  <si>
    <t>Lam</t>
  </si>
  <si>
    <t>Ms. Kristina Lam serves as Managing Director, Real Estate at Brookfield Property Partners. Ms. Lam serves as Managing Director, Real Estate at Brookfield Corporation. She is responsible for financial planning and analysis of Brookfield's real estate private funds. Before joining Brookfield in 2016, Ms. Lam worked for Blackstone, where she focused on real estate valuations, performance, and investor reporting. Ms. Lam also held positions at Pricewaterhouse Coopers and Lehman Brothers. Ms. Lam holds a Bachelor of Science degree from the University of Richmond and is a Certified Public Accountant.</t>
  </si>
  <si>
    <t>kristina.lam@brookfield.com</t>
  </si>
  <si>
    <t>35361-10P</t>
  </si>
  <si>
    <t>Kumar Shah</t>
  </si>
  <si>
    <t>Mr. Kumar Shah serves as Managing Director, Private Equity at Brookfield Business Partners. He serves as Managing Director, Private Equity at Brookfield Capital Partners. He serves as Managing Director, Private Equity at Brookfield Asset Management. He also serves as Executive, Investments at Brookfield Growth. In this role, he is responsible for investing and growth initiatives in international markets. He serves as an Advisor at India Internet Fund. Before joining Brookfield in 2020, he was a managing director and founder of a growth-stage investment firm and built investment programs for growth-stage enterprise and consumer technology investments at Transit Capital, Micromax, and GEF Capital. He served as a Head of Mergers &amp; Acquisitions and Strategic Investments at Micromax Informatics. Previously he served as a Vice President at Global Environment Fund. He holds a Master of Business Administration degree from the Wharton School at the University of Pennsylvania and a Bachelor of Engineering degree from the University of Mumbai.</t>
  </si>
  <si>
    <t>kumar.shah@brookfield.com</t>
  </si>
  <si>
    <t>265016-98P</t>
  </si>
  <si>
    <t>Larry Antonatos</t>
  </si>
  <si>
    <t>Larry</t>
  </si>
  <si>
    <t>Antonatos</t>
  </si>
  <si>
    <t>Mr. Larry Antonatos serves as Managing Director and Portfolio Manager, Multi Asset Solutions at Brookfield Public Securities Group. He also serves as Managing Director, Public Securities at Brookfield Corporation. In this role, he oversees the portfolio construction process, including the execution of asset allocation. Mr. Antonatos joined Brookfield in 2011 as Product Manager for the firm's equity investment strategies. Prior to joining Brookfield, Mr. Antonatos was a portfolio manager for a U.S. REIT strategy for 10 years. He also has investment experience with direct property, CMBS, and mortgage loans. Mr. Antonatos earned a Master of Business Administration from the University of Pennsylvania and a Bachelor of Engineering from Vanderbilt University.</t>
  </si>
  <si>
    <t>larry.antonatos@brookfield.com</t>
  </si>
  <si>
    <t>Managing Director &amp; Portfolio Manager, Multi Asset Solutions</t>
  </si>
  <si>
    <t>96016-60P</t>
  </si>
  <si>
    <t>Laura Barstow</t>
  </si>
  <si>
    <t>Barstow</t>
  </si>
  <si>
    <t>Ms. Laura Barstow serves as Senior Vice President at Brookfield Asset Management. She served as Managing Director at Nuveen Real Estate.</t>
  </si>
  <si>
    <t>405986-50P</t>
  </si>
  <si>
    <t>Lauren Okada Young</t>
  </si>
  <si>
    <t>Okada Young</t>
  </si>
  <si>
    <t>Ms. Lauren Okada Young serves as Managing Director, Real Estate at Brookfield Corporation. Prior to joining Brookfield in 2012, She was an analyst in Bank of America Merrill Lynch's real estate, gaming and lodging investment banking group, where she concentrated on M&amp;A and corporate finance.</t>
  </si>
  <si>
    <t>65446-66P</t>
  </si>
  <si>
    <t>Len Chersky</t>
  </si>
  <si>
    <t>Len</t>
  </si>
  <si>
    <t>Chersky</t>
  </si>
  <si>
    <t>Mr. Len Chersky serves as Managing Partner, Private Equity Group at Brookfield Asset Management. He serves as Managing Partner, Private Equity at Brookfield Business Partners. He served as Chairman at Healthscope. He is responsible for investment origination, analysis and execution in the Asia Pacific region. Mr. Chersky has over 15 years of commercial and investment experience. Prior to joining Brookfield in 2013, he was Executive Director in Lend Lease Corporation and previously held a number of senior positions in investment banking and financial services as well as executive roles in major listed organizations in Australia. Mr. Chersky holds a Bachelor of Science in Mathematics and a Bachelor of Law, both from University of New South Wales.</t>
  </si>
  <si>
    <t>204567-49P</t>
  </si>
  <si>
    <t>Leonardo Anguiano</t>
  </si>
  <si>
    <t>Leonardo</t>
  </si>
  <si>
    <t>Anguiano</t>
  </si>
  <si>
    <t>Mr. Leonardo Anguiano serves as Managing Director and Portfolio Manager of Infrastructure Equities at Brookfield Public Securities Group. He also serves as Managing Director, Public Securities at Brookfield Corporation. In this role, he oversees and contributes to the portfolio construction process, including the execution of buy/sell decisions. Before focusing on his portfolio manager duties, he was responsible for covering European securities focusing on the water, transportation, and energy infrastructure sectors. Mr. Anguiano's past experience includes both direct and listed infrastructure investing, and he has spent the majority of his career in London. Prior to joining Brookfield in 2015, he worked for Santander in Madrid where he was in specialty sales covering infrastructure and utilities. Prior to Santander, Mr. Anguiano worked at Arcus Infrastructure Partners and Babcock &amp; Brown focusing on direct infrastructure investing. Mr. Anguiano started his career at JP Morgan Cazenove on the sell-side. Mr. Anguiano earned a Master of Philosophy from Cambridge University and a Bachelor of Science from the London School of Economics.</t>
  </si>
  <si>
    <t>leonardo.anguiano@brookfield.com</t>
  </si>
  <si>
    <t>Managing Director &amp; Portfolio Manager of Infrastructure Equities</t>
  </si>
  <si>
    <t>267974-47P</t>
  </si>
  <si>
    <t>Lorenzo Lorilla</t>
  </si>
  <si>
    <t>Lorilla</t>
  </si>
  <si>
    <t>Chief Investment Officer &amp; Managing Partner</t>
  </si>
  <si>
    <t>Mr. Lorenzo Lorilla serves as Managing Partner, Chief Investment Officer - Brookfield Insurance Solutions at Brookfield Reinsurance. Mr. Lorenzo Lorilla serves as Managing Partner &amp; Chief Investment Officer, Insurance Solutions at Brookfield Asset Management. He is responsible for asset allocation and execution of investment strategy. Prior to joining Brookfield in 2021, he was Deputy Chief Investment Officer of Kuvare Insurance Services, and previously, Head of Credit Investments at Global Atlantic Financial Group as well as its predecessor, Goldman Sachs Reinsurance Group. He holds Master of Engineering and Bachelor of Science degrees from the Massachusetts Institute of Technology.</t>
  </si>
  <si>
    <t>+1 (441) 294-3316</t>
  </si>
  <si>
    <t>lorenzo.lorilla@brookfield.com</t>
  </si>
  <si>
    <t>Pembroke</t>
  </si>
  <si>
    <t>Pembroke, Bermuda</t>
  </si>
  <si>
    <t>Ideation House, 1st Floor</t>
  </si>
  <si>
    <t>94 Pitts Bay Road</t>
  </si>
  <si>
    <t>HM08</t>
  </si>
  <si>
    <t>Bermuda</t>
  </si>
  <si>
    <t>Chief Investment Officer, Investments</t>
  </si>
  <si>
    <t>Brookfield Reinsurance</t>
  </si>
  <si>
    <t>33626-80P</t>
  </si>
  <si>
    <t>Lori Pearson</t>
  </si>
  <si>
    <t>Lori</t>
  </si>
  <si>
    <t>Pearson</t>
  </si>
  <si>
    <t>Ms. Lori Pearson serves as Managing Partner and Chief Operating Officer at Brookfield Asset Management. She served as Board Member at Norbord. She was also an Advisor at Beacon. Prior to joining Brookfield in 2003, she worked at one of the big four accounting firms, initially in a client-facing role and later as the head of Human Resources for the Canadian tax practice. She is a Chartered Accountant and graduated from the University of Western Ontario, Ivey School of Business with an Honours Business degree.</t>
  </si>
  <si>
    <t>lpearson@brookfield.com</t>
  </si>
  <si>
    <t>Managing Partner and Chief Operating Officer</t>
  </si>
  <si>
    <t>308947-60P</t>
  </si>
  <si>
    <t>Louis Saund</t>
  </si>
  <si>
    <t>Saund</t>
  </si>
  <si>
    <t>Mr. Louis Saund serves as Vice President, Private Equity at Brookfield Asset Management.</t>
  </si>
  <si>
    <t>+1 (516) 458-6255</t>
  </si>
  <si>
    <t>louis.saund@brookfield.com</t>
  </si>
  <si>
    <t>160287-04P</t>
  </si>
  <si>
    <t>Lowell Baron</t>
  </si>
  <si>
    <t>Lowell</t>
  </si>
  <si>
    <t>Baron</t>
  </si>
  <si>
    <t>Chief Investment Officer &amp; President</t>
  </si>
  <si>
    <t>Mr. Lowell Baron serves as President and Chief Investment Officer, Real Estate at Brookfield Property Partners. Mr. Baron serves as President &amp; Chief Investment Officer, Real Estate at Brookfield Corporation. He is responsible for Brookfield's global real estate investment activities. Mr. Baron has over 22 years of real estate experience. Since joining Brookfield in 2005, he has led a wide range of corporate and asset acquisitions and financings, including Brookfield's investments in Rouse, Associated Estates, Center Parcs, Simply Self Storage, and Hospitality Investors Trust. He has also overseen the establishment and growth of Brookfield's multifamily and hospitality operating platforms. Mr. Baron serves as a director on several of Brookfield's real estate affiliate company boards, including Fairfield Residential and Hospitality Investors Trust. Before joining Brookfield, Mr. Baron worked for Deutsche Bank for nine years focusing on both real estate private equity and investment banking. Mr. Baron received a Bachelor of Science in Finance from Yeshiva University.</t>
  </si>
  <si>
    <t>lbaron@brookfield.com</t>
  </si>
  <si>
    <t>President and Chief Investment Officer, Real Estate</t>
  </si>
  <si>
    <t>204568-12P</t>
  </si>
  <si>
    <t>Madeleine Bourdon</t>
  </si>
  <si>
    <t>Madeleine</t>
  </si>
  <si>
    <t>Bourdon</t>
  </si>
  <si>
    <t>Ms. Madeleine Bourdon serves as Managing Director of Renewable Power &amp; Transition Group at Brookfield Asset Management. Before joining Brookfield in 2004, Ms. Bourdon worked for an international management consulting firm in organizational development. Ms. Bourdon holds a Master of Business Administration degree from the University of Ottawa, a Bachelor of Science degree from the University of Ottawa, and a Bachelor of Business Administration from l'Université du Québec en Outaouais.</t>
  </si>
  <si>
    <t>madeleine.bourdon@brookfield.com</t>
  </si>
  <si>
    <t>144583-21P</t>
  </si>
  <si>
    <t>Marcos Almeida</t>
  </si>
  <si>
    <t>Almeida</t>
  </si>
  <si>
    <t>Mr. Marcos Almeida serves as Managing Partner, Infrastructure at Brookfield Brasil Asset Management Investimentos, Brookfield Asset Management, and Brookfield Infrastructure Partners. He serves as Chairman at Nova Transportadora do Sudeste. Prior to joining Brookfield in 2003, he worked for an international consulting firm, where he advised the Brazilian government and private companies on the privatization process in the utility and telecom sectors. Before that, he worked for large accounting firms in Brazil and Switzerland and for a large bank in Germany. He has a Master of Business Administration degree from the University of São Paulo and a Bachelor's degree from Universidade Federal de Minas Gerais.</t>
  </si>
  <si>
    <t>+55 11 2540 9150</t>
  </si>
  <si>
    <t>malmeida@brookfieldbr.com</t>
  </si>
  <si>
    <t>Avenida das Nações Unidas</t>
  </si>
  <si>
    <t>Parque da Cidade - Torre Paineira 15º andar</t>
  </si>
  <si>
    <t>14401</t>
  </si>
  <si>
    <t>+55 21 3527 7788</t>
  </si>
  <si>
    <t>Managing Partner, Infrastructure</t>
  </si>
  <si>
    <t>Brookfield Brasil Asset Management Investimentos</t>
  </si>
  <si>
    <t>86485-51P</t>
  </si>
  <si>
    <t>Mark Brown</t>
  </si>
  <si>
    <t>Mr. Mark Brown serves as Managing Partner, Real Estate &amp; Portfolio Manager, Real Estate Partners at Brookfield Property Partners. Mr. Brown serves as Managing Partner, Real Estate at Brookfield Corporation. Since joining Brookfield in 2000, he has had several roles across capital markets, investments and acquisitions, and disposition before his current role, he was responsible for global business and fund development for the asset manager before, managing the capital structure and financing strategies for Brookfield Properties' U.S. office division. He was an integral part of Brookfield Properties' acquisition of Trizec Properties and MPG Office Trust. He previously spent nine years with Salomon Smith Barney and Citicorp Real Estate, Inc. He holds a Master of Business Administration from York University in Toronto and a Bachelor of Commerce degree from Laurentian University. He is the Principal Executive Officer and Chairman of the Board for Brookfield DTLA Fund Office Trust Investor Inc.</t>
  </si>
  <si>
    <t>mark.brown@brookfield.com</t>
  </si>
  <si>
    <t>Managing Partner, Real Estate &amp; Portfolio Manager, Real Estate Partners</t>
  </si>
  <si>
    <t>151445-62P</t>
  </si>
  <si>
    <t>Mark Srulowitz JD</t>
  </si>
  <si>
    <t>Srulowitz</t>
  </si>
  <si>
    <t>Mr. Mark Srulowitz serves as Managing Partner and Head of Legal - Private Funds Group at Brookfield Asset Management. He also serves as Managing Partner, Global Client Group, Head of Product Strategy &amp; Development, and Head of Fund Formation Execution at Brookfield Brasil Asset Management Investimentos. He is responsible for private fund formation and structuring for all private investment funds sponsored by Brookfield. Mr. Srulowitz's role also includes both product development and regulatory matters. Prior to joining Brookfield in 2011, Mr. Srulowitz worked as an attorney in the Investment Management Group of Debevoise &amp; Plimpton, where he advised private fund sponsors in connection with the formation, structuring, and negotiation of their investment funds, as well as economic, governance, and related issues. Mr. Srulowitz serves as a committee member of the Private Investment Funds Committee of the New York City Bar Association, which addresses issues, trends, and regulations relating to private investment funds. Mr. Srulowitz also serves on the Board of Directors of Kids in Need of Defense. Mr. Srulowitz holds a Bachelor of Arts from Yeshiva University and a J.D. from the University of Pennsylvania Law School.</t>
  </si>
  <si>
    <t>mark.srulowitz@brookfield.com</t>
  </si>
  <si>
    <t>Managing Partner &amp; Head of Product Strategy &amp; Development and Head of Fund Formation Execution, Global Client Group</t>
  </si>
  <si>
    <t>406342-81P</t>
  </si>
  <si>
    <t>Mathieu Volcke</t>
  </si>
  <si>
    <t>Volcke</t>
  </si>
  <si>
    <t>Mr. Mathieu Volcke serves as Vice President at Brookfield Corporation.</t>
  </si>
  <si>
    <t>mathieu.volcke@brookfield.com</t>
  </si>
  <si>
    <t>441463-60P</t>
  </si>
  <si>
    <t>Matthew Gross</t>
  </si>
  <si>
    <t>Mr. Matthew Gross serves as Senior Vice President of Finance at Brookfield Corporation.</t>
  </si>
  <si>
    <t>Senior Vice President of Finance</t>
  </si>
  <si>
    <t>405973-90P</t>
  </si>
  <si>
    <t>Melissa Lang JD</t>
  </si>
  <si>
    <t>Lang</t>
  </si>
  <si>
    <t>Mr. Melissa Lang serves as Managing Director, Real Estate at Brookfield Property Partners. Mr. Lang serves as Managing Director, Real Estate at Brookfield Corporation. She is responsible for global oversight of the legal aspects of the group's funds operations, including the execution of investment structuring, fund-level credit facilities, derivative products, and other investor matters. Before joining Brookfield in 2015, Ms. Lang worked in the real estate group of a large American international law firm focusing on private fund formation. Previously, she was an environmental engineer for the U.S. Environmental Protection Agency. Ms. Lang holds a Juris Doctor degree from the New York University School of Law and a Bachelor of Science degree from the Georgia Institute of Technology.</t>
  </si>
  <si>
    <t>melissa.lang@brookfield.com</t>
  </si>
  <si>
    <t>204568-03P</t>
  </si>
  <si>
    <t>Michael Botha</t>
  </si>
  <si>
    <t>Botha</t>
  </si>
  <si>
    <t>Mr. Michael Botha serves as the Operating Partner of infrastructure at Brookfield Infrastructure Partners. Mr. Botha serves as the Operating Partner of infrastructure at Brookfield Corporation. In this role, he oversees risk management and a variety of asset management activities for the group and its portfolio companies. He also manages the activities of Brookfield's open-end infrastructure fund. Since joining Brookfield in 2001, he has held several senior positions across the organization, including Chief Operating Officer and Chief Financial Officer of Brookfield's private infrastructure funds business, where he helped oversee the business' growth through his involvement in many infrastructure transactions. He previously worked in the audit practice of a Big Four accounting firm. He also serves as a Board member at Scotia Gas Networks. He holds an engineering degree from Queen's University and is a Chartered Professional Accountant.</t>
  </si>
  <si>
    <t>michael.botha@brookfield.com</t>
  </si>
  <si>
    <t>265158-82P</t>
  </si>
  <si>
    <t>Michael Fuller</t>
  </si>
  <si>
    <t>Fuller</t>
  </si>
  <si>
    <t>Mr. Michael Fuller serves as Managing Director, Real Estate at Brookfield Property Partners. Mr. Fuller serves as Managing Director, Real Estate Group at Brookfield Corporation. Before joining Brookfield in 2014, Mr. Fuller served as a Principal at Apollo Global Management's real estate and non-performing loan business in London. He also was an associate at Citi Property Investors covering a wide range of European real estate transactions and worked for BFD Finance Management in Munich, Germany. He received a Master of Business Administration degree from the European Business School in Germany.</t>
  </si>
  <si>
    <t>michael.fuller@brookfield.com</t>
  </si>
  <si>
    <t>265281-13P</t>
  </si>
  <si>
    <t>Michael Speer</t>
  </si>
  <si>
    <t>Speer</t>
  </si>
  <si>
    <t>Mr. Michael Speer serves as Managing Director, Real Estate Group at Brookfield Corporation. Mr. Speer serves as Managing Director, Real Estate at Brookfield Property Partners. He serves as the Managing Director, of Investments, US at Brookfield Properties. He joined Brookfield in 2002, and since then has been involved in many areas of the business including investments, dispositions, and asset management. In 2014, Mr. Speer relocated from Toronto to Los Angeles to lead the Western United States office property investment team. Before joining Brookfield, Mr. Speer worked at Cadillac Fairview as part of the commercial real estate investment group. He holds a Bachelor of Business Administration from Bishop's University in Canada and is a Chartered Financial Analyst.</t>
  </si>
  <si>
    <t>michael.speer@brookfield.com</t>
  </si>
  <si>
    <t>265221-91P</t>
  </si>
  <si>
    <t>Mihir Nerurkar</t>
  </si>
  <si>
    <t>Mihir</t>
  </si>
  <si>
    <t>Nerurkar</t>
  </si>
  <si>
    <t>Mr. Mihir Nerurkar serves as Managing Director, Private Equity at Brookfield Corporation and Brookfield Business Partners. He serves as a Board Member at Peak Infrastructure. He also serves as Managing Director, Private Equity in India at Brookfield Infrastructure Partners. He oversees the operations of all infrastructure assets in India. He joined Brookfield in 2019 and brings to this role over 20 years of experience across the financial services, real estate, and infrastructure sectors. Before joining Brookfield, he held leadership roles with a boutique financial services firm and a leading real estate firm in India. He began his career with the operations strategy group at Deloitte Consulting in New York. He holds a master's degree from Syracuse University and a bachelor's degree from the University of Pune, India.</t>
  </si>
  <si>
    <t>mihir.nerurkar@brookfield.com</t>
  </si>
  <si>
    <t>405965-98P</t>
  </si>
  <si>
    <t>Mike Greene</t>
  </si>
  <si>
    <t>Greene</t>
  </si>
  <si>
    <t>Mr. Mike Greene serves as Managing Director, Real Estate at Brookfield Property Partners. Mr. Greene serves as Managing Director, Real Estate at Brookfield Corporation. Before joining Brookfield in 2019, He held various roles at institutional real estate firms focusing on the acquisition, disposition, and development of residential and mixed-use properties throughout the U.S., most recently at Berkshire Residential Investments. Mr. Greene holds a Bachelor of Science degree from the University of Southern California.</t>
  </si>
  <si>
    <t>mike.greene@brookfield.com</t>
  </si>
  <si>
    <t>92381-05P</t>
  </si>
  <si>
    <t>Mitchell Davidson</t>
  </si>
  <si>
    <t>Chief Executive Officer &amp; Managing Partner</t>
  </si>
  <si>
    <t>Mr. Mitchell Davidson serves as Managing Partner, Renewable Power &amp; Transition at Brookfield Renewable Partners. He has over 20 years of experience in the power sector, specifically in energy markets across 26 states, Canada and Spain. Prior to joining Brookfield in 2018, he held several Senior Executive positions with energy companies, with the last position being President and CEO of NextEra Energy Resources. Prior to NextEra Energy Resources, Mr. Davidson held executive positions at Duke Energy North America, Entergy-Koch LP, and Entergy Power Marketing Inc. He brings deep expertise across the operational, commercial, and financial facets of the power sector which adds significant value to our business. He holds a Bachelor of Arts Degree in Industrial Technology from Southwest Texas State University, as well as an MBA from the University of Houston, Clear Lake.</t>
  </si>
  <si>
    <t>mitchell_d@bep.brookfield.com</t>
  </si>
  <si>
    <t>Managing Partner, Renewable Power &amp; Transition</t>
  </si>
  <si>
    <t>17906-05P</t>
  </si>
  <si>
    <t>Murray Goldfarb JD</t>
  </si>
  <si>
    <t>Goldfarb</t>
  </si>
  <si>
    <t>Mr. Murray Goldfarb serves as Managing Partner, Real Estate at Brookfield Property Partners. Mr. Goldfarb serves as Managing Partner, Real Estate at Brookfield Corporation. He was appointed as a Partner at Fried, Frank, Harris, Shriver &amp; Jacobson on August 26, 2008. Mr. Goldfarb, an attorney in the Corporate Department in the Firm's New York office, concentrates his practice on the representation of private equity funds and public and private companies in mergers and acquisitions, leveraged buyouts, and joint ventures. He advises clients on acquisitions and investments in private and public companies, on the structuring and implementation of exit strategies, and in connection with securities laws compliance, corporate governance issues, and other general corporate matters. Mr. Goldfarb joined the Firm in 2000. He received his LLM in taxation in 2003 from the New York University School of Law, his JD, cum laude, from the New York University School of Law in 2000, and his BS, magna cum laude, from Miami University of Ohio in 1997. He is admitted to the bar in New York.</t>
  </si>
  <si>
    <t>murray.goldfarb@brookfield.com</t>
  </si>
  <si>
    <t>405962-20P</t>
  </si>
  <si>
    <t>Nailah Flake</t>
  </si>
  <si>
    <t>Nailah</t>
  </si>
  <si>
    <t>Flake</t>
  </si>
  <si>
    <t>Ms. Nailah Flake serves as Managing Partner, Credit at Brookfield Property Partners. Ms. Flake serves as Managing Partner, Credit at Brookfield Corporation. In this role, she is responsible for the origination, underwriting, and asset management of the group's real estate debt strategies. Before joining Brookfield in 2017, she was a Managing Director and head of originations for the commercial real estate lending group at Morgan Stanley. She holds a bachelor's degree from Spelman College.</t>
  </si>
  <si>
    <t>nailah.flake@brookfield.com</t>
  </si>
  <si>
    <t>280373-50P</t>
  </si>
  <si>
    <t>Natalie Adomait</t>
  </si>
  <si>
    <t>Adomait</t>
  </si>
  <si>
    <t>Ms. Natalie Adomait serves as Managing Partner, Renewable Power &amp; Transition at Brookfield Renewable Partners. She began her career at Brookfield in 2011 focused on origination and investment execution for renewable power assets in North America and Europe. Most recently, she was Head of European Portfolio Management for Brookfield's Real Estate Group, where she oversaw the strategy and growth of Brookfield's real estate business in Europe and was a board member of several companies including Student Roost, Center Parcs UK, Harwell Life Sciences Campus and Brookfield Properties London. She is an Executive at Brookfield Asset Management.</t>
  </si>
  <si>
    <t>natalie.adomait@brookfield.com</t>
  </si>
  <si>
    <t>146740-96P</t>
  </si>
  <si>
    <t>Natalie Hadad</t>
  </si>
  <si>
    <t>Hadad</t>
  </si>
  <si>
    <t>Ms. Natalie Hadad serves as Managing Partner, Infrastructure at Brookfield Corporation. He serves as Managing Partner, Infrastructure and Co-Head of Brookfield's open-end core infrastructure fund at Brookfield Infrastructure Partners. In this role, she is responsible for North American investment activities for the Infrastructure Super Core Fund. She also co-manages the investment team in Toronto. Before joining Brookfield in 2013, Ms. Hadad was an investment professional in the private equity group of a leading investment manager. Ms. Hadad holds a Master of Science degree from Tulane University and a Bachelor of Science degree from the University of Texas at Austin.</t>
  </si>
  <si>
    <t>natalie.hadad@brookfield.com</t>
  </si>
  <si>
    <t>Managing Partner, Infrastructure &amp; Co-Head of Brookfield's open-end core infrastructure fund</t>
  </si>
  <si>
    <t>280390-33P</t>
  </si>
  <si>
    <t>Nawal Saini</t>
  </si>
  <si>
    <t>Nawal</t>
  </si>
  <si>
    <t>Saini</t>
  </si>
  <si>
    <t>Mr. Nawal Saini serves as Managing Partner, Renewable Power &amp; Transition at Brookfield Renewable Partners. He served as Board Member at CleanMax. He serves as Managing Director and Head of Renewable Power &amp; Transition, South Asia and the Middle East at Brookfield Corporation. Mr. Saini has over 18 years of investing and financial services experience. Prior to joining Brookfield, Mr. Saini worked briefly with CDPQ and with JP Morgan's Asian Infrastructure Fund for over 6 years, overseeing investments and asset management in the infrastructure, and power space. Prior to JP Morgan, he was part of Jacob Ballas, A New York Life sponsored sector agnostic private equity fund. Mr. Saini started his career as a banker with SBI Capital Markets and ABN Amro Bank. Mr. Saini holds a BSc (H) Mathematics degree from University of Delhi, and completed his MBA from Management Development Institute, Gurgaon</t>
  </si>
  <si>
    <t>+91 (0)22 6600 0734</t>
  </si>
  <si>
    <t>nawal.saini@brookfield.com</t>
  </si>
  <si>
    <t>306623-35P</t>
  </si>
  <si>
    <t>Nicholas Apostolatos</t>
  </si>
  <si>
    <t>Apostolatos</t>
  </si>
  <si>
    <t>Mr. Nicholas Apostolatos serves as Managing Director, Private Equity at Brookfield Business Partners. He serves as Managing Director, Private Equity at Brookfield Asset Management. He serves as Managing Director, Private Equity at Brookfield Capital Partners. Prior to joining Brookfield in 2022, he served as a managing director at Barclays, where he was responsible for healthcare services investment banking. He was previously a managing director in the healthcare investment banking group at Morgan Stanley where he began his career as an analyst in 1998. Mr. Apostolatos holds a Bachelor of Arts degree from Middlebury College.</t>
  </si>
  <si>
    <t>nicholas.apostolatos@brookfield.com</t>
  </si>
  <si>
    <t>121912-30P</t>
  </si>
  <si>
    <t>Nicholas Goodman</t>
  </si>
  <si>
    <t>Goodman</t>
  </si>
  <si>
    <t>Chief Financial Officer &amp; President</t>
  </si>
  <si>
    <t>Mr. Nicholas Goodman serves as President &amp; Chief Financial Officer at Brookfield Corporation. Mr. Goodman is responsible for Brookfield's global finance, treasury, risk management, and technology functions. He joined Brookfield in London in 2010 and has held several finance roles across the organization. Most recently he served as Treasurer of Brookfield Asset Management and before that was Chief Financial Officer of Brookfield Renewable Partners. Before joining Brookfield, he worked for several large financial institutions in London and New York. He holds a Bachelor of Arts (Hons) in Accounting and Finance from the University of Strathclyde in Glasgow, Scotland, and is a member of the Institute of Chartered Accountants of Scotland.</t>
  </si>
  <si>
    <t>nicholas.goodman@brookfield.com</t>
  </si>
  <si>
    <t>President &amp; Chief Financial Officer</t>
  </si>
  <si>
    <t>178750-27P</t>
  </si>
  <si>
    <t>Nicholas Sammut</t>
  </si>
  <si>
    <t>Sammut</t>
  </si>
  <si>
    <t>Mr. Nicholas Sammut serves as Managing Director, Private Equity at Brookfield Corporation. He serves as Managing Director, Private Equity at Brookfield Capital Partners. He also serves as Managing Director, Private Equity at Brookfield Business Partners. He also serves as an Executive, Investmentsin Brookfield Growth. He leads investing activities, including sourcing, executing, and managing investments for Brookfield's Growth team. He joined Brookfield from Generate Capital, where he sourced, structured, underwrote, and closed principal investments in the energy infrastructure, waste, water, and renewables sectors. Previously, he was a private equity investor at Fortress Investment Group and was in equity research at Goldman Sachs. He holds a Bachelor of Science degree from Northeastern University.</t>
  </si>
  <si>
    <t>+1 (650) 504-5461</t>
  </si>
  <si>
    <t>nicholas.sammut@brookfield.com</t>
  </si>
  <si>
    <t>265030-03P</t>
  </si>
  <si>
    <t>Nicolas Britten-Jones</t>
  </si>
  <si>
    <t>Britten-Jones</t>
  </si>
  <si>
    <t>Mr. Nicolas Britten-Jones serves as Managing Director, Real Estate at Brookfield Property Partners. Mr. Britten-Jones serves as Managing Director, Real Estate at Brookfield Corporation. Before joining Brookfield in 2012, Mr. Britten-Jones held various roles at global law firms in both London and Melbourne with a focus on banking &amp; finance transactions. He holds a Bachelor of Commerce and a Bachelor of Laws (Honors) from Flinders University and a Graduate Diploma of Applied Finance &amp; Investment from the Financial Services Institute of Australasia.</t>
  </si>
  <si>
    <t>nick.britten-jones@brookfield.com</t>
  </si>
  <si>
    <t>38591-74P</t>
  </si>
  <si>
    <t>Niel Thassim</t>
  </si>
  <si>
    <t>Niel</t>
  </si>
  <si>
    <t>Thassim</t>
  </si>
  <si>
    <t>Chief Operating Officer &amp; Managing Partner</t>
  </si>
  <si>
    <t>Mr. Niel Thassim serves as Managing Partner, Global Client Group, Global Chief Operating Officer &amp; Head of Europe for Global Client Group at Brookfield Corporation. In this role, Mr. Thassim is responsible for various aspects of the group's business and the evolution of our client strategy globally. Previously, Mr. Thassim was Head of Asia Pacific &amp; Middle East for Brookfield's Global Client Group. Prior to joining Brookfield in 2013, Mr. Thassim served as managing director and Asia Pacific head of Deutsche Bank's real estate investment management business (RREEF) following several senior roles within RREEF and Deutsche Bank. Before that, he held executive positions with Coopers &amp; Lybrand, Bankers Trust, Credit Suisse First Boston and Colonial First State Investments. Mr. Thassim holds a Master of Applied Finance degree from Macquarie University and a Bachelor of Economics degree from the University of Sydney. He serves as a Global Governing Trustee of the Urban Land Institute and is also a member of the Institute</t>
  </si>
  <si>
    <t>niel.thassim@brookfield.com</t>
  </si>
  <si>
    <t>Managing Partner, Global Client Group, Global Chief Operating Officer &amp; Head of Europe for Global Client Group</t>
  </si>
  <si>
    <t>411215-50P</t>
  </si>
  <si>
    <t>Oliver Wiedemeijer</t>
  </si>
  <si>
    <t>Wiedemeijer</t>
  </si>
  <si>
    <t>Mr. Oliver Wiedemeijer serves as Managing Director, Product Development at Brookfield Corporation.</t>
  </si>
  <si>
    <t>oliver.wiedemeijer@brookfieldoaktree.com</t>
  </si>
  <si>
    <t>Managing Director, Product Development</t>
  </si>
  <si>
    <t>430416-91P</t>
  </si>
  <si>
    <t>Owen Thomas</t>
  </si>
  <si>
    <t>Mr. Owen Thomas serves as a Vice President at Brookfield Corporation.</t>
  </si>
  <si>
    <t>owen.thomas@brookfieldoaktree.com</t>
  </si>
  <si>
    <t>435932-38P</t>
  </si>
  <si>
    <t>Patrick Taylor</t>
  </si>
  <si>
    <t>Mr. Patrick Taylor serves as Managing Partner, Renewable Power &amp; Transition &amp; Chief Financial Officer at Brookfield Corporation. In this role, he directs all capital markets activities for the business, including accounting, financial reporting, treasury, taxation, and investor relations on a global basis. Mr. Taylor joined Brookfield in 2011, and since then has held a number of senior finance roles across the organization including Chief Financial Officer of its European infrastructure group based in London and Chief Financial Officer of an integrated logistics portfolio company in the U.K. and mainland Europe. Previously, he was a longstanding member of the infrastructure finance leadership team in Toronto, where he held various roles across financial reporting, fund finance and operations, and portfolio management. Prior to joining Brookfield, Mr. Taylor was in the audit group at KPMG. He holds a Bachelor of Business Administration degree from Wilfrid Laurier University and is a Chartered Professional Accountant.</t>
  </si>
  <si>
    <t>patrick.taylor@brookfield.com</t>
  </si>
  <si>
    <t>Chief Financial Officer, Finance</t>
  </si>
  <si>
    <t>63115-03P</t>
  </si>
  <si>
    <t>Paul Lepage</t>
  </si>
  <si>
    <t>Lepage</t>
  </si>
  <si>
    <t>Mr. Paul Lepage serves as Managing Director, Private Equity at Brookfield Asset Management. He served as Board Member at Pomelo Health. He serves as Managing Director, Private Equity at Brookfield Business Partners. He also serves as Managing Director, Private Equity at Brookfield Capital Partners. Previously, he served as President &amp; Chief Executive Officer at Intelerad Medical Systems. He served as Senior Vice President &amp; President at Telus Health. He also serves as Co-Chairman at TO Health!. Mr. Lepage served as Chairman at TELUS Ventures. He leads TELUS Health's mission to deliver technologies that connect doctors and healthcare practitioners to one another and to their patients. He is dedicated to creating solutions that harness healthcare information to help transform the healthcare system and health outcomes to the benefit of all Canadians. In his commitment to expanding TELUS Health's position as the leading organization focused on healthcare IT development in Canada, Paul draws from over 30 years of experience in the health, telecommunications, and information technology sectors. Before joining the TELUS Health team in 2009, he was the President and CEO of MediSolution Ltd., a leader in the North American IT industry. Prior still, he held various leadership roles including Chief Marketing Officer, Chief Operating Officer, and head of Global Sales for several leading technology companies. Paul has a Master of Business Administration degree from Concordia University and a Bachelor of Engineering degree from École Polytechnique de Montreal. He sits on the board of directors for BlueStreak Technology, Montreal InVivo and is on the Advisory Board for the Ivey Center for Health Innovation. Paul has received the ICD.D certification granted by the Institute of Corporate Directors. In 2012, Paul received the prestigious Queen Elizabeth II Diamond Jubilee Medal for his leadership, strategic direction and resulting momentum achieved by TELUS Health in the mobile health and home monitoring areas. He serves Co-Chairman at CDK Global.</t>
  </si>
  <si>
    <t>paul.lepage@brookfield.com</t>
  </si>
  <si>
    <t>79490-89P</t>
  </si>
  <si>
    <t>Paulo Garcia</t>
  </si>
  <si>
    <t>Mr. Paulo Garcia serves as Managing Partner, Legal &amp; Regulatory at Brookfield Asset Management. He has been the General Counsel of Brookfield Brazil since 2005. Prior to joining Brookfield Brazil, he has occupied general counsel and associate general counsel positions for several companies including AMBEV, REXAM and CSN. He also worked as a corporate and M&amp;A lawyer at Pinheiro Neto Law Firm in Brazil. He holds a post-graduate degree in Corporate Law from Pontifícia Universidade Católica of Rio de Janeiro (PUC) and graduated in Law from PUC.</t>
  </si>
  <si>
    <t>paulo.garcia@brookfield.com</t>
  </si>
  <si>
    <t>Managing Partner, Legal &amp; Regulatory</t>
  </si>
  <si>
    <t>44930-80P</t>
  </si>
  <si>
    <t>Pierre Mcneil</t>
  </si>
  <si>
    <t>Mcneil</t>
  </si>
  <si>
    <t>Mr. Pierre Mcneil serves as Chief Executive Officer at Brookfield Cold Storage. He serves as Managing Director, Private Equity at Brookfield Business Partners. He is responsible for business operations, as well as due diligence within potential target business segments. He also serves as Chief Executive Officer at Nova Cold Logistics. Mr. McNeil has played an active role in the management of a number of Brookfield's successful public and private investments within the private equity portfolio. Prior to joining the Private Equity team in 2006, Mr. McNeil held a series of progressive management roles within Brookfield's operating subsidiaries, where he was involved in operations management in Canada, the United States, and the UK. Mr. McNeil holds a Bachelor of Arts from the University of Ottawa.</t>
  </si>
  <si>
    <t>pierre.mcneil@brookfield.com</t>
  </si>
  <si>
    <t>Brampton</t>
  </si>
  <si>
    <t>Brampton, Canada</t>
  </si>
  <si>
    <t>Brookfield Cold Storage</t>
  </si>
  <si>
    <t>405991-27P</t>
  </si>
  <si>
    <t>Piers Roberts</t>
  </si>
  <si>
    <t>Mr. Piers Roberts serves as Managing Director, Real Estate at Brookfield Property Partners. Mr. Roberts serves as Managing Director, Real Estate at Brookfield Corporation. He also serves as Managing Director, Real Estate at Brookfield Property Partners. He is responsible for leading the Real Estate Group's tax activities in Europe. Before joining Brookfield in 2015, Mr. Roberts was the head of tax at Gazeley and a vice president at J.P. Morgan Asset Management, with a background in tax practice. Mr. Roberts holds a Bachelor of Arts degree from Oxford University. He is a Chartered Accountant and a Chartered Tax Adviser.</t>
  </si>
  <si>
    <t>piers.roberts@brookfield.com</t>
  </si>
  <si>
    <t>406002-97P</t>
  </si>
  <si>
    <t>Rafael Thor</t>
  </si>
  <si>
    <t>Thor</t>
  </si>
  <si>
    <t>Mr. Rafael Thor serves as Managing Director, Private Equity at Brookfield Corporation, and Brookfield Business Partners, and is responsible for the group's legal function in Brazil. He also works closely with our Brazilian portfolio companies, providing support on transaction execution as well as legal and regulatory matters. Prior to joining Brookfield in 2020, he worked at leading law firms in New York and Brazil. He holds a Master of Laws degree from the University of Chicago Law School and a Bachelor of Laws degree from Universidade do Estado do Rio de Janeiro.</t>
  </si>
  <si>
    <t>rafael.thor@brookfield.com</t>
  </si>
  <si>
    <t>185450-59P</t>
  </si>
  <si>
    <t>Richard Ingram</t>
  </si>
  <si>
    <t>Ingram</t>
  </si>
  <si>
    <t>Mr. Richard Ingram serves as Board Member and Member of the Audit Committee at Detection Technology. He serves as Managing Director, Private Equity at Brookfield Capital Partners. He is presently Managing Director at Brookfield Asset Management. Before that, he held several international management positions in the security, aerospace and automotive industries, including President of Smiths Detection (2014-2018), CEO of Zodiac Electrical Systems (2013-2014) and management positions at Goodrich Corporation (2002-2012). Mr. Ingram has been a Member of the Board of Schoeller Packaging B.V. since 2019. He holds a Bachelor of Science degree in Engineering and Management from Manchester University and has an MBA degree.</t>
  </si>
  <si>
    <t>+358 (0)20 766 9700</t>
  </si>
  <si>
    <t>Espoo</t>
  </si>
  <si>
    <t>Espoo, Finland</t>
  </si>
  <si>
    <t>A Grid</t>
  </si>
  <si>
    <t>Otakaari 5A</t>
  </si>
  <si>
    <t>02150</t>
  </si>
  <si>
    <t>+358 (0)20 766 9709</t>
  </si>
  <si>
    <t>Board Member and Member of the Audit Committee</t>
  </si>
  <si>
    <t>Detection Technology</t>
  </si>
  <si>
    <t>405989-11P</t>
  </si>
  <si>
    <t>Richard Powers</t>
  </si>
  <si>
    <t>Mr. Richard Powers serves as Managing Partner and Chief Operating Officer, Europe in Brookfield's Real Estate Group. at Brookfield Property Partners. Mr. Powers serves as Managing Partner, Real Estate at Brookfield Corporation. He is responsible for expanding the pan-European real estate business and overseeing its operations. Before joining Brookfield in 2022, Mr. Powers was a managing partner at O-Zone Partners, a managing member at Grand Street Investments and a partner in Goldman Sachs' merchant banking division, where he was co-head of European and U.S. real estate. He also served as head of international real estate at GE Capital. Mr. Powers holds a Bachelor of Arts degree from Yale University where later he taught a seminar for many years. He serves as a board member of the Wyeth Foundation for American Art and has served on the governing bodies of several organizations, including the Church Commissioners for England and the German Marshall Fund of the United States.</t>
  </si>
  <si>
    <t>richard.powers@brookfield.com</t>
  </si>
  <si>
    <t>Managing Partner and Chief Operating Officer, Europe in Brookfield's Real Estate Group.</t>
  </si>
  <si>
    <t>406006-66P</t>
  </si>
  <si>
    <t>Ritu Verma</t>
  </si>
  <si>
    <t>Ritu</t>
  </si>
  <si>
    <t>Ms. Ritu Verma serves as Managing Director, Private Equity at Brookfield Corporation. She leads the Human Resources function for the group globally. She has also held several leadership positions across the group.</t>
  </si>
  <si>
    <t>ritu.verma@brookfield.com</t>
  </si>
  <si>
    <t>150408-82P</t>
  </si>
  <si>
    <t>Robert Paine</t>
  </si>
  <si>
    <t>Paine</t>
  </si>
  <si>
    <t>Mr. Robert Paine serves as Managing Director, Insurance Solutions at Brookfield Capital Partners. Mr. Paine also serves as Portfolio Manager and Co-Head of Brookfield's credit opportunities business, specializing in liquid distressed, credit and equity strategies. Mr. Paine has more than 30 years experience in investments. Prior to joining Brookfield in 2014, Mr. Paine was Managing Director and Portfolio Manager at Advent Capital, specializing in distressed, credit, and event-driven opportunities as well as group head of Advent's high yield strategies. Mr. Paine holds a bachelor's degree in finance and an MBA from Boston University.</t>
  </si>
  <si>
    <t>robert.paine@brookfield.com</t>
  </si>
  <si>
    <t>287067-61P</t>
  </si>
  <si>
    <t>Roberto Stagni</t>
  </si>
  <si>
    <t>Stagni</t>
  </si>
  <si>
    <t>Mr. Roberto Stagni serves as a Senior Associate at Brookfield Corporation.</t>
  </si>
  <si>
    <t>roberto.stagni@brookfield.com</t>
  </si>
  <si>
    <t>199035-19P</t>
  </si>
  <si>
    <t>Rodrigo Franco</t>
  </si>
  <si>
    <t>Mr. Rodrigo Franco serves as Managing Partner - Infrastructure Group and Chief Investment Officer - South America at Brookfield Asset Management. He serves as Managing Partner, Infrastructure at Brookfield Infrastructure Partners. Prior to joining Brookfield in 2010, he worked at Credit Suisse in the leveraged finance restructuring and origination group and at Banco de Credito del Peru's corporate finance group. He holds a Master of Business Administration degree from Stanford Graduate School of Business, a Master of Public Administration degree from Harvard Kennedy School of Government, and a bachelor's degree from Universidad del Pacífico in Lima, Peru. He serves as the Chairman of the Board of Rutas de Lima and as a Board member of Autopista Vespucio Norte.</t>
  </si>
  <si>
    <t>rodrigo.franco@brookfield.com</t>
  </si>
  <si>
    <t>265282-21P</t>
  </si>
  <si>
    <t>Rohit Srivastava</t>
  </si>
  <si>
    <t>Mr. Rohit Srivastava serves as Managing Partner, Real Estate Group at Brookfield Corporation. Mr. Srivastava serves as Managing Director, Real Estate at Brookfield Property Partners. Before joining Brookfield in 2016, Mr. Srivastava held a variety of roles in Credit Suisse's commercial real estate group including asset management, origination, underwriting, structuring, and real estate capital markets across various regions. He began his career in real estate finance at Gramercy Capital Corp working as an underwriter. Mr. Srivastava received a Master of Science degree from the Massachusetts Institute of Technology and a Bachelor of Architecture degree from the Manipal Institute of Technology.</t>
  </si>
  <si>
    <t>rohit.srivastava@brookfield.com</t>
  </si>
  <si>
    <t>54476-11P</t>
  </si>
  <si>
    <t>Ron Bloom</t>
  </si>
  <si>
    <t>Bloom</t>
  </si>
  <si>
    <t>Managing Partner &amp; Vice Chairman</t>
  </si>
  <si>
    <t>Mr. Ron Bloom serves as Managing Partner, Private Equity &amp; Vice Chairman of the Private Equity Group at Brookfield Corporation. Mr. Bloom serves as a General Partner &amp; Investor at Commonweal Ventures. He serves as Managing Partner, Private Equity &amp; Vice Chairman at Brookfield Business Partners. He serves as a Board Member at BrandSafway He is a Vice-Chair in Brookfield's Private Equity Group. He is responsible for investment origination, analysis, and execution across North America. Before joining Brookfield, Mr. Bloom was Vice Chairman of U.S. Investment Banking, at Lazard, focused on restructurings and mergers and acquisitions. Prior to that, he served as Assistant to the President for Manufacturing Policy where he provided leadership on policy development and strategic planning for the Administration's agenda to revitalize the manufacturing sector. Prior to joining the White House, Mr. Bloom served as Senior Advisor to the Secretary of the Treasury where he helped lead the restructuring of General Motors and Chrysler LLC and then led the Treasury's oversight of the companies thereafter. Mr. Bloom received his undergraduate degree from Wesleyan University and holds an MBA from Harvard Business School, where he graduated with distinction.</t>
  </si>
  <si>
    <t>ron.bloom@brookfield.com</t>
  </si>
  <si>
    <t>Managing Partner, Private Equity &amp; Vice Chairman of the Private Equity Group</t>
  </si>
  <si>
    <t>270061-66P</t>
  </si>
  <si>
    <t>Rose Meller</t>
  </si>
  <si>
    <t>Meller</t>
  </si>
  <si>
    <t>Ms. Rose Meller serves as Managing Director, Real Estate at Brookfield Property Partners. Ms. Meller serves as Managing Director, Real Estate at Brookfield Corporation. In this role, she is responsible for executing various strategic transactions in Europe, with a focus on acquisitions in the logistics, life sciences, and multifamily sectors. She also leads the group's legal and regulatory team in Europe. Before joining Brookfield in 2016, Ms. Meller worked in the real estate group of a global law firm. Ms. Miller holds a Postgraduate Diploma in Law from The University of Law, London, and a Bachelor of Arts degree from the University of Oxford.</t>
  </si>
  <si>
    <t>rose.meller@brookfield.com</t>
  </si>
  <si>
    <t>345994-03P</t>
  </si>
  <si>
    <t>Roxane Gosse</t>
  </si>
  <si>
    <t>Roxane</t>
  </si>
  <si>
    <t>Gosse</t>
  </si>
  <si>
    <t>Ms. Roxane Gosse serves as Client Relationship Management Coordinator, Corporate Communications Coordinator &amp; Project Management at Brookfield Corporation.</t>
  </si>
  <si>
    <t>roxane.gosse@brookfield.com</t>
  </si>
  <si>
    <t>Client Relationship Management Coordinator, Corporate Communications Coordinator &amp; Project Management</t>
  </si>
  <si>
    <t>405970-12P</t>
  </si>
  <si>
    <t>Ruban Kaneshamoorthy</t>
  </si>
  <si>
    <t>Ruban</t>
  </si>
  <si>
    <t>Kaneshamoorthy</t>
  </si>
  <si>
    <t>Mr. Ruban Kaneshamoorthy serves as Executive Director at Brookfield Asset Management. Mr. Ruban Kaneshamoorthy serves as Managing Director, Real Estate, Head of Brookfield Property Group, Australia &amp; Co-Head of Australia for Brookfield's Real Estate Group at Brookfield Property Partners. Mr. Kaneshamoorthy serves as Managing Director, Real Estate at Brookfield Corporation. In this role, Mr. Kaneshamoorthy is responsible for investment and portfolio activity in the country, as well as fundraising and key client relationships across Australia. Previously, Mr. Kaneshamoorthy was the Head of Investments for the Real Estate Group in Australia, leading the team in sourcing, underwriting, and executing real estate transactions. Before joining Brookfield in 2018, he held several senior roles in real estate private equity and investment banking at Goldman Sachs, Macquarie Bank, and Morgan Stanley Real Estate Funds. He has experience in transactions across Australia, New Zealand, Korea, Singapore, and Japan. Mr. Kaneshamoorthy holds a Bachelor of Law and Bachelor of Commerce degrees from the University of New South Wales.</t>
  </si>
  <si>
    <t>ruban.kaneshamoorthy@brookfield.com</t>
  </si>
  <si>
    <t>28867-87P</t>
  </si>
  <si>
    <t>Ryan Stepanian</t>
  </si>
  <si>
    <t>Stepanian</t>
  </si>
  <si>
    <t>Mr. Ryan Stepanian serves as an Executive, Private Equity at Brookfield Corporation. Previously he served as a Vice President at Morgan Stanley Investment Management. He holds a BA in Philosophy St. John's College</t>
  </si>
  <si>
    <t>ryan.stepanian@brookfield.com</t>
  </si>
  <si>
    <t>Executive, Private Equity</t>
  </si>
  <si>
    <t>150406-21P</t>
  </si>
  <si>
    <t>Ryan Szainwald</t>
  </si>
  <si>
    <t>Szainwald</t>
  </si>
  <si>
    <t>Mr. Ryan Szainwald serves as Managing Partner, Private Equity at Brookfield Asset Management. He serves as Managing Partner, Private Equity at Brookfield Business Partners. He is responsible for global transaction execution and strategic initiatives in Brookfield's Private Equity Group. Prior to joining Brookfield in 2016, Mr. Szainwald was a Partner with a leading Canadian law firm, where his practice focused on corporate finance, public mergers and acquisitions, and private equity transactions. Mr. Szainwald holds a joint MBA/LL.B. from the Schulich School of Business at York University and Osgoode Hall Law School in Toronto.</t>
  </si>
  <si>
    <t>ryan.szainwald@brookfield.com</t>
  </si>
  <si>
    <t>442267-12P</t>
  </si>
  <si>
    <t>Sallie Chu</t>
  </si>
  <si>
    <t>Sallie</t>
  </si>
  <si>
    <t>Ms. Sallie Chu serves as Senior Vice President, Finance at Brookfield Corporation.</t>
  </si>
  <si>
    <t>Senior Vice President, Finance</t>
  </si>
  <si>
    <t>405964-18P</t>
  </si>
  <si>
    <t>Sam Gleeson</t>
  </si>
  <si>
    <t>Gleeson</t>
  </si>
  <si>
    <t>Mr. Sam Gleeson serves as Managing Director, Real Estate at Brookfield Corporation. Mr. Gleeson serves as Managing Director, Real Estate at Brookfield Property Partners. He leads the U.S. team responsible for sourcing and executing investments in the hospitality sector. Before joining Brookfield in 2020, Mr. Gleeson was a principal on the real estate acquisitions team at Blackstone. Mr. Gleeson holds a Master of Finance degree from the University of Cambridge and a Bachelor of Science degree from Cornell University.</t>
  </si>
  <si>
    <t>149704-84P</t>
  </si>
  <si>
    <t>Sam Jenkins</t>
  </si>
  <si>
    <t>Jenkins</t>
  </si>
  <si>
    <t>Mr. Sam Jenkins serves as Managing Director, Global Client Group at Brookfield Asset Management. Mr. Jenkins serves as Managing Director, Global Client Group at Brookfield Corporation. He served as Senior Associate at Pantheon Ventures. Prior to joining Pantheon, he worked at Morgan Stanley, where he worked in the Private Banking division. He holds a BA in Accounting &amp; Finance from the Nottingham Business School in 2012.</t>
  </si>
  <si>
    <t>sam.jenkins@brookfield.com</t>
  </si>
  <si>
    <t>368341-84P</t>
  </si>
  <si>
    <t>Sebastian Perl</t>
  </si>
  <si>
    <t>Perl</t>
  </si>
  <si>
    <t>Mr. Sebastian Perl serves as Senior Vice President at Brookfield Corporation.</t>
  </si>
  <si>
    <t>sebastian.perl@brookfield.com</t>
  </si>
  <si>
    <t>79275-07P</t>
  </si>
  <si>
    <t>Shai Zelering</t>
  </si>
  <si>
    <t>Shai</t>
  </si>
  <si>
    <t>Zelering</t>
  </si>
  <si>
    <t>Mr. Shai Zelering serves as a Managing Partner, Real Estate at Brookfield Corporation. Mr. Zelering serves as Managing Partner, Real Estate at Brookfield Property Partners. Before joining Brookfield Properties in 2014, Mr. Zelering worked for Thayer Lodging Group and Blackstone's hotel operating platform, LXR Luxury Resorts and Hotels. Mr. Zelering holds a Master of Business Administration degree from Northwestern University's J.L. Kellogg Graduate School of Management and a Bachelor of Science degree from The School of Hotel Administration at Cornell University. Mr. Zelering serves on the Board of Directors for Center Parcs in the U.K.</t>
  </si>
  <si>
    <t>shai.zelering@brookfield.com</t>
  </si>
  <si>
    <t>265252-42P</t>
  </si>
  <si>
    <t>Sikander Rashid</t>
  </si>
  <si>
    <t>Sikander</t>
  </si>
  <si>
    <t>Rashid</t>
  </si>
  <si>
    <t>Mr. Sikander Rashid serves as Managing Partner &amp; Chief Investment Officer, Infrastructure Group at Brookfield Asset Management. He serves as Managing Partner &amp; Head of Europe, Infrastructure at Brookfield Infrastructure Partners. He serves as a Board Member at Boxt. He is responsible for business development and transaction execution in the European markets. Since joining Brookfield in 2012, he has executed numerous transactions and financings globally and has been instrumental in the business's successful entry into new sectors. During this time, he has also served on multiple portfolio company boards. He holds a Bachelor of Mathematics degree from the University of Waterloo and is a member of the Canadian Institute of Chartered Professional Accountants.</t>
  </si>
  <si>
    <t>sikander.rashid@brookfield.com</t>
  </si>
  <si>
    <t>Managing Partner &amp; Head of Europe, Infrastructure</t>
  </si>
  <si>
    <t>339418-27P</t>
  </si>
  <si>
    <t>Simon Maine</t>
  </si>
  <si>
    <t>Mr. Simon Maine serves as Managing Director, Corporate Communications &amp; Brand at Brookfield Corporation. In this role, he is responsible for the development and execution of strategic communications plans in Europe, as well as for the Renewable Power &amp; Transition business globally.Prior to joining Brookfield in 2022, Mr. Maine was director of corporate affairs for OVO and a partner at Brunswick Group. Mr. Maine holds a Master of Arts degree from the University of Oxford.</t>
  </si>
  <si>
    <t>simon.maine@brookfield.com</t>
  </si>
  <si>
    <t>Managing Director, Corporate Communications &amp; Brand</t>
  </si>
  <si>
    <t>265256-83P</t>
  </si>
  <si>
    <t>Sophia Rihani</t>
  </si>
  <si>
    <t>Rihani</t>
  </si>
  <si>
    <t>Ms. Sophia Rihani serves as Managing Director, Private Equity Group at Brookfield Corporation. She serves as Managing Director, Private Equity at Brookfield Business Partners. She also serves as Managing Director, Private Equity at Brookfield Capital Partners. She serves as Chairman at Healthscope. She served as Acting Chief Commercial Officer at Healthscope. She is head of transactions in the Business Services and Industrials Group for the Asia Pacific region. She is responsible for the negotiation and execution of large-scale complex transactions spanning public and private mergers and acquisitions, capital raisings, restructures, joint ventures and major projects. Prior to joining Brookfield in 2013, She worked as a solicitor at King &amp; Wood Mallesons in their Sydney and Perth offices. She holds Master of Laws and Bachelor of Arts degrees from the Australian National University and a Graduate Certificate from Macquarie University.</t>
  </si>
  <si>
    <t>sophia.rihani@healthscope.com.au</t>
  </si>
  <si>
    <t>Managing Director, Private Equity Group</t>
  </si>
  <si>
    <t>265155-67P</t>
  </si>
  <si>
    <t>Sophie Fallman</t>
  </si>
  <si>
    <t>Fallman</t>
  </si>
  <si>
    <t>Ms. Sophie Fallman serves as Managing Partner, Global Client Group at Brookfield Corporation. In this role, she is responsible for global fundraising strategies and private institutional investors across the region. Previously, she was the Head of Australia for Brookfield's Real Estate Group and prior to that was Chief Operating Officer of Brookfield's private real estate funds, based in New York. Before joining Brookfield in 2010, she was the fund manager of a core-plus institutional real estate fund in Sydney, where she gained experience in asset management, development management and corporate property acquisitions. She holds a Master of Finance degree from Financial Services Institute of Australasia, a Bachelor of Architecture degree from RMIT University and has completed the Program for Leadership Development at Harvard Business School.</t>
  </si>
  <si>
    <t>sophie.fallman@brookfield.com</t>
  </si>
  <si>
    <t>Managing Partner, Global Client Group</t>
  </si>
  <si>
    <t>405989-74P</t>
  </si>
  <si>
    <t>Sridhar Rengan</t>
  </si>
  <si>
    <t>Rengan</t>
  </si>
  <si>
    <t>Mr. Sridhar Rengan serves as Managing Director, Finance at Brookfield Corporation. Prior to joining Brookfield in 2014, he held various roles over the last three decades in real estate, infrastructure and consumer businesses, and was the CFO for Piramal Roads Infra Private Limited.</t>
  </si>
  <si>
    <t>+91 (0)22 6600 0700</t>
  </si>
  <si>
    <t>sridhar.rengan@brookfield.com</t>
  </si>
  <si>
    <t>Unit 1, 4th Floor, Godrej BKC</t>
  </si>
  <si>
    <t>Bandra Kurla Complex</t>
  </si>
  <si>
    <t>265303-54P</t>
  </si>
  <si>
    <t>Stewart Upson</t>
  </si>
  <si>
    <t>Upson</t>
  </si>
  <si>
    <t>Mr. Stewart Upson serves as Managing Partner, Infrastructure Group and Regional Head of Asia Pacific at Brookfield Corporation. Mr. Upson serves as Managing Partner, Infrastructure, Regional Head of Asia Pacific &amp; Co-President at Brookfield Infrastructure Partners. His responsibility for overseeing the Firm's business activities in the region. Mr. Upson also has direct responsibility for the infrastructure group in Asia Pacific. Mr. Upson joined Brookfield in 2010, following Brookfield's acquisition of the Australian-listed company, Prime Infrastructure, where he held a number of roles, including General Manager Business Development and Group Treasurer. He previously served as Treasurer at Powerco, a New Zealand-based utility, and worked in the corporate finance division of Deloitte, Auckland. Mr. Upson holds a Bachelor of Commerce degree from the University of Auckland and is a CFA charterholder.</t>
  </si>
  <si>
    <t>stewart.upson@brookfield.com</t>
  </si>
  <si>
    <t>Managing Partner, Co-President, Infrastructure &amp; Head of Asia Pacific</t>
  </si>
  <si>
    <t>145526-95P</t>
  </si>
  <si>
    <t>Suzanne Fleming</t>
  </si>
  <si>
    <t>Suzanne</t>
  </si>
  <si>
    <t>Ms. Suzanne Fleming serves as Managing Partner and Global Head of Corporate Communications &amp; Brand at Brookfield Corporation. She joined in June 2015 from Credit Suisse, where she was most recently in Corporate Communications covering the Private Banking &amp; Wealth Management division. Prior to Credit Suisse, she held senior communications roles at other global financial services firms, both in New York and Hong Kong. She holds an Honors Bachelor of Arts degree in History from Huron College at the University of Western Ontario.</t>
  </si>
  <si>
    <t>+1 (212) 417-2421</t>
  </si>
  <si>
    <t>suzanne.fleming@brookfield.com</t>
  </si>
  <si>
    <t>Managing Partner and Global Head of Corporate Communications</t>
  </si>
  <si>
    <t>265173-58P</t>
  </si>
  <si>
    <t>Swarup Katuri</t>
  </si>
  <si>
    <t>Swarup</t>
  </si>
  <si>
    <t>Katuri</t>
  </si>
  <si>
    <t>Mr. Swarup Katuri serves as Managing Partner, Real Estate at Brookfield Property Partners. Mr. Katuri serves as Managing Partner, Real Estate at Brookfield Corporation. He also serves as Managing Partner, Real Estate at Brookfield Property Partners. He is responsible for business development and investment activities in the multifamily sector, and portfolio management of Brookfield's investment in Forest City. Before joining Brookfield in 2015, Mr. Katuri worked at Associated Estates Realty Corp (AEC), where he was a key member of the senior management team that led the sale of AEC to Brookfield. He holds a Master of Business Administration from the Fuqua School of Business at Duke University, where he graduated as a Fuqua Scholar, a Bachelor of Arts in Economics (Honors) and Sociology, and a Bachelor of Science in Management, magna cum laude, from Case Western Reserve University.</t>
  </si>
  <si>
    <t>swarup.katuri@brookfield.com</t>
  </si>
  <si>
    <t>405961-66P</t>
  </si>
  <si>
    <t>Talora Farovitch</t>
  </si>
  <si>
    <t>Talora</t>
  </si>
  <si>
    <t>Farovitch</t>
  </si>
  <si>
    <t>Ms. Talora Farovitch serves as Managing Director, Real Estate at Brookfield Property Partners. Ms. Farovitch serves as Managing Director, Real Estate at Brookfield Corporation. She is responsible for the Canadian tax implications of global real estate transactions, structures, and strategic and legislative initiatives. Before joining Brookfield in 2014, Ms. Farovitch was a senior manager in the international tax practice at PricewaterhouseCoopers. Ms. Farovitch holds a Bachelor of Laws degree from the University of Manitoba and a Master of Taxation from the University of Waterloo.</t>
  </si>
  <si>
    <t>talora.farovitch@brookfield.com</t>
  </si>
  <si>
    <t>204569-56P</t>
  </si>
  <si>
    <t>Terry Hoyt</t>
  </si>
  <si>
    <t>Terry</t>
  </si>
  <si>
    <t>Hoyt</t>
  </si>
  <si>
    <t>Ms. Terry Hoyt serves as Managing Director, Real Estate at Brookfield Property Partners. Ms. Hoyt serves as Managing Director, Real Estate at Brookfield Corporation. She is responsible for the origination, underwriting, and asset management of Brookfield's real estate finance funds. Ms. Hoyt has over 27 years of experience in real estate. Before joining Brookfield in 2003, she worked at Merrill Lynch and J.P. Morgan for nine years, with a focus on real estate finance and capital markets, and additionally was responsible for the closing and securitization of all large loan transactions. Ms. Hoyt holds a Bachelor of Arts from Monmouth University.</t>
  </si>
  <si>
    <t>thoyt@brookfield.com</t>
  </si>
  <si>
    <t>263347-30P</t>
  </si>
  <si>
    <t>Thomas Corbett</t>
  </si>
  <si>
    <t>Corbett</t>
  </si>
  <si>
    <t>Mr. Thomas Corbett serves as Chief Financial Officer &amp; Managing Partner, Insurance Solutions at Brookfield Asset Management Reinsurance. He joined Brookfield's Renewable Power team in 2008 before relocating to Rio de Janeiro to become the CFO of the Brazilian renewable operations in 2016. In 2018, he relocated to Toronto to oversee Brookfield's internal and external financial public reporting. Previously, he was a financial auditor in the Office of the Auditor General of Canada. He holds a Bachelor of Commerce from Carleton University and is a member of the Canadian Institute of Chartered Professional Accountants.</t>
  </si>
  <si>
    <t>thomas.corbett@brookfield.com</t>
  </si>
  <si>
    <t>346397-59P</t>
  </si>
  <si>
    <t>Tristan Tully</t>
  </si>
  <si>
    <t>Tully</t>
  </si>
  <si>
    <t>Mr. Tristan Tully serves as Managing Partner, Private Equity and Head of Europe at Brookfield Corporation. Mr. Tully serves as Managing Partner &amp; Head, Private Equity at Brookfield Business Partners. He serves as Managing Partner, Private Equity at Brookfield Capital Partners. In this role, Mr. Tully is responsible for private equity strategy, including deal sourcing, execution, and portfolio monitoring in Europe. Mr. Tully joined Brookfield in 2014, and since then has held a number of roles. Prior to Brookfield, he was an associate at Clayton Dubilier &amp; Rice and an analyst at Deutsche Bank. Mr. Tully holds a Bachelor of Arts degree from Wesleyan University.</t>
  </si>
  <si>
    <t>tristan.tully@brookfield.com</t>
  </si>
  <si>
    <t>Managing Partner, Private Equity and Head of Europe</t>
  </si>
  <si>
    <t>161210-17P</t>
  </si>
  <si>
    <t>Udhay Mathialagan</t>
  </si>
  <si>
    <t>Udhay</t>
  </si>
  <si>
    <t>Mathialagan</t>
  </si>
  <si>
    <t>Mr. Udhay Mathialagan serves as Managing Director, Infrastructure Group at Brookfield Asset Management. He serves as Managing Partner, Infrastructure at Brookfield Infrastructure Partners. He serves as Chairman at DCI Data Centers. He served as Chairman at Cyxtera Technologies. He is responsible for leading business development and transaction execution for investments in the Asia Pacific, with a focus on the data sector. Before joining Brookfield in 2018, he was the Chief Executive Officer of a global telecom portfolio management software company in Singapore. He holds a Master of Business Administration from Rotterdam School of Management, Erasmus University, the Netherlands.</t>
  </si>
  <si>
    <t>udhay.mathialagan@brookfield.com</t>
  </si>
  <si>
    <t>405971-02P</t>
  </si>
  <si>
    <t>Vincent Kerboull</t>
  </si>
  <si>
    <t>Kerboull</t>
  </si>
  <si>
    <t>Mr. Vincent Kerboull serves as Managing Director, Real Estate at Brookfield Property Partners. Mr. Kerboull serves as Managing Director, Real Estate at Brookfield Corporation. Before joining Brookfield in 2018, He worked for Blackstone in its European real estate group and at Lazard Freres &amp; Co. in Paris. Mr. Kerboull holds a Master of Finance degree from ESCP Europe and a Master of Civil Engineering degree from ESTP Paris.</t>
  </si>
  <si>
    <t>vincent.kerboull@brookfield.com</t>
  </si>
  <si>
    <t>406001-35P</t>
  </si>
  <si>
    <t>Waldo Szczupak</t>
  </si>
  <si>
    <t>Waldo</t>
  </si>
  <si>
    <t>Szczupak</t>
  </si>
  <si>
    <t>Mr. Waldo Szczupak serves as Managing Director, Real Estate at Brookfield Corporation. Mr. Szczupak serves as Managing Director, Real Estate at Brookfield Property Partners. He focuses on investments in the student housing, manufactured housing, single-family rental and build-to-rent sectors. She previously worked in Brookfield's Infrastructure Group. Prior to joining Brookfield in 2011, Mr. Szczupak worked in the infrastructure investment banking business of a global financial institution. Mr. Szczupak holds a Master of Finance degree from INSEAD and Bachelor of Science degree from MIT.</t>
  </si>
  <si>
    <t>waldo.szczupak@brookfield.com</t>
  </si>
  <si>
    <t>445389-94P</t>
  </si>
  <si>
    <t>Whitney Flautt</t>
  </si>
  <si>
    <t>Flautt</t>
  </si>
  <si>
    <t>Mr. Whitney Flautt serves as an Analyst at Brookfield Corporation.</t>
  </si>
  <si>
    <t>whitney.flautt@brookfield.com</t>
  </si>
  <si>
    <t>64697-77P</t>
  </si>
  <si>
    <t>William Powell</t>
  </si>
  <si>
    <t>Mr. William Powell serves as Managing Partner, Credit at Brookfield Corporation. Mr. Powell serves as Managing Partner, Credit at Brookfield Property Partners. He also serves as Chief Operating Officer at Brookfield's Real Estate Group. Mr. Powell joined Brookfield in 2002 and has since held several roles across the organization. He was initially a Partner in Brookfield's Real Estate Finance Fund business before becoming a Global Treasurer of Brookfield Asset Management. Before joining Brookfield, Mr. Powell held various senior management positions within the real estate capital markets groups at several investment management firms. Mr. Powell holds a Bachelor of Science in Accounting from the University of Richmond and an MBA from the Darden School of the University of Virginia.</t>
  </si>
  <si>
    <t>sachin.shah@brookfield.com</t>
  </si>
  <si>
    <t>406011-97P</t>
  </si>
  <si>
    <t>Yiwen Yang</t>
  </si>
  <si>
    <t>Yiwen</t>
  </si>
  <si>
    <t>Ms. Yiwen Yang serves as Managing Director, Real Estate at Brookfield Corporation. Ms. Yang serves as Managing Director, Real Estate at Brookfield Property Partners. She is responsible for the strategic management of property portfolios, as well as ongoing acquisitions, dispositions and the management of real estate within the group. Prior to joining Brookfield in 2016, Ms. Yang held various roles with CapitaLand, Tesco Property and AMP Capital where she gained experience in research, investment analysis, leasing, operation and asset management. Ms. Yang holds a Bachelor of Commerce degree from the University of New South Wales, Sydney.</t>
  </si>
  <si>
    <t>+86 (0)21 2306 0700</t>
  </si>
  <si>
    <t>yiwen.yang@brookfield.com</t>
  </si>
  <si>
    <t>Unit 01, 11th Floor, Tower C, One East</t>
  </si>
  <si>
    <t>Number 768 South Zhongshan 1st Road, Huangpu District</t>
  </si>
  <si>
    <t>200023</t>
  </si>
  <si>
    <t>405960-22P</t>
  </si>
  <si>
    <t>Zachary Cohn</t>
  </si>
  <si>
    <t>Cohn</t>
  </si>
  <si>
    <t>Mr. Zachary Cohn serves as Managing Director, Real Estate at Brookfield Property Partners. Mr. Cohn serves as Managing Director, Real Estate at Brookfield Corporation. He leads capital markets activities throughout the U.S. Previously, he held various roles within the Real Estate Group, including sourcing, underwriting, structuring, and execution of debt investments. Before joining Brookfield in 2016, he worked at Citi, where he was responsible for the underwriting, origination, and structuring of commercial real estate debt investments. Mr. Cohn holds a Bachelor of Business Administration degree from the University of Southern California.</t>
  </si>
  <si>
    <t>zachary.cohn@brookfield.com</t>
  </si>
  <si>
    <t>277009-21P</t>
  </si>
  <si>
    <t>Donna Harris JD</t>
  </si>
  <si>
    <t>Builders + Backers</t>
  </si>
  <si>
    <t>Ms. Donna Harris is the Founder and serves as Partner &amp; Chief Executive Officer at Builders + Backers. She is a Founder of 76fwd. She served as a General Partner at 1776 Ventures. She has been an active investor for over 10 years, following a successful career as an entrepreneur. She has invested in industry-defining companies that include Guild Education, ID.me, Picasso, NXCR, Twiga, and many more. Donna has been recognized by Business Insider in The Seed 25 (best female early-stage investors) in 2021 and 2022 and she was named one of Washington DC's Power 100 by both Washington Business Journal and Washington Life. Before founding Builders + Backers, Donna was the founder of 1776 and Managing Director of the Startup America Partnership during the Obama Administration. She is also a board member of both the Global Entrepreneurship Network and the National Center for Entrepreneurship, an Advisor to the Economic Innovation Group, and a Distinguished Fellow of the Ciocca Center for Principled Entrepreneurship at The Busch School. Donna holds a B.S. from Central Michigan University, an M.B.A. from The University of Michigan, and an honorary Doctor of Laws degree from American University.</t>
  </si>
  <si>
    <t>+1 (202) 714-9760</t>
  </si>
  <si>
    <t>donna@buildersandbackers.com</t>
  </si>
  <si>
    <t>1405 South Fern Street</t>
  </si>
  <si>
    <t>Suite 94389</t>
  </si>
  <si>
    <t>22202</t>
  </si>
  <si>
    <t>Founder, Partner &amp; Chief Executive Officer</t>
  </si>
  <si>
    <t>83695-24P</t>
  </si>
  <si>
    <t>Erich Broksas</t>
  </si>
  <si>
    <t>Erich</t>
  </si>
  <si>
    <t>Broksas</t>
  </si>
  <si>
    <t>Chief Strategy Officer &amp; Partner</t>
  </si>
  <si>
    <t>Mr. Erich Broksas serves as Partner &amp; Chief Strategy Officer at Builders + Backers. Mr. Broksas served as Senior Vice President at The Case Foundation. With a focus on technology and business, he is responsible for finding unique ways in which individuals, foundations, and nonprofits can leverage innovative technology and business models for good. One of his favorite parts of the job is taking what appears to be two disparate ideas and put them together to spark social change. He also oversees the Foundation's international development investments, programs and campaigns with an emphasis on creative and disruptive solutions to the clean water and malaria crisis in Sub-Saharan Africa. In addition, he serves on the boards of several organizations and companies, including Causes, Water For People, Network for Good, Malaria No More - NetGuarantee, HelloWallet and LivingSocial. He joined the Case Foundation in 2008 after nearly 15 years in the private sector leading business development efforts in international telecommunications and technology. Originally from the beautiful Pacific Northwest, he holds a Bachelor of Arts degree in Political Science and a Master of Arts degree in International Relations from Washington State University.</t>
  </si>
  <si>
    <t>erich@buildersandbackers.com</t>
  </si>
  <si>
    <t>Partner &amp; Chief Strategy Officer</t>
  </si>
  <si>
    <t>41565-61P</t>
  </si>
  <si>
    <t>Jonathan Bragdon</t>
  </si>
  <si>
    <t>Bragdon</t>
  </si>
  <si>
    <t>Mr. Jonathan Bragdon is a Founding Partner and serves as Managing Partner, General Partner, &amp; Chief Executive Officer at Capacity Capital. He had served as a Partner at Spartan Ventures. He serves as a Venture Partner at Builders + Backers. He previously served as Chief Business Officer at Variable. Previously, he also co-founded and served as the Chief Executive Officer at Tricycle. He completed his MBA at Vanderbilt University in 2001.</t>
  </si>
  <si>
    <t>+1 (423) 313-2535</t>
  </si>
  <si>
    <t>jonathan@capacity.is</t>
  </si>
  <si>
    <t>Chattanooga</t>
  </si>
  <si>
    <t>Chattanooga, TN</t>
  </si>
  <si>
    <t>918 Normal Avenue</t>
  </si>
  <si>
    <t>37405</t>
  </si>
  <si>
    <t>Founding Partner, Managing Partner, General Partner, &amp; Chief Executive Officer</t>
  </si>
  <si>
    <t>Capacity Capital (Chattanooga)</t>
  </si>
  <si>
    <t>115662-07P</t>
  </si>
  <si>
    <t>Kathleen Hale JD</t>
  </si>
  <si>
    <t>Ms. Kathleen Hale serves as Partner at Builders + Backers. She co-founded &amp; served as Chief Executive Officer at RebelDesk. Previously, she served as a Creator at Chair Free Project. She serves as Partner at Builders + Backers. is an entrepreneur, venture capital fund manager and investor focused on helping to find, incubate, and grow ideas for solving our greatest challenges. In addition to her role with Builders and Backers, She also serves as the Director of Operations for 1776 Ventures, overseeing the fund's day-to-day activities and portfolio investments. She actively mentors early-stage entrepreneurs around the world, particularly in children's consumer goods. Previously she has founded, grown and sold multiple consumer products companies, including one of the earliest treadmill and standing desks companies in the US. She helped to take these companies from idea to manufacturing, e-commerce and retail success, and licenses with international brands such as Hasbro and Mattel. Prior to launching her first consumer products company, she was a trial attorney and founder of a law firm.</t>
  </si>
  <si>
    <t>+1 (202) 617-5359</t>
  </si>
  <si>
    <t>kathleen@buildersandbackers.com</t>
  </si>
  <si>
    <t>356850-37P</t>
  </si>
  <si>
    <t>Stephanie Butts</t>
  </si>
  <si>
    <t>Butts</t>
  </si>
  <si>
    <t>Executive Assistant &amp; Manager</t>
  </si>
  <si>
    <t>Ms. Stephanie Butts serves as Operations and Administration Manager at Builders + Backers. She has a Bachelor of Fine Arts in Musical Theatre from Southeast Missouri State University and a Master of Arts in Arts Administration from Castleton University. Prior to joining us, she worked in the Financial Services industry as an Executive Assistant and an Executive Recruiter.</t>
  </si>
  <si>
    <t>stephanie@buildersandbackers.com</t>
  </si>
  <si>
    <t>Chief of Staff, People Operations and Administration Manager &amp; Executive Assistant</t>
  </si>
  <si>
    <t>178304-23P</t>
  </si>
  <si>
    <t>Bruce McNamer JD</t>
  </si>
  <si>
    <t>McNamer</t>
  </si>
  <si>
    <t>Builders Vision</t>
  </si>
  <si>
    <t>Mr. Bruce McNamer serve as President at Builders Initiative . He also serves as Treasurer of the Board of Directors at PATH. He also served as a Global Director of Renewable Energy at The Nature Conservancy. He also serves as a President at Builders Vision. He served as a Board Member, President of The Builders Initiative, Board Treasurer, Finance Committee Chair &amp; Member of the Executive Committee and Compensation Committee at Path (Drug Discovery). Before joining TBI, he was President and CEO of the Greater Washington Community Foundation in Washington DC; the Head of Global Philanthropy and Chief Executive Officer of the JPMorgan Chase Foundation, and the President and CEO of TechnoServe, a nonprofit organization that works with people in the developing world to build competitive farms, businesses, and industries. Before joining TechnoServe, he was a senior executive/founder in technology start-ups, an investment banker at Morgan Stanley, and a management consultant at McKinsey &amp; Company. He was also a White House Fellow at the National Economic Council and a Peace Corps Volunteer in Paraguay. He serves on the Board of several international nonprofits, including PATH and the MasterCard Foundation. He has a bachelor's degree from Harvard and a joint law degree and master's degree in business administration from Stanford.</t>
  </si>
  <si>
    <t>+1 (479) 464-1570</t>
  </si>
  <si>
    <t>bruce@buildersinitiative.org</t>
  </si>
  <si>
    <t>Builders Initiative (Chicago)</t>
  </si>
  <si>
    <t>309909-07P</t>
  </si>
  <si>
    <t>James Lindsay</t>
  </si>
  <si>
    <t>Mr. James Lindsay serves as Director of investments at Builders Vision. He serves as Vice President, Investments at Builders Initiative. In his role, his expertise centers around reimagining ways to make impactful investments instead of more conventional models in both public and private markets. He also serves as a Board Member at Pacific Hybreed. He leads an investment vehicle focused on the energy transition &amp; climate justice, in addition to co-leading a key effort to promote innovative funding in the ocean space. Both platforms attempt to provide innovative solutions and invest in emerging venture capital and private equity fund managers, accelerators, and emerging start-ups. Additionally, he supports the investing activity of the Builders Initiative endowment. He has over 13 years of cross-industry experience with investing, operations, and in-house mergers and acquisitions. Previously, he worked extensively as a geophysicist in the oil and gas industry. He engineered multiple capital campaigns and orchestrated over $18 billion in acquisitions and high-profile projects for public and private entities. He was also a founding member of two startups in the sector and lived the journey of scaling and exiting a venture, including a $900 million exit. He is the Vice Chairman of the Board of Directors at Africa Bridge, a nonprofit focused on building sustainable agricultural co-ops in rural Tanzania. He earned a master's degree in business administration from the Booth School of Business at the University of Chicago, a master's in geophysical engineering from the University of Louisiana, and a bachelor's degree from McMaster University in Hamilton, Ontario.</t>
  </si>
  <si>
    <t>jlindsay@buildersvision.com</t>
  </si>
  <si>
    <t>CA</t>
  </si>
  <si>
    <t>Director of Investments, Builders Initiative</t>
  </si>
  <si>
    <t>441357-76P</t>
  </si>
  <si>
    <t>Jocelyn Kainer</t>
  </si>
  <si>
    <t>Jocelyn</t>
  </si>
  <si>
    <t>Kainer</t>
  </si>
  <si>
    <t>Mr. Jocelyn Kainer serves as Director at Builders Vision. In this role, she provides strategic administrative support, including scheduling meetings, booking travel, conducting research, planning events, proactive problem solving, and communicating expectations. Prior to joining Builders Vision in May 2019, she served as an Administrative Assistant on-site at Goldman Sachs, supporting a department of 130+ employees. She received a bachelor's degree in Business Administration with a minor in Art from St. Norbert College. She recently graduated from Loyola University Chicago - School of Continuing and Professional Studies, where she received a Corporate Practice Certificate in Paralegal Studies.</t>
  </si>
  <si>
    <t>jkainer@buildersvision.com</t>
  </si>
  <si>
    <t>210 North Carpenter Street</t>
  </si>
  <si>
    <t>Suite 800</t>
  </si>
  <si>
    <t>Director of Office Operations &amp; Executive Assistant to President &amp; COO</t>
  </si>
  <si>
    <t>278836-21P</t>
  </si>
  <si>
    <t>Karishma Desouza</t>
  </si>
  <si>
    <t>Karishma</t>
  </si>
  <si>
    <t>Desouza</t>
  </si>
  <si>
    <t>Ms. Karishma Desouza serves as Chief Financial Officer at Builders Vision. She manages all aspects of budgeting, cash flow management, financial analysis, and reporting. She also helps facilitate appropriate capital spending across teams and multi-year capital forecasting for organizational and tax planning purposes. Before Builders Vision, she spent over 11 years in the Assurance practice of Ernst &amp; Young LLP serving clients in the wealth and asset management industry. She participated in all aspects of strategy, execution, and conclusion of financial statement audits, including reviewing the application of new accounting standards and performing financial statement reviews by the U.S. generally accepted accounting principles (GAAP). She also managed the budgets and staffing of her engagements. Additionally, she was actively involved in the learning and development initiatives and the diversity and inclusion efforts across the firm. She currently serves on the Board for Global Garden Refugee Training Farm, an urban farm in Chicago's Albany Park neighborhood, and is a member of Upwardly Global's Leadership Council - a non-profit with a mission to eliminate employment barriers for skilled immigrants and refugees. She received a bachelor's degree in commerce and a master's degree in accounting from the University of Virginia and is a Certified Public Accountant licensed in Illinois.</t>
  </si>
  <si>
    <t>+1 (312) 605-1121</t>
  </si>
  <si>
    <t>kdesouza@buildersvision.com</t>
  </si>
  <si>
    <t>155569-06P</t>
  </si>
  <si>
    <t>Kimberly Burris</t>
  </si>
  <si>
    <t>Burris</t>
  </si>
  <si>
    <t>Ms. Kimberly Burris serves as Chief People Officer at Builders Vision. She Co-Founded and served as Managing Partner at Positivity. She is a key driver of the impact platform's culture, commitment to DE&amp;I, and strategy for attracting, retaining, and developing talent who want to change the world. In addition to overseeing all of Builders Vision's HR initiatives, she advises portfolio companies and the grantee community on talent strategy, team building, and organizational effectiveness. She has over 15 years of experience as a leadership and talent advisor, most recently overseeing the North American private equity advisory practice for a leading global executive search firm. Earlier in her career, she co-founded and led Positivity, an innovative company providing coaching, change management, and culture-building programs. She began her professional journey in investment banking before pursuing her passion for helping individuals and organizations thrive. She received her undergraduate degree from Yale University and her graduate degree in industrial and organizational psychology from Illinois Institute of Technology, where she did research in leadership, mindfulness, conflict management, and diversity.</t>
  </si>
  <si>
    <t>kburris@buildersvision.com</t>
  </si>
  <si>
    <t>303744-34P</t>
  </si>
  <si>
    <t>Lisa Forbes</t>
  </si>
  <si>
    <t>Forbes</t>
  </si>
  <si>
    <t>Mr. Lisa Forbes serves as General Counsel at Builders Vision. She is a member of the Builders Vision Leadership Team and oversees legal and compliance for the Builders Vision ecosystem, including Builders Asset Management, Builders Private Capital, and Builders Initiative. Before joining Builders Vision, Lisa served as Senior Corporate Counsel for Uptake Technologies, a technology company focused on predictive analytics and machine learning. Prior to joining Uptake, Lisa was General Counsel and Chief Compliance Officer at Sheffield Asset Management, a Chicago-based hedge fund. She also previously served as Managing Director and Deputy General Counsel of Deerfield Capital Management, an alternative investment manager primarily focused on structured finance and securitizations. Lisa started her legal career as a corporate associate in the Chicago office of Skadden. Lisa graduated from Indiana University with a bachelor's degree in political science and obtained her law degree from Harvard Law School.</t>
  </si>
  <si>
    <t>lforbes@buildersvision.com</t>
  </si>
  <si>
    <t>74224-72P</t>
  </si>
  <si>
    <t>Lisa Montez JD</t>
  </si>
  <si>
    <t>Montez</t>
  </si>
  <si>
    <t>Ms. Lisa Montez served as General Counsel at The Walton Family Foundation. She also serves as Senior Counsel of Philanthropy &amp; Impact Investments at Builders Vision. In this role, she guides the foundation's use of philanthropic tools to maximize social impact and provides advice on a wide range of legal matters, including compliance with the laws and regulations applicable to private foundations, formulation of governance and compliance policies, advising program staff concerning grantmaking, and other general corporate and transactional matters. Before joining the foundation, she spent 10 years at the John D. and Catherine T. MacArthur Foundation, most recently serving as its deputy general counsel and assistant secretary. In that role, she assisted the general counsel and secretary in providing advice and counsel on compliance with nonprofit tax laws and regulations, corporate and board governance matters, and grants and impact investments in nonprofit and for-profit U.S. and non-U.S. organizations. She also coordinated the foundation's pro bono counsel network. She is a graduate of Rice University and the University of Texas School of Law.</t>
  </si>
  <si>
    <t>lmontez@buildersvision.com</t>
  </si>
  <si>
    <t>Senior Counsel of Philanthropy &amp; Impact Investments</t>
  </si>
  <si>
    <t>259574-32P</t>
  </si>
  <si>
    <t>Lukas Walton</t>
  </si>
  <si>
    <t>Walton</t>
  </si>
  <si>
    <t>Mr. Lukas Walton is the Founder and serves as Chief Executive Officer at Builders Vision. Mr. Walton served as Co-President at Builders Initiative. His educational journey was rooted in hands-on learning from his community and environment. He has traveled and lived all over the world including Thailand and Mexico. He attended Colorado College where he majored in environmental science and economics and went on to study energy efficiency and hydrological and geothermal energy in Reykjavik, Iceland. His experiences have given him a lifelong sense of respect for the power of nature, food, and health. He is the grandson of Helen and Sam Walton, founders of the Walton Family Foundation and Walmart. In addition to his work at Builders Vision, he serves as Chair of the Environmental Committee of the Walton Family Foundation and Chair of the Walton Conservation Coalition, where he brings a forward-thinking perspective on how the public and private sectors can help achieve environmental goals.</t>
  </si>
  <si>
    <t>lukas@buildersvision.com</t>
  </si>
  <si>
    <t>Founder and Chief Executive Officer</t>
  </si>
  <si>
    <t>107718-31P</t>
  </si>
  <si>
    <t>Matt Knott</t>
  </si>
  <si>
    <t>Chief Operating Officer &amp; President</t>
  </si>
  <si>
    <t>Mr. Matt Knott serves as Chief Operating Officer at Builders Vision. Mr. Knott served as President at Feeding America. Mr. Knott has primary accountability for developing a strong and effective national network of food banks and food rescue organizations. He works to understand member needs and shape national office support to meet those needs in ways that help Feeding America members successfully operationalize national strategies at a local level. His responsibilities include network governance, member relations, national program development, member grants, contract compliance, food safety, network analytics and information technology. He also oversees operations, including supply chain and logistics strategy development and implementation. In his role as President, Knott is focused on mobilizing the Feeding America network in pursuit of common goals and strategies, and strengthening the network through member engagement, best practice sharing, capacity building and performance management. Knott has served as President of Feeding America since June of 2013 and also served two terms as Interim CEO from August through December of 2012 and from May through September of 2015. Knott joined Feeding America in June, 2008 as Vice President of Planning. He was promoted to Senior Vice President of Planning and Analysis in February, 2010, and named Chief Operating Officer in May, 2011. As COO, Knott led the development of the national strategic plan and worked with the CEO and Board of Directors to establish organizational outcomes and to monitor and manage progress toward them. Prior to joining Feeding America, Knott spent 12 years at PepsiCo where he was most recently Vice President of Marketing for Gatorade. His career with PepsiCo also encompassed financial analysis and brand management roles, with responsibility for strategy formation, performance assessment, advertising and communications, new product development and innovation on other well-known brands including Tropicana, Quaker Cereals, and Propel Fitness Water. Knott began his career with Arthur Andersen as a financial consultant, providing analysis and advice to public and private institutions in areas such as government contract consulting, litigation support, and turnaround consulting. He earned his undergraduate degree in Finance from the University of Notre Dame and holds a Master's degree in Management from the Kellogg Graduate School at Northwestern University.</t>
  </si>
  <si>
    <t>mknott@buildersvision.com</t>
  </si>
  <si>
    <t>285780-34P</t>
  </si>
  <si>
    <t>Miranda O'Connell JD</t>
  </si>
  <si>
    <t>Miranda</t>
  </si>
  <si>
    <t>Ms. Miranda O'Connell serves as Senior Counsel, Impact Investments at Builders Vision. She served as a Partner at Morgan Lewis. Is a private investment fund partner, co-leader of the ESG &amp; Sustainability working group, and office managing partner of the firm's San Francisco office. Her practice focuses on fund formation and investor side representation for clients such as funds of funds, private foundations, public charities, family offices, social impact entrepreneurs, pension plans, and other institutional investors in a variety of structures including private equity funds, co-investment funds, venture funds, captive funds, separate accounts, and other customized private finance options. She advises social impact entrepreneurs, private foundations, and public charities on a range of social impact investments including program-related investments, mission-related investments, and innovative investment vehicles and structures including social impact funds and debt and equity investments. She graduated from the University of Colorado Boulder with a bachelor's degree in economics and international relations and obtained her law degree from UC Hastings Law in San Francisco.</t>
  </si>
  <si>
    <t>+1 (415) 442-1118</t>
  </si>
  <si>
    <t>mlindl-o-connell@buildersvision.com</t>
  </si>
  <si>
    <t>+1 (415) 442-1001</t>
  </si>
  <si>
    <t>Senior Counsel, Impact Investments</t>
  </si>
  <si>
    <t>312402-34P</t>
  </si>
  <si>
    <t>Noelle Laing</t>
  </si>
  <si>
    <t>Noelle</t>
  </si>
  <si>
    <t>Laing</t>
  </si>
  <si>
    <t>Ms. Noelle Laing serves as Co-Chief Investment Officer at Builders Initiative (Chicago). Ms. Laing serves as Chief Investment Officer at Builders Private Capital. She also serves as a Chief Investment Officer at Builders Vision. She also serves as a Board Member at Evergreen Climate Innovations. Previously, she was a managing director at Cambridge Associates. While there, she worked with institutional and family clients and helped develop and execute mission-related and impact investing programs and portfolios. After crafting a niche expertise, her industry knowledge and thought leadership related to asset classes and impact themes are highly regarded. She is a frequent speaker and panelist on impact investing topics. In addition to working with dozens of institutional investors and family offices throughout her years at Cambridge Associates, she also worked directly in the investment offices of the American Red Cross and at Taft Hartley Pension Plan. She is a CFA charter holder and earned a bachelor's degree with honors in mathematics from St. Lawrence University in Canton, New York. After college, she traded rural, upstate New York for city life.</t>
  </si>
  <si>
    <t>noelle@buildersinitiative.org</t>
  </si>
  <si>
    <t>Co-Chief Investment Officer</t>
  </si>
  <si>
    <t>384523-39P</t>
  </si>
  <si>
    <t>Sara Balawajder</t>
  </si>
  <si>
    <t>Sara</t>
  </si>
  <si>
    <t>Balawajder</t>
  </si>
  <si>
    <t>Ms. Sara Balawajder serves as Director of Investments at Builders Vision. She serves as Investment Director at Builders Initiative. She also leads impact investments for the Donor Advised Funds, seeking out under-represented emerging fund managers dedicated to impact. She oversees investments for the Firm's impact-first sustainable food and agriculture portfolio. Previously, she worked at Hall Capital Partners and helped manage global, diversified portfolios for ultra-high-net-worth families, endowments, and foundations. She holds a Master's Degree in Business Administration from the Kellogg School of Management at Northwestern University and a bachelor's degree from Colgate University.</t>
  </si>
  <si>
    <t>sbalawajder@buildersvision.com</t>
  </si>
  <si>
    <t>278835-85P</t>
  </si>
  <si>
    <t>Sarah Walczewski</t>
  </si>
  <si>
    <t>Walczewski</t>
  </si>
  <si>
    <t>Ms. Sarah Walczewski serves as Head of Strategy Integration &amp; Special Projects at Builders Vision. She leads the growth and development of internal capabilities and drives strategic initiatives to support the firm's overall objectives. In this role, she leads cross-organizational strategy development, supports the leadership team in the annual planning process, engages in impact measurement and management design and execution, and facilitates the development of new capabilities. She has more than 10 years of experience in consulting and strategy, most recently in Deloitte Consulting's strategy and operations practice. Prior to this, Sarah helped launch the sustainability advisory practice at a retail industry trade association, where she helped support retailers who were working to incorporate sustainability considerations into their operations. She received bachelor degrees in economics and English from Beloit College and a master's degree in business administration from the Booth School of Business at the University of Chicago.</t>
  </si>
  <si>
    <t>swalczewski@buildersvision.com</t>
  </si>
  <si>
    <t>Head of Strategy Integration &amp; Special Projects</t>
  </si>
  <si>
    <t>52864-57P</t>
  </si>
  <si>
    <t>Allen Preger</t>
  </si>
  <si>
    <t>Allen</t>
  </si>
  <si>
    <t>Preger</t>
  </si>
  <si>
    <t>Building Ventures</t>
  </si>
  <si>
    <t>Mr. Allen Preger serves as a Partner at Building Ventures. Previously, he co-founded Newforma, and as the Chief Product Officer led the design, validation, and product management of Newforma's project information management solution since co-founding the company. He led the team that built the industry's leading AEC Project Information Management solution. He then spent 3+ years in London as VP of Global Strategy to help establish Newforma as the market leader in the UK and launch the localization effort for market entry to Continental Europe. Prior to Newforma, he was a Product Manager at Autodesk working on the company's first generation of Building Information Modelling (BIM) products. He came to Autodesk through its acquisition of Softdesk, where as Managing Director in Singapore he led the company's expansion into Asia Pacific. He holds a bachelor of science degree in economics and mathematics from Occidental College.</t>
  </si>
  <si>
    <t>allen@buildingventures.com</t>
  </si>
  <si>
    <t>655 Montgomery Street</t>
  </si>
  <si>
    <t>202753-36P</t>
  </si>
  <si>
    <t>Heather Widman</t>
  </si>
  <si>
    <t>Widman</t>
  </si>
  <si>
    <t>Ms. Heather Widman serves as a Partner at Building Ventures. Widman serves as Board Member at Adaptis. She spearheads the firm's investment activities within the real estate and real estate technology community. She has fifteen years of technology and startup operating leadership to the BV investment team. Previously, she led the product, customer, and brand marketing functions at software as a service startup WordStream. She works and resides in Boston. She works with the founding teams at Canoa, Dandelion, en Verid, Envoy, Go contractor, and Join. build, and Join Digital. She is actively involved in the building tech community through organizations including CREtech, Nexus Labs Pro Community, Real Innovation Community, Boston Build Tech, and Women In PropTech. She is also active in the broader venture and startup ecosystem as a member of All Raise. She completed her bachelor's in arts from Boston College and master's in business administration from Washington University.</t>
  </si>
  <si>
    <t>+1 (617) 596-3773</t>
  </si>
  <si>
    <t>heather@buildingventures.com</t>
  </si>
  <si>
    <t>38919-34P</t>
  </si>
  <si>
    <t>Jesse Devitte</t>
  </si>
  <si>
    <t>Devitte</t>
  </si>
  <si>
    <t>Mr. Jesse Devitte serves as Board Member at SmartPM. He serves as Co-Founder and General Partner at Building Ventures. He serves as Board Member at Extracker. He serves as Board Member at Skilit. He serves as Board Member at Assemble Systems and as a Board Observer at EnVerid. He is a Co-Founder and served as Managing Director at Borealis Ventures. He leverages his hands-on operating experience and software industry contacts to source and nurtures exceptional application software opportunities for Borealis. He currently is a Director on the boards of Borealis portfolio companies Envista, Handmark, Newform, and Vico, as well as an observer on the SpaceClaim board. He previously served as a Director on the boards of Borealis Fund I portfolio companies at Last Software and Scribe Software. Prior to co-founding Borealis Ventures, he served as an executive in two public application software companies. He helped grow Softdesk from a New Hampshire start-up to a multinational public company. Serving on the Board of Directors and in a variety of senior positions at Softdesk, he oversaw numerous acquisitions, a successful initial public offering, and the sale of the business in 1996 to Autodesk. While at Autodesk, he led the integration of the two companies and served on the Autodesk executive staff as the Vice President and General Manager of the Architecture, Engineering, and Construction Division. After Autodesk, he advised a number of early-stage companies (Beansprout Networks and ManagedOps.com) and co-founded Handmark (which later became a Borealis portfolio company). He serves on the New England Executive Board of TechNet, the Board of Directors of the New Hampshire Charitable Foundation as well as numerous other non-profit boards, and is a past Chair of the Software Association of New Hampshire and a past director of the New Hampshire High Technology Council. He graduated with Distinction from the Indiana University School of Public and Environmental Affairs.</t>
  </si>
  <si>
    <t>263519-02P</t>
  </si>
  <si>
    <t>Lucas Turner-Owens</t>
  </si>
  <si>
    <t>Turner-Owens</t>
  </si>
  <si>
    <t>Mr. Lucas Turner-Owens serves as Principal at Building Ventures. He serves as Board Member at Bridge (Chicago). He serves as Board Observer at Joist AI. He served as Principal at TMV(Trail Mix Ventures). He previously served as the Fund Manager for the Boston Ujima Project's, Ujima Fund. He holds a BA from Wesleyan University and has completed his MBA at the Georgetown McDonough School of Business.</t>
  </si>
  <si>
    <t>lucas@buildingventures.com</t>
  </si>
  <si>
    <t>35864-65P</t>
  </si>
  <si>
    <t>Matthews Rightmire</t>
  </si>
  <si>
    <t>Matthews</t>
  </si>
  <si>
    <t>Rightmire</t>
  </si>
  <si>
    <t>Mr. Matthews Rightmire serves as Venture Partner at Building Ventures. He served as Managing Director at Borealis Ventures. He served as Board Member at Zippity. He uses the contacts and insights he gained from a decade of building Internet companies in Silicon Valley to lead Borealis' investments in Internet services and mobile content opportunities. He also served as an Advisor at FieldLens. He is currently a Director on the board of Borealis portfolio company Handmark and an observer on the Makeover Solutions board. He previously served on the boards of Borealis Fund I portfolio companies Flurry and Icovia. Matt joined Borealis full-time in 2005 after serving as an advisor to the firm from its inception. Before Borealis, Matt was the COO of Efficient Frontier, a venture-funded marketing services company that applies portfolio optimization techniques from financial markets to the marketplace of online advertising. Partnering with the two technical founders, he served as the initial externally-facing member of the team and assumed responsibility for the company's sales, business development, and operations as it grew to more than 30 employees, brand-name customers (incl. eBay, Amazon, and Yahoo!), and over $10 million in annual revenue. Matt began his Internet career as an early member of the team at Yahoo!, which he joined in 1995 when the company was still pre-revenue with roughly 10 employees. Over the next seven years, he held a variety of product development and business development positions and played a critical role as the company grew to 4000 employees and more than $1 billion in annual revenue. Along the way, Matt managed Yahoo!'s acquisition of three software companies and led the integration of the geographically disparate operations of Broadcast.com, Yahoo!'s largest acquisition at the time. When he left Yahoo! in 2002, Matt was the Vice President and General Manager of Media and Entertainment, one of three business units at the company, where he oversaw 120 employees across every important functional area of the business and was responsible for $100 million in annual revenue. Matt is also a member of the Board of Directors for Grassroot Soccer, a non-profit leading the effort to educate youth in Africa about HIV/AIDS. Matt earned his M.B.A. from the Tuck School of Business at Dartmouth College where he received the Julia Stell Award for leadership. He also received his B.S. in Industrial Engineering from Stanford University.</t>
  </si>
  <si>
    <t>matt@buildingventures.com</t>
  </si>
  <si>
    <t>351499-69P</t>
  </si>
  <si>
    <t>Mayra Soto</t>
  </si>
  <si>
    <t>Mayra</t>
  </si>
  <si>
    <t>Soto</t>
  </si>
  <si>
    <t>Ms. Mayra Soto serves as Senior Associate at Building Ventures. She focuses on early-stage startups in the construction tech space at different stages of the project lifecycle. Having grown up in a construction family, she learned from a very early age the different challenges of the industry. She began her career in construction as a control project manager at commercial and mining projects, where she was able to apply lean construction concepts and work with different construction software, including BIM tools. With this background, she brings to Building Ventures key insights from the field and a deep understanding of the different stakeholders in the industry. Prior to joining Building Ventures, she worked as strategy lead at Stanley X, the innovation division of Stanley Black and Decker. During her tenure, she contributed to shaping the construction technology strategy of Stanley Black and Decker, working across multidisciplinary teams and C-level focusing on investment, acquisition, and partnerships. Previously, She was the head of product at HoloBuilder (acquired by Faro Technologies in 2021). She joined HoloBuilder pre-seed and helped build the product from zero to one. During her time at HoloBuilder, she was able to learn and apply different technologies-including virtual reality, augmented reality, artificial intelligence, and robotics solve different construction challenges. Having been a part of a successful early-stage startup, she shares her insights with Building Ventures portfolio companies. She also is an active member of Women in VC and Peruvians in Silicon Valley, where she volunteers as chair of their annual event, Techsuyo. She has also participated as a mentor at Techstars and as a product management coach at the UC Berkeley Executive Education Program. She holds a B.S. in Civil Engineering from the Pontifical Catholic University of Peru and completed a Master's in Business Administration at Hult Business School.</t>
  </si>
  <si>
    <t>mayra@buildingventures.com</t>
  </si>
  <si>
    <t>13151-71P</t>
  </si>
  <si>
    <t>Travis Connors</t>
  </si>
  <si>
    <t>Connors</t>
  </si>
  <si>
    <t>Mr. Travis Connors is a Co-Founder &amp; serves as a General Partner at Building Ventures. He serves as Board Member at Elephant Energy. He served as a Partner at Borealis Ventures. He served as a Partner at Borealis Ventures. He also served as a Partner at Egan-Managed Capital. He previously served as an Executive Vice President, Strategy and Corporate Development, and Board Member at OwnerIQ. He has been working in the industry for over 15 years. Prior to Building Ventures, he joined Borealis Ventures as a member of the Built Environment Investment Team in 2016. Prior to Borealis Ventures, he was a Partner at Egan-Managed Capital, an early-stage venture capital firm. He served as a Board Member at Newmetrix. He partnered with more than 15 founding teams across the software and internet landscape. He also serves as a Board Member at Join. He serves as a Board Member at Envoy. He graduated from Connecticut College in 1993 and received an MBA from Columbia in 2000.</t>
  </si>
  <si>
    <t>travis@buildingventures.com</t>
  </si>
  <si>
    <t>238397-86P</t>
  </si>
  <si>
    <t>Alex Behar</t>
  </si>
  <si>
    <t>Behar</t>
  </si>
  <si>
    <t>Buoyant Ventures</t>
  </si>
  <si>
    <t>Mr. Alex Behar serves as Partner at Buoyant Ventures. Mr. Behar serves as a Board Member at Sunairio. He served as Vice President of sustainability at Sandbox Industries. He serves as a Board Observer at HData. Previously a Manager at Monitor Deloitte in South Africa where he worked on strategy and innovation projects focused on agriculture and energy. He completed an MBA from INSEAD and an MA in Economics from the University of Cape Town.</t>
  </si>
  <si>
    <t>+1 (216) 468-1334</t>
  </si>
  <si>
    <t>alex@buoyant.vc</t>
  </si>
  <si>
    <t>28368-10P</t>
  </si>
  <si>
    <t>Amy Francetic</t>
  </si>
  <si>
    <t>Francetic</t>
  </si>
  <si>
    <t>Founder &amp; Managing General Partner</t>
  </si>
  <si>
    <t>Ms. Amy Francetic is a Co-Founder and serves as Managing General Partner at Buoyant Ventures. She serves as a Board Member at Ocient. She also serves as Board Chairwoman at Evergreen Climate Innovations. She serves as a Board Member at Beni. Previously, she served as Senior Vice President, New Ventures &amp; Corporate Affairs at Invenergy. She founded and served as Managing Director at Invention Bridge and co-founded and served as Chief Executive Officer at Zowie Intertainment. She also served as a Board Member at Aquilon Network and Aurora Solar and Board Observer at Stryde Technologies, SparkCognition, and NuMat Technologies. She also served as Managing Director at Energize Ventures and Investment professional at MVC Capital. She holds a BA in Psychology and Political Science from Stanford University.</t>
  </si>
  <si>
    <t>+1 (847) 899-2225</t>
  </si>
  <si>
    <t>amy@buoyant.vc</t>
  </si>
  <si>
    <t>344121-67P</t>
  </si>
  <si>
    <t>Laura Dyer</t>
  </si>
  <si>
    <t>Ms. Laura Dyer serves as Partner at Buoyant Ventures.</t>
  </si>
  <si>
    <t>laura@buoyant.vc</t>
  </si>
  <si>
    <t>191811-52P</t>
  </si>
  <si>
    <t>Lori DeLuca</t>
  </si>
  <si>
    <t>DeLuca</t>
  </si>
  <si>
    <t>Ms. Lori DeLuca serves as the Chief Financial Officer at Chingona Ventures. She also serves as the Chief Financial Officer at Buoyant Ventures. Ms. DeLuca served as Finance Manager at Energize Ventures. Ms. DeLuca also serves as a Fund Accountant at First Leaf Capital. She has more than 20 years of experience in accounting for both public and private companies in the venture capital, power, real estate, and retail industries. As a self-employed finance professional, she offers services such as part-time CFO, fund administration, auditing, and accounting support to her clients. She currently serves as CFO for Energize Ventures. Before going independent in 2019, she served as Controller and VP - Accounting at Invenergy, a renewable energy company located in Chicago, where she was responsible for the accounting, financial reporting, and settlements departments. Prior to joining Invenergy in 2009, she was a Senior Manager in the Chicago audit practice at Deloitte. She is a Certified Public Accountant and earned a Bachelor of Business Administration degree in Accounting and a Master of Science degree in Accounting from Texas A&amp;M University.</t>
  </si>
  <si>
    <t>+1 (312) 834-3213</t>
  </si>
  <si>
    <t>lori@delucafinancialservices.com</t>
  </si>
  <si>
    <t>171 North Aberdeen Street, 400</t>
  </si>
  <si>
    <t>Chingona Ventures</t>
  </si>
  <si>
    <t>201377-71P</t>
  </si>
  <si>
    <t>Christopher Drew</t>
  </si>
  <si>
    <t>Burnham Holdings</t>
  </si>
  <si>
    <t>Mr. Christopher Drew serves as President &amp; Chief Executive Officer at Burnham Holdings. He was appointed as President and CEO in 2023 after previously serving as President and COO of Burnham Holdings since 2019 and as a Director of the Company since September 2014. He has been affiliated with the Burnham Holdings organization since 1989. During his time with the company, he has held senior leadership positions with multiple company subsidiaries encompassing both the commercial and residential markets. He is active within the HVAC industry on regulatory and government affairs issues. He is a Past Chairman of the Air-Conditioning, Heating and Refrigeration Institute (AHRI), one of the largest trade associations in the United States, and the primary trade association serving the HVAC industry globally. Additionally, he is on the board of the Economic Development Company(EDC) of Lancaster, PA, and sits on the Lancaster Chamber of Commerce and Industry Advocacy Committee. He holds a BA degree from Dartmouth College and an MBA degree from New York University.</t>
  </si>
  <si>
    <t>+1 (717) 390-7800</t>
  </si>
  <si>
    <t>cdrew@burnhamholdings.com</t>
  </si>
  <si>
    <t>Lancaster, PA</t>
  </si>
  <si>
    <t>1241 Harrisburg Pike</t>
  </si>
  <si>
    <t>17604</t>
  </si>
  <si>
    <t>+1 (717) 293-5816</t>
  </si>
  <si>
    <t>310700-26P</t>
  </si>
  <si>
    <t>Nicholas Ribich</t>
  </si>
  <si>
    <t>Ribich</t>
  </si>
  <si>
    <t>Mr. Nicholas Ribich serves as Chief Financial Officer, Vice President &amp; Secretary at Burnham Holdings. He joined the Company after serving in a number of financial management positions with Harley-Davidson, Johnson Controls, and Arthur Andersen. He holds a BBA from the University of Wisconsin-Milwaukee and is a Certified Public Accountant.</t>
  </si>
  <si>
    <t>+1 (717) 390-7812</t>
  </si>
  <si>
    <t>nribich@burnhamholdings.com</t>
  </si>
  <si>
    <t>+1 (717) 390-7852</t>
  </si>
  <si>
    <t>Chief Financial Officer, Vice President &amp; Secretary</t>
  </si>
  <si>
    <t>402253-21P</t>
  </si>
  <si>
    <t>Paul Spradling</t>
  </si>
  <si>
    <t>Spradling</t>
  </si>
  <si>
    <t>Mr. Paul Spradling serves as Vice President, Operations at Burnham Holdings. He joined Burnham in February of 1995 and has served in leadership positions in Ohio and Pennsylvania. Most recently he has served as the President of US Boiler since January of 2009. His leadership at US Boiler has helped push it to new levels of success. Before that, he was the President of Casting Solutions starting in January of 2002. He holds a Bachelor of Science degree in Electronics Engineering Technology from the West Virginia Institute of Technology. He serves as a past trustee of the Ohio Cast Metals Association and is active with the AHRI Statistics Committee.</t>
  </si>
  <si>
    <t>pspradling@burnhamholdings.com</t>
  </si>
  <si>
    <t>94790-71P</t>
  </si>
  <si>
    <t>Christine Boyle Ph.D</t>
  </si>
  <si>
    <t>Boyle</t>
  </si>
  <si>
    <t>Burnt Island Ventures</t>
  </si>
  <si>
    <t>Dr. Christine Boyle serves as a Partner at Burnt Island Ventures. She serves as a Board Member at LAIIER. She founded and served as Chief Executive Officer, and Board Member at Valor Water Analytics. She has over 10 years in the water sector with a focus on decision support analytics for utilities and companies. She received a doctorate in water resource planning from the University of North Carolina at Chapel Hill in 2011, during which time she led a team at the university's Environmental Finance Center on a multiyear study of water utility data analytics for the state's Urban Water Consortium. She has advised the national governments of China and the Maldives on national water policy in her role as a World Bank consultant. She has also worked with water utilities nationwide and multiple Fortune 500 companies on crafting water strategies that achieve both water resource and financial sustainability goals.</t>
  </si>
  <si>
    <t>+1 (617) 233-8996</t>
  </si>
  <si>
    <t>christine@burntislandventures.com</t>
  </si>
  <si>
    <t>51188-77P</t>
  </si>
  <si>
    <t>Colleen Calhoun</t>
  </si>
  <si>
    <t>Calhoun</t>
  </si>
  <si>
    <t>Ms. Colleen Calhoun serves as an Operating Partner at Engine Ventures. She served as a Board Member at Quaise. She serves as an Advisor at Burnt Island Ventures. She served as a Board Member at Evergreen Climate Innovations. She served as Chief Marketing &amp; Business Development Officer at GE Current. She served as Senior Executive Director of Energy Ventures at GE Ventures. She is a leader in energy investing, focusing on investing in and scaling start-up energy businesses inside and outside of GE. She works closely with GE's global research center, power and water, oil and gas, energy management, and transportation businesses to help drive a GE point of view for strategy, venture investment, and scaling with start-ups in spaces ranging from energy storage to solar. She holds a BS in Chemical Engineering from the University of Pennsylvania and an MBA in Finance from the University of Michigan (Ross).</t>
  </si>
  <si>
    <t>+1 (248) 352-8677</t>
  </si>
  <si>
    <t>colleen@engineventures.com</t>
  </si>
  <si>
    <t>750 Main Street</t>
  </si>
  <si>
    <t>Engine Ventures</t>
  </si>
  <si>
    <t>338850-64P</t>
  </si>
  <si>
    <t>David Stanton</t>
  </si>
  <si>
    <t>Stanton</t>
  </si>
  <si>
    <t>Mr. David Stanton serves as a Board Member at KloudGin. He serves as an Advisor at Burnt Island Ventures. He has over 27 years of experience in the water and environmental industries in the U.S. and abroad. He served as CEO of SUEZ Utility Holdings, Inc., responsible for overseeing the third-largest portfolio of regulated water and wastewater businesses in the nation. Before Suez, He led the growth and improvement of water and environmental service companies. He served as chief executive officer and member of the board of APTwater, a start-up company focused on the reuse of difficult-to-treat water. As chief operating officer and interim chief financial officer of SouthWest Water where he helped lead the company through a turnaround that ended in a sale to a private equity company. As executive vice president and Interim CFO of EarthTech, a Tyco Company focused on environmental and infrastructure projects worldwide, which sold to AECOM. He launched his water career in 1990 with a startup company which was acquired by Wheelabrator Technologies and now is an integral part of Evoqua, Inc.</t>
  </si>
  <si>
    <t>KloudGin (Former)</t>
  </si>
  <si>
    <t>66020-23P</t>
  </si>
  <si>
    <t>Debra Coy</t>
  </si>
  <si>
    <t>Debra</t>
  </si>
  <si>
    <t>Coy</t>
  </si>
  <si>
    <t>Ms. Debra Coy serves as an Advisor at XPV Water Partners. She serves as an Advisor at Burnt Island Ventures. She serves as a Board Member at AquaVenture Holdings, Solaris Water Midstream, and Axius Water. She provides consulting services for investors and companies in the water sector. Joining utility regulatory expert David Svanda, she launched her independent consulting business in 2010 after 20 years as a research analyst covering the water industry for Wall Street firms. Most recently, she worked as Managing Director and Senior Analyst, leading coverage of the water sector for Janney Montgomery Scott's Capital Markets group. Before Janney, Ms. Coy was an equity research analyst with the Stanford Washington Research Group, Schwab Capital Markets, HSBC Securities, and NatWest Securities. Based in Washington, D.C., Ms. Coy has worked in investment research since 1989, creating a unique franchise and expertise in covering the global water sector for investors. She has been responsible for running the leading water conference on Wall Street for more than a decade; the most recent Water Industry Summit in New York drew approximately 300 attendees, comprised of top industry executives and institutional investors. Ms. Coy was named a Financial Times/Starmine "Best Brokerage Analyst" in 2008 and 2009 for her U.S. water utilities coverage. She is a frequent speaker at industry events, has appeared on CNBC, PBS's Wall Street Week, and other investment broadcasts, and is regularly quoted in financial and industry publications on water sector stocks and issues. She has testified on Capitol Hill on water infrastructure financing and currently serves as a member of the Water Environment Federation's Global Water Strategies Council and the Clean Water America Alliance's National Dialogue on integrated water policy. Ms. Coy holds an undergraduate degree in English literature and received an M.A. in Journalism from the University of Maryland.</t>
  </si>
  <si>
    <t>+1 (416) 864-0475</t>
  </si>
  <si>
    <t>debra@xpvwaterpartners.com</t>
  </si>
  <si>
    <t>26 Wellington Street East</t>
  </si>
  <si>
    <t>M5E 1S2</t>
  </si>
  <si>
    <t>+1 (416) 864-0514</t>
  </si>
  <si>
    <t>XPV Water Partners</t>
  </si>
  <si>
    <t>363877-03P</t>
  </si>
  <si>
    <t>Jennie Graham</t>
  </si>
  <si>
    <t>Jennie</t>
  </si>
  <si>
    <t>Ms. Jennie Graham serves as Investment Associate at Burnt Island Ventures. She holds a BA from the University of Oxford and MBA from Duke University, where she was a Fulbright Scholar.</t>
  </si>
  <si>
    <t>jennie@burntislandventures.com</t>
  </si>
  <si>
    <t>305001-37P</t>
  </si>
  <si>
    <t>Marissa Sterling JD</t>
  </si>
  <si>
    <t>Marissa</t>
  </si>
  <si>
    <t>Sterling</t>
  </si>
  <si>
    <t>Ms. Marissa Sterling serves as Platform Associate at Burnt Island Ventures. She graduated with a dual BA in Sustainable Development from Columbia University and Jewish Ethics from The Jewish Theological Seminary of America, followed by an MPA from Columbia, a JD from Georgetown Law and a Master in Economic Law from Sciences Po - Paris.</t>
  </si>
  <si>
    <t>+1 (378) 376-2923</t>
  </si>
  <si>
    <t>marissa@burntislandventures.com</t>
  </si>
  <si>
    <t>Platform Associate</t>
  </si>
  <si>
    <t>306981-82P</t>
  </si>
  <si>
    <t>Nimesh Modak</t>
  </si>
  <si>
    <t>Nimesh</t>
  </si>
  <si>
    <t>Modak</t>
  </si>
  <si>
    <t>Mr. Nimesh Modak serves as Managing Director, of Asia at Imagine H2O. He serves as an Advisor at Burnt Island Ventures. Since 2015, he has served as a startup advisor for Imagine H2O portfolio companies and led the organization's global program development. Before Imagine H2O, he worked with economic consulting firm, Nathan Associates Inc. (Singapore &amp; Washington, DC), and more recently worked in strategy and operational roles with Danone's Sustainable Development team and WaterHealth Ghana Ltd. He holds an MBA from the Wharton School at the University of Pennsylvania and a MPA from Harvard Kennedy School of Government.</t>
  </si>
  <si>
    <t>nimesh@imagineh2o.org</t>
  </si>
  <si>
    <t>Singapore Water Exchange</t>
  </si>
  <si>
    <t>84 Toh Guan Road East</t>
  </si>
  <si>
    <t>608501</t>
  </si>
  <si>
    <t>Managing Director, Asia</t>
  </si>
  <si>
    <t>Imagine H2O</t>
  </si>
  <si>
    <t>214299-01P</t>
  </si>
  <si>
    <t>Paul Hauffen</t>
  </si>
  <si>
    <t>Hauffen</t>
  </si>
  <si>
    <t>Mr. Paul Hauffen serves as Venture Partner at Burnt Island Ventures. Mr. Hauffen served as President and Chief Executive Officer at Sedaru. He started IDModeling as the industry's first dedicated hydraulic modeling company, which became the nexus for what is now Sedaru.</t>
  </si>
  <si>
    <t>79858-54P</t>
  </si>
  <si>
    <t>Steven Kloos Ph.D</t>
  </si>
  <si>
    <t>Kloos</t>
  </si>
  <si>
    <t>Dr. Steven Kloos serves as a Partner at Burnt Island Ventures. He served as Chief Executive Officer at AquaHydrex. He serves as a Partner at True North Venture Partners. He also serves as a board member at Synata Bio, Flocean and at Nanostone Water. He also serves on the ImagineH2O Advisory Board and various leadership roles at General Electric in the US and Asia. He holds a BS in Chemistry from the University of Wisconsin and a Ph.D. In Chemistry from North Dakota State University.</t>
  </si>
  <si>
    <t>steven.kloos@truenorthvp.com</t>
  </si>
  <si>
    <t>143237-08P</t>
  </si>
  <si>
    <t>Mr. Thomas Ferguson is the Founder and serves as Managing Partner at Burnt Island Ventures. He serves as a Board Member at HOPE Hydration and Ziptility. He serves as Board Member at Daupler. He serves as Board Member at Aquafortus. Previously, he served as Vice President of Programming at Imagine H2O. He acts as Vice President of Programming for Imagine H2O, developing the accelerator model as well as building out our policy and leadership capabilities as we scale. He comes to us from strategy roles at Project Frog (a San Francisco componentized buildings company) and Tamar Energy (an AD network developer based in London). Prior to business school, he spent three and a half years with ERM, the sustainability consultancy, where he was an engagement manager. He holds an MBA from Harvard Business School and an MA in Politics from Edinburgh University.</t>
  </si>
  <si>
    <t>tom@burntislandventures.com</t>
  </si>
  <si>
    <t>258301-63P</t>
  </si>
  <si>
    <t>Wayne Byrne</t>
  </si>
  <si>
    <t>Byrne</t>
  </si>
  <si>
    <t>Mr. Wayne Byrne serves as Venture Partner at Burnt Island Ventures. He served as Chief Executive Officer and Board Member at Typhon Treatment Systems. In the last 12 years, he has racked up four successful exits in the cleantech space. He has an extensive background in identifying growth accelerators and inhibitors, crafting and executing strategies for expansion, based on innovative ways to win. Strategic Focus is on Resource efficiency, Climate, and Water. He is a strong business development professional</t>
  </si>
  <si>
    <t>wayne@burntislandventures.com</t>
  </si>
  <si>
    <t>132373-90P</t>
  </si>
  <si>
    <t>Chris Cunningham</t>
  </si>
  <si>
    <t>Cunningham</t>
  </si>
  <si>
    <t>C2 Ventures</t>
  </si>
  <si>
    <t>Mr. Chris Cunningham is the Co-Founder and serves as Managing Partner at C2 Ventures. He served as President &amp; Chief Revenue Officer at Unacast. He is a 20-year tech industry veteran and an active tech startup investor via C2 Ventures, which has invested in 17 companies and generated returns trending well ahead of industry averages for funds of the same vintage, with four exits to date. C2 Ventures is an operationally driven venture platform that takes an active role with founders. C2V invests in leading NY/SF venture firms and is also a Limited Partner in Bowery Capital and Tech Stars. He was most recently President of Unacast, where he was the first employee in the U.S. to grow the business from zero revenue to $2MM in ARR within 18 months, which led to raising $20MM in total investment capital. Prior to that, he led U.S. operations as VP at IronSource, now a billion-dollar valuation company on the verge of an IPO. He sold his prior company, appssavvy, the world's first platform focused on monetizing Facebook apps through native advertising, to IronSource. He ran appssavvy for seven years as founder and CEO, and prior to that, he ran commercial efforts for Webs.com, which VistaPrint acquired for $117MM. Over the span of his career, He has been responsible for generating more than $250M in net new ad revenue through new products, and he has succeeded in raising more than $100 million in venture capital while recruiting and growing numerous companies. He graduated from the University of North Carolina Greensboro in 1997 with an Economics degree.</t>
  </si>
  <si>
    <t>+1 (917) 837-3682</t>
  </si>
  <si>
    <t>chris@c2ventures.co</t>
  </si>
  <si>
    <t>Rye</t>
  </si>
  <si>
    <t>Rye, NY</t>
  </si>
  <si>
    <t>450407-71P</t>
  </si>
  <si>
    <t>Jamie Redington</t>
  </si>
  <si>
    <t>Redington</t>
  </si>
  <si>
    <t>Mr. Jamie Redington serves as VC Analyst at C2 Ventures.</t>
  </si>
  <si>
    <t>+1 (617) 827-4554</t>
  </si>
  <si>
    <t>jamie@c2ventures.co</t>
  </si>
  <si>
    <t>99 Warren Street</t>
  </si>
  <si>
    <t>Suite 71</t>
  </si>
  <si>
    <t>VC Analyst</t>
  </si>
  <si>
    <t>219075-76P</t>
  </si>
  <si>
    <t>Matt Olivo</t>
  </si>
  <si>
    <t>Olivo</t>
  </si>
  <si>
    <t>Mr. Matt Olivo is a Co-Founder &amp; serves as a General Partner at C2 Ventures. He serves Board Member at Somatic and Steelhard. He revamped and scaled its credit facilities and led the divesting of its non-performing and non-core assets, leading to its most profitable ever 2-year period. As a General Partner of C2V and its COO &amp; CFO, he has built and oversees the fund's infrastructure and has been an integral part of our investment selection process, leveraging his two-plus decades of experience in evaluating owner-operators of privately held companies as well as applying the deep financial and operational analysis of prospective investments that, while the hallmark of traditional fund management, is exceedingly (and unfortunately) rare in the early-stage venture world. He shares his experience, network, and expertise with our portfolio companies, assisting with financial modeling, capital structure optimization, financial and operational infrastructure building, and growth and cash management strategies. he holds a BA from Colgate University and is a CFA charterholder. He is a member of the CFA Society and New York Society of Security Analysts and would generally instead be skiing or playing the guitar with his two kids.</t>
  </si>
  <si>
    <t>matt@c2ventures.co</t>
  </si>
  <si>
    <t>Greenwich</t>
  </si>
  <si>
    <t>Greenwich, CT</t>
  </si>
  <si>
    <t>71 Arch Street</t>
  </si>
  <si>
    <t>06830</t>
  </si>
  <si>
    <t>441443-35P</t>
  </si>
  <si>
    <t>Aaron Skonecki</t>
  </si>
  <si>
    <t>Skonecki</t>
  </si>
  <si>
    <t>California State Teachers' Retirement System</t>
  </si>
  <si>
    <t>Investment Officer</t>
  </si>
  <si>
    <t>Mr. Aaron Skonecki serves as Investment Officer at California State Teachers' Retirement System.</t>
  </si>
  <si>
    <t>+1 (800) 228-5453</t>
  </si>
  <si>
    <t>askonecki@calstrs.com</t>
  </si>
  <si>
    <t>West Sacramento</t>
  </si>
  <si>
    <t>West Sacramento, CA</t>
  </si>
  <si>
    <t>100 Waterfront Place</t>
  </si>
  <si>
    <t>95605</t>
  </si>
  <si>
    <t>+1 (916) 414-5040</t>
  </si>
  <si>
    <t>415538-92P</t>
  </si>
  <si>
    <t>Adriana Gutierrez</t>
  </si>
  <si>
    <t>Adriana</t>
  </si>
  <si>
    <t>Gutierrez</t>
  </si>
  <si>
    <t>Ms. Adriana Gutierrez serves as Investment Officer at California State Teachers' Retirement System.</t>
  </si>
  <si>
    <t>agutierrez@calstrs.com</t>
  </si>
  <si>
    <t>126152-29P</t>
  </si>
  <si>
    <t>Aeisha Mastagni</t>
  </si>
  <si>
    <t>Aeisha</t>
  </si>
  <si>
    <t>Mastagni</t>
  </si>
  <si>
    <t>Ms. Aeisha Mastagni serves as Senior Portfolio Manager at California State Teachers' Retirement System.</t>
  </si>
  <si>
    <t>amastagni@calstrs.com</t>
  </si>
  <si>
    <t>Sacramento</t>
  </si>
  <si>
    <t>Sacramento, CA</t>
  </si>
  <si>
    <t>P. O. Box 15275</t>
  </si>
  <si>
    <t>95851</t>
  </si>
  <si>
    <t>Senior Portfolio Manager</t>
  </si>
  <si>
    <t>415539-64P</t>
  </si>
  <si>
    <t>Aidan Hunter</t>
  </si>
  <si>
    <t>Aidan</t>
  </si>
  <si>
    <t>Mr. Aidan Hunter serves as an Investment Officer at California State Teachers' Retirement System.</t>
  </si>
  <si>
    <t>ahunter@calstrs.com</t>
  </si>
  <si>
    <t>415540-00P</t>
  </si>
  <si>
    <t>Aishwarya Rangarajan</t>
  </si>
  <si>
    <t>Aishwarya</t>
  </si>
  <si>
    <t>Rangarajan</t>
  </si>
  <si>
    <t>Ms. Aishwarya Rangarajan serves as an Investment Officer at California State Teachers' Retirement System.</t>
  </si>
  <si>
    <t>arangarajan@calstrs.com</t>
  </si>
  <si>
    <t>28396-72P</t>
  </si>
  <si>
    <t>Aizaz Ali</t>
  </si>
  <si>
    <t>Aizaz</t>
  </si>
  <si>
    <t>Mr. Aizaz Ali serves as Portfolio Manager at California State Teachers' Retirement System. Previously, he served as senior investment manager at Abu Dhabi Investment Authority(ADIA). He served as Associate at Alpinvest Partners B.V. He holds a BA (Bachelor of Arts) degree in Finance from Georgetown University.</t>
  </si>
  <si>
    <t>+1 (212) 332-6257</t>
  </si>
  <si>
    <t>aali@calstrs.com</t>
  </si>
  <si>
    <t>415390-33P</t>
  </si>
  <si>
    <t>Albert Yong</t>
  </si>
  <si>
    <t>Mr. Albert Yong serves as Portfolio Manager at California State Teachers' Retirement System.</t>
  </si>
  <si>
    <t>ayong@calstrs.com</t>
  </si>
  <si>
    <t>415553-41P</t>
  </si>
  <si>
    <t>Alex Glaeser</t>
  </si>
  <si>
    <t>Glaeser</t>
  </si>
  <si>
    <t>Mr. Alex Glaeser serves as an Investment Officer at California State Teachers' Retirement System.</t>
  </si>
  <si>
    <t>aglaeser@calstrs.com</t>
  </si>
  <si>
    <t>415559-17P</t>
  </si>
  <si>
    <t>Alicia McClain</t>
  </si>
  <si>
    <t>McClain</t>
  </si>
  <si>
    <t>Ms. Alicia McClain serves as an Investment Officer at California State Teachers' Retirement System.</t>
  </si>
  <si>
    <t>amcclain@calstrs.com</t>
  </si>
  <si>
    <t>415559-98P</t>
  </si>
  <si>
    <t>Alicia Osborn</t>
  </si>
  <si>
    <t>Osborn</t>
  </si>
  <si>
    <t>Ms. Alicia Osborn serves as an Investment Officer at California State Teachers' Retirement System.</t>
  </si>
  <si>
    <t>aosborn@calstrs.com</t>
  </si>
  <si>
    <t>415560-25P</t>
  </si>
  <si>
    <t>Allison Prior</t>
  </si>
  <si>
    <t>Allison</t>
  </si>
  <si>
    <t>Prior</t>
  </si>
  <si>
    <t>Ms. Allison Prior serves as an Investment Officer at California State Teachers' Retirement System.</t>
  </si>
  <si>
    <t>aprior@calstrs.com</t>
  </si>
  <si>
    <t>267242-77P</t>
  </si>
  <si>
    <t>Amanda Coleman</t>
  </si>
  <si>
    <t>Ms. Amanda Coleman serves as Associate Portfolio Manager at California State Teachers' Retirement System. She served as Investment Manager at Ardian. She joined Ardian's Co-Investment team in March 2021. Prior to Ardian, she was an Investment Banking Associate at Goldman Sachs with the Public Sector and Infrastructure Group. Previously, she worked in public markets investing at Salient Partners, and she began her career in sustainable development at the United Nations. She holds a BA from McGill University, an MBA from the Tuck School of Business at Dartmouth, and an MPA from the John F. Kennedy School of Government at Harvard University.</t>
  </si>
  <si>
    <t>acoleman@calstrs.com</t>
  </si>
  <si>
    <t>649 Mission Street, 5th Floor</t>
  </si>
  <si>
    <t>Associate Portfolio Manager</t>
  </si>
  <si>
    <t>415560-88P</t>
  </si>
  <si>
    <t>Anastasiya Kropinova</t>
  </si>
  <si>
    <t>Anastasiya</t>
  </si>
  <si>
    <t>Kropinova</t>
  </si>
  <si>
    <t>Ms. Anastasiya Kropinova serves as an Investment Officer at California State Teachers' Retirement System.</t>
  </si>
  <si>
    <t>akropinova@calstrs.com</t>
  </si>
  <si>
    <t>441424-63P</t>
  </si>
  <si>
    <t>Andrew Feldhuhn</t>
  </si>
  <si>
    <t>Feldhuhn</t>
  </si>
  <si>
    <t>Mr. Andrew Feldhuhn serves as Portfolio Manager at California State Teachers' Retirement System.</t>
  </si>
  <si>
    <t>afeldhuhn@calstrs.com</t>
  </si>
  <si>
    <t>415562-50P</t>
  </si>
  <si>
    <t>Andrey Golub</t>
  </si>
  <si>
    <t>Golub</t>
  </si>
  <si>
    <t>Mr. Andrey Golub serves as an Investment Officer at California State Teachers' Retirement System.</t>
  </si>
  <si>
    <t>agolub@calstrs.com</t>
  </si>
  <si>
    <t>126149-86P</t>
  </si>
  <si>
    <t>Angela Tran</t>
  </si>
  <si>
    <t>Ms. Angela Tran serves as Investment Officer at California State Teachers' Retirement System.</t>
  </si>
  <si>
    <t>atran@calstrs.com</t>
  </si>
  <si>
    <t>126149-41P</t>
  </si>
  <si>
    <t>Anthony Kennedy</t>
  </si>
  <si>
    <t>Mr. Anthony Kennedy serves as Associate Portfolio Manager at California State Teachers' Retirement System.</t>
  </si>
  <si>
    <t>akennedy@calstrs.com</t>
  </si>
  <si>
    <t>415495-72P</t>
  </si>
  <si>
    <t>Anthony Schmitz</t>
  </si>
  <si>
    <t>Mr. Anthony Schmitz serves as Associate Portfolio Manager at California State Teachers' Retirement System.</t>
  </si>
  <si>
    <t>aschmitz@calstrs.com</t>
  </si>
  <si>
    <t>153930-79P</t>
  </si>
  <si>
    <t>April Uyematsu</t>
  </si>
  <si>
    <t>April</t>
  </si>
  <si>
    <t>Uyematsu</t>
  </si>
  <si>
    <t>Ms. April Uyematsu serves as Investment Officer at California State Teachers' Retirement System.</t>
  </si>
  <si>
    <t>auyematsu@calstrs.com</t>
  </si>
  <si>
    <t>142193-71P</t>
  </si>
  <si>
    <t>April Wilcox</t>
  </si>
  <si>
    <t>Ms. April Wilcox serves as Senior Investment Director, previously served as Director of Investment Services at California State Teachers' Retirement System. Prior to this, she served as Director of Operations at California State Teachers' Retirement System.</t>
  </si>
  <si>
    <t>awilcox@calstrs.com</t>
  </si>
  <si>
    <t>415563-04P</t>
  </si>
  <si>
    <t>Arthur Ma</t>
  </si>
  <si>
    <t>Mr. Arthur Ma serves as N Investment Officer at California State Teachers' Retirement System.</t>
  </si>
  <si>
    <t>ama@calstrs.com</t>
  </si>
  <si>
    <t>102099-34P</t>
  </si>
  <si>
    <t>Ashish Jain</t>
  </si>
  <si>
    <t>Mr. Ashish Jain serves as Chief Technology Officer at California State Teachers' Retirement System. Prior to joining CalSTRS, Mr. Jain has served as the deputy chief information officer at the California Correctional Health Care Services (CCHCS), which provides health care services to around 170,000 inmates throughout California's 34 correctional institutions. As the deputy chief information ifficer, Mr. Jain was responsible for overseeing all enterprise healthcare systems architecture and clinical applications, establishing IT governance, policies, and enterprise-wide strategic IT planning. Mr. Jain has over sixteen years as a senior Information Technology (IT) leader in both private and public sectors. With more than eight years' experience serving the State of California; he has held a variety of technical leadership positions with various State agencies including California Public Employees' Retirement System and the Department of General Services. A resident of California for the past fourteen years, Mr. Jain holds a Master of Science degree in Computer Applications as well as a Bachelor of Science degree in Physics, Chemistry and Mathematics. In addition, Mr. Jain is a TOGAF Certified Architect (The Open Group Architecture Framework).</t>
  </si>
  <si>
    <t>ajain@calstrs.com</t>
  </si>
  <si>
    <t>415391-05P</t>
  </si>
  <si>
    <t>Benjamin Wang</t>
  </si>
  <si>
    <t>Mr. Benjamin Wang serves as Portfolio Manager at California State Teachers' Retirement System.</t>
  </si>
  <si>
    <t>bwang@calstrs.com</t>
  </si>
  <si>
    <t>36998-20P</t>
  </si>
  <si>
    <t>Brian Bartow JD</t>
  </si>
  <si>
    <t>Bartow</t>
  </si>
  <si>
    <t>Mr. Brian Bartow serves as General Counsel at California State Teachers' Retirement System. Mr. Bartow has been with CalSTRS since 2008, first as Assistant General Counsel and then as Acting General Counsel. Before that, he was Assistant Chief Counsel for the Department of Social Services. He has also held high-level legal positions at the California Department of Managed Health Care and the California Department of Corporations. He began his legal career in private practice representing healthcare providers in complex transactions and litigation. He also represented major corporate clients and gained substantial experience in corporate, partnership, and business law. Mr. Bartow holds a bachelor's degree in history from UC Riverside and an associate's degree in nursing from Queensborough Community College. He received his Juris Doctorate from the University of California, Davis in 1989 and was admitted to the California Bar the same year.</t>
  </si>
  <si>
    <t>bbartow@calstrs.com</t>
  </si>
  <si>
    <t>79683-13P</t>
  </si>
  <si>
    <t>Brian Rice</t>
  </si>
  <si>
    <t>Mr. Brian Rice serves as Portfolio Manager at California State Teachers' Retirement System.</t>
  </si>
  <si>
    <t>brice@calstrs.com</t>
  </si>
  <si>
    <t>126148-96P</t>
  </si>
  <si>
    <t>Bruce Deutsch</t>
  </si>
  <si>
    <t>Deutsch</t>
  </si>
  <si>
    <t>Mr. Bruce Deutsch serves as Portfolio Manager at California State Teachers' Retirement System.</t>
  </si>
  <si>
    <t>bdeutsch@calstrs.com</t>
  </si>
  <si>
    <t>126148-87P</t>
  </si>
  <si>
    <t>Carlos Maciel</t>
  </si>
  <si>
    <t>Maciel</t>
  </si>
  <si>
    <t>Mr. Carlos Maciel serves as Investment Officer at California State Teachers' Retirement System.</t>
  </si>
  <si>
    <t>cmaciel@calstrs.com</t>
  </si>
  <si>
    <t>14072-86P</t>
  </si>
  <si>
    <t>Carlos Monfiglio</t>
  </si>
  <si>
    <t>Monfiglio</t>
  </si>
  <si>
    <t>Mr. Carlos Monfiglio serves as Portfolio Manager at California State Teachers' Retirement System. He served as a Board Member at EdCast. He served as Managing Director of Private Equity at General Electric Asset Management. He served as a Board Observer at Attivio. He focuses on direct, co-investment, and fund investments across all industry sectors. Prior to GEAM, he founded and ran a wine production and distribution company in San Francisco with operations in Argentina and before that, he was a Principal at TH Lee Putnam Ventures, a venture capital firm, where he led investments in the internet, technology, and media sectors. He previously worked at GE as a corporate audit staff member and later was a member of GE Equity Capital Group. Before GE, he spent several years as a commercial loan officer. He served as a Board Member at TuneSat. He has an undergraduate degree from Fairleigh Dickinson University and an MBA from George Washington University.</t>
  </si>
  <si>
    <t>cmonfiglio@calstrs.com</t>
  </si>
  <si>
    <t>142193-35P</t>
  </si>
  <si>
    <t>Carrie Lo</t>
  </si>
  <si>
    <t>Lo</t>
  </si>
  <si>
    <t>Ms. Carrie Lo serves as Portfolio Manager at California State Teachers' Retirement System.</t>
  </si>
  <si>
    <t>clo@calstrs.com</t>
  </si>
  <si>
    <t>36998-65P</t>
  </si>
  <si>
    <t>Cassandra Lichnock</t>
  </si>
  <si>
    <t>Lichnock</t>
  </si>
  <si>
    <t>Ms. Cassandra Lichnock serves as Chief Executive Officer at California State Teachers' Retirement System. She also served as a chief operating officer from March 2013 until her 2021 appointment as CEO. She also served as the Human Resources Executive Officer and was responsible for CalSTRS human resource strategies, policies, and processes, as well as providing oversight of CalSTRS Strategic Planning Performance Management and the survey, research, and analysis of internal and external stakeholders. Her areas of responsibility include change management, classification and compensation, EEO, employee recognition, labor relations, payroll and benefits, recruitment, selection services, training services, wellness, and workforce planning. She joined CalSTRS in August 2008 as the Director of Human Resources; in November 2009, she was asked to join CalSTRS Executive Management Team, changing her title to Human Resources Executive Officer. Prior to coming to CalSTRS, Ms. Lichnock served as Deputy Director of Human Resources for the California State Lottery with the responsibility of leading and directing the Lottery's Human Resource Programs. She has over 15 years of experience in Human Resource Management and has held a variety of human resource key positions over her 19-year career with the State of California. Ms. Lichnock is dedicated to applying her background to ensure CalSTRS maintains the ability to be an employer of choice. A native of California, she holds a Bachelor of Arts in Management from Golden Gate University, San Francisco, as well as certificates in Human Resource Management from Golden Gate University, and Labor-Management Relations from the University of California, Davis.</t>
  </si>
  <si>
    <t>clichnock@calstrs.com</t>
  </si>
  <si>
    <t>126148-51P</t>
  </si>
  <si>
    <t>Cathy DiSalvo</t>
  </si>
  <si>
    <t>DiSalvo</t>
  </si>
  <si>
    <t>Ms. Cathy DiSalvo serves as Portfolio Manager at California State Teachers' Retirement System.</t>
  </si>
  <si>
    <t>cdisalvo@calstrs.com</t>
  </si>
  <si>
    <t>415563-49P</t>
  </si>
  <si>
    <t>Catrina Juan</t>
  </si>
  <si>
    <t>Catrina</t>
  </si>
  <si>
    <t>Ms. Catrina Juan serves as Investment Officer at California State Teachers' Retirement System.</t>
  </si>
  <si>
    <t>126148-24P</t>
  </si>
  <si>
    <t>Charles Fitzpatrick</t>
  </si>
  <si>
    <t>Fitzpatrick</t>
  </si>
  <si>
    <t>Mr. Charles Fitzpatrick serves as Portfolio Manager at California State Teachers' Retirement System.</t>
  </si>
  <si>
    <t>cfitzpatrick@calstrs.com</t>
  </si>
  <si>
    <t>415566-37P</t>
  </si>
  <si>
    <t>Chris Hunter</t>
  </si>
  <si>
    <t>Mr. Chris Hunter serves as an Investment Officer at California State Teachers' Retirement System.</t>
  </si>
  <si>
    <t>chunter@calstrs.com</t>
  </si>
  <si>
    <t>126147-16P</t>
  </si>
  <si>
    <t>Christopher Ellis</t>
  </si>
  <si>
    <t>Ellis</t>
  </si>
  <si>
    <t>Mr. Christopher Ellis serves as an Investment Officer at California State Teachers' Retirement System.</t>
  </si>
  <si>
    <t>cellis@calstrs.com</t>
  </si>
  <si>
    <t>415577-80P</t>
  </si>
  <si>
    <t>Christopher Louie</t>
  </si>
  <si>
    <t>Louie</t>
  </si>
  <si>
    <t>Mr. Christopher Louie serves as an Investment Officer at California State Teachers' Retirement System.</t>
  </si>
  <si>
    <t>clouie@calstrs.com</t>
  </si>
  <si>
    <t>126147-79P</t>
  </si>
  <si>
    <t>Christopher Moore</t>
  </si>
  <si>
    <t>Mr. Christopher Moore serves as Associate Portfolio Manager at California State Teachers' Retirement System.</t>
  </si>
  <si>
    <t>415478-35P</t>
  </si>
  <si>
    <t>Christopher Preston</t>
  </si>
  <si>
    <t>Preston</t>
  </si>
  <si>
    <t>Mr. Christopher Preston serves as Portfolio Manager at California State Teachers' Retirement System.</t>
  </si>
  <si>
    <t>cpreston@calstrs.com</t>
  </si>
  <si>
    <t>54410-32P</t>
  </si>
  <si>
    <t>Christopher Singh</t>
  </si>
  <si>
    <t>Mr. Christopher Singh serves as Investment Officer at California State Teachers' Retirement System.</t>
  </si>
  <si>
    <t>cjsingh@calstrs.com</t>
  </si>
  <si>
    <t>441444-88P</t>
  </si>
  <si>
    <t>Cristine Chan</t>
  </si>
  <si>
    <t>Cristine</t>
  </si>
  <si>
    <t>Ms. Cristine Chan serves as Investment Officer at California State Teachers' Retirement System.</t>
  </si>
  <si>
    <t>cchan@calstrs.com</t>
  </si>
  <si>
    <t>142185-88P</t>
  </si>
  <si>
    <t>Dan Depner</t>
  </si>
  <si>
    <t>Depner</t>
  </si>
  <si>
    <t>Mr. Dan Depner serves as Portfolio Manager at California State Teachers' Retirement System.</t>
  </si>
  <si>
    <t>ddepner@calstrs.com</t>
  </si>
  <si>
    <t>208880-20P</t>
  </si>
  <si>
    <t>Daniel Garzon</t>
  </si>
  <si>
    <t>Garzon</t>
  </si>
  <si>
    <t>Assistant Director &amp; Manager</t>
  </si>
  <si>
    <t>Mr. Daniel Garzon serves as Assistant Director, Treasury &amp; Manager at California State Teachers' Retirement System. Mr. Garzon served as Senior Manager of Financial Operations at Renew Financial.</t>
  </si>
  <si>
    <t>dgarzon@calstrs.com</t>
  </si>
  <si>
    <t>Assistant Director, Treasury &amp; Manager</t>
  </si>
  <si>
    <t>415480-78P</t>
  </si>
  <si>
    <t>Daniel Lau</t>
  </si>
  <si>
    <t>Mr. Daniel Lau serves as Portfolio Manager at California State Teachers' Retirement System.</t>
  </si>
  <si>
    <t>dlau@calstrs.com</t>
  </si>
  <si>
    <t>142186-60P</t>
  </si>
  <si>
    <t>Daniel Thai</t>
  </si>
  <si>
    <t>Thai</t>
  </si>
  <si>
    <t>Mr. Daniel Thai serves as Investment Officer at California State Teachers' Retirement System.</t>
  </si>
  <si>
    <t>dthai@calstrs.com</t>
  </si>
  <si>
    <t>415497-07P</t>
  </si>
  <si>
    <t>Dante Malvini</t>
  </si>
  <si>
    <t>Dante</t>
  </si>
  <si>
    <t>Malvini</t>
  </si>
  <si>
    <t>Mr. Dante Malvini serves as Associate Portfolio Manager at California State Teachers' Retirement System.</t>
  </si>
  <si>
    <t>dmalvini@calstrs.com</t>
  </si>
  <si>
    <t>126146-62P</t>
  </si>
  <si>
    <t>Darin Yi</t>
  </si>
  <si>
    <t>Darin</t>
  </si>
  <si>
    <t>Mr. Darin Yi serves as Associate Portfolio Manager at California State Teachers' Retirement System.</t>
  </si>
  <si>
    <t>dyi@calstrs.com</t>
  </si>
  <si>
    <t>142192-54P</t>
  </si>
  <si>
    <t>David Gold</t>
  </si>
  <si>
    <t>Gold</t>
  </si>
  <si>
    <t>Mr. David Gold serves as Portfolio Manager at California State Teachers' Retirement System.</t>
  </si>
  <si>
    <t>dgold@calstrs.com</t>
  </si>
  <si>
    <t>60041-80P</t>
  </si>
  <si>
    <t>David Murphy</t>
  </si>
  <si>
    <t>Mr. David Murphy serves as Director of Global Equity at California State Teachers' Retirement System.</t>
  </si>
  <si>
    <t>dmurphy@calstrs.com</t>
  </si>
  <si>
    <t>Director of Global Equity</t>
  </si>
  <si>
    <t>415648-90P</t>
  </si>
  <si>
    <t>Debora Green</t>
  </si>
  <si>
    <t>Debora</t>
  </si>
  <si>
    <t>Ms. Debora Green serves as an Investment Officer at California State Teachers' Retirement System.</t>
  </si>
  <si>
    <t>dgreen@calstrs.com</t>
  </si>
  <si>
    <t>126145-99P</t>
  </si>
  <si>
    <t>Debra Ng</t>
  </si>
  <si>
    <t>Ms. Debra Ng serves as Portfolio Manager at California State Teachers' Retirement System.</t>
  </si>
  <si>
    <t>dng@calstrs.com</t>
  </si>
  <si>
    <t>54312-85P</t>
  </si>
  <si>
    <t>Delfina Palomo</t>
  </si>
  <si>
    <t>Delfina</t>
  </si>
  <si>
    <t>Palomo</t>
  </si>
  <si>
    <t>Ms. Delfina Palomo serves as Associate Portfolio Manager at California State Teachers' Retirement System.</t>
  </si>
  <si>
    <t>dpalomo@calstrs.com</t>
  </si>
  <si>
    <t>126145-45P</t>
  </si>
  <si>
    <t>Denny Young</t>
  </si>
  <si>
    <t>Board Member &amp; Investment Officer</t>
  </si>
  <si>
    <t>Mr. Denny Young serves as Investment Officer &amp; Board Member at California State Teachers' Retirement System.</t>
  </si>
  <si>
    <t>Investment Officer &amp; Board Member</t>
  </si>
  <si>
    <t>415650-34P</t>
  </si>
  <si>
    <t>Diana Campos</t>
  </si>
  <si>
    <t>Campos</t>
  </si>
  <si>
    <t>Ms. Diana Campos serves as an Investment Officer at California State Teachers' Retirement System.</t>
  </si>
  <si>
    <t>dcampos@calstrs.com</t>
  </si>
  <si>
    <t>415500-67P</t>
  </si>
  <si>
    <t>Dianna Dean</t>
  </si>
  <si>
    <t>Dianna</t>
  </si>
  <si>
    <t>Ms. Dianna Dean serves as Associate Portfolio Manager at California State Teachers' Retirement System.</t>
  </si>
  <si>
    <t>ddean@calstrs.com</t>
  </si>
  <si>
    <t>415650-97P</t>
  </si>
  <si>
    <t>Diego Meneses</t>
  </si>
  <si>
    <t>Diego</t>
  </si>
  <si>
    <t>Meneses</t>
  </si>
  <si>
    <t>Mr. Diego Meneses serves as an Investment Officer at California State Teachers' Retirement System.</t>
  </si>
  <si>
    <t>dmeneses@calstrs.com</t>
  </si>
  <si>
    <t>126144-82P</t>
  </si>
  <si>
    <t>Diego Sanchez</t>
  </si>
  <si>
    <t>Mr. Diego Sanchez serves as Investment Officer at California State Teachers' Retirement System.</t>
  </si>
  <si>
    <t>dsanchez@calstrs.com</t>
  </si>
  <si>
    <t>142190-65P</t>
  </si>
  <si>
    <t>Don Palmieri</t>
  </si>
  <si>
    <t>Don</t>
  </si>
  <si>
    <t>Palmieri</t>
  </si>
  <si>
    <t>Mr. Don Palmieri serves as Portfolio Manager at California State Teachers' Retirement System.</t>
  </si>
  <si>
    <t>dpalmieri@calstrs.com</t>
  </si>
  <si>
    <t>142186-87P</t>
  </si>
  <si>
    <t>Douglas Chen</t>
  </si>
  <si>
    <t>Mr. Douglas Chen serves as Associate Portfolio Manager at California State Teachers' Retirement System.</t>
  </si>
  <si>
    <t>dchen@calstrs.com</t>
  </si>
  <si>
    <t>415502-65P</t>
  </si>
  <si>
    <t>Edgar Ramirez</t>
  </si>
  <si>
    <t>Mr. Edgar Ramirez serves as Associate Portfolio Manager at California State Teachers' Retirement System.</t>
  </si>
  <si>
    <t>eramirez@calstrs.com</t>
  </si>
  <si>
    <t>415651-96P</t>
  </si>
  <si>
    <t>Edward Chrisen</t>
  </si>
  <si>
    <t>Chrisen</t>
  </si>
  <si>
    <t>Mr. Edward Chrisen serves as an Investment Officer at California State Teachers' Retirement System.</t>
  </si>
  <si>
    <t>echrisen@calstrs.com</t>
  </si>
  <si>
    <t>415652-50P</t>
  </si>
  <si>
    <t>Edwin Chu</t>
  </si>
  <si>
    <t>Mr. Edwin Chu serves as an Investment Officer at California State Teachers' Retirement System.</t>
  </si>
  <si>
    <t>echu@calstrs.com</t>
  </si>
  <si>
    <t>415652-86P</t>
  </si>
  <si>
    <t>Elena Pevzner</t>
  </si>
  <si>
    <t>Pevzner</t>
  </si>
  <si>
    <t>Ms. Elena Pevzner serves as an Investment Officer at California State Teachers' Retirement System.</t>
  </si>
  <si>
    <t>epevzner@calstrs.com</t>
  </si>
  <si>
    <t>415653-85P</t>
  </si>
  <si>
    <t>Eli Bradaric</t>
  </si>
  <si>
    <t>Eli</t>
  </si>
  <si>
    <t>Bradaric</t>
  </si>
  <si>
    <t>Mr. Eli Bradaric serves as an Investment Officer at California State Teachers' Retirement System.</t>
  </si>
  <si>
    <t>ebradaric@calstrs.com</t>
  </si>
  <si>
    <t>415654-48P</t>
  </si>
  <si>
    <t>Emilio Navarrete</t>
  </si>
  <si>
    <t>Emilio</t>
  </si>
  <si>
    <t>Navarrete</t>
  </si>
  <si>
    <t>Mr. Emilio Navarrete serves as Ian nvestment Officer at California State Teachers' Retirement System.</t>
  </si>
  <si>
    <t>enavarrete@calstrs.com</t>
  </si>
  <si>
    <t>415656-28P</t>
  </si>
  <si>
    <t>Erica Hogans</t>
  </si>
  <si>
    <t>Hogans</t>
  </si>
  <si>
    <t>Ms. Erica Hogans serves as an Investment Officer at California State Teachers' Retirement System.</t>
  </si>
  <si>
    <t>ehogans@calstrs.com</t>
  </si>
  <si>
    <t>415658-08P</t>
  </si>
  <si>
    <t>Erick Gutierrez</t>
  </si>
  <si>
    <t>Erick</t>
  </si>
  <si>
    <t>Mr. Erick Gutierrez serves as Investment Officer at California State Teachers' Retirement System.</t>
  </si>
  <si>
    <t>441447-49P</t>
  </si>
  <si>
    <t>Ethan Fiorini</t>
  </si>
  <si>
    <t>Fiorini</t>
  </si>
  <si>
    <t>Mr. Ethan Fiorini serves as Investment Officer at California State Teachers' Retirement System.</t>
  </si>
  <si>
    <t>efiorini@calstrs.com</t>
  </si>
  <si>
    <t>415658-98P</t>
  </si>
  <si>
    <t>Evan Clapham</t>
  </si>
  <si>
    <t>Clapham</t>
  </si>
  <si>
    <t>Mr. Evan Clapham serves as an Investment Officer at California State Teachers' Retirement System.</t>
  </si>
  <si>
    <t>eclapham@calstrs.com</t>
  </si>
  <si>
    <t>415666-72P</t>
  </si>
  <si>
    <t>Fiorella Salvador</t>
  </si>
  <si>
    <t>Fiorella</t>
  </si>
  <si>
    <t>Salvador</t>
  </si>
  <si>
    <t>Ms. Fiorella Salvador serves as an Investment Officer at California State Teachers' Retirement System.</t>
  </si>
  <si>
    <t>fsalvador@calstrs.com</t>
  </si>
  <si>
    <t>415667-44P</t>
  </si>
  <si>
    <t>Gabriel DeMesa</t>
  </si>
  <si>
    <t>DeMesa</t>
  </si>
  <si>
    <t>Mr. Gabriel DeMesa serves as an Investment Officer at California State Teachers' Retirement System.</t>
  </si>
  <si>
    <t>gdemesa@calstrs.com</t>
  </si>
  <si>
    <t>441448-30P</t>
  </si>
  <si>
    <t>Garrett Smith</t>
  </si>
  <si>
    <t>Mr. Garrett Smith serves as Investment Officer at California State Teachers' Retirement System.</t>
  </si>
  <si>
    <t>gsmith@calstrs.com</t>
  </si>
  <si>
    <t>126144-19P</t>
  </si>
  <si>
    <t>Geetha Arani</t>
  </si>
  <si>
    <t>Geetha</t>
  </si>
  <si>
    <t>Arani</t>
  </si>
  <si>
    <t>Ms. Geetha Arani serves as Portfolio Manager at California State Teachers' Retirement System.</t>
  </si>
  <si>
    <t>garani@calstrs.com</t>
  </si>
  <si>
    <t>126143-83P</t>
  </si>
  <si>
    <t>Geetika Misra</t>
  </si>
  <si>
    <t>Geetika</t>
  </si>
  <si>
    <t>Ms. Geetika Misra serves as Associate Portfolio Manager at California State Teachers' Retirement System.</t>
  </si>
  <si>
    <t>gmisra@calstrs.com</t>
  </si>
  <si>
    <t>28420-57P</t>
  </si>
  <si>
    <t>Georgia Pappas</t>
  </si>
  <si>
    <t>Pappas</t>
  </si>
  <si>
    <t>Ms. Georgia Pappas serves as Portfolio Manager at California State Teachers' Retirement System. She served as Director, Customized Portfolio Solutions at Kohlberg Kravis Roberts. She focuses on investments and strategic products and services. Prior to joining KKR, she was a principal at CPP Investments in London, focused on private equity investing. She holds a B.S in Finance and Economics from the Stern School of Business at New York University.</t>
  </si>
  <si>
    <t>gpappas@calstrs.com</t>
  </si>
  <si>
    <t>133305-94P</t>
  </si>
  <si>
    <t>Geraldine Jimenez</t>
  </si>
  <si>
    <t>Ms. Geraldine Jimenez serves as Senior Investment Director at California State Teachers' Retirement System. She served as Director, Investment Strategy and Risk at California State Teachers' Retirement System.</t>
  </si>
  <si>
    <t>gjimenez@calstrs.com</t>
  </si>
  <si>
    <t>415667-71P</t>
  </si>
  <si>
    <t>Gina Tavarez</t>
  </si>
  <si>
    <t>Gina</t>
  </si>
  <si>
    <t>Tavarez</t>
  </si>
  <si>
    <t>Ms. Gina Tavarez serves as an Investment Officer at California State Teachers' Retirement System.</t>
  </si>
  <si>
    <t>gtavarez@calstrs.com</t>
  </si>
  <si>
    <t>142190-11P</t>
  </si>
  <si>
    <t>Glen Blacet</t>
  </si>
  <si>
    <t>Glen</t>
  </si>
  <si>
    <t>Blacet</t>
  </si>
  <si>
    <t>Mr. Glen Blacet serves as Portfolio Manager at California State Teachers' Retirement System.</t>
  </si>
  <si>
    <t>gblacet@calstrs.com</t>
  </si>
  <si>
    <t>126143-38P</t>
  </si>
  <si>
    <t>Greg Arendt</t>
  </si>
  <si>
    <t>Arendt</t>
  </si>
  <si>
    <t>Mr. Greg Arendt serves as Portfolio Manager at California State Teachers' Retirement System.</t>
  </si>
  <si>
    <t>garendt@calstrs.com</t>
  </si>
  <si>
    <t>415668-43P</t>
  </si>
  <si>
    <t>Guldip Dhillon</t>
  </si>
  <si>
    <t>Guldip</t>
  </si>
  <si>
    <t>Dhillon</t>
  </si>
  <si>
    <t>Mr. Guldip Dhillon serves as an Investment Officer at California State Teachers' Retirement System.</t>
  </si>
  <si>
    <t>gdhillon@calstrs.com</t>
  </si>
  <si>
    <t>142189-03P</t>
  </si>
  <si>
    <t>Hank Thomas</t>
  </si>
  <si>
    <t>Mr. Hank Thomas serves as Portfolio Manager at California State Teachers' Retirement System.</t>
  </si>
  <si>
    <t>hthomas@calstrs.com</t>
  </si>
  <si>
    <t>415503-55P</t>
  </si>
  <si>
    <t>Harmony Kingston</t>
  </si>
  <si>
    <t>Harmony</t>
  </si>
  <si>
    <t>Kingston</t>
  </si>
  <si>
    <t>Mr. Harmony Kingston serves as Associate Portfolio Manager at California State Teachers' Retirement System.</t>
  </si>
  <si>
    <t>hkingston@calstrs.com</t>
  </si>
  <si>
    <t>415668-79P</t>
  </si>
  <si>
    <t>Harshini Perera</t>
  </si>
  <si>
    <t>Harshini</t>
  </si>
  <si>
    <t>Perera</t>
  </si>
  <si>
    <t>Ms. Harshini Perera serves as an Investment Officer at California State Teachers' Retirement System.</t>
  </si>
  <si>
    <t>hperera@calstrs.com</t>
  </si>
  <si>
    <t>126142-93P</t>
  </si>
  <si>
    <t>Haytham Sharief</t>
  </si>
  <si>
    <t>Sharief</t>
  </si>
  <si>
    <t>Mr. Haytham Sharief serves as Associate Portfolio Manager at California State Teachers' Retirement System.</t>
  </si>
  <si>
    <t>hsharief@calstrs.com</t>
  </si>
  <si>
    <t>126142-48P</t>
  </si>
  <si>
    <t>Helena Posner</t>
  </si>
  <si>
    <t>Posner</t>
  </si>
  <si>
    <t>Ms. Helena Posner serves as Associate Portfolio Manager at California State Teachers' Retirement System.</t>
  </si>
  <si>
    <t>hposner@calstrs.com</t>
  </si>
  <si>
    <t>126141-76P</t>
  </si>
  <si>
    <t>Henry Ha</t>
  </si>
  <si>
    <t>Ha</t>
  </si>
  <si>
    <t>Mr. Henry Ha serves as Associate Portfolio Manager at California State Teachers' Retirement System.</t>
  </si>
  <si>
    <t>hha@calstrs.com</t>
  </si>
  <si>
    <t>415669-33P</t>
  </si>
  <si>
    <t>Hiep Tran</t>
  </si>
  <si>
    <t>Hiep</t>
  </si>
  <si>
    <t>Mr. Hiep Tran serves as an Investment Officer at California State Teachers' Retirement System.</t>
  </si>
  <si>
    <t>126141-58P</t>
  </si>
  <si>
    <t>Huy Ngo</t>
  </si>
  <si>
    <t>Huy</t>
  </si>
  <si>
    <t>Ngo</t>
  </si>
  <si>
    <t>Mr. Huy Ngo serves as Investment Officer at California State Teachers' Retirement System.</t>
  </si>
  <si>
    <t>hngo@calstrs.com</t>
  </si>
  <si>
    <t>142188-58P</t>
  </si>
  <si>
    <t>Ian McCarty</t>
  </si>
  <si>
    <t>McCarty</t>
  </si>
  <si>
    <t>Mr. Ian McCarty serves as Portfolio Manager at California State Teachers' Retirement System.</t>
  </si>
  <si>
    <t>imccarty@calstrs.com</t>
  </si>
  <si>
    <t>415670-23P</t>
  </si>
  <si>
    <t>IBK Ain</t>
  </si>
  <si>
    <t>IBK</t>
  </si>
  <si>
    <t>Ain</t>
  </si>
  <si>
    <t>Mr. IBK Ain serves as an Investment Officer at California State Teachers' Retirement System.</t>
  </si>
  <si>
    <t>415671-22P</t>
  </si>
  <si>
    <t>Ilena Drake</t>
  </si>
  <si>
    <t>Ilena</t>
  </si>
  <si>
    <t>Drake</t>
  </si>
  <si>
    <t>Ms. Ilena Drake serves as an Investment Officer at California State Teachers' Retirement System.</t>
  </si>
  <si>
    <t>idrake@calstrs.com</t>
  </si>
  <si>
    <t>415515-25P</t>
  </si>
  <si>
    <t>Jackie Liu</t>
  </si>
  <si>
    <t>Ms. Jackie Liu serves as Associate Portfolio Manager at California State Teachers' Retirement System.</t>
  </si>
  <si>
    <t>jliu@calstrs.com</t>
  </si>
  <si>
    <t>415671-67P</t>
  </si>
  <si>
    <t>Jacqueline Mwiti</t>
  </si>
  <si>
    <t>Mwiti</t>
  </si>
  <si>
    <t>Ms. Jacqueline Mwiti serves as an Investment Officer at California State Teachers' Retirement System.</t>
  </si>
  <si>
    <t>jmwiti@calstrs.com</t>
  </si>
  <si>
    <t>415672-03P</t>
  </si>
  <si>
    <t>Jake O'Hagan</t>
  </si>
  <si>
    <t>Jake</t>
  </si>
  <si>
    <t>O'Hagan</t>
  </si>
  <si>
    <t>Mr. Jake O'Hagan serves as Associate Portfolio Manager at California State Teachers' Retirement System.</t>
  </si>
  <si>
    <t>johagan@calstrs.com</t>
  </si>
  <si>
    <t>415672-57P</t>
  </si>
  <si>
    <t>James Hagerty</t>
  </si>
  <si>
    <t>Hagerty</t>
  </si>
  <si>
    <t>Mr. James Hagerty serves as an Investment Officer at California State Teachers' Retirement System.</t>
  </si>
  <si>
    <t>jhagerty@calstrs.com</t>
  </si>
  <si>
    <t>441449-47P</t>
  </si>
  <si>
    <t>Jasmine Mathias</t>
  </si>
  <si>
    <t>Jasmine</t>
  </si>
  <si>
    <t>Ms. Jasmine Mathias serves as Investment Officer at California State Teachers' Retirement System.</t>
  </si>
  <si>
    <t>jmathias@calstrs.com</t>
  </si>
  <si>
    <t>126141-31P</t>
  </si>
  <si>
    <t>Jason Crawford</t>
  </si>
  <si>
    <t>Mr. Jason Crawford serves as Portfolio Manager at California State Teachers' Retirement System.</t>
  </si>
  <si>
    <t>jcrawford@calstrs.com</t>
  </si>
  <si>
    <t>126140-50P</t>
  </si>
  <si>
    <t>Jeffrey Jaro</t>
  </si>
  <si>
    <t>Jaro</t>
  </si>
  <si>
    <t>Mr. Jeffrey Jaro serves as Portfolio Manager at California State Teachers' Retirement System.</t>
  </si>
  <si>
    <t>jjaro@calstrs.com</t>
  </si>
  <si>
    <t>415516-33P</t>
  </si>
  <si>
    <t>Jennifer Enos</t>
  </si>
  <si>
    <t>Enos</t>
  </si>
  <si>
    <t>Ms. Jennifer Enos serves as Associate Portfolio Manager at California State Teachers' Retirement System.</t>
  </si>
  <si>
    <t>jenos@calstrs.com</t>
  </si>
  <si>
    <t>415672-75P</t>
  </si>
  <si>
    <t>Jessica Whitmer</t>
  </si>
  <si>
    <t>Whitmer</t>
  </si>
  <si>
    <t>Ms. Jessica Whitmer serves as an Investment Officer at California State Teachers' Retirement System.</t>
  </si>
  <si>
    <t>jwhitmer@calstrs.com</t>
  </si>
  <si>
    <t>415673-11P</t>
  </si>
  <si>
    <t>Jessie Kong</t>
  </si>
  <si>
    <t>Jessie</t>
  </si>
  <si>
    <t>Kong</t>
  </si>
  <si>
    <t>Mr. Jessie Kong serves as an Investment Officer at California State Teachers' Retirement System.</t>
  </si>
  <si>
    <t>jkong@calstrs.com</t>
  </si>
  <si>
    <t>415673-74P</t>
  </si>
  <si>
    <t>Jimmy Garcia</t>
  </si>
  <si>
    <t>Mr. Jimmy Garcia serves as an Investment Officer at California State Teachers' Retirement System.</t>
  </si>
  <si>
    <t>415675-27P</t>
  </si>
  <si>
    <t>Joakim Mahlberg</t>
  </si>
  <si>
    <t>Mahlberg</t>
  </si>
  <si>
    <t>Mr. Joakim Mahlberg serves as an Investment Officer at California State Teachers' Retirement System.</t>
  </si>
  <si>
    <t>jmahlberg@calstrs.com</t>
  </si>
  <si>
    <t>415676-26P</t>
  </si>
  <si>
    <t>Joanne Taylor</t>
  </si>
  <si>
    <t>Joanne</t>
  </si>
  <si>
    <t>Ms. Joanne Taylor serves as an Investment Officer at California State Teachers' Retirement System.</t>
  </si>
  <si>
    <t>jtaylor@calstrs.com</t>
  </si>
  <si>
    <t>126140-41P</t>
  </si>
  <si>
    <t>John Charles-Gish</t>
  </si>
  <si>
    <t>Charles-Gish</t>
  </si>
  <si>
    <t>Mr. John Charles-Gish serves as Portfolio Manager at California State Teachers' Retirement System.</t>
  </si>
  <si>
    <t>jgish@calstrs.com</t>
  </si>
  <si>
    <t>415676-71P</t>
  </si>
  <si>
    <t>Jose Paniagua</t>
  </si>
  <si>
    <t>Paniagua</t>
  </si>
  <si>
    <t>Mr. Jose Paniagua serves as an Investment Officer at California State Teachers' Retirement System.</t>
  </si>
  <si>
    <t>jpaniagua@calstrs.com</t>
  </si>
  <si>
    <t>126139-78P</t>
  </si>
  <si>
    <t>Josh Diedesch</t>
  </si>
  <si>
    <t>Diedesch</t>
  </si>
  <si>
    <t>Mr. Josh Diedesch serves as Senior Portfolio Manager at California State Teachers' Retirement System. He earned degrees from University of California, Davis &amp; University of Washington, Seattle.</t>
  </si>
  <si>
    <t>jdiedesch@calstrs.com</t>
  </si>
  <si>
    <t>415519-12P</t>
  </si>
  <si>
    <t>Joshua Kim</t>
  </si>
  <si>
    <t>Mr. Joshua Kim serves as Associate Portfolio Manager at California State Teachers' Retirement System.</t>
  </si>
  <si>
    <t>373447-27P</t>
  </si>
  <si>
    <t>Julie Donegan</t>
  </si>
  <si>
    <t>Donegan</t>
  </si>
  <si>
    <t>Ms. Julie Donegan serves as Director of Real Estate at California State Teachers' Retirement System.</t>
  </si>
  <si>
    <t>jdonegan@calstrs.com</t>
  </si>
  <si>
    <t>Director of Real Estate</t>
  </si>
  <si>
    <t>415676-89P</t>
  </si>
  <si>
    <t>Julie Song</t>
  </si>
  <si>
    <t>Song</t>
  </si>
  <si>
    <t>Ms. Julie Song serves as an Investment Officer at California State Teachers' Retirement System.</t>
  </si>
  <si>
    <t>jsong@calstrs.com</t>
  </si>
  <si>
    <t>38397-16P</t>
  </si>
  <si>
    <t>Julie Underwood</t>
  </si>
  <si>
    <t>Underwood</t>
  </si>
  <si>
    <t>Ms. Julie Underwood serves as Chief Financial Officer at California State Teachers' Retirement System. She also serves as Chief Financial Officer at San Bernardino County Employees' Retirement Association. As the Chief of Fiscal Services for San Bernardino County Employees' Retirement Association (SBCERA), she Underwood oversees SBCERA's financial operations, including preparation of the Comprehensive Annual Financial Report, annual budget, collection of all retirement contributions, disbursement of benefits, tax, trust and treasury functions, investment accounting, and the annual financial statement audit. Ms. Underwood also spearheads the development and implementation of all accounting procedures and controls. Previously, Ms. Underwood held various and progressively responsible accounting and tax positions with the Superior Court of California County of San Bernardino, and public accounting firms, including Ernst &amp; Young. Ms. Underwood earned a Bachelor of Science in Business Administration with a concentration in Accounting from California State University, San Bernardino. She is also licensed by the State of California as a Certified Public Accountant, is a member of various professional organizations, and volunteers as a reviewer on the Special Review Committee for the Government Finance Officers Association Certificate of Achievement for Excellence in Financial Reporting Program.</t>
  </si>
  <si>
    <t>junderwood@calstrs.com</t>
  </si>
  <si>
    <t>57934-63P</t>
  </si>
  <si>
    <t>June Kim</t>
  </si>
  <si>
    <t>June</t>
  </si>
  <si>
    <t>Ms. June Kim serves as Senior Investment Director at California State Teachers' Retirement System. She was a Principal Equities Investment Officer at the Los Angeles County Employees' Retirement Association. She will lead a staff of 12 that oversees a $105.8 billion global equity portfolio, representing 57 percent of the CalSTRS investment portfolio. CalSTRS global equity staff works with more than 60 external active managers who oversee nearly two-thirds of the U.S. and the entire non-U.S. portfolio. She is passionate about increasing gender diversity in the investment industry. In addition to her work with Rock the Street and Wall Street, she is an advisory board member for Girls Who Invest. Most recently she was named a Finance Leaders Fellow at the Aspen Institute.</t>
  </si>
  <si>
    <t>jkim@calstrs.com</t>
  </si>
  <si>
    <t>415677-43P</t>
  </si>
  <si>
    <t>Justin Bosley</t>
  </si>
  <si>
    <t>Bosley</t>
  </si>
  <si>
    <t>Mr. Justin Bosley serves as an Investment Officer at California State Teachers' Retirement System.</t>
  </si>
  <si>
    <t>jbosley@calstrs.com</t>
  </si>
  <si>
    <t>415520-11P</t>
  </si>
  <si>
    <t>Justin Wiles</t>
  </si>
  <si>
    <t>Wiles</t>
  </si>
  <si>
    <t>Mr. Justin Wiles serves as Associate Portfolio Manager at California State Teachers' Retirement System.</t>
  </si>
  <si>
    <t>jwiles@calstrs.com</t>
  </si>
  <si>
    <t>415684-72P</t>
  </si>
  <si>
    <t>Karen Tuason</t>
  </si>
  <si>
    <t>Tuason</t>
  </si>
  <si>
    <t>Ms. Karen Tuason serves as an Investment Officer at California State Teachers' Retirement System.</t>
  </si>
  <si>
    <t>ktuason@calstrs.com</t>
  </si>
  <si>
    <t>126139-06P</t>
  </si>
  <si>
    <t>Kari Salazar-Maynard</t>
  </si>
  <si>
    <t>Kari</t>
  </si>
  <si>
    <t>Salazar-Maynard</t>
  </si>
  <si>
    <t>Ms. Kari Salazar-Maynard serves as Associate Portfolio Manager at California State Teachers' Retirement System.</t>
  </si>
  <si>
    <t>ksalazar-maynard@calstrs.com</t>
  </si>
  <si>
    <t>126138-61P</t>
  </si>
  <si>
    <t>Kate Wallen</t>
  </si>
  <si>
    <t>Wallen</t>
  </si>
  <si>
    <t>Ms. Kate Wallen serves as Investment Officer at California State Teachers' Retirement System.</t>
  </si>
  <si>
    <t>kwallen@calstrs.com</t>
  </si>
  <si>
    <t>415521-19P</t>
  </si>
  <si>
    <t>Katherine Fackler</t>
  </si>
  <si>
    <t>Fackler</t>
  </si>
  <si>
    <t>Ms. Katherine Fackler serves as Associate Portfolio Manager at California State Teachers' Retirement System.</t>
  </si>
  <si>
    <t>kfackler@calstrs.com</t>
  </si>
  <si>
    <t>142901-83P</t>
  </si>
  <si>
    <t>Katherine Rodota</t>
  </si>
  <si>
    <t>Rodota</t>
  </si>
  <si>
    <t>Ms. Katherine Rodota serves as Associate Portfolio Manager at California State Teachers' Retirement System. She served as Vice President at Top Tier Capital Partners. She focuses on market and industry research, due diligence, investment monitoring, and reporting with a special focus on the Firm's velocity program. Prior to joining Top Tier, she was an analyst at Northgate Capital, focusing on venture capital co-investments and venture capital and private equity fund investments. She earned a B.S. in Business Administration at Cal Poly San Luis Obispo, where she was a member of the Women's Club Water Polo Team.</t>
  </si>
  <si>
    <t>krodota@calstrs.com</t>
  </si>
  <si>
    <t>415699-21P</t>
  </si>
  <si>
    <t>Katie Lee</t>
  </si>
  <si>
    <t>Ms. Katie Lee serves as an Investment Officer at California State Teachers' Retirement System.</t>
  </si>
  <si>
    <t>klee@calstrs.com</t>
  </si>
  <si>
    <t>126138-16P</t>
  </si>
  <si>
    <t>Kelly Criss</t>
  </si>
  <si>
    <t>Criss</t>
  </si>
  <si>
    <t>Ms. Kelly Criss serves as Head of Investment Operations at California State Teachers' Retirement System. Ms. Criss served as Associate Portfolio Manager at California State Teachers' Retirement System.</t>
  </si>
  <si>
    <t>kcriss@calstrs.com</t>
  </si>
  <si>
    <t>Head of Investment Operations</t>
  </si>
  <si>
    <t>441450-46P</t>
  </si>
  <si>
    <t>Kenny Sekhon</t>
  </si>
  <si>
    <t>Sekhon</t>
  </si>
  <si>
    <t>Mr. Kenny Sekhon serves as Investment Officer at California State Teachers' Retirement System.</t>
  </si>
  <si>
    <t>ksekhon@calstrs.com</t>
  </si>
  <si>
    <t>415700-02P</t>
  </si>
  <si>
    <t>Khoi Nguyen</t>
  </si>
  <si>
    <t>Khoi</t>
  </si>
  <si>
    <t>Mr. Khoi Nguyen serves as an Investment Officer at California State Teachers' Retirement System.</t>
  </si>
  <si>
    <t>knguyen@calstrs.com</t>
  </si>
  <si>
    <t>415700-47P</t>
  </si>
  <si>
    <t>Kim Le</t>
  </si>
  <si>
    <t>Le</t>
  </si>
  <si>
    <t>Ms. Kim Le serves as an Investment Officer at California State Teachers' Retirement System.</t>
  </si>
  <si>
    <t>kle@calstrs.com</t>
  </si>
  <si>
    <t>126137-44P</t>
  </si>
  <si>
    <t>Kimberly McDonnell</t>
  </si>
  <si>
    <t>Ms. Kimberly McDonnell serves as Associate Portfolio Manager at California State Teachers' Retirement System.</t>
  </si>
  <si>
    <t>kmcdonnell@calstrs.com</t>
  </si>
  <si>
    <t>126137-08P</t>
  </si>
  <si>
    <t>Kimmie Nicolas</t>
  </si>
  <si>
    <t>Kimmie</t>
  </si>
  <si>
    <t>Ms. Kimmie Nicolas serves as Associate Portfolio Manager at California State Teachers' Retirement System.</t>
  </si>
  <si>
    <t>knicolas@calstrs.com</t>
  </si>
  <si>
    <t>66892-06P</t>
  </si>
  <si>
    <t>Kirsty Jenkinson</t>
  </si>
  <si>
    <t>Jenkinson</t>
  </si>
  <si>
    <t>Ms. Kirsty Jenkinson serves as Director of Sustainable Investment &amp; Stewardship Strategies at California State Teachers' Retirement System. She served as Managing Director, Sustainable Investment Strategies at Wespath Investment Management. She also serves as Director of Sustainable Investment and Stewardship Strategist at California State Teachers' Retirement System. She will lead a team responsible for providing strategic oversight for ensuring that environmental, social, and governance issues are more broadly integrated into Wespath's investment selection and decision-making processes. Among her duties, she will oversee Wespath's strategic ESG engagement and advocacy efforts as well as Wespath's portfolio screening and proxy voting. Ms. Jenkinson left her position as markets and enterprise program director at the World Resources Institute in April. Before joining World Resources, Ms. Jenkinson was the director of governance and sustainable investment at F&amp;C Asset Management and in various positions at Goldman Sachs International.</t>
  </si>
  <si>
    <t>kjenkinson@calstrs.com</t>
  </si>
  <si>
    <t>Director of Sustainable Investment &amp; Stewardship Strategies</t>
  </si>
  <si>
    <t>415701-28P</t>
  </si>
  <si>
    <t>Krishneel Krishna</t>
  </si>
  <si>
    <t>Krishneel</t>
  </si>
  <si>
    <t>Mr. Krishneel Krishna serves as an Investment Officer at California State Teachers' Retirement System.</t>
  </si>
  <si>
    <t>kkrishna@calstrs.com</t>
  </si>
  <si>
    <t>126136-45P</t>
  </si>
  <si>
    <t>Kristian Altier</t>
  </si>
  <si>
    <t>Altier</t>
  </si>
  <si>
    <t>Ms. Kristian Altier serves as Associate Portfolio Manager at California State Teachers' Retirement System.</t>
  </si>
  <si>
    <t>kaltier@calstrs.com</t>
  </si>
  <si>
    <t>415701-82P</t>
  </si>
  <si>
    <t>Kylee Neidigh</t>
  </si>
  <si>
    <t>Kylee</t>
  </si>
  <si>
    <t>Neidigh</t>
  </si>
  <si>
    <t>Ms. Kylee Neidigh serves as an Investment Officer at California State Teachers' Retirement System.</t>
  </si>
  <si>
    <t>kneidigh@calstrs.com</t>
  </si>
  <si>
    <t>415705-69P</t>
  </si>
  <si>
    <t>LaShae Badelita</t>
  </si>
  <si>
    <t>LaShae</t>
  </si>
  <si>
    <t>Badelita</t>
  </si>
  <si>
    <t>Ms. LaShae Badelita serves as an Investment Officer at California State Teachers' Retirement System.</t>
  </si>
  <si>
    <t>lbadelita@calstrs.com</t>
  </si>
  <si>
    <t>153930-07P</t>
  </si>
  <si>
    <t>Lilit Arakelyan</t>
  </si>
  <si>
    <t>Lilit</t>
  </si>
  <si>
    <t>Arakelyan</t>
  </si>
  <si>
    <t>Mr. Lilit Arakelyan serves as Investment Officer at California State Teachers' Retirement System.</t>
  </si>
  <si>
    <t>larakelyan@calstrs.com</t>
  </si>
  <si>
    <t>75749-86P</t>
  </si>
  <si>
    <t>Lisa Blatnick</t>
  </si>
  <si>
    <t>Blatnick</t>
  </si>
  <si>
    <t>Ms. Lisa Blatnick serves as Chief Operating Officer at California State Teachers' Retirement System. As COO, Blatnick oversees Audit Services, Enterprise Strategy Management, Administrative Services, Benefits and Services, Public Affairs, Technology Services and the Ombuds office. She served from August 2015 until August 2021 as chief of administrative services, leading human resources, procurement, facilities management, business continuity and sustainability. She oversees the strategic direction, policy development and management of the Administrative Services Branch. This new branch streamlines internal organizational functions for human resources, facilities and procurement management activities. Blatnick joined CalSTRS Facilities Management and Planning Division in 2003. She was appointed the business lead for the development and construction oversight for CalSTRS new headquarters building in 2006. She was promoted to director of Facilities Management and Planning in 2007. Blatnick has more than 21 years of California state government service including facilities management related positions at the Office of Legislative Council and the Office of Criminal Justice Planning.</t>
  </si>
  <si>
    <t>lblatnick@calstrs.com</t>
  </si>
  <si>
    <t>415707-04P</t>
  </si>
  <si>
    <t>Lucy Yang</t>
  </si>
  <si>
    <t>Lucy</t>
  </si>
  <si>
    <t>Ms. Lucy Yang serves as an Investment Officer at California State Teachers' Retirement System.</t>
  </si>
  <si>
    <t>lyang@calstrs.com</t>
  </si>
  <si>
    <t>415487-17P</t>
  </si>
  <si>
    <t>Lynn Paquin</t>
  </si>
  <si>
    <t>Ms. Lynn Paquin serves as Portfolio Manager at California State Teachers' Retirement System.</t>
  </si>
  <si>
    <t>lpaquin@calstrs.com</t>
  </si>
  <si>
    <t>415524-43P</t>
  </si>
  <si>
    <t>Madison Doris</t>
  </si>
  <si>
    <t>Doris</t>
  </si>
  <si>
    <t>Mr. Madison Doris serves as Associate Portfolio Manager at California State Teachers' Retirement System.</t>
  </si>
  <si>
    <t>mdoris@calstrs.com</t>
  </si>
  <si>
    <t>126135-64P</t>
  </si>
  <si>
    <t>Mami Wong</t>
  </si>
  <si>
    <t>Mami</t>
  </si>
  <si>
    <t>Ms. Mami Wong serves as Investment Officer at California State Teachers' Retirement System.</t>
  </si>
  <si>
    <t>mwong@calstrs.com</t>
  </si>
  <si>
    <t>415707-40P</t>
  </si>
  <si>
    <t>Marcella Tedla</t>
  </si>
  <si>
    <t>Marcella</t>
  </si>
  <si>
    <t>Tedla</t>
  </si>
  <si>
    <t>Mr. Marcella Tedla serves as an Investment Officer at California State Teachers' Retirement System.</t>
  </si>
  <si>
    <t>mtedla@calstrs.com</t>
  </si>
  <si>
    <t>14503-78P</t>
  </si>
  <si>
    <t>Margot Wirth</t>
  </si>
  <si>
    <t>Margot</t>
  </si>
  <si>
    <t>Wirth</t>
  </si>
  <si>
    <t>Ms. Margot Wirth serves as Director of Private Equity at California State Teachers' Retirement System. Prior to this, Ms. Wirth was with PricewaterhouseCoopers where she was a Manager and Senior Analyst in the corporate valuation consulting group. At CalSTRS, Wirth rose to become a Portfolio Manager and was named an Interim Co-director of private equity in February 2009. In March 2010, she was promoted to Director of Private Equity. She holds a B.S. in Chemical Engineering from the University of Virginia in 1981.</t>
  </si>
  <si>
    <t>mwirth@calstrs.com</t>
  </si>
  <si>
    <t>Director of Private Equity</t>
  </si>
  <si>
    <t>415707-94P</t>
  </si>
  <si>
    <t>Marina Kong</t>
  </si>
  <si>
    <t>Marina</t>
  </si>
  <si>
    <t>Ms. Marina Kong serves as an Investment Officer at California State Teachers' Retirement System.</t>
  </si>
  <si>
    <t>mkong@calstrs.com</t>
  </si>
  <si>
    <t>415708-66P</t>
  </si>
  <si>
    <t>Mark Melvani</t>
  </si>
  <si>
    <t>Melvani</t>
  </si>
  <si>
    <t>Mr. Mark Melvani serves as an Investment Officer at California State Teachers' Retirement System.</t>
  </si>
  <si>
    <t>mmelvani@calstrs.com</t>
  </si>
  <si>
    <t>41808-88P</t>
  </si>
  <si>
    <t>Marketa Ostadalova</t>
  </si>
  <si>
    <t>Marketa</t>
  </si>
  <si>
    <t>Ostadalova</t>
  </si>
  <si>
    <t>Ms. Marketa Ostadalova serves as Associate Portfolio Manager at California State Teachers' Retirement System. She served as an Analyst at Cliffwater. Previously, she served as a Research Analyst at Xtract Research.</t>
  </si>
  <si>
    <t>+1 (310) 448-5024</t>
  </si>
  <si>
    <t>mostadalova@calstrs.com</t>
  </si>
  <si>
    <t>415720-81P</t>
  </si>
  <si>
    <t>Matt Saha</t>
  </si>
  <si>
    <t>Saha</t>
  </si>
  <si>
    <t>Mr. Matt Saha serves as an Investment Officer at California State Teachers' Retirement System.</t>
  </si>
  <si>
    <t>msaha@calstrs.com</t>
  </si>
  <si>
    <t>126132-85P</t>
  </si>
  <si>
    <t>Matt Toepel</t>
  </si>
  <si>
    <t>Toepel</t>
  </si>
  <si>
    <t>Mr. Matt Toepel serves as Investment Officer at California State Teachers' Retirement System.</t>
  </si>
  <si>
    <t>mtoepel@calstrs.com</t>
  </si>
  <si>
    <t>126133-03P</t>
  </si>
  <si>
    <t>Matthew Lisonbee</t>
  </si>
  <si>
    <t>Lisonbee</t>
  </si>
  <si>
    <t>Mr. Matthew Lisonbee serves as Associate Portfolio Manager at California State Teachers' Retirement System.</t>
  </si>
  <si>
    <t>mlisonbee@calstrs.com</t>
  </si>
  <si>
    <t>126132-40P</t>
  </si>
  <si>
    <t>Matthew Schott</t>
  </si>
  <si>
    <t>Mr. Matthew Schott serves as Associate Portfolio Manager at California State Teachers' Retirement System.</t>
  </si>
  <si>
    <t>mschott@calstrs.com</t>
  </si>
  <si>
    <t>126132-13P</t>
  </si>
  <si>
    <t>Matthew Schroeder</t>
  </si>
  <si>
    <t>Mr. Matthew Schroeder serves as Associate Portfolio Manager at California State Teachers' Retirement System.</t>
  </si>
  <si>
    <t>mschroeder@calstrs.com</t>
  </si>
  <si>
    <t>126131-86P</t>
  </si>
  <si>
    <t>Mauricio Smith</t>
  </si>
  <si>
    <t>Mauricio</t>
  </si>
  <si>
    <t>Mr. Mauricio Smith serves as Investment Officer at California State Teachers' Retirement System.</t>
  </si>
  <si>
    <t>msmith@calstrs.com</t>
  </si>
  <si>
    <t>415721-80P</t>
  </si>
  <si>
    <t>Melanie Guzman</t>
  </si>
  <si>
    <t>Guzman</t>
  </si>
  <si>
    <t>Ms. Melanie Guzman serves as an Investment Officer at California State Teachers' Retirement System.</t>
  </si>
  <si>
    <t>mguzman@calstrs.com</t>
  </si>
  <si>
    <t>126131-14P</t>
  </si>
  <si>
    <t>Melissa Da Ronco</t>
  </si>
  <si>
    <t>Da Ronco</t>
  </si>
  <si>
    <t>Ms. Melissa Da Ronco serves as Associate Portfolio Manager at California State Teachers' Retirement System.</t>
  </si>
  <si>
    <t>mdaronco@calstrs.com</t>
  </si>
  <si>
    <t>415722-88P</t>
  </si>
  <si>
    <t>Michael Carlson</t>
  </si>
  <si>
    <t>Mr. Michael Carlson serves as an Investment Officer at California State Teachers' Retirement System.</t>
  </si>
  <si>
    <t>mcarlson@calstrs.com</t>
  </si>
  <si>
    <t>85078-00P</t>
  </si>
  <si>
    <t>Michael DiRe</t>
  </si>
  <si>
    <t>DiRe</t>
  </si>
  <si>
    <t>Mr. Michael DiRe serves as Senior Investment Director at California State Teachers' Retirement System.</t>
  </si>
  <si>
    <t>mdire@calstrs.com</t>
  </si>
  <si>
    <t>415488-07P</t>
  </si>
  <si>
    <t>Michael McGowan</t>
  </si>
  <si>
    <t>McGowan</t>
  </si>
  <si>
    <t>Mr. Michael McGowan serves as Portfolio Manager at California State Teachers' Retirement System.</t>
  </si>
  <si>
    <t>mmcgowan@calstrs.com</t>
  </si>
  <si>
    <t>441451-81P</t>
  </si>
  <si>
    <t>Michael Tomlinson</t>
  </si>
  <si>
    <t>Tomlinson</t>
  </si>
  <si>
    <t>Mr. Michael Tomlinson serves as Investment Officer at California State Teachers' Retirement System.</t>
  </si>
  <si>
    <t>mtomlinson@calstrs.com</t>
  </si>
  <si>
    <t>126130-60P</t>
  </si>
  <si>
    <t>Michael Warmerdam</t>
  </si>
  <si>
    <t>Warmerdam</t>
  </si>
  <si>
    <t>Mr. Michael Warmerdam serves as Portfolio Manager at California State Teachers' Retirement System.</t>
  </si>
  <si>
    <t>mwarmerdam@calstrs.com</t>
  </si>
  <si>
    <t>415723-60P</t>
  </si>
  <si>
    <t>Michael Wilson</t>
  </si>
  <si>
    <t>Mr. Michael Wilson serves as an Investment Officer at California State Teachers' Retirement System.</t>
  </si>
  <si>
    <t>126129-70P</t>
  </si>
  <si>
    <t>Michael Yager</t>
  </si>
  <si>
    <t>Yager</t>
  </si>
  <si>
    <t>Mr. Michael Yager serves as Associate Portfolio Manager at California State Teachers' Retirement System.</t>
  </si>
  <si>
    <t>myager@calstrs.com</t>
  </si>
  <si>
    <t>126129-97P</t>
  </si>
  <si>
    <t>Michel Paniagua</t>
  </si>
  <si>
    <t>Ms. Michel Paniagua serves as Investment Officer at California State Teachers' Retirement System.</t>
  </si>
  <si>
    <t>mpaniagua@calstrs.com</t>
  </si>
  <si>
    <t>415724-32P</t>
  </si>
  <si>
    <t>Miguel Uribe</t>
  </si>
  <si>
    <t>Uribe</t>
  </si>
  <si>
    <t>Mr. Miguel Uribe serves as an Investment Officer at California State Teachers' Retirement System.</t>
  </si>
  <si>
    <t>muribe@calstrs.com</t>
  </si>
  <si>
    <t>415525-24P</t>
  </si>
  <si>
    <t>Mike Dunigan</t>
  </si>
  <si>
    <t>Dunigan</t>
  </si>
  <si>
    <t>Mr. Mike Dunigan serves as Associate Portfolio Manager at California State Teachers' Retirement System.</t>
  </si>
  <si>
    <t>mdunigan@calstrs.com</t>
  </si>
  <si>
    <t>415725-58P</t>
  </si>
  <si>
    <t>Misty Watson</t>
  </si>
  <si>
    <t>Misty</t>
  </si>
  <si>
    <t>Ms. Misty Watson serves as an Investment Officer at California State Teachers' Retirement System.</t>
  </si>
  <si>
    <t>mwatson@calstrs.com</t>
  </si>
  <si>
    <t>415725-85P</t>
  </si>
  <si>
    <t>Mohammad Quader</t>
  </si>
  <si>
    <t>Quader</t>
  </si>
  <si>
    <t>Mr. Mohammad Quader serves as an Investment Officer at California State Teachers' Retirement System.</t>
  </si>
  <si>
    <t>mquader@calstrs.com</t>
  </si>
  <si>
    <t>415726-21P</t>
  </si>
  <si>
    <t>Monica Robinson</t>
  </si>
  <si>
    <t>Ms. Monica Robinson serves as an Investment Officer at California State Teachers' Retirement System.</t>
  </si>
  <si>
    <t>415726-75P</t>
  </si>
  <si>
    <t>Mylene Wu</t>
  </si>
  <si>
    <t>Mylene</t>
  </si>
  <si>
    <t>Mr. Mylene Wu serves as an Investment Officer at California State Teachers' Retirement System.</t>
  </si>
  <si>
    <t>241610-14P</t>
  </si>
  <si>
    <t>Nancy Vang</t>
  </si>
  <si>
    <t>Vang</t>
  </si>
  <si>
    <t>Ms. Nancy Vang serves as Associate Government Program Analyst at California State Teachers' Retirement System.</t>
  </si>
  <si>
    <t>Associate Government Program Analyst</t>
  </si>
  <si>
    <t>415727-02P</t>
  </si>
  <si>
    <t>Nicholas Clyde</t>
  </si>
  <si>
    <t>Clyde</t>
  </si>
  <si>
    <t>Mr. Nicholas Clyde serves as an Investment Officer at California State Teachers' Retirement System.</t>
  </si>
  <si>
    <t>nclyde@calstrs.com</t>
  </si>
  <si>
    <t>319922-74P</t>
  </si>
  <si>
    <t>Nicholas Koehler</t>
  </si>
  <si>
    <t>Mr. Nicholas Koehler serves as Investment Officer at California State Teachers' Retirement System. He co-founded Pangea Chat.</t>
  </si>
  <si>
    <t>nkoehler@calstrs.com</t>
  </si>
  <si>
    <t>415729-72P</t>
  </si>
  <si>
    <t>Nicholas Sweet</t>
  </si>
  <si>
    <t>Sweet</t>
  </si>
  <si>
    <t>Mr. Nicholas Sweet serves as an Investment Officer at California State Teachers' Retirement System.</t>
  </si>
  <si>
    <t>nsweet@calstrs.com</t>
  </si>
  <si>
    <t>415489-60P</t>
  </si>
  <si>
    <t>Nick Abel</t>
  </si>
  <si>
    <t>Mr. Nick Abel serves as Portfolio Manager at California State Teachers' Retirement System.</t>
  </si>
  <si>
    <t>nabel@calstrs.com</t>
  </si>
  <si>
    <t>415730-35P</t>
  </si>
  <si>
    <t>Nicole Rains</t>
  </si>
  <si>
    <t>Rains</t>
  </si>
  <si>
    <t>Ms. Nicole Rains serves as an Investment Officer at California State Teachers' Retirement System.</t>
  </si>
  <si>
    <t>nrains@calstrs.com</t>
  </si>
  <si>
    <t>415732-06P</t>
  </si>
  <si>
    <t>Nicole Sanchez</t>
  </si>
  <si>
    <t>Ms. Nicole Sanchez serves as an Investment Officer at California State Teachers' Retirement System.</t>
  </si>
  <si>
    <t>nsanchez@calstrs.com</t>
  </si>
  <si>
    <t>415526-95P</t>
  </si>
  <si>
    <t>Nile Garritson</t>
  </si>
  <si>
    <t>Nile</t>
  </si>
  <si>
    <t>Garritson</t>
  </si>
  <si>
    <t>Mr. Nile Garritson serves as Portfolio Manager at California State Teachers' Retirement System.</t>
  </si>
  <si>
    <t>ngarritson@calstrs.com</t>
  </si>
  <si>
    <t>415732-96P</t>
  </si>
  <si>
    <t>Oksana Kovalchuk</t>
  </si>
  <si>
    <t>Kovalchuk</t>
  </si>
  <si>
    <t>Mr. Oksana Kovalchuk serves as an Investment Officer at California State Teachers' Retirement System.</t>
  </si>
  <si>
    <t>okovalchuk@calstrs.com</t>
  </si>
  <si>
    <t>126128-98P</t>
  </si>
  <si>
    <t>Orintheo Swanigan</t>
  </si>
  <si>
    <t>Orintheo</t>
  </si>
  <si>
    <t>Swanigan</t>
  </si>
  <si>
    <t>Mr. Orintheo Swanigan serves as Associate Portfolio Manager at California State Teachers' Retirement System.</t>
  </si>
  <si>
    <t>oswanigan@calstrs.com</t>
  </si>
  <si>
    <t>415733-77P</t>
  </si>
  <si>
    <t>Pamela Okino</t>
  </si>
  <si>
    <t>Pamela</t>
  </si>
  <si>
    <t>Okino</t>
  </si>
  <si>
    <t>Ms. Pamela Okino serves as an Investment Officer at California State Teachers' Retirement System.</t>
  </si>
  <si>
    <t>pokino@calstrs.com</t>
  </si>
  <si>
    <t>84618-82P</t>
  </si>
  <si>
    <t>Paul Shantic</t>
  </si>
  <si>
    <t>Shantic</t>
  </si>
  <si>
    <t>Mr. Paul Shantic serves as Director of Inflation Sensitive at California State Teachers' Retirement System.</t>
  </si>
  <si>
    <t>Director of Inflation Sensitive</t>
  </si>
  <si>
    <t>126128-44P</t>
  </si>
  <si>
    <t>Pedro De Morais</t>
  </si>
  <si>
    <t>De Morais</t>
  </si>
  <si>
    <t>Mr. Pedro De Morais serves as Associate Portfolio Manager at California State Teachers' Retirement System.</t>
  </si>
  <si>
    <t>pmorais@calstrs.com</t>
  </si>
  <si>
    <t>415734-22P</t>
  </si>
  <si>
    <t>Rajveer Dhanoa</t>
  </si>
  <si>
    <t>Rajveer</t>
  </si>
  <si>
    <t>Dhanoa</t>
  </si>
  <si>
    <t>Mr. Rajveer Dhanoa serves as an Investment Officer at California State Teachers' Retirement System.</t>
  </si>
  <si>
    <t>rdhanoa@calstrs.com</t>
  </si>
  <si>
    <t>142187-32P</t>
  </si>
  <si>
    <t>Ralph Smith</t>
  </si>
  <si>
    <t>Ralph</t>
  </si>
  <si>
    <t>Mr. Ralph Smith serves as Investment Officer at California State Teachers' Retirement System.</t>
  </si>
  <si>
    <t>415536-13P</t>
  </si>
  <si>
    <t>Ramona Marzion</t>
  </si>
  <si>
    <t>Ramona</t>
  </si>
  <si>
    <t>Marzion</t>
  </si>
  <si>
    <t>Ms. Ramona Marzion serves as Associate Portfolio Manager at California State Teachers' Retirement System.</t>
  </si>
  <si>
    <t>rmarzion@calstrs.com</t>
  </si>
  <si>
    <t>153931-42P</t>
  </si>
  <si>
    <t>Raymond Venner</t>
  </si>
  <si>
    <t>Venner</t>
  </si>
  <si>
    <t>Mr. Raymond Venner serves as Portfolio Manager at California State Teachers' Retirement System.</t>
  </si>
  <si>
    <t>rvenner@calstrs.com</t>
  </si>
  <si>
    <t>415735-93P</t>
  </si>
  <si>
    <t>Rehka Vaitla</t>
  </si>
  <si>
    <t>Rehka</t>
  </si>
  <si>
    <t>Vaitla</t>
  </si>
  <si>
    <t>Ms. Rehka Vaitla serves as an Investment Officer at California State Teachers' Retirement System.</t>
  </si>
  <si>
    <t>415741-87P</t>
  </si>
  <si>
    <t>Renyi Wang</t>
  </si>
  <si>
    <t>Renyi</t>
  </si>
  <si>
    <t>Mr. Renyi Wang serves as an Investment Officer at California State Teachers' Retirement System.</t>
  </si>
  <si>
    <t>rwang@calstrs.com</t>
  </si>
  <si>
    <t>415742-32P</t>
  </si>
  <si>
    <t>Richard Morgan</t>
  </si>
  <si>
    <t>Morgan</t>
  </si>
  <si>
    <t>Mr. Richard Morgan serves as Investment Officer at California State Teachers' Retirement System.</t>
  </si>
  <si>
    <t>415743-67P</t>
  </si>
  <si>
    <t>Robert Corey</t>
  </si>
  <si>
    <t>Mr. Robert Corey serves as an Investment Officer at California State Teachers' Retirement System.</t>
  </si>
  <si>
    <t>rcorey@calstrs.com</t>
  </si>
  <si>
    <t>53141-05P</t>
  </si>
  <si>
    <t>Robert Ross</t>
  </si>
  <si>
    <t>Mr. Robert Ross serves as Senior Portfolio Manager at California State Teachers' Retirement System. In this role, he co-manages the implementation of CalSTRS' private equity strategies and sub-strategies and oversees the co-investment program. Prior to joining the team at CalSTRS, he spent more than a decade honing his skills in portfolio management, complex financial analysis, market research, and trend analysis. He has an aptitude for sourcing, negotiating, and monitoring fund, secondary, and co-investments that support CalSTRS private equity asset allocation strategies. He is an ILPA Board Member (Institutional Limited Partners Association) and Treasurer sitting on the Governance Committee where he focuses on a variety of issues affecting the Private Equity industry. He holds a B.A. in economics with a minor in business administration from the University of California, Berkeley, and an MBA with an emphasis on finance, accounting, and entrepreneurship from the University of Chicago, Booth School of Business.</t>
  </si>
  <si>
    <t>rross@calstrs.com</t>
  </si>
  <si>
    <t>153929-80P</t>
  </si>
  <si>
    <t>Ron Leu</t>
  </si>
  <si>
    <t>Leu</t>
  </si>
  <si>
    <t>Mr. Ron Leu serves as Investment Officer at California State Teachers' Retirement System.</t>
  </si>
  <si>
    <t>rleu@calstrs.com</t>
  </si>
  <si>
    <t>415744-12P</t>
  </si>
  <si>
    <t>Mr. Ron Leu serves as an Investment Officer at California State Teachers' Retirement System.</t>
  </si>
  <si>
    <t>142187-86P</t>
  </si>
  <si>
    <t>Rosemary Lucchesini</t>
  </si>
  <si>
    <t>Rosemary</t>
  </si>
  <si>
    <t>Lucchesini</t>
  </si>
  <si>
    <t>Ms. Rosemary Lucchesini serves as Director of Fixed Income at California State Teachers' Retirement System.</t>
  </si>
  <si>
    <t>rlucchesini@calstrs.com</t>
  </si>
  <si>
    <t>Director of Fixed Income</t>
  </si>
  <si>
    <t>415744-66P</t>
  </si>
  <si>
    <t>Ryan Brown</t>
  </si>
  <si>
    <t>Mr. Ryan Brown serves as an Investment Officer at California State Teachers' Retirement System.</t>
  </si>
  <si>
    <t>rbrown@calstrs.com</t>
  </si>
  <si>
    <t>415745-20P</t>
  </si>
  <si>
    <t>Ryan Phillips</t>
  </si>
  <si>
    <t>Mr. Ryan Phillips serves as an Investment Officer at California State Teachers' Retirement System.</t>
  </si>
  <si>
    <t>rphillips@calstrs.com</t>
  </si>
  <si>
    <t>415491-31P</t>
  </si>
  <si>
    <t>Sally Stocks</t>
  </si>
  <si>
    <t>Stocks</t>
  </si>
  <si>
    <t>Ms. Sally Stocks serves as Senior Portfolio Manager at California State Teachers' Retirement System.</t>
  </si>
  <si>
    <t>415754-20P</t>
  </si>
  <si>
    <t>Samantha Phan</t>
  </si>
  <si>
    <t>Phan</t>
  </si>
  <si>
    <t>Ms. Samantha Phan serves as an Investment Officer at California State Teachers' Retirement System.</t>
  </si>
  <si>
    <t>sphan@calstrs.com</t>
  </si>
  <si>
    <t>415755-19P</t>
  </si>
  <si>
    <t>Samantha Samson</t>
  </si>
  <si>
    <t>Samson</t>
  </si>
  <si>
    <t>Ms. Samantha Samson serves as an Investment Officer at California State Teachers' Retirement System.</t>
  </si>
  <si>
    <t>ssamson@calstrs.com</t>
  </si>
  <si>
    <t>415536-94P</t>
  </si>
  <si>
    <t>Sanjay Singh</t>
  </si>
  <si>
    <t>Mr. Sanjay Singh serves as Associate Portfolio Manager at California State Teachers' Retirement System.</t>
  </si>
  <si>
    <t>415756-18P</t>
  </si>
  <si>
    <t>Saphira Tran</t>
  </si>
  <si>
    <t>Saphira</t>
  </si>
  <si>
    <t>Ms. Saphira Tran serves as an Investment Officer at California State Teachers' Retirement System.</t>
  </si>
  <si>
    <t>stran@calstrs.com</t>
  </si>
  <si>
    <t>153929-62P</t>
  </si>
  <si>
    <t>Sarah Maile</t>
  </si>
  <si>
    <t>Maile</t>
  </si>
  <si>
    <t>Ms. Sarah Maile serves as Portfolio Manager at California State Teachers' Retirement System.</t>
  </si>
  <si>
    <t>smaile@calstrs.com</t>
  </si>
  <si>
    <t>49521-97P</t>
  </si>
  <si>
    <t>Scott Chan</t>
  </si>
  <si>
    <t>Mr. Scott Chan serves as Chief Investment Officer at California State Teachers' Retirement System. He served as Deputy Chief Investment Officer at California State Teachers' Retirement System. He served as Senior Managing Director of Public Equity Investments at The Regents of the University of California. He previously was the Chief Investment Officer at Sacramento County Employees' Retirement System. Before joining Sacramento County Employees' Retirement System, he served as the Partner and Portfolio Manager at SF Global, Magnum Opus, and TLB Capital. He is a board member of the Toigo Foundation, co-chair and board member of the Institutional Investors Roundtable, and serves on the Milken Institute's Executive Council for Diversity, Equity, and Inclusion in Asset Management. He's also on the advisory boards of the Alternative Investment Management Association, the Chartered Alternative Investment Analyst Association, the Investment Diversity Exchange, the Alternative Investors Forum, the Institutional Investor's Public Funds Roundtable, and the Kroner Center for Financial Research. He has a master's in business administration from Duke University's Fuqua School of Business and a bachelor's degree in economics from the University of California, Los Angeles. He is a CFA charterholder.</t>
  </si>
  <si>
    <t>scchan@calstrs.com</t>
  </si>
  <si>
    <t>Chief Investment Officer &amp; Member of the Investment Committee</t>
  </si>
  <si>
    <t>415756-99P</t>
  </si>
  <si>
    <t>Scott Huckell</t>
  </si>
  <si>
    <t>Huckell</t>
  </si>
  <si>
    <t>Mr. Scott Huckell serves as an Investment Officer at California State Teachers' Retirement System.</t>
  </si>
  <si>
    <t>415537-66P</t>
  </si>
  <si>
    <t>Sean Ehrlich</t>
  </si>
  <si>
    <t>Ehrlich</t>
  </si>
  <si>
    <t>Mr. Sean Ehrlich serves as Associate Portfolio Manager at California State Teachers' Retirement System.</t>
  </si>
  <si>
    <t>sehrlich@calstrs.com</t>
  </si>
  <si>
    <t>415757-35P</t>
  </si>
  <si>
    <t>Selina Muasya</t>
  </si>
  <si>
    <t>Selina</t>
  </si>
  <si>
    <t>Muasya</t>
  </si>
  <si>
    <t>Ms. Selina Muasya serves as an Investment Officer at California State Teachers' Retirement System.</t>
  </si>
  <si>
    <t>smuasya@calstrs.com</t>
  </si>
  <si>
    <t>14503-42P</t>
  </si>
  <si>
    <t>Seth Hall</t>
  </si>
  <si>
    <t>Mr. Seth Hall serves as Portfolio Manager at California State Teachers' Retirement System.</t>
  </si>
  <si>
    <t>shall@calstrs.com</t>
  </si>
  <si>
    <t>377070-76P</t>
  </si>
  <si>
    <t>Shajie Zaidi</t>
  </si>
  <si>
    <t>Shajie</t>
  </si>
  <si>
    <t>Mr. Shajie Zaidi serves as Investment Officer at California State Teachers' Retirement System. Mr. Zaidi served as an Associate at ACON Investments. He was an Associate at The Ziegler Companies Inc., where he worked on mergers and acquisitions, strategic advisory, and capital formation engagements for clients in the healthcare services and healthcare information technology sectors. Previously, he was an Analyst at Piper Sandler Companies, where he served clients across both the tools &amp; diagnostics and biopharma sectors on capital raising and M&amp;A engagements. Mr. Zaidi holds a B.S., summa cum laude, in Finance from the University of Maryland, College Park.</t>
  </si>
  <si>
    <t>szaidi@calstrs.com</t>
  </si>
  <si>
    <t>126126-91P</t>
  </si>
  <si>
    <t>Sharon Jou</t>
  </si>
  <si>
    <t>Jou</t>
  </si>
  <si>
    <t>Ms. Sharon Jou serves as Associate Portfolio Manager at California State Teachers' Retirement System.</t>
  </si>
  <si>
    <t>sjou@calstrs.com</t>
  </si>
  <si>
    <t>415538-02P</t>
  </si>
  <si>
    <t>Shawn Webster</t>
  </si>
  <si>
    <t>Mr. Shawn Webster serves as Associate Portfolio Manager at California State Teachers' Retirement System.</t>
  </si>
  <si>
    <t>swebster@calstrs.com</t>
  </si>
  <si>
    <t>153931-06P</t>
  </si>
  <si>
    <t>Shifat Hasan</t>
  </si>
  <si>
    <t>Shifat</t>
  </si>
  <si>
    <t>Ms. Shifat Hasan serves as Head of Investment Performance &amp; Compliance at California State Teachers' Retirement System.</t>
  </si>
  <si>
    <t>shasan@calstrs.com</t>
  </si>
  <si>
    <t>Head of Investment Performance &amp; Compliance</t>
  </si>
  <si>
    <t>126126-82P</t>
  </si>
  <si>
    <t>Shivi Krishna</t>
  </si>
  <si>
    <t>Shivi</t>
  </si>
  <si>
    <t>Mr. Shivi Krishna serves as Investment Officer at California State Teachers' Retirement System.</t>
  </si>
  <si>
    <t>skrishna@calstrs.com</t>
  </si>
  <si>
    <t>126126-37P</t>
  </si>
  <si>
    <t>Simranjit Dhillon</t>
  </si>
  <si>
    <t>Simranjit</t>
  </si>
  <si>
    <t>Mr. Simranjit Dhillon serves as Portfolio Manager at California State Teachers' Retirement System.</t>
  </si>
  <si>
    <t>sdhillon@calstrs.com</t>
  </si>
  <si>
    <t>415759-60P</t>
  </si>
  <si>
    <t>Solomiya Williams</t>
  </si>
  <si>
    <t>Solomiya</t>
  </si>
  <si>
    <t>Mr. Solomiya Williams serves as an Investment Officer at California State Teachers' Retirement System.</t>
  </si>
  <si>
    <t>swilliams@calstrs.com</t>
  </si>
  <si>
    <t>415760-59P</t>
  </si>
  <si>
    <t>Sonia Sanchez</t>
  </si>
  <si>
    <t>Ms. Sonia Sanchez serves as an Investment Officer at California State Teachers' Retirement System.</t>
  </si>
  <si>
    <t>ssanchez@calstrs.com</t>
  </si>
  <si>
    <t>441454-24P</t>
  </si>
  <si>
    <t>Spencer Tom</t>
  </si>
  <si>
    <t>Mr. Spencer Tom serves as Investment Officer at California State Teachers' Retirement System.</t>
  </si>
  <si>
    <t>stom@calstrs.com</t>
  </si>
  <si>
    <t>126126-28P</t>
  </si>
  <si>
    <t>Stacey Reichenberg</t>
  </si>
  <si>
    <t>Reichenberg</t>
  </si>
  <si>
    <t>Ms. Stacey Reichenberg serves as Investment Officer at California State Teachers' Retirement System.</t>
  </si>
  <si>
    <t>sreichenberg@calstrs.com</t>
  </si>
  <si>
    <t>415761-40P</t>
  </si>
  <si>
    <t>Stefanie Bradaric</t>
  </si>
  <si>
    <t>Ms. Stefanie Bradaric serves as an Investment Officer at California State Teachers' Retirement System.</t>
  </si>
  <si>
    <t>sbradaric@calstrs.com</t>
  </si>
  <si>
    <t>441411-94P</t>
  </si>
  <si>
    <t>Steve Juarez</t>
  </si>
  <si>
    <t>Juarez</t>
  </si>
  <si>
    <t>Mr. Steve Juarez serves as Board Member &amp; Member of the Board Governance Committee, Compensation Committee and Investment Committee at California State Teachers' Retirement System.</t>
  </si>
  <si>
    <t>Board Member &amp; Member of the Board Governance Committee, Compensation Committee and Investment Committee</t>
  </si>
  <si>
    <t>415763-83P</t>
  </si>
  <si>
    <t>Steven Parker</t>
  </si>
  <si>
    <t>Mr. Steven Parker serves as an Investment Officer at California State Teachers' Retirement System.</t>
  </si>
  <si>
    <t>sparker@calstrs.com</t>
  </si>
  <si>
    <t>415764-46P</t>
  </si>
  <si>
    <t>Taylor Henry</t>
  </si>
  <si>
    <t>Mr. Taylor Henry serves as Investment Officer at California State Teachers' Retirement System.</t>
  </si>
  <si>
    <t>415765-09P</t>
  </si>
  <si>
    <t>Taylor Tsao</t>
  </si>
  <si>
    <t>Tsao</t>
  </si>
  <si>
    <t>Mr. Taylor Tsao serves as an Investment Officer at California State Teachers' Retirement System.</t>
  </si>
  <si>
    <t>ttsao@calstrs.com</t>
  </si>
  <si>
    <t>415765-36P</t>
  </si>
  <si>
    <t>Thomas Willardsen</t>
  </si>
  <si>
    <t>Willardsen</t>
  </si>
  <si>
    <t>Mr. Thomas Willardsen serves as an Investment Officer at California State Teachers' Retirement System.</t>
  </si>
  <si>
    <t>twillardsen@calstrs.com</t>
  </si>
  <si>
    <t>126123-94P</t>
  </si>
  <si>
    <t>Tiffany Lau</t>
  </si>
  <si>
    <t>Ms. Tiffany Lau serves as Investment Officer at California State Teachers' Retirement System.</t>
  </si>
  <si>
    <t>tlau@calstrs.com</t>
  </si>
  <si>
    <t>126123-67P</t>
  </si>
  <si>
    <t>Tiffany Vispetto</t>
  </si>
  <si>
    <t>Vispetto</t>
  </si>
  <si>
    <t>Ms. Tiffany Vispetto serves as Investment Officer at California State Teachers' Retirement System.</t>
  </si>
  <si>
    <t>tvispetto@calstrs.com</t>
  </si>
  <si>
    <t>415766-89P</t>
  </si>
  <si>
    <t>Timothy Smith</t>
  </si>
  <si>
    <t>Mr. Timothy Smith serves as an Investment Officer at California State Teachers' Retirement System.</t>
  </si>
  <si>
    <t>92727-55P</t>
  </si>
  <si>
    <t>Tom Baker</t>
  </si>
  <si>
    <t>Mr. Tom Baker serves as Portfolio Manager at California State Teachers' Retirement System.</t>
  </si>
  <si>
    <t>tbaker@calstrs.com</t>
  </si>
  <si>
    <t>Glendale</t>
  </si>
  <si>
    <t>Glendale, CA</t>
  </si>
  <si>
    <t>505 North Brand Boulevard</t>
  </si>
  <si>
    <t>91203</t>
  </si>
  <si>
    <t>126120-61P</t>
  </si>
  <si>
    <t>Tyler Rico</t>
  </si>
  <si>
    <t>Rico</t>
  </si>
  <si>
    <t>Mr. Tyler Rico serves as Investment Officer at California State Teachers' Retirement System.</t>
  </si>
  <si>
    <t>trico@calstrs.com</t>
  </si>
  <si>
    <t>126110-71P</t>
  </si>
  <si>
    <t>Vanessa Morris</t>
  </si>
  <si>
    <t>Ms. Vanessa Morris serves as Associate Portfolio Manager at California State Teachers' Retirement System.</t>
  </si>
  <si>
    <t>vmorris@calstrs.com</t>
  </si>
  <si>
    <t>415767-16P</t>
  </si>
  <si>
    <t>Wayne Chung</t>
  </si>
  <si>
    <t>Mr. Wayne Chung serves as an Investment Officer at California State Teachers' Retirement System.</t>
  </si>
  <si>
    <t>wchung@calstrs.com</t>
  </si>
  <si>
    <t>126118-72P</t>
  </si>
  <si>
    <t>Wayne Yim</t>
  </si>
  <si>
    <t>Yim</t>
  </si>
  <si>
    <t>Mr. Wayne Yim serves as Portfolio Manager at California State Teachers' Retirement System.</t>
  </si>
  <si>
    <t>wyim@calstrs.com</t>
  </si>
  <si>
    <t>415767-34P</t>
  </si>
  <si>
    <t>Wendy Raute</t>
  </si>
  <si>
    <t>Raute</t>
  </si>
  <si>
    <t>Mr. Wendy Raute serves as an Investment Officer at California State Teachers' Retirement System.</t>
  </si>
  <si>
    <t>wraute@calstrs.com</t>
  </si>
  <si>
    <t>126118-45P</t>
  </si>
  <si>
    <t>Wilson Yee</t>
  </si>
  <si>
    <t>Yee</t>
  </si>
  <si>
    <t>Mr. Wilson Yee serves as Portfolio Manager at California State Teachers' Retirement System.</t>
  </si>
  <si>
    <t>wyee@calstrs.com</t>
  </si>
  <si>
    <t>415768-24P</t>
  </si>
  <si>
    <t>Zang Thao</t>
  </si>
  <si>
    <t>Zang</t>
  </si>
  <si>
    <t>Thao</t>
  </si>
  <si>
    <t>Mr. Zang Thao serves as an Investment Officer at California State Teachers' Retirement System.</t>
  </si>
  <si>
    <t>zthao@calstrs.com</t>
  </si>
  <si>
    <t>309709-72P</t>
  </si>
  <si>
    <t>Kirsty Bellringer</t>
  </si>
  <si>
    <t>Bellringer</t>
  </si>
  <si>
    <t>Callaghan Innovation</t>
  </si>
  <si>
    <t>Ms. Kirsty Bellringer serves as Chief Financial Officer at Callaghan Innovation. She has forged a career in finance, working as a graduate with KPMG before getting into the telecommunications sector, where she has spent most of her career. She has extensive experience in corporate finance, business planning and strategy development. Since 2014 she has held various finance and transformation roles at Chorus NZ, where she honed her skills analysing risk and opportunity to provide evidence-based sound recommendations; analysing and managing complex trade-offs; and leading/championing strategic change across complex ecosystems. She graduated from Massey University in Palmerston North with a Bachelor of Business Studies majoring in accountancy. She is a Chartered Accountant and a member of Chartered Accountants Australia and New Zealand.</t>
  </si>
  <si>
    <t>+64 (0)80 042 2552</t>
  </si>
  <si>
    <t>kirsty.bellringer@callaghaninnovation.govt.nz</t>
  </si>
  <si>
    <t>Wellington</t>
  </si>
  <si>
    <t>Wellington, New Zealand</t>
  </si>
  <si>
    <t>55 Featherston Street</t>
  </si>
  <si>
    <t>Lower Hutt</t>
  </si>
  <si>
    <t>6011</t>
  </si>
  <si>
    <t>112849-66P</t>
  </si>
  <si>
    <t>Stefan Korn Ph.D</t>
  </si>
  <si>
    <t>Korn</t>
  </si>
  <si>
    <t>Dr. Stefan Korn serves as Chief Executive at Callaghan Innovation. He served as Chief Executive Officer at Creative HQ. He was appointed Chief Executive in September 2022. Prior to joining the executive leadership team as Chief Product Officer in 2021, he was a member of the Callaghan Innovation Board for three years. He has launched and developed numerous successful business ventures, many of which are now operating in Australia, the US and Europe. In a prior role as CEO of Creative HQ, he led a team that launched accelerators for startups, government and corporates, inclusive innovation initiatives such as the Korero Matauranga (NZ's Education Summits), and international innovation training programmes. He has a PhD in Neural Networks/Artificial Intelligence and an MBA in International Business.</t>
  </si>
  <si>
    <t>stefan.korn@callaghaninnovation.govt.nz</t>
  </si>
  <si>
    <t>Chief Executive</t>
  </si>
  <si>
    <t>112488-67P</t>
  </si>
  <si>
    <t>Zachary Ginsburg</t>
  </si>
  <si>
    <t>Ginsburg</t>
  </si>
  <si>
    <t>Calm Ventures</t>
  </si>
  <si>
    <t>Mr. Zachary Ginsburg is the Founder &amp; serves as General Partner at Calm Ventures. Mr. Ginsburg serves as a Venture Partner at Stateless Ventures. He serves as a Venture Partner at Gaingels Syndicate. He served as an Analyst at Wild Ventures. Before Calm, he was an investor at OCV Partners, a $260M growth equity fund. He has personally invested in over 100 companies including Headspace, Coinbase, and Thrive Market. Before Calm Ventures, he was an investor at Growth Equity Firm OCV Partners, headed by CIM ($31B+ AUM) Founder/Managing Partner and the prior J2 Global ($3B+ public internet holding co) CEO, and was an investment banker at San Francisco-based Viant Capital. He received his B.A. from the University of Southern California and attended Columbia Business School before leaving to pursue venture capital full-time. He is an Angel Investor.</t>
  </si>
  <si>
    <t>zachary@calmvc.com</t>
  </si>
  <si>
    <t>90401</t>
  </si>
  <si>
    <t>348143-23P</t>
  </si>
  <si>
    <t>Abbey Hildred</t>
  </si>
  <si>
    <t>Abbey</t>
  </si>
  <si>
    <t>Hildred</t>
  </si>
  <si>
    <t>Canadian Shield Capital</t>
  </si>
  <si>
    <t>Ms. Abbey Hildred serves as Communications Analyst at Canadian Shield Capital. She has experience in marketing and communications throughout the sports and financial technology fields. She received her Bachelor of Arts in Communications (Co-op) with a Minor in Psychology from the University of Ottawa and her PR certificate from the Toronto Metropolitan University.</t>
  </si>
  <si>
    <t>+1 (647) 484-1417</t>
  </si>
  <si>
    <t>ahildred@canadianshieldcapital.com</t>
  </si>
  <si>
    <t>141 Adelaide Street West</t>
  </si>
  <si>
    <t>Unit 520</t>
  </si>
  <si>
    <t>M5H 3L5</t>
  </si>
  <si>
    <t>Communications Analyst</t>
  </si>
  <si>
    <t>43877-17P</t>
  </si>
  <si>
    <t>Andrew Dunn</t>
  </si>
  <si>
    <t>Dunn</t>
  </si>
  <si>
    <t>Mr. Andrew Dunn is the Founder and serves as Managing Partner at Canadian Shield Capital. He was a Co-Founder at Altas Partners. He serves as Board Member at G.S. Dunn. His career includes 27 years with Deloitte, as Managing Partner, Tax; Vice-Chair of the firm; and Chair of its Client Cabinet, responsible for the firm's largest clients and government relationships. Named one of Canada's leading advisors by the International Tax Review, he has more than 35 years of transaction experience, having served many of North America's largest private equity firms. At Deloitte, he led the firm's efforts relating to Canada's global competitiveness, including as co-author of "The Future of Productivity", research aimed at improving the productivity of Canadian business. He has delivered expert testimony before the House of Commons Standing Committee on Finance and the Senate Standing Committee on Banking, Trade and Commerce. He was educated at the University of Waterloo (Bachelor of Arts; Master of Accounting, Valedictorian) and is a Fellow of the Institute of Chartered Accountants. He has served as a founding member and Co-chair of the Deloitte Centre for Tax Education and Research at the University of Waterloo, a Governor of the Canadian Tax Foundation, a Director of the Children's Aid Foundation and a Trustee of the Upper Canada College Foundation and the McMichael Canadian Art Collection, where he was Chair and is currently the Chair of the McMichael Canadian Art Foundation.</t>
  </si>
  <si>
    <t>+1 (416) 775-8255</t>
  </si>
  <si>
    <t>adunn@canadianshieldcapital.com</t>
  </si>
  <si>
    <t>290278-63P</t>
  </si>
  <si>
    <t>Arora Chen</t>
  </si>
  <si>
    <t>Senior Analyst</t>
  </si>
  <si>
    <t>Mr. Arora Chen serves as Senior Analyst at Canadian Shield Capital.</t>
  </si>
  <si>
    <t>achen@canadianshieldcapital.com</t>
  </si>
  <si>
    <t>226464-85P</t>
  </si>
  <si>
    <t>Callum O'Shaughnessy</t>
  </si>
  <si>
    <t>Callum</t>
  </si>
  <si>
    <t>O'Shaughnessy</t>
  </si>
  <si>
    <t>Mr. Callum O'Shaughnessy serves as Manager at Canadian Shield Capital.</t>
  </si>
  <si>
    <t>coshaughnessy@canadianshieldcapital.com</t>
  </si>
  <si>
    <t>393681-43P</t>
  </si>
  <si>
    <t>Cecilia Kwan</t>
  </si>
  <si>
    <t>Kwan</t>
  </si>
  <si>
    <t>Ms. Cecilia Kwan serves as Chief Financial Officer at Canadian Shield Capital. She has been at Canadian Shield since 2024 and has 15+ years of finance experience, with significant experience in financial planning and analysis, performance measurement and reporting, and transaction-driven accounting. She is a prior VP of Finance with Brookfield Asset Management and Brookfield Reinsurance for 10+ years and 8+ years of technical accounting advisory services with Ernst &amp; Young. She is a Chartered professional accountant with a Bachelor of Commerce in Accounting from Haskayne School of Business, University of Calgary.</t>
  </si>
  <si>
    <t>ckwan@canadianshieldcapital.com</t>
  </si>
  <si>
    <t>184484-89P</t>
  </si>
  <si>
    <t>Julie Ward</t>
  </si>
  <si>
    <t>Ms. Julie Ward serves as Partner at Canadian Shield Capital. She joined Canadian Shield from Hatch, where she spent 9 years evaluating investments in various sectors on behalf of clients and for corporate M&amp;A. She previously worked at Bain &amp; Company in Toronto as a management consultant and as an engineer in Hatch's project delivery group. She is a Professional Engineer. She holds a Bachelor of Engineering from McGill University and an MBA from the Rotman School of Management at the University of Toronto.</t>
  </si>
  <si>
    <t>jward@canadianshieldcapital.com</t>
  </si>
  <si>
    <t>226464-49P</t>
  </si>
  <si>
    <t>Marka Okrutny</t>
  </si>
  <si>
    <t>Marka</t>
  </si>
  <si>
    <t>Okrutny</t>
  </si>
  <si>
    <t>Ms. Marka Okrutny serves as Vice President at Canadian Shield Capital. She performs due diligence in a variety of industries and carries out investment valuation analysis using financial models. At Hatch, she spent nine years as a process engineer in the global mining and metals industry. In this role, she performed technical and financial analysis to enable industrial and governmental clients to improve operational efficiency or implement profitable new projects. She is a Professional Engineer, receiving a Bachelor of Chemical and Bioengineering from McMaster University.</t>
  </si>
  <si>
    <t>mokrutny@canadianshieldcapital.com</t>
  </si>
  <si>
    <t>348142-42P</t>
  </si>
  <si>
    <t>Sacha Ulloa</t>
  </si>
  <si>
    <t>Sacha</t>
  </si>
  <si>
    <t>Ulloa</t>
  </si>
  <si>
    <t>Ms. Sacha Ulloa serves as Senior Accountant at Canadian Shield Capital. She serves as Senior Accountant at Altas Partners where she first started working with Andrew. She received her Diploma of Accounting from Seneca College.</t>
  </si>
  <si>
    <t>sulloa@canadianshieldcapital.com</t>
  </si>
  <si>
    <t>336389-59P</t>
  </si>
  <si>
    <t>Walter Buckle</t>
  </si>
  <si>
    <t>Buckle</t>
  </si>
  <si>
    <t>Mr. Walter Buckle serves as Chief Financial Officer at Canadian Shield Capital.</t>
  </si>
  <si>
    <t>wbuckle@canadianshieldcapital.com</t>
  </si>
  <si>
    <t>301314-07P</t>
  </si>
  <si>
    <t>Amee Kapadia</t>
  </si>
  <si>
    <t>Amee</t>
  </si>
  <si>
    <t>Kapadia</t>
  </si>
  <si>
    <t>Cantos Ventures</t>
  </si>
  <si>
    <t>Ms. Amee Kapadia serves as Principal at Cantos Ventures.</t>
  </si>
  <si>
    <t>+1 (415) 926-3835</t>
  </si>
  <si>
    <t>amee@cantos.vc</t>
  </si>
  <si>
    <t>25 Taylor Street</t>
  </si>
  <si>
    <t>330878-08P</t>
  </si>
  <si>
    <t>Grant Gregory</t>
  </si>
  <si>
    <t>Mr. Grant Gregory served as a Partner at Andreessen Horowitz. Mr. Gregory founded and served as Chief Executive Officer at Apollos. He serves as a Principal at Cantos Ventures. He invests in companies that promote American Dynamism. Previously, he was an investor at MetLife where he invested across aerospace and defense, manufacturing, industrials, construction, public safety, and healthcare. He was also a venture fellow in the Susa Ventures Fellowship program. He was the first student-athlete to graduate from Boston University's Kilachand Honors College, where he earned summa cum laude honors studying finance and information systems.</t>
  </si>
  <si>
    <t>grant@cantos.vc</t>
  </si>
  <si>
    <t>98919-55P</t>
  </si>
  <si>
    <t>Ian Rountree</t>
  </si>
  <si>
    <t>Mr. Ian Rountree is the Founder &amp; serves as General Partner at Cantos Ventures. He served as a Board Member at Atomos Space. He is an Agent and Chief of Staff at Invisible Technologies. He served as Board Observer at Pow.bio.</t>
  </si>
  <si>
    <t>ian@cantos.vc</t>
  </si>
  <si>
    <t>268684-57P</t>
  </si>
  <si>
    <t>Natalie Volpe</t>
  </si>
  <si>
    <t>Volpe</t>
  </si>
  <si>
    <t>Ms. Natalie Volpe serves as Director, Investments at Wollemi Capital. She is a climate investor and finance professional with over 12 years of experience in sustainable infrastructure investing, principal investing, corporate strategy and capital advisory. She most recently ran a capital advisory business raising corporate equity and non-dilutive capital for early-stage climate tech companies within mobility, carbon capture, alternative fuels and industrial decarbonization companies. She previously worked as an investor at Generate Capital, investing in sustainable infrastructure across project equity, corporate equity and debt and financed distributed generation solar projects at SunEdison. At Generate, She invested in community solar, battery storage, energy efficiency and RNG projects across tax equity, sponsor equity and project debt. While at SunEdison, she worked on their distributed generation C&amp;I business developing and financing &lt;500 MW solar projects. She began her career at Cleantech Group, where she advised utilities, CVCs and industrial companies on cleantech investing and M&amp;A. She is a graduate of the University of Pennsylvania.</t>
  </si>
  <si>
    <t>natalie.volpe@wollemi.com</t>
  </si>
  <si>
    <t>L4, 595 Pacific Avenue</t>
  </si>
  <si>
    <t>Wollemi Capital</t>
  </si>
  <si>
    <t>251548-75P</t>
  </si>
  <si>
    <t>Sofia Garcia</t>
  </si>
  <si>
    <t>Sofia</t>
  </si>
  <si>
    <t>Ms. Sofia Garcia serves as Chief Financial Officer at Cantos Ventures. She served as Vice President, Operations &amp; Chief Compliance Officer at Bracket Capital. She leads their finance and operations functions and partners with the investment team to deliver best-in-class service to their investors and portfolio companies. She previously managed the portfolio and platform at JLL Spark and helped multiple startups at Slow Ventures with their strategy and operations which helped them scale during their growth stages. Before working in start-ups and alternative investments she spent almost a decade in financial services in NYC, most recently at JPMorgan.</t>
  </si>
  <si>
    <t>+1 (917) 699-8365</t>
  </si>
  <si>
    <t>sofia@cantos.vc</t>
  </si>
  <si>
    <t>218854-63P</t>
  </si>
  <si>
    <t>Jonathan Lang Ph.D</t>
  </si>
  <si>
    <t>Capella Partners</t>
  </si>
  <si>
    <t>Dr. Jonathan Lang serves as Partner - Intellectual Property at Capella Partners.</t>
  </si>
  <si>
    <t>jonathan@capella-partners.com</t>
  </si>
  <si>
    <t>1117 State Street</t>
  </si>
  <si>
    <t>Partner - Intellectual Property</t>
  </si>
  <si>
    <t>84340-18P</t>
  </si>
  <si>
    <t>Jourdan Urbach</t>
  </si>
  <si>
    <t>Jourdan</t>
  </si>
  <si>
    <t>Urbach</t>
  </si>
  <si>
    <t>Mr. Jourdan Urbach serves as Managing Partner at Capella Partners. He also serves as Managing Partner at Levelized Capital. He co-founded and served as Chief Technology Officer at Mass Lab. He co-founded Ocho, a social video platform. He graduated in Bachelor's degree from Yale University.</t>
  </si>
  <si>
    <t>jourdan@capella-partners.com</t>
  </si>
  <si>
    <t>448354-45P</t>
  </si>
  <si>
    <t>Michael Austin</t>
  </si>
  <si>
    <t>Mr. Michael Austin serves as Investor Relations at Capella Partners.</t>
  </si>
  <si>
    <t>michael@capella-partners.com</t>
  </si>
  <si>
    <t>405940-24P</t>
  </si>
  <si>
    <t>Mustafa Dafalla</t>
  </si>
  <si>
    <t>Mustafa</t>
  </si>
  <si>
    <t>Dafalla</t>
  </si>
  <si>
    <t>Mr. Mustafa Dafalla serves as Partner at Levelized Capital. He serves as Partner at Capella Partners.</t>
  </si>
  <si>
    <t>mustafa@levelized.vc</t>
  </si>
  <si>
    <t>Flight Deck by Levelized Capital</t>
  </si>
  <si>
    <t>6100 Hollister Avenue, Unit 2B</t>
  </si>
  <si>
    <t>93117</t>
  </si>
  <si>
    <t>Levelized Capital</t>
  </si>
  <si>
    <t>196541-83P</t>
  </si>
  <si>
    <t>Romi Kadri</t>
  </si>
  <si>
    <t>Romi</t>
  </si>
  <si>
    <t>Kadri</t>
  </si>
  <si>
    <t>Mr. Romi Kadri serves as Managing Partner at Capella Partners. He serves as a Managing Partner at Levelized Capital. He also serves as a Board Member at TADA.</t>
  </si>
  <si>
    <t>romi@capella-partners.com</t>
  </si>
  <si>
    <t>35467-66P</t>
  </si>
  <si>
    <t>Andrew Busey</t>
  </si>
  <si>
    <t>Busey</t>
  </si>
  <si>
    <t>Capital Factory</t>
  </si>
  <si>
    <t>Mr. Andrew Busey is a Co-Founder and serves as Partner &amp; Mentor at Capital Factory. Mr. Busey co-founded and served as Chief Executive Officer at Supply Drop. He is a Co-Founder &amp; serves as Chief Product Officer at Colossal Laboratories &amp; Biosciences. He is a Co-Founder &amp; serves as Board Member at NotCommon. He is a Co-Founder and serves as Co-Chief Executive Officer and Board Member at Form Bio. He is a Co-Founder of Capital Factory and serves as its Partner, Mentor, and Member of the Investment Committee for Funds I-IV. He co-founded and served as a Partner at Hypergiant. He serves as Chief Strategy Officer and Board Member at Petal. He founded and served as Chief Executive Officer of Team Chaos. He was a Co-Founder, Chairman and serves as the Chief Product Officer at Conversable. He is a Co-Founder and Chief Executive Officer at Supply Drop. He also serves as Director, Fund at Capital Factory. He has been an integral part of many foundational internet developments including inventing web-based chat and chat with a customer service rep. He has been granted over 22 Internet-related patents. He served as an Advisor at Roikoi. He co-founded and served as Chief Executive Officer at Legit. He. Over the past 25 years, he has pioneered some of the internet industry's most important technologies - including work on Mosaic, the first web browser (now part of Microsoft Internet Explorer); creating iChat, the first web-based chat system and one of the first instant messaging applications; building WebCenter, the first web-based customer service technology (now part of Avaya); creating a new class of asynchronous games (Challenge Games, acquired by Zynga); and innovating in conversational commerce (Conversable, acquired by LivePerson). He is the primary inventor of twenty-nine patents. He is an active angel investor in companies such as Aceable, Cratejoy, FlashParking, ZenBusiness, and Waterloo Water. He is the author of Accidental Gods, a novel about a group of scientists who simulate a universe where life develops, and Secrets of the MUD Wizards, the first book about developing multiplayer games. He has a degree in computer science from Duke University and an MBA from The Wharton School at the University of Pennsylvania.</t>
  </si>
  <si>
    <t>+1 (512) 656-6756</t>
  </si>
  <si>
    <t>andrewbusey@capitalfactory.com</t>
  </si>
  <si>
    <t>701 Brazos Street</t>
  </si>
  <si>
    <t>Co-Founder, Partner &amp; Mentor</t>
  </si>
  <si>
    <t>111703-15P</t>
  </si>
  <si>
    <t>Brett Billick</t>
  </si>
  <si>
    <t>Billick</t>
  </si>
  <si>
    <t>Mr. Brett Billick serves as Mentor at Capital Factory. Mr. Brett Billick serves as the Chief Marketing Officer at Self Financial. He also serves as Mentor at Capital Factory. Mr. Billick previously served as Chief Marketing Officer at SpareFoot. He also served as Vice President, Channel &amp; Growth at RetailMeNot. Previously, he served as a Director, CRM at Virgin America. He is responsible for building and driving both channel marketing and new strategic growth programs for RetailMeNot, Inc's North American brands. He has an MBA degree in Marketing from London Business School in 2006.</t>
  </si>
  <si>
    <t>brettbillick@capitalfactory.com</t>
  </si>
  <si>
    <t>Mentor</t>
  </si>
  <si>
    <t>191107-45P</t>
  </si>
  <si>
    <t>Bryan Chambers</t>
  </si>
  <si>
    <t>Chambers</t>
  </si>
  <si>
    <t>Founder &amp; President</t>
  </si>
  <si>
    <t>Mr. Bryan Chambers is a Co-Founder &amp; serves as President at Capital Factory. Previously, Mr. Chambers served as vice president, accelerator, and investment fund at a capital factory. He served as a Board member at Neuro Rehab VR. He serves as the capital factory's vice president of accelerator and investment fund. Before joining the capital factory, he established the Blackstone launchpad and university of Dallas seed fund at the University of Texas at Dallas where he actively advises students, entrepreneurs, and early-stage ventures and serves as a member of the entrepreneurship faculty. He is a founding team member at Fixed Repair, an insurance technology, and home services business where he led the business corporate development strategy. He has spent his career working with and investing in venture-backed startups including ReachLocal, LevelUp, and Fran POS.</t>
  </si>
  <si>
    <t>bryanchambers@capitalfactory.com</t>
  </si>
  <si>
    <t>Co-Founder &amp; President</t>
  </si>
  <si>
    <t>228079-36P</t>
  </si>
  <si>
    <t>Chris Aniczszyk</t>
  </si>
  <si>
    <t>Aniczszyk</t>
  </si>
  <si>
    <t>Mr. Chris Aniczszyk serves as Partner and Mentor at Capital Factory. He is an engineer by trade with a passion for open source technologies, scaling infrastructure and building developer communities. Currently, he resides at Twitter, where he runs their open source engineering efforts and helped them scale their infrastructure over the years. He served as Board Member at BattleSnake. Previously, he spent many years working in open source engineering outfits within IBM, Red Hat and even bootstrapped a successful open source consulting company that got acquired. He is also an advisor, investor or board member in @nodesource, @gitbook, @4thtap, @playtogga, @eclipsefdn, and @wanderable. His interests lay in bourbon, trail running, urban farming and craft beer. He is currently CTO of Linux Foundation. He served as Advisory Partner at Crane Venture Partners. He serves as Partner and Mentor at Capital Factory. He serves as Advisor at BattleSnake. He served as Advisor at Tetrate.</t>
  </si>
  <si>
    <t>chrisaniczszyk@capitalfactory.com</t>
  </si>
  <si>
    <t>Partner and Mentor</t>
  </si>
  <si>
    <t>295684-57P</t>
  </si>
  <si>
    <t>Clarence Daugherty IV</t>
  </si>
  <si>
    <t>Daugherty</t>
  </si>
  <si>
    <t>Mr. Clarence Daugherty is a Co-Founder and serves as Chairman at Capital Factory. He is the Founder of Shockwave Innovations. He is a Co-Founder and serves as a Board Member at Apptronik. He serves as a Board Member at Senseye and Apptronik. He served as a Board Member at SwimTopia.</t>
  </si>
  <si>
    <t>+1 (512) 257-2444</t>
  </si>
  <si>
    <t>gordondaugherty@capitalfactory.com</t>
  </si>
  <si>
    <t>77811-58P</t>
  </si>
  <si>
    <t>Craig Cummings Ph.D</t>
  </si>
  <si>
    <t>Dr. Craig Cummings is a Co-Founder and serves as General Partner at Moonshots Capital. Dr. Cummings serves as a Board Member at Proteus Space. He serves as Board Member at Cartwheel. He serves as Board of Advisors at Capital Factory. He is a Co-Founder and serves as the Chairman at AgentHero. He actively invests in technology start-ups, many of which are founded by military veteran entrepreneurs, through his venture capital firm, Moonshots Capital, which he co-founded with Kelly Perdew. He serves as Board Member at Outpost, Cartwheel, Shep (acq by Flight Center) Zabo (acq by Coinbase), Threatcare (acq by Reliaquest), Able, Realize Me, BTS, and Stealth Power, and serves on the Advisory Boards of VetsInTech, Texas Venture Labs (of the UT McCombs School of Business), and DivInc. He is also the Director of Military and Veteran Affairs for Capital Factory, Austin's center of gravity for entrepreneurs in Texas. He served as Board Member at Copper Labs. He also served as an Advisor at Edbacker. He co-founded and served as a Board Member at Upskill. He also serves as the Chairman at Verb8tm. He co-founded and served as the Chief Strategy Officer &amp; Chief Operating Officer at RideScout. He serves as Board Member &amp; Advisor at Stealth Power. He is a DoD and SME advisor for Stealth Power and a General Partner of Moonshots Capital. He was selected by HillVets as one of the 100 most influential and impactful veterans in the United States and, in 2016, Inc. Magazine named him as one of the Top 20 Military Veteran Entrepreneurs in the US. He is a member of the 2016 Class of Henry Crown Fellows with the Aspen Institute. Before his career as an entrepreneur, he spent 17 years in the Army, most of that time as an Intelligence Officer serving in support of the National Security Agency (NSA). He deployed to Afghanistan with the Joint Special Operations Command where he earned the Bronze Star. He also served as an Assistant Professor of Political Science in the Department of Social Sciences at West Point, NY. He received his B.S. in Political Science from the U.S. Military Academy at West Point, where he was their first Truman Scholar, and a Ph.D. in Political Science from Columbia University. He serves as Board Member at Ghostdog.</t>
  </si>
  <si>
    <t>+1 (800) 778-2990 x313</t>
  </si>
  <si>
    <t>craig@moonshotscapital.com</t>
  </si>
  <si>
    <t>Suite 539</t>
  </si>
  <si>
    <t>Moonshots Capital</t>
  </si>
  <si>
    <t>36117-73P</t>
  </si>
  <si>
    <t>David Altounian Ph.D</t>
  </si>
  <si>
    <t>Altounian</t>
  </si>
  <si>
    <t>Dr. David Altounian serves as Partner and Mentor at Capital Factory. Dr. Altounian is an Angel Investor. Prior to starting Motion, he was with Dell Computer Corporation, where he served in marketing executive positions for both the relaunch of the notebook computer business in 1994 and the creation and launch of the Precision workstation product businesses in 1997. He worked for two years in the United Kingdom as the General Manager of the workstation Line of Business for Europe, the Middle East, and Africa. In addition to his experience at Dell, he managed marketing and new business development teams for leading technology companies including Motorola, Compaq Computer Corporation, and Ashton-Tate. He earned his MBA at Kellogg School of Management at Northwestern University and is currently completing his Ph.D. at Oklahoma State University. He is an Assistant Professor of Entrepreneurship in the School of Business and Management at St. Edwards University.</t>
  </si>
  <si>
    <t>+1 (512) 448-8678</t>
  </si>
  <si>
    <t>david@capitalfactory.com</t>
  </si>
  <si>
    <t>96978-25P</t>
  </si>
  <si>
    <t>Eric Stober</t>
  </si>
  <si>
    <t>Stober</t>
  </si>
  <si>
    <t>Eric Stober, is a Chief Financial Officer, entrepreneur, investor, and former public company executive with a wealth of experience in finance, private equity, venture capital, and entrepreneurship. In April 2022, he became the Chief Financial Officer for Capital Factory, the center of gravity for entrepreneurs in Texas and the most active venture capital firm in Texas by deal volume. In his role, Eric leads the company's financial strategy and plays a pivotal role in driving growth. He joined Astrotech in 2008 and became the Chief Financial Officer in 2013. He served in that role until resigning in April 2022. Mr. Stober's resignation was not in connection with any disagreement with the Company on any matter relating to the Company's operations, policies, or practices. During his tenure as our Chief Financial Officer, he played a key role in orchestrating the successful restructuring of the company, managing the $61 million sale of its satellite operations business to Lockheed Martin, and helping to reinvent the organization by launching multiple startups within the corporate ecosystem. He also spearheaded fundraising efforts totaling approximately $110 million in equity, debt, and non-dilutive grant financing. Before his roles at Capital Factory and Astrotech Corporation, Eric worked in private equity at both Virtus Capital Partners and Black Diamond Capital Management where he honed his proficiency in financial management, mergers and acquisitions, and investment strategy. He also co-founded several entrepreneurial ventures. Eric began his career in private wealth management for Lehman Brothers and the Ayco Company, which was sold to Goldman Sachs during his tenure. Mr. Stober holds an MBA from the McCombs School of Business at the University of Texas where he served as President of the MBA Entrepreneur Society, the largest student-run organization on campus. He also earned an undergraduate degree in Finance from the University of Illinois, graduating with honors.</t>
  </si>
  <si>
    <t>+1 (512) 485-9530</t>
  </si>
  <si>
    <t>estober@astrotechcorp.com</t>
  </si>
  <si>
    <t>2105 Donley Drive</t>
  </si>
  <si>
    <t>78758</t>
  </si>
  <si>
    <t>Astrotech</t>
  </si>
  <si>
    <t>73696-69P</t>
  </si>
  <si>
    <t>Eugene Sepulveda</t>
  </si>
  <si>
    <t>Eugene</t>
  </si>
  <si>
    <t>Sepulveda</t>
  </si>
  <si>
    <t>Mr. Eugene Sepulveda serves as Vice President at KDK-Harman Foundation. Mr. Sepulveda serves as Advisor at Capital Factory. He served as Co-Chief Executive Officer &amp; Board Member at Entreprenuers Foundation of Central Texas. He also serves as Chairman at Jolt Action. He also serves as Vice President at KDK-Harman Foundation. After a career in banking and as the CFO for a semiconductor startup, He taught social entrepreneurship and international business at the University of Texas' McCombs School of Business. He has a long history of community leadership in Central Texas and more broadly, having served in leadership capacities on numerous nonprofit, foundation, and for-profit boards of directors including the Austin Community Foundation, the Greater Austin Chamber of Commerce, PeopleFund/PeopleTrust, Leadership Austin, Marfa Public Radio and the McDonald Observatory. Awards and recognitions include Best Professor (Alpha Kappa Psi), Outstanding Elective Professor Nominee (UT MBA Program), Bill Ramsey Lifetime Achievement Award (Human Rights Campaign), Austin Under Forty, and He Day (City of Austin). He earned his B.A. from Texas A&amp;M University. He held earlier volunteer leadership roles including serving as President Obama's LGBT Leadership Council co-chair, as co-chair of the DNC's LGBT Council, as treasurer and finance co-chair for Mayor Steve Adler's Election Campaign as well as on the boards of the Austin Community Foundation, Leadership Austin (chair), the Austin-Travis County HIV Commission (chair), Austin Museum of Art (acting Exec. Dir. &amp; treasurer), and LiveableCity (founding board member).</t>
  </si>
  <si>
    <t>+1 (512) 328-9400</t>
  </si>
  <si>
    <t>210 Lavaca Street</t>
  </si>
  <si>
    <t>3402</t>
  </si>
  <si>
    <t>KDK-Harman Foundation</t>
  </si>
  <si>
    <t>224421-31P</t>
  </si>
  <si>
    <t>Fred Schmidt</t>
  </si>
  <si>
    <t>Fred</t>
  </si>
  <si>
    <t>Mr. Fred Schmidt serves as Borad of Advisors at Capital Factory. He also serves as Austin-side Co-Chair of the Sister Cities partnership between Austin and the London (U.K.) Borough of Hackney, home of "Tech City," and has co-founded and co-leads the Austin Chapter of Tech London Advocates. He has nurtured the Austin-London relationship from founding five years ago into one of the most active in the world with over 400 companies, organizations, universities and professionals engaged between the two cities and with the assistance of the City Of Austin's Economic Development Department, The London Borough of Hackney's Regeneration Services, and UK Trade &amp; Investment. In 2016 he was recognized for this work by Her Majesty Queen Elizabeth II who has awarded him the honor of Member of the Most Excellent Order of the British Empire (MBE). His recent and prior work in the technology field has been largely concentrated in the field of computer games where he has served as a C-level partner with MicroProse Software (ipo), ORIGIN Systems / Electronic Arts (m&amp;a) and NCsoft North America &amp; Europe (Seoul-based global expansion into North America and Europe). He is now a Co-Founder/Investor/Advisor (and was the founding CEO) at Portalarium, the venture backed ($7M Series A) and Kickstarter/crowdfunded ($10+M raise) games start up of his three-time business partner, Hall-of-Fame game designer and British-American cosmonaut-astronaut, Richard Garriott. He has overseen EU set up and expansions for all of these companies. Earlier in his career, he was a part of a consulting company that helped define and launch top cable satellite programming channels like HBO, MTV and CNN. He also worked as a marketing and operations executive with the cable television systems of Time Inc and others. He is also very involved in the creative industries. Concurrently with his work in tech, he is Co-Founder/CEO of Austin Iconic Brands, a carefully curated collection of unique brick-and-mortar retail stores in the heart of Downtown Austin for over 20 years. The group includes: Wild About Music, a music-themed lifestyle store. Austin Rocks Texas, a fashion boutique. And Toy Joy, a nostalgic and niche toy store for all ages named one of the 10 Best Toy Stores In The World by USA Today in 2014. He has served as a Board member of the Downtown Austin Alliance and the Downtown Austin Neighborhood Association, as vice chair of 6ixth Street Austin which oversees activities in the city's National Register 6th Street Historic &amp; Entertainment District, and on the advisory board of the School of Management &amp; Business at St. Edward's University in Austin.</t>
  </si>
  <si>
    <t>Board of Advisors</t>
  </si>
  <si>
    <t>424546-84P</t>
  </si>
  <si>
    <t>Jamie Serio</t>
  </si>
  <si>
    <t>Serio</t>
  </si>
  <si>
    <t>Mr. Jamie Serio serves as Vice President and Ventures at Capital Factory.</t>
  </si>
  <si>
    <t>Vice President, Ventures</t>
  </si>
  <si>
    <t>56304-73P</t>
  </si>
  <si>
    <t>Jeremy Bencken</t>
  </si>
  <si>
    <t>Bencken</t>
  </si>
  <si>
    <t>Executive &amp; Investment Executive</t>
  </si>
  <si>
    <t>Mr. Jeremy Bencken serves as Mentor &amp; Investor at Techstars. Mr. Bencken serves as Mentor &amp; Investor at Capital Factory. He Co-Founded ApartmentRatings. He co-founded and served as President &amp; Chief Executive Officer at Written. He co-founded Rel Equalsand and also served as its Chairman. He co-founded ApartmentRatings.com and grew it into the leading global source of ratings and reviews of apartments before selling it to Internet Brands. He also co-founded BuzzStream, the most popular CRM for managing online outreach campaigns. Most recently, he founded Wordloop, a performance-based content marketing service for B2B marketers. He holds an MBA from the McCombs School of Business at UT-Austin where he was a Venture Fellow and Ford Scholar, and a BS in Decision Sciences with Honors from Santa Clara University.</t>
  </si>
  <si>
    <t>+1 (303) 957-0226</t>
  </si>
  <si>
    <t>1050 Walnut Street</t>
  </si>
  <si>
    <t>80302</t>
  </si>
  <si>
    <t>Mentor &amp; Investor</t>
  </si>
  <si>
    <t>Techstars</t>
  </si>
  <si>
    <t>35442-73P</t>
  </si>
  <si>
    <t>Joshua Baer</t>
  </si>
  <si>
    <t>Mr. Joshua Baer is a Co-Founder &amp; serves as Chief Executive Officer at Capital Factory. He serves as an Advisor at CollateralEdge. He serves as an Advisor at Movable Ink. He is a Co-Founder and serves as Director &amp; Partner at Capital Thought. He co-founded and served as Chief Executive Officer at UnsubCentral. He served as an Advisor at Shelfbucks. He served as Advisor at Go Pangea. He also serves as a Board Advisor at Wonder Dynamics. He was also a Co-founder of OtherInbox, where he served as Chief Executive Officer and Board Member. He also served as an Advisor at Liveintent. He also serves as an Advisor at SignUp.com. He was the Founder and also served as a Board Member at PostUp. He is an Investor at Shelfbucks. He founded his first startup in 1996 in his college dormitory at Carnegie Mellon University and now teaches a class at the University of Texas for student entrepreneurs. He was recently recognized as a Henry Crown Fellow and Braddock Scholar at the Aspen Institute, a member of the National Committee on US-China Relations Young Leaders Forum, and an Eisenhower Fellow. He holds a degree in Computer science from Carnegie Mellon University. He is a renowned art advisor, curator, and art market, journalist. He began his career in 1979 as director of White Columns in New York City. He wrote and co-published the legendary art and culture magazine ZG and co-founded the post-punk record label Neutral Records. Among their releases was the first EP of Sonic Youth and Confusion is Sex. ZG Magazine featured contributions by notable artists such as Ed Ruscha, Jeff Koons, Vito Acconci, Jack Goldstein, Gordon Matta-Clark, and Robert Mapplethorpe. He went on to represent some of these artists when he opened the Josh Baer Gallery in 1985. In 1994, he transitioned to private art advising, contributed bi-weekly to New York Magazine, and published the company. More recently, he curated selling exhibitions at galleries and auction houses and consulted with eBay before the launch of its online art venture in 2014.</t>
  </si>
  <si>
    <t>josh@capitalfactory.com</t>
  </si>
  <si>
    <t>216269-65P</t>
  </si>
  <si>
    <t>Kevin Landtroop</t>
  </si>
  <si>
    <t>Landtroop</t>
  </si>
  <si>
    <t>Mr. Kevin Landtroop serves as Special Advisor, DOD Market and Dual-Use Tech and Startup Mentor at Capital Factory. He also serves as Chief Growth Officer - CGO and Board Member at SBIR Advisors.</t>
  </si>
  <si>
    <t>kevinlandtroop@capitalfactory.com</t>
  </si>
  <si>
    <t>Special Advisor, DOD Market and Dual-Use Tech and Startup Mentor</t>
  </si>
  <si>
    <t>176452-57P</t>
  </si>
  <si>
    <t>Mr. Matt Cohen serves as Mentor, Capital Factory Fund at Capital Factory.</t>
  </si>
  <si>
    <t>Mentor, Capital Factory Fund</t>
  </si>
  <si>
    <t>277769-62P</t>
  </si>
  <si>
    <t>Meg Vrabel</t>
  </si>
  <si>
    <t>Meg</t>
  </si>
  <si>
    <t>Vrabel</t>
  </si>
  <si>
    <t>Ms. Meg Vrabel serves as Chief Operating Officer at Capital Factory. She served as Chief Operating Officer at Freedom Learning Group. She is an operations executive and change management leader with over 15 years of success leading high-growth teams, and building a strategy for sustained excellence in operations. She is skilled in identifying strategies for growth, increased efficiency and process improvement. Academy-educated and military-trained, she has led operations in the Army as well as in multi-billion dollar corporations such as AAA, where she oversaw Emergency Road Service operations across 7 states with responsibility of 1000+ employees, 600+ vehicles and a $250million P&amp;L. During her time at AAA, her team boosted customer satisfaction levels to the highest in company history. Prior to AAA, she served as Regional Vice President for Allied Universal Security Services. While there, she notably managed the merger of two former competitors, each with a portfolio of over $50million. Se facilitated a smooth transition to support 2,500+ employees and 200+ clients. Following one of the largest mergers in industry history, she led her team to 400bps improvement of GP/EBITDA and increased revenue $1MM within the first quarter that she held P&amp;L responsibility. Her professional background is complemented by an MBA from Saint Joseph's University. She also possesses a Bachelor of Science, in Law and Legal Systems from the United States Military Academy.</t>
  </si>
  <si>
    <t>megvrabel@capitalfactory.com</t>
  </si>
  <si>
    <t>93175-84P</t>
  </si>
  <si>
    <t>Michael Trafton</t>
  </si>
  <si>
    <t>Trafton</t>
  </si>
  <si>
    <t>Mr. Michael Trafton serves as Director at Capital Factory. Mr. Trafton served as Chief Brand Officer at Alamo Drafthouse Cinema. He also Co-Founded Fire Ant Software and served as its Chief Executive Officer. He has been helping the most successful companies in the U.S. design, develops and deploy mission-critical technology solutions. A serial entrepreneur, he is an expert in building high-performance teams with amazing cultures. His most recent venture, Blue Fish Development Group, was voted the best place to work in Central Texas and among the fastest-growing companies in Austin. He has a passion for helping first-time entrepreneurs reach their goals through mentoring, coaching and investing. He is a regular speaker on the topics of Enterprise Content Management, Entrepreneurship and Company Culture. He has a degree in Computer Science from Rice University.</t>
  </si>
  <si>
    <t>michaeltrafton@capitalfactory.com</t>
  </si>
  <si>
    <t>240979-51P</t>
  </si>
  <si>
    <t>Morgan Odell</t>
  </si>
  <si>
    <t>Odell</t>
  </si>
  <si>
    <t>Ms. Morgan Odell serves as Senior Manager of Venture Programs at Capital Factory.</t>
  </si>
  <si>
    <t>morganodell@capitalfactory.com</t>
  </si>
  <si>
    <t>Senior Manager of Venture Programs</t>
  </si>
  <si>
    <t>184211-38P</t>
  </si>
  <si>
    <t>Nick Spiller</t>
  </si>
  <si>
    <t>Spiller</t>
  </si>
  <si>
    <t>Mr. Nick Spiller serves as a Director of Marketing at Genesis Program.</t>
  </si>
  <si>
    <t>nickspiller@capitalfactory.com</t>
  </si>
  <si>
    <t>2609 University Avenue</t>
  </si>
  <si>
    <t>78712</t>
  </si>
  <si>
    <t>Director of Marketing</t>
  </si>
  <si>
    <t>Genesis Program</t>
  </si>
  <si>
    <t>38335-87P</t>
  </si>
  <si>
    <t>Sam Decker</t>
  </si>
  <si>
    <t>Mr. Sam Decker is a Co-Founder and serves as Chief Executive Officer &amp; Chairman at Fair Worlds. Mr. Decker is an Angel Investor. He served as Board Member at Clarify. He also serves as Board Member at Interplay Learning. Mr. Decker is also Co-Founder of Capital Factory, where he serves as Managing Director and Mentor. He is a Co-Founder and serves as Executive Chairman at Clearhead Group. He also served as Advisor at Compound VC. He served as Board Member at Mobile1st. He served as an Advisor at Roikoi. He serves as Board Member at Axial Shift. Sam's career spans 25 years of digital product innovation for startups and Fortune 50 companies. Sam was founding CMO and head of product for Bazaarvoice, founder and CEO of Mass Relevance, and Co-founder / Chairman of Clearhead. He led Dell's consumer Ecommerce business to $3.5B and is author of two books on word of mouth marketing.</t>
  </si>
  <si>
    <t>+1 (512) 200-4804</t>
  </si>
  <si>
    <t>sam@fairworlds.com</t>
  </si>
  <si>
    <t>3908 Avenue B</t>
  </si>
  <si>
    <t>Building A</t>
  </si>
  <si>
    <t>78751</t>
  </si>
  <si>
    <t>Fair Worlds</t>
  </si>
  <si>
    <t>103713-49P</t>
  </si>
  <si>
    <t>Shakeel Rashed</t>
  </si>
  <si>
    <t>Shakeel</t>
  </si>
  <si>
    <t>Rashed</t>
  </si>
  <si>
    <t>Mr. Shakeel Rashed serves as Advisor at Capital Factory. Mr. Rashed served as Board Member at Pattern Sciences. He was a Board Member of Tiesta Tea. Mr. Rashed previously served as the Board Member at NarrativeDx. He has previously worked with eFORCE. He has completed his Masters from Washington University in 1992. Advisor and angel investor in many startups in TX with Capital Factory and rest of US with HBS Angels.</t>
  </si>
  <si>
    <t>36740-26P</t>
  </si>
  <si>
    <t>Steve Schaffer</t>
  </si>
  <si>
    <t>Schaffer</t>
  </si>
  <si>
    <t>Mr. Steve Schaffer serves as Partner &amp; Mentor at Capital Factory. Mr. Schaffer serves as Board Member at CountertopSmart. He serves as Advisor at LoudCrowd. He is an active strategic advisor, investor and board director. His primary focus is technology companies with emerging digital business models and the potential to reach over $100M in annual revenue. He is a seasoned digital strategy, performance marketing, and new business creation leader. He has more than 30 years of experience growing and advising both startups and established companies. He is an accomplished serial entrepreneur and has served on several boards. He serves as Chairman &amp; Advisor at Yourself Online.</t>
  </si>
  <si>
    <t>steveschaffer@capitalfactory.com</t>
  </si>
  <si>
    <t>Partner &amp; Mentor</t>
  </si>
  <si>
    <t>194013-46P</t>
  </si>
  <si>
    <t>Frank Hopper</t>
  </si>
  <si>
    <t>Hopper</t>
  </si>
  <si>
    <t>Capital Innovators</t>
  </si>
  <si>
    <t>Mr. Frank Hopper serves as Managing Director at Capital Innovators. Previously, he served as Program Director at Capital Innovators. He manages the operations of the Capital Innovators Accelerator Programs. This includes recruiting and sourcing deal flow, investment negotiations, due diligence, mentor relations, investor relations, marketing, and innovation consulting. Prior to joining Capital Innovators, he spent several years in the marketing and event management world where he planned, implemented and reviewed marketing strategies and event operations plans for endurance events with over 30,000 attendees. He also volunteers his time and skills with several non-profits in the St. Louis area. He holds a Bachelor's Degree in Public Relations from Illinois State University.</t>
  </si>
  <si>
    <t>+1 (314) 669-5832</t>
  </si>
  <si>
    <t>frank.hopper@capitalinnovators.com</t>
  </si>
  <si>
    <t>4240 Duncan Avenue</t>
  </si>
  <si>
    <t>41624-47P</t>
  </si>
  <si>
    <t>Judy Sindecuse JD</t>
  </si>
  <si>
    <t>Sindecuse</t>
  </si>
  <si>
    <t>Ms. Judy Sindecuse serves as Board Member at Beast. She serves as Board Member at Verax Research Services. She is the Founder and serves as a Chief Executive Officer and Managing Partner at Capital Innovators. She serves as Advisor at Hatchbuck. She is a visionary leader with a proven track record of starting companies and making them profitable, delivering the highest possible return on investment. Furthermore, she has an exemplary ability to identify and profit from niche markets. She is well-organized and efficient, with major strengths in business development, profit and loss responsibility, budgeting, business turnarounds, and the development of solutions for any organizational challenge. She is the founder and CEO of Bride and Groom Magazine and brideandgroom.com; founder and former CEO of Oversees Colorworks and Printing, an international marketing and print brokerage management company; and founder and former CEO of Redesign, a real-estate development company. She also serves as Board Member at CarServ and Recursive Labs.</t>
  </si>
  <si>
    <t>judy.sindecuse@capitalinnovators.com</t>
  </si>
  <si>
    <t>Founder, Chief Executive Officer &amp; Managing Partner</t>
  </si>
  <si>
    <t>426355-30P</t>
  </si>
  <si>
    <t>Boris Burkhardt</t>
  </si>
  <si>
    <t>Burkhardt</t>
  </si>
  <si>
    <t>CapitalT</t>
  </si>
  <si>
    <t>Mr. Boris Burkhardt serves as Executive at CapitalT. He has a diverse skill set. He is a field hockey player for the Dutch national team and serves as the current captain of the Amsterdamsche Hockey &amp; Bandy Club (AH&amp;BC). He has played several international tournaments across the world, earning both team and individual awards.</t>
  </si>
  <si>
    <t>boris@capitaltvc.com</t>
  </si>
  <si>
    <t>Fred Roeskestraat</t>
  </si>
  <si>
    <t>1076 EE</t>
  </si>
  <si>
    <t>217004-05P</t>
  </si>
  <si>
    <t>Eva Mol Ph.D</t>
  </si>
  <si>
    <t>Eva</t>
  </si>
  <si>
    <t>Ms. Eva Mol is the Founding Partner at CapitalT. She has a PhD in economics from the Vrije Universiteit Amsterdam and the University of California, Berkeley, Haas School of Business. She has collected the data of more than 1,000 entrepreneurial teams over time to identify what made the most successful teams stand out. That research formed the basis of VCVolt. As an expert on teams and entrepreneurship, she has worked with top-class VCs in Silicon Valley, including Founders Fund and Kleiner Perkins, as well as on investments across Europe. She is one of the few venture capital investors able to truly apply a human capital perspective in her investment practice and is seen as a changemaker in the international investment industry. Her work is published in top-tier scientific journals and she's a regular contributor to the Harvard Business Review.</t>
  </si>
  <si>
    <t>eva@capitaltvc.com</t>
  </si>
  <si>
    <t>48646-45P</t>
  </si>
  <si>
    <t>Janneke Niessen</t>
  </si>
  <si>
    <t>Janneke</t>
  </si>
  <si>
    <t>Niessen</t>
  </si>
  <si>
    <t>Ms. Janneke Niessen is a Co-Founder &amp; serves as a Partner at CapitalT. She also serves as Chairman at Scholt Energy. He served as a Board Member at SwipeGuide. Ms. Niessen has started and exited two international technology companies. Ms. Niessen is on the board of several organizations and is regularly asked for advice by the government, all at the crossroads of technology, talent, investing, and diversity. Ms. Niessen periodically speaks at international events, appears in podcasts, and writes for several publications such as Fortune MPW, TNW, Wonder Women Tech, Inc., Cambridge, and Jinek.</t>
  </si>
  <si>
    <t>+31 (0)61 136 6334</t>
  </si>
  <si>
    <t>janneke@capitaltvc.com</t>
  </si>
  <si>
    <t>94617-91P</t>
  </si>
  <si>
    <t>Cindy Bi</t>
  </si>
  <si>
    <t>Bi</t>
  </si>
  <si>
    <t>CapitalX</t>
  </si>
  <si>
    <t>Ms. Cindy Bi is a Founding Partner of Zillionize. Ms. Bi serves as General Partner at CapitalX. She serves as Angel Investor at Cindy Bi. She served as Executive at Zillionize. She is an Angel Investor. Previously she was a Consultant at Accenture.</t>
  </si>
  <si>
    <t>+1 (650) 422-8008</t>
  </si>
  <si>
    <t>cindy@capitalx.vc</t>
  </si>
  <si>
    <t>+1 (310) 726-2950</t>
  </si>
  <si>
    <t>Zillionize</t>
  </si>
  <si>
    <t>303565-78P</t>
  </si>
  <si>
    <t>Zituo Chen</t>
  </si>
  <si>
    <t>Zituo</t>
  </si>
  <si>
    <t>Mr. Zituo Chen serves as a Partner at WAGMI Ventures. He is an Investor of CapitalX. He serves as a Venture Partner at WAGMI Ventures. He is an Investor of CapitalX. He served as Executive, Investor Relations at Athena Ventures. He is an Angel Investor.</t>
  </si>
  <si>
    <t>zituo@wagmiventures.io</t>
  </si>
  <si>
    <t>246 West 48th Street</t>
  </si>
  <si>
    <t>2A</t>
  </si>
  <si>
    <t>WAGMI Ventures (Texas)</t>
  </si>
  <si>
    <t>402172-39P</t>
  </si>
  <si>
    <t>Alexander Martin</t>
  </si>
  <si>
    <t>Capricorn Investment Group</t>
  </si>
  <si>
    <t>Mr. Alexander Martin serves as Investment Associate at Capricorn Investment Group. He was an Investment Banking Associate at Deutsche Bank in the Global Industrials Group. He earned a B.S. in Management, Concentration in Economics, and B.A. in Political Science from Boston College.</t>
  </si>
  <si>
    <t>+1 (646) 289-3030</t>
  </si>
  <si>
    <t>amartin@capricornllc.com</t>
  </si>
  <si>
    <t>512 West 22nd Street</t>
  </si>
  <si>
    <t>10011</t>
  </si>
  <si>
    <t>324723-16P</t>
  </si>
  <si>
    <t>Alexandra Acosta</t>
  </si>
  <si>
    <t>Ms. Alexandra Acosta serves as Chief Compliance Officer &amp; Member of Operations Team at Capricorn Investment Group. She joined the firm in 2025. Prior to Capricorn, she served as Chief Compliance Officer and member of the Executive Team at Ethic, a $6 billion impact-focused investment advisor. Before joining Ethic, she worked at RTW Investments, where she focused on scaling its legal and compliance program. Prior to that, she worked at Greentech Capital Advisors, where she built a compliance program around its newly developed investment management business. She began her career as an Investment Banking Analyst in the Global Healthcare Division of Lehman Brothers. She has held other positions at Wafra Investment Advisory Group, Goldman Sachs, and Lyxor Asset Management. She holds a JD from Fordham University School of Law, a BBA with a concentration in International Business from Florida International University, and is licensed to practice law in New York.</t>
  </si>
  <si>
    <t>aacosta@capricornllc.com</t>
  </si>
  <si>
    <t>Chief Compliance Officer &amp; Member of Operations Team</t>
  </si>
  <si>
    <t>287988-85P</t>
  </si>
  <si>
    <t>Brendan Larar</t>
  </si>
  <si>
    <t>Larar</t>
  </si>
  <si>
    <t>Mr. Brendan Larar serves as Director, Investments at Capricorn Investment Group. He is responsible for sourcing investment opportunities, due diligence, and deal structuring. He joined Capricorn in 2019. Prior to joining Capricorn, he served as a technology consultant for alternative asset managers. He earned a B.S. in Industrial &amp; Labor Relations and a Master's in Information Sciences from Cornell University.</t>
  </si>
  <si>
    <t>+1 (650) 331-8800</t>
  </si>
  <si>
    <t>blarar@capricornllc.com</t>
  </si>
  <si>
    <t>250 University Avenue</t>
  </si>
  <si>
    <t>405955-18P</t>
  </si>
  <si>
    <t>Ciara Reynolds</t>
  </si>
  <si>
    <t>Ms. Ciara Reynolds serves as Associate, Investor Relations at Capricorn Investment Group. She joined the firm in 2022. Prior to Capricorn, she worked in active fixed income management at PIMCO, where she managed institutional corporate client relationships. She graduated with a Bachelor's degree in Finance and Marketing from Tulane University.</t>
  </si>
  <si>
    <t>creynolds@capricornllc.com</t>
  </si>
  <si>
    <t>Associate, Investor Relations</t>
  </si>
  <si>
    <t>444947-95P</t>
  </si>
  <si>
    <t>Claire Friou</t>
  </si>
  <si>
    <t>Friou</t>
  </si>
  <si>
    <t>Ms. Claire Friou serves as Analyst, Investment Team at Capricorn Investment Group. She joined the firm in 2025. Prior to Capricorn, she worked as a Product Manager at BlackRock focused on technology solutions for portfolio managers and traders. She holds a B.A. from Columbia University in Mathematics and Computer Science.</t>
  </si>
  <si>
    <t>cfriou@capricornllc.com</t>
  </si>
  <si>
    <t>Analyst, Investment Team</t>
  </si>
  <si>
    <t>35932-60P</t>
  </si>
  <si>
    <t>Deepak Ahuja</t>
  </si>
  <si>
    <t>Ahuja</t>
  </si>
  <si>
    <t>Mr. Deepak Ahuja serves as Board Member &amp; Chair of the Audit Committee at NetApp ( Systems and Information Management). He serves as Chief Financial Officer &amp; Chief Business Officer at Zipline. Previously, he served as CFO of Tesla from 2008 to 2015 and from 2017 to 2019. One of Tesla's longest-serving executives, Mr. Deepak Ahuja played a role in the company's rise from startup to a large-cap energy company. Deepak was Tesla's first finance chief and helped guide it through its IPO in addition to raising several billion dollars of capital to fuel its growth. Prior to Tesla, Mr. Deepak Ahuja was at Ford Motor Company for 15 years, which provided him experience in manufacturing, marketing &amp; sales, product development, treasury, and acquisitions/divestitures. Mr. Deepak Ahuja was named CFO of the year in 2010 for small public companies by Silicon Valley Business Journal. Mr. Deepak Ahuja holds an M.S. in industrial administration from Carnegie Mellon University, an M.S. in materials engineering from Northwestern University, and a B. Tech in ceramic engineering from Banaras Hindu University in India.</t>
  </si>
  <si>
    <t>+1 (408) 822-6000</t>
  </si>
  <si>
    <t>deepaka@netapp.com</t>
  </si>
  <si>
    <t>3060 Olsen Drive</t>
  </si>
  <si>
    <t>95128</t>
  </si>
  <si>
    <t>+1 (408) 822-4501</t>
  </si>
  <si>
    <t>Board Member &amp; Chair of the Audit Committee</t>
  </si>
  <si>
    <t>NetApp (Systems and Information Management)</t>
  </si>
  <si>
    <t>38923-39P</t>
  </si>
  <si>
    <t>Dipender Saluja</t>
  </si>
  <si>
    <t>Dipender</t>
  </si>
  <si>
    <t>Saluja</t>
  </si>
  <si>
    <t>Mr. Dipender Saluja serves as Partner, Member of the Investment Team &amp; Co-Managing Partner, Technology Impact Fund at Capricorn Investment Group. He serves as Board Member at Electra. He is an Angel Investor. He serves as a Board Member at Planet Labs. He serves as a Board Member at Eridan. He served as a Board Member at LARQ Bottle and Joby Aviation. He served as a Board Member at Summit Nanotech, Rayvio, Sense and Embrace Innovations. He served as President and Chief Executive Officer at Automatics. He serves as a Member of the Investment Advisory Committee at PRIME Coalition. He is a Board Member at Innovum. He oversees investments in energy technology, cleantech, and IT. Before Capricorn, he served as Chief of Staff at Cadence, a global market leader in electronic design, where he built and managed businesses that worked closely with the leading electronics companies around the world. He also serves as a Board Member at Navitas. He serves as President and Chief Executive Officer at Automatiks Inc., a Capricorn portfolio company developing electronic connectivity platforms for electric and hybrid vehicles, storage, and smart grids. He is a by training and attended UND, the University of Minnesota, and Stanford. He serves as a Board Member at QuantumScape. He also serves as a Board Member at Got It AI. He serves as a Board Member at Liquidity. He also serves as a Board Member at Electric Hydrogen. He served as Board Member at Halio.</t>
  </si>
  <si>
    <t>+1 (415) 829-3313</t>
  </si>
  <si>
    <t>dsaluja@capricornllc.com</t>
  </si>
  <si>
    <t>645 Harrison Street</t>
  </si>
  <si>
    <t>Planet Labs</t>
  </si>
  <si>
    <t>402173-20P</t>
  </si>
  <si>
    <t>Eric Mong</t>
  </si>
  <si>
    <t>Mong</t>
  </si>
  <si>
    <t>Mr. Eric Mong serves as Analyst, Investments at Capricorn Investment Group. Prior to joining Capricorn, he served as an Acquisition Analyst for AWH, a national hotel real estate investment, management, and development platform. Prior to AWH, he worked at MetLife Investment Management in the Real Estate Equity Strategies Group. He earned a B.S. in Finance from Rutgers University.</t>
  </si>
  <si>
    <t>emong@capricornllc.com</t>
  </si>
  <si>
    <t>Analyst, Investments</t>
  </si>
  <si>
    <t>81558-73P</t>
  </si>
  <si>
    <t>Eric Techel</t>
  </si>
  <si>
    <t>Techel</t>
  </si>
  <si>
    <t>Mr. Eric Techel serves as Partner, Member of Finance &amp; Operations Team, Chief Financial Officer, and Co-Chief Compliance Officer at Capricorn Investment Group. Mr. Techel served as Chief Financial Officer at Sustainable Development Acquisition I Corp. He was a Former Senior Manager with Deloitte in the Special Acquisition Services Group, focusing on potential acquisitions of KKR. He received his Bachelor's degree in Economics from the University of California, Los Angeles, and is a CPA (inactive).</t>
  </si>
  <si>
    <t>etechel@capricornllc.com</t>
  </si>
  <si>
    <t>Partner, Member of Finance &amp; Operations Team, Co-Chief Financial Officer, and Chief Compliance Officer</t>
  </si>
  <si>
    <t>402162-13P</t>
  </si>
  <si>
    <t>Finlay Collins</t>
  </si>
  <si>
    <t>Finlay</t>
  </si>
  <si>
    <t>Mr. Finlay Collins serves as Analyst, Investments at Capricorn Investment Group. Prior to joining Capricorn, he served as a Business Partnerships Associate at 3Degrees, a climate change solutions platform with environmental commodities trading capabilities and sustainability consulting services. Prior to 3Degrees, he worked at J.P. Morgan as an Investment Banking Analyst on the Software Coverage team. He earned a B.Sc. in Economics from the University of Pennsylvania, The Wharton School.</t>
  </si>
  <si>
    <t>fcollins@capricornllc.com</t>
  </si>
  <si>
    <t>42045-40P</t>
  </si>
  <si>
    <t>Ion Yadigaroglu Ph.D</t>
  </si>
  <si>
    <t>Ion</t>
  </si>
  <si>
    <t>Yadigaroglu</t>
  </si>
  <si>
    <t>Dr. Ion Yadigaroglu is a Co-Founder and serves as Member of the Investment Team &amp; Partner at Capricorn Investment Group. He served as a Board member at TrueCar &amp; Erthos. He is a Co-Founder and serves as a Member of the Investment Committee and Partner of Capricorn Investment Group. He serves as an Independent Non-Executive Director at Greensphere Capital. He served as a Board Member at Targeted Growth &amp; Agrica. He serves as a Board Member at Fervo Energy. He serves as a Board member at Falcon Water Technologies. He oversees investment activities, with an emphasis on direct investments and proprietary strategies. Before Capricorn, he was a Director of Business Development (M&amp;A) with Koch Industries, executing a range of acquisitions and investments. Before Koch, he was a founder and Chief Executive Officer at Bivio, a software business in Colorado, and an Analyst for Olsen &amp; Associates, a foreign exchange trading house. He was a research fellow at Columbia University and holds a master's in Physics from Eidgenössische Technische Hochschule Zürich in Switzerland and a Ph.D. in Astrophysics from Stanford University.</t>
  </si>
  <si>
    <t>ion@capricornllc.com</t>
  </si>
  <si>
    <t>Co-Founder, Member of the Investment Team &amp; Partner</t>
  </si>
  <si>
    <t>59483-17P</t>
  </si>
  <si>
    <t>James Lyons Ph.D</t>
  </si>
  <si>
    <t>Lyons</t>
  </si>
  <si>
    <t>Dr. James Lyons serves as Chief Technologist at Capricorn Investment Group. Dr. Lyons served as Chief Technologist at Energy Innovations. Dr. James Lyons was a Co-Founder and served as Venture Partner and Chief Technology Officer at Novus Energy Partners. Dr. James also serves as Chief Technology Officer at Capricorn Investment Group. He served as Board Member in Boulder Wind Power. Dr. James Lyons was previously a Chief Engineer at GE's Corporate R&amp;D Center and technology leader for a global R&amp;D team in Germany, the US, India, &amp; China. Jim championed renewable energy within GE and co-led GE's entry into wind power, serving as the chief technologist of the new business. Dr. James Lyons has authored more than 25 technical papers and holds more than 40 US patents.</t>
  </si>
  <si>
    <t>jlyons@capricornllc.com</t>
  </si>
  <si>
    <t>Chief Technologist</t>
  </si>
  <si>
    <t>88655-77P</t>
  </si>
  <si>
    <t>Jeffrey Skoll</t>
  </si>
  <si>
    <t>Skoll</t>
  </si>
  <si>
    <t>Mr. Jeffrey Skoll is the Founder &amp; serves as Board Chair at The Skoll Foundation. He is also a Co-Founder of Capricorn Investment Group. Mr. Skoll is the Owner of Pacific Sequoia Holdings. Previously, he also served as the Chairman. He is a philanthropist and social entrepreneur, working to bring life to his vision of a sustainable world of peace and prosperity. As the first full-time employee and President of eBay, he developed the company's inaugural business plan and helped lead its successful initial public offering and the creation of the eBay Foundation. Over the last 15 years, he has created an innovative portfolio of philanthropic and commercial enterprises, each a distinctive social catalyst. Together, these organizations galvanize public will and mobilize critical resources to accelerate large-scale social impact. He created the Skoll Foundation in 1999 to pursue his vision of a more peaceful, prosperous, and sustainable world. He holds a Bachelor's degree in Electrical Engineering from the University of Toronto and an MBA from the Stanford Graduate School of Business. He was appointed an Officer of the Order of Canada in 2012. His other recent honors include a career tribute at the Gotham Independent Film Awards (2012) and the John W. Gardner Leadership Award (2012). He is also an Angel Investor.</t>
  </si>
  <si>
    <t>+1 (650) 331-1031</t>
  </si>
  <si>
    <t>jskoll@skollfoundation.org</t>
  </si>
  <si>
    <t>+1 (650) 331-1033</t>
  </si>
  <si>
    <t>Founder &amp; Board Chair</t>
  </si>
  <si>
    <t>The Skoll Foundation</t>
  </si>
  <si>
    <t>248017-33P</t>
  </si>
  <si>
    <t>Jerome de Bontin</t>
  </si>
  <si>
    <t>de Bontin</t>
  </si>
  <si>
    <t>Mr. Jerome de Bontin serves as a Partner and member of the Client Solutions Team at Capricorn Investment Group. He serves as an Advisor at ReOcean Fund. He joined Capricorn in 2020 and is primarily responsible for sourcing investment opportunities and working with portfolio funds on strategy, marketing, and distribution. Previously, he was President and Chief Executive Officer of Mékar Financial Services, an Asset Management, and Investment Advisory firm, and its subsidiary Sustainability Investments, L.L.C (SILLC). Before founding Mékar in 1998, He was President and CEO of Crédit Agricole Futures, a French subsidiary of one of the world's largest banks and a pioneer in Trading Advisors and Hedge Fund investments. He graduated from Amherst College in 1981 with a degree in Economics.</t>
  </si>
  <si>
    <t>jdebontin@capricornllc.com</t>
  </si>
  <si>
    <t>Partner and Member of the Client Solutions Team</t>
  </si>
  <si>
    <t>444948-04P</t>
  </si>
  <si>
    <t>Jessica Ajoku</t>
  </si>
  <si>
    <t>Ajoku</t>
  </si>
  <si>
    <t>Ms. Jessica Ajoku serves as Associate, Client Solutions at Capricorn Investment Group. She joined the firm in 2023. Prior to Capricorn, she worked as an Analyst at Goldman Sachs within the Investment Management Division, as well as with the GS Launch team. She earned her MBA from the Wharton School at the University of Pennsylvania and her BSc from the Haas School of Business at the University of California, Berkeley.</t>
  </si>
  <si>
    <t>jajoku@capricornllc.com</t>
  </si>
  <si>
    <t>Associate, Client Solutions</t>
  </si>
  <si>
    <t>318644-29P</t>
  </si>
  <si>
    <t>Jones Thomas</t>
  </si>
  <si>
    <t>Mr. Jones Thomas serves as Managing Director at GreenScale Capital. Mr. Thomas serves as Investment Director at Capricorn Investment Group. He serves as Interim Chief Operating Officer at Respira. Before joining Capricorn, Thomas served as a student investment analyst for the Cornell University Endowment. Before the Cornell University Endowment, Thomas worked as a credit analyst at Credit Suisse and as a technology consultant on automation at Deloitte. Thomas completed his BTech in Electronics Engineering from the National Institute of Technology Calicut and MS in Financial Engineering from Cornell University.</t>
  </si>
  <si>
    <t>jones@greenscalecapital.com</t>
  </si>
  <si>
    <t>GreenScale Capital</t>
  </si>
  <si>
    <t>248013-73P</t>
  </si>
  <si>
    <t>Julia Mattox</t>
  </si>
  <si>
    <t>Mattox</t>
  </si>
  <si>
    <t>Ms. Julia Mattox serves as Director, Investor Relations at Capricorn Investment Group. Prior to joining Capricorn, Mattox worked in Investor Relations and Marketing with PAAMCO Prisma, an alternative investment management firm, where she managed institutional client relationships. Mattox is a graduate of the University of Virginia and holds the Chartered Alternative Investment Analyst (CAIA) designation.</t>
  </si>
  <si>
    <t>jmattox@capricornllc.com</t>
  </si>
  <si>
    <t>126108-19P</t>
  </si>
  <si>
    <t>Jy Bhardwaj Ph.D</t>
  </si>
  <si>
    <t>Jy</t>
  </si>
  <si>
    <t>Dr. Jy Bhardwaj serves as Entrepreneur-in-Residence at Capricorn Investment Group. He serves as Chief Technology Officer and Board Member at mySkin. He served as Chief Technology Officer at Lumileds Lighting. He was the leading global light engine company that supplies high-quality LED components to the downstream segments of the lighting and consumer industries as well as LED and conventional lamps to the automotive industry. Mr. Bhardwaj joined Philips Lumileds in May of 2010. Prior to joining, he served 7 years at JDSU where he held a number of senior management positions including CTO of Optical Communications after over 6 years of business unit leadership, including most recently, Vice-President and General Manager of Agile Optical Networks, which includes JDSU's market-leading optical transport product lines. Mr. Bhardwaj joined JDSU through the acquisition of Scion Photonics; a silicon valley based optical chip start-up, where he served as the CEO. Prior to Scion, Mr. Bhardwaj served as CTO at STS, a Sumitomo Precision Products company, developing and manufacturing semiconductor capital equipment. During his tenure, STS saw over 5 years of strong growth culminating in an IPO on the AIM in London at the end of 2000. Mr. Bhardwaj holds a Ph.D. and B.Eng degrees from Liverpool University.</t>
  </si>
  <si>
    <t>Santa Cruz</t>
  </si>
  <si>
    <t>Santa Cruz, CA</t>
  </si>
  <si>
    <t>1729 Seabright Avenue</t>
  </si>
  <si>
    <t>Suite G</t>
  </si>
  <si>
    <t>95062</t>
  </si>
  <si>
    <t>Chief Technology Officer &amp; Board Member</t>
  </si>
  <si>
    <t>Ringo AI</t>
  </si>
  <si>
    <t>138572-56P</t>
  </si>
  <si>
    <t>Karen Chen</t>
  </si>
  <si>
    <t>Ms. Karen Chen serves as Director of Finance &amp; Operations at Capricorn Investment Group. Prior to Capricorn, Chen was the Finance Director for National Press Photographers Association, and Senior Accountant at Rothstein Kass. Chen received a B.S. in Health Administration and a Master's in Accounting from the University of North Carolina.</t>
  </si>
  <si>
    <t>karen@capricornllc.com</t>
  </si>
  <si>
    <t>Director of Finance &amp; Operations</t>
  </si>
  <si>
    <t>41495-77P</t>
  </si>
  <si>
    <t>Knut Simonsen</t>
  </si>
  <si>
    <t>Knut</t>
  </si>
  <si>
    <t>Simonsen</t>
  </si>
  <si>
    <t>Mr. Knut Simonsen serves as Senior Vice President - DTE Midstream at DTE Energy.</t>
  </si>
  <si>
    <t>ksimonsen@capricornllc.com</t>
  </si>
  <si>
    <t>135988-66P</t>
  </si>
  <si>
    <t>Konrad Jarausch Ph.D</t>
  </si>
  <si>
    <t>Konrad</t>
  </si>
  <si>
    <t>Jarausch</t>
  </si>
  <si>
    <t>Dr. Konrad Jarausch serves as Chief Executive Officer and Board Member at mySkin. He serves as an Advisor at Augment Ventures. He also serves as an Entrepreneur-in-Residence at Capricorn Investment Group. He serves as a Venture Partner at Tolero Ventures. He serves as a Board Member at Lumenetix. He is an entrepreneur in residence at the Capricorn Investment Group where he provides analysis for Capricorn Libra investments and assists their portfolio companies. Mr. Jarausch is currently incubating a new company focused on improving value capture from technology innovation in lighting. Prior to joining Capricorn, he led Passport Capital's public market (long-short) and venture investments in clean tech/energy, materials, and nanotechnology. While at Passport, he developed a deep understanding of markets, supply chains, and business models, which informed his approach to generating risk-adjusted investment returns. He has been investing across the technology life-cycle, from experimental early-stage companies to mature commodity markets, while working closely with other investors to share perspectives and build deal-leading syndicates. Before becoming an investor, Mr. Jarausch led product development and marketing efforts for Hitachi's analytical instrumentation division where he worked with semiconductors, materials, solar, battery, and nanotechnology researchers and companies. He started his Silicon Valley career in the late 90s working on a development line at Intel Corporation. At Intel, he managed the failure analysis group in the yield organization and led cross-functional teams to drive manufacturing, process, product, and materials improvements. Prior to joining Intel, he worked at Sandia National Laboratory where he focused on the characterization and synthesis of nanomaterials. Mr. Jarausch has a Ph.D. in Materials Science from North Carolina State University, where he was trained as a microscopist to study the structure-property relationships of materials. Throughout his career, he has sought out opportunities to integrate skills from different disciplines to solve complex problems and create value.</t>
  </si>
  <si>
    <t>+1 (919) 967-5344</t>
  </si>
  <si>
    <t>kjarausch@ringoai.com</t>
  </si>
  <si>
    <t>287999-20P</t>
  </si>
  <si>
    <t>Kunle Apampa</t>
  </si>
  <si>
    <t>Kunle</t>
  </si>
  <si>
    <t>Apampa</t>
  </si>
  <si>
    <t>Mr. Kunle Apampa serves as Director of the Client Solutions Team and Head of Client Solutions &amp; Partnerships. at Capricorn Investment Group. He serves as a Venture Partner at Akili Ventures. He also serves as Advisor at Ajim Capital. He joined the firm in 2021. Prior to Capricorn, Apampa formed and led the Strategic Partnerships &amp; Portfolio Solutions team at Goldman Sachs Imprint, an ESG &amp; Impact Investment unit within the Alternative Investments &amp; Manager Selection (AIMS) group. Apampa spent over a decade at Goldman Sachs, holding several leadership roles within the firm's Global Markets division as well as the Finance division. Apampa holds a BSc in Chemical Engineering, specializing in Energy, Environment &amp; Economics, from the Illinois Institute of Technology in Chicago.</t>
  </si>
  <si>
    <t>+1 (646) 289-3031</t>
  </si>
  <si>
    <t>kapampa@capricornllc.com</t>
  </si>
  <si>
    <t>Director of the Client Solutions Team and Head of Client Solutions &amp; Partnerships.</t>
  </si>
  <si>
    <t>318654-37P</t>
  </si>
  <si>
    <t>Kwan-Yin Graw</t>
  </si>
  <si>
    <t>Kwan-Yin</t>
  </si>
  <si>
    <t>Graw</t>
  </si>
  <si>
    <t>Ms. Kwan-Yin Graw serves as Associate, Client Solutions at Capricorn Investment Group. Prior to joining Capricorn, she served as an Associate Director at BankFWD, a non-profit focused on ending banks' fossil fuel financing. Prior to BankFWD, she worked at Bank of America Merrill Lynch on the Mortgage Back Securities trading desk. She earned a BSc in Finance and a minor in Economics from The Pennsylvania State University.</t>
  </si>
  <si>
    <t>kgraw@capricornllc.com</t>
  </si>
  <si>
    <t>104449-15P</t>
  </si>
  <si>
    <t>Mandira Reddy</t>
  </si>
  <si>
    <t>Mandira</t>
  </si>
  <si>
    <t>Reddy</t>
  </si>
  <si>
    <t>Ms. Mandira Reddy serves as Director of Investment Analytics at Capricorn Investment Group. She joined Capricorn in 2013. Prior to Capricorn, Reddy served as a Portfolio Manager for Intel Capital and a Corporate Finance Analyst for Intel. Reddy received her M.S. in Finance from the University of Illinois at Urbana- Champaign and an M.B.A. from T.A. Pai Management Institute in India. Reddy is also a CFA charter holder.</t>
  </si>
  <si>
    <t>mandira@capricornllc.com</t>
  </si>
  <si>
    <t>Director, Investment Analytics</t>
  </si>
  <si>
    <t>318655-54P</t>
  </si>
  <si>
    <t>Marie-Céline Damnon</t>
  </si>
  <si>
    <t>Marie-Céline</t>
  </si>
  <si>
    <t>Damnon</t>
  </si>
  <si>
    <t>Ms. Marie-Céline Damnon serves as Investment Director at Capricorn Investment Group. Ms. Damnon joined the firm in 2018. Prior to Capricorn, she worked as a consultant at Akoya Consulting. She earned her Master in Management and MSc in Sustainability and Social Innovation both from HEC Paris.</t>
  </si>
  <si>
    <t>mcdamnon@capricornllc.com</t>
  </si>
  <si>
    <t>237880-63P</t>
  </si>
  <si>
    <t>Mark Berryman</t>
  </si>
  <si>
    <t>Berryman</t>
  </si>
  <si>
    <t>Mr. Mark Berryman serves as Managing Director, Impact Investments and Investment Committee Member at The Caprock Group. He serves as a Member of the Investment Advisory Committee at New Summit Investments. He serves as Partner, Investments &amp; Investment Team Member at Capricorn Investment Group. He leads Caprock's impact and sustainable investment pipeline and portfolio. He has 18 years of experience in impact investing and emerging markets finance. Prior to joining Caprock, he spent over a decade as a Lead Investment Officer with the International Finance Corporation (IFC) of the World Bank Group, focused on investing in impact funds and financial institutions in emerging markets. While at the IFC, he was field-based in Istanbul, Beijing, Mali, and Washington, DC. He also led Deutsche Bank's Global Social Investment Funds Group, launching and managing global structured debt funds for financial inclusion and social enterprises. He holds an MBA and a Master's in International Affairs from Georgetown University and a BA in Accounting from the University of Colorado, Boulder. He began his career as a three-year Peace Corps Volunteer in Mali, West Africa, and has held other positions in the private sector and within the World Bank Group before joining the IFC.</t>
  </si>
  <si>
    <t>+1 (208) 368-9600</t>
  </si>
  <si>
    <t>mberryman@caprock.com</t>
  </si>
  <si>
    <t>156 5th Avenue</t>
  </si>
  <si>
    <t>Suite 804</t>
  </si>
  <si>
    <t>+1 (408) 608-1902</t>
  </si>
  <si>
    <t>Managing Director, Impact Investments &amp; Investment Committee Member</t>
  </si>
  <si>
    <t>The Caprock Group</t>
  </si>
  <si>
    <t>377675-65P</t>
  </si>
  <si>
    <t>Mathilde Fournier</t>
  </si>
  <si>
    <t>Mathilde</t>
  </si>
  <si>
    <t>Ms. Mathilde Fournier serves as Associate, Client Solutions at Capricorn Investment Group. She joined the firm in 2022. Before Capricorn, she worked as an advisor at the French Government Spokesperson's office and as a financial consultant at Accuracy. She earned her Master's in Management from HEC Paris and her Master's of Public Affairs from Sciences Po Paris.</t>
  </si>
  <si>
    <t>mfournier@capricornllc.com</t>
  </si>
  <si>
    <t>75985-93P</t>
  </si>
  <si>
    <t>Michaela Edwards</t>
  </si>
  <si>
    <t>Michaela</t>
  </si>
  <si>
    <t>Ms. Michaela Edwards serves as Partner, Investments at Capricorn Investment Group. She serves as an Advisory Board member at Ecofin. She serves as a Board Member at Lafayette Square. She serves as a Board Member at Osmosis Investment Management. She served as Financial Controller at Fawsley Hall. Prior to joining Capricorn in 2019, she spent nine years as a Senior Portfolio Manager with Norges Bank Investment Management, the sovereign wealth fund of Norway, where she sourced, constructed, and managed a two-billion-dollar global environmental portfolio in addition to mandates in Latin America and developed markets. Prior to Norges, she worked as a research analyst for Russell Investments in London and New York. She received an MSc in Investment Management from Cass Business School in London and her Bachelor's degree in International Business from Oslo University College.</t>
  </si>
  <si>
    <t>medwards@capricornllc.com</t>
  </si>
  <si>
    <t>Partner, Investments</t>
  </si>
  <si>
    <t>52613-29P</t>
  </si>
  <si>
    <t>Nicolas Flores</t>
  </si>
  <si>
    <t>Flores</t>
  </si>
  <si>
    <t>Mr. Nicolas Flores serves as Managing Director of Impact Investments &amp; Client Advisor at The Caprock Group. He serves as Partner &amp; Member of the Client Solutions Team at Capricorn Investment Group. He brings to The CAPROCK Group a diversity of financial and business development experience, with particular expertise in impact investing and real assets. In his previous position with Emcor Securities, he designed investment strategies for the firm's impact-oriented clients and crafted business plans for the firm's sustainable forestry initiatives within the timberland space. Before that, he served as a Director at Investors' Circle, where he managed deal sourcing and due diligence on behalf of the angel investor network. He also worked at Green For All, which was focused on launching a social investment fund, as well as providing technical assistance to entrepreneurs, all to stimulate job creation and environmental sustainability in urban communities. Before committing his career to impact, he worked in commercial real estate and sports for nearly a decade. He holds an MBA and BA (with Honors), both from Stanford University.</t>
  </si>
  <si>
    <t>+1 (208) 994-7016</t>
  </si>
  <si>
    <t>nick@caprock.com</t>
  </si>
  <si>
    <t>Boise</t>
  </si>
  <si>
    <t>Boise, ID</t>
  </si>
  <si>
    <t>800 West Main Street</t>
  </si>
  <si>
    <t>Suite 1150</t>
  </si>
  <si>
    <t>Idaho</t>
  </si>
  <si>
    <t>83702</t>
  </si>
  <si>
    <t>Managing Director, Impact Investment &amp; Client Advisor</t>
  </si>
  <si>
    <t>348091-03P</t>
  </si>
  <si>
    <t>Nicolas Van lierde</t>
  </si>
  <si>
    <t>Van lierde</t>
  </si>
  <si>
    <t>Mr. Nicolas Van lierde serves as Senior Advisor at Capricorn Investment Group. Mr. Van lierde served as Senior Investment Manager at ADQ. He co-founded and served as Managing Director at VisiYou.</t>
  </si>
  <si>
    <t>30764-17P</t>
  </si>
  <si>
    <t>Robert Schultz</t>
  </si>
  <si>
    <t>Mr. Robert Schultz serves as Partner and Member of the Client Solutions Team at Capricorn Investment Group. He serves as a Board Member at Respira. Mr. Schultz served as Partner, Chief Operating Officer, Chief Legal Officer, and Chief Compliance Officer at Nomura Greentech Capital Advisors. Mr. Schultz has over 25 years of experience running and building successful businesses. Mr. Schultz is also the Chief Compliance Officer and Chief Legal Officer for the group. Mr. Schultz is one of the founding members of GCA and works on all strategic initiatives as well as manages the firm's infrastructure. Prior to GCA, Mr. Schultz was Managing Director and Chief Operating Officer of Morgan Stanley Fund Services. Prior to Morgan Stanley, Mr. Schultz was Managing Director and the Head of HSBC's Alternative Fund Services in North America. Mr. Schultz is also the Director and Vice President of Hedge Funds Care.</t>
  </si>
  <si>
    <t>robert@capricornllc.com</t>
  </si>
  <si>
    <t>81556-21P</t>
  </si>
  <si>
    <t>William Orum</t>
  </si>
  <si>
    <t>Orum</t>
  </si>
  <si>
    <t>Mr. William Orum serves as Partner &amp; Investment Team Member at Capricorn Investment Group. He serves as an Advisor at Community Investment Management. He leads marketable investment strategies and oversees asset allocation and risk management in the portfolio. Prior to Capricorn, he worked as an investment banker in Merrill Lynch's global industries group in Palo Alto. He received a BA in Political Science from Amherst College and an MBA with specialization in finance and economics from the NYU Stern School of Business, both with honors.</t>
  </si>
  <si>
    <t>bill@capricornllc.com</t>
  </si>
  <si>
    <t>Partner &amp; Investment Team Member</t>
  </si>
  <si>
    <t>318772-27P</t>
  </si>
  <si>
    <t>Yuliya Sharinova</t>
  </si>
  <si>
    <t>Yuliya</t>
  </si>
  <si>
    <t>Sharinova</t>
  </si>
  <si>
    <t>Ms. Yuliya Sharinova serves as Portfolio Management Senior Analyst at Capricorn Investment Group. She joined the firm in 2014. Prior to Capricorn, Sharinova worked in the valuation practice of various professional services companies. Her position immediately prior to Capricorn was with the transaction advisory practice of Ernst &amp; Young. Sharinova received her B.S. in Business Administration with a double concentration in accounting and finance from San Jose State University. She also holds Bachelor's and Master's-equivalent degrees in Linguistics and Translation from Alfred Nobel University in Ukraine. Sharinova is a CFA charter holder.</t>
  </si>
  <si>
    <t>+16503318827</t>
  </si>
  <si>
    <t>ysharinova@capricornllc.com</t>
  </si>
  <si>
    <t>Portfolio Management Senior Analyst</t>
  </si>
  <si>
    <t>402512-77P</t>
  </si>
  <si>
    <t>Adrian Button</t>
  </si>
  <si>
    <t>Button</t>
  </si>
  <si>
    <t>Carrier Global</t>
  </si>
  <si>
    <t>Mr. Adrian Button serves as Senior Vice President, Operations at Carrier Global. In this role, he is responsible for all aspects of Carrier's global operations, including driving improved demand planning and sales, inventory &amp; operations planning processes, supply chain resiliency and factory productivity across Carrier manufacturing operations. He is also responsible for advanced manufacturing, operations transformation, EH&amp;S and quality. Prior to Carrier, he was with National Cash Register (NCR), where he served as Executive Vice President, Product &amp; Service Operations, overseeing NCR's global hardware, field service, procurement, manufacturing and engineering operations. Over the course of his 30-year career, he has held several senior general management and operations roles, including 22 years at General Electric where he worked across the GE Aviation, Oil &amp; Gas and Industrial Solutions divisions, with international assignments in the Middle East, North Africa and Europe. He holds a BEng Honors degree in Mechanical Engineering from the University of Glamorgan in the United Kingdom, and was awarded an Honorary Fellowship from the University in 2015.</t>
  </si>
  <si>
    <t>+1 (561) 365-2000</t>
  </si>
  <si>
    <t>adrian.button@carrier.com</t>
  </si>
  <si>
    <t>Palm Beach Gardens</t>
  </si>
  <si>
    <t>Palm Beach Gardens, FL</t>
  </si>
  <si>
    <t>13995 Pasteur Boulevard</t>
  </si>
  <si>
    <t>33418</t>
  </si>
  <si>
    <t>Senior Vice President, Operations</t>
  </si>
  <si>
    <t>249860-53P</t>
  </si>
  <si>
    <t>Ajay Agrawal</t>
  </si>
  <si>
    <t>Mr. Ajay Agrawal serves as Chief Strategy Officer and SVP, of Global Services and Healthy Buildings at Carrier Corporation. He is Senior Vice President, Strategy &amp; Services, for Carrier. He also serves as a Senior Vice President at Carrier Ventures. In this role, he is responsible for defining and executing Carrier's strategic vision and priorities, and working closely with the business unit presidents to develop and implement a compelling and executable services and aftermarket strategy. Prior to joining Carrier, he served as Vice President of aftermarket Services, for Collins Aerospace, leading the worldwide commercial and military aftermarket business and customer service organizations including long-term aftermarket programs, spares, part repairs, asset management, and technical support. He brings a unique ability to partner with customers to find creative business solutions and has a history of driving results leading to strong, trust-based customer relationships. He has extensive experience in developing and implementing practical business strategies with previous roles in UTC Corporate Strategy and Bain &amp; Company. He holds a doctorate in engineering from the University of Missouri and an MBA from Carnegie Mellon University.</t>
  </si>
  <si>
    <t>ajay.agrawal@carrier.com</t>
  </si>
  <si>
    <t>342468-19P</t>
  </si>
  <si>
    <t>Bobby George</t>
  </si>
  <si>
    <t>Executive &amp; Senior Executive Vice President</t>
  </si>
  <si>
    <t>Mr. Bobby George serves as Chief Digital Officer &amp; Senior Vice President at Carrier Corporation for Carrier, leading the company's global digital and information technology strategies and operations. In this role, he is responsible for identifying digital strategies that drive greater levels of customer satisfaction, build new revenue sources and make Carrier a more efficient enterprise. Bobby has over 25 years of experience in the digital and information technology field. He joined Carrier in 2018 from General Electric, where he served as Senior Vice President &amp; Chief Information Officer for Manufacturing, Engineering &amp; Services. Prior to that, Bobby held digital roles with increasing leadership responsibility at General Electric, St. Jude Medical (Abbott) and Accenture. Bobby holds a bachelor's degree in chemical engineering from the National Institute of Technology Rourkela and an MBA from the International Management Institute.</t>
  </si>
  <si>
    <t>bobby.george@carrier.com</t>
  </si>
  <si>
    <t>Chief Digital Officer &amp; Senior Vice President</t>
  </si>
  <si>
    <t>225168-13P</t>
  </si>
  <si>
    <t>David Gitlin JD</t>
  </si>
  <si>
    <t>Gitlin</t>
  </si>
  <si>
    <t>Mr. David Gitlin serves as Chief Executive Officer &amp; Chairman at Carrier Global. Mr. Gitlin serves as Board Member, Member of the Aerospace Safety Committee and Audit Committee at Boeing. He previously served as President &amp; CEO and was elected Chairman of the Board in April 2021. Before joining Carrier, he was President and Chief Operating Officer of Collins Aerospace, which was created by bringing together UTC Aerospace Systems and Rockwell Collins. Prior to Collins Aerospace, he was President of UTC Aerospace Systems, which was created by bringing together Goodrich Corporation and Hamilton Sundstrand. Prior to UTC Aerospace Systems, Dave worked for Hamilton Sundstrand as President of Aerospace Customers &amp; Business Development; President of Auxiliary Power, Engine &amp; Control Systems; Vice President and General Manager of Hamilton Sundstrand Power Systems; Vice President of Pratt &amp; Whitney programs; and General Manager of Rolls-Royce/General Electric programs. Dave also served in roles at the corporate office of United Technologies Corporation and Pratt &amp; Whitney. Dave earned a bachelor's degree from Cornell University, a Juris Doctor from the University of Connecticut School of Law, and an MBA from MIT's Sloan School of Management. He serves on the Board of Directors for The Boeing Company and is a member of the MIT Sloan Executive Board, Business Roundtable, and Business Council. Dave and his wife Stephanie have three children.</t>
  </si>
  <si>
    <t>david.gitlin@carrier.com</t>
  </si>
  <si>
    <t>Hartford</t>
  </si>
  <si>
    <t>Hartford, CT</t>
  </si>
  <si>
    <t>445080-25P</t>
  </si>
  <si>
    <t>Edward Dryden</t>
  </si>
  <si>
    <t>Dryden</t>
  </si>
  <si>
    <t>Mr. Edward Dryden serves as President, Climate Solutions Transportation at Carrier Global.</t>
  </si>
  <si>
    <t>edward.dryden@carrier.com</t>
  </si>
  <si>
    <t>President, Climate Solutions Transportation</t>
  </si>
  <si>
    <t>176144-68P</t>
  </si>
  <si>
    <t>Guy Colglazier</t>
  </si>
  <si>
    <t>Colglazier</t>
  </si>
  <si>
    <t>Mr. Guy Colglazier serves as Vice President &amp; General Manager at Carrier Corporation.</t>
  </si>
  <si>
    <t>guy.colglazier@corporate.carrier.com</t>
  </si>
  <si>
    <t>Vice President &amp; General Manager</t>
  </si>
  <si>
    <t>310243-06P</t>
  </si>
  <si>
    <t>Hakan Yilmaz</t>
  </si>
  <si>
    <t>Hakan</t>
  </si>
  <si>
    <t>Yilmaz</t>
  </si>
  <si>
    <t>Mr. Hakan Yilmaz serves as Senior Vice President, Chief Technology &amp; Sustainability Officer at Carrier Corporation. He served as Chief Technology Officer &amp; Senior Vice President at Carrier Transicold of Southern California. In this role, he drives Carrier's technology strategy and transformation, with a focus on accelerating digital and electrification offerings while supporting the company's bold 2030 ESG goals. He oversees a global network of more than 4,400 engineers and works across the organization to bring technology and business models together. He joined Carrier in 2022 with more than 20 years of experience leading global engineering, technology and strategy organizations in the Automotive and Aerospace industries at Bosch, BorgWarner and Honeywell. In his last role at Honeywell Aerospace, he served as Chief Technology Officer, responsible for global engineering and technology teams, leading the company's advanced technology strategy and road-mapping for the businesses, while also driving key transformations to break-through technology development, customer-focused innovation and optimized operations. He earned a bachelor's degree in mechanical engineering from Orta Dogu Teknik Universitesi, Ankara, Turkey and M.S. degrees in mechanical engineering and engineering management from the University of Michigan.</t>
  </si>
  <si>
    <t>hakan.yilmaz@carrier.com</t>
  </si>
  <si>
    <t>Senior Vice President, Chief Technology &amp; Sustainability Officer</t>
  </si>
  <si>
    <t>386841-25P</t>
  </si>
  <si>
    <t>Leslie Stanard</t>
  </si>
  <si>
    <t>Leslie</t>
  </si>
  <si>
    <t>Stanard</t>
  </si>
  <si>
    <t>Ms. Leslie Stanard serves as Director, M&amp;A Counsel at Carrier Global. She also serves as Director at Carrier Ventures.</t>
  </si>
  <si>
    <t>leslie.stanard@carrier.com</t>
  </si>
  <si>
    <t>Director, M&amp;A Counsel</t>
  </si>
  <si>
    <t>249860-98P</t>
  </si>
  <si>
    <t>Mary Milmoe</t>
  </si>
  <si>
    <t>Milmoe</t>
  </si>
  <si>
    <t>Ms. Mary Milmoe serves as Vice President and General Manager, Replacement Components at Carrier Global. She previously served as Vice President, Communications &amp; Marketing at Carrier, and held various roles including Vice President, Communications; Director, Environmental Marketing; Director, Marketing Communications; Director, Marketing, Distribution - Americas; Director, Commercial Sales Development, Europe; and Vice President, Marketing for Carrier Commercial Systems and Services. She completed her Bachelor of Science from Cornell University and a master's degree in Communication Management from the S.I. Newhouse School of Communications at Syracuse University.</t>
  </si>
  <si>
    <t>mary.milmoe@carrier.com</t>
  </si>
  <si>
    <t>Vice President and General Manager, Replacement Components</t>
  </si>
  <si>
    <t>369283-15P</t>
  </si>
  <si>
    <t>Michael Rednor</t>
  </si>
  <si>
    <t>Rednor</t>
  </si>
  <si>
    <t>Mr. Michael Rednor serves as Vice President, Investor Relations at Carrier Global. He also serves as Head of Investor Relations at Otis (Electrical Equipment). He served as Senior Director, Investor Relations at Otis (Electrical Equipment).</t>
  </si>
  <si>
    <t>+1 (561) 365-2020</t>
  </si>
  <si>
    <t>michael.rednor@carrier.com</t>
  </si>
  <si>
    <t>Vice President, Investor Relations</t>
  </si>
  <si>
    <t>362363-32P</t>
  </si>
  <si>
    <t>Milena Oliveira</t>
  </si>
  <si>
    <t>Milena</t>
  </si>
  <si>
    <t>Ms. Milena Oliveira serves as Chief Marketing &amp; Communications Officer&amp; Senior Vice President at Carrier Global. She is responsible for leading the company's global integrated marketing, brand, communications and social impact strategy. In this role, Milena leads the development and execution of dynamic, differentiated, integrated brand strategies, and marketing and communications campaigns to strengthen and protect Carrier's corporate reputation and drive business growth. She joins Carrier from 3M where she had over 23 years of global business experience, most recently serving as Chief Marketing Officer for 3M Transportation &amp; Electronics Business Group. She has held a number of additional senior roles including President and Managing Director for 3M Argentina, Chile and Uruguay, and held leadership roles in Belgium and Brazil. She has a bachelor's degree in business administration from Pontifícia Universidade Católica de Campinas and an executive MBA from the Carlson School of Management at University of Minnesota. She currently serves on The BrandLab Board of Directors and the Opus College of Business / University of St. Thomas Strategic Board of Advisors.</t>
  </si>
  <si>
    <t>milena.oliveira@carrier.com</t>
  </si>
  <si>
    <t>Chief Marketing &amp; Communications Officer&amp; Senior Vice President</t>
  </si>
  <si>
    <t>225298-63P</t>
  </si>
  <si>
    <t>Nadia Villeneuve</t>
  </si>
  <si>
    <t>Villeneuve</t>
  </si>
  <si>
    <t>Ms. Villeneuve serves as Chief Human Resources Officer and Senior Vice President of Carrier in 2015. Prior to that, she served as Vice President and Chief Human Resources Officer for the Pratt &amp; Whitney division of UTC from 2012 to 2015 and as Vice President, Human Resources, Asia for the UTC Fire &amp; Security division of UTC, located in Shanghai, China, from 2010 to 2012. Previously, Ms. Villenueve held several other positions at Pratt &amp; Whitney, including Director, Human Resources, Engineering from 2009 to 2010, Director, Human Resources, Commercial Engines from 2007 to 2009 and in various roles before from 2000 to 2007 based in the U.S., Canada and Poland. Prior to joining UTC, Ms. Villeneuve was a Consultant with the Lalonde-Bard Consulting Group from 1998 to 2000 and Manager, Customer Relations at Royal Bank of Canada in 1997. Ms. Villeneuve holds a bachelor's degree in finance from Universite du Quebec a Montreal (Montreal, Quebec, Canada) and a master's degree in management from l'Ecole des Hautes Etudes Commerciales, Universite de Montreal (Montreal, Quebec, Canada).</t>
  </si>
  <si>
    <t>nadia.villeneuve@carrier.com</t>
  </si>
  <si>
    <t>Chief Human Resources Officer and Senior Vice President</t>
  </si>
  <si>
    <t>156846-43P</t>
  </si>
  <si>
    <t>Patrick Goris</t>
  </si>
  <si>
    <t>Goris</t>
  </si>
  <si>
    <t>Chief Financial Officer &amp; Controller</t>
  </si>
  <si>
    <t>Mr. Patrick Goris serves as Chief Financial Officer &amp; Senior Vice President at Carrier Global. He served as Chief Financial Officer and Senior Vice President at Rockwell Automation. His responsibilities include all aspects of financial management for the company. Most recently, Patrick was Vice President, Investor Relations and Vice President, Finance of the Architecture &amp; Software segment. He has held many roles of increasing responsibility within Finance. These include: Vice President, Finance for Corporate Financial Planning &amp; Analysis (FP&amp;A); finance leadership for EMEA, Latin America, Asia and Canada. Patrick also provided finance leadership to the Operations &amp; Engineering Services (OES), Global Sales &amp; Marketing (GSM), Global Process Transformation (GPT) and Information Technology (IT) organizations. Patrick brings over 20 years of global financial management experience to his current role. He joined Rockwell Automation in 2006 as director, Finance, of the Safety, Sensing &amp; Connectivity business. Prior to joining the company, Patrick worked with Graphic Packaging International for 10 years in roles of increasing responsibility. Patrick earned a bachelor's degree in Business Administration from European University, Brussels, Belgium. He also has an MBA from Emory University's Goizueta Business School in Atlanta, Georgia.</t>
  </si>
  <si>
    <t>patrick.goris@carrier.com</t>
  </si>
  <si>
    <t>452094-49P</t>
  </si>
  <si>
    <t>Saif Siddiqui</t>
  </si>
  <si>
    <t>Saif</t>
  </si>
  <si>
    <t>Siddiqui</t>
  </si>
  <si>
    <t>Mr. Saif Siddiqui serves as Senior Vice President &amp; Chief Strategy Officer at Carrier Global. He previously served as President of Carrier's HVAC Asia Pacific business, and also led Carrier's Global Comfort Solutions HVAC business and the Global Commercial Fire &amp; Controls business. He completed her bachelor's degree in Engineering from the National Institute of Technology, India and a master's degree in Business from Yale University.</t>
  </si>
  <si>
    <t>saif.siddiqui@carrier.com</t>
  </si>
  <si>
    <t>Senior Vice President &amp; Chief Strategy Officer</t>
  </si>
  <si>
    <t>276420-07P</t>
  </si>
  <si>
    <t>Thomas Simonet</t>
  </si>
  <si>
    <t>Simonet</t>
  </si>
  <si>
    <t>Mr. Thomas Simonet serves as Vice President Human Resources HVAC at Carrier Corporation.</t>
  </si>
  <si>
    <t>thomas.simonet@carrier.com</t>
  </si>
  <si>
    <t>Vice President Human Resources HVAC</t>
  </si>
  <si>
    <t>73051-84P</t>
  </si>
  <si>
    <t>Julie Harrelson</t>
  </si>
  <si>
    <t>Harrelson</t>
  </si>
  <si>
    <t>Cascade Seed Fund</t>
  </si>
  <si>
    <t>Ms. Julie Harrelson is the Founder and serves as Managing Director at Cascade Seed Fund. As an entrepreneur and investor in Oregon's startup community, she has navigated multiple executive roles in design, technology, and angel investing. She founded the Cascade Angels Fund in Bend, Oregon in 2013 with a group of entrepreneurs and investors. She serves as Fund Manager for Cascade Angels Fund V LLC, as well as the prior four Cascade Angels Funds. She is invited to speak and emcee at industry conferences including the international Angel Capital Association Summit, Bend Venture Conference, and others. Every month she emcees a popular PubTalk sponsored by Economic Development of Central Oregon (EDCO) typically attended by approximately 200-300 entrepreneurs, investors, and business leaders. She was The Center for Women's Leadership 2018 Bolstering Community Awardee, the Bend Chamber of Commerce 2017 Woman of the Year, and a 2014 Woman of Influence Award winner. Her board service includes the Oregon State University Advantage Accelerator, the Board of Advisory Directors of the Central &amp; Eastern Oregon Region of U.S. Bank, and the honorary council of the Center for Women's Leadership at Portland State University. She launched Cascade Seed Fund in 2019 with Robert Pease after six years as Founder and Fund Manager, of Cascade Angels Fund. Managing over $20M in early-stage capital with over 60 investments since 2014. Leadership development expert, business builder, and exited entrepreneur.</t>
  </si>
  <si>
    <t>+1 (541) 588-2868</t>
  </si>
  <si>
    <t>julie@cascadeseedfund.com</t>
  </si>
  <si>
    <t>Bend</t>
  </si>
  <si>
    <t>Bend, OR</t>
  </si>
  <si>
    <t>48 Southeast Bridgeford Boulevard</t>
  </si>
  <si>
    <t>Suite 210</t>
  </si>
  <si>
    <t>97701</t>
  </si>
  <si>
    <t>45679-78P</t>
  </si>
  <si>
    <t>Robert Pease</t>
  </si>
  <si>
    <t>Pease</t>
  </si>
  <si>
    <t>Mr. Robert Pease serves as Managing Director at Cascade Seed Fund. He also serves as Board Observer at N2uitive. He is an Angel Investor. He launched Cascade Seed Fund in 2019 with Julie Harrelson after three years as Investor, Fund Manager, and Venture Partner to Cascade Angels Fund. Former Accenture consultant, founder, CEO, and venture-backed startup executive with 6 venture-backed software startups over 20+ years. He served as Director at Red Eagle Mining. He is an Advisor at LeadMethod. He co-founded and served as Chief Executive Officer at Nearstream Inc. He was also the Chief Executive Officer of LoopFuse. He currently is the Vice President of Product Marketing at Salesfusion. He was previously the founder, CEO, and Director of Terrane Metals which was acquired in 2010 by Thompson Creek Metals. Previously, he was employed by Placer Dome for 25 years, most recently as General Manager, of Canada Exploration and Global Major Projects. He was responsible for managing all aspects of Placer Dome's Canadian exploration and overseeing the geological aspects of worldwide advanced, major exploration and development projects. He is also a past Chairman of the Association for Mineral Exploration in British Columbia. He has been advising, founding, and leading startups for over 20 years. He currently leads Heinz Marketing's Pipeline Performance group, which assists B2B companies in improving execution and accelerating revenue. He holds a BBA in Finance from the University of Georgia and an MBA from the University of Tennessee.</t>
  </si>
  <si>
    <t>robert@cascadeseedfund.com</t>
  </si>
  <si>
    <t>124820-74P</t>
  </si>
  <si>
    <t>James Cheng JD</t>
  </si>
  <si>
    <t>Cheng</t>
  </si>
  <si>
    <t>CAV Angels</t>
  </si>
  <si>
    <t>Mr. James Cheng is a Co-Founder and serves as a Board Member at CAV Angels. He also serves as a Board Member at PFP Cybersecurity. He also served as the Investment Committee Member and Board Member at Riverflow Growth Fund. He served as the Secretary of Commerce and Trade for the Commonwealth of Virginia for 4 years, contributing significantly to economic development, job creation, tourism, film, industry regulation and safety, housing, and several other commerce-related fields. He is currently of counsel at the law firm of Lee and Hayes and is working with several private equity and angel investment firms. He also teaches at the University of Virginia School of Engineering. He holds a BS in Computer Science from Old Dominion University, an MBA in Business from the University of Virginia, and a JD in Law from Georgetown University.</t>
  </si>
  <si>
    <t>+1 (434) 218-5783</t>
  </si>
  <si>
    <t>jcheng@cavangels.com</t>
  </si>
  <si>
    <t>Charlottesville</t>
  </si>
  <si>
    <t>Charlottesville, VA</t>
  </si>
  <si>
    <t>P.O. Box 4292</t>
  </si>
  <si>
    <t>22905</t>
  </si>
  <si>
    <t>50153-77P</t>
  </si>
  <si>
    <t>John May</t>
  </si>
  <si>
    <t>May</t>
  </si>
  <si>
    <t>Mr. John May serves as a Partner at New Dominion Angels. He Founded Active Angel Investors. He also serves as a Managing Partner at New Dominion Angels. He has 25 years of experience in venture capital fund management to angel investing in the USA. He has helped to organize four regional angel groups, comprising over 250 individual members, joint-ventured with three other management groups. He is chair emeritus of the Angel Capital Association (formerly a program of the Ewing Marion Kauffman Foundation) and is a lead instructor for the "Power of Angel Investing" seminars, a program of the Angel Resource Institute. He is a Batten Fellow at the University of Virginia's Darden Business School. He also serves on the Educational Advisory Board at CAV Angels. Mr. May served as Managing Partner at Calvert Ventures. He served as a Board Member at PublicRelay.</t>
  </si>
  <si>
    <t>+1 (703) 652-0869</t>
  </si>
  <si>
    <t>1775 Tysons Boulevard</t>
  </si>
  <si>
    <t>New Dominion Angels</t>
  </si>
  <si>
    <t>132324-40P</t>
  </si>
  <si>
    <t>Richard Crawford JD</t>
  </si>
  <si>
    <t>Dr. Richard Crawford is a Co-Founder and serves as Board Member Emeritus at CAV Angels. He is the Chairman of the Crawford Group, Inc., a multi-unit investment business with activities in agriculture, real estate, and advanced technology. He is an experienced entrepreneur having started three companies and an experienced angel investor having made several personal angel investments and run the Virginia Active Angel Network. He has been a member of the Darden Faculty since 1988 and is currently a Visiting Executive Lecturer at Darden where he works closely with Professor William Sihler on the Finance of Small Business course. Richard has has been a member of the Law School Faculty since 2008 where he teaches a course in Finance of Small Enterprises. He holds B.A., MBA and JD degrees from the University of Virginia and is the author/co-author of five books.</t>
  </si>
  <si>
    <t>Co-Founder &amp; Board Member Emiritus</t>
  </si>
  <si>
    <t>218200-96P</t>
  </si>
  <si>
    <t>Richard Diemer Jr.</t>
  </si>
  <si>
    <t>Diemer</t>
  </si>
  <si>
    <t>Mr. Rich Diemer is a Co-Founder and serves as Managing Director at CAV Angels. He earlier served as Co-Chairman of Legal Board &amp; Treasurer at CAV Angels. He also serves as Advisory Board Member at Mito Material Solutions. He also serves as Board Observer at Micronic Technologies. He has served as the CFO at two public and one private, now public global materials companies.</t>
  </si>
  <si>
    <t>+1 (715) 343-9082</t>
  </si>
  <si>
    <t>rich_diemer@albemarle.com</t>
  </si>
  <si>
    <t>361913-86P</t>
  </si>
  <si>
    <t>Blake Hatten</t>
  </si>
  <si>
    <t>Hatten</t>
  </si>
  <si>
    <t>CEAS Investments I</t>
  </si>
  <si>
    <t>Ms. Blake Hatten serves as a Venture Capital Analyst at CEAS Investments I. She joined CEAS in 2022. She is responsible for seeking out, analyzing, and recommending potential seed-stage venture capital investments, in addition to conducting market research and analyzing current market trends. She is also leading our Honors Fund initiative to invest in the next great student founders. Previously, she worked at Goldman Sachs on the Investment Grade Credit S&amp;T team, during which she demonstrated the ability to understand market activity and trends within the bond market and across asset classes as well as create and distribute market research pieces. She was admitted to the MiddCORE and MiddEntrepreneurs program, selective four-week programs for students to develop their own businesses and acquire real-world entrepreneurial skills. She graduated from Middlebury College with a BA in Economics in 2020 and was a First Team All-NESCAC golfer.</t>
  </si>
  <si>
    <t>+1 (561) 929-0093</t>
  </si>
  <si>
    <t>blakeh@ceasinvestments.com</t>
  </si>
  <si>
    <t>110 East Atlantic Avenue</t>
  </si>
  <si>
    <t>Suite 320</t>
  </si>
  <si>
    <t>33444</t>
  </si>
  <si>
    <t>Venture Capital Analyst</t>
  </si>
  <si>
    <t>147570-94P</t>
  </si>
  <si>
    <t>Mike Wohl</t>
  </si>
  <si>
    <t>Wohl</t>
  </si>
  <si>
    <t>Mr. Mike Wohl serves as Chief Investment Officer at CEAS Investments I. He joined CEAS as its Investment Manager in 2013, launching an internal venture capital fund for the family office. He was and remains responsible for the full cycle of early and growth stage investing in non-public tech companies. In 2017, Mike was promoted to Chief Investment Officer where he now confers with the principal on strategy and manager selection across all asset classes while managing the investment team. Previously, he worked as a client-facing financial advisor at a Potomac, MD-based boutique private wealth management firm. Mike graduated from Amherst College with a BA in Economics and Spanish, was an All-American soccer player, and has served as a Class Agent for his class every year since graduation. Mike earned his MBA from the MIT Sloan School of Management, during which time he devised a quant college football investing strategy.</t>
  </si>
  <si>
    <t>mikew@ceasinvestments.com</t>
  </si>
  <si>
    <t>245087-29P</t>
  </si>
  <si>
    <t>Ronnie Martinez</t>
  </si>
  <si>
    <t>Ronnie</t>
  </si>
  <si>
    <t>Ms. Ronnie Martinez serves as Junior Partner at CEAS Investments I. Ms. Martinez joined CEAS in 2018 as a VC Analyst and was promoted to VC Associate in 2021 and to Junior Partner in 2024. She is responsible for sourcing, analyzing, and recommending new early-stage venture capital investments as well as follow-up investments. She continues to lead her own deals through due diligence, to close. She works closely with portfolio companies to provide support, particularly on fundraising strategy. She is a board member for Marqii and a board observer for Shabodi and Imagine (formerly Live Furnish). She was included on the 2022 EVC List recognizing the top 50 rising stars in venture capital. She was also previously a semi-pro player for the Toronto Lynx soccer team in the former USL W-league.</t>
  </si>
  <si>
    <t>Junior Partner</t>
  </si>
  <si>
    <t>422980-48P</t>
  </si>
  <si>
    <t>Daniela Breidenstein</t>
  </si>
  <si>
    <t>Breidenstein</t>
  </si>
  <si>
    <t>Center for Digital Technology and Management</t>
  </si>
  <si>
    <t>+49 (0)89 2892 8167</t>
  </si>
  <si>
    <t>breidenstein@cdtm.de</t>
  </si>
  <si>
    <t>Marsstrasse 20-22</t>
  </si>
  <si>
    <t>80335</t>
  </si>
  <si>
    <t>+49 (0)89 2892 8459</t>
  </si>
  <si>
    <t>346696-93P</t>
  </si>
  <si>
    <t>Abigail Risse</t>
  </si>
  <si>
    <t>Abigail</t>
  </si>
  <si>
    <t>Risse</t>
  </si>
  <si>
    <t>Cerity Partners Ventures</t>
  </si>
  <si>
    <t>Ms. Abigail Risse serves as Senior Associate at Cerity Partners Ventures. She served as an Analyst at Hyperplane Venture Capital. Before joining Hyperplane, She worked as an engineer at iRobot, ensuring that pre-launch product lines were functional, ergonomic, and seamlessly integrated into the iRobot product network and brand. Her role focused on the optimization of both functional design and human factor considerations for consumer robots. Before iRobot, She contributed to engineering efforts at Embr Labs, investing functions at the Engine and medical device design across orthopedic and prosthetic clinics and academic research labs. She holds a BS in Mechanical Engineering with a concentration in Biomedical Engineering from UMass Amherst's Commonwealth Honors College.</t>
  </si>
  <si>
    <t>abigail@ceritypartnersventures.com</t>
  </si>
  <si>
    <t>West Conshohocken</t>
  </si>
  <si>
    <t>West Conshohocken, PA</t>
  </si>
  <si>
    <t>100 Front Street</t>
  </si>
  <si>
    <t>Suite 940</t>
  </si>
  <si>
    <t>19428</t>
  </si>
  <si>
    <t>277276-51P</t>
  </si>
  <si>
    <t>AJ Tomas</t>
  </si>
  <si>
    <t>AJ</t>
  </si>
  <si>
    <t>Mr. AJ Tomas serves as Principal at Cerity Partners Ventures. He joined Touchdown Ventures in 2021. He is an early-stage investor in 5G edge computing, security, gaming, and the future of work. He developed his interest in entrepreneurship at a home appliance software company participating in The University of Chicago, Booth's New Venture Challenge, and corporate startup accelerator programs. Before Touchdown, he was an Analyst at J.P. Morgan's investment bank, where he gained transaction experience in strategic and capital markets advisory. As a board member of TechTeam at the University of Chicago Institute of Politics, he ideated, organized, and led the inaugural hackathon focused on technology for social good. He received his B.A. from the University of Chicago, where he studied Economics and History. He brings a global perspective, having grown up in Manila, Los Angeles, and Geneva.</t>
  </si>
  <si>
    <t>aj@ceritypartnersventures.com</t>
  </si>
  <si>
    <t>345 California Street</t>
  </si>
  <si>
    <t>341762-41P</t>
  </si>
  <si>
    <t>Aneri Patel</t>
  </si>
  <si>
    <t>Aneri</t>
  </si>
  <si>
    <t>Ms. Aneri Patel served as an Senior Associate at Cerity Partners Ventures. Before Touchdown, she worked as a public equities research analyst at Gilder Gagnon Howe &amp; Co. Her passion for startups began during her first job in high school where she interned for Farmlogix, a startup focused on providing the foodservice industry with software-driven ingredient and sourcing transparency. She received her B.S. in Management Science and Engineering with a minor in Digital Humanities from Stanford University.</t>
  </si>
  <si>
    <t>aneri@ceritypartnersventures.com</t>
  </si>
  <si>
    <t>377734-51P</t>
  </si>
  <si>
    <t>Anthony Doe</t>
  </si>
  <si>
    <t>Doe</t>
  </si>
  <si>
    <t>Mr. Anthony Doe serves as an Associate at Cerity Partners Ventures. He focuses on investments in the industrial and sustainability sectors. Prior to joining Cerity Partners,he was an Analyst with Touchdown Ventures, a pioneer of the "venture capital as a service" model (merged with Cerity Partners). Before joining Touchdown, he worked as a systems engineer at Lockheed Martin. He graduated from The University of Texas at Austin with a B.S. in aerospace engineering.</t>
  </si>
  <si>
    <t>anthony@ceritypartnersventures.com</t>
  </si>
  <si>
    <t>328115-17P</t>
  </si>
  <si>
    <t>Brandon Gunning</t>
  </si>
  <si>
    <t>Gunning</t>
  </si>
  <si>
    <t>Mr. Brandon Gunning serves as a Senior Associate at Cerity Partners Ventures. He joined Touchdown Ventures as an analyst in 2022. Before Touchdown, he worked at Include Ventures focusing on fund-of-funds investments as well as startups in cleantech &amp; fintech. His prior experience also includes time at Wells Fargo's technology investment banking group and the Los Angeles Cleantech Incubator. He holds a BS in Business Administration from the University of Southern California Marshall School of Business where he graduated magna cum laude with departmental honors and an emphasis in finance. He wrote his thesis on the topic of private equity compensation &amp; incentivization post-Great Financial Crisis. He was one of the university's first paid student-athletes as part of their esports program.</t>
  </si>
  <si>
    <t>brandon@ceritypartnersventures.com</t>
  </si>
  <si>
    <t>163770-22P</t>
  </si>
  <si>
    <t>Brett Kadesh</t>
  </si>
  <si>
    <t>Kadesh</t>
  </si>
  <si>
    <t>Mr. Brett Kadesh serves as a Venture Advisor at Cerity Partners Ventures. He joined Touchdown Ventures in 2016 in their San Francisco office. Before Touchdown, he spent 5 years in start-up environments bringing technology-enabled products to market, after 5 years working in the financial sector. At the intersection of these two worlds is his current focus at Touchdown on consumer investment opportunities, with specific interests in commerce and consumer-packaged goods (CPG). He holds an MBA from UCLA Anderson School of Management, where he earned the Easton Technology Management Certificate, and received a BA in Business Economics from the University of California, Santa Barbara, where he was awarded an Entrepreneurship Certificate from the Technology Management Program. Aside from professional life, he loves to explore the world. He's traveled to over 40 countries across 6 continents, as well as most of the United States, and has a lifelong goal to visit all 196 countries in the world. He spent the first part of his career building a foundation in finance and accounting, first in the Strategic Growth Markets group at Ernst &amp; Young where he earned his CPA, followed by Versant Ventures where he was the youngest Board Member of the VCBC. Following his entrepreneurial passions, he transitioned into growth roles in the start-up world and spent 5 years working at two start-ups in the technology-enabled toy space. He joined Ridemakerz in a strategy role splitting time between retail, wholesale, and e-commerce divisions, before becoming Head of E-commerce where he focused on managing the business to profitability. After Ridemakerz, he was brought on to Backyard Sports as the Finance &amp; Operations lead, where he helped launch the company's first digital and physical product lines on App. stores and at mass retailers. Most recently, he held venture internships at Bullpen Capital, Velos Partners, and the UCLA Venture Capital Fund, while completing his MBA at UCLA Anderson.</t>
  </si>
  <si>
    <t>brett@ceritypartnersventures.com</t>
  </si>
  <si>
    <t>198079-75P</t>
  </si>
  <si>
    <t>Brian Laegeler</t>
  </si>
  <si>
    <t>Laegeler</t>
  </si>
  <si>
    <t>Mr. Brian Laegeler serves as Partner at Cerity Partners Ventures. He joined Touchdown Ventures in the Fall of 2018 to source and execute corporate venture capital investments. He is currently focused on tech-enabled solutions for the pharmaceutical sector. He brings over 15 years of investment and corporate advisory experience across multiple industries, geographies, and stages. Before Touchdown, he most recently served as vice president of mergers &amp; acquisitions for Loop Capital Markets, where he led transaction execution across sectors such as consumer/retail, software, VR gaming, biotech, industrials, utilities, and infrastructure. Before Loop, he was an equity analyst for Morningstar where he covered generic and specialty pharmaceuticals. His successful recommendations led to the creation of his hedge fund, Shimpaku Capital, L.P., which significantly outperformed the S&amp;P 500. Earlier in his career, he was an associate with RoundTable Healthcare Partners and a senior financial analyst in the mergers &amp; acquisitions group at Bear Stearns. He received a BS in Business Administration, with distinction, from Indiana University and earned an MBA from Harvard Business School. He is also a CPA.</t>
  </si>
  <si>
    <t>brian@ceritypartnersventures.com</t>
  </si>
  <si>
    <t>328110-49P</t>
  </si>
  <si>
    <t>Chris Cronin</t>
  </si>
  <si>
    <t>Cronin</t>
  </si>
  <si>
    <t>Mr. Chris Cronin serves as Senior Principal at Cerity Partners Ventures. He is a Co-Founder &amp; serves as an Investor at Silicon Beach Investment Group. He joined Touchdown Ventures in 2022. At Touchdown, he focuses on investments in materials science, retail, supply chain, sustainability, circular economy, and industrial technology. He brings more than ten years of combined experience in venture capital, M&amp;A, leveraged finance, business development, and corporate finance. Before joining Touchdown, he worked in corporate and business development at Amazon. He began his career in banking, holding roles with Bank of America Merrill Lynch in technology investment banking coverage and with Wells Fargo executing leveraged finance transactions. He earned his MBA and a Graduate Certificate in technology commercialization from the USC Marshall School of Business. He earned his Bachelor's degree in finance with honors from the Santa Clara University Leavey School of Business.</t>
  </si>
  <si>
    <t>chris@ceritypartnersventures.com</t>
  </si>
  <si>
    <t>268563-34P</t>
  </si>
  <si>
    <t>Christopher O'Dore</t>
  </si>
  <si>
    <t>O'Dore</t>
  </si>
  <si>
    <t>Mr. Christopher O'Dore serves as Senior Associate at Cerity Partners Ventures. Before Touchdown, he was an Associate at Lateral Investment Management, a multi-strategy private equity firm. Before that, he was an investment banking Analyst at Barclays within their Financial Institutions group. He holds a BS in Industrial and Labor Relations from Cornell University with minors in History and Business. Before Touchdown, he was an Associate at Lateral Investment Management, a multi-strategy private equity firm. He started his career as an investment banking Analyst at Barclays within their Financial Institutions group.</t>
  </si>
  <si>
    <t>christopher@ceritypartnersventures.com</t>
  </si>
  <si>
    <t>171955-45P</t>
  </si>
  <si>
    <t>David Feldman</t>
  </si>
  <si>
    <t>Mr. David Feldman serves as Senior Associate at Cerity Partners Ventures. He joined Touchdown in 2021. He is currently focused on consumer investment opportunities. Before Touchdown, he spent four years working in institutional venture capital at Indicator Ventures, an early-stage venture fund based in Boston and New York. At Indicator, he focused on enterprise SaaS businesses in various industries. Before his role at Indicator, he was an operator at an education technology company called Examity, where he worked with the sales marketing, finance, and operations teams to grow the company. He holds a BS in Finance from Elon University in North Carolina, as well as course certifications for Artificial Intelligence and Macro-Economics from MIT Sloan and the London School of Economics, respectively.</t>
  </si>
  <si>
    <t>13191-04P</t>
  </si>
  <si>
    <t>David Horowitz</t>
  </si>
  <si>
    <t>Mr. David Horowitz serves as Partner at Cerity Partners Ventures. He co-founded Touchdown Ventures in 2014 after spending 14 years in corporate venture capital with Comcast Ventures. He joined Comcast Ventures in 2000 as one of the first employees of the venture capital group. At Comcast Ventures, he led investments in digital media, advertising technology, digital home, education, and financial technology. He also was a founder and partner at Genacast Ventures, a seed-stage venture capital fund backed by Comcast Ventures. His career began as an investment banker at Bear Stearns. He graduated from the University of Michigan with highest honors with a Bachelor of Business Administration with a concentration in both accounting and finance. He serves as a Partner at Cerity Partners.</t>
  </si>
  <si>
    <t>david@ceritypartnersventures.com</t>
  </si>
  <si>
    <t>456613-12P</t>
  </si>
  <si>
    <t>Eileen Wixted</t>
  </si>
  <si>
    <t>Eileen</t>
  </si>
  <si>
    <t>Wixted</t>
  </si>
  <si>
    <t>Mr. Eileen Wixted serves as Senior Associate at Cerity Partners Ventures. Before joining Cerity Partners, she was a Senior Associate on the Operations team, leading learning and development at Touchdown Ventures. Before joining Touchdown Ventures, she spent over 9 years in the continuing education industry, most notably at Wharton Executive Education at the University of Pennsylvania. Throughout her career, she has successfully managed 150+ global educational programs in more than 20 countries on 6 continents with responsibilities leading all related strategic program functions, including program development, design, execution, and ongoing maintenance, relationship management, staff mentorship, and process optimization. She has a BA in History from the Catholic University of America</t>
  </si>
  <si>
    <t>eileen@ceritypartnersventures.com</t>
  </si>
  <si>
    <t>163764-01P</t>
  </si>
  <si>
    <t>Eric Budin</t>
  </si>
  <si>
    <t>Budin</t>
  </si>
  <si>
    <t>Mr. Eric Budin serves as Partner at Cerity Partners Ventures. He joined Touchdown Ventures in 2016 and is responsible for managing multiple funds as well as running Touchdown's analyst program. He spent the previous 13 years as an executive at Comcast and Liberty Global, the largest cable companies in the US and Europe, respectively. At both companies, his focus was innovation and new business opportunities. At Comcast, he was VP of Business Development and helped launch Xfinity Home, their next-gen home security business. He also led the company's efforts in the SVOD, advertising, and video conferencing spaces and worked closely with Comcast Ventures to identify and invest in VC-backed partners. While living in Amsterdam, he was Liberty Global's VP of Product Strategy and Incubation and helped launch their advanced advertising business. Before Comcast, he worked in Silicon Valley for venture-backed companies, including more.com which he co-founded. More.com was a top 10 e-commerce company and had filed to go public in 2000, before being sold. More.com was his first taste of corporate venturing, as more.com backers included Bergen Brunswig and Phar-mor. Earlier in his career, he worked for McKinsey &amp; Co. He has a B.A. from The University of Michigan in psychology and economics, with high honors, and an M.B.A. from Stanford's Graduate School of Business</t>
  </si>
  <si>
    <t>eric@ceritypartnersventures.com</t>
  </si>
  <si>
    <t>163766-44P</t>
  </si>
  <si>
    <t>Greg Bergamesco</t>
  </si>
  <si>
    <t>Bergamesco</t>
  </si>
  <si>
    <t>Mr. Greg Bergamesco serves as Partner at Cerity Partners Ventures. He also serves as a Board Member at AmpUp. Joined Touchdown Ventures in 2016 and is primarily focused on executing and managing corporate venture capital investments within the media ecosystem. He possesses over 18 years of various business strategy and operations experience across the media &amp; entertainment, healthcare, insurance, and energy sectors. Before Touchdown, he was responsible for identifying, evaluating, and incubating new revenue-generating businesses at Comcast Corporation. He served as a Board Member at Team Whistle. He also spent six years in strategy consulting with Booz Allen Hamilton and PwC, primarily building business cases and leading large-scale business transformations. He began his career as a financial analyst at Prudential Financial. He received a BA in Economics at Rutgers University while playing Division I Men's Tennis and earned an MBA from the University of Notre Dame, graduating with honors. He is active with the Notre Dame community, serving as an alumni fellow to graduate students attending the Mendoza College of Business.</t>
  </si>
  <si>
    <t>greg@ceritypartnersventures.com</t>
  </si>
  <si>
    <t>328114-27P</t>
  </si>
  <si>
    <t>Harout Nazerian</t>
  </si>
  <si>
    <t>Harout</t>
  </si>
  <si>
    <t>Nazerian</t>
  </si>
  <si>
    <t>Mr. Harout Nazerian serves as Principal at Cerity Partners Ventures. He joined Touchdown Ventures in 2022 and focuses on investments in retail, industrial technology, and sustainability. Before Touchdown, he spent 4 years at Nex Cubed and Sway Ventures investing in and launching startups, handling investor relations, and supporting fundraising efforts for the company and portfolio. Before venture capital, he was an entrepreneur running a gourmet food truck business and spent six years as a structural engineer,r leading teams on billion-dollar projects for some of the world's largest oil and gas corporations. Throughout his career, he developed experience in evaluating opportunities and leading and executing on strategic initiatives for small and large corporations. He graduated Cum Laude from the University of Southern California with a BS and MS in Engineering and Construction Management and received his MBA from the UCLA Anderson School of Management with a specialization in Marketing.</t>
  </si>
  <si>
    <t>harout@ceritypartnersventures.com</t>
  </si>
  <si>
    <t>180813-79P</t>
  </si>
  <si>
    <t>Jack Taylor</t>
  </si>
  <si>
    <t>Mr. Jack Taylor serves as Partner at Cerity Partners Ventures. He joined Touchdown Ventures in 2017 and is a member of the Philadelphia team, focusing on investments in the Internet of Things (IoT) and physical security sectors. Before Touchdown, he spent time in the New York venture ecosystem evaluating investment opportunities at Laconia Capital Group, New York Angels, and Virgil Capital, where he collaborated with investors on all due diligence aspects, including sourcing, business plan reviews, industry research, financial modeling, and portfolio support. He began his career on Wall Street, working for three years at the Royal Bank of Scotland where he specialized in short-term interest rate products. He holds a BA in History from Duke University and an MBA from The Wharton School at the University of Pennsylvania, where he graduated with honors.</t>
  </si>
  <si>
    <t>jack@ceritypartnersventures.com</t>
  </si>
  <si>
    <t>248789-89P</t>
  </si>
  <si>
    <t>Jane Simons</t>
  </si>
  <si>
    <t>Simons</t>
  </si>
  <si>
    <t>Ms. Jane Simons serves as Partner at Cerity Partners Ventures. She joined Touchdown Ventures in 2018. Before joining Touchdown Ventures, she had a robust senior management career in higher education with increasing responsibilities for nearly 13 years at the Wharton Business School at the University of Pennsylvania ranging from strategic operations roles to different facets of programming, marketing and communications, executive board management, and alumni relations. She has extensive experience with strategic planning, program management, complex communications, and relationship building. Under her leadership, new, effective policies and processes were developed and implemented across the School and adopted as best practices across the University. She began her career working at a tech start-up as the International Project Manager, focusing on business development, operations, marketing, and communications for an innovative electric propulsion system with diverse applications. She graduated with honors in her Master's degree in Organizational Dynamics from the University of Pennsylvania and was a summa cum laude for her double Bachelor's degree in Business Administration and International Relations from the State University of New York at Geneseo.</t>
  </si>
  <si>
    <t>jane@ceritypartnersventures.com</t>
  </si>
  <si>
    <t>328113-91P</t>
  </si>
  <si>
    <t>John Zimmerman</t>
  </si>
  <si>
    <t>Zimmerman</t>
  </si>
  <si>
    <t>Mr. John Zimmerman serves as Senior Principal at Cerity Partners Ventures. Before joining Touchdown, he spent several years operating as a product manager at different technology startups, most recently at Thrasio where he built software to inform product strategy and acquisition decisions. Before product management, he worked as an investment consultant at Cambridge Associates advising clients on portfolio construction and performing due diligence on investment managers. He graduated from the Boston College Carroll School of Management with a BS in finance.</t>
  </si>
  <si>
    <t>john@ceritypartnersventures.com</t>
  </si>
  <si>
    <t>421122-79P</t>
  </si>
  <si>
    <t>Jon Cullom</t>
  </si>
  <si>
    <t>Cullom</t>
  </si>
  <si>
    <t>Mr. Jon Cullom serves as Principal at Cerity Partners Ventures. He joined Touchdown Ventures in 2023 and focuses on investments in property technology, enterprise software, and industry 4.0. Before Touchdown, he was an investor at Dorm Room Fund where he led a variety of early-stage investments in prop tech, climate tech, and A.I. solutions. He was also a venture scholar at Flare Capital Partners. He started his career at Deloitte Consulting where he focused on growth, pricing, and profitability strategy for Fortune 500 clients. He graduated magna cum laude from Cornell University with a B.S. in Applied Economics and Management with a double concentration in strategy and finance and a minor in Spanish. He was also a midfielder on the Men's Varsity Soccer Team. He earned an MBA from the University of California, Berkeley Haas School of Business in spring 2024.</t>
  </si>
  <si>
    <t>jon@ceritypartnersventures.com</t>
  </si>
  <si>
    <t>421123-69P</t>
  </si>
  <si>
    <t>Julia Sullivan</t>
  </si>
  <si>
    <t>Ms. Julia Sullivan serves as Principal at Cerity Partners Ventures. She focuses on investments in the built world sector, including innovations across physical security and property technology. She began her career in marketing and communications, working with companies to shape brand positioning, drive successful go-to-market strategies, and manage stakeholder relations. She completed her MBA at the University of California, Berkeley Haas School of Business, and holds a BA in both Communications and Art History from the University of Florida.</t>
  </si>
  <si>
    <t>julia@ceritypartnersventures.com</t>
  </si>
  <si>
    <t>421125-67P</t>
  </si>
  <si>
    <t>Julian Bergerson</t>
  </si>
  <si>
    <t>Bergerson</t>
  </si>
  <si>
    <t>Mr. Julian Bergerson serves as Associate at Cerity Partners Ventures. Before joining Touchdown, he interned at Gravity Fund, an early-stage VC firm based in Minneapolis, where he researched start-ups building the next iteration of the internet. He later participated in the Touchdown Ventures College program. He graduated from Boston College with a B.S. in Management, concentrating in finance and information systems.</t>
  </si>
  <si>
    <t>julian@ceritypartnersventures.com</t>
  </si>
  <si>
    <t>351175-87P</t>
  </si>
  <si>
    <t>Kalefe Wright</t>
  </si>
  <si>
    <t>Kalefe</t>
  </si>
  <si>
    <t>Mr. Kalefe Wright serves as Principal at Cerity Partners Ventures. He joined Touchdown Ventures in 2023. Before joining Touchdown, he worked for ten years in the food and beverage startup ecosystem. He co-founded Herban Quality Eats, a fast-casual eatery that focused on healthy homestyle food, and most recently worked at Bimbo Bakeries USA on their innovation team and in their corporate venture capital practice. He started his career in sales and trading at Bank of America and Robert Baird. He completed his MBA from The Wharton School and earned his BA in Economics from Morehouse College.</t>
  </si>
  <si>
    <t>kalefe@ceritypartnersventures.com</t>
  </si>
  <si>
    <t>341757-28P</t>
  </si>
  <si>
    <t>Kathy Greer</t>
  </si>
  <si>
    <t>Kathy</t>
  </si>
  <si>
    <t>Ms. Kathy Greer serves as Principal at Cerity Partners Ventures. She focuses on investments in healthcare and life sciences. Her interest in entrepreneurship began as a Venture for America fellow. During her two-year fellowship, she worked for a healthcare tech startup in Nashville, Tennessee. She also worked with BuildinSE to support the entrepreneurial ecosystem in the Southeast. She graduated from the University of Michigan with a B.A. in economics.</t>
  </si>
  <si>
    <t>kathy@ceritypartnersventures.com</t>
  </si>
  <si>
    <t>248793-58P</t>
  </si>
  <si>
    <t>Kevin Jones</t>
  </si>
  <si>
    <t>Mr. Kevin Jones serves as Senior Principal at Cerity Partners Ventures. He began his career at Deloitte Consulting, where he led digital technology strategy and transformation projects for Fortune 500 clients. While at Deloitte, he co-founded Going Global for the Greater Good, Deloitte Consulting's social enterprise consulting initiative. Thereafter, he served in a strategy and operations role as an early employee of a sustainable food technology startup in Los Angeles. He graduated from the University of Southern California with a bachelor's degree in International Relations-Global Business and earned an MBA from UCLA Anderson School of Management. During his graduate studies, he wrote his master's thesis on how entrepreneurship incubators can be used as a means to alleviate poverty in South Africa.</t>
  </si>
  <si>
    <t>kevin@ceritypartnersventures.com</t>
  </si>
  <si>
    <t>87511-51P</t>
  </si>
  <si>
    <t>Kindra Tatarsky</t>
  </si>
  <si>
    <t>Kindra</t>
  </si>
  <si>
    <t>Tatarsky</t>
  </si>
  <si>
    <t>Ms. Kindra Tatarsky serves as Partner at Cerity Partners Ventures. She joined Touchdown in 2018. Her career path provides a unique perspective on how consumer behavior and preferences, coupled with emerging technologies, drive disruption across industries. Her initial focus on retail and consumer products expanded during her tenure at Golden Seeds, Nielsen, and a high-growth start-up. Working with businesses across consumer, media, healthcare, financial services, software, and real estate illustrated that consumer behavior is a common catalyst for driving change. Investing in innovation to drive change is multi-faceted, and she deeply values the interplay of quantitative and qualitative analysis when identifying such opportunities. She graduated from U.C.L.A. with a bachelor's degree in English and a minor in Business. The most valuable training she has received, however, came from watching her grandfather, Bob Devaney, coach at Nebraska: passionate about teamwork, ever curious to find a diamond in the rough, and committed to humility in listening, learning, and life. A continuous student, she maximizes any opportunity to learn about new technologies and industries. She advises companies capitalizing on the shifts in consumer behavior, and mentors numerous people launching new phases in their career.</t>
  </si>
  <si>
    <t>kindra@ceritypartnersventures.com</t>
  </si>
  <si>
    <t>377733-07P</t>
  </si>
  <si>
    <t>Kunal Desai</t>
  </si>
  <si>
    <t>Kunal</t>
  </si>
  <si>
    <t>Mr. Kunal Desai served as Associate at Cerity Partners Ventures. He focuses on healthcare and biotech investing. His prior experience includes healthcare venture capital at Revere Partners and consulting for pension funds and hedge funds. He earned a BA in Biology from the University of Detroit Mercy.</t>
  </si>
  <si>
    <t>kunal@ceritypartnersventures.com</t>
  </si>
  <si>
    <t>248794-21P</t>
  </si>
  <si>
    <t>Laure Fischer</t>
  </si>
  <si>
    <t>Ms. Laure Fischer serves as Senior Principal at Cerity Partners Ventures. At Touchdown, she focuses on early-stage investments in edge computing, security, and the future of work. Before joining Touchdown, she was on the deal execution team at AngelList, working with investors to close 150+ early-stage investments. Laura also spent several years as a full-stack software engineer at a small media company in Boston. She began her career in strategy and operations consulting at Deloitte in New York. She holds a BA in Economics and Philosophy from Northwestern and an MBA from Harvard Business School.</t>
  </si>
  <si>
    <t>laure@ceritypartnersventures.com</t>
  </si>
  <si>
    <t>245278-63P</t>
  </si>
  <si>
    <t>Lisebeth Kearns</t>
  </si>
  <si>
    <t>Lisebeth</t>
  </si>
  <si>
    <t>Kearns</t>
  </si>
  <si>
    <t>Ms. Lisebeth Kearns serves as Partner at Cerity Partners Ventures. She served as Managing Director at Cerity Partners Ventures. She served as a Board Member at BOOM! Studios. She joined Touchdown after working with the team for three years while leading the investment program at Twentieth Century Fox. She started her career as a venture associate at Digital Coast Ventures and then spent the next 16 years at TCF focused on emerging technology. In her most recent role as Executive Vice President of Operations Strategy, she oversaw investments, strategic partnerships, and operational transformations that fueled growth across film, TV, and digital platforms. With this blend of operational and strategic experience, she is passionate about leveraging commercial partnerships with startups as a key component of any corporate innovation program. She serves on the board of Boom! Studios, a leading independent comic book publisher with a first-look television deal at Netflix. She is also on the board of the St. James Inn, a Los Angeles-based non-profit that provides lodging to hospital outpatients or family members who have loved ones in the hospital. She graduated from Stanford University with a bachelor's degree in political science and a minor in feminist and gender studies. She earned her MBA at UCLA Anderson School, where she currently teaches corporate entrepreneurship and innovation.</t>
  </si>
  <si>
    <t>lisebeth@ceritypartnersventures.com</t>
  </si>
  <si>
    <t>200717-29P</t>
  </si>
  <si>
    <t>Louie Luong</t>
  </si>
  <si>
    <t>Luong</t>
  </si>
  <si>
    <t>Mr. Louie Luong serves as Principal at Cerity Partners Ventures. He joined Touchdown Ventures in the fall of 2018 and focuses on investments in the pharmaceutical sector. He is a Philadelphia native and attended Drexel University, where he completed the co-op program while studying Finance, Entrepreneurship, and Communication. Before joining Touchdown, he spent 3 years in private equity investing at Hamilton Lane. As a member of Hamilton Lane's Direct and Co-investments team, he was responsible for the evaluation and due diligence of venture, growth, buyout, and credit investment opportunities. He also worked on the firm's commercial relationships with technology startups. He graduated summa cum laude from the Pennoni Honors College at Drexel University with a Bachelor of Science in Business Administration. While studying at Drexel, he also completed an exchange program at the City University of Hong Kong.</t>
  </si>
  <si>
    <t>13190-68P</t>
  </si>
  <si>
    <t>Louis Toth</t>
  </si>
  <si>
    <t>Mr. Louis Toth serves as Venture Advisor at Cerity Partners Ventures. He serves as Managing Partner at Alter. He served as a Board Member at ConteXtream. He serves as a managing partner at Alter Venture Partners. He serves as a Board Member at SiLC and SiMa Technologies. He served as a Board Member at Exaware. He was responsible for evaluating investment opportunities, coordinating due diligence efforts, and assisting in the negotiation and structuring of financial terms for new portfolio investments. He was a Board Member of Vivox. He focuses on the technologies related to video and communications services, enterprise services, and cloud data center solutions. He also works with the management of Comcast Ventures portfolio companies on strategic, business development, and operations issues and collaborates with various Comcast business units on issues relating to new services, technologies, and start-ups. He graduated with honors and holds an MBA from The Wharton School and an MA in International Studies from the Joseph H. Lauder Institute of Management &amp; International Studies at the University of Pennsylvania. He also graduated from the Management &amp; Technology Program at the University of Pennsylvania with a BS in Economics from The Wharton School and a BS in Materials Science &amp; Engineering from the School of Engineering &amp; Applied Science.</t>
  </si>
  <si>
    <t>louis@ceritypartnersventures.com</t>
  </si>
  <si>
    <t>328113-19P</t>
  </si>
  <si>
    <t>M. Colin Tasi MD</t>
  </si>
  <si>
    <t>M. Colin</t>
  </si>
  <si>
    <t>Tasi</t>
  </si>
  <si>
    <t>Dr. M. Colin Tasi serves as Senior Principal at Cerity Partners Ventures. He joined Touchdown after completing his residency in emergency medicine at Harvard. During his training, he concurrently held positions at the biotechnology investment firm RA Capital and at the healthcare technology-focused firm Valtruis. He has also worked with several organizations in hospital management, healthcare strategy, and innovation. His experience includes regionalizing service lines in Massachusetts and New York and developing and implementing a new care delivery model in Texas. He has a background in basic science research, focusing on cellular biology and oncology drug development. He graduated from Connecticut College with a major in biochemistry and a minor in mathematics, where he also played for the men's varsity tennis team. He then earned his MD and MBA from Dartmouth College.</t>
  </si>
  <si>
    <t>mcolin@ceritypartnersventures.com</t>
  </si>
  <si>
    <t>341759-35P</t>
  </si>
  <si>
    <t>Marissa Baker</t>
  </si>
  <si>
    <t>Ms. Marissa Baker serves as Senior Associate at Cerity Partners Ventures. Before joining Touchdown, she worked for 2+ years at IBM Consulting in New York, working as a full-stack engineer and advisor to financial institutions on technology strategy. She focused on artificial intelligence, machine learning, and data privacy. She graduated magna cum laude with a BA in Computer Science and Russian literature from Middlebury College in Vermont.</t>
  </si>
  <si>
    <t>marissa@ceritypartnersventures.com</t>
  </si>
  <si>
    <t>267880-15P</t>
  </si>
  <si>
    <t>Matthew Shackelford</t>
  </si>
  <si>
    <t>Shackelford</t>
  </si>
  <si>
    <t>Mr. Matthew Shackelford serves as Senior Principal at Cerity Partners Ventures. He joined Touchdown in 2021. At Touchdown, He currently focuses on investments in IoT, predictive analytics, and critical infrastructure software, among others. Before joining Touchdown, He worked with Core Innovation Capital, a FinTech VC fund based in Los Angeles, focused on understanding the economic needs of middle-class Americans and investing in solutions to bolster their financial security. He also worked as an intern at Harness Wealth, an early-stage WealthTech start-up focused on democratizing access to high-quality financial advice. He began his career in funding optimization and liquidity risk management at Goldman Sachs in New York. He holds a BSE in operations research and financing engineering from Princeton University, an MBA from Harvard Business School, and an MPP from the Harvard Kennedy School of Government.</t>
  </si>
  <si>
    <t>matthew@ceritypartnersventures.com</t>
  </si>
  <si>
    <t>351174-88P</t>
  </si>
  <si>
    <t>Megan Szerlong</t>
  </si>
  <si>
    <t>Szerlong</t>
  </si>
  <si>
    <t>Ms. Megan Russell serves as a Principal at Cerity Partners Ventures. She joined Touchdown as a Senior Associate in 2023. She began her career as a healthcare management consultant at FTI Consulting and Prism Healthcare Partners, and later developed and led a capital planning consulting service for Strata Decision Technology. Most recently, she worked at Lakeshore Ventures evaluating and investing in early-stage startups across sectors, stages, and geographies. She completed her MBA at The University of Chicago Booth School of Business and earned a BA in Medicine, Health, and Society from Vanderbilt University. She is a member of the Associate Board of The Lurie Cancer Center of Northwestern University, through which she fundraises for innovative cancer research.</t>
  </si>
  <si>
    <t>megan@ceritypartnersventures.com</t>
  </si>
  <si>
    <t>111 West Illinois Street</t>
  </si>
  <si>
    <t>60654</t>
  </si>
  <si>
    <t>145710-64P</t>
  </si>
  <si>
    <t>Melissa Tse</t>
  </si>
  <si>
    <t>Tse</t>
  </si>
  <si>
    <t>Ms. Melwassa Tse serves as Senior Principal at Cerity Partners Ventures. She focuses on investments in materials science, retail, supply chain, sustainability &amp; circular economy, IoT, and industrial technology. Before Touchdown, she led the venture capital program at Avery Dennison, a Fortune 500 materials science company. She started her career in corporate development and strategy roles at Bank of America Merrill Lynch. She is currently a Board Director of Direct Color Systems, a digital inkjet printer OEM, and a Board Observer of RoadRunner Recycling, a tech-enabled waste management platform. She graduated from Arizona State University with dual degrees in English Literature and Chinese. She then received her Master's in Accounting from the University of North Carolina - Chapel Hill.</t>
  </si>
  <si>
    <t>melissa@ceritypartnersventures.com</t>
  </si>
  <si>
    <t>13740-76P</t>
  </si>
  <si>
    <t>Melvin Gaceta</t>
  </si>
  <si>
    <t>Gaceta</t>
  </si>
  <si>
    <t>Mr. Melvin Gaceta serves as Venture Advisor at Cerity Partners Ventures. helps manage the firm's consumer investment practice, based on his 20+ years of CVC experience. He got his start in corporate venture capital as finance director of Motorola Ventures, eventually moving into an investor role within the mobile hardware and software, video advertising, and mobile health sectors. Focusing on the mobile ecosystem, he went on to launch the CVC practice at US Cellular. He later transitioned into the financial services industry as Managing Director at Synchrony Ventures, the CVC arm of Synchrony Financial (fka GE Capital Retail Finance), where he invested in fintech, specifically focused on fraud, authentication, alternative underwriting, banking, and B2B financing. Most recently, he launched the CVC practice at Mondelēz International, investing in emerging snack brands and food tech. He graduated with a BS in accounting from the University of Illinois, Chicago, and an MBA from DePaul University.</t>
  </si>
  <si>
    <t>melvin@ceritypartnersventures.com</t>
  </si>
  <si>
    <t>377729-92P</t>
  </si>
  <si>
    <t>Michael Beer</t>
  </si>
  <si>
    <t>Mr. Michael Beer serves as an Senior Associate at Cerity Partners Ventures. Before joining Cerity Partners, He was an Associate at Touchdown Ventures, a pioneer of the "venture capital as a service" model that merged with Cerity Partners in 2024. He started his career as a management consultant at The Boston Consulting Group where he worked on a wide array of cases from turnarounds and restructurings to biopharma supply chain utilization. He holds a bachelor's degree in Philosophy, Politics, and Economics from the University of Pennsylvania and an MBA from Columbia University.</t>
  </si>
  <si>
    <t>michael@ceritypartnersventures.com</t>
  </si>
  <si>
    <t>99 Park Avenue</t>
  </si>
  <si>
    <t>248792-41P</t>
  </si>
  <si>
    <t>Mike Devlin</t>
  </si>
  <si>
    <t>Devlin</t>
  </si>
  <si>
    <t>Mr. Mike Devlin serves as Partner at Cerity Partners Ventures. He joined in 2019. Before Touchdown, he spent six years as an investment banker in New York City working on a variety of transactions. He started his career in 2011 at Citibank as a part of the industrials &amp; transportation group, where he worked with companies such as American Airlines and JetBlue. In 2013, he joined Sixpoint Partners, shifting his focus to the lower middle market and taking on a more generalist industry view. His current focus at Touchdown includes enterprise SaaS opportunities as it relate to the future of the knowledge worker and professional services. Aside from his investing work, he has committed himself to fighting in the battle against ALS by partnering with and advising Project ALS, an organization dedicated to finding treatments and a cure for the disease. He graduated Cum Laude from Boston College with a BS in Finance and received his MBA from UC Berkeley's Haas School of Business where he was President of the Berkeley InSITE Fellowship chapter.</t>
  </si>
  <si>
    <t>mike@ceritypartnersventures.com</t>
  </si>
  <si>
    <t>328114-18P</t>
  </si>
  <si>
    <t>Orion Choy</t>
  </si>
  <si>
    <t>Orion</t>
  </si>
  <si>
    <t>Mr. Orion Choy serves as Principal at Cerity Partners Ventures. He joined Touchdown Ventures in 2022. Before Touchdown, he was on the corporate development and strategy team at InterDigital where he was responsible for evaluating new business opportunities, such as acquisitions and partnerships, and managed the company's M&amp;A pipeline to proactively engage potential acquisition opportunities. He began his career at Deutsche Bank where he helped the corporate strategy team develop the go-to-market strategy to expand to three new countries. His journey in entrepreneurship and innovation began as a Venture for America fellow. As part of the fellowship, he was the Financial Controller for Simply Good Jars, a Philadelphia-based consumer packaged goods startup. He has completed BS from Cornell University's School of Industrial and Labor Relations and received the chartered financial analyst designation.</t>
  </si>
  <si>
    <t>orion@ceritypartnersventures.com</t>
  </si>
  <si>
    <t>351179-83P</t>
  </si>
  <si>
    <t>Peter Ulrich Ph.D</t>
  </si>
  <si>
    <t>Dr. Peter Ulrich serves as Partner at Cerity Partners Ventures. He joined Touchdown in 2023 as a Venture Partner. He brings a wealth of experience in strategy consulting, digital technologies, sustainability, M&amp;A, and venture capital. Having served in senior roles at BCG, EY, and IBM, he is well-versed in working with leading companies to shape their company strategies, drive innovation, and transform their businesses. His expertise lies in helping companies successfully implement innovation by setting up their CVC funds, driving startup M&amp;A, and forging strategic partnerships. He holds a PhD in economics from the Ludwig-Maximilians-Universität and a degree in business administration from the University of Cologne. He has lived in the US, Europe, and Latin America, and speaks English, German, and Portuguese fluently.</t>
  </si>
  <si>
    <t>peter@ceritypartnersventures.com</t>
  </si>
  <si>
    <t>259836-67P</t>
  </si>
  <si>
    <t>Rachel Gutnick</t>
  </si>
  <si>
    <t>Gutnick</t>
  </si>
  <si>
    <t>Ms. Rachel Gutnick serves as Principal at Cerity Partners Ventures. She joined Touchdown Ventures in 2021 and supports both the firm's business development activities and the launching of new corporate venture funds. Passionate about equity in the entrepreneurial ecosystem, she started Women Who Launch to get more women involved in entrepreneurship and venture capital. She has about a decade of prior experience in digital marketing, account management, and data analytics roles at companies including The Coca-Cola Company, Marriott International, and AARP. She additionally served as Director of Marketing at an early-stage fintech company and has launched several startups of her own, including her most recent creative endeavor, Teal Canvas. She graduated from Lehigh University with a BA in Psychology and a minor in Business. She earned an MBA from the Stephen M. Ross School of Business at the University of Michigan. Originally from the Philadelphia area, she returned to her hometown when she joined Touchdown. Outside of work, she enjoys yoga, taking her dog Mushu for walks in the park, and exploring different cultures through food and travel. She loves the outdoors and has been hiking on 5 different continents.</t>
  </si>
  <si>
    <t>rachel@ceritypartnersventures.com</t>
  </si>
  <si>
    <t>248794-57P</t>
  </si>
  <si>
    <t>Rahul Daryanani</t>
  </si>
  <si>
    <t>Daryanani</t>
  </si>
  <si>
    <t>Mr. Rahul Daryanani serves as Senior Principal at Cerity Partners Ventures. Before Touchdown, he was an Associate at Arbor Ventures - a FinTech-focused early-stage VC fund based in Hong Kong. He also spent time working on Business Development and Strategy for EMQ, an early-stage FinTech startup focused on cross-border financial settlement. His current focus at Touchdown includes opportunities across ConstructionTech and Industry 4.0 through the lens of frontier tech applications utilizing the Internet of Things, Additive Manufacturing, and Artificial Intelligence, among others. He has spent time investing across the capital structure, making direct investments in asset classes ranging from Private Credit to Venture Capital. He worked as a Private Equity Analyst at Liberty Mutual Investments, where he focused on direct co-investments and LP investments. He was also an Associate at Arbor Ventures, where he evaluated investments across the FinTech value chain with a focus on InsurTech and Payments. Wanting to diversify his experience and further understand startup mechanics, he joined EMQ, an early-stage FinTech based in HK. At EMQ, he worked directly with the CEO to provide insight and contribute to shaping strategy on a variety of company initiatives and technologies. He was also actively involved in Business Development and fundraising for the company's Series B round of financing.He graduated Magna Cum Laude from Babson College with a dual concentration in Finance and Strategic Management and is a CFA charter holder.</t>
  </si>
  <si>
    <t>rahul@ceritypartnersventures.com</t>
  </si>
  <si>
    <t>377732-17P</t>
  </si>
  <si>
    <t>Rajat Aiyer</t>
  </si>
  <si>
    <t>Aiyer</t>
  </si>
  <si>
    <t>Mr. Rajat Aiyer serves as Associate at Cerity Partners Ventures. He focuses on food consumer packaged goods and agriculture technology investments. Before joining Touchdown, he worked at Silicon Valley Bank on enterprise software, consumer internet, fintech, artificial intelligence, machine learning, robotics, and more. He also worked as a financial analyst for Satya Nutrition, a Baltimore-based nonprofit addressing malnourishment and malnutrition in the Indian subcontinent. He received his B.S. from Tulane University, where he co-majored in finance and marketing.</t>
  </si>
  <si>
    <t>rajat@ceritypartnersventures.com</t>
  </si>
  <si>
    <t>41679-01P</t>
  </si>
  <si>
    <t>Richard Grant</t>
  </si>
  <si>
    <t>Mr. Richard Grant serves as Partner at Cerity Partners Ventures. He has spent his entire career than 20 years in roles focused on corporate growth and innovation. Before co-founding Touchdown, he spent seven years in venture capital and strategic development at Comcast, where he covered a variety of sectors ranging from enterprise software to consumer internet and was involved in more than a dozen investments. Before joining Comcast Ventures, he spent ten years in operating roles for media and technology companies. This included leading strategic development for Comcast Interactive Media and a role in corporate development for Sony Pictures. Earlier in his career, he worked in investment banking for Lehman Brothers. He graduated with highest honors from UC Santa Barbara and received an MBA from The Wharton School, where he graduated as a Palmer Scholar. He is a founding board member of Naturally Bay Area, a non-profit corporation that connects entrepreneurs, investors, and corporate innovators in the food and natural products community. He is a frequent speaker, panelist, and lecturer on topics such as corporate innovation and venture capital.</t>
  </si>
  <si>
    <t>rich@ceritypartnersventures.com</t>
  </si>
  <si>
    <t>456610-06P</t>
  </si>
  <si>
    <t>Sarah Heddins</t>
  </si>
  <si>
    <t>Heddins</t>
  </si>
  <si>
    <t>Ms. Sarah Heddins serves as Senior Associate at Cerity Partners Ventures. Prior to joining Cerity Partners, she gained experience in multiple industries including retail, healthcare, recruiting, and entertainment. Whether the job was selling wedding dresses, recruiting for software salesmen, or managing an escape room. She is a certified actor combatant with the S.A.F.D. and she is also teaching artist with the Virginia Thespian Festival. She has a B.F.A in Performance from the University of Houston</t>
  </si>
  <si>
    <t>sarah@ceritypartnersventures.com</t>
  </si>
  <si>
    <t>13127-86P</t>
  </si>
  <si>
    <t>Scott Lenet</t>
  </si>
  <si>
    <t>Lenet</t>
  </si>
  <si>
    <t>Mr. Scott Lenet is the Co-Founder &amp; serves as the Partner at Cerity Partners Ventures. He is the Co-Founder &amp; serves as Managing Partner at Frontier Venture Capital. He serves as an Investment Committee member at Cooperative Ventures. He began his venture capital career in 1992 as the first associate at Geocapital Partners, a late-stage venture capital firm focused on technology investments. In 2002, he co-founded DFJ Frontier, an early-stage fund making West Coast investments for the DFJ Network. Following his initial experience as a venture capitalist, he worked in product marketing for Trilogy Software in Austin, Texas. He was the co-founder &amp; CEO of SmartFrog, the first cash-back rewards program for online shopping, which he sold to Cybergold. He currently supervises the firm's industrial manufacturing and food &amp; agriculture sector practices, in addition to maintaining a passion for healthcare innovation. He graduated from Princeton University with a bachelor's degree in comparative literature. He earned an MBA at the Wharton School of the University of Pennsylvania with a concentration in entrepreneurial management. He previously served on the board of the Kenley Jansen Foundation, which provides entertainment and technology for children's hospitals. He co-founded the Entrepreneurship Center at UC Davis, where he was an adjunct for seven years at the Graduate School of Management and served on the advisory board for the Dean of the College of Biological Sciences. As an adjunct professor, he has also taught corporate innovation at UCLA Anderson and venture capital at USC's Marshall School.</t>
  </si>
  <si>
    <t>scott@ceritypartnersventures.com</t>
  </si>
  <si>
    <t>377736-67P</t>
  </si>
  <si>
    <t>Shand Stephens</t>
  </si>
  <si>
    <t>Shand</t>
  </si>
  <si>
    <t>Stephens</t>
  </si>
  <si>
    <t>Mr. Shand Stephens serves as an Associate at Cerity Partners Ventures. He serves as a Board Member &amp; Advisor at Notre Dame Venture Capital. He focuses on investments in critical infrastructure and energy. He graduated from the University of Notre Dame with a B.A. in economics and philosophy.</t>
  </si>
  <si>
    <t>shand@ceritypartnersventures.com</t>
  </si>
  <si>
    <t>Notre Dame</t>
  </si>
  <si>
    <t>Notre Dame, IN</t>
  </si>
  <si>
    <t>Indiana</t>
  </si>
  <si>
    <t>46556</t>
  </si>
  <si>
    <t>Board Member &amp; Advisor</t>
  </si>
  <si>
    <t>Notre Dame Venture Capital</t>
  </si>
  <si>
    <t>163770-85P</t>
  </si>
  <si>
    <t>Will Geiger</t>
  </si>
  <si>
    <t>Geiger</t>
  </si>
  <si>
    <t>Mr. Will Geiger serves as Partner at Cerity Partners Ventures. He also serves as an Executive at INX Venture Capital. He joined Touchdown Ventures in 2017. At Touchdown, he focuses on investments in materials science, retail, supply chain, sustainability &amp; circular economy, and industrial technology. Before Touchdown, he worked in the growth private equity group at Kayne Anderson Capital Advisors, where he invested in lower-middle-market B2B software companies. He began his venture capital career working for the Gideon Hixon Fund, the venture investment arm of the Hixon family office. He also led an investment in the Saint Archer Brewing Company, where he served as an advisor to Saint Archer's management team until it was acquired by MillerCoors in 2015. He graduated Cum Laude from the University of Southern California with a degree in Environmental Science and Business and received his MBA from the UCLA Anderson School of Management where he was a Carter Fellow and a Venture Fellow. He currently teaches corporate entrepreneurship &amp; innovation at UCLA Anderson.</t>
  </si>
  <si>
    <t>will@ceritypartnersventures.com</t>
  </si>
  <si>
    <t>35986-60P</t>
  </si>
  <si>
    <t>William Carson</t>
  </si>
  <si>
    <t>Carson</t>
  </si>
  <si>
    <t>Mr. William Carson serves as Partner at Cerity Partners Ventures. He served as Managing Director at Hudson Ventures. He serves as Director &amp; Head of Finance at Princeton Infrared Technologies. He served as a Board Member at Scanbuy. He previously served as a Venture Partner, Financial Technology and Services at Red Badge Management, and Managing Director at Hudson Ventures. He also served as an Investment Committee Member at Vitalize Venture Group. He also served on the Board of Directors of Integral Development. He has an interest in the areas of financial technology, wireless, and information security. He is also a Managing Director at Hudson Ventures, an NYC-based venture capital firm where he was responsible for Hudson's investment in Pivot (acquired by Chicago Mercantile Exchange) and Guardent (acquired by Verisign). Before Hudson Ventures, he ran Citigroup's Strategic Investment Group, making financial technology-based investments in Mobileway (acquired by Sybase), Paytrust (acquired by Metavante), 724 Solutions (IPO), and Transport (acquired by CheckFree). Before the Strategic Investment Fund, he co-founded a $100 million Technology Investment Fund within Citigroup covering a wide range of technology companies, yielding a 71% IRR and a three times return on capital. He is a founding board member for FiTeq, a California-based financial technology company that has developed a technology to reduce credit card fraud, and he also sits on the advisory boards of several NJ-based technology companies. In addition to his venture capital experience, he led Citigroup's internal M&amp;A group during the 1990s, where he was involved in all deals, including the Travelers-Citicorp merger, the acquisition of AT&amp;T's Universal Credit card business, and numerous bank acquisitions, securities processing, and information services transactions. He holds a BS and BA in Marine Engineering and Economics from the University of Notre Dame and earned an MBA in Finance from the University of Chicago. He also holds a MS in Civil and Environmental Engineering from the MIT (Solan)</t>
  </si>
  <si>
    <t>+1 (212) 644-9797</t>
  </si>
  <si>
    <t>william@ceritypartnersventures.com</t>
  </si>
  <si>
    <t>456611-23P</t>
  </si>
  <si>
    <t>William Ellis</t>
  </si>
  <si>
    <t>Mr. William Ellis serves as an Associate at Cerity Partners Ventures. Before joining Cerity Partners, he was an Analyst with Touchdown Ventures, a pioneer of the "venture capital as a service" model (merged with Cerity Partners). Before joining Touchdown, he was an investment banker with Stifel's financial institutions group, Keefe Bruyette &amp; Woods. He graduated with University Honors and B.B.A. in Finance and Minor in Entrepreneurship from the University of Texas at Austin</t>
  </si>
  <si>
    <t>378559-99P</t>
  </si>
  <si>
    <t>Alexandra Chung</t>
  </si>
  <si>
    <t>Chai Ventures NYC</t>
  </si>
  <si>
    <t>Ms. Alexandra Chung serves as an Investor at Chai Ventures. She serves as Board Member at NextGen Partners. She invests in high-potential, women-led startups across consumer, healthcare, and the future of work sectors. Passionate about supporting early-stage companies, she has curated impactful deal flow, fostered strategic partnerships, and contributed to successful initial investments that align with Chai Ventures' mission to empower women entrepreneurs. Her previous experience includes roles at Decibel, Fortress, and Loeb.nyc, where she honed her ability to identify high-growth opportunities and develop go-to-market strategies for transformative companies. She earned her MBA from the University of Chicago Booth School of Business and a BA in Philosophy with Allied Fields from the University of Chicago. Outside of work, she is a dedicated runner, having completed the NYC Marathon while raising funds for Tackle Kids Cancer, and is preparing for the Chicago Marathon in 2025, where she will be raising funds for the Shirley Ryan AbilityLab.</t>
  </si>
  <si>
    <t>+1 (914) 886-8167</t>
  </si>
  <si>
    <t>216451-90P</t>
  </si>
  <si>
    <t>Rajiv Kapoor</t>
  </si>
  <si>
    <t>Kapoor</t>
  </si>
  <si>
    <t>Mr. Rajiv Kapoor is the Founder &amp; serves as a Partner at Chai Ventures. His investment track record spans both public and private markets, with early bets on companies like Tesla, Workday, and Tableau, and early-stage investments in Compt, Hacware, and Nomic. He brings proven operational expertise from his roles in a successful IPO exit (2013) and a strategic acquisition (2016). Additionally, he has provided strategic consulting on marketing, talent acquisition, and global structuring for over 100 companies, including Microsoft and Pfizer.</t>
  </si>
  <si>
    <t>+1 (917) 477-0352</t>
  </si>
  <si>
    <t>rajiv@chai-ventures.com</t>
  </si>
  <si>
    <t>198543-97P</t>
  </si>
  <si>
    <t>Chan Zuckerberg Initiative</t>
  </si>
  <si>
    <t>Mr. David Lee serves as Chief Investment Officer at Chan Zuckerberg Initiative. As the Chan Zuckerberg Initiative's Chief Investment Officer, Mr. Lee is responsible for managing CZI's investment portfolio, which funds the organization's efforts across Science, Education, and Justice &amp; Opportunity. he joined CZI from the Princeton University Investment Company where he worked on asset allocation and the marketable asset categories, including domestic equity, international equity, and independent return. Prior to Princeton, he worked at ABN AMRO in London. He earned a first-class honors degree in Economics and Econometrics from the University of York (UK), holds an MS with Distinction specializing in Quantitative Finance from the University of Reading (UK), and received an MBA from the Yale School of Management. He is a CFA Charterholder.</t>
  </si>
  <si>
    <t>+1 (609) 258-9548</t>
  </si>
  <si>
    <t>dlee@chanzuckerberg.com</t>
  </si>
  <si>
    <t>+1 (609) 258-2907</t>
  </si>
  <si>
    <t>261782-92P</t>
  </si>
  <si>
    <t>Kelly Navarro</t>
  </si>
  <si>
    <t>Ms. Kelly Navarro served as Chief People Officer at Dm Moore Group.</t>
  </si>
  <si>
    <t>knavarro@chanzuckerberg.com</t>
  </si>
  <si>
    <t>Executive Assistant, Ventures</t>
  </si>
  <si>
    <t>194325-13P</t>
  </si>
  <si>
    <t>Kevin Shellito</t>
  </si>
  <si>
    <t>Shellito</t>
  </si>
  <si>
    <t>Mr. Kevin Shellito serves as Principal, Ventures at Chan Zuckerberg Initiative. He served as Associate at Clayton, Dubilier &amp; Rice. He joined CD&amp;R in 2018. Previously, he worked at PJT Partners where he focused on M&amp;A. He graduated from The Wharton School at the University of Pennsylvania with a B.S. in economics.</t>
  </si>
  <si>
    <t>kshellito@chanzuckerberg.com</t>
  </si>
  <si>
    <t>Principal, Ventures</t>
  </si>
  <si>
    <t>80160-13P</t>
  </si>
  <si>
    <t>Marc Malandro Ph.D</t>
  </si>
  <si>
    <t>Malandro</t>
  </si>
  <si>
    <t>Dr. Marc Malandro serves as Chief Operating Officer at Chan Zuckerberg Initiative. He was the Founding Director at the University of Pittsburgh Innovation Institute. Previously, he co-founded and served as a Vice President of Technology and Strategic Alliances.</t>
  </si>
  <si>
    <t>mmalandro@chanzuckerberg.com</t>
  </si>
  <si>
    <t>22928-59P</t>
  </si>
  <si>
    <t>Mark Zuckerberg</t>
  </si>
  <si>
    <t>Zuckerberg</t>
  </si>
  <si>
    <t>Mr. Mark Zuckerberg is a Co-Founder and serves as Chairman &amp; Chief Executive Officer at Meta Platforms. He is the Founder of Facebook AI Research. He is an Investor at Breakthrough Energy. He is responsible for setting the company's overall direction and product strategy. He is also the Co-Founder and co-CEO of the Chan Zuckerberg Initiative (CZI) with his wife, Priscilla. He leads the design of Meta's services and the development of its core technology and infrastructure. He studied computer science at Harvard University before moving to Palo Alto, California, in 2004. He also holds a degree in Computer science from Harvard University. He also holds a degree from HEC Paris.</t>
  </si>
  <si>
    <t>+1 (650) 543-4800</t>
  </si>
  <si>
    <t>markzuckerberg@meta.com</t>
  </si>
  <si>
    <t>1601 Willow Road</t>
  </si>
  <si>
    <t>Co-Founder, Chairman &amp; Chief Executive Officer</t>
  </si>
  <si>
    <t>Meta Platforms</t>
  </si>
  <si>
    <t>276443-38P</t>
  </si>
  <si>
    <t>Martha Teka</t>
  </si>
  <si>
    <t>Teka</t>
  </si>
  <si>
    <t>Ms. Martha Teka serves as a Senior Associate at Chan Zuckerberg Initiative. She served as an Associate at Telescope Partners. Before joining Telescope, she was on the Corporate Strategy team at Bright Health Group, a diversified healthcare startup based in New York City, focusing on organic and inorganic growth strategy. She began her career as a consultant at Accenture Strategy, working on various strategy, operations, and diligence projects across healthcare, retail, and technology. She earned a B.A. from the University of Chicago with honors.</t>
  </si>
  <si>
    <t>55131-94P</t>
  </si>
  <si>
    <t>Priscilla Chan MD</t>
  </si>
  <si>
    <t>Priscilla</t>
  </si>
  <si>
    <t>Dr. Priscilla Chan is a Co-Founder and serves as Co-Chief Executive Officer at Chan Zuckerberg Initiative. Dr. Chan is a Co-Founder of the Breakthrough Energy Coalition at Breakthrough Energy. Additionally, she serves as Chair of Gradient Learning and is an Executive at Startup:Education. She earned her BA in Biology from Harvard University and her MD from the University of California, San Francisco (UCSF).</t>
  </si>
  <si>
    <t>pchan@chanzuckerberg.com</t>
  </si>
  <si>
    <t>Co-Founder &amp; Co-Chief Executive Officer</t>
  </si>
  <si>
    <t>108751-60P</t>
  </si>
  <si>
    <t>Sarah Vared</t>
  </si>
  <si>
    <t>Vared</t>
  </si>
  <si>
    <t>Ms. Sarah Vared serves as Director, Ventures at Chan Zuckerberg Initiative. Ms. Vared served as Principal at MissionPoint Partners. She focuses on investments related to sustainability, agriculture, efficiency, and resilience. In her role at MissionPoint, she currently serves as the Interim Director for ReFED, a multi-stakeholder collaborative of foundations, investors, nonprofits, businesses, and governments to develop a first-ever national roadmap to reduce food waste at scale in the United States. Previously, she worked for Pacific Gas and Electric Company where her work included the development of innovative programs to reduce energy consumption through analytics and automation. She has an MBA from the Presidio Graduate School and a BA from the University of California, Santa Barbara.</t>
  </si>
  <si>
    <t>svared@chanzuckerberg.com</t>
  </si>
  <si>
    <t>Director, Ventures</t>
  </si>
  <si>
    <t>174280-69P</t>
  </si>
  <si>
    <t>Vivian Wu</t>
  </si>
  <si>
    <t>Ms. Vivian Wu serves as Managing Partner, Ventures at Chan Zuckerberg Initiative. She also serves as a Board Member at Andela. She serves as Board Observer at Eruditus Executive Education. She served as Board Member at BYJU'S.</t>
  </si>
  <si>
    <t>vivian@chanzuckerberg.com</t>
  </si>
  <si>
    <t>Managing Partner, Ventures</t>
  </si>
  <si>
    <t>327769-75P</t>
  </si>
  <si>
    <t>Barbara Harrison</t>
  </si>
  <si>
    <t>Barbara</t>
  </si>
  <si>
    <t>Harrison</t>
  </si>
  <si>
    <t>Chevron</t>
  </si>
  <si>
    <t>Ms. Barbara Harrison serves as Vice President, Crude Supply and Trading at Chevron. In her prior role, Barbara was the general manager of Value Chain Optimization (VCO), International Fuels and Lubricants (IF&amp;L) in Asia. She was responsible for strategic planning for IF&amp;L and optimizing crude supply and she was general manager, the Planning and Change Management Office, in Corporate Strategic Planning, responsible for Chevron's business planning process, secretary of the Management Committee, and managed the Change Management Office, which supports the deployment of the Strategic Imperatives across the corporation. Barbara previously held several positions of increasing responsibility across Chevron's Downstream and Chemicals business including, Manufacturing, Strategy, VCO, and Retail. Barbara started her career at the Richmond Refinery in California as a process engineer in 2001. She earned her Bachelor of Science degree in
Chemical Engineering from University College Dublin in Ireland.</t>
  </si>
  <si>
    <t>+1 (832) 854-1000</t>
  </si>
  <si>
    <t>barbaraharrison@chevron.com</t>
  </si>
  <si>
    <t>1400 Smith Street</t>
  </si>
  <si>
    <t>Vice President, Crude Supply and Trading</t>
  </si>
  <si>
    <t>206960-05P</t>
  </si>
  <si>
    <t>Bruce Niemeyer</t>
  </si>
  <si>
    <t>Niemeyer</t>
  </si>
  <si>
    <t>Mr. Bruce Niemeyer serves as President, Shale &amp; Tight at Chevron. He served as President, Americas Exploration &amp; Production at Chevron. He was responsible for developing Chevron assets in the mid-continent United States, including Chevron significant Permian assets in Texas and New Mexico. Prior to this role, Niemeyer was vice president of the Appalachian/Michigan strategic business unit, where he led the company development of natural gas from shale in the northeast U.S. Niemeyer also served as general manager of strategy and planning for Chevron North America Exploration and Production Co. Niemeyer joined Texaco in 2000 from Atlantic Richfield Co. He earned a bachelors degree in petroleum engineering from the Colorado School of Mines and is a registered petroleum engineer in the state of California.</t>
  </si>
  <si>
    <t>bniemeyer@chevron.com</t>
  </si>
  <si>
    <t>President, Shale &amp; Tight</t>
  </si>
  <si>
    <t>128024-02P</t>
  </si>
  <si>
    <t>Callum Lawson</t>
  </si>
  <si>
    <t>Lawson</t>
  </si>
  <si>
    <t>Mr. Callum Lawson serves as Country Manager Mexico at Chevron. Previously, he served as the Team Lead Rock Mechanics at Chevron.</t>
  </si>
  <si>
    <t>callumlawson@chevron.com</t>
  </si>
  <si>
    <t>Country Manager Mexico</t>
  </si>
  <si>
    <t>80829-82P</t>
  </si>
  <si>
    <t>Charles Fordham</t>
  </si>
  <si>
    <t>Fordham</t>
  </si>
  <si>
    <t>Mr. Charles Fordham serves as Business Development and Commercial Manager of Europe, Eurasia &amp; Middle East at Chevron. Prior to Chevron, he served as a commercial manager of GDF Britain Limited, New Ventures Manager at CaLEnergy, and a Senior Geologist at Powergen and ConocoPhillips.</t>
  </si>
  <si>
    <t>charlesfordham@chevron.com</t>
  </si>
  <si>
    <t>Business Development and Commercial Manager of Europe, Eurasia &amp; Middle East</t>
  </si>
  <si>
    <t>392116-69P</t>
  </si>
  <si>
    <t>Christopher Powers</t>
  </si>
  <si>
    <t>Mr. Christopher Powers serves as Vice President, Carbon Capture, Utilization, &amp; Storage (CCUS), New Energies (CNE) at Chevron. Previously, Powers served as General Manager of Strategy and Business Performance for Chevron North America Exploration and Production Company (CNAEP) since 2020. In this role, he was responsible for leading efforts to shape strategies and competitive plans for each business unit across the North America region, including the leading Permian position. Chris led the merger integration of Noble Energy's North American assets into CNAEP. A native of Port Neches, Texas, Chris received his Bachelor of Science in Chemical Engineering Magna Cum Laude
from Rice University in Houston, Texas. He is a registered Professional Engineer.</t>
  </si>
  <si>
    <t>cpowers@chevron.com</t>
  </si>
  <si>
    <t>Vice President, Carbon Capture, Utilization, &amp; Storage (CCUS), New Energies (CNE)</t>
  </si>
  <si>
    <t>226360-45P</t>
  </si>
  <si>
    <t>Colin Parfitt</t>
  </si>
  <si>
    <t>Parfitt</t>
  </si>
  <si>
    <t>Mr. Colin Parfitt served as Vice President, Midstream at Chevron. Previously Parfitt was president of Supply and Trading where he was responsible for Chevron's global trading activities for crude oil, feedstocks, refined products, natural gas, and gas liquids to support the company's crude and gas production operations and refining and marketing network. Prior to that role, Parfitt was vice president, Sales &amp; Marketing, for Chevron Oronite Company LLC. He has also served as vice president of Americas Products, vice president of Finished Lubricants, and president of Fuel and Marine Marketing. Parfitt joined Chevron in 1995 as manager of crude Oil Trading, with Chevron International Oil Company based in London. He earned a bachelor's degree in Economics from the University of Exeter in England and a master's degree in Business Administration from Henley Management College in England.</t>
  </si>
  <si>
    <t>colin.parfitt@chevron.com</t>
  </si>
  <si>
    <t>Vice President, Midstream</t>
  </si>
  <si>
    <t>77996-80P</t>
  </si>
  <si>
    <t>Debra Reed-Klages</t>
  </si>
  <si>
    <t>Reed-Klages</t>
  </si>
  <si>
    <t>Ms. Debra Reed-Klages serves as Chairwoman of the Nominating and Governance Committee &amp; Member of the Executive Committee &amp; Board Member at Caterpillar. She serves as a Board Member at Halliburton. She serves as a Board Member &amp; Member of the Audit (Chair and audit committee financial expert) Committee at Chevron. She serves as Chairman, Chief Executive Officer &amp; President at Sempra Energy. She formerly served as the President &amp; Chief Executive Officer at Sempra Energy. Previously, she served as an Executive Vice President of the company. From 2006 to 2010, she was President and Chief Executive Officer of San Diego Gas &amp; Electric Company (SDG&amp;E) and Southern California Gas Company (SoCalGas), Sempra Energy's regulated California utilities. From 2004 to 2006, she was President and Chief Operating Officer of SDG&amp;E and SoCalGas and, before that, she was President of SDG&amp;E and Chief Financial Officer of both companies. She serves on the boards of directors of Halliburton Company and Caterpillar Inc. She is a member of The Business Council and serves on the energy and environment and tax and fiscal policy committees of the Business Roundtable. Both associations are composed of chief executive officers of leading U.S. corporations. She is a member of The Trusteeship, an affiliate of the International Women's Forum, and the Chairman's Competitiveness Council of the San Diego Regional Economic Development Corporation. She serves on the University of Southern California Viterbi Engineering School Board of Councilors and the National Petroleum Council. She has formerly served as Chair of the San Diego Regional Economic Development Corporation and is a former director of Genentech, Inc. and Avery Dennison Corporation. In her current position as the Chairman, President, and Chief Executive Officer, oversees the management of all aspects of the business. She brings decades of service to the company and its subsidiaries and has benefitted from years of hands-on experience with utility and energy infrastructure operations. That experience, coupled with current and prior service as a board member of other large publicly traded companies, brings a multifaceted perspective and in-depth industry understanding to the board.</t>
  </si>
  <si>
    <t>Board Member &amp; Member of the Audit (Chair and audit committee financial expert) Committee</t>
  </si>
  <si>
    <t>367538-23P</t>
  </si>
  <si>
    <t>Devin Swali</t>
  </si>
  <si>
    <t>Swali</t>
  </si>
  <si>
    <t>Mr. Devin Swali serves as Technology Business Management Data Analyst at Chevron. He has also served as Medical Data Analyst at Chevron, Business Analyst at CenterPoint Energy, Analyst at AmaZix, CRA Business Analyst at BBVA USA</t>
  </si>
  <si>
    <t>devinswali@chevron.com</t>
  </si>
  <si>
    <t>Technology Business Management Data Analyst</t>
  </si>
  <si>
    <t>274909-87P</t>
  </si>
  <si>
    <t>Eimear Bonner</t>
  </si>
  <si>
    <t>Eimear</t>
  </si>
  <si>
    <t>Bonner</t>
  </si>
  <si>
    <t>Ms. Elimear Bonner serves as Chief Financial Officer &amp; Vice President at Chevron. She also serves as president of the Chevron Technical Center, which provides expertise to drive the application of technology, initiatives to transform Chevron's digital future, and innovative breakthrough technology to support the future of energy. Previously she served as general director of Chevron's largest joint venture, Tengizchevroil (TCO), in Kazakhstan since 2018. Before that, she served as TCO's general manager of operations. As general director, she led the TCO organization and was responsible for ensuring strong business performance, advancing a major expansion project, managing relationships with stakeholders in the Kazakhstan government, partner companies, and the communities, and leading TCO's organization transformation. Her previous leadership roles include deputy managing director of Chevron's Eurasia Business Unit, based in Almaty, where she managed Chevron's non-operated interests in Kazakhstan and Azerbaijan; asset manager in Chevron Thailand, where she was responsible for asset development, operations, and technical support for multiple offshore assets; and general manager of Corporate Strategy. She began her career as an offshore petroleum engineer in the United Kingdom. Over her 22-year career with Chevron, she has held numerous leadership and engineering positions in the United Kingdom, Thailand, Kazakhstan, and the United States. She received her Bachelor's degree in Chemical Engineering from Queen's University Belfast, and her Master's degrees in Advanced Chemical Engineering and Petroleum Engineering from Imperial College, London.</t>
  </si>
  <si>
    <t>eimear@chevron.com</t>
  </si>
  <si>
    <t>388700-83P</t>
  </si>
  <si>
    <t>Frank Mount</t>
  </si>
  <si>
    <t>Mount</t>
  </si>
  <si>
    <t>Mr. Frank Mount serves as Vice President, Corporate Business Development at Chevron. Prior to this role, he served as vice president of M&amp;A and Origination. He also served as general manager of Investor Relations. He joined Chevron in 1993 in the finance organization and has held roles across finance and business development in Canada, Kazakhstan, the Philippines, Singapore, Thailand and the United States. He earned his bachelor's degree in accounting from the University of Notre Dame and a master's degree in international management studies from The University of Texas at Dallas.</t>
  </si>
  <si>
    <t>frank@chevron.com</t>
  </si>
  <si>
    <t>Vice President, Corporate Business Development</t>
  </si>
  <si>
    <t>128026-90P</t>
  </si>
  <si>
    <t>Guillermo Van Maanen</t>
  </si>
  <si>
    <t>Van Maanen</t>
  </si>
  <si>
    <t>Mr. Guillermo Van Maanen serves as Senior State Government Affairs Representative at Chevron.</t>
  </si>
  <si>
    <t>gmaanen@chevron.com</t>
  </si>
  <si>
    <t>Senior State Government Affairs Representative</t>
  </si>
  <si>
    <t>297567-91P</t>
  </si>
  <si>
    <t>Hariprasad Subramani Ph.D</t>
  </si>
  <si>
    <t>Hariprasad</t>
  </si>
  <si>
    <t>Subramani</t>
  </si>
  <si>
    <t>Advisor &amp; Head</t>
  </si>
  <si>
    <t>Dr. Hariprasad Subramani serves as Head of Innovation and Executive Advisor to Country Head at Chevron. Previously, Hari served as a Senior Flow Assurance Advisor in Chevron championing R&amp;D and supporting design and operation of deep water oil/gas production facilities. Hari is passionate about mentoring K-12 &amp; college students and early-career professionals in academia/industry. He has held several leadership roles in technical discipline committees and/or sections of Society of Petroleum Engineers International and American Institute of Chemical Engineers. Hari has been involved in TUCoRE as a Chevron project champion/resource and/or TMT member since 2007.</t>
  </si>
  <si>
    <t>hjsubramani@chevron.com</t>
  </si>
  <si>
    <t>Head of Innovation and Executive Advisor to Country Head</t>
  </si>
  <si>
    <t>128040-58P</t>
  </si>
  <si>
    <t>Havrilla Michael</t>
  </si>
  <si>
    <t>Havrilla</t>
  </si>
  <si>
    <t>Mr. Havrilla Michael serves as Corporate Business Development &amp; Merger &amp; Acquisitions at Chevron.</t>
  </si>
  <si>
    <t>michael@chevron.com</t>
  </si>
  <si>
    <t>Corporate Business Development &amp; Merger &amp; Acquisitions</t>
  </si>
  <si>
    <t>128033-38P</t>
  </si>
  <si>
    <t>Jason Brown</t>
  </si>
  <si>
    <t>Mr. Jason Brown serves as Senior Manager - Wells NOJV Operations at Chevron.</t>
  </si>
  <si>
    <t>jason.brown@chevron.com</t>
  </si>
  <si>
    <t>Senior Manager - Wells NOJV Operations</t>
  </si>
  <si>
    <t>286693-84P</t>
  </si>
  <si>
    <t>Jeff Gustavson</t>
  </si>
  <si>
    <t>Gustavson</t>
  </si>
  <si>
    <t>Mr. Jeff Gustavson serves as Vice President, Lower Carbon Energies, Board of Directors of the Chevron Employee Political Action Committee &amp; President, Chevron New Energies at Chevron. Before this role, Gustavson served as the vice president of Chevron North America Exploration and Production Company overseeing its Mid-Continent Business Unit, which manages a large resource base of oil and liquids-rich assets in the mid-continent United States, including Chevron's significant Permian assets in Texas and New Mexico. Gustavson has also served as president of Chevron Canada Limited, responsible for the company's upstream interests in Canada. Gustavson received bachelor's degrees in both economics and international affairs from the University of Colorado at Boulder in 1994 and a master's degree in business administration from the University of Texas at Austin in 1999.</t>
  </si>
  <si>
    <t>jeff.gustavson@chevron.com</t>
  </si>
  <si>
    <t>Vice President, Lower Carbon Energies, Board of Directors of the Chevron Employee Political Action Committee &amp; President, Chevron New Energies</t>
  </si>
  <si>
    <t>156828-88P</t>
  </si>
  <si>
    <t>Jeff Hughes</t>
  </si>
  <si>
    <t>Mr. Jeff Hughes serves as Principal Accounting Policy Advisor at Chevron.</t>
  </si>
  <si>
    <t>jeff.hughes@chevron.com</t>
  </si>
  <si>
    <t>Principal Accounting Policy Advisor</t>
  </si>
  <si>
    <t>156827-26P</t>
  </si>
  <si>
    <t>Jessica Miller</t>
  </si>
  <si>
    <t>Miller</t>
  </si>
  <si>
    <t>Ms. Jessica Miller serves as ESG Engagement Manager, Corporate Strategy &amp; Sustainability at Chevron.</t>
  </si>
  <si>
    <t>jmiller@chevron.com</t>
  </si>
  <si>
    <t>ESG Engagement Manager, Corporate Strategy &amp; Sustainability</t>
  </si>
  <si>
    <t>128023-12P</t>
  </si>
  <si>
    <t>Jim Peifer</t>
  </si>
  <si>
    <t>Peifer</t>
  </si>
  <si>
    <t>Mr. Jim Peifer serves as Corporate Business Development Technical Assessment Manager at Chevron. Previously, he served as the Greater GOM CEOR Project Manager at Chevron.</t>
  </si>
  <si>
    <t>jimpeifer@chevron.com</t>
  </si>
  <si>
    <t>Corporate Business Development Technical Assessment Manager</t>
  </si>
  <si>
    <t>128038-42P</t>
  </si>
  <si>
    <t>John Phipps JD</t>
  </si>
  <si>
    <t>Phipps</t>
  </si>
  <si>
    <t>Mr. John Phipps serves as Lead Commercial Advisor (Nigeria Mid-Africa Business Unit) at Chevron. Previously, he served as the Land Representative - Gulf of Mexico Deepwater Asset Development at Chevron.</t>
  </si>
  <si>
    <t>john@chevron.com</t>
  </si>
  <si>
    <t>Lead Commercial Advisor (Nigeria Mid-Africa Business Unit)</t>
  </si>
  <si>
    <t>276451-57P</t>
  </si>
  <si>
    <t>Josetta Jones</t>
  </si>
  <si>
    <t>Josetta</t>
  </si>
  <si>
    <t>Ms. Josetta Jones serves as Chief Diversity and Inclusion Officer at Chevron. She received a degree in chemical engineering prior to attending law school and also served as a member of the Techbridge Girls Regional Advisory Council of California.</t>
  </si>
  <si>
    <t>josettajones@chevron.com</t>
  </si>
  <si>
    <t>Chief Diversity and Inclusion Officer</t>
  </si>
  <si>
    <t>128032-30P</t>
  </si>
  <si>
    <t>Kyle Simson</t>
  </si>
  <si>
    <t>Simson</t>
  </si>
  <si>
    <t>Mr. Kyle Simson serves as General Manager Commercial &amp; Negotiations, New Energies &amp; Renewable Fuels, Corporate Business Development at Chevron.</t>
  </si>
  <si>
    <t>ksimson@chevron.com</t>
  </si>
  <si>
    <t>General Manager Commercial &amp; Negotiations, New Energies &amp; Renewable Fuels, Corporate Business Development</t>
  </si>
  <si>
    <t>261295-93P</t>
  </si>
  <si>
    <t>Maggie McCourt</t>
  </si>
  <si>
    <t>McCourt</t>
  </si>
  <si>
    <t>Mr. Maggie McCourt serves as General Manager, Finance (Chevron Australia) at Chevron.</t>
  </si>
  <si>
    <t>maggiemccourt@chevron.com</t>
  </si>
  <si>
    <t>General Manager, Finance (Chevron Australia)</t>
  </si>
  <si>
    <t>179054-65P</t>
  </si>
  <si>
    <t>Mark Nelson</t>
  </si>
  <si>
    <t>Nelson</t>
  </si>
  <si>
    <t>Executive Vice President &amp; Vice Chairman</t>
  </si>
  <si>
    <t>Mr. Mark Nelson serves as Vice Chairman at Chevron. Before this position, Nelson served as vice president of Strategic Planning for Chevron. Other positions include president of International Products, where he was responsible for the refining and marketing businesses in Europe, Africa, the Middle East, and Asia; president of Chevron Canada Limited, where he managed oil and gas exploration, production, and marketing of crude oil, natural gas, and natural gas liquids in Canada. With more than 30 years of experience, Nelson has served in several leadership positions with increasing responsibilities within the company in retail, marketing, operations, and business planning. Nelson has previously served on several advisory boards and councils, including Singapore's Economic Development Board and the Canadian Council of Chief Executives. Nelson joined Chevron U.S.A. Inc. in 1985 as an engineer based in San Ramon, California. A native of Ventura, California, Nelson graduated from California Polytechnic State University, where he earned a bachelor's degree in civil engineering.</t>
  </si>
  <si>
    <t>mark.nelson@chevron.com</t>
  </si>
  <si>
    <t>197495-65P</t>
  </si>
  <si>
    <t>Mary Francis JD</t>
  </si>
  <si>
    <t>Executive Officer &amp; Secretary</t>
  </si>
  <si>
    <t>Ms. Mary Francis serves as Chief Governance Officer, Chair of the Board of Directors of the Chevron Employees Political Action Committee, Secretary to the Board, Member of the Law Function Executive, Board Nominating, Executive, Governance Committees &amp; Corporate Secretary at Chevron. Previously Francis served as Chevron's deputy corporate secretary since 2014. Prior positions include: 2012, chief corporate counsel, Corporation Law Department; 2009, general counsel, Chevron Asia Pacific Exploration and Production Company; 2007, managing counsel, Chevron Pipe Line Company and Chevron Shipping Company; 2005, lead senior counsel, Chevron Shipping Company.</t>
  </si>
  <si>
    <t>mfrancis@chevron.com</t>
  </si>
  <si>
    <t>Chief Governance Officer, Chair of the Board of Directors of the Chevron Employees Political Action Committee, Secretary to the Board, Member of the Law Function Executive, Board Nominating, Executive, Governance Committees &amp; Corporate Secretary</t>
  </si>
  <si>
    <t>68626-09P</t>
  </si>
  <si>
    <t>Michael Wirth</t>
  </si>
  <si>
    <t>Mr. Michael Wirth serves as Chief Executive Officer &amp; Chairman of the Board at Chevron. Mr. Wirth served as vice chairman of the board in 2017, and as executive vice president of Midstream &amp; Development from 2016 to 2018, where he was responsible for the shipping, supply and trading, and pipeline and power operating units, as well as for Chevron's strategy, business development, and corporate affairs. Previously, Wirth was executive vice president of Downstream &amp; Chemicals from 2006 to 2015 and president of Global Supply and Trading from 2003 to 2006. He joined Chevron as a design engineer in 1982 and holds a bachelor's degree in chemical engineering from the University of Colorado. Wirth serves on the board of directors of the American Petroleum Institute, Catalyst and the National Football Foundation, and is a member of the National Petroleum Council, the Business Roundtable, the World Economic Forum International Business Council, the American Heart Association CEO Roundtable, The Business Council, and the American Society of Corporate Executives.</t>
  </si>
  <si>
    <t>mkwirth@chevron.com</t>
  </si>
  <si>
    <t>Chief Executive Officer &amp; Chairman of the Board</t>
  </si>
  <si>
    <t>427146-85P</t>
  </si>
  <si>
    <t>Michelle Green</t>
  </si>
  <si>
    <t>Michelle Green serves as Chief Human Resources Officer at Chevron.</t>
  </si>
  <si>
    <t>michellegreen@chevron.com</t>
  </si>
  <si>
    <t>242220-16P</t>
  </si>
  <si>
    <t>Mike Vomund</t>
  </si>
  <si>
    <t>Vomund</t>
  </si>
  <si>
    <t>Mr. Mike Vomund serves as Vice President of Fuels at Chevron.</t>
  </si>
  <si>
    <t>Vice President of Fuels</t>
  </si>
  <si>
    <t>94965-49P</t>
  </si>
  <si>
    <t>Navin Mahajan</t>
  </si>
  <si>
    <t>Navin</t>
  </si>
  <si>
    <t>Mahajan</t>
  </si>
  <si>
    <t>Treasurer &amp; Vice President</t>
  </si>
  <si>
    <t>Mr. Navin Mahajan serves as Vice President &amp; Treasurer at Chevron. Before joining Unocal, Mahajan was investment officer, Oil and Gas Division of the International Finance Corporation, the private-sector arm of the World Bank Group in Washington, DC. Mahajan serves on the board of GSCaltex Corporation. Mahajan joined Unocal in 1996 as director of project and structured finance. He earned a bachelor's degree in economics from the University of Delhi, a master's degree in business administration from the University of Rochester, and completed Harvard Business School's Program for Management Development.</t>
  </si>
  <si>
    <t>nmahajan@chevron.com</t>
  </si>
  <si>
    <t>Vice President &amp; Treasurer</t>
  </si>
  <si>
    <t>374067-82P</t>
  </si>
  <si>
    <t>Nuray Elci</t>
  </si>
  <si>
    <t>Nuray</t>
  </si>
  <si>
    <t>Elci</t>
  </si>
  <si>
    <t>Ms. Nuray Elci serves as Vice President of Renewables at Chevron.</t>
  </si>
  <si>
    <t>Vice President of Renewables</t>
  </si>
  <si>
    <t>63162-82P</t>
  </si>
  <si>
    <t>R Pate JD</t>
  </si>
  <si>
    <t>R</t>
  </si>
  <si>
    <t>Pate</t>
  </si>
  <si>
    <t>General Counsel &amp; Vice President</t>
  </si>
  <si>
    <t>Mr. R. Hewitt Pate serves as Vice President, Chief Legal Officer, General Counsel &amp; Member of the Executive Committee at Chevron. Earlier in his career, Pate was a law clerk for U.S. Supreme Court Justice Anthony M. Kennedy, for retired Supreme Court Justice Lewis F. Powell Jr. and Fourth Circuit Court of Appeals Judge J. Harvie Wilkinson III. He is a member of the Washington, D.C., and Virginia bars, the American Law Institute, and the Council on Foreign Relations. Pate joined Chevron in 2009 in the position he currently holds. He earned a bachelor's degree from the University of North Carolina in 1984 and a Juris Doctor degree from the University of Virginia in 1987.</t>
  </si>
  <si>
    <t>Vice President, Chief Legal Officer, General Counsel &amp; Member of the Executive Committee</t>
  </si>
  <si>
    <t>261294-31P</t>
  </si>
  <si>
    <t>Roderick Green</t>
  </si>
  <si>
    <t>Roderick</t>
  </si>
  <si>
    <t>Chief Human Resources Officer &amp; Vice President</t>
  </si>
  <si>
    <t>Mr. Roderick Green serves as Vice President &amp; Chief Human Resources Officer at Chevron. Mr. Roderick Green served as Vice President, Finance, Downstream, Chemicals and Midstream at Chevron.</t>
  </si>
  <si>
    <t>rgreen@chevron.com</t>
  </si>
  <si>
    <t>Vice President &amp; Chief Human Resources Officer</t>
  </si>
  <si>
    <t>156829-96P</t>
  </si>
  <si>
    <t>Sergey Yakovlev</t>
  </si>
  <si>
    <t>Sergey</t>
  </si>
  <si>
    <t>Yakovlev</t>
  </si>
  <si>
    <t>Mr. Sergey Yakovlev serves as Mergers and Acquisitions Consultant, Corporate at Chevron.</t>
  </si>
  <si>
    <t>+1 (713) 754-2000</t>
  </si>
  <si>
    <t>Mergers and Acquisitions Consultant, Corporate</t>
  </si>
  <si>
    <t>136796-23P</t>
  </si>
  <si>
    <t>Silvana Wildscchut</t>
  </si>
  <si>
    <t>Silvana</t>
  </si>
  <si>
    <t>Wildscchut</t>
  </si>
  <si>
    <t>Ms. Silvana Wildscchut serves as General Manager Emerging - Chevron New Energies at Chevron. Previously, she served as a Market Analysis/ Competitive Intelligence/Strategic Planning at IHS Energy.</t>
  </si>
  <si>
    <t>swex@chevron.com</t>
  </si>
  <si>
    <t>General Manager Emerging - Chevron New Energies</t>
  </si>
  <si>
    <t>128034-73P</t>
  </si>
  <si>
    <t>Surge Yemets</t>
  </si>
  <si>
    <t>Surge</t>
  </si>
  <si>
    <t>Yemets</t>
  </si>
  <si>
    <t>Mr. Surge Yemets serves as Data Analytics and Technology Manager at Chevron.</t>
  </si>
  <si>
    <t>syemets@chevron.com</t>
  </si>
  <si>
    <t>Data Analytics and Technology Manager</t>
  </si>
  <si>
    <t>325086-13P</t>
  </si>
  <si>
    <t>Venkat Wunnava</t>
  </si>
  <si>
    <t>Venkat</t>
  </si>
  <si>
    <t>Wunnava</t>
  </si>
  <si>
    <t>Mr. Venkat Wunnava serves as Information Technology Solutions Specialist at Chevron.</t>
  </si>
  <si>
    <t>Information Technology Solutions Specialist</t>
  </si>
  <si>
    <t>130546-99P</t>
  </si>
  <si>
    <t>Elisa Miller-Out</t>
  </si>
  <si>
    <t>Miller-Out</t>
  </si>
  <si>
    <t>Chloe Capital</t>
  </si>
  <si>
    <t>Ms. Elisa Miller-Out is a Co-Founder &amp; serves as Co-Owner &amp; Chief Financial Officer at Singlebrook. She serves as a Board Member at Dimensional Energy. She is a Co-Founder and serves as Managing Partner at Chloe Capital. She also served as an Advisor at Complex. She also serves as a Board Member at Impact Makers. She is the winner of the 2011 B Corp Supply Chain Award, the 2010 B Corp Policy Champion Award, and the 2011 NYSAE New Star Synergy Award. She has been featured in articles in the New York Times, USA Today, and many other publications. She's spoken about entrepreneurship and technology at several events including the We Live NY Summit at Cornell University and the NYSAE Technology Institute. She also volunteers as a technology sponsor for her BALLE chapter: Local First Ithaca and as President of the Barnard Club of Central NY. She serves on the Council of Innovation Advisors for ConvergeUS. She graduated Summa Cum Laude from Barnard College of Columbia University. She also serves as Entrepreneur-in-Residence at Launch NY.</t>
  </si>
  <si>
    <t>+1 (607) 330-1493</t>
  </si>
  <si>
    <t>elisa@singlebrook.com</t>
  </si>
  <si>
    <t>Ithaca</t>
  </si>
  <si>
    <t>Ithaca, NY</t>
  </si>
  <si>
    <t>700 Cascadilla Street</t>
  </si>
  <si>
    <t>14850</t>
  </si>
  <si>
    <t>Co-Founder &amp; Chief Financial Officer</t>
  </si>
  <si>
    <t>Singlebrook</t>
  </si>
  <si>
    <t>190437-49P</t>
  </si>
  <si>
    <t>Erica O'Brian</t>
  </si>
  <si>
    <t>O'Brian</t>
  </si>
  <si>
    <t>Ms. Erica O'Brian is a Co-Founder and serves as a Partner and Advisor at Chloe Capital. She has over a decade of experience managing operations and finance for multiple tech and investment firms. She has extensive digital marketing experience and is a skilled researcher. She enjoys coordinating logistics for events and initiatives for entrepreneurship communities. She's also an experienced bookkeeper with an administrative background. Other areas of experience include human resources and talent recruitment, product development, and project management. She holds BA in Writing &amp; Literature; Interamerican Studies from Burlington College.</t>
  </si>
  <si>
    <t>erica@chloecapital.com</t>
  </si>
  <si>
    <t>Co-Founder, Partner &amp; Advisor</t>
  </si>
  <si>
    <t>190436-14P</t>
  </si>
  <si>
    <t>Kathryn Cartini</t>
  </si>
  <si>
    <t>Kathryn</t>
  </si>
  <si>
    <t>Cartini</t>
  </si>
  <si>
    <t>Ms. Kathryn Cartini is a Co-Founder and serves as Partner and Advisor at Chloe Capital. She also served as the Chief Investment Officer at Social Venture Circle. She is a venture capitalist with a proven track record of fundraising, recruiting top founders, managing portfolio companies, promoting the firm / Movement, and making investment decisions. She represents a new service-oriented VC. In addition to Chloe Capital, she is the CMO / COO of Upstate Venture Connect, and the owner of Peacock Media, LLC, a content marketing firm that works with investors, founders, and personal brands. In these roles, she excels as a business coach and promoter, having connected hundreds of founders with investors.</t>
  </si>
  <si>
    <t>+1 (978) 225-3288</t>
  </si>
  <si>
    <t>kathryn@chloecapital.com</t>
  </si>
  <si>
    <t>Saratoga Springs</t>
  </si>
  <si>
    <t>Saratoga Springs, NY</t>
  </si>
  <si>
    <t>250991-74P</t>
  </si>
  <si>
    <t>Myneco Ramirez</t>
  </si>
  <si>
    <t>Myneco</t>
  </si>
  <si>
    <t>Ms. Myneco Ramirez serves as a Partner &amp; Member of the Investment Committee at Chloe Capital. She is focused on creating technology-driven experiential solutions to meet the growing needs of employers and clients. She was hired by the University of Rochester's medical center to manage systems-wide network infrastructure for the region's largest employer. During this time, she set out on a personal mission to connect technology entrepreneurs with often underutilized local resources available in Upstate, New York to help grow their companies and boost the ecosystem. That endeavor ultimately led to her third entrepreneurial venture, an international corporate events consulting firm designed to help tech corporations grow and break into markets in North America where she crossed paths with Chloe Capital's future co-founders. Once launched, the founding partners invited her to join Chloe full-time to oversee the virtual accelerators, 48-hour fundraising experiences, and cross-country events that have become part of Chloe Capital's signature #InvestInWomen Tour. In addition to her work at Chloe Capital, she is a real estate and angel investor. She obtained her degree in Information Technology from the Rochester Institute of Technology.</t>
  </si>
  <si>
    <t>myneco@chloecapital.com</t>
  </si>
  <si>
    <t>Partner &amp; Member of the Investment Committee</t>
  </si>
  <si>
    <t>33129-01P</t>
  </si>
  <si>
    <t>Avi Das</t>
  </si>
  <si>
    <t>Avi</t>
  </si>
  <si>
    <t>Das</t>
  </si>
  <si>
    <t>Cimbria Capital</t>
  </si>
  <si>
    <t>Mr. Avi Das serves as Senior Advisor at Cimbria Capital. He also served as Investment Partner at Dorm Room Fund. Prior to joining Cimbria Capital, he was the CEO of ACD Analytics, a management consultancy. In this position, he partnered with businesses providing strategic guidance, M&amp;A advisory work, and business process optimization. He has worked with organizations whose revenues have exceeded $10 billion in the energy, technology, and consumer products sectors. Prior to ACD Analytics, he was an associate with Riverstone Holdings, one of the largest energy-focused private equity firms. At Riverstone, he worked on alternative energy, midstream, energy services, and transport sectors. He served as the board liaison for six portfolio companies in the power, energy services, and value-added products spaces and worked closely with the management teams of those investments on their strategic and operational programs. Before Riverstone, he was an analyst in the Investment Banking Division of Goldman Sachs in the Industrials group. While at Goldman he worked on M&amp;A and financing transactions in the water, cleantech, transportation, engineered products, and transportation sectors. He has a B.A. in Economics and History from Amherst College.</t>
  </si>
  <si>
    <t>1127 Eldridge Parkway</t>
  </si>
  <si>
    <t>Suite 300 No. 312</t>
  </si>
  <si>
    <t>77077</t>
  </si>
  <si>
    <t>33129-55P</t>
  </si>
  <si>
    <t>Brian Iversen</t>
  </si>
  <si>
    <t>Iversen</t>
  </si>
  <si>
    <t>Mr. Brian Iversen serves as Chief Financial Officer &amp; Interim Head of Columbus Sweden at Columbus. Mr. Brian Iversen is a Co-Founder and serves as a Managing Partner at Cimbria Capital. He serves as an Advisor of Slater Infrastructure Group. He also serves on the Board of Directors of AG Global, and Aganova. Previously, he served as Chief Executive Officer of AG Global. He served as a Board Member at Florida Drilling. He serves as Chairman of APX10. He served as a Strategic Advisor at Micronic Technologies. Before founding Cimbria Capital, he became an acknowledged specialist in private equity and portfolio company management at Riverstone Holdings, one of the world's largest and most successful private equity firms in the energy industry. Mr. Iversen held a position as a Vice President at Riverstone where he was an investment professional focused on the renewable energy and sustainable agriculture industries as well as certain oil and natural gas services sectors. During his eight-year tenure at Riverstone, Mr. Iversen participated in and led specialized investment teams that invested and managed equity capital of nearly $2 billion into companies located in the Americas and Europe. While at Riverstone, Mr. Iversen was a member of the team that launched and managed the world's largest independent private equity fund dedicated exclusively to private renewable energy investments. As part of this work, he worked closely with several senior businesses and thought leaders in the finance and renewable energy industries. Before joining Riverstone, Mr. Iversen was a Sr. Financial Analyst with Seabulk International, a Riverstone portfolio company primarily engaged in the offshore oil and gas and marine industries. Most recently, Mr. Iversen led an experienced production and sales team in the organic and natural agriculture industry. He re-shaped the company's overall structure, business plan, and team. AG Global is today a profitable company with promise in North American agriculture and in the home and garden retail industry. He serves on the Board of Directors of AG Global Canada, L.P. and Florida Design Drilling, LLC (water industry). He previously served on the Boards of Directors of Amaizeingly Green Value Products ULC, Amaizeingly Green Products L.P, Green Earth Fuels LLC, Patagonia Bioenergia SA, ReEnergy Holdings LLC, Sustainable Oils LLC, Frontier Drilling Holdings, and Seajacks International. Mr. Iversen received his B.S.B.A., magna cum laude, in finance from the University of Central Florida. He received a Notable Knight Award from his Alma Mater in 2015. He also served as a First Lieutenant in the Royal Danish Army for three years prior to coming to the United States in 2000. He also served as a Venture Partner at Blue Bear Capital. Mr. Iversen serves as Chairman at AMI Global.</t>
  </si>
  <si>
    <t>bvi@cimbriacapital.com</t>
  </si>
  <si>
    <t>208465-84P</t>
  </si>
  <si>
    <t>Brian Stenberg</t>
  </si>
  <si>
    <t>Stenberg</t>
  </si>
  <si>
    <t>Mr. Brian Stenberg serves as Senior Financial Analyst at Cimbria Capital. He joined Cimbria Capital in 2019 with the purpose of further strengthening the firm's industry finance, account management, business development, process optimization, and investment due diligence in Scandinavia. He possesses more than 20 years of experience in international finance management at some of Denmark's top banks, pension funds, and financial holding companies. He is currently the CEO of Stenberg Consult, a Danish consultancy focused on providing interim senior executive services for companies seeking temporary C-level replacements for their leadership needs. Prior to founding his consultancy, He served as COO at Ames to Accounthouse and as the Finance and Administration Manager at St. Jude Medical Denmark AS. For several years, He was the Controller of Danica Pension's three Norwegian companies and its parent company where he led the preparation of accounting, control, and reporting of the group figures for Danske Bank A/S. He received an HD-IØ (Information and Management Accounting) from Copenhagen Business School (CBS).</t>
  </si>
  <si>
    <t>Senior Financial Analyst</t>
  </si>
  <si>
    <t>185253-13P</t>
  </si>
  <si>
    <t>Daniel Ringdahl</t>
  </si>
  <si>
    <t>Ringdahl</t>
  </si>
  <si>
    <t>Mr. Daniel Ringdahl serves as Operating Partner at Cimbria Capital. He is also the Founder and serves as President and Chief Executive Officer of Florida Drilling, a licensed water well and general contractor of water well drilling and water resource construction services located in West Palm Beach, Florida. He also serves as a Director of the Florida Ground Water Association (FGWA), an organization that seeks to improve methods of well construction and advance the science of groundwater hydrology. Prior to founding Florida Drilling, he was the East Coast Operations Manager at Diversified Drilling Corporation and Vice President and Co-Owner of Well Water Systems.</t>
  </si>
  <si>
    <t>+1 (561) 844-2966</t>
  </si>
  <si>
    <t>dan.ringdahl@fldrilling.com</t>
  </si>
  <si>
    <t>West Palm Beach</t>
  </si>
  <si>
    <t>West Palm Beach, FL</t>
  </si>
  <si>
    <t>7733 Hooper Road</t>
  </si>
  <si>
    <t>33411</t>
  </si>
  <si>
    <t>+1 (561) 844-2967</t>
  </si>
  <si>
    <t>Co- Founder, Co-Owner &amp; Chief Executive Officer</t>
  </si>
  <si>
    <t>Florida Drilling</t>
  </si>
  <si>
    <t>208445-86P</t>
  </si>
  <si>
    <t>Jason Plummer</t>
  </si>
  <si>
    <t>Plummer</t>
  </si>
  <si>
    <t>Mr. Jason Plummer serves as Partner at Cimbria Capital. He serves as Board Member at APX10. He serves as Director on Cimbria Invest, LLC and on its Investment Committee. He also serves as a potential board member for certain Cimbria portfolio companies. He serves as Vice President of R.P. Lumber Co., Inc., a family-owned building materials supplier and home center with over 69 locations throughout Illinois and Missouri. In this role, he is involved in operations, finance, e-commerce, and purchasing, as well as company expansion via both acquisition and green field site development. He also serves as Vice President of R.L.P. Development Company, Inc., a family-owned real estate company involved in the development, ownership, and management of a large portfolio of residential, retail, office, light industrial, agricultural, and hospitality properties across eight states. He earned a Bachelor of Science in Finance from the University of Illinois Urbana-Champaign.</t>
  </si>
  <si>
    <t>142509-43P</t>
  </si>
  <si>
    <t>Noah Sabich Ph.D</t>
  </si>
  <si>
    <t>Sabich</t>
  </si>
  <si>
    <t>Founding Partner &amp; Partner</t>
  </si>
  <si>
    <t>Dr. Noah Sabich is a Founding Member &amp; serves as Partner at Cimbria Capital. He serves as a Board Member at APX10 and AMI Global. He served as an Advwasor at Develiot. He responsible for assisting in deal flow origination, due-diligence efforts, investor relations, company marketing, and execution of the firm's value-add initiative for partner companies - the Acceleration Program. Prior to joining Cimbria, Mr. Sabich was the Director of Sustainability and Statesmanship at Rasmussen Public Affairs. In this position he developed and implemented transatlantic market expansion and corporate management strategies for large multinationals specializing in water technology and natural agriculture products and services. Mr. Sabich worked closely with senior executives and consultant teams across the United States and Europe on corporate strategy, global issues analysis, and risk assessment. He has spent his professional career specializing in corporate leadership, business management, and value creation strategies. He is an active thought-leader and regular invited speaker at international summits on water investment and sustainable business. During his career Mr. Sabich has worked on engagements in developed and emerging markets throughout North America, Europe, North Africa, South America, and Oceania. He is also a founding member of Acatee Amazon Conservation, an internationally recognized non- profit known for its innovative conservation programs with the Matses tribe in the Peruvian Amazon. He served on the Board of Directors at AMI Global and APX10 A/S, was a Senior Advwasor at Develiot and Fixed Earth Innovations, and was a Board Advwasor at Slater Infrastructure Group, LLC. Mr. Sabich holds a Ph.D. and M.A. from the University of Connecticut in French with a specialization in post-colonial relations. He also holds an M.A. in Francophone studies from Middlebury College, and a B.A. in European History and French from Bates College.</t>
  </si>
  <si>
    <t>+1 (217) 720-5865</t>
  </si>
  <si>
    <t>nsabich@cimbriacapital.com</t>
  </si>
  <si>
    <t>Founding Member &amp; Partner</t>
  </si>
  <si>
    <t>157036-33P</t>
  </si>
  <si>
    <t>Ori Peled</t>
  </si>
  <si>
    <t>Ori</t>
  </si>
  <si>
    <t>Peled</t>
  </si>
  <si>
    <t>Mr. Ori Peled is a Co-Founder and serves as Chief Technology Officer at AMI Global. He is an Operating Partner of Cimbria Capital.</t>
  </si>
  <si>
    <t>+1 (702) 478-9700</t>
  </si>
  <si>
    <t>opeled@amiglobal.com</t>
  </si>
  <si>
    <t>Las Vegas</t>
  </si>
  <si>
    <t>Las Vegas, NV</t>
  </si>
  <si>
    <t>6280 South Valley View Boulevard</t>
  </si>
  <si>
    <t>Nevada</t>
  </si>
  <si>
    <t>89118</t>
  </si>
  <si>
    <t>Co-Founder &amp; Chief Technology Officer</t>
  </si>
  <si>
    <t>AMI Global</t>
  </si>
  <si>
    <t>142511-68P</t>
  </si>
  <si>
    <t>Palle Jensen</t>
  </si>
  <si>
    <t>Palle</t>
  </si>
  <si>
    <t>Mr. Palle Jensen serves as Operating Partner at Cimbria Capital. Mr. Jensen joined Cimbria Capital in 2015 with the purpose of further strengthening the firm's operational, strategic, and tactical execution over the course of the investment cycle. He serves as a direct advisor to Cimbria Capital's investment team and as a potential board member for certain Cimbria portfolio companies. Currently, Mr. Jensen is Chairman and Owner of Electronic House UAB, CEO and Owner of Libra Cable Technologies, and CEO and Owner of Metalco Baltic UAB. He serves as President of the Danish American Chamber of Commerce in southern California and Arizona. Mr. Jensen is also a Co-founder of the Vilnius International School in Lithuania. Mr. Jensen was appointed as an Honorary Graduate Ambassador of the Baltic Management Institute's Executive MBA. He holds a certification in Corporate Governance from the Baltic Institute of Corporate Governance and a certification in Supply Chain Management from Shanghai Jiao Tong University. Mr. Jensen previously served as both Chairman and Board Member for the Danish Chamber of Commerce in Lithuania, and as Board Member representing INWIDO and UAB Print-IT. Mr. Jensen holds an Executive MBA from the Baltic Management Institute, a Graduate Diploma in Business Administration from Aarhus University, and an undergraduate degree in Business and Marketing from Randers Handelsskole, HHX.</t>
  </si>
  <si>
    <t>201040-39P</t>
  </si>
  <si>
    <t>Steve Gluck Ph.D</t>
  </si>
  <si>
    <t>Gluck</t>
  </si>
  <si>
    <t>Dr. Steve Gluck served as an Advisor at Burnt Island Ventures. He serves as an Operating Partner at Cimbria Capital. He also serves as a Process Advisor at Aquafortus. He received a BS in Chemistry from Whitworth University, an MS in Chemistry from the University of Idaho, and a PhD in Analytical Chemistry from the University of Leipzig. He partnered with Cimbria in 2019 to expand the firm's technical due diligence capacities and assessment for innovative water and wastewater technology. He serves as a direct advisor to Cimbria Capital's investment team and also serves as a potential board member for certain Cimbria portfolio companies. Before joining Cimbria Capital, he worked for 36 years at Dow Chemical Company where he led the R&amp;D team efforts for new business development in the Dow Water and Process Solutions division. He is also a highly respected consultant delivering technical analysis, market intelligence, and commercial pilot strategies to emerging companies in the water and wastewater industry. He serves as technical and board advisor to O2 Environmental and Bluetech Research, the Nanyang Environment and Water Research Institute, and seven companies in the wastewater treatment industry. He is the author of water and wastewater-related 29 publications, and the holder of 4 granted patents and several active patent applications. He served as President of the Instrumentation Testing Association for 8 years. He received a BS in Chemistry from Whitworth University, an MS in Chemistry from the University of Idaho, and a PhD in Analytical Chemistry from the University of Leipzig.</t>
  </si>
  <si>
    <t>+1 (979) 285-9989</t>
  </si>
  <si>
    <t>334906-75P</t>
  </si>
  <si>
    <t>Apria Pinkett</t>
  </si>
  <si>
    <t>Apria</t>
  </si>
  <si>
    <t>Pinkett</t>
  </si>
  <si>
    <t>City Light Capital</t>
  </si>
  <si>
    <t>Ms. Apria Pinkett serves as Investor at City Light Capital. She served as Investment Associate at Insight Partners. Prior to Insight, she was an Investment Banking Analyst at Bank of America Securities in the Financial Sponsors Group. She studied at Princeton University where she graduated cum laude with a degree in Philosophy. While at Princeton, she participated in Girls Who Invest - a nonprofit organization dedicated to increasing the number of women in portfolio management.</t>
  </si>
  <si>
    <t>+1 (212) 403-9514</t>
  </si>
  <si>
    <t>150 East 52nd Street</t>
  </si>
  <si>
    <t>137725-93P</t>
  </si>
  <si>
    <t>Brian Kibby</t>
  </si>
  <si>
    <t>Kibby</t>
  </si>
  <si>
    <t>Mr. Brian Kibby serves as Advisor at City Light Capital. He served as Chief Executive Officer at OmniUpdate. He also serves as an Advisor at City Light Capital. He served as Chief Executive Officer at Modern Campus. Previously, he served as Chief Executive Officer &amp; Board Member at Knewton. Prior to that, he served as Chief Executive Officer at N2Growth. He holds a B.S. in Finance from Western Illinois University.</t>
  </si>
  <si>
    <t>118601-20P</t>
  </si>
  <si>
    <t>David Tyson Ph.D</t>
  </si>
  <si>
    <t>Tyson</t>
  </si>
  <si>
    <t>Dr. David Tyson serves as an Advisor at City Light Capital. He also serves as Adjunct Professor at Southern Connecticut State University. He has served as a member of our Board of Directors since April 2006. Mr. Tyson is President of RiversEdge Portfolio Advisors LLC ("RiversEdge"), an investment risk management consultancy based in Connecticut. Starting in 2010, RiversEdge also began to provide consulting services through Capital Markets Risk Advisors. Mr. Tyson also founded RiversEdge Convertible Portfolio Advisors in 2007 to manage convertible portfolios for institutional accounts. Prior to founding RiversEdge, Mr. Tyson held several financial roles at Travelers Life &amp; Annuity ("Travelers"), and Citigroup's other proprietary insurance companies. Mr. Tyson was Vice Chairman of Citigroup Investments from 2000 until 2003 and Chief Investment Officer of Traveler's and Citigroup's other proprietary insurance companies from 2000 until 2004. From 1994 until 2000, Mr. Tyson held the position of President and Chief Operating Officer of Travelers Asset Management International Corporation and served as Chairman and Chief Executive Officer from 2000 to 2004. Over the course of his 19-year career at Travelers, Mr. Tyson was responsible for global fixed-income asset class management and asset-liability matching for Citigroup's insurance companies. In addition, he managed third-party hedge fund investments, internal hedge fund groups, and specialty fixed income groups, and was a registered investment advisor who had oversight responsibility for strategies including collateralized debt obligations, syndicated bank loans, core and specialty fixed income variable annuity funds, and any third party insurance accounts. During Mr. Tyson's time at Traveler's, Mr. Tyson oversaw all of their derivatives activity and was actively involved in all of Traveler's alternative and special investments. He has served on numerous insurance and fiduciary investment management committees including the Global Asset Liability Committee for all of Citigroup. Prior to joining Travelers in 1985, Mr. Tyson was with Equitable Investment Management Company from 1979 to 1985.</t>
  </si>
  <si>
    <t>342370-63P</t>
  </si>
  <si>
    <t>Everett Sanderson</t>
  </si>
  <si>
    <t>Sanderson</t>
  </si>
  <si>
    <t>Mr. Everett Sanderson serves as Investor at City Light Capital. He studied Applied Economics and Environmental Science at Cornell University. Prior to joining City Light, he worked in wildlife conservation, sustainable forestry, and sustainability investment banking.</t>
  </si>
  <si>
    <t>55528-30P</t>
  </si>
  <si>
    <t>Jeff Rinehart</t>
  </si>
  <si>
    <t>Rinehart</t>
  </si>
  <si>
    <t>Mr. Jeff Rinehart serves as a Partner at City Light Capital. He serves as Board Member &amp; Advisor at Affect Therapeutics. He served as a Board Member at Voxy. He served as Chief Marketing Officer at Framebridge. He serves as Board Member Movo. He served previously as CEO of 2U.</t>
  </si>
  <si>
    <t>jeff@citylight.vc</t>
  </si>
  <si>
    <t>Voxy (Former)</t>
  </si>
  <si>
    <t>36765-82P</t>
  </si>
  <si>
    <t>Joshua Cohen</t>
  </si>
  <si>
    <t>Mr. Joshua Cohen is the Founder and serves as a Partner at City Light Capital. He serves as Advisor at OhmConnect. He serves as an Advisor at Square Roots. He serves as Board Member at Ready Responders. He also serves as Chief Investment Officer at Tyden Ventures, a single-family office based in Grand Rapids, Michigan. He served as Board Observer at Ginger.io. Prior to founding City Light, he led direct investments for a Greenwich CT-based family office, worked in venture capital for a family office based in St. Louis, was a Partner in a private debt fund, and was the Director of Business Development for Mobility Electronics (NASDAQ: IGOI). He began his career as an investment banker in the technology group of Deutsche Banc Alex Brown in San Francisco. He co-founded (and is a Board member of) The ImPact, a member network whose mission is to inspire families to make impact investments more effectively. In addition, he is on the investment committee for a family office based in Grand Rapids, Michigan. He serves as Advisor at Trilogy, and Straighterline. He previously held advisory roles with 2U (Nasdaq: TWOU), Shotspotter (Nasdaq: SSTI) and Practice (Acquired by Instructure: INST). He is a frequent speaker on the topic of impact investing.</t>
  </si>
  <si>
    <t>josh@citylight.vc</t>
  </si>
  <si>
    <t>404259-13P</t>
  </si>
  <si>
    <t>Lauren Hinton</t>
  </si>
  <si>
    <t>Hinton</t>
  </si>
  <si>
    <t>Ms. Lauren Hinton serves as Head of Growth &amp; Investment Associate at Daring ventures. She serves as Investor at City Light Capital. She holds a BA from The University of Virginia.</t>
  </si>
  <si>
    <t>lhinton@daringventures.vc</t>
  </si>
  <si>
    <t>Head of Growth &amp; Investment Associate</t>
  </si>
  <si>
    <t>Daring Ventures</t>
  </si>
  <si>
    <t>44185-78P</t>
  </si>
  <si>
    <t>Michael Beach</t>
  </si>
  <si>
    <t>Beach</t>
  </si>
  <si>
    <t>Mr. Michael Beach serves as Advisor at City Light Capital. Mr. Michael Beach serves as Co-Chief Financial Officer at ChargeBee. Mr. Michael Beach served as Chief Financial Officer at WeddingWire. He previously held the position of COO and CFO at Digital Signal Corporation where he spent the last four years leading the finance and operations function. Prior to Digital Signal Corporation, Beach was the CFO of an industry leading public company, Blackboard, Inc. During his time at Blackboard, he helped the company grow their revenues to a run rate of $400 million with a market capitalization of approximately $1.5 billion. Beach has a Bachelor's in accounting from James Madison University and was previously a senior manager at Ernst &amp; Young.</t>
  </si>
  <si>
    <t>mbeach@chargebee.com</t>
  </si>
  <si>
    <t>Bethesda</t>
  </si>
  <si>
    <t>Bethesda, MD</t>
  </si>
  <si>
    <t>909 Rose Avenue</t>
  </si>
  <si>
    <t>Suite 950</t>
  </si>
  <si>
    <t>20852-8765</t>
  </si>
  <si>
    <t>ChargeBee</t>
  </si>
  <si>
    <t>226225-09P</t>
  </si>
  <si>
    <t>Rachel Parlier</t>
  </si>
  <si>
    <t>Parlier</t>
  </si>
  <si>
    <t>Ms. Rachel Parlier serves as Principal at City Light Capital. Ms. Rachel Parlier served as Senior Associate at Route 66 Ventures. She serves as Board Member at Salvo Health. She served as a Board Observer at JudoPay. She works to build relationships with entrepreneurs tackling big ideas and is passionate about helping them drive innovation and disruption to improve the experience for consumers and businesses. Prior to Route 66, she was a Project Leader at Dean and Company, a management consulting firm where she worked in the financial services, telecommunications/aerospace, and private equity sectors with a focus on M&amp;A transaction support, capital raising, and commercial strategy.</t>
  </si>
  <si>
    <t>rachel@citylight.vc</t>
  </si>
  <si>
    <t>260756-20P</t>
  </si>
  <si>
    <t>Rohan Nair</t>
  </si>
  <si>
    <t>Mr. Rohan Nair serves as Head of Product at City Light Capital. During his freshman year of college, He joined a renewable energy startup called Mission to Rebuild as a research intern. After about a year at MTR, He was promoted to head of the impact investments where he worked to help directly democratize access to renewable energy through strategic investments in relevant programs and organizations. Over the next two summers, He joined Oracle to get more technical and financial experience.</t>
  </si>
  <si>
    <t>rohan@citylight.vc</t>
  </si>
  <si>
    <t>Head of Product</t>
  </si>
  <si>
    <t>13209-04P</t>
  </si>
  <si>
    <t>Adam de Sola Pool</t>
  </si>
  <si>
    <t>Adam de Sola</t>
  </si>
  <si>
    <t>Pool</t>
  </si>
  <si>
    <t>Clean Energy Ventures</t>
  </si>
  <si>
    <t>Mr. Adam de Sola Pool serves as a Partner at Clean Energy Venture Group. He served as Advisor at Arctura. He served as a Partner and Chief Executive Officer at Environmental Investment Partners. He also serves as a Venture Partner at Clean Energy Ventures. He is an Advisor at Aquanis. He has been investing in the renewable and environmental sectors since 1998. He was an A-round investor and founding Board Member of: Continental Wind Partners, Adriatic Energija Sunca, Praterm, GazVest, Finesco, and Organica. He was a B/C round investor in Beta Park, Lebz Wind Farm, PolAqua, Korte, Tallinna Vesi, Detox, and Prochem. He serves as an Advisor at BioFeyn. He holds an MA degree in Economics from Universite Libre de Bruxelles (1982), a BA degree in Geography from the University of Chicago (1981), and an MBA degree in Finance from MIT (Sloan) (1988).</t>
  </si>
  <si>
    <t>adesolapool@cleanenergyvg.com</t>
  </si>
  <si>
    <t>One Broadway</t>
  </si>
  <si>
    <t>02412</t>
  </si>
  <si>
    <t>Clean Energy Venture Group</t>
  </si>
  <si>
    <t>426695-41P</t>
  </si>
  <si>
    <t>Amy Zhao</t>
  </si>
  <si>
    <t>Ms. Amy Zhao serves as Investor at Clean Energy Ventures. With a background in energy and utilities, she joined CEV to focus on commercializing early-stage industrial decarbonization technologies. She brings her passion for community-building to find, connect, and support entrepreneurs and investors in this ecosystem. She holds an MBA from the Stanford Graduate School of Business, where she invested for the Stanford Impact Fund and served as co-president of the GSB Energy Club. She graduated Cum Laude with a B.A. in Economics from Harvard University.</t>
  </si>
  <si>
    <t>50 Milk Street</t>
  </si>
  <si>
    <t>Floor 16</t>
  </si>
  <si>
    <t>356100-58P</t>
  </si>
  <si>
    <t>Ariel Hyre Ph.D</t>
  </si>
  <si>
    <t>Ariel</t>
  </si>
  <si>
    <t>Hyre</t>
  </si>
  <si>
    <t>Dr. Ariel Hyre serves as Analyst at Clean Energy Ventures. They joined CEV first as an intern in 2022, then stayed on as an Analyst focusing on the scientific aspects of diligence. They have worked on greenhouse gas analyses and research projects, including a review of the polymers sector to support and expand the team's knowledge.They received a Bachelor's Cum Laude with high honors in Chemistry from Brandeis University in 2013 and immediately began a doctoral program at Boston University, where they were awarded the National Science Foundation's Graduate Research Fellowship in 2014. While at BU they taught and mentored undergraduates, co-authored four papers, and earned their Ph.D. in 2020 with a doctoral thesis on Computational Studies in Inorganic Chemistry. Following a COVID pivot, they earned a Master's in Public Policy from the Heller School for Social Policy and Management with a concentration in Environmental Justice. Over the summer of 2022 they were a Fellow with the Environmental League of Massachusetts Action Fund before joining CEV. They graduated for the last time in May 2023, but intend to never stop learning.</t>
  </si>
  <si>
    <t>ahyre@cleanenergyventures.com</t>
  </si>
  <si>
    <t>16078-60P</t>
  </si>
  <si>
    <t>Ben Chigier</t>
  </si>
  <si>
    <t>Chigier</t>
  </si>
  <si>
    <t>Mr. Ben Chigier served as Partner at the Clean Energy Venture Group. He also serves as Venture Partner at Clean Energy Ventures. He served as Board Member at GRIT. He holds a BS in Electrical and Computer Engineering and Mathematics (1985), and an MS in Electrical and Computer Engineering (1988) from Carnegie Mellon University. He was the founder, CEO, and Chairman of two companies. He founded PureSpeech in 1992 which was acquired seven years later in 1998. PureSpeech built automatic speech recognition software and toolkits that were embedded in other applications. PureSpeech sold its products and services horizontally across a broad range of markets from consumer PCs to directory assistant applications.</t>
  </si>
  <si>
    <t>Clean Energy Venture Group (Former)</t>
  </si>
  <si>
    <t>212276-98P</t>
  </si>
  <si>
    <t>Bengt Karlsson Ph.D</t>
  </si>
  <si>
    <t>Bengt</t>
  </si>
  <si>
    <t>Karlsson</t>
  </si>
  <si>
    <t>Dr. Bengt Karlsson serves as Venture Partner at Clean Energy Ventures. Dr. Karlsson serves as Partner at Clean Energy Venture Group. As a co-founder of Abaqus, he was instrumental in building the company into the worlds leading provider of advanced Finite Element Analysis software and services used to solve real-world engineering problems. He left daily operations at Abaqus in 2003 but remained on the board of directors until the company was sold in 2005. He has been an active investor in software-related startups and other companies since departing Abaqus. Prior to Abaqus, he had been a Research Associate at the University of Illinois and had also served as an analyst and programmer at several engineering firms, including a stint with Control Data Corporation in their Stockholm operation. He has had a career in civil engineering, with particular expertise in the area of Finite Element Analysis (FEA) and software related to its operation. As a co-founder of Abaqus, he was instrumental in building the company into the world-leading provider of advanced Finite Element Analysis software and services used to solve real-world engineering problems. He left daily operations at Abaqus in 2003 but remained on the board of directors until the company was sold in 2005. He has been an active investor in software-related startups and other companies since departing Abaqus. Prior to Abaqus, he had been a Research Associate at the University of Illinois and had also served as an analyst and programmer at several engineering firms, including a stint with Control Data Corporation in their Stockholm operation. He holds a Ph.D. in Civil Engineering from the University of Illinois at Urbana-Champaign and a degree in Civil Engineering from the Royal Institute of Technology.</t>
  </si>
  <si>
    <t>bkarlsson@cevg.com</t>
  </si>
  <si>
    <t>243406-81P</t>
  </si>
  <si>
    <t>Cara Tobin Ph.D</t>
  </si>
  <si>
    <t>Cara</t>
  </si>
  <si>
    <t>Tobin</t>
  </si>
  <si>
    <t>Dr. Cara Tobin serves as Partner at Clean Energy Venture Group. She serves as Advisor at Grensol. She serves as Venture Partner at Clean Energy Ventures. She has 20+ years of experience as Enviro Engineer at the water-energy nexus, Green Climate Fund, Stanford MS, and ETH Swiss. She holds a Ph.D. degree.</t>
  </si>
  <si>
    <t>ctobin@cevg.com</t>
  </si>
  <si>
    <t>426694-15P</t>
  </si>
  <si>
    <t>Charlotte Kirk Ph.D</t>
  </si>
  <si>
    <t>Dr. Charlotte Kirk serves as Principal at Clean Energy Ventures. Before CEV, she was Head of Technology at Fortescue and is a recognized specialist in industrial transformation, renewable fuels &amp; zero-carbon products - with this expertise originally stemming from her PhD analyzing hydrogen &amp; ammonia technologies. She has both a Chemistry PhD and 1st Class MChem degree from the University of Oxford, where she was also an academic scholar. In the British Army, she was the first female to pass selection into a previously all-male infantry unit, and she is also a successful ultra-marathon athlete, Ironman triathlete, &amp; cross-country skier, competing at World Championship level across disciplines.</t>
  </si>
  <si>
    <t>ckirk@cleanenergyventures.com</t>
  </si>
  <si>
    <t>90 York Way</t>
  </si>
  <si>
    <t>N1 9AG</t>
  </si>
  <si>
    <t>169704-73P</t>
  </si>
  <si>
    <t>Coleman Adams</t>
  </si>
  <si>
    <t>Mr. Coleman Adams serves as Chief Financial Officer &amp; Board Member at Nth Cycle. He serves as an Advisor at Innovation Crossroads. He also serves as a Venture Partner at Clean Energy Ventures. He served as a Partner at Clean Energy Venture Group. He serves as the Board Member at Nth Cycle. He co-founded and served as Managing Director at Crescendo Power.</t>
  </si>
  <si>
    <t>+1 (518) 534-0562</t>
  </si>
  <si>
    <t>adams@nthcycle.com</t>
  </si>
  <si>
    <t>Beverly</t>
  </si>
  <si>
    <t>Beverly, MA</t>
  </si>
  <si>
    <t>100 Cummings Center</t>
  </si>
  <si>
    <t>Suite 151B</t>
  </si>
  <si>
    <t>01915</t>
  </si>
  <si>
    <t>Nth Cycle</t>
  </si>
  <si>
    <t>35315-92P</t>
  </si>
  <si>
    <t>Daniel Goldman</t>
  </si>
  <si>
    <t>Goldman</t>
  </si>
  <si>
    <t>Mr. Daniel Goldman is a Co-Founder and serves as a Managing Partner at Clean Energy Ventures. He co-founded and served as Managing Director at Clean Energy Venture Group. He serves as a Board Member at OxCCU, Advanced Ionics, Carbon Upcycling Technologies, SparkMeter, ClearTrace, Ndustrial, ConnectDER, REsurety, and LineVision. He serves as a Board Observer at Travertine. He served as a Strategic Advisor at Olympus Capital Asia. He serves as an Advisor at CleanFiber and Quidnet Energy. He served as President, Board Member &amp; Chief Financial Officer at GreatPoint Energy. Before joining GreatPoint Energy, from 2002 to 2006, he was a co-founder and served as chief financial officer of New Energy Capital Corporation, one of the first funds focused exclusively on investments in clean energy projects. He oversees finance, accounting, strategic planning, risk management, public affairs, policy initiatives, and business development for the company. From 1996 through 2001, he held regional and corporate senior management development and finance positions in Hong Kong and Boston at InterGen, a leading power generation company co-owned by the Bechtel Group and Royal/Dutch Shell. Before InterGen, he served as director of the Asia Pacific Energy Consulting practice for Arthur D. Little in Singapore from 1992 to 1996. He serves on the board of directors of the New England Clean Energy Council and is a board observer to Next Step Living, a residential energy efficiency company, and OutSmart Power Systems, a building energy management solutions company. He is also a co-founder of Environmental Entrepreneurs in New England, a business advocacy group linked to NRDC. He also serves as a Board Member at GreatPoint Energy. He holds an MS degree in Energy Economics from the London School of Economics and Political Science (1988) and a BS degree in Applied Economics from Cornell University (1987).</t>
  </si>
  <si>
    <t>dgoldman@cleanenergyventures.com</t>
  </si>
  <si>
    <t>43265-62P</t>
  </si>
  <si>
    <t>David Miller Ph.D</t>
  </si>
  <si>
    <t>Dr. David Miller is a Co-Founder and serves as Managing Partner at Clean Energy Ventures. He serves as Advisor at CleanFiber. He serves as Board Member at Pearl. He served as Executive Managing Director at Clean Energy Venture Group. He brings over twenty years of technology startup management experience and over fifteen years of seed stage investing experience. He has been on the board of directors or advisory board of several clean energy companies, including Next Step Living, MyEnergy, Azima DLI, and Cambrian Innovation and has mentored many others. He also has an appointment as Research Affiliate at MIT's Sloan School of Management. He is a New England Chapter Director of Environmental Entrepreneurs (E2), a national community of business leaders who advocate for good environmental policy while building economic prosperity and has developed relationships with state and federal policy makers to support the growth of the clean energy industry. He is a founding member of the MIT Enterprise Forum's Energy Special Interest Group and chaired the mentor program for what is now the Northeast Cleantech Open for its first four years. He also co-founded EPrime, which is a forum for clean energy entrepreneurs to network and support each other's enterprises, was a board member of New England Energy and Environmental Funders, which educated investors interested in energy and environmental companies, and was a founding advisory board member of the New England Clean Energy Council. He also serves as Board Member at Boston Materials &amp; Volexion.</t>
  </si>
  <si>
    <t>dsmiller@cleanenergyventures.com</t>
  </si>
  <si>
    <t>243408-79P</t>
  </si>
  <si>
    <t>James Ellis</t>
  </si>
  <si>
    <t>Mr. James Ellis serves as Venture Partner at Clean Energy Ventures. He is an Attorney &amp; Entrepreneur turned investor.</t>
  </si>
  <si>
    <t>243407-35P</t>
  </si>
  <si>
    <t>Jean-Noel Poirier</t>
  </si>
  <si>
    <t>Jean-Noel</t>
  </si>
  <si>
    <t>Poirier</t>
  </si>
  <si>
    <t>Mr. Jean-Noel Poirier serves as Managing Partner, Blue Innovation Fund at Meliorate Partners. Mr. Poirier Co-Founded and served as a Managing Partner at E8 Ventures. He served as a Venture Partner at Clean Energy Ventures. He served as Managing Director at Clean Energy Venture Group. His background includes leadership positions at Honeywell International, in solar energy startups including First Solar and Global Solar Energy, and in specialty chemicals. He was CEO of Inventec Performance Chemicals USA which he co-founded. He is also an investor and a mentor to several cleantech companies. He is a lead mentor at the Cleantech Open and an Entrepreneur In Residence for NYSERDA. He holds an MBA from the Kellogg Graduate School of Management, a Bachelor in Applied Economics, and a Bachelor in Management Sciences from Dauphine University in Paris.</t>
  </si>
  <si>
    <t>+1 (973) 455-2000</t>
  </si>
  <si>
    <t>Mercer Island</t>
  </si>
  <si>
    <t>Mercer Island, WA</t>
  </si>
  <si>
    <t>7721 South East 58th Street</t>
  </si>
  <si>
    <t>98040</t>
  </si>
  <si>
    <t>Managing Partner, Blue Innovation Fund</t>
  </si>
  <si>
    <t>Meliorate Partners</t>
  </si>
  <si>
    <t>33582-25P</t>
  </si>
  <si>
    <t>Jeffrey Weiss</t>
  </si>
  <si>
    <t>Mr. Jeffrey Weiss serves as Partner at Clean Energy Venture Group. He serves as a Board Observer at Volexion. He also served as an Advisor at Efacto. Mr. Weiss also serves as a Member of the Investment Advisory Committee at PRIME Coalition. He also serves as Senior Venture Partner at Clean Energy Ventures. He also served as Advisory Boards Member at Slater Technology Fund. He also served as Advisor at PJC. Prior to this, he was a Board Member of Solantro Semiconductor. He is an experienced entrepreneur, technologist, and seed investor, who assists new companies in building management teams, identifying additional private and venture capital resources, and refining business strategy. Currently a board member at Scalable Display Technologies and Andera Software. His current focus is on clean energy startups. Previously, Mr. Weiss was vice president of engineering of Digital LightCircuits (researchers of photonic switching devices at Brown University), co-founder and CTO of Omnia Communications, vice president of systems architecture at Ciena, managing director/CTO of Magnalink Communications, and vice president of technology for Telco Systems. He has been involved in engineering or management roles at a variety of other companies including Motorola (Codex Corporation), Sphere Technology, Cryptall Communications, and IBM's TJ Watson Research Laboratory. Mr. Weiss also owns a number of patents pertaining to data encryption, data compression, switching systems, photonic devices, and parallel computer processing. He holds a B.S.E.E. from the Massachusetts Institute of Technology and an M.S.E.E. from Columbia University and currently serves as an MIT Educational Counselor. He has also served as a member of the Curriculum Advisory Committee for Brown University's Electrical Engineering program.</t>
  </si>
  <si>
    <t>+1 (877) 531-9017</t>
  </si>
  <si>
    <t>jweiss@cevf.com</t>
  </si>
  <si>
    <t>Brookline</t>
  </si>
  <si>
    <t>Brookline, MA</t>
  </si>
  <si>
    <t>101 Stedman Street</t>
  </si>
  <si>
    <t>02446</t>
  </si>
  <si>
    <t>243410-14P</t>
  </si>
  <si>
    <t>John Bobrowich</t>
  </si>
  <si>
    <t>Bobrowich</t>
  </si>
  <si>
    <t>Mr. John Bobrowich serves as Board Member at CleaarFlame. He serves as Venture Partner at Clean Energy Ventures. He serves as Board Member at Advanced Ionics.</t>
  </si>
  <si>
    <t>+1 (617) 244-4634</t>
  </si>
  <si>
    <t>236117-26P</t>
  </si>
  <si>
    <t>John Harper</t>
  </si>
  <si>
    <t>Mr. John Harper served as Senior Advisor at Sunwealth Power. He also serves as Board Member at 60Hertz. He serves as a Venture Partner at Clean Energy Ventures. He serves as Partner at Clean Energy Venture Group.</t>
  </si>
  <si>
    <t>+1 (617) 803-7338</t>
  </si>
  <si>
    <t>jharper@cevg.com</t>
  </si>
  <si>
    <t>15135-13P</t>
  </si>
  <si>
    <t>John Keane Jr.</t>
  </si>
  <si>
    <t>Mr. John Keane serves as a Member at Clean Energy Venture Group. He served as Board Member at PurposeEnergy. He also serves as Venture Partner at Clean Energy Ventures. He founded King Hill Capital in 2007 to invest in early-stage cleantech companies that develop renewable energy or energy-efficient technologies. He invests in cleantech companies to address two issues that concern him deeply: global climate change and the need for greater energy independence. John applies his nearly 20 years of operating experience when assessing investment opportunities and supporting the companies in which he invests. Prior to founding King Hill Capital, John had been an executive in the software industry. Most recently, he was the founder and CEO of ArcStream Solutions, a wireless systems integration firm. Prior to founding ArcStream, he held various leadership positions at Keane, supporting the company's revenue growth from $60 million to $1.1 billion. John began his career in corporate finance at J.P. Morgan. John currently serves on the board of Lightning Hybrids, Purpose Energy, Ravenbrick, Stellaris, and Sundolier. He is a board observer for Greentech Media. He previously served on the board of Cleantech America (acquired by Meridian Energy), Design2Launch (acquired by Kodak), Keane (acquired by Caritor), and Solar Sentry, and as an observer at Albeo Technologies (acquired by GE Lighting). John graduated from Harvard College and Harvard Business School.</t>
  </si>
  <si>
    <t>+1 (303) 885-6344</t>
  </si>
  <si>
    <t>3950 Kearney Street</t>
  </si>
  <si>
    <t>80207</t>
  </si>
  <si>
    <t>King Hill Capital (Former)</t>
  </si>
  <si>
    <t>128840-50P</t>
  </si>
  <si>
    <t>John Owen</t>
  </si>
  <si>
    <t>Mr. John Owen serves as Partner at Clean Energy Venture Group. Mr. Owen served as Board Member at HeartSciences. He is a full-time private investor with a particular interest in the medical device sector and is an existing investor in Heart Test Labs. He was also on the Board of Directors at Modern Logistics. He has extensive experience in high-growth start-ups and in securing investment from both private and public capital sources including IPOs. He will be a welcome addition to the Board as we position HTL for rapid growth and major institutional involvement in 2017. Before his focus on private investment, he was most notably a co-founder of JetBlue Airways and was its CFO from inception in 1999 through 2006. During his tenure, JetBlue went from a start-up to a successful NASDAQ-listed company with over $2 billion in revenue. He managed multiple public and private funding rounds as well as its IPO. Subsequently, he acted as CFO and adviser to Volotea Airlines during its start-up which included raising €65 million in equity financing before its commencement of flight operations in 2012. He holds a BA in Economics from SMU, summa cum laude and Phi Beta Kappa, and an MBA in Finance from the Wharton School where he was a Mayer Fellow.</t>
  </si>
  <si>
    <t>jdowen@cevg.com</t>
  </si>
  <si>
    <t>45600-22P</t>
  </si>
  <si>
    <t>John Santoleri</t>
  </si>
  <si>
    <t>Santoleri</t>
  </si>
  <si>
    <t>Mr. John Santoleri serves as Partner at Clean Energy Venture Group. He also serves as the board member at Micro Turbo Technologies.He serves as Chief Financial Officer &amp; Board Member at Dimensional Energy. He serves as Venture Partner at Clean Energy Ventures. He served as Partner and Portfolio Manager at StoneWater Capital. During his 15-year tenure with Warburg, He was responsible for investments in a broad range of industries, including business services, information technology, financial services, retail and consumer products, and real estate. Prior to Warburg Pincus, he was a vice president of The Harlan Company, a New York-based real estate consulting firm. He holds a B.S. in economics from The Wharton School of the University of Pennsylvania. He served as a partner of Warburg Pincus.</t>
  </si>
  <si>
    <t>+1 (860) 868-2429</t>
  </si>
  <si>
    <t>jsantoleri@cevg.com</t>
  </si>
  <si>
    <t>145111-51P</t>
  </si>
  <si>
    <t>John Wisniewski</t>
  </si>
  <si>
    <t>Wisniewski</t>
  </si>
  <si>
    <t>Mr. John Wisniewski serves as Partner at Clean Energy Venture Group. He serves as Venture Partner at Clean Energy Venture Group. He served as Managing Director at RosePaul Ventures. He has 12 years of private equity and venture capital investment experience. He holds 18 years of industry experience.</t>
  </si>
  <si>
    <t>jwisniewski@cevg.com</t>
  </si>
  <si>
    <t>243411-22P</t>
  </si>
  <si>
    <t>Kedar Gupta</t>
  </si>
  <si>
    <t>Kedar</t>
  </si>
  <si>
    <t>Mr. Kedar Gupta serves as Venture Partner at Clean Energy Ventures. He serves as Board Member at SunDensity.</t>
  </si>
  <si>
    <t>243408-34P</t>
  </si>
  <si>
    <t>Laury Saligman</t>
  </si>
  <si>
    <t>Laury</t>
  </si>
  <si>
    <t>Saligman</t>
  </si>
  <si>
    <t>Ms. Laury Saligman is the Founder and serves as Managing Director &amp; Principal at Vernal Ventures. She serves as Partner at Clean Energy Venture Group. She serves as Venture Partner at Clean Energy Ventures.</t>
  </si>
  <si>
    <t>+1 (202) 236-6062</t>
  </si>
  <si>
    <t>Montpelier</t>
  </si>
  <si>
    <t>Montpelier, VT</t>
  </si>
  <si>
    <t>43 State Street</t>
  </si>
  <si>
    <t>Vermont</t>
  </si>
  <si>
    <t>05602</t>
  </si>
  <si>
    <t>Founder, Managing Director &amp; Principal</t>
  </si>
  <si>
    <t>Vernal Ventures</t>
  </si>
  <si>
    <t>31687-75P</t>
  </si>
  <si>
    <t>Louis Schick</t>
  </si>
  <si>
    <t>Schick</t>
  </si>
  <si>
    <t>Mr. Louis Schick serves as Director of Investments at Clean Energy Ventures. He was the Founding Partner at NewWorld Capital Group. Before NewWorld, he was an independent consultant specializing in business applications of environmental technologies. Earlier, he was a Managing Director at Ritchie Capital, a hedge fund, where he oversaw a legacy portfolio of environmental businesses. He spent 8 years at General Electric, mainly in Corporate Research. He began as a product service engineer supporting installation and repair of gas turbine power plants worldwide. Subsequently, his senior roles included leading the evaluation of Disruptive Technologies for GE Energy. He functioned as developer and head of GE's solid oxide fuel cell program, and Master Black Belt focusing on low-carbon technologies. In his role as head of the solid oxide fuel cell program, he led a team with more than 100 scientists and researchers in five facilities and participated in strategic partnership negotiations, mergers and acquisitions, and government relations. As a Managing Director at Ritchie Capital, he oversaw a legacy portfolio of environmental businesses. Earlier, he was a product manager for MTI Micro Fuel Cells, a developer of direct methanol fuel cells, and ran the military product development team, developed the strategic marketing plan, and applied GE Six Sigma to develop customer critical metrics. Mr. Schick also managed several state and federal grant programs and developed patent applications while at MTI. He holds technology patents in gas turbine parts, vehicle telematics, and other fields. He has considerable business-building experience, leveraging his understanding of science, technology, and business processes. He graduated cum laude with a BS in Physics and Phi Beta Kappa from Union College and holds an MS in Physics from Cornell University.</t>
  </si>
  <si>
    <t>+1 (212) 486-3400</t>
  </si>
  <si>
    <t>lschick@cleanenergyventures.com</t>
  </si>
  <si>
    <t>Director of Investments</t>
  </si>
  <si>
    <t>259268-14P</t>
  </si>
  <si>
    <t>Mallika Gummalla Ph.D</t>
  </si>
  <si>
    <t>Mallika</t>
  </si>
  <si>
    <t>Gummalla</t>
  </si>
  <si>
    <t>Dr. Mallika Gummalla serves as Director at AE Ventures. She also serves as a Venture Partner at Clean Energy Ventures. She served as Director at AE Industrial Partners. She brings almost 20 years of deep technical, innovation, and business development experience in the Industrial and Aerospace markets. Previously, she was a Business Development Director and Sales Executive for the New England territory at Airtech USA. She serves as a Board Member at Aepnus Technology. Before Airtech, she spent 14 years at United Technologies Corporation (UTC), serving in roles of increasing responsibility and diversity. She established the Strategic Innovation Partnerships practice and Innovation Hubs for UTC's Building Integrated Systems (Carrier and Otis) to generate organic growth and accelerate product development. During this time, she established strategic partnerships with venture capital, private equity, accelerators, and incubators with a focus on start-ups in the HVAC and elevator businesses. In her early years at UTC, she also led the fuel cell programs at the research center and developed proton-exchange membrane (PEM) fuel cells for tactical unmanned aerial vehicles (UAV). She holds a BTech degree in Chemical Engineering from the Indian Institute of Technology, Madras, and a Ph.D. from the University of Massachusetts, Amherst.</t>
  </si>
  <si>
    <t>+1 (860) 728-7608</t>
  </si>
  <si>
    <t>AE Ventures (Former)</t>
  </si>
  <si>
    <t>83760-94P</t>
  </si>
  <si>
    <t>Matthew Cohen</t>
  </si>
  <si>
    <t>Mr. Matthew Cohen serves as Principal at Clean Energy Ventures. Mr. Cohen served as Director of Technology at Pangaea Ventures. He served as a Board Member at TruTag Technologies. He brings experience and a passion for working with advanced materials and cleantech in both industry and academia. Prior to joining Pangaea Ventures, Mr. Cohen worked in companies and ventures involved in printed electronics utilizing nanotechnology, biotechnology and environmental bioremediation. He performed various functions that included business development, R&amp;D, product development, customer technical support, and international launch strategies while gaining valuable start-up understanding. Mr. Cohen holds an MPhil in Micro- &amp; Nanotechnology Enterprise from the University of Cambridge and graduated summa cum laude from the University of Pennsylvania with a BSE in Materials Science &amp; Engineering.</t>
  </si>
  <si>
    <t>mcohen@cleanenergyventures.com</t>
  </si>
  <si>
    <t>345130-03P</t>
  </si>
  <si>
    <t>Micha Ben-Naim Ph.D</t>
  </si>
  <si>
    <t>Micha</t>
  </si>
  <si>
    <t>Ben-Naim</t>
  </si>
  <si>
    <t>Dr. Micha Ben-Naim serves as Investor at Clean Energy Ventures. Prior to joining CEV, he worked at Lawrence Livermore National Laboratory as a postdoctoral researcher. He holds a Ph.D. in Chemical Engineering from Stanford University and a B.S. in Chemical Engineering from the Massachusetts Institute of Technology.</t>
  </si>
  <si>
    <t>148879-81P</t>
  </si>
  <si>
    <t>Michael Herzig</t>
  </si>
  <si>
    <t>Herzig</t>
  </si>
  <si>
    <t>Mr. Michael Herzig serves as a Partner at Clean Energy Venture Group. Mr. Herzig co-founded MPI Professionals. He was the Founder of Locus Energy and served as its President. He heads corporate development and company strategy. He serves as Chief Commercial &amp; Operations Officer and Board Member at Operant Networks. Before founding Locus Energy, Herzig was a partner and co-founder of the financial services industry IT consulting firm MPI Professionals, which was purchased by CGI. MPI served major financial institutions globally and had offices in New York, Toronto, São Paulo, and London. The firm grew from two founders to 100 employees. Before MPI, Herzig co-founded UConnections.com, a college-focused Internet company. He started his career at Andersen Consulting (now Accenture) in the Financial Services Group. He earned a bachelor's degree from Cornell University.</t>
  </si>
  <si>
    <t>mherzig@cevg.com</t>
  </si>
  <si>
    <t>43265-26P</t>
  </si>
  <si>
    <t>Mitchell Tyson</t>
  </si>
  <si>
    <t>Mr. Mitchell Tyson serves as Partner at Clean Energy Venture Group. He serves as Board Member at Adapt Ready, Transaera, and MultiSensor Scientific. He served as Board Member at Leading Edge Crystal Technologies. He also served as Board Member at Greentown Labs. He served as Board Member and Advisor at Kuva Systems. He also served as Investment Committee Member at Castor Ventures. He is an experienced high-tech executive and entrepreneur. He serves on a number of corporate, non-profit, and governmental advisory boards. He advises start-ups, early-stage companies, VCs, angel groups, and private equity firms. He also writes and lectures on sustainability, clean energy, entrepreneurship, management, and the triple bottom line. He was CEO of Advanced Electron Beams (AEB) between 2005 and 2010. He joined AEB, an industrial energy efficiency company, upon the completion of the company's Series A round of venture funding. AEB manufactures compact electron beam emitters that replace thermal and chemical processes, improving sustainability and reducing costs in a broad range of industries. During this period the company raised $50 million in venture funds, established a new business model and market strategy, shipped over 150 systems to 50 companies, and established 12 OEMs that have designed AEB emitters into their manufacturing systems. He has served on the board of ten public, private, and venture-backed company boards, including firms in the areas of automation, CAD, LEDs, materials, semiconductor equipment, and sensors. He currently serves on the board of Photronics, a manufacturer of photomasks for the flat panel display and semiconductor industries, 7AC a start-up developing next-generation air conditioning technology, and the advisory board of Greener U, an innovative energy services firm that helps universities lower costs and become more sustainable. He has a Bachelor of Science in Physics, a Master of Science in Nuclear Engineering, and a second Master of Science in Political Science, all from the Massachusetts Institute of Technology. He also serves as the Chairman at Bigbelly. He holds an MS degree in Political Science from Massachusetts Institute of Technology (MIT) (1978), an MS degree in Nuclear Engineering from Massachusetts Institute of Technology (MIT) (1978), and a BS degree in Physics from Massachusetts Institute of Technology (MIT) (1975). He served as Board Member at Acadiana Addiction Center.</t>
  </si>
  <si>
    <t>mtyson@cevg.com</t>
  </si>
  <si>
    <t>63148-06P</t>
  </si>
  <si>
    <t>Nora Brownell</t>
  </si>
  <si>
    <t>Nora</t>
  </si>
  <si>
    <t>Brownell</t>
  </si>
  <si>
    <t>Ms. Nora Brownell is a Co-Founder of ESPY Energy Solutions. She serves as Venture Partner at Clean Energy Ventures. She serves as Partner at Clean Energy Venture Group. She served as Chairman of the Board at PG&amp;E. Earlier, she served as a Commissioner of the Federal Energy Regulatory Commission (FERC) from 2001 until 2006, a position to which she was nominated by the President. In this role, she was a strong proponent of FERC policies that promote investment in national energy infrastructure development. Prior to FERC, she served as Board Member at Copper Labs. She served as a member of the Pennsylvania Public Utility Commission (PUC) where she took an active role in the rollout of electric choice in Pennsylvania. Prior to her appointment to the Pennsylvania Commission, she was Executive Director of the Regional Performing Arts Center in Philadelphia, a $200 million arts and economic development initiative. Additionally, she previously served as the Senior Vice President for Meridian Bancorp, Inc.'s Corporate Affairs Unit. She founded BC Consulting, an energy consulting firm. She serves on the boards of Comverge, Spectra Energy Partners (NYSE: SEP), Times Publishing Company, Tangent Energy Solutions, and National Grid, PLC. She attended Syracuse University. She serves as Strategic Advisory Council Member at NewWorld Capital Group.</t>
  </si>
  <si>
    <t>nbrownell@espyenergysolutions.com</t>
  </si>
  <si>
    <t>Alexandria</t>
  </si>
  <si>
    <t>Alexandria, VA</t>
  </si>
  <si>
    <t>22314</t>
  </si>
  <si>
    <t>ESPY Energy Solutions</t>
  </si>
  <si>
    <t>212275-36P</t>
  </si>
  <si>
    <t>Peter Sopher</t>
  </si>
  <si>
    <t>Sopher</t>
  </si>
  <si>
    <t>Mr. Peter Sopher serves as an Investment Partner at Clean Energy Ventures. He served as a Board Observer at ClearFlame Engine Technologies.He serves as a Board Member at Bodhi and Industrial. He began his career at the Environmental Defense Fund (EDF), where he specialized in interdisciplinary clean energy, carbon market, and deforestation reduction analyses - first as the Climate Economics Fellow on the EDF International Climate Team (2011-2013), and subsequently as a Clean Energy Analyst (2013-2016). He led and facilitated the crafting of policy solutions, and he authored over 40 publications for diverse audiences spanning scientific and law review journals, public reports, and mainstream Before entering graduate school in 2016, he launched his finance career at Option 3 Ventures, an early-stage venture capital fund focused on cybersecurity. During his first graduate school summer in 2017, he published an econometric Insight Paper on early-stage venture capital trends in the energy sector as the Birol Fellow within the Paris-based International Energy Agency's Economics &amp; Investments Office. In the summer of 2018, he became a Project Finance Associate as a member of CrossBoundarys Johannesburg office, where he evaluated clean energy infrastructure developments in Southern Africa.</t>
  </si>
  <si>
    <t>psopher@cleanenergyventures.com</t>
  </si>
  <si>
    <t>243405-19P</t>
  </si>
  <si>
    <t>Shanbor Gupta</t>
  </si>
  <si>
    <t>Shanbor</t>
  </si>
  <si>
    <t>Mr. Shanbor Gupta serves as Principal at Clean Energy Ventures. His career started with KPMG India in the Corporate Finance (M&amp;A) team, where he supported the team across multiple verticals. He launched his first startup, Webcel Solutions, which was a joint venture with Imergent, Inc. in 2010. He completed his undergraduate degree in International Studies &amp; Economics at the University of Birmingham and his MBA from Babson College.</t>
  </si>
  <si>
    <t>sgupta@cleanenergyventures.com</t>
  </si>
  <si>
    <t>43264-72P</t>
  </si>
  <si>
    <t>Steven Kaufman</t>
  </si>
  <si>
    <t>Kaufman</t>
  </si>
  <si>
    <t>Mr. Steven Kaufman serves as Venture Partner at Clean Energy Ventures. Mr. Kaufman serves as Partner at Clean Energy Venture Group. He serves as the CEO of Lexington Lighting Group, LLC, a manufacturer of energy-efficient lighting for commercial and residential markets. He also serves as Principal of Quasar Holdings, LLC, which makes angel investments in growing companies. Previously he served as CEO of Alteris Renewables, the largest design-build renewable energy company in the Northeast, until its 2011 merger with RGS Energy, where he now serves as a director. Alteris was recognized as one of America's fastest-growing energy companies on the Inc. 500 list in both 2009 and 2010. The company won the 'Green/Environmental Deal of the Year' for the merger which created Alteris in 2008. He holds an MS degree in Computer Science from Stanford University (1994), and an MBA degree in General Management from Harvard Business School (1991).</t>
  </si>
  <si>
    <t>+1 (617) 927-3800</t>
  </si>
  <si>
    <t>323878-96P</t>
  </si>
  <si>
    <t>Ted Dillon</t>
  </si>
  <si>
    <t>Mr. Ted Dillon serves as Chief Operating Officer at Clean Energy Ventures. Prior to Clean Energy Ventures, He held several roles at the marketing consulting firm Captains of Industry, most recently as Managing Director where he oversaw the firm's profitability, drove business development, and led new strategic initiatives. During his tenure at Captains of Industry, he drove brand and marketing development for companies such as First Wind, Innogy, BlueWave Solar, MIT Sloan, Apex Clean Energy, DNV GL, Vionx Energy, MIT Industrial Liaison Program, and numerous startups. Prior to his time at Captains of Industry, he worked in the film and television industry. He joined Clean Energy Ventures in late 2019. He has an Executive Certificate from MIT Sloan in Management and Leadership, and a BA in Film Studies from Boston College with germane work in Physics and Computer Science.</t>
  </si>
  <si>
    <t>+1 (508) 242-9910</t>
  </si>
  <si>
    <t>tdillon@cleanenergyventures.com</t>
  </si>
  <si>
    <t>168226-39P</t>
  </si>
  <si>
    <t>Temple Fennell</t>
  </si>
  <si>
    <t>Temple</t>
  </si>
  <si>
    <t>Fennell</t>
  </si>
  <si>
    <t>Mr. Temple Fennell is a Co-Founder &amp; serves as Managing Partner at Clean Energy Ventures. Mr. Fennell serves as Board Member at MacroCycle Technologies. He served as a Board Member at Leading Edge Equipment Technologies. He has more than 20 years of experience as an investor and operating executive deploying capital for private investors and family offices' indirect investments. He founded and operated three companies funded by private investors, family offices, and institutional investors (New Enterprise Associates, Oak Investment Partners, Pearson Education, and others). He holds a B.S. in Systems Engineering from the University of Virginia and an MBA as an MIT Sloan Fellow at the MIT Sloan School of Management. He is a Senior Fellow at the University of Zurich.</t>
  </si>
  <si>
    <t>tfennell@cleanenergyventures.com</t>
  </si>
  <si>
    <t>46691-74P</t>
  </si>
  <si>
    <t>Virginia Foote</t>
  </si>
  <si>
    <t>Foote</t>
  </si>
  <si>
    <t>Ms. Virginia Foote serves as Partner at Clean Energy Venture Group. She serves as Venture Partner at Clean Energy Ventures. She also serves as CIO at Net Xpress Procurement. Ms. Foote is the Director of Finance and Operations for TEM Capital and is responsible for all the financial and operational work of managing the fund. She also works on legal and tax structuring for portfolio investments and works closely with the Fund's portfolio companies post-investment. Prior to joining TEM Capital, she was a former CFO/Controller for a subsidiary of EF Education, an international, for-profit education company. Prior to this management experience, she worked as an Associate at Elek, Moreno Valle y Asociados, a Mexican Corporate Financial Advisory Firm, on private placements, restructurings, and M&amp;A work in the energy sector. Early in her career she was a Financial Analyst at Bear Stearns in New York and worked with the firm's Latin American and Asian Emerging Markets Groups. Ms. Foote has also taught Introductory Finance at the Boston University School of Management. She brings a wide range of financial and operational skills to the firm and has provided corporate advisory to companies in the US, China, Mexico, and South America. Ms. Foote has an MBA from Harvard Business School, an MSc in Economic History from The London School of Economics, and a BA in History from Yale University.</t>
  </si>
  <si>
    <t>+1 (617) 575-7880</t>
  </si>
  <si>
    <t>vfoote@cevg.com</t>
  </si>
  <si>
    <t>47543-32P</t>
  </si>
  <si>
    <t>Wanda Reindorf</t>
  </si>
  <si>
    <t>Wanda</t>
  </si>
  <si>
    <t>Reindorf</t>
  </si>
  <si>
    <t>Ms. Wanda Reindorf serves as Partner at Clean Energy Venture Group. She also serves as Venture Partner at Clean Energy Ventures. She was an Advisor of Essess. She is currently a board advisor to several cleantech companies and an investor in a number of clean energy companies. Previously, she was executive vice president &amp; chief financial officer of Conservation Services Group for nearly a decade. CSG designs develop and deliver energy efficiency and clean energy programs and services nationwide. Prior experience includes PWC (PriceWaterhouseCoopers), Strategy and Operations Consulting Services in New York and Europe, work at the board level with a number of Wall Street firms, and SVP of business strategy at a financial services company. She is actively involved in the clean energy field in addition to advisory and investment activities. She co-chairs the Workforce Development Committee for the New England Clean Energy Council, has been appointed by Governor Patrick to the Workforce Investment Board representing the Clean Energy sector, is on the advisory board of the Center for Sustainable Enterprise and Regional Competitiveness, and received the Clean Energy Leadership Award by the New England Clean Energy Council. She has frequently spoken at industry events, conferences, and educational institutions on the subject of clean energy. These include lecturing at Yale University School of Management, Yale School of Environmental Studies, and Harvard University, Kennedy School: Asia Energy Leaders. She also has been a mentor for several MIT clean energy companies. She has an MBA from Yale University, School of Management, and a BA, summa cum laude, Phi Beta Kappa, from the University of Pennsylvania. She also has a CPA license, is fluent in 5 languages, and is a licensed pilot.</t>
  </si>
  <si>
    <t>wreindorf@cevg.com</t>
  </si>
  <si>
    <t>35515-09P</t>
  </si>
  <si>
    <t>William Brady Jr.</t>
  </si>
  <si>
    <t>Brady</t>
  </si>
  <si>
    <t>Mr. William Brady is a Co-Founder and serves as Chief Executive Officer, President &amp; Board Member at Kula Bio. He is a Co-Founder and serves as Director and Chairman at Enchi. He serves as Board Memner at Sublime Systems. He serves as Venture Partner at Clean Energy Ventures. He is a Co-Founder &amp; serves as Board Chairman at Terragia. He serves as a Partner at Clean Energy Venture Group. He was a Co-Founder and served as Chief Executive Officer and Board Member at Enchi. Previously, he was Executive Vice President of Cabot Corporation, a specialty chemical company. Throughout his twenty-three-year experience, he held numerous positions at Cabot in the U.S. and in Japan, including General Manager of the $1.5 billion Carbon Black business, which operates 23 manufacturing plants in 18 countries. In addition, he led the commercialization of two start-up businesses at Cabot in inkjet colorants and elastomer composites. He is an overseer at the Museum of Science in Boston and a member of the Board of Trustees at the University of Scranton. He also serves on the Boards of Directors of Mascoma and Mascoma's affiliate, Frontier Renewable Resources. He is a graduate of the University of Scranton with a Bachelor's Degree in Chemistry and received his Master's Degree in Business Administration from Fairleigh Dickinson University.</t>
  </si>
  <si>
    <t>+1 (508) 960-9166</t>
  </si>
  <si>
    <t>brady@kulabio.com</t>
  </si>
  <si>
    <t>02134</t>
  </si>
  <si>
    <t>Co-Founder, Chief Executive Officer, President &amp; Board Member</t>
  </si>
  <si>
    <t>Kula Bio</t>
  </si>
  <si>
    <t>345128-23P</t>
  </si>
  <si>
    <t>Wynston Reed</t>
  </si>
  <si>
    <t>Wynston</t>
  </si>
  <si>
    <t>Mr. Wynston Reed serves as Investor at Clean Energy Ventures. He began his career as a management consultant at Grant Thornton. Before joining CEV, he was a Summer Associate Investor at Energy Impact Partners. He is a Graduate in Finance and International Business from University of Maryland. He hold an MBA from MIT (Sloan).</t>
  </si>
  <si>
    <t>+1 (301) 758-6874</t>
  </si>
  <si>
    <t>wreed@cleanenergyventures.com</t>
  </si>
  <si>
    <t>242580-34P</t>
  </si>
  <si>
    <t>Yi Jean Chow</t>
  </si>
  <si>
    <t>Yi Jean</t>
  </si>
  <si>
    <t>Ms. Yi-Jean Chow serves as an Investment Partner at Clean Energy Ventures. Ms. Chow served as an Investment Principal at Future Energy Ventures. She served as Principal at Innogy Innovation Hub. With a background in energy start-ups and strategy consulting. She has broad international experience having lived and worked in London, Kuala Lumpur, New York, Boston, and San Francisco; and worked at energy start-ups focused on industrial efficiency, building energy management, machine learning, and blockchain technologies. She is a board member/observer for our investments in SolShare, Cryptowerk, Moj.io, and T-REX, and looks after our investment in Waycare. She holds a BA in Chemistry and Physics from Harvard University and an MSc in Economics and Policy of Energy &amp; Environment from University College London.</t>
  </si>
  <si>
    <t>ychow@cleanenergyventures.com</t>
  </si>
  <si>
    <t>209976-49P</t>
  </si>
  <si>
    <t>Alexander Weiss</t>
  </si>
  <si>
    <t>ClearSky</t>
  </si>
  <si>
    <t>Mr. Alexander Weiss is a Co-Founder and serves as Chief Executive Officer, Managing Partner &amp; Member of the Investment Committee at ClearSky. Prior to founding ClearSky, Mr. Weiss was Vice President and Chief Investment Officer for NextEra Energy, where he co-headed the company's venture capital investment effort. In this role, Mr. Weiss shared responsibility for investment decisions and fund management for more than $10 billion of invested financial assets. Before joining NextEra Energy, Mr. Weiss was a Vice President at Morgan Stanley and a Managing Director at Smith Barney and Paine Webber. In these roles, he has over 20 years of experience working with private equity and venture capital funds. Mr. Weiss brings deep industry knowledge, having completed transactions across the investment life cycle in a range of industries, including extensive experience in investing, equity raising, high yield, mergers and acquisitions, leveraged recapitalizations, and restructurings. Mr. Weiss holds a B.A. in mathematics and economics from Boston University and an M.B.A. in finance from Columbia University. Mr. Weiss currently serves as a member of the board of directors of Altamira, ClimateTrade, Diamanti, EdgeQ, Fermata Energy, Fortress Information Security, Mainspring Energy, Mitiga Security and Ubicquia. Mr. Weiss also serves as a board observer of Human Security and is an advisory board member of Cresset Capital Management. Mr. Weiss was also formerly a member of the board of directors of CloudGenix (acquired by Palo Alto Networks), CyberGRX (acquired by ProcessUnity), Cylance (acquired by Blackberry), BHI Energy (acquired by Westinghouse), iControl (acquired by Alarm.com and Comcast), NEXTracker (acquired by Flextronics), Pike Group (acquired by Lindsay Goldberg), RedOwl (acquired by Forcepoint), Skout Cybersecurity (acquired by Barracuda Networks), Sentient Energy (acquired by Koch Engineered Solutions), Spruce Finance (acquired by HPS Investment Partners), Systems Control (acquired by Hubbell), T-Rex (acquired by Finsight), and Verengo (acquired by Crius). He was also formerly a board observer of Entic (acquired by Aquicore), and Silver Spring Networks (acquired by Itron).</t>
  </si>
  <si>
    <t>+1 (561) 720-1515</t>
  </si>
  <si>
    <t>alex.weiss@clear-sky.com</t>
  </si>
  <si>
    <t>525 Okeechobee Boulevard</t>
  </si>
  <si>
    <t>33401</t>
  </si>
  <si>
    <t>Co-Founder, Chief Executive Officer, Managing Partner &amp; Member of the Investment Committee</t>
  </si>
  <si>
    <t>357801-76P</t>
  </si>
  <si>
    <t>Anjali Nagaraja</t>
  </si>
  <si>
    <t>Anjali</t>
  </si>
  <si>
    <t>Nagaraja</t>
  </si>
  <si>
    <t>Ms. Anjali Nagaraja serves as an Analyst at ClearSky. Prior to joining ClearSky in 2023, She worked as a management consultant on mergers and acquisitions with PricewaterhouseCoopers. She holds a B.A. in business and economics from the University of California, Los Angeles.</t>
  </si>
  <si>
    <t>anjali.nagaraja@clear-sky.com</t>
  </si>
  <si>
    <t>126285-22P</t>
  </si>
  <si>
    <t>Austin Summers</t>
  </si>
  <si>
    <t>Summers</t>
  </si>
  <si>
    <t>Mr. Austin Summers serves as Senior Vice President at ClearSky. He served as an Analyst at SunTrust Robinson Humphrey in the M&amp;A Group. He served as a Board Member at Fortress Information Security. Previously, he served as an Analyst at Frisch Capital Partners. He serves as a board observer Authentic8. He served as a Board Observer at Blue Lava. He holds a B.A. in business administration, and finance from the University of Georgia.</t>
  </si>
  <si>
    <t>austin.summers@clear-sky.com</t>
  </si>
  <si>
    <t>13660-93P</t>
  </si>
  <si>
    <t>Erik Straser Ph.D</t>
  </si>
  <si>
    <t>Straser</t>
  </si>
  <si>
    <t>Dr. Erik Straser serves as Partner at ClearSky. He has 25 years of experience as an early-stage VC. Prior to joining ClearSky, he was a VC-in-residence at Current by General Electric and worked closely with the senior leadership and GE Ventures. An active seed investor, he is co-president of Stanford Angels and Entrepreneurs. He was also formerly a general partner at Mohr Davidow Ventures. He currently serves as a member of the board of directors of Diamanti and Renew Home (f.k.a. OhmConnect), in addition to currently serving as a board observer of Mainspring Energy and Ubicquia. He also a member of the advisory board of the Precourt Institute for Energy at Stanford University. He formerly served as a board member of Paradata Systems (acquired by Becton, Dickson &amp; Co.), Recurrent Energy (acquired by Sharp), and Sabrix (acquired by Thomson Reuters). He was also formerly a board observer of Preempt Security (acquired by CrowdStrike) and Space Time Insight (acquired by Nokia). He served as Board Member at KWantera. He holds a B.S. in engineering from Harvey Mudd College and an M.S. and a Ph.D. in engineering from Stanford University.</t>
  </si>
  <si>
    <t>erik.straser@clear-sky.com</t>
  </si>
  <si>
    <t>392641-48P</t>
  </si>
  <si>
    <t>Guy Nizan</t>
  </si>
  <si>
    <t>Nizan</t>
  </si>
  <si>
    <t>Mr. Guy Nizan serves as Venture Partner at ClearSky. Prior to joining ClearSky in 2023. He is a Co-Founder &amp; serves as Chief Executive Officer at Recapp. Co- Mr. Nizan was CEO and Co-Founder of IntSights, an external threat intelligence and protection platform (acquired by Rapid7). Before founding IntSights, he was the CEO and Co-Founder of Cyber-School. He is an active investor in technology and cybersecurity companies, serving also on numerous advisory boards. Mr. Nizan studied law and accounting at Tel Aviv University and was an officer and founding member of the cybersecurity unit of the IDF (Israel Defense Forces). Forbes Israel included</t>
  </si>
  <si>
    <t>guy.nizan@clear-sky.com</t>
  </si>
  <si>
    <t>Recapp (Movies, Music and Entertainment)</t>
  </si>
  <si>
    <t>86720-59P</t>
  </si>
  <si>
    <t>Haddon Bennett</t>
  </si>
  <si>
    <t>Haddon</t>
  </si>
  <si>
    <t>Mr. Haddon Bennett serves as Advisory Board Member at ClearSky. He served as the Chief Information Security Officer at Change Healthcare. Previously, he served as a VP, of Information Security at Equifax.</t>
  </si>
  <si>
    <t>haddon.bennett@clear-sky.com</t>
  </si>
  <si>
    <t>392644-00P</t>
  </si>
  <si>
    <t>Howard Shecter JD</t>
  </si>
  <si>
    <t>Shecter</t>
  </si>
  <si>
    <t>Mr. Howard Shecter serves as an Executive Partner at ClearSky. He was formerly the Managing Partner and Chairman of Morgan Lewis. He also serves as Chairman of the Board and the Audit Committee of Venerable Insurance &amp; Annuity Company. He previously served as Chairman of the Board of Harris Interactive (Nasdaq) and as a member of the Board and Board executive committee of Safeskin Corp. (Nasdaq). He is also a director and investor in several emerging growth technology companies. He graduated from Harvard University, cum laude, in government and the University of Pennsylvania Law School. He is a past President of the Harvard Club of Philadelphia and the University of Pennsylvania Law Alumni Society.</t>
  </si>
  <si>
    <t>howard.shecter@clear-sky.com</t>
  </si>
  <si>
    <t>Executive Partner</t>
  </si>
  <si>
    <t>223156-72P</t>
  </si>
  <si>
    <t>Jacqueline De Sanctis</t>
  </si>
  <si>
    <t>De Sanctis</t>
  </si>
  <si>
    <t>Ms. Jacqueline De Sanctis serves as Managing Director &amp; Head of Investor Relations at ClearSky. Ms. de Sanctis has recently rejoined in 2023 and had previously served in the same capacity in 2020. Ms. de Sanctis has previously served as Head of Institutional Business Development at Cliffwater, and as Managing Director at Neuberger Berman, where she spent 10 years working with investment consultants and institutional limited partners. Ms. de Sanctis also worked at Allianz Global Investors, Credit Suisse, and J.P. Morgan in similar roles and began her career at Callan Associates in Global Manager Research. Ms. de Sanctis holds an M.A. Honors in Classical Studies from the University of St. Andrews.</t>
  </si>
  <si>
    <t>jackie.desanctis@clear-sky.com</t>
  </si>
  <si>
    <t>Managing Director &amp; Head of Investor Relations</t>
  </si>
  <si>
    <t>43385-50P</t>
  </si>
  <si>
    <t>James Huff</t>
  </si>
  <si>
    <t>Huff</t>
  </si>
  <si>
    <t>Mr. James Huff is a Co-Founder and serves as Managing Partner at ClearSky. He served as a Board Member at Aquicore, Powerphase, Fortress Information Security, iS5 Communications, Novinium, and PrecisionHawk. He also currently serves as VP of Emerging Technologies at NextEra Energy. He is also one of the founding members of NextEra Energy's venture capital investment effort. In his role as VP of Emerging Technologies at NextEra Energy, he co-heads NextEra Energy's venture capital investment effort and is involved in the development of its business strategies. Before joining ClearSky and NextEra Energy, he had more than 20 years of financial experience, including structuring, due diligence, and execution of debt and equity transactions. He served in finance-related positions with Chicago Venture Partners and with Deloitte Financial Advisory Services. He holds a B.S. in finance from the University of Florida and an M.S. in quantitative finance from the Illinois Institute of Technology. He was also formerly a member of the board of directors of AutoGrid, Greensmith (acquired by Wartsila), Resilient (acquired by IBM), and Space-Time Insight (acquired by Nokia), in addition to formerly serving as a board observer of Aspen Aerogels (listed on the NYSE), Cylance (acquired by Blackberry), Enphase Energy (listed on Nasdaq), Entic (acquired by Aquicore), and Verodin.</t>
  </si>
  <si>
    <t>james.huff@clear-sky.com</t>
  </si>
  <si>
    <t>342287-38P</t>
  </si>
  <si>
    <t>Jim Goddard</t>
  </si>
  <si>
    <t>Goddard</t>
  </si>
  <si>
    <t>Mr. Jim Goddard serves as Senior Operating Executive &amp; Chief Information Security Officer at Hellman &amp; Friedman. Mr. Goddard serves as an Advisory Board Member at Glilot Capital Partners. He joined H&amp;F in 2021 and is focused on helping the firm drive value by improving the operational effectiveness of H&amp;F's portfolio companies and protecting the firm's data and technology assets. Prior to H&amp;F, he was the Chief Information Security Officer for both Kaiser Permanente and CommonSpirit Health. He also previously served in cybersecurity leadership roles at IBM, Hewlett-Packard and Foxcatch. He received a degree from the United States Military Academy at West Point and a Master's in Telecommunications from the University of Colorado at Boulder.</t>
  </si>
  <si>
    <t>+1 (415) 788-5111</t>
  </si>
  <si>
    <t>jgoddard@hf.com</t>
  </si>
  <si>
    <t>415 Mission Street</t>
  </si>
  <si>
    <t>Suite 5700</t>
  </si>
  <si>
    <t>+1 (415) 788-0176</t>
  </si>
  <si>
    <t>Senior Operating Executive &amp; Chief Information Security Officer</t>
  </si>
  <si>
    <t>Hellman &amp; Friedman</t>
  </si>
  <si>
    <t>208929-97P</t>
  </si>
  <si>
    <t>Kalpana Siva</t>
  </si>
  <si>
    <t>Kalpana</t>
  </si>
  <si>
    <t>Siva</t>
  </si>
  <si>
    <t>Ms. Kalpana Siva serves as a Senior Associate at ClearSky. She served as a Senior Associate at Northlane Capital Partners. She supports the portfolio management team and focuses on post-acquisition strategy, financial reporting, and operational support to the investment portfolio. She received a BS in Neuroscience and an MBA with concentrations in Finance and Healthcare from the College of William and Mary.</t>
  </si>
  <si>
    <t>kalpana.siva@clear-sky.com</t>
  </si>
  <si>
    <t>223155-64P</t>
  </si>
  <si>
    <t>Nick Buford JD</t>
  </si>
  <si>
    <t>Buford</t>
  </si>
  <si>
    <t>General Counsel &amp; Managing Director</t>
  </si>
  <si>
    <t>Mr. Nick Buford serves as Managing Director &amp; General Counsel at ClearSky. Mr. Buford is a capital markets and venture capital attorney with more than 18 years of transactional legal experience. Mr. Buford's responsibilities include the execution of investment transactions as well as fund formation, governance, and compliance matters. Before joining ClearSky in 2012, Mr. Buford was formerly a Senior Attorney for NextEra Energy, where he was the lead attorney responsible for NextEra's venture capital investment activities. Before joining NextEra Energy in 2007, Mr. Buford was a transactional attorney with international law firms Linklaters, Herbert Smith, and Hogan &amp; Hartson (now Hogan Lovells) in London, Singapore, and Miami. Mr. Buford holds a B.A. from Harvard University, magna cum laude, in government, and a J.D. from the University of California at Berkeley's School of Law.</t>
  </si>
  <si>
    <t>nick.buford@clear-sky.com</t>
  </si>
  <si>
    <t>Managing Director &amp; General Counsel</t>
  </si>
  <si>
    <t>75146-05P</t>
  </si>
  <si>
    <t>Robert Rauch</t>
  </si>
  <si>
    <t>Rauch</t>
  </si>
  <si>
    <t>Mr. Robert Rauch serves as a Partner at ClearSky. He also served as the Board Observer at T-REX. He has more than 17 years of engineering and business experience. Before joining ClearSky in 2012, he was a Manager of Finance for NextEra Energy. Before joining NextEra in 2009, he served as a contract lead materials engineer for the National Aeronautic and Space Administration's (NASA) Space Shuttle Program. He holds a B.S. from the University of Florida in chemical engineering and an M.B.A. from Duke University's Fuqua School of Business. He is also a Board Observer at Alion Energy, Pike, and Diamanti. He served as a Board Observer at Fermata Energy.</t>
  </si>
  <si>
    <t>robert.rauch@clear-sky.com</t>
  </si>
  <si>
    <t>83588-77P</t>
  </si>
  <si>
    <t>Sam Small Ph.D</t>
  </si>
  <si>
    <t>Chief Information Officer &amp; Operating Partner</t>
  </si>
  <si>
    <t>Dr. Sam Small serves as the Operating Partner &amp; Chief Information Security Officer at ClearSky. He Co-Founded Fast Orientation and served as its Chairman and Chief Executive Officer. He served as Chief Security Officer at ZeroFox. Previously, he served as a Spring 2014 Cohort at MACH37 Cyber Accelerator. He helps ZeroFOX's customers implement world-class social-media protection programs and supports ZeroFOX to continuously advance its role as the innovation leader of social-media and collaborative-technology security solutions. After earning his doctorate in computer science from Johns Hopkins University, he was a lecturer, led an academic security research lab, and launched two security-industry startups, including Fast Orientation where he most recently served as CEO and continues to maintain a non-operational role as Chairman. In addition to his technical and entrepreneurial pursuits, Dr. Small has provided expert technology and security assessments of dozens of organizations and vendor products and conducted due diligence assessments for more than a dozen software-industry investments, mergers, and acquisitions. He has also served as an expert witness in high-profile security, software, and network-related lawsuits. His work and research have been covered in publications including Wired, The New York Times, The Washington Post, New Scientist, CNET, ZDNet, and Slashdot.</t>
  </si>
  <si>
    <t>sam.small@clear-sky.com</t>
  </si>
  <si>
    <t>Operating Partner &amp; Chief Information Security Officer</t>
  </si>
  <si>
    <t>223158-25P</t>
  </si>
  <si>
    <t>Vincent Nicchi</t>
  </si>
  <si>
    <t>Nicchi</t>
  </si>
  <si>
    <t>Mr. Vincent Nicchi serves as Controller at ClearSky, supporting the Chief Financial Officer in all capacities. Before joining ClearSky, Mr. Nicchi was a Senior Accountant at LeverPoint Management, a PE/VC fund administration provider, where he was the point of contact for multiple client relationships and was responsible for the accounting of 14 venture capital funds. Mr. Nicchi began his career at MSPC, a New York City-based public accounting firm. Mr. Nicchi is a graduate of The Pennsylvania State University. He holds a B.S. in Accounting from the Smeal College of Business (2013) and a B.S. in Agribusiness Management from the College of Agricultural Sciences (2014). Additionally, he holds a minor in Information Systems Management.</t>
  </si>
  <si>
    <t>vince.nicchi@clear-sky.com</t>
  </si>
  <si>
    <t>446752-99P</t>
  </si>
  <si>
    <t>Haley Hughes</t>
  </si>
  <si>
    <t>Haley</t>
  </si>
  <si>
    <t>Climactic</t>
  </si>
  <si>
    <t>Ms. Haley Hughes serves as a Chief of Staff at Climactic. She is the Co-Founder of Ankyra. She serves as a Operator at Operator at ChargePoint, Miyoko's Creamery, LanzaTech, Mahina Mele Farms (World Wide Opportunities on Organic Farms), California Farmers Market Association. She holds a BS in Kinesiology and Health and an MS in Entrepreneurship &amp; Emerging Technology from Miami University.</t>
  </si>
  <si>
    <t>+1 (415) 295-2907</t>
  </si>
  <si>
    <t>haley@climactic.vc</t>
  </si>
  <si>
    <t>39047-95P</t>
  </si>
  <si>
    <t>Joshua Felser</t>
  </si>
  <si>
    <t>Felser</t>
  </si>
  <si>
    <t>Mr. Joshua Felser is a Co-Founder and serves as Managing Partner at Climactic. Mr. Felser was a Co-Founder and served as Board Partner at Freestyle Capital. He serves as Board Member at Arrive. He serves as Advisor at Seeds. He served as Advisor at Catalyst Investors and Seeds. He serves as Board Member at Camio and Meru Health. He served as Board Observer at ApplePie Capital. Previously he co-founded and served as Chief Executive Officer at Grouper, a company that uses P2P technology to allow users to share their personal media within private groups. He previously served as Vice President of America Online and as General Manager of AOL's music brands Spinner, Winamp, and Shoutcast. He was the co-founder of Spinner.com, a leading Internet music destination, and served as President until its May 1999 purchase by America Online. In July 1996 he founded Internet music startup, RadioCo (a division of Organic Online), which ultimately merged with DJ.com (renamed Spinner.com). Previously, he was a Director of Business and Product Development in the Multimedia Group of U.S. West; an executive with News Corp., and a Manager, of Business Development for News Corp.'s Fox Inc. in Los Angeles. He was also the Co-Founder of FYI Living and served as Chairman of the company. He serves as Board Member at Superside.</t>
  </si>
  <si>
    <t>josh@climactic.vc</t>
  </si>
  <si>
    <t>313679-08P</t>
  </si>
  <si>
    <t>Peter Sun</t>
  </si>
  <si>
    <t>Mr. Peter Sun serves as the Founding Principal at Climactic. He first discovered his passion for business and impact by designing social enterprise programs back home in Melbourne, Australia. He co-founded Duke University's student-run impact investing fund, where sustainable startups were a focus. Before joining Climactic, he was a management consultant at Bain &amp; Company, advising some of the largest global growth and private equity funds on opportunities from SaaS to EV battery materials. He also served on the New York Office's Green Team and BGLAD, Bain's LGBT network. He graduated with a B.S. in Financial Economics from Duke University, with a distinction in Art History focusing on architecture.</t>
  </si>
  <si>
    <t>+1 (415) 320-7701</t>
  </si>
  <si>
    <t>peter@climactic.vc</t>
  </si>
  <si>
    <t>Founding Principal</t>
  </si>
  <si>
    <t>13600-90P</t>
  </si>
  <si>
    <t>Rajil Kapoor</t>
  </si>
  <si>
    <t>Rajil</t>
  </si>
  <si>
    <t>Mr. Rajil Kapoor is the Co-Founder and serves as Managing Partner at Climactic. He serves as Advisor at Orange. He serves as Board Member at Populus and Enara Health. He served as Strategic Advisor at Lyft. He served as Chief Strategy Officer and Head of Autonomous Business at Lyft. He serves as Advisor at Kea. He is also the Head of Business for Lyft's self-driving division. He is the co-founder and CEO of Mayfield portfolio company fitmob, a mobile company that is re-inventing the gym through social/local workouts. He also served as a board advisor at ClassPass. He served as Venture Advisor to Mayfield Fund. He has been working on the internet/mobile/interactive space for 21 years. He started in interactive TV at Bell Atlantic, founded the internet club at Harvard Business School, was an early employee at @Home, and later ran e-commerce services at Excite@Home. He co-founded Snapfish in 1999 as CEO and then sold the company to Hewlett Packard for $300 million. His next venture took him to Mayfield, where he invested in 12 companies including Lyft, Qunar, Red Beacon/Home Depot, and Rubicon Project.</t>
  </si>
  <si>
    <t>raj@climactic.vc</t>
  </si>
  <si>
    <t>341022-43P</t>
  </si>
  <si>
    <t>Van Jones</t>
  </si>
  <si>
    <t>Van</t>
  </si>
  <si>
    <t>Mr. Van Jones is a Co-Founder &amp; serves as a President at Rapport. He serves as Special Advisor at Climactic.</t>
  </si>
  <si>
    <t>10069 Dragonfly Wing Street</t>
  </si>
  <si>
    <t>89183</t>
  </si>
  <si>
    <t>Rapport</t>
  </si>
  <si>
    <t>383776-12P</t>
  </si>
  <si>
    <t>Alexandra Stieglitz</t>
  </si>
  <si>
    <t>Stieglitz</t>
  </si>
  <si>
    <t>Climate Capital</t>
  </si>
  <si>
    <t>Ms. Alexandra Stieglitz serves as a Syndicate Partner at Climate Capital. She is an experienced entrepreneur and operator. In addition to her work with Climate Capital, She is an Operating Partner with the Drawdown Fund and a mentor with the Breakthrough Energy Fellows Program and Creative Destruction Labs. As co-founder/CEO of Pluma, an HR software platform, She bootstrapped the company to exit with an ROI of 66X. Before Pluma, She worked in the climate solutions and biotech space. She has an undergraduate degree in Public Policy with a minor in Environmental Studies from Princeton University and an MBA from Harvard Business School.</t>
  </si>
  <si>
    <t>+1 (571) 730-9882</t>
  </si>
  <si>
    <t>astieglitz@climatecapital.co</t>
  </si>
  <si>
    <t>94016</t>
  </si>
  <si>
    <t>Syndicate Partner</t>
  </si>
  <si>
    <t>210963-43P</t>
  </si>
  <si>
    <t>Beckwith Kloss</t>
  </si>
  <si>
    <t>Beckwith</t>
  </si>
  <si>
    <t>Kloss</t>
  </si>
  <si>
    <t>Mr. Beckwith Kloss serves as Chief Product Officer at Scribd. Mr. Kloss served as Vice President, Products at Spotify. He serves as Partner at Climate Capital. He is currently a Partner at Climate Capital Growth where he invests in Clean Tech start-ups.</t>
  </si>
  <si>
    <t>+1 (312) 482-9222</t>
  </si>
  <si>
    <t>460 Bryant Street</t>
  </si>
  <si>
    <t>94107-2594</t>
  </si>
  <si>
    <t>Chief Product &amp; Technology Officer</t>
  </si>
  <si>
    <t>Scribd</t>
  </si>
  <si>
    <t>329601-07P</t>
  </si>
  <si>
    <t>David Lacklen</t>
  </si>
  <si>
    <t>Lacklen</t>
  </si>
  <si>
    <t>Mr. David Lacklen is a Founding Partner &amp; serves as a General Partner at Seed9. Mr. Lacklen serves as a Partner at Climate Capital. He is a Co-Founder and serves as General Partner at Seed9. He is a commercialization expert, brand marketing strategist, and experienced product manager. In 2020, he founded Seed9, where he is currently a General Partner focused on emerging market startups. He is also an active mentor working with early-stage founders participating in accelerator programs run by Techstars, Google and Johns Hopkins.</t>
  </si>
  <si>
    <t>david@seed9.io</t>
  </si>
  <si>
    <t>Founding Partner &amp; General Partner</t>
  </si>
  <si>
    <t>Seed9</t>
  </si>
  <si>
    <t>289036-81P</t>
  </si>
  <si>
    <t>Ian Campbell</t>
  </si>
  <si>
    <t>Mr. Ian Campbell serves as an Senior Associate at Climate Capital. He served as a Senior Investment Analyst at Massachusetts Clean Energy Center. Before joining Climate Capital, he helped set up the 2030 Fund at the Massachusetts Clean Energy Center, supporting MA-based deep tech climate startups. Before that, He worked on the Systems Innovation team at Indigo Ag, developing business units around agricultural soil carbon sequestration. Coalescing his work as an early-stage operator and investor, he joined Climate Capital in 2023 to scale fund operations and investment activity.</t>
  </si>
  <si>
    <t>icampbell@climatecapital.co</t>
  </si>
  <si>
    <t>311504-23P</t>
  </si>
  <si>
    <t>Jennifer Kan Ph.D</t>
  </si>
  <si>
    <t>Kan</t>
  </si>
  <si>
    <t>Dr. Jennifer Kan is a Co-Founder &amp; serves as Partner at Juniper. She serves as Managing Partner at Climate Capital. She is the Founding Partner of Climate Capital Frontier and leads technical due diligence. She holds a Ph.D. from Cambridge in Chemistry. She was the lead protein engineer in the lab of Frances H. Arnold (2018 Nobel Laureate in Chemistry) at CalTech and worked with startups and Fortune 500 companies such as Dow Chemicals, L'Oreal, and Merck to use biology to solve problems and launch products.</t>
  </si>
  <si>
    <t>Juniper (San Francisco)</t>
  </si>
  <si>
    <t>428889-79P</t>
  </si>
  <si>
    <t>Katie Durham</t>
  </si>
  <si>
    <t>Durham</t>
  </si>
  <si>
    <t>Ms. Katie Durham serves as Partner at Climate Capital. She spent the first decade of her career helping climate startups go to market and scale. She led communications at Mosaic, now one of largest financiers of home solar, and was the first employee and head of marketing at Google X spinout, Dandelion. She is an MBA Candidate at Columbia Business School, where she received the Feldberg Fellowship, a full-tuition merit scholarship. She received her B.A. from Vanderbilt University, where she also received a full-tuition merit scholarship as an Ingram Scholar.</t>
  </si>
  <si>
    <t>katie@climatecapital.co</t>
  </si>
  <si>
    <t>428894-92P</t>
  </si>
  <si>
    <t>Kirthika Padmanabhan</t>
  </si>
  <si>
    <t>Kirthika</t>
  </si>
  <si>
    <t>Padmanabhan</t>
  </si>
  <si>
    <t>Ms. Kirthika Padmanabhan serves as Principal at Climate Capital. She is also currently an Entrepreneur-in-residence at The Nature Conservancy scaling an ocean conservation program. Prior to this she worked at X, The moonshot factory (prev. called GoogleX) where she helped scale climate technologies and programs in the ocean and circular economy spaces to bring solutions to the climate crisis. Prior to X, she worked a decade at Google (Asia, Europe and US) with multiple business functions (Strategy, Operations, Analytics, Finance, Program Management etc) in Google Ads, Youtube etc. She started her career as a software engineer at a hedge fund. She holds an undergraduate degree in Electrical Engineering and graduate degree in Management Information Systems with a focus on Finance.</t>
  </si>
  <si>
    <t>kirthika@climatecapital.co</t>
  </si>
  <si>
    <t>158563-00P</t>
  </si>
  <si>
    <t>Micah Kotch</t>
  </si>
  <si>
    <t>Kotch</t>
  </si>
  <si>
    <t>Mr. Micah Kotch served as a Managing Director at Urban-X. He is also a Co-Founding Partner at Climate Capital. He serves as Board Member at Electric Era and ThinkLabs AI. He served as Advisor at Buildstream. and he serves as a Partner at Blackhorn Ventures. He came to URBAN-X from NYSERDA, where he served as the Director of NY Prize and Strategic Advisor for Innovation, and spent 5 years as Director of Innovation and Entrepreneurship at the NYU Tandon School of Engineering where he launched NYC's first sponsored tech incubator. He has direct experience with utilities, government agencies, Fortune 500 companies, educational institutions, and early-stage companies. He is interested in startups that embrace change as well as regulators and innovative large companies working on solutions for climate and energy issues. He serves as Board Observer at Railvision Analytics.</t>
  </si>
  <si>
    <t>206654-59P</t>
  </si>
  <si>
    <t>Michael Luciani</t>
  </si>
  <si>
    <t>Luciani</t>
  </si>
  <si>
    <t>Mr. Michael Luciani is a Co-Founder &amp; serves as a Managing Partner at Climate Capital. Mr. Luciani is a Co-Founder and Partner at Juniper. He serves as an Executive at District Angels. He served as a Venture Partner at NextGen Venture Partners. He served as a Venture Partner at Social Impact Capital. He served as the Senior Vice President &amp; Chief Sales and Marketing Officer at Heery International. He is an Angel Investor. He is also a founding member of On Deck Climate Tech and Terra Do's Climate for Venture Investors program. He also mentors hard science climate-tech startups via the Maryland Energy Innovation Accelerator and biotech startups via Indie Bio. Previously, the founder and CEO of The Tuesday Company, which was acquired by Helm (led by Emma Bloomberg). Tuesday pioneered the field of 'relational organizing,' creating two consumer-facing products with over 1M users. Before Tuesday, he worked on Hillary Clinton's presidential campaign and in the Obama White House. After the acquisition of The Tuesday Company, he was able to combine his experience as a founder with his passion for frontier tech and climate to help early-stage founders succeed. He holds a BA (Bachelor of Arts) in Political Science from Williams College.</t>
  </si>
  <si>
    <t>michael@climatecap.co</t>
  </si>
  <si>
    <t>66659-59P</t>
  </si>
  <si>
    <t>Nishant Mani</t>
  </si>
  <si>
    <t>Nishant</t>
  </si>
  <si>
    <t>Mr. Nishant Mani serves as Chief Business Officer at Terra.do. He also serves as Partner at Climate Capital. He also served as Vice President of Partnerships and Marketing at Dashlane. He joined Dashlane to bring our magic to everyone on the Internet, and make us some money along the way. Before Dashlane, he built, scaled, and managed large marketing, customer acquisition and customer retention programs, both at startups and Fortune 500 companies. Most recently, he was Chief Marketing Officer at Yext, creating their targeted customer acquisition engine as well as building the brand for their new flagship local search product for businesses. Prior to that, he ran Capital One Card's outbound marketing across all online channels. He studied at IIT Bombay before earning his MBA at NYU Stern.</t>
  </si>
  <si>
    <t>+1 (650) 537-9690</t>
  </si>
  <si>
    <t>nishant.mani@terra.do</t>
  </si>
  <si>
    <t>56 Dudley Lane</t>
  </si>
  <si>
    <t>Apartment 106</t>
  </si>
  <si>
    <t>94305</t>
  </si>
  <si>
    <t>Terra.do</t>
  </si>
  <si>
    <t>311508-28P</t>
  </si>
  <si>
    <t>Sam Runkle</t>
  </si>
  <si>
    <t>Runkle</t>
  </si>
  <si>
    <t>Mr. Sam Runkle serves as an Investor at Climate Capital. He focuses on energy and decarbonization in the built environment. Alongside his investment role, He is an operator at Lumen Energy where he leads new initiatives including product and enterprise partnerships. Previously, He was an On Deck Climate Tech fellow, a venture fellow at Alumni Ventures, and a go-to-market leader at both Payload (enterprise SaaS) and Zeus (prop-tech marketplace), where he initiated corporate climate programs.</t>
  </si>
  <si>
    <t>srunkle@climatecapital.co</t>
  </si>
  <si>
    <t>310454-92P</t>
  </si>
  <si>
    <t>Schaffer Ochstein</t>
  </si>
  <si>
    <t>Ochstein</t>
  </si>
  <si>
    <t>Mr. Schaffer Ochstein is an Investor of Climate Capital. Mr. Ochstein is an Angel Investor. Mr. Ochstein is an Investor at Climate Capital. He sources deals and conducts diligence on startups, including market research, product roadmaps, investment risks, and the use of funds. He hosts the MCJ idea jams to support early-stage companies, where entrepreneurs obtain live feedback on their climate ideas/businesses. He built his portfolio of climate tech companies and has joined many great climate-focused communities, such as Climatebase, OPF, MCJ to learn from experts in the space. Mr. Ochstein previous work at Capital One and Deloitte centered around understanding where the world is going in fintech and mobility. Now he is taking what he learned at these companies and applying it to climate tech.</t>
  </si>
  <si>
    <t>44898-67P</t>
  </si>
  <si>
    <t>Sundeep Ahuja</t>
  </si>
  <si>
    <t>Sundeep</t>
  </si>
  <si>
    <t>Mr. Sundeep Ahuja is a Co-Founder and serves as General Partner at Climate Capital. He serves as a Partner at Decentralized VC. He began working in climate in 2010 when he founded blissmo to introduce shoppers to sustainable products (acq by Garten). In 2014 he co-founded Silicon Climate, a non-profit climate accelerator. He serves as a Venture Partner at Earthshot Ventures. He was also the Founder and served as General Partner (Fund) and Syndicate Lead (AngelList) at Duro Ventures. He Co-founded Bliss Mo. Previously, he co-founded Rich Relevance, a venture-backed startup that powers product recommendations for enterprise-class eCommerce sites, including Sears.com and Burton.com. Prior to rich relevance, he was a Product Manager at My Space. Before that, he was a Product Manager on eBay's Buyer Activity team.</t>
  </si>
  <si>
    <t>sundeep@climatecapital.co</t>
  </si>
  <si>
    <t>278669-26P</t>
  </si>
  <si>
    <t>Pratap Raju</t>
  </si>
  <si>
    <t>Pratap</t>
  </si>
  <si>
    <t>Raju</t>
  </si>
  <si>
    <t>Climate Collective</t>
  </si>
  <si>
    <t>Mr. Pratap Raju is the Founder and serves as Partner at Climate Collective. Mr. Raju is a Founding Partner - Climate Collective and serves as Country Head, India at New Energy Nexus.</t>
  </si>
  <si>
    <t>pratap@climatecollective.net</t>
  </si>
  <si>
    <t>Visakhapatnam</t>
  </si>
  <si>
    <t>Visakhapatnam, India</t>
  </si>
  <si>
    <t>H.No.7-5-75/1, Pavan Sagar Apartments, Near Panduranga Temple</t>
  </si>
  <si>
    <t>Pandurangapuram</t>
  </si>
  <si>
    <t>Andhra Pradesh</t>
  </si>
  <si>
    <t>530003</t>
  </si>
  <si>
    <t>434349-46P</t>
  </si>
  <si>
    <t>Adam Fell</t>
  </si>
  <si>
    <t>Fell</t>
  </si>
  <si>
    <t>Climate Innovation Capital</t>
  </si>
  <si>
    <t>Mr. Adam Fell serves as an Analyst at Climate Innovation Capital. He joined ClimateIC in 2023. He graduated from Queen's University with a degree in Applied Science &amp; Engineering, specializing in the dually accredited Engineering Chemistry program. He has a strong foundation in chemical diagnostics, alternative energy, and process synthesis. His published work focuses on designing improved materials for the electrochemical conversion of carbon dioxide into commonly used industrial chemicals and fuels.</t>
  </si>
  <si>
    <t>59 Hayden Street</t>
  </si>
  <si>
    <t>M4Y 0E7</t>
  </si>
  <si>
    <t>255803-14P</t>
  </si>
  <si>
    <t>Ariel Sharir</t>
  </si>
  <si>
    <t>Sharir</t>
  </si>
  <si>
    <t>Mr. Ariel Sharir serves as a Senior Analyst at Climate Innovation Capital. He served as an Impact Investing Analyst at The Atmospheric Fund. He served as Fund Manager at the London Social Value Fund. He is focused on furthering TAF's objective of deploying capital to help advance systemic carbon reduction solutions. He provides the impact investing team with support at all stages of the investment process and looks to build on past impact investing internship experiences at Active Impact Investments, Rally Assets, and the London Social Value Fund. He holds an Honour's Business Administration degree with a certificate in Sustainability from the University of Western Ontario.</t>
  </si>
  <si>
    <t>ariel.sharir@climateinnovationcapital.com</t>
  </si>
  <si>
    <t>329024-26P</t>
  </si>
  <si>
    <t>Gil Eiges</t>
  </si>
  <si>
    <t>Gil</t>
  </si>
  <si>
    <t>Eiges</t>
  </si>
  <si>
    <t>Mr. Gil Eiges is the Founder and serves as Chief Executive Officer &amp; Managing Partner at Canico Ventures. He serves as a Board Member at Groundwork BioAg. He served as an Advisor at Reveal. He serves as Executive at Climate Innovation Capital.</t>
  </si>
  <si>
    <t>gil@canico.ca</t>
  </si>
  <si>
    <t>2191 Yonge Street</t>
  </si>
  <si>
    <t>Canico Ventures</t>
  </si>
  <si>
    <t>30319-21P</t>
  </si>
  <si>
    <t>Kevin Kimsa</t>
  </si>
  <si>
    <t>Kimsa</t>
  </si>
  <si>
    <t>Mr. Kevin Kimsa is a Co-Founder &amp; serves as General Partner &amp; Managing Partner at ScaleUP Ventures. He also served as a Board Observer at Splash. He served as Managing Director at OMERS Ventures. He serves as a Board Member at Neuranet and Cinchy. He served as an advisor at Naborly. He is a co-founder and managing partner at Climate Innovation Capital. He is one of Canada's most successful business builders. The Founder, President, and COO of Solect Technology Group, an ISP Billing and Customer Care company, Solect remains the largest software company sale in Canadian history, at $1.6 billion, to Amdocs Inc. Under Mr. Kimsa's leadership, Solect expanded to 450 people, achieved an ARR of $50 Million, and operated in five countries with over 75 major carrier clients. He also launched broadband services company Casero Software Inc., and live-event ticketing services company AudienceView Ticketing Inc. Casero was eventually acquired by Radial Point in 2009 while AudienceView Ticketing was acquired by Rubicon PE in 2016, where he remains an investor and board member. From 2013 through 2015, Mr. Kimsa was one of three Managing Directors at Omers Ventures, with notable portfolio companies, Vision Critical (Chairperson), Vidyard, Shopify, HootSuite, Desire to Learn and Wave Accounting. In April of 2003, the Globe &amp; Mail named Mr. Kimsa a Top 40 Under 40 in its Report on Business Magazine and in 2006, Mr. Kimsa was awarded the designation of Top 10 of the 400 award winners of the decade. He is a graduate of the University of Waterloo (1988) with a Bachelor's degree in Mathematics, majoring in Computer Science and Statistics, and has spent over 30 years working in the Technology industry, with a focus on the creation and operational management of new ventures.</t>
  </si>
  <si>
    <t>kevin@suv.vc</t>
  </si>
  <si>
    <t>114-250 The Esplanade</t>
  </si>
  <si>
    <t>Berkeley Castle</t>
  </si>
  <si>
    <t>M5A 1J2</t>
  </si>
  <si>
    <t>Co-Founder, General Partner &amp; Managing Partner</t>
  </si>
  <si>
    <t>ScaleUP Ventures</t>
  </si>
  <si>
    <t>288384-04P</t>
  </si>
  <si>
    <t>Lilliana Paoletti</t>
  </si>
  <si>
    <t>Lilliana</t>
  </si>
  <si>
    <t>Paoletti</t>
  </si>
  <si>
    <t>Ms. Lilliana Paoletti serves as an Senior Associate at Climate Innovation Capital. She previously worked in the Private Equity and Financial Sponsor Coverage group of the Bank of Montreal (BMO) and has a background in mining finance. Prior to her role at BMO, she worked in equity research and corporate banking at Dundee Capital Markets and at Societe Generale, respectively. She has a Bachelor of Science in Geology and an MBA from Schulich.</t>
  </si>
  <si>
    <t>lilliana.paoletti@climateinnovationcapital.com</t>
  </si>
  <si>
    <t>262451-08P</t>
  </si>
  <si>
    <t>Nelson Switzer</t>
  </si>
  <si>
    <t>Switzer</t>
  </si>
  <si>
    <t>Mr. Nelson Switzer serves as Co-Founder and Managing Partner at Climate Innovation Capital. He serves as Board Member at Weath8 and at Groundwork BioAg. He served as a Board Member at Manifest Climate. He began his career as an environmental engineer pioneering environmental credit risk valuation methodologies for asset managers in Canada, the US, and the EU. His innovations led him to hold positions at leading organizations including as Chief Sustainability Officer and Sustainability Leader, at Nestlé Waters and Nestlé; Director &amp; Leader of Sustainable Business Solutions at PwC; Head of Corporate Responsibility, Centrica plc NA; and Senior Manager of Environmental Affairs, Royal Bank of Canada. He has also held adjunct positions and executive-in-residence status at leading universities including the University of Waterloo and the Ivey School of Business. A sustainability expert in issues including climate change, water, and pollution, He is an architect of the restoration economy principle, which holds that we must restore the Earth's environmental capital in order to ensure a future of abundant natural resources, social equity, and economic prosperity - to sustain humankind's compulsion to grow and prosper. He has advised asset owners and managers of public and private equity and debt for nearly 15 years, helping them integrate environmental, social, and governance (ESG) factors into investment decision-making helping to drive enhanced returns while preserving and creating environmental and social value. He holds a Master of Environmental Engineering from the University of Toronto, and a Bachelor of Science from the University of New Brunswick.</t>
  </si>
  <si>
    <t>nelson.switzer@climateinnovationcapital.com</t>
  </si>
  <si>
    <t>157500-37P</t>
  </si>
  <si>
    <t>Paul Atkinson</t>
  </si>
  <si>
    <t>Mr. Paul Atkinson is a Co-Founder and serves as Managing Partner at Climate Innovation Capital. Mr. Atkinson serves as a Managing Partner and Board Member at CleanFiber. He is one of Canada's most successful technology entrepreneurs. An experienced founder, investor, and operator, his foresight and commitment to innovation led him to co-found Solect Technology Group (Solect), a leading provider of enterprise billing and customer care for ISPs globally. He was Solect's Chair and CEO led the expansion of Solect to customers on five continents and was responsible for bringing the internet to nine different Caribbean countries. Select was sold to Amdocs in 2000. As an entrepreneur, he has founded and served as CEO of several companies including Casero, AudienceView Ticketing, Solect Technology Group, and Southwest Technology Group. Until February of last year, he was Executive Chair of Scalar Decisions, one of Canada's leading Information Technology Integrators. Scalar was sold to CDW Inc. a global leader in IT Solutions. He also serves as the Chair of the Investment Advisory Committee Imperial Capital, a Canadian Private Equity Firm with over $2 Billion in Assets Under Management. He is a Managing Partner of Southwest Sun Inc., a diversified investment partnership with interests in the technology, food and beverage, automotive, and real estate industries. He is a founder of Southwest Sun and has been a Managing Partner since 1990. As part of his role at Southwest Sun, he is a founder and Managing Partner of Equals Brewing, an integrated contract manufacturer that provides supply chain solutions to the Ontario Craft Beer industry. He was Chair of the Board of the Toronto International Film Festival from 2007 to 2013. He sits on the Advisory Board of the Richard Ivey School of Business Administration at The University of Western Ontario. From 2003 until 2007 he was Vice-Chair of the Board of ClubLink Corporation. He has also served on the boards of Montcrest School, Variety Village, and the Toronto Downtown Jazz Festival.</t>
  </si>
  <si>
    <t>paul.atkinson@climateinnovationcapital.com</t>
  </si>
  <si>
    <t>288385-12P</t>
  </si>
  <si>
    <t>Zoe Best</t>
  </si>
  <si>
    <t>Best</t>
  </si>
  <si>
    <t>Ms. Zoe Best serves as a Senior Associate at Climate Innovation Capital. She began her career with Mackenzie Investments' business management rotational program in 2016. She then joined the Mackenzie Investments Product Equities team, covering three active equity boutiques. Previously, she interned at Echelon Wealth Partners in their equity research, institutional sales and trading, and retail brokerage divisions. She has a Bachelor of Commerce degree from Queen's University and is a CFA charter holder.</t>
  </si>
  <si>
    <t>zoe.best@climateinnovationcapital.com</t>
  </si>
  <si>
    <t>397068-67P</t>
  </si>
  <si>
    <t>Amy Holland</t>
  </si>
  <si>
    <t>Holland</t>
  </si>
  <si>
    <t>Coatue Management</t>
  </si>
  <si>
    <t>Assistant &amp; Executive</t>
  </si>
  <si>
    <t>Ms. Amy Holland serves as Operations Lead at Coatue Management. She has a background in marketing and communication within the financial industry. Prior to their role at Coatue, She held various marketing and events executive positions at BNY Mellon. She graduated with a BA in Arts Management from Arts University Bournemouth in 2016.</t>
  </si>
  <si>
    <t>+1 (212) 715-5100</t>
  </si>
  <si>
    <t>aholland@coatue.com</t>
  </si>
  <si>
    <t>9 West 57th Street</t>
  </si>
  <si>
    <t>+1 (212) 371-1297</t>
  </si>
  <si>
    <t>Operations Lead &amp; Assistant to Head of Europe</t>
  </si>
  <si>
    <t>286484-41P</t>
  </si>
  <si>
    <t>Andy Chen</t>
  </si>
  <si>
    <t>Mr. Andy Chen serves as General Partner at Coatue Management. He serves as Board Member at Verse. He served as Partner at Kleiner Perkins.</t>
  </si>
  <si>
    <t>achen@coatue.com</t>
  </si>
  <si>
    <t>47015-47P</t>
  </si>
  <si>
    <t>Ben Conte</t>
  </si>
  <si>
    <t>Conte</t>
  </si>
  <si>
    <t>Mr. Ben Conte serves as Head Trader at Coatue Management.</t>
  </si>
  <si>
    <t>bconte@coatue.com</t>
  </si>
  <si>
    <t>61262-11P</t>
  </si>
  <si>
    <t>Caryn Marooney</t>
  </si>
  <si>
    <t>Caryn</t>
  </si>
  <si>
    <t>Marooney</t>
  </si>
  <si>
    <t>Ms. Caryn Marooney serves as a Board Member at Elastic. She serves as General Partner at Coatue Management. She serves as a Board Member at Supabase. She served as a Board Member at Zendesk. She serves as a Board Member at Orbit, Grid.ai, and Starburst Data. She also serves as a Board Member at Commerce Layer. She served in various roles at Facebook, Inc., a social networking service, most recently serving as the company's Vice President, Global Communications since March 2012, and previously served as the company's Director of Technology Communications from May 2011 to March 2012. From June 1997 to March 2011, She served in various roles, including President and Chief Executive Officer, of The OutCast Agency, a public relations firm. She currently serves as a director of Zendesk, Inc., a software services company. She holds a B.S. in labor relations from Cornell University.</t>
  </si>
  <si>
    <t>+1 (202) 759-9647</t>
  </si>
  <si>
    <t>cmarooney@coatue.com</t>
  </si>
  <si>
    <t>88 Kearny Street</t>
  </si>
  <si>
    <t>Floor 19</t>
  </si>
  <si>
    <t>Elastic (Database Software)</t>
  </si>
  <si>
    <t>15579-55P</t>
  </si>
  <si>
    <t>Colin Bryant</t>
  </si>
  <si>
    <t>Bryant</t>
  </si>
  <si>
    <t>Chief Operating Officer &amp; General Partner</t>
  </si>
  <si>
    <t>Mr. Colin Bryant serves as a General Partner, Head of Portfolio Management &amp; Chief Operating Officer (Private Investments) at Coatue Management. He alse serves as Boartd Member at Sierra Space. He served as a Board Member at Metromile. He served as a Partner at New Enterprise Associates. He served as a Board Member at NewGlobe Schools. He serves as Board Member at Vedantu and BharatPe. He serves as a Board Member at Transfix &amp; Stability AI. He serves as a Partner at New Enterprise Associates. He serves as a Board Member at Bridge International Academies, Metromile, and Alien Technology. He also served as a Board Member at Logikcull. Not only that, but he serves as a Board Member at Splashtop. Furthermore, he served as a Board Member of Benefit. He serves as a Board Member at Metromile. Furthermore, he served as the Board Member at Likelihood. He joined the firm in 2014 as an Operating Partner and is focused on working with NEA's portfolio companies. Likewise, he served as a Board Member at Imergy Power Systems. He received his B.A. degree in philosophy from Haverford College.</t>
  </si>
  <si>
    <t>Post office Box 78105</t>
  </si>
  <si>
    <t>Tulip House, Mombasa Road</t>
  </si>
  <si>
    <t>00507</t>
  </si>
  <si>
    <t>Bridge (Educational and Training Services)</t>
  </si>
  <si>
    <t>42248-62P</t>
  </si>
  <si>
    <t>David Schneider</t>
  </si>
  <si>
    <t>Mr. David Schneider serves as General Partner at Coatue Management. Mr. Schneider serves as a Board Member &amp; Member of the Nominating &amp; Corporate Governance Committee at Zscaler. He serves as a Board Member at Coatue Management. He served as a Board Member at Coursedog. He serves as a Board Member at Abnormal. He serves as a Board Member at Panther Labs. He serves as Board Observer at Tackle.io He has served as president, and emeritus of ServiceNow, Inc., a cloud computing company, since July 2020. He also serves as a Board Member at Grafana Labs. He previously served as ServiceNow's president, of global customer operations from January 2019 to July 2020, as chief revenue officer from June 2014 to January 2019, and as senior vice president of worldwide sales and services from June 2011 to May 2014. From July 2009 to March 2011, He served as senior vice president of worldwide sales of the backup recovery systems division of EMC Corporation, a computer storage company acquired by Dell Technologies Inc. From January 2004 to July 2009, he held senior positions at Data Domain, Inc., a data archiving and deduplication company acquired by EMC, most recently as Senior Vice President of Worldwide Sales. He holds a B.A. in political science from the University of California, Irvine. He is also an Angel Investor.</t>
  </si>
  <si>
    <t>+1 (360) 379-8752</t>
  </si>
  <si>
    <t>dschneider@coatue.com</t>
  </si>
  <si>
    <t>120 Holger Way</t>
  </si>
  <si>
    <t>95134</t>
  </si>
  <si>
    <t>Zscaler</t>
  </si>
  <si>
    <t>397173-52P</t>
  </si>
  <si>
    <t>Enno von Marcard</t>
  </si>
  <si>
    <t>Enno</t>
  </si>
  <si>
    <t>von Marcard</t>
  </si>
  <si>
    <t>Mr. Enno von Marcard serves as the Head of European Business Development at Coatue Management.</t>
  </si>
  <si>
    <t>emarcard@coatue.com</t>
  </si>
  <si>
    <t>Head of European Business Development</t>
  </si>
  <si>
    <t>211475-89P</t>
  </si>
  <si>
    <t>Jade Lai</t>
  </si>
  <si>
    <t>Lai</t>
  </si>
  <si>
    <t>Ms. Jade Lai serves as Partner at Coatue Management. She served as Partner at Andreessen Horowitz. Prior to Andreessen Horowitz, she was an investor and first hire at Playground Global, an early stage venture fund and engineering studio focused on investing in deep tech and enterprise software investments. She helped build out the investment practice from sourcing, diligence, and deal execution to portfolio management and led investments in Relativity Space, Virta Health, RapidSOS, Nervana Systems (acquired by Intel), and more.</t>
  </si>
  <si>
    <t>+1 (650) 427-0000</t>
  </si>
  <si>
    <t>jlai@coatue.com</t>
  </si>
  <si>
    <t>221951-17P</t>
  </si>
  <si>
    <t>Jaimin Rangwalla</t>
  </si>
  <si>
    <t>Jaimin</t>
  </si>
  <si>
    <t>Rangwalla</t>
  </si>
  <si>
    <t>Mr. Jaimin Rangwalla serves as Senior Managing Director at Coatue Management. He also serves as Board Member at Dcbel and WeaveGrid. He serves as Board Member at Sierra Space.</t>
  </si>
  <si>
    <t>jrangwalla@coatue.com</t>
  </si>
  <si>
    <t>184807-72P</t>
  </si>
  <si>
    <t>James Brown</t>
  </si>
  <si>
    <t>Mr. James Keith Brown serves as Senior Managing Director at Coatue Management.</t>
  </si>
  <si>
    <t>jkbrown@coatue.com</t>
  </si>
  <si>
    <t>284828-59P</t>
  </si>
  <si>
    <t>Jules Qiu</t>
  </si>
  <si>
    <t>Jules</t>
  </si>
  <si>
    <t>Qiu</t>
  </si>
  <si>
    <t>Ms. Jules Qiu serves as Vice President at Coatue Management. She served as an Investment Professional at Permira. She focused on Permira's Growth Opportunities strategy (PGO). She also covered investment opportunities in the Technology sector. Before joining Permira, she worked for Boston Consulting Group, where she focused on sponsor due diligence, tech strategy, and sustainable finance. She holds a joint degree in History and Mathematics from Harvard University, USA.</t>
  </si>
  <si>
    <t>jqiu@coatue.com</t>
  </si>
  <si>
    <t>40425-94P</t>
  </si>
  <si>
    <t>Kai Jiang</t>
  </si>
  <si>
    <t>Mr. Kai Jiang serves as the Senior Managing Director of Asia tech &amp; Consumer at Coatue Management. He serves as Board Member at CertiK. Previously, he served as an Investment Associate at Providence Equity Partners. he holds a BA in Finance and Economics from Peking University.</t>
  </si>
  <si>
    <t>+852 3653 8900</t>
  </si>
  <si>
    <t>kjiang@coatue.com</t>
  </si>
  <si>
    <t>International Finance Centre</t>
  </si>
  <si>
    <t>Suite 6701/F2, 8 Finance Street</t>
  </si>
  <si>
    <t>Senior Managing Director of Asia tech &amp; Consumer</t>
  </si>
  <si>
    <t>170086-42P</t>
  </si>
  <si>
    <t>Lea Zhang</t>
  </si>
  <si>
    <t>Lea</t>
  </si>
  <si>
    <t>Ms. Lea Zhang serves as an Investor at Coatue Management. She served as a Vice President at TSG Consumer. Before joining TSG Consumer Partners, she was a consultant at McKinsey &amp; Company, where she advised consumer retail and eCommerce clients on digital marketing, customer lifecycle management, and corporate strategy. She graduated with a BA in Economics and an MS in Management Science and engineering from Stanford University.</t>
  </si>
  <si>
    <t>+1 (415) 217-2300</t>
  </si>
  <si>
    <t>227701-27P</t>
  </si>
  <si>
    <t>Lucas Swisher</t>
  </si>
  <si>
    <t>Swisher</t>
  </si>
  <si>
    <t>Mr. Lucas Swisher serves as Co-Lead Growth Investing and Software Investing at Coatue Management. Mr. Swisher served as a Board Member at Beam Dental. Mr. Swisher served as a Senior Associate at Kleiner Perkins. Before joining KPCB, he was on the investment team at Insight Venture Partners, where he helped lead several investments in both enterprise SaaS and consumer internet companies. Before Insight, he worked for DeliveryHero, helping to establish a food delivery business in Berlin and the U.K. He has also spent time at Bluewater Consulting Group, where he selected and implemented CMSs for Fortune 1000 companies, and served on the Romney for President campaign. He graduated from Harvard College with a degree in Economics and Philosophy from Harvard University. He was president of Sigma Chi.</t>
  </si>
  <si>
    <t>+1 (650) 752-1200</t>
  </si>
  <si>
    <t>lswisher@coatue.com</t>
  </si>
  <si>
    <t>2885 Sand Hill Road</t>
  </si>
  <si>
    <t>Co-Lead Growth Investing and Software Investing</t>
  </si>
  <si>
    <t>213245-11P</t>
  </si>
  <si>
    <t>Malachi Price</t>
  </si>
  <si>
    <t>Malachi</t>
  </si>
  <si>
    <t>Mr. Malachi Price serves as Partner at Coatue Management. Mr. Price served as Associate at New Mountain Capital. He previously worked as a management consultant at the Boston Consulting Group in New York. He graduated magna cum laude from Dartmouth College in 2017 with a B.A. in Russian Area Studies modified with Economics.</t>
  </si>
  <si>
    <t>mprice@coatue.com</t>
  </si>
  <si>
    <t>138506-23P</t>
  </si>
  <si>
    <t>Nadia Hadi</t>
  </si>
  <si>
    <t>Hadi</t>
  </si>
  <si>
    <t>Ms. Nadia Hadi serves as Principal, Investor Relations at Coatue Management. She served as Principal, Capital Formation Team at Fifth Wall. She supports fundraising initiatives and investor relations. Before joining Fifth Wall, she worked on the Capital Partnering team at General Atlantic for over six years. She started her career in Investment Banking at Credit Suisse. She grew up in an Aramco compound in Saudi Arabia before coming back to the US for high school and college. She spent several years in New York and currently lives in Los Angeles. She graduated from the McIntire School of Commerce at the University of Virginia with a degree in Accounting and Finance.</t>
  </si>
  <si>
    <t>nhadi@coatue.com</t>
  </si>
  <si>
    <t>100 Wilshire Boulevard</t>
  </si>
  <si>
    <t>Principal, Investor Relations</t>
  </si>
  <si>
    <t>187928-38P</t>
  </si>
  <si>
    <t>Nathan Urquhart</t>
  </si>
  <si>
    <t>Urquhart</t>
  </si>
  <si>
    <t>Mr. Nathan Urquhart serves as President at Coatue Management. Mr. Urquhart served as Managing Director, Partner &amp; Global Head of Investor Relations at The Carlyle Group. Mr. Urquhart served as Co-Head of Global Investor Relations &amp; Executive Managing Director at Och-Ziff Capital Management Group. He communicates daily with Oz Management's institutional clients regarding fund construction, investment strategies, and management. In order to meet client needs, Mr. Urquhart works closely with internal product specialists, client relationship managers, and investor servicing teams across Oz Management. Prior to joining Oz Management in 2008 as a member of the Investor Relations group, Mr. Urquhart worked at UBS and J.P. Morgan, which provided a foundation for his understanding of financial markets and risk/return. At UBS, Mr. Urquhart raised third-party private equity funds, including buyout, distressed, and growth equity funds as a member of the Private Equity Funds Group. Mr. Urquhart began his career at J.P. Morgan as a Corporate Finance Analyst. Mr. Urquhart holds a B.S. with Honors in Accounting from Washington and Lee University.</t>
  </si>
  <si>
    <t>nurquhart@coatue.com</t>
  </si>
  <si>
    <t>47014-75P</t>
  </si>
  <si>
    <t>Philippe Laffont</t>
  </si>
  <si>
    <t>Laffont</t>
  </si>
  <si>
    <t>Mr. Philippe Laffont is a Co-Founder and serves as Portfolio Manager at Coatue Management. He is an Angel Investor. He serves as Board Member at Alan. He served as Board Member at UiPath and Sierra Space. He founded the firm in 1999. Prior to this, he was employed as an Analyst in management consulting at McKinsey &amp; Co. from 1992 to 1994. After working as an independent consultant for several years, he joined Tiger Management LLC as a Research Analyst in 1996 where he focused on telecommunications stocks. He graduated from the Massachusetts Institute of Technology in 1991 with a B.S. and M.S.C. in Computer Science.</t>
  </si>
  <si>
    <t>pl@coatue.com</t>
  </si>
  <si>
    <t>223523-29P</t>
  </si>
  <si>
    <t>Rahul Kishore</t>
  </si>
  <si>
    <t>Kishore</t>
  </si>
  <si>
    <t>Mr. Rahul Kishore serves as Senior Managing Director at Coatue Management. He serves as Board Member at BharatPe, Vedantu, Rebel Foods and Lunchbox.</t>
  </si>
  <si>
    <t>55845-73P</t>
  </si>
  <si>
    <t>Sri Viswanath</t>
  </si>
  <si>
    <t>Sri</t>
  </si>
  <si>
    <t>Viswanath</t>
  </si>
  <si>
    <t>Chief Executive Officer &amp; Managing Director</t>
  </si>
  <si>
    <t>Mr. Sri Viswanath serves as Chief Technology Officer (CTO) at Atlassian. He serves as Board Member at Norm AI. He serves as Managing Director, Chief Executive Officer, and General Partner at Coatue Management. He serves as a Board Member at Stability AI and Endor Labs. He also serves as a Board Member at Splunk. Before joining Atlassian, he served as Chief Technical Officer and Senior Vice President of Engineering at Groupon, the vice president of R&amp;D for mobile computing at VMware, and the senior vice president of engineering at Ning - where he was instrumental in the company's acquisition by Glam. He also led the development of several very successful open-source and B-to-B products at Sun Microsystems, served on the Board of Directors for SendGrid, and has several patents. He holds an MS in Management and Computer Science from Stanford University and Clemson University. He also holds a BE (Bachelor of Engineering) from Bangalore University.</t>
  </si>
  <si>
    <t>Chief Technology Officer, Technology</t>
  </si>
  <si>
    <t>Atlassian (Former)</t>
  </si>
  <si>
    <t>240538-69P</t>
  </si>
  <si>
    <t>Stephen Cho</t>
  </si>
  <si>
    <t>Mr. Stephen Cho serves as Partner at Coatue Management. He served as Associate at Welsh, Carson, Anderson &amp; Stowe. He is an Associate, having joined WCAS in 2020. Prior to joining WCAS, Mr. Cho worked in the Financial Services Mergers &amp; Acquisitions group at Evercore.</t>
  </si>
  <si>
    <t>scho@coatue.com</t>
  </si>
  <si>
    <t>47015-02P</t>
  </si>
  <si>
    <t>Thomas Laffont</t>
  </si>
  <si>
    <t>Mr. Thomas Laffont is a Co-Founder of Coatue Management. He serves as Board Member at Stability AI and Lime. He serves as Board Observer at AppZen. He is also an Angel Investor. He serves as Board Member at Cerebras. He served as Board Member at Cybersyn. He served as Board Member at Domino Data Lab, Lime, Mason, and OneTrust.. He served as Board Observer at Kustomer. He served as Board Member at Inxeption. He served as Board Observer at TippingPoint Technologies.</t>
  </si>
  <si>
    <t>tlaffont@coatue.com</t>
  </si>
  <si>
    <t>35569-36P</t>
  </si>
  <si>
    <t>Zachery Coelius</t>
  </si>
  <si>
    <t>Zachery</t>
  </si>
  <si>
    <t>Coelius</t>
  </si>
  <si>
    <t>Coelius Capital</t>
  </si>
  <si>
    <t>Mr. Zachery Coelius serves as Managing Partner at Coelius Capital. He served as an Advisor at AutoFill Technologies. He serves as an Advisor at Atland Ventures. Previously, he co-founded and served as Chief Executive Officer and Board Member at Triggit. He also serves as an Advisor at ART19, Branch (Deep-Linking), Clubhouse Software, HelloSign, Loom.ai, and SINAI Technologies. He serves as an Advisor at Enrich. He served as an Advisor at Lyte, Loom.ai. He is an Angel Investor.</t>
  </si>
  <si>
    <t>zach@coelius.vc</t>
  </si>
  <si>
    <t>153 Prospect Avenue</t>
  </si>
  <si>
    <t>239218-57P</t>
  </si>
  <si>
    <t>Derek Li</t>
  </si>
  <si>
    <t>Cogito Capital (Canada)</t>
  </si>
  <si>
    <t>Mr. Derek Li is the Founder at Cogito Capital (Canada). He served as director of marketing department for a number of listed companies, and provided capital operation, market development and public relations services for high-tech companies over the years.</t>
  </si>
  <si>
    <t>+1 (647) 670-0042</t>
  </si>
  <si>
    <t>dli@cogito.capital</t>
  </si>
  <si>
    <t>Scotia Plaza, 40 King Street West</t>
  </si>
  <si>
    <t>Suite 2503</t>
  </si>
  <si>
    <t>M5H 3Y2</t>
  </si>
  <si>
    <t>125849-80P</t>
  </si>
  <si>
    <t>Luna Gao</t>
  </si>
  <si>
    <t>Luna</t>
  </si>
  <si>
    <t>Ms. Luna Gao serves as a Partner at Cogito Capital (Canada). Ms.Gao served as an Analyst at CCC Investment Banking. Before joining CCC, she worked as a Financial Analyst with Manulife Financial Group's Private Asset Management investment team, gaining experience in REITs, mutual funds, and mortgage-backed fixed-income products. Before that, Luna worked as an Investment Banking Analyst at Cranson Capital, gaining experience in debt and equity financing in the technology and construction material industries. Luna earned her Honours Bachelor of Business Administration (HBA) degree from the Richard Ivey School of Business at the University of Western Ontario. She completed her CFA Level I exam and is in the process of completing the program.</t>
  </si>
  <si>
    <t>lgao@cogito.capital</t>
  </si>
  <si>
    <t>415745-92P</t>
  </si>
  <si>
    <t>Zhifeng Bai</t>
  </si>
  <si>
    <t>Zhifeng</t>
  </si>
  <si>
    <t>Bai</t>
  </si>
  <si>
    <t>Mr. Zhifeng Bai serves as Partner at Cogito Capital (Canada). At the same time, he served as director at a securities company and fund company licensed by the Hong Kong Securities Regulatory Commission.</t>
  </si>
  <si>
    <t>zhifeng.bai@cogito.capital</t>
  </si>
  <si>
    <t>21th Floor, Lippo Centre Tower 1, 89 Queensway</t>
  </si>
  <si>
    <t>Suite 2108</t>
  </si>
  <si>
    <t>445596-40P</t>
  </si>
  <si>
    <t>Amanda Amos</t>
  </si>
  <si>
    <t>Amos</t>
  </si>
  <si>
    <t>Collaborative Fund</t>
  </si>
  <si>
    <t>Mr. Amanda Amos serves as Investor at Collaborative Fund.</t>
  </si>
  <si>
    <t>+1 (415) 413-8360</t>
  </si>
  <si>
    <t>347 Bowery</t>
  </si>
  <si>
    <t>10003</t>
  </si>
  <si>
    <t>29755-36P</t>
  </si>
  <si>
    <t>Andrew Montgomery</t>
  </si>
  <si>
    <t>Mr. Andrew Montgomery serves as a Partner at Collaborative Fund. He served as Vice President of Finance and Strategy at Lovevery. He Co-Founded and served as Managing Partner at Mesa Ventures. He is a Co-Founder of the New York Code and Design Academy. He served as the Founding Partner and Vice President at MESA Securities. He works on financing and M&amp;A transactions for clients including Blue Man Group, Interpublic Group, Reviewed.com, MetroLeap Media, and Fantasy Sports Ventures. Before joining MESA, he was an Analyst in the Media &amp; Communications Group at Merrill Lynch, where he covered a wide variety of sectors. He is also a Co-Founder of the New York Code &amp; Design Academy and currently serves on the board of directors of Nonprofit Management Systems. He graduated with a B.A. from Georgetown University. He also served in Corporate Development in Zynga.</t>
  </si>
  <si>
    <t>+1 (212) 792-3960</t>
  </si>
  <si>
    <t>andrew@collabfund.com</t>
  </si>
  <si>
    <t>55526-05P</t>
  </si>
  <si>
    <t>Benjamin Goldhirsh</t>
  </si>
  <si>
    <t>Goldhirsh</t>
  </si>
  <si>
    <t>Mr. Benjamin Goldhirsh is a Co-Founder &amp; serves as Chairman at Matter. Mr. Benjamin Goldhirsh served as Chairman at Mighty. He serves as an Advisor at Collaborative Fund. He is a Co-Founder and serves as &amp; Board Member at Good. He also serves as a Chairman of the Goldhirsh Foundation. He graduated from Brown University.</t>
  </si>
  <si>
    <t>ben@matter.xyz</t>
  </si>
  <si>
    <t>129361-96P</t>
  </si>
  <si>
    <t>Bryan Chang</t>
  </si>
  <si>
    <t>Mr. Bryan Chang serves as Principal at Collaborative Fund. He is keenly interested in food-tech with Collaborative Fund's investments in Impossible Foods, Blue Bottle Coffee, Ripple Foods and Ava Winery. Previously, he was an investor at Social Capital and the first employee at Mattermark and started his career at UBS investment bank.Previously he served as an Associate and Investor at Social Capital and an Executive at Collaborative Fund. Prior to that he served as a 1st Employee and Software Engineer at Mattermark. Mr. Chang received his Bachelor of Arts Degree in Business Economics from the University of California, Los Angelos.</t>
  </si>
  <si>
    <t>bryan@collaborativefund.com</t>
  </si>
  <si>
    <t>379229-14P</t>
  </si>
  <si>
    <t>Chris Dowd</t>
  </si>
  <si>
    <t>Dowd</t>
  </si>
  <si>
    <t>Mr. Chris Dowd serves as Investor at Collaborative Fund.</t>
  </si>
  <si>
    <t>chris@collaborativefund.com</t>
  </si>
  <si>
    <t>130004-29P</t>
  </si>
  <si>
    <t>Craig Dalton</t>
  </si>
  <si>
    <t>Dalton</t>
  </si>
  <si>
    <t>Mr. Craig Dalton serves as Founder in Residence &amp; Vice President, Portfolio at Collaborative Fund. He Co-Founded DODOcase and also served as its Chief Executive Officer.</t>
  </si>
  <si>
    <t>craig@collaborativefund.com</t>
  </si>
  <si>
    <t>Founder in Residence &amp; Vice President, Portfolio</t>
  </si>
  <si>
    <t>39012-67P</t>
  </si>
  <si>
    <t>Craig Shapiro</t>
  </si>
  <si>
    <t>Mr. Craig Shapiro is a Co-Founder &amp; serves as Managing Partner at Collaborative Fund. He serves as a Board Member at Elevate and Holey Grail Donuts. He is an entrepreneur and investor at Collaborative Fund. He serves as a Board Observer at Quaise Energy. He serves as a Board Member at Kula Bio, Just Ice Tea, MeliBio, and Cloud to Street. He also serves as a Board Observer at Dandelion Energy. He served as a Board Member at Spruce. He helped pioneer several US mobile and interactive television initiatives, including the first multi-carrier live voting in Super Bowl XXXVI. He is currently the Chairman of the Board at CreativeMornings and is on the Board of Directors of Yup, Monotony.ai. He served as a Board Member at Getable, Lavva, Simply Gum, Mobile Marketing Association, and Quarterly. Previously, he was President of GOOD Magazine. He received his B.A. from Washington University in St. Louis. He holds a Bachelor of Arts degree from Washington University in St. Louis.</t>
  </si>
  <si>
    <t>craig@collabfund.com</t>
  </si>
  <si>
    <t>245239-57P</t>
  </si>
  <si>
    <t>Craig Wilson</t>
  </si>
  <si>
    <t>Mr. Craig Wilson serves as Venture Partner at Collaborative Fund. Mr. Wilson co-founded &amp; served as an Advisor at The Crop Project. Previously, he was a Visiting Professor at Middlebury College and also held positions at New York University, Allegory Capital, Climate Collective, Founder Collective, Collaborative Fund, Locus Analytics, White Bull Holdings, and Crystal Mountain Resort. He served as Managing Director at Future Labs. He served as Venture Partner at Allegory. He received his BA from Middlebury College and completed an MBA from New York University (Stern).</t>
  </si>
  <si>
    <t>cwilson@collaborativefund.com</t>
  </si>
  <si>
    <t>76245-49P</t>
  </si>
  <si>
    <t>David Cohen JD</t>
  </si>
  <si>
    <t>General Counsel &amp; Operating Partner</t>
  </si>
  <si>
    <t>Mr. David Cohen serves as an Operating Partner at Reinvent Capital. Mr. Cohen serves as Secretary at Reinvent Technology Partners Y. He also serves as Operating Partner &amp; General Counsel at Collaborative Fund. He served as Associate General Counsel at Zynga. He served as Senior Counsel at Proskauer Rose. His practice focuses primarily on mergers &amp; acquisitions and private equity investment, with an emphasis on complex change of control transactions, leveraged acquisitions, securities, and asset sales and divestitures, and associated equity and debt financings. He represents financial sponsors, both individuals and consortia, as well as portfolio companies and publicly traded corporations. He has significant experience with portfolio company acquisition and exit transactions, strategic mergers and acquisitions, proxy contests, tender offers, control acquisitions and divestitures effected through restructurings and workouts, joint ventures, strategic alliances, and other sophisticated domestic and cross-border transactions in the U.S., Europe, Latin America, and Asia. Previously, he was part of Reinvent Capital's founding team, alongside Mark Pincus, Reid Hoffman, and Michael Thompson. He was also the COO &amp; CLO of Workplay Ventures, a large Silicon Valley family office active in venture capital investing and building new businesses, and he helped Zynga with its successful turnaround. He has advised clients active in numerous industries, including financial institutions and services, insurance and reinsurance, hedge fund, mortgage, student loan, real estate, gaming, airline, cable television, cellular tower, construction, oil and gas, nuclear energy, software, defense technology, manufacturing, and logistics and supply chains. He graduated from Middlebury College with a B.A. in Political Science and Philosophy and received his J.D. from the University of Virginia.</t>
  </si>
  <si>
    <t>+1 (212) 457-1625</t>
  </si>
  <si>
    <t>david@reinventcap.com</t>
  </si>
  <si>
    <t>215 Park Avenue South</t>
  </si>
  <si>
    <t>Reinvent Capital</t>
  </si>
  <si>
    <t>108515-26P</t>
  </si>
  <si>
    <t>Guy Vidra</t>
  </si>
  <si>
    <t>Vidra</t>
  </si>
  <si>
    <t>Mr. Guy Vidra serves as Partner at Collaborative Fund. He serves as Board Member at Fable. He also served as Chief Executive Officer at The New Republic. Previously, he also served as Head of Yahoo! News. He also serves as Board Member at Camino Financial. He served as Board Member at Docbot.</t>
  </si>
  <si>
    <t>guy@collabfund.com</t>
  </si>
  <si>
    <t>203611-15P</t>
  </si>
  <si>
    <t>Jeff Ullrich</t>
  </si>
  <si>
    <t>Mr. Jeff Ullrich serves as Chief Financial Officer, Ventures And Growth at Collaborative Fund.</t>
  </si>
  <si>
    <t>jeff@collaborativefund.com</t>
  </si>
  <si>
    <t>Chief Financial Officer, Ventures And Growth</t>
  </si>
  <si>
    <t>319083-40P</t>
  </si>
  <si>
    <t>Luisa Sucre</t>
  </si>
  <si>
    <t>Luisa</t>
  </si>
  <si>
    <t>Sucre</t>
  </si>
  <si>
    <t>Ms. Luisa Sucre serves as Principal at Collaborative Fund.</t>
  </si>
  <si>
    <t>luisa@collabfund.com</t>
  </si>
  <si>
    <t>445598-20P</t>
  </si>
  <si>
    <t>Martina Stokes</t>
  </si>
  <si>
    <t>Martina</t>
  </si>
  <si>
    <t>Stokes</t>
  </si>
  <si>
    <t>Ms. Martina Stokes serves as a Chief of Staff at Collaborative Fund.</t>
  </si>
  <si>
    <t>martina@collabfund.com</t>
  </si>
  <si>
    <t>445600-09P</t>
  </si>
  <si>
    <t>Matt Kaufman</t>
  </si>
  <si>
    <t>Mr. Matt Kaufman serves as an Investor at Collaborative Fund.</t>
  </si>
  <si>
    <t>144073-63P</t>
  </si>
  <si>
    <t>Morgan Housel</t>
  </si>
  <si>
    <t>Housel</t>
  </si>
  <si>
    <t>Mr. Morgan Housel serves as Partner at Collaborative Fund. He serves as Board Member &amp; Member of Nominating and Corporate Governance Committee at Markel Group. Previously, he served as Senior Analyst at the Motley Fool. Prior to this, he worked as Contributor at Wall Street Journal. He holds a BA degree in Economics from the University of Southern California.</t>
  </si>
  <si>
    <t>morgan@collaborativefund.com</t>
  </si>
  <si>
    <t>203611-51P</t>
  </si>
  <si>
    <t>Nicole Di Loreto</t>
  </si>
  <si>
    <t>Di Loreto</t>
  </si>
  <si>
    <t>Ms. Nicole Diloreto serves as Senior Accountant at Collaborative Fund.</t>
  </si>
  <si>
    <t>nicole@collaborativefund.com</t>
  </si>
  <si>
    <t>166399-84P</t>
  </si>
  <si>
    <t>Sophie Bakalar</t>
  </si>
  <si>
    <t>Bakalar</t>
  </si>
  <si>
    <t>Ms. Sophie Bakalar is a Co-Founder and serves as Co-Chief Executive Officer &amp; Board Member at Fable Pets. She also serves as Phaidra, Board Member at AlgiKnit, Hoxton Farms and Noya. She Co-Founded and served as Co-Chief Executive Officer and President of Di8it Charts. She serves as a Partner at Collaborative Fund. Ms. Bakalar is an investor at Collaborative Fund in NY, the leading source of capital for entrepreneurs pushing the world forward. At Collaborative, she oversees early-stage consumer product investments that are healthy, sustainable, and rooted in authenticity. Some of Collaborative Fund's notable consumer product investments include Blue Bottle Coffee, Hampton Creek, Sweetgreen, Outdoor Voices, Walker &amp; Company, and Impossible Foods. In 2016, she was named a Top 25 Consumer Catalyst (Top Dealmaker and Influencers in the Consumer Industry) by CircleUp and Forbes. Prior to Collaborative Fund, Ms. Bakalar founded di8it charts in 2015 after ten years as a credit derivatives trader, marketer, and product manager at III Capital Management. di8it is a web application for extracting numerical data from images of charts, so users can analyze the underlying information or re-format the chart, even when they don't have access to the source data. di8it is especially useful for business professionals, such as management consultants, who frequently create presentations using external research. di8it was acquired in 2016 by think-cell, an industry leader in presentation and consulting software. In 2015, while developing di8it, she backpacked around the world solo for six months, visiting 15+ countries all over Europe, Asia, Australia, and New Zealand and maintaining a popular travel blog, Ruby Trails. She loves adventure travel and has summited Mt. Kilimanjaro, trekked the Annapurna circuit, camped in the Serengeti, and bungee-jumped in New Zealand. Next up, she hopes to tackle the Matterhorn. During her career, she has developed a unique skill set in investing, fundraising, product development, programming, and brand-building. She graduated from Tufts University in 2009 with a B.S. in mathematics and a B.A. in public health. At Tufts, she participated in the Putnam mathematics competition team and Tufts University Theatre.</t>
  </si>
  <si>
    <t>sophie@collaborativefund.com</t>
  </si>
  <si>
    <t>354504-79P</t>
  </si>
  <si>
    <t>Vid Micevic</t>
  </si>
  <si>
    <t>Vid</t>
  </si>
  <si>
    <t>Micevic</t>
  </si>
  <si>
    <t>vmicevic@collaborativefund.com</t>
  </si>
  <si>
    <t>15175-81P</t>
  </si>
  <si>
    <t>Brian Roberts</t>
  </si>
  <si>
    <t>Comcast</t>
  </si>
  <si>
    <t>Mr. Brian Roberts serves as Chief Executive Officer &amp; Chairman at Comcast. Mr. Roberts served as Chairman &amp; Chief Executive Officer at Central Valley Cable. Under Mr. Roberts's leadership, Comcast has grown into a global company uniquely positioned at the intersection of media and technology with three primary businesses, Comcast Cable, NBCUniversal and Sky. He has worked at Comcast since graduating from The Wharton School of the University of Pennsylvania. He was named President of Comcast Corporation in 1990 when the company had $657 million in annual revenue. He has won numerous business and industry honors for his leadership. He was recognized by Barron's as one of the "World's Best CEOs," named a "Businessperson of the Year" by Fortune magazine and named one of America's top CEOs by Institutional Investor magazine for the 17th time. He is the recipient of the Humanitarian Award from the Simon Wiesenthal Center and the Pennsylvania Society's Gold Medal for Distinguished Achievement Award. He also received the Legend and Leadership Award from the Yale School of Management's Chief Executive Leadership Institute. He is a member of the Business Roundtable and served on President Obama's Council on Jobs and Competitiveness. He is on the Advisory Board of the Tsinghua University School of Economics and Management. He also served as Chairman of the National Cable &amp; Telecommunications Association (NCTA) for two consecutive terms and is Director Emeritus of CableLabs, the research and development consortium for the cable industry, where he served three terms as Chairman.</t>
  </si>
  <si>
    <t>broberts@comcast.net</t>
  </si>
  <si>
    <t>Comcast Center</t>
  </si>
  <si>
    <t>1701 John F. Kennedy Boulevard</t>
  </si>
  <si>
    <t>88175-26P</t>
  </si>
  <si>
    <t>Christopher MacFarland</t>
  </si>
  <si>
    <t>MacFarland</t>
  </si>
  <si>
    <t>Mr. Christopher MacFarland serves as Chief Development Officer at Comcast. Mr. MacFarland served as Chairman &amp; Chief Executive Officer at Masergy. Mr. MacFarland served as Chief Technology Officer at Masergy. He also served as a Board Member at Linear Labs. He served as Board Member at Itopia. He served as Chief Executive Officer at Masergy. He is an Angel Investor. He served as an Operating Partner at Meritage Funds. Prior to joining Masergy, he served in various senior executive positions at BroadSoft, McLeodUSA, Allegiance Telecom, Verio, OnRamp, CompuNet, and Compu-Tek International. He was selected as a 2017 Glassdoor Employees' Choice Top CEO, Tech Titans CEO of the Year for 2016, and Ernst &amp; Young Entrepreneur of the Year 2015 for the Southwest region. Health ELT and Tech Titans. He is passionate about community service and has championed numerous charitable and outreach programs including as a board member of the Warrior Family Network and International Student Foundation. He attended the University of Texas at Arlington where he majored in Computer Science and Engineering. He served as a Board Member at Access Media 3.</t>
  </si>
  <si>
    <t>christopher_macfarland@comcast.com</t>
  </si>
  <si>
    <t>89857-81P</t>
  </si>
  <si>
    <t>Dalila Wilson-Scott</t>
  </si>
  <si>
    <t>Dalila</t>
  </si>
  <si>
    <t>Wilson-Scott</t>
  </si>
  <si>
    <t>Chief Diversity Officer &amp; Executive Vice President</t>
  </si>
  <si>
    <t>Ms. Dalila Wilson-Scott serves as Executive Vice President, Chief Diversity Officer &amp; President, Comcast NBCUniversal Foundation at Comcast. In this role, Dalila oversees all Diversity, Equity, &amp; Inclusion initiatives and philanthropic strategy for the corporation, including the company's $100 million commitment to advance social justice and equality. Dalila also leads Comcast's community impact initiatives, working across the organization to provide strategic leadership throughout all aspects of its corporate social responsibility programs, including employee engagement and volunteerwasm. In addition, Dalila oversaw efforts to utilize Comcast's world-class media platforms to bring greater attention to the work of our philanthropic partners. In 2019, Comcast provided nearly $430 million in total support to nonprofit partners sharing Comcast's commitment to creating a more connected and equitable world. Dalila joined Comcast in 2016 after more than 16 years at JPMorgan Chase &amp; Co., where she served as Head of Global Philanthropy and President of the JPMorgan Chase Foundation. She led the firm's philanthropic and economic opportunity initiatives, including the firm's $100 million commitment to Detroit's recovery, while helping to set the company's overall corporate responsibility strategy. Prior to joining the Office of Corporate Responsibility, she served in the firm's Corporate Merger Office as an integral member of the team managing the integration of JPMorgan Chase and Bank One.</t>
  </si>
  <si>
    <t>Executive Vice President, Chief Diversity Officer &amp; President, Comcast NBCUniversal Foundation</t>
  </si>
  <si>
    <t>160164-64P</t>
  </si>
  <si>
    <t>Daniel Murdock</t>
  </si>
  <si>
    <t>Murdock</t>
  </si>
  <si>
    <t>Mr. Daniel Murdock served as Executive Vice President, Chief Accounting Officer &amp; Controller at Comcast. In this role, he leads the company's financial reporting, accounting, and related internal control functions. Since joining Comcast in 2015, he served as Vice President and Corporate Controller where he oversaw accounting policies and procedures, reporting controls, and Sarbanes-Oxley compliance. Prior to Comcast, he was with the U.S. Securities and Exchange Commission where he served as the Deputy Chief Accountant in the agency's Office of the Chief Accountant since 2013. Before that, he was Deloitte &amp; Touche's Audit/Industry Professional Practice Director for media and entertainment. He earned a BS in accounting from the University of South Florida. He is a certified public accountant and a member of the American Institute of Certified Public Accountants.</t>
  </si>
  <si>
    <t>dmurdock@comcast.net</t>
  </si>
  <si>
    <t>Executive Vice President, Chief Accounting Officer &amp; Controller</t>
  </si>
  <si>
    <t>146318-23P</t>
  </si>
  <si>
    <t>Senior Executive Vice President</t>
  </si>
  <si>
    <t>Mr. David Cohen serves as Board Member at PNC. Mr. Cohen served as Senior Advwasor to the CEO at Comcast. He served as Executive Vice President at Comcast. He served as a Board Member at NBCUniversal. He served as a Senior Executive Vice President since March 2015 and previously had served as an Executive Vice President for more than five years. He is also a director of the FS Global Credit Opportunities Funds, the FS Global Credit Opportunities Fund A, and the FS Global Credit Opportunities Fund D.</t>
  </si>
  <si>
    <t>Senior Advisor to the CEO</t>
  </si>
  <si>
    <t>438242-23P</t>
  </si>
  <si>
    <t>David Tashjian</t>
  </si>
  <si>
    <t>Tashjian</t>
  </si>
  <si>
    <t>Mr. David Tashjian serves as Regional Senior Vice President at Comcast. Mr. Tashjian serves as Senior Vice President at Comcast RISE. With more than 15 years at Comcast and 25 years in the telecommunications industry, Tashjian transitioned to California from the Oregon and Southwest Washington region, where he served as the Regional Senior Vice President. Tashjian first began his career with Comcast in 2005 working a variety of roles, first in Delaware, Virginia, and subsequently the Beltway region.</t>
  </si>
  <si>
    <t>dtashjian@comcast.net</t>
  </si>
  <si>
    <t>Regional Senior Vice President, Cable business</t>
  </si>
  <si>
    <t>288320-59P</t>
  </si>
  <si>
    <t>Jason Armstrong</t>
  </si>
  <si>
    <t>Armstrong</t>
  </si>
  <si>
    <t>Mr. Jason Armstrong served as Chief Financial Officer at Comcast. He served as Executive Vice President, Deputy Chief Financial Officer and Treasurer at Comcast. He partners with the corporate finance and management teams at Comcast, NBCUniversal, and Sky, to help lead our finance organization and drive our strategy. He also manages the corporation's capital formation, capital allocation, credit-related matters, and investment management activities. Previously, Jason was Chief Financial Officer at Sky, a Comcast subsidiary, and one of Europe's leading media and entertainment companies. Jason joined Sky from Comcast, where he held a number of senior roles, including Senior Vice President of Investor Relations and Finance. In that position, Jason led Comcast's investor relations team as well as the corporate financial planning and analyswas team. Prior to joining Comcast, Jason spent 14 years at Goldman Sachs where he most recently served as Managing Director, Deputy Business Unit Leader of the firm's Technology, Media and Telecommunications Research Group. He was also lead analyst for the North American Communications Services Equity Research Group with principal coverage of the cable, satellite, telecommunication services, wireless towers, and data centers industries. He earned a B.S. degree in Economics from Duke University and holds the Chartered Financial Analyst (CFA) designation.</t>
  </si>
  <si>
    <t>jarmstrong@comcast.net</t>
  </si>
  <si>
    <t>224016-85P</t>
  </si>
  <si>
    <t>Jennifer Khoury</t>
  </si>
  <si>
    <t>Ms. Jennifer Khoury served as Chief Communications Officer at Comcast. Jenn oversees all communications activities for the corporation. Previously, Jenn led communications for Comcast's $58 billion Cable divwasion including Xfinity's Video, Internet, Mobile and Home businesses as well as for Comcast Business. Over her 20 years with the company, Jenn has managed strategic communications for numerous product and technology launches, campaigns, media relations, corporate events as well as the development of the company's cybersecurity and privacy communications strategies. Jenn oversees all communications activities for the corporation. Previously, Jenn led communications for Comcast's $58 billion Cable divwasion including Xfinity's Video, Internet, Mobile and Home businesses as well as for Comcast Business. Over her 20 years with the company, Jenn has managed strategic communications for numerous product and technology launches, campaigns, media relations, corporate events as well as the development of the company's cybersecurity and privacy communications strategies. Jenn also oversees the corporate digital communications team, a function she built over the last decade to reflect the rapidly changing communications landscape. Thwas team creates and manages the corporation's digital content and the corporate website as well as all efforts to promote Comcast's brand online and across social channels. Jenn has worked across the corporation to build a social and digital infrastructure that has accelerated the growth of the company's online presence to support the organization's public relations, customer experience and marketing teams. Previously, Jenn led communications, public affairs and social responsibility initiatives for MediaOne and AT&amp;T Broadband and served as a consultant for ML Strategies, a strategic consulting arm of Mintz Levin where she created and implemented marketing, public affairs and crisis communications campaigns for a diverse range of clients, primarily in media and telecommunications. Jenn has been involved with a number of nonprofit organizations, including The Barnes Foundation, The National Constitution Center, as a Trustee of the National Braille Press and as Vice President and Trustee of the Massachusetts Governor's Committee for Physical Fitness and Sports. Jennifer earned her master's degree from The Annenberg School for Communication at the University of Pennsylvania and received her B.A. in communications from Boston College. She lives in Philadelphia with her husband and two daughters.</t>
  </si>
  <si>
    <t>jennifer@comcast.net</t>
  </si>
  <si>
    <t>Chief Communications Officer</t>
  </si>
  <si>
    <t>17896-06P</t>
  </si>
  <si>
    <t>Michael Cavanagh JD</t>
  </si>
  <si>
    <t>Cavanagh</t>
  </si>
  <si>
    <t>Mr. Michael Cavanagh served as President of Comcast Corporation at Comcast. He also serves as a Trustee, Chair of the Investments Committee &amp; Member of the Audit Committee, Buildings &amp; Grounds Committee, Compensation Committee, and Finance Committee at Yale University. He is a member of the Council on Foreign Relations and serves on the board of HealthVerity. He has a broad range of responsibilities, partnering with the chairman and chief executive officer to manage all aspects of the business. Comcast has approximately 182,000 employees worldwide, $124 billion in annual revenue, and is one of the 20 most profitable companies in the United States. Mr. Cavanagh joined Comcast as the company's chief financial officer in 2015 after spending more than twenty years in the financial services industry. From 2012 to 2014, he was co-chief executive officer of JPMorgan Chase &amp; Co.'s Corporate &amp; Investment Bank, a global leader in its industry with over $30 billion in revenue and more than sixty thousand employees working in nearly one hundred countries. In this role, Mr. Cavanagh co-headed all investment banking, cash management, investor services, and the largest global markets and trading business in the world. Before that, he served as JPMorgan Chase's chief financial officer for six years, where he helped lead the company successfully through the financial crisis. Immediately before joining Comcast, he briefly served as co-president and co-chief operating officer of The Carlyle Group, a leading global alternative asset manager. Mr. Cavanagh earned a B.A. from Yale and a J.D. from the University of Chicago.</t>
  </si>
  <si>
    <t>President, Comcast Corporation</t>
  </si>
  <si>
    <t>449252-56P</t>
  </si>
  <si>
    <t>Paul Palen</t>
  </si>
  <si>
    <t>Palen</t>
  </si>
  <si>
    <t>Mr. Paul Palen serves as Executive Director- Strategic Growth at Comcast. He is a commercially disciplined, execution-driven executive who has built and scaled $ 20 B+ in platform businesses across the telecom and media landscape. As Executive Director of Strategic Growth at Comcast, he led enterprise-wide go-to-market and partnership strategies for a portfolio valued at $ 81 B. Prior to Comcast, he spent 8 years at Verizon, where he served as CMO for New Products and GM of Consumer Platforms, spearheading the growth strategy behind Verizon's broadband, 5G, and subscription bundles-including the launch of Disney+ and +play. Earlier at Verizon, He was Director of M&amp;A and Corporate Strategy, where he led over 200 deals totaling $ 10 B+ in aggregate value, including the acquisitions of Complex Media and the formation of Verizon Hearst Media Partners. Over his career, he has led teams of 400+ spanning product, marketing, partnerships, GTM, and M&amp;A.</t>
  </si>
  <si>
    <t>paul_palen@comcast.com</t>
  </si>
  <si>
    <t>Executive Director- Strategic Growth</t>
  </si>
  <si>
    <t>431137-63P</t>
  </si>
  <si>
    <t>Steve Croney</t>
  </si>
  <si>
    <t>Croney</t>
  </si>
  <si>
    <t>Mr. Steve Croney serves as Chief Operating Officer at Comcast.</t>
  </si>
  <si>
    <t>steve_croney@corporate.comcast.com</t>
  </si>
  <si>
    <t>29278-18P</t>
  </si>
  <si>
    <t>Thomas Reid</t>
  </si>
  <si>
    <t>Chief Legal Officer &amp; Secretary</t>
  </si>
  <si>
    <t>Mr. Thomas Reid served as Chief Legal Officer &amp; Secretary at Comcast. He also serves as Board Member at Venture Global LNG. He oversaw Comcast's legal, corporate governance and strategic intellectual property functions. He also oversees the Company's government and regulatory affairs and political affairs functions. He joined Comcast in April 2019 after a successful career at Davwas Polk &amp; Wardwell LLP, one of the most prestigious law firms in the world. He had served as Chairman and Managing Partner of the firm since 2011, and began his career there in 1987. He was a Managing Director in the Investment Banking Division of Morgan Stanley from 2000 to 2003 and then rejoined Davis Polk. He has represented some of the world's most significant companies and financial intermediaries, providing legal advice and judgment on some of the most important transactions, legal and regulatory issues, and matters in the United States, Europe, and Asia. For nearly four years, he served as Davwas Polk's lead partner with Comcast, and played a critical role in recent significant transactions, including the Sky acquwasition completed in 2018. He serves as the Secretary of the Board of Trustees of The Morgan Library &amp; Museum. In 2018, the Pro Bono Partnership honored him with the "Champion Award" in recognition of his deep commitment to pro bono work. He graduated from Edinburgh University with First Class Honors in Law and from Columbia Law School with a Masters in Law.</t>
  </si>
  <si>
    <t>+1 (212) 450-4233</t>
  </si>
  <si>
    <t>treid@comcast.net</t>
  </si>
  <si>
    <t>+1 (212) 450-3233</t>
  </si>
  <si>
    <t>65217-88P</t>
  </si>
  <si>
    <t>Agata Celmerowski</t>
  </si>
  <si>
    <t>Agata</t>
  </si>
  <si>
    <t>Celmerowski</t>
  </si>
  <si>
    <t>Companyon Ventures</t>
  </si>
  <si>
    <t>Ms. Agata Celmerowski serves as a Venture Partner at Companyon Ventures. She has done both B2B and B2C marketing at agencies, media outlets, or software companies. She's been responsible for global and regional go-to-market and has built and managed co-located and distributed teams. And though most of her career has been based in the U.S., she did spend a few years living overseas in Australia. Her career started in product management, morphed into product marketing, and continued to evolve from there until she began leading marketing for SaaS startups in 2013.</t>
  </si>
  <si>
    <t>184 High Street</t>
  </si>
  <si>
    <t>Suite 501</t>
  </si>
  <si>
    <t>328198-78P</t>
  </si>
  <si>
    <t>Alan Johnson</t>
  </si>
  <si>
    <t>Mr. Alan Johnson serves as Venture Partner at Companyon Ventures. Mr. Johnson is currently a founding member of Upright Partners, LLC, an advisory services organization that guides clients on how to achieve exceptional business results by maximizing their go-to-market opportunity, strategy, and execution. At Upright, Mr. Johnson focuses on the areas of strategic and operational planning, helping SaaS businesses orchestrate their go-to-market approach to maximize growth and sales productivity. In addition to his responsibilities at Upright, Mr. Johnson also serves as a Board Advisor at Fullcast.io, a company formed in 2017 to solve the challenges of aligning sales planning to operational execution in high-growth companies. Mr. Johnson has over 30 years of experience in the technology sector and was previously head of Global Sales, Services, and Marketing Operations at both Everbridge, Inc. and Akamai Technologies. In addition, he has held various sales, sales management, GTM programs, and channel roles at leading technology firms including EMC, Sun Microsystems, and Siemens. He has a demonstrated ability to develop, implement, and execute strategic sales and operational plans, and was recognized in 2016 as one of the top sales leaders worldwide by Hot Topics/Collective[i]. Mr. Johnson holds a Bachelor of Science in Business Administration from the Questrom School of Business at Boston University.</t>
  </si>
  <si>
    <t>427348-90P</t>
  </si>
  <si>
    <t>Alex Lindahl</t>
  </si>
  <si>
    <t>Lindahl</t>
  </si>
  <si>
    <t>Mr. Alex Lindahl serves as Venture Partner at Companyon Ventures. He has spent his career at high growth startups and has been on an early GTM hire at 3 unicorns (Acquia, Snyk, Chainguard) at the Series A stage. He is also an angel investor and author of Claymation.io, a newsletter on GTM Engineering.</t>
  </si>
  <si>
    <t>328109-50P</t>
  </si>
  <si>
    <t>Alisha Fuller</t>
  </si>
  <si>
    <t>Alisha</t>
  </si>
  <si>
    <t>Ms. Alisha Fuller serves as an Operations Manager at Companyon Ventures. Within Companyon, Ms. Fuller supports the day-to day operations of the team including helping to organize diligence efforts and overseeing events. She has extensive experience in operations and event management with a focus on process design, logistics and timeline coordination. Previously, she was a Senior Events Associate with Without A Hitch, a top-rated day-of wedding coordination company, and a freelance home organizer. Ms. Fuller graduated from Marist College, Poughkeepsie, NY and pursued additional studies at the London College of Fashion in London, England.</t>
  </si>
  <si>
    <t>alisha@companyon.vc</t>
  </si>
  <si>
    <t>63085-15P</t>
  </si>
  <si>
    <t>Amy Robinson</t>
  </si>
  <si>
    <t>Ms. Amy Robinson serves as Venture Partner at Companyon Ventures. Ms. Robinson served as Strategic Advisor at Carbon Black. Ms. Amy Robinson served as Chief People Officer at Carbon Black. She focuses on recruiting stellar people, developing talent, growing leaders and driving company culture. Robinson has more than 20 years of talent development experience in the technology sector, helping companies implement focused hiring, career development and employee engagement strategies to support scale. Prior to Bit9, Robinson was vice president of human resources for technology consulting firm Optaros, where she played a key role leading the hiring and organizational development practices that helped the company rapidly scale and expand into five international locations. Prior to that, she was director of human resources at Omgeo, a financial services technology company. Robinson joined following a company merger to lead the implementation of key programs supporting the desired cultural integration strategies. Earlier in her career, she held senior management positions at Viant and Thomson Reuters. Robinson earned a bachelor's degree in psychology from the University of Massachusetts, Amherst.</t>
  </si>
  <si>
    <t>378538-66P</t>
  </si>
  <si>
    <t>Andrew Berg</t>
  </si>
  <si>
    <t>Mr. Andrew Berg serves as a Director at Companyon Ventures. He also serves as a Board Member at Sent.dm. Prior to joining Companyon, he attended Princeton University with degrees in Neuroscience and Entrepreneurship.</t>
  </si>
  <si>
    <t>andrew@companyon.vc</t>
  </si>
  <si>
    <t>183083-41P</t>
  </si>
  <si>
    <t>Balakumaran Balabaskaran</t>
  </si>
  <si>
    <t>Balakumaran</t>
  </si>
  <si>
    <t>Balabaskaran</t>
  </si>
  <si>
    <t>Mr. Balakumaran Balabaskaran is a Co-Founder and serves as Chief Technology Officer at Fullcast. Mr. Balabaskaran serves as Venture Partner at Companyon Ventures. He solves sales operations challenges that affect growing companies. Prior to founding fullcast.io, he ran sales operations for Salesforce.com where he managed a global team responsible for the annual sales planning process and "operationalizing" the nearly 30% year-over-year growth that Salesforce experienced</t>
  </si>
  <si>
    <t>+1 (732) 322-2749</t>
  </si>
  <si>
    <t>bala@fullcast.io</t>
  </si>
  <si>
    <t>Redmond, WA</t>
  </si>
  <si>
    <t>PMB 115, 23515 North East Novelty Hill Road</t>
  </si>
  <si>
    <t>Suite B221</t>
  </si>
  <si>
    <t>98053</t>
  </si>
  <si>
    <t>Co-Founder and Chief Technology Officer</t>
  </si>
  <si>
    <t>Fullcast</t>
  </si>
  <si>
    <t>46593-19P</t>
  </si>
  <si>
    <t>Bill Barton</t>
  </si>
  <si>
    <t>Mr. Bill Barton serves as Venture Partner at Companyon Ventures. He co-founded and served as Chief Strategy Officer at XS. Prior to co-founding XS, he was a consultant with Booz Allen &amp; Hamilton, where he consulted to the world's leading energy and chemical companies on issues of strategy, process improvement, cost-restructuring and organizational effectiveness. Before joining Booz Allen &amp; Hamilton, he was a design engineer with Bechtel Power Corporation. Barton holds a B.S. in mechanical engineering from Vanderbilt University and an M.B.A. from the University of Chicago.</t>
  </si>
  <si>
    <t>236170-00P</t>
  </si>
  <si>
    <t>Blair Heavey</t>
  </si>
  <si>
    <t>Blair</t>
  </si>
  <si>
    <t>Heavey</t>
  </si>
  <si>
    <t>Mr. Blair Heavey serves as Board Member &amp; Strategic Advisor at Torchlight. He serves as Advisor and Board Member at Cyvl.ai. He serves as a Venture Partner at Companyon Ventures. He served as Chief Executive Officer &amp; Board Member at WindESCo. Over the past 30+ years Blair Heavey has been a pillar of success for the multiple businesses he has worked for ranging from digital power-houses, traditional media, innovation, software and start-ups. Blair is experienced in creating, reinvigorating, investing, and leading companies to achieve their goals. Blair has held many different roles at different stages of company growth from Seed stage through Public Companies. This gives him the unique experience and expertise to see businesses from multiple angles, his included CEO, President of Sales, Strategic Advisor, and Board Member. Blair knows that the first step to any successful business is to make sure your product fits the market you want, you have the right go-to market strategy with the right operational team leaders to drive your intended purpose and results. Blair has helped businesses across many industries including social, mobile, electronic commerce, online marketing, online advertising, fintech, edtech, print, and data protection markets. He is passionate about challenging and helping leaders think through ventures, teams and business models toward improved purpose and results. Blair uses his collaborative personality style with years of innovation, growth and turn-around experience to assist companies with their strategic vision, creative ideas, and realistic approach to the market. Blair has helped over 25 companies achieve success and can't wait to help your business next. Backed by his undergraduate degree at Boston College and his MBA from Babson College</t>
  </si>
  <si>
    <t>+1 (844) 693-3477</t>
  </si>
  <si>
    <t>Burlington</t>
  </si>
  <si>
    <t>Burlington, MA</t>
  </si>
  <si>
    <t>25 Corporate Drive</t>
  </si>
  <si>
    <t>01803</t>
  </si>
  <si>
    <t>Board Member &amp; Strategic Advisor</t>
  </si>
  <si>
    <t>Torchlight (Business/Productivity Software)</t>
  </si>
  <si>
    <t>38824-48P</t>
  </si>
  <si>
    <t>Brandon Hickie</t>
  </si>
  <si>
    <t>Hickie</t>
  </si>
  <si>
    <t>Mr. Brandon Hickie is an Angel Investor. He serves as Venture Partner at Companyon Ventures. He served as Market Insights Manager at OpenView Venture Partners. He manages market and product strategy engagements in areas such as target segmentation, marketing operations management, marketing channels research, and customer experience management with OpenView's portfolio companies. His primary focuses are market and customer segmentation. In the past three years at OpenView, he has also managed lost customer, buyer insight, influencer, marketing channel discovery, and brand awareness research projects for the firm's portfolio companies, as well as assisted with due diligence for several investment opportunities. Prior to OpenView, Brandon was an Associate in the competition practice at Charles River Associates for over three years, where he focused on merger strategy, merger regulatory review, and antitrust litigation. In that capacity, he worked on several blockbuster mergers in the technology world and helped develop strategies on how to best position mergers for regulatory approval, as well as assist the defense on front page Wall Street Journal antitrust lawsuits in the technology space. Brandon graduated from the University of California, San Diego with a master's degree in public policy economics with a concentration in statistical and economic analysis. He also received a bachelor's degree from Occidental College in Spanish and diplomacy and world affairs, and is a Certified ScrumMaster.</t>
  </si>
  <si>
    <t>+1 (617) 478-7532</t>
  </si>
  <si>
    <t>328222-54P</t>
  </si>
  <si>
    <t>Brandon Pindulic</t>
  </si>
  <si>
    <t>Pindulic</t>
  </si>
  <si>
    <t>Mr. Brandon Pindulic serves as Founder &amp; President at Spacebar Ventures. He is a Founder and serves as Chief Executive Officer &amp; Growth Advisor at OpGen Media. Mr. Pindulic serves as a Venture Partner at Companyon Ventures. Mr. Pindulic served as Chairman at Planet Compliance. Mr. Pindulic was the founder &amp; CEO of OpGen Media, a B2B Marketing Ops &amp; Demand Generation Agency (acq. by Reel Axis). Before starting OpGen Media, Mr. Pindulic worked as a Demand Generation Manager at ProofHQ (acq. by Workfront) and Wasabi Ventures. With over 8 years of B2B Demand Gen experience working across growth-stage SaaS companies and Fortune 1000 Technology companies, Mr. Pindulic has deep expertise across foundational demand generation and marketing operations processes for early- to growth-stage companies, while servicing Mid-Market and Enterprise SaaS companies through scalable lead generation campaigns. Mr. Pindulic and his team have worked with companies such as Citrix, DocuSign, Oracle, and more, along with countless startups and established professional services companies.</t>
  </si>
  <si>
    <t>+1 (908) 278-7146</t>
  </si>
  <si>
    <t>brandon@spacebarventures.com</t>
  </si>
  <si>
    <t>Spacebar Ventures</t>
  </si>
  <si>
    <t>32622-22P</t>
  </si>
  <si>
    <t>Brent Nixon</t>
  </si>
  <si>
    <t>Nixon</t>
  </si>
  <si>
    <t>Mr. Brent Nixon serves as a Venture Partner at Companyon Ventures. Previously, he served as Chief Ecosystem Officer at Reputation. He serves as the Vice President of Technology Alliances &amp; Business Development of Procera Networks. Prior to 3Com, Mr. Nixon served as co-founder and Vice President of Maxis Research, a market research/information company offering information and data products and services to the automotive industry. Mr. Nixon has several years of product management and operation experience within the technology industry. Prior to Cymphonix, he served as Director of Product Management for 3Com's Wireless Systems product line. Mr. Nixon earned his MBA from the University of British Columbia as well as a Bachelor of Science from the University of Utah. With deep experience in sales and partnerships at high-growth technology companies, he leads Reputation's global partner organization. He joined Reputation.com from Adobe via its acquisition of Workfront, where he spent more than six years in senior leadership roles. Most recently, he led Workfront's Global Alliances and Partner organization. Prior to Workfront, he served as Vice President of Technology Partnerships at Procera Networks via its acquisition of Vineyard Networks.</t>
  </si>
  <si>
    <t>44382-70P</t>
  </si>
  <si>
    <t>Brian Kardon</t>
  </si>
  <si>
    <t>Kardon</t>
  </si>
  <si>
    <t>Mr. Brian Kardon serves as Chief Marketing Officer at InVision. Mr. Kardon serves as Venture Partner at Companyon Ventures. Mr. Brian Kardon served as Chief Marketing Officer at Fuze. He is responsible for Fuze's market positioning, demand generation, thought leadership, and integrated marketing worldwide. Brian is a results-oriented marketing executive with more than 20 years of experience creating and implementing successful growth strategies. His experience ranges from startups to global, billion-dollar organizations. Prior to Fuze, Brian was CMO at Lattice Engines, the leader in predictive marketing and sales applications. Before Lattice, Brian was CMO at Eloqua where he was part of the team that led Eloqua's explosive growth and leadership in the marketing automation sector, resulting in a successful IPO and subsequent purchase by Oracle. Previously, Brian was Chief Strategy and Marketing Officer at Forrester Research, where he helped turn the brand into a leader in the technology research sector. He also served as CMO at Reed Business Information, the largest B2B publisher in the world. Brian was recently named a Top 10 Global CMO for companies &lt;$250 million revenue by The CMO Institute and Top 15 CMO on Twitter by Social Media Marketing Magazine. He is also among the Top 50 Most Influential People in Sales Lead Management, named by the Sales Lead Management Association. Brian received his BS and MBA degrees from The Wharton School of the University of Pennsylvania</t>
  </si>
  <si>
    <t>121713-04P</t>
  </si>
  <si>
    <t>Casey Renner</t>
  </si>
  <si>
    <t>Casey</t>
  </si>
  <si>
    <t>Renner</t>
  </si>
  <si>
    <t>Ms. Casey Renner serves as Venture Partner at Companyon Ventures. She served as a Partner at OpenView Venture Partners. She is focused on creating and managing unique and personalized experiences for OpenView's executive network. She is also responsible for facilitating executive events and leading innovative marketing initiatives for OpenView. She serves as the primary liaison between the firm's Marketing and Operations teams. Prior to joining OpenView, she worked for Forrester Research, Inc., a market research and advisory firm based in Cambridge, MA. She served as a program manager for the advisory consulting group, working to manage and execute successful analyst engagements for Forrester's vendor accounts. She earned BS in Business from Florida Southern College in 2009.</t>
  </si>
  <si>
    <t>+1 (617) 478-0932</t>
  </si>
  <si>
    <t>113647-06P</t>
  </si>
  <si>
    <t>Chetan Maniikantan</t>
  </si>
  <si>
    <t>Maniikantan</t>
  </si>
  <si>
    <t>Mr. Chetan Maniikantan is a Co-Founder &amp; serves as Board Member at Guru-G. He co-Founded &amp; served as Chief Executive Officer at Stonkleague. He is a software engineer and serial entrepreneur. He currently serves as the chief of product and technology at Ompay (fintech). He serves on the board of advisors at EverBloom.io, MCG.ai, and Skinary. app, among others. He recently co-founded Tengu, a Fintech venture, later acquired by a Boston-based Fintech company. He serves as Venture Partner at Companyon Ventures.</t>
  </si>
  <si>
    <t>+91 (0)98 1955 3134</t>
  </si>
  <si>
    <t>chetan@guru-g.com</t>
  </si>
  <si>
    <t>Bangalore</t>
  </si>
  <si>
    <t>Bangalore, India</t>
  </si>
  <si>
    <t>403, Brigade Business Suites</t>
  </si>
  <si>
    <t>Ashoka Pillar, Jayanagar</t>
  </si>
  <si>
    <t>Karnataka</t>
  </si>
  <si>
    <t>560011</t>
  </si>
  <si>
    <t>Guru-G</t>
  </si>
  <si>
    <t>44526-97P</t>
  </si>
  <si>
    <t>Chris Brookins</t>
  </si>
  <si>
    <t>Brookins</t>
  </si>
  <si>
    <t>Mr. Chris Brookins serves as Venture Partner at Companyon Ventures. Mr. Brookins served as Customer Champion at Brightwurks. Chris was the Senior Vice President of Engineering of Acquia. Chris earned his BS in computer science from Lehigh University.</t>
  </si>
  <si>
    <t>85244-77P</t>
  </si>
  <si>
    <t>Christopher Lord</t>
  </si>
  <si>
    <t>Lord</t>
  </si>
  <si>
    <t>Mr. Christopher Lord is a Co-Founder &amp; serves as Chief Technology Officer at Lambent. He serves as Venture Partner at Companyon Ventures. He also serves as Director, Research and Development and Chief Architect at Bit9. He co-founded and served as Chief Executive Officer at Latch Mobile.</t>
  </si>
  <si>
    <t>+1 (406) 361-7817</t>
  </si>
  <si>
    <t>chris.lord@lambentspaces.com</t>
  </si>
  <si>
    <t>4 Liberty Square</t>
  </si>
  <si>
    <t>Floor 6</t>
  </si>
  <si>
    <t>Lambent</t>
  </si>
  <si>
    <t>426889-54P</t>
  </si>
  <si>
    <t>Chuck Cory</t>
  </si>
  <si>
    <t>Chuck</t>
  </si>
  <si>
    <t>Mr. Chuck Cory serves as Venture Partner at Companyon Ventures. He joined Morgan Stanley in 1982 after earning a joint MBA/JD degree at UVA. Early on, he led Morgan Stanley's banking activities in Media and Telecomms ('90-92) and Health Care Services ('92-94). He was named to the management committee of the M&amp;A department in 1994. He relocated to Silicon Valley in 1995 and served as Worldwide Head of Technology M&amp;A. He rode the tech bubble up and down, was elevated to Chairman of Technology Banking in 2006 and retired in 2015.</t>
  </si>
  <si>
    <t>60824-62P</t>
  </si>
  <si>
    <t>Craig Palli</t>
  </si>
  <si>
    <t>Palli</t>
  </si>
  <si>
    <t>Mr. Craig Palli serves as Venture Partner at Companyon Ventures. He served as Chief Executive Officer and President at Testive. He serves as Venture Partner at Companion Ventures. He also serves as Investor Partner at Converge Venture Partners. He served as the Chief Strategy Officer at Fiksu. Before Fiksu, he was the Founder and served as Chief Executive Officer at Torrent, Inc., a manufacturer of patent-rich and ecologically friendly consumer electronics products. Previously, he held senior management roles at DirectoryM, Inc., a premier online advertising network for small businesses, and ValueClick, Inc., one of the world's largest integrated online marketing companies. In addition, he helped grow Be-Free Inc. from a start-up with six customers to a $3 billion market cap before its acquisition by ValueClick. He graduated from Carnegie Mellon University with dual majors in economics and industrial management and holds an MBA from the F.W. Olin Graduate School of Business at Babson College. He holds a BS (Bachelor of Science) in Economics from Carnegie Mellon University. He served as an Advisor at Crop One Holdings.</t>
  </si>
  <si>
    <t>42221-08P</t>
  </si>
  <si>
    <t>Daniel Stevenson</t>
  </si>
  <si>
    <t>Stevenson</t>
  </si>
  <si>
    <t>Mr. Daniel Stevenson serves as Venture Partner at Companyon Ventures. He served as Chief Revenue Officer at Promoboxx. Most recently he was Director of Worldwide Partner Marketing for Iron Mountain, which he joined after their acquisition of LiveVault Corporation. Daniel was also responsible for channel partnerships at eRoom (later acquired by Documentum) and for partner marketing at SQA (acquired by Rational Software after their successful IPO). Daniel holds a B.S.B.A. from Boston University and an M.B.A. from Northeastern University.</t>
  </si>
  <si>
    <t>247146-13P</t>
  </si>
  <si>
    <t>David Herrick</t>
  </si>
  <si>
    <t>Herrick</t>
  </si>
  <si>
    <t>Mr. David Herrick serves as Venture Partner at Companyon Ventures. Mr. Herrick served as Startup Advisor, Mentor &amp; Expert at MassChallenge. He has a BA in Art History from Vassar College and an MBA from New York University.</t>
  </si>
  <si>
    <t>36111-07P</t>
  </si>
  <si>
    <t>David Krupinski</t>
  </si>
  <si>
    <t>Krupinski</t>
  </si>
  <si>
    <t>Mr. David Krupinski serves as Chief Executive Officer &amp; Board Member at Coravin. he served as Chief Operating Officer at Coravin. Previously, he served as Chief Technology Officer at Coravin. He co-founded Care.com. He serves as Venture Partner at Companyon Ventures. He served as a Board Member at Geckomatics. He is inspired by the opportunity to leverage technology and the Internet to solve one of the most pressing and important issues that families face today: finding quality care for their loved ones. In his role, he oversees all engineering, quality assurance, product management, reporting and analytics, production operations and IT activities for the Company. He has more than 20 years of experience designing and developing software products and online services. Prior to co-founding Care.com, he was Director of Product Management at Upromise from 2000-2006. During his career, he has held senior management and executive positions at a number of successful start-ups including Upromise.com (acquired by Sallie Mae), Direct Hit (acquired by Ask Jeeves) and Stylus Innovation (acquired by Artisoft). He began his career as a Software Engineer at Thomson Financial in 1988. He holds a B.A. (1988) and M.S. (1992) from Boston College and received an M.B.A. for Executives from INSEAD in Fontainebleau, France (2006).</t>
  </si>
  <si>
    <t>+1 (855) 692-6728</t>
  </si>
  <si>
    <t>dave.krupinski@coravin.com</t>
  </si>
  <si>
    <t>Bedford</t>
  </si>
  <si>
    <t>Bedford, MA</t>
  </si>
  <si>
    <t>34 Crosby Drive</t>
  </si>
  <si>
    <t>01730</t>
  </si>
  <si>
    <t>Coravin</t>
  </si>
  <si>
    <t>36699-85P</t>
  </si>
  <si>
    <t>David Stack</t>
  </si>
  <si>
    <t>Stack</t>
  </si>
  <si>
    <t>Mr. David Stack serves as Chief Financial Officer at RapidDeploy. Mr. David Stack served as Chief Financial Officer at Reputation Institute. He also serves as Chief Financial Officer at Superna. Venture Partner at Companyon Ventures. He served as the Chief Financial Officer at QStream. Mr. Stack served as the Chief Financial Officer at Localytics. Previously working at HubSpot, Inc. Mr. Stack served as Vice President of Finance at EMC Corporation. Before EMC, he held several senior finance positions, including Vice President - Finance, for RSA Security. Most notably, he served as the Finance Lead for RSA Security. He holds a BS in Accounting from Florida Southern College and an MBA from the University of Central Florida. He also completed the Program for Leadership Development, targeting potential leaders, at the Harvard Business School Executive Education Program. He served as a Board Member at BrandYourself.</t>
  </si>
  <si>
    <t>+1 (737) 201-9175</t>
  </si>
  <si>
    <t>david.stack@rapiddeploy.com</t>
  </si>
  <si>
    <t>310 Comal Street, Building A</t>
  </si>
  <si>
    <t>Suite 200, Number 205</t>
  </si>
  <si>
    <t>RapidDeploy</t>
  </si>
  <si>
    <t>70397-02P</t>
  </si>
  <si>
    <t>David Vap</t>
  </si>
  <si>
    <t>Vap</t>
  </si>
  <si>
    <t>Mr. David Vap served as Board Member at Atlas RFID Solutions. He served as Acting Chief Product Officer at Tenovos. He also serves as Vice President of Product Development at Oracle. He serves as Co-Chief Technology Officer and Board Member at OpenMethods. He is a Board Member of CrossTx. He serves as Group Vice President Oracle Applications Development at Oracle. He serves as Venture Partner at Companyon Ventures. He is responsible for driving product strategy and product management for the cloud-based Oracle customer services products and for aligning the strategy for the Oracle customer experience portfolio, which consists of sales, service, marketing, and commerce applications. He earned his Bachelor of Science in 1990 at Carnegie Mellon University. He also served as Industry Advisory Board Member at Next Frontier Capital.</t>
  </si>
  <si>
    <t>+1 (406) 587-2390</t>
  </si>
  <si>
    <t>Bozeman</t>
  </si>
  <si>
    <t>Bozeman, MT</t>
  </si>
  <si>
    <t>317 East Mendenhall Street</t>
  </si>
  <si>
    <t>Suite A</t>
  </si>
  <si>
    <t>Montana</t>
  </si>
  <si>
    <t>59715</t>
  </si>
  <si>
    <t>CrossTx</t>
  </si>
  <si>
    <t>328208-86P</t>
  </si>
  <si>
    <t>Denise Millard</t>
  </si>
  <si>
    <t>Millard</t>
  </si>
  <si>
    <t>Ms. Denise Millard serves as Chief Partner Officer at Dell Technologies. Mr. Millard serves as Venture Partner at Companyon Ventures. She played a vital role in the integration of Dell and EMC as a member of the Value Creation Integration Office focused on Go-To-Market integration and field readiness for the newly combined organization. During her decade in partner-centric roles, she launched partner and partner services programs, managed top partner relationships, and drove program enablement to support direct and partner selling motions. She played a vital role in the integration of Dell and EMC as a member of the Value Creation Integration Office focused on Go-To-Market integration and field readiness for the newly combined organization. Intensely committed to developing the next generation of talent, Millard is a strong believer in mentorship and development. She is a long-standing sponsor and contributor to Dell's Women In Action (WIA) Resource Group. Millard serves on the Strategic Advisory Board for the Simmons University Institute for Inclusive Leadership.
Millard lives in Massachusetts with her husband and two children. An avid fitness enthusiast, she can often be found at her local CrossFit gym. She holds an MBA from Clark University and a BS in Business from Bryant University. She is responsible for delivering the promise of Dell Technologies to customers, together with some of Dell's most strategic partners and industry experts while leading Dell's partner strategy and vision, enablement, program design and experience.</t>
  </si>
  <si>
    <t>+1 (512) 728-7800</t>
  </si>
  <si>
    <t>denise.millard@dell.com</t>
  </si>
  <si>
    <t>Round Rock</t>
  </si>
  <si>
    <t>Round Rock, TX</t>
  </si>
  <si>
    <t>1 Dell Way</t>
  </si>
  <si>
    <t>78682</t>
  </si>
  <si>
    <t>Chief Partner Officer</t>
  </si>
  <si>
    <t>Dell Technologies</t>
  </si>
  <si>
    <t>183082-87P</t>
  </si>
  <si>
    <t>Dharmesh Singh</t>
  </si>
  <si>
    <t>Dharmesh</t>
  </si>
  <si>
    <t>Mr. Dharmesh Singh is a Co-Founder and serves as Chief Customer Officer, Co-Co-Chief Executive Officer, and Board Member at Fullcast. Mr. Singh serves as Venture Partner at Companyon Ventures. He brings over 25 years of experience being part of global teams in Sales, Operations, and Engineering who learned to build enterprise solutions with stints at Microsoft and Salesforce. Passionate about ideas and always itching to do more than the resources at his disposal.</t>
  </si>
  <si>
    <t>Co-Founder, Chief Customer Officer, Co-Co-Chief Executive Officer, and Board Member</t>
  </si>
  <si>
    <t>32178-34P</t>
  </si>
  <si>
    <t>Eric Morgan</t>
  </si>
  <si>
    <t>Mr. Eric Morgan is an Angel Investor. He serves as Venture Partner at Companyon Ventures. He served as Chief Executive Officer at PeopleKeep. He serves as the Chief Executive Officer and President at Maintenance Connection. He served as Chief Executive Officer, Board Member &amp; President at Workfront. He is also the President and Board Member. He served in AdvancedMD as President and CEO since 2008. Prior to AdvancedMD, he was President and CEO of StatCom. Prior to StatCom, he was with Lawson Software for thirteen years, holding a number of positions, including Executive Vice President and General Manager of Lawson's healthcare business unit. He has a Bachelor of Arts in Business from New England College.</t>
  </si>
  <si>
    <t>426889-00P</t>
  </si>
  <si>
    <t>Erik Charles</t>
  </si>
  <si>
    <t>Mr. Erik Charles serves as Venture Partner at Companyon Ventures. He has a bachelor's degree from Stanford University and an MBA from the Paul Merage School of Business at the University of California, Irvine. At Merage he serves as a mentor for students, a guest lecturer, and is a charter member of the Dean's Leadership Circle. He holds regular webinars about sales force management, motivation, and optimization. He is a recurring panelist at the Thought Leadership on the Sales Profession Conference, providing market feedback on how leading academic research can be applied to current challenges companies face.</t>
  </si>
  <si>
    <t>13745-80P</t>
  </si>
  <si>
    <t>Firas Raouf</t>
  </si>
  <si>
    <t>Firas</t>
  </si>
  <si>
    <t>Raouf</t>
  </si>
  <si>
    <t>Mr. Firas Raouf is the Co-Founder and serves as General Partner at Companon Ventures. He serves as Board Member at RoadSync and Cyvl.ai. He served as Board Member at Lexop. He serves as Board Member at Apty and Bento. Prior to joining Companyon Ventures, He was a founding partner at OpenView Venture Partners based in Boston where he invested $76.6M from several funds. Prior to OpenView, He was at Insight Venture Partners after being invited to join the Insight team after founding and scaling Insight's portfolio company that he co-founded, eEye Digital Security. In 2006, after leaving Insight Venture Partners, he was a founding partner at OpenView Venture Partners based in Boston where he invested $76.6M. Openview is an expansion stage fund focused on B2B SaaS with a unique model of delivering exceptional value-add work to its portfolio through a dedicated consulting team. He is also an Angel Investor. He serves as Board Member at Beamable. He serves as Board Member at Allstacks.</t>
  </si>
  <si>
    <t>+1 (857) 472-0753</t>
  </si>
  <si>
    <t>firas@companyon.vc</t>
  </si>
  <si>
    <t>51483-07P</t>
  </si>
  <si>
    <t>Gail Hoffman</t>
  </si>
  <si>
    <t>Ms. Gail Hoffman serves as Managing Director at Golden Seeds. She is an active early-stage investor, mentor to entrepreneurs, and board member. She serves as the Board Member at Groupize. She serves as Venture Partner at Companyon Ventures. Prior to Golden Seeds, he spent many years in private equity at Boston Ventures Management, where she focused on the communications, media, and entertainment industries. He earned an MBA with high distinction in Finance from The University of Pennsylvania's Wharton School.</t>
  </si>
  <si>
    <t>+1 (631) 698-8126</t>
  </si>
  <si>
    <t>Flushing</t>
  </si>
  <si>
    <t>Flushing, NY</t>
  </si>
  <si>
    <t>Post Office Box 541473</t>
  </si>
  <si>
    <t>11354</t>
  </si>
  <si>
    <t>Golden Seeds</t>
  </si>
  <si>
    <t>57809-26P</t>
  </si>
  <si>
    <t>Henry Ancona</t>
  </si>
  <si>
    <t>Ancona</t>
  </si>
  <si>
    <t>Mr. Henry Ancona serves as Executive Advisor at LahakX. He is an Angel Investor. He served as a Board Member at Verne Global. He served as Chairman at Medisafe. He served as a Board Member at BlueConic. He served as a Board Member at QUMAS. He served as a Chairman at Signiant. He has broad-based experience as a business leader, board member, and angel investor. He serves as an executive advisor to technology companies in online media, e-commerce, life sciences, software, security, and other businesses and is an active angel investor focusing on software infrastructure, applications, and consumer internet. He is a member and a past Board member of CommonAngels. He has served on the Board of Directors of both private and public companies, helping several successful M&amp;A transactions. He currently serves on the Boards of Active Endpoints, EZPrints, QUMAS, BlueConic, rPath, and Signiant (Chairman). Past boards have included Visible Measures, Sentillion (acquired), Pegasystems, and OneSource (acquired). He also served as an Investment Committee Member at Castor Ventures. He has over 25 years of operational experience both in Europe and the US. He was most recently President at Pegasystems (NASDAQ: PEGA), a business process management software company, and Chairman/CEO of Evidian, a security and telecom management software company that he founded through an equity carve-out. Earlier, he held management positions at Digital Equipment, including leading the company's office software business from start-up to number 1 in market share.</t>
  </si>
  <si>
    <t>+1 (650) 318-5187</t>
  </si>
  <si>
    <t>Salinas</t>
  </si>
  <si>
    <t>Salinas, CA</t>
  </si>
  <si>
    <t>150 main street</t>
  </si>
  <si>
    <t>93901</t>
  </si>
  <si>
    <t>LahakX</t>
  </si>
  <si>
    <t>42988-78P</t>
  </si>
  <si>
    <t>Jackie Golden</t>
  </si>
  <si>
    <t>Golden</t>
  </si>
  <si>
    <t>Ms. Jackie Golden serves as Venture Partner at Companyon Ventures. Ms. Golden served as Senior Advisor at OpenView Venture Partners. She serves as Senior Vice President, Global Services at Socrata. Jackie served as VP of Global Services at AtTask. Jackie Golden leads the global customer support, education and consulting services organizations as well as the Partner programs as Vice President of Global Services at AtTask. "My goal is to ensure every customer finds value in the use of AtTask to manage their work," says Golden, "providing them the online and personal resources and information necessary to help their company utilize best practices and ensure their success." Jackie has more than fifteen years of experience in the software industry at companies such as Hyperion, PowerCerv, Cognos, Ascential and IBM building top performing PSO organizations as well as owning her own Executive Consulting Services business, Golden Enterprises. Outside of the business world, Jackie has a passion for horses. She rode hunters and jumpers in previous years, but more recently has been focused in the Dressage events. She and her horse, Sundance, compete regularly in local competitions and together have claimed multiple awards. She also enjoys hiking and skiing with her family. Jackie's educational background includes an undergraduate degree in International Business at California Polytechnic University, San Luis Obispo and an Executive MBA from San Diego State University.</t>
  </si>
  <si>
    <t>jackiegolden@landnexpand.com</t>
  </si>
  <si>
    <t>76284-10P</t>
  </si>
  <si>
    <t>Jay Batson JD</t>
  </si>
  <si>
    <t>Batson</t>
  </si>
  <si>
    <t>Mr. Jay Batson serves as Advisory Board Member at Paperless Parts. He served as Board Member at NotedSource. Mr. Batson serves as Venture Partner at Companyon Ventures. He was an Angel Investor. He serves as Advisor at UptimeHealth</t>
  </si>
  <si>
    <t>+1 (617) 858-5731</t>
  </si>
  <si>
    <t>101 Federal Street</t>
  </si>
  <si>
    <t>Floor 9</t>
  </si>
  <si>
    <t>Paperless Parts</t>
  </si>
  <si>
    <t>33599-26P</t>
  </si>
  <si>
    <t>Jeremy Aber JD</t>
  </si>
  <si>
    <t>Aber</t>
  </si>
  <si>
    <t>Mr. Jeremy Aber serves as Venture Partner at Companyon Ventures. Mr. Aber served as Senior Advisor at OpenView Venture Partners. He works with the portfolio companies on value-add legal initiatives as part of the Organization/Operational Team of OpenView Labs. Jeremy has developed a methodology for streamlining and simplifying the revenue generating agreements and negotiation process for IT based companies, and helps his clients, among other things, to increase their revenue by trying to shorten the contracting process. This is also one of the several value-add initiatives he often helps the OpenView portfolio companies with as part of OpenView Labs, as growing revenue often involves significant contracting challenges. Jeremy runs his own IT focused law firm, the Aber Law Firm, and has over 18 years experience in technology and corporate law. He previously served as the General Counsel to OpenView Venture Partners; General Counsel and Vice President to ScriptLogic Corporation, a Windows software tools vendor; and the Head of US Licensing for BMC Software, a Fortune 500 enterprise software vendor. In addition, Jeremy began his career as a Corporate and Finance Associate Attorney at Mayer Brown, a global law firm. Jeremy received his law degree from the University of Houston Law Center, where he graduated Cum Laude and served as an Associate Editor on the Houston Law Review. Jeremy has a B.B.A in Accounting from The University of Texas, at Austin, and has passed all sections of the Certified Public Accountants' Examination.</t>
  </si>
  <si>
    <t>jeremy@aberlawfirm.com</t>
  </si>
  <si>
    <t>156372-49P</t>
  </si>
  <si>
    <t>Joel Rosen</t>
  </si>
  <si>
    <t>Mr. Joel Rosen serves as Board Member at Win-911 Software. Mr. Rosen serves as Venture Partner at Companyon Ventures. Previously, he served as the Chief Marketing Officer at Everbridge. He leads the marketing team at Everbridge and oversees the development of brand-focused initiatives, product marketing, and digital campaigns aimed at expanding the adoption of the company's critical communications platform. Joel brings more than three decades of marketing and company-building experience in the technology sector to his role at Everbridge. He has held leadership roles at both public and private tech companies in Boston. Most recently, he served as Executive Vice President of Product and Marketing at Endurance International Group, a $750MM provider of web solutions. He also was CEO of NaviSite as it grew from $10MM to $100MM in revenue, and Executive Vice President at Aspen Technology as it established category leadership and grew from $6MM to $250MM in revenues. Rosen also served as an advisor to Dallas-based Softlayer, where he helped scale the company through its $2B acquisition by IBM. He was a Venture Partner at Charles River Ventures and began his career at Bain &amp; Company. He received his BA and MBA from Harvard University.</t>
  </si>
  <si>
    <t>joel.rosen@everbridge.com</t>
  </si>
  <si>
    <t>Everbridge (Former)</t>
  </si>
  <si>
    <t>161287-03P</t>
  </si>
  <si>
    <t>John Stetic</t>
  </si>
  <si>
    <t>Stetic</t>
  </si>
  <si>
    <t>Mr. John Stetic serves as Chief Product Officer at Ziflow. Mr. Stetic serves as Venture Partner at Companyon Ventures. He served as Chief Product Officer at Prodigy Education. He served as Chief Product Officer at Zinc (Communications Technology). He served as Board Member at Allocadia.</t>
  </si>
  <si>
    <t>+44 (0)85 5494 3569</t>
  </si>
  <si>
    <t>john@ziflow.com</t>
  </si>
  <si>
    <t>Northwood</t>
  </si>
  <si>
    <t>Northwood, United Kingdom</t>
  </si>
  <si>
    <t>Alton House 66 High Street</t>
  </si>
  <si>
    <t>Middlesex</t>
  </si>
  <si>
    <t>HA6 1BL</t>
  </si>
  <si>
    <t>Ziflow</t>
  </si>
  <si>
    <t>41649-67P</t>
  </si>
  <si>
    <t>Joshua Kanner</t>
  </si>
  <si>
    <t>Kanner</t>
  </si>
  <si>
    <t>Mr. Joshua Kanner serves as Venture Partner at Companyon Ventures . He was the Founder of Smartvid.io and served as Board Member and Chief Executive Officer. He also served as Board Member at Cumulus Digital Systems. Most recently he co-founded Vela Systems, a pioneer in the use of web and tablet workflows for construction and capital projects. The company was successfully acquired by Autodesk in 2012 and has been rebranded as BIM360 Field. Prior to founding Vela Systems, he was responsible for product management and strategy at Emptoris (now part of IBM), a web-based strategic sourcing software company. He graduated from Brown University and earned an MBA from MIT's Sloan School of Management. He served as Advisor at ManufactOn.</t>
  </si>
  <si>
    <t>229256-38P</t>
  </si>
  <si>
    <t>Kendall Garff</t>
  </si>
  <si>
    <t>Garff</t>
  </si>
  <si>
    <t>Mr. Kendall Garff is the Founder &amp; serves as Chief Executive Officer at Chatsi. He founded and served as President at Amplifi.io. Mr. Garff serves as Venture Partner at Companyon Ventures.</t>
  </si>
  <si>
    <t>kgarff@chatsi.ai</t>
  </si>
  <si>
    <t>Heber City</t>
  </si>
  <si>
    <t>Heber City, UT</t>
  </si>
  <si>
    <t>104 East 6th South</t>
  </si>
  <si>
    <t>Suite 420</t>
  </si>
  <si>
    <t>84032</t>
  </si>
  <si>
    <t>Chatsi</t>
  </si>
  <si>
    <t>39425-86P</t>
  </si>
  <si>
    <t>Louis Shipley</t>
  </si>
  <si>
    <t>Shipley</t>
  </si>
  <si>
    <t>Mr. Louis Shipley serves as Board Member at Leapwork. He serves as Venture Partner at Companyon Ventures. He served as Advisor To The Board at Alchemist. He serves as Executive Advisor at Cove Hill Partners. He serves as a Board Member at Teamworks and Wasabi. He served as a Board Member at SentryOne. He serves as Board Member at Alyce. He serves as the Chief Executive Officer, President and Board Member at Black Duck. He serves as a Board Member at FairMarkIT. He also serves as Advisor at Velocity Equity Partners. He brings over 25 years of experience as an enterprise software executive. He is a veteran of five Massachusetts software startups: Avid, WebLine (Cisco), FairMarket (Ebay), Reflectent (Citrix) and VMTurbo. He was President and CEO of VMTurbo, Inc., and Reflectent Software (acquired by Citrix Systems in 2006), both of which served the enterprise and financial services industries. After the Reflectent acquisition, he served as General Manager of the Citrix Management Systems group and then took on the role of General Manager of the Citrix Virtualization and Cloud Products Group. He worked as an Entrepreneur-in-Residence at Highland Capital Partners in 2002. Before Highland, he served as Vice President of Worldwide Field Operations for WebLine Communications, a customer contact centre software company acquired by Cisco Systems in 1999 for $325 million. Before WebLine, he served as Vice President of Americas and Pacific operations at Avid Technology. He joined Avid when the company was a startup and oversaw its growth to over $450 million in revenue. He also founded and served as President of Avid Japan KK. He serves as Chairman of the Board of CustomerGauge and is an advisor to AppFirst and Unidesk Software. He holds a BA in economics from Trinity College and an MBA from Harvard Business School. He is a lecturer at the MIT Sloan School of Management, where he teaches the course "Technology Sales &amp; Sales Management." He is also as an Angel Investor.</t>
  </si>
  <si>
    <t>+1 (781) 891-5100</t>
  </si>
  <si>
    <t>Store Kongensgade 72C</t>
  </si>
  <si>
    <t>1264</t>
  </si>
  <si>
    <t>Leapwork</t>
  </si>
  <si>
    <t>263213-20P</t>
  </si>
  <si>
    <t>Luke Hohmann</t>
  </si>
  <si>
    <t>Hohmann</t>
  </si>
  <si>
    <t>Mr. Luke Hohmann founded and served as Chief Executive Officer at FirstRoot. He is the Chief Innovation Officer of Applied Frameworks, a boutique consulting firm helping companies create more profitable software-enabled solutions. He is one of six people in the world recognized as a Principal Contributor to the Scaled Agile Framework, one of the world's most widely adopted Agile Software Development frameworks. He serves as Venture Partner at Companyon Ventures. He has an M.S.E. in Computer Science and Engineering from the University of Michigan.</t>
  </si>
  <si>
    <t>FirstRoot (Former)</t>
  </si>
  <si>
    <t>46566-55P</t>
  </si>
  <si>
    <t>Mark Kasdorf</t>
  </si>
  <si>
    <t>Kasdorf</t>
  </si>
  <si>
    <t>Mr. Mark Kasdorf is the Founder and serves as Chief Executive Officer, President and Board Member at Forge. He serves as Venture Partner at Companyon Ventures. He leads the Forge team. In 2010, fresh out of graduate school and having never had a job in the "real world," he started his first entrepreneurial venture (or at least the first one that generated revenue): Intrepid. Bootstrapped from inception to exit, Intrepid utilized an apprentice-style training model to create one of the largest mobile development firms on the East Coast before selling to Accenture in 2017. He loves building companies and solving problems.</t>
  </si>
  <si>
    <t>+1 (857) 887-1849</t>
  </si>
  <si>
    <t>mark@forgeco.com</t>
  </si>
  <si>
    <t>Auburndale</t>
  </si>
  <si>
    <t>Auburndale, MA</t>
  </si>
  <si>
    <t>66 Rowe Street</t>
  </si>
  <si>
    <t>02466</t>
  </si>
  <si>
    <t>Forge (Construction and Engineering)</t>
  </si>
  <si>
    <t>328194-28P</t>
  </si>
  <si>
    <t>Matthew Daniels</t>
  </si>
  <si>
    <t>Daniels</t>
  </si>
  <si>
    <t>Mr. Matthew Daniels serves as Venture Partner at Companyon Ventures. Mr. Daniels brings 22 years of commercial real estate experience to JLL's Suburban Boston Leasing team with experience representing tenants and landlords in the Greater Boston Market. As Brokerage Lead and Executive Managing Director, Mr. Daniels and his team continue to be market leaders in structuring the region's most complex and creative transactions on behalf of their clients. Mr. Daniels is a licensed Massachusetts real estate broker, President of the Commercial Brokers Association, Greater Boston Trustees of the Reservation. He is also a Board Member, Development Committee of Team Impact, Hamilton Little League Board, and President of the Steering Committee of Appleton Farms. Mr. Daniels has a Bachelor of Arts from Brown University.</t>
  </si>
  <si>
    <t>427420-00P</t>
  </si>
  <si>
    <t>Meg Henry</t>
  </si>
  <si>
    <t>Ms. Meg Henry serves as Head of People &amp; Talent at Companyon Ventures. She has spent the last 10 years in the HR and Recruiting space supporting a wide range of teams and roles. She started in the HR department at a Financial Services company and spent time as an agency recruiter at Robert Half before moving into technology.</t>
  </si>
  <si>
    <t>meg@companyon.vc</t>
  </si>
  <si>
    <t>Head of People &amp; Talent</t>
  </si>
  <si>
    <t>68257-00P</t>
  </si>
  <si>
    <t>Michelle Hipwood</t>
  </si>
  <si>
    <t>Hipwood</t>
  </si>
  <si>
    <t>Ms. Michelle Hipwood serves as Chief Financial Officer at Reprise. She serves as Chief Financial Officer, Chief Operating Officer &amp; Advisor at Mable. She serves as a Venture Partner at Companyon Ventures. She is a Co-Founder &amp; serves as CFO at EnFi. She served as Chief Financial Officer at Clypd. She served as Director of Finance and Operations at ImmusanT. She previously held roles as the Director of Finance and Operations at Immusant, an early-stage biotech, and the Executive Director and Chief Operating Officer of The Capital Network, a non-profit dedicated to providing extensive educational and mentoring programs to help early-stage entrepreneurs successfully raise seed capital. Her earlier career was spent in Investment Banking and Strategy Consulting at large institutions like Bank of America and Deloitte. She is currently the treasurer of the Board at Land's Sake Community Farm, a local farm dedicated to farm and land sustainability and education.</t>
  </si>
  <si>
    <t>50159-08P</t>
  </si>
  <si>
    <t>Misty Frost</t>
  </si>
  <si>
    <t>Frost</t>
  </si>
  <si>
    <t>Ms. Misty Frost serves as Chief Transformation Officer at Instructure. Ms. Misty Frost served as Chief Executive Officer at Carrus. Ms. Frost serves as Venture Partner at Companyon Ventures. She served as Chief Executive Officer at Penn Foster. She serves as Board Member at Marketware. She has extensive global experience at a senior executive level. She was most recently CEO of Penn Foster after it combined with Carrus in 2021. Before coming to Carrus in 2018, she held a position at Instructure as CMO. During her time at Instructure, she led the global growth strategy and delivered marketing programs to fuel that growth, driving value from a private start-up to a publicly traded business valued at over $1 billion. Over her almost 30-year career, she has also served as the VP of Delivery Services for Datamark and has worked in a variety of client advocacy roles for global brands including Intel, Nortel Networks, Hyatt Hotels, and Disney. she received her bachelor's degree from the University of Utah. She currently serves on the board of directors for Galileo Learning, Intelvio and Bibliu. She is also an active member of Women Tech Council and CHIEF, a group dedicated to developing women's executive leadership.</t>
  </si>
  <si>
    <t>+1 (800) 203-6755</t>
  </si>
  <si>
    <t>Salt Lake City</t>
  </si>
  <si>
    <t>Salt Lake City, UT</t>
  </si>
  <si>
    <t>6330 South 3000 East</t>
  </si>
  <si>
    <t>84121</t>
  </si>
  <si>
    <t>Chief Transformation Officer</t>
  </si>
  <si>
    <t>Instructure</t>
  </si>
  <si>
    <t>138644-11P</t>
  </si>
  <si>
    <t>Parthib Srivathsan</t>
  </si>
  <si>
    <t>Parthib</t>
  </si>
  <si>
    <t>Srivathsan</t>
  </si>
  <si>
    <t>Founder &amp; Head</t>
  </si>
  <si>
    <t>Mr. Parthib Srivathsan is a Co-Founder and serves as Head of Data, Strategy &amp; Insights at Companyon Ventures. Prior to co-founding Companyon, built and managed large teams at GE Capital, then founded and exited an e-learning startup in Chennai (Paradigm Shift) that trained over 35,000 Fortune 1000 employees before it was acquired. Since earning his MBA in the US, he has put his entrepreneurial background to work by advising entrepreneurs and startup companies for several years, which has since evolved into the Companyon Platform Team. He has helped over 100 companies get funding, launch new products, and scale their businesses. He holds a Master of Business Administration from Babson College and lives in Cambridge, MA. He serves as Advisor at Encapsulate.</t>
  </si>
  <si>
    <t>parthib@companyon.vc</t>
  </si>
  <si>
    <t>Co-Founder and Head of Data, Strategy &amp; Insights</t>
  </si>
  <si>
    <t>110757-16P</t>
  </si>
  <si>
    <t>Ralph Verrilli</t>
  </si>
  <si>
    <t>Verrilli</t>
  </si>
  <si>
    <t>Mr. Ralph Verrilli serves as Managing Director at Pickwick Capital Partners. Mr. Verrilli serves as Managing Partner at Next Stage Advisors (Boston). Mr. Verrilli serves as Managing Director at Madison Park Group. He also serves as Managing Director at Ascentage Group. He serves as an Advisor at Paperless Parts. He serves as a Venture Partner at Companyon Ventures. He served as a Board Member at 99Degrees. He also serves as an Advisor at Blue Cloud Ventures. He is an advisor to MPG and brings over 30 years of operating experience in the software industry. He also served as a Board Member at Datanomix. He was the COO of Vistagy, the leader in engineering software for the aerospace and automotive markets. At Vistagy, he was instrumental in managing operations, customer acquisition and retention, and international expansion. Vistagy was acquired by Siemens, where he served as Vice President of the Specialized Engineering Software (SES) business segment. Before starting, he began his career at Computer Vision, where he developed software for the mechanical computer-aided engineering market. He holds a Master of Science degree and a Bachelor of Science degree in mechanical engineering, both from the University of Massachusetts at Amherst. He is an advisor and board member of several software companies in the Boston area.</t>
  </si>
  <si>
    <t>+1 (914) 358-3269</t>
  </si>
  <si>
    <t>rverrilli@next-stage-advisors.com</t>
  </si>
  <si>
    <t>White Plains</t>
  </si>
  <si>
    <t>White Plains, NY</t>
  </si>
  <si>
    <t>445 Hamilton Avenue</t>
  </si>
  <si>
    <t>Suite 1102</t>
  </si>
  <si>
    <t>10601</t>
  </si>
  <si>
    <t>Pickwick Capital Partners</t>
  </si>
  <si>
    <t>191877-58P</t>
  </si>
  <si>
    <t>Robert Hughes</t>
  </si>
  <si>
    <t>Mr. Robert Hughes serves as Chief Executive Officer and Board Member at Mark43. Mr. Robert Hughes serves as Venture Partner at Companyon Ventures. He served as Venture Partner at Companyon Ventures. He served as Board Member at Quickbase. With more than 12 years in executive leadership roles at Akamai, Hughes was responsible for leading global sales, services and marketing operations. During his tenure, he helped establish Akamai as the market leader in content delivery network (CDN) services. Hughes led the company's global expansion efforts, managed all aspects of the customer experience, and shaped the direct and indirect sales model as Akamai diversified its channel strategy.</t>
  </si>
  <si>
    <t>+1 (617) 444-3000</t>
  </si>
  <si>
    <t>bob.hughes@mark43.com</t>
  </si>
  <si>
    <t>28 East 28th Street</t>
  </si>
  <si>
    <t>12th Floor</t>
  </si>
  <si>
    <t>Chief Executive Officer and Board Member</t>
  </si>
  <si>
    <t>Mark43</t>
  </si>
  <si>
    <t>130044-07P</t>
  </si>
  <si>
    <t>Rodney Adkins</t>
  </si>
  <si>
    <t>Rodney</t>
  </si>
  <si>
    <t>Adkins</t>
  </si>
  <si>
    <t>Mr. Rodney Adkins serves as a Board Member, Chairperson of the Risk Committee, and Member of the Compensation and Human Capital Committee at United Parcel Service. He serves as a Board Member, Member of the Corporate Governance and Nominating Committee &amp; Member of the Audit, Risk, and Compliance Committee at PayPal Holdings. He serves as a Venture Partner at Companyon Ventures. He serves as Chairperson of the Risk Committee and Member of the Compensation and Human Capital Committee at United Parcel Service. He serves as Chairman of the Board at Avnet. He serves as a Board Member and Board Observer at Nvisionx. He served as a Board Member at Pangiam and PayPal Holdings. He serves as a Board Member at United Parcel Service. He is a former IBM senior vice president of Corporate Strategy. He was responsible for leading continuous transformation across IBM and developing strategies that are linked to execution plans for a new era of computing, new markets, and new clients. Rod was previously senior vice president of Systems and Technology Group, a position he held since 2009. In this role he was responsible for all aspects of IBM's semiconductor, server, storage, and system software businesses, as well as the company's Integrated Supply Chain and Global Business Partners organizations. Previously he was senior vice president of STG development and manufacturing, a position he held since 2007. In his over 30-year career with IBM, Rod has held several development and management roles, including general manager positions for the PC Company, UNIX Systems, and Pervasive Computing. Inducted into the National Academy of Engineering in 2005, Rod is also a member of the Executive Leadership Council, and the National Society of Black Engineers, which in 2001 awarded him the Golden Torch Award for Lifetime Achievement in Industry. In 2011, Black Enterprise magazine chose Rod as its Corporate Executive of the Year, and in 2002, Fortune magazine named Rod one of the 50 Most Powerful Black Executives in America. In addition to UPS, where Rod serves on the board's Compensation Committee and as Chairperson of the Risk Committee, he serves on the board of directors of the Smithsonian Institution, the National Action Council for Minorities in Engineering, W.W. Grainger, Inc., PPL Corporation. He also serves on the board of the Georgia Tech Foundation, Rollins College Board of Trustees, University of Maryland Baltimore County Board of Visitors, and the University of Miami College of Engineering Visiting Committee. He holds a Bachelor of Arts degree with an emphasis in physics from Rollins College, a Bachelor of Science and Master of Science degree in electrical engineering from Georgia Institute of Technology, and an Honorary Doctor of Science Degree from the University of Maryland Baltimore County. He also serves as Vice Chairman of the Board of Trustees at Rollins College.</t>
  </si>
  <si>
    <t>+1 (404) 828-6000</t>
  </si>
  <si>
    <t>55 Glenlake Parkway North East</t>
  </si>
  <si>
    <t>30328</t>
  </si>
  <si>
    <t>Board Member, Chairperson of the Risk Committee and Member of Compensation and Human Capital Committee</t>
  </si>
  <si>
    <t>United Parcel Service of America</t>
  </si>
  <si>
    <t>261608-68P</t>
  </si>
  <si>
    <t>Ronny Chatterjee</t>
  </si>
  <si>
    <t>Chatterjee</t>
  </si>
  <si>
    <t>Mr. Ronny Chatterjee serves as Vice President at Companyon Ventures. Prior to Companyon, he was on the Capital Markets team at OpenView Venture Partners. Before OpenView, he was a founding member of Cambridge Associates' (CA) direct investment &amp; co-investment practice focusing on venture capital and private equity transactions. During his time, he executed almost 50 transactions and invested $1.2B on behalf of CA's clients.</t>
  </si>
  <si>
    <t>+1 (781) 854-1035</t>
  </si>
  <si>
    <t>ronny@companyon.vc</t>
  </si>
  <si>
    <t>328212-46P</t>
  </si>
  <si>
    <t>Samuel Mylrea</t>
  </si>
  <si>
    <t>Mylrea</t>
  </si>
  <si>
    <t>Mr. Samuel Mylrea serves as Venture Partner at Companyon Ventures. Mr. Mylrea's career spans both investing and operating within the technology sector. Mr. Mylrea spent 6 years in private equity working at Summit Partners and Oak Hill, primarily focused on providing growth capital and special opportunities across a range of different industries. Mr. Mylrea transitioned to the operating side when he co-founded dealMobs, an interactive social commerce platform that helped connect local merchants and consumers, which was subsequently acquired by nCrowd, a Noro-Moseley backed e-commerce company. Mr. Mylrea was previously the CEO of PureCars, an automotive marketing automation, and business intelligence platform, where he helped scale the business from $8M of revenue in 2013 to $180M in 2019. At PureCars, Mr. Mylrea helped lead the company to a successful exit in 2015 and the subsequent spinout of PureCars in 2019. While at PureCars, Mr. Mylrea was involved in several M&amp;A events, company integrations, capital raising, channel partnerships, operational transformation, product pricing and roadmap, and sales process and strategy. Mr. Mylrea currently advises and invests in early-stage software companies.</t>
  </si>
  <si>
    <t>328209-94P</t>
  </si>
  <si>
    <t>Scott Millard</t>
  </si>
  <si>
    <t>Mr. Scott Millard serves as Venture Partner at Companyon Ventures. Mr. Millard is the Senior Vice President of Global Sales and Presales for Dell Technologies. He is responsible for the global Partner strategy, go-to-market, transformation, and execution for Dell Technologies market-leading Data Center portfolio. A 20+ year veteran of the technology industry and a recognized Sales leader, Mr. Millard's sales strategy and execution acumen span all routes to market for companies both large and small. His drive and passion for winning are evident in his experience. Prior to his current role, Mr. Millard served as VP of Global Channels and Alliances for Virtustream, Dell's hyper-growth enterprise cloud business, where he launched the company's first-ever partner program which grew 10x in the first year. Prior to Virtustream, Mr. Millard was VP, of Americas Channel Sales for EMC. Mr. Millard has helped various customer and partner-facing sales leadership roles during a successful 20-year career at Dell Technologies and EMC. Mr. Millard holds an MBA with a concentration in Information Systems, and a BS in Business Administration from Bryant University.</t>
  </si>
  <si>
    <t>204245-65P</t>
  </si>
  <si>
    <t>Steve Costello</t>
  </si>
  <si>
    <t>Mr. Steve Costello serves as Venture Partner at Companyon Ventures. He served as Chief Revenue Officer at Fortify. He served as Chief Revenue Officer at nTopology. He is responsible for Fortify's sales and business development including marketing and customer success. He is focused on the seamless execution of Fortify's go-to-market strategy, guiding the company's growth and partnership efforts. He brings over 20 years of sales leadership to his role at Fortify. He is passionate about driving the adoption of new technology in manufacturing. Over the last three decades he has helped take a variety of transformative technologies to market including 3D printers, engineering software, infrared sensors, satellite imagery, and OLED displays for consumer AR/VR. Most recently as his role as CRO of nTopology where he built the company's go-to-market team and culture across sales, customer success, and marketing. Before that, his roles included SVP of Business Development and Partnerships at eMagin, a manufacturer of microOLED displays and VP of Sales at SpaceClaim, an engineering software start-up acquired by Ansys. He holds a Bachelor of Science degree from Babson College and a Master's degree in Marketing from Bentley University.</t>
  </si>
  <si>
    <t>16296-49P</t>
  </si>
  <si>
    <t>Thomas Lazay</t>
  </si>
  <si>
    <t>Lazay</t>
  </si>
  <si>
    <t>Mr. Thomas Lazay is a Co-Founder and serves as General Partner at Companyon Ventures. He serves as Board Member at Knowify, and Nvisionx. He serves as Board Member and Board Observer at Newmetrix. He serves as Board Member at AaDya Security. He served as Board Member at Fullcast. Prior to co-founding Companyon Ventures, he was a technology entrepreneur for most of his career who built and sold two technology startups in Boston-VoiceSignal (sold to Nasdaq: NUAN) and Shaser BioScience (sold to NYSE: SBP)-for a combined $360M+. After Shaser BioScience was acquired, he became more involved in the Boston startup ecosystem: He backed two seed funds and became a venture partner at Converge Venture Partners and a limited partner at Project 11 Ventures. He has a degree in Computer Science from Trinity College. He volunteers as a judge and mentor at Mass Challenge and serves on the advisory board of the Andover Coalition for Education in Andover, MA. He serves as a Board Member at Posh.</t>
  </si>
  <si>
    <t>tlazay@companyon.vc</t>
  </si>
  <si>
    <t>328182-22P</t>
  </si>
  <si>
    <t>Tim Curran</t>
  </si>
  <si>
    <t>Curran</t>
  </si>
  <si>
    <t>Mr. Tim Curran serves as Venture Partner at Companyon Ventures. He serves as Chief Executive Officer at RapidWorks. He serves as Board Member at Knowify. Mr. Curran is CEO of Building Engines, the fourth time he has held the CEO position for a B2B SaaS company. Prior to Building Engines, Mr. Curran served as CEO of Corvium, Eleven Technologies, and Vela System, which pioneered field automation on iPads for construction projects, which is now Autodesk BIM360. Previously, Mr. Curran was Chief Revenue Office of I-many, which IPO'd in 2000, after starting his career at Accenture, developing and implementing software applications across a range of industries and business processes. Mr. Curran also serves as a board director, advisor, and investor in over a dozen software start-ups at the seed and A-round stage, with a particular focus on vertical market SaaS companies. Mr. Curran currently serves on the VC/PE-backed boards of Smartvid.io and Repsly. Mr. Curran graduated with a BS in Engineering from Case Western Reserve University and earned his MBA from the University of Chicago Booth School of Business.</t>
  </si>
  <si>
    <t>+1 (303) 500-3050</t>
  </si>
  <si>
    <t>tcurran@rapidappsinc.com</t>
  </si>
  <si>
    <t>262 Washington Street</t>
  </si>
  <si>
    <t>02108</t>
  </si>
  <si>
    <t>RapidWorks</t>
  </si>
  <si>
    <t>49197-70P</t>
  </si>
  <si>
    <t>Tom Caputo</t>
  </si>
  <si>
    <t>Caputo</t>
  </si>
  <si>
    <t>Mr. Tom Caputo serves as a Venture Partner at Companyon Ventures. He served as Chief Product Officer at CarGurus. Tom directs strategy and spearheads all product initiatives for FreeMyApps. He served as a Chief Product Officer at Fiksu DSP. His multifaceted technical and business expertise was honed over nearly 20 years of product and investment management with market leaders. He is also the founder and developer of MyScorecard.com. At [x+1], Tom worked closely with the engineering and operations teams to coordinate and communicate the company's development efforts and deployments. Before that, he led investments in digital media and enterprise software at Advanced Technology Ventures, an early-stage venture capital fund. Prior to ATV, he was Microsoft's Windows Group Product Manager; Product Manager of QuickBooks at Intuit; and Business Manager of E-commerce Strategy at Capital One Financial. He started his career as a Consultant with Mercer Management Consulting. Tom holds degrees from the Stanford Graduate School of Business (MBA), Stanford University (BSEE), and Dartmouth College (AB Computer Science and Biophysical Chemistry).</t>
  </si>
  <si>
    <t>106845-76P</t>
  </si>
  <si>
    <t>Tom Meusel</t>
  </si>
  <si>
    <t>Meusel</t>
  </si>
  <si>
    <t>Mr. Tom Meusel serves as Venture Partner at Companyon Ventures. He served as Vice President, Business Development and Co-Founded Covocative. He was a Business Partner at VoltDB. He has his MBA from Northeastern University and Undergraduate degree in Computer Science from SUNY Potsdam.</t>
  </si>
  <si>
    <t>tom@companyon.vc</t>
  </si>
  <si>
    <t>378540-73P</t>
  </si>
  <si>
    <t>Will Stute</t>
  </si>
  <si>
    <t>Stute</t>
  </si>
  <si>
    <t>Mr. Will Stute serves as Partner, Miami at King &amp; Spalding. Mr. Will Stute serves as Venture Partner at Companyon Ventures. He was a partner at Orrick Herrington &amp; Sutcliffe LLP and leads the firm's Sports practice. Orrick is a global law firm and one of the 35 largest law firms in the United States, with over 1,100 lawyers. He is a first chair trial lawyer and business advisor who is nationally recognized for wins in the biggest cases in courtrooms across the United States. Fortune 10 tech companies, one of the world's largest life sciences companies, a pioneering gig economy company, a transportation industry giant and one of the nation's largest sports organizations all entrust him with their most important fights. His courtroom successes have earned him the title of 2023 Winning Litigator of the Year by the National Law Journal and American Lawyer Litigator of the Year finalist for 2023. American Lawyer cited his "incredible victories" for the NCAA, describing him as a trial lawyer "Playing to Win." In the span of less than 10 months across 2022 and 2023, he won three separate high-profile jury trials for the NCAA - including the first to take on claims the NCAA is responsible for concussions and CTE in college football. This victory was recognized as the Courtroom View Network's Most Impressive Defense Verdict of 2022, American Lawyer Litigator of the Week and the Daily Journal's Defense Verdict of the Year. His versatility, strategic acumen and ability to think on his feet separate him as a trial lawyer. He is highly skilled at developing strategy, telling his client's story and connecting with juries - and he has done it for clients across the tech, finance and life sciences sectors on claims ranging from mass torts, personal injury and False Claims Act cases to antitrust, securities fraud and RMBS litigation.</t>
  </si>
  <si>
    <t>+1 (305) 462-6000</t>
  </si>
  <si>
    <t>wstute@kslaw.com</t>
  </si>
  <si>
    <t>Southeast Financial Center</t>
  </si>
  <si>
    <t>200 South Biscayne Boulevard, Suite 4700</t>
  </si>
  <si>
    <t>Partner, Miami</t>
  </si>
  <si>
    <t>King &amp; Spalding</t>
  </si>
  <si>
    <t>328236-04P</t>
  </si>
  <si>
    <t>Will Urban</t>
  </si>
  <si>
    <t>Urban</t>
  </si>
  <si>
    <t>Mr. Will Urban serves as a Venture Partner at Companyon Ventures. He also serves as a Venture Partner at R7. Mr. Urban is a global trade, logistics, and supply chain expert uniquely qualified to help companies scale and grow. Mr. Urban began his career with Expeditors (a Fortune 500 Global Logistics Company) in 1994 as a Management Trainee after a chance meeting with founder and former CEO Peter Rose while working as an intern for the Port of Seattle. His 25-year career working in many leadership roles within the company culminated with him overseeing all sales and operations activities for approximately 1,000 full-time employees. Mr. Urban is the Chief Revenue Officer for Flexport, responsible for the company's geographies, go-to-market strategy, net revenue, client solutions, and operational execution. With his operational expertise in global trade, logistics, and supply chain, and after seeing thousands of companies navigate global trade over the years, Mr. Urban now puts his passion and industry knowledge to work helping firms grow. During his tenure at Expeditors, many had approached him to help guide, consult, and advise on their supply chains - most notably hedge funds, venture capital firms, and tech companies. Mr. Urban has spent the last 25 years watching the freight forwarding community and its customers struggle to understand each other's markets and priorities which gives him a unique position to bridge that gap and help companies meet their current and long-term goals.</t>
  </si>
  <si>
    <t>+1 (630) 207-7223</t>
  </si>
  <si>
    <t>wurban@r7.vc</t>
  </si>
  <si>
    <t>100 South Wacker Drive</t>
  </si>
  <si>
    <t>Suite 1675</t>
  </si>
  <si>
    <t>R7</t>
  </si>
  <si>
    <t>42664-24P</t>
  </si>
  <si>
    <t>Zenobia Moochhala</t>
  </si>
  <si>
    <t>Zenobia</t>
  </si>
  <si>
    <t>Moochhala</t>
  </si>
  <si>
    <t>Ms. Zenobia Moochhala serves as Chief Executive Officer at Sittercity. She serves as Venture Partner at Companyon Ventures. She served as an Advisor at Popcart. She co-founded and served as Vice President of Consumer Marketing at Care.com. In her role as Co-Founder and Vice President of Consumer Marketing at Care.com, she is primarily responsible for consumer acquisition, conversion, and member marketing. She served as Chief Operating Officer at Embark. She regularly leads initiatives to enhance the safety and security of the service, improve the member experience, and build the online community. In the four years prior to co-founding Care.com, she worked as a Web Marketing Manager for Upromise, where she helped families prepare and save for college. From 1998-2001, she served as Senior Product Manager at a financial software startup, WorldStreet. She holds an M.A. from Brandeis University (1998) and a B.A. from St. Xavier's College, Mumbai (1995).</t>
  </si>
  <si>
    <t>+1 (617) 327-3173</t>
  </si>
  <si>
    <t>zmoochhala@sittercity.com</t>
  </si>
  <si>
    <t>231 South LaSalle Street</t>
  </si>
  <si>
    <t>60604</t>
  </si>
  <si>
    <t>Sittercity</t>
  </si>
  <si>
    <t>239018-59P</t>
  </si>
  <si>
    <t>Arif Damji</t>
  </si>
  <si>
    <t>Damji</t>
  </si>
  <si>
    <t>Conductive Ventures</t>
  </si>
  <si>
    <t>Mr. Arif Damji serves as Principal at Conductive Ventures. He is focused on investments in the areas of software, hardware, technology-enabled services and blockchain. He co-leads investments across both the software and hardware spectrum and works with existing portfolio companies on special initiatives. Prior to Conductive Ventures, Arif spent his career in operating and advisory roles. He most recently led innovation at Kosta Browne, an allocation-based, private equity-owned winery. His mandate spanned across marketing, sales (direct and wholesale), and analytics to drive acquisition and retention metrics. Kosta Browne was acquired by Duckhorn in 2018. Prior to Kosta Browne, Arif worked at 500friends, a VC-backed startup that built a SaaS retention marketing platform for retailers. He owned marketing, finance and strategy during his tenure, and helped the company grow to more than 50 clients with a total of 40 million active members. The company was successfully acquired by Dentsu, where Arif continued to help sustain the growth of the client base. Arif started his career at McKinsey &amp; Company, where he helped senior executives solve strategic issues and uncover possible growth avenues. He focused on the marketing and sales practice across hospitality and financial services industries.</t>
  </si>
  <si>
    <t>+1 (650) 614-5000</t>
  </si>
  <si>
    <t>adamji@conductive.vc</t>
  </si>
  <si>
    <t>445 Cambridge Avenue</t>
  </si>
  <si>
    <t>13417-48P</t>
  </si>
  <si>
    <t>Carey Lai</t>
  </si>
  <si>
    <t>Carey</t>
  </si>
  <si>
    <t>Mr. Carey Lai is a Founding Member and serves as Managing Director at Conductive Ventures. Mr. Lai was a Co-Founder &amp; served as General Partner at LUMA Capital Partners. He serves as Board Member at Lily AI. He serves as Board Member at Empowerly. He is a Founding Member and Managing Director at Conductive Ventures with $250M in AUM focused on investments in the areas of software, hardware, and technology-enabled services. Carey has over 18 years of venture capital and technology experience. Prior to Conductive Ventures, Carey spent over four years investing at Intel Capital focused on Internet and enterprise software companies. His portfolio included 500Friends (acquired by Dentsu), Box (BOX), BrightEdge, Gigya (acquired by SAP), Kabam (acquired by Netmarble), Nexmo (acquired by Vonage), Onefinestay (acquired by AccorHotels), Sprinklr, and SweetLabs. Prior to Intel Capital, Carey worked at Institutional Venture Partners (IVP) where he focused on rapidly growing later-stage and growth-equity investments in Internet &amp; enterprise software companies. He actively worked with the following IVP portfolio companies: ArcSight (ARST), At Road (ARDI), Business.com (DEXO), Concur (CNQR), Cortina Systems, Danger (MSFT), Data Domain (EMC), Mobile365 (SAP), SuccessFactors (SFSF), Synchronoss (SNCR) and Yodlee (YDLE). Carey also worked in the Technology Investment Banking Group at Bank of America Merrill Lynch as an Investment Banking Analyst focused on the software and financial technology sectors. His transaction experience included offerings for some of the leading technology companies in the world, including Blackbaud Software (BLKB), Computer Associates (CA), Hewlett Packard (HPQ), and Sungard Data Systems (SDS), and Tibco Software (TIBX). Earlier in his career, Carey worked at eBay in Business Development. Carey has an M.B.A. from the Wharton School of Business at the University of Pennsylvania. He also graduated with a B.A. in International Economics from the University of California Los Angeles. He serves as Board Member at Zingtree. He serves as Board Member at CSC Generation.</t>
  </si>
  <si>
    <t>clai@conductive.vc</t>
  </si>
  <si>
    <t>Founding Member &amp; Managing Director</t>
  </si>
  <si>
    <t>44622-55P</t>
  </si>
  <si>
    <t>Charles Huang</t>
  </si>
  <si>
    <t>Mr. Charles Huang is the Founding Partner at Mentors Fund. He Co-Founded Sing Trix. He serves as a Member of the Venture Advisory Board at Berkeley Frontier Fund. He also serves as Venture Partner, SparkLabs Connex at SparkLabs Group. He is also the co-founder of RedOctane and the co-creator of the Guitar Hero video game franchise. He also serves as an Advisor at Conductive Ventures. He also served as Chief Operating Officer at Leeo. Guitar Hero launched in 2005 and went on to become the fastest video game to reach $1B in sales. He left Guitar Hero in 2010 and is currently the co-founder of Indigo 7, a startup focused on brands in fashion apparel and entertainment. He immigrated to California as a young child and currently resides in Silicon Valley with his wife and two daughters. He holds a BA in Economics and Asian Studies from the University of California at Berkeley. He was also a Venture Partner at Sinovation Ventures. He also serves as an Advisor at Vectr Ventures. He serves as an Advisor at Audios.</t>
  </si>
  <si>
    <t>+1 (415) 903-0667</t>
  </si>
  <si>
    <t>charles.huang@mentors.fund</t>
  </si>
  <si>
    <t>156 2nd Street</t>
  </si>
  <si>
    <t>Mentors Fund</t>
  </si>
  <si>
    <t>175782-79P</t>
  </si>
  <si>
    <t>Hiroaki Kuwajima</t>
  </si>
  <si>
    <t>Hiroaki</t>
  </si>
  <si>
    <t>Kuwajima</t>
  </si>
  <si>
    <t>Mr. Hiroaki Kuwajima serves as Board Member at Usajapan. Mr. Kuwajima served as Executive Vice President &amp; Board Member, Global Strategy at Linkers. He holds BA in Economics, University of Tokyo, Master in Business Administration / Master in Public Administration, Harvard Universit. He joined Aoyama Shachu after working at Mitsubishi Corporation and Dream Incubator (The Largest Japanese Strategy Consulting Firm) and is one of the Eisenhower Fellows from Japan. He serves as an Advisor at Conductive Ventures.</t>
  </si>
  <si>
    <t>+1 (415) 986-4383</t>
  </si>
  <si>
    <t>New Montgomery Street, 4th Floor</t>
  </si>
  <si>
    <t>97070</t>
  </si>
  <si>
    <t>+1 (866) 610-1637</t>
  </si>
  <si>
    <t>Usajapan</t>
  </si>
  <si>
    <t>183390-31P</t>
  </si>
  <si>
    <t>John Brandon</t>
  </si>
  <si>
    <t>Mr. John Brandon serves as Advisor at Conductive Ventures. John retired from Apple in October 2015 as their Vice President of International after almost fifteen years. He was responsible for the largest revenue piece for Apple, culminating in over $100 Billion in his last year. Prior to Apple, John was the CEO of Academic Systems, an educational content company. For the ten years before that, he served as the Vice President and General Manager of North America for Adobe Systems. Earlier John held sales management positions at both General Parametrics Corporation and Texas Instruments. He earned his Bachelor's degree from U.C. Davis.</t>
  </si>
  <si>
    <t>36399-61P</t>
  </si>
  <si>
    <t>Kevin Chou</t>
  </si>
  <si>
    <t>Mr. Kevin Chou is a Co-Founder and Investor at Unite.io.</t>
  </si>
  <si>
    <t>kchou@unite.io</t>
  </si>
  <si>
    <t>10 Anson Road</t>
  </si>
  <si>
    <t>Number 22-02, International Plaza</t>
  </si>
  <si>
    <t>079903</t>
  </si>
  <si>
    <t>Co-Founder &amp; Investor</t>
  </si>
  <si>
    <t>Unite.io</t>
  </si>
  <si>
    <t>65365-84P</t>
  </si>
  <si>
    <t>Paul Yeh</t>
  </si>
  <si>
    <t>Mr. Paul Yeh is a Founding Member and serves as Managing Director at Conductive Ventures. He served as Partner at Kleiner Perkins Caufield &amp; Byers. He serves as Board Member at Tripalink. He joined Kleiner Perkins Caufield &amp; Byers in 2014 and focuses on the firm's greentech investments. Before joining KPCB, Paul served as Director of Strategy &amp; Business Development at Fisker Automotive, the manufacturer of premium plug-in hybrid electric vehicles. He worked directly with CEO Tom LaSorda (former President and CEO of Chrysler Group) and founder Henrik Fisker in setting the company's short and long-term strategies. Paul also led joint-venture discussions with other automotive manufacturers across the world, where he managed team members from powertrain and vehicle engineering, manufacturing, purchasing, logistics, and sales. Paul has also worked at Next Autoworks as Director of Marketing &amp; Finance. He began his career as an investment banking analyst focused on technology M&amp;A at RBC Capital Markets. Paul also spent time at Ford Motor Company, McKinsey &amp; Company and Tesla Motors in various operating roles. Paul earned a bachelor of science degree in business administration from UC Berkeley and an M.B.A. from Harvard Business School.</t>
  </si>
  <si>
    <t>pyeh@conductive.vc</t>
  </si>
  <si>
    <t>Founding Member and Managing Director</t>
  </si>
  <si>
    <t>410051-53P</t>
  </si>
  <si>
    <t>Robin Chan</t>
  </si>
  <si>
    <t>Mr. Robin Chan serves as an Investor at Conductive Ventures. He has $450M in AUM focused on investments in the areas of software, hardware, and technology-enabled services. He has over 10 years of experience in venture capital, corporate development, and strategy. Before joining Conductive Ventures, he was an early-stage investor at Meta (Facebook) where he made investments in startups across sectors such as AI, AR/VR, e-commerce, and the future of work. Companies he invested in include Bobidi, Inworld, LifeAt, and OlaClick. Before that, he was a Corporate Strategy executive at Yahoo, where he supported the $5B spin-out from Verizon to Apollo Funds, and helped develop the growth strategy for its portfolio. He also led Corporate Development at Business Insider supporting M&amp;A and investments, including the acquisition of Morning Brew, and before that, was an investment banking associate in Goldman Sachs' Technology, Media, and Telecom team in New York. He began his career as a journalist in Singapore covering business and economics and is a contributing author to several books on Singapore. He has an MBA from the Yale School of Management and a B.Sc. in International Economics from Georgetown University's School of Foreign Service.</t>
  </si>
  <si>
    <t>183389-50P</t>
  </si>
  <si>
    <t>Takashi Nishikawa</t>
  </si>
  <si>
    <t>Nishikawa</t>
  </si>
  <si>
    <t>Mr. Takashi Nishikawa serves as Managing Director at Conductive Ventures. He is also a Director of Panasonic Ventures, L.L.C. With a long career at Panasonic in Japan along with his extensive experiences in Silicon Valley, he discovers new ways startups can effectively collaborate and engage with Panasonic and its key partners. He joined Panasonic in 1992 and worked on compound semiconductor material and device development. After working on power transistors for some of the earliest cellular phones, he began product development of short-wavelength laser diodes for Blu-ray. While developing technology for Blu-ray, he received his first experience with outside technology disruption with the emergence of (gallium nitride) GaN, which caused the shutdown of his internal project. Eventually, he transitioned his career as a product engineer to R&amp;D strategy and planning. Through his experiences developing long-term roadmaps, he soon discovered that incremental improvements in technology were quickly being disrupted by Silicon Valley startups. The traditional role of R&amp;D in a large corporation changed quickly as new dominant platforms emerged. Traditional roadmaps were unable to accurately predict the speed and scale of new platforms such as Amazon, Apple, Facebook, and Google. Having been disrupted both as a product engineer and R&amp;D strategy planner, he decided to leverage his experiences by identifying and scouting new technologies in Silicon Valley beginning in 2008. He focused on promoting strategic collaboration between startups and Panasonic R&amp;D. He continued this work when he returned to Japan in 2012. He earned an M.S. in Material Engineering and has a background in Chemistry and Solid-state Physics from the Tokyo Institute of Technology.</t>
  </si>
  <si>
    <t>takashi@conductive.vc</t>
  </si>
  <si>
    <t>410053-33P</t>
  </si>
  <si>
    <t>Veda Patel</t>
  </si>
  <si>
    <t>Veda</t>
  </si>
  <si>
    <t>Associate &amp; Executive</t>
  </si>
  <si>
    <t>Ms. Veda Patel serves as an Associate &amp; Investor at Conductive Ventures. She has $450M in AUM focused on investments in the areas of software, hardware, and technology-enabled services. She supports the team in evaluating investments across the software and hardware spectrum and works with existing portfolio companies on special initiatives. Before Conductive Ventures, she worked at Verily Life Sciences (a subsidiary of Google) where she served as the FP&amp;A and strategy lead for the medical devices portfolio. She worked closely with key stakeholders to support reporting, strategic finance, corporate development, and go-to-market initiatives. She started her career at Goldman Sachs, where she was an investment banking analyst focused on M&amp;A in the Technology, Media, and Telecommunications group in San Francisco. She has a B.S. in Business Administration from the University of California, Berkeley.</t>
  </si>
  <si>
    <t>vpatel@conductive.vc</t>
  </si>
  <si>
    <t>Associate &amp; Investor</t>
  </si>
  <si>
    <t>351090-28P</t>
  </si>
  <si>
    <t>Abby Steele</t>
  </si>
  <si>
    <t>Abby</t>
  </si>
  <si>
    <t>Steele</t>
  </si>
  <si>
    <t>Congruent Ventures</t>
  </si>
  <si>
    <t>Ms. Abby Steele serves as Executive Assistant at Congruent Ventures. She brings order to chaos and makes the impossible possible. With 7+ years of experience supporting top-level executives, she has a proven track record of keeping the trains running on time while delivering outstanding results. She is responsible for managing calendars, expenses, and all things office-related, as well as planning exciting events like dinners, speaker panels, and team events. She is proud to be part of a mission-driven team dedicated to creating a more sustainable future through impact investments. She holds a BS in Early Childhood Education from the University of Southern Indiana.</t>
  </si>
  <si>
    <t>+1 (510) 768-7482</t>
  </si>
  <si>
    <t>abby@congruentvc.com</t>
  </si>
  <si>
    <t>201 Mission Street</t>
  </si>
  <si>
    <t>Suite 650</t>
  </si>
  <si>
    <t>13881-34P</t>
  </si>
  <si>
    <t>Abraham Yokell</t>
  </si>
  <si>
    <t>Yokell</t>
  </si>
  <si>
    <t>Mr. Abraham Yokell is a Co-Founder &amp; serves as Managing Partner at Congruent Ventures. Mr. Yokell also serves as a Board Member at Solidspac3, Modumate, Blueprint Power, and Omnidian. He serves as Advisor &amp; Board Observer at Leap. Previously, he served as a Partner at RockPort Capital. He joined RockPort as an Associate and moved from Boston to help spearhead the opening of RockPort's Menlo Park office in 2007. He serves as a Board Observer at Evergrow. He serves as a board Observer at Dispatch Goods. He is an Angel Investor. He has over 19 years of investment experience and has invested across sectors with an emphasis on deep tech and business model innovation. He oversees Congruent's investments in AMP Robotics, Span.IO, Camus Energy, Leap Energy, Omnidian, For Days, Hippo Harvest, Modumate, Synop, OptimoRoute, Phase Genomics, Raptor Maps, and Vector and previously led investments in Enphase Energy, Amply Power, and Blueprint Power, among others. He graduated from the University of Pennsylvania with a BA in Economics, with minors in Chemistry and Biology.</t>
  </si>
  <si>
    <t>abe@congruentvc.com</t>
  </si>
  <si>
    <t>364731-49P</t>
  </si>
  <si>
    <t>Eliza Cushman</t>
  </si>
  <si>
    <t>Eliza</t>
  </si>
  <si>
    <t>Cushman</t>
  </si>
  <si>
    <t>Ms. Eliza Cushman serves as an Investor at Congruent Ventures. She serves as Board Member at Ezra. She spends time on both early and growth stage efforts for the deal team. She supports all aspects of new deals including investment sourcing, due diligence, and portfolio management. She also works with Congruent's later-stage portfolio companies that are reaching a growth inflection point. She was previously an investor at KKR where she focused on originating and executing private debt investments and capital markets solutions for private equity clients. While at KKR, she invested over $1 billion of private capital into companies across all major industries. Most recently, she worked with multiple early-stage venture capital funds and consulted with an early-stage home electrification company on growth strategy. She began her career doing Investment Banking in the Leveraged Finance Group at Bank of America Merrill Lynch where she brought leveraged loans and high-yield bonds to market for corporate and private equity clients to support M&amp;A and leveraged buyouts. She holds an MBA from Columbia Business School and a BS in Finance from Wake Forest University.</t>
  </si>
  <si>
    <t>eliza@congruentvc.com</t>
  </si>
  <si>
    <t>156121-21P</t>
  </si>
  <si>
    <t>Gray Robinson</t>
  </si>
  <si>
    <t>Ms. Gray Robinson serves as Partner at Congruent Ventures. Ms. Robinson served as Senior Associate at Anzu Partners. She served as Board Member at Slyce. She brings experience as both an early stage venture investor and startup executive. On the operator side, she oversaw strategy and operations for Mariana Tek, a previous portfolio company, through their exit to Xplor Technologies. Following the acquisition, she led corporate strategy for more than 30 software brands and $27B in payments volume at Xplor. On the investment side, she worked on software investments and portfolio support at Anzu Partners, an industrial tech-focused venture firm. She started her career at Village Capital, a seed stage fund and accelerator focused on cleantech, agtech, fintech and health. She joined Congruent Ventures in March 2025 and works on both new investments and portfolio support. She holds a BA in Political Science with a minor in Economics from Davidson College and completed an Impact Investing Fellowship through Middlebury College.</t>
  </si>
  <si>
    <t>gray@congruentvc.com</t>
  </si>
  <si>
    <t>318061-45P</t>
  </si>
  <si>
    <t>Hillá Watkins</t>
  </si>
  <si>
    <t>Hillá</t>
  </si>
  <si>
    <t>Watkins</t>
  </si>
  <si>
    <t>Ms. Hillá Watkins serves as Platform Partner at Congruent Ventures. Ms. Watkins served as Chief Marketing Officer at Scale Venture Partners.</t>
  </si>
  <si>
    <t>hilla@congruentvc.com</t>
  </si>
  <si>
    <t>Platform Partner</t>
  </si>
  <si>
    <t>147421-99P</t>
  </si>
  <si>
    <t>Jaclyn Kossmann</t>
  </si>
  <si>
    <t>Kossmann</t>
  </si>
  <si>
    <t>Ms. Jaclyn Kossmann serves as Partner at Congruent Ventures. She serves as Board Member at AuX Labs. She serves as Investment Committee Member at Evergreen Climate Innovations. Her career in the industry spans two decades, including both operating experience (building over 1GW of utility-scale wind and solar projects across the US) and venture capital investing experience (most recently, deep tech investing at In-Q-Tel and Applied Materials). She is on the board of Aux Labs, Fleet, and Stable Auto. She also oversees Congruent's investments in Avalanche, Gritt Robotics, Machina Labs, Polyspectra, and Trashie. She has invested in over 40 companies and has been a board observer or director at 20 companies. She has been investing in ventures since 2015 and most recently was a deep tech investor at In-Q-Tel, making investments in AI, power, advanced manufacturing, high-performance computing, and robotics. Prior to In-Q-Tel, she spent four years in the Applied Materials venture group focused on AR/VR, autonomy, and advanced materials and two years at Green D Ventures as a generalist investor. As part of her venture responsibilities, she has invested in over 40 companies, with 12 exits, and has been a board observer or director at 20 companies. She joined Congruent in 2022 and oversees Congruent's investments in Stable Auto (board member) and ChargePass (board observer). Additionally, she works closely with a number of other existing portcos. She served as an Investment Manager at Applied Ventures. She graduated with a BS in both Civil Engineering and Biomedical Engineering from Tufts University, an MS in Sustainable Energy Systems from Edinburgh University, and an MBA from Tuck School of Business at Dartmouth. She served as Board Observer at Presto.</t>
  </si>
  <si>
    <t>jkossmann@congruentvc.com</t>
  </si>
  <si>
    <t>68129-56P</t>
  </si>
  <si>
    <t>Joshua Posamentier</t>
  </si>
  <si>
    <t>Posamentier</t>
  </si>
  <si>
    <t>Mr. Joshua Posamentier is a Co-Founder &amp; serves as Managing Partner at Congruent Ventures. Mr. Posamentier oversees Congruent's investments in Alloy Enterprises, Applied Carbon, Bonsai Robotics, Energetc Insurance, First Street, Kodama, Lydian Labs, , Muon Space, Parallel Systems, Pico MES, Planet FWD, Rendered.AI, Robigo, and VEIR among others. Previously, he was the second person at Prelude Ventures and invested in disruptive alternative energy companies and climate-tech companies including Quantumscape, Natron, Trove, Ripple Foods, and worked with numerous others, actively helping them grow and succeed. Before Prelude Ventures, he built up National Semiconductor's Battery Management, Electric Vehicle, and Smart Grid business units and helped craft the company's corporate cleantech strategy. Texas Instruments acquired National in 2011. Prior to National/TI, he was the founding CEO of Blipstream, a wireless location services company that enabled carrier and GPS independent location services in the days before ubiquitous smart phones. Trilibis Mobile acquired Blipstream in 2009. Previous to Blipstream, he held various technical and marketing positions at Intel Corporation and Intel Capital. During his tenure there, he helped build the company's first wireless business unit and helped craft its wireless technology strategy. He later helped successfully incubate the company's RFID IC business, which was acquired by Impinj in 2008. He has over 50 patents issued or pending, holds a BA in physics from the University California at Berkeley, and holds MBAs from the Columbia Business School and Berkeley's Haas School of Business. He serves as a Board Member at Energetic Capital. He serves as Board Member at Meati.</t>
  </si>
  <si>
    <t>josh@congruentvc.com</t>
  </si>
  <si>
    <t>39920-68P</t>
  </si>
  <si>
    <t>Kevin Kopczynski</t>
  </si>
  <si>
    <t>Kopczynski</t>
  </si>
  <si>
    <t>Mr. Kevin Kopczynski served as Vice President, Strategy and M&amp;A at Plug Power. Mr. Kopczynski serves as Partner at Congruent Ventures. He served as Chief Executive Officer, Board Member &amp; President at Enki Technology. From 2013 to 2016 he was CEO of Enki Technology, where he guided the startup company from the development to revenue stages and established key customer partnerships in the US and China that culminated with Enki's acquisition by First Solar. Before Plug, he was a Senior Director at First Solar, where led the successful post-acquisition integration and global deployment of Enki Technology's durable, high-efficiency coatings into the Series 6 module. Previously, he was a Partner at RockPort Capital Partners. He began his career as a product design engineer at IQuum Inc. (acquired by Roche Diagnostics) and Arthur D. Little and is an inventor on several issued patents. He also served as a Board Member at NewLeaf Symbiotics. He was a Consultant in the Technology and Innovation practice at Arthur D. Little. Prior to joining RockPort, he held a variety of operating and senior technical positions in a medical device startup that grew from four to forty employees. He currently serves on the Board of Ascension Industries, a manufacturing company serving the industrial and energy markets. He earned his BSE in mechanical engineering from Princeton University, an MS in engineering from Stanford University, and an MBA from UC Berkeley.</t>
  </si>
  <si>
    <t>kkopczynski@plugpower.com</t>
  </si>
  <si>
    <t>Vice President, Strategy and M&amp;A</t>
  </si>
  <si>
    <t>Plug Power (Former)</t>
  </si>
  <si>
    <t>13661-29P</t>
  </si>
  <si>
    <t>Marianne Wu Ph.D</t>
  </si>
  <si>
    <t>Dr. Marianne Wu serves as Venture Partner at Congruent Ventures. Dr. Wu serves as Board Member, Advisor &amp; Invesor at BEVC. Dr. Wu serves as a Venture Partner at Congruent Ventures. She also serves as Venture Partner Ventures at Standard Investments. She serves as a Board Member at Everactive, Fictic, Splice Machine, and Menlo Microsystems. She is also a Board Observer at Carbon, Nexar, Tamr, LatentAI, and Catalant. She is also a Venture Partner at Standard Investments. She serves as a Member of the Investment Advisory Committee at PRIME Coalition. She is an Angel Investor. She is a Venture Partner at Congruent Ventures. She is a veteran investor (GE Ventures and Mohr Davidow Ventures), leader, and BoD member, and is passionate about building new solutions to reinvent and decarbonize our industrial economy. Her previous investments include Stem (NYSE: STEM), Desktop Metal (NYSE: DM), Proterra (NASDAQ: PRTA), Volta (NYSE: VLTA), Enbala (acquired by NYSE: GNRC), Bit Stew (acquired by NYSE: GE). She focuses on supporting existing Congruent Portfolio Companies that are reaching a growth inflection point to re-underwrite them and determine their optimal financing path forward with Congruent and/or other syndicate members. She served as a Board Member at Xicato. She was previously President of GE Ventures where she was responsible for investment strategy focused on digital disruption and frontier tech across broad industries including energy, manufacturing, supply chain/logistics, and healthcare. She and her team advised senior GE executives on disruptive trends in key sectors including energy transition, and manufacturing, Earlier in her career, she was a Partner at Mohr Davidow Ventures investing in leading technology and energy companies, and VP of Marketing at ONI Systems through IPO. She started her career as a development engineer and McKinsey consultant. She holds a Ph.D. and M.S. in Electrical Engineering from Stanford University and a B.A.Sc. Engineering Physics from the University of British Columbia.</t>
  </si>
  <si>
    <t>333155-08P</t>
  </si>
  <si>
    <t>Nadia Dugal</t>
  </si>
  <si>
    <t>Dugal</t>
  </si>
  <si>
    <t>Ms. Nadia Dugal serves as General Counsel at Congruent Ventures. She also is a Co-Founder and serves as Chief Legal Officer &amp; Advisor at Tome. She manages the execution of Congruent's investments, including term sheet negotiation, legal document drafting and review, and outside counsel management. She also manages routine legal matters for Congruent, including fund matters, employment law matters, and general legal matters. She has significant experience in venture capital fund legal operations from Flourish Ventures, the Omidyar Network, 500 Startups, Fenwick &amp; West LLP, and Kirkland &amp; Ellis LLP. She graduated with a BA in Philosophy from Georgetown University and received her JD from the New York University School of Law. She is licensed to practice law in the state of California.</t>
  </si>
  <si>
    <t>nadia@congruentvc.com</t>
  </si>
  <si>
    <t>252074-35P</t>
  </si>
  <si>
    <t>Nicholas Adeyi</t>
  </si>
  <si>
    <t>Adeyi</t>
  </si>
  <si>
    <t>Mr. Nicholas Adeyi serves as Investor at Congruent Ventures. He has experience advising utilities, government agencies, and corporates on business and technology strategies for the clean energy transition from Guidehouse. He supports all aspects of Congruent's deal team including investment sourcing, due diligence, and portfolio management. He was previously a Consultant with Guidehouse's Energy, Sustainability &amp; Infrastructure practice, where he advised utilities, government agencies, and corporates on business and technology strategies for the clean energy transition. While at Guidehouse, he conducted technical, economic, and regulatory analyses covering microgrids and DER, hydrogen technologies, energy storage, and wildfire resiliency. He graduated with a BS in Chemical Engineering from Yale University, along with a Certificate in Energy Studies.</t>
  </si>
  <si>
    <t>nicholas@congruentvc.com</t>
  </si>
  <si>
    <t>39921-31P</t>
  </si>
  <si>
    <t>Suzanne Parmar</t>
  </si>
  <si>
    <t>Parmar</t>
  </si>
  <si>
    <t>Ms. Suzanne Parmar serves as Vice President of Finance at Congruent Ventures. She oversees accounting, administration, compliance, human resources, and other major financial functions at Congruent Ventures. She brings to bear deep experience built up during a career in leadership positions in the private equity and venture capital space (RockPort, Cove Hill, Lowercarbon). Her prior experience includes setting up the finance function at Lowercarbon Capital and three years as Controller and Vice President at Cove Hill Partners, a long-duration, concentrated-portfolio, private-equity firm focused on the consumer and technology industries. She began her career in alternative investments, as the Controller and Senior Finance Director at RockPort Capital Partners, a venture capital fund focused on cleantech. She joined the firm as a financial analyst and staff accountant and spent nine years taking on the majority of the Fund's operational finance functions. Before her time with RockPort, She was a Senior Associate at KPMG in the Economic and Valuation Services group of the firm's tax department where she focused on business valuation and transfer pricing. She is a CFA® charter holder and graduated summa cum laude from Lehigh University with a B.A. in Economics and a minor in Psychology.</t>
  </si>
  <si>
    <t>suzie@congruentvc.com</t>
  </si>
  <si>
    <t>Vice President of Finance</t>
  </si>
  <si>
    <t>185436-01P</t>
  </si>
  <si>
    <t>Tanuj Dutta</t>
  </si>
  <si>
    <t>Tanuj</t>
  </si>
  <si>
    <t>Mr. Tanuj Dutta serves as Partner at Congruent Ventures. He serves as a Board Member at Fervo Energy. He served as the Principal - Of Sustainable Energy Group (ITS Strategy) at the Canada Pension Plan Investment Board. He serves as Board Member at AMP Robotics. He most recently helped set up and grow CPP Investments' Innovation, Technology, and Services strategy that was focused on making late-stage venture and growth equity investments in companies impacting the energy transition. He has extensive experience investing in, helping grow, and managing companies across various asset classes and stages (late-stage venture, growth, project finance, private equity, and debt. He works on both new deals as well as supporting existing Congruent Portfolio Companies that are reaching a growth inflection point but is primarily focused on working with Congruent's later-stage portfolio companies. He oversees Congruent's investment in Adapt.ag sits on its board and is actively involved with Meati, AMP Robotics, Fervo Energy, Span.IO, Hippo Harvest, and Omnidian. He previously helped start and grow CPP Investments' Innovation, Technology, and Services strategy that was focused on making late-stage venture and growth equity investments in technologies and companies impacting the energy transition. Over three and a half years, he grew the program to over $500 million in AUM and led the execution and asset management of investments in a variety of hard-asset and software-focused companies across several clean technology industries, including EV charging, Distributed Energy Platforms, Energy Storage, Software for Renewable Asset Optimization, and all things Carbon (Nature Based Carbon Solutions, Carbon Capture Development and Technology, and Carbon Utilization). He also led the team's research efforts in several clean-technology industries and helped lead a firm-wide initiative to develop a global carbon pricing model. Before this, he spent his career investing across the energy value chain and the capital structure in both debt and equity instruments. He also spent time at CPP Investments in both the Infrastructure and Energy Private Equity teams, where he helped invest in and build upstream and midstream companies and in renewable energy projects throughout the Americas. He also worked at EIG Global Energy Partners, where he focused on investing in structured equity and credit instruments in some of the largest LNG, midstream, and merchant power projects globally. He holds a B.Sc. in Chemical Engineering from the University of Western Ontario and an Honours Business Administration degree from the University of Western Ontario.</t>
  </si>
  <si>
    <t>tanuj@congruentvc.com</t>
  </si>
  <si>
    <t>77847-76P</t>
  </si>
  <si>
    <t>Andy Swaminathan</t>
  </si>
  <si>
    <t>Swaminathan</t>
  </si>
  <si>
    <t>Constellation Energy</t>
  </si>
  <si>
    <t>Mr. Andy Swaminathan serves as Senior Vice President, Strategy and Portfolio Management at Constellation Energy Group. Swaminathan has worked in the electric industry for the past 25 years, of which he has been with Exelon for the last 16 years. Prior to the merger with Constellation, he led the market fundamentals and proprietary trading group at Exelon Power Team. Prior to that, he held various positions in Power Team including director of finance and trade floor manager for Exelon's Mid-Atlantic and Midwest portfolios. Prior to joining Power Team, he worked for nine years at the New York Power Authority in various functions including transmission planning, rates and regulation and wholesale marketing/trading.</t>
  </si>
  <si>
    <t>+1 (833) 883-0162</t>
  </si>
  <si>
    <t>andy.swaminathan@constellation.com</t>
  </si>
  <si>
    <t>1310 Point Street</t>
  </si>
  <si>
    <t>21231-3380</t>
  </si>
  <si>
    <t>Senior Vice President, Strategy and Portfolio Management</t>
  </si>
  <si>
    <t>235065-88P</t>
  </si>
  <si>
    <t>Bryan Hanson</t>
  </si>
  <si>
    <t>Hanson</t>
  </si>
  <si>
    <t>Mr. Bryan Hanson serves as Executive Vice President &amp; Chief Generation Officer at Constellation Energy Group. He has more than 30 years of progressive experience in the nuclear power industry and is responsible for the safe, efficient and reliable operation of the Company's power generation fleet. Prior to his current role, Mr. Hanson was president and chief nuclear officer of Generation's nuclear fleet from 2015 to 2020 where he was responsible for ensuring that Generation maintained high levels of performance and safety across its nuclear fleet. During his tenure with Exelon, which began in 2006, Mr. Hanson also served as the Nuclear Chief Operating Officer, Senior Vice President of Midwest Operations, Site Vice President for Braidwood Generating Station and Site Vice President for Clinton Power Station. Mr. Hanson received a bachelor's degree in nuclear engineering from the University of Wisconsin and a Master of Business Administration from St. Ambrose University.</t>
  </si>
  <si>
    <t>bryan.hanson@constellation.com</t>
  </si>
  <si>
    <t>Executive Vice President &amp; Chief Generation Officer</t>
  </si>
  <si>
    <t>361398-79P</t>
  </si>
  <si>
    <t>Colleen Wright</t>
  </si>
  <si>
    <t>Ms. Colleen Wright serves as Vice President, Strategy &amp; Growth at Constellation Energy. She served as Vice President of Corporate Strategy at Constellation Energy. She also serves as a Board Member at the Illinois Science &amp; Technology Coalition. She is responsible for the development of the enterprise strategy at Constellation, the nation's largest producer of carbon-free energy and the leading competitive supplier of energy products and services to 2 million homes and businesses across the United States. In this role, she also advances new technologies, policies, and business model transformations through partnerships, grants, and research and development. Before this role, she served as Director of Corporate Strategy; Chief of Staff to William A. Von Hoene, Jr., Exelon's Chief Strategy Officer; and held roles in Government Regulatory Affairs and Public Policy at Exelon. She joined Exelon from the Federal Energy Regulatory Commission, where she worked as an economist and policy advisor to Commissioner Cheryl LaFleur. She has an MBA from George Washington University and a Bachelor's degree in economics from the University of Richmond.</t>
  </si>
  <si>
    <t>colleen.wright@constellation.com</t>
  </si>
  <si>
    <t>Vice President, Strategy &amp; Growth</t>
  </si>
  <si>
    <t>280137-52P</t>
  </si>
  <si>
    <t>Daniel Eggers</t>
  </si>
  <si>
    <t>Eggers</t>
  </si>
  <si>
    <t>Mr. Daniel Eggers serves as Chief Financial Officer &amp; Executive Vice President at Constellation Energy Group. He is a seasoned financial industry professional and most recently served since 2018 as Exelon's Senior Vice President of Corporate Finance where he led Exelon's management of investor relations, treasury, corporate planning, corporate financial operations, and insurance. From 2016 to 2018, Mr. Eggers served as Exelon's Senior Vice President of Investor Relations where he served as the primary interface with Exelon's institutional investors and sell-side analysts. Prior to joining Exelon, Mr. Eggers spent 18 years with Credit Suisse where he served in a variety of positions including managing director in the Investment Banking Division, as a member of the Equity Research department where he covered regulated utility, integrated power and independent power producer stocks, and as co-head of U.S. Energy Research where he had macro coverage responsibilities for the power sector as well as wind energy and carbon policy. Mr. Eggers received a bachelor's degree in finance from Texas Christian University and received the Chartered Financial Analyst designation in 2000.</t>
  </si>
  <si>
    <t>+1 (239) 676-6312</t>
  </si>
  <si>
    <t>daniel.eggers@constellation.com</t>
  </si>
  <si>
    <t>Chief Financial Officer, Finance &amp; Executive Vice President</t>
  </si>
  <si>
    <t>58404-61P</t>
  </si>
  <si>
    <t>David Ellsworth</t>
  </si>
  <si>
    <t>Ellsworth</t>
  </si>
  <si>
    <t>Mr. David Ellsworth serves as Chief Operating Officer &amp; Senior Vice President at Constellation Energy Group. As senior vice president and chief operating officer - retail, David Ellsworth is responsible for the company's business operations, pricing and product management, strategic and portfolio analytics and Constellation's commodity management group. Ellsworth joined the Exelon Power Team in February, 2004 as vice president of fuels, working with both the Power Team and Exelon Power organizations to optimize the fuels purchasing, marketing and trading operations. Ellsworth has had full careers in both the regulated and merchant energy arenas of the electric utility business; he spent 10 years with the Potomac Electric Power Company (PEPCO) as a unit engineer, an energy planning specialist and a power plant project manager. In 1993, he moved to PG&amp;E National Energy Group. There, he started in the power plant construction and controls areas, and then moved into marketing, power scheduling and asset management. By 1999, he was VP of PG&amp;E National Energy Group's trading and operations group. In that role, Ellsworth developed and directed the company's fuel and asset management, strategic bidding, coal scheduling, power and gas operations activities for an 8,500-megawatt (MW) portfolio, in addition to other duties. Ellsworth received his bachelor's degree in mechanical engineering from the University of Delaware and his master's of business administration from George Mason University.</t>
  </si>
  <si>
    <t>82014-49P</t>
  </si>
  <si>
    <t>Dennis Montz</t>
  </si>
  <si>
    <t>Montz</t>
  </si>
  <si>
    <t>He served as Director of Private Investments &amp; Managing Director at Sentinel Trust Company. He use to conducts due diligence on, analyzes, and monitors investments for four proprietary private equity funds of funds in conjunction with external specialized consultants; oversees limited partnership investments in venture capital, corporate finance, and real estate funds; and analyzes other private investment opportunities for clients. He is a Chartered Alternative Investment Analyst and a CFA charter holder. He received his undergraduate degree from Georgetown University and his Masters from Tulane. He is a member of the New York Society of Security Analysts, the Institutional Limited Partners Association, and the CFA Society of Houston.</t>
  </si>
  <si>
    <t>+1 (713) 529-3729</t>
  </si>
  <si>
    <t>dennis.montz@constellation.com</t>
  </si>
  <si>
    <t>Senior Portfolio Manager, Private Investments</t>
  </si>
  <si>
    <t>156310-39P</t>
  </si>
  <si>
    <t>Dino Caro</t>
  </si>
  <si>
    <t>Dino</t>
  </si>
  <si>
    <t>Caro</t>
  </si>
  <si>
    <t>Mr. Dino Caro serves as Senior Vice President, Gas Sales at Constellation Energy Group. He is responsible for Constellation's sales of natural gas to more than 100,000 commercial and industrial customers and supports sales of the full range of Constellation products including power, energy efficiency, and on-site generation. He joined Constellation in connection with its acquisition of Integrys Energy Services, Inc. where he oversaw direct mass market and C&amp;I sales, marketing, account management, and channel partner management as senior vice president. He joined Integrys in 2002 in a structuring and valuation role where he created the models used to price and hedge retail electric products and assisted in the company's expansion into Michigan, New York, the Mid-Atlantic, Illinois, and Texas. Prior to joining Integrys, Caro worked in forecasting, scheduling, supply acquisition, and risk management for Westcoast Energy. There, he helped launch Union Energy, an unregulated affiliated gas marketing company, and oversaw all supply-related issues required to source and deliver gas to residential and small commercial customers in Ontario, Canada. He also held leadership positions at Engage Energy, another unregulated affiliate of Westcoast Energy, where he was responsible for the structuring and valuation of large wholesale power and gas transactions. Caro is on the board of the Tecumseh Minor Hockey Association in Ontario and supports Habitat for Humanity in the Ann Arbor area. Caro received a bachelor's of applied science in mechanical engineering and a master's of business administration from the University of Windsor (Ontario). He is a registered Professional Engineer in the Province of Ontario.</t>
  </si>
  <si>
    <t>dino.caro@constellation.com</t>
  </si>
  <si>
    <t>Senior Vice President, Gas Sales</t>
  </si>
  <si>
    <t>379803-25P</t>
  </si>
  <si>
    <t>Emily Duncan</t>
  </si>
  <si>
    <t>Senior Vice President &amp; Vice President</t>
  </si>
  <si>
    <t>Ms. Emily Duncan serves as Senior Vice President, Investor Relations and Strategic Initiatives &amp; Vice President, Investor Relations at Constellation Energy.</t>
  </si>
  <si>
    <t>emily.duncan@constellation.com</t>
  </si>
  <si>
    <t>Senior Vice President, Investor Relations and Strategic Initiatives &amp; Vice President, Investor Relations</t>
  </si>
  <si>
    <t>235065-07P</t>
  </si>
  <si>
    <t>James McHugh</t>
  </si>
  <si>
    <t>McHugh</t>
  </si>
  <si>
    <t>Mr. McHugh serves as Executive Vice President &amp; Chief Commercial Officer at Constellation Energy Group. He has more than 25 years of experience in the energy industry and has led the Company's competitive retail and commodities business since 2018. He previously served from 2016 to 2018 as Senior Vice President of wholesale trading where he was responsible for the wholesale trading and portfolio management of the Company's generation, load, transactions and contracted assets. Since joining Exelon in 2004, Mr. McHugh has served in a variety of positions of increasing responsibility withing the organization, including Senior Vice President of portfolio management and strategy, director of the Midwest and mid-Atlantic regional trading and director of portfolio management. Mr. McHugh received his bachelor's degree in electrical engineering from Lehigh University and a Master of Business Administration in finance from Villanova University.</t>
  </si>
  <si>
    <t>james.mchugh@constellation.com</t>
  </si>
  <si>
    <t>Executive Vice President &amp; Chief Commercial Officer</t>
  </si>
  <si>
    <t>146077-12P</t>
  </si>
  <si>
    <t>John Paffenbarger Ph.D</t>
  </si>
  <si>
    <t>Paffenbarger</t>
  </si>
  <si>
    <t>Dr. John Paffenbarger serves as Vice President, Corporate Strategy and Development at Constellation Energy Group. Previously, he served as a Director of Strategic Planning, Corporate and Business Development at Orion Power.</t>
  </si>
  <si>
    <t>john.paffenbarger@constellation.com</t>
  </si>
  <si>
    <t>Vice President, Corporate Strategy and Devlopment</t>
  </si>
  <si>
    <t>215853-58P</t>
  </si>
  <si>
    <t>Joseph Dominguez</t>
  </si>
  <si>
    <t>Dominguez</t>
  </si>
  <si>
    <t>Mr. Joseph Dominguez serves as President, Chief Executive Officer, Constellation &amp; Board Member at Constellation Energy Group. Mr. Dominguez has more than 20 years of experience in the energy industry, having most recently served since 2018 as Chief Executive Officer of ComEd, an Exelon company that serves more than 4,000,000 residential and business customers in Illinois. Prior to serving in that position, Mr. Dominguez served from 2012 to 2018 as Exelon's Executive Vice President of Governmental and Regulatory Affairs and Public Policy where he led the development and implementation of federal, state, and regional governmental, regulatory, and public policy strategies. Mr. Dominguez earned his bachelor's degree in mechanical engineering from the New Jersey Institute of Technology and his law degree from Rutgers University School of Law.</t>
  </si>
  <si>
    <t>joseph.dominguez@constellation.com</t>
  </si>
  <si>
    <t>President, Chief Executive Officer, Constellation &amp; Board Member</t>
  </si>
  <si>
    <t>309357-64P</t>
  </si>
  <si>
    <t>Judy Rader</t>
  </si>
  <si>
    <t>Rader</t>
  </si>
  <si>
    <t>Ms. Judy Rader serves as Senior Vice President, Corporate Affairs and Chief Communications Officer at Constellation Energy Group.</t>
  </si>
  <si>
    <t>+1 (773) 384-3473</t>
  </si>
  <si>
    <t>Senior Vice President, Corporate Affairs and Chief Communications Officer</t>
  </si>
  <si>
    <t>309355-30P</t>
  </si>
  <si>
    <t>Kathleen Barron</t>
  </si>
  <si>
    <t>Barron</t>
  </si>
  <si>
    <t>Ms. Kathleen Barron serves as Chief Strategy Officer, Executive Vice President &amp; Member of Executive Committee at Constellation Energy Group. As Executive Vice President and Chief Strategy Officer for the new Constellation, Barrón leads the company's efforts in the areas of corporate strategy, corporate development, public policy, sustainability, communications, corporate relations and philanthropy. Barrón serves as executive vice president and chief strategy officer for Constellation, the nation's largest producer of carbon-free energy and the leading competitive retail supplier of energy products and services for 2 million homes and businesses across the United States. In this role, Barrón is responsible for corporate strategy, corporate development, public policy, sustainability, communications, corporate relations and philanthropy for Constellation. She is also part of Constellation's Executive Committee.Barrón previously served as Exelon's executive vice president for government and regulatory affairs and public policy, where she led the development and implementation of federal, state and regional governmental, regulatory and public policy strategies for Exelon Corporation, the nation's largest producer and distributor of
clean energy. She was responsible for identifying and assessing key federal and state policy issues of interest to Exelon, crafting the company's position on such issues, and developing strategies for achieving public policy objectives on behalf of Exelon's customers and businesses. She was also responsible for managing the company's wholesale market design advocacy in each of the regional markets where the company operates. Prior to joining Exelon, Barrón was the Deputy General Counsel at the Federal Energy Regulatory Commission (FERC), where she advised the Commission on all aspects of its responsibilities and represented the Commission before Congress, government agencies, and industry groups. Previously, Barrón was the FERC's associate general counsel for energy markets, where she led a group of about 90 lawyers on legal and policy matters related to electric power sales and transportation, electric system reliability, corporate regulation of public utilities and natural gas and oil pipeline transportation. Prior to joining FERC, Barrón was in private
practice with the law firm Skadden, Arps, Slate, Meagher and Flom LLP. There, she represented utility and independent power producer clients in proceedings before FERC, U.S. Courts of Appeal, and state utility commissions.</t>
  </si>
  <si>
    <t>+1 (770) 452-3760</t>
  </si>
  <si>
    <t>kathleen.barron@constellation.com</t>
  </si>
  <si>
    <t>Executive Vice President &amp; Chief Strategy Officer, Strategy</t>
  </si>
  <si>
    <t>235061-92P</t>
  </si>
  <si>
    <t>Matthew Bauer</t>
  </si>
  <si>
    <t>Mr. Matthew Bauer serves as Senior Vice President, Controller &amp; Chief Accounting Officer at Constellation Energy Group.</t>
  </si>
  <si>
    <t>matthew.bauer@constellation.com</t>
  </si>
  <si>
    <t>65958-67P</t>
  </si>
  <si>
    <t>Michael Koehler</t>
  </si>
  <si>
    <t>Chief Administrative Officer &amp; Executive Vice President</t>
  </si>
  <si>
    <t>Mr. Mike Koehler serves as Chief Administrative Officer &amp; Executive Vice President at Constellation Energy Group. He served as President, Professional Services at EMC. He manages EMC Global Services' broad portfolio of professional services, practices and delivery, as well as go-to-market execution, ensuring customers derive maximum benefit from their investments in EMC technology. As the leader of EMC's professional services team, Koehler is responsible for supporting EMC's continued leadership role in Cloud, Big Data, and Trusted IT by enabling its customers and partners on their IT transformation journey. He reports to Howard Elias, President and Chief Operating Officer, EMC Information Infrastructure and Cloud Services. Before joining EMC in 2011, he was Senior Vice President for HP, where he was responsible for market expansion and improving revenue and profit throughout Canada, Latin America, and the U.S. Prior to HP, he served as a Executive Vice President of EDS, where he managed information technology outsourcing and business process outsourcing services across all geographic theaters, as well as for select global anchor accounts, and was instrumental in developing a go-to-market delivery model for global services across all geographies and industries. Following the acquisition of EDS by HP, he played a key role in the integration of the company's ITO and BPO businesses into the HP framework. He also served as COO and SVP of EDS's Europe Middle East and Africa business unit. Koehler also worked with the Feld Group and IBM Consulting.</t>
  </si>
  <si>
    <t>mike@constellation.com</t>
  </si>
  <si>
    <t>Chief Administrative Officer, Administration &amp; Executive Vice President</t>
  </si>
  <si>
    <t>146023-30P</t>
  </si>
  <si>
    <t>Ravi Ganti Ph.D</t>
  </si>
  <si>
    <t>Ganti</t>
  </si>
  <si>
    <t>Dr. Ravi Ganti serves as Senior Vice President, Natural Gas at Constellation Energy. He served as Senior Vice President, Portfolio Management and Analysis at Constellation Energy Group. He served as Senior Vice President and Chief Commercial Risk Officer at Exelon. He leads the risk management function for Constellation. As Chief Commercial Risk Officer, he is responsible for the identification, assessment, and monitoring of market, credit, and operational risks, and the communication of those risks to the Finance and Risk Committee of the Board of Directors. He previously served as Vice President of Investor Relations at Exelon, the nation's number one competitive energy provider, and Vice President, Corporate Strategy prior to that. He joined Exelon in March 2004 and has held positions in Quantitative Analytics, Risk Management, Finance, and Corporate Strategy before assuming his current responsibilities in August 2014. Prior to joining Exelon, he held positions in management consulting, specializing in supply chain management, software development, and as a process engineer in pulp and paper and Oil and Gas industries. He obtained his Bachelor's in Chemical Engineering from the Indian Institute of Technology, Delhi, India, and his Doctorate in Chemical Engineering from Georgia Institute of Technology, Atlanta, GA, in 1995.</t>
  </si>
  <si>
    <t>ravi.ganti@constellation.com</t>
  </si>
  <si>
    <t>Senior Vice President, Natural Gas</t>
  </si>
  <si>
    <t>158192-02P</t>
  </si>
  <si>
    <t>Robert Kinscherf</t>
  </si>
  <si>
    <t>Kinscherf</t>
  </si>
  <si>
    <t>Mr. Robert Kinscherf serves as Vice President, National Accounts at Constellation Energy Group.</t>
  </si>
  <si>
    <t>bob.kinscherf@constellation.com</t>
  </si>
  <si>
    <t>Vice President, National Accounts</t>
  </si>
  <si>
    <t>146091-97P</t>
  </si>
  <si>
    <t>Saurabh Aggarwal</t>
  </si>
  <si>
    <t>Mr. Saurabh Aggarwal serves as Executive, Corporate Development &amp; Strategic Projects (Mergers &amp; Acquisitions) at Constellation Energy. He served as Executive, Corporate Development and Mergers and Acquisitions at Exelon. Previously, he served as the President of - Asian Business Club at Boston University School of Management. He completed an MBA (Master of Business Administration) in Strategy, Finance from Boston University in 2010, an MS (Master of Science) in Electrical, Electronics Engineering from Nanyang Technological University in 2006, and a BS (Bachelor of Science) in Electrical Engineering from Delhi Technological University in 2003. He also secured a Certificate in Lean Six Sigma from Boston University in 2009.</t>
  </si>
  <si>
    <t>saurabh.aggarwal@constellation.com</t>
  </si>
  <si>
    <t>Executive, Corporate Development &amp; Strategic Projects (Mergers &amp; Acquisitions)</t>
  </si>
  <si>
    <t>208814-05P</t>
  </si>
  <si>
    <t>Shounok Sinha</t>
  </si>
  <si>
    <t>Shounok</t>
  </si>
  <si>
    <t>Mr. Shounok Sinha serves as Managing Director for Investments at Constellation Technology Ventures. He serves as a Board Member at Bidgely. He serves as a Board Member at Sparkfund and Operant Networks. He serves as a Board Member at Vutility. He is responsible for originating and structuring new investments as well as supporting the growth of the Constellation Technology Ventures (CTV) portfolio. He serves as an Executive at Constellation Energy. Prior to joining CTV, he led the Investment Structuring team within Constellation Energy's Distributed Energy business. He has led new product development, financial structuring, and asset acquisition efforts for competitive bidding and internal underwriting, helping deploy over $1B of capital on Distributed Energy development; opportunities span multiple asset classes including Solar PV, Storage, Fuel Cells &amp; Biomass. In addition, he has had extensive experience in Project Financing and was involved in non-recourse debt offerings on utility-scale renewable and gas generation assets totaling over $ 1.5 B. He holds a Bachelor of Science degree in Instrumentation Engineering from BMS College of Engineering, India, and a Master of Business Administration degree from the University of Maryland at College Park. He serves as Board Member &amp; Advisor at SWTCH.</t>
  </si>
  <si>
    <t>shounok.sinha@constellation.com</t>
  </si>
  <si>
    <t>Managing Director, Investments</t>
  </si>
  <si>
    <t>Constellation Technology Ventures</t>
  </si>
  <si>
    <t>309357-10P</t>
  </si>
  <si>
    <t>Susie Kutansky</t>
  </si>
  <si>
    <t>Susie</t>
  </si>
  <si>
    <t>Kutansky</t>
  </si>
  <si>
    <t>Chief Human Resources Officer &amp; Executive Vice President</t>
  </si>
  <si>
    <t>Ms. Susie Kutansky serves as Chief Human Resources Officer &amp; Senior Vice President at Constellation Energy Group. She and nd her team are responsible for the company's human resource operations, compensation, benefits, employee relations, diversity, equity &amp; inclusion, talent management, human resources solutions, recruiting, and organizational effectiveness. She serves on the Constellation Executive Committee, which sets strategy and direction for the company. She most recently served as senior vice president of human resources at Constellation. In her previous role as vice president of human resources for ComEd, she set the HR strategy for over 6,000 employees as a member of the senior leadership team. Prior to that, she served as director of employee and labor relations for Exelon Generation then to ComEd where she led labor strategy development and execution, negotiations, training, contract interpretation and union relations. In her eighteen years of professional experience at Exelon, she held various roles providing expertise and counsel to the utility, generation and business services companies. She has also held HR leadership roles on cost optimization efforts and merger due diligence and integration. In addition, Susie has served as a prior chair for the nuclear human resources group. Before Exelon, she held human resource and new business roles at ADP TotalSource. She received her undergraduate degree at Indiana University, Bloomington. There she worked in the Department of Psychological and Brain Sciences. She received her J.D. from Valparaiso University School of Law where she volunteered a mediator in the legal clinic. During law school, she also interned at ArcelorMittal Steel. She is a member of the Illinois Bar.</t>
  </si>
  <si>
    <t>+1 (312) 362-0138</t>
  </si>
  <si>
    <t>susie.kutansky@constellation.com</t>
  </si>
  <si>
    <t>Executive Vice President and Chief Human Resources Officer</t>
  </si>
  <si>
    <t>379668-61P</t>
  </si>
  <si>
    <t>Ali Gleason</t>
  </si>
  <si>
    <t>Gleason</t>
  </si>
  <si>
    <t>Construct Capital</t>
  </si>
  <si>
    <t>Ms. Ali Gleason serves as Office and Operations Manager at Construct Capital (Washington DC).</t>
  </si>
  <si>
    <t>+1 (202) 503-4771</t>
  </si>
  <si>
    <t>ali@constructcap.com</t>
  </si>
  <si>
    <t>3516 Connecticut Avenue Northwest</t>
  </si>
  <si>
    <t>20008</t>
  </si>
  <si>
    <t>Office and Operations Manager</t>
  </si>
  <si>
    <t>379666-90P</t>
  </si>
  <si>
    <t>Anshu Mohan</t>
  </si>
  <si>
    <t>Anshu</t>
  </si>
  <si>
    <t>Mr. Anshu Mohan serves as an Investor at Construct Capital (Washington DC).</t>
  </si>
  <si>
    <t>anshu@constructcap.com</t>
  </si>
  <si>
    <t>108958-33P</t>
  </si>
  <si>
    <t>Camila Key Saruhashi</t>
  </si>
  <si>
    <t>Key Saruhashi</t>
  </si>
  <si>
    <t>Ms. Camila Key Saruhashi serves as an Investor at Construct Capital. She served as Principal at QED Investors. She served as Executive at Redpoint eventures. She served as a Board Observer at Boto. She has spent her career in FinTech working in a variety of roles, from product to operations to business strategy. She served as Senior Manager of Business Operations and Products at EarnIn. Prior to that, she led a team of over 300 people as head of operations at Nubank, Latin America's leading neobank. She has previous experience in both the U.S. and Latin America as an operator in consumer finance startups, strategic consultant at BCG, and investor at Redpoint e.ventures. She holds an MBA from the Stanford Graduate School of Business and a B.A. in Finance from Fundacao Getulio Vargas in Brazil.</t>
  </si>
  <si>
    <t>camila@constructcap.com</t>
  </si>
  <si>
    <t>335991-97P</t>
  </si>
  <si>
    <t>Dan Depaoli</t>
  </si>
  <si>
    <t>Depaoli</t>
  </si>
  <si>
    <t>Mr. Dan Depaoli serves as Investor at Construct Capital (Washington DC). He received a BA, Magna Cum Laude, from Hamilton College where he studied Economics and Government, and was a captain of the baseball team. Dan is a CFA charterholder.</t>
  </si>
  <si>
    <t>dan@constructcap.com</t>
  </si>
  <si>
    <t>30356-20P</t>
  </si>
  <si>
    <t>Dayna Grayson</t>
  </si>
  <si>
    <t>Dayna</t>
  </si>
  <si>
    <t>Grayson</t>
  </si>
  <si>
    <t>Ms. Dayna Grayson is a Co-Founder and serves as a General Partner at Construct Capital. She serves as a Board Member at Earth. She also serves as an Investment Committee Member at UVA LVG Seed Fund. She serves as a Board Member at Buffalo Market, Verve Motion, Copia Automation, WireWheel, APX Labs, Awareness Hub, GLAMSQUAD, Onshape, SocialRadar, Desktop Metal, Incremental, Hadrian, Amplio, H2Ok Innovations, and New England Venture Capital Association. She serves as an Advisor at Monaire. She also served as a Venture Advisor at New Enterprise Associates. She joined NEA in 2012 and focuses on investments in both business and consumer services. She is a director of OnShape Technologies, APX Labs, FiftyThree, and Pocket, and she has also served as a board member at Tulip, Framebridge, and Curalate. She founded the NEA Studio in 2013 where entrepreneurs with non-traditional backgrounds, such as design, work in residence with NEA, and she is particularly interested in how design accelerates both consumer and enterprise adoption of new products. She is an early-stage investor and she has invested in several companies through NEA's seed investment program, as well. She actively advises startups pre-funding and has served as an entrepreneur-in-residence at Harvard Business School. Prior to joining NEA, she was an investor at North Bridge Venture Partners in Boston where she focused on seed and early-stage digital media, consumer internet, and SaaS investments. She was involved with companies including Camiant (acquired by Tekelec), Tapjoy, and Viximo (acquired by Tapjoy), where she was interim CEO in 2009. Before her investment career, she spent many years as a product designer. She got the bug for entrepreneurship in college where she worked with a professor to commercialize an eye-gaze tracking technology and form Eye Response Technologies (FKA Erica, Inc). After a couple of years spent consulting at Cap Gemini Ernst and Young, she joined Blackbaud [NASDAQ: BLKB], the leading global provider of software to nonprofit organizations. From 2001-2004, she led the design of several accounting products while the company grew to over $130 million in revenue and completed a successful public offering. She has a BS in Systems Engineering from the University of Virginia and an MBA from Harvard Business School.</t>
  </si>
  <si>
    <t>dayna@constructcap.com</t>
  </si>
  <si>
    <t>239152-96P</t>
  </si>
  <si>
    <t>Eugene Wan</t>
  </si>
  <si>
    <t>Wan</t>
  </si>
  <si>
    <t>Mr. Eugene Wan serves as Investor at Construct Capital (Washington DC). He has broad experience as an investor and operator in early stage companies, with a deep interest and focus on how emerging technologies enable reinvention. He holds a BA in Economics and Political Science from University of Colorado-Boulder.</t>
  </si>
  <si>
    <t>eugene@constructcap.com</t>
  </si>
  <si>
    <t>12914-20P</t>
  </si>
  <si>
    <t>Kirby Bartlett</t>
  </si>
  <si>
    <t>Kirby</t>
  </si>
  <si>
    <t>Bartlett</t>
  </si>
  <si>
    <t>Mr. Kirby Bartlett serves as Chief Financial Officer &amp; Chief Operating Officer at Construct Capital. Mr. Bartlett served as Chief Compliance Officer and Chief Operating Officer at ACME Capital.Prior to ACME, he was COO &amp; CCO for Sherpa Capital. He previously held a similar role at Bay City Capital, a venture capital firm that raised eight venture capital funds representing $1.6 billion in capital commitments. With more than 20 years in venture capital, including over 15 years managing operations, he is a highly experienced venture capital executive capable of managing all aspects of a VC firm. Over his tenure, he has led efforts in fundraising, marketing, investor relations, recruiting, regulatory compliance, portfolio management, and investing. His early investment activities include championing three He that led to IPOs. Prior to his 18 years at Bay City Capital, he worked for a business consulting firm where he advised companies in various corporate development strategies. Kirby also worked at BAbCO (acquired by Covance) for six years where he managed a majority of its contract research services. He holds an MBA from University of San Francisco, graduating 1st in his class, and received a BA in Molecular Biology from the University of California, Berkeley.</t>
  </si>
  <si>
    <t>+1 (415) 805-8500</t>
  </si>
  <si>
    <t>kirby@constructcap.com</t>
  </si>
  <si>
    <t>144956-80P</t>
  </si>
  <si>
    <t>Leland Chamlin</t>
  </si>
  <si>
    <t>Leland</t>
  </si>
  <si>
    <t>Chamlin</t>
  </si>
  <si>
    <t>Mr. Leland Chamlin serves as Investor at Construct Capital. He co-founded Mammoth. He served as Director of R&amp;D Partnerships and Programs at Bowery. Previously, he served as Chief of Staff at Bowery. He works closely with the Bowery team to effectively execute operations and strategy, both internally and externally. Prior to joining Bowery, he was an investment banker at DBO Partners in San Francisco, focusing primarily on M&amp;A advisory and capital raising for cybersecurity companies. He first became interested in the food space while developing Wharton's first class in restaurant entrepreneurship with Union Square Hospitality Group.</t>
  </si>
  <si>
    <t>leland@constructcap.com</t>
  </si>
  <si>
    <t>189510-04P</t>
  </si>
  <si>
    <t>Rachel Holt</t>
  </si>
  <si>
    <t>Ms. Rachel Holt is a Co-Founder &amp; serves as General Partner at Construct Capital. She serves as Board Observer at ChargeLab. She served as Vice President / Head of New Mobility at Uber. Ms. Holt also serves as an Advisor at Uber and Monaire. She serves as a Board Member at Motorefi, Vammo, Telegraph, and Kinetic Automation. She served as Board Member at The Rounds. She previously served as a Vice President, New Mobility at Uber. Prior to taking on this role, she was the Regional General Manager for the US and Canada, leading our business across Uber's largest region. In 2011, she joined Uber as the General Manager of Washington, DC, growing the city into one of Uber's largest and fastest-growing markets at the time. She began her career at Bain &amp; Company, advising companies in the private equity, media, and healthcare industries, and then in brand management at Clorox before leaving to join Uber. She graduated magna cum laude from Amherst College and earned her MBA from Stanford University, where she was an Arjay Miller Scholar.</t>
  </si>
  <si>
    <t>rachel@constructcap.com</t>
  </si>
  <si>
    <t>329587-03P</t>
  </si>
  <si>
    <t>Aram Mikayelyan</t>
  </si>
  <si>
    <t>Aram</t>
  </si>
  <si>
    <t>Mikayelyan</t>
  </si>
  <si>
    <t>Constructor Capital</t>
  </si>
  <si>
    <t>Mr. Aram Mikayelyan serves as VC Investor at Constructor Capital. He previously served as the Head of Business Development &amp; Strategy in the Fintech vertical at the leading eCommerce player in Central and Eastern Europe. Prior to that, he worked as a Vice President in the corporate venture arm of the leading global Metals &amp; Mining company. He has a M.S. in Physics from Ecole Polytechnique Federale de Lausanne (EPFL, Lausanne) and B.S. in Applied Mathematics.</t>
  </si>
  <si>
    <t>am@constructor.capital</t>
  </si>
  <si>
    <t>Cayman Islands</t>
  </si>
  <si>
    <t>Cayman Islands, United Kingdom</t>
  </si>
  <si>
    <t>Ugland House, Cayman Islands</t>
  </si>
  <si>
    <t>VC Investor</t>
  </si>
  <si>
    <t>427003-75P</t>
  </si>
  <si>
    <t>Carolin Steinmann</t>
  </si>
  <si>
    <t>Steinmann</t>
  </si>
  <si>
    <t>Ms. Carolin Steinmann serves as Advisor &amp; General Partner at Constructor Capital. She brings over 20 years of experience in the Alternative Fund industry. Before joining Constructor Capital she headed LGT Capital Partner's private market tax, investment, investor, and regulatory operations and served as a Board Member for various private equity entities. Before LGT She worked as Senior Manager at PwC's Audit Asset Management practice on Private Equity and Hedge Fund clients in Zurich and New York. She started her career at PwC's Forensic Practice on international fraud assignments. She is a Chartered Certified Accountant (FCCA), a Swiss Audit Exper,t and a Liechtenstein CPA. She holds a Master in Economics from the University of St. Gallen and a Master in International Management from the Stockholm School of Economics.</t>
  </si>
  <si>
    <t>231445-45P</t>
  </si>
  <si>
    <t>Marie Lepske Ph.D</t>
  </si>
  <si>
    <t>Lepske</t>
  </si>
  <si>
    <t>Dr. Marie Lepske serves as General Partner at Constructor Capital. Dr. Lepskaya served as a Senior Associate at Runa Capital. Dr. Lepskaya serves as Associate at SIT Capital. Masha previously served as the COO at Kinian, the Investment Manager for a family office, an Analyst at Yandex and the Chief Expert at the Russian Ministry of Communications and Mass Media. She is a Ph.D. candidate in Computer Science and also earned her B.S. and M.S. in Applied Mathematics and Physics from Moscow Institute of Physics and Technology.</t>
  </si>
  <si>
    <t>ml@constructor.capital</t>
  </si>
  <si>
    <t>376790-50P</t>
  </si>
  <si>
    <t>Matthias Winter Ph.D</t>
  </si>
  <si>
    <t>Dr. Matthias Winter serves as General Partner &amp; Advisor at Constructor Capital. Dr. Winter serves as Board Member at QDTI. He is a consultant veteran who spent over 20 years at McKinsey &amp; Company in Zurich as a Senior Partner. He led the European Telecom Practice leadership team and advised a variety of telecom clients on various projects. Before McKinsey, He worked as a Research Associate at the International Institute for Management Development (IMD) in Lausanne. He holds a Ph.D. in Economics and Information Management from EBS Universität. He serves as a Chairman at Lookmove.</t>
  </si>
  <si>
    <t>matthias.winter@constructor.capital</t>
  </si>
  <si>
    <t>General Partner &amp; Advisor</t>
  </si>
  <si>
    <t>43178-95P</t>
  </si>
  <si>
    <t>Oleg Melnikov</t>
  </si>
  <si>
    <t>Oleg</t>
  </si>
  <si>
    <t>Melnikov</t>
  </si>
  <si>
    <t>Chief Technology Officer &amp; General Partner</t>
  </si>
  <si>
    <t>Mr. Oleg Melnikov serves as Chief Automation Officer at Virtuozzo. Mr. Melnikov serves as a Chief Technology Officer &amp; General Partner at Constructor Capital. He serves as Chief Technology Officer at Acronis. He co-founded Virtuozzo. He serves as Chief Technology Officer at Runa Capital. He currently manages the team of developers working on Parallels' System Automation and Business Automation solutions. Previously, he architected and managed the HSPcomplete solution for nearly 3 years. He has in-depth knowledge and extensive experience in Internet technologies, Internet applications design and development, e-business and hosting automation solutions. He has managed several engineering projects for Parallels, including the release of version 2.8 of the Solomon IV software, the e-commerce application for Pervasive South East Asia. Under his management, Parallels' Web portals ASPstreet.com and HSPstreet.com performed well within the target markets, giving rise to a powerful search engine. He holds a B.Sc. in Computer Science and a MS in Computer Science from the Moscow Institute of Physics and Technology.</t>
  </si>
  <si>
    <t>+41 (0)52 539 1027</t>
  </si>
  <si>
    <t>omelnikov@constructor.capital</t>
  </si>
  <si>
    <t>Schaffhausen</t>
  </si>
  <si>
    <t>Schaffhausen, Switzerland</t>
  </si>
  <si>
    <t>Vordergasse 59</t>
  </si>
  <si>
    <t>8200</t>
  </si>
  <si>
    <t>Chief Automation Officer</t>
  </si>
  <si>
    <t>Virtuozzo</t>
  </si>
  <si>
    <t>34159-42P</t>
  </si>
  <si>
    <t>Serg Bell Ph.D</t>
  </si>
  <si>
    <t>Serg</t>
  </si>
  <si>
    <t>Dr. Serg Bell serves as Founder &amp; Co-Chief Executive Officer at Constructor (Education and Training Services (B2B)). He is the Founder of Acronis. Dr. Bell co-owned Cloudfest. He is a Co-Founder and serves as Chief Executive Officer and Chief Constructor at Virtuozzo. Before founding Acronis, SB served as Parallels' CEO until 2011, a company that operates as a global leader in virtualization and automation software. SB still provides leadership to Parallels today as the company's Executive Chairman. SB is also the co-founder and Executive Chairman of Acumatica. As of July 1, 2021, SB has stepped down as CEO of Acronis so he can better lead the company's technology and research strategy as Chief Research Officer. SB's role now includes a larger focus on overseeing and directing the company's advanced technologies, as well as its university relations program, including the Schaffhausen Institute of Technology (SIT) in Switzerland, which he co-founded in 2019. SB sits on the Governing Board of the Centre for Quantum Technologies in Singapore. He holds a B.S. in Physics, an M.S. (Hons) in Physics and Electrical Engineering, and a Ph.D. in Computer Science from MIPT. He is an Angel Investor.</t>
  </si>
  <si>
    <t>+41 (0)52 630 2800</t>
  </si>
  <si>
    <t>Rheinweg 9</t>
  </si>
  <si>
    <t>Founder &amp; Co-Chief Executive Officer</t>
  </si>
  <si>
    <t>Constructor Technology (Education and Training Services (B2B))</t>
  </si>
  <si>
    <t>13092-31P</t>
  </si>
  <si>
    <t>Matthew Gorin</t>
  </si>
  <si>
    <t>Gorin</t>
  </si>
  <si>
    <t>Contour Venture Partners</t>
  </si>
  <si>
    <t>Mr. Matthew Gorin is a Co-Founder and serves as Managing Partner at Contour Venture Partners. He served as Board Member at Glean AI. He served as Board Member at Bench Accounting. He serves as a Board Member at Dexai Robotics, Glean Analytics, Kingfield Corporation. He served as Board Member at Contently. He serves as a Board Member at Tattle and Octane. He is passionate about helping to build early-stage companies, with a focus on the financial services, internet/SaaS, and applied technology sectors. He was previously with Promontory Financial Group, a merchant banking firm focused on the financial services sector. He was part of the launch team at Promontory Interfinancial Network, a financial services technology platform company that has subsequently grown to over one hundred employees. Prior to this, he worked for Red Hat in its Strategic Planning &amp; Corporate Development group where he was responsible for starting Red Hat's Independent Software Vendor (ISV) Partnership Program, ultimately establishing extensive business and technology partnerships with many of the top global independent software vendors. He also worked at Morgan Stanley in its strategic venture capital fund, concentrating on making investments in early-stage financial services companies. Earlier in his career, he was a turnaround consultant at PricewaterhouseCoopers, where he helped devise and implement operating strategies for troubled companies in various industries. He is the Founder of StreetWise Partners, a nonprofit focused on providing low-income individuals with a path to a successful career through mentoring, job skills, and professional experience. He co-authored a Harvard Business School case study analyzing the origins of free trade and a paper in the World Economic Outlook on the economic and political risks in the Middle East. He received his M.B.A. from Harvard Business School and his B.A. in Economics and American Studies from Brandeis University. He also serves as an Advisor at NYC Seed.</t>
  </si>
  <si>
    <t>+1 (212) 644-5481</t>
  </si>
  <si>
    <t>matt@contourventures.com</t>
  </si>
  <si>
    <t>475 Park Avenue South</t>
  </si>
  <si>
    <t>+1 (646) 861-3412</t>
  </si>
  <si>
    <t>29674-72P</t>
  </si>
  <si>
    <t>Owen Davis</t>
  </si>
  <si>
    <t>Mr. Owen Davis serves as General Partner at Contour Venture Partners. Mr. Davis serves as a Board Member at Cylera. He is a Co-Founder and serves as a Partner at AlphaPrime Ventures. He co-founded and served as the Chief Executive Officer at Overlap. He also serves as Managing Director and Investment Committee Member at NYC Seed. He also serves as an Advisor at CaseRails. He also serves as a Board Member at Wallaroo. He served as CEO at The Thinking Media. He also co-founded the company. He also serves as a General Partner at Contour Ventures. He has worked in all aspects of the online world, including client work for the original America Online, Prodigy, and MSN. He created founded Thinking Media (then dot.com Development, Inc.) in the summer of 1995. He is also the author of Instant Java Applets, available from Ziff-Davis Press. He is an original member of the World Wide Web Artist's Consortium and served on that group's board. He was named as one of the 100 Top Internet Executives in New York by The Silicon Alley Reporter in 1997, 1998, and 1999. He received his bachelor's degree from Brown University. He is also an Angel Investor.</t>
  </si>
  <si>
    <t>owen@contourventures.com</t>
  </si>
  <si>
    <t>13092-40P</t>
  </si>
  <si>
    <t>Robert Greene</t>
  </si>
  <si>
    <t>Mr. Robert Greene is a Co-Founder &amp; serves as Managing Partner at Contour Venture Partners. Mr. Robert serves as Board Observer at Kidas. He serves as Board Member at TrialJectory. He formerly served as Board Member at TimeSight Systems. Prior to joining Flatiron full time in 1999, Bob was a General Partner at Chase Capital Partners, having joined its predecessor, Chemical Venture Partners, in 1994. Bob started and led Chase Capital's Technology and Internet investment practice. He built the technology team and portfolio within Chase Capital, which included launching Flatiron in New York City in 1996, backing Pitango Venture Capital in Israel in 1996, and launching Techfund Capital in Silicon Valley in 1997. Bob is the President of the New York Venture Capital Association and has been on the NYVCA Board since 1994. Bob has been a guest lecturer at the MIT Sloan School of Management and the Wharton School of Business for many years. Bob received a BS from the Wharton School of Business and an MBA from the MIT Sloan School of Management. He also serves as Board Member at Scripta Insights.</t>
  </si>
  <si>
    <t>bob@contourventures.com</t>
  </si>
  <si>
    <t>92922-67P</t>
  </si>
  <si>
    <t>George Whitesides</t>
  </si>
  <si>
    <t>Whitesides</t>
  </si>
  <si>
    <t>Convective Capital</t>
  </si>
  <si>
    <t>Mr. George Thomas Whitesides served as Chairman, of the Space Advisory Board at Virgin Galactic. He serves as Partner at Convective Capital. He earned a degree in International &amp; Public Affairs from Woodrow Wilson School and a Master's in Geographic Information Systems and Carto from the University of Cambridge.</t>
  </si>
  <si>
    <t>+1 (650) 560-4015</t>
  </si>
  <si>
    <t>Suite 820</t>
  </si>
  <si>
    <t>Chairman, Space Advisory Board</t>
  </si>
  <si>
    <t>Virgin Galactic Holdings (Former)</t>
  </si>
  <si>
    <t>46243-54P</t>
  </si>
  <si>
    <t>Ilya Volodarsky</t>
  </si>
  <si>
    <t>Ilya</t>
  </si>
  <si>
    <t>Volodarsky</t>
  </si>
  <si>
    <t>Mr. Ilya Volodarsky serves as Partner at Convective Capital. Mr. Volodarsky co-founded ClassMetric. He Co-Founded and served as President &amp; Chief Operating Officer at Segment. He serves as Venture Partner at Xfund. He was the Program Manager Intern at Microsoft Corporation. He is also an active angel investor in climate tech, fire-tech, and functional healthcare companies.</t>
  </si>
  <si>
    <t>+1 (415) 525-3558</t>
  </si>
  <si>
    <t>ilya@convectivecapital.com</t>
  </si>
  <si>
    <t>402365-26P</t>
  </si>
  <si>
    <t>Jay Ribakove</t>
  </si>
  <si>
    <t>Ribakove</t>
  </si>
  <si>
    <t>Mr. Jay Ribakove serves as Principal at Convective Capital. He's focused on partnering with founders who are relentless about achieving their goals and protecting our environment from natural disasters. Prior to Convective, he was an investor at Munich Re Ventures, backing companies reducing risk in climate and the built environment.</t>
  </si>
  <si>
    <t>jay@convectivecapital.com</t>
  </si>
  <si>
    <t>94612-87P</t>
  </si>
  <si>
    <t>John Mills</t>
  </si>
  <si>
    <t>Mr. John Mills serves as Advisor at Convective Capital. He served as Advisor at Pano. He Co-Founded and served as Board Member at Zenput. Previously, he served as its Chief Technology Officer.</t>
  </si>
  <si>
    <t>372545-65P</t>
  </si>
  <si>
    <t>Matt Weiner</t>
  </si>
  <si>
    <t>Weiner</t>
  </si>
  <si>
    <t>Mr. Matt Weiner serves as Advisor at Convective Capital.</t>
  </si>
  <si>
    <t>372543-49P</t>
  </si>
  <si>
    <t>Shefali Lakhina Ph.D</t>
  </si>
  <si>
    <t>Shefali</t>
  </si>
  <si>
    <t>Lakhina</t>
  </si>
  <si>
    <t>Dr. Shefali Lakhina serves as Advisor at Convective Capital.</t>
  </si>
  <si>
    <t>38126-53P</t>
  </si>
  <si>
    <t>William Clerico</t>
  </si>
  <si>
    <t>Clerico</t>
  </si>
  <si>
    <t>Mr. William Clerico is the Founder &amp; serves as Managing Partner at Convective Capital. Mr. Clerico is a Co-Founder of Stand. He co-founded and served as Chief Executive Officer and Board Member at WePay. Before joining the company, he worked in technology investment banking at Jefferies and Company, advising enterprise software, digital media and financial technology companies on M&amp;A and capital market transactions. He is also an angel investor and part-time partner at Y Combinator and loves helping other entrepreneurs. He is the Founder and serves as Managing Partner at Convective Capital. Previously, he worked for the U.S. Army's Communications Engineering Research Command and in electronic trading at Goldman Sachs. He received his BS in Computer Science from Boston College. He also served as a Board Member at PayNearMe.</t>
  </si>
  <si>
    <t>+1 (988) 490-7289</t>
  </si>
  <si>
    <t>bill@convectivecapital.com</t>
  </si>
  <si>
    <t>32984-47P</t>
  </si>
  <si>
    <t>Ashish Kapoor</t>
  </si>
  <si>
    <t>CordovaCann</t>
  </si>
  <si>
    <t>Mr. Ashish Kapoor serves as Chief Financial Officer &amp; Director at CordovaCann. He serves as Chief Financial Officer at Uptempo. Mr. Kapoor serves as Chief Financial Officer at Hank Payments. Mr. Kapoor has over 20 years of experience in providing capital markets advisory and assurance services as a finance professional. After obtaining his Chartered Accountant designation at Ernst &amp; Young, Mr. Kapoor has gained over 10 years of experience in investment banking; advising clients across various industries. As a senior vice president at Macquarie Capital Markets Canada Ltd., Mr. Kapoor was responsible for the Canadian telecom, media, entertainment and technology investment banking and principal investing group. During his 10 years at Macquarie, Mr. Kapoor completed more than $3 billion in successful principal investments and advised on a further $4 billion of mergers and acquisitions for third-party clients. Mr. Kapoor was formerly the CFO of a national consumer finance company, Transeastern Power Trust (prior to its current name, Blockchain Power Trust), an independent power producer focused on renewable energy sources. He is also Managing Partner at SimKap Advisory. He previously held the position of Chief Financial Officer &amp; Secretary for Gilla, Chief Financial Officer at Jade Power Trust, Vice President-Finance at InterAmerican Gaming, Chief Financial Officer for DealNet Capital. He received an undergraduate degree and a graduate degree from The University of Waterloo.</t>
  </si>
  <si>
    <t>+1 (917) 843-2169</t>
  </si>
  <si>
    <t>ashish@cordovacann.com</t>
  </si>
  <si>
    <t>217 Queen Street West</t>
  </si>
  <si>
    <t>M5V 0R2</t>
  </si>
  <si>
    <t>Chief Financial Officer, Finance &amp; Board Member</t>
  </si>
  <si>
    <t>230825-89P</t>
  </si>
  <si>
    <t>Nate Nienhuis</t>
  </si>
  <si>
    <t>Nienhuis</t>
  </si>
  <si>
    <t>Mr. Nate Nienhuis serves as Chief Operating Officer at CordovaCann. Mr. Nienhuis has extensive experience consulting to both public and private companies on all aspects of cannabis operations; including general operations, facility design, management of production and processing facilities, product development and dispensary oversight. Mr. Nienhuis has served as a consultant to various public and private companies since 1996. Over the course of his career, Mr. Nienhuis has served as head horticulturalist at licensed medical cannabis companies in California, Arizona, Colorado, Washington, Oregon, Nevada, Washington DC, and Canada. Furthermore, Mr. Nienhuis has developed and sold cutting-edge equipment for the safe extraction of cannabinoids and has been at the forefront of devising new extraction methods for processing at scale. As an extraction expert, Mr. Nienhuis has consulted on facility design for commercial cannabis extraction laboratories across the world, including ensuring compliance with Class 1 Division 1 standards for the use of volatile chemicals.</t>
  </si>
  <si>
    <t>176328-37P</t>
  </si>
  <si>
    <t>Thomas Turner Jr.</t>
  </si>
  <si>
    <t>Mr. Thomas Turner serves as Chief Executive Officer &amp; Chairman of the Board at CordovaCann. Mr. Turner has over 15 years of experience in the capital markets focused on both debt and equity securities in the technology and consumer industries. Since founding Southshore Capital Partners, LP in 2009, Mr. Turner has guided the growth of Southshore's long/short global equity hedge fund as General Partner. Through his fund, Mr. Turner has invested in public and private cannabis companies since 2012. Prior to Southshore, Mr. Turner held progressive positions at hedge funds and private equity funds with Tala Investments, Trafelet Delta Funds and ABS Capital Partners, where he specialized in technology and consumer investments. Mr. Turner graduated from the University of Virginia with a Bachelor of Science in both Commerce and Mathematics.</t>
  </si>
  <si>
    <t>taz@cordovacann.com</t>
  </si>
  <si>
    <t>41746-15P</t>
  </si>
  <si>
    <t>Anu Pathria Ph.D</t>
  </si>
  <si>
    <t>Anu</t>
  </si>
  <si>
    <t>Pathria</t>
  </si>
  <si>
    <t>Correlation Ventures</t>
  </si>
  <si>
    <t>Dr. Anu Pathria serves as Managing Director, Analytics at Correlation Ventures. His Analytics team is responsible for developing Correlation's proprietary selection model, managing the company's data assets, and supporting other areas of the business that leverage these data assets. For nearly 20 years, he has developed and delivered successful commercial solutions built around predictive analytics. Beginning in the early 1990s at HNC Software as Executive Director of Modeling, he co-developed the Falcon credit card fraud detection system currently responsible for protecting over 60% of credit card transactions in a real-time and world-wide-a groundbreaking product that fueled HNC's 1995 IPO. During his tenure at HNC, the company grew from 40 employees in 1992 to more than 1,000 by the end of the decade. In 1997, he co-launched the Healthcare division within HNC Software. In 2000, he co-founded Burning Glass Technologies, applying predictive analytics techniques to Human Capital Management. After HNC was acquired in 2002 by Fair Isaac for over $800 million, he re-joined the company to launch and manage Fair Isaac's India operation, currently the company's largest single facility. He later took leadership of Fair Isaac's Healthcare &amp; Insurance Analytics business unit. He received a B.S. (Double Honors) in Mathematics and Computer Science from the University of Waterloo in Canada and also holds a Master's in Computer Science and a Ph.D. in Operations Research from the University of California, Berkeley.</t>
  </si>
  <si>
    <t>+1 (858) 412-8500 x117</t>
  </si>
  <si>
    <t>akp@correlationvc.com</t>
  </si>
  <si>
    <t>9255 Towne Centre Drive</t>
  </si>
  <si>
    <t>Suite 350</t>
  </si>
  <si>
    <t>92121</t>
  </si>
  <si>
    <t>+1 (858) 408-1840</t>
  </si>
  <si>
    <t>Managing Director, Analytics</t>
  </si>
  <si>
    <t>14199-94P</t>
  </si>
  <si>
    <t>David Coats</t>
  </si>
  <si>
    <t>Coats</t>
  </si>
  <si>
    <t>Mr. Coats is a Co-Founder and serves as Managing Director at Correlation Ventures. Mr. Coats served as Board Member at San Diego Venture Group. He also serves as Advisor at Tectonic Ventures. He helps lead the firm, including managing its Life Science and Clean Tech investment practices. David created the original vision for Correlation, driven by the opportunity to offer entrepreneurs and other VCs a better co-investment option and to pioneer the use of predictive analytics in venture capital. David began his venture capital career in 1997. Prior to Correlation, David was a Managing Director of Hamilton BioVentures, an early-stage venture capital fund. As head of Hamilton's Life Science team, David served on the Board of Directors of such companies as PhotoThera, Transcept (NASDAQ: TSPT) and Egea Biopharmaceuticals (Acquired by Johnson&amp;Johnson). Previously, David was a Venture Partner at Windamere Venture Partners and President of Forge Medical Ventures, an early-stage incubator funded by Enterprise Partners, Mayfield Fund and Johnson &amp; Johnson Development Corporation. David was the Founder of Spine Wave, a venture-funded medical device company and Director of Business Development of UroMed Corporation (URMD), a venture-funded startup that raised several rounds of venture capital and completed a public offering. David received an M.B.A. from the Harvard Graduate School of Business Administration and graduated Summa Cum Laude with a B.S. in Biology from Princeton University.</t>
  </si>
  <si>
    <t>+1 (858) 412-8500 x115</t>
  </si>
  <si>
    <t>dec@correlationvc.com</t>
  </si>
  <si>
    <t>41112-01P</t>
  </si>
  <si>
    <t>Grace Chui-Miller</t>
  </si>
  <si>
    <t>Chui-Miller</t>
  </si>
  <si>
    <t>Ms. Grace Chui-Miller serves as Chief Financial Officer at Correlation Ventures. She is responsible for the financial reporting of the firm's investment funds as well as day-to-day management of firm-wide finance, operations and investment monitoring. In addition, Grace is responsible for investor relations and works closely with outside legal counsel on fundraising, operations and regulatory compliance matters. Grace has 20 years of professional experience in financial services and began her venture career in 1999. Prior to Correlation, Grace was the Chief Financial Officer of DCM, a technology-focused venture capital firm based in the Bay Area with over $2 billion under management, where she had oversight of global finance operations and advised portfolio company management teams, providing operational and financial guidance and assistance. Previously, Grace spent seven years at KPMG, working as an audit manager on various privately and publicly-held clients in the financial services and information technology industry segments (including several venture capital funds and venture-backed portfolio companies). On a more personal note, Grace serves on the board of a local charitable organization and enjoys participating in triathlons (including one Ironman). She received an M.B.A from the Anderson School at the University of California, Los Angeles and a B.A. in Quantitative Economics and Decision Sciences from the University of California, San Diego. Grace is a licensed Certified Public Accountant in the state of California.</t>
  </si>
  <si>
    <t>+1 (858) 412-8500 x123</t>
  </si>
  <si>
    <t>gcm@correlationvc.com</t>
  </si>
  <si>
    <t>41090-41P</t>
  </si>
  <si>
    <t>Matthew Rhodes-Kropf Ph.D</t>
  </si>
  <si>
    <t>Rhodes-Kropf</t>
  </si>
  <si>
    <t>Dr. Matthew Rhodes-Kropf serves as Managing Partner at Tectonic Ventures. He serves as Angel Investor. He serves as Board Member at Xenex. He serves as a Board Member at Neighborhood Trust Financial Partners. He serves as Board Observer at Wyebot. He serves as Advisor at Humatics &amp; Correlation Ventures. He also serves as Board Member at Avant-garde Health &amp; Wayscript. He Founded and served as Senior Advisor at RK Ventures. He also serves as Advisory Board Member at Current Capital Partners. He served as Board Member at 55ip. He is a professor in the Entrepreneurial Unit at Harvard Business School specializing in venture capital and private equity. He served as the CFO of Avid Radiopharmaceuticals (sold to Lilly) and was a member of the board of directors since Avid's founding. He also helped start and advise Ada Investment Management, an emerging investment management company that employs original research in the fields of corporate finance, behavioral finance, and sustainability in the pursuit of alpha. In his academic work, he has published widely in the top finance journals, particularly on alternative investment, governance and Mergers, and Acquisitions. He was previously a professor of finance at Columbia University. He received his Bachelor of Arts in computer science, M.A in Economics. and Ph.D. in Economics from Duke University.</t>
  </si>
  <si>
    <t>+1 (617) 496-3911</t>
  </si>
  <si>
    <t>matt@tectonicventures.com</t>
  </si>
  <si>
    <t>Newton, MA</t>
  </si>
  <si>
    <t>19 Harrison Street</t>
  </si>
  <si>
    <t>02461</t>
  </si>
  <si>
    <t>Tectonic Ventures</t>
  </si>
  <si>
    <t>268745-95P</t>
  </si>
  <si>
    <t>Megha Bothera</t>
  </si>
  <si>
    <t>Bothera</t>
  </si>
  <si>
    <t>Ms. Megha Bothera serves as Senior Analyst at Correlation Ventures. She joined our analytics team in 2013. She contributes across a range of projects, especially in investment research and data management. Prior to joining us, she was an office manager and coach at an education start-up.</t>
  </si>
  <si>
    <t>+91-924-173-6510</t>
  </si>
  <si>
    <t>mbo@correlationvc.com</t>
  </si>
  <si>
    <t>650 California Street</t>
  </si>
  <si>
    <t>54919-27P</t>
  </si>
  <si>
    <t>Michael Ewens Ph.D</t>
  </si>
  <si>
    <t>Ewens</t>
  </si>
  <si>
    <t>Dr. Michael Ewens serves as Advisor at Correlation Ventures. He is an Associate Professor of Finance and Entrepreneurship at California Institute of Technology and was previously Assistant Professor of Finance and Entrepreneurship at CMU's Tepper School of Business.</t>
  </si>
  <si>
    <t>+1 (858) 412-8500</t>
  </si>
  <si>
    <t>39696-85P</t>
  </si>
  <si>
    <t>Michael Thiemann</t>
  </si>
  <si>
    <t>Thiemann</t>
  </si>
  <si>
    <t>Mr. Michael Thiemann is a Co-Founder of Zebit. Mr. Thiemann serves as Advisor at Correlation Ventures. Mr. Thiemann serves as Board Member at Fluid Power AI. He previously served as the Chief Executive Officer and a Board Member at Global Analytics. He holds AB Studio Art and MS Electrical Engineering degrees from Stanford University and an MBA from Harvard Business School.</t>
  </si>
  <si>
    <t>+1 (888) 848-8756</t>
  </si>
  <si>
    <t>michael@zebit.com</t>
  </si>
  <si>
    <t>Carlsbad</t>
  </si>
  <si>
    <t>Carlsbad, CA</t>
  </si>
  <si>
    <t>1902 Wright Place</t>
  </si>
  <si>
    <t>92008</t>
  </si>
  <si>
    <t>Zebit</t>
  </si>
  <si>
    <t>44819-02P</t>
  </si>
  <si>
    <t>Moiz Saifee</t>
  </si>
  <si>
    <t>Moiz</t>
  </si>
  <si>
    <t>Saifee</t>
  </si>
  <si>
    <t>Mr. Moiz Saifee serves as Partner, Analytics at Correlation Ventures. During his career, he has successfully applied predictive analytics to develop novel solutions within various domains, including the internet, healthcare and retail. These efforts have resulted in a number of patents and significant returns on investment. Prior to joining Correlation, he led the Analytics function at Info Edge, the most profitable Internet company in India, focusing on core business problems like automating the matching of candidate to a job, optimizing pricing/sales, and improving online marketing and recommendation systems. Formerly, he was an Analytic Scientist at Fair Isaac India, focusing on data driven techniques for fraud detection in the U.S. healthcare industry. He holds a Bachelor's degree with honors in Computer Science from IIT Kharagpur.</t>
  </si>
  <si>
    <t>+1 (858) 412-8500 x127</t>
  </si>
  <si>
    <t>mas@correlationvc.com</t>
  </si>
  <si>
    <t>Partner, Analytics</t>
  </si>
  <si>
    <t>379257-31P</t>
  </si>
  <si>
    <t>Rik Mersai</t>
  </si>
  <si>
    <t>Rik</t>
  </si>
  <si>
    <t>Mersai</t>
  </si>
  <si>
    <t>Mr. Rik Mersai serves as Analyst at Correlation Ventures. He joined our San Diego office in 2023 as an Analyst and works closely with the finance and sourcing teams. Early in his career, he worked in the hospitality and private events sector in Los Angeles before moving to San Diego. He holds a B.S. in Business Economics from UC San Diego</t>
  </si>
  <si>
    <t>+1 (858) 752-6119</t>
  </si>
  <si>
    <t>rik@correlationvc.com</t>
  </si>
  <si>
    <t>54920-35P</t>
  </si>
  <si>
    <t>Steven Kaplan Ph.D</t>
  </si>
  <si>
    <t>Dr. Steven Kaplan serves as Advisor at Correlation Ventures. He served as Advisor at Part Analytics. He serves as Advisory Board Member at NextGen Growth Partners. Dr. Kaplan is the Neubauer Family Distinguished Service Professor of Entrepreneurship and Finance at The University of Chicago Booth School of Business, where he has been a faculty member since 1988 and teaches advanced MBA courses and co-founded the entrepreneurship program. BusinessWeek named him one of the top 12 business school teachers in the country multiple times. Dr. Kaplan conducts research on issues in private equity, venture capital, entrepreneurial finance, corporate governance and corporate finance. He has published papers in a number of academic and business journals and has testified to the U.S. Senate Finance Committee and the U.S. House Financial Services Committee about his research. Steve is a research associate at the National Bureau of Economic Research and an associate editor of the Journal of Financial Economics. He also serves on the Board or Advisory Board of Columbia Acorn Funds, Morningstar and the Illinois Venture Capital Association. Dr. Kaplan received an AB, Summa Cum Laude, in Applied Mathematics from Harvard College and earned a PhD in Business Economics from Harvard University. He has served as Board Member at Kauffman Fellows.</t>
  </si>
  <si>
    <t>41111-92P</t>
  </si>
  <si>
    <t>Trevor Kienzle</t>
  </si>
  <si>
    <t>Trevor</t>
  </si>
  <si>
    <t>Kienzle</t>
  </si>
  <si>
    <t>Mr. Trevor Kienzle is a Co-Founder &amp; serves as Managing Director at Correlation Ventures. Mr. Kienzle is an Angel Investor. Before Correlation, Trevor was a Managing Director of Newbury Ventures, a technology-focused venture capital fund headquartered in the San Francisco Bay Area. There, he led investments in the technology sector, including in such companies as MetaLINCS (acquired by Seagate) and Onaro (acquired by NetApp). Previously, Trevor was Vice President at GE Equity, the $2 billion venture capital arm of GE Capital, most recently as co-head of the Software Group. He had responsibility for a team of investment professionals managing 26 portfolio companies. He led GE Equity's investments in Okena (acquired by Cisco) and RSA Security (RSAS) (successful PIPE investment, acquired by EMC) and co-led its investment in Netscreen (NSCN, acquired by Juniper). Trevor also was co-founder and CFO of Loans USA (acquired by Mariner Finance).</t>
  </si>
  <si>
    <t>+1 (650) 353-3327 x10</t>
  </si>
  <si>
    <t>trevor.kienzle@correlationvc.com</t>
  </si>
  <si>
    <t>46629-82P</t>
  </si>
  <si>
    <t>Wesley Barrow</t>
  </si>
  <si>
    <t>Barrow</t>
  </si>
  <si>
    <t>Mr. Wesley Barrow is a Founding Partner &amp; serves as Venture Partner at Lorimer Ventures. Mr. Barrow serves as Partner at Correlation Ventures. He is an Angel Investor. He is a seasoned investment professional with extensive experience in the startup ecosystem. Currently serving as a Partner at Correlation Ventures, Wesley is involved in a data-driven approach to funding emerging companies. As a Founding Partner at Lorimer Ventures, Wesley supports pre-seed and seed stage B2B startups, while also mentoring founders in Techstars programs. Their teaching contributions at The Wharton School focus on consumer behavior in retail, and Wesley actively participates in grant funding decisions at the Jay H Baker Retailing Center. Wesley's previous roles include Senior Vice President of New Business at Yext, where Wesley played a key role during its IPO, and founding Chief Revenue Officer at Nomi, which pioneered marketing solutions for physical retail environments. Wesley's advisory experiences span several companies, including Tubular and strongDM, and an educational background from the University of Pennsylvania enhances Wesley's professional profile.</t>
  </si>
  <si>
    <t>+1 (415) 509-6381</t>
  </si>
  <si>
    <t>wesley@lorimerventures.com</t>
  </si>
  <si>
    <t>Brooklyn</t>
  </si>
  <si>
    <t>Brooklyn, NY</t>
  </si>
  <si>
    <t>111 Kent Avenue, #4K</t>
  </si>
  <si>
    <t>11249</t>
  </si>
  <si>
    <t>Founding Partner &amp; Venture Partner</t>
  </si>
  <si>
    <t>Lorimer Ventures</t>
  </si>
  <si>
    <t>118844-02P</t>
  </si>
  <si>
    <t>Andrew Bonsall</t>
  </si>
  <si>
    <t>Bonsall</t>
  </si>
  <si>
    <t>Counteract Partners</t>
  </si>
  <si>
    <t>Mr. Andrew Bonsall serves as Managing Partner at Counteract Partners. He serves as Board Member at interEarth. He serves as Advisor at ecoLocked. He served as Chairman at SPOON. Mr. Bonsall Co-Founded Essence Digital. He served as Board Member at Okappy. He also serves as Managing Partner at Counteract Partners. Andy's experience is in growing businesses, from startup teething troubles to growing pains and international expansion and all the challenges each stage embodies across product, marketing, practicalities, and people. He brings 25 years as an engineer, analyst, marketeer, manager, and mentor to help businesses and those who work in them thrive and now wants to make that count in the face of our biggest threat.</t>
  </si>
  <si>
    <t>+44 (0)20 7633 3850</t>
  </si>
  <si>
    <t>andy.bonsall@counteract.net</t>
  </si>
  <si>
    <t>X+Why, 4 Fulwood Place</t>
  </si>
  <si>
    <t>WC1V 6HG</t>
  </si>
  <si>
    <t>260365-33P</t>
  </si>
  <si>
    <t>Andrew Shebbeare</t>
  </si>
  <si>
    <t>Shebbeare</t>
  </si>
  <si>
    <t>Mr. Andrew Shebbeare serves as Managing Partner at Counteract Partners. Mr. Shebbeare serves as a Board Member at Parallel Carbon. As a leader in media and technology, his restlessness has given shape to products and business models with market-wide impact.</t>
  </si>
  <si>
    <t>andrew.shebbeare@counteract.vc</t>
  </si>
  <si>
    <t>405940-06P</t>
  </si>
  <si>
    <t>Jenny Record</t>
  </si>
  <si>
    <t>Jenny</t>
  </si>
  <si>
    <t>Record</t>
  </si>
  <si>
    <t>Ms. Jenny Record serves as a Fund Operations Manager at Counteract Partners. She is an experienced Chartered Accountant specializing in financial reporting, strategy, acquisitions, and daily operations. She trained with PWC, working in the UK and South Africa</t>
  </si>
  <si>
    <t>jenny.record@counteract.vc</t>
  </si>
  <si>
    <t>Fund Operations Manager</t>
  </si>
  <si>
    <t>103213-81P</t>
  </si>
  <si>
    <t>Matt Isaacs</t>
  </si>
  <si>
    <t>Isaacs</t>
  </si>
  <si>
    <t>Mr. Matt Isaacs serves as Managing Partner at Counteract Partners. Mr. Isaacs was the Founding Partner of Essence Digital and also served as its Executive Chairman. He excels at bringing together diverse teams across disciplines to tackle challenges with transformational potential. He has operating experience of 10 ventures from pre-launch - some to success and others to failure. He knows there is no blueprint for success but brings hard learnt lessons from a working life spanning startups, scaleups and corporate venturing which he now focuses on addressing the biggest challenge of them all - climate change.</t>
  </si>
  <si>
    <t>+44 (0)20 7633 0862</t>
  </si>
  <si>
    <t>matt.isaacs@counteract.net</t>
  </si>
  <si>
    <t>336883-69P</t>
  </si>
  <si>
    <t>Poppy Russell</t>
  </si>
  <si>
    <t>Poppy</t>
  </si>
  <si>
    <t>Ms. Poppy Russell serves as Research Associate at Counteract Partners. She completed a Masters studying stomata.</t>
  </si>
  <si>
    <t>poppy.russell@counteract.net</t>
  </si>
  <si>
    <t>Research Associate</t>
  </si>
  <si>
    <t>117683-20P</t>
  </si>
  <si>
    <t>Richard Barker</t>
  </si>
  <si>
    <t>Barker</t>
  </si>
  <si>
    <t>Mr. Richard Barker served as Consultant &amp; Investment Committee Member at Iona Capital. He also serves as a Partner at Counteract Partners. He serves as a Board Member at Adaptavate. He brings over 20 years of experience in the clean tech sector, investment banking, and strategic consulting. He was most recently the CEO of Biogen, the UK's leading food waste AD builder and operator. Before Biogen, He was the CEO of RecovCo, a specialist aluminum recycler that acquired and operated Alcan's French recycling business. He has also founded and raised funding for several other entrepreneurial businesses. Earlier in his career, he was Head of Strategy for ANZ Investment Bank in Australia, focused on Australasia and Emerging Markets. He has also been a strategy consultant on a range of international projects for MMG and AT Kearney after lecturing in Economics at University College Cork in Ireland.</t>
  </si>
  <si>
    <t>richard.barker@counteract.net</t>
  </si>
  <si>
    <t>331334-83P</t>
  </si>
  <si>
    <t>Roberta Franchi</t>
  </si>
  <si>
    <t>Roberta</t>
  </si>
  <si>
    <t>Franchi</t>
  </si>
  <si>
    <t>Ms. Roberta Franchi serves as an Investment Associate at Counteract Partners. She holds a Master's in Environmental Technology from Imperial College in London.</t>
  </si>
  <si>
    <t>roberta.franchi@counteract.net</t>
  </si>
  <si>
    <t>381269-08P</t>
  </si>
  <si>
    <t>Sahaj Kumar</t>
  </si>
  <si>
    <t>Sahaj</t>
  </si>
  <si>
    <t>Mr. Sahaj Kumar serves as an Investment Associate at Counteract Partners. With experience spanning climate startups, decarbonisation advisory for major corporations, and venture investing, he brings a well-rounded view to the team.</t>
  </si>
  <si>
    <t>sahaj.kumar@counteract.vc</t>
  </si>
  <si>
    <t>81449-74P</t>
  </si>
  <si>
    <t>David Otto JD</t>
  </si>
  <si>
    <t>Otto</t>
  </si>
  <si>
    <t>CounterPointe Ventures</t>
  </si>
  <si>
    <t>Mr. David Otto is the Founder and serves as Managing Partner at Martin Davis. He serves as a Legal Advisor at Look Lateral. He has over 30 years of experience in corporate finance, securities, mergers and acquisitions, and corporate and governance law. He also serves as a General Partner at CounterPointe Ventures. He is the Founder and serves as Managing Partner at Otto Capital. He also serves as Attorney and President at Otto Law Group. He co-founded and served as Managing Partner at Counterpointe Sports Group. He served as an Advisor at Inkrypt. His practices focus on corporate finance, securities, mergers and acquisitions, and corporate law and governance.</t>
  </si>
  <si>
    <t>+1 (206) 906-9346</t>
  </si>
  <si>
    <t>dotto@martindavislaw.com</t>
  </si>
  <si>
    <t>1200 Westlake Avenue North</t>
  </si>
  <si>
    <t>Suite 802</t>
  </si>
  <si>
    <t>Martin Davis</t>
  </si>
  <si>
    <t>100477-09P</t>
  </si>
  <si>
    <t>Greg Heuss</t>
  </si>
  <si>
    <t>Heuss</t>
  </si>
  <si>
    <t>Mr. Greg Heuss is a Founder and serves as Managing Partner at CounterPointe Ventures. He is a Board Member of Resonate Co-operative. He co-founded and served as Chief Executive Officer at Counterpointe Sports Group. He also served as Chief Executive Officer at Artifact Technologies. He served as an Executive at Ramp Equity Partners. As a serial entrepreneur, He has been involved with technology companies for over 20 years and has helped build some of the largest brands in the world. He got his first taste of the start-up world when Amazon was a start-up, in 1998, where he led the marketing and promotion efforts of new products, brands, and special events. He later went on to help create Kiss.com and built one of the largest subscription dating sites in the world. After extraordinary growth, Kiss was sold to Match.com - an IAC holding. He later helped build and direct multiple companies to a point of merger, sale, and/or public offering, resulting in nearly $200M in total M&amp;A activity. he began his career promoting and marketing music and entertainment acts such as the Seattle Sonics, Garth Brooks, the Rolling Stones, Elton John to name a few. He has a deep background in reoccurring/subscription-based revenue models, data analytics, and mobile and location-based technologies and has always been on the cutting edge of consumer trends and technology. Throughout his career, he has taken the lead as CEO, Board member, and leadership roles in Marketing, Business Development, and Product introduction. He holds a degree in Business and Marketing from Washington State University.</t>
  </si>
  <si>
    <t>+1 (206) 447-8226</t>
  </si>
  <si>
    <t>greg@reflectiveventures.io</t>
  </si>
  <si>
    <t>316 2nd Avenue South</t>
  </si>
  <si>
    <t>98104</t>
  </si>
  <si>
    <t>172809-64P</t>
  </si>
  <si>
    <t>Kate Gonsalves</t>
  </si>
  <si>
    <t>Gonsalves</t>
  </si>
  <si>
    <t>Ms. Kate Gonsalves serves as Portfolio Manager at CounterPointe Ventures. She Gonsalves served as Senior Director, Operations &amp; Strategic Initiatives at Etubics. Kate is responsible for project management, overseeing business operations and developing and implementing plans and long-range strategic initiatives. She has over ten years of experience in corporate finance, private equity and business transactional matters and consulting with a focus on project management and implementation, brand development, creating market entrance strategies, developing financial models and business development for entrepreneurial start-ups and small privately held companies. She received a BA in political science from the University of Washington and an MBA from Seattle University.</t>
  </si>
  <si>
    <t>+1 (206) 775-8266</t>
  </si>
  <si>
    <t>407733-76P</t>
  </si>
  <si>
    <t>John Herter</t>
  </si>
  <si>
    <t>Herter</t>
  </si>
  <si>
    <t>Course Correction Capital</t>
  </si>
  <si>
    <t>Advisor &amp; Founder</t>
  </si>
  <si>
    <t>Mr. John Herter is a Co-Founder &amp; serves as Chief Investment Advisor at Course Correction Capital. Mr. Herter has spent the past 17 years working to protect the climate and accelerate the commercialization of clean energy technologies. John has worked for several clean tech start ups, specializing in policy and project development. Closely tracking the clean energy transition, he connects people interested in investing in the energy transition with the companies making it happen.</t>
  </si>
  <si>
    <t>john@c-3.earth</t>
  </si>
  <si>
    <t>Co-Founder &amp; Chief Investment Advisor</t>
  </si>
  <si>
    <t>13304-08P</t>
  </si>
  <si>
    <t>Adam Grosser</t>
  </si>
  <si>
    <t>Grosser</t>
  </si>
  <si>
    <t>CPP Investments</t>
  </si>
  <si>
    <t>Mr. Adam Grosser serves as Managing Partner &amp; Chairman at UP.Partners. He serves as Senior Advisor at CPP Investments. He serves as an Advisor at Beta Technologies. He serves as a Board Member at Range Energy, InfinitForm and LineVision.. He served as a Board Member at Blue Danube. Previously, he served as Senior Advisor at Silver Lake Management. He also previously served on the boards of Arroyo, Friedola Tech, EnerNoc, Conviva, Control4, GridIron Peribit, Sentient Energy, SiBeam, Silver Spring Networks, and Transmedics. He served on the board of the National Venture Capital Association. He has more than 30 years of experience as an investor and operator in a broad array of technology companies. Prior to Silver Lake, he was a General Partner at Foundation Capital where he helped to establish the firm's technology investment practice. He has served as a Director of Calix Networks Inc. since May 2009, including through its public offering in 2010. He has been a lecturer at the UCLA School of Film and Television, a contributor to National Public Radio's Marketplace, and for the past three years a lecturer at Stanford University. He holds B.A., M.S., and M.B.A. degrees from Stanford University.</t>
  </si>
  <si>
    <t>adam@up.partners</t>
  </si>
  <si>
    <t>Santa Monica Airport, 2828 Donald Douglas Loop North</t>
  </si>
  <si>
    <t>UP.Partners</t>
  </si>
  <si>
    <t>33646-87P</t>
  </si>
  <si>
    <t>Afsaneh Lebel</t>
  </si>
  <si>
    <t>Afsaneh</t>
  </si>
  <si>
    <t>Lebel</t>
  </si>
  <si>
    <t>Ms. Afsaneh Lebel serves as Managing Director and Head of Funds at CPP Investments. She is responsible for executing and managing private equity fund investments in North America and Europe. Prior to joining CPP Investments in 2009, she was an investment banker at UBS Securities Canada, where she worked on a variety of M&amp;A and restructuring mandates across different sectors in the U.S. and Canada. She holds a BComm from McGill University. She is a CFA charterholder.</t>
  </si>
  <si>
    <t>+1 (416) 868 8694</t>
  </si>
  <si>
    <t>alebel@cppinvestments.com</t>
  </si>
  <si>
    <t>One Queen Street East</t>
  </si>
  <si>
    <t>Suite 2500</t>
  </si>
  <si>
    <t>M5C 2W5</t>
  </si>
  <si>
    <t>Managing Director &amp; Head of Funds</t>
  </si>
  <si>
    <t>59619-61P</t>
  </si>
  <si>
    <t>Agus Tandiono</t>
  </si>
  <si>
    <t>Agus</t>
  </si>
  <si>
    <t>Tandiono</t>
  </si>
  <si>
    <t>Mr. Agus Tandiono serves as Senior Managing Director, Head of Asia Pacific and Active Equities Asia and Member of the Investments' Portfolio Execution Committee and Investment Strategy Committee at CPP Investments. He also serves as Member of the Risk Committee. Previously, he served as Managing Director, of Active Fundamental Equities (Asia ex-Japan), Public Market Investment at Canada Pension Plan Investment Board. He served as a Board Member &amp; Member of the Audit Committee at Delhivery. As a member of the Senior Management Team and Head of Asia Pacific, he leads the regional business development and growth of CPP Investments across Hong Kong, Mumbai, and Sydney offices. He is a member of CPP Investments' Portfolio Execution Committee and Investment Strategy and Risk Committee. In his dual role as Head of Active Equities Asia, he leads a team of investment professionals that performs fundamental research on public equities, or soon-to-be public equities and invests in quality companies throughout Asia. He has more than 25 years of investment experience in Asia Pacific. Before joining CPP Investments in January 2014, he spent a total of five years at Citadel (Asia) as Head of Asia Equity managing the Asia Equities Long Short portfolio, three years at Income Partners as Managing Partner, and ten years at Fidelity Investments (HK) managing various sectors and country funds. He holds an MBA from the Booth Graduate School of Business, University of Chicago, and a BBA from the University of San Diego.</t>
  </si>
  <si>
    <t>+852 3973 8788</t>
  </si>
  <si>
    <t>atandiono@cppib.com</t>
  </si>
  <si>
    <t>18th Floor, York House</t>
  </si>
  <si>
    <t>The Landmark, 15 Queen's Road Central</t>
  </si>
  <si>
    <t>Senior Managing Director, Head of Asia Pacific and Active Equities Asia and Member of the Investments' Portfolio Execution Committee and Investment Strategy Committee</t>
  </si>
  <si>
    <t>444534-31P</t>
  </si>
  <si>
    <t>Akhil Majithia</t>
  </si>
  <si>
    <t>Akhil</t>
  </si>
  <si>
    <t>Majithia</t>
  </si>
  <si>
    <t>Mr. Akhil Majithia serves as Associate at CPP Investments.</t>
  </si>
  <si>
    <t>+1 (416) 868-4075</t>
  </si>
  <si>
    <t>akhilm@cppinvestments.com</t>
  </si>
  <si>
    <t>447597-91P</t>
  </si>
  <si>
    <t>Akio Kamata</t>
  </si>
  <si>
    <t>Akio</t>
  </si>
  <si>
    <t>Kamata</t>
  </si>
  <si>
    <t>Mr. Akio Kamata serves as Managing Director, Real Assets Credit at CPP Investments. Mr. Kamata focuses on public and private market credit investments in infrastructure and renewables. He was previously part of the infrastructure team based in Australia, originating, executing, and managing investments across transportation, utility, energy, and telecom infrastructure sectors. Prior to joining CPP Investments in 2010, he held senior finance roles at Macquarie Group in its listed toll road fund and Babcock &amp; Brown in its listed power fund. Prior to that, he worked at Ernst &amp; Young in Australia, the U.S., and Vietnam. He holds a BComm from Monash University, a Master of Applied Finance from Macquarie University, and is a member of the Institute of Chartered Accountants in Australia.</t>
  </si>
  <si>
    <t>+44 (0)20 3205 3500</t>
  </si>
  <si>
    <t>akio.kamata@cppinvestments.com</t>
  </si>
  <si>
    <t>40 Portman Square</t>
  </si>
  <si>
    <t>W1H 6LT</t>
  </si>
  <si>
    <t>Managing Director, Real Assets Credit</t>
  </si>
  <si>
    <t>267791-23P</t>
  </si>
  <si>
    <t>Alex Karroum</t>
  </si>
  <si>
    <t>Karroum</t>
  </si>
  <si>
    <t>Mr. Alex Karroum serves as Managing Director, Infrastructure at CPP Investments. He serves as a Board Member at BAI Communications. He is a senior member of the Infrastructure team and is responsible for originating, executing, and managing investments across the full range of infrastructure sectors in Australia and the broader Asia Pacific region (ex-India). Before joining CPP Investments in 2016, he worked at Morgan Stanley across Australia and the U.K., where he advised Infrastructure and Private Equity clients on mergers and acquisitions. He holds a Bachelor of Commerce from the University of Melbourne. He is a CFA charterholder.</t>
  </si>
  <si>
    <t>+61 (0)2 8257 7777</t>
  </si>
  <si>
    <t>akarroum@cppib.com</t>
  </si>
  <si>
    <t>Suite 5, Level 30, Governor Macquarie Tower</t>
  </si>
  <si>
    <t>1 Farrer Place</t>
  </si>
  <si>
    <t>Managing Director, Infrastructure</t>
  </si>
  <si>
    <t>419662-54P</t>
  </si>
  <si>
    <t>Alexandra McElwain</t>
  </si>
  <si>
    <t>McElwain</t>
  </si>
  <si>
    <t>Ms. Alexandra McElwain serves as Private Equity Senior Associate at CPP Investments.</t>
  </si>
  <si>
    <t>amcelwain@cppib.com</t>
  </si>
  <si>
    <t>Private Equity Senior Associate</t>
  </si>
  <si>
    <t>297444-43P</t>
  </si>
  <si>
    <t>Alexandra Weinberg</t>
  </si>
  <si>
    <t>Weinberg</t>
  </si>
  <si>
    <t>Ms. Alexandra Weinberg serves as Associate, Private Equity Funds at CPP Investments. He holds a 2017 - 2019 Honors in Business Administration from Ivey Business School at Western University.</t>
  </si>
  <si>
    <t>aweinberg@cppib.com</t>
  </si>
  <si>
    <t>Associate, Private Equity Funds</t>
  </si>
  <si>
    <t>397101-16P</t>
  </si>
  <si>
    <t>Ali Lodi</t>
  </si>
  <si>
    <t>Lodi</t>
  </si>
  <si>
    <t>Mr. Ali Lodi serves as Senior Associate, Sustainable Energies Group at CPP Investments.</t>
  </si>
  <si>
    <t>alodi@cppib.com</t>
  </si>
  <si>
    <t>Senior Associate, Sustainable Energies Group</t>
  </si>
  <si>
    <t>48517-12P</t>
  </si>
  <si>
    <t>Alice Yang</t>
  </si>
  <si>
    <t>Ms. Alice Yang serves as Managing Director, Sustainable Energies at CPP Investments. Ms. Yang served as Senior Associate at Clean Freak Patrol. She serves as a Board Member at Wolf Midstream. Previously, she served as a Vice President, at Global Energy Group at BMO Capital Markets and as a Senior Associate at Clean Freak Patrol. She is focusing on energy midstream investments. She has been closely involved with several of Sustainable Energies' majority-controlled portfolio companies. Prior to joining CPP Investments in 2016, she spent seven years in investment banking at BMO Capital Markets and TD Securities in both Calgary and Toronto. She holds a Bachelor of Mathematics degree from the University of Waterloo and is a CFA charter holder.</t>
  </si>
  <si>
    <t>+86 (0)141 6868 8587</t>
  </si>
  <si>
    <t>alice.yang@cppinvestments.com</t>
  </si>
  <si>
    <t>51 West 52nd Street</t>
  </si>
  <si>
    <t>Managing Director, Sustainable Energies</t>
  </si>
  <si>
    <t>329835-70P</t>
  </si>
  <si>
    <t>Alina Chiew</t>
  </si>
  <si>
    <t>Chiew</t>
  </si>
  <si>
    <t>Ms. Alina Chiew serves as Managing Director of Active Equities, Asia at CPP Investments. Ms. Chiew leads the Active Equities Asia group investing in publicly listed companies, IPOs, and pre-IPOs, as well as research and investment in China A and H shares, with a specific focus on the wealth management, renewables, healthcare, and wellness domains. Before joining CPP Investments in 2017, she was Managing Director responsible for managing Greater China equity strategies in Goldman Sachs Asset Management; and was Chief Representative in the Shanghai Representative Office. Before that, she headed the research department at CITIC Frontier China Research in Shanghai and also worked as an equity research analyst at Crosby, Merrill Lynch, and Morgan Stanley. She started her career as a bank regulator with Bank Negara Malaysia. She holds a BA (Hons) in Accounting from the University of Malaya. She is a CFA charter holder and a Certified Public Accountant.</t>
  </si>
  <si>
    <t>alinac@cppinvestments.com</t>
  </si>
  <si>
    <t>Managing Director of Active Equities, Asia</t>
  </si>
  <si>
    <t>93663-91P</t>
  </si>
  <si>
    <t>Alistair McGiven</t>
  </si>
  <si>
    <t>McGiven</t>
  </si>
  <si>
    <t>Mr. Alistair McGiven serves as Managing Director &amp; Head of Global Tactical Asset Allocation at CPP Investments. Mr. McGiven leads a research center of excellence that delivers focused and impactful research, develops robust and consistent tools, and ensures efficient operations. Previously, he was Managing Director and Head of Balancing Portfolio Management; and before that a Senior Portfolio Manager in the Global Tactical Asset Allocation group within Public Market Investments. Prior to joining CPP Investments in 2008, He spent 10 years at UBS Global Asset Management in London, where he was a Portfolio Manager responsible for both an absolute return macro fund, and for the asset allocation within traditional, long-only balanced portfolios. Before that, he spent six years as an economist at the Bank of England in the Monetary Analysis and International Divisions. Mr. McGiven holds a Bachelor's in Economics from the University of Leicester and a Master's degree from the University of Manchester. He is a CFA charterholder.</t>
  </si>
  <si>
    <t>amcgiven@cppinvestments.com</t>
  </si>
  <si>
    <t>Managing Director &amp; Head of Global Tactical Asset Allocation</t>
  </si>
  <si>
    <t>326031-40P</t>
  </si>
  <si>
    <t>Amy Flikerski</t>
  </si>
  <si>
    <t>Flikerski</t>
  </si>
  <si>
    <t>Ms. Amy Flikerski serves as Managing Director &amp; Global Head of External Portfolio Management at CPP Investments. Prior to joining CPP Investments in 2012, she was a Senior Analyst at Highbridge Capital Management and Talpion Fund Management in New York City. Previously, Amy was involved in hedge fund manager evaluation, selection and research as an Associate at PAAMCO Prisma, and gained investment experience at Moon Capital Management, an emerging markets long/short equity fund, and JGP Gestão de Recursos, a Rio de Janeiro-based macro fund. Amy began her career as a Senior Associate in the High Yield group at Moody's Investors Service and has worked in the U.S., UK, Brazil, Canada and Hong Kong. She holds a BA in Economics from Brown University and an MBA from Harvard Business School. She is on the board of Elis SA, an international multi-service provider. In addition, she serves as a Global Association Board Member for 100 Women in Finance.</t>
  </si>
  <si>
    <t>aflikerski@cppinvestments.com</t>
  </si>
  <si>
    <t>Managing Director &amp; Head of External Portfolio Management</t>
  </si>
  <si>
    <t>258370-57P</t>
  </si>
  <si>
    <t>Andrea Jeffery JD</t>
  </si>
  <si>
    <t>Ms. Andrea Jeffery serves as Managing Director, Head of Board Secretariat and Associate Corporate Secretary at CPP Investments. Ms. Jeffery also serves as a Board Member of the CPP Investment Board (USRE III). She serves as a Board Member at 407 ETR. She leads the Board Secretariat team, supporting the Chairperson of the Board of Directors as well as the Board, Board Committee Chairs, and Board Committees about corporate governance and corporate secretarial matters. Before that, she provided legal and compliance advice on a wide range of internal matters. Before joining CPP Investments in 2007, she practiced corporate and securities law at Davies Ward Phillips &amp; Vineberg. She holds a BSc from the University of Ottawa and a JD from the University of Toronto. She is a member of the Law Society of Upper Canada.</t>
  </si>
  <si>
    <t>andreaj@cppinvestments.com</t>
  </si>
  <si>
    <t>Managing Director, Head of Board Secretariat and Associate Corporate Secretary</t>
  </si>
  <si>
    <t>49225-96P</t>
  </si>
  <si>
    <t>Andrej Babache</t>
  </si>
  <si>
    <t>Babache</t>
  </si>
  <si>
    <t>Mr. Andrej Babache serves as Managing Director, Direct Private Equity at CPP Investments. Mr. Babache serves as a Board Member &amp; Member of the Supervisory Board at CeramTec. Mr. Babache served as a Partner at Mid Europa Partners. He serves as a Board Member at Compare The Market. Previously, Mr. Babache served as a Director at Mid Europa Partners. He was involved in the execution and monitoring of investments. Prior to joining the team, he worked in Citigroup's Investment Banking Division in London, focusing on transactions in CEE and Turkey. Prior to joining CPP Investments in 2020, he was a Partner at Mid Europa Partners, and prior to that an investment banker with Citigroup. He holds an MA in Economics and Business from the University of Edinburgh. He currently serves on the boards of Axel Springer, CeramTec and BGL.</t>
  </si>
  <si>
    <t>ababache@cppinvestments.com</t>
  </si>
  <si>
    <t>Managing Director, Direct Private Equity</t>
  </si>
  <si>
    <t>33655-42P</t>
  </si>
  <si>
    <t>Andrew Alley</t>
  </si>
  <si>
    <t>Alley</t>
  </si>
  <si>
    <t>Mr. Andrew Alley serves as Managing Director &amp; Head of Infrastructure, North America &amp; Australasia at CPP Investments. He leads the investment activities in Infrastructure in North America, Asia (ex-India), and Australia and has served in senior roles in Infrastructure in the Hong Kong, Sydney, London, and Toronto offices. Infrastructure investments focus on asset-intensive businesses with stable, predictable long-term returns, and typically include essential services such as utilities, transport, telecommunications, and energy. Prior to joining CPP Investments in 2007, he worked in the Energy Investment Banking group at RBC Capital Markets in Calgary, Alberta, and in the Business Development group at Pengrowth Energy Trust. He holds a BA in finance from Michigan State University and an MBA from the University of Western Ontario. He is a CFA charterholder. He is on the boards of 407 ETR in Canada, Transurban Chesapeake in the United States, and the Cikopo-Palimanan (Cipali) toll road in Indonesia.</t>
  </si>
  <si>
    <t>+1 (416) 874-5206</t>
  </si>
  <si>
    <t>aalley@cppib.ca</t>
  </si>
  <si>
    <t>Managing Director &amp; Head of Infrastructure, North America &amp; Australasia</t>
  </si>
  <si>
    <t>33657-40P</t>
  </si>
  <si>
    <t>Andrew Edgell</t>
  </si>
  <si>
    <t>Edgell</t>
  </si>
  <si>
    <t>Mr. Andrew Edgell serves as Senior Managing Director &amp; Global Head of Credit Investments at CPP Investments. He leads the global Credit Investments department, which manages CPP Investments' credit exposures across the spectrum, including term loans, investment-grade and high-yield bonds, mezzanine lending, structured products, and other solutions for issuers across corporate, real estate, and consumer sectors. Previously he led the Americas Structured Credit and Financials team where he was responsible for investments in sub-investment grade structured credit and debt capital solutions for financial institutions, as well as the intellectual property investment strategy. He has invested across industries and asset classes, including corporate and structured credit opportunities, and has represented us as a director on multiple boards. Prior to joining CPP Investments in 2008, he worked for Fortress Investment Group investing in credit opportunities. He started his career with KPMG on the Financial Institutions industry team, followed by eight years in the Corporate Finance group advising mid-market companies on M&amp;A and financings. He holds a Bachelor of Commerce from McGill University. He is a Chartered Professional Accountant and Chartered Business Valuator.</t>
  </si>
  <si>
    <t>+1 (416) 874-5376</t>
  </si>
  <si>
    <t>aedgell@cppib.com</t>
  </si>
  <si>
    <t>Senior Managing Director &amp; Global Head of Credit Investments</t>
  </si>
  <si>
    <t>33656-23P</t>
  </si>
  <si>
    <t>Annie Harlow</t>
  </si>
  <si>
    <t>Harlow</t>
  </si>
  <si>
    <t>Ms. Annie Harlow serves as Managing Director, Head of Strategy &amp; Investment Management, Private Equity at CPP Investments. She leads the Strategy and Investment Management group that is focused on maximizing returns, driving liquidity across CPP Investments' PE portfolio, and supporting the broader PE business operations. Prior to joining the PE team, she was in the Private Infrastructure Group, working in the London and Toronto offices, and Total Fund Management. She holds a Global Professional Master of Law from the University of Toronto; a Bachelor of Math (Honours) from the University of Waterloo, and a Bachelor of Business Administration (Honours) from Wilfrid Laurier University.</t>
  </si>
  <si>
    <t>+1 (416) 868-5058</t>
  </si>
  <si>
    <t>aharlow@cppib.ca</t>
  </si>
  <si>
    <t>Managing Director, Head of Strategy &amp; Investment Management, Private Equity</t>
  </si>
  <si>
    <t>421123-51P</t>
  </si>
  <si>
    <t>Anoop Varghese</t>
  </si>
  <si>
    <t>Anoop</t>
  </si>
  <si>
    <t>Varghese</t>
  </si>
  <si>
    <t>Mr. Anoop Varghese serves as Managing Director, Real Estate at CPP Investments. Mr. Varghese is a Managing Director on the US Real Estate team, overseeing all investment and asset management activities across multiple residential property sectors. In that capacity, he also serves as a board member for several joint ventures. Prior to joining CPP Investments in 2017, he was a Vice President at HomeLPC, a residential-focused investment management firm. Previously, he worked at GIC Real Estate and began his career within the Real Estate Investment Banking group at JPMorgan. He holds a BS in Business Administration from Boston University and an MBA from Columbia Business School.</t>
  </si>
  <si>
    <t>+1 (646) 564-4900</t>
  </si>
  <si>
    <t>avarghese@cppinvestments.com</t>
  </si>
  <si>
    <t>53313-58P</t>
  </si>
  <si>
    <t>Anthony Chong</t>
  </si>
  <si>
    <t>Chong</t>
  </si>
  <si>
    <t>Mr. Anthony Chong serves as Managing Director, Strategy Risk and Operations, Capital Markets and Factor Investing (CMF) at CPP Investments. Mr. Chong works in Capital Markets &amp; Factor Investing's Strategy, Risk, and Operations team and is responsible for managing the department's reporting requirements, cost and capital management, and other governance activities. Before joining CPP Investments, he worked at TD Securities and Citco Fund Services, as well as several positions in New Zealand and the United Kingdom focused on the financial services sector. He holds a BCA (Bachelor of Commerce and Administration) from the Victoria University of Wellington (NZ) and is also a CPA and CA Charterholder.</t>
  </si>
  <si>
    <t>anthonyc@cppinvestments.com</t>
  </si>
  <si>
    <t>Managing Director, Strategy Risk and Operations, Capital Markets and Factor Investing (CMF)</t>
  </si>
  <si>
    <t>351792-73P</t>
  </si>
  <si>
    <t>Arielle Lynn</t>
  </si>
  <si>
    <t>Arielle</t>
  </si>
  <si>
    <t>Ms. Arielle Lynn serves as Associate, Growth Equity at CPP Investments.</t>
  </si>
  <si>
    <t>alynn@cppib.com</t>
  </si>
  <si>
    <t>Associate, Growth Equity</t>
  </si>
  <si>
    <t>277240-33P</t>
  </si>
  <si>
    <t>Austin Locke</t>
  </si>
  <si>
    <t>Locke</t>
  </si>
  <si>
    <t>Mr. Austin Locke serves as Managing Director, Direct Private Equity at CPP Investments. Mr. Lockalso serves as a Board Member at Informatica. Prior to joining CPP Investments, he worked at Miller Buckfire in New York, where he specialized in restructurings and distressed transactions. He previously served as an investment professional at DLJ Merchant Banking Partners, where he analyzed and executed private equity investments across several industries. Prior to that, he worked in mergers &amp; acquisitions. He earned a Bachelor of Science from Wake Forest University and a Master of Business Administration from the University of Chicago Booth School of Business.</t>
  </si>
  <si>
    <t>+1 (650) 385-5000</t>
  </si>
  <si>
    <t>alocke@cppinvestments.com</t>
  </si>
  <si>
    <t>2100 Seaport Boulevard</t>
  </si>
  <si>
    <t>+1 (650) 385-5500</t>
  </si>
  <si>
    <t>Informatica</t>
  </si>
  <si>
    <t>421120-27P</t>
  </si>
  <si>
    <t>Batiste Ogier</t>
  </si>
  <si>
    <t>Batiste</t>
  </si>
  <si>
    <t>Ogier</t>
  </si>
  <si>
    <t>Mr. Batiste Ogier serves as Managing Director, Head of Infrastructure, Europe at CPP Investments. Prior to joining CPP Investments in 2019, Mr. Ogier was an Investment Director at First State Investments, focused on European Infrastructure Investments. He started his career at KPMG. He serves on the boards of Anglian Water and FCC Medio Ambiente. He is also a member of CPP Investments' European Credit Committee. He holds a BA in European Studies from Kings College London and qualified as a Chartered Accountant (ICAEW) in 2007. He serves on the boards of Anglian Water and FCC Medio Ambiente. He is also a member of CPP Investments' European Credit Committee.</t>
  </si>
  <si>
    <t>bogier@cppinvestments.com</t>
  </si>
  <si>
    <t>Managing Director, Head of Infrastructure, Europe</t>
  </si>
  <si>
    <t>343397-08P</t>
  </si>
  <si>
    <t>Ben Mason</t>
  </si>
  <si>
    <t>Mr. Ben Mason serves as Managing Director, Head of European Credit at CPP Investments. Previously, Mr. Mason led the Developed Market Active strategy within the Public Credit group in the Credit Investments Department. Previously he focused on fixed-income programs in both Global Capital Markets and Short Horizon Alpha groups. He was responsible for the vanilla and structured credit portfolios, as well as developing cross-product strategies spanning equity, foreign exchange, interest rates, credit, and volatility. Prior to joining CPP Investments, he was a Portfolio Manager at London-based hedge fund Cheyne Capital Management, focused on both vanilla and structured credit strategies, including CDS and Correlation investing. Previously, he held various roles in credit trading at Barclays Capital and Goldman Sachs in London. He holds a Bachelor of Engineering and an MA in Engineering with French from the University of Warwick.</t>
  </si>
  <si>
    <t>bmason@cppinvestments.com</t>
  </si>
  <si>
    <t>Managing Director &amp; Head of European Credit</t>
  </si>
  <si>
    <t>178891-21P</t>
  </si>
  <si>
    <t>Benjamin Scurlock</t>
  </si>
  <si>
    <t>Scurlock</t>
  </si>
  <si>
    <t>Mr. Benjamin Scurlock serves as Senior Associate at CPP Investments. Mr. Scurlock served as Executive at Arete Research.</t>
  </si>
  <si>
    <t>benjamins@cppinvestments.com</t>
  </si>
  <si>
    <t>421055-11P</t>
  </si>
  <si>
    <t>Bernadetta Sobiczewska</t>
  </si>
  <si>
    <t>Bernadetta</t>
  </si>
  <si>
    <t>Sobiczewska</t>
  </si>
  <si>
    <t>Ms. Bernadetta Sobiczewska serves as Managing Director, Listed Real Estate at CPP Investments. Ms. Sobiczewska is responsible for our listed real estate investments in EMEA, covering all sub-sectors including office, retail, industrial, healthcare, and multifamily. She is also responsible for investments in listed US data centers, senior housing, and logistics, as well as the Indian REITs. Prior to joining CPP Investments in 2019, she was part of the Global Real Assets Securities team at BlackRock, overseeing public investments in EMEA, MENA, and South Africa. She began her career as a research analyst at UBS covering listed real estate in EMEA. She holds an MSc in Finance and Accounting from Cracow University of Economics and a Postgraduate degree in Financial Engineering and Risk Management from AGH University of Science and Technology, Poland. She is a CFA charter holder.</t>
  </si>
  <si>
    <t>bsobiczewska@cppinvestments.com</t>
  </si>
  <si>
    <t>Managing Director, Listed Real Estate</t>
  </si>
  <si>
    <t>111331-81P</t>
  </si>
  <si>
    <t>Bianca Ziccarelli</t>
  </si>
  <si>
    <t>Bianca</t>
  </si>
  <si>
    <t>Ziccarelli</t>
  </si>
  <si>
    <t>Ms. Bianca Ziccarelli serves as Managing Director, Sustainable Energies at CPP Investments. Ms. Ziccarelli is a senior member of our Sustainable Energies team and is responsible for originating, executing and managing power and distributed energy investments in Europe. She is on the board of Renewable Power Capital. Prior to joining CPP Investments in 2017, she worked at Santander's proprietary investments team (currently known as Cubico Sustainable Investments) focused on investing in renewable energy in Brazil. Before that, she worked at Patria Investments, a Brazilian private equity firm, and Citibank. She holds a BBus (Hons) from Fundação Getulio Vargas in Brazil, an MBA from the Wharton School at the University of Pennsylvania, and an MA from the Lauder Institute at the University of Pennsylvania. She is on the board of Renewable Power Capital.</t>
  </si>
  <si>
    <t>bziccarelli@cppinvestments.com</t>
  </si>
  <si>
    <t>186382-45P</t>
  </si>
  <si>
    <t>Bill MacKenzie</t>
  </si>
  <si>
    <t>MacKenzie</t>
  </si>
  <si>
    <t>Mr. Bill MacKenzie serves as Managing Director &amp; Head of Active Equities North America at CPP Investments. Mr. MacKenzie heads the team responsible for delivering alpha through active security selection of public, and soon-to-be public, equity investments in North America. Prior to joining CPP Investments in 2010, He was a Director and Analyst in the Equity Research group at TD Securities. Previously, he worked at Ernst and Young in the Assurance Services and Corporate Finance groups. He holds a BA in Economics from McGill University and an MBA from the Rotman School of Management at the University of Toronto. He is a Chartered Professional Accountant and a CFA Charterholder.</t>
  </si>
  <si>
    <t>bill@cppib.com</t>
  </si>
  <si>
    <t>Managing Director &amp; Head of Active Equities North America</t>
  </si>
  <si>
    <t>421123-15P</t>
  </si>
  <si>
    <t>Bill McKinstry</t>
  </si>
  <si>
    <t>McKinstry</t>
  </si>
  <si>
    <t>Mr. Bill McKinstry serves as Managing Director, Development and Construction, Real Estate at CPP Investments. Mr. McKinstry is responsible for the technical aspects of the Real Estate investment process including conducting due diligence on existing properties and new development opportunities. He provides development advice to CPPIB's internal investment teams for existing and future development properties throughout the Americas. Prior to joining CPP Investments in 2018, he held a similar Role at TIAA for over 30 years. He holds BS in Architectural Engineering from Pennsylvania State University.</t>
  </si>
  <si>
    <t>bmckinstry@cppinvestments.com</t>
  </si>
  <si>
    <t>Managing Director, Development and Construction, Real Estate</t>
  </si>
  <si>
    <t>15381-01P</t>
  </si>
  <si>
    <t>Bill Rogers</t>
  </si>
  <si>
    <t>Mr. Bill Rogers serves as Managing Director &amp; Head of Sustainable Energies at CPP Investments. He served as Managing Director &amp; Head of Strategy at Green Investment Group (UK). He also serves as a Board Member at Maple Power. He has a dual role at Green Investment Bank. As Head of Strategy, he is responsible for Green Investment Bank's corporate and investment strategy, including covering Green Investment Bank's non-core sectors and reviewing potential areas for expansion. As co-MD of Energy Efficiency and MD of Community Scale Renewables, he is responsible for the bank's investment activities in these two sectors. Prior to joining Green Investment Bank, he spent 15 years in private equity and the energy sector, including senior roles at Hudson, Candover, McKinsey, and Shell. He holds a BA and an MA in Engineering from Cambridge University.</t>
  </si>
  <si>
    <t>+44 (0)33 0123 2167</t>
  </si>
  <si>
    <t>brogers@cppib.com</t>
  </si>
  <si>
    <t>Managing Director &amp; Head of Sustainable Energies</t>
  </si>
  <si>
    <t>33649-57P</t>
  </si>
  <si>
    <t>Bruce Hogg</t>
  </si>
  <si>
    <t>Hogg</t>
  </si>
  <si>
    <t>Mr. Bruce Hogg serves as Managing Director &amp; Head of Integrated Strategies Group at CPP Investments. Mr. Hogg served as a Board Member at Viterra. He leads the investments across the full spectrum of energy sources and along the energy value chain. He was previously Managing Director, Head of Power &amp; Renewables, and before that Managing Director and head of Americas for Infrastructure. Before joining CPP Investments in 2007, he led the private markets infrastructure team at OPTrust. Before that, he spent several years with Macquarie Bank in London and Toronto in corporate finance. He has also worked in investment banking at RBC Dominion Securities. He holds a BComm from the University of Alberta and a Bachelor of Laws (LLB) degree from the Faculty of Law at the University of Toronto. He also serves as a Board Member at Glencore Agriculture. He served as a Board Member at Transportadora de Gas del Peru.</t>
  </si>
  <si>
    <t>+1 (416) 874-5211</t>
  </si>
  <si>
    <t>bruceh@cppinvestments.com</t>
  </si>
  <si>
    <t>Managing Director &amp; Head of Integrated Strategies Group</t>
  </si>
  <si>
    <t>62947-72P</t>
  </si>
  <si>
    <t>Caitlin Gubbels</t>
  </si>
  <si>
    <t>Gubbels</t>
  </si>
  <si>
    <t>Ms. Caitlin Gubbels serves as Senior Managing Director &amp; Global Head of Private Equity at CPP Investments. She leads the private equity funds business at CPPIB. She is responsible for overseeing and leading private equity fund investments in North America and Europe, with a focus on buyout and growth equity strategies. Before joining CPPIB in 2010, she worked at CIBC World Markets in Investment Banking, based in Toronto. During her time at CIBC, she focused primarily on executing M&amp;A transactions and public market offerings for clients in the Diversified Industries group. She holds a Bachelor of Commerce from Dalhousie University.</t>
  </si>
  <si>
    <t>cgubbels@cppib.com</t>
  </si>
  <si>
    <t>Senior Managing Director &amp; Global Head of Private Equity</t>
  </si>
  <si>
    <t>245313-19P</t>
  </si>
  <si>
    <t>Carlin Shen</t>
  </si>
  <si>
    <t>Carlin</t>
  </si>
  <si>
    <t>Mr. Carlin Shen serves as Principal, Private Equity at CPP Investments.</t>
  </si>
  <si>
    <t>cshen@cppib.com</t>
  </si>
  <si>
    <t>Principal, Private Equity</t>
  </si>
  <si>
    <t>220484-08P</t>
  </si>
  <si>
    <t>Cesare Ruggiero</t>
  </si>
  <si>
    <t>Ruggiero</t>
  </si>
  <si>
    <t>Mr. Cesare Ruggiero serves as Managing Director, Head of Portfolio Value Creation, and Member of the Private Equity Investment Committee at CPP Investments. He serves as a Board Member at Informatica. He served as a Board Member at Neiman Marcus Group. He is a managing director with CPP Investments in the Portfolio Value Creation group. He works with portfolio companies across private equity, infrastructure, and sustainable energy investments to achieve full value potential. He serves on the Real Assets Investment Committee. Prior to joining CPP Investments in 2014, he worked at The Boston Consulting Group (BCG) where he advised companies in business strategy and operational improvement. Prior to BCG, He worked at Capgemini (formerly Cap Gemini Ernst &amp; Young) as the head of the U.S. M&amp;A practice area. He holds a Hons. BA with high distinction in International Relations from the University of Toronto. He currently serves on the boards of Ports America and Mytheresa.</t>
  </si>
  <si>
    <t>+1 (416) 874-5144</t>
  </si>
  <si>
    <t>cesare.ruggiero@cppinvestments.com</t>
  </si>
  <si>
    <t>Managing Director, Head of Portfolio Value Creation, and Member of the Private Equity Investment Committee</t>
  </si>
  <si>
    <t>401534-29P</t>
  </si>
  <si>
    <t>Chantal Beck</t>
  </si>
  <si>
    <t>Ms. Chantal Beck serves as Managing Director, Sustainable Energy - Portfolio Value Creation at CPP Investments.</t>
  </si>
  <si>
    <t>cbeck@cppinvestments.com</t>
  </si>
  <si>
    <t>Managing Director, Sustainable Energy - Portfolio Value Creation</t>
  </si>
  <si>
    <t>421124-05P</t>
  </si>
  <si>
    <t>Cheryl Maher</t>
  </si>
  <si>
    <t>Cheryl</t>
  </si>
  <si>
    <t>Maher</t>
  </si>
  <si>
    <t>Ms. Cheryl Maher serves as Managing Director, Real Estate at CPP Investments. Ms. Maher is a senior member of CPP Investments' Real Estate team in Europe and is based out of our London office. She is responsible for the origination and execution of new investment opportunities as well as the management of existing investments within the European and UK real estate portfolios. Prior to joining CPP Investments in 2019, she worked at Singaporean investment fund GIC on the European Real Estate Investment team. She holds a BA (Hons) in Business and Economics from Trinity College, Dublin. She is also a CFA charterholder.</t>
  </si>
  <si>
    <t>cmaher@cppinvestments.com</t>
  </si>
  <si>
    <t>421124-95P</t>
  </si>
  <si>
    <t>Chi Hua Lei</t>
  </si>
  <si>
    <t>Chi Hua</t>
  </si>
  <si>
    <t>Lei</t>
  </si>
  <si>
    <t>Ms. Chi Hua Lei serves as Managing Director, Real Estate, Real Assets at CPP Investments. Ms. Lei is responsible for North Asia investments within real estate team and has established multiple key partnerships in the region. Prior to joining CPP Investments in 2010, she worked in real estate department in APG Hong Kong and research team in APG Amsterdam. She holds BBA in National Taiwan University, MS in Vrije Universiteit Amsterdam and MS in Stanford University.</t>
  </si>
  <si>
    <t>clei@cppinvestments.com</t>
  </si>
  <si>
    <t>Managing Director, Real Estate, Real Assets</t>
  </si>
  <si>
    <t>447600-07P</t>
  </si>
  <si>
    <t>Chris Moad</t>
  </si>
  <si>
    <t>Moad</t>
  </si>
  <si>
    <t>Mr. Chris Moad serves as Managing Director, Real Assets Credit at CPP Investments. Mr. Moad focuses on private market credit investments in real estate across the Americas. Before that, he focused on building the Brazilian real estate investment program while located in São Paulo. Prior to joining CPP Investments in 2006, he was with Oxford Properties. He holds a BA (Hons) from Queen's University in Kingston, Ont, and an MSc from the London School of Economics.</t>
  </si>
  <si>
    <t>chrism@cppinvestments.com</t>
  </si>
  <si>
    <t>155858-95P</t>
  </si>
  <si>
    <t>Chris Pinkney</t>
  </si>
  <si>
    <t>Pinkney</t>
  </si>
  <si>
    <t>Mr. Chris Pinkney serves as Managing Director &amp; Head of Public Credit at CPP Investments. Mr. Pinkney leads the Public Credit group and previously focused on fixed-income programs in both Global Capital Markets and Short Horizon Alpha groups. He was primarily responsible for the vanilla and structured credit portfolios, as well as developing cross-product strategies spanning equity, foreign exchange, interest rates, credit, and volatility. Before joining CPP Investments in 2007, he spent over 12 years with TD Securities as part of the Credit Products Group, as well as three years with Price Waterhouse in Toronto. He holds a BCom from Queen's University in Kingston, Ont., and MBA from the University of Western Ontario. He is a CFA charter holder and a Chartered Professional Accountant.</t>
  </si>
  <si>
    <t>chrisp@cppinvestments.com</t>
  </si>
  <si>
    <t>Managing Director &amp; Head of Public Credit</t>
  </si>
  <si>
    <t>40966-57P</t>
  </si>
  <si>
    <t>Chris Roper</t>
  </si>
  <si>
    <t>Roper</t>
  </si>
  <si>
    <t>Mr. Chris Roper serves as Managing Director, Global Leadership Team at CPP Investments.</t>
  </si>
  <si>
    <t>chrisr@cppinvestments.com</t>
  </si>
  <si>
    <t>Managing Director, Global Leadership Team</t>
  </si>
  <si>
    <t>258373-09P</t>
  </si>
  <si>
    <t>Christina Fernandez</t>
  </si>
  <si>
    <t>Ms. Christina Fernandez serves as Managing Director &amp; Head of Tax and Structure Management, Global Leadership Team at CPP Investments. Ms. Fernandez serves as a Board Member at the CPP Investment Board Private Holdings. She leads the Tax and Investment Structure Management teams, which support the organization on tax matters as well as managing the investment structures. From 2014 to 2017, she was a Tax Director working with the investment departments investing in Europe directly. Before joining CPP Investments in 2014, she practiced corporate tax for 15 years at KPMG, working in London, Sydney, and Paris, advising clients investing globally. She holds a Bachelor of Business from the University of Technology Sydney and is a Chartered Accountant (Australia &amp; New Zealand).</t>
  </si>
  <si>
    <t>christinaf@cppinvestments.com</t>
  </si>
  <si>
    <t>Managing Director &amp; Head of Tax and Structure Management, Global Leadership Team</t>
  </si>
  <si>
    <t>421128-46P</t>
  </si>
  <si>
    <t>Christine Martmann</t>
  </si>
  <si>
    <t>Martmann</t>
  </si>
  <si>
    <t>Ms. Christine Martmann serves as Managing Director, Sustainable Energies at CPP Investments. Prior to joining CPP Investments in 2023, she was a Principal at Global Infrastructure Partners (GIP) in London, where she had a lead role in acquiring and sat on the Board of Skyborn's global offshore wind platform. Prior to GIP, she spent 12 years at BP as Director in the company's M&amp;A team. Previously she held leadership roles in National Grid, Arcus Infrastructure and Babcock &amp; Brown Infrastructure. She is on the board of Reventus Power. She holds a BA in History from the University of Paris VII, an MA in European Studies from the University of Liège, and an MBA from London Business School.</t>
  </si>
  <si>
    <t>cmartmann@cppinvestments.com</t>
  </si>
  <si>
    <t>326036-53P</t>
  </si>
  <si>
    <t>Ciana Becker</t>
  </si>
  <si>
    <t>Ciana</t>
  </si>
  <si>
    <t>Ms. Ciana Becker serves as Managing Director &amp; Head of Strategy, Risk &amp; Operations at CPP Investments. Ms. Becker leads Strategy, Risk &amp; Operations for the Capital Markets and Factor Investing department. Ciana's team manages CMF's investment strategy and operational execution for the department under three broad functional areas: portfolio construction &amp; strategy, risk management, and business management &amp; operations. Prior to her current role she was a Managing Director in the External Portfolio Management group. Before joining CPP Investments in 2012, Ciana was Senior Vice President, Trading Sector Head at Robeco-Sage Investment Management (Rabobank) in New York, NY. Prior to this, she was an Investment Analyst at Silver Creek Capital Management in Seattle, WA. Ciana served as an executive committee member of the Northwest Hedge Fund Society, a board member to the Toronto chapter of 100 Women in Finance, and on the MFA Investor Advisory Council. She has a BS in Economics from the University of Washington with certificates in International Economics and Economic Theory &amp; Quantitative Methods.</t>
  </si>
  <si>
    <t>cianab@cppinvestments.com</t>
  </si>
  <si>
    <t>Managing Director &amp; Head of Strategy, Risk &amp; Operations</t>
  </si>
  <si>
    <t>135344-80P</t>
  </si>
  <si>
    <t>Conor Clifford Ph.D</t>
  </si>
  <si>
    <t>Conor</t>
  </si>
  <si>
    <t>Dr. Conor Clifford serves as Principal at CPP Investments. Dr. Clifford served as Investment Principal at Future Energy Ventures. He served as Board Member at Dabbel. He served as Investment Principal at E.ON Strategic Co-Investments. He served as a Board Member at Sight Machine. He also served as Board Member at FirstFuel Software. He served as Board Observer at AutoGrid. He joined the team in 2015 and focuses on investments in B2B Energy Solutions and Services, supporting start-up companies to connect with a strong strategic partner for development and growth. He has 10 years of experience in Innovation, R&amp;D and Strategy at E.ON. He has started and driven programs covering various areas, including smart grid IT, flexible demand, microgrids, market design, and district heating. He has a Master's degree in Electrical and Electronic Engineering from the University of Bristol and a Ph.D. in Active Power Systems from Imperial College London.</t>
  </si>
  <si>
    <t>conorc@cppinvestments.com</t>
  </si>
  <si>
    <t>447598-81P</t>
  </si>
  <si>
    <t>Constantin Mayer</t>
  </si>
  <si>
    <t>Mayer</t>
  </si>
  <si>
    <t>Mr. Constantin Mayer serves as Managing Director, Real Assets Credit at CPP Investments. Mr. Mayer focuses on public and private market credit investments in real estate. Prior to joining CPP Investments in 2013, he worked in the real estate, structured finance, and investment banking groups at Barclays Capital in London. He holds a BA (Hons) in Politics and an MA in International Business Management from the University of Newcastle-upon-Tyne.</t>
  </si>
  <si>
    <t>constantinm@cppinvestments.com</t>
  </si>
  <si>
    <t>447594-04P</t>
  </si>
  <si>
    <t>Corey Albert</t>
  </si>
  <si>
    <t>Mr. Corey Albert serves as Managing Director, Real Assets Credit at CPP Investments. Mr. Albert co-leads the real estate credit team in Toronto, which focuses on high-yield investments in public and private debt secured against commercial real estate in various sectors and all major markets in the Americas. He joined CPP Investments in 2011, supporting real estate investments (private equity) in Canadian, U.S., and Brazilian markets, including the opening of our São Paulo office and the formation of a listed real estate investment strategy. Prior to joining CPP Investments, he worked at a real estate investment firm based in Vancouver. He holds a BComm in Real Estate from the Sauder School of Business at the University of British Columbia.</t>
  </si>
  <si>
    <t>coreya@cppinvestments.com</t>
  </si>
  <si>
    <t>326039-14P</t>
  </si>
  <si>
    <t>Danica Oldford</t>
  </si>
  <si>
    <t>Danica</t>
  </si>
  <si>
    <t>Oldford</t>
  </si>
  <si>
    <t>Ms. Danica Oldford serves as Managing Director &amp; Head of Corporate Services at CPP Investments. Ms. Oldford leads the Global Corporate Services team and has responsibility for expense operations, procurement, global real estate assets, and work experience and is the primary relationship manager for property management. She also leads strategic corporate sustainability and workplace initiatives, as well as the global travel program. Prior to joining CPP Investments in 2022, she spent 20 years in corporate administration, global facilities and operations management and shared services with SAP, McCain Foods Limited and Walmart Canada and ONEX Corporation. She holds a BA from Memorial University (Newfoundland), is a graduate of the Executive Management Program at the University of Western Ontario and has a certificate in conflict and dispute resolution from the University of Toronto.</t>
  </si>
  <si>
    <t>danicao@cppinvestments.com</t>
  </si>
  <si>
    <t>Managing Director &amp; Head of Corporate Services</t>
  </si>
  <si>
    <t>421053-58P</t>
  </si>
  <si>
    <t>Daniel Hobster</t>
  </si>
  <si>
    <t>Hobster</t>
  </si>
  <si>
    <t>Mr. Dan Hobster serves as Managing Director, Listed Sustainable Energies at CPP Investments. Prior to CPP Investments in 2024, Mr. Hobster held a variety of Senior Energy-focused investment roles at Guinness Global Investors, TT International, and BNP Paribas. He holds a BA in Philosophy, Politics, and Economics from the University of Oxford and is a CFA charterholder.</t>
  </si>
  <si>
    <t>dhobster@cppinvestments.com</t>
  </si>
  <si>
    <t>Managing Director, Listed Sustainable Energies</t>
  </si>
  <si>
    <t>257054-86P</t>
  </si>
  <si>
    <t>Daniel Ward</t>
  </si>
  <si>
    <t>Mr. Daniel Ward serves as Principal, Secondaries at CPP Investments.</t>
  </si>
  <si>
    <t>danielward@cppib.com</t>
  </si>
  <si>
    <t>Principal, Secondaries</t>
  </si>
  <si>
    <t>136510-12P</t>
  </si>
  <si>
    <t>Daniel Wroblewski</t>
  </si>
  <si>
    <t>Wroblewski</t>
  </si>
  <si>
    <t>Mr. Daniel Wroblewski serves as Managing Director, of GenAI &amp; Knowledge &amp; Member of the Global Leadership Team at CPP Investments. Mr. Wroblewski served as Head of Engineering and Advisor at EQT Ventures. Having picked up programming from an early age, he studied Engineering Physics at the Royal Institute of Technology in Stockholm, after which he went to work at Spray USA in San Francisco during the late 1990s. Returning to Stockholm, he started working at Razorfish as a senior software engineer before co-founding SPRAYdio, a crowd-sourced music streaming service (later sold to Nordic Web Radio). It was there that, he became part of building the largest music streaming platform in the Nordics for commercial radio in the early 2000s. Picking up on the momentum, he went on to co-found two other companies: Doodle.se, an online flight booking site, and 5 Monkeys, a web agency that was responsible for building a Swedish version of Netflix called Boxman (later sold to Amazon). He also has experience from Creuna, a customer experience agency, where he worked as an engineering manager and technology lead. Prior to joining EQT, he worked at King as a technical director of King Labs, a studio working independently on moonshot game projects. At EQT, he serves as the Head of Engineering, leading the Motherbrain project.</t>
  </si>
  <si>
    <t>danielw@cppinvestments.com</t>
  </si>
  <si>
    <t>Managing Director, GenAI &amp; Knowledge &amp; Member of the Global Leadership Team</t>
  </si>
  <si>
    <t>186380-74P</t>
  </si>
  <si>
    <t>Dario Kosarac</t>
  </si>
  <si>
    <t>Kosarac</t>
  </si>
  <si>
    <t>Mr. Dario Kosarac serves as Managing Director &amp; Head of Talent Advisory &amp; Rewards at CPP Investments. Mr. Kosarac leads the Total Rewards team, responsible for the development, governance, and administration of compensation, benefits, pension, and mobility programs for CPP Investments employees around the world. Prior to joining CPP Investments in 2015, He was with Sun Life Financial, where he held various roles over six years, including heading total rewards and mobility for Sun Life Asia in Hong Kong and leading the sales compensation practice in Toronto. He also worked as a compensation consultant with Willis Towers Watson in Philadelphia and Toronto, supporting clients on competitive pay analyses, job leveling, and M&amp;A integration initiatives. He holds a Master of Human Resource Management from York University and a Bachelor of Science in Economics from the Wharton School of the University of Pennsylvania.</t>
  </si>
  <si>
    <t>dariok@cppinvestments.com</t>
  </si>
  <si>
    <t>Managing Director &amp; Head of Talent Advisory &amp; Rewards</t>
  </si>
  <si>
    <t>368729-74P</t>
  </si>
  <si>
    <t>Dasha Nechayevska</t>
  </si>
  <si>
    <t>Dasha</t>
  </si>
  <si>
    <t>Nechayevska</t>
  </si>
  <si>
    <t>Ms. Dasha Nechayevska serves as Managing Director at CPP Investments. Ms. Nechayevska holds B.Comm (Bachelor of Commerce) in Finance and Economics from Ryerson University.</t>
  </si>
  <si>
    <t>dashan@cppinvestments.com</t>
  </si>
  <si>
    <t>33648-85P</t>
  </si>
  <si>
    <t>David Chambers</t>
  </si>
  <si>
    <t>Mr. David Chambers serves as Managing Director, Canada &amp; Head of Sustainable Energies at CPP Investments. He is responsible for overseeing many of the upstream investments in the Sustainable Energies portfolio. Before joining CPP Investments in 2010, he was at Houlihan Lokey in the Financial Restructuring Group. He has a BA in Business from the University of Western Ontario.</t>
  </si>
  <si>
    <t>dchambers@cppinvestments.com</t>
  </si>
  <si>
    <t>Managing Director, Canada &amp; Head of Sustainable Energies</t>
  </si>
  <si>
    <t>186378-04P</t>
  </si>
  <si>
    <t>David Colla</t>
  </si>
  <si>
    <t>Colla</t>
  </si>
  <si>
    <t>Mr. David Colla serves as Managing Director &amp; Head of Capital Solutions at CPP Investments. Mr. Colla serves as a Board Member at Antares Capital. Before joining the CPP Investment Board, He was a Senior Vice President at Oaktree Capital Management within its Mezzanine Finance Group in New York. Before that, He was a Vice President at JPMorgan within its Principal Investments and Leveraged Finance groups in New York. He holds an MBA from the University of Western Ontario and a BAH in Economics from Queen's University.</t>
  </si>
  <si>
    <t>+1 (416) 874-5375</t>
  </si>
  <si>
    <t>davidc@cppinvestments.com</t>
  </si>
  <si>
    <t>Managing Director &amp; Head of Capital Solutions</t>
  </si>
  <si>
    <t>33648-40P</t>
  </si>
  <si>
    <t>David Lubek</t>
  </si>
  <si>
    <t>Lubek</t>
  </si>
  <si>
    <t>Mr. David Lubek serves as Managing Director, Direct Private Equity at CPP Investments. Prior to joining CPPIB in 2008, Mr. Lubek worked at CIBC World Markets in the Mergers &amp; Acquisitions investment banking group. He also is a Chartered Financial Analyst charter holder. He served as a Board Member at IQVIA. Mr. Lubek holds an M.B.A. from the Kellogg School of Management at Northwestern University, and a B.B.A. from the Schulich School of Business at York University.</t>
  </si>
  <si>
    <t>+1 (416) 874 5358</t>
  </si>
  <si>
    <t>dlubek@cppib.com</t>
  </si>
  <si>
    <t>321332-05P</t>
  </si>
  <si>
    <t>David Millar</t>
  </si>
  <si>
    <t>Millar</t>
  </si>
  <si>
    <t>Mr. David Millar serves as Principal at CPP Investments. Mr. Millar holds Bachelor's from McGill University.</t>
  </si>
  <si>
    <t>davidm@cppinvestments.com</t>
  </si>
  <si>
    <t>438939-82P</t>
  </si>
  <si>
    <t>Denis Bubnov</t>
  </si>
  <si>
    <t>Bubnov</t>
  </si>
  <si>
    <t>Mr. Denis Bubnov serves as Associate, PE Funds &amp; Co-Investments at CPP Investments.</t>
  </si>
  <si>
    <t>denis@cppinvestments.com</t>
  </si>
  <si>
    <t>Associate, PE Funds &amp; Co-Investments</t>
  </si>
  <si>
    <t>186385-60P</t>
  </si>
  <si>
    <t>Derek Walker</t>
  </si>
  <si>
    <t>Mr. Derek Walker serves as Managing Director &amp; Head of Portfolio Design and Construction, Total Fund Management at CPP Investments. Mr. Walker leads the Portfolio Design &amp; Construction (PD&amp;C) group. PD&amp;C is responsible for recommending the Fund's risk appetite, and for strategic and tactical allocations Prior to his current role, he held the roles of Managing Director, Head of Active Investment Management and Managing Director, Head of Portfolio Engineering - both within Total Fund Management (TFM). Prior to joining TFM, He was a Senior Portfolio Manager in the Global Tactical Asset Allocation group within Public Market Investments. Before joining CPP Investments, He held a variety of positions related to quantitative investing and indexing at Barclays Global Investors and Morgan Stanley Capital International SA. He holds an MS in Computing and Information Science from Queen's University and an MBA from INSEAD. He is a CFA charter holder.</t>
  </si>
  <si>
    <t>dwalker@cppinvestments.com</t>
  </si>
  <si>
    <t>Managing Director &amp; Head of Portfolio Design and Construction, Total Fund Management</t>
  </si>
  <si>
    <t>36377-02P</t>
  </si>
  <si>
    <t>Dushy Sivanithy</t>
  </si>
  <si>
    <t>Dushy</t>
  </si>
  <si>
    <t>Sivanithy</t>
  </si>
  <si>
    <t>Mr. Dushy Sivanithy serves as Managing Director &amp; Head of Secondaries at CPP Investments. Mr. Sivanithy served as Principal and Head of Origination and Due Diligence at Rede Partners. He leads Rede's origination activity across the business' primary, secondary, and strategic advisory services, as well as being responsible for Rede's due diligence process. He has over 15 years of experience in the fund investment industry at Pantheon, Hermes, and CDC. During his 10 years at Pantheon, He was a member of the European and Emerging Markets investment committee, responsible for manager selection and relationship development. He has led €1.4 billion of investments in over 30 managers, holding Advisory Committee positions with 35 funds. He is a Chartered Management Accountant (CIMA) and holds a BSc in Biochemistry and Physiology from Kings College London.</t>
  </si>
  <si>
    <t>+44 (0)20 7952 2461</t>
  </si>
  <si>
    <t>dushysivanithy@cppib.com</t>
  </si>
  <si>
    <t>Managing Director &amp; Head of Secondaries</t>
  </si>
  <si>
    <t>32671-63P</t>
  </si>
  <si>
    <t>Edwin Cass</t>
  </si>
  <si>
    <t>Cass</t>
  </si>
  <si>
    <t>Chief Investment Officer &amp; Senior Managing Director</t>
  </si>
  <si>
    <t>Mr. Edwin Cass serves as Senior Managing Director &amp; Chief Investment Officer at CPP Investments. He also serves as Vice President at the Canada Pension Plan Investment Board. He also served on a Board of Directors at Antares Capital. He was a chief investment strategist on the board. Ed is responsible for the overall fund-level investment strategy. He chairs the Investment Planning Committee, which approves all new investment programs and oversees all portfolio risks, including passive, active, credit, and liquidity risks. Ed has been with the CPP Investment Board since 2008, initially heading up the Global Capital Markets group during the financial crisis. He then subsequently headed up the Global Corporate Securities group and then the Global Tactical Asset Allocation team, all within the Public Market Investments department. Prior to joining CPPIB, he was Managing Director and Co-Chief Investment Officer for Fortress Investment Group's Drawbridge Relative Value Fund where he was responsible for the development and execution of fixed income, currency, stock index, and commodity trading strategies. With over 15 years of investment experience, Ed previously held senior positions at Deutsche Bank Canada and TD Securities. Ed holds a Bachelor of Science (Honours) degree in Theoretical Physics from Queen's University and a Bachelor of Laws from Osgoode Hall Law School.</t>
  </si>
  <si>
    <t>ecass@cppib.com</t>
  </si>
  <si>
    <t>Senior Managing Director &amp; Chief Investment Officer</t>
  </si>
  <si>
    <t>257567-50P</t>
  </si>
  <si>
    <t>Edwina Kelly</t>
  </si>
  <si>
    <t>Edwina</t>
  </si>
  <si>
    <t>Ms. Edwina Kelly, Managing Director in the Sustainable Energies Group at Canada Pension Plan Investment Board (CPPIB) since 2019; responsible for originating new investments, transaction management, and asset management for investments in the CPPIB's global Power &amp; Renewables group. Board member of Cordelio Power, an independent power producer that develops, owns and manages renewable power facilities across North America. Board member of Pattern Energy Group LP, a private renewable energy and transmission company that develops, constructs, owns, and operates high-quality wind, solar, transmission, and energy storage projects worldwide. Former Director at EFG Hermes UAE, where she helped manage the renewable energy platform, and led solar portfolio acquisitions and equity restructuring of wind farm investments (2015-2018). Ms. Kelly has a bachelor's degree in philosophy, politics and economics from the University of Oxford and is an associated chartered accountant member of the Institute of Chartered Accountants in England and Wales. Other affiliations: Canterra GP Ltd., a Canadian farmland portfolio. VTRM Energia, a joint venture between CPPIB and Votorantim investing in renewable energy in Brazil. Cordelio Power, an independent power producer. Redaptive, Inc., an energy-as-a-service provider.</t>
  </si>
  <si>
    <t>edwina.kelly@essential.co</t>
  </si>
  <si>
    <t>Essential Utilities (Former)</t>
  </si>
  <si>
    <t>329839-12P</t>
  </si>
  <si>
    <t>Eme Onuoha</t>
  </si>
  <si>
    <t>Eme</t>
  </si>
  <si>
    <t>Onuoha</t>
  </si>
  <si>
    <t>Mr. Eme Onuoha serves as Managing Director &amp; Head of Global Public Affairs, Transnational at CPP Investments. Mr. Onuoha serves as Board Member at Perimeter Institute. Mr. Onuoha oversees CPP Investments' transnational public affairs strategy and associated government stakeholder relationship management program covering global jurisdictions including the United States, Europe, Asia-Pacific, and Latin America. his private and public sector experience spans more than 28 years. Before joining CPP Investments, he led Global Government Affairs at PSP Investments. He held senior roles in various divisions at Xerox. He has also held executive and advisory positions within several Government of Canada organizations including the Privy Council Office; the Canadian Commercial Corporation; the Office of the Minister of National Defence; and the Office of the Minister of International Trade. He earned an Honors BA in International Relations from McMaster University, an MBA from Queen's University, and a Postgraduate Diploma in Strategy and Innovation from the University of Oxford.</t>
  </si>
  <si>
    <t>emeo@cppinvestments.com</t>
  </si>
  <si>
    <t>Managing Director &amp; Head of Global Public Affairs, Transnational</t>
  </si>
  <si>
    <t>157453-84P</t>
  </si>
  <si>
    <t>Eric Benner</t>
  </si>
  <si>
    <t>Benner</t>
  </si>
  <si>
    <t>Mr. Eric Benner serves as Managing Director &amp; Head of Investment Science and Investment Research, Active Equities at CPP Investments. Mr. Benner served as Vice President &amp; Portfolio Manager at Dynamic Funds. He joined Dynamic in 2016 as a global equity manager and member of the Equity Income team. His expertise lies in identifying quality companies within developed markets. Prior to joining Dynamic, he spent eight years with OMERS Capital Markets in progressive roles. Most recently, he was Managing Director &amp; Co-Head of Equities at OMERS Capital Markets where he oversaw a team of 13 investment professionals. He was also the lead manager of a multi-billion dollar Global Equity Income Portfolio, that he was instrumental in developing and launching. As Director, Global Equities he was responsible for the co-management of a $3 billion Global Equity Portfolio. Before this, he spent two years as Principal &amp; Team Leader of three equity research analysts seeking opportunities in the global industrial sector. He has also held progressive analyst and portfolio management roles at two other Canadian institutional pension managers. He began his investment career at RBC Capital Markets as an Investment Banking Analyst. He holds a Bachelor of Commerce Degree with Joint Honours in Economics and Finance from McGill University, a Master of Financial Economics from the Rotman School of Management &amp; Department of Economics at the University of Toronto, and is a CFA charter holder.</t>
  </si>
  <si>
    <t>eric.benner@cppinvestments.com</t>
  </si>
  <si>
    <t>Managing Director &amp; Head of Investment Science and Investment Research, Active Equities</t>
  </si>
  <si>
    <t>38235-43P</t>
  </si>
  <si>
    <t>Ethel Chen</t>
  </si>
  <si>
    <t>Ethel</t>
  </si>
  <si>
    <t>Ms. Ethel Chen serves as Managing Director, Growth Equity at CPP Investments. Ms. Chen leads venture capital and growth equity investments in funds and high-growth technology companies for CPP Investments. She focuses on identifying and backing companies poised for long-term value creation. Prior to joining CPP Investments in 2025, she was a Partner at Sequoia Capital Global Equities, the public/private crossover fund of Sequoia Capital, where she led diligence and investments in late-stage private and public tech companies. Earlier, she was a Senior Vice President at GIC's Technology Investment Group (TIG), where she led direct investments in areas such as software, consumer, and fintech, and expanded the firm's presence in late-stage tech. She began her career in Media/Telecom M&amp;A at Morgan Stanley and later spent several years at Norwest Venture Partners investing across multiple stages in B2B software, artificial intelligence and data, semiconductors, and deep tech. She holds a BS in Computer Science from Stanford University, an MS in Management Science from Stanford and and an MBA from Harvard Business School.</t>
  </si>
  <si>
    <t>ethelc@cppinvestments.com</t>
  </si>
  <si>
    <t>First Street, Suite 2600</t>
  </si>
  <si>
    <t>Managing Director, Growth Equity</t>
  </si>
  <si>
    <t>339997-51P</t>
  </si>
  <si>
    <t>Evelyn Zhang</t>
  </si>
  <si>
    <t>Evelyn</t>
  </si>
  <si>
    <t>Ms. Evelyn Zhang serves as Managing Director, Secondaries at CPP Investments. She oversees CPP Investments' private equity secondaries effort in Europe and is responsible for leading and managing the secondary investments globally. Prior to joining CPP Investments in 2021, she was a senior member of Partners Group's private equity secondaries team where she completed investments across the spectrum of secondaries markets. Prior to that, she started her finance career at HSBC's investment banking division followed by Blackstone. She holds a BA (Hons) in engineering from the University of Cambridge.</t>
  </si>
  <si>
    <t>evelynzhang@cppib.com</t>
  </si>
  <si>
    <t>Managing Director, Secondaries</t>
  </si>
  <si>
    <t>297528-67P</t>
  </si>
  <si>
    <t>Fabio Rodrigues</t>
  </si>
  <si>
    <t>Rodrigues</t>
  </si>
  <si>
    <t>Mr. Fabio Rodrigues serves as Managing Director &amp; Head of Management Analytics at CPP Investments. Mr. Rodrigues leads the Management Analytics group, which is responsible for providing financial information and insights on performance, expenses, and exposures. The team's goal is to enable management decision-making at various levels of the organization, and it supports reporting deliverables, self-serve analytics, and accompanying processes, such as the business plan and Annual Report. Prior to joining CPP Investments in 2018, he was the Director of Portfolio Insights and Credit Risk at Scotiabank, where he led portfolio analysis and executive insights. He holds an International MBA from the Schulich School of Business at York University and a BA (Hons) in Economics from the University of Toronto.</t>
  </si>
  <si>
    <t>fabior@cppinvestments.com</t>
  </si>
  <si>
    <t>Managing Director &amp; Head of Management Analytics</t>
  </si>
  <si>
    <t>181452-52P</t>
  </si>
  <si>
    <t>Felix Shabashevich</t>
  </si>
  <si>
    <t>Shabashevich</t>
  </si>
  <si>
    <t>Mr. Felix Shabashevich serves as Managing Director, Capital Solutions at CPP Investments. Mr. Shabashevich focuses on sourcing, evaluating and managing corporate credit opportunities. Prior to joining CPP Investments in 2017, he was a Director at Lone Star Funds where he focused on credit investments in special situations and private debt solutions. Previously, He spent eight years at Oaktree Capital Management, focused on investing in privately structured debt and equity transactions. Prior to that, he worked at Bear Stearns in the investment banking division focused on industrial and healthcare industry sectors, and started his career at JP Morgan, initially in the technology division supporting credit derivatives trading and then as an associate in the investment banking division. He holds a BS in Computer Science from Pace University, and an MBA in Finance and Accounting from the Leonard N. Stern School of Business at New York University.</t>
  </si>
  <si>
    <t>felixs@cppinvestments.com</t>
  </si>
  <si>
    <t>Managing Director, Capital Solutions</t>
  </si>
  <si>
    <t>155843-29P</t>
  </si>
  <si>
    <t>Frank Ieraci</t>
  </si>
  <si>
    <t>Ieraci</t>
  </si>
  <si>
    <t>Mr. Frank Ieraci serves as Senior Managing Director &amp; Global Head of Active Equities and Investment Science at CPP Investments. He also serves as a Board Member at Encino Acquisition Partners. He was previously a Senior Portfolio Manager within Global Corporate Securities and was responsible for the team's Technology, Media, and Telecom investments in public equities globally. He leads the Active Equities department globally, including the North America, Europe, Asia, and Latin America regions. Active Equities invests in public and soon-to-be public companies, leveraging long-term fundamental research to generate unique company-specific insights. He joined CPP Investments in 2007 and has held various senior leadership roles, including Head of Active Fundamental Equities, where he was responsible for managing a concentrated portfolio of equity investments and leading a team of sector specialists; and most recently Managing Director, Head of Research and Portfolio Strategy, leading data-driven research efforts and portfolio design and construction for Active Equities. Before joining CPP Investments, he was a sector specialist responsible for active equity investments in the media industry globally for Ontario Teachers' Pension Plan. Before that, he was an investment banker for BMO in the M&amp;A group. He holds a BA in Economics and Management Science from Ryerson University and an MA in Financial Economics from the University of Toronto. He is a CFA charter holder and holds an ICD.D Director designation from the Institute of Corporate Directors.</t>
  </si>
  <si>
    <t>+1 (416) 874-5104</t>
  </si>
  <si>
    <t>fieraci@cppib.com</t>
  </si>
  <si>
    <t>Senior Managing Director &amp; Global Head of Active Equities and Investment Science</t>
  </si>
  <si>
    <t>297531-64P</t>
  </si>
  <si>
    <t>Freda Colbourne</t>
  </si>
  <si>
    <t>Freda</t>
  </si>
  <si>
    <t>Colbourne</t>
  </si>
  <si>
    <t>Ms. Freda Colbourne serves as Managing Director &amp; Head of Corporate Affairs at CPP Investments. Ms. Colbourne leads the Corporate Affairs group overseeing activities to build CPP Investments' global brand internally and externally, including thought leadership, CPP Investments Insights Institute, and employee engagement. Prior to joining CPP Investments in 2021, she led her own communications consultancy for more than a decade and previously ran the Canadian operations of a large international communications firm. She holds a Bachelor of Business Administration from Simon Fraser University and completed the corporate director program at the University of Toronto's Rotman School of Management. She serves on several charitable boards, including the MLSE Foundation, and is Chair of the MLSE Launchpad.</t>
  </si>
  <si>
    <t>fredac@cppinvestments.com</t>
  </si>
  <si>
    <t>Managing Director &amp; Head of Corporate Affairs</t>
  </si>
  <si>
    <t>40966-84P</t>
  </si>
  <si>
    <t>Geoffrey Rubin Ph.D</t>
  </si>
  <si>
    <t>Dr. Geoffrey Rubin serves as Senior Managing Director &amp; Head of One Fund Strategy Group at CPP Investments. Dr. Rubin serves as a Board Member at Antares Capital. He leads the Portfolio Construction &amp; Research Group within the Total Portfolio Management Department. He and his group are responsible for establishing the desired total portfolio composition over both shorter and longer horizons. The PCR Group characterizes the risk factor exposures and returns expectations of a wide range of public and private investment strategies; forecasts economic and financial market conditions; optimizes short- and long-term total portfolio composition, and develops total portfolio strategy. Before joining CPPIB he held finance roles with Fannie Mae and Capital One Financial, where he managed the global balance sheet. He also ran a consulting practice and was an Adjunct Professor at American University's Kogod School of Business. Previously, he held finance roles with Fannie Mae and Capital One Financial where he managed the global balance sheet. He also ran a consulting practice and was Adjunct Professor at American University's Kogod School of Business in Washington, D.C., and holds a BA in Economics from the University of Virginia, and a PhD in Economics from Princeton University.</t>
  </si>
  <si>
    <t>+1 (416) 868-4075 x5648</t>
  </si>
  <si>
    <t>geoffreyr@cppinvestments.com</t>
  </si>
  <si>
    <t>Senior Managing Director &amp; Head of One Fund Strategy Group</t>
  </si>
  <si>
    <t>81715-24P</t>
  </si>
  <si>
    <t>Geoffrey Souter</t>
  </si>
  <si>
    <t>Souter</t>
  </si>
  <si>
    <t>Mr. Geoffrey Souter serves as Managing Director &amp; Head of Real Assets Credit at CPP Investments. Mr. Souter currently leads the Real Assets Credit group after helping develop and implement the private real estate debt strategy. He has helped lead the investments in a broad range of real estate debt products, including mortgage, mezzanine, and preferred equity loans secured by high-quality real estate assets in markets across the Americas, Europe, and Asia, while selectively evaluating expansion into new markets. Prior to joining CPP Investments in 2010, he spent four years at RBS Greenwich Capital and was a board member of RBS's Global Real Estate Finance Group, responsible for its U.S. debt portfolio. Previously, he worked at JPMorgan in real estate finance-related roles in New York and London, departing as head of real estate capital markets. He holds a BA (Hons) in Urban Development from Western University and an MA in Real Estate Development from Columbia University.</t>
  </si>
  <si>
    <t>+1 (416) 868-8579</t>
  </si>
  <si>
    <t>gsouter@cppib.com</t>
  </si>
  <si>
    <t>Managing Director &amp; Head of Real Assets Credit</t>
  </si>
  <si>
    <t>186375-79P</t>
  </si>
  <si>
    <t>Gilles Chow</t>
  </si>
  <si>
    <t>Gilles</t>
  </si>
  <si>
    <t>Mr. Gilles Chow serves as Managing Director &amp; Head of Real Estate Asia Pacific at CPP Investments. He covers Asia-Pacific markets with a focus on North Asia, Southeast Asia, and new initiatives. He has led some of CPPIB's early investments around the region and his priorities include business development, transactions, and investment relationships. He joined CPPIB in 2010 and has over 20 years of experience across several real estate business lines, including development, construction management, asset management, private equity, and fund management, and has variously been professionally based in Australia, Singapore, the UK, Belgium, and now Hong Kong. He has extensive experience in establishing and managing cross-border investments and joint ventures in Europe and Asia-Pacific and has previously held investment roles in Lend Lease, MGPA, and Aviva Investors. he holds Bachelor of Commerce and Bachelor of International Business degrees from the University of Queensland and Griffith University, respectively, and has earned his CPA and CFA designations.</t>
  </si>
  <si>
    <t>gc@cppib.com</t>
  </si>
  <si>
    <t>Managing Director &amp; Head of Real Estate Asia Pacific</t>
  </si>
  <si>
    <t>329841-37P</t>
  </si>
  <si>
    <t>Grace Yuen</t>
  </si>
  <si>
    <t>Yuen</t>
  </si>
  <si>
    <t>Ms. Grace Yuen serves as Managing Director &amp; Head of Legal APAC at CPP Investments. Ms. Yuen leads the legal team in Hong Kong and Mumbai and is responsible for delivering enterprise and investment legal advice and support across the Asia Pacific region. Before joining CPP Investments in 2018, she was a senior M&amp;A lawyer at Cleary Gottlieb Steen &amp; Hamilton LLP specializing in complex, cross-border M&amp;A and PE transactions, joint ventures, and other strategic investments across asset classes and geographies. She has worked in London, Brussels, and Hong Kong. She holds a BA in Political Science from Yale University and a Postgraduate Diploma in Law from BPP Law School. She is a qualified solicitor in England and Wales and Hong Kong.</t>
  </si>
  <si>
    <t>gracey@cppinvestments.com</t>
  </si>
  <si>
    <t>Managing Director &amp; Head of Legal APAC</t>
  </si>
  <si>
    <t>16076-80P</t>
  </si>
  <si>
    <t>Graeme Eadie</t>
  </si>
  <si>
    <t>Eadie</t>
  </si>
  <si>
    <t>Mr. Graeme Eadie serves as Advisor at CPP Investments. Mr. Eadie serves as trustee at Choice Properties. He served as a Board Member at Neiman Marcus Group. He formerly served as Senior Managing Director. He is responsible for the global Real Assets program which encompasses Real Estate (both equity and debt investments), Infrastructure, and Agricultural investments. The department is active in major developed and emerging countries. Before joining the CPP Investment Board in June 2005, He held multiple roles including Chief Financial Officer, Chief Operating Officer, and President of Cadillac Fairview. He has also held senior management positions with several entities in the retail and manufacturing areas and formerly was a Trustee of the Morguard Real Estate Investment Trust and a Director of the Ontario Realty Corporation. He earned his B. Comm. and M.Sc. (Business Administration) degrees from the University of British Columbia.</t>
  </si>
  <si>
    <t>421120-45P</t>
  </si>
  <si>
    <t>Graham Davies Ph.D</t>
  </si>
  <si>
    <t>Davies</t>
  </si>
  <si>
    <t>Dr. Graham Davies serves as Managing Director, Infrastructure at CPP Investments. Mr. Davies is a senior member of our Infrastructure team in Europe, with a particular focus on digital infrastructure (including residential and enterprise fiber, towers, small cells, in-building cellular connectivity, and private networks). Prior to joining CPP Investments in 2013, he was part of the Private Equity team at Altima Partners in London. Before that, he worked in the telecoms industry as an in-house consultant at Talk Talk (a leading UK-based ISP). He currently serves as an Alternate Director for CPP Investments on the board of Boldyn Networks. He holds a DPhil in Environmental Sciences and an MBA, both from Oxford University.</t>
  </si>
  <si>
    <t>gdavies@cppinvestments.com</t>
  </si>
  <si>
    <t>421054-84P</t>
  </si>
  <si>
    <t>Guy MacKenzie</t>
  </si>
  <si>
    <t>Mr. Guy MacKenzie serves as Managing Director, Listed Infrastructure at CPP Investments. Prior to joining CPP Investments in 2024, he was a Global Listed Infrastructure portfolio manager at BlackRock in London. Before that, he was a Director at Credit Suisse, where he led equity research coverage of the European Infrastructure sector. He previously worked for Oxera as a consultant specializing in infrastructure and utility finance, and he started his career at the Bank of Canada. He holds an MSc in Finance and Economics from the London School of Economics and a BSc in Economics from the University of Victoria.</t>
  </si>
  <si>
    <t>gmackenzie@cppinvestments.com</t>
  </si>
  <si>
    <t>Managing Director, Listed Infrastructure</t>
  </si>
  <si>
    <t>56739-79P</t>
  </si>
  <si>
    <t>Hari Krishna</t>
  </si>
  <si>
    <t>Hari</t>
  </si>
  <si>
    <t>Mr. Hari Krishna serves as Managing Director &amp; Head of Real Estate India at CPP Investments. He is responsible for CPP Investments' Real Estate investments in India and is based out of the Mumbai office. The Real Estate Group in India focuses on investments alongside top-tier partners in key sectors such as office, retail, and industrial. Prior to joining CPP Investments in 2014, Mr. Krishna was at Kotak Investment Advisors which is the alternate assets arm of Kotak Bank. He was co-responsible for the real estate funds business which had total assets under management of over USD 1 billion, contributed by SWFs and other global LPs. He started his career with CBRE and JLL in the corporate finance business. Mr. Krishna holds an MFin from the University of Delhi, India.</t>
  </si>
  <si>
    <t>+91 (0)22 6151 4400</t>
  </si>
  <si>
    <t>hkrishna@cppinvestments.com</t>
  </si>
  <si>
    <t>3 North Avenue, Maker Maxity, 5th Floor</t>
  </si>
  <si>
    <t>Bandra Kurla Complex, Bandra (East)</t>
  </si>
  <si>
    <t>Managing Director &amp; Head of Real Estate India</t>
  </si>
  <si>
    <t>346456-54P</t>
  </si>
  <si>
    <t>Harveen Sidhu</t>
  </si>
  <si>
    <t>Harveen</t>
  </si>
  <si>
    <t>Sidhu</t>
  </si>
  <si>
    <t>Mr. Harveen Sidhu serves as Associate, Growth Equity at CPP Investments.</t>
  </si>
  <si>
    <t>harveens@cppinvestments.com</t>
  </si>
  <si>
    <t>33657-04P</t>
  </si>
  <si>
    <t>Heather Tobin</t>
  </si>
  <si>
    <t>Ms. Heather Tobin serves as Senior Managing Director &amp; Global Head of Capital Markets and Factor Investing at CPP Investments. She leads the Active Investment Management (AIM) group. AIM is responsible for managing the Active Portfolio and for ensuring the Fund has the best possible combination of active investment programs. Prior to her current role, she was Managing Director of the Strategy &amp; Operations team in Capital Markets and Factor Investing. Before that, she was Director, Office of the CEO, Senior Principal, Portfolio Value Creation, and Principal in the Infrastructure team. Prior to joining CPP Investments in 2009, she worked at the World Bank in the Oil, Gas, Mining, and Chemicals team at the International Finance Corporation in Washington, DC. Before that, she worked in investment banking at Morgan Stanley. She holds a BComm from Dalhousie University and an MBA from the University of Western Ontario.</t>
  </si>
  <si>
    <t>+1 (416) 868-8605</t>
  </si>
  <si>
    <t>htobin@cppib.com</t>
  </si>
  <si>
    <t>+1 (416) 868-8689</t>
  </si>
  <si>
    <t>Senior Managing Director &amp; Global Head of Capital Markets and Factor Investing</t>
  </si>
  <si>
    <t>326202-58P</t>
  </si>
  <si>
    <t>Henry Ingrouille</t>
  </si>
  <si>
    <t>Ingrouille</t>
  </si>
  <si>
    <t>Mr. Henry Ingrouille serves as Managing Director &amp; Head of APAC Operations at CPP Investments. Mr. Ingrouille is responsible for CPP Investments' operations in Asia Pacific and for leading initiatives to support its continued growth in the region. Prior to CPP Investments in 2021, He spent nearly 30 years in operations and other functions at global financial services firms. He was most recently the COO for APAC Equities at Bank of America, a position he held since 2016. Between 2012 and 2016, he was Group COO of Hong Kong Exchanges &amp; Clearing. Before that, he worked at Morgan Stanley for 18 years in a number of roles, including its Head of Asia Operations and Global Head of Vendor and Network Management. He began his career at the London Stock Exchange. He received a BSc (Hons) in Computational Linguistics and Modern Languages from the University of Manchester.</t>
  </si>
  <si>
    <t>henryi@cppinvestments.com</t>
  </si>
  <si>
    <t>Managing Director &amp; Head of APAC Operations</t>
  </si>
  <si>
    <t>33657-67P</t>
  </si>
  <si>
    <t>Hussain Abbas</t>
  </si>
  <si>
    <t>Abbas</t>
  </si>
  <si>
    <t>Mr. Hussain Abbas serves as Managing Director, Capital Solutions at CPP Investments. Mr. Abbas previously served as an Analyst/Associate at Barclays Capital. He leads the North American Strategic Credit business, including the origination and execution of transactions, and portfolio management. Strategic Credit includes all of the activities across corporate special situations credit, structured finance (asset-backed &amp; CLOs), and life sciences lending. He has been with CPP Investments for over 12 years, joining us from Barclays Capital in the Energy, Utilities &amp; Infrastructure group in London where he focused on M&amp;A, Leverage Finance, and capital-raising activities. Previously, he worked at an energy investing joint venture between First Reserve and Petrofac Resources. He holds an M.Eng (Hons) in chemical engineering from the University of Toronto and an MBA with High Honors from the University of Chicago.</t>
  </si>
  <si>
    <t>+1 (646) 564-4940</t>
  </si>
  <si>
    <t>hussaina@cppinvestments.com</t>
  </si>
  <si>
    <t>254381-59P</t>
  </si>
  <si>
    <t>Ian Dalton</t>
  </si>
  <si>
    <t>Principal &amp; Senior Associate</t>
  </si>
  <si>
    <t>Mr. Ian Dalton serves as Principal &amp; Senior Associate at CPP Investments. Mr. Dalton co-founded QPQ. He holds Degree in Law from BPP Law School and Kaplan Law School, MS (Master of Science) in Law and finance from University of Oxford and Bachelor's in Business and Legal Studies from University College Dublin.</t>
  </si>
  <si>
    <t>iand@cppinvestments.com</t>
  </si>
  <si>
    <t>34573-06P</t>
  </si>
  <si>
    <t>Ira Shiner</t>
  </si>
  <si>
    <t>Ira</t>
  </si>
  <si>
    <t>Shiner</t>
  </si>
  <si>
    <t>Mr. Ira Shiner serves as the Principal, Direct Private Equity at CPP Investments. Mr. Shiner served as an Associate at the Ontario Teachers' Pension Plan. Previously, he worked at Kensington Capital Partners Limited and the Real Estate Investment Banking Group of CIBC World Markets. He earned a Bachelor of Business Administration (with Distinction) from the Schulich School of Business at York University. He has passed all three levels of the CFA Program and will be eligible for the CFA designation upon completion of the required work experience.</t>
  </si>
  <si>
    <t>ishiner@cppib.com</t>
  </si>
  <si>
    <t>Principal, Direct Private Equity</t>
  </si>
  <si>
    <t>397008-91P</t>
  </si>
  <si>
    <t>Jaime Fernandez</t>
  </si>
  <si>
    <t>Mr. Jaime Fernandez serves as Senior Associate - Direct Private Equity at CPP Investments.</t>
  </si>
  <si>
    <t>jfernandez@cppinvestments.com</t>
  </si>
  <si>
    <t>Senior Associate - Direct Private Equity</t>
  </si>
  <si>
    <t>168104-89P</t>
  </si>
  <si>
    <t>James Bryce</t>
  </si>
  <si>
    <t>Bryce</t>
  </si>
  <si>
    <t>Mr. James Bryce serves as Managing Director &amp; Head of Infrastructure at CPP Investments. Mr. Bryce serves as a Board Member at Associated British Ports. He served as a Board Member at Viterra. He also serves as a Board Member at Anglian Water Group and Glencore Agriculture. He was appointed as a non-executive director in December 2014. He leads the global Infrastructure team. Previously, he was head of the Portfolio Value Creation group, supporting management teams of individual investments to achieve full value potential. Before joining CPP Investments in 2012, he was a Managing Director at Royal Bank Equity Finance (the private equity arm of RBS), where he spent 10 years focused on infrastructure and private equity transactions. Before that, he was a member of the private equity team at JP Morgan Capital and started his career as a pension fund manager at Hambros Bank. He holds an MA in Theology from Keble College, Oxford. He currently serves on the boards of Anglian Water, Associated British Ports and Agriculture.</t>
  </si>
  <si>
    <t>+44 (0)20 3205 3519</t>
  </si>
  <si>
    <t>jbryce@cppib.com</t>
  </si>
  <si>
    <t>Managing Director &amp; Head of Infrastructure</t>
  </si>
  <si>
    <t>331643-80P</t>
  </si>
  <si>
    <t>James Jackson</t>
  </si>
  <si>
    <t>Mr. James Jackson serves as Managing Director, Sustainable Energies at CPP Investments. Mr. Jackson serves as a Board Member at VoltaGrid. He also serves as a Board Member at Encino Acquisition Partners. Mr. Jackson served as Vice President, Exploitation and Planning at Temple Energy. He is a Managing Director in the Sustainable Energies Group at CPPIB where he originates, executes, and manages investments in the upstream and energy transition sectors. Prior to joining CPPIB in 2017, he spent 18 years at several small and mid-cap E&amp;P companies in various operational, business development, and senior management capacities. In addition to the EAP board, he also sits on the board of VoltaGrid LLC. He holds a Bachelor of Science in Chemical and Petroleum Engineering from the University of Calgary, is a professional engineer registered in Alberta, and is a CFA charter holder.</t>
  </si>
  <si>
    <t>james@cppinvestments.com</t>
  </si>
  <si>
    <t>421039-09P</t>
  </si>
  <si>
    <t>Jason Hu</t>
  </si>
  <si>
    <t>Mr. Jason Hu serves as Managing Director, Private Equity at CPP Investments. Prior to joining CPP Investments in 2014, he worked at J.P. Morgan in the Global Special Opportunities Group in Hong Kong and the Mergers &amp; Acquisitions Group in New York. Before that, he was a consultant at Oliver Wyman in New York and Charles River Associates in Boston. He holds a BA in Mathematics, Computer Science, and Economics from Connecticut College and an MBA from Harvard Business School.</t>
  </si>
  <si>
    <t>jhu@cppinvestments.com</t>
  </si>
  <si>
    <t>33656-50P</t>
  </si>
  <si>
    <t>Jason MacNeill</t>
  </si>
  <si>
    <t>MacNeill</t>
  </si>
  <si>
    <t>Mr. Jason MacNeill serves as Managing Director, Sustainable Investing at CPP Investments. He is a Managing Director in CPPIB's Sustainable Investing team, where he helps lead climate change-related efforts across the Fund. Before Sustainable Investing, he worked on transactions and portfolio management in the Infrastructure team, with a focus on the Americas and Australia. Prior to joining CPPIB, he spent several years in project management on large civil and industrial projects with Kiewit Corporation. He holds an MBA from the Rotman School of Business at the University of Toronto, and a BASc from Queen's University with a specialty in Civil Engineering. He has served on the boards of Ports America Group and BAI Communications in Australia.</t>
  </si>
  <si>
    <t>+1 (416) 874-5342</t>
  </si>
  <si>
    <t>jmacneill@cppib.ca</t>
  </si>
  <si>
    <t>Managing Director, Sustainable Investing</t>
  </si>
  <si>
    <t>38092-42P</t>
  </si>
  <si>
    <t>Jeremy Weisberg</t>
  </si>
  <si>
    <t>Weisberg</t>
  </si>
  <si>
    <t>Mr. Jeremy Weisberg serves as Managing Director, Secondaries at CPP Investments. He served as Senior Vice President at Government of Government of Singapore Investment Corporation (GIC). He oversees the U.S. private equity secondary effort and is responsible for leading and managing secondary investments in North America and Europe. Prior to joining CPP Investments in 2021, Jeremy was a senior member of GIC's private equity secondaries team where he completed numerous investments across various aspects of the secondaries market. Prior to that, he was a private equity investment professional focusing on secondaries at Pantheon and Permal Capital Management. He holds a BSBA from the University of Richmond. He is a CFA charterholder.</t>
  </si>
  <si>
    <t>jweisberg@cppib.com</t>
  </si>
  <si>
    <t>153673-84P</t>
  </si>
  <si>
    <t>Jerry Hendrix</t>
  </si>
  <si>
    <t>Mr. Jerry Hendrix serves as an Associate of Private Equity Funds at CPP Investments. He served as an Associate at Inovia Capital. He served as an Associate at W Capital Partners. He focuses on the analysis and execution of new investment opportunities in addition to the support of existing portfolio companies. He joined W Capital in 2016 and was previously an Analyst with Bank of America Merrill Lynch's Global Industrials group, where he was responsible for M&amp;A and corporate finance transactions for a range of public and private global clients. He graduated with honors from Michigan State University with a B.A. in Economics.</t>
  </si>
  <si>
    <t>jhendrix@cppib.com</t>
  </si>
  <si>
    <t>40966-48P</t>
  </si>
  <si>
    <t>Jimmy Phua</t>
  </si>
  <si>
    <t>Phua</t>
  </si>
  <si>
    <t>Mr. Jimmy Phua serves as Managing Director &amp; Head of Real Estate Asia Pacific at CPP Investments. He is responsible for CPP Investment Board's real estate in Asia. He has over 20 years real estate experience in Asia having worked out of Singapore, South Korea and currently based in Hong Kong. Prior to joining CPPIB in 2008, Jimmy worked with several leading real estate companies including ING Real Estate. He was responsible for setting up ING Real Estate's business in South Korea. Jimmy holds a First Class Honours in Bachelor of Science (Estate Management) from the National University of Singapore and a Masters in International Management from the Royal Melbourne Institute of Technology.</t>
  </si>
  <si>
    <t>+852 3973 8777</t>
  </si>
  <si>
    <t>jphua@cppib.com</t>
  </si>
  <si>
    <t>133327-36P</t>
  </si>
  <si>
    <t>John Graham Ph.D</t>
  </si>
  <si>
    <t>Dr. John Graham serves as President and Chief Executive Officer at CPP Investments. Dr. Graham was appointed President &amp; CEO in February 2021. He is responsible for leading CPP Investments on its critical mission: to help ensure a strong foundation of financial security in retirement for millions of Canadians. He served on a Board of Directors at Antares Capital. Prior to joining CPPIB, he spent nine years at the Xerox Innovation Group in research and strategy roles. He began his journey at CPP Investments in 2008 in the Total Portfolio Management group (now Total Fund Management) before moving into Private Investments. He went on to become Managing Director and Global Head of Principal Credit Investments in 2015 and was subsequently appointed Senior Managing Director &amp; Global Head of Credit Investments in 2018. He has been instrumental in shaping CPP Investments into an organization defined by growth, high performance and a spirit of collaboration. In addition to sitting at the helm of CPP Investments, John has served on the board of FCLTGlobal since 2021 and has been Chair since September 1, 2024. FCLTGlobal is a non-profit organization with a mission to focus capital on the long term to support a sustainable and prosperous economy. He holds a PhD in Physical Chemistry from the University of Western Ontario and an MBA from the Rotman School of Management at the University of Toronto. He serves as President and Chief Executive Officer at CPPIB Credit Investments. He also serves as a Board Member at LongPoint Minerals II.</t>
  </si>
  <si>
    <t>+1 (416) 874-5127</t>
  </si>
  <si>
    <t>johng@cppinvestments.com</t>
  </si>
  <si>
    <t>421033-87P</t>
  </si>
  <si>
    <t>Jonah Enbar</t>
  </si>
  <si>
    <t>Jonah</t>
  </si>
  <si>
    <t>Enbar</t>
  </si>
  <si>
    <t>Mr. Jonah Enbar serves as Managing Director, Direct Private Equity at CPP Investments. Mr. Enbar is responsible for leading private equity investments in the Technology, Media &amp; Telecom sectors in Europe. He is currently on the board of Hotelbeds. He previously served on the boards of Sportradar and BGL. Prior to joining CPP Investments in 2013, he worked at Frontenac Company, where he focused on middle-market buyouts across North America, and in the M&amp;A group of UBS Investment Bank. He holds a BA from Northwestern University and an MBA from the Wharton School of the University of Pennsylvania. He is currently on the board of Hotelbeds. He previously served on the boards of Sportradar and BGL.</t>
  </si>
  <si>
    <t>jenbar@cppinvestments.com</t>
  </si>
  <si>
    <t>92854-99P</t>
  </si>
  <si>
    <t>Jonathan Stewart</t>
  </si>
  <si>
    <t>Mr. Jonathan Stewart serves as Managing Director, Total Fund Insights &amp; Analysis at CPP Investments. Mr. Stewart served as Senior Business Analyst of Corporate Development at Teck Resources. Previously, he served as a Supervisor, Project Accountant, and Tax Provision at Teck Resources Limited. He received a degree in Economics from Università Commerciale 'Luigi Bocconi' in 2007, a B.Com in Accounting from the University of British Columbia in 2008, and a Master's in Professional Accounting from the University of Saskatchewan in 2009.</t>
  </si>
  <si>
    <t>jonathans@cppinvestments.com</t>
  </si>
  <si>
    <t>Managing Director, Total Fund Insights &amp; Analysis</t>
  </si>
  <si>
    <t>336458-26P</t>
  </si>
  <si>
    <t>Jonathan Webster Ph.D</t>
  </si>
  <si>
    <t>Chief Operating Officer &amp; Senior Managing Director</t>
  </si>
  <si>
    <t>Dr. Jonathan Webster serves as Chief Operating Officer &amp; Senior Managing Director at CPP Investments. Dr. Webster leads the organization's technology, data, investment operations, security, and corporate services functions. Together, under his leadership, they are responsible for enabling the investment strategies and supporting the Fund's day-to-day operations. Prior to joining CPP Investments in 2023, he was a Managing Director and Partner at the Boston Consulting Group where he was a member of the Financial Institutions and Technology Advantage practices, specializing in digital and technology-enabled transformations. He previously held leadership roles at McKinsey &amp; Company and Lloyds Banking where he served as the Chief Information Officer for Digital and Transformation and Chief Operating Officer for the bank's digital division. He holds a Bachelor of Science degree in Industrial Mathematics and a Ph.D. in mathematics from Loughborough University in England.</t>
  </si>
  <si>
    <t>jonathanw@cppinvestments.com</t>
  </si>
  <si>
    <t>290009-98P</t>
  </si>
  <si>
    <t>Jung Yup Lee</t>
  </si>
  <si>
    <t>Jung Yup</t>
  </si>
  <si>
    <t>Mr. Jung Yup Lee serves as Managing Director, Private Equity at CPP Investments. Mr. Lee focuses on private equity investment opportunities in Asia. Prior to joining CPP Investments in 2016, he was a Partner and Head of Korea at Headland Capital Partners, where he was responsible for private equity investments, primarily in Korea, and was also a member of the investment committee. He began his career with H&amp;Q Asia Pacific Korea in Seoul. He holds a BSc in Mechanical and Aerospace Engineering from Seoul National University.</t>
  </si>
  <si>
    <t>jyup@cppinvestments.com</t>
  </si>
  <si>
    <t>393030-91P</t>
  </si>
  <si>
    <t>Karen Boutros JD</t>
  </si>
  <si>
    <t>Boutros</t>
  </si>
  <si>
    <t>Ms. Karen Boutros serves as Managing Director, Sustainable Energies at CPP Investments. Ms. Boutros is a senior member of our Sustainable Energies team and is responsible for originating, executing, and managing power investments in North America. Earlier in her career, she also spent time working on investments in Latin America and Europe. Prior to joining CPP Investments in 2014, Karen worked at the law firm Freshfields Bruckhaus Deringer LLP in New York and advised energy and infrastructure funds, strategy, and lenders on transactions in North America. She is on the board of Cordelia Power and Reventus Power. She holds a JD from Harvard Law School and a BSFS from Georgetown University's School of Foreign Service.</t>
  </si>
  <si>
    <t>kboutros@cppinvestments.com</t>
  </si>
  <si>
    <t>155832-58P</t>
  </si>
  <si>
    <t>Kathryn Daniels</t>
  </si>
  <si>
    <t>Ms. Kathryn Daniels serves as Managing Director &amp; Head of Compliance at CPP Investments. Before joining CPP Investments, Ms. Daniels was a long-term member of staff of the Ontario Securities Commission, acting as Deputy Director in both the Corporate Finance and Enforcement branches. In her leadership role, she developed deep expertise in securities law, corporate governance, and regulatory issues, along with litigation and risk management. Before moving to the OSC, she practiced commercial litigation. She is a past member of the Board of Directors of the North American Securities Administrators Association (NASAA), an umbrella organization representing all state and provincial securities regulators in North America, and of the OSC's Securities Advisory Committee. She graduated from the University of Toronto Law School in 1992 and earned her Global Professional Masters of Law (GPLLM) from the University of Toronto Law School in 2012.</t>
  </si>
  <si>
    <t>kathrynd@cppinvestments.com</t>
  </si>
  <si>
    <t>Managing Director &amp; Head of Compliance</t>
  </si>
  <si>
    <t>40962-34P</t>
  </si>
  <si>
    <t>Kathryn Shaw</t>
  </si>
  <si>
    <t>Ms. Kathryn Shaw serves as Managing Director, Financial Analytics &amp; Planning, Management Analytics, Finance at CPP Investments. Her previous work experience includes positions with both Lloyds Banking Group and PwC.</t>
  </si>
  <si>
    <t>+1 (416) 479-5612</t>
  </si>
  <si>
    <t>kshaw@cppib.com</t>
  </si>
  <si>
    <t>Managing Director, Financial Analytics &amp; Planning, Management Analytics, Finance</t>
  </si>
  <si>
    <t>329842-90P</t>
  </si>
  <si>
    <t>Kavita Saha</t>
  </si>
  <si>
    <t>Kavita</t>
  </si>
  <si>
    <t>Ms. Kavita Saha is the Managing Director &amp; Head of Infrastructure &amp; Sustainable Energies, India at CPP Investments. She leads the Infrastructure and Sustainable Energies team in India, focusing on executing and managing investments in the transportation, renewables, and utilities sectors. Before joining CPP Investments in 2018, she spent over eight years in the JP Morgan Asian Infrastructure &amp; Related Resources Opportunity Fund (AIRRO), part of JP Morgan's Global Alternatives group. She was responsible for the execution of infrastructure investments in India in roads, energy, and healthcare infrastructure. Before that, she spent over 15 years as an investment banker with Barclays, IL&amp;FS Financial Services Ltd., and the Industrial Development Bank of India. She holds a BSc (Hons) in Physics and an MBA, from Delhi University in India. She is a CFA charterholder.</t>
  </si>
  <si>
    <t>ksaha@cppinvestments.com</t>
  </si>
  <si>
    <t>Managing Director &amp; Head of Infrastructure &amp; Sustainable Energies, India</t>
  </si>
  <si>
    <t>421124-23P</t>
  </si>
  <si>
    <t>Kay Fan</t>
  </si>
  <si>
    <t>Ms. Kay Fan serves as Managing Director, Real Estate Asia at CPP Investments. Ms. Fan is responsible for CPP Investments' private real estate investments in Asia Pacific, focusing on investment management and business planning. Prior to joining CPP Investments in 2012, she worked with several real estate investment firms and development companies including LaSalle Investment Management and Gemdale. She has worked professionally in China, US, UK and Hong Kong. She holds a Master of Architecture from the University of Pennsylvania and a BA (Hons) in Architecture from the University of Hong Kong.</t>
  </si>
  <si>
    <t>kfan@cppinvestments.com</t>
  </si>
  <si>
    <t>Managing Director, Real Estate Asia</t>
  </si>
  <si>
    <t>329844-97P</t>
  </si>
  <si>
    <t>Kim Wright</t>
  </si>
  <si>
    <t>Ms. Kim Wright is Managing Director &amp; Head of Listed Real Assets at CPP Investments. She is responsible for CPP Investments' listed real estate investments and is a member of the Real Estate Investment Committee, which oversees the Fund's global public and private real estate investments. Before joining CPP Investments in 2018, She was the Global Head of Real Estate Equities Research at UBS. Based in Hong Kong, she was responsible for formulating and presenting the UBS global real estate view. She covered listed real estate for UBS for more than 22 years, leading top-rated real estate equities research teams in Australia, Europe, and Asia. She is a CFA charter holder, a member of the European Real Estate Association (EPRA) Advisory Board, a board member of the Asia Pacific Real Estate Association (APREA) HK Chapter, and a member of the Australian Property Council, Global Investment Committee. She holds a Bachelor of Commerce from the University of Western Sydney, Australia.</t>
  </si>
  <si>
    <t>kwright@cppib.com</t>
  </si>
  <si>
    <t>Managing Director &amp; Head of Listed Real Assets</t>
  </si>
  <si>
    <t>297533-80P</t>
  </si>
  <si>
    <t>Kiran Swinglehurst</t>
  </si>
  <si>
    <t>Swinglehurst</t>
  </si>
  <si>
    <t>Ms. Kiran Swinglehurst serves as Managing Director &amp; Head of Europe and Asia at CPP Investments. Ms. Swinglehurst is responsible for leading the Liquidity Risk Group, with accountabilities for the measurement, analysis, and oversight of liquidity risks across the Fund. Prior to joining CPP Investments in 2018, she held various roles within Treasury, Corporate Finance, and Capital Markets, across Corporate and Banking industries. Most recently working at BHP she was responsible for sourcing and managing the debt and equity funding as well as the company's liquidity. She holds a BCom from the University of Birmingham and is a member of the Association of Certified Chartered Accountants (ACCA) and The Association of Corporate Treasurers (AMCT).</t>
  </si>
  <si>
    <t>kirans@cppinvestments.com</t>
  </si>
  <si>
    <t>Managing Director &amp; Head of Europe and Asia</t>
  </si>
  <si>
    <t>155837-80P</t>
  </si>
  <si>
    <t>Kristina Fanjoy</t>
  </si>
  <si>
    <t>Fanjoy</t>
  </si>
  <si>
    <t>Chief Financial Officer &amp; Senior Managing Director</t>
  </si>
  <si>
    <t>Ms. Kristina Fanjoy serves as Chief Financial Officer &amp; Senior Managing Director at CPP Investments. Ms. Fanjoy joined CPP Investments in 2010 and has contributed to the extension of the organization's finance capabilities, including building and leading various functions, most recently serving as Head of Finance. Prior to joining CPP Investments, she grew a career at KPMG across audit, compliance and advisory disciplines, culminating in a practice delivering international tax advice to global organizations in a variety of sectors. She is a Chartered Professional Accountant and earned a Bachelor of Commerce from the University of Toronto.</t>
  </si>
  <si>
    <t>kristinaf@cppinvestments.com</t>
  </si>
  <si>
    <t>447595-03P</t>
  </si>
  <si>
    <t>Kyle Berg</t>
  </si>
  <si>
    <t>Mr. Kyle Berg serves as Managing Director, Real Assets Credit at CPP Investments. Mr. Berg focuses on private and public market credit investments in energy, resources, power, and renewables. Prior to joining CPP Investments in 2019, he worked at Greywolf Capital as a Managing Director focused on special situations credit and equity investments. He holds a BComm from the Sauder School of Business at the University of British Columbia and is a Leslie Wong Fellow of the UBC Portfolio Management Foundation.</t>
  </si>
  <si>
    <t>kyleb@cppinvestments.com</t>
  </si>
  <si>
    <t>241564-87P</t>
  </si>
  <si>
    <t>Kyna Liu</t>
  </si>
  <si>
    <t>Kyna</t>
  </si>
  <si>
    <t>Ms. Kyna Liu serves as Executive, Venture Capital, and Growth Equity at CPP Investments. She served as Executive, Private Capital - Global Funds &amp; Principal at Ontario Teachers' Pension Plan.</t>
  </si>
  <si>
    <t>kynaliu@cppib.com</t>
  </si>
  <si>
    <t>Executive, Venture Capital and Growth Equity</t>
  </si>
  <si>
    <t>41759-20P</t>
  </si>
  <si>
    <t>Lauren Amato</t>
  </si>
  <si>
    <t>Ms. Lauren Amato serves as Managing Director, PE Funds at CPP Investments. Ms. Amato served as Investment Banking Analysy at CIBC World Markets.</t>
  </si>
  <si>
    <t>lauren@cppinvestments.com</t>
  </si>
  <si>
    <t>Managing Director, PE Funds</t>
  </si>
  <si>
    <t>329846-32P</t>
  </si>
  <si>
    <t>Leigh Partridge</t>
  </si>
  <si>
    <t>Partridge</t>
  </si>
  <si>
    <t>Ms. Leigh Partridge serves as Managing Director &amp; Head of Legal, Europe at CPP Investments. Ms. Partridge leads the legal team in London and is responsible for delivering enterprise and investment legal advice and support across the European region. Before joining CPP Investments in 2017, she was a senior corporate lawyer at Freshfields Bruckhaus Deringer LLP specializing in complex, cross-border M&amp;A and PE investments and asset management. She has worked in London and Dubai. She holds a Bachelor of Law from, the University of Leeds and is a graduate of Nottingham Law School. She is a qualified solicitor in England and Wales.</t>
  </si>
  <si>
    <t>leighp@cppinvestments.com</t>
  </si>
  <si>
    <t>Managing Director &amp; Head of Legal, Europe</t>
  </si>
  <si>
    <t>33656-59P</t>
  </si>
  <si>
    <t>Liliana Molina</t>
  </si>
  <si>
    <t>Liliana</t>
  </si>
  <si>
    <t>Molina</t>
  </si>
  <si>
    <t>Ms. Liliana Molina serves as Managing Director, Relationship Management at CPP Investments. Ms. Molina served as Alternate Director at Transportadora de Gas del Peru. She completed her BBA from Universidad de Los Andes in 1999 and MBA from University of Toronto in 2008.</t>
  </si>
  <si>
    <t>+1 (416) 874-5141</t>
  </si>
  <si>
    <t>lilianam@cppinvestments.com</t>
  </si>
  <si>
    <t>Managing Director, Relationship Management</t>
  </si>
  <si>
    <t>326057-41P</t>
  </si>
  <si>
    <t>Logan Willis JD</t>
  </si>
  <si>
    <t>Willis</t>
  </si>
  <si>
    <t>Mr. Logan Willis serves as Managing Director, Head of Investment Legal, and Board Secretariat at CPP Investments. He leads CPP Investments' global team of investment lawyers and oversees the delivery of legal advice on investment and asset management activities globally. He previously served CPP Investments as Chief of Staff to the CEO and provided legal counsel on complex investment and enterprise mandates across asset classes and geographies. Before joining CPP Investments in 2017, he was a Partner at Goodmans LLP, one of Canada's premier law firms, where he was named in the Best Lawyers in Canada publication as a leading lawyer in the areas of financial restructuring and insolvency. He holds a BA (Hons) in Business Administration from the University of Western Ontario and a Juris Doctor (Hons) from the University of Toronto.</t>
  </si>
  <si>
    <t>lwillis@cppib.com</t>
  </si>
  <si>
    <t>Managing Director, Head of Investment Legal and Board Secretariat</t>
  </si>
  <si>
    <t>421051-51P</t>
  </si>
  <si>
    <t>Lora Gotcheva</t>
  </si>
  <si>
    <t>Lora</t>
  </si>
  <si>
    <t>Gotcheva</t>
  </si>
  <si>
    <t>Ms. Lora Gotcheva serves as Managing Director, Listed Real Estate at CPP Investments. Ms. Gotcheva is responsible for CPP Investments' listed real estate portfolio in the Americas. Having joined in 2010, she was instrumental in establishing the listed real estate program and has led a number of private investments in the US office and life science real estate sectors. Prior to joining CPP Investments, she was the lead real estate securities analyst for Fidelity International overseeing investments in listed real estate companies across Europe. She started her career in investment banking at Morgan Stanley and subsequently held senior acquisition and asset management roles at Macquarie Capital focusing on infrastructure investments across the US and Canada. She earned an MBA from the Wharton School at the University of Pennsylvania, where she graduated as a Palmer Scholar and a BA in Economics from Mount Holyoke College.</t>
  </si>
  <si>
    <t>lgotcheva@cppinvestments.com</t>
  </si>
  <si>
    <t>245335-87P</t>
  </si>
  <si>
    <t>Lori Gavin</t>
  </si>
  <si>
    <t>Gavin</t>
  </si>
  <si>
    <t>Ms. Lori Gavin serves as Managing Director, Funds at CPP Investments. She is responsible for sourcing, leading and managing private equity fund commitments and passive syndicated co-investment opportunities in North America and Europe. Prior to joining CPP Investments in 2013, she worked at BMO Capital Markets in the Diversified team. Prior to that, she started her finance career at RBC Capital Markets. She holds a Bcomm (Hons) from the University of British Columbia.</t>
  </si>
  <si>
    <t>lvainer@cppinvestments.com</t>
  </si>
  <si>
    <t>Managing Director, Funds</t>
  </si>
  <si>
    <t>367653-25P</t>
  </si>
  <si>
    <t>Manroop Jhooty</t>
  </si>
  <si>
    <t>Manroop</t>
  </si>
  <si>
    <t>Jhooty</t>
  </si>
  <si>
    <t>Mr. Manroop Jhooty serves as Senior Managing Director &amp; Head of Total Fund Management at CPP Investments. Mr. Jhooty leads the balancing and financing portfolio, which is invested in global public securities, as well as balance sheet management, tactical positioning, trading and portfolio design. Mr. Jhooty joined CPP Investments in 2019 and was previously Managing Director, Head of Exposure, Leverage and Liquidity Management. This team combines the balancing-portfolio process and balance-sheet management functions in an integrated group responsible for the management and delivery of the Fund's exposures, leverage and liquidity. Before that, he was Managing Director, Head of Balancing &amp; Collateral. Prior to joining CPP Investments, he held various fixed income and credit trading roles with Bank of America Merrill Lynch. He holds a BCom from McMaster University and an MSc from the London School of Economics.</t>
  </si>
  <si>
    <t>manroopjhooty@cppib.com</t>
  </si>
  <si>
    <t>Senior Managing Director &amp; Head of Total Fund Management</t>
  </si>
  <si>
    <t>421125-58P</t>
  </si>
  <si>
    <t>Marcos Haertel</t>
  </si>
  <si>
    <t>Haertel</t>
  </si>
  <si>
    <t>Mr. Marcos Haertel serves as Managing Director, Real Estate at CPP Investments. Mr. Haertel leads Real Estate business in Brazil and is based out of our São Paulo office. Having joined CPP Investments in 2015, he was responsible for our entry into the office sector and the growth of our industrial portfolio in Brazil. Before joining CPP Investments, he served as Head of Investor Relations for BR Properties, a listed real estate investment company. During his tenure, he was recognized as one of the top Investor Relations Executives in Real Estate LATAM by the Institutional Investor Magazine. He holds a BBA in Finance from Jacksonville University (USA).</t>
  </si>
  <si>
    <t>+55 01 13216 5700</t>
  </si>
  <si>
    <t>mhaertel@cppinvestments.com</t>
  </si>
  <si>
    <t>Avenida Brigadeiro Faria Lima</t>
  </si>
  <si>
    <t>4300 - 14° andar</t>
  </si>
  <si>
    <t>421121-98P</t>
  </si>
  <si>
    <t>Mariana Nishimura</t>
  </si>
  <si>
    <t>Mariana</t>
  </si>
  <si>
    <t>Nishimura</t>
  </si>
  <si>
    <t>Ms. Mariana Nishimura serves as Managing Director, Infrastructure &amp; Sustainable Energies at CPP Investments. Ms. Nishimura is a senior member of our Infrastructure and Sustainable Energies teams with a focus on Latin America, where she is responsible for originating, executing and managing investments across a broad range of sectors, including digital infrastructure, utilities and energy. Prior to joining CPP Investments in 2020, Mariana spent 15 years covering power and utilities and telecom sectors as an investment banker at Santander, Bradesco, UBS, Citi and ABN AMRO. She is on the boards of Transportadora de Gas del Perú, Grupo Costanera, and V.Tal. She holds a BS in Business Administration from Fundação Getúlio Vargas in São Paulo and an MBA from INSEAD.</t>
  </si>
  <si>
    <t>mnishimura@cppinvestments.com</t>
  </si>
  <si>
    <t>Managing Director, Infrastructure &amp; Sustainable Energies</t>
  </si>
  <si>
    <t>81717-49P</t>
  </si>
  <si>
    <t>Martin Healey</t>
  </si>
  <si>
    <t>Healey</t>
  </si>
  <si>
    <t>Mr. Martin Healey serves as Senior Adviser of Investment Committee for Sustainable Energies Group at CPPIB Credit at CPP Investments. Mr. Martin Healey serves as Managing Director Managing Director, Real Assets at CPPIB Credit Investments. Mr. Healey also served as a Board Member at Arqiva. In addition to his real estate debt responsibilities, he also serves as a member of CPPIB's global investment committees for all real estate equity transactions and all forms of credit investment. Since joining CPPIB in 2005, he has led the development of a number of new investment programs, making CPPIB's first real estate equity investments into the U.K., France, Germany, and Australia, before founding the Private Real Estate Debt group in early 2010. Prior to joining CPPIB, he held transactional roles in the real estate investing, commercial lending, and investment banking industries, based in the UK, Canada, and the United States. He holds a B.A. (Honours) in Marketing from the University of Strathclyde, in Scotland and an M.B.A. with an emphasis in Real Estate from the University of California, Berkeley.</t>
  </si>
  <si>
    <t>+44 (0)20 3205 3451</t>
  </si>
  <si>
    <t>mhealey@cppinvestments.com</t>
  </si>
  <si>
    <t>Senior Adviser of Investment Committee for Sustainable Energies Group</t>
  </si>
  <si>
    <t>155826-73P</t>
  </si>
  <si>
    <t>Mary Sullivan</t>
  </si>
  <si>
    <t>Ms. Mary Sullivan serves as Senior Managing Director &amp; Chief Talent Officer at CPP Investments. Ms. Sullivan serves as a Board Member at Petco Animal Supplies. A seasoned executive with over 25 years of Human Resources experience, she joined CPP Investments in 2015 and is responsible for talent acquisition, organizational development, international mobility, compensation and benefits, facilities and office services, and inclusion and diversity. Prior to joining CPP Investments, she was Senior Vice President at Holt, Renfrew &amp; Co. where she was responsible for their Human Resources function. Prior to that, she was Senior Vice President, Corporate Human Resources at Four Seasons Hotels and Resorts. She also spent seven years as the Senior Vice President of Human Resources at IMAX Corporation. She holds a BA in Administrative and Commercial Studies from the University of Western Ontario and an MBA from the Rotman School of Management at the University of Toronto.</t>
  </si>
  <si>
    <t>marys@cppinvestments.com</t>
  </si>
  <si>
    <t>Senior Managing Director &amp; Chief Talent Officer</t>
  </si>
  <si>
    <t>421123-78P</t>
  </si>
  <si>
    <t>Matthew Hele</t>
  </si>
  <si>
    <t>Hele</t>
  </si>
  <si>
    <t>Mr. Matthew Hele serves as Managing Director, Development and Construction, Real Estate at CPP Investments. Mr. Hele oversees and manages CapEx-funded development projects with Joint Venture partners across the UK and European real estate portfolios. Prior to joining CPP Investments in early 2023, he was Development Director at Blackstone Property Management / Revantage Real Estate, a Blackstone Portfolio Company, leading major projects across all asset classes for Core and Opportunistic funds and Joint Ventures. He received an MSc in Property Investment from the College of Estate Management, University of Reading, and a BSc (Hons) in Quantity Surveying from the University of the West of England and is a member of the Royal Institution of Chartered Surveyors.</t>
  </si>
  <si>
    <t>mhele@cppinvestments.com</t>
  </si>
  <si>
    <t>421049-17P</t>
  </si>
  <si>
    <t>Max Miller</t>
  </si>
  <si>
    <t>Mr. Max Miller serves as Managing Director, Growth Equity at CPP Investments. Mr. Miller leads investments in venture and growth stage funds and companies for CPP Investments' Growth Equity team. Max joined CPP in 2014 and was one of the founding members of the Venture Capital program, which now includes a portfolio of several top-tier funds and companies. Prior to joining CPP Investments in 2014, he was a consultant at A.T. Kearney, a management consulting firm, and an Analyst at Birch Hill Equity Partners, a Canadian mid-market private equity firm. He holds a Bachelor of Commerce (BCom) from the University of British Columbia Sauder School of Business.</t>
  </si>
  <si>
    <t>mmiller@cppinvestments.com</t>
  </si>
  <si>
    <t>48996-28P</t>
  </si>
  <si>
    <t>Maximilian Biagosch</t>
  </si>
  <si>
    <t>Biagosch</t>
  </si>
  <si>
    <t>Mr. Maximilian Biagosch serves as a Board Member at BAI Communications. He serves as Senior Managing Director, Global Head of Real Assets &amp; Head of Europe at CPP Investments. Mr. Biagosch serves as a Board Member at Petco Animal Supplies. He leads the CPPIB Investment Board's Portfolio Value Creation group, supporting management teams of individual investments to achieve full value potential. Mr. Biagosch currently serves on the Boards of Liberty Living and Altamira. Prior to joining CPPIB in 2015, he spent more than seven years at Permira Advisers LLP, focusing on private equity transactions, and was most recently responsible for the firm's global capital markets activities. Before that, Mr. Biagosch was an investment banker for Deutsche Bank and BNP Paribas in London. He is a fully qualified lawyer in Germany and holds a Master of Law from LMU Munich.</t>
  </si>
  <si>
    <t>+61 (0)2 8113 4666</t>
  </si>
  <si>
    <t>Level 11, 1 Denison Street</t>
  </si>
  <si>
    <t>799 Pacific Highway</t>
  </si>
  <si>
    <t>BAI Communications</t>
  </si>
  <si>
    <t>163439-83P</t>
  </si>
  <si>
    <t>Megan Hansen</t>
  </si>
  <si>
    <t>Ms. Megan Hansen serves as Managing Director, Infrastructure at CPP Investments. She serves as a Board Member at Nephin Energy Holdings. Before joining CPPIB, she spent three years as an Associate at J.P. Morgan in New York, where she worked for the Global Commodities Research team, focusing on energy markets and macro strategy, and in energy investment banking. She was also a Junior Professional Associate in the Latin American &amp; Caribbean Energy group at the World Bank in Washington D.C., where she focused on lending and technical assistance for governments in Brazil, Bolivia, and the Caribbean. She holds an M.S. in Management Science and Engineering and a B.S. in Atmosphere/Energy Engineering both from Stanford University. She completed her M.B.A. with High Distinction at Harvard Business School where she was a Baker Scholar.</t>
  </si>
  <si>
    <t>+1 (416) 479-5548</t>
  </si>
  <si>
    <t>mhansen@cppib.com</t>
  </si>
  <si>
    <t>241545-79P</t>
  </si>
  <si>
    <t>Megan Lindhe</t>
  </si>
  <si>
    <t>Lindhe</t>
  </si>
  <si>
    <t>Ms. Megan Lindhe serves as Managing Director, Funds at CPP Investments. She focuses on primary fund investment and passive syndicated co-investment opportunities across North America and Europe. During her tenure at CPP Investments, she spent four years in the London office within the Funds &amp; Secondaries team. Prior to joining CPP Investments in 2010, she worked at BMO Capital Markets in the Mergers &amp; Acquisitions team in Toronto. She holds a BA and MA in Economics from Boston University and a Master of Financial Economics from the University of Toronto. She is also a CFA Charterholder.</t>
  </si>
  <si>
    <t>+1 (416) 868-5078</t>
  </si>
  <si>
    <t>mlindhe@cppib.com</t>
  </si>
  <si>
    <t>75748-87P</t>
  </si>
  <si>
    <t>Mei Mavin</t>
  </si>
  <si>
    <t>Mavin</t>
  </si>
  <si>
    <t>Ms. Mei Mavin serves as Managing Director and Head of Corporate Communications at CPP Investments. Ms. Mavin leads CPP Investments' Global Corporate Communications team, which is responsible for media relations, investment and financial communications and issues-management activities. Since joining CPP Investments in 2014, she has worked in both the New York and London offices. Prior to joining CPP Investments, She worked for Sun Life Financial in Toronto and Hong Kong, where she led Sun Life's Communications and customer marketing initiatives in Asia. She holds a BA from the University of Toronto.</t>
  </si>
  <si>
    <t>+44 (0)77 7587 3625</t>
  </si>
  <si>
    <t>mmavin@cppib.com</t>
  </si>
  <si>
    <t>Managing Director &amp; Head of Corporate Communications</t>
  </si>
  <si>
    <t>421126-48P</t>
  </si>
  <si>
    <t>Michael Conrad</t>
  </si>
  <si>
    <t>Conrad</t>
  </si>
  <si>
    <t>Mr. Michael Conrad serves as Managing Director, Sustainable Energies at CPP Investments. Mr. Conrad is a senior member of our Sustainable Energies team and originates, executes, and manages power investments globally, primarily focused on the Americas and Asia. He previously worked in our Infrastructure group. He is on the board of Pattern Energy. Prior to joining CPP Investments in 2013, he was at Credit Suisse in Toronto, helping to cover the oil, gas, and mining sectors. He holds a BCom from McGill University, where he completed a double major in Finance and Marketing. He is on the board of Pattern Energy.</t>
  </si>
  <si>
    <t>mconrad@cppinvestments.com</t>
  </si>
  <si>
    <t>204377-14P</t>
  </si>
  <si>
    <t>Michael Douglas</t>
  </si>
  <si>
    <t>Mr. Michael Douglas serves as Managing Director &amp; Head of Real Estate North America at CPP Investments. Mr. Douglas joined CPP Investments in 2007 and spent 17 years on the Direct Private Equity team in Toronto and London, before joining the Real Assets department in 2024. Prior to joining CPP Investments, he worked at Ernst &amp; Young Orenda Corporate Finance. He currently serves on the board of Wilton Re and was previously a director at Ascend Learning, Acelity, LHP Hospital Group, Waystar, and a board observer at Antares. He holds a BComm from Queen's University and is a CFA Charterholder.</t>
  </si>
  <si>
    <t>michaeld@cppinvestments.com</t>
  </si>
  <si>
    <t>Managing Director &amp; Head of Real Estate North America</t>
  </si>
  <si>
    <t>421125-22P</t>
  </si>
  <si>
    <t>Michael McQueen</t>
  </si>
  <si>
    <t>McQueen</t>
  </si>
  <si>
    <t>Mr. Michael McQueen serves as Managing Director, Real Estate at CPP Investments. Mr. McQueen is responsible for developing and implementing CPP Investments real estate investment strategies and relationships, with a primary focus on Australia and New Zealand. He was previously based in Hong Kong and has South East Asian cross-border investment expertise. Prior to joining CPP Investments in 2014, he worked in various asset management and development, opportunity funds management, portfolio analytics, valuation, and research roles with AMP Capital and Colliers International. He holds a MPropDev (Distinction) and AdvDip Urban Estate Management from the University of Technology, Sydney, and an AdvDip Valuation, the Sydney Institute of Technology. He is a qualified CPV, AAPI, and a member of the Property Council of Australia, Global Investment Committee.</t>
  </si>
  <si>
    <t>michael.mcqueen@cppinvestments.com</t>
  </si>
  <si>
    <t>421037-65P</t>
  </si>
  <si>
    <t>Michael Zelenczuk</t>
  </si>
  <si>
    <t>Zelenczuk</t>
  </si>
  <si>
    <t>Mr. Michael Zelenczuk serves as Managing Director, Direct Private Equity at CPP Investments. Mr. Zelenczuk is responsible for sourcing, executing, and managing direct private equity investments in North America. He is primarily focused on the industrial and Services sector. Prior to joining CPP Investments in 2013, he worked in the Investment Banking Division at Goldman Sachs. He currently serves on the board of Berlin Packaging. He holds a BComm from Queens University and is a CFA charter holder.</t>
  </si>
  <si>
    <t>michael@cppinvestments.com</t>
  </si>
  <si>
    <t>40962-97P</t>
  </si>
  <si>
    <t>Michel Leduc</t>
  </si>
  <si>
    <t>Mr. Michel Leduc serves as Senior Managing Director &amp; Global Head of Public Affairs and Communications at CPP Investments. Mr. Leduc leads the team responsible for the organization's overall communications program and global public affairs, including relationships with domestic and foreign governments, media and other diverse stakeholder groups. He joined CPP Investments in 2011 and oversees reputation management strategy, positioning its global capabilities to support long-term investment and diversification goals, while upholding the mandate and governance structure. A senior communications professional, He has 25 years of experience in the areas of public affairs, government relations, corporate communications, social responsibility, and branding. Previously, he was Vice President, Public and Corporate Affairs at Sun Life Financial where he oversaw the company's global public affairs, corporate communications, and brand-management functions. He has also held positions at the Canadian Bankers Association and the Canadian Payments Association. He also recently served on the Board of Directors of the Canada China Business Council, Canada-India Business Council, and the Toronto Financial Services Alliance. He holds a BA in Law from Carleton University.</t>
  </si>
  <si>
    <t>michell@cppinvestments.com</t>
  </si>
  <si>
    <t>Senior Managing Director &amp; Global Head of Public Affairs and Communications</t>
  </si>
  <si>
    <t>298928-80P</t>
  </si>
  <si>
    <t>Michelle Chen</t>
  </si>
  <si>
    <t>Ms. Michelle Chen serves as Principal, Private Equity Funds and Co-investments at CPP Investments. Ms. Chen received a Bachelor's degree from the University of Western Ontario in 2015 and an Honours in Business Administration from Ivey Business School at Western University in 2015.</t>
  </si>
  <si>
    <t>michellec@cppib.com</t>
  </si>
  <si>
    <t>Principal, Private Equity Funds and Co-investments</t>
  </si>
  <si>
    <t>326064-61P</t>
  </si>
  <si>
    <t>Mike Leader</t>
  </si>
  <si>
    <t>Leader</t>
  </si>
  <si>
    <t>Mr. Mike Leader serves as Managing Director &amp; Head of Investment Operations, Global Leadership Team at CPP Investments. Mike leads the Investment Operations team and is responsible for overseeing and managing overall risk as it relates to operations, and identifying sustainable and scalable process-enhancement solutions that support the growth of the Fund. Before joining CPP Investments in 2021, Mike worked for TD Securities in a variety of roles across operations, risk, and finance where he most recently led a global team of operations professionals supporting the Fixed Income and Funding businesses. Before that, he worked as a management consultant at Deloitte in the Strategy &amp; Operations practice and risk management at BMO Financial Group. Mike holds a BS (Hons) in Statistics from Queen's University and an MBA from the University of Western Ontario.</t>
  </si>
  <si>
    <t>mleader@cppinvestments.com</t>
  </si>
  <si>
    <t>Managing Director &amp; Head of Investment Operations, Global Leadership Team</t>
  </si>
  <si>
    <t>329847-40P</t>
  </si>
  <si>
    <t>Monica Adractas</t>
  </si>
  <si>
    <t>Adractas</t>
  </si>
  <si>
    <t>Ms. Monica Adractas serves as Managing Director &amp; Head of Growth Equity at CPP Investments. Based in San Francisco, she leads venture and growth investments for CPP Investments' Growth Equity team within Private Equity. She joined CPP in 2019 and led the development of the Venture Capital program, which now includes fund investments with over 20 top-tier partners. In addition, the group actively pursues co-invest and direct investments in a variety of thematic areas. Before joining CPP Investments in 2019, she built and led businesses in high-growth environments, including Meta/Facebook, Box, and Starbucks. Most recently, she was Global Director at Workplace, an enterprise business she helped launch at Facebook. She spent 10 years with McKinsey &amp; Company at the start of her career across San Francisco and New York. She holds a BS in Economics from the Wharton School at the University of Pennsylvania and an MBA from the Harvard Business School.</t>
  </si>
  <si>
    <t>madractas@cppinvestments.com</t>
  </si>
  <si>
    <t>Managing Director &amp; Head of Growth Equity</t>
  </si>
  <si>
    <t>421120-54P</t>
  </si>
  <si>
    <t>Natasa Kovacevic JD</t>
  </si>
  <si>
    <t>Natasa</t>
  </si>
  <si>
    <t>Kovacevic</t>
  </si>
  <si>
    <t>Ms. Natasa Kovacevic serves as Managing Director, Infrastructure at CPP Investments. Ms. Kovacevic is a senior member of our Infrastructure team in Europe and is responsible for originating, executing, and managing investments across a broad range of sectors, with a particular focus on circular economy, energy, and transport infrastructure. She is on the board of Nedgia and is an observer on the board of FCC Medio Ambiente. Prior to CPP Investments, she was an Engagement Manager in McKinsey's London office where she was a core member of the Firm's Pharmaceuticals Practice. She holds a J.D. from Harvard Law School and an A.B. in Economics with a Secondary Field in Neurobiology from Harvard College. She is a member (retired) of the New York State Bar." She is on the board of Nedgia and is an observer on the board of FCC Medio Ambiente.</t>
  </si>
  <si>
    <t>nkovacevic@cppinvestments.com</t>
  </si>
  <si>
    <t>155847-52P</t>
  </si>
  <si>
    <t>Neil King</t>
  </si>
  <si>
    <t>Mr. Neil King serves as Managing Director, Infrastructure, Global Leadership Team at CPP Investments. Mr. King spent 10 years as a founding partner in 3i's infrastructure business and 20 years as a banker at Lloyds, Barclays, and WestLB. He is on the boards of Arqiva and Nedgia. He holds an MSC in Mathematics from Durham University.</t>
  </si>
  <si>
    <t>+44 (0)20 3205 3427</t>
  </si>
  <si>
    <t>neil_king@cppinvestments.com</t>
  </si>
  <si>
    <t>Managing Director, Infrastructure, Global Leadership Team</t>
  </si>
  <si>
    <t>149750-11P</t>
  </si>
  <si>
    <t>Nick Gill</t>
  </si>
  <si>
    <t>Mr. Nick Gill serves as Managing Director, Data Driven Investing &amp; Active Equities North America at CPP Investments. Mr. Gill founded and leads the team responsible for making data-driven investments and conducting data-driven research across Active Equities. He has 10 years of experience managing global public equities from previous roles managing a thematic portfolio focused on mobile technology and making public equity investments in the Technology sector. Prior to joining CPP Investments in 2011, he spent 6 years in product design and management roles in the semiconductor and consumer electronics industries at Advanced Micro Devices (AMD) and ATI Technologies. He holds an MBA from The University of Western Ontario - Richard Ivey School of Business and a BAS (Bachelor of Applied Science) in Electrical Engineering from the University of Waterloo.</t>
  </si>
  <si>
    <t>ngill@cppib.com</t>
  </si>
  <si>
    <t>Managing Director, Data Driven Investing &amp; Active Equities North America</t>
  </si>
  <si>
    <t>421036-84P</t>
  </si>
  <si>
    <t>Nick Senst</t>
  </si>
  <si>
    <t>Senst</t>
  </si>
  <si>
    <t>Mr. Nick Senst serves as Managing Director, Direct Private Equity at CPP Investments. Mr. Senst is responsible for sourcing, executing and overseeing private equity investments in North America. He focuses primarily on the health care sector. Prior to joining CPP Investments in 2010, he worked at RBC Capital Markets where he spent the majority of his time in the Leveraged Finance team. He currently serves on the boards of Ascend Learning and Advarra. He previously served on the board of Dorna. He holds an HBA from the University of Western Ontario.</t>
  </si>
  <si>
    <t>nsenst@cppinvestments.com</t>
  </si>
  <si>
    <t>421036-03P</t>
  </si>
  <si>
    <t>Nikki Papadopoulos</t>
  </si>
  <si>
    <t>Nikki</t>
  </si>
  <si>
    <t>Papadopoulos</t>
  </si>
  <si>
    <t>Ms. Nikki Papadopoulos serves as Managing Director, Direct Private Equity at CPP Investments. Ms. Papadopoulos is responsible for sourcing, executing, and overseeing private equity investments in North America. She focuses on investments in industrials and business, financial and tech-enabled services sectors. Prior to joining CPP Investments in 2014, she worked in Evercore's mergers &amp; acquisitions team based in London. She currently serves on the board of UKG Inc. She holds an HBA from the University of Western Ontario. She currently serves on the board of UKG Inc.</t>
  </si>
  <si>
    <t>npapadopoulos@cppinvestments.com</t>
  </si>
  <si>
    <t>36465-67P</t>
  </si>
  <si>
    <t>Paras Vira</t>
  </si>
  <si>
    <t>Paras</t>
  </si>
  <si>
    <t>Vira</t>
  </si>
  <si>
    <t>Mr. Paras Vira serves as Managing Director, Capital Solutions at CPP Investments. Mr. Vira is responsible for the Capital Solutions Group's non-investment grade corporate credit business in North America. Before joining CPP Investments in 2014, he was a Senior Vice President in the Mezzanine Finance group at Oaktree Capital Management in New York. Previously, he worked at UBS Investment Bank in the Leveraged Finance group in New York. He holds a BS in Operations Research &amp; Industrial Engineering from Cornell University and an MS in Operations Research from Columbia University.</t>
  </si>
  <si>
    <t>+1 (646) 564-4935</t>
  </si>
  <si>
    <t>parasv@cppinvestments.com</t>
  </si>
  <si>
    <t>38650-15P</t>
  </si>
  <si>
    <t>Pascal Keutgens</t>
  </si>
  <si>
    <t>Keutgens</t>
  </si>
  <si>
    <t>Mr. Pascal Keutgens serves as Managing Director &amp; Head of Direct Private Equity, Europe at CPP Investments. Mr. Keutgens also serves as a Board Member at Ascot Group. He served as a Board Member at Inmarsat. He is a Senior Principal at Doughty Hanson. Mr. Keutgens joined Doughty Hanson in 2003. Before joining, he spent five years with PricewaterhouseCoopers working in its transaction services department in Luxembourg and London. He has a Bachelor of Science degree in Finance from HEC Management School - the University of Liege and an MA degree in International Business Analysis from the University of Leicester.</t>
  </si>
  <si>
    <t>pkeutgens@cppinvestments.com</t>
  </si>
  <si>
    <t>Managing Director &amp; Head of Direct Private Equity, Europe</t>
  </si>
  <si>
    <t>227359-72P</t>
  </si>
  <si>
    <t>Pat Naccarato</t>
  </si>
  <si>
    <t>Pat</t>
  </si>
  <si>
    <t>Mr. Pat Naccarato serves as Managing Director &amp; Head of Active Equities Europe at CPP Investments. Mr. Naccarato heads the team responsible for delivering alpha through active security selection of public, and soon-to-be public, equity investments in Europe. He has managed public equity portfolios across a variety of regions across the world for pension funds, mutual funds, and private client assets. Prior to joining CPP Investments in 2009, he was a Vice President and Portfolio Manager at Phillips Hager and North Investment Management (now RBC) and TAL Investment Ma nagement (now CIBC). He holds an Honors Bachelor of Mathematics from the University of Waterloo and an MBA from Wilfrid Laurier University and is a CFA charter holder. He currently serves on the board of Viking Cruise Holdings Ltd.</t>
  </si>
  <si>
    <t>pat_naccarato@cppinvestments.com</t>
  </si>
  <si>
    <t>Managing Director &amp; Head of Active Equities Europe</t>
  </si>
  <si>
    <t>60982-48P</t>
  </si>
  <si>
    <t>Patrice Walch-Watson</t>
  </si>
  <si>
    <t>Patrice</t>
  </si>
  <si>
    <t>Walch-Watson</t>
  </si>
  <si>
    <t>General Counsel &amp; Senior Managing Director</t>
  </si>
  <si>
    <t>Ms. Patrice Walch-Watson serves as Senior Managing Director, General Counsel &amp; Corporate Secretary at CPP Investments. Ms. Walch-Watson leads the global legal, compliance, and corporate secretarial functions. She is a seasoned business lawyer and advisor with deep experience in transactions, regulation, corporate governance, and providing strategic counsel. Before joining CPP Investments in 2015, she spent over 22 years as a corporate lawyer in private practice at Torys LLP, a highly respected cross-border law firm, advising some of Canada's largest public, private, and government businesses in strategic mergers and acquisitions, financing and governance matters. In addition to being a practicing partner, she served on Tory's executive management committee for several years. She holds a BA (Hons) from Wilfrid Laurier University and a Bachelor of Laws (LLB) degree from Queen's University. She is currently serving on the Board of Trustees of Queen's University and is a member of the Advisory Council to the Dean of Queen's University Law School. She holds the ICD.D designation.</t>
  </si>
  <si>
    <t>+1 (416) 865-8234</t>
  </si>
  <si>
    <t>patricew@cppinvestments.com</t>
  </si>
  <si>
    <t>+1 (416) 865-7380</t>
  </si>
  <si>
    <t>Senior Managing Director, General Counsel &amp; Corporate Secretary</t>
  </si>
  <si>
    <t>317829-07P</t>
  </si>
  <si>
    <t>Paul Bernath</t>
  </si>
  <si>
    <t>Bernath</t>
  </si>
  <si>
    <t>Mr. Paul Bernath serves as Managing Director, Infrastructure &amp; Australia Office Head at CPP Investments. He is responsible for leading the Infrastructure presence in Australia and the broader Asia Pacific region (ex-India), having previously been based in Toronto. He is also the Australia Office Head for CPP Investments. Prior to joining CPP Investments in 2014, he spent over 10 years focusing on public and private mergers and acquisitions, capital markets and restructuring projects, and large infrastructure transactions, including time as a corporate attorney at Allens Linklaters and as an M&amp;A transaction consultant, based in Australia and the U.S. He is on the boards of Pacific National, WestConnex, NorthConnex and WestLink M7 in Australia, and the Cikopo-Palimanan (Cipali) toll road in Indonesia. He holds a BSc (Hons) (Pharm.) from the University of Melbourne and an LLB (Hons) from the Melbourne Law School; and has also studied on exchange at the University of British Columbia.</t>
  </si>
  <si>
    <t>paul@cppinvestments.com</t>
  </si>
  <si>
    <t>Managing Director, Infrastructure &amp; Australia Office Head</t>
  </si>
  <si>
    <t>230866-75P</t>
  </si>
  <si>
    <t>Paul McCracken Ph.D</t>
  </si>
  <si>
    <t>McCracken</t>
  </si>
  <si>
    <t>Dr. Paul McCracken serves as Managing Director, Growth Equity at CPP Investments. He leads the Innovations in Health Care strategy for the Growth Equities team. Prior to that, he was responsible for building the healthcare team and leading the launch and scale-up of multiple healthcare strategies for CPPIB Active Equities. Prior to joining CPP Investments in 2009, he was a Senior Vice President at Barclays Capital and Lehman Brothers in New York, leading the Health Care Desk-Based Analytics team for trading in public equities and equity derivatives. Previously, he held a series of positions in financial services, private start-up ventures, and strategy consulting. He holds a BA (Hons) in Chemistry and English, a BSc (Hons) in Chemistry, and a PhD in Organic Chemistry from Queen's University.</t>
  </si>
  <si>
    <t>pmccracken@cppib.com</t>
  </si>
  <si>
    <t>33642-28P</t>
  </si>
  <si>
    <t>Peter Ballon</t>
  </si>
  <si>
    <t>Ballon</t>
  </si>
  <si>
    <t>Mr. Peter Ballon serves as Global Head of Real Estate at CPP Investments. He is responsible for the global real estate portfolio, which is diversified across twenty global markets and currently exceeds C$50 Billion. Prior to joining CPP Investments in 2007, he worked with several leading real estate companies, including Canderel, Brookfield, and TrizecHahn. He holds a BComm from McGill University and an MBA from the University of Western Ontario; and has been granted the ICD.D designation by the Institute of Corporate Directors. He is on the board of Brazilian public company Aliansce Sonae, a member of the Global Board of Directors of the Urban Land Institute, and a Trustee of the International Council of Shopping Centers.</t>
  </si>
  <si>
    <t>+1 (416) 868-8691</t>
  </si>
  <si>
    <t>pballon@cppib.com</t>
  </si>
  <si>
    <t>Global Head of Real Estate</t>
  </si>
  <si>
    <t>421120-36P</t>
  </si>
  <si>
    <t>Phil Butcher</t>
  </si>
  <si>
    <t>Butcher</t>
  </si>
  <si>
    <t>Mr. Phil Butcher serves as Managing Director, Infrastructure at CPP Investments. Mr. Butcher is a senior member of our Infrastructure team responsible for originating, executing, and managing investments across the transportation, utility, energy, and telecom infrastructure sectors. Prior to joining CPP Investments in 2012, he worked at Macquarie Capital where he started out in the Telecom, Media, Entertainment, and Technology advisory team, before moving to the Infrastructure advisory team to work on principal transactions and third-party mandates. He is on the boards of Ports America Group and Associated British Ports. He holds a BComm and Major in Economics from the University of Toronto and an MBA from London Business School.</t>
  </si>
  <si>
    <t>pbutcher@cppinvestments.com</t>
  </si>
  <si>
    <t>343398-07P</t>
  </si>
  <si>
    <t>Prakul Kaushiva</t>
  </si>
  <si>
    <t>Prakul</t>
  </si>
  <si>
    <t>Kaushiva</t>
  </si>
  <si>
    <t>Mr. Prakul Kaushiva serves as Managing Director &amp; Head of Private Equity Asia at CPP Investments. Mr. Kaushiva serves as a Board Member at Dailyhunt. He serves as a Board Member at Virtusa. He leads CPP Investments' direct private equity business in India. He joined CPP Investments in 2012, where he started out in the London-based Infrastructure team within Real Assets. He subsequently moved to the direct investment team in Private Equity Asia, where he worked in the Hong Kong office for a number of years, before relocating to his current role in Mumbai in 2022. Prior to CPP Investments, he worked at Goldman Sachs in the Technology, Media, and Telecom M&amp;A group and subsequently in the Securities Division. He has also worked at General Electric in the US and India. He holds a BTech in Technology in Mechanical Engineering from the Indian Institute of Technology, Delhi, and an MBA from the Indian Institute of Management, Ahmedabad, with a focus on General Management and Finance.</t>
  </si>
  <si>
    <t>pkaushiva@cppinvestments.com</t>
  </si>
  <si>
    <t>Managing Director &amp; Head of Private Equity Asia</t>
  </si>
  <si>
    <t>326066-77P</t>
  </si>
  <si>
    <t>Prasanna Ramaswamy</t>
  </si>
  <si>
    <t>Prasanna</t>
  </si>
  <si>
    <t>Mr. Prasanna Ramaswamy serves as Head of Technology &amp; Data at CPP Investments. Mr. Ramaswamy leads the digital transformation efforts to advance data and technology capabilities to enable business growth, operational excellence and innovation. He is responsible for architecture, application engineering, infrastructure and cloud enablement, data integration, workplace technologies and IT operations. Prior to joining CPP Investments in 2019, Prasanna was Managing Director, Global Head of Application Development and Architecture at S&amp;P Global Ratings. Before that, he held technology leadership roles with GE Capital and the Royal Bank of Scotland. He holds a BE in Engineering from Barkatullah University in Bhopal, India.</t>
  </si>
  <si>
    <t>prasannar@cppinvestments.com</t>
  </si>
  <si>
    <t>Head of Technology &amp; Data</t>
  </si>
  <si>
    <t>197277-94P</t>
  </si>
  <si>
    <t>Priti Singh</t>
  </si>
  <si>
    <t>Priti</t>
  </si>
  <si>
    <t>Chief Risk Officer &amp; Senior Managing Director</t>
  </si>
  <si>
    <t>Ms. Priti Singh serves as Senior Managing Director &amp; Chief Risk Officer at CPP Investments. Ms. Singh leads the global Capital Markets and Factor Investing department, which is comprised of External Portfolio Management, Systematic Strategies Group, Investment Engineering &amp; Analytics and Strategy, Risk &amp; Operations groups. She is the Chair of the Inclusion and Diversity Leadership Council. Before this appointment, she was Managing Director and Head of External Portfolio Management, responsible for managing a global portfolio of externally managed funds that complement and enhance the internal public market investment programs. Prior to joining CPP Investments in 2008, she worked for over eight years in the financial services and telecommunication industries. She holds an MBA from the Rotman School of Management of the University of Toronto and an MS in Physics from the University of Waterloo. She currently serves on the Board of Trustees for the Standards Board for Alternative Investments.</t>
  </si>
  <si>
    <t>pritis@cppinvestments.com</t>
  </si>
  <si>
    <t>Senior Managing Director &amp; Chief Risk Officer</t>
  </si>
  <si>
    <t>272431-81P</t>
  </si>
  <si>
    <t>Pushkar Kulkarni</t>
  </si>
  <si>
    <t>Pushkar</t>
  </si>
  <si>
    <t>Kulkarni</t>
  </si>
  <si>
    <t>Mr. Pushkar Kulkarni serves as Managing Director, Infrastructure &amp; Sustainable Energies at CPP Investments. Mr. Kulkarni is a senior member of our Infrastructure team responsible for originating, executing, and managing investments across Infrastructure subsectors. he was responsible for starting the Infrastructure practice in India. Prior to joining CPP Investments in 2015, he led Serco PLC's India Transport Infrastructure business and has worked in leadership positions across the Infrastructure value chain. He is on the board of National Highways Infra Investment Managers Private Limited. He holds a Beng (Electronics) from VJTI and an MBA from JBIMS; Mumbai University. He is on the board of National Highways Infra Investment Managers Private Limited.</t>
  </si>
  <si>
    <t>pushkar.kulkarni@cppib.com</t>
  </si>
  <si>
    <t>49232-44P</t>
  </si>
  <si>
    <t>Rachel Zhao</t>
  </si>
  <si>
    <t>Ms. Rachel Zhao serves as Managing Director, Private Equity at CPP Investments. Ms. Zhao is leading direct investments with a focus in the Greater China region. She was previously a Director at MBK Partners, responsible for private equity investments with a focus on Greater China for 13 years. Before MBK Partners, she worked in the investment banking division of both Citigroup in Hong Kong and China International Capital Corporation in Beijing. She holds a BSc in Economics from the London School of Economics.</t>
  </si>
  <si>
    <t>rzhao@cppinvestments.com</t>
  </si>
  <si>
    <t>283609-90P</t>
  </si>
  <si>
    <t>Raymond Chan</t>
  </si>
  <si>
    <t>Mr. Raymond Chan serves as Managing Director &amp; Head of APAC Credit at CPP Investments. Prior to joining CPP Investments, Mr. Chan was a managing director at SSG Capital, responsible for special situations investments and secured lending in Greater China. Previously, he was the Head of Greater China at Intermediate Capital Group, Senior Fund Manager at RAB Capital, and head of Asia Asset Management at D.B. Zwirn. He started his career with HSBC, departing as a team ad of the Real Estate Sector. He holds a BS in Economics from the Chinese University of Hong Kong and an MBA from the EMBA program of the Chinese University of Hong Kong.</t>
  </si>
  <si>
    <t>raymondc@cppinvestments.com</t>
  </si>
  <si>
    <t>Managing Director &amp; Head of APAC Credit</t>
  </si>
  <si>
    <t>421124-86P</t>
  </si>
  <si>
    <t>Rebecca Lam</t>
  </si>
  <si>
    <t>Ms. Rebecca Lam serves as Managing Director, Real Estate at CPP Investments. Ms. Lam is responsible for our real estate investments in Asia and leads the Greater China real estate team based in the Hong Kong office. She joined CPP Investments in 2009 and has been instrumental in growing the Asia real estate business and building the CPP Investments brand in the region. Prior to joining CPP Investments, she worked at the Goldman Sachs Real Estate advisory team and has spent several years with other major investment banks in Hong Kong focusing on M&amp;A and financing activities for real estate companies in Asia. She holds a BComm in Marketing from the University of British Columbia.</t>
  </si>
  <si>
    <t>rlam@cppinvestments.com</t>
  </si>
  <si>
    <t>417831-31P</t>
  </si>
  <si>
    <t>Ricardo Caupers</t>
  </si>
  <si>
    <t>Caupers</t>
  </si>
  <si>
    <t>Mr. Ricardo Caupers serves as Managing Director &amp; Head of Sustainable Energies, Europe at CPP Investments. Mr. Caupers is responsible for leading our investment activities in Europe in the Sustainable Energies portfolio. Previously, he was a managing director at the Direct Private Equity group. Prior to joining CPP Investments in 2020, he was a Partner at Palamon Capital Partners, focused on growth buyout investments in mid-market companies in Europe. He started his career as a management consultant at BCG. He currently serves on the boards of Universal Investment and Power2X. He holds a BA in Business Administration from Universidade Católica Portuguesa and an MBA from Harvard Business School.</t>
  </si>
  <si>
    <t>rcaupers@cppinvestments.com</t>
  </si>
  <si>
    <t>Managing Director &amp; Head of Sustainable Energies, Europe</t>
  </si>
  <si>
    <t>268867-72P</t>
  </si>
  <si>
    <t>Ricardo Szlejf</t>
  </si>
  <si>
    <t>Szlejf</t>
  </si>
  <si>
    <t>Mr. Ricardo Szlejf serves as Managing Director &amp; Head of Infrastructure &amp; Sustainable Energies, Latin America at CPP Investments. He serves as Board Member at Iguá Saneamento. He served as a Board Member at Grupo Costanera. He is responsible for leading the investment activities in Infrastructure in Latin America and has been overseeing investments in energy and infrastructure in Brazil, Mexico, Chile, and Peru. Before joining CPP Investments in 2015, he spent over 20 years covering the energy and infrastructure segments, including at Bank of America and Santander. He holds a BS in Business Administration from Fundação Getúlio Vargas in São Paulo and an MBA from INSEAD (Paris). He is on the boards of CESP and VTRM in Brazil Chile and IDEAL in Mexico.</t>
  </si>
  <si>
    <t>ricardo@cppinvestments.com</t>
  </si>
  <si>
    <t>Managing Director &amp; Head of Infrastructure &amp; Sustainable Energies, Latin America</t>
  </si>
  <si>
    <t>200927-89P</t>
  </si>
  <si>
    <t>Richa Sirohi</t>
  </si>
  <si>
    <t>Richa</t>
  </si>
  <si>
    <t>Sirohi</t>
  </si>
  <si>
    <t>Ms. Richa Sirohi serves as Managing Director, Direct Private Equity at CPP Investments. Ms. Sirohi also served as Board Member at Visma (Norway). She is responsible for leading private equity investments in the Technology sector in Europe. Prior to joining CPP Investments in 2019, she was an Investment Director in the Direct Private Equity team at CDC Group, where she spent more than five years leading growth equity and significant minority investments in growth markets with a particular focus on technology, consumer, and healthcare sectors. Previously, she worked at Standard Chartered Bank across Private Equity and Investment Banking divisions in Asia and the UK respectively. She holds a BA with Honours from Delhi University and an MBA from London Business School.</t>
  </si>
  <si>
    <t>rsirohi@cppib.com</t>
  </si>
  <si>
    <t>421040-80P</t>
  </si>
  <si>
    <t>Richard Law</t>
  </si>
  <si>
    <t>Law</t>
  </si>
  <si>
    <t>Mr. Richard Law serves as Managing Director, Private Equity at CPP Investments. Mr. Law focuses on private equity fund commitments and secondaries in Asia. Prior to joining CPP Investments in 2007, he worked in investment banking at CIBC World Markets and TD Securities. He holds a BComm from the University of British Columbia and an MBA from the MIT Sloan School of Management.</t>
  </si>
  <si>
    <t>rlaw@cppinvestments.com</t>
  </si>
  <si>
    <t>84682-27P</t>
  </si>
  <si>
    <t>Richard Manley</t>
  </si>
  <si>
    <t>Manley</t>
  </si>
  <si>
    <t>Mr. Richard Manley serves as Chief Sustainability Officer at CPP Investments. As CSO, Mr. Manley is responsible for CPP Investments' approach to sustainability-related matters at the enterprise level, and the development of its sustainability roadmap. He works closely with the CEO and CIO to ensure the Fund maintains a global, cross-enterprise approach to sustainability and delivers on its commitment to reach net zero across the Fund and its operations by 2050. As Head of Sustainable Investing, he leads the team responsible for integrating consideration of sustainability-related risks and opportunities across the investment programs. He is also chair of the International Sustainability Standards Board's (ISSB) Investor Advisory Group, a member of the TCFD and the UK's Transition Plan Taskforce. Prior to joining CPP Investments in 2019, he spent 18 years at Goldman Sachs, where he was most recently Global Head of Thematic Equity and ESG Research and Co-Head of EMEA Equity Research. Previously, he worked at Merrill Lynch, Donaldson, Lufkin and Jenrette, and Paribas Capital Markets as an Integrated Oil &amp; Gas equity analyst. He holds a Graduado Superior/BA (Hons) in European Business Administration from ICADE in Madrid.</t>
  </si>
  <si>
    <t>richardm@cppinvestments.com</t>
  </si>
  <si>
    <t>33648-58P</t>
  </si>
  <si>
    <t>Robert Mellema</t>
  </si>
  <si>
    <t>Mellema</t>
  </si>
  <si>
    <t>Mr. Robert Mellema serves as Managing Director, Private Equity and Real Assets, Office of the Chief Investment Officer at CPP Investments. He also serves as a Board Member at Wolf Infrastructure Management. Prior to joining the CPP Investment Board in 2008, he worked at UBS on the Canadian Mergers &amp; Acquisitions team in Toronto and the Leisure sector team in London. He also previously worked at the Boston Consulting Group in Toronto. He holds a Master's of Business Administration from the Wharton School at the University of Pennsylvania where he was a Palmer Scholar and a Bachelor of Commerce degree from Queen's University. He served as a Board Member at Black Swan Energy and Teine Energy.</t>
  </si>
  <si>
    <t>+1 (416) 874 5345</t>
  </si>
  <si>
    <t>rmellema@cppib.com</t>
  </si>
  <si>
    <t>Managing Director, Private Equity and Real Assets, Office of the Chief Investment Officer</t>
  </si>
  <si>
    <t>235741-87P</t>
  </si>
  <si>
    <t>Robin McNamara JD</t>
  </si>
  <si>
    <t>McNamara</t>
  </si>
  <si>
    <t>Mr. Robin McNamara serves as Senior Associate at CPP Investments. Mr. McNamara served as Senior Associate at HarbourVest Partners.</t>
  </si>
  <si>
    <t>robinm@cppinvestments.com</t>
  </si>
  <si>
    <t>155844-73P</t>
  </si>
  <si>
    <t>Rocky Ieraci</t>
  </si>
  <si>
    <t>Rocky</t>
  </si>
  <si>
    <t>Mr. Rocky Ieraci serves as Managing Director, Global Leadership Team - Head of Investment Risk at CPP Investments. He also serves as a Member of Investment Subcommittee at the University of Guelph. He is responsible for leading the Investment Risk Group, with accountabilities for the measurement, analysis, and oversight of investment risks across all investment portfolios. He is a member of several senior management committees, including Investment Strategy, Investment Risk, Valuation, and Climate Change. Before joining CPP Investments in 2010, he worked for S&amp;P Risk Solutions where he was VP and Head of Analytical Services for the Americas, assisting financial institutions with the development and implementation of risk assessment frameworks and risk-measurement methodologies. As a risk consultant, he drew on 10 years of credit risk experience at the Bank of Montreal, where he held progressively senior roles within investment banking, middle market, and retail risk groups. He has a Specialized BA (Hons) in Economics from York University and an MBA from the Schulich School of Business at York University. He is a CFA charterholder.</t>
  </si>
  <si>
    <t>rieraci@cppinvestments.com</t>
  </si>
  <si>
    <t>Managing Director, Global Leadership Team - Head of Investment Risk</t>
  </si>
  <si>
    <t>99858-97P</t>
  </si>
  <si>
    <t>Ryan Barry</t>
  </si>
  <si>
    <t>Barry</t>
  </si>
  <si>
    <t>Mr. Ryan Barry serves as Managing Director &amp; Head of Legal at CPP Investments. Mr. Barry serves as Chairman of the Board Members at One Queen Capital. Mr. Barry is responsible for the delivery of legal services globally; including enterprise and investment legal support across the organization through both internal and external counsel. Before joining CPP Investments, he was general counsel of Turtle Creek Asset Management, a North American equity hedge fund business. He is also a prior managing director and head of multi-manager funds with The Carlyle Group, through its subsidiary Diversified Global Asset Management (DGAM), where he led the management of global portfolios of hedge funds, credit funds, other private market funds, and co-investments for institutional investors. He also previously acted as DGAM's general counsel and began his career practicing corporate law at Torys LLP with an emphasis on M&amp;A and corporate finance. A member of the Law Society of Ontario, he has a Master of Finance and Law degree from the University of Toronto and a Bachelor of Arts from Queen's University.</t>
  </si>
  <si>
    <t>ryanb@cppinvestments.com</t>
  </si>
  <si>
    <t>Managing Director &amp; Head of Legal</t>
  </si>
  <si>
    <t>14508-46P</t>
  </si>
  <si>
    <t>Ryan Selwood</t>
  </si>
  <si>
    <t>Selwood</t>
  </si>
  <si>
    <t>Mr. Ryan Selwood served as Managing Director &amp; Head of Direct Private Equity at CPP Investments. He served as Chief Development Officer, Partner &amp; Member of Leadership and Operating Committees at The Carlyle Group. Previously, Mr. Selwood served as a Managing Director and Head of Direct Private Equity at Canada Pension Plan Investment Board. In this newly created position, Ryan will be involved in a range of investment and management activities across Carlyle, working alongside many in leadership to drive major priorities including growth initiatives and corporate M&amp;A. He also will serve on Investment Committees across all segments of the firm, including our Corporate Capital Commitments Committee. Ryan will join Carlyle on January 1, 2022, reporting to CEO Kewsong Lee. Before CPP Investments, Ryan was an investment banker at Merrill Lynch &amp; Co. in New York. In addition to having served on a variety of corporate boards, Ryan is a member of the Major Individual Giving Cabinet of the United Way of Greater Toronto. He holds an LL.B./MBA from Osgoode Hall Law School and Schulich School of Business at York University and a BA from the University of Western Ontario.</t>
  </si>
  <si>
    <t>+1 (416) 972-8430</t>
  </si>
  <si>
    <t>ryan@cppinvestments.com</t>
  </si>
  <si>
    <t>Managing Director &amp; Head of Direct Private Equity</t>
  </si>
  <si>
    <t>33647-68P</t>
  </si>
  <si>
    <t>Sam Blaichman</t>
  </si>
  <si>
    <t>Blaichman</t>
  </si>
  <si>
    <t>Mr. Sam Blaichman serves as Managing Director &amp; Head of Direct Private Equity at CPP Investments. Mr. Blaichman serves as a Board Member at Ascot Underwriting. He focuses on making direct, long-term investments in private companies and leads the North American Direct Private Equity business. Before joining CPP Investments in 2007, he worked as a management consultant at Bain &amp; Company and in the Corporate Finance and Assurance groups at PwC. He holds a B. Comm. From McGill University and an MBA from the University of Western Ontario. He is a CFA Charterholder and a Chartered Professional Accountant. He currently serves on the boards of Ascot Group, Berlin Packaging, and Wilton Re and previously served on the boards of The Gates Corporation and Air Distribution Technologies.</t>
  </si>
  <si>
    <t>+1 (416) 874 5239</t>
  </si>
  <si>
    <t>sam@cppinvestments.com</t>
  </si>
  <si>
    <t>338530-42P</t>
  </si>
  <si>
    <t>Samantha Hill</t>
  </si>
  <si>
    <t>Ms. Samantha Hill serves as Managing Director &amp; Head of Sustainability Integration at CPP Investments. Ms. Hill is a leader in the Sustainable Investing team, overseeing global activities that consider material environmental, social, and governance (ESG) matters in investments with public and private companies. Her team works alongside investment colleagues in the integration of ESG and climate change matters across the investment lifecycle. Prior to joining CPPIB in 2007, she worked in the Commercial Banking division at CIBC in senior debt financing for national accounts and real estate, and with RoyNat Capital Inc. She holds an MBA from Dalhousie University in Finance and Environmental Management.</t>
  </si>
  <si>
    <t>samanthah@cppinvestments.com</t>
  </si>
  <si>
    <t>Managing Director &amp; Head of Sustainability Integration</t>
  </si>
  <si>
    <t>336278-08P</t>
  </si>
  <si>
    <t>Sanjay Persaud</t>
  </si>
  <si>
    <t>Persaud</t>
  </si>
  <si>
    <t>Mr. Sanjay Persaud serves as Managing Director &amp; Head of Valuations &amp; Member of the Global Leadership Team at CPP Investments. Mr. Persaud leads the valuations team that oversees valuation practices for all asset classes, geographies, and strategies to provide assurance that valuations serve the various business functions and needs across CPP Investments. Before joining CPP Investments in 2023, he was a Vice President at Rogers Communications where he led the controllership function for the company's business units and investment portfolio. Prior to Rogers, he held progressive roles in the Valuations practice at KPMG in their Toronto and London offices. He has a BA and Master of Accounting from the University of Waterloo. He holds designations as a Chartered Business Valuator (CBV), Chartered Financial Analyst (CFA), and Chartered Professional Accountant (CPA).</t>
  </si>
  <si>
    <t>sanjayp@cppinvestments.com</t>
  </si>
  <si>
    <t>Managing Director &amp; Head of Valuations &amp; Member of the Global Leadership Team</t>
  </si>
  <si>
    <t>204964-03P</t>
  </si>
  <si>
    <t>Sebastian Berardi</t>
  </si>
  <si>
    <t>Berardi</t>
  </si>
  <si>
    <t>Mr. Sebastian Berardi serves as Managing Director, Infrastructure at CPP Investments. Mr. Berardi was previously a senior member of our Infrastructure and Sustainable Energies teams in Latin America, where he led investments across the transportation, utility, energy, water, and waste management sectors. Prior to joining CPP Investments in 2014, Sebastian worked for Tenaris as an engineer in various roles in the Oil &amp; Gas and Steel manufacturing industries. He served as a Board Member at Transportadora de Gas del Peru. He currently serves on the boards of IDEAL, Igua Saneamento, and FCC Medio Ambiente. Sebastian also chairs Transelec's Investment Advisory Committee. He holds an Industrial Engineering Degree from Instituto Tecnológico de Buenos Aires and an MBA from Harvard Business School.</t>
  </si>
  <si>
    <t>sberardi@cppinvestments.com</t>
  </si>
  <si>
    <t>33649-39P</t>
  </si>
  <si>
    <t>Shengquan Yang</t>
  </si>
  <si>
    <t>Shengquan</t>
  </si>
  <si>
    <t>Mr. Shengquan Yang serves as Managing Director, Infrastructure at CPP Investments. He served as Board Member at Skyway Concession Company. in 2008 as a Rotational Analyst. He is on the boards of Chicago Skyway in the US, and Intoll Toronto Roads Limited in Canada. He holds a Bachelor of Commerce degree from University of Toronto.</t>
  </si>
  <si>
    <t>+1 (416) 874-5349</t>
  </si>
  <si>
    <t>yiyi.yang@cppib.com</t>
  </si>
  <si>
    <t>326069-20P</t>
  </si>
  <si>
    <t>Sherif Khalifa</t>
  </si>
  <si>
    <t>Sherif</t>
  </si>
  <si>
    <t>Khalifa</t>
  </si>
  <si>
    <t>Mr. Sherif Khalifa serves as Managing Director &amp; Head of Information &amp; Corporate Security at CPP Investments. Mr. Khalifa leads a team responsible for developing and implementing a strategic and comprehensive information-security program and bringing a security-first mindset into our business processes, and technology and data ecosystems. Prior to joining CPP Investments in 2021, Sherif was Managing Director, Global Head of In-Business Control at S&amp;P Global where he built a high-performing team responsible for risk mitigation and control effectiveness across all lines of business, including technology, data, operations and credit-rating analysis. He has also held senior technology leadership roles with GE Capital and Pfizer. Sherif holds a BS-Electrical Engineering from Columbia University and an MBA from New York University's Stern School of Business.</t>
  </si>
  <si>
    <t>sherifk@cppinvestments.com</t>
  </si>
  <si>
    <t>Managing Director &amp; Head of Information &amp; Corporate Security</t>
  </si>
  <si>
    <t>92335-24P</t>
  </si>
  <si>
    <t>Sophie van Oosterom</t>
  </si>
  <si>
    <t>van Oosterom</t>
  </si>
  <si>
    <t>Ms. Sophie van Oosterom serves as Managing Director &amp; Head of Real Estate at CPP Investments. Ms. van Oosterom served as Global Head of Real Estate at Schroders &amp; Schroders Capital. She also serves as Chairman &amp; Global Head of Real Estate at Ground Rents Income Fund. She previously served as Chief Executive Officer, Chief Investment Officer - EMEA, Chairwoman of the European Executive Committee and the European Investment Committee &amp; Member of the Global Executive Committee and the Global Investment Committee at CBRE Group. She oversees operations, investment strategy and performance, underwriting, and program development in the region. Ms. van Oosterom joined CBRE Global Investors in 2013 as Head of Special Programs with the leadership of investor strategy, repositioning, and redefining strategies to optimize value for the investors for the various special program funds.Ms. van Oosterom began her real estate and finance career in 1996. Before joining CBRE Global Investors she was a managing director and European Head of Asset Management of the Lehman Brothers Real Estate Partners private equity funds (now Silverpeak Real Estate Partners) with around $20 billion of assets under management at its peak. In this capacity, she was a member of the boards of several real estate companies throughout Europe, where she helped define strategy, financial structuring, and value creation across all real estate asset classes. Before that, she worked in investment banking M&amp;A advisory with JP Morgan and Barings. Ms. van Oosterom earned a Master's degree in Economics (Cum Laude) from the University of Amsterdam.</t>
  </si>
  <si>
    <t>sophiev@cppinvestments.com</t>
  </si>
  <si>
    <t>Managing Director &amp; Head of Real Estate</t>
  </si>
  <si>
    <t>301289-68P</t>
  </si>
  <si>
    <t>Steven James</t>
  </si>
  <si>
    <t>Mr. Steven James serves as Managing Director of Strategic Portfolio Design at CPP Investments. Mr. James leads the design of the Reference and Strategic Portfolios for the Base and Additional CPP accounts. He previously led the Economic and Financial Forecasts team. Prior to joining CPP Investments in 2007, Mr. James held various roles at Canada's Federal Department of Finance. In that role, he led part of the research that made the case for the 1997 CPP reform and creation of CPP Investments and later led the Finance Canada economic forecasting team. He holds a BA Hons and MA in economics from the University of British Columbia, and an MA in economics from Princeton University.</t>
  </si>
  <si>
    <t>stevenj@cppinvestments.com</t>
  </si>
  <si>
    <t>Managing Director of Strategic Portfolio Design</t>
  </si>
  <si>
    <t>33648-22P</t>
  </si>
  <si>
    <t>Sunny Lee</t>
  </si>
  <si>
    <t>Mr. Sunny Lee serves as Managing Director, Private Equity Strategy &amp; Investment Management at CPP Investments. Mr. Lee serves as Senior Director of Private Equity at Nicola Wealth and Nicola Wealth Private Capital. Prior to Nicola Wealth. He also serves as Senior Director, Private Equity at Nicola Wealth. He previously served as an Investment Banker and M&amp;A at CIBC World Markets. He works on direct private equity transactions and leads coverage of the media and telecom verticals in North America. During his time here, he has worked on many investments including Refinitiv, Endeavor, Alibaba, and Ziply Fiber. Prior to joining CPP Investments in 2008, he worked at CIBC World Markets in the Mergers &amp; Acquisitions group. Before that, he worked at TD Securities. He holds a BComm from the University of British Columbia. He is a CFA charterholder.</t>
  </si>
  <si>
    <t>+1 (852) 039-7387</t>
  </si>
  <si>
    <t>sunnylee@cppinvestments.com</t>
  </si>
  <si>
    <t>Managing Director, Private Equity Strategy &amp; Investment Management</t>
  </si>
  <si>
    <t>62127-01P</t>
  </si>
  <si>
    <t>Tania Chocolat</t>
  </si>
  <si>
    <t>Tania</t>
  </si>
  <si>
    <t>Chocolat</t>
  </si>
  <si>
    <t>Ms. Tania Chocolat serves as Managing Director, Head of São Paulo Office &amp; Head of Active Equities Latin America at CPP Investments. Before joining CPP Investments in 2017, she was responsible for Private Equity investments in Brazil at Capital Group. Before that, she held various positions at Itaú Unibanco in the Investment Banking, Research, and Private Banking Divisions. She was a financial analyst in the Investment Banking Department at J.P. Morgan. She holds a BA in Industrial Engineering from Escola Politécnica da Universidade de São Paulo. Currently, she is a board member of Equatorial and Totvs.</t>
  </si>
  <si>
    <t>+55 11 3216 5715</t>
  </si>
  <si>
    <t>taniac@cppinvestments.com</t>
  </si>
  <si>
    <t>Managing Director, Head of São Paulo Office &amp; Head of Active Equities Latin America</t>
  </si>
  <si>
    <t>343399-87P</t>
  </si>
  <si>
    <t>Tara Perkins</t>
  </si>
  <si>
    <t>Perkins</t>
  </si>
  <si>
    <t>Ms. Tara Perkins serves as Managing Director, Head of Global Public Affairs, Global Leadership Team at CPP Investments. Ms. Perkins leads the Global Public Affairs team and is responsible for managing public affairs and stakeholder relations in each of the jurisdictions where CPPIB operates. Prior to joining CPP Investments in 2014, she spent more than a decade as a business journalist, most recently at the Globe and Mail. She is on the boards of the Investor Leadership Network and Toronto Finance International. She holds BA in Journalism from Ryerson University and BCom from the University of Guelph.</t>
  </si>
  <si>
    <t>tarap@cppinvestments.com</t>
  </si>
  <si>
    <t>Managing Director, Head of Global Public Affairs, Global Leadership Team</t>
  </si>
  <si>
    <t>284876-47P</t>
  </si>
  <si>
    <t>Thomas Jackson</t>
  </si>
  <si>
    <t>Mr. Thomas Jackson serves as Managing Director, Head of Real Estate Europe and Member of Global Real Estate Investment Committee at CPP Investments. He heads the UK real estate business and is responsible for entry into a number of new real estate sectors, including student housing, life sciences, and the Built-to-Rent sector. He is also on the office, retail, and logistics investments Joint Venture boards. Beyond the UK, he is responsible for the real estate investment activity in Germany and the CEE regions and was instrumental in the transaction activity in Spain, the Nordics, and some of the first investments into India. Prior to joining CPP Investments in 2011, he was a vice president of the real estate investment banking team at Macquarie Bank, focused on M&amp;A transactions within the UK and European public and private real estate companies. He is on the board of Unite plc. He holds a BSc (First Class Hons) from the University of Nottingham and an MSc from the University of London Southbank. He holds MRICS and IMC (CFA) certifications.</t>
  </si>
  <si>
    <t>tjackson@cppib.ca</t>
  </si>
  <si>
    <t>Managing Director, Head of Real Estate Europe and Member of Global Real Estate Investment Committee</t>
  </si>
  <si>
    <t>329851-99P</t>
  </si>
  <si>
    <t>Tim Downing</t>
  </si>
  <si>
    <t>Mr. Tim Downing serves as Managing Director, Domestic Affairs at CPP Investments. Mr. Downing leads the Domestic Public Affairs team responsible for managing relationships with Canadian governments, including the federal, provincial, and territorial finance ministers who serve as stewards of the Canada Pension Plan. Prior to joining CPP Investments in 2018, he was Director of Legislative Affairs with the Canadian Bankers Association and a Parliamentary Assistant in the House of Commons of Canada. He holds an MA in Public and International Affairs from the University of Ottawa and a BA (Hons) in Social Sciences, Political Science, and History from the University of Ottawa.</t>
  </si>
  <si>
    <t>timd@cppinvestments.com</t>
  </si>
  <si>
    <t>Managing Director, Domestic Affairs</t>
  </si>
  <si>
    <t>392235-04P</t>
  </si>
  <si>
    <t>Tom Jenkins</t>
  </si>
  <si>
    <t>Mr. Tom Jenkins serves as Principal at CPP Investments.</t>
  </si>
  <si>
    <t>tomj@cppinvestments.com</t>
  </si>
  <si>
    <t>245335-06P</t>
  </si>
  <si>
    <t>Tom Kapsimalis</t>
  </si>
  <si>
    <t>Kapsimalis</t>
  </si>
  <si>
    <t>Mr. Tom Kapsimalis serves as Managing Director, Secondaries at CPP Investments. He oversees the Toronto-based secondary effort and is responsible for leading and managing private equity secondary investments in North America and Europe. During his tenure with CPP Investments, he spent 2 years in the London office executing secondary transactions and helping establish a hedge fund co-investment program. Before joining CPP Investments in 2012, he worked in Leveraged Finance with TD Securities, based in New York. He holds a BBA (Hons) from Wilfrid Laurier University.</t>
  </si>
  <si>
    <t>tkapsimalis@cppib.com</t>
  </si>
  <si>
    <t>343400-50P</t>
  </si>
  <si>
    <t>Umang Patel</t>
  </si>
  <si>
    <t>Mr. Umang Patel serves as Managing Director, Real Assets Credit at CPP Investments. Mr. Patel focuses on public and private market credit investments in real estate, energy and resources, infrastructure, and renewables. Prior to joining CPP Investments in 2006, he worked in real estate corporate finance and real estate audit. He holds a BMath in Mathematics/Chartered Professional Accountancy and an MAcc from the University of Waterloo. He is a CFA charter holder and a Chartered Professional Accountant.</t>
  </si>
  <si>
    <t>upatel@cppinvestments.com</t>
  </si>
  <si>
    <t>329854-06P</t>
  </si>
  <si>
    <t>Vasant Naik Ph.D</t>
  </si>
  <si>
    <t>Vasant</t>
  </si>
  <si>
    <t>Dr. Vasant Naik serves as Managing Director &amp; Head of the Systematic Strategies Group at CPP Investments. Dr. Naik is the Head of the Systematic Strategies Group (SSG) within the Capital Markets and Factor Investing (CMF) Department. His team develops and manages systematic investment strategies across global markets, spanning equities, fixed income, currencies, commodities, and volatility. The team invests in absolute return strategies as well as long-only strategies, designed to provide a diversifying return stream to the total fund. Prior to joining CPP Investments in 2019, Dr. Naik was the global head of asset allocation and empirical research in the Analytics and Quantitative Research Group at PIMCO, where he led a team responsible for quantitative research to provide asset allocation and portfolio construction advice to investment managers. This included developing systematic investment strategies for various risk factors and asset classes. Before that, Dr. Naik was a managing director at Nomura International and Lehman Brothers, where he led a team of quantitative strategists advising clients on systematic investing in fixed-income markets. Prior to joining the financial industry, Dr. Naik taught finance at the University of British Columbia, with work published in the Journal of Finance, Review of Financial Studies, and Journal of Financial and Quantitative Analysis. Dr. Naik holds a postgraduate diploma in management from the Indian Institute of Management, Bangalore, and a Ph.D. in Finance from the University of California, Berkeley.</t>
  </si>
  <si>
    <t>vasantn@cppinvestments.com</t>
  </si>
  <si>
    <t>Managing Director &amp; Head of Systematic Strategies Group</t>
  </si>
  <si>
    <t>194256-91P</t>
  </si>
  <si>
    <t>Yu Meng Ph.D</t>
  </si>
  <si>
    <t>Meng</t>
  </si>
  <si>
    <t>Dr. Yu Meng serves as Head of Investment Portfolio Management at CPP Investments. Dr. Yu Meng served as Chief Investment Officer at California Public Employees Retirement System. He oversaw an Investment Office of nearly 400 employees and manages investment portfolios of roughly $400 billion, including the Public Employees' Retirement Fund and affiliate funds. He returned to CalPERS after more than three years as the deputy CIO at the State Administration of Foreign Exchange (SAFE), the largest asset pool in the world with assets under management of over $3 trillion U.S. dollars. Prior to his time at SAFE, he served at CalPERS for seven years with his last role as the investment director of Asset Allocation. He also was a portfolio manager in fixed income. Before joining CalPERS in 2008, Yu worked at Barclays Global Investors as a senior portfolio manager, Lehman Brothers as a risk officer, and Morgan Stanley as a fixed-income trader. He also serves as a member of the Future of Finance Advisory Council (CFA Institute) and is an associate editor for the Journal of Investment Management. He holds a master's degree in financial engineering from the Haas School of Business at the University of California, Berkeley, and a doctorate in civil engineering from the University of California, Davis.</t>
  </si>
  <si>
    <t>bmeng@cppib.com</t>
  </si>
  <si>
    <t>Head of Investment Portfolio Management</t>
  </si>
  <si>
    <t>282613-15P</t>
  </si>
  <si>
    <t>Andrew Ziperski</t>
  </si>
  <si>
    <t>Ziperski</t>
  </si>
  <si>
    <t>Craft Ventures</t>
  </si>
  <si>
    <t>Mr. Andrew Ziperski serves as a Principal at Bedrock. He serves as a Principal at Craft Ventures. He served as Chief Operating Officer at Callin. He served as an Associate at Goldcrest Capital. Prior to joining Craft, he was the third employee and Chief Operating Officer at Callin, a podcast livestreaming startup that was acquired in 2023 after raising $20M from investors including Craft, Goldcrest Capital, and Sequoia Capital. At Callin, he helped build the company's content acquisition, marketing, customer success, recruiting, finance, legal, and operations functions. He began his career at Goldcrest Capital, where he focused on early-stage investments in B2B software and consumer internet startups. He graduated from Stanford University, where he was a member of The Stanford Review.</t>
  </si>
  <si>
    <t>+1 (415) 231-2853</t>
  </si>
  <si>
    <t>andrew@bedrockcap.com</t>
  </si>
  <si>
    <t>1900 Avenue of the Stars</t>
  </si>
  <si>
    <t>Bedrock (Financial Services)</t>
  </si>
  <si>
    <t>197221-87P</t>
  </si>
  <si>
    <t>Brian Murray</t>
  </si>
  <si>
    <t>Mr. Brian Murray serves as Partner &amp; Chief Operating Officer at Craft Ventures. Mr. Brian Murray serves as Board Member at Spekit. Mr. Brian Murray is a Co-Founder &amp; serves as Chief Executive Officer at Cabal. Mr. Brian Murray serves as Board Member at BitGo. He serves as Board Member at SecurityPal. He serves as a Board Member at TrustLayer, Klue, and Sourcegraph. He leads Craft's investment team. He serves as a Board Member at Arovy. Before joining Craft, he was an executive at Zenefits, leading the company's large, cross-functional initiatives. Previously, he was VP of Customer Experience at Cotap, leading sales, marketing, and post-sales efforts. He was an early employee at Yammer and a leader on the product team. He began his career as a management consultant at Deloitte. He serves as the Board Member at Lightning Labs.</t>
  </si>
  <si>
    <t>brian@craftventures.com</t>
  </si>
  <si>
    <t>855 Front Street</t>
  </si>
  <si>
    <t>197223-94P</t>
  </si>
  <si>
    <t>Bryan Rosenblatt</t>
  </si>
  <si>
    <t>Rosenblatt</t>
  </si>
  <si>
    <t>Mr. Bryan Rosenblatt serves as a Partner at Craft Ventures. He serves as a Board Member at Superplastic, Soundstripe, ConverseNow, and Orum. He served as a Board Member at Minerva. Prior to joining Craft, he built Reddit's New York brand partnership team, cultivating partnerships with brands like Coca-Cola, Google, P&amp;G, and HBO. he was an early member of Twitter's New York team where he worked with emerging brands like Casper, Harry's, Jet.com, and Blue Apron on their acquisition marketing efforts. He has been an active investor both personally and via Riverside Ventures, which he founded in 2017. His investments include Bonobo's, Slack, Citizen, Lambda School, CryptoKitties, and Inkbox. He is a mentor for Backstage Capital, helping advance underrepresented founders and entrepreneurs.</t>
  </si>
  <si>
    <t>bryan@craftventures.com</t>
  </si>
  <si>
    <t>205609-96P</t>
  </si>
  <si>
    <t>Daniel Bernard</t>
  </si>
  <si>
    <t>Mr. Daniel Bernard serves as Chief Business Officer at CrowdStrike. Mr. Bernard served as Chief Marketing Officer at SentinelOne. He is responsible for SentinelOne's global marketing functions in addition to technology alliances and integrations globally.He serves as a Advisory Board at Craft Ventures. He was previously Director of Global Business Development at Cylance as well as held leadership roles at Dropbox, sourcing and running global partnerships. Prior to operational leadership roles in technology companies, He started his career in investment banking, covering technology sector IPO and M&amp;A transactions, based in Hong Kong and San Francisco.</t>
  </si>
  <si>
    <t>+1 (888) 512-8906</t>
  </si>
  <si>
    <t>danielb@sentinelone.com</t>
  </si>
  <si>
    <t>150 Mathilda Place</t>
  </si>
  <si>
    <t>Chief Marketing Officer, Marketing</t>
  </si>
  <si>
    <t>SentinelOne (Former)</t>
  </si>
  <si>
    <t>36350-92P</t>
  </si>
  <si>
    <t>David Sacks JD</t>
  </si>
  <si>
    <t>Sacks</t>
  </si>
  <si>
    <t>Mr. David Sacks is a Co-Founder and serves as a General Partner at Craft Ventures. Mr. Sacks serves as a Board Member at Knock (Business/Productivity Software). Previously, he served as Chairman at Harbor Platform. He serves as an Investor at the Trust Fund. He founded Sacks Ventures. He served as a Board Member at Datasembly and Cabana. He served as a Board Member at Cabana. He served as a Board Member at BitGo and Knock. He serves as an Advisor at Trynow. He co-founded Riverside Ventures. He serves as a Board Member at Vendr, MyHeritage, Clickup, Trellis, Sourcegraph, OpenPhone Technologies, Inc., Scratchpad, and Bird Rides. He serves as a Board Observer at SentiLink. He served as an Advisor at Radius Intelligence. He served as an Advisor at 0x and Kloudless. He has been a successful tech entrepreneur and investor for two decades. He founded and served as Chief Executive Officer at Yammer, which Microsoft acquired for $1.2 billion in 2012. Previously, he served as Chief Operating Officer and Product Leader at PayPal during the famed "PayPal Mafia" founding era. He also served as Interim Chief Executive Officer at Zenefits in 2016. He produced the award-winning independent film "Thank You for Smoking." AngelList's Naval Ravikant has called him "the world's best product strategist." He served as a Board Member at Scribd. He serves as a Board Member at Roboflow. He was a Co-Founder and served as Chief Executive Officer at Callin. He served as a Board Member at Hyperloop One. He holds a JD from the University of Chicago and a BA in Economics from Stanford University. He is a co-founder and chairman at Glue.</t>
  </si>
  <si>
    <t>david@craftventures.com</t>
  </si>
  <si>
    <t>197226-10P</t>
  </si>
  <si>
    <t>Elyse Davis</t>
  </si>
  <si>
    <t>Ms. Elyse Davis serves as VP of Finance &amp; Administration at Craft Ventures. She manages finance and administration at Craft and was one of the first team members. Prior to Craft, she established and lead the finance and accounting functions at Cotap, Yammer, and neuromarketing startup EmSense. She studied Economics and Computer Science at UC Davis and is a SF Peninsula native. Her high school internship at Sun Microsystems is what solidified her vision of a career in tech.</t>
  </si>
  <si>
    <t>elyse@craftventures.com</t>
  </si>
  <si>
    <t>VP of Finance &amp; Administration</t>
  </si>
  <si>
    <t>54444-70P</t>
  </si>
  <si>
    <t>Georg Ell</t>
  </si>
  <si>
    <t>Ell</t>
  </si>
  <si>
    <t>Mr. Georg Ell serves as Chief Executive Officer &amp; Board Member at Phrase. Mr. Ell serves as Chief Executive Officer at Memsource. He serves as a Venture Partner at Phoenix Court. He served as Chief Executive Officer &amp; Board Member at Smoothwall. He also serves as a Venture Partner at Craft Ventures. He also served as a Board Member at Safeguard Software. Previously, he served as Country Director in, UK &amp; Ireland at Tesla. He also served as the Vice President &amp; General Manager, of EMEA at FuzeBox, where he was responsible for establishing &amp; growing the business in the region, reporting to the CEO. Before Fuzebox, he was with Yammer as GM for EMEA, having originally joined as one of three that were "first on the ground" in Europe and subsequently growing the headcount to 85, establishing a permanent HQ in London before the acquisition by Microsoft. He is a frequent public speaker supporting both UK Government and private sector advocacy to promote London's Tech City. Before joining Yammer, he worked at Microsoft for 5 years, in Enterprise and Cloud sales roles.</t>
  </si>
  <si>
    <t>+44 (0)77 2067 0465</t>
  </si>
  <si>
    <t>georg.ell@phrase.com</t>
  </si>
  <si>
    <t>Guildford</t>
  </si>
  <si>
    <t>Guildford, United Kingdom</t>
  </si>
  <si>
    <t>Phrase</t>
  </si>
  <si>
    <t>39633-67P</t>
  </si>
  <si>
    <t>Jeff Fluhr</t>
  </si>
  <si>
    <t>Fluhr</t>
  </si>
  <si>
    <t>Mr. Jeff Fluhr is a Co-Founder &amp; serves as Partner at Craft Ventures. Mr. Fluhr serves as Board Member at Zendoor. He was a Co-Founder of Riverside Ventures. He also serves as a Board Member at Instawork, People Data Labs and Northspyre. Mr. Fluhr co-founded and served as the Chief Executive Officer, President and Director at Spreecast. He serves as Board Member at Sidekick. He serves as Board Member at Trusted. He served as Board Member at Returnly. He is a Co-Founder and General Partner at Craft Ventures. He served as Advisor at Great Oaks Venture Capital. He serves as an Advisor of Sports Composite DE Inc. He co-founded StubHub Inc. in March 2000 and served as its Chief Executive Officer until January 2007. He served as a Founding Professional in the private equity investing group of Thomas Weisel Partners. He serves as an Advisor at Great Oaks Venture Capital. He served as an Executive at AngelHub. He earned a dual degree in Engineering and Finance from the University of Pennsylvania and attended Stanford's Graduate School of Business.</t>
  </si>
  <si>
    <t>jfluhr@craftventures.com</t>
  </si>
  <si>
    <t>258121-45P</t>
  </si>
  <si>
    <t>Jennifer Sui</t>
  </si>
  <si>
    <t>Sui</t>
  </si>
  <si>
    <t>Ms. Jennifer Sui serves as Principal, Investment at Craft Ventures. Prior to Craft, she was an early employee at Brex across Operations and Strategic Finance, driving cross-functional strategic planning and helping scale the company's underwriting processes to serve thousands of customers. She was also involved with the launch of the company's eCommerce offering. Jenny started her career at Visa, where she worked in New York and San Francisco across IoT, digital products, and consumer credit. She holds a Bachelor of Arts in Economics and a minor in Statistics from the University of Pennsylvania. Jenny serves on the leadership team as the Head of Professional Development for Women in Fintech, a non-profit dedicated to increasing representation in the fintech industry.</t>
  </si>
  <si>
    <t>Principal, Investment</t>
  </si>
  <si>
    <t>129393-19P</t>
  </si>
  <si>
    <t>Jessica Hoffman</t>
  </si>
  <si>
    <t>Head &amp; Operating Partner</t>
  </si>
  <si>
    <t>Ms. Jessica Hoffman serves as Operating Partner and Head of Platform at Craft Ventures. Previously, she served as the Vice President of Communications at Zenefits. She oversaw public relations, social media, corporate communications, and content marketing. Before joining Zenefits, she was VP of Global Communications for SquareTrade. She was also the co-founder of JHS Partners. Before founding her own practice, she served as VP of Marketing at Ask.com, where she led communications for the company's international expansion and marketing for the enterprise software division. She graduated from New York University with a degree in music.</t>
  </si>
  <si>
    <t>jessica@craftventures.com</t>
  </si>
  <si>
    <t>Operating Partner &amp; Head of Platform</t>
  </si>
  <si>
    <t>447445-45P</t>
  </si>
  <si>
    <t>Katy Ficken</t>
  </si>
  <si>
    <t>Katy</t>
  </si>
  <si>
    <t>Ficken</t>
  </si>
  <si>
    <t>Controller &amp; Director</t>
  </si>
  <si>
    <t>Ms. Katy Ficken serves as Director of Finance &amp; Fund Controller at Craft Ventures. Prior to joining Craft full-time, she worked for Craft's back-office support team for six years. She began her career in the tax department of a public accounting firm, servicing high-net worth individuals and athletes in the Dallas-Fort Worth Metroplex. She graduated from Sam Houston State University with her Bachelor of Business Administration in Accounting and Master of Science in Accounting. She is also a Certified Public Accountant in the state of Texas.</t>
  </si>
  <si>
    <t>katy@craftventures.com</t>
  </si>
  <si>
    <t>Director of Finance &amp; Fund Controller</t>
  </si>
  <si>
    <t>142096-69P</t>
  </si>
  <si>
    <t>Kevin Gabura</t>
  </si>
  <si>
    <t>Gabura</t>
  </si>
  <si>
    <t>Mr. Kevin Gabura serves as Vice President at Craft Ventures. He served as Senior Associate at Carrick Capital Partners. He served as Associate at Klass Capital. His key responsibilities include sourcing deals, creating detailed financial models, performing in-depth industry research and monitoring portfolio companies. He earned his Honors Business Administration (HBA) degree from the Richard Ivey School of Business at the University of Western Ontario. Prior to joining Klass Capital, he completed a summer internship as a Private Equity Analyst at Spectrum Capital Partners, where he performed valuation analysis and due-diligence for potential investments.</t>
  </si>
  <si>
    <t>kevin@craftventures.com</t>
  </si>
  <si>
    <t>247731-67P</t>
  </si>
  <si>
    <t>Kindle Van</t>
  </si>
  <si>
    <t>Kindle</t>
  </si>
  <si>
    <t>Ms. Kindle Van serves as Vice President at Craft Ventures. She served as Investor at Accel. She joined Accel in 2020. Prior to Accel, she worked at Goldman Sachs in the technology, media, and telecommunications investment banking group. She graduated from the University of Southern California.</t>
  </si>
  <si>
    <t>kindle@craftventures.com</t>
  </si>
  <si>
    <t>197227-54P</t>
  </si>
  <si>
    <t>Lainy Singh</t>
  </si>
  <si>
    <t>Lainy</t>
  </si>
  <si>
    <t>Ms. Lainy Singh serves as Partner at Craft Ventures. She serves as Board Member at Vooma. She serves as Board Observer at Entera. Prior to Craft, she worked at Battery Ventures on the team responsible for investments in BounceX, Prodigy Software, and Wag!, among others. Previously, she worked at Gainsight, a B2B customer success startup where she helped lead business operations and strategy across the organization, including initiatives to grow services revenue and drive product adoption. She started her career at Goldman Sachs on the technology, media, and telecom investment banking team, advising companies including PayPal, LinkedIn, Zendesk, and 2U. She is an active member of All Raise, the non-profit dedicated to increasing representation in venture capital. She served as Program Lead for the 2018 Women Who Venture Summit.</t>
  </si>
  <si>
    <t>lainy@craftventures.com</t>
  </si>
  <si>
    <t>383563-99P</t>
  </si>
  <si>
    <t>Margarita Del Coto</t>
  </si>
  <si>
    <t>Margarita</t>
  </si>
  <si>
    <t>Del Coto</t>
  </si>
  <si>
    <t>Ms. Margarita Del Coto serves as Chief of Staff to Jeff Fluhr &amp; General Partner at Craft Ventures. Prior to joining Craft, she worked at WndrCo, LLC and NextWorld Evergreen in executive assistant positions. She has a bachelor's degree in psychology.</t>
  </si>
  <si>
    <t>margarita@craftventures.com</t>
  </si>
  <si>
    <t>Chief of Staff to Jeff Fluhr &amp; General Partner</t>
  </si>
  <si>
    <t>59880-43P</t>
  </si>
  <si>
    <t>Mark Woolway JD</t>
  </si>
  <si>
    <t>Woolway</t>
  </si>
  <si>
    <t>Mr. Mark Woolway serves as President at Craft Ventures. Previously He served as Chief Operating Officer at Intercom. Prior to this he served as the Executive Vice President of Corporate Affairs. He received his JD from the University of Chicago Law School, and his BA in economics from the University of California, Berkeley. Mark leads Craft's non-investment functions, including operations, finance, legal, fundraising, and LP relations. Prior to Craft, Mark served as CFO of Zenefits, COO of Intercom, and EVP of Yammer. Previously, Mark ran Peter Thiel's family office and served as Managing Director of Clarium Capital (now Thiel Capital). Mark started his career in tech as an early PayPal VP.</t>
  </si>
  <si>
    <t>mark@craftventures.com</t>
  </si>
  <si>
    <t>125323-57P</t>
  </si>
  <si>
    <t>Michael Robinson</t>
  </si>
  <si>
    <t>Mr. Michael Robinson serves as Partner and Head of Growth at Craft Ventures. He served as Board Member at Noname Security. He leads Craft's growth fund and is a partner on the investment team. Based in Toronto, he spent his career in investing and operating roles working with horizontal and vertical B2B SaaS companies. Prior to joining Craft, he was a lead investor at Georgian Partners where he led and managed growth equity investments in software businesses. He has joined several companies to help management teams accelerate growth and operation efficiently. He was the Interim VP of Finance at ClickUp, a project management software company in San Diego. He was also the Head of Operational Acceleration and Interim COO at Flashpoint, a dark web cyber security software company, and led a growth turnaround in collaboration with their executive team resulting in a successful exit to a private equity buyer. He has also been the interim CFO at two other SaaS companies. Prior to joining Georgian, he worked at True Wind Capital, a middle-market technology-focused buyout fund based in San Francisco. Earlier in his career, he worked at Goldman Sachs in the technology, media, and telecom investment banking group and at RBC Capital Markets in the M&amp;A Group. He received a Bachelor of Commerce from Queen's University in Ontario. He serves as Board Member at Horizon3.ai.</t>
  </si>
  <si>
    <t>+1 (416) 868-9696</t>
  </si>
  <si>
    <t>michael@craftventures.com</t>
  </si>
  <si>
    <t>Partner &amp; Head of Growth</t>
  </si>
  <si>
    <t>242967-70P</t>
  </si>
  <si>
    <t>Mike Marg</t>
  </si>
  <si>
    <t>Marg</t>
  </si>
  <si>
    <t>Mr. Mike Marg serves as a Partner, Investments at Craft Ventures. He serves as a Board Member at Salesroom. Prior to Craft, Mike was part of the go-to-market teams at Dropbox, Slack, and most recently at Clearbit, where he built the SDR function and served as Head of New Business Sales. Mike is passionate about building and designing web apps in his spare time, creating InterviewX in 2019 to help sellers interview for jobs more effectively. Mike began his career at Prudential Global Investment Management in real estate private equity, and graduated from the University of Pennsylvania in 2010</t>
  </si>
  <si>
    <t>mike@craftventures.com</t>
  </si>
  <si>
    <t>65342-98P</t>
  </si>
  <si>
    <t>Naveen Rao Ph.D</t>
  </si>
  <si>
    <t>Naveen</t>
  </si>
  <si>
    <t>Dr. Naveen Rao serves as Board Member and Advisor at Beacon Biosignals. He served as Board Member at Luminous Computing. He serves as Board Member at NeuReality. He served as Corporate Vice President &amp; General Manager of Artificial Intelligence Products Group at Intel. His team focuses on deep learning, a subset of machine learning and artificial intelligence, and works to develop the hardware and software ingredients needed to enable its scalable deployment. Intel uses deep learning to accelerate complex, data-intensive processes, such as image recognition and natural language processing, to improve the performance of Intel® Xeon® and Intel® Xeon Phi™ processors in various business segments, including autonomous driving and personalized medicine. Trained as both a computer architect and neuroscientist, Rao joined Intel in 2016 with the acquisition of Nervana Systems. He was a Co-Founder and served as the Chief Executive Officer, President &amp; Board Member at Nervana Systems. He is a Silicon Valley veteran having spent 12 years at a number of venture-backed startups, spanning the microprocessor, networking, wireless, and video compression spaces. Naveen started his career at Sun Microsystems working on UltraSparc processors. From there he went on to TeraGen, Caly Networks, Kealia, and W&amp;W Communications. Most recently, Naveen was part of Qualcomm's neuromorphic research group investigating artificial neural computation. Rao earned a bachelor's degree in electrical engineering and computer science from Duke University, then spent a decade as a computer architect before going on to earn a Ph.D. in computational neuroscience from Brown University. He has published multiple papers in the area of neural computation in biological systems. Rao has also been granted patents in video compression techniques, with additional patents pending in deep learning hardware and low-precision techniques and in neuromorphic computation. He co-founded and served as Chief Executive Officer, President and Board Member at Mosaic ML. He serves as Advisory Board at Craft Ventures.</t>
  </si>
  <si>
    <t>+1 (646) 794-4251</t>
  </si>
  <si>
    <t>41 East 11th Street</t>
  </si>
  <si>
    <t>11th Floor</t>
  </si>
  <si>
    <t>Corporate Vice President &amp; General Manager of Artificial Intelligence Products Group</t>
  </si>
  <si>
    <t>Intel (Former)</t>
  </si>
  <si>
    <t>86571-01P</t>
  </si>
  <si>
    <t>Nicholas Warner</t>
  </si>
  <si>
    <t>Mr. Nicholas Warner serves as an Advisor at SentinelOne. He also serves as Board Member at Horizon3.ai. He also serves as an Advisor at Auguria.He serves as a Advisory Board at Craft Ventures. He also serves as a Board Member at Cado Security and Lookout. Previously, Mr. Warner served as Chief Revenue Officer at SentinelOne. He is responsible for all global field operations for SentinelOne. He was previously the Senior Vice President of Worldwide Sales for Cylance where he developed the field strategy, built out the global sales team, and spearheaded the company's initial hyper-growth. Before Cylance, He held global sales leadership roles at McAfee, and enterprise sales leadership roles at Websense (later acquired by Forcepoint). Mr. Warner served as a Board Member at Halcyon. He has over two decades of experience in the cybersecurity industry. He's played pivotal roles in driving exponential growth and propelling companies to unprecedented success. Most notably, He served in multifaceted capacities at SentinelOne, where he held roles as Chief Revenue Officer, Chief Operating Officer, and President of Security.</t>
  </si>
  <si>
    <t>+1 (844) 371-5665</t>
  </si>
  <si>
    <t>nicholasw@sentinelone.com</t>
  </si>
  <si>
    <t>Suite 1910</t>
  </si>
  <si>
    <t>86373-19P</t>
  </si>
  <si>
    <t>Ryan Hrabak</t>
  </si>
  <si>
    <t>Hrabak</t>
  </si>
  <si>
    <t>Mr. Ryan Hrabak serves as Principal at Craft Ventures. He served as an Associate at Bain Capital Ventures. He joined Bain Capital Ventures in 2014 to focus on early and growth-stage healthcare and technology investments. Prior to joining Bain Capital, he worked at LinkedIn, where he assumed varied roles throughout the company's global sales and operations organizations. Partnering primarily with LinkedIn's enterprise software sales team, he was responsible for developing new business and building strategies to help its clients maximize the value of the LinkedIn platform. He received his BA from Dartmouth College in History and was the recipient of the Young P. Dawkins 1938 Scholarship. While at Dartmouth, he was a member of the Varsity Football team and served as the senior speaker for the Dartmouth Club of Chicago. He also managed content and operations for a successful digital music business and was an active member of his fraternity, Theta Delta Chi. An avid adventurer, he has lived in New York City, San Francisco, Barcelona, New Hampshire, and his hometown of Chicago, and plans to extend his travels further while living in New England. Away from work, he enjoys spending his time appreciating the outdoors, discovering new movies and music, and reading.</t>
  </si>
  <si>
    <t>ryan@craftventures.com</t>
  </si>
  <si>
    <t>266495-05P</t>
  </si>
  <si>
    <t>Sarah Blanchard</t>
  </si>
  <si>
    <t>Blanchard</t>
  </si>
  <si>
    <t>Ms. Sarah Blanchard serves as Operating Partner, Community &amp; Executive Briefing Center at Craft Ventures. She leads Craft's CIO Briefing Center, Advisor Network and Community initiatives. Previously, she was at Salesforce where she led the San Francisco team in the Salesforce Innovation Center (Executive Briefing Center). In this role, she connected Salesforce executives with Chief Information Officers (CIOs) at customer organizations. Prior to Salesforce, she was VP of Customer Engagement at Zenefits. Earlier in her career, she spent time in both the Management Consultant and Finance industries.</t>
  </si>
  <si>
    <t>sarah@craftventures.com</t>
  </si>
  <si>
    <t>Operating Partner, Community &amp; Executive Briefing Center</t>
  </si>
  <si>
    <t>326898-55P</t>
  </si>
  <si>
    <t>Sean Whitney</t>
  </si>
  <si>
    <t>Mr. Sean Whitney serves as Principal at Craft Ventures. Prior to Craft, he joined Figma as the second hire on the Finance &amp; Business Operations team. He earned a Bachelor of Science at Cornell University where he played on the men's hockey team and a Masters of Business Administration at Boston University.</t>
  </si>
  <si>
    <t>sean@craftventures.com</t>
  </si>
  <si>
    <t>15434-47P</t>
  </si>
  <si>
    <t>Sky Dayton</t>
  </si>
  <si>
    <t>Sky</t>
  </si>
  <si>
    <t>Dayton</t>
  </si>
  <si>
    <t>Mr. Sky Dayton is a Co-Founder &amp; serves as Board Member at CloudKitchens. Mr. Dayton serves as Partner at Dayton Family Enterprises. He is also an Angel Investor. He founded EarthLink. He is the Founder of Boingo Wireless. He is a Co-Founder of Neopets. He Co-Founded eCompanies. He co-founded and served as a Board Member at SummerBio. He serves as a Board Member and Advisor at Age of Learning. Immediately after high school, he spent two years managing the computer graphics departments of two advertising firms. In 1990, he co-founded CafÃ© Mocha in West Hollywood. In 1992, while continuing to manage it, he co-founded Dayton Walker Design. He has been a Director of ReplayTV, since April 1999 and is a Member of the Audit and Compensation Committees. He is also a member of the Board of Directors of companies and Business.com. In addition to that, he is on the Board of Business.com, the US Ski and Snowboard team Board of Trustees, and the Advisory Boards of NTT DoCoMo and the Center for Public Leadership at the John F. Kennedy School of Government at Harvard University. He graduated from the Delphian School in 1988 and decided to forgo college to pursue his interests in technology. He also served as the CEO and Non-Executive Chairman at Helio. He also served as a Board Member at Gobbler. He serves as Board Member at Xona Space Systems.</t>
  </si>
  <si>
    <t>+1 (646) 374-8091</t>
  </si>
  <si>
    <t>sky@cloudkitchens.com</t>
  </si>
  <si>
    <t>401 Broadway</t>
  </si>
  <si>
    <t>EarthLink (Former)</t>
  </si>
  <si>
    <t>428250-70P</t>
  </si>
  <si>
    <t>Taylor Durand</t>
  </si>
  <si>
    <t>Mr. Taylor Durand serves as Associate at Craft Ventures. Prior to joining Craft, He was an investor on Blackstones growth equity team.Before Blackstone, He worked at Goldman Sachs on the TMT investment banking team. He graduated from Queen's University in Ontario.</t>
  </si>
  <si>
    <t>taylor@craftventures.com</t>
  </si>
  <si>
    <t>50627-08P</t>
  </si>
  <si>
    <t>Thomas Reilly</t>
  </si>
  <si>
    <t>Mr. Thomas Reilly is a Co-founder and serves as Board Member at Ombud. He serves as a Advisory Board at Craft Ventures. He also serves as Board Member at Talkdesk. He served as Chief Executive Officer and Board Member at Cloudera. He serves as Advisor at ArmorCode. He has a distinguished 30-year career in the enterprise software market. Prior to Cloudera, his most recent role was as Vice President and General Manager of Enterprise Security at HP. Prior to HP, he served as CEO and President of enterprise security company ArcSight, which HP acquired in 2010. He led ArcSight through a successful initial public offering and subsequent sale to HP. Before ArcSight, he was Vice President of Business Information Services for IBM, following the acquisition of Trigo Technologies Inc., a master data management (MDM) software company, where he had served as CEO. He currently serves as a Board Member for Jive Software, ThreatStream Inc., and Cloudera. He graduated from the University of California, Berkeley with a Bachelor of Science Degree in Mechanical Engineering.</t>
  </si>
  <si>
    <t>thomas@ombud.com</t>
  </si>
  <si>
    <t>2 Saint Clair Avenue West</t>
  </si>
  <si>
    <t>Suite 1400</t>
  </si>
  <si>
    <t>M4V 1L5</t>
  </si>
  <si>
    <t>+1 (416) 868-1514</t>
  </si>
  <si>
    <t>Cloudera (Former)</t>
  </si>
  <si>
    <t>383557-42P</t>
  </si>
  <si>
    <t>Vanessa Yan</t>
  </si>
  <si>
    <t>Ms. Vanessa Yan serves as Entrepreneur-in-Residence at Craft Ventures. She started her career working in AI research and earned publications at top AI conferences like NeurIPS and ACL. She then worked as an AI engineer at Meta and an AI product manager at Apple, where she shipped products contributing to 8-figure ARR. Afterwards, she joined an AI Infrastructure startup OctoML as the first Product IC. At OctoML, she founded a serverless AI computing platform with best-in-class reliability, scalability, and price performance. She led the team in scaling the platform from 0 to 7-figure ARR within 6 months. Most recently, she served as Interim Head of Product and Advisor at OrcaDB, where she pivoted the company's product strategy from being a commodity vector DB solution to solving AI safety, leading to a successful Seed round. She holds a Bachelors's and Master's in Statistics as well as a Bachelor's in Computer Science within four years.</t>
  </si>
  <si>
    <t>180015-31P</t>
  </si>
  <si>
    <t>William Lee</t>
  </si>
  <si>
    <t>Founder &amp; Venture Partner</t>
  </si>
  <si>
    <t>Mr. William Lee is a Co-Founder and serves as Venture Partner at Craft Ventures. Mr. Lee serves as Board Member at BitGo. He serves as Board Member at Superplastic. He was a Co-Founder at Riverside Ventures. Mr. Lee is a Co-Founder and serves as Venture Partner at Craft Ventures. He serves as Board Member at BitGo and SuperPlastic. He has been a successful tech entrepreneur and investor for two decades. He was the founder/CEO of Remarq (acquired by Critical Path for $265 million in 2000), CEO/co-founder of the incubator of Self Aware Games (acquired by Bigfish in 2012), and on the Board of Bigfish until its acquisition by Churchill Downs for $885 million in 2014.</t>
  </si>
  <si>
    <t>blee@craftventures.com</t>
  </si>
  <si>
    <t>Co-Founder &amp; Venture Partner</t>
  </si>
  <si>
    <t>212793-49P</t>
  </si>
  <si>
    <t>Zachary Stein</t>
  </si>
  <si>
    <t>Mr. J Zachary Stein is a Co-Founder of Span (Commercial Services). Mr. Stein is an Angel Investor. He serves as Venture Partner at Craft Ventures. He serves as Board Member at Vanta. He served as Advisor at Lattice. He was the GM and VP at Zenefits where he built, launched, and scaled the payroll business before leading company-wide operations. He also co-founded and led Ceiba College Prep, a nonprofit public charter school that prepares historically disadvantaged students for college and life.</t>
  </si>
  <si>
    <t>+1 (630) 949-3250</t>
  </si>
  <si>
    <t>Span (Commercial Services)</t>
  </si>
  <si>
    <t>255401-92P</t>
  </si>
  <si>
    <t>Zao Chen</t>
  </si>
  <si>
    <t>Zao</t>
  </si>
  <si>
    <t>Executive &amp; Senior Associate</t>
  </si>
  <si>
    <t>Mr. Zao Chen serves as a Senior Associate &amp; Investor at Craft Ventures. He served as an Investor in Georgian. Before joining Craft, He was an Investor at Georgian where he focused on growth equity investments in B2B software, with a particular interest in the data and infrastructure space. He was involved in supporting several Georgian portfolio companies on finance &amp; operations, working closely with executive teams to lead financial forecasting, capital raise processes, and other strategic initiatives.
He began his career at Bank of America Merrill Lynch in the M&amp;A group. He graduated from the University of Waterloo with a Bachelor of Science in Biotechnology</t>
  </si>
  <si>
    <t>zao@craftventures.com</t>
  </si>
  <si>
    <t>Senior Associate &amp; Investor</t>
  </si>
  <si>
    <t>260798-32P</t>
  </si>
  <si>
    <t>Alexandra Lin</t>
  </si>
  <si>
    <t>CRCM Ventures</t>
  </si>
  <si>
    <t>Ms. Alexandra Lin serves as Partner at CRCM Ventures. She is responsible for business development and investor relations for CRCM. She has experience at Zen Macro as the Head of Business Development and at Deutsche Bank PWM as a Product Specialist. She also worked at Oliver Wyman as a Management Consultant, and at State Street Global Markets as a Research Analyst.</t>
  </si>
  <si>
    <t>+1 (415) 578-5700</t>
  </si>
  <si>
    <t>alexandra.lin@crcmventures.com</t>
  </si>
  <si>
    <t>475 Sansome Street</t>
  </si>
  <si>
    <t>Suite 730</t>
  </si>
  <si>
    <t>+1 (415) 477-1353</t>
  </si>
  <si>
    <t>47283-58P</t>
  </si>
  <si>
    <t>Anh Le</t>
  </si>
  <si>
    <t>Anh</t>
  </si>
  <si>
    <t>Ms. Anh Le serves as Partner at CRCM Ventures. Ms. Le is an Angel Investor. She became a Partner in 2019. She serves as Board Member at SunWink. She worked with CRCM from 2011 to 2015 in both hedge fund and venture fund. She returned in 2018 after serving as a Senior Manager of Product Marketing at Toast. She holds an MBA from Harvard Business School and a BA in Economics from Mount Holyoke College.</t>
  </si>
  <si>
    <t>ale@crcm.com</t>
  </si>
  <si>
    <t>144660-34P</t>
  </si>
  <si>
    <t>Bing Feng</t>
  </si>
  <si>
    <t>Bing</t>
  </si>
  <si>
    <t>Ms. Bing Feng serves as a Partner at CRCM Ventures. Ms. Feng is now also in charge of CRCM Hangzhou Incubator. Prior to CRCM, she worked as a Financial Analyst in MergerTech Advisors. She holds an MBA from California State University and an LLM from UC Davis. She holds LLB in International Law and Legal Studies from Shanghai University of International Business and Economics.</t>
  </si>
  <si>
    <t>85974-31P</t>
  </si>
  <si>
    <t>Chun Ding</t>
  </si>
  <si>
    <t>Mr. Chun Ding is the Founder and serves as Managing Partner &amp; General Partner at CRCM Ventures. In 2006, he started managing China-dedicated capital. Prior to founding CRCM, he worked at Farallon Capital Management since 1997. In July 2003, he became a Managing Member of Farallon Capital Management. Prior to business school, he worked as a financial analyst at Goldman Sachs. He graduated from Middlebury College in 1993 with a B.A. in Economics, where he was Valedictorian of his class, and he received his Masters of Business Administration from Harvard Business School in 1997 where he was elected a Baker Scholar.</t>
  </si>
  <si>
    <t>cding@crcmventures.com</t>
  </si>
  <si>
    <t>Founder, Managing Partner &amp; General Partner</t>
  </si>
  <si>
    <t>88628-41P</t>
  </si>
  <si>
    <t>Greg Arrese</t>
  </si>
  <si>
    <t>Arrese</t>
  </si>
  <si>
    <t>Mr. Greg Arrese is the Founder &amp; serves as Managing Member at Ride Ventures. Mr. Arrese serves as a Venture Partner at The Venture Collective. He also serves as Advisor at ChinaRock Capital Management. Since 2008, he has been an active, early-stage investor in the technology and consumer sectors and has invested in over 120 companies. Prior to founding Ride Ventures, he spent 18+ years as an equity investor in the hedge fund industry specializing in TMT, consumer, and IPOs. He graduated magna cum laude from Bucknell University in 1992 with a B.A. in Economics. He received his Master of Business Administration from Harvard Business School in 1997.</t>
  </si>
  <si>
    <t>+1 (212) 355-5600</t>
  </si>
  <si>
    <t>La Jolla</t>
  </si>
  <si>
    <t>La Jolla, CA</t>
  </si>
  <si>
    <t>92037</t>
  </si>
  <si>
    <t>Founder &amp; Managing Member</t>
  </si>
  <si>
    <t>Ride Ventures</t>
  </si>
  <si>
    <t>200515-06P</t>
  </si>
  <si>
    <t>Jessica Ngo</t>
  </si>
  <si>
    <t>Ms. Jessica Ngo serves as Chief Financial Officer at CRCM Ventures. Ms. Ngo has over 10 years of extensive operations experience in handling U.S. and Asia Pacific markets. Prior to joining CRCM, she worked at Primarius Capital from 2005 to 2009 where she was responsible for the firm's operations and compliance. She graduated from the University of California, Berkeley, with a B.A. in Economics in 2005.</t>
  </si>
  <si>
    <t>+1 (510) 415-9212</t>
  </si>
  <si>
    <t>200515-33P</t>
  </si>
  <si>
    <t>Kelvin Koo</t>
  </si>
  <si>
    <t>Mr. Kelvin Koo serves as Chief Operating Officer at CRCM Ventures. Mr. Koo joined CRCM in 2009. He has over 20 years of extensive operations experience in handling Asia Pacific markets. Prior to joining CRCM, Kelvin was the Head of Operations at Blackstone A.M.N. Advisors from 2008. Prior to joining Blackstone, Kelvin worked in different roles from head of trade support and project manager in Operations, and lately Head of Client Services in Prime Brokerage at UBS AG in Hong Kong from 1994 until 2008. Kelvin graduated from the University of Hong Kong with a BS in Science.</t>
  </si>
  <si>
    <t>kelvin.koo@crcm.com</t>
  </si>
  <si>
    <t>240794-38P</t>
  </si>
  <si>
    <t>Samuel White MD</t>
  </si>
  <si>
    <t>Dr. Samuel White serves as Senior Vice President &amp; Climate and Healthcare Lead at CRCM Ventures. He has previous experience at Estabrook and Rocky Mountain Institute. He has been published over 20 times in peer-reviewed journals and was selected to be a reviewer for the Global Spine Journal. He holds an M.D. with the Dean Charney Resilience Award from Mount Sinai Medical School and a Bachelor's Degree in Urban and Environmental Planning with Honors from the University of Virginia.</t>
  </si>
  <si>
    <t>swhite@crcm.com</t>
  </si>
  <si>
    <t>Senior Vice President &amp; Climate and Healthcare Lead</t>
  </si>
  <si>
    <t>47287-00P</t>
  </si>
  <si>
    <t>Yihan Liu</t>
  </si>
  <si>
    <t>Yihan</t>
  </si>
  <si>
    <t>Ms. Yihan Liu serves as Director at CRCM Ventures. Previously she served as an Analyst at Goldman Sachs.</t>
  </si>
  <si>
    <t>yliu@crcm.com</t>
  </si>
  <si>
    <t>211430-26P</t>
  </si>
  <si>
    <t>Yuhan Shao</t>
  </si>
  <si>
    <t>Yuhan</t>
  </si>
  <si>
    <t>Ms. Yuhan Shao serves as Associate at CRCM Ventures. Ms. Shao joined CRCM in 2018. She has previous experience at KIG Capital Advisors and Cybernaut China. She holds a Master in Applied Quantitative Research from NYU and a BS in Applied Mathematics and Psychology from the University of Wisconsin-Madison.</t>
  </si>
  <si>
    <t>yuhan.shao@crcm.com</t>
  </si>
  <si>
    <t>82748-71P</t>
  </si>
  <si>
    <t>Ajay Agrawal Ph.D</t>
  </si>
  <si>
    <t>Creative Destruction Lab</t>
  </si>
  <si>
    <t>Dr. Ajay Agrawal is a Founder of Creative Destruction Lab. He serves as Board Member at PureWeb. He serves as Board Member at Genpact. He served as a Board member at Chisel AI. He is the Peter Munk Professor of Entrepreneurship at the University of Toronto's Rotman School of Management, a Research Associate at the National Bureau of Economic Research in Cambridge, MA, Co-Founder of The Next 36 and Founder of the Creative Destruction Lab. He served as an Advisor at Kiwi Wearable Technologies. He teaches courses on business strategy, innovation and entrepreneurship. He has been recognized as "Professor of the Year" by the graduating MBA class seven times. Professor Agrawal conducts research on the economics of innovation and creativity. He has presented this work at a variety of institutions including Harvard, MIT, Stanford, London Business School, Wharton, London School of Economics, Carnegie Mellon, Berkeley, The Brookings Institution, the National Press Club in Washington, the World Intellectual Property Organization in Geneva, Industry Canada and the Federal Reserve Bank, among others. Professor Agrawal advises firms and governments in fields related to innovation and strategy and has testified as an expert witness on related topics. He is also a Board Member of Chisel.</t>
  </si>
  <si>
    <t>ajay@creativedestructionlab.com</t>
  </si>
  <si>
    <t>Rotman School of Management, University of Toronto</t>
  </si>
  <si>
    <t>105 Saint George Street, Room 0252</t>
  </si>
  <si>
    <t>M5S 3E6</t>
  </si>
  <si>
    <t>145414-27P</t>
  </si>
  <si>
    <t>Alison Sunstrum</t>
  </si>
  <si>
    <t>Sunstrum</t>
  </si>
  <si>
    <t>Ms. Alison Sunstrum serves as Venture Partner, Agriculture at Builders VC. She is a Founding Partner, CDL-Rockies &amp; serves as a Mentor at Creative Destruction Lab. Ms. Sunstrum is Founder/CEO of CNSRV-X (Conserve X) a Canadian company researching and applying blockchain technology in agriculture. Formerly alongside fellow Co-CEO/Founder of GrowSafe Systems Ltd. Camiel Huisma they developed an advanced data analytics machine learning platform that acquired data from individual animals and their environment. They grew their tech skunkworks from an Alberta garage to global operations; leading a team of engineers, computer, and animal specialists that received International recognition for science-based innovation. Prior to this, she led the development of one of Canada's first electronic data interchange projects with a Canadian railroad. A recipient of the Beef Improvement Federation's distinguished service award she is a member of Canada's National Agri-Food Economic Strategy Table and holds a visiting appointment to West Virginia University Davis College of Agriculture, Natural Resources, and Design. A passionate advocate for advancing women in STEM and Agriculture, she holds patents for innovative technology and has presented widely on Big Data, the Internet of Livestock Things, and commercializing early-stage technology ventures.</t>
  </si>
  <si>
    <t>+1 (403) 912-1879 x224</t>
  </si>
  <si>
    <t>alison.sunstrum@cnsrvx.com</t>
  </si>
  <si>
    <t>+1 (403) 398-1327</t>
  </si>
  <si>
    <t>71048-44P</t>
  </si>
  <si>
    <t>Anthony Lacavera</t>
  </si>
  <si>
    <t>Lacavera</t>
  </si>
  <si>
    <t>Mr. Anthony Lacavera is the Founder &amp; serves as Chairman at Globalive Capital. He serves as a Limited Partner at Diagram Ventures. He is a Founding Partner, CDL-Toronto &amp; serves as a Mentor at Creative Destruction Lab. He also serves as a Board Member at Socati and HyperBlock Technologies. He also serves as Co-Founder and Vice Chairman at Gibraltar Ventures (Toronto). He also serves as the Board Member at CRG. He serves as the CEO at Globalive XMG. He serves as a Board Member at The Next 36. He also serves as a Venture Advisor at Relay Ventures. He is the Chairman and CEO of the Globalive Group and Wind Mobile and is a Canadian-born telecom entrepreneur. He served as a Board Member at Trilogy International Partners. He founded Globalive in 1998 and co-founded Wind Mobile in 2008. The Globalive Group has founded, seeded, financed, operated, and divested various assets in the Internet, Communications, and Technology sectors. He was named CEO of the Year in Canada for 2010 by the Globe and Mail's Report on Business Magazine and was named one of Canada's Top 40 Under 40 in 2006. He is a founding member of the Art Gallery of Ontario's Galleria Italia. He is an active supporter of the University of Toronto as well as the University of Toronto's Engineering School where he graduated with a degree in Computer Engineering in 1997. He supports entrepreneurship in Canada through programs such as the Next 36, mentors and finances young entrepreneurs, and speaks regularly to university and college-level business students about entrepreneurship. He also serves as the Chief Executive Officer at OneConnect Services and is Chairman of the same. He also serves as a Board Member at Founders Advantage Capital. He serves as a Board Member at Flexiti. He Founded &amp; served as Chairman at Globalive Technology. He also founded and was CEO of WIND Mobile, which he sold for USD$1.3 billion after it grew to become Canada's fourth-largest wireless carrier. A serial entrepreneur, he started his first business out of university with a small business loan from the Royal Bank of Canada. He is also the founder of Globalive Technology, a software company focused on commercializing blockchain and artificial intelligence technologies where he serves as Chairman and CEO.</t>
  </si>
  <si>
    <t>+1 (416) 204-0000</t>
  </si>
  <si>
    <t>anthonylacavera@globalive.com</t>
  </si>
  <si>
    <t>48 Yonge Street</t>
  </si>
  <si>
    <t>M5E 1G6</t>
  </si>
  <si>
    <t>Globalive Capital</t>
  </si>
  <si>
    <t>66775-51P</t>
  </si>
  <si>
    <t>Ashley Fontana JD</t>
  </si>
  <si>
    <t>Fontana</t>
  </si>
  <si>
    <t>Mr. Ashley Fontana serves as Associate at Creative Destruction Lab. He serves as an Advisory Board Member at Angel Capital Management. He served as a Special Advisor at Zetta Venture Partners. He served as a Board Member at Galley. He served as a Strategic Advisor at QphoX. He serves as an Advisor at QuantPi and Shakudo. He served as a Board Member at Tractable, Invenia, Focal Systems, and Test.ai. Before Zetta, he launched AngelList's fundraising platform which now manages over $7B. Prior to AngelList, he co-founded Topguest (acquired), a loyalty software platform that counted United Airlines, Hilton Worldwide, and Virgin America as clients. He started his career in growth investing at Macquarie Capital in New York after studying law at the University of Sydney. He served as a Board Observer &amp; Advisor at CrateDB.</t>
  </si>
  <si>
    <t>112857-76P</t>
  </si>
  <si>
    <t>Avi Goldfarb Ph.D</t>
  </si>
  <si>
    <t>Dr. Avi Goldfarb serves as Site Lead, CDL-Toronto &amp; Chief Data Scientist at Creative Destruction Lab. Dr. Goldfarb serves as an Advisor at EnvisionX Capital. He is a Professor of Marketing at the Rotman School of Management, University of Toronto. He received his Ph.D. in economics from Northwestern University. He teaches courses on data, statistics, and digitization. His research, funded by Google, WPP, Industry Canada, Bell Canada, AIMIA, SSHRC, and others, focuses on understanding the opportunities and challenges of the digital economy. Professor Goldfarb is a Research Associate at the National Bureau of Economic Research.</t>
  </si>
  <si>
    <t>+1 (416) 946-8604</t>
  </si>
  <si>
    <t>avi.goldfarb@creativedestructionlab.com</t>
  </si>
  <si>
    <t>40012-48P</t>
  </si>
  <si>
    <t>Daniel Debow JD</t>
  </si>
  <si>
    <t>Debow</t>
  </si>
  <si>
    <t>Mr. Daniel Debow is a Founding Partner, CDL-Toronto of Creative Destruction Lab. He was a Co-Founder and served as Chief Executive Officer at Helpful. He also serves as Director at Loblaw Companies. He served as an Advisor at Ripple Ventures. He also served as an Advisor at OMERS Ventures. He served as Senior Vice President, Emerging Technologies at Salesforce.com. He co-founded and served as the Co-Chief Executive Officer at 2Catalyze. He is a regular contributor to Fortune.com and the Huffington Post and has been widely quoted in the Financial Times, the Economist, and Bloomberg Businessweek. He holds a JD/MBA in Corporate Finance from the University of Toronto and an LLM in Law, Science, and Technology from Stanford Law School.</t>
  </si>
  <si>
    <t>+1 (416) 421-8440</t>
  </si>
  <si>
    <t>daniel.debow@loblaw.ca</t>
  </si>
  <si>
    <t>Founding Partner, CDL-Toronto</t>
  </si>
  <si>
    <t>137234-26P</t>
  </si>
  <si>
    <t>Darell Kopke</t>
  </si>
  <si>
    <t>Darell</t>
  </si>
  <si>
    <t>Kopke</t>
  </si>
  <si>
    <t>Mr. Darell Kopke serves as Chairman &amp; Chief Marketing Officer at Movmint. Mr. Kopke is considered one of the founding members of Lululemon Athletica (NASDAQ: LULU), where, as the original General Manager, he helped shape the global athleisure movement, scaling the company from a single store to over 60 locations and growing annual revenues from $1 million to over $200 million. He currently serves as Co-Founder and Chairman at Aedelhard, and Director at Peekaboo Beans. He is also the Site Lead of CDL-Vancouver at the Creative Destruction Lab and serves as Faculty at UBC's Sauder School of Business, supporting deep-tech startups addressing climate and sustainability challenges. Darrell holds a Bachelor of Commerce degree in Marketing from Concordia University and was President of his MBA class at the University of British Columbia.</t>
  </si>
  <si>
    <t>+1 (604) 225-1264</t>
  </si>
  <si>
    <t>darrell.kopke@movmint.io</t>
  </si>
  <si>
    <t>339 Railway Street, Unit Number 150</t>
  </si>
  <si>
    <t>V6A 1A4</t>
  </si>
  <si>
    <t>Chairman &amp; Chief Marketing Officer</t>
  </si>
  <si>
    <t>Movmint</t>
  </si>
  <si>
    <t>71936-38P</t>
  </si>
  <si>
    <t>David Dufresne</t>
  </si>
  <si>
    <t>Dufresne</t>
  </si>
  <si>
    <t>Mr. David Dufresne is a Co-Founder and serves as General Partner at CMD Capital. He serves as a Partner at 500 Startups Canada. He serves as Advisor at Public Ventures. He served as an Executive at Desjardins Capital. He served as Venture Partner at Panache Ventures. He serves as Partner at 500 Startups Canada. He is also an angel investor. He served as Board Observer at MedStack and Livescale. He started his career in the Canadian VC industry in the early 2000s, then acted as CEO of music tech company Bandzoogle for 5 years. He recently worked with the music platform Bandcamp, before returning to VC and joining the 500 global families. He earned a BAA degree in Finance and an MS degree in Business Management from Université du Québec à Trois-Rivières.</t>
  </si>
  <si>
    <t>david@cmdcapital.com</t>
  </si>
  <si>
    <t>CMD Capital</t>
  </si>
  <si>
    <t>14216-14P</t>
  </si>
  <si>
    <t>Dennis Bennie</t>
  </si>
  <si>
    <t>Bennie</t>
  </si>
  <si>
    <t>Mr. Dennis Bennie is the Founder of XDL Capital Group and serves as its Principal. He is a Founding Partner, CDL-Toronto of Creative Destruction Lab. He is a Co-Founder and serves as the Chairman at Adira Energy. He is a Co-Founder and serves as the Chairman at Newtopia. He served as an Advisor at Quandl. He serves as Advisor at Vouchr. He serves as the Board Member at Appinions. He also serves as a board member at WestonExpressions and Mill Street Brewery. He earlier served as Chief Executive Officer and Chairman at Delrina. He also co-founded the company. He has had over 33 years of experience in start-ups, rapid growth, and turnaround opportunities. He has built companies from scratch to over a billion dollars in market capitalization with IPOs on both the TSX and NASDAQ. He qualified as a chartered accountant in 1975. He entered the world of technology in 1979 when he co-founded Mission Electronics, which is still today a dominant force in the high-end home entertainment market. In 1982 he sold his interest in Mission and founded Aviva Software, an independent, mass-market software developer. Under his direction, the company expanded its scope to include software distribution and merged with Ingram Micro Inc. in 1986 to become Canada's largest software distributor. He is a Co-founder of Delano Technology. From the University of the Witwatersrand he earned a degree in Finance and from the University of Toronto, he earned another degree. He served as a Board Member at Aion.</t>
  </si>
  <si>
    <t>+1 (416) 361-2219</t>
  </si>
  <si>
    <t>dennis@xdl.com</t>
  </si>
  <si>
    <t>120 Adelaide Street West</t>
  </si>
  <si>
    <t>Suite 1204</t>
  </si>
  <si>
    <t>M5H 1T1</t>
  </si>
  <si>
    <t>+1 (416) 361-6455</t>
  </si>
  <si>
    <t>XDL Capital Group</t>
  </si>
  <si>
    <t>59680-90P</t>
  </si>
  <si>
    <t>Dennis Kavelman</t>
  </si>
  <si>
    <t>Kavelman</t>
  </si>
  <si>
    <t>Mr. Dennis Kavelman serves as a Partner at Inovia Capital. He is a Founding Partner, CDL-Toronto at Creative Destruction Lab. He serves as a Board Member at Guesty. He joined Inovia Capital in 2018 to launch the Growth Fund I with Chris and Patrick and lead the Firm's value creation strategy. Leveraging both the venture team's insights and the growth team's know-how, he has been invaluable in overseeing deal-flow management and crystalizing the investment team's processes with the ultimate objective of maximizing impact and value to entrepreneurs. Thanks to his operational background, he is well-recognized within the Canadian tech ecosystem to provide unique perspectives on how to manage operational hurdles and growing pains. His mentoring and 24/7 access have been instrumental to CEO Adrian Schauer, VP of Strategy Neil Grunberg, and VP of Sales Brady Murphy at AlayaCare to transform the company from an $8M to $28M ARR business in less than 18 months. Before joining Inovia, he was an experienced technology executive and investor. After beginning his career at KPMG, he joined RIM as a startup in 1995 and, in his roles as CFO and COO, helped RIM create the global smartphone industry as it grew to over 14,000 employees by the time of his departure in 2010. During his tenure at RIM, he managed the scaling of a global software, hardware, and services business while overseeing all financing activities including the IPO and over $1.8B in equity raises. Following RIM, he became a prolific angel investor and also joined D2L, a global education platform company, as its COO. He currently sits on the boards of Alayacare, Symend, WorkJam, and Vidyard.</t>
  </si>
  <si>
    <t>+1 (514) 982-2251</t>
  </si>
  <si>
    <t>dennis@inovia.vc</t>
  </si>
  <si>
    <t>130 Bloor Street West</t>
  </si>
  <si>
    <t>Suite 707</t>
  </si>
  <si>
    <t>M5S 1N5</t>
  </si>
  <si>
    <t>Inovia Capital</t>
  </si>
  <si>
    <t>112852-27P</t>
  </si>
  <si>
    <t>Fred Dawkins</t>
  </si>
  <si>
    <t>Dawkins</t>
  </si>
  <si>
    <t>Mr. Fred Dawkins is a Founding Partner, CDL-Toronto at Creative Destruction Lab. He is an entrepreneur with start-up experience in diverse sectors including manufacturing, retail, land development, small business consulting, and import/export. He is best known as co-founder of the old Hide House in Acton Ontario for which "it's worth the drive" but his first love was building a world-class manufacturing company in the leather industry which he and his partner sold in 1990. Currently, he is writing a series on entrepreneurship entitled The Entrepreneurial Edge, the first book of which Everyday Entrepreneur came out in the fall of 2013. He holds an MA degree in Economics as well as a Bachelor of Commerce degree (W.E. Rundle Gold Medal, both from the University of Toronto.</t>
  </si>
  <si>
    <t>408589-93P</t>
  </si>
  <si>
    <t>Fritz Merizon</t>
  </si>
  <si>
    <t>Fritz</t>
  </si>
  <si>
    <t>Merizon</t>
  </si>
  <si>
    <t>Mr. Fritz Merizon serves as Venture Manager at Creative Destruction Lab.</t>
  </si>
  <si>
    <t>fritz.merizon@creativedestructionlab.com</t>
  </si>
  <si>
    <t>14005-54P</t>
  </si>
  <si>
    <t>George Savage MD</t>
  </si>
  <si>
    <t>Savage</t>
  </si>
  <si>
    <t>Dr. George Savage is a Co-Founder and serves as Chief Executive Officer at Fulcrum Neuroscience. Dr. Savage serves as Advisor at Origin Medical. He also serves as Advisor at CalmWave. He co-founded &amp; served as Chief Medical Officer of Proteus Digital Health, and formerly the company's vice president of research and development. Dr. Savage was a Co-Founder and served as Managing Director at Spring Ridge Ventures. Dr. Savage has started ten companies since 1989 as an entrepreneur or founding investor, including FemRx (acquired by Johnson and Johnson), CardioRhythm (acquired by Medtronic) and QRx Pharmaceuticals (ASX IPO). Dr. Savage holds a B.S. in biomedical engineering from Boston University, where he graduated magna cum laude and Tau Beta Pi, an M.D. from Tufts University School of Medicine and an M.B.A. from Stanford University Graduate School of Business. Dr. Savage serves on the boards of Menlo Healthcare Ministry, the Pacific Research Institute and Silent Cal Productions.</t>
  </si>
  <si>
    <t>gsavage@fulcrumneuro.com</t>
  </si>
  <si>
    <t>Fulcrum Neuroscience</t>
  </si>
  <si>
    <t>112859-29P</t>
  </si>
  <si>
    <t>Igor Jurisica Ph.D</t>
  </si>
  <si>
    <t>Jurisica</t>
  </si>
  <si>
    <t>Dr. Igor Jurisica serves as a Mentor at Creative Destruction Lab. He is a Tier I Canada Research Chair in Integrative Cancer Informatics, a Senior Scientist at Princess Margaret Cancer Centre, a Professor at the University of Toronto, and a Visiting Scientist at IBM CAS. He is also an Adjunct Professor at the School of Computing, Pathology, and Molecular Medicine at Queen's University, in Computer Science at York University, and an Honorary Professor at Shanghai Jiaotong University. His research focuses on integrative computational biology and the representation, analysis, and visualization of high-dimensional data to identify prognostic and predictive signatures, drug mechanism of action, and in-silico repurposing of drugs. His interests include predicting and analyzing protein interaction networks, modeling signaling cascades, and high-throughput protein crystallography.</t>
  </si>
  <si>
    <t>165462-85P</t>
  </si>
  <si>
    <t>Jeffrey Larsen JD</t>
  </si>
  <si>
    <t>Mr. Jeffrey Larsen serves as Site Lead, CDL Atlantic at Creative Destruction Lab. He has entrepreneurial and management experience with new businesses in the energy sector, including as a co-founder of Seaforth Energy, Watts Wind, and Katalyst Wind. He has been on the board of directors of private and TSX-listed public companies and remains active in his community through volunteer efforts. Jeff has practiced law at McInnes Cooper in Halifax and in Toronto with Fasken Martineau and CIBC. He has also held senior positions in the investment sector as Vice-President and General Counsel of Halifax-based Clarke Inc. and as Executive Director of Business Management and Chief Compliance Officer with CIBC Asset Management Inc. in Toronto. Jeff has served in executive director roles at the Province of Nova Scotia, most recently in the Office of Planning and Priorities and before that in the Investment and Trade division of Economic Development. His work at the Province also included acting as the CEO of both ReNova Scotia Bioenergy Inc. and the Strategic Opportunities Fund Inc. and as a director of DSME Trenton Inc. His work at the Province has focused on innovation, startups, entrepreneurship, education, foreign direct investment, trade, and knowledge- and technology-based industries. He holds a Bachelor of Arts from McMaster University, a Juris Doctor from the University of Toronto, a Master of Laws from Osgoode Hall Law School, York University, and an MBA from Imperial College, University of London. Jeff has taught commercial law at Saint Mary's University and was previously the Assistant Director and Guest Lecturer in the Osgoode Hall Law School Master of Laws (Securities Law Program).</t>
  </si>
  <si>
    <t>jeff@creativedestructionlab.com</t>
  </si>
  <si>
    <t>Halifax</t>
  </si>
  <si>
    <t>Halifax, Canada</t>
  </si>
  <si>
    <t>Faculty of Management, Dalhousie University</t>
  </si>
  <si>
    <t>6100 University Avenue, Room 2060</t>
  </si>
  <si>
    <t>Nova Scotia</t>
  </si>
  <si>
    <t>B3H 4R2</t>
  </si>
  <si>
    <t>Site Lead, CDL Atlantic</t>
  </si>
  <si>
    <t>43880-68P</t>
  </si>
  <si>
    <t>John Francis</t>
  </si>
  <si>
    <t>Mr. John Francis is a Founding Partner, CDL-Toronto at Creative Destruction Lab. He serves as Chairman of cidrep sickkids foundation. He serves as an Advisory Board Member at Altas Partners and NoNO. He serves as a Board Member at OTI. He is the Managing Director of Fraser Kearney Capital Corp., the investment company that oversees the Francis family office. Prior to forming Fraser Kearney, he was President and CEO of Trader Media Corporation, a market leader in classified advertising publications and websites for vehicles, rental accommodation, new homes and condominiums, resale homes, and general classifieds. Trader Media was a private family business that he led from 1991 to 2006 when it was acquired by Yellow Media Inc. (formerly Yellow Pages Income Fund) for $436 million. Prior to Trader Media, he worked as an Associate in mergers, and Acquisitions with Castle &amp; Cooke Inc., a public company controlled by David Murdock of Los Angeles, and as an analyst in the Mergers and Acquisitions department at Goldman Sachs in New York from 1986 to 1988. He was educated at the University of Western Ontario (Honours Business Administration, with Distinction). He served on the advisory board of Summerhill Venture Partners, formerly BCE Capital, the venture capital arm of BCE Inc., and serves on the board of portfolio company ScribbleLive, Inc. He continues his association with YPO (Young Presidents Organization) which began in 2002.</t>
  </si>
  <si>
    <t>jf@creativedestructionlab.com</t>
  </si>
  <si>
    <t>112851-19P</t>
  </si>
  <si>
    <t>John Harris</t>
  </si>
  <si>
    <t>Mr. John Harris is a Founding Partner, CDL-Global &amp; serves as a Mentor at Creative Destruction Lab. He has been Chairman Emeritus of Harris Steel Limited since July 2010. Prior to that, he was the Chairman and Chief Executive Officer at Harris Steel Limited and Harris Steel Group Inc.. He oversaw the acquisition of Harris Steel by Nucor Corp. for $1.25 billion. He was the President at Harris Steel Limited and Chief Operating Officer at Harris Steel Group Inc. and Harris Steel Limited, the President of the reinforcing products division at the firm, and served as the President at Harris Steel Group and Harris Rebar. He also served as an Executive Vice-President at Harris Steel Limited as well as served at Harris Steel Inc. since 1974. He has been Director of Harris Steel Group Inc. since 1989 and Director of First National Financial since 2006. He has a Bachelor of Arts Degree from Trent University and a Master of Business Administration Degree from the University of Toronto.</t>
  </si>
  <si>
    <t>Founding Partner, CDL-Global &amp; Mentor</t>
  </si>
  <si>
    <t>112855-51P</t>
  </si>
  <si>
    <t>Joshua Gans Ph.D</t>
  </si>
  <si>
    <t>Gans</t>
  </si>
  <si>
    <t>Dr. Joshua Gans is a Co-Founder of All Day TA. He serves as Chief Economist at Creative Destruction Lab. He is a professor of strategic management and holds the Jeffrey S. Skoll Chair of Technical Innovation and Entrepreneurship at the Rotman School of Management, University of Toronto (with a cross appointment in the Department of Economics). Before 2011, he was the foundation Professor of Management (Information Economics) at the Melbourne Business School, University of Melbourne, and before that he was at the School of Economics, University of New South Wales. In 2011, he was a visiting researcher at Microsoft Research (New England). He holds a PhD from Stanford University and an honors degree in economics from the University of Queensland. In 2012, he was appointed as a NBER Research Associate in the Productivity, Innovation, and Entrepreneurship Program. He is a strategic management professor at the University of Toronto (UofT) and chief economist of the Creative Destruction Lab Global. He has decades of experience working with startups and is passionate about applications of large language models (LLMs) in education. He is the author of multiple books, most notably Entrepreneurship: Choice and Strategy, Prediction Machines, and Power and Prediction.</t>
  </si>
  <si>
    <t>joshua@alldayta.com</t>
  </si>
  <si>
    <t>100 King Street West</t>
  </si>
  <si>
    <t>M5X 1B8</t>
  </si>
  <si>
    <t>Co-Founder, President &amp; Chief Operating Officer</t>
  </si>
  <si>
    <t>All Day TA</t>
  </si>
  <si>
    <t>183760-93P</t>
  </si>
  <si>
    <t>Leslie McNabb-Kyritsis</t>
  </si>
  <si>
    <t>McNabb-Kyritsis</t>
  </si>
  <si>
    <t>Ms. Leslie McNabb-Kyritsis serves as Director, CDL-Atlantic at Creative Destruction Lab. Before joining the lab, she was the Director of Dalhousie University's Centre for Family Business and Regional Prosperity. Her work with the Centre ignited her interest in entrepreneurship, given all family businesses begin with an entrepreneur! her career has included 19 years in the financial services industry where she's held a variety of senior management roles in Corporate Finance, Corporate Marketing, and Human Resources. She holds a Bachelor of Commerce degree from Dalhousie University, a Certificate in Human Resource Management, and designations as a Family Enterprise Advisor (FEA) and a Certified Meeting Professional (CMP).</t>
  </si>
  <si>
    <t>leslie@creativedestructionlab.com</t>
  </si>
  <si>
    <t>Director, CDL-Atlantic</t>
  </si>
  <si>
    <t>183760-03P</t>
  </si>
  <si>
    <t>Louis Beaubien Ph.D</t>
  </si>
  <si>
    <t>Beaubien</t>
  </si>
  <si>
    <t>Dr. Louis Beaubien serves as Site Academic Lead, CDL-Atlantic at Creative Destruction Lab. He co-founded and served as Chief Executive Officer of Bluenode. He serves as an Academic Director at Creative Destruction Lab. He serves as Associate Dean (Innovation) at Dalhousie University. Dr. Beaubien's research interests revolve around the design of financing and governance models, and information system strategies in a variety of organizations, most recently, the cooperative and healthcare sectors. Examples include work on governance in new information system deployment, performance management and governance in financial services organizations, and financing models in healthcare.</t>
  </si>
  <si>
    <t>louis@creativedestructionlab.com</t>
  </si>
  <si>
    <t>+1 (902) 494-1195</t>
  </si>
  <si>
    <t>Site Academic Lead, CDL-Atlantic</t>
  </si>
  <si>
    <t>207366-13P</t>
  </si>
  <si>
    <t>Maren Bauer</t>
  </si>
  <si>
    <t>Maren</t>
  </si>
  <si>
    <t>Ms. Maren Bauer served as a Board Member at KAOS. She serves as a Mentor at Creative Destruction Lab. She serves as a Board Member at Ava Ocean. She was a Co-Founder &amp; served as Managing Partner at Fynd Ocean Ventures. She serves as an Investor at Plantish. She served as Chairman &amp; Advisor at NoMy. She focuses on value creation, investments, and strategy. She co-founded and led the Katapult Ocean to become a leading force in building the blue economy globally. While building Katapult Ocean, she closed a fund with leading family offices and institutional investors from 6 countries and built a pipeline of over 1300 impact ocean startups. She has led investments into 22 ocean ventures from 14 countries and worked hands-on with commercialization and value creation with the management teams. International management positions with Wallenius Wilhelmsen, Orkla, and McKinsey &amp; Co.She earned a Bachelor's degree in Economics and Business Administration from the Norwegian School of Economics in 2006, and a Master's degree in Accounting and Finance in 2008.</t>
  </si>
  <si>
    <t>+47 70 10 00 01</t>
  </si>
  <si>
    <t>Alesund</t>
  </si>
  <si>
    <t>Alesund, Norway</t>
  </si>
  <si>
    <t>Keiser Wilhelms Gate 23</t>
  </si>
  <si>
    <t>6003</t>
  </si>
  <si>
    <t>Ava Ocean</t>
  </si>
  <si>
    <t>38290-69P</t>
  </si>
  <si>
    <t>Michael Wilshire</t>
  </si>
  <si>
    <t>Wilshire</t>
  </si>
  <si>
    <t>Mr. Michael Wilshire serves as a Mentor at Creative Destruction Lab. He also Co-Founded and served as Executive Chairman at BlueCat Networks. He is a Co-Founder and serves as a Board Member at Kicker. He also serves as Advisory Board Member at Georgian Partners. He has an master's in mathematics from Cambridge University and an MBA from the London Business School where he graduated at the top of his year.</t>
  </si>
  <si>
    <t>+1 (416) 646-8401</t>
  </si>
  <si>
    <t>Suite 1920</t>
  </si>
  <si>
    <t>M4W 0A8</t>
  </si>
  <si>
    <t>Kicker (Business/Productivity Software)</t>
  </si>
  <si>
    <t>183757-33P</t>
  </si>
  <si>
    <t>Rachel Harris Ph.D</t>
  </si>
  <si>
    <t>Dr. Rachel Harris serves as Director of Engagement at Creative Destruction Lab. She is a PhD candidate in economics at York University. She attained a masters in economics from York University and a BA in economics from Wilfred Laurier. Her research is currently focused around firm dynamics and innovation.</t>
  </si>
  <si>
    <t>rachel@creativedestructionlab.com</t>
  </si>
  <si>
    <t>Director of Engagement</t>
  </si>
  <si>
    <t>207490-69P</t>
  </si>
  <si>
    <t>Richard Jhang</t>
  </si>
  <si>
    <t>Jhang</t>
  </si>
  <si>
    <t>Advisor &amp; Associate</t>
  </si>
  <si>
    <t>Mr. Richard Jhang is a Founder &amp; serves as Chief Executive Officer and Genneral Partner at Stratminds VC. He serves as an Advisor &amp; Associate at Creative Destruction Lab.</t>
  </si>
  <si>
    <t>+1 (415) 712-5382</t>
  </si>
  <si>
    <t>rj@stratminds.vc</t>
  </si>
  <si>
    <t>Founder, Chief Executive Officer &amp; General Partner</t>
  </si>
  <si>
    <t>Stratminds VC</t>
  </si>
  <si>
    <t>112863-70P</t>
  </si>
  <si>
    <t>Richard Zemel Ph.D</t>
  </si>
  <si>
    <t>Zemel</t>
  </si>
  <si>
    <t>Dr. Richard Zemel serves as a Mentor at Creative Destruction Lab. Dr. Zemel cofounded SmartFinance. He is a Professor of Computer Science at the University of Toronto, where he has been a faculty member since 2000. He is an Advisor at BenchSci. Prior to that, he was an Assistant Professor in Computer Science and Psychology at the University of Arizona and a Postdoctoral Fellow at the Salk Institute and at Carnegie Mellon University. He received a B.Sc. degree in History &amp; Science from Harvard University in 1984 and a Ph.D. in Computer Science from the University of Toronto in 1993. His awards include an NVIDIA Pioneers of AI Award, a Young Investigator Award from the Office of Naval Research, a Presidential Scholar Award, two NSERC Discovery Accelerators, and seven Dean's Excellence Awards at the University of Toronto. He is a Fellow of the Canadian Institute for Advanced Research and is on the Executive Board of the Neural Information Processing Society, which runs the premier international machine learning conference. His research contributions include foundational work on systems that learn useful representations of data without any supervision; methods for learning to rank and recommend items; and machine learning systems for automatic captioning and answering questions about images. He developed the Toronto Paper Matching System, a system for matching paper submissions to reviewers, which is being used in many conferences, including NIPS, ICML, CVPR, ICCV, and UAI. His research is supported by grants from NSERC, CIFAR, Microsoft, Google, Samsung, DARPA, and DARPA.</t>
  </si>
  <si>
    <t>+1 (416) 234-9360</t>
  </si>
  <si>
    <t>richard.zemel@utoronto.ca</t>
  </si>
  <si>
    <t>387371-80P</t>
  </si>
  <si>
    <t>Sonia Sennik</t>
  </si>
  <si>
    <t>Sennik</t>
  </si>
  <si>
    <t>Ms. Sonia Sennik serves as Chief Executive Officer at Creative Destruction Lab. She was the Executive Director of the CDL Rapid Screening Consortium, a not-for-profit organization focused on developing a cost-effective system for reopening the economy during the COVID-19 pandemic. In 2020, they founded the Sonia Sennik Resilience Fund at McMaster University to award an annual $8,000 entrance scholarship to an engineering student who has shown grit and strength of character in their life - whether that's at school, at home, on the athletic field, or in their creative pursuits. She also holds a B.Eng degree from McMaster University.</t>
  </si>
  <si>
    <t>sonia@creativedestructionlab.com</t>
  </si>
  <si>
    <t>389440-90P</t>
  </si>
  <si>
    <t>Agnieszka Kamińska</t>
  </si>
  <si>
    <t>Agnieszka</t>
  </si>
  <si>
    <t>Kamińska</t>
  </si>
  <si>
    <t>CRH</t>
  </si>
  <si>
    <t>Ms. Agnieszka Kamińska serves as Marketing Director at CRH. She served as National Corporate Communications and CSR Manager, Public Relations Manager, Public Relations Coordinator and Marketing &amp; Public Relations Specialist at VELUX. She served as Marketing Manager B2B at Office Depot. She served as a Marketing Specialist at Partner XXI. She served as a Marketing Specialist at New Technology Poland. She served as a Sales Representative at New Technology Poland. She completed a Postgraduate Degree (Manager CSR/ESG/Sustainability) from Collegium Civitas (2021-2022), a Postgraduate Degree (Public Relations/Image Management) from Warsaw School of Economics (2006-2007) and a Master's degree (Marketing &amp; Management) from SGH Warsaw School of Economics (1997-2004).</t>
  </si>
  <si>
    <t>+353 (0)1 404 1000</t>
  </si>
  <si>
    <t>Stonemason's Way</t>
  </si>
  <si>
    <t>Rathfarnham 16</t>
  </si>
  <si>
    <t>D16 KH51</t>
  </si>
  <si>
    <t>+353 (0)1 404 1007</t>
  </si>
  <si>
    <t>Marketing &amp; Communication Director</t>
  </si>
  <si>
    <t>52062-31P</t>
  </si>
  <si>
    <t>Albert Manifold</t>
  </si>
  <si>
    <t>Manifold</t>
  </si>
  <si>
    <t>Mr. Albert Manifold serves as Special Advisor at CRH. He serves as Chief Executive Officer at CRH Americas Materials. Before joining CRH, he was the Chief Operating Officer with a private equity group. While at CRH, he has held a variety of senior positions, including Finance Director of the Europe Materials Division, Group Development Director and Managing Director of Europe Materials. He became Chief Operating Officer in January 2009 and was appointed Group Chief Executive with effect from 1 January 2014.</t>
  </si>
  <si>
    <t>amanifold@crh.com</t>
  </si>
  <si>
    <t>392688-55P</t>
  </si>
  <si>
    <t>Bob Feury</t>
  </si>
  <si>
    <t>Feury</t>
  </si>
  <si>
    <t>Mr. Bob Feury serves as Chief Culture &amp; People Officer at CRH. Bob joined CRH in 1996 with the acquisition of his family's business, Allied Building Products, which later became Americas Distribution. Upon the divestment of Americas Distribution in 2018, he served as Executive Vice President of Strategy and Development for CRH's Building Products Division. In 2023, Bob joined CRH's Executive Team on his appointment as Chief Culture &amp; People Officer (CCPO), a new role established to elevate strategic focus on culture and people.</t>
  </si>
  <si>
    <t>Executive Vice President &amp; Chief Culture &amp; People Officer</t>
  </si>
  <si>
    <t>63010-99P</t>
  </si>
  <si>
    <t>Claus Bering</t>
  </si>
  <si>
    <t>Claus</t>
  </si>
  <si>
    <t>Bering</t>
  </si>
  <si>
    <t>Mr. Claus Bering serves as Managing Director, Denmark &amp; Senior Vice President at CRH. He serves as Chairman of the Board at Confac.</t>
  </si>
  <si>
    <t>Managing Director, Denmark &amp; Senior Vice President</t>
  </si>
  <si>
    <t>391813-84P</t>
  </si>
  <si>
    <t>Dwayne Boyd</t>
  </si>
  <si>
    <t>Dwayne</t>
  </si>
  <si>
    <t>Boyd</t>
  </si>
  <si>
    <t>Mr. Dwayne Boyd serves as Regional President of CRH Americas Materials at CRH.</t>
  </si>
  <si>
    <t>Regional President of CRH Americas Materials</t>
  </si>
  <si>
    <t>316548-10P</t>
  </si>
  <si>
    <t>Helen Hanamy</t>
  </si>
  <si>
    <t>Helen</t>
  </si>
  <si>
    <t>Hanamy</t>
  </si>
  <si>
    <t>Ms. Helen Hanamy serves as Head of Strategic Finance, CRH Europe at CRH. She served as Global Inclusion and Diversity Director, Business Executive, Finance Business Partner, CRH Europe and Group Finance at CRH. She served as Manager at PwC. She completed a BComm from University College Dublin (2000-2003) and an MAcc from University College Dublin Michael Smurfit Graduate Business School (2003-2004).</t>
  </si>
  <si>
    <t>hhanamy@crh.com</t>
  </si>
  <si>
    <t>Head of Strategic Finance, CRH Europe</t>
  </si>
  <si>
    <t>242267-95P</t>
  </si>
  <si>
    <t>Jim Mintern</t>
  </si>
  <si>
    <t>Mintern</t>
  </si>
  <si>
    <t>Mr. Jim Mintern serves as Chief Financial Officer at CRH. He over 30 years' experience in the building materials industry, nearly 20 years of which have been with CRH. Jim joined CRH as Finance Director for Roadstone and since then has held a number of positions across the Group, including Managing Director of each of the Western and Eastern regions of our Europe Materials Division and prior to that as Country Manager for Ireland. Working closely with Divisional and operational leadership, Jim has oversight of our Performance, Safety and Special Projects activities and has led a number of Performance Improvement initiatives in recent years. Appointed Finance Director Designate in March 2021, Jim will assume his new role with effect from 1 June 2021.</t>
  </si>
  <si>
    <t>jmintern@crh.com</t>
  </si>
  <si>
    <t>215121-79P</t>
  </si>
  <si>
    <t>Juan Agustín</t>
  </si>
  <si>
    <t>Agustín</t>
  </si>
  <si>
    <t>Mr. Juan Agustín serves as Group Executive, Strategic Planning, Innovation &amp; Venturing at CRH. He joined CRH in October 2020. He has over 25 years of experience working in the building materials industry across the Americas and Europe. His areas of expertise cover strategic planning, M&amp;A, venture capital, digital innovation and marketing. Immediately before CRH, he served as Executive Vice President of Strategic Planning and New Business Development at CEMEX. He completed a BS and MBA.</t>
  </si>
  <si>
    <t>jpagustin@crh.com</t>
  </si>
  <si>
    <t>Group Executive, Strategic Planning, Innovation &amp; Venturing</t>
  </si>
  <si>
    <t>416656-00P</t>
  </si>
  <si>
    <t>Kristin Lane</t>
  </si>
  <si>
    <t>Ms. Kristin Lane serves as Chief Human Resources Officer at CRH. Kristin joined CRH in 2016. She has held a number of senior positions across our operations, most recently as CHRO of our Americas Division, before being appointed to her current role in July 2024. Before joining CRH, Kristin held various global HR roles in the building products, retail, distribution and management consulting industries. She is based in the US.</t>
  </si>
  <si>
    <t>klane@crh.com</t>
  </si>
  <si>
    <t>410693-95P</t>
  </si>
  <si>
    <t>Lauren Schulz</t>
  </si>
  <si>
    <t>Schulz</t>
  </si>
  <si>
    <t>Ms. Lauren Schulz serves as Chief Communications Officer at CRH.</t>
  </si>
  <si>
    <t>lschulz@crh.com</t>
  </si>
  <si>
    <t>316549-81P</t>
  </si>
  <si>
    <t>Luisa Restrepo</t>
  </si>
  <si>
    <t>Restrepo</t>
  </si>
  <si>
    <t>Ms. Luisa Restrepo serves as Global Inclusion and Diversity Manager, CRH Americas at CRH.</t>
  </si>
  <si>
    <t>luisa.restrepo@crh.com</t>
  </si>
  <si>
    <t>Global Inclusion and Diversity Manager &amp; Learning and Development Manager (Southern Atlantic Region)</t>
  </si>
  <si>
    <t>158614-93P</t>
  </si>
  <si>
    <t>Ming Ho</t>
  </si>
  <si>
    <t>Mr. Ming Ho serves as Development Executive at CRH.</t>
  </si>
  <si>
    <t>Executive, Strategy &amp; M&amp;A</t>
  </si>
  <si>
    <t>443437-93P</t>
  </si>
  <si>
    <t>Nancy Buese</t>
  </si>
  <si>
    <t>Buese</t>
  </si>
  <si>
    <t>Ms. Nancy Buese serves as Chief Financial Officer at CRH.</t>
  </si>
  <si>
    <t>n.buese@crh.com</t>
  </si>
  <si>
    <t>225709-66P</t>
  </si>
  <si>
    <t>Neil Colgan</t>
  </si>
  <si>
    <t>Mr. Neil Colgan serves as Secretary at CRH.</t>
  </si>
  <si>
    <t>ncolgan@crh.com</t>
  </si>
  <si>
    <t>313653-43P</t>
  </si>
  <si>
    <t>Philip Wheatley</t>
  </si>
  <si>
    <t>Mr. Philip Wheatley serves as Chief Growth Officer at CRH. Mr. Philip Wheatley serves as Global Head of Corporate Development at Aliaxis. Philip re-joined CRH in the role of Chief Growth Officer in 2023. He previously worked for CRH for 16 years across a variety of roles in Corporate Development and Strategy, most recently as the Group Head of M&amp;A. Prior to this, he held roles as the Group Strategy and Development Director and Development Director for Europe Materials.
Before joining CRH, Philip held various M&amp;A and operating roles in the financial services and building materials industries.</t>
  </si>
  <si>
    <t>pwheatley@crh.com</t>
  </si>
  <si>
    <t>189104-23P</t>
  </si>
  <si>
    <t>Randy Lake</t>
  </si>
  <si>
    <t>Lake</t>
  </si>
  <si>
    <t>Mr. Randy Lake serves as Chief Operating Officer at CRH. Randy served as President of Americas Materials from 2016 to 2020 and Group Executive, Strategic Operations from 2020 to 2021. Randy is actively involved in the Materials industry in North America and served as Chairman of the US National Stone, Sand &amp; Gravel Association in 2018. He holds a degree in BS (Business Administration) and MBA.</t>
  </si>
  <si>
    <t>rlake@crh.com</t>
  </si>
  <si>
    <t>389444-14P</t>
  </si>
  <si>
    <t>Sajid Khan</t>
  </si>
  <si>
    <t>Sajid</t>
  </si>
  <si>
    <t>Mr. Sajid Khan serves as Vice President, Mergers &amp; Acquisition and Strategic Projects at CRH.</t>
  </si>
  <si>
    <t>skhan@crh.com</t>
  </si>
  <si>
    <t>Vice President, Mergers &amp; Acquisition and Strategic Projects</t>
  </si>
  <si>
    <t>392348-26P</t>
  </si>
  <si>
    <t>Scott Parson</t>
  </si>
  <si>
    <t>Parson</t>
  </si>
  <si>
    <t>Mr. Scott Parson serves as President CRH Americas Materials at CRH.</t>
  </si>
  <si>
    <t>sparson@crh.com</t>
  </si>
  <si>
    <t>President CRH Americas Materials</t>
  </si>
  <si>
    <t>453418-93P</t>
  </si>
  <si>
    <t>Siniša Mauhar</t>
  </si>
  <si>
    <t>Siniša</t>
  </si>
  <si>
    <t>Mauhar</t>
  </si>
  <si>
    <t>Mr. Siniša Mauhar serves as General Manager for the Western Balkans at CRH.</t>
  </si>
  <si>
    <t>General Manager for the Western Balkans</t>
  </si>
  <si>
    <t>187498-99P</t>
  </si>
  <si>
    <t>Suresh Rangarajan</t>
  </si>
  <si>
    <t>Mr. Suresh Rangarajan serves as Chief Information Officer at CRH. He served as Senior Vice President &amp; Chief Technology Officer at Empire State Realty Trust. He served as Chief Information Officer at Current. He leads the team that delivers technology solutions including digital thread, enabling current intelligent environment product offerings and driving IT transformation. He served as Chief Information Officer, Enterprise Application Services at GE Power. He served as Senior Leader, Data Technology and Development Leader - Austin Development Center at Dun &amp; Bradstreet. He served as Software Architect / Technical Project Manager at GE Fanuc Intelligent Platforms.</t>
  </si>
  <si>
    <t>suresh_rangarajan@crh.com</t>
  </si>
  <si>
    <t>224784-37P</t>
  </si>
  <si>
    <t>Tom Holmes</t>
  </si>
  <si>
    <t>Holmes</t>
  </si>
  <si>
    <t>Mr. Tom Holmes serves as Head, Investor Relations at CRH.</t>
  </si>
  <si>
    <t>+353 (0)1 404 1180</t>
  </si>
  <si>
    <t>tholmes@crh.com</t>
  </si>
  <si>
    <t>Head, Investor Relations</t>
  </si>
  <si>
    <t>12308-23P</t>
  </si>
  <si>
    <t>Daniel Yates</t>
  </si>
  <si>
    <t>Dandelion Energy</t>
  </si>
  <si>
    <t>Mr. Daniel Yates serves as Chief Executive Officer &amp; Chairman at Dandelion Energy. He serves as Board Member at Stardog Union.</t>
  </si>
  <si>
    <t>+1 (833) 436-4255</t>
  </si>
  <si>
    <t>dan@dandelionenergy.com</t>
  </si>
  <si>
    <t>Mount Kisco</t>
  </si>
  <si>
    <t>Mount Kisco, NY</t>
  </si>
  <si>
    <t>333 North Bedford Road</t>
  </si>
  <si>
    <t>Suite 220</t>
  </si>
  <si>
    <t>10549</t>
  </si>
  <si>
    <t>336139-93P</t>
  </si>
  <si>
    <t>Eduardo Llorente</t>
  </si>
  <si>
    <t>Llorente</t>
  </si>
  <si>
    <t>Mr. Eduardo Llorente serves as Chief Operating Officer at Dandelion Energy.</t>
  </si>
  <si>
    <t>eduardo@dandelionenergy.com</t>
  </si>
  <si>
    <t>164026-90P</t>
  </si>
  <si>
    <t>Kathleen Hannun</t>
  </si>
  <si>
    <t>Hannun</t>
  </si>
  <si>
    <t>Ms. Kathleen Hannun is a Co-Founder and serves as Board Member, Chief Technology Officer &amp; President at Dandelion Energy. Ms. Hannun also serves as an Advisor at Commonweal Ventures. She holds a BS in Civil Engineering and an MS in Computer Science from Stanford University.</t>
  </si>
  <si>
    <t>kathy@dandelionenergy.com</t>
  </si>
  <si>
    <t>Co-Founder, Board Member, Chief Technology Officer &amp; President</t>
  </si>
  <si>
    <t>414292-24P</t>
  </si>
  <si>
    <t>Lauren Howard</t>
  </si>
  <si>
    <t>Ms. Lauren Howard serves as Chief Revenue Officer at Dandelion Energy.</t>
  </si>
  <si>
    <t>lauren@dandelionenergy.com</t>
  </si>
  <si>
    <t>414292-78P</t>
  </si>
  <si>
    <t>Mike Russo</t>
  </si>
  <si>
    <t>Mr. Mike Russo serves as Vice President of Finance at Dandelion Energy.</t>
  </si>
  <si>
    <t>mrusso@dandelionenergy.com</t>
  </si>
  <si>
    <t>226320-04P</t>
  </si>
  <si>
    <t>Alan Phillips</t>
  </si>
  <si>
    <t>Data Point Capital</t>
  </si>
  <si>
    <t>Mr. Alan Phillips serves as Advisor at Data Point Capital. Mr. Phillips was a Co-Founder and served as Co-Chief Executive Officer &amp; Chief Innovative Officer at Crowditz. He co-founded DRONELIFE.com, DroneRacingLife.com, and JobForDrones to address the emerging commercial market for drones and drone technology. Prior to DRONELIFE.com, he co-founded Where.com, ThinkingScreen Media, Nurse.com, and Homeplete.com. He is a serial entrepreneur, active angel investor, and a drone enthusiast. He has a rich publishing background. At Ziff-Davis Publishing, he was EVP of ZDNet where he helped build and sell the technology publishing powerhouse.</t>
  </si>
  <si>
    <t>Nashua</t>
  </si>
  <si>
    <t>Nashua, NH</t>
  </si>
  <si>
    <t>82 Technology Way</t>
  </si>
  <si>
    <t>03060</t>
  </si>
  <si>
    <t>JobForDrones</t>
  </si>
  <si>
    <t>365627-98P</t>
  </si>
  <si>
    <t>Bruce Revzin JD</t>
  </si>
  <si>
    <t>Revzin</t>
  </si>
  <si>
    <t>Mr. Bruce Revzin serves as Chief Financial Officer at Data Point Capital. Before joining Data Point, he served as CFO of Cobepa North America, and before that was the CFO for Flybridge Capital Partners, an early-stage venture capital firm in Boston. His investment company experience includes working for Amundi Pioneer, a diversified global asset management company, and as CFO of Halpern, Denny &amp; Co., a mid-market private equity firm. He is a licensed attorney and CPA and he started his career at both Coopers &amp; Lybrand and Price Waterhouse as a CPA specializing in taxation. He holds an MBA in accounting and finance from the Columbia University Graduate School of Business, a JD from the Suffolk University Law School, and a BS from Tufts University.</t>
  </si>
  <si>
    <t>+1 (617) 874-5152</t>
  </si>
  <si>
    <t>brevzin@datapointcapital.com</t>
  </si>
  <si>
    <t>341 Newbury Street</t>
  </si>
  <si>
    <t>Sixth Floor</t>
  </si>
  <si>
    <t>02115</t>
  </si>
  <si>
    <t>43357-51P</t>
  </si>
  <si>
    <t>Colin Angle</t>
  </si>
  <si>
    <t>Angle</t>
  </si>
  <si>
    <t>Mr. Colin Angle serves as Board Member at Plug Power. He is a Co-Founder and serves as Board Member at Ixcela. He Co-Founded and served as Chief Executive Officer and Chairman at iRobot. He is a Co-Founder and serves as Chief Executive Officer and Board Member at Familiar Machines. He has served as chairman of the board since October 2008, as chief executive officer since June 1997, and prior to that, as our president since November 1992. He has served as a director since October 1992. He previously worked at the National Aeronautical and Space Administration's Jet Propulsion Laboratory where he participated in the design of the behavior-controlled rovers that led to Sojourner exploring Mars in 1997. He holds a B.S. in Electrical Engineering and an M.S. in Computer Science, both from MIT.</t>
  </si>
  <si>
    <t>+1 (518) 782-7700</t>
  </si>
  <si>
    <t>cangle@plugpower.com</t>
  </si>
  <si>
    <t>968 Albany Shaker Road</t>
  </si>
  <si>
    <t>Latham</t>
  </si>
  <si>
    <t>12110</t>
  </si>
  <si>
    <t>+1 (518) 782-7884</t>
  </si>
  <si>
    <t>Plug Power</t>
  </si>
  <si>
    <t>42272-20P</t>
  </si>
  <si>
    <t>Diane Hessan</t>
  </si>
  <si>
    <t>Hessan</t>
  </si>
  <si>
    <t>Ms. Diane Hessan is a Co-Founder and serves as Chairman at C Space. Ms. Hessan serves as Chief Executive Officer at Salient Ventures. Ms. Hessan is a Co-Founder &amp; Chairman at C Space. She served as a Board Member at DP Cap Acquisition I. She serves as a Board Member at CoachUp. She served as an Advisor at Startup Institute. She also serves as Chairman of Brightcove. She served as President and Chief Executive Officer at C Space. She also serves as an Advisor at Data Point Capital. She serves as the Chairman at Communispace. She is also the Founder of the company. She has also served on the boards of numerous organizations including The Advertising Research Foundation, the Alliance for Business Leadership, Horizons for Homeless Children, and The Boston Philharmonic. She received an MBA from Harvard Business School and a BA from Tufts University.</t>
  </si>
  <si>
    <t>+1 (732) 906-1122</t>
  </si>
  <si>
    <t>dhessan@cspace.com</t>
  </si>
  <si>
    <t>Iselin</t>
  </si>
  <si>
    <t>Iselin, NJ</t>
  </si>
  <si>
    <t>101 Wood Avenue South</t>
  </si>
  <si>
    <t>08830</t>
  </si>
  <si>
    <t>Sago</t>
  </si>
  <si>
    <t>42271-75P</t>
  </si>
  <si>
    <t>Fred Bertino</t>
  </si>
  <si>
    <t>Bertino</t>
  </si>
  <si>
    <t>Mr. Fred Bertino is a Co-Founder and serves as President at MMB. He serves as an Special Advisor at Data Point Capital. He has served as the Founder and President of MMB. Prior to MMB, he was President and Chief Creative Officer at Hill Holliday. He holds a BA in English &amp; Communications from Boston University. Under his leadership, MMB has become one of the fastest-growing independent agencies in the country. Prior to founding MMB, Fred was President and Chief Creative Officer at Hill Holliday, which he helped grow from $300 million to $1.2 billion in revenue. He has a deep love for his kids, sports and, most importantly, tuna fishing.</t>
  </si>
  <si>
    <t>+1 (617) 670-9700</t>
  </si>
  <si>
    <t>fbertino@mmb580.com</t>
  </si>
  <si>
    <t>580 Harrison Avenue</t>
  </si>
  <si>
    <t>MMB</t>
  </si>
  <si>
    <t>36573-31P</t>
  </si>
  <si>
    <t>Gail Goodman</t>
  </si>
  <si>
    <t>Ms. Gail Goodmanis a Co-Founder and serves as Chief Product Officer, Advisor, and Board Member at Pepperlane. She serves as a Board Member at ShipBob. She serves as an Advisor at Converge Venture Partners. She served as Advisor at Startup Institute. She also serves as Board Member at Shopify. Ms. Goodman is Board Member at MindBody. Previously, she served as Chief Executive Officer at Constant Contact. She has led Constant Contact since its early days with just an email marketing product and a handful of employees. Under her leadership, the company has grown to more than 1,300 employees in seven office locations, gone through a successful IPO, and now delivers a suite of online marketing tools to more than half a million small businesses and organizations. Her genuine passion for helping small businesses succeed filters down to every member of the Constant Contact team. Along the way, she has worked with, coached, and talked with, literally thousands of small businesses and organizations. Serving on the Boards of the Massachusetts Technology Leadership Council, Blade, and SCORE, she holds a Bachelor of Arts degree from The University of Pennsylvania and an MBA from the Amos Tuck School at Dartmouth College. A frequent speaker at industry events, she develops and tracks best practices in small business and nonprofit success, as well as entrepreneurship. Her 2013 TEDx talk, "Founders Can't Scale," delivered at TEDxBeaconStreet, offers a telling glimpse into her management philosophy and personal drive.</t>
  </si>
  <si>
    <t>+1 (781) 472-8150</t>
  </si>
  <si>
    <t>gail@pepperlane.co</t>
  </si>
  <si>
    <t>Co-Founder, Chief Product Officer, Advisor &amp; Board Member</t>
  </si>
  <si>
    <t>Pepperlane</t>
  </si>
  <si>
    <t>13804-57P</t>
  </si>
  <si>
    <t>Geoffrey Oblak</t>
  </si>
  <si>
    <t>Oblak</t>
  </si>
  <si>
    <t>Mr. Geoffrey Oblak serves as Managing Partner at Data Point Capital. He served as a General Partner at Ascent Venture Partners. He serves as a Board Member at Auction Holdings, BryterCX, Vee24 and Revulytics. He is a member of the CFA Institute and the Boston Security Analysts Society. He holds a BA in Economics from Hamilton College, an MBA from Boston University, and also at The London School of Economics &amp; Political Science. He currently works with several active portfolio companies that are disrupting traditional enterprise IT markets, especially within information security and data analytics. Before Ascent, he worked as an Investment Analyst in the Boston office of Norwest Venture Partners, where he researched emerging technology markets and worked on successful investments such as Quatritek Systems (acquired by Lucent) and Nashoba Networks (acquired by Cisco). While at Norwest, he realized how much he enjoyed the pace and challenge of working with technology startups. He previously worked in the Audit/Business Advisory division of Arthur Andersen, where he was concurrently sponsored by the firm in an accelerated MBA program. He served as a Board Member at Exchange Solutions and Splash.</t>
  </si>
  <si>
    <t>goblak@datapointcapital.com</t>
  </si>
  <si>
    <t>40085-83P</t>
  </si>
  <si>
    <t>Gordon Hoffstein</t>
  </si>
  <si>
    <t>Hoffstein</t>
  </si>
  <si>
    <t>Mr. Gordon Hoffstein serves as Advisor at Data Point Capital. He served as Advisor at Spendsetter. Over the last three decades, Gordon has successfully launched three technology businesses: distributor Microamerica in 1979, reseller PCs Compleat in 1992 and internet marketing and affiliate firm BeFree in 1996. He successfully took BeFree public in 1999 at a market valuation greater than $3B and then led and managed the growth strategy and eventual sale of BeFree to online marketing firm ValueClick. He also served as an Advisor of Spendsetter. Today, he runs Prospera as a Chief Executive Officer advisor to high-potential startups. He served as the Chief Executive Officer and Chairman of PC's Compleat. He holds MBA from Babson College and BBS from University of Massachusetts, Amherst.</t>
  </si>
  <si>
    <t>+1 (404) 874-6342</t>
  </si>
  <si>
    <t>gkish@kw.com</t>
  </si>
  <si>
    <t>31067-38P</t>
  </si>
  <si>
    <t>Gururaj Deshpande Ph.D</t>
  </si>
  <si>
    <t>Gururaj</t>
  </si>
  <si>
    <t>Deshpande</t>
  </si>
  <si>
    <t>Dr. Gururaj Deshpande serves as President &amp; Chairman at Sparta Group. He is a Co-Founder &amp; serves as an Advisor at Pond-Deshpande Centre. He is the Co-Founder at Deshpande Startups. He is the Non-Executive Director of Tejas Networks. He has pursued an entrepreneurial career for the last three decades. He is also a Co-Founder and serves as a Board Member at the Deshpande Foundation. He serves as a life member of the MIT Corporation, and his support has made possible MIT's Deshpande Center for Technological Innovation. He is the President and Chairman of Sparta Group LLC, a family investment office and is also the Chairman of Tejas Networks. Dr. Deshpande has pursued an entrepreneurial career for the last three decades. He is involved either as the founder, a founding investor or chairman of several companies including Cascade Communications, Sycamore Networks, Coral Networks, Tejas Networks, Cimaron, Webdialogs, Airvana, Sandstone Capital, A123 Systems and Curata. Dr. Deshpande lives in Boston and serves as a life member of the MIT Corporation, and his support has made possible MIT's Deshpande Center for Technological Innovation. Leveraging the experience gained at the MIT Center, the Deshpande Foundation has facilitated the set up of three other centers; Deshpande Center for Social Entrepreneurship in India, Merrimack Valley Sandbox in Lowell/Lawrence Massachusetts, and Pond-Deshpande Center at the University of New Brunswick in Canada. Dr. Deshpande holds a B. Tech. in Electrical Engineering from the Indian Institute of Technology - Madras, an M.E. from the University of New Brunswick in Canada, and Ph.D. from Queens University in Canada. Deshpande co-chaired a National Council to support President Obama's innovation and entrepreneurship strategy.</t>
  </si>
  <si>
    <t>+1 (978) 475-5823</t>
  </si>
  <si>
    <t>desh@spartagroupllc.com</t>
  </si>
  <si>
    <t>Stoneham</t>
  </si>
  <si>
    <t>Stoneham, MA</t>
  </si>
  <si>
    <t>92 Montvale Avenue</t>
  </si>
  <si>
    <t>02180</t>
  </si>
  <si>
    <t>+1 (781) 481-9155</t>
  </si>
  <si>
    <t>President &amp; Chairman</t>
  </si>
  <si>
    <t>Sparta Group</t>
  </si>
  <si>
    <t>203143-60P</t>
  </si>
  <si>
    <t>Gus Simiao</t>
  </si>
  <si>
    <t>Simiao</t>
  </si>
  <si>
    <t>Entrepreneur-in-Residence &amp; Principal</t>
  </si>
  <si>
    <t>Mr. Gus Simiao serves as Chief Executive Officer at Roadmap Learning. Mr. Simiao serves as Principal &amp; Entrepreneur-in-Residence at Data Point Capital. Most recently, He was Principal at CEVG, an angel investment group focused on early-stage companies. Previously, He was CEO of Electric Field Solutions, a spin-out from the University of Michigan that developed and marketed an innovative electric field sensor. EFS was acquired during beta product testing by Willbros Group in a transaction that resulted in a 20X return to investors. Before EFS, He was CEO of Vortex Hydro Energy, which developed an innovative technology also licensed from the University of Michigan. He raised $4MM to fund the company from the DoD, DOE, NSF, and angel investors. Although the technology did not pan out the venture resulted in an excellent learning experience. Previously, He was a management consultant with the Boston Consulting Group. He holds an MBA from the University of Michigan Ross School of Business and a bachelor of science in mechanical engineering with honours from the University of Toledo.</t>
  </si>
  <si>
    <t>Southfield</t>
  </si>
  <si>
    <t>Southfield, MI</t>
  </si>
  <si>
    <t>27777 Franklin Road</t>
  </si>
  <si>
    <t>48034</t>
  </si>
  <si>
    <t>Roadmap Learning</t>
  </si>
  <si>
    <t>275399-38P</t>
  </si>
  <si>
    <t>Haley Farnsworth</t>
  </si>
  <si>
    <t>Farnsworth</t>
  </si>
  <si>
    <t>Ms. Haley Farnsworth serves as Senior Associate at Data Point Capital. She is an Angel Investor. She served as Partner at MaC Venture Capital. She began her career at Snowflake where she worked on driving pipeline generation for Fortune 500 accounts in Southern California, specifically focusing on FinServ, Healthcare, and Media corporations. She graduated from Stanford University, majoring in Communication with a focus on media and technology, and a minor in Environmental Science.</t>
  </si>
  <si>
    <t>hfarnsworth@datapointcapital.com</t>
  </si>
  <si>
    <t>94658-86P</t>
  </si>
  <si>
    <t>Jason Krantz</t>
  </si>
  <si>
    <t>Krantz</t>
  </si>
  <si>
    <t>Mr. Jason Krantz is the Founder and serves as Chief Executive Officer &amp; Executive Chairman at Definitive Healthcare. He serves as Board Member at Recovery.com. He was a Co-Founder and served as Board Member at Xtelligent Healthcare Media. As Executive Chairman and Founder of Definitive Healthcare, he drives a client-centric approach to the business strategy and oversees the overall vision of the organization. He has built several research-based businesses focused on providing the highest quality and most timely data in information-intensive industries. Before founding Definitive Healthcare in 2011, he started Infinata. The company, founded in 1999, provided online databases of information for the pharmaceutical industry under the brand BioPharm Insight. He is an owner and board member of several data and media businesses in the healthcare sector and an industry expert on healthcare trends and developments. He is also a former McKinsey &amp; Company consultant. He holds undergraduate degrees in Finance and Computer Science from Boston College, and an MBA from Harvard Business School.</t>
  </si>
  <si>
    <t>+1 (888) 307-4107</t>
  </si>
  <si>
    <t>jkrantz@definitivehc.com</t>
  </si>
  <si>
    <t>Framingham</t>
  </si>
  <si>
    <t>Framingham, MA</t>
  </si>
  <si>
    <t>492 Old Connecticut Path</t>
  </si>
  <si>
    <t>01701</t>
  </si>
  <si>
    <t>Definitive Healthcare</t>
  </si>
  <si>
    <t>42272-92P</t>
  </si>
  <si>
    <t>Jason Robins</t>
  </si>
  <si>
    <t>Robins</t>
  </si>
  <si>
    <t>Mr. Jason Robins is a Co-Founder and serves as Chief Executive Officer &amp; Chairman at DraftKings. He serves as Advisor at Mars Reel. He serves as Venture Advisor at Impellent Ventures. He serves as Advisor at DroneSeed &amp; Autograph. He also serves as Strategic Advisor at DRIVE by DraftKings. He also serves as Advisor at Laylo. He serves as Special Advisor at Data Point Capital. He also serves as Board Member at Horizon Acquisition. He has quickly built a reputation for expanding DraftKings' reach across numerous platforms through wide-ranging, forward-thinking partnerships. Under his leadership, DraftKings became the first DFS company to sign a league partnership, with Major League Baseball (MLB) in 2013. Since then, the company has signed four additional league-wide partnerships, including the National Hockey League (NHL), NASCAR, MLS and UFC. DraftKings is also the exclusive partner of 12 National Football League (NFL) teams, seven National Basketball League (NBA) teams, 27 MLB teams and seven NHL teams. With a keen eye for opportunity, he led his company to partner with the 2015 Belmont Stakes when the world watched as American Pharoah won the first Triple Crown in 37 years. He has also spearheaded DraftKings' partnerships with major media outlets, including ESPN, FOX Sports and Bleacher Report; marquee facilities like Madison Square Garden, STAPLES Center, AT&amp;T Stadium and Gillette Stadium and charitable events with golf icon Tiger Woods and NBA Champion Shane Battier. His work has been recognized by the media and his peers, both nationally and locally in the Boston region. Among his recent accolades, he was named to Fortune's 2015 "40 Under 40" list of the most influential people in business in September 2015, appearing on that issue's cover. Additional honors in 2015 include being named to Sports Business Journal's "40 Under 40" list and receiving the Ernst &amp; Young's Entrepreneur of the Year Award for New England. Under his leadership, DraftKings has been named the Best Fantasy Sports Provider by iGaming North America (2015) and is a two-time winner of Bostinno's 50 On Fire Award (2014, 2015). Mr. Robins attended Duke University, where he received his degree in Economics and Computer Science. He served as Advisor at YouStake.</t>
  </si>
  <si>
    <t>+1 (617) 986-6744</t>
  </si>
  <si>
    <t>j.robins@draftkings.com</t>
  </si>
  <si>
    <t>222 Berkeley Street</t>
  </si>
  <si>
    <t>5th floor</t>
  </si>
  <si>
    <t>DraftKings</t>
  </si>
  <si>
    <t>156477-79P</t>
  </si>
  <si>
    <t>Jim Salzano</t>
  </si>
  <si>
    <t>Salzano</t>
  </si>
  <si>
    <t>Mr. Jim Salzano served as Chief Executive Officer at Easy Spirit. He serves as a Special Advisor at Data Point Capital. Before joining Easy Spirit in 2015, he advised several organizations and business leaders including Zappos, Toms, TSG Consumer Partners, and Down Town Project in Las Vegas. Before this, he was with Clarks Companies North America for just over 18 years. Over that period, the business grew from $40 million in 1995, to $1 billion in 2013 when he was President of Clarks Americas and a member of the Clarks Global Executive Leadership Team. He completed his BS (Bachelor of Science) in Accounting and Economics from the Rochester Institute of Technology (RIT).</t>
  </si>
  <si>
    <t>+1 (732) 200-5636</t>
  </si>
  <si>
    <t>jsalzano@jonesandvining.com</t>
  </si>
  <si>
    <t>Easy Spirit (Former)</t>
  </si>
  <si>
    <t>38370-88P</t>
  </si>
  <si>
    <t>John Giuliani</t>
  </si>
  <si>
    <t>Giuliani</t>
  </si>
  <si>
    <t>Mr. John Giuliani serves as a Venture Partner at Serra Ventures. He serves as Executive Chairman at Epsilon Data Management. He also served as Chief Executive Officer and President at Conversant. Mr. Giuliani served as a Board Member at Bluestem Brands. In addition to taking the helm of Dotomi and building the company until it was sold for $295 million, he most recently led Conversant to significant growth and an exit to Alliance Data in December 2014 for $2.3 Billion. He comes to Serra Ventures with over 30 years of experience helping and growing successful businesses. Before joining Dotomi, he founded Rainmaker Consulting Group Inc., which specialized in strategic sales and marketing consulting for marketing services firms. Mr. Giuliani also served as President of North America for Catalina Marketing Services, providing behavioral insights, database marketing and Internet solutions to key Fortune 1000 companies. His leadership at Catalina resulted in record revenues and net profits. Additionally, His tenure includes four years at ACTMEDIA working with the launch team of the Instant Coupon Machine, as well as in CPG sales and marketing with Beecham Products and Frito-Lay, Inc. He has participated on boards for Q Interactive, SuperMarkets Online, Affinova, Claria, Imagitas, and El Dorado Marketing. Mr. Giuliani has an MBA from Northwestern University's Kellogg Graduate School of Management, as well as a B.S. from the University of Illinois. He served as Executive Chairman at Yieldify. He serves as a Board Member at Opendorse.</t>
  </si>
  <si>
    <t>+1 (312) 588-3600</t>
  </si>
  <si>
    <t>john@serraventures.com</t>
  </si>
  <si>
    <t>168 North Clinton Street</t>
  </si>
  <si>
    <t>60661</t>
  </si>
  <si>
    <t>+1 (312) 588-3671</t>
  </si>
  <si>
    <t>Dotomi</t>
  </si>
  <si>
    <t>37184-95P</t>
  </si>
  <si>
    <t>Lars Albright</t>
  </si>
  <si>
    <t>Albright</t>
  </si>
  <si>
    <t>Mr. Lars Albright serves as a General Partner at Unusual Ventures. He also serves as an Advisor at Data Point Capital. He co-founded and served as Chief Executive Officer and Board Member at SessionM. Before co-founding SessionM, he was at Apple, Inc., where he was a member of the executive team and, Apple's mobile advertising business unit. While at iAd, he worked on a variety of initiatives including running partnerships and alliances in the U.S., Europe, and Asia. Before Apple, he was a Co-Founder and Senior Vice President of Business Development at Quattro Wireless, a leading mobile advertising platform that was acquired by Apple in 2010. Before Quattro, he was Vice President of Business Development at m-Qube, North America's dominant mobile aggregator that was acquired by VeriSign in 2006. He started his career in investment banking and finance on the West Coast, working for Montgomery Securities, and later for an affiliate fund of a private equity firm, Texas Pacific Group. He received an MBA from the Tuck School of Business at Dartmouth and his AB with honors from Harvard University. He serves as Board Member at GovSignals. He serves as Board Member at Navro.</t>
  </si>
  <si>
    <t>+1 (650) 434-0930</t>
  </si>
  <si>
    <t>lars@unusual.vc</t>
  </si>
  <si>
    <t>200 Middlefield Road</t>
  </si>
  <si>
    <t>Unusual Ventures</t>
  </si>
  <si>
    <t>11769-85P</t>
  </si>
  <si>
    <t>Leonard Schlesinger</t>
  </si>
  <si>
    <t>Schlesinger</t>
  </si>
  <si>
    <t>Mr. Leonard Schlesinger is a Co-Founding Partner &amp; serves as Business Metrics Strategy Lead at Venly (Education and Training Services). He served as a Board Member at DP Cap Acquisition I. He serves as Board Member at LookHUMAN. He served as Board Member at Oath Craft Pizza. Mr. Leonard Schlesinger serves as Special Advisor at Data Point Capital. He was Vice Chairman and Chief Operating Officer of Limited Brands and Group President of Beauty and Personal Care. He also sits on the company's Board of Directors. In this capacity, he is responsible for operational and financial leadership, on an enterprise wide basis, of the functions that support the operations of Express, Limited Stores, Victoria's Secret Beauty Stores, Bath and Body Works and the White Barn Candle. Dr. Schlesinger joined Limited Brands in October 1999 as Executive Vice President Organization, Leadership, and Human Resources. Prior to his appointment he served as Senior Vice President, Counselor to the President, and Professor of Sociology and Public Policy at Brown University. He also completed several years as Senior Associate Dean and Director of External Relations at HBS while chairing the design and delivery efforts for a major MBA program curriculum redesign. He has taught in both MBA and Executive Programs in the areas of Service Management, General Management and Organizational Behavior and Human Resources Management. He holds a bachelor's degree in American Civilization from Brown University, an MBA degree from Columbia University and a doctorate in Organizational Behavior from Harvard Business School. He currently serves as the Board member at Demandware.</t>
  </si>
  <si>
    <t>88696-72P</t>
  </si>
  <si>
    <t>Leonardo DiCaprio</t>
  </si>
  <si>
    <t>DiCaprio</t>
  </si>
  <si>
    <t>Mr. Leonardo DiCaprio serves as Advisor at Cruz Foam. Mr. DiCaprio co-owned and served as Board Advisor at Kingo. He is an Angel Investor. He serves Strategic Advisor at Powerhive. He Co-Founded SAFARISWAP. He serves as a Board Member at Champagne J. De Telmont. He serves as a Board Advisor at Bluon. Aleph Farms, and Mosa Meat. He served as an Advisor at Obvious Ventures and as a Special Advisor for Data Point Capital. He served as a Board Member and Strategic Advisor at Powerhive. He is an American actor and film producer. He served as an Advisory Board Member at LoveTheWild &amp; Aspiration. He also advises 8VC. He has been nominated for three Academy Awards and nine Golden Globe Awards. He won the Golden Globe Award for Best Actor for his performance in The Aviator (2004) and has been nominated by the Screen Actors Guild, Satellite Awards, and the British Academy of Film and Television Arts. At the 2007 Oscar ceremony, he and former Vice President Al Gore announced that the Academy Awards had incorporated environmentally intelligent practices throughout the planning and production processes, and on July 7, 2007, he presented at the American leg of Live Earth. He served as an Advisor at Princeville Capital.</t>
  </si>
  <si>
    <t>+1 (831) 204-0101</t>
  </si>
  <si>
    <t>350 Encinal Street</t>
  </si>
  <si>
    <t>95060</t>
  </si>
  <si>
    <t>Cruz Foam</t>
  </si>
  <si>
    <t>34155-28P</t>
  </si>
  <si>
    <t>Michael Majors Ph.D</t>
  </si>
  <si>
    <t>Majors</t>
  </si>
  <si>
    <t>Dr. Michael Majors serves as Managing Partner at Data Point Capital. He serves as Executive Officer &amp; Board Member at Black Kite. He served as Board Member at Electric Cloud, Smart Lunches, Luxury Garage Sale and BoxPower. He served as Board Member of APERIO Systems. He also is an Angel Investor. He is a Board Member of Returnalyze. He has spent more than 15 years as a venture investor and has significant operating experience. Most recently, he was a Managing Partner at Siemens Venture Capital where he was the founder and head of the $100 million early-stage, Industry of the Future Fund and head of the later-stage Industry Fund. At Siemens, Mike's investments included Encelium (acquired by OSRAM), Wurldtech (acquired by GE), Lagoa (acquired by Autodesk), Polarion (acquired by Siemens), CyActive (acquired by PayPal), LogRhythm, Black Duck and Digital Guardian. He served on the boards of Encelium, LogRhythm, Polarion and CyberFlow. Before joining Siemens Venture Capital, he was the CFO of Visible World (acquired by Comcast) as well as the CFO of Indeed (acquired by Recruit). He started his venture career at Brand Equity Ventures, a fund focused on software, digital media and consumer Internet opportunities. His investments at Brand Equity Ventures included Retail Solutions (acquired by VeriSign) and MaxPreps (acquired by CBS). He received a B.S.E, summa cum laude, in Mechanical &amp; Aerospace Engineering from Princeton University and a Ph.D. in Engineering, supported by a Fulbright scholarship, from Cambridge University. He serves as Board Member at indigitall.</t>
  </si>
  <si>
    <t>+1 (617) 874-5155</t>
  </si>
  <si>
    <t>mmajors@datapointcapital.com</t>
  </si>
  <si>
    <t>274025-89P</t>
  </si>
  <si>
    <t>Nick Grewal</t>
  </si>
  <si>
    <t>Mr. Nick Grewal is the Founder and serves as Chief Executive Officer at Nashoba Networks. He is the Founder and serves as Chief Executive Officer, President and Board Member at ePropelled. He serves as Venture Partner &amp; Advisor at Data Point Capital. is an experienced technology entrepreneur and investor in over forty high-tech companies and has led engineering, business development, and operational teams at companies such as CrossCom, Proteon, Fibronics, and Compugraphics. He has also served on several company boards and as an advisor for venture capital firms in the Boston area. In the 90s, he started Onlake Investments, a successful investment company. Prior to On lake, he was the founder and CEO of Nashoba Networks, which was acquired by Cisco Systems for $100 million, where he remained as vice president. He holds Bachelor's in Science from London South Bank University.</t>
  </si>
  <si>
    <t>nick@epropelled.com</t>
  </si>
  <si>
    <t>Littleton</t>
  </si>
  <si>
    <t>Littleton, CO</t>
  </si>
  <si>
    <t>Nashoba Networks</t>
  </si>
  <si>
    <t>31889-89P</t>
  </si>
  <si>
    <t>Peggy Koenig</t>
  </si>
  <si>
    <t>Peggy</t>
  </si>
  <si>
    <t>Koenig</t>
  </si>
  <si>
    <t>Ms. Peggy Koenig serves as a Special Advisor at Data Point Capital. She served as Chairwoman at ABRY Partners. She serves as an Advisory Board Member at Round2 Investment Partners. She has originated, supervised, and sold numerous companies in Abry's targeted sectors. Areas of focus have included cable television, marketing services, logistics, and business services. Before joining Abry, she was a partner and member of the board of directors of Sillerman Communications Management Corporation, a merchant bank making investments principally in the radio industry. She also has extensive media financing experience in industries including feature film production, cable television, and magazine publishing. She received her MBA from the Wharton Business School and an undergraduate degree from Cornell University where she currently is a member of the Board of Trustees as well as a Board of Overseers of Cornell Tech. She is attending Harvard's Advanced Leadership program as a Fellow in 2018.</t>
  </si>
  <si>
    <t>Chairwoman</t>
  </si>
  <si>
    <t>Abry Partners (Former)</t>
  </si>
  <si>
    <t>42271-57P</t>
  </si>
  <si>
    <t>Scott Savitz</t>
  </si>
  <si>
    <t>Savitz</t>
  </si>
  <si>
    <t>Mr. Scott Savitz owned and served as Chairman at Smart Lunches. Mr. Scott Savitz is the Founder &amp; serves as a Managing Partner at Data Point Capital. Mr. Savitz is a Co-Founder of Shoebuy.com. He serves as Board Member at CoachUp and Upshift. He served as the Chief Executive Officer at Shoebuy.com. He is a strong advocate of entrepreneurship and innovation, especially where it aims to raise the bar on the consumer experience. Under his guidance, Shoebuy grew on average by over 55% a year becoming one of the largest online retailers in the country, with over 1 million products and $3.5 billion in inventory available for sale, serving over 8 million visitors a month. Between the sale of Shoebuy in 2006 and Mr. Savitz retiring from the company in 2011, Shoebuy tripled its revenues and grew its bottom line faster than the top line. He also serves on the boards of Paintzen, Print Syndicate, and Vee24. He served as Board Member at Jebbit and YourMechanic. Mr. Savitz has also previously served as an Advisor or Director for Olejo Stores (acquired by Mattress Firm), On The Spot Systems, Inc. (acquired by Press Ganey), and Bluestem Brands (acquired by Capmark Financial Group). He also serves on several committees focused on fostering growth and a more robust economy including the Massachusetts Technology Collaborative, Nantucket Conference, and Co-Chair of 12 X 12, and Mass Scale. Mr. Savitz received a B.A. in English from the University of Colorado. He is a Board Member of Returnalyze. He served as Board Member at Yieldify. He serves as Board Member at eRetailing.</t>
  </si>
  <si>
    <t>ssavitz@datapointcapital.com</t>
  </si>
  <si>
    <t>42272-47P</t>
  </si>
  <si>
    <t>Steve Papa</t>
  </si>
  <si>
    <t>Papa</t>
  </si>
  <si>
    <t>Mr. Steve Papa is a Co-Founder &amp; serves as Chief Executive Officer &amp; Chairman at Parallel Wireless. He at serves as Board Member at Ombud. He is a Founding Partner &amp; Board Member as Board Member at Toast. He also serves as a Board Member at Reflektion &amp; Desktop Capital. He serves as Board Member at Kandou AI. He is an Advisor of Data Point Capital. Previously, he was the Founder and CEO of Endeca building it until it was Oracle's 6th largest acquisition ever on the announcement in 2011. Before founding Endeca, he was part of the original team creating Akamai, a member of the early team at Inktomi in charge of creating the company's infrastructure caching business, a product manager at Teradata and a venture associate at Venrock. He leads the senior management team in setting the company's strategic direction and is guiding the company's evolution from its successful first customer deployment into broad commercialization and growth. He has been part of reimagining the technology landscape for over 20 years. As founder and CEO of Endeca, he reimagined the database to support faceted information ultimately leading to Oracle acquiring the company as its 6th largest acquisition ever when announced (reported at $1.1 billion). He was part of the team creating Akamai that reimagined global Internet content distribution - now carrying peaks of 15 terabits/s of web traffic on any given day - and led the team at Inktomi that reimagined the network cache to create carrier-class caching. Earlier he worked with AT&amp;T Teradata where enterprise computing was reimagined with the first use of Intel processors for enterprise servers. He has a BS from Princeton University and MBA from Harvard Business School. He served as an Advisor at Robin. He served as an Adviser at InsightSquared. He served as Board Member at Cazena.</t>
  </si>
  <si>
    <t>+1 (603) 589-9937</t>
  </si>
  <si>
    <t>steve.papa@parallelwireless.com</t>
  </si>
  <si>
    <t>300 Innovative Way</t>
  </si>
  <si>
    <t>Suite 2310</t>
  </si>
  <si>
    <t>03062</t>
  </si>
  <si>
    <t>Parallel Wireless</t>
  </si>
  <si>
    <t>419594-77P</t>
  </si>
  <si>
    <t>Albert Lin</t>
  </si>
  <si>
    <t>DCARBON</t>
  </si>
  <si>
    <t>Mr. Albert Lin serves as the Lead Investor at DCARBON. Prior to his current role at dCarbonVC, he held the role of Senior Vice President, Investments, with Brookfield Asset Management.</t>
  </si>
  <si>
    <t>+1 (437) 929-1847</t>
  </si>
  <si>
    <t>albert.lin@dcarbonvc.com</t>
  </si>
  <si>
    <t>42 Wellington Street East</t>
  </si>
  <si>
    <t>M5E 1C7</t>
  </si>
  <si>
    <t>Lead Investor</t>
  </si>
  <si>
    <t>39588-31P</t>
  </si>
  <si>
    <t>Alan Cohen</t>
  </si>
  <si>
    <t>DCVC</t>
  </si>
  <si>
    <t>Mr. Alan Cohen serves as a General Partner at DCVC. Mr. Cohen serves as a Board Member at Fulfil Solutions. He served as Chief Commercial Officer and Board Member at Illumio. He serves as Chairman at Evolv Technology. He also served as an Advisor at Netskope, 8VC, and Scale Computing. Before Nicira, he held executive positions at Cisco, Airespace, Tahoe Networks, IBM, U S WEST, and Coopers &amp; Lybrand. Before Nicira, he led the enterprise marketing organization at Cisco, a team of 300 responsible for bringing to market an associated $25 billion product portfolio. He serves as an advisor to several technology companies including MobileIron, Highfive, and Netskope. He is a frequent industry speaker and commentator whose work has appeared in The New York Times, Fortune, Re/code, and Gigaom. He has a BA from SUNY Buffalo, an MA from the School of International Service at American University, and an MBA in Finance from the Stern School of Business at New York University. He served as a Board Member at Caption Care. He was the Advisor of Highfive.</t>
  </si>
  <si>
    <t>+1 (415) 840-7337</t>
  </si>
  <si>
    <t>alan@dcvc.com</t>
  </si>
  <si>
    <t>270 University Avenue</t>
  </si>
  <si>
    <t>+1 (415) 840-7342</t>
  </si>
  <si>
    <t>192844-45P</t>
  </si>
  <si>
    <t>Ali Tamaseb</t>
  </si>
  <si>
    <t>Tamaseb</t>
  </si>
  <si>
    <t>Mr. Ali Tamaseb serves as a General Partner at DCVC. Mr. Tamaseb serves as Board Member at Carbon Health. He has developed a data-driven method for finding and partnering with world class founders on a mission to reshape old and new industries. He was an honoree of the British Alumni Award and received the Imperial College Presidents Medal for Outstanding Achievement. He holds multiple leadership and board director positions at companies across the U.S. and globally with thousands of employees and has invested in multiple billion-dollar companies on behalf of DCVC in a range of industries including crypto, fintech, healthcare, Biomed, materials, chemicals, electrification, mining, and construction. He was a startup founder and CEO who grew the company to millions in revenue.</t>
  </si>
  <si>
    <t>ali@dcvc.com</t>
  </si>
  <si>
    <t>41474-08P</t>
  </si>
  <si>
    <t>Allyson Kaufman</t>
  </si>
  <si>
    <t>Allyson</t>
  </si>
  <si>
    <t>Ms. Allyson Kaufman serves as Head of Investor Relations at DCVC. She served as Managing Director at PhenixFIN. Previously, she worked in business development, fundraising, and investor relations roles for Medley Management, Corrum Capital, and Oak Hill. She began her career in the Asset Management Division at Goldman Sachs in New York, where she was a Senior Product Manager and Client Portfolio Manager. She received an MBA from the Stern School of Business at New York University and a BA in Politics, Philosophy, and Economics from the University of Pennsylvania.</t>
  </si>
  <si>
    <t>allyson.kaufman@dcvc.com</t>
  </si>
  <si>
    <t>50407-93P</t>
  </si>
  <si>
    <t>Chris Boshuizen Ph.D</t>
  </si>
  <si>
    <t>Boshuizen</t>
  </si>
  <si>
    <t>Dr. Chris Boshuizen serves as a Partner at DCVC. He served as a Board Member at TrustPoint. He served as Board Member at Capella Space. He is a Co-Founder and serves as Chief Technology Officer at Cosmogia. He is responsible for satellite production and the leadership of the engineering team. Previously, he was at NASA Ames, where he was the Co-Investigator on PhoneSat and led multiple partnership projects between NASA and private space exploration companies. He received his Ph.D. in Physics and Bachelor of Science with honors from the University of Sydney in Physics and Mathematics.</t>
  </si>
  <si>
    <t>chris.boshuizen@dcvc.com</t>
  </si>
  <si>
    <t>264275-38P</t>
  </si>
  <si>
    <t>Clara Chang</t>
  </si>
  <si>
    <t>Ms. Clara Chang serves as Vice President of Finance at DCVC. She is responsible for the accounting for the DCVC Bio funds, the daily operations of the management companies, and the operations of the GP &amp; Equity Partner entities. She has extensive experience in tax accounting and fund accounting for private equity and venture capital entities gained through her many years of work and training with top 5 global accounting firms PricewaterhouseCoopers, KPMG, and BDO. She received a BA degree in English Language and Literature from Hong Kong Baptist University and an MS in Taxation from Golden Gate University.</t>
  </si>
  <si>
    <t>clara@dcvc.com</t>
  </si>
  <si>
    <t>46487-35P</t>
  </si>
  <si>
    <t>Earl Jones</t>
  </si>
  <si>
    <t>Earl</t>
  </si>
  <si>
    <t>Mr. Earl Jones serves as a Board Member &amp; Advisor at ZwitterCo. He serves as an Operating Partner at DCVC. He served as Chief Executive Officer, President, and Board Member at Heartland Water Technology. He was a Co-Founder and served as a Member of Liberation Capital. He serves as Chairman at Aquafortus. He is a recognized thought leader in the Water Industry and has built and led high-performing teams for the past 25 years. Before Heartland, he helped co-found the Private Equity Fund Liberation Capital, which provided project financing for distributed energy and water infrastructure. He is formerly a Senior Executive at GE, serving in a variety of leadership roles, including as the Global Commercial Leader for GE Water responsible for Sales, Partnerships, Risk, and Project Development. He led the global eHealth Solutions business for GE Healthcare IT and was GE's Lean Six Sigma Leader for Supply-chain. Before GE, he was a Partner and CFO in management consulting, a supply-chain leader at Dell, and served honorably as a Submarine Officer in the US Navy. He holds an M.S. in EE/CS an MBA from M.I.T., and a B.Sc. in EE from the US Naval Academy.</t>
  </si>
  <si>
    <t>ejones@heartlandtech.com</t>
  </si>
  <si>
    <t>Aquafortus (Former)</t>
  </si>
  <si>
    <t>229825-81P</t>
  </si>
  <si>
    <t>Jack Buendorf</t>
  </si>
  <si>
    <t>Buendorf</t>
  </si>
  <si>
    <t>Mr. Jack Buendorf serves as an Associate at DCVC. He co-founded Poultry Patrol. As an Associate on the investment team, he is focused on aiding our Partners in research, deal execution, and other investment functions. Previously, he was an Investment Banking Analyst at Evercore in Menlo Park, where he worked on M&amp;A as well as public and private capital raises. While in college, he worked on an agricultural robotics start-up that autonomously monitors the health of farm animals. He grew up in Minnesota and received a BA in Mathematics &amp; Economics from St. Olaf College.</t>
  </si>
  <si>
    <t>jack.buendorf@dcvc.com</t>
  </si>
  <si>
    <t>440809-84P</t>
  </si>
  <si>
    <t>Jack Sauls</t>
  </si>
  <si>
    <t>Sauls</t>
  </si>
  <si>
    <t>Mr. Jack Sauls serves as an Associate at DCVC. He works closely with partners to assess investment opportunities, conduct due diligence, and analyze financial and market data across our portfolio. Before joining DCVC, he was an investment banking associate at Piper Sandler, where he advised biotech and biopharma companies on mergers and acquisitions, equity financings, and other strategic transactions. His experience spans multiple high-profile deals, including advising on late-stage acquisitions, IPOs, and financings totaling more than $1 billion. He earned a bachelor's degree in economics from Loyola Marymount University.</t>
  </si>
  <si>
    <t>jack.sauls@dcvc.com</t>
  </si>
  <si>
    <t>72593-29P</t>
  </si>
  <si>
    <t>James Hardiman</t>
  </si>
  <si>
    <t>Hardiman</t>
  </si>
  <si>
    <t>Mr. James Hardiman serves as a General Partner at DCVC. Mr. Hardiman serves as a Board Member at Lumafield. He served as Board Member at Sequence Bio. He serves as a Board Member at Valar Labs. He serves as Board Observer Citrine Informatics. He served as Board Observer at Fortem Technologies. He serves as a Board Member at Gradle, Noetik, and Shennon Biotechnologies. He serves as a Partner at Data Collective. He also serves as an Advisory Board Member at Preface Ventures. He is a Board Observer at Recursion Pharmaceuticals. He has experience advising both Fortune 50 and pre-revenue healthcare and biotech companies on their sales and marketing strategies. Previously, he was a consultant at ZS Associates where he advised management teams using insights gained from the analysis of large amounts of healthcare data. He holds a BS in Engineering Physics from the University of California, Berkeley, and his MBA from the University of Chicago Booth School Of Business.</t>
  </si>
  <si>
    <t>james.hardiman@dcvc.com</t>
  </si>
  <si>
    <t>62952-58P</t>
  </si>
  <si>
    <t>Jason Pontin</t>
  </si>
  <si>
    <t>Pontin</t>
  </si>
  <si>
    <t>Mr. Jason Pontin serves as a General Partner &amp; Member of the Investment Team at DCVC. He serves as a Chairman at Kanvas Biosciences. He also serves as a Board Member at TaTiO. He also serves as a Board Member at ZwitterCo, and Aquafortus. He serves as Executive Chairman at Stratos. He is a Co-Founder and serves as a Board Member at Totus Medicines. He has served as Senior Advisor at Flagship Pioneering. He served as a Senior Advisor at Cue Ball. In this role, he leads strategic communications for both Flagship Pioneering and the enterprise's ecosystem of pioneering ventures. He works on originating and developing new companies and is a key strategist for expanding the firm's domains of innovation. As the framer of Flagship's narrative and an architect of the value creation plan for each VentureLabs company, he is also the point of connection between Flagship's ecosystem and governments, NGOs, academia, foundations, and industry. From 2004 to 2017, he was CEO, editor-in-chief, and publisher of MIT Technology Review, the oldest technology publication in the world. He has written for The New York Times, The Economist, and The Financial Times, and still writes regularly for Wired. Before joining MIT Technology Review, he was the editor of Red Herring, a business magazine that was popular during the dot.com boom. At MIT, he was the founder and curator of Solve, MIT's open innovation platform, and the chairman of the MIT Enterprise Forum, the Institute's global community of entrepreneurs; and he reorganized MIT's news and communications as a senior advisor to President Susan Hockfield. In 2013, he delivered a TED talk entitled "Can technology solve our big problems?" which has been viewed more than 1.5 million times. He was educated in the United Kingdom at Harrow School and Keble College, Oxford University. He also serves as an Advisory Board Member at Social Impact Capital.</t>
  </si>
  <si>
    <t>jason.pontin@dcvc.com</t>
  </si>
  <si>
    <t>General Partner &amp; Member of Investment Team</t>
  </si>
  <si>
    <t>440813-62P</t>
  </si>
  <si>
    <t>Jeff Phaneuf</t>
  </si>
  <si>
    <t>Phaneuf</t>
  </si>
  <si>
    <t>Mr. Jeff Phaneuf serves as Chief of Staff at DCVC. He has led teams in politics, the Chief of Staff for Congressman Seth Moulton, commanded a Marine infantry platoon on a combat deployment to Iraq, and led advocacy efforts for No One Left Behind, the longest-standing non-profit supporting America's Afghan and Iraqi allies. He founded Adventurelist, an outdoor adventure sport marketplace, and has worked at various defense and biotech startups. He received a bachelor's degree in history and literature from Harvard University, an MPA in international relations from Princeton University, and an MBA from Stanford University's Graduate School of Business.</t>
  </si>
  <si>
    <t>jeff.phaneuf@dcvc.com</t>
  </si>
  <si>
    <t>212066-11P</t>
  </si>
  <si>
    <t>Kristen Rocca</t>
  </si>
  <si>
    <t>Rocca</t>
  </si>
  <si>
    <t>Ms. Kristen Rocca serves as Principal at DCVC. She served as Principal at Unovis Asset Management. She also serves as a Board Member at Green Rebel Foods. Before beginning her MBA and joining New Crop Capital, she focused on operations, strategy, and sustainability as a technology consultant with various international corporations. She has also supported non-profits ranging from international animal rescues to food and agricultural advocacy. During her MBA, she consulted with early-stage startups on strategy and operations initiatives. In her spare time, she loves adventure travel and cooking delicious plant-based meals.</t>
  </si>
  <si>
    <t>kristen.rocca@dcvc.com</t>
  </si>
  <si>
    <t>500 2nd Street</t>
  </si>
  <si>
    <t>389867-23P</t>
  </si>
  <si>
    <t>Linda Chang</t>
  </si>
  <si>
    <t>Ms. Linda Chang serves as Controller at DCVC. She leads the fund accounting and operations efforts for DCVC's flagship funds. In addition to overseeing the funds' annual audit, valuation, and quarterly processes, she seeks to synthesize efficiencies for the firm's financial and regulatory reporting requirements. Before DCVC, she spent more than 20 years in financial leadership roles at prestigious alternative asset management firms in New York, Boston, and the San Francisco Bay Area. Most recently, she consulted for various venture capital and private equity firms including Stanford Management Company, Kleiner Perkins, Horsley Bridge Partners, Riverwood Capital Partners, NGP Capital, Mainsail Partners, GI Partners, Stockbridge Capital, and Kiva Capital. She began her career in hedge fund accounting working for Michael Dell of Dell Technologies at MSD Capital. She received a bachelor's degree in economics from Boston University with a minor in biology.</t>
  </si>
  <si>
    <t>linda.chang@dcvc.com</t>
  </si>
  <si>
    <t>32704-66P</t>
  </si>
  <si>
    <t>Matthew O'Connell JD</t>
  </si>
  <si>
    <t>Mr. Matthew O'Connell serves as an Operating Partner at DCVC. He joined DCVC in 2020. He serves as a Board Member at Jupiter Intelligence. He serves as Chairman of the Board at Capella Space. He has held several leadership roles in the satellite, digital mapping, and intelligence industries. Before joining DCVC, he was a Managing Partner at Seraphim Capital (London). Before that, he was CEO of OneWeb until July 2016. In 2006, he founded GeoEye (NASDAQ: GEOY), a leading global provider of satellite and aerial imagery and digital mapping information, which was acquired by DigitalGlobe in 2013. He has served on several private company boards and government and industry advisory commissions. He has extensive experience in communications management and finance. Before forming GeoEye, he held executive positions with Crest Advisors, a New York-based venture capital firm focused on telecom infrastructure, Sony Worldwide Networks, and Cablevision Systems Corporation. He began his career as a mergers and acquisitions attorney on Wall Street. He received an LLB from the University of Virginia School of Law and a BA in classics from Trinity College.</t>
  </si>
  <si>
    <t>+1 (703) 480-7524</t>
  </si>
  <si>
    <t>matt.oconnell@dcvc.com</t>
  </si>
  <si>
    <t>40534-03P</t>
  </si>
  <si>
    <t>Matthew Ocko</t>
  </si>
  <si>
    <t>Ocko</t>
  </si>
  <si>
    <t>Mr. Matthew Ocko is a Co-Founder and serves as Managing Partner at DCVC. Mr. Ocko serves as a Board Member at Tradeshift. He also serves as an Independent Investment Committee Member at Elevate NZ Venture Fund. He serves as Board Member at Capella Space. He served as a Board Member at Nervana Systems. He is a Co-Founder and serves as Managing Partner at DCVC Bio. Previously, he was a Board Member of BlueTalon, Auransa, 3Scan, Agenovir, and Declara. He serves as a Local Partner at Mass Innovations. He serves as a Board Member at Kentik, Agility Robotics, Primer, Atomwise, and Reach Labs. He served as a Board Member at Jupiter Intelligence. He was also the Managing Director at Archimedes Capital. He also sits on the Board of Fortem Technologies, Rocket Lab, and Pierson Labs. He also served as an Advisor of Blockchain Capital. He also served as a Board Member at Cofactor Genomics. He also serves as Managing Director at Archimedes Capital, as an Advisor at Instart Logic &amp; Signifyd, and as a Partner at Sevin Rosen Funds a sourcing partner in SRB Partners Fund, and has worked with Sevin Rosen since 2002. For SRB Partners Fund, he will focus on deals in the data center, enterprise, big data (including analytics, machine learning, sensor platforms, and deep vertical applications), and Web 2.0 (large-scale software platforms). He has been active in helping develop China's venture capital and technology regulatory framework for two decades and his 1996 lecture to the Central Committee Party School on Venture Capital with a Chinese Face has been widely distributed at all levels of government in China. He also serves as an Advisor at Instart Logic. He holds a BA in physics from Yale University. He is also an Angel Investor. He also served as a Venture Partner at Sevin Rosen Funds. He served as a Board member at Vium. He is also an Angel Investor. He served as an Advisor at BranchOut. He serves as an Advisor at the Store. he serves as Board Member at Mosaic ML.</t>
  </si>
  <si>
    <t>matt@dcvc.com</t>
  </si>
  <si>
    <t>41064-40P</t>
  </si>
  <si>
    <t>Michael Driscoll Ph.D</t>
  </si>
  <si>
    <t>Driscoll</t>
  </si>
  <si>
    <t>Dr. Michael Driscoll is a Co-Founder &amp; serves as Chief Executive Officer at Rill Data. Dr. Driscoll served as Chairman at Dataspora. He is the Co-Founder and serves as the Board Member and Chief Executive Officer at Metamarkets. He is a Founding Partner at DCVC. He has a decade of experience developing large-scale databases and predictive algorithms for digital media, financial, and life sciences firms. He is the CEO and co-founder at Metamarkets, a start-up providing Big Data and analytics solutions for a new generation of cloud services and mobile applications. He is also Chairman of Diaspora, a big data and analytics consultancy he founded in 2007. Previously, he founded the online retailer, CustomInk.com, and worked as a software engineer for the Human Genome Project. h holds a PhD in Bioinformatics from Boston University and BA from Harvard University.</t>
  </si>
  <si>
    <t>mdriscoll@rilldata.com</t>
  </si>
  <si>
    <t>18 Bartol Street</t>
  </si>
  <si>
    <t>Suite 1241</t>
  </si>
  <si>
    <t>Rill Data</t>
  </si>
  <si>
    <t>187994-62P</t>
  </si>
  <si>
    <t>Milo Werner</t>
  </si>
  <si>
    <t>Milo</t>
  </si>
  <si>
    <t>Ms. Milo Werner serves as General Partner at DCVC. She serves as a Board Member at unspun, Infinitum. She served as a General Partner at Engine Ventures. She serves as a Board Member at Bright (Other Energy Services). She served as a Partner at Lime. She served as a Partner at Ajax Strategies. Previously, she served as a Board Member at Gradient, Ketos, Geli, Pinnacle, Atlantic Quantum, Mori, and Foundation Alloy. She served as a Board Member at AxleHire and as a Board Observer at Auto Motive Power. Before joining Ajax, she led operations strategy for Khosla Ventures. Before Khosla Ventures, she led engineering at Off-Grid Electric. Earlier in her career, she launched four major products at Fitbit and commissioned their first fully automated manufacturing line. She joined Tesla in 2007, where she led new product introduction, launching the Model S powertrain, dual motor, driver assist, and Model X. She sits on the Board of the University of Vermont College of Engineering and Mathematical Sciences and is a former President of the MIT Leaders for Global Operations Alumni association. She sits on the boards of the UVM College of Engineering and Mathematical Sciences. She earned a B.S. in Geology and Civil and Environmental Engineering from the University of Vermont, as well as an MS in Civil Engineering and an MBA from the Massachusetts Institute of Technology. She served as a Board Member at enVerid.</t>
  </si>
  <si>
    <t>+1 (415) 504-1582</t>
  </si>
  <si>
    <t>milo.werner@dcvc.com</t>
  </si>
  <si>
    <t>53354-53P</t>
  </si>
  <si>
    <t>Monica Rogati Ph.D</t>
  </si>
  <si>
    <t>Rogati</t>
  </si>
  <si>
    <t>Dr. Monica Rogati serves as an Equity Partner at Data Collective. Dr. Rogati serves as the Vice President of Data at AliphCom. Previously, she served as Vice President of Data at Jawbone. She holds a BS degree in Computer Science from the University of New Mexico and an MS degree in Computer Science from Carnegie Mellon University. She received PhD in Computer Science from Carnegie Mellon University.</t>
  </si>
  <si>
    <t>mrogati@dcvc.com</t>
  </si>
  <si>
    <t>Equity Partner</t>
  </si>
  <si>
    <t>304350-40P</t>
  </si>
  <si>
    <t>Rachel Slaybaugh Ph.D</t>
  </si>
  <si>
    <t>Slaybaugh</t>
  </si>
  <si>
    <t>Dr. Rachel Slaybaugh serves as a Partner at DCVC. She serves as a Board Member and Board Observer at Fervo Energy. She serves as a Board Member at Radiant. She serves as a Board Member at Fourth Power. She was an Associate Professor of Nuclear Engineering at the University of California, Berkeley where she held leadership roles in several data science and entrepreneurship efforts. She was a Division Director at Lawrence Berkeley National Laboratory where she ran the Cyclotron Road Division. She served as a Program Director at the Department of Energy's ARPA-E, where she created the nuclear fission program and managed the agriculture portfolio as well as solar and virtual reality teams. She co-founded the Good Energy Collective and currently serves as Chair of the Board. She received a B.S. in Nuclear Engineering from Penn State and a M.S. and Ph.D. from the University of Wisconsin-Madison in Nuclear Engineering and Engineering Physics. She serves as a Board Observer at Brimstone.</t>
  </si>
  <si>
    <t>rachel.slaybaugh@dcvc.com</t>
  </si>
  <si>
    <t>78632-38P</t>
  </si>
  <si>
    <t>Ryan Ward JD</t>
  </si>
  <si>
    <t>Mr. Ryan Ward serves as Chief Legal Officer at DCVC. He manages DCVC's legal execution and strategy, including all investing activities, portfolio matters, and compliance. He was the general counsel at Andreessen Horowitz (a16z). He received a bachelor's degree in chemical engineering from the University of Colorado at Boulder and a JD from Harvard Law School.</t>
  </si>
  <si>
    <t>ryan.ward@dcvc.com</t>
  </si>
  <si>
    <t>32629-96P</t>
  </si>
  <si>
    <t>Spencer Punter</t>
  </si>
  <si>
    <t>Punter</t>
  </si>
  <si>
    <t>Mr. Spencer Punter serves as Chief Operating Officer and Partner at DCVC. He previously served as Chief Financial Officer and Chief Operating Officer at Appcelerator. He also previously served as Chief Financial Officer and Financial Advisor at SnapLogic. He is an Advisor at Capital Dynamics Silicon Valley Office. He has several years of experience in Silicon Valley as an investment banker, venture capitalist, and company operator. He was the Fund Manager of the Late Stage Venture Capital Fund at Bay Partners and a General Partner in the private equity group at Bowman Capital. Before that, he was an Associate at Integral Capital Partners, a crossover public market and venture capital fund affiliated with Kleiner Perkins Caufield &amp; Byers. He also co-founded and served as an executive in two venture-backed technology companies. He holds a BS in Physical Sciences from Harvard University.</t>
  </si>
  <si>
    <t>+1 (650) 248-4393</t>
  </si>
  <si>
    <t>spencer@dcvc.com</t>
  </si>
  <si>
    <t>389858-50P</t>
  </si>
  <si>
    <t>Stephen Beaton</t>
  </si>
  <si>
    <t>Beaton</t>
  </si>
  <si>
    <t>Mr. Stephen Beaton serves as an Entrepreneur in Residence at DCVC. Before joining DCVC, he worked as a scientist at the National Renewable Energy Laboratory, the Air Force Research Laboratory, and the Pentagon. He received a bachelor's degree in biochemistry from the U.S. Air Force Academy and performed his doctorate work under Professor Fraser Armstrong at the University of Oxford, receiving a DPhil in inorganic chemistry.</t>
  </si>
  <si>
    <t>stephen.beaton@dcvc.com</t>
  </si>
  <si>
    <t>52827-04P</t>
  </si>
  <si>
    <t>Zachary Bogue JD</t>
  </si>
  <si>
    <t>Bogue</t>
  </si>
  <si>
    <t>Mr. Zachary Bogue serves as a Board Member at Planet Labs. He serves as an Advisor at Upside. He is a Co-Founder and serves as Managing Partner at Data Collective and DCVC and DCVC Bio. He serves as a Board Member at CH4 Global, Vium, Oklo, and Recursion Pharmaceuticals. He serves as Board Observer at Relation.</t>
  </si>
  <si>
    <t>+1 (844) 892-0786</t>
  </si>
  <si>
    <t>zack@dcvc.com</t>
  </si>
  <si>
    <t>285625-00P</t>
  </si>
  <si>
    <t>Mike Bridges</t>
  </si>
  <si>
    <t>Bridges</t>
  </si>
  <si>
    <t>DealBench</t>
  </si>
  <si>
    <t>Mr. Mike Bridges serves as Managing Member at DealBench.</t>
  </si>
  <si>
    <t>mike@dealbench.com</t>
  </si>
  <si>
    <t>3655 Ella Lee Lane</t>
  </si>
  <si>
    <t>77027</t>
  </si>
  <si>
    <t>Managing Member</t>
  </si>
  <si>
    <t>246694-96P</t>
  </si>
  <si>
    <t>Bobak Emamian</t>
  </si>
  <si>
    <t>Bobak</t>
  </si>
  <si>
    <t>Emamian</t>
  </si>
  <si>
    <t>Debut Capital</t>
  </si>
  <si>
    <t>Mr. Bobak Emamian is a Co-Founder and serves as Managing Partner at Debut Capital. Mr. Emamian is an Angel Investor. He co-founded and served as Chief Executive Officer at Prolific Interactive. Prior to Debut Capital, he was the co-founder &amp; CEO at Prolific Interactive (acquired by WeWork in 2019), an award-winning strategy-led mobile product agency recognized as one of Inc. 500's fastest-growing private companies and one of Crain's Fast 50. Prolific designed and built apps for companies like Rent The Runway, SoulCycle, Saks, Gap, and American Express. He is also passionate about launching social impact projects such as 8cantwait.org and whileathome.org.</t>
  </si>
  <si>
    <t>+1 (203) 213-2203</t>
  </si>
  <si>
    <t>bobak@debutcapital.com</t>
  </si>
  <si>
    <t>152620-84P</t>
  </si>
  <si>
    <t>Brenda Freeman</t>
  </si>
  <si>
    <t>Brenda</t>
  </si>
  <si>
    <t>Freeman</t>
  </si>
  <si>
    <t>Ms. Brenda Freeman is the Founder of Joyeux Advisory Group. She served as an Advisor at Emerge. She serves as a Board Member, Member of the Audit Committee, and Chair of the Nominating and Corporate Governance Committee at Weedmaps. She serves as Board Member at Looking Glass. She served as Chief Brand Officer and Strategic Advisor at Wunderkind. She has served as a member of our board of directors since June 2021. Since February 2020, she has served as Chief Executive Officer for Arteza, Inc., a direct-to-consumer arts and crafts manufacturing and supply company. She founded and has served as President of Joyeux Advisory Group LLC, a firm providing advisory services to early-stage startups and Fortune 500 companies, since January 2018. She previously served on the board of directors of Herman Miller, Inc. from January 2016 to June 2019 and on the board of directors of RTW Retailwinds, Inc. from April 2019 to April 2020. Previously, she served as Chief Marketing Officer at Turner Broadcasting Systems, Inc., and was Vice President, of television marketing at DreamWorks Animation SKG Inc. She holds a B.S. degree in chemical engineering and an MBA degree from the University of Maryland.</t>
  </si>
  <si>
    <t>+1 (844) 933-3627</t>
  </si>
  <si>
    <t>bfreeman@weedmaps.com</t>
  </si>
  <si>
    <t>Irvine</t>
  </si>
  <si>
    <t>Irvine, CA</t>
  </si>
  <si>
    <t>41 Discovery</t>
  </si>
  <si>
    <t>92618</t>
  </si>
  <si>
    <t>Board Member, Member of the Audit Committee, Chair of the Nominating and Corporate Governance Committee</t>
  </si>
  <si>
    <t>Weedmaps</t>
  </si>
  <si>
    <t>112472-47P</t>
  </si>
  <si>
    <t>Kesha Cash</t>
  </si>
  <si>
    <t>Kesha</t>
  </si>
  <si>
    <t>Cash</t>
  </si>
  <si>
    <t>Ms. Kesha Cash is the Founder and serves as a General Partner at Impact America Fund. She also serves as Board Member at CareAcademy. She serves as Advisor at Red Rabbit. She also serves as an Advisor at Debut Capital. She was named one of Fast Company's "100 Most Creative People in Business" and is the subject of a 2016 Stanford Graduate School of Business case study on how to form a successful impact venture capital firm. She has nearly a decade of experience and leadership in impact investing, previously at Jalia Ventures, a $5 million fund that she co-founded with Josh Mailman to invest in mission-driven entrepreneurs of color, and as an investment associate at Bridges Ventures in the UK. She has also worked as an operational consultant to small businesses in inner-city Los Angeles and as a mergers and acquisitions analyst at Merrill Lynch. She currently serves on the board of directors of Eileen Fisher, Inc. She received her M.B.A. from Columbia University and her B.A. in Applied Mathematics from UC Berkeley.</t>
  </si>
  <si>
    <t>+1 (646) 397-1409</t>
  </si>
  <si>
    <t>kcash@impactamericafund.com</t>
  </si>
  <si>
    <t>2323 Broadway</t>
  </si>
  <si>
    <t>Impact America Fund</t>
  </si>
  <si>
    <t>246694-15P</t>
  </si>
  <si>
    <t>Pilar Johnson</t>
  </si>
  <si>
    <t>Pilar</t>
  </si>
  <si>
    <t>Ms. Pilar Johnson is a Co-Founder and serves as a Managing Partner at Debut Capital. Prior to Debut Capital, she led operations at Prolific Interactive including the Diversity &amp; Inclusion implementation and strategy for the company. Beyond D&amp;I, she has also led efforts in M&amp;A, Finance, and People Operations. She is passionate about creating equitable safe spaces for the Black, Latinx, and Indigenous community and continues to work with startups on ways to make an authentic impact in their workplace. She also serves as Angel Investor at Pilar Johnson.</t>
  </si>
  <si>
    <t>pilar@debutcapital.com</t>
  </si>
  <si>
    <t>333997-30P</t>
  </si>
  <si>
    <t>Adam Dawson</t>
  </si>
  <si>
    <t>Dawson</t>
  </si>
  <si>
    <t>Delta Emerald Ventures</t>
  </si>
  <si>
    <t>Mr. Adam Dawson serves as Director of Investor Relations at Delta Emerald Ventures. His drive is to discover the future through the technologies and people that shape it. Previously, he was a senior leader at Leafly and an investor at Mousse Partners. He holds a B.A. in Economics from Trinity College.</t>
  </si>
  <si>
    <t>adawson@deltaemerald.com</t>
  </si>
  <si>
    <t>408 Broadway</t>
  </si>
  <si>
    <t>207702-91P</t>
  </si>
  <si>
    <t>Ian Dominguez</t>
  </si>
  <si>
    <t>Chief Investment Officer &amp; Founder</t>
  </si>
  <si>
    <t>Mr. Ian Dominguez is the Founder &amp; serves as Chief Investment Officer at Delta Emerald Ventures. Prior to Delta Emerald, he was a Senior Consumer Analyst at Schonfeld, a hedge fund based in New York City. He holds a B.S. in Commerce from the University of Virginia. He serves as Board Member at Happy Cabbage Analytics.</t>
  </si>
  <si>
    <t>+1 (212) 909-1601</t>
  </si>
  <si>
    <t>idominguez@deltaemerald.com</t>
  </si>
  <si>
    <t>Founder &amp; Chief Investment Officer</t>
  </si>
  <si>
    <t>241347-97P</t>
  </si>
  <si>
    <t>Michael Smith</t>
  </si>
  <si>
    <t>Mr. Michael Smith serves as Principal at Delta Emerald Ventures. a private investment fund specializing in the cannabis industry. The fund primarily invests in licensed operators, ancillary businesses, and intellectual property platforms, with a focus on leading Series Seed to Series B rounds. Founded in 2019, Delta Emerald Ventures has built a diverse portfolio of over 20 companies throughout the cannabis value chain, including three hemp-derived delta-9 beverage brands. Before his tenure at Delta Emerald Ventures, he held the position of Principal at SevenVentures, the venture investment arm of an international media conglomerate, 25% owned by General Atlantic. At SevenVentures, he spearheaded investments in e-commerce, marketplace, digital, and new media companies, focusing on stages from Series B to pre-IPO rounds. He brings over a decade of experience in working with early-stage companies across the consumer, media, and software sectors. His extensive background encompasses executive roles at emerging companies in the beverage, pasta, and retail industries, along with numerous advisory positions focusing on finance and strategy. He began his career at Goldman Sachs and Soros Fund Management, laying a solid foundation for his expertise in investment and corporate growth. He graduated from the University of Southern California, where he earned his B.A. in Global Finance and International Relations with Magna Cum Laude distinction, as well as the academic honor of Phi Beta Kappa membership.</t>
  </si>
  <si>
    <t>msmith@deltaemerald.com</t>
  </si>
  <si>
    <t>360057-34P</t>
  </si>
  <si>
    <t>Abhi Desai</t>
  </si>
  <si>
    <t>Abhi</t>
  </si>
  <si>
    <t>Desai Ventures</t>
  </si>
  <si>
    <t>Mr. Abhi Desai serves as Partner, Climate at Desai Ventures.</t>
  </si>
  <si>
    <t>abhi@desaiventures.io</t>
  </si>
  <si>
    <t>Ahmedabad</t>
  </si>
  <si>
    <t>Ahmedabad, India</t>
  </si>
  <si>
    <t>Partner, Climate</t>
  </si>
  <si>
    <t>360058-69P</t>
  </si>
  <si>
    <t>Ketul Patel</t>
  </si>
  <si>
    <t>Ketul</t>
  </si>
  <si>
    <t>Mr. Ketul Patel serves as Chief Executive Officer at Desai Ventures.</t>
  </si>
  <si>
    <t>ketul@desaiventures.io</t>
  </si>
  <si>
    <t>274218-67P</t>
  </si>
  <si>
    <t>Shaival Desai</t>
  </si>
  <si>
    <t>Shaival</t>
  </si>
  <si>
    <t>Mr. Shaival Desai serves as Partner, India at Desai Ventures. He serves as Chief Growth Officer &amp; Board Member at PetPooja. He serves as Board Member at VastraApp.</t>
  </si>
  <si>
    <t>+91 (0)91 0436 9797</t>
  </si>
  <si>
    <t>shaival.desai@petpooja.com</t>
  </si>
  <si>
    <t>Unit 81, 8th Floor, Titanium</t>
  </si>
  <si>
    <t>Corporate Road, Prahladnagar</t>
  </si>
  <si>
    <t>380015</t>
  </si>
  <si>
    <t>Chief Growth Officer &amp; Board Member</t>
  </si>
  <si>
    <t>PetPooja</t>
  </si>
  <si>
    <t>165726-64P</t>
  </si>
  <si>
    <t>Hiroshi Shimizu</t>
  </si>
  <si>
    <t>Hiroshi</t>
  </si>
  <si>
    <t>Development Bank of Japan</t>
  </si>
  <si>
    <t>Board Member &amp; Executive Officer</t>
  </si>
  <si>
    <t>Mr. Hiroshi Shimizu serves as Managing Executive Officer &amp; Board Member at Development Bank of Japan.</t>
  </si>
  <si>
    <t>+81 (0)33 270 3211</t>
  </si>
  <si>
    <t>hiroshishimizu@dbj.sg</t>
  </si>
  <si>
    <t>Otemachi Financial City South Tower 9-6</t>
  </si>
  <si>
    <t>Otemachi 1-chome, Chiyoda-ku</t>
  </si>
  <si>
    <t>100-8178</t>
  </si>
  <si>
    <t>Managing Executive Officer &amp; Board Member</t>
  </si>
  <si>
    <t>194806-54P</t>
  </si>
  <si>
    <t>Keisuke Takegahara</t>
  </si>
  <si>
    <t>Takegahara</t>
  </si>
  <si>
    <t>Executive Officer &amp; Manager</t>
  </si>
  <si>
    <t>Mr. Keisuke Takegahara serves as Executive Officer, Deputy Chief Research Officer &amp; Chief Manager of the Sustainability Management Office, Corporate Planning and Coordination Department at the Development Bank of Japan.</t>
  </si>
  <si>
    <t>keisuketakegahara@dbj.sg</t>
  </si>
  <si>
    <t>Executive Officer, Deputy Chief Research Officer &amp; Chief Manager of Sustainability Management Office, Corporate Planning and Coordination Department</t>
  </si>
  <si>
    <t>117747-01P</t>
  </si>
  <si>
    <t>Makoto Anayama</t>
  </si>
  <si>
    <t>Anayama</t>
  </si>
  <si>
    <t>Mr. Makoto Anayama serves as an Executive Director, of the Research Institute of Capital Formation at the Development Bank of Japan.</t>
  </si>
  <si>
    <t>makotoanayama@dbj.sg</t>
  </si>
  <si>
    <t>Executive Director, Research Institute of Capital Formation</t>
  </si>
  <si>
    <t>364638-52P</t>
  </si>
  <si>
    <t>Mitsuru Ota</t>
  </si>
  <si>
    <t>Mitsuru</t>
  </si>
  <si>
    <t>Ota</t>
  </si>
  <si>
    <t>Mr. Mitsuru Ota serves as Chairman at Development Bank of Japan.</t>
  </si>
  <si>
    <t>mitsuruota@dbj.sg</t>
  </si>
  <si>
    <t>117750-97P</t>
  </si>
  <si>
    <t>Norifumi Sugimoto</t>
  </si>
  <si>
    <t>Norifumi</t>
  </si>
  <si>
    <t>Sugimoto</t>
  </si>
  <si>
    <t>Mr. Norifumi Sugimoto serves as Deputy President at the Development Bank of Japan. Previously, he held positions of General Manager of the Secretariat Office, Executive Officer-Head of the Corporate Planning &amp; Coordination Department, Managing Executive Officer, and Member of the Board of Directors at the Development Bank of Japan.</t>
  </si>
  <si>
    <t>norifumisugimoto@dbj.sg</t>
  </si>
  <si>
    <t>Deputy President</t>
  </si>
  <si>
    <t>117747-46P</t>
  </si>
  <si>
    <t>Seiji Jige</t>
  </si>
  <si>
    <t>Seiji</t>
  </si>
  <si>
    <t>Jige</t>
  </si>
  <si>
    <t>Mr. Seiji Jige serves as President, Chief Executive Officer and Board Member at Development Bank of Japan. He is in charge of Regional Planning Department, Structured Finance Department, Hokuriku Branch, Tokai Branch, Kyushu Branch, Minami-Kyushu Branch, Special Missions (e.g. Capitalization Strategy).</t>
  </si>
  <si>
    <t>seijijige@dbj.sg</t>
  </si>
  <si>
    <t>165730-42P</t>
  </si>
  <si>
    <t>Shinichi Yasuda</t>
  </si>
  <si>
    <t>Yasuda</t>
  </si>
  <si>
    <t>Mr. Shinichi Yasuda serves as Senior Vice President of the Structured Finance Department at the Development Bank of Japan. He has a long and powerful career in project finance and equity investment for energy infrastructure projects.</t>
  </si>
  <si>
    <t>shinichiyasuda@dbj.sg</t>
  </si>
  <si>
    <t>Senior Vice President, Structured Finance Department</t>
  </si>
  <si>
    <t>408679-48P</t>
  </si>
  <si>
    <t>Shun Shimogori</t>
  </si>
  <si>
    <t>Shun</t>
  </si>
  <si>
    <t>Shimogori</t>
  </si>
  <si>
    <t>Mr. Shun Shimogori serves as Alternative (PE) Investment Manager at Development Bank of Japan.</t>
  </si>
  <si>
    <t>Alternative (PE) Investment Manager</t>
  </si>
  <si>
    <t>194807-26P</t>
  </si>
  <si>
    <t>Toshiyasu Takazawa</t>
  </si>
  <si>
    <t>Toshiyasu</t>
  </si>
  <si>
    <t>Takazawa</t>
  </si>
  <si>
    <t>Mr. Toshiyasu Takazawa serves as Managing Executive Officer &amp; Board Member at Development Bank of Japan. He Joined The Japan Development Bank and he was General Manager, Head of Corporate Finance Department, Division 4 of DBJ and in 2024 He became Member of the Board of Directors, Managing Executive Officer of DBJ.</t>
  </si>
  <si>
    <t>toshiyasutakazawa@dbj.sg</t>
  </si>
  <si>
    <t>243004-42P</t>
  </si>
  <si>
    <t>Tsutomu Murakami</t>
  </si>
  <si>
    <t>Murakami</t>
  </si>
  <si>
    <t>Mr. Tsutomu Murakami serves as Managing Executive Officer &amp; Board Member at Development Bank of Japan. He also serves as a Board Member at the DBJ Asset Management.</t>
  </si>
  <si>
    <t>tsutomu.murakami@dbj.sg</t>
  </si>
  <si>
    <t>197559-37P</t>
  </si>
  <si>
    <t>Yoshiyuki Kasuga</t>
  </si>
  <si>
    <t>Yoshiyuki</t>
  </si>
  <si>
    <t>Kasuga</t>
  </si>
  <si>
    <t>Mr. Yoshiyuki Kasuga serves as Executive Officer, Head of Business Planning &amp; Coordination Department at Development Bank of Japan.</t>
  </si>
  <si>
    <t>ykasuga@dbj.jp</t>
  </si>
  <si>
    <t>Executive Officer, Head of Business Planning &amp; Coordination Department</t>
  </si>
  <si>
    <t>382613-86P</t>
  </si>
  <si>
    <t>Yuki Takemori</t>
  </si>
  <si>
    <t>Takemori</t>
  </si>
  <si>
    <t>Yuki Takemori serves as Head of Innovation Promotion Office at Development Bank of Japan. He also serves as the External Director at Avatarin.</t>
  </si>
  <si>
    <t>External Director</t>
  </si>
  <si>
    <t>355491-64P</t>
  </si>
  <si>
    <t>Christopher Carr</t>
  </si>
  <si>
    <t>Devon Energy</t>
  </si>
  <si>
    <t>Mr. Christopher Carr serves as Manager, Investor Relations at Devon Energy.</t>
  </si>
  <si>
    <t>+1 (405) 235-3611</t>
  </si>
  <si>
    <t>ccarr@devonenergy.com</t>
  </si>
  <si>
    <t>Oklahoma City</t>
  </si>
  <si>
    <t>Oklahoma City, OK</t>
  </si>
  <si>
    <t>333 West Sheridan Avenue</t>
  </si>
  <si>
    <t>Oklahoma</t>
  </si>
  <si>
    <t>73102-5015</t>
  </si>
  <si>
    <t>Senior Manager, Investor Relations</t>
  </si>
  <si>
    <t>83766-97P</t>
  </si>
  <si>
    <t>Clay Gaspar</t>
  </si>
  <si>
    <t>Clay</t>
  </si>
  <si>
    <t>Gaspar</t>
  </si>
  <si>
    <t>Mr. Clay Gaspar serves as President, Chief Executive Officer &amp; Board Member at Devon Energy. He was appointed to the board of directors in March 2025. He previously served as Executive Vice President and Chief Operating Officer of the company, a role he assumed in January 2021 following Devon's merger with WPX Energy. While at WPX, he served as President and Chief Operating Officer and sat on the board of directors. His earlier career includes technical and leadership positions with Newfield Exploration, Anadarko Petroleum and Mewbourne Oil. He serves on the boards of the Permian Strategic Partnership and the American Heart Association Southwest Region, is chairman of the Upstream Committee of the American Petroleum Institute and is a member of the Texas A&amp;M Engineering Advisory Council. He earned a bachelor's degree in Petroleum Engineering from Texas A&amp;M University, a master's degree in Petroleum and Geosciences Engineering from the University of Texas and is a registered professional engineer in the state of Texas.</t>
  </si>
  <si>
    <t>gaspar@devonenergy.com</t>
  </si>
  <si>
    <t>289887-22P</t>
  </si>
  <si>
    <t>Daniel Brunsman</t>
  </si>
  <si>
    <t>Brunsman</t>
  </si>
  <si>
    <t>Mr. Daniel Brunsman serves as Advising Landman at Devon Energy.</t>
  </si>
  <si>
    <t>dbrunsman@devonenergy.com</t>
  </si>
  <si>
    <t>Advising Landman</t>
  </si>
  <si>
    <t>265662-37P</t>
  </si>
  <si>
    <t>David Harris</t>
  </si>
  <si>
    <t>Mr. David Harris serves as Executive Vice President &amp; Chief Corporate Development Officer at Devon Energy. Effective date of Merger, on January 7, 2021, He was appointed as Executive Vice President and Chief Corporate Development Officer of the Company. He is responsible for Devon's business development, land, and technology functions. He also serves as a Trustee at the University of Tulsa Endowment. Prior to the WPX merger, he served as executive vice president of exploration and production responsible for all of Devon's business units, as well as land, technology, subsurface and environment, health, and safety groups. He has previously served as senior vice president of exploration and production, senior vice president of business development, vice president of corporate finance and treasurer, and associate general counsel. He has been with Devon since 2007. Prior to joining Devon, he was a partner in the Dallas office of Thompson &amp; Knight LLP, specializing in corporate and securities matters. He holds a bachelor's degree from the University of Tulsa and a law degree from the University of Oklahoma.</t>
  </si>
  <si>
    <t>dharris@devonenergy.com</t>
  </si>
  <si>
    <t>Executive Vice President &amp; Executive</t>
  </si>
  <si>
    <t>265661-83P</t>
  </si>
  <si>
    <t>Dennis Cameron</t>
  </si>
  <si>
    <t>Executive Vice President &amp; General Counsel</t>
  </si>
  <si>
    <t>Mr. Dennis Cameron serves as Executive Vice President &amp; General Counsel at Devon Energy. Effective date of Merger, on January 7, 2021, Mr. Dennis C. Cameron was appointed as Executive Vice President and General Counsel of the Company. He is responsible for the Devon's legal and public and government affairs functions. Cameron most recently served as executive vice president and general counsel of WPX Energy. He joined WPX in 2012, previously serving as senior vice president and general counsel, vice president and deputy general counsel and assistant general counsel. Cameron has over 25 years of legal experience. He began his career in 1987 at GableGotwals, a private, full-service firm he was with until joining WPX. Cameron is a member of the Oklahoma, Texas, Tulsa County and American Bar associations, as well as the Rocky Mountain Mineral Law Foundation. He holds bachelor's degree in mechanical engineering and a law degree, both from the from the University of Oklahoma.</t>
  </si>
  <si>
    <t>dennis.cameron@devonenergy.com</t>
  </si>
  <si>
    <t>180383-32P</t>
  </si>
  <si>
    <t>Ervell Boyd</t>
  </si>
  <si>
    <t>Ervell</t>
  </si>
  <si>
    <t>Mr. Ervell Boyd serves as Energy Ventures Analyst at Devon Energy. He served as Financial Analyst at MidFirst Bank. He holds a BBA degree in Finance from University of Central Oklahoma.</t>
  </si>
  <si>
    <t>ervell.boyd@dvn.com</t>
  </si>
  <si>
    <t>Energy Ventures Analyst</t>
  </si>
  <si>
    <t>242087-05P</t>
  </si>
  <si>
    <t>Garrett Jackson</t>
  </si>
  <si>
    <t>Mr. Garrett Jackson serves as Vice President of Environmental, Health, and Safety at Devon Energy.</t>
  </si>
  <si>
    <t>garrett_j@devonenergy.com</t>
  </si>
  <si>
    <t>Vice President of Environmental, Health, and Safety</t>
  </si>
  <si>
    <t>359358-04P</t>
  </si>
  <si>
    <t>Greg Horne</t>
  </si>
  <si>
    <t>Horne</t>
  </si>
  <si>
    <t>Mr. Greg Horne serves as Vice President, Marketing &amp; Midstream at Devon Energy. He also serves as Board Member at NDB Midstream.</t>
  </si>
  <si>
    <t>ghorne@devonenergy.com</t>
  </si>
  <si>
    <t>Vice President, Marketing &amp; Midstream</t>
  </si>
  <si>
    <t>48465-10P</t>
  </si>
  <si>
    <t>J. Larry Nichols</t>
  </si>
  <si>
    <t>J. Larry</t>
  </si>
  <si>
    <t>Nichols</t>
  </si>
  <si>
    <t>Mr. J. Larry Nichols is the Co-Founder of the Devon Energy. He is a Board Member of Sonic. He served as executive chairman from June 2010 to 2016 after previously holding the position of chairman since 2000 and chief executive officer since 1980. He served as law clerk to Chief Justice Earl Warren and Justice Tom Clark of the U.S. Supreme Court from 1967 to 1968. He then served as special assistant to Assistant Attorney General William Rehnquist in the U.S. Department of Justice in Washington, D.C. He is vice chairman of the National Petroleum Council and serves on the board of the National Association of Manufacturers. He is a former chairman of both the American Petroleum Institute and the American Exploration &amp; Production Council. He has a Bachelor's degree in Geology from Princeton University and a Law degree from the University of Michigan.</t>
  </si>
  <si>
    <t>lnichols@devonenergy.com</t>
  </si>
  <si>
    <t>173812-60P</t>
  </si>
  <si>
    <t>Jeffrey Ritenour</t>
  </si>
  <si>
    <t>Ritenour</t>
  </si>
  <si>
    <t>Mr. Jeffrey Ritenour serves as Chief Financial Officer &amp; Executive Vice President at Devon Energy. He was appointed to the position of executive vice president and chief financial officer in April 2017. Ritenour is responsible for Devon's corporate finance, treasury, planning, reserves, accounting, tax, internal audit, investor relations, marketing and supply chain functions. He has been with Devon since 2001, serving in various leadership roles, most recently as senior vice president of corporate finance, investor relations and treasury. Before joining Devon, Ritenour was with Ernst &amp; Young in Dallas. He is a certified public accountant and holds a bachelor's degree in accounting and a master's degree in business administration, both from the University of Oklahoma.</t>
  </si>
  <si>
    <t>jeff_l.ritenour@devonenergy.com</t>
  </si>
  <si>
    <t>442735-39P</t>
  </si>
  <si>
    <t>Joe Pullampally</t>
  </si>
  <si>
    <t>Pullampally</t>
  </si>
  <si>
    <t>Mr. Joe Pullampally serves as Vice President of Corporate Finance &amp; Treasurer at Devon Energy.</t>
  </si>
  <si>
    <t>pullampally@devonenergy.com</t>
  </si>
  <si>
    <t>Vice President of Corporate Finance &amp; Treasurer</t>
  </si>
  <si>
    <t>393352-66P</t>
  </si>
  <si>
    <t>John Sherrer</t>
  </si>
  <si>
    <t>Sherrer</t>
  </si>
  <si>
    <t>Mr. John Sherrer serves as Vice President, Accounting &amp; Controller at Devon Energy.</t>
  </si>
  <si>
    <t>jsherrer@devonenergy.com</t>
  </si>
  <si>
    <t>92124-10P</t>
  </si>
  <si>
    <t>Joshua Bixler</t>
  </si>
  <si>
    <t>Bixler</t>
  </si>
  <si>
    <t>Mr. Joshua Bixler serves as Executive of Corporate Acquisitions &amp; Divestitures and Business Development at Devon Energy.</t>
  </si>
  <si>
    <t>joshua.bixler@dvn.com</t>
  </si>
  <si>
    <t>Executive of Corporate Acquisitions &amp; Divestitures and Business Development</t>
  </si>
  <si>
    <t>216752-95P</t>
  </si>
  <si>
    <t>Ken Pfau</t>
  </si>
  <si>
    <t>Pfau</t>
  </si>
  <si>
    <t>Mr. Ken Pfau serves as Vice President of Geoscience at Devon Energy.</t>
  </si>
  <si>
    <t>kpfau@devonenergy.com</t>
  </si>
  <si>
    <t>Vice President of Geoscience</t>
  </si>
  <si>
    <t>351314-20P</t>
  </si>
  <si>
    <t>Kyle Haustveit</t>
  </si>
  <si>
    <t>Haustveit</t>
  </si>
  <si>
    <t>Mr. Kyle Haustveit serves as Completions Manager at Devon Energy. He has served as an Advisor at EIC Rose Rock. He is experienced in unconventional oil and gas reservoirs with a focus on completions design, diagnostics, and field development. He is passionate about applying technology to solving difficult problems. He has authored numerous technical papers and holds three patents in offset pressure monitoring. He was the lead inventor of the breakthrough fracture diagnostic, Sealed Wellbore Pressure Monitoring. He is a graduate of Montana Tech with a B.S. in Petroleum Engineering and of The University of Oklahoma with an Executive MBA in Energy.</t>
  </si>
  <si>
    <t>khaustveit@eicroserock.com</t>
  </si>
  <si>
    <t>Completions Manager</t>
  </si>
  <si>
    <t>92124-37P</t>
  </si>
  <si>
    <t>Melissa Schoenberger</t>
  </si>
  <si>
    <t>Schoenberger</t>
  </si>
  <si>
    <t>Ms. Melissa Schoenberger serves as an Acquisitions and Divestitures Analyst at Devon Energy.</t>
  </si>
  <si>
    <t>mschoenberger@devonenergy.com</t>
  </si>
  <si>
    <t>Analyst, Acquisitions and Divestitures</t>
  </si>
  <si>
    <t>173813-68P</t>
  </si>
  <si>
    <t>Michael Dionisio</t>
  </si>
  <si>
    <t>Dionisio</t>
  </si>
  <si>
    <t>Mr. Michael Dionisio serves as Vice President, Supply Chain at Devon Energy. He joined Devon in 2008 and has held positions of increasing responsibility in both groups. He previously worked at ExxonMobil in a variety of downstream business roles. He holds a bachelor's degree in mechanical engineering from the University of Oklahoma and a master's degree in business administration from the University of St. Thomas in St. Paul, Minnesota.</t>
  </si>
  <si>
    <t>Vice President, Supply Chain</t>
  </si>
  <si>
    <t>83766-88P</t>
  </si>
  <si>
    <t>Richard Muncrief</t>
  </si>
  <si>
    <t>Muncrief</t>
  </si>
  <si>
    <t>Mr. Richard Muncrief served as President, Chief Executive Officer &amp; Board Member at Devon Energy. He was appointed to the board of directors and elected president and chief executive officer of the company in January 2021 following Devon's merger with WPX Energy. Muncrief previously served as chief executive officer and chairman of the board of WPX Energy. He became a member of WPX Energy's board of directors in 2014. Prior to joining WPX, he served as senior vice president, of operations and resource development of Continental Resources, Inc. Muncrief was earlier employed from August 2008 through May 2009 by Resource Production Company where he served as corporate business manager. From September 2007 to August 2008 he served as president, chief operating officer, and as director of Quest Midstream Partners, LP. He is currently on the board of directors of Williams Companies and serves on the compensation and management committee and the environmental, health, and safety committee. Muncrief also serves on the board of directors and the executive committee of the American Petroleum Institute. He is a past chairman and currently serves on the board of directors and the executive committee of the American Exploration &amp; Production Council. In addition, Muncrief serves on the national advisory board of the Gilcrease Museum.</t>
  </si>
  <si>
    <t>217930-96P</t>
  </si>
  <si>
    <t>Rosy Zuklic</t>
  </si>
  <si>
    <t>Rosy</t>
  </si>
  <si>
    <t>Zuklic</t>
  </si>
  <si>
    <t>Ms. Rosy Zuklic serves as Vice President, Investor Relations at Devon Energy. She served as Vice President and Chief Operating Officer at Phillips 66 Partners.</t>
  </si>
  <si>
    <t>zuklic@devonenergy.com</t>
  </si>
  <si>
    <t>Vice President and Chief Operating Officer</t>
  </si>
  <si>
    <t>Phillips 66 Partners (Former)</t>
  </si>
  <si>
    <t>242087-50P</t>
  </si>
  <si>
    <t>Scott Coody</t>
  </si>
  <si>
    <t>Coody</t>
  </si>
  <si>
    <t>Mr. Scott Coody serves as Vice President of Strategic Planning at Devon Energy.</t>
  </si>
  <si>
    <t>scoody@devonenergy.com</t>
  </si>
  <si>
    <t>Vice President, Strategic Planning &amp; Investor Relations</t>
  </si>
  <si>
    <t>183508-30P</t>
  </si>
  <si>
    <t>Tana Cashion</t>
  </si>
  <si>
    <t>Tana</t>
  </si>
  <si>
    <t>Cashion</t>
  </si>
  <si>
    <t>Ms. Tana Cashion serves as Executive Vice President, Human Resources and Administration at Devon Energy. She also serves as the Plan Administrator at the Retirement Plan for Employees of Devon Energy Corporation. She is also responsible for corporate communications, community relations, and multiple administration functions. She joined Devon in 2005 and has held roles of increasing responsibility, including vice president of human resources. Before joining Devon, Ms. Cashion worked in the retail, wholesale, and tourism industries. She has a bachelor's degree in political science from Pepperdine University and a master's degree in business administration from the University of Oklahoma.</t>
  </si>
  <si>
    <t>tana.cashion@dvn.com</t>
  </si>
  <si>
    <t>73102-5010</t>
  </si>
  <si>
    <t>Plan Administrator</t>
  </si>
  <si>
    <t>Retirement Plan for Employees of Devon Energy Corporation</t>
  </si>
  <si>
    <t>92123-56P</t>
  </si>
  <si>
    <t>Trent Tarp</t>
  </si>
  <si>
    <t>Trent</t>
  </si>
  <si>
    <t>Tarp</t>
  </si>
  <si>
    <t>Mr. Trent Tarp serves as Land Advisor - Mid-Con Business Unit at Devon Energy.</t>
  </si>
  <si>
    <t>ttarpp@devonenergy.com</t>
  </si>
  <si>
    <t>Land Advisor - Mid-Con Business Unit</t>
  </si>
  <si>
    <t>312190-48P</t>
  </si>
  <si>
    <t>Trey Lowe</t>
  </si>
  <si>
    <t>Trey</t>
  </si>
  <si>
    <t>Lowe</t>
  </si>
  <si>
    <t>Mr. Trey Lowe serves as Senior Vice President &amp; Chief Technology Officer at Devon Energy. Mr. Lowe is responsible for Devon's technology, digital security, project management, and energy venture functions. He joined Devon in 2005 and has held roles in technical and leadership positions with responsibilities spanning U.S. and international operations. Most recently, he was vice president and chief technology officer. Before joining Devon, Mr. Lowe worked for Schlumberger in technical roles in the U.S. and Norway. He is a past distinguished lecturer for the Society of Petroleum Engineers and serves as a board observer to Fervo Energy. He holds a bachelor's degree in chemical engineering from Oklahoma State University.</t>
  </si>
  <si>
    <t>tery.lowe@devonenergy.com</t>
  </si>
  <si>
    <t>Senior Vice President &amp; Chief Technology Officer</t>
  </si>
  <si>
    <t>242506-36P</t>
  </si>
  <si>
    <t>Alon Kesel</t>
  </si>
  <si>
    <t>Alon</t>
  </si>
  <si>
    <t>Kesel</t>
  </si>
  <si>
    <t>Doral Group</t>
  </si>
  <si>
    <t>Mr. Alon Kesel is a Co-Founder of Doral Group and serves as its Board Member.</t>
  </si>
  <si>
    <t>+972 (0)74 787 6888</t>
  </si>
  <si>
    <t>Ramat Gan</t>
  </si>
  <si>
    <t>Ramat Gan, Israel</t>
  </si>
  <si>
    <t>HaHilazon 6</t>
  </si>
  <si>
    <t>5252270</t>
  </si>
  <si>
    <t>360236-71P</t>
  </si>
  <si>
    <t>Dani Rinot</t>
  </si>
  <si>
    <t>Rinot</t>
  </si>
  <si>
    <t>Mr. Dani Rinot serves as Vice President, Corporate Development &amp; Business Development North America at Doral Group.</t>
  </si>
  <si>
    <t>dani@doral-energy.com</t>
  </si>
  <si>
    <t>Vice President, Corporate Development &amp; Business Development North America</t>
  </si>
  <si>
    <t>242506-00P</t>
  </si>
  <si>
    <t>Dori Davidovitz</t>
  </si>
  <si>
    <t>Dori</t>
  </si>
  <si>
    <t>Davidovitz</t>
  </si>
  <si>
    <t>Mr. Dori Davidovitz is a Co-Founder and serves as Chairman at Doral Group. He is a Co-Founder and serves as Chairman at Global Energy Generation. He serves as Board Member at Voltify. For over 30 years he has led real estate and energy businesses in Israel and in Europe. He holds a B.S. in Economics from Tel Aviv University.</t>
  </si>
  <si>
    <t>355661-02P</t>
  </si>
  <si>
    <t>Jan Willem</t>
  </si>
  <si>
    <t>Mr. Jan Willem serves as Managing Director - Doral Hydrogen Europe at Doral Group.</t>
  </si>
  <si>
    <t>jan@doral-energy.com</t>
  </si>
  <si>
    <t>Managing Director - Doral Hydrogen Europe</t>
  </si>
  <si>
    <t>242505-73P</t>
  </si>
  <si>
    <t>Matan Barzilai</t>
  </si>
  <si>
    <t>Matan</t>
  </si>
  <si>
    <t>Barzilai</t>
  </si>
  <si>
    <t>Mr. Matan Barzilai serves as Vice President of Finance at Doral Group.</t>
  </si>
  <si>
    <t>matan@doral-energy.com</t>
  </si>
  <si>
    <t>360227-80P</t>
  </si>
  <si>
    <t>Michal Navon</t>
  </si>
  <si>
    <t>Navon</t>
  </si>
  <si>
    <t>Ms. Michal Navon serves as Chief of Staff &amp; ESG Director at Doral Group.</t>
  </si>
  <si>
    <t>michal@doral-energy.com</t>
  </si>
  <si>
    <t>Chief of Staff &amp; ESG Director</t>
  </si>
  <si>
    <t>360238-87P</t>
  </si>
  <si>
    <t>Patrick Seale</t>
  </si>
  <si>
    <t>Seale</t>
  </si>
  <si>
    <t>Mr. Patrick Seale serves as President &amp; Chief Operating Officer at Doral Group.</t>
  </si>
  <si>
    <t>President &amp; Chief Operating Officer</t>
  </si>
  <si>
    <t>359683-93P</t>
  </si>
  <si>
    <t>Shai Czarni</t>
  </si>
  <si>
    <t>Czarni</t>
  </si>
  <si>
    <t>Ms. Shai Czarni serves as Global Business Development of Green Hydrogen at Doral Group.</t>
  </si>
  <si>
    <t>+972-74-7876888</t>
  </si>
  <si>
    <t>shaic@doral-energy.com</t>
  </si>
  <si>
    <t>Global Business Development of Green Hydrogen</t>
  </si>
  <si>
    <t>360227-26P</t>
  </si>
  <si>
    <t>Shimon Msika</t>
  </si>
  <si>
    <t>Shimon</t>
  </si>
  <si>
    <t>Msika</t>
  </si>
  <si>
    <t>Mr. Shimon Msika serves as Vice President at Doral Group.</t>
  </si>
  <si>
    <t>shimon@doral-energy.com</t>
  </si>
  <si>
    <t>242505-64P</t>
  </si>
  <si>
    <t>Yaki Neumann</t>
  </si>
  <si>
    <t>Yaki</t>
  </si>
  <si>
    <t>Neumann</t>
  </si>
  <si>
    <t>Mr. Yaki Neumann serves as Chief Executive Officer at Doral Group. He serves as a Board member at Doral Renewables.</t>
  </si>
  <si>
    <t>yaki@doral-energy.com</t>
  </si>
  <si>
    <t>242506-81P</t>
  </si>
  <si>
    <t>Yarden Ytzhaki</t>
  </si>
  <si>
    <t>Yarden</t>
  </si>
  <si>
    <t>Ytzhaki</t>
  </si>
  <si>
    <t>Mr. Yarden Ytzhaki serves as Strategic Advisor at Doral Group. He serves as Chief Technology Officer at Global Energy Generation. He oversees technology and project design globally. He is widely considered to be one of Israel's top experts in the solar industry. He oversees technology and project design globally. He is widely considered to be one of Israel's top experts in the solar industry. He earned a B.S. in Electrical Engineering from Ben-Gurion University.</t>
  </si>
  <si>
    <t>yarden@doral-energy.com</t>
  </si>
  <si>
    <t>Doral Renewables (Former)</t>
  </si>
  <si>
    <t>210002-59P</t>
  </si>
  <si>
    <t>Jitin Dhanani</t>
  </si>
  <si>
    <t>Jitin</t>
  </si>
  <si>
    <t>Dhanani</t>
  </si>
  <si>
    <t>Dragon Capital (California)</t>
  </si>
  <si>
    <t>Mr. Jitin Dhanani is a Co-Founder &amp; serves as Partner at Dragon Capital (California). Mr. Dhanani has more than 5 years of experience in in strategy consulting roles for F100 companies (Director, Strategy&amp;, PWC). He serves as CEO of 7E Wellness. He holds MBA from Oxford University and MS in Electrical Engineering from University of Southern California.</t>
  </si>
  <si>
    <t>jitin.dhanani@dragoncapital.vc</t>
  </si>
  <si>
    <t>273263-23P</t>
  </si>
  <si>
    <t>Vic Alston</t>
  </si>
  <si>
    <t>Vic</t>
  </si>
  <si>
    <t>Alston</t>
  </si>
  <si>
    <t>Mr. Vic Alston is a Co-Founder &amp; serves as Partner at Dragon Capital (California). Mr. Alston developed and operated public companies and large private companies in both network hardware and B2B SAAS. He holds degree in Computer Science from Stanford University.</t>
  </si>
  <si>
    <t>vic@dragoncapital.vc</t>
  </si>
  <si>
    <t>286030-99P</t>
  </si>
  <si>
    <t>Andrew Seger JD</t>
  </si>
  <si>
    <t>Seger</t>
  </si>
  <si>
    <t>Driven Capital Partners</t>
  </si>
  <si>
    <t>Mr. Andrew Seger serves as Partner at Driven Capital Partners. He serves as Chief Operating Officer at Portfolio Group. He served as CLO at NAE/NWAN from 2013 until its acquisition by Portfolio in 2020. He has also worked as in-house counsel at a medical device manufacturer and at a law firm advising insurance companies on coverage and litigation matters. He graduated magna cum laude from the University of Toledo College of Law after earning a BA in business administration, management and operations at Wright State University.</t>
  </si>
  <si>
    <t>937-626-4605</t>
  </si>
  <si>
    <t>andy@drivencp.com</t>
  </si>
  <si>
    <t>Strongsville</t>
  </si>
  <si>
    <t>Strongsville, OH</t>
  </si>
  <si>
    <t>44136</t>
  </si>
  <si>
    <t>234598-33P</t>
  </si>
  <si>
    <t>Kelly Price</t>
  </si>
  <si>
    <t>Ms. Kelly Price serves as Partner at Driven Capital Partners. She serves as Board Member at Portfolio Group. She was the Founder &amp; served as Chief Executive Officer at National Automotive Experts / NWAN. A Maxwell Leadership Team Member, Executive Director, Certified Trainer, Coach and Speaker seeking to bring more value and leadership to the world.</t>
  </si>
  <si>
    <t>kelly@drivencp.com</t>
  </si>
  <si>
    <t>263050-84P</t>
  </si>
  <si>
    <t>Anna Morello</t>
  </si>
  <si>
    <t>Morello</t>
  </si>
  <si>
    <t>DSM-Firmenich</t>
  </si>
  <si>
    <t>Ms. Anna Morello serves as Director of Investor Relations at DSM-Firmenich. She served as Investor Relations Manager at DSM Firmenich. Anna joined DSM in 2018 after working for GE for 11 years in several financial functions around the world. Anna is responsible for external contacts with investors and is also the team's financial specialist.</t>
  </si>
  <si>
    <t>anna.morello@dsm.com</t>
  </si>
  <si>
    <t>Heerlen</t>
  </si>
  <si>
    <t>Heerlen, Netherlands</t>
  </si>
  <si>
    <t>Het Overloon 1</t>
  </si>
  <si>
    <t>6411 TE</t>
  </si>
  <si>
    <t>88983-64P</t>
  </si>
  <si>
    <t>Aseem Varma</t>
  </si>
  <si>
    <t>Aseem</t>
  </si>
  <si>
    <t>Mr. Aseem Varma serves as Vice President, Mergers &amp; Acquisitions at DSM Firmenich. Previously, he served as Manager, Strategy and Business Development at DSM.</t>
  </si>
  <si>
    <t>aseem.varma@dsm.com</t>
  </si>
  <si>
    <t>263050-21P</t>
  </si>
  <si>
    <t>Dave Huizing</t>
  </si>
  <si>
    <t>Huizing</t>
  </si>
  <si>
    <t>Mr. Dave Huizing serves as Senior Vice President of Investor Relations at DSM-Firmenich. He served as Head of Investor Relations at DSM Firmenich. He joined DSM in 1985 and worked in various disciplines across many DSM units globally, including executive positions in a number of Business Groups. VP, Investor Relations since 2012, Dave reports to the Co-CEOs.</t>
  </si>
  <si>
    <t>dave.huizing@dsm.com</t>
  </si>
  <si>
    <t>233882-83P</t>
  </si>
  <si>
    <t>Dimitri de Vreeze</t>
  </si>
  <si>
    <t>de Vreeze</t>
  </si>
  <si>
    <t>Dr. Dimitri de Vreeze serves as Chief Executive Officer &amp; Member of the Executive Committee at DSM-Firmenich. He was appointed as Co-CEO on 15 February 2020 and joined DSM's Managing Board in 2013. His current term will end in 2025. He joined DSM in 1990 in Finance at DSM Fine Chemicals. After several positions in Finance, he moved to the area of sales management and took on increasingly bigger roles, including that of Global Business Manager Sizing &amp; Binders based in Italy. In 2002, he became Business Director Composite Resins Europe, based in Switzerland, and built his career further in the DSM Resins &amp; Functional Materials business group. He was Business Unit Director, Coating Resins between 2005 and 2007, and Business Unit Director, NeoResins between 2007 and 2010. In 2010, he became Business Group Director of DSM Resins, building a strong team and delivering excellent performance in this business group.</t>
  </si>
  <si>
    <t>dimitri.devreeze@dsm.com</t>
  </si>
  <si>
    <t>Chief Executive Officer &amp; Member of the Executive Committee</t>
  </si>
  <si>
    <t>97579-00P</t>
  </si>
  <si>
    <t>Emmanuel Butstraen</t>
  </si>
  <si>
    <t>Butstraen</t>
  </si>
  <si>
    <t>Mr. Emmanuel Butstraen serves as Chief Operating Officer &amp; BU President Perfumery &amp; Beauty at DSM-Firmenich. He served as President, Novecare at Solvay. He joined Firmenich as President of Taste &amp; Beyond in 2018 and drove the business's transformation to becoming the global innovation partner of choice to the food and beverage industry, leading growth across the Group's three segments: Beverages, Sweet Goods, and Savory. Creating winning solutions for customers with a focus on enhanced well-being, he put Firmenich's expertise to work making healthier choices taste great, from sugar and salt reduction to plant proteins, clean label offerings, and functional nutrition solutions. Prior to joining Firmenich, he was President of Solvay's Novecare global business unit, preceded by 17 years with BASF, where he served as Strategy Senior VP of the Agricultural Products division. He graduated as an Agricultural Engineer and obtained an MBA, both from the University of Lille, France.</t>
  </si>
  <si>
    <t>emmanuel.butstraen@firmenich.com</t>
  </si>
  <si>
    <t>Chief Operating Officer &amp; BU President Perfumery &amp; Beauty</t>
  </si>
  <si>
    <t>258453-46P</t>
  </si>
  <si>
    <t>Gareth Barker</t>
  </si>
  <si>
    <t>Gareth</t>
  </si>
  <si>
    <t>Mr. Gareth Barker serves as President of DSM Personal Care &amp; Aroma Ingredients at Koninklijke DSM.</t>
  </si>
  <si>
    <t>gareth.barker@dsm.com</t>
  </si>
  <si>
    <t>President of DSM Personal Care &amp; Aroma Ingredients</t>
  </si>
  <si>
    <t>65758-24P</t>
  </si>
  <si>
    <t>Hugh Welsh JD</t>
  </si>
  <si>
    <t>Welsh</t>
  </si>
  <si>
    <t>Mr. Hugh Welsh serves as President dsm-firmenich North America General Counsel dsm-firmenich Americas at DSM Firmenich. He served as a Board Member at Hologram Sciences. Previously he served as Associate General Counsel at American Standard Companies.</t>
  </si>
  <si>
    <t>+1 973 257 8208</t>
  </si>
  <si>
    <t>hugh.welsh@dsm.com</t>
  </si>
  <si>
    <t>President dsm-firmenich North America General Counsel dsm-firmenich Americas</t>
  </si>
  <si>
    <t>325422-19P</t>
  </si>
  <si>
    <t>Ivo Lansbergen</t>
  </si>
  <si>
    <t>Ivo</t>
  </si>
  <si>
    <t>Lansbergen</t>
  </si>
  <si>
    <t>Mr. Ivo Lansbergen serves as BU President, Animal Nutrition &amp; Health, and Member of the Executive Committee at DSM-Firmenich. Mr. Lansbergen serves as President at DSM Firmenich (Animal Nutrition &amp; Health Division). He joined DSM in 1997 and held several positions across the company's various business units before being appointed to lead the Animal Nutrition &amp; Health business in 2019. He transformed the organization, reinforcing its position as a customer-focused partner in the development of feed ingredients for the global food supply chain. Supported by complementary acquisitions, he strengthened the business's expertise and reputation as a leading provider of solutions for farm productivity and sustainability throughout the value chain, including as a pioneer in the fast-emerging area of technology-driven precision nutrition and health. He is an experienced global executive, having worked in science-based industries across Europe and Asia during his career. He holds a master's in Chemical Engineering from the University of Enschede, the Netherlands.</t>
  </si>
  <si>
    <t>ivo.lansbergen@dsm.com</t>
  </si>
  <si>
    <t>BU President, Animal Nutrition &amp; Health, and Member of the Executive Committee</t>
  </si>
  <si>
    <t>348971-68P</t>
  </si>
  <si>
    <t>Jane Sinclair</t>
  </si>
  <si>
    <t>Sinclair</t>
  </si>
  <si>
    <t>Chief Compliance Officer &amp; Chief Legal Officer</t>
  </si>
  <si>
    <t>Ms. Jane Sinclair serves as Chief Legal, Risk, and Compliance Officer at DSM Firmenich. Ms. Sinclair led the governance functions of Firmenich since 2014, bringing more than 30 years of international experience in FMCG, pharmaceuticals, and research companies. With extensive experience in emerging and mature markets, She is committed to building trust to last by conducting responsible business for present and future generations. In addition to her role as General Counsel, She led the Legal &amp; Compliance functions across Firmenich's worldwide operations with direct oversight of Legal, Intellectual Property, Quality, Health, Safety &amp; Environment, Regulatory, Business Ethics, and Trade Compliance. With her commitment to responsible business, the company's leadership in environmental, safety, and regulatory stewardship was recognized globally. Prior to joining Firmenich, She worked in multiple senior roles in the Asia Pacific region, the USA, Europe, and Australia for Abbott, AbbVie, Genea, and The Coca-Cola Company. She holds an LL.B. in Asian Studies and Law from the Australian National University as well as an MBA from Deakin University, Australia, and successfully completed the INSEAD International Directors Program.</t>
  </si>
  <si>
    <t>+41 (0)61 815 8888</t>
  </si>
  <si>
    <t>jane.sinclair@dsm-firmenich.com</t>
  </si>
  <si>
    <t>Kaiseraugst</t>
  </si>
  <si>
    <t>Kaiseraugst, Switzerland</t>
  </si>
  <si>
    <t>Wurmisweg 576</t>
  </si>
  <si>
    <t>4303</t>
  </si>
  <si>
    <t>Chief Legal, Risk and Compliance Officer</t>
  </si>
  <si>
    <t>88982-38P</t>
  </si>
  <si>
    <t>Joris De Beer</t>
  </si>
  <si>
    <t>De Beer</t>
  </si>
  <si>
    <t>Mr. Joris De Beer serves as President DSM Nederland at DSM-Firmenich.</t>
  </si>
  <si>
    <t>+31 (0)46 477 3384</t>
  </si>
  <si>
    <t>joris.debeer@dsm.com</t>
  </si>
  <si>
    <t>President DSM Nederland</t>
  </si>
  <si>
    <t>349215-94P</t>
  </si>
  <si>
    <t>Katharina Stenholm</t>
  </si>
  <si>
    <t>Stenholm</t>
  </si>
  <si>
    <t>Ms. Katharina Stenholm serves as Chief Sustainability Officer at DSM Firmenich.</t>
  </si>
  <si>
    <t>kstenholm@dsm-firmenich.com</t>
  </si>
  <si>
    <t>263051-92P</t>
  </si>
  <si>
    <t>Marc Silvertand</t>
  </si>
  <si>
    <t>Silvertand</t>
  </si>
  <si>
    <t>Mr. Marc Silvertand serves as Director of Investor Relations at DSM-Firmenich. He served as Investor Relations Manager at DSM Firmenich. He joined DSM in 1996 from his consultancy role at Coopers &amp; Lybrand and has worked in various disciplines across DSM. In his current role since 2007, Marc is responsible for external contacts with investors and is the team's ESG specialist.</t>
  </si>
  <si>
    <t>+31 (0)88 425 7306</t>
  </si>
  <si>
    <t>marc.silvertand@dsm.com</t>
  </si>
  <si>
    <t>88976-62P</t>
  </si>
  <si>
    <t>Michael Wahl</t>
  </si>
  <si>
    <t>Mr. Michael Wahl serves as Vice President, Mergers &amp; Acquisitions at DSM Firmenich.</t>
  </si>
  <si>
    <t>michael.wahl@dsm-firmenich.com</t>
  </si>
  <si>
    <t>68313-88P</t>
  </si>
  <si>
    <t>Oscar Goddijn</t>
  </si>
  <si>
    <t>Goddijn</t>
  </si>
  <si>
    <t>Mr. Oscar Goddijn serves as Vice President, Stevia &amp; Sugar Reduction Products at DSM Firmenich.</t>
  </si>
  <si>
    <t>oscar.goddijn@dsm.com</t>
  </si>
  <si>
    <t>Vice President, Stevia &amp; Sugar Reduction Products</t>
  </si>
  <si>
    <t>196380-46P</t>
  </si>
  <si>
    <t>Patrick Niels</t>
  </si>
  <si>
    <t>Mr. Patrick Niels serves as BU President of Taste, Texture &amp; Health at DSM Firmenich.</t>
  </si>
  <si>
    <t>patrick.niels@dsm.com</t>
  </si>
  <si>
    <t>BU President Taste, Texture &amp; Health</t>
  </si>
  <si>
    <t>263053-72P</t>
  </si>
  <si>
    <t>Petra Volk</t>
  </si>
  <si>
    <t>Petra</t>
  </si>
  <si>
    <t>Volk</t>
  </si>
  <si>
    <t>Mr. Petra Volk serves as Investor Relations Lead Specialist at DSM-Firmenich. Mr. Volk serves as Executive, Corporate Access, Investor Relations at DSM Firmenich. Petra joined DSM in 1987 and been a member of the Investor Relations team since 1996. Petra arranges the calls, meetings and conferences hosted by the team and senior management.</t>
  </si>
  <si>
    <t>petra.volk@dsm.com</t>
  </si>
  <si>
    <t>Investor Relations Lead Specialist</t>
  </si>
  <si>
    <t>88977-52P</t>
  </si>
  <si>
    <t>Philip Eykerman</t>
  </si>
  <si>
    <t>Eykerman</t>
  </si>
  <si>
    <t>Mr. Philip Eykerman serves as BU President Health, Nutrition &amp; Care at DSM Firmenich. In this role, he is responsible for corporate and business group strategy development, budgeting and planning, improvement programs, and all M&amp;A activities. In 2015, he was also appointed as a member of the DSM Executive Committee and at present is responsible for the Pharmaceuticals as well as DSM Food Specialties activities. He serves as Board Member at Amyris. Next to these roles within DSM, he is also a member of the Supervisory Board of Patheon N.V., a Supervisory Board member of DSM Sinochem Pharmaceuticals (DSM/Sinochem JV), and a Supervisory Board member of ChemicaInvest (DSM/CVC JV). Before joining DSM, Mr. Eykerman worked for 14 years at McKinsey &amp; Company of which the last 9 years as a Partner and leader of McKinsey's Chemicals Practice in the Benelux and France. He holds a master's degree in Chemical Engineering from the KU Leuven (Belgium) and in Refinery Engineering from the Institut Francais du PÃ©trole (France).</t>
  </si>
  <si>
    <t>philip.eykerman@dsm.com</t>
  </si>
  <si>
    <t>BU President Health, Nutrition &amp; Care</t>
  </si>
  <si>
    <t>55173-43P</t>
  </si>
  <si>
    <t>Pieter Wolters</t>
  </si>
  <si>
    <t>Wolters</t>
  </si>
  <si>
    <t>Mr. Pieter Wolters serves as Managing Director, DSM Venturing at DSM-Firmenich. He served as Managing Director at dsm-firmenich Ventures. He served as a Board Member at Hologram Sciences, Regentis Biomaterials, Essential Medical, and Miach Orthopaedics. He served as the Board Member at Bio2 Technologies. He served as the Chairman at Vivici. He served as a Board Member at Ripple Therapeutics. He served as a Board Observer at Leading Edge Equipment. He served as a Board Member at Frontier Nutrition. He joined DSM in 2012 as Managing Director of DSM's global corporate venturing arm, a team of ten professionals based on the US East and West coasts and in the Netherlands. He is a Vice President at the DSM Innovation Center and is also responsible for the DSM licensing group. He also served as a Member of the Investment Advisory Committee of PRIME Coalition. Before DSM, he was a repeat life science startup entrepreneur in California. He co-founded and served as CEO of OrthAlign, Inc., a pioneer in surgical navigation in orthopedics. He was the CEO of IsoTis, Inc., a leading regenerative medicine company, through its Nasdaq listing and subsequent acquisition. He joined IsoTis in the late nineties as CFO and was instrumental in raising €100M equity in several venture rounds and an Euronext IPO. He holds a law degree from Leiden University and started his professional life in international corporate finance in the late eighties.</t>
  </si>
  <si>
    <t>Managing Director, DSM Venturing</t>
  </si>
  <si>
    <t>371904-13P</t>
  </si>
  <si>
    <t>Ralf Schmeitz</t>
  </si>
  <si>
    <t>Schmeitz</t>
  </si>
  <si>
    <t>Mr. Ralf Schmeitz serves as Chief Financial Officer at DSM Firmenich. He joined in in September 2023, marking a significant milestone in his journey with the company. He initially joined the company in 2006 under its previous identity DSM. He has played a pivotal role in propelling the transformation of the Finance function and in navigating substantial portfolio changes. Prior to his CFO role, He held the position of Head of Group Finance, overseeing Finance &amp; Control, Treasury, Taxation, and M&amp;A. In his last role at legacy DSM, he held the position of Group Controller, spearheading both the Business Controlling and Accounting teams. He began his career at PWC, laying strong foundations and building financial and strategic acumen, and then moved to Hewlett Packard, where he assumed diverse leadership responsibilities in Finance. He has obtained three master's degrees, specifically in economics as well as accountancy from Maastricht University and in business valuation from Erasmus University Rotterdam.</t>
  </si>
  <si>
    <t>ralf.schmeitz@dsm-firmenich.com</t>
  </si>
  <si>
    <t>230042-53P</t>
  </si>
  <si>
    <t>Ruth Donners</t>
  </si>
  <si>
    <t>Donners</t>
  </si>
  <si>
    <t>Mr. Ruth Donners serves as Senior Director, Business Development Beauty &amp; Care at DSM-Firmenich.</t>
  </si>
  <si>
    <t>ruth.donners@dsm.com</t>
  </si>
  <si>
    <t>Senior Director, Business Development Beauty &amp; Care</t>
  </si>
  <si>
    <t>263053-27P</t>
  </si>
  <si>
    <t>Sandra Segers</t>
  </si>
  <si>
    <t>Segers</t>
  </si>
  <si>
    <t>Ms. Sandra Segers serves as Investor Relations Lead Specialist at DSM-Firmenich. Ms. Segers served as Executive, Back Office Support, Investor Relations at DSM Firmenich. He joined DSM in 2002 and been a member of the Investor Relations team since 2009. Sandra manages the Investor Relations team's back office and is also responsible for organizing events.</t>
  </si>
  <si>
    <t>sandra.segers@dsm.com</t>
  </si>
  <si>
    <t>167232-34P</t>
  </si>
  <si>
    <t>Khalfan Belhoul</t>
  </si>
  <si>
    <t>Khalfan</t>
  </si>
  <si>
    <t>Belhoul</t>
  </si>
  <si>
    <t>Dubai Future Foundation</t>
  </si>
  <si>
    <t>Mr. Khalfan Belhoul serves as Chief Executive Officer at Dubai Future Foundation. He serves as a Board Member at Emirates Growth Fund. He also serves as Chairman of the Board of Directors &amp; Member of the Oversight Committee &amp; at Dubai Future District Fund and Dubai Future Foundation. He also serves as Chief Executive Officer at Dubai Future Foundation. He is also the Vice President of Strategy at Dubai Holding, where he is responsible for formulating Dubai Holding's strategic direction of the company and enhancing its investments and its role in the diversification of Dubai's non-oil economy. Before joining Dubai Holding, he founded the Belhoul Investment Office, responsible for rolling out a sophisticated asset allocation strategy spanning private equity, alternative investments, real estate, and conventional assets. He spearheaded the development of long-term relationships with global investment managers. Before the establishment of the Belhoul Investment Office, he played a key role in restructuring the Belhoul Group along with building a comprehensive IT platform for the Group. He is a member of the board of Directors "Of Emirates Development Bank" and holds an MSc in Electronic Commerce and a BSc in Finance and Management Information Systems, both from Boston University, United States of America.</t>
  </si>
  <si>
    <t>+971 (0)4 516 6567</t>
  </si>
  <si>
    <t>khalfan.belhoul@dubaifuture.gov.ae</t>
  </si>
  <si>
    <t>Emirates Towers</t>
  </si>
  <si>
    <t>Chief Executive Officer, Dubai Future Foundation</t>
  </si>
  <si>
    <t>Dubai Future Accelerators</t>
  </si>
  <si>
    <t>232754-41P</t>
  </si>
  <si>
    <t>Mattar Mohamed Al Tayer</t>
  </si>
  <si>
    <t>Mattar</t>
  </si>
  <si>
    <t>Mohamed Al Tayer</t>
  </si>
  <si>
    <t>Trustee</t>
  </si>
  <si>
    <t>Mr. Mattar Mohamed Al Tayer serves as Trustee at Dubai Future Foundation.</t>
  </si>
  <si>
    <t>5509</t>
  </si>
  <si>
    <t>175401-91P</t>
  </si>
  <si>
    <t>Mohammad Al Gergawi</t>
  </si>
  <si>
    <t>Al Gergawi</t>
  </si>
  <si>
    <t>Managing Director &amp; Vice Chairman</t>
  </si>
  <si>
    <t>Mr. Mohammad Al Gergawi serves as Vice Chairman of the Board of Trustees and Managing Director at Dubai Future Foundation. He holds a bachelor's degree from the United States of America. Between February 2016 and July 2020, Future Foresight was added to his ministerial portfolio, where he was mandated to develop the UAE's Future Foresight Strategy, aiming to promote government readiness for the future. He has served as a member of a number of national and international higher education institutions, including the Board of Trustees of the United Arab Emirates University (UAEU), the Board of Trustees of Abu Dhabi University (ADU), and the Supreme Council of the UAE National Defence College (NDC). He was the Founding President of the Mohammed bin Rashid School of Government (MBRSG) and served as a member of the International Advisory Board of the American University of Beirut (AUB).</t>
  </si>
  <si>
    <t>Vice Chairman of the Board of Trustees and Managing Director</t>
  </si>
  <si>
    <t>175409-92P</t>
  </si>
  <si>
    <t>Omar Al Olama</t>
  </si>
  <si>
    <t>Al Olama</t>
  </si>
  <si>
    <t>Managing Director &amp; Trustee</t>
  </si>
  <si>
    <t>Mr. Omar Al Olama serves as Deputy Managing Director &amp; Trustee at Dubai Future Foundation.</t>
  </si>
  <si>
    <t>omaralolama@dubaifuture.gov.ae</t>
  </si>
  <si>
    <t>Deputy Managing Director &amp; Trustee</t>
  </si>
  <si>
    <t>147029-95P</t>
  </si>
  <si>
    <t>Saeed Al Tayer</t>
  </si>
  <si>
    <t>Saeed</t>
  </si>
  <si>
    <t>Al Tayer</t>
  </si>
  <si>
    <t>Mr. Saeed Al Tayer serves as Chairman at Forward Investments. He also serves as a Trustee at Dubai Future Foundation.</t>
  </si>
  <si>
    <t>Unit GV-00-04-03-BC-37, Level 3, Gate Village</t>
  </si>
  <si>
    <t>Building 04, Dubai International Financial Centre</t>
  </si>
  <si>
    <t>564</t>
  </si>
  <si>
    <t>Forward Investments</t>
  </si>
  <si>
    <t>411766-21P</t>
  </si>
  <si>
    <t>Andrea Porras</t>
  </si>
  <si>
    <t>Porras</t>
  </si>
  <si>
    <t>E14 Fund</t>
  </si>
  <si>
    <t>Ms. Andrea Porras serves as Head of Community at E14 Fund.</t>
  </si>
  <si>
    <t>+1 (508) 306-4566</t>
  </si>
  <si>
    <t>andrea@e14fund.com</t>
  </si>
  <si>
    <t>Cambridge Innovation Center</t>
  </si>
  <si>
    <t>245 Main Street</t>
  </si>
  <si>
    <t>Head of Community</t>
  </si>
  <si>
    <t>107778-97P</t>
  </si>
  <si>
    <t>Calvin Chin</t>
  </si>
  <si>
    <t>Calvin</t>
  </si>
  <si>
    <t>Mr. Calvin Chin serves as Managing Partner at E14 Fund. Mr. Chin is an Angel Investor. He serves as Board Member at Netpreme. He serves as Board Member at DxLab. Previously he was co-founder and CEO of Transist Impact Labs, an incubator and investor in impact-driven tech startups in China and the US. He serves as a Board Member at ThruWave. Earlier he was the founder and CEO of Qifang, China's first online student loan service and the first Chinese company recognized by the WEF as a Technology Pioneer. He is a member of the Aspen Institute's inaugural China Fellowship Program, a World Economic Forum Young Global Leader, and served on the WEF Global Agenda Council on Social Innovation. He was named one of Fast Company magazine's 100 Most Creative People In Business for 2011, was named 2009 Chinese Business Leader of the Year by Horasis and Baker &amp; McKenzie, and is a Social Innovation Park Fellow. He has an MBA from TRIUM (NYU, LSE, HEC Paris), and a B.A. from Yale University and has also studied social entrepreneurship, global leadership, and other management and policy subjects at Harvard University and INSEAD. He erves as Board Member at Sourcemap.</t>
  </si>
  <si>
    <t>calvin@e14fund.com</t>
  </si>
  <si>
    <t>58822-57P</t>
  </si>
  <si>
    <t>Habib Haddad</t>
  </si>
  <si>
    <t>Habib</t>
  </si>
  <si>
    <t>Haddad</t>
  </si>
  <si>
    <t>Mr. Habib Haddad is the Managing Partner of E14 Fund Management. He serves as an Advisor at Amino Labs. He serves as a Board Member for Themis AI. He serves as Board Member at Foundation EGI. He serves as a Board Observer at ThruWave. He serves as a Board Member at Sociata. He serves as a Board Observer at Overjet. He served as a Board Member at MarchTx. He is also a Co-Founder at Yamli. He serves as a Faculty Advisor at Xfund. He served as a Board Member at Zoomaal. He served as Managing Partner and Media Arm, Program, and Advisory Services at Wamda Capital. He is behind the original idea behind Yamli, and today drives Yamli's vision of empowering the Arabic language and users on the web. His responsibilities span from product strategy and design to business development. The World Economic Forum recently recognized him as a Young Global Leader for 2009. Prior to Yamli, he worked as a senior engineer at ATI (later acquired by AMD); and before that, he was part of the early engineering team at Mok3 (now EveryScape), a startup out of the MIT CSAIL lab. He co-founded INLET (International Network of Lebanese Entrepreneurs and Technologists), an organization geared towards promoting entrepreneurship and leadership for the Arab world in general and Lebanon in particular. He also founded Relief Lebanon, a grassroots effort aimed at supporting relief operations in Lebanon during the July 2006 war. Relief Lebanon was featured in the "101 Stories to Tell" initiative by the UNDP in February 2009. He often speaks about early-stage development and entrepreneurship and has spoken at venues such as the Harvard Business School, Boston College, and the American University of Beirut. He currently sits on the advisory board of Meedan, a non-profit startup that aims to enable cross-cultural dialogs online. He serves as a Board Member at Kiwi Technologies. He is a significant figure in the entrepreneurial and investment arena, particularly known for his role as the Founding Managing Partner of the E14 Fund, which is affiliated with the MIT Media Lab. was involved in multiple startups both in Boston and the Middle East. He has a legacy of fostering entrepreneurial ecosystems, evident from his tenure as the founding CEO of Wamda from 2012 to 2016, a platform aimed at accelerating entrepreneurship across the MENA region 3 . Moreover, he has been a co-founder of several tech companies including Yamli, which had its technology licensed by Yahoo! in 2012, and YallaStartup among others 4 . Throughout his career, he has worn many hats including that of an advisor, board member, and board observer at various organizations, showcasing his multifaceted involvement in the startup and investment sectors. For instance, he has served as an advisor at Amino Labs, a board observer at ThruWave and Overjet, and a board member at Sociata and MarchTx 5 . Born in 1980, he continues to be a driving force in the venture capital and entrepreneurial landscapes, with his current focus being the growth and success of startups emerging from the MIT Media Lab community through the E14 Fund. He holds a Bachelor of Computer and Communication Engineering from the American University in Beirut and a Master in Electrical Engineering from the University of Southern California.</t>
  </si>
  <si>
    <t>+1 (617) 712-6785</t>
  </si>
  <si>
    <t>directors@e14fund.com</t>
  </si>
  <si>
    <t>413877-88P</t>
  </si>
  <si>
    <t>Chi Tran</t>
  </si>
  <si>
    <t>Chi</t>
  </si>
  <si>
    <t>Earth Venture Capital</t>
  </si>
  <si>
    <t>Ms. Chi Tran serves as Senior Associate at Earth Venture Capital.</t>
  </si>
  <si>
    <t>+84 (0)3 52369812</t>
  </si>
  <si>
    <t>chi.tran@earth.vc</t>
  </si>
  <si>
    <t>102 Nguyen Van Huong, Thao Dien Ward</t>
  </si>
  <si>
    <t>Thu Duc City</t>
  </si>
  <si>
    <t>344966-95P</t>
  </si>
  <si>
    <t>Duc Pham</t>
  </si>
  <si>
    <t>Duc</t>
  </si>
  <si>
    <t>Mr. Duc Pham serves as a Principal at Earth Venture Capital. He has been working in the vertical mobility industry for many years in a world-leading corporation where he served as a senior engineer, master trainer, and head of quality management prior to joining Earth Ventures. He holds a BA in Mechatronic Engineering from Ho Chi Minh City University of Technology and a Master's Degree in Applied Finance. He leads the investment team of Earth Venture Capital and actively creates values for the portfolio companies post-investment.</t>
  </si>
  <si>
    <t>duc.pham@earth.vc</t>
  </si>
  <si>
    <t>295398-01P</t>
  </si>
  <si>
    <t>Linh Nguyen</t>
  </si>
  <si>
    <t>Linh</t>
  </si>
  <si>
    <t>Mr. Linh Nguyen is a Founding Partner of Earth Venture Capital. He has been working as an entrepreneur in the E-Commerce and Mobile Game Industry. With a background in engineering and experience in managing technology firms, Linh managed to bring his company, Athena Studio, from a naive startup to a powerhouse of many popular casual mobile games, a hundred workforce, and to serve millions of users worldwide. Linh is also an angel investor, adventurer, and climate-change believer. He founded Earth Venture Builder with an ambition to undo the damage human beings have done to the Earth with the reinforcement of Technology</t>
  </si>
  <si>
    <t>linh@earth.vc</t>
  </si>
  <si>
    <t>344967-94P</t>
  </si>
  <si>
    <t>Nam Tran</t>
  </si>
  <si>
    <t>Nam</t>
  </si>
  <si>
    <t>Ms. Nam Tran serves as Investment Associate at Earth Venture Capital. She has been working in a technology R&amp;D center &amp; software firm where she wore many hats from Business Development, Branding to Product Operations. She has also built a community for sold-out NFT collections while running her media platform.</t>
  </si>
  <si>
    <t>nam.tran@earth.vc</t>
  </si>
  <si>
    <t>450316-72P</t>
  </si>
  <si>
    <t>Tam To</t>
  </si>
  <si>
    <t>To</t>
  </si>
  <si>
    <t>Ms. Tam To serves as Head of Marcom at Earth Venture Capital.</t>
  </si>
  <si>
    <t>tam.to@earth.vc</t>
  </si>
  <si>
    <t>Head of Marcom</t>
  </si>
  <si>
    <t>285640-12P</t>
  </si>
  <si>
    <t>Tien Nguyen</t>
  </si>
  <si>
    <t>Tien</t>
  </si>
  <si>
    <t>Mr. Tien Nguyen is a Founding Partner at Earth Venture Capital. He serves as Advisory Board Member at Impact Investment Exchange. He co-founded and served as Chief Executive Officer and Board Member at Wiziin. He serves as an Advisor at CarbonX Global. He served as Board Member at Ampotech. His expertise includes strategy formulation and execution, business development, venture investment, due diligence, venture building, and exit strategies. He also serves as General Partner at Earth Venture Capital.</t>
  </si>
  <si>
    <t>+84 (0)3 84293979</t>
  </si>
  <si>
    <t>tien@earth.vc</t>
  </si>
  <si>
    <t>314203-51P</t>
  </si>
  <si>
    <t>Christian Bader</t>
  </si>
  <si>
    <t>Bader</t>
  </si>
  <si>
    <t>Mr. Christian Bader serves as Head of Operations at Echelon. He holds a BS and MS from Stanford, where he graduated as the highest-ranked student in Management Science and Engineering, specializing in applied statistics and linear algebra.</t>
  </si>
  <si>
    <t>+1 (650) 739-9452</t>
  </si>
  <si>
    <t>christian@echelon.xyz</t>
  </si>
  <si>
    <t>276821-56P</t>
  </si>
  <si>
    <t>David McColl</t>
  </si>
  <si>
    <t>McColl</t>
  </si>
  <si>
    <t>Mr. David McColl serves as Partner at Echelon Capital. Mr. McColl serves as Board Member at Furno. He is a Founder &amp; serves as a Managing Director at Shoreline Capital. He holds both an MS (Master of Science) and a BS (Bachelor of Science) from Stanford University. As an undergraduate, he drove forward the university's budding entrepreneurial climate tech ecosystem.</t>
  </si>
  <si>
    <t>+1 (858) 736-1866</t>
  </si>
  <si>
    <t>david@echelon.xyz</t>
  </si>
  <si>
    <t>355321-45P</t>
  </si>
  <si>
    <t>Erik Allen Ph.D</t>
  </si>
  <si>
    <t>Dr. Erik Allen serves as Chief Technology Officer at Echelon. He is a seasoned data science leader with over 20 years of experience applying data science to solve complex business problems. He most recently led a team of 45 data and machine learning engineers at Clear Capital to develop advanced tools including computer vision and predictive pricing models. Previously, he served as founder and Chief Al Officer at Rho Al, prior to the company's sale to General Motors in 2020. He currently serves as a data science advisor to 15+ companies, primarily focusing on startups with core data-enabled business models. He holds a PhD in computational simulation and efficiency from MIT.</t>
  </si>
  <si>
    <t>erik@echelon.xyz</t>
  </si>
  <si>
    <t>170653-15P</t>
  </si>
  <si>
    <t>Kerri Faber</t>
  </si>
  <si>
    <t>Faber</t>
  </si>
  <si>
    <t>Ms. Kerri Faber serves as Partner at Echelon Capital. She served as Vice President of Human Resources at Rubicon. She holds a BS from Penn State and is a certified Professional in Human Resources (PHR). She led the largest corporate integration in GE's history ($2.1B synergies) and served as VP of HR at Fiserv and Rubicon. She leads Echelon Operating as an engine for fund opportunities.</t>
  </si>
  <si>
    <t>kerri@echelon.xyz</t>
  </si>
  <si>
    <t>220588-30P</t>
  </si>
  <si>
    <t>Adam Lipman</t>
  </si>
  <si>
    <t>Lipman</t>
  </si>
  <si>
    <t>Ecliptic Capital</t>
  </si>
  <si>
    <t>Chief Investment Officer &amp; General Partner</t>
  </si>
  <si>
    <t>Mr. Adam Lipman is a Co-Founder and serves as General Partner &amp; Chief Investment Officer at Ecliptic Capital. He serves as a Board Member at Patchr, Veloce Energy, and Nanotech. He serves as a Board Member at ThreatWarrior. He serves as a Board Member at Epistemix. He is a professional senior executive with decades of experience directing operations in the biotechnology, software, and software services verticals. Throughout his career, he has held nearly a dozen advisory and board observer roles. Currently, he is a board member for Sourced Craft Cocktails, Unchained Capital, Pervasive Sensor Systems, and Patchr. His role at Ecliptic Capital highlights his unique skill in coaching emergent leadership by implementing scalable operations and strategic management practices that have been integral to the success of the fund's investments to date. He specializes in developing and managing startup operations for companies that are positioned to scale. In a previous role as COO of Chaotic Moon, an enterprise mobile and web services developer and consultancy, his background in contract negotiation, process design, and resource management was integral to the company's rapid growth from early revenue to its acquisition by Accenture. He went on to serve as interim COO for Handsome, a talented digital agency seeking to scale. As an operational board advisor, he was integral to streamlining processes and helped the company achieve rapid growth. He has a significant background in enterprise biotechnology R&amp;D and manufacturing. He rose through the ranks at the pioneering genetic engineering firm Genentech, where he helped commission what was at the time the largest and most technically advanced biopharmaceutical production facility in the world. He also led the creation of training and compliance management protocols for cell culture-based production processes. Eventually, he assumed budgetary oversight responsibilities for a function supporting Genentech's global manufacturing network. Following Genentech's merger with international biotechnology conglomerate Roche, he managed a global support organization through process and systems integration. He holds an MBA and a BS in Molecular Biology from the University of California, Davis.</t>
  </si>
  <si>
    <t>+1 (978) 652-9222</t>
  </si>
  <si>
    <t>adam@eclipticcapital.com</t>
  </si>
  <si>
    <t>1209 West 5th Street</t>
  </si>
  <si>
    <t>Co-Founder, General Partner &amp; Chief Investment Officer</t>
  </si>
  <si>
    <t>399805-30P</t>
  </si>
  <si>
    <t>David Neff</t>
  </si>
  <si>
    <t>Neff</t>
  </si>
  <si>
    <t>Mr. David Neff serves as Partner, Portfolio and Customer Strategy at Ecliptic Capital.</t>
  </si>
  <si>
    <t>david@eclipticcapital.com</t>
  </si>
  <si>
    <t>Partner, Portfolio and Customer Strategy</t>
  </si>
  <si>
    <t>301486-69P</t>
  </si>
  <si>
    <t>Greg Strake</t>
  </si>
  <si>
    <t>Strake</t>
  </si>
  <si>
    <t>Mr. Greg Strake serves as Investor Relations at Ecliptic Capital. He is an entrepreneur with over 30 years of starting, running, and growing businesses. His industry experience spans oil and gas, media, and live events. He has built strategic relationships throughout Texas by assessing and solving mission-critical business problems for clients.</t>
  </si>
  <si>
    <t>+1 (617) 305-6060</t>
  </si>
  <si>
    <t>greg@eclipticcapital.com</t>
  </si>
  <si>
    <t>301485-97P</t>
  </si>
  <si>
    <t>James Puckett</t>
  </si>
  <si>
    <t>Mr. James Puckett serves as Managing Partner, Chief Financial Officer &amp; Fund Management at Ecliptic Capital. He has over 35 years of experience in investment banking, fixed income, M&amp;A, institutional fund formation and management, and C-level public and private company operations.</t>
  </si>
  <si>
    <t>+1 (512) 637-9238</t>
  </si>
  <si>
    <t>puckett@eclipticcapital.com</t>
  </si>
  <si>
    <t>Managing Partner, Chief Financial Officer &amp; Fund Management</t>
  </si>
  <si>
    <t>32434-66P</t>
  </si>
  <si>
    <t>Mike Millard</t>
  </si>
  <si>
    <t>Mr. Mike Millard serves as Partner, Deal Flow &amp; Strategy at Ecliptic Capital. Mr. Millard served as Advisor at G-51 Capital. He has over 20 years of experience in Fortune 500 divisions and venture capital. His expertise lies in creating value at scale through strategic engagements with leading companies such as Dell, HP, AT&amp;T Knowledge Ventures, Ascension, and Austin Ventures. With a focus on corporate strategy, he has commercialized strategic solutions in areas such as server and storage hardware, Linux software, and high-tech consulting services worldwide. He led the first US expansion of MassChallenge in Texas, accelerating nearly 300 early-stage startups in three years. As the Executive Director of Innovation and Commercialization at Ascension/Seton, he spearheaded the capture, analysis, and commercialization of innovative solutions aligning with overall strategies and addressing critical healthcare challenges. During his tenure at Austin Ventures, he was crucial in securing and validating information for investment decisions, evaluating management, markets, and technical aspects of venture and growth equity deals. At AT&amp;T Knowledge Ventures, he generated revenue and strategic value from intellectual property assets by leading commercialization efforts through collaborating with inventors, entrepreneurs, and investors. At HP, he created, launched, and executed a fully-integrated and scalable Linux commercialization business strategy that positively impacted the company's desktop, printer, server, and technology service lines-generated $2B in new revenue. Additionally, he drove server and storage strategy from the Office of the Chair at Dell through synthesized market analysis, primary research, and competitive intelligence. He is a Certified Patent Valuation Analyst, reflecting his expertise in assessing and leveraging intellectual property assets. He received his MBA from Western Illinois University and his BS from Illinois State University. He currently serves on the board of Marywood Children and Family Services.</t>
  </si>
  <si>
    <t>+1 (512) 940-5961</t>
  </si>
  <si>
    <t>millard@eclipticcapital.com</t>
  </si>
  <si>
    <t>Partner, Deal Flow &amp; Strategy</t>
  </si>
  <si>
    <t>250747-03P</t>
  </si>
  <si>
    <t>Varun Pandit</t>
  </si>
  <si>
    <t>Mr. Varun Pandit serves as Partner, Portfolio &amp; Finance at Ecliptic Capital. He serves as Board Member Board Member at Authena. He has experience across diverse roles, ranging from M&amp;A, corporate finance, and management consulting. In addition to being a startup founder, he joined Ecliptic from Microsoft where he was working on the Cloud and AI team focused on growth of Azure.</t>
  </si>
  <si>
    <t>+1 (832) 752-9000</t>
  </si>
  <si>
    <t>varun@eclipticcapital.com</t>
  </si>
  <si>
    <t>Partner, Portfolio &amp; Finance</t>
  </si>
  <si>
    <t>95700-88P</t>
  </si>
  <si>
    <t>William Hurley</t>
  </si>
  <si>
    <t>Hurley</t>
  </si>
  <si>
    <t>Mr. William Hurley is a Co-Founder and serves as General Partner at Ecliptic Capital. He is also a Co-Founder &amp; serves as Chief Executive Officer and Chairman at Strangeworks. He is an innovative serial entrepreneur who has excelled in creating businesses that tap into the commercial potentials of emerging technologies. Mr. Hurley has held executive as well as research and development roles in leading technology enterprises including Goldman Sachs, Apple, IBM, and BMC Software. Mr. Hurley holds over a dozen patents for his inventions and has won numerous awards for entrepreneurial leadership and innovation including an Eisenhower Fellowship, the Institute of Electrical and Electronics Engineers (IEEE) Entrepreneur Achievement Award for Leadership in Entrepreneurial Spirit, an International Genius Grant from the City of Amsterdam, IBM's Master Inventor title, and an Apple Design Award. Mr. Hurley was a Co-Founder and served as CEO of fintech startup Honest Dollar, which developed an automated investment platform that enabled small business employees and 1099 workers not covered by traditional retirement plans to save effectively. Honest Dollar was acquired by Goldman Sachs in 2016, only 14 months after its founding. Following the acquisition, Mr. Hurley joined Goldman Sachs as a Managing Director. Before his tenure at Honest Dollar, Mr. Hurley co-founded and served as Chief Technology Officer at Chaotic Moon, a developer of custom enterprise mobile applications and web services. He helmed the technological evolution of Chaotic Moon from its inception to a successful acquisition by Accenture in 2015. Mr. Hurley holds several notable positions including Chair of the IEEE Standards Association's Quantum Computing Working Group (QCWG), Vice-Chair of the IEEE Entrepreneurship Steering Committee Standards Activities, Advisory Council Member to the Innovation Center at the Cockrell School of Engineering at The University of Texas at Austin, and Co-Founder and Global Mentor of EQUALS - The Global Partnership for Gender Equality in the Digital Age, an effort he co-founded with the United Nations International Telecommunications Union and UN Women. In addition to these positions, in 2018 Mr. Hurley partnered with the European Organization for Nuclear Research (CERN) and the CERN &amp; Society Foundation to create the CERN Entrepreneurship Student Programme (CESP). He serves as a Board Member at Persensys.</t>
  </si>
  <si>
    <t>whurley@eclipticcapital.com</t>
  </si>
  <si>
    <t>428943-61P</t>
  </si>
  <si>
    <t>Brian Boardman</t>
  </si>
  <si>
    <t>Boardman</t>
  </si>
  <si>
    <t>ECMC Group</t>
  </si>
  <si>
    <t>Mr. Brian Boardman serves as General Counsel &amp; Corporate Secretary at ECMC Group. he is the primary legal advisor to the corporation and its affiliates, including executive management and the Board of Directors. He also provides executive oversight to the Legal and Compliance departments. Mr. Boardman's career in education began before law school when he taught fifth grade in Washington, D.C., through Teach For America. After law school, he practiced higher education law as a litigation attorney in Chicago and then worked in-house at Northwestern University for eight years, developing expertise in legal issues related to students. He was recognized with awards for his work as in-house counsel at Northwestern. Prior to his current role, he served as ECMC Group's deputy general counsel for over five years. Since joining ECMC, Mr. Boardman has worked on issues ranging from program-related investments to ethics oversight and governance, while also supporting the foundation and student loan guarantor. He has served on the board of directors of BestPrep, a Minnesota nonprofit focused on preparing students with business, career, and financial literacy skills, since 2018. Mr. Boardman graduated magna cum laude with a degree in journalism from Northwestern University and earned his law degree from Stanford Law School, where he participated in its education advocacy clinic.</t>
  </si>
  <si>
    <t>+1 (800) 276-0366</t>
  </si>
  <si>
    <t>bboardman@ecmc.org</t>
  </si>
  <si>
    <t>111 Washington Avenue South</t>
  </si>
  <si>
    <t>55401</t>
  </si>
  <si>
    <t>General Counsel &amp; Corporate Secretary</t>
  </si>
  <si>
    <t>349606-63P</t>
  </si>
  <si>
    <t>Dan Fisher</t>
  </si>
  <si>
    <t>Mr. Dan Fisher serves as a Board Member, Chief Executive Officer &amp; President at ECMC Group. He serves as the leader of a team dedicated to advancing postsecondary education, particularly for historically underserved communities. He has a background in law and has held key roles at ECMC, including president and general counsel. In his previous role at ECMC, he managed the Federal Family Education Loan Program and other guaranty agency activities and played a pivotal role in ECMC's national bankruptcy litigation strategy related to student loans. He has represented ECMC in legal appeals and presented on student loan-related issues at industry conferences and legal forums. He is admitted to practice in various federal appellate courts and the U.S. Supreme Court. Before his work at ECMC, Mr. Fisher served as a judge advocate in the U.S. Army, focusing on court-martial litigation. He also serves on the national board of directors for Credit Abuse Resistance Education, a nonprofit organization that promotes financial literacy among young people.</t>
  </si>
  <si>
    <t>dfisher@ecmc.org</t>
  </si>
  <si>
    <t>Board Member, Chief Executive Officer &amp; president</t>
  </si>
  <si>
    <t>187526-80P</t>
  </si>
  <si>
    <t>Gregory Van Guilder</t>
  </si>
  <si>
    <t>Van Guilder</t>
  </si>
  <si>
    <t>Mr. Gregory Van Guilder serves as Chief Investment Officer at ECMC Group. His responsibilities include oversight of ECMC Group's investment portfolio, which is a diversified portfolio of global equities, alternatives, private capital, and direct investments. In this role, Mr. Van Guilder works closely with the ECMC Group Investment Committee to implement a long-term investment strategy to grow our portfolio while prudently managing risk. Mr. Van Guilder joined ECMC Group in 1994 as a financial analyst and during his tenure has held a number of key leadership positions in finance. In 2006, he was promoted to chief financial officer (CFO). During his tenure as CFO, ECMC Group's revenues grew and were diversified materially. ECMC Group's financial success over the last 12 years has generated a significant investment portfolio that is used to support the missions of ECMC Foundation and Zenith Education Group. From 2016 through 2018, Mr. Van Guilder held both the ECMC Group CFO title and chief investment officer title. With the growth of ECMC Group's investment portfolio in both size and complexity, he transitioned to full-time chief investment officer in 2018.</t>
  </si>
  <si>
    <t>gvanguilder@ecmc.org</t>
  </si>
  <si>
    <t>428947-66P</t>
  </si>
  <si>
    <t>Heidi Johnson</t>
  </si>
  <si>
    <t>Heidi</t>
  </si>
  <si>
    <t>Ms. Heidi Johnson serves as Senior Vice President, Member of the Records and Information Management Committee, &amp; Chief of Staff at ECMC Group. She works with the executive officer team in the planning and coordination of strategic, highly complex activities across the organization. She manages ECMC Group's enterprise disaster recovery and business continuity efforts. Ms. Johnson has 25 years of experience in higher education finance and software development-23 of which have been in a variety of positions within ECMC Group and its affiliates. She has managed every aspect of the information technology (IT) department. Prior to joining ECMC, she was an IT consultant, managing large-scale development efforts for healthcare insurance companies.</t>
  </si>
  <si>
    <t>hjohnson@ecmc.org</t>
  </si>
  <si>
    <t>Senior Vice President, Member of the Records and Information Management Committee, &amp; Chief of Staff</t>
  </si>
  <si>
    <t>11827-99P</t>
  </si>
  <si>
    <t>James Mckeon III</t>
  </si>
  <si>
    <t>Mckeon</t>
  </si>
  <si>
    <t>Chairman &amp; Executive</t>
  </si>
  <si>
    <t>Mr. James McKeon serves as a Board Member at Genesis HealthCare. He serves as a Board Member at Futurestay and ViewSpark. He serves as Chairman of the Board of Directors at ECMC Foundation. He serves as Chairman of the Board, Investment Committee, Governance and Compensation Committee, and Member of the Audit Committee at ECMC Group. He served as a Board Member at Tango. From November 2008 to April 2011, he was the co-owner and Chief Financial Officer of Primo Sport, Inc., a start-up sports technology firm. From December 2003 to October 2008, he served as Executive Vice President and Chief Financial Officer for Genesis HealthCare. From June 1994 to December 2003, he held various positions at Genesis Health Ventures-he was Senior Vice President and Corporate Controller from November 2000 to December 2003, Vice President and Corporate Controller from April 1997 to November 2000 and Director, Finance and Investor Relations from June 1994 to November 1995. He started his career at KPMG Peat Marwick ("KPMG"), a professional services company, where he worked from September 1986 until June 1994; he held a variety of positions at KPMG during his tenure and was a senior manager upon departure. He also serves as a director for Educational Credit Management Corporation ("ECMC"), a not-for-profit focused on ensuring adequate liquidity to finance secondary education, a position he has held since January 2009. He also serves as Chairman of the Audit Committee for ECMC, a position he has held since May 2011. From January 2006 to January 2012, he was an officer and a director of the Tug McGraw Foundation, a not-for-profit focused on quality-of-life issues for brain tumor patients and families. He holds a bachelor of science in accountancy from Villanova University.</t>
  </si>
  <si>
    <t>+1 (888) 221-3262</t>
  </si>
  <si>
    <t>jim_mckeon1@mac.com</t>
  </si>
  <si>
    <t>Kennett Square</t>
  </si>
  <si>
    <t>Kennett Square, PA</t>
  </si>
  <si>
    <t>101 East State Street</t>
  </si>
  <si>
    <t>19348</t>
  </si>
  <si>
    <t>+1 (610) 925-4000</t>
  </si>
  <si>
    <t>Genesis HealthCare</t>
  </si>
  <si>
    <t>221282-38P</t>
  </si>
  <si>
    <t>Joseph Watt</t>
  </si>
  <si>
    <t>Mr. Joseph Watt serves as Managing Director, Impact Investing at ECMC Group. Mr. Watt serves as Advisory Board Member at GSV Ventures. He serves as Board Member at New Apprenticeship. He also serves as Executive at ECMC Group - Education Impact Fund.</t>
  </si>
  <si>
    <t>jwatt@ecmc.org</t>
  </si>
  <si>
    <t>Managing Director, Impact Investing</t>
  </si>
  <si>
    <t>139608-01P</t>
  </si>
  <si>
    <t>Martin Scanlon</t>
  </si>
  <si>
    <t>Scanlon</t>
  </si>
  <si>
    <t>Mr. Martin Scanlon serves as Chief Financial Officer at ECMC. Mr. Scanlon served as Chief Executive Officer at ECMC Servicing. He served as Vice President, Finance at Student Loan Finance Association. In November 2017, he was appointed to his current position, where he is responsible for finance across both our guarantor (ECMC) and career and technical education (Zenith) business lines. He has more than 20 years of experience leading high-growth businesses, including multiple Fortune 500 companies, nonprofit organizations and consumer finance firms. He has effectively led and managed a full spectrum of disciplines including finance, accounting, business services, operations, human resources, product management, sales and marketing. Previously, he served as the president and chief executive officer of ECMC Holdings, where he was responsible for ensuring continuous improvement to sustain operational excellence, as well as pursuing revenue diversification opportunities through investment or acquisition in other companies. Prior to joining ECMC, Mr. Scanlon was chief financial officer at EdFund, and held senior positions at the consumer finance firms Washington Mutual and Sallie Mae. As CFO at EdFund, he led and was responsible for all aspects of finance, accounting, business operations and human resources. He also directed and managed EdFund's strategic planning, company-wide performance measurement, research, financial and business activities. As vice president and national manager at Washington Mutual, he led the Student Relationships and Education Lending division. He also served as vice president of finance for Student Loan Finance Association, an education credit division of Sallie Mae. Some key accomplishments include: managing the finance division at the largest student loan secondary market in the Northwest during a period of 500 percent asset growth and 300 percent annual revenue growth; administering the issuance and management of $1.7 billion in education loan revenue bonds; managing a $100 million line of credit to purchase student loan portfolios; and guiding financial transactions during the mergers and acquisitions of a $100 million student loan servicing company, as well as a $120 million student loan finance company.</t>
  </si>
  <si>
    <t>mscanlon@ecmc.org</t>
  </si>
  <si>
    <t>195315-76P</t>
  </si>
  <si>
    <t>Phil Becker</t>
  </si>
  <si>
    <t>Mr. Phil Becker serves as Deputy Chief Investment Officer at ECMC.</t>
  </si>
  <si>
    <t>+1 (612) 339-2303</t>
  </si>
  <si>
    <t>pbecker@ecmc.org</t>
  </si>
  <si>
    <t>446484-43P</t>
  </si>
  <si>
    <t>Ahmed Khokhar</t>
  </si>
  <si>
    <t>Khokhar</t>
  </si>
  <si>
    <t>Edmonton Unlimited</t>
  </si>
  <si>
    <t>Mr. Ahmed Khokhar serves as Controller at Edmonton Unlimited.</t>
  </si>
  <si>
    <t>+1 (825) 965-7526</t>
  </si>
  <si>
    <t>akhokhar@edmontonunlimited.com</t>
  </si>
  <si>
    <t>Edmonton</t>
  </si>
  <si>
    <t>Edmonton, Canada</t>
  </si>
  <si>
    <t>10107 Jasper Avenue</t>
  </si>
  <si>
    <t>T5J 1W8</t>
  </si>
  <si>
    <t>376428-34P</t>
  </si>
  <si>
    <t>Sangeet Brar</t>
  </si>
  <si>
    <t>Sangeet</t>
  </si>
  <si>
    <t>Brar</t>
  </si>
  <si>
    <t>Ms. Sangeet Brar serves as Vice President of Finance &amp; Administration at Edmonton Unlimited.</t>
  </si>
  <si>
    <t>sbrar@edmontonunlimited.com</t>
  </si>
  <si>
    <t>Vice President of Finance &amp; Administration</t>
  </si>
  <si>
    <t>219274-93P</t>
  </si>
  <si>
    <t>Tom Viinikka</t>
  </si>
  <si>
    <t>Viinikka</t>
  </si>
  <si>
    <t>Mr. Tom Viinikka serves as Chief Executive Officer at Edmonton Unlimited. Mr. Tom Viinikka co-founded and served as Chief Executive Officer at AlignVR. Mr. Viinikka Co-Founded and served as Chief Executive Officer at vrCAVE. Tom is a Venture Mentoring Service (VMS) mentor at the University of Alberta, where he supports entrepreneurs building high-impact ventures in Edmonton. He holds an MBA and a Bachelor of Commerce, majoring in international business and minoring in business law, from the University of Alberta and is fluent in Spanish.Beyond work, Tom loves spending time with his wife and six kids. Together, they share a zest for sports and cycling, adventuring in the great outdoors and exploring the world!</t>
  </si>
  <si>
    <t>t.viinikka@edmontonunlimited.com</t>
  </si>
  <si>
    <t>265627-18P</t>
  </si>
  <si>
    <t>Andrea Dusi</t>
  </si>
  <si>
    <t>Dusi</t>
  </si>
  <si>
    <t>Edulia</t>
  </si>
  <si>
    <t>Mr. Andrea Dusi is the Founder &amp; serves as Board Member at Edulia. He serves as Member of the Board of Advisors and Anchor Investor at Unruly Capital. He is an Angel Investor. He co-founded &amp; served as Chief Executive Officer at Wish Days. He co-founded and served as Executive Chairman at Impactscool. In the last three years he co-founded Impactscool, a no-profit international organization aiming to change the education system worldwide; he helped created more than 100 "Planet+" tech startups worldwide; he joined Climate Realty Project of Al Gore; he was invited as speaker in hundred of events talking about climate change issues and the future of society; he created, lead and then left a new political party, 10xBetter, which was able to run for the national political election in 2018; he wrote a book on failures with is still an Italian bestseller. From 2006 and 2016 co-founded and managed as CEO and Chairman Wish Days (pre-paid services) which sold to a multinational company in one of the top 10 exits in the Italian market ever. He holds two degrees in business and economics and several executive degrees.</t>
  </si>
  <si>
    <t>andrea@edulia.it</t>
  </si>
  <si>
    <t>Piazza della Enciclopedia Italiana number 4</t>
  </si>
  <si>
    <t>00186</t>
  </si>
  <si>
    <t>118557-01P</t>
  </si>
  <si>
    <t>Cristina Pozzi</t>
  </si>
  <si>
    <t>Pozzi</t>
  </si>
  <si>
    <t>Ms. Cristina Pozzi serves as Co-Founder &amp; Chief Executive Officer at Edulia. She is a Co-Founder &amp; serves as Chief Executive Officer at Treccani Futura. She co-Founded and served as General Manager and Board Member at Wish Days. She is also a Co-Founder and serves as Chief Executive Officer at Impactscool. She is a Co-Founder and serves as Chief Executive Officer at Treccani Futura.</t>
  </si>
  <si>
    <t>cristina@edulia.it</t>
  </si>
  <si>
    <t>62451-01P</t>
  </si>
  <si>
    <t>Massimo Lapucci</t>
  </si>
  <si>
    <t>Massimo</t>
  </si>
  <si>
    <t>Lapucci</t>
  </si>
  <si>
    <t>Chairman &amp; President</t>
  </si>
  <si>
    <t>Mr. Massimo Lapucci serves as Chairman and President at Edulia. Previously, he served as an Investment Director at SINTONIA and General Secretary at Fondazione CRT. He serves as a Board Member at LIFTT. He has been Chairman of the European Foundation Centre in Bruxelles, the network of institutional philanthropy, which unites over 300 members from nearly 40 countries, including the USA. He holds an MBA in Corporate Finance from Sapienza University of Rome.</t>
  </si>
  <si>
    <t>286628-95P</t>
  </si>
  <si>
    <t>Elisabeth De Rothschild</t>
  </si>
  <si>
    <t>De Rothschild</t>
  </si>
  <si>
    <t>EGR Partners</t>
  </si>
  <si>
    <t>Ms. Elisabeth De Rothschild serves as Executive at EGR Partners.</t>
  </si>
  <si>
    <t>elisabeth@egrpartners.com</t>
  </si>
  <si>
    <t>101 Upper Cross Street</t>
  </si>
  <si>
    <t>Suite 05-16, People's Park Centre</t>
  </si>
  <si>
    <t>058357</t>
  </si>
  <si>
    <t>286629-13P</t>
  </si>
  <si>
    <t>Philippe Zanetti</t>
  </si>
  <si>
    <t>Zanetti</t>
  </si>
  <si>
    <t>Mr. Philippe Zanetti serves as Investment Advisor at EGR Partners.</t>
  </si>
  <si>
    <t>philippe@egrpartners.com</t>
  </si>
  <si>
    <t>Investment Advisor</t>
  </si>
  <si>
    <t>286629-04P</t>
  </si>
  <si>
    <t>Stephane Aldebert</t>
  </si>
  <si>
    <t>Aldebert</t>
  </si>
  <si>
    <t>Mr. Stephane Aldebert serves as Executive at EGR Partners.</t>
  </si>
  <si>
    <t>stephane@egrpartners.com</t>
  </si>
  <si>
    <t>338873-32P</t>
  </si>
  <si>
    <t>Andy Kerr Ph.D</t>
  </si>
  <si>
    <t>Kerr</t>
  </si>
  <si>
    <t>EIT Climate-KIC</t>
  </si>
  <si>
    <t>Dr. Andy Kerr serves as Chief Strategy Officer at EIT Climate-KIC.</t>
  </si>
  <si>
    <t>andy.kerr@climate-kic.org</t>
  </si>
  <si>
    <t>Plantage Middenlaan 45</t>
  </si>
  <si>
    <t>1018 DC</t>
  </si>
  <si>
    <t>444491-92P</t>
  </si>
  <si>
    <t>Barrie Roulston</t>
  </si>
  <si>
    <t>Barrie</t>
  </si>
  <si>
    <t>Roulston</t>
  </si>
  <si>
    <t>Mr. Barrie Roulston serves as Chief Financial Officer at EIT Climate-KIC. where he leads financial strategy, governance, and operations to support the organization's mission of driving systemic change for a sustainable future. With a strong track record in financial leadership, Barrie has held key roles at War Child UK, Plan International, and WaterAid, overseeing financial planning, compliance, and strategic decision-making. His expertise spans financial planning and reporting, risk management, and integrating financial strategies with technological solutions, ensuring financial sustainability and operational excellence in mission-driven organizations.</t>
  </si>
  <si>
    <t>barrie.roulston@climate-kic.org</t>
  </si>
  <si>
    <t>238966-57P</t>
  </si>
  <si>
    <t>Beñat Egaña</t>
  </si>
  <si>
    <t>Beñat</t>
  </si>
  <si>
    <t>Egaña</t>
  </si>
  <si>
    <t>Mr. Beñat Egaña serves as Global Climate Innovation Director at CATAL1.5°T Initiative &amp; Co-Lead Entrepreneurship, Europe at EIT Climate-KIC.</t>
  </si>
  <si>
    <t>+41 (0)44 551 0237</t>
  </si>
  <si>
    <t>benat.egana@climate-kic.org</t>
  </si>
  <si>
    <t>Hagenholzstrasse 83b</t>
  </si>
  <si>
    <t>8050</t>
  </si>
  <si>
    <t>Global Climate Innovation Director at CATAL1.5°T Initiative &amp; Co-Lead Entrepreneurship, Europe</t>
  </si>
  <si>
    <t>179356-15P</t>
  </si>
  <si>
    <t>Briana Van Strijp</t>
  </si>
  <si>
    <t>Briana</t>
  </si>
  <si>
    <t>Van Strijp</t>
  </si>
  <si>
    <t>Ms. Briana Van Strijp serves as Chief Operating Officer at EIT Climate-KIC. She served as a Partner at Anthemis. Leveraging over 20 years of global industry expertise in culture, strategy, organizational design, leadership, and innovation across public and private companies, she is a passionate advocate for building organizations to be more human, participative, and resilient. Additionally, she is a member of the Fintech for All Steering Committee and was recognized under RealDeals Future 40 Diversity &amp; Inclusion Leaders, Innovate Finance's Women in FinTech Powerlist Stand out 45, and operates as a CultureTech advisor. She holds a bachelor's in Commerce from Deakin University.</t>
  </si>
  <si>
    <t>briana.vanstrijp@climate-kic.org</t>
  </si>
  <si>
    <t>408206-17P</t>
  </si>
  <si>
    <t>Ewa Patkiewicz</t>
  </si>
  <si>
    <t>Ewa</t>
  </si>
  <si>
    <t>Patkiewicz</t>
  </si>
  <si>
    <t>Ms. Ewa Patkiewicz serves as General Counsel at EIT Climate-KIC. She leads team of legal, procurement and compliance lawyers. She also advises the boards, executive and leadership teams, on strategic, business critical matters. She has over 15 years of professional experience as head of legal across multiple sectors, from highly-regulated, private international corporations to philanthropy, as well as an entrepreneur.</t>
  </si>
  <si>
    <t>ewa.patkiewicz@climate-kic.org</t>
  </si>
  <si>
    <t>191868-58P</t>
  </si>
  <si>
    <t>Kirsten Dunlop</t>
  </si>
  <si>
    <t>Dunlop</t>
  </si>
  <si>
    <t>Dr. Kirsten Dunlop serves as Chief Executive Officer at EIT Climate-KIC. She serves as Board Member at RESPONSIBLE. She joined EIT Climate-KIC in January 2017, from Suncorp Australia, where she was Executive General Manager Strategic Innovation. At Suncorp, she founded and led a bespoke division focused on managing and responding to strategic risk through innovation, transforming core business and industry models from within. Prior to roles in Second Road, KPMG, and Suncorp, she worked in the UK and Italy for 15 years.</t>
  </si>
  <si>
    <t>+44 (0)20 3770 8031</t>
  </si>
  <si>
    <t>kirsten.dunlop@climate-kic.org</t>
  </si>
  <si>
    <t>15-17 Leek Street</t>
  </si>
  <si>
    <t>WC1X 9HY</t>
  </si>
  <si>
    <t>327011-14P</t>
  </si>
  <si>
    <t>Bennett Cole</t>
  </si>
  <si>
    <t>Emerging Ventures</t>
  </si>
  <si>
    <t>Mr. Bennett Cole serves as General Partner at Emerging Ventures. After founding the investment banking firm FalconBridge Capital Markets, LLC in 2005, he oversaw the organization's activities for more than 15 years and guided it to several top national rankings in its sectors of expertise. Previously, he held leadership positions and sat on management committees at CSG Investments, Inc. (an $8 billion AUM investment management company), Raymond James &amp; Associates, Wells Fargo Securities, and Bank of America Securities. As a technology investor, Mr. Cole has been involved in myriad start-up investments and acted as a limited partner in several venture capital and private equity funds over the past decade. In addition, he serves as an advisor to technology-focused angel funds and seed-stage investment clubs. Mr. Cole is a graduate of the Kenan Flagler Business School at the University of North Carolina at Chapel Hill (BS) and the Fuqua School of Business at Duke University (MBA).</t>
  </si>
  <si>
    <t>+1 (818) 974-3334</t>
  </si>
  <si>
    <t>bcole@emerging.vc</t>
  </si>
  <si>
    <t>Calabasas</t>
  </si>
  <si>
    <t>Calabasas, CA</t>
  </si>
  <si>
    <t>23679 Calabasas Road</t>
  </si>
  <si>
    <t>Suite 533</t>
  </si>
  <si>
    <t>91302</t>
  </si>
  <si>
    <t>87348-52P</t>
  </si>
  <si>
    <t>David Mandel</t>
  </si>
  <si>
    <t>Mandel</t>
  </si>
  <si>
    <t>Mr. David Mandel serves as Managing Partner at Emerging Ventures. Mr. Mandel also serves as Chief Executive Officer and Chairman at Platinum Group of Companies. He was the Founder and served as the Chief Executive Officer at Top Finance Company. He serves as a Board Observer at EventHub. He serves as Vice Chairman at Pasadena Angels. He is an Angel Investor. Previously he served as Chairman, President, and Chief Executive Officer at Alliance United Insurance. Prior to his current career in venture capital, he built, operated, and exited 4 different successful businesses in the Insurance and Finance industries over a 28-year period. Much of the success of these businesses is attributed to his logical systems thinking, aided by his technical training and advanced Mathematics and Computer Science education, which he used to create and evolve unique perspectives, and models for underwriting, pricing, risk selection, etc., while always taking a fresh outsider's approach to each venture. While he has been a lifelong investor, starting in 2014 he took a strong interest in the technology start-up ecosystem and is now applying his thinking to this endeavor. He is a very active angel investor. To date, he has invested in over 500 early-stage technology start-ups. He is an active member of several prominent angel groups, a frequent judge and panelist at start-up pitch events, and is considered a thought leader.</t>
  </si>
  <si>
    <t>dmandel@emerging.vc</t>
  </si>
  <si>
    <t>397272-79P</t>
  </si>
  <si>
    <t>Adina Ellis</t>
  </si>
  <si>
    <t>Emerson Collective</t>
  </si>
  <si>
    <t>Ms. Adina Ellis serves as Director of Communications, Finance at Emerson Collective.</t>
  </si>
  <si>
    <t>adina@emersoncollective.com</t>
  </si>
  <si>
    <t>Suite 259</t>
  </si>
  <si>
    <t>Director of Communications, Finance</t>
  </si>
  <si>
    <t>158009-95P</t>
  </si>
  <si>
    <t>Allison Ghajar</t>
  </si>
  <si>
    <t>Ghajar</t>
  </si>
  <si>
    <t>Ms. Allison Ghajar serves as Senior Director of Student Opportunity, Philanthropy at Emerson Collective. She served as Chief of Staff, Emerson Elemental at Emerson Collective.</t>
  </si>
  <si>
    <t>allison@emersoncollective.com</t>
  </si>
  <si>
    <t>Senior Director of Student Opportunity, Philanthropy</t>
  </si>
  <si>
    <t>158014-90P</t>
  </si>
  <si>
    <t>Amy Low</t>
  </si>
  <si>
    <t>Low</t>
  </si>
  <si>
    <t>Ms. Amy Low serves as Managing Director, Fellowships and Nonprofit Media at Emerson Collective.</t>
  </si>
  <si>
    <t>amy@emersoncollective.com</t>
  </si>
  <si>
    <t>Managing Director, Fellowships and Nonprofit Media</t>
  </si>
  <si>
    <t>158007-70P</t>
  </si>
  <si>
    <t>Anne Burgoyne</t>
  </si>
  <si>
    <t>Burgoyne</t>
  </si>
  <si>
    <t>Ms. Anne Burgoyne serves as Managing Director of Philanthropy at Emerson Collective. She serves as Treasurer &amp; Secretary of the Board at Waverley Street Foundation. She serves as a Board Member at Hope Credit Union Enterprise.</t>
  </si>
  <si>
    <t>+1 (973) 334-9215</t>
  </si>
  <si>
    <t>annemarie@emersoncollective.com</t>
  </si>
  <si>
    <t>Managing Director of Philanthropy</t>
  </si>
  <si>
    <t>144096-49P</t>
  </si>
  <si>
    <t>Ariane Bertrand</t>
  </si>
  <si>
    <t>Ariane</t>
  </si>
  <si>
    <t>Bertrand</t>
  </si>
  <si>
    <t>Ms. Ariane Bertrand serves as Director, Thriving Communities, East Palo Alto at Emerson Collective.</t>
  </si>
  <si>
    <t>abertrand@emersoncollective.com</t>
  </si>
  <si>
    <t>Director, Thriving Communities, East Palo Alto</t>
  </si>
  <si>
    <t>158019-58P</t>
  </si>
  <si>
    <t>Arianne Nichol</t>
  </si>
  <si>
    <t>Arianne</t>
  </si>
  <si>
    <t>Nichol</t>
  </si>
  <si>
    <t>Ms. Arianne Nichol serves as Senior Director of Events at Emerson Collective.</t>
  </si>
  <si>
    <t>arianne@emersoncollective.com</t>
  </si>
  <si>
    <t>Senior Director of Events</t>
  </si>
  <si>
    <t>41219-47P</t>
  </si>
  <si>
    <t>Armen Berjikly</t>
  </si>
  <si>
    <t>Armen</t>
  </si>
  <si>
    <t>Berjikly</t>
  </si>
  <si>
    <t>Mr. Armen Berjikly serves as Chief Technology Officer at BetterUp. He serves as an Investing Partner, Venture at Emerson Collective. Mr. Berjikly serves as an Angel Investor. He was a Co-Founder of Motive Software and served as its Head of Product. He previously co-founded Kanjoya, where he served as its President, Chief Product Officer, Board Member, and Chief Executive Officer. He holds an MS in Management Science and a BS in Computer Science from Stanford University.</t>
  </si>
  <si>
    <t>+1 (714) 468-2335</t>
  </si>
  <si>
    <t>3100 East 5th Street</t>
  </si>
  <si>
    <t>BetterUp</t>
  </si>
  <si>
    <t>158008-78P</t>
  </si>
  <si>
    <t>Arne Duncan</t>
  </si>
  <si>
    <t>Mr. Arne Duncan serves as Managing Director, CRED at Emerson Collective. He also serves as a Board Member at Revolution Foods and Ariel Investments. As managing partner at Emerson Collective, former U.S. Secretary of Education she returns to Chicago on a mission to improve the lives of young adults in his hometown. Through partnerships with local business leaders, community organizers, and nonprofit groups, Duncan aims to create job and life opportunities for disconnected youth between the ages of 17 and 24. Before joining the Obama Administration, Duncan served as chief executive officer of Chicago Public Schools. He also serves on the Board of Turnitin. He graduated magna cum laude from Harvard University in 1987, majoring in sociology.</t>
  </si>
  <si>
    <t>arne@emersoncollective.com</t>
  </si>
  <si>
    <t>Managing Director , CRED</t>
  </si>
  <si>
    <t>75902-23P</t>
  </si>
  <si>
    <t>Brad Powell</t>
  </si>
  <si>
    <t>Mr. Brad Powell is a Co-Founder &amp; serves as Chief Executive Officer at Amperage. He serves as Managing Director of Investments at Emerson Collective. He serves as a Board Member at Amplify and Ellevation. He is a member of and advisor to several boards of both private for-profit and non-profit organizations. In addition to this role, he has primary responsibility for driving the community impact work of the Collective. He has two graduate degrees from the Massachusetts Institute of Technology: a master of Science in Real Estate and an MBA from the Sloan School of Management.</t>
  </si>
  <si>
    <t>Loveland</t>
  </si>
  <si>
    <t>Loveland, CO</t>
  </si>
  <si>
    <t>Amperage (Internet Service Providers)</t>
  </si>
  <si>
    <t>447388-39P</t>
  </si>
  <si>
    <t>Brianna Sheehy</t>
  </si>
  <si>
    <t>Brianna</t>
  </si>
  <si>
    <t>Sheehy</t>
  </si>
  <si>
    <t>Ms. Brianna Sheehy serves as Executive Assistant, Venture at Emerson Collective.</t>
  </si>
  <si>
    <t>brianna@emersoncollective.com</t>
  </si>
  <si>
    <t>Executive Assistant, Venture</t>
  </si>
  <si>
    <t>29239-66P</t>
  </si>
  <si>
    <t>Bryan Tollin JD</t>
  </si>
  <si>
    <t>Tollin</t>
  </si>
  <si>
    <t>Mr. Bryan Tollin serves as Senior Counsel, Legal at Emerson Collective. Mr. Tollin served as Senior Legal Officer at the U.S. Agency for International Development. He served as an Associate at Simpson Thacher &amp; Bartlett. He holds a JD and an MA in Political Science from the University of California, Berkeley. He earned a BA in Communications from Boston University.</t>
  </si>
  <si>
    <t>+1 (212) 455-2041</t>
  </si>
  <si>
    <t>bryan@emersoncollective.com</t>
  </si>
  <si>
    <t>+1 (212) 455-2502</t>
  </si>
  <si>
    <t>Senior Counsel, Legal</t>
  </si>
  <si>
    <t>397274-32P</t>
  </si>
  <si>
    <t>Carman Nareau</t>
  </si>
  <si>
    <t>Carman</t>
  </si>
  <si>
    <t>Nareau</t>
  </si>
  <si>
    <t>Mr. Carman Nareau serves as Product Portfolio Manager, Engineering at Emerson Collective.</t>
  </si>
  <si>
    <t>carman@emersoncollective.com</t>
  </si>
  <si>
    <t>Product Portfolio Manager, Engineering</t>
  </si>
  <si>
    <t>334086-22P</t>
  </si>
  <si>
    <t>Chad Griffin</t>
  </si>
  <si>
    <t>Griffin</t>
  </si>
  <si>
    <t>Mr. Chad Griffin serves as Managing Director of Innovation and Impact at Emerson Collective.</t>
  </si>
  <si>
    <t>chad@emersoncollective.com</t>
  </si>
  <si>
    <t>Managing Director of Innovation and Impact</t>
  </si>
  <si>
    <t>397272-16P</t>
  </si>
  <si>
    <t>Christy Brook</t>
  </si>
  <si>
    <t>General Counsel &amp; Managing General Partner</t>
  </si>
  <si>
    <t>Ms. Christy Brook serves as General Counsel &amp; Managing General Partner at Emerson Collective.</t>
  </si>
  <si>
    <t>christy@emersoncollective.com</t>
  </si>
  <si>
    <t>192127-06P</t>
  </si>
  <si>
    <t>Constance Deng</t>
  </si>
  <si>
    <t>Ms. Constance Deng serves as Associate Director of Venture Investing at Emerson Collective. She served as an Associate at Pritzker Group Venture Capital. She focuses on early-stage and growth investments. Before joining PGVC, she worked on Account Management at YCharts, a Chicago-based financial technology startup that provides analytical tools and fundamental research for investors. Previously, she was one of the founding employees of BlackRock's Global Retirement Strategy Group as an analyst in New York. She graduated from Duke University with a double major in Economics and Linguistics, where she was also a member of the dance team.</t>
  </si>
  <si>
    <t>constance@emersoncollective.com</t>
  </si>
  <si>
    <t>Associate Director of Venture Investing</t>
  </si>
  <si>
    <t>397271-17P</t>
  </si>
  <si>
    <t>Dan Baum</t>
  </si>
  <si>
    <t>Mr. Dan Baum serves as Senior Director of Operations, Finance at Emerson Collective.</t>
  </si>
  <si>
    <t>dan@emersoncollective.com</t>
  </si>
  <si>
    <t>Senior Director of Operations, Finance</t>
  </si>
  <si>
    <t>287186-32P</t>
  </si>
  <si>
    <t>Daniel Reyes</t>
  </si>
  <si>
    <t>Reyes</t>
  </si>
  <si>
    <t>Mr. Daniel Reyes serves as Director, Education, Philanthropy at Emerson Collective.</t>
  </si>
  <si>
    <t>dreyes@emersoncollective.com</t>
  </si>
  <si>
    <t>Director, Education, Philanthropy</t>
  </si>
  <si>
    <t>205120-00P</t>
  </si>
  <si>
    <t>Daniel Tangherlini</t>
  </si>
  <si>
    <t>Tangherlini</t>
  </si>
  <si>
    <t>Mr. Daniel Tangherlini serves as Managing Director of Special Projects at Emerson Collective. He serves as a Board Member at Generation Citizen. He also serves as an advisor to several technology firms, as well as providing consulting and facilitation support to businesses and nonprofits. Until September 2017, he was the President and Founder of SeamlessDocs Federal, an emerging technology company with a focus on making government forms and data collection processes simpler. Before SeamlessDocs, he served as the Chief Operating Officer of Artemis Real Estate Partners. Before joining Artemis, he served as Administrator of the General Services Administration (GSA), having been nominated to serve in the position by President Obama and confirmed by the US Senate. He also served as the Chief Financial Officer at the U.S. Department of the Treasury from 2009 to 2013, where he was the principal policy advisor on the development and execution of the Treasury's budget and performance plans. During that time, he concurrently served as the Assistant Secretary for Management. Before his role at Treasury, he managed budget development and performance management of District agencies when he served as the District of Columbia City Administrator and Deputy Mayor from 2006 to 2009. While City Administrator, he also served in the capacity of the Vice-Chair of the Board of Directors for the DC Water and Sewer Authority (now DC Water). In 2006, he served as the Interim General Manager of the Washington Metropolitan Area Transit Authority (Metro). From 2000 to 2006, he served as Director of the District of Columbia Department of Transportation and from 1998 to 2000 as Chief Financial Officer of the Metropolitan Police Department. From 1997 to 1998 he served in the Office of Policy at the U.S. Department of Transportation, and from 1991 to 199,7 he served in various capacities at the U.S. Office of Management and Budget. He received a B.A. and an M.P.P. from the University of Chicago and an M.B.A. from the Wharton School of Business at the University of Pennsylvania.</t>
  </si>
  <si>
    <t>daniel@emersoncollective.com</t>
  </si>
  <si>
    <t>Managing Director of Special Projects</t>
  </si>
  <si>
    <t>162894-88P</t>
  </si>
  <si>
    <t>Diedra Nelson</t>
  </si>
  <si>
    <t>Diedra</t>
  </si>
  <si>
    <t>Ms. Diedra Nelson serves as Chief Operating Officer &amp; Managing Director at Emerson Collective. She served as Chief Financial Officer at The Wing. She served as Chief Financial Officer at Glamsquad.</t>
  </si>
  <si>
    <t>diedra@emersoncollective.com</t>
  </si>
  <si>
    <t>397273-78P</t>
  </si>
  <si>
    <t>Dingli Graham</t>
  </si>
  <si>
    <t>Dingli</t>
  </si>
  <si>
    <t>Mr. Dingli Graham serves as Head of Asset Management, Finance at Emerson Collective.</t>
  </si>
  <si>
    <t>dingli@emersoncollective.com</t>
  </si>
  <si>
    <t>Head of Asset Management, Finance</t>
  </si>
  <si>
    <t>158010-31P</t>
  </si>
  <si>
    <t>Elena Hale</t>
  </si>
  <si>
    <t>Chief Creative Officer &amp; Managing Director</t>
  </si>
  <si>
    <t>Ms. Elena Hale serves as Managing Director &amp; Chief Brand and Creative Officer at Emerson Collective.</t>
  </si>
  <si>
    <t>elena@emersoncollective.com</t>
  </si>
  <si>
    <t>Managing Director &amp; Chief Brand and Creative Officer</t>
  </si>
  <si>
    <t>334083-79P</t>
  </si>
  <si>
    <t>Elizabeth O'Malley</t>
  </si>
  <si>
    <t>O'Malley</t>
  </si>
  <si>
    <t>Ms. Elizabeth O'Malley serves as Senior Portfolio Manager, Culture Council at Emerson Collective.</t>
  </si>
  <si>
    <t>elizabeth@emersoncollective.com</t>
  </si>
  <si>
    <t>Senior Portfolio Manager, Culture Council</t>
  </si>
  <si>
    <t>334084-69P</t>
  </si>
  <si>
    <t>Elka Chamberlin</t>
  </si>
  <si>
    <t>Elka</t>
  </si>
  <si>
    <t>Chamberlin</t>
  </si>
  <si>
    <t>Ms. Elka Chamberlin serves as Director of Portfolio Services, Venture Investing at Emerson Collective.</t>
  </si>
  <si>
    <t>elka@emersoncollective.com</t>
  </si>
  <si>
    <t>Director of Portfolio Services, Venture Investing</t>
  </si>
  <si>
    <t>158005-63P</t>
  </si>
  <si>
    <t>Emily Bronkesh-Buchbinder</t>
  </si>
  <si>
    <t>Bronkesh-Buchbinder</t>
  </si>
  <si>
    <t>Ms. Emily Bronkesh-Buchbinder serves as Senior Director of Creative Strategy and Insights, Brand Creative Studio at Emerson Collective.</t>
  </si>
  <si>
    <t>emily@emersoncollective.com</t>
  </si>
  <si>
    <t>Senior Director of Creative Strategy and Insights, Brand Creative Studio</t>
  </si>
  <si>
    <t>13662-55P</t>
  </si>
  <si>
    <t>Fern Mandelbaum</t>
  </si>
  <si>
    <t>Fern</t>
  </si>
  <si>
    <t>Mandelbaum</t>
  </si>
  <si>
    <t>Ms. Fern Mandelbaum serves as Managing Director, Venture Investing at Emerson Collective. Ms. Mandelbaum co-founded &amp; served as Managing Member &amp; Partner at Vista Venture Partners. She serves as a Board Member at Midi Health, Syndio, and Planet FWD. She also served as a Partner at Monitor Ventures. She served as an Advisor at Sparta Science. In addition to investing, she is an entrepreneur, coach, and teacher. She specializes in creating and growing technology-focused businesses primarily in the consumer internet, mobile, media, and software space. Since 1998, she has worked with CEOs helping them develop and refine their business concepts, recruit management teams, key advisors, and board members, implement fundraising strategies, and establish strategic alliances. She teaches Entrepreneurship from the Perspective of Women at Stanford Business School and is co-teaching the Accel Innovation Scholars Program in the Engineering School. She also served as an Advisor at StartX. She has lectured at Brown University San Jose State, and Stanford's Ignite, Exec Ed, and Continuing Studies programs. She also works with companies including LinkedIn and RelateIQ on leadership, culture, and inclusiveness. She was co-founder and CEO of Skyline Products, one of the premier toy invention firms that was sold to IDEO. She has also worked at Metcal, Bain and Company, SRI International, Hewlett Packard, and the Kyoto Shinyo Bank (in Kyoto, Japan). She received her M.B.A. from the Stanford Graduate School of Business in 1988 and her B.A. in Economics from Brown University in 1984.</t>
  </si>
  <si>
    <t>fern@emersoncollective.com</t>
  </si>
  <si>
    <t>Managing Director, Venture Investing</t>
  </si>
  <si>
    <t>82653-22P</t>
  </si>
  <si>
    <t>Gabe Kleinman</t>
  </si>
  <si>
    <t>Kleinman</t>
  </si>
  <si>
    <t>Mr. Gabe Kleinman served as Founder, Solutions &amp; Marketing at Obvious Ventures. He brings with him a confluence of organization design, content creation, and client service to Obvious Ventures. He also serves as Operating Partner, Venture Investing at Emerson Collective. He was previously at Medium, where he led People Operations, Product Marketing, Partnerships, and Social Impact (not all at once). Prior to Medium, he co-led the Design for Learning practice at IDEO, helping organizations in the private, public, and social sectors tackle large-scale challenges in education. He began his career at Creative Artists Agency (CAA), working across CAA Marketing, the CAA Foundation, and strategic agency initiatives for over a decade. He served on the inaugural board of Iraq and Afghanistan Veterans of America (IAVA). He received a B.A. in Philosophy and Anthropology from Cornell University.</t>
  </si>
  <si>
    <t>gabe@emersoncollective.com</t>
  </si>
  <si>
    <t>Operating Partner, Venture Investing</t>
  </si>
  <si>
    <t>194198-14P</t>
  </si>
  <si>
    <t>James Mylen</t>
  </si>
  <si>
    <t>Mylen</t>
  </si>
  <si>
    <t>Mr. James Mylen serves as a Board Member at Unruly Splats. He serves as a Senior Advisor of Education and Ed-Tech at Emerson Collective. He serves as an Advisor at Brass Ring Ventures. He serves as a Board Member at Unruly Studios. He served as an Advisor of Insight Advance. He is the President of Amplify and leads the company's overall sales and growth strategies. He joined the company in 2005 to oversee the sales organization and was responsible for driving sales and revenue growth in state departments of education and large city school districts. He works closely with the senior leadership of large city school districts nationwide to help them achieve their goals of improving student literacy and closing the achievement gap with disadvantaged children. Previously, he held various sales executive positions with leading K-12 education technology companies. He began his career at DataGuide Systems, which developed the first PC-based, norm-referenced, test-scoring software and was acquired by McGraw-Hill. He is a graduate of Fairfield University and the Wharton Executive Education program.</t>
  </si>
  <si>
    <t>+1 (857) 327-5080</t>
  </si>
  <si>
    <t>Unruly Splats</t>
  </si>
  <si>
    <t>447354-01P</t>
  </si>
  <si>
    <t>Jim Hugo</t>
  </si>
  <si>
    <t>Mr. Jim Hugo serves as Director of Operations at Emerson Collective.</t>
  </si>
  <si>
    <t>j.hugo@emersoncollective.com</t>
  </si>
  <si>
    <t>248578-75P</t>
  </si>
  <si>
    <t>Joanna Lichter Cohen</t>
  </si>
  <si>
    <t>Lichter Cohen</t>
  </si>
  <si>
    <t>Ms. Joanna Lichter Cohen serves as Associate Director of Venture Investing at Emerson Collective. She served as Associate at Founder Collective.</t>
  </si>
  <si>
    <t>joanna@emersoncollective.com</t>
  </si>
  <si>
    <t>287184-70P</t>
  </si>
  <si>
    <t>Joe Kennedy</t>
  </si>
  <si>
    <t>Mr. Joe Kennedy serves as Senior Advisor at Emerson Collective.</t>
  </si>
  <si>
    <t>joe@emersoncollective.com</t>
  </si>
  <si>
    <t>397270-72P</t>
  </si>
  <si>
    <t>Kat Anderson</t>
  </si>
  <si>
    <t>Kat</t>
  </si>
  <si>
    <t>Ms. Kat Anderson serves as Investment Counsel, Legal at Emerson Collective.</t>
  </si>
  <si>
    <t>kat@emersoncollective.com</t>
  </si>
  <si>
    <t>Investment Counsel, Legal</t>
  </si>
  <si>
    <t>367584-76P</t>
  </si>
  <si>
    <t>Katherine Fetscher</t>
  </si>
  <si>
    <t>Fetscher</t>
  </si>
  <si>
    <t>Mr. Katherine Fetscher serves as Senior Associate, Venture Investing at Emerson Collective. She has held roles across the business and healthcare sectors, including positions at Emerson Collective, Cityblock Health, Lori Systems, Gates Ventures, and McKinsey &amp; Company. Her roles have included Investor, Growth Manager, Product Manager, Market Operations, Interim Chief of Staff, and Senior Business Analyst. She previously served as a Teaching Assistant at the University of Virginia. She holds a Master of Business Administration from Harvard Business School and a Bachelor of Science in Systems Engineering from the University of Virginia.</t>
  </si>
  <si>
    <t>+1 (484) 678-5082</t>
  </si>
  <si>
    <t>katherine@emersoncollective.com</t>
  </si>
  <si>
    <t>Executive, Venture Investing</t>
  </si>
  <si>
    <t>81748-63P</t>
  </si>
  <si>
    <t>Laurene Powell Jobs</t>
  </si>
  <si>
    <t>Laurene</t>
  </si>
  <si>
    <t>Powell Jobs</t>
  </si>
  <si>
    <t>Ms. Laurene Powell Jobs is the Founder and serves as President at Emerson Collective. Mr. Powell Jobs served as a Board Member at Ozy. She also serves as a Board Member at Anonymous Content and The Rise Fund. In addition to her work with the Emerson Collective and College Track, she serves on the boards of directors of the NewSchools Venture Fund, New America Foundation, and Conservation International. She also serves as a member of the Council on Foreign Relations. Earlier in her career, she spent several years working in investment banking and later co-founded a natural foods company in California. She is also an Angel Investor. She holds a BA and a BSE from the University of Pennsylvania and an MBA from the Stanford Graduate School of Business.</t>
  </si>
  <si>
    <t>laurene@emersoncollective.com</t>
  </si>
  <si>
    <t>447383-98P</t>
  </si>
  <si>
    <t>Lola Oyzboyd</t>
  </si>
  <si>
    <t>Lola</t>
  </si>
  <si>
    <t>Oyzboyd</t>
  </si>
  <si>
    <t>Ms. Lola Oyzboyd serves as Controller, Finance at Emerson Collective.</t>
  </si>
  <si>
    <t>lola@emersoncollective.com</t>
  </si>
  <si>
    <t>Controller, Finance</t>
  </si>
  <si>
    <t>447354-46P</t>
  </si>
  <si>
    <t>Marie Kim</t>
  </si>
  <si>
    <t>Mr. Marie Kim serves as Executive Assistant, Venture Investing at Emerson Collective.</t>
  </si>
  <si>
    <t>marie@emersoncollective.com</t>
  </si>
  <si>
    <t>Executive Assistant, Venture Investing</t>
  </si>
  <si>
    <t>158008-96P</t>
  </si>
  <si>
    <t>Marshall Fitz</t>
  </si>
  <si>
    <t>Mr. Marshall Fitz serves as Managing Director of Immigration at Emerson Collective.</t>
  </si>
  <si>
    <t>marshall@emersoncollective.com</t>
  </si>
  <si>
    <t>Managing Director of Immigration</t>
  </si>
  <si>
    <t>447353-74P</t>
  </si>
  <si>
    <t>Matt Freedman</t>
  </si>
  <si>
    <t>Freedman</t>
  </si>
  <si>
    <t>Mr. Matt Freedman serves as Fund Assistant Controller, Finance at Emerson Collective.</t>
  </si>
  <si>
    <t>matt@emersoncollective.com</t>
  </si>
  <si>
    <t>Fund Assistant Controller, Finance</t>
  </si>
  <si>
    <t>447352-30P</t>
  </si>
  <si>
    <t>Mia Bernardino</t>
  </si>
  <si>
    <t>Mia</t>
  </si>
  <si>
    <t>Bernardino</t>
  </si>
  <si>
    <t>Ms. Mia Bernardino serves as Director of Real Estate at Emerson Collective.</t>
  </si>
  <si>
    <t>mia@emersoncollective.com</t>
  </si>
  <si>
    <t>64997-38P</t>
  </si>
  <si>
    <t>Michael Bruce</t>
  </si>
  <si>
    <t>Mr. Michael Bruce serves as Senior Director of Venture Investing, Environment &amp; Energy at Emerson Collective. He also serves as a Board Member at Nautilus Data Technologies. He also served as Director at Hannon Armstrong Sustainable Infrastructure Capital. Mr. Bruce has nearly a decade of experience in finance, project development, technology, and public policy with Manifest Energy, the U.S. Department of Energy, and Credit Suisse. He holds the Series 79 securities license. Mr. Bruce serves on the Board of Directors of Aladdin Middle East, Ltd, and earned a B.S. in Management Sciences &amp; Engineering from Stanford University.</t>
  </si>
  <si>
    <t>mbruce@emersoncollective.com</t>
  </si>
  <si>
    <t>Senior Director of Venture Investing, Environment &amp; Energy</t>
  </si>
  <si>
    <t>320087-53P</t>
  </si>
  <si>
    <t>Neil White</t>
  </si>
  <si>
    <t>Mr. Neil White serves as Senior Advisor of Health at Emerson Collective. Mr. White served as a Board Member at Theonys. He served as a Board Member at Link Immunotherapeutics. He has over 10 years of experience in the life sciences sector, spanning investment banking and leadership roles. Previously, he worked in Capital Markets at Bank of America Merrill Lynch, and in Healthcare Mergers &amp; Acquisitions advisory at Torreya Partners and Perella Weinberg Partners. He is now an investment manager in the Health Team of Emerson Collective, focused on investing in and supporting the clinical translation of novel treatments in oncology and improving the lives of cancer patients. He received his MSc (Res) from the University of Oxford and BSc (Hons) from the University of Toronto.</t>
  </si>
  <si>
    <t>neil@emersoncollective.com</t>
  </si>
  <si>
    <t>Senior Advisor of Health</t>
  </si>
  <si>
    <t>447353-29P</t>
  </si>
  <si>
    <t>Patrick D'Arcy</t>
  </si>
  <si>
    <t>D'Arcy</t>
  </si>
  <si>
    <t>Mr. Patrick D'Arcy serves as Senior Director of Fellowships and Portfolio Communications at Emerson Collective.</t>
  </si>
  <si>
    <t>patrick@emersoncollective.com</t>
  </si>
  <si>
    <t>Senior Director of Fellowships and Portfolio Communications</t>
  </si>
  <si>
    <t>158013-37P</t>
  </si>
  <si>
    <t>Peter Lattman</t>
  </si>
  <si>
    <t>Lattman</t>
  </si>
  <si>
    <t>Mr. Peter Lattman serves as Managing Director of Media at Emerson Collective. He served as a Board Member at Anonymous Content. He was a Board Member of Pop-Up Magazine Productions.</t>
  </si>
  <si>
    <t>peter@emersoncollective.com</t>
  </si>
  <si>
    <t>Managing Director of Media</t>
  </si>
  <si>
    <t>200329-75P</t>
  </si>
  <si>
    <t>Peter Lauten</t>
  </si>
  <si>
    <t>Lauten</t>
  </si>
  <si>
    <t>Head &amp; Senior Director</t>
  </si>
  <si>
    <t>Mr. Peter Lauten serves as Partner at Andreessen Horowitz. He serves as Senior Director &amp; Head of Equity Research at Emerson Collective.</t>
  </si>
  <si>
    <t>+1 (650) 798-5800</t>
  </si>
  <si>
    <t>plauten@a16z.com</t>
  </si>
  <si>
    <t>2865 Sand Hill Road</t>
  </si>
  <si>
    <t>+1 (650) 854-0608</t>
  </si>
  <si>
    <t>Andreessen Horowitz</t>
  </si>
  <si>
    <t>96550-84P</t>
  </si>
  <si>
    <t>Raffi Krikorian</t>
  </si>
  <si>
    <t>Raffi</t>
  </si>
  <si>
    <t>Krikorian</t>
  </si>
  <si>
    <t>Chief Technology Officer &amp; Managing Director</t>
  </si>
  <si>
    <t>Mr. Raffi Krikorian serves as Managing Director &amp; Chief Technology Officer at Emerson Collective. He co-founded Speakeasy AI. He serves as a Board Member at Change Research. He serves as the Engineering Director at Uber Technologies. He was previously a Co-Founder of WattzOn and served as Vice President at Twitter. He was also a Co-Founder at Angel Island. He holds a BS in Electrical Engineering, an MS in Media Arts, and a ME in Electrical Engineering from Massachusetts Institute of Technology.</t>
  </si>
  <si>
    <t>+1 (818) 846-3281</t>
  </si>
  <si>
    <t>raffi@emersoncollective.com</t>
  </si>
  <si>
    <t>+1 (415) 566-0132</t>
  </si>
  <si>
    <t>Managing Director &amp; Chief Technology Officer</t>
  </si>
  <si>
    <t>334082-89P</t>
  </si>
  <si>
    <t>Rodney Scaife</t>
  </si>
  <si>
    <t>Scaife</t>
  </si>
  <si>
    <t>Mr. Rodney Scaife serves as Managing Director &amp; Head of People at Emerson Collective.</t>
  </si>
  <si>
    <t>rodney@emersoncollective.com</t>
  </si>
  <si>
    <t>Managing Director &amp; Head of People</t>
  </si>
  <si>
    <t>158004-73P</t>
  </si>
  <si>
    <t>Russlynn Ali</t>
  </si>
  <si>
    <t>Russlynn</t>
  </si>
  <si>
    <t>Ms. Russlynn Ali serves as Managing Director of the Education Fund at Emerson Collective. She serves as a Board Member at Amplify Education. She also serves as a Trustee at the Carnegie Foundation. She is the CEO and co-founder of XQ Institute. XQ is committed to transforming public high schools to close achievement and opportunity gaps, and to making schools the center of community revitalization.</t>
  </si>
  <si>
    <t>russlynn@emersoncollective.com</t>
  </si>
  <si>
    <t>Managing Director of Education Fund</t>
  </si>
  <si>
    <t>98806-51P</t>
  </si>
  <si>
    <t>Sarah Peyronel</t>
  </si>
  <si>
    <t>Peyronel</t>
  </si>
  <si>
    <t>Ms. Sarah Peyronel serves as Vice President and Growth Technology Investor at Spectrum Equity. She serves as a Senior Director, Venture Investing at Emerson Collective. Previously, she served as Vice President at Spectrum Equity. She joined the firm in 2015 and is a Vice President. Her areas of investment focus include the Internet, software, and information services. Prior to joining Spectrum, she worked at Great Hill Partners and Goldman Sachs. She holds an MS from HEC Paris and an MPA from the Harvard Kennedy School. She also holds a Master's in Accounting from Harvard University.</t>
  </si>
  <si>
    <t>+1 (415) 464-4600</t>
  </si>
  <si>
    <t>sarah@emersoncollective.com</t>
  </si>
  <si>
    <t>Senior Director, Venture Investing</t>
  </si>
  <si>
    <t>447385-60P</t>
  </si>
  <si>
    <t>Sarah Pinto</t>
  </si>
  <si>
    <t>Ms. Sarah Pinto serves as Senior Director of Venture Investing at Emerson Collective.</t>
  </si>
  <si>
    <t>Senior Director of Venture Investing</t>
  </si>
  <si>
    <t>334084-06P</t>
  </si>
  <si>
    <t>Sarah Rahman</t>
  </si>
  <si>
    <t>Rahman</t>
  </si>
  <si>
    <t>Executive &amp; Senior Director</t>
  </si>
  <si>
    <t>Ms. Sarah Rahman serves as Chief of Staff and Senior Director of Philanthropy at Emerson Collective.</t>
  </si>
  <si>
    <t>Chief of Staff and Senior Director of Philanthropy</t>
  </si>
  <si>
    <t>71855-11P</t>
  </si>
  <si>
    <t>Scott Bromley</t>
  </si>
  <si>
    <t>Bromley</t>
  </si>
  <si>
    <t>Mr. Scott Bromley serves as Executive of Venture Investing, Media at Emerson Collective. He served as Senior Vice President at The Chernin Group. He earned an MBA from Stanford Graduate School of Business and a BA in Economics from Harvard University.</t>
  </si>
  <si>
    <t>scott@emersoncollective.com</t>
  </si>
  <si>
    <t>Executive of Venture Investing, Media</t>
  </si>
  <si>
    <t>158020-21P</t>
  </si>
  <si>
    <t>Stacey Rubin</t>
  </si>
  <si>
    <t>Ms. Stacey Rubin serves as Chief of Staff &amp; Managing Director of Strategy at Emerson Collective.</t>
  </si>
  <si>
    <t>stacey@emersoncollective.com</t>
  </si>
  <si>
    <t>Chief of Staff &amp; Managing Director of Strategy</t>
  </si>
  <si>
    <t>447354-91P</t>
  </si>
  <si>
    <t>Stephen Kolar</t>
  </si>
  <si>
    <t>Kolar</t>
  </si>
  <si>
    <t>Mr. Stephen Kolar serves as Senior Director of Financial Planning and Analysis, Finance at Emerson Collective.</t>
  </si>
  <si>
    <t>skolar@emersoncollective.com</t>
  </si>
  <si>
    <t>Senior Director of Financial Planning and Analysis, Finance</t>
  </si>
  <si>
    <t>31285-27P</t>
  </si>
  <si>
    <t>Stephen McDermid</t>
  </si>
  <si>
    <t>McDermid</t>
  </si>
  <si>
    <t>Mr. Stephen McDermid serves as Managing Director of Venture Investing at Emerson Collective. Previously, he served as an Executive at Andreessen Horowitz. He also served as a vice president of private capital markets at Thomas Weisel Partners. He joined the firm in 2006 and is based in San Francisco. He has six years of experience in Private Capital Markets and Investment Banking. Before joining the firm, he was an analyst at Citigroup Corporate &amp; Investment Bank. He also received a BA degree in Computer Science from Tufts University and an MA degree in Law and Diplomacy from Tufts University. He serves as Member of the Investment Committee at Tufts University Endowment.</t>
  </si>
  <si>
    <t>steve@emersoncollective.com</t>
  </si>
  <si>
    <t>447387-85P</t>
  </si>
  <si>
    <t>Susy Schoeneberg</t>
  </si>
  <si>
    <t>Susy</t>
  </si>
  <si>
    <t>Schoeneberg</t>
  </si>
  <si>
    <t>Ms. Susy Schoeneberg serves as Director of Venture Investing at Emerson Collective.</t>
  </si>
  <si>
    <t>susy@emersoncollective.com</t>
  </si>
  <si>
    <t>Director of Venture Investing</t>
  </si>
  <si>
    <t>287136-37P</t>
  </si>
  <si>
    <t>Tanya Carter</t>
  </si>
  <si>
    <t>Executive &amp; Executive Assistant</t>
  </si>
  <si>
    <t>Ms. Tanya Carter serves as Executive Assistant to Managing Director, Special Projects, &amp; Supporting Chief Operating Officer at Emerson Collective.</t>
  </si>
  <si>
    <t>tanya@emersoncollective.com</t>
  </si>
  <si>
    <t>Executive Assistant to Managing Director, Special Projects, &amp; Supporting Chief Operating Officer</t>
  </si>
  <si>
    <t>286241-95P</t>
  </si>
  <si>
    <t>Tiffany Chao</t>
  </si>
  <si>
    <t>Chao</t>
  </si>
  <si>
    <t>Ms. Tiffany Chao serves as Analyst, Portfolio Support, Venture Investing at Emerson Collective. She serves as Chief Financial Officer at New England Venture Network.</t>
  </si>
  <si>
    <t>tiffany@emersoncollective.com</t>
  </si>
  <si>
    <t>Analyst, Portfolio Support, Venture Investing</t>
  </si>
  <si>
    <t>338547-70P</t>
  </si>
  <si>
    <t>Tyler Moran</t>
  </si>
  <si>
    <t>Moran</t>
  </si>
  <si>
    <t>Ms. Tyler Moran serves as Managing Director of Policy &amp; Government Affairs at Emerson Collective. .</t>
  </si>
  <si>
    <t>tyler@emersoncollective.com</t>
  </si>
  <si>
    <t>Managing Director of Policy &amp; Government Affairs</t>
  </si>
  <si>
    <t>397270-36P</t>
  </si>
  <si>
    <t>William Ames</t>
  </si>
  <si>
    <t>Ames</t>
  </si>
  <si>
    <t>Mr. William Ames serves as Director of Bookstores &amp; Book Access, Philanthropy at Emerson Collective.</t>
  </si>
  <si>
    <t>wames@emersoncollective.com</t>
  </si>
  <si>
    <t>Director of Bookstores &amp; Book Access, Philanthropy</t>
  </si>
  <si>
    <t>141626-44P</t>
  </si>
  <si>
    <t>Emmanuel Sauzay</t>
  </si>
  <si>
    <t>Sauzay</t>
  </si>
  <si>
    <t>EnduroSat</t>
  </si>
  <si>
    <t>Mr. Emmanuel Sauzay serves as Chief Growth Officer at EnduroSat. He serves as Program Manager at Airbus Defense and Space. Mr. Sauzay served as a Director, Commercial Space at Airbus Defense and Space. He graduated as an Aerospace Engineer from the École Nationale Supérieure de l'Aéronautique et de l'Espace (Toulouse, France) and also holds an MBA Toulouse University. He spent most of his career in the Space Systems division of Airbus (formerly Astrium), occupying various positions in spacecraft design and engineering, spacecraft flight operations, program management, business development and sales. Emmanuel has worked in Europe, Africa and Asia, and is now based in America. He worked in Bangalore, India, from 2007 to 2010, as part of a partnership with the Indian Space Agency for commercial satellites manufacturing. Since then, Emmanuel has been focusing on business innovation applied to commercial satellites. Emmanuel is now in charge of commercial space activities for Airbus Defense and Space Inc, the US affiliate of Airbus Defence and Space. He has been based in the San Francisco Bay area since August 2015.</t>
  </si>
  <si>
    <t>emmanuel@endurosat.com</t>
  </si>
  <si>
    <t>Sofia, Bulgaria</t>
  </si>
  <si>
    <t>1A Flora Street</t>
  </si>
  <si>
    <t>1404</t>
  </si>
  <si>
    <t>Bulgaria</t>
  </si>
  <si>
    <t>396345-70P</t>
  </si>
  <si>
    <t>Gergana Srebkova-Kiranova</t>
  </si>
  <si>
    <t>Gergana</t>
  </si>
  <si>
    <t>Srebkova-Kiranova</t>
  </si>
  <si>
    <t>Ms. Gergana Srebkova-Kiranova serves as Chief People Officer at EnduroSat.</t>
  </si>
  <si>
    <t>gergana.srebkova@endurosat.com</t>
  </si>
  <si>
    <t>194266-27P</t>
  </si>
  <si>
    <t>Giuseppe Sisinni</t>
  </si>
  <si>
    <t>Sisinni</t>
  </si>
  <si>
    <t>Mr. Giuseppe Sisinni serves as CEO of EnduroSat Italy, Global Director of Business Development &amp; General Counsel at EnduroSat.</t>
  </si>
  <si>
    <t>sisinni@endurosat.com</t>
  </si>
  <si>
    <t>CEO of EnduroSat Italy, Global Director of Business Development &amp; General Counsel</t>
  </si>
  <si>
    <t>151171-48P</t>
  </si>
  <si>
    <t>Raycho Raychev</t>
  </si>
  <si>
    <t>Raycho</t>
  </si>
  <si>
    <t>Raychev</t>
  </si>
  <si>
    <t>Mr. Raycho Raychev is a Co-Founder of EnduroSat and serves as its Chief Executive Officer. He is responsible for the overall company strategy, development and vision. Prior to EnduroSat, Raycho has created Space Challenges - the biggest free space educational program in Europe and Special Concepts - an aerospace consultancy company. He holds an MS (Master of Science) in Space Science and Management from International Space University.</t>
  </si>
  <si>
    <t>raycho@endurosat.com</t>
  </si>
  <si>
    <t>151171-84P</t>
  </si>
  <si>
    <t>Stanimir Gantchev</t>
  </si>
  <si>
    <t>Stanimir</t>
  </si>
  <si>
    <t>Gantchev</t>
  </si>
  <si>
    <t>Mr. Stanimir Gantchev is a Co-Founder &amp; serves as Sales Engineer at EnduroSat.</t>
  </si>
  <si>
    <t>stanimir.gantchev@endurosat.com</t>
  </si>
  <si>
    <t>Co-Founder &amp; Sales Engineer</t>
  </si>
  <si>
    <t>266536-90P</t>
  </si>
  <si>
    <t>Vanya Buchova</t>
  </si>
  <si>
    <t>Vanya</t>
  </si>
  <si>
    <t>Buchova</t>
  </si>
  <si>
    <t>Ms. Vanya Buchova serves as Chief Program Officer &amp; Projects Director at EnduroSat.</t>
  </si>
  <si>
    <t>vanya@endurosat.com</t>
  </si>
  <si>
    <t>Chief Program Officer &amp; Projects Director</t>
  </si>
  <si>
    <t>264484-81P</t>
  </si>
  <si>
    <t>Viktor Danchev</t>
  </si>
  <si>
    <t>Viktor</t>
  </si>
  <si>
    <t>Danchev</t>
  </si>
  <si>
    <t>Mr. Viktor Danchev serves as Chief Technical Officer at EnduroSat.</t>
  </si>
  <si>
    <t>viktor.d@endurosat.com</t>
  </si>
  <si>
    <t>Chief Technical Officer</t>
  </si>
  <si>
    <t>194265-91P</t>
  </si>
  <si>
    <t>Vladislav Nikolov</t>
  </si>
  <si>
    <t>Nikolov</t>
  </si>
  <si>
    <t>Mr. Vladislav Nikolov serves as Chief Operating Officer, Chief Legal Officer &amp; General Counsel at EnduroSat.</t>
  </si>
  <si>
    <t>vladislav.nikolov@endurosat.com</t>
  </si>
  <si>
    <t>Chief Operating Officer, Chief Legal Officer &amp; General Counsel</t>
  </si>
  <si>
    <t>245659-87P</t>
  </si>
  <si>
    <t>Yordan Kanchev</t>
  </si>
  <si>
    <t>Yordan</t>
  </si>
  <si>
    <t>Kanchev</t>
  </si>
  <si>
    <t>Mr. Yordan Kanchev serves as Chief Financial Officer at EnduroSat.</t>
  </si>
  <si>
    <t>yordan@endurosat.com</t>
  </si>
  <si>
    <t>220962-16P</t>
  </si>
  <si>
    <t>Zornitsa Yanakieva</t>
  </si>
  <si>
    <t>Zornitsa</t>
  </si>
  <si>
    <t>Yanakieva</t>
  </si>
  <si>
    <t>Ms. Zornitsa Yanakieva serves as Chief Commercial Officer at EnduroSat. She served as Chief Executive Officer, Chief Operating Officer, Executive Director &amp; Board Member at Cash Credit.</t>
  </si>
  <si>
    <t>zornitsa.yanakieva@endurosat.com</t>
  </si>
  <si>
    <t>15906-88P</t>
  </si>
  <si>
    <t>Benjamin Nelson JD</t>
  </si>
  <si>
    <t>Energent</t>
  </si>
  <si>
    <t>Mr. Benjamin Nelson serves as Chief Operating Officer at Cresta Fund Management. He joined Cresta in 2019 as General Counsel and currently serves as Chief Operating Officer, General Counsel and Chief Compliance Officer. He has over 25 years of experience, including ~10 years with the Ray L. Hunt family, first as General Counsel to the Hunt family private equity arm, and then with InfraREIT, an electric transmission REIT that completed a $500mm+ IPO with He as General Counsel. He worked as a corporate transactional attorney with Fulbright &amp; Jaworski, Wilson Sonsini and a predecessor to KL Gates from 1996 to 2007. From 2017 to 2019, He was President of Energent, L.P., a start-up private equity fund focused on renewable energy investing, and he also served as General Counsel to Motive Drilling Technologies, a downhole drilling intelligence company, through its 2017 sale to Helmerich &amp; Payne. He holds a B.A. from Stanford University and J.D. from Duke Law School.</t>
  </si>
  <si>
    <t>+1 (214) 310-1083</t>
  </si>
  <si>
    <t>ben.nelson@crestafunds.com</t>
  </si>
  <si>
    <t>2950 North Harwood Street</t>
  </si>
  <si>
    <t>Cresta Fund Management</t>
  </si>
  <si>
    <t>243262-54P</t>
  </si>
  <si>
    <t>David Wilson</t>
  </si>
  <si>
    <t>Mr. David Wilson serves as Vice President &amp; Partner, Services &amp; Strategy at Energent Energy.</t>
  </si>
  <si>
    <t>+1 (214) 932-3480</t>
  </si>
  <si>
    <t>david.wilson@nrgnt.com</t>
  </si>
  <si>
    <t>2021 McKinney Avenue</t>
  </si>
  <si>
    <t>Vice President &amp; Partner, Services &amp; Strategy</t>
  </si>
  <si>
    <t>198881-83P</t>
  </si>
  <si>
    <t>Jeff Shorter</t>
  </si>
  <si>
    <t>Shorter</t>
  </si>
  <si>
    <t>Mr. Jeff Shorter serves as Vice President at Energent Energy. He served as Vice President, Corporate Development at GridLiance.Shorter brings almost 30 years of experience in business development, energy asset optimization, logistics, and operational planning to his role. He is responsible for identifying strategic business development and partnership opportunities with cooperatives, municipalities, and developers in expanding the Gridliance national footprint. Before he joined GridLiance, Shorter was a partner in a consulting/asset optimization firm. There he shaped business strategy and acquired distressed, underutilized, and undervalued infrastructure assets. Prior to that role, he was a vice president of business development at InfraREIT Capital Partners, LLC and partner at Captra Capital LLC. He developed a strategic business development framework and led acquisition strategies for the investment fund. Shorter also has held several key executive positions at retail electricity providers and energy technology companies including serving as president of Alliance Data Utility Services, senior vice president of PNM Resources, president of First Choice Power, and senior vice president of commercial operations for TXU Energy Trading. Shorter earned a bachelor's degree in business administration and an MBA from Texas Tech University. He is an advisor for the student managed Spindletop Energy Fund and part-time lecturer on renewable and fossil power generation at the Cox School of Business at Southern Methodist University.</t>
  </si>
  <si>
    <t>+1 (888) 886-7468</t>
  </si>
  <si>
    <t>jeff.shorter@nrgnt.com</t>
  </si>
  <si>
    <t>1 World Trade Center</t>
  </si>
  <si>
    <t>10007</t>
  </si>
  <si>
    <t>42550-03P</t>
  </si>
  <si>
    <t>Matthew Brown</t>
  </si>
  <si>
    <t>General Partner &amp; Partner</t>
  </si>
  <si>
    <t>Mr. Matthew Brown is a Co-Founder &amp; serves as a Board Member at Kona Private Capital Group. He also serves as Executive Chairman at Matthew Brown Companies. He serves as a General Partner and Senior Executive Partner at Energent L.P. Matthew is a Hawaii-based entrepreneur and has extensive experience within the public and private sectors and has industry experience with investments in real estate, as well as renewable and traditional energy industries. He attended Texas Christian University (TCU).</t>
  </si>
  <si>
    <t>+1 (817) 821-8480</t>
  </si>
  <si>
    <t>matthew@nrgnt.com</t>
  </si>
  <si>
    <t>General Partner &amp; Senior Executive Partner</t>
  </si>
  <si>
    <t>449811-46P</t>
  </si>
  <si>
    <t>Nicholas Pastushan</t>
  </si>
  <si>
    <t>Pastushan</t>
  </si>
  <si>
    <t>Mr. Nicholas Pastushan serves as President of Transportation Investments at Energent. He has deep expertise in business management, operational turnarounds, and corporate restructuring. He previously served as Chief Investment Officer and Chief Credit Officer of CIT Transportation Finance, overseeing $20 billion in assets across commercial aviation, rail, maritime, business jets, and M&amp;A financing in the transportation and government contracting sectors.</t>
  </si>
  <si>
    <t>President of Transportation Investments</t>
  </si>
  <si>
    <t>45817-03P</t>
  </si>
  <si>
    <t>Shane Starr</t>
  </si>
  <si>
    <t>Starr</t>
  </si>
  <si>
    <t>Founder &amp; Limited Partner</t>
  </si>
  <si>
    <t>Mr. Shane Starr was a Co-Founder &amp; Co-Owner &amp; serves as Limited Partner at Energent Energy. He is the Founding Principal of Tamra-Tacoma Capital Partners and Kona Private Capital Group.</t>
  </si>
  <si>
    <t>shane.starr@nrgnt.com</t>
  </si>
  <si>
    <t>Co-Founder, Co-Owner &amp; Limited Partner</t>
  </si>
  <si>
    <t>359597-80P</t>
  </si>
  <si>
    <t>Tristen York</t>
  </si>
  <si>
    <t>Tristen</t>
  </si>
  <si>
    <t>Mr. Tristen York serves as Chief Executive Officer and Board Member at Partager. He serves as Chairman &amp; Board Member at Energent.</t>
  </si>
  <si>
    <t>Long Beach</t>
  </si>
  <si>
    <t>Long Beach, CA</t>
  </si>
  <si>
    <t>100 West Broadway</t>
  </si>
  <si>
    <t>90802</t>
  </si>
  <si>
    <t>Partager</t>
  </si>
  <si>
    <t>117006-40P</t>
  </si>
  <si>
    <t>Adam James</t>
  </si>
  <si>
    <t>Energy Impact Partners</t>
  </si>
  <si>
    <t>Mr. Adam James serves as Partner, Head of Customer Experience &amp; Impact at Energy Impact Partners. He serves as an Advisor at Spark Clean Energy. He is the Founder and CEO of the Clean Energy Leadership Institute (CELI), an organization devoted to providing young people with the tools they need to impact clean energy policy. At CELI, he manages a small, high-performing team that is linking the emerging young professional community with established policy organizations in the Washington, DC area. In addition to overseeing the CELI team, His role includes developing strategic partnerships, working closely with the Advisory Board, and directing fundraising efforts. In addition, he works as an analyst for GTM Research covering downstream solar markets. His expertise is in global demand dynamics, including public policy, financing, energy market landscapes, and business strategy. Previously, at the Center for American Progress (CAP) He worked on U.S. clean energy policy and international climate negotiations. In that capacity, he worked closely with Senior Fellows Bracken Hendricks and Dr. Andrew Light, as well as supporting former White House Chief of Staff John Podesta. At CAP, He published on electricity market policy, financing for clean energy and efficiency, multilateral negotiations, clean energy manufacturing and innovation, the natural gas boom, and carbon regulations. As a volunteer, He has worked closely with the Sierra Club's Clean Energy Team modeling a framework for Indiana's transition to renewable energy sources and advising on policy avenues. He frequently writes on electricity markets, technology integration, finance, infrastructure, policy, and politics. His articles and reports have been featured in Climate Progress, Renewable Energy World, Midwest Energy News, The Energy Collective, EC&amp;M, and Greentech Media. His work has been widely cited including in the Washington Post, Forbes, Grist, and Solar Server. He received his B.A. from George Mason University.</t>
  </si>
  <si>
    <t>+1 (212) 899-9700</t>
  </si>
  <si>
    <t>james@energyimpactpartners.com</t>
  </si>
  <si>
    <t>600 3rd Avenue</t>
  </si>
  <si>
    <t>Partner, Head of Customer Experience &amp; Impact</t>
  </si>
  <si>
    <t>46967-95P</t>
  </si>
  <si>
    <t>Ake Almgren Ph.D</t>
  </si>
  <si>
    <t>Ake</t>
  </si>
  <si>
    <t>Almgren</t>
  </si>
  <si>
    <t>Dr. Ake Almgren serves as Senior Advisory Board Member at Energy Impact Partners. He served as the Chairman at PJM Advisors. He served as Board Member at Awesense. He is the President and 2003 founder of ORKAS Inc. and lends his experience and guidance to Awesense. Formerly Dr Almgren was the President &amp; CEO of Capstone Turbine Corporation (NASDAQ:CPST), the world's premier developer and manufacturer of micro-turbine systems. Prior to Capstone, Dr. Almgren spent an accomplished 26 year career at ABB (NYSE:ABB), a worldwide power solutions company. He served as President of various business entities, including Business Area manager Distribution Transformers (with 36 plants in 28 countries), ABB Power T&amp;D Co, Inc., ABB Power Distribution and ABB Power Systems. In these capacities he led operations ranging from high volume commodity products to advanced engineered system solutions with a worldwide presence. Dr. Almgren holds a PhD in Engineering from Sweden's Linköpings Tekniska Högskola and a Master's degree in Mechanical Engineering from Sweden's Royal Institute of Technology.</t>
  </si>
  <si>
    <t>+1 (610) 666-2202</t>
  </si>
  <si>
    <t>ake.almgren@pjm.com</t>
  </si>
  <si>
    <t>PJM Advisors (Former)</t>
  </si>
  <si>
    <t>439078-24P</t>
  </si>
  <si>
    <t>Albert Abaunza</t>
  </si>
  <si>
    <t>Abaunza</t>
  </si>
  <si>
    <t>Mr. Albert Abaunza serves as Deputy Chief Compliance Officer at Energy Impact Partners. Before joining EIP, Mr Abaunza was a Principal Consultant at ACA Group, spending over five years providing comprehensive regulatory advice and support to private equity and hedge fund managers across the U.S. He holds a BBA in Finance from Montclair State University and currently resides in New Jersey</t>
  </si>
  <si>
    <t>abaunza@energyimpactpartners.com</t>
  </si>
  <si>
    <t>Deputy Chief Compliance Officer</t>
  </si>
  <si>
    <t>456483-25P</t>
  </si>
  <si>
    <t>Alex Young</t>
  </si>
  <si>
    <t>Ms. Alex Young serves as Senior Associate at Energy Impact Partners.Prior to joining EIP, Alex led technoeconomic analysis (TEA) and life cycle assessment (LCA) at Twelve, a climate tech startup working to decarbonize fuels and chemicals via low-temperature electrochemical carbon dioxide conversion. She also worked previously as an engineer at Antora Energy, another prominent climate tech startup, working on thermal energy storage and a novel thermophotovoltaic heat engine for combined heat and power applications.She holds a BS and MS in Chemical Engineering from Stanford University. She served in 2023 as Admissions Director and in 2024 as Admissions Lead for the Out for Undergrad Engineering conference, a professional development conference for high-achieving LGBTQ2+ undergraduate students in the engineering field.</t>
  </si>
  <si>
    <t>young@energyimpactpartners.com</t>
  </si>
  <si>
    <t>302319-64P</t>
  </si>
  <si>
    <t>Alexander Hayek</t>
  </si>
  <si>
    <t>Hayek</t>
  </si>
  <si>
    <t>Mr. Alexander Hayek serves as Principal at Energy Impact Partners. Before joining EIP full-time, Mr. Hayek worked for Houlihan Lokey, focusing on executing M&amp;A transactions for industrial companies. Before joining Houlihan Lokey, He worked as a Vice President at CION Investments, executing middle-market transactions. He holds an MBA from Columbia Business School, and a B.A. in Economics from the University of Connecticut and has earned the Chartered Financial Analyst designation.</t>
  </si>
  <si>
    <t>hayek@energyimpactpartners.com</t>
  </si>
  <si>
    <t>100730-35P</t>
  </si>
  <si>
    <t>Alexandre Raguet</t>
  </si>
  <si>
    <t>Raguet</t>
  </si>
  <si>
    <t>Mr. Alexandre Raguet serves as Venture Partner at Energy Impact Partners. Mr. Raguet Co-Founded Lumo (Savings Platform) and also served as its President. He has 15 years of experience in the financial markets in Paris and New York.</t>
  </si>
  <si>
    <t>araguet@energyimpactpartners.com</t>
  </si>
  <si>
    <t>213636-97P</t>
  </si>
  <si>
    <t>Alexis Abramson</t>
  </si>
  <si>
    <t>Abramson</t>
  </si>
  <si>
    <t>Ms. Alexis Abramson serves as Co-Chief Executive Officer at Edifice Analytics. She serves as a Senior Advisory Board Member at Energy Impact Partners. She is a Maltz Professor of Energy Innovation at CWRU and was formerly the Chief Scientist at the DOE Building Technologies Office. She took on the role as Dean of Engineering at Dartmouth in June 2019.</t>
  </si>
  <si>
    <t>+1 (216) 202-0615</t>
  </si>
  <si>
    <t>alexis@edificeanalytics.com</t>
  </si>
  <si>
    <t>Cleveland</t>
  </si>
  <si>
    <t>Cleveland, OH</t>
  </si>
  <si>
    <t>11201 Cedar Avenue</t>
  </si>
  <si>
    <t>44106</t>
  </si>
  <si>
    <t>Co-founder &amp; Senior Technical Advisor</t>
  </si>
  <si>
    <t>Edifice Analytics</t>
  </si>
  <si>
    <t>371254-42P</t>
  </si>
  <si>
    <t>Ananya Rajesh</t>
  </si>
  <si>
    <t>Ananya</t>
  </si>
  <si>
    <t>Ms. Ananya Rajesh served as Investor at Redpoint Ventures. She serves as Senior Associate at Energy Impact Partners. She started her career at Blackstone's inaugural Infrastructure fund. During her time there, she invested in and worked closely with portfolio companies across the digital communications and energy transmission sectors, including as Head of Financial Strategy for a greenfield development project. She graduated Phi Beta Kappa from the University of Texas at Austin with degrees in Business Honors, Finance, and Plan II Honors.</t>
  </si>
  <si>
    <t>302324-77P</t>
  </si>
  <si>
    <t>Andy Lubershane</t>
  </si>
  <si>
    <t>Lubershane</t>
  </si>
  <si>
    <t>Mr. Andy Lubershane serves as Partner and Head of Research at Energy Impact Partners. His research is generating insight to guide both EIP's investments and its partners' strategy. He has over a decade of experience researching and analyzing the impact of new technology on energy markets.</t>
  </si>
  <si>
    <t>alubershane@energyimpactpartners.com</t>
  </si>
  <si>
    <t>Partner and Head of Research</t>
  </si>
  <si>
    <t>95572-09P</t>
  </si>
  <si>
    <t>Anil Achyuta Ph.D</t>
  </si>
  <si>
    <t>Anil</t>
  </si>
  <si>
    <t>Achyuta</t>
  </si>
  <si>
    <t>Dr. Anil Achyuta serves as Partner at Energy Impact Partners. He oversees fund strategy, portfolio development, and high-impact investments that align financial returns with climate innovation. He serves as Board Observer at Novalith. Previously, he was one of the founding members and Managing Director at TDK Ventures, a global frontier tech corporate venture capital fund. While at TDK, he spearheaded numerous investments and exits, and served as an Observer on seven Boards. He served as Board Member at Verdagy. He served as a Board Observer at Peak Energy. He also serves as a Board Member and Board Observer at Genetesis, Fabric8Labs and AM Batteries.. He served as a Board Observer at Ascend Elements. Previously, he served as Commercial Business Development Leader of Biomedical Systems, Neural Engineering, and Medical Devices at DRAPER, and Director at L'Oreal. He holds a BE from Visvesvaraya Technological University, a Ph.D. in Chemical Engineering from Northeastern University, and an MBA in Business and Management from the University of Florida - Warrington College Of Business.</t>
  </si>
  <si>
    <t>achyuta@energyimpactpartners.com</t>
  </si>
  <si>
    <t>319454-83P</t>
  </si>
  <si>
    <t>Ann Klee</t>
  </si>
  <si>
    <t>Klee</t>
  </si>
  <si>
    <t>Ms. Ann Klee serves as Board Member at Assent Compliance. She served as Senior Advisory Board Member at Energy Impact Partners. She is a Nationally recognized expert in environmental law and policy. She serves on the Board of Wabtec, Sotera Health, the Center for Climate and Energy Solutions, WGBH, and the University of Pennsylvania Law School. Formerly led ESG and environmental health and safety at General Electric and served as General Counsel for the U.S. Environmental Protection Agency. Serves on EIP's ESG Advisory Board.</t>
  </si>
  <si>
    <t>+1 (866) 964-6931</t>
  </si>
  <si>
    <t>Ottawa</t>
  </si>
  <si>
    <t>Ottawa, Canada</t>
  </si>
  <si>
    <t>525 Coventry Road</t>
  </si>
  <si>
    <t>K1K 2C5</t>
  </si>
  <si>
    <t>+1 (866) 391-5954</t>
  </si>
  <si>
    <t>Assent Compliance</t>
  </si>
  <si>
    <t>259000-84P</t>
  </si>
  <si>
    <t>Anthony Oni</t>
  </si>
  <si>
    <t>Oni</t>
  </si>
  <si>
    <t>Mr. Anthony Oni serves as Managing Partner, Elevate Future Fund at Energy Impact Partners. He serves as Board Member at Rock Rabbit. He also serves as Chairman of the Board at Ed Farm. The initiative seeks to create a more diverse and inclusive energy future and empower diverse talent to create economic opportunity for distressed or disadvantaged communities. This focus will develop unique programming, and partnerships with tech accelerators including historically Black colleges and universities to cultivate talent pipelines and grow more pathways for diverse founders to enter the clean energy transition. A thought leader in the areas of innovation, digital strategy, and entrepreneurship, He has more than 20 years of experience in leading strategic initiatives at Southern Company. Before joining EIP, he served as Vice President of Communications for Southern Company Gas. His focus extends beyond business and into philanthropic efforts that lift up historically marginalized communities. Ed Farm is an education initiative that aims to equip educators and communities with innovative tools and strategies that support active learning for all students and teachers. He also helped create Propel Center- a new digital innovation and learning hub, business incubator, and global innovation headquarters in Atlanta, Georgia for students of historically black colleges and universities (HBCUs). The Propel Center is a partnership between Southern Company and Apple. His professional accolades include being selected for the University of Alabama at Birmingham's Leadership UAB program and the prestigious fellowship at The Aspen Institute. He earned a bachelor's degree in business and computer science from Auburn University and completed executive education programs for disruptive innovation and finance at Harvard University.</t>
  </si>
  <si>
    <t>anthony.oni@energyimpactpartners.com</t>
  </si>
  <si>
    <t>Managing Partner, Elevate Future Fund</t>
  </si>
  <si>
    <t>176020-39P</t>
  </si>
  <si>
    <t>Arthur Pierse</t>
  </si>
  <si>
    <t>Pierse</t>
  </si>
  <si>
    <t>Mr. Arthur Pierse serves as an Investor at Energy Impact Partners. Mr. Pierse served as Investment Principal at Astanor Ventures. He co-founded and served as the Chief Executive Officer at BorrowFox. He also served as a Board Observer at MagGrow. He founded and served as a Board Member at WeClimate. He co-founded and was CEO of BorrowFox, a peer-to-peer rental platform for "stuff." The sharing economy platform enabled individuals to rent out their otherwise idle belongings. He led the company to an acquisition in 2019. He subsequently joined Europe's largest impact fund, Astanor Ventures, a €350m impact fund, as a Principal. At Astanor, he was responsible for sourcing deals in the Food/Ag, Materials, and Climate sectors. He has domain expertise in the field of climate impact investing. He has a Business and Economics degree from Trinity College Dublin (2010) and an MSc in Carbon Management (2011) from the University of Edinburgh, the first climate change course of its time, where he was educated in the science behind our warming planet.</t>
  </si>
  <si>
    <t>90703-09P</t>
  </si>
  <si>
    <t>Ashwin Shashindranath</t>
  </si>
  <si>
    <t>Shashindranath</t>
  </si>
  <si>
    <t>Mr. Ashwin Shashindranath serves as Partner at Energy Impact Partners. Mr. Shashindranath serves as a Board Member at 6K. He served as a Board Observer at Tomorrow.io. He serves as a Board Member at KCRise Fund &amp; 6K, and Metafuels. He served as Managing Director at Evergy Ventures. He serves as a Board Observer at ClimaCell. He served as the Board Observer of Omnidian. He also serves as a mentor and advisor for Techstars Kansas City. Previously, he worked in the investment team at OpenAir Equity Partners. Prior to that, he served as the Head of Mobile Advertising at OneLouder Apps. He served as a Board Observer at Claroty and Adaptive. He holds a BS in Electrical Engineering from the Missouri Institute of Science and Technology. He brings a unique combination of 15 years of investment experience and hands-on entrepreneurial experience at startups. He looks for and works with entrepreneurs who are genuinely excited about being agents of change in the climate tech landscape. Prior to joining EIP, he was a Managing Director in Macquarie Capital's Green Investment group, leading venture capital and growth equity investments in energy and mobility transition. Prior to Macquarie, he was at Evergy Ventures, the venture capital arm of Evergy Inc (An investor-owned regulated electric utility), leading over a dozen successful investments in companies focused on Digital Transformation, Energy Storage, and Distributed Energy Resources. He is a Kauffman Fellow (class 24) and serves as a mentor for Techstars Kansas City and Techstars Heritage Group programs. He holds a BS in Electrical Engineering from the Missouri Institute of Science and Technology.</t>
  </si>
  <si>
    <t>+1 (816) 654-1758</t>
  </si>
  <si>
    <t>ashwin@energyimpactpartners.com</t>
  </si>
  <si>
    <t>302336-47P</t>
  </si>
  <si>
    <t>Aumri Esdaille</t>
  </si>
  <si>
    <t>Aumri</t>
  </si>
  <si>
    <t>Esdaille</t>
  </si>
  <si>
    <t>Mr. Aumri Esdaille serves as Associate Vice President at Energy Impact Partners. He joined EIP's Elevate Future Fund in April 2022 with a background in management consulting, energy management, enterprise strategy, product management, and business development. Prior to joining EIP, He held two roles at Jones Lang LaSalle. First, advising internal product management teams on best practices for product development and go-to-market strategy. Second, executing Board-level special projects to ensure organizational alignment to JLL's 5-year strategic plan. Prior to JLL, He worked at boutique consulting firm Insight Sourcing Group, managing cost reduction and demand management initiatives and Private Equity clients. He started his career in business development at The Combine, an early-stage corporate innovation start-up in the PropTech space. He graduated from the Georgia Institute of Technology with a degree in Mechanical Engineering.</t>
  </si>
  <si>
    <t>aesdaille@energyimpactpartners.com</t>
  </si>
  <si>
    <t>Associate Vice President</t>
  </si>
  <si>
    <t>54224-11P</t>
  </si>
  <si>
    <t>Barbara Burger Ph.D</t>
  </si>
  <si>
    <t>Burger</t>
  </si>
  <si>
    <t>Dr. Barbara Burger serves as an Advisor at Marunouchi Innovation Partners. She serves as an Advisory Council Member at Emerald Technology Ventures. Dr. Burger serves as a Board Member at Greentown Labs. She served as a Founder Advisor at Engine Ventures. She also serves as a Senior Advisory Board Member at Energy Impact Partners. She served as President at Chevron Technology Ventures. She serves on a Board of directors at Heliogen and Advisor, Syzygy Plasmonics, and Epicore Biosystems. She has a Bachelor's in Chemistry from the University of Rochester, a Ph.D. (Doctor of Philosophy) in Chemistry from the California Institute of Technology, MBA (Master of Business Administration) in Finance from the University of California, Berkeley.</t>
  </si>
  <si>
    <t>burger@energyimpactpartners.com</t>
  </si>
  <si>
    <t>Marunouchi Kitaguchi Building 12Floor 6-5</t>
  </si>
  <si>
    <t>Marunouchi 1-Chome, Chiyoda-ku</t>
  </si>
  <si>
    <t>100-0005</t>
  </si>
  <si>
    <t>Marunouchi Innovation Partners</t>
  </si>
  <si>
    <t>188629-66P</t>
  </si>
  <si>
    <t>Brett Carter</t>
  </si>
  <si>
    <t>Brett C. Carter, Executive Vice President and Chief Customer and Innovation Officer, Xcel Energy Inc. May 2018 - Present; Senior Vice President and Shared Services Executive, Bank of America October 2015 - May 2018; Senior Vice President and Chief Operating Officer, Bank of America March 2015 - October 2015; Senior Vice President and Chief Distribution Officer, Duke Energy Co. February 2013 - March 2015. On December 20, 2021, Xcel Energy Inc. (Xcel Energy) announced that, effective March 1, 2022, he will be named group president, Utilities and chief customer officer. He serves as Senior Advisory Board Member at Energy Impact Partners.</t>
  </si>
  <si>
    <t>brett.c.carter@xcelenergy.com</t>
  </si>
  <si>
    <t>Xcel Energy (Former)</t>
  </si>
  <si>
    <t>428245-75P</t>
  </si>
  <si>
    <t>Camilla Kobler</t>
  </si>
  <si>
    <t>Camilla</t>
  </si>
  <si>
    <t>Kobler</t>
  </si>
  <si>
    <t>Ms. Camilla Kobler serves as an Investor at Energy Impact Partners. She was previously a member of EIP's Customer Experience team, aiding in the management and cultivation of relationships with EIP's Strategic Limited Partners. She holds a Bachelor of Science in Mechanical Engineering with Honors, graduating Magna Cum Laude from the University of Michigan, where she concentrated on sustainability.</t>
  </si>
  <si>
    <t>196614-01P</t>
  </si>
  <si>
    <t>Cassie Bowe</t>
  </si>
  <si>
    <t>Cassie</t>
  </si>
  <si>
    <t>Bowe</t>
  </si>
  <si>
    <t>Ms. Cassie Bowe serves as Partner at Energy Impact Partners. She serves as Board Member at VIE Technologies, FLO EV Charging, HopSkipDrive &amp; Zitara. She served as Board Member at ViriCiti. She has experience in energy across a range of technologies and functional roles. Prior to joining EIP, Ms. Bowe worked for 5 years at SunPower, one of the largest global solar companies, in policy and strategy. At SunPower, she was responsible for global market analysis, legal and regulatory assessment, and new country entry. she is responsible for leading investments in multiple verticals across energy, climate, and sustainability. She has also gained operating experience at energy storage, micro-grid, and energy asset management startups in business development and finance roles. She holds an MBA from the Stanford Graduate School of Business, and a BA in Economics from Harvard University, and was selected for Forbes 30 Under 30 in Energy (2018).</t>
  </si>
  <si>
    <t>bowe@energyimpactpartners.com</t>
  </si>
  <si>
    <t>50747-32P</t>
  </si>
  <si>
    <t>Charles Bayless JD</t>
  </si>
  <si>
    <t>Bayless</t>
  </si>
  <si>
    <t>Mr. Charles Bayless serves as Advisor at Angeleno Group. He serves as Senior Advisory Board Member at Energy Impact Partners. He is also the former Chairman, President and CEO of Illinova Corporation, which he merged with Dynegy in February 2000 to create a global energy company. From 1992 to 1998, Mr. Bayless served as Chairman, President and CEO of Unisource Energy. He also currently or recently has served on the Boards of several energy and energy-related technology companies including Edison Electric Institute, Trigen Energy Corporation and EPRI. He also serves as Board Member at Aquilon Network.</t>
  </si>
  <si>
    <t>+1 (520) 544-3801</t>
  </si>
  <si>
    <t>cbayless@insigniam.com</t>
  </si>
  <si>
    <t>10250 Constellation boulevard</t>
  </si>
  <si>
    <t>Suite 2525</t>
  </si>
  <si>
    <t>Angeleno Group</t>
  </si>
  <si>
    <t>302327-92P</t>
  </si>
  <si>
    <t>Charlotte Guyette</t>
  </si>
  <si>
    <t>Guyette</t>
  </si>
  <si>
    <t>Ms. Charlotte Guyette serves as Vice President, Investor Relations at Energy Impact Partners. Prior to EIP, She was an Associate at The Carlyle Group where she was a product specialist in their Investor Relations group covering predominantly real estate funds - both in the US and Europe. Prior to Carlyle, She worked at LaSalle Investment Management in a similar capacity. She started her career in politics when she was a press secretary on two political campaigns. At EIP, she is a Senior Associate on the Investor Relations team working to raise funds from institutional investors globally. She graduated from Princeton University with a B.A. in comparative politics.</t>
  </si>
  <si>
    <t>charlotte@energyimpactpartners.com</t>
  </si>
  <si>
    <t>22365-46P</t>
  </si>
  <si>
    <t>Christopher Hunt</t>
  </si>
  <si>
    <t>Mr. Christopher Hunt is a Co-Founder and serves as Partner, Chairman of the Performance and Growth Committee, and Member of the Executive and Investment Committees at Sandbrook Capital. Mr. Hunt served as Board Member at Silver Ridge Power. Mr. Hunt also served as a Board Member at NTR. He serves as Advisor at Energy Impact Partners. He served as Board Member at Havfram. He chairs Sandbrook's Performance and Growth Committee and is a member of the Executive and Investment Committees. He had served as a Partner and Managing Director at Riverstone Holdings. He serves as Board Member at Enviva Holdings. He has nearly 20 years of experience in renewable/alternative energy, gas, and power. He also served as a Board Member at Forsa Energy Limited. Through the course of his career, he has developed, constructed, financed, and/or operated renewable and conventional energy businesses in over 25 countries involving more than 30 GWs of power capacity. Prior to joining Riverstone, Mr. Hunt was one of the principals leading the creation and growth of BP Alternative Energy, one of the world's largest and most diversified renewable energy companies involving wind, solar, co-generation, gas/LNG power generation, biofuels, energy conversion, and carbon sequestration businesses. While at BP, he was a principal architect in several strategic acquisitions and developments that positioned the renewable portfolio for significant profitability and future growth. He was also responsible for the development and operations of existing assets and served as Chief Executive, President, or board member of several subsidiary companies. Before BP, Mr. Hunt worked extensively in the energy sector. He worked with Enron, where he was responsible for the acquisition, development, operations, and/or financing of a multi-billion dollar portfolio of 16 coal, gas, wind, and distribution businesses spread across Asia, as well as some businesses in Latin America. Prior to Enron, he was a founding member of a privately held international private power company that developed multiple winds and gas-fired power assets across Latin America, Europe, and Asia. Mr. Hunt currently serves on the Boards of Directors of Pattern Energy Group, and Velocita Energy Developments. He received his B.A., with high departmental honors from Wesleyan University in Connecticut, and his M.B.A., beta gamma sigma, from Columbia University. He has also completed various post-graduate training at Harvard, Stanford, MIT, and Oxford Universities.</t>
  </si>
  <si>
    <t>ch@sandbrook.com</t>
  </si>
  <si>
    <t>197 Kensington High Street</t>
  </si>
  <si>
    <t>W8 6BA</t>
  </si>
  <si>
    <t>Co-Founder, Partner, Chairman of Performance and Growth Committee and Member of the Executive and Investment Committees</t>
  </si>
  <si>
    <t>Sandbrook Capital</t>
  </si>
  <si>
    <t>360541-36P</t>
  </si>
  <si>
    <t>Dan Brouillette</t>
  </si>
  <si>
    <t>Brouillette</t>
  </si>
  <si>
    <t>Mr. Dan Brouillette serves as Senior Advisor Board Member at Energy Impact Partners. Mr. Brouillette serves as Senior Advisor at Torridon Group. He served as President &amp; Chief Executive Officer at Edison Electric Institute.Previously he held executive leadership roles at Ford Motor Company and USAA.</t>
  </si>
  <si>
    <t>2001 K Street NorthWest, North Tower</t>
  </si>
  <si>
    <t>Suite 875</t>
  </si>
  <si>
    <t>Senior Advisor Board Member</t>
  </si>
  <si>
    <t>208986-49P</t>
  </si>
  <si>
    <t>Dhana Warnecke</t>
  </si>
  <si>
    <t>Dhana</t>
  </si>
  <si>
    <t>Warnecke</t>
  </si>
  <si>
    <t>Ms. Dhana Warnecke serves as Marketing Manager at Energy Impact Partners. She graduated from the University of Hamburg, Germany. She holds a bachelor's degree in Business Administration. Investment and Corporate Management were her major fields of study. Afterward, Ms. Warnecke took classes in the Master's Program E-Commerce, based on two major pillars: business and management aspects of E-Commerce as well as Computer Sciences. After her graduation, she worked for Otto Group in the Department of Category Management where she focused on building a strong relationship with international relations vendors.</t>
  </si>
  <si>
    <t>dwarnecke@energyimpactpartners.com</t>
  </si>
  <si>
    <t>Marketing Manager</t>
  </si>
  <si>
    <t>13143-52P</t>
  </si>
  <si>
    <t>Donald Wood</t>
  </si>
  <si>
    <t>Mr. Donald Wood serves as a Senior Advisory Board Member at Energy Impact Partners. Mr. Wood serves as a Faculty Advisor at Xfund and as a Senior Advisor at Piva Capital. He served as a Board Member at Jibe. He served as Managing Director at Draper Fisher Jurvetson Management. He has been in the venture industry for 16 years. He has been with DFJ since 2006 as Managing Director and is now a Venture Partner as of 2014. His primary investment focus has been energy and sustainability, consumer web, and enterprise IT. He serves on the Board of Directors of the DFJ Global Network. Some of his investments and Boards (current and past) include Vocera Communications (VCRA), ZipRealty (ZIPR), Reflectivity (acq. by TI), BroadSoft (BSFT), Cooking.com (acq. by Target), MySoftware (MYSW), Enlighted, TrustPilot, Oasys, Redux, WaterSmart, Newsle, and the Entrepreneurs Foundation, a non-profit community organization. His career began with his first post-college job at the U.S. Environmental Protection Agency in Washington, D.C. He later became a ski instructor in Vail, Colorado. After graduate school, He became a consultant with McKinsey and Company in their San Francisco and Sydney offices. Later he was SVP of Sales and Marketing at International Power Technology which designed, financed, installed, and operated co-generation power plants. He ran marketing and service at Octel Communications (OCTL), the inventor of and worldwide leader in voicemail systems. He co-founded Wood-Howard Products with his patent for a laminated publishing format which he later licensed to Simon and Schuster, FastMark, Rand McNally, and others; more than 100 million products have been sold under these licenses. He served on the Board and was President of Metricom (MCOM), which provided wireless smart grid systems to utilities and pioneered the first wireless mesh-network Internet service known as Ricochet. Prior to joining DFJ, he was a General Partner at Vanguard Ventures where he invested in IT, consumer internet, and energy. Mr. Wood earned a Bachelor of Arts degree in Economics from Stanford University and a Master in Business Administration degree from the Stanford Graduate School of Business. Mr. Wood won the "Nonprofit Board Leader Award" from The Volunteer Center of San Francisco. He served as a Board Member at Power Assure.</t>
  </si>
  <si>
    <t>wood@energyimpactpartners.com</t>
  </si>
  <si>
    <t>Senior Advisory Board Member</t>
  </si>
  <si>
    <t>428219-38P</t>
  </si>
  <si>
    <t>Dylan Small</t>
  </si>
  <si>
    <t>Mr. Dylan Small serves as Senior Associate at Energy Impact Partners. He focuses on early-stage and growth investment opportunities across the built environment. He invested across early- and late-stage climate funds spanning clean energy &amp; electrification, resource efficiency, analytics, construction, and carbon sequestration. He started his career as an engineer for infrastructure construction and later oversaw design &amp; construction for a New York-based commercial real estate developer and asset manager. He holds a BS in Civil Engineering from Duke University and an MBA from Harvard Business School.</t>
  </si>
  <si>
    <t>338532-85P</t>
  </si>
  <si>
    <t>Evan Pittman</t>
  </si>
  <si>
    <t>Mr. Evan Pittman serves as Partner &amp; Head of Innovation at Energy Impact Partners. Since 2018, he oversees the firm's efforts to support commercial adoption of the technologies in its portfolio among its industrial investor base.He holds an MBA with High Honors from the University of Chicago Booth School of Business and a BA with Highest Honors in Economics &amp; Mathematics from Emory University.</t>
  </si>
  <si>
    <t>pittman@energyimpactpartners.com</t>
  </si>
  <si>
    <t>Partner &amp; Head of Innovation</t>
  </si>
  <si>
    <t>63637-21P</t>
  </si>
  <si>
    <t>Farah Foustok</t>
  </si>
  <si>
    <t>Farah</t>
  </si>
  <si>
    <t>Foustok</t>
  </si>
  <si>
    <t>Operating Partner &amp; Senior Advisor</t>
  </si>
  <si>
    <t>Ms. Farah Foustok serves as Senior Advisor &amp; Operating Partner, EMEA at Energy Impact Partners. Ms. Foustok served as Managing Director &amp; Chief Executive Officer, Middle East at Lazard. Ms. Foustok was most recently CEO and Chief Investment Officer of ING Investment Management Middle East.</t>
  </si>
  <si>
    <t>Senior Advisor &amp; Operating Partner, EMEA</t>
  </si>
  <si>
    <t>302329-09P</t>
  </si>
  <si>
    <t>Gregory Thiel Ph.D</t>
  </si>
  <si>
    <t>Thiel</t>
  </si>
  <si>
    <t>Dr. Gregory Thiel serves as Managing Director, Technology at Energy Impact Partners. Dr. Thiel is a technologist with a deep background in energy sciences. His focus at EIP is driving excellence in technical diligence, and helping evaluate companies and novel technologies for deep decarbonization. Prior to joining EIP, he served at ARPA-E in the U.S. Department of Energy, where he helped develop new programs and evaluate R&amp;D in carbon removal and tough-to-decarbonize sectors, such as industrial heat and aviation. He also has experience in the design of automotive cooling systems and desalination systems, He holds a Ph.D. from MIT, and a B.S.E. from Case Western Reserve, both in mechanical engineering.</t>
  </si>
  <si>
    <t>thiel@energyimpactpartners.com</t>
  </si>
  <si>
    <t>Managing Director, Technology</t>
  </si>
  <si>
    <t>47800-54P</t>
  </si>
  <si>
    <t>Hans Kobler</t>
  </si>
  <si>
    <t>Mr. Hans Kobler is a Co-Founder and serves as Managing Partner at Energy Impact Partners. Mr. Kobler served as Chief Executive Officer at ICx Photonics. He also serves as Chief Executive Officer &amp; Chairman at EIP Acquisition Corp I. He also served as a Board Member at FLO EV Charging and Diligent. Working closely with our strategic partners he leads EIP's investment efforts and advises our partners on strategy. He spent his career focused on transformative businesses as an investor, advisor, and operator. He pioneered the strategic investment model for General Electric and then led GE's Power technology investment effort working closely with Power Systems, Industrial Systems, and GE Research. He also served as CEO and Chairman of ICx Technologies, a leading sensor technology company, which he co-founded and led as CEO and Chairman through an IPO on Nasdaq. Earlier in his career, he was a consultant with Bain &amp; Company where he developed strategies for large global industrials in their Boston, Sydney, and Munich offices. He holds a Master's in Aerospace Engineering from the Technical University of Munich with distinction, an MBA from the University of Texas at Austin, and attended INSEAD's MBA (SS) program.</t>
  </si>
  <si>
    <t>kobler@energyimpactpartners.com</t>
  </si>
  <si>
    <t>31711-15P</t>
  </si>
  <si>
    <t>Harry Giovani</t>
  </si>
  <si>
    <t>Giovani</t>
  </si>
  <si>
    <t>Mr. Harry Giovani serves as Managing Partner &amp; Chief Executive Officer of Energy Impact Partners Credit at Energy Impact Partners. He served as Senior Managing Director and Chief Credit Officer at CION Investments. He is responsible for leading Energy Impact Partners' credit strategies. His time will be spread among deal sourcing, deal execution, portfolio monitoring, operations, and marketing. He is a member of EICF's investment committee. Mr. Giovani has spent his 20+ year career working in every aspect of credit investing including credit management, origination, execution, and capital markets. Most recently, he was Co-Founder, Senior Managing Director, and Chief Credit Officer of CION Investment Group ("CIG"), a leading investment manager that manages a series of funds that provide alternative financing solutions to companies in asset-intensive industries, as well as CÍON Investment Corporation ("CÍON"), a $1.5 billion non-traded business development company advised by CIG, which primarily invests in the senior secured debt of U.S. middle market companies. He has been a member of CIG's investment committee since 2009 and a member of CÍON's investment committee since its inception in 2012. Between 2007 and 2008, Mr. Giovani was Vice President and one of the founding members of FirstLight Financial Corporation ("FFC"), a newly formed specialty finance company led by a number of high-ranking GE Capital executives and sponsored by Ares Management and Catterton Partners, where, from the firm's inception, he was instrumental in laying the foundation for FFC's investment policies and procedures. He developed the underwriting process and document infrastructure, as well as led the due diligence on a substantial portion of FFC's investments. Between 2004 and 2007, Mr. Giovani worked at GE Commercial Finance, initially as an Assistant Vice President in the Intermediary Group, where he was responsible for executing middle-market transactions in a number of industries, including manufacturing, steel, paper, pharmaceutical, technology, chemicals and automotive, and later as a Vice President in GE's Industrial Project Finance Group. Mr. Giovani started his career in 1997 at Citigroup's Citicorp Securities and CitiCapital divisions, where he spent six years in a variety of roles of increasing responsibility, including underwriting, origination, and strategic marketing/business development. Mr. Giovani graduated from Cornell University in 1996 with a B.S. in Finance. He lives in Jupiter, Florida with his wife and three children.</t>
  </si>
  <si>
    <t>+1 (212) 899-9714</t>
  </si>
  <si>
    <t>giovani@energyimpactpartners.com</t>
  </si>
  <si>
    <t>Managing Partner &amp; Chief Executive Officer of Energy Impact Partners Credit</t>
  </si>
  <si>
    <t>456514-03P</t>
  </si>
  <si>
    <t>Hideyuki Takahashi</t>
  </si>
  <si>
    <t>Hideyuki</t>
  </si>
  <si>
    <t>Takahashi</t>
  </si>
  <si>
    <t>Mr. Hideyuki Takahashi serves as a Senior Advisor Board Member at Energy Impact Partners. He is a former Director and Chairman of State Street Trust and Banking Co., Ltd. He also has experience within the Nomura Group, CEO of Nomura Germany, President and CEO of Nomura Holdings America, Executive Managing Director and Global Head of Internal Audit and Global Head of Research.</t>
  </si>
  <si>
    <t>456477-49P</t>
  </si>
  <si>
    <t>Hugh Satterthwaite</t>
  </si>
  <si>
    <t>Satterthwaite</t>
  </si>
  <si>
    <t>Mr. Hugh Satterthwaite serves as Vice President at Energy Impact Partners. Prior to joining EIP, he was with Boston Consulting Group (BCG), working in the US &amp; Australia as part of their Energy and Climate &amp; and Sustainability practice areas. He holds an MBA from MIT Sloan School of Management, as well as a Bachelor of Economics and Bachelor of Laws (LLB) from the University of Sydney.</t>
  </si>
  <si>
    <t>hugh@energyimpactpartners.com</t>
  </si>
  <si>
    <t>371233-09P</t>
  </si>
  <si>
    <t>Jacob Hoberg</t>
  </si>
  <si>
    <t>Hoberg</t>
  </si>
  <si>
    <t>Mr. Jacob Hoberg serves as Vice President, Office of the CEO at Energy Impact Partners. Mr. Hoberg joined Energy Impact Partners (EIP) as a Senior Associate in the Office of the CEO. He is working to support EIP's Founder and Managing Partner, Hans Kobler, on a variety of strategic initiatives and firm priorities through collaboration across business functions. Prior to joining EIP, he was an Engagement Manager at McKinsey &amp; Company, where he was part of the Global Energy and Sustainability practices. A majority of his work was specific to the energy transition, with a focus on renewable assets, capital excellence, and growth strategy for clients in the US, EU, and the Middle East.</t>
  </si>
  <si>
    <t>+1 (775) 750-0251</t>
  </si>
  <si>
    <t>hoberg@energyimpactpartners.com</t>
  </si>
  <si>
    <t>Vice President, Office of the CEO</t>
  </si>
  <si>
    <t>302338-99P</t>
  </si>
  <si>
    <t>James Laurito</t>
  </si>
  <si>
    <t>Laurito</t>
  </si>
  <si>
    <t>Mr. James Laurito serves as a Board Member at Stone Mountain Technologies. He serves as an Operating Partner at Energy Impact Partners. He recently retired from Fortis, Inc., He served as Executive Vice President, Business Development, and Chief Technology Officer, where he led M&amp;A, Strategy, Innovation, and Cybersecurity efforts. Previously, he served as President &amp; Chief Executive Officer of Central Hudson Gas &amp; Electric. He also served as President and Chief Executive Officer of both New York State Electric and Gas and Rochester Gas and Electric, subsidiaries of Iberdrola/Energy East Corporation. While at Fortis, he was a leader in the acquisition and integration of Central Hudson, UNS Energy, and ITC Holdings, culminating in Fortis's listing on the NYSE. As a utility industry thought leader, He has been extensively engaged in emerging energy technologies and innovation, establishing the Fortis Innovation Network. He has deep operational experience, leading transformational Operational Excellence initiatives through the use of Lean Six Sigma and other Continuous Improvement Platforms. He currently serves on the Boards of Bowman Consulting Group (BWMN: NASDAQ), ITC Holdings, Inc., and Belize Electricity, Ltd. Formerly, he served on the Boards of Central Hudson Gas &amp; Electric, Newfoundland Power, UNS Energy, Edison Electric Institute, American Gas Association, and as Chair of the Alliance for Transportation Electrification and the American Gas Foundation.</t>
  </si>
  <si>
    <t>+1 (423) 735-7400</t>
  </si>
  <si>
    <t>Piney Flats</t>
  </si>
  <si>
    <t>Piney Flats, TN</t>
  </si>
  <si>
    <t>340 Industrial Park Road</t>
  </si>
  <si>
    <t>37686</t>
  </si>
  <si>
    <t>Anesi</t>
  </si>
  <si>
    <t>302326-48P</t>
  </si>
  <si>
    <t>James Sprinz</t>
  </si>
  <si>
    <t>Sprinz</t>
  </si>
  <si>
    <t>Mr. James Sprinz serves as Principal, Europe at Energy Impact Partners. Mr. Sprinz serves as Board Member at GridBeyond. He provides strategic insight into the European energy and cleantech landscape and fosters opportunities between EIP's investors and its European portfolio. Before joining EIP, He spent six years at BloombergNEF, most recently leading the Decentralized Energy team from New York. He advised energy companies, investors, technology vendors, and policymakers on the energy transition and how distributed energy is impacting the power system. He has written extensively about topics such as demand response and virtual power plants, distributed energy integration, and utility strategy. He regularly speaks at industry events, is quoted in the media, and has appeared on TV on multiple occasions. He holds an MSc in Theoretical Physics from Imperial College London and an MSci in Physics &amp; Philosophy from Bristol University</t>
  </si>
  <si>
    <t>sprinz@energyimpactpartners.com</t>
  </si>
  <si>
    <t>Christophstrasse 15-17</t>
  </si>
  <si>
    <t>Principal, Europe</t>
  </si>
  <si>
    <t>277492-96P</t>
  </si>
  <si>
    <t>Janaki Narayanan</t>
  </si>
  <si>
    <t>Janaki</t>
  </si>
  <si>
    <t>Narayanan</t>
  </si>
  <si>
    <t>Ms. Janaki Narayanan serves as Senior Associate at Energy Impact Partners. She also served as an Analyst at The Social Entrepreneurs Fund. She has a background in public equities analysis. Prior to TSEF, she was an Equity Research Associate at Morgan Stanley in the Utilities and Cleantech space. She was responsible for developing and publishing industry-wide and stock-specific research for 40+ stocks and communicating investment ideas with the firm's institutional client base. She has a B.S. from Cornell University where she studied Economics and International Development.</t>
  </si>
  <si>
    <t>+1 (212) 509-0963</t>
  </si>
  <si>
    <t>janaki@energyimpactpartners.com</t>
  </si>
  <si>
    <t>428212-45P</t>
  </si>
  <si>
    <t>Javier Luna</t>
  </si>
  <si>
    <t>Mr. Javier Luna serves as Associate, Impact &amp; Sustainability at Energy Impact Partners. He is responsible for EIP's impact and Environmental, Social and Governance (ESG) measurement, reporting, and diligence. He also works closely with portfolio companies, investors, and stakeholders to continue to excel in sustainability and decarbonization practices. He holds a bachelor's degree in Chemical Engineering from Stanford University, with distinction, where he also completed a minor in Energy Resource Engineering.</t>
  </si>
  <si>
    <t>luna@energyimpactpartners.com</t>
  </si>
  <si>
    <t>Associate, Impact &amp; Sustainability</t>
  </si>
  <si>
    <t>178740-01P</t>
  </si>
  <si>
    <t>Jenny Gao</t>
  </si>
  <si>
    <t>Ms. Jenny Gao serves as Vice President, Elevate Future Fund at Energy Impact Partners. She serves as Board Member at Atomic Canyon. She served as an Investor at Bessemer Venture Partners. She joined Bessemer in 2015 as an investor in the New York office where she focused on cloud-native infrastructure and developer tools, machine intelligence, voice platforms, and consumer web. Prior to joining Bessemer, he was part of the foreign exchange solutions group at State Street. She also worked in business development for BVP-backed company Clear Ballot, focusing on a go-to-market strategy for their electoral audit product, as well as content development for an international education startup. He holds an MBA from Harvard Business School and a BA in Applied Math with a concentration in Government from Harvard University.</t>
  </si>
  <si>
    <t>gao@energyimpactpartners.com</t>
  </si>
  <si>
    <t>Vice President, Elevate Future Fund</t>
  </si>
  <si>
    <t>417278-35P</t>
  </si>
  <si>
    <t>Jeremy Smith</t>
  </si>
  <si>
    <t>Mr. Jeremy Smith serves as Senior Advisor at Energy Impact Partners. Mr. Smith is a former Head of Impact Rede Partners, Co-Founder CDP. 25 years energy transition fundraising advice and capital formation. Head of Impact at Rede Partners, Co-Founder Berkeley Energy, Co-Founder CDP (Carbon Disclosure Project), Founder Advisor Oxford University School of Enterprise and Environment.</t>
  </si>
  <si>
    <t>388061-11P</t>
  </si>
  <si>
    <t>Jesse Jenkins</t>
  </si>
  <si>
    <t>Mr. Jesse Jenkins serves as Senior Advisory Board Member at Energy Impact Partners.</t>
  </si>
  <si>
    <t>428249-62P</t>
  </si>
  <si>
    <t>Joseph Reinisch</t>
  </si>
  <si>
    <t>Reinisch</t>
  </si>
  <si>
    <t>Mr. Joseph Reinisch serves as Associate at Energy Impact Partners.He focuses on evaluating and underwriting investment opportunities for EIP's Credit Strategies.Prior to joining EIP, he was a U.S. Equity Associate Analyst Investor at T. Rowe Price. Over his four-year tenure at the firm, he invested in a variety of firms within the Financial Services and Consumer sectors. He holds a Bachelor of Science in Economics, with concentrations in Finance and Management, from The Wharton School of the University of Pennsylvania.</t>
  </si>
  <si>
    <t>reinisch@energyimpactpartners.com</t>
  </si>
  <si>
    <t>90995-50P</t>
  </si>
  <si>
    <t>Joshua Feldman JD</t>
  </si>
  <si>
    <t>Mr. Joshua Feldman serves as Partner, General Counsel &amp; Chief Operating Officer at Energy Impact Partners. Mr. Feldman serves as Board Member at Swimlane. He served as Associate General Counsel at King Street Partners. Mr. Feldman has 19 years of experience as a corporate transactional and regulatory attorney, most recently serving as General Counsel for Cedrus Park Management, a long-short equity hedge fund focused on the technology sector, where Mr. Feldman was instrumental in setting up the firm's infrastructure and registering the firm with the SEC. Before that, Mr. Feldman was General Counsel of King Street Capital Management, a $20 billion global hedge fund, where he worked for 10 years. While at King Street, Mr. Feldman built from scratch and managed the legal and compliance team, and also handled all of King Street's venture capital investments and many of its private equity transactions. Before King Street, Mr. Feldman was a corporate transactional attorney focusing on venture capital, private equity, mergers &amp; acquisitions, securities and technology licensing at the law firms Covington &amp; Burling and Willkie Farr &amp; Gallagher. Mr. Feldman holds a JD from Stanford Law School (with distinction) and a BA (Economics and Government) from Lehigh University (Magna Cum Laude).</t>
  </si>
  <si>
    <t>feldman@energyimpactpartners.com</t>
  </si>
  <si>
    <t>Co-Founder, Partner, General Counsel &amp; Chief Operating Officer</t>
  </si>
  <si>
    <t>131672-17P</t>
  </si>
  <si>
    <t>Joshua Kamali</t>
  </si>
  <si>
    <t>Kamali</t>
  </si>
  <si>
    <t>Mr. Joshua Kamali serves as Principal at Energy Impact Partners. Mr. Kamali served as a Private Equity Senior Associate at Cerberus Capital Management. He served as an Analyst at StoneCastle Partners. Prior to joining EIP, he served as a Vice President at Cerberus Capital Management, where he spent over five years leading a number of operationally focused growth and private equity investments while working closely with portfolio companies to pursue strategic and financial initiatives. Prior to Cerberus, he worked as an analyst at The Blackstone Group, where he focused on investing in public and private credit opportunities. He holds an MBA from the Wharton School and a BA in Mathematics from New York University.</t>
  </si>
  <si>
    <t>+1 (212) 354-6500</t>
  </si>
  <si>
    <t>kamali@energyimpactpartners.com</t>
  </si>
  <si>
    <t>365498-56P</t>
  </si>
  <si>
    <t>Julia DiSalvio</t>
  </si>
  <si>
    <t>DiSalvio</t>
  </si>
  <si>
    <t>Ms. Julia DiSalvio serves as Associate at Energy Impact Partners. Ms. DiSalvio is an Investor &amp; serves as an Associate at Spectrum Equity. Prior to joining Spectrum, she worked at Apple. She received a BSE from the University of Pennsylvania.</t>
  </si>
  <si>
    <t>jdisalvio@spectrumequity.com</t>
  </si>
  <si>
    <t>87846-76P</t>
  </si>
  <si>
    <t>Kevin Fitzgerald</t>
  </si>
  <si>
    <t>Mr. Kevin Fitzgerald serves as Partner &amp; Chief Utility Officer at Energy Impact Partners. He also serves as Chief Commercialization Officer &amp; Vice Chairman at EIP Acquisition Corp I. He serves as the Chairman at Greenlots. Mr. Fitzgerald served as a Board Member at Advanced Microgrid Solutions. He also serves as Executive Vice President and General Counsel at Pepco Holdings. In this role, He serves as a Board Member at Advanced Microgrid Solutions. Mr. Fitzgerald will facilitate the experience sharing between EIP's network of partner utilities, as well as help adapt the products and services within EIP's growing portfolio to the needs of the grid.Mr. Fitzgerald has more than two decades of legal and management experience in the utility and energy industries. Most recently, he served as Executive Vice President and General Counsel for Pepco Holdings, Inc. (PHI), assisting in the company's turnaround and playing a lead role in its merger with Exelon (EXC). He also led in the development and execution of PHI's vision and blueprint of the Utility of the Future, for which he was recognized by the Edison Electric Institute (EEI) with its inaugural Technology Leadership award. Mr. Fitzgerald currently chairs the Technology Committee of the Institute for Electric Innovation at EEI.Prior to his time at PHI, he served as a member of the Executive Committee and as firm-wide Executive Partner for the international law firm Troutman Sanders LLP. While at Troutman Sanders, Mr. Fitzgerald led some of the most transformational developments in the industry, including assisting in the creation of the first retail load aggregator in the country, New Energy Ventures (NEV); the first independent transmission company (ITC); the first multi-state gas utility holding company to be taken private (Semco Energy); and the U.S. Partnership for Renewable Energy Finance. He received his Bachelor's, Master's and Law degrees from the George Washington University.</t>
  </si>
  <si>
    <t>fitzgerald@energyimpactpartners.com</t>
  </si>
  <si>
    <t>Partner &amp; Chief Utility Officer</t>
  </si>
  <si>
    <t>319453-66P</t>
  </si>
  <si>
    <t>Klaus-Dieter Maubach</t>
  </si>
  <si>
    <t>Klaus-Dieter</t>
  </si>
  <si>
    <t>Maubach</t>
  </si>
  <si>
    <t>Mr. Klaus-Dieter Maubach serves as Senior Advisory Board Member at Energy Impact Partners. He serves as Chief Executive Officer at Uniper SE. He is the Former Chairman of the Supervisory Board of Uniper, and a former member of the Board of Directors of Fortum, he is also a former Chief Executive Officer at Encavis AG, a former board member of E.ON SE, and a former Chief Executive Officer of E.ON Energie AG</t>
  </si>
  <si>
    <t>maubach@energyimpactpartners.com</t>
  </si>
  <si>
    <t>262478-17P</t>
  </si>
  <si>
    <t>Kyle Wool</t>
  </si>
  <si>
    <t>Wool</t>
  </si>
  <si>
    <t>Mr. Kyle Wool serves as Chief Financial Officer at Energy Impact Partners. Mr. Wool joined Energy Impact Partners as Chief Financial Officer in 2021. He is responsible for managing EIP's financial operations including fund administration, accounting and financial reporting, valuations, tax, financial planning and analysis, and support for various strategic initiatives. Prior to joining EIP, Mr. Wool spent over nine years with The Carlyle Group in Washington, DC where he was responsible for the financial and operational oversight of funds investing globally in infrastructure, renewable energy and power. Previously he was a Senior Analyst at American Capital, focusing on valuations and portfolio company monitoring. Mr. Wool received his Bachelor of Science in Finance from the University of Maryland. He is a Chartered Financial Analyst.</t>
  </si>
  <si>
    <t>wool@energyimpactpartners.com</t>
  </si>
  <si>
    <t>428227-03P</t>
  </si>
  <si>
    <t>Larissa Seifferer</t>
  </si>
  <si>
    <t>Larissa</t>
  </si>
  <si>
    <t>Seifferer</t>
  </si>
  <si>
    <t>Ms. Larissa Seifferer serves as Deputy Chief of Staff at Energy Impact Partners. She provides executive support and leverage for the Founder and Managing Partner, Hans Kobler, driving operational excellence for the CEO's office and the wider leadership team. Before joining EIP, she was the Operations &amp; Resources Manager at Baumann Consulting, an engineering and sustainability consultancy, where she focused on improving business operations, managing resource planning, and driving initiatives to enhance overall organizational performance. She also has experience advising renewable energy companies on U.S. market entry strategies at the German American Chamber of Commerce, strengthening transatlantic business relations. She holds a Bachelor's degree in Business Administration, specializing in Economic Development, from the Cooperative State University in Mannheim, Germany.</t>
  </si>
  <si>
    <t>seifferer@energyimpactpartners.com</t>
  </si>
  <si>
    <t>Deputy Chief of Staff</t>
  </si>
  <si>
    <t>314386-21P</t>
  </si>
  <si>
    <t>Laura Kone</t>
  </si>
  <si>
    <t>Kone</t>
  </si>
  <si>
    <t>Ms. Laura Kone serves as Investor at Energy Impact Partners. She served as an Associate at HPE Growth. She is responsible for identifying and evaluating investment opportunities, market analysis, and due diligence. Before joining HPE Growth in April 2022, she was part of JP Morgan's London-based Equity Research team, covering over 16 stocks in payments, semiconductors, and telecommunications equipment. She holds an MSc. degree in Finance and Data Analytics from King's College London and a BSc. Degree in Economics with a specialization in Emerging Markets from Maastricht University.</t>
  </si>
  <si>
    <t>332462-98P</t>
  </si>
  <si>
    <t>Lauryn Poyser</t>
  </si>
  <si>
    <t>Lauryn</t>
  </si>
  <si>
    <t>Poyser</t>
  </si>
  <si>
    <t>Ms. Lauryn Poyser serves as Investment Associate at Energy Impact Partners. Ms. Poyser served as Investor, Impact Fund at Salesforce Ventures. She invested in ed-tech, sustainability tech, diversity and inclusion, social sector tech, and digital health. Before joining Salesforce Ventures, she worked in investment banking at Goldman Sachs, advising clients across the renewables, power, and utility sectors. She graduated Magna Cum Laude from Colgate University, earning a B.A. in International Public Policy Analysis, concentrating in Economics.</t>
  </si>
  <si>
    <t>poyser@energyimpactpartners.com</t>
  </si>
  <si>
    <t>319427-92P</t>
  </si>
  <si>
    <t>Linda Duraj</t>
  </si>
  <si>
    <t>Duraj</t>
  </si>
  <si>
    <t>Ms. Linda Duraj serves as Senior Associate at Energy Impact Partners. Prior to joining EIP, she worked as an Investment Banking Analyst at Goldman Sachs in the Natural Resources group, where she advised various energy technology companies across the sector on M&amp;A and capital raises. She gradated from the University of Texas at Austin with a B.B.A. in Finance and Business and Public Policy.</t>
  </si>
  <si>
    <t>duraj@energyimpactpartners.com</t>
  </si>
  <si>
    <t>156066-76P</t>
  </si>
  <si>
    <t>Lindsay Luger</t>
  </si>
  <si>
    <t>Luger</t>
  </si>
  <si>
    <t>Ms. Lindsay Luger serves is a Co-Founder &amp; serves as Partner at Energy Impact Partners. She serves as Board Member at Anesi, SparkFund, Marketing Evolution, Measurabl, and GridX. She serves as Board Observer at Hippo Harvest. She served as Board Member at ecobee. She served as Board Observer at ViriCiti. She served as Board Member at CIMCON Lighting. She has more than a decade of successful experience as an investor in energy technology companies. As a Vice President of Digital Power Capital and Wexford Capital, she worked on dozens of venture capital and growth equity transactions and has expertise in all key areas necessary for successful technology investing, ranging from deal sourcing, analyzing, due diligence, and transaction structuring to portfolio oversight and exits. In addition, she gained operating experience by serving as Vice President of Finance at two portfolio companies. She holds a BA in Psychology from Columbia University (Magna Cum Laude and Phi Beta Kappa).</t>
  </si>
  <si>
    <t>luger@energyimpactpartners.com</t>
  </si>
  <si>
    <t>268896-43P</t>
  </si>
  <si>
    <t>Luc Poyer</t>
  </si>
  <si>
    <t>Poyer</t>
  </si>
  <si>
    <t>Mr. Luc Poyer serves as Chairman &amp; Interim Chief Executive Officer at McPhy. He serves as an Senior Advisory Board Member at Energy Impact Partners. He serves as an Angel Investor. He serves as CEO at France Nouvelles Energies. He is Former CEO of UNIPER France/EON France, and former deputy CEO of POWEO group, and former Vice President of TOTAL/Elf Groups, He is also former General Manager of Gas Andes Chile &amp; Argentina and former Magistrate of the Cour des comptes (France)</t>
  </si>
  <si>
    <t>luc.poyer@mcphy.com</t>
  </si>
  <si>
    <t>La Motte-Fanjas</t>
  </si>
  <si>
    <t>La Motte-Fanjas, France</t>
  </si>
  <si>
    <t>1115 route de Saint Thomas</t>
  </si>
  <si>
    <t>26190</t>
  </si>
  <si>
    <t>McPhy Energy</t>
  </si>
  <si>
    <t>421271-02P</t>
  </si>
  <si>
    <t>Maen Razouqi</t>
  </si>
  <si>
    <t>Maen</t>
  </si>
  <si>
    <t>Razouqi</t>
  </si>
  <si>
    <t>Mr. Maen Razouqi serves as Senior Advisor Board Member at Energy Impact Partners. Mr. Razouqi serves as Chairman at Soul Artists.He is a former President and General Manager of Schlumberger's Northern Middle East Region and former CEO of Kuwait Airways.</t>
  </si>
  <si>
    <t>182816-65P</t>
  </si>
  <si>
    <t>Mark Lantrip</t>
  </si>
  <si>
    <t>Lantrip</t>
  </si>
  <si>
    <t>Mr. Mark Lantrip serves as an Operating Partner and Senior Advisor at Energy Impact Partners. He serves as a Board Member at Sparkfund. He served as Chairman, Chief Executive Officer, and President at Southern Power, a subsidiary of Southern Company. In this role, he is responsible for overseeing the company's unregulated and innovative business strategies and oversees Southern Company's industry-leading R&amp;D organization and its development of new technologies for the generation, delivery, and use of energy. He also leads Southern Power, a subsidiary of Southern Company. Southern Power is America's premier wholesale energy partner meeting the needs of municipalities, electric cooperatives, investor-owned utilities, and large commercial and industrial customers with one of the fastest-growing clean energy portfolios in the U.S. He also oversees PowerSecure, Southern Company's distributed infrastructure development company. PowerSecure is a leading developer of microgrids and resiliency products to commercial and industrial customers nationwide. He also serves as a Member of the Management Council at Southern Company. He joined the company in 1981 as an analyst at Gulf Power and progressed through increasing levels of responsibilities at Georgia Power and Southern Company Services. Prior to assuming his current role in 2014, he served as executive vice president of finance for Southern Company Services and Southern Company treasurer with responsibility for financial planning and analysis, enterprise risk management, trust finance, capital markets, and treasury. He is co-chair of the Institute for Electric Innovation, an Institute of the Edison Foundation focused on advancing the adoption of innovative and efficient technologies among electric utilities and their technology partners that will transform the power grid. He chairs the board of The Alliance for Transportation Electrification, a broad and diverse coalition of organizations that advocate for an acceleration of transportation electrification in all states across the country. He holds a bachelor's degree from Southern Illinois University and a master's degree from the University of West Florida. He served as Director at Southern Company Charitable Foundation.</t>
  </si>
  <si>
    <t>+1 (844) 867-7275</t>
  </si>
  <si>
    <t>lantrip@energyimpactpartners.com</t>
  </si>
  <si>
    <t>1808 Adams Mill Road, North West</t>
  </si>
  <si>
    <t>20009</t>
  </si>
  <si>
    <t>Chairman, Chief Executive Officer, and President, Southern Company Services &amp; Member of the Management Council</t>
  </si>
  <si>
    <t>Southern Company (Former)</t>
  </si>
  <si>
    <t>31065-67P</t>
  </si>
  <si>
    <t>Mark Little Ph.D</t>
  </si>
  <si>
    <t>Little</t>
  </si>
  <si>
    <t>Dr. Mark Little serves as an Operating Partner at Material Impact Fund. He serves as a Senior Advisory Board Member at Energy Impact Partners. He serves as a Board Member at AgZen. He also serves as Principle Advisor at Powerphase and Alsym Energy. In his 37-year career at General Electric, he served in diverse senior leadership roles in operations, research, strategic planning, joint venture development, and product management. He trained as a mechanical engineer, with a Bachelor's Degree from Tufts, a Master's Degree from Northeastern, and a Ph.D. from Rensselaer Polytechnic Institute of which he is a Trustee.</t>
  </si>
  <si>
    <t>mark@materialimpact.com</t>
  </si>
  <si>
    <t>131 Dartmouth Street</t>
  </si>
  <si>
    <t>Material Impact (Boston)</t>
  </si>
  <si>
    <t>354572-02P</t>
  </si>
  <si>
    <t>Mark Patterson</t>
  </si>
  <si>
    <t>Mr. Mark Patterson serves as Senior Advisory Board Member at Energy Impact Partners. Mr. Patterson is the former Managing Director and the Head of Real Estate Global Principal Investments at Merrill Lynch &amp; Co., Inc and Global Head of Real Estate Investment Banking at Citigroup. Board director for multiple REITs: Digital Realty Trust, Americold Realty Trust, UDR, Inc. and Paramount Group.</t>
  </si>
  <si>
    <t>47866-69P</t>
  </si>
  <si>
    <t>Matthias Dill Ph.D</t>
  </si>
  <si>
    <t>Dill</t>
  </si>
  <si>
    <t>Dr. Matthias Dill serves as Chief Executive Officer and Managing Partner, Europe at Energy Impact Partners. He serves as a Board Member at ev. energy, HeatTransformers, Instagrid, Hometree, Greenly.earth. He served as Managing Director at Statkraft Ventures. He served as a Board Member at Tado. He served as a Board Member at Greenbird and zolar. He is a mechanical engineer at heart but also trained in business administration. He is enthusiastic about making the world a better and cleaner place by partnering with smart entrepreneurs. He is an experienced venture investor and board member. Prior to starting Statkraft Ventures, he was with High-Tech Gründerfonds, Europe's largest seed fund. He is an experienced VC investor and board member and has dedicated his career to supporting the best entrepreneurs in climate tech. Prior to building EIP's European operations, he was the founder and managing director of Statkraft Ventures, a fund focused on the energy transition (investments include: Tado, Limejump, Skyspecs, Deepki,). Previously he was a senior investment manager at High-Tech Gründerfonds, the leading German early-stage investor, backed by the largest industrial companies and financial investors.</t>
  </si>
  <si>
    <t>+49 (0)21 1602 4445 40</t>
  </si>
  <si>
    <t>mdill@energyimpactpartners.com</t>
  </si>
  <si>
    <t>+49(0)22 8823 0005 0</t>
  </si>
  <si>
    <t>Chief Executive Officer &amp; Managing Partner, Europe</t>
  </si>
  <si>
    <t>388050-76P</t>
  </si>
  <si>
    <t>Maya Wendel</t>
  </si>
  <si>
    <t>Wendel</t>
  </si>
  <si>
    <t>Ms. Maya Wendel serves as an Analyst, Investor Relations at Energy Impact Partners. Prior to joining EIP, she interned at Hollan &amp; Knight LLP, a lobbying firm in D.C., and on Capitol Hill. In these roles, her primary focus was on EV &amp; climate policy, national security &amp; international trade, and technology &amp; privacy laws. She graduated from Georgetown University's Walsh School of Foreign Service with a B.S. in International Relations.</t>
  </si>
  <si>
    <t>wendel@energyimpactpartners.com</t>
  </si>
  <si>
    <t>Analyst, Investor Relations</t>
  </si>
  <si>
    <t>212219-92P</t>
  </si>
  <si>
    <t>Michael Campos Ph.D</t>
  </si>
  <si>
    <t>Dr. Michael Campos serves as Vice President at Energy Impact Partners. Dr. Campos served as Associate at PRIME Coalition. He started his career at the Advanced Research Projects Agency - Energy (ARPA-E) in the U.S. Department of Energy, where he developed funding programs in geothermal energy and proof-of-concept R&amp;D in small businesses. Prior to joining EIP, he was a Principal at Azolla Ventures and Prime Impact Fund, where his work included board service, transaction execution, due diligence, and sourcing.He holds a Ph.D., M.Phil., and M.A. in Chemistry from Columbia University, and a B.A. in Chemistry from Northwestern University. He has co-authored eight peer-reviewed articles and is a co-inventor on two patents.</t>
  </si>
  <si>
    <t>88419-97P</t>
  </si>
  <si>
    <t>Michael Donnelly</t>
  </si>
  <si>
    <t>Donnelly</t>
  </si>
  <si>
    <t>Chief Risk Officer &amp; Partner</t>
  </si>
  <si>
    <t>Mr. Michael Donnelly is a Co-Founder and serves as Chief Risk Officer and Partner at Energy Impact Partners. He also serves as Board Member at eSmart Systems and Innowatts. He served as a Board Member at AutoGrid. He served as a Board Member at Clevest Solutions and Powerphase. He spent a 25-year career at General Electric focused on energy in various management functions, most recently acting as Head of Business Development for GE Energy-Industrial Solutions. Before that, he led the Energy Technology Group for GE Equity, where he focused on investments in power and energy technology companies in storage, distribution, and energy management. He also served as a Risk Officer for the Equity Group where he ensured proper underwriting for a broad array of equity and debt investments. He also served as a Risk Officer at GE Global Sponsor Finance where he underwrote and managed a portfolio of over $1B. He holds a Bachelor of Science Degree from the U. S. Merchant Marine Academy and an MBA from the Darden Graduate School of Business Administration, University of Virginia.</t>
  </si>
  <si>
    <t>+47 95 05 58 88</t>
  </si>
  <si>
    <t>donnellym@energyimpactpartners.com</t>
  </si>
  <si>
    <t>Co-Founder, Chief Risk Officer &amp; Partner</t>
  </si>
  <si>
    <t>456489-64P</t>
  </si>
  <si>
    <t>Naman Adenwala</t>
  </si>
  <si>
    <t>Naman</t>
  </si>
  <si>
    <t>Adenwala</t>
  </si>
  <si>
    <t>Mr. Naman Adenwala serves as Investment Associate at Energy Impact Partners. Before joining EIP, he was part of AB CarVal's clean energy fund, working on infrastructure and corporate investment opportunities within the energy transition sector. He also closely collaborated with portfolio companies in the solar and storage space, including leading the financial reporting efforts. He holds a Bachelor of Business Administration in Finance, with a minor in Management Information Systems, from the University of Texas at Austin.</t>
  </si>
  <si>
    <t>adenwala@energyimpactpartners.com</t>
  </si>
  <si>
    <t>410443-66P</t>
  </si>
  <si>
    <t>Natalia i Coromina</t>
  </si>
  <si>
    <t>i Coromina</t>
  </si>
  <si>
    <t>Mr. Natalia i Coromina serves as Senior Associate, Impact &amp; Sustainability at Energy Impact Partners. She is responsible for EIP's impact and Environmental, Social, and Governance (ESG) measurement, reporting and diligence. She also works closely with portfolio companies, investors and relevant stakeholders to scale excellence in sustainability and decarbonization practices. Before joining EIP, he worked at the Haas School of Business, where she taught in the MBA programs and published case studies on climate change and sustainability for the Berkeley Haas Case Series and Harvard Business Review. She was also an intern at Astanor Ventures, Cambridge Associates and other impact-driven firms. He holds a Master's in Climate Change from UC Berkeley, and Bachelor's degrees in both Humanities and Business from UIC Barcelona.</t>
  </si>
  <si>
    <t>costa@energyimpactpartners.com</t>
  </si>
  <si>
    <t>Senior Associate, Impact &amp; Sustainability</t>
  </si>
  <si>
    <t>388020-07P</t>
  </si>
  <si>
    <t>Nisha Chhabra JD</t>
  </si>
  <si>
    <t>Nisha</t>
  </si>
  <si>
    <t>Chhabra</t>
  </si>
  <si>
    <t>Ms. Nisha Chhabra serves as Chief People Officer at Energy Impact Partners. Before joining EIP, she spent 12 years at MIO Partners, Inc. (a wholly owned subsidiary of McKinsey &amp; Co.), in a similar role, and four years at Sullivan &amp; Cromwell LLP, as a Recruiting Manager. Prior to that, she was a Litigation Associate at both Paul, Weiss, Rifkind, Wharton &amp; Garrison LLP and Orrick Herrington &amp; Sutcliffe and also held a judicial clerkship in the Southern District of New York. She holds a J.D. from Yale Law School and a B.A. in International Affairs from George Washington University.</t>
  </si>
  <si>
    <t>chhabra@energyimpactpartners.com</t>
  </si>
  <si>
    <t>70588-72P</t>
  </si>
  <si>
    <t>Patrick McGrath Ph.D</t>
  </si>
  <si>
    <t>McGrath</t>
  </si>
  <si>
    <t>Dr. Patrick McGrath serves as a Senior Advisory Board Member at Energy Impact Partners. Dr. McGrath served as Acting Deputy Director, Technology &amp; Program Director at Arpa-E. His program focuses include electric machines for transportation, energy storage, and generation; low-cost, scalable approaches to particle acceleration; and catalysis for the utilization and transformation of hydrocarbon fuels. Dr. McGrath previously served as a technical advisor at the Defense Advanced Research Projects Agency (DARPA), where he supported multiple power and energy efforts in DARPA's Defense Sciences Office (DSO). Dr. McGrath played a central role in program development, execution, and technology transition of DARPA DSO programs in portable fuel cells, hybrid energy storage systems, new catalytic approaches for carbon-based solar fuels, new chemical pathways for the production of hydrocarbon biofuels from cellulosic feedstocks, and novel electrochemical systems to handle DoD logistics fuels. Among Dr. McGrath's notable DARPA contributions is the long-endurance "Stalker XE," a small unmanned aerial vehicle (UAV) powered by a propane solid oxide fuel cell. The fuel cell power source increased the flight endurance of the UAV by over 400% as compared to state-of-the-art Li-ion batteries, providing persistent situational awareness to soldiers in the field with a small operational footprint. Stalker XE is currently deployed in Afghanistan with the U.S. Army as part of an operational test and evaluation. Dr. McGrath received his Ph.D. and M.S. in Chemical Engineering from the University of California at Berkeley and his B.S. in Chemical Engineering from the University of Virginia.</t>
  </si>
  <si>
    <t>375801-94P</t>
  </si>
  <si>
    <t>Richard McMahon</t>
  </si>
  <si>
    <t>Mr. Richard McMahon serves as Senior Advisor Board Member at Energy Impact Partners. Mr. McMahon serves as Advisory Board Member at Mobility Impact Partners. He is the Senior Vice President of Energy Supply and Finance at Edison Electric Institute and the founder of the EnviroTech Venture Capital Fund. He has been at the forefront of industry voluntary ESG sustainability initiatives, including the recent EEI ESG reporting template and the development of the Natural Gas Supply Chain Sustainability Initiative (NGSI). As an industry spokesperson, McMahon has addressed key issues ranging from natural gas and tax to renewable energy and finance. He has testified before numerous federal and state agencies, including the United States Congress, CFTC, FERC, DOE, and SEC.</t>
  </si>
  <si>
    <t>354555-28P</t>
  </si>
  <si>
    <t>Robert Edwards III</t>
  </si>
  <si>
    <t>Mr. Robert Edwards serves as Associate at Energy Impact Partners. He started his career at EIP as an Analyst on the Strategic Accounts team. In this role, he partnered with senior leadership, investors, and EIP's Research &amp; Innovation team to drive commercial business development between EIP and its strategic Limited Partner base. He graduated from Harvard University with a B.A. in Environmental Science &amp; Public Policy, and a minor in Economics. At Harvard, he served on the boards of the Harvard Investment Association &amp; Fund, Environmental Action Committee and was a founding board member of the Harvard Undergraduate Foreign Policy Initiative.</t>
  </si>
  <si>
    <t>edwards@energyimpactpartners.com</t>
  </si>
  <si>
    <t>264609-01P</t>
  </si>
  <si>
    <t>Ryan Spencer</t>
  </si>
  <si>
    <t>Mr. Ryan Spencer serves as Vice President of Energy Impact Partners. He joined Energy Impact Partners in 2021. Prior to joining EIP, he was an Investment Banking Analyst at Goldman Sachs in Energy Technology Coverage, where he advised a broad range of energy transition companies on M&amp;A and capital raises. He graduated from the University of Texas at Austin with a B.B.A. in Business Honors and Finance.</t>
  </si>
  <si>
    <t>spencer@energyimpactpartners.com</t>
  </si>
  <si>
    <t>125324-92P</t>
  </si>
  <si>
    <t>Sameer Reddy</t>
  </si>
  <si>
    <t>Sameer</t>
  </si>
  <si>
    <t>Mr. Sameer Reddy serves as Managing Partner, Flagship at Energy Impact Partners. He serves as a Board Member at Scythe. He has over 15 years of experience in industrial and climate technology. He joined EIP in 2015 and has since led the firm's investment efforts across cybersecurity and distributed energy. His investments at EIP include Arcadia, Attivo, Dragos, Enchanted Rock, Finite State, Mosaic, Opus One, Particle, Powin, RapidSOS, Swimlane, Trifacta, and Urbint. Prior to EIP, he spent five years at Evercore in the firm's Power and Renewable Energy Group where he advised clients on over $15bn of M&amp;A transactions. Prior to Evercore, he spent three years at GE Capital's energy venture capital group focusing on industrial and clean tech investing. He served as Board Member at Moxion Power.</t>
  </si>
  <si>
    <t>reddy@energyimpactpartners.com</t>
  </si>
  <si>
    <t>Managing Partner, Flagship</t>
  </si>
  <si>
    <t>169784-92P</t>
  </si>
  <si>
    <t>Samuel Bursten</t>
  </si>
  <si>
    <t>Bursten</t>
  </si>
  <si>
    <t>Mr. Samuel Bursten serves as Principal at Energy Impact Partners. He serves as Board Member at Elementl Power. He serves as a Board Member at Rondo Energy and Cyclic Materials. He served as a Board Member at Project Canary. He has experience in the power and clean-technology sectors and in project finance. Prior to joining EIP, he worked as an analyst in CIT's Energy group, focusing on construction and acquisition financing for renewable energy, conventional power, and midstream transactions. He holds a BA in Public Policy and an Energy and Environment Certificate from Duke University.</t>
  </si>
  <si>
    <t>bursten@energyimpactpartners.com</t>
  </si>
  <si>
    <t>40391-02P</t>
  </si>
  <si>
    <t>Sarah Mcphee</t>
  </si>
  <si>
    <t>Mcphee</t>
  </si>
  <si>
    <t>Ms. Sarah Mcphee, Board member since 2022. Born 1954. Education: M.Sc. in Economics and Business Administration, Stockholm School of Economics and MA at Stanford University, USA. Current Board appointments: Chair of Houdini Sportswear AB and Board member of Bure Equity AB, ACQ Bure AB, Atle AB, Axel Johnson Inc in USA. He served as Board Member and Audit Chair at Grover Previous positions: Chair of Fjarde AP-Fonden and Sallskapet Naringsliv Samhalle (SNS) and Board Member of Klarna AB and SAXO Bank. CEO at SPP and Group Director at Storebrand ASA as well as leading roles within AMF Pension, Fjarde APFonden, Svenska Handelsbanken and GE Capital. She serves as Chairman and President at Houdini Sportswear.</t>
  </si>
  <si>
    <t>+46 (0)8 451 75 20</t>
  </si>
  <si>
    <t>Malmo</t>
  </si>
  <si>
    <t>Malmo, Sweden</t>
  </si>
  <si>
    <t>Fosievägen 13</t>
  </si>
  <si>
    <t>214 31</t>
  </si>
  <si>
    <t>Thule Group</t>
  </si>
  <si>
    <t>307318-51P</t>
  </si>
  <si>
    <t>Shariar Shams - Ansari</t>
  </si>
  <si>
    <t>Shariar</t>
  </si>
  <si>
    <t>Shams - Ansari</t>
  </si>
  <si>
    <t>Mr. Shariar Shams - Ansari serves as Vice President at Energy Impact Partners. He was a Investor of Brookfield Growth. He is focused on private equity and late-stage growth investing across technology and business services. Prior to joining EIP in 2024, he spent over three years at Brookfield Growth, where he focused on growth-oriented investments across the technology landscape. Prior to Brookfield, he was a private equity associate at H.I.G. Growth, where he made growth-oriented private equity investments across the technology, consumer, and healthcare verticals. Before H.I.G., he was a founding member of ILONA Capital, a venture capital and private equity firm. He began his career as an investment banker at Millstein &amp; Company (now part of Guggenheim Securities), where he focused on financial restructuring. He holds a BS in Economics with a concentration in Finance from the Wharton School of the University of Pennsylvania. He is a member of C100 and serves as the Proptech Vertical Lead for the Emerging Venture Capitalist Association (EVCA) and as Co-Chair of the Venture Leadership Board at the Center for Real Estate Technology and Innovation (CRETI).</t>
  </si>
  <si>
    <t>shams-ansari@energyimpactpartners.com</t>
  </si>
  <si>
    <t>78813-19P</t>
  </si>
  <si>
    <t>Shawn Cherian</t>
  </si>
  <si>
    <t>Mr. Shawn Cherian serves as Partner at Energy Impact Partners. He serves as Board Member at Swimlane and Corelight. He served as Board Member at Oort. He served as a Board Member &amp; Advisor at Noetic, Sibros, Aryaka Networks, and GridX. Prior to this, he served as Venture Principal at Third Point Ventures. He serves as Board Member at Lightlytics. He served as the Board Member at Packet. He served as Manager, of Corporate Development at Cisco Investments. He served as Board Member at NS1, an IBM Company and PrecisionHawk. He joined Cisco Corporate Development in 2009 and is currently focused on finding investment and acquisition opportunities for the Mobility Business Group. Before coming to Cisco, he worked in private equity for Yankee Hill Capital and investment banking for Merrill Lynch in the Global Technology Investment Banking Group. He earned a bachelor's degree from Cornell University.</t>
  </si>
  <si>
    <t>shawn@energyimpactpartners.com</t>
  </si>
  <si>
    <t>371582-29P</t>
  </si>
  <si>
    <t>Shayle Kann</t>
  </si>
  <si>
    <t>Shayle</t>
  </si>
  <si>
    <t>Kann</t>
  </si>
  <si>
    <t>Mr. Shayle Kann serves as Managing Partner, Frontier at Energy Impact Partners. He serves as a Board Member at Elementl Power. He serves as a Board Member at Electric Hydrogen. He also serves as a Board Member at Koloma. Mr. Kann leads EIP's Frontier Fund, dedicated to investing in revolutionary technologies to enable deep decarbonization. He is a Non-Resident Fellow at the Columbia University Center on Global Energy Policy, a member of the PRIME Impact Fund Investor Advisory Council, and host of the popular climate tech podcast Catalyst. Previously, he built and ran GTM Research, the market intelligence arm of Greentech Media, through and beyond GTM's successful 2016 acquisition by Verisk Analytics (NASDAQ: VRSK). He was also previously a U.S. Fulbright Scholar in Australia, worked on carbon markets at Conservation Services Group (acquired by ClearResult), and crafted regulatory policy at the California Public Utilities Commission. He is a member of the Investor Advisory Board at Azolla Ventures and host of the popular climate tech podcast Catalyst. He graduated cum laude, phi beta kappa from Pomona College.</t>
  </si>
  <si>
    <t>shayle@energyimpactpartners.com</t>
  </si>
  <si>
    <t>Managing Partner, Frontier</t>
  </si>
  <si>
    <t>388048-33P</t>
  </si>
  <si>
    <t>Shreyas Pulle</t>
  </si>
  <si>
    <t>Shreyas</t>
  </si>
  <si>
    <t>Pulle</t>
  </si>
  <si>
    <t>Mr. Shreyas Pulle serves as Associate at Energy Impact Partners. He focuses on identifying and supporting early- to growth-stage companies across the European ClimateTech landscape. His role includes sourcing, due diligence, deal execution, and portfolio company monitoring. Prior to joining EIP, he spent two years in investment banking at Jefferies. As part of the Industrials team in Europe, he focused on capital raises and M&amp;A deals across numerous ClimateTech verticals including hydrogen storage, sustainable construction, waste-to-energy, and e-mobility. He holds a BSc in Philosophy, Politics, and Economics from the University of Warwick.</t>
  </si>
  <si>
    <t>pulle@energyimpactpartners.com</t>
  </si>
  <si>
    <t>354556-90P</t>
  </si>
  <si>
    <t>Sofia Raziq</t>
  </si>
  <si>
    <t>Raziq</t>
  </si>
  <si>
    <t>Ms. Sofia Raziq serves as Senior Associate at Energy Impact Partners. She worked in Investment Banking at FT Partners where she focused on sell-side M&amp;A advisory and capital raising. Prior to joining FT Partners, She worked in Sales &amp; Trading at Goldman Sachs where she focused on energy corporate derivatives. She graduated from Rensselaer Polytechnic Institute with a B.S. in Mathematics of Operations Research and Economics.</t>
  </si>
  <si>
    <t>raziq@energyimpactpartners.com</t>
  </si>
  <si>
    <t>406552-51P</t>
  </si>
  <si>
    <t>Sophia Katz</t>
  </si>
  <si>
    <t>Ms. Sophia Katz serves as Senior Associate at Energy Impact Partners. She is is focused on private equity and late-stage growth investing across technology, business services, and industrials. Prior to joining EIP, she was an Associate at the Blackstone Group in the Tactical Opportunities division focusing on special situations and structured investments across the capital structure. At Blackstone, she worked closely with portfolio companies across a variety of industries and end markets to pursue strategic and financial initiatives. She graduated Phi Beta Kappa from Duke University with a BA in Public Policy, minors in Environmental Science and Markets &amp; Management, and Highest Distinction in the Public Policy Honors Scholar program.</t>
  </si>
  <si>
    <t>katz@energyimpactpartners.com</t>
  </si>
  <si>
    <t>45230-50P</t>
  </si>
  <si>
    <t>Spencer Abraham JD</t>
  </si>
  <si>
    <t>Mr. Spencer Abraham serves as Director, Chairman of the Nominating and Corporate Governance Committee &amp; Member of the Compensation Committee at PBF Energy. He serves as Senior Advisory Board Member at Energy Impact Partners. He serves as a Board Member of C3 IoT. He served as the tenth Secretary of Energy of the United States from 2001-2005. He helped President George W. Bush devise America's first national energy plan in over a decade and oversaw its implementation. As part of this plan, he led efforts to broaden America's international energy partnerships as well as forge closer ties to key oil-producing nations. Mr. Abraham has been a close observer of world energy markets, and under his leadership, the Department of Energy conducted a number of important short and long-term studies of world oil, gas, electricity and other markets. According to the Presidential Management Agenda scorecard, the Department of Energy went from "worst to first" of well-run agencies under his leadership. Prior to being a Cabinet Member, he served as an effective and highly productive U.S. Senator from Michigan for six years. In the Senate, he was a member of the Senate Commerce, Judiciary and Budget Committees and served as chairman of the Senate Immigration Subcommittee and the Senate Commerce Subcommittee on Manufacturing and Competitiveness. He was also a senior official in the Administration of former President George H.W. Bush as Deputy Chief of Staff to the Vice President. He is a member of the Board of Directors of Occidental Petroleum, NRG Energy, PBF Energy, Uranium Energy Corp and Two Harbors Investment Corporation. He holds a Juris Doctor degree from Harvard Law School.</t>
  </si>
  <si>
    <t>+1 (202) 393-7700</t>
  </si>
  <si>
    <t>sabraham@abrahamgroupllc.com</t>
  </si>
  <si>
    <t>1825 I Street North West</t>
  </si>
  <si>
    <t>The Abraham Group</t>
  </si>
  <si>
    <t>163814-32P</t>
  </si>
  <si>
    <t>Steven Kantowitz</t>
  </si>
  <si>
    <t>Kantowitz</t>
  </si>
  <si>
    <t>Mr. Steven Kantowitz serves as Managing Partner, Private Equity at Energy Impact Partners. He serves as Board Member at RS Technologies. He serves as Board Member and Chief Credit Officer at Mosaic. He is focused on private equity and late-stage growth investing across software, services, industrials and financial services. He has more than a decade of energy and climate investing experience. He started his career as an investment banker at Credit Suisse, where he focused on mergers &amp; acquisitions and leveraged finance transactions for power and utility clients. After that, he spent nearly a decade at Warburg Pincus, a global private equity firm, where he focused on energy investing, primarily on power and renewables transactions. Steven join EIP in 2022 in an effort to help drive additional growth through later-stage growth and private equity investing. He received a BS, summa cum laude in Finance and Economics from NYU Stern, and an MBA with distinction from Harvard Business School.</t>
  </si>
  <si>
    <t>kantowitz@energyimpactpartners.com</t>
  </si>
  <si>
    <t>262479-16P</t>
  </si>
  <si>
    <t>Steven Simone</t>
  </si>
  <si>
    <t>Mr. Steven Simone serves as Managing Director and Head of Investor Relations at Energy Impact Partners. He is responsible for directing EIP's overarching investor relations strategy and leading the investor relations team responsible for fundraising and managing relationships with EIP's global limited partners across EIP's various investment strategies. He has 15+ years of fundraising experience across private equity, infrastructure, and credit strategies. He started his career at Credit Suisse in the Customized Fund Investment Group within Asset Management where he focused on fundraising for separately managed accounts and commingled vehicles investing in private equity, energy, and infrastructure. Most recently, he spent 10 years with The Carlyle Group raising capital for funds and co-investments across their buyout, energy, infrastructure, power, and renewables funds. He received his BA degree from Hamilton College with a concentration in government and a minor in environmental studies.</t>
  </si>
  <si>
    <t>steve@energyimpactpartners.com</t>
  </si>
  <si>
    <t>43679-80P</t>
  </si>
  <si>
    <t>Steven Yang</t>
  </si>
  <si>
    <t>Mr. Steven Yang served as Vice President at SER Capital Partners. He serves as a Principal at Energy Impact Partners. He served as a Senior Associate at Energy Capital Partners. He is involved in the firm's investor relations, marketing, fundraising, and public relations activities. Before joining Energy Capital in 2012, he worked in the Investment Office at Carnegie Mellon University. He received a B.S. in Economics from Carnegie Mellon University. He serves as a Board Member at Perfect Power. He served as a Board Member at Microgrid Networks.</t>
  </si>
  <si>
    <t>+1 (973) 671-6100 x6131</t>
  </si>
  <si>
    <t>yang@energyimpactpartners.com</t>
  </si>
  <si>
    <t>36587-17P</t>
  </si>
  <si>
    <t>Swapnil Shah</t>
  </si>
  <si>
    <t>Swapnil</t>
  </si>
  <si>
    <t>Mr. Swapnil Shah serves as Partner at Energy Impact Partners. Mr. Shah serves as Board Member at GridX. He co-founded and served as Chief Executive Officer at FirstFuel Software. He served as Board Member and Advisor at Resource Innovations. He served as Operating Advisory Board Member at BV Investment Partners. He served as Senior Vice President, Strategy and Business Development of mValent Inc., since September 2005. He served as the President and Chief Executive Officer of mValent. He served as President of Charles River Ventures. He served as a General Manager at Inktomi Corporation, a leading network infrastructure software company. He joined Inktomi in 1999 when it acquired Webspective, a venture-backed server management and content distribution software company that he founded and led as President. He has a BS in Mechanical and Aerospace Engineering from Cornell University.</t>
  </si>
  <si>
    <t>+1 (800) 425-4070</t>
  </si>
  <si>
    <t>shah@energyimpactpartners.com</t>
  </si>
  <si>
    <t>194686-03P</t>
  </si>
  <si>
    <t>Tal Sheynfeld</t>
  </si>
  <si>
    <t>Tal</t>
  </si>
  <si>
    <t>Sheynfeld</t>
  </si>
  <si>
    <t>Mr. Tal Sheynfeld serves as Managing Partner, Energy Impact Partners Credit at Energy Impact Partners. He is responsible for general direction and growth of Energy Impact Partners' credit strategy. He is focused on deal sourcing and execution, portfolio management, and marketing. Tal has more than 18 years of experience in all aspects of investments and operations with a focus in US middle market. Highly regarded for sourcing, analyzing, executing and monitoring such transactions while applying insights derived from actual, successful operating exposure. Prior to joining EIP, he was the Managing Partner of Merchant Credit Partners with the responsibility of designing and overseeing the origination, structuring and underwriting of the firm's lending solutions. Before joining Merchant Credit Partners, he founded and was the Chief Executive Officer and Chief Investment Officer of EMM Investments, a credit investment arm of a family office. Under his leadership, EMM participated in more than $200M private credit loans in the US middle market. Tal also served as the Executive Vice President at NTS Communications (NYSE: NTS), where he led the company through a turnaround, ultimately successfully selling the business to a private equity firm for $180M, quadrupling the equity value of the company in two years. He also served as a Director at CION Investments where he was responsible for originating and executing middle market transactions. He holds an MBA from Columbia Business School, and a B.S. in Finance from Adelphi University. Additionally, he served three years in the Israeli Defense Force.</t>
  </si>
  <si>
    <t>+1 (646) 766-0395</t>
  </si>
  <si>
    <t>tal@energyimpactpartners.com</t>
  </si>
  <si>
    <t>Managing Partner, Energy Impact Partners Credit</t>
  </si>
  <si>
    <t>196613-92P</t>
  </si>
  <si>
    <t>Tansel Ismail</t>
  </si>
  <si>
    <t>Tansel</t>
  </si>
  <si>
    <t>Ismail</t>
  </si>
  <si>
    <t>Mr. Tansel Ismail serves as Principal at Energy Impact Partners. He serves as Board Member at Xona Systems. He serves as Board Member at 42Crunch. He serves as Board Member at VanishID. He also serves as Board Member at SCYTHE. He joined Energy Impact Partners in 2018. Prior to joining EIP, he was an Investment Banking Analyst at Citigroup in the Global Technology Group, where he advised software and IT services companies on M&amp;A and capital raises. He graduated from the University of Florida with B.S. and M.S. in Finance. At EIP, he focuses on investments in distributed generation, digitization, and cybersecurity.</t>
  </si>
  <si>
    <t>tanseli@energyimpactpartners.com</t>
  </si>
  <si>
    <t>83828-26P</t>
  </si>
  <si>
    <t>Taylor Rowe</t>
  </si>
  <si>
    <t>Ms. Taylor Rowe serves as Vice President at Energy Impact Partners. Ms. Rowe Co-Founded Unreasonable At Sea. Before joining EIP, Taylor was a founding member of The Clean Fight, an accelerator focused on advancing the adoption of climate solutions. As Head of Capital and Customer Partnerships, she supported the early commercialization of growth-stage climate companies. Over the past decade, Taylor has worked across business development and strategic partnerships in accelerators and startups. She holds an MSc in Behavioral Science from The London School of Economics and Political Science (LSE) and a BS in Finance and Economics from the University of Denver.</t>
  </si>
  <si>
    <t>rowe@energyimpactpartners.com</t>
  </si>
  <si>
    <t>61228-18P</t>
  </si>
  <si>
    <t>Thomas Kuhn</t>
  </si>
  <si>
    <t>Kuhn</t>
  </si>
  <si>
    <t>Mr. Thomas Kuhn serves as Senior Advisor Board Member at Energy Impact Partners. Mr. Kuhn serves as Advisor to the Board at TerraPower. He served as President at Edison Electric Institute. Mr. Kuhn is President of the Edison Electric Institute, the association that represents all U.S. investor-owned electric companies. EEI's members provide electricity for 220 million Americans, operate in all 50 states and the District of Columbia, and directly employ more than 500,000 workers. In addition, EEI has 70 international electric companies as International Members, and 270 industry suppliers and related organizations as
Associate Members. Mr. Kuhn joined the Institute in 1985 as executive vice president, was named chief operating officer in 1988, and was elected president in 1990. Prior to joining EEI, Mr. Kuhn was president of the American Nuclear Energy Council, which subsequently merged with the Nuclear Energy Institute. The Council represented virtually all of the companies in the
commercial nuclear power industry. He joined the Council in 1975 as vice president, of government affairs, and became president in 1983. From 1972 to 1975, Mr. Kuhn headed the energy section of the investment banking firm, Alex Brown and Sons. Prior to that, from 1970 to 1972, he was a White House Liaison Officer to the Secretary of the Navy. Mr. Kuhn received a BA in Economics in 1968 from Yale University, served as a Naval Officer following his graduation, and received an MBA in 1972 from George Washington University. He completed the Stanford University Graduate School of Business Senior Executive Program in 1989. Mr. Kuhn served on the Secretary of Energy's Advisory Board and the Board of the U.S. Chamber of Commerce. He currently serves on the Boards of the Alliance to Save Energy, the United States Energy Association, the Electric Drive Transportation Association, and the American Council for Capital Formation. He is Chairman-Emeritus of the Committee of 100 of the U.S. Chamber of Commerce, Chairman-Emeritus of the American Society of Association Executives (ASAE), and past chairman of the Alliance to Save Energy and the ASAE/Key Industry Association Committee. Mr. Kuhn is Chairman-Emeritus of the National Multiple Sclerosis Society as well as the National Capital Chapter. He currently serves on the Board of the U.S. Navy Memorial Foundation and the Washington Tennis and Education Foundation. From 2006 to 2008, Mr. Kuhn served on the Board of the National Park Foundation. Mr. Kuhn was awarded the Bess Goodman Humanitarian Award in 2000. He served as 1992 and 1997 chairman of the Association's Division, United Way Campaign, and chairman of 1996 through 1998 National Alliance to End Homelessness Awards dinners.</t>
  </si>
  <si>
    <t>354568-69P</t>
  </si>
  <si>
    <t>Tim Naughton</t>
  </si>
  <si>
    <t>Naughton</t>
  </si>
  <si>
    <t>Mr. Tim Naughton serves as Senior Advisory Board Member at Energy Impact Partners. He serves as Senior Advisor at Navitas Capital. He is the former Chief Executive Officer, Chief Operating Officer, and Chief Investment Officer, AvalonBay Communities, Inc. Director, Park Hotels and Resorts (Lodging REIT); Trustee, of Urban Land Institute (ULI); Former Chair of ULI Multifamily Council; Former Director, Welltower (Healthcare REIT); Former Chair, NAREIT.</t>
  </si>
  <si>
    <t>Culver City</t>
  </si>
  <si>
    <t>Culver City, CA</t>
  </si>
  <si>
    <t>3975 Landmark Street</t>
  </si>
  <si>
    <t>Suite 1200</t>
  </si>
  <si>
    <t>90232</t>
  </si>
  <si>
    <t>Navitas Capital</t>
  </si>
  <si>
    <t>428231-08P</t>
  </si>
  <si>
    <t>Timothy Chung</t>
  </si>
  <si>
    <t>Mr. Timothy Chung serves as an Associate at Energy Impact Partners. He was a founding member of Citi's Clean Energy Transition investment banking coverage team, where he advised companies in the energy transition sector on M&amp;A, IPO, and private capital raises. He graduated from The Wharton School at the University of Pennsylvania with a B.S. in Economics.</t>
  </si>
  <si>
    <t>chung@energyimpactpartners.com</t>
  </si>
  <si>
    <t>428251-51P</t>
  </si>
  <si>
    <t>Tomoya Sato</t>
  </si>
  <si>
    <t>Mr. Tomoya Sato serves as Senior Advisor &amp; Operating Partner at Energy Impact Partners. He is a former Managing Executive Officer at the Development Bank of Japan (DBJ), a key government-owned institution for financing large-scale infrastructure. Led funding initiatives in the energy sector, supporting companies in reducing carbon emissions and ensuring Japan's energy stability.</t>
  </si>
  <si>
    <t>Senior Advisor &amp; Operating Partner</t>
  </si>
  <si>
    <t>263573-56P</t>
  </si>
  <si>
    <t>W. Walter III</t>
  </si>
  <si>
    <t>W.</t>
  </si>
  <si>
    <t>Mr. W. Edward Walter III serves as a Board Member at Claros Mortgage Trust. He serves as Board Member at Placemakr. He serves as a Senior Advisory Board Member at Energy Impact Partners. He serves asBoard Member, Member of the Audit and Risk Committee &amp; Member of the Compensation &amp; Benefits Committee at Ameriprise Financial. He has served as the Global Chief Executive Officer for the Urban Land Institute since June 2018. Prior to that, he was the Robert and Lauren Steers Chair in Real Estate at the Steers Center for Global Real Estate at Georgetown University's McDonough School of Business. He served as President and Chief Executive Officer of Host Hotels and Resorts, Inc., a publicly traded premier lodging real estate company, from October 2007 through December 2016, with his employment ending on January 31, 2017. From 2003 until October 2007, he served as Executive Vice President and Chief Financial Officer of Host. From 1996 until 2003 he served in various senior management positions with Host, including Chief Operating Officer. Mr. Walter is also past Chairman of NAREIT, the past Chairman of the Federal City Council, and a member of the Board of Visitors of the Georgetown University Law Center. Mr. Walter serves on the boards of Avalonbay Communities, Inc. (NYSE: AVB), the latter as Lead Director. Mr. Walter received his undergraduate degree from Colgate University and a J.D. from Georgetown University Law Center.</t>
  </si>
  <si>
    <t>+1 (212) 484-0090</t>
  </si>
  <si>
    <t>Mack Real Estate Credit Strategies, L.P.</t>
  </si>
  <si>
    <t>60 Columbus Circle, 20th Floor</t>
  </si>
  <si>
    <t>10023</t>
  </si>
  <si>
    <t>Claros Mortgage Trust</t>
  </si>
  <si>
    <t>100322-47P</t>
  </si>
  <si>
    <t>Wai-Kwong Seck</t>
  </si>
  <si>
    <t>Wai-Kwong</t>
  </si>
  <si>
    <t>Mr. Wai-Kwong Seck was appointed as Director on 4 September 2023. He serves as a Senior Advisor Board Member at Energy Impact Partners. Mr Seck is currently a GIC Advisor Emeritus and a Director on the GIC Board, with memberships in both the Risk and Audit Committees. He retired as the Chief Executive Officer of Eastspring Investments Group, the investment management arm of Prudential plc in August 2023. Prior to Eastspring, he was the CEO, Asia-Pacific of State Street Bank and Trust Company from 2011 to 2019. Mr Seck is a recipient of the Public Service Star on Singapore's National Day in 2023. Singapore Baptist Theological Seminary, Member of the Board; The Hong Kong University of Science and Technology School of Business and Management (HKUST Business School), Member of Advisory Board; Wealth Management Institute, Chairman of Future Leaders Council. Directorships and Principal Commitments/Appointments for the past 5 years: Eastspring Investments (Singapore) Limited, Chairman and Director; Eastspring Investments Group Pte. Ltd., Director; Eastspring Investments Limited, Director; Eastspring Investments (Luxembourg) S.A, Chairman and Director; Eastspring Investment Management (Shanghai) Company Limited, Director; Eastspring Overseas Investment Fund Management (Shanghai) Company Limited, Director; BOCI-Prudential Asset Management Limited, Director; Prudential Corporation Asia Limited, Director; ICICI Prudential Asset Management Company Limited, Director; CITIC-Prudential Fund Management Company Limited, Deputy Chairman and Director; TMB Asset Management Company Limited, Thailand, Director; Second Timothy One Twelve Co Ltd, Director; State Street Technology (Zhejiang) Co Ltd, Director; Trinity International University Deerfield, Illinois, USA Member, Board of Regents &amp; Chairman of Investment and Advancement Committee; Singapore International School, Hong Kong Governor and Member of Finance Committee; Gordon College, Wenham, Massachusetts, USA, Member of Global Advisory Board and Adjunct Professor; Monash University, Melbourne, Australia, Member of Philanthropic Campaign Council; Monetary Authority of Singapore, Member of the Financial Center Advisory Panel; The Hong Kong University of Science and Technology School of Business and Management (HKUST Business School), Adjunct Professor; National University of Singapore Business School, Adjunct Professor; The Chinese University of Hong Kong, Advisory Committee for the Quantitative Finance Program. Academic and Professional Qualifications: Master of Business Administration (with Distinction), Wharton School, University of Pennsylvania; Bachelor of Economics (First Class Honours), Monash University, Australia.</t>
  </si>
  <si>
    <t>+65 6826 7100</t>
  </si>
  <si>
    <t>63 Chulia Street</t>
  </si>
  <si>
    <t>Number 10-00 OCBC Centre East</t>
  </si>
  <si>
    <t>049514</t>
  </si>
  <si>
    <t>+65 6826 7377</t>
  </si>
  <si>
    <t>Oversea-Chinese Banking Corporation</t>
  </si>
  <si>
    <t>41439-61P</t>
  </si>
  <si>
    <t>Wesley Goldstein</t>
  </si>
  <si>
    <t>Mr. Wesley Goldstein serves as a General Partner at Kilonova Capital. He was a Founder and served as Chairman at Judex. He serves as a Board Member at FlexEnable. He serves as an Advisor at Above Data. He serves as an Advisory Board Member at Mobility Impact Partners. He served as a Board Member at Nanosys. He served as an Advisory Board Member at Hobbs &amp; Towne. a special situations fund focused on the private technology sector. Before founding Kilonova Capital, he helped launch both Energy Impact Partners (EIP) and Mobility Impact Partners (MIP), two private equity funds that invest strategically in the energy and transportation sectors, respectively. They collectively manage over $1.7B in assets. at both funds, He was focused on sourcing and evaluating AI and enterprise software companies. Over the last eight years, he has also helped launch three companies in data analytics, microgrid development, and enterprise AI spaces. He has a B.S. in Finance and Economics from Wittenberg University.</t>
  </si>
  <si>
    <t>+1 (415) 963-3835</t>
  </si>
  <si>
    <t>wes@kilonovacap.com</t>
  </si>
  <si>
    <t>106 Lincoln Boulevard</t>
  </si>
  <si>
    <t>Kilonova Capital</t>
  </si>
  <si>
    <t>319429-00P</t>
  </si>
  <si>
    <t>Will Lipscomb</t>
  </si>
  <si>
    <t>Lipscomb</t>
  </si>
  <si>
    <t>Mr. Will Lipscomb serves as Vice President at Energy Impact Partners. Prior to joining EIP, he worked as an Investment Banking Analyst at Nomura Greentech for two years, where he advised a broad range of climate technology companies on M&amp;A and capital raises. He graduated from Texas A&amp;M University with a B.S. in Chemical Engineering and a Master's in Finance.</t>
  </si>
  <si>
    <t>lipscomb@energyimpactpartners.com</t>
  </si>
  <si>
    <t>201 Mission</t>
  </si>
  <si>
    <t>240790-42P</t>
  </si>
  <si>
    <t>Yoachim Haynes</t>
  </si>
  <si>
    <t>Yoachim</t>
  </si>
  <si>
    <t>Haynes</t>
  </si>
  <si>
    <t>Mr. Yoachim Haynes serves as Senior Vice President of Strategy at Energy Impact Partners. He served as Manager, Consulting at Cleantech Group. He has 10 years of experience working with startups, corporations and governments in the energy and climate space. He led the corporate innovation programs at Cleantech Group as a consulting manager where he developed the strategy for, launched, and operated multiple corporate venturing programs, including multi-stakeholder pilot project processes and CVCs. He also delivered clean technology market assessments, market entry strategy and other climate impact projects for governments and corporations. His clients in North America, Europe, and Asia operated across a diverse set of industries including heavy industry (e.g., steel, oil and gas, cement), power generation, real estate, agriculture, mobility and FMCG. He has a Bachelor of Science in Earth and Environmental Engineering from Columbia University (Cum Laude, C.P. Davis Scholar, Tau Beta Pi). He now lives in London but has spent most of his life in Trinidad and Tobago where he grew up.</t>
  </si>
  <si>
    <t>haynes@energyimpactpartners.com</t>
  </si>
  <si>
    <t>Senior Vice President of Strategy</t>
  </si>
  <si>
    <t>281830-42P</t>
  </si>
  <si>
    <t>Andrew Lackner</t>
  </si>
  <si>
    <t>Lackner</t>
  </si>
  <si>
    <t>Energy Innovation Capital</t>
  </si>
  <si>
    <t>Mr. Andrew Lackner serves as Managing Director at Energy Innovation Capital. He serves as Executive at EIC Rose Rock. He has over 20 years of experience in venture capital, strategy consulting, and corporate innovation. Previously, he led Accenture Bloom Capital, a program focused on expanding Accenture's access to capital to assist with the launch of Fortune 500 incubated new ventures. He also worked for ten years at GE where he helped establish the energy venture capital team.</t>
  </si>
  <si>
    <t>+1 (985) 951-7820</t>
  </si>
  <si>
    <t>andrew.lackner@eicfunds.com</t>
  </si>
  <si>
    <t>40263-58P</t>
  </si>
  <si>
    <t>Anthony Bontrager</t>
  </si>
  <si>
    <t>Bontrager</t>
  </si>
  <si>
    <t>Mr. Anthony Bontrager serves as Managing Director at WestRiver Group. Mr. Bontrager founded &amp; served as Chief Executive Officer at Broadstream Communications. He oversees the firm's technology-related equity investments. He sits on the boards of WestRiver Group portfolio companies Groopit, Tagboard, QorusDocs, PTO Exchange, and Tectonic Audio Labs. He served as an Advisor at Two Sigma Ventures. Other investments include Pioneer Square Labs Studio III, Madrona Venture Labs III, Viewpath, and The Riveter. Prior board roles include CHEQ (acquired by Cantaloupe), Wicket Labs (acquired by Brightcove), and Igneous Systems (acquired by Rubrik). Before joining WestRiver Group, he founded and served as Chief Executive Officer at Soda Media, Inc. an advisory firm supporting family offices with their venture portfolios. Before Soda Media, he served as President of Onecast. Earlier in his career, he was co-founder and CEO of Broadstream Communications, where he created the telco industry's first outsourced IPTV head-end service utilizing the MPEG-4 encoding standard. During his tenure, he established the first content transport and licensing agreements to deliver live and on-demand video over IP networks with companies such as Disney, NBC-Universal, FOX, Discovery, Viacom/MTV, and others. In addition, he negotiated $36 million in capital and infrastructure funding from various investors, including the world's largest satellite operator, Intelsat. He has more than 25 years of diversified experience and has been involved in over $600 million worth of venture funding, content syndication, strategic acquisitions, and partnerships within the media, software, and wireless industries. He holds a bachelor's degree in Business Administration with a concentration in Finance from Seattle University. He is a former member of the Academy of Television Arts &amp; Sciences and a co-author of Washington State's Wireless Siting Policy.</t>
  </si>
  <si>
    <t>+1 (425) 952-3950</t>
  </si>
  <si>
    <t>anthony@wrg.vc</t>
  </si>
  <si>
    <t>920 5th Avenue</t>
  </si>
  <si>
    <t>Suite 3450</t>
  </si>
  <si>
    <t>+1 (425) 952-9801</t>
  </si>
  <si>
    <t>WestRiver Group</t>
  </si>
  <si>
    <t>101823-58P</t>
  </si>
  <si>
    <t>Chad Gardner</t>
  </si>
  <si>
    <t>Mr. Chad Gardner serves as Chief Financial Officer &amp; Managing Director at Energy Innovation Capital. Mr. Chad Gardner served as Vice President, Finance at Modumetal. He served as Director at ConocoPhillips Technology Ventures.</t>
  </si>
  <si>
    <t>chad.gardner@eicfunds.com</t>
  </si>
  <si>
    <t>215893-81P</t>
  </si>
  <si>
    <t>Christopher Smith</t>
  </si>
  <si>
    <t>Mr. Christopher Smith serves as Managing Director at Energy Innovation Capital. He serves as Board Member at Orbital Sidekick. He serves as a Board Member at Aurora Hydrogen. Mr. Smith leverages more than 20 years of experience in the global energy and industrial markets to invest and advise on technology development. Mr. Smith focuses on the application of digital technology for industry and is not afraid of hard science and hardware. Before joining EIC, Mr. Smith held executive and advisory roles at three San Francisco-based technology startups. Prior, Mr. Smith was a Managing Director of DuPont's strategy and operations management consulting firm, leading the global Energy &amp; Operations practices. Mr. Smith has held business and operational leadership roles in DuPont's electronics and specialty chemicals businesses. Mr. Smith holds a degree in Chemical Engineering from the University of Delaware's top 10 ranked programs.</t>
  </si>
  <si>
    <t>christopher.smith@eicfunds.com</t>
  </si>
  <si>
    <t>13054-15P</t>
  </si>
  <si>
    <t>Curtis Huff JD</t>
  </si>
  <si>
    <t>Mr. Curtis Huff is an Angel Investor. Mr. Huff serves as Chairman at Impact Fluid Solutions. He serves as Board Member at Flocean. He served as Board Member at Houston Food Bank. He also serves as an Advisor at Energy Innovation Capital. He served as Chief Executive Officer at Impact Fluid Solutions. He was a Co-Founder at Intervale Capital. He was the Founder and served as Chairman &amp; Chief Executive Officer at Freebird Partners. He has over ten years of operating and financial experience in public oilfield services and in private equity. Prior to beginning his private equity career in 2002, he spent five years in senior executive positions in the oilfield services sector. Most recently, he served as President and CEO of Grant Prideco, a provider of oilfield services with over $1.5 billion in revenue. Prior to Grant Prideco, he served as Executive Vice President and CFO of Weatherford International (NYSE:WFT) a provider of oilfield services with over $7 billion in revenue. He also serves as a Director at Patterson-UTI Energy (NASDAQ:PTEN) a provider of drilling services with over $2 billion in revenue. Previously, he was a Partner at Fulbright &amp; Jaworski, where he specialized in M&amp;A and securities law. He is Chief Executive Officer of Impact Fluid Solutions.</t>
  </si>
  <si>
    <t>+1 (713) 913-4316</t>
  </si>
  <si>
    <t>2800 Post Oak Boulevard</t>
  </si>
  <si>
    <t>Suite 2000</t>
  </si>
  <si>
    <t>+1 (713) 961-0361</t>
  </si>
  <si>
    <t>Curtis Huff</t>
  </si>
  <si>
    <t>146492-29P</t>
  </si>
  <si>
    <t>David Clouse</t>
  </si>
  <si>
    <t>Clouse</t>
  </si>
  <si>
    <t>Mr. David Clouse serves as Managing Director at Energy Innovation Capital. He serves as Managing Director at EIC Rose Rock. He also served as Venture Principal at BP Ventures. He has 15 years of experience in the oil and gas industry with a focus on biofuels and alternative energy. He has spent the last 5 years developing his entrepreneurial skills within BP Ventures. He enjoys whiteboarding new business ideas and creating new low-carbon businesses within BP. He sits on the boards of Carbonfree and Monumental. He holds a BA in Economics and a Master's in Entrepreneurship.</t>
  </si>
  <si>
    <t>+1 (281) 513-5569</t>
  </si>
  <si>
    <t>david.clouse@eicfunds.com</t>
  </si>
  <si>
    <t>Tulsa</t>
  </si>
  <si>
    <t>Tulsa, OK</t>
  </si>
  <si>
    <t>96179-77P</t>
  </si>
  <si>
    <t>Dharmesh Mehta</t>
  </si>
  <si>
    <t>Mr. Dharmesh Mehta serves as Advisor at Energy Innovation Capital. He served as Vice President, Production Systems at Weatherford International.</t>
  </si>
  <si>
    <t>+1 (814) 938-9662</t>
  </si>
  <si>
    <t>dharmesh@mehtafamilyfoundation.org</t>
  </si>
  <si>
    <t>13055-32P</t>
  </si>
  <si>
    <t>George Coyle</t>
  </si>
  <si>
    <t>Coyle</t>
  </si>
  <si>
    <t>Mr. George Coyle serves as Managing Partner at Energy Innovation Capital. He serves as Exceutive at EIC Rose Rock. He served as a Board Member at Ingu and Blue Spark. He served as a Board Member at Kelvin. He serves as a Board Member at Fluence Analytics and Streamline Innovations. Previously, he served as Board Member at Titus Industrial. He also served as a Board Member at BiSN. He is one of the longest-tenured venture capital investors in the Energy technology industry. He founded and led three corporate venture capital groups: ConocoPhillips Technology Ventures Investments, Energy Technology Ventures, and Chevron Technology Ventures, the longest-running corporate venture capital program in the Energy industry. He served as the President and CEO of DeepFlex Inc., a VC-backed energy tech company. He previously worked in Exploration &amp; Production leadership roles at Chevron. He also served as Board Member at Skyonic. He holds an MBA from Tulane University, a M.S. in Geophysics from the University of Kansas, and a B.S. in Earth Sciences from the University of New Orleans. He serves as Board Member at ConXtech.</t>
  </si>
  <si>
    <t>george.coyle@eicfunds.com</t>
  </si>
  <si>
    <t>316933-75P</t>
  </si>
  <si>
    <t>Gregg Rotenberg</t>
  </si>
  <si>
    <t>Gregg</t>
  </si>
  <si>
    <t>Rotenberg</t>
  </si>
  <si>
    <t>Mr. Gregg Rotenberg serves as Chairman at Kairos Aerospace. Mr. Rotenberg served as Chief Executive Officer at Kairos Aerospace. He is a 15+ year veteran of the clean-technology industry, passionate about building great teams that can materially impact climate change. His goal is to help Insight M become one of the most trusted companies in the energy sector. The company's cutting-edge technology and data-driven insights enable clients to optimize the profit of their methane mitigation programs and demonstrate superior emissions performance relative to their peers. Through 2021, he served as CEO of Smart Wires, a company that completed its public offering in May 2021 and won "Grid Innovation of the Decade" by the World Economic Forum. Prior to this role, he launched and ran the Renewable Power Group at Chevron, producing earnings that exceeded Chevron's targets by 300% and achieving annual investment returns of 30%. At Chevron, he led the EPC and investment of over 200 MW of utility-scale solar and geothermal projects. Earlier in his career, he co-led the development of a new energy consulting practice at one of the world's largest energy firms and was a cofounder of a consulting firm launched by three Harvard Business School professors that provides strategic guidance to valuable technology firms. He holds an MBA with highest honors from Northwestern's Kellogg School and a Bachelor's degree from the Wharton School, graduating magna cum laude.</t>
  </si>
  <si>
    <t>+1 (832) 857-0290</t>
  </si>
  <si>
    <t>gregg.rotenberg@kairosaerospace.com</t>
  </si>
  <si>
    <t>928 Benecia Avenue</t>
  </si>
  <si>
    <t>94085</t>
  </si>
  <si>
    <t>Executive Chairman</t>
  </si>
  <si>
    <t>Insight M</t>
  </si>
  <si>
    <t>212716-54P</t>
  </si>
  <si>
    <t>Jennifer Rowland</t>
  </si>
  <si>
    <t>Ms. Jennifer Rowland serves as Chief Financial Officer at Pellucere Technologies. She served as Vice President, Investments &amp; Operations at Enerstream Capital Partners. She serves as an Operating Partner at Energy Innovation Capital. She served as Chief Financial Officer at Zalat Pizza. She has studied at the University of Pennsylvania. Prior to joining Pellucere, she worked as the CFO for a Dallas-based restaurant group. She is also a former Vice President of Goldman Sachs where she worked in the Commodities Structure Finance Group in New York City focusing on Energy. Prior to working in the Structured Finance Group, she ran the North American Physical and Structured Oil trading book. She received her MBA and BSc from The Wharton School at the University of Pennsylvania. She is also an Alumnae of Deerfield Academy.</t>
  </si>
  <si>
    <t>2015438274</t>
  </si>
  <si>
    <t>jennifer.rowland@pellucere.com</t>
  </si>
  <si>
    <t>Pellucere Technologies</t>
  </si>
  <si>
    <t>281839-42P</t>
  </si>
  <si>
    <t>Jesse Hejny</t>
  </si>
  <si>
    <t>Hejny</t>
  </si>
  <si>
    <t>Mr. Jesse Hejny serves as Advisor at Energy Innovation Capital.</t>
  </si>
  <si>
    <t>38163-79P</t>
  </si>
  <si>
    <t>Joaquin Fernandez-Silva</t>
  </si>
  <si>
    <t>Fernandez-Silva</t>
  </si>
  <si>
    <t>Mr. Joaquin Fernandez-Silva is a Co-Founder and serves as Chief Executive Officer of Emerging Infrastructure Capital Partners. He serves as Board Member &amp; Advisor at CNIguard. He also serves as a Partner at Energy Innovation Capital. He also served as Vice President at Digital Coast Partners. Joaquin Fernandez Silva serves as Executive Vice President of Corporate Development at On-Ramp Wireless, Inc. Prior to Founding On-Ramp Wireless, he was a co-founder of Ostendo Technologies Inc. where he served as President and Chief Operating Officer. Prior to Ostendo, he served as a Vice President at the investment banking firm Montgomery &amp; Co. He joined Montgomery &amp; Co. in April 2001. Prior to that, he was the Co-Founder and served as Chief Operating Officer of AccelerateTV. Earlier in his career, he was an officer in the United States Air Force. He serves as Director of On-Ramp Wireless, Inc. Mr. Silva has an MBA from the University of California, Los Angeles, and a BS in Management from the United States Air Force Academy.</t>
  </si>
  <si>
    <t>+1 (858) 592-6008</t>
  </si>
  <si>
    <t>joaquin.silva@eicfunds.com</t>
  </si>
  <si>
    <t>Orinda</t>
  </si>
  <si>
    <t>Orinda, CA</t>
  </si>
  <si>
    <t>4 Orinda Way</t>
  </si>
  <si>
    <t>Suite 240-B</t>
  </si>
  <si>
    <t>94563</t>
  </si>
  <si>
    <t>340392-61P</t>
  </si>
  <si>
    <t>John Freer</t>
  </si>
  <si>
    <t>Freer</t>
  </si>
  <si>
    <t>Advisor &amp; Operating Partner</t>
  </si>
  <si>
    <t>Mr. John Freer serves as Operating Partner and Advisor at Energy Innovation Capital. He serves as Board Member at Fluid Efficiency. He serves as an Executive at EIC Rose Rock. He supports the EIC team by providing expert technology and operating perspectives at the screening, pipeline, diligence, and portfolio stages of the investment cycle. Previously, he was the executive leader of GE's manufacturing research organization, and a founding team member &amp; technology lead for GE Ventures' energy and advanced manufacturing practice areas. He has extensive experience in board, observer, and advisory roles, participating in more than 75 energy venture transactions over 13 years. He is often called upon to organize &amp; lead multi-disciplinary teams in solving complex technical &amp; operating challenges in energy venture, renewable energy, and semiconductor domains. He holds a Master of Business Administration from Rensselaer Polytechnic Institute, a Masters of Engineering from Tufts, and a Bachelor of Engineering from Rensselaer Polytechnic Institute. He is a licensed Professional Engineer, private pilot, and co-inventor on 6 patents in advanced manufacturing.</t>
  </si>
  <si>
    <t>john.freer@eicfunds.com</t>
  </si>
  <si>
    <t>Fifth Floor, 100 South Cincinnati Avenue</t>
  </si>
  <si>
    <t>Suite 512</t>
  </si>
  <si>
    <t>74103</t>
  </si>
  <si>
    <t>EIC Rose Rock</t>
  </si>
  <si>
    <t>13055-50P</t>
  </si>
  <si>
    <t>John Hanten</t>
  </si>
  <si>
    <t>Hanten</t>
  </si>
  <si>
    <t>Mr. John Hanten serves as Operating Partner and Advisor at Energy Innovation Capital. He serves as Board Member at Ingu Solutions. He was a Board Observer at Amphora and has previously served as Board Member at Silixa. He is a retired Venture Executive from Chevron Technology Ventures. He was responsible for identifying and executing venture capital investments in companies that have technology beneficial to Chevron, and assisting in the introduction and deployment of the technology. He has over 35 years of O&amp;G industry experience. He is currently a Rice Alliance Advisory Board member and is active in HTC Energy events. He has a BS in Earth Sciences from the University of Minnesota Duluth, an MS in Geophysics from Purdue University (Phi Kappa Phi), and an MBA from St. Mary's College.</t>
  </si>
  <si>
    <t>john.hanten@eicfunds.com</t>
  </si>
  <si>
    <t>Operating Partner &amp; Advisor</t>
  </si>
  <si>
    <t>31073-23P</t>
  </si>
  <si>
    <t>Kevin Skillern</t>
  </si>
  <si>
    <t>Skillern</t>
  </si>
  <si>
    <t>Mr. Kevin Skillern serves as Managing Partner at Energy Innovation Capital. Mr. Skillern serves as an Board Observer at Relectrify. He serves as an Executive at EIC Rose Rock. Previously, he served as Vice President at GE Energy Financial Services. He serves as a Board Member at Biota, ConXtech, Moleaer, and Ocean Aero. He is also a Co-Founder and serves as Advisor at Emerging Infrastructure Capital Partners. He also served as a Board Member at Flowcastings. He received an MBA from Stanford, and a Bachelor of Science in Electrical Engineering from the University of Texas at Austin, where he graduated with highest honors. He is an Angel Investor.</t>
  </si>
  <si>
    <t>kevin.skillern@eicfunds.com</t>
  </si>
  <si>
    <t>283974-22P</t>
  </si>
  <si>
    <t>Marc Rowland</t>
  </si>
  <si>
    <t>Mr. Marc Rowland serves as Advisor at Energy Innovation Capital.</t>
  </si>
  <si>
    <t>16555-69P</t>
  </si>
  <si>
    <t>Mark Wilson</t>
  </si>
  <si>
    <t>Mr. Mark Wilson is the Founder &amp; serves as Managing Partner at Derby Partners. Mr. Mark Wilson serves as Founder &amp; Managing Partner at Derby Partners. He also serves as an Advisor at Energy Innovation Capital. He has served as Managing Partner since he founded the company. He co-founded Dover Energy and has served as Chief Executive Officer, President and Chairman since 2012. He also served as Chief Executive Officer, President and Chairman at NorthStar Energy from 2009 until the sale of the company in 2020. Prior to co-founding Dover, he co-founded Coronado Resources (a North America-focused unconventional resource E&amp;P company) and served as Chief Executive Officer, President and Chairman in 2004 through its sale in 2009. Prior to co-founding Coronado, he served as Senior Vice President of Corporate Development and Planning for The Williams Companies from 2002-2004. He served as Vice President of Corporate Development for Williams from 2000-2002. From 1997 to 2000, he served as Senior Vice President, Corporate Development, Koch Petroleum Group at Koch Industries and as Managing Director, Koch Investments Group. From 1992 to 1997, he was a Senior Management Consultant to the energy industry at Arthur D. Little, Inc. and Booz-Allen &amp; Hamilton, Inc. where he led teams in mergers and acquisitions, strategy development, change management and process improvement. From 1989 to 1990, he worked at ConocoPhillips, Inc. as a refinery process engineer in North American Refining. He has a B.S. in Chemical Engineering from Oklahoma State University and an MBA from Harvard Business School.</t>
  </si>
  <si>
    <t>mwilson@derbypartners.com</t>
  </si>
  <si>
    <t>Dover Energy</t>
  </si>
  <si>
    <t>60581-53P</t>
  </si>
  <si>
    <t>Michael Allman</t>
  </si>
  <si>
    <t>Mr. Michael Allman serves as Chairman at mCloud Technologies. Mr. Allman serves as Chairman at Verdant Earth Technologies. He co-founded and served as Chief Executive Officer and President at Voterfied. He serves as Chairman &amp; Chief Executive Officerr at Pacific Integrated Energy. He is a highly-accomplished Chief Executive Officer and Chairman, with extensive experience in growing, restructuring, and optimizing business strategies and operations for Fortune 300 companies and top-tier consulting firms around the world. He was recently the COO of Bitstew, a leading IoT cloud company acquired by GE Digital. He previously served as President and CEO of Southern California Gas Company. He serves as Board Member at YouSolar. He served as Board Member at EV Connect. He serves as an Advisor and Chief Financial Officer at Quantum Pigeon. He serves as Chief Executive Officer and Board Member at Ocean Aero. He served as Board Member at Blue Earth. He also serves as the Chairman at H2scan. He also serves as Board Member at NarrativeWave. He serves as an Advisor at Energy Innovation Capital. From 2006 to 2010, he was the President and Chief Executive Officer of Sempra Generation, a leading provider of wind and solar renewable power in the United States. While leading the Sempra Generation, he pioneered the utility-scale solar photovoltaic industry and built the largest solar PV installations in the world while setting new low price points for solar-generated electricity. From 1998 to 2006, he served in various executive roles for Sempra Energy, including Vice President of Corporate Planning and Development, President of Sempra Ventures, Vice President of Audit Services and Chief Internal Auditor, and Chief Financial Officer for Sempra's Global operations. Prior to joining Sempra Energy, he spent 11 years as an international management consultant for LEK Consulting and The Alcar Group, with postings in Chicago, Johannesburg, London, and Los Angeles. He holds a Master's degree in Business Administration from the University of Chicago Booth School of Business with a Specialization in Finance and a Bachelor's degree in Chemical Engineering from Michigan State University. He is a Certified Management Accountant and Certified Internal Auditor. He served as Board Member at Endurance Wind Power. He is an accomplished Chief Executive Officer, Board Member and investor with a proven record of optimising businesses in the energy and technology sectors through leadership, strategy, and innovation. He has extensive experience within Fortune 300 companies and top-tier consulting firms around the world and particularly in the U.S. market.</t>
  </si>
  <si>
    <t>+1 (866) 420-1781</t>
  </si>
  <si>
    <t>510 Burrard Street</t>
  </si>
  <si>
    <t>V6C 3A8</t>
  </si>
  <si>
    <t>mCloud Technologies</t>
  </si>
  <si>
    <t>27534-61P</t>
  </si>
  <si>
    <t>Paul Dickerson JD</t>
  </si>
  <si>
    <t>Dickerson</t>
  </si>
  <si>
    <t>Mr. Paul Dickerson serves as Chief Operating Officer &amp; Managing Director at Energy Innovation Capital. Mr. Dickerson serves as Advisor at Retroficiency. He also serves as a Member at Mintz. He has advised venture capital and private equity investors, along with their portfolio companies, across all industries as they seek to scale their businesses. He holds JD (Doctor of Law) degree in Energy from South Texas College of Law and BBA (Bachelor of Business Administration) in Accounting from University of Texas, Austin.</t>
  </si>
  <si>
    <t>+1 (617) 542-6000</t>
  </si>
  <si>
    <t>paul.dickerson@eicfunds.com</t>
  </si>
  <si>
    <t>63914-05P</t>
  </si>
  <si>
    <t>Rajan Gupta</t>
  </si>
  <si>
    <t>Rajan</t>
  </si>
  <si>
    <t>Mr. Rajan Gupta serves as Senior Managing Director at Energy Innovation Capital. He serves as Board Member at Relectrify. Mr. Gupta serves as Board Member at ConnectDER. He served as Vice President at GE Capital. He also serves as Board Member at Titan Advanced Energy Solutions. He is a senior member of the GE Equity team and leads the origination, structuring, and execution of growth capital investments and buy-out transactions across a wide range of industries. His industry experience spans technology, software, communications, media, energy, and renewables. He has over 15 years of investment transaction experience and has completed more than $50 Billion of transactions. He has served as GE's representative on the Boards of several of its portfolio investments. From 2010 to 2012, he served as a senior member of Energy Technology Ventures, a joint venture formed by GE, NRG Energy, and ConocoPhillips focused on investing in energy technology companies. Before joining the GE Equity team in 2007, he spent 4 years in GE's Structured Financing Group executing financing transactions and managing a $500 MM+ portfolio of investments including structured equity, senior debt, leases, project financings, and partnership investment interests. His responsibilities included maximizing returns through restructurings, recapitalization, and sales of positions. Before joining GE, he was an investment banker with Lehman Brothers in New York, serving as a Vice President in its Communications &amp; Media Group. During his 5 years at Lehman Brothers, he executed a wide variety of M&amp;A and corporate financing transactions in the communications and media sectors. Earlier in his career, he was a management consultant with Booz Allen &amp; Hamilton in New York. At Booz Allen, he focused on providing strategy and operations consulting services to clients in the technology, media, and telecom industries. He holds an MBA degree from the Ross School of Business at the University of Michigan, Ann Arbor, and a B.S. degree in Electrical Engineering from Cornell University. He is an Angel Investor.</t>
  </si>
  <si>
    <t>+1 (925) 386-7226</t>
  </si>
  <si>
    <t>rajan.gupta@eicfunds.com</t>
  </si>
  <si>
    <t>121354-84P</t>
  </si>
  <si>
    <t>Robert Lukefahr</t>
  </si>
  <si>
    <t>Lukefahr</t>
  </si>
  <si>
    <t>Mr. Bob Lukefahr serves as Chief Executive Officer at Pellucere Technologies. He served as President at BP Alternative Energy. He co-founded Nat G CNG Solutions and served as its Co-Chief Executive Officer and Board Member. He also serves as a Venture Partner at Energy Innovation Capital. He is a twenty-year veteran of the Energy industry, former Chief Executive Officer at Tessera Solar, and President at BP Wind Energy and BP Power Americas. He also served as Head of Strategy for BP's Gas Power &amp; Renewables Segment and its Integrated Supply &amp; Trading business. Before joining BP, he was a partner at the strategy-consulting firm Booz Allen Hamilton (now part of PWC). He is a veteran of the US Air Force and has served on several boards, including the American Wind Energy Association. He is an active member of Ecclesia Houston and is also active in the Kairos Prison Ministry for the Huntsville Unit and the Eastham Unit. He holds an MBA from The Wharton School of Business at the University of Pennsylvania with concentrations in finance and operations management and a B.A from the University of North Carolina at Chapel Hill. He has served as CEO for several growth stage companies including ConXtech, Tessera Solar, Nat G CNG Solutions, and as President of BP's Wind Energy and North American Power business unit. He has more than 25 years in senior strategy and executive roles in the energy industry.</t>
  </si>
  <si>
    <t>+1 (833) 780-8800</t>
  </si>
  <si>
    <t>bob.lukefahr@pellucere.com</t>
  </si>
  <si>
    <t>Albany, OR</t>
  </si>
  <si>
    <t>2987 Ferry Street South-West</t>
  </si>
  <si>
    <t>97322</t>
  </si>
  <si>
    <t>71286-76P</t>
  </si>
  <si>
    <t>Robert Thomas</t>
  </si>
  <si>
    <t>Mr. Robert Thomas serves as Partner at Apis Holdings. He served as Chief Investment Officer at George Kaiser Family Foundation. He served as an Advisor at EIC Rose Rock. He serves as Chairman of the Board at VeriNovum. He is responsible for the financial administration and management of the George Kaiser Family Foundation's investment portfolio. Before joining the Foundation, he was a Portfolio Manager for the Bill Gates investment office. He also serves as an Advisor at Energy Innovation Capital. The Gates office invests the personal assets of Mr. Gates as well as the assets of the Bill &amp; Melinda Gates Foundation. He also serves as the Board Member at The Zero Card. He is currently the Board Chair for both City Year Tulsa and Undercroft Montessori School. Mr. Thomas earned a Bachelor of Arts degree in economics from Claremont McKenna College magna cum laude and is a chartered financial analyst (CFA) charterholder. He served as Board Member at Memjet.</t>
  </si>
  <si>
    <t>100 South Cincinnati Avenue</t>
  </si>
  <si>
    <t>Apis Holdings</t>
  </si>
  <si>
    <t>88335-46P</t>
  </si>
  <si>
    <t>Sanjay Bhatia</t>
  </si>
  <si>
    <t>Mr. Sanjay Bhatia serves as Advisor at Energy Capital Group. He is a Co-Founder, Strategy and Business Improvement of Evolve Collective. He served as Vice President, Corporate Development at FMC Technologies. Mr. Sanjay Bhatia also serves as Vice President, Corporate Development at FMC. He serves as an Advisor at Energy Innovation Capital. He was appointed Vice President in October 2012 and is responsible for strategy development and planning, business development, and mergers and acquisitions.</t>
  </si>
  <si>
    <t>+1 (713) 303-1013</t>
  </si>
  <si>
    <t>sanjay@evolve-collective.com</t>
  </si>
  <si>
    <t>Spring</t>
  </si>
  <si>
    <t>Spring, TX</t>
  </si>
  <si>
    <t>350 Nursery Road</t>
  </si>
  <si>
    <t>Suite 5102</t>
  </si>
  <si>
    <t>77380</t>
  </si>
  <si>
    <t>Co-Founder, Strategy and Business Improvement</t>
  </si>
  <si>
    <t>Evolve Collective</t>
  </si>
  <si>
    <t>70835-95P</t>
  </si>
  <si>
    <t>Vikki Dunn</t>
  </si>
  <si>
    <t>Ms. Vikki Dunn serves as Advisor, Chief Information Officer &amp; Chief Marketing Officer at Critica Infrastructure. She also serves as an Operating Partner and Advisor at Energy Innovation Capital and Business Advisor, Strategy and Marketing at Strategic Growth Advisors Pvt. Ltd. She previously served as Advisor, EVP, Strategic Marketing and Communications at CSA Group as Chief Marketing Officer at GE Oil &amp; Gas, GM Strategic Marketing and Communications at Shell and Marketing Manager at Compaq Computer Corporation. She has more than 30 years of experience executing growth strategies in energy, industrial markets, computing, and telecommunications. She drives growth through understanding market needs, commercializing differentiated value propositions, and delivering stakeholder engagement and communications plans that build brands and enhance reputation. She completed the Executive Leadership Program at IMD in Lausanne, Switzerland, and holds a B.S. degree in Engineering from Southern Methodist University in Dallas.</t>
  </si>
  <si>
    <t>+1 (281) 915-0752</t>
  </si>
  <si>
    <t>vdunn@cs-nri.com</t>
  </si>
  <si>
    <t>2500 East T.C. Jester</t>
  </si>
  <si>
    <t>Suite Number 500</t>
  </si>
  <si>
    <t>77008</t>
  </si>
  <si>
    <t>Adviser &amp; Chief Information Officer &amp; Chief Marketing Officer</t>
  </si>
  <si>
    <t>Critica Infrastructure</t>
  </si>
  <si>
    <t>281834-29P</t>
  </si>
  <si>
    <t>Yucen Xie</t>
  </si>
  <si>
    <t>Yucen</t>
  </si>
  <si>
    <t>Mr. Yucen Xie serves as Senior Principal at Energy Innovation Capital. He serves as a Board Member at Kelvin (Business/Productivity Software). His experience spans energy, technology, strategy, and operations. Prior to EIC, he was a Project Leader at Boston Consulting Group, where he led and executed digital, private equity, strategy, and operations projects for energy, tech, and healthcare clients. He was also a project engineer at Aera Energy, where he managed the engineering, construction, and commissioning of upstream facilities projects. He has a passion for the intersection of technology, strategy, and operations, and developed and piloted patent-pending machine learning algorithms as part of the Leaders for Global Operations program at MIT. He holds an MBA and MS in Chemical Engineering from MIT and graduated summa cum laude from UCLA with a BS in Chemical Engineering.</t>
  </si>
  <si>
    <t>+1 (626) 380-5587</t>
  </si>
  <si>
    <t>yucen.xie@eicfunds.com</t>
  </si>
  <si>
    <t>42126-31P</t>
  </si>
  <si>
    <t>Craig Lawrence Ph.D</t>
  </si>
  <si>
    <t>Energy Transition Ventures</t>
  </si>
  <si>
    <t>Dr. Craig Lawrence is a Co-Founder &amp; serves as Partner at Energy Transition Ventures. He has served in venture capital, engineering, product, and executive roles across his 25-year career. Craig led energy investing at leading Silicon Valley venture fund Accel Partners during the heart of the "first wave" of cleantech venture capital. During that period, Accel had one of the highest success rates in cleantech of any major Silicon Valley VC, investing in early-stage cleantech companies, with exits from SunRun (NASDAQ: RUN), now the leading residential solar provider in the US, and OPower (NYSE: OPWR, acquired by NYSE: ORCL), the leading energy efficiency software and service provider to utilities. Craig has held senior executive roles at leading companies driving the energy transition, including Vice President of Products at energy analytics software startup Treverity, Vice President of Product Management and Marketing at SolarBridge Technologies - one of the leading residential solar inverter manufacturers (acquired by NASDAQ: SPWR), and General Manager of Residential Solar at SunEdison, one of the pioneers in solar project development and financing. Craig began his career as a design engineer and then served as a Practice Lead at IDEO, a global design, engineering, and innovation firm helping clients across multiple industries launch innovative products and services. Craig created and led IDEO's energy practice, advising many of the leading energy tech startups on their product launches. Craig is an inventor on patents ranging from portable fuel cells to office furniture. Craig holds a B.S. in Engineering from The University of Texas at Austin and an M.S. and Ph.D. from Stanford University. He is an Angel Investor.</t>
  </si>
  <si>
    <t>+1 (650) 766-5563</t>
  </si>
  <si>
    <t>craig@energytransitionvc.com</t>
  </si>
  <si>
    <t>Partner &amp; Co-Founder</t>
  </si>
  <si>
    <t>89187-13P</t>
  </si>
  <si>
    <t>Deborah Merril</t>
  </si>
  <si>
    <t>Merril</t>
  </si>
  <si>
    <t>Ms. Deborah Merril serves as Advisor at Energy Transition Ventures. She served as Director &amp; Advisor at Just Energy Group. She currently runs the retail and C&amp;I business for EDF Energy in the US, previously served on the board of Ecobee, and co-founded Just Energy after beginning her career at Enron as Vice President of Enron Energy Services. Previously she served as Co-Chief Executive Officer, Co-President, and Board Member at Just Energy Group. She has been an officer of Just Energy since 2007. With more than 22 years of experience in the retail energy industry, Ms. Merril was appointed to her current role of Co-President and Co-Chief Executive Officer of Just Energy in April 2014. Prior to this, she led the organization's Commercial business as President of Hudson Energy Services. She was appointed a director of Just Energy in 2015. Ms. Merril holds an MBA in Economics from Texas A&amp;M University and a BA in Economics from the College of Wooster.</t>
  </si>
  <si>
    <t>+1 (650) 382-2180</t>
  </si>
  <si>
    <t>dmerril@justenergy.com</t>
  </si>
  <si>
    <t>8753 Padfield Street</t>
  </si>
  <si>
    <t>77055</t>
  </si>
  <si>
    <t>Just Energy Group (Former)</t>
  </si>
  <si>
    <t>259956-19P</t>
  </si>
  <si>
    <t>Kyu Ho Song</t>
  </si>
  <si>
    <t>Kyu Ho</t>
  </si>
  <si>
    <t>Mr. Kyu Ho Song serves as a Partner at Energy Transition Ventures. He is an executive and investor in power and renewables, having led a range of investment and strategy efforts for GS Group, one of the largest diversified energy companies in the world, and a limited partner in ETV. He sits on the investment committee of Energy Transition Ventures in its Houston office and works closely with the GS Group corporate venture arms at GS Futures and GS Energy. He served as General Manager at GS Electric Power Solutions, a leading IPP. He helped drive the expansion of GS EPS into the wind and solar, as well as North American and international energy markets. He led the minority investment in and sits on the board of, the 972 MW Linden Cogen in NYISO, GS Group's first power plant investment in North America, as well as its majority investment in Incheon Total Energy, a 206MW CHP and district heating business, and its minority investment in the Baramulti Coal Mine in Kalimantan, Indonesia. Prior to GS EPS, He served as GM of Strategic Planning at GS Energy, overseeing strategies in LiB materials, mobility, and waste-to-energy including its LI battery cathode materials business for EVs, GSEM, the early studies of car-sharing and EV charging at the parking business of GS, GS Park 24, scale-up of WTE facility using plasma gasification, GS Platech, as well as leading its investment and R&amp;D efforts in fuel cells and storage. He joined GS after roles in management consulting at Monitor Group, working on a strategy for F500 customers from consumer products to energy storage. He began his career in M&amp;A at Samsung Securities, before earning an MBA at Northwestern (Kellogg), holds his Bachelors from Yonsei Univ, and is a tournament level Kendo medalist.</t>
  </si>
  <si>
    <t>qsong@energytransitionvc.com</t>
  </si>
  <si>
    <t>31287-52P</t>
  </si>
  <si>
    <t>Neal Dikeman</t>
  </si>
  <si>
    <t>Dikeman</t>
  </si>
  <si>
    <t>Mr. Neal Dikeman serves as a Partner at Energy Transition Ventures. He is a venture capitalist and serial entrepreneur with 9+ startups under his belt, and one of the best seed-stage hit rates in cleantech. He helped launch the CVC fund at Royal Dutch Shell, co-founded 7 tech startups, and co-founded Jane Capital Partners. He has co-founded 7 startups from energy to SaaS, and variously held CEO, VP, CFO, and Chairman roles, including smart grid startups Smart Wires, where he was also CFO of the modular power flow controls startup; and Zenergy Power, a superconducting smart grid technology (IPO). He also launched a solar IPP for Meridian that built one of the 1st utility-scale solar farms in the US. He began his career in private equity, and at Bankers Trust in energy, before learning about startup investing at the parent company behind Yellowpages.com (Acq by AT&amp;T). He maintains one of the largest networks in the sector. He founded and operates Cleantech.org, and has been cited on energy in 100s of publications from Time Magazine to the WSJ. In 2018 he took time off to run for US Senate from TX against Beto O'Rourke and Ted Cruz, winning the Libertarian Party Nomination, and nearly upsetting the race. He holds a B.A. in Economics from Texas A&amp;M.</t>
  </si>
  <si>
    <t>+1 (415) 336-2814</t>
  </si>
  <si>
    <t>neal@energytransitionvc.com</t>
  </si>
  <si>
    <t>American Electric Technologies (Former)</t>
  </si>
  <si>
    <t>58430-80P</t>
  </si>
  <si>
    <t>Ann DeWitt Ph.D</t>
  </si>
  <si>
    <t>DeWitt</t>
  </si>
  <si>
    <t>Dr. Ann DeWitt serves as General Partner at Engine Ventures. She also serves as a Board Member at Lucy Therapeutics. She is also a Co-Founder &amp; serves as Board Member at Nucleate. Besides this, she also serves as a Board Member at Engine Ventures' portfolio companies, Syzygy Plasmonics, Cellino, Kytopen, Quaise Energy, Kano Therapeutics, Syzygy, and Vaxess. She serves as a Member of the Investment Advisory Committee at PRIME Coalition. Previously, she was a Board Member at Copernic, Biobot Analytics, E25Bio, and Mori. She was most recently at Sanofi, where she held senior roles in business development and strategic venture investment. Before Sanofi, she was at Flagship Pioneering. She started her career in R&amp;D at 3M Company, working across fields of materials, biology, and engineering. She holds an MBA from Harvard and a Ph.D. in Chemical Engineering from MIT. She served on the Board of Women in the Enterprise of Science and Technology and is on the Life Science Council of Springboard Enterprises.</t>
  </si>
  <si>
    <t>+1 (617) 546-3920</t>
  </si>
  <si>
    <t>ann@engineventures.com</t>
  </si>
  <si>
    <t>13881-70P</t>
  </si>
  <si>
    <t>Bettina Metais</t>
  </si>
  <si>
    <t>Metais</t>
  </si>
  <si>
    <t>Ms. Bettina Metais serves as Vice President of Investor Relations &amp; Operations at Engine Ventures. She brings over a decade of venture fund operation experience to Engine Ventures. He was most recently Director of Investor Relations and Operations at RockPort Capital, where she was responsible for investor relations, fund operations and marketing. He received her BA and MBA from the Martin Luther University in Halle/Germany and attended the Carlson School of Management at the University of Minnesota under the year-long German academic exchange program.</t>
  </si>
  <si>
    <t>+1 (617) 500-1005</t>
  </si>
  <si>
    <t>bettina@engineventures.com</t>
  </si>
  <si>
    <t>Vice President of Investor Relations &amp; Operations</t>
  </si>
  <si>
    <t>425334-16P</t>
  </si>
  <si>
    <t>Daniel Resnicow Ph.D</t>
  </si>
  <si>
    <t>Resnicow</t>
  </si>
  <si>
    <t>Dr. Daniel Resnicow is a Co-Founder and serves as Vice President of Corporate Strategy and Business Development at Bonito Biosciences. Dr. Resnicow serves as Operating Partner at Engine Ventures. With over fifteen years of hands-on experience at the lab bench, Dan has developed cutting-edge chemical biology platforms that yielded multiple clinical programs, commercial products, and successful M&amp;A exits. He also brings a decade of leadership experience in business development, licensing, corporate strategy, and operations across both startups and global biopharma organizations, helping to scale biotech ventures, drive fundraising, and establish strategic partnerships. Most recently, Dan was the first employee and VP of Corporate Strategy and BD at Bonito Biosciences, and prior to that served as Senior Director of BD&amp;L at BeiGene and X-Chem Pharmaceuticals. Dan holds a Ph.D. from the University of Colorado, Boulder, and a B.S. from Brandeis University.</t>
  </si>
  <si>
    <t>dresnicow@bonitobio.com</t>
  </si>
  <si>
    <t>40 Singletree Road</t>
  </si>
  <si>
    <t>Chestnut Hill</t>
  </si>
  <si>
    <t>02467</t>
  </si>
  <si>
    <t>Bonito Biosciences</t>
  </si>
  <si>
    <t>271682-38P</t>
  </si>
  <si>
    <t>David Foster</t>
  </si>
  <si>
    <t>Mr. David Foster serves as a Board Member, Member of the ESG Committee &amp; Member of the Nominating and Corporate Governance Committee at Kaiser Aluminum. He serves as Founder Advisor at Engine Ventures. Mr. Foster is also a Fellow of the Massachusetts Institute of Technology, working on a three-year research project focused on energy technology and economic development. Mr. Foster previously served as Senior Advisor to the office of the Secretary of the U.S. Department of Energy, a governmental department whose mission is to advance energy technology and promote related innovation in the United States. Mr. Foster also served as executive director of Blue Green Alliance, a strategic national partnership between labor unions and environmental organizations to expand the job-creating potential of the green economy and improve the rights of workers at home and around the world. Before joining Blue Green Alliance, he was a district director of the USW. Mr. Foster is an adjunct faculty member of the University of Minnesota and a member of the board of directors of Evraz North America. Mr. Foster holds a Bachelor of Arts degree in English from Reed College.</t>
  </si>
  <si>
    <t>+1 (949) 614-1740</t>
  </si>
  <si>
    <t>Lake Forest</t>
  </si>
  <si>
    <t>Lake Forest, CA</t>
  </si>
  <si>
    <t>27422 Portola Parkway, Foothill Ranch</t>
  </si>
  <si>
    <t>92610-2831</t>
  </si>
  <si>
    <t>Kaiser Aluminum</t>
  </si>
  <si>
    <t>450345-07P</t>
  </si>
  <si>
    <t>Deepa Rao</t>
  </si>
  <si>
    <t>Deepa</t>
  </si>
  <si>
    <t>Ms. Deepa Rao serves as Associate at Engine Ventures.</t>
  </si>
  <si>
    <t>deepa@engineventures.com</t>
  </si>
  <si>
    <t>208483-12P</t>
  </si>
  <si>
    <t>Fran Barros</t>
  </si>
  <si>
    <t>Fran</t>
  </si>
  <si>
    <t>Barros</t>
  </si>
  <si>
    <t>Executive Officer &amp; Partner</t>
  </si>
  <si>
    <t>Ms. Fran Barros serves as Chief Design Officer and Partner at Engine Ventures. She serves as Board Member at Lilac Solutions. She is a formally trained designer with over 15 years of experience. Before joining, she spent five years at IDEO, where she was a project leader developing brand, strategy, and service design for startups and corporate ventures. At Engine Ventures, she works on overall strategy, and directly with the founders. She holds a BA in Design from Pontificia Universidad Catolica in Chile and a Graduate Degree in Entrepreneurship from Boston University. She serves on the Advisory Board of Women in the Enterprise of Science and Technology.</t>
  </si>
  <si>
    <t>fran@engineventures.com</t>
  </si>
  <si>
    <t>Chief Design Officer &amp; Partner</t>
  </si>
  <si>
    <t>47940-40P</t>
  </si>
  <si>
    <t>Graham Gullans</t>
  </si>
  <si>
    <t>Gullans</t>
  </si>
  <si>
    <t>Mr. Graham Gullans is a Co-Founder and serves as a Partner at Empire Angels. Mr. Gullans serves as Operating Partner at Engine Ventures. He served as Chief Business Officer &amp; Chief Financial Officer at Superpedestrian. He serves as Chief Business Officer at Superpedestrian. He also is a Co-Founder and serves as the Chief Operating Officer at 212Gaming. Before Empire Angels, he was a Vice President at Citigroup. He developed and implemented a quantitative trading strategy, managing $1.5B in a statistical arbitrage equity portfolio. In his early years at Citigroup, he was an equity derivatives trader, solely managing the energy and risk-arbitrage portfolios. He graduated cum laude from the honors program of Boston College with a B.S. in Finance and Information Systems. He serves as a Board Member at Zoomcar India.</t>
  </si>
  <si>
    <t>+1 (646) 660-9409</t>
  </si>
  <si>
    <t>graham@empireangels.com</t>
  </si>
  <si>
    <t>335 Madison Avenue</t>
  </si>
  <si>
    <t>Chief Business Officer &amp; Chief Financial Officer</t>
  </si>
  <si>
    <t>Superpedestrian (Former)</t>
  </si>
  <si>
    <t>50025-97P</t>
  </si>
  <si>
    <t>Israel Ruiz</t>
  </si>
  <si>
    <t>Ruiz</t>
  </si>
  <si>
    <t>Mr. Israel Ruiz serves as a Board Member at Moderna. He also serves as President at Engine Ventures. He serves as a Board Member at Aura Biosciences. He co-founded and served as Chief Executive Officer at WoHo. He served as Executive Vice President, Treasurer, and Chief Financial Officer at the Massachusetts Institute of Technology. He is responsible for leading all of the administrative and financial functions at MIT and working with the President, the Corporation, and members of MIT's senior leadership team to ensure that MIT's financial, capital, and operational resources are optimally deployed in a manner that supports the Institute's academic mission of education and research. He is responsible for financial strategy development, operations, and capital budget planning, debt issuance, and the integrity of financial information.</t>
  </si>
  <si>
    <t>+1 (617) 714-6500</t>
  </si>
  <si>
    <t>israel@engineventures.com</t>
  </si>
  <si>
    <t>325 Binney Street</t>
  </si>
  <si>
    <t>Moderna</t>
  </si>
  <si>
    <t>13739-86P</t>
  </si>
  <si>
    <t>James Matheson</t>
  </si>
  <si>
    <t>Matheson</t>
  </si>
  <si>
    <t>Mr. James Matheson serves as a Special Partner at Engine Ventures. He is a Co-Founder of Patriapps. He also serves as a Board Member at BoodleBox and Center for Women &amp; Enterprise. He served as a Business Advisor at Transamerica. He served as President, Chief Executive Officer, and Board Member at Oasys Water. He served as a General Partner at Flagship Pioneering. He joined Flagship Ventures in 2000 to focus on creating and funding new ventures in the sustainability, clean technology, and special technologies (e.g. nanotechnology, materials, and technology systems) sectors. He has over 20 years of technology and leadership experience across a variety of organizations and roles designing, engineering, and deploying sophisticated technology platforms. He formerly served as a Navy F-14 &amp; FA-18 pilot including duties flying over 200 combat missions from an aircraft carrier, as a TOPGUN Instructor, and leading the Navy's Adversary Program. He also gained broad experience in emerging aircraft &amp; weapons system design, testing, and procurement, and was deeply involved in many of the military's IT modernization initiatives. He serves on the boards of Flagship portfolio companies Mascoma, Novomer, and Oasys Water and previously served as the Chairman of the Board of Selventa. He was previously a director of e-Dialog (acquired by GSI Commerce), Yantra (acquired by Sterling Commerce / SBC), and Flamenco Networks (acquired by SOA Software). He has also spearheaded Flagship Venture's role as the Department of Energy's Entrepreneur-in-Residence at the Lawrence Berkeley National Laboratory. He is on the Board of New York-based hedge fund Black Horse Capital, the National Board of the Clean Tech Open, and is actively involved in numerous entrepreneurial and venture capital organizations including the Department of Energy's Biomass Technical Advisory Committee, CLF (Conservation Law Foundation) Ventures, New England Clean Energy Council &amp; Clean Energy Center, the MIT Enterprise Forum, The Deshpande Center, and The Service Academy Business Network. He has an MBA (Master of Business Administration) from Harvard Business School in 2001 and a BS (Bachelor of Science) in Engineering from the U.S. Naval Academy in 1987.</t>
  </si>
  <si>
    <t>+1 (617) 868-1888</t>
  </si>
  <si>
    <t>jim@engineventures.com</t>
  </si>
  <si>
    <t>Special Partner</t>
  </si>
  <si>
    <t>295536-25P</t>
  </si>
  <si>
    <t>Jay Qu</t>
  </si>
  <si>
    <t>Qu</t>
  </si>
  <si>
    <t>Mr. Jay Qu is a Co-Founder of Synphonic. Mr. Qu served as an Associate at Takeoff Capital. He served as an Associate at Romulus Capital. He serves as Senior Data Analyst at Engine Ventures. He graduated undergrad from Harvard University and is now a fifth-year Ph.D. Candidate in Physics at Stanford, researching at SLAC National Lab in the Stanford Institute for Materials and Energy Sciences.</t>
  </si>
  <si>
    <t>Synphonic</t>
  </si>
  <si>
    <t>450341-02P</t>
  </si>
  <si>
    <t>Jen Lichtman</t>
  </si>
  <si>
    <t>Jen</t>
  </si>
  <si>
    <t>Lichtman</t>
  </si>
  <si>
    <t>Ms. Jen Lichtman serves as General Counsel at Engine Ventures. Prior to joining Engine Ventures, Jen was a corporate attorney at Gunderson Dettmer, an international law firm with an exclusive focus on the innovation economy. Jen began her career as a corporate attorney at the international law firm Foley Hoag. In these capacities, Jen represented emerging growth companies throughout their life cycles, as well as a number of leading venture capital firms. During her years of law firm practice, Jen counseled entrepreneurs and venture capital firms on a variety of matters, including company formation, equity and debt financings, mergers and acquisitions, joint ventures, public offerings, securities law matters, corporate governance, bank credit facilities, employment matters, intellectual property matters and other general business matters. Jen's experience spans a number of industries including biotechnology, healthcare, medical device, clean energy, climate tech, edtech, SaaS, fintech and consumer products, among others. Jen earned a J.D. with honors from Boston College Law School and a B.A. with highest honors from Union College.</t>
  </si>
  <si>
    <t>jen@engineventures.com</t>
  </si>
  <si>
    <t>42005-62P</t>
  </si>
  <si>
    <t>Katie Rae</t>
  </si>
  <si>
    <t>Ms. Katie Rae serves as Chief Executive Officer and Managing Partner at Engine Ventures. She also is a Co-Founder and serves as Managing Director at Project 11 Ventures. She serves as Board Member at Commonwealth Fusion Systems. She serves as an Advisor at Amplifyher Ventures and Databox. She serves as a Board Member and Advisor at Elemental Machines. She serves as a Board Member at Boston Metal, Lilac Solutions, VEIR, Via Separations, Sublime Systems, and Form Energy. She served as an Advisor at TVision. She is an Angel Investor. She also co-founded and served as a Board Member at Startup Institute. She serves as a Board Member for WoHo. She has advised hundreds of founders and invested in over 100 companies. Key investments include Pillpack (acquired by Amazon for $1 billion), Bevi, GrabCad, Synack, Zagster, NBD Nano, Neurala, and Amino. She holds an MBA from Yale and a BA in Biology from Oberlin College.</t>
  </si>
  <si>
    <t>katie@engineventures.com</t>
  </si>
  <si>
    <t>375802-84P</t>
  </si>
  <si>
    <t>Lisa Wood</t>
  </si>
  <si>
    <t>Ms. Lisa Wood serves as Advisory Board Member at Mobility Impact Partners. She is a Founder Advisor at Engine Ventures. She serves as Advisor at Blue Energy (Massachusetts). She is a nationally recognized expert on energy issues and the electric power industry. While at the Edison Electric Institute (EEI) from 2008 to 2023, She served as Vice President of Customer Solutions, Vice President of The Edison Foundation, and the founding Executive Director of EEI's Institute for Electric Innovation (IEI). She currently serves on the Board of Advisors for Mobility Impact Partners, as a Distinguished Associate for the Energy Futures Initiative, and as a Strategic Advisor to VEIR.</t>
  </si>
  <si>
    <t>MA</t>
  </si>
  <si>
    <t>Blue Energy (Alternative Energy Equipment)</t>
  </si>
  <si>
    <t>404686-36P</t>
  </si>
  <si>
    <t>Madeleine Laitz</t>
  </si>
  <si>
    <t>Laitz</t>
  </si>
  <si>
    <t>Ms. Madeleine Laitz serves as Senior Associate at Engine Ventures.</t>
  </si>
  <si>
    <t>madeleine@engineventures.com</t>
  </si>
  <si>
    <t>49790-53P</t>
  </si>
  <si>
    <t>Michael Kearney</t>
  </si>
  <si>
    <t>Kearney</t>
  </si>
  <si>
    <t>Mr. Michael Kearney serves as a General Partner at Engine Ventures. He serves as a Board Member at Sora Fuel, Osmoses and Mantel. He serves as Board Observer at Copernic Catalysts. Previously, he served as Corporate Development Principal at Ambri. He holds a B.A. in Mathematics from Williams College and has earned an M.S. in Technology &amp; Policy from Massachusetts Institute of Technology (MIT).</t>
  </si>
  <si>
    <t>michael@engineventures.com</t>
  </si>
  <si>
    <t>162969-49P</t>
  </si>
  <si>
    <t>Monique Guimond</t>
  </si>
  <si>
    <t>Guimond</t>
  </si>
  <si>
    <t>Ms. Monique Guimond serves as Vice President of Capital Formation at Engine Ventures. She also served as an Associate at Engine Ventures. Before arriving at Sloan, she was one of the first employees at a healthcare design startup focused on building interventions that improved patient outcomes. In her five-year tenure, she set up and built out operations and worked to expand the business model, helping the company grow to over 50 employees and three offices abroad. She holds a B.S. from Georgetown University in Global Health and has spent time conducting research for the Ministry of Health in Uganda. She holds an MBA from MIT Solan.</t>
  </si>
  <si>
    <t>monique@engineventures.com</t>
  </si>
  <si>
    <t>Vice President of Capital Formation</t>
  </si>
  <si>
    <t>253823-68P</t>
  </si>
  <si>
    <t>Nikhita Singh</t>
  </si>
  <si>
    <t>Nikhita</t>
  </si>
  <si>
    <t>Ms. Nikhita Singh serves as a board member at Artificial. She serves as Founder Advisor at Engine Ventures. She co-founded and served as Chief Product Officer. She has 10 years of global experience designing, building, and studying how people interact with robots and AI platforms, and launching products at Palantir and MIT Media Lab.</t>
  </si>
  <si>
    <t>380 Portage Avenue</t>
  </si>
  <si>
    <t>Artificial</t>
  </si>
  <si>
    <t>357269-95P</t>
  </si>
  <si>
    <t>Paul Sheng</t>
  </si>
  <si>
    <t>Sheng</t>
  </si>
  <si>
    <t>Mr. Paul Sheng serves as Founder Advisor at Engine Ventures. He serves as an Investor at GOOSE Capital. He also serves as a Senior Partner at McKinsey and Company.</t>
  </si>
  <si>
    <t>Founder Advisor</t>
  </si>
  <si>
    <t>328088-26P</t>
  </si>
  <si>
    <t>Rachel Field Ph.D</t>
  </si>
  <si>
    <t>Dr. Rachel Field serves as Senior Associate at Engine Ventures. She brings firsthand technical founder experience, having cofounded companies focused on respiratory therapies and on controlled olfactory signal delivery. She holds a PhD in Biomedical Engineering from Columbia University and an SB in Mechanical Engineering from Harvard University.</t>
  </si>
  <si>
    <t>rachel@engineventures.com</t>
  </si>
  <si>
    <t>47976-22P</t>
  </si>
  <si>
    <t>Reed Sturtevant</t>
  </si>
  <si>
    <t>Sturtevant</t>
  </si>
  <si>
    <t>Mr. Reed Sturtevant serves as a General Partner at Engine Ventures. He also serves as a Board Member for Amide, Axoft, Celestial AI, Emvolon, Hyperlight, Sync Computing and The Routing Company. He was a founder and Managing Director at Project 11 Ventures and Techstars Boston. He attended MIT and has a background in software. He ran Microsoft Startup Labs in Cambridge and was VP of Technology at Idealab, Boston. Early in his career, he created Freelance Graphics which was acquired by Lotus Development Corp. He has been a lecturer at MIT Sloan and is a frequent speaker at MIT entrepreneurship courses and programs. He serves as Board Member at DBOS. He serves as Board Member at Foundation Alloy.</t>
  </si>
  <si>
    <t>+1 (781) 862-4058</t>
  </si>
  <si>
    <t>reed@engineventures.com</t>
  </si>
  <si>
    <t>378439-84P</t>
  </si>
  <si>
    <t>Richard Collins Ph.D</t>
  </si>
  <si>
    <t>Dr. Richard Collins serves as Director of Research and Analytic at Engine Ventures. Before joining The Engine, he was the North American Research Director for IDTechEx, a market intelligence firm focused on emerging technologies. He holds a PhD in Inorganic Chemistry from the University of Oxford, which was funded by and completed in collaboration with a multinational chemical company, and an MChem from the same institution.</t>
  </si>
  <si>
    <t>richard@engineventures.com</t>
  </si>
  <si>
    <t>Director of Research and Analytic</t>
  </si>
  <si>
    <t>450341-92P</t>
  </si>
  <si>
    <t>Streeter Phillips</t>
  </si>
  <si>
    <t>Mr. Streeter Phillips serves as Chief of Staff at Engine Ventures.</t>
  </si>
  <si>
    <t>streeter@engineventures.com</t>
  </si>
  <si>
    <t>378440-29P</t>
  </si>
  <si>
    <t>Vinny Beranek Ph.D</t>
  </si>
  <si>
    <t>Vinny</t>
  </si>
  <si>
    <t>Beranek</t>
  </si>
  <si>
    <t>Dr. Vinny Beranek serves as Principal at Engine Ventures. He serves as Board Member at Kano Therapeutics and Terragia. He was previously a consultant in the Private Equity Group at the London and Boston offices of Bain &amp; Company. At Bain, he advised private equity and corporate clients on investments across industry sectors with a primary focus on healthcare.</t>
  </si>
  <si>
    <t>vinny@engineventures.com</t>
  </si>
  <si>
    <t>341573-77P</t>
  </si>
  <si>
    <t>Alessandro Defendi</t>
  </si>
  <si>
    <t>Defendi</t>
  </si>
  <si>
    <t>Eni</t>
  </si>
  <si>
    <t>Mr. Alessandro Defendi serves as Principal at Eni. He also serves as Technology Principal at Eni Next. He deals with the assessment and the execution of investments in cleantech early stage companies.</t>
  </si>
  <si>
    <t>+39 17 1357 0783 8</t>
  </si>
  <si>
    <t>alessandro.defendi@eni.com</t>
  </si>
  <si>
    <t>Piazzale Mattei, 1</t>
  </si>
  <si>
    <t>00144</t>
  </si>
  <si>
    <t>+39 06 5982 2141</t>
  </si>
  <si>
    <t>190018-45P</t>
  </si>
  <si>
    <t>Alessandro Puliti</t>
  </si>
  <si>
    <t>Puliti</t>
  </si>
  <si>
    <t>Alessandro Puliti was born in Florence on June 23, 1963. He was appointed Chief Operating Officer Natural Resources of Eni on July 1, 2020. He joined Agip SpA's Reservoir Department in 1990 as a Reservoir Geologist and was involved in the study of reservoirs in Africa and Italy. His international professional career started in 1998, when he moved to Aberdeen to fill the position of Assistant Operated Asset Manager of Agip UK, where he gained operational experience in complex contexts. After returning to Italy in 2002, he was appointed Reservoir and Drilling and Completion Manager in the Val D'Agri project. In 2003 he was posted to Egypt as IEOC's Development and Operations Manager and subsequently covered increasingly more complex managerial roles, first as General Manager and Managing Director of Petrobel and later as General Manager of IEOC. In 2009 he moved back to Italy to take on the role of Regional Management Russia and North Europe Vice President. In 2010, he moved to Stavanger, where he held the dual role of Eni Norge's Managing Director and Regional Management Russia and North Europe Vice President. In 2012 he returned to the HQ Operations Department, first as Senior Vice President Petroleum Engineering, Production and Maintenance and then as Senior Vice President Drilling and Completion and Deputy Operations. In October 2015 he was appointed Reservoir &amp; Development Projects Executive Vice President. In September 2018 he was appointed Chief Development, Operations &amp; Technology Officer and then Chief Upstream Officer on July 1, 2019. He graduated with Honors in Geology from the University of Milan and earned the MEDEA Master in Energy and Environmental Management and Economics from Scuola Mattei. He is the author of several papers on reservoirs and drilling presented at international conferences.</t>
  </si>
  <si>
    <t>+39 06 5982 1</t>
  </si>
  <si>
    <t>alessandro-puliti@eni.com</t>
  </si>
  <si>
    <t>386347-42P</t>
  </si>
  <si>
    <t>Carlo Mora</t>
  </si>
  <si>
    <t>Mora</t>
  </si>
  <si>
    <t>Mr. Carlo Mora serves as UK Investor Relations Manager at Eni.</t>
  </si>
  <si>
    <t>carloalberto.mora@eni.it</t>
  </si>
  <si>
    <t>UK Investor Relations Manager</t>
  </si>
  <si>
    <t>227650-15P</t>
  </si>
  <si>
    <t>Caterina Marmorato</t>
  </si>
  <si>
    <t>Caterina</t>
  </si>
  <si>
    <t>Marmorato</t>
  </si>
  <si>
    <t>Ms. Caterina Marmorato serves as Manager, Mergers &amp; Acquisitions at Eni.</t>
  </si>
  <si>
    <t>+39 17 1339 3634 1</t>
  </si>
  <si>
    <t>caterina.marmorato@eni.com</t>
  </si>
  <si>
    <t>Manager, Mergers &amp; Acquisitions</t>
  </si>
  <si>
    <t>78750-91P</t>
  </si>
  <si>
    <t>Claudio Descalzi</t>
  </si>
  <si>
    <t>Claudio</t>
  </si>
  <si>
    <t>Descalzi</t>
  </si>
  <si>
    <t>Mr. Claudio Descalzi serves as Chief Executive Officer and Board Member at Eni. He has been Eni's CEO since May 2014. He is a member of the General Board and of the Advisory Board of Confindustria and Director of Fondazione Teatro alla Scala. He is a member of the National Petroleum Council for 2016/2017. He joined Eni in 1981 as Oil &amp; Gas field petroleum engineer and then became project manager for the development of North Sea, Libya, Nigeria and Congo. In 1990 he was appointed Head of Reservoir and operating activities for Italy. In 1994, he was appointed Managing Director of Eni's subsidiary in Congo and in 1998 he became Vice President &amp; Managing Director of Naoc, a subsidiary of Eni in Nigeria. From 2000 to 2001 he held the position of Executive Vice President for Africa, Middle East and China. From 2002 to 2005 he was Executive Vice President for Italy, Africa, Middle East, covering also the role of member of the board of several Eni subsidiaries in the area. In 2005, he was appointed Deputy Chief Operating Officer of the Exploration &amp; Production Division in Eni. From 2006 to 2014 he was President of Assomineraria and from 2008 to 2014 he was Chief Operating Officer in the Exploration &amp; Production Division of Eni. From 2010 to 2014 he held the position of Chairman of Eni UK. In 2012, Claudio Descalzi was the first European in the field of Oil&amp;Gas to receive the prestigious "Charles F. Rand Memorial Gold Medal 2012" award from the Society of Petroleum Engineers and the American Institute of Mining Engineers. He is a Visiting Fellow at The University of Oxford. In December 2015 he was made a member of the "Global Board of Advisors of the Council on Foreign Relations". In December 2016 he was awarded an Honorary Degree in Environmental and Territorial Engineering by the Faculty of Engineering of the University of Rome, Tor Vergata. He graduated in physics in 1979 from the University of Milan.</t>
  </si>
  <si>
    <t>claudio.descalzi@eni.com</t>
  </si>
  <si>
    <t>113283-46P</t>
  </si>
  <si>
    <t>Claudio Granata</t>
  </si>
  <si>
    <t>Granata</t>
  </si>
  <si>
    <t>Mr. Claudio Granata serves as Director, Human Capital &amp; Procurement Coordination at Eni. He started working in Eni in 1983 and from 1983 to 1994 worked as a labour market and social welfare expert with ASAP (the trade union association for Eni Companies). From 1994 to 1999 he continued his experience with Eni Corporate as an expert in industrial relations. In 2000 he was made responsible for Staff and Organisation within Eni Servizi Amministrativi, a company that was set up to centralise Eni's administrative activities. In 2001, he took over the management of Eni's territorial divisions, restructuring the management of staff by geographical area and in 2003 he took on the role of Business HR for Eni Corporate, ensuring support for departments in the management and development of Eni Corporate's managerial resources during a period of profound change (2002-2004), which was characterised by the mergers of Snam and AgipPetroli and the restructuring of staff organization. In the same year he was also appointed head of Human Resources and Organisation of SOFID (Eni's financial services company). In 2006 he was appointed Human Resources Director of the E&amp;P Division, where he oversaw the planning, management, development and compensation processes for human resources and organization activities. He also collaborated with the top management in the reorganisation of macro processes for the division and promoted change management initiatives. He became a board member of Eni International Resources Ltd in 2006 and was Chairman of the board of Eni International Resources Ltd from 2012 to 2013. From 2012 to March 2015 he was a board member of Eni UK ltd. In 2013 he was appointed Executive Vice President Sustainable Development, Safety, Environment and Quality at E&amp;P, responsible for overseeing safety, environment and quality processes to promote integration with operational processes and contribute to improvements in "time to market" and efficiency. He has been Chief Services &amp; Stakeholder Relations Officer in Eni since 1 July 2014. Until May 2016, he was a member of the Board of Directors of the Eni Foundation. He graduated in Economics.</t>
  </si>
  <si>
    <t>claudio.granata@eni.com</t>
  </si>
  <si>
    <t>404900-29P</t>
  </si>
  <si>
    <t>Dario Pagani</t>
  </si>
  <si>
    <t>Pagani</t>
  </si>
  <si>
    <t>Mr. Dario Pagani serves as Chief Executive Officer at Eniquantic.</t>
  </si>
  <si>
    <t>dario.pagani@eni.com</t>
  </si>
  <si>
    <t>Eniquantic</t>
  </si>
  <si>
    <t>335243-53P</t>
  </si>
  <si>
    <t>Dario Speranza</t>
  </si>
  <si>
    <t>Mr. Dario Speranza serves as Senior Vice President, Mergers &amp; Acquisitions, Compliance &amp; Services &amp; Political and Institutional Scenarios and Analysis Vice President at Eni.</t>
  </si>
  <si>
    <t>dario.speranza@eni.com</t>
  </si>
  <si>
    <t>Senior Vice President, Mergers &amp; Acquisitions, Compliance &amp; Services &amp; Political and Institutional Scenarios and Analysis Vice President</t>
  </si>
  <si>
    <t>326365-39P</t>
  </si>
  <si>
    <t>Davide Lagrasta</t>
  </si>
  <si>
    <t>Lagrasta</t>
  </si>
  <si>
    <t>Mr. Davide Lagrasta serves as Mergers &amp; Acquisitions Manager at Eni.</t>
  </si>
  <si>
    <t>davide.lagrasta@eni.com</t>
  </si>
  <si>
    <t>Mergers &amp; Acquisitions Manager</t>
  </si>
  <si>
    <t>227651-41P</t>
  </si>
  <si>
    <t>Elena Bristot</t>
  </si>
  <si>
    <t>Bristot</t>
  </si>
  <si>
    <t>Ms. Elena Bristot serves as Analyst, Investor Relations at Eni.</t>
  </si>
  <si>
    <t>bristot_investor@eni.com</t>
  </si>
  <si>
    <t>272998-27P</t>
  </si>
  <si>
    <t>Erika Mandraffino</t>
  </si>
  <si>
    <t>Mandraffino</t>
  </si>
  <si>
    <t>Ms. Erika Mandraffino serves as Director External Communication at Eni. After graduating in European Business Administration in London, where she lived almost uninterruptedly from 1991 to 2005, she began her career as a corporate and financial communications consultant at Ludgate Communications where she worked from 1996 to 1999. Before joining Eni in 2006 as head of the financial and international press office, to then become head of Eni Group media relations in 2011, she worked as Director at the Brunswick Group in London, managing the international communication of European corporates (in Italy, Spain, Holland, Portugal) during crisis situations, mergers, acquisitions and IPOs. From 2000 to 2001 she worked as a communication consultant at Barabino &amp; Partners in Rome. From October 2013 to February 2015 she was Saipem's Senior Vice President of Institutional Relations and Communication, where she built the external relations department reporting directly to the CEO and managed the company's communication in a period of crisis. In 2015 she was called back to Eni as Senior Vice President Media Relations and Corporate Publishing, a position held until April 2016 when she took on the role of Senior Vice President Media Relations and Social Networks. In 2018 she became Senior Vice President Global Media Relations and Crisis Communications. From July 1, 2020 she was Eni's Director Media Relation reporting directly to the CEO until she assumed the current role. She has also been Chairman of Versalis S.p.A from May 2018 until January 2021.</t>
  </si>
  <si>
    <t>erika.mandraffino@eni.com</t>
  </si>
  <si>
    <t>237161-53P</t>
  </si>
  <si>
    <t>Francesco Gattei</t>
  </si>
  <si>
    <t>Gattei</t>
  </si>
  <si>
    <t>Mr. Francesco Gattei serves as Chief Transition &amp; Financial Officer at Eni. He serves as Board Member at Var Energi. He joined Agip S.p.A. in 1995 and participated in major negotiation processes in Central Asia and Russia, firstly as Business Analyst and subsequently as Negotiator. From 2001 to 2005 he was Head of Negotiations &amp; Commercial Planning in Libya activities during the start-up and then the construction phases of the Western Libyan Gas Project. From 2006 to 2008, he returned to Eni's headquarters to become Head of Business Planning and Development activities for Africa, Europe, Asia and America during a period of major business growth, supporting the E&amp;P Division's Deputy General DirectoIn 2009, he was appointed Head of Upstream M&amp;A, contributing to the rationalization of the portfolio, particularly in the UK and United States. In 2011, he became Senior Vice President of Market Scenarios and Strategic Options in Eni SpA, where he was also appointed Secretary of the Scenario and Sustainability Committee, a post he held until 2019. In 2014, he was appointed Head of Investor Relations and also acted as Secretary to Eni's Advisory Board from 2016 to 2019. In 2019, he moved to Houston to become Upstream Director of the Americas, managing the E&amp;P business in the USA, Mexico, Venezuela and Argentina. He was a member of the Board of Directors of Saipem from 2014 to 2015. He graduated in Economics and Commerce at the University of Bologna with a thesis on the oil market. He obtained the MEDEA (Master in Energy and Environmental Management) Master's from the Scuola Mattei in 1994.</t>
  </si>
  <si>
    <t>francesco.gattei@eni.com</t>
  </si>
  <si>
    <t>Chief Financial Officer, Finance &amp; Chief Operating Officer, Operations</t>
  </si>
  <si>
    <t>300591-55P</t>
  </si>
  <si>
    <t>Gianfranco Cariola</t>
  </si>
  <si>
    <t>Cariola</t>
  </si>
  <si>
    <t>Mr. Gianfranco Cariola serves as Director Internal Audit at Eni. He is currently member of the FAO Oversight Advisory Committee (the United Nations Food and Agriculture Organization). Between 1993 and 1999, he served as Officer at Guardia di Finanza (Italian Tax Police) General Command. Afterwards, he joined KPMG-KLegal, where he took on the role of Ordinary Member working for a number of major multinational groups in the field of risk management, compliance programs and internal control systems. In 2001 he was seconded to KPMG LLP in Washington DC where he specializes in the structuring of compliance programs and anti-corruption models.In 2003, he moved to the Internal Audit Department of Eni spa where he initially worked on Eni's Group compliance 231 models; then, he was appointed as Senior Audit Vice President and Head of Planning, Methodologies and Eni's Internal Control System.From 2013 to 2016, he is the Group Chief Audit Executive and Head of Anti-Corruption and Transparency at RAI spa. Between 2016 and November 2019, he joined Ferrovie dello Stato Italiane spa (FS spa) as Group Chief Audit Executive. On December 2019 he was appointed as Chief Audit Executive at TIM spa. He is graduated in Economics, qualified as Italian Certified Public Accountant, in 2008, he completed an Executive MBA in General Management at the SDA Bocconi School of Management and the Polytechnic University of Milan. In 2017 he obtained a second degree, in Economic and Financial Security Sciences.</t>
  </si>
  <si>
    <t>gianfranco.cariola@eni.com</t>
  </si>
  <si>
    <t>386740-99P</t>
  </si>
  <si>
    <t>Giorgio Groppi</t>
  </si>
  <si>
    <t>Giorgio</t>
  </si>
  <si>
    <t>Groppi</t>
  </si>
  <si>
    <t>Mr. Giorgio Groppi serves as Head of Mergers &amp; Acquisitions Upstream Global at Eni. Previously he held positions of Senior Vice Mergers and Acquisitions Upstream and Renewables, Vice President of Upstream Negotiation for Portfolio Asset, Transportation, LNG and Sales, Head of Russian Upstream Negotiation, Head of Structured Finance, Project Finance Manager and Economic Analyst.</t>
  </si>
  <si>
    <t>giorgio.groppi@eni.com</t>
  </si>
  <si>
    <t>Head of Mergers &amp; Acquisitions Upstream Global</t>
  </si>
  <si>
    <t>156313-45P</t>
  </si>
  <si>
    <t>Giuseppe Ricci</t>
  </si>
  <si>
    <t>Mr. Giuseppe Ricci serves as Chief Operating Officer, Energy Evolution at Eni. He joined Eni in 1985 initially working in the study and development of new refining processes at the Sannazzaro refinery, before becoming involved in the creation and consolidation of the joint venture with Kuwait Petroleum at the Milazzo refinery. In 2000 he returned to head office as where he was responsible for Refining Processes Development and oversaw the performance optimisation at the refining facilities of Agip Petroli. He left central technologies to take over, in 2004, as director of the Gela Refinery, a particularly challenging assignment both from a managerial perspective and in terms of the refining cycle and the complexity of the plant; in 2006 he was appointed managing director of the refinery. In June 2010 he was made Senior Vice President of the Industrial Sector for Refining &amp; Marketing, with responsibility for the refineries, storage deposits, oil pipelines and plant and facilities in Italy, as well as the management of subsidiary and associated companies in Italy and abroad. As Industrial Director he also held a series of additional responsibilities, such as the chairmanship of Gela and Milazzo. In 2012 he took on the delicate role of Eni's Executive Vice President Health, Safety Environment and Quality with responsibility for providing the guidelines, coordination and control of safety, industrial health, product safety, the environment and quality. He was appointed as Chief Refining &amp; Marketing Officer on 12 September 2016. He was appointed Deputy Chief Operating Officer of Energy Evolution and Director Green/Traditional Refinery and Marketing of Eni on July 1, 2020. He has been President of Confindustria Energia since July 2017 and President of AIDIC (Italian Association of chemical Engineering) since 2018.
He has a degree in chemical engineering.</t>
  </si>
  <si>
    <t>giuseppe.ricci@eni.com</t>
  </si>
  <si>
    <t>288978-40P</t>
  </si>
  <si>
    <t>Guido Brusco</t>
  </si>
  <si>
    <t>Brusco</t>
  </si>
  <si>
    <t>Chief Operating Officer &amp; General Manager</t>
  </si>
  <si>
    <t>Guido Brusco was born in Maratea (Potenza) in 1970. He was appointed Chief Operating Officer Natural Resources of Eni on February 7th, 2022. Experience After graduating with Honors in Mechanical Engineering at the University of Roma La Sapienza, he joined Eni in 1997. He began his career in the technical areas of the Exploration &amp; Production business, holding positions of growing responsibility, in Italy and abroad, up to the role of Operations Director in Egypt in 2005 and then in Kazakhstan in 2009. He took up the role of Managing Director in Kazakhstan in 2013 and subsequently in Angola in 2015. In 2018 he was appointed Executive Vice President for Sub-Saharan Africa Region and in 2020 Director of Upstream.</t>
  </si>
  <si>
    <t>guido.brusco@eni.com</t>
  </si>
  <si>
    <t>Chief Operating Officer, Operations &amp; General Manager</t>
  </si>
  <si>
    <t>326365-12P</t>
  </si>
  <si>
    <t>Jon Rigby</t>
  </si>
  <si>
    <t>Rigby</t>
  </si>
  <si>
    <t>Mr. Jon Rigby serves as Head of Investor Relations and Strategic Analysis at Eni.</t>
  </si>
  <si>
    <t>j.rigby@eni.com</t>
  </si>
  <si>
    <t>Head of Investor Relations and Strategic Analysis</t>
  </si>
  <si>
    <t>217733-95P</t>
  </si>
  <si>
    <t>Lapo Pistelli</t>
  </si>
  <si>
    <t>Lapo</t>
  </si>
  <si>
    <t>Pistelli</t>
  </si>
  <si>
    <t>Mr. Lapo Pistelli serves as Director, Public Affairs at Eni. Having graduated with honors in 1988 in International Law at the Political Science faculty Cesare Alfieri at the University of Florence, he started working at a research center, while serving for two mandates in the local administration of Florence. He was a member of the Italian Parliament from 1996 to 2015 (1996/2004 and 2008/2015), and also a member of the European Parliament (2004/2008). As an Italian MP, he was a member of the Committees on Constitutional Affairs, European Affairs, and International Affairs. As an MEP in Brussels, he worked at the Economic and Monetary Affairs and Foreign Affairs Committees. During this period, he has also been the President of the EU-South Africa Delegation and a member of the Italian Delegation to the OSCE, where he conducted several monitoring missions in transitional democracies. He served as Deputy Minister of Foreign Affairs and International Cooperation of Italy from 2013 to 2015. He resigned from all his institutional and political roles in July 2015, when he entered Eni as Senior Vice President for Strategic Analysis for Business Development Support. He was appointed Executive Vice President in April 2017. He is a member of the board of the European Council on Foreign Relations (ECFR), of the Istituto Affari Internazionali (IAI), of the editorial board of Oil, and of the scientific committee of EastWest.</t>
  </si>
  <si>
    <t>lapo.pistelli@eni.com</t>
  </si>
  <si>
    <t>202569-94P</t>
  </si>
  <si>
    <t>Laura Argento</t>
  </si>
  <si>
    <t>Argento</t>
  </si>
  <si>
    <t>Ms. Laura Argento serves as Head of Commercial Negotiations Governance, Review, Monitoring, Reporting &amp; Integrated Program at Eni. She previously served as Senior Vice President, Commercial Negotiations Methodology, Review &amp; Monitoring and Vice President, Mergers &amp; Acquisition Compliance Services at Eni.</t>
  </si>
  <si>
    <t>laura.argento@eni.com</t>
  </si>
  <si>
    <t>Head of Commercial Negotiations Governance, Review, Monitoring, Reporting &amp; Integrated Program</t>
  </si>
  <si>
    <t>441608-05P</t>
  </si>
  <si>
    <t>Lorenzo Fiorillo</t>
  </si>
  <si>
    <t>Fiorillo</t>
  </si>
  <si>
    <t>Mr. Fiorillo Lorenzo was born in Vibo Valentia in 1974. He is appointed as Director Technology, R&amp;D &amp; Digital of Eni since May 2024. After graduating in Chemical Engineering in Pisa in 1998, in January 1999 he joined Eni as a Production Optimization Technician at San Donato Milanese headquarters. Later on an initial experience in the field on reservoir studies and in the Italian operating districts, in 2004 he held the role of Technical Manager at Enimed company in Gela, subsequently increasing his responsibilities, both in Sicily and in Tunisia, until being appointed in January 2010 as President and CEO of Enimed. Between 2012 and 2018 he was in Congo holding the role of Directeur General of the Eni Congo company with the responsibility of managing Eni's business in the country, working on the development of long-term activities, in particular through the strategy of valorising gas reserves. Following his experience in Congo, he held a similar role in Nigeria in the Nigerian Agip Oil Company until July 2020, also assuming the Presidency of the OPTS (Oil Producers Trade Section). He subsequently held the position of Head of the Upstream West Africa Region and in April 2021 he took the responsibility for the entire Sub-Saharan Africa Region. Starting from June 2022 he is appointed Operations &amp; Energy Efficiency Manager in the Natural Resources General Department, with responsibility for production, maintenance, drilling, logistics and decommissioning activities. Since 2023 he has been a member of the Confindustria Technical Group.</t>
  </si>
  <si>
    <t>lorenzo.fiorillo@eni.it</t>
  </si>
  <si>
    <t>217734-85P</t>
  </si>
  <si>
    <t>Luca Franceschini</t>
  </si>
  <si>
    <t>Franceschini</t>
  </si>
  <si>
    <t>Mr. Luca Franceschini serves as Head of Integrated Compliance &amp; Board Secretary at Eni. He first joined Eni in 1991 in the legal department of the then Agip S.p.A., providing legal assistance, initially, in commercial litigation and procurement area, and, subsequently, in a wide range of national and international projects in the Exploration &amp; Production sector. In 2000, during the process for the liberalization of the natural gas sector, he was involved in the spin-off of the gas storage business and in the establishment and operational start of Stogit SpA, for which he became head of Legal and Corporate Affairs. He made his return to Eni Spa in 2005 as head of Italian Legal Assistance in the Gas &amp; Power division. Following the concentration of all legal functions in Eni's central Legal Department, he takes on positions of increasing responsibility, becoming, in 2009, head of legal assistance for Italian Business and Antitrust and in 2015, head of Legal and Regulatory Compliance. After the separation of the compliance function from the legal affairs department, in 2016 he became head of the new Integrated Compliance department. In 2017 he was awarded "Compliance Officer of the Year" by the Top Legal Corporate Counsel Awards and the Inhouse Community Awards. He is a member of the Scientific Committee of the Advanced Training Course for Corporate Counsel of the Luiss Business School. He was also member of the boards of directors of Italgas and Stogit.</t>
  </si>
  <si>
    <t>luca.franceschini@eni.it</t>
  </si>
  <si>
    <t>326365-93P</t>
  </si>
  <si>
    <t>Maria Di Pietrantonj</t>
  </si>
  <si>
    <t>Di Pietrantonj</t>
  </si>
  <si>
    <t>Ms. Maria Di Pietrantonj serves as Head of Mergers &amp; Acquisitions Compliance Services and Advisor Selection at Eni.</t>
  </si>
  <si>
    <t>mariavittoriad@eni.it</t>
  </si>
  <si>
    <t>Head of Mergers &amp; Acquisitions Compliance Services and Advisor Selection</t>
  </si>
  <si>
    <t>325528-93P</t>
  </si>
  <si>
    <t>Mattia Voltaggio</t>
  </si>
  <si>
    <t>Mattia</t>
  </si>
  <si>
    <t>Voltaggio</t>
  </si>
  <si>
    <t>Mr. Mattia Voltaggio serves as Head of Joule - Eni School of Entrepreneurship &amp; Head of Brand Communication at Eni.</t>
  </si>
  <si>
    <t>mattia.voltaggio@eni.com</t>
  </si>
  <si>
    <t>354619-27P</t>
  </si>
  <si>
    <t>Paolo Grossi</t>
  </si>
  <si>
    <t>Grossi</t>
  </si>
  <si>
    <t>Mr. Paolo Grossi serves as Chief Executive Officer, Eni Rewind &amp; Member of the Eni Management Committee at Eni. He joined Eni in 1996 and held several key positions in the accounting and finance department until he was appointed as Director of Planning and Control in 2009. He was Director of Retail and Secondary Logistics at Eni Refining &amp; Marketing from 2010 to 2013, Director of Supply and Oil Portfolio from 2013 to 2015 and Commercial Director (Retail, Wholesale and Secondary Logistics) from 2015 to 2019. He graduated in Business and Economics from Luiss Guido Carli University in 1995 and received an MBA in Finance from Cass Business School in 1996.</t>
  </si>
  <si>
    <t>paolo.grossi@eni.com</t>
  </si>
  <si>
    <t>Chief Executive Officer, Eni Rewind &amp; Member of the Eni Management Committee</t>
  </si>
  <si>
    <t>386349-31P</t>
  </si>
  <si>
    <t>Piero Basilici</t>
  </si>
  <si>
    <t>Piero</t>
  </si>
  <si>
    <t>Basilici</t>
  </si>
  <si>
    <t>Advisor &amp; Analyst</t>
  </si>
  <si>
    <t>Mr. Piero Basilici serves as Investor Relations Analyst &amp; Stock Market Advisor at Eni.</t>
  </si>
  <si>
    <t>piero.basilici@eni.com</t>
  </si>
  <si>
    <t>Investor Relations Analyst &amp; Stock Market Advisor</t>
  </si>
  <si>
    <t>251629-75P</t>
  </si>
  <si>
    <t>Roberto Ulissi</t>
  </si>
  <si>
    <t>Ulissi</t>
  </si>
  <si>
    <t>Mr. Roberto Ulissi serves as Director Corporate Affairs and Governance at Eni. He is a lawyer. After a number of years spent as a lawyer at the Bank of Italy, in 1998 he was appointed General Manager at the Ministry of the Economy and Finance head of the Banking and Financial System and Legal Affairs Department. He was a Board member of Telecom Italia (and Chairman of the Audit Committee), Ferrovie dello Stato, Alitalia, Fincantieri and a government representative on the Governing Council of the Bank of Italy. He is a board member and Vice Chairman of Banor SIM. He was also a member of numerous Italian and European committees representing the Ministry of the Economy including, at a national level, the Commission for the Reform of Corporate Law (Commission Vietti) and, at EU level, the Financial Services Policy Group, the Banking Advisory Committee, the European Banking Committee, the European Securities Committee, and the Financial Services Committee. He was also special professor of banking law at the University of Cassino. He is Grande Ufficiale della Repubblica Italiana. Since 2006, he has been Senior Executive Vice President Corporate Affairs and Governance and a Board Member of Eni International BV. He is currently Board Secretary of Eni and, since 2014, Corporate Governance Counsel and Company Secretary. Since May 2018, he has been Coordinator of the Corporate Governance Forum of Company Secretaries.</t>
  </si>
  <si>
    <t>roberto.ulissi@eni.com</t>
  </si>
  <si>
    <t>Director Corporate Affairs and Governance</t>
  </si>
  <si>
    <t>227650-51P</t>
  </si>
  <si>
    <t>Rosanna Bolzoni</t>
  </si>
  <si>
    <t>Rosanna</t>
  </si>
  <si>
    <t>Bolzoni</t>
  </si>
  <si>
    <t>Ms. Rosanna Bolzoni serves as Executive, ESG Investor Relations at Eni.</t>
  </si>
  <si>
    <t>rosanna.bolzoni@eni.com</t>
  </si>
  <si>
    <t>Executive, ESG Investor Relations</t>
  </si>
  <si>
    <t>227650-78P</t>
  </si>
  <si>
    <t>Shaun Liu</t>
  </si>
  <si>
    <t>Mr. Shaun Liu serves as Investor Relations Manager USA at Eni. He served as UK and USA Investor Relations Manager at Eni.</t>
  </si>
  <si>
    <t>shaun.liu@eni.com</t>
  </si>
  <si>
    <t>Investor Relations Manager USA</t>
  </si>
  <si>
    <t>227649-61P</t>
  </si>
  <si>
    <t>Stefania Sperotto</t>
  </si>
  <si>
    <t>Sperotto</t>
  </si>
  <si>
    <t>Ms. Stefania Sperotto serves as Head of Investor Relations Management at Eni. She served as Manager, Investor Relations - North America at Eni.</t>
  </si>
  <si>
    <t>stefania.sperotto@eni.it</t>
  </si>
  <si>
    <t>Head of Investor Relations Management</t>
  </si>
  <si>
    <t>29798-38P</t>
  </si>
  <si>
    <t>Stefano Speroni JD</t>
  </si>
  <si>
    <t>Speroni</t>
  </si>
  <si>
    <t>Mr. Stefano Speroni serves as Director, Legal Affairs and Commercial Negotiations at Eni. Stefano Speroni has accumulated vast experience in over 30 years of professional activity in the field of corporate affairs, mergers and acquisitions, private equity operations and capital markets. He has given professional support to Italian and International listed companies (in a wide range of sectors including aerospace and defence, oil &amp; gas, telecommunications, transport and infrastructure) in strategic corporate affairs, in share trading, joint ventures and commercial agreements. From January 2016 to December 2018, he was a Managing Partner for Corporate M&amp;A in Dentons' Italian practice. In 2012, he was one of the founders of the Grimaldi Legal Studio, after having previously been managing partner of Dewey Ballantine's Rome practice which involved managing its Italian activities for around 10 years. He was also a partner in Studio Gianni, Origoni, Grippo Capelli &amp; Partners (2001?-?2003), in the Simmons and Simmons Italian practice (1991?-?2001), and manager of the European Corporate Department and member of the World-wide Remuneration Committee. He is a member of the scientific committee and contributor to SDA Bocconi's Private Equity Laboratory and was awarded Best Lawyer of the Year 2018 by the Best Lawyers international directory. He graduated in Law at Universita degli Studi in Milan and is a registered member of the Italian Bar Association in Milan. Since January 1, 2019, he has been Legal Affairs Senior Executive Vice President.</t>
  </si>
  <si>
    <t>stefano.speroni@eni.com</t>
  </si>
  <si>
    <t>Director Legal Affairs and Commercial Negotiations</t>
  </si>
  <si>
    <t>386350-39P</t>
  </si>
  <si>
    <t>Valeria Panfilo</t>
  </si>
  <si>
    <t>Valeria</t>
  </si>
  <si>
    <t>Panfilo</t>
  </si>
  <si>
    <t>Ms. Valeria Panfilo serves as Investor Relations Assistant at Eni.</t>
  </si>
  <si>
    <t>valeria.panfilo@eni.com</t>
  </si>
  <si>
    <t>Investor Relations Assistant</t>
  </si>
  <si>
    <t>386348-14P</t>
  </si>
  <si>
    <t>Valerio Angelini</t>
  </si>
  <si>
    <t>Angelini</t>
  </si>
  <si>
    <t>Analyst &amp; Executive</t>
  </si>
  <si>
    <t>Mr. Valerio Angelini serves as Investor Relations Analyst &amp; Executive of Strategic Analysis at Eni.</t>
  </si>
  <si>
    <t>valerio.angelini@eni.com</t>
  </si>
  <si>
    <t>Investor Relations Analyst &amp; Executive of Strategic Analysis</t>
  </si>
  <si>
    <t>277713-10P</t>
  </si>
  <si>
    <t>Daniel Jaeck</t>
  </si>
  <si>
    <t>Jaeck</t>
  </si>
  <si>
    <t>Eniac Ventures</t>
  </si>
  <si>
    <t>Mr. Daniel Jaeck serves as Principal at Eniac Ventures. He began his career at Goldman Sachs in London, where he worked on the Emerging Market Equities desk covering clients across Europe. He then moved to New York joining the U.S. Equity Research division at Goldman Sachs, where he covered consumer internet and video game companies. He studied International Business and Finance at Northeastern University.</t>
  </si>
  <si>
    <t>+1 (646) 391-7818</t>
  </si>
  <si>
    <t>djaeck@eniac.vc</t>
  </si>
  <si>
    <t>584 Broadway</t>
  </si>
  <si>
    <t>Suite 301</t>
  </si>
  <si>
    <t>43365-07P</t>
  </si>
  <si>
    <t>Hadley Harris</t>
  </si>
  <si>
    <t>Mr. Hadley Harris is a Co-Founder and serves as a General Partner at Eniac Ventures. He serves as the Board Member at Level AI. He served as an Advisor at Passbase. He has been actively working at the intersection of business and technology for 15 years. Before Eniac, Hadley was a two-time entrepreneur in the mobile technology space. From 2007-2011 he was an executive at Vlingo, acquired by Nuance Communications for $225,000,000, where he held the roles of Head of Business &amp; Market Strategy and Vice President of Marketing. At Vlingo, Hadley was responsible for the firm's user acquisition and monetization. In the early years, Hadley also leads Vlingo's efforts in business development and finance. After Vlingo, he became CMO of Thumb, a mobile social platform that boasted the 2nd highest user engagement next to Facebook. At Thumb, he was responsible for all of the company's marketing and business development activities until they were acquired in spring of 2012 by Ypulse. Before heading to Vlingo, Hadley worked at Charles River Ventures where he spent time helping with mobile investments while looking for a young startup to join. Prior to that, Hadley held a variety of roles including Corporate Strategy for Samsung and Product Management at Microsoft. He began his career as a software developer and engineering team manager for Pegasystems. Hadley is a noted expert in the mobile space having been quoted or profiled in Forbes, TechCrunch, VentureBeat, GigaOm, Business Insider, MIT Technology Review and interviewed on Fox Business News. He was also named New York's Best Early Stage Investors by Business Insider. Hadley holds an MBA from The Wharton School at the University of Pennsylvania and a Bachelor of Science in Engineering from the University of Pennsylvania. He served as Board Member and Advisor at Lokast.</t>
  </si>
  <si>
    <t>+1 (415) 235-2680</t>
  </si>
  <si>
    <t>hadley@eniac.vc</t>
  </si>
  <si>
    <t>221550-85P</t>
  </si>
  <si>
    <t>Kristin McDonald</t>
  </si>
  <si>
    <t>Ms. Kristin McDonald serves as Partner at Eniac Ventures. She studied Environmental Studies and Chinese at Middlebury College, where she also completed internships focused on cleantech investing in Beijing. After graduation, she joined Point72 as a long/short public equity analyst, spending three years investing in a wide range of consumer and tech companies. She graduated magna cum laude from Middlebury College, where she studied Environmental Studies and Chinese.</t>
  </si>
  <si>
    <t>kristin@eniac.vc</t>
  </si>
  <si>
    <t>37027-99P</t>
  </si>
  <si>
    <t>Nihal Mehta</t>
  </si>
  <si>
    <t>Nihal</t>
  </si>
  <si>
    <t>Mr. Nihal Mehta is a Co-Founder &amp; serves as a General Partner at Eniac Ventures. Mr. Mehta is an Angel Investor. He serves as Board Member at Evertune. He co-founded and served as Chief Executive Officer and Board Member at Local Response. He also served as an Advisor at Sports Icon. He served as a Board Member at Fuzzy. He also serves as an Advisor and Board Member at MaestroQA. He served as an Advisor at Breezy. He is also a Co-Founder of India Internet Fund. He also served as a Member of the Advisory Board at Blue Cloud Ventures. He serves as an Advisor at Inter Mobile Ventures. He has several years of experience in innovating marketing technologies through founding five startups to date. He is currently the Executive Chairman and Co-Founder of LocalResponse, which helps marketers respond to real-time consumer intent. Before LocalResponse, (which pivoted from buzzed, a leading real-time city guide), he founded ipsh!, one of the first full-service mobile marketing agencies in 2001, which he sold to Omnicom (NYSE: OMC) in 2005. He is a noted expert in the emerging adoption of mobile technologies for media properties and consumer brands. Named one of the "25 People Every New Founder Should Meet in New York Tech" and a top "25 Up-And-Coming Startup CEO in New York" in 2012 by Business Insider, a 2012 AlwaysOn "Power Player NYC," a top 10 NYC 'Game Changer' in the 2010 New York Enterprise Report, one of twenty RCR Wireless News 'Mobile Movers and Shakers' in 2008, a BusinessWeek 'M-Commerce Baron' in 2006 and named one of AdAge's 'Top 20 Marketers in Their 20s' in 2005. He graduated from the University of Pennsylvania with a BA in Philosophy and a BSE in Computer Science. He is also an Angel Investor. He also serves as a Board Member at Alloy. He served as a Board Member and Advisor at Lokast and as an Advisor at Findable. He is also an Angel Investor.</t>
  </si>
  <si>
    <t>nihal@eniac.vc</t>
  </si>
  <si>
    <t>350493-76P</t>
  </si>
  <si>
    <t>Owen Chun</t>
  </si>
  <si>
    <t>Mr. Owen Chun serves as Investor at Eniac Ventures. His focus shifted to finance at Baruch College. He eventually became CEO of Baruch's Investment Management Group while also obtaining his BBA in finance. After graduating, he worked at J.P. Morgan as an investment banking analyst.</t>
  </si>
  <si>
    <t>owen@eniac.vc</t>
  </si>
  <si>
    <t>84568-06P</t>
  </si>
  <si>
    <t>Rifki Zable</t>
  </si>
  <si>
    <t>Rifki</t>
  </si>
  <si>
    <t>Zable</t>
  </si>
  <si>
    <t>Ms. Rifki Zable serves as Chief Financial Officer at Eniac Ventures. She manages finance &amp; operations for Eniac and the Eniac funds. She served as Chief Financial Officer at RRE Ventures. Prior to joining RRE, she focused on performance analytics and forecasting, investor and management reporting and fund operations for Citigroup's multi-billion dollar private equity infrastructure fund. She previously held several roles in corporate treasury and capital planning at Citigroup. Her experience also includes analytical roles at an investment management firm as well as a top-tier investment bank. She holds an MBA from NYU Stern and a BA/BS with honors from the University of Pennsylvania.</t>
  </si>
  <si>
    <t>rifki@eniac.vc</t>
  </si>
  <si>
    <t>428356-09P</t>
  </si>
  <si>
    <t>Shyan Koul</t>
  </si>
  <si>
    <t>Shyan</t>
  </si>
  <si>
    <t>Koul</t>
  </si>
  <si>
    <t>Mr. Shyan Koul serves as Investor at Eniac Ventures. His early experiences working with social impact startups and witnessing how companies leverage data to address global challenges ignited his interest in venture capital-a career that fuels his curiosity and passion for learning. During his summers, he gained exposure to the investment landscape, working at Raga Partners and G Squared, where he analyzed deals ranging from pre-seed to growth stages. At Eniac, he invests in next-gen technologies, focusing on AI at the infrastructure and application layers, dev tools, data, and healthcare.</t>
  </si>
  <si>
    <t>43365-79P</t>
  </si>
  <si>
    <t>Timothy Young JD</t>
  </si>
  <si>
    <t>Mr. Timothy Young is a Co-Founder and serves as a General Partner at Eniac Ventures. Mr. Young served as Advisor at Metaresolver. He serves as a Board Member at Unsupervised. He served as a Board Member at Visual Vocal. He served as an Advisor at TapCommerce. He has two startup exits as an entrepreneur and over several years of experience working with early-stage ventures as a venture capitalist, operator, and venture/IP attorney. While at Metropolitan Venture Partners (MVP), he joined MVP portfolio company Quoteship.com and helped engineer an exit to Logistics.com (an Internet Capital Group, (NASDAQ: ICGE) venture). He founded Bridge Consulting, based in Beijing, China, which offered language software to Fortune 500 corporations, which led to a successful exit. While at Morrison &amp; Foerster, he counseled a variety of early-stage companies and venture funds in deal structuring, intellectual property, and licensing/commercial transactions. As the Director of Business Development for Korean Business Consultants, he led a deal to bring the first internet connection to hospitals and universities in Pyongyang, North Korea. He began his career as a software engineer at both Exxon Research &amp; Engineering and Mobil Technology Company. He received his BSE in Chemical and Biomolecular Engineering from the University of Pennsylvania, where he received an award for cancer research from Bristol-Myers Squibb. He received his J.D. from the University of Pennsylvania Law School in 2006. He is a member of the State Bar of California, District of Columbia, and is registered to practice before the United States Patent and Trademark Office.</t>
  </si>
  <si>
    <t>tim@eniac.vc</t>
  </si>
  <si>
    <t>315678-07P</t>
  </si>
  <si>
    <t>Derek Jeong</t>
  </si>
  <si>
    <t>Envisioning Partners</t>
  </si>
  <si>
    <t>Mr. Derek Jeong serves as Principal at Envisioning Partners.</t>
  </si>
  <si>
    <t>derek.jeong@envisioning.partners</t>
  </si>
  <si>
    <t>4F, 21, Wangsimni-ro 6-gil</t>
  </si>
  <si>
    <t>Seongdong-gu</t>
  </si>
  <si>
    <t>184368-25P</t>
  </si>
  <si>
    <t>Hyunjoo Je</t>
  </si>
  <si>
    <t>Hyunjoo</t>
  </si>
  <si>
    <t>Je</t>
  </si>
  <si>
    <t>Mr. Hyunjoo Je serves as Managing Partner at Envisioning Partners. He served as Chief Executive Officer &amp; Managing Partner at Yellowdog (Seoul). He serves as Investment Committee Member at Fund ADB Ventures. He is an Angel Investor. Prior to Yellowdog, worked for Carlyle Asia Buyout Fund, Credit Suisse Hong Kong, and McKinsey Seoul office. He has extensive experience in investment and corporate finance. He used to work at a cooperative engaged in content and knowledge business where he was the founder and CEO, and collaborate as an independent advisor and consultant for various social sector organizations including GOs and NGOs.</t>
  </si>
  <si>
    <t>hyunjoo.je@envisioning.partners</t>
  </si>
  <si>
    <t>255837-16P</t>
  </si>
  <si>
    <t>Inwon Park</t>
  </si>
  <si>
    <t>Inwon</t>
  </si>
  <si>
    <t>Mr. Inwon Park serves as Principal at Envisioning Partners. He served as an Associate at Yellowdog. He has an engineering background and expertise in intellectual property as well as trade secrets from his experience at a law firm and patent law firm as an attorney-at-law and patent lawyer. He also has experience in startup investment at a Korean VC.</t>
  </si>
  <si>
    <t>inwon.park@envisioning.partners</t>
  </si>
  <si>
    <t>184950-55P</t>
  </si>
  <si>
    <t>June Cha</t>
  </si>
  <si>
    <t>Cha</t>
  </si>
  <si>
    <t>Ms. June Cha serves as Partner at Envisioning Partners. Ms. Cha served as Partner at Yellowdog. She also serves as a Board Member at Novoloop. Ms. Cha served as a Corporate Venture Investor at Line Ventures. She worked for LINE Ventures and the corporate development division at Naver and LINE, leading multiple investments and M&amp;A transactions in Southeast Asia. She also has an expertise in strategizing and building businesses from her experience of leading the business strategy team and market development team at LINE. Her experience includes management consulting in a global consulting firm focusing on media and high-tech sectors.</t>
  </si>
  <si>
    <t>june.cha@envisioning.partners</t>
  </si>
  <si>
    <t>255839-50P</t>
  </si>
  <si>
    <t>Sonyoung Hong</t>
  </si>
  <si>
    <t>Sonyoung</t>
  </si>
  <si>
    <t>Ms. Sonyoung Hong serves as an Executive at Envisioning Partners. She served as an Investment Manager at Yellowdog (Seoul). She has impact investing experience in various asset classes and regions. She invested in the European private markets at the European Bank for Reconstruction and Development, and in the public market in the US at a Boston-based impact fund. Moreover, she has experience working at startups in the US, focused on social problems and sustainability.</t>
  </si>
  <si>
    <t>sonyoung.hong@envisioning.partners</t>
  </si>
  <si>
    <t>255836-62P</t>
  </si>
  <si>
    <t>Soohyun Bae</t>
  </si>
  <si>
    <t>Soohyun</t>
  </si>
  <si>
    <t>Bae</t>
  </si>
  <si>
    <t>Ms. Soohyun Bae serves as Director at Envisioning Partners. Ms. Bae served as Director at Yellowdog. She provides strategic advice and operational support from her experience as a management consultant in the global consulting firm, McKinsey &amp; Company, especially in the consumer, retail, and digital sectors.</t>
  </si>
  <si>
    <t>+821032806767</t>
  </si>
  <si>
    <t>soohyun.bae@envisioning.partners</t>
  </si>
  <si>
    <t>315677-53P</t>
  </si>
  <si>
    <t>Sue Woo</t>
  </si>
  <si>
    <t>Sue</t>
  </si>
  <si>
    <t>Woo</t>
  </si>
  <si>
    <t>Ms. Sue Woo serves as External Relations Director at Envisioning Partners. She has extensive experience in stakeholder management and integrated business communications. She has provided strategic consulting services and multi-dimensional communication programs to leading global companies in ICT, biopharmaceuticals, media and content industries.</t>
  </si>
  <si>
    <t>+82 1072266322</t>
  </si>
  <si>
    <t>sue.woo@envisioning.partners</t>
  </si>
  <si>
    <t>External Relations Director</t>
  </si>
  <si>
    <t>34546-60P</t>
  </si>
  <si>
    <t>Yong Kim JD</t>
  </si>
  <si>
    <t>Mr. Yong Kim serves as Managing Partner at Envisioning Partners. Mr. Kim serves as Chief Executive Officer at Hanwha Asset Management. Earlier, he served as Vice President at The Carlyle Group. He is based in Seoul. Prior to joining Carlyle, Mr. Kim was an Associate in the Investment Banking Division of Goldman, Sachs &amp; Co. in New York. Prior to that, Mr. Kim worked at Winthrop, Stimson, Putnam &amp; Roberts in New York. Mr. Kim received his B.A. from The University of Chicago, his M.B.A. from Columbia Business School and his J.D. from Harvard Law School.</t>
  </si>
  <si>
    <t>yong.kim@envisioning.partners</t>
  </si>
  <si>
    <t>288738-01P</t>
  </si>
  <si>
    <t>Ahmed Osman</t>
  </si>
  <si>
    <t>Osman</t>
  </si>
  <si>
    <t>Equinor</t>
  </si>
  <si>
    <t>Ms. Ahmed Osman serves as Senior Manager- Upstream Portfolio Improvement at Equinor.</t>
  </si>
  <si>
    <t>+47 51 99 00 00</t>
  </si>
  <si>
    <t>Stavanger</t>
  </si>
  <si>
    <t>Stavanger, Norway</t>
  </si>
  <si>
    <t>Forusbeen 50</t>
  </si>
  <si>
    <t>4035</t>
  </si>
  <si>
    <t>Senior Manager- Upstream Portfolio Improvement</t>
  </si>
  <si>
    <t>340922-44P</t>
  </si>
  <si>
    <t>Aksel Stenerud</t>
  </si>
  <si>
    <t>Aksel</t>
  </si>
  <si>
    <t>Stenerud</t>
  </si>
  <si>
    <t>Mr. Aksel Stenerud serves as Executive Vice President, People &amp; Organisation at Equinor. Mr. Stenerud joined Equinor in 2008 and has held various leadership roles across the company. His most recent position, which he held from November 2021, was Vice President Employee Relations in Corporate PO. From August 2018, he was Vice President for PO in Exploration and Production International. He has also served as Vice President for Exploration and Production Norway from 2014-2018. Stenerud has had a long international career within HR and prior to this he served as an officer in the Norwegian Airforce. He Graduate from the Air Defense academy. Minor and Intermediate in phsycology with the Norwegian university of science and technology in Trondheim.</t>
  </si>
  <si>
    <t>aksel-stenerud@equinor.com</t>
  </si>
  <si>
    <t>Executive Vice President, People &amp; Organisation</t>
  </si>
  <si>
    <t>379708-03P</t>
  </si>
  <si>
    <t>Alix Forgan</t>
  </si>
  <si>
    <t>Alix</t>
  </si>
  <si>
    <t>Forgan</t>
  </si>
  <si>
    <t>Ms. Alix Forgan serves as Senior Analyst at Equinor Ventures.</t>
  </si>
  <si>
    <t>+1 (713) 918-8200</t>
  </si>
  <si>
    <t>amfo@equinor.com</t>
  </si>
  <si>
    <t>2107 City West Boulevard</t>
  </si>
  <si>
    <t>77042</t>
  </si>
  <si>
    <t>Equinor Ventures</t>
  </si>
  <si>
    <t>265881-25P</t>
  </si>
  <si>
    <t>Amberley Doskey</t>
  </si>
  <si>
    <t>Amberley</t>
  </si>
  <si>
    <t>Doskey</t>
  </si>
  <si>
    <t>Ms. Amberley Doskey serves as Investor Relations Manager, North America at Equinor.</t>
  </si>
  <si>
    <t>+1 617- 216- 4385</t>
  </si>
  <si>
    <t>amlev@equinor.com</t>
  </si>
  <si>
    <t>Investor Relations Manager, North America</t>
  </si>
  <si>
    <t>117661-87P</t>
  </si>
  <si>
    <t>Anders Opedal</t>
  </si>
  <si>
    <t>Opedal</t>
  </si>
  <si>
    <t>Mr. Anders Opedal serves as President &amp; Chief Executive Officer at Equinor. Mr. Opedal serves as President &amp; Chief Executive Officer at Statoil Forsikring. He joined Equinor in 1997. From 2018-2020 he held the position as Executive Vice President Technology, Projects and Drilling. From August to October 2018, he was Executive Vice President for Development, Production Brazil and prior to this Senior Vice President for Development, Production International Brazil. He also held the position as Equinor's Chief Operating Officer. In 2011 he took on the role as Senior Vice President in Technology, Projects and Drilling; where he was responsible for Equinor's NOK 300 billion project portfolio. From 2007-2010 he served as Chief Procurement Officer. He has held a range of technical, operational and leadership positions in the company and started as a petroleum engineer in the Statfjord operations. Prior to Equinor, Opedal worked for Schlumberger and Baker Hughes. He holds an MBA from Heriot-Watt University and Master's degree in Engineering from the Norwegian Institute of Technology in Trondheim.</t>
  </si>
  <si>
    <t>ao@equinor.com</t>
  </si>
  <si>
    <t>431568-19P</t>
  </si>
  <si>
    <t>Andreas Sandvik</t>
  </si>
  <si>
    <t>Sandvik</t>
  </si>
  <si>
    <t>Mr. Andreas Sandvik serves as Vice President, Operations and Maintenance at Equinor.</t>
  </si>
  <si>
    <t>a-sandvik@equinor.com</t>
  </si>
  <si>
    <t>Vice President, Operations and Maintenance</t>
  </si>
  <si>
    <t>288738-46P</t>
  </si>
  <si>
    <t>Andrew Morrison</t>
  </si>
  <si>
    <t>Morrison</t>
  </si>
  <si>
    <t>Mr. Andrew Morrison serves as Business Development Manager at Equinor.</t>
  </si>
  <si>
    <t>+713-665-0252</t>
  </si>
  <si>
    <t>andrew.morrison@equinor.com</t>
  </si>
  <si>
    <t>431569-54P</t>
  </si>
  <si>
    <t>Ann-Elisabeth Serck-Hanssen</t>
  </si>
  <si>
    <t>Ann-Elisabeth</t>
  </si>
  <si>
    <t>Serck-Hanssen</t>
  </si>
  <si>
    <t>Ms. Ann-Elisabeth Serck-Hanssen serves as Senior Vice President &amp; Chief Audit Executive, Corporate Audit &amp; Investigation at Equinor. Ms. Serck-Hanssen joined Equinor in 1993 and has held several senior leadership positions across the company, including corporate strategy, shipping and commercial operations, new energy solutions, asset management, global business services, and finance and control. She has been accountable for several corporate project assignments in recent years and also has experience from corporate crisis management and executive board positions. She holds Master's degree in business from the Norwegian School of Economics (NHH). Serck-Hanssen has also taken further studies at NHH and the Norwegian School of Management (BI).</t>
  </si>
  <si>
    <t>ann-elisabeth-serck-hanssen@equinor.com</t>
  </si>
  <si>
    <t>Senior Vice President &amp; Chief Audit Executive, Corporate Audit &amp; Investigation</t>
  </si>
  <si>
    <t>219753-64P</t>
  </si>
  <si>
    <t>Anne Dahle</t>
  </si>
  <si>
    <t>Ms. Anne Dahle serves as Senior Consultant, Investor Relations at Equinor.</t>
  </si>
  <si>
    <t>+47 90 88 75 54</t>
  </si>
  <si>
    <t>asda@equinor.com</t>
  </si>
  <si>
    <t>Senior Consultant, Investor Relations</t>
  </si>
  <si>
    <t>237101-95P</t>
  </si>
  <si>
    <t>Arne Gürtner</t>
  </si>
  <si>
    <t>Gürtner</t>
  </si>
  <si>
    <t>Mr. Arne Gürtner serves as Senior Vice President, Technology, Digital and Innovation at Equinor.</t>
  </si>
  <si>
    <t>ag@equinor.com</t>
  </si>
  <si>
    <t>Senior Vice President, Technology, Digital and Innovation</t>
  </si>
  <si>
    <t>288737-47P</t>
  </si>
  <si>
    <t>Atle Hjorteland</t>
  </si>
  <si>
    <t>Atle</t>
  </si>
  <si>
    <t>Hjorteland</t>
  </si>
  <si>
    <t>Mr. Atle Hjorteland serves as Vice President of Business Development, Project Execution at Equinor.</t>
  </si>
  <si>
    <t>atleh@equinor.com</t>
  </si>
  <si>
    <t>Vice President of Business Development, Project Execution</t>
  </si>
  <si>
    <t>338390-56P</t>
  </si>
  <si>
    <t>Bård Pedersen</t>
  </si>
  <si>
    <t>Bård</t>
  </si>
  <si>
    <t>Pedersen</t>
  </si>
  <si>
    <t>Mr. Bård Pedersen serves as Senior Vice President and Head of Investor Relations at Equinor.</t>
  </si>
  <si>
    <t>+47 91 80 17 91</t>
  </si>
  <si>
    <t>bgp@equinor.com</t>
  </si>
  <si>
    <t>Senior Vice President and Head of Investor Relations</t>
  </si>
  <si>
    <t>285076-99P</t>
  </si>
  <si>
    <t>Camilla Salthe</t>
  </si>
  <si>
    <t>Salthe</t>
  </si>
  <si>
    <t>Ms. Camilla Salthe serves as Senior Vice President of Exploration &amp; Production International UK at Equinor.</t>
  </si>
  <si>
    <t>Senior Vice President of Exploration &amp; Production International UK</t>
  </si>
  <si>
    <t>294603-85P</t>
  </si>
  <si>
    <t>Catherine Peachey</t>
  </si>
  <si>
    <t>Peachey</t>
  </si>
  <si>
    <t>Ms. Catherine Peachey serves as Head, Venture at Equinor. Ms. Peachey serves as Consultant at USI Insurance Services.</t>
  </si>
  <si>
    <t>cp@equinor.com</t>
  </si>
  <si>
    <t>Head, Venture</t>
  </si>
  <si>
    <t>265879-90P</t>
  </si>
  <si>
    <t>Dennis Arthur</t>
  </si>
  <si>
    <t>Mr. Dennis Arthur serves as Executive, Mergers &amp; Acquisitions and Divestments at Equinor.</t>
  </si>
  <si>
    <t>+47 25 27 54 29</t>
  </si>
  <si>
    <t>dear@equinor.com</t>
  </si>
  <si>
    <t>Executive, Mergers &amp; Acquisitions</t>
  </si>
  <si>
    <t>432560-89P</t>
  </si>
  <si>
    <t>Eivind Aarebrot</t>
  </si>
  <si>
    <t>Eivind</t>
  </si>
  <si>
    <t>Aarebrot</t>
  </si>
  <si>
    <t>Mr. Eivind Aarebrot serves as Special Advisor at Equinor.</t>
  </si>
  <si>
    <t>219740-41P</t>
  </si>
  <si>
    <t>Erik Gonder</t>
  </si>
  <si>
    <t>Gonder</t>
  </si>
  <si>
    <t>Mr. Erik Gonder serves as Investor Relations Officer at Equinor.</t>
  </si>
  <si>
    <t>+47 99 56 26 11</t>
  </si>
  <si>
    <t>ergon@equinor.com</t>
  </si>
  <si>
    <t>Investor Relations Officer</t>
  </si>
  <si>
    <t>265880-62P</t>
  </si>
  <si>
    <t>Fan Gao</t>
  </si>
  <si>
    <t>Ms. Fan Gao serves as Investor Relations Officer, UK at Equinor.</t>
  </si>
  <si>
    <t>fgao@equinor.com</t>
  </si>
  <si>
    <t>Investor Relations Officer, UK</t>
  </si>
  <si>
    <t>257408-56P</t>
  </si>
  <si>
    <t>Geir Tungesvik</t>
  </si>
  <si>
    <t>Geir</t>
  </si>
  <si>
    <t>Tungesvik</t>
  </si>
  <si>
    <t>Mr. Geir Tungesvik serves as Executive Vice President, Projects, Drilling and Procurement (PDP) at Equinor. Mr. Tungesvik joined Equinor in 1985. He comes from the position as Senior Vice President Project Development.Previously he has held central management positions in the company including the position as Senior Vice President for Drillingand Well, Vice President for exploration drilling, Vice President for Grane production field and Vice President for health, safetyand environment in Exploration. He holds Master of Science degree in petroleum from the University of Stavanger (UIS) and Master module in strategic management from the Norwegian Business School (BI).</t>
  </si>
  <si>
    <t>gt@equinor.com</t>
  </si>
  <si>
    <t>Executive Vice President, Projects, Drilling and Procurement (PDP)</t>
  </si>
  <si>
    <t>420632-47P</t>
  </si>
  <si>
    <t>Grete Haaland</t>
  </si>
  <si>
    <t>Grete</t>
  </si>
  <si>
    <t>Haaland</t>
  </si>
  <si>
    <t>Ms. Grete Haaland serves as Senior Vice President for Exploration and Production North at Equinor.</t>
  </si>
  <si>
    <t>gbh@equinor.com</t>
  </si>
  <si>
    <t>Senior Vice President for Exploration and Production North</t>
  </si>
  <si>
    <t>305471-44P</t>
  </si>
  <si>
    <t>Hanne Furberg</t>
  </si>
  <si>
    <t>Hanne</t>
  </si>
  <si>
    <t>Furberg</t>
  </si>
  <si>
    <t>Ms. Hanne Furberg serves as Investment Manager at Equinor. Ms. Furberg serves as Board Member at ScoutDI. She served as Board Member at Intelligent Mud Solutions.</t>
  </si>
  <si>
    <t>hf@equinor.com</t>
  </si>
  <si>
    <t>432541-90P</t>
  </si>
  <si>
    <t>Hanne Lekva</t>
  </si>
  <si>
    <t>Lekva</t>
  </si>
  <si>
    <t>Ms. Hanne Lekva serves as Manager Sustainability NCS at Equinor.</t>
  </si>
  <si>
    <t>hl@equinor.com</t>
  </si>
  <si>
    <t>Manager Sustainability NCS</t>
  </si>
  <si>
    <t>153666-73P</t>
  </si>
  <si>
    <t>Hege Skryseth</t>
  </si>
  <si>
    <t>Hege</t>
  </si>
  <si>
    <t>Skryseth</t>
  </si>
  <si>
    <t>Ms. Hege Skryseth serves as Executive Vice President and Chief Technical Officer at Equinor. Mr. Skryseth served as President at Kongsberg Digital. Managing positions in several leading international technology companies, including the position of CEO of Microsoft Norway and Geodata. She serves as Board Member at AutoStore. She comes from the position as Executive Vice President of Kongsberg, and President of Kongsberg Digital, a position which she held since 2013. Prior to Kongsberg, Skryseth held various leadership positions in international tech companies such as Microsoft Norway and Geodata (ESRI). She holds Executive MBA from NHH and Bachelor from BI, college graduate from NITH.</t>
  </si>
  <si>
    <t>heges@equinor.com</t>
  </si>
  <si>
    <t>Executive Vice President and Chief Technical Officer</t>
  </si>
  <si>
    <t>156771-91P</t>
  </si>
  <si>
    <t>Hilde Nafstad</t>
  </si>
  <si>
    <t>Hilde</t>
  </si>
  <si>
    <t>Nafstad</t>
  </si>
  <si>
    <t>Manager &amp; Senior Vice President</t>
  </si>
  <si>
    <t>Ms. Hilde Nafstad serves as Acting Senior Vice President Africa, Country Manager Tanzania, E and P International at Equinor. Ms. Nafstad also serves as the Board Member at GjensidigeStiftelsen. She is a board member from 2020. In addition to being a board member of Gjensidigestiftelsen, she is a board representative throughout Gjensidige Forsikring ASA. Ms. Nafstad is a graduate economist with a specialization in International Business Management.</t>
  </si>
  <si>
    <t>hmn@equinor.com</t>
  </si>
  <si>
    <t>+47 51 99 00 50</t>
  </si>
  <si>
    <t>Acting Senior Vice President Africa, Country Manager Tanzania, E and P International</t>
  </si>
  <si>
    <t>52812-10P</t>
  </si>
  <si>
    <t>Ingebrigt Masvie</t>
  </si>
  <si>
    <t>Ingebrigt</t>
  </si>
  <si>
    <t>Masvie</t>
  </si>
  <si>
    <t>Mr. Ingebrigt Masvie serves as Senior Investment Director, Equinor Ventures at Equinor. Mr. Masvie serves as Board Member at Water Linked. He serves as a Board Member at Space Intelligence. He also served as a Board Member at Silixa, Marine Cybernetics &amp; Numascale. He is serving on the board of several portfolio companies. He received his MBA in Finance from UNC-Chapel Hill, his MSc in Engineering Cybernetics from NTNU Trondheim, and studied the Russian language at the Norwegian Armed Forces' School of Intelligence and Security. He served as Investment Director at Statoil. He has 20 years of experience in research (DNV-GL), management consultancy (PA Consulting), and investment management (Ventures and Statoil Technology Invest). He also serves as a Board Member at Reveal Energy Services.</t>
  </si>
  <si>
    <t>+47 38 39 20 99</t>
  </si>
  <si>
    <t>inmas@equinor.com</t>
  </si>
  <si>
    <t>Senior Investment Director, Equinor Ventures</t>
  </si>
  <si>
    <t>184253-41P</t>
  </si>
  <si>
    <t>Ingunn Svegården</t>
  </si>
  <si>
    <t>Ingunn</t>
  </si>
  <si>
    <t>Svegården</t>
  </si>
  <si>
    <t>Ms. Ingunn Svegården serves as Senior Vice President Renewables - Asia Pacific at Equinor.</t>
  </si>
  <si>
    <t>ingunns@equinor.com</t>
  </si>
  <si>
    <t>Senior Vice President Renewables - Asia Pacific</t>
  </si>
  <si>
    <t>388056-88P</t>
  </si>
  <si>
    <t>Ingvar Egeland</t>
  </si>
  <si>
    <t>Ingvar</t>
  </si>
  <si>
    <t>Egeland</t>
  </si>
  <si>
    <t>Mr. Ingvar Egeland serves as Investor Relations Manager, London at Equinor.</t>
  </si>
  <si>
    <t>+47 99 32 29 38</t>
  </si>
  <si>
    <t>ineg@equinor.com</t>
  </si>
  <si>
    <t>Investor Relations Manager, London</t>
  </si>
  <si>
    <t>145671-13P</t>
  </si>
  <si>
    <t>Irene Rummelhoff</t>
  </si>
  <si>
    <t>Irene</t>
  </si>
  <si>
    <t>Rummelhoff</t>
  </si>
  <si>
    <t>Ms. Irene Rummelhoff serves as Executive Vice President, Marketing, Midstream &amp; Processing at Equinor. Ms. Rummelhoff joined Equinor in 1991. She serves as Board Member &amp; Member of the Ethics, Compliance &amp; Sustainability Committee at Airbus Group. She has since 2018 served as Executive Vice President of Marketing, Midstream and Processing (MMP) at Equinor ASA (international energy company based in Norway) and been a member of the company's Corporate Executive Committee since 2015. With more than 3600 MMP-employees worldwide, she has the responsibility for flow assurance, processing and marketing of all of Equinor's products, including marketing of the Norwegian State's natural gas and crude on the Norwegian continental shelf. This responsibility includes development of the company's hydrogen and carbon capture and storage (CCS) value chains. Between 2015 and 2018, she served as the Executive Vice President for Equinor's New Energy Solutions division, reporting to the CEO. In that context she was instrumental in Equinor's market-leading transition into the renewable energy field, ahead of all other oil majors. She was tasked with forming a new division and driving the development of the Equinor's strategy in renewable and alternative energy solutions, whereby she pushed for offshore wind and low carbon solutions such as carbon capture and storage and other related technologies, including hydrogen development. In 2014, Ms. Rummelhoff became an appointed member of the Board of Directors of Norsk Hydro (aluminum and renewable energy producer) and was later promoted to Deputy Chair in 2016, a position she held until the expiry of her term in 2022.</t>
  </si>
  <si>
    <t>Executive Vice President, Marketing, Midstream &amp; Processing</t>
  </si>
  <si>
    <t>154640-26P</t>
  </si>
  <si>
    <t>Jannicke Nilsson</t>
  </si>
  <si>
    <t>Jannicke</t>
  </si>
  <si>
    <t>Nilsson</t>
  </si>
  <si>
    <t>Ms. Jannicke Nilsson serves as Executive Vice President, Safety, Security &amp; Sustainability at Equinor. Ms. Nilsson joining Equinor in 1999, Nilsson has held a number of central leadership position within operation, projects and technology. From June 2021, Jannicke Nilsson has led the corporate function which shapes and safeguards Equinor's efforts on the areas of safety, security, and sustainability, including Equinor Energy Transition Plan. Prior to this role she was Executive Vice President and Chief Operating Officer (COO) for five years. As COO she drove Equinor's digital transformation and delivered tangible results delivering on the company's strategy. Nilsson has also been a program leader for a company-wide efficiency programme running from 2014 - 2016. He holds an MSc in Cybernetics and Process Automation and a BSc in Automation from the Rogaland Regional College University of Stavanger. She also serves as Board Member at Odfjell.</t>
  </si>
  <si>
    <t>jn@equinor.com</t>
  </si>
  <si>
    <t>Executive Vice President, Safety, Security &amp; Sustainability</t>
  </si>
  <si>
    <t>83808-46P</t>
  </si>
  <si>
    <t>Jason Nye</t>
  </si>
  <si>
    <t>Nye</t>
  </si>
  <si>
    <t>Mr. Jason Nye serves as Senior Vice President, U.S. Offshore at Equinor. Previously, Mr. Nye served as Energy Specialist at McKinsey &amp; Company.</t>
  </si>
  <si>
    <t>Senior Vice President, U.S. Offshore</t>
  </si>
  <si>
    <t>198673-66P</t>
  </si>
  <si>
    <t>Jens Okland</t>
  </si>
  <si>
    <t>Okland</t>
  </si>
  <si>
    <t>Mr. Jens Okland serves as Acting Executive Vice President, Renewables at Equinor. Mr. Okland joined Equinor in 1994. He comes from the position as Senior Vice President of Strategy and Business Development in the Renewables business area, which he held from 2018. From 2015 -2018 he was Executive Vice President for Marketing, Midstream and Processing. He has held several management positions in Equinor prior to this, including Vice President of operations for the Asgard area in Development and Production Norway in 2013-15, Senior Vice President in the Natural gas business area from 2010-13, Senior Vice President in Gas Supply and Infrastructure from 2008-2010 and from 2007 - 2008 he was Vice President in Business Development Natural gas Europe. From 1994 - 2007 has held various positions in the Natural Gas business area and in the retail business. He holds Master in Science in business from BI Norwegian Business School in Oslo.</t>
  </si>
  <si>
    <t>jenso@equinor.com</t>
  </si>
  <si>
    <t>Acting Executive Vice President, Renewables</t>
  </si>
  <si>
    <t>219892-42P</t>
  </si>
  <si>
    <t>Kristian Fjelde</t>
  </si>
  <si>
    <t>Fjelde</t>
  </si>
  <si>
    <t>Mr. Kristian Fjelde serves as Strategy Manager Renewables at Equinor.</t>
  </si>
  <si>
    <t>kef@equinor.com</t>
  </si>
  <si>
    <t>Strategy Manager Renewables</t>
  </si>
  <si>
    <t>432444-07P</t>
  </si>
  <si>
    <t>Kristian Hausken</t>
  </si>
  <si>
    <t>Hausken</t>
  </si>
  <si>
    <t>Mr. Kristian Hausken serves as Vice President Business Development at Equinor.</t>
  </si>
  <si>
    <t>kh@equinor.com</t>
  </si>
  <si>
    <t>Vice President Business Development</t>
  </si>
  <si>
    <t>448049-71P</t>
  </si>
  <si>
    <t>Kristine Rønneberg</t>
  </si>
  <si>
    <t>Kristine</t>
  </si>
  <si>
    <t>Rønneberg</t>
  </si>
  <si>
    <t>Ms. Kristine Rønneberg serves as Head of Diversity &amp; Inclusion, Corporate People &amp; Organisation at Equinor.</t>
  </si>
  <si>
    <t>Head of Diversity &amp; Inclusion, Corporate People &amp; Organisation</t>
  </si>
  <si>
    <t>431567-02P</t>
  </si>
  <si>
    <t>Kristjan Osaland</t>
  </si>
  <si>
    <t>Kristjan</t>
  </si>
  <si>
    <t>Osaland</t>
  </si>
  <si>
    <t>Mr. Kristjan Osaland serves as Investor Relations Officer at Equinor.</t>
  </si>
  <si>
    <t>+47 41 35 97 44</t>
  </si>
  <si>
    <t>kosal@equinor.com</t>
  </si>
  <si>
    <t>219746-80P</t>
  </si>
  <si>
    <t>Lars Valdresbråten</t>
  </si>
  <si>
    <t>Valdresbråten</t>
  </si>
  <si>
    <t>Mr. Lars Valdresbråten serves as Investor Relations Manager at Equinor.</t>
  </si>
  <si>
    <t>+47 40 28 17 89</t>
  </si>
  <si>
    <t>lava@equinor.com</t>
  </si>
  <si>
    <t>388085-14P</t>
  </si>
  <si>
    <t>Lindsey Gannaway</t>
  </si>
  <si>
    <t>Gannaway</t>
  </si>
  <si>
    <t>Ms. Lindsey Gannaway serves as Business Development Lead at Equinor. Ms. Gannaway previously served as Chief Of Staff To EVP Exploration And Production International, Chief Of Staff To EVP Global Strategy And Business Development, Corporate People And Leadership, Principal Analyst and Senior Performance Analyst.</t>
  </si>
  <si>
    <t>lg@equinor.com</t>
  </si>
  <si>
    <t>Business Development Lead</t>
  </si>
  <si>
    <t>388092-25P</t>
  </si>
  <si>
    <t>Marc Jacouris</t>
  </si>
  <si>
    <t>Jacouris</t>
  </si>
  <si>
    <t>Mr. Marc Jacouris serves as Executive of Mergers &amp; Acquisitions at Equinor.</t>
  </si>
  <si>
    <t>m.jacouris@equinor.com</t>
  </si>
  <si>
    <t>Executive of Mergers &amp; Acquisitions</t>
  </si>
  <si>
    <t>141786-01P</t>
  </si>
  <si>
    <t>Miguel Strauss</t>
  </si>
  <si>
    <t>Strauss</t>
  </si>
  <si>
    <t>Mr. Miguel Strauss serves as Chief Counsel - Mergers, Acquisitions &amp; Divestments at Equinor. Mr. Strauss serves as In-House Counsel at Statoil. He focuses on negotiating and advising on complex, cross-border, upstream joint ventures, acquisitions, divestments and production contracts in the oil and gas sector worldwide. He has been involved in negotiations covering diverse types of assets and projects, including oil sands, shale gas, shale oil, deep offshore and extra heavy oil. For the last nine years he has held several positions in Statoil's legal department in places like Venezuela, Norway, the United States and the United Kingdom, providing legal support to Statoil's internationalization efforts. He is currently based in Houston after concluding a stint in London, where he acted as interim Head of Legal's Global Strategy and Business Development team. He was appointed as Statoil's Chief Counsel for Mergers and Acquisitions in 2012. Prior to joining Statoil, Miguel worked with Davis Polk &amp; Wardwell in New York and London as member of the Latin America and Spain Group, focusing on Project Finance, Securities and M&amp;A. Previosly, he worked with the Venezuelan National Oil Company Petroleos de Venezuela S.A. (PDVSA) in the upstream area.</t>
  </si>
  <si>
    <t>migs@equinor.com</t>
  </si>
  <si>
    <t>Chief Counsel - Mergers, Acquisitions &amp; Divestments</t>
  </si>
  <si>
    <t>63145-36P</t>
  </si>
  <si>
    <t>Morten Halleraker</t>
  </si>
  <si>
    <t>Halleraker</t>
  </si>
  <si>
    <t>Mr. Morten Halleraker serves as Senior Vice President, New Business and Investments in Technology, Digital and Innovation at Equinor.</t>
  </si>
  <si>
    <t>halleraker@equinor.com</t>
  </si>
  <si>
    <t>Senior Vice President, New Business and Investments in Technology, Digital and Innovation</t>
  </si>
  <si>
    <t>288734-86P</t>
  </si>
  <si>
    <t>Nathan Mital</t>
  </si>
  <si>
    <t>Mital</t>
  </si>
  <si>
    <t>Mr. Nathan Mital serves as Investor Relations Officer, Houston at Equinor.</t>
  </si>
  <si>
    <t>+1 469-927-5677</t>
  </si>
  <si>
    <t>nmita@equinor.com</t>
  </si>
  <si>
    <t>Investor Relations Officer, Houston</t>
  </si>
  <si>
    <t>302227-48P</t>
  </si>
  <si>
    <t>Nick Ashton</t>
  </si>
  <si>
    <t>Ashton</t>
  </si>
  <si>
    <t>Mr. Nick Ashton serves as Senior Vice President, Exploration at Equinor.</t>
  </si>
  <si>
    <t>nicka@equinor.com</t>
  </si>
  <si>
    <t>Senior Vice President, Exploration</t>
  </si>
  <si>
    <t>279665-83P</t>
  </si>
  <si>
    <t>Olav Kolbeinstveit</t>
  </si>
  <si>
    <t>Olav</t>
  </si>
  <si>
    <t>Kolbeinstveit</t>
  </si>
  <si>
    <t>Mr. Olav Kolbeinstveit serves as Chief Financial Officer, Equinor Renewables (RFO) at Equinor. Mr. Kolbeinstveit serves as Board Member at Danske Commodities. He has a Master's in Economics. Almost 20 years of experience from global energy markets. Previously held the roles of Vice President, Market Analysis, and Vice President, Area Development, NCS, Equinor ASA</t>
  </si>
  <si>
    <t>olav@equinor.com</t>
  </si>
  <si>
    <t>Chief Financial Officer, Equinor Renewables (RFO)</t>
  </si>
  <si>
    <t>431570-98P</t>
  </si>
  <si>
    <t>Per Solend</t>
  </si>
  <si>
    <t>Solend</t>
  </si>
  <si>
    <t>Mr. Per Solend serves as Vice President &amp; Head, Mergers &amp; Acquisitions and Insights at Equinor.</t>
  </si>
  <si>
    <t>pers@equinor.com</t>
  </si>
  <si>
    <t>Vice President &amp; Head, Mergers &amp; Acquisitions and Insights</t>
  </si>
  <si>
    <t>338289-49P</t>
  </si>
  <si>
    <t>Philippe Mathieu</t>
  </si>
  <si>
    <t>Mr. Philippe Mathieu serves as Executive Vice President, Exploration &amp; Production International at Equinor. Mr. Mathieu joined Equinor in 1995. He comes from the position of Senior Vice President Corporate Strategy, which he had since October 2019. Mathieu has also held the Senior Vice President position for Joint Operations Support in Exploration and Production Norway from 2016 - 2019, Corporate Finance from 2014 - 2016, and Business Development Midstream Infrastructure from 2011 - 2014. Prior to the roles as Senior Vice President, Mathieu held several senior positions within marketing and supply in commercializing gas contracts in both North Africa and Europe. He holds Civil Engineer degree from Ecole Nationale des Travaux Publics de l'Etat and a Master's degree in Economics from Université Lumière Lyon and from University of California, Berkeley.</t>
  </si>
  <si>
    <t>Executive Vice President, Exploration &amp; Production International</t>
  </si>
  <si>
    <t>14811-76P</t>
  </si>
  <si>
    <t>Robert Eilertsen</t>
  </si>
  <si>
    <t>Eilertsen</t>
  </si>
  <si>
    <t>Mr. Robert Eilertsen serves as Manager Treasury Markets at Equinor.</t>
  </si>
  <si>
    <t>roberte@equinor.com</t>
  </si>
  <si>
    <t>Manager Treasury Markets</t>
  </si>
  <si>
    <t>224181-01P</t>
  </si>
  <si>
    <t>Siv Torstensen</t>
  </si>
  <si>
    <t>Siv</t>
  </si>
  <si>
    <t>Torstensen</t>
  </si>
  <si>
    <t>Ms. Siv Torstensen serves as an Executive Vice President, Legal &amp; Compliance at Equinor. Ms. Torstensen serves as Board Member at Danske Commodities. He joined Equinor in 1998. She comes from the position of Senior Vice President and General Counsel, which she held since 1 August 2019. Prior to that she held the position as Head of CEO office from July 2016. From 2011 - 2016 she was Vice President Corporate in LEG. From 1998 - 2011 Rygh Torstensen held various positions within LEG, including as Corporate Compliance Office and Acting General Counsel. Before joining Equinor she worked with the law firm Cappelen &amp; Krefting DA and as a lawyer for Stavanger municipal council. He holds Master of Law from the University of Bergen, Norway, and licensed as an Attorney at Law.</t>
  </si>
  <si>
    <t>sivt@equinor.com</t>
  </si>
  <si>
    <t>Executive Vice President, Legal &amp; Compliance</t>
  </si>
  <si>
    <t>388087-93P</t>
  </si>
  <si>
    <t>Sun Yu</t>
  </si>
  <si>
    <t>Mr. Sun Yu serves as Business Development Manager, APAC at Equinor.</t>
  </si>
  <si>
    <t>sy@equinor.com</t>
  </si>
  <si>
    <t>Business Development Manager, APAC</t>
  </si>
  <si>
    <t>240861-79P</t>
  </si>
  <si>
    <t>Torbjørn Folgerø</t>
  </si>
  <si>
    <t>Torbjørn</t>
  </si>
  <si>
    <t>Folgerø</t>
  </si>
  <si>
    <t>Mr. Torbjørn Folgerø serves as Chief Information Officer at Equinor. Mr. Folgerø serves as Board Member at Danske Commodities. He also serves as Chief Digital Officer at Equinor.</t>
  </si>
  <si>
    <t>tf@equinor.com</t>
  </si>
  <si>
    <t>71148-16P</t>
  </si>
  <si>
    <t>Torgrim Reitan</t>
  </si>
  <si>
    <t>Torgrim</t>
  </si>
  <si>
    <t>Reitan</t>
  </si>
  <si>
    <t>Mr. Torgrim Reitan serves as Executive Vice President and Chief Financial Officer at Equinor. Before this, Mr. Reitan held the position of Executive Vice President and Chief Financial Officer from 2010 - 2015. He joined Equinor in 1995. He comes from the position of Senior Vice President for Finance and Control in Equinor's Renewables business area, which he held since 2020. From 2018 - 2020 he was Executive Vice President for Development and production international, and from 2015 - 2018 Reitan held the position as Executive Vice President of Development and Production USA. Prior to this he held the position as Executive Vice President and Chief Financial Officer from 2010 - 2015. He has held several management positions in Equinor prior to this, including Senior Vice President in trading and operations in the Natural gas business area in 2009 - 2010, Senior Vice President in Performance management and analysis from 2007 - 2009, and from 2005 - 2007 he was Senior Vice President in Performance Management, Tax and M&amp;A. From 1995 - 2004 Reitan held various positions in the Natural Gas business area and corporate functions. He holds a Master of Science degree from the Norwegian School of Economics and Business Administration (NHH).</t>
  </si>
  <si>
    <t>torgrim.r@equinor.com</t>
  </si>
  <si>
    <t>Executive Vice President and Chief Financial Officer</t>
  </si>
  <si>
    <t>270000-37P</t>
  </si>
  <si>
    <t>Torstein Hole</t>
  </si>
  <si>
    <t>Torstein</t>
  </si>
  <si>
    <t>Hole</t>
  </si>
  <si>
    <t>Mr. Torstein Hole serves as Senior Vice President at Equinor.</t>
  </si>
  <si>
    <t>hole@equinor.com</t>
  </si>
  <si>
    <t>116971-21P</t>
  </si>
  <si>
    <t>Mahesh Ramakrishnan</t>
  </si>
  <si>
    <t>Ramakrishnan</t>
  </si>
  <si>
    <t>Escape Velocity</t>
  </si>
  <si>
    <t>Mr. Mahesh Ramakrishnan is a Co-Founder, and serves as Co-Chief Executive Officer, Managing Director and Board Member at Nanobi Analytics. He also serves as Venture Partner at escape Velocity. He is also an Angel investor. Over 25 years of experience in the area of Product and Process Innovation, New Product development, Product Engineering and Solution Architecture, on a range of technology platforms. He is a BE from University of Mysore and a MBA (PGDM) from IIM, Bangalore.</t>
  </si>
  <si>
    <t>+91 (0)80 6773 9907</t>
  </si>
  <si>
    <t>mahesh@nanobi.in</t>
  </si>
  <si>
    <t>91 Springboard, George Thangaiah Complex, 21</t>
  </si>
  <si>
    <t>80 Feet Road, near Sir CV Raman Hospital</t>
  </si>
  <si>
    <t>560038</t>
  </si>
  <si>
    <t>Co-Founder, Co-Chief Executive Officer, Managing Director and Board Member</t>
  </si>
  <si>
    <t>Nanobi Analytics</t>
  </si>
  <si>
    <t>373543-57P</t>
  </si>
  <si>
    <t>Simon Griffith</t>
  </si>
  <si>
    <t>Mr. Simon Griffith is the Principal at Escape Velocity. He is a business all-rounder who specializes in technology enablement. His two decades of experience spans various IT disciplines of operations, development and strategy, mixed with the business staples such as sales, project delivery and account management.</t>
  </si>
  <si>
    <t>+61 (0)3 9566 7257</t>
  </si>
  <si>
    <t>simon.griffith@escapevelocity.com.au</t>
  </si>
  <si>
    <t>2 Brandon Park Drive Wheelers Hill</t>
  </si>
  <si>
    <t>Level 3</t>
  </si>
  <si>
    <t>3150</t>
  </si>
  <si>
    <t>194101-30P</t>
  </si>
  <si>
    <t>Andrew Moeckel</t>
  </si>
  <si>
    <t>ESO Fund</t>
  </si>
  <si>
    <t>Mr. Andrew Moeckel serves as a Partner at ESO Fund. He previously worked with He and the Yale HPC Division to facilitate the use and optimization of the Yale HPC Cluster. Before that, he worked on tech startups through T-Rex, a Saint Louis-based incubator. He is a graduate of The Washington University in St. Louis School of Engineering and Applied Science. He was a dual major in Computer Science and Economics and looks to pursue the relationship between these disciplines.</t>
  </si>
  <si>
    <t>+1 (650) 262-6670</t>
  </si>
  <si>
    <t>andrew@esofund.com</t>
  </si>
  <si>
    <t>635 Mariners Island Boulevard</t>
  </si>
  <si>
    <t>+1 (650) 362-2174</t>
  </si>
  <si>
    <t>194102-38P</t>
  </si>
  <si>
    <t>Bill Yu</t>
  </si>
  <si>
    <t>Mr. Bill Yu serves as a Partner at ESO Fund. Throughout his career, he has held the position of software engineer, intern, teacher, researcher, analyst, associate, and shooting guard while working with his university, the National Institutes on Drug Abuse, First Data, and Northrop Grumman corporation. He graduated in 2014 from Johns Hopkins University in Baltimore..</t>
  </si>
  <si>
    <t>+1 (571) 234-0126</t>
  </si>
  <si>
    <t>bill@esofund.com</t>
  </si>
  <si>
    <t>41330-26P</t>
  </si>
  <si>
    <t>James Lackie</t>
  </si>
  <si>
    <t>Lackie</t>
  </si>
  <si>
    <t>Mr. James Lackie serves as Co-Founder &amp; Managing Partner at ESO Fund. Mr. Lackie serves as Lead Director &amp; Board Member at Active Implants He has over three decades of experience in venture capital, private equity, and alternative investment management. He has served as a director, board observer, consultant, and/or investor in start-up and later-stage businesses across multiple sectors including telecommunications, information technology, energy, insurance, finance, real estate, specialty retail, and medical devices. Jimmy actively manages holdings in various hedge funds and is the Founder and serves as a Managing Partner at River Street Management, LLC, an advisory and management services company in 2009. Jimmy began his career in commodities futures trading with Cook Industries, Inc. (1976-78), Dunavant Enterprises, Inc. (1978-81), Refco, Inc. (1981-91), and Lackie Trading Inc. (1991-Present), and although not actively trading, remains registered as an Introducing Broker with the Commodities Future Trading Commission(CFTC) and is a member of the National Futures Association (NFA). Jimmy has served on the Board of Directors of Youth Villages Inc. of Memphis, TN, since 2005 and is the Chair of the organization's 2015 Capital Campaign. He also serves on the Board of Trustees of the Campbell Foundation and the University of Memphis Foundation. Jimmy is an Eagle Scout and served as President of the Chickasaw Council of the Boy Scouts of America (2013-15).</t>
  </si>
  <si>
    <t>+1 (901) 681-9277</t>
  </si>
  <si>
    <t>jlackie@esofund.com</t>
  </si>
  <si>
    <t>Memphis</t>
  </si>
  <si>
    <t>Memphis, TN</t>
  </si>
  <si>
    <t>6060 Primacy Parkway</t>
  </si>
  <si>
    <t>Suite 430</t>
  </si>
  <si>
    <t>38119</t>
  </si>
  <si>
    <t>194102-74P</t>
  </si>
  <si>
    <t>Jordan Long</t>
  </si>
  <si>
    <t>Long</t>
  </si>
  <si>
    <t>Mr. Jordan Long serves as Partner, Marketing Lead at ESO Fund. He is a graduate from Wake Forest University where he majored in Mathematics and Economics, and aims to leverage his knowledge in data analytics in the Silicon Valley startup landscape. Jordan previously worked at Telemundo and DidjaTV in a research capacity, working with audience profiling and the deviation from traditional linear television use. Jordan grew up in the Bay Area where he was an All-County baseball player and is an avid sport fan, music enthusiast, and movie lover.</t>
  </si>
  <si>
    <t>jlong@esofund.com</t>
  </si>
  <si>
    <t>Partner, Marketing Lead</t>
  </si>
  <si>
    <t>182299-87P</t>
  </si>
  <si>
    <t>Kenneth Goldman</t>
  </si>
  <si>
    <t>Mr. Kenneth Goldman serves as a Partner at ESO Fund. He has over twenty years of experience in various finance and operations roles. Before joining the ESO Fund, he managed claims and pricing functions at the PMI Group, where he led a decision science team in developing predictive analytics for assessing mortgage default risk. At ESO, he manages the inside sales team and specializes in developing methodologies for rapid risk assessment and pre-qualification. He began his career as a financial analyst at the Thelen law firm and operated his consultancy through the dot.com era, serving in diverse roles from web developer and financial tool builder to project manager and corporate technology trainer. He began his education at Yale University and holds a B.S. in Business Administration from Cal State.</t>
  </si>
  <si>
    <t>kenneth@esofund.com</t>
  </si>
  <si>
    <t>307086-67P</t>
  </si>
  <si>
    <t>Michael Sousoulas</t>
  </si>
  <si>
    <t>Sousoulas</t>
  </si>
  <si>
    <t>Mr. J. Michael Sousoulas serves as Chief Financial Officer at ESO Fund. Prior to ESO, Mr. Sousoulas was a senior financial analyst at Mercer Capital, where he provided valuation services in engagements related to corporate planning, mergers and acquisitions, financial reporting, litigation support, and estate and gift tax planning and compliance matters. He started his career as an auditor with KPMG, specializing in hedge funds, private equity funds, and other alternative investments. He graduated with a B.A. in Accounting from Southern Methodist University, is a Certified Public Accountant.</t>
  </si>
  <si>
    <t>mike@esofund.com</t>
  </si>
  <si>
    <t>194104-00P</t>
  </si>
  <si>
    <t>Nairie Krikorian-Iskikian</t>
  </si>
  <si>
    <t>Nairie</t>
  </si>
  <si>
    <t>Krikorian-Iskikian</t>
  </si>
  <si>
    <t>Ms. Nairie Krikorian-Iskikian serves as a Partner at ESO Fund. She has fifteen years of experience in sales and operations roles. She is a relationship manager at ESO; her primary role is to guide clients through the process of making educated decisions regarding their stock options. She's also a founder of HES, an organization that assists students in the Middle East to make informative decisions and acts as a gateway to higher education institutions in the U.S. She holds a Finance degree from San Jose State University. She is actively involved in the community and is also a board member of the Armenian Cultural Foundation.</t>
  </si>
  <si>
    <t>nairie@esofund.com</t>
  </si>
  <si>
    <t>307090-27P</t>
  </si>
  <si>
    <t>Samuel Stroud</t>
  </si>
  <si>
    <t>Mr. Samuel Stroud serves as Partner at ESO Fund. Prior to ESO, Mr. Stroud is a graduate from Indiana University where he studied Finance. Prior to ESO, he worked at the Silicon Valley tech company NetApp where he held several different roles in Audit and Corporate Finance positions. Sam plans to focus his diverse financial background towards helping startup employees with their stock option needs. Sam enjoys golfing, skiing, and mountain biking in his spare time as well as rooting for the San Francisco 49ers.</t>
  </si>
  <si>
    <t>+1 (650) 744-0595</t>
  </si>
  <si>
    <t>sam@esofund.com</t>
  </si>
  <si>
    <t>13318-03P</t>
  </si>
  <si>
    <t>Scott Chou</t>
  </si>
  <si>
    <t>Mr. Scott Chou is a Co-Founder and serves as Managing Partner at ESO Fund. He serves as an Advisor at eLab Ventures. He served as Managing Director in Gabriel Venture Partners. He has been in the venture capital industry since 1997 and was recently recognized by Always On as a Top 100 venture capitalist. He is known for his focus on disruptive technologies and for authoring Maxims, Morals, and Metaphors - A Primer on Venture Capital. Scott's passion for early-stage technology ventures extends back to high school when he joined his first startup as a software engineer. He has since worked for five more technology ventures including Poqet Computer and ICE in addition to world-renowned research and development organizations such as Bellcore and IBM. His broad expertise in technology spans the industry from manufacturing to software development to chip design. Scott actively maintains his technical expertise as the creator of Oh Don't Forget!, a popular mobile app for Android and iOS devices. He completed the prestigious Kauffman Fellows Program in 1999 with Onset Ventures and later joined Gabriel Venture Partners in early 2000 where he focused on research labs for fundamental innovations. Scott's first investment at Gabriel was in the seed round of NextG Networks which eventually sold to Crown Castle for $1 billion. Scott's educational background includes a bachelor's degree in electrical engineering with honors from Caltech as well as master's degrees from Harvard University and Stanford University.</t>
  </si>
  <si>
    <t>+1 (650) 719-8863</t>
  </si>
  <si>
    <t>scott@esofund.com</t>
  </si>
  <si>
    <t>182305-18P</t>
  </si>
  <si>
    <t>Sean Cheng</t>
  </si>
  <si>
    <t>Mr. Sean Cheng serves as Vice President, Engineering at ESO Fund. Mr. Cheng is a recent graduate from the College of William and Mary where he majored in Computer Science and Economics. Prior to joining ESO, he worked as a consultant for Booz Allen Hamilton where he developed several tools, including pattern detection and text analysis tools using Solr and Stanford NLP as well as a backend solution to functionally track munitions and fuel data for war gaming applications. Before Booz Allen, he interned at a small startup in Mclean, VA where he developed his technical skills in MySQL as well as schema design.</t>
  </si>
  <si>
    <t>sean@esofund.com</t>
  </si>
  <si>
    <t>Vice President, Engineering</t>
  </si>
  <si>
    <t>44434-63P</t>
  </si>
  <si>
    <t>Stephen Roberts</t>
  </si>
  <si>
    <t>Mr. Stephen Roberts is a Co-Founder of ESO Fund. He also serves as Managing Partner at River Street Management. He has extensive experience in sourcing, structuring, and managing venture investments. He has been involved in all aspects of entrepreneurial businesses, including line management, capital allocation, personnel management, sales, and marketing. Early in his career, Mr. Roberts was a transactional lawyer. Prior to co-founding ESO, Stephen has been involved as a founder or investor in numerous wireless communications businesses and private equity opportunities. Stephen graduated cum laude from Harvard Law School and summa cum laude from Mississippi State University and holds the Chartered Financial Analyst designation. Stephen's community activities include being a member of the Board of Directors of the Chickasaw Counsel of the Boy Scouts of America.</t>
  </si>
  <si>
    <t>smr@esofund.com</t>
  </si>
  <si>
    <t>13933-63P</t>
  </si>
  <si>
    <t>Tony Tsao</t>
  </si>
  <si>
    <t>Mr. Tony Tsao serves as Partner at ESO Fund. He was previously an investment professional in venture debt with Western Technology Investment. Mr. Tsao focused on secondary direct investments in the technology sector at Saints Capital, and venture capital investments in the communications and semiconductor industries at H&amp;Q Asia Pacific. He began his career in the healthcare investment banking division of Lehman Brothers in New York and London. Mr. Tsao holds a B.S. and M.B.A. from the Wharton School of the University of Pennsylvania.</t>
  </si>
  <si>
    <t>tony@esofund.com</t>
  </si>
  <si>
    <t>194103-64P</t>
  </si>
  <si>
    <t>Utkarsh Sharma</t>
  </si>
  <si>
    <t>Utkarsh</t>
  </si>
  <si>
    <t>Mr. Utkarsh Sharma is an Investor at ESO Fund. Mr. Sharma is a cum laude graduate from San Jose State University where he studied Finance and Computer Science. Prior to joining ESO, Utkarsh interned in Software Development at Waterline Data where he worked with REST APIs, Big Data warehouses and relational databases to automate business decision making. Before Waterline, Utkarsh interned at a small SaaS startup in Sunnyvale, CA where he developed technical skills in Android application design and startup development. Utkarsh is an active part of the Bay Area soccer community, playing semi pro on the weekends and refereeing youth and adult games.</t>
  </si>
  <si>
    <t>138326-68P</t>
  </si>
  <si>
    <t>Alexis Marchand</t>
  </si>
  <si>
    <t>Marchand</t>
  </si>
  <si>
    <t>European Commission</t>
  </si>
  <si>
    <t>Mr. Alexis Marchand serves as Executive, Finance at European Commission. He served as Executive, Finance at the European Union.</t>
  </si>
  <si>
    <t>+32 (0)2 299 91 61</t>
  </si>
  <si>
    <t>alexis.marchand@ec.europa.eu</t>
  </si>
  <si>
    <t>Charlemagne building</t>
  </si>
  <si>
    <t>Rue de la Loi 170</t>
  </si>
  <si>
    <t>1040</t>
  </si>
  <si>
    <t>Executive, Finance</t>
  </si>
  <si>
    <t>170702-38P</t>
  </si>
  <si>
    <t>Aurelie Martin</t>
  </si>
  <si>
    <t>Aurelie</t>
  </si>
  <si>
    <t>Office Manager</t>
  </si>
  <si>
    <t>Ms. Aurelie Martin serves as Project Officer at European Commission.</t>
  </si>
  <si>
    <t>+352 430134067</t>
  </si>
  <si>
    <t>aurelie.martin-hidalgo@ec.europa.eu</t>
  </si>
  <si>
    <t>Project Officer</t>
  </si>
  <si>
    <t>167570-20P</t>
  </si>
  <si>
    <t>Benjamin Angel</t>
  </si>
  <si>
    <t>Mr. Benjamin Angel serves as Director, Direct Taxation, Tax Coordination, Economic Analysis, and Evaluation at European Commission. He served as Board Member at European Investment Fund.</t>
  </si>
  <si>
    <t>+32 (0)2 299 96 96</t>
  </si>
  <si>
    <t>benjamin.angel@ec.europa.eu</t>
  </si>
  <si>
    <t>Director, Direct Taxation, Tax Coordination, Economic Analysis, and Evaluation</t>
  </si>
  <si>
    <t>150591-70P</t>
  </si>
  <si>
    <t>Bogdan Ceobanu</t>
  </si>
  <si>
    <t>Bogdan</t>
  </si>
  <si>
    <t>Ceobanu</t>
  </si>
  <si>
    <t>Mr. Bogdan Ceobanu serves as Policy Officer at European Commission.</t>
  </si>
  <si>
    <t>bogdan.ceobanu@europa.eu</t>
  </si>
  <si>
    <t>Policy Officer</t>
  </si>
  <si>
    <t>246348-37P</t>
  </si>
  <si>
    <t>Denis Redonnet</t>
  </si>
  <si>
    <t>Redonnet</t>
  </si>
  <si>
    <t>Mr. Denis Redonnet serves as Directorate-General for Trade at European Commission. He has a degree in economics from - College of Europe, Bruges. He also has Masters' degree in international economics and finance, University Paris IX Dauphine.</t>
  </si>
  <si>
    <t>denis.redonnet@ec.europa.eu</t>
  </si>
  <si>
    <t>Directorate-General for Trade</t>
  </si>
  <si>
    <t>124584-13P</t>
  </si>
  <si>
    <t>Ewa Treitz</t>
  </si>
  <si>
    <t>Treitz</t>
  </si>
  <si>
    <t>Ms. Ewa Treitz serves as Private Equity Advisor &amp; Principal, Private Equity at Amazon Web Services. Ms. Treitz serves as Expert Advisor at European Commission. She Co-Founded Sensed.io. She served as a Venture Partner at Black Pearls VC. She served as Board Observer at Mersive Technologies. She served in multiple management roles at Venture Capital and Corporate Venture Capital funds in Germany, Sweden, and the USA. Between 2012 and 2015, she was responsible for venture investments in innovative European startups for a large US corporation, 3M, based in St Paul, Minnesota. She represented 3M on multiple Boards of Directors of its portfolio companies. Before that, she worked as an associate at Sustainable Technologies Fund in Stockholm, a mid-size cleantech expansion-stage fund with a focus on the Scandinavian market. He is the Founder and serves as Chief Executive Officer of a promising company in the area of advanced robotics. The company builds on years of research in artificial intelligence and robotics at the Technical University in Munich and is currently in stealth mode. Since June 201,4, she has been a member of the Kauffman Fellowship - an executive education program for top Venture Capital investors worldwide, based in Palo Alto, California. She is a graduate of Uppsala University in Sweden (MSc) and Jacobs University in Germany (BA).</t>
  </si>
  <si>
    <t>ewa.treitz@amazon.com</t>
  </si>
  <si>
    <t>98109-5210</t>
  </si>
  <si>
    <t>Private Equity Advisor &amp; Principal, Private Equity</t>
  </si>
  <si>
    <t>Amazon Web Services</t>
  </si>
  <si>
    <t>51692-86P</t>
  </si>
  <si>
    <t>Gilles Babinet</t>
  </si>
  <si>
    <t>Babinet</t>
  </si>
  <si>
    <t>Mr. Gilles Babinet serves as Digital Champion for France at European Commission. He co-founded and served as Chairman and Partner at Captain Dash. He also served as a Supervisory Advisory Member at IDI Group. Gilles is a multi-entrepreneur. He has founded nine companies. He is the "digital champion" of France at the European Commission, responsible for digital economy issues and in charge of promoting the benefits of a digital society in France. Gilles Babinet serves as Strategic Advisory Board Member at EY Consulting, formerly known as Ernst &amp; Young.</t>
  </si>
  <si>
    <t>Digital Champion for France</t>
  </si>
  <si>
    <t>199968-58P</t>
  </si>
  <si>
    <t>Isidro Laso Ballesteros</t>
  </si>
  <si>
    <t>Isidro</t>
  </si>
  <si>
    <t>Laso Ballesteros</t>
  </si>
  <si>
    <t>Ms. Isidro Laso Ballesteros serves as Cabinet Member at European Commission.</t>
  </si>
  <si>
    <t>+32 (0)2 296 05 57</t>
  </si>
  <si>
    <t>isidro.laso@ec.europa.eu</t>
  </si>
  <si>
    <t>Cabinet Member</t>
  </si>
  <si>
    <t>29831-23P</t>
  </si>
  <si>
    <t>Krzysztof Kuik</t>
  </si>
  <si>
    <t>Krzysztof</t>
  </si>
  <si>
    <t>Kuik</t>
  </si>
  <si>
    <t>Mr. Krzysztof Kuik served as a Head of Unit at European Commission. Previously, he served as a Associate at White &amp; Case LLP.</t>
  </si>
  <si>
    <t>+32 (0)2 219 16 20</t>
  </si>
  <si>
    <t>krzysztof.kuik@ec.europa.eu</t>
  </si>
  <si>
    <t>+32 (0)2 219 16 26</t>
  </si>
  <si>
    <t>Head of Unit</t>
  </si>
  <si>
    <t>408541-24P</t>
  </si>
  <si>
    <t>Lisa Antoine</t>
  </si>
  <si>
    <t>Ms. Lisa Antoine serves as Policy officer at European Commission.</t>
  </si>
  <si>
    <t>lisa.antoine@ec.europa.eu</t>
  </si>
  <si>
    <t>Policy officer</t>
  </si>
  <si>
    <t>230796-64P</t>
  </si>
  <si>
    <t>Luc Cole</t>
  </si>
  <si>
    <t>Mr. Luc Cole serves as Financial Engineering Manager at European Commission. Mr. Cole served as Associate at M80 Partners.</t>
  </si>
  <si>
    <t>luc.cole@ec.europa.eu</t>
  </si>
  <si>
    <t>Financial Engineering Manager</t>
  </si>
  <si>
    <t>170695-36P</t>
  </si>
  <si>
    <t>Luuk Borg</t>
  </si>
  <si>
    <t>Luuk</t>
  </si>
  <si>
    <t>Borg</t>
  </si>
  <si>
    <t>Mr. Luuk Borg serves as Investment Manager at European Innovation Council Fund. Mr. Luuk serves as Senior Policy Officer at European Commission.</t>
  </si>
  <si>
    <t>Place Charles Rogier 16</t>
  </si>
  <si>
    <t>1210</t>
  </si>
  <si>
    <t>European Innovation Council</t>
  </si>
  <si>
    <t>188849-17P</t>
  </si>
  <si>
    <t>Maros Sefcovic</t>
  </si>
  <si>
    <t>Maros</t>
  </si>
  <si>
    <t>Sefcovic</t>
  </si>
  <si>
    <t>Mr. Maros Sefcovic serves as Executive Vice President at European Commission.</t>
  </si>
  <si>
    <t>maros.sefcovic@ec.europa.eu</t>
  </si>
  <si>
    <t>258247-81P</t>
  </si>
  <si>
    <t>Nicklas Bergman</t>
  </si>
  <si>
    <t>Nicklas</t>
  </si>
  <si>
    <t>Mr. Nicklas Bergman serves as Strategic Advisor and IC member at European Innovation Council He serves as Strategic Advisor, European Innovation Council Fund at the European Commission.</t>
  </si>
  <si>
    <t>+32 (0)2 299 11 11</t>
  </si>
  <si>
    <t>Strategic Advisor and IC member</t>
  </si>
  <si>
    <t>272311-21P</t>
  </si>
  <si>
    <t>Stéphane Ouaki</t>
  </si>
  <si>
    <t>Stéphane</t>
  </si>
  <si>
    <t>Ouaki</t>
  </si>
  <si>
    <t>Mr. Stéphane Ouaki serves as Head of Department, European Innovation Council and SMEs at European Commission.</t>
  </si>
  <si>
    <t>stephane.ouaki@ec.europa.eu</t>
  </si>
  <si>
    <t>Head of Department, European Innovation Council and SMEs</t>
  </si>
  <si>
    <t>46038-79P</t>
  </si>
  <si>
    <t>Thierry Breton</t>
  </si>
  <si>
    <t>Thierry</t>
  </si>
  <si>
    <t>Breton</t>
  </si>
  <si>
    <t>Mr. Thierry Breton served as Chairman and Chief Executive Officer at Atos. He served as Board Member at Carrefour. Prior to that, he held several global leadership positions, including CEO of electronics multinational company Thomson (1997-2002) and CEO of Europe's largest telecommunications company France Telecom (2002-2005). Thierry Breton has been named one of The 100 Best-Performing CEOs in the World (2010) by the Harvard Business Review and has been granted the Montgelas Prize (2015) for outstanding actions in favor of French-German cooperation. He has been elected President of the French National Association for Research and Technology (2015) and a member of the French Academy of Technologies (2016). A Commander of the National Order of the Legion of Honour, Thierry Breton graduated from the Paris École Supérieure d'Électricité (Supelec), and the Institut des Hautes Études de Défense Nationale (IHEDN, 46th class).</t>
  </si>
  <si>
    <t>Atos (Former)</t>
  </si>
  <si>
    <t>225134-02P</t>
  </si>
  <si>
    <t>Ursula Leyen</t>
  </si>
  <si>
    <t>Ursula</t>
  </si>
  <si>
    <t>Leyen</t>
  </si>
  <si>
    <t>Ms. Ursula Leyen serves as President at European Commission and European Union. She represents the Commission in European Council meetings, G7 and G20 summits, summits with non-EU countries and major debates in the European Parliament and the Council.</t>
  </si>
  <si>
    <t>ec-president-vdl@ec.europa.eu</t>
  </si>
  <si>
    <t>215992-45P</t>
  </si>
  <si>
    <t>Vassilios Kougionas</t>
  </si>
  <si>
    <t>Vassilios</t>
  </si>
  <si>
    <t>Kougionas</t>
  </si>
  <si>
    <t>Dr. Vassilios Kougionas serves as Senior Policy Officer at European Commission.</t>
  </si>
  <si>
    <t>vassilios.kougionas@ec.europa.eu</t>
  </si>
  <si>
    <t>Senior Policy Officer</t>
  </si>
  <si>
    <t>368696-71P</t>
  </si>
  <si>
    <t>Gianluigi Baldesi</t>
  </si>
  <si>
    <t>Gianluigi</t>
  </si>
  <si>
    <t>Baldesi</t>
  </si>
  <si>
    <t>European Space Agency</t>
  </si>
  <si>
    <t>Mr. Gianluigi Baldesi serves as Head of Ventures and Financing Office at European Space Agency.</t>
  </si>
  <si>
    <t>+33 (0)1 53 69 76 54</t>
  </si>
  <si>
    <t>gianluigi.baldesi@esa.int</t>
  </si>
  <si>
    <t>8-10, Rue Mario Nikis</t>
  </si>
  <si>
    <t>75738</t>
  </si>
  <si>
    <t>+33 (0)1 53 69 75 60</t>
  </si>
  <si>
    <t>Head of Ventures and Financing Office</t>
  </si>
  <si>
    <t>227759-05P</t>
  </si>
  <si>
    <t>Gonzalo Martin de Mercado</t>
  </si>
  <si>
    <t>Gonzalo Martin</t>
  </si>
  <si>
    <t>de Mercado</t>
  </si>
  <si>
    <t>Mr. Gonzalo Martin de Mercado serves as PNT Competitiveness Manager - NAVISP Programmes at European Space Agency. He holds double Master's from Universidad Politécnica de Madrid.</t>
  </si>
  <si>
    <t>demercado@esa.int</t>
  </si>
  <si>
    <t>PNT Competitiveness Manager - NAVISP Programmes</t>
  </si>
  <si>
    <t>168410-71P</t>
  </si>
  <si>
    <t>Heriberto Saldivar Ph.D</t>
  </si>
  <si>
    <t>Heriberto</t>
  </si>
  <si>
    <t>Saldivar</t>
  </si>
  <si>
    <t>Dr. Heriberto Saldivar serves as the Head of Strategy at the European Space Agency. He serves as an Advisor at Alinea Ventures. He served as Technical Head of Program at Reimagine Drone. Prior to Brinc and while studying for his bachelor's degree at Instituto Tecnológico y de Estudios Superiores de Monterrey, Mr. Saldivar worked on several projects, including the development of a biped robot and an automated rover. In addition to leading a team that designed and built miniature space drone systems, he was also a team leader at Procter &amp; Gamble to develop new products and upgrade its production lines. Post-graduation, he received a master's degree at National Cheng Kung University while joining an international scramjet (supersonic engine) research project between Europe and Taiwan. Mr. Saldivar was awarded the prestigious Hong Kong PhD Fellowship Scheme and joined the PolyU High-speed Thermo fluid and MAV/UAV Laboratory. He developed software.</t>
  </si>
  <si>
    <t>heriberto.saldivar@esa.int</t>
  </si>
  <si>
    <t>Head of Strategy</t>
  </si>
  <si>
    <t>255694-42P</t>
  </si>
  <si>
    <t>Josef Aschbacher</t>
  </si>
  <si>
    <t>Josef</t>
  </si>
  <si>
    <t>Dr. Josef Aschbacher serves as Director General at the European Space Agency. As Chief Executive Officer of ESA, he is responsible for the definition, implementation, and development of Europe's space infrastructure and activities, which include launchers, satellites performing Earth observation, navigation, telecommunication, and space science, together with robotic exploration and ESA astronauts working on the International Space Station. He is responsible for an annual budget of €7 billion and a workforce of 5500 distributed across several</t>
  </si>
  <si>
    <t>josef.aschbacher@esa.int</t>
  </si>
  <si>
    <t>Director General</t>
  </si>
  <si>
    <t>412103-71P</t>
  </si>
  <si>
    <t>Luca del Monte</t>
  </si>
  <si>
    <t>del Monte</t>
  </si>
  <si>
    <t>Mr. Luca del Monte serves as Head of Commercialisation Department at European Space Agency.</t>
  </si>
  <si>
    <t>Head of Commercialisation Department</t>
  </si>
  <si>
    <t>168326-02P</t>
  </si>
  <si>
    <t>Nikos Karafolas</t>
  </si>
  <si>
    <t>Nikos</t>
  </si>
  <si>
    <t>Karafolas</t>
  </si>
  <si>
    <t>Dr. Nikos Karafolas serves as Senior Engineer &amp;Technical Officer at European Space Agency.</t>
  </si>
  <si>
    <t>+33 (0)1 53 69 76 96</t>
  </si>
  <si>
    <t>nikos.karafolas@esa.int</t>
  </si>
  <si>
    <t>Senior Engineer &amp; Technical Officer</t>
  </si>
  <si>
    <t>453326-86P</t>
  </si>
  <si>
    <t>Norbert Hübner</t>
  </si>
  <si>
    <t>Hübner</t>
  </si>
  <si>
    <t>Mr. Norbert Hübner serves as Coordinator at European Space Agency.</t>
  </si>
  <si>
    <t>317971-27P</t>
  </si>
  <si>
    <t>Rachel Muller</t>
  </si>
  <si>
    <t>Ms. Rachel Muller serves as Market Intelligence &amp; Strategy Executive - Communications and Secure Connectivity at European Space Agency.</t>
  </si>
  <si>
    <t>rachel.muller@esa.int</t>
  </si>
  <si>
    <t>Market Intelligence &amp; Strategy Executive - Communications and Secure Connectivity</t>
  </si>
  <si>
    <t>408682-27P</t>
  </si>
  <si>
    <t>Samantha Christoforetti</t>
  </si>
  <si>
    <t>Christoforetti</t>
  </si>
  <si>
    <t>Ms. Samantha Christoforetti serves as Astronaut at European Space Agency. Samantha completed her secondary education at the Liceo Scientifico in Trento, Italy, in 1996 after having spent one year as an exchange student in the USA. In 2001, she graduated from the Technical University of Munich, Germany, with a master's degree in mechanical engineering with specialisations in aerospace propulsion and lightweight structures. As part of her studies, she spent four months at the Ecole Nationale Supérieure de l'Aéronautique et de l'Espace in Toulouse, France, working on an experimental project in aerodynamics. She wrote her master's thesis in solid rocket propellants during a 10-month research stay at the Mendeleev University of Chemical Technologies in Moscow, Russia. As part of her training at the Italian Air Force Academy, Samantha also completed a bachelor's degree in aeronautical sciences at the University of Naples Federico II, Italy, in 2005.</t>
  </si>
  <si>
    <t>Astronaut</t>
  </si>
  <si>
    <t>421760-80P</t>
  </si>
  <si>
    <t>Toni Tolker-Nielsen</t>
  </si>
  <si>
    <t>Toni</t>
  </si>
  <si>
    <t>Tolker-Nielsen</t>
  </si>
  <si>
    <t>Mr. Toni Tolker-Nielsen serves as Acting Director of Space Transportation at the European Space Agency. He began his career with APV ANHYDRO in Copenhagen in 1983 before taking a role at CERN in Geneva. He joined ESA in 1987 - initially working on pointing and tracking systems for laser communication systems - and in 2003 moved to what was then known as the Launchers Directorate, with responsibility for the return-to-flight programme for Ariane 5 ECA (Evolution Cryotechnique type A) after its launch failure in December 2002. Mr Tolker-Nielsen went on to oversee significant changes to the organization of the European launcher industry initiated in the wake of the ECA failure - changes which helped deliver the very successful Ariane 5 programme which ended in July 2023. He was then appointed ESA Inspector General - an Executive Board position with the duty to guarantee technical and managerial excellence across ESA. Mr Tolker-Nielsen later headed Earth Observation projects and acted as Director of Earth Observation Programmes from 2021, when Josef Aschbacher took up duty as ESA Director General.</t>
  </si>
  <si>
    <t>toni.tolker-nielsen@esa.int</t>
  </si>
  <si>
    <t>Acting Director of Space Transportation</t>
  </si>
  <si>
    <t>118308-70P</t>
  </si>
  <si>
    <t>Brock Smith JD</t>
  </si>
  <si>
    <t>Evergy Ventures</t>
  </si>
  <si>
    <t>Mr. Brock Smith serves as Vice President at Evergy Ventures. He serves as a Board Observer at Xendee. He serves as a Board Member at WattBuy. He serves as Board Member at Nestimate He served as Senior Associate at Invest Nebraska. He serves as a Board Member at Palmetto. He also served as a Board Observer at LiveSafe. At 18 years old, he co-founded his first company in Kansas City, Missouri. He exited the company in 2014. At the end of 2014, he co-founded another company, T&amp;B Innovations, which received a state prototyping grant and won $56,000 through various start-up competitions. He spent 18 months fundraising for the St. Thomas Aquinas Catholic Church and Newman Center's $25 million capital campaign before coming to work at Invest Nebraska in June 2015. He currently sits on the Phi Kappa Theta-Nebraska Pi alumni association board and LIBA's Government Caucus committee. He graduated from the University of Nebraska-Lincoln with a B.S. in Economics and joint JD/MBA degrees. He serves as a Board observer at Pepper (Business/Productivity Software).</t>
  </si>
  <si>
    <t>+1 (816) 556-2178</t>
  </si>
  <si>
    <t>brock@evergyventures.com</t>
  </si>
  <si>
    <t>1200 Main Street</t>
  </si>
  <si>
    <t>64105</t>
  </si>
  <si>
    <t>257448-07P</t>
  </si>
  <si>
    <t>Drew Robinson</t>
  </si>
  <si>
    <t>Partner &amp; Principal</t>
  </si>
  <si>
    <t>Mr. Drew Robinson serves as a Strategic Partner, Principal at Evergy Ventures. He also serves as a Board Observer at Omnidian. He has more than 10 years of energy industry experience. He has a BS in Mechanical Engineering from the University of Kansas and an MBA with a Finance concentration from Rockhurst University.</t>
  </si>
  <si>
    <t>+1 (816) 652-1081</t>
  </si>
  <si>
    <t>drew@evergyventures.com</t>
  </si>
  <si>
    <t>Strategic Partner, Principal</t>
  </si>
  <si>
    <t>295372-90P</t>
  </si>
  <si>
    <t>Bill Shmygol</t>
  </si>
  <si>
    <t>Shmygol</t>
  </si>
  <si>
    <t>Evok Innovations</t>
  </si>
  <si>
    <t>Mr. Bill Shmygol serves as an Associate at Evok Innovations. Throughout his career, He has focused on the intersection of environmental sustainability and commercial development. He helps to research emerging technologies, identify potential investments, and aid with Limited Partner engagement. Before joining Evok, he worked across several industries, including time spent with SNC Lavalin completing site assessment and remediation of upstream oil and gas sites in Northern BC, as well as two years of experience within an early-stage clean tech start-up focused on low-carbon cement. He currently holds a Bachelor of Science with Distinction in Environmental Geoscience from the University of British Columbia and a Master of Management from the Robert H Lee Graduate School at the Sauder School of Business. He also holds registration as a Geoscientist in Training with Engineers and Geoscientists BC.</t>
  </si>
  <si>
    <t>bill@evokinnovations.com</t>
  </si>
  <si>
    <t>1410-1130 West Pender Street</t>
  </si>
  <si>
    <t>V6E 4A4</t>
  </si>
  <si>
    <t>259304-59P</t>
  </si>
  <si>
    <t>Darren Love</t>
  </si>
  <si>
    <t>Love</t>
  </si>
  <si>
    <t>Mr. Darren Love serves as a Senior Associate at Evok Innovations. Prior to joining Evok, he worked in several academic-based, start-up accelerators, and has served as a consultant, assisting early-stage start-ups with all facets of venture creation. Through these collections of experiences, he brings an alternative finance and business lens to his role. He currently holds a Bachelor of Commerce degree with honors in Finance from the Sauder School of Business at the University of British Columbia.</t>
  </si>
  <si>
    <t>darren@evokinnovations.com</t>
  </si>
  <si>
    <t>210235-33P</t>
  </si>
  <si>
    <t>Emma Gaiger</t>
  </si>
  <si>
    <t>Gaiger</t>
  </si>
  <si>
    <t>Ms. Emma Gaiger serves as Manager of Operations at Evok Innovations. She graduated, with a BSc Hons in Environmental Science from the University of Bradford, and she moved back to North America. She has worked in various environments including; the University of Georgia as an Environmental Educator, a backcountry skiing company in Whistler, BC, and on a diving boat on the Great Barrier Reef. Most recently she spent two years working for the sustainability team at the Vancouver Organizing Committee for the 2010 Olympic and Paralympic Winter Games.</t>
  </si>
  <si>
    <t>emma@evokinnovations.com</t>
  </si>
  <si>
    <t>Manager of Operations</t>
  </si>
  <si>
    <t>295372-18P</t>
  </si>
  <si>
    <t>Erin Madro</t>
  </si>
  <si>
    <t>Madro</t>
  </si>
  <si>
    <t>Ms. Erin Madro serves as Principal at Evok Innovations. She serves as Investment Advisor, UCeed Energy Fund at UCeed. She is an energy-industry professional with more than a decade of experience providing engineering, sustainability, and innovation expertise across all phases of value creation. With roles spanning both strategy and leadership, she has been an influential thought leader across major North American energy enterprises. As a Principal at Evok Innovations, she brings her expertise in business strategy &amp; operations to the center of all Evok investments. She earned her Bachelor's degree in Chemical &amp; Biological Engineering from the University of British Columbia and an MBA from the Haskayne School of Business at the University of Calgary. She's an active volunteer in clean technology and diversity ventures, and she has been recognized by the Globe &amp; Mail as one of Canada's top 50 "Changemakers" in business.</t>
  </si>
  <si>
    <t>erin@evokinnovations.com</t>
  </si>
  <si>
    <t>57024-37P</t>
  </si>
  <si>
    <t>Jane Kearns</t>
  </si>
  <si>
    <t>Ms. Jane Kearns serves as Director. She is Vice President, Growth Services at MaRS Discovery District. She serves as Board Member at e-Zinc. In this role, she leads a team of professionals and entrepreneurs who work directly with companies to help them grow and make the world a better place. Since 2012, she has been a Senior Advisor at MaRS Discovery District, the world's largest urban innovation hub in Toronto that supports startups and helps Cleantech companies scale. She serves as Board Member at Planetary. She currently serves as a Director, member of the Audit Committee and Compensation and Governance Committee for Clear Blue. She has been in these roles since February of 2020. She is a recognized leader in sustainable innovation, with extensive experience growing successful companies at the intersection of business and sustainability. She co-founded, grew and profitably sold a renewable energy company and leverages over 20 years of experience in venture capital, cleantech and sustainability to help build businesses that matter. She is a co-founder of the CanadaCleantech Alliance, sits on advisory boards for StandUp Ventures and Amplify Ventures, and is a member of the Expert Panel on Clean Growth for the Canadian Institute for Climate Choices. She is a Cleantech and Energy faculty member at Singularity University. She holds a Bachelor of Science in Biology from the University of Calgary, a Bachelor of Arts in Geography from the University of Western Ontario, and a Master of Business Administration from Columbia University. Her breadth of experience in the Cleantech sector and helping companies scale makes her an asset to Clear Blue's Board of Directors. Current Public Board Membership: Decarbonization Plus Acquisition Corp IV.</t>
  </si>
  <si>
    <t>+1 (647) 748-4822</t>
  </si>
  <si>
    <t>30 Lesmill Road</t>
  </si>
  <si>
    <t>Unit 7</t>
  </si>
  <si>
    <t>M3B 2T6</t>
  </si>
  <si>
    <t>+1 (289) 277-1853</t>
  </si>
  <si>
    <t>Clear Blue Technologies</t>
  </si>
  <si>
    <t>34679-89P</t>
  </si>
  <si>
    <t>Jonathan Rhone</t>
  </si>
  <si>
    <t>Rhone</t>
  </si>
  <si>
    <t>Mr. Jonathan Rhone is a Co-Founder and serves as Chief Executive Officer and Board Member at CO280. He is a Co-Founder and serves as Director at Evok Innovations. He is a serial cleantech entrepreneur with extensive experience commercializing hard tech, developing large-scale projects, and partnering with industries to solve tough energy and environmental problems. As co-founder and CEO of Axine Water, he led the commercialization of a disruptive technology and hardware-as-a-service model for the pharmaceutical and other industrial markets. He is also co-founder and director of Evok Innovations, where he helped launch one of Canada's largest and most successful cleantech venture funds. As founder and CEO of Nexterra Systems, he created a global supplier of bioenergy heat and power systems for industrial and institutional customers. Before Nexterra, he held leadership positions with a NASDAQ-listed cleantech company and the Delphi Group. He began his career in oil and gas with Amoco Canada (now BP). He chairs the BC Cleantech CEO Alliance. He is a past member of the BC Premier's Technology Council and was previously a director of Vancity Capital Corp. In 2009, he was recognized as Technology Industry Person of the Year by the BC Technology Industry Association. In 2020, he was recognized as an Industry Icon by the BC Cleantech Industry.</t>
  </si>
  <si>
    <t>+1 (604) 637-2502</t>
  </si>
  <si>
    <t>jon@co280.com</t>
  </si>
  <si>
    <t>1130 West Pender Street</t>
  </si>
  <si>
    <t>Co-Founder, Chief Executive Officer &amp; President</t>
  </si>
  <si>
    <t>CO280</t>
  </si>
  <si>
    <t>44082-64P</t>
  </si>
  <si>
    <t>Martin Reed</t>
  </si>
  <si>
    <t>Mr. Martin Reed is a Co-Founder &amp; serves as Partner at Evok Innovations. Mr. Reed serves as Chief Marketing Officer and Board Member at Sanctuary AI. He serves as Board Member at Disassociate. He served as Board Member at mOasis.He served as Board Member at Metabolic, Osperity, and DarkVision Technologies Inc., which has developed a super high-resolution ultrasound-based imaging technology that gives oil and gas operators a set of eyes inside their wells unimpaired by wellbore fluids. A longtime Silicon Valley executive and investor, he moved to Vancouver in 2015 to launch Evok Innovations. Before Evok, he was a Partner with The Roda Group, a San Francisco Bay Area-based, early-stage venture capital firm focused on clean technology. In that capacity, he led investments and served on the board of directors for mOasis, Inventys, Gridtential, and Axine. Before joining The Roda Group, he held senior leadership positions at Roda Group companies Cardstore.com (acquired by American Greetings), CoolSystems, and Ask Jeeves (acquired by InterActiveCorp). He holds an MBA from John F. Kennedy University and a BSc in Mathematics from Carnegie Mellon, and he began his career as a lieutenant in the United States Navy.</t>
  </si>
  <si>
    <t>marty@evokinnovations.com</t>
  </si>
  <si>
    <t>357713-11P</t>
  </si>
  <si>
    <t>Michelle Chambers</t>
  </si>
  <si>
    <t>Ms. Michelle Chambers serves as Chief Financial Officer at Evok Innovations. With over 15 years of experience leading &amp; developing finance teams for entrepreneurial, high-growth companies. Before joining Evok, she held several executive positions for private and publicly listed companies within the energy and investment industry. She holds a Bachelor of Commerce degree in Accounting from the Haskayne School of Business and is a Chartered Professional Accountant.</t>
  </si>
  <si>
    <t>michelle@evokinnovations.com</t>
  </si>
  <si>
    <t>36621-82P</t>
  </si>
  <si>
    <t>Mike Biddle Ph.D</t>
  </si>
  <si>
    <t>Biddle</t>
  </si>
  <si>
    <t>Dr. Mike Biddle serves as a Partner at Evok Innovations. He is a Co-Founder of CO280. He also serves as a Board Member at Quidnet Energy and Bureo. He also serves as a Board Member at Ebb Carbon. He serves as a Board Member of Summit Nanotech. At Evok, he sits on the board of 6 cleantech companies: Twelve, Mosaic Materials, Kelvin, Syzygy Plasmonics, Quidnet, and Bureo. He holds a B.Sc. in Chemical Engineering, a Ph.D. in Polymer Science &amp; Engineering from Case Western, and an MS in Management Science from the Stanford Graduate School of Business.</t>
  </si>
  <si>
    <t>mike@evokinnovations.com</t>
  </si>
  <si>
    <t>285416-83P</t>
  </si>
  <si>
    <t>Naynika Chaubey</t>
  </si>
  <si>
    <t>Naynika</t>
  </si>
  <si>
    <t>Chaubey</t>
  </si>
  <si>
    <t>Ms. Naynika Chaubey serves as Partner at Evok Innovations. An experienced energy project finance, private equity, and venture capital professional, with cross-sector expertise in early and late-stage hard-tech companies, she most recently managed a portfolio of deep tech VC investments at a private family office. Previously, she helped manage a portfolio of clean power and infrastructure investments at US Renewables Group. She is also a proven company builder and was on the founding team of two startups in the energy project development and finance space: SoCore Energy, a solar project developer acquired by Edison International in 2013, and Common Assets, a renewable energy bond platform acquired by SolarCity in 2014. She is currently on the board of Evok portfolio company Summit Nanotech and has actively served on boards of companies in the power generation, advanced materials, telecom, AI hardware, biotech, energy storage, and biofuels spaces, helping advance several toward private and public exits. She earned an A.B. in Physics from Princeton University.</t>
  </si>
  <si>
    <t>naynika@evokinnovations.com</t>
  </si>
  <si>
    <t>58897-81P</t>
  </si>
  <si>
    <t>Robert Allen</t>
  </si>
  <si>
    <t>Mr. Robert Allen serves as Senior Vice President at Evok Innovations. He serves as Chairman at Rotoliptic Technologies. He also serves as Board Member at ARIX Technologies, Expeto Wireless. He serves as General Partner and Board Member at Sankofa Family Ventures. He served as Board Observer at SensorUp. He served as Vice President of Investments at Evok Innovations. Currently, he also serves as Associate Director at RLB Holdings. He was formerly the Director of a Greenwich, CT-based family office and venture capital firm. There, he led deal origination and asset management and was the principal liaison between the firm and its portfolio companies. Included in his responsibilities was leading corporate and business development for a 200-acre industrial complex and Class I rail terminal in central New York, specializing in material handling and storage for the oil &amp; gas sector. Prior to that, he worked and lived abroad in Seoul, Korea, where he was part of the Samsung Group's internal strategy group, specializing in renewable and conventional energy. He earned an MBA and a Master of Environmental Management from Duke University and a Bachelor of Arts from the University of Pennsylvania.</t>
  </si>
  <si>
    <t>295371-64P</t>
  </si>
  <si>
    <t>Val Chiykowski Ph.D</t>
  </si>
  <si>
    <t>Val</t>
  </si>
  <si>
    <t>Chiykowski</t>
  </si>
  <si>
    <t>Dr. Val Chiykowski serves as Senior Associate at Evok Innovations. She assists with deal flow and the due diligence of technologies. Before Evok, She worked with the Creative Destruction Lab to develop mentorship programming for advanced material start-ups. She led the development of the High School Girls Program to promote diversity in STEM. She also worked with Sustainable Development Technology Canada (SDTC) to support Canadian cleantech startups and SMEs with non-dilutive funding and focused on equity, diversity, and inclusion (EDI) strategies for the portfolio. She holds a BSc in Chemistry from Queen's University and a PhD in Chemistry from the University of British Columbia. Her doctoral research was in materials discovery for next-generation solar cells.</t>
  </si>
  <si>
    <t>val@evokinnovations.com</t>
  </si>
  <si>
    <t>367511-41P</t>
  </si>
  <si>
    <t>Alexander Söderman</t>
  </si>
  <si>
    <t>Söderman</t>
  </si>
  <si>
    <t>Exceptional Ventures</t>
  </si>
  <si>
    <t>Mr. Alexander Söderman serves as Chief Financial Officer at Exceptional Ventures. He is responsible for managing all financial functions including accounting, reporting, treasury, and forecasting. With over a decade of experience in fast-growing start-ups, he is an expert in financial management, strategic planning, and business leadership. He also ensures regulatory compliance and keeps up with the latest technology in the finance industry. In addition to his role with us, he also serves as the Investment Director for Zebulon Capital and provides Fractional FD and advisory services through his consulting business for start-ups at various stages.</t>
  </si>
  <si>
    <t>alex@exceptional.ventures</t>
  </si>
  <si>
    <t>27 Old Gloucester Street</t>
  </si>
  <si>
    <t>WC1N 3AX</t>
  </si>
  <si>
    <t>210925-99P</t>
  </si>
  <si>
    <t>Douglas Kerr Ph.D</t>
  </si>
  <si>
    <t>Dr. Douglas Kerr serves as Chief Medical Officer at Generation Bio. He serves as Board Member at GenrAb. He serves as a Venture Partner at Atlas Venture. He serves as a Board Member and Advisor at Trace Neuroscience. He served as a Board Member at Triplet Therapeutics. He served as a Board Member at Faze Medicines. He also serves as a Science Advisor at Exceptional Ventures. He is the chief development officer at Generation Bio. Previously, he ran the Shires rare neuroscience franchise, including BD/portfolio management, transition into development, and all clinical activity. Before that, he worked at Biogen as the global lead for a series of programs in Alzheimer's disease, Amyotrophic Lateral Sclerosis (ALS), and Spinal Muscular Atrophy (SMA). He was the global lead for Biogens nusinersen (Spinraza), the first approved drug for SMA. He has over 120 publications in medical journals. He received his MD and Ph.D. from Jefferson Medical College; his MBA from Northeastern; and his B.A. from Princeton. He completed his neurology residency at The Johns Hopkins University School of Medicine and subsequently served as an Associate Professor of Neurology.</t>
  </si>
  <si>
    <t>+1 (617) 655-7500</t>
  </si>
  <si>
    <t>dkerr@generationbio.com</t>
  </si>
  <si>
    <t>Waltham</t>
  </si>
  <si>
    <t>Waltham, MA</t>
  </si>
  <si>
    <t>1560 Trapelo Road</t>
  </si>
  <si>
    <t>02451</t>
  </si>
  <si>
    <t>+1 (781) 786-8866</t>
  </si>
  <si>
    <t>Chief Medical Officer</t>
  </si>
  <si>
    <t>Dyne Therapeutics</t>
  </si>
  <si>
    <t>245000-80P</t>
  </si>
  <si>
    <t>Federico Cucchi</t>
  </si>
  <si>
    <t>Cucchi</t>
  </si>
  <si>
    <t>Mr. Federico Cucchi serves as an Advisor at Social Starts LLC. He also serves as Food &amp; Bev, CPG Advisor at Exceptional Venture. He is currently heading the EMEA Commercial Strategy &amp; Insights team at Monster Energy (drinks). He previously worked in consumer insights, brand management, and commercial strategy in beauty (L'Oréal) and fashion (Pentland Brands). He got his Bachelor in Economics from UCL, and his Master in International Political Economy from Warwick University.</t>
  </si>
  <si>
    <t>Food &amp; Bev, CPG Advisor</t>
  </si>
  <si>
    <t>427654-90P</t>
  </si>
  <si>
    <t>Katharina Soell</t>
  </si>
  <si>
    <t>Soell</t>
  </si>
  <si>
    <t>Ms. Katharina Soell serves as an Investment Associate at Exceptional Ventures. She began her career in venture capital, focusing on Europe's healthcare sector. She worked with the corporate venture arm of Orthomol, a leader in the German supplement market, leading investments in health startups and advising family office investments through "Die Höhle der Löwen," the German "Shark Tank." Before her career in investing, she co-founded a construction tech company in Paris, guiding product development, sales, and fundraising. She holds a Master's in Entrepreneurship and Innovation from the University of Luxembourg. Speaking five languages, she is passionate about health and wellness, with an active commitment to CrossFit and sports in general.</t>
  </si>
  <si>
    <t>katharina@exceptional.ventures</t>
  </si>
  <si>
    <t>75009-43P</t>
  </si>
  <si>
    <t>Matthew Cooper</t>
  </si>
  <si>
    <t>Cooper</t>
  </si>
  <si>
    <t>Mr. Matthew Cooper serves as a Board Member at Octopus Titan VCT. He served as Chairman at Cudoni. He is a Co-founder and serves as Executive Chairman at Exceptional Ventures. He serves as a Board Member at CatchApp and Hatch. He serves as a Board Member at Rest Less. He serves as the Board Observer at Clerkenwell Health. He served as chairman at Octopus Titan VCT. He served as a Board Member at Octopus Moneycoach. He also served as the Chairman at IamYiam. He co-founded and served as Chairman at Tandem (Other Commercial Banks). He served as Chairman at Octopus Investments. Before joining Octopus, he was a part of the founding team and served as Principal Managing Director of Capital One Bank (Europe) where he led the team guiding strategy and operations. He helped the UK arm grow from a start-up to a business employing more than 2,000 people and generating over £275 million in revenue. He also served as a Member of the Advisory board at Spring Ventures. Originally from New Jersey, he graduated first in his class in Chemistry from Princeton University in 1988.</t>
  </si>
  <si>
    <t>+44 (0)20 7710 2800</t>
  </si>
  <si>
    <t>Teddington</t>
  </si>
  <si>
    <t>Teddington, United Kingdom</t>
  </si>
  <si>
    <t>8 Waldegrave Road</t>
  </si>
  <si>
    <t>TW11 8HT</t>
  </si>
  <si>
    <t>Octopus Titan VCT (Former)</t>
  </si>
  <si>
    <t>320420-89P</t>
  </si>
  <si>
    <t>Michella Botto</t>
  </si>
  <si>
    <t>Michella</t>
  </si>
  <si>
    <t>Botto</t>
  </si>
  <si>
    <t>Ms. Michella Botto serves as Vice President at Exceptional Ventures. She has six years of experience working in commercial and marketing teams. Originally from Peru, she moved to Madrid in 2018 to work as Senior Product Manager at L'Oréal leading skincare, haircare, and makeup categories in the FMCG division. In 2021, she moved to London to pursue a Masters in Strategic Entrepreneurship and Innovation at King's College. She comes from a family of entrepreneurs and she is still supporting them in their latest venture, a dialysis clinic in Miami. She has a bachelor's degree in Industrial Engineering and graduated in the top ten percentile of her class.</t>
  </si>
  <si>
    <t>michella@exceptional.ventures</t>
  </si>
  <si>
    <t>210520-09P</t>
  </si>
  <si>
    <t>Paolo Pio</t>
  </si>
  <si>
    <t>Pio</t>
  </si>
  <si>
    <t>Mr. Paolo Pio is a Co-Founder &amp; serves as a General Partner at Exceptional Ventures. He serves as a Board Member at Krew. He served as an Expert Advisor at Spex Capital. He is a seasoned technology executive and investor, with a passion for techs bringing benefits to society and the environment. He was the MD for Europe at Joyance Partners and Social Starts, a US early-stage Venture Capital firm investing in health and happiness start-ups. He launched Joyance's European operations from scratch and the fund was named among the most active EU VCs by PitchBook and one of the Hottest EU VCs by TechCrunch. He worked at Cisco in Silicon Valley as a Software Development Engineer, Technical Marketing Engineer, and then Product Manager for Cisco's Data Center Nexus 5000 Switches. He then moved to Switzerland to launch Cisco's new line of products for Software Defined Networking across EMEAR (Europe Middle East Africa and Russia) and later Asia Pacific. He is an Angel investor and serves in various start-up boards and advisory roles. He holds an MBA from London Business School where he was recognized for excellence in asset management, and a Cum Laude MS Engineering degree from Politecnico di Torino.</t>
  </si>
  <si>
    <t>paolo@exceptional.ventures</t>
  </si>
  <si>
    <t>98075-98P</t>
  </si>
  <si>
    <t>Simone Cimminelli</t>
  </si>
  <si>
    <t>Cimminelli</t>
  </si>
  <si>
    <t>Mr. Simone Cimminelli serves as Venture Partner at Exceptional Ventures. Mr. Cimminelli co-founded ClubDealOnline. He serves as the Chief Executive Officer of Società Investimenti e Sviluppo. He serves as Board Member at Letsell. He served as Chief Executive Officer at iStarter. He is originally from Turin and graduated in business administration from ESCP Europe with a triple degree obtained in London, Turin, and Paris.</t>
  </si>
  <si>
    <t>simone@exceptional.ventures</t>
  </si>
  <si>
    <t>155745-01P</t>
  </si>
  <si>
    <t>Stefano Gurciullo Ph.D</t>
  </si>
  <si>
    <t>Gurciullo</t>
  </si>
  <si>
    <t>Dr. Stefano Gurciullo serves as DeepTech and AI Advisor at Exceptional Ventures. Dr. Gurciullo served as Partner at Future Industry Ventures. He served as a Partner at Redstone Digital. He holds a Ph.D. in financial computing from University College London and degrees in economics and security. He has worked as a data scientist at Arabesque, an investor in sustainable finance, and spent time with Silicon Valley companies as an Insight Fellow. He consulted the Italian Government and the European Commission on matters related to data, finance, and security. He co-founded Italy's first data journalism platform, Quattrogatti.info, and led initiatives introducing impact investing practices in the Italian market. He is a Global Shaper of the World Economic Forum. He invests in European entrepreneurs changing the way manufacturing systems work through hardware or software solutions in Series A and B.</t>
  </si>
  <si>
    <t>DeepTech and AI Advisor</t>
  </si>
  <si>
    <t>216668-71P</t>
  </si>
  <si>
    <t>Valerie Bures-Bönström Ph.D</t>
  </si>
  <si>
    <t>Bures-Bönström</t>
  </si>
  <si>
    <t>Ms. Valerie Bures-Bönström is a Co-Founder and serves as Chief Executive Officer &amp; Managing Director at Pixformance. She co-founded and served as Chief Executive Officer at VAHA. She serves as Partner and Head of DACH at XAnge. She serves as Venture Partner at Exceptional Ventures. While pursuing her PhD in AI Engineering, she has co-founded three successful companies in this field: VAHA (recently acquired), Mrs Sporty, and Pixformance Sports.</t>
  </si>
  <si>
    <t>+49 (0)30 3980 5610</t>
  </si>
  <si>
    <t>vb@pixformance.com</t>
  </si>
  <si>
    <t>Dallgow-Döberitz</t>
  </si>
  <si>
    <t>Dallgow-Döberitz, Germany</t>
  </si>
  <si>
    <t>Hauptstraße 19 - 20</t>
  </si>
  <si>
    <t>14624</t>
  </si>
  <si>
    <t>+49 (0)30 3980 5612 9</t>
  </si>
  <si>
    <t>Pixformance</t>
  </si>
  <si>
    <t>235047-79P</t>
  </si>
  <si>
    <t>Alexander Nunez</t>
  </si>
  <si>
    <t>Nunez</t>
  </si>
  <si>
    <t>Exelon</t>
  </si>
  <si>
    <t>Mr. Alexander G. Nunez, Senior Vice President, Regulatory Affairs and Strategy, BGE 2020 - Present. Senior Vice President, Regulatory and External Affairs, BGE 2016 - 2020, Vice President, Governmental and External Affairs, BGE, Director, State Affairs, BGE 2012 - 2013.</t>
  </si>
  <si>
    <t>+1 (800) 483-3220</t>
  </si>
  <si>
    <t>alexander.nunez@exeloncorp.com</t>
  </si>
  <si>
    <t>10 South Dearborn Street</t>
  </si>
  <si>
    <t>54th Floor</t>
  </si>
  <si>
    <t>60680-5398</t>
  </si>
  <si>
    <t>293604-22P</t>
  </si>
  <si>
    <t>Anne Bancroft JD</t>
  </si>
  <si>
    <t>Bancroft</t>
  </si>
  <si>
    <t>Ms. Anne Bancroft serves as Vice President and General Counsel at Pepco Holdings. She was president of the ACC Greater Philadelphia chapter in 2018 and a board officer between 2013-2019. She also led the ACC Greater Philadelphia Diversity Summer Internship Program, which places diverse law students in over 15 corporate law departments each summer. She was previously pro bono labor counsel for Opera Philadelphia and Editor-in-Chief for the New Jersey Bar Association Labor and Employment Section Quarterly. She was a member of the Leadership Council for Legal Diversity inaugural Fellows class in 2011 and has continued to be a mentor with the program.</t>
  </si>
  <si>
    <t>anne.bancroft@exeloncorp.com</t>
  </si>
  <si>
    <t>General Counsel, Legal &amp; Vice President</t>
  </si>
  <si>
    <t>235052-65P</t>
  </si>
  <si>
    <t>Anthony Gay</t>
  </si>
  <si>
    <t>Gay</t>
  </si>
  <si>
    <t>Mr. Anthony Gay, Vice President and General Counsel, PECO 2019 - Present. Vice President, Governmental and External Affairs, PECO 2016 - 2019. Associate General Counsel, Exelon 2010 - 2016.</t>
  </si>
  <si>
    <t>ag@exeloncorp.com</t>
  </si>
  <si>
    <t>112784-68P</t>
  </si>
  <si>
    <t>Calvin Butler Jr.</t>
  </si>
  <si>
    <t>Mr. Calvin Butler serves as President, Chief Executive Officer, and Board Member of Exelon. He also serves as a Board Member at Atlantic City Electric Company. He also serves as a Board Member at M&amp;T Bank Corporation. He served as Trustee at Bradley University. He has served as BGE's Senior Vice President, Regulatory and External Affairs since 2013. Before then, he served as Senior Vice President, Corporate Affairs, of Exelon from 2011-2013, Senior Vice President, Human Resources, of Exelon from 2010-2011, and board member at Commonwealth Edison Company from 2009-2010. He also serves as Vice Chairman of the Board of Trustees at the Institute Of International Education. He has served as COO since October 2021 and was named president and COO in October 2022. He previously served as Exelon Utilities CEO since 2019 and as CEO of Baltimore Gas and Electric (BGE) from 2014 to 2019. Prior to that role, he served as BGE's senior vice president for Regulatory and External Affairs. In addition, he has held various leadership positions at ComEd, including as senior vice president of Corporate Affairs and vice president of Governmental and Legislative Affairs. In addition to serving on the Exelon Board, he also serves as chair of each Exelon operating company board - BGE, ComEd, PECO, and PHI. He is the vice chair of the Institute of International Education (IIE) and also serves on the board of RLI Corp. (NYSE: RLI). He will be a new member of the Civic Committee of the Commercial Club of Chicago. He also serves on several nonprofit boards in areas where Exelon operates, and is on the Board of his undergraduate alma mater, Bradley University in Peoria, Ill. He also serves on the James Madison Council of the Library of Congress. He earned a bachelor's degree from Bradley University and a Juris Doctor degree from Washington University School of Law in St. Louis, Mo. He received an honorary doctorate of Humane Letters from Morgan State University in 2014.</t>
  </si>
  <si>
    <t>calvin.butler@exeloncorp.com</t>
  </si>
  <si>
    <t>President, Chief Executive Officer and Board Member</t>
  </si>
  <si>
    <t>218650-87P</t>
  </si>
  <si>
    <t>Carim Khouzami</t>
  </si>
  <si>
    <t>Carim</t>
  </si>
  <si>
    <t>Khouzami</t>
  </si>
  <si>
    <t>Mr. Carim Khouzami serves as Executive Vice President Transmission and Development at Exelon. Mr. Carim served as Chief Executive Officer at Baltimore Gas &amp; Electric. He previously served as the chief operating officer of Exelon Utilities, overseeing the daily administrative and operational functions for Exelon's six regulated utilities, including BGE, as well as managing large investment projects that span all the Exelon utilities. Before that, he served as the chief financial officer of Exelon Utilities, responsible for overseeing the treasury, financial planning and analysis, and accounting functions for the six Exelon utility companies. He has held other leadership roles within financial, strategic, and operational roles at Exelon and BGE. He currently serves as Board Chair of the Downtown Partnership of Baltimore board and of the Governor's Workforce Development Committee. He also serves on boards of several other prominent Baltimore-based organizations including the Baltimore Community Foundation, Johns Hopkins Hospital, Baltimore Development Corporation, Bridges Baltimore, and Baltimore's Promise. He is also on the Exelon Foundation Board. He earned a bachelor's degree in economics and communications studies from Vanderbilt University and a master's degree in business administration from Columbia University.</t>
  </si>
  <si>
    <t>carim.khouzami@exeloncorp.com</t>
  </si>
  <si>
    <t>254760-94P</t>
  </si>
  <si>
    <t>Caroline Fulginiti</t>
  </si>
  <si>
    <t>Fulginiti</t>
  </si>
  <si>
    <t>Ms. Caroline Fulginiti serves as Director, Accounting at Peco Energy.</t>
  </si>
  <si>
    <t>caroline.fulginiti@exeloncorp.com</t>
  </si>
  <si>
    <t>Chief Accounting Officer, Accounting &amp; Vice President</t>
  </si>
  <si>
    <t>318898-99P</t>
  </si>
  <si>
    <t>Cena Smith</t>
  </si>
  <si>
    <t>Cena</t>
  </si>
  <si>
    <t>Ms. Cena Smith serves as Director of Growth Initiatives at Exelon.</t>
  </si>
  <si>
    <t>cena.smith@exeloncorp.com</t>
  </si>
  <si>
    <t>Director of Growth Initiatives</t>
  </si>
  <si>
    <t>456332-14P</t>
  </si>
  <si>
    <t>Colette Honorable JD</t>
  </si>
  <si>
    <t>Colette</t>
  </si>
  <si>
    <t>Honorable</t>
  </si>
  <si>
    <t>Chief Legal Officer &amp; Executive Vice President</t>
  </si>
  <si>
    <t>Ms. Colette Honorable serves as Executive Vice President, Chief Legal Officer, and Corporate Secretary at Exelon. She is also a member of Exelon's Executive Committee as well as the Exelon Foundation Board. Before joining Exelon, Ms. Honorable was a partner and member of the Executive Committee at global law firm Reed Smith LLP. As leader of the firm's energy regulatory group, she provided strategic counsel to Fortune 500 energy companies, investor-owned utilities, renewable energy, and technology companies on a range of areas, from mitigating the impacts of climate change to environmental justice and inclusion strategies. She is active in several Washington-based industry organizations, including serving on the Congressional Black Caucus Foundation Board of Directors, the American Association of Blacks in Energy, the Energy Bar Association, the National Bar Association, Women's Council on Energy and the Environment, and the Women's Energy Resource Council. She is also vice chair of the Energy Regulators Regional Association's Strategic Advisory Board, an inaugural member of the William Jefferson Clinton School of Public Service Advisory Board, a senior fellow at the Bipartisan Policy Center, and a global advisory board member with the Energy Future Initiative. Ms. Honorable is a life member of Alpha Kappa Alpha Sorority, Incorporated. She is a graduate of the University of Memphis and received a juris doctor degree from the University of Arkansas at Little Rock School of Law.</t>
  </si>
  <si>
    <t>colette.honorable@exeloncorp.com</t>
  </si>
  <si>
    <t>Executive Vice President, Chief Legal Officer, and Corporate Secretary</t>
  </si>
  <si>
    <t>427300-57P</t>
  </si>
  <si>
    <t>Cynthia McCabe</t>
  </si>
  <si>
    <t>Cynthia</t>
  </si>
  <si>
    <t>Mr. Cynthia McCabe serves as Senior Vice President and Chief Communications Officer at Exelon. Ms. McCabe has held several roles at Exelon, most recently vice president, Executive Operations, and chief of staff to Exelon President and Chief Executive Officer Calvin Butler. She also held the position of director of Communications for Pepco Holdings, as well as director of Content and Creative Communications for Exelon, and director of Communications for Exelon Utilities. She was named to her current role in November 2024. Before joining Exelon, she worked in Communications roles at the American Federation of State, County and Municipal Employees (AFSCME), the nation's largest public sector workers' union, and the National Education Association. She began her career as a reporter at North Carolina and Florida newspaper outlets. Ms. McCabe holds a bachelor's degree in English from Clemson University.</t>
  </si>
  <si>
    <t>cynthia.mccabe@exeloncorp.com</t>
  </si>
  <si>
    <t>Senior Vice President and Chief Communications Officer</t>
  </si>
  <si>
    <t>254761-57P</t>
  </si>
  <si>
    <t>David Glockner</t>
  </si>
  <si>
    <t>Glockner</t>
  </si>
  <si>
    <t>Mr. David Glockner serves as Executive Vice President, Compliance and Audit at Exelon Corporation. In that role, he is responsible for ensuring that the company and its employees remain in compliance with all laws, regulations, and internal and external policies affecting Exelon and its operating companies. In addition, he is the chief architect and steward of the company's audit and compliance strategy and procedures, including overseeing efforts to create best-in-class standards for compliance, ethics and accountability and providing regular reports to the company's Board of Directors and senior leadership.</t>
  </si>
  <si>
    <t>david.glockner@exeloncorp.com</t>
  </si>
  <si>
    <t>293601-25P</t>
  </si>
  <si>
    <t>David Ralph JD</t>
  </si>
  <si>
    <t>Mr. David Ralph serves as General Counsel at Baltimore Gas &amp; Electric. Mr. Ralph served as General Counsel &amp; Vice President at Exelon. Mr. Ralph joined BGE's parent company, Exelon in 2017, and was an assistant general counsel for litigation in Exelon BSC, where he represented the company in a number of important matters, including the litigation over the Maryland Department of the Environment's relicensing of Conowingo Dam. Before joining Exelon, David engaged in civil practice as a member of national corporate law firms where he served as a partner, concentrating in complex commercial litigation and employment law. David also served in the public sector for several years in a number of key capacities, including the chief of litigation for Baltimore City, deputy city solicitor, and finally the city solicitor of Baltimore City. While he was the city attorney, David was responsible for negotiating the Consent Decree with the United States Department of Justice to reform and restructure the Baltimore Police Department. David has over 25 years of experience in the legal profession.</t>
  </si>
  <si>
    <t>david.ralph@bge.com</t>
  </si>
  <si>
    <t>235046-08P</t>
  </si>
  <si>
    <t>David Vahos</t>
  </si>
  <si>
    <t>Vahos</t>
  </si>
  <si>
    <t>David M. Vahos serves as Co-Chief Financial Officer, PECO at Exelon.</t>
  </si>
  <si>
    <t>david.vahos@exeloncorp.com</t>
  </si>
  <si>
    <t>Chief Financial Officer, Finance &amp; Senior Vice President</t>
  </si>
  <si>
    <t>131328-37P</t>
  </si>
  <si>
    <t>David Velazquez</t>
  </si>
  <si>
    <t>Velazquez</t>
  </si>
  <si>
    <t>Mr. David M. Velazquez serves as Chief Executive Officer &amp; President, PECO at Exelon. He is the leader of Pennsylvania's largest electric and natural gas delivery company, responsible for PECO's overall performance associated with operations, safety, service reliability, customer satisfaction, and financial management. He oversees the company's 2,900 employees who are dedicated to the safe and reliable delivery of electricity and natural gas as well as enhanced energy management conservation, environmental stewardship and community assistance. Headquartered in Philadelphia, PECO delivers energy to nearly 1.7 million electric customers and more than 548,000 natural gas customers in southeastern Pennsylvania. previously served as executive vice president of Utility Operations &amp; Technology for Exelon, where he was responsible for cross-utility operations for Exelon's six local electric and natural gas companies. Prior to his role at Exelon, he was president and chief executive officer of Pepco Holdings, Inc. (PHI), which includes Atlantic City Electric, serving New Jersey, Delmarva Power, serving Delaware and Maryland, and Pepco, serving the District of Columbia and Maryland. In this role, he was responsible for the leadership and overall operations, regulatory and financial performance of the business. Throughout his 40 years of utility and energy industry experience, he also held roles such as executive vice president of the power delivery business for PHI, vice president of strategic planning and chief risk officer of PHI, and president and CEO of Conectiv Energy. He has served on the boards of several educational and community organizations, such as the Maryland Business Roundtable for Education, Trust for the National Mall, Smithsonian's National Zoo and Conservation Biology Institute Advisory Board, Greater Washington Board of Trade, Federal City Council, D.C. Policy Center of the Federal City Council, Emeritus Advisory Board of the American Association of Blacks in Energy, and United Way of the National Capital Area. He has also served as a board member of Southeastern Electric Exchange, Association of Edison Illuminating Companies, and is a member of the Edison Foundation Institute for Electric Innovation Management Committee, Business Executives for National Security, and The Economic Club of Washington, DC. He holds a bachelor's degree in engineering from Widener University.</t>
  </si>
  <si>
    <t>david.velazquez@exeloncorp.com</t>
  </si>
  <si>
    <t>Chief Executive Officer &amp; President, PECO</t>
  </si>
  <si>
    <t>292544-83P</t>
  </si>
  <si>
    <t>Denise Galambos</t>
  </si>
  <si>
    <t>Galambos</t>
  </si>
  <si>
    <t>Ms. Denise Galambos serves as Senior Vice President and Chief People and Equity Officer at Exelon. Ms. Galambos is responsible for developing and directing Exelon's Human Resources organization. Galambos evaluates and implements programs that focus on attracting, developing, retaining and engaging talent to support the organization's strategic imperatives. She leads the Health and Benefits, Talent, Compensation, Employee and Labor Relations, Diversity, Equity and Inclusion (DEI), and Human Resources Operations functions for all of Exelon's operating companies. Galambos has held several leadership roles at Exelon. Prior to her current role, Galambos was the chief customer officer and senior vice president of customer operations at BGE, where she was responsible for overseeing the processes, systems and planning that support internal and external customer interfaces, including BGE's customer contact centers, billing, accounts receivable and related services, service quality investigations, field and meter services, customer compliance and claims and energy assistance. She also served as vice president of utility oversight within the company's former Exelon Utilities organization, and as vice president of human resources at BGE. Galambos has also worked in Exelon's legal department as an associate general counsel for labor and employment. Prior to joining Exelon, Galambos was of-counsel at Morgan Lewis &amp; Bockius in Washington, D.C., specializing in labor and employment law, and a litigation attorney in the Civil Rights Division of the U.S. Department of Labor.</t>
  </si>
  <si>
    <t>+1 (800) 685-0123</t>
  </si>
  <si>
    <t>denise.galambos@exeloncorp.com</t>
  </si>
  <si>
    <t>P.O. Box 1475</t>
  </si>
  <si>
    <t>21203</t>
  </si>
  <si>
    <t>Chief Customer Officer &amp; Senior Vice President of Customer Operations</t>
  </si>
  <si>
    <t>Baltimore Gas &amp; Electric</t>
  </si>
  <si>
    <t>235066-51P</t>
  </si>
  <si>
    <t>Derrick Dickens</t>
  </si>
  <si>
    <t>Dickens</t>
  </si>
  <si>
    <t>Mr. Derrick Dickens, Senior Vice President, Customer Operations, PHI 2020 - Present. Vice President, Technical Services, BGE 2016 - 2020. Director, Advanced Meter Infrastructure, PECO 2012 - 2016.</t>
  </si>
  <si>
    <t>derrick.dickens@exeloncorp.com</t>
  </si>
  <si>
    <t>Chief Operating Officer, Operations &amp; Senior Vice President</t>
  </si>
  <si>
    <t>293600-08P</t>
  </si>
  <si>
    <t>E. Rippie</t>
  </si>
  <si>
    <t>E.</t>
  </si>
  <si>
    <t>Rippie</t>
  </si>
  <si>
    <t>Mr. Glenn Rippie serves as General Counsel, Legal &amp; Senior Vice President, ComEd of Exelon. He also serves as Senior Vice President &amp; General Counsel at Commonwealth Edison Company. As Senior Vice President and General Counsel, he is responsible for providing legal counsel across all aspects of the company's operation including representing the company in its external legal matters, rate cases, and other administrative and legal proceedings. In addition, he serves as Deputy General Counsel for Exelon, providing legal support for all Exelon utilities in matters pertaining to the Federal Energy Regulatory Commission, or FERC. Prior to assuming his current role, he was a partner in the energy practice of Chicago-based Jenner &amp; Block and co-founded a boutique energy and infrastructure firm. Since the late 1980s, he has represented ComEd on regulatory matters and provided counsel on navigating the increasingly complex business and technology environment for utility companies. He graduated from Yale Law School, where he was a Coker Fellow, and earned a master's degree in economics and a bachelor's degree in math and economics from Northwestern University.</t>
  </si>
  <si>
    <t>glenn.rippie@exeloncorp.com</t>
  </si>
  <si>
    <t>General Counsel, Legal &amp; Executive</t>
  </si>
  <si>
    <t>138768-76P</t>
  </si>
  <si>
    <t>Edward Goetz</t>
  </si>
  <si>
    <t>Goetz</t>
  </si>
  <si>
    <t>Mr. F. Edward Goetz serves as Vice President &amp; Chief Security Officer at Exelon. He served as Chief Operating Officer at i2S Insurance Knowledge.</t>
  </si>
  <si>
    <t>edward@exeloncorp.com</t>
  </si>
  <si>
    <t>Vice President &amp; Chief Security Officer</t>
  </si>
  <si>
    <t>409003-30P</t>
  </si>
  <si>
    <t>Faith Davis</t>
  </si>
  <si>
    <t>Faith</t>
  </si>
  <si>
    <t>Ms. Faith Davis serves as Lead Climate Change Venture Capital Fund (2c2i) at Exelon. She serves as an Advisory Board Member at Chesapeake Bay Seed Capital Fund.</t>
  </si>
  <si>
    <t>faith.davis@exeloncorp.com</t>
  </si>
  <si>
    <t>Lead Climate Change Venture Capital Fund (2c2i)</t>
  </si>
  <si>
    <t>170649-37P</t>
  </si>
  <si>
    <t>Gil Quiniones</t>
  </si>
  <si>
    <t>Quiniones</t>
  </si>
  <si>
    <t>Mr. Gil Quiniones serves as Chief Executive Officer, ComEd at Exelon. He serves as a Board member at World Business Chicago. He is responsible for the safe and reliable delivery of electricity to customers and for empowering them to manage their energy use. He oversees the management of the electric grid for Chicago and most of northern Illinois and ComEd's partnerships with the diverse communities it serves. Before joining ComEd, he served more than a decade as president and CEO of the New York Power Authority (NYPA), the nation's largest state-owned electric utility. Under his leadership, NYPA played a key role in the Governor's Reforming the Energy Vision initiative to use market forces and new technology to empower customers and encourage the growth of clean renewable energy and energy efficiency. Before joining NYPA in 2007, he held several positions in the administration of New York City Mayor Michael R. Bloomberg, including more than four years as senior vice president of energy and telecommunications. He started his career at Consolidated Edison (Con Edison), one of the nation's largest investor-owned energy companies and an electric and gas utility serving parts of southeastern New York and northern New Jersey, including New York City. He worked for 16 years at Con Edison, where he cofounded Con Edison Solutions, the utility's unregulated energy services company. He was named the 2017 Smart Electric Power Alliance Power Player of the Year, an award that recognizes leaders in the front lines of energy transformation in the United States. He also received the Alex Radin Distinguished Service Award from the American Public Power Association. He served as Co-Chair of the Board of Directors of the Alliance to Save Energy. He served on the Boards of the New York State Energy Research and Development Authority and the Large Public Power Council. From April 2015 to April 2016, he served as Chairman of the Board of Directors of the Electric Power Research Institute (EPRI), the electric power industry's international research and development organization. He currently serves as Chair of the GridWise Alliance, which focuses on accelerating innovation that delivers a more secure, reliable, resilient, and affordable grid to support the decarbonization of the US economy. He attended De La Salle University in the Philippines where he received a bachelor of science in mechanical engineering.</t>
  </si>
  <si>
    <t>+1 (877) 426-6331</t>
  </si>
  <si>
    <t>gil.quiniones@comed.com</t>
  </si>
  <si>
    <t>PO Box 805379</t>
  </si>
  <si>
    <t>60680-5379</t>
  </si>
  <si>
    <t>Commonwealth Edison Company</t>
  </si>
  <si>
    <t>89069-86P</t>
  </si>
  <si>
    <t>J. Anthony</t>
  </si>
  <si>
    <t>Mr. Tyler J. Anthony serves as Chief Executive Officer &amp; President, Pepco Holdings at Exelon. He is responsible for guiding the company's delivery of reliable and excellent service to more than two million customers in the Mid-Atlantic. Pepco Holdings is a subsidiary of Exelon Corporation, one of the nation's leading energy services companies. He has more than 30 years of utility operations experience, including electric distribution, transmission operations, nuclear generation, project management, customer service, and labor relations. Prior to joining Pepco Holdings, he served as the senior vice president of Distribution Operations and vice president of Transmission and Substation for ComEd in northern Illinois. He also served as vice president of Projects for Exelon Nuclear, executing large projects across Exelon's nuclear fleet. He currently serves on the boards of several civic and nonprofit organizations including the Washington, D.C. Police Foundation, the Strathmore Hall Foundation, Inc., and the Southeastern Electric Exchange, a nonprofit, non-political trade association of investor-owned electric utility companies.</t>
  </si>
  <si>
    <t>anthonyj@exeloncorp.com</t>
  </si>
  <si>
    <t>Chief Executive Officer &amp; President, Pepco Holdings</t>
  </si>
  <si>
    <t>254814-22P</t>
  </si>
  <si>
    <t>Jason Jones</t>
  </si>
  <si>
    <t>Mr. Jason Jones served as Chief Accounting Officer &amp; Executive at Exelon.</t>
  </si>
  <si>
    <t>jason.jones@exeloncorp.com</t>
  </si>
  <si>
    <t>204897-97P</t>
  </si>
  <si>
    <t>Jeanne Jones</t>
  </si>
  <si>
    <t>Jeanne</t>
  </si>
  <si>
    <t>Ms. Jeanne Jones serves as Chief Financial Officer &amp; Executive Vice President at Exelon. She also serves as Board Member at Energy Insurance Mutual. Ms. Jones served as Senior Vice President, Chief Financial Officer, and Treasurer at Commonwealth Edison Company. Jones is responsible for all ComEd finance activities, including financial reporting and analysis, budgeting, business planning, financing, and risk management. Jones earned a bachelor's degree in business administration from the University of Notre Dame and an MBA from Northwestern University's Kellogg School of Management.</t>
  </si>
  <si>
    <t>jjones@exeloncorp.com</t>
  </si>
  <si>
    <t>67354-84P</t>
  </si>
  <si>
    <t>Jennifer Franco JD</t>
  </si>
  <si>
    <t>Ms. Jennifer Franco serves as Pension Executive, Direct Filing Entity at Exelon Corp Pension Master Trust - PRIV CR. Additionally, she serves as Pension Executive, Direct Filing Entity at Exelon Corp Pension Master Trust - CEG Alternative and Exelon Corp Pension Master Trust - PE Master. Ms. Franco serves as Vice President of Health and Benefits at Exelon. She also serves as Pension Executive, Direct Filing Entity at Exelon Corp Pension Master Trust - PE COMED. She also serves as Pension Executive, Direct Filing Entity at Exelon Corp Pension Master Trust - Real Estate. Additionally, she holds the Pension Executive-Direct Filing Entity role at Exelon Corp Pension Master Trust-Pepco, Exelon Corp Pension Master Trust - PRIV CR, and Exelon Corp Pension Master Trust - CENG. She is also a Plan Administrator at Exelon Corp Pension Master Trust-PE Master. She also holds the Pension Executive-Direct Filing Entity at Exelon Corp Pension Master Trust - Legacy Real Estate. She also holds the Pension Executive, Direct Filing Entity at Exelon Corp Pension Master Trust - Equity. She is also the Pension Executive, Direct Filing Entity at Exelon Corp Pension Master Trust - Private Equity 2016. Furthermore, she serves as a Plan Administrator at Pepco Holdings Retirement Plan and Exelon Pension Plan. In addition, Ms. Franco serves as Director of Employee Benefits Plans and Programs at PECO Energy Company Retiree Medical Plan. She has a JD from Northwestern University and a BA in English and History from Amherst College.</t>
  </si>
  <si>
    <t>+1 (312) 394-4107</t>
  </si>
  <si>
    <t>jenniferanne.franco@exeloncorp.com</t>
  </si>
  <si>
    <t>51st Floor</t>
  </si>
  <si>
    <t>60603</t>
  </si>
  <si>
    <t>Pension Executive, Direct Filing Entity</t>
  </si>
  <si>
    <t>Exelon Corp Pension Master Trust - PRIV CR</t>
  </si>
  <si>
    <t>404342-11P</t>
  </si>
  <si>
    <t>Jessica Hart</t>
  </si>
  <si>
    <t>Hart</t>
  </si>
  <si>
    <t>Ms. Jessica Hart serves as Chief Investment Officer &amp; Senior Vice President at Exelon. She joined Exelon as Vice President of Investment Strategy and Public Markets in July 2022, bringing with her extensive experience in asset allocation, liability-driven investing, manager selection, due diligence and portfolio construction. Before Exelon, she held a range of leadership roles at Northern Trust Asset Management including leading the company's Outsourced Chief Investment Officer ("OCIO") Retirement Assets Practice advising corporate, public and multi-employer plans. She was actively involved in diversity initiatives in the Multi-Manager Solutions business at Northern Trust Asset Management and led the development of a manager diversity due diligence framework. She is on the Board of Youth Guidance, a non-profit providing school-based group counseling and mentoring to 7th-12th grade young men and women and holds a B.S. in Economics from the University of Wisconsin, Madison, and an MBA from New York University's Stern School of Business.</t>
  </si>
  <si>
    <t>jessica.hart@exeloncorp.com</t>
  </si>
  <si>
    <t>82474-57P</t>
  </si>
  <si>
    <t>Joshua Levin</t>
  </si>
  <si>
    <t>Mr. Joshua Levin serves as Chief Financial Officer, ComEd at Exelon.</t>
  </si>
  <si>
    <t>Chief Financial Officer, Senior Vice President and Treasurer</t>
  </si>
  <si>
    <t>444591-55P</t>
  </si>
  <si>
    <t>Joyce Pan</t>
  </si>
  <si>
    <t>Mr. Joyce Pan serves as Senior Portfolio Manager of Private Equity at Exelon.</t>
  </si>
  <si>
    <t>joyce.pan@exeloncorp.com</t>
  </si>
  <si>
    <t>Senior Portfolio Manager of Private Equity</t>
  </si>
  <si>
    <t>318902-59P</t>
  </si>
  <si>
    <t>Leisla Vargas</t>
  </si>
  <si>
    <t>Leisla</t>
  </si>
  <si>
    <t>Ms. Leisla Vargas serves as Diversity, Equity and Inclusion Program Manager at Exelon.</t>
  </si>
  <si>
    <t>leisla.vargas@exeloncorp.com</t>
  </si>
  <si>
    <t>Diversity, Equity and Inclusion Program Manager</t>
  </si>
  <si>
    <t>335659-87P</t>
  </si>
  <si>
    <t>Lewis Binswanger</t>
  </si>
  <si>
    <t>Binswanger</t>
  </si>
  <si>
    <t>Lewis Binswanger, Senior Vice President, Governmental, Regulatory and External Affairs, ComEd 2022 - Present; Vice President, External Affairs, Nicor Gas 2013 - 2022.</t>
  </si>
  <si>
    <t>lewis.binswanger@exeloncorp.com</t>
  </si>
  <si>
    <t>433975-42P</t>
  </si>
  <si>
    <t>Mariana Hufford</t>
  </si>
  <si>
    <t>Hufford</t>
  </si>
  <si>
    <t>Ms. Mariana Hufford serves as Director, Accounting and Principal Accounting Officer at PECO.</t>
  </si>
  <si>
    <t>mariana.hufford@exeloncorp.com</t>
  </si>
  <si>
    <t>Chief Accounting Officer, Accounting &amp; Executive</t>
  </si>
  <si>
    <t>254761-12P</t>
  </si>
  <si>
    <t>Marissa Humphrey</t>
  </si>
  <si>
    <t>Humphrey</t>
  </si>
  <si>
    <t>Ms. Marissa Humphrey serves as Co-Chief Financial Officer, Senior Vice President &amp; Treasurer, PECO at Exelon.</t>
  </si>
  <si>
    <t>marissa.humphrey@exeloncorp.com</t>
  </si>
  <si>
    <t>318909-25P</t>
  </si>
  <si>
    <t>Marybeth Flater</t>
  </si>
  <si>
    <t>Marybeth</t>
  </si>
  <si>
    <t>Flater</t>
  </si>
  <si>
    <t>Ms. Marybeth Flater serves as Manager, Investor Relations at Exelon.</t>
  </si>
  <si>
    <t>marybeth@exeloncorp.com</t>
  </si>
  <si>
    <t>217724-50P</t>
  </si>
  <si>
    <t>Michael Innocenzo</t>
  </si>
  <si>
    <t>Innocenzo</t>
  </si>
  <si>
    <t>Mr. Michael Innocenzo serves as Executive Vice President and Chief Operating Officer at Exelon. He also serves as a Board Member at Commonwealth Edison Company. Mr. Innocenzo serves as Chief Executive Officer &amp; President at Peco Energy. Mr. Innocenzo is responsible for the governance and operations of Exelon's six utilities, Atlantic City Electric, BGE, ComEd, Delmarva Power, PECO, and Pepco. He serves as chairman of the board of directors for each operating company. He is also responsible for Cyber &amp; Information Security Services, Corporate Physical Security, IT, Safety, Supply, Training, and Transmission Strategy &amp; Compliance organizations at Exelon. He has also served as vice president, Distribution System Operations and Advanced Grid and Meter Technology. Mr. Innocenzo also served as the director of Gas Operations, Quality Services, and Performance Improvement. He also served as a regional director in Chester, Delaware, and Philadelphia counties, as well as a regional engineering manager for Chester and Delaware counties. Mr. Innocenzo holds a bachelor's degree in electrical engineering from Widener University and an MBA from Villanova University.</t>
  </si>
  <si>
    <t>michael.innocenzo@exeloncorp.com</t>
  </si>
  <si>
    <t>Chief Operating Officer, Operations &amp; Executive Vice President</t>
  </si>
  <si>
    <t>124840-54P</t>
  </si>
  <si>
    <t>Mihai Cosman</t>
  </si>
  <si>
    <t>Mihai</t>
  </si>
  <si>
    <t>Cosman</t>
  </si>
  <si>
    <t>Mr. Mihai Cosman serves as Principal, Business Development at Exelon. He served as Principal of Corporate Transmission Analysis and Development at Exelon Corporation. Prior to that, he served as an Economist at the Public Utilities Commission of California.</t>
  </si>
  <si>
    <t>mihai.cosman@exeloncorp.com</t>
  </si>
  <si>
    <t>Manager, Transmission Development</t>
  </si>
  <si>
    <t>318900-70P</t>
  </si>
  <si>
    <t>Patrick Ryan</t>
  </si>
  <si>
    <t>Mr. Patrick Ryan serves as Vice President - Corporate Strategy, Policy and Analytics at Exelon.</t>
  </si>
  <si>
    <t>patrick@exeloncorp.com</t>
  </si>
  <si>
    <t>Vice President - Corporate Strategy, Policy and Analytics</t>
  </si>
  <si>
    <t>175721-32P</t>
  </si>
  <si>
    <t>Phillip Barnett</t>
  </si>
  <si>
    <t>Barnett</t>
  </si>
  <si>
    <t>Phillip S. Barnett, Senior Vice President, Chief Financial Officer and Treasurer, PHI, Pepco, DPL and ACE 2018 - Present. Senior Vice President and Chief Financial Officer, PECO 2007 - 2018. Treasurer, PECO 2012 - 2018.</t>
  </si>
  <si>
    <t>phillip.barnett@exeloncorp.com</t>
  </si>
  <si>
    <t>318901-42P</t>
  </si>
  <si>
    <t>Robert Matthews</t>
  </si>
  <si>
    <t>Mr. Robert Matthews serves as Vice President and Chief of Staff to CEO at Exelon.</t>
  </si>
  <si>
    <t>robert.matthews@exeloncorp.com</t>
  </si>
  <si>
    <t>Vice President and Chief of Staff to CEO</t>
  </si>
  <si>
    <t>222670-54P</t>
  </si>
  <si>
    <t>Rodney Oddoye</t>
  </si>
  <si>
    <t>Oddoye</t>
  </si>
  <si>
    <t>Mr. Rodney Oddoye serves asChief Operating Officer at Pepco Holdings. He also served as Vice President, Customer Operations, BGE 2018 - 2020, Director, Northeast Regional Electric Operations, BGE 2016 - 2018, Director, Financial Operations, BGE 2015 - 2016, Manager, Distribution Operations, BGE 2013 - 2015.</t>
  </si>
  <si>
    <t>rodney.oddoye@exeloncorp.com</t>
  </si>
  <si>
    <t>82475-92P</t>
  </si>
  <si>
    <t>Sunny Elebua</t>
  </si>
  <si>
    <t>Elebua</t>
  </si>
  <si>
    <t>Mr. Sunny Elebua serves as Senior Vice President &amp; Chief Strategy Officer &amp; Sustainability Officer at Exelon. He served as Vice President of Corporate Strategy at Exelon. Prior to Exelon, Mr. Elebua served as an Associate at Wachovia Securities and as a Senior Associate at the African Capital Alliance. Mr. Elebua holds a MBA from the University of Pennsylvania.</t>
  </si>
  <si>
    <t>sunny.elebua@exeloncorp.com</t>
  </si>
  <si>
    <t>Senior Vice President &amp; Chief Strategy Officer &amp; Sustainability Officer</t>
  </si>
  <si>
    <t>222670-45P</t>
  </si>
  <si>
    <t>Tamla Olivier</t>
  </si>
  <si>
    <t>Tamla</t>
  </si>
  <si>
    <t>Ms. Tamla Olivier serves as Senior Vice President of Customer Operations and Chief Operating Officer, Pepco Holdings of Exelon. She also served as Senior Vice President, Constellation NewEnergy, Inc. 2016 - 2020. VP, Human Resources, Exelon Business Services Company 2012 - 2016.</t>
  </si>
  <si>
    <t>tamla.olivier@exeloncorp.com</t>
  </si>
  <si>
    <t>355870-54P</t>
  </si>
  <si>
    <t>Zachary Dunn</t>
  </si>
  <si>
    <t>Mr. Zachary Dunn serves as Manager of Corporate Strategy at Exelon.</t>
  </si>
  <si>
    <t>zachary.dunn@exeloncorp.com</t>
  </si>
  <si>
    <t>Manager, Corporate Strategy</t>
  </si>
  <si>
    <t>344091-07P</t>
  </si>
  <si>
    <t>Chris Ayres</t>
  </si>
  <si>
    <t>Ayres</t>
  </si>
  <si>
    <t>Expand Energy</t>
  </si>
  <si>
    <t>Mr. Chris Ayres serves as Vice President, Investor Relations and Special Projects at Chesapeake Energy. He oversees the company's investor engagement, communications and corporate treasury functions, including capital raising, cash management and hedging. Prior to Chesapeake, he was a mergers and acquisitions investment banker at Evercore in Houston, London and Dubai, advising public energy companies. He attended the University of Oklahoma, receiving a Bachelor of Science in Petroleum Engineering.</t>
  </si>
  <si>
    <t>+1 (877) 245-1427</t>
  </si>
  <si>
    <t>chris.ayres@chk.com</t>
  </si>
  <si>
    <t>P.O. Box 18496</t>
  </si>
  <si>
    <t>73154-0496</t>
  </si>
  <si>
    <t>Vice President of Investor Relations and Special Projects</t>
  </si>
  <si>
    <t>264961-09P</t>
  </si>
  <si>
    <t>Christopher Lacy</t>
  </si>
  <si>
    <t>Lacy</t>
  </si>
  <si>
    <t>Mr. Christopher Lacy served as Vice President, General Counsel and Secretary at Southwestern Energy. Prior to that, he served Associate General Counsel and Assistant Secretary and various other roles in the legal department since joining the Company in 2014. Chris Lacy initially joined Southwestern Energy as a senior attorney and was promoted into his current role as Associate General Counsel in February 2017. Prior to joining the Company, he was an attorney with Ahmad, Zavitsanos &amp; Anaipakos and Dewey &amp; LeBoeuf LLP. Mr. Lacy earned his bachelor's degree from the University of Texas at Austin and a juris doctorate degree from the University of Houston Law Center where he graduated summa cum laude.</t>
  </si>
  <si>
    <t>Executive Vice President &amp; General Counsel, Legal</t>
  </si>
  <si>
    <t>36591-22P</t>
  </si>
  <si>
    <t>Domenic Dell'Osso Jr.</t>
  </si>
  <si>
    <t>Domenic</t>
  </si>
  <si>
    <t>Dell'Osso</t>
  </si>
  <si>
    <t>Mr. Domenic Dell'Osso serves as President, Chief Executive Officer &amp; Board Member at Chesapeake Energy. Prior to that time, he served as Vice President - Finance and Chief Financial Officer of Chesapeake's wholly owned midstream subsidiary Chesapeake Midstream Development, L.P. from August 2008 to November 2010. Before joining Chesapeake, Mr. Dell'Osso was an energy investment banker with Jefferies &amp; Co. from 2006 to 2008 and Banc of America Securities from 2004 to 2006. He graduated from Boston College in 1998 and from the University of Texas at Austin in 2003.</t>
  </si>
  <si>
    <t>nick.dellosso@chk.com</t>
  </si>
  <si>
    <t>294257-35P</t>
  </si>
  <si>
    <t>Gregory Larson</t>
  </si>
  <si>
    <t>Larson</t>
  </si>
  <si>
    <t>Mr. Gregory Larson serves as Vice President, Accounting &amp; Controller at Chesapeake Energy. Before joining Chesapeake, he held accounting positions of increasing responsibility for Access Midstream Partners, formerly Chesapeake Midstream Partners, Diamond Energy Services, and Ernst &amp; Young. He leads the organization's accounting function, including maintaining proper oversight and control over financial reporting, operational accounting, technical accounting, compliance, and internal controls. He has a Bachelor of Science in Business and a Master of Science in Accounting from Oklahoma City University and is a certified public accountant.</t>
  </si>
  <si>
    <t>greg.larson@chk.com</t>
  </si>
  <si>
    <t>Vice President, Accounting &amp; Controller</t>
  </si>
  <si>
    <t>344097-28P</t>
  </si>
  <si>
    <t>Jason Kurtz</t>
  </si>
  <si>
    <t>Kurtz</t>
  </si>
  <si>
    <t>Mr. Jason Kurtz serves as Vice President, Marketing at Chesapeake Energy. He oversees all commodity sales, transportation and midstream commercial development. He previously served as Vice President of Marketing and Transportation at Southwestern Energy Company and brings more than 25 years of experience in gathering, interstate transportation, commodity sales, hedging and asset optimization. He holds a business degree from Oklahoma State University.</t>
  </si>
  <si>
    <t>jason.kurtz@chk.com</t>
  </si>
  <si>
    <t>401088-88P</t>
  </si>
  <si>
    <t>John Christ</t>
  </si>
  <si>
    <t>Christ</t>
  </si>
  <si>
    <t>Mr. John Christ serves as Chief Information Officer and Vice President at Chesapeake Energy. John Christ was named Vice President, Chief Information Officer in 2021. Mr. Christ is responsible for developing and implementing information technology (IT) strategy, leveraging emerging technologies to improve operational performance, and supporting the timely integration of acquired companies. This is his second leadership role at Chesapeake, having previously served as Vice President of Internal Audit and Supply Chain. Mr. Christ also served as an executive director at Ernst &amp; Young. Mr. Christ received his Bachelor of Arts from Northwestern University.</t>
  </si>
  <si>
    <t>john.christ@chk.com</t>
  </si>
  <si>
    <t>Chief Information Officer and Vice President</t>
  </si>
  <si>
    <t>289686-79P</t>
  </si>
  <si>
    <t>Joshua Viets</t>
  </si>
  <si>
    <t>Viets</t>
  </si>
  <si>
    <t>Mr. Josh Viets serves as Executive Vice President and Chief Operating Officer at Chesapeake Energy. Mr. Viets began his career with ConocoPhillips in 2002, working in a variety of technical and leadership roles in the U.S. and the United Kingdom. He has held leadership positions in operations, engineering, subsurface and asset management. Earlier in his career, he worked as a reservoir and production engineer supporting a diverse set of assets across the ConocoPhillips portfolio.</t>
  </si>
  <si>
    <t>jviets@chk.com</t>
  </si>
  <si>
    <t>284534-02P</t>
  </si>
  <si>
    <t>Mohit Singh Ph.D</t>
  </si>
  <si>
    <t>Mohit</t>
  </si>
  <si>
    <t>Dr. Mohit Singh serves as Chief Financial Officer &amp; Executive Vice President at Chesapeake Energy.</t>
  </si>
  <si>
    <t>mohit.singh@chk.com</t>
  </si>
  <si>
    <t>271687-15P</t>
  </si>
  <si>
    <t>Stacey Brodak</t>
  </si>
  <si>
    <t>Brodak</t>
  </si>
  <si>
    <t>Ms. Stacey Brodak serves as Director, Corporate Development at Chesapeake Energy.</t>
  </si>
  <si>
    <t>369499-06P</t>
  </si>
  <si>
    <t>Ashutosh Kumar</t>
  </si>
  <si>
    <t>Ashutosh</t>
  </si>
  <si>
    <t>Expert DOJO</t>
  </si>
  <si>
    <t>General Partner &amp; Head</t>
  </si>
  <si>
    <t>Mr. Ashutosh Kumar serves as General Partner &amp; Head of Portfolio at Expert DOJO.</t>
  </si>
  <si>
    <t>+1 (310) 745-9580</t>
  </si>
  <si>
    <t>ashutosh@expertdojo.com</t>
  </si>
  <si>
    <t>395 Santa Monica Place</t>
  </si>
  <si>
    <t>Unit 308</t>
  </si>
  <si>
    <t>General Partner &amp; Head of Portfolio</t>
  </si>
  <si>
    <t>118585-09P</t>
  </si>
  <si>
    <t>Brian Mahon</t>
  </si>
  <si>
    <t>Mahon</t>
  </si>
  <si>
    <t>Mr. Brian Mac Mahon is the Founder &amp; serves as Managing Partner at Expert DOJO. He serves as an Advisor at Redacted. He served as Chief Executive Officer &amp; President at Healora. He serves as a Board Member at MeetCaregivers. He served as a Board Member at the House of Hypatia. Previously, he served as Workspace Specialist and Connector at the company. He has consulted and coached in over 35 countries, so he brings a global perspective to starting and growing your small business.</t>
  </si>
  <si>
    <t>brian@expertdojo.com</t>
  </si>
  <si>
    <t>308448-46P</t>
  </si>
  <si>
    <t>Chris Harvey</t>
  </si>
  <si>
    <t>Mr. Chris Harvey serves as Head of Legal at Expert DOJO. He is the Founder of Harvey Esquire. He has over 12 years of experience in private law practice, first as an associate attorney and later as in-house corporate counsel.</t>
  </si>
  <si>
    <t>Head of Legal</t>
  </si>
  <si>
    <t>420681-70P</t>
  </si>
  <si>
    <t>Isabelle Cloud</t>
  </si>
  <si>
    <t>Isabelle</t>
  </si>
  <si>
    <t>Cloud</t>
  </si>
  <si>
    <t>Ms. Isabelle Cloud serves as Partner &amp; Head of Investor Relation at Expert DOJO.</t>
  </si>
  <si>
    <t>isabelle@expertdojo.com</t>
  </si>
  <si>
    <t>Partner &amp; Head of Investor Relation</t>
  </si>
  <si>
    <t>168008-14P</t>
  </si>
  <si>
    <t>Jonathan Wallace</t>
  </si>
  <si>
    <t>Wallace</t>
  </si>
  <si>
    <t>Mr. Jonathan Wallace serves as Head of Due Diligence &amp; General Partner at Expert DOJO. He joined Expert Dojo upon its inception as an investment analyst. Over the next 3 years, he established relationships with some of the largest venture capital funds in the world and helped dozens of startups raise investment. He is now the investment director for Expert Dojo and oversees all follow-on investments. For information on investment</t>
  </si>
  <si>
    <t>jon@expertdojo.com</t>
  </si>
  <si>
    <t>Head of Due Diligence &amp; General Partner</t>
  </si>
  <si>
    <t>420682-69P</t>
  </si>
  <si>
    <t>Kanika Madann</t>
  </si>
  <si>
    <t>Madann</t>
  </si>
  <si>
    <t>Ms. Kanika Madann serves as Portfolio Program Manager at Expert DOJO.</t>
  </si>
  <si>
    <t>kanika@expertdojo.com</t>
  </si>
  <si>
    <t>Portfolio Program Manager</t>
  </si>
  <si>
    <t>147477-52P</t>
  </si>
  <si>
    <t>Nektar Baziotis</t>
  </si>
  <si>
    <t>Nektar</t>
  </si>
  <si>
    <t>Baziotis</t>
  </si>
  <si>
    <t>Mr. Nektar Baziotis serves as Head of Technology at Expert DOJO. Mr. Baziotis is a Co-Founder and serves as Managing Director at Apogee Information Systems. He serves as an Executive at TeamPlus. He is a serial Founder and Entrepreneur, with more than 20 years experience in International Business Development, IT Project Management, IT Business Consulting and E-Learning. Successfully delivered IT products and services for the UN, European Commission, European Parliament, organizations and private held companies in several countries. With formal education in Maths (AUTH), International Business (Penn) &amp; MBA (Sheffield).</t>
  </si>
  <si>
    <t>+1 (213) 814-2332</t>
  </si>
  <si>
    <t>nektar@expertdojo.com</t>
  </si>
  <si>
    <t>Head of Technology</t>
  </si>
  <si>
    <t>273404-35P</t>
  </si>
  <si>
    <t>Silvia Olmedo</t>
  </si>
  <si>
    <t>Olmedo</t>
  </si>
  <si>
    <t>Ms. Silvia Olmedo serves as Head of Media at Expert DOJO.</t>
  </si>
  <si>
    <t>silvia@expertdojo.com</t>
  </si>
  <si>
    <t>Head of Media</t>
  </si>
  <si>
    <t>186217-48P</t>
  </si>
  <si>
    <t>Sophie Angner</t>
  </si>
  <si>
    <t>Angner</t>
  </si>
  <si>
    <t>Ms. Sophie Angner serves as Senior Event Manager at Expert DOJO. She also served as Marketing Strategist at Expert DOJO. She specializes in helping entrepreneurs become more successful with their marketing efforts. With 6 years of professional experience as a marketing manager she has helped several startups getting established. She loves beating Brian Mac Mahon in tennis.</t>
  </si>
  <si>
    <t>sophie@expertdojo.com</t>
  </si>
  <si>
    <t>Senior Event Manager</t>
  </si>
  <si>
    <t>273403-99P</t>
  </si>
  <si>
    <t>Thomas Richter</t>
  </si>
  <si>
    <t>Head &amp; Venture Partner</t>
  </si>
  <si>
    <t>Mr. Thomas Richter serves as a Venture Partner at Expert DOJO.</t>
  </si>
  <si>
    <t>Venture Partner &amp; Head of Europe</t>
  </si>
  <si>
    <t>311851-90P</t>
  </si>
  <si>
    <t>Adam Twarog</t>
  </si>
  <si>
    <t>Twarog</t>
  </si>
  <si>
    <t>Export Development Canada</t>
  </si>
  <si>
    <t>Mr. Adam Twarog serves as a Board Member at Azure Sustainable Fuels. He serves as Global Trade Director - Connections Financing Program at Export Development Canada. He has over 18 years of experience in Canadian energy capital markets and private equity. He has been a founder of several early-stage energy businesses, and currently serves on the boards of Azure Sustainable Fuels Corp, Cascade Trading Ltd., Fordwater Holdings Ltd., and Woodcote Oil &amp; Gas Inc. He currently works as President and CEO of Fordwater Holdings Ltd., a principal investment firm backed by a Swiss family office. He started his career at Peters &amp; Co. Limited, where he became a partner of the firm specializing in the Canadian Junior and Mid-Capitalization Upstream sub-sectors. He holds the Chartered Financial Analyst and the Institute of Corporate Directors, Director designations.</t>
  </si>
  <si>
    <t>+1 (800) 229-0575</t>
  </si>
  <si>
    <t>adam.twarog@edc.ca</t>
  </si>
  <si>
    <t>150 Slater Street</t>
  </si>
  <si>
    <t>K1A 1K3</t>
  </si>
  <si>
    <t>Global Trade Director - Connections Financing Program</t>
  </si>
  <si>
    <t>66085-21P</t>
  </si>
  <si>
    <t>Alexandre Aubrey</t>
  </si>
  <si>
    <t>Aubrey</t>
  </si>
  <si>
    <t>Mr. Alexandre Aubrey serves as Managing Partner - Private Equity at Export Development Canada. He served as Senior Investment Manager, Private Equity at Export Development Canada. Previously, he served as a Financial Advisor at National Bank of Canada.</t>
  </si>
  <si>
    <t>+1 (613) 598-3583</t>
  </si>
  <si>
    <t>alexandre.aubrey@edc.ca</t>
  </si>
  <si>
    <t>Managing Partner - Private Equity</t>
  </si>
  <si>
    <t>53398-09P</t>
  </si>
  <si>
    <t>Alison Nankivell</t>
  </si>
  <si>
    <t>Nankivell</t>
  </si>
  <si>
    <t>Ms. Alison Nankivell serves as Chief Executive Officer and President at Export Development Canada. She also served as Chief Executive Officer at MaRS Discovery District. She served as Senior Vice President, Fund Investments and Global Scaling at the Business Development Bank of Canada. Since she joined the team in 2018, Fund Investments and Global Scaling have delivered on multiple new mandates, including increasing funding and support for Indigenous and Black entrepreneurs, cleantech innovations, and women-led technology companies. Before joining BDC, she was Director of Funds Asia with Teachers' Private Capital, the private investment arm of the Ontario Teachers' Pension Plan. Beyond her executive duties, she served until 2023 as chair and board member at the Institutional Limited Partners Association (ILPA) and currently serves on the board of Toronto Good Shepherd Ministries. She holds a Bachelor of Arts in Commerce and Economics from the University of Toronto and a Master's in Public Administration and Public Policy from the London School of Economics and Political Science. She is also a designated Chartered Financial Analyst (CFA).</t>
  </si>
  <si>
    <t>+1 (416) 849-8954</t>
  </si>
  <si>
    <t>nankivella@edc.ca</t>
  </si>
  <si>
    <t>67374-64P</t>
  </si>
  <si>
    <t>Antonio Lopes</t>
  </si>
  <si>
    <t>Lopes</t>
  </si>
  <si>
    <t>Mr. Antonio Lopes serves as Global Accounts Director, National Accounts Director - All Sectors &amp; Head of Life Sciences/Healthcare, Global Accounts Director &amp; Head of Equity Investment Connect &amp; Life Sciences/Healthcare Programs at Export Development Canada.</t>
  </si>
  <si>
    <t>antonio.lopes@edc.ca</t>
  </si>
  <si>
    <t>Global Accounts Director, National Accounts Director - All Sectors &amp; Head of Life Sciences/Healthcare, Global Accounts Director &amp; Head of Equity Investment Connect &amp; Life Sciences/Healthcare Programs</t>
  </si>
  <si>
    <t>165567-52P</t>
  </si>
  <si>
    <t>Ben Van Zuylen</t>
  </si>
  <si>
    <t>Van Zuylen</t>
  </si>
  <si>
    <t>Mr. Ben Van Zuylen serves as Investment Manager at Export Development Canada.</t>
  </si>
  <si>
    <t>+1 (613) 598-6610</t>
  </si>
  <si>
    <t>ben.vanzuylen@edc.ca</t>
  </si>
  <si>
    <t>286994-98P</t>
  </si>
  <si>
    <t>Brianna Littau</t>
  </si>
  <si>
    <t>Littau</t>
  </si>
  <si>
    <t>Administrator</t>
  </si>
  <si>
    <t>Ms. Brianna Littau serves as Executive Assistant, Financing &amp; Investments Group at Export Development Canada.</t>
  </si>
  <si>
    <t>blittau@edc.ca</t>
  </si>
  <si>
    <t>Administrator - Investments</t>
  </si>
  <si>
    <t>115896-07P</t>
  </si>
  <si>
    <t>Bruce Dunlop</t>
  </si>
  <si>
    <t>Mr. Bruce Dunlop serves as Regional Vice President at Export Development Canada. He served as Vice-President of Global Business Development at Export Development Canada. Previously, he served as a Senior Account Manager at National Bank of Canada.</t>
  </si>
  <si>
    <t>bruce.dunlop@edc.ca</t>
  </si>
  <si>
    <t>Regional Vice President</t>
  </si>
  <si>
    <t>72602-65P</t>
  </si>
  <si>
    <t>Carl Burlock</t>
  </si>
  <si>
    <t>Burlock</t>
  </si>
  <si>
    <t>Mr. Carl Burlock serves as Executive Vice President &amp; Chief Operating Officer at Export Development Canada. Mr. Burlock was appointed EDC's Executive Vice-President and Chief Operating Officer in October 2023. In this position, he is responsible for strategic execution, customer experience, transformation, technology and business enablement, corporate governance, and ESG advisory. Carl began his career with EDC in 1997. Over the years, he worked in a number of customer-facing areas and took on executive leadership roles including Senior Vice President Financing and Investments in 2014, and, in 2019, Executive Vice-President and Chief Business Officer where he was responsible for all customer segments, business lines and business enablement functions. Carl has chaired the Minister's Business, Economic and Trade Recovery (BETR) Committee since its inception in 2020. Here, he leads the collaboration of efforts among seven federal departments, agencies and Crown corporations connected to Canada's trade portfolio. Together, these partners work on improving seamless delivery of services for business, and piloting joint initiatives to accelerate export growth. In 2022 and 2023, Carl was a member of the SME Growth Working Group at the C.D. Howe Institute, helping make public recommendations on how to support the growth and success of small- and medium-sized businesses. Carl was also a member of the Critical Minerals Council with the Canadian Chamber of Commerce from 2021 until 2024. With this group, he helped form recommendations on policies to support the development of Canada's critical minerals supply chain. Before joining EDC, Carl spent nine years as a mechanical engineer for Nova Scotia Power Inc. Carl has a master's in business administration from Dalhousie University and a bachelor's in mechanical engineering from Dalhousie University/Technical University of Nova Scotia. He has completed the advanced management program at Columbia University and earned the ESG Competent Boards Designation (GDB.D).</t>
  </si>
  <si>
    <t>carl.burlock@edc.ca</t>
  </si>
  <si>
    <t>165567-07P</t>
  </si>
  <si>
    <t>Dan Mancuso</t>
  </si>
  <si>
    <t>Mancuso</t>
  </si>
  <si>
    <t>Mr. Dan Mancuso serves as Senior Vice-President and Special Advisor at Export Development Canada. As Canada's export credit agency, an important part of EDC's mandate is to help Canadian exporters and investors go, grow and succeed internationally and one way we do this is by providing access to international growth capital. He and his financing and investments group do this by deploying capital to support the international expansion and growth of Canadian investors and exporters-small, medium, and large as well as supporting their ongoing financing needs and ensuring the smooth delivery of all EDC's financing and related services. He began his EDC career as a financing manager on the Automotive Team when he joined the organization in 1999. In 2005, he was promoted to Account Executive working with the automotive industry followed by the promotion to Regional Vice President, Business Development for Ontario 2005. In 2009, he took on his first senior management role as VP, of Customer Experience Group, where he oversaw the transformation of the organization drawing on Lean and the Shingo models. Before he was appointed senior vice-president, he served as VP of, International Financing overseeing the Export Guarantee Program and International Financing, and most recently as VP, of International Growth Capital (IGC). Before joining EDC, he worked at TD Bank for 12 years in various roles with his last as a Commercial Account Manager.</t>
  </si>
  <si>
    <t>+1 (613) 598-2908</t>
  </si>
  <si>
    <t>Senior Vice President, Financing &amp; Investments</t>
  </si>
  <si>
    <t>161446-33P</t>
  </si>
  <si>
    <t>Erik Brien-Wright</t>
  </si>
  <si>
    <t>Brien-Wright</t>
  </si>
  <si>
    <t>Mr. Erik Brien-Wright serves as a Partner of Mid-Market Growth Capital at Export Development Canada. He also serves as Director and Board Member at Novarc Technologies. He serves as a Board Member at FLO EV Charging.</t>
  </si>
  <si>
    <t>ebrienwright@edc.ca</t>
  </si>
  <si>
    <t>Partner, Mid-Market Growth Capital</t>
  </si>
  <si>
    <t>410144-86P</t>
  </si>
  <si>
    <t>George Monize</t>
  </si>
  <si>
    <t>Monize</t>
  </si>
  <si>
    <t>Mr. George Monize serves as Managing Director and Head of Indo-Pacific at Export Development Canada.</t>
  </si>
  <si>
    <t>george.monize@edc.ca</t>
  </si>
  <si>
    <t>Managing Director &amp; Head of Indo-Pacific</t>
  </si>
  <si>
    <t>310160-17P</t>
  </si>
  <si>
    <t>Guillermo Freire</t>
  </si>
  <si>
    <t>Freire</t>
  </si>
  <si>
    <t>Mr. Guillermo Freire serves as Senior Vice-President, of Mid-Market Export Development Canada at Export Development Canada. In this role, he works to accelerate the international growth of medium-segment companies to boost their international competitiveness. Prior to his current role, Mr. Freire served as Acting Senior Vice-President, Financing and Investments, where he oversaw the group responsible for deploying capital in support of the international expansion, growth, and ongoing financial needs of Canadian exporters and investors. Mr. Freire holds a Master of Business Administration from McGill University and a Science degree from Universidad Nacional Agraria.</t>
  </si>
  <si>
    <t>+1 (514) 848-8010</t>
  </si>
  <si>
    <t>guillermo.freire@edc.ca</t>
  </si>
  <si>
    <t>Senior Vice-President, Mid-Market</t>
  </si>
  <si>
    <t>197330-50P</t>
  </si>
  <si>
    <t>Hozefa Abbas</t>
  </si>
  <si>
    <t>Hozefa</t>
  </si>
  <si>
    <t>Mr. Hozefa Abbas serves as an Investment Partner at Export Development Canada. He serves as Board Member at Nanoprecise and Eocycle. He served as Principal at Inerjys Ventures. He brings in over a decade of experience from roles in the development, commercialization, and financing of technology. He has over 7 years of transactional experience in venture capital and private equity while working for funds such as the Oman Sovereign Wealth Fund and IFCI Ventures. His investing experience spans several industry sectors including technology, manufacturing, infrastructure, and real estate. Earlier in his career, he worked in critical operational roles in venture capital-funded organizations where he led teams working for blue-chip technology clients. Later, he worked at General Electric Global Research on technology commercialization and intellectual property licensing projects in cleantech and advanced materials. At Inerjys Ventures, he plays a leading role in sourcing and evaluating investment opportunities, and building productive relationships with current and prospective investee companies, investors, and strategic partners. He is tasked with growing Inerjys Ventures' portfolio of impactful cleantech investments and simultaneously attracts like-minded global investors who aim to benefit from the double-bottom-lined returns characteristic of this asset class. He holds a Bachelor of Technology from IIT Delhi and is a Post-Graduate in Management from ISB. He is also a CFA Charter holder.</t>
  </si>
  <si>
    <t>hozefa.abbas@edc.ca</t>
  </si>
  <si>
    <t>155 Wellington Street West</t>
  </si>
  <si>
    <t>Suite 3400</t>
  </si>
  <si>
    <t>M5V 3L3</t>
  </si>
  <si>
    <t>+1 (416) 349-6516</t>
  </si>
  <si>
    <t>165566-17P</t>
  </si>
  <si>
    <t>Jerome Briere</t>
  </si>
  <si>
    <t>Briere</t>
  </si>
  <si>
    <t>Mr. Jerome Briere serves as Managing Partner of Mid Market Growth Business at Export Development Canada. He served as a Board Member at Love Good Fats &amp; Sol Cuisine. He served as a Board Member at Hortau.</t>
  </si>
  <si>
    <t>+1 (613) 597-3313</t>
  </si>
  <si>
    <t>jerome.briere@edc.ca</t>
  </si>
  <si>
    <t>+1 (613) 598-3811</t>
  </si>
  <si>
    <t>Managing Partner, Mid Market Growth Business</t>
  </si>
  <si>
    <t>300148-48P</t>
  </si>
  <si>
    <t>Lissa Bjerkelund</t>
  </si>
  <si>
    <t>Lissa</t>
  </si>
  <si>
    <t>Bjerkelund</t>
  </si>
  <si>
    <t>Ms. Lissa Bjerkelund serves as Vice President, Investments &amp; Mid-Market Lending at Export Development Canada.</t>
  </si>
  <si>
    <t>lissa.bjerkelund@edc.ca</t>
  </si>
  <si>
    <t>Vice President, Investments &amp; Mid-Market Lending</t>
  </si>
  <si>
    <t>452150-02P</t>
  </si>
  <si>
    <t>Marjolein Coonen</t>
  </si>
  <si>
    <t>Marjolein</t>
  </si>
  <si>
    <t>Coonen</t>
  </si>
  <si>
    <t>Ms. Marjolein Coonen serves as Associate Regional Manager, Global Business Development at Export Development Canada.</t>
  </si>
  <si>
    <t>marjolein.coonen@edc.ca</t>
  </si>
  <si>
    <t>Associate Regional Manager, Global Business Development</t>
  </si>
  <si>
    <t>422928-37P</t>
  </si>
  <si>
    <t>Martin Eyok</t>
  </si>
  <si>
    <t>Eyok</t>
  </si>
  <si>
    <t>Mr. Martin Eyok serves as Chief Representative Ottawa, Global Business Development at Export Development Canada. He served as Project Finance Manager, Financing Manager - Senior Financing Manager at Export Development Canada, Credit Portfolio Manager at GE Capital, Risk Manager at ABN AMRO Bank N.V., Structured Finance - TMT Europe at ABN AMRO Bank N.V., Loan Structuring at ABN AMRO Bank N.V., Credit Analyst at Citi.</t>
  </si>
  <si>
    <t>martin.eyok@edc.ca</t>
  </si>
  <si>
    <t>Chief Representative Ottawa, Global Business Development</t>
  </si>
  <si>
    <t>316403-65P</t>
  </si>
  <si>
    <t>Matt Hyland</t>
  </si>
  <si>
    <t>Hyland</t>
  </si>
  <si>
    <t>Mr. Matt Hyland serves as Director, of Growth Capital Investments in the Mid-Market Growth Businesses group with Export Development Canada (the Canadian export bank), where he makes direct private investments in high-growth, sector-defining, mid-market companies. He serves as Director, Growth Capital Investments at EDC Investments. He also served as a Board member at Nulogy, ATTAbotics, and Synaptive. Before EDC, he was an investor with Apex Capital LLC (in Toronto and London), where he was responsible for sourcing, evaluating, executing, and managing private investments across a range of industries and regions. Before Apex, he spent seven years as a management consultant with Roland Berger Strategy Consultants GmbH and Gotham Consulting Partners LLC (in Chicago and New York) focused on buy-side strategy, due diligence, corporate strategy, and portfolio improvement projects. In his career to date, he has served as an investor or advisor on 25+ investments (and hundreds of investment evaluations) with a cumulative closed deal value exceeding $20bn USD. He is actively engaged as a board member, mentor, and advisor to management teams across a variety of industries in North America, Great Britain, Europe, and the Middle East. He holds an MBA from the University of Chicago Booth School of Business (2019), an HBA (2011), and a BA from the University of Western Ontario (2010).</t>
  </si>
  <si>
    <t>+1 (312) 257-7278</t>
  </si>
  <si>
    <t>mhyland@edc.ca</t>
  </si>
  <si>
    <t>Director, Growth Capital Investments</t>
  </si>
  <si>
    <t>180310-15P</t>
  </si>
  <si>
    <t>Michael Luca</t>
  </si>
  <si>
    <t>Mr. Michael Luca serves as Regional Manager - Direct Financing at Export Development Canada.</t>
  </si>
  <si>
    <t>michael.luca@edc.ca</t>
  </si>
  <si>
    <t>Regional Manager - Direct Financing</t>
  </si>
  <si>
    <t>373335-58P</t>
  </si>
  <si>
    <t>Miguel Simard</t>
  </si>
  <si>
    <t>Simard</t>
  </si>
  <si>
    <t>Mr. Miguel Simard serves as Senior Vice-President and Chief Legal Officer, Special Risks and CEBA Export Development Canada at Export Development Canada. He is also the Executive Sponsor of the Women at EDC Employee Resource Group. Before this appointment, He worked in the banking department of a major law firm in Montreal. He joined EDC's legal team in 1998 and quickly established himself as a trusted advisor with a deep understanding of business. Later, in 2004, He became EDC's Senior Legal Counsel. He was appointed Assistant General Counsel in 2009, and General Counsel in 2017. He holds a law degree from Université de Sherbrooke, and the ESG Designation from Competent Boards.</t>
  </si>
  <si>
    <t>miguel.simard@edc.ca</t>
  </si>
  <si>
    <t>Senior Vice-President and Chief Legal Officer, pecial Risks and CEBA Export Development Canada</t>
  </si>
  <si>
    <t>66086-02P</t>
  </si>
  <si>
    <t>Nathan Gibb</t>
  </si>
  <si>
    <t>Gibb</t>
  </si>
  <si>
    <t>Mr. Nathan Gibb serves as Managing Partner at Export Development Canada. Previously, he served as a Senior Investment Manager at Export Development Canada.</t>
  </si>
  <si>
    <t>+1 (613) 597-8018</t>
  </si>
  <si>
    <t>ngibb@edc.ca</t>
  </si>
  <si>
    <t>183186-37P</t>
  </si>
  <si>
    <t>Quynh Nguyen</t>
  </si>
  <si>
    <t>Quynh</t>
  </si>
  <si>
    <t>Mr. Quynh Nguyen serves as Regional Underwriting Manager of Mid-Market Lending and Mid-Market Growth Capital at Export Development Canada.</t>
  </si>
  <si>
    <t>+1 (604) 678-2240</t>
  </si>
  <si>
    <t>quynh.nguyen@edc.ca</t>
  </si>
  <si>
    <t>1055 Dunsmuir Street Suite 400</t>
  </si>
  <si>
    <t>Bentall Four PO Box 49086</t>
  </si>
  <si>
    <t>V7X 1G4</t>
  </si>
  <si>
    <t>+1 (604) 678-2241</t>
  </si>
  <si>
    <t>Regional Underwriting Manager, Mid-Market Lending, Mid-Market Growth Capital</t>
  </si>
  <si>
    <t>329654-89P</t>
  </si>
  <si>
    <t>Scott Moore</t>
  </si>
  <si>
    <t>Mr. Scott Moore serves as Chief Financial Officer &amp; Executive Vice President at Export Development Canada.</t>
  </si>
  <si>
    <t>+1 (514) 876-7100</t>
  </si>
  <si>
    <t>scott.moore@edc.ca</t>
  </si>
  <si>
    <t>800 Victoria Square, Suite 4520</t>
  </si>
  <si>
    <t>P.O. Box 124, Tour de la Bourse</t>
  </si>
  <si>
    <t>H4Z 1A1</t>
  </si>
  <si>
    <t>+1 (514) 878-9891</t>
  </si>
  <si>
    <t>115909-93P</t>
  </si>
  <si>
    <t>Sven List</t>
  </si>
  <si>
    <t>List</t>
  </si>
  <si>
    <t>Mr. Sven List serves as Senior Vice President, Canadian Corporate Business at Export Development Canada. Previously, he served as a Relationship Manager at Dresdner Bank Mexico.</t>
  </si>
  <si>
    <t>slist@edc.ca</t>
  </si>
  <si>
    <t>Senior Vice President, Canadian Corporate Business</t>
  </si>
  <si>
    <t>250705-27P</t>
  </si>
  <si>
    <t>Todd Winterhalt</t>
  </si>
  <si>
    <t>Winterhalt</t>
  </si>
  <si>
    <t>Mr. Todd Winterhalt serves as Senior Vice President - International Markets &amp; Head, Communications and Public Affairs at Export Development Canada.</t>
  </si>
  <si>
    <t>todd.winterhalt@edc.ca</t>
  </si>
  <si>
    <t>Senior Vice President- International Markets &amp; Head, Communications and Public Affairs</t>
  </si>
  <si>
    <t>448730-65P</t>
  </si>
  <si>
    <t>Aruna Ramsamy</t>
  </si>
  <si>
    <t>Aruna</t>
  </si>
  <si>
    <t>Ramsamy</t>
  </si>
  <si>
    <t>Extantia Capital</t>
  </si>
  <si>
    <t>Mr. Aruna Ramsamy serves as Executive at Extantia Capital.</t>
  </si>
  <si>
    <t>+49 (0)15 0766 7411</t>
  </si>
  <si>
    <t>ar@extantia.com</t>
  </si>
  <si>
    <t>Zionskirchstrasse 73a</t>
  </si>
  <si>
    <t>383655-61P</t>
  </si>
  <si>
    <t>Carlota Ochoa Neven Du Mont</t>
  </si>
  <si>
    <t>Carlota Ochoa</t>
  </si>
  <si>
    <t>Neven Du Mont</t>
  </si>
  <si>
    <t>Ms. Carlota Ochoa Neven Du Mont serves as a Principal at Extantia Capital. She serves as Board Member at WASE. She is a Principal at Extantia, bringing experience from previous roles at Amazon, Nauta Capital, Tech &amp;Media Club and an MBA at London Business School. She contributes valuable insights to the industry.</t>
  </si>
  <si>
    <t>co@extantia.com</t>
  </si>
  <si>
    <t>211572-55P</t>
  </si>
  <si>
    <t>Christian Guba</t>
  </si>
  <si>
    <t>Guba</t>
  </si>
  <si>
    <t>Mr. Christian Guba serves as Principal at Extantia Capital. He served as a Board Member at Bright Biotech. He served as Principal and head of the Investment Team at Atlantic Food Labs. He served as an Analyst at b2venture. He joined Btov as an Investment Analyst in May 2019. Previously, he worked in the Investment Team of Project A, focusing on Digital Health, and learned all about Performance-Marketing as a Sales Analyst at Google. In addition, he gained first-hand experience in Product Management at a startup and developed Business Intelligence strategies as a Consultant at KPMG. He graduated from HHL Leipzig, NTU Taipei, and WWU Münster with a Master's in Management. He serves as a Board Member at WNWN Food Labs. He served as Board Member at Win-Win.</t>
  </si>
  <si>
    <t>cg@extantia.com</t>
  </si>
  <si>
    <t>415958-95P</t>
  </si>
  <si>
    <t>Elisabeth Iszauk</t>
  </si>
  <si>
    <t>Iszauk</t>
  </si>
  <si>
    <t>Ms. Elisabeth Iszauk serves as Investment Associate at Extantia Capital.</t>
  </si>
  <si>
    <t>ei@extantia.com</t>
  </si>
  <si>
    <t>186497-47P</t>
  </si>
  <si>
    <t>Eshel Lipman</t>
  </si>
  <si>
    <t>Eshel</t>
  </si>
  <si>
    <t>Mr. Eshel Lipman serves as a Venture Partner at Extantia Capital. Mr. Lipman served as Director of Business Development at Agrint.</t>
  </si>
  <si>
    <t>el@extantia.com</t>
  </si>
  <si>
    <t>340871-77P</t>
  </si>
  <si>
    <t>Fernanda Bartels</t>
  </si>
  <si>
    <t>Fernanda</t>
  </si>
  <si>
    <t>Bartels</t>
  </si>
  <si>
    <t>Ms. Fernanda Bartels serves as Marketing Director at Extantia Capital.</t>
  </si>
  <si>
    <t>fb@extantia.com</t>
  </si>
  <si>
    <t>Marketing Director</t>
  </si>
  <si>
    <t>321965-11P</t>
  </si>
  <si>
    <t>Francesco Pomponi Ph.D</t>
  </si>
  <si>
    <t>Pomponi</t>
  </si>
  <si>
    <t>Dr. Francesco Pomponi is a Co-Founder and serves as Chief Executive Officer &amp; Chief Scientific Officer at Preoptima. He serves as Head of Carbon Math at Extantiaa Capital. He is a Professor of Sustainability Science at ENU and serves as Head of Carbon Math at Extantia Capital. He has 17 years of experience in the construction sector; is recognized as a thought leader on embodied and whole life carbon, and LCA; and has co-authored the UK's National Methodology in 2017 and the embodied carbon roadmap for Scotland in 2020. He holds a BEng in Industrial Engineering, an MSc in Engineering Management, and a PhD in Life Cycle Sustainability Assessment. He was made a Fellow of the RSA in 2017.</t>
  </si>
  <si>
    <t>francesco@preoptima.com</t>
  </si>
  <si>
    <t>Co-Founder, Chief Executive Officer &amp; Chief Scientific Officer</t>
  </si>
  <si>
    <t>Preoptima</t>
  </si>
  <si>
    <t>415965-70P</t>
  </si>
  <si>
    <t>Jaisal Singh Shergill</t>
  </si>
  <si>
    <t>Jaisal</t>
  </si>
  <si>
    <t>Singh Shergill</t>
  </si>
  <si>
    <t>Mr. Jaisal Singh Shergill serves as an ESG and Data Analyst at Extantia Capital.</t>
  </si>
  <si>
    <t>jss@extantia.com</t>
  </si>
  <si>
    <t>ESG and Data Analyst</t>
  </si>
  <si>
    <t>276059-71P</t>
  </si>
  <si>
    <t>Jan Olsson</t>
  </si>
  <si>
    <t>Olsson</t>
  </si>
  <si>
    <t>Mr. Jan Olsson serves as an Investment Associate at Extantia Capital. He holds a degree in Economics and Politics from Zeppelin University.</t>
  </si>
  <si>
    <t>jo@extantia.com</t>
  </si>
  <si>
    <t>130829-14P</t>
  </si>
  <si>
    <t>Joern-Carlos Kuntze</t>
  </si>
  <si>
    <t>Joern-Carlos</t>
  </si>
  <si>
    <t>Kuntze</t>
  </si>
  <si>
    <t>Mr. Joern-Carlos Kuntze is the Co-Founder &amp; serves as a Partner at Extantia Capital. He is the Founder and serves as Managing Partner at Berlin Technology Holding. He previously served as a Partner at OC&amp;C and Oliver Wyman. He served as Board Member at Sensorberg. He holds a BA and MA in International Finance and International Management from Regents University London and an MBA from London Business School.</t>
  </si>
  <si>
    <t>+49 (0)30 4081 7321 4</t>
  </si>
  <si>
    <t>+49 30 408173450</t>
  </si>
  <si>
    <t>350244-19P</t>
  </si>
  <si>
    <t>Nina Litman-Roventa</t>
  </si>
  <si>
    <t>Litman-Roventa</t>
  </si>
  <si>
    <t>Ms. Nina Litman-Roventa serves as Senior Associate at Green Generation Fund. She serves as Investment Manager at Extantia Capital.</t>
  </si>
  <si>
    <t>nina@greengenfund.com</t>
  </si>
  <si>
    <t>240841-54P</t>
  </si>
  <si>
    <t>Oliver Schwarzer</t>
  </si>
  <si>
    <t>Schwarzer</t>
  </si>
  <si>
    <t>Mr. Oliver Schwarzer is a Co-Founder and serves as a Partner &amp; Chief Financial Officer at Extantia Capital. Mr. Schwarzer serves as an Advisor at Berlin Technologie Holding. Venture Capital investor and former banker with over 23 years of experience in treasury, asset management, and capital market financing. He served as a Board Member at Get It Done.</t>
  </si>
  <si>
    <t>os@extantia.com</t>
  </si>
  <si>
    <t>Co-Founder, Partner &amp; Chief Financial Officer</t>
  </si>
  <si>
    <t>415957-78P</t>
  </si>
  <si>
    <t>Paola Brenni</t>
  </si>
  <si>
    <t>Brenni</t>
  </si>
  <si>
    <t>Ms. Paola Brenni serves as Investment Analyst at Extantia Capital.</t>
  </si>
  <si>
    <t>pb@extantia.com</t>
  </si>
  <si>
    <t>416438-47P</t>
  </si>
  <si>
    <t>Paul Eisenberg</t>
  </si>
  <si>
    <t>Eisenberg</t>
  </si>
  <si>
    <t>Mr. Paul Eisenberg serves as Investment Manager at Extantia Capital. Mr. Eisenberg served as Associate, Kiko Ventures at IP Group.</t>
  </si>
  <si>
    <t>pe@extantia.com</t>
  </si>
  <si>
    <t>92597-41P</t>
  </si>
  <si>
    <t>Sebastian Heitmann</t>
  </si>
  <si>
    <t>Heitmann</t>
  </si>
  <si>
    <t>Mr. Sebastian Heitmann is the Co-Founder and serves as a Partner at Extantia Capital. He serves as Chief Executive Officer &amp; Strategic Advisor at Best Kiteboarding. He serves as a Member of the Supervisory Board at GA Drilling. He is also a Co-Founder of FoundersKiteClub GmbH. He holds a BS in Economics and an Advanced Management Program from Harvard Business School.</t>
  </si>
  <si>
    <t>sh@extantia.com</t>
  </si>
  <si>
    <t>340873-39P</t>
  </si>
  <si>
    <t>Tess Dury</t>
  </si>
  <si>
    <t>Tess</t>
  </si>
  <si>
    <t>Dury</t>
  </si>
  <si>
    <t>Ms. Tess Dury serves as Head of Impact &amp; ESG at Extantia Capital.</t>
  </si>
  <si>
    <t>td@extantia.com</t>
  </si>
  <si>
    <t>Head of Impact &amp; ESG</t>
  </si>
  <si>
    <t>50994-19P</t>
  </si>
  <si>
    <t>Yair Reem</t>
  </si>
  <si>
    <t>Yair</t>
  </si>
  <si>
    <t>Mr. Yair Reem is a Co-Founder and serves as Partner at Extantia Capital Management. He joined Hasso Plattner Ventures in 2010. Prior to that, Yair held a variety of managerial roles in the international defense sector, focusing on technology scouting and the identification of market trends. Yair holds a B.Sc. in Electrical Engineering from the Technion- Israel Institute of Technology and an Executive Master in Public Management from the Hertie School of Governance in Berlin. He is also a graduate of the Advanced Management Program at the University of Pennsylvania's Wharton School of Business in Philadelphia. He also serves as Advisor at Valsight.</t>
  </si>
  <si>
    <t>+49 (0)33 1979 9210 x2</t>
  </si>
  <si>
    <t>yr@extantia.com</t>
  </si>
  <si>
    <t>291606-40P</t>
  </si>
  <si>
    <t>Aki Karja</t>
  </si>
  <si>
    <t>Aki</t>
  </si>
  <si>
    <t>Karja</t>
  </si>
  <si>
    <t>Fairstead</t>
  </si>
  <si>
    <t>Mr. Aki Karja serves as Director at Fairstead Ventures at Fairstead. He co-founded and served as Chief Executive Officer at Artfare. He serves as Director of Proptech of Fairstead Ventures at Fairstead. Prior to joining Fairstead, he was a Senior Strategy Advisor at Gemic, a progressive New York-based strategy consultancy. He was an Investment Analyst in Blackstone Group's Private Equity division from 2004 to 2006 and began his career as an Analyst in the Investment Banking Division of Morgan Stanley in New York in 2001. He received his Master's degree in Finance from the Helsinki School of Economics.</t>
  </si>
  <si>
    <t>+1 (917) 607-1578</t>
  </si>
  <si>
    <t>aki.karja@fairstead.com</t>
  </si>
  <si>
    <t>250 West 55th Street</t>
  </si>
  <si>
    <t>Director of Proptech of Fairstead Ventures</t>
  </si>
  <si>
    <t>396823-06P</t>
  </si>
  <si>
    <t>Avi Blum</t>
  </si>
  <si>
    <t>Mr. Avi Blum serves as Chief Financial Officer at Fairstead. He joined Fairstead in 2019. Preceding Hidrock, he served as the Controller at HAP Investments, an international real estate development company headquartered in New York. Furthermore, he was a manager in a regional accounting firm where, in addition to supervising audit and tax staff, He earned his B.S. in Accounting from Touro College and holds a Certified Public Accountant license in the State of New York.</t>
  </si>
  <si>
    <t>+1 (212) 798-4080</t>
  </si>
  <si>
    <t>avi.blum@fairstead.com</t>
  </si>
  <si>
    <t>Fairstead Ventures (Former)</t>
  </si>
  <si>
    <t>16769-26P</t>
  </si>
  <si>
    <t>Jeffrey Goldberg JD</t>
  </si>
  <si>
    <t>Mr. Jeffrey Goldberg serves as Founding Partner &amp; Chief Executive Officer at Fairstead Capital. Mr. Goldberg also serves as an Executive Committee Member at Sadis &amp; Goldberg. Prior to joining Sadis &amp; Goldberg, Jeffrey was an associate at Milbank, Tweed, and Hadley &amp; McCloy. He has extensive experience and a 25-year track record in developing, owning, and operating multifamily real estate. Previously, he co-founded Sadis &amp; Goldberg LLP, a New York-based law firm. He serves on Mount Sinai Hospital's Child Psychiatry advisory board. He holds a BS in accounting from the State University of New York-Albany and a JD from Cardozo School of Law.</t>
  </si>
  <si>
    <t>+1 (212) 573-6666</t>
  </si>
  <si>
    <t>jeffrey.goldberg@fairstead.com</t>
  </si>
  <si>
    <t>+1 (212) 573-6663</t>
  </si>
  <si>
    <t>338906-71P</t>
  </si>
  <si>
    <t>Luai Abdallah</t>
  </si>
  <si>
    <t>Luai</t>
  </si>
  <si>
    <t>Abdallah</t>
  </si>
  <si>
    <t>Mr. Luai Abdallah serves as Managing Director, Head of Property Management at Fairstead. He served as Senior Vice President, Operations at Fairstead. Having joined Fairstead in 2020, he now leads all property management activity at Fairstead, bringing more than 20 years in the real estate development industry. Before joining Fairstead, he served as the Director of Property Operations at MidPen Housing where he oversaw 4000+ units across 45+ apartment communities in the San Francisco Bay Area. Prior to MidPen, he was the Executive Vice President at Somerset Pacific where oversaw Compliance, HR, Marketing, Operations and Facilities for 40 properties across 10 states. He is a LEED AP and holds a BA in Urban Planning and Community Development from Portland State University.</t>
  </si>
  <si>
    <t>luai.abdallah@fairstead.com</t>
  </si>
  <si>
    <t>Managing Director, Head of Property Management</t>
  </si>
  <si>
    <t>298533-97P</t>
  </si>
  <si>
    <t>Marios Kyriacou</t>
  </si>
  <si>
    <t>Marios</t>
  </si>
  <si>
    <t>Kyriacou</t>
  </si>
  <si>
    <t>FCT Group of Companies</t>
  </si>
  <si>
    <t>Mr. Marios Kyriacou serves as Chief Executive Officer at FCT Group of Companies.</t>
  </si>
  <si>
    <t>+44 (0)20 3289 8876</t>
  </si>
  <si>
    <t>mkyriacou@fct.com</t>
  </si>
  <si>
    <t>4 Endsleigh Street</t>
  </si>
  <si>
    <t>Bloomsbury</t>
  </si>
  <si>
    <t>WC1H 0DS</t>
  </si>
  <si>
    <t>300437-65P</t>
  </si>
  <si>
    <t>Roger Carlsson</t>
  </si>
  <si>
    <t>Carlsson</t>
  </si>
  <si>
    <t>Mr. Roger Carlsson is the Founder of FCT Group of Companies.</t>
  </si>
  <si>
    <t>roger@fct.com</t>
  </si>
  <si>
    <t>202678-30P</t>
  </si>
  <si>
    <t>Adrian Percy</t>
  </si>
  <si>
    <t>Percy</t>
  </si>
  <si>
    <t>Finistere Ventures</t>
  </si>
  <si>
    <t>Dr. Adrian Percy serves as Board Member at Nufarm. Dr. Percy serves as Board Member at Evogene (Drug Discovery). Dr. Adrian Percy served as Chairman of the Science and Technology Advisory Council at Terramera. Dr. Percy serves as Board Member at AgPlenus. He serves as an Advisor at Fresh Start. He serves as a Venture Partner at DYDX. He also serves as a Venture Partner at Finistere Ventures. He is a true AgTech innovator and champion. He formerly served as the Global Head of Research &amp; Development for the Crop Science division of Bayer. He has over 25 years of experience in the global agriculture industry and is an advocate for the need for and benefits of modern agriculture. In addition to his leadership at Bayer Crop Science, he has held numerous positions in the research and development departments of Rhone Poulenc and Aventis Crop Science. He is also a strong proponent of the development and adoption of new agricultural and food technologies that support global food security while protecting the environment. He holds a bachelor's degree in Pharmacology from the University of Liverpool, a master's degree in Toxicology, and a doctorate in Biochemistry from the University of Birmingham. He serves as Chairman at BioLumic.</t>
  </si>
  <si>
    <t>+61 (0)3 9282 1000</t>
  </si>
  <si>
    <t>Laverton North</t>
  </si>
  <si>
    <t>Laverton North, Australia</t>
  </si>
  <si>
    <t>103-105 Pipe Road</t>
  </si>
  <si>
    <t>3026</t>
  </si>
  <si>
    <t>+61 (0)3 9282 1001</t>
  </si>
  <si>
    <t>Nufarm</t>
  </si>
  <si>
    <t>40816-00P</t>
  </si>
  <si>
    <t>Ann Whitley</t>
  </si>
  <si>
    <t>Whitley</t>
  </si>
  <si>
    <t>Ms. Ann Whitley serves as Finance Director, San Diego at Finistere Ventures. She brings 20 years of public and private accounting and business management experience to the team. Most recently, she led the accounting department at Hamilton &amp; Assoc. She also serves on the Board of Directors as CFO for two Non-Profit Associations in San Diego, California. She earned her Bachelor of Science from Southern Oregon University.</t>
  </si>
  <si>
    <t>+1 (858) 926-3009</t>
  </si>
  <si>
    <t>awhitley@finistere.com</t>
  </si>
  <si>
    <t>Newport Beach</t>
  </si>
  <si>
    <t>Newport Beach, CA</t>
  </si>
  <si>
    <t>240 Newport Center Drive</t>
  </si>
  <si>
    <t>92660</t>
  </si>
  <si>
    <t>Finance Director, San Diego</t>
  </si>
  <si>
    <t>94366-45P</t>
  </si>
  <si>
    <t>David Duncan Ph.D</t>
  </si>
  <si>
    <t>Dr. David Duncan serves as Venture Partner, St. Louis at Finistere Ventures. He served as Co-Chief Executive Officer &amp; Board Member at FBSciences. He served as a Board Member at Plastomics. Prior to joining Finistere, Dr. Duncan founded an entrepreneurial venture with the support of the Nidus Center for Scientific Enterprise in St. Louis, a business incubator for biotech startups. He served as a Board Member at Willowood USA. He formerly served at Nidas. Before joining FBSciences, Dr. Duncan was CEO of Pasteuria Bioscience, where he led the company through its first successful EPA registration and commercial launch of a biological nematicide for use on turfgrass; and, most recently completed an exclusive technology partnership with Syngenta. In his role as CEO for Chlorogen, Dr. Duncan helped raise $10M in two series of financing for the young biopharmaceutical company that developed and manufactured proteins for human therapy. Dr. Duncan also served in various roles, including product development (US &amp; Canada); marketing; government and regulatory affairs; and as both a commercial development and business unit executive during his 22 years at Monsanto Company. He was the General Manager of Monsanto's turf and ornamental business. He was credited for helping the company transition from a traditional agricultural chemical company into the world's leading producer of agricultural biotechnology products. Dr. Duncan received a B.S. degree in biology from Indiana State University and both an M.S. in agronomy/turf grass management and a Ph.D. in herbicide physiology from Michigan State University. Dr. Duncan serves on the boards and committees of several organizations.</t>
  </si>
  <si>
    <t>+1 (650) 539-4448</t>
  </si>
  <si>
    <t>dduncan@finistere.com</t>
  </si>
  <si>
    <t>Venture Partner, St. Louis</t>
  </si>
  <si>
    <t>204310-45P</t>
  </si>
  <si>
    <t>Dean Tilyard</t>
  </si>
  <si>
    <t>Tilyard</t>
  </si>
  <si>
    <t>Mr. Dean Tilyard serves as a Venture Partner at Finistere Ventures. He serves as an Advisor at Fresh Start. He serves as a Partner at DYDX. He serves as a Board Member at Scentian Bio. He served as a Board Member at AgGenetics. Additionally, he serves as Chief Executive of The Factory and Executive Director of Sprout Agritech, a New Zealand start-up advisory and accelerator. He has experience with multiple start-ups and technologies and is a founding member of the New Zealand Angel Association where he received the Association's inaugural Kotahitanga Award. He has founded an angel investor network and two seed investment funds. He is currently a director of Levno (on-farm IoT), Biolumic (UV light treatments), and Invert Robotics (robotic inspection). He has a BA(Hons) in Economics and Geography from Otago University.</t>
  </si>
  <si>
    <t>dtilyard@finistere.com</t>
  </si>
  <si>
    <t>DYDX</t>
  </si>
  <si>
    <t>123455-98P</t>
  </si>
  <si>
    <t>Donal Ryan</t>
  </si>
  <si>
    <t>Donal</t>
  </si>
  <si>
    <t>Mr. Donal Ryan serves as Chief Executive Officer at Zinto labs. He serves as a Venture Partner at Finistere Ventures. He served as Managing Director at Equinome. He also serves as a Board Member at ApisProtect. He brings a range of experience from multinational biopharma companies through to early-stage renewables and animal genomics startups. He started his career working with Pfizer and CH2M Hill on the design, commissioning, and qualification of multi-billion dollar complex biologics facilities in Ireland and Spain. Following this, He was co-founding CEO of Equinome, a university spin-out focused on the development of predictive animal genomic tests that he led through international growth to a successful exit. He has also worked with a range of Irish and European early-stage tech companies on business model development and early-stage financing. He has a degree in Chemical Engineering from University College Dublin, Ireland, and an MBA from the Smurfit Business School in Dublin.</t>
  </si>
  <si>
    <t>donal.ryan@zinto.com</t>
  </si>
  <si>
    <t>The Highline</t>
  </si>
  <si>
    <t>Pottery Road, Dun Laoghaire</t>
  </si>
  <si>
    <t>A96 KW29</t>
  </si>
  <si>
    <t>Zinto labs</t>
  </si>
  <si>
    <t>13736-98P</t>
  </si>
  <si>
    <t>Eyal Rosenthal</t>
  </si>
  <si>
    <t>Eyal</t>
  </si>
  <si>
    <t>Rosenthal</t>
  </si>
  <si>
    <t>Mr. Eyal Rosenthal serves as a Venture Partner at Finistere Ventures. He serves as Chief Executive Officer at Ever After Foods. He serves as a Chairman at Fresh Start. He served as Managing Director at Infinity Group. He also served as Vice Chairman at TechnoPlus Ventures. He is also the founder &amp; CEO of Web 2 Print, a unique printing company concept offered through retail and online. Prior to joining Infinity, he served as the business development manager at Clal Industries &amp; Investments/IDB and as an investment manager for UNION BANCAIRE PRIVEE (UBP) in London. He holds a M.Sc. with distinction, from City University Business School in London (awarded a scholarship), and a B.Sc. from Greenwich University London (Summa Cum Laude).</t>
  </si>
  <si>
    <t>erosenthal@finistere.com</t>
  </si>
  <si>
    <t>46374-13P</t>
  </si>
  <si>
    <t>Kirk Belsby</t>
  </si>
  <si>
    <t>Belsby</t>
  </si>
  <si>
    <t>Mr. Kirk Belsby serves as Chief Financial Officer &amp; Partner at Finistere Ventures. He is also serves as Board Member at Cropx. Prior to joining Finistere Ventures, he was the Chief Investment Officer for the Endowment Group of Kamehameha Schools - Bishop Estate (KSBE) in Honolulu, Hawaii from 2002 to 2012. He managed a $10.0 billion combined fund of approximately $3.5 billion indirectly owned/managed real estate together with $6.5 billion in financial securities (equities, fixed income, private equity, and venture capital). The real property portfolio included over 2.0 million square feet of retail, hospitality, office, and over 5,000 multi-family residential housing units. The majority of the portfolio is based in Hawaii but also includes the Mid-Atlantic, Southeast, and the Western US. In addition, the portfolio included 365,000 acres of land, of which 180,000 were zoned for agricultural purposes. KSBE directly managed the agricultural portfolio, including acreage devoted to growing coffee, papaya, bananas, and various vegetable crops. During his tenure, the Estate re-purposed the agriculture portfolio away from prior uses such as sugar and pineapple and utilized alternative energy and other creative uses to drive cash returns. Further, the Estate invested in water infrastructure to restore streamflow and irrigation systems, thereby improving opportunities to grow a diverse set of crops. He was hired by KSBE in a restructuring move by the organization and he grew the portfolio from $4.9 billion to $10.0 billion while completely re-organizing the business strategy, operations, human capital, and finance functions. In an article from Institutional Investor, the turnaround of KSBE was quoted as "one of the most remarkable in the oversight of institutional assets". Results published by Cambridge Associates indicate that KSBE was ranked in the top 2.0% for over 400 reporting endowments and pension funds for the trailing 10 year period, and in the top 3.0% for the trailing five-year period for the combined portfolio. The real estate returns within the Endowment were even more dramatic. The one, five, and ten-year returns for KSBE were 22.2%, 13.1%, and 12.9%, respectively. What makes the returns particularly impressive is that no leverage (debt) was used to drive the returns as the portfolio is almost all cash. Prior to KSBE, he served as the West Coast Managing Partner within the Global Corporate Finance Group at Arthur Andersen LLP where he was employed from 1993 to 2002. While at Andersen he advised a myriad of Global 1000 companies, with a particular focus on Wall Street investment banks. A sampling of clients included Goldman Sachs, Lazard Freres, and CS First Boston. Areas of work included transactional consulting, development and project feasibility, litigation testimony, and development of corporate strategy and execution. Supervising offices in Los Angeles, San Francisco, Phoenix, Seattle, Honolulu, and Las Vegas, he obtained a wide variety of experience across the Western US.</t>
  </si>
  <si>
    <t>+1 (949) 527-2976</t>
  </si>
  <si>
    <t>kbelsby@finistere.com</t>
  </si>
  <si>
    <t>74403-46P</t>
  </si>
  <si>
    <t>Michael Pereira</t>
  </si>
  <si>
    <t>Executive &amp; Venture Partner</t>
  </si>
  <si>
    <t>Mr. Michael Pereira serves as Venture Partner &amp; Agronomist at Finistere Ventures. He serves as Venture Partner at DYDX. Mr. Pereira served as Vice President, Agricultural Operations at SGB Biofuels. He is a highly accomplished agriculturalist with extensive experience over a 39-year career in agronomy, seeds, and biofuels. He has held executive leadership positions with Syngenta's and Limagrain's global seed production organizations and has a proven track record in establishing new production systems, technologies, and areas. In biofuels, he established the first hybrid seed system for Miscanthus, an ethanol feedstock for Mendel Bioenergy Seeds, and also established and directed hybrid seed production and plantation research of Jatropha, a diesel and jet fuel feedstock for SGB, Inc. Throughout his career, he has focused on the importance of targeted agronomy for success in agriculture. Currently, he also is associated with the Seed Biotechnology Center of UC Davis as an instructor for Seed Business 101 and as the lead instructor for the short course Seed Production. He completed his MS from the University of California, Davis in the year 1980 and his BS in Biology from the University of San Francisco in the year 1975.</t>
  </si>
  <si>
    <t>mpereira@finistere.com</t>
  </si>
  <si>
    <t>Venture Partner &amp; Agronomist</t>
  </si>
  <si>
    <t>115295-05P</t>
  </si>
  <si>
    <t>Scott Robertson</t>
  </si>
  <si>
    <t>Mr. Scott Robertson serves as Chief Financial Officer at DiCE Molecules. Mr. Robertson serves as Venture Partner, Silicon Valley at Finistere Ventures. He also serves as Chief Financial Officer at DiCE Molecules. He served as Investment Portfolio Manager at Dupont Ventures. He focuses on investments in production agriculture, including crop genetics, enabling technologies, and precision agriculture. Additionally, he is a Director in the business development organization for the DuPont Pioneer business unit primarily responsible for M&amp;A transactions. He is based in the San Francisco Bay Area and brings experience in venture capital investing and investment banking. Mr. Robertson served as an Associate at MPM Capital. He joined MPM's BioVentures group in September 2006 from Merrill Lynch &amp; Co., where he was an Associate in the healthcare investment banking group. At Merrill, he performed comprehensive financial and strategic analyses and conducted extensive due diligence while completing a number of M&amp;A and financing transactions for clients in the medical technology and biotechnology sectors. Prior to that, he was with Thomas Weisel Partners LLC, as an Analyst in their healthcare investment banking group. He graduated from the University of Southern California, with a B.S. in Business Administration an MBA from the Haas School of Business, UC Berkeley.</t>
  </si>
  <si>
    <t>+1 (650) 566-1402</t>
  </si>
  <si>
    <t>400 East Jamie Court</t>
  </si>
  <si>
    <t>DICE Therapeutics</t>
  </si>
  <si>
    <t>35757-91P</t>
  </si>
  <si>
    <t>Steven Goldberg Ph.D</t>
  </si>
  <si>
    <t>Dr. Steven Goldberg serves as Partner at Finistere Ventures. He serves as Partner at DYDX. He serves as Board Member at Solid Power. He serves as Board Director at Backbar Solutions. He previously served as an Advisor at Alcatraz AI. Since January 2000, he has operated Air Access, his own technology consulting business. He also served as an Operating Partner at Venrock, a venture capital firm, from May 2009 to January 2020. From October 2000 to November 2009, he served as the Chief Executive Officer of several early-stage technology companies including DataRunway, Vidient Systems, CoWave Networks, and Arcwave. He has served as a member of the board of directors of Future Dial, a mobile device processing robotics and automation software company, since July 2011. He previously served on the board of directors of Savari, an automotive technology company, from April 2016 to December 2020. He served on the board of directors of Lucid Motors, an electric vehicle company, from January 2014 to April 2019. He served on the board of directors of Red Seal, a cybersecurity software company, from April 2014 to April 2019. He also served on the board of directors of Silicon Valley Forum, a non-profit organization focused on fostering innovation and entrepreneurship in Silicon Valley, from June 2014 to May 2018. Finally, he served on the board of directors of Quantenna, a WiFi semiconductor company, from May 2009 to August 2016. He holds B.S. and M.S. degrees in Electrical Engineering from Washington University, St. Louis, and a Ph.D. in Electrical Engineering from the University of California, Santa Barbara. He serves as Board Member at Growers Edge. He also serves as Board Member at FutureDial. He served as Venture Partner at Fusion Fund. He served as Operating Partner at Venrock. He also served as Board Member at Asoka USA. He joined Venrock in 2009 after having been CEO of several early-stage companies including DataRunway, Vidient, Arcwave, and CoWave Networks. Prior to that, he was Vice President of Research and Development at Nokia Internet Communications and Vice President and General Manager of the Wireless Communications Division at Cylink Corporation. He also held senior management and engineering positions at Trimble Navigation and Hewlett Packard. At Venrock, he focuses on investments in connectivity, M2M/Internet of Things, robotics, and embedded systems. He currently sits on the Board of Directors of Red Seal, and Quantenna Communications. Previous board seats include Canesta (Acq by Microsoft), Kineto Wireless (Acq by Taqua), Newport Media (Acq by Atmel), and Teranetics (Acq by PLX Technology). He received his B.S. and M.S. in Electrical Engineering from Washington University and his Ph.D. in Electrical Engineering from the University of California, Santa Barbara. He serves as Board Member at Sidework.</t>
  </si>
  <si>
    <t>steve@finistere.com</t>
  </si>
  <si>
    <t>22327-93P</t>
  </si>
  <si>
    <t>Bradford Woloson</t>
  </si>
  <si>
    <t>Bradford</t>
  </si>
  <si>
    <t>Woloson</t>
  </si>
  <si>
    <t>Firebrand Ventures</t>
  </si>
  <si>
    <t>Mr. Bradford Woloson serves as Advisory Board Member at Blue Note Ventures. Previously, he served as Board Advisor at Nudge. Mr. Woloson also served as General Partner at JMI Equity. He joined JMI in 1994 and is based in Baltimore. In 2013, he became a Venture Partner, focusing on sourcing new investment opportunities and building JMI's network. He is currently a director of CouponCabin. As a General Partner at JMI, Brad led more than 20 investments including Eloqua (NASDAQ: ELOQ, acquired by Oracle), Network Intelligence (acquired by EMC) and Unica (NASDAQ: UNCA, acquired by IBM). He also created JMI's outbound sourcing strategy. Prior to joining JMI, he was a financial analyst in the technology group at Alex. Brown and a fixed income analyst at Kidder Peabody International in London. He received an AB in Economics from Harvard University. He also serves as Advisor at Firebrand Ventures.</t>
  </si>
  <si>
    <t>831 Pearl Street</t>
  </si>
  <si>
    <t>Blue Note Ventures</t>
  </si>
  <si>
    <t>240465-25P</t>
  </si>
  <si>
    <t>Chris Marks</t>
  </si>
  <si>
    <t>Marks</t>
  </si>
  <si>
    <t>Mr. Chris Marks serves as Managing Partner at Firebrand Ventures. He serves as Board Member at Nivati. He was the Founder and Managing Partner of Blue Note Ventures, an early stage venture fund investing in great technology companies and serving entrepreneurs committed to authentic leadership. He was a partner at Tango, a private investment company located in Boulder, Colorado. He also served as a Partner at High Country Venture, the general partner of Colorado Funds I &amp; II, venture capital funds investing in early stage companies located in Colorado.</t>
  </si>
  <si>
    <t>chris@firebrandvc.com</t>
  </si>
  <si>
    <t>300 East 39th Street</t>
  </si>
  <si>
    <t>197967-25P</t>
  </si>
  <si>
    <t>Claire Hansen</t>
  </si>
  <si>
    <t>Ms. Claire Hansen serves as Partner at Firebrand Ventures. She Serves as Board Observer at HData and Videate. She served as Investment Associate at Central Texas Angel Network. She serves as Principal at Firebrand Ventures. She joined CTAN in May 2018 with four years of experience managing, marketing, and improving small or experimental programs at companies of all sizes, including startups. Notably, she served as Accelerator Program Coordinator for the Capital Factory Fund, collaborating with entrepreneurs, mentors, and investors. Most recently, at ModCloth, she conceptualized and implemented a community strategy for the brand's first and only physical "FitShop" here in Austin. Under her direction, the Community Department executed programming with more than 10 partners each month, driving material improvements in business outcomes for FitShop. She is an experienced researcher, with expertise in qualitative methods and analysis through her MA in Organizational Communication at Texas A&amp;M University. She holds a Data Analysis Certificate from General Assembly, which allows her to back up qualitative insights with quantitative data proficiency. She completed her BA in Organizational Communication, Magna Cum Laude, at Pepperdine University.</t>
  </si>
  <si>
    <t>claire@firebrandvc.com</t>
  </si>
  <si>
    <t>35381-26P</t>
  </si>
  <si>
    <t>David Cohen</t>
  </si>
  <si>
    <t>Mr. David Cohen is a Co-Founder and serves as Chief Executive Officer at Techstars. Mr. Cohen served as Advisor at Keebitz. He served as Advisor at Ao Ventures. He served as a Board Member at TVision. He serves as a VC Advisory Committee Member at Wildcard Ventures. Before Techstars, he co-founded Pinpoint Technologies, which was acquired by ZOLL Medical Corporation in 1999. He was the founder and CEO of earFeeder, a music service sold to SonicSwap. He also had what he likes to think of as a "graceful failure" in between. He is the co-author (with Brad Feld) of Do More Faster; Techstars Lessons to Accelerate Your Startup. He also enjoys reading non-fiction books and playing tennis. He is married to the coolest girl he's ever met and has three amazing kids who always seem to be teaching him something new. He served as an Advisor &amp; Board Member at Tred. He was a Co-Founder of Patriot Boot Camp. Previously, he served as Managing Partner and Co-Chief Executive Officer at Techstars. He also is a Co-Founder of GAN. He served as a Board Member at ConnXus and Distil Networks. He serves as an Advisor and Board Observer at SaaSOptics.</t>
  </si>
  <si>
    <t>david.cohen@techstars.com</t>
  </si>
  <si>
    <t>95511-70P</t>
  </si>
  <si>
    <t>John Fein</t>
  </si>
  <si>
    <t>Fein</t>
  </si>
  <si>
    <t>Mr. John Fein is a Co-Founder &amp; serves as a Managing Partner at Firebrand Ventures. Previously, he served as Managing Director at T-Mobile Accelerator. He serves as Board Member at 8base and HData. He served as Board Member at Drop Mobility. He served as Board Membera at Sickweather. He also served as Managing Director at Techstars and Board Member at The Minte. He holds BA in Psychology from Clark University.</t>
  </si>
  <si>
    <t>john@firebrandvc.com</t>
  </si>
  <si>
    <t>56722-24P</t>
  </si>
  <si>
    <t>Keith Harrington</t>
  </si>
  <si>
    <t>Harrington</t>
  </si>
  <si>
    <t>Mr. Keith Harrington is a Co-Founder and serves as Chief Operating Officer at Novel Capital. He launched Novel with his partner, Carlos Antequera in 2017 to provide entrepreneurs with additional options for funding their growth. Before that, he was a co-founder at Fulcrum Global Capital, an ag-tech VC firm, and was managing director at Kansas Bioscience Authority, where he invested in early-stage life sciences companies. Before that, he held various positions in operations, corporate development, and M&amp;A in a telecom startup that achieved $300M in revenue. He is a Kauffman Fellow, writes a newsletter about revenue-based financing, and was the lead organizer for Alternative Capital Summit 2, which brought 100 practitioners from around the world together to advance the state of the alternative investment and RBF field.</t>
  </si>
  <si>
    <t>+1 (913) 972-1080</t>
  </si>
  <si>
    <t>keith.harrington@novelcapital.com</t>
  </si>
  <si>
    <t>6701 West 64th Street</t>
  </si>
  <si>
    <t>66202</t>
  </si>
  <si>
    <t>Novel Capital</t>
  </si>
  <si>
    <t>291542-41P</t>
  </si>
  <si>
    <t>Leo Morton</t>
  </si>
  <si>
    <t>Leo</t>
  </si>
  <si>
    <t>Mr. Leo Morton serves as Advisor at Firebrand Ventures. He serves as Board Member at RNAiSSANCE AG. He is President and Chief Operating Officer of DeBruce Companies, a private investment firm managing a diverse portfolio of private equity and other asset class investments across a broad range of industries, including biotech, energy, manufacturing, technology, and real estate. He served as Chancellor of the University of Missouri-Kansas City for over 9 years after serving 3 years as Chairman of the Board of Trustees. Prior to assuming the Chancellorship, Morton had been senior vice president and chief administrative officer for Aquila Inc. Morton received the Henry W. Bloch Human Relations Award from the Jewish Community Relations Bureau/American Jewish Committee in 2012. And in 2014, the Greater Kansas City Chamber of Commerce named Morton Kansas Citian of the Year. He has also been the recipient of numerous other awards and most recently received the Robert B. Rodgers Award from High Aspirations, the Lifetime Achievement Award from the Economic Development Corporation of Kansas City in 2018, honored as a 2019 Kansas City Legend in Ingram's 45th Anniversary Edition, and received an honorary Doctorate for William Jewel College in 2020. Morton has a bachelor's degree in mechanical engineering from Tuskegee University, and a Master of Science degree in management from the Massachusetts Institute of Technology.</t>
  </si>
  <si>
    <t>+1 (913) 283-8855</t>
  </si>
  <si>
    <t>l-morton@hcienergy.com</t>
  </si>
  <si>
    <t>1315 West 12th Street</t>
  </si>
  <si>
    <t>64101</t>
  </si>
  <si>
    <t>Chairman of the Board</t>
  </si>
  <si>
    <t>HCI Energy</t>
  </si>
  <si>
    <t>128889-64P</t>
  </si>
  <si>
    <t>Scott Beck</t>
  </si>
  <si>
    <t>Mr. Scott Beck serves as a Partner at Bridge Builders Collaborative. He has spent 40 years learning about scaling businesses and supporting Champions who are helping people grow in relationship, spirit, and wellness. As the CEO of Gloo, he is putting that experience to work by serving Champions, helping them scale, and supporting their core processes with exponential technology. He is a Co-Founder and serves as Board Member &amp; Chief Executive Officer at Gloo. He is a partner at Pacific Dental Services and also serves as its Vice-Chairman. He serves on the Advisory Board at Blue Note Ventures. Mr. Beck was also the Founder and served as Vice President, Secretary, &amp; Treasurer at Bowana Foundation. He is also the Founder and serves as Chief Executive Officer at Tango, a private investment company formed in 1998 that forms partnerships with vision-led growth organizations in the for-profit and not-for-profit sectors. He has served as a strategic consultant to PDS Founder, President, and CEO Steve Thorne since 2005. In 2012, he increased his advisory role, joining the PDS team as Vice Chairman 2012. With over 35 years of experience in serving and founding high-profile retail and technology companies, he assists in developing multi-unit expertise across PDS. In 1988, he served as Vice Chairman and COO of Blockbuster Entertainment Corp. Worldwide. In 1992, he was Chairman and CEO of Boston Chicken, Inc., and later was Chairman of Einstein/Noah Bagel Corp. In addition, he is an investor and board member of Ancestry.com, ServiceMagic.com, and other tech companies. He is currently the Chairman of the Board for Family Life Ministries. He received his Bachelor of Business Administration from Southern Methodist University. He also received his degree in business studies from London Metropolitan University and his degree in business from the University of Arizona.</t>
  </si>
  <si>
    <t>Bridge Builders Collaborative</t>
  </si>
  <si>
    <t>42444-46P</t>
  </si>
  <si>
    <t>Scott Kriens</t>
  </si>
  <si>
    <t>Kriens</t>
  </si>
  <si>
    <t>Mr. Scott Kriens serves as Partner at Bridge Builders Collaborative. He served as Board Member at Equinix. He is also Chairman of Juniper Networks, Inc., and led the company for 12 years since its inception in 1996 through 2008 as Chairman &amp; CEO, growing it to a $4 billion company, with over 7000 employees, serving customers in more than 100 countries worldwide. He also serves as a Co-Creator of the 1440 Foundation, a charitable foundation built to support the cultivation of inner awareness and self-knowledge, and the development of authentic relationship skills. Kriens is a former member of NSTAC (National Security Telecommunications Advisory Committee), in which all members are appointed personally by the President of the United States of America, and has been called to testify in front of Congress on a number of occasions. He was honored for his entrepreneurial spirit with the 2000 Ernst &amp; Young National Entrepreneur of the Year award and named one of Business Week's top 25 Managers in 2000. He has also received recognition for his achievements in the world of Internet technology, being named one of Forbes' Top Tech Execs in 1996 and one of the "25 Most Powerful People in Networking" by Network World in 2006. He also serves as Member, Advisory Board at Blue Note Ventures &amp; Advisor at Firebrand Ventures.</t>
  </si>
  <si>
    <t>15364-09P</t>
  </si>
  <si>
    <t>Thomas Ball</t>
  </si>
  <si>
    <t>Ball</t>
  </si>
  <si>
    <t>Mr. Thomas Ball is a Co-Founder and serves as Managing Director at Next Coast Ventures. Mr. Ball served as Board Member at the Entrepreneurs Foundation of Central Texas. He serves as a Board Member at Aclaimant, Audience, CoPilot, RetailMeNot, FloorFound, UpEquity &amp; AlertMedia. He served as Board Member at TrustRadius and Phlur. He served as Advisor at 101 Commerce. He served as Board Member at Chargeback. Previously he served as a General Partner at Austin Ventures. He served as Advisor at Zohr. Prior to this, he Founded Tahoe Domains. He serves as Board Member at Amplify Austin. He serves as Advisor at Firebrand Ventures. He serves as Board Member at GOJA. He serves as Investment Committee Member at Next Coast ETA. He received his MBA from the Stanford Graduate School of Business and a BS in Finance from the University of Florida.</t>
  </si>
  <si>
    <t>+1 (650) 842-0883</t>
  </si>
  <si>
    <t>tball@nextcoastventures.com</t>
  </si>
  <si>
    <t>1204 Nueces Street</t>
  </si>
  <si>
    <t>Next Coast Ventures</t>
  </si>
  <si>
    <t>35389-00P</t>
  </si>
  <si>
    <t>Wendy Lea</t>
  </si>
  <si>
    <t>Ms. Wendy Lea is a Co-Founder &amp; serves as Chair of Board at Energize Colorado. Ms. Lea serves as a Board Member at Amplify Louisville. He serves as Ventures Advisor at P&amp;G Ventures. Ms. Lea served as Chief Executive Officer at Cintrifuse. She served as an Executive at H Venture Partners. She served as Board Member at Corporate Visions and Techstars. She serves as Board Member at TiLT (Human Capital Services). She has served in a variety of roles including CEO, corporate executive, angel investor, strategic advisor, and board member to dozens of innovative high-tech start-ups and public companies. In 1999, Ms. Lea established Siebel Systems' eBusiness Consulting business unit which she joined after the company's acquisition of OnTarget, where she served as VP of Marketing and Alliances. Prior to that, Ms. Lea co-founded The Sales Consultancy (TSC) in the U.S. She also serves as an Executive at H Ventures Partners. She serves as an advisor at CometChat. He is a Graduate of University of Mississippi, Oxford.</t>
  </si>
  <si>
    <t>+1 (800) 471-0628</t>
  </si>
  <si>
    <t>wendy.lea@energizecolorado.com</t>
  </si>
  <si>
    <t>340 Dewey Avenue</t>
  </si>
  <si>
    <t>80304</t>
  </si>
  <si>
    <t>Co-Founder &amp; Chair of Board</t>
  </si>
  <si>
    <t>Energize Colorado</t>
  </si>
  <si>
    <t>128444-95P</t>
  </si>
  <si>
    <t>Falon Fatemi</t>
  </si>
  <si>
    <t>Falon</t>
  </si>
  <si>
    <t>Fatemi</t>
  </si>
  <si>
    <t>Fireside (Social/Platform Software)</t>
  </si>
  <si>
    <t>Ms. Falon Fatemi is a Co-Founder &amp; serves as Chief Executive Officer at Fireside Chat. Previously Ms. Falon Fatemi founded and served as President, Chief Executive Officer &amp; Board Member at Node. She holds a BS degree in Commerce and Finance from the Santa Clara University.</t>
  </si>
  <si>
    <t>+1 (415) 524-4299</t>
  </si>
  <si>
    <t>falon@firesidechat.com</t>
  </si>
  <si>
    <t>PMB 40252</t>
  </si>
  <si>
    <t>+1 (650) 446-4505</t>
  </si>
  <si>
    <t>43563-97P</t>
  </si>
  <si>
    <t>Mark Cuban</t>
  </si>
  <si>
    <t>Cuban</t>
  </si>
  <si>
    <t>Mr. Mark Cuban is a Co-Founder of Fireside Chat. He is a Co-Founder of Dust. He serves as General Partner at Harbinger Sports Partners. He served as an Advisor at Eterneva and Netra. He is a Co-Founder of Axs TV. He serves as Advisor at Scoutible. He also serves as an Advisor at SparkLabs Group. He is a Co-Owner of 2929 Entertainment and DUDE Wipes. He served as an Advisor at Unikrn. He serves as an Investor at Backstage Capital. He serves as an Executive at LAZY. He serves as an Advisor at Sportradar &amp; Ground Signal. He serves as an Advisor at CivicScience. He is a Co-Founder of Mark Cuban Cost Plus Drug Company. He served as an Advisor at Sportlogiq. He served as a Board Member at Dave and Zergnet. He also serves as an advisor at SparkLabs Korea, part of the SparkLabs Group. He is a Co-Owner of Underdog Fantasy. He co-founded Xpire. He is a Co-Founder of Backstage Capital. He also serves as a Strategic Advisor at Climate. He served as a Board Member at Power Practical and Thinking Voice. He founded Radical Investments. He serves as an Advisor at Wear Your Voice. He is a Co-Founder of Three Commas. He serves as a Board Advisor at Nohbo. He serves as a Board Member at SparkCharge. He served as an Advisor at Open Garden. He is a Co-Founder, Co-Owner, Chief Executive Officer, Chairman &amp; President at Axs Tv. In 2011, he wrote an e-book, How to Win at the Sport of Business, in which he chronicles his life experiences in business and sports. He created MicroSolutions, a computer consulting service. He went on to later sell MicroSolutions in 1990 to CompuServe. He is an Angel Investor. He served as an Advisor at Every Cowhere. He serves as a Board Member at Wrench. He serves as a Board Member at Unshrinkit.</t>
  </si>
  <si>
    <t>cubanm@firesidechat.com</t>
  </si>
  <si>
    <t>253157-77P</t>
  </si>
  <si>
    <t>Anshul Ruparell</t>
  </si>
  <si>
    <t>Anshul</t>
  </si>
  <si>
    <t>Ruparell</t>
  </si>
  <si>
    <t>FJ Labs</t>
  </si>
  <si>
    <t>Mr. Anshul Ruparell serves as Board Member &amp; Chief Financial Officer at Clutch (Automotive). Mr. Ruparell serves as Venture Partner at FJ Labs. He also serves as a Board Member at Clutch. He is an Angel Investor. He holds an MBA (Master of Business Administration) from Columbia University and an Honors Business Administration from the University of Western Ontario.</t>
  </si>
  <si>
    <t>+1 (647) 955-5340</t>
  </si>
  <si>
    <t>anshul@clutchcanada.com</t>
  </si>
  <si>
    <t>60 Adelaide Street East</t>
  </si>
  <si>
    <t>M5C 3E4</t>
  </si>
  <si>
    <t>Clutch (Automotive)</t>
  </si>
  <si>
    <t>182788-57P</t>
  </si>
  <si>
    <t>Ariel Lebowits</t>
  </si>
  <si>
    <t>Lebowits</t>
  </si>
  <si>
    <t>Mr. Ariel Lebowits serves as Chief Financial Officer at FJ Labs. Mr. Lebowits served as Head of Mergers &amp; Acquisitions at OLX. He served as Board Member at OfferUp. He served as Advisor at Frame AI. He serves as a Board Member at Ageras. He earned his degree from the University at Buffalo (SUNY) in 1998.</t>
  </si>
  <si>
    <t>+1 (212) 894-4600</t>
  </si>
  <si>
    <t>ariel@fjlabs.com</t>
  </si>
  <si>
    <t>19 West 24th Street</t>
  </si>
  <si>
    <t>10010-3330</t>
  </si>
  <si>
    <t>147777-67P</t>
  </si>
  <si>
    <t>Arne Halleraker</t>
  </si>
  <si>
    <t>Mr. Arne Halleraker serves as Partner at FJ Labs. Mr. Halleraker also serves as Board Observer at Hip eCommerce. He joined the FJ Labs team in the spring of 2016. He lived in San Francisco for 1.5 years, where he was director of global partnerships for Telenor and focused on business development with Google. He is a Co-Founder and serves as Co-Chief Operating Officer at Umamicart. He earned a Master of Science in Entrepreneurship and Business Development from the Norwegian University of Science and Technology in 2010.</t>
  </si>
  <si>
    <t>arne@fjlabs.com</t>
  </si>
  <si>
    <t>277756-12P</t>
  </si>
  <si>
    <t>Camila Bustamante</t>
  </si>
  <si>
    <t>Bustamante</t>
  </si>
  <si>
    <t>Ms. Camila Bustamante is an Investor &amp; serves as Associate at FJ Labs. Prior to FJ, Ms. Bustamante worked with Zeeba Investment Group as a Junior Desk Head and with FJ incubation company, Umamicart. Originally from Peru, she loves the outdoors and culinary experiences. She holds a BS in Global Business from Georgetown University.</t>
  </si>
  <si>
    <t>camila@fjlabs.com</t>
  </si>
  <si>
    <t>Investor &amp; Associate</t>
  </si>
  <si>
    <t>181502-92P</t>
  </si>
  <si>
    <t>Christopher Keshian</t>
  </si>
  <si>
    <t>Keshian</t>
  </si>
  <si>
    <t>Mr. Christopher Keshian serves as Head of Liquid Digital Asset Strategy at FJ Labs. Mr. Keshian is the Founder &amp; serves as Chief Investment Officer at Triton Liquid Fund. He serves as Advisor at Verasity. Mr. Keshian Co-Founded and served as Managing Partner at Neural Capital.</t>
  </si>
  <si>
    <t>chris@fjlabs.com</t>
  </si>
  <si>
    <t>Head of Liquid Digital Asset Strategy</t>
  </si>
  <si>
    <t>181640-17P</t>
  </si>
  <si>
    <t>Erez Kalir JD</t>
  </si>
  <si>
    <t>Erez</t>
  </si>
  <si>
    <t>Kalir</t>
  </si>
  <si>
    <t>Dr. Erez Kalir is the Founder &amp; serves as Chief Executive Officer at Martial Eagle Fund. Dr. Kalir serves as Venture Partner at FJ Labs. He co-founded and served as Chief Executive Officer at Stansberry Asset Management. He also serves as Venture Partner at The Legal Tech Fund. He also serves as an Advisor at Xeni. Prior to joining Stansberry Asset Management, he co-founded Sabretooth Capital, an event-driven fund that invested in distressed credit and equities, and managed $1 billion in assets for investors including Julian H. Robertson, the Rockefeller family, and several highly-regarded endowments. He also worked at Eton Park Capital Management, a large hedge fund spun out of Goldman Sachs, as the first analyst hired into the Special Situations Group. His experience includes time spent as an Engagement Manager at McKinsey &amp; Co., a Special Counsel to FCC Chairman Bill Kennard, and a law clerk on the Federal Court of Appeals for the Second Circuit in Manhattan. He holds a J.D. from Yale Law School, where he was a senior editor of the Law Journal and a Coker Fellow; an MSc. with distinction (highest honors) from Magdalen College, Oxford, where he studied on a Rhodes Scholarship; and an A.B. (highest honors) from Stanford University. He is a member of the Council on Foreign Relations, the Young President's Organization Manhattan Chapter, the New York Economic Club, and the Atlas 400. He has been an invited investment presenter at the Ira Sohn Conference and the Greenwich Roundtable, and named to Institutional Investor's "Hedge Fund Rising Stars" list. He served as a Board Member at Metabiota.</t>
  </si>
  <si>
    <t>+1 (775) 505-7405</t>
  </si>
  <si>
    <t>erez@martialeaglefund.com</t>
  </si>
  <si>
    <t>Incline Village</t>
  </si>
  <si>
    <t>Incline Village, NV</t>
  </si>
  <si>
    <t>930 Tahoe Boulevard</t>
  </si>
  <si>
    <t>Suite 802-299</t>
  </si>
  <si>
    <t>89451</t>
  </si>
  <si>
    <t>Martial Eagle Fund</t>
  </si>
  <si>
    <t>46909-27P</t>
  </si>
  <si>
    <t>Fabrice Grinda</t>
  </si>
  <si>
    <t>Grinda</t>
  </si>
  <si>
    <t>Mr. Fabrice Grinda is a Founding Partner of FJ Labs. Mr. Grinda is the Founder and serves as Executive Chairman at Global Technology Acquisition I. He is a Co-Founder and serves as Executive Chairman at Midas. He serves as an Advisor at Runway Venture Partners. He co-founded Kangaroo Village. He serves as Chairman at Edda. He serves as Executive Chairman and Advisor at Seafair. He serves as a Board Member at Rebag. He served as a Board member at Properly. He is an Angel Investor. He serves as an Industry Advisor at DN Capital. He served as a Board Member of Merlin. He also served as a Partner at True Global Ventures. He served as an Advisor for Job and Talent. Previously he was a Co-Chief Executive Officer of OLX, Inc. Prior to OLX, he was the Founder and Chief Executive Officer of Zingy Inc. In 1998, he co-founded and was the Chief Executive Officer at Aucland. Prior to that, he worked as a Business Consultant for McKinsey &amp; Company. He is an Investor at Knock. He earned a Bachelor of Arts in Economics from Princeton University in 1996.</t>
  </si>
  <si>
    <t>+1 (323) 577-9874</t>
  </si>
  <si>
    <t>fabrice@fjlabs.com</t>
  </si>
  <si>
    <t>2 Queen Anne's Gate Buildings</t>
  </si>
  <si>
    <t>Dartmouth Street</t>
  </si>
  <si>
    <t>SW1H 9BP</t>
  </si>
  <si>
    <t>+44 (0)20 7340 1601</t>
  </si>
  <si>
    <t>Founder &amp; Executive Chairman</t>
  </si>
  <si>
    <t>Global Technology Acquisition (Former)</t>
  </si>
  <si>
    <t>100461-88P</t>
  </si>
  <si>
    <t>Güimar Sittic</t>
  </si>
  <si>
    <t>Güimar</t>
  </si>
  <si>
    <t>Sittic</t>
  </si>
  <si>
    <t>Mr. Güimar Sittic serves as Venture Partner at FJ Labs. Mr. Sittic is an Angel Investor. He also serves as Founding Board Member at Instacarro. He co-founded and served as Board Member, Co-Chief Executive Officer &amp; President at Merlin (Human Capital Services). Originally from Argentina, he is a Co-founder of a stealth company. He led over 150 investments for FJ Labs since 2013. He previously co-founded Instacarro and Cenaplus (acq by Restorando). He managed over 200 investments in early and late stage marketplaces. He also led investments in companies like Flexport, Shippo, Reverb, Rappi, Roofstock and many others. He is now a Venture Partner and Board Member of FJ Labs, where he advises the fund on its overall strategy and investment decisions. As an angel investor, he has had the opportunity to support over 100 ventures including Vettery, Gram Games and Shippo. He holds a Bachelor of Arts degree in Economics from the University of Chicago, earned in 2019.</t>
  </si>
  <si>
    <t>391065-22P</t>
  </si>
  <si>
    <t>Harsh Shah</t>
  </si>
  <si>
    <t>Harsh</t>
  </si>
  <si>
    <t>Mr. Harsh Shah is the Founder &amp; serves as Board Member at HiFy. He serves as Venture Partner at FJ Labs. Mr. Shah serves as Venture Partner at Bharat Founders Fund.</t>
  </si>
  <si>
    <t>harsh.shah@hify.club</t>
  </si>
  <si>
    <t>A303, Floor 3,Neelam Center</t>
  </si>
  <si>
    <t>Baburao Pendharkar Marg</t>
  </si>
  <si>
    <t>400030</t>
  </si>
  <si>
    <t>Founder &amp; Board Member</t>
  </si>
  <si>
    <t>HiFy</t>
  </si>
  <si>
    <t>303412-51P</t>
  </si>
  <si>
    <t>Jaye Landow</t>
  </si>
  <si>
    <t>Jaye</t>
  </si>
  <si>
    <t>Landow</t>
  </si>
  <si>
    <t>Ms. Jaye Landow serves as Head of Investor Relations at FJ Labs. Prior to FJ, Ms. Landow was a Director at TD Securities, having spent 13+ years on the trading floor in various roles across corporate &amp; institutional fixed income sales, trading, and origination in London, New York, and Toronto.</t>
  </si>
  <si>
    <t>+1 (917) 232-7041</t>
  </si>
  <si>
    <t>jaye@fjlabs.com</t>
  </si>
  <si>
    <t>56927-26P</t>
  </si>
  <si>
    <t>Jeff Weinstein</t>
  </si>
  <si>
    <t>Mr. Jeff Weinstein serves as Partner at FJ Labs. Mr. Weinstein served as Chief Strategy Officer at Global Technology Acquisition I. He was previously a Senior Associate at Lux Capital. Outside of work, Jeff is a competitive runner training to run a sub-four minute mile. He holds a BA in Philosophy, Politics and Economics from the University of Pennsylvania.</t>
  </si>
  <si>
    <t>+1 (646) 503-2498</t>
  </si>
  <si>
    <t>jeff@fjlabs.com</t>
  </si>
  <si>
    <t>91041-94P</t>
  </si>
  <si>
    <t>Jeffrey Berger</t>
  </si>
  <si>
    <t>Berger</t>
  </si>
  <si>
    <t>Mr. Jeffrey Berger serves as Operating Partner at FJ Labs. Mr. Berger co-founded and served as Chief Executive Officer and Board Member at Talent Inc. He also co-founded and served as Chief Executive Officer at Koda. He co-founded Koda. He earned a Bachelor of Science in Management from Tulane University in 2008.</t>
  </si>
  <si>
    <t>41577-67P</t>
  </si>
  <si>
    <t>Jose Marin</t>
  </si>
  <si>
    <t>Marin</t>
  </si>
  <si>
    <t>Mr. Jose Marin is a Founding Partner of FJ Labs. Mr. Marin is a Founding Member &amp; served as Managing Director at IG Expansion. He served as an Advisor for Job and Talent. He serves as a Board Member at Bespoke Post and Oktogo.ru. He holds a degree in Mechanical Engineering, an MBA from Stanford Graduate School of Business, and an MA in International Economics from Stanford University.</t>
  </si>
  <si>
    <t>jose@fjlabs.com</t>
  </si>
  <si>
    <t>37067-41P</t>
  </si>
  <si>
    <t>Joshua Breinlinger</t>
  </si>
  <si>
    <t>Breinlinger</t>
  </si>
  <si>
    <t>Mr. Joshua Breinlinger is the Founder of Turtle Ventures. Mr. Breinlinger is an Angel Investor. He serves as Venture Partner at FJ Labs. He served as Managing Director at Jackson Square Ventures. He is also a Co-Founder and serves as a Board Member at Rev. He also served as a Board Member at Rented &amp; OfferUp. He also served as a Senior Associate at Sigma Partners. He joined Sigma in 2010, bringing six years of startup experience. He has expertise in online marketing, marketplaces, and crowdsourcing. He holds a BS degree in Mechanical Engineering from the Massachusetts Institute of Technology.</t>
  </si>
  <si>
    <t>josh@turtlevc.co</t>
  </si>
  <si>
    <t>Kenwood</t>
  </si>
  <si>
    <t>Kenwood, CA</t>
  </si>
  <si>
    <t>6 Turtle Creek Drive</t>
  </si>
  <si>
    <t>95452</t>
  </si>
  <si>
    <t>Turtle Ventures</t>
  </si>
  <si>
    <t>427749-31P</t>
  </si>
  <si>
    <t>Lauren Lee</t>
  </si>
  <si>
    <t>Ms. Lauren Lee is an Investor of FJ Labs.</t>
  </si>
  <si>
    <t>41102-29P</t>
  </si>
  <si>
    <t>Mark Lurie</t>
  </si>
  <si>
    <t>Lurie</t>
  </si>
  <si>
    <t>Mr. Mark Lurie is a Co-Founder &amp; serves as Operations at Shipyard Software. Mr. Lurie serves as Venture Partner at FJ Labs. He co-founded and served as Board Member at Codex. He serves as Board Member and Advisor at MIDAO. He Co-Founded Codex. He served as Chief Executive Officer at Codex. He was also a Co-Founder of Lofty and served as its Chief Executive Officer and Board Member. He previously worked at Bessemer Venture Partners making investments in new e-commerce and technology startups. Prior to Bessemer, he co-founded Abroad101.com, the leading software and review Website in the international education industry. He holds an MBA from Harvard Business School (2012) and a BA in Economics and History from Harvard University (2007).</t>
  </si>
  <si>
    <t>mark@shipyardsoftware.org</t>
  </si>
  <si>
    <t>Weston, MA</t>
  </si>
  <si>
    <t>147 North Avenue</t>
  </si>
  <si>
    <t>02493</t>
  </si>
  <si>
    <t>Co-Founder &amp; Operations</t>
  </si>
  <si>
    <t>Shipyard Software</t>
  </si>
  <si>
    <t>260873-65P</t>
  </si>
  <si>
    <t>Matias Barbero</t>
  </si>
  <si>
    <t>Barbero</t>
  </si>
  <si>
    <t>Mr. Matias Barbero serves as Partner at FJ Labs. Previously, Mr. Barbero was an M&amp;A investment banking associate at JPMorgan. Before that, he held different strategy, marketing, and finance roles. Originally from Argentina, he holds an MBA from Duke University, where he graduated with honors as a Fuqua Scholar.</t>
  </si>
  <si>
    <t>matias@fjlabs.com</t>
  </si>
  <si>
    <t>367330-42P</t>
  </si>
  <si>
    <t>Matthew Stone</t>
  </si>
  <si>
    <t>Stone</t>
  </si>
  <si>
    <t>Mr. Matthew Stone serves as Chief Operating Officer at FJ Labs.</t>
  </si>
  <si>
    <t>matthew@fjlabs.com</t>
  </si>
  <si>
    <t>41611-96P</t>
  </si>
  <si>
    <t>Morgan Hermand-Waiche</t>
  </si>
  <si>
    <t>Hermand-Waiche</t>
  </si>
  <si>
    <t>Mr. Morgan Hermand-Waiche is a Co-Founder &amp; serves as Chief Executive Officer at Adore Me. Mr. Hermand-Waiche serves as Board Member at Perennial AI. He serves as Venture Partner at FJ Labs. Previously, he founded and served as the Chief Executive Officer at VisitorsCafe. Before that, he served as a Jr Associate at McKinsey &amp; Company. He holds an MBA in Entrepreneurship, Finance, and Strategy from Harvard Business School (2010), as well as both an MS (2005) and a BS (2002) in Mathematics and Computer Science.</t>
  </si>
  <si>
    <t>+1 (800) 433-2367</t>
  </si>
  <si>
    <t>mhermand-waiche@adoreme.com</t>
  </si>
  <si>
    <t>Adore Me</t>
  </si>
  <si>
    <t>453794-86P</t>
  </si>
  <si>
    <t>Morgan Spar</t>
  </si>
  <si>
    <t>Spar</t>
  </si>
  <si>
    <t>morgan@fjlabs.com</t>
  </si>
  <si>
    <t>Operations Associate</t>
  </si>
  <si>
    <t>39606-94P</t>
  </si>
  <si>
    <t>Olivier Grinda</t>
  </si>
  <si>
    <t>Mr. Olivier Grinda serves as Chief Operating Officer at Clearco. Mr. Grinda serves as Advisor at Wedy. Mr. Grinda is an Angel Investor. He serves as Venture Partner at FJ Labs. He co-founded &amp; served as the CMO at Brandsclub. He co-founded and served as Chief Executive Officer at Home61. He co-founded and served as Chief Executive Officer at Shoes4you. Prior to Home61, he was in Brazil where he successfully transposed and adapted business models in Latin America: Clickon, a group buying site, and Brandsclub a private sales club. He earned a Bachelor of Arts in Economics from the University of Miami in 2008.</t>
  </si>
  <si>
    <t>+1 (415) 610-5166</t>
  </si>
  <si>
    <t>olivier@clearbanc.com</t>
  </si>
  <si>
    <t>33 Yonge Street</t>
  </si>
  <si>
    <t>Suite 1302</t>
  </si>
  <si>
    <t>M5E 1G4</t>
  </si>
  <si>
    <t>Clearco</t>
  </si>
  <si>
    <t>449026-30P</t>
  </si>
  <si>
    <t>Ryan Geary</t>
  </si>
  <si>
    <t>Geary</t>
  </si>
  <si>
    <t>Mr. Ryan Geary serves as Finance Director at FJ Labs.</t>
  </si>
  <si>
    <t>ryan@fjlabs.com</t>
  </si>
  <si>
    <t>130828-60P</t>
  </si>
  <si>
    <t>William Guillouard</t>
  </si>
  <si>
    <t>Guillouard</t>
  </si>
  <si>
    <t>Mr. William Guillouard serves as Operating Partner at FJ Labs. Mr. Guillouard co-founded and served as Chief Marketing Officer at Merlin. He holds over 20 years of marketing and entrepreneurial experience. He began his career by founding the computer hardware and services business Lys Informatique. In 1994, he transitioned to the world of internet startups and became the Marketing Director of Auckland, one of the top three auction sites in Europe. In 2002, he became the Business Development Director of Meetic, the third-largest dating site in the world. After the successful IPO of Meetic in 2006, he moved from France to New York to help start OLX. At OLX he was responsible for marketing operations, including offline, online, PR, and global brand strategy in over 25 countries. He was instrumental in making OLX the leading classified site in Brazil, India, Pakistan, Portugal, Nigeria, Argentina, Colombia, Venezuela, Kenya, and more. He earned a Master's degree in Marketing and Marketing Management from Skema Business School in 1993.</t>
  </si>
  <si>
    <t>260878-33P</t>
  </si>
  <si>
    <t>Zineb Belghiti</t>
  </si>
  <si>
    <t>Zineb</t>
  </si>
  <si>
    <t>Belghiti</t>
  </si>
  <si>
    <t>Ms. Zineb Belghiti serves as Operations Associate at FJ Labs. Previously, Ms. Belghiti worked at Deutsche Bank in Asset and Wealth Management. She is originally from Morocco and studied Economics and Comparative Literature at Barnard College and holds a degree in Economics and Literature from Barnard College and a Master's in Applied Analytics from Columbia University.</t>
  </si>
  <si>
    <t>zineb@fjlabs.com</t>
  </si>
  <si>
    <t>255262-87P</t>
  </si>
  <si>
    <t>Aneisha Graydon</t>
  </si>
  <si>
    <t>Aneisha</t>
  </si>
  <si>
    <t>Graydon</t>
  </si>
  <si>
    <t>Florida Power &amp; Light</t>
  </si>
  <si>
    <t>Ms. Aneisha Graydon serves as Lead Economic Development Project Manager, 35 Mules at Florida Power &amp; Light.</t>
  </si>
  <si>
    <t>+1 (561) 694-4697</t>
  </si>
  <si>
    <t>aneisha.graydon@fpl.com</t>
  </si>
  <si>
    <t>Juno Beach</t>
  </si>
  <si>
    <t>Juno Beach, FL</t>
  </si>
  <si>
    <t>700 Universe Boulevard</t>
  </si>
  <si>
    <t>33408</t>
  </si>
  <si>
    <t>Lead Economic Development Project Manager, 35 Mules</t>
  </si>
  <si>
    <t>121405-78P</t>
  </si>
  <si>
    <t>Armando Pimentel Jr.</t>
  </si>
  <si>
    <t>Pimentel</t>
  </si>
  <si>
    <t>Mr. Armando Pimentel serves as President and Co-Chief Executive Officer, Florida Power &amp; Light Company at NextEra Energy. He serves as Board Member, Member of the Audit &amp; Risk Committee and Member of the Compensation &amp; Benefits Committee at Ameriprise Financial . He was appointed president and CEO in February 2023. Previously, he served as president and CEO of NextEra Energy Resources, a competitive clean energy supplier and the world's largest generator of renewable energy from the wind and sun and a world leader in battery storage. NextEra Energy Resources operates three nuclear power plants in two states, and its parent company, NextEra Energy, operates one of the largest nuclear power fleets in the nation. He also previously served as executive vice president, finance, and chief financial officer of NextEra Energy. Prior to joining NextEra Energy, he was a partner at Deloitte &amp; Touche and held various client and leadership positions in the financial services and energy industries. He also led Deloitte's power and utilities business segment. From 1996 to 1998, he worked in the Office of the Chief Accountant of the U.S. Securities and Exchange Commission as a professional accounting fellow. He holds a Bachelor of Science degree in accounting from Florida State University.</t>
  </si>
  <si>
    <t>+1 (561) 694-4000</t>
  </si>
  <si>
    <t>armando.pimentel@fpl.com</t>
  </si>
  <si>
    <t>President and Chief Executive Officer, Florida Power &amp; Light Company</t>
  </si>
  <si>
    <t>NextEra Energy</t>
  </si>
  <si>
    <t>255154-33P</t>
  </si>
  <si>
    <t>Cathy Chambers</t>
  </si>
  <si>
    <t>Ms. Cathy Chambers serves as Senior Director Economic Development at Florida Power &amp; Light. Cathy joined the FPL economic development team in 2019. She has more than 20 years of experience working for chambers of commerce, regional economic development organizations and city government. In her most recent role with JAXUSA Partnership, Cathy oversaw strategic planning, marketing and business intelligence for the seven-county regional economic development organization. She worked with 70 companies to recruit 15,000 jobs to Jacksonville, including projects with Deutsche Bank, Bank of America Merrill Lynch, FIS, Macquarie Group, EY, Fidelity Investments and Adecco. Cathy was named one of North America's Top 50 Economic Developers in 2017, 2018 and 2020. She also was recognized as the Florida Economic Development Professional of the Year by the Florida Economic Development Council in 2018. In 2017, Cathy was selected as a Woman of Influence by the Jacksonville Business Journal. Cathy is a graduate of both Leadership Florida and Leadership Jacksonville. She has served on several state and local boards, including the Florida Economic Development Council, Enterprise Florida, Clay County Development Authority, Visit Jacksonville and the Cultural Council of Greater Jacksonville. She serves on the advisory council for the North Florida chapter of the Urban Land Institute and is a member of the Industrial Asset Management Council and NAIOP Commercial Real Estate Development Association. Cathy holds a bachelor's degree in public administration from Miami University (OH) and a master's degree in business administration from Xavier University. She is certified as an Economic Development Finance Professional by the National Development Council and is an active member of the International Economic Development Council. She served as Senior Vice President of Strategy and Business Development at JAXUSA Partnership.</t>
  </si>
  <si>
    <t>+1 (904) 349-0589</t>
  </si>
  <si>
    <t>cathy.chambers@fpl.com</t>
  </si>
  <si>
    <t>Senior Director Economic Development</t>
  </si>
  <si>
    <t>228038-68P</t>
  </si>
  <si>
    <t>Crystal Stiles</t>
  </si>
  <si>
    <t>Crystal</t>
  </si>
  <si>
    <t>Stiles</t>
  </si>
  <si>
    <t>Ms. Crystal Stiles serves as Executive Director, Development, Distributed Technologies and Mobility at Florida Power &amp; Light.</t>
  </si>
  <si>
    <t>crystal.stiles@fpl.com</t>
  </si>
  <si>
    <t>Executive Director, Development, Distributed Technologies &amp; Mobility</t>
  </si>
  <si>
    <t>255157-93P</t>
  </si>
  <si>
    <t>Danielle Mousseau</t>
  </si>
  <si>
    <t>Mousseau</t>
  </si>
  <si>
    <t>Ms. Danielle Mousseau serves as Director of Economic Development at Florida Power &amp; Light. She served as Manager of Economic Development at Florida Power &amp; Light. She also serves as Manager at 35 Mules. She serves as a Board member at Miami-Dade Innovation Authority. She leads efforts to grow early-stage startups in the program and support Florida's growing startup ecosystem. She holds a Bachelor of Arts in strategic communication from the University of Minnesota.</t>
  </si>
  <si>
    <t>danielle.mousseau@fpl.com</t>
  </si>
  <si>
    <t>Director of Economic Development, 35 Mules</t>
  </si>
  <si>
    <t>289910-08P</t>
  </si>
  <si>
    <t>Jordan Michel</t>
  </si>
  <si>
    <t>Mr. Jordan Michel serves as Co-Chief Executive Officer at Florida Power &amp; Light.</t>
  </si>
  <si>
    <t>jordan.michel@fpl.com</t>
  </si>
  <si>
    <t>226557-91P</t>
  </si>
  <si>
    <t>Keith Ferguson</t>
  </si>
  <si>
    <t>Controller &amp; Vice President</t>
  </si>
  <si>
    <t>Mr. Keith Ferguson serves as Vice President and Controller, Florida Power &amp; Light at NextEra Energy.</t>
  </si>
  <si>
    <t>keith.ferguson@investor.nexteraenergy.com</t>
  </si>
  <si>
    <t>Vice President and Controller, Florida Power &amp; Light</t>
  </si>
  <si>
    <t>331709-32P</t>
  </si>
  <si>
    <t>Marcia Paris</t>
  </si>
  <si>
    <t>Ms. Marcia Paris serves as Chief Information Officer at Florida Power &amp; Light.</t>
  </si>
  <si>
    <t>marcia.paris@fpl.com</t>
  </si>
  <si>
    <t>255272-14P</t>
  </si>
  <si>
    <t>Pamela Rauch</t>
  </si>
  <si>
    <t>Ms. Pamela Rauch serves as Vice President, External Affairs and Economic Development at Florida Power &amp; Light.</t>
  </si>
  <si>
    <t>pamela.m.rauch@fpl.com</t>
  </si>
  <si>
    <t>Vice President, External Affairs &amp; Economic Development</t>
  </si>
  <si>
    <t>255101-68P</t>
  </si>
  <si>
    <t>Sean Helton</t>
  </si>
  <si>
    <t>Helton</t>
  </si>
  <si>
    <t>Mr. Sean Helton serves as Lead Communication Specialist at Florida Power &amp; Light.</t>
  </si>
  <si>
    <t>sean.helton@fpl.com</t>
  </si>
  <si>
    <t>Lead Communication Specialist</t>
  </si>
  <si>
    <t>255106-00P</t>
  </si>
  <si>
    <t>Sherry Ambrose</t>
  </si>
  <si>
    <t>Ambrose</t>
  </si>
  <si>
    <t>Ms. Sherry Ambrose serves as Director, Economic Development at Florida Power &amp; Light.</t>
  </si>
  <si>
    <t>+1 (561) 691-7192</t>
  </si>
  <si>
    <t>sherry.ambrose@fpl.com</t>
  </si>
  <si>
    <t>Director, Economic Development</t>
  </si>
  <si>
    <t>400013-65P</t>
  </si>
  <si>
    <t>Andrew Yeung</t>
  </si>
  <si>
    <t>Flybridge (New York)</t>
  </si>
  <si>
    <t>Mr. Andrew Yeung serves as Investment Partner at Next Wave NYC. He serves as Executive at Flybridge.</t>
  </si>
  <si>
    <t>ayeung@nextwave.nyc</t>
  </si>
  <si>
    <t>16 West 23rd Street</t>
  </si>
  <si>
    <t>Next Wave NYC</t>
  </si>
  <si>
    <t>44246-26P</t>
  </si>
  <si>
    <t>Anna Palmer JD</t>
  </si>
  <si>
    <t>Ms. Anna Palmer is a Co-Founder and serves as General Partner at XFactor Ventures. She serves as a General Partner at Flybridge Capital Partners. She serves as a Board Member at MelodyArc. She was a Co-Founder and served as Secretary &amp; Chairman at Dough. Previously, she co-founded and served as its Chief Executive Officer. She co-founded WonderMile. She also created and launched SuitUp, a movement with over 20,000 women to have conversations in all 50 states across America about the issues facing women in their hometowns. Before XFactor Ventures, she was co-founder and CEO of Fashion Project, the industry leader in high-end clothing donation, scaling the company to power donation programs for multiple major national retailers and giving back to over 2,000 organizations. She has been named a Style Innovator to Watch by InStyle Magazine, one of ten tech CEOs changing the face of philanthropy by Complex Magazine, Hottest Startup by New England Venture Capital Association, Nominated Changemaker by the United States of Women, and has been featured in Forbes, The Boston Globe, CNBC SquawkBox, InStyle Magazine, the book Counter Mentors and more. She holds a J.D. from Harvard Law School and a B.A. from Eureka College. She serves as a Board Member of the New England Venture Capital Association.</t>
  </si>
  <si>
    <t>+1 (309) 241-7048</t>
  </si>
  <si>
    <t>anna@xfactor.ventures</t>
  </si>
  <si>
    <t>XFactor Ventures</t>
  </si>
  <si>
    <t>456542-92P</t>
  </si>
  <si>
    <t>Bhatti B</t>
  </si>
  <si>
    <t>Bhatti</t>
  </si>
  <si>
    <t>B</t>
  </si>
  <si>
    <t>Mr. Bhatti B serves as Executive at Flybridge (New York).</t>
  </si>
  <si>
    <t>+1 (617) 307-9292</t>
  </si>
  <si>
    <t>+1 (617) 307-9293</t>
  </si>
  <si>
    <t>13456-99P</t>
  </si>
  <si>
    <t>Charles Hazard Jr.</t>
  </si>
  <si>
    <t>Hazard</t>
  </si>
  <si>
    <t>Mr. Charles Hazard is a serves as General Partner at Flybridge Capital Partners. He is a Co-Founder &amp; serves as Managing Partner FlyBridGe. He serves as a Board Member, Member of the Audit Committee, and chair of the Nominating and Corporate Governance Committee at MongoDB. He is a Co-Founder and serves as Investment Partner at XFactor Ventures. He serves as a Board Observer at Redox. He also served as an Advisory Board Member at Venture for America. He served as Board Member at Rezonate. He also serves as a Board Member at TrojAI and Appwrite. He is a Co-Founder and also serves as an Investment Partner. He is a Board Member at Feature Labs and Proscia. He also serves as a Board Member at Sitara. His investment interests and experience broadly cover companies and technologies in the information technology sector. Before joining the firm in May 2002, he was a General Partner with Greylock Partners, a leading venture capital firm he joined in 1994. While at Greylock, He led or participated in numerous successful investments in the enterprise information technology field. Before Greylock, he was with Company Assistance Limited, an investment and consulting firm in Warsaw Poland; and Bain and Company, an international management consulting firm. He also served as a Board Member and member of the Investment Committee at Slater Technology Fund. He received a BA with honors from Stanford University and an MBA from Harvard Business School where he was a Baker Scholar and a Ford Scholar. He also served as Chairman of the Board of Directors at Horizons for Homeless Children. He serves as a Board Member of Aiera. He served as a Board Member at Vidsys and Nasuni.</t>
  </si>
  <si>
    <t>chip@flybridge.com</t>
  </si>
  <si>
    <t>237898-27P</t>
  </si>
  <si>
    <t>Mr. Daniel Reyes serves as Associate at Flybridge (New York). Daniel's investment interests include SaaS, Fintech, AI, and B2B marketplaces. Before joining Flybridge, Daniel was an Associate at the Mexican Venture Capital fund Dalus Capital where he led and opened their Colombian office. Before Dalus, Daniel was Manager at Velum Ventures, a VC fund where he actively supported portfolio companies. Daniel started his professional career as an entrepreneur of a fintech savings company (Monedero) in Colombia, which was selected to be part of an acceleration program by Google, being chosen among the top 10 most promising fintech startups in the country in 2018. Daniel is also the co-founder of Rising LATAM VCs, one of the biggest and most engaged communities of venture capitalists in Latin America.</t>
  </si>
  <si>
    <t>daniel@flybridge.com</t>
  </si>
  <si>
    <t>43098-04P</t>
  </si>
  <si>
    <t>Dorothy Chang</t>
  </si>
  <si>
    <t>Ms. Dorothy Chang serves as Investment Partner at Next Wave NYC. She also serves as a Venture Partner at Flybridge Capital Partners. She was a Co-Founding Partner of Liberty City Ventures. She also served as Communications Partner at Primary Venture Partners. Throughout her work as both an investor and consultant, her aim is to support great startups and entrepreneurs by helping them to shape their brand image and gain positive exposure. She was previously VP of leading boutique technology PR agency Brew Media Relations, and has also worked at PR agencies Edelman and Text 100. She has worked with a wide range of clientele from small startups to large household brands - from GroupMe and WordPress to IBM and eBay. She holds a BA in Cognitive Science from Yale University.</t>
  </si>
  <si>
    <t>dchang@nextwave.nyc</t>
  </si>
  <si>
    <t>456514-48P</t>
  </si>
  <si>
    <t>Goldman G</t>
  </si>
  <si>
    <t>G</t>
  </si>
  <si>
    <t>Mr. Goldman G serves as Executive at Flybridge (New York).</t>
  </si>
  <si>
    <t>13456-72P</t>
  </si>
  <si>
    <t>Jeffrey Bussgang</t>
  </si>
  <si>
    <t>Bussgang</t>
  </si>
  <si>
    <t>Mr. Jeffrey Bussgang is a Co-Founder &amp; serves as a General Partner at Flybridge Capital Partners. He is the Founder and serves as Managing Partner at The Graduate Syndicate. He serves as a General Partner at Flybridge. He serves as an Advisor at Stride Funding and Gryps. He serves as an Advisor at Exporta Technologies. He also serves as a Board Member at i4cp, Global EIR, Edx, New England Venture Capital Association, Valore, and Open English. He also serves as a Board Member at Facing History and Ourselves National Foundation. He serves as an Advisor at Infracommerce. He is an angel investor. He also serves as a Board Member at BlueTarp Financial. He serves as a Board Observer at Zest AI. He co-founded &amp; served as Chief Operating Officer, Board Member &amp; President at Upromise. He also served as a Board Member at DataXu. He served as a Board Member at Plastiq and Corvium. He also served as a Board Member at SavingStar. He is a former entrepreneur (Upromise, Open Market) who joined the firm in 2002 and focuses on the consumer, marketing services, e-commerce, software, and mobile start-up markets. On the side, he serves as a Senior Lecturer at Harvard Business School, where he teaches a class on entrepreneurship and lean start-ups called Launching Technology Ventures and has co-authored ten HBS cases. In 2010, he wrote and published a book, Mastering the VC Game, as a guide for understanding venture capital. He also currently sits on the board of MITX, the Massachusetts Innovation and Technology Exchange, and is a Founding Executive Committee Member of First Growth Venture Network, a network of venture and angel investors supporting entrepreneurs building companies in the New York area. He holds a BA in Computer Science from Harvard University where he graduated magna cum laude and an MBA from Harvard Business School where he was a Baker Scholar and a Ford Scholar.</t>
  </si>
  <si>
    <t>jeff@flybridge.com</t>
  </si>
  <si>
    <t>64165-78P</t>
  </si>
  <si>
    <t>Jesse Middleton</t>
  </si>
  <si>
    <t>Mr. Jesse Middleton is a Co-Founder &amp; serves as General Partner at The Community Fund. Mr. Middleton serves as Investment Partner at Next Wave NYC. He serves as Board Observer at Chief. He serves as General Partner at Flybridge Capital Partners. He serves as Board Member at Mira. He is an Angel Investor. He served as Board Observer at Imperfect Foods. He serves as Advisor at Cruisebound. He serves as Board Member at Famosos. He served as Board Member at Imperfect Foods. He serves as an Executive at WeWork Alumni Fund. He serves as a Board Member at YAA and Dongnae. He previously co-founded WeWork. He is an Individual angel investor in ClassPass, Eight, InDinero, and Morsel. He currently serves as a Board Member at Ohi and Hyr (Human Capital Services). He has a degree from Drexel University in 2009.</t>
  </si>
  <si>
    <t>jesse.middleton@thecommunity.vc</t>
  </si>
  <si>
    <t>The Community Fund</t>
  </si>
  <si>
    <t>30488-68P</t>
  </si>
  <si>
    <t>Matthew Guiney</t>
  </si>
  <si>
    <t>Guiney</t>
  </si>
  <si>
    <t>Mr. Matthew Guiney serves as Chief Financial Officer at Flybridge Capital Partners. He is responsible for accounting, reporting, tax, and analysis for the partnership, as well as reporting and analysis related to the portfolio companies. Prior to joining Flybridge in 2009, he spent six years in the alternative products group at PricewaterhouseCoopers, where he specialized in venture capital and private equity auditing. During his time there, he led audit teams at flagship clients such as Bain Capital and managed the audits, client relationships, and profitability of his engagements as well as the professional development of staff. Additionally, he contributed to PwC's thought leadership in the area of alternative investments and developed courses on partnership accounting and tax issues, fair value standards, and investment structures. Prior to PwC, he spent two years at Babson Capital serving in a variety of accounting and finance roles.</t>
  </si>
  <si>
    <t>matt@flybridge.com</t>
  </si>
  <si>
    <t>99413-11P</t>
  </si>
  <si>
    <t>Biao He Ph.D</t>
  </si>
  <si>
    <t>Biao</t>
  </si>
  <si>
    <t>Foothill Ventures</t>
  </si>
  <si>
    <t>Dr. Biao He serves as a Board Member at BioEclipse Therapeutics. He serves as a Venture Partner at Foothill Ventures. He also serves as an Investment Partner at Lifespan Investments. He served as a Venture Partner at TSV Capital. He co-founded Razor Genomics. He served as a Board Member at Cardea. He is a medical diagnostic expert whose research direction is mainly on new methods of gene detection and treatments of human cancers. He has been a Co-Founder and CTO of Beijing ACCB Biotech Ltd since 2004. The company is committed to the implementation of modern molecular biology technology research and the development of new cancer detection technologies and methods. It also pioneered and promoted the concept of "personalized cancer treatment" in China. In addition, he was an associate professor of Surgery and Cancer Research Center at the University of California, San Francisco (UCSF). He holds a Ph.D. in molecular genetics from the University of Virginia and a bachelor's and master's degree in biology from Tsinghua University, Beijing.</t>
  </si>
  <si>
    <t>Lifespan Investments</t>
  </si>
  <si>
    <t>409305-61P</t>
  </si>
  <si>
    <t>Bill Brougher</t>
  </si>
  <si>
    <t>Brougher</t>
  </si>
  <si>
    <t>Mr. Bill Brougher serves as Venture Partner at Foothill Ventures.</t>
  </si>
  <si>
    <t>+1 (650) 996-7318</t>
  </si>
  <si>
    <t>bill.brougher@foothill.ventures</t>
  </si>
  <si>
    <t>Los Altos</t>
  </si>
  <si>
    <t>Los Altos, CA</t>
  </si>
  <si>
    <t>280 2nd Street</t>
  </si>
  <si>
    <t>94022</t>
  </si>
  <si>
    <t>199967-23P</t>
  </si>
  <si>
    <t>Charles Ling</t>
  </si>
  <si>
    <t>Ling</t>
  </si>
  <si>
    <t>Mr. Charles Ling serves as Deep Tech Investment Director at Foothill Ventures. Mr. Ling served as Finance Partner at Amino Capital. He has served as VP of finance, and he has over 6 years of financial services, banking and operational experience in Silicon Valley, Hong Kong and Greater China area. Charles holds a M.S. in Finance from Washington University in St. Louis and a B.S. in Finance from University of Southern California.</t>
  </si>
  <si>
    <t>charles.ling@foothill.ventures</t>
  </si>
  <si>
    <t>Deep Tech Investment Director</t>
  </si>
  <si>
    <t>45622-45P</t>
  </si>
  <si>
    <t>Eric Rosenblum</t>
  </si>
  <si>
    <t>Rosenblum</t>
  </si>
  <si>
    <t>Mr. Eric Rosenblum serves as Managing Partner at Foothill Ventures. Mr. Rosenblum serves as Board Member at Unigrid. He serves as a Board Member at Blue Canoe Learning, Coreshell and AM Batteries. He serves as Advisor at Omni Design &amp; Turing. Mr. Rosenblum served as Advisor at SignalFire. Mr. Rosenblum served as Vice President, Product &amp; Chief Operating Officer at Drawbridge. He was responsible for overseeing the company's technology, which enables marketers to target users as they move from their computers to tablets and to mobile phones. He is a graduate of Harvard College and the Massachusetts Institute of Technology Sloan School of Management. He served as Board Member at Veeve.</t>
  </si>
  <si>
    <t>eric.rosenblum@foothill.ventures</t>
  </si>
  <si>
    <t>156250-27P</t>
  </si>
  <si>
    <t>Hong Tang Ph.D</t>
  </si>
  <si>
    <t>Dr. Hong Tang serves as Venture Partner at Foothill Ventures. He served as Venture Partner at TEEC Angel Fund.</t>
  </si>
  <si>
    <t>hong.tang@foothill.ventures</t>
  </si>
  <si>
    <t>319492-90P</t>
  </si>
  <si>
    <t>James Chen</t>
  </si>
  <si>
    <t>Mr. James Chen serves as Venture Partner at Foothill Ventures. He also serves as a Venture Partner at Wisemont Capital.</t>
  </si>
  <si>
    <t>james.chen@foothill.ventures</t>
  </si>
  <si>
    <t>58354-75P</t>
  </si>
  <si>
    <t>Jinlin Wang Ph.D</t>
  </si>
  <si>
    <t>Jinlin</t>
  </si>
  <si>
    <t>Dr. Jinlin Wang serves as General Partner at Foothill Ventures. He served as Advisor at Heap. He serves as Board Member at Couragene. He is the Co-Founder and served as Chief Executive Officer and Board Member at Auryc. He served as Chief Strategy Officer at Heap. He also served as Board Member at Stratifyd. He previously served as the CTO &amp; EVP of Engineering of Answers, providing direction for technology development and operations that ensure the successful execution of the company's business mission. Prior to answers, he held various leaderships roles at enterprise software companies of PeopleSoft and Oracle and consumer internet companies of Yahoo and Microsoft. He is the lead- or co-inventor of four patent applications of innovative online monetization methods, and a co-inventor of a patented (7,200,720) computational framework. He earned his Ph.D. in Electrical Engineering from the University of Connecticut, and his bachelor and master degrees from Tsinghua University, Beijing.</t>
  </si>
  <si>
    <t>jinlin.wang@foothill.ventures</t>
  </si>
  <si>
    <t>319492-27P</t>
  </si>
  <si>
    <t>John Matheny</t>
  </si>
  <si>
    <t>Matheny</t>
  </si>
  <si>
    <t>Mr. John Matheny serves as Venture Partner at Foothill Ventures.</t>
  </si>
  <si>
    <t>john.matheny@foothill.ventures</t>
  </si>
  <si>
    <t>191542-42P</t>
  </si>
  <si>
    <t>John Wang</t>
  </si>
  <si>
    <t>Mr. John Wang serves as Venture Partner at Foothill Ventures. He is the Founder and serves as Chief Executive Officer at Stealth Startup. He also is an Angel Investor. He co-founded and served as Chief Technology Officer at DashBase. He holds a BS (Bachelor of Science) degree in Computer Science from Binghamton University (SUNY).</t>
  </si>
  <si>
    <t>john.wang@foothill.ventures</t>
  </si>
  <si>
    <t>421237-00P</t>
  </si>
  <si>
    <t>Lu Wang Ph.D</t>
  </si>
  <si>
    <t>Lu</t>
  </si>
  <si>
    <t>Dr. Lu Wang serves as Investment Director at Foothill Ventures. She holds degree in Bioengineering from Beihang University and Ph.D.in Biochemistry, Biophysics, and Molecular Bio.</t>
  </si>
  <si>
    <t>lu.wang@foothill.ventures</t>
  </si>
  <si>
    <t>99410-23P</t>
  </si>
  <si>
    <t>Michael Jin Ph.D</t>
  </si>
  <si>
    <t>Mr. Michael Jin serves as Co-Founder &amp; Chief Technology Officer at International Green Chip. He serves as the Managing Partner of Foothill Ventures and Managing Partner of TEEC Angel Fund III only. He is on the Board/Advisory Board of eight BioMed and other high-tech startup companies. He served as a Board Member at PhysioCue and iSono Health. He previously served as a Board Member at Nvigen and Furcifer. He has extensive investment experiences in biomedical and health tech areas, and was co-founder of three high-tech startups in Silicon Valley and China, with the latest exit of iWatt to Dialog Semiconductor in July 2013 at $345M. He was the former Vice-Chair of the Tsinghua Entrepreneur &amp; Executive Club (TEEC) and Co-Chair of the TEEC Life Science and Health Tech Committee. He received BEng &amp; MEng degrees from Tsinghua University in Biomedical Engineering, and a Ph.D. degree from Stanford University as the pioneering inventor of the capacitive micromachined transducer for medical ultrasound, with more than 40 publications in international journals and conferences, 4 best paper co-author awards, and over thirty United States and China patents.</t>
  </si>
  <si>
    <t>+86 (0)22 6621 1161</t>
  </si>
  <si>
    <t>michael.jin@foothill.ventures</t>
  </si>
  <si>
    <t>Tianjin</t>
  </si>
  <si>
    <t>Tianjin, China</t>
  </si>
  <si>
    <t>RM2701-1, Number 2 Building</t>
  </si>
  <si>
    <t>Number 19 Xinhuanxi Road, Tianjin Economic-Technological Development Area</t>
  </si>
  <si>
    <t>300457</t>
  </si>
  <si>
    <t>International Green Chip</t>
  </si>
  <si>
    <t>172366-12P</t>
  </si>
  <si>
    <t>Ning Li Ph.D</t>
  </si>
  <si>
    <t>Ning</t>
  </si>
  <si>
    <t>Dr. Ning Li serves as Venture Partner at Foothill Ventures. She is a Co-Founder and serves as Chief Executive Officer at NovoLINC. Dr. Li co-founded and served as a Senior Vice President, People, and Resources at Petuum. Dr. Li holds a Ph.D. from Rice University and an MBA from the University of Minnesota, Carlson School of Management.</t>
  </si>
  <si>
    <t>ning.li@tsingyuan.ventures</t>
  </si>
  <si>
    <t>Pittsburgh</t>
  </si>
  <si>
    <t>Pittsburgh, PA</t>
  </si>
  <si>
    <t>15213</t>
  </si>
  <si>
    <t>NovoLINC</t>
  </si>
  <si>
    <t>99415-18P</t>
  </si>
  <si>
    <t>Richard Liu Ph.D</t>
  </si>
  <si>
    <t>Dr. Richard Liu is a Co-Founder and serves as Co-Chief Executive Officer at Huma (Financial Software). He served as Chief Technology Officer at Earnin. He co-founded Leap.ai and served as its Chief Executive Officer. He served as a Venture Partner at TSVC Capital. His expertise includes Commerce and Mobile. He was an Engineering Director at Google. In his six years at Google, he has played a key leadership role in Google Shopping and Google Offers. He is currently leading a key initiative in Android. Prior to Google, he held a technical leadership role in Oracle Retail and Target and gained rich experience in Retail and Commerce. Prior to that, he worked for Verizon and IBM China. He obtained his Ph.D. in Electrical and Computer Engineering from the University of Florida, MBA from Southern Methodist University, M.S. from Tsinghua University, Beijing, and B.S. degree from Sichuan University, Chengdu.</t>
  </si>
  <si>
    <t>richard@huma.finance</t>
  </si>
  <si>
    <t>Huma (Financial Software)</t>
  </si>
  <si>
    <t>279723-34P</t>
  </si>
  <si>
    <t>Sophia Yu</t>
  </si>
  <si>
    <t>Ms. Sophia Yu serves as Investment Associate at Foothill Ventures. She educated at Tsinghua University (Economics &amp; Finance) and Yale School of Management (MBA).</t>
  </si>
  <si>
    <t>sophia.yu@foothill.ventures</t>
  </si>
  <si>
    <t>409307-05P</t>
  </si>
  <si>
    <t>Theresa Dai</t>
  </si>
  <si>
    <t>Theresa</t>
  </si>
  <si>
    <t>Ms. Theresa Dai serves as Investor at Foothill Ventures.</t>
  </si>
  <si>
    <t>theresa.dai@foothill.ventures</t>
  </si>
  <si>
    <t>44406-37P</t>
  </si>
  <si>
    <t>Wenxiang Ma</t>
  </si>
  <si>
    <t>Wenxiang</t>
  </si>
  <si>
    <t>Mr. Wenxiang Ma serves as a Venture Partner at Foothill Ventures. He serves as a Board Member &amp; Advisor at Learning Genie. He serves as Executive Vice President, Engineering &amp; Chief Technology Officer at Arena (Solutions). He served as a Venture Partner &amp; Investment Partner at TSVC Capital. He specializes in enterprise software. He holds his Master's degree in Electrical Engineering from Yale University and his B.S. degree in Electronics Engineering from Tsinghua University, Beijing.</t>
  </si>
  <si>
    <t>+1 (650) 513-3500</t>
  </si>
  <si>
    <t>wenxiang.ma@tsingyuan.ventures</t>
  </si>
  <si>
    <t>121 Seaport Boulevard</t>
  </si>
  <si>
    <t>+1 (650) 513-3511</t>
  </si>
  <si>
    <t>Executive Vice President, Engineering &amp; Chief Technology Officer</t>
  </si>
  <si>
    <t>Arena Solutions</t>
  </si>
  <si>
    <t>152064-37P</t>
  </si>
  <si>
    <t>Xuhui Shao Ph.D</t>
  </si>
  <si>
    <t>Xuhui</t>
  </si>
  <si>
    <t>Dr. Xuhui Shao serves as Managing Partner at Foothill Ventures. He serves as a Board Member at WeBox, Metalenz, and Persperion Diagnostics. He served asan Investment Partner at TSVC Capital. His expertise includes big data, machine learning, statistical modeling and optimization, online advertising, marketing analytics, risk management, and fraud/anomaly detection. He serves as VP Engineering at Yahoo Inc. now, focusing on advertising and data. Prior to Yahoo, he served as CTO at Turn Inc. for 4 years and VP of Analytics at ID Analytics for over 5 years. He holds his Ph.D. in Electrical &amp; Computer Engineering from the University of Minnesota, his B.S. degree in Automation, and his Master's degree in Signal Processing from Tsinghua University, Beijing. He serves as Board Member at Synaptec Health.</t>
  </si>
  <si>
    <t>xuhui@tsingyuan.ventures</t>
  </si>
  <si>
    <t>30440-35P</t>
  </si>
  <si>
    <t>Jonathan Schulhof JD</t>
  </si>
  <si>
    <t>Schulhof</t>
  </si>
  <si>
    <t>FootPrint Coalition</t>
  </si>
  <si>
    <t>Mr. Jonathan Schulhof serves as the Managing Partner at FootPrint Coalition Ventures. Mr. Schulhof is the Founder and serves as Chief Executive Officer at LOOM Media. He is an Angel Investor. Mr. Schulhof founded &amp; served as Board Member at Glori Energy. He served as Managing Director at Global Technology Investment Group. Since joining GTI in 2002, he has forged commercialization partnerships with TERI, Israel Aircraft Industries, Rockwell Scientific, and Thales Group. He has led fundraising efforts for several of GTI's investments and is a co-founder of ColdWatt. Before joining GTI, he was a Director of Business Development at Tellme Networks, an IVR systems startup funded by Kleiner Perkins and Benchmark Capital. At Tellme Networks, he developed company strategy and business plans and executed strategic sales. Prior to joining Tellme Networks, he was a corporate associate at Schultze Roth &amp; Abel. He holds a B.A. from Dartmouth College, a J.D. from Stanford Law School, and is a member of the New York State Bar.</t>
  </si>
  <si>
    <t>+1 (212) 323-2600</t>
  </si>
  <si>
    <t>jonathan.schulhof@loommedia.com</t>
  </si>
  <si>
    <t>230 Park Avenue South</t>
  </si>
  <si>
    <t>LOOM Media</t>
  </si>
  <si>
    <t>308673-37P</t>
  </si>
  <si>
    <t>Julia Hodges</t>
  </si>
  <si>
    <t>Hodges</t>
  </si>
  <si>
    <t>Mr. Julia Hodges serves as Manager at FootPrint Coalition Ventures.</t>
  </si>
  <si>
    <t>+1 (210) 698-3012</t>
  </si>
  <si>
    <t>julia@teamdowney.com</t>
  </si>
  <si>
    <t>45125-20P</t>
  </si>
  <si>
    <t>Robert Downey Jr.</t>
  </si>
  <si>
    <t>Mr. Robert Downey is the Founder of FootPrint Coalition. Mr. Downey served as Chairman at Connexion Telematics. He is a Co-Founder of Downey Ventures. He is a Co-Founder and serves as a Board Member at happy. He serves as a Board Member at Motif FoodWorks. He is the Co-Founder of Team Downey. He serves as Board Member at Aura (Network Management Software).</t>
  </si>
  <si>
    <t>rdj@footprintcoalition.com</t>
  </si>
  <si>
    <t>137415-07P</t>
  </si>
  <si>
    <t>Steve Levin</t>
  </si>
  <si>
    <t>Mr. Steve Levin serves as Partner at FootPrint Coalition Ventures. He Co-Founded Downey Ventures.</t>
  </si>
  <si>
    <t>+1 (310) 546-2641</t>
  </si>
  <si>
    <t>308664-82P</t>
  </si>
  <si>
    <t>Susan Downey</t>
  </si>
  <si>
    <t>Ms. Susan Downey serves as an Executive at FootPrint Coalition. She is the Co-Founder of Team Downey.</t>
  </si>
  <si>
    <t>13936-78P</t>
  </si>
  <si>
    <t>Yoon Choi</t>
  </si>
  <si>
    <t>Yoon</t>
  </si>
  <si>
    <t>Forest Ventures</t>
  </si>
  <si>
    <t>Ms. Yoon Choi is the Co-Founder and serves as Partner at Muirwoods Ventures. She has been a Venture Investor and strategic partner to many Silicon Valley start-ups and founders for 18 years she has lived and worked in Asia. Europe and the United States. Her ability to read between the lines comes from living in multicultural environments. She was an investment director at SAIC Capital one of the leaders in China's automotive industry. Before SAIC. she led the Corporate Venture Group at Maxim Integrated. leading multiple strategic technology acquisitions and venture investments. Earlier in her career, she was one of the founding members of Samsung Ventures. She serves as Managing Director at Forest Ventures. She serves as a Venture Partner at LM VENTURES.</t>
  </si>
  <si>
    <t>yoon@forest.vc</t>
  </si>
  <si>
    <t>94708</t>
  </si>
  <si>
    <t>108627-58P</t>
  </si>
  <si>
    <t>Mark Scianna</t>
  </si>
  <si>
    <t>Scianna</t>
  </si>
  <si>
    <t>Forward Deployed VC</t>
  </si>
  <si>
    <t>Mr. Mark Scianna serves as General Partner at Forward Deployed VC. As an operator, most of his experience was at Palantir, where he was a founding member of their defense team, spending 11 years as a forward deployed engineer. In that role, he deployed extensively with US and allied forces in Afghanistan, Iraq, Horn of Africa, and beyond. When not deployed, he was responsible for development of Forward (basis for an 800M Army contract), Mobile (used by federal law enforcement), and Project Maven (advanced AI). Mark's team not only developed life saving products, but also built an incredibly valuable business: revenue grew from zero to billions, and the company went public in 2020.</t>
  </si>
  <si>
    <t>mark@deployed.vc</t>
  </si>
  <si>
    <t>248578-66P</t>
  </si>
  <si>
    <t>Amanda Herson</t>
  </si>
  <si>
    <t>Herson</t>
  </si>
  <si>
    <t>Founder Collective</t>
  </si>
  <si>
    <t>Ms. Amanda Herson serves as a General Partner at Founder Collective. She serves as a Board Member and Director of eCommerce at Cape Union Mart. She holds an MBA degree from Harvard Business School (2009) and a Bachelor's degree in Economics from The Wharton School (2003).</t>
  </si>
  <si>
    <t>+1 (617) 453-2250</t>
  </si>
  <si>
    <t>aherson@foundercollective.com</t>
  </si>
  <si>
    <t>81 Greene Street</t>
  </si>
  <si>
    <t>+1 (617) 441-7764</t>
  </si>
  <si>
    <t>53940-52P</t>
  </si>
  <si>
    <t>Andrew Palmer</t>
  </si>
  <si>
    <t>Mr. Andrew Palmer is a Co-Founder &amp; Chairman of DBOS. He serves as Chairman at Inflection Medicine. He served as an Advisor at ParStream. He is the Founder of Koa Labs. He is also the Founder Partner of Founder Collective. He is a Co-Founder and serves as Executive Chairperson at Tamr. Earlier, he served as Chief Executive Officer, Co-Chairman, and President there. He served as an Advisor at Affectiva. He serves as a Venture Advisor at Impellent Ventures. He served as an Advisor at RevenueBase, WEVO, and Plex Research. He served as a Board Member at Firecracker, jobbing, and the New England Venture Capital Association. He also served as a Board Member at Recorded Future, Conjur, EnterpriseDB, and Cloudant. He served as the Founding Chief Executive Officer at Vertica. He is a Co-Founder of Skiilify. He also serves as a Founding Board Member at Twine Health. He served as a Board Member at Constant Therapy Health. He is a specialist in accelerating the foundation &amp; growth of early-stage companies. Andy's unique blend of strategic perspective and disciplined tactical execution is suited to environments where uncertainty is the rule rather than the exception. He served as a Founding Board Member at Upstart. He co-founded and served as a Board Member at MatterIO. He's a serial entrepreneur, a leading angel investor, and a recipient of the 2013 Angel Investor of the Year NEVCA award. Most recently, he is the newest addition to the WEVO advisory board. He holds an MBA (Master of Business Administration) in General Management from Dartmouth College (Tuck) and a BA (Bachelor of Arts) in English and Computer Science from Bowdoin College. He earned a degree in Computer Science from the Massachusetts Institute of Technology</t>
  </si>
  <si>
    <t>+1 (603) 505-7373</t>
  </si>
  <si>
    <t>andy.palmer@koalab.com</t>
  </si>
  <si>
    <t>Suite 605 PMB 66880</t>
  </si>
  <si>
    <t>02111-1929</t>
  </si>
  <si>
    <t>DBOS</t>
  </si>
  <si>
    <t>240829-84P</t>
  </si>
  <si>
    <t>Brent Willess</t>
  </si>
  <si>
    <t>Willess</t>
  </si>
  <si>
    <t>Mr. Brent Willess serves as Principal at Founder Collective. He served as Investment Partner at Dorm Room Fund. He previously worked at Uber and PwC</t>
  </si>
  <si>
    <t>brent@foundercollective.com</t>
  </si>
  <si>
    <t>1 Mifflin Place</t>
  </si>
  <si>
    <t>42178-60P</t>
  </si>
  <si>
    <t>Dan Sommer</t>
  </si>
  <si>
    <t>Sommer</t>
  </si>
  <si>
    <t>Mr. Dan Sommer serves as Co-Founder &amp; Managing Partner at 10XImpact. Mr. Sommer serves as Executive Chairman of Sales Impact Academy. He served as a Venture Partner at Emerge (VC). He served as Chairman at TAMID Group. He is the Founder and serves as Chief Executive Officer at Trilogy Education Services. He is a Founder Partner of Founder Collective. He serves as the Executive Chairman at Yellow Brick Road Early Childhood Development Center. He served as a Board member at Amerigo Education. He co-founded and served as Chief Executive Officer at Edge Pathways. He served as the Division President at Caivis. Before joining XL Marketing in connection to its acquisition of Caridan Marketing Labs, a leading social media and interactive marketing agency he founded in 2007, he served as SVP at HNW, a strategic marketing firm focused on the affluent segment, where he built the firm's direct and interactive marketing capability. Before HNW, he worked at Digitas Inc. where he led online marketing and web development efforts for American Express. Before Digitas, he served as Vice President at Zustek. He holds a B.S. in Applied Economics from Cornell University. He holds an MS in Integrated Marketing from the New York University.</t>
  </si>
  <si>
    <t>+1 (212) 699-6401</t>
  </si>
  <si>
    <t>dan@10ximpact.co</t>
  </si>
  <si>
    <t>10XImpact</t>
  </si>
  <si>
    <t>39565-72P</t>
  </si>
  <si>
    <t>David Frankel</t>
  </si>
  <si>
    <t>Frankel</t>
  </si>
  <si>
    <t>Mr. David Frankel is a General Partner at Founder Collective. He served as Board Member at SeatGeek and Broadlume. He is an Angel Investor. He served as a Board Member at MediaRadar. He serves as a Board Member at Smalls, SeatGeek, Avant-garde Health, Olo &amp; GetHuman. Previously, he co-founded and served as Chief Executive Officer at Internet Solutions. He sits on the board of many companies and has years of experience in early investing. He served as a Board Member at Top10 Group, Bedly, and Datalot. He serves as Board Member at Databox.</t>
  </si>
  <si>
    <t>+1 (212) 989-0096</t>
  </si>
  <si>
    <t>david@foundercollective.com</t>
  </si>
  <si>
    <t>49751-20P</t>
  </si>
  <si>
    <t>Elliot Cohen</t>
  </si>
  <si>
    <t>Mr. Elliot Cohen is a Co-Founder and serves as Chief Product Officer at PillPack. He is a Co-Founder and serves as Chairman at General Medicine. He serves as Founder Partner at Founder Collective. He was a Founding Partner of Founder Collective. Previously, he Co-Founded hacking Medicine at MIT. He started his career as a Program Manager of Microsoft Office at Microsoft. He received his MBA from MIT and his BA in Computer Science and Cognitive Science from the University of California, Berkeley.</t>
  </si>
  <si>
    <t>+1 (855) 745-5725</t>
  </si>
  <si>
    <t>elliot@pillpack.com</t>
  </si>
  <si>
    <t>250 Commercial Street</t>
  </si>
  <si>
    <t>Suite 2012</t>
  </si>
  <si>
    <t>Co-Founder &amp; Chief Product Officer</t>
  </si>
  <si>
    <t>PillPack</t>
  </si>
  <si>
    <t>35471-53P</t>
  </si>
  <si>
    <t>Eric Paley</t>
  </si>
  <si>
    <t>Paley</t>
  </si>
  <si>
    <t>Mr. Eric Paley serves as General Partner at Founder Collective. He co-founded and served as Chief Executive Officer at Abstract Edge. He served as a Board Member at CoachUp and Fixer. He also serves as a Board member at Blissfully Tech, Embark, 10% Happier, and BookBub. He also co-founded Brontes Technologies to market innovative technology to dentists. He also serves as a Board Member at Integral Ad Science. He served as Board Member at Ten Percent Happier and SeeMe. Previously, he was the CEO and co-founder of Brontes Technologies, which was acquired in 2006 by 3M. Investors in Brontes included David Frankel (Founder Collective), Bain Capital Ventures, Charles River Ventures, and Flybridge Capital Partners. He served as a Board Member of the New England Venture Capital Association. He is an angel investor in a number of companies including Magazine Radar, OPOWER, and TrialPay, and also served as a senior advisor to Flybridge Capital Partners. He serves as Board Member at The Trade Desk. He served as Board Member at Harvest Automation. He served as Board Member at Contently. Mr. Eric Paley served as a Board Member at Blissfully.</t>
  </si>
  <si>
    <t>epaley@foundercollective.com</t>
  </si>
  <si>
    <t>186682-60P</t>
  </si>
  <si>
    <t>Jack Arenas</t>
  </si>
  <si>
    <t>Arenas</t>
  </si>
  <si>
    <t>Mr. Jack Arenas serves as Principal at Founder Collective. Mr. Arenas is a Co-Founder and served as Chief Technology Officer and Board Member at Modern Life. Mr. Arenas co-founded Prism Data. He is a Co-Founder and serves as Chief Technology Officer at Myntor. He co-founded and served as Chief Technology Officer and Advisor at Petal.</t>
  </si>
  <si>
    <t>jack@foundercollective.com</t>
  </si>
  <si>
    <t>35678-89P</t>
  </si>
  <si>
    <t>Jack Groetzinger</t>
  </si>
  <si>
    <t>Groetzinger</t>
  </si>
  <si>
    <t>Mr. Jack Groetzinger is a Co-Founder and serves as Chief Executive Officer at SeatGeek. He is a Founder Partner of Founder Collective. He is responsible for leading the forecasting team. His former projects include Scribnia and Evolving Vox. He is a graduate of Dartmouth College and a former consultant at Bain and Company.</t>
  </si>
  <si>
    <t>+1 (440) 289-0609</t>
  </si>
  <si>
    <t>groetzinger@seatgeek.com</t>
  </si>
  <si>
    <t>902 Broadway</t>
  </si>
  <si>
    <t>SeatGeek</t>
  </si>
  <si>
    <t>41420-80P</t>
  </si>
  <si>
    <t>James Tamplin</t>
  </si>
  <si>
    <t>Tamplin</t>
  </si>
  <si>
    <t>Mr. James Tamplin is a Co-Founder and serves as Board Member at Charm Industrial. Mr. Tamplin serves as Advisor at Dynaboard. He is a Founder Partner of Founder Collective. He is also an Angel Investor. He also co-founded and served as CEO of Firebase. Previously he Co-Founded SendMeHome.com. From 2002 to 2006 James Tamplin studied at the University of Wisconsin-Madison where he received his BS in industrial and systems engineering. In 2006 to 2007, at the University of Wisconsin-Madison, he studied for and received his masters in industrial and systems engineering. James Tamplin worked as a software engineer at TempWorks Software from 2003 to 2004 and at Boomerang Management from February 2009 to July 2009. From 2008 to 2011, James Tamplin served as a co-founder for Envolve, SendMeHome, and Keep Security. Envolve was a Facebook-style chat for any website and was shut-down. SendMeHome was a free lost and found tracking service which was acquired by a competitor. And Keep Security was a fingerprint sensor for the iPhone that authorized payments in 2008, but which failed due to hardware difficulties. James Tamplin co-founded and served as CEO for Firebase from 2011 to 2017. He continued with the company through their acquisition by Google where Firebase became part of Google's mobile application development platform. From 2014 to 2017, after Firebase's acquisition, James Tamplin worked for Google as a Group Product Manager where he described his role as improving Firebase using Google's resources. James Tamplin was one of the Founder Partner's of the Founder Collective venture capital firm. He continues to operate as a part-time venture partner.</t>
  </si>
  <si>
    <t>+1 (617) 570-1308</t>
  </si>
  <si>
    <t>182 Howard Street</t>
  </si>
  <si>
    <t>Charm Industrial</t>
  </si>
  <si>
    <t>101083-51P</t>
  </si>
  <si>
    <t>Joe DeFilippi</t>
  </si>
  <si>
    <t>DeFilippi</t>
  </si>
  <si>
    <t>Mr. Joe DeFilippi serves as Partner &amp; Chief Financial Officer at Founder Collective. He served as Director of Financial Operations at Charles River Ventures.</t>
  </si>
  <si>
    <t>+1 (617) 453-2250 x303</t>
  </si>
  <si>
    <t>joedefilippi@foundercollective.com</t>
  </si>
  <si>
    <t>Partner &amp; Chief Financial Officer</t>
  </si>
  <si>
    <t>37250-11P</t>
  </si>
  <si>
    <t>Micah Rosenbloom</t>
  </si>
  <si>
    <t>Rosenbloom</t>
  </si>
  <si>
    <t>Mr. Micah Rosenbloom serves as General Partner at Founder Collective. He serves as the Board Member at Toolio. He serves as the Board Observer at Tropic. He is an Angel Investor. He served as a Board Member at Sense360. He is also the CEO of Novophage and the Chairman of the Board of Directors. She served as a Board Member at Dia&amp;Co. He serves as Board Member at Emporia. He serves as Advisor at Clair. Prior to Novophage, he co-founded Brontes Technologies, in 2003 and served as General Manager of the company after its acquisition by 3M Corp. As co-founder, he helped build the company from an academic project between MIT and Harvard to funding from Bain Capital, Charles River Ventures, and Flybridge Capital Partners to its eventual sale in October 2006. Brontes' product, a handheld 3D digital replacement for taking traditional dental impressions is available throughout the US, Canada, and Western Europe and is part of the fastest-growing category in all of dentistry. Prior to Brontes, he co-founded SimplyDone Business Solutions/Handshake.com, where he raised over $20,000,000 in financing from venture and strategic investors. He has also worked for Baxter Healthcare. He is also on the Board of Advisors for Cornell's Entrepreneurship Program (E@C), the Cornell Entrepreneurship Lab, and is a Founder Advisor to the Founder Collective, a Boston/NYC based seed-stage venture fund.</t>
  </si>
  <si>
    <t>mrosenbloom@foundercollective.com</t>
  </si>
  <si>
    <t>124379-83P</t>
  </si>
  <si>
    <t>Nadia Boujarwah</t>
  </si>
  <si>
    <t>Boujarwah</t>
  </si>
  <si>
    <t>Ms. Nadia Boujarwah is a Co-Founder and serves as Chief Executive Officer at Dia&amp;Co. Ms. Boujarwah is a Founder Partner of Founder Collective. She is also an Angel Investor. She served as Chief Financial Officer/Chief Operating Officer at Frieda and Nellie. She holds an MBA (Master of Business Administration) from Harvard Business School. She also has a BS (Bachelor of Science) in Economics from University of Pennsylvania (Wharton).</t>
  </si>
  <si>
    <t>+1 (855) 631-3513</t>
  </si>
  <si>
    <t>nadia@dia.com</t>
  </si>
  <si>
    <t>175 Varick Street</t>
  </si>
  <si>
    <t>7th Floor</t>
  </si>
  <si>
    <t>Dia&amp;Co</t>
  </si>
  <si>
    <t>44388-19P</t>
  </si>
  <si>
    <t>Noah Glass</t>
  </si>
  <si>
    <t>Glass</t>
  </si>
  <si>
    <t>Mr. Noah Glass is the Founder and serves as the Chief Executive Officer and Director at Olo. He served as a Founder Partner at Founder Collective. He has served as a member of our board of directors since our inception in 2005. Prior to founding Olo, he held the position of International Expansion Manager for Endeavor Global ("Endeavor"), a leading global community of, by, and for high-impact entrepreneurs, where he launched the first African Endeavor affiliate. In addition to serving as our Chief Executive Officer, he has served on the board of directors of Portillo's, a fast-casual, chain-based restaurant specializing in Chicago-style food, since 2017. Additionally, he is on the board of directors of Share Our Strength, a non-profit focused on ending childhood hunger in the United States, as well as the board of trustees for the Culinary Institute of America, providing guidance and advice to the world's premier culinary college. He holds a B.A. in Political Science (International Relations) from Yale University.</t>
  </si>
  <si>
    <t>+1 (212) 260-0895</t>
  </si>
  <si>
    <t>noah@olo.com</t>
  </si>
  <si>
    <t>99 Hudson Street</t>
  </si>
  <si>
    <t>Founder, Chief Executive Officer &amp; Director</t>
  </si>
  <si>
    <t>Olo</t>
  </si>
  <si>
    <t>40618-45P</t>
  </si>
  <si>
    <t>Raj De Datta</t>
  </si>
  <si>
    <t>De Datta</t>
  </si>
  <si>
    <t>Mr. Raj De Datta is the Founder &amp; serves as Board Member &amp; Chief Executive Officer at Bloomreach. Mr. De Datta is a Founder Partner of Founder Collective. He is an Angel Investor. Before launching the Company in 2009, he was entrepreneur-in-residence at Mohr-Davidow Ventures, served as Cisco's director of product marketing, and was on the founding team of telecom company FirstMark Communications. He also worked in technology investment banking at Lazard Freres. He serves on the Council for Player Development for the US Tennis Association, as a Founding Partner at seed-stage venture capital firm Founder Collective and an individual investor in over 20 Silicon Valley start-ups. He holds a BS in Electrical Engineering with a certificate in Public Policy and International affairs from Princeton University and an MBA with distinction from Harvard Business School.</t>
  </si>
  <si>
    <t>+1 (888) 263-3917</t>
  </si>
  <si>
    <t>raj@bloomreach.com</t>
  </si>
  <si>
    <t>Mountain View</t>
  </si>
  <si>
    <t>Mountain View, CA</t>
  </si>
  <si>
    <t>700 East El Camino Real</t>
  </si>
  <si>
    <t>94041</t>
  </si>
  <si>
    <t>Co-Founder, Board Member &amp; Chief Executive Officer</t>
  </si>
  <si>
    <t>Bloomreach</t>
  </si>
  <si>
    <t>36983-89P</t>
  </si>
  <si>
    <t>Zach Klein</t>
  </si>
  <si>
    <t>Mr. Zach Klein is a Founding Partner at Founder Collective. He served as Advisor at Binded. He co-founded Vimeo. He also serves as President and Chief Executive Officer at Dwell. He is a Founder Partner of Founder Collective. He co-founded and served as Chief Executive Officer at DIY. He is a Co-Founder Partner of Founder Collective. He is an accomplished entrepreneur and designer. He was a partner and led product design at Connected Ventures, the creators of CollegeHumor. In 2006, he and his partners sold a major stake in Connected Ventures to IAC. He is best known for co-founding and designing Vimeo, a popular video-sharing community emphasizing authenticity and quality. Time Magazine named Vimeo one of the web's Top 50 sites. He led products at Boxee, an open-source interface for televisions making it easy to watch shows, movies, and homemade videos from the Internet. Recently, he co-founded a DIY. He currently serves as a Director on the board of Skillshare and previously served on the board of Svpply. He co-founded and served as Chief Executive Officer at DIY. Mr. Klein also served as President &amp; Chief Executive Officer at Dwell.</t>
  </si>
  <si>
    <t>Founder Partner</t>
  </si>
  <si>
    <t>156016-72P</t>
  </si>
  <si>
    <t>Dixie Wikholm</t>
  </si>
  <si>
    <t>Dixie</t>
  </si>
  <si>
    <t>Wikholm</t>
  </si>
  <si>
    <t>Founders</t>
  </si>
  <si>
    <t>Ms. Dixie Wikholm serves as Chief Financial Officer at Founders. She serves as Chief Financial Officer at Klimate.co.</t>
  </si>
  <si>
    <t>Skelbækgade 2</t>
  </si>
  <si>
    <t>1717</t>
  </si>
  <si>
    <t>156017-08P</t>
  </si>
  <si>
    <t>Joshua Karjala-Svendsen</t>
  </si>
  <si>
    <t>Karjala-Svendsen</t>
  </si>
  <si>
    <t>Mr. Joshua Karjala-Svendsen serves as Partner at Founders. He served as Advisor at Duuoo.</t>
  </si>
  <si>
    <t>joshua@founders.as</t>
  </si>
  <si>
    <t>156016-09P</t>
  </si>
  <si>
    <t>Peter Heering</t>
  </si>
  <si>
    <t>Heering</t>
  </si>
  <si>
    <t>Mr. Peter Heering is a Co-Founder &amp; serves as Partner at Founders. He serves as Board Member at LifeX.</t>
  </si>
  <si>
    <t>peter@founders.as</t>
  </si>
  <si>
    <t>64905-04P</t>
  </si>
  <si>
    <t>Sebastian Stockmarr</t>
  </si>
  <si>
    <t>Stockmarr</t>
  </si>
  <si>
    <t>Mr. Sebastian Stockmarr serves as a Partner at Founders. He served as an Advisor at Duuoo. He Co-Founded Headlight and also served as its CPO. He serves as an Advisor at Kontist. He also co-founded Magma and Aabenbart. He co-founded and served as Executive, Product &amp; Design at Tempo (Email Sorting).</t>
  </si>
  <si>
    <t>sebastian@founders.as</t>
  </si>
  <si>
    <t>120647-89P</t>
  </si>
  <si>
    <t>Simon Sylvest</t>
  </si>
  <si>
    <t>Sylvest</t>
  </si>
  <si>
    <t>Mr. Simon Sylvest is a Co-Founder &amp; serves as a Partner at Founders. Mr. Sylvest co-founded and served as Board Member at Headlight. Mr. Sylvest served as a Board Member at Duuoo. He serves as Board Member at Wawa Fertility.</t>
  </si>
  <si>
    <t>simon@founders.as</t>
  </si>
  <si>
    <t>120648-07P</t>
  </si>
  <si>
    <t>Stefano Zorzi</t>
  </si>
  <si>
    <t>Zorzi</t>
  </si>
  <si>
    <t>Mr. Stefano Zorzi serves as Partner at Founders. Mr. Zorzi co-founded and served as Board Member at Wonderwerk. He serves as Board Member at All Gravy. He serves as Board Member at LifeX. He co-founded and served as Board Member at Pleo. He serves as an Advisor at Kontist. He is also a Co-Founder &amp; Board Member at MinbilDinbil. He is also an Angel Investor. He co-founded Tempo (Email Sorting). He serves on the Board of Directors at Son of a Tailor.</t>
  </si>
  <si>
    <t>stefano@founders.as</t>
  </si>
  <si>
    <t>156015-64P</t>
  </si>
  <si>
    <t>Ulrik Trolle</t>
  </si>
  <si>
    <t>Trolle</t>
  </si>
  <si>
    <t>Mr. Ulrik Trolle is a Co-Founder &amp; serves as Partner at Founders. He is a Co-Founder and serves as Board Member at Scalepoint. He serves as Chairman of the Board at Son of a Tailor. He also serves as board member at All Gravy.</t>
  </si>
  <si>
    <t>ulrik@founders.as</t>
  </si>
  <si>
    <t>31664-26P</t>
  </si>
  <si>
    <t>Bradly Feld</t>
  </si>
  <si>
    <t>Bradly</t>
  </si>
  <si>
    <t>Feld</t>
  </si>
  <si>
    <t>Foundry Group</t>
  </si>
  <si>
    <t>Mr. Bradly Feld is a Co-Founder and serves as a Board Member at Foundry Group. He serves as an Advisor at Ao Ventures. He served as a Board Member at FullContact. He founded Field Technologies. He is a Co-Founder &amp; serves as a Board Member at Techstars, Bolster, Vendasta Technologies, and Global EIR. He is the founder and managing director at Intensity Ventures. He is an Angel Investor. He served as an Advisor &amp; Board Member at High Alpha. He Founded and served as the managing director at Mobius Venture Capital. He co-founded &amp; served as Chairman at Energize Colorado. He served as an Advisor at NewCo. He served as an Advisor at Vast Ventures. He co-founded Net. Capitol. He served as a Board Member at Yesware, Taunt, AvidXchange, and Misty Robotics. He has been an early-stage investor and entrepreneur for over 30 years. He also serves as a VC advisory Committee Member at Wildcard Ventures. He is a Co-Founder of GAN. He holds an MS degree in Management Science from the Massachusetts Institute of Technology (MIT) (1988) and a BS degree in Management Science from the Massachusetts Institute of Technology (MIT) (1987). He is a Co-Founder of Techstars.</t>
  </si>
  <si>
    <t>+1 (303) 642-4050</t>
  </si>
  <si>
    <t>brad@foundry.vc</t>
  </si>
  <si>
    <t>+1 (303) 642-4001</t>
  </si>
  <si>
    <t>38041-21P</t>
  </si>
  <si>
    <t>Chris Moody</t>
  </si>
  <si>
    <t>Moody</t>
  </si>
  <si>
    <t>Mr. Chris Moody serves as a Partner at Foundry Group. Chris Moody, aka "Moody," joined Foundry in 2017 after working as an operator for 27 years. He serves as a Board Member at Whoop. He served as a Board Member at OrderMArk and The Pro's Closet. Prior to joining Foundry, he was GM &amp; VP of Twitter's Data &amp; Enterprise business and CEO of Gnip, a Foundry portfolio company acquired by Twitter in 2014. Moody has worked in leadership roles at publicly traded companies (Twitter, IBM, Oracle, EDS,) and fast-growth startups (Aquent, Gnip). He has managed teams with thousands of employees spanning 17 countries. He loves working with entrepreneurs to scale their companies while keeping them fun and agile. He particularly enjoys engaging founders around culture/values, hiring, branding, partnerships, and sales. Moody loves spending time with his family. He also enjoys riding his bike in the foothills around Boulder and his snowboard in the Rocky Mountains. A huge fan of the Auburn Tigers, he delivered the university's Spring Commencement Address in 2016. For some reason, he can't explain, Moody is also learning to play golf and welcomes any invitation to play. In his spare time, he's known for creating engaging video content via his own vlog, VentureKills. He holds a BS in Electrical Engineering from Auburn University.</t>
  </si>
  <si>
    <t>moody@foundry.vc</t>
  </si>
  <si>
    <t>175728-34P</t>
  </si>
  <si>
    <t>Jaclyn Hester JD</t>
  </si>
  <si>
    <t>Hester</t>
  </si>
  <si>
    <t>Ms. Jaclyn Hester serves as a Partner at Foundry Group. She serves as a Board Member at Loop. He serves as a Board Member at SingleFile and Jones. She is passionate about helping founders and VCs succeed. She enjoys all things venture. She works closely with early-stage venture capital fund managers and startup founders as they launch and scale their businesses. She joined Foundry in 2016 and is active across our portfolio of startup companies and venture funds. She served as an Advisor and Board Member at High Alpha. She helped launch the partner fund strategy and works closely with partner fund managers, while also leading new fund investments. She has built an extensive network of early-stage venture capital investors across North America and loves advising emerging managers on fundraising, strategy, and firm-building. She also spends time on direct investments, working with existing portfolio companies and leading new investments, typically alongside our partner funds. Before joining Foundry, She practiced corporate law at Perkins Coie LLP and Baker &amp; Hostetler LLP. As an attorney, she advised startups and private equity firms as well as buyers and sellers in M&amp;A transactions. She also worked closely with her husband and family on their SaaS startup, FareHarbor (acquired by Booking.com), from the earliest stages through acquisition. She earned a JD/MBA from the University of Colorado, Boulder, and a BBA from Emory University. During graduate school, she worked with founders and other entrepreneurial leaders in her role as Executive Director of Startup Colorado.</t>
  </si>
  <si>
    <t>jaclyn@foundry.vc</t>
  </si>
  <si>
    <t>197512-93P</t>
  </si>
  <si>
    <t>Jason Lynch JD</t>
  </si>
  <si>
    <t>Mr. Jason Lynch JD. serves as General Counsel &amp; Chief Operating Officer at Foundry Group. He works across the Foundry portfolio. Mr, Lynch also served as the Chief Administrative Officer at Crucible Acquisition Corporation. He serves as the Chief Administrative Officer at Crucible Acquisition Corp. II and Crucible Acquisition III. Since 2019, Mr. Lynch has been serving on the board of Modular Robotics, Inc. From 2015 to 2018, Mr. Lynch was a partner at the law firm of Davis, Graham &amp; Stubbs LLP in Denver and was previously an associate at the law firm of Wachtell, Lipton, Rosen &amp; Katz in New York. His legal practice focused on corporate, M&amp;A and securities litigation. Mr. Lynch is admitted to practice law in New York and Colorado. Prior to attending law school, Mr. Lynch worked at Kekst and Company, a leading corporate communications and investor relations firm, where he advised companies on media and investor relations and on the communications aspects of a wide range of complex business situations and crises. Mr. Lynch holds a Bachelor of Arts in political science from Columbia University and a Juris Doctorate from Columbia Law School.</t>
  </si>
  <si>
    <t>jason.lynch@foundrygroup.com</t>
  </si>
  <si>
    <t>66226-51P</t>
  </si>
  <si>
    <t>Lena Giacomini</t>
  </si>
  <si>
    <t>Lena</t>
  </si>
  <si>
    <t>Giacomini</t>
  </si>
  <si>
    <t>Ms. Lena Giacomini serves as Chief Financial Officer at Foundry Group. Ms. Giacomini is a CPA with over 10 years of experience in the venture capital industry. Prior to Foundry, she worked for PricewaterhouseCoopers both in San Jose and Denver. She holds an MS (Master of Science) in Accounting from San Jose State University and a BA (Bachelor of Arts) in Economics from the University of California, Santa Cruz.</t>
  </si>
  <si>
    <t>lena@foundry.vc</t>
  </si>
  <si>
    <t>14845-15P</t>
  </si>
  <si>
    <t>Lindel Eakman</t>
  </si>
  <si>
    <t>Lindel</t>
  </si>
  <si>
    <t>Eakman</t>
  </si>
  <si>
    <t>Mr. Lindel Eakman serves as a Partner at Foundry Group. He also served as a Board Member at Sofar Ocean &amp; TeamSnap. He served as Advisor and Board Member at High Alpha. He served as a Board Member at Optimize Health. For over a decade, Mr. Eakman managed the private investment program for one of the largest endowment funds in the industry. Mr. Eakman followed his passion as an investor across global capital markets to focus on early-stage venture investing with Foundry Group. He joined as a partner in 2015 and is active across the portfolio. Mr. Eakman has been investing in venture-backed companies and venture firms for nearly two decades, building an extensive network of limited partners, venture capitalists and founders. He is a sought-after mentor to emerging managers, advising on fundraising strategy, portfolio construction, firm-building and navigating the ups and downs of venture capital. Mr. Eakman institutionalized Foundry's partner fund strategy and works closely with partner fund managers, while also leading new fund investments. He is actively involved with Foundry's direct investment strategy, working with existing portfolio companies and leading new investments alongside the firm's partner funds. Mr. Eakman is a nationally recognized leader in the limited partner community. Prior to joining Foundry, he managed the private investment program for the University of Texas Investment Management Company (UTIMCO). At UTIMCO, Mr. Eakman developed his love for early-stage investing as he built the endowment's venture capital program. He was fortunate to sponsor early investments in many of the now leading venture capital firms including IA Ventures, True Ventures, Union Square Ventures and, of course, Foundry Group. Prior to UTIMCO, Mr. Eakman was a member of the KPMG mergers &amp; acquisitions tax practice where he worked with many fund managers across investment due diligence processes and private investment partnership activities. Mr. Eakman received his MBA from the University of Texas at Austin McCombs School of Business and his BBA in accounting and finance from Texas Christian University. He is a CPA and a CFA charter holder. Mr. Eakman previously served as Vice-Chair of the Institutional Limited Partner Association and is a member of the St. David's Foundation Investment Committee and the University of Colorado Foundation Investment Committee.</t>
  </si>
  <si>
    <t>lindel@foundrygroup.com</t>
  </si>
  <si>
    <t>31665-07P</t>
  </si>
  <si>
    <t>Ryan McIntyre</t>
  </si>
  <si>
    <t>Mr. Ryan McIntyre is a Founding Partner &amp; serves as Partner at Foundry Group. Mr. McIntyre co-founded &amp; served as Principal Engineer at Excite. He served as Principal at Mobius Venture Capital. During his nearly three decades in the technology industry, Mr. McIntyre has been a software engineer, entrepreneur, angel investor, and venture capitalist. He served as a Board Member at Arryved, Help Scout, Tidelift, and Section. Mr. McIntyre is passionate about helping entrepreneurs build great companies that can move markets and is fortunate to have worked with start-ups from the dudes-in-a-garage stage to the public company stage. Before co-founding Foundry Group, Mr. McIntyre started his career in venture capital at Mobius Venture Capital in January 2000. While at Mobius Venture Capital, Mr. McIntyre led the firm's investments in Postini (acq. GOOG) and Sling Media (acq. DISH). Mr. McIntyre holds a degree in Symbolic Systems from Stanford University. While at Stanford, he published research on genetic algorithms at The First IEEE Conference on Evolutionary Computation and studied abroad at Stanford's overseas campus in Berlin, Germany. He also serves as a Board Member and Advisor at Authentic8. Previously, he served as a Board Member at Mapbox.</t>
  </si>
  <si>
    <t>ryan@foundry.vc</t>
  </si>
  <si>
    <t>31664-80P</t>
  </si>
  <si>
    <t>Seth Levine</t>
  </si>
  <si>
    <t>Levine</t>
  </si>
  <si>
    <t>Mr. Seth Levine is a Co-Founder and serves as Chief Strategy Officer at GoodBread. He is a Co-Founder and serves as a Partner of Foundry Group. He served as a Board Member at Xometry. He serves as a Fund II Advisor at Starting Line. He served as Principal at Mobius Venture Capital. He also served as an Advisor and Investor at Oui Capital. He serves as a Board Member at Sovrn. He also serves as a Board Member and Advisor at Blocknative. He serves as a Board Member at Nift Networks, Tracera, and Pilot. He also serves as an Advisor at Raed Ventures. He serves as an Investment Committee Member at Verdant Frontiers. He also serves as an Advisor at Ingressive Capital. He has been working in and with early-stage businesses for almost 20 years. His career spans venture capital investing as well as operational, transactional, and advisory roles at both public and private companies. Prior to co-founding Foundry Group, He served as a Board Member at StockTwits and Integrate.com. Prior to Mobius, he held a variety of management and finance positions in both private and public companies. He is a summa cum laude graduate of Macalester College in St. Paul, Minnesota with degrees in Economics and Psychology. He serves as a Trustee of the college. He also serves as an Advisor at Trailhead Capital (Colorado). He is active throughout the entrepreneurial community in both the US and globally. He's an advisor to a number of venture funds, including Sadara, the first-ever Palestinian-focused venture fund, and The Greater Colorado Venture Fund (a fund focused on economic development in rural Colorado) as well as several other funds operating in North America, the Middle East, and Africa. He's a founder of Pledge 1% - an international organization that encourages companies to give back to their local communities through gifts of equity, profits, product, and time (Pledge has over 12,000 member companies). He is a current board member of Gary Community Investments, which invests in for-profit and philanthropic solutions for Colorado's low-income children and their families, as well as For ClimateTech, addressing the urgent need for climate tech solutions. He is a former board member of The Unreasonable Institute, formerly on the board and executive committee of the Rocky Mountain Venture Capital Association, previously on the board of the Bard Center for Entrepreneurship at CU Denver, also previously on the board of the Denver chapter of the Association for Corporate Growth (ACG) and is a past Chair of the ESPRIT Awards. He is a founding member of the Colorado Chapter of the Entrepreneur's Foundation as well as Colorado Entrepreneurial By Nature and also serves on the executive committee of StartupColorado (a public/private partnership in Colorado formed to promote economic development in rural Colorado). He serves as Board Member at FloatMe.</t>
  </si>
  <si>
    <t>slevine@goodbread.net</t>
  </si>
  <si>
    <t>Co-Founder &amp; Chief Strategy Officer</t>
  </si>
  <si>
    <t>GoodBread</t>
  </si>
  <si>
    <t>144462-34P</t>
  </si>
  <si>
    <t>Ajoy Singh</t>
  </si>
  <si>
    <t>Ajoy</t>
  </si>
  <si>
    <t>Fractal Analytics</t>
  </si>
  <si>
    <t>Mr. Ajoy Singh serves as Chief Artificial Intelligence Officer at Fractal Analytics. Previously he served as Chief Operating Officer at Fractal Analytics. He leads engagement delivery and heads capabilities development for Customer &amp; Loyalty Analytics, Integrated Marketing Effectiveness, Artificial Intelligence and Machine Learning, Big Data &amp; Visualization. Prior to Fractal, He was the Country Credit Risk Head for the consumer portfolio of Barclays India. He was in Leadership role in Consumer Credit Risk Management in Standard Chartered (Prime Financial), CitiFinancial and GE Money. He is experienced in Credit Risk Policy &amp; Portfolio Management, Collections Strategy, Underwriting &amp; Fraud Control. He received his MBA from the Indian Institute of Management (IIM) at Calcutta and Bachelors in Mechanical Engineering from the Indian Institute of Technology (IIT) Delhi.</t>
  </si>
  <si>
    <t>+91 (0)22 6850 5800</t>
  </si>
  <si>
    <t>ajoy.singh@fractal.ai</t>
  </si>
  <si>
    <t>Level 7, Commerz II, International Business Park</t>
  </si>
  <si>
    <t>Oberoi Garden City, Western Express Highway Goregaon East</t>
  </si>
  <si>
    <t>Chief Artificial Intelligence Officer</t>
  </si>
  <si>
    <t>184299-13P</t>
  </si>
  <si>
    <t>Arjun Kulkarni</t>
  </si>
  <si>
    <t>Mr. Arjun Kulkarni serves as Engagement Manager of Org Development and DesignOps at Fractal Analytics. Previously he served as Associate Director, Mergers &amp; Acquisitions Integration at Fractal Analytics.</t>
  </si>
  <si>
    <t>arjun.kulkarni@fractal.ai</t>
  </si>
  <si>
    <t>Engagement Manager of Org Development and DesignOps</t>
  </si>
  <si>
    <t>262492-84P</t>
  </si>
  <si>
    <t>Ashwath Bhat</t>
  </si>
  <si>
    <t>Ashwath</t>
  </si>
  <si>
    <t>Bhat</t>
  </si>
  <si>
    <t>Mr. Ashwath Bhat serves as Chief Financial Officer at Fractal Analytics. He comes with over twenty-one years of corporate finance experience, FP&amp;A, commercial finance, controllership, finance operations, treasury, supply chain management, pricing, M&amp;A and tax. He completed his Finance Management Program from GE and is a Chartered Accountant from India (ICAI).</t>
  </si>
  <si>
    <t>ashwath.bhat@fractal.ai</t>
  </si>
  <si>
    <t>382981-06P</t>
  </si>
  <si>
    <t>Dipita Chakraborty</t>
  </si>
  <si>
    <t>Dipita</t>
  </si>
  <si>
    <t>Chakraborty</t>
  </si>
  <si>
    <t>Ms. Dipita Chakraborty serves as Co-Chief Practice Officer, of Consumer Packaged Goods Global Practice at Fractal Analytics. She leads designing and implementing transformative solutions for our clients. She has over 25 years of experience in enabling decisions with analytics across the largest CPG enterprises globally. She is passionate about driving impact at CPG companies by adopting a user-centric approach and implementing analytics that increase both the speed and value of decisions. Her expertise spans marketing, revenue growth, digital commerce, innovation, and consumer and demand analytics. She founded The Modeling Group, an analytics consulting firm helping Fortune 500 CPG companies allocate marketing and trade promotion resources to drive profitable growth. The organization was later acquired by Nielsen. She has held various global leadership roles at Nielsen, designing &amp; implementing analytics programs for the growth of clients. She has a keen interest in interconnecting decision spines in organizations, digitization of decisions with AI &amp; engineering, and NextGen revenue growth with omnichannel commerce. She has a Masters in Management and Policy from the University of Stony Brook, the USA, and a BTech in Engineering from IIT Kharagpur, India.</t>
  </si>
  <si>
    <t>dipita.chakraborty@fractal.ai</t>
  </si>
  <si>
    <t>Co-Chief Practice Officer, Consure Packaged Goods</t>
  </si>
  <si>
    <t>104587-30P</t>
  </si>
  <si>
    <t>Dylan Dias</t>
  </si>
  <si>
    <t>Dias</t>
  </si>
  <si>
    <t>Mr. Dylan Dias serves as Chief Alliances Officer and Head of Cloud Partnerships, Worldwide at Fractal Analytics. Previously he co-founded and served as Chief Executive Officer at Neal Analytics. By combining his experience in international client services and business solutions delivery with his passion for excellence and innovation, Dylan has a deep understanding of business opportunities and market challenges. Dylan was a Booz Allen Hamilton consultant providing business-changing marketing strategy, channel analysis, performance improvement, program management, and IT strategy. Before that, he spearheaded Japanese ops for e-Emphasys Technologies, achieving $3MM annual revenue within two years. He has also successfully executed software product plans and product development for internet and enterprise application companies.</t>
  </si>
  <si>
    <t>dylan.dias@fractal.ai</t>
  </si>
  <si>
    <t>Chief Alliances Officer and Head of Cloud Partnerships, Worldwide</t>
  </si>
  <si>
    <t>234139-69P</t>
  </si>
  <si>
    <t>Himanshu Nautiyal</t>
  </si>
  <si>
    <t>Himanshu</t>
  </si>
  <si>
    <t>Nautiyal</t>
  </si>
  <si>
    <t>Mr. Himanshu Nautiyal serves as Chief Product Officer at Fractal Analytics. Previously, He served as Chief Technology Officer of dhani Services. He Co-Founded &amp; served as Chief Executive Officer at Euler Systems. At Deutsche Bank, he was responsible for the CEEMEA Structured Commodity Assets Business. Himanshu is an AI and data science leader from Yahoo!, eGain &amp; ClosedLoop and Co-founder of Bixee. He has a BTech in CS from IIT Delhi, an MSCS from the University of Washington, Seattle and an MBA from IIM Bangalore. He was a Bronze Medalist at the International Mathematical Olympiad.</t>
  </si>
  <si>
    <t>himanshu.nautiyal@fractal.ai</t>
  </si>
  <si>
    <t>219371-59P</t>
  </si>
  <si>
    <t>Janaki Akella Ph.D</t>
  </si>
  <si>
    <t>Akella</t>
  </si>
  <si>
    <t>Dr. Janaki Akella, Independent Director. Professional Highlights: Chief of Business Operations, Director, Ads Privacy and Safety, Google LLC-2020 to 2023; Head of Digital Transformation, Director, Cloud-2018 to 2020; Chief of Staff for Search-2017 to 2018; Partner, McKinsey &amp; Company-2007 to 2016; Associate Principal-2003 to 2006, Engagement Manager-2001 to 2003; Associate/Senior Associate-1999 to 2001; Engineer Scientist and Technical Contributor, Hewlett-Packard-1993 to 1998. Other Professional and Leadership Experience: Director, Sallie Mae Bank-2024 to present; Director, averQ, Inc .- 2023 to present. Directorship of other public companies: Director, Southern Company-2019 to present; Business Security and Resiliency Committee Chair-2024 to present.</t>
  </si>
  <si>
    <t>+1 (302) 451-0200</t>
  </si>
  <si>
    <t>Newark</t>
  </si>
  <si>
    <t>Newark, DE</t>
  </si>
  <si>
    <t>300 Continental Drive</t>
  </si>
  <si>
    <t>19713</t>
  </si>
  <si>
    <t>Sallie Mae</t>
  </si>
  <si>
    <t>285175-45P</t>
  </si>
  <si>
    <t>Manish Tiwari</t>
  </si>
  <si>
    <t>Manish</t>
  </si>
  <si>
    <t>Tiwari</t>
  </si>
  <si>
    <t>Mr. Manish Tiwari serves as Chief Information Officer at Fractal Analytics. He is a member of the Fractal executive leadership. He has over 33 years of experience spanning roles in the Navy, IT (Information Technology) project management, IT security operations, risk management and National cyber security strategy. He has expertise in building and implementing IT security strategies, gap assessment and risk mitigation and the transformation of operations. He has a keen interest in user behavior analytics, fraud detection, investigations &amp; prevention and threat hunting. Prior to Fractal, he worked at UIDAI, Microsoft India, Bharti Airtel and the Indian Navy. He has a bachelor's degree in math and physics and CISA, CEH,C|HFI and LPT. CISP, Lead Auditor.</t>
  </si>
  <si>
    <t>manish.tiwari@fractal.ai</t>
  </si>
  <si>
    <t>277816-15P</t>
  </si>
  <si>
    <t>Matt Gennone</t>
  </si>
  <si>
    <t>Gennone</t>
  </si>
  <si>
    <t>Mr. Matt Gennone serves as Co-Chief Practice Officer, Healthcare and Lifesciences and Executive Vice President at Fractal Analytics.</t>
  </si>
  <si>
    <t>matt.gennone@fractal.ai</t>
  </si>
  <si>
    <t>Co-Chief Practice Officer, Healthcare and Lifesciences and Executive Vice President</t>
  </si>
  <si>
    <t>382938-49P</t>
  </si>
  <si>
    <t>Mrunali Sathe</t>
  </si>
  <si>
    <t>Mrunali</t>
  </si>
  <si>
    <t>Sathe</t>
  </si>
  <si>
    <t>Ms. Mrunali Sathe serves as Chief Practice Officer of CPG and Retail Global Practice at Fractal Analytics. She is focused on strengthening client relationships and helping them achieve their digital transformation goals. She has over 25 years of experience in the CPG industry, leading brand P&amp;L, marketing insights, analytics operations, and client partnerships. She has the expertise in enabling enterprise digital transformation by translating business goals into D&amp;A strategy, land everaging data science, data engineering, and design thinking. She is passionate about ensuring digital programs are set up for success with a 'design first' approach driving high adoption. She is a business leader and ex-entrepreneur and has previously worked at P&amp;G and Marico brand teams. She is interested in building interconnected decision spines in organizations, digitizing decisions with AI &amp; engineering, analytics strategy for CXOs, and high-adoption digital culture. She has completed her B.Sc. in Mathematics and MBA from Mumbai University, India.</t>
  </si>
  <si>
    <t>mrunali.sathe@fractal.ai</t>
  </si>
  <si>
    <t>Co-Chief Practice Officer of CPG and Retail Global Practice</t>
  </si>
  <si>
    <t>382939-75P</t>
  </si>
  <si>
    <t>Mythreyi Mukund</t>
  </si>
  <si>
    <t>Mythreyi</t>
  </si>
  <si>
    <t>Ms. Mythreyi Mukund serves as Co-Chief Practice Officer of Industrials, Energy and Travel at Fractal Analytics. She brings more than two decades of expertise spanning technology, process outsourcing, analytics and operations. She fosters strategic client partnerships across industries at Fractal, steering their digital transformation journey. She crafts scalable programs across functions by integrating process enhancement, engineering, AI, and design. Before Fractal, She contributed to Genpact's CPG &amp; retail analytics team, crafting analytic products and solutions. Additionally, she bolstered MindTree's analytics growth efforts for Europe and APAC, across industries. She has a fervor for analytics as a driver of sustainable and swift business outcomes. She believes in the power of bringing disparate data sets together to derive actionable insights at scale, adhering to Fractal's ethos of responsible analytics. Educationally, She holds a Post Graduate Diploma in Management from the Indian Institute of Management, Ahmedabad, India, complemented by a Bachelor's in Engineering from MN National Institute of Technology, Allahabad, India.</t>
  </si>
  <si>
    <t>mythreyi.mukund@fractal.ai</t>
  </si>
  <si>
    <t>Co-Chief Practice Officer of Industrials, Energy and Travel</t>
  </si>
  <si>
    <t>90089-56P</t>
  </si>
  <si>
    <t>Natwar Mall</t>
  </si>
  <si>
    <t>Natwar</t>
  </si>
  <si>
    <t>Mall</t>
  </si>
  <si>
    <t>Mr. Natwar Mall serves as Chief Transformation and Co-Chief Practice Officer of BFSI at Fractal Analytics. Previously he served as Chief Technology Officer at Fractal Analytics. Natwar led Fractal as part of its leadership team through multiple growth stages over the past decade. He led the data-science and technology agenda for Fractal &amp; its clients, built &amp; grew CPG practice amongst others, and conceptualized &amp; delivered analytics technologies like Concordia &amp; Trial Run. He was instrumental in building a top-notch data science team providing the right foundation for growth. Natwar is now building Cuddle.ai - a wholly-owned subsidiary of Fractal Analytics - to bring the power of AI to the world of BI by building the world's most intelligent BI platform. He has an MBA from, Indian Institute of Management (IIM), Calcutta and a B.Tech in Mechanical Engineering, the Indian Institute of Technology (IIT), Bombay.</t>
  </si>
  <si>
    <t>natwar.mall@fractal.ai</t>
  </si>
  <si>
    <t>Chief Transformation and Co-Chief Practice Officer of BFSI</t>
  </si>
  <si>
    <t>50791-06P</t>
  </si>
  <si>
    <t>Pranay Agrawal</t>
  </si>
  <si>
    <t>Mr. Pranay Agrawal is the Co-Founder and serves as Chief Executive Officer and Board Member at Fractal Analytics. He has led Fractal in powering every human decision in the enterprise through data and analytics. He has led Fractal to be one of the most respected analytics companies in the world. Fractal is working with over 50 Fortune 500 companies helping them drive better business outcomes by embedding analytics in their decisions and processes. Fractal is well recognized for its client-centricity with a Net Promoter Score of over 70%. Forbes recently ranked Fractal as the 7th best-funded analytics company in the world, the Great Place to Work Institute rated them as the "Best Company to work" for in the analytics industry, Fractal was also called out as a "Cool Vendor in analytics" by Gartner, Forrester rated them as a "Top provider for Text analytics" for their product dCrypt. He has an MBA from the India Institute of Management (IIM) Ahmedabad, a Bachelor in Accounting from Bangalore University, and a Certified Financial Risk Manager from GARP. He serves as a Board Member at Qure.ai.</t>
  </si>
  <si>
    <t>pranay@fractal.ai</t>
  </si>
  <si>
    <t>126261-10P</t>
  </si>
  <si>
    <t>Rajeswari Aradhyula</t>
  </si>
  <si>
    <t>Rajeswari</t>
  </si>
  <si>
    <t>Aradhyula</t>
  </si>
  <si>
    <t>Ms. Rajeswari Aradhyula serves as Chief Design Office, Executive Team Member, Start up Mentor and M&amp;A Integration at Fractal Analytics. She started her career in analytics 16 years ago and has been a delivery and consulting leader. With cross-cultural and diverse experience across the Insurance, CPG, and Hospitality industries, Raj's focus has been on embedding and institutionalizing analytics. She has led multiple engagements to codify and scale analytics across business units. In her current role, she is responsible for leading the human capital team and building a great place to work. Raj has an MS in Applied Mathematics from the University of Toledo, Ohio.</t>
  </si>
  <si>
    <t>126261-46P</t>
  </si>
  <si>
    <t>Rasesh Shah</t>
  </si>
  <si>
    <t>Rasesh</t>
  </si>
  <si>
    <t>Mr. Rasesh Shah serves as Co-Chief Practice Officer of EdTech &amp; Head FAA at Fractal Analytics. Prior to joining Fractal, he was the Offshore Unit Head for a large account, managing over 600 people at Mastek, and a Group Software Manager at Tata Infotech Ltd. (now part of Tata Consultancy Services). He received his MBA from NMIMS and Bachelor of Engineering in Electronics from Mumbai University.</t>
  </si>
  <si>
    <t>rasesh.shah@fractalanalytics.com</t>
  </si>
  <si>
    <t>Co-Chief Practice Officer of EdTech &amp; Head FAA</t>
  </si>
  <si>
    <t>278259-85P</t>
  </si>
  <si>
    <t>Rohini Singh</t>
  </si>
  <si>
    <t>Rohini</t>
  </si>
  <si>
    <t>Ms. Rohini Singh serves as Chief People Officer at Fractal Analytics. She is the Chief People Officer at Fractal with over 16 years of multi-functional experience. She has worked across a range of industries such as Consulting Services, Aviation, Manufacturing &amp; Retail. Key skills include leading cultural transformation, change management, talent acquisition, and talent management. She joined Fractal to set up the Global Talent Acquisition Capability and lead Special Initiatives. She also incubated the Wellbeing function at Fractal and gave shape to the firm's charter on diversity and inclusion. She has previously worked at Jet Airways, Essar Group, and Amrop International. She has a keen interest in using AIML and analytics to drive people decisions that impact employees through their career journey within the organization. She has a bachelor's and Master's in Psychology (Organizational Behavior) from Delhi University.</t>
  </si>
  <si>
    <t>rohini.singh@fractal.ai</t>
  </si>
  <si>
    <t>287220-88P</t>
  </si>
  <si>
    <t>Rohit Joshi</t>
  </si>
  <si>
    <t>Mr. Rohit Joshi serves as Regional Head, ANZ at Fractal Analytics. He is the leader of the ANZ business, responsible for growth, client development and P&amp;L. He comes with over 19 years of experience in the ICT, Cloud, Data Analytics and AIML industries, with a focus on start-ups in Australia and New Zealand. He has worked with some of the most admired ASX 20 brands in BFS, insurance (P&amp;C, health), telco, CPG and aviation. He is keen on delivering insights at scale by bringing in the relevant data to power AIML and democratize consumption. He has previously worked at Infosys, Gartner, Macquarie and HP. He has a bachelor's in Management from Southern Cross University and a Master's degree in Information Technology from the University of Southern Queensland.</t>
  </si>
  <si>
    <t>rohit.joshi@fractal.ai</t>
  </si>
  <si>
    <t>Regional Head, ANZ</t>
  </si>
  <si>
    <t>348530-23P</t>
  </si>
  <si>
    <t>Sandeep Dutta</t>
  </si>
  <si>
    <t>Mr. Sandeep Dutta serves as Co-Chief Practice Officer of APAC and Business Head for Middle East and Asia-pacific region at Fractal Analytics. He serves as Board Member at Senseforth.ai. Additionally, he is helping take Fractal's healthcare AI product (Qure.ai) to market. He also leads a few of our strategic client relationships globally and heads our Gurgaon office. He has close to 24 years of global experience spanning IT, BPO and E-Business with companies like Mphasis, TCS, HP and Wipro. He has played leadership roles in P&amp;L Management, Strategy, Business Development, Operations and New Business start-up. He has worked in the US, Europe and India Geographies and has managed extended sales and delivery teams in these regions. He has an MBA from the Indian Institute of Foreign Trade, an MBE from Delhi University and a BA (Eco) Hons from Sri Ram College of Commerce.</t>
  </si>
  <si>
    <t>sandeep.dutta@fractal.ai</t>
  </si>
  <si>
    <t>Co-Chief Practice Officer of APAC and Business Head for Middle East and Asia-pacific region</t>
  </si>
  <si>
    <t>180339-94P</t>
  </si>
  <si>
    <t>Sankar Narayanan</t>
  </si>
  <si>
    <t>Sankar</t>
  </si>
  <si>
    <t>Mr. Sankar Narayanan serves as Co-Chief Practice Officer - Insurance, Technology, Media &amp; Entertainment at Fractal Analytics. He has 18 years of multi-market experience supporting more than 100 organizations achieve measurable top-line/bottom-line impact through AI, Data Engineering &amp; Design. Keen interest &amp; expertise in customer analytics, marketing &amp; sales effectiveness, cost optimization and functional transformation through advanced analytics. He has an MBA from the Indian Institute of Management, Ahmedabad, Bachelor of Engineering, Control Systems from Madras University and Big Data Opportunities, Challenges &amp; Applications certificate from Massachusetts Institute of Technology.</t>
  </si>
  <si>
    <t>sankar.narayanan@fractalanalytics.com</t>
  </si>
  <si>
    <t>Co-Chief Practice Officer - Insurance, Technology, Media &amp; Entertainment</t>
  </si>
  <si>
    <t>144607-96P</t>
  </si>
  <si>
    <t>Satish Raman</t>
  </si>
  <si>
    <t>Satish</t>
  </si>
  <si>
    <t>Raman</t>
  </si>
  <si>
    <t>Mr. Satish Raman serves as Chief Strategy Officer at Fractal Analytics. He served as Chief Corporate Development Officer at Fractal Analytics. He serves as Board Member at Qure.ai. Previously, Mr. Raman served as Vice President at SPARK Capital. He leads group-wide Corporate Development efforts to spearhead the Inorganic growth platform at Fractal. His responsibilities include M&amp;A; alliances &amp; partnerships; minority investments; corporate venturing &amp; incubation; structured transactions; and investor relations. He also partners with the CFO on matters of long-term financing; strategic &amp; capital planning; and Board management. Mr. Raman has over two decades of experience in helping companies achieve their corporate, growth and strategic objectives.</t>
  </si>
  <si>
    <t>satish.raman@fractalanalytics.com</t>
  </si>
  <si>
    <t>191424-61P</t>
  </si>
  <si>
    <t>Shailendra Singh</t>
  </si>
  <si>
    <t>Shailendra</t>
  </si>
  <si>
    <t>Mr. Shailendra Singh is an Angel Investor. He serves as a Chief Growth Officer at Fractal Analytics. Mr. Shailendra Singh serves as Chief Operating Officer and Board Member at MarketsandMarkets Research. He looks after global sales, client services, commercial optimization and support shared functions at MarketsandMarkets. He has over 25 years of experience in managing global businesses in big data analytics, decision sciences, and BPO industries. He was one of the early employees of Daksh and subsequently enabled its acquisition by IBM. After the merger, he served in several global leadership roles with IBM. He left IBM at a Senior Partner level to join Mu Sigma as the global head of sales &amp; client services and a member of Mu Sigma Japan and Germany Board. Shelly also played the Interim CEO role at Mu Sigma. He is a member of the Institute of Cost Accounts in India, and has participated in Harvard executive programs focused on long-term negotiations.</t>
  </si>
  <si>
    <t>50789-17P</t>
  </si>
  <si>
    <t>Srikanth Velamakanni</t>
  </si>
  <si>
    <t>Srikanth</t>
  </si>
  <si>
    <t>Velamakanni</t>
  </si>
  <si>
    <t>Mr. Srikanth Velamakanni is a Co-Founder and serves as Group Chief Executive Officer, Board Member &amp; Executive Vice Chairman at Fractal Analytics. He is a Co-Founder &amp; serves as Trustee at Plaksha University. He served as a Board Member at Eugenie.ai. He is also a Co-founder and Trustee of Plaksha University, which focuses on core engineering, AIML, and mathematics and promotes interdisciplinary learning by bringing together science and liberal arts. In addition, He is a member of the NASSCOM Executive Council, where he serves as a subject matter expert on data and AI. Before co-founding Fractal, he worked on structured debt and CDOs as an investment banker. He completed his B.Tech in Electrical Engineering from the Indian Institute of Technology (IIT), Delhi, and holds an MBA in Management, Finance, and Marketing degree from the Indian Institute of Management (IIM), Ahmedabad.</t>
  </si>
  <si>
    <t>srikanth@fractal.ai</t>
  </si>
  <si>
    <t>Co-Founder, Board Member, Group Chief Executive Officer &amp; Executive Vice Chairman</t>
  </si>
  <si>
    <t>272910-97P</t>
  </si>
  <si>
    <t>Sudipto Bhattacharya</t>
  </si>
  <si>
    <t>Sudipto</t>
  </si>
  <si>
    <t>Mr. Sudipto Bhattacharya serves as Director, Corporate Development at Fractal Analytics.</t>
  </si>
  <si>
    <t>sudipto.bhattacharya@fractal.ai</t>
  </si>
  <si>
    <t>92414-08P</t>
  </si>
  <si>
    <t>Brian Frank</t>
  </si>
  <si>
    <t>FTW Ventures</t>
  </si>
  <si>
    <t>Mr. Brian Frank is the Founder &amp; serves as General Partner at FTW Ventures. He served as a mentor at 500 Global. He served as Vice President, Product &amp; Marketing at Timeful. He is experienced in both Technology &amp; Food, and understands the complexity of running startups at the intersection of these two, challenging spaces. Prior to founding FTW, Brian led 3 venture-backed businesses to successful exits and directed innovative products in communication, mobile, social &amp; AI/ML for both startups &amp; Fortune 500 Companies over his 20+ year career. He served as a Mentor at Lemnos.</t>
  </si>
  <si>
    <t>+1 (415) 269-1410</t>
  </si>
  <si>
    <t>bf@ftw.vc</t>
  </si>
  <si>
    <t>Suite 342</t>
  </si>
  <si>
    <t>222437-08P</t>
  </si>
  <si>
    <t>Francis Hellyer</t>
  </si>
  <si>
    <t>Hellyer</t>
  </si>
  <si>
    <t>Mr. Francis Hellyer is a Co-Founder and serves as Chief Executive Officer at tickadoo. He serves as Investor at FTW Ventures. He served as Founding Investor and Strategic Partner at Ozone X. He is a Co-Founded &amp; served as Chief Executive Officer at London Theatre Direct. is a technologist and entrepreneur. With a portfolio that spans across multiple industries, he is a keen investor, futurist, filmmaker, writer, mentor, and the co-founder of London Theatre Direct, one of the UK's leading ticketing sites. He revolutionized the ticketing industry with his innovative approach and grew London Theatre Direct into a major player, selling over $1B of of tickets via its creation of cutting-edge technology. London Theatre Direct has been acquired by Trafalgar Entertainment Group. As a seasoned investor, He has backed numerous successful companies and funds, including StartupYard, Blue Horizon Ventures, FTW Ventures, SIMULATE, Hope Tech, OzoneX, Baobab Network, and Outlier Ventures. In his free time, He gives back as a volunteer to organizations including YPO where he is about to take on the role of Chapter Chair. He is the host of the popular technology podcast "Metaverse," where he shares his insights on the future and the next big thing. He also writes for prominent publications including Rolling Stone. He has produced several films, including "The Gospel of Us" starring Michael Sheen, and his latest project, "Tech to the Future," which he both hosts and produced. He previously co-founded London Theatre Direct in 1999, pioneered online ticketing in the UK and introduced groundbreaking features, including live seating plans, API connectivity to West End venues and the first ticket company in the world to accept bitcoin. London Theatre Direct achieved over $1 billion in sales via bespoke systems before selling to Trafalgar Entertainment in 2019.</t>
  </si>
  <si>
    <t>447 Broadway</t>
  </si>
  <si>
    <t>tickadoo</t>
  </si>
  <si>
    <t>334075-60P</t>
  </si>
  <si>
    <t>Jenn Burka</t>
  </si>
  <si>
    <t>Jenn</t>
  </si>
  <si>
    <t>Burka</t>
  </si>
  <si>
    <t>Ms. Jenn Burka serves as Principal &amp; Investor at FTW Ventures. She is focused on opportunities related to Climate Solutions, Sustainable Packaging, and innovation in Health and Wellness. Prior to joining FTW, she was a Senior Associate at Evolv Ventures, Kraft Heinz's $100M corporate venture capital fund, where she focused on Food Tech, Sustainability, and Packaging. She is a 2011 graduate from the Yale School of Management where she led initiatives on impact investing, venture capital, and entrepreneurship in the sustainable food/agriculture industry with time spent at a variety of venture firms including Equal Ventures, AmplifyHER Ventures, and as a founding partner of Fishbowl Ventures, Yale SOM's first student-run impact fund. She has always been food motivated: she ran the culinary entertainment department on board Holland America Line cruise ships before moving to New York City to work for the Marcus Samuelsson Group, a celebrity chef-driven media and restaurant group. She serves as Board Member at FreshFry.</t>
  </si>
  <si>
    <t>jb@ftw.vc</t>
  </si>
  <si>
    <t>Principal &amp; Investor</t>
  </si>
  <si>
    <t>124160-32P</t>
  </si>
  <si>
    <t>Robert Wilder</t>
  </si>
  <si>
    <t>Wilder</t>
  </si>
  <si>
    <t>Mr. Robert Wilder is a Co-Founder and serves as Executive Vice Chairman at José Andrés Group. He is the Founder of FoodTech Angels. He serves as Senior Advisor at Derive Ventures Management Company. He serves as Venture Partner at FTW Ventures. He is an Angel Investor. He was twice named Restaurateur of the Year by the Restaurant Association of Metropolitan Washington, and, with Andrés, received the Richard Melman Award for innovation by Restaurant Hospitality. He also co-founded World Central Kitchen with partner José in 2010 after deciding together that no existing Food NGO was solving problems as they would as Chefs and Entrepreneurs. In 2015, he also founded FoodTech Angels to fund and support innovative early-stage companies that leverage technology to change the world of food. He has also been an advisor and mentor to several early-stage techs and food companies at Halcyon Incubator, TechStars, FTW Ventures &amp; Yale Entrepreneurial Institute. An honors graduate of Yale University, he began his career in the restaurant industry more than 35 years ago when he co-founded Amy's Ice Creams in Austin, Texas, and then the Austin Grills in Washington. In 1993, he hired a young José Andrés to helm his new Spanish restaurant, Jaleo, which began the 29-year collaboration which is now ThinkFoodGroup. He is a member of YPO/WPO and has served as Chapter Chair of the US Capital Chapter. He serves as a Trustee at the Shakespeare Theater Company and Director of the Duane Wilder Foundation. He has also served as Trustee for Beauvoir, the National Cathedral Elementary School &amp; Tougaloo, a Historically Black College in Jackson, Mississippi. In addition, he serves on the Advisory Board of the Yale Sustainable Food Program and the Sustainable Food Center in Austin, Texas. He has also spoken in a variety of forums, including Yale University, SXSW, and his talk on "Reinventing a Mission" at TEDx.</t>
  </si>
  <si>
    <t>+1 (202) 262-8600</t>
  </si>
  <si>
    <t>rob.wilder@joseandres.com</t>
  </si>
  <si>
    <t>717 D Street, North West</t>
  </si>
  <si>
    <t>20004</t>
  </si>
  <si>
    <t>+1 (202) 638-1831</t>
  </si>
  <si>
    <t>Co-Founder &amp; Executive Vice Chairman</t>
  </si>
  <si>
    <t>José Andrés Group</t>
  </si>
  <si>
    <t>210576-88P</t>
  </si>
  <si>
    <t>Tawny Scanlan</t>
  </si>
  <si>
    <t>Tawny</t>
  </si>
  <si>
    <t>Scanlan</t>
  </si>
  <si>
    <t>Ms.. Tawny Scanlan serves as an Associate at FTW Ventures. She conducts research, outreach and diligence for the FTW Ventures Life Sciences initiatives as well as maintains the extensive FTW Ventures Deal Database.</t>
  </si>
  <si>
    <t>ts@ftw.vc</t>
  </si>
  <si>
    <t>185068-81P</t>
  </si>
  <si>
    <t>Christian Jantzen</t>
  </si>
  <si>
    <t>Jantzen</t>
  </si>
  <si>
    <t>Futuristic VC</t>
  </si>
  <si>
    <t>Mr. Christian Jantzen is the Founding Partner at Futuristic VC. He serves as an Advisor at Artboost. He started his first company six years ago and Futuristic is the third in line. At university, he was on track to become an evil investment banker but discovered the wonderful world of startups as an exchange student at Stanford. It's been a little over two years in Startupland and he hasn't looked back since. Instead, he's managed to become an excessive learner who is annoyingly curious and practically unemployable by anyone else. The founders he likes working with, dare to solve the biggest problems in the world. They are 'smart creatives' who have a bold approach to company building. All of that, sprinkled with a healthy dose of craziness.</t>
  </si>
  <si>
    <t>christian@futuristic.vc</t>
  </si>
  <si>
    <t>Griffenfeldsgade 4B</t>
  </si>
  <si>
    <t>246925-09P</t>
  </si>
  <si>
    <t>Elena Garuc</t>
  </si>
  <si>
    <t>Garuc</t>
  </si>
  <si>
    <t>FuzeHub</t>
  </si>
  <si>
    <t>Ms. Elena Garuc serves as Executive Director at FuzeHub.</t>
  </si>
  <si>
    <t>+1 (518) 465-8975</t>
  </si>
  <si>
    <t>elena@fuzehub.com</t>
  </si>
  <si>
    <t>25 Monroe Street</t>
  </si>
  <si>
    <t>12210</t>
  </si>
  <si>
    <t>246923-56P</t>
  </si>
  <si>
    <t>Paul Hook</t>
  </si>
  <si>
    <t>Mr. Paul Hook serves as Marketing Manager at FuzeHub. An ad agency veteran and decorated marketer, Paul Hook has led business development and marketing efforts for four regional agencies, playing an integral role in growing internal teams and ensuring client retention. Throughout his more than 30-year career, Paul has worked with some of the state's top technology, economic development, and higher education organizations. He has been heavily involved in promoting the region for technology and semiconductor development, including working with numerous economic development agencies to help recruit a chip fabrication plant to Tech Valley. As FuzeHub's Marketing Manager, he leads the marketing team and manages the integrity of the organization's brand.</t>
  </si>
  <si>
    <t>+1 (518) 242-7000</t>
  </si>
  <si>
    <t>paul@fuzehub.com</t>
  </si>
  <si>
    <t>243247-51P</t>
  </si>
  <si>
    <t>Ashley Flucas</t>
  </si>
  <si>
    <t>Flucas</t>
  </si>
  <si>
    <t>Gaingels</t>
  </si>
  <si>
    <t>Ms. Ashley Flucas is the Founder &amp; serves as General Partner at Flucas Ventures. Ms. Flucas is an Angel Investor . She also served as a Senior Advisor at Fin Capital. She serves as an Advisor at Cap Table Coalition. She serves as a Venture Partner at Gaingels. She is an Angel Investor. She is an active Gaingels member and angel investor via her syndicate, Flucas Ventures. She has backed more than 200 startups. She also serves as General Counsel and Partner at USI Fund (a real estate finance fund with approximately $3B AUM). She is an alumnus of Duke University and Harvard Law School.</t>
  </si>
  <si>
    <t>ashley@flucasvc.com</t>
  </si>
  <si>
    <t>West Palm</t>
  </si>
  <si>
    <t>West Palm, FL</t>
  </si>
  <si>
    <t>Flucas Ventures</t>
  </si>
  <si>
    <t>246468-79P</t>
  </si>
  <si>
    <t>Brandon Parkes</t>
  </si>
  <si>
    <t>Mr. Brandon Parkes serves as Director of, Board Diversity Program at Gaingels. He serves as Advisor at DVRGNT Ventures. He Co-Founded and served as Chief Executive Officer at SocialGive. He serves as Roles Diversity Program Executive and Board Member at Gaingels Syndicate. He is the Founder of Parkes Philanthropy, a social impact firm dedicated to equipping constituents with the resources they need to deepen their impact while recently serving as a Senior Consultant for Bridge Philanthropic Consulting, LLC, the nation's largest African-American fundraising firm. Previously he was the Nonprofit Engagement Manager at CariClub, worked in development for Right To Play, and in a corporate philanthropic capacity for companies such as Morgan Stanley and Toyota. Through these professional titles, he gained experience supporting an effective philanthropic strategy that increases social impact, external/internal engagement, and diversity amplification.</t>
  </si>
  <si>
    <t>+1 (917) 843-3621</t>
  </si>
  <si>
    <t>brandon@gaingels.com</t>
  </si>
  <si>
    <t>401 Park Avenue Street</t>
  </si>
  <si>
    <t>Vice President, Community &amp; Strategic Initiatives</t>
  </si>
  <si>
    <t>294848-47P</t>
  </si>
  <si>
    <t>Brian Lucksinger</t>
  </si>
  <si>
    <t>Lucksinger</t>
  </si>
  <si>
    <t>Mr. Brian Lucksinger serves as Director, Special Projects, Community Management at Gaingels.</t>
  </si>
  <si>
    <t>brian@gaingels.com</t>
  </si>
  <si>
    <t>Director, Special Projects, Community Management</t>
  </si>
  <si>
    <t>382493-98P</t>
  </si>
  <si>
    <t>Cathal O'Dea</t>
  </si>
  <si>
    <t>O'Dea</t>
  </si>
  <si>
    <t>Mr. Cathal O'Dea serves as Director of Investment Operations at Gaingels.</t>
  </si>
  <si>
    <t>+1 929 389 0437</t>
  </si>
  <si>
    <t>cathal@gaingels.com</t>
  </si>
  <si>
    <t>Director of Investment Operations</t>
  </si>
  <si>
    <t>413691-58P</t>
  </si>
  <si>
    <t>Catherine Lavery</t>
  </si>
  <si>
    <t>Lavery</t>
  </si>
  <si>
    <t>Ms. Catherine Lavery serves as an Investment Operations Associate at Gaingels.</t>
  </si>
  <si>
    <t>catherine@gaingels.com</t>
  </si>
  <si>
    <t>Investment Operations Analyst</t>
  </si>
  <si>
    <t>413692-39P</t>
  </si>
  <si>
    <t>Collin Czernel</t>
  </si>
  <si>
    <t>Czernel</t>
  </si>
  <si>
    <t>Mr. Collin Czernel serves as Investment Operations Associate at Gaingels.</t>
  </si>
  <si>
    <t>collin@gaingels.com</t>
  </si>
  <si>
    <t>Investment Operations Associate</t>
  </si>
  <si>
    <t>294844-87P</t>
  </si>
  <si>
    <t>Connie Thorp</t>
  </si>
  <si>
    <t>Connie</t>
  </si>
  <si>
    <t>Thorp</t>
  </si>
  <si>
    <t>Ms. Connie Thorp serves as Director, Finance &amp; Human Resources at Gaingels. Ms. Thorp served as Vice President, Finance &amp; Administration at TicketIQ. Previously, she was Independent Financial Consultant and Project Manager at Strategic Remedy Group and a Project Manager at Fairway Market. She received her Business Degree in Accounting from San Houston State University</t>
  </si>
  <si>
    <t>connie@gaingels.com</t>
  </si>
  <si>
    <t>Director of Finance &amp; Human Resources</t>
  </si>
  <si>
    <t>179669-89P</t>
  </si>
  <si>
    <t>Mr. Craig Dixon is the Founder and serves as Managing Partner at BlackStar Ventures. Mr. Dixon serves as Venture Partner at Gaingels. He is the Co-Founder and serves as Chairman at Global Black Syndicate. He serves as Board of Director at Vivid Seats. He is the Co-Founder and Co-CEO of The St. James, a leading developer and operator of premium performance, wellness and lifestyle brands, technology experiences and destinations. From 2006 to 2013, he served as Asst. VP, Sr. Counsel and Asst. Corporate Secretary at Smithfield Foods, Inc. He began his legal career at McGuireWoods LLP and Cooley LLP and served as a Law Clerk to the Honorable James R. Spencer of the U.S. District Court for the Eastern District of Virginia. He also serves on the board of trustees of Episcopal High School. He is a graduate of the College of William &amp; Mary and William &amp; Mary School of Law.</t>
  </si>
  <si>
    <t>cdixon@blackstar.capital</t>
  </si>
  <si>
    <t>BlackStar Ventures</t>
  </si>
  <si>
    <t>327112-84P</t>
  </si>
  <si>
    <t>Cristian Raygoza</t>
  </si>
  <si>
    <t>Raygoza</t>
  </si>
  <si>
    <t>Mr. Cristian Raygoza is the Founding Partner at Iluminar Ventures. He serves as a Venture Partner at Gaingels. He studied at the University of Chicago.</t>
  </si>
  <si>
    <t>Iluminar Ventures</t>
  </si>
  <si>
    <t>45706-06P</t>
  </si>
  <si>
    <t>David Weisburd</t>
  </si>
  <si>
    <t>Weisburd</t>
  </si>
  <si>
    <t>Mr. David Weisburd serves as Chief Operating Officer at 10X Capital Venture Acquisition III. He is a Co-Founder and serves as Co-Head, Venture Capital at 10X Capital. He is a Co-Founder and serves as Managing Partner at Weisburd Capital. He is the Founder and serves as Chief Operating Officer, Head of Origination &amp; Director he was a Co-Founder and served as General Partner at Growth Technology Partners. He served as a Partner at Flight Ventures. He serves as an Advisor at Gaingels. He also served as Chief Operating Officer, Head of Origination, and Director at 10X Capital Venture Acquisition Corp. III. He also served as Chief Operating Officer &amp; Head of Origination and Director at 10X Capital Venture Acquisition II. He founded Growth Technology Partners in 2014. He also serves as Co-Head of Venture Capital at 10X Capital. He also serves as Chief Operating Officer &amp; Board Member at 10X Capital Venture Acquisition. Prior to Growth Technology Partners. He served as Advisor at EuroGate Partners. He played a founding role in two successful ventures. He was the founder and CEO of RoomHunt, a competitor to Craigslist which sold to RentLingo in January 2015, and he was the founding investor of isocket, an ad marketplace that received $15 million+ in venture funding before being sold to The Rubicon Project in November 2014. He has been a Venture Capitalist since 2015, investing alongside Google Ventures, Fidelity Biosciences, Baseline Ventures, Maveron Capital, and Peter Thiel. He holds his MBA in Business Administration and Management from Dartmouth College (Tuck) in 2012, and BS in Management from Indiana University in 2008.</t>
  </si>
  <si>
    <t>+1 (212) 257-0069</t>
  </si>
  <si>
    <t>david@10xcapital.com</t>
  </si>
  <si>
    <t>85th Floor</t>
  </si>
  <si>
    <t>Chief Executive Officer &amp; Chief Operating Officer, Operations</t>
  </si>
  <si>
    <t>10X Capital Venture Acquisition III</t>
  </si>
  <si>
    <t>246469-24P</t>
  </si>
  <si>
    <t>Emilie Poteat Ph.D</t>
  </si>
  <si>
    <t>Emilie</t>
  </si>
  <si>
    <t>Poteat</t>
  </si>
  <si>
    <t>Dr. Emilie Poteat is the Founder and serves as Chief Executive Officer at Advocate AI. She serves as a Venture Partner at Gaingels Syndicate. She is an active angel investor and early Gaingels member. She also led a successful turnaround of a healthcare consulting company as its interim CEO on behalf of venture investors. At Gaingels, she leads strategic initiatives to drive our new investment products, our network's growth, and our impact on the LGBT community. She holds a Ph.D. in economic sociology and has led strategy and transformation efforts at Goldman Sachs and Bridgewater Associates.</t>
  </si>
  <si>
    <t>+1 (888) 383-7091</t>
  </si>
  <si>
    <t>emilie@ouradvocates.com</t>
  </si>
  <si>
    <t>169 Madison Avenue</t>
  </si>
  <si>
    <t>Suite 15513</t>
  </si>
  <si>
    <t>Advocate</t>
  </si>
  <si>
    <t>99952-84P</t>
  </si>
  <si>
    <t>Heath Naquin</t>
  </si>
  <si>
    <t>Heath</t>
  </si>
  <si>
    <t>Naquin</t>
  </si>
  <si>
    <t>Mr. Heath Naquin serves as Vice President of Government and Capital Engagement at the Science Center. He serves as Principal at Gaingels. He served as senior global and government liaison officer at VentureWell. He leads the creation and management of the National Innovation Network and the overall deployment of strategic I-Corps-related initiatives. Prior to joining VentureWell, he spent nearly 20 years working in the global startup, innovation, and entrepreneurship field. Most recently, he was Executive Director for the Southwest I-Corps Node at the University of Texas at Austin. He holds a BBA from St. Edwards University, an MS in Technology Commercialization from the University of Texas at Austin as well as a PMP designation. He served as an Executive at Austin Technology Incubator.</t>
  </si>
  <si>
    <t>+1 (413) 587-2172</t>
  </si>
  <si>
    <t>hnaquin@sciencecenter.org</t>
  </si>
  <si>
    <t>3675 Market Street</t>
  </si>
  <si>
    <t>Vice President Government and Capital Engagement</t>
  </si>
  <si>
    <t>Science Center</t>
  </si>
  <si>
    <t>383775-67P</t>
  </si>
  <si>
    <t>Iman El Hassan</t>
  </si>
  <si>
    <t>Iman</t>
  </si>
  <si>
    <t>El Hassan</t>
  </si>
  <si>
    <t>Mr. Iman El Hassan serves as Chief of Staff at Gaingels.</t>
  </si>
  <si>
    <t>iman@gaingels.com</t>
  </si>
  <si>
    <t>161358-94P</t>
  </si>
  <si>
    <t>Jason Ve</t>
  </si>
  <si>
    <t>Ve</t>
  </si>
  <si>
    <t>Mr. Jason Ve serves as Senior Vice President - Global Brand Partnerships &amp; Business Development at 88rising. Mr. Ve also serves as Venture Partner at Gaingels. Previously, he led business development at Google and music streaming unicorn Deezer. Prior to that, he held roles in traditional media at Disney and Viacom and started his career on Wall Street in investment banking at UBS. He advises and invests in startups and is passionate about diversity in VC. In 2019, he co-founded Out in Tech Miami, a city chapter of the largest national LGBTQ+ tech community. He also mentors the next generation of music startups as a Techstars Music mentor. He is on the Board of Directors of Asian Americans Advancing Justice - AAJC. He is a speaker and guest lecturer, and a graduate of the NYU Stern School of Business. He is an Angel Investor.</t>
  </si>
  <si>
    <t>jv@88rising.com</t>
  </si>
  <si>
    <t>PO Box 45903</t>
  </si>
  <si>
    <t>90045</t>
  </si>
  <si>
    <t>Senior Vice President - Global Brand Partnerships &amp; Business Development</t>
  </si>
  <si>
    <t>88rising</t>
  </si>
  <si>
    <t>294816-16P</t>
  </si>
  <si>
    <t>Jennifer Jeronimo</t>
  </si>
  <si>
    <t>Ms. Jennifer Jeronimo serves as Chief Executive Officer and General Partner at Gaingels.</t>
  </si>
  <si>
    <t>jennifer@gaingels.com</t>
  </si>
  <si>
    <t>45435-16P</t>
  </si>
  <si>
    <t>Joseph DiPasquale</t>
  </si>
  <si>
    <t>DiPasquale</t>
  </si>
  <si>
    <t>Mr. Joseph DiPasquale serves as Private Investor at Gaingels. Mr. DiPasquale is the Co-Founder and serves as Chief Executive Officer at BitBull Capital. He is a Co-Founder and serves as Chief Executive Officer at Regroup Mass Notification. Mr. DiPasquale is a Co-Founder &amp; serves as Director at StartOut.Prior to this, he was associated with JobDirect.com, PupCups.com, IBM, Deutsche Bank and McKinsey, Bain). He had done his MBA from Harvard College.</t>
  </si>
  <si>
    <t>+1 (775) 476-8710</t>
  </si>
  <si>
    <t>joe@bitbullcapital.com</t>
  </si>
  <si>
    <t>2261 Market Street, 537</t>
  </si>
  <si>
    <t>BitBull Capital</t>
  </si>
  <si>
    <t>413695-45P</t>
  </si>
  <si>
    <t>Liam Collins</t>
  </si>
  <si>
    <t>Mr. Liam Collins serves as an Investment Operations Associate at Gaingels.</t>
  </si>
  <si>
    <t>liam@gaingels.com</t>
  </si>
  <si>
    <t>40055-23P</t>
  </si>
  <si>
    <t>Lorenzo Thione</t>
  </si>
  <si>
    <t>Thione</t>
  </si>
  <si>
    <t>Mr. Lorenzo Thione serves as General Partner at Gaingels. He serves as the Managing Partner at Sing Out, Louise! Productions and also serves as Board Member at Algebraix Data. He is a technologist, startup entrepreneur, Broadway producer and community leader with a passion for the intersection between Technology and the Arts. A founder of Powerset (acquired by Microsoft, now Bing.com), he is also a co-creator and producer of Allegiance (a new Broadway-bound musical starring George Takei and Lea Salonga) for which he spearheaded social-media viral strategies that led to astounding growth and unprecedented awareness and audience engagement for a Broadway show in its development phase, and to founding of The Social Edge, a dynamic social media content marketing and management firm specializing in developing engaged audiences by harnessing the power of viral content. He also serves as a Managing Director at Gaingels.</t>
  </si>
  <si>
    <t>lorenzo@gaingels.com</t>
  </si>
  <si>
    <t>327112-75P</t>
  </si>
  <si>
    <t>Max Frenkel</t>
  </si>
  <si>
    <t>Frenkel</t>
  </si>
  <si>
    <t>Mr. Max Frenkel serves as General Partner at Gaingels. Mr. Frenkel has always been an avid tech-enthusiast, fascinated by its novel creations and how they can improve the world. After graduating from Dartmouth with a degree in Cognitive Science (Computer Science meets Psychology), Max founded an e-commerce startup focusing on medical supplies and subsequently started angel investing. After learning about Gaingels and falling in love with the mission, he joined to oversee the Nexus business unit which he currently runs as a partner. Max's areas of focus include: - Overseeing relationships with Angellist Partners, Republic, Ourcrowd, Proof, Cornice, and more - Assuring that the deals running with these partners run smoothly and close on time - Sourcing early-stage deals with a slight focus on FinTech, Web3, &amp; DTC. - Working with the portfolio team to ensure we are supporting the portfolio companies and furthering Gaingels mission to the best of ability. - Max resides in Miami and is an avid Scuba diver.</t>
  </si>
  <si>
    <t>max@gaingels.com</t>
  </si>
  <si>
    <t>84238-03P</t>
  </si>
  <si>
    <t>Nancy Fechnay</t>
  </si>
  <si>
    <t>Fechnay</t>
  </si>
  <si>
    <t>Ms. Nancy Fechnay serves as a Venture Partner at Gaingels. She served as a Partner at Towerview Ventures. She also serves as an Advisor at Bastion Capital. She also serves as an Impact Venture Advisor at Necessary Ventures. She served as a Venture Advisor at Empath Ventures. She served as a Partner at Flight Ventures. She served as a Partner at Alumni Ventures. She also served as a Board Member at ID Theory. She served as an Advisor and chairman at Prime Flow. She served as Interim Director at Techstars. She oversees their UK/EU operation focusing on large seed or Series A ($3M+) investments. As a mentor and advisor, her expertise spans innovation, strategy, business development, fundraising, and U.S. expansion. She currently advises Techstars and several U.S. and UK seed-stage startups. She has worked for several U.S.-based investment firms, including Kleiner Perkins Caufield &amp; Byers, GE Ventures, and Core Capital Partners. She is the co-founder of Duke Ventures, a venture capital educational and deal-sourcing engine that advises founders on business strategy and highlights the best Research Triangle Park startups to a network of active investors. She has a Bachelor of Science degree in Systems Engineering (UVa), an MBA focused on entrepreneurship (Duke), and a MEM focused on energy (Duke).</t>
  </si>
  <si>
    <t>+1 (301) 983-8324</t>
  </si>
  <si>
    <t>413671-51P</t>
  </si>
  <si>
    <t>Oliver McNeil</t>
  </si>
  <si>
    <t>McNeil</t>
  </si>
  <si>
    <t>Mr. Oliver McNeil serves as an Investment Operations Associate at Gaingels.</t>
  </si>
  <si>
    <t>oliver@gaingels.com</t>
  </si>
  <si>
    <t>47097-91P</t>
  </si>
  <si>
    <t>Paul Grossinger</t>
  </si>
  <si>
    <t>Grossinger</t>
  </si>
  <si>
    <t>General Partner &amp; Manager</t>
  </si>
  <si>
    <t>Mr. Paul Grossinger is a Co-Founder &amp; serves as Manger and Managing Partner at Gaingels. Mr. Grossinger serves as a Partner at Flight Ventures. He is an Angel Investor. He served as Managing General Partner at Golden Seeds. He also served as an Advisor at A-Level Capital. He served as a Board Member at FitMango and Mathison. He co-founded and served as Vice President of product strategy at MMGuardian. He is a graduate of the Columbia University School of Journalism and has a BA from Johns Hopkins University in Political Science.</t>
  </si>
  <si>
    <t>+1 (773) 837-1889</t>
  </si>
  <si>
    <t>paulgrossinger@gaingels.com</t>
  </si>
  <si>
    <t>Co-Founder, Manager &amp; General Partner</t>
  </si>
  <si>
    <t>213417-37P</t>
  </si>
  <si>
    <t>Peter Steinberg</t>
  </si>
  <si>
    <t>Mr. Peter Steinberg serves as General Partner at Gaingels. He is an Angel Investor. He headed to Zagat, moved on to Vindigo, spent a year at the CIA, and then joined Nascent startup meetup as one of their very first employees. He co-founded Flashlight-worthy books and headed product (and served as interim CTO) at food52. he's been a venture investor since 2007, all the while raising two sons with his wife. with his children past their seed stage, he made his exit to assume a managing member role with Gaingels at the beginning of 2019.</t>
  </si>
  <si>
    <t>peter@gaingels.com</t>
  </si>
  <si>
    <t>413670-70P</t>
  </si>
  <si>
    <t>Philip Veber</t>
  </si>
  <si>
    <t>Veber</t>
  </si>
  <si>
    <t>Mr. Philip Veber serves as an Investment Operations Associate at Gaingels.</t>
  </si>
  <si>
    <t>philip@gaingels.com</t>
  </si>
  <si>
    <t>382495-78P</t>
  </si>
  <si>
    <t>Scott Mulligan</t>
  </si>
  <si>
    <t>Mr. Scott Mulligan serves as Director, Data Operations at Gaingels.</t>
  </si>
  <si>
    <t>+1 (387) 222-9901</t>
  </si>
  <si>
    <t>scott@gaingels.com</t>
  </si>
  <si>
    <t>Director, Data Operations</t>
  </si>
  <si>
    <t>222445-45P</t>
  </si>
  <si>
    <t>Adam Handlos</t>
  </si>
  <si>
    <t>Handlos</t>
  </si>
  <si>
    <t>Galvanize Climate Solutions</t>
  </si>
  <si>
    <t>Mr. Adam Handlos serves as Chief Financial Officer at Galvanize Climate Solutions. He served as Chief Financial Officer at FTPE. He has fifteen years of experience in alternative investment management and is responsible for leading the firm's finance, back office, and compliance functions. Prior to FTPE, he served as Director of Operations at TPG Sixth Street Partners (TSSP), where he was responsible for overseeing treasury as well as the implementation of ongoing operational controls for private deals. He also served in TSSP's Accounting department, overseeing financial and performance reporting, managing relationships with various service providers, and interfacing with institutional investors. Previously, he spent eight years at PricewaterhouseCoopers in the investment management assurance practice auditing private equity, venture capital, hedge, and mutual funds. He also worked on several engagements assisting asset managers with the design and implementation of their control environment. He holds a Bachelor of Science degree in Accounting from Fordham University and is also a Certified Public Accountant (CPA).</t>
  </si>
  <si>
    <t>+1 (415) 757-6600</t>
  </si>
  <si>
    <t>adam.handlos@galvanizeclimate.com</t>
  </si>
  <si>
    <t>111 Sutter Street, 10th Floor</t>
  </si>
  <si>
    <t>287095-33P</t>
  </si>
  <si>
    <t>Alexander Munoz</t>
  </si>
  <si>
    <t>Mr. Alexander Munoz serves as Vice President, Asset Management at Galvanize Climate Solutions. He served as a Principal at GI Partners. He oversees Asset Management at GI Partners with primary coverage of northeast U.S. real estate assets. Prior to joining GI Partners, he was a Vice President of Asset Management at Goldman Sachs covering office, industrial, and retail real estate assets for the firm's balance sheet and third-party accounts. Prior to Goldman Sachs, he was Director of Asset Management for a Paris-based family office. He began his career as an asset manager at PGIM Real Estate covering various property types for the firm's Core Plus investment vehicle. He earned his BSBA in Finance and Operations Management from Georgetown University McDonough School of Business. He also has a certificate in Real Estate Finance and Investment from NYU- Schack Institute of Real Estate</t>
  </si>
  <si>
    <t>amunoz@gcsllc.com</t>
  </si>
  <si>
    <t>Vice President, Asset Management</t>
  </si>
  <si>
    <t>347934-34P</t>
  </si>
  <si>
    <t>Allison Fremed</t>
  </si>
  <si>
    <t>Fremed</t>
  </si>
  <si>
    <t>Chief Operating Officer &amp; Portfolio Manager</t>
  </si>
  <si>
    <t>Ms. Allison Fremed serves as Chief Operating Officer &amp; Portfolio Manager, Real Estate at Galvanize Climate Solutions. Before joining Galvanize as Portfolio Manager and Chief Operating Officer for real estate, she spent 10 years at Goldman Sachs, most recently as a Vice President in the Goldman Sachs Asset Management ("GSAM") Real Estate group. While at Goldman, she oversaw the portfolio management of seven funds focused on US investments in core, core-plus, value-add, and development, with multiple billions under management, and was a member of the Investment Committee. She previously served as a member of GSAM Real Estate's acquisitions team, investing in multifamily, student housing, industrial, office and retail investments throughout the US. She started her career at RBC Capital Markets working in the Real Estate Investment Banking group. She holds a BA from Columbia University and completed a joint major in economics and statistics.</t>
  </si>
  <si>
    <t>allison.fremed@galvanizeclimate.com</t>
  </si>
  <si>
    <t>Chief Operating Officer &amp; Portfolio Manager, Real Estate</t>
  </si>
  <si>
    <t>446442-58P</t>
  </si>
  <si>
    <t>Asad Rahman</t>
  </si>
  <si>
    <t>Asad</t>
  </si>
  <si>
    <t>Mr. Asad Rahman serves as Portfolio Manager at Galvanize Climate Solutions. Mr. Asad Rahman serves as Portfolio Manager at Galvanize Climate Solutions.</t>
  </si>
  <si>
    <t>asad.rahman@galvanizeclimate.com</t>
  </si>
  <si>
    <t>70564-78P</t>
  </si>
  <si>
    <t>Cheryl Martin Ph.D</t>
  </si>
  <si>
    <t>Dr. Cheryl Martin serves as Chief Research and Development Officer at Alegion. She serves as Chairman at Sound Agriculture. She serves as an advisor at Galvanize Climate Solutions. She serves as a Venture Partner at Colle Capital Partners. She knows that good data is essential to successfully applying Artificial Intelligence. Before joining Alegion she spent 13 years as a Research Scientist at The University of Texas at Austin. There, she directed the Center for Content Understanding, as well as a research group focused on decision support for cyber security. Prior to UT, she worked at NASA's Johnson Space Center on intelligent control for life support systems. She advocates pursuing continuous improvement and working to understand how data fits a problem.</t>
  </si>
  <si>
    <t>+1 (512) 910-7500</t>
  </si>
  <si>
    <t>cmartin@alegion.com</t>
  </si>
  <si>
    <t>7415 Southwest Parkway</t>
  </si>
  <si>
    <t>Buildig 6 Suite 500-710</t>
  </si>
  <si>
    <t>78735</t>
  </si>
  <si>
    <t>Chief Research &amp; Development Officer</t>
  </si>
  <si>
    <t>Alegion</t>
  </si>
  <si>
    <t>342090-01P</t>
  </si>
  <si>
    <t>Chris Fadeff</t>
  </si>
  <si>
    <t>Fadeff</t>
  </si>
  <si>
    <t>Mr. Chris Fadeff serves as Chief Compliance Officer &amp; Vice President, operations at Galvanize Climate Solutions. He has worked for Galvanize Co-Chair Tom Steyer or entities he founded since 2013. Most recently, Chris was vice president of Fahr LLC and chief operating officer of Steyer's presidential campaign. Prior to that, Chris served in senior roles at NextGen America, formerly NextGen Climate for five years. Chris is a Truman National Security Project partner and sits on an advisory committee of the Tides Foundation.</t>
  </si>
  <si>
    <t>chris.fadeff@galvanizeclimate.com</t>
  </si>
  <si>
    <t>Chief Compliance Officer &amp; Vice President</t>
  </si>
  <si>
    <t>342091-90P</t>
  </si>
  <si>
    <t>Christian Artmann JD</t>
  </si>
  <si>
    <t>Artmann</t>
  </si>
  <si>
    <t>Mr. Christian Artmann serves as Chief Operating Officer &amp; General Counsel at Galvanize Climate Solutions. is an attorney with deep experience in investment banking, risk management and regulatory change. Before joining Galvanize, He served as the general counsel of Deutsche Bank's investment bank in the Americas region and was responsible for legal and regulatory coverage of the bank's capital markets, sales &amp; trading and structured credit businesses. He was a member of the Bank's reputational risk process and the investment bank's executive committee. Prior to joining Deutsche Bank in 2007, he practiced capital markets law at Allen &amp; Overy LLP in London and New York and was a management consultant at The Boston Consulting Group in Germany. He holds a J.D. degree from Harvard Law School, an M.B.A from INSEAD, and a B.A. summa cum laude from Princeton University.</t>
  </si>
  <si>
    <t>christian.artmann@galvanizeclimate.com</t>
  </si>
  <si>
    <t>33129-46P</t>
  </si>
  <si>
    <t>Cliff Ryan</t>
  </si>
  <si>
    <t>Mr. Cliff Ryan serves as Co-Head of Venture &amp; Growth at Galvanize Climate Solutions. He serves as a board Member at First Street, Plotlogic and Zhero. He has spent his career investing in and working with entrepreneurs in the global energy and technology industries. He was previously a Managing Director with Riverstone Holdings. He started his career in the investment banking division of Credit Suisse focused on M&amp;A and leveraged finance in the global power and renewable sectors. Throughout his career, he has been an extensive early and growth-stage investor in many leading energy and technology companies as manager of Create Holdings. He was formerly an Advisor to LearnVest, a financial software company that was acquired in 2015 by Northwestern Mutual. He has also served as an Executive in Residence for Energy Impact Partners. He is a graduate of Harvard College with an AB in Economics with Honors.</t>
  </si>
  <si>
    <t>cliff@galvanizeclimate.com</t>
  </si>
  <si>
    <t>Co-Head of Venture &amp; Growth</t>
  </si>
  <si>
    <t>313578-37P</t>
  </si>
  <si>
    <t>Jennifer Hood</t>
  </si>
  <si>
    <t>Ms. Jennifer Hood serves as Chief People Officer at Bugcrowd. Ms. Hood serves as Head of EMEA, Investor Partnerships at Galvanize Climate Solutions. She joined Galvanize in 2023 as Head of EMEA in the Investor Partnerships team, with 17 years of client-facing experience in the investment management industry. Prior to joining Galvanize, she spent 9 years at Lansdowne Partners, a global alternative investment management firm, where she managed institutional client relationships globally. Before her time at Lansdowne, she began her career at Habrok Capital Management in 2006, a London-based equity long-short firm. She lives in Wiltshire with her partner and two young children. Ms. Jennifer Hood serves as Executive, Business Development &amp; Investor Relations at Lansdowne Partners. She joined Lansdowne Partners in April 2014. Prior to this, she was the Investor Relations representative at Habrok Capital Management, a global long/short equity hedge fund based in London. She began her career at Habrok in 2006 (then part of Trafelet Delta Funds), where she managed all client relationships globally.</t>
  </si>
  <si>
    <t>+1 (888) 361-9734</t>
  </si>
  <si>
    <t>jennifer.hood@bugcrowd.com</t>
  </si>
  <si>
    <t>300 California Street</t>
  </si>
  <si>
    <t>Bugcrowd</t>
  </si>
  <si>
    <t>446443-39P</t>
  </si>
  <si>
    <t>Jonathan Hanks</t>
  </si>
  <si>
    <t>Hanks</t>
  </si>
  <si>
    <t>jonathan.hanks@galvanizeclimate.com</t>
  </si>
  <si>
    <t>173036-08P</t>
  </si>
  <si>
    <t>Joseph Sumberg</t>
  </si>
  <si>
    <t>Sumberg</t>
  </si>
  <si>
    <t>Mr. Joseph Sumberg serves as Managing Partner &amp; Head of Real Estate at Galvanize Climate Solutions. Mr. Joseph Sumberg served as Managing Director, Real Estate at Goldman Sachs Asset Management.</t>
  </si>
  <si>
    <t>joseph@galvanizeclimatesolutions.com</t>
  </si>
  <si>
    <t>Managing Partner &amp; Head of Real Estate</t>
  </si>
  <si>
    <t>14657-95P</t>
  </si>
  <si>
    <t>Kathryn Hall</t>
  </si>
  <si>
    <t>Ms. Kathryn Hall is the Founder and serves as Managing Director &amp; Co-Chairman at Hall Capital Partners. Ms. Hall serves as a Co-Executive Chairman at Galvanize Climate Solutions. She serves as Co-Chairwoman of the Board at UCSF Foundation Investment Company. She also served as an Advisor at NPX. She also serves as Chairwoman of the Board of Trustees at the Andrew W. Mellon Foundation. She is an Angel Investor. Previously, she was a General Partner of Laurel Arbitrage Partners, a risk arbitrage investment partnership that she founded in 1989. Before that, she was a General Partner of HFS Management Partners (predecessor to Farallon Capital Partners), HFS Partners I, and Hellman &amp; Friedman. She began her career at Morgan Stanley where she worked in both the risk arbitrage and mergers and acquisitions departments. Currently, she is the Chair of the Board of Trustees of Princeton University. She is a member of the Federal Reserve Bank's 12th District Economic Advisory Council. Additionally, she is a member of the Investment Committee of the Smithsonian Institution, and the San Francisco Museum of Modern Art (SFMOMA), and serves on the Board of Directors of NextGen Climate Action, NextGen Climate America, The McEvoy Group, and The San Jose Earthquakes, a professional major league soccer team. Previously, she served as the Chairwoman of the Board at Princeton University Investment Company (PRINCE) from 2008 to 2011 and as a director from 1998 to 2011. She also served on the boards of Juma Ventures, Larkin Street Youth Center, Mills College, San Francisco Ballet Association, San Francisco Day School, St. Ignatius College Preparatory, Stanford Management Company, Thacher School, and Yerba Buena Center for the Arts, as well as the board and investment committee of the UCSF Foundation. Additionally, she was a Director of the American Century Mountain View Funds from 2002 to 2007. She graduated cum laude from Princeton University with an A.B. in Economics and earned an M.B.A. from Stanford Graduate School of Business.</t>
  </si>
  <si>
    <t>Co-Executive Chairman</t>
  </si>
  <si>
    <t>391103-47P</t>
  </si>
  <si>
    <t>Lauren Nolen</t>
  </si>
  <si>
    <t>Nolen</t>
  </si>
  <si>
    <t>Ms. Lauren Nolen serves as Associate, Venture and Growth at Galvanize Climate Solutions.</t>
  </si>
  <si>
    <t>lnolen@galvanizeclimate.com</t>
  </si>
  <si>
    <t>Associate, Venture and Growth</t>
  </si>
  <si>
    <t>391103-74P</t>
  </si>
  <si>
    <t>Mani Ghiasi</t>
  </si>
  <si>
    <t>Ghiasi</t>
  </si>
  <si>
    <t>Mr. Mani Ghiasi serves as Vice President, Venture and Growth at Galvanize Climate Solutions. With a background working with and investing behind growth-stage companies, he is excited to partner with the new generation of businesses working to make a difference in our current climate crisis. Prior to joining Galvanize, he spent three years at TPG, most recently within The Rise Fund, TPG's global impact investing platform, and before that, within TPG Capital's software investment team. Prior to that, he worked at Goldman Sachs on the technology investment banking team in San Francisco. He graduated magna cum laude from Middlebury College where he studied Economics and Environmental Studies.</t>
  </si>
  <si>
    <t>mghiasi@galvanizeclimate.com</t>
  </si>
  <si>
    <t>Vice President, Venture and Growth</t>
  </si>
  <si>
    <t>391105-36P</t>
  </si>
  <si>
    <t>Maria Casciani</t>
  </si>
  <si>
    <t>Casciani</t>
  </si>
  <si>
    <t>Ms. Maria Casciani serves as Chief of Staff at Carbon Direct Capital Management. Ms. Casciani serves as an Associate, Venture, and Growth at Galvanize Climate Solutions. Prior to joining Galvanize, she was at Bain Capital Double Impact, Bain's impact investment group, where she contributed to the sustainability and healthcare verticals. Prior to that, she worked at McKinsey &amp; Company with a focus on sustainability projects. She graduated magna cum laude from Columbia University, where she studied Operations Research.</t>
  </si>
  <si>
    <t>mcasciani@carbondirectcapital.com</t>
  </si>
  <si>
    <t>17 State Street</t>
  </si>
  <si>
    <t>10004</t>
  </si>
  <si>
    <t>Carbon Direct Capital Management</t>
  </si>
  <si>
    <t>446444-02P</t>
  </si>
  <si>
    <t>Max Yoward</t>
  </si>
  <si>
    <t>Yoward</t>
  </si>
  <si>
    <t>Mr. Max Yoward serves as Portfolio Manager at Galvanize Climate Solutions.</t>
  </si>
  <si>
    <t>max.yoward@galvanizeclimate.com</t>
  </si>
  <si>
    <t>288293-50P</t>
  </si>
  <si>
    <t>Nicole Systrom</t>
  </si>
  <si>
    <t>Systrom</t>
  </si>
  <si>
    <t>Ms. Nicole Systrom serves as Chief Impact Officer at Galvanize Climate Solutions. She has spent her entire career partnering with investors, entrepreneurs, and philanthropists to accelerate high-impact climate and clean technology solutions. Prior to Galvanize, Nicole founded Sutro Energy Group to counsel impact investors, philanthropists, and nonprofits on how to direct mission-oriented resources toward innovative clean technologies. With an extensive background in environmental science and a passion for helping entrepreneurs scale breakthrough technologies, Nicole was frequently tapped by nonprofits, foundations, and family offices for her counsel on their climate-positive programs. She is a published thought leader on climate innovation, on topics ranging from identifying gaps in the cleantech ecosystem to building philanthropic tools for investing in climate solutions, to enabling better state energy policy. She serves on multiple climate-related governing boards and advisory groups.</t>
  </si>
  <si>
    <t>nsystrom@gcsllc.com</t>
  </si>
  <si>
    <t>Chief Impact Officer</t>
  </si>
  <si>
    <t>312682-15P</t>
  </si>
  <si>
    <t>Philip Goldsmith</t>
  </si>
  <si>
    <t>Mr. Philip Goldsmith served as an Executive at 2^Q Ventures. He has worked for 25 years in financial markets, the last 19 of which were as a buy-side investor. Partner/Co-Head of Research at DSAM, a £15bn AUM Hedge Fund where he led pre-SPAC investments into IONQ and Rigetti. Prior to DSAM, he worked with the CIO of Caxton, and as an equity analyst at Mason and Atticus Capital. He began his career as a research analyst for Bear Sterns and then ABN AmroHoare Govett.</t>
  </si>
  <si>
    <t>206348-41P</t>
  </si>
  <si>
    <t>Saloni Multani</t>
  </si>
  <si>
    <t>Saloni</t>
  </si>
  <si>
    <t>Multani</t>
  </si>
  <si>
    <t>Ms. Saloni Multani serves as Partner and Co-Head of Venture &amp; Growth at Galvanize Climate Solutions. She serves as a Board Member at Worldly, Artisan Partners, Pulsora, and Arable. She has spent 20 years working with, learning from, and investing in growing companies. In recent years, she has focused her efforts on companies and causes aligned with combating climate change, most recently serving as the Chief Financial Officer of the Joe Biden presidential campaign and working to support the administration's climate efforts. Before her work on the campaign, she was a Venture Partner at Congruent Ventures, an early-stage venture firm focused on the sustainability ecosystem; she also worked with Three Cairns Group, a NY-based family office, to help develop and execute a mission-aligned venture investment strategy oriented around climate. She has previously held investment roles at SPO Partners, a long-only investment manager where she was a Partner (2012-2016); Hellman &amp; Friedman, where she was a Director (2006-2012); and Blackstone, where she began her career as a private equity analyst (2000-2002). Through these positions, she invested across sectors - including software, industrials, distribution, and beyond - enabling a broad perspective she now brings to climate investing to help create a more sustainable economy. She has served on the boards of Vertafore, Goodman Global, Trove Recommerce, and Thrilling. She graduated with an A.B. in Economics from Harvard College, where she was elected to Phi Beta Kappa and an M.B.A. from the Stanford Graduate School of Business.</t>
  </si>
  <si>
    <t>smultani@galvanizeclimate.com</t>
  </si>
  <si>
    <t>Partner and Co-Head of Venture &amp; Growth</t>
  </si>
  <si>
    <t>342209-53P</t>
  </si>
  <si>
    <t>Seth Kirkham</t>
  </si>
  <si>
    <t>Kirkham</t>
  </si>
  <si>
    <t>Mr. Seth Kirkham serves as Chief Investment Officer, Global Equities at Galvanize Climate Solutions. Mr. Kirkham approaches investing with a deep fundamental process and cross-sectoral understanding of our climate-driven economic transition. He has spent 25 years in financial markets, with experience investing across the entire market but with a periodic focus on key relevant sectors to the transition, including energy, utilities, industrials and transportation. Mr. Kirkham was previously the co-Portfolio Manager and co-Head of Research at DSAM Partners, a $2 billion equity long-short fund focused on EU and US equities. Prior to DSAM, Mr. Kirkham served as a Senior Analyst at ECAP, where he was a founding partner, this too was a $2bn aum fund, and before that Caxton. Mr. Kirkham has also served as a VP in equity research at Goldman Sachs in London and as a portfolio manager at Investec Asset Management. Mr. Kirkham started in the industry by completing the graduate program at Schroders Investment Management in London.</t>
  </si>
  <si>
    <t>seth.kirkham@galvanizeclimate.com</t>
  </si>
  <si>
    <t>Chief Investment Officer, Global Equities</t>
  </si>
  <si>
    <t>371139-58P</t>
  </si>
  <si>
    <t>Ted Falkenhayn</t>
  </si>
  <si>
    <t>Falkenhayn</t>
  </si>
  <si>
    <t>Mr. Ted Falkenhayn serves as Associate, Venture &amp; Growth at Galvanize Climate Solutions. Prior to joining Galvanize, he worked in Investment Banking at Lazard, where he focused on clean energy, power generation, utilities and infrastructure companies. He advised clients on mergers and acquisitions, equity capital raises, shareholder activism and other strategic
matters. He graduated summa cum laude from the University of Chicago with a B.A. in Economics, where he was elected to Phi Beta Kappa.</t>
  </si>
  <si>
    <t>ted.falkenhayn@galvanizeclimate.com</t>
  </si>
  <si>
    <t>251 Park Avenue South</t>
  </si>
  <si>
    <t>Floor 10</t>
  </si>
  <si>
    <t>Associate, Venture &amp; Growth</t>
  </si>
  <si>
    <t>121415-14P</t>
  </si>
  <si>
    <t>Tom Steyer</t>
  </si>
  <si>
    <t>Steyer</t>
  </si>
  <si>
    <t>Mr. Tom Steyer is a Co-Founder &amp; serves as Co-Executive Chairman at Galvanize Climate Solutions. He served as Advisor at The Breakthrough Energy Coalition. He ran Farallon Capital Management, a multi-strategy global investment business based in San Francisco, from 1986 until 2012. During that period, it grew assets from $6mm to $36bn. Over the same time, he was also a partner and Investment Committee member at Hellman &amp; Friedman, a multi-billion dollar private equity firm. After retiring from Farallon, he dedicated himself to public service and philanthropy, with a focus on climate action. he is the Co-Founder of Beneficial State Bank, a triple bottom line community development financial institution founded in 2007 with over $1 billion in assets. He is also the Founder of NextGen America, the largest youth voter mobilization organization in American history. Most recently, he was a 2020 Democratic presidential candidate and beginning in April 2020 served as co-chair for Governor Newsom's Business and Jobs Recovery Task Force. He also co-chaired Vice President Biden's Climate Engagement Advisory Council to help mobilize climate voters.</t>
  </si>
  <si>
    <t>tsteyer@galvanizeclimate.com</t>
  </si>
  <si>
    <t>Co-Founder &amp; Co-Executive Chairman</t>
  </si>
  <si>
    <t>284369-77P</t>
  </si>
  <si>
    <t>Tyler Rudolph</t>
  </si>
  <si>
    <t>Rudolph</t>
  </si>
  <si>
    <t>Mr. Tyler Rudolph serves as an Associate, Venture and Growth at Galvanize Climate Solutions. He joined Galvanize from Modern Energy, an energy transition-focused sponsor, where he was a Sr. Associate in Investments. He was previously an Analyst in the Office of the CEO at Vista Equity Partners and started his career as a Business Analyst at McKinsey &amp; Company. He was a member of the inaugural class of Schwarzman Scholars and graduated with a Master's in Global Affairs, Business, and Economics from Tsinghua University in Beijing. He graduated with a Bachelor of Engineering in Operations Research and Financial Engineering from Princeton University.</t>
  </si>
  <si>
    <t>trudolph@galvanizeclimate.com</t>
  </si>
  <si>
    <t>139830-49P</t>
  </si>
  <si>
    <t>Veery Maxwell JD</t>
  </si>
  <si>
    <t>Veery</t>
  </si>
  <si>
    <t>Maxwell</t>
  </si>
  <si>
    <t>Ms. Veery Maxwell serves as Partner and Co-Head of Venture &amp; Growth at Galvanize Climate Solutions. She serves as a Member of the Investment Advisory Committee at PRIME Coalition. She served as Board Member at Trace Genomics. She serves as a Board Member at Voltus, Arable, alcemy, Clean Energy for America, Sunfolding, Regrow, and CREO Syndicate. She has spent her career focused on climate change and is a deep believer in the virtuous cycle of markets, technology, and policy reinforcing each other to drive decarbonization. Previously, she was a founding partner at Ajax Investment Strategies, where she invested in technology companies solving climate change. Before co-founding Ajax, she was a director at Energy Innovation managing a large climate philanthropy portfolio focused on supporting regulatory interventions to drive emissions out of the power, transport, and industrial sectors. She previously worked at the Climateworks Foundation and The Nature Conservancy. She earned a J.D. from the University of California College of the Law, San Francisco, and a B.A. from Georgetown University with a double major in finance and international business.</t>
  </si>
  <si>
    <t>+1 (415) 799-2166</t>
  </si>
  <si>
    <t>vmaxwell@galvanizeclimate.com</t>
  </si>
  <si>
    <t>442862-11P</t>
  </si>
  <si>
    <t>Alexander Schmidt MD</t>
  </si>
  <si>
    <t>Gates Foundation</t>
  </si>
  <si>
    <t>Dr. Alexander Schmidt serves as Chief Medical Officer &amp; Head of Development at Gates Foundation.</t>
  </si>
  <si>
    <t>+1 (206) 709-3400</t>
  </si>
  <si>
    <t>alexander.schmidt@gatesfoundation.org</t>
  </si>
  <si>
    <t>500 5th Avenue North</t>
  </si>
  <si>
    <t>98109-4636</t>
  </si>
  <si>
    <t>Chief Medical Officer &amp; Head of Development</t>
  </si>
  <si>
    <t>339976-00P</t>
  </si>
  <si>
    <t>Alkesh Wadhwani</t>
  </si>
  <si>
    <t>Alkesh</t>
  </si>
  <si>
    <t>Wadhwani</t>
  </si>
  <si>
    <t>Mr. Alkesh Wadhwani serves as Director, of Poverty Alleviation, in India at the Bill &amp; Melinda Gates Foundation. He served as an Advisor at Bharat Inclusion Seed Fund. He leads the poverty alleviation portfolio for the foundation's India Country Office, which comprises programmatic work in Agriculture Development, Water, Sanitation &amp; Hygiene, Financial Services for the Poor (FSP), and Gender Equality. Previously, he led the health, nutrition, and family planning portfolio for the foundation in India. He leads the poverty alleviation portfolio for the foundation's India Country Office, which comprises programmatic work in Agriculture Development, Water, Sanitation &amp; Hygiene, Financial Services for the Poor (FSP), and Gender Equality. Previously, he led the health, nutrition, and family planning portfolio for the foundation in India. He leads the poverty alleviation portfolio for the foundation's India Country Office, which comprises programmatic work in Agriculture Development, Water, Sanitation &amp; Hygiene, Financial Services for the Poor (FSP), and Gender Equality. Previously, he led the health, nutrition, and family planning portfolio for the foundation in India. He leads the poverty alleviation portfolio for the foundation's India Country Office, which comprises programmatic work in Agriculture Development, Water, Sanitation &amp; Hygiene, Financial Services for the Poor (FSP), and Gender Equality. Previously, he led the health, nutrition, and family planning portfolio for the foundation in India. He holds an MBA in Finance and Systems from the Indian Institute of Management, Calcutta, and a B.Tech from the Indian Institute of Technology, Bombay in 1987.</t>
  </si>
  <si>
    <t>+91 (0)11 4713 8800</t>
  </si>
  <si>
    <t>alkesh.wadhwani@gatesfoundation.org</t>
  </si>
  <si>
    <t>Delhi</t>
  </si>
  <si>
    <t>Delhi, India</t>
  </si>
  <si>
    <t>Capital Court 5th Floor</t>
  </si>
  <si>
    <t>Olof Palme Marg, Munirka</t>
  </si>
  <si>
    <t>Director, Poverty Alleviation, India</t>
  </si>
  <si>
    <t>14489-47P</t>
  </si>
  <si>
    <t>Allan Golston</t>
  </si>
  <si>
    <t>Golston</t>
  </si>
  <si>
    <t>Mr. Allan Golston serves as President, US Program at Gates Foundation. Mr. Golston serves as a Board Member, Compensation and Human Capital Committee Chairman, Governance and Nominating Committee Member at Stryker. He oversees the U.S. Program's major areas of investment-Education, Pacific Northwest, Special Initiatives, and Advocacy. Golston's professional background is in finance, health care, and education. He holds an MBA from Seattle University and a bachelor's degree in accounting from the University of Colorado. Mr. Golston is the President, United States Program for the Bill &amp; Melinda Gates Foundation since 2006, and Chief Financial and Administrative Officer of the Bill &amp; Melinda Gates Foundation from 2000 to 2006. Mr. Golston is also a director of Harley-Davidson, Inc., a manufacturer of motorcycles and accessories. Mr. Golston has extensive experience in auditing, finance and the healthcare industry. He is a certified public accountant and has held positions as a finance executive with Swedish Health Services (Seattle, WA) and the University of Colorado Hospital. In his service to the Gates Foundation, he has contributed to the strategic formation and operation of successful initiatives to provide healthcare, education and other human needs, all of which give him understanding that assists us in our global efforts to meet the needs of patients and caregivers.</t>
  </si>
  <si>
    <t>allan.golston@gatesfoundation.org</t>
  </si>
  <si>
    <t>President, US Program</t>
  </si>
  <si>
    <t>146022-31P</t>
  </si>
  <si>
    <t>Allison Hein</t>
  </si>
  <si>
    <t>Hein</t>
  </si>
  <si>
    <t>Ms. Allison Hein serves as Deputy Director, Office of the President, Gender Equality Division at Gates Foundation.</t>
  </si>
  <si>
    <t>+234 (0)09 462 8410</t>
  </si>
  <si>
    <t>allison.hein@gatesfoundation.org</t>
  </si>
  <si>
    <t>Abuja</t>
  </si>
  <si>
    <t>Abuja, Nigeria</t>
  </si>
  <si>
    <t>43 Agadez Crescent off Aminu Kano Crescent</t>
  </si>
  <si>
    <t>Wuse II District, Federal Capitol Territory</t>
  </si>
  <si>
    <t>Deputy Director, Office of the President, Gender Equality Division</t>
  </si>
  <si>
    <t>195240-97P</t>
  </si>
  <si>
    <t>Anja Langenbucher</t>
  </si>
  <si>
    <t>Anja</t>
  </si>
  <si>
    <t>Langenbucher</t>
  </si>
  <si>
    <t>Ms. Anja Langenbucher serves as Director, Europe Office at Bill &amp; Melinda Gates Foundation. She serves as Board Member at Sofina. He manages the foundation's policy, advocacy, and government relations activities in Europe and leads a team that builds strategic relationships with various stakeholders across Europe including governments, civil society institutions, and media. Prior to joining the foundation in 2011, she worked for the European Bank for Reconstruction and Development (EBRD) in a range of roles, including managing the EBRD's technical assistance program and as a transaction leader in the agribusiness team leading both debt and equity transactions. She also worked at the IFC/World Bank in Washington and for the European Commission in Brussels. She started her career at the Boston Consulting Group in Munich. She is a German National and holds a doctorate and master's degree in economics.</t>
  </si>
  <si>
    <t>anja.langenbucher@gatesfoundation.org</t>
  </si>
  <si>
    <t>Director, Europe Office</t>
  </si>
  <si>
    <t>37948-15P</t>
  </si>
  <si>
    <t>Carolyn Ainslie</t>
  </si>
  <si>
    <t>Ainslie</t>
  </si>
  <si>
    <t>Ms. Carolyn Ainslie serves as Chief Financial Officer at Bill &amp; Melinda Gates Foundation. She oversees finance and accounting, financial planning and analysis, risk and assurance, partner organizational effectiveness, the Strategic Investment Fund, and several special initiatives. This is both a strategic and operational leadership role responsible for maximizing impact across the foundation's portfolio of programmatic investments in global health, global development, and education. Prior to the foundation in 2018, she worked for 10 years as Princeton University's vice president for Finance and treasurer where she was responsible for the central financial functions of the University and as a member of the president's senior staff, served as a key partner on strategic university initiatives. She also spent 10 years as the vice president for Planning and Budget at Cornell University. She holds a master's in business administration in finance from the University of Rochester and a bachelor's degree from Bucknell University.</t>
  </si>
  <si>
    <t>+1 (609) 258-1447</t>
  </si>
  <si>
    <t>carolyn.ainslie@gatesfoundation.org</t>
  </si>
  <si>
    <t>183339-91P</t>
  </si>
  <si>
    <t>Christopher Chen</t>
  </si>
  <si>
    <t>Mr. Christopher Chen also serves as an Observer at Freya Biosciences.Mr. Christopher Chen serves as Partner at Bill &amp; Melinda Gates Foundation. He serves as Board Observer at Vedanta Biosciences. He served as Vice President at Bain Capital. He joined Bain Capital Private Equity in 2011. He is a Vice President in the Industrial &amp; Energy Vertical and is a member of the North American Private Equity team. He began his career as an analyst at Bain Capital and has worked in both our Boston and New York offices. He was previously a member of the Healthcare vertical. He received an MBA from the Stanford Graduate School of Business. He received a BA in Ethics, Politics, and Economics from Yale University.</t>
  </si>
  <si>
    <t>chris.chen@gatesfoundation.org</t>
  </si>
  <si>
    <t>51853-24P</t>
  </si>
  <si>
    <t>Christopher Elias MD</t>
  </si>
  <si>
    <t>Dr. Christopher Elias serves as President, Global Development at Bill &amp; Melinda Gates Foundation. He holds an MD from Creighton University, having completed postgraduate training in internal medicine at the University of California San Francisco, and an MPH from the University of Washington. He was a fellow in the Robert Wood Johnson Clinical Scholars Program and was awarded an honorary Doctor of Science degree from Creighton University.</t>
  </si>
  <si>
    <t>chris.elias@gatesfoundation.org</t>
  </si>
  <si>
    <t>President, Global Development</t>
  </si>
  <si>
    <t>269402-05P</t>
  </si>
  <si>
    <t>Dan Wattendorf</t>
  </si>
  <si>
    <t>Wattendorf</t>
  </si>
  <si>
    <t>Mr. Dan Wattendorf serves as Director Accelerator at Gates Foundation.</t>
  </si>
  <si>
    <t>dan.wattendorf@gatesfoundation.org</t>
  </si>
  <si>
    <t>Director Accelerator</t>
  </si>
  <si>
    <t>146020-60P</t>
  </si>
  <si>
    <t>Danielle Thirumalai</t>
  </si>
  <si>
    <t>Thirumalai</t>
  </si>
  <si>
    <t>Ms. Danielle Thirumalai serves as Deputy Director at Gates Foundation. Previously she served as Program Manager at Bill &amp; Melinda Gates Foundation.</t>
  </si>
  <si>
    <t>+1 (206) 709-3100</t>
  </si>
  <si>
    <t>danielle.thirumalai@gatesfoundation.org</t>
  </si>
  <si>
    <t>Deputy Director</t>
  </si>
  <si>
    <t>220001-77P</t>
  </si>
  <si>
    <t>David Rossow</t>
  </si>
  <si>
    <t>Rossow</t>
  </si>
  <si>
    <t>Mr. David Rossow serves as Founding Partner, Gates Foundation Strategic Investment Fund at Bill &amp; Melinda Gates Foundation. He served as Board Member at Affinivax. He serves as Board Observer &amp; Advisor at Stellapps. He has led the foundation's investments in multiple companies including Stellapps. He has worked in private equity and investment banking across a range of geographies.</t>
  </si>
  <si>
    <t>david.rossow@gatesfoundation.org</t>
  </si>
  <si>
    <t>Founding Partner, Gates Foundation Strategic Investment Fund</t>
  </si>
  <si>
    <t>81628-12P</t>
  </si>
  <si>
    <t>Harish Iyer Ph.D</t>
  </si>
  <si>
    <t>Dr. Harish Iyer serves as Deputy Director, Digital and Health Innovation at Bill &amp; Melinda Gates Foundation. Previously, Dr. Harish Venkatachalam Iyer served as Chief Executive Officer and Managing Director at Shantha Biotechnics.</t>
  </si>
  <si>
    <t>harish.iyer@gatesfoundation.org</t>
  </si>
  <si>
    <t>Deputy Director, Digital and Health Innovation</t>
  </si>
  <si>
    <t>51905-35P</t>
  </si>
  <si>
    <t>Jennifer Deger</t>
  </si>
  <si>
    <t>Deger</t>
  </si>
  <si>
    <t>Ms. Jennifer Deger serves as Director, Global Finance &amp; Accounting Services at Gates Foundation. She leads the Global Financial &amp; Accounting Services team, which is responsible for accounting and tax services for the foundation, the trust, and its regional offices. Prior to joining the foundation in 2006, she worked in various roles including public accounting where she specialized in tax-exempt organizations, and in local government managing the operations of the treasury and tax functions. She received her MBA from Seattle University and her bachelor's degree in accounting from Gonzaga University. She is also a CPA and volunteers with two local charities.</t>
  </si>
  <si>
    <t>jennifer.deger@gatesfoundation.org</t>
  </si>
  <si>
    <t>Director, Global Finance &amp; Accounting Services</t>
  </si>
  <si>
    <t>75449-53P</t>
  </si>
  <si>
    <t>Jill Stratton</t>
  </si>
  <si>
    <t>Stratton</t>
  </si>
  <si>
    <t>Ms. Jill Stratton serves as Portfolio Manager at Bill &amp; Melinda Gates Foundation. Jill manages the coordination of all strategic investments and contracts including data management and analysis. She acts as a primary point of contact for internal and external stakeholders ensuring deliverables and deadlines of portfolio investments are met. Prior to joining the foundation, Jill was an Administrative Assistant at Educational Services of America. Jill earned her B.A. and M.B.A. from the University of North Alabama.</t>
  </si>
  <si>
    <t>+1 (206) 770-1532</t>
  </si>
  <si>
    <t>jill.stratton@gatesfoundation.org</t>
  </si>
  <si>
    <t>+1 (206) 494-7043</t>
  </si>
  <si>
    <t>66942-28P</t>
  </si>
  <si>
    <t>Joe Cerrell</t>
  </si>
  <si>
    <t>Cerrell</t>
  </si>
  <si>
    <t>Mr. Joe Cerrell serves as Managing Director, Europe, the Middle East, and East Asia at Bill &amp; Melinda Gates Foundation. In this role, Joe oversees the foundation's relationships with donor governments in North America, Europe, Asia-Pacific, and the Middle East. His team seeks to expand the foundation's partnerships with these governments, but also corporations, foundations and other non-governmental organizations, to support increased global engagement and progress on global health and agriculture. Since joining the foundation in 2001, Joe has held a number of positions, including director for Europe and Middle East and director of Global Health Policy and Advocacy. Prior to his time at the foundation, he served in a variety of senior roles in government and strategy consulting practices, including positions in the Clinton White House under former Vice President Al Gore and at APCO Worldwide. Joe currently serves on the board of directors for the ONE Campaign and Comic Relief. He received a bachelor's degree in political science from the University of Southern California.</t>
  </si>
  <si>
    <t>+44 (0)20 7798 6500</t>
  </si>
  <si>
    <t>joe.cerrell@gatesfoundation.org</t>
  </si>
  <si>
    <t>62 Buckingham Gate</t>
  </si>
  <si>
    <t>SW1E 6AJ</t>
  </si>
  <si>
    <t>Managing Director, Europe, the Middle East, and East Asia</t>
  </si>
  <si>
    <t>115731-82P</t>
  </si>
  <si>
    <t>Keith Klugman Ph.D</t>
  </si>
  <si>
    <t>Klugman</t>
  </si>
  <si>
    <t>Dr. Keith Klugman serves as Director, Pneumonia at Bill &amp; Melinda Gates Foundation. He is a leading expert on antibiotic resistance in pneumonia pathogens and helped develop the pneumococcal vaccine that is now part of the immunization regimen for children born in the United States and is being rolled out globally. He was the William H. Foege Professor of Global Health and Professor of Epidemiology in the Rollins School of Public Health at Emory University as well as Professor of Medicine in the Division of Infectious Diseases at the Emory School of Medicine. In addition, he still serves as Honorary Professor in the Respiratory and Meningeal Pathogens Research Unit at the University of the Witwatersrand in South Africa. He has chaired or served on numerous expert committees for the World Health Organization (WHO) and the Centers for Disease Control and Prevention (CDC), among other American and international organizations, and has published more than 450 scientific papers on the subjects of pneumonia, meningitis, antimicrobial resistance, and vaccines for bacterial pathogens, which have been cited more than 20,000 times to date. He is currently the President of the International Society for Infectious Diseases. He trained in South Africa and did his post-doctoral research at Rockefeller University in New York</t>
  </si>
  <si>
    <t>+1 (202) 662-8130</t>
  </si>
  <si>
    <t>keith.klugman@gatesfoundation.org</t>
  </si>
  <si>
    <t>1300 I (Eye) Street North West</t>
  </si>
  <si>
    <t>Suite 200 East</t>
  </si>
  <si>
    <t>Director, Pneumonia</t>
  </si>
  <si>
    <t>356196-52P</t>
  </si>
  <si>
    <t>Lauren Bright JD</t>
  </si>
  <si>
    <t>Bright</t>
  </si>
  <si>
    <t>Ms. Lauren Bright serves as Chief Legal Officer &amp; Corporate Secretary at Gates Foundation. Responsible for all legal matters and activities pertaining to the foundation and its affiliate organizations. In this capacity, she advises the foundation's trustees, CEO, senior leadership, and staff on legal issues, is a member of the Executive Leadership Team, and serves as corporate secretary to the foundation's board of trustees. Her responsibilities include managing global legal affairs, governance, conflict of interest issues, and legal risk management. Before her appointment as CLO, she served as the foundation's co-general counsel and director of the foundation's Washington, D.C., office. Before joining the foundation in 2005, she worked at the law firm Pillsbury Winthrop Shaw Pittman, where she served nonprofit clients on a variety of legal issues, including governance, tax exemption, transactions, mergers, and legislative and regulatory issues. Over the course of her career, she has represented institutions and companies before the U.S. Congress and administrative agencies regarding federal education policies and programs. She is the author of several articles on association practice and management and is a frequent speaker on legal topics affecting nonprofit organizations. She has also been a guest lecturer on legal issues affecting tax-exempt organizations at the University of Washington Law School Graduate Tax Program. She received a J.D. from Villanova University's Charles Widger School of Law and a bachelor's degree from Gettysburg College, where she currently serves as executive vice chair of the board of trustees.</t>
  </si>
  <si>
    <t>lauren.bright@gatesfoundation.org</t>
  </si>
  <si>
    <t>Chief Legal Officer &amp; Corporate Secretary</t>
  </si>
  <si>
    <t>44504-74P</t>
  </si>
  <si>
    <t>Lyou-fu Ma Ph.D</t>
  </si>
  <si>
    <t>Lyou-fu</t>
  </si>
  <si>
    <t>Dr. Lyou-fu Ma serves as Portfolio and Platform Lead at Bill &amp; Melinda Gates Foundation. She was a Senior Vice President of Development at NanoBio. She has 17 years of experience in the pharmaceutical industry. Prior to joining NanoBio in July 2007, Dr. Ma was a Senior Director at Pfizer Global Research and Development where she held the position of Development Team Leader in the Pain Therapy Area. In this leadership role, she was responsible for setting the strategic and operational direction for numerous compounds in development and was the single point of accountability for each of her development teams. In her tenure with Pfizer she has also led early and late stage drug development teams in the Neurosciences, Inflammation and Cardiovascular therapeutic areas. Upon completion of graduate school, she joined the Pharmaceutics group at the Parke-Davis/Warner-Lambert facility in Morristown, NJ. She joined Janssen Research Technology Center (J &amp; J) in Ann Arbor, Michigan in 1993, where she held the position of Senior Scientist and was responsible for formulation development, scale-up, manufacturing and early analytical testing of rapid-melt dosage forms.</t>
  </si>
  <si>
    <t>lyou-fu.ma@gatesfoundation.org</t>
  </si>
  <si>
    <t>Portfolio and Platform Lead</t>
  </si>
  <si>
    <t>51854-23P</t>
  </si>
  <si>
    <t>Mark Suzman Ph.D</t>
  </si>
  <si>
    <t>Suzman</t>
  </si>
  <si>
    <t>Dr. Mark Suzman serves as Chief Executive Officer &amp; Board Member at the Gates Foundation. Dr. Suzman served as President &amp; Chief Strategy Officer of Global Policy &amp; Advocacy at the Bill &amp; Melinda Gates Foundation. He joined the foundation in 2007, where he initially served as Director of Global Development Policy, Advocacy, &amp; Special Initiatives. From 2005 to 2007, Dr. Suzman was the senior advisor for policy and strategic communications in the Office of the Secretary-General at the United Nations (U.N.) where he worked primarily on reform and modernization of the United Nations system. From 2000 to 2005, Dr. Suzman served at the United Nations Development Program as a policy director in the Office of the Administrator, helping develop and implement an ambitious overhaul of the organization and develop a new focus on areas like democratic governance and the Millennium Development Goals. Prior to working for the U.N., he was a correspondent for the Financial Times in Johannesburg, South Africa; London; and Washington D.C, working on issues ranging from the White House and international trade policy to welfare reform and the election of Nelson Mandela as President in South Africa. Dr. Suzman holds a doctorate in international relations from Oxford University, where he was a Rhodes Scholar. He earned his bachelor's degree, summa cum laude, from Harvard University.</t>
  </si>
  <si>
    <t>mark.suzman@gatesfoundation.org</t>
  </si>
  <si>
    <t>210256-12P</t>
  </si>
  <si>
    <t>Natalie Revelle</t>
  </si>
  <si>
    <t>Revelle</t>
  </si>
  <si>
    <t>Director &amp; Senior Advisor</t>
  </si>
  <si>
    <t>Ms. Natalie Revelle serves as Director, Volume Guarantees and Senior Financial Advisor at Bill &amp; Melinda Gates Foundation. He serves as Board of Directors at Mission Investors Exchange. Natalie Revelle leads the Volume Guarantee initiative and structured financing investments within the Strategic Investment Fund (SIF) team. Working with pharmaceutical companies, sovereign and private foundation partners, donors, and implementing partners, Natalie has structured a portfolio of investments across global health commodities including vaccines, family planning, and HIV products that is expected to generate over $1 billion of procurement savings to the global health industry. Natalie also serves a senior financial advisor to the CFO for complex transactions for achieving impact and as a subject matter expert and mentor to others in the foundation and external to the foundation on how programs can bring about impact through financial tools. Prior to the joining the foundation, Natalie held a number of strategy and financial advisory roles. Most recently, Natalie worked at McKinsey &amp; Company where she served high tech clients on strategy development, procurement, and pricing topics. Natalie is a graduate of Harvard Business School and Princeton University with a Bachelor of Arts in Economics.</t>
  </si>
  <si>
    <t>natalie.revelle@gatesfoundation.org</t>
  </si>
  <si>
    <t>Director, Volume Guarantees and Senior Financial Advisor</t>
  </si>
  <si>
    <t>187802-74P</t>
  </si>
  <si>
    <t>Philip Welkhoff Ph.D</t>
  </si>
  <si>
    <t>Welkhoff</t>
  </si>
  <si>
    <t>Dr. Philip Welkhoff serves as Director, Malaria Program at Bill &amp; Melinda Gates Foundation. Previously, he served as director of research at the Institute for Disease Modeling (IDM). He received a Special Achievement Award by a Hertz Fellow in 2009 for his work on malaria modeling. He earned dual undergraduate degrees in mathematics and aerospace engineering at The University of Texas, Austin and holds a Ph.D. in applied and computational mathematics from Princeton University. At Princeton, his work focused on biophysically-inspired models of neural circuits for perceptual decision making. He has served on the Board of the Fannie and John Hertz Foundation and now serves as a senior interviewer.</t>
  </si>
  <si>
    <t>philip.welkhoff@gatesfoundation.org</t>
  </si>
  <si>
    <t>Director, Malaria Program</t>
  </si>
  <si>
    <t>284388-85P</t>
  </si>
  <si>
    <t>Rob Nabors</t>
  </si>
  <si>
    <t>Nabors</t>
  </si>
  <si>
    <t>Mr. Rob Nabors serves as Director, North America at Bill &amp; Melinda Gates Foundation. He leads the team that manages our work with government relations, policy, advocacy, and communications in North America. His team, based in Washington, D.C. and Seattle, WA, develops and implements strategies that help mobilize the resources, political commitment, and public commitment necessary to achieving the foundation's programmatic goals. He joined the foundation from the U.S. Department of Veterans Affairs where he was chief of staff. Prior to that role, he served in the Obama Administration as the White House's director of Legislative Affairs and deputy chief of staff for Policy. Rob spent several years in various positions in the White House's Office of Management and Budget, most recently as deputy director. He also served on the U.S. House Appropriations Committee, including as majority staff director. He holds a B.A. from the University of Notre Dame and an M.A. from the University of North Carolina-Chapel Hill.</t>
  </si>
  <si>
    <t>rob.nabors@gatesfoundation.org</t>
  </si>
  <si>
    <t>Director, North America</t>
  </si>
  <si>
    <t>153253-63P</t>
  </si>
  <si>
    <t>Rodger Voorhies</t>
  </si>
  <si>
    <t>Rodger</t>
  </si>
  <si>
    <t>Voorhies</t>
  </si>
  <si>
    <t>Mr. Rodger Voorhies serves as President, Global Growth &amp; Opportunity at Bill &amp; Melinda Gates Foundation. He serves as Chairman of the Audit &amp; Risk Committee at Alliance for a Green Revolution in Africa. In this role, he leads the foundation's efforts to alleviate hunger and poverty for millions of farming families in Sub-Saharan Africa and South Asia by increasing agricultural productivity in a sustainable way; make high quality digital financial services widely accessible to people living in the poorest parts of the world; and bring groundbreaking innovations in sanitation technology and new ways to deliver sanitation products and services to people in the developing world. He lived for nearly 20 years in emerging markets. He worked extensively in Africa and Eastern Europe to establish and grow successful and sustainable microfinance organizations with client-driven organizational cultures that delivered innovative financial services to poor households and communities. He served most recently as the CEO of Opportunity Bank of Serbia where he managed the bank through a successful turnaround, using data to reach smallholder farmers. He also founded the Opportunity Bank of Malawi, the first commercial microfinance bank in Malawi and grew it to become one of the largest providers of financial services in the country using alternative delivery channels (e.g., biometric smart cards, mobile banking). Today, nearly one out of every five Malawi families has a relationship with the bank. He was a postgraduate student in Organizational Behavior and Sociology at Northwestern University, holds a Master's degree in Management from Kellogg School of Management, and a Bachelor of Science degree in Business Administration from Biola University. He contributes to numerous publications in the microfinance industry and is a former Member of the Board Nyika-Vwaza Conservational Trust, dedicated to conserving the wildlife and habitats of Northern Malawi.</t>
  </si>
  <si>
    <t>rodger.voorhies@gatesfoundation.org</t>
  </si>
  <si>
    <t>President, Global Growth &amp; Opportunity</t>
  </si>
  <si>
    <t>187771-06P</t>
  </si>
  <si>
    <t>Ryan Kreitzer</t>
  </si>
  <si>
    <t>Kreitzer</t>
  </si>
  <si>
    <t>Mr. Ryan Kreitzer serves as Principal, Strategic Investment Fund at Bill &amp; Melinda Gates Foundation. He serves as a Board Observer at Infinant Health.</t>
  </si>
  <si>
    <t>ryan.kreitzer@gatesfoundation.org</t>
  </si>
  <si>
    <t>Principal, Strategic Investment Fund</t>
  </si>
  <si>
    <t>253946-35P</t>
  </si>
  <si>
    <t>Shana Tarbell</t>
  </si>
  <si>
    <t>Shana</t>
  </si>
  <si>
    <t>Tarbell</t>
  </si>
  <si>
    <t>Ms. Shana Tarbell serves as Chief Operating Officer at Bill &amp; Melinda Gates Foundation. Prior to joining the foundation in May 2015 as a deputy director in Security, Shana had an 18-year career at the Central Intelligence Agency where she was a member of the Senior Intelligence Service working on a broad range of global issues. In recognition of her sustained excellence in public service at the senior executive level, Shana was awarded the federal government's Meritorious Presidential Rank Award in 2015, an honor given to no more than five percent of federal career senior executives. While at CIA she also received the Distinguished Career Intelligence Medal.Shana received her Master of Arts from George Washington University in Security Policy and a Bachelor of Arts from George Mason University in Russian Studies and International Affairs.</t>
  </si>
  <si>
    <t>shana.tarbell@gatesfoundation.org</t>
  </si>
  <si>
    <t>115928-20P</t>
  </si>
  <si>
    <t>Tracia Luh</t>
  </si>
  <si>
    <t>Luh</t>
  </si>
  <si>
    <t>Ms. Tracia Luh serves as Program Chief Financial Officer at Gates Foundation. She also serves as the Board Member at SAGE Publishing. She leads the team that provides financial and strategic planning and analytical support across the foundation's work in education. She joined the foundation in 2016. Before the foundation, she was CFO of Andela, a talent accelerator that trains software developers in Africa and places them with leading global companies. She also was CFO and SVP of Corporate Development at Newsweek, a division of Graham Holdings/Washington Post, where she was hired to lead a financial review of strategic alternatives which culminated in a sale of the division. Between 2000 and 2009, she held senior financial positions at ESPN/Disney, assessing performance, and evaluating strategic transactions. She began her career in the Global Fixed Income departments of Merrill Lynch and Chase/JP Morgan, analyzing companies and publishing investment recommendations. She serves on the Board of Lincoln Center Education, which provides arts education programs to underserved schools and communities, and as a member of the Board and Treasurer of Next Generation Nepal, a non-profit that rescues and reunites trafficked Nepalese children with their families. She holds a bachelor's degree from the Wharton School at the University of Pennsylvania and an MBA from the Kellogg School of Management at Northwestern University.</t>
  </si>
  <si>
    <t>tracia.luh@gatesfoundation.org</t>
  </si>
  <si>
    <t>Program Chief Financial Officer</t>
  </si>
  <si>
    <t>51853-87P</t>
  </si>
  <si>
    <t>Trevor Mundel Ph.D</t>
  </si>
  <si>
    <t>Mundel</t>
  </si>
  <si>
    <t>Dr. Trevor Mundel serves as President, Global Health at Bill &amp; Melinda Gates Foundation. He leads the foundation's efforts in research and development of vaccines, drugs, and diagnostics to address major global health challenges in the developing world. Trevor oversees the foundation's strategies in HIV, tuberculosis, malaria, pneumonia, diarrheal disease, enteric and diarrheal diseases, and neglected infectious diseases. Under Trevor's leadership, the Global Health Division also works on platform technologies to accelerate development of global health solutions. All of this work occurs in collaboration with an international network of grantees and partners. Prior to joining the foundation in 2011, he was global head of development with Novartis, and previously was involved in clinical research at Pfizer and Parke-Davis. A native of South Africa, Trevor earned his bachelor's and medical degrees from the University of the Witwatersrand in Johannesburg. Trevor also studied mathematics, logic and philosophy - as a Rhodes Scholar - at the University of Oxford. And he earned a Ph.D. in mathematics at the University of Chicago.</t>
  </si>
  <si>
    <t>trevor.mundel@gatesfoundation.org</t>
  </si>
  <si>
    <t>President, Global Health</t>
  </si>
  <si>
    <t>89197-03P</t>
  </si>
  <si>
    <t>Vanessa Bhark</t>
  </si>
  <si>
    <t>Bhark</t>
  </si>
  <si>
    <t>Ms. Vanessa Bhark serves as Principal, Life Sciences, Strategic Investment Fund at Gates Foundation. She served as Senior Associate at Frazier Healthcare Partners. She served in Corporate Development Executive at Gilead Sciences. She currently serves as Senior Associate at Frazier Healthcare Partners. Previously, Ms. Bhark was a Business Development Manager at Janssen, the Pharmaceutical Companies of Johnson &amp; Johnson, where she led the evaluation and recommendation of licensing and acquisition opportunities for Janssen's $3.2 billion Infectious Disease Franchise. In addition, she worked for Morgan Stanley in the Equity Research Division with a focus on public biotech investments.</t>
  </si>
  <si>
    <t>vanessa.bhark@gatesfoundation.org</t>
  </si>
  <si>
    <t>Principal, Life Sciences, Strategic Investment Fund</t>
  </si>
  <si>
    <t>110973-97P</t>
  </si>
  <si>
    <t>Vipula Shukla Ph.D</t>
  </si>
  <si>
    <t>Vipula</t>
  </si>
  <si>
    <t>Shukla</t>
  </si>
  <si>
    <t>Dr. Vipula Shukla serves as Senior Program Officer, Agriculture R&amp;D at Gates Foundation. She serves as an Advisor, Sustainability at Sandbox Industries. She is an inventor on numerous patents and her research has been published in high-profile scientific journals such as Science and Nature. She holds a B.S. in Biology from Carnegie-Mellon University, a Ph.D. in Plant Biology from Washington University in St. Louis, and completed postdoctoral work at UCSD and the Salk Institute for Biological Sciences.</t>
  </si>
  <si>
    <t>vipula.shukla@gatesfoundation.org</t>
  </si>
  <si>
    <t>Senior Program Officer, Agriculture R&amp;D</t>
  </si>
  <si>
    <t>123365-98P</t>
  </si>
  <si>
    <t>William Gates Jr.</t>
  </si>
  <si>
    <t>Gates</t>
  </si>
  <si>
    <t>Mr. William Gates serves as Co-Chairman and Board Member at the Bill &amp; Melinda Gates Foundation. He is also the Founder of Gates Ventures. He is also the owner of Gates Frontier. He is a director of Microsoft Corporation and served as Chairman of the Board from its incorporation in 1981 until February 2014. He is currently a Technology Advisor for Microsoft Corporation and was its Chief Executive Officer from 1981 until January 2000. He is a Co-Founder and serves as an Investor at Breakthrough Energy Ventures. He who has served as a director since 2004 will be retiring from the Board of Directors. In 1975, he founded Microsoft with Paul Allen and led the company to become the worldwide leader in business and personal software and services. More than 20 years later, guided by the belief that every life has equal value, he and his wife, Melinda, established the Bill &amp; Melinda Gates Foundation. In 2008, he transitioned from his daily responsibilities at Microsoft to focus full-time with Melinda on their foundation's work to reduce hunger and poverty globally, harness advances in science and technology to save lives, and improve education in the U.S. Since 2006, he has also served as chairman of TerraPower, a company he helped launch in 2006 that aims to provide the world with a more affordable, secure and environmentally-friendly form of nuclear energy. He is the Founder &amp; serves as Chairman at Cascade Investment.</t>
  </si>
  <si>
    <t>bill.gates@gatesfoundation.org</t>
  </si>
  <si>
    <t>Berkshire Hathaway (Former)</t>
  </si>
  <si>
    <t>70542-73P</t>
  </si>
  <si>
    <t>Chad Sarno</t>
  </si>
  <si>
    <t>Sarno</t>
  </si>
  <si>
    <t>Gathered Foods</t>
  </si>
  <si>
    <t>Executive Officer &amp; Founder</t>
  </si>
  <si>
    <t>Mr. Chad Sarno is a Co-Founder and serves as Chief Culinary Officer at Planted Way. Mr. Chad Sarno co-founded and served as Board Member at Wicked Kitchen. He served as an Advisor at Unovis Asset Management. He is a Co-Founder and serves as Chief Culinary Officer at Gathered Foods. He has launched plant-based restaurants in Istanbul, Munich, London, and Belgrade and served as Plant-Based Ambassador at Rouxbe Cooking School. Prior to that, he was the Global Wellness Coordinator, Media Spokesperson, and R&amp;D Chef for Whole Foods Market. He's contributed to numerous recipe books and co-authored The New York Times best-seller Crazy Sexy Kitchen, The Wicked Healthy Cookbook, and The Whole Foods Cookbook. He served as Board Member at Gathered Foods.</t>
  </si>
  <si>
    <t>chad@theplantedway.com</t>
  </si>
  <si>
    <t>Wicklow</t>
  </si>
  <si>
    <t>Wicklow, Ireland</t>
  </si>
  <si>
    <t>Camomile House, Three Mile Water</t>
  </si>
  <si>
    <t>Brittas Bay</t>
  </si>
  <si>
    <t>A67 CC94</t>
  </si>
  <si>
    <t>Co-Founder &amp; Chief Culinary Officer</t>
  </si>
  <si>
    <t>Planted Way</t>
  </si>
  <si>
    <t>301585-06P</t>
  </si>
  <si>
    <t>Chastity Castle-White</t>
  </si>
  <si>
    <t>Chastity</t>
  </si>
  <si>
    <t>Castle-White</t>
  </si>
  <si>
    <t>Ms. Chastity Castle-White serves as Controller &amp; Senior Plant Controller at Gathered Foods.</t>
  </si>
  <si>
    <t>ccastle-white@gatheredfoods.com</t>
  </si>
  <si>
    <t>440 East Saint Elmo</t>
  </si>
  <si>
    <t>Building D</t>
  </si>
  <si>
    <t>78745</t>
  </si>
  <si>
    <t>132288-22P</t>
  </si>
  <si>
    <t>Christopher Kerr</t>
  </si>
  <si>
    <t>Mr. Christopher Kerr serves as Co-Founder &amp; Executive Chairman at Gathered Foods. He also serves as Founding Partner &amp; Chief Investment Officer at Unovis Asset Management. He also serves as Board Observer at Miyoko's Creamery. He also serves as Board Observer at NUMU. He serves as Board Member at BlueNalu.</t>
  </si>
  <si>
    <t>+1 (215) 817-0200</t>
  </si>
  <si>
    <t>ckerr@goodcatchfoods.com</t>
  </si>
  <si>
    <t>Heath, OH</t>
  </si>
  <si>
    <t>630 Kaiser Drive</t>
  </si>
  <si>
    <t>43056</t>
  </si>
  <si>
    <t>Co-Founder &amp; Executive Chairman</t>
  </si>
  <si>
    <t>257893-03P</t>
  </si>
  <si>
    <t>Maurice York</t>
  </si>
  <si>
    <t>Ms. Maurice York serves as Chief Supply Chain Officer at Good Catch.</t>
  </si>
  <si>
    <t>+1 (800) 674-3422</t>
  </si>
  <si>
    <t>Chief Supply Chain Officer</t>
  </si>
  <si>
    <t>85301-83P</t>
  </si>
  <si>
    <t>Alexander Chmelev</t>
  </si>
  <si>
    <t>Chmelev</t>
  </si>
  <si>
    <t>GEC</t>
  </si>
  <si>
    <t>Mr. Alexander Chmelev serves as Partner at GEC. He serves as Board Member at Stage Completions, Cumulus Digital Systems and Estis Compression. His responsibilities include originating, evaluating, structuring and executing potential investments and supporting the growth of GEC portfolio companies. He has over 13 years of energy and industrial services experience. He previously worked for Quintana Energy Partners where he focused on energy private equity investments in upstream, midstream and downstream oil and gas markets. He also worked at Simmons Energy Investment Banking advising energy executives in mergers, acquisitions and capital markets transactions. Mr. Chmelev began his career as an engineer at Baker Hughes. Mr. Chmelev graduated magna cum laude from Texas A&amp;M University with a Bachelor of Science in Computer Engineering and earned an MBA from Harvard Business School.</t>
  </si>
  <si>
    <t>+1 (713) 993-7222</t>
  </si>
  <si>
    <t>alex@geclp.com</t>
  </si>
  <si>
    <t>2415 West Alabama Street</t>
  </si>
  <si>
    <t>77098</t>
  </si>
  <si>
    <t>32566-78P</t>
  </si>
  <si>
    <t>Jonathan Fairbanks</t>
  </si>
  <si>
    <t>Fairbanks</t>
  </si>
  <si>
    <t>Mr. Jonathan Fairbanks is the Founder and serves as Managing Partner at GEC. Mr. Fairbanks serves as Board Member at Freedom Solar Power, Flowco Production Solutions, Estis Compression, Locus Bio-Energy Solutions, Oilfield Labs of America, Floatel International, Oilfield Labs of America, Stage Completions and Locus Bio-Energy. Previously, Mr. Fairbanks was a Founder and Director of the following public companies: Seajacks International, Scorpion Offshore, Floatel International, Chiles Offshore, and Hercules Offshore. He also served on the boards of Ringers Technologies and Premium Oilfield Technologies of Houston, GustoMSC in Amsterdam, and Forum Energy Technologies, an NYSE-listed company. Mr. Fairbanks chairs the board of IDEA Public Schools of Houston, serves as a trustee of the Center for Strategic &amp; International Studies in Washington, D.C., and is a member of YPO Gold. He received a B.A. degree in political science from Denison University and also read European history at St. Peter's College, Oxford University.</t>
  </si>
  <si>
    <t>jonathan@geclp.com</t>
  </si>
  <si>
    <t>231189-04P</t>
  </si>
  <si>
    <t>Kimberly Bell</t>
  </si>
  <si>
    <t>Ms. Kimberly Bell serves as a Partner at GEC. She served as Board Member at Oilfield Labs of America. Her responsibilities include originating and evaluating new opportunities and supporting the growth of GEC portfolio companies. Ms. Bell has over 20 years of technical energy investing experience. She was previously a founder of Vendera Resources, an institutionally backed series of energy investment funds. As President of Vendera, Ms. Bell served on the investment committee and built and led the technical team. Prior to Vendera, Ms. Bell held corporate development and A&amp;D positions with Hunt Petroleum Corporation and Five States Energy in Dallas. She began her career as a production engineer with Union Pacific Resources. Ms. Bell graduated from the Colorado School of Mines (BS, Chemical Engineering and Petroleum Refining), and has an MBA from Southern Methodist University. She is a registered professional engineer in the state of Texas and is certified by the SPE. She is a member or board member of several industry organizations and is an Executive Tier member of Women in Energy.</t>
  </si>
  <si>
    <t>kimberly@geclp.com</t>
  </si>
  <si>
    <t>260296-12P</t>
  </si>
  <si>
    <t>Lana Pattillo</t>
  </si>
  <si>
    <t>Lana</t>
  </si>
  <si>
    <t>Pattillo</t>
  </si>
  <si>
    <t>Chief Compliance Officer &amp; Chief Financial Officer</t>
  </si>
  <si>
    <t>Ms. Lana Pattillo serves as Chief Financial Officer and Chief Compliance Officer at GEC. She leads GEC's compliance program, as well as financial and investor reporting. Ms. Dial graduated from the University of Houston with a Bachelor of Science degree.</t>
  </si>
  <si>
    <t>+1 (713) 489-8201</t>
  </si>
  <si>
    <t>lana@geclp.com</t>
  </si>
  <si>
    <t>Chief Financial Officer &amp; Chief Compliance Officer</t>
  </si>
  <si>
    <t>203226-67P</t>
  </si>
  <si>
    <t>Sykes Yeates</t>
  </si>
  <si>
    <t>Yeates</t>
  </si>
  <si>
    <t>Mr. Sykes Yeates serves as Director at GEC. Mr. Yeates served as a Board Member at DJR Energy. He serves as Board Member at Estis Compression. His responsibilities include evaluating and executing new investments and growing our companies. Mr. Yeates has over four years of energy and industrial services experience. Before joining GEC, Mr. Yeates was an analyst in the energy investment banking group of Wells Fargo Securities, where he worked on mergers &amp; acquisitions, strategic advisory, and capital markets transactions. Mr. Yeates graduated magna cum laude from Texas A&amp;M University with a BBA in Finance and Business Honors.</t>
  </si>
  <si>
    <t>sykes@geclp.com</t>
  </si>
  <si>
    <t>430094-71P</t>
  </si>
  <si>
    <t>Travis Acker</t>
  </si>
  <si>
    <t>Acker</t>
  </si>
  <si>
    <t>Mr. Travis Acker serves as Associate at GEC. His responsibilities include evaluating and executing new investments and growing our companies. Prior to joining GEC, he was an analyst in the investment banking group of Texas Capital Bank, where he worked on mergers &amp; acquisitions, strategic advisory, and capital markets transactions. He graduated from Texas A&amp;M University with a Bachelor of Science degree in Agricultural Economics</t>
  </si>
  <si>
    <t>travis@geclp.com</t>
  </si>
  <si>
    <t>413503-75P</t>
  </si>
  <si>
    <t>Aaron Bielenberg</t>
  </si>
  <si>
    <t>Bielenberg</t>
  </si>
  <si>
    <t>Generate (Capital Markets/Institutions)</t>
  </si>
  <si>
    <t>Mr. Aaron Bielenberg serves as Head of Portfolio Management at Generate. He is responsible for performance improvement. Has 20+ years of global experience advising energy and infrastructure investors, operating companies, growth companies, developers, and governments on core business strategy, investment strategy, financing strategy, capital deployment public and private partnerships, value creation initiatives, technology roll-out programs, and transformation. Before Generate he was a managing director and partner at Boston Consulting Group leading work with infrastructure investors. Before that, he was a partner at McKinsey &amp; co. where he led large-scale transformation programs at power and water utilities. Before that, he was a senior associate at Latham &amp; Watkin, He was also an investment banking associate at Credit Suisse's EnergyGroup focused on infrastructure financing and merger and acquisition. He was a Hamilton scholar at Columbia Law School where he was awarded a J.D. and Graduated from Brown University with a B.A. with honors.</t>
  </si>
  <si>
    <t>+1 (415) 360-3063</t>
  </si>
  <si>
    <t>aaron.bielenberg@generatecapital.com</t>
  </si>
  <si>
    <t>560 Davis Street</t>
  </si>
  <si>
    <t>218424-34P</t>
  </si>
  <si>
    <t>Ajay Ghanekar</t>
  </si>
  <si>
    <t>Ghanekar</t>
  </si>
  <si>
    <t>Mr. Ajay Ghanekar is a Co-Founder and serves as Co-Chief Executive Officer, Managing Partner, and Board Member at Generate-Ubiquity Management. He is also President of Generate Ubiquity at Generate Capital. Previously, He served as an Executive Director at Verizon where he was responsible for the design, performance, and deployment of Verizon's network in the Eastern half of the country. He led a team of over 450 network employees and managed deployment strategy for over $3 billion of annual capital. He earned a bachelor's degree in Electronic Engineering and a master's degree in Financial Management from the University of Mumbai.</t>
  </si>
  <si>
    <t>+1 (281) 638-7398</t>
  </si>
  <si>
    <t>ajay@ubiquitygp.com</t>
  </si>
  <si>
    <t>Leawood</t>
  </si>
  <si>
    <t>Leawood, KS</t>
  </si>
  <si>
    <t>4200 West 115th Street</t>
  </si>
  <si>
    <t>Co-Founder, Co-Chief Executive Officer, Managing Partner &amp; Board Member</t>
  </si>
  <si>
    <t>Generate-Ubiquity Management</t>
  </si>
  <si>
    <t>330933-34P</t>
  </si>
  <si>
    <t>Andrew Hughes</t>
  </si>
  <si>
    <t>Mr. Andrew Hughes serves as a Principal, Capital Markets and Investor Relations at Generate. He is responsible for supporting all aspects of the business's capital formation programs, ESG strategy &amp; reporting initiatives, and corporate financial strategy. Andrew brings more than a decade of experience working at the intersection of financial markets and the environment. Prior to Generate, he was a Vice President at Credit Suisse where he ran the bank's U.S. renewable energy equity research team and was recognized as a rising star in the Institutional Investor All-America Research Poll. Prior to Credit Suisse, Andrew was a senior publishing analyst on the Renewable Energy, Power, and Utility teams at Bank of America Merrill Lynch. Here, he was responsible for renewable energy company coverage and oversaw over $10 billion of listed transactions among residential solar companies, renewable energy developers, and YieldCos. He started his career as a Policy Analyst at the Environmental Defense Fund, and as a naturalist and environmental educator at the Aspen Center for Environmental Studies. Andrew holds a BA in Economics and Environmental Studies from Bowdoin College, and an MBA from the Yale School of Management.</t>
  </si>
  <si>
    <t>andrew@generatecapital.com</t>
  </si>
  <si>
    <t>Principal, Capital Markets and Investor Relations</t>
  </si>
  <si>
    <t>81387-19P</t>
  </si>
  <si>
    <t>Brian Lehman</t>
  </si>
  <si>
    <t>Lehman</t>
  </si>
  <si>
    <t>Mr. Brian Lehman serves as U.S. Co-CEO, Global Banking and Markets at Scotiabank Global Banking and Markets. Mr. Brian Lehman serves as Chief Financial Officer at Generate. He served as Managing Director at J.P. Morgan. He was previously working as a Director at Merrill Lynch. Before Generate, Brian spent over two decades on global investment banking platforms, having acted as advisor, underwriter, principal, and agent for private and public corporations in over $100 billion in debt, equity, and structured transactions. Most recently, Brian established and led JP Morgan's Green Economy banking franchise. Before that, he formed and ran JP Morgan's Diversified Financials group. Before JP Morgan, Brian was Co-Head of Morgan Stanley's Equity-Linked Capital Markets group. Earlier in his career, he also held positions at both Bank of America Merrill Lynch and UBS. Brian earned a BS and BA from Villanova University, an MPhil from Queens College, Cambridge University, and his MBA at the University of Pennsylvania's Wharton School. He is also a CFA charter holder and Trustee for the New Jersey Chapter of The Nature Conservancy.</t>
  </si>
  <si>
    <t>+1 (908) 228-2535</t>
  </si>
  <si>
    <t>brian.lehman@generatecapital.com</t>
  </si>
  <si>
    <t>40 King Street West</t>
  </si>
  <si>
    <t>Scotia Plaza</t>
  </si>
  <si>
    <t>M5W 2X6</t>
  </si>
  <si>
    <t>+1 (416) 862-3052</t>
  </si>
  <si>
    <t>U.S. Co-CEO, Global Banking and Markets</t>
  </si>
  <si>
    <t>Scotiabank Global Banking and Markets</t>
  </si>
  <si>
    <t>222682-51P</t>
  </si>
  <si>
    <t>Christian Okoye</t>
  </si>
  <si>
    <t>Okoye</t>
  </si>
  <si>
    <t>Mr. Christian Okoye serves as a Principal, Investments at Generate. He serves as an Executive at Diverse Angels. He serves as at He serves Board Member at Nithio. as Investment Committee Member at Tulane Ventures. Prior to Generate, he was a Partner at Sidewalk Infrastructure Partners where he focused on transactions advancing virtual power plants. Leading up to his time at Sidewalk, he was a director of Venture Investments at Emerson Collective. Here, he focused on managing venture capital and growth equity investments across energy and environmental solutions including waste to energy, distributed energy resource management, and energy efficiency technologies. He has also worked for Denham Capital's Energy Infrastructure platform investing in infrastructure development in emerging markets and started his career in Goldman Sachs' Natural Resources group. He holds an MBA and MS in Energy and Environmental Resources from Stanford University and a BA in Economics from the University of Chicago.</t>
  </si>
  <si>
    <t>christian.okoye@generatecapital.com</t>
  </si>
  <si>
    <t>Principal, Investments</t>
  </si>
  <si>
    <t>127604-98P</t>
  </si>
  <si>
    <t>Darryl Carbonaro JD</t>
  </si>
  <si>
    <t>Darryl</t>
  </si>
  <si>
    <t>Carbonaro</t>
  </si>
  <si>
    <t>Dr. Darryl Carbonaro serves as General Counsel at Generate. Dr. Darryl Carbonaro served as Managing Director &amp; Deputy General Counsel at Clean Power Finance. Dr. Darryl Carbonaro serves as Managing Director &amp; Deputy General Counsel at Clean Power Finance. He serves as general Counsel at Generate. He served as a Managing Director &amp; Deputy General Counsel at Spruce Finance. He has more than 15 years of experience representing U.S. and foreign lenders and borrowers in financing a broad range of assets, from hydroelectric facilities along the Danube to solar projects for a northern California school district. A former chemical engineer, He began his legal career in the project and asset finance group at White &amp; Case LLP in New York, then moved to Dechert LLP in San Francisco to focus on structured finance and securitization of commercial real estate. Prior to joining Clean Power Finance, he served as an assistant general counsel at Bank of America, where he helped launch the Bank's renewable energy finance and energy efficiency finance groups. He holds a JD from Pace Law School in White Plains, NY, and a BS in Chemical Engineering from Drexel University in Philadelphia.</t>
  </si>
  <si>
    <t>dcarbonaro@generatecapital.com</t>
  </si>
  <si>
    <t>330931-09P</t>
  </si>
  <si>
    <t>David Hirsch</t>
  </si>
  <si>
    <t>Hirsch</t>
  </si>
  <si>
    <t>Mr. David Hirsch serves as a Principal, Investments at Generate. He is responsible for investments in transportation, on-site generation, and sustainable digital infrastructure. Prior to joining Generate in 2018, he was the Director of Finance at Powerhive, a start-up focused on rural electrification. He also was a Director at SunEdison, where he worked across project finance, commercial sales, rural electrification, and energy storage project finance. He spent the first five years of his career at Bank of America/Merrill Lynch and affiliates, where he worked in both Energy &amp; Power Investment Banking in New York and Real Estate Private Equity in London. he also sits on the Power for All's Board of Directors. He graduated Magna Cum Laude with a Bachelor of Science in Economics from the Wharton School at the University of Pennsylvania and has an MBA from the Haas School of Business at the University of California Berkeley.</t>
  </si>
  <si>
    <t>david@generatecapital.com</t>
  </si>
  <si>
    <t>200729-44P</t>
  </si>
  <si>
    <t>Eduardo Clemente</t>
  </si>
  <si>
    <t>Clemente</t>
  </si>
  <si>
    <t>Mr. Eduardo Clemente serves as Managing Director, Investments at Generate. He serves as a Board Member at GrowUp. He served as Senior Vice President, Investment Team at Exergy Capital Management. He is responsible for the sourcing, due diligence, execution, management, and exits of investments. Before joining Exergy, he was an Executive Director at Goldman Sachs International ("GS") where he worked since 2009. During his time at GS' Investment Banking Natural Resources Group in London, he focused on the power, utilities, and infrastructure sectors across M&amp;A, debt, and equity transactions as well as distressed debt restructurings. Throughout his various roles at GS, he had exposure to both the GS principal investment arms and external advisory clients. He holds a Licenciatura and Master's degree in business administration from Escuela Superior de Administración y Dirección de Empresas ("ESADE") in Barcelona and a "Grande Ecole" degree conferring a Master's degree in finance from École des Hautes Études Commerciales ("HEC") de Paris.</t>
  </si>
  <si>
    <t>eduardo.clemente@generatecapital.com</t>
  </si>
  <si>
    <t>Smitson Plaza</t>
  </si>
  <si>
    <t>SW1A 1HA</t>
  </si>
  <si>
    <t>285636-07P</t>
  </si>
  <si>
    <t>Edward Bossange</t>
  </si>
  <si>
    <t>Bossange</t>
  </si>
  <si>
    <t>Mr. Edward Bossange serves as Senior Managing Director &amp; Head of Capital Markets at Generate. Prior to Generate, he was a vice president of origination and structuring at Morgan Stanley, where he sat in the North America Power and Gas business on the commodities trading floor, investing the firm's balance sheet into renewable energy assets. He spent more than six years at Morgan Stanley, primarily focused on originating, acquiring, developing, and financing solar PV projects across residential, commercial, industrial, and small utility scales, which included playing an integral role in more than $200 million of the first community solar portfolios institutionally financed in the United States. He began his career in renewable energy as a design engineer for both solar PV and solar hot water-system integration in New York City. He holds an MS in Mechanical Engineering-Energy Systems from Columbia University and a BS in Mathematics from Hamilton College.</t>
  </si>
  <si>
    <t>ed@generatecapital.com</t>
  </si>
  <si>
    <t>Senior Managing Director &amp; Head of Capital Markets</t>
  </si>
  <si>
    <t>367659-82P</t>
  </si>
  <si>
    <t>Eric London</t>
  </si>
  <si>
    <t>Mr. Eric London serves as a Principal, Investments at Generate. He is responsible for originating, executing, and managing sustainable infrastructure investments in the renewable power sector, and has more than 10 years of experience in renewable energy finance. Prior to Generate, he had roles in M&amp;A at AES, where he was the Director of Renewable Energy Investments and Partnerships, and in project finance at Azure Power. He has also sat on the board of sPower, AES Distributed Energy, and 5B. He holds an MBA from Georgetown University and a Bachelor of Science from George Washington University.</t>
  </si>
  <si>
    <t>eric.london@generatecapital.com</t>
  </si>
  <si>
    <t>315432-82P</t>
  </si>
  <si>
    <t>Greg Richards</t>
  </si>
  <si>
    <t>Richards</t>
  </si>
  <si>
    <t>Mr. Greg Richards served as Managing Director at Energy Impact Partners. He also serves as the Managing Director of credit at Generate. He is responsible for originating, structuring, executing, and managing investments for Generate Credit. With expertise across the utility, sustainability, and energy technology sectors, he has spent the majority of his 20-year career advising for and investing in, both companies and projects with roles at Mubadala Investment Company, Credit Suisse, Bank of America, and Medley Capital. Most recently, he was a Managing Director at Energy Impact Partners. He has led numerous sustainability transactions in hydroelectric, biomass, residential solar, data centers, and carbon capture assets. He has additionally advised several sustainability-focused early-stage companies and investment firms. He received a BBA in Finance from the College of William and Mary and an MBA from Columbia Business School. He is also a CFA charter holder and member of the CFA Society of South Carolina.</t>
  </si>
  <si>
    <t>greg.richards@generatecapital.com</t>
  </si>
  <si>
    <t>434438-29P</t>
  </si>
  <si>
    <t>Harsi Thethi</t>
  </si>
  <si>
    <t>Harsi</t>
  </si>
  <si>
    <t>Thethi</t>
  </si>
  <si>
    <t>Mr. Harsi Thethi serves as Chief Financial Officer at Generate. Prior to Generate, He spent nearly 20 years at Credit Suisse, where most recently he served as the CFO of the Global Investment Bank (covering both the Markets and Banking businesses).</t>
  </si>
  <si>
    <t>harsi.thethi@generatecapital.com</t>
  </si>
  <si>
    <t>285637-42P</t>
  </si>
  <si>
    <t>Hunter Gettings</t>
  </si>
  <si>
    <t>Gettings</t>
  </si>
  <si>
    <t>Mr. Hunter Gettings serves as an Associate at Generate. He holds Bachelor's in Economics from</t>
  </si>
  <si>
    <t>hunter.gettings@generatecapital.com</t>
  </si>
  <si>
    <t>48045-79P</t>
  </si>
  <si>
    <t>Jack Stark</t>
  </si>
  <si>
    <t>Stark</t>
  </si>
  <si>
    <t>Mr. Jack Stark serves as an Executive Vice President at Generate. He served as Board Observer at Generate-Ubiquity Management. He serves as Board Member at TC Pipelines. Mr. Stark brings more than three decades of experience in the finance and energy industries to his role as Director of the General Partner, a position he has held since July 1999. Previously, Mr. Stark served as Chief Financial Officer of Imergy Power Systems, an energy storage systems company from December 2013 to July 2016. Prior to Imergy Power Systems, Mr. Stark was Chief Financial Officer of BrightSource Energy Inc., a provider of technology for use in large-scale solar thermal power plants, from May 2007 to November 2013. He was Chief Financial Officer of Silicon Valley Bancshares, a diversified financial services provider, from April 2004 to May 2007. He previously served as Vice-President of Business Operations and Technology at Itron, and as Senior Vice-President and Chief Financial Officer at Silicon Energy Corporation. Mr. Stark has also served as Senior Vice-President and Chief Financial Officer of GATX Capital and he held senior management roles at PG&amp;E Corporation for over 20 years involving financial operations and investor relations, energy risk management, contract, and regulatory negotiations, and line operations. He earned MBA in Finance from the University of California, Berkeley, and a BA &amp; MA in Economics from the University of California, Santa Barbara.</t>
  </si>
  <si>
    <t>jack@generatecapital.com</t>
  </si>
  <si>
    <t>TC Pipelines (Former)</t>
  </si>
  <si>
    <t>218425-33P</t>
  </si>
  <si>
    <t>Jamie Earp</t>
  </si>
  <si>
    <t>Earp</t>
  </si>
  <si>
    <t>Mr. Jamie Earp is a Co-Founder and serves as Co-Chief Executive Officer, Managing Partner, and Board Member at Generate-Ubiquity Management. He is also President of Generate Ubiquity at Generate Capital. Previously, Mr. Earp served as the Managing Partner of RCP Holdings, a communications infrastructure company. He focuses primarily on investments in telecom-based infrastructure assets, as well as the operating companies that rely on and have exposure to those core asset classes. Previously, Jamie served as the Managing Partner of RCP Holdings, a communications infrastructure company. He also co-founded Branch Communications, an infrastructure development company, raising and deploying over $100 million in equity and debt. Jamie was integral in growing the company's operations to over 900 owned &amp; managed assets in 38 U.S. states and Puerto Rico, with combined leasing and services revenues topping $20 million and a combined enterprise value of over $150 million. Before co-founding Branch Communications, He provided a wide range of management, financial, business development, and government relations activities to various business organizations. This included serving as Vice President of Public Affairs &amp; Business Development for the NC Chamber, spending 8 years in Washington, DC working with the U.S. Chamber of Commerce and U.S. Senator Elizabeth Dole, and advising a variety of associations and political advocacy organizations. He received a BA in Political Science from the University of North Carolina at Chapel Hill, a JD from George Mason University School of Law, and an MBA from UNC-Chapel Hill's Kenan-Flagler Business School.</t>
  </si>
  <si>
    <t>+1 (919) 368-6446</t>
  </si>
  <si>
    <t>jamie@ubiquitygp.com</t>
  </si>
  <si>
    <t>Charlotte, NC</t>
  </si>
  <si>
    <t>121 West Trade Street</t>
  </si>
  <si>
    <t>Suite 1275</t>
  </si>
  <si>
    <t>North Carolina</t>
  </si>
  <si>
    <t>28202</t>
  </si>
  <si>
    <t>415356-85P</t>
  </si>
  <si>
    <t>Jason Cho</t>
  </si>
  <si>
    <t>Mr. Jason Cho serves as the Principal, Capital Formation at Generate. His responsibilities include corporate transactions and developing capital formation strategies. Before joining Generate, he focused on buy-side M&amp;A transactions at DBO Partners. He also led sponsor-related transactions including IPOs, refinancings, and dividend recapitalizations at Bank of America Merrill Lynch in their financial sponsors group. He began a career in management consulting at Accenture and worked at KKr on their credit platform. He holds a Bachelor of Science in economics, a Bachelor of the Arts in Psychology from Duke University, and an MBA from Yale School of Management.</t>
  </si>
  <si>
    <t>jason@generatecapital.com</t>
  </si>
  <si>
    <t>Principal, Capital Formation</t>
  </si>
  <si>
    <t>208637-92P</t>
  </si>
  <si>
    <t>Jason Moore</t>
  </si>
  <si>
    <t>Mr. Jason Moore serves as Principal, Credit at Generate. He served as Managing Director, Investments at NY Green Bank. Prior to joining NY Green Bank, Mr. Moore helped renewable energy sponsors, developers, and investors meet their financial objectives as a consultant with the project finance advisory firm P50 Capital. While at P50 Capital, he primarily structured and executed wind and solar project financings, acquisitions, and financial restructurings for clients in North America and Latin America. Mr. Moore holds a bachelors degree in business administration from Mississippi State University with a concentration in banking and finance. He also holds a masters degree in finance from Boston College.</t>
  </si>
  <si>
    <t>jason.moore@generatecapital.com</t>
  </si>
  <si>
    <t>Principal, Credit</t>
  </si>
  <si>
    <t>293375-08P</t>
  </si>
  <si>
    <t>Jeannette Paul</t>
  </si>
  <si>
    <t>Jeannette</t>
  </si>
  <si>
    <t>Ms. Jeannette Paul serves as Chief Accounting Officer at Generate. She is responsible for corporate and controlled affiliates' accounting, tax management, financial reporting, and oversight of internal financial reporting controls. She has over 25 yaears of leading financial accounting and reporting, including M&amp;A financial and accounting due diligence for both private equity and strategic acquisitions. Prior to Generate, she was the Vice President and Corporate Controller at Ygrene Energy Fund, the largest residential PACE lender. She led the accounting structuring of 2 Securitizations of more than $650M, in addition to heading the accounting operations of over $2 Billion PACE financing across 83,000 projects including disaster resiliency, renewables, energy efficiency, and water conservation improvement. She also worked as the Chief Accounting Officer of Solar Mosaic, a residential solar and home improvement lender. As the Vice President and Corporate Controller at the Federal Home Loan Bank of San Francisco, she was responsible for registering the FHLBSF with the SEC and building public company financial reporting and control infrastructure. She began her career in public accounting with the Big 4 in audit and financial &amp; accounting due diligence. She holds a BA in Economics and Management summa cum laude from Albion College.</t>
  </si>
  <si>
    <t>jeannette.paul@generatecapital.com</t>
  </si>
  <si>
    <t>220266-55P</t>
  </si>
  <si>
    <t>Jeff Ross</t>
  </si>
  <si>
    <t>Mr. Jeff Ross serves as Chief Investment Officer, Infrastructure at Generate. Prior to Generate, Mr. Ross served as a Managing Director at an investment platform investing in renewable energy assets, and as Senior Vice President at NRG, leading the distributed generation and retail energy businesses. He served as a Partner at Arborview Capital, investing in mid-market companies in the energy and sustainability sectors; as Executive Vice President at GridPoint, a private-equity backed energy management company; and in senior management roles at several private equity-backed services and technology companies. He is a frequent speaker on energy and sustainability issues, and has appeared on television, radio and in print in venues such as CNBC and the Wall Street Journal. He has testified before Congress, the Federal Communications Commission, and several state public utility commissions. He graduated magna cum laude from Washington University in St. Louis and has a law degree from the University of Virginia.</t>
  </si>
  <si>
    <t>jeff@generatecapital.com</t>
  </si>
  <si>
    <t>Chief Investment Officer, Infrastructure</t>
  </si>
  <si>
    <t>37751-23P</t>
  </si>
  <si>
    <t>Jeffrey Colin</t>
  </si>
  <si>
    <t>Mr. Jeffrey Colin is the Founder and serves as Partner, Member of the Management Committee, and Partner in charge of the Investment Strategy Group in charge of the Investment Strategy Group &amp; Managing Member at Baker Street Advisors. He serves as a Senior Advisor at Generate Capital. Mr. Colin began his career advising some of the nation's wealthiest families in 1991. Prior to his current role, he served as the National Head of Wealth Planning for Deutsche Bank Alex. Brown, was the Managing Director in charge of the Private Client Division of Robertson Stephens, co-founded the Investment Advisory Services Group of myCFO, and worked as a Vice-President in the Private Client Services Division of Goldman Sachs. Mr. Colin holds an MBA from the J.L. Kellogg Graduate School of Business at Northwestern University and a BS from Northwestern University.</t>
  </si>
  <si>
    <t>+1 (415) 344-6180</t>
  </si>
  <si>
    <t>jeff@bakerstreetadvisors.com</t>
  </si>
  <si>
    <t>575 Market Street</t>
  </si>
  <si>
    <t>+1 (415) 344-6190</t>
  </si>
  <si>
    <t>Founder, Partner, Member of the Management Committee, and Partner in charge of the Investment Strategy Group</t>
  </si>
  <si>
    <t>Baker Street Advisors</t>
  </si>
  <si>
    <t>285859-09P</t>
  </si>
  <si>
    <t>John Dannan</t>
  </si>
  <si>
    <t>Dannan</t>
  </si>
  <si>
    <t>Mr. John Dannan serves as Managing Director and Head of Waste Investments at Generate. Mr. Dannan serves as a Board Member at AMP Americas. Prior to Generate, he founded Energy &amp; Infrastructure Capital, LLC (EIC), a Connecticut-based asset manager focused on small-scale project debt investments. During his tenure at EIC, he invested nearly $200 million in US energy and infrastructure debt on behalf of national and international investors. Earlier in his career, he was engaged in infrastructure debt funds at both Deutsche Asset &amp; Wealth Management and Aladdin Capital and also worked on investment banking at Dresdner Kleinwort. He received a Bachelor of Science in Economics and Accounting from Loughborough University, England.</t>
  </si>
  <si>
    <t>john@generatecapital.com</t>
  </si>
  <si>
    <t>461 Fifth Avenue</t>
  </si>
  <si>
    <t>Managing Director and Head of Waste Investments</t>
  </si>
  <si>
    <t>88931-80P</t>
  </si>
  <si>
    <t>Joshua Feldman</t>
  </si>
  <si>
    <t>Mr. Joshua Feldman serves as Principal, Investments at Generate. responsible for originating, executing, and managing renewable energy investments with a focus on community solar. He has over 15 years of experience in the energy sector, having held various roles across investment, development, and asset management. Prior to joining Generate in 2022, he spent 8 years at Clearway Energy / NRG focused on energy asset acquisition and building their community solar platform. He holds a B.A. in Physics from Middlebury College.</t>
  </si>
  <si>
    <t>josh.feldman@generatecapital.com</t>
  </si>
  <si>
    <t>444323-35P</t>
  </si>
  <si>
    <t>Kaitlin Bergan</t>
  </si>
  <si>
    <t>Kaitlin</t>
  </si>
  <si>
    <t>Bergan</t>
  </si>
  <si>
    <t>Ms. Kaitlin Bergan serves as Principal, Capital Formation Team at Generate. Ms. Bergan is responsible for investor coverage, product ideation and fundraising strategy. Prior to Generate, Kaitlin spent seven years at BlackRock, most recently as Head of Sustainable Client Solutions, Americas. Passionate about climate issues, she is a frequent speaker on sustainable finance at industry events. Previously, Kaitlin held roles in asset management in London and New York. She earned a BA from Oxford and an MSc from the London School of Economics. Based in New York, Kaitlin serves as Co-President of the Rising Leaders Council at New York Cares, New York City's largest volunteer organization.</t>
  </si>
  <si>
    <t>kaitlin.bergan@generatecapital.com</t>
  </si>
  <si>
    <t>Principal, Capital Formation Team</t>
  </si>
  <si>
    <t>444735-10P</t>
  </si>
  <si>
    <t>Katherine Treuer</t>
  </si>
  <si>
    <t>Treuer</t>
  </si>
  <si>
    <t>Ms. Katherine Treuer serves as Managing Director, Credit at Generate. She is responsible for originating, structuring, and executing renewable energy and sustainable infrastructure transactions within the Generate Credit business unit. Katie brings more than 10 years of experience in infrastructure &amp; energy project finance. Prior to Generate, Katie was a Vice President in the Project, Infrastructure, and Principal Finance Group at Goldman Sachs within the Investment Banking Division. While at Goldman Sachs, Katie executed over $50 billion in debt financings across the renewable and conventional power generation, infrastructure, and broader natural resources sector for clients in the United States and Latin America. Katie has a B.S. in Materials Science and Engineering from the Massachusetts Institute of Technology.</t>
  </si>
  <si>
    <t>katherine.treuer@generatecapital.com</t>
  </si>
  <si>
    <t>155309-86P</t>
  </si>
  <si>
    <t>Kristine Janhunen</t>
  </si>
  <si>
    <t>Janhunen</t>
  </si>
  <si>
    <t>Ms. Kristine Janhunen serves as Chief People Officer at Generate. She Founded and served as Senior Partner at Delivery Point Advisors. She serves as Board Member at Clean Bus Solutions.</t>
  </si>
  <si>
    <t>kristine@generatecapital.com</t>
  </si>
  <si>
    <t>322638-13P</t>
  </si>
  <si>
    <t>Laxman Ramu</t>
  </si>
  <si>
    <t>Laxman</t>
  </si>
  <si>
    <t>Ramu</t>
  </si>
  <si>
    <t>Mr. Laxman Ramu serves as Managing Director, Investments at Generate. He is responsible for originating, executing, and managing sustainable infrastructure investments. He has more than 13 years of experience as a principal investor and investment banker in the infrastructure industry. Throughout his career, he has completed over $5 billion of transactions in the generation, utility, and transportation sectors. Prior to Generate, he was a Director at Macquarie Asset Management in New York. He holds a BS in Electrical and Electronics Engineering from the College of Engineering, Guindy, and an MBA from XLRI in India.</t>
  </si>
  <si>
    <t>laxman.ramu@generatecapital.com</t>
  </si>
  <si>
    <t>236738-53P</t>
  </si>
  <si>
    <t>Nam Tran Nguyen</t>
  </si>
  <si>
    <t>Tran Nguyen</t>
  </si>
  <si>
    <t>Ms. Nam Tran Nguyen serves as Chief Operating Officer at Generate. She serves as Board Member at Conasa Infraestrutura. She served as Board Observer at Generate-Ubiquity Management. She is responsible for the company's assets and portfolio and operations. Prior to joining Generate, Nam was Executive Vice President at SunPower, one of the largest solar companies in the world. Nam was responsible for SunPower's Commercial Solar division, delivering approximately $500 million in revenues and number 1 market share in the U.S. Prior to that, Nam served as Senior Vice President and oversaw SunPower's power plant business in Latin America, where she was responsible for the P&amp;L, driving approximately 1GW of contracted pipeline and $1.5 billion in revenues. Prior to SunPower, Nam was Vice President of Global Business Development at First Solar. At First Solar, she led the sale and financing of the First Solar project pipeline, including raising $8 billion of financing, and various M&amp;A activities. She also led the expansion of First Solar's global platform and pipeline. Prior to First Solar, Nam was responsible for corporate development and strategy at a solar start-up OptiSolar, where she helped raise $300 million in venture funding and eventually led the sale of OptiSolar to First Solar. She has also held various roles in investment banking working in New York, Singapore, and Los Angeles. Nam has a BA in Economics from Columbia University and an MBA from Harvard University and was a Fulbright Scholar.</t>
  </si>
  <si>
    <t>nam@generatecapital.com</t>
  </si>
  <si>
    <t>415425-61P</t>
  </si>
  <si>
    <t>Nancy Tsang</t>
  </si>
  <si>
    <t>Tsang</t>
  </si>
  <si>
    <t>Nancy Tsang serves as Chief Risk Officer at Generate.</t>
  </si>
  <si>
    <t>nancy.tsang@generatecapital.com</t>
  </si>
  <si>
    <t>102089-89P</t>
  </si>
  <si>
    <t>Peggy Flannery</t>
  </si>
  <si>
    <t>Flannery</t>
  </si>
  <si>
    <t>Ms. Peggy Flannery serves as Managing Director, Investments at Generate. Ms. Hannon served as Director of North American Business Development at SunEdison. Previously, she served as a Sr. Manager, North American Business Development at SunEdison. She holds a BA from Columbia University in Environmental Science and Mathematics.</t>
  </si>
  <si>
    <t>peggy@generatecapital.com</t>
  </si>
  <si>
    <t>330929-74P</t>
  </si>
  <si>
    <t>Peter Nulsen</t>
  </si>
  <si>
    <t>Nulsen</t>
  </si>
  <si>
    <t>Mr. Peter Nulsen serves as Managing Director, Investments at Generate. He has led investments in microgrids, stationary energy storage, fuel cells, and clean transportation assets. Prior to Generate, he worked in General Electric's (GE's) Energy business holding commercial finance roles in the US and UK, as well as in GE's Energy Finance Services group where he invested in solar and energy storage assets. Prior to GE, Peter supported project finance and the solar panel procurement strategy for a solar energy developer in both the U.S. and China. He has a BA in political economy from Georgetown University where he was recognized as a Baker Scholar.</t>
  </si>
  <si>
    <t>peter@generatecapital.com</t>
  </si>
  <si>
    <t>410479-12P</t>
  </si>
  <si>
    <t>Peyton Caves</t>
  </si>
  <si>
    <t>Peyton</t>
  </si>
  <si>
    <t>Caves</t>
  </si>
  <si>
    <t>Ms. Peyton Caves serves as Associate, Fundraising at Generate.</t>
  </si>
  <si>
    <t>peyton.caves@generatecapital.com</t>
  </si>
  <si>
    <t>Associate, Fundraising</t>
  </si>
  <si>
    <t>41410-54P</t>
  </si>
  <si>
    <t>Pietro Lomazzi</t>
  </si>
  <si>
    <t>Lomazzi</t>
  </si>
  <si>
    <t>Mr. Pietro Lomazzi serves as Managing Director, Investments at Generate. He serves as Board Member at Bright Power. He served as an analyst with Sorgenia, the anchor investor in Noventi's Fund II. He was assigned to Noventi as an Investment Analyst in 2009. Prior to joining Noventi, he served in the corporate business development unit of Sorgenia, the largest private utility in Italy. While with Sorgenia, he was responsible for analyzing new markets, evaluating new business opportunities, coordinating teams involved in both national and international acquisitions, and following early-stage development projects. Prior to joining Sorgenia, he served as a consultant with the Milan Institute of Technology for hydrological dam discharge design and water pollution assessment. He holds an MS/BS in environmental engineering from the Politecnico di Milano, an MS in renewable energy and climate policies from the Politecnico di Milano and, an MBA from the Wharton School at the University of Pennsylvania.</t>
  </si>
  <si>
    <t>+1 (650) 325-6699</t>
  </si>
  <si>
    <t>plomazzi@generatecapital.com</t>
  </si>
  <si>
    <t>410483-53P</t>
  </si>
  <si>
    <t>Regina Chung</t>
  </si>
  <si>
    <t>Ms. Regina Chung serves as Head of Infrastructure Fundraising at Generate. She leads product formation and fundraising at Generate Capital. Regina brings over 15 years of experience across infrastructure investing, fundraising and banking. Prior to joining Generate, Regina was at CIM Group where she was responsible for investorcoverage in North America and leading the firm's infrastructure co-investment efforts. Before CIM, Regina was the inaugural infrastructure product specialist for IFM Investors. Regina has also held investment roles at the National Pension Service of Korea and Darby, investing in transportation, power &amp; energy, renewables sectors across direct, fund and co-investment structures. Regina began her career at Macquarie Capital providing financial advisory for infrastructure project and corporate financing, and M&amp;A transactions. Regina holds MS in Finance from INSEAD and BA in Economics from Yonsei University.</t>
  </si>
  <si>
    <t>regina.chung@generatecapital.com</t>
  </si>
  <si>
    <t>Head of Infrastructure Fundraising</t>
  </si>
  <si>
    <t>415359-91P</t>
  </si>
  <si>
    <t>Ryan Miller</t>
  </si>
  <si>
    <t>Ryan Miller is a Principal, Investments at Generate Capital, where he oversees investments in power, digital infrastructure, and transportation. With over 10 years of experience in renewable energy and infrastructure investing, he has played a key role in transactions totaling over $5 billion in sustainable infrastructure. Before joining Generate in 2021, he served as a Strategic Business Development Advisor at Shell New Energies, where he focused on acquisitions of onshore renewable power projects and development partnerships. Prior to his tenure at Shell, he was part of JP Morgan's tax equity team, where he structured and executed complex tax equity transactions. Earlier in his career, he held various positions in banking and capital markets. He holds a B.S. in Finance from Virginia Tech and is a CFA charter holder. He is based in Generate Capital's New York City office and is an active member of the LGBTQIA employee resource group.</t>
  </si>
  <si>
    <t>ryan.miller@generatecapital.com</t>
  </si>
  <si>
    <t>414791-65P</t>
  </si>
  <si>
    <t>Sam Blodgett</t>
  </si>
  <si>
    <t>Blodgett</t>
  </si>
  <si>
    <t>Mr. Sam Blodgett serves as the Principal, Capital Formation at Generate. He has worked for over a decade at the intersection of renewable energy, financial markets, and public policy. At Generate, He leads corporate transactions and develops capital formation strategy and positioning. Since joining in 2020, he has helped Generate raise more than $4.7 billion of new equity and debt capital. Prior to Generate, He was an investment banker covering the power and renewables sector at Bank of America Merrill Lynch. He advised leading institutional investors, utilities, and independent power producers on mergers, acquisitions, and capital markets transactions. He began his career in Washington, DC at The Glover Park Group and at Advanced Energy Economy, where he designed and executed advocacy campaigns for public policies to grow the renewable energy industry. He received a B.A. in History from the University of California, Berkeley, and an M.B.A. from New York University's Stern School of Business.</t>
  </si>
  <si>
    <t>sam.blodgett@generatecapital.com</t>
  </si>
  <si>
    <t>367667-92P</t>
  </si>
  <si>
    <t>Sarie Lovell</t>
  </si>
  <si>
    <t>Sarie</t>
  </si>
  <si>
    <t>Lovell</t>
  </si>
  <si>
    <t>Ms. Sarie Lovell serves as the Head of Asset Management &amp; Operations at Generate. She has 10 years of experience in renewable energy asset management and, prior to that, nine years of experience in finance and data analytics. Before joining Generate, Sari led the asset management function at Longroad Energy, and in previous positions, she held leadership roles in asset management at SunEdison and First Wind Energy, with portfolio sizes ranging from 1.3 to 2.6 GW and more than $2 billion in assets under management. Over the course of her career in renewables, she has played a key role in many renewable energy firsts, including the first wind energy project in Hawaii, the first utility-scale wind project to be coupled with utility-scale battery storage, and the first wind project to be built on federal lands. She holds a BA in Interdisciplinary Studies with an emphasis on economics and management information systems from UC Berkeley.</t>
  </si>
  <si>
    <t>sarie@generatecapital.com</t>
  </si>
  <si>
    <t>Head of Asset Management &amp; Operations</t>
  </si>
  <si>
    <t>330922-81P</t>
  </si>
  <si>
    <t>Scott Gosselink</t>
  </si>
  <si>
    <t>Gosselink</t>
  </si>
  <si>
    <t>Mr. Scott Gosselink serves as Managing Director &amp; Member of the Investment Committee at Generate. He serves as a Board Member at Ambient Fuels. He focuses on the emerging clean-mobility sector by accelerating the decarbonization of transportation. Prior to Generate Capital, he spent time at SunEdison, EDF-Renewable Energy, and the Lower Colorado River Authority where he developed, marketed, and structured several billion dollars for renewable energy and energy transition projects. He received his Bachelor of Science in Commerce from Washington and Lee University, and an MBA from the Yale School of Management.</t>
  </si>
  <si>
    <t>sgosselink@generatecapital.com</t>
  </si>
  <si>
    <t>Managing Director &amp; Member of the Investment Committee</t>
  </si>
  <si>
    <t>91801-63P</t>
  </si>
  <si>
    <t>Scott Jacobs</t>
  </si>
  <si>
    <t>Mr. Scott Jacobs is a Co-Founder &amp; serves as Chief Executive Officer, Board Member &amp; Management Committee Member at Generate. Mr. Jacob's long-standing emphasis on innovative approaches to thematic investing focuses broadly on the "resource revolution." Before Generate, he served as a Managing Director and Co-Founder of EFW Partners, an investment firm focused on the world's critical resources: energy, food, and water. In 2007, he co-founded McKinsey &amp; Company's global CleanTech practice, advising companies, institutional investors, NGOs, and governments around the world. Before that, he spent over a decade in technology and venture capital, helping start and grow many companies, including PolyServe (acquired by HP) and Alliance Data Systems (acquired by FiServ). Mr. Jacobs earned his MBA with high distinction from Harvard Business School, where he was named a George F. Baker Scholar, and his BA cum laude from Dartmouth College. Mr. Jacobs also serves on the Board of Rare, a leading global conservation non-profit.</t>
  </si>
  <si>
    <t>scott@generatecapital.com</t>
  </si>
  <si>
    <t>Co-Founder, Chief Executive Officer, Board Member &amp; Management Committee Member</t>
  </si>
  <si>
    <t>367664-32P</t>
  </si>
  <si>
    <t>Skye d'Almeida</t>
  </si>
  <si>
    <t>Skye</t>
  </si>
  <si>
    <t>d'Almeida</t>
  </si>
  <si>
    <t>Ms. Skye d'Almeida serves as a Principal of Capital Market at Generate. She oversees global coverage of institutional investors to identify new opportunities to invest together in sustainable infrastructure. She has spent the last 14 years in sustainable infrastructure and energy, working in private, government, and non-profit sectors. Before Generate, she was a Senior Vice President in Macquarie's Green Investment Group where she led investor coverage for the Americas and managed relationships with pension, sovereign wealth, infrastructure, and private equity funds investing in sustainable infrastructure globally. Before Macquarie, she managed the Sustainable Infrastructure Finance Network for C40 Cities Climate Leadership Group where she co-created the Financing Sustainable Cities Initiative to support Mayors and officials in over 80 cities around the world. She started her career with the Australian Government and helped design Australia's first emissions trading scheme. She holds a Master of International Finance from Deakin University and a Bachelor of Business and Bachelor of Science from the University of Queensland.</t>
  </si>
  <si>
    <t>skye.dalmeida@generatecapital.com</t>
  </si>
  <si>
    <t>Principal, Capital Market</t>
  </si>
  <si>
    <t>367658-29P</t>
  </si>
  <si>
    <t>Stephanie Kwong</t>
  </si>
  <si>
    <t>Kwong</t>
  </si>
  <si>
    <t>Ms. Stephanie Kwong serves as a Principal of Investments at Generate. She is responsible for originating, executing, and managing the firm's digital infrastructure investments. Prior to Generate, she held investment roles at IM Investors' Global and Australian Infrastructure Funds, completing over $10 billion of transactions across the digital, energy, and transportation sectors in North America. She has managed investments and has served as a shareholder representative across digital, midstream, district energy, airports, and toll road portfolio companies in the US and Australia. She commenced her career in investment banking at Lazard. She graduated from the University of Melbourne with a Bachelor of Commerce (Economics and Finance), and Bachelor of Laws (LLB), with Honours.</t>
  </si>
  <si>
    <t>stephanie.kwong@generatecapital.com</t>
  </si>
  <si>
    <t>415358-11P</t>
  </si>
  <si>
    <t>Sven Semmelmann</t>
  </si>
  <si>
    <t>Semmelmann</t>
  </si>
  <si>
    <t>Mr. Sven Semmelmann serves as Managing Director, Structured Finance at Generate. His responsibilities include structuring and raising project finance debt and tax equity for Generate's asset portfolio. He brings more than 15 years of experience in infrastructure and energy project finance. Before Generate, he worked for Deutsche Bank and ICBC where he advised, structured, and led infrastructure, power, and renewable energy transactions, He executed a cumulative deal volume that exceeded $20bn across North America, Latin America, and Europe. He holds a "Diplom-Kaugmann" from the University of Augsburg in Germany.</t>
  </si>
  <si>
    <t>sven.semmelmann@generatecapital.com</t>
  </si>
  <si>
    <t>Managing Director, Structured Finance</t>
  </si>
  <si>
    <t>178559-56P</t>
  </si>
  <si>
    <t>Tony Hack</t>
  </si>
  <si>
    <t>Hack</t>
  </si>
  <si>
    <t>Mr. Tony Hack serves as a Principal, Investments at Generate. Mr. Hack served as Vice President at NY Green Bank. He represents NY Green Bank on the Investment &amp; Portfolio Management team, where he supports the origination, evaluation, and execution of clean energy investments. Prior to joining NY Green Bank, Mr. Hack spent over two years at Starwood Energy Group, an energy infrastructure private equity firm. At Starwood, he worked on acquisitions and asset management, and also supported the firm's investor relations and fundraising activities. With respect to acquisitions, Mr. Hack focused on large-scale power generation, primarily solar, wind, and natural gas assets. Mr. Hack started his career at Citigroup as a member of the firm's Global Strategies &amp; Initiatives team. From there he transitioned to Citi's investment bank. As an analyst in the firm's North American Power &amp; Utilities group, Mr. Hack worked on a variety of conventional and renewable power generation transactions. Mr. Hack holds a bachelor's degree in sociology from Princeton University and a Master of Business Administration degree from Columbia University.</t>
  </si>
  <si>
    <t>tony.hack@generatecapital.com</t>
  </si>
  <si>
    <t>288441-46P</t>
  </si>
  <si>
    <t>William Caesar</t>
  </si>
  <si>
    <t>Caesar</t>
  </si>
  <si>
    <t>Mr. William Caesar serves as President, Generate Upcycle at Generate. He joined Generate after serving as the CEO of WCA Waste for 7 years. Prior to WCA, he was the Chief Strategy Officer for Waste Management (WM) and then the President of WM Recycling where he oversaw WM's organics business plus early-stage technology and services investments for four years. Before entering the waste management space, he was a principal at McKinsey &amp; Company in Atlanta. During his 13-year tenure at McKinsey, he advised clients across a broad spectrum of industries on corporate strategy, growth initiatives, and performance improvement. Earlier in his career, he also served as a Russian analyst at the U.S. State Department and the Central Intelligence Agency. He holds a BA in Russian Studies from Colgate University, an MA in Russian Studies from Georgetown University, and an MBA from the Fuqua School of Business at Duke University, where he was awarded a Keller Scholar Fellowship and graduated as a Fuqua Scholar.</t>
  </si>
  <si>
    <t>bill.caesar@generatecapital.com</t>
  </si>
  <si>
    <t>President, Generate Upcycle</t>
  </si>
  <si>
    <t>14045-23P</t>
  </si>
  <si>
    <t>William Sonneborn</t>
  </si>
  <si>
    <t>Sonneborn</t>
  </si>
  <si>
    <t>Mr. William Sonneborn serves as President at Generate. He/She also serves as a Board Member &amp; Member of the Committee on Finance and Administration at Georgetown University. Mr. Sonneborn was Senior Director of Disruptive Technologies and Funds at International Finance Corporation. Before joining IFC, Bill was the President of EIG and a member of the Investment and Executive Committees. Before joining EIG, he was a Kohlberg Kravis Roberts &amp; Co. partner and a member of KKR's Management Committee. Bill served as Chief Executive Officer of KKR Asset Management and CEO and Director of KKR Financial Corporation, a publicly traded specialty finance firm.</t>
  </si>
  <si>
    <t>william.sonneborn@generatecapital.com</t>
  </si>
  <si>
    <t>207889-21P</t>
  </si>
  <si>
    <t>Alexander Lavin</t>
  </si>
  <si>
    <t>Lavin</t>
  </si>
  <si>
    <t>Germin8 Ventures</t>
  </si>
  <si>
    <t>Mr. Alexander Lavin serves as Founder &amp; Chief Executive Officer at Pasteur Labs. He also serves as Advisor &amp; Resident AI Technologist at Germin8 Ventures. He Founded &amp; served as Chief Executive Officer &amp; Director, of Artificial Intelligence at Latent Sciences. Lavin earned his Masters's in Mechanical Engineering at Carnegie Mellon, a master in Engineering Management with Duke University, and Bachelor's in Mech &amp; Aero Engineering at Cornell University. He has won several awards for work in rocket science and space robotics, published in top journals and conferences across AI/ML and neuroscience, and was an honoree for the Forbes 30 Under 30 List in Science and the Patrick J. McGovern Tech for Humanity Prize. In his free time, Lavin enjoys running, yoga, live music, and reading sci-fi and theoretical physics books.</t>
  </si>
  <si>
    <t>19 Morris Avenue</t>
  </si>
  <si>
    <t>11205-1095</t>
  </si>
  <si>
    <t>Pasteur Labs</t>
  </si>
  <si>
    <t>275826-07P</t>
  </si>
  <si>
    <t>Ashlie Burkart</t>
  </si>
  <si>
    <t>Ashlie</t>
  </si>
  <si>
    <t>Burkart</t>
  </si>
  <si>
    <t>Chief Scientific Officer</t>
  </si>
  <si>
    <t>Dr. Ashlie Burkart serves as Chief Scientific Officer at Germin8 Ventures. As a double-boarded anatomic and clinical pathologist with expertise in gastrointestinal/liver pathology, Dr. Burkart is uniquely skilled at investigating the causes and nature of gastrointestinal diseases, as well as the laboratory application of biological, chemical, and physical sciences. She is also a Technology and Public Purpose Fellow at Harvard Kennedy School's Belfer Center for Science and International Affairs, the No. 1 university think tank in the world, and is a grant-funded researcher conducting gut barrier mechanistic studies with far-reaching implications for human health and disease. Dr. Burkart received a B.A. in biology from Brown University, where she graduated magna cum laude with honor in neuroscience, and an M.D. from McGill University's Faculty of Medicine and Health Sciences. Dr. Burkart completed residencies in anatomic pathology and clinical pathology at John Hopkins Medical Institutions, as well as a fellowship in gastrointestinal/liver pathology at the Hospital of the University of Pennsylvania.</t>
  </si>
  <si>
    <t>ashlie@germin8ventures.com</t>
  </si>
  <si>
    <t>318098-98P</t>
  </si>
  <si>
    <t>Brady Sidwell</t>
  </si>
  <si>
    <t>Sidwell</t>
  </si>
  <si>
    <t>Mr. Brady Sidwell serves as Advisor &amp; Resident Ag Executive at Germin8 Ventures. Mr. Sidwell bringing vast expertise and networks from past senior positions at global companies such OSI Group and Rabobank, as well as unique know-how as a professional farmer, innovator and entrepreneur.</t>
  </si>
  <si>
    <t>Advisor &amp; Resident Ag Executive</t>
  </si>
  <si>
    <t>255198-70P</t>
  </si>
  <si>
    <t>Charles Holmes</t>
  </si>
  <si>
    <t>Mr. Charles Holmes serves as an Associate at Germin8 Ventures. Before Germin8, he served as Manager of Farm Innovation, M&amp;A, and Strategic Partnerships for Sensei Ag, (a Larry Ellison-founded AgTech company), Investments Lead at Frontier Farmland (acquired by FBN), and an Investment Associate at Farmland LP. He also began his career in investment banking at Sandler O'Neill &amp; Partners (merged to form Piper Sandler) and Youngwoo &amp; Associates LLC, an international real estate developer. He received his bachelor's degree in Economics from Yale University and resides in the San Francisco Bay Area.</t>
  </si>
  <si>
    <t>charles@germin8ventures.com</t>
  </si>
  <si>
    <t>233896-42P</t>
  </si>
  <si>
    <t>Danny Ayalon</t>
  </si>
  <si>
    <t>Ayalon</t>
  </si>
  <si>
    <t>Mr. Danny Ayalon is a Co-Founder and serves as Chairman at Silver Road Capital. Ambassador Danny Ayalon (Former Israeli Ambassador to the United States of America) is the Co-Founder &amp; Chairman of Silver Road Capital Group. In addition, Ambassador Ayalon serves as the Co-Chairman of Silver Stone Global Partners a Deep-Tech &amp; Blockchain VC and an Advisor &amp; Overseas Affiliate at Germin8 Ventures a leading Food &amp; Ag Tech investment fund. Ayalon is a member of the Board of Governors of Tel Aviv University, and the Lantos Human Rights and Justice Foundation in Washington, DC. He is a visiting professor at Yeshiva University teaching a course on Statecraft, Public Diplomacy, and International Relations. Prior to this, Danny served as a Member of Knesset (Israeli Parliament) and was Deputy Minister of Foreign Affairs of the State of Israel, from 2009 to 2013, and Israel's Ambassador to the United States from July 2002 to November 2006. From 1997-2002, prior to his appointment to Washington, Ayalon served as Foreign Policy Advisor to Prime Ministers Benjamin Netanyahu and Ehud Barak, and as Chief Foreign Policy Advisor to Prime Minister Ariel Sharon. Ambassador Ayalon holds an MBA and a BA in Economics and Labor Studies. He was a Captain in the IDF Armored Corps.</t>
  </si>
  <si>
    <t>danny@silverroadcapital.com</t>
  </si>
  <si>
    <t>Herzliya</t>
  </si>
  <si>
    <t>Herzliya, Israel</t>
  </si>
  <si>
    <t>89 Medinat HaYehudim street</t>
  </si>
  <si>
    <t>Herzliya Pituach</t>
  </si>
  <si>
    <t>4673300</t>
  </si>
  <si>
    <t>Silver Road Capital</t>
  </si>
  <si>
    <t>318098-62P</t>
  </si>
  <si>
    <t>Jay Bauer</t>
  </si>
  <si>
    <t>Mr. Jay Bauer serves as Advisor &amp; Food Innovation Executive at Germin8 Ventures. Mr. Bauer CEO of National Pizza &amp; Foods, with expertise across food manufacturing, product innovation, rapid scale-up and supply chain. Jay has built one of the largest manufacturing and R&amp;D partners to major, global blue-chip food companies and has a vast network of close partners.</t>
  </si>
  <si>
    <t>Advisor &amp; Food Innovation Executive</t>
  </si>
  <si>
    <t>39419-11P</t>
  </si>
  <si>
    <t>Lior Maimon</t>
  </si>
  <si>
    <t>Maimon</t>
  </si>
  <si>
    <t>Mr. Lior Maimon is a Co-Founder and serves as Chief Executive Officer &amp; Chairman at Silver Road Capital. He also serves as Advisor &amp; Overseas Affiliate at Germin8 Ventures. As CEO of the group, Mr. Maimon is responsible for the day-to-day management of the company as well as building the global strategy and entering new markets and activities, as well as Mr. Maimon is responsible for realizing the strategy and turning Silver Road Capital Group into a leading global player. Mr. Maimon is a businessman and entrepreneur with 25 years of experience in leading complex transactions in both the private and public markets, as well as extensive experience in investment banking in the global market, he has extensive experience in building and managing many companies in the finance and technology sectors, including extensive experience in fundraising and international collaborations. Mr. Maimon also serves as the owner of the holding company Synol Capital LTD and as a founding partner in the SIlver Stone Global Partners a Deep-Tech &amp; Blockchain VC, and a GP Partner at Germin8 Ventures a leading Food &amp; Ag Tech investment fund. Before that, Mr. Maimon founded several technology companies, some of which were acquired by large software companies.</t>
  </si>
  <si>
    <t>lior@silverroadcapital.com</t>
  </si>
  <si>
    <t>78947-83P</t>
  </si>
  <si>
    <t>Michael Lavin</t>
  </si>
  <si>
    <t>Mr. Michael Lavin is the Founder and serves as Managing Partner at Germin8 Ventures. He serves as Board Member at Matterworks. He serves as a Board Observer at Andes. He founded Germin8 Ventures, which is a venture capital fund that is seeking to improve the global food system and is innovative in its own right, providing both investment and strategic resources to the founders of transformative food and agtech companies around the world. He oversees the fund's operations, investment activities, and investor relations, as well as participates on the boards of invested companies. He is also a mentor and member at several accelerators and incubators, including the Techstars Farm to Fork Accelerator, 1871, The Good Food Accelerator, Family Farmed, The Hatchery, and the TERRA program at RocketSpace. Previously, he was an investment banker at Chicago-based Mesirow Financial where he successfully executed numerous M&amp;A, capital raising, and restructuring transactions across a variety of sectors, including food &amp; consumer, industrial technology, aerospace &amp; defense, packaging, and industrials. Additionally, he also served on Mesirow's corporate development team and advised the board of directors on matters related to acquisitions, investments, and divestitures. Prior to joining Mesirow's investment banking practice, He worked in the consulting practice advising on corporate turnarounds and financial restructurings, as well as forensics and litigation support. He graduated from the University of Illinois with both bachelor's and master's degrees in finance.</t>
  </si>
  <si>
    <t>+1 (847) 989-2733</t>
  </si>
  <si>
    <t>michael@germin8ventures.com</t>
  </si>
  <si>
    <t>178273-00P</t>
  </si>
  <si>
    <t>Steven Lavin</t>
  </si>
  <si>
    <t>Advisor &amp; General Counsel</t>
  </si>
  <si>
    <t>Mr. Steven Lavin is a Co-Founder and serves as Director at Silver Road Capital. He served as Board Member at Bank Leumi USA. He also serves as Advisor &amp; General Counsel at Germin8Ventures.</t>
  </si>
  <si>
    <t>steve@silverroadcapital.com</t>
  </si>
  <si>
    <t>Highland Park</t>
  </si>
  <si>
    <t>Highland Park, IL</t>
  </si>
  <si>
    <t>1849 Green Bay Road</t>
  </si>
  <si>
    <t>Suite 440</t>
  </si>
  <si>
    <t>60035</t>
  </si>
  <si>
    <t>Co-Founder &amp; Director</t>
  </si>
  <si>
    <t>266965-57P</t>
  </si>
  <si>
    <t>Erik Bruckner</t>
  </si>
  <si>
    <t>Bruckner</t>
  </si>
  <si>
    <t>Giant Step Capital</t>
  </si>
  <si>
    <t>Mr. Erik Bruckner serves as General Partner at Giant Step Capital. He also serves as a General Partner at Bruckner Ventures. He serves as Venture Partner at VU Venture Partners. He is also an angel investor. He earned an MBA from Ohio State University, Fisher College of Business.</t>
  </si>
  <si>
    <t>+1 (724) 554-1870</t>
  </si>
  <si>
    <t>e@giantstep.vc</t>
  </si>
  <si>
    <t>142580-17P</t>
  </si>
  <si>
    <t>Faraz Khan</t>
  </si>
  <si>
    <t>Faraz</t>
  </si>
  <si>
    <t>Mr. Faraz Khan is the Founder and serves as General Partner at Giant Step Capital. He served as Principal at VU Venture Partners. He is the Founder of OutLive. He Co-Founded Freebie and served as its Vice President.</t>
  </si>
  <si>
    <t>194233-51P</t>
  </si>
  <si>
    <t>Poppy Crum</t>
  </si>
  <si>
    <t>Crum</t>
  </si>
  <si>
    <t>Dr. Poppy Crum serves as Managing Director at Giant Step Capital. He served as Chief Technology Officer at Nextsense. He serves as Chief Scientist at Dolby Laboratories. He served as Chief Technology Officer at Trimble.</t>
  </si>
  <si>
    <t>poppy@giantstep.vc</t>
  </si>
  <si>
    <t>369824-23P</t>
  </si>
  <si>
    <t>Adam Badaoui</t>
  </si>
  <si>
    <t>Badaoui</t>
  </si>
  <si>
    <t>GIC Private</t>
  </si>
  <si>
    <t>Mr. Adam Badaoui serves as Assistant Vice President - Private Equity at GIC (Singapore).</t>
  </si>
  <si>
    <t>+44 (0)20 7725 3888</t>
  </si>
  <si>
    <t>adambadaoui@gic.com.sg</t>
  </si>
  <si>
    <t>1st &amp; 2nd floor York House</t>
  </si>
  <si>
    <t>45 Seymour Street</t>
  </si>
  <si>
    <t>W1H 7LX</t>
  </si>
  <si>
    <t>Assistant Vice President - Private Equity</t>
  </si>
  <si>
    <t>370106-56P</t>
  </si>
  <si>
    <t>Adeleine Yong</t>
  </si>
  <si>
    <t>Adeleine</t>
  </si>
  <si>
    <t>Ms. Adeleine Yong serves as Executive, GIC Private Equity (Secondaries, Funds &amp; Co-investments) at GIC Private.</t>
  </si>
  <si>
    <t>+65 6889 8888</t>
  </si>
  <si>
    <t>168 Robinson Road</t>
  </si>
  <si>
    <t>Suite 37-01 Capital Tower</t>
  </si>
  <si>
    <t>068912</t>
  </si>
  <si>
    <t>Executive, GIC Private Equity (Secondaries, Funds &amp; Co-investments)</t>
  </si>
  <si>
    <t>339692-50P</t>
  </si>
  <si>
    <t>Adeline Ong</t>
  </si>
  <si>
    <t>Adeline</t>
  </si>
  <si>
    <t>Ong</t>
  </si>
  <si>
    <t>Ms. Adeline Ong serves as Associate at GIC (Singapore).</t>
  </si>
  <si>
    <t>adelineong@gic.com.sg</t>
  </si>
  <si>
    <t>390660-49P</t>
  </si>
  <si>
    <t>Ai Chiat Wong</t>
  </si>
  <si>
    <t>Ai Chiat</t>
  </si>
  <si>
    <t>Ms. Ai Chiat Wong serves as Head of Governance and Client Relations, and Director, Corporate Administration &amp; Infrastructure at GIC (Singapore). In her GCR role, she oversees the team managing GIC's relationships with our Clients (MOF and MAS) and serves as Board and Group Executive Committee (GEC) secretariat. In her role in CAID, she is responsible for global corporate infrastructure, administration planning, and execution. She joined GIC in 1997 and was involved in several enterprise change projects, including a short stint from 2013 to 2014 as Deputy Head, Enterprise Process Excellence (EPE) to lead efforts to identify GIC-wide process improvement opportunities and work with stakeholders to optimize processes that span multiple groups. She holds a Bachelor of Arts in Banking and Finance from Nanyang Technological University. She has also attended the Stanford Executive Program.</t>
  </si>
  <si>
    <t>wongchiat@gic.com.sg</t>
  </si>
  <si>
    <t>Head of Governance and Client Relations, and Director, Corporate Administration &amp; Infrastructure</t>
  </si>
  <si>
    <t>247971-97P</t>
  </si>
  <si>
    <t>Alex Moskowitz</t>
  </si>
  <si>
    <t>Moskowitz</t>
  </si>
  <si>
    <t>Mr. Alex Moskowitz serves as Senior Vice President at GIC (Singapore). Before joining GIC in 2008, he was an associate at CIVC Partners, a middle-market private equity fund, and an analyst at William Blair &amp; Company. He has board responsibilities for several GIC portfolio companies, including HUB International Limited, Kronos Incorporated, and Ancestry.com. Mr. Moskowitz received an MBA from the Stanford Graduate School of Business and a BA in Economics, magna cum laude, from the University of Pennsylvania.</t>
  </si>
  <si>
    <t>+1 (415) 229-1800</t>
  </si>
  <si>
    <t>amoskowitz@gic.com.sg</t>
  </si>
  <si>
    <t>280 Park Avenue</t>
  </si>
  <si>
    <t>390430-81P</t>
  </si>
  <si>
    <t>Andrew Dench</t>
  </si>
  <si>
    <t>Dench</t>
  </si>
  <si>
    <t>Mr. Andrew Dench serves as Head of Asset Management and Infrastructure at GIC. He also serves as a Board Member at Heathrow Airport Holdings. In this role, he oversees infrastructure asset value creation and custody strategies across GIC's offices in Europe, Asia, and the Americas. He has also held direct roles on the boards of many large and more complex investments. Prior to joining GIC, he held a range of C-suite roles for network utilities and contracting businesses in Northern Europe. Earlier in his career, he spent 15 years in M&amp;A and strategic advisory, largely at Morgan Stanley, focused on the infrastructure, natural resources, and energy sectors. He holds a Master of Arts (First Class Honours) in Political Economy from the University of Glasgow. He also holds a Post-Graduate Diploma in Business IT Systems from Strathclyde Graduate Business School. He also studied pre-clinical medicine at Oxford University.</t>
  </si>
  <si>
    <t>andrewdench@gic.com.sg</t>
  </si>
  <si>
    <t>Head of Asset Management, Infrastructure</t>
  </si>
  <si>
    <t>411193-81P</t>
  </si>
  <si>
    <t>Andrew Vincent</t>
  </si>
  <si>
    <t>Mr. Andrew Vincent serves as Private Equity, Assistant Vice President, Private equity at GIC Private.</t>
  </si>
  <si>
    <t>andrewvincent@gic.com.sg</t>
  </si>
  <si>
    <t>Private Equity, Assistant Vice President, Private equity</t>
  </si>
  <si>
    <t>61735-78P</t>
  </si>
  <si>
    <t>Ang Hua</t>
  </si>
  <si>
    <t>Mr. Ang Hua serves as Chairman of the Investment Board, Member of the Investment Strategies Committee &amp; Board Member at GIC Private. He serves as an International Advisory Committee Member at KV Asia Capital. He serves as Chairman at Agrimax. He serves as a Board Member at Barghest Building Performance. He is also the Chairman of the Board of Sembcorp Industries and GLP. He started his career at the Economic Development Board. He then joined DBS Bank at its inception in 1968 and pioneered its investment banking division. From 1974, he was CEO of NSL (formerly NatSteel) until he retired in 2003, and stayed as its Executive Director until 2010. He was previously Chairman of Singapore Telecommunications and Singapore Post, Vice-Chairman of Neptune Orient Lines, and a Director of DBS Bank, CIMC Raffles Offshore (Singapore), and k1 Ventures. He holds a BSc (Honours) in Economics from the University of Hull.</t>
  </si>
  <si>
    <t>Chairman of the Investment Board, Member of the Investment Strategies Committee &amp; Board Member</t>
  </si>
  <si>
    <t>415392-85P</t>
  </si>
  <si>
    <t>Ang Seng</t>
  </si>
  <si>
    <t>Mr. Ang Seng serves as Chief Investment Officer, Infrastructure at GIC (Singapore).</t>
  </si>
  <si>
    <t>390517-30P</t>
  </si>
  <si>
    <t>Ankur Meattle</t>
  </si>
  <si>
    <t>Meattle</t>
  </si>
  <si>
    <t>Mr. Ankur Meattle serves as Head of Funds &amp; Co-Investments Asia, Private Equity at GIC (Singapore). He serves as an Advisor to the Investment Committee at Singapore Management University. As part of this role, he oversees our Asian private equity funds program, as well as co-investment deals alongside GPs. He joined GIC in 2004 and has been part of various teams within the GIC Asia Private Equity organization. Before joining GIC, he was a Manager with Arthur D Little, a strategy consulting firm, in Singapore. He has also worked with PwC and KPMG in India. He is an Advisor to the Investment Committee of the Singapore Management University (SMU). He holds a Bachelor of Technology from the Indian Institute of Technology (Delhi) and a Master of Business Administration from Duke University.</t>
  </si>
  <si>
    <t>ankurmeattle@gic.com.sg</t>
  </si>
  <si>
    <t>Head of Funds &amp; Co-Investments Asia, Private Equity</t>
  </si>
  <si>
    <t>390338-92P</t>
  </si>
  <si>
    <t>Arjun Gupta</t>
  </si>
  <si>
    <t>Mr. Arjun Gupta serves as President of Europe, Chief Executive Officer's Office at GIC (Singapore). In this role, Arjun heads GIC's London office, which covers Europe, the Middle East, and Africa. In addition, Arjun is co-chair of the GIC Healthcare Business Group, a member of the Integrated Strategies Group Investment Committee, and a member of the Global Leadership Group Nominating Committee. Arjun joined GIC Private Equity in 2010 and subsequently held roles as Head, Portfolio within Private Equity and Head, Consumer and Healthcare for Private Equity. He also served on the Private Equity Management and Investment Committees. Prior to joining GIC, Arjun spent over 20 years in the consumer goods industry with Kraft Foods, where his last two roles were as Managing Director, Greater China and President, Asia Pacific. Arjun holds a Master of Business Administration from the Fuqua School of Business at Duke University in the USA. He also holds a Bachelor of Commerce from the Univ</t>
  </si>
  <si>
    <t>arjungupta@gic.com.sg</t>
  </si>
  <si>
    <t>President of Europe, Chief Executive Officer's Office</t>
  </si>
  <si>
    <t>170300-44P</t>
  </si>
  <si>
    <t>Arjun Khullar</t>
  </si>
  <si>
    <t>Khullar</t>
  </si>
  <si>
    <t>Mr. Arjun Khullar serves as Managing Director and Head of Integrated Strategies at GIC Private. He served as Board Member at I-Pulse. He is Deputy Head of Integrated Strategies Group at GIC Private Limited. Before joining GIC in 2011, he was a Managing Director at JPMorgan. During his 16 years at JPMorgan, he focused on investment banking and equity capital markets in Europe and Asia. Prior to JPMorgan, Mr. Khullar worked at HSBC for five years in Asia. Mr. Khullar has more than 25 years of experience in the financial markets. He received a Masters's Degree from London Business School and is also a Chartered Accountant.</t>
  </si>
  <si>
    <t>+65 6882 1342</t>
  </si>
  <si>
    <t>arjunkhullar@gic.com.sg</t>
  </si>
  <si>
    <t>Managing Director and Head of Integrated Strategies</t>
  </si>
  <si>
    <t>339605-29P</t>
  </si>
  <si>
    <t>Ashish Mittal</t>
  </si>
  <si>
    <t>Mr. Ashish Mittal serves as Senior Vice President, Global Investments, Strategy &amp; Risk Group at GIC (Singapore). Mr. Mittal served as Senior Vice President, Global Investments, Strategy &amp; Risk Group at Group Insurance Concepts.</t>
  </si>
  <si>
    <t>ashishmittal@gic.com.sg</t>
  </si>
  <si>
    <t>Senior Vice President, Global Investments, Strategy &amp; Risk Group</t>
  </si>
  <si>
    <t>166995-73P</t>
  </si>
  <si>
    <t>Betty Tay</t>
  </si>
  <si>
    <t>Ms. Betty Tay serves as Director, External Managers Department at GIC (Singapore). Betty Tay is Director of the External Managers Department at GIC. In her current capacity, Betty oversees GIC's external managers programmes in the Public Markets. In addition, Betty is a member of GIC's Investment Management Committee, GIC's Opportunistic Asset Allocation Investment Committee, and GIC's Business Continuity Steering Committee. Betty joined GIC in 1999 and was a Portfolio Manager in the Emerging Markets Group before joining the Alternative Investment Unit in 2002. Betty has three decades of experience in international financial markets, including stints in both local and global financial institutions. Prior to joining GIC, Betty was Head of the Foreign Exchange Forwards Division in Bankers Trust Company (Singapore). Earlier in her career, she was a proprietary trader with the Development Bank of Singapore (DBS). Betty holds a Bachelor of Science in Mathematics from the National University of Singapore. She is a CFA and CAIA charterholder and has completed the Stanford Executive Program. Betty is a member of the Investment Advisory Committee for the Lee Kuan Yew Fund for Bilingualism and LKY Education Fund. She is also a member of the SBAI Board of Trustees.</t>
  </si>
  <si>
    <t>bettytay@gic.com.sg</t>
  </si>
  <si>
    <t>Director, External Managers Department</t>
  </si>
  <si>
    <t>30277-00P</t>
  </si>
  <si>
    <t>Brian Kapetanis</t>
  </si>
  <si>
    <t>Kapetanis</t>
  </si>
  <si>
    <t>Mr. Brian Kapetanis serves as Head of Secondaries, PE at GIC (Singapore). He served as Vice President of Newbury Partners. He supports the transaction team across all secondary investment related functions, including evaluation and monitoring of investments. Prior to Newbury, Mr. Kapetanis was an Analyst in the Private Equity Group at Auda Private Equity. Previously, he was an analyst with Ernst &amp; Young's Structured Finance Advisory practice and a summer analyst for AIG's Global Investment Group. He graduated cum laude from New York University with a BS in Finance and International Business.</t>
  </si>
  <si>
    <t>briankapetanis@gic.com.sg</t>
  </si>
  <si>
    <t>Head of Secondaries, PE</t>
  </si>
  <si>
    <t>133841-80P</t>
  </si>
  <si>
    <t>Bryan Yeo</t>
  </si>
  <si>
    <t>Yeo</t>
  </si>
  <si>
    <t>Chief Investment Officer &amp; Director</t>
  </si>
  <si>
    <t>Mr. Bryan Yeo serves as Group Chief Investment Officer and Director, Integrated Strategies Group at GIC Private. He served as Chief Investment Officer, Public Equities at GIC (Singapore). He was appointed Chief Investment Officer for Public Equities in June 2016. In his role, he focuses on capital allocation, drives the aggregate equities portfolio construction, and provides the vision and strategic direction for the business. He joined GIC Fixed Income Department as a portfolio manager in 2003 and rose to take on senior roles including Head of Credit Markets, Head of Fixed Income (Americas) based in New York, and Head of Credit Research and Strategy. He was based in GIC's London Office in the early part of his career.Mr. Yeo holds a Bachelor of Arts (First Class Honours) in Engineering from the University of Cambridge and a Master of Science in Financial Mathematics from the University of Chicago. He has completed the Stanford Executive Program from the Stanford University Graduate School of Business.</t>
  </si>
  <si>
    <t>bryanyeo@gic.com.sg</t>
  </si>
  <si>
    <t>Group Chief Investment Officer and Director, Integrated Strategies Group</t>
  </si>
  <si>
    <t>390504-70P</t>
  </si>
  <si>
    <t>Celine Loh</t>
  </si>
  <si>
    <t>Celine</t>
  </si>
  <si>
    <t>Ms. Celine Loh serves as Head of Custody and Investment Monitoring Services, Investment Services Public Markets at GIC. In her roles, she oversees custody management, regulatory reporting and investment compliance, funds investment and execution services, investment services for EIS, total portfolio management services, and Operations Due Diligence. He joined GIC in 1997 and has led several divisions across Investment Services Public Markets. Prior to joining GIC, Celine was Head of Middle Office and Product Management at BNP Private Bank. Earlier in her career, she was an accountant with Singapore Airlines. She holds a Bachelor of Accountancy from Nanyang Technological University in Singapore. She is a Chartered Accountant and has completed the General Management Program at Harvard Business School.</t>
  </si>
  <si>
    <t>celineloh@gic.com.sg</t>
  </si>
  <si>
    <t>Head of Custody and Investment Monitoring Services, Investment Services Public Markets</t>
  </si>
  <si>
    <t>177979-69P</t>
  </si>
  <si>
    <t>Charles Mockly</t>
  </si>
  <si>
    <t>Mockly</t>
  </si>
  <si>
    <t>Mr. Charles Mockly serves as an Assistant Vice President, Private Equity at GIC (Singapore). Mr. Mockly served as Leveraged Finance Analyst at UniCredit.</t>
  </si>
  <si>
    <t>+39 02 8862 1</t>
  </si>
  <si>
    <t>charlesmockly@gic.com.sg</t>
  </si>
  <si>
    <t>Assistant Vice President, Private Equity</t>
  </si>
  <si>
    <t>390503-35P</t>
  </si>
  <si>
    <t>Charles Sing Siong</t>
  </si>
  <si>
    <t>Sing Siong</t>
  </si>
  <si>
    <t>Mr. Charles Sing Siong serves as General Counsel, Legal &amp; Compliance Department at GIC (Singapore). Prior to joining GIC, hewas regional Head of Legal and Compliance for Credit Suisse and was in legal practice before that. He has been a District Councilor with the Central Singapore Community Development Council for 18 years. He is a Board Director of Hwa Chong Institution and a Board Director of the Nanyang Academy of Fine Arts. He is an Advisory Board Member of both the SMU Yong Pung How School of Law and Raffles Girls' Primary School. He is a Member of the School Management Committee for Hwa Chong International School. He is also a Community Advisor for Honour Singapore. For his service to the community, he was awarded the Community Long Service Awards (10 years and 15 years) by the People's Association of Singapore. He was also conferred the Public Service Medal (PBM) in 2016 and the Public Service Star (BBM) in 2023 by the President of Singapore. He holds a Bachelor of Laws from the National University of Singapore and a Master of Laws from the University of Oxford.</t>
  </si>
  <si>
    <t>csingsiong@gic.com.sg</t>
  </si>
  <si>
    <t>General Counsel, Legal &amp; Compliance Department</t>
  </si>
  <si>
    <t>75004-75P</t>
  </si>
  <si>
    <t>Chee Hean Teo</t>
  </si>
  <si>
    <t>Chee Hean</t>
  </si>
  <si>
    <t>Teo</t>
  </si>
  <si>
    <t>Mr. Chee Hean Teo serves as Chairman of the International Advisory Board &amp; Board Member at GIC (Singapore). Mr Teo is the Senior Minister and Coordinating Minister for National Security. He chairs the GIC International Advisory Board. He currently oversees the Smart Nation and Digital Government Group, National Security Coordination Secretariat, National Population and Talent Division, and National Climate Change Secretariat under the Prime Minister's Office. He was Deputy Prime Minister from 2009 to 2019 and has served as Minister for Home Affairs, Minister for Defence, Minister for Education, and Minister for the Environment. He also served as Minister of State in the Ministries of Finance, Communications and Defence. Before entering politics in 1992, he was the Chief of Navy holding the rank of Rear Admiral. Mr Teo graduated with a Bachelor of Science (First Class Honours) in Electrical Engineering and Management Science from the University of Manchester. He holds a Master of Science (Distinction) in Computing Science from Imperial College and a Master in Public Administration from Harvard University.</t>
  </si>
  <si>
    <t>Chairman of the International Advisory Board &amp; Board Member</t>
  </si>
  <si>
    <t>275236-03P</t>
  </si>
  <si>
    <t>Chin Hau Boon</t>
  </si>
  <si>
    <t>Chin Hau</t>
  </si>
  <si>
    <t>Mr. Chin Hau Boon serves as Deputy Chief Investment Officer for Infrastructure at GIC (Singapore). Mr. Boon serves as Board Member at Japan Renewable Energy. He leads teams in Singapore and Sao Paulo in the origination, execution, and asset management of infrastructure transactions. Prior to joining GIC, he was an Investment Manager at Pulsar Energy Capital, where he invested in projects across the energy sector in Europe and the Americas. Before Pulsar, he was a member of the Infrastructure advisory team at Credit Suisse covering a range of projects in transport, logistics, and aerospace. He began his career at Singapore Power where he managed natural gas pipeline projects. He holds a Master of Engineering from Imperial College London and a Master of Business Administration from the University of Chicago.</t>
  </si>
  <si>
    <t>Deputy Chief Investment Officer for Infrastructure</t>
  </si>
  <si>
    <t>76491-01P</t>
  </si>
  <si>
    <t>Chin Kiong Goh</t>
  </si>
  <si>
    <t>Kiong Goh</t>
  </si>
  <si>
    <t>Mr. Chin Kiong Goh serves as Chief Investment Officer, Real Estate &amp; Head of Global Investment and Portfolio Strategy for RE at GIC (Singapore). He joined the I-MED Board as a Non-Executive Director on 9 April 2014. He joined GIC in early 2008. Mr. Goh is currently a member of GIC SI's Direct Investments Group. Prior to joining GIC, Mr Goh was in the Singapore Government Administrative Service serving a variety of roles. At the Ministry of Health, Mr. Goh formulated policies for the healthcare financing framework in Singapore, including the health insurance sector. At the Ministry of Trade and Industry, he was actively involved in the economic and regulatory policies for the energy sector and for the industrial land sector. Mr. Goh holds degrees in Political Science and Mechanical Engineering from the University of California, Berkeley. He also has a Master of Arts degree in Political Science from Stanford University.</t>
  </si>
  <si>
    <t>gohchinkiong@gic.com.sg</t>
  </si>
  <si>
    <t>Chief Investment Officer, Real Estate</t>
  </si>
  <si>
    <t>200978-38P</t>
  </si>
  <si>
    <t>Chin Kiong</t>
  </si>
  <si>
    <t>Goh</t>
  </si>
  <si>
    <t>Mr. Chin Kiong Goh serves as Chief Investment Officer of Real Estate at GIC (Singapore). He is concurrently Head of Global Investment and Portfolio Strategy for RE. This group drives deal underwriting, investment strategy, and overall RE portfolio monitoring. He is also co-head for RE, Asia Ex-China, looking after RE investments in these regions. Chin Kiong joined GIC in 2008. Before joining GIC, Chin Kiong worked at the Ministry of Health, overseeing healthcare financing, and the Ministry of Trade and Industry, overseeing industrial land and energy markets. Chin Kiong holds a Bachelor of Arts in Political Science and a Bachelor of Science in Mechanical Engineering from UC Berkeley. He also holds a Master of Arts in Political Science from Stanford University.</t>
  </si>
  <si>
    <t>chingoh@gic.com.sg</t>
  </si>
  <si>
    <t>440554-33P</t>
  </si>
  <si>
    <t>Choo Cheen</t>
  </si>
  <si>
    <t>Choo</t>
  </si>
  <si>
    <t>Cheen</t>
  </si>
  <si>
    <t>Mr. Choo Cheen serves as Chief Investment Officer at GIC Private.</t>
  </si>
  <si>
    <t>31489-66P</t>
  </si>
  <si>
    <t>Chow Kiat Lim</t>
  </si>
  <si>
    <t>Chow Kiat</t>
  </si>
  <si>
    <t>Mr. Chow Kiat Lim serves as Chief Executive Officer and Board Member at GIC. He also serves as the Chairman of the Group Executive Committee. He was appointed as Chief Executive Officer on 1 January. He has been the Group Chief Investment Officer of GIC since February 2013 and was appointed Deputy Group President concurrently in June 2016. He joined GIC as a portfolio manager upon graduation in 1993, developed GIC's investment capability in corporate bonds, and rose to head the fixed income, currency, and commodities department. He was President of Europe in 2009, overseeing investments and relationships in Europe, Africa, and the Middle East before his appointment as President of GIC Asset Management in 2011. Mr. Lim is a trustee of Nanyang Technological University, a board member of the Wealth Management Institute, a member of the Singapore government's Committee on Future Economy, and a member of Agence France Trésor's Strategic Committee. Mr. Lim holds a First Class Honours degree in Accountancy from Nanyang Technological University, Singapore.</t>
  </si>
  <si>
    <t>limchowkiat@gic.com.sg</t>
  </si>
  <si>
    <t>247970-89P</t>
  </si>
  <si>
    <t>Chris Emanuel</t>
  </si>
  <si>
    <t>Emanuel</t>
  </si>
  <si>
    <t>Mr. Chris Emanuel serves as Managing Director, Head, Technology Investment Group Fu at GIC Private. Mr. Emanuel serves as Board Member at Anchorage Digital. Mr. Emanuel serves as Head of Technology Investment Group, Private Equity at GIC (Singapore). He is Head of the Technology Investment Group at GIC. In this role, he oversees venture and growth equity funds, as well as direct investments in technology growth companies globally, and co-heads Digital Assets across GIC's offices in Asia and the Americas. He joined GIC in 2013, and transitioned to Private Equity and created the Technology Investment Group starting 2017. Prior to joining GIC, he was the Tech Analyst at OppenheimerFunds and JPMorgan Asset Management for approximately 6 years each and led Tech, Media and Telecom investing for Total Return Group in New York from 2013 to 2016. He holds a Bachelor of Science in Neuroscience from Brown University. He is also a CFA charterholder.</t>
  </si>
  <si>
    <t>chrisemanuel@gic.com.sg</t>
  </si>
  <si>
    <t>Managing Director, Head, Technology Investment Group Fu</t>
  </si>
  <si>
    <t>346403-98P</t>
  </si>
  <si>
    <t>Craig Wyllie</t>
  </si>
  <si>
    <t>Wyllie</t>
  </si>
  <si>
    <t>Mr. Craig Wyllie serves as Senior Vice President at GIC (Singapore).</t>
  </si>
  <si>
    <t>cwyllie@gic.com.sg</t>
  </si>
  <si>
    <t>390658-87P</t>
  </si>
  <si>
    <t>Daniel Tse</t>
  </si>
  <si>
    <t>Mr. Daniel Tse serves as Managing Director (Global Leadership Group), Head, Cyber Security and Resilience at GIC Private. In this role, he oversees firm-wide Information and Technology Risk Management practices and cyber security defense capabilities. Prior to joining GIC, he held multiple Technology and IT Risk roles at UBS AG Singapore and Citibank Singapore. Earlier in his career, he was a technologist at Singtel and Keppel T&amp;T. He holds a Bachelor of Science in Computer Engineering and a Master of Engineering in Electrical and Computer Engineering from the University of Alberta.</t>
  </si>
  <si>
    <t>danieltse@gic.com.sg</t>
  </si>
  <si>
    <t>Managing Director (Global Leadership Group), Head, Cyber Security and Resilience</t>
  </si>
  <si>
    <t>339318-73P</t>
  </si>
  <si>
    <t>David Hobson</t>
  </si>
  <si>
    <t>Hobson</t>
  </si>
  <si>
    <t>Mr. David Hobson serves as Senior Vice President &amp; Head of European Private Equity Funds and Co-investments Group at GIC Private.</t>
  </si>
  <si>
    <t>dhobson@gic.com.sg</t>
  </si>
  <si>
    <t>Senior Vice President &amp; Head of European Private Equity Funds and Co-investments Group</t>
  </si>
  <si>
    <t>390460-60P</t>
  </si>
  <si>
    <t>David Kiu</t>
  </si>
  <si>
    <t>Kiu</t>
  </si>
  <si>
    <t>Mr. David Kiu serves as Director, Corporate Affairs and Communications at GIC (Singapore). In this role, he leads a team overseeing media relations, corporate communications, internal communications, brand and marketing, corporate social impact, and partnerships. Prior to joining GIC in 2022, his career in corporate affairs and communications spanned two decades in tech, FMCG, and government, as well as advisory and consulting. This included global and regional roles in Amazon, Mars, Unilever, P&amp;G, and Eurasia Group. He also holds a Master of Science in International Relations from the London School of Economics.</t>
  </si>
  <si>
    <t>davidkiu@gic.com.sg</t>
  </si>
  <si>
    <t>Director, Corporate Affairs and Communications</t>
  </si>
  <si>
    <t>32793-04P</t>
  </si>
  <si>
    <t>Deanna Ong</t>
  </si>
  <si>
    <t>Deanna</t>
  </si>
  <si>
    <t>Ms. Deanna Ong serves as Chief People Officer at GIC (Singapore). She serves as a Board Member at Swiss Re. She was appointed Chief People Officer in April 2017 to oversee human capital strategy, talent management, leadership, and organization development in GIC. She has been responsible for Human Resources &amp; Organization and Corporate Governance since 2012. Ms Ong was Director of Finance from 2009 to 2014, during which she headed the Finance Group responsible for financial management across GIC's portfolio, covering financing arrangements for assets, tax planning, investment holding structures, accounting, and management of group revenue and expenditure. Prior to joining GIC in 1994, she was a tax accountant with Arthur Andersen. Ms Ong is currently a board member of Swiss Re Ltd and the International Forum of Sovereign Wealth Funds. Ms. Ong holds a Bachelor of Accountancy from Nanyang Technological University. She has completed the Stanford Executive Program from the Stanford University Graduate School of Business.</t>
  </si>
  <si>
    <t>deannaong@gic.com.sg</t>
  </si>
  <si>
    <t>440699-14P</t>
  </si>
  <si>
    <t>Dohjin Yoon</t>
  </si>
  <si>
    <t>Dohjin</t>
  </si>
  <si>
    <t>Mr. Dohjin Yoon serves as Senior Vice President at GIC Private.</t>
  </si>
  <si>
    <t>dohjinyoon@gic.com.sg</t>
  </si>
  <si>
    <t>390338-83P</t>
  </si>
  <si>
    <t>Doreen Chia</t>
  </si>
  <si>
    <t>Doreen</t>
  </si>
  <si>
    <t>Ms. Doreen Chia serves as Portfolio Manager, Public Equities at GIC (Singapore). She joined GIC in 2001 and has worked in Public Equities based in New York, Singapore, and London. Prior to joining GIC, she was the Centre Director, of Economic Development Board (EDB) Investments in San Francisco and Boston. Her focus was early-stage biotech venture investments. She holds a Bachelor of Science in Biochemistry from the University of Bristol. She also holds a Master of Arts in Pathology from Columbia University.</t>
  </si>
  <si>
    <t>doreenchia@gic.com.sg</t>
  </si>
  <si>
    <t>Portfolio Manager, Public Equities</t>
  </si>
  <si>
    <t>390425-68P</t>
  </si>
  <si>
    <t>Elaine Chan</t>
  </si>
  <si>
    <t>Ms. Elaine Chan serves as Director of Investment Services Private Markets at GIC. Her responsibilities also include developing the business infrastructural plans and operating models needed to scale GIC's investments in alternative asset classes globally and deliver operational excellence using data and technology. She is currently a member of the Corporate Management Committee, Sustainability Committee, Enterprise Architecture Board, Pricing and Valuation Committee, and Block-Chain Steering Committee. Prior to this role, as Managing Director, of Investment Service Public Markets, she was responsible for driving and scaling the execution of all public market investment strategies, as well as GIC's global execution, trade and collateral operations, asset servicing, investment monitoring, regulatory reporting, market data management, network management, and custody control. She has also held various leadership positions within GIC in the Enterprise Strategy Unit, Public and Private Markets Operations, Asset Servicing, Finance, and Corporate Planning. She holds a Bachelor of Accountancy from Nanyang Technological University. She has also attended the Advanced Management Program at Harvard Business School and is a member of the Harvard Business School Alumni.</t>
  </si>
  <si>
    <t>elainechan@gic.com.sg</t>
  </si>
  <si>
    <t>Director, Investment Services Private Markets</t>
  </si>
  <si>
    <t>76257-19P</t>
  </si>
  <si>
    <t>Elizabeth Chau</t>
  </si>
  <si>
    <t>Ms. Elizabeth Chau serves as Head, Balance Sheet Management Group at GIC (Singapore).</t>
  </si>
  <si>
    <t>elizabethchau@gic.com.sg</t>
  </si>
  <si>
    <t>Head, Balance Sheet Management Group</t>
  </si>
  <si>
    <t>319870-63P</t>
  </si>
  <si>
    <t>Elliot Smallidge</t>
  </si>
  <si>
    <t>Smallidge</t>
  </si>
  <si>
    <t>Mr. Elliot Smallidge serves as Assistant Vice President, Private Equity at GIC (Singapore).</t>
  </si>
  <si>
    <t>elliotsmallidge@gic.com.sg</t>
  </si>
  <si>
    <t>146964-97P</t>
  </si>
  <si>
    <t>Emily Chew</t>
  </si>
  <si>
    <t>Chew</t>
  </si>
  <si>
    <t>Ms. Emily Chew serves as Head of Sustainability at GIC (Singapore). Ms. Emily Chew served as Executive Vice President &amp; Chief Sustainability Officer at Calvert Research and Management. Ms. Emily Chew served as Head of Sustainability at Morgan Stanley. Prior to that, she served as a Global Head of Environmental, Social and Corporate Governance (ESG) Research and Integration at Manulife Asset Management. She previously served as MSCI's head of ESG Research for Asia-Pacific. She earned Bachelors of Laws and Arts (honors) from the University of Melbourne and an MBA from the University of Oxford.</t>
  </si>
  <si>
    <t>emilychew@gic.com.sg</t>
  </si>
  <si>
    <t>Head of Sustainability</t>
  </si>
  <si>
    <t>32794-30P</t>
  </si>
  <si>
    <t>Eng Seng Ang</t>
  </si>
  <si>
    <t>Eng Seng</t>
  </si>
  <si>
    <t>Mr. Eng Seng Ang serves as Chief Investment Officer, Infrastructure at GIC (Singapore). Ang Eng Seng is GIC's Chief Investment Officer for Infrastructure. Before this, he was President of Europe and Head of the Integrated Strategies Group. Prior to joining GIC in 1994, Eng Seng was a Director of the Auditor-General's Office in Singapore. From 1996 to 1998, he was seconded from GIC to China International Capital Corporation in Beijing, first as the Deputy General Manager and subsequently as the General Manager of its Direct Investment Department. He was Head of the Greater China Team for GIC Special Investments from 1999 to 2003, before becoming the Head of Europe Private Equity until 2009. He was concurrently Global Head of GIC's Direct Investment Group and Head of the Infrastructure Group from 2009 to 2012. Eng Seng holds a Bachelor of Arts in Engineering and a Master of Arts from Cambridge University. He is a CPA and CFA charterholder. He has also attended the Advanced Management Program in Stanford University.</t>
  </si>
  <si>
    <t>angengseng@gic.com.sg</t>
  </si>
  <si>
    <t>62055-91P</t>
  </si>
  <si>
    <t>Eric Wilmes</t>
  </si>
  <si>
    <t>Wilmes</t>
  </si>
  <si>
    <t>Head &amp; President</t>
  </si>
  <si>
    <t>Mr. Eric Wilmes serves as President of Americas &amp; Head of Americas, Private Equity at GIC (Singapore). He joined GIC Special Investments, the private equity arm of GIC in 2011. He also served as a Board Member at Veritas Technologies, Ancestry and Acosta. Before joining the firm, he was a Director at Friedman Fleischer &amp; Lowe, a San Francisco-based private equity firm. Prior to that, he was a Director at Centre Partners. Wilmes began his career in Morgan Stanley's Merchant Banking Division. He currently serves on the boards of HUB International Limited, Kronos Incorporated, and several other private companies. Wilmes graduated from Williams College with a B.A. in Economics. He also serves as Board Member at Ancestry.com.</t>
  </si>
  <si>
    <t>+1 (212) 856-2500</t>
  </si>
  <si>
    <t>eric.wilmes@gic.com.sg</t>
  </si>
  <si>
    <t>President of Americas &amp; Head of Americas, Private Equity</t>
  </si>
  <si>
    <t>390445-57P</t>
  </si>
  <si>
    <t>George Kay</t>
  </si>
  <si>
    <t>Mr. George Kay serves as Head of Europe, Infrastructure at GIC (Singapore). In this role, he oversees deal origination and execution in Europe and is part of INFRA's Investment Committee and Management Meeting. He serves as Board Director at Terminal Investment. Before joining GIC, he was a director at Commonwealth Bank of Australia working in the infrastructure team in Sydney and London. He started his career at Westpac in the institutional banking division. He holds a Bachelor of Commerce from the University of Canterbury in New Zealand. He also holds a Master of Applied Finance from Macquarie University and a Graduate Diploma from the Financial Services Institute of Australia.</t>
  </si>
  <si>
    <t>georgekay@gic.com.sg</t>
  </si>
  <si>
    <t>Head of Europe, Infrastructure</t>
  </si>
  <si>
    <t>446672-53P</t>
  </si>
  <si>
    <t>Girish Karira</t>
  </si>
  <si>
    <t>Karira</t>
  </si>
  <si>
    <t>Mr. Girish Karira serves as Head of Integrated Strategies Group and Head, New York Office at GIC Private.</t>
  </si>
  <si>
    <t>girishkarira@gic.com.sg</t>
  </si>
  <si>
    <t>Head of Integrated Strategies Group and Head, New York Office</t>
  </si>
  <si>
    <t>422370-91P</t>
  </si>
  <si>
    <t>Goh Kiong</t>
  </si>
  <si>
    <t>Kiong</t>
  </si>
  <si>
    <t>Mr. Goh Kiong serves as Chief Investment Officer, Real Estate at GIC Private.</t>
  </si>
  <si>
    <t>409480-75P</t>
  </si>
  <si>
    <t>Gordon Qian</t>
  </si>
  <si>
    <t>Qian</t>
  </si>
  <si>
    <t>Mr. Gordon Qian serves as Investment Professional at GIC (Singapore).</t>
  </si>
  <si>
    <t>gordonqian@gic.com.sg</t>
  </si>
  <si>
    <t>Investment Professional</t>
  </si>
  <si>
    <t>214360-93P</t>
  </si>
  <si>
    <t>Haoquan Zhang</t>
  </si>
  <si>
    <t>Haoquan</t>
  </si>
  <si>
    <t>Mr. Haoquan Zhang serves as Vice President &amp; Lead Quantitative Strategist at GIC (Singapore).</t>
  </si>
  <si>
    <t>zhanghaoquan@gic.com.sg</t>
  </si>
  <si>
    <t>Vice President &amp; Lead Quantitative Strategist</t>
  </si>
  <si>
    <t>390517-66P</t>
  </si>
  <si>
    <t>Heidi Miskin</t>
  </si>
  <si>
    <t>Miskin</t>
  </si>
  <si>
    <t>Ms. Heidi Miskin serves as Head of Funds and Co-Investments Americas, Private Equity at GIC. In this role, Heidi oversees GIC's North American private equity funds program, as well as co-investments alongside GPs. In addition, Heidi is co-chair of GIC America's Global Women in GIC (WING) taskforce, which helps to further advance the representation and inclusion of women at GIC. He joined GIC in April 2004. Prior to joining GIC, Heidi was a Senior Associate at Doughty Hanson and an analyst at Morgan Stanley. He holds a Bachelor of Commerce from McGill University where she graduated with Joint Honors in Economics and Finance.</t>
  </si>
  <si>
    <t>heidimiskin@gic.com.sg</t>
  </si>
  <si>
    <t>Head of Funds and Co-Investments Americas, Private Equity</t>
  </si>
  <si>
    <t>214087-60P</t>
  </si>
  <si>
    <t>Helen Newell</t>
  </si>
  <si>
    <t>Newell</t>
  </si>
  <si>
    <t>Ms. Helen Newell serves as Managing Director - Infrastructure at GIC (Singapore). Ms. Margaret serves as Board Member at Genesee &amp; Wyoming. She served as Board Member at Associated British Ports.</t>
  </si>
  <si>
    <t>helennewell@gic.com.sg</t>
  </si>
  <si>
    <t>Managing Director - Infrastructure</t>
  </si>
  <si>
    <t>15598-90P</t>
  </si>
  <si>
    <t>Henry Ormond</t>
  </si>
  <si>
    <t>Ormond</t>
  </si>
  <si>
    <t>Mr. Henry Ormond serves as Head of Europe, Private Equity at GIC (Singapore). Mr. Ormond serves as Board Member at Visma (Norway). He served as Board Member at RAC Motoring Services. He joined Leeds Equity in 2009 as a Managing Director. Previously, he was a Principal at Quadrangle Group. While at Quadrangle, he was involved in several investments across the media and communications industries and helped lead Quadrangle's coverage of the education sector. Before Quadrangle, he was a member of the private equity team at Whitney &amp; Co. He started his career as an investment banker at Morgan Stanley, based in both London and Singapore. His areas of responsibility at Leeds Equity include sourcing new opportunities, conducting due diligence, negotiating and financing transactions, and monitoring investments. He serves as a board member of EduK Group. He graduated from Oxford University with an M.Eng in Engineering and Management and earned his MBA at Harvard Business School</t>
  </si>
  <si>
    <t>henryormond@gic.com.sg</t>
  </si>
  <si>
    <t>Head of Europe, Private Equity</t>
  </si>
  <si>
    <t>76256-29P</t>
  </si>
  <si>
    <t>Hoe Yin Chan</t>
  </si>
  <si>
    <t>Hoe Yin</t>
  </si>
  <si>
    <t>Mr. Hoe Yin Chan serves as Director of Finance at GIC Private. Mr. Yin Chan is Director of the Finance Department. The department is responsible for managing GIC's corporate revenue and expenditure, ensuring financial stewardship and reporting for the GIC group, managing financial operations for the GIC Group and providing finance business partnership to GIC departments. Hoe Yin joined GIC in 1993 and has assumed a variety of responsibilities that include public and private market investment operations, external manager operations, private market accounting and operations, data and valuation, management reporting, portfolio rebalancing, performance measurement, financing, taxation, and corporate accounting. Before GIC, he worked as a management accountant at the Ministry of Finance (MOF) and as an auditor at Deloitte. Hoe Yin holds a Bachelor of Accountancy from the National University of Singapore. He also holds a Post-Graduate Diploma in System Analysis &amp; Design from Singapore Polytechnic and a Master of Business Administration (Banking &amp; Finance) from Nanyang Technological University. He has attended the General Management Program at Harvard Business School.</t>
  </si>
  <si>
    <t>+65 6446 3610</t>
  </si>
  <si>
    <t>hoeyin-chan@gic.com.sg</t>
  </si>
  <si>
    <t>339035-68P</t>
  </si>
  <si>
    <t>Holger Michaelis</t>
  </si>
  <si>
    <t>Michaelis</t>
  </si>
  <si>
    <t>Dr. Holger Michaelis serves as Operating Partner at GIC (Singapore). He is currently a Senior Vice President of GIC Private Equity &amp; Infrastructure (PE&amp;I) Singapore office, overseeing GIC's direct investments into financial sector companies globally. He has extensive experience in private equity and as a strategic adviser to financial services companies. Previously, he was a Partner and the Managing Director at the Boston Consulting Group where he worked in Germany and China. He advised clients in corporate and investment banking, transaction banking, retail banking, insurance, and asset management on topics of strategic relevance including corporate and business line strategies, organization, operations, IT, and risk management. Dr. Michaelis is an economist and holds a doctorate degree in Economics from WHU Koblenz, Germany. He pursued his post-graduation in Business Administration (Finance) from UT Austin, USA. He has co-authored various BCG publications on Banking, M&amp;A, and Insurance.</t>
  </si>
  <si>
    <t>holgermichaelis@gic.com.sg</t>
  </si>
  <si>
    <t>32789-08P</t>
  </si>
  <si>
    <t>Hsien Loong Lee</t>
  </si>
  <si>
    <t>Hsien Loong</t>
  </si>
  <si>
    <t>Mr. Hsien Loong Lee serves as Senior Minister at GIC Private. He has been the Prime Minister of Singapore since 2004. Before that, he was Deputy Prime Minister with responsibilities for economic and civil service matters. He has also held ministerial appointments in Trade and Industry, Defence and Finance, and chaired the Monetary Authority of Singapore from 1998 to 2004. Before entering politics, he was a Brigadier-General in the Singapore Armed Forces. Mr Lee holds a Bachelor of Arts (First Class Honours) in Mathematics and a Diploma in Computer Science from Cambridge University, as well as a Master in Public Administration from Harvard University.</t>
  </si>
  <si>
    <t>Senior Minister</t>
  </si>
  <si>
    <t>390649-96P</t>
  </si>
  <si>
    <t>Hwee Loo Tan</t>
  </si>
  <si>
    <t>Hwee Loo</t>
  </si>
  <si>
    <t>Ms. Hwee Loo Tan serves as Head of Asia, Private Equity at GIC. Prior to this role, she was co-head of Global Investments, Strategy, and Risk (GISR) in Private Equity (PE), where she oversaw the various aspects of GISR in support of the PE CIO. She joined GIC in 2001 as an economist. She joined the Private Equity Department in 2005 and has since worked in GISR, Europe Funds, and Co-Investments, as well as Asia Funds and Co-Investments. She was posted to London from 2008 to 2013, where she worked in Developed Markets in Europe, Emerging Markets Non-Asia (EMNA), and Secondaries. She holds a Bachelor of Science in Economics from the London School of Economics. She also holds a Master of Philosophy in Economics from Nuffield College, Oxford University.</t>
  </si>
  <si>
    <t>tan.loo@gic.com.sg</t>
  </si>
  <si>
    <t>Head of Asia, Private Equity</t>
  </si>
  <si>
    <t>423059-77P</t>
  </si>
  <si>
    <t>Jasmine Loo</t>
  </si>
  <si>
    <t>Ms. Jasmine Loo serves as Head of Korea Real Estate &amp; Senior Vice President, Real Estate London at GIC Private.</t>
  </si>
  <si>
    <t>jasmineloo@gic.com.sg</t>
  </si>
  <si>
    <t>Head of Korea Real Estate &amp; Senior Vice President, Real Estate London</t>
  </si>
  <si>
    <t>31310-74P</t>
  </si>
  <si>
    <t>Jason Young</t>
  </si>
  <si>
    <t>Mr. Jason Young serves as Head of Direct Investments North America, Private Equity at GIC. He is the Head of the Private Equity (PE) Direct Investments Group, in North America. In this role, Jason oversees GIC's large-scale and long-term private equity investments in companies in North America. He also served as a Board Member at Veritas Technologies. He is a member of the global Management and Investment Committees for GIC PE and serves on the board of directors of several portfolio companies. Prior to joining GIC in 2013, he was a Principal at Silver Lake Partners, a technology-focused private equity firm, in New York and Hong Kong. He helped establish the firm's business in Asia. Earlier in his career, he was an investment banker at Goldman Sachs in the Technology, Media, and Telecom group in New York. He graduated summa cum laude from the University of Pennsylvania's Jerome Fisher Program in Management and Technology, with a Bachelor of Science from the Wharton School and a Bachelor of Science in Engineering from the School of Engineering and Applied Science.</t>
  </si>
  <si>
    <t>jasonyoung@gic.com.sg</t>
  </si>
  <si>
    <t>Head of Direct Investments North America, Private Equity</t>
  </si>
  <si>
    <t>440703-46P</t>
  </si>
  <si>
    <t>Jean-Baptiste Ranger</t>
  </si>
  <si>
    <t>Ranger</t>
  </si>
  <si>
    <t>Mr. Jean-Baptiste Ranger serves as Senior Vice President at GIC Private.</t>
  </si>
  <si>
    <t>jranger@gic.com.sg</t>
  </si>
  <si>
    <t>38169-28P</t>
  </si>
  <si>
    <t>Jeffrey Jaensubhakij Ph.D</t>
  </si>
  <si>
    <t>Jaensubhakij</t>
  </si>
  <si>
    <t>Board Member &amp; Chief Investment Officer</t>
  </si>
  <si>
    <t>Dr. Jeffrey Jaensubhakij serves as the Group Chief Investment Officer &amp; Board Member at GIC (Singapore). He also serves as a Trustee &amp; Chairman of the Investment Committee at Singapore Management University. He served as the deputy CIO and president for public markets at GIC. Prior to his appointment, he was GIC's President, in Europe since 2011 and was responsible for coordinating GIC's investment activities in Europe across public and private asset classes. Dr. Jaensubhakij joined GIC in 1998 as a Senior Economist responsible for covering the US economy. He has also had asset allocation portfolio responsibilities as co-head of Asset Allocation Strategy in Economics and Strategy. From 2003 to 2011, Dr. Jaensubhakij was based in GIC's New York Office where he headed the Total Return Equities and the US Equities teams. Dr. Jaensubhakij holds a B.A. in Economics from Cambridge University and a Ph.D. in Economics from Stanford University where his research was on foreign portfolio investment and inflation in emerging stock markets.</t>
  </si>
  <si>
    <t>+44 (0)65 0963 9092</t>
  </si>
  <si>
    <t>jjaensubhakij@gic.com.sg</t>
  </si>
  <si>
    <t>Group Chief Investment Officer &amp; Board Member</t>
  </si>
  <si>
    <t>390651-49P</t>
  </si>
  <si>
    <t>Jeffrey Tan</t>
  </si>
  <si>
    <t>Mr. Jeffrey Tan serves as Director of the Portfolio Execution Group at GIC (Singapore). He is a member of GIC's Investment Management Committee and Group Risk Committee. He joined GIC in 1994 and established the firm's equities trading capability in London, where he was based until his return to Singapore in 2005. Prior to his current role, he served in various capacities, including as Head Trader, of European Equities; Head Trader, of Asian Equities; Global Co-Head of equities Trading; Head of Applied Research; and Head of Global Trading. Externally, he is a member of the Singapore Foreign Exchange Market Committee and the APAC Steering Committee for the International Swaps and Derivatives Association (ISDA). He also serves on the Investment Committees of both Caritas Singapore and the Redemptorist Fathers Corporation, Singapore. He holds a Bachelor of Economics degree from The University of Western Australia, where he graduated with a double major in Quantitative Economics and Econometrics.</t>
  </si>
  <si>
    <t>jeffreytan@gic.com.sg</t>
  </si>
  <si>
    <t>Director of the Portfolio Execution Group</t>
  </si>
  <si>
    <t>119096-38P</t>
  </si>
  <si>
    <t>Jennifer Wu</t>
  </si>
  <si>
    <t>Ms. Jennifer Wu serves as Vice President at GIC (Singapore). Ms. Wu served as Global Strategy and M&amp;A at American International Group. Previously, she served as the Teaching Fellow, Economics Department at Harvard University.</t>
  </si>
  <si>
    <t>jenniferwu@gic.com.sg</t>
  </si>
  <si>
    <t>346454-83P</t>
  </si>
  <si>
    <t>Jia Tay</t>
  </si>
  <si>
    <t>Ms. Jia Tay serves as Assistant Vice President at GIC (Singapore).</t>
  </si>
  <si>
    <t>tayjiamin@gic.com.sg</t>
  </si>
  <si>
    <t>390334-78P</t>
  </si>
  <si>
    <t>Jiamin Yu</t>
  </si>
  <si>
    <t>Jiamin</t>
  </si>
  <si>
    <t>Ms. Jiamin Yu serves as Associate at GIC Private.</t>
  </si>
  <si>
    <t>jyu@gic.com.sg</t>
  </si>
  <si>
    <t>371080-45P</t>
  </si>
  <si>
    <t>Jo-Ann Khor</t>
  </si>
  <si>
    <t>Jo-Ann</t>
  </si>
  <si>
    <t>Khor</t>
  </si>
  <si>
    <t>Ms. Jo-Ann Khor serves as Regional Head, Americas, Investment Service Public Markets &amp; Business Manager at GIC (Singapore).</t>
  </si>
  <si>
    <t>Regional Head, Americas, Investment Service Public Markets &amp; Business Manager</t>
  </si>
  <si>
    <t>13361-41P</t>
  </si>
  <si>
    <t>John Tang</t>
  </si>
  <si>
    <t>Mr. John Tang serves as Co-Head, Global Investments, Strategy &amp; Risk, Private Equity &amp; Managing Director, Global Leadership Group, Private Equity at GIC (Singapore). John Tang is Co-Head of Global Investments, Strategy &amp; Risk, which performs the functions of the CIO and CRO office for private equity and infrastructure investments in GIC. He sits on both investment committees for Private Equity (PE) and Infrastructure, and his responsibilities include investment assessment, investment strategy, portfolio management, and risk management. In addition, John is co-chair of the GIC Technology Business Group, which coordinates technology investing across GIC. Prior to this appointment, John was Head of the North America Funds and Co-Investments Group based out of New York. He also spent 10 years in Silicon Valley, during which he was head of the Global Technology Group helping build GIC's global venture capital business. Prior to GIC, John was a consultant at Bain &amp; Company, a leading strategy consulting firm, where he had clients in Singapore and the UK. John holds a Bachelor of Engineering (First Class Hons) and Master of Science (Computing) from the Imperial College, London. He also holds a Master of Business Administration from Harvard Business School.</t>
  </si>
  <si>
    <t>jtang@gic.com.sg</t>
  </si>
  <si>
    <t>Co-Head, Global Investments, Strategy &amp; Risk, Private Equity &amp; Managing Director, Global Leadership Group, Private Equity</t>
  </si>
  <si>
    <t>179250-76P</t>
  </si>
  <si>
    <t>Joseph Ooi</t>
  </si>
  <si>
    <t>Ooi</t>
  </si>
  <si>
    <t>Mr. Joseph Ooi serves as Vice President at GIC (Singapore). Previously, he served as Associate at American Infrastructure Funds. He joined AIM in 2017 from Siltstone Capital, where he was an Analyst in the Energy Private Equity group. Earlier in his career, he was commissioned as a Lieutenant in the Singapore Armed Forces, where he served as an intelligence officer.</t>
  </si>
  <si>
    <t>josephooi@gic.com.sg</t>
  </si>
  <si>
    <t>390505-51P</t>
  </si>
  <si>
    <t>June Long</t>
  </si>
  <si>
    <t>Ms. June Long serves as Head of Asia Equities Research, Public Equities at GIC (Singapore). She oversees a team of sector specialists who analyze sector developments and manage equity portfolios in Emerging Asia. She joined GIC in 2002 and covered Asean in the Asia Equities Team. Between 2003 and 2013, she was a sector analyst and portfolio manager for the Energy, Petrochemicals, and Equipment sectors in Asia. Between 2013 and 2017, she managed a generalist portfolio in the Asia Equities team. She rejoined Asia Equities Research as Deputy Head in 2017 and was promoted to head the team in 2020. She holds a Master of Arts in Politics, Philosophy, and Economics from Jesus College, Oxford, and a Master of Science in Finance and Economics from the London School of Economics. She also holds a Master of Science in Wealth Management from the Singapore Management University.</t>
  </si>
  <si>
    <t>junelong@gic.com.sg</t>
  </si>
  <si>
    <t>Head of Asia Equities Research, Public Equities</t>
  </si>
  <si>
    <t>247971-52P</t>
  </si>
  <si>
    <t>Katy Conrad</t>
  </si>
  <si>
    <t>Ms. Katy Conrad serves as Head of Americas, Corporate Affairs &amp; Communications at GIC (Singapore). She is the Vice President of Communications and Corporate Affairs at GIC, one of the world's largest institutional investors. In her role, Katy is responsible for managing all aspects of internal and external communications for the organization's US and Brazil offices. Prior to GIC, Katy served as the Director of Strategic Communications at WeWork, where she worked on strategic corporate and consumer media campaigns, and managed complex issues for the organization. Katy began her career as a national news journalist, producing ground-breaking interviews with newsmakers and luminaries for CBS and ABC News.</t>
  </si>
  <si>
    <t>katyconrad@gic.com.sg</t>
  </si>
  <si>
    <t>Head of Americas, Corporate Affairs &amp; Communications</t>
  </si>
  <si>
    <t>75000-70P</t>
  </si>
  <si>
    <t>Kee Chong Lim</t>
  </si>
  <si>
    <t>Kee Chong</t>
  </si>
  <si>
    <t>Mr. Kee Chong Lim serves as Senior Managing Director at GIC Private. Mr. Lim was appointed Deputy Group Chief Investment Officer and Director of Integrated Strategies Group in April 2013. He is concurrently President (Americas) and is based in GIC's New York office. He provides leadership oversight for GIC's operations in Americas and drives regional strategic collaboration, business development, and culture across the GIC teams. He extends GIC's external business networks with partners, regulators, and policymakers to strengthen GIC's platform in the Americas. Mr Lim supports the Group CIO in overseeing GIC's entire investment portfolio. He joined GIC in 1987 and built his career in the Equities Department. He was appointed Head of Global Equities in 2010. During his tenure at GIC, he has managed portfolios running the gamut of developed market equities, as well as global sector and global equities portfolios. As Director of Integrated Strategies, he heads a unit that looks at opportunities in both public and private companies. Mr Lim holds a Bachelor's degree in Economics from the University of Tokyo, where he studied under a government scholarship.</t>
  </si>
  <si>
    <t>lchong@gic.com.sg</t>
  </si>
  <si>
    <t>Spear Tower</t>
  </si>
  <si>
    <t>One Market Plaza, Suite 3900</t>
  </si>
  <si>
    <t>368763-94P</t>
  </si>
  <si>
    <t>Keren Croudace</t>
  </si>
  <si>
    <t>Keren</t>
  </si>
  <si>
    <t>Croudace</t>
  </si>
  <si>
    <t>Ms. Keren Croudace serves as Vice President, Deal Execution at GIC (Singapore).</t>
  </si>
  <si>
    <t>kerencroudace@gic.com.sg</t>
  </si>
  <si>
    <t>Vice President, Deal Execution</t>
  </si>
  <si>
    <t>408509-56P</t>
  </si>
  <si>
    <t>Keshal Patel</t>
  </si>
  <si>
    <t>Keshal</t>
  </si>
  <si>
    <t>Mr. Keshal Patel serves as Vice President, Private Equity at GIC (Singapore).</t>
  </si>
  <si>
    <t>keshalpatel@gic.com.sg</t>
  </si>
  <si>
    <t>197301-52P</t>
  </si>
  <si>
    <t>Kevin Hong</t>
  </si>
  <si>
    <t>Mr. Kevin Hong serves as Executive, Tech Investing at GIC (Singapore). He was an Investor at B Capital Group. He focuses on Industrial, Transportation, and Consumer Enablement investments. He served as Vice President of Training and Education at Wharton Impact Investing Partners. Prior to joining B Capital, he advanced strategic initiatives at Optimus Ride, a self-driving car start-up in Boston, to deploy autonomous electric vehicles in private communities. Previously, he joined the founding team at LionTree, a technology, and media-focused merchant bank, where he supported the launch of its investment arm. he began his career at UBS as an M&amp;A analyst in New York. He has also spent time in India and Tanzania as a consultant to non-profit organizations focused on agriculture and financial technology. He received an M.B.A. from the Wharton School of the University of Pennsylvania, an M.P.A. from the Harvard Kennedy School, and a B.A. in Applied Mathematics and Economics from the University of California, Berkeley.</t>
  </si>
  <si>
    <t>kevinhong@gic.com.sg</t>
  </si>
  <si>
    <t>Executive, Tech Investing</t>
  </si>
  <si>
    <t>347855-05P</t>
  </si>
  <si>
    <t>Kevin Looi</t>
  </si>
  <si>
    <t>Looi</t>
  </si>
  <si>
    <t>Mr. Kevin Looi serves as Co-Head of Global Investments, Strategy, and Risk at GIC (Singapore). In this role, Kevin oversees PE direct investments, as well as funds and co-investments across the Asia Pacific region. Kevin is a member of GIC's HR Committee and serves as a board member for Starbucks Korea, Sunway Healthcare, and Virtusa Corporation. Kevin joined GIC in 2008 and has worked in several roles in the PE department. Prior to his current appointment, Kevin led the Funds &amp; Co-Investments Group in the Americas, as well as the Special Opportunities Group. While in the United States, Kevin also served as Head of GIC's San Francisco office. Before his experience in the United States, Kevin worked in GIC's London and Singapore offices. Earlier in his career, Kevin worked at Bain &amp; Company in Singapore and also spent time in a business development role at a technology start-up in the United States. Kevin holds a Bachelor of Science in Electrical Engineering, a Master of Science in Operations Research, and a Master of Business Administration (with distinction) from Stanford University.</t>
  </si>
  <si>
    <t>kevinlooi@gic.com.sg</t>
  </si>
  <si>
    <t>Co-Head of Global Investments, Strategy and Risk, Private Equity</t>
  </si>
  <si>
    <t>334654-84P</t>
  </si>
  <si>
    <t>Kirby Stoff</t>
  </si>
  <si>
    <t>Mr. Kirby Stoff serves as Assistant Vice President, Private Equity at GIC (Singapore).</t>
  </si>
  <si>
    <t>kirbystoff@gic.com.sg</t>
  </si>
  <si>
    <t>390441-52P</t>
  </si>
  <si>
    <t>Kishore Gotety</t>
  </si>
  <si>
    <t>Gotety</t>
  </si>
  <si>
    <t>Mr. Kishore Gotety serves as Head, Asia (Ex China), Real Estate and Global Head, Asset Management, Real Estate at GIC Private. In this role, he oversees the real estate investment management business across Asia, with direct oversight of Australia, India, and Korea. He is concurrently Global Head of Asset Management, where he oversees the management, value creation, and performance of major real estate investments globally. He joined GIC in 2010 as Head of the India office. Prior to joining GIC, he was APAC Head of Portfolio Management at RREEF in Hong Kong. Earlier in his career, he was with the ICICI Bank group in various capacities, the last being with ICICI Venture Funds heading the real estate funds business in India. He holds a master's degree in Management Studies and a bachelor's degree in Commerce &amp; Economics from the University of Mumbai. He is also a qualified Cost and Management Accountant from the Institute of Cost Accountants of India.</t>
  </si>
  <si>
    <t>kishoregotety@gic.com.sg</t>
  </si>
  <si>
    <t>390462-31P</t>
  </si>
  <si>
    <t>Kwong Huat</t>
  </si>
  <si>
    <t>Huat</t>
  </si>
  <si>
    <t>Mr. Kwong Huat serves as Head of Asia Total Return, Public Equities at GIC (Singapore). He started his career at GIC in quantitative equities investing, before moving on to different teams within the Equities Department, covering Industrials in Europe, Emerging Markets, and eventually the Asia Pacific region. Before joining GIC, he worked as a Software Engineer for 5 years. He holds a Bachelor of Engineering (Electrical and Electronics Engineering) from the University of Tokyo. He also holds a Master of Science in Wealth Management from the Singapore Management University.</t>
  </si>
  <si>
    <t>kwonghuat@gic.com.sg</t>
  </si>
  <si>
    <t>Head of Asia Total Return, Public Equities</t>
  </si>
  <si>
    <t>354386-89P</t>
  </si>
  <si>
    <t>Lawrence Wong</t>
  </si>
  <si>
    <t>Deputy Chairman</t>
  </si>
  <si>
    <t>Mr. Lawrence Wong served as chairman of the Board of Directors at the Monetary Authority of Singapore. He also serves as a Deputy Chairman of the Board of Directors &amp; Chairman of the Investment Strategies Committee at GIC. Mr Wong began his career as a civil servant and held positions such as Chief Executive of the Energy Market Authority and the Principal Private Secretary to Prime Minister Lee Hsien Loong. He was elected a Member of Parliament in May 2011 and subsequently held ministerial appointments in Defence, Education, Communications and Information, Culture, Community and Youth, and National Development. Mr Wong obtained his Bachelor's and Master's degrees in Economics from the University of Wisconsin-Madison and the University of Michigan, Ann Arbor, respectively. He also holds a Master's in Public Administration from Harvard Kennedy School.</t>
  </si>
  <si>
    <t>Deputy Chairman of the Board of Directors &amp; Chairman of the Investment Strategies Committee</t>
  </si>
  <si>
    <t>390499-12P</t>
  </si>
  <si>
    <t>Li Yu</t>
  </si>
  <si>
    <t>Mr. Li Yu serves as Head of China, Real Estate at GIC (Singapore). He joined GIC in 2007 and has been working in GIC's Shanghai and Singapore Offices, covering real estate investments in Greater China and Australia. Prior to joining GIC, Li Yu was an economist at the Asian Development Bank (ADB), working on infrastructure investment in Central and East Asia. He holds a Bachelor of Architecture and a Bachelor of Economics from Tsinghua University in Beijing. He also holds a doctorate in Regional Economics from MIT.</t>
  </si>
  <si>
    <t>liyu@gic.com.sg</t>
  </si>
  <si>
    <t>Head of China, Real Estate</t>
  </si>
  <si>
    <t>390499-93P</t>
  </si>
  <si>
    <t>Liang Jiajie</t>
  </si>
  <si>
    <t>Liang</t>
  </si>
  <si>
    <t>Jiajie</t>
  </si>
  <si>
    <t>Mr. Liang Jiajie serves as Head of Global Macro, Fixed Income &amp; Multi Asset at GIC (Singapore). He was previously Head of FI (Europe). Prior to joining the GM team, he was part of the Emerging Markets team within FID, in charge of investments in Asia (ex-Japan). Before that, he was part of the Portfolio Analysis and Investment Service team within FID, focusing on portfolio construction, portfolio rebalancing, and risk capital allocation. He joined GIC in Jan 2007. He holds a Bachelor of Engineering (1st Class Honours) in Chemical Engineering from the National University of Singapore and a Master of Science in Computational Design and Optimization from the MIT Sloan School of Management.</t>
  </si>
  <si>
    <t>liangjiajie@gic.com.sg</t>
  </si>
  <si>
    <t>Head of Global Macro, Fixed Income &amp; Multi Asset</t>
  </si>
  <si>
    <t>31438-90P</t>
  </si>
  <si>
    <t>Lihan Chen</t>
  </si>
  <si>
    <t>Lihan</t>
  </si>
  <si>
    <t>Ms. Lihan Chen serves as Senior Vice President at GIC (Singapore). Prior to GIC, she was on the Corporate Development team at Workday and led Finance and Strategy at two early-stage startups. She also served as a technology investor at GGV Captial and Francisco Partners. Lihan started her career in investment banking at Morgan Stanley. She earned a Bachelor in Science from the University of California, Berkeley in Business Administration.</t>
  </si>
  <si>
    <t>lihanchen@gic.com.sg</t>
  </si>
  <si>
    <t>13361-50P</t>
  </si>
  <si>
    <t>Lim Hock Tay</t>
  </si>
  <si>
    <t>Lim Hock</t>
  </si>
  <si>
    <t>Mr. Lim Hock Tay serves as Senior Managing Director at GIC Private. Mr. Tay previously served as President at GIC Private. He joined GIC in 1995 and was involved in private equity investments in Asia. He was the head of the European private equity team in London from 2000 to 2003 and took over as head of the US private equity team in 2003. He became Global Head of the Funds and Co-investment group in 2008 and was appointed Deputy President of GIC Special Investments in July 2010 and President in July 2011. Before GIC, he worked as an aeronautical engineer with the Republic of Singapore Air Force after graduating from Ecole Nationale de I'Aviation Civile (ENAC) in Toulouse, France, with a Master's in aeronautical engineering. He holds an MBA from Nanyang Technological University in Singapore and has completed the Stanford Executive Program.</t>
  </si>
  <si>
    <t>taylimhock@gic.com.sg</t>
  </si>
  <si>
    <t>395992-45P</t>
  </si>
  <si>
    <t>Lim Kee Chong</t>
  </si>
  <si>
    <t>Mr. Lim Kee Chong serves as Senior Managing Director at GIC Private. In this role, he supports the Chief Executive Officer and Group Chief Investment Officer (GCIO) on large deal approvals and portfolio strategy. He joined GIC in 1987, built his career in the Equities department, and was appointed Head of Global Equities in 2010. During his tenure at GIC, he managed portfolios across developed market equities and global sector and equities portfolios. He was Deputy Group Chief Investment Officer and Director of the Integrated Strategies Group from 2013 to 2024. He concurrently served as President, Americas based in GIC's New York office from 2017 to 2022. In these roles, he supported the GCIO in overseeing GIC's entire investment portfolio and headed a unit that looked at opportunities in both public and private companies. He holds a Bachelor's degree in Economics from the University of Tokyo, where he studied under a government scholarship.</t>
  </si>
  <si>
    <t>limchong@gic.com.sg</t>
  </si>
  <si>
    <t>89965-54P</t>
  </si>
  <si>
    <t>Mah Choon Lay</t>
  </si>
  <si>
    <t>Mah Choon</t>
  </si>
  <si>
    <t>Lay</t>
  </si>
  <si>
    <t>Ms. Mah Choon Lay serves as Managing Director at GIC Private.</t>
  </si>
  <si>
    <t>+65 6889 6841</t>
  </si>
  <si>
    <t>mahlaychoon@gic.com.sg</t>
  </si>
  <si>
    <t>390470-95P</t>
  </si>
  <si>
    <t>Mark Lee</t>
  </si>
  <si>
    <t>Mr. Mark Lee serves as Head of Global Active Equities, Public Equities at GIC (Singapore). He joined GIC in 2001 and has held various positions including Technology Analyst in the Asia Equity Research division and Regional Portfolio Manager and Deputy Head in the Asia Pacific Equities division. Prior to joining GIC, he was a technical consultant at Hewlett Packard. He holds a Bachelor of Engineering (Electrical) from the National University of Singapore and a Master of Business Administration from the University of Chicago Booth School of Business. He is also a CFA charterholder.</t>
  </si>
  <si>
    <t>marklee@gic.com.sg</t>
  </si>
  <si>
    <t>Head of Global Active Equities, Public Equities</t>
  </si>
  <si>
    <t>384708-43P</t>
  </si>
  <si>
    <t>Mark Ong</t>
  </si>
  <si>
    <t>Mr. Mark Ong serves as Chief Investment Officer, Public Equities at GIC (Singapore). He served as Head of Asia Pacific Equities and Public Equities at GIC. He manages a team of portfolio managers and individually manages a regional portfolio, an income portfolio, and a capital structure portfolio. He is also the co-head of the Technology Business Group and a member of the China Business Group. He started his career in 1996 as an Investment Officer with the Bond Department at GIC. He left GIC in 2005 as Head of Global Credit. One highlight of his time away from GIC was starting his own company in 2009 before returning to GIC as an equity portfolio manager in 2012. He holds a Bachelor of Business Administration (First Class Honours) from the National University of Singapore. He is also a CFA charterholder. In 2019, he completed the Stanford Executive Program.</t>
  </si>
  <si>
    <t>markong@gic.com.sg</t>
  </si>
  <si>
    <t>Chief Investment Officer, Public Equities</t>
  </si>
  <si>
    <t>370054-99P</t>
  </si>
  <si>
    <t>Maxime Meimoun</t>
  </si>
  <si>
    <t>Maxime</t>
  </si>
  <si>
    <t>Meimoun</t>
  </si>
  <si>
    <t>Mr. Maxime Meimoun serves as Vice President at GIC (Singapore).</t>
  </si>
  <si>
    <t>mmeimoun@gic.com.sg</t>
  </si>
  <si>
    <t>347800-60P</t>
  </si>
  <si>
    <t>Nicholas Koh</t>
  </si>
  <si>
    <t>Koh</t>
  </si>
  <si>
    <t>Mr. Nicholas Koh serves as Executive, Private Equity at GIC (Singapore).</t>
  </si>
  <si>
    <t>nicholaskoh@gic.com.sg</t>
  </si>
  <si>
    <t>390633-49P</t>
  </si>
  <si>
    <t>Pankaj Sood</t>
  </si>
  <si>
    <t>Pankaj</t>
  </si>
  <si>
    <t>Sood</t>
  </si>
  <si>
    <t>Mr. Pankaj Sood serves as Head of Direct Investments in India &amp; Africa, Private Equity at GIC. He has nearly two and a half decades of experience in private equity and mergers &amp; acquisitions transactions in India. Prior to GIC, Pankaj was an investment banker in India at Kotak Investment Bank, Ernst &amp; Young, and SBI Capital Markets. He holds a Bachelor of Technology in Chemical Engineering from the Indian Institute of Technology Kharagpur as well as a Master of Business Administration from the Indian Institute of Management Calcutta.</t>
  </si>
  <si>
    <t>+91 (0)22 6150 2888</t>
  </si>
  <si>
    <t>pankajsood@gic.com.sg</t>
  </si>
  <si>
    <t>Unit 3701, Level 37</t>
  </si>
  <si>
    <t>Altimus, Pandurang Budhkar Marg, Worli</t>
  </si>
  <si>
    <t>400018</t>
  </si>
  <si>
    <t>Head of Direct Investments India &amp; Africa, Private Equity</t>
  </si>
  <si>
    <t>390439-99P</t>
  </si>
  <si>
    <t>Peter Goh</t>
  </si>
  <si>
    <t>Dr. Peter Goh serves as Director of Human Resources &amp; Organization at GIC. In this role, he oversees talent and culture strategies and human resource management across GIC's offices in Asia, Europe, and the Americas. He joined GIC in 2008 and led various divisions within the Human Resource &amp; Organization department. Prior to joining GIC, he was Head of human Resources at the Agency for Science, Technology and Research (A*STAR) in Singapore. Earlier in his career, he was a Research Scientist at DSO National Laboratories and an R&amp;D Programme Manager at the Defense Science and Technology Agency (DSTA). He holds a Bachelor of Arts in Natural Sciences from the University of Cambridge. He also holds a doctorate in Chemistry from Imperial College London and a Master of Arts in Organizational Psychology from Columbia University. He has also attended the Advanced Management Program at INSEAD.</t>
  </si>
  <si>
    <t>petergoh@gic.com.sg</t>
  </si>
  <si>
    <t>Director, Human Resource &amp; Organization</t>
  </si>
  <si>
    <t>238824-73P</t>
  </si>
  <si>
    <t>Pradheebhan K</t>
  </si>
  <si>
    <t>Pradheebhan</t>
  </si>
  <si>
    <t>K</t>
  </si>
  <si>
    <t>Mr. Pradheebhan K serves as a Vice President, Corporate Procurement (Market Data) at GIC (Singapore).</t>
  </si>
  <si>
    <t>+65 0593 3100</t>
  </si>
  <si>
    <t>pradheebhank@gic.com.sg</t>
  </si>
  <si>
    <t>Vice President, Corporate Procurement (Market Data)</t>
  </si>
  <si>
    <t>120264-13P</t>
  </si>
  <si>
    <t>Ravi Balasubramanian</t>
  </si>
  <si>
    <t>Balasubramanian</t>
  </si>
  <si>
    <t>Mr. Ravi Balasubramanian serves as Head of India Equity Investments, Public Equities at GIC (Singapore). Ravi Balasubramanian heads the India Equity Investments team in GIC's Equities Department. In this role, Ravi oversees an investment team based in Mumbai that helps manage the India investments of the Equities Department. In addition, Ravi chairs the India Business Group, which helps coordinate GIC's overall India investment strategy across all public and private asset investment teams. Ravi joined GIC in 1994 and has led various teams within the Equities department. Prior to his current role, Ravi was Head, Asia Equities Research from 2012 to 2020. Earlier in his career at GIC, Ravi was part of GIC's North American Equities team managing portfolios that invest in US Equities. Ravi holds a Bachelor of Technology in Mechanical Engineering from the Indian Institute of Technology, Bombay. He also holds a Post-Graduate Diploma in Management from the Indian Institute of Management, Bangalore. In addition, Ravi is a CFA charterholder.</t>
  </si>
  <si>
    <t>+81 (0)35 219 2911</t>
  </si>
  <si>
    <t>ravib@gic.com.sg</t>
  </si>
  <si>
    <t>17th Floor, Pacific Century Place Marunouchi</t>
  </si>
  <si>
    <t>1-11-1 Marunouchi</t>
  </si>
  <si>
    <t>Chiyoda-ku</t>
  </si>
  <si>
    <t>100-6217</t>
  </si>
  <si>
    <t>Head of India Equity Investments, Public Equities</t>
  </si>
  <si>
    <t>48812-14P</t>
  </si>
  <si>
    <t>Robin Jarratt</t>
  </si>
  <si>
    <t>Jarratt</t>
  </si>
  <si>
    <t>Mr. Robin Jarratt serves as Member of the Global Industrial Advisor at GIC (Singapore). Mr. Robin serves as Head, Global Private Credit Group at Government of Singapore Investment Corporation (GIC). Prior to GIC, he was an Investment Director at CVC Capital Partners. He is also a Board Member of Rothesay Life.</t>
  </si>
  <si>
    <t>Member of the Global Industrial Advisor</t>
  </si>
  <si>
    <t>390448-09P</t>
  </si>
  <si>
    <t>Sam Kim</t>
  </si>
  <si>
    <t>Mr. Sam Kim serves as Chief Operating Officer at GIC (Singapore). He serves as Deputy Chief Operating Officer at GIC. He joined GIC in 2018 in Singapore as Director of the Portfolio Execution Group, where he managed the Global Trading Unit, Balance Sheet Management Group, Beta and Asset Rebalancing, and Applied Research Unit. Prior to joining GIC, He spent 9 years with BlackRock in Tokyo, San Francisco, and Hong Kong. Before joining BlackRock, he co-founded Colden Capital, an event-driven hedge fund, and worked in equity derivatives structuring at Deutsche Bank and Bankers Trust. He holds a Bachelor of Arts, Phi Beta Kappa, cum laude, in Philosophy from Harvard University.</t>
  </si>
  <si>
    <t>samkim@gic.com.sg</t>
  </si>
  <si>
    <t>390632-50P</t>
  </si>
  <si>
    <t>Shang Thong Chie</t>
  </si>
  <si>
    <t>Shang</t>
  </si>
  <si>
    <t>Thong Chie</t>
  </si>
  <si>
    <t>Mr. Shang Thong Chie serves as Director, Enterprise Strategy at GIC Private. Mr. Thong Chie oversees GIC's long-term strategic planning process, analyses long-term trends in the external environment and peer institutions' strategies, and coordinates enterprise-wide initiatives to develop new business capabilities such as in sustainability. Mr. Thong Chie joined GIC in 2018. Prior to joining GIC, he worked in over 10 countries as a management consultant at McKinsey &amp; Company and as Global Head, Wealth Management Transformation at Standard Chartered Bank. He started his career in the Singapore Government, with postings to the Ministries of Defence, Foreign Affairs, and Transport. He holds a Bachelor of Arts in Economics and Political Science and a Master of Arts in International Policy Studies from Stanford University.</t>
  </si>
  <si>
    <t>shangthongchie@gic.com.sg</t>
  </si>
  <si>
    <t>Director, Enterprise Strategy</t>
  </si>
  <si>
    <t>390646-99P</t>
  </si>
  <si>
    <t>Sharon Sun</t>
  </si>
  <si>
    <t>Ms. Sharon Sun serves as Executive at GIC (Singapore).</t>
  </si>
  <si>
    <t>+86 (0)10 6535 1010</t>
  </si>
  <si>
    <t>sharonsun@gic.com.sg</t>
  </si>
  <si>
    <t>Unit 1928, Level 19 China World Office Building 1</t>
  </si>
  <si>
    <t>Number 1 Jian Guo Men Wai Avenue</t>
  </si>
  <si>
    <t>100004</t>
  </si>
  <si>
    <t>390648-52P</t>
  </si>
  <si>
    <t>Ms. Sharon Sun serves as GLG &amp; Managing Director; Head, Private Equity, China; Legal Representative, GIC (Beijing) at GIC Private. Ms. Sun oversees private equity investments in China, including direct investments and fund investments. She joined GIC in 2008. Prior to joining GIC, She was a senior investment officer at the International Finance Corporation (IFC) and Manager at McKinsey &amp; Company. Earlier in her career, she was an officer at the People's Bank of China (PBOC). She holds a Master of Business Administration from the Wharton School, University of Pennsylvania.</t>
  </si>
  <si>
    <t>GLG &amp; Managing Director; Head, Private Equity, China; Legal Representative, GIC (Beijing)</t>
  </si>
  <si>
    <t>390664-90P</t>
  </si>
  <si>
    <t>Siao Teng Yap</t>
  </si>
  <si>
    <t>Siao Teng</t>
  </si>
  <si>
    <t>Ms. Siao Teng Yap serves as Head of Global Markets and Opportunistic Investments in the External Managers Department at GIC (Singapore). In this role, she oversees strategies in Global Macro, Credit, Multi-Strategy, and Tactical Investments. She joined GIC in 2002 and has worked in GIC's London and New York offices. She was a portfolio manager in the Global Interest Rates Team with the Fixed Income Department until 2011 before joining EMD. She holds a Bachelor of Arts in Chemical Engineering and a Master of Philosophy in Finance (Financial Engineering) from the University of Cambridge.</t>
  </si>
  <si>
    <t>yapteng@gic.com.sg</t>
  </si>
  <si>
    <t>Head of Global Markets and Opportunistic Investments in the External Managers Department</t>
  </si>
  <si>
    <t>345787-75P</t>
  </si>
  <si>
    <t>Stefano Bertolotto</t>
  </si>
  <si>
    <t>Bertolotto</t>
  </si>
  <si>
    <t>Mr. Stefano Bertolotto serves as Senior Vice President at GIC (Singapore).</t>
  </si>
  <si>
    <t>stefanobertolotto@gic.com.sg</t>
  </si>
  <si>
    <t>444343-33P</t>
  </si>
  <si>
    <t>Su Ling Chee</t>
  </si>
  <si>
    <t>Su Ling</t>
  </si>
  <si>
    <t>Chee</t>
  </si>
  <si>
    <t>Ms. Su Ling Chee serves as Senior Vice President, Total Portfolio Policy and Allocation, Economics and Investment Strategy at GIC Private.</t>
  </si>
  <si>
    <t>Senior Vice President, Total Portfolio Policy and Allocation, Economics and Investment Strategy</t>
  </si>
  <si>
    <t>338827-33P</t>
  </si>
  <si>
    <t>Suresh Bala</t>
  </si>
  <si>
    <t>Bala</t>
  </si>
  <si>
    <t>Mr. Suresh Bala serves as Managing Director at GIC (Singapore).</t>
  </si>
  <si>
    <t>sbala@gic.com.sg</t>
  </si>
  <si>
    <t>390518-29P</t>
  </si>
  <si>
    <t>Tammam Mouakhar Ph.D</t>
  </si>
  <si>
    <t>Tammam</t>
  </si>
  <si>
    <t>Mouakhar</t>
  </si>
  <si>
    <t>Dr. Tammam Mouakhar serves as Director of Total Portfolio Solutions at GIC (Singapore). Dr. Mouakhar oversees medium-term strategies and rebalancing to maximize the impact on the Total Portfolio. He joined GIC in 2013 and led the Real Return Program and Total Portfolio Alternative Strategies divisions within the Economic and Investment Strategy department. Prior to joining GIC, he was Director at CDPQ in Canada. Earlier in his career, he was a lecturer at HEC Montreal in the Finance department and at the University of Montreal in the Mathematics department. He sits on the editorial board of the Journal of Systematic Investing. He holds a PhD in Financial Engineering from HEC Montreal, as well as an MBA from INSEAD. He also holds a BSc. in Mathematics and Physics from IPEIN, a MEng. in Industrial Engineering from ENIT, and an MSc. in Management of Information Systems from HEC Montreal. He has participated in the Program for Leadership Development at Harvard Business School and attended the ALFI program at the National University of Singapore. He is also a CFA, CAIA, FRM charterholder.</t>
  </si>
  <si>
    <t>tammammouakhar@gic.com.sg</t>
  </si>
  <si>
    <t>Director of Total Portfolio Solutions</t>
  </si>
  <si>
    <t>371077-39P</t>
  </si>
  <si>
    <t>Tan Wei Rong</t>
  </si>
  <si>
    <t>Wei Rong</t>
  </si>
  <si>
    <t>Mr. Tan Wei Rong serves as Assistant Vice President, Investment Services Public Markets at GIC (Singapore). He joined GIC under the GIC Professionals Programme in 2019 and has been deployed to Investment Services Public Markets since 2020. The team partners the business in providing services to support public markets investment. As an Assistant Vice President, he provides close execution support to the New York and London trading desks across a wide spectrum of asset classes and works on strategic projects that aim to improve efficiency, productivity, or new business capabilities aimed at reducing cost or freeing up cash for higher yielding investment activities.</t>
  </si>
  <si>
    <t>rong@gic.com.sg</t>
  </si>
  <si>
    <t>Assistant Vice President, Investment Services Public Markets</t>
  </si>
  <si>
    <t>390464-38P</t>
  </si>
  <si>
    <t>Taran Khera</t>
  </si>
  <si>
    <t>Taran</t>
  </si>
  <si>
    <t>Mr. Taran Khera serves as Managing Director, Data Strategy Group at GIC Private. He joined GIC in 2021, bringing with him over 16 years of experience in Data and Financial Services across APAC, the Middle East, and Europe from Bloomberg LP. Prior to joining GIC, he was Head of Asia Pacific Sales &amp; Business for Bloomberg LP in Hong Kong, where he took charge of the strategy for all of Bloomberg's Enterprise Technologies under the Financial Products umbrella. He holds a Bachelor of Science in Computer Science from the University of Liverpool and a Master of Science in Operational Research and Management Sciences from Aston University.</t>
  </si>
  <si>
    <t>tarankhera@gic.com.sg</t>
  </si>
  <si>
    <t>Managing Director, Data Strategy Group</t>
  </si>
  <si>
    <t>390437-02P</t>
  </si>
  <si>
    <t>Tien Xuan Doe</t>
  </si>
  <si>
    <t>Tien Xuan</t>
  </si>
  <si>
    <t>Mr. Tien Xuan Doe serves as Head of Research and Public Equities at GIC. He joined GIC in 2006 and covered Telecoms, Utilities, and Industrials for Asia Equity Research before joining the CIO Office, Equities as Head of Research in 2019. Before joining GIC, he worked for Alliance Capital Management and Morley Fund Management on the buy-side; JPMorgan/Jardine Fleming, Deutsche Morgan Grenfell, Kerry Securities, and Barclays de Zoete Wedd on the sell-side; and for KPMG in audit and insolvency. He holds a Master of Arts in Philosophy from King's College, University of Cambridge. He is a qualified Chartered Accountant and is a Fellow of the Institute of Chartered Accountants in England and Wales.</t>
  </si>
  <si>
    <t>tiendoe@gic.com.sg</t>
  </si>
  <si>
    <t>Head of Research, Public Equities</t>
  </si>
  <si>
    <t>390645-10P</t>
  </si>
  <si>
    <t>Tracy Stroh</t>
  </si>
  <si>
    <t>Tracy</t>
  </si>
  <si>
    <t>Stroh</t>
  </si>
  <si>
    <t>Ms. Tracy Stroh serves as Head of Europe, Real Estate at GIC. In this role, she is responsible for GIC RE's real estate equity and debt investment activities. She joined GIC Real Estate in 2001 at the San Francisco office. She has since held the positions of Global Head of Research and Strategic Planning (RSP) and Co-Head, of Asia Ex China Investment Group. While serving as Global Head, of RSP, her remit ranged from property research to management of the design, composition, and risk framework for the global real estate portfolio. Prior to joining GIC, she was an analyst for Catellus Development Corporation, where she focused on industrial, mixed-use, and land development. She holds a Bachelor of Arts from the University of California, Irvine.</t>
  </si>
  <si>
    <t>tracystroh@gic.com.sg</t>
  </si>
  <si>
    <t>Head of Europe, Real Estate</t>
  </si>
  <si>
    <t>390663-37P</t>
  </si>
  <si>
    <t>Tuck Kan Woo</t>
  </si>
  <si>
    <t>Tuck Kan</t>
  </si>
  <si>
    <t>Mr. Tuck Kan Woo serves as Senior Portfolio Manager, Public Equities at GIC (Singapore). He is responsible for leading thematic investing within Public Equities. He joined GIC in 1990 and has been directly managing public equities portfolios since 1994. He was most recently Head of Emerging Markets Non-Asia (EMNA). Before leading the EMNA team, he was Deputy Head of Developed Market Equities. In a career with GIC that has spanned more than three decades, his other responsibilities have included Head of Japan Equities, Head of European Equities, and Head of Global Consumer and Healthcare Research. He graduated with a Bachelor of Arts and Social Science in Economics (Honours) degree from the National University of Singapore. He has been a CFA charter holder since 1994.</t>
  </si>
  <si>
    <t>tuckkanwoo@gic.com.sg</t>
  </si>
  <si>
    <t>Senior Portfolio Manager, Public Equities</t>
  </si>
  <si>
    <t>133841-62P</t>
  </si>
  <si>
    <t>Tzu Mi Liew</t>
  </si>
  <si>
    <t>Tzu Mi</t>
  </si>
  <si>
    <t>Liew</t>
  </si>
  <si>
    <t>Ms. Tzu Mi Liew serves as Chief Investment Officer, Fixed Income and Multi Asset at GIC (Singapore). She was appointed Chief Investment Officer for Fixed Income in July 2016. She oversees the Fixed Income portfolio which includes investments in macro, credit, securitized products, convertibles, and cross-asset systematic investing. She joined GIC in 1998 and built her career in the Fixed Income department. She was responsible for the Emerging Markets and Foreign Exchange business from 2008 to 2010, headed up the Macro Research and Strategy team at its inception in 2011 and the Global Macro business from 2011 to 2016. She chairs GIC's Currency Risk Management Committee which is responsible for managing the currency exposure of the total portfolio and the Sustainability Committee which drives the integration of sustainability into GIC's investment and corporate processes. Ms Liew is a member of the Ministry of Defence SAVER-Premium Board of Trustees and the Central Provident Fund Board. She holds a Bachelor of Arts (First Class Honours) in Engineering and Master of Arts from the University of Cambridge, and a Master of Science in Engineering from Princeton University. She has completed the Advanced Management Program from INSEAD.</t>
  </si>
  <si>
    <t>liewtzumi@gic.com.sg</t>
  </si>
  <si>
    <t>Chief Investment Officer, Fixed Income and Multi Asset</t>
  </si>
  <si>
    <t>121656-52P</t>
  </si>
  <si>
    <t>Vinit Nagarajan</t>
  </si>
  <si>
    <t>Vinit</t>
  </si>
  <si>
    <t>Nagarajan</t>
  </si>
  <si>
    <t>Mr. Vinit Nagarajan serves as Global Head, Direct Private Credit at GIC Private. Mr. Nagarajan has been with GIC for over four years and has undertaken transactions in the financial services, consumer, natural resources and infrastructure sectors. Mr. Nagarajan served as a Board Member of RAC Motoring Services, a roadside assistance company and an observer on the board of Avolon, an aircraft leasing company. Prior to joining GIC, Mr. Nagarajan worked in investment banking at Deutsche Bank. Mr. Nagarajan holds a Bachelor's degree in electrical engineering and a Master's degree in finance. Mr. Nagarajan is appointed to the board of RHUK by the GIC Shareholder as a shareholder director. Mr. Nagarajan served as Board Member at Nordic Aviation Capital.</t>
  </si>
  <si>
    <t>vinitnagarajan@gic.com.sg</t>
  </si>
  <si>
    <t>Global Head, Direct Private Credit</t>
  </si>
  <si>
    <t>390410-65P</t>
  </si>
  <si>
    <t>Wesley Bonewell</t>
  </si>
  <si>
    <t>Bonewell</t>
  </si>
  <si>
    <t>Mr. Wesley Bonewell serves as Head of Structured Products, Fixed Income &amp; Multi Asset at GIC (Singapore). In this role, he oversees the portfolio construction and management of structured product investments across Asia, Europe, and the Americas. Prior to joining GIC, he was Head of the prepayment-sensitive asset portfolios at GMAC RFC (Rescap). Early in his career, he worked in the asset liability management function at AgriBank FCB (part of the US farm credit system) and as an auditor at KPMG. He holds a Bachelor of Arts in Chemistry from St. Olaf College and a Bachelor of Science from the University of Minnesota Carlson School of Management Accounting.</t>
  </si>
  <si>
    <t>wesleybonewell@gic.com.sg</t>
  </si>
  <si>
    <t>Head of Structured Products, Fixed Income &amp; Multi Asset</t>
  </si>
  <si>
    <t>390497-68P</t>
  </si>
  <si>
    <t>Wing Kwan Leong</t>
  </si>
  <si>
    <t>Wing Kwan</t>
  </si>
  <si>
    <t>Leong</t>
  </si>
  <si>
    <t>Mr. Wing Kwan Leong serves as Director, Investment Services Public Markets at GIC (Singapore). He is responsible for organizing the investment support and operation functions across front, middle, and back offices to facilitate responsive and seamless investment execution support for public market assets. He joined GIC in 1996 and held various leadership positions in the Risk and Performance Management Department, Fixed Income, Public Markets, and Corporate Affairs and Planning. Prior to joining GIC, Wing Kwan was a senior auditor with Coopers &amp; Lybrand. He holds a Bachelor of Accountancy from Nanyang Technological University of Singapore. He also holds a Master of Business Administration from the University of Chicago. He is a CFA charter holder and a Chartered Accountant.</t>
  </si>
  <si>
    <t>wleong@gic.com.sg</t>
  </si>
  <si>
    <t>Director, Investment Services Public Markets</t>
  </si>
  <si>
    <t>13637-98P</t>
  </si>
  <si>
    <t>Wolfgang Schwerdtle Ph.D</t>
  </si>
  <si>
    <t>Schwerdtle</t>
  </si>
  <si>
    <t>Dr. Wolfgang Schwerdtle serves as Head of Direct Investments LATAM, Private Equity at GIC (Singapore). He joined MidOcean in 2005 and focuses on investing and managing investments in Europe. Prior to his current position, Mr. Schwerdtle was a Principal at Cambridge Capital Partners in Chicago and Los Angeles. Previously he was an Associate at Madison Dearborn Partners in London and, before that, he worked in the Investment Banking division of Goldman, Sachs &amp; Company. Mr. Schwerdtle graduated with a BA and an MS in Economics from Oxford University and received an MBA with Honors, Beta Gamma Sigma, in Finance and Entrepreneurship for the University of Chicago Graduate School of Business. He also holds a Doctorate degree in Finance from the European Business School.</t>
  </si>
  <si>
    <t>+55 01 13514 1600</t>
  </si>
  <si>
    <t>wolfgangschwerdtle@gic.com.sg</t>
  </si>
  <si>
    <t>Avenue Cidade Jardim</t>
  </si>
  <si>
    <t>803 7º andar Cj. 71</t>
  </si>
  <si>
    <t>01453-000</t>
  </si>
  <si>
    <t>Head of Direct Investments LATAM, Private Equity</t>
  </si>
  <si>
    <t>399535-75P</t>
  </si>
  <si>
    <t>Xavier Ng</t>
  </si>
  <si>
    <t>Mr. Xavier Ng serves as Vice President at GIC (Singapore). He has been with the firm for over five years. His role is to find and evaluate investment opportunities globally across sectors and asset classes, formulate a thoughtful view on risks and returns, and present these findings to the investment committee.</t>
  </si>
  <si>
    <t>xavierng@gic.com.sg</t>
  </si>
  <si>
    <t>390443-32P</t>
  </si>
  <si>
    <t>Yi Kang Kau</t>
  </si>
  <si>
    <t>Yi Kang</t>
  </si>
  <si>
    <t>Kau</t>
  </si>
  <si>
    <t>Mr. Yi Kang Kau serves as Managing Director (Global Leadership Group), Global Emerging Markets, Public Equities at GIC Private. He leads a team investing in public equities in regions including Asia, Latin America, Middle East, and Eastern Europe. The team is based in Singapore and has a presence in New York. He has had various roles in the Public Equities Department, working on quantitative equities, developed market equities, and emerging market equities. He holds a Bachelor of Arts in Economics from Cornell University, and a Master in Public Administration from Harvard Kennedy School.</t>
  </si>
  <si>
    <t>kaukang@gic.com.sg</t>
  </si>
  <si>
    <t>Managing Director (Global Leadership Group), Global Emerging Markets, Public Equities</t>
  </si>
  <si>
    <t>95949-10P</t>
  </si>
  <si>
    <t>Yong Cheen Choo</t>
  </si>
  <si>
    <t>Yong Cheen</t>
  </si>
  <si>
    <t>Mr. Yong Cheen Choo serves as Chief Investment Officer, Private Equity at GIC (Singapore). Choo Yong Cheen was appointed Chief Investment Officer for Private Equity in July 2016. He oversees the Private Equity portfolio, which includes investments in buyouts, minority growth, Pre-IPOs, venture capital, private credit and special situations. He joined GIC in 1996 and held various roles in the Economics and Strategy Department. Mr Choo transferred to the Equities Department in 2002, where he managed an Asia regional equities portfolio, specializing in China. He transferred to GIC Special Investments to run GIC's Private Equity business across Asia in 2011, before being posted to London in 2014 to run the European Private Equity business. Mr Choo is also currently the Head of GIC's China Business Group. Mr Choo holds a Bachelor of Science (First Class Honours) and a Master of Science (with Distinction) in Econometrics and Mathematical Economics from the London School of Economics and Political Science. He has also completed the Senior Executive Programme from the London Business School.</t>
  </si>
  <si>
    <t>chooyongcheen@gic.com.sg</t>
  </si>
  <si>
    <t>Chief Investment Officer, Private Equity</t>
  </si>
  <si>
    <t>390469-33P</t>
  </si>
  <si>
    <t>Zhi Zhang Lee</t>
  </si>
  <si>
    <t>Zhi Zhang</t>
  </si>
  <si>
    <t>Controller &amp; Head</t>
  </si>
  <si>
    <t>Mr. Zhi Zhang Lee serves as Head of Investment Finance &amp; Controller at GIC Private. The finance function performs valuation, investment operations, deal advisory, reporting, and treasury management activities for the private markets. Prior to joining GIC in 2017, Mr. Lee worked for Shell in The Netherlands, Malaysia, and Singapore. He led their global Portfolio Planning function, served as CFO of a joint venture, and led Asia Pacific business development, as well as merger, acquisition, and divestment activities in the region. He was previously a board committee member of MLNG. He holds a Bachelor of Finance from the University of Adelaide and a Master of Business Administration from the University of Chicago. He is a Certified Practising Accountant.</t>
  </si>
  <si>
    <t>zlee@gic.com.sg</t>
  </si>
  <si>
    <t>Head of Investment Finance &amp; Controller</t>
  </si>
  <si>
    <t>158790-43P</t>
  </si>
  <si>
    <t>Lemuel Anaejionu JD</t>
  </si>
  <si>
    <t>Lemuel</t>
  </si>
  <si>
    <t>Anaejionu</t>
  </si>
  <si>
    <t>GigaFund</t>
  </si>
  <si>
    <t>Chief Compliance Officer &amp; General Counsel</t>
  </si>
  <si>
    <t>Mr. Lemuel Anaejionu serves as General Counsel &amp; Chief Compliance Officer at GigaFund. Mr. Anaejionu served as Managing Partner at Anaejionu &amp; Kuhr. He also serves as Advisor at Homads. Before joining Gigafund in 2018, Lem practiced corporate law at Proskauer in New York City and founded a boutique law firm in Austin that served startup founders and investors. Lem also started a textbook company while a finance undergraduate at the University of Texas and earned his JD and MBA from Columbia University.</t>
  </si>
  <si>
    <t>+1 (512) 947-1454</t>
  </si>
  <si>
    <t>lemuel@gigafund.com</t>
  </si>
  <si>
    <t>555 East 5th Street</t>
  </si>
  <si>
    <t>Suite 3127</t>
  </si>
  <si>
    <t>General Counsel &amp; Chief Compliance Officer</t>
  </si>
  <si>
    <t>14067-82P</t>
  </si>
  <si>
    <t>Luke Nosek</t>
  </si>
  <si>
    <t>Nosek</t>
  </si>
  <si>
    <t>Mr. Luke Nosek is a Co-Founder and serves as Managing Partner at Gigafund. He serves as a Board Member at Emerald Cloud Lab. He serves as Board Member at SpaceX. He co-founded &amp; served as Partner at Founders Fund. He co-founded PayPal Holdings. After selling PayPal to eBay, he launched Founders Fund with Peter Thiel and Ken Howery. At Founders Fund, he led the first venture investment in Elon Musk's SpaceX in 2008 and has served on the SpaceX board since then. He also sits on the boards of Last Energy and Luminous Computing. He served as Board Member At ResearchGate.</t>
  </si>
  <si>
    <t>+1 (310) 363-6220</t>
  </si>
  <si>
    <t>luke@gigafund.com</t>
  </si>
  <si>
    <t>339306-22P</t>
  </si>
  <si>
    <t>Sedge Downing</t>
  </si>
  <si>
    <t>Sedge</t>
  </si>
  <si>
    <t>Mr. Sedge Downing serves as Executive Assistant at GigaFund. Mr. Downing has one Degree in Music from Austin Community College.</t>
  </si>
  <si>
    <t>+1 (833) 444-2386</t>
  </si>
  <si>
    <t>sedge@gigafund.com</t>
  </si>
  <si>
    <t>86889-16P</t>
  </si>
  <si>
    <t>Stephen Oskoui</t>
  </si>
  <si>
    <t>Oskoui</t>
  </si>
  <si>
    <t>Mr. Stephen Oskoui is a Co-Founder &amp; serves as Managing Partner at GigaFund. Mr. Oskoui serves as Advisor &amp; Board Member at Angel Studios. He also serves as a Board Member at Emerald Cloud Lab, Veryable, Sana Benefits, Lambda School, and RealSavvy. He founded and served as Chief Executive Officer at Smiley Media. He served as Venture Partner at Founders Fund. He serves as an Executive at Steve Oskoui. He served as a Board member at Hutch (Virtual Interior Designing). He serves as Board Member at Sunroom Rentals.</t>
  </si>
  <si>
    <t>+1 (650) 814-0643</t>
  </si>
  <si>
    <t>steve@gigafund.com</t>
  </si>
  <si>
    <t>339305-68P</t>
  </si>
  <si>
    <t>Tim Goossen</t>
  </si>
  <si>
    <t>Goossen</t>
  </si>
  <si>
    <t>Mr. Tim Goossen serves as Controller at GigaFund.</t>
  </si>
  <si>
    <t>tim@gigafund.com</t>
  </si>
  <si>
    <t>159882-13P</t>
  </si>
  <si>
    <t>Evaline Tsai Ph.D</t>
  </si>
  <si>
    <t>Evaline</t>
  </si>
  <si>
    <t>Gigascale Capital</t>
  </si>
  <si>
    <t>Dr. Evaline Tsai serves as Principal at Gigascale Capital. Dr. Tsai served as Senior Associate at Fine Structure Ventures. She also Co-Founded Cambridge Cancer Genomics. She earned a BSE in Chemical and Biological Engineering from Princeton University. She has corporate experience in the petrochemical industry but now focuses on the design and implementation of biosensors. She is currently completing a Ph.D. from the University of Cambridge. Evaline is head of device and platform development as well as the OneTest Technology. She holds BS. She most recently spent two years at Fine Structure Ventures, where her investments included Commonwealth Fusion Systems, Boston Metal, Debut Biotech, Phytoform, and Hoxton Farms. Before becoming an investor, Evaline founded a Y-Combinator-backed healthcare company; was the first product manager on machine learning at Samsara; and published multiple journal articles spanning experimental, theoretical, and applied research in climate tech and biotech.</t>
  </si>
  <si>
    <t>evaline@gigascale.com</t>
  </si>
  <si>
    <t>420524-29P</t>
  </si>
  <si>
    <t>Kevin Zhang</t>
  </si>
  <si>
    <t>Mr. Kevin Zhang serves as an Investor at Gigascale Capital. He is focused on finding and partnering with founders who are making climate technologies economically viable. He has spent time investing in climate tech companies with Fall Line Capital and Energy Innovation Capital. He previously worked in Boston Consulting Group's venture studio and served in advisory roles for a variety of climate tech startups. He also spent time in the energy industry at Shell. He holds an MBA from Stanford GSB and a Bachelor's degree in Chemical and Biomolecular Engineering from Rice University.</t>
  </si>
  <si>
    <t>406769-32P</t>
  </si>
  <si>
    <t>Merrill Feather</t>
  </si>
  <si>
    <t>Merrill</t>
  </si>
  <si>
    <t>Feather</t>
  </si>
  <si>
    <t>Ms. Merrill Feather serves as Head of Marketing at Gigascale Capital.</t>
  </si>
  <si>
    <t>+1 (202) 427-5847</t>
  </si>
  <si>
    <t>merrill@gigascale.com</t>
  </si>
  <si>
    <t>Head of Marketing &amp; Community</t>
  </si>
  <si>
    <t>55413-82P</t>
  </si>
  <si>
    <t>Michael Schroepfer</t>
  </si>
  <si>
    <t>Schroepfer</t>
  </si>
  <si>
    <t>Mr. Mike Schroepfer is the Founder and serves as Partner at Gigascale Capital. Mr. Schroepfer served as a Senior Fellow at Facebook. He is a Co-Founder of Additional Ventures. He is a Previously, he served as Chief Technology Officer at Facebook. He has been at Facebook for nearly five years and led most of its latest mobile efforts. Before Facebook, Schroepfe as he's referred to internally, held the VP of Engineering role at Mozilla for three years. He is responsible for harnessing the engineering organization's culture of speed, creativity, and exploration to build products, services, and infrastructure that support the company's users, developers, and partners around the world. Before coming to Facebook, he was the Vice President of Engineering at Mozilla Corporation, where he led the global, collaborative, open, and participatory product development process behind Mozilla's popular software, such as the Firefox web browser.</t>
  </si>
  <si>
    <t>michael@additionalventures.org</t>
  </si>
  <si>
    <t>Senior Fellow</t>
  </si>
  <si>
    <t>Meta Platforms (Former)</t>
  </si>
  <si>
    <t>347659-39P</t>
  </si>
  <si>
    <t>Victoria Beasley</t>
  </si>
  <si>
    <t>Beasley</t>
  </si>
  <si>
    <t>Ms. Victoria Beasley serves as Partner at Gigascale Capital. She has been a leading investor, founder, and operator in the climate industry for the past 15 years, including her most recent work as General Partner at Prelude Ventures. Her investments and experience span clean energy, mobility, food &amp; agriculture, materials circularity, and carbon markets. She held Board roles at Trove, Persefoni, Meati, and Lightship, and led investments in Living Carbon, Lime, AMP Robotics, and ClearMetal. She founded an agriculture supply chain company, ran finance for several years in the energy space, and worked on climate change strategy at BCG. She holds an MBA from Stanford University, as well as an MS in Environment and Resources.</t>
  </si>
  <si>
    <t>victoria@gigascale.com</t>
  </si>
  <si>
    <t>289476-37P</t>
  </si>
  <si>
    <t>Arnd Lodowicks Ph.D</t>
  </si>
  <si>
    <t>Arnd</t>
  </si>
  <si>
    <t>Lodowicks</t>
  </si>
  <si>
    <t>Global Founders Capital</t>
  </si>
  <si>
    <t>Dr. Arnd Lodowicks serves as Managing Director at Global Founders Capital. Dr. Lodowicks serves as Chief Financial Officer at Rocket Internet. He served as Managing Director at Global Green Capital. He studied Business Administration at the University of Cologne and the University of British Columbia in Vancouver. He earned a Ph.D. (Doctor of Philosophy) in Finance from Freie Universität Berlin. He also holds degrees in Business Administration from both the University of Cologne and the University of British Columbia.</t>
  </si>
  <si>
    <t>+49 (0)30 3001 3180 0</t>
  </si>
  <si>
    <t>Charlottenstraße 4</t>
  </si>
  <si>
    <t>10969</t>
  </si>
  <si>
    <t>121414-33P</t>
  </si>
  <si>
    <t>Cedric Asselman</t>
  </si>
  <si>
    <t>Asselman</t>
  </si>
  <si>
    <t>Mr. Cedric Asselman serves as Partner at Global Founders Capital. He serves as a Board Member at Responsibly, Mantra Health, Databutton, Mellie and SoSafe. He co-founded Global Green Capital. He served as an Investment Analyst at Waterland Private Equity Investments. Prior to joining Waterland, he gained work experience through an Investment Banking internship at ABN Amro Amsterdam and a Private Equity internship at GIMV Antwerp. He holds a Master's degree in Financial Management from the Vlerick Business School (Magna Cum Laude) and a Master's degree in Business Engineering from the Catholic University of Leuven (Cum Laude). During his studies, he completed a summer course at the London School of Economics and took part in an exchange program at the National Taiwan University. He is an Angel Investor.</t>
  </si>
  <si>
    <t>+32 (0)3 292 96 60</t>
  </si>
  <si>
    <t>cedric@globalfounderscapital.com</t>
  </si>
  <si>
    <t>230347-54P</t>
  </si>
  <si>
    <t>David Sainteff</t>
  </si>
  <si>
    <t>Sainteff</t>
  </si>
  <si>
    <t>Mr. David Sainteff serves as Partner at Global Founders Capital. He serves as Board Member at Convelio. He serves as Board Member at Defacto.</t>
  </si>
  <si>
    <t>david@globalfounderscapital.com</t>
  </si>
  <si>
    <t>199909-63P</t>
  </si>
  <si>
    <t>Donald Stalter</t>
  </si>
  <si>
    <t>Mr. Donald Stalter is the Founder &amp; serves as Managing Partner at Sunshine Lake Capital. He also serves as a Partner at Global Founders Capital. Mr. Stalter served as Chief Financial Officer and Board Member at Rocket Internet Growth Opportunities. He served as a Board Member at Baton. He serves as an Advisor &amp; Guest Committee Member at Sarona Ventures. He serves as a Board Member at Blueland. He has been managing the North American portfolio for GFC Global Founders Capital GmbH in various capacities since January 2017, where he is currently responsible for investments such as Brex, Inc., Cedar.ai, Inc., Culture Amp Pty Ltd, Deel, Inc., FamPay, Inc., Mothership Technologies, Inc., TherapyMatch, Inc. (Headway), Hyper Labs, Inc. (Hyperscience), Karat Financial Technologies, Inc., and Kalshi, Inc. He serves as a Board Member at SidelineSwap. Prior to that, he worked with software entrepreneurs and investors on data, operations, and fundraising efforts since 2013. From 2011 to 2013, he worked in business development at Airbnb, Inc., and worked at Groupon, Inc. from 2009 to 2011. Earlier in his career, he worked for Kennet Partners in London and at Credit Suisse in San Francisco. He is a member of the boards of directors of various private companies. He holds an A.B. from the University of Chicago. He serves as a Board Member at Raise.dev.</t>
  </si>
  <si>
    <t>dstalter@sunshinelake.vc</t>
  </si>
  <si>
    <t>Grand Cayman</t>
  </si>
  <si>
    <t>Grand Cayman, Cayman Islands</t>
  </si>
  <si>
    <t>Boundary Hall, Cricket Square</t>
  </si>
  <si>
    <t>KY1-1102</t>
  </si>
  <si>
    <t>Rocket Internet Growth Opportunities</t>
  </si>
  <si>
    <t>211690-00P</t>
  </si>
  <si>
    <t>Fabricio Pettena</t>
  </si>
  <si>
    <t>Fabricio</t>
  </si>
  <si>
    <t>Pettena</t>
  </si>
  <si>
    <t>Mr. Fabricio Pettena serves as a Partner at Global Founders Capital. He served as Board Member at Kovi, SouSmile and BeeTech. He serves as Board Member at BudaCorp.</t>
  </si>
  <si>
    <t>fabricio@globalfounderscapital.com</t>
  </si>
  <si>
    <t>05319-000</t>
  </si>
  <si>
    <t>40147-03P</t>
  </si>
  <si>
    <t>Marc Samwer</t>
  </si>
  <si>
    <t>Samwer</t>
  </si>
  <si>
    <t>Mr. Marc Samwer is a Co-Founder &amp; serves as Advisor at Global Founders Capital. Mr. Marc holds a Master's Degree in Law from the University of Cologne where he graduated among the top of his class. After his studies, Marc worked in marketing for Visto Corporation in Mountain View, U.S.A., a Silicon Valley start-up for communication services. In January 1999, he and his two brothers founded Alando.de which became the market leader of internet auctions in Germany. After the successful sale of Alando.de to eBay Inc., Marc was Managing Director of eBay, responsible for Germany, Switzerland, and Austria. Together with his brothers, he turned eBay Germany into the most profitable international site of eBay worldwide. In 2000, Marc and his brothers founded Jamba! AG became the market leader for wireless content such as music, pictures, games, and videos for mobile phones in Europe and the US. In 2004 Verisign Inc. acquired Jamba! AG. In 2006 News Corp. acquired 51% of Jamba. In 2003, Marc received the distinguished Eisenhower Fellowship Award.</t>
  </si>
  <si>
    <t>marc@globalfounderscapital.com</t>
  </si>
  <si>
    <t>33288-94P</t>
  </si>
  <si>
    <t>Oliver Samwer</t>
  </si>
  <si>
    <t>Mr. Oliver Samwer is a Co-Founder &amp; Investor at Global Founders Capital. He served as Board Member at Nested. He also serves as Board Advisor at Vitable. Mr. Samwer is a Co-Founder and serves as Chief Executive Officer at Rocket Internet. He served as Deputy Chairperson at HelloFresh. He is the Founder and served as Managing Director at European Founders Fund. Mr. Samwer holds a business degree from WHU, one of Germany's top business schools. During his studies, he was a fellow of Deutsche Studienstiftung which awards scholarships to Germany's top 1% of students. While at university, he was also a co-author of a publication of the success factors of over 50 start-ups in Silicon Valley. In January 1999, he and his two brothers founded Alando.de which became the market leader of Internet auctions in Germany. After the successful sale of Alando.de to eBay Inc., he was Managing Director of eBay, responsible for Germany, Switzerland and Austria. Together with his brothers, he turned eBay Germany into the most profitable international site of eBay worldwide. In 2000, he and his brothers founded Jamba! AG which became the market leader for wireless content such as music, pictures, games and videos for mobile phones in Europe and the US. In 2004 Verisign Inc. acquired Jamba! AG. In 2006 News Corp. acquired 51% of Jamba. In 2004, he was selected as one of the Young Global Leaders by the World Economic Forum in Davos, Switzerland. He is the Deputy Chairman at Global Fashion Group.</t>
  </si>
  <si>
    <t>oliver@globalfounderscapital.com</t>
  </si>
  <si>
    <t>66968-83P</t>
  </si>
  <si>
    <t>Clancey Stahr</t>
  </si>
  <si>
    <t>Clancey</t>
  </si>
  <si>
    <t>Stahr</t>
  </si>
  <si>
    <t>GoAhead Ventures</t>
  </si>
  <si>
    <t>Mr. Clancey Stahr serves as Managing Partner at GoAhead Ventures. He serves as a Board Member Base AI. He served as a Board Member at Liist. He served as a Board Member of Popular Pays and VideoAmp. He serves as a Board Observer at Grapevine. AI. He serves as an Advisor at Empowerly. Previously, he served as Board Member at Detective and Simple Emotion. He was a Board Member of ReadyStream. He is part of Stanford's Business Association for Entrepreneurial Students (BASES.) He was the first employee at Scriba Technologies, a voice recognition company, and made and realized an angel investment in the company. He led ZenShin's latest investments in Iotera and Simple Emotion, the ZenShin Technology Fund's first investments. He consults for Iotera and sits on Simple Emotion's board with TK.</t>
  </si>
  <si>
    <t>+1 (650) 275-2465</t>
  </si>
  <si>
    <t>clancey@goaheadvc.com</t>
  </si>
  <si>
    <t>131044-69P</t>
  </si>
  <si>
    <t>Phil Brady</t>
  </si>
  <si>
    <t>Mr. Phil Brady serves as Managing Partner at GoAhead Ventures. Mr. Brady is an Angel Investor. He serves as Board Member at Gameflip and DogSpot. He also served as Board Member at Rainway. He led the investment in Gameflip and he focuses on Stanford deals as well as financial technology investments. Phil is the founder of Copernican Solutions, a startup consulting firm. He was previously on the deal team at Andreessen Horowitz, where he focused on IoT and Bitcoin. Phil has also spent time working at tech startups such as Airware and Xapo, as well as PE/VC firms such as Lindsay Goldberg in NY and Inventure Oy in Finland. Phil received his BS in Management Science and Engineering from Stanford University.</t>
  </si>
  <si>
    <t>+1 (631) 708-5211</t>
  </si>
  <si>
    <t>phil@goaheadvc.com</t>
  </si>
  <si>
    <t>35493-31P</t>
  </si>
  <si>
    <t>Takeshi Mori</t>
  </si>
  <si>
    <t>Mori</t>
  </si>
  <si>
    <t>Mr. Takeshi Mori serves as Managing Partner at GoAhead Ventures. Mr. Mori serves as a Board Observer at Omnisearch. He is an Angel Investor.. He served as a Board Member at Cake. He also serves as a Board Observer at Talkable, IntraPosition, and many GoAhead companies. He holds a BS in Electrical Engineering from the University of Tokyo and an MS in Management from Stanford Graduate School of Business. He serves as a Board Observer at Aphrodite.</t>
  </si>
  <si>
    <t>tk@goaheadvc.com</t>
  </si>
  <si>
    <t>345927-88P</t>
  </si>
  <si>
    <t>Jose Ignacio</t>
  </si>
  <si>
    <t>Goggo Network</t>
  </si>
  <si>
    <t>Mr. Jose Ignacio serves as Head of Finance at Goggo Network. Mr. Jose Ignacio serves as Managing Partner at Balandra Capital.</t>
  </si>
  <si>
    <t>+52 (01)55 5435 6235</t>
  </si>
  <si>
    <t>jignacio@goggonetwork.mysites.io</t>
  </si>
  <si>
    <t>Axel-Springer-Straße 65</t>
  </si>
  <si>
    <t>13088</t>
  </si>
  <si>
    <t>162313-03P</t>
  </si>
  <si>
    <t>Martín Varsavsky</t>
  </si>
  <si>
    <t>Martín</t>
  </si>
  <si>
    <t>Varsavsky</t>
  </si>
  <si>
    <t>Mr. Martín Varsavsky is the Founder of Ya.com. He is the Co-Founder and serves as Chief Executive Officer and Chairman at Goggo Network. He served as a Partner at MVB Fund. He served as Chief Executive Officer &amp; Chairman at Levere Holdings. At the start of his career in the 1990s, he built Viatel Inc., which became the first pan-European fiber optic network (sold stake for $1.2 billion in 1999), followed by Jazztel, a telecom operator that went public in 1999 (exited at $770 million valuation). In the early 2000s, he built Ya.com, which was later sold to Deutsche Telekom for $650 million. In 2005, he founded the international Wi-Fi services company Fon Wireless Ltd. ("Fon"), backed by equity investors Google and Microsoft. In May 2019, he sold his entire stake in Fon back to the company as part of Fon's stock buyback program. He subsequently co-founded Eolia Renovables de Inversiones SCR SA, one of Spain's largest renewable energy companies, which was sold in 2019. In 2015, backed by Lee Equity Partners, he founded Prelude Fertility/Inception, now the largest chain of fertility clinics in the USA. In 2017, he founded Overture Life, which focuses on automating the embryology lab and is backed by Khosla Ventures, Marc Benioff and Allen &amp; Company. He is a Co-Founder &amp; serves as General Partner at Myelin VC. Mr. Varsavsky is a Co-Founder and serves as Co-Chief Executive Officer &amp; Chairman at Overture Life. He is a Co-Founder and serves as Chairman at Gameto. He serves as a Board Advisor at AdMobilize. Mr. Varsavsky serves as Board Member at Axel Springer. He is the Founder and serves as Chief Executive Officer and Executive Chairman at Prelude Fertility. He is also a Co-Founder and serves as Chief Executive Officer, President and Board member at Overture Life. He is also a Co-Founder and serves as President and Chairman at Barter Energy. He served as Advisor at ShowKube. He serves as Executive-in-Residence at Summit Partners. He founded and served as Chairman at Fon. He served as an Advisor and Partner at Senzari. He is an Argentine entrepreneur and philanthropist. He is the founder of highly successful companies such as Viatel, Jazztel, and Ya.com. He also teaches at the Instituto de Empresa in Madrid, Spain. He is President and Founder of The Varsavsky Foundation and the Safe-Democracy Foundation. He was Ambassador-at-Large of Argentina up to 2005. He is also a member of the advisory board of Busuu Online. In 1981, he obtained a BA at New York University. In 1983, he earned an MA in International Affairs from Columbia University and in 1985, an MBA from Columbia Business School.</t>
  </si>
  <si>
    <t>+34 91 490 7222</t>
  </si>
  <si>
    <t>martin@goggo.network</t>
  </si>
  <si>
    <t>Parq. Empr. La Finca</t>
  </si>
  <si>
    <t>Pozuelo de Alarcon</t>
  </si>
  <si>
    <t>28223</t>
  </si>
  <si>
    <t>Ya.com</t>
  </si>
  <si>
    <t>405032-50P</t>
  </si>
  <si>
    <t>Octave Labbé</t>
  </si>
  <si>
    <t>Octave</t>
  </si>
  <si>
    <t>Labbé</t>
  </si>
  <si>
    <t>Mr. Octave Labbé serves as Head of Finance at Goggo Network.</t>
  </si>
  <si>
    <t>octave@goggo.network</t>
  </si>
  <si>
    <t>218350-63P</t>
  </si>
  <si>
    <t>Yasmine Fage</t>
  </si>
  <si>
    <t>Fage</t>
  </si>
  <si>
    <t>Chief Operating Officer &amp; Founder</t>
  </si>
  <si>
    <t>Ms. Yasmine Fage is a Co-Founder and serves as Chief Operating Officer at Goggo Network. Ms. Fage serves as Chief Operating Officer and Board Member at Levere Holdings. Before co-founding Goggo with Martin, she was Associate Partner at McKinsey &amp; Company in the New York office. She has also worked for the Investment Banks Lehman Brothers and Societe Generale. She also serves as Venture Partner at VAS Ventures.</t>
  </si>
  <si>
    <t>yasmine@goggo.network</t>
  </si>
  <si>
    <t>265280-23P</t>
  </si>
  <si>
    <t>Adriana Diener-Veinott</t>
  </si>
  <si>
    <t>Diener-Veinott</t>
  </si>
  <si>
    <t>Ms. Adriana Diener-Veinott serves as Chapter Chair, Silicon Valley/San Francisco at Golden Seeds.</t>
  </si>
  <si>
    <t>+1 (888) 629-6774</t>
  </si>
  <si>
    <t>Chapter Chair, Silicon Valley/San Francisco</t>
  </si>
  <si>
    <t>205501-78P</t>
  </si>
  <si>
    <t>Alison Hart</t>
  </si>
  <si>
    <t>Ms. Alison Hart serves as Finance Director at Golden Seeds Ventures. Fund. She is a financial services and communications professional with international experience in marketing, sales, investor relations, account management, financial and project roles.</t>
  </si>
  <si>
    <t>830 Third Avenue</t>
  </si>
  <si>
    <t>Golden Seeds Ventures</t>
  </si>
  <si>
    <t>84210-94P</t>
  </si>
  <si>
    <t>Allyn Taylor JD</t>
  </si>
  <si>
    <t>Allyn</t>
  </si>
  <si>
    <t>Ms. Allyn Taylor serves as Member at Golden Seeds. She has been a member of Golden Seeds since 2011. As Chair, he primary responsibility is to grow the membership of the Silicon Valley branch of Golden Seeds, to assign mentors to new members, to hold orientation sessions with guests and new members and to organize various social events. He is also active with various organizations aimed at fostering entrepreneurs and introducing them to angel groups such as Golden Seeds. Prior to her retirement in 2011, he was an IP attorney for over 25 years, representing a wide range of start-ups and global high tech and biotech companies. She received her JD from Columbia University and her BA from Stanford University.</t>
  </si>
  <si>
    <t>Member</t>
  </si>
  <si>
    <t>39580-03P</t>
  </si>
  <si>
    <t>Barbara Raho</t>
  </si>
  <si>
    <t>Raho</t>
  </si>
  <si>
    <t>Ms. Barbara Raho serves as Managing Director, Co-Chairman of Membership Engagement Program &amp; Member Engagement Lead, New York at Golden Seeds. She has invested in over 25 individual companies and 8 funds, including Golden Seeds' two funds, across the consumer, tech, and life science sectors. She holds a Board seat and Board observer position at 2 for-profit companies and is on the Board of Directors for three non-profits, as well as acting as a mentor for The Monarch Accelerator. During her tenure at Golden Seeds, she has co-chaired the Membership Committee. Previously, she was a founding employee and board member of Urban Outfitters, followed by work in corporate finance and fixed-income pension fund management. She holds an MBA from The Wharton School of Business and a BA from the University of Pennsylvania.</t>
  </si>
  <si>
    <t>+1 (914) 967-7613</t>
  </si>
  <si>
    <t>Managing Director, Co-Chairman of Membership Engagement Program &amp; Member Engagement Lead, New York</t>
  </si>
  <si>
    <t>338841-91P</t>
  </si>
  <si>
    <t>Bridgette Smith</t>
  </si>
  <si>
    <t>Bridgette</t>
  </si>
  <si>
    <t>Ms. Bridgette Smith serves as Co-Chair of Access to Capital Committee at Golden Seeds.</t>
  </si>
  <si>
    <t>Co-Chair of Access to Capital Committee</t>
  </si>
  <si>
    <t>141557-41P</t>
  </si>
  <si>
    <t>Carol Curley</t>
  </si>
  <si>
    <t>Ms. Carol Curley serves as Managing Director at Golden Seeds. She served as an Member of Investment Committee at Chestnut Street Ventures. She has held senior investment banking positions with Berkshire Capital Corporation, Prudential-Bache Capital Funding, and Smith Barney, Harris Upham &amp; Co. Inc. She is the Chief Investment Officer of The Charian Group, an early stage investment vehicle. Prior to forming The Charian Group, she was Executive Vice President, Chief Operating Officer, and a member of the Board of Westwood Management Corporation, a registered investment advisor. She holds a BA in Economics from Wellesley College, an MBA in Finance from Wharton and is a Chartered Financial Analyst.</t>
  </si>
  <si>
    <t>cac@goldenseeds.com</t>
  </si>
  <si>
    <t>46488-79P</t>
  </si>
  <si>
    <t>Carolyn Fikke</t>
  </si>
  <si>
    <t>Fikke</t>
  </si>
  <si>
    <t>Ms. Carolyn Fikke serves as Managing Director &amp; Co-Chair of the Access to Capital Committee at Golden Seeds. Ms. Fikke also serves as Board Member at Little Pim. Previously, she enjoyed an 18-year professional career working as an investment banker. Prior to that, she was a Managing Director at KPMG LLP and worked at Prudential Securities. She has completed MBA (Master of Business Administration) in Finance and International Business and a Bachelor's in Economics and International Relations from Brown University.</t>
  </si>
  <si>
    <t>cfikke@goldenseeds.com</t>
  </si>
  <si>
    <t>Managing Director, Co-Chair of the Access to Capital Committee &amp; Consumer Products and Applications (B2C) Sector Group Lead</t>
  </si>
  <si>
    <t>169110-28P</t>
  </si>
  <si>
    <t>Cheryl Kallem</t>
  </si>
  <si>
    <t>Kallem</t>
  </si>
  <si>
    <t>Ms. Cheryl Kallem serves as Managing Director, Co-Chair of the Post Investment Committee &amp; Ecosystem Lead, New York at Golden Seeds. She serves as Chief Financial Officer, Co-Chief Compliance Officer &amp; Senior Managing Director Strategy Committee at First Manhattan Company. She serves as the Chief Financial and Operations Officer and has more than 20 years of experience in the financial services industry. She joined First Manhattan in 2004 and currently supervises the firm's operations, finance, technology, and administrative functions. Prior to joining the firm, She was a Managing Director at Bear Stearns and a Principal at Arthur Young &amp; Company. She holds a BA from Colgate University and an MBA from Rutgers University and is a Certified Public Accountant.</t>
  </si>
  <si>
    <t>+1 (212) 756-3155</t>
  </si>
  <si>
    <t>cmkallem@goldenseeds.com</t>
  </si>
  <si>
    <t>Managing Director, Co-Chair of the Post Investment Committee &amp; Ecosystem Lead, New York</t>
  </si>
  <si>
    <t>181226-62P</t>
  </si>
  <si>
    <t>David Nethero</t>
  </si>
  <si>
    <t>Nethero</t>
  </si>
  <si>
    <t>Mr. David Nethero is a Co-Founder of the Atlanta Chapter and serves as Managing Director, Board Trustee and Treasurer of Golden Seeds Angel Association Inc. at Golden Seeds. Before Intimacy, He spent 20+ years in general management, mergers and acquisitions, and marketing with Dow Chemical, Union Carbide, Amoco, and BP. He spent 25 years in business and marketing leadership roles at Dow Chemical, Union Carbide, and British Petroleum.</t>
  </si>
  <si>
    <t>+1 (708) 266-1324</t>
  </si>
  <si>
    <t>Co-Founder of the Atlanta Chapter, Managing Director, Board Trustee and Treasurer of Golden Seeds Angel Association Inc.</t>
  </si>
  <si>
    <t>66494-44P</t>
  </si>
  <si>
    <t>Deb Kemper</t>
  </si>
  <si>
    <t>Deb</t>
  </si>
  <si>
    <t>Kemper</t>
  </si>
  <si>
    <t>Ms. Deb Kemper serves as Co-Chair of the Post Investment Committee at Golden Seeds. She served as Board Member at Day Zero Diagnostics. She served as Board Observer and Board Member at 99Degrees. She also serves as General Partner at Golden Seeds Ventures. She also served as Member at Clean Energy Venture Group and was a Board Member at Dayone Response. She is an experienced advisor with cross-cultural leadership experience. She has provided leadership support to organizations in China, Peru, and the United States. She recently worked with JUCCCE, a non-profit sustainability think tank in China. Currently, she is engaged in angel investing and is a member of two angel networks, Golden Seeds and Clean Energy Venture Group. She was a consultant with McKinsey &amp; Company where she served clients in a variety of industries including energy, utilities, electronics, and healthcare. Her functional experience includes manufacturing, product development, operations, strategy, professional development, and leadership coaching. She has completed MBA (Master of Business Administration) from Dartmouth College (Tuck) and BS (Bachelor of Science) in Civil Engineering from Cornell University.</t>
  </si>
  <si>
    <t>+1 (804) 332-4585</t>
  </si>
  <si>
    <t>dkemper@goldenseeds.com</t>
  </si>
  <si>
    <t>315644-23P</t>
  </si>
  <si>
    <t>Deborah Doyle</t>
  </si>
  <si>
    <t>Ms. Deborah Doyle serves as Managing Director, Co-Chairman, Access to Capital Committee &amp; Enterprise Services and Technology (B2B) Sector Group Lead at Golden Seeds. She served as Board Member at HOM.</t>
  </si>
  <si>
    <t>Managing Director, Co-Chairman, Access to Capital Committee &amp; Enterprise Services and Technology (B2B) Sector Group Lead</t>
  </si>
  <si>
    <t>338843-89P</t>
  </si>
  <si>
    <t>Denise Saltojanes</t>
  </si>
  <si>
    <t>Saltojanes</t>
  </si>
  <si>
    <t>Ms. Denise Saltojanes serves as Managing Director &amp; Chapter Co-Chair, Boston at Golden Seeds.</t>
  </si>
  <si>
    <t>denise@goldenseeds.com</t>
  </si>
  <si>
    <t>Managing Director &amp; Chapter Co-Chair, Boston</t>
  </si>
  <si>
    <t>164642-23P</t>
  </si>
  <si>
    <t>Eric Nadler</t>
  </si>
  <si>
    <t>Nadler</t>
  </si>
  <si>
    <t>Mr. Eric Nadler serves as Managing Director, B2C Sector Leader at Golden Seeds. He is an Innovative E-commerce Leader with expertise in usability, marketing, social media, merchandising, customer service, site design and development, site operations, mobile strategy and implementation, business planning and analysis and branding with an outstanding record of accomplishment and extensive range of experiences in both retail and wholesale operations. He received a BS in Management from SUNY Binghampton.</t>
  </si>
  <si>
    <t>enadler@goldenseeds.com</t>
  </si>
  <si>
    <t>Managing Director, B2C Sector Leader</t>
  </si>
  <si>
    <t>35713-72P</t>
  </si>
  <si>
    <t>Gina Tedesco</t>
  </si>
  <si>
    <t>Tedesco</t>
  </si>
  <si>
    <t>Ms. Gina Tedesco serves as Managing Director, Chapter Co-Chair &amp; Membership Lead, New Jersey at Golden Seeds. She serves as Board Member and Membership Chair at Jumpstart NJ Angel Network. She serves as Board Member at ConnectYard. She received an MBA degree from George Washington University and Bachelor of Science degree in Mechanical Engineering at University of Massachusetts.</t>
  </si>
  <si>
    <t>+1 (908) 696-8884</t>
  </si>
  <si>
    <t>Managing Director &amp; Chapter Co-Chair &amp; Membership Lead, New Jersey</t>
  </si>
  <si>
    <t>235706-41P</t>
  </si>
  <si>
    <t>Irina Berkon</t>
  </si>
  <si>
    <t>Berkon</t>
  </si>
  <si>
    <t>Ms. Irina Berkon serves as Chief Financial Officer &amp; Board Member at Metallicus. She serves as Managing Director at Golden Seeds.</t>
  </si>
  <si>
    <t>irina@metalpay.co</t>
  </si>
  <si>
    <t>Suite 107</t>
  </si>
  <si>
    <t>Metallicus</t>
  </si>
  <si>
    <t>199715-14P</t>
  </si>
  <si>
    <t>Iris Bombelyn</t>
  </si>
  <si>
    <t>Bombelyn</t>
  </si>
  <si>
    <t>Ms. Iris Bombelyn serves as Managing Director at Golden Seeds. Ms. Bombelyn leads the deal flow activity for the Silicon Valley chapter. She is active in the start-up community as a mentor, as well as Chair of the Washington State University Harold Frank Engineering Entrepreneurship Advisory Board. She retired from a career in aerospace, where she held operational, program management, and production roles in launch vehicles and satellites. She has an MBA from MIT's Sloan Fellows Program in Innovation and Global Leadership, and a BS in Engineering from Washington State University.</t>
  </si>
  <si>
    <t>ibombelyn@goldenseeds.com</t>
  </si>
  <si>
    <t>338844-70P</t>
  </si>
  <si>
    <t>Janet Slifka</t>
  </si>
  <si>
    <t>Slifka</t>
  </si>
  <si>
    <t>Ms. Janet Slifka serves as Managing Director &amp; Deal Flow Lead, Boston at Golden Seeds.</t>
  </si>
  <si>
    <t>Managing Director &amp; Deal Flow Lead, Boston</t>
  </si>
  <si>
    <t>265272-76P</t>
  </si>
  <si>
    <t>Jennifer Machado</t>
  </si>
  <si>
    <t>Ms. Jennifer Machado serves as Managing Director at Golden Seeds.</t>
  </si>
  <si>
    <t>jmachado@goldenseeds.com</t>
  </si>
  <si>
    <t>55275-40P</t>
  </si>
  <si>
    <t>Jo Corkran</t>
  </si>
  <si>
    <t>Jo</t>
  </si>
  <si>
    <t>Corkran</t>
  </si>
  <si>
    <t>Ms. Jo Corkran serves as Co-Chief Executive Officer, Managing Partner, Deal Flow Lead, New York &amp; Partner, Golden Seeds Fund &amp; Golden Seed Venture Fund at Golden Seeds. She also serves as General Partner at Golden Seeds Ventures. She serves as Board Member at Groupize. She has done BS (Bachelor of Science) in Mathematics from New York University.</t>
  </si>
  <si>
    <t>jac@goldenseeds.com</t>
  </si>
  <si>
    <t>Co-Chief Executive Officer, Managing Partner, Deal Flow Lead, New York &amp; Partner, Golden Seeds Fund &amp; Golden Seed Venture Fund</t>
  </si>
  <si>
    <t>55281-16P</t>
  </si>
  <si>
    <t>Joan Zief</t>
  </si>
  <si>
    <t>Zief</t>
  </si>
  <si>
    <t>Ms. Joan Zief serves as Managing Director &amp; Chapter Co-chair &amp; Office Hours Lead, New Jersey at Golden Seeds. Ms. Zief serves as Board Member at Kalion. She is an active investor in early-stage high growth companies and has been leading deals for Golden Seeds since 2008. Prior to 2008, she was a Managing Director at Goldman Sachs. Her 40-year career as an equity research analyst specializing in insurance and financial institutions spanned the Wall Street investment banks of Goldman Sachs and Merrill Lynch as well as several buy side firms. She was highly ranked on the Institutional Investor "All American Research Team" for 10 years. She was a board member of the non-profit First Occupational Center of NJ from 1996-2007 and acted as Treasurer for 6 years. She was appointed in 2008 to the Capital Finance Committee of the Township of Montclair for a four-year term. She currently serves as a trustee to the Montclair Art Museum. She holds a BA in economics from Smith College and an MBA from NYU Graduate School of Business.</t>
  </si>
  <si>
    <t>+1 (973) 783-4312</t>
  </si>
  <si>
    <t>Managing Director &amp; Chapter Co-chair &amp; Office Hours Lead, New Jersey</t>
  </si>
  <si>
    <t>210083-23P</t>
  </si>
  <si>
    <t>Kara Chmielewski</t>
  </si>
  <si>
    <t>Chmielewski</t>
  </si>
  <si>
    <t>Ms. Kara Chmielewski serves as Managing Director at Golden Seeds. She is active in the Boston start-up ecosystem and an advisor to entrepreneurs. Previously, she owned and operated a products and services retail franchise. She has owned an independent consulting practice serving product development start-ups, financial services, and retail organizations with clients including John Hancock and BJs Wholesale Club. Additionally, she has held corporate roles in operations and engineering at Polaroid Corporation and Johnson &amp; Johnson (Neutrogena). She has a BS in Electrical Engineering from Worcester Polytechnic Institute and an MBA from Babson College.</t>
  </si>
  <si>
    <t>48018-52P</t>
  </si>
  <si>
    <t>Kathleen Coviello</t>
  </si>
  <si>
    <t>Coviello</t>
  </si>
  <si>
    <t>Ms. Kathleen Coviello serves as Chief Economic Transformation Officer &amp; Member of the Executive Committee at New Jersey Economic Development Authority. She also serves as Chapter Co-Chair of New Jersey at Golden Seeds. She served as Director, Technology &amp; Life Sciences at TechLaunch. She has completed MBA (Master of Business Administration) in Finance from La Salle University and Bachelor's in Business from Albright College in 1992 and 1988 respectively.</t>
  </si>
  <si>
    <t>+1 (609) 633-1105</t>
  </si>
  <si>
    <t>kcoviello@njeda.com</t>
  </si>
  <si>
    <t>Trenton</t>
  </si>
  <si>
    <t>Trenton, NJ</t>
  </si>
  <si>
    <t>36 West State Street</t>
  </si>
  <si>
    <t>08625</t>
  </si>
  <si>
    <t>Chief Economic Transformation Officer &amp; Member of the Executive Committee</t>
  </si>
  <si>
    <t>New Jersey Economic Development Authority</t>
  </si>
  <si>
    <t>53281-99P</t>
  </si>
  <si>
    <t>Kathryn Swintek</t>
  </si>
  <si>
    <t>Swintek</t>
  </si>
  <si>
    <t>Ms. Kathryn Swintek serves as Managing Partner, Golden Seeds Fund 2 LP at Golden Seeds. Ms. Swintek also served as Advisory Board Member at BoardProspects. She is a Board Member at STRATA Skin Sciences. She serves as Advisor and Board Member at Oculogica. Prior to Golden Seeds, Ms. Swintek was a senior executive at BNP Paribas from November 1989 to April 2008, where she most recently served as Managing Director and Global Co-Head of its London-based Financial Sponsors Coverage Group. From 1974 to 1989, Ms. Swintek was a senior executive with Irving Trust Company (now known as BNY Mellon), where she was a Sr. Vice President and held positions in risk management and AnchorAnchoracquisition finance, and managed business relationships for the International Division in North Africa and the Near East, as well as in France, where she served as Representative while residing in Paris. Ms. Swintek is a former Chair of the Governing Board and the Executive Committee of The Committee of 200, a business women's leadership organization, which she joined in 2003. She served as Board Member at Bergen Medical Products, Inc., and Turtle &amp; Hughes, Inc. He served as Board Member at Open Road Integrated Media, Inc. She is a member of C200, the Women's Forum of New York, Women Corporate Directors, and Women Business Leaders of the U.S. Health Care Industry Foundation. The Company believes Ms. Swintek's qualifications to serve on the Board of Directors include her corporate leadership experience and her wide-ranging experience in international financial services. She has completed MBA (Master of Business Administration) in Finance from New York University (Stern) and BA (Bachelor of Arts) in Economics from Mt. St. Vincent.</t>
  </si>
  <si>
    <t>kathryn@goldenseeds.com</t>
  </si>
  <si>
    <t>Managing Partner, Golden Seeds Fund 2 LP</t>
  </si>
  <si>
    <t>235703-08P</t>
  </si>
  <si>
    <t>Kathy Lynn-Cullotta</t>
  </si>
  <si>
    <t>Lynn-Cullotta</t>
  </si>
  <si>
    <t>Ms. Kathy Lynn-Cullotta serves as Managing Director &amp; Chapter Co-Chair of Arizona at Golden Seeds.</t>
  </si>
  <si>
    <t>klynn-cullotta@goldenseeds.com</t>
  </si>
  <si>
    <t>Managing Director &amp; Chapter Co-Chair, Arizona</t>
  </si>
  <si>
    <t>254856-70P</t>
  </si>
  <si>
    <t>Kelly Frazier</t>
  </si>
  <si>
    <t>Ms. Kelly Frazier is an Investor at Golden Seeds. She served as Chief Human Resources Officer at Next Level Urgent Care.</t>
  </si>
  <si>
    <t>84211-48P</t>
  </si>
  <si>
    <t>Laura Baldwin</t>
  </si>
  <si>
    <t>Baldwin</t>
  </si>
  <si>
    <t>Ms. Laura Baldwin serves as Managing Director &amp; Chapter Chairman, Dallas at Golden Seeds. She serves as Managing Director at RevTech Ventures. She serves as an executive at Triad Strategies LLC. She is in Open Office Hours for the Texas chapter of Golden Seeds. She currently serves as President of Waco Bend Asset Management Ltd.; she previously served as Vice President of Finance and Investor Relations at Triad Hospitals, Inc., a Fortune 500 company, and also worked in equity research and investment banking. She received her BA from the University of Texas at Austin, graduating Phi Beta Kappa, and her MBA from Southern Methodist University.</t>
  </si>
  <si>
    <t>+1 (214) 473-3969</t>
  </si>
  <si>
    <t>Managing Director &amp; Chapter Chairman, Dallas</t>
  </si>
  <si>
    <t>163697-41P</t>
  </si>
  <si>
    <t>Laura Davis Ph.D</t>
  </si>
  <si>
    <t>Dr. Laura Davis serves as Managing Director, Co-Lead of Healthcare Sector Group &amp; Office Hours Lead, Boston at Golden Seeds. She served as Board Member at Day Zero Diagnostics. He serves as Board Observer at Concerto Biosciences.</t>
  </si>
  <si>
    <t>Managing Director, Co-Lead of Healthcare Sector Group &amp; Office Hours Lead, Boston</t>
  </si>
  <si>
    <t>265278-07P</t>
  </si>
  <si>
    <t>Lexie Demirali</t>
  </si>
  <si>
    <t>Lexie</t>
  </si>
  <si>
    <t>Demirali</t>
  </si>
  <si>
    <t>Ms. Lexie Demirali serves as Senior Venture Officer at New Jersey Economic Development Authority. She also serves as Chapter Co-Chair, New Jersey at Golden Seeds.</t>
  </si>
  <si>
    <t>+1 (609) 439-3640</t>
  </si>
  <si>
    <t>ldemirali@njeda.com</t>
  </si>
  <si>
    <t>Senior Venture Officer</t>
  </si>
  <si>
    <t>265273-48P</t>
  </si>
  <si>
    <t>Linda Laskowski</t>
  </si>
  <si>
    <t>Laskowski</t>
  </si>
  <si>
    <t>Ms. Linda Laskowski serves as Managing Director, Co-Chair of the Access to Capital Committee and Membership Lead, Silicon Valley/San Francisco at Golden Seeds.</t>
  </si>
  <si>
    <t>Managing Director, Co-Chair of the Access to Capital Committee and Membership Lead, Silicon Valley/San Francisco</t>
  </si>
  <si>
    <t>252766-63P</t>
  </si>
  <si>
    <t>Linda Netsch</t>
  </si>
  <si>
    <t>Netsch</t>
  </si>
  <si>
    <t>Ms. Linda Netsch serves as Member at Golden Seeds.</t>
  </si>
  <si>
    <t>+1 (843) 871-3576</t>
  </si>
  <si>
    <t>224379-82P</t>
  </si>
  <si>
    <t>Lisa Favaro</t>
  </si>
  <si>
    <t>Favaro</t>
  </si>
  <si>
    <t>Ms. Lisa Favaro serves as Managing Director at Golden Seeds. She served as Board Member at Tot Squad.</t>
  </si>
  <si>
    <t>+1 (914) 337-4453</t>
  </si>
  <si>
    <t>eif@goldenseeds.com</t>
  </si>
  <si>
    <t>210084-13P</t>
  </si>
  <si>
    <t>Liz Earley</t>
  </si>
  <si>
    <t>Liz</t>
  </si>
  <si>
    <t>Earley</t>
  </si>
  <si>
    <t>Ms. Liz Earley serves as Member at Golden Seeds. She is currently COO and a founding member of EdTechLive, an online professional development platform for education technology. She started her career in international project finance throughout Latin America and Asia. More recently, she has worked with, advised, and invested in start-up companies in industry areas including consumer goods, financial services, digital therapeutics, and organic products. She has extensive experience in corporate finance, strategic planning, financial modelling, and risk management. She holds an MBA from The Wharton School, a MA from Johns Hopkins University, and a BA from Cornell University.</t>
  </si>
  <si>
    <t>learley@goldenseeds.com</t>
  </si>
  <si>
    <t>55274-77P</t>
  </si>
  <si>
    <t>Loretta McCarthy</t>
  </si>
  <si>
    <t>Loretta</t>
  </si>
  <si>
    <t>Ms. Loretta McCarthy serves as Co-Chief Executive Officer, Managing Partner &amp; Membership Lead, New York at Golden Seeds. She is also an angel investor. She is responsible for the Golden Seeds angel network nationwide, including member cultivation, orientation and engagement. Prior to Golden Seeds, she held senior positions in financial services marketing at American Express and Oppenheimer Funds. She brings to this role deep experience in marketing, product development, public affairs and corporate communications. Ms. McCarthy holds an MBA from the University of Colorado and a BA from the University of Arizona.</t>
  </si>
  <si>
    <t>+1 (617) 680-0869</t>
  </si>
  <si>
    <t>loretta@goldenseeds.com</t>
  </si>
  <si>
    <t>Co-Chief Executive Officer, Managing Partner &amp; Membership Lead, New York</t>
  </si>
  <si>
    <t>410564-17P</t>
  </si>
  <si>
    <t>Lori Grob</t>
  </si>
  <si>
    <t>Grob</t>
  </si>
  <si>
    <t>Ms. Lori Grob serves as Managing Director &amp; Deal Flow Lead, Silicon Valley/San Francisco at Golden Seeds.</t>
  </si>
  <si>
    <t>lgrob@goldenseeds.com</t>
  </si>
  <si>
    <t>Managing Director &amp; Deal Flow Lead, Silicon Valley/San Francisco</t>
  </si>
  <si>
    <t>137191-33P</t>
  </si>
  <si>
    <t>Mara Babin JD</t>
  </si>
  <si>
    <t>Mara</t>
  </si>
  <si>
    <t>Babin</t>
  </si>
  <si>
    <t>Ms. Mara Babin is a Co-Founder &amp; serves as Partner at MBMC International. Ms. Babin serves as Managing Director &amp; Chapter Co-Chair, Arizona at Golden Seeds. Ms. Babin serves as Senior Advisor at Columbia West Capital. She is a senior executive with extensive international and U.S. business and legal experience. She brings expertise in management, operations, corporate governance, capital formation, M&amp;A, private equity, venture capital, fundraising, compensation, and business development. She earned her J.D. from the University of Michigan and her B.A., magna cum laude (Economics), from Washington University in St. Louis.</t>
  </si>
  <si>
    <t>+1 (480) 664-3949</t>
  </si>
  <si>
    <t>Paradise Valley</t>
  </si>
  <si>
    <t>Paradise Valley, AZ</t>
  </si>
  <si>
    <t>9202 North 52nd Street</t>
  </si>
  <si>
    <t>85253-1510</t>
  </si>
  <si>
    <t>MBMC International</t>
  </si>
  <si>
    <t>298451-80P</t>
  </si>
  <si>
    <t>Margaret Kohin</t>
  </si>
  <si>
    <t>Kohin</t>
  </si>
  <si>
    <t>Ms. Margaret Kohin serves as Managing Director at Golden Seeds.</t>
  </si>
  <si>
    <t>mkohin@goldenseeds.com</t>
  </si>
  <si>
    <t>318834-19P</t>
  </si>
  <si>
    <t>Marisa McGinnis</t>
  </si>
  <si>
    <t>McGinnis</t>
  </si>
  <si>
    <t>Ms. Marisa McGinnis serves as Managing Director &amp; Office Hours Lead, Silicon Valley/San Francisco at Golden Seeds.</t>
  </si>
  <si>
    <t>mam@goldenseeds.com</t>
  </si>
  <si>
    <t>Managing Director &amp; Office Hours Lead, Silicon Valley/San Francisco</t>
  </si>
  <si>
    <t>154998-46P</t>
  </si>
  <si>
    <t>Martha Gurwit</t>
  </si>
  <si>
    <t>Gurwit</t>
  </si>
  <si>
    <t>Ms. Martha Gurwit serves as Managing Director &amp; Office Hours Lead, Houston at Golden Seeds. Ms. Gurwit served as Managing Director at Antares Capital. She has been with Antares and its predecessor company since December 2007. She is on the Capital Markets team, responsible for structuring and syndicating leveraged loans for private equity sponsors. She has spent the majority of her career in leveraged finance, first at Republic National Bank in Houston and then J.P. Morgan Chase in Houston and New York City. She earned a bachelor's degree in finance from the University of Missouri and an MBA from the University of Houston.</t>
  </si>
  <si>
    <t>+1 (646) 880-5138</t>
  </si>
  <si>
    <t>mgurwit@goldenseeds.com</t>
  </si>
  <si>
    <t>Managing Director &amp; Office Hours Lead, Houston</t>
  </si>
  <si>
    <t>50447-71P</t>
  </si>
  <si>
    <t>Mary McCaffrey</t>
  </si>
  <si>
    <t>McCaffrey</t>
  </si>
  <si>
    <t>Ms. Mary McCaffrey serves as Managing Director &amp; Deal Flow Lead, New York at Golden Seeds. She serves as Board Member at Kids Read Now. She is the Treasurer and a Board Member at Pro Mujer. She also served as a Board member at AboutOne. She began her career as a translator at the National Security Agency, and later as a Project Manager for many education-related government grants. The majority of her career was spent on Wall Street, where she was an institutional equity analyst at Alex Brown and CJ Lawrence and a partner at a technology hedge fund, Camelot Capital focusing on communications, software, and internet companies. Over her career, she has worked with, advised, and invested in companies in all stages of their life cycle: start-up, pre, and post-IPO, and established public companies. Not-For-Profit experience includes managing various investment, audit, and finance committees at el Museo del Barrio, New York Common Pantry, Pro Mujer, and currently Hot Bread Kitchen. She has a BA in Political Science from Trinity College, Washington, DC, and a MA, EdD, and MBA from George Washington University.</t>
  </si>
  <si>
    <t>+1 (914) 961-9387</t>
  </si>
  <si>
    <t>Managing Director &amp; Deal Flow Lead, New York</t>
  </si>
  <si>
    <t>89120-71P</t>
  </si>
  <si>
    <t>Mathilde Coste</t>
  </si>
  <si>
    <t>Coste</t>
  </si>
  <si>
    <t>Ms. Mathilde Coste serves as Managing Director at Golden Seeds. She served as Chief Financial Officer at AdaCore. Previously, she served as Co-Chief Financial Officer at Videodesk. She received degrees from Stages AFDAS la voix du comédien avec Zygmunt Molik (2008), Atelier de l'Ouest Steve Kalfa - entraînements professionnels de l'acteur (2004), Atelier international de Théâtre Blanche Salan et Paul Weaver (2004) and Institut d'Etudes Politiques de Paris (1991). She has also completed Master's and Bachelor's from Sciences Po and a degree from Columbia Business School.</t>
  </si>
  <si>
    <t>+1 (212) 906-9038</t>
  </si>
  <si>
    <t>262571-95P</t>
  </si>
  <si>
    <t>Michelle Schwartz</t>
  </si>
  <si>
    <t>Ms. Michelle Schwartz serves as Chief Executive Officer at Steve &amp; Andys. She serves as Managing Director at Golden Seeds.</t>
  </si>
  <si>
    <t>michelle@steveandandys.com</t>
  </si>
  <si>
    <t>630 Flushing Avenue</t>
  </si>
  <si>
    <t>11206</t>
  </si>
  <si>
    <t>Steve &amp; Andys</t>
  </si>
  <si>
    <t>164641-51P</t>
  </si>
  <si>
    <t>Mindy Posoff</t>
  </si>
  <si>
    <t>Posoff</t>
  </si>
  <si>
    <t>Ms. Mindy Posoff serves as Managing Director, Co-Chairman of Membership Engagement Program &amp; Member Engagement Lead, New York at Golden Seeds. She is a Co-Founder of NewMarket Capital Partners. She also serves as an Advisory Investment Committee Member at Women of the World Endowment. She also serves as a Board Member at Ben Franklin Technology Partner of Southeastern Pennsylvania. She served as Vice Chairwoman of the Board at the Philadelphia Foundation. As an active angel investor, she is also involved in Golden Seeds' ecosystem outreach for deal flow and syndication opportunities. She has served as a board member and Co-head of the Technology Sector group. She holds an MBA from the Wharton School and a BA from Beloit College.</t>
  </si>
  <si>
    <t>mmp@goldenseeds.com</t>
  </si>
  <si>
    <t>Managing Director &amp; Executive</t>
  </si>
  <si>
    <t>32631-76P</t>
  </si>
  <si>
    <t>Mirella Cicio</t>
  </si>
  <si>
    <t>Mirella</t>
  </si>
  <si>
    <t>Cicio</t>
  </si>
  <si>
    <t>Ms. Mirella Cicio serves as Director of Membership &amp; Knowledge Institute at Golden Seeds.</t>
  </si>
  <si>
    <t>+1 (888) 629-6774 x55</t>
  </si>
  <si>
    <t>mirella@goldenseeds.com</t>
  </si>
  <si>
    <t>Director of Membership &amp; Knowledge Institute</t>
  </si>
  <si>
    <t>210082-69P</t>
  </si>
  <si>
    <t>Mitzi Krockover</t>
  </si>
  <si>
    <t>Mitzi</t>
  </si>
  <si>
    <t>Krockover</t>
  </si>
  <si>
    <t>Ms. Mitzi Krockover serves as Managing Director, Co-Chair Health Sector Committee and Founding Member, Arizona Chapter at Golden Seeds. She served as Vice President of Women's' Health at Humana. She is a Principal and Senior Consultant at SSB Solutions, a healthcare management consulting, development, and investment firm. Most recently, she was the founding director of the Health Futures Council at ASU, a group of leaders created to guide and support Arizona State University's health enterprise. Previous positions include Vice President of e-Health and Women's Health for Humana Inc., Louisville, KY and founding Medical Director of the Iris Cantor-UCLA Women's Health Center, and an Assistant Professor of Medicine at UCLA. During her tenure, the Center was designated a National Center of Excellence in Women's Health by DHHS.</t>
  </si>
  <si>
    <t>+1 (480) 965-7686</t>
  </si>
  <si>
    <t>mkrockover@goldenseeds.com</t>
  </si>
  <si>
    <t>Managing Director, Co-Chair Health Sector Committee and Founding Member, Arizona Chapter</t>
  </si>
  <si>
    <t>32631-49P</t>
  </si>
  <si>
    <t>Peggy Wallace</t>
  </si>
  <si>
    <t>Managing Director &amp; Managing Partner</t>
  </si>
  <si>
    <t>Ms. Peggy Wallace serves as Managing Director &amp; Managing Partner Funds at Golden Seeds. She serves as a Board Observer at Cadenza Innovation. She served as Board Member at Bergen Medical Products. She is also General Partner on Golden Seeds Fund and Golden Seeds Fund 2. Her primary focus is working with companies and their board representatives in the Golden Seeds portfolio. She actively works to build out a post-investment ecosystem that fosters the acceleration and growth of companies in the portfolio. She had over 25 years of experience in structured finance, risk management, and financial institutions while employed at JP Morgan Chase. She holds a BA from George Washington University. She serves as a Board Member at Cognition Therapeutics.</t>
  </si>
  <si>
    <t>peggy@goldenseeds.com</t>
  </si>
  <si>
    <t>Managing Director &amp; Managing Partner Funds</t>
  </si>
  <si>
    <t>213953-50P</t>
  </si>
  <si>
    <t>Petra Meyer</t>
  </si>
  <si>
    <t>Ms. Petra Meyer serves as Managing Director, Co-Lead of Healthcare Sector Group &amp; Co-Chair of Access to Capital Committee at Golden Seeds. She served as Executive at Family Self Care.</t>
  </si>
  <si>
    <t>+1 (347) 433-9915</t>
  </si>
  <si>
    <t>pmeyer@goldenseeds.com</t>
  </si>
  <si>
    <t>Managing Director, Co-Lead of Healthcare Sector Group &amp; Co-Chair of Access to Capital Committee</t>
  </si>
  <si>
    <t>266840-38P</t>
  </si>
  <si>
    <t>Renee Tyack</t>
  </si>
  <si>
    <t>Tyack</t>
  </si>
  <si>
    <t>Ms. Renee Tyack serves as Vice President at Capital-Plus. Ms. Tyack serves as Managing Director at Golden Seeds.</t>
  </si>
  <si>
    <t>+1 (614) 848-7620</t>
  </si>
  <si>
    <t>renee@capplus.com</t>
  </si>
  <si>
    <t>Columbus</t>
  </si>
  <si>
    <t>Columbus, OH</t>
  </si>
  <si>
    <t>3250 Henderson Road</t>
  </si>
  <si>
    <t>43220</t>
  </si>
  <si>
    <t>Capital-Plus</t>
  </si>
  <si>
    <t>164640-97P</t>
  </si>
  <si>
    <t>Robert Delman</t>
  </si>
  <si>
    <t>Delman</t>
  </si>
  <si>
    <t>Mr. Robert Delman serves as Managing Director, Office Hours Lead, New York &amp; Chairman, Golden Seeds Knowledge Institute at Golden Seeds. He is also an Angel investor. In addition, he is a lead instructor for the Golden Seeds Knowledge Institute. He serves as an advisor to the Startup Lab and The Eugene Lang Entrepreneurship Center at Columbia University where he has co-taught the MBA-level classes. He has extensive experience as an investor in early-stage companies. Previously, he was a principal and President of Delco International Ltd., a successful manufacturing and distribution company of tableware products for the food service and transportation industries. He holds a BS in Marketing from Syracuse University and an MBA from Columbia University.</t>
  </si>
  <si>
    <t>+1 (516) 526-2240</t>
  </si>
  <si>
    <t>rad@goldenseeds.com</t>
  </si>
  <si>
    <t>Managing Director, Office Hours Lead, New York &amp; Chairman, Golden Seeds Knowledge Institute</t>
  </si>
  <si>
    <t>39751-30P</t>
  </si>
  <si>
    <t>Samina Farid</t>
  </si>
  <si>
    <t>Samina</t>
  </si>
  <si>
    <t>Farid</t>
  </si>
  <si>
    <t>Ms. Samina Farid serves as Managing Director &amp; Chapter Co-Chairman of Houston at Golden Seeds. She serves as Executive Vice President, Chief Operating Officer &amp; Co-Founder at Merrick Systems. She served as the Managing Director at Farid Ventures. She has completed BBA (Bachelor of Business Administration) in Business from University of Houston.</t>
  </si>
  <si>
    <t>sfarid@goldenseeds.com</t>
  </si>
  <si>
    <t>Managing Director &amp; Chapter Co-Chairman of Houston</t>
  </si>
  <si>
    <t>260123-59P</t>
  </si>
  <si>
    <t>Seema Phull</t>
  </si>
  <si>
    <t>Seema</t>
  </si>
  <si>
    <t>Phull</t>
  </si>
  <si>
    <t>Ms. Seema Phull serves as Managing Director at Golden Seeds. She also serves as Board Member at Nanodropper.</t>
  </si>
  <si>
    <t>265277-08P</t>
  </si>
  <si>
    <t>Shannon Grant</t>
  </si>
  <si>
    <t>Shannon</t>
  </si>
  <si>
    <t>Ms. Shannon Grant serves as Member - New York City/Atlanta Chapters at Golden Seeds. She served as Manager at Carolina Motor Club.</t>
  </si>
  <si>
    <t>sgrant@goldenseeds.com</t>
  </si>
  <si>
    <t>Member - New York City/Atlanta Chapters</t>
  </si>
  <si>
    <t>164640-70P</t>
  </si>
  <si>
    <t>Sheila Narayan</t>
  </si>
  <si>
    <t>Sheila</t>
  </si>
  <si>
    <t>Narayan</t>
  </si>
  <si>
    <t>Ms. Sheila Narayan serves as Managing Director &amp; Co-Chair of the Post Investment Committee at Golden Seeds. She is active in Boston's entrepreneurial ecosystem, mentoring entrepreneurs and judging business competitions. She has over 20 years of experience in the payments and financial technology industries. Previously, she held executive leadership roles at Online Resources, Inc., a SaaS-based online banking and payment technology company, and was a Partner at First Annapolis Consulting. She has an MBA from The Wharton School, the University of Pennsylvania, and a BS in Finance from Bryant College.</t>
  </si>
  <si>
    <t>snarayan@goldenseeds.com</t>
  </si>
  <si>
    <t>Managing Director &amp; Co-Chair of the Post Investment Committee</t>
  </si>
  <si>
    <t>187773-58P</t>
  </si>
  <si>
    <t>Shih-Fong Wang</t>
  </si>
  <si>
    <t>Shih-Fong</t>
  </si>
  <si>
    <t>Ms. Shih-Fong Wang serves as Managing Director at Golden Seeds. She served as Global Interim Chief Financial Officer at FP International.</t>
  </si>
  <si>
    <t>+1 (650) 261-5300</t>
  </si>
  <si>
    <t>265276-27P</t>
  </si>
  <si>
    <t>Stephanie Fowler</t>
  </si>
  <si>
    <t>Fowler</t>
  </si>
  <si>
    <t>Ms. Stephanie Fowler serves as Co-Chairman, Access to Capital Committee at Golden Seeds.</t>
  </si>
  <si>
    <t>sfowler@goldenseeds.com</t>
  </si>
  <si>
    <t>Co-Chairman, Access to Capital Committee</t>
  </si>
  <si>
    <t>253002-25P</t>
  </si>
  <si>
    <t>Sue King</t>
  </si>
  <si>
    <t>Ms. Sue King serves as Managing Director at Golden Seeds. She served as Partner at ID Fund. She focuses on private investments in healthcare, wellness and consumer investment opportunities and is responsible for institutional business development and strategy. In addition, She oversees marketing for the ID Fund and its other investment vehicles. She is a Senior Financial Institutions executive with extensive global asset management experience. Over the past 20 years, She has served in senior executive positions in global asset management organizations, focusing primarily on marketing, product and sales strategies. She has worked with a broad array of investment types including equity, fixed income, cash and alternative investments including private equity, direct real estate, infrastructure and hedge funds. She is a Managing Director at Golden Seeds, one of the oldest angel investment groups in the U.S. and is a member of Access Circles, a by-invitation-only organization dedicated to health and wellness. She is also a global Trustee of the Israel Cancer Research Fund. Formerly, She served over 13-years as an investment banker focused primarily on financial institutions clients, working in New York and Hong Kong. She graduated with a Bachelor of Arts degree in Economics from Claremont McKenna College where she serves as a member of its Board of Trustees.</t>
  </si>
  <si>
    <t>181227-34P</t>
  </si>
  <si>
    <t>Susan Nethero</t>
  </si>
  <si>
    <t>Ms. Susan Nethero is a Founding Member and serves as Managing Director, Angel Investment Network and Co-Chair of Atlanta Chapter at Golden Seeds. Prior to Intimacy, she had 18 years of professional, strategic and executive positions at Dow Chemical, Xerox Learning Systems, Time Inc, and Marketing Corporation of America. Having begun her career as a corporate marketing executive with several Fortune 500 Companies, Nethero went on to establish and grow Intimacy into a $38 million, 18-store specialty lingerie chain in major markets nationwide, in large part due to innovative marketing, which made bra-fitting a central part of the buying experience.</t>
  </si>
  <si>
    <t>Managing Director, Angel Investment Network, Founding Member and Co-Chair of Atlanta Chapter</t>
  </si>
  <si>
    <t>181228-33P</t>
  </si>
  <si>
    <t>Suzan Deison</t>
  </si>
  <si>
    <t>Suzan</t>
  </si>
  <si>
    <t>Deison</t>
  </si>
  <si>
    <t>Ms. Suzan Deison serves as Chapter Co-Chairman of Houston at Golden Seeds. She is also the Founder of the Greater Houston Women's Chamber of Commerce, where she serves as CEO and President. She started her career at the Conroe Montgomery County Chamber of Commerce and became a successful business owner of several entrepreneurial companies. She has helped raise several millions of dollars for non-profits and has served countless hours helping other non-profits. Her vision for empowering women has led the GHWCC to expand internationally, influencing business leaders in London and Mexico City to start a women's chamber of commerce.</t>
  </si>
  <si>
    <t>+1 (713) 782-3777</t>
  </si>
  <si>
    <t>Chapter Co-Chairman of Houston</t>
  </si>
  <si>
    <t>52070-77P</t>
  </si>
  <si>
    <t>Tasneem Dohadwala</t>
  </si>
  <si>
    <t>Tasneem</t>
  </si>
  <si>
    <t>Dohadwala</t>
  </si>
  <si>
    <t>Ms. Tasneem Dohadwala is the Founder and serves as Partner at Excelestar Ventures. Ms. Dohadwala serves as Board Observer at Conformal Medical. She serves as Managing Director &amp; Co-Chair of the Access to Capital Committee at Golden Seeds. Ms. Dohadwala is a Board Member at Sealonix. She also serves as Board Observer at Brixton Biosciences. She is a Founding Partner at Excelestar Ventures. She also serves as Board Member at Beneficent Knowledge and Instylla. She serves as Board Member at Noor Findik. She served as the Board Member at Biomass Engineering. She has a degree from Wellesley College. Furthermore, she sits on the investment committee of Catalyst Healthcare Ventures III. She remains heavily active in her investments and is actively deploying capital in Series A rounds and beyond. She is a graduate of Wellesley College and Harvard Business School.</t>
  </si>
  <si>
    <t>+1 (972) 715-5000</t>
  </si>
  <si>
    <t>tdohadwala@excelestarventures.com</t>
  </si>
  <si>
    <t>Andover</t>
  </si>
  <si>
    <t>Andover, MA</t>
  </si>
  <si>
    <t>1 Elm Square</t>
  </si>
  <si>
    <t>01810-3643</t>
  </si>
  <si>
    <t>+1 (978) 296-5259</t>
  </si>
  <si>
    <t>Excelestar Ventures</t>
  </si>
  <si>
    <t>55280-62P</t>
  </si>
  <si>
    <t>Timothy O'Neill</t>
  </si>
  <si>
    <t>Mr. Timothy O'Neill serves as Chief Investment Officer &amp; Managing Partner at NP International. He also serves as Managing Partner, Golden Seeds Fund 2 LLC at Golden Seeds. He serves as Co-Head, Investment Management Division at Goldman Sach at Goldman Sachs Alternative Investments &amp; Manager Selection Group. With over 30 years in investment banking and finance, he joined NPI in 2014 to oversee its capital markets functions. Beginning his finance career in 1983 at The First Boston Corporation (now Credit Suisse), he was responsible for underwriting and syndicating a broad array of equity and fixed income securities. He had similar duties at Lehman Brothers from 1991-1994, where he had specific responsibility for the underwriting, marketing, and syndication of asset and mortgage-backed and preferred stock securities. He joined Bear Stearns as Senior Managing Director and co-head of its Global Debt Capital Markets Group where he oversaw a department underwriting more than $50 billion of debt securities. Recently, he has been a Managing Director at Golden Seeds, and on the Golden Seeds Fund 2 investment committee which invests in early-stage, gender-diverse enterprises. HE sits on the board of a number of companies, including Control Solutions Inc., a Gig Harbor, Washington-based provider of technology solutions; ColorModules Inc., a provider of search technology using visual characteristics; and Work Truck Solutions, Inc., a provider of business processes for the work truck market. In addition, he is a former board member of Rapt Media, Inc., TowerCare Technologies, Inc., and I2S Incorporated. He has also been active on both non-profit and industry boards. He is the president of the Apawamis Foundation, a former Trustee of the Taft School, a current board member of the Rye NY YMCA, a board member of the Bond Club of New York, and the past president of the Investment Association of New York. He holds a BA from Colgate University, where he is a senior mentor in the Thought Into Action Institute, and an MBA in finance and marketing from Columbia University.</t>
  </si>
  <si>
    <t>+1 (305) 529-9928</t>
  </si>
  <si>
    <t>toneill@np-international.com</t>
  </si>
  <si>
    <t>Coral Gables</t>
  </si>
  <si>
    <t>Coral Gables, FL</t>
  </si>
  <si>
    <t>1340 South Dixie Highway</t>
  </si>
  <si>
    <t>Suite 612</t>
  </si>
  <si>
    <t>33146</t>
  </si>
  <si>
    <t>Nolan Reynolds International</t>
  </si>
  <si>
    <t>164643-58P</t>
  </si>
  <si>
    <t>William Whitaker</t>
  </si>
  <si>
    <t>Whitaker</t>
  </si>
  <si>
    <t>Mr. William Whitaker serves as Managing Director &amp; Co-Chair Life of Science Section at Golden Seeds. He is a retired cardiologist whose practice included not only clinical cardiology but research and education of medical and graduate medical students. He also served in a management capacity of his group of a thirty plus members, comprised of cardiologists and other subspecialty internists, for over sixteen years. During the last ten years of his management stent he was President of the medical practice. During that time he participated in the startup of a managed care company Cardinal Health Alliance serving as its Vice Chairman until his retirement. The entity obtained positive cash flow within two years returning an annual dividend to its shareholders and remained profitable for the remainder of its existence until it was merged into Clarion Health Systems.</t>
  </si>
  <si>
    <t>+1 (206) 877-2933</t>
  </si>
  <si>
    <t>Managing Director &amp; Co-Chair of Life Science Section</t>
  </si>
  <si>
    <t>263356-75P</t>
  </si>
  <si>
    <t>Gwendolyn Schröter</t>
  </si>
  <si>
    <t>Gwendolyn</t>
  </si>
  <si>
    <t>Schröter</t>
  </si>
  <si>
    <t>Golzern Holding</t>
  </si>
  <si>
    <t>Ms. Gwendolyn Schröter serves as Board Member &amp; Advisor at Skyseed. She serves as Business development and management at Golzern Holding. She served as Advisor at Kopernikus Automotive.</t>
  </si>
  <si>
    <t>+49 (0)15 1235 4267 2</t>
  </si>
  <si>
    <t>Rollbergstraße 28a</t>
  </si>
  <si>
    <t>12053</t>
  </si>
  <si>
    <t>Skyseed (Forestry Development/Harvesting)</t>
  </si>
  <si>
    <t>320622-04P</t>
  </si>
  <si>
    <t>Stephan Schroeter</t>
  </si>
  <si>
    <t>Schroeter</t>
  </si>
  <si>
    <t>Mr. Stephan Schroeter is the Founder &amp; serves as Managing Director at Golzern Holding. He serves as Managing Director &amp; Chief Executive Officer at Grünperga.</t>
  </si>
  <si>
    <t>ss@golzern.biz</t>
  </si>
  <si>
    <t>Leipzig</t>
  </si>
  <si>
    <t>Leipzig, Germany</t>
  </si>
  <si>
    <t>Erich-Zeigner-Allee 18</t>
  </si>
  <si>
    <t>04229</t>
  </si>
  <si>
    <t>277983-10P</t>
  </si>
  <si>
    <t>Aditi Rajagopal</t>
  </si>
  <si>
    <t>Aditi</t>
  </si>
  <si>
    <t>Rajagopal</t>
  </si>
  <si>
    <t>Good Growth Capital</t>
  </si>
  <si>
    <t>Ms. Aditi Rajagopal serves as Principal, Data Science at Good Growth Capital. She focuses her time on exploring opportunities and cutting-edge data science. Prior to GGC, she served as a senior associate at Invest Detroit Ventures, the most active early-stage investor in Michigan. She started her career at IBM where she worked on proprietary and open-source cloud infrastructure products including IBM Cloud, Kubernetes, OpenStack, and Docker. She received a BSE in Computer Engineering from the University of Michigan, and a dual degree in MBA/MS Data Science from the University of Virginia's Darden School of Business.</t>
  </si>
  <si>
    <t>aditi@goodgrowthvc.com</t>
  </si>
  <si>
    <t>Charleston</t>
  </si>
  <si>
    <t>Charleston, SC</t>
  </si>
  <si>
    <t>11 eWall Street</t>
  </si>
  <si>
    <t>South Carolina</t>
  </si>
  <si>
    <t>29464</t>
  </si>
  <si>
    <t>147557-53P</t>
  </si>
  <si>
    <t>Amy Salzhauer</t>
  </si>
  <si>
    <t>Salzhauer</t>
  </si>
  <si>
    <t>Ms. Amy Salzhauer is the Co-Founder and serves as Managing Partner at Good Growth Capital. She serves as Board Member at ABM Respiratory Care and Pleural Dynamics. She also serves as Board Member at Tevard Biosciences. She also founded Ignition Ventures in 1999 and served as its CEO. Ignition helped to create many companies through the transfer of technologies out of academic research labs. She and the Ignition Ventures team led 6 teams to either a series A round or an acquisition. including venture capital-backed companies based on self-organizing networks (Ember Corporation), chip-based fuel cells (Lilliputian Systems), black silicon (SiOnyx), selective brain cooling (Toev Medical), and the world's most accurate scale (Bioscale). She has served as a Director on multiple Boards and is passionate about supporting entrepreneurship and innovative regional economic development. Her many recognitions include being selected by the World Economic Forum as one of its one hundred top "Global Leaders for Tomorrow," being chosen multiple times as a top "40 Under 40" business leader and being featured on the covers of several business magazines. She also speaks and teaches internationally about entrepreneurship and leadership. She holds an MBA from the M.I.T. Sloan School of Management, an M. Phil from Cambridge University where she was a Harvard Scholar and an A.B. magna cum laude from Harvard University. She serves as Board Member at Leuko.</t>
  </si>
  <si>
    <t>+1 (617) 306-4842</t>
  </si>
  <si>
    <t>amy@goodgrowthvc.com</t>
  </si>
  <si>
    <t>226336-87P</t>
  </si>
  <si>
    <t>Andrew McMarlin Ph.D</t>
  </si>
  <si>
    <t>McMarlin</t>
  </si>
  <si>
    <t>Dr. Andrew McMarlin serves as an Advisor at Good Growth Capital. He is also a Physician for Sports Medicine and Concussions.</t>
  </si>
  <si>
    <t>+1 (843) 471-0375</t>
  </si>
  <si>
    <t>379527-13P</t>
  </si>
  <si>
    <t>Andrew Youmans</t>
  </si>
  <si>
    <t>Youmans</t>
  </si>
  <si>
    <t>Mr. Andrew Youmans serves as an Advisor at Good Growth Capital. He started his career at Connecticut Spring &amp; Stamping (CSS) as VP of Operations. He then instigated an HBS study of the perennial success of the Toyota Production System (TPS). The study culminated in groundbreaking reports introducing and detailing the DNA of TPS, leading to a reimagining of many of the production and operations classes taught at HBS. The published materials garnered so much interest from the business community, that he chose to establish YOMO Consulting, the core principles which are the consolidated key learnings of Toyota's success. For over 20 years, YOMO's mission was to help companies improve their businesses through the implementation of TPS. In 2015, he created a curriculum for the Stanford Graduate School of Business and served as professor of "The Cultural Imperative," a course that shows students how to design company cultures with happier, more gratified, and more productive employees. He invests, consults, and advises companies that are up to the twin challenge of improving both themselves and the planet. He graduated with an MBA from Harvard Business School and earned his Bachelor's degree from Dartmouth College.</t>
  </si>
  <si>
    <t>180754-30P</t>
  </si>
  <si>
    <t>Carolyne LaSala</t>
  </si>
  <si>
    <t>Carolyne</t>
  </si>
  <si>
    <t>LaSala</t>
  </si>
  <si>
    <t>Ms. Carolyne LaSala serves as Managing Partner, Software, Data Science &amp; Head of the Data Sciences team at Good Growth Capital. She serves as Board Member at Cambridge Terahertz. She is a Co-Founder and serves as Co-Chief Operating Officer, Advisor, and Board Member at Reflect. She serves as a Board Member at Pryon. At Good Growth, she is the head of the Data Sciences team, leading due diligence for startups with software, AI, analytics, or business intelligence components. She also assists in due diligence for HealthTech companies that have a data sciences component. Working with founders, she helps bring their visions to life, so others can understand how emerging technologies can positively impact and create a more sustainable future. She serves as a Board Member at Bounce Imaging. She is on the board of Good Growth portfolio company Unison, a new open-source software that will make cloud computing simple and accessible. She has over 20 years of experience bringing products to market from ideation to launch. Before GGC, she worked at Apple for 10+ years, having established and led Apple products that now account for over half a Trillion dollars in Apple's revenue. She started her Apple career as the lead producer for the iTunes Music Store US, establishing and leading the store teams and developing the content management system. She has negotiated deals with content providers across Europe and successfully launched and led iTunes Europe. She returned to Cupertino to lead several stealth projects within Apple and with Apple's top leadership team, including launching and leading the App Store into 62 countries simultaneously; this was unprecedented in the tech industry at that time. She has advised Fortune 100s and multiple startups, creating two startups, one of which is still an ongoing concern. She has worked in the music industry, with global talents helping bring their music to the world.</t>
  </si>
  <si>
    <t>carolyne@goodgrowthvc.com</t>
  </si>
  <si>
    <t>226337-50P</t>
  </si>
  <si>
    <t>Catherine Mohr MD</t>
  </si>
  <si>
    <t>Dr. Catherine Mohr serves as Board Member at Carta Healthcare. She also serves as Advisor at Good Growth Capital. She serves as Board Member at Avisi Technologies. She is President of the Intuitive Foundation, the corporate Foundation of Intuitive Surgical, a high-technology Silicon Valley-based company that makes the da Vinci surgical robot. In this role, she invests in research and development programs aimed at understanding and improving the education of medical practitioners around the world and applying novel technologies aimed at reducing the global burden of disease. She has a diverse background which covers surgery, medical technology, engineering, product design, healthcare, alternative energy, automotive, aerospace, global entrepreneurship, IP litigation, FDA compliance, education, and product development. From this, she brings extensive industry experience and deep insights into emerging opportunities, trends, issues, and challenges. Proven history of visionary thought leadership as an advisor on future technologies to a wide range of companies and government agencies, and a sought-after speaker/lecturer. She received her BS and MS in mechanical engineering from MIT and her MD from Stanford University School of Medicine. She has been involved with numerous startup companies in the areas of alternative energy transportation and worked for many years developing high-altitude aircraft and high-efficiency fuel cell power systems, computer-aided design software, and medical devices. She is on the board of directors for FINCA International and has served as a scientific advisor for several startup companies in Silicon Valley, the NCI SBIR program, and government technology development programs in her native New Zealand, and entrepreneurship programs worldwide. She is the author of numerous scientific publications, the recipient of multiple design awards, and speaks regularly internationally on the subject of the future of surgery, technology, and robotics.</t>
  </si>
  <si>
    <t>+1 (747) 212-3298</t>
  </si>
  <si>
    <t>2443 Fillmore Street</t>
  </si>
  <si>
    <t>Suite 380-17156</t>
  </si>
  <si>
    <t>94115</t>
  </si>
  <si>
    <t>Carta Healthcare</t>
  </si>
  <si>
    <t>180753-49P</t>
  </si>
  <si>
    <t>David Mendez</t>
  </si>
  <si>
    <t>Mendez</t>
  </si>
  <si>
    <t>Mr. David Mendez serves as Managing Partner at Good Growth Capital. He serves as Board Member at Nala Systems. He Co-Founded &amp; served as a Venture Partner of Capital A Partners. He serves as Board Member at Ateios. He also serves as Advisor at Hi Mark Capital. He is focused on fund formation and administration, as well as ongoing operations. He has successful serial entrepreneur experiencing several exits, and advising multiple startups in the USA and Europe in business development, finance, and operations. Prior to being an entrepreneur, he worked as an engineer and business manager at DuPont, Conoco, and General Electric. He has a BS in Engineering degree from Clemson University and an MBA from the University of North Carolina at Chapel Hill.</t>
  </si>
  <si>
    <t>+1 (917) 697-9345</t>
  </si>
  <si>
    <t>david@goodgrowthvc.com</t>
  </si>
  <si>
    <t>326564-56P</t>
  </si>
  <si>
    <t>David Smoley</t>
  </si>
  <si>
    <t>Smoley</t>
  </si>
  <si>
    <t>Advisor &amp; Senior Advisor</t>
  </si>
  <si>
    <t>Mr. David Smoley serves as Senior Advisor &amp; Member of the Advisory Network at Acadian Ventures. He also serves as an Advisor at Good Growth Capital. He has experience leading technology change at large, multinational companies including AstraZeneca, GE, Honeywell, and Flextronics. Most recently, he was VP of Software Engineering at Apple Computer where his team was responsible for building, deploying, and running digital solutions across the $365B revenue company. He has a degree in Computer Science from Clemson and an MBA from the University of Virginia Darden School of Business.</t>
  </si>
  <si>
    <t>Senior Advisor &amp; Member of Advisory Network</t>
  </si>
  <si>
    <t>66996-91P</t>
  </si>
  <si>
    <t>Mr. Henry White serves as Co-Chief Operating Officer at Reflect. He also serves as Interim Chief Business Officer at TrillBit. He serves as an Operating Partner at Good Growth Capital. He served as Co-Chief Operating Officer at TrillBit. He also serves as Chief Commercial Officer at mfns. He also served as a Board Member and Chief Executive Officer at Intac International. He also serves as Principal at Bell Tower Partners. He is also the Founder and served as Chief Executive Officer of PlumRiver Technology. He served as Chief Operating Officer &amp; Board Member at Base Operations. He has over 30 years of experience building and leading corporate teams. He has successfully served as CEO, Board Member, Venture Capitalist, Angel Investor, Founder, Operator, and Consultant to numerous companies. He has served on numerous Boards in the technology sector. As a CEO, he has led 4 companies (2x as interim CEO), and built and executed growth plans for 50+ companies succeeding at all in a range of industries, varying complexities within swift timelines. He has driven two companies under his watch to successful exits and advised additional teams through exits.</t>
  </si>
  <si>
    <t>+1 (617) 584-4042</t>
  </si>
  <si>
    <t>henry@reflectvalues.com</t>
  </si>
  <si>
    <t>Isle of Palms</t>
  </si>
  <si>
    <t>Isle of Palms, SC</t>
  </si>
  <si>
    <t>1000 Palm Boulevard</t>
  </si>
  <si>
    <t>Suite 571</t>
  </si>
  <si>
    <t>29451</t>
  </si>
  <si>
    <t>Co-Chief Operating Officer</t>
  </si>
  <si>
    <t>Reflect</t>
  </si>
  <si>
    <t>203674-87P</t>
  </si>
  <si>
    <t>Joe Hurd JD</t>
  </si>
  <si>
    <t>Hurd</t>
  </si>
  <si>
    <t>Mr. Joe Hurd serves as Global Managing Director, Corporate Development at HAX. Mr. Hurd serves as a Board Member at Sellwild. He also served as Senior Vice President, Business Development at Techstars. He serves as a Board Member at Capture and GoCompare.com. He serves as an Advisor at Good Growth Capital. He served as a Board Member at SilverBox Engaged Merger Corp I. He is currently responsible for SOSV's COVID-19 response &amp; commercialization efforts, working with SOSV portfolio companies, corporate partners, governments, and academic institutions on diagnostic, therapeutic, and preventive approaches to the novel coronavirus. He also leads marketing, business development, and corporate engagement efforts for HAX and IndieBio in San Francisco, working with key companies, investors, academics, and startups to benefit SOSV's portfolio. He served as Board Member at Cabture.</t>
  </si>
  <si>
    <t>joe@hax.co</t>
  </si>
  <si>
    <t>HAX (Former)</t>
  </si>
  <si>
    <t>357504-22P</t>
  </si>
  <si>
    <t>John Friedman JD</t>
  </si>
  <si>
    <t>Dr. John Friedman serves as Board Member at Vantiq. He serves as a Board Member at AOA Dx. He serves as an Advisor at Good Growth Capital. He has invested in over 100 transactions, with 5 generating returns over 100x. He currently serves on the boards of Trellis Bioscience, Sequella, AOA, and Sensoriant. He has been heavily involved with the New York medical science community for years. He served as Chairman of the Columbia University Medical Center's Health Sciences Advisory Council and Co-Chairman of the President's Council at the Cold Spring Harbor Laboratory. He holds a BA in History from Yale, where he graduated magna cum laude. He also holds a JD degree from Yale.</t>
  </si>
  <si>
    <t>+1 (303) 902-4003</t>
  </si>
  <si>
    <t>Walnut Creek</t>
  </si>
  <si>
    <t>Walnut Creek, CA</t>
  </si>
  <si>
    <t>1990 North California Boulevard</t>
  </si>
  <si>
    <t>Suite 640</t>
  </si>
  <si>
    <t>94596</t>
  </si>
  <si>
    <t>Vantiq</t>
  </si>
  <si>
    <t>82378-99P</t>
  </si>
  <si>
    <t>Jonathan Ozeran</t>
  </si>
  <si>
    <t>Ozeran</t>
  </si>
  <si>
    <t>Mr. Jonathan Ozeran serves as Vice President of Generative AI &amp; Head of Tempus One at Tempus AI. Mr. Ozeran serves as Advisor at Great North Ventures, Cabinet Health, Great North Ventures, AI Optics, Inhabitr, Foodhealth.co, Benefunder, Good Growth Capital and ShoppingGives. He served as Vice President, Product at Zest Health. He co-founded Ridogulous Labs.</t>
  </si>
  <si>
    <t>+1 (833) 514-4187</t>
  </si>
  <si>
    <t>jonathan.ozeran@tempus.com</t>
  </si>
  <si>
    <t>600 West Chicago Avenue</t>
  </si>
  <si>
    <t>Suite 510</t>
  </si>
  <si>
    <t>+1 (800) 893-0276</t>
  </si>
  <si>
    <t>Vice President of Generative AI &amp; Head of Tempus One</t>
  </si>
  <si>
    <t>Tempus AI</t>
  </si>
  <si>
    <t>91387-09P</t>
  </si>
  <si>
    <t>Jonathan Rosen JD</t>
  </si>
  <si>
    <t>Dr. Jonathan Rosen serves as Board Member at Apeiron Labs. Mr. Rosen served as Technology Ventures at Applied Invention. He serves as an Advisor at Good Growth Capital. Previously, Partner at Applied Invention, LLC, a multi-disciplinary innovation company that designs and builds technology solutions in partnership with leading corporations as well as incubates companies. Founding board member of Apeiron Labs, Inc., a company dedicated to transforming our understanding of the state of our oceans; previously served on the boards of directors and as an advisor to several private companies.</t>
  </si>
  <si>
    <t>486 Green Street</t>
  </si>
  <si>
    <t>Apeiron Labs</t>
  </si>
  <si>
    <t>192114-19P</t>
  </si>
  <si>
    <t>Kathleen Kennedy</t>
  </si>
  <si>
    <t>Ms. Kathleen Kennedy serves as an Advisor at Good Growth Capital. She also served as Director, Special Projects, for the Executive Vice President and Treasurer of MIT. She is also a Lead organizer of The Engine a new MIT initiative created to advance innovation.</t>
  </si>
  <si>
    <t>+1 (405) 744-6494</t>
  </si>
  <si>
    <t>147567-97P</t>
  </si>
  <si>
    <t>Ken Zolot</t>
  </si>
  <si>
    <t>Zolot</t>
  </si>
  <si>
    <t>Mr. Ken Zolot serves as a General Partner at Meach Cove Capital. He also serves as an Advisor at Good Growth Capital. He is a senior lecturer in entrepreneurship at MIT and a professor of Creative Entrepreneurship at the Berklee College of Music. His best-known subjects include The Founder's Journey, for aspiring entrepreneurs in the freshman class, and the Innovation Teams ("i-Teams") program, which he founded at MIT's Deshpande Center for Technological Innovation. In 2009, he was named a Senior Fellow at the Ewing Marion Kauffman Foundation, to advise the Foundation on its new initiative "Kauffman Labs for Enterprise Creation". He serves on the President's Council at the Frank W. Olin College of Engineering. He is a Distinguished Faculty Fellow at the Jack Welch Management Institute. He is an active advisor to numerous organizations involved in advancing innovation and entrepreneurship, including TechStars, The Fintech Sandbox, The Deshpande Foundation, MassChallenge, hackNY, and FIRST Robotics. He served on the founding team of MIT's collaboration with the Singapore University of Technology and Design, and also on the founding team of the MIT Portugal Program. He holds a Master of Science degree from MIT in Management of Technology. His undergraduate work was at Syracuse University, where he earned a Bachelor of Science degree in Computer Science and a Bachelor of Arts degree in Philosophy.</t>
  </si>
  <si>
    <t>+1 (617) 354-6565</t>
  </si>
  <si>
    <t>zolot@meachcovecapital.com</t>
  </si>
  <si>
    <t>Meach Cove Capital</t>
  </si>
  <si>
    <t>147565-00P</t>
  </si>
  <si>
    <t>Krisztina Holly</t>
  </si>
  <si>
    <t>Krisztina</t>
  </si>
  <si>
    <t>Holly</t>
  </si>
  <si>
    <t>Ms. Krisztina Holly serves as an Operating Partner at Good Growth Capital. She is an MIT-trained engineer and tech entrepreneur best known for curating and hosting the first ever TEDx and founding two innovation centers at MIT and USC that helped spin out dozens of startups based on university research. She is the Founder and Chief Instigator of MAKE IT IN LA, an initiative of LA Mayor Garcetti that connects and celebrates the largest community of makers and manufacturers in the U.S., and the host of The Art of Manufacturing podcast. Early on, she played key roles at tech startups such as Stylus Innovation (acquired by Artisoft) and Direct Hit Technologies (acquired by Ask Jeeves). She has been an advisor to nearly two dozen companies and organizations, including the Obama administration and the World Economic Forum. She is a founding donor and board member of the River LA.</t>
  </si>
  <si>
    <t>z@goodgrowthvc.com</t>
  </si>
  <si>
    <t>42462-55P</t>
  </si>
  <si>
    <t>Lawrence Olanoff Ph.D</t>
  </si>
  <si>
    <t>Olanoff</t>
  </si>
  <si>
    <t>Dr. Lawrence Olanoff served as Advisor at BioMotiv. He served as a Board Member at Ironwood Pharmaceuticals. He also serves as Board Member at Ichnos Sciences. He serves as a Scientific Advisor &amp; Board Member at Encora Therapeutics. He also serves as Advisor at Good Growth Capital. He also serves as Board Member at Tevard Biosciences. He most recently served as chief operating officer for Forest Laboratories, Inc. (acquired by Allergan plc) from October 2006 to December 2010. Dr. Olanoff also served as a director of Forest from October 2006 to July 2014. From July 2005 to October 2006, Dr. Olanoff was president and chief executive officer at Celsion Corporation. He also served as executive vice president and chief scientific officer of Forest from 1995 to 2005. Prior to joining Forest in 1995, Dr. Olanoff served as senior vice president of clinical research and development at Sandoz Pharmaceutical Corporation (now a division of the Novartis Group) and at the Upjohn Company in a number of positions including corporate vice president of clinical development and medical affairs. In addition, he is currently an adjunct assistant professor and special advisor to the president for corporate relations at the Medical University of South Carolina (MUSC), an ex-officio director of the MUSC Foundation for Research Development, chairman of the board of the Clinical Biotechnology Research Institute at Roper St. Francis Hospital and a board member of Axovant Sciences Ltd., the Horizon Project and the Zucker Institute for Applied Neurosciences. Dr. Olanoff received his Ph.D. in biomedical engineering and M.D. degree from Case Western Reserve University.</t>
  </si>
  <si>
    <t>Ironwood Pharmaceuticals (Former)</t>
  </si>
  <si>
    <t>196909-93P</t>
  </si>
  <si>
    <t>Lindy Elkins-Tanton Ph.D</t>
  </si>
  <si>
    <t>Elkins-Tanton</t>
  </si>
  <si>
    <t>Dr.. Lindy Elkins-Tanton is a Co-Founder and serves as an Advisor at Beagle. She serves as an Advisor at Good Growth Capital. She is the Foundation and Regents Professor, at the School Of Earth and Space Exploration at Arizona State University. She is a Vice President and Regents Professor of the Interplanetary Initiative at ASU and Principal Investigator at the NASA Psyche mission. She was on the Faculty of MIT for four years, teaching undergraduate and graduate courses in planetary geology, and spent five years as a researcher at Brown University. Before that, she spent eight years working in business, with five years spent writing business plans for young high-tech ventures. She received her bachelor's and master's degrees from MIT. After working in business, she returned to MIT for her Ph.D.</t>
  </si>
  <si>
    <t>+1 (508) 202-2866</t>
  </si>
  <si>
    <t>lindy@beaglelearning.com</t>
  </si>
  <si>
    <t>5033 East Turquoise Avenue</t>
  </si>
  <si>
    <t>85253</t>
  </si>
  <si>
    <t>Beagle Learning</t>
  </si>
  <si>
    <t>42149-80P</t>
  </si>
  <si>
    <t>Lita Nelsen</t>
  </si>
  <si>
    <t>Lita</t>
  </si>
  <si>
    <t>Ms. Lita Nelsen serves as an Advisor at Good Growth Capital. She serves as a Board Member at Thiozen. She served as an Advisor at BrightEdge. She served as an Advisor at Omega Fund Management. She served as a Board Member at MassVentures. She is the Director of the Technology Licensing Office at the Massachusetts Institute of Technology. She earned B.S. and M.S. degrees in Chemical Engineering from M.I.T. and an M.S. in Management from M.I.T. as a Sloan Fellow.</t>
  </si>
  <si>
    <t>+1 (781) 729-8362</t>
  </si>
  <si>
    <t>276931-81P</t>
  </si>
  <si>
    <t>Lonny Yarmus MD</t>
  </si>
  <si>
    <t>Lonny</t>
  </si>
  <si>
    <t>Yarmus</t>
  </si>
  <si>
    <t>Dr. Lonny Yarmus serves as Advisor at Good Growth Capital. He is a Professor of Medicine &amp; Oncology at Johns Hopkins University School of Medicine.</t>
  </si>
  <si>
    <t>Beacon Street</t>
  </si>
  <si>
    <t>147556-72P</t>
  </si>
  <si>
    <t>Maureen Boyce Ph.D</t>
  </si>
  <si>
    <t>Maureen</t>
  </si>
  <si>
    <t>Boyce</t>
  </si>
  <si>
    <t>Ms. Maureen Boyce is the Co-Founder and serves as Managing Partner at Good Growth Capital. She served as Board Member at Liminal Insights. She serves as an Advisor and Board Member at Eden GeoTech. She serves as a Member of the Advisory Board at Base Operations. She serves as Board Member at Radical Plastics, Liminal and NextPower360. She serves as Board Observer at Reflect. She was the co-founder of Ignition Ventures, which focused on building fundable companies alongside technology entrepreneurs. Ignition helped to create many companies through the transfer of technologies out of academic research labs. She and the Ignition Ventures team led 6 start-ups to either a series A round or an acquisition, including SiOnyx/Black Silicon, Zoragen, Ember, and Lilliputian. Currently MIT's Sandbox Innovation Fund Mentor for student-led start-ups and Marketing Consultant. Taught at MIT in engineering management and economics. She worked in Asia, consulting for a Fortune 100 company to build and implement its Asia entry strategy. Prior to that, She built business strategies for Fortune 100 and 500 companies, working for 10+ years as an Associate Partner in IBM's Business Strategy practice (and its acquisition of Mainspring). During that time, she also led IBM's thought leadership practices worldwide in Consumer Products, Retail, and Travel. She worked as a strategy consultant at Bain &amp; Company in both Boston and Sydney post-business schools. Prior to her graduate work, She served in the US Peace Corps, building small water systems for Fijian villages. She received her MBA from MIT's Sloan School, as well as her Ph.D. and MS from MIT in Engineering project management. Her research focused on Multi-criteria decision-making under uncertainty, with multiple decision-makers, a skill highly applicable to start-up companies. She received her BS in Civil Engineering from Carnegie Mellon.</t>
  </si>
  <si>
    <t>maureen@goodgrowthvc.com</t>
  </si>
  <si>
    <t>Managing Partner &amp; Co-Founder</t>
  </si>
  <si>
    <t>226340-20P</t>
  </si>
  <si>
    <t>Nell Breyer Ph.D</t>
  </si>
  <si>
    <t>Nell</t>
  </si>
  <si>
    <t>Breyer</t>
  </si>
  <si>
    <t>Dr. Nell Breyer serves as Advisor at Good Growth Capital.</t>
  </si>
  <si>
    <t>73696-15P</t>
  </si>
  <si>
    <t>Patrick Rivelli Jr.</t>
  </si>
  <si>
    <t>Rivelli</t>
  </si>
  <si>
    <t>Mr. Patrick Rivelli serves as Chief Executive Officer and president at SanaHeal. He is a Co-Founder and serves as Managing Director at MIT Alumni Life Science Angels. He serves as a Business Advisor at PanTher Therapeutics. He also serves as an Advisor at Good Growth Capital and as a Board Member at Agile Devices. He served as a Board Member at Cormedics. He is currently Co-Director and Life Sciences Track Lead at MIT Angels, a Bay Area angel-investing group comprised of over 400 MIT alums. He is also President and CEO of Sonogenix, Inc., a clinical-stage medical device company preventing and treating kidney disease. He serves as Managing Director at MIT Alumni Angels of Northern California. He served as a Board Member at Mindera. He previously was founder and CEO at Bioabsorbable Therapeutics, a cardiology drug delivery company acquired by MultiCell Corporation in 2009; co-founder and CEO of Smart Therapeutics, a neurovascular device company acquired by Boston Scientific in 2002; and VP of Strategic Planning and Operations at Target Therapeutics, a neurovascular device company acquired by Boston Scientific in 1997. He has been an active angel investor and Director since 2002, including Chestnut Medical Technologies (acquired by ev3 / Covidien); Bay Street Medical (acquired by Johnson &amp; Johnson); and Vascular FX (acquired by Micrus / J&amp;J). Current investor / Director positions include several MIT-pedigreed life science companies, including SQZ Biotech, Mindera, Panther Therapeutics, Parabase Genomics, and 6 Sensor Labs. He has an MS in Management from the MIT Sloan School and a BA magna cum laude in Economics from Harvard University. He also holds 9 issued patents.</t>
  </si>
  <si>
    <t>rivelli@sanaheal.com</t>
  </si>
  <si>
    <t>Hatch.Bio Labs 100</t>
  </si>
  <si>
    <t>Chestnut Street</t>
  </si>
  <si>
    <t>SanaHeal</t>
  </si>
  <si>
    <t>339139-27P</t>
  </si>
  <si>
    <t>Robert Crutchfield</t>
  </si>
  <si>
    <t>Crutchfield</t>
  </si>
  <si>
    <t>Mr. Robert Crutchfield serves as an Operating Partner at Good Growth Capital. He serves as President at TrillBit. He serves as Chairman at VIE Technologies. He served as Vice President of Marketing and Chief Science Officer at BlueDot. He served as co-founder at Ember Corporation in 2001. He is also the founder of the Wireless Industrial Network Alliance (WINA). His patented networking intelligence stack is the heart of Ember's embedded radio frequency (RF) mesh networking technology, and his work as chief technology officer enabled it to grow into one of the most important companies in the wireless sensor network industry. Before founding Ember, Dr. Poor was a doctoral student at the MIT Media Lab, where he developed Embedded Networking, a new class of wireless network that enables inexpensive, scalable, easily deployed connections for common manufactured goods. He has accrued over twenty-five years of technical and management-level experience from Silicon Valley including LucasFilm's precursor to Pixar, Stanford Artificial Intelligence, Lucid, NeXT, and Opcode. He has repeatedly built strong technical teams and developed efficient organizational structures that maximize revenues. He served as a Director at Tendril Networks since January 2006. He received a patent for self-organizing networks in 2000. He has served on the IEEE 802.15.4 standards body since 2001 and is currently Chair of the IEEE 802.15.4 TG4b group. He earned his master's and Ph.D. from MIT in 2001, and he has a Bachelor of Fine Arts degree from Oberlin Conservatory. Before MIT, he held various technical and management positions at Stanford University, LucasFilm, NeXT, and other Silicon Valley startups.</t>
  </si>
  <si>
    <t>robert@goodgrowthvc.com</t>
  </si>
  <si>
    <t>35863-30P</t>
  </si>
  <si>
    <t>Robert Poor Ph.D</t>
  </si>
  <si>
    <t>Poor</t>
  </si>
  <si>
    <t>Dr. Robert Poor serves as President at TrillBit. He serves as Chairman at VIE Technologies. He also serves as an Operating Partner at Good Growth Capital. He served as Vice President of Marketing and Chief Science Officer at BlueDot. He served as co-founder at Ember Corporation in 2001. He is also the founder of the Wireless Industrial Network Alliance (WINA). His patented networking intelligence stack is the heart of Ember's embedded radio frequency (RF) mesh networking technology, and his work as chief technology officer of Ember enabled it to grow into one of the most important companies in the wireless sensor network industry. Before founding Ember, he was a doctoral student at the MIT Media Lab, where he developed Embedded Networking, a new class of wireless network that enables inexpensive, scalable, easily deployed connections for common manufactured goods. He has accrued over twenty-five years of technical and management-level experience from Silicon Valley including LucasFilm's precursor to Pixar, Stanford Artificial Intelligence, Lucid, NeXT, and Opcode. He has repeatedly built strong technical teams and developed efficient organizational structures that maximize revenues. He served as a Director at Tendril Networks since January 2006. He received a patent for self-organizing networks in 2000. He has served on the IEEE 802.15.4 standards body since 2001 and is currently Chair of the IEEE 802.15.4 TG4b group. He earned his Master's and Ph.D. from MIT in 2001, and he has a Bachelor of Fine Arts degree from Oberlin Conservatory. Before MIT, he held a variety of technical and management positions at Stanford University, LucasFilm, NeXT, and other Silicon Valley startups.</t>
  </si>
  <si>
    <t>55 Court Street</t>
  </si>
  <si>
    <t>TrillBit</t>
  </si>
  <si>
    <t>263975-68P</t>
  </si>
  <si>
    <t>Sam Konduros JD</t>
  </si>
  <si>
    <t>Konduros</t>
  </si>
  <si>
    <t>Dr. Sam Konduros serves as an Advisor at Good Growth Capital. He served as Chief Executive Officer and President at Vikor Scientific. , a licensed attorney since 1990, founded SK Strategies in 2004 - an SC-based consulting firm that specializes in economic development, strategic planning, championing major corporate initiatives, public-private partnerships, integrated marketing &amp; business development strategies, innovation, and vision-mission-brand development - and has guided and supported major institutional and private sector clients over the past two decades ranging from Clemson University to Greenville Health System. He has a demonstrated track record and specialization in industries ranging from advanced manufacturing to healthcare and life sciences. He has also spearheaded major economic development initiatives in multiple corporate roles since 1989 when he joined the SC Department of Commerce after graduating from law school. He is a graduate of Clemson University (1985 magna cum laude, Rhodes Scholar finalist), the University of South Carolina School of Law (1989), and the University of Oklahoma Economic Development Institute (1993). Additionally, He obtained his real estate license in 2012. Highlighted defining career leadership positions include being tapped at age 30 to lead North American operations for Germany-based automotive supplier Alfmeier Corporation (1990-1994) while also serving as Co-Chair of the BMW Supplier Council, founding President/CEO of Upstate SC Alliance (regional economic development organization 2000-2004), Clemson ICAR's Economic Development &amp; Marketing Consultant/Senior Development Counsel and ITOR's Business Development Director (Institute for Translational Oncology Research) as President of SK Strategies (2005-2014 time frame). During that same period of his career, He also served in voluntary leadership roles as Board Chairman for the Greenville Chamber of Commerce (2011), the Greenville Chamber Foundation (2012), and the Cancer Society of Greenville (2013) along with being a director on multiple boards and councils. 
Following an 11-year affiliation with Greenville Health System (now Prisma Health), most recently as Executive Director of the Greenville Health Research Development Corporation which championed innovation and industry partnership strategies for one of the largest healthcare providers in the Southeast US, He served as President/CEO of SCBIO (South Carolina Biotechnology Industry Organization) from 2017 to 2021. In that transformational leadership role, he focused on scaling up and leading the innovative statewide economic development and trade organization to its next level of development - fueled by its mission to build, advance, innovate, and grow the life sciences industry and ecosystem in South Carolina and the Southeast US Region, working closely with strategic partners from industry, academia, and the public/private sector - including complementary local, regional, state, and national economic development agencies and industry/trade associations such as the SC Department of Commerce, SC Chamber of Commerce, BIO, PhRMA, AdvaMed, SEMDA and SEBIO among others. Under his leadership, SCBIO more than tripled revenue within 3 years and became a formally recognized economic development force in South Carolina and beyond, culminating with the Governor formally proclaiming SCBIO Life Sciences Week during his final month in CEO role (which was quickly followed by organizational achievement of unprecedented legislative funding). SCBIO's core mission areas included spearheading high-impact initiatives in economic development, advocacy, integrated marketing, innovation/R&amp;D, convening stakeholders (including hosting the state's largest life sciences conference annually with record-breaking attendance for consecutive years), capital attraction and ultimately helping to improve the delivery of healthcare. He was also recruited to serve as President/CEO of KOR Medical in 2021 and on the Vikor Scientific Board of Directors. As CEO, he led efforts to rapidly and strategically build and develop the innovative personalized medicine-focused clinical cannabis life sciences company, and ensure a successful launch of its initial national product portfolio within 7 months, as the newest division of Vikor. He currently serves on the South Carolina Chamber of Commerce Board &amp; Executive Committee as well as South State Bank's Greenville Advisory Board and the Palmetto Conservation Foundation Board. He has recently served on the Southeast US Life Sciences Association Board, the Carolinas Healthcare Innovation &amp; Technology Association Advisory Council, and the SC Research Authority Biotech Innovation Advisory Council. He received the Order of the Palmetto from SC Governor Henry McMaster in 2017 (SC's highest civilian honor), was named to Greenville's 50 Most Influential People Hall of Fame in 2019, the Chairman's Award for the Greater Greenville Chamber of Commerce (2008 &amp; 2010), was formally designated as a Knowledge Economist by the South Carolina Research Authority (2007), and was named a South Carolina Ambassador for Economic Development by Governor Jim Hodges (2001). In addition to his current leadership roles, He has also served on the South Carolina Independent Colleges &amp; Universities Board of Directors, Clemson University's College of Business &amp; Behavioral Science Advisory Board, as Vice Chair for the Board of the American Red Cross Upstate SC Chapter, and as Chair of the Upstate SC Air Service Partnership Committee on behalf of GSP International Airport - charged with helping to successfully recruit Southwest Airlines to Greenville-Spartanburg which propelled unprecedented growth of that world-class facility.</t>
  </si>
  <si>
    <t>318345-94P</t>
  </si>
  <si>
    <t>Samuel Scofield</t>
  </si>
  <si>
    <t>Scofield</t>
  </si>
  <si>
    <t>Mr. Samuel Scofield serves as Board Observer at VenoStent. He serves as Senior Associate, Life Sciences at Good Growth Capital. He works on all the biotech and medtech deals. He is involved in sourcing, due diligence, and portfolio management for all health-related deals. Prior to joining GGC, he worked in life sciences strategy consulting at Prescient Healthcare Group and LEK Consulting. During this time, he consulted for large pharma companies as well as small-to-midsize biotech companies. He has experience with commercial strategy, indication expansion corporate strategy, go-to-market, opportunity assessments, medical affairs, market access, and commercial due diligence.</t>
  </si>
  <si>
    <t>samuel@goodgrowthvc.com</t>
  </si>
  <si>
    <t>Senior Associate, Life Sciences</t>
  </si>
  <si>
    <t>179964-73P</t>
  </si>
  <si>
    <t>Sophie Hagerty</t>
  </si>
  <si>
    <t>Ms. Sophie Hagerty serves as Principal at Good Growth Capital. She is responsible for managing the inbound deal flow process, performing diligence on prospective investments, and assisting with fund administration, including tracking key metrics and preparing fundraising documents and marketing. She has experience in public affairs, market research, and business development. She studied at Harvard University.</t>
  </si>
  <si>
    <t>sophie@goodgrowthvc.com</t>
  </si>
  <si>
    <t>Principal, GreenTech</t>
  </si>
  <si>
    <t>417186-91P</t>
  </si>
  <si>
    <t>Tanya Marvin-Horowitz</t>
  </si>
  <si>
    <t>Marvin-Horowitz</t>
  </si>
  <si>
    <t>Ms. Tanya Marvin-Horowitz serves as an Advisor at Good Growth Capital. She is currently serving as a Board Observer and Board Member for several Butterfly portfolio companies such as TVM Sweden AB and Intelecy AS. She also serves on the Advisory Committee for the European Commission's (European Investment Bank) €10 Billion EIC Fund investing into Deep Tech. She holds a Bachelor's Degree in Mathematics and Marketing and received a tennis scholarship from Georgia State University.</t>
  </si>
  <si>
    <t>299795-59P</t>
  </si>
  <si>
    <t>Aditya Panda</t>
  </si>
  <si>
    <t>Panda</t>
  </si>
  <si>
    <t>Google DeepMind</t>
  </si>
  <si>
    <t>Mr. Aditya Panda serves as Executive of Applied Strategy at DeepMind.</t>
  </si>
  <si>
    <t>aditya@deepmind.com</t>
  </si>
  <si>
    <t>5 New Street Square</t>
  </si>
  <si>
    <t>EC4A 3TW</t>
  </si>
  <si>
    <t>Executive of Applied Strategy</t>
  </si>
  <si>
    <t>261151-84P</t>
  </si>
  <si>
    <t>Colin Murdoch</t>
  </si>
  <si>
    <t>Murdoch</t>
  </si>
  <si>
    <t>Mr. Colin Murdoch serves as Chief Business Officer at Google DeepMind. Decades of international commercial experience and deep technical expertise mean Colin is uniquely placed to ensure DeepMind's cutting-edge research benefits as many people as possible. As Chief Business Officer, he oversees a wide-range of teams including DeepMind for Google, which applies research breakthroughs to Google products and infrastructure used by billions of people. He also helps drive the growth of DeepMind, building and leading critical functions including finance and strategy and leading external and commercial partnerships. Originally an electronics and software engineer, he has held senior positions at both start-ups and global companies such as Thomson Reuters, helping them solve their own complex, mission-critical, real-world challenges.</t>
  </si>
  <si>
    <t>224792-92P</t>
  </si>
  <si>
    <t>Jeff Dean Ph.D</t>
  </si>
  <si>
    <t>Dr. Jeff Dean serves as Chief Scientist at Google DeepMind. He is an Angel Investor. He is a co-designer and co-implementor of Google's distributed computing infrastructure, including the MapReduce, BigTable, and Spanner systems, protocol buffers, the open-source TensorFlow system for machine learning, and a variety of internal and external libraries and developer tools. He received a PhD in computer science from the University of Washington in 1996. He is a member of the National Academy of Engineering, a fellow of the Association for Computing Machinery (ACM), the American Association for the Advancement of Science (AAAS), and a winner of the ACM Prize in Computing. He serves as Advisor at Mako.</t>
  </si>
  <si>
    <t>Chief Scientist</t>
  </si>
  <si>
    <t>404819-74P</t>
  </si>
  <si>
    <t>Kamran Khan</t>
  </si>
  <si>
    <t>Kamran</t>
  </si>
  <si>
    <t>Mr. Kamran Khan serves as Executive Chairman at Google DeepMind.</t>
  </si>
  <si>
    <t>35301-16P</t>
  </si>
  <si>
    <t>Lila Ibrahim</t>
  </si>
  <si>
    <t>Lila</t>
  </si>
  <si>
    <t>Ms. Lila Ibrahim serves as Chief Operating Officer at Google DeepMind. She served as Chief Business Officer at Coursera. She was an Advisor at Kleiner Perkins Caufield &amp; Byers. She is working across the Digital and Green portfolios. Prior to joining KPCB, Lila had 18 years career with Intel Corporation. Most recently she led the start-up business of Intel's Emerging Market Product Group. Headquartered in China, she was responsible for the ethnographic research, definition, engineering development and marketing of technology solutions. One of these solutions was the Intel Learning Series, a hardware, software and services solution for global education. Under Lila's leadership, over 50 countries deployed the Learning Series, creating hundreds of local technology jobs and improving the lives and potential of millions of students worldwide. Lila joined Intel in 1990 as a design engineer for the Pentium® processor. During her tenure, she held a variety of technical, marketing and management positions including assignments in Japan to enable the DVD standards for the PC industry and in Asia Pacific to pioneer the global expansion of Intel's premier developer program. Lila also served as chief of staff to Intel Chairman Craig Barrett, responsible for facilitating all of the technical, program and public aspects of her role with Intel and the United Nations. During this time, Lila led the Digital Village Initiative to deliver technology projects which advanced entrepreneurship, Health, Education, and e-Governance from the Amazon to Africa. Based on her business and community service leadership, Lila has been named as a Young Global Leader by the World Economic Forum. Lila earned a bachelor's degree in electrical engineering from Purdue University, where she continues to guest lecture. She serves as Chief Business Officer at Coursera.</t>
  </si>
  <si>
    <t>lilai@deepmind.com</t>
  </si>
  <si>
    <t>205189-12P</t>
  </si>
  <si>
    <t>Vijay Bolina</t>
  </si>
  <si>
    <t>Bolina</t>
  </si>
  <si>
    <t>Mr. Vijay Bolina serves as Venture Advisor at YL Ventures. Mr. Bolina serves as Advisor at NightDragon. He is the former Chief Information Security Officer at a global Financial Tech company based out of the San Francisco Bay Area where he led security, production IT, and corporate IT teams that operate and protect the products and services of one the largest global prepaid and financial products network.</t>
  </si>
  <si>
    <t>vijay@deepmind.com</t>
  </si>
  <si>
    <t>Chief Information Security Officer</t>
  </si>
  <si>
    <t>15925-15P</t>
  </si>
  <si>
    <t>Anthony Housefather</t>
  </si>
  <si>
    <t>Housefather</t>
  </si>
  <si>
    <t>Government of Canada</t>
  </si>
  <si>
    <t>Mr. Anthony Housefather serves as Parliamentary Secretary to the President of the Treasury Board at the Government of Canada. Mr. Housefather served as the Executive Vice President of Corporate Affairs and General Counsel at Dialogic. He is also responsible for real estate and facilities and M&amp;A activity. He joined Dialogic in 1997 and has 13 years of experience in international commercial transactions, intellectual property licensing and management, and litigation and employment issue management. He has also served as project manager for the integration of Dialogic's last three acquisitions, including its integration of Intel's media and signaling business and the integration of the Cantata business into Dialogic. Mr. Housefather has degrees in common and civil law from McGill University and an MBA degree from Concordia University.</t>
  </si>
  <si>
    <t>+1 (613) 773-2600</t>
  </si>
  <si>
    <t>1341 Baseline Road</t>
  </si>
  <si>
    <t>K1A 0C5</t>
  </si>
  <si>
    <t>+1 (613) 773-1081</t>
  </si>
  <si>
    <t>Parliamentary Secretary to the President of the Treasury Board</t>
  </si>
  <si>
    <t>362084-95P</t>
  </si>
  <si>
    <t>Chrystia Freeland</t>
  </si>
  <si>
    <t>Chrystia</t>
  </si>
  <si>
    <t>Freeland</t>
  </si>
  <si>
    <t>Ms. Chrystia Freeland serves as Deputy Prime Minister and Minister of Finance at the Government of Canada. Ms. Freeland was first elected as the Member of Parliament for Toronto Centre in July 2013. She was elected as Member of Parliament for University-Rosedale in October 2015 and re-elected in October 2019 and in September 2021. From 2015 to 2017, Ms. Freeland served as Canada's Minister of International Trade, overseeing the successful negotiation of Canada's free trade agreement with the European Union, CETA. From January 2017 to November 2019, she served as Canada's Minister of Foreign Affairs. During this time, she was a leading advocate for democracy, human rights, and multilateralism around the world. As Foreign Minister, she led and successfully concluded the renegotiation of the North American Free Trade Agreement (NAFTA) between Canada, Mexico, and the United States. In November 2019, Ms. Freeland was appointed Deputy Prime Minister of Canada and Minister of Intergovernmental Affairs. In this capacity, she led Canada's united response to the COVID-19 pandemic. In her role as Minister of Finance, to which she was appointed in August 2020, the Deputy Prime Minister has supported the Canadian economy's strong recovery from the pandemic recession, led the introduction of Canada's first national system of affordable early learning and child care, and returned Canada's finances to a sustainable footing after the winding-down of emergency pandemic spending. An esteemed journalist and author, the Deputy Prime Minister was born in Peace River, Alberta. After launching her career in journalism as a Ukraine-based freelance correspondent for the Financial Times, The Washington Post, and The Economist, Ms. Freeland went on to various roles at the Financial Times of London. She then served as deputy editor of the Toronto-based Globe and Mail between 1999 and 2001, before returning to the Financial Times as deputy editor and then as United States managing editor. In 2010, she joined Canadian-owned Thomson Reuters. She was a managing director of the company and editor of consumer news when she decided to return home and enter politics in 2013. She was educated at Harvard University before continuing her studies on a Rhodes Scholarship at the University of Oxford.</t>
  </si>
  <si>
    <t>chrystia.freeland@canada.ca</t>
  </si>
  <si>
    <t>339598-18P</t>
  </si>
  <si>
    <t>Harjit Sajjan</t>
  </si>
  <si>
    <t>Harjit</t>
  </si>
  <si>
    <t>Sajjan</t>
  </si>
  <si>
    <t>Mr. Harjit Sajjan serves as Minister of Emergency Preparedness &amp; Minister responsible for Pacifican at the Government of Canada. He served as Governor, of Canada at the Asian Development Bank.</t>
  </si>
  <si>
    <t>Minister of Emergency Preparedness &amp; Minister responsible for Pacifican</t>
  </si>
  <si>
    <t>204217-48P</t>
  </si>
  <si>
    <t>Idralyn Alarcon</t>
  </si>
  <si>
    <t>Idralyn</t>
  </si>
  <si>
    <t>Alarcon</t>
  </si>
  <si>
    <t>Mr. Idralyn Alarcon serves as Business Officer, Policy and Strategic Direction at Government of Canada.</t>
  </si>
  <si>
    <t>+1 (639) 916-2571</t>
  </si>
  <si>
    <t>idralyn.alarcon@canada.ca</t>
  </si>
  <si>
    <t>Saskatoon</t>
  </si>
  <si>
    <t>Saskatoon, Canada</t>
  </si>
  <si>
    <t>101 22nd Street East</t>
  </si>
  <si>
    <t>Suite 115</t>
  </si>
  <si>
    <t>Saskatchewan</t>
  </si>
  <si>
    <t>S7K 3S7</t>
  </si>
  <si>
    <t>Business Officer, Policy and Strategic Direction</t>
  </si>
  <si>
    <t>204218-29P</t>
  </si>
  <si>
    <t>Joël Lightbound</t>
  </si>
  <si>
    <t>Joël</t>
  </si>
  <si>
    <t>Lightbound</t>
  </si>
  <si>
    <t>Mr. Joël Lightbound serves as Member of Parliament for Louis-Hébert at the Government of Canada. Born and raised in Sainte-Foy, Mr. Lightbound understands the issues and strengths of his community. He is a lawyer and a member of the Quebec Bar Association, who began his legal career as an articling student with the Montréal firm Fasken Martineau DuMoulin. He later practiced law in the Quebec City area with a firm specializing in immigration law. Deeply involved in his community, Mr. Lightbound served as a board member of Champlain Regional College and La Baratte, a non-profit organization in Quebec City. He is the former President of the Student Association of St. Lawrence College, Vice-President of the Confédération des associations des étudiantes et étudiants en droit civil, and Quebec representative at the Parlement francophone des jeunes in Gabon in 2007.</t>
  </si>
  <si>
    <t>Member of Parliament for Louis-Hébert</t>
  </si>
  <si>
    <t>299006-47P</t>
  </si>
  <si>
    <t>Jonathan Wilkinson</t>
  </si>
  <si>
    <t>Mr. Jonathan Wilkinson serves as Minister of Energy and Natural Resources at Government of Canada.</t>
  </si>
  <si>
    <t>Minister of Energy and Natural Resources</t>
  </si>
  <si>
    <t>185343-85P</t>
  </si>
  <si>
    <t>Justin Trudeau</t>
  </si>
  <si>
    <t>Trudeau</t>
  </si>
  <si>
    <t>Mr. Justin Trudeau serves as Prime Minister of the Government of Canada. He studied literature at McGill University, graduating with a Bachelor of Arts (B.A.) in 1994. He went on to complete the University of British Columbia's education program and spent several years teaching French, math, and other subjects in Vancouver. Teaching allowed him to make a positive impact in the lives of young people. He remains committed to hearing the voices of young Canadians, from the classroom to Parliament Hill.</t>
  </si>
  <si>
    <t>+1 (514) 868-0898</t>
  </si>
  <si>
    <t>Prime Minister</t>
  </si>
  <si>
    <t>223572-61P</t>
  </si>
  <si>
    <t>Kristyn Hribar</t>
  </si>
  <si>
    <t>Kristyn</t>
  </si>
  <si>
    <t>Hribar</t>
  </si>
  <si>
    <t>Ms. Kristyn Hribar serves as an Investment Officer, Agriculture and Agri-Food Canada at Government of Canada.</t>
  </si>
  <si>
    <t>+1 (613) 773-3068</t>
  </si>
  <si>
    <t>kristyn.hribar@canada.ca</t>
  </si>
  <si>
    <t>Investment Officer, Agriculture and Agri-Food Canada</t>
  </si>
  <si>
    <t>229103-02P</t>
  </si>
  <si>
    <t>Mackenzie Larwill</t>
  </si>
  <si>
    <t>Mackenzie</t>
  </si>
  <si>
    <t>Larwill</t>
  </si>
  <si>
    <t>Mr. Mackenzie Larwill serves as Scientific Evaluator, Health Canada at the Government of Canada.</t>
  </si>
  <si>
    <t>+1 (343) 292-8883</t>
  </si>
  <si>
    <t>mackenzie.larwill@canada.ca</t>
  </si>
  <si>
    <t>+1 (613) 995-6146</t>
  </si>
  <si>
    <t>Scientific Evaluator, Health Canada</t>
  </si>
  <si>
    <t>405419-05P</t>
  </si>
  <si>
    <t>Rechie Valdez</t>
  </si>
  <si>
    <t>Rechie</t>
  </si>
  <si>
    <t>Valdez</t>
  </si>
  <si>
    <t>Ms. Rechie Valdez serves as Minister of Small Business at the Federal Economic Development Agency for Southern Ontario. She has been a member of various parliamentary committees and associations, including the Standing Committee on Veterans Affairs and the Canadian NATO Parliamentary Association, as well as the Chair of the Canada-Philippines Parliamentary Friendship Group. She is a Canadian entrepreneur, television personality, and community advocate. She is the first Filipino-Canadian woman elected as a Member of Parliament and appointed to Cabinet and is committed to ensuring the diverse voices of her community are heard. She owned and operated a small business, and dedicated herself to growing her online business avenues. She was also the host of a television show that shares the stories of entrepreneurs, creators, and artists. Before that, she worked in corporate banking for 15 years, where she developed her expertise in change management and strategic initiatives.</t>
  </si>
  <si>
    <t>+1 (866) 593-5505</t>
  </si>
  <si>
    <t>rechie.valdez@canada.ca</t>
  </si>
  <si>
    <t>Waterloo</t>
  </si>
  <si>
    <t>Waterloo, Canada</t>
  </si>
  <si>
    <t>101-139 Northfield Drive West</t>
  </si>
  <si>
    <t>N2L 5A6</t>
  </si>
  <si>
    <t>+1 (519) 725-4976</t>
  </si>
  <si>
    <t>Minister of Small Business</t>
  </si>
  <si>
    <t>Federal Economic Development Agency for Southern Ontario</t>
  </si>
  <si>
    <t>442556-38P</t>
  </si>
  <si>
    <t>Soraya Ferrada</t>
  </si>
  <si>
    <t>Soraya</t>
  </si>
  <si>
    <t>Ferrada</t>
  </si>
  <si>
    <t>Mr. Soraya Ferrada serves as Member of Parliament at Government of Canada.</t>
  </si>
  <si>
    <t>soraya.martinezferrada@canada.ca</t>
  </si>
  <si>
    <t>Member of Parliament</t>
  </si>
  <si>
    <t>332422-93P</t>
  </si>
  <si>
    <t>Torben Jensen</t>
  </si>
  <si>
    <t>Mr. Torben Jensen serves as Policy Analyst, Natural Resources Canada at Government of Canada.</t>
  </si>
  <si>
    <t>+1 (604) 666-1416</t>
  </si>
  <si>
    <t>torben.jensen@nrcan-rncan.gc.ca</t>
  </si>
  <si>
    <t>580 Booth Street</t>
  </si>
  <si>
    <t>K1A 0E4</t>
  </si>
  <si>
    <t>+1 (613) 952-8169</t>
  </si>
  <si>
    <t>Policy Analyst</t>
  </si>
  <si>
    <t>Natural Resources Canada</t>
  </si>
  <si>
    <t>222883-84P</t>
  </si>
  <si>
    <t>Angela Rastegar</t>
  </si>
  <si>
    <t>Rastegar</t>
  </si>
  <si>
    <t>Gray Matters Capital</t>
  </si>
  <si>
    <t>Ms. Angela Rastegar is a Co-Founder &amp; serves as Chief Executive Officer at Sunfish Technologies. She serves as a coLABS Advisory Board Member at Gray Matters Capital. Currently, she serves as the Director of Circle Surrogacy - one of the oldest and most experienced surrogacy and egg donation agencies in the world which has helped build families since 1995 in 73 countries. Before this, she was the Interim Fund Manager of VilCap Investments, which invests in early-stage global businesses focused on social or environmental challenges. She has advised over $100M in investments and grants for social good projects around the world on behalf of Fortune 100 companies, multi-laterals, private foundations, and LPs. She holds a BA from Sanford University and an MBA from Stanford Graduate School of Business.</t>
  </si>
  <si>
    <t>+1 (650) 387-8417</t>
  </si>
  <si>
    <t>arastegar@joinsunfish.com</t>
  </si>
  <si>
    <t>6060 Center Drive</t>
  </si>
  <si>
    <t>Floor 10, Suite 1000</t>
  </si>
  <si>
    <t>Sunfish Technologies</t>
  </si>
  <si>
    <t>13891-24P</t>
  </si>
  <si>
    <t>Karen Pajarillo</t>
  </si>
  <si>
    <t>Pajarillo</t>
  </si>
  <si>
    <t>Ms. Karen Pajarillo serves as coLABS Advisory Board Member at Gray Matters Capital. She serves as an Advisor, M&amp;A Investment Committee at How Women Invest. She served as RCAF Transactor at The Riverside Company. She holds a BA and a BS in Biology and Communication from Stanford University. She served as a board member of the following Riverside portfolio boards of directors: ATI Enterprises, Maverick Enterprises, Momentum Textiles, and Olympic Boat Centers.</t>
  </si>
  <si>
    <t>+1 (678) 365-4700</t>
  </si>
  <si>
    <t>1000 Parkwood Circle Southeast</t>
  </si>
  <si>
    <t>+1 (678) 365-4752</t>
  </si>
  <si>
    <t>coLABS Advisory Board Member</t>
  </si>
  <si>
    <t>47661-94P</t>
  </si>
  <si>
    <t>Laura Putz JD</t>
  </si>
  <si>
    <t>Putz</t>
  </si>
  <si>
    <t>Ms. Laura Wilson Putz serves as General Counsel at Gray Matters Capital. She joined the Gray Ghost Ventures (GGV) team in 2009 and has assisted GGV, GMC, and GMCF with legal and compliance issues. She most recently worked with GMC in the establishment of the IDEX Fellowship in Social Enterprise. She received her B.S. from the Georgia Institute of Technology in History, Technology &amp; Culture before venturing north to earn her Juris Doctorate from Vermont Law School.</t>
  </si>
  <si>
    <t>lputz@graymatterscap.com</t>
  </si>
  <si>
    <t>126631-18P</t>
  </si>
  <si>
    <t>Pranay Adhvaryu</t>
  </si>
  <si>
    <t>Adhvaryu</t>
  </si>
  <si>
    <t>Mr. Pranay Adhvaryu serves as Senior Equity Advisor &amp; Head of Investments and Portfolio Management at Gray Matters Capital. He serves as a Board Member at Indian School Finance Company. He served as a Board Member at RG Stone Urology and Laparoscopy Hospital. He served as Principal at India Equity Partners. He has 15 years of work experience with investments of over $300 mm across over 14 deals with sector expertise in healthcare, education, and BFSI in both traditional and tech-enabled businesses. He has worked on several business transformational projects to boost/ turn around businesses and is an energetic and innovative self-starter with strong communication skills. In his past role at BCCL, he was responsible for leading the sourcing, investing, and managing of investments in focus sectors - fintech, health-tech, Ed-tech, and D2C for certain regions in India &amp; cross-border deals w.r.t US &amp; MENA region. Before this for a year, he was a Director (Alternative investments &amp; strategy) at Lighthouse Canton, a Singapore-based Multi-family office. Before that, he spent 10 years at India Equity Partners (India-focused $450 mm PE fund) where he led negotiations with management, managed due diligence, legal documentation, structuring, M&amp;A, and deal closure, and was an active Board member at all portfolio companies. He started his career as an investment banking analyst at Morgan Stanley in Mumbai &amp; Singapore. He has served on several boards including MN Park, RG Stone Hospitals, Schoolnet India, Axiss Dental, and Ocean Sparkle. He is an Executive MBA from INSEAD (Singapore)'2018 and a Chartered Accountant from India. He has a master's and bachelor - in Finance &amp; Accounts, completed from N.M. College (Mumbai University).</t>
  </si>
  <si>
    <t>pranay.adhvaryu@graymatterscap.com</t>
  </si>
  <si>
    <t>Senior Equity Advisor &amp; Head of Investments and Portfolio Management</t>
  </si>
  <si>
    <t>64796-05P</t>
  </si>
  <si>
    <t>Raunak Singhvi</t>
  </si>
  <si>
    <t>Raunak</t>
  </si>
  <si>
    <t>Singhvi</t>
  </si>
  <si>
    <t>Mr. Raunak Singhvi serves as Chief Executive Officer at Gray Matters Capital. He serves as a Board Observer at Taleem Finance Company. He serves as a Board Member at Indian School Finance Company. He also serves as a Board Member at EdFin. He co-founded &amp; served as Chief Executive Officer at EdPrime. He served as Vice President, Finance and Human resources at Eko India Financial Services. He has more than two decades of experience in Finance across multiple industries including Impact Investment, Life Insurance, Financial Services, Payments, Insurance Broking, Manufacturing, FMCG, Industrials, and IT Services. He has built his expertise in areas as diverse as Due Diligence, Investments, Transformation, Controllership, Project Management, Treasury, Risk Assurance, Audit, and Management Assurance Services. He is also a qualified Insolvency Resolution Professional from the Insolvency and Bankruptcy Board of India (IBBI). Having worked with MNCs and undertaken various consulting engagements, he has built and expanded his international experience by working in more than 20 countries and across 4 continents. In addition to this, he has also successfully led an Early Stage VC-funded Technology-led Payments company. He joined Gray Matters Capital as the CFO and Portfolio Head in 2018. In 2019, he was tasked with the additional responsibility of GEFC, GMC's newly set up Education Finance expansion strategy into Asia and Africa. As the CEO of GEFC, he worked very closely with local teams to operationalize education finance initiatives in Nigeria and Pakistan. At the onset of COVID-19, he moved in as the Interim-CEO of Indian School Finance Company (a key portfolio company) to help steer the company from the ongoing crisis. In 2020, he moved out of his full-time role at GMC and co-founded EdPrime while continuing to manage the education finance portfolio and the finance function at GMC. He exited EdPrime in 2021 to strategic partners to join GMC in a full-time capacity. He earned degrees in Management, and Accounting from the Institute of Management Accountants, Institute of Internal Auditors. and Jai Narain Vyas University.</t>
  </si>
  <si>
    <t>raunaksinghvi@graymatterscap.com</t>
  </si>
  <si>
    <t>Bengaluru</t>
  </si>
  <si>
    <t>Bengaluru, India</t>
  </si>
  <si>
    <t>680, 13th Cross</t>
  </si>
  <si>
    <t>HSR Layout, Sector 1</t>
  </si>
  <si>
    <t>560102</t>
  </si>
  <si>
    <t>47660-86P</t>
  </si>
  <si>
    <t>Robert Pattillo</t>
  </si>
  <si>
    <t>Mr. Robert Pattillo is a Co-Founder of Village Capital. Mr. Pattillo is the Founder of Gray Matters Capital.</t>
  </si>
  <si>
    <t>+1 (202) 870-4750</t>
  </si>
  <si>
    <t>1101 K Street North West</t>
  </si>
  <si>
    <t>Village Capital</t>
  </si>
  <si>
    <t>207084-70P</t>
  </si>
  <si>
    <t>Srinita Mitra</t>
  </si>
  <si>
    <t>Srinita</t>
  </si>
  <si>
    <t>Mitra</t>
  </si>
  <si>
    <t>Ms. Srinita Mitra serves as Venture Manager at Gray Matters Capital. She leads the Post Investment of Gray Matters Capital's edLABS portfolio. She brings with her over 9 years of experience in banking, finance, startups, and operations domains. She holds an MBA degree from Leeds University Business School, UK. Before joining Gray Matters Capital, She worked with HDFC Bank and Imperial Innovations -Startup Incubator, India where she held leadership positions. She has also been part of a short-term project with Village Capital. It was while working for a non-profit consulting project as a Fujitsu JAIMS Scholar in Japan and Thailand, did she realized her interest and needs to work for the impact space focusing on the education sector. She has been felicitated with the JAIMS President's Award on Innovation for her solution to social impact.</t>
  </si>
  <si>
    <t>smitra@graymatterscap.com</t>
  </si>
  <si>
    <t>114256-27P</t>
  </si>
  <si>
    <t>Victoria Fram</t>
  </si>
  <si>
    <t>Fram</t>
  </si>
  <si>
    <t>Ms. Victoria Fram is a Co-Founder &amp; serves as a Senior Advisor at VilCap Investments. She serves as Managing Director of Impact Investments at The Sobrato Organization. She serves as an Investment Committee Member at GSB Impact Fund. She serves as a caoLABS Advisory Board Member at Gray Matters Capital. She Co-Founded and served as Senior Advisor at Village Capital. She served as an Advisor at Solar Site Design. She also served as a Board Member at Pear Deck. Most recently, she worked at the Bill &amp; Melinda Gates Foundation on the Program Related Investments team, analyzing investment opportunities in the fields of global health and global development. Before that, she was an Investment Associate at Metropolitan, a global private equity real estate fund-of-funds. Previously as an Insight Fellow, she designed and implemented projects focused on international development and conflict resolution in China, the Netherlands, and East Africa. As a graduate fellow and research assistant, she has contributed to projects in innovative social finance with Acumen Fund, Investors' Circle, and RSF Social Finance. She received an MBA, a Certificate in Public Management from the Stanford Graduate School of Business, and a BA in International Relations with a minor in Mandarin from Stanford University.</t>
  </si>
  <si>
    <t>victoria@vilcapinvestments.com</t>
  </si>
  <si>
    <t>Co-Founder &amp; Senior Advisor</t>
  </si>
  <si>
    <t>VilCap Investments</t>
  </si>
  <si>
    <t>325992-16P</t>
  </si>
  <si>
    <t>Armand Dehaney</t>
  </si>
  <si>
    <t>Armand</t>
  </si>
  <si>
    <t>Dehaney</t>
  </si>
  <si>
    <t>Greenbacker Renewable Energy Company</t>
  </si>
  <si>
    <t>Mr. Armand Dehaney serves as Vice President, Investments at Greenbacker Renewable Energy Company.</t>
  </si>
  <si>
    <t>+1 (646) 720-9463</t>
  </si>
  <si>
    <t>armand.dehaney@greenbackercapital.com</t>
  </si>
  <si>
    <t>30 Danforth Street</t>
  </si>
  <si>
    <t>Suite 206</t>
  </si>
  <si>
    <t>Vice President, Investments</t>
  </si>
  <si>
    <t>374724-64P</t>
  </si>
  <si>
    <t>Bailey Plummer</t>
  </si>
  <si>
    <t>Ms. Bailey Plummer serves as Principal, Investments at Greenbacker Renewable Energy Company. She has been a member of the Greenbacker Investments team since 2018. In her role as Principal of Investments, she is responsible for originating, evaluating, modeling, and performing diligence on acquisition opportunities. She manages, on average, five to 10 acquisitions at any given time, across the sustainable infrastructure space such as C&amp;I and utility scale solar, wind and storage portfolios. She came to Greenbacker after working as part of the Power, Energy and Renewables team at Guggenheim Partners. During her time there, she focused on selling various combined-cycle gas assets, as well as selling a few renewable energy development companies and their accompanying platforms. She graduated with honors from the Emory University Goizueta Business School, earning a BBA with a concentration in Finance and International Business.</t>
  </si>
  <si>
    <t>bailey.plummer@greenbackercapital.com</t>
  </si>
  <si>
    <t>1740 Platte Street</t>
  </si>
  <si>
    <t>374725-45P</t>
  </si>
  <si>
    <t>Ben Tillar</t>
  </si>
  <si>
    <t>Tillar</t>
  </si>
  <si>
    <t>Mr. Ben Tillar serves as Principal, Investments at Greenbacker Renewable Energy Company. He has been a member of the Greenbacker Investments team since 2019. In his role as Vice President of Investments, he is responsible for the execution of acquisitions, as well as tax equity and debt structuring. During his tenure at Greenbacker, he has acquired solar and wind projects amounting to 390 megawatts and has closed $230 million of tax equity and debt facilities. He came to Greenbacker after working at Invenergy, a renewable energy developer based in Chicago, where he was part of the Project Finance and Asset Management teams. During his time at Invenergy, he focused on arranging construction debt, term debt, and tax equity for Invenergy's construction pipeline and managed approximately one gigawatt of operational wind assets. He graduated from Johns Hopkins University with a Bachelor of Economics.</t>
  </si>
  <si>
    <t>ben.tillar@greenbackercapital.com</t>
  </si>
  <si>
    <t>123446-62P</t>
  </si>
  <si>
    <t>Benjamin Baker</t>
  </si>
  <si>
    <t>Mr. Benjamin Baker serves as Managing Director at Greenbacker Renewable Energy Company. He serves as Board Member at Relevate Power and Chaberton Energy. He served as Vice President at Hudson Sustainable Investment Management. His primary responsibilities include investment origination and analysis, due diligence, and portfolio management. He previously worked at GE Energy Financial Services, the energy investment arm of GE Capital. At EFS, he focused on GE's investments in energy infrastructure companies and projects. Before GE EFS, he was the vice president of project finance &amp; development at Safari Energy, a solar development company that develops commercial-scale solar energy systems for REITs and other property owners. While at Safari, he worked on solar portfolios for clients such as General Growth Properties, Federal Realty Trust, and Vornado Realty. Earlier in his career, He held positions in M&amp;A and structured finance advisory within the IPP and renewables space, including one year spent working directly with the Department of Energy to structure public-private financing facilities for energy efficiency and renewable energy. He holds a BA in French from Columbia College and an MBA from Columbia Business School.</t>
  </si>
  <si>
    <t>benjamin.baker@greenbackercapital.com</t>
  </si>
  <si>
    <t>191308-51P</t>
  </si>
  <si>
    <t>Mr. Christopher Smith serves as Head of Grid Services at The Natural Power Consultants. Mr. Christopher Smith serves as Chief Financial Officer at Greenbacker Renewable Energy Company. He served as Partner and Chief Financial Officer at SER Capital Partners. Mr. Smith previously served as Senior Vice President and Head, Finance and Treasurer at Sunnova Energy. Christopher is responsible for investment origination, execution, and portfolio management and acts as CFO overseeing investor reporting. Christopher has 20 years of experience investing in and financing sustainably focused businesses.</t>
  </si>
  <si>
    <t>+44 (0)16 4443 0008</t>
  </si>
  <si>
    <t>christophers@naturalpower.com</t>
  </si>
  <si>
    <t>Castle Douglas</t>
  </si>
  <si>
    <t>Castle Douglas, United Kingdom</t>
  </si>
  <si>
    <t>The Green House</t>
  </si>
  <si>
    <t>Forrest Estate Dairy</t>
  </si>
  <si>
    <t>DG7 3XS</t>
  </si>
  <si>
    <t>Head of Grid Services</t>
  </si>
  <si>
    <t>The Natural Power Consultants</t>
  </si>
  <si>
    <t>350989-12P</t>
  </si>
  <si>
    <t>Corey Brennan</t>
  </si>
  <si>
    <t>Brennan</t>
  </si>
  <si>
    <t>Mr. Corey Brennan serves as Co-Chairman of CSR Committee at Greenbacker Renewable Energy Company.</t>
  </si>
  <si>
    <t>corey.brennan@greenbackercapital.com</t>
  </si>
  <si>
    <t>Co-Chairman, CSR Committee</t>
  </si>
  <si>
    <t>322358-95P</t>
  </si>
  <si>
    <t>Daniel De Boer</t>
  </si>
  <si>
    <t>De Boer</t>
  </si>
  <si>
    <t>Mr. Daniel De Boer serves as Interim Chief Executive Officer at Greenbacker Renewable Energy Company. He served as Managing Director &amp; Head of Infrastructure at Greenbacker Renewable Energy Company. He serves as Head of Renewables - Americas at Allianz Capital Partners. He he is responsible for overseeing the Infrastructure Investment team. He joined the company in 2023, bringing 16 years of experience in private equity and renewable energy investing. Prior to joining Greenbacker, he served as the Head of Renewables at Allianz Capital Partners of America, where he led all aspects of the investment lifecycle, and played a pivotal role in shaping the strategic direction of their sustainable infrastructure platform. He has successfully acquired and financed GWs of solar, wind, and storage projects, raised substantial private equity funds, and effectively managed investment platforms, both during his time there and earlier in his career. Prior to Allianz, he spent time developing solar projects with VivoPower International Plc, established Onyx Renewable Partners L.P. within Blackstone Energy Partners, and launched D. E. Shaw Renewable Investments while a part of the D. E. Shaw Group's private equity team. He received an MBA with honors from the Wharton School at the University of Pennsylvania and a BA from Yale University.</t>
  </si>
  <si>
    <t>daniel.deboer@greenbackercapital.com</t>
  </si>
  <si>
    <t>Interim Chief Executive Officer</t>
  </si>
  <si>
    <t>141747-22P</t>
  </si>
  <si>
    <t>David Zackowitz</t>
  </si>
  <si>
    <t>Zackowitz</t>
  </si>
  <si>
    <t>Mr. David Zackowitz serves as Managing Director and Head of Investments at Greenbacker Renewable Energy Company. He served as Managing Director of Real Estate at The Blackstone Group. Before joining Blackstone in 2015, Mr. Zackowitz was a Senior Vice President at C-III Capital Partners where he worked in the Principal Investments Group acquiring commercial real estate assets and non-performing loans. From 2009 to 2012, Mr. Zackowitz was a Senior Vice President with the Lehman Brothers bankruptcy estate responsible for restructuring and asset managing a portfolio of the estate's real estate investments. Mr. Zackowitz began his career as a member of Lehman's Global Real Estate Group in 2001 where he spent seven years underwriting, structuring, and acquiring real estate investments throughout the United States. Mr. Zackowitz received a BS in Policy Analysis and Management from Cornell University.</t>
  </si>
  <si>
    <t>david.zackowitz@greenbackercapital.com</t>
  </si>
  <si>
    <t>230 Park Avenue</t>
  </si>
  <si>
    <t>Suite 1560</t>
  </si>
  <si>
    <t>10169</t>
  </si>
  <si>
    <t>Managing Director &amp; Head of Investments</t>
  </si>
  <si>
    <t>80714-44P</t>
  </si>
  <si>
    <t>Julianne Hull JD</t>
  </si>
  <si>
    <t>Julianne</t>
  </si>
  <si>
    <t>Hull</t>
  </si>
  <si>
    <t>Ms. Julianne Hull serves as the Chief Compliance Officer and Member of the Executive Committee at Greenbacker Capital Management. She serves as Chief Compliance Officer and Member of Executive Committee at Greenbacker Renewable Energy Company. She served as Chief Compliance Officer and General Counsel at Frontier Capital Management. She served as Chief Compliance Officer at North Tide Capital. She served as Chief Compliance Officer and Counsel at GB Credit Partners. She joined GB Credit Partners in 2013 to manage the firm's compliance program. She is responsible for the continued adherence to all SEC, federal, state, and other regulations. Before her role with GB Credit Partners, Ms. Hull was an Assistant Vice President at HedgeOp where she assisted private fund advisers in developing and maintaining comprehensive compliance programs designed to meet regulatory requirements, incorporating industry best practices applicable to each adviser's business. Before that, Ms. Hull was with Kirby, Noonan, Lance, and Hoge in San Diego, CA where she represented clients ranging from closely held corporations to publicly traded companies in securities, employment, intellectual property, and real estate litigation matters in state and federal court and before FINRA. Earlier in her career, she worked as an attorney in the Securities Regulation and Enforcement Group/Litigation Department of Fried, Frank, Harris, Shriver, and Jacobson, located in Washington, DC, where she represented hedge funds in governmental inquiries and investigations involving securities laws issues. Ms. Hull holds a B.A. in Psychology from Boston University and a J.D. from the Boston University School of Law. She is a member of the Massachusetts State Bar.</t>
  </si>
  <si>
    <t>+1 (617) 422-6571</t>
  </si>
  <si>
    <t>julianne.hull@greenbackercapital.com</t>
  </si>
  <si>
    <t>+1 (617) 531-7931</t>
  </si>
  <si>
    <t>Chief Compliance Officer &amp; Member of Executive Committee</t>
  </si>
  <si>
    <t>Greenbacker Capital Management</t>
  </si>
  <si>
    <t>68475-25P</t>
  </si>
  <si>
    <t>Matthew Murphy</t>
  </si>
  <si>
    <t>Mr. Matthew Murphy serves as Chief Operating Officer and Member of Executive Committee at Greenbacker Capital Management. He serves as Chief Operations Officer and Member of Executive Committee at Greenbacker Renewable Energy Company. He serves as Chief Operating Officer at Greenbacker Renewable Energy Company. He served as Director of Operations and Maintenance at Borrego Solar Systems. He is responsible for the routine maintenance and incidental service required on all of Borrego Solar's commercial and public-sector solar energy systems from the time they are interconnected to the electrical grid until they are decommissioned, ensuring the system equipment produces electricity at the projected levels for the duration of their usable lives. Before joining Borrego Solar, he worked for three years at the Vermont-based electrical contracting company Peck Electric, where he was instrumental in creating and running Peck's solar PV division and was responsible for every job function from sales to system commissioning. While at Peck, he oversaw the development and construction of over 3 MW of solar PV capacity. He also has experience teaching PV construction to electricians at the Vermont NJATC training center, where he prepared students for the entry-level NABCEP certification test. He is a licensed journeyman electrician and is NABCEP certified.</t>
  </si>
  <si>
    <t>matthew.murphy@greenbackercapital.com</t>
  </si>
  <si>
    <t>Chief Operating Officer &amp; Member of Executive Committee</t>
  </si>
  <si>
    <t>298042-84P</t>
  </si>
  <si>
    <t>Michael Landenberger</t>
  </si>
  <si>
    <t>Landenberger</t>
  </si>
  <si>
    <t>Chief Accounting Officer &amp; Executive Vice President</t>
  </si>
  <si>
    <t>Mr. Michael Landenberger serves as Chief Accounting Officer, Controller, Executive Vice President, and Member of the Executive Committee at Greenbacker Capital Management. He serves as Chief Accounting Officer, Controller, Executive Vice President, and Member of Executive Committee at Greenbacker Renewable Energy Company. Before Greenbacker, he served as CAO at a large public company in the senior living industry, where he led the restructuring of the financial accounting, operational accounting, and financial reporting departments. He also served as a member of the Executive Steering Committee and was a departmental leader for several systems implementations. Before that, he worked in the international accounting space, where he gained extensive experience with SEC regulations and financial due diligence practices. He received his BA in Accounting and Information Systems from the University of Massachusetts Amherst and is a Certified Public Accountant.</t>
  </si>
  <si>
    <t>michael.landenberger@greenbackercapital.com</t>
  </si>
  <si>
    <t>Chief Accounting Officer, Controller, Executive Vice President &amp; Member of Executive Committee</t>
  </si>
  <si>
    <t>298042-12P</t>
  </si>
  <si>
    <t>Natallia Camargo</t>
  </si>
  <si>
    <t>Natallia</t>
  </si>
  <si>
    <t>Camargo</t>
  </si>
  <si>
    <t>Chief People Officer &amp; Executive</t>
  </si>
  <si>
    <t>Ms. Natallia Camargo serves as Chief People Officer and Member of Executive Committee at Greenbacker Capital Management. She serves as Chief People Officer and Member of Executive Committee at Greenbacker Renewable Energy Company.</t>
  </si>
  <si>
    <t>natallia.camargo@greenbackercapital.com</t>
  </si>
  <si>
    <t>Chief People Officer &amp; Member of Executive Committee</t>
  </si>
  <si>
    <t>441483-67P</t>
  </si>
  <si>
    <t>Robert Brennan</t>
  </si>
  <si>
    <t>Mr. Robert Brennan serves as Chairman at Greenbacker Renewable Energy Company.</t>
  </si>
  <si>
    <t>robert.brennan@greenbackercapital.com</t>
  </si>
  <si>
    <t>93403-18P</t>
  </si>
  <si>
    <t>Spencer Mash</t>
  </si>
  <si>
    <t>Mash</t>
  </si>
  <si>
    <t>Mr. Spencer Mash serves as Chief Financial Officer, Executive Vice President, and Member of the Executive Committee at Greenbacker Renewable Energy Company. He serves as Managing Director at Greenbacker Capital Management. He also served as Executive Vice President, Structured Finance, and Board Member at Greenbacker Renewable Energy Company. He has experience in structuring, modeling, performing diligence for, and executing transactions such as mergers and acquisitions, investments in private debt securities, and bankruptcy restructurings. Before joining GCM, from 2010 to 2011, Mr. Mash was employed by TM Capital, a boutique investment bank where he focused on sell-side mergers and acquisitions assignments and bankruptcy restructurings. From 2008 to 2009, Mr. Mash was an investment analyst at Gandhara Capital, a long &amp; short hedge fund investing in global large capital public equity. From 2005 to 2008, Mr. Mash was employed by Deerfield Capital Management in its Leveraged Finance Group. Mr. Mash's duties included performing in-depth due diligence and financial analyses, negotiating loan documentation, and monitoring over 20 investments in private middle market first lien, second lien, mezzanine, and one-stop senior secured debt investments. From 2003 to 2005, Mr. Mash was an analyst at Bank of America Merrill Lynch, where he analyzed, structured, and marketed financial sponsor- and mergers and acquisitions-related leveraged loans and high-yield securities. Mr. Mash graduated magna cum laude from The University of Pennsylvania's Wharton School of Business with a Bachelor of Science in Economics with a concentration in Finance and Marketing.</t>
  </si>
  <si>
    <t>+1 (833) 404-4104</t>
  </si>
  <si>
    <t>spencer.mash@greenbackercapital.com</t>
  </si>
  <si>
    <t>PO Box 219255</t>
  </si>
  <si>
    <t>64121-9255</t>
  </si>
  <si>
    <t>Chief Financial Officer, Executive Vice President, and Member of Executive Committee</t>
  </si>
  <si>
    <t>255256-12P</t>
  </si>
  <si>
    <t>Guy Perelmuter</t>
  </si>
  <si>
    <t>Perelmuter</t>
  </si>
  <si>
    <t>GRIDS Capital</t>
  </si>
  <si>
    <t>Mr. Guy Perelmuter is the Co-Founder and serves as Chief Executive Officer at GRIDS Capital. He graduated with a BS (Bachelor of Science) in Computer Engineering (1994) and a MSc (Masters of Science) in Electrical Engineering/Artificial Intelligence (1996).</t>
  </si>
  <si>
    <t>+55 11 3582 2458</t>
  </si>
  <si>
    <t>gperelmuter@gridscapital.com</t>
  </si>
  <si>
    <t>2277 - cj. 1703</t>
  </si>
  <si>
    <t>01452-000</t>
  </si>
  <si>
    <t>255265-21P</t>
  </si>
  <si>
    <t>Isabelle Perelmuter</t>
  </si>
  <si>
    <t>Ms. Isabelle Perelmuter is a Co-Founder &amp; serves as General Partner at GRIDS Capital.</t>
  </si>
  <si>
    <t>iperelmuter@gridscapital.com</t>
  </si>
  <si>
    <t>291274-12P</t>
  </si>
  <si>
    <t>Elisabeth Green</t>
  </si>
  <si>
    <t>Ground Squirrel Ventures</t>
  </si>
  <si>
    <t>Ms. Elisabeth Green serves as Portfolio Lead - Emerging Markets at Ground Squirrel Ventures.</t>
  </si>
  <si>
    <t>+1 (603) 965-5913</t>
  </si>
  <si>
    <t>lis@groundsquirrelventures.com</t>
  </si>
  <si>
    <t>42 Chauncy Street Number 2A</t>
  </si>
  <si>
    <t>Portfolio Lead- Emerging Markets</t>
  </si>
  <si>
    <t>55229-32P</t>
  </si>
  <si>
    <t>Eric Klose</t>
  </si>
  <si>
    <t>Mr. Eric Klose is the Founder &amp; serves as Managing Partner at Ground Squirrel Ventures. Mr. Klose served as Vice President at Wayfair.</t>
  </si>
  <si>
    <t>eric@groundsquirrelventures.com</t>
  </si>
  <si>
    <t>336248-38P</t>
  </si>
  <si>
    <t>Jeffery Moy</t>
  </si>
  <si>
    <t>Mr. Jeffery Moy serves as Managing Director at Ground Squirrel Ventures. Mr. Moy serves as Director, Alternative Investments at Fidelity Charitable. He has completed a Bachelor of Science in Business Administration from Boston University and a Master of Science in Management from the Sloan School of Management at M.I.T.</t>
  </si>
  <si>
    <t>jeff@groundsquirrelventures.com</t>
  </si>
  <si>
    <t>177375-88P</t>
  </si>
  <si>
    <t>Cory Moelis</t>
  </si>
  <si>
    <t>Moelis</t>
  </si>
  <si>
    <t>Ground Up Ventures</t>
  </si>
  <si>
    <t>Mr. Cory Moelis is a Co-Founder and serves as Partner at Ground Up Ventures.</t>
  </si>
  <si>
    <t>+1 (310) 924-0006</t>
  </si>
  <si>
    <t>cory@groundup.vc</t>
  </si>
  <si>
    <t>201 South 18th Street</t>
  </si>
  <si>
    <t>Suite 2417</t>
  </si>
  <si>
    <t>59818-42P</t>
  </si>
  <si>
    <t>David Stark</t>
  </si>
  <si>
    <t>Mr. David Stark is a Co-Founder and serves as Partner at Ground Up Ventures. He served as a Board Member at prooV. He served as a General Partner at OurCrowd. He began his career as an investment analyst at Blackstone in the Real Estate Private Equity group, where he was involved in multiple leveraged buyout acquisitions with a combined value of over $700 million. He served in the Givati Rotem Brigade and finished basic training as the "most exemplary soldier" in his company. He graduated summa cum laude from the Wharton School of the University of Pennsylvania with a B.S. in Economics in 2011.</t>
  </si>
  <si>
    <t>david@groundup.vc</t>
  </si>
  <si>
    <t>195787-45P</t>
  </si>
  <si>
    <t>Jordan Odinsky</t>
  </si>
  <si>
    <t>Odinsky</t>
  </si>
  <si>
    <t>Mr. Jordan Odinsky serves as Partner at Ground Up Ventures.</t>
  </si>
  <si>
    <t>jordan@groundup.vc</t>
  </si>
  <si>
    <t>47848-15P</t>
  </si>
  <si>
    <t>Navot Volk</t>
  </si>
  <si>
    <t>Navot</t>
  </si>
  <si>
    <t>Mr. Navot Volk serves as Venture Partner at Ground Up Ventures. Mr. Navot Volk co-founded and served as Chief Executive Officer at Twang. He served as Managing Director at Microsoft ScaleUp. He was also a Co-Founder &amp; served as the Chief Executive Officer at CrossReader.</t>
  </si>
  <si>
    <t>navot@groundup.vc</t>
  </si>
  <si>
    <t>Jerusalem</t>
  </si>
  <si>
    <t>Jerusalem, Israel</t>
  </si>
  <si>
    <t>333342-01P</t>
  </si>
  <si>
    <t>Umberto Cocco</t>
  </si>
  <si>
    <t>Umberto</t>
  </si>
  <si>
    <t>Cocco</t>
  </si>
  <si>
    <t>Gruppo Brixia</t>
  </si>
  <si>
    <t>Mr. Umberto Cocco serves as Chief Executive Officer at Gruppo Brixia.</t>
  </si>
  <si>
    <t>umberto.cocco@gruppobrixia.it</t>
  </si>
  <si>
    <t>271869-40P</t>
  </si>
  <si>
    <t>Sungene Ryang</t>
  </si>
  <si>
    <t>Sungene</t>
  </si>
  <si>
    <t>Ryang</t>
  </si>
  <si>
    <t>GS Beyond</t>
  </si>
  <si>
    <t>Mr. Sungene Ryang serves as Executive Director &amp; Host at GS Beyond.</t>
  </si>
  <si>
    <t>sryang@gsbeyondenergy.com</t>
  </si>
  <si>
    <t>Executive Director &amp; Host</t>
  </si>
  <si>
    <t>224789-32P</t>
  </si>
  <si>
    <t>Agnieszka Czechowicz</t>
  </si>
  <si>
    <t>Czechowicz</t>
  </si>
  <si>
    <t>GV</t>
  </si>
  <si>
    <t>Dr. Agnieszka Czechowicz serves as Partner at GV. Dr. Czechowicz serves as an Advisor at OccamzRazor. Ms. Czechowicz serves as an Advisor at Ligandal. She is an Assistant Professor at Stanford University. She is a pediatric hematologist/oncologist and sub-focuses on stem cell transplantation. She also runs a translational research group focusing on understanding hematopoietic stem cells and how they interact with their microenvironments. She completed her residency in Pediatrics at Boston Children's Hospital and pursued fellowship training at the Dana Farber Cancer Institute and Lucile Packard Children's Hospital. She consulted for Third Rock ventures and incubated numerous companies including Editas, Magenta Therapeutics, and Global Blood Therapeutics, and currently advises GV. In a record-breaking time, she graduated from Stanford University School of Medicine with an MD/Ph.D. in developmental biology in the Medical Scientist Training Program. She also earned an undergraduate degree with honors from Stanford University, in biological sciences and received the Firestone Medal for her outstanding senior thesis. She is an author of numerous publications, including the first author of a paper published in the November 2007 issue of Science which shows a possible way to eliminate the toxicity of bone marrow transplantation (BMT). This discovery could expand the applications of BMT to include cures for most blood diseases, as well as autoimmune diseases like diabetes. She is in the process of translating these discoveries and developing them into new therapies for patients.</t>
  </si>
  <si>
    <t>+1 (949) 679-3552</t>
  </si>
  <si>
    <t>aneeshka@gv.com</t>
  </si>
  <si>
    <t>94043</t>
  </si>
  <si>
    <t>327278-62P</t>
  </si>
  <si>
    <t>Anika Gupta Ph.D</t>
  </si>
  <si>
    <t>Anika</t>
  </si>
  <si>
    <t>Dr. Anika Gupta serves as Principal at GV. Dr. Gupta focusing on life sciences investments. Before GV, Anika obtained a Ph.D. in bioinformatics and genomics at Harvard University and the Broad Institute of Harvard and MIT, where she leveraged single-cell genomics and statistical genetics to understand the causal basis for diseases like autoimmunity with more precision. Her thesis work with Eric Lander and Soumya Raychaudhuri has been published in the journals Nature Genetics and Proceedings of the National Academy of Sciences. Anika has helped build companies in cell therapy and oncology, and she has contributed to the bioinformatics pipelines for patient stratification at Foundation Medicine and for predicting promising combination immunotherapies at Merck. She holds a B.S. in Computer Science and Molecular Biology from MIT, where she also discovered her zeal for data-driven biomedical innovation through early-stage biotechnology.</t>
  </si>
  <si>
    <t>ganika@gv.com</t>
  </si>
  <si>
    <t>41174-92P</t>
  </si>
  <si>
    <t>Anthony Philippakis Ph.D</t>
  </si>
  <si>
    <t>Philippakis</t>
  </si>
  <si>
    <t>Dr. Anthony Philippakis is a Co-Founder and serves as a Board Member at Verve Therapeutics. He serves as Board Member at EveryONE Medicines. He also serves as a General Partner at GV. He also serves as Board Observer at biomodal, Celsius and Bitterroot Bio. He also serves as a Board Member at Decibel Therapeutics. He also serves as an Institute Scientist at The Broad Institute. He also serves as Board Member at Trace Neuroscience. He also served as Board Observer at Tenaya Therapeutics and Genome Medical. He is a physician, genomicist and data scientist. In 2016 he spearheaded GV's incubation of Verve Therapeutics, working closely with the founding team to apply the power of gene editing to develop a one-time treatment for heart disease. He studied mathematics as an undergraduate at Yale University, followed by a master's in mathematics at Cambridge University. He completed an M.D. at Harvard Medical School and a Ph.D. in biophysics at Harvard, working to develop computational methods for understanding transcriptional regulation. In addition, he completed his medical residency and cardiology fellowship at Brigham and Women's Hospital. He also serves as Board Member at Layer Health.</t>
  </si>
  <si>
    <t>+1 (617) 603-0070</t>
  </si>
  <si>
    <t>anthony@gv.com</t>
  </si>
  <si>
    <t>201 Brookline Avenue</t>
  </si>
  <si>
    <t>Suite 601</t>
  </si>
  <si>
    <t>Verve Therapeutics</t>
  </si>
  <si>
    <t>93125-80P</t>
  </si>
  <si>
    <t>Benjamin Robbins MD</t>
  </si>
  <si>
    <t>Dr. Benjamin Robbins serves as General Partner at GV. Dr. Robbins serves as a Board Observer at Ready (Managed Care). He served as Board Member at CareBridge. He serves as a Board Member at FirstHand, Synapse Health, Oasis Health, Diverge Health, Brightline and Waltz Health. He co-founded a company to monitor drug adherence at a community health center in Boston and a non-profit to operate a school for AIDS orphans in Tanzania. He received his Bachelor of Arts with honors from Dartmouth College and has been recognized multiple times for his social impact work including the Harvard Medical School Dean's community service award, Harvard Medical School Agents of Change seed grant, Harvard Medical School Master Scholar scholarship, and Harvard Business School Social Enterprise fellowship. He serves as a Board Member at Rodin Therapeutics. He is a dual degree student at Harvard Medical School and Harvard Business School.</t>
  </si>
  <si>
    <t>+1 (650) 253-0000</t>
  </si>
  <si>
    <t>ben@gv.com</t>
  </si>
  <si>
    <t>211602-70P</t>
  </si>
  <si>
    <t>Brendan Bulik-Sullivan Ph.D</t>
  </si>
  <si>
    <t>Bulik-Sullivan</t>
  </si>
  <si>
    <t>Dr. Brendan Bulik-Sullivan serves as General Partner at GV. Dr. Bulik-Sullivan also serves as Board Member at Maze, Ventus Therapeutics, Santa Ana Bio and Comanche Biopharma. He serves as Board Observer at Verana Health. Prior to GV, his career focused on applied statistics and machine learning research in genetics and biotechnology. He designed machine learning models for personalized immuno-oncology therapeutics at Gritstone Oncology and developed methods for statistical genetics research at the Broad Institute. His works have been published in high-profile journals including Nature, Science, Nature Biotechnology, and Nature Genetics. He has a B.A. in mathematics from the University of California, Berkeley, and a Ph.D. in statistical genetics from Vrije Universiteit Amsterdam.</t>
  </si>
  <si>
    <t>buliksullivan@gv.com</t>
  </si>
  <si>
    <t>350603-20P</t>
  </si>
  <si>
    <t>Caroline Walters</t>
  </si>
  <si>
    <t>Ms. Caroline Walters serves as Portfolio Operations Manager at GV. She is a program manager for the Portfolio Operations team at GV. Before GV, She worked at Quartet Health, where she served a variety of operating roles including VP of Business Transformation and Chief of Staff. Previously, she worked in clinical research at New York Presbyterian Hospital. She holds a BA from Brown University.</t>
  </si>
  <si>
    <t>caroline@gv.com</t>
  </si>
  <si>
    <t>Portfolio Operations Manager</t>
  </si>
  <si>
    <t>48184-30P</t>
  </si>
  <si>
    <t>Catherine Friedman</t>
  </si>
  <si>
    <t>Ms. Catherine Friedman serves as Executive Venture Partner at GV. Ms. Friedman is a business executive with nearly 40 years of experience across finance, technology, and healthcare. As Executive Venture Partner at GV, she advises the life sciences portfolio and invests across the healthcare continuum. Her interests include adolescent mental health, the full lifespan of women's health, and more equitable systems for the underserved. Before joining GV in 2021, Cathy spent 15 years on the boards of leading public and private life sciences and technology companies. Recently, in addition to her role as board chair at Grail (acquired by Illumina), she has been an independent director at Vividion Therapeutics (acquired by Bayer), Lyell Immunopharma, Seer, Altaba (formerly Yahoo!), Radius Health (acquired by Gurnet Point Capital and Patient Square Capital), and Revolution Healthcare Acquisition Corp. She holds a B.A. in economics from Harvard University and an MBA from The University of Virginia's Darden School of Business. She is a foundation trustee at the Darden School. He serves as Board Member at PeopleOne Health.</t>
  </si>
  <si>
    <t>cathyfriedman@gv.com</t>
  </si>
  <si>
    <t>339168-61P</t>
  </si>
  <si>
    <t>Chris Re</t>
  </si>
  <si>
    <t>Re</t>
  </si>
  <si>
    <t>Mr. Chris Re serves as Advisor at GV. He is an associate professor in the Department of Computer Science at Stanford University. He focuses on statistical machine learning and ML systems as a member of Stanford University's Artificial Intelligence Laboratory (SAIL) faculty. He is also affiliated with the Machine Learning Group. His recent work is to understand how software and hardware systems will change due to machine learning, along with an ongoing interest in solving the most complex challenges in mathematics. He has pioneered research incorporated into scientific and humanitarian efforts, such as the fight against human trafficking. This research also underpins widely used products from the world's most impactful technology companies, including Google Ads, Gmail, YouTube, and Apple. As a repeat entrepreneur, he is the co-founder of four companies based on his research into machine learning systems. These companies include SambaNova Systems and Snorkel AI. Two companies, Lattice (DeepDive) and Inductiv (HoloClean), are now part of Apple. His research contributions have spanned database theory, database systems, and machine learning. His work has won best paper or test-of-time awards at the premier venues in each area. LinkedIn X YouTube Instagram Facebook Privacy Policy News Press Jobs</t>
  </si>
  <si>
    <t>40763-98P</t>
  </si>
  <si>
    <t>Christina Kelleher</t>
  </si>
  <si>
    <t>Kelleher</t>
  </si>
  <si>
    <t>Ms. Christina Kelleher serves as Executive Business Partner at GV. Ms. Kelleher joined GV in September 2011. Prior to joining the team, she was the office manager and executive assistant to the founder/chief creative officer at TOTH+Co, a boutique advertising agency in Cambridge, Massachusetts. Previously, she worked as an event planner at a catering company in Charlestown, Massachusetts, organizing both corporate and social events. She also has experience in the field of public relations, most notably working at Context Marketing in Sausalito, California for the California Milk Advisory Board "Real California Cheese" and "Happy Cows" campaigns. He graduated from Syracuse University with a Bachelor of Science in advertising and a Bachelor of Arts in psychology.</t>
  </si>
  <si>
    <t>kelleher@gv.com</t>
  </si>
  <si>
    <t>Executive Business Partner</t>
  </si>
  <si>
    <t>181537-75P</t>
  </si>
  <si>
    <t>Cigall Kadoch Ph.D</t>
  </si>
  <si>
    <t>Cigall</t>
  </si>
  <si>
    <t>Kadoch</t>
  </si>
  <si>
    <t>Dr. Cigall Kadoch serves as Advisor at GV. Dr. Kadoch was a Co-Founder and a Board Member at Foghorn Therapeutics. She is an assistant professor of pediatric oncology at the Dana-Farber Cancer Institute, assistant professor of biological chemistry and molecular biology at Harvard Medical School, and Institute member and co-director of the epigenomics program at the Broad Institute of MIT and Harvard. She established her independent laboratory in 2014 at the age of 27, immediately following the completion of her Ph.D. studies in cancer biology at Stanford University. She is one of the youngest scientists ever appointed to the Harvard Medical School faculty. She has quickly become a leading expert in chromatin and gene regulation and is internationally recognized for her groundbreaking studies in these areas. She holds a BA in molecular and cellular biology from the University of California, Berkeley, and a Ph.D. in cancer biology from the Stanford University School of Medicine.</t>
  </si>
  <si>
    <t>Foghorn Therapeutics (Former)</t>
  </si>
  <si>
    <t>159934-69P</t>
  </si>
  <si>
    <t>Craig Kornblau</t>
  </si>
  <si>
    <t>Kornblau</t>
  </si>
  <si>
    <t>Mr. Craig Kornblau is a Co-Founder at Size Capital. He served as Board Member &amp; Strategic Advisor at Wonderbly. He serves as an Advisor at GV. He serves as Board Observer &amp; Strategic Advisor at Fuse.ar. He built his career at NBC Universal and Disney, where he spearheaded projects around transformative technology and delivery. He now works closely with venture capital/private equity firms and entrepreneurs. He advises companies on everything from entertainment trends, storytelling, and brand building, to business development, operational logistics, and the convergence of physical and digital businesses. He earned a Bachelor of Science degree from the University of Southern California, Marshall School of Business.</t>
  </si>
  <si>
    <t>craig@size.vc</t>
  </si>
  <si>
    <t>4312 West Jefferson Boulevard</t>
  </si>
  <si>
    <t>Size Capital</t>
  </si>
  <si>
    <t>55257-40P</t>
  </si>
  <si>
    <t>Crystal Huang</t>
  </si>
  <si>
    <t>Ms. Crystal Huang serves as Board Member at Mechanical Orchard. She serves as General Partner at GV. She served as Principal at New Enterprise Associates. She serves as Board Observer at Cacheflow. She served as Board Member at Attest and Fauna. She most recently served as Principal at GGV Capital. While at GGV Capital, she worked closely with many of the firm's portfolio companies, including OpenDoor, Slack, Wish, BigCommerce, Tile, HashiCorp, Unravel Data, BrightWheel, NS1 and Wish, and led or sourced the firm's investments in Bitsight, Headspin and Aptible, among others. She also serves as a Board Member at Vareto. Prior to GGV, She worked in technology investment banking at Blackstone and sales and trading at Goldman Sachs. She was named to Forbes 30 under 30 list for venture capital in 2016 and holds a bachelor's degree from Harvard University.</t>
  </si>
  <si>
    <t>huang@gv.com</t>
  </si>
  <si>
    <t>37196-56P</t>
  </si>
  <si>
    <t>Daniel Lynch</t>
  </si>
  <si>
    <t>Mr. Daniel Lynch serves as Chairman of the Board at Xilio Therapeutics. Mr. Lynch serves as Executive Chairman at Egenesis. Mr. Lynch served as Director at Omega Alpha SPAC. He served as a Chairman at Bluebird Bio. He also serves as a Board member at Sesen Bio. He served as Chairman of the Board at Blueprint Medicines. He served as Board Member at Surface Oncology. He also serves as an Executive Venture Partner at GV. He joined GV in 2021 as an Executive Venture Partner and partners with life sciences CEOs and executives as a trusted advisor. Since 2007, he has advised and served as an executive chair or member of the boards for multiple biopharmaceutical companies, including Stromedix (acquired by Biogen), Avila Therapeutics (acquired by Celgene Corporation), Nimbus Discovery, Edimer Pharmaceuticals, Ember Therapeutics, Proclara Biosciences, Surface Oncology, Sesen Bio (formerly Eleven Biotherapeutics), Xilio Therapeutics, eGenesis Bio, BIND Biosciences, and Blueprint Medicines. He currently serves on the boards of SpringWorks Therapeutics, 2Seventy Bio, and Alpha Omega SPAC. He also served as an entrepreneur in residence and venture partner at Third Rock Ventures and was a senior advisor at the firm until 2021. Previously, he served as CEO and CFO of ImClone Systems Corporation. As CEO, he led the company through a significant turnaround, helping to restore its reputation and secure FDA approval of the novel cancer treatment ERBITUX® (Cetuximab). As CFO, he led negotiations to form a major partnership between ImClone and Bristol-Myers Squibb. Earlier in his career, he held several financial positions at Bristol-Myers Squibb for over 15 years. For five years, he served on the board of directors and the audit committee at U.S. Oncology, Inc. until its acquisition by McKesson in 2010. He received his B.A. in mathematics from Wesleyan University and his M.B.A. from the Darden Graduate School of Business Administration at The University of Virginia.</t>
  </si>
  <si>
    <t>+1 (617) 585-2044</t>
  </si>
  <si>
    <t>50 Hampshire Street</t>
  </si>
  <si>
    <t>Surface Oncology</t>
  </si>
  <si>
    <t>103178-17P</t>
  </si>
  <si>
    <t>Danielle Lewis</t>
  </si>
  <si>
    <t>Ms. Danielle Lewis serves as Executive Business Partner at GV. She joined Google Ventures in April 2014. Prior to joining the team, she spent four years as an executive assistant at TPG Capital, providing support for a partner on their healthcare team. Previously, he was an executive assistant at Highbridge Capital Management, a hedge fund based in New York. He left Highbridge to pursue an MBA from Pepperdine University. He received her Bachelor of Science in management science from the University of California, San Diego.</t>
  </si>
  <si>
    <t>lewis@gv.com</t>
  </si>
  <si>
    <t>55467-37P</t>
  </si>
  <si>
    <t>Dave Munichiello</t>
  </si>
  <si>
    <t>Munichiello</t>
  </si>
  <si>
    <t>Mr. Dave Munichiello serves as Managing Partner at GV. Mr. Munichiello serves as Board Observer at GitLab. He leads the firm's digital investing team, spanning its consumer, enterprise, and frontier practice areas. He prioritizes time spent building long-term relationships with technologists who peak in curiosity, drive, and vision. He is himself deeply curious about data platforms, data science, developer tools, infrastructure, and enterprise software. His investments include Ahana (sold to IBM), Bugsnag (sold to SmartBear), Cockroach, CoreOS (sold to RedHat), DeterminedAI (sold to HPE), GitLab (IPO Nasdaq: GTLB), Jet.com (sold to Walmart), Lattice.io (sold to Apple), Modular, Pixie (sold to NewRelic), Plaid, RedPanda, SambaNova, Segment (sold to Twilio), Slack (IPO, then sold to Salesforce), Snorkel, Upbound, and Wonder. Before GV, he built and led enterprise software product, sales, and operations teams for highly-technical products under pressure in rapidly-changing markets. As an early executive at Kiva Systems, he helped grow its enterprise-enabling robotics and software platform from pre-PMF to $120 million in annual revenue before Amazon purchased it and became Amazon Robotics. He is a combat veteran and former paratrooper who served as a Captain in the U.S. military's most elite units before his startup career. His military leadership roles ranged from running an Air Force technology organization; to serving as an Aide de Camp to the Four Star General running U.S. and NATO Air Forces; to deploying with elite special operations teams worldwide, ensuring they were enabled by the world's most advanced technologies. He holds an MBA from Harvard Business School and a B.S. from Emory University in mathematics and computer science.</t>
  </si>
  <si>
    <t>dave@gv.com</t>
  </si>
  <si>
    <t>406730-89P</t>
  </si>
  <si>
    <t>David Benjamin</t>
  </si>
  <si>
    <t>Mr. David Benjamin serves as Advisor at GV. He is a Team Lead in Google's Creative Lab, where he's worked since 2012. The Creative Lab's job is to help invent Google's future and communicate the company's innovations to the world. In the Creative Lab, he focuses on researching emerging tech, incubating experimental prototypes, and developing new concepts for Google. He's worked on projects involving many of Google's products, including YouTube, Google Maps, Google Play, Google Research/AI, and Ads. His projects range from the "out there" (an AI-powered singing challenge featuring Freddie Mercury) to the more immediately revenue-related (helping build live shopping on YouTube). For several years, he has also been writing about emerging consumer tech and startup trends to several thousand Googlers. His "blog" is used by teams across the company for research, strategy, and idea generation. He graduated from Northwestern University, where he was also the General Manager of WNUR-FM. And yes, despite his obsession with futuristic tech, he still has a soft spot for broadcast radio.</t>
  </si>
  <si>
    <t>277136-47P</t>
  </si>
  <si>
    <t>David Krane</t>
  </si>
  <si>
    <t>Krane</t>
  </si>
  <si>
    <t>Mr. David Krane serves as Chief Executive Officer &amp; Managing Partner at GV. He served as Board Member at Kitchen United Mix. He serves as Board Member at StockX. He balances his time between directing GV's global activities and leading investments. As an investor, he says, "The easy problems have mostly been solved. We're left with complex, long-term challenges that demand strong collaboration and creative thinking." He is most excited by consumer-focused entrepreneurs working to improve critical aspects of our daily lives. His investments include early checks into Uber, StockX, Nothing, Nest, The Bored Ape Yacht Club, and Blue Bottle Coffee.</t>
  </si>
  <si>
    <t>davidk@gv.com</t>
  </si>
  <si>
    <t>203419-00P</t>
  </si>
  <si>
    <t>David Reshef Ph.D</t>
  </si>
  <si>
    <t>Reshef</t>
  </si>
  <si>
    <t>Dr. David Reshef serves as a Venture Partner at GV. Dr. Reshef is a computer scientist, physician, and venture partner at GV, where he focuses on investing at the intersection of machine learning, healthcare, and life sciences. His career has focused on using machine learning to identify and characterize structures in high-dimensional data. His work has been published in high-impact journals, including Science, Proceedings of the National Academy of Sciences, The Journal of Machine Learning Research, and The Annals of Applied Statistics. He has focused on applications across a broad range of fields, including computer-aided diagnostics, disease modeling, high-throughput screens, and immunotherapy. His work was awarded a best thesis award from the Department of Electrical Engineering and Computer Science at MIT. He has also worked on public health initiatives in India, Zambia, and Peru. He holds an M.D. with honors from Harvard Medical School and a Ph.D. in computer science from MIT, where he was a Soros Fellow and a National Science Foundation Fellow. Before that, he studied statistics at the University of Oxford as a Marshall Scholar and computer science at MIT.</t>
  </si>
  <si>
    <t>38648-53P</t>
  </si>
  <si>
    <t>David Schenkein MD</t>
  </si>
  <si>
    <t>Schenkein</t>
  </si>
  <si>
    <t>Dr. David Schenkein serves as General Partnerat at GV. Dr. Schenkein serves as Board Member at Delphia. He serves as Advisor at Resilience (Biotechnology). He serves as Supervisory Board Member at Leyden Labs. He serves as Board Member at Encoded Therapeutics. He serves as Board Member at Aera Therapeutics. He serves as General Partner Denali Therapeutics. He serves as Board Member at BeiGene. He serves as Board Member at Foundation Medicine. He has served as a member of our board of directors since April 2015. He is currently a general partner in GV (Google Ventures). He is also a Director of Agios Pharmaceuticals, a pharmaceuticals company. Previously, he served as President and Chief Executive Officer of Agios Pharmaceuticals from August 2009 to February 2019. From April 2006 to July 2009, he served as a Senior Vice President of Oncology Development at Genentech. He currently serves on the boards of directors of Agios Pharmaceuticals and bluebird bio. Previously, he served on the board of directors of Foundation Medicine. He also currently serves as an adjunct attending physician in haematology at Tufts Medical Center. He received his M.D. from the State University of New York Upstate Medical School and his B.A. in chemistry from Wesleyan University.</t>
  </si>
  <si>
    <t>+1 (650) 866-8547</t>
  </si>
  <si>
    <t>161 Oyster Point Boulevard</t>
  </si>
  <si>
    <t>Denali Therapeutics</t>
  </si>
  <si>
    <t>372575-71P</t>
  </si>
  <si>
    <t>Elena Sakach</t>
  </si>
  <si>
    <t>Sakach</t>
  </si>
  <si>
    <t>Ms. Elena Sakach serves as a Partner at GV. Ms. Sakach served as a Partner at Coatue Management. She came to GV in 2024 from her role as a partner at Coatue, where she led and evaluated investments across all stages, from seed through public markets. "At Coatue I was able to quickly test hypotheses alongside teams of experts with extensive data. That reinforced how I naturally show up - willing to take unpopular stances and build up an understanding of new opportunities from first principles." Elena explains, "I had the fortune of teaming with companies early and being involved as they scaled. Hypergrowth tests both founders and investors - and I bring that perspective to companies that I partner with." Before Coatue, She sharpened her investment skillset in TPG's Software Investing Practice, working across growth investments and private equity. Elena started her career at Goldman Sachs in the TMT Investment Banking Division. Hailing from Midwestern roots, She is driven by deep curiosity in all areas of her life. During sabbaticals, She traveled to Germany and China to learn new languages. She spends 100,000+ minutes a year listening to and curating all genres and types of music. She holds a B.B.A. in Finance with a concentration in Innovation &amp; Design from William &amp; Mary's Raymond A. Mason School of Business and graduated Magna Cum Laude.</t>
  </si>
  <si>
    <t>esakach@gv.com</t>
  </si>
  <si>
    <t>57366-64P</t>
  </si>
  <si>
    <t>Elizabeth Zeratsky JD</t>
  </si>
  <si>
    <t>Zeratsky</t>
  </si>
  <si>
    <t>Ms. Elizabeth Zeratsky serves as Associate General Counsel at GV. Elizabeth advises the digital investing team and has spent over a decade at GV. Before joining GV in 2012, Elizabeth was an associate at Cooley LLP. She counseled institutional investors and a variety of public and private companies on venture capital financings, mergers and acquisitions, and securities transactions. Elizabeth received her Bachelor of Arts and Master of Arts in History from Stanford University and her J.D. from Northwestern University School of Law.</t>
  </si>
  <si>
    <t>liz@gv.com</t>
  </si>
  <si>
    <t>Associate General Counsel</t>
  </si>
  <si>
    <t>40759-12P</t>
  </si>
  <si>
    <t>Erik Nordlander</t>
  </si>
  <si>
    <t>Nordlander</t>
  </si>
  <si>
    <t>Mr. Erik Nordlander serves as General Partner at GV. Mr. Nordlander serves as Board Member at Lightmatter. He serves as a Board Member at Yieldmo. He serves as a Board Member at Dandelion Energy. He serves as Board Observer at Glass. He also served as a Board Member at Carmera and Rocketrip. He is also an Angel Investor. He served as a Board Observer at CTRL-Labs. He holds a Computer Science &amp; Engineering Degree from the Massachusetts Institute of Technology (MIT) and a Computer Science from the University of Cambridge.</t>
  </si>
  <si>
    <t>nordlander@gv.com</t>
  </si>
  <si>
    <t>191318-50P</t>
  </si>
  <si>
    <t>Frederique Dame</t>
  </si>
  <si>
    <t>Frederique</t>
  </si>
  <si>
    <t>Dame</t>
  </si>
  <si>
    <t>Ms. Frederique Dame serves as General Partner at GV. Ms. Dame serves as a Board Member at Allara Health. She serves as a Board Member at Found. She serves as Board Member at Found (Clinics/Outpatient Services). She is also a Board Member at Checkmate, Nanit, and Midi Health. She has spent the past fifteen years building consumer and enterprise products for both public companies and startups in Silicon Valley. She is inspired by passionate entrepreneurs, high-impact products, and urgent execution at scale. Prior to joining GV, he led product and engineering efforts at Uber, where she helped scale the company from 80 employees to over 7,000, and from fourteen cities in four countries, to 400+ in 68 countries - in just four years. During her time at Uber, she spearheaded two strategic programs that focused on building tools to onboard and manage the global driver force, and to support employee growth and productivity worldwide. Previously, she pioneered social at Yahoo!, building online communities and adding user-generated content to their Yahoo! Search and Marketplace products. She subsequently joined Photobucket, and then SmugMug, two online photo-sharing products for which she built social gaming mechanics to engage their audience and drive revenues. She serves on the Board of Directors of both Ubisoft and Les Mills International, bringing her deep expertise in digital customer experience and in scaling products and teams. She holds a Master of Science in Spacecraft Technology and Satellite Communications from University College London and a Master of Science in Telecommunications Engineering from Télécom SudParis.</t>
  </si>
  <si>
    <t>frederique@gv.com</t>
  </si>
  <si>
    <t>39403-27P</t>
  </si>
  <si>
    <t>G. Dolsten Ph.D</t>
  </si>
  <si>
    <t>G.</t>
  </si>
  <si>
    <t>Dolsten</t>
  </si>
  <si>
    <t>Dr. Mikael Dolsten serves as Chief Scientific Officer, President, Member of Portfolio Management Team, Pfizer Research &amp; Development at Pfizer. He serves as an Advisor at GV. Mr. Dolsten serves as a Board Member at Orbis Medicines and Vimian Group and Orogen Therapeutics. He serves as a Board Member at Agilent Technologies.As Chief Scientific Officer, President, Pfizer Research &amp; Development, he focuses on advancing Pfizer's scientific breakthrough leadership in small-molecule medicines, biotherapeutics, gene therapies, and vaccines. He is a member of the Executive Leadership Team and the company's Portfolio Management Team, which governs major pipeline investments and strategic end-to-end R&amp;D priorities. He leads Pfizer Research &amp; Development, focused on discovery and early- and late-stage clinical development for Vaccines, Inflammation and Immunology, Internal Medicine, and Infectious Diseases, as well as Non-Malignant Hematology and Rare Neuromuscular Diseases. He also oversees medical, safety, and regulatory support for the entire pipeline and all commercially available medicines and vaccines, pharmaceutical sciences, and external science and innovation. Prior to joining Pfizer in 2009, he was President of Wyeth Research, where he led scientists involved in all R&amp;D/Medical activities across the US, Europe, and Asia. Before that, he served as Executive Vice President and Head of Worldwide Research for Boehringer Ingelheim from 2003-2008. He earned his PhD in tumor immunology and MD from the University of Lund in Sweden, where he was Adjunct Professor in Tumor Immunology and is a Visiting Professor to advise on science and technology strategies. He is a member of the boards of Agilent Technologies, Research!America, and Vimian. Additionally, he is a member of the Board of Overseers for the Scripps Research Institute and a Foreign Member of The Royal Swedish Academy of Engineering Sciences. Since 2014, he has co-chaired the Accelerating Medicines Partnership with National Institutes of Health (NIH) Director, Francis S. Collins, and now with Principal Deputy Director, Lawrence Tabak. He advised the Obama Administration on regulatory and drug development issues, as well as then Vice President Biden's Cancer Moonshot Initiative to accelerate cancer research. He serves on the PhRMA Research &amp; Development Leadership Forum and, until late 2022, served on the PhRMA Foundation Board of Directors. Through 2019, he was a council member of the Government-University-Industry Research Roundtable.</t>
  </si>
  <si>
    <t>+1 (800) 227-9770</t>
  </si>
  <si>
    <t>Santa Clara</t>
  </si>
  <si>
    <t>Santa Clara, CA</t>
  </si>
  <si>
    <t>5301 Stevens Creek Boulevard</t>
  </si>
  <si>
    <t>95051</t>
  </si>
  <si>
    <t>Vimian Group (Former)</t>
  </si>
  <si>
    <t>117051-58P</t>
  </si>
  <si>
    <t>Gaurav Singal MD</t>
  </si>
  <si>
    <t>Singal</t>
  </si>
  <si>
    <t>Dr. Gaurav Singal serves as Board Member and Advisor at Beacon Biosignals. Dr. Singal also serves as Advisor at GV. Prior to Foundation Medicine, Dr. Singal created software solutions for physicians on the front line at Mass General Brigham to rapidly review patients' medical histories using natural language processing, which ultimately led to a spinout and acquisition by eviCore. He has also founded and led a number of other startups spanning clinical trial analytics, personalized preventive health recommendations, and short-term sublets for medical professionals. Dr. Singal earned his B.S., summa cum laude, in computer science with a focus on AI and machine learning from Columbia University, earned an M.D. with honors from the Harvard-MIT Division of Health Sciences and Technology, and completed residency training in Internal Medicine at Massachusetts General Hospital. He has authored over 20 peer-reviewed publications in journals such as JAMA, Health Affairs, and Cancer Discovery and has been invited to speak at dozens of national and international conferences, including HIMSS, Stanford Big Data, and Personalized Medicine World Conference. Dr. Singal is currently advising a portfolio of companies spanning diagnostics, therapeutics, data science, and venture capital on topics including computational biomedicine, data strategy, and product development. He continues to see patients as a physician at Brigham and Women's Hospital and is on the faculty and Board of Advisors at Harvard Medical School, where he directs a course on health technology and innovation.</t>
  </si>
  <si>
    <t>+1 (800) 952-5210</t>
  </si>
  <si>
    <t>Wharf Road Floor 7</t>
  </si>
  <si>
    <t>Unit 41</t>
  </si>
  <si>
    <t>Beacon Biosignals</t>
  </si>
  <si>
    <t>364171-15P</t>
  </si>
  <si>
    <t>Gina Novak</t>
  </si>
  <si>
    <t>Novak</t>
  </si>
  <si>
    <t>Ms. Gina Novak serves as Controller at GV. Prior to joining GV in 2018, Ms. Novak was a controller at Sequoia Capital where she spent nine years working on their accounting and reporting functions. She started her career in the audit practice at Ernst &amp; Young in Palo Alto where she earned her CPA license (inactive) and spent time on Google's external audit team. She graduated from Santa Clara University with a degree in accounting.</t>
  </si>
  <si>
    <t>gina@gv.com</t>
  </si>
  <si>
    <t>40759-39P</t>
  </si>
  <si>
    <t>Graham Spencer</t>
  </si>
  <si>
    <t>Mr. Graham Spencer serves as Managing Partner, Advisor &amp; GV Fellow at GV. Mr. Spencer co-founded &amp; served as Chief Technology Officer at Excite. He serves as Interim Chief Technology Officer at Synapticure. He was also a co-founder of JotSpot, which was acquired by Google in 2006. In 1999, he left Excite@Home to co-found DigitalConsumer.org, a 50,000-member non-profit consumer organization dedicated to protecting fair-use rights for digital media. He is also on the board of the Santa Fe Institute.</t>
  </si>
  <si>
    <t>spencer@gv.com</t>
  </si>
  <si>
    <t>Managing Partner, Advisor &amp; GV Fellow</t>
  </si>
  <si>
    <t>364171-51P</t>
  </si>
  <si>
    <t>Inga Goldbard JD</t>
  </si>
  <si>
    <t>Inga</t>
  </si>
  <si>
    <t>Goldbard</t>
  </si>
  <si>
    <t>Ms. Inga Goldbard serves as General Counsel at GV. She manages all aspects of the fund's legal operations, advises on deal structures and governance matters, and oversees the fund's compliance and risk management programs. Prior to joining GV in 2018, she was an associate at Fenwick &amp; West LLP. She counseled institutional investors and a variety of venture-backed private companies on debt and equity financings, mergers and acquisitions, and general corporate governance matters. She received her J.D. from the Harvard University School of Law and her bachelor's degree from New York University.</t>
  </si>
  <si>
    <t>igoldbard@gv.com</t>
  </si>
  <si>
    <t>124444-27P</t>
  </si>
  <si>
    <t>Issi Rozen</t>
  </si>
  <si>
    <t>Issi</t>
  </si>
  <si>
    <t>Rozen</t>
  </si>
  <si>
    <t>Mr. Issi Rozen serves as Board Observer at Aera Therapeutics. He serves as a General Partner at GV. He also served as a Board Member at Resonance Medicine. He served as a Board Member at iZotope and Sherlock Biosciences. He serves as a Board Member at Mestag Therapeutics. He served as Chief Business Officer at Broad Institute. He is a Co-Founder and Strategic Advisor at Verve Therapeutics. He serves as a Venture Partner at GV. At the Broad Institute, he is responsible for developing innovative scientific and business collaborations, initiating and establishing new ventures around novel technologies, and overseeing the strategy and licensing of the institute's intellectual property portfolio. Prior to joining Broad, he co-founded several start-ups and led strategy and business development efforts. He also headed the business analysis group at a large biotech company where he was responsible for evaluating in-licensing and M&amp;A opportunities, and analytics and forecasting for commercial products. He is also a former professor at Berklee College of Music. He earned his M.B.A. at MIT Sloan School of Management.</t>
  </si>
  <si>
    <t>issi@gv.com</t>
  </si>
  <si>
    <t>Co-Founder &amp; Strategic Advisor</t>
  </si>
  <si>
    <t>339176-17P</t>
  </si>
  <si>
    <t>Jane Lebkowski</t>
  </si>
  <si>
    <t>Lebkowski</t>
  </si>
  <si>
    <t>Ms. Jane Lebkowski serves as Advisor at GV. She has been actively involved in the development of cell and gene therapies since 1986. She serves as President and Board Member at Regenerative Patch Technologies. From 2013-2017, Jane Lebkowski served as Chief Scientific Officer and President of R&amp;D at Asterias Biotherapeutics Inc. From 1986-1998, Dr. Lebkowski was Vice President of Research and Development at Applied Immune Sciences, where she directed activities to develop T cell-based cancer immunotherapies for solid tumors, hematologic malignancies, and AIDs.</t>
  </si>
  <si>
    <t>+1 (650) 394-5835</t>
  </si>
  <si>
    <t>jane@regenerativepatch.com</t>
  </si>
  <si>
    <t>Portola Valley</t>
  </si>
  <si>
    <t>Portola Valley, CA</t>
  </si>
  <si>
    <t>150 Gabarda Way</t>
  </si>
  <si>
    <t>94028</t>
  </si>
  <si>
    <t>President &amp; Board Member</t>
  </si>
  <si>
    <t>Regenerative Patch Technologies</t>
  </si>
  <si>
    <t>177677-65P</t>
  </si>
  <si>
    <t>Jennifer Cook</t>
  </si>
  <si>
    <t>Ms. Jennifer Cook serves as Board Member at Denali Therapeutics. Ms. Cook serves as Board Member, Chairman of the Compensation &amp; Management Development Committee &amp; Member of the Science and Medicine Committee at Jazz Pharmaceuticals. She serves as an Advisor at GV. She served as a Board member at Ambys Medicines and Gyroscope. Since January 2018 she has served as the Chief Executive Officer of GRAIL. Previously, she was at Roche Pharmaceuticals and Genentech, where she held several senior management positions; from January 2017 to December 2017, she served as Senior Vice President and global Head of Clinical Operations for Roche Pharmaceuticals; from September 2013 to December 2016, she served as Head of Region Europe Pharma for Roche Pharmaceuticals; and from July 2010 to September 2013, she served as the Senior Vice President, Business Unit Head Immunology and Ophthalmology for Genentech. She brings nearly 30 years of biotech experience in executive leadership and a range of operating roles. Previously, she was the CEO at GRAIL, an early cancer detection diagnostic company. Before GRAIL, she was at Roche Pharmaceuticals/Genentech where she held several senior management positions, covering the full lifecycle of product development and commercialization. From 2013 to 2016, she was Head of Region Europe for Roche where she was responsible for the commercial success of Europe and leading more than 5,500 employees across 28 countries. Other key positions during her 25-year tenure at Roche/Genentech included leading Global Clinical Operations, US and Global Portfolio Management, a US Commercial Business Unit, and Market Development. She started her career in research and early development at Genentech a venture-backed startup company. In 2016, she was recognized for her contributions to the healthcare industry and inspirational leadership when she was named Woman of the Year by Healthcare Businesswomen's Association. She holds a B.A. in human biology and an M.S. in biology from Stanford University, as well as an M.B.A. from the Haas School of Business at the University of California, Berkeley.</t>
  </si>
  <si>
    <t>103125-70P</t>
  </si>
  <si>
    <t>Jessica Ashford</t>
  </si>
  <si>
    <t>Ashford</t>
  </si>
  <si>
    <t>Ms. Jessica Ashford serves as Controller at GV. She works on the fund's portfolio reporting and accounting functions. She came to Google Ventures with four prior years of venture capital experience, working as a finance manager at Sequoia Capital and more recently a fund controller at Standish Management. She began her career in audit at PricewaterhouseCoopers LLP in San Jose. Ms. Ashford graduated with a degree in business administration from California Polytechnic State University where she obtained a double concentration in accounting and finance.</t>
  </si>
  <si>
    <t>jessica@gv.com</t>
  </si>
  <si>
    <t>426415-87P</t>
  </si>
  <si>
    <t>Jonathan Sorger</t>
  </si>
  <si>
    <t>Sorger</t>
  </si>
  <si>
    <t>Dr. Jonathan Sorger serves as Advisor at GV. He holds a bachelor's degree in bioengineering from the University of California, San Diego, and a PhD/MBA from Johns Hopkins University, where his research focused on imaging technologies and therapeutics for heart disease.</t>
  </si>
  <si>
    <t>42600-16P</t>
  </si>
  <si>
    <t>Julia Owens Ph.D</t>
  </si>
  <si>
    <t>Owens</t>
  </si>
  <si>
    <t>Dr. Julia Owens served as Chief Executive Officer &amp; President at Ananke Therapeutics. Dr. Owens also serves as Advisor at GV. Dr. Owens is a Co-Founder and serves as the President, Chief Executive Officer and a Board Member at Millendo Therapeutics. She has an extensive background in venture-backed biopharmaceutical companies and particular expertise in pharmaceutical company transactions. Prior to co-founding Millendo, she served as senior vice president, corporate development and strategy at Lycera Corp., where she led the partnering process that led to Lycera's major research partnership with Merck &amp; Co. She also acquired a new platform discovery program for the company and negotiated its partnership with the University of Michigan, moving the company to the North Campus Research Complex. Prior to Lycera, Dr. Owens served as head of business development at QuatRx Pharmaceuticals for six years. There, she established several key partnerships, including one with Shionogi for the approved drug, Osphena®. Earlier in her career, Dr. Owens worked at Tularik Inc. (now Amgen San Francisco) in business development for five years, where she led partnering for the oncology and immunology areas, as well as chaired the company's technology acquisition efforts. Dr. Owens began her business career at the University of California, San Francisco Office of Technology Management. She holds a Ph.D. in biochemistry from the University of California, San Francisco and a B.S. in chemistry and B.A. in molecular and cellular biology from the University of California, Berkeley.</t>
  </si>
  <si>
    <t>Ananke Therapeutics (Former)</t>
  </si>
  <si>
    <t>36554-41P</t>
  </si>
  <si>
    <t>Karim Faris</t>
  </si>
  <si>
    <t>Karim</t>
  </si>
  <si>
    <t>Faris</t>
  </si>
  <si>
    <t>Mr. Karim Faris serves as General Partner at GV. Mr. Faris serves as Board Member at Vareto &amp; FullStory. He serves as Board Observer at Cohesity. He serves as Board Member at Alethea, Push Security, UJET and Censys. He served as Board Member at Incorta, Altana AI, Pangea, Cmd, Veza, and Mabl. He served as a Board Observer at Synack. He also served as Board Member at Headspin. He was a Board Member and served as Advisor at ClearStory Data. He leads Google Ventures' investments in enterprise software, data analytics, and security. He brings over a decade of operational and investment experience to his role. He initially joined Google's corporate development team in 2008, the group responsible for all mergers and acquisitions, and has been at GV since its inception. Prior to Google, he was a venture capitalist at Atlas Venture, where he worked on investments in software and Internet infrastructure. Previously, he was the Director of New Ventures at Level 3 Communications, responsible for evaluating new business opportunities and leading product development for the company's voice services. Earlier in his career, Mr. Faris held various product and marketing roles at Intel, initially on the i486™ and later as product manager for the Pentium® Processor. He started his career at Siemens as a software engineer working on the first vehicle navigation system for BMW. He holds an MBA from Harvard Business School, an M.S. in Electrical Engineering from the University of Michigan, and a B.S. in computer engineering from Brown University.</t>
  </si>
  <si>
    <t>karim@gv.com</t>
  </si>
  <si>
    <t>327300-40P</t>
  </si>
  <si>
    <t>Karthik Ardhanareeswaran</t>
  </si>
  <si>
    <t>Ardhanareeswaran</t>
  </si>
  <si>
    <t>Mr. Karthik Ardhanareeswaran serves as a Partner at GV. Mr. Ardhanareeswaran focuses on life sciences investments. Before GV, he was a Vice President and Quant at D.E. Shaw &amp; Co., where he developed algorithmic trading strategies and statistical models of markets. He also spent time in the firm's business development and high-frequency options trading units. Before D.E. Shaw, he was a stem cell and bioinformatics researcher at the Yale Child Study Center, focused on understanding the pathogenesis of various neurodevelopmental and neuropsychiatric disorders. He completed his undergraduate and graduate work at Yale in Molecular, Cellular, and Developmental Biology.</t>
  </si>
  <si>
    <t>123419-80P</t>
  </si>
  <si>
    <t>Kate Aronowitz</t>
  </si>
  <si>
    <t>Aronowitz</t>
  </si>
  <si>
    <t>Ms. Kate Aronowitz serves as Lead Operations Partner at GV. Ms. Aronowitz served as the Vice President, Design at Wealthfront. As Wealthfront's VP of Design, Kate Aronowitz leads the design team to ensure that products go beyond utility to delight clients. Prior to joining Wealthfront, Kate held leadership positions at three multi-billion dollar software companies. She joined Facebook as its Director of Design in 2008 and contributed to building a world-class team of designers, researchers, engineers and content strategists. Prior to Facebook, Kate was hired as LinkedIn's first Director of Design. Kate began her design career at Amerifit Brands, designing retail corporate identity and packaging, but her focus on interactive design and UX began when she joined eBay in 2000. Kate has been named to Fast Company's Most Creative People in Business and holds a BA in Graphic Design from the Savannah College of Art and Design.</t>
  </si>
  <si>
    <t>aronowitz@gv.com</t>
  </si>
  <si>
    <t>Lead Operations Partner</t>
  </si>
  <si>
    <t>68305-69P</t>
  </si>
  <si>
    <t>Katherine High MD</t>
  </si>
  <si>
    <t>High</t>
  </si>
  <si>
    <t>Dr. Katherine High serves as Board Member at CRISPR Therapeutics. Dr. High serves as Chief Executive Officer at Rhygaze. She also serves as Advisor at GV. Dr. High also serves as Board Member at Virion Therapeutics, Tr1x &amp; Incyte Corporation. Dr. High, age 68, served as President of Spark Therapeutics, Inc., a gene therapy company, from September 2014 until February 2020 and served as Head of Research and Development of Spark from September 2017 until February 2020. From September 2014 through September 2017, Dr. High served as the Chief Scientific Officer of Spark. Prior to serving as President of Spark, Dr. High provided advice to Spark and subsequently served as an independent consultant to Spark from December 2013 to September 2014. From July 1999 through September 2014, Dr. High was a Professor at the Perelman School of Medicine at the University of Pennsylvania. From March 2003 through September 2014, Dr. High was an Investigator at the Howard Hughes Medical Institute. Dr. High served as the Director of the Center for Cellular and Molecular Therapeutics at Children's Hospital of Philadelphia from September 2004 to April 2014. Dr. High served on the board of directors of Spark from September 2014 until its acquisition in December 2019. She received her A.B. in chemistry from Harvard University and an M.D. from the University of North Carolina School of Medicine. She is an elected member of the National Academy of Medicine (US), the American Academy of Arts and Sciences, the Royal College of Physicians (London), and the National Academy of Sciences (US). Dr. High was just awarded the ASGCT's prestigious Jerry Mendell Award for Translational Science which recognized her "extensive work required to bring gene and cell therapies to clinical trial".</t>
  </si>
  <si>
    <t>+1 (855) 446-2983</t>
  </si>
  <si>
    <t>Wilmington</t>
  </si>
  <si>
    <t>Wilmington, DE</t>
  </si>
  <si>
    <t>1801 Augustine Cut-off</t>
  </si>
  <si>
    <t>19803</t>
  </si>
  <si>
    <t>Incyte</t>
  </si>
  <si>
    <t>327301-66P</t>
  </si>
  <si>
    <t>Kevin Marks Ph.D</t>
  </si>
  <si>
    <t>Dr. Kevin Marks is a Co-Founder and serves as Chief Executive Officer, President &amp; Board Member at Delphia Therapeutics. Dr. Marks serves as Advisor at GV. He brings two decades of experience as a cancer drug hunter to his role at Delphia as president, CEO, and member of the board of directors. Previously, he served as head of oncology drug discovery at Novartis Institutes for Biomedical Research. There, he served on the oncology leadership team and led a broad team of oncology scientists to advance an innovative portfolio of first-in-class medicines. Before that, he was vice president and head of biology at Agios Pharmaceuticals, where he led research spanning oncology, immuno-oncology, and rare genetic diseases. He joined as one of the initial employees at Agios, where he championed advances in science, organization, and culture over a nearly 12-year tenure. During this time, he contributed to three medicines (IDHIFA, TIBSOV, O, and PYRUKYND), which progressed from concept to clinic to FDA approval. Before Agios, he served in scientific roles at Makoto Life Sciences and Curis, where he applied chemical biology approaches to drug previously intractable targets. He holds a B.A. in cell biology from Cornell University and a Ph.D. in molecular pharmacology from Stanford University.</t>
  </si>
  <si>
    <t>kevin.marks@delphiatx.com</t>
  </si>
  <si>
    <t>1400 One Kendall Square</t>
  </si>
  <si>
    <t>Suite 14-302</t>
  </si>
  <si>
    <t>Delphia Therapeutics</t>
  </si>
  <si>
    <t>426306-79P</t>
  </si>
  <si>
    <t>Kieran English</t>
  </si>
  <si>
    <t>Ms. Kieran English serves as Network Development Partner at GV. Ms. English focuses on strategically building, developing, and enhancing relationships across the biotech ecosystem. She counsels life sciences portfolio companies as they recruit talent, build organizational capabilities, and develop leadership and culture. Her approach is to invest time in getting to know candidates, sometimes over a period of years. "You have to nurture these relationships," she says. "I strive to get a sense of the people I'm working with and the environments where they will be most successful. I want to know what motivates them. And when the right opportunity comes along for them at the right time, I can make the introduction." Before GV, Kieran was a Partner at leading global executive search firms Spencer Stuart and Russell Reynolds Associates. She focused on senior executive and board director searches and worked alongside board members, investors, and advisors on leadership and talent initiatives. Earlier in her career, Kieran was director of business development at Geron Corporation, responsible for licensing deals, corporate partnerships, and acquisitions. She also held business development roles within Novartis/Chiron. During her tenure, Kieran focused on mergers and acquisitions in oncology and infectious disease areas, licensing deals in the blood safety space, and strategic opportunities in the molecular diagnostic industry. Kieran also lived in Paris and was responsible for Chiron's geographic expansion of blood testing products into emerging markets. As a former executive in the industry, Kieran brings a first-hand understanding of healthcare leaders' challenges and opportunities. She received her B.A. in English literature from Manhattan College and her MBA in finance from Fordham University.</t>
  </si>
  <si>
    <t>Network Development Partner</t>
  </si>
  <si>
    <t>40764-88P</t>
  </si>
  <si>
    <t>Kim Burr</t>
  </si>
  <si>
    <t>Burr</t>
  </si>
  <si>
    <t>Ms. Kim Burr serves as Chief Financial Officer at GV. She leads the fund's portfolio reporting and accounting functions. She joined the team in 2010 and previously worked in finance roles at Sequoia Capital and BlueRun Ventures. Kim started her career at Deloitte &amp; Touche in Los Angeles, where she earned her CPA license (inactive) and spent time in Deloitte's Sydney office before moving back to the Bay Area. Kim graduated from the University of California, Los Angeles, with a degree in business economics and a minor in accounting.</t>
  </si>
  <si>
    <t>burr@gv.com</t>
  </si>
  <si>
    <t>158028-76P</t>
  </si>
  <si>
    <t>KJ Sidberry</t>
  </si>
  <si>
    <t>KJ</t>
  </si>
  <si>
    <t>Sidberry</t>
  </si>
  <si>
    <t>Mr. KJ Sidberry serves as Partner at GV. Mr. Sidberry served as Principal at Forerunner Ventures. Mr. Sidberry serves as a Board Member at Home From College. He focuses on early-stage consumer companies. Growing up in two separate households, he developed a deep appreciation for entrepreneurship (his father's focus) and education (his mother's). After academically pursuing neurobiology and computer science, he combines his studies with his upbringing to connect more deeply with entrepreneurs and solve the most salient consumer needs. Before joining GV, he was an investor at Forerunner Ventures, where he worked with high-growth early-stage startups, including A-Frame, Alkeme, Oura, Kinly, Loupe, and others. He is also a recovering consultant and worked at Accenture and The Boston Consulting Group. He performed pricing strategy, due diligence, industry analysis, and growth planning for leading technology-focused enterprises. He earned a B.A. in computer science from Harvard University.</t>
  </si>
  <si>
    <t>kj@gv.com</t>
  </si>
  <si>
    <t>34856-56P</t>
  </si>
  <si>
    <t>Krishna Yeshwant MD</t>
  </si>
  <si>
    <t>Yeshwant</t>
  </si>
  <si>
    <t>Dr. Krishna Yeshwant serves as Managing Partner at GV. Dr. Yeshwant served as a Board Member at Quartet Health. He serves as Board Member at LifeMine. He serves as a Board Member at Element Science. He serves as a Board Observer at Insitro. He served as an Advisor &amp; Board Member at PatientPing. He is a Board Member of Infinitus and EQRx, Verve Therapeutics, Spotlight Therapeutics, LifeMine, and ROME Therapeutics. He served as Board Member at One Medical. He first joined Google as part of the new business development team. He has a B.S. in computer science from Stanford University. He also earned an M.D. from Harvard Medical School and an MBA from Harvard Business School. He is a physician, programmer, and entrepreneur who has been working with GV since its inception. He first joined Google as part of the New Business Development team. Before Google, he helped start an electronic data interchange company that was acquired by Hewlett-Packard and a network security company that was acquired by Symantec. He served as Board Member at Verana Health.</t>
  </si>
  <si>
    <t>krishna@gv.com</t>
  </si>
  <si>
    <t>339162-76P</t>
  </si>
  <si>
    <t>Luna Schmid</t>
  </si>
  <si>
    <t>Schmid</t>
  </si>
  <si>
    <t>Ms. Luna Schmid serves as Partner at GV. She serves as a Board Member at StackOne. Previously, she worked on the investment teams at Summit Partners' Venture Capital Fund and SoftBank's Vision Fund, where she specialized in early and late-stage technology investments. Before Softbank, she worked at Warburg Pincus, investing in late-stage buyouts across industries. She started her career in investment banking at Morgan Stanley. She holds a B.S. in finance and international business from NYU's Stern School of Business and minored in computer science and mathematics.</t>
  </si>
  <si>
    <t>luna@gv.com</t>
  </si>
  <si>
    <t>EC1R 5EQ</t>
  </si>
  <si>
    <t>426307-87P</t>
  </si>
  <si>
    <t>Maggie Moran</t>
  </si>
  <si>
    <t>Ms. Maggie Moran serves as Executive Business Partner at GV. Previously, Ms.Moran spent over seven years supporting teams and events at Google Cloud Health and Verily Life Sciences. She graduated from Elon University in North Carolina with a B.A. in Strategic Communications and Political Science.</t>
  </si>
  <si>
    <t>maggie@gv.com</t>
  </si>
  <si>
    <t>38222-92P</t>
  </si>
  <si>
    <t>Maia Josebachvili</t>
  </si>
  <si>
    <t>Maia</t>
  </si>
  <si>
    <t>Josebachvili</t>
  </si>
  <si>
    <t>Ms. Maia Josebachvili serves as Business Lead of Enterprise Product at Stripe. Ms. Josebachvili is also a Trustee at Dartmouth College. She serves as an Advisor at GV. Before Stripe, she was the Founder and CEO of Urban Escapes, an e-commerce travel company. She was honored as Inc's 30 under 30, and eventually sold the startup to LivingSocial, where she served as GM of New Business Initiatives and incubated three different businesses. She later served as CMO and VP of Strategy &amp; People at Greenhouse. During her time there, she wrote a widely circulated whitepaper on how to measure the ROI of investing in people, and Greenhouse was honored as the #1 Best Place to Work by Glassdoor. Before her tech career, she also had a short stint as a professional skydiver. She received her bachelor's in engineering from Dartmouth College and remains active with the school, serving on the Board of the Center for Entrepreneurship.</t>
  </si>
  <si>
    <t>+1 (888) 820-7551</t>
  </si>
  <si>
    <t>maia@stripe.com</t>
  </si>
  <si>
    <t>354 Oyster Point Boulevard</t>
  </si>
  <si>
    <t>Business Lead of Enterprise Product</t>
  </si>
  <si>
    <t>Stripe</t>
  </si>
  <si>
    <t>67908-88P</t>
  </si>
  <si>
    <t>Mandy Kakavas</t>
  </si>
  <si>
    <t>Kakavas</t>
  </si>
  <si>
    <t>Ms. Mandy Kakavas serves as Partner &amp; Head of Coomunication at GV. She oversees marketing and brand initiatives, external and internal firm communications, portfolio storytelling, reputation management, content, and social and digital platforms. She joined GV in 2012 and has spent the past decade partnering with the firm's executives and portfolio founders. She has worked across an eclectic array of integrated marketing campaigns, large-scale events, and community initiatives, including promoting the New York Times bestseller Sprint and launching GV's podcast Theory &amp; Practice. Her experience includes embedded in-house communications projects for portfolio companies. Before joining GV, she worked at The OutCast Agency. She advised public and private technology companies and venture capital firms, including Salesforce and Khosla Ventures, and worked with Zynga through the company's IPO. Previously, she worked in technology communications at Fleishman-Hillard and Horn Group, with clients including Cisco WebEx and Riverbed Technology. She received a B.A. in mass communications from the University of California, Berkeley.</t>
  </si>
  <si>
    <t>mk@gv.com</t>
  </si>
  <si>
    <t>Head, Marketing</t>
  </si>
  <si>
    <t>428006-17P</t>
  </si>
  <si>
    <t>Mandy Stolpa</t>
  </si>
  <si>
    <t>Stolpa</t>
  </si>
  <si>
    <t>Ms. Mandy Stolpa serves as Partner &amp; Head of Communications at GV. Ms. Stolpa is a communications leader with 18 years of experience working with high-growth technology companies, healthcare startups, and venture capital firms. She joined GV in 2012 to help lead the firm's early communications efforts and support its portfolio. As Partner &amp; Head of Communications, He oversees external and internal communications, portfolio PR, and reputation management. She has held several roles on the marketing team and has experience spearheading integrated marketing campaigns, large-scale events, and community initiatives. Her experience also includes embedded in-house communications projects for portfolio companies. "Parachuting into high-growth startups at transformative brand moments creates incredible learning opportunities," she says. "I look to pattern match when it comes to trends in media, storytelling, and building effective communication programs, and apply those lessons to my work with founders." Before joining GV, He worked in technology communications on the agency side for six years at The OutCast Agency, Horn Group (acquired by Finn Partners), and Fleishman-Hillard. Previously, she worked in editorial at Glam.com and field marketing at Terry Hines &amp; Associates, representing Lionsgate and New Line Cinema. He received a B.A. in mass communications from the University of California, Berkeley. In her spare time, she has worked as a volunteer mentor for Built By Girls WAVE and served on the advisory board for Girls in Tech, where she led the Girls in Tech University program. She resides in the San Francisco Bay Area with her husband and is training for her eighth half marathon.</t>
  </si>
  <si>
    <t>Partner &amp; Head of Communications</t>
  </si>
  <si>
    <t>191140-93P</t>
  </si>
  <si>
    <t>Margaret Mckenna</t>
  </si>
  <si>
    <t>Mckenna</t>
  </si>
  <si>
    <t>Ms. Margaret Mckenna serves as Board Member at Zarminali Pediatrics. She serves as an Advisor at GV. She is an advisory partner on the a16z Bio + Health team at Andreessen Horowitz. She served as Co-Chief Technology Officer at Devoted Health. She co-founded and served as Chief Technology Officer at Pepperlane. Ms. Mckenna is a technology leader with experience across many industries and organizations. Previously, she led Engineering for the Broad Institute's Data Science Platform organization, served as VP of Platforms at Runkeeper (acquired by ASICS), and took her hand at founding a company as co-founder and CTO of Pepperlane. Most recently, she was VP of Platforms at Runkeeper where she led data, infrastructure, and back-end engineering while pursuing her passion for running. She earned her undergraduate degree from Columbia University and her master's degree from New York University's Interactive Telecommunications Program (ITP).</t>
  </si>
  <si>
    <t>Zarminali Pediatrics</t>
  </si>
  <si>
    <t>339185-80P</t>
  </si>
  <si>
    <t>Melissa McLaughlin</t>
  </si>
  <si>
    <t>McLaughlin</t>
  </si>
  <si>
    <t>Ms. Melissa McLaughlin serves as Advisor at GV. She is the former Chief People Officer at Agios Pharmaceuticals, where she helped build the company and led HR for seven years. Before that, she served as Vice President, Human Resources at Expedia Group - the world's largest travel technology company. In this role, she was responsible for HR strategy and execution across 39 different countries and multiple brands. She previously served in HR leadership roles with Johnson &amp; Johnson and The Gillette Company. She currently works as an advisor to GV's portfolio companies and a number of scaling biotech and technology organizations. She is also a member of the Board of Directors at Lumicks, a global life science tools company. She earned a Bachelor's degree in human resources management from Boston College, Carroll School of Management, and a Master's degree from INSEAD.</t>
  </si>
  <si>
    <t>40761-91P</t>
  </si>
  <si>
    <t>Michael Margolis</t>
  </si>
  <si>
    <t>Mr. Michael Margolis serves as UX Research Partner at GV. Since 1990, Michael has helped companies design products based on new insights about their customers. After stints at The Learning Company, Electronic Arts, and America Online, Michael consulted with a wide variety of companies, such as Alcoa, DuPont, Ericsson, Incyte, Palm, Maytag, Unilever, and Sun Microsystems. After the dot-com bust, Michael joined Walmart.com, where he spearheaded user research that helped design and grow many new online and cross-channel businesses. In 2006, Michael started at Google as a staff user experience researcher, where he conducted research for Gmail and Google Talk, led the UX research team for Google Apps, and managed the user experience team in Google's Seattle and Kirkland offices. In 2010, he was called up to the Google Ventures Design Studio. Michael earned his bachelor's and master's degrees in anthropology from Stanford University. After many years in the San Francisco Bay Area, Michael is living happily ever after in the Seattle area.</t>
  </si>
  <si>
    <t>margolis@gv.com</t>
  </si>
  <si>
    <t>UX Research Partner</t>
  </si>
  <si>
    <t>60976-90P</t>
  </si>
  <si>
    <t>Michael McBride</t>
  </si>
  <si>
    <t>Mr. Michael McBride serves as Chief Revenue Officer at GitLab. He serves as General Partner at GV. He served as Senior Vice President, Worldwide Field Operations at Lookout. He served as an Advisor to the CEO at ShoCard. After starting out in mechanical engineering (long before drones and self-driving cars were a thing), he has spent his career in software, wireless and mobile. From startups to public companies, he has helped build and scale technology companies for more than 20 years. He has created and led worldwide sales organizations from scratch at companies including Lookout (cybersecurity) and Meraki (cloud managed networking) and led product teams at Good Technology (mobile). He helped start a social gaming company which was acquired by Japanese gaming giant DeNA where he ran worldwide platform and experienced the highs of serving hundreds of millions of users playing against one another and the lows of refactoring the giant perl monolith behind it all. If you used BeOS, he thinks you're cool and fondly remembers working with the incredible team at Be, Inc. He loves to be outside, plays soccer, coaches youth lacrosse and skis with his wife and two sons. He is 100% confident that both of his sons will work in a distributed organization as they grow up and that GitLab will be the new example of how highly effective and large scale companies run and grow. He serves as Board Member at Cribl.</t>
  </si>
  <si>
    <t>mmcbride@gitlab.com</t>
  </si>
  <si>
    <t>GitLab (Former)</t>
  </si>
  <si>
    <t>265308-49P</t>
  </si>
  <si>
    <t>Mojca Skoberne Ph.D</t>
  </si>
  <si>
    <t>Mojca</t>
  </si>
  <si>
    <t>Skoberne</t>
  </si>
  <si>
    <t>Dr. Mojca Skoberne serves as Entrepreneur-in-Residence at GV. She focuses on building organizations and transformational therapies anchored in understanding the immune system-tissue interactions. Before GV, she worked at multiple startup companies focused on decoding the immune system to develop therapeutics and bring them to patients across disease areas. She was SVP and Head of Immunology and Early Development at Cogen, which merged with Torque Therapeutics to form Repertoire Immune Medicines, a clinical-stage company. At Repertoire, she led the discovery and development of cell therapies in oncology and autoimmune diseases. Before Cogen, she had leadership roles at Gritstone Oncology, where she developed neoantigen cancer vaccines and TCR-T therapies, and Genocea Biosciences, where she developed cancer and infectious disease vaccines. She has a B.S. in Molecular Biology from the University of Ljubljana in Slovenia. She split her thesis work between Heidelberg and Ljubljana Universities and earned a Ph.D. in Medical Sciences. She completed her postdoctoral training at Rockefeller University and at NYU.</t>
  </si>
  <si>
    <t>skoberne@gv.com</t>
  </si>
  <si>
    <t>154747-63P</t>
  </si>
  <si>
    <t>Nadia Rawlinson</t>
  </si>
  <si>
    <t>Rawlinson</t>
  </si>
  <si>
    <t>Ms. Nadia Rawlinson serves as a Board Member at Vail Resorts (NYSE: MTN). She is a corporate Board Director, Fortune 500, and Silicon Valley Chief Human Resources Officer. She currently is an advisor with GV (Google Ventures) on the Digital Investment team and serves on the boards of J.Crew Group. She is also a member of the Stanford University Board of Trustees. She also served as a Board Member at Save the Children Federation. Over the past 20+ years, she built a career of exceptional experience across all facets of human resources strategy and development on a global scale. Most recently, she was the Chief People Officer for Slack Technologies (formerly NYSE: WORK) the industry leader in collaboration software - "Slack is your new digital HQ." In July 2021, Slack was acquired by Salesforce for $27.7 billion in one of the largest and most significant public-to-public deals in Silicon Valley history. In that capacity, she was responsible for Slack's employee and workplace operations, including designing the Future of Work both in thought leadership and in practice. Prior to Slack, she served as the Chief Human Resources Officer for Live Nation Entertainment, the Fortune 500 global leader in the live events industry. As CHRO, she oversaw Human Resources strategy and development for Live Nation's 35,000 employees. She is known for developing differentiated people programs, including a student loan repayment benefit that was a first in the industry and featured in Bloomberg Businessweek. Under her leadership, Live Nation was certified as a Great Place to Work® for the first time in 2016 and every year during her tenure, Forbes Magazine's list for Best Companies for Diversity, as well as being honored as part of a small cadre of organizations to People Magazine's Companies that Care. Prior to Live Nation, she led Human Resources teams for Rakuten Americas and Groupon, respectively. In her downtime, she is chairwoman of the CHRO Board Academy and actively involved in her alma maters in various leadership capacities. She resides with her husband David in Chicago and their two jazz-inspired pups, Miles and Herbie. She received her BA from Stanford University and MBA from Harvard Business School.</t>
  </si>
  <si>
    <t>+1 (303) 404-1800</t>
  </si>
  <si>
    <t>Broomfield</t>
  </si>
  <si>
    <t>Broomfield, CO</t>
  </si>
  <si>
    <t>390 Interlocken Crescent</t>
  </si>
  <si>
    <t>80021</t>
  </si>
  <si>
    <t>+1 (303) 404-6415</t>
  </si>
  <si>
    <t>Vail Resorts</t>
  </si>
  <si>
    <t>57375-91P</t>
  </si>
  <si>
    <t>Nancy Thornberry</t>
  </si>
  <si>
    <t>Thornberry</t>
  </si>
  <si>
    <t>Ms. Nancy Thornberry is a Founding CEO and serves as Chairman of Research and Development &amp; Board Member at Kallyope. Ms. Thornberry also serves as the Board Member at Adimab. She serves as Board Member at Schrödinger. She serves as an Advisor at GV. She also served as Senior Vice President and Franchise Head, Diabetes and Endocrinology at Merck. She was formerly Senior Vice President and Franchise Head, Diabetes and Endocrinology, at Merck &amp; Co. Inc. In this role, she led discovery and clinical research in diabetes, osteoporosis, fertility, and contraception. Prior to her role as Franchise Head, he initiated and was a leader of Merck's dipeptidyl peptidase 4 (DPP-4) project, which resulted in the discovery of JANUVIA® for the treatment of Type 2 diabetes. Among other notable scientific accomplishments is the identification of the first caspase, interleukin-1β converting enzyme (ICE/caspase-1). For her scientific contributions, she has received numerous awards, including the Merck Presidential Fellowship, Merck Directors Award, Heroes of Chemistry Award by the American Chemical Society, and in 2011 received the Pharmaceuticals Research and Manufacturers of America (PhRMA) Discoverers Award, which honors research scientists whose work has been of special benefit to humankind. In addition to her role at Kallyope, she served as a Director at Intarciaf. She also serves as Scientific Advisory Board Member at Hatteras Venture Partners.</t>
  </si>
  <si>
    <t>+1 (646) 475-4385</t>
  </si>
  <si>
    <t>nancy@kallyope.com</t>
  </si>
  <si>
    <t>430 East 29th Street</t>
  </si>
  <si>
    <t>Founding Chief Executive Officer ,Chairman of Research and Development &amp; Board Member</t>
  </si>
  <si>
    <t>Kallyope</t>
  </si>
  <si>
    <t>147355-39P</t>
  </si>
  <si>
    <t>Natalie Sanchez</t>
  </si>
  <si>
    <t>Ms. Natalie Sanchez serves as Assistant Controller at GV. Before joining GV, She was a senior fund accountant at Sequoia Capital. Previously, she worked as an assurance associate at PricewaterhouseCoopers LLP, where she audited clients in life science and venture capital. She graduated from Santa Clara University with a degree in finance and an emphasis in accounting.</t>
  </si>
  <si>
    <t>sanchez@gv.com</t>
  </si>
  <si>
    <t>Assistant Controller</t>
  </si>
  <si>
    <t>70045-21P</t>
  </si>
  <si>
    <t>Nathan Amchan</t>
  </si>
  <si>
    <t>Amchan</t>
  </si>
  <si>
    <t>Advisor &amp; Manager</t>
  </si>
  <si>
    <t>Mr. Nathan Amchan serves as Senior Manager &amp; Portfolio Advisor at GV. Nate joined GV from Alphabet. Previously, he was an accountant at PricewaterhouseCoopers LLP, where he earned his CPA license (inactive) and spent time in both its audit and consumer-finance practices. Nate graduated magna cum laude from The Ohio State University with a double major in accounting and finance. Nate is a CFA charterholder.</t>
  </si>
  <si>
    <t>nate@gv.com</t>
  </si>
  <si>
    <t>Senior Manager &amp; Portfolio Advisor</t>
  </si>
  <si>
    <t>406723-15P</t>
  </si>
  <si>
    <t>Nicole Gaudelli Ph.D</t>
  </si>
  <si>
    <t>Gaudelli</t>
  </si>
  <si>
    <t>Dr. Nicole Gaudelli serves as Entrepreneur-in-Residence at GV. Dr. Gaudelli is a life sciences entrepreneur in residence and joined the GV team in 2024. She focuses on the interface of chemistry and biology with a particular emphasis on harnessing the principles of organic chemistry to enable the creation of precision genetic medicines. She earned her Ph.D. in chemistry from Johns Hopkins University, in the laboratory of Professor Craig Townsend, where she studied monocyclic beta-lactam antibiotics and elucidated the mechanism through which they are biosynthesized. She completed her postdoctoral fellowship at Harvard University and the Broad Institute of MIT and Harvard in the laboratory of Professor David Liu, where she expanded the capabilities of base editing technology by inventing and creating the first adenine base editor (ABE) through directed evolution and engineering. Her doctoral and postdoctoral work culminated in prominent Nature publications in the fields of natural product chemistry and gene editing, and her foundational patent in adenine base editing was licensed by Beam Therapeutics and Verve Therapeutics.</t>
  </si>
  <si>
    <t>ngaudelli@gv.com</t>
  </si>
  <si>
    <t>35848-81P</t>
  </si>
  <si>
    <t>Oyekunle Olukotun Ph.D</t>
  </si>
  <si>
    <t>Oyekunle</t>
  </si>
  <si>
    <t>Olukotun</t>
  </si>
  <si>
    <t>Dr. Kunle Olukotun is a Co-Founder and serves as Chief Technologist &amp; Board Member at SambaNova Systems. He serves as an Advisor at Efficient. He serves as Advisor at DBtune. He serves as an Advisor at GV. He also serves as Advisor at Tau Ventures. He founded Afara Websystems, acquired by Sun in 2002. He is a Pioneer of Chip Multiprocessor Designs, Director of the Stanford Pervasive Parallelism Lab, and Co-leader of the Data Analytics for What's Next (DAWN) research program. He is a Co-Founder and serves as Chief Scientist &amp; Board Member at Migo. He received his Ph.D. in Computer Engineering from The University of Michigan. He serves as an Advisor at eLab Ventures.</t>
  </si>
  <si>
    <t>+1 (650) 263-1153</t>
  </si>
  <si>
    <t>kunle.olukotun@sambanova.ai</t>
  </si>
  <si>
    <t>2200 Geng Road</t>
  </si>
  <si>
    <t>94303</t>
  </si>
  <si>
    <t>Co-Founder, Chief Technologist &amp; Board Member</t>
  </si>
  <si>
    <t>SambaNova Systems</t>
  </si>
  <si>
    <t>43908-13P</t>
  </si>
  <si>
    <t>Richard Scheller Ph.D</t>
  </si>
  <si>
    <t>Scheller</t>
  </si>
  <si>
    <t>Dr. Richard Scheller serves as Chairman at BridgeBio Pharma. Dr.Scheller serves as Board Member &amp; Scientific Advisor at Xaira Therapeutics. He serves as Board Member &amp; Chairman of Scientific Advisory Board at Aarvik Therapeutics. He serves as an Advisor at GV. He serves as Board Member at Maze (California). He serves as Chairman at DICE Therapeutics.He serves as Board Member and Advisor at Trace Neuroscience. He served as Chief Scientific Officer &amp; Head of Therapeutics at 23andMe. He also serves as Science Partner at The Column Group. He also serves on the Board of Xenon Pharmaceuticals and Rafael Pharmaceuticals. Previously, Dr. Scheller was the Executive Vice President of Research and Early Development and a member of the Executive Committee at Genentech, Inc. from February 2001 to December 2014. From January 2009 to December 2014, Dr. Scheller was also a member of the Enlarged Executive Committee at Hoffmann-La Roche Ltd. Since February 2015, Dr. Scheller has served as a member of the Board of Directors for ORIC Pharmaceuticals, Inc., a biopharmaceutical company. Since June 2015, Dr. Scheller has served as a member of the Board of Directors for Affinita Biotech, Inc. Dr. Scheller holds a B.Sc. in Biochemistry from the University of Wisconsin-Madison and a Ph.D. in Chemistry from the California Institute of Technology. He completed his post-doctorate in Molecular Neurobiology at Columbia University. He served as Board Member at Cornerstone Pharmaceuticals.</t>
  </si>
  <si>
    <t>+1 (650) 850-5070</t>
  </si>
  <si>
    <t>171 Oyster Point Boulevard</t>
  </si>
  <si>
    <t>Maze Therapeutics</t>
  </si>
  <si>
    <t>35504-02P</t>
  </si>
  <si>
    <t>Robert Copeland Ph.D</t>
  </si>
  <si>
    <t>Copeland</t>
  </si>
  <si>
    <t>Dr. Robert Copeland is a Co-Founder and serves as President &amp; Chief Scientific Officer at Accent Therapeutics. He serves as an Advisor at GV. He served as an Executive Vice President &amp; Chief Scientific Officer at Epizyme. He also served as a Board Member at Disarm. He was formerly President of Research and Chief Scientific Officer of Epizyme, Inc., and before that, Vice President of Cancer Biology in the Oncology Center of Excellence in Drug Discovery at GlaxoSmithKline. He also serves as a Venture Partner at Atlas Venture. He has contributed to drug discovery and development efforts leading to 18 investigational new drugs entering human clinical trials. These include the cancer drugs foretinib, afuresertib, pinometostat, tazemetostat, Tafinlar (dabrafenib) and Mekinist (trametinib), and the antibiotic Altabax (retapamulin). He has contributed more than 200 publications to the scientific literature, holds 14 issued U.S. patents, and has authored five books in the areas of protein science and enzymology. He is a member of the editorial board of Molecular Cancer Therapeutics, the advisory board of the Dana-Farber Accelerator Fund, and multiple biotechnology scientific advisory boards. He received his doctorate in chemistry from Princeton University and did postdoctoral studies as the Chaim Weizmann Research Fellow at the California Institute of Technology. In 2016, he was elected a fellow of the American Association for the Advancement of Science. He received his B.S. in chemistry from Seton Hall University, his doctorate from Princeton University, and did postdoctoral studies as the Chaim Weizmann Fellow at the California Institute of Technology.</t>
  </si>
  <si>
    <t>+1 (339) 970-7400</t>
  </si>
  <si>
    <t>rcopeland@accenttx.com</t>
  </si>
  <si>
    <t>Lexington</t>
  </si>
  <si>
    <t>Lexington, MA</t>
  </si>
  <si>
    <t>1050 Waltham Street</t>
  </si>
  <si>
    <t>02421</t>
  </si>
  <si>
    <t>Co-Founder, President &amp; Chief Scientific Officer</t>
  </si>
  <si>
    <t>Accent Therapeutics</t>
  </si>
  <si>
    <t>40765-42P</t>
  </si>
  <si>
    <t>Robin Teng</t>
  </si>
  <si>
    <t>Teng</t>
  </si>
  <si>
    <t>Ms. Robin Teng serves as Vice President, Finance at GV. She oversees the fund's portfolio reporting and accounting functions. Prior to joining the team, Robin worked at Sequoia Capital and Ernst &amp; Young. Robin graduated from UCLA with a degree in business economics and a minor in accounting. She then earned her master's in accountancy from the University of Notre Dame.</t>
  </si>
  <si>
    <t>robin@gv.com</t>
  </si>
  <si>
    <t>119851-30P</t>
  </si>
  <si>
    <t>Roni Hiranand</t>
  </si>
  <si>
    <t>Roni</t>
  </si>
  <si>
    <t>Hiranand</t>
  </si>
  <si>
    <t>Mr. Roni Hiranand serves as Principal at GV. He serves as Board Member at Climate X. He served as Venture Partner at Vectr Ventures. He has worked in asset and wealth management and is responsible for supporting investments, business development and the Studio Program. Before joining GV, he was an investor at Ant Financial's VC arm, Bace Capital, and global venture firm Vectr Ventures, where he focused on early-stage investments. He also served as a guest lecturer on food science at the University of Hong Kong. He earned a BA in History from the University of Hong Kong.</t>
  </si>
  <si>
    <t>roni@gv.com</t>
  </si>
  <si>
    <t>219935-98P</t>
  </si>
  <si>
    <t>Rosana Kapeller-Libermann Ph.D</t>
  </si>
  <si>
    <t>Rosana</t>
  </si>
  <si>
    <t>Kapeller-Libermann</t>
  </si>
  <si>
    <t>Dr. Rosana Kapeller-Libermann is a Co-Founder and serves as Chief Executive Officer, President &amp; Board Member at ROME Therapeutics. Dr. Kapeller-Libermann serves as Board Member at Schrödinger. She also served on the Board of Directors at Cedilla. She also serves as an Advisor at GV. A champion of exploring new frontiers as a scientific leader and company builder, with deep expertise in applying machine learning and computational technologies to drug discovery and development. Rosana co-founded ROME Therapeutics as the first-ever entrepreneur-in-residence at GV (formerly Google Ventures), where she continues to serve as a Life Sciences Fellow. ROME is the industry leader in illuminating the dark genome's role in human disease and translating these insights into first-in-class therapeutics across a spectrum of diseases. Prior to launching ROME, Rosana was the founding Chief Scientific Officer of Nimbus Therapeutics, where she led the company's application of advanced computational technologies to the design and development of novel therapeutics. Most notably, Rosana led Nimbus' discovery efforts for programs targeting acetyl-CoA carboxylase (ACC) and tyrosine kinase 2 (TYK2), which were acquired in blockbuster deals by Gilead and Takeda, respectively. Rosana is a member of the board of directors of Schrödinger and previously consulted for Third Rock Ventures and Atlas Venture. She sits on the Key Advisory Board for the Blavatnik Fellowship in Life Science Entrepreneurship at Harvard Business School and also serves as an Expert in Residence (XIR) for the Harvard Office of Technology Development. Recognitions Rosana has received include selection for the Forbes 50 Over 50 Entrepreneurs list (2022), the Endpoints Women in Biopharma list (2019), and the Fierce Pharma Fiercest Women in Life Sciences (2019). She also received a NEVY Award for Rising Star Entrepreneur from the New England Venture Capital Association (2016). Rosana earned her M.D. from Universidade do Estado do Rio de Janeiro in Brazil and her Ph.D. in Molecular and Cellular Biology from Tufts University.</t>
  </si>
  <si>
    <t>+1 (617) 995-0900</t>
  </si>
  <si>
    <t>rkapeller@rometx.com</t>
  </si>
  <si>
    <t>1540 Broadway</t>
  </si>
  <si>
    <t>+1 (212) 295-5801</t>
  </si>
  <si>
    <t>Schrodinger</t>
  </si>
  <si>
    <t>71507-26P</t>
  </si>
  <si>
    <t>Sangeen Zeb</t>
  </si>
  <si>
    <t>Sangeen</t>
  </si>
  <si>
    <t>Zeb</t>
  </si>
  <si>
    <t>Mr. Sangeen Zeb serves as General Partner at GV. He serves as a Board Member at Ethos Life. He serves as Board Member at Dope.Security. He served as a Partner at Founders Circle Capital. Previously, he served as Principal at Centerview Capital Technology. He joined Centerview in 2013. Prior to Centerview, he spent time at Green Dot Corp where he led the launch of GoBank, a mobile banking application, managing product distribution and business development activities. Before Green Dot, he worked at Summit Partners, identifying and investing in technology companies of all stages. He began his career as a technology investment banking analyst at Thomas Weisel Partners. He holds an MBA and BS in Economics from the University of Pennsylvania's Wharton School of Business. He grew up in Omaha, Nebraska, and is a passionate Cornhusker fan.</t>
  </si>
  <si>
    <t>+1 (650) 752-1413</t>
  </si>
  <si>
    <t>zeb@gv.com</t>
  </si>
  <si>
    <t>50307-22P</t>
  </si>
  <si>
    <t>Scott Biller Ph.D</t>
  </si>
  <si>
    <t>Dr. Scott Biller serves as Executive Venture Partner at GV. Dr. Biller serves as Board Member at OMass Therapeutics. He joined Agios as the Chief Scientific Officer in September 2010, with more than 25 years of drug discovery and development experience. Most recently, from 2003 to September 2010, he was vice president and head of global discovery chemistry at the Novartis Institutes for Biomedical Research (NIBR). Prior to that, Dr. Biller held the positions of vice president, pharmaceutical candidate optimization at the Bristol Myers Squibb (BMS) Pharmaceutical Research Institute and executive director of drug discovery chemistry for the BMS research site in Lawrenceville, NJ. Among his other key leadership positions at BMS, Dr. Biller was the executive director of metabolic diseases chemistry. He contributed to robust pipelines at both BMS and Novartis, culminating in two medicines launched worldwide (Onglyza for the treatment of Type 2 diabetes and Juxtapid for familial hypercholestrolemia) and three additional drugs reaching Phase 3 clinical development. Dr. Biller earned a B.S. in chemistry at MIT, a Ph.D. in organic chemistry at Caltech and was an NIH Postdoctoral Fellow at Columbia University in natural product synthesis.</t>
  </si>
  <si>
    <t>+1 (617) 649-8600</t>
  </si>
  <si>
    <t>scott@gv.com</t>
  </si>
  <si>
    <t>327307-60P</t>
  </si>
  <si>
    <t>Sherry Chao Ph.D</t>
  </si>
  <si>
    <t>Dr. Sherry Chao serves as a Partner at GV. She focuses on life sciences investments. Before GV, she was a private equity investor at Goldman Sachs and a cancer immunology researcher at the Broad Institute of MIT and Harvard. She holds a Ph.D. in computational biology from Harvard University, an MBA from Harvard Business School, and a BA in economics from Harvard College.</t>
  </si>
  <si>
    <t>sherry@gv.com</t>
  </si>
  <si>
    <t>339164-38P</t>
  </si>
  <si>
    <t>Sierra Warner</t>
  </si>
  <si>
    <t>Ms. Sierra Warner serves as Chief People Officer at GV. She responsible for the firm's internal people strategy and programs. She joined the team in 2019. Before GV, she spent nearly five years as an HR strategy consultant at Alphabet, working with new Alphabet companies to design and stand up their own HR teams and capabilities. Before her career in HR, she spent nearly a decade in communications as part of Google's Comms &amp; Policy team and at several tech PR agencies in San Francisco. She holds a B.A. in Communication from Santa Clara University. In her spare time, she enjoys experimenting with new recipes, traveling, and dance parties with her husband and two young children.</t>
  </si>
  <si>
    <t>sierra@gv.com</t>
  </si>
  <si>
    <t>218434-51P</t>
  </si>
  <si>
    <t>Sridhar Ramaswamy MD</t>
  </si>
  <si>
    <t>Entrepreneur-in-Residence &amp; Venture Partner</t>
  </si>
  <si>
    <t>Dr. Sridhar Ramaswamy serves as Entrepreneur-in-Residence &amp; Venture Partner at GV. He also serves as a Board Observer at Leyden Labs.</t>
  </si>
  <si>
    <t>47863-54P</t>
  </si>
  <si>
    <t>Susan Desmond-Hellmann MD</t>
  </si>
  <si>
    <t>Desmond-Hellmann</t>
  </si>
  <si>
    <t>Ms. Susan Desmond-Hellmann serves as Board Member, Member of the Governance &amp; Sustainability Committee and Member of the Science and Technology Committee at Pfizer. Dr. Desmond-Hellmann serves as Advisor at GV. She serves as Board Member at Resilience (Biotechnology). She serves as Board Member at OpenAI. Dr. Desmond-Hellmann served as Chief Executive Officer of the Bill &amp; Melinda Gates Foundation from 2014 until 2020, where she oversaw the creation of the Gates Medical Research Institute-the world's first nonprofit biotech organization well as the launch of the Economic Mobility and Opportunity investment strategy in the U.S. She remains a Senior Advisor and Board member of the Gates Medical Research Institute. Prior to joining the Bill &amp; Melinda Gates Foundation, she was the first female and ninth overall Chancellor of the University of California, San Francisco (UCSF) from 2009 until 2014, where she still serves as an adjunct professor. From 1995 through 2009, Dr. Desmond-Hellmann was employed at Genentech where she served as President of Product Development, from 2005-2009 overseeing pre-clinical and clinical development, business development and product portfolio management. Prior to joining Genentech, Dr. Desmond-Hellmann was Associate Director, of Clinical Cancer Research at Bristol-Myers Squibb Pharmaceutical Research Institute. Dr. Desmond-Hellmann received a B.S. in Pre-Med and an M.D. from the University of Nevada and an M.P.H. from the University of California, Berkeley.</t>
  </si>
  <si>
    <t>+1 (800) 879-3477</t>
  </si>
  <si>
    <t>66 Hudson Boulevard East</t>
  </si>
  <si>
    <t>10001-2192</t>
  </si>
  <si>
    <t>Board Member, Member of the Governance &amp; Sustainability Committee and Member of the Science and Technology Committee</t>
  </si>
  <si>
    <t>Pfizer (Pharmaceuticals)</t>
  </si>
  <si>
    <t>321974-11P</t>
  </si>
  <si>
    <t>Teri Wisness</t>
  </si>
  <si>
    <t>Wisness</t>
  </si>
  <si>
    <t>Ms. Teri Wisness serves as a Partner at Iron Street Advisors. She brings more than 20 years of experience in the employer benefits and well-being space and currently serves as an Advisor for healthcare organizations, employee benefits solutions, and Venture groups. Most recently she was the Director of Benefits at Google. She serves as an Advisor at GV. Before Google, she was the Director of Benefits and Compensation at Weyerhaeuser Company, accountable for developing benefit solutions across health, welfare, and retirement plans in addition to designing and deploying competitive compensation programs. She is a graduate of the University of Washington and the Seattle University Executive leadership program and currently resides in the Seattle area.</t>
  </si>
  <si>
    <t>teri@ironstreetadvisors.com</t>
  </si>
  <si>
    <t>16855 North East 2nd Avenue</t>
  </si>
  <si>
    <t>33162</t>
  </si>
  <si>
    <t>Iron Street Advisors</t>
  </si>
  <si>
    <t>72300-97P</t>
  </si>
  <si>
    <t>Thomas Hulme</t>
  </si>
  <si>
    <t>Hulme</t>
  </si>
  <si>
    <t>Mr. Thomas Hulme serves as Managing Partner at GV. Mr. Hulme serves as Board Member at Scandit. Prior to GV, he was a Design Director at IDEO Europe. He serves as Board Member at GoCardless and nPlan. He also serves as a Board Member and Board Observer at Carrick Therapeutics. He is an Angel Investor. He also serves as an Advisor at Oxford Sciences Innovation. He founded OpenIDEO. He served as Board Member and Advisor at Weaveworks. He also launched OIEngine, a SaaS platform with clients including Harvard Business School and the Knight Foundation. Prior to IDEO, he was managing director of Marcos, a British sports car manufacturer. His filter designs have been widely used in Formula One, superbikes, agricultural equipment, and central heating systems. He earned a first-class bachelor's degree in physics from the University of Bristol, and an MBA from Harvard Business School, where he received the Baker Scholar Award of high distinction. He also received an honorary doctorate from the University of the Arts London. He founded Magnom. He served as Board Member at baskt labs &amp; Secret Escapes.</t>
  </si>
  <si>
    <t>thulme@gv.com</t>
  </si>
  <si>
    <t>226247-05P</t>
  </si>
  <si>
    <t>Vidu Shanmugarajah</t>
  </si>
  <si>
    <t>Vidu</t>
  </si>
  <si>
    <t>Shanmugarajah</t>
  </si>
  <si>
    <t>Mr. Vidu Shanmugarajah serves as Partner at GV. He serves as Board Member at Carrick Therapeutics. He serves as Board Observer at SpyBiotech. He has a broad background spanning corporate law, startups, and investing. He began his career at Linklaters, advising companies and investment funds on mergers and acquisitions, financings, and commercial deals. Following Linklaters, He founded an online marketplace that provided better access to legal advice for startups and small businesses. He also helped launch Grafton Capital, a London-based growth equity firm and spent time at HgCapital on buyouts and growth investments in the technology and renewable energy sectors. He holds a degree in law from the London School of Economics. He continues to advise startups on all types of legal and business issues.</t>
  </si>
  <si>
    <t>shanmugarajah@gv.com</t>
  </si>
  <si>
    <t>276332-14P</t>
  </si>
  <si>
    <t>Wendy Young Ph.D</t>
  </si>
  <si>
    <t>Dr. Wendy Young serves as Advisor at GV. She serves as Chairwoman at Drug Hunter. She serves as a Board Member and Scientific Advisor at Think Bioscience. She serves as an Advisor at Inductive Bio. She served as Executive Partner and Entrepreneur at MPM Capital. Prior to joining MPM, She was the Senior Vice President at Genentech where she actively built and led the small molecule drug discovery organization. She earned her Ph.D. from Princeton University. From 2006-2021, she was instrumental in building the Small Molecule Drug Discovery division at Genentech. She led numerous drug discovery teams, was Vice President of Discovery Chemistry and rose to Senior Vice President of the Small Molecule Drug Discovery division in 2018. She holds a B.A /M.S. in chemistry from Wake Forest University, Ph.D. in chemistry from Princeton University, and was an American Cancer Society postdoctoral fellow at Sloan-Kettering Cancer Center.</t>
  </si>
  <si>
    <t>+1 (650) 458-7087</t>
  </si>
  <si>
    <t>111 South West 5th Avenue</t>
  </si>
  <si>
    <t>97230</t>
  </si>
  <si>
    <t>Drug Hunter (Healthcare Services)</t>
  </si>
  <si>
    <t>426240-10P</t>
  </si>
  <si>
    <t>Zach Brauer</t>
  </si>
  <si>
    <t>Brauer</t>
  </si>
  <si>
    <t>Mr. Zach Brauer serves as Finance Partner at GV. Mr. Brauer supports GV's portfolio companies across different finance-related areas. His work with companies has included acting as fractional CFO, helping develop company budgets (including new company formation and later-stage), supporting the build-out of finance functions and teams, assessing acquisition opportunities, designing board materials, and navigating fundraising. Zach also works with GV's life science investment team to assess investments and structure deals for private and public companies. He is also an Executive Fellow at Harvard Business School, where he helps teach courses on venture capital and entrepreneurial finance and serves on the Key Advisory Board of the Blavatnik Fellowship in Life Science Entrepreneurship. Before GV, Zach also founded Pivot Education, an executive education company and consultancy focused on the training and development of financial skills for venture capital firms and the startup ecosystem. In this role, Zach worked with senior leadership at accelerators, academic institutions, venture associations, angel investors, and government-backed organizations. Zach has trained more than 1500 students across 20+ countries representing 850+ unique firms. This work includes executive coaching, helping startups prepare for and execute fundraises, and helping startups develop and improve internal processes. In addition to his work with venture firms, Zach has run seminars for accelerators, including Techstars, and MBA programs, including Chicago Booth. Previously, Zach worked in corporate development and venture capital at Blue Cross and Blue Shield of Minnesota and private equity and debt investing at Northwestern Mutual Capital. Previous transaction experience includes venture capital, private equity and debt, limited partnerships, investment-grade debt, mergers and acquisitions, joint ventures, and divestitures. Zach graduated from the University of Minnesota.</t>
  </si>
  <si>
    <t>zachbrauer@gv.com</t>
  </si>
  <si>
    <t>Finance Partner</t>
  </si>
  <si>
    <t>145204-57P</t>
  </si>
  <si>
    <t>Alan Garber Ph.D</t>
  </si>
  <si>
    <t>Garber</t>
  </si>
  <si>
    <t>Harvard University</t>
  </si>
  <si>
    <t>Mr. Alan Garber serves as President at Harvard University. Mr. Alan Garber served as Interim President at Harvard University. He serves as Co-Chairman at Edx. Alan M. Garber, M.D., Ph.D., is an edX board co-chair, Provost of Harvard University and the Mallinckrodt Professor of Health Care Policy at Harvard Medical School, a Professor of Economics in the Faculty of Arts and Sciences, Professor of Public Policy in the Harvard Kennedy School of Government, and Professor in the Department of Health Policy and Management in the Harvard School of Public Health. Before becoming the Provost at Harvard, he was a professor of medicine and economics at Stanford University, where he taught at the medical and business schools and directed the Center for Health Policy and the Center for Primary Care and Outcomes Research. He serves as Chairman at Landmark Bio.</t>
  </si>
  <si>
    <t>+1 (617) 495-1000</t>
  </si>
  <si>
    <t>alan_garber@harvard.edu</t>
  </si>
  <si>
    <t>Massachusetts Hall</t>
  </si>
  <si>
    <t>344864-53P</t>
  </si>
  <si>
    <t>Brydne Slattery</t>
  </si>
  <si>
    <t>Brydne</t>
  </si>
  <si>
    <t>Ms. Brydne Slattery serves as Legal Associate at Harvard University.</t>
  </si>
  <si>
    <t>+1 (857) 928-0295</t>
  </si>
  <si>
    <t>bslattery@jd20.law.harvard.edu</t>
  </si>
  <si>
    <t>Legal Associate</t>
  </si>
  <si>
    <t>388434-88P</t>
  </si>
  <si>
    <t>Eileen Finan</t>
  </si>
  <si>
    <t>Finan</t>
  </si>
  <si>
    <t>Ms. Eileen Finan serves as University Attorney at Harvard University.</t>
  </si>
  <si>
    <t>e_finan@harvard.edu</t>
  </si>
  <si>
    <t>University Attorney</t>
  </si>
  <si>
    <t>313176-61P</t>
  </si>
  <si>
    <t>Grant Zimmermann</t>
  </si>
  <si>
    <t>Zimmermann</t>
  </si>
  <si>
    <t>Mr. Grant Zimmermann serves as Director at Harvard University.</t>
  </si>
  <si>
    <t>+1 (617) 432-8231</t>
  </si>
  <si>
    <t>grant_zimmermann@harvard.edu</t>
  </si>
  <si>
    <t>423541-45P</t>
  </si>
  <si>
    <t>Jennifer O'Connor</t>
  </si>
  <si>
    <t>Ms. Jennifer O'Connor serves as General Counsel &amp; Vice President at Harvard University.</t>
  </si>
  <si>
    <t>jennifer_o-connor@harvard.edu</t>
  </si>
  <si>
    <t>424244-62P</t>
  </si>
  <si>
    <t>John Peterson</t>
  </si>
  <si>
    <t>Mr. John Peterson serves as Curator at Harvard University.</t>
  </si>
  <si>
    <t>165106-90P</t>
  </si>
  <si>
    <t>Klara Jelinkova</t>
  </si>
  <si>
    <t>Klara</t>
  </si>
  <si>
    <t>Jelinkova</t>
  </si>
  <si>
    <t>Ms. Klara Jelinkova serves as Vice President for Harvard Information Technology Services &amp; Chief Information Officer at Harvard University. She served as Vice President for International Operations and IT Chief Information Officer at Rice University. She is responsible for strategic technology issues ranging from governance, policy and resource allocation to protocol and organization. She represents the university's information technology interests regionally and nationally. She leads efforts for a seamless connection to our campus through technology as well as other operational issues. She joined Rice in January 2015. Prior to coming to Rice, she was the Senior Associate Vice President and Chief Information Technology Officer at the University of Chicago. While there, she restructured and realigned the IT function and was responsible for a number of system implementations and technology upgrades. She supported the global aspirations of the University of Chicago by overseeing the technology implementation of centers in Beijing, Delhi, and Hong Kong. She has done Bachelor's in Economics from the University of Wisconsin, Madison, and a Master's in Education from Boston University.</t>
  </si>
  <si>
    <t>+1 (713) 348-2211</t>
  </si>
  <si>
    <t>klara.jelinkova@harvard.edu</t>
  </si>
  <si>
    <t>Vice President for Harvard Information Technology Services &amp; Chief Information Officer</t>
  </si>
  <si>
    <t>108145-45P</t>
  </si>
  <si>
    <t>Marc Goodheart JD</t>
  </si>
  <si>
    <t>Goodheart</t>
  </si>
  <si>
    <t>Secretary &amp; Vice President</t>
  </si>
  <si>
    <t>Mr. Marc Goodheart serves as Vice President, Secretary of the University, Secretary to the Corporation, Assistant to the President, and Secretary of the Board of Overseers at Harvard University. He completed his JD from Harvard Law School in the year 1985 and BA in physics from Harvard University in the year 1981.</t>
  </si>
  <si>
    <t>marc@mgh.harvard.edu</t>
  </si>
  <si>
    <t>Vice President, Secretary of the University, Secretary to the Corporation, Assistant to the President &amp; Secretary of the Board of Overseers</t>
  </si>
  <si>
    <t>405909-28P</t>
  </si>
  <si>
    <t>Meredith Weenick</t>
  </si>
  <si>
    <t>Weenick</t>
  </si>
  <si>
    <t>Mr. Meredith Weenick serves as Executive Vice President at Harvard University.</t>
  </si>
  <si>
    <t>meredith_weenick@harvard.edu</t>
  </si>
  <si>
    <t>304515-28P</t>
  </si>
  <si>
    <t>Michael Duff</t>
  </si>
  <si>
    <t>Mr. Michael Duff serves as Chief Information Security and Data Privacy Officer at Harvard University.</t>
  </si>
  <si>
    <t>+1 (510) 623-1498</t>
  </si>
  <si>
    <t>michael_duff@sfcu.org</t>
  </si>
  <si>
    <t>Chief Information Security and Data Privacy Officer</t>
  </si>
  <si>
    <t>351326-71P</t>
  </si>
  <si>
    <t>Ritu Kalra</t>
  </si>
  <si>
    <t>Kalra</t>
  </si>
  <si>
    <t>Ms. Ritu Kalra serves as Chief Financial Officer and the Vice President, of Finance at Harvard University. Ms. Kalra also serves as Vice President &amp; Chief Financial Officer at Harvard University Endowment. She oversees the Offices of Financial Planning and Strategy, Capital Planning &amp; Project Services, Treasury Management, Sponsored Programs, Strategic Procurement, the Controller, and Risk Management &amp; Audit Services. joined Harvard in 2020 as Director of the Office of Treasury Management (OTM), where she managed the University's Central Bank and daily cash needs and oversaw the University's debt strategy. In addition to her responsibilities as Director of Treasury, she also supported senior university leadership in the capacity of a special project and co-led the University's efforts surrounding the Allston I-90 Multimodal Project. Before joining the University, She was a Managing Director at Goldman Sachs, where she was head of the firm's Higher Education and Non-Profit Finance practice as well as its Western Region Public Sector and Infrastructure Finance practice. She earned a BS in Economics from the Wharton School of the University of Pennsylvania and an MA in Journalism from New York University.</t>
  </si>
  <si>
    <t>ritu_kalra@harvard.edu</t>
  </si>
  <si>
    <t>Chief Financial Officer &amp; Vice President, Finance</t>
  </si>
  <si>
    <t>313174-63P</t>
  </si>
  <si>
    <t>Sherri Charleston</t>
  </si>
  <si>
    <t>Sherri</t>
  </si>
  <si>
    <t>Ms. Sherri Charleston serves as Chief Diversity and Inclusion Officer at Harvard University.</t>
  </si>
  <si>
    <t>+1 (608) 263-2900</t>
  </si>
  <si>
    <t>sherri_charleston@harvard.edu</t>
  </si>
  <si>
    <t>440983-54P</t>
  </si>
  <si>
    <t>Ava Van Vliet</t>
  </si>
  <si>
    <t>Ava</t>
  </si>
  <si>
    <t>Van Vliet</t>
  </si>
  <si>
    <t>Hatch Blue</t>
  </si>
  <si>
    <t>Mr. Ava Van Vliet serves as Principal Investment Manager at HATCH. His academic background is in economics and philosophy at the Erasmus University Rotterdam.</t>
  </si>
  <si>
    <t>ava@hatch.blue</t>
  </si>
  <si>
    <t>Principal Investment Manager</t>
  </si>
  <si>
    <t>440984-62P</t>
  </si>
  <si>
    <t>Barry Mulqueen</t>
  </si>
  <si>
    <t>Mulqueen</t>
  </si>
  <si>
    <t>Mr. Barry Mulqueen serves as Chief Financial Officer at HATCH. Prior to joining he was a VP, Accounting at Poppulo.</t>
  </si>
  <si>
    <t>barry@hatch.blue</t>
  </si>
  <si>
    <t>Cork</t>
  </si>
  <si>
    <t>Cork, Ireland</t>
  </si>
  <si>
    <t>7 Liberty Street</t>
  </si>
  <si>
    <t>T12 T85H</t>
  </si>
  <si>
    <t>166418-47P</t>
  </si>
  <si>
    <t>Caitriona Kelleher</t>
  </si>
  <si>
    <t>Caitriona</t>
  </si>
  <si>
    <t>Ms. Caitriona Kelleher serves as Managing Director Early Stage Investments at HATCH (Cork). Ms. Kelleher served as Board Observer at Arthronica. She served as Fund Manager at SOSV. A seasoned business analyst, with 15+ years' experience in Global Financial Markets, she brings a keen eye for detail and correlations along with a deep subject matter expertise in Financial Risk Management and a passion for accuracy and accountability. She graduated with a BSc. in Finance, Computing &amp; Enterprise (through Irish) from Dublin City University and holds the ACCA partnered MSc. in Professional Accountancy from University of London .</t>
  </si>
  <si>
    <t>caitriona@hatch.blue</t>
  </si>
  <si>
    <t>Managing Director Early Stage Investments</t>
  </si>
  <si>
    <t>169377-67P</t>
  </si>
  <si>
    <t>Carsten Krome Ph.D</t>
  </si>
  <si>
    <t>Krome</t>
  </si>
  <si>
    <t>Dr. Carsten Krome is a Co-founder and serves as Managing Partner at HATCH. He serves as a Board Member at Jala &amp; Manolin and CageEye. He was the founder of Alimentos Ventures. Dr. Krome serves as Advisor at Devonian Capital. He worked as a technical analyst for an aquaculture investment fund. He oversaw equity investments in various aquaculture feed, health, IT, and production start-ups. He worked as a technical analyst for an aquaculture investment fund where he oversaw equity investments in various aquaculture feed, health, IT, and production start-ups before founding HATCH in 2017. He holds a Ph.D. in aquaculture nutrition from the Institute of Aquaculture, at the University of Stirling has been a lecturer at Yale University, and has several published works focusing on alternative feed. He holds a Ph.D. in aquaculture nutrition from the Institute of Aquaculture, University of Stirling.</t>
  </si>
  <si>
    <t>carsten@hatch.blue</t>
  </si>
  <si>
    <t>193111-57P</t>
  </si>
  <si>
    <t>Georg Baunach</t>
  </si>
  <si>
    <t>Baunach</t>
  </si>
  <si>
    <t>Mr. Georg Baunach is a Co-Founder and serves as Managing Partner at HATCH. He is a Co-Founder and serves as Board Member at Umami Meats. He is a molecular biotechnologist with a background in synthetic biology and biofuel research experience from Harvard Medical School. In parallel to his studies, he worked on the development of insect and algae-based products. He founded a renewable energy company in Ghana in 2015, which works with commercial and industrial clients to reduce energy costs through cleantech. He holds a Master's in Management from London Business School and is passionate about aquaculture and entrepreneurship. He serves as Board Member at DeNova.</t>
  </si>
  <si>
    <t>georg@hatch.blue</t>
  </si>
  <si>
    <t>111415-06P</t>
  </si>
  <si>
    <t>Kai Sato</t>
  </si>
  <si>
    <t>Mr. Kai Sato serves as President and Chief Marketing Officer at Crown Electrokinetics. He served as a Board Member at SportTechie. He is the Founding Partner of Vintage Capital Investments. He co-founded and served as the Chief Operating Officer, President, and Board Member at FieldLevel. He is the Founder and serves as Chief Executive Officer at Kaizen Reserve. He serves as Managing Partner (West Coast) at Mauloa. He graduated from the University of Southern California (USC)</t>
  </si>
  <si>
    <t>+1 (213) 600-4250</t>
  </si>
  <si>
    <t>Corvallis</t>
  </si>
  <si>
    <t>Corvallis, OR</t>
  </si>
  <si>
    <t>1110 NorthEast Circle Boulevard</t>
  </si>
  <si>
    <t>97330</t>
  </si>
  <si>
    <t>President, Chief Marketing Officer, Marketing</t>
  </si>
  <si>
    <t>Crown Electrokinetics</t>
  </si>
  <si>
    <t>440986-96P</t>
  </si>
  <si>
    <t>Linda Chen</t>
  </si>
  <si>
    <t>Ms. Linda Chen serves as Associate at HATCH.</t>
  </si>
  <si>
    <t>linda@hatch.blue</t>
  </si>
  <si>
    <t>370219-42P</t>
  </si>
  <si>
    <t>Martin Reidy</t>
  </si>
  <si>
    <t>Reidy</t>
  </si>
  <si>
    <t>Mr. Martin Reidy serves as Knowledge Coordinator at HATCH.</t>
  </si>
  <si>
    <t>martin@hatch.blue</t>
  </si>
  <si>
    <t>Knowledge Coordinator</t>
  </si>
  <si>
    <t>447816-07P</t>
  </si>
  <si>
    <t>Moritz Mueller</t>
  </si>
  <si>
    <t>Mr. Moritz Mueller serves as Managing Director, Media Marketing at Hatch Blue. He is a communication and brand expert with a cross-discipline education covering degrees in media and communication management, performing arts and innovation science, entrepreneurship, and sustainable technologies. Before his current role as partner and MD at The Fish Site Ltd., He was Head of Marketing at Hatch Blue.</t>
  </si>
  <si>
    <t>moritz@hatch.blue</t>
  </si>
  <si>
    <t>Managing Director, Media Marketing</t>
  </si>
  <si>
    <t>314948-62P</t>
  </si>
  <si>
    <t>Naheda Noori</t>
  </si>
  <si>
    <t>Naheda</t>
  </si>
  <si>
    <t>Noori</t>
  </si>
  <si>
    <t>Ms. Naheda Noori serves as Chief of Staff at HATCH. Ms. Noori served as Senior Associate at Transcend Fund. Prior role as Lead Business Development Manager at Miniclip</t>
  </si>
  <si>
    <t>naheda@hatch.blue</t>
  </si>
  <si>
    <t>267557-14P</t>
  </si>
  <si>
    <t>Sol Park</t>
  </si>
  <si>
    <t>Ms. Sol Park serves as Principal at HATCH. Ms. Park serves as Global Investment &amp; Portfolio Manager at Yunus Social Business. At YSB, she oversees the worldwide investment process and portfolio support activities working closely with the country teams. Prior to YSB, she has worked in international development and impact investing space over several years across different organizations, including Grameen Foundation, TechnoServe and Finance in Motion. She has extensive work experience in emerging markets having lived and worked in Sub-Saharan Africa and Asia. She holds an MBA from INSEAD and a Bachelor's degree in Economics and International Studies from University of Richmond.</t>
  </si>
  <si>
    <t>sol@hatch.blue</t>
  </si>
  <si>
    <t>378949-24P</t>
  </si>
  <si>
    <t>Sophia de Macedo</t>
  </si>
  <si>
    <t>de Macedo</t>
  </si>
  <si>
    <t>Ms. Sophia de Macedo serves as VC Analyst at HATCH. Ms. de Macedo serves as Investment Analyst at Apex Capital. She holds an MSc in Finance from Nova School of Business and Economics in Lisbon and she also earned a BA in Individualized Studies from NYU, focusing on social sciences, media, and political narratives. Previously, she worked as a Founder's Associate Intern at KoRo, contributing to strategic initiatives, and as an Investment Analyst at Apex Capital, focusing on deal sourcing and due diligence. At Ânima Educação, she managed investor relations and ESG reporting, solidifying her expertise in stakeholder engagement.</t>
  </si>
  <si>
    <t>sophia@hatch.blue</t>
  </si>
  <si>
    <t>302132-53P</t>
  </si>
  <si>
    <t>Tanja Hoel</t>
  </si>
  <si>
    <t>Tanja</t>
  </si>
  <si>
    <t>Hoel</t>
  </si>
  <si>
    <t>Ms. Tanja Hoel serves as Managing Director at HATCH. Ms. Hoel served as Board Member at Dynaspace. She founded a National Centres of Expertise, The Seafood Innovation Cluster together with Norway's leading salmon farming companies. She has founded several companies to support innovation and technology development in aquaculture, including AquaCloud, a cloud-based AI platform to accelerate digitalisation in the salmon industry. Hoel holds several board positions working with commercialisation of innovation and new technology in the global aquaculture industry. She serves as a Board Member at Biomega (Norway). She has a MSc in Marine Biology with an Executive Masters from the Norwegian Business School.</t>
  </si>
  <si>
    <t>tanja@hatch.blue</t>
  </si>
  <si>
    <t>Bergen</t>
  </si>
  <si>
    <t>Bergen, Norway</t>
  </si>
  <si>
    <t>Thormølens Gate 51</t>
  </si>
  <si>
    <t>5006</t>
  </si>
  <si>
    <t>193110-94P</t>
  </si>
  <si>
    <t>Wayne Murphy</t>
  </si>
  <si>
    <t>Mr. Wayne Murphy is a Co-Founder &amp; serves as Chief Executive Officer at Start Planet. He is a co-founder and a partner at HATCH. He has a wealth of experience in managing, planning, and delivering global accelerator programs. He has managed several accelerator programs across different sectors including Selr8r, a sales-focused accelerator run by SOSV, the Bank of Ireland Accelerator, and StartPlanetNI, an accelerator project funded by InvestNI and Northern Ireland's premier startup program. He holds an HDip in Business Management &amp; Strategy and is co-founder and CEO of StartPlanet.</t>
  </si>
  <si>
    <t>+353 (0)87 055 7400</t>
  </si>
  <si>
    <t>Start Planet</t>
  </si>
  <si>
    <t>390213-01P</t>
  </si>
  <si>
    <t>Arvind Murthy</t>
  </si>
  <si>
    <t>Murthy</t>
  </si>
  <si>
    <t>Heritage Group Accelerator</t>
  </si>
  <si>
    <t>Mr. Arvind Murthy is the Founder and serves as Chief Executive Officer at Clin (Financial Software). Mr. Murthy serves as General Manager at Heritage Group Accelerator.</t>
  </si>
  <si>
    <t>+1 (714) 595-2324</t>
  </si>
  <si>
    <t>arvind@joinclin.com</t>
  </si>
  <si>
    <t>IN</t>
  </si>
  <si>
    <t>Clin (Financial Software)</t>
  </si>
  <si>
    <t>177195-43P</t>
  </si>
  <si>
    <t>Ashley Bryan</t>
  </si>
  <si>
    <t>Ms. Ashley Bryan serves as Accelerator Program Manager at Heritage Group Accelerator. Ms. Bryan served as Program Manager at The Heritage Group (Indiana). She co-founded Life in the Moment and also served as its Chief Executive Officer.</t>
  </si>
  <si>
    <t>+1 (317) 872-6010</t>
  </si>
  <si>
    <t>ashley@hgaccelerator.com</t>
  </si>
  <si>
    <t>Indianapolis</t>
  </si>
  <si>
    <t>Indianapolis, IN</t>
  </si>
  <si>
    <t>6320 Intech Way</t>
  </si>
  <si>
    <t>46278</t>
  </si>
  <si>
    <t>Accelerator Program Manager</t>
  </si>
  <si>
    <t>386523-64P</t>
  </si>
  <si>
    <t>Earl Goetheer</t>
  </si>
  <si>
    <t>Goetheer</t>
  </si>
  <si>
    <t>High Tech XL</t>
  </si>
  <si>
    <t>Mr. Earl Goetheer serves as Chief Technology Officer at High Tech XL.</t>
  </si>
  <si>
    <t>earl@hightechxl.com</t>
  </si>
  <si>
    <t>High Tech Campus 27</t>
  </si>
  <si>
    <t>5656 AE</t>
  </si>
  <si>
    <t>135763-57P</t>
  </si>
  <si>
    <t>John Bell</t>
  </si>
  <si>
    <t>Mr. John Bell serves as Chief Executive Officer at High Tech XL. He served as Board Member at Dynaxion. He served as Chief Strategy and Business Development Officer at SpinControl Gearing.</t>
  </si>
  <si>
    <t>john@hightechxl.com</t>
  </si>
  <si>
    <t>171686-71P</t>
  </si>
  <si>
    <t>Patricia de Kort</t>
  </si>
  <si>
    <t>de Kort</t>
  </si>
  <si>
    <t>Chief Financial Officer &amp; Chief Investment Officer</t>
  </si>
  <si>
    <t>Ms. Patricia de Kort serves as Chief Financial Officer &amp; Chief Investment Officer at High Tech XL. .She served as a Team Manager, Startups at Limburg Development and Investment Company. She served as Executive at LIOF Nedermaas High Tech Ventures. She also served as a Team Manager, Startups at Limburg Business Development Fund</t>
  </si>
  <si>
    <t>+31 (0)65 257 0974</t>
  </si>
  <si>
    <t>patricia@hightechxl.com</t>
  </si>
  <si>
    <t>295331-23P</t>
  </si>
  <si>
    <t>Robin Scheijndel</t>
  </si>
  <si>
    <t>Scheijndel</t>
  </si>
  <si>
    <t>Mr. Robin Scheijndel serves as Program Director at High Tech XL. He has supported, advised and monitored 30+ new promising deep-tech ventures in their development during HighTechXL's Venture Builder Program.</t>
  </si>
  <si>
    <t>robin@hightechxl.com</t>
  </si>
  <si>
    <t>130927-60P</t>
  </si>
  <si>
    <t>Alexia Kelly</t>
  </si>
  <si>
    <t>Alexia</t>
  </si>
  <si>
    <t>High Tide Foundation</t>
  </si>
  <si>
    <t>Ms. Alexia Kelly serves as Managing Director of Carbon Policy and Markets Initiative at High Tide Foundation. She served as a Partner at Allotrope Partners. She is the Managing Director of the Carbon Policy and Markets Initiative (CPMI) at High Tide Foundation. The CPMI accelerates ambitious climate action and capital mobilization through robust rules and guidance for voluntary corporate action and disclosures, and by building the next generation of high-integrity carbon and environmental services markets. She has worked for more than 17 years at the intersection of policy and finance to address the climate crisis. Prior to joining High Tide Foundation, she served as Director of Net Zero + Nature at Netflix, where she led the company's inaugural greenhouse gas inventory, renewable energy strategy, Science Based Target, and global carbon credit portfolio. She has held senior roles at the U.S. Department of State, where she served as lead negotiator to the UNFCCC on Article 6 of the Paris Agreement. She has also held roles at the World Resources Institute, the David and Lucille Packard Foundation, the Climate Trust, and in private equity. She serves on multiple non-profit boards and holds a BA, a master's in accounting, a Master of Public Administration (MPA), and a Master's in Community and Regional Planning (MCRP) from the University of Oregon.</t>
  </si>
  <si>
    <t>akelly@hightidefoundation.org</t>
  </si>
  <si>
    <t>Greenbrae</t>
  </si>
  <si>
    <t>Greenbrae, CA</t>
  </si>
  <si>
    <t>100 Drakes Landing Road</t>
  </si>
  <si>
    <t>94904</t>
  </si>
  <si>
    <t>Managing Director of Carbon Policy and Markets Initiative</t>
  </si>
  <si>
    <t>233853-94P</t>
  </si>
  <si>
    <t>Dee Lawrence</t>
  </si>
  <si>
    <t>Dee</t>
  </si>
  <si>
    <t>Ms. Dee Lawrence is a Co-Founder and serves as Director at High Tide Foundation. Ms. Lawrence also serves as Director at Overlook Investments. She and Richard are also directors of Proyecto Mirador Foundation, a Gold Standard certified carbon project that installs fuel-efficient clean cookstoves in Honduras, Guatemala, and Nicaragua. The project has prevented the emissions of nearly two million tonnes of greenhouse gas. This community health project benefits women and children by helping them to avoid respiratory illness caused by smoke while reducing wood use by nearly half. With Richard, she is also a founder of Cool Effect, a non-profit, online platform with a mission to educate and inspire organizations and individuals to take measurable action against climate change by purchasing carbon offsets from the world's highest quality carbon emission reduction projects. Projects include those related to clean cookstoves, methane emission reductions, land conservation, forests, renewable energy, and compost. She has over 25 years of experience in marketing and advertising with major agencies and U.S. corporations and holds a BS from Miami University.</t>
  </si>
  <si>
    <t>d.lawrence@hightidefoundation.org</t>
  </si>
  <si>
    <t>401886-01P</t>
  </si>
  <si>
    <t>Marcia Delonge</t>
  </si>
  <si>
    <t>Delonge</t>
  </si>
  <si>
    <t>Ms. Marcia Delonge serves as Program Director at High Tide Foundation.</t>
  </si>
  <si>
    <t>mdelonge@hightidefoundation.org</t>
  </si>
  <si>
    <t>233851-69P</t>
  </si>
  <si>
    <t>Marisa De Belloy</t>
  </si>
  <si>
    <t>De Belloy</t>
  </si>
  <si>
    <t>Ms. Marisa De Belloy serves as President of the High Tide Foundation. She also serves as a Secretary at Carbon Mapper. She leads the foundation's strategy and team. She oversees all grantmaking and works to promote collaboration in the field. Her background includes investment banking, strategy consulting, and human rights work. She was previously COO of Made in a Free World, a SaaS solution for human trafficking. Before that, she created and ran a highly successful media &amp; technology practice at investment banking firm Michel Dyens &amp; Co., based in Paris, and co-founded and ran Fotango, an online photo-sharing site funded by leading European VCs that was later sold to Canon, Inc. She has worked at Goldman Sachs and the LEK Partnership and taught finance at a French university. She speaks French and English and has spent over 15 years working in Europe. She serves on several boards in the Bay Area where she resides with her husband and four children. She received her MBA from Stanford University and her BA from Yale.</t>
  </si>
  <si>
    <t>mdebelloy@hightidefoundation.org</t>
  </si>
  <si>
    <t>249085-18P</t>
  </si>
  <si>
    <t>Mr. Michael Bruce serves as Chief Financial Officer &amp; Chief Operating Officer at High Tide Foundation. Michael is Chief Operating Officer and Chief Financial Officer of High Tide Foundation, responsible for finance and accounting, financial planning and analysis, risk and assurance, human resources, and operational management. He oversees much of the foundation's daily operations, providing guidance to drive effectiveness and efficiency in support of the foundation's missions. Prior to joining High Tide in 2019, he served as Senior Finance Director of The Broad Foundations in Los Angeles where he was responsible for the Foundations' finances and controls. Before entering the foundation industry, he held several roles at Honeywell in Financial Planning &amp; Analysis, Controllership, and Corporate Audit. He started his career in public accounting at Arthur Andersen. He holds an MBA from UCLA and a degree in Accounting from Pepperdine University. He is a CFA charterholder and a CPA.</t>
  </si>
  <si>
    <t>mbruce@hightidefoundation.org</t>
  </si>
  <si>
    <t>140572-99P</t>
  </si>
  <si>
    <t>Richard Lawrence Jr.</t>
  </si>
  <si>
    <t>Mr. Richard Lawrence is a Co-Founder and serves as Director at High Tide Foundation. He serves as Board Member at Carbon Mapper. He is the Founder and serves as Executive Chairman at Overlook Investments Group, an independent fund management company that invests US$ 7 billion in a concentrated portfolio of public equities throughout Asia, excluding Japan. In 1986, he became the second Chartered Financial Analyst in Asia, before founding Overlook in 1991. In 2004 he and his wife, Dee, founded Proyecto Mirador Foundation, a non-profit organization that has built over 200,000 fuel-efficient stoves in rural communities across Honduras, Guatemala, and Nicaragua. In 2016, He also founded Cool Effect, a non-profit online platform that enables individuals, SMEs, and Fortune 500 companies to offset their carbon emissions through the highest quality carbon reduction projects worldwide. In 2017, they established High Tide Foundation, a non-profit organization involved in the fight against climate change. He is a member of the Board of Directors of The National Audubon Society.</t>
  </si>
  <si>
    <t>rlawrence@hightidefoundation.org</t>
  </si>
  <si>
    <t>281856-52P</t>
  </si>
  <si>
    <t>Hannah Kayama</t>
  </si>
  <si>
    <t>Kayama</t>
  </si>
  <si>
    <t>HiJoJo Partners</t>
  </si>
  <si>
    <t>Ms. Hannah Kayama serves as Asset Management Analyst at HiJoJo Partners.</t>
  </si>
  <si>
    <t>+81 (0)36 705 8660</t>
  </si>
  <si>
    <t>kayama@hijojo.com</t>
  </si>
  <si>
    <t>1-7-2, Nishi-Shimbashi, Minato-ku</t>
  </si>
  <si>
    <t>105-0003</t>
  </si>
  <si>
    <t>Asset Management Analyst</t>
  </si>
  <si>
    <t>263103-49P</t>
  </si>
  <si>
    <t>Kotaro Yamazawa</t>
  </si>
  <si>
    <t>Yamazawa</t>
  </si>
  <si>
    <t>Mr. Kotaro Yamazawa serves as Outside Director at WingArc1st. He serves as an Outside Director at HiJoJo Partners. After graduating from the Faculty of Law at the University of Tokyo, joined the Bank of Japan in 1980. After obtaining an MBA from the Wharton School of the University of Pennsylvania in the United States, he was appointed as an executive officer of the Osaka Securities Exchange (currently the Osaka Exchange) after serving as a manager of the Human Resources Division and a manager of the Hakodate Branch of the Personnel Bureau. After that, he served as managing executive officer and director. Appointed Managing Executive Officer of Japan Exchange Group in 2013. After that, he became a Senior Managing Executive Officer. Appointed Vice President of Osaka Exchange in 2015, retired in 2017, and is currently an outside director of AEON Financial Service, WingArc1st.</t>
  </si>
  <si>
    <t>yamazawa@hijojo.com</t>
  </si>
  <si>
    <t>Outside Director</t>
  </si>
  <si>
    <t>212994-82P</t>
  </si>
  <si>
    <t>Mayumi Tamitsuji</t>
  </si>
  <si>
    <t>Mayumi</t>
  </si>
  <si>
    <t>Tamitsuji</t>
  </si>
  <si>
    <t>Mr. Mayumi Tamitsuji serves as Head at HiJoJo Partners.</t>
  </si>
  <si>
    <t>tamitsuji@hijojo.com</t>
  </si>
  <si>
    <t>Head of Investment Advisory</t>
  </si>
  <si>
    <t>319852-54P</t>
  </si>
  <si>
    <t>Mentzas Spyridon</t>
  </si>
  <si>
    <t>Mentzas</t>
  </si>
  <si>
    <t>Spyridon</t>
  </si>
  <si>
    <t>Mr. Mentzas Spyridon is a Co-Founder and serves as Co-Chief Executive Officer &amp; Co-President at HiJoJo Partners. After graduating from Columbia University with a degree in Engineering Management Systems, Mr. Spyridon joined Salomon Brothers Asia Securities (now Citigroup Securities). He was promoted from programmer to trader, vice president, and desk head, building his career at the forefront of finance. In 2007, he joined Mizuho Securities. The following year, he was appointed Deputy Global Head of Pan Asian Equities, overseeing Japanese and Asian stocks. He later moved to the fintech field, where he has been involved in venture investment and growth support for over 100 startups and over 80 institutional investors around the world. In 2017, he founded HiJoJo Partners. With the purpose of "changing investment, changing the market, changing Japan," he aims to create a society where challenges are more rewarded, and is challenging the "democratization of startup investment."</t>
  </si>
  <si>
    <t>mentzas@hijojo.com</t>
  </si>
  <si>
    <t>Co-Founder, Co-Chief Executive Officer &amp; Co-President</t>
  </si>
  <si>
    <t>244124-02P</t>
  </si>
  <si>
    <t>Norifumi Akiyama</t>
  </si>
  <si>
    <t>Akiyama</t>
  </si>
  <si>
    <t>Mr. Norifumi Akiyama serves as Representative Directors and Co-Presidents at HiJoJo Partners. Mr. Akiyama served as Executive Officer at Mizuho Securities. After graduating from the University of Tokyo with a degree in Law, he joined the Industrial Bank of Japan in 1990 and Mizuho Securities in 2000. He has 22 years of investment banking business experience, including 10 years overseas in London and Hong Kong. He became the President of Mizuho Securities Asia (Hong Kong) in 2016, Executive Officer of the Syndication Division, and Head of Global Syndication at Mizuho Securities in 2018. From 2019, as Executive officer of Principal Investment, he oversaw domestic and international PE/VC fund investments. He has served as Chairman of the Board of Directors of Mizuho Principal Investment, Director of Mobile Internet Capital, and Director of Mizuho-Leaguer Investment. Throughout his 32 years in banking and securities, he has a wide range of business and management experience, including overseas operations, markets, capital markets, banking, investment management, research, and planning.</t>
  </si>
  <si>
    <t>akiyama@hijojo.com</t>
  </si>
  <si>
    <t>Co-Chief Executive Officer &amp; Co-President</t>
  </si>
  <si>
    <t>212995-09P</t>
  </si>
  <si>
    <t>Sonoko Harada</t>
  </si>
  <si>
    <t>Sonoko</t>
  </si>
  <si>
    <t>Ms. Sonoko Harada serves as Director at HiJoJo Partners.</t>
  </si>
  <si>
    <t>harada@hijojo.com</t>
  </si>
  <si>
    <t>186507-37P</t>
  </si>
  <si>
    <t>Tomohiko Hamada</t>
  </si>
  <si>
    <t>Tomohiko</t>
  </si>
  <si>
    <t>Hamada</t>
  </si>
  <si>
    <t>Mr. Tomohiko Hamada is the Co-Founder and serves as Managing Director at HiJoJo Partners. He joined Salomon Brothers Securities Asia in 1991 working in the Equity Derivatives Trading Dept as an arbitrage trader. He then worked on promoting and implementing a Global Program Trading System. In 2000, at Credit Suisse First Boston, he joined the Global Portfolio Trading Group as Head of Japan, implementing new trading systems and opening up businesses with over 100 institutional investors. He was one of the first to introduce Algo trading, dark pool trading, and advanced trading techniques in Japan. He has been consulting at Simplex since 2011 and co-founded HiJoJo Partners.</t>
  </si>
  <si>
    <t>hamada@hijojo.com</t>
  </si>
  <si>
    <t>278335-09P</t>
  </si>
  <si>
    <t>Hongmei Zhou</t>
  </si>
  <si>
    <t>Hongmei</t>
  </si>
  <si>
    <t>HJW Asset Management</t>
  </si>
  <si>
    <t>Ms. Hongmei Zhou serves as Partner &amp; Legal Representative at HJW Asset Management. Ms. Zhou holds MBA degree from the British Entrepreneur Institute. Previously, He served as the vice president of the Seventh Department of Minmetals Securities, the investment director of Shenzhen Kangchengheng Investment Co., Ltd., and the general manager of Shenzhen Xin Wuzhou Import and Export Co., Ltd.</t>
  </si>
  <si>
    <t>+86 (0)755 2665 9921</t>
  </si>
  <si>
    <t>zhouhongmei@hjwfund.com</t>
  </si>
  <si>
    <t>Shenzhen</t>
  </si>
  <si>
    <t>Shenzhen, China</t>
  </si>
  <si>
    <t>601, 6th Floor, China Railway South Headquarters Building</t>
  </si>
  <si>
    <t>3333 Zhongxin Road, Nanshan District</t>
  </si>
  <si>
    <t>Guangdong</t>
  </si>
  <si>
    <t>+86 (0)755 2660 7180</t>
  </si>
  <si>
    <t>Partner &amp; Legal Representative</t>
  </si>
  <si>
    <t>278335-00P</t>
  </si>
  <si>
    <t>Ping Cai</t>
  </si>
  <si>
    <t>Ping</t>
  </si>
  <si>
    <t>Cai</t>
  </si>
  <si>
    <t>Mr. Ping Cai serves as Partner at HJW Asset Management. Mr. Cai holds a master's degree in physics from Nanjing University. He has successively worked in well-known professional institutions such as China Science and Technology International Trust and Investment Corporation and Changjiang Paris Peregrine Securities.</t>
  </si>
  <si>
    <t>caiping@hjwfund.com</t>
  </si>
  <si>
    <t>259384-06P</t>
  </si>
  <si>
    <t>Yuan Peng Ph.D</t>
  </si>
  <si>
    <t>Yuan</t>
  </si>
  <si>
    <t>Peng</t>
  </si>
  <si>
    <t>Dr. Yuan Peng is a Co-Founder of Sunhope Venture Capital. Dr. Peng also serves as Partner at HJW Asset Management. Dr. Peng received his Ph.D. degree in Astrophysics from the University of Maryland and obtained his master's degree from Peking University. Previously, Dr. Peng Yuan was engaged in artificial intelligence research at the National Aeronautics and Space Administration of the United States and conducted data mining work for Wall Street Finance Corporation. After returning to China, he served as CIO of China Science and Technology Securities, General Manager of Hong Kong Future Securities China, and General Manager of Kang Chengheng Investment Co., Ltd.</t>
  </si>
  <si>
    <t>+86 (0)755 3308 8888</t>
  </si>
  <si>
    <t>pengyuan@hjwfund.com</t>
  </si>
  <si>
    <t>51st Floor, Golden Central Tower</t>
  </si>
  <si>
    <t>No. 3037 Jintian Road, Futian District</t>
  </si>
  <si>
    <t>518048</t>
  </si>
  <si>
    <t>+86 (0)755 3322 2222</t>
  </si>
  <si>
    <t>Sunhope Venture Capital</t>
  </si>
  <si>
    <t>404868-70P</t>
  </si>
  <si>
    <t>Brandon Proetto</t>
  </si>
  <si>
    <t>Proetto</t>
  </si>
  <si>
    <t>Holman Growth Ventures</t>
  </si>
  <si>
    <t>Mr. Brandon Proetto serves as Director at Holman Growth Ventures.</t>
  </si>
  <si>
    <t>+1 (833) 465-6266</t>
  </si>
  <si>
    <t>brandon.proetto@holman.com</t>
  </si>
  <si>
    <t>Mount Laurel</t>
  </si>
  <si>
    <t>Mount Laurel, NJ</t>
  </si>
  <si>
    <t>4001 Leadenhall Road</t>
  </si>
  <si>
    <t>08054</t>
  </si>
  <si>
    <t>39023-65P</t>
  </si>
  <si>
    <t>John Trieu</t>
  </si>
  <si>
    <t>Trieu</t>
  </si>
  <si>
    <t>Mr. John Trieu serves as Managing Director at Holman Growth Ventures. Mr. John Trieu served as Director at LBC Credit Partners. Mr. John Trieu served as Senior Vice President at Steel City Capital Funding</t>
  </si>
  <si>
    <t>+1 (814) 452-2372</t>
  </si>
  <si>
    <t>john.trieu@holmangrowthventures.com</t>
  </si>
  <si>
    <t>181652-14P</t>
  </si>
  <si>
    <t>William Cariss</t>
  </si>
  <si>
    <t>Cariss</t>
  </si>
  <si>
    <t>Mr. William Cariss serves as Vice President, Dealership Operations at Holman Automotive Group. He serves as the president and Chief Executive Officer at Holman Growth Ventures.</t>
  </si>
  <si>
    <t>william.cariss@holman.com</t>
  </si>
  <si>
    <t>Vice President, Dealership Operations</t>
  </si>
  <si>
    <t>Holman Automotive Group</t>
  </si>
  <si>
    <t>131297-77P</t>
  </si>
  <si>
    <t>Alex Lofton</t>
  </si>
  <si>
    <t>Lofton</t>
  </si>
  <si>
    <t>Home Technology Ventures</t>
  </si>
  <si>
    <t>Mr. Alex Lofton is a co-founder of Landed. He serves as an Advisor &amp; Partner at Home Technology Ventures. He worked as a member of Barack Obama's field team in 2007 and 2008, managing hundreds of paid staff who organized thousands of volunteers for the then-Senator's successful presidential primary and general election campaigns. He then served as a Founding Regional Director of Obama for America, the political mobilization wing of the Democratic National Committee, until 2010. He has since served in leadership positions at numerous social enterprises and technology start-ups in D.C., London, and San Francisco. He got his start in real estate at developer Forest City. He holds a B.A. in Political Science, Global Health from Northwestern University and an MBA from the Stanford Graduate School of Business.</t>
  </si>
  <si>
    <t>+1 (650) 451-9075</t>
  </si>
  <si>
    <t>alex@landed.com</t>
  </si>
  <si>
    <t>Suite 79600</t>
  </si>
  <si>
    <t>Landed (Consumer Finance)</t>
  </si>
  <si>
    <t>38252-80P</t>
  </si>
  <si>
    <t>Christopher Langford</t>
  </si>
  <si>
    <t>Langford</t>
  </si>
  <si>
    <t>Mr. Christopher Langford is the Founder and serves as Managing Partner at Home Technology Ventures. He serves as a Board Observer at Moved. He served as a Venture Partner at IDEA Fund Partners. He founded and served as Managing Director at Lowe's Ventures. He serves as a Board Member at Poppy. He serves as a Board Member at Aldrich. He has contributed to the successful execution of numerous private investment transactions in a broad array of industries with aggregate deal values over $400 million. His experience encompasses asset management, investment banking, valuations, and private equity industries at large, multi-national corporations (RBC's Investment Banking Group, T. Rowe Price) and smaller, boutique firms (PCE Investment Bankers, Florida Mezzanine Fund). He has significant experience in sourcing, analyzing, and structuring investments in private companies through private placements, leveraged buyouts, recapitalization, and growth capital investment. He holds a Bachelor of Science in Finance and a Master of Business Administration from the University of Florida.</t>
  </si>
  <si>
    <t>+1 (407) 461-0794</t>
  </si>
  <si>
    <t>chris@htv.vc</t>
  </si>
  <si>
    <t>520 Elliot Street</t>
  </si>
  <si>
    <t>384169-96P</t>
  </si>
  <si>
    <t>Damien McBrien</t>
  </si>
  <si>
    <t>Damien</t>
  </si>
  <si>
    <t>McBrien</t>
  </si>
  <si>
    <t>Mr. Damien McBrien serves as Senior Manager Business Development - Innovation &amp; Acquisitions at D.R. Horton. He serves as Advisor &amp; Partner at Home Technology Ventures.</t>
  </si>
  <si>
    <t>+1 (817) 390-8200</t>
  </si>
  <si>
    <t>dmcbrien@drhorton.com</t>
  </si>
  <si>
    <t>Arlington, TX</t>
  </si>
  <si>
    <t>1341 Horton Circle</t>
  </si>
  <si>
    <t>76011</t>
  </si>
  <si>
    <t>Senior Manager Business Development - Innovation &amp; Acquisitions</t>
  </si>
  <si>
    <t>D.R. Horton</t>
  </si>
  <si>
    <t>384170-32P</t>
  </si>
  <si>
    <t>Demi Clark</t>
  </si>
  <si>
    <t>Demi</t>
  </si>
  <si>
    <t>Ms. Demi Clark serves as a Partner and Advisor at Home Technology Ventures. She is a tradesperson who created She Built This City to help women get into the trades. Additionally, she has deep experience in mortgage tech and homebuilding. She advises on trades and trade education.</t>
  </si>
  <si>
    <t>Partner &amp; Advisor</t>
  </si>
  <si>
    <t>384169-42P</t>
  </si>
  <si>
    <t>Jenna Louie</t>
  </si>
  <si>
    <t>Ms. Jenna Louie serves as Advisor &amp; Partner at Home Technology Ventures. She is the Chief Innovation &amp; Strategy Officer for Ivory Innovations, a leading organization dedicated to finding solutions to affordable housing leveraging innovation.</t>
  </si>
  <si>
    <t>417214-18P</t>
  </si>
  <si>
    <t>John Makarewicz</t>
  </si>
  <si>
    <t>Makarewicz</t>
  </si>
  <si>
    <t>Mr. John Makarewicz serves as Advisor &amp; Partner at Home Technology Ventures. He is the former CEO of Mark Spain Real Estate, one of the largest real estate brokerages in the United States generating more than $3B in annual transaction volume with 3x the average sales volume and 4x the average closings per agent.</t>
  </si>
  <si>
    <t>135548-83P</t>
  </si>
  <si>
    <t>Keith Luedeman</t>
  </si>
  <si>
    <t>Luedeman</t>
  </si>
  <si>
    <t>Mr. Keith Luedeman serves as Advisor &amp; Partner at Home Technology Ventures. He serves as an Operating Partner &amp; Limited Partner at IDEA Fund Partners. He also serves as a Venture Partner at CFV Ventures. He also was the Founder and served as Chief Executive Officer at goodmortgage.com. He was also the Owner of goodmortgage.com. He graduated from Clemson University.</t>
  </si>
  <si>
    <t>+1 (919) 808-4000</t>
  </si>
  <si>
    <t>417211-66P</t>
  </si>
  <si>
    <t>Koby Powell</t>
  </si>
  <si>
    <t>Koby</t>
  </si>
  <si>
    <t>Mr. Koby Powell serves as Associate at Home Technology Ventures. He holds a BBA in Finance from Texas Christian University.</t>
  </si>
  <si>
    <t>43282-99P</t>
  </si>
  <si>
    <t>Oisin Hanrahan</t>
  </si>
  <si>
    <t>Oisin</t>
  </si>
  <si>
    <t>Hanrahan</t>
  </si>
  <si>
    <t>Mr. Oisin Hanrahan is a Co-Founder and serves as Chief Executive Officer at Keychain. He serves as Chief Executive Officer at ANGI Homeservices. He also serves as a Partner &amp; Advisor at Home Services at Home Technology Ventures. He is a Co-Founder and serves as the Chief Executive Officer and Board Member at Handy. Before founding Handy, Oisin founded MiCandidate, a service providing real-time political content to media companies in 25 European countries. He also founded Clearwater Group, a real estate development business in Budapest, Hungary. In 2009, he co-founded The Undergraduate Awards, a foundation that supports and celebrates outstanding undergraduate students globally. He holds a BE in Business &amp; Economics from Trinity College Dublin, an MSc. in Finance &amp; Private Equity from the London School of Economics and Political Science, an MBA from Harvard Business School, and a degree from Uppsala Universitet.</t>
  </si>
  <si>
    <t>+1 (617) 910-4813</t>
  </si>
  <si>
    <t>ohanrahan@keychain.com</t>
  </si>
  <si>
    <t>P.O. Box 1122</t>
  </si>
  <si>
    <t>10159</t>
  </si>
  <si>
    <t>Angi (Former)</t>
  </si>
  <si>
    <t>74463-22P</t>
  </si>
  <si>
    <t>Richard Maltsbarger</t>
  </si>
  <si>
    <t>Maltsbarger</t>
  </si>
  <si>
    <t>Mr. Richard Maltsbarger serves as Chief Executive Officer &amp; Board Member at Pet Valu. He serves as an Investor Member at Home Technology Ventures. Prior to joining Pet Valu in November 2018, he held multiple positions with Lowe's Companies Inc. from 2004 to 2018, most recently serving as Chief Operating Officer for United States Operations and previously serving as President of International overseeing operations in Canada and Mexico, and as Chief Development Officer in which he had executive management oversight of strategy, mergers &amp; acquisitions, enterprise and consumer analytics and innovation. He currently serves on the National Board of Trustees for the National 4-H Council and as an advisor to the University of Missouri System through the Missouri 100. He earned a Bachelor of Science and a Master of Science in Agricultural Economics from the University of Missouri and a Master of Business Administration from the Washington University in St. Louis.</t>
  </si>
  <si>
    <t>+1 (800) 738-8258</t>
  </si>
  <si>
    <t>rmaltsbarger@petvalu.com</t>
  </si>
  <si>
    <t>Markham</t>
  </si>
  <si>
    <t>Markham, Canada</t>
  </si>
  <si>
    <t>130 Royal Crest Court</t>
  </si>
  <si>
    <t>Suite 106</t>
  </si>
  <si>
    <t>L3R 0A1</t>
  </si>
  <si>
    <t>Pet Valu</t>
  </si>
  <si>
    <t>119773-36P</t>
  </si>
  <si>
    <t>Ashley Mayer</t>
  </si>
  <si>
    <t>Homebrew</t>
  </si>
  <si>
    <t>Ms. Ashley Mayer is a Co-Founder and serves as General Partner at Coalition Operators. Ms. Mayer serves as an Advisor at Homebrew. She served as a Partner and Vice President of marketing at Social Capital. Before joining the firm, she worked at Box as a Senior Director of Communications. She holds a B.A. in Government, English, and Spanish from Georgetown University where she graduated Summa Cum Laude. She is an Angel Investor.</t>
  </si>
  <si>
    <t>+1 (650) 543-6900</t>
  </si>
  <si>
    <t>ashley@coalitionoperators.com</t>
  </si>
  <si>
    <t>Coalition Operators</t>
  </si>
  <si>
    <t>103620-43P</t>
  </si>
  <si>
    <t>Beth Scheer</t>
  </si>
  <si>
    <t>Ms. Beth Scheer serves as Head of Talent at Homebrew. Previously she serves as a Head of Executive Recruiting at Salesforce. I joined Google in 2003 to build out the AdSense team and then spent 6 years hiring for business operations, corporate communications, corporate development, and various engineering teams, new graduate PhDs. I am a proud graduate of The Colorado College with a BS in Psychology.</t>
  </si>
  <si>
    <t>+1 (917) 744-4940</t>
  </si>
  <si>
    <t>beth@homebrew.co</t>
  </si>
  <si>
    <t>Burlingame</t>
  </si>
  <si>
    <t>Burlingame, CA</t>
  </si>
  <si>
    <t>409 Primrose Road</t>
  </si>
  <si>
    <t>94010</t>
  </si>
  <si>
    <t>Head of Talent</t>
  </si>
  <si>
    <t>171087-94P</t>
  </si>
  <si>
    <t>Cherie Yu</t>
  </si>
  <si>
    <t>Ms. Cherie Yu serves as Chief Marketing Officer at Woddle. She serves as an Advisor at Homebrew. She served as Chief Marketing Officer at Kiavi. She served as Head of Local Marketing at Lyft. An experienced marketing leader, she built and led the local marketing team at Lyft, scaling passenger growth and brand efforts across top markets. Previously, she held marketing leadership positions at Google, including leading marketing for AdSense, Display, Ad Management, Offers, and Shopping businesses. She started her career in financial services, first in Sales and Trading at Lehman Brothers and then at American Express. She graduated magna cum laude from Duke University and also holds an MBA from the Kellogg School of Management at Northwestern University</t>
  </si>
  <si>
    <t>Woddle</t>
  </si>
  <si>
    <t>38602-36P</t>
  </si>
  <si>
    <t>Cory Ondrejka</t>
  </si>
  <si>
    <t>Ondrejka</t>
  </si>
  <si>
    <t>Mr. Cory Ondrejka serves as Chief Technology Officer at Smartnews. He serves as Advisor at Celmatix. He serves as a Board Member at Pacific Light &amp; Hologram. He co-founded Ampersand (Social/Platform Software). Previously, he co-founded and served as the Chief Executive Officer at Mori. Ondrejka served as Vice President, Mobile Engineering at Facebook. Mr. Ondrejka co-founded Walletin, which was acquired by Facebook in November 2010. Previously he served as Chief Technical Officer of Linden Lab. He has a BS degree in Weapons and Systems Engineers from U.S. Naval Academy in 1992. He also serves as Advisor at Homebrew.</t>
  </si>
  <si>
    <t>cory.ondrejka@smartnews.com</t>
  </si>
  <si>
    <t>2nd Floor, Ichigo Jingumae Building</t>
  </si>
  <si>
    <t>6-25-16 Jingumae, Shibuya-ku</t>
  </si>
  <si>
    <t>150-0001</t>
  </si>
  <si>
    <t>SmartNews</t>
  </si>
  <si>
    <t>41416-84P</t>
  </si>
  <si>
    <t>Eugene Wei</t>
  </si>
  <si>
    <t>Mr. Eugene Wei serves as Advisor at Homebrew. He Co-Founder &amp; served as Vice President, Products/Services at Erly. He was SVP of Audience and Head of Product Management at Hulu, where he was responsible for the product, user acquisition, design, and customer service. Before that, he spent seven years at Amazon.com in a variety of leadership roles across the company. He also serves as an Advisor at Homebrew. He graduated from Stanford University with a B.S. in Industrial Engineering and a B.A. in English and also studied in the graduate directing program at UCLA Film School.</t>
  </si>
  <si>
    <t>+1 (206) 675-1461</t>
  </si>
  <si>
    <t>eugene.wei@oculus.com</t>
  </si>
  <si>
    <t>47014-12P</t>
  </si>
  <si>
    <t>Hunter Walk</t>
  </si>
  <si>
    <t>Walk</t>
  </si>
  <si>
    <t>Mr. Hunter Walk is a Co-Founder and serves as Partner at Homebrew. Mr. Walk serves as an Advisor at Screendoor. He served as Board Member at Gatheround.. He served as Board Observer at Toolchain Labs. He served as an Advisor at Even. He serves as Board Member at Stir. He served as Board Member Shyp. He also served as an Advisor at Resolute Ventures. Prior to Homebrew, he was VP of Product at Twitter, building and leading the Product Management and User Services teams. Before Twitter, he was a Partner at Battery Ventures, where he co-led the seed and early-stage investing practices. He joined Google in 2003 and was responsible for AdSense product management and partnerships. Before heading to Silicon Valley for Google, he worked for DoubleClick, in venture capital and as a strategy consultant. He is an Angel Investor. He holds an MBA from Stanford Graduate School of Business and a BA in History from Vassar College. He served as Director, Product Management at YouTube. He serves as Board Member at Assembly.</t>
  </si>
  <si>
    <t>hunter@homebrew.co</t>
  </si>
  <si>
    <t>47339-38P</t>
  </si>
  <si>
    <t>Mr. Michael Smith serves as Board Member at MillerKnoll. He is a Co-Founder and serves as General Partner of Footwork. He serves as a Board Member at Stitch Fix. He serves as a Board Member at Table22. He has served as our President and Chief Operating Officer since October 2018. He serves as a Board Observer at Tracksuit. He served as a Board Member at Imperfect Foods. He served as Board Member at Food52. He served as Board Member at Mayvenn. He previously served as Chief Operating Officer from September 2017 to October 2018, was our General Manager, at Stitch Fix Men from March 2016 to September 2017, and served as our Chief Operating Officer from June 2012 to March 2016. From 2003 to 2012, he served in a variety of capacities at Walmart.com, Inc., an online retail company, including Vice President from 2008 to 2010 and Chief Operating Officer from 2010 to 2012. He holds a B.A. in Interdisciplinary Studies from the University of Virginia and an M.B.A. from the University of California, Berkeley. He serves as Board Member at Heard.</t>
  </si>
  <si>
    <t>+1 (616) 654-3000</t>
  </si>
  <si>
    <t>mike@footwork.vc</t>
  </si>
  <si>
    <t>Zeeland</t>
  </si>
  <si>
    <t>Zeeland, MI</t>
  </si>
  <si>
    <t>855 East Main Avenue</t>
  </si>
  <si>
    <t>49464</t>
  </si>
  <si>
    <t>MillerKnoll</t>
  </si>
  <si>
    <t>46175-68P</t>
  </si>
  <si>
    <t>Peter Navin</t>
  </si>
  <si>
    <t>Mr. Peter Navin serves as Advisor at Homebrew. Mr. Navin served as Consultant &amp; Advisor at Water Street Partners (Washington). He served as Chief Human Resources Officer at Grand Rounds. He serves as an Advisor at Homebrew. Previously, he served as the Chief Human Resources Officer at DocuSign. He is responsible for driving DocuSign's talent, organizational effectiveness, employment branding, internal communications, and culture strategy. Additionally, he oversees DocuSign's Real Estate and Workplace Services, Corporate Social Responsibility, and the DocuSign Foundation. He currently serves on the board of a non-profit Charter School system. Before DocuSign, he spent six years at Shutterfly, serving most recently as Senior Vice President of Human Resources. There he was instrumental in architecting Shutterfly's award-winning, high-performance culture. He was also responsible for leading Shutterfly's Real Estate and Workplace Services team and the Shutterfly Foundation. Prior to Shutterfly, he was Vice President of HR at Electronic Arts where he had responsibility for the Games Label group and HR M&amp;A. He also served as VP of Corporate Operations and Human Resources at ChemConnect, a venture-backed Internet-based company, and has held HR leadership roles with Brown Brothers Harriman &amp; Co., First Physician Care, Inc., and Blue Cross Blue Shield of Massachusetts. Mr. Navin earned his Bachelor of Arts in American History from the Catholic University of America.</t>
  </si>
  <si>
    <t>+1 (415) 814-3340</t>
  </si>
  <si>
    <t>42361-21P</t>
  </si>
  <si>
    <t>Prakash Janakiraman</t>
  </si>
  <si>
    <t>Janakiraman</t>
  </si>
  <si>
    <t>Mr. Prakash Janakiraman serves as Board Member at Mamas. Mr.Janakiraman is a Co-Founder and Advisor at Nextdoor. He serves as an Advisor at Homebrew. He is also an Angel Investor. He serves as an Advisor at Parade Ventures. He was Nextdoor's Chief Architect, and Head of Diversity, Equity, Inclusion, and Belonging (DEIB). He previously led engineering teams for Google Maps. Before that, he was at Shopping.com, Epinions, and Excite@Home. He has over 25 years of experience building and leading engineering teams for large-scale consumer Internet applications. In addition to leading Nextdoor's overall technology strategy, He oversees Nextdoor's DEIB efforts to make the company and platform welcoming to all. Before co-founding Nextdoor, he spent nearly three years at Google, where he led the core engineering teams for Google Maps and Google Base. He also previously held engineering roles at Shopping.com, Epinions, and Excite@Home building community, commerce, and content applications. He holds a Degree from the University of California, Berkeley in 1996.</t>
  </si>
  <si>
    <t>15136 Stagg Street</t>
  </si>
  <si>
    <t>Van Nuys</t>
  </si>
  <si>
    <t>91405</t>
  </si>
  <si>
    <t>Mamas</t>
  </si>
  <si>
    <t>88783-21P</t>
  </si>
  <si>
    <t>Roy Sehgal</t>
  </si>
  <si>
    <t>Sehgal</t>
  </si>
  <si>
    <t>Mr. Roy Sehgal serves as Advisor at Homebrew. He serves as Advisor at YouNow. He is an Angel Investor at Amplitude. He served as Chief Operating Officer at Imgur. Previously, he served as a Vice President and General Manager at Zynga. He was formerly the head of corporate development at Atom Entertainment, which he helped get acquired for $200 million by Viacom in 2006. He then became a General Manager and VP at Zynga back when Zynga was actually a good company. His teams' products saw 10 million daily actives and $100 million in annual revenue.</t>
  </si>
  <si>
    <t>+1 (408) 727-5859</t>
  </si>
  <si>
    <t>201 3rd Street</t>
  </si>
  <si>
    <t>Amplitude</t>
  </si>
  <si>
    <t>36502-39P</t>
  </si>
  <si>
    <t>Ryan Graves</t>
  </si>
  <si>
    <t>Graves</t>
  </si>
  <si>
    <t>Mr. Ryan Graves is the Founder and serves as Chief Executive Officer at Saltwater Capital. He is also a Board Member at Pachama. He served as a Board Member at NoCap Live. He also served as an Advisor at Garden City (Georgia). He previously served as Senior Vice President of Global Operations at Uber Technologies. Prior to taking on his role as SVP of Global Operations, he served as Chief Executive Officer at Uber. His business and technology experience ranges from organization scaling, business development, and product management (startups: Uber, foursquare, SocialDreamium) to large ERP implementations &amp; corporate restructuring (corporate: General Electric, CNA Insurance). He holds a BA degree in Economics from Miami University. He also serves as Advisor at Homebrew. He also serves as Board Member at Metromile.</t>
  </si>
  <si>
    <t>ryan@saltwater.com</t>
  </si>
  <si>
    <t>Honolulu</t>
  </si>
  <si>
    <t>Honolulu, HI</t>
  </si>
  <si>
    <t>1441 Kapiolani Boulevard</t>
  </si>
  <si>
    <t>Suite 1114, Number 55379</t>
  </si>
  <si>
    <t>Hawaii</t>
  </si>
  <si>
    <t>96814-4406</t>
  </si>
  <si>
    <t>Saltwater Capital</t>
  </si>
  <si>
    <t>79523-83P</t>
  </si>
  <si>
    <t>Sasha Lubomirsky</t>
  </si>
  <si>
    <t>Lubomirsky</t>
  </si>
  <si>
    <t>Ms. Sasha Lubomirsky serves as Advisor at Homebrew. She also serves as Creative Director Product Design at ueno.</t>
  </si>
  <si>
    <t>13463-74P</t>
  </si>
  <si>
    <t>Satya Patel</t>
  </si>
  <si>
    <t>Satya</t>
  </si>
  <si>
    <t>Mr. Satya Patel is a Co-Founder and serves as Partner at Homebrew. He is an Angel Investor. He serves as Advisor at Screendoor. He served as Board Member at Shield AI. He served as Board Member at Ride Report. He serves as Board Observer at Concentric. He is an Advisor of Validately. He served as Board Member at Intellimize, Finix Payments, Skimm, and Hummingbird. He served as Board Member at Outlier. He serves as Board Member at De-Ice. He served as Board Member at pulseData and Lumi. He served as an Advisor at Even and Trip.com. He serves as Chairman at Clementine Labs. He serves as Advisor at Gogobot and ProsperWorks. Prior to Homebrew, he served as Director of Product Management at Twitter. He joined Twitter from Battery Ventures in early 2011. He joined Battery in 2007 and focused on the software, consumer internet, and digital media markets. He served on the boards of BlueKai, Freewheel Media, and Lotame Solutions and is a board observer for Angie's List, Bazaarvoice, and Addison. His prior experience spans more than a decade in online media and software, both in operating and investing roles. Before joining Battery, he spent several years at Google, most recently as Senior Product Manager for AdSense. Beginning in 2003, he helped to build the AdSense business through various partner development and product management activities. Before Google, he was a Senior Product Manager at DoubleClick, leading the company's efforts in the search marketing business. He also worked on various product and operational initiatives for the DART ad-serving platform, including with both publishers and advertisers/agencies. Earlier in his career, he was a Senior Associate at Impact Venture Partners, an early-stage venture capital firm based in New York, where he focused on investments in the Internet software, services, and media markets. Representative investments include OpenTable and MessageOne. He began his venture capital career at Geocapital Partners, a trans-Atlantic technology venture capital firm. Representative investments from Geocapital include Homestore, StepStone, and Geneva Technology. He also worked for Monitor Company, the strategy consulting firm, as a strategy consultant in its New York and Tel Aviv offices. He is the co-inventor of 14 pending patents related to online advertising. He also serves on the board of Spredfast and KIPP Bay Area Schools. He graduated from the University of Pennsylvania with a BS in Finance from the Wharton School and a BA in Psychology from the College of Arts &amp; Sciences. He also served as Advisor at Compound. He served as Board Member at theSkimm.</t>
  </si>
  <si>
    <t>satya@homebrew.co</t>
  </si>
  <si>
    <t>41303-17P</t>
  </si>
  <si>
    <t>Scott Belsky</t>
  </si>
  <si>
    <t>Belsky</t>
  </si>
  <si>
    <t>Mr. Scott Belsky serves as Advisor at Expa. Mr. Belsky served as Chief Strategy Officer &amp; Executive Vice President, Design &amp; Emerging Products at Adobe. Mr. Belsky is an Angel Investor. He serves as Board Member at Globality &amp; Sweetgreen. He served as a General Partner at Benchmark. He joined Adobe in December 2017 as Chief Product Officer and Executive Vice President, of Creative Cloud. Prior to Benchmark, he led Adobe's mobile strategy for Creative Cloud from December 2012 to January 2016, having joined the company through the acquisition of Behance. He co-founded Behance in 2006 and served as its CEO for over 6 years. He is an early advisor and investor to Pinterest, Uber, and Warby Parker among other early-stage companies, and co-founded and serves on the board of Prefer, a referrals platform that empowers the careers of independent professionals. Mr. Belsky also serves on the advisory board of Cornell University's Entrepreneurship Program and as President of the Smithsonian Cooper-Hewitt National Design Museum board of trustees. He also serves as Advisor at Homebrew, Northstar and Fiddler. He served as Operating Partner at Pierpoint Capital. Scott holds a bachelor's degree from Cornell University and an MBA from Harvard Business School. He serves on the advisory board of Cornell University's Entrepreneurship Program and the board of trustees for the Museum of Modern Art in New York.</t>
  </si>
  <si>
    <t>+1 (408) 536-6000</t>
  </si>
  <si>
    <t>345 Park Avenue</t>
  </si>
  <si>
    <t>95110-2704</t>
  </si>
  <si>
    <t>+1 (408) 537-6000</t>
  </si>
  <si>
    <t>Chief Strategy Officer &amp; Executive Vice President, Design &amp; Emerging Products</t>
  </si>
  <si>
    <t>Adobe</t>
  </si>
  <si>
    <t>41574-52P</t>
  </si>
  <si>
    <t>Stacy Brown-Philpot</t>
  </si>
  <si>
    <t>Brown-Philpot</t>
  </si>
  <si>
    <t>Ms. Stacy Brown-Philpot is the Co-Founder and serves as Managing Partner at Cherryrock Capital. She serves as an Advisory Board Member &amp; Operator LP at Operator Collective. She was a Founding Member of the Open Opportunity Fund. She serves as a Trustee at Stanford University. She serves as Board Member &amp; Member of the Audit, Nominating, Governance, and Social Responsibility Committee at HP. She serves as a Board Member at Noom, Ariel Alternatives. She has served as an Advisory Board Member at General Catalyst, LLC. She has also served as a board member at HP Inc., Joy, Nordstrom, Inc., StockX, and The Urban Institute. She is an Angel Investor. She holds a BS in Economics from the University of Pennsylvania (Wharton) and an MBA from Stanford University.</t>
  </si>
  <si>
    <t>+1 (650) 857-1501</t>
  </si>
  <si>
    <t>1501 Page Mill Road</t>
  </si>
  <si>
    <t>94304</t>
  </si>
  <si>
    <t>Founding Member</t>
  </si>
  <si>
    <t>Open Opportunity Fund (Former)</t>
  </si>
  <si>
    <t>172038-52P</t>
  </si>
  <si>
    <t>Christian Bilger</t>
  </si>
  <si>
    <t>Bilger</t>
  </si>
  <si>
    <t>Honeycomb Credit</t>
  </si>
  <si>
    <t>Mr. Christian Bilger is a Co-Founder and serves as Chief Operating Officer at Honeycomb Credit. He is a veteran of the financial services industry, primarily focused on hedge funds and alternative investments while working at JPMorgan and Wellington Management. He is a graduate of St. Michael's College and holds an MBA from the Tepper School at Carnegie Mellon University.</t>
  </si>
  <si>
    <t>+1 (814) 442-1937</t>
  </si>
  <si>
    <t>christian@honeycombcredit.com</t>
  </si>
  <si>
    <t>6008 Broad Street</t>
  </si>
  <si>
    <t>15206</t>
  </si>
  <si>
    <t>172038-70P</t>
  </si>
  <si>
    <t>George Cook</t>
  </si>
  <si>
    <t>Mr. George Cook is a Co-Founder and serves as Chief Executive Officer, President &amp; Board Member at Honeycomb Credit. He has deep lending industry experience from his time with TransUnion and ZestFinance. He is a graduate of George Washington University and the Tuck School of Business at Dartmouth College.</t>
  </si>
  <si>
    <t>george@honeycombcredit.com</t>
  </si>
  <si>
    <t>66600-46P</t>
  </si>
  <si>
    <t>Joseph Lipple</t>
  </si>
  <si>
    <t>Lipple</t>
  </si>
  <si>
    <t>Mr. Joseph Lipple serves as Chief Product Officer at Honeycomb Credit. Mr. Lipple co-founded and served as Board Member at Lily&amp;Strum.</t>
  </si>
  <si>
    <t>joe@honeycombcredit.com</t>
  </si>
  <si>
    <t>171934-66P</t>
  </si>
  <si>
    <t>Kenneth Martin</t>
  </si>
  <si>
    <t>Mr. Kenneth Martin is a Co-Founder and serves as Board Member at Honeycomb Credit. He is a serial entrepreneur with a track record of building successful food and beverage businesses. Previously, he was a Vice President at Barclays. He holds degrees from Georgetown University, the London School of Economics, and Dartmouth College.</t>
  </si>
  <si>
    <t>+1 (469) 323-2911</t>
  </si>
  <si>
    <t>ken@honeycombcredit.com</t>
  </si>
  <si>
    <t>337591-00P</t>
  </si>
  <si>
    <t>Mathias Jamora</t>
  </si>
  <si>
    <t>Jamora</t>
  </si>
  <si>
    <t>Mr. Mathias Jamora serves as Chief Financial Officer at Honeycomb Credit. Mr. Jamora served as Chief Financial Officer at Seniorly.</t>
  </si>
  <si>
    <t>mathias@honeycombcredit.com</t>
  </si>
  <si>
    <t>405042-04P</t>
  </si>
  <si>
    <t>Topiltzin Gomez</t>
  </si>
  <si>
    <t>Topiltzin</t>
  </si>
  <si>
    <t>Mr. Topiltzin Gomez serves as Head of Capital Strategies &amp; Partnerships at Honeycomb Credit.</t>
  </si>
  <si>
    <t>topiltzin@honeycombcredit.com</t>
  </si>
  <si>
    <t>Head of Capital Strategies &amp; Partnerships</t>
  </si>
  <si>
    <t>179366-68P</t>
  </si>
  <si>
    <t>Eric Alfuth</t>
  </si>
  <si>
    <t>Alfuth</t>
  </si>
  <si>
    <t>Houston Angel Network</t>
  </si>
  <si>
    <t>Mr. Eric Alfuth serves as Chief Financial Officer at Compass Mining. He also serves as the President and Board Member of Houston Angel Network. He served as Managing Partner at Caymont Ventures. He is a Corporate executive, board member, and early-stage investor.</t>
  </si>
  <si>
    <t>+1 (786) 202-6241</t>
  </si>
  <si>
    <t>eric@compassmining.io</t>
  </si>
  <si>
    <t>251 Little Falls Drive</t>
  </si>
  <si>
    <t>19808</t>
  </si>
  <si>
    <t>Compass Mining</t>
  </si>
  <si>
    <t>367759-27P</t>
  </si>
  <si>
    <t>Lee Davis JD</t>
  </si>
  <si>
    <t>Board Member &amp; General Counsel</t>
  </si>
  <si>
    <t>Mr. Lee Davwas served as a Partner at Hunton Andrews Kurth. He counsels companies and entrepreneurs, as well as venture capital and private equity investors and their portfolio companies, in connection with corporate and transactional matters, including mergers, acquisitions, divestitures, growth equity and private financing transactions, joint ventures and corporate reorganizations, and general corporate and securities matters.</t>
  </si>
  <si>
    <t>+1 713 220 4394</t>
  </si>
  <si>
    <t>1801 Main Street</t>
  </si>
  <si>
    <t>Suite 1300 Box 12</t>
  </si>
  <si>
    <t>General Counsel &amp; Board Member</t>
  </si>
  <si>
    <t>402260-59P</t>
  </si>
  <si>
    <t>Mitra Miller</t>
  </si>
  <si>
    <t>Board Member &amp; Vice President</t>
  </si>
  <si>
    <t>Ms. Mitra Miller serves as Vice President &amp; Board Member at Houston Angel Network.</t>
  </si>
  <si>
    <t>Vice President &amp; Board Member</t>
  </si>
  <si>
    <t>401892-13P</t>
  </si>
  <si>
    <t>Rezwan Mirza</t>
  </si>
  <si>
    <t>Rezwan</t>
  </si>
  <si>
    <t>Mr. Rezwan Mirza serves as Chief Financial Officer at Beyond Global Management. Mr. Mirza serves as Treasurer at Houston Angel Network. He has over 30 years of expertise in accounting, finance, strategy, fundraising, mergers and acquisitions, restructurings, management, and operations. He has advised businesses across diverse industries, including Technology, Media, Telecoms, Energy, Oilfield Services, Manufacturing, Construction, Retail (traditional and e-commerce), Banking, State-Owned Enterprises, and Advertising &amp; Marketing. From early-stage startups to Fortune 500 companies, Mr. Mirza has held global leadership roles, managing over 1,000 employees for an international bank. Mr. Mirza has raised over $100 billion in public and private capital, including venture capital, private equity, IPOs, convertibles, bonds, bank debt, trade finance, and working capital. He has successfully operated across North America, Western Europe, the Middle East, and Asia, adapting to various cultural environments and working with Fortune 500 companies, FTSE 100 companies, startups, private equity firms, venture capital firms, alternate lenders, and government agencies. He holds a BA in Economics from Rice University, a Master of Accounting from Jones Graduate School of Business at Rice University, and an MBA from Booth School of Business at the University of Chicago. He is a Certified Public Accountant (CPA).</t>
  </si>
  <si>
    <t>+1 (949) 656-7399</t>
  </si>
  <si>
    <t>rezwan.mirza@beyondgm.com</t>
  </si>
  <si>
    <t>15615 Alton Parkway</t>
  </si>
  <si>
    <t>Beyond Global Management</t>
  </si>
  <si>
    <t>407202-04P</t>
  </si>
  <si>
    <t>Ad Poel</t>
  </si>
  <si>
    <t>Ad</t>
  </si>
  <si>
    <t>Poel</t>
  </si>
  <si>
    <t>HSBC Innovation Banking</t>
  </si>
  <si>
    <t>Mr. Ad Poel serves as Chief Product Officer at HSBC Innovation Banking. He is responsible for the development, deployment and commercialisation of credit products, liquidity, payments, receivables, FX, card, channels and information services for innovators and their investors.</t>
  </si>
  <si>
    <t>+44 (0)20 7367 7800</t>
  </si>
  <si>
    <t>apoel@hsbcinnovationbanking.com</t>
  </si>
  <si>
    <t>14-18 Finsbury Square</t>
  </si>
  <si>
    <t>Alphabeta</t>
  </si>
  <si>
    <t>EC2A 1BR</t>
  </si>
  <si>
    <t>40407-85P</t>
  </si>
  <si>
    <t>Alex Choy</t>
  </si>
  <si>
    <t>Mr. Alex Choy is a Co-Founder of InvestInData. He's also a Managing Director at HSBC Innovation Banking. He served as Vice President of software at SVB Capital. He previously served as a Senior Associate at TriplePoint Capital. He served as Director at SVB Financial Group.</t>
  </si>
  <si>
    <t>InvestInData</t>
  </si>
  <si>
    <t>411190-21P</t>
  </si>
  <si>
    <t>Andrew Hunter</t>
  </si>
  <si>
    <t>Mr. Andrew Hunter serves as Associate at HSBC Innovation Banking.</t>
  </si>
  <si>
    <t>ahunter@hsbcinnovationbanking.com</t>
  </si>
  <si>
    <t>356198-05P</t>
  </si>
  <si>
    <t>Conor Sheehy</t>
  </si>
  <si>
    <t>Mr. Conor Sheehy serves as Managing Director, Warehouse Finance EMEA at HSBC Innovation Banking.</t>
  </si>
  <si>
    <t>csheehy@hsbcinnovationbanking.com</t>
  </si>
  <si>
    <t>Managing Director, Warehouse Finance EMEA</t>
  </si>
  <si>
    <t>117027-28P</t>
  </si>
  <si>
    <t>David Sabow</t>
  </si>
  <si>
    <t>Sabow</t>
  </si>
  <si>
    <t>Mr. David Sabow serves as Head of Technology and Healthcare at HSBC Innovation Banking. He served as Head of Technology &amp; Healthcare Banking, in North America at Silicon Valley Bank. He joined Silicon Valley Bank in 2012 to support late-stage lending in the Life Science and Healthcare Practice. Before joining Silicon Valley Bank, he spent nine years in the life science investment banking practice at Canaccord Genuity, with responsibility for both domestic and international deals across the life science and healthcare spectrum, specializing in public financings and M&amp;A transactions.</t>
  </si>
  <si>
    <t>dsabow@hsbcinnovationbanking.com</t>
  </si>
  <si>
    <t>Head of Technology and Healthcare</t>
  </si>
  <si>
    <t>263283-94P</t>
  </si>
  <si>
    <t>Dominic Honmong</t>
  </si>
  <si>
    <t>Honmong</t>
  </si>
  <si>
    <t>Mr. Dominic Honmong serves as Vice President II, Early Stage Banking (EMEA) at HSBC Innovation Banking. He served as Vice President II, Early Stage Practice at SVB Financial Group.</t>
  </si>
  <si>
    <t>dhonmong@hsbcinnovationbanking.com</t>
  </si>
  <si>
    <t>Vice President II, Early Stage Banking (EMEA)</t>
  </si>
  <si>
    <t>237324-07P</t>
  </si>
  <si>
    <t>Dominick Kennerson</t>
  </si>
  <si>
    <t>Dominick</t>
  </si>
  <si>
    <t>Kennerson</t>
  </si>
  <si>
    <t>Mr. Dominick Kennerson serves as Head of HealthTech and Medical Devices at HSBC Innovation Banking. He served as Global Head, G4A Digital Health at G4A. As a Washington, DC native, Dom developed his earlier career experiences in lab research, hospitals, digital health start-ups, and healthcare investment banking. He stepped onto the international healthcare stage as a Robert Bosch Foundation fellow in 2010. As Global Head of G4A, Dom supports the team and engages with the digital health start-up ecosystem to change the experience of health-to put people at the center of managing their health in the digital age.</t>
  </si>
  <si>
    <t>dominick.kennerson@hsbc.com</t>
  </si>
  <si>
    <t>Head of HealthTech and Medical Devices</t>
  </si>
  <si>
    <t>409425-67P</t>
  </si>
  <si>
    <t>Emily Rose</t>
  </si>
  <si>
    <t>Ms. Emily Rose serves as Managing Director at HSBC Innovation Banking.</t>
  </si>
  <si>
    <t>emily.rose@hsbc.com</t>
  </si>
  <si>
    <t>122676-49P</t>
  </si>
  <si>
    <t>Emily Turner</t>
  </si>
  <si>
    <t>Ms. Emily Turner serves as Chief Executive Officer at HSBC Innovation Banking. She served as a management consultant at McKinsey &amp; Company in London, and she has a depth of experience in financial services through her roles at Merrill Lynch, ABN Amro, and UBS. She has a BA in Sociology from Dartmouth College and an MBA from Columbia Business School. She served as Head of Innovation &amp; Business Development, Citi Institutional Clients Group at Citi Ventures.</t>
  </si>
  <si>
    <t>+1 (650) 798-8140</t>
  </si>
  <si>
    <t>eturner@hsbcinnovationbanking.com</t>
  </si>
  <si>
    <t>348796-36P</t>
  </si>
  <si>
    <t>Greg Brown</t>
  </si>
  <si>
    <t>Mr. Greg Brown serves as Managing Director and Head of Investor Coverage at HSBC Innovation Banking. He served as Managing Director and Head of Investor Coverage at Silicon Valley Bank.</t>
  </si>
  <si>
    <t>gbrown@hsbcinnovationbanking.com</t>
  </si>
  <si>
    <t>Managing Director and Head of Investor Coverage</t>
  </si>
  <si>
    <t>139387-33P</t>
  </si>
  <si>
    <t>Jean-Laurent Pelissier</t>
  </si>
  <si>
    <t>Jean-Laurent</t>
  </si>
  <si>
    <t>Pelissier</t>
  </si>
  <si>
    <t>Mr. Jean-Laurent Pelissier serves as Managing Director &amp; Head of Enterprise Software at HSBC Innovation Banking. Mr. Jean-Laurent Pelissier served as Investment Manager and also he is an Associate at Santander InnoVentures. He joined Santander Innoventures as an Associate in 2016. Prior to joining Santander, Jean-Laurent was Vice President at Silicon Valley Bank and spent over 4 years working with innovative technology and life science companies. Whilst at Silicon Valley Bank, Jean-Laurent led the analysis, structuring, negotiation and portfolio management of debt facilities for early and growth stage clients. He holds an MSc in Finance from the London School of Economics, as well as a BA in Economics and BSc in Mathematics (summa cum laude) from the University of California, Davis.</t>
  </si>
  <si>
    <t>jpelissier@hsbcinnovationbanking.com</t>
  </si>
  <si>
    <t>Managing Director &amp; Head of Enterprise Software</t>
  </si>
  <si>
    <t>444654-37P</t>
  </si>
  <si>
    <t>Jonno Southam</t>
  </si>
  <si>
    <t>Jonno</t>
  </si>
  <si>
    <t>Southam</t>
  </si>
  <si>
    <t>Mr. Jonno Southam serves as Managing Director of Investor Success at HSBC Innovation Banking. Mr. Southam is Managing Director of Investor Success at HSBC Innovation Banking, leading the development of a market leading value add platform to 1/help VC backed startups connect to capital, 2/support emerging managers connect to LPs, 3/driving GTM connections with HSBC and corporates. Previously, he led Venture Capital &amp; Private Equity coverage for the EMEA region at Google Cloud, where his team drove strategic engagements with VC and PE backed portfolio companies. He also spend over 9 years at AWS leading VC and startup ecosystem engagement in the UKI. With over 25 years of experience as both an entrepreneur and a dedicated innovation ecosystem enabler, he has a deep understanding of the challenges and opportunities facing startups. He is also an occasional angel investor in early-stage startups and a limited partner in venture capital firms, leveraging his expertise and network to support the next generation of innovators. He is an inspirational international public speaker, communicating topics from scaling startup culture, building a robust hiring process and developing technology led GTM strategies. His mission is to drive impact and innovation in the EMEA startup ecosystem.</t>
  </si>
  <si>
    <t>jonno.southam@hsbc.com</t>
  </si>
  <si>
    <t>Managing Director of Investor Success</t>
  </si>
  <si>
    <t>170116-48P</t>
  </si>
  <si>
    <t>Juliet Rogan</t>
  </si>
  <si>
    <t>Rogan</t>
  </si>
  <si>
    <t>Ms. Juliet Rogan serves as Managing Director, Investor Coverage at HSBC Innovation Banking. She served as Head of Core Banking at Barclays.</t>
  </si>
  <si>
    <t>jrogan@hsbcinnovationbanking.com</t>
  </si>
  <si>
    <t>Managing Director, Investor Coverage</t>
  </si>
  <si>
    <t>409610-71P</t>
  </si>
  <si>
    <t>Lucy Parker</t>
  </si>
  <si>
    <t>Ms. Lucy Parker serves as Vice President at HSBC Innovation Banking.</t>
  </si>
  <si>
    <t>lparker@hsbcinnovationbanking.com</t>
  </si>
  <si>
    <t>396973-36P</t>
  </si>
  <si>
    <t>Matthew Perlow</t>
  </si>
  <si>
    <t>Perlow</t>
  </si>
  <si>
    <t>Mr. Matthew Perlow serves as Director- Technology Banking at HSBC Innovation Banking.</t>
  </si>
  <si>
    <t>mperlow@hsbcinnovationbanking.com</t>
  </si>
  <si>
    <t>Director- Technology Banking</t>
  </si>
  <si>
    <t>409612-24P</t>
  </si>
  <si>
    <t>Mirza Mulic</t>
  </si>
  <si>
    <t>Mulic</t>
  </si>
  <si>
    <t>Mr. Mirza Mulic serves as Associate at HSBC Innovation Banking.</t>
  </si>
  <si>
    <t>mirza.mulic@hsbcinnovationbanking.com</t>
  </si>
  <si>
    <t>435301-93P</t>
  </si>
  <si>
    <t>Nick Conway</t>
  </si>
  <si>
    <t>Mr. Nick Conway serves as Director, FinTech at HSBC Innovation Banking.</t>
  </si>
  <si>
    <t>Director, FinTech</t>
  </si>
  <si>
    <t>230669-38P</t>
  </si>
  <si>
    <t>Patrick Flynn</t>
  </si>
  <si>
    <t>Flynn</t>
  </si>
  <si>
    <t>Mr. Patrick Flynn serves as Chief Operating Officer at HSBC Innovation Banking. Mr. Patrick Flynn serves as Chief Operating Officer, UK and EMEA at Silicon Valley Bank. He is focused on developing, implementing, and executing the operational strategy, streamlining systems, and improving processes to better serve the bank's clients and employees. Patrick brings with him over 20 years of experience in financial services, having most recently served as Chief Operating Officer at Santander Corporate and Investment Bank where he was responsible for Middle Office, Governance Operational Risk and Compliance, Business Management and Change, Technology, and Operations. At Barclays Investment Bank he held the role of Chief Operating Officer of Global Finance Risk Solutions. He has also held senior operational roles at Nomura and Lehman Brothers. He started his career in the British Army as an Aircraft Engineering Officer where he served in a variety of front-line and staff roles.</t>
  </si>
  <si>
    <t>pflynn@hsbcinnovationbanking.com</t>
  </si>
  <si>
    <t>363742-93P</t>
  </si>
  <si>
    <t>Patrick Moynihan</t>
  </si>
  <si>
    <t>Moynihan</t>
  </si>
  <si>
    <t>Chief Compliance Officer &amp; Chief Risk Officer</t>
  </si>
  <si>
    <t>Mr. Patrick Moynihan serves as Chief Risk Officer &amp; Chief Compliance Officer at HSBC Innovation Banking. He has over 30 years of financial services experience in consulting and banking roles at Accenture, JP Morgan Chase and Barclays Bank.</t>
  </si>
  <si>
    <t>pmoynihan@hsbcinnovationbanking.com</t>
  </si>
  <si>
    <t>Chief Risk Officer &amp; Chief Compliance Officer</t>
  </si>
  <si>
    <t>244413-82P</t>
  </si>
  <si>
    <t>Paula Burke</t>
  </si>
  <si>
    <t>Paula</t>
  </si>
  <si>
    <t>Ms. Paula Burke serves as Director of Life Sciences and Healthcare at HSBC Innovation Banking. She brings almost 8 years of experience and 6 years of Healthcare experience to the team. She served as Investment Principal at Valiance. She joined from Silicon Valley Bank, where she focused on bespoke funding and banking solutions, portfolio relationship management, and business development for the bank's EMEA Healthcare clients. These ranged from Series A funded start-ups to public and corporate profiles, in the digital health, medical devices, diagnostics, and biopharma space. Most recently she was a Vice President on the EMEA Healthcare credit solutions team, focused on providing a wide range of lending solutions, from venture debt to cash flow, for the credit healthcare portfolio. She holds a First Class BSc Hons degree in Cell and Molecular Biology from University College Dublin, as well as an MSc in Management from University College London.</t>
  </si>
  <si>
    <t>paula.burke@hsbc.com</t>
  </si>
  <si>
    <t>Director of Life Sciences and Healthcare</t>
  </si>
  <si>
    <t>454831-48P</t>
  </si>
  <si>
    <t>Phill Lovett</t>
  </si>
  <si>
    <t>Phill</t>
  </si>
  <si>
    <t>Lovett</t>
  </si>
  <si>
    <t>Mr. Phill Lovett serves as Head of Structured Finance at HSBC Innovation Banking.</t>
  </si>
  <si>
    <t>Head of Structured Finance</t>
  </si>
  <si>
    <t>138008-35P</t>
  </si>
  <si>
    <t>Rupy Malizia</t>
  </si>
  <si>
    <t>Rupy</t>
  </si>
  <si>
    <t>Malizia</t>
  </si>
  <si>
    <t>Ms. Rupy Malizia serves as Chief Strategic Transformation Officer at HSBC Innovation Banking. She is responsible for the strategic planning and delivery of the change portfolio supporting the scale up of HSBC Innovation Banking. In her current role she is able to spend time with founders in the innovation ecosystem and understand the growth challenges they face.</t>
  </si>
  <si>
    <t>rmalizia@hsbcinnovationbanking.com</t>
  </si>
  <si>
    <t>Chief Strategic Transformation Officer</t>
  </si>
  <si>
    <t>14623-75P</t>
  </si>
  <si>
    <t>Stephen Lowery</t>
  </si>
  <si>
    <t>Lowery</t>
  </si>
  <si>
    <t>Mr. Stephen Lowery serves as Head of Investor Coverage and Business Development at HSBC Innovation Banking. He served as Head of Investor Coverage and Business Development for Europe &amp; Market Manager at Silicon Valley Bank. Most recently he was a Partner at Frog Capital, a European technology investor. After studying Engineering at Cambridge University and began his career at PA Consulting where he advised companies on product development, technology strategy, and due diligence. He is also an Angel Investor.</t>
  </si>
  <si>
    <t>+1 (787) 960-0075</t>
  </si>
  <si>
    <t>slowery@hsbcinnovationbanking.com</t>
  </si>
  <si>
    <t>Head of Investor Coverage and Business Development</t>
  </si>
  <si>
    <t>407200-69P</t>
  </si>
  <si>
    <t>Tom Wolfenden</t>
  </si>
  <si>
    <t>Wolfenden</t>
  </si>
  <si>
    <t>Mr. Tom Wolfenden serves as Chief Financial Officer at HSBC Innovation Banking. He is a Chartered Accountant with 25 years' experience in the financial industry and has spent over a decade at HSBC, most recently as HSBC UK's Head of Retail Banking.</t>
  </si>
  <si>
    <t>twolfenden@hsbcinnovationbanking.com</t>
  </si>
  <si>
    <t>13430-35P</t>
  </si>
  <si>
    <t>Charles Cameron</t>
  </si>
  <si>
    <t>Hub Angels Investment Group</t>
  </si>
  <si>
    <t>Mr. Charles Cameron is a Co-Founder &amp; serves as Managing Director at Hub Angels Investment Group. He brings over 20 years of management consulting, marketing and business development experience to Hub Angels. This includes extensive consulting, board work, mentoring and coaching with early stage companies. In addition, He is a VP of Strategy and Development at Cooley, Godward Kronish, LP. In addition, he is actively involved with research on angel investing through research and teaching at Harvard Business School, MIT, BC Law School, BU School of Management, Darden Business School, Univ. of VA, and Babson College. He has an MBA, MIT, an MPH, Harvard University, and a BA, Economics-honors, Phi Beta Kappa, University of Massachusetts.</t>
  </si>
  <si>
    <t>+1 (617) 497-2252</t>
  </si>
  <si>
    <t>charlie@hubangels.com</t>
  </si>
  <si>
    <t>131 Marlborough Street</t>
  </si>
  <si>
    <t>185624-65P</t>
  </si>
  <si>
    <t>David Verrill</t>
  </si>
  <si>
    <t>Verrill</t>
  </si>
  <si>
    <t>Mr. David Verrill is the Co-Founder &amp; serves as Managing Director at Hub Angels Investment Group. Mr. Verrill serves as Chairman Emeritus at Angel Capital Association. His professional career began as a research scientist at the Center for Blood Research in Boston focusing on the MHC of genetically engineered mice. After receiving his master's degree from Sloan, he joined MIT's Office of Corporate Relations where he spent a decade connecting industry with research at MIT. He then became Manager of International Sales and Business Development at Xerox Adaptive Products which was sold in 1997. Since then he has helped found two businesses in technology consulting and third-party marketing in the financial services industry. He is a co-founder of the Hub Angel Investment Group. He is the recipient of the Hans Severin Award for contributions to angel investing. He sits on a number of startup boards, and the GreenLight Foundation. He was educated at Bowdoin College (AB 1983) and the MIT Sloan School of Management (SM 1987). Mr. Verrill serves as Board Observer at Radical Plastics. He served as Board Member at Cambridge Blockchain. He serves as Board Member at ViralGains.</t>
  </si>
  <si>
    <t>+1 (617) 452-3216</t>
  </si>
  <si>
    <t>dverrill@hubangels.com</t>
  </si>
  <si>
    <t>325820-35P</t>
  </si>
  <si>
    <t>Avi Voldman</t>
  </si>
  <si>
    <t>Voldman</t>
  </si>
  <si>
    <t>Hyundai CRADLE</t>
  </si>
  <si>
    <t>Mr. Avi Voldman serves as Investment Manager at Hyundai CRADLE. He is experienced in pinpointing disruptive innovation and promoting it to maturity. Before joining CRADLE Tel-Aviv, he was the General Manager of Racah Nanotech Venture Fund, investing in early-stage advanced materials technologies, and doing venture creation to nurture them into viable companies. Furthermore, he brings operation, business, and technological experience working with international partners. He believes that innovation drive companies to success, therefore when evaluating opportunities he verifies that an innovation fits the business needs. He holds an MBA, BSc. in chemical engineering and BSc. in Chemistry from Ben-Gurion University.</t>
  </si>
  <si>
    <t>aviv@cradleinc.com</t>
  </si>
  <si>
    <t>Alon Tower, 22nd Floor</t>
  </si>
  <si>
    <t>94A Yigal Alon Street</t>
  </si>
  <si>
    <t>375744-79P</t>
  </si>
  <si>
    <t>Benjamin Kupfer Ph.D</t>
  </si>
  <si>
    <t>Kupfer</t>
  </si>
  <si>
    <t>Dr. Benjamin Kupfer serves as Investment Manager at Hyundai CRADLE. Before joining CRADLE Tel-Aviv, he has led the investment activities for LG Technology Ventures in Israel. He holds an MA in Physics from the Technion Institute, an MSc in nanotechnology from University College of London, a PhD in Chemistry from Bar Ilan University and a Master of Management and Engineering from the Columbia Business School.</t>
  </si>
  <si>
    <t>bkupfer@cradleinc.com</t>
  </si>
  <si>
    <t>375741-55P</t>
  </si>
  <si>
    <t>Fang Wei</t>
  </si>
  <si>
    <t>Mr. Fang Wei serves as Senior Investment Manager at Hyundai CRADLE. Prior to joining Cradle, he was at Ford Motor Company Strategy and Corporate Development, where he was responsible for electrification venture development in China. Before joining the automotive industry, he worked in various investment roles including asset management and a private equity fund, CDB-Capital, with a focus in Advanced Manufacturing, New Energy and other Deep Tech sectors. He holds a MPhil degree from University of Cambridge and MA. In Economics From University of Edinburgh.</t>
  </si>
  <si>
    <t>fwei@cradleinc.com</t>
  </si>
  <si>
    <t>Hyundai Motor Tower, 20th Floor</t>
  </si>
  <si>
    <t>38 Xiaoyun Road, Chaoyang District</t>
  </si>
  <si>
    <t>375740-02P</t>
  </si>
  <si>
    <t>Fei Fan</t>
  </si>
  <si>
    <t>Ms. Fei Fan serves as Investment Manager at Hyundai CRADLE. Prior to joining CRADLE, she worked as an Investment Analyst for Volvo Cars Tech Fund, the venture capital arm of Volvo Cars, with a focus on early-stage strategic investments in the APAC region. She has been involved in deals such as PowerShare and LEADRIVE. She holds a Bachelor's degree in Economics from Peking University, a Bachelor's degree in Accounting from Capital University of Economics and Business, and an MSc in Banking and Finance from King's College London.</t>
  </si>
  <si>
    <t>ffan@cradleinc.com</t>
  </si>
  <si>
    <t>287694-55P</t>
  </si>
  <si>
    <t>Henry Chung</t>
  </si>
  <si>
    <t>Mr. Henry Chung serves as Senior Vice President &amp; Head of Hyundai Cradle Silicon Valley at Hyundai CRADLE.</t>
  </si>
  <si>
    <t>henryc@cradleinc.com</t>
  </si>
  <si>
    <t>1335 Terra Bella Avenue</t>
  </si>
  <si>
    <t>Senior Vice President &amp; Head of Hyundai Cradle Silicon Valley</t>
  </si>
  <si>
    <t>375745-96P</t>
  </si>
  <si>
    <t>Hohyun Cho</t>
  </si>
  <si>
    <t>Hohyun</t>
  </si>
  <si>
    <t>Mr. Hohyun Cho serves as Executive at Hyundai CRADLE. Before joining CRADLE Tel Aviv, he was an investment manager at Hyundai CVC team in Korea, focusing on robotics and automation technology that improve human life more conveniently with hassle-free solutions. With lesson learned from previous investment deals, he believes strategic investment is the very tool not only identifying new lucrative opportunities but more specifically also building mutual trust for continued business partnership. He holds a MBA degree from China Europe International Business School (CEIBS).</t>
  </si>
  <si>
    <t>hcho@cradleinc.com</t>
  </si>
  <si>
    <t>325820-98P</t>
  </si>
  <si>
    <t>Huiying Yap</t>
  </si>
  <si>
    <t>Huiying</t>
  </si>
  <si>
    <t>Ms. Huiying Yap serves as Investment Manager at Hyundai CRADLE. Prior to joining CRADLE, she was investing in and building early stage tech startups in the area of sustainability, smart cities and advanced manufacturing through her role in SGInnovate, a Singapore government funded entity. Hui Ying brings with her extensive experience in product and business development in the energy industry. She has led strategic partnerships and project development focusing on new energy solutions and urban infrastructure. Hui Ying graduated with a Bachelor of Engineering in Chemical &amp; Biomolecular Engineering from NUS, with a Minor in Technopreneurship.</t>
  </si>
  <si>
    <t>huiying.yap@cradleinc.com</t>
  </si>
  <si>
    <t>7 Straits View, Marina One East Tower</t>
  </si>
  <si>
    <t>Number 05-01</t>
  </si>
  <si>
    <t>018936</t>
  </si>
  <si>
    <t>325819-72P</t>
  </si>
  <si>
    <t>Joseph Boadi-Darkwah</t>
  </si>
  <si>
    <t>Boadi-Darkwah</t>
  </si>
  <si>
    <t>Mr. Joseph Boadi-Darkwah serves as Investment Associate at Hyundai CRADLE. He is responsible for sourcing new deals, executing strategic investments and managing portfolio companies. He is passionate about connecting revolutionary technologies with industry in sectors such as green energy, robotics and hydrogen economy. Prior to joining CRADLE Berlin, he worked at Sunbo Angel Partners as an Investment Manager where he focused on early-staged deep tech startup investments covering technology scouting, open innovation projects, and market expansion strategies across South Korea, Singapore and Europe. One of his flagship investments is in Haddington Dynamics, a US based collaborative robot manufacturer, which was acquired by Ocado Group. He studied and worked in South Korea for 7 years and holds a B.Eng in Computer Science &amp; Engineering and Finance &amp; Accounting from UNIST, South Korea.</t>
  </si>
  <si>
    <t>joseph.boadi-darkwah@cradleinc.com</t>
  </si>
  <si>
    <t>Ebertstrasse 2</t>
  </si>
  <si>
    <t>10117</t>
  </si>
  <si>
    <t>375748-03P</t>
  </si>
  <si>
    <t>Keunhaeng Heo</t>
  </si>
  <si>
    <t>Keunhaeng</t>
  </si>
  <si>
    <t>Heo</t>
  </si>
  <si>
    <t>Mr. Keunhaeng Heo serves as Senior Investment Manager at Hyundai CRADLE. In 2012, he started his career in Hyundai Motor as a Research engineer of advanced vehicle IT software in R&amp;D center. He developed Android Auto, Carplay and many connectivity technologies for a connected vehicle. The most memorable project he contributed to is developing ccOS(Connected Car Operating System) attempting for independence from the Tech Giants. He was in charge of designing a media framework of it. In 2018, he moved to Corporate Venture Capital team to start new path as a Venture Investor. He has accumulated various experiences in corporate venturing from seed, Series A startup to M&amp;A. Because of his technological background, he has mainly focused on looking at software-based tech companies. In 2022, he joined Cradle as a Senior Investment Manager. Before join Hyundai, he developed self-immune system resisting to hacking attempts in a defense industry. He graduated from Chung-ang University with B.S in Electrical and Electronics Engineering and M.S in Wireless communication network.</t>
  </si>
  <si>
    <t>kheo@cradleinc.com</t>
  </si>
  <si>
    <t>89603-20P</t>
  </si>
  <si>
    <t>Koby Simana</t>
  </si>
  <si>
    <t>Simana</t>
  </si>
  <si>
    <t>Mr. Koby Simana serves as Senior Investment Manager at Hyundai CRADLE. He also serves as a Board Member at Kardome and H2Pro. He served as the Chief Executive Officer at IVC Research Center. Prior to his current position as CEO, he was Director of Marketing &amp; Sales, responsible for IVC operations in Israel and local and global business development. In this role, He supervised IVC's close partnerships with Israeli VC funds, and business partners in Europe and the US, coupled with managing the production and sales of the IVC Yearbook. Prior to joining IVC, He was a senior analyst and consultant to Israel's Minister of Housing, Natan Sharansky, under the auspices of a fellowship at the Institute for Advanced Strategic and Political Studies. He holds an MBA with a major in Finance from Bar Ilan University and a BA in Economics and Communications from Tel Aviv University.</t>
  </si>
  <si>
    <t>koby.simana@cradleinc.com</t>
  </si>
  <si>
    <t>305092-36P</t>
  </si>
  <si>
    <t>Markus Muller</t>
  </si>
  <si>
    <t>Mr. Markus Muller serves as Investment Manager at Hyundai CRADLE. He serves as Board Observer at AppyWay. He is a passionate matchmaker between external startups and internal customers to create meaningful strategic impact in mobility and beyond. Prior joining CRADLE, he worked at BMW Group in various roles from Technology Foresight &amp; Scouting to Business Model Innovation covering topics like AI, Quantum Computing, Power Electronics, Digital Mobility Services &amp; In-car Entertainment. Earlier in his career, he worked in corporate development at an automotive Tier1 and gained insights at the CVC unit of 3M. He holds a MSc in Materials Science from TU Munich &amp; LMU Munich, as well as a MBA from Collège des Ingénieurs, Paris.</t>
  </si>
  <si>
    <t>markusm@cradleinc.com</t>
  </si>
  <si>
    <t>325821-61P</t>
  </si>
  <si>
    <t>Shihao Zhang</t>
  </si>
  <si>
    <t>Shihao</t>
  </si>
  <si>
    <t>Mr. Shihao Zhang serves as Senior Investment Associate at Hyundai CRADLE. Prior to joining CRADLE, he had several different experiences at Intel Capital, Amazon Web Services, MiraclePlus (former Y Combinator China), and State Farm Gainsco. He also co-founded a health tech startup, Orangewell Technologies, and served as general manager. He has an MBA degree from Duke University.</t>
  </si>
  <si>
    <t>shihaoz@cradleinc.com</t>
  </si>
  <si>
    <t>209702-98P</t>
  </si>
  <si>
    <t>Byron Godsey</t>
  </si>
  <si>
    <t>Godsey</t>
  </si>
  <si>
    <t>Ideaship</t>
  </si>
  <si>
    <t>Mr. Byron Godsey serves as Finance Director at Ideaship. He oversees finance, accounting, and investee company monitoring. He is also responsible for due diligence, and providing early stage accounting and financing support for investee companies. Before joining GTT Group and becoming a team member of Ideaship, Byron was a Senior Management Analyst for BearingPoint. He holds a B.S. in International Business Management from Brigham Young University and a M.S. in Financial Analysis from Portland State University.</t>
  </si>
  <si>
    <t>+1 (503) 200-5167</t>
  </si>
  <si>
    <t>byron@ideashipfund.com</t>
  </si>
  <si>
    <t>919 South West Taylor Street</t>
  </si>
  <si>
    <t>97205</t>
  </si>
  <si>
    <t>441008-38P</t>
  </si>
  <si>
    <t>Joshua Wylie</t>
  </si>
  <si>
    <t>Wylie</t>
  </si>
  <si>
    <t>Manager &amp; Senior Analyst</t>
  </si>
  <si>
    <t>Mr. Joshua Wylie serves as Senior Analyst &amp; Ideaship Project Manager at Ideaship. He has spent the past five years in Oregon working closely with entrepreneurs and VC's across various roles.</t>
  </si>
  <si>
    <t>Senior Analyst &amp; Ideaship Project Manager</t>
  </si>
  <si>
    <t>209694-07P</t>
  </si>
  <si>
    <t>Masa Murayama</t>
  </si>
  <si>
    <t>Masa</t>
  </si>
  <si>
    <t>Murayama</t>
  </si>
  <si>
    <t>Mr. Masa Murayama is a Co-Founder of Ideaship. His responsibilities include due diligence, investee company development and value creation. Prior to Ideaship, Masa was the Head of IP Strategy for the Audio, Video, and Communication (AVC) Technology and Products Division of Panasonic.</t>
  </si>
  <si>
    <t>masa@ideashipfund.com</t>
  </si>
  <si>
    <t>145817-29P</t>
  </si>
  <si>
    <t>Michael Lubitz JD</t>
  </si>
  <si>
    <t>Lubitz</t>
  </si>
  <si>
    <t>Mr. Michael Lubitz is the Founder &amp; serves as Managing Director at Global Technology Transfer Group. He is a Co-Founder and serves as General Partner of Ideaship. He originally formed GTT Group as a global patent brokerage specializing in essential asset transactions with transnational competency. The patent brokerage soon evolved into an industry leader in patent valuation, patent acquisition, patent analysis, and strategic patent initiatives. Mr. Lubitz's brokerage transactions have included the highest value per asset transaction and the single largest asset transfer between practicing entities. GTT's Group's success related to patent transactions has been in part attributed to its core competency in patent valuation. Mr. Lubitz has always emphasized patent valuation analysis before considering any transaction that may have significant consequences. Mr. Lubitz is regarded as a pioneer in patent valuation, having initiated GTT Group's internal system of integrating actual transaction data within a complex modeling framework. The assessment methodology has been deployed across a wide variety of portfolios and businesses to confirm and identify pent-up or undiscovered value. Mr. Lubitz is also the originator of the Patent Market Index or PMI, which is widely regarded as the benchmark economic index for patent activity within the United States. Prior to starting what would become GTT Group in 1997, Mr. Lubitz was in-house counsel to Kyocera Industrial Ceramics Corporation and then patent counsel to Shin-Etsu Handotai America. Mr. Lubitz is well known as a patent portfolio development specialist, having developed significant portfolios in the semiconductor and communications-related areas that eventually led to substantial patent asset transactions. Mr. Lubitz also advised the American Association for the Advancement of Science on technology transfer and new venture creation issues in Japan. Before entering law school, Mr. Lubitz served as a systems specialist for Kyocera Corporation in Kyoto, Japan. Mr. Lubitz has a Bachelor of Science in General Business with an emphasis in Japanese from Arizona State University. He received his Juris Doctor from the University of San Diego, School of Law. At the University of San Diego, he received the American Jurisprudence Award for his work in Ethics and Secured Transactions and served as an Associate Editor of the Journal for Contemporary Legal Issues.</t>
  </si>
  <si>
    <t>+1 (503) 200-5172</t>
  </si>
  <si>
    <t>mlubitz@gttgrp.com</t>
  </si>
  <si>
    <t>919 SW Taylor Street</t>
  </si>
  <si>
    <t>+1 (503) 243-1858</t>
  </si>
  <si>
    <t>Global Technology Transfer Group</t>
  </si>
  <si>
    <t>441010-27P</t>
  </si>
  <si>
    <t>Tricia Clemans</t>
  </si>
  <si>
    <t>Tricia</t>
  </si>
  <si>
    <t>Clemans</t>
  </si>
  <si>
    <t>Ms. Tricia Clemans serves as Director at Ideaship. She serves as the Director at both GTT Group and Ideaship, where she bridges business strategy, market forensics, and financial analysis with patent portfolio monetization strategies. She orchestrates the team's subject matter experts to provide clients with data-driven direction. Before joining GTT Group, she led organizational and technology growth in various sectors, including private, government, corporate, and non-profit. She holds a background in chemistry and materials science, with additional expertise in economic development, business, sustainability, and marketing.</t>
  </si>
  <si>
    <t>tricia@ideashipfund.com</t>
  </si>
  <si>
    <t>53639-83P</t>
  </si>
  <si>
    <t>Tyler McKinley</t>
  </si>
  <si>
    <t>McKinley</t>
  </si>
  <si>
    <t>Mr. Tyler McKinley serves as Managing Director at Ideaship. He co-founded and served as the Board Member, Chief Executive Officer, and President at MobileRQ. He has been in mobile development for more than ten years. He co-founded Prototype Studios, his first company in 1994 which developed advanced industrial prototype visualization methods using Silicon Graphics workstations. In 1999 he joined Digimarc to help lead the deployment of advanced data-hiding technology to prevent the counterfeiting of currency around the world. He co-founded ZuluTime in 2006 which develops advanced position-determination technology for smartphones. He co-founded MobileRQ in 2011 recognizing the clear value of enhancing the traveler's experience through relevant, engaging content on the smartphone. He holds a BS (Bachelor of Science) in Journalism from the University of Oregon.</t>
  </si>
  <si>
    <t>tyler@ideashipfund.com</t>
  </si>
  <si>
    <t>233108-29P</t>
  </si>
  <si>
    <t>Yukiko Ryonai</t>
  </si>
  <si>
    <t>Yukiko</t>
  </si>
  <si>
    <t>Ryonai</t>
  </si>
  <si>
    <t>Ms. Yukiko Ryonai serves as Executive at Ideaship. She provides contractual support and due diligence support services. Formerly responsible for Panasonic's standard-essential patent portfolio, She has experience in patent licensing, litigation, and monetization, especially in drafting and negotiating agreements. She lives by the words "Nana-korobi Hachi-oki", the Japanese version of 'A man's walking is a succession of falls'.</t>
  </si>
  <si>
    <t>yuki@ideashipfund.com</t>
  </si>
  <si>
    <t>204247-45P</t>
  </si>
  <si>
    <t>Adalyn Yeap</t>
  </si>
  <si>
    <t>Adalyn</t>
  </si>
  <si>
    <t>Yeap</t>
  </si>
  <si>
    <t>iGlobe Partners</t>
  </si>
  <si>
    <t>Ms. Adalyn Yeap serves as Vice President, Investment at iGlobe Partners.</t>
  </si>
  <si>
    <t>+65 6478 9716</t>
  </si>
  <si>
    <t>adalyn@iglobepartners.com</t>
  </si>
  <si>
    <t>11 Biopolis Way</t>
  </si>
  <si>
    <t>Number 09-03 Helios</t>
  </si>
  <si>
    <t>138667</t>
  </si>
  <si>
    <t>+65 6478 9717</t>
  </si>
  <si>
    <t>Vice President, Investment</t>
  </si>
  <si>
    <t>44694-91P</t>
  </si>
  <si>
    <t>Aliza Knox</t>
  </si>
  <si>
    <t>Aliza</t>
  </si>
  <si>
    <t>Knox</t>
  </si>
  <si>
    <t>Ms. Aliza Knox served as Board Member at Azentio Software. She serves as a Board Member at Health Metrics. She served as Chief Operating Officer at Unlockd. Previously, she was Vice President of Asia Pacific &amp; Managing Director for Online Sales, APAC with Twitter. She is also the Non-Executive Director with Invacare. She was a Board Member at GfK. Before joining Twitter, she was the Managing Director Of Commerce in Asia Pacific at Google for four years. She was also the Senior Vice President with Visa International and Charles Schwab. She served as the Vice President and Director at Boston Consulting Group. She received her Bachelor's degree from Brown University and an MBA from New York University. She also serves as Advisor at iGlobe Partners. She serves as a Member of the Supervisory Board at GfK.</t>
  </si>
  <si>
    <t>Azentio Software (Former)</t>
  </si>
  <si>
    <t>120097-90P</t>
  </si>
  <si>
    <t>Annie Koh Ph.D</t>
  </si>
  <si>
    <t>Dr. Annie Koh serves as Vice President, Business Development Academic Director at Singapore Management University Endowment. She also serves as an Advisor at iGlobe Partners. She also holds the position of Academic Director of The Financial Training Institute (FTI), Centre for Professional Studies (CPS), International Trading Institute (ITI) and Business Families Institute (BFI) at SMU. Her previous portfolio includes positions as Associate Dean, of the Lee Kong Chian School of Business, and Dean, of the Office of Executive &amp; Professional Education. A notable conference speaker, panel moderator, and commentator, she serves on a number of councils, advisory boards, and steering committees of regional and local economic, government, and academic institutions. She is a board member at AMTD International. She holds a Ph.D. in International Finance from New York University (Stern) in 1988.</t>
  </si>
  <si>
    <t>+65 6828 0216</t>
  </si>
  <si>
    <t>anniekoh@smu.edu.sg</t>
  </si>
  <si>
    <t>81 Victoria Street</t>
  </si>
  <si>
    <t>188065</t>
  </si>
  <si>
    <t>+65 6828 0101</t>
  </si>
  <si>
    <t>Vice President, Business Development Academic Director</t>
  </si>
  <si>
    <t>SMU Business Incubator</t>
  </si>
  <si>
    <t>136663-75P</t>
  </si>
  <si>
    <t>Arfat Selvam</t>
  </si>
  <si>
    <t>Arfat</t>
  </si>
  <si>
    <t>Selvam</t>
  </si>
  <si>
    <t>Ms. Arfat Selvam serves as Managing Director at Duane Morris &amp; Selvam. She also serves as an Advisor at iGlobe Partners. Her experience includes mergers and acquisitions, corporate restructures, takeovers, funds raising in the capital markets, privatizations, financial services, cross-border investments, financial services, and international joint ventures. Mrs. Selvam was president of The Law Society of Singapore in 2003 and a former Director of the Stock Exchange of Singapore Limited. She was also a member of the Senate of the Academy of Law, and the Board of Legal Education and was formerly on the Board of the Accounting and Corporate Regulatory Authority. She is a director of Law Society Pro Bono Services. She is also a member of the Board of Trustees of Rahmatan Lil Alamin Foundation Ltd.</t>
  </si>
  <si>
    <t>+86 (0)65 6311 0031</t>
  </si>
  <si>
    <t>aselvam@duanemorrisselvam.com</t>
  </si>
  <si>
    <t>16 Collyer Quay</t>
  </si>
  <si>
    <t>Suite 17-00</t>
  </si>
  <si>
    <t>049318</t>
  </si>
  <si>
    <t>+65 6311 0058</t>
  </si>
  <si>
    <t>Duane Morris &amp; Selvam</t>
  </si>
  <si>
    <t>250502-23P</t>
  </si>
  <si>
    <t>Edmond Wong</t>
  </si>
  <si>
    <t>Edmond</t>
  </si>
  <si>
    <t>Mr. Edmond Wong serves as Operating Partner at iGlobe Partners. He serves as Board Observer at infinityQ. Previously, he served as a Board Member at infinityQ.</t>
  </si>
  <si>
    <t>edmond@iglobepartners.com</t>
  </si>
  <si>
    <t>90287-83P</t>
  </si>
  <si>
    <t>Jan Johannessen</t>
  </si>
  <si>
    <t>Johannessen</t>
  </si>
  <si>
    <t>Mr. Jan Johannessen serves as a Board Member and Chair of the Audit Committee at Twist Bioscience. He also serves as Board Observer at NerdWallet. He currently serves as an advisor to iGlobe Partners, a venture capital company. He served as Chief Operating Officer and Secretary at Conexant Systems, LLC, a semiconductor company, from May 2013 to August 2017 and also served as its Chief Financial Officer from May 2013 to May 2016 and as its Chief Executive Officer from May 2016 to August 2017. He served as Chief Financial Officer and Secretary at REC Silicon ASA, a company listed on the Oslo stock exchange from August 2008 to May 2013. He served as Interim Chief Executive Officer and President at Lattice Semiconductor Corporation, a publicly traded company, from May 2008 to August 2008 and as Chief Financial Officer and Secretary at Lattice Semiconductor Corporation from December 2003 to May 2008. He holds a B.S. in Business from the University of Houston, and an MBA in International Business from Arizona State University.</t>
  </si>
  <si>
    <t>+1 (408) 410-0105</t>
  </si>
  <si>
    <t>681 Gateway Boulevard</t>
  </si>
  <si>
    <t>Twist Bioscience</t>
  </si>
  <si>
    <t>147370-60P</t>
  </si>
  <si>
    <t>Jeff Lin</t>
  </si>
  <si>
    <t>Mr. Jeff Lin serves as an Operating Partner at iGlobe Partners. He served as a Board Member at Hoolah. He has over 15 years of experience in telecom and technology, management consulting, as well as VC investment. He serves as a Board Observer at Masterworks. Prior to joining iGlobe in 2014, he was with Roland Berger Strategy Consultants, working on strategy consulting projects with the Myanmar government and MNC clients in Southeast Asia. Between 2006 and 2011 he was with Huawei Technologies. His last position at Huawei was the Singapore country head for the enterprise business unit. In that role, he built Huawei's enterprise business team in Singapore from scratch. Before that, he was a deputy country representative for Huawei's Telecom Business in Singapore and was deeply involved in the Singapore Next Generation National Broadband Network (NGNGN) project. He started his career in 1998 as a product-marketing manager and Value-Based Marketing owner at Nokia China Investment Co., Ltd. He subsequently spent three years in the business development division of Hutchison Telecom HK Ltd. He holds an MBA in Corporate Finance from INSEAD in 2012, an ME from Nanyang Technological University in 2001, and a BE in Communication from the University of Science and Technology of China in 1998.</t>
  </si>
  <si>
    <t>jeff@iglobepartners.com</t>
  </si>
  <si>
    <t>86400-46P</t>
  </si>
  <si>
    <t>Jennifer Jordan</t>
  </si>
  <si>
    <t>Ms. Jennifer Jordan is the Founder &amp; serves as Managing Director at PickAxes &amp; Shovels. She serves as Venture Partner at iGlobe Partners. She served as Vice President at MassVentures. She is a venture capitalist focused on early-stage and seed investment in Massachusetts high technology companies. Her most recent investments are focused on enterprise, big data, and the intersection of biology and IT. She has been a member of the Golden Seeds angel investor network, provided start-up mentoring for entrepreneurs through Springboard and the MIT Entrepreneurship Center, and served as Entrepreneurship Lead for the MIT Accelerating Information Technology Innovation program sponsored by Google in Cali, Colombia, where she leads 30 young entrepreneurs in a six-week lean start-up program to form ten new mobile technology companies. Previously, She served as Corporate Vice President of Investor Relations at Cadence Design Systems and spent 10 years as a Senior Vice President and Senior Equity Research Analyst with Black &amp; Company through its acquisition by Wells Fargo Securities. She is a black belt in the Indonesian Martial Art of Poekoelan Tjimindie Tulen and holds the title Mas Goeroe. She earned an MBA from MIT Sloan and a Bachelor of Arts from Reed College.</t>
  </si>
  <si>
    <t>+1 (503) 248-7559</t>
  </si>
  <si>
    <t>jennifer@pickaxesandshovels.com</t>
  </si>
  <si>
    <t>42 Eighth Street</t>
  </si>
  <si>
    <t>02129</t>
  </si>
  <si>
    <t>PickAxes &amp; Shovels</t>
  </si>
  <si>
    <t>417326-95P</t>
  </si>
  <si>
    <t>Joe Lin</t>
  </si>
  <si>
    <t>Dr. Joe Lin serves as Venture Partner at iGlobe Partners.</t>
  </si>
  <si>
    <t>43347-88P</t>
  </si>
  <si>
    <t>Joseph Zaelit</t>
  </si>
  <si>
    <t>Zaelit</t>
  </si>
  <si>
    <t>Mr. Joseph Zaelit serves as an Operating Partner at iGlobe Partners. He is a well-respected financial manager with a strong track record of success. He is currently the Financial Advisor to Fortemedia Inc. He was the Executive Vice President and Chief Financial Officer of Celestry Design Technologies, an iGlobe portfolio company acquired by Cadence Design Systems. Prior to Celestry, he was the Chief Financial Officer of GRIC Communications (NASDAQ: GRIC), where he helped lead the company through its successful IPO. He was also the Senior Vice President and Chief Financial Officer of VeriFone Inc. (NYSE: VFI), serving as a key member of the management team selected to lead VeriFone's US$1.3 billion acquisition by Hewlett-Packard in 1997. Before that, he spent 20 years in a number of senior financial positions at Hewlett-Packard. He began his career as an auditor with Arthur Andersen and is a certified public accountant in the State of California. He holds a B.S. in Accounting and an M.B.A., each from the University of Utah.</t>
  </si>
  <si>
    <t>43348-87P</t>
  </si>
  <si>
    <t>Joyce Ng</t>
  </si>
  <si>
    <t>Ms. Joyce Ng serves as a General Partner at iGlobe Partners. She serves as a Board Observer at NerdWallet. She serves as a Board Member at Partipost. She served as a Board Member at The Great Room. She has over 15 years of experience in banking, insurance, and venture capital investments/portfolio monitoring. She joined iGlobe in March 2006. Prior to joining iGlobe, Joyce was a Training Executive / Team Leader at ACE Insurance. She was responsible for all the training needs of Account Development Executives as well as providing external training for Sponsors &amp; Telemarketers. She also led a team of ten (10) Account Development Executives and was responsible for driving and achieving sales targets for insurance sales. She worked for 8 years (1995 to 2003) with Vertex Management Pte Ltd. For the first 4 years, Joyce worked as an Analyst under the European Investment team, and for the last 4 years, she was the Assistant Manager, in charge of the Global Fund of Fund portfolio. Joyce started her career as a Bank Executive in the Credit Admin Department of Bank Indo Suez. Joyce earned a Bachelor of Science (Economics) in Management Studies from the University of London in 1996.</t>
  </si>
  <si>
    <t>joyce@iglobepartners.com</t>
  </si>
  <si>
    <t>369980-92P</t>
  </si>
  <si>
    <t>Junie Foo</t>
  </si>
  <si>
    <t>Junie</t>
  </si>
  <si>
    <t>Ms. Junie Foo serves as Senior Advisor at iGlobe Partners.</t>
  </si>
  <si>
    <t>62695-90P</t>
  </si>
  <si>
    <t>Mun-Kein Chang</t>
  </si>
  <si>
    <t>Mun-Kein</t>
  </si>
  <si>
    <t>Mr. Mun-Kein Chang serves as Venture Partner at iGlobe Partners. He served as Executive Vice President, Product Management at Aicent. He served as Board Member at Postr Media. He has more than 10 years of experience in the telecommunications industry. Before joining Aicent, he was the Regional President of Asia-Pacific of GRIC Communications based in Singapore, responsible for sales, marketing, technical support, and operations for all GRIC customers and partners in the region. Before GRIC, he worked at Tandem Computers, providing consultation and professional services to major banking and telecommunication companies. He has also held management positions at Zenith Data Systems and Hewlett-Packard Asia-Pacific divisions. He holds a B.S. Degree in Electronics and Communications Engineering from the University of Surrey, England, as well as an Electrical Engineering Diploma from Singapore Polytechnic.</t>
  </si>
  <si>
    <t>77345-02P</t>
  </si>
  <si>
    <t>Poh-Kam Wong Ph.D</t>
  </si>
  <si>
    <t>Poh-Kam</t>
  </si>
  <si>
    <t>Dr. Poh-Kam Wong served as Chairman at BAF Spectrum. He serves as an Advisor at Popsical. He also serves as an Advisor at iGlobe Partners. He also serves as an Advisor at Milaap. He also served as a Board Member at Anacle Systems. He is a Professor at the NUS Business School where he teaches technology entrepreneurship and innovation strategy. He is also the founding director of the NUS Entrepreneurship Centre, where he oversees the development of entrepreneurship education programs at NUS as well as the nurturing of spin-offs by NUS professors and students through schemes like the NUS Incubator and NUS seed funding schemes. He initiated the annual StartUp@Singapore national business plan competition in 1999. He was a co-founder of 3 companies in Malaysia before joining NUS in 1988 and has been active in angel investing in Singapore, Silicon Valley India, and China. Besides his angel investments through BAF Spectrum, his personal angel investment portfolio also includes iWow &amp; Kai Square in Singapore, Invantest and Appyzoo in the US, and Teralene and Pinetree Senior Care in China. His recent exits include Globalroam (the first company quoted on Singapore's OTC market), tenCube (acquired by McAfee in 2010), and iXigo (India-based, acquired in 2011). He is the founding chairman of Business Angel Network (Southeast Asia) and the founding chairman of BAF Spectrum. He holds PhD in Regional Economics and planning, an MS in Computer Science, and a BS in Physics and Electrical Engineering from the Massachusetts Institute of Technology (MIT)</t>
  </si>
  <si>
    <t>+65 6516 6323</t>
  </si>
  <si>
    <t>pohkamwong@invantest.com</t>
  </si>
  <si>
    <t>Anacle Systems (Former)</t>
  </si>
  <si>
    <t>132762-16P</t>
  </si>
  <si>
    <t>Robert Chew</t>
  </si>
  <si>
    <t>Mr. Robert Chew serves as a Partner at iGlobe Partners. He serves as a Board Member at SourceSage. He is an active angel investor in the United States and is the Singapore ambassador for Singularity University, based in Mountain View, California, and a member of the Innovation Board of XPRIZE Foundation. He is currently a board member of Cenacle Systems Pte. Ltd., Scanadu Holdings Pte. Ltd., Alexandra Health System Pte. Ltd., Integrated Health Information Systems Pte. Ltd., Kwong Wai Shiu Hospital, TOUCH Community Services Limited, Shared Services for Charities Limited, National Council of Social Service, and the Singapore Institute of Directors. He is a Fellow of the Singapore Computer Society (SCS). He chaired the Information Technology Standards Committee from 2005 to 2012 and currently chairs its Cloud Computing Standards, Task Force. He was conferred the Public Service Medal in 2013. He was formerly a partner of Accenture where he led the strategy practice in Southeast Asia and the Communications, Media, and High Tech industry practice in Singapore. He also served as an Advisor at Protege Ventures.</t>
  </si>
  <si>
    <t>robert@iglobepartners.com</t>
  </si>
  <si>
    <t>363345-94P</t>
  </si>
  <si>
    <t>Shi Pei Tay</t>
  </si>
  <si>
    <t>Shi Pei</t>
  </si>
  <si>
    <t>Ms. Shi Pei Tay serves as Senior Associate, Investment at iGlobe Partners.</t>
  </si>
  <si>
    <t>shipei@iglobepartners.com</t>
  </si>
  <si>
    <t>Senior Associate, Investment</t>
  </si>
  <si>
    <t>320190-04P</t>
  </si>
  <si>
    <t>Shihao Koh</t>
  </si>
  <si>
    <t>Mr. Shihao Koh serves as Vice President, Investor Relations at iGlobe Partners. He serves as General Partner at NxtGen Capital.</t>
  </si>
  <si>
    <t>shihao@iglobepartners.com</t>
  </si>
  <si>
    <t>369979-48P</t>
  </si>
  <si>
    <t>Shinobu Toyoda</t>
  </si>
  <si>
    <t>Shinobu</t>
  </si>
  <si>
    <t>Toyoda</t>
  </si>
  <si>
    <t>Mr. Shinobu Toyoda serves as Senior Advisor at iGlobe Partners.</t>
  </si>
  <si>
    <t>324945-28P</t>
  </si>
  <si>
    <t>Sidney Yee</t>
  </si>
  <si>
    <t>Sidney</t>
  </si>
  <si>
    <t>Dr. Sidney Yee is a Co-Founder and serves as Executive Director &amp; Board Member at iNEX Innovate. She serves as a Venture Partner at iGlobe Partners. She serves as a Member of, Board of Advisors at AlphaGen Venture Capital. She serves as a Board Member at Moleac. She is the founding CEO of Diagnostic Development Hub (DxD Hub) at Singapore's Agency for Science, Technology and Research (A*STAR), and continues to serve as Advisor to A*STAR's Innovation &amp; Enterprise division. She first joined A*STAR as the head of its Investments and Startup Management division under Exploit Technologies (later re-named Innovation and Enterprise). She strategizes and develops frameworks that support start-up activities related to technologies and innovations, including setting up A*STARTCentral, a pioneering deep tech open innovation lab. A*START Central is Asia's first life sciences innovation centre, which has incubated and supported many biotech and medtech companies, including EngineBio, MediSix, etc. During the COVID-19 pandemic, DxD Hub helped to develop and deploy a number of COVID-19 diagnostics products within weeks. These included conventional RT-PCR test Fortitude, serological test cPass, direct PCR test RESOLUTE, as well as data analytics software such as INSPECTA, and other medical devices for diagnostics and lab workflow efficiency. These products were deployed in more than 45 countries globally during the pandemic. While at DxD Hub, she co-founded and co-led the ASEAN Diagnostics Initiative to spearhead ASEAN-wide collaborations, one of which was the regional sero-surveillance study on COVID vaccines. She was the inaugural lead of Singapore's Diagnostics Co-Operative of the Programme for Research in Epidemic Preparedness and Response (PREPARE). PREPARE is Singapore's national platform focusing on strengthening mid- to long-term R&amp;D capabilities to prevent, prepare for, and respond to future epidemics. A serial entrepreneur, she co-founded, invested and mentored a number of startups in the biotech and healthtech space. During her tenure at EDB Investments, she led several early-stage investments in genomics, drug development, and medical devices. Some of her investment portfolio included Paradigm Therapeutics (acquired by Takeda) and Vanda Pharma (Nasdaq).</t>
  </si>
  <si>
    <t>+65 6773 0698</t>
  </si>
  <si>
    <t>sidney.yee@inex.sg</t>
  </si>
  <si>
    <t>1 Science Park Road</t>
  </si>
  <si>
    <t>Number 04-10 The Capricorn</t>
  </si>
  <si>
    <t>117528</t>
  </si>
  <si>
    <t>+65 6873 0240</t>
  </si>
  <si>
    <t>Co-Founder, Executive Director &amp; Board Member</t>
  </si>
  <si>
    <t>iNEX Innovate</t>
  </si>
  <si>
    <t>43347-25P</t>
  </si>
  <si>
    <t>Soo Hoon Hauw</t>
  </si>
  <si>
    <t>Soo Hoon</t>
  </si>
  <si>
    <t>Hauw</t>
  </si>
  <si>
    <t>Ms. Soo Hoon Hauw serves as an Operating Partner at iGlobe Partners. She has close to 30 years of corporate and regulatory experience in the local and international insurance industry. She specializes in strategic, operational, and change management issues, with a special interest in talent development and capacity building. Prior to joining iGlobe in 2008, she was Senior Managing Director at Great Eastern Life Assurance, responsible for business strategies of the established markets of Singapore and Malaysia. From 2000-2005, she was Executive Director of the Insurance Supervision Department at the Monetary Authority of Singapore (MAS), responsible for overseeing the liberalization of the insurance industry. She was also active as a former member of the Executive Committee of the International Association of Insurance Supervisors (IAIS). She was headhunted in 1986 to start the life insurance business at Keppel Insurance, which was known for its business innovation strategies. She built the management team and grew the business from ground zero to its sale to HSBC in 2000. Her business experience began as a trainee actuary with Commercial Union (London) in 1975 and then worked with American International Assurance (AIA) in Singapore. As Group Insurance Administration Manager (South-East Asia), she successfully reorganized the latter's operations in Singapore and Indonesia, instituted systems improvement, and achieved operational excellence. She graduated from the London School of Economics and Political Science with First Class Honors specializing in Statistics. She is a Fellow of the Institute of Actuaries (United Kingdom) and a Fellow of the Life Management Institute (United States). In October 2007, she was appointed as a Distinguished Fellow of the IAIS. She is a former panel member of the Singapore Central Provident Fund Board's International Advisory Panel (CAP).</t>
  </si>
  <si>
    <t>135368-02P</t>
  </si>
  <si>
    <t>SooBoon Koh</t>
  </si>
  <si>
    <t>SooBoon</t>
  </si>
  <si>
    <t>Ms. SooBoon Koh is the Founder and serves as Managing Partner of iGlobe Partners. Ms. Koh served as Board Member at GoRemote Internet Communications. She also serves as the Board Member of Fortemedia, VeriSilicon, and as the Board Observer at NerdWallet. Previously, she served as the Board Member at Reach Robotics. She holds a Bachelor's in Mathematics from King's College. She served as a Board Member at The Great Room.</t>
  </si>
  <si>
    <t>sooboonkoh@iglobepartners.com</t>
  </si>
  <si>
    <t>229970-44P</t>
  </si>
  <si>
    <t>Virginia Cha</t>
  </si>
  <si>
    <t>Dr. Virginia Cha serves as Venture Partner at iGlobe Partners. She served as Advisor &amp; Venture Partner at Verge HealthTech Fund.</t>
  </si>
  <si>
    <t>173052-10P</t>
  </si>
  <si>
    <t>Yeo Liat Kok Philip</t>
  </si>
  <si>
    <t>Yeo Liat</t>
  </si>
  <si>
    <t>Kok Philip</t>
  </si>
  <si>
    <t>Mr. Yeo Liat Kok Philip serves as a Board Member at City Developments. Appointed as Director of CDL on 11 May 2009, Mr Yeo was last re-elected as a Director on 25 April 2017. He is also the Chairman of the NC and a member of the RC and the Board Sustainability Committee (BSC) (formerly known as the Corporate Social Responsibility &amp; Corporate Governance Committee) of CDL. Mr Yeo is the Chairman of SPRING Singapore, a government development agency. He is also the Chairman of Economic Development Innovations Singapore Pte Ltd (EDIS) which provides strategic advice and undertakes the development and management of integrated industrial and urban areas with an emphasis on job creation and industrial cluster development. Mr Yeo is an independent Director of Hitachi Ltd, Baiterek National Managing Holding and Kerry Logistics Network Limited and the Chairman of Accuron Technologies Limited, Hexagon Development Advisors Pte. Ltd. And MTIC Holdings Pte. Ltd. Mr Yeo holds a Bachelor of Applied Science (Industrial Engineering), an honorary Doctorate in Engineering from the University of Toronto, Canada, an honorary Doctorate in Medicine from the Karolinska Institutet, Sweden, a Master of Science (Systems Engineering) from the University of Singapore, a Master of Business Administration from Harvard University, USA, a Doctor of Science from Imperial College, London, an honorary Doctor of Letters from National University of Singapore and an honorary Doctor of Law from Monash University of Australia.</t>
  </si>
  <si>
    <t>202926-70P</t>
  </si>
  <si>
    <t>Brittany Henry</t>
  </si>
  <si>
    <t>Brittany</t>
  </si>
  <si>
    <t>Ms. Brittany Henry serves as Executive, Investments at Impact America Fund. Previously, she was a management consultant, most recently working in the strategy practice at KPMG as a mergers and acquisitions Senior Associate focused on maximizing the value of strategic transactions for large corporate clients. Her experience includes conducting due diligence for private equity clients and leading organizational design for the spinoff of a $6 billion dollar eye care division. She received her M.B.A. from the University of Chicago Booth School of Business and her B.S. from Hampton University.</t>
  </si>
  <si>
    <t>bhenry@impactamericafund.com</t>
  </si>
  <si>
    <t>Executive, Investments</t>
  </si>
  <si>
    <t>148968-37P</t>
  </si>
  <si>
    <t>Kaiton Williams Ph.D</t>
  </si>
  <si>
    <t>Kaiton</t>
  </si>
  <si>
    <t>Dr. Kaiton Williams serves as Managing Partner &amp; Executive, Investments at Impact America Fund. He is an engineer and ethnographer, combining experience building internet-based applications &amp; services with qualitative analysis of the cultural and technical issues that surround them. As an engineer, his background is in the design, management, and optimization of large scale distributed systems, and the rapid prototyping and development of user facing applications. As a Human Computer Interaction researcher, he focuses critical attention on the evolving relationships between technology and subjectivity, and on the issues of technology development from, and for, developing economies. His current research centers on the experiences of tech entrepreneurs in the English-speaking Caribbean as they build products for a global market. He has worked as a technical consultant with the World Bank's entrepreneurial support programs in the Caribbean, and as a consulting engineer with Jamaica's national tech accelerator, helping accepted teams develop and scale their products. Previously, he worked at Microsoft for over a decade, holding senior roles Systems Engineering across its online services. He also served as Product Director &amp; Board Member at Samelogic. Kaiton earned his B.Sc in Electrical &amp; Computer Engineering from Morgan State University and an M.Sc and Ph.D in Information Science from Cornell University.</t>
  </si>
  <si>
    <t>kaiton@impactamericafund.com</t>
  </si>
  <si>
    <t>Managing Partner &amp; Executive, Investments</t>
  </si>
  <si>
    <t>193091-95P</t>
  </si>
  <si>
    <t>Melissa Plotsky</t>
  </si>
  <si>
    <t>Plotsky</t>
  </si>
  <si>
    <t>Ms. Melissa Plotsky serves as Impact Communication at Impact America Fund. She is a writer, editor, and content producer, who has always been interested in the connection between culture, community, and social justice. She started her writing career as the youth columnist for San Diego's labor and progressive politics monthly, The San Diego Review and, at 18, co-founded Axcess Magazine, which was subsequently purchased by Mondo 2000 founder and Wired magazine columnist, Ken Goffman. She has worked for a diverse collection of companies from small, independently-owned businesses to Time-Life Music and Microsoft, where she began a love affair with digital communications as editor of MSN Shopping's seven weekly e-newsletters. In 2015, her work with political consultancy Cerillion N4 Partners won five Pollie Awards from the American Association of Political Consultants. She is currently pursuing a double degree in Ethnic, Gender, and Labor Studies and Urban Studies from the University of Washington.</t>
  </si>
  <si>
    <t>Impact Communication</t>
  </si>
  <si>
    <t>193092-22P</t>
  </si>
  <si>
    <t>Yusill Scribner</t>
  </si>
  <si>
    <t>Yusill</t>
  </si>
  <si>
    <t>Scribner</t>
  </si>
  <si>
    <t>Ms. Yusill Scribner serves as Executive, Operations &amp; Head of Business Operations &amp; Strategy at Impact America Fund. She serves as Board Observer at Carecar. She serves as Board Observer at Driver's Seat. Yusill oversees the firm's business operations and serves as a strategic advisor to the General Partner. Previously, she was Vice President of Strategy, New Business and Digital at Nickelodeon Group (Viacom Media Networks), where she worked closely with the President and CEO on long-range planning and growth for the multibillion-dollar business. While at Nickelodeon, she also served as the corporate business lead on the development and production of SpongeBob SquarePants: The Broadway Musical. Yusill has also worked at Palantir Technologies, where she oversaw growth for a multimillion-dollar healthcare account. Prior to joining the private sector, she served as Chief of Staff to United States Attorney Preet Bharara in the Southern District of New York and managed press and public affairs for the organization. Yusill received a B.A. cum laude in Political Economics from Barnard College of Columbia University.</t>
  </si>
  <si>
    <t>scribner@impactamericafund.com</t>
  </si>
  <si>
    <t>Executive, Operations &amp; Head of Business Operations &amp; Strategy</t>
  </si>
  <si>
    <t>51210-73P</t>
  </si>
  <si>
    <t>Alice Lowenstein</t>
  </si>
  <si>
    <t>Lowenstein</t>
  </si>
  <si>
    <t>Impact Assets</t>
  </si>
  <si>
    <t>Ms. Alice Lowenstein serves as Chief Operating Officer at ImpactAssets. She served as Principal &amp; Managing Director of Wealth Management Services at Litman Gregory Asset Management. Prior to joining Litman Gregory, she was a Vice President with Fidelity Investments and held a variety of senior roles at Morningstar including Associate Editor and Analyst. She provides executive oversight of the Advisor Services group, which includes turnkey portfolios for investment professionals and AdvisorIntelligence, a web-based research service for professionals. Prior to joining Litman Gregory, she was a Vice President with Fidelity Investments and held a variety of roles at Morningstar including Associate Editor and Analyst. She is a CERTIFIED FINANCIAL PLANNER™ (CFP®) and is a reviewer for the Journal of Financial Planning.</t>
  </si>
  <si>
    <t>+1 (855) 482-2946</t>
  </si>
  <si>
    <t>alowenstein@impactassets.org</t>
  </si>
  <si>
    <t>4340 East West Highway</t>
  </si>
  <si>
    <t>20814</t>
  </si>
  <si>
    <t>+1 (301) 263-7998</t>
  </si>
  <si>
    <t>395564-14P</t>
  </si>
  <si>
    <t>Angie Zine</t>
  </si>
  <si>
    <t>Angie</t>
  </si>
  <si>
    <t>Zine</t>
  </si>
  <si>
    <t>Ms. Angie Zine serves as Officer, Investment Operations at ImpactAssets. At ImpactAssets, Angie leads the investment servicing functions related to private debt and equity fund investments and acts as the business lead for the Investment Management System. Angie previously worked at Symphony Asset Management, leading the Portfolio Accounting group and managing accounting and operations projects. She has a Finance degree from the University of Maryland, College Park.</t>
  </si>
  <si>
    <t>azine@impactassets.org</t>
  </si>
  <si>
    <t>Officer, Investment Operations</t>
  </si>
  <si>
    <t>332207-02P</t>
  </si>
  <si>
    <t>Connor Taylor</t>
  </si>
  <si>
    <t>Mr. Connor Taylor serves as Officer, Investment Services at ImpactAssets. He leads new investment pipeline management and transactions for the Client Recommended Investments program. He brings 10 years of impact investing and philanthropy experience. Prior to ImpactAssets, he directed financial planning and business intelligence at an early-stage fintech healthcare company while also supporting a venture capital studio that creates companies solving health challenges for the most vulnerable communities across the US. Previously, he worked with an ESG-focused international private market investment manager and joined a newly launched M&amp;A advisory firm in South Texas. He spent six years focusing on socially responsible public equity and debt investing and working with institutional clients and investment consultants at Dimensional Fund Advisors. He started his career supporting microfinance institutions in Eastern Europe and East Africa with HOPE International and has supported the philanthropic giving and impact investments of multiple family foundations including the Michael &amp; Susan Dell Foundation. He earned a BA from Indiana University Bloomington and an MBA from the University of Texas at Austin.</t>
  </si>
  <si>
    <t>+1 (317) 695-3293</t>
  </si>
  <si>
    <t>ctaylor@impactassets.org</t>
  </si>
  <si>
    <t>Officer, Investment Services</t>
  </si>
  <si>
    <t>217241-38P</t>
  </si>
  <si>
    <t>Dana Cotter</t>
  </si>
  <si>
    <t>Cotter</t>
  </si>
  <si>
    <t>Ms. Dana Cotter serves as Managing Director of Impact at ImpactAssets. She was previously the Director of Portfolio at Elemental Excelerator, a growth-stage startup accelerator, where she led program design, grantmaking, startup services, and field-building activities across energy, agriculture, water, mobility, and circular economy. She serves as a Strategic Advisor to Full Cycle Bioplastics, a circular economy startup focused on converting organic waste into a compostable and marine-degradable bioplastic called PHA. She graduated from the University of Hawai'i with a triple major in International Business, Marketing, and Finance.</t>
  </si>
  <si>
    <t>dcotter@impactassets.org</t>
  </si>
  <si>
    <t>Managing Director of Impact</t>
  </si>
  <si>
    <t>198742-24P</t>
  </si>
  <si>
    <t>Eric Meissner</t>
  </si>
  <si>
    <t>Mr. Eric Meissner serves as Senior Advisor at Impact Assets. He manages the client-advised private debt and equity investment practice at ImpactAssets. He has also worked at the Grassroots Business Fund (GBF) as its Risk &amp; Advisory manager, identifying risk and designing mitigation strategies throughout the investment lifecycle with investment teams in Africa, Latin America, India, and Southeast Asia. Prior to his career in impact investing, he worked for a decade with the US Agency for International Development (USAID) and many of its partners designing and implementing economic development programs in the Middle East, Central Asia, Africa, and Eastern Europe. He holds an MBA from the University of Oxford and a BA from Syracuse University.</t>
  </si>
  <si>
    <t>emeissner@impactassets.org</t>
  </si>
  <si>
    <t>244430-02P</t>
  </si>
  <si>
    <t>Evan Coller</t>
  </si>
  <si>
    <t>Coller</t>
  </si>
  <si>
    <t>Mr. Evan Coller serves as Senior Digital Marketing Manager at ImpactAssets. He is a member of the ImpactAssets marketing team, managing the IA brand, communications, and donor and investor engagement across digital marketing channels. He brings 8+ years of experience helping impact-driven organizations enhance their marketing efforts through effective integrated strategy and execution. Prior to ImpactAssets, Evan served as a Marketing Manager and Strategist for Guru Media Solutions, a marketing collective and creative agency based in San Francisco, and Social Venture Network (SVN), a pioneering network of innovative business leaders, impact investors, and social entrepreneurs working to advance business as a force for good.</t>
  </si>
  <si>
    <t>ecoller@impactassets.org</t>
  </si>
  <si>
    <t>Senior Digital Marketing Manager</t>
  </si>
  <si>
    <t>140123-89P</t>
  </si>
  <si>
    <t>Houda Ferradji</t>
  </si>
  <si>
    <t>Houda</t>
  </si>
  <si>
    <t>Ferradji</t>
  </si>
  <si>
    <t>Ms. Houda Ferradji serves as Principal, Investments, ImpactAssets Capital Partners at ImpactAssets. She is responsible for investment sourcing, due diligence and investment selection.</t>
  </si>
  <si>
    <t>Principal, Investments, ImpactAssets Capital Partners</t>
  </si>
  <si>
    <t>116250-13P</t>
  </si>
  <si>
    <t>Ivy Duke JD</t>
  </si>
  <si>
    <t>Duke</t>
  </si>
  <si>
    <t>Ms. Ivy Duke serves as General Counsel at ImpactAssets. She manages the legal and compliance functions. In addition to providing counsel for general corporate law and corporate governance, she also oversees regulatory compliance for the nonprofit, investment advisor and private investment operations. Ms. Duke served as Chief Compliance Officer at National Real Estate Advisors. She serves as Vice President &amp; Acting General Counsel at Calvert Group. She is responsible for applications of federal and state securities laws, fund mergers and acquisitions, the update and revision of the funds' registration statements, and the Calvert Foundation and shareholder proxy proposals in concert with the Calvert Sustainability Research Department. She has worked in the financial industry since 1993. Prior to joining Calvert Investment Management, Inc. in 1996, She was associated with the law firm Drinker Biddle &amp; Reath in Philadelphia, Pa. where she began her investment management practice. She is a graduate of The University of Virginia, receiving both her B.A. and J.D. She also received an LL.M. (master of laws) degree in securities and financial regulation from Georgetown University Law Center.</t>
  </si>
  <si>
    <t>+1 (513) 529-6110</t>
  </si>
  <si>
    <t>iduke@impactassets.org</t>
  </si>
  <si>
    <t>13169-44P</t>
  </si>
  <si>
    <t>Mr. Jason Green serves as Board Member &amp; Member of Investment Committee at Impact Assets. Mr. Green is an Angel Investor. He co-founded and served as the General Partner at Emergence. Mr. Green served as Board Observer at Gusto (email application). He serves as Chairman at FreeWorld. He serves as a Board Member at Asapp. He serves as a Board Member &amp; Member of the Investment Committee at Impact Assets. He currently serves on the Boards of CoTap, Lotame, SteelBrick, and xAd and is an observer at Gusto. He serves as a Board Member at ServiceMax and BetterWorks. He serves as a Board Member at Endeavor Global. He served as a Board Member at Quasar Builders and SalesLoft. He has been in the venture business for 20 years and backed 8 "Unicorns" so far in his career (Visual Networks, DoubleClick, Ask Jeeves, aQuantive, SuccessFactors, Box, Yammer, and Gusto). He served as Chairman Emeritus at Kauffman Fellows. He also served as Chairman of the West Coast Research Center for Harvard Business School. Before founding Emergence, Green was a General Partner with USVP and an associate and Kauffman Fellow with Venrock. He previously worked at Bain &amp; Company and Welsh, Carson, Anderson, and Stowe. He graduated cum laude with a B.A. in Economics from Dartmouth College and an M.B.A. from Harvard with Distinction.</t>
  </si>
  <si>
    <t>Board Member &amp; Member of Investment Committee</t>
  </si>
  <si>
    <t>153770-32P</t>
  </si>
  <si>
    <t>Margret Trilli</t>
  </si>
  <si>
    <t>Margret</t>
  </si>
  <si>
    <t>Trilli</t>
  </si>
  <si>
    <t>Chief Executive Officer &amp; Chief Investment Officer</t>
  </si>
  <si>
    <t>Ms. Margret Trilli serves as Chief Executive Officer &amp; Chief Investment Officer at ImpactAssets. She serves as a Board Member at WaterEquity. She is also the Founder &amp; serves as Managing Partner at Intentional Capital. Her 25-year career includes executive leadership, investment, and operating roles for large and small companies including Barclays Global Investors/Blackrock and Charles Schwab. Her experience spans investment management, product management, strategy and planning, reengineering, turnarounds, and business building. Her investment expertise spans direct private equity and venture capital, international equities, currency hedging, commercial real estate, energy, natural resources, ESG/values-aligned strategies, and impact investing. She also serves on the boards and investment committees of three family offices. She graduated from Stanford Graduate School of Business and held a degree in Economics from the University of California Santa Barbara.</t>
  </si>
  <si>
    <t>mtrilli@impactassets.org</t>
  </si>
  <si>
    <t>346241-98P</t>
  </si>
  <si>
    <t>Patti McKenzie</t>
  </si>
  <si>
    <t>McKenzie</t>
  </si>
  <si>
    <t>Ms. Patti McKenzie serves as Director of Finance at ImpactAssets. At ImpactAssets, she manages the finance and accounting functions to ensure quality and compliance, while mitigating financial risks and enhancing the internal control environment. She has over 20 years of combined experience in both the nonprofit and investment arenas, working as VP of Finance at Habitat for Humanity and as a Tax Consultant for a multi-family office in the Greater New Orleans area. She has a Bachelor of Science degree in Accounting from Southeastern Louisiana University, with a double minor in Business Management and Marketing. She is an active Certified Public Accountant (CPA), and she also has earned a Certified Non-Profit Accounting Professional (CNAP) designation.</t>
  </si>
  <si>
    <t>pmckenzie@impactassets.org</t>
  </si>
  <si>
    <t>89901-01P</t>
  </si>
  <si>
    <t>Sandra Kartt</t>
  </si>
  <si>
    <t>Kartt</t>
  </si>
  <si>
    <t>Ms. Sandra Kartt serves as Deputy Chief Investment Officer at ImpactAssets. She is a member of the ImpactAssets Investments team, supporting investment management, product development, and field-building. Before joining ImpactAssets, she served as a Risk Officer at Developing World Markets, an impact investment asset manager focused on linking the capital markets and financial institutions serving the bottom of the pyramid in emerging and frontier economies. She also worked at Keefe Bruyette &amp; Woods, a boutique investment bank where she worked in sell-side equity research covering the U.S. banking industry. She holds an MA in Economics from New York University and a BS in Economics from Louisiana State University. She is a Chartered Financial Analyst.</t>
  </si>
  <si>
    <t>346242-43P</t>
  </si>
  <si>
    <t>Surin Ramkissoon</t>
  </si>
  <si>
    <t>Surin</t>
  </si>
  <si>
    <t>Ramkissoon</t>
  </si>
  <si>
    <t>Mr. Surin Ramkissoon serves as Managing Director of Finance at Impact Assets. At ImpactAssets, He leads the corporate finance and accounting functions. He manages the finance team and oversees key priorities, including executive and board financial reporting, annual audits, tax returns, and financial planning and analysis. He has nearly 25 years of experience in nonprofit finance, accounting and operations. Prior to joining ImpactAssets, He served in leadership roles at several progressive advocacy organizations, including FWD.us (COO), The ONE Campaign (CFO) and Center for American Progress (Director of Finance and Budget). He became a certified public accountant after graduating from the University of Maryland at College Park with bachelor degrees in finance and accounting.</t>
  </si>
  <si>
    <t>sramkissoon@impactassets.org</t>
  </si>
  <si>
    <t>Managing Director of Finance</t>
  </si>
  <si>
    <t>42755-05P</t>
  </si>
  <si>
    <t>Timothy Freundlich</t>
  </si>
  <si>
    <t>Freundlich</t>
  </si>
  <si>
    <t>Executive Director &amp; Founder</t>
  </si>
  <si>
    <t>Mr. Timothy Freundlich is the Founder and serves as Executive Director, Strategic Development at ImpactAssets. He also serves as Partner at Reinventure Capital. He co-founded and served as Chairman and Board Member at Mission Hub. He served as a Board Member at Impact Hub Bay Area. He also served as an Advisor at News Deeply. He has served in a number of capacities at Calvert Foundation, including his current role as a special consultant. Additionally, he serves on the steering committee of Hub North America. He received a BA in Film from Wesleyan University and an MBA in Finance from the University of San Francisco. He also served as a Board Member at Cordes Foundation. He co-founded and served as Managing Partner at Good Capital.</t>
  </si>
  <si>
    <t>tfreundlich@impactassets.org</t>
  </si>
  <si>
    <t>Founder and Executive Director, Strategic Development</t>
  </si>
  <si>
    <t>13185-91P</t>
  </si>
  <si>
    <t>Alain Harrus Ph.D</t>
  </si>
  <si>
    <t>Harrus</t>
  </si>
  <si>
    <t>Impact Science Ventures</t>
  </si>
  <si>
    <t>Dr. Alain Harrus is a Co-Founder &amp; serves as Managing Partner at Impact Science Ventures. Dr. Harrus is an Angel Investor. He served as a Board Member at Pixelligent. He joined Crosslink in 2006 and focuses on venture investments in energy technologies and computing &amp; semiconductors. He has several years of experience in the semiconductor industry as a technologist, senior corporate executive, and investor in high-growth, early-stage companies. Before turning to venture capital, he developed breakthrough process technologies that kept semiconductor manufacturers on track with Moore's Law - first as a research scientist at Bell Laboratories, later as chief technical officer at Novellus Systems, and now part of Lam Research (NASD: LRCX).</t>
  </si>
  <si>
    <t>+1 (650) 322-7595</t>
  </si>
  <si>
    <t>alain@impactscience.vc</t>
  </si>
  <si>
    <t>210384-01P</t>
  </si>
  <si>
    <t>Alita Carbone</t>
  </si>
  <si>
    <t>Alita</t>
  </si>
  <si>
    <t>Carbone</t>
  </si>
  <si>
    <t>Ms. Alita Carbone serves as Principal at Impact Science Ventures. She served as a Senior Associate at 3x5 Partners. She also served as an Associate at Malk Partners. She joined Malk in 2019. Prior to Malk, she worked as an Investment Banking Analyst at William Blair &amp; Company in Chicago, Illinois. She Carbone holds a BA in Political Science from The University of Chicago.</t>
  </si>
  <si>
    <t>+1 (858) 412-4145</t>
  </si>
  <si>
    <t>alita@impactscience.vc</t>
  </si>
  <si>
    <t>141122-08P</t>
  </si>
  <si>
    <t>Annette Finsterbusch Ph.D</t>
  </si>
  <si>
    <t>Annette</t>
  </si>
  <si>
    <t>Finsterbusch</t>
  </si>
  <si>
    <t>Dr. Annette Finsterbusch served as Chief Executive Officer, President &amp; Board Member at EnPower. She serves as an Advisor at Impact Science Ventures. She is an entrepreneur with over 25 years of operating, management, and venture capital experience. She has dedicated her career to driving growth and building value through successfully identifying, financing, and developing novel innovations into products and businesses in untapped markets - in early-stage startups and Fortune 500 companies. Her global corporate board experience spans multiple industries, including compound semiconductors, energy storage, lighting, advanced materials, 3-D printing, and the Internet of Things. In 2005, she founded Applied Ventures, the venture arm of Applied Materials, and was responsible for developing the venture group's investment strategy. From 1996 to 2000, she was based in Russia where she led the company's expansion into Eastern Europe, chartering Applied's first office in Moscow. Other notable positions include CEO of MindShadow.com (acq), Investment Manager at DaimlerChrysler Venture Capital, and CEO of Ketra (acq). She Chairs the National Science Foundation's SBIR/STTR Advisory Committee. She is a Kauffman Fellow, Class 11, where she was honored with the first Jeffrey Timmons Memorial Award. She is currently serving as a Mentor for Class 23. Philanthropic Directorships include seats on the Board of Directors at the Junior League of San Jose, the Exception Women Executives of San Jose State University, and the Los Gatos Rowing Club. She also serves on the Board of GLAC (Global Leadership Advancement Center). She received a Bachelor of Science in Economics and Geology from the University of Houston and an MBA in Strategy and Finance from San Jose State University. She received the Graduate of the Last Decade (GOLD) Award in 2004 from the faculty at SJSU.</t>
  </si>
  <si>
    <t>+1 (408) 582-4259</t>
  </si>
  <si>
    <t>EnPower (Former)</t>
  </si>
  <si>
    <t>318744-64P</t>
  </si>
  <si>
    <t>Dick Swanson</t>
  </si>
  <si>
    <t>Dick</t>
  </si>
  <si>
    <t>Swanson</t>
  </si>
  <si>
    <t>Mr. Dick Swanson served as Advisor at Impact Science Ventures.</t>
  </si>
  <si>
    <t>+1 (415) 574-0863</t>
  </si>
  <si>
    <t>367301-26P</t>
  </si>
  <si>
    <t>Hannah Murnen Ph.D</t>
  </si>
  <si>
    <t>Murnen</t>
  </si>
  <si>
    <t>Dr. Hannah Murnen serves as Chief Technology Officer at Graphite. She serves as an Advisor at Impact Science Ventures. She is a proven leader in developing and scaling industrial technologies. She served as Managing Director of Activate Anywhere and Chief Technical Officer at Compact Membrane Systems. She also spent several years with McKinsey and Company, advising industrial companies on growth strategy and operations. She holds a PhD in Chemical Engineering from the University of California Berkeley and a Bachelor of Engineering from Dartmouth College.</t>
  </si>
  <si>
    <t>hmurnen@graphyte.com</t>
  </si>
  <si>
    <t>Dover</t>
  </si>
  <si>
    <t>Dover, DE</t>
  </si>
  <si>
    <t>Graphyte (Environmental Services (B2B))</t>
  </si>
  <si>
    <t>144846-46P</t>
  </si>
  <si>
    <t>Ilan Gur Ph.D</t>
  </si>
  <si>
    <t>Gur</t>
  </si>
  <si>
    <t>Dr. Ilan Gur serves as Chief Executive Officer at Advanced Research + Invention Agency. He served as an Advisor at Liminal. He founded and served as Chief Executive Officer at Activate Global. He was a Co-Founder and served as Executive Director at Cyclotron Road. He founded Cyclotron Road to bridge a gap he observed in energy technology innovation over the past decade. He serves as an Advisor at Impact Science Ventures. Before launching the program, he served as Program Director at the Advanced Research Projects Agency-Energy (ARPA-E). At ARPA-E, he managed a $50 million portfolio of advanced R&amp;D projects in the areas of energy storage, solar energy, and advanced materials. He was also a senior advisor and cofounder of ARPA-E's Technology-to-Market program, aimed at maximizing the commercial and societal impact of the agency's breakthrough R&amp;D portfolio. Prior to ARPA-E, he launched two venture-backed clean energy startups based on advanced materials and novel manufacturing approaches. He holds B.S., M.S., and Ph.D. degrees in materials science and engineering from the University of California, Berkeley.</t>
  </si>
  <si>
    <t>+1 (415) 724-5799</t>
  </si>
  <si>
    <t>ilan.gur@aria.org.uk</t>
  </si>
  <si>
    <t>Advanced Research + Invention Agency</t>
  </si>
  <si>
    <t>60371-11P</t>
  </si>
  <si>
    <t>Marc Tarpenning</t>
  </si>
  <si>
    <t>Tarpenning</t>
  </si>
  <si>
    <t>Mr. Marc Tarpenning serves as Venture Partner at Spero Ventures. He serves as Board Member at Wattch. He serves as Board Member at Carbonara, and Clarity Movement. He serves as Advisor at Impact Science Ventures. He serves as Advisor, Automation at Tau Ventures. He serves as a Board Observer at Mast Reforestation. He co-founded NuvoMedia. He holds a BA in Computer Science from the University of California, Berkeley. He serves as an Advisor at Orange. He serves as Board Member at Telo Trucks. He served as Board Member at Tortuga Agtech.</t>
  </si>
  <si>
    <t>+1 (650) 776-4153</t>
  </si>
  <si>
    <t>1325 Howard Avenue</t>
  </si>
  <si>
    <t>Suite 923</t>
  </si>
  <si>
    <t>Spero Ventures</t>
  </si>
  <si>
    <t>54755-65P</t>
  </si>
  <si>
    <t>Martin Eberhard</t>
  </si>
  <si>
    <t>Eberhard</t>
  </si>
  <si>
    <t>Mr. Martin Eberhard is an Angel Investor. Mr. Eberhard co-founded and served as Co-Chief Executive Officer at Tesla. He serves as Advisor at Impact Science Ventures. He co-founded and served as Chairman and Chief Technology Officer at Tiveni. He served as a Partner at Wardenclyffe Partners.</t>
  </si>
  <si>
    <t>169468-30P</t>
  </si>
  <si>
    <t>Matt Price</t>
  </si>
  <si>
    <t>Mr. Matt Price is a Co-Founder &amp; serves as Chief Financial Officer at Activate Global. He serves as an Advisor at Impact Science Ventures. He also serves as an Investment Advisor at Cuberg. He has deep experience with business development and ventures to invest in clean energy technologies, including expertise in renewable energy, materials science, research, and development, and venture capital. He was previously managing director of Cyclotron Road, VP of channel development at Enlighted, and a principal at Nth Power, among other roles at clean energy startups. Before joining Cyclotron Road, he was a Vice President at Enlighted Inc. the leading wireless sensor network and lighting controls manufacturer for commercial and industrial buildings. Before joining Enlighted in 2011, he was a Principal at Nth Power, where he led investments in a broad range of energy and cleantech areas including materials and nanotechnology, fuel cells, biofuels, advanced lighting, and smart grid technologies. While at Haas, he co-founded the Berkeley Energy Resource Collaborative (BERC). He holds an M.B.A. from the Haas School of Business at U.C. Berkeley and a B.S. in materials science and engineering from Northwestern University.</t>
  </si>
  <si>
    <t>matt.price@activate.org</t>
  </si>
  <si>
    <t>Activate Global (Former)</t>
  </si>
  <si>
    <t>255960-55P</t>
  </si>
  <si>
    <t>Robert Ethier</t>
  </si>
  <si>
    <t>Ethier</t>
  </si>
  <si>
    <t>Mr. Robert Ethier is a Co-Founder &amp; serves as Managing Partner at Impact Science Ventures. Previously, he served as Vice President of investments at Activate Global. Before that, he was Portfolio Manager of investments at Kentucky Farm Bureau Mutual Insurance Company. He is a CFA charter holder, holds an MBA from the University of California, Berkeley, and a BA &amp; BBA from the University of Minnesota Duluth.</t>
  </si>
  <si>
    <t>robert@impactscience.vc</t>
  </si>
  <si>
    <t>397405-27P</t>
  </si>
  <si>
    <t>Sam Sabin</t>
  </si>
  <si>
    <t>Sabin</t>
  </si>
  <si>
    <t>Mr. Sam Sabin serves as an Advisor at Impact Science Ventures. He serves as a Board Member and Sustainability Lead at Sabin Metal Corporation.</t>
  </si>
  <si>
    <t>48364-12P</t>
  </si>
  <si>
    <t>Thomas Boussie Ph.D</t>
  </si>
  <si>
    <t>Boussie</t>
  </si>
  <si>
    <t>Dr. Thomas Boussie serves as Operating Partner at Impact Science Ventures. He served as Chief Business Officer at Sublime Systems. He serves as an Operating Partner for Impact Science Ventures. He co-founded and served as Vice President, Corporate Development at Rennovia. He brings more than 13 years of experience in the chemicals industry ranging from bench chemist to business opportunity analyst to technical entrepreneur. Before co-founding Rennovia, Dr. Boussie was a Distinguished Scientist at Symyx Technologies, a leading provider of high-throughput R&amp;D technology and software. At Symyx, Dr. Boussie was co-inventor on over 60 patents in high-throughput reactor and screening technology, advanced catalyst design, and semiconductor manufacturing processes technology. He has a Ph.D. in Chemistry from the University of California, Berkeley.</t>
  </si>
  <si>
    <t>tom@impactscience.vc</t>
  </si>
  <si>
    <t>13531-33P</t>
  </si>
  <si>
    <t>Vinit Nijhawan</t>
  </si>
  <si>
    <t>Nijhawan</t>
  </si>
  <si>
    <t>Mr. Vinit Nijhawan serves as Managing Director at MassVentures. Mr. Nijhawan served as Chief Executive Officer at Skyway Systems.He serves as Board Observer at Eden (Energy Infrastructure). He serves as an Advisor at Impact Science Ventures. He serves as Board Observer at Concerto Biosciences. He serves as Board Member at Kytopen. He served as Advisor at Cognii. He founded and served as Chief Executive Officer, President, and Chairman at Kinetic Computer. He co-founded Payload Systems. He co-founded and served as Partner &amp; Board Member at LearnLaunch Accelerator. He served as Board Member at Ensemble Therapeutics. He also served as Board Observer at INTICA Biomedical. He has over 25 years of experience building five startups- as CEO of three, four were acquired, and the fifth has grown to over 300 people. Recently, he was a venture partner at Key Venture Partners, where he sourced over 200 deals in two years and made one investment, which was acquired for $430M. He is an advisor and board member of several technology startups. He was a Mass High Tech All-Star in 2005. He has participated in over 120-panel discussions and paper presentations and serves on the Board of Trustees at TiE Global, a non-profit that fosters global entrepreneurship. He is currently the Managing Director of the Office of Technology, and Director of Enterprise Programs at ITEC (Institute of Technology, Entrepreneurship &amp; Commercialization) at Boston University. He also teaches an MBA course on Entrepreneurship at Boston University. He earned a B.A.Sc in Electrical Engineering from the University of Waterloo in Ontario, Canada.</t>
  </si>
  <si>
    <t>+1 (617) 723-4920</t>
  </si>
  <si>
    <t>vnijhawan@mass-ventures.com</t>
  </si>
  <si>
    <t>Worcester</t>
  </si>
  <si>
    <t>Worcester, MA</t>
  </si>
  <si>
    <t>Gateway Park, 17 Briden Street</t>
  </si>
  <si>
    <t>01605</t>
  </si>
  <si>
    <t>MassVentures</t>
  </si>
  <si>
    <t>204581-71P</t>
  </si>
  <si>
    <t>A.J. Bertone</t>
  </si>
  <si>
    <t>A.J.</t>
  </si>
  <si>
    <t>Bertone</t>
  </si>
  <si>
    <t>In-Q-Tel</t>
  </si>
  <si>
    <t>Ms. A.J. Bertone serves as Managing Partner at In-Q-Tel.</t>
  </si>
  <si>
    <t>+1 (703) 248-3000</t>
  </si>
  <si>
    <t>abertone@iqt.org</t>
  </si>
  <si>
    <t>800 El Camino Real</t>
  </si>
  <si>
    <t>105158-26P</t>
  </si>
  <si>
    <t>Amit Yoran</t>
  </si>
  <si>
    <t>Yoran</t>
  </si>
  <si>
    <t>Mr. Amit Yoran serves as Chief Executive Officer &amp; Chairman of the Board at Tenable. Mr. Yoran serves as Advisor at Wickr. Mr. Yoran is an Angel Investor. He also serves as a Chief Executive Officer and president at In-Q-Tel. He is also on the Board of Directors at BlackLine. Before joining Tenable, Mr. Yoran served as president of RSA Solutions, Inc. from October 2014 to December 2016 and as senior vice president of products of RSA Security LLC, the security division of Dell EMC, from April 2011 to October 2014. Mr. Yoran received a B.S. from the United States Military Academy at West Point and an M.S. in computer science from George Washington University. Our board of directors believes that Mr. Yoran is qualified to serve as a director based on his role as our Chief Executive Officer and his extensive management experience in the technology industry. He also serves as Strategic Advisor at Security Growth Partners.</t>
  </si>
  <si>
    <t>+1 (410) 872-0555</t>
  </si>
  <si>
    <t>ayoran@tenable.com</t>
  </si>
  <si>
    <t>Columbia</t>
  </si>
  <si>
    <t>Columbia, MD</t>
  </si>
  <si>
    <t>6100 Merriweather Drive</t>
  </si>
  <si>
    <t>21044</t>
  </si>
  <si>
    <t>Tenable</t>
  </si>
  <si>
    <t>186978-61P</t>
  </si>
  <si>
    <t>Binh Nguyen</t>
  </si>
  <si>
    <t>Mr. Binh Nguyen serves as Vice President at In-Q-Tel.</t>
  </si>
  <si>
    <t>bnguyen@iqt.org</t>
  </si>
  <si>
    <t>Tysons</t>
  </si>
  <si>
    <t>Tysons, VA</t>
  </si>
  <si>
    <t>1800 Tysons Boulevard</t>
  </si>
  <si>
    <t>60256-63P</t>
  </si>
  <si>
    <t>Brian Smith</t>
  </si>
  <si>
    <t>Mr. Brian Smith serves as Senior Partner at In-Q-Tel. He also serves as Member of GAP Tech Investment Committee at Virginia Venture Partners. He served as a Board Member at RedSeal. He holds a BA in Economics and Management from Bucknell University and an MBA from Georgetown University.</t>
  </si>
  <si>
    <t>bsmith@iqt.org</t>
  </si>
  <si>
    <t>270917-20P</t>
  </si>
  <si>
    <t>Brinda Jadeja</t>
  </si>
  <si>
    <t>Brinda</t>
  </si>
  <si>
    <t>Jadeja</t>
  </si>
  <si>
    <t>Ms. Brinda Jadeja serves as Senior Partner at In-Q-Tel.</t>
  </si>
  <si>
    <t>bjadeja@iqt.org</t>
  </si>
  <si>
    <t>153387-19P</t>
  </si>
  <si>
    <t>Bruce Adams JD</t>
  </si>
  <si>
    <t>Mr. Bruce Adams serves as Executive Vice President &amp; General Counsel at In-Q-Tel. Bruce oversees In-Q-Tel's legal matters, including contract negotiations. His duties span a wide array of transactional work, with a primary focus on investment financing. Prior to joining In-Q-Tel, Mr. Adams worked as a partner at the law firm of Arnold and Porter, in Washington, D.C. His experience in transactional work includes a wide variety of technology and telecommunications acquisition and financing, including transactions involving radio and television broadcast, cellular telephone licenses and applications, cable television and satellites, and cable television franchise renewals and transfers on behalf of municipalities. Mr. Adams received his Juris Doctor from Boston University in Boston, Massachusetts and received a Bachelor of Arts from Swarthmore College, in Swarthmore, Pennsylvania.</t>
  </si>
  <si>
    <t>badams@iqt.org</t>
  </si>
  <si>
    <t>297232-21P</t>
  </si>
  <si>
    <t>Clayton Williams</t>
  </si>
  <si>
    <t>Mr. Clayton Williams serves as Managing Director at In-Q-Tel.</t>
  </si>
  <si>
    <t>+1 (703) 913-0691</t>
  </si>
  <si>
    <t>cwilliams@iqt.org</t>
  </si>
  <si>
    <t>182277-37P</t>
  </si>
  <si>
    <t>Dan Geer</t>
  </si>
  <si>
    <t>Geer</t>
  </si>
  <si>
    <t>Mr. Dan Geer serves as Chief Information Security Officer at In-Q-Tel. He serves as Advisor at Digital Immunity.</t>
  </si>
  <si>
    <t>dgeer@iqt.org</t>
  </si>
  <si>
    <t>35505-37P</t>
  </si>
  <si>
    <t>Eugene Chiu</t>
  </si>
  <si>
    <t>Mr. Eugene Chiu serves as Senior Partner, Investments at In-Q-Tel. He also serves as a Board Observer at JuliaHub. He served as a Board Observer at Metabiota. He also Co-Founded Predictive Biosciences and is responsible for the company's commercial operations. He was previously the business development lead and a founding team member of Codon Devices, a venture-funded biotechnology company enabling commercial applications of synthetic biology. From 1999 to 2003, he was Co-Founder and VP of Business Development of BigMachines, a leading global provider of on-demand configuration and quoting software, where he built the marketing and business development functions and helped direct the company to profitability. Earlier, he managed iNiku business development at NIKU Corporation leading up to its successful IPO and was a consultant at McKinsey and Co. focused on the life sciences and technology industries. Eugene performed graduate research under the guidance of Professor Robert Langer at MIT. He earned his undergraduate degree in biochemical sciences from Harvard College, his M.S. in Health Sciences and Technology from MIT, and his MBA from Harvard Business School.</t>
  </si>
  <si>
    <t>+1 (781) 529-1100</t>
  </si>
  <si>
    <t>echiu@iqt.org</t>
  </si>
  <si>
    <t>890 Winter Street</t>
  </si>
  <si>
    <t>Suite 310</t>
  </si>
  <si>
    <t>Senior Partner, Investments</t>
  </si>
  <si>
    <t>48027-16P</t>
  </si>
  <si>
    <t>Gareth Keane Ph.D</t>
  </si>
  <si>
    <t>Dr. Gareth Keane serves as a Partner at In-Q-Tel. He serves as a Board Member at Lunar Outpost. He served as a Partner at Promus Ventures. He serves as a Board Member of Swift Navigation. He served as a Board Observer at Spire Global. He was a Board Observer of 360fly. He served as Senior Investment Manager at Qualcomm Ventures. He served as the Board Observer of Skycatch. He joined the team in 2012 and has been heavily involved in Qualcomm Ventures' activities in the hardware and connected device ecosystems. He helped define the Qualcomm Ventures investment thesis around UAVs and robotics and led the Qualcomm Ventures investments in companies like Spire. He also served as a Board Observer at Lifx. He started his professional career as an engineer and spent many years in engineering roles before turning to the dark side. He graduated from the National University of Ireland with a Bachelor's degree in Electronic Engineering in 1994 and followed this up with a Ph.D. in Electronic Engineering from The Queen's University of Belfast in 1999, where his thesis focused on low-power design methodologies for signal processing systems. His first job out of graduate school was working on complex semiconductor design tools for Cadence and he continued working on methodologies and design flows as an engineer and manager at PMC-Sierra. After eight years of solving technology challenges in successively smaller silicon geometries, he decided it was time for Business School and spent two years in the MBA program at UPenn/Wharton in Philadelphia, graduating in 2010. He served as the Board Observer at 3DR.</t>
  </si>
  <si>
    <t>12904-30P</t>
  </si>
  <si>
    <t>George Hoyem</t>
  </si>
  <si>
    <t>Hoyem</t>
  </si>
  <si>
    <t>Mr. George Hoyem serves as Executive Vice President, Investments at In-Q-Tel. He serves as Board Observer at Groq. He serves as a Board Observer at xCures. He serves as Board Member at ONPATH Technologies and ecMarket. He serves as Board Observer at Sysdig and previously served as its Managing Director. He serves as Board observer at Anomali, Deepgram, GitLab, HEAVY.AI, PubNub, and Spotter Global. He served as Board Member at Platform Solutions, Astoria Software, Atreus Systems, Boundless Spatial, National Venture Capital Association, SpectraSensors, and Vidient Systems. He served as Board Observer at D-Wave, D2iQ, Ephesoft, Evident.IO, Frame Platform, Good Technology, HyTrust, MindMeld, Orbital Insight, Paxata, Phantom Cyber, Primer, RedSeal, and SingleStore.</t>
  </si>
  <si>
    <t>+1 (415) 377-2763</t>
  </si>
  <si>
    <t>ghoyem@iqt.org</t>
  </si>
  <si>
    <t>Executive Vice President, Investments</t>
  </si>
  <si>
    <t>385134-22P</t>
  </si>
  <si>
    <t>Grant Whiting</t>
  </si>
  <si>
    <t>Whiting</t>
  </si>
  <si>
    <t>Mr. Grant Whiting serves as Senior Associate at In-Q-Tel.</t>
  </si>
  <si>
    <t>gwhiting@iqt.org</t>
  </si>
  <si>
    <t>13298-50P</t>
  </si>
  <si>
    <t>Howard Cox Jr.</t>
  </si>
  <si>
    <t>Mr. Howard Cox served as Advisory Board Member at ISO Group. Mr. Cox served as an Advisory Board Member at HLM Venture Partners. He served as a Special Limited Partner at Greylock Partners. He served as a Board Member at Brown Advisory. He also serves on the Board of Trustees at In-Q-Tel. Greylock with a committed capital of over $2 billion under management has been an active investor in enterprise software, consumer internet, and healthcare. Over 150 Greylock companies have gone on to become publicly held and more than 200 have successfully merged with other leading companies. Recent Greylock companies that have issued IPOs include LinkedIn and Facebook. He has been a director of more than 30 companies including three listed on the New York Stock Exchange.</t>
  </si>
  <si>
    <t>Brown Advisory (Former)</t>
  </si>
  <si>
    <t>169121-80P</t>
  </si>
  <si>
    <t>J.D. Englehart</t>
  </si>
  <si>
    <t>J.D.</t>
  </si>
  <si>
    <t>Englehart</t>
  </si>
  <si>
    <t>Mr. J.D. Englehart serves as Investment Director at In-Q-Tel. Previously, he served as Venture Fellow at Lavrock Ventures.</t>
  </si>
  <si>
    <t>jenglehart@iqt.org</t>
  </si>
  <si>
    <t>421880-77P</t>
  </si>
  <si>
    <t>Jon Chait</t>
  </si>
  <si>
    <t>Chait</t>
  </si>
  <si>
    <t>Mr. Jon Chait serves as Managing Partner at In-Q-Tel.</t>
  </si>
  <si>
    <t>jchait@iqt.org</t>
  </si>
  <si>
    <t>421432-12P</t>
  </si>
  <si>
    <t>Justin Wilder</t>
  </si>
  <si>
    <t>Mr. Justin Wilder serves as Managing Director &amp; Board Member at In-Q-Tel.</t>
  </si>
  <si>
    <t>jwilder@iqt.org</t>
  </si>
  <si>
    <t>Managing Director &amp; Board Member</t>
  </si>
  <si>
    <t>164904-85P</t>
  </si>
  <si>
    <t>Katie Gray</t>
  </si>
  <si>
    <t>Ms. Katie Gray serves as Senior Partner at In-Q-Tel. She serves as Board Member at Acalvio.</t>
  </si>
  <si>
    <t>kgray@iqt.org</t>
  </si>
  <si>
    <t>342779-86P</t>
  </si>
  <si>
    <t>Kevin Compher</t>
  </si>
  <si>
    <t>Compher</t>
  </si>
  <si>
    <t>Mr. Kevin Compher serves as Vice President, Technology at In-Q-Tel. He also serves as a Fellow at the Foresight Institute. He also serves as CTO and co-founder at Foundation. Previously, he worked as Managing Director at the SEC, directing market data/AI platforms and quant practices. He worked as Senior Leader in the US Government Space industry. He founded OSpatial Climate Technologies. He holds a Master's in Systems Engineering from the Naval Postgraduate School, and a Bachelor of Science from the University of Pennsylvania.</t>
  </si>
  <si>
    <t>439900-75P</t>
  </si>
  <si>
    <t>Lockheed Martin</t>
  </si>
  <si>
    <t>Lockheed</t>
  </si>
  <si>
    <t>391184-74P</t>
  </si>
  <si>
    <t>Madeleine Ferrara</t>
  </si>
  <si>
    <t>Ferrara</t>
  </si>
  <si>
    <t>Ms. Madeleine Ferrara serves as Marketing &amp; Communications Specialist at In-Q-Tel.</t>
  </si>
  <si>
    <t>mferrara@iqt.org</t>
  </si>
  <si>
    <t>Marketing &amp; Communications Specialist</t>
  </si>
  <si>
    <t>74259-91P</t>
  </si>
  <si>
    <t>Mark Breier</t>
  </si>
  <si>
    <t>Breier</t>
  </si>
  <si>
    <t>Mr. Mark Breier serves as Partner at In-Q-Tel. He was also the Chief Executive Officer at Beyond.com. He also served as Board Member at SnapDNA and serves as Board Observer at Claremont BioSolutions. He also serves as a Board member at Orion.</t>
  </si>
  <si>
    <t>+1 (650) 234-8999</t>
  </si>
  <si>
    <t>mbreier@iqt.org</t>
  </si>
  <si>
    <t>39664-54P</t>
  </si>
  <si>
    <t>Matthew Strottman</t>
  </si>
  <si>
    <t>Strottman</t>
  </si>
  <si>
    <t>Mr. Matthew Strottman serves as Chief Operating Officer &amp; Executive Vice President at In-Q-Tel. He is responsible for overseeing investment and portfolio analysis as well as managing corporate functions including finance, accounting, corporate operations, human resources, and security. Prior to his role as CFO, Strottman served as IQT's Senior Director of Investment Analysis, where he managed vetting and due diligence for all potential investments. He also served in a portfolio management role, tracking the financial performance and valuations of IQT's investments. Strottman is a Certified Public Accountant and previously worked in the Technology Investment Banking Group at Friedman Billings Ramsey. During his time at FBR, he executed public and private equity financing, merger and acquisition, restructuring, and venture capital transactions totaling over $3 billion. Strottman began his career at PricewaterhouseCoopers, where he focused primarily on the real estate and technology industries. Strottman received his BA from the University of Notre Dame and his MBA from Georgetown University.</t>
  </si>
  <si>
    <t>mstrottman@iqt.org</t>
  </si>
  <si>
    <t>94995-46P</t>
  </si>
  <si>
    <t>Megan Anderson Ph.D</t>
  </si>
  <si>
    <t>Dr. Megan Anderson serves as Executive Vice President, Capabilities at In-Q-Tel. She oversees Technology Practices. program management team and project engineering teams.</t>
  </si>
  <si>
    <t>manderson@iqt.org</t>
  </si>
  <si>
    <t>Executive Vice President, Cpabilities</t>
  </si>
  <si>
    <t>38355-58P</t>
  </si>
  <si>
    <t>Michael Falcon</t>
  </si>
  <si>
    <t>Mr. Michael Falcon serves as a Partner at In-Q-Tel. He served as Managing Director at LG Technology Ventures. He served as Board Observer at Inpria. He served as Board Member of CerebrumX. He serves as Managing Partner at Bandgap Ventures. He served as a Board Member at Element Energy. He was a Board Member at Bandspeed. He has over seventeen years of operating experience within high technology, with emphasis on the electronics and semiconductor industry sectors. Michael has held various leadership positions including Director of Marketing and Business Development at Molecular Imprints, a venture-backed semiconductor equipment company in Austin, TX. Michael also served as a Captain at the US Air Force Research Laboratory, where he led a multi-million dollar semiconductor laser research and development program and managed a team of scientists and engineers at Kirtland AFB. Michael has also worked at Texas Instruments and Teradyne Corporation and has authored multiple technical publications. Michael has four degrees from the Massachusetts Institute of Technology, including an M.S. in Electrical Engineering and Computer Science, an M.S. in Materials Science and Engineering, a B.S. in Electrical Engineering and an M.B.A. from the MIT Sloan School of Management, where he was a Leaders for Manufacturing Fellow and a recipient of the Patrick G. McGovern Award for Entrepreneurship. He served as a Partner at Alara Capital.</t>
  </si>
  <si>
    <t>+1 (512) 401-0949</t>
  </si>
  <si>
    <t>mfalcon@iqt.org</t>
  </si>
  <si>
    <t>13359 North Highway 183</t>
  </si>
  <si>
    <t>Suite 406</t>
  </si>
  <si>
    <t>78750</t>
  </si>
  <si>
    <t>Bandgap Ventures</t>
  </si>
  <si>
    <t>40238-02P</t>
  </si>
  <si>
    <t>Michael Leurdijk</t>
  </si>
  <si>
    <t>Leurdijk</t>
  </si>
  <si>
    <t>Mr. Michael Leurdijk serves as Senior Vice President, Portfolio Management at In-Q-Tel. He also served as Vice President at Core Capital Partners. He joined Core Capital in 2008 and focuses on early- and growth-stage investments in the cyber-security, data analytics, mobile and related technology sectors. He provides support in deal sourcing, due diligence, portfolio management, and valuation. Previously, Mr. Leurdijk spent six years as a consultant to Paul Capital Partners, a San Francisco-based secondary private equity firm. At Paul Capital, he was responsible for valuations related to the firm's $5B pool of direct and fund investment assets. Mr. Leurdijk is active with the Private Equity CFO Association. He has an M.B.A from the University of Maryland and a B.A. from American University.</t>
  </si>
  <si>
    <t>mleurdijk@iqt.org</t>
  </si>
  <si>
    <t>Senior Vice President, Portfolio Management</t>
  </si>
  <si>
    <t>132424-30P</t>
  </si>
  <si>
    <t>Michael Vickers Ph.D</t>
  </si>
  <si>
    <t>Dr. Michael Vickers serves as Executive Vice President at In-Q-Tel. Dr. Vickers served as Board Member at Metis Solutions. Dr. Vickers career as a special operator, CIA operations officer, national security policy maker and Intelligence Community leader spanned the last two decades of the Cold War through a decade and a half of our war with al-Qa'ida, its allies and its offshoots - service that saw unprecedented senior tenure across Republican and Democratic administrations. Most recently, from 2011 to 2015, Dr. Vickers served as the Under Secretary of Defense for Intelligence, exercising authority, direction and control over the National Security Agency, Defense Intelligence Agency, National Geospatial-Intelligence Agency, National Reconnaissance Office, Defense Security Service, and the intelligence components of the Military Services and Combatant Commands. From 2007 to 2011, he served as the first and only Assistant Secretary of Defense for Special Operations, Low-Intensity Conflict and Interdependent Capabilities. Throughout his nearly decade-long service as a national security policy maker and Intelligence Community leader, Dr. Vickers was heavily involved in operations. He was a key operational strategist for the campaign to dismantle and defeat core al-Qa'ida, and played a major policy and planning role in the operation that killed Usama bin Ladin. He oversaw counterterrorism operations in multiple countries and a wide range of other operations, from the surge of forces in Afghanistan to sensitive intelligence collection operations, paramilitary support to opposition forces battling despotic regimes, operations against rogue state nuclear weapons and missile programs, and operations against drug cartels. During the nearly decade and a half that spanned the operational phase of his career, he served as a Special Forces weapons and engineer sergeant, as the commander of a classified counterterrorism unit, and as CIA operations officer. As a Special Forces solider and officer, he was trained to parachute behind Soviet lines with a "backpack" nuclear weapon, and led hostage rescue operations and sensitive intelligence collection operations. As a CIA officer, he played key roles in the invasion of Grenada, the US government's operational response to the Beirut bombings, and the covert effort to drive the Red Army out of Afghanistan. As the principal strategist for the multi-billion dollar Afghanistan covert action program - the largest and most successful covert action program in CIA's history - Dr. Vickers developed the winning strategy when very few thought it was possible to win. His contributions to the first war the Red Army had ever lost and US victory in the Cold War were chronicled in the film and New York Times best seller, Charlie Wilson's War. Dr. Vickers has received the nation's highest awards in the fields of intelligence and defense, including the Presidential National Security Medal and the OSS Society's William J. Donovan Award. He holds a Ph.D. from Johns Hopkins University, an MBA from the Wharton School of the University of Pennsylvania, and a B.A. from the University of Alabama. He is finishing a memoir of his career, to be published by Knopf Penguin Random House in 2020. He is a Principal with the Telemus Group, a senior advisor to the Boston Consulting Group, a senior fellow at Johns Hopkins School of Advanced International Studies and at the Center for Strategic and International Studies, and on several corporate, non-profit and government boards.</t>
  </si>
  <si>
    <t>mvickers@iqt.org</t>
  </si>
  <si>
    <t>397060-75P</t>
  </si>
  <si>
    <t>Molly Hassell</t>
  </si>
  <si>
    <t>Molly</t>
  </si>
  <si>
    <t>Hassell</t>
  </si>
  <si>
    <t>Ms. Molly Hassell serves as Associate, International Investments Team at In-Q-Tel. She served as an Associate at Marlinspike.</t>
  </si>
  <si>
    <t>mhassell@iqt.org</t>
  </si>
  <si>
    <t>Associate, International Investments Team</t>
  </si>
  <si>
    <t>42227-02P</t>
  </si>
  <si>
    <t>Sean Shadmand</t>
  </si>
  <si>
    <t>Shadmand</t>
  </si>
  <si>
    <t>Mr. Sean Shadmand serves as Vice President at In-Q-Tel. He also serves as Advisor at Recart. He also serves as Advisor at Coinut. He Co-Founded and served as President at Socialize. He also served as Vice President, Publisher and Consumer Products at ShareThis.</t>
  </si>
  <si>
    <t>+1 (703) 298-5885</t>
  </si>
  <si>
    <t>sshadmand@iqt.org</t>
  </si>
  <si>
    <t>35944-57P</t>
  </si>
  <si>
    <t>Steve Bowsher</t>
  </si>
  <si>
    <t>Bowsher</t>
  </si>
  <si>
    <t>Mr. Steve Bowsher serves as President and Chief Executive Officer at In-Q-Tel. Mr. Bowsher serves as Board Observer at Ocient. He served as Director at Participate Systems.He served as Partner at InterWest Partners. He served as Board Member at Varolii. He specialized in the enterprise software and Internet sectors and led and managed 13 investments in those areas. Previously, he worked at E*TRADE, managing its value-added products and services. During his tenure there, he helped launch Destination E*TRADE, the company's award-winning website. He was also an early-stage employee at two startup companies, where he was responsible for revenue and distribution targets. He is a frequent speaker at industry-leading conferences such as the Wharton Technology Conference, IBF's Early Stage Investing Conference, Internet World Annual Conference, and Dow Jones Private Equity Summit, and has been quoted as a subject matter expert in national publications including the Wall Street Journal, Newsweek, and Fortune magazine. He graduated magna cum laude from Harvard and received his MBA from Stanford.</t>
  </si>
  <si>
    <t>sbowsher@iqt.org</t>
  </si>
  <si>
    <t>153384-49P</t>
  </si>
  <si>
    <t>Tara O'Toole MD</t>
  </si>
  <si>
    <t>O'Toole</t>
  </si>
  <si>
    <t>Dr. Tara O'Toole serves as Executive Vice President, Senior Fellow at In-Q-Tel. She also serves as Director of B. Next, a strategic initiative exploring opportunities and risks likely to arise in the next decade as a result of advances in the biological sciences and biotechnologies, with a particular focus on the detection of and defense against biological attacks. Prior to joining IQT, she served as Under Secretary of Science and Technology (S&amp;T) at the Department of Homeland Security, where during her four-year tenure she was the principal advisor to the Secretary on matters related to science and technology. Before becoming Under Secretary, she founded and directed two university-based think tanks devoted to civilian biodefense, and served President Clinton's administration as Assistant Secretary for Environment Safety and Health in the Department of Energy. From 1989-to 93, she was a senior analyst at the Congressional Office of Technology Assessment, and prior to OTA, she practiced internal medicine in community health centers in East Baltimore as part of the U.S. Public Health Service. She received her BA from Vassar College, her M.D. from the George Washington University School of Medicine, and an MPH from the Johns Hopkins Bloomberg School of Public Health. She is board certified in internal medicine and occupational and environmental medicine. Dr. O'Toole is a past Chair of the Board of the Federation of American Scientists and is a member of the Council on Foreign Relations.</t>
  </si>
  <si>
    <t>to'toole@iqt.org</t>
  </si>
  <si>
    <t>Executive Vice President, Senior Fellow</t>
  </si>
  <si>
    <t>316154-17P</t>
  </si>
  <si>
    <t>Theodore Schlein</t>
  </si>
  <si>
    <t>Theodore</t>
  </si>
  <si>
    <t>Schlein</t>
  </si>
  <si>
    <t>Mr. Theodore Schlein is a Co-Founder and serves as Chairman at GetReal. Mr. Theodore Schlein serves as General Partner &amp; Chairman at Ballistic Ventures (California). He serves as Board Member at Hello Soju. He serves as Board Member at Chegg. He serves as Investment Board Member at University of Pennsylvania Endowment. He serves as Trustee at In-Q-Tel. He serves as Board Member at Alethea Group and Trusona. His career in venture capital spanning 25 years at Kleiner Perkins and more than 30 years in cybersecurity make him uniquely qualified to lead the Ballistic team as a General Partner. His roles as operator, founder, investor and advisor have resulted in the creation of companies that have fundamentally shaped the cybersecurity landscape, while returning billions of dollars to shareholders. Ted provides counsel to the U.S. intelligence community, serves on the Board of Trustees at InQTel, and was recently named as a board member of the CISA Cybersecurity Advisory Committee. Ballistic is the embodiment of Ted's vision for how venture capital can play a crucial role in the continual fight for a free and secure digital future.</t>
  </si>
  <si>
    <t>Ballistic Ventures, 1100 Park Place</t>
  </si>
  <si>
    <t>GetReal</t>
  </si>
  <si>
    <t>191870-02P</t>
  </si>
  <si>
    <t>Matthew Rogers</t>
  </si>
  <si>
    <t>Incite Ventures (San Francisco)</t>
  </si>
  <si>
    <t>Mr. Matthew Rogers is a Co-Founder &amp; serves as Chief Executive Officer at Mill Industries. Mr. Rogers serves as Board Member at Quilt. Mr. Rogers is a Co-Founder of Incite Ventures. He also serves as Board Member at Span. He also serves as an Advisor at DeltaTrainer and Pearl Street Technologies. He is also an Angel Investor. He started at Apple, building the software team f 10 generations of the iPod. He was one of the first engineers on the original iPhone and was involved in the development of 5 iPhone generations, and the first iPad. As co-founder of Nest, Matt built the team that built the first machine-learning thermostat. And by doing so, has built the leading connected home brand - Nest. Today, Matt is the Chief Product Officer at Nest. He holds a BS (Bachelor of Science) in Computer Engineering and MS (Master of Science) in Electrical &amp; Computer Engineering, both from Carnegie Mellon University.</t>
  </si>
  <si>
    <t>+1 (415) 862-4394</t>
  </si>
  <si>
    <t>matt@mill.com</t>
  </si>
  <si>
    <t>San Bruno</t>
  </si>
  <si>
    <t>San Bruno, CA</t>
  </si>
  <si>
    <t>950 Elm Avenue</t>
  </si>
  <si>
    <t>94066</t>
  </si>
  <si>
    <t>Mill Industries</t>
  </si>
  <si>
    <t>114345-10P</t>
  </si>
  <si>
    <t>Swati Mylavarapu</t>
  </si>
  <si>
    <t>Swati</t>
  </si>
  <si>
    <t>Mylavarapu</t>
  </si>
  <si>
    <t>Ms. Swati Mylavarapu is a Co-Founder &amp; serves as Managing Partner at Incite Ventures (San Francisco). Ms. Mylavarapu served as a Partner at Kleiner Perkins Caufield &amp; Byers. She also serves as Board Member at Vote.org. She joined KPCB in 2015 and focuses on venture-stage companies developing digital health and consumer technologies and businesses. Swati joined KPCB from Square, where she was responsible for business operations and strategy for Square's international efforts in Canada and Japan, and led product marketing for Square's premium software efforts. Swati is also co-founder of Arena, which trains the next generation of progressive candidates and campaign staff. Swati spent her early career building technology companies. She has previously worked at Quid, Square, Google.org, and as a partner at Kleiner Perkins Caufield &amp; Byers. Her expertise is in supporting teams that build new, innovative approaches to large scale challenges using the best of private and public sector approaches. She has helped start and lead new initiatives ranging from successful technology startups to global nonprofits, U.S. presidential campaigns, and more. Swati graduated from Harvard with an AB in Development Studies, was elected to Phi Beta Kappa, and was a Truman Scholar. At Oxford, she earned a Master of Philosophy in Economic History as a Rhodes Scholar. She currently serves on the Board of Trustees for the Rhodes Trust.</t>
  </si>
  <si>
    <t>swati@incite.org</t>
  </si>
  <si>
    <t>729 North Point Street</t>
  </si>
  <si>
    <t>447216-85P</t>
  </si>
  <si>
    <t>Carla Nell</t>
  </si>
  <si>
    <t>Independent Electricity System Operator</t>
  </si>
  <si>
    <t>Ms. Carla Nell serves as Vice-President of Corporate Relations, Engagement &amp; Strategy at Independent Electricity System Operator. She is responsible for providing strategic leadership in the areas of communications, stakeholder and community engagement, government affairs, corporate strategy, and managing and enhancing all relationships on behalf of the Independent Electricity System Operator (IESO). She has extensive senior leadership and operational experience within the private, public and not-for-profit sectors. Her expertise includes development of comprehensive engagement and advocacy strategies, overseeing initiatives to ensure a robust and responsive customer experience, and fostering transparency and mutual accountability with internal and external audiences to transform relationships into true partnerships. She holds an Honours Bachelor of Arts degree from the University of Ottawa, completed her Masters degree at Western University, and is a paralegal licensed by the Law Society of Ontario.</t>
  </si>
  <si>
    <t>+1 (416) 969-6277</t>
  </si>
  <si>
    <t>cnell@ieso.ca</t>
  </si>
  <si>
    <t>+1 (416) 969-6383</t>
  </si>
  <si>
    <t>Vice-President of Corporate Relations, Engagement &amp; Strategy</t>
  </si>
  <si>
    <t>447213-97P</t>
  </si>
  <si>
    <t>Ernest Chui</t>
  </si>
  <si>
    <t>Chui</t>
  </si>
  <si>
    <t>Chief Executive Officer &amp; Vice President</t>
  </si>
  <si>
    <t>Mr. Ernest Chui serves as Chief Executive Officer &amp; Vice President of Corporate &amp; Market Services at Independent Electricity System Operator. He is responsible for financial planning and analysis, treasury and pension operations, settlements, as well as project management. He is an experienced finance executive and brings a wide-variety of expertise gained through working at large and complex organizations and financial institutions. He is a collaborative leader who continuously advocates for inclusion and diversity. He previously served as the Chief Financial Officer for the Workplace Safety and Insurance Board (WSIB), where he oversaw critical corporate functions including investments of over $35 billion, actuarial services, treasury, financial planning, project costing, financial reporting, corporate controllership, and internal controls. In 2022, he led the issuance of up to $1.5 billion refund to eligible Ontario employers for the first time in WSIB's one hundred plus year history. During his time there, he was also instrumental in the strategy and execution to eliminate WSIB's Unfunded Liability of $14 billion nine years ahead of legislated requirements. Prior to his time at WSIB, he also held progressively finance roles at Infrastructure Ontario and the Province of Ontario. A Masters of Accounting graduate, he is a chartered accountant (CPA CA) and holds a Bachelor of Arts degree from the University of Waterloo.</t>
  </si>
  <si>
    <t>echui@ieso.ca</t>
  </si>
  <si>
    <t>Chief Executive Officer &amp; Vice President of Corporate &amp; Market Services</t>
  </si>
  <si>
    <t>447220-45P</t>
  </si>
  <si>
    <t>Joleyne Groat</t>
  </si>
  <si>
    <t>Joleyne</t>
  </si>
  <si>
    <t>Groat</t>
  </si>
  <si>
    <t>Ms. Joleyne Groat serves as Director of Corporate Strategy at Independent Electricity System Operator.</t>
  </si>
  <si>
    <t>jgroat@ieso.ca</t>
  </si>
  <si>
    <t>Director of Corporate Strategy</t>
  </si>
  <si>
    <t>237719-98P</t>
  </si>
  <si>
    <t>Lesley Gallinger</t>
  </si>
  <si>
    <t>Gallinger</t>
  </si>
  <si>
    <t>Ms. Lesley Gallinger serves as President &amp; Chief Executive Officer at Independent Electricity System Operator. Under her leadership, the IESO oversees the safe and reliable operation of Ontario's bulk electricity system, ensuring affordable electricity is available when and where people need it. As part of its mandate to plan and prepare for the future, the IESO works with sector partners to identify energy needs, develop supply options, drive innovation, and harness data and information for decision-making. The IESO also delivers energy efficiency and demand management programs that contribute to the cost-effectiveness and reliability of Ontario's power system. Throughout her career, she has focused on driving strategic change within complex organizations to deliver shareholder and stakeholder value. Prior to joining the IESO, she served as President and Chief Executive Officer of Elexicon Energy, a large municipally-owned electricity distributor in Ontario, which she led through a sizeable merger integration. She has also held senior roles in the electricity sector that include Chief Strategy and Financial Officer at the Electrical Safety Authority as well as VP, Corporate and Regulatory Affairs and Chief Financial Officer at Oakville Hydro. She sits on several boards, including the Ontario Energy Network and the Nuclear Waste Management Organization. Prior to joining the IESO she also served on the boards of the Ontario Energy Association and the Electricity Distributors Association. She holds a Master of Business Administration from the Schulich School of Business at York University, is a Chartered Professional Accountant and a Certified Public Accountant (Illinois). She has also completed the Chartered Director and Audit Committee Certified program at the DeGroote School of Business, McMaster University.</t>
  </si>
  <si>
    <t>lgallinger@ieso.ca</t>
  </si>
  <si>
    <t>260646-85P</t>
  </si>
  <si>
    <t>Robby Sohi</t>
  </si>
  <si>
    <t>Robby</t>
  </si>
  <si>
    <t>Sohi</t>
  </si>
  <si>
    <t>Chief Operating Officer &amp; Vice President</t>
  </si>
  <si>
    <t>Mr. Robby Sohi serves as Chief Operating Officer &amp; Vice President at Independent Electricity System Operator. n this role, he is responsible for the reliable and efficient operation of the province-wide power system, the administration of Ontario's real-time electricity markets and the continued development of electricity market designs. He previously served as Senior Vice President, Corporate Business Development and Strategy at Ontario Power Generation (OPG), where he was accountable for commercial business functions including business development, acquisitions and electrification. As part of his focus on implementing OPG's long-term strategic plan, he and his team delivered a growth strategy aimed at broadening OPG's business within Ontario and beyond. In addition to his SVP role at OPG, he also served as President and CEO of Global First Power, leading Canada's first Small Modular Reactor project. He joined OPG's predecessor company, Ontario Hydro, in 1991. Over the years, he held roles of increasing responsibility in several technical functions, corporate functions, asset management, high-voltage substation operation and maintenance, and hydroelectric plant operations at locations across Ontario. He has a Bachelor of Engineering degree in Electrical Engineering from McMaster University. He serves as a Director on the Board of the Northeast Power Coordinating Council (NPCC), and has also served as a council member of the Generation Sector Council at the Electrical Power Research Institute (EPRI) and a member of the Thermal Generation Interest Group (TGIG) at the Centre for Energy Advancement through Technological Innovation (CEATI).</t>
  </si>
  <si>
    <t>rsohi@ieso.ca</t>
  </si>
  <si>
    <t>38793-70P</t>
  </si>
  <si>
    <t>Aaron Hinz</t>
  </si>
  <si>
    <t>Hinz</t>
  </si>
  <si>
    <t>Industry Ventures</t>
  </si>
  <si>
    <t>Mr. Aaron Hinz serves as Chief Financial Officer at Industry Ventures. He is responsible for overseeing the accounting and financial reporting for all of the secondary funds and partnerships holding funds. Prior to joining Industry Ventures, he was the Controller for Thomas Weisel Global Growth Partners where he oversaw the accounting and financial reporting for the secondary and primary fund of funds. Previously, he spent over 3 years at Venrock in the accounting and finance department. He started his career at PricewaterhouseCoopers, where he spent 4 years based in the San Jose office auditing many prominent venture capital funds and fund-of-funds. He graduated from The University of California, Santa Cruz with a BA in Business Management Economics with an emphasis on Accounting.</t>
  </si>
  <si>
    <t>+1 (415) 273-4201</t>
  </si>
  <si>
    <t>aaron@industryventures.com</t>
  </si>
  <si>
    <t>50 Osgood Place</t>
  </si>
  <si>
    <t>+1 (415) 483-7177</t>
  </si>
  <si>
    <t>409121-11P</t>
  </si>
  <si>
    <t>Amanda Chan</t>
  </si>
  <si>
    <t>Ms. Amanda Chan serves as Associate at Industry Ventures. She focuses on originating and valuing investments for the secondary team. Prior to Industry Ventures, she was an investment banking analyst at DBO Partners, where she executed M&amp;A transactions for enterprise software and cybersecurity companies. She received a BA in Economics from The University of Pennsylvania, where she was a member of the varsity tennis team.</t>
  </si>
  <si>
    <t>amanda@industryventures.com</t>
  </si>
  <si>
    <t>100333-90P</t>
  </si>
  <si>
    <t>Amir Malayery</t>
  </si>
  <si>
    <t>Malayery</t>
  </si>
  <si>
    <t>Mr. Amir Malayery serves as Managing Director at Industry Ventures. He most recently was the founder of Dapper Shopping a mobile commerce startup focused on menswear. Prior to that, he was a growth equity investor at Summit Partners, where he executed investments across the internet, media, and technology sectors. He earned his MBA from Harvard Business School, along with an MA and a BA from Stanford University.</t>
  </si>
  <si>
    <t>amir@industryventures.com</t>
  </si>
  <si>
    <t>Managing Director, Investment</t>
  </si>
  <si>
    <t>334910-53P</t>
  </si>
  <si>
    <t>Ben Berman</t>
  </si>
  <si>
    <t>Berman</t>
  </si>
  <si>
    <t>Mr. Ben Berman serves as Associate at Industry Ventures. He focuses on originating the firm's Tech Buyout investments and managing the firm's GP relationships. Prior to Industry Ventures, he worked as an Analyst on the investment team at Alumni Ventures, one of the most active early-stage venture capital firms globally. At Alumni Ventures, his responsibilities included sourcing, due diligence, capital allocation strategy, and portfolio management. He received his BS in Finance with a specialization in Entrepreneurial Management from Tulane University.</t>
  </si>
  <si>
    <t>ben@industryventures.com</t>
  </si>
  <si>
    <t>99010-63P</t>
  </si>
  <si>
    <t>Brian Langner</t>
  </si>
  <si>
    <t>Langner</t>
  </si>
  <si>
    <t>Mr. Brian Langner serves as Managing Director at Industry Ventures. He focuses on evaluating primary commitments, early secondary transactions, and direct co-investments for the Industry Ventures Partnership Holdings team. Additionally, he is responsible for overseeing the operational accounting of the Industry Ventures. Prior to joining Industry Ventures, he worked at Standish Management where he specialized in fund administration and consulting for venture capital and private equity clients, including the Industry Ventures Secondary Funds. He received his MBA from the Haas School of Business at UC Berkeley and graduated with Honors from UC Santa Barbara with a B.A. in Business Economics and a minor in Spanish.</t>
  </si>
  <si>
    <t>blangner@industryventures.com</t>
  </si>
  <si>
    <t>310691-53P</t>
  </si>
  <si>
    <t>Chase Barlow</t>
  </si>
  <si>
    <t>Mr. Chase Barlow serves as Associate at Industry Ventures. He supports the portfolio reporting and analysis functions of the Industry Ventures Partnership Holdings and Direct team. Before joining Industry Ventures, he worked as an Investment Associate at Cambridge Associates, supporting their capital markets research team. He holds a Bachelor's degree in Quantitative Finance from James Madison University.</t>
  </si>
  <si>
    <t>+1 (415) 689-9947</t>
  </si>
  <si>
    <t>chase@industryventures.com</t>
  </si>
  <si>
    <t>225 Reinekers Lane</t>
  </si>
  <si>
    <t>Suite 216</t>
  </si>
  <si>
    <t>259644-34P</t>
  </si>
  <si>
    <t>Christopher Hipple</t>
  </si>
  <si>
    <t>Hipple</t>
  </si>
  <si>
    <t>Mr. Christopher Hipple serves as Vice President, Finance at Industry Ventures. He is responsible for the fund-level accounting for all of the Industry Ventures funds. Prior to joining Industry Ventures, he worked at Standish Management where he specialized in fund administration and consulting for venture capital and private equity clients, including the Industry Ventures Secondary Funds. He graduated from Santa Clara University with a Bachelor of Science in Commerce in Accounting.</t>
  </si>
  <si>
    <t>chipple@industryventures.com</t>
  </si>
  <si>
    <t>310690-27P</t>
  </si>
  <si>
    <t>Danielle Bellantonio</t>
  </si>
  <si>
    <t>Bellantonio</t>
  </si>
  <si>
    <t>Ms. Danielle Bellantonio serves as Senior Associate, Investor Relations at Industry Ventures. She supports the investor relations and business development functions of the Firm. She supports the Firm's fundraising efforts by developing relationships with new investors. Before joining Industry Ventures, she worked on Deloitte's Emerging Growth Companies team where she specialized in business development and operations focused on growing Deloitte's portfolio of venture-backed companies on their path to going public. She received a BA in Psychology and a minor in Business from Boston College.</t>
  </si>
  <si>
    <t>danielle@industryventures.com</t>
  </si>
  <si>
    <t>Senior Associate, Investor Relations</t>
  </si>
  <si>
    <t>241776-19P</t>
  </si>
  <si>
    <t>Eddie Meyercord</t>
  </si>
  <si>
    <t>Eddie</t>
  </si>
  <si>
    <t>Meyercord</t>
  </si>
  <si>
    <t>Mr. Eddie Meyercord serves as Vice President, Investment at Industry Ventures. He focuses on originating and valuing investments for the secondary team. Before Industry Ventures, he was an Analyst in the Technology Investment Banking group at Cowen where he executed M&amp;A and capital raise transactions for a range of enterprise software, consumer internet, and hardware companies. He holds a B.A. in Economics from Vanderbilt University.</t>
  </si>
  <si>
    <t>emeyercord@industryventures.com</t>
  </si>
  <si>
    <t>334911-70P</t>
  </si>
  <si>
    <t>Evan Gancedo</t>
  </si>
  <si>
    <t>Gancedo</t>
  </si>
  <si>
    <t>Ms. Evan Gancedo serves as Senior Associate, Investments at Industry Ventures. She focuses on originating, valuing, and managing primary fund commitments, early secondary limited partnership investments, and direct company investments for the Industry Ventures Direct and Partnership Holdings team. Prior to joining Industry Ventures, she was an investment banker at Deutsche Bank where she executed M&amp;A and capital raise transactions for a range of financial institutions. She holds a Bachelor's degree in Economics from Williams College.</t>
  </si>
  <si>
    <t>evan@industryventures.com</t>
  </si>
  <si>
    <t>Senior Associate, Investments</t>
  </si>
  <si>
    <t>126483-58P</t>
  </si>
  <si>
    <t>Fanni Fan</t>
  </si>
  <si>
    <t>Fanni</t>
  </si>
  <si>
    <t>Ms. Fanni Fan serves as Managing Director at Industry Ventures. She serves as a Board Member at Onymos &amp; Coalesce. Ms. Fan served as Associate at Rosemark Capital Group. She started her career at Boston Consulting Group and Allianz in-house consulting team where she gained first hand exposure to cost reduction/management initiatives and financial modeling through multiple projects in addition to conducting extensive market research and due diligence work across various industry domains. She graduated from the University of Eichstaett (Germany) and Tongji Shanghai University (China) with a Bachelor degree in International Business. She also holds a Master in Finance from MIT Sloan School of Management.</t>
  </si>
  <si>
    <t>fanni@industryventures.com</t>
  </si>
  <si>
    <t>32584-33P</t>
  </si>
  <si>
    <t>Geoffrey LeMieux</t>
  </si>
  <si>
    <t>LeMieux</t>
  </si>
  <si>
    <t>Mr. Geoffrey LeMieux serves as Managing Director &amp; Head of Investor Relations and Capital Formation at Industry Ventures. He leads the firm's Capital Development and Investor Relations efforts and is focused on fundraising, building new relationships, and working with existing Limited Partners. Before joining Industry Ventures, he served as Managing Director, leading the Investor Relations function at Solamere Capital, HighVista Strategies, and FLAG Capital (before its sale to Aberdeen Asset Management in 2015). After FLAG's sale, he was a Senior Investment Specialist at Aberdeen Asset Management. Earlier in his career, he served as Vice President of Business Development and Relationship Manager for HRJ Capital and Wellington Management Company. He received a B.S. in Investment Management (MSIM) from Boston University and a B.A. in Economics from Denison University.</t>
  </si>
  <si>
    <t>+1 (617) 557-5702</t>
  </si>
  <si>
    <t>geoff@industryventures.com</t>
  </si>
  <si>
    <t>Managing Director &amp; Head of Investor Relations and Capital Formation</t>
  </si>
  <si>
    <t>69023-62P</t>
  </si>
  <si>
    <t>Ira Simkhovitch</t>
  </si>
  <si>
    <t>Simkhovitch</t>
  </si>
  <si>
    <t>Mr. Ira Simkhovitch serves as Managing Director at Industry Ventures. He serves as Board Member at Polaris Wireless. He formerly served as Vice President on the Secondary Team. He joined Industry Ventures in 2014. Prior to Industry Ventures, he led fund investment processes and strategic research initiatives at Lazard, The Carlyle Group, Clinton Group, and ZM Capital. He earned an MBA with distinction from Columbia Business School and a BS in engineering from the Massachusetts Institute of Technology. Prior to Industry Ventures, he worked on the Investment Team at The Carlyle Group/AlpInvest Partners where he committed capital to private equity and venture capital funds. Previously, he was a Senior Analyst at Commonfund Capital investing in private equity funds, secondary investments, and direct investments globally. He began his career at Booz Allen Hamilton on a team developing software and analytics for the Department of Defense.</t>
  </si>
  <si>
    <t>ira@industryventures.com</t>
  </si>
  <si>
    <t>383001-49P</t>
  </si>
  <si>
    <t>James Foster</t>
  </si>
  <si>
    <t>Mr. James Foster serves as Controller &amp; Tax Manager at Industry Ventures. He works to support the fund-level accounting for all of the Industry Ventures funds. Prior to joining Industry Ventures, he worked at Standish Management where he specialized in fund administration and consulting for venture capital and private equity clients, including the Industry Ventures Secondary Funds. He started his career at Ernst &amp; Young in the Financial Services tax group, providing services to asset management clients that included well-known private equity firms and fund-of-funds. He graduated from University of California, Los Angeles with a B.A. in Business Economics, and a minor in Accounting.</t>
  </si>
  <si>
    <t>jay@industryventures.com</t>
  </si>
  <si>
    <t>Controller &amp; Tax Manager</t>
  </si>
  <si>
    <t>13466-26P</t>
  </si>
  <si>
    <t>Johan Swildens</t>
  </si>
  <si>
    <t>Swildens</t>
  </si>
  <si>
    <t>Mr. Johan Swildens is the Founder and Chief Executive Officer at Industry Ventures. Since founding Industry Ventures, he has sourced and led the acquisition of over one hundred secondary investments in the venture capital industry. These transactions include purchasing corporate venture capital funds, hedge fund investments, restructuring limited partnership interests, acquiring portfolios of limited partnership interests, purchasing founders' equity interests, and structuring special situation investments with General Partners and Limited Partners. Earlier in his career, he was a successful entrepreneur who co-founded and acted as President of Microline Software. Microline was acquired by Blaze Software (IPO) and was subsequently acquired by Fair Isaac. He also provided board advisory services to Discovery Mining (acquired by Interwoven), nCircle Network Security (private), Speedera Networks (acquired by Akamai), and StepUp Commerce (acquired by Intuit). He holds an MBA from Columbia Business School and a BA with distinction from the University of California at Santa Barbara.</t>
  </si>
  <si>
    <t>+1 (415) 273-4201 x4231</t>
  </si>
  <si>
    <t>hans@industryventures.com</t>
  </si>
  <si>
    <t>286218-64P</t>
  </si>
  <si>
    <t>Jon Wong</t>
  </si>
  <si>
    <t>Mr. Jon Wong serves as Principal at Industry Ventures.</t>
  </si>
  <si>
    <t>jon@industryventures.com</t>
  </si>
  <si>
    <t>43292-08P</t>
  </si>
  <si>
    <t>Jonathan Roosevelt</t>
  </si>
  <si>
    <t>Roosevelt</t>
  </si>
  <si>
    <t>Mr. Jonathan Roosevelt serves as Managing Director, Investment at Industry Ventures. Mr. Roosevelt focuses on originating, valuing, and managing primary fund commitments, early secondary limited partnership investments, and direct company investments for the Industry Ventures Direct and Partnership Holdings team. He is also actively involved in fundraising and maintaining limited partner relationships. Prior to Industry Ventures, Jonathan was an early employee and VP of Sales at SoFi, an industry-leading fintech lending and wealth management company. Jonathan has founded several technology companies and has been an active and sometimes lucky angel investor. Jonathan began his career at Battery Ventures, where he sourced and analyzed Internet companies. Jonathan graduated from Harvard College with high honors and received his MBA from Harvard Business School. He served as Advisor at Sixup. He served as President and Board Member at AppSmyth.</t>
  </si>
  <si>
    <t>jr@industryventures.com</t>
  </si>
  <si>
    <t>13466-44P</t>
  </si>
  <si>
    <t>Justin Burden</t>
  </si>
  <si>
    <t>Burden</t>
  </si>
  <si>
    <t>Mr. Justin Burden serves as Senior Managing Director, Investment at Industry Ventures. He serves as Board Member at Spring Global. Previously he was an Associate at GE Equity, the $4 billion venture capital arm of the General Electric Company. At GE Equity, he sourced, structured, and managed investments in technology, consumer, media, and telecom sectors. Prior to GE Equity, he worked at Wells Fargo &amp; Co.'s high yield fund purchasing debt securities in buyout transactions. He sourced and was an active board participant in four direct investments, including Betasphere and Quovera. He holds an MS from the London School of Economics and a BA from the University of California at Berkeley.</t>
  </si>
  <si>
    <t>justin.burden@industryventures.com</t>
  </si>
  <si>
    <t>Senior Managing Director, Investment</t>
  </si>
  <si>
    <t>142813-99P</t>
  </si>
  <si>
    <t>Justine Huang</t>
  </si>
  <si>
    <t>Justine</t>
  </si>
  <si>
    <t>Ms. Justine Huang serves as Principal at Industry Ventures. She focuses on originating, valuing, and helping to manage the Firm's secondary investments. Most recently, she completed her MBA at Wharton. During that time, she interned at Curology on the Marketing Strategy and Operations team and was also an InSITE Fellow and Pear VC Fellow. Before business school, she was an Associate on the Secondary team at Industry Ventures. Before Industry, she was an equity research analyst at Goldman Sachs focusing on medical technology and devices, along with covering software and internet companies as a summer analyst at Goldman. She received her MBA at Wharton and a BA in Economics and Statistics at the University of California, Berkeley. She served as an Advisory Board Member at Horizon Ventures.</t>
  </si>
  <si>
    <t>justine@industryventures.com</t>
  </si>
  <si>
    <t>421864-21P</t>
  </si>
  <si>
    <t>Kate Quigley</t>
  </si>
  <si>
    <t>Quigley</t>
  </si>
  <si>
    <t>Ms. Kate Quigley serves as an Associate, Investor Relations at Industry Ventures. She supports the investor relations and business development functions of the Firm. Before joining Industry Ventures, she was an investment banker at Financial Technology Partners, where she executed M&amp;A and capital raise transactions for a range of financial technology companies. She holds a Bachelor's degree in Business Administration from Northeastern University.</t>
  </si>
  <si>
    <t>+1 (781) 733-6718</t>
  </si>
  <si>
    <t>kquigley@industryventures.com</t>
  </si>
  <si>
    <t>77620-51P</t>
  </si>
  <si>
    <t>Lindsay Sharma</t>
  </si>
  <si>
    <t>Ms. Lindsay Sharma serves as Managing Director at Industry Ventures. She also served as Chief Investment Officer at Pathfinder Acquisition Corp. She concentrates on originating, valuing and managing primary and direct co-investment opportunities for the Industry Ventures Tech Buyout team. She serves on the investment committee for the Industry Ventures Tech Buyout Fund and is actively involved in helping to enable successful exit scenarios in older technology companies. She also brings four years of experience as part of the secondary team, purchasing secondary direct investments and limited partner interests, and assists in valuing companies. Prior to joining Industry Ventures, she was a Principal in corporate strategy and development at Intuit, leading merger and acquisition activities for the company. Prior to Intuit, she developed tech buyout and investment banking industry expertise with Great Hill Partners and Bear Stearns. She received her MBA from Harvard Business School and a BS in business administration in finance and accounting from Indiana University.</t>
  </si>
  <si>
    <t>lindsay@industryventures.com</t>
  </si>
  <si>
    <t>346379-59P</t>
  </si>
  <si>
    <t>Matthew LoRusso</t>
  </si>
  <si>
    <t>LoRusso</t>
  </si>
  <si>
    <t>Mr. Matthew LoRusso serves as Principal, Investor Relation &amp; Capital Formation at Industry Ventures. He is responsible for building partnerships with institutional investors, consultants, and family offices across all of the firm's strategies. Before joining Industry Ventures, he served as Vice President of Business Development at Nuveen. He marketed the firm's private equity, private credit, real estate, natural resources, and public market strategies to both institutional investors and family offices. Previously, he served as an institutional marketing associate and product strategy analyst at Cohen &amp; Steers Capital Management. He began his career at Towers Watson as an investment analyst in the manager research division, covering U.S. equity, emerging markets equity, and indexation strategies. He graduated Magna Cum Laude (BA) from Boston College. He has earned the Chartered Alternative Investment Analyst (CAIA) designation and is a member of the CAIA Association.</t>
  </si>
  <si>
    <t>matt@industryventures.com</t>
  </si>
  <si>
    <t>Principal, Investor Relation &amp; Capital Formation</t>
  </si>
  <si>
    <t>263206-81P</t>
  </si>
  <si>
    <t>Meredith Hayes</t>
  </si>
  <si>
    <t>Ms. Meredith Hayes serves as Principal, Capital Formation &amp; Investor Relations at Industry Ventures. Ms. Meredith Hayes served as Director, Relationship Management at HighVista Strategies. She joined HighVista Strategies in 2012 and is responsible for new client development. She received her BS from the University of Wisconsin - Stout.</t>
  </si>
  <si>
    <t>+1 (617) 406-6586</t>
  </si>
  <si>
    <t>meredith@industryventures.com</t>
  </si>
  <si>
    <t>Principal, Capital Formation &amp; Investor Relations</t>
  </si>
  <si>
    <t>121045-87P</t>
  </si>
  <si>
    <t>Pat Hanson</t>
  </si>
  <si>
    <t>Chief Administrative Officer &amp; Chief Compliance Officer</t>
  </si>
  <si>
    <t>Mr. Pat Hanson serves as Chief Administrative Officer &amp; Chief Compliance Officer at Industry Ventures. Mr. Hanson also served as Chief Compliance Officer &amp; Vice President of Finance at Dyson Capital Advisors. He also served as Chief Financial Officer at Industry Little Hawk. He has over two decades of accounting and financial management experience, and has served as Controller for a Mid-Atlantic real estate developer. He began his career at Price Waterhouse LLP, where he worked in the Audit and Business Advisory Services Group. Mr. Hanson earned his Bachelor of Science in Accounting from the College of the Holy Cross, and passed the Uniform CPA exam in Virginia.</t>
  </si>
  <si>
    <t>pat@industryventures.com</t>
  </si>
  <si>
    <t>32415-85P</t>
  </si>
  <si>
    <t>Roland Reynolds</t>
  </si>
  <si>
    <t>Mr. Roland Reynolds serves as Senior Managing Director at Industry Ventures. He also serves as a Trustee at the Virginia Sargeant Reynolds Foundation. He is responsible for sourcing and evaluating primary commitments and early secondary and is also actively involved in fundraising and maintaining limited partner relationships. He is on the investment committee for the Industry Ventures Partnership Holdings funds. He has eighteen years of experience, including eleven years in venture capital. Previously, he was the founder and managing partner of Little Hawk Capital Management which was acquired by Industry Ventures. He also spent five years as a Principal with Columbia Capital, a leading communications and information technology venture capital firm with $2.0 billion under management. Earlier in his career, he was an investment banker for four years with JP Morgan &amp; Co. in New York.</t>
  </si>
  <si>
    <t>roland@industryventures.com</t>
  </si>
  <si>
    <t>409121-20P</t>
  </si>
  <si>
    <t>Samit Lamba</t>
  </si>
  <si>
    <t>Samit</t>
  </si>
  <si>
    <t>Lamba</t>
  </si>
  <si>
    <t>Mr. Samit Lamba serves as Associate at Industry Ventures. He focuses on originating and valuing investments in venture-backed companies as well as LP and GP stakes in venture capital funds for the Industry Ventures Secondary team. Prior to Industry Ventures, he executed M&amp;A and capital raises within the technology investment banking group at DC Advisory. He holds an MA from Columbia University and a BS in Mathematics from The University of Michigan, along with a BBA from the University's Stephen M. Ross School of Business.</t>
  </si>
  <si>
    <t>slamba@industryventures.com</t>
  </si>
  <si>
    <t>346382-83P</t>
  </si>
  <si>
    <t>Tian Shi</t>
  </si>
  <si>
    <t>Shi</t>
  </si>
  <si>
    <t>Ms. Tian Shi serves as Analyst at Industry Ventures. Tian focuses on originating and valuing investments for the secondary team. Prior to joining Industry Ventures, Tian was an Analyst in the legacy Greenspring team at the StepStone Group where she managed potential and existing fund and direct investments and focused on assisting with healthcare funds and companies. Tian holds a B.S. in Biology from Georgetown University.</t>
  </si>
  <si>
    <t>tian@industryventures.com</t>
  </si>
  <si>
    <t>409121-02P</t>
  </si>
  <si>
    <t>Wiley Miller</t>
  </si>
  <si>
    <t>Wiley</t>
  </si>
  <si>
    <t>Mr. Wiley Miller serves as Analyst at Industry Ventures. He supports the portfolio reporting and analysis functions of Industry Ventures Secondary team. Prior to joining Industry Ventures, he worked as a Financial Analyst at FiscalNote, a SaaS startup, where he oversaw expense management and revenue growth for all businesses owned by FiscalNote. He holds a Bachelor's degree in Statistics and Economics from the University of Virginia.</t>
  </si>
  <si>
    <t>wmiller@industryventures.com</t>
  </si>
  <si>
    <t>42020-02P</t>
  </si>
  <si>
    <t>David Carter</t>
  </si>
  <si>
    <t>Innovation Factory (Hamilton)</t>
  </si>
  <si>
    <t>Mr. David Carter serves as Chief Executive Officer at Innovation Factory. Prior to joining iF, he was CTO and Co-founder of Awareness. His company raised 20 million in venture capital and worked with brands like the New York Times, Major League Baseball, Sony Pictures, and McDonald's. He will tell you his sweet spot is where technology, sales, and marketing intersect. He is quick to warn that technology alone does not ever solve the problem. During the 90s, he worked for Microsoft and saw the arrival of graphical computing, smartphones, tablets, and the Internet. He left Microsoft in 2001 to begin his first start-up.</t>
  </si>
  <si>
    <t>+1 (905) 630-2564</t>
  </si>
  <si>
    <t>david.carter@innovationfactory.ca</t>
  </si>
  <si>
    <t>Hamilton</t>
  </si>
  <si>
    <t>Hamilton, Canada</t>
  </si>
  <si>
    <t>B21-175 Longwood Road South</t>
  </si>
  <si>
    <t>L8P 0A1</t>
  </si>
  <si>
    <t>185596-75P</t>
  </si>
  <si>
    <t>Karen Linseman</t>
  </si>
  <si>
    <t>Linseman</t>
  </si>
  <si>
    <t>Ms. Karen Linseman serves as Vice President Operations at Innovation Factory. Ms. Karen served as Director of Operations at Innovation Factory. Karen is experienced in operations and is a certified Project Management Professional. Formerly, a part of BlackBerry's Global Product Operations team where she worked on product launches with major telecommunication partners worldwide, she also held previous roles at Communitech and with other startups in Waterloo.</t>
  </si>
  <si>
    <t>+1 (905) 667-2611</t>
  </si>
  <si>
    <t>karen.linseman-brown@innovationfactory.ca</t>
  </si>
  <si>
    <t>Vice President Operations</t>
  </si>
  <si>
    <t>97812-73P</t>
  </si>
  <si>
    <t>Sanjay Dhir</t>
  </si>
  <si>
    <t>Dhir</t>
  </si>
  <si>
    <t>Mr. Sanjay Dhir serves as an Expert Advisor at Innovation Factory. He served as Vice President, Finance at Platinum Legal Group. He has offered financial stewardship in building and managing entrepreneurial companies and has provided SaaS and software/data-related services to their global clients. He has developed and implemented business-specific financial tools, accounting and finance structures, policies, processes, and procedures as the startup companies were going through hypergrowth. He has vast experience in many other industries in addition to technology and has been a trusted advisor to the senior leadership teams.</t>
  </si>
  <si>
    <t>sanjay.dhir@innovationfactory.ca</t>
  </si>
  <si>
    <t>Expert Advisor</t>
  </si>
  <si>
    <t>185569-39P</t>
  </si>
  <si>
    <t>Shannon Graszat</t>
  </si>
  <si>
    <t>Graszat</t>
  </si>
  <si>
    <t>Ms. Shannon Graszat serves as Manager, Venture Growth at Innovation Factory. Over that time, She has advised and supported hundreds of companies across diverse sectors in their journeys to grow and scale. She can also frequently be found supporting IF in the community by delivering "perfecting your pitch" workshops, among others. She holds a double degree in French and Political Science from Wilfrid Laurier University.</t>
  </si>
  <si>
    <t>shannon.graszat@innovationfactory.ca</t>
  </si>
  <si>
    <t>Manager, Venture Growth</t>
  </si>
  <si>
    <t>263817-01P</t>
  </si>
  <si>
    <t>Christopher Daubney</t>
  </si>
  <si>
    <t>Daubney</t>
  </si>
  <si>
    <t>Innovation Network for Advanced Materials</t>
  </si>
  <si>
    <t>Mr. Christopher Daubney serves as Project Manager at Innovation Network for Advanced Materials.</t>
  </si>
  <si>
    <t>chris.daubney@inam.berlin</t>
  </si>
  <si>
    <t>Ziegelstrasse 30</t>
  </si>
  <si>
    <t>173516-68P</t>
  </si>
  <si>
    <t>Oliver Hasse</t>
  </si>
  <si>
    <t>Hasse</t>
  </si>
  <si>
    <t>Mr. Oliver Hasse serves as Managing Director at Innovation Network for Advanced Materials. He also served as Managing Director &amp; Consultant at BerlinerStrategen. Before his current role, he advised clients on these topics as a senior manager with a major international consulting firm. He is also a member of the Business Angel Network Deutschland e.V.. He worked in public sector consulting in London, Brussels and Berlin. He completed an MBA at ESMT in 2010.</t>
  </si>
  <si>
    <t>oliver.hasse@inam.berlin</t>
  </si>
  <si>
    <t>245583-55P</t>
  </si>
  <si>
    <t>Emad Rahim Ph.D</t>
  </si>
  <si>
    <t>Emad</t>
  </si>
  <si>
    <t>INSPYRE</t>
  </si>
  <si>
    <t>Dr. Emad Rahim serves as Equity Partner and Board Member at Ztudium. He serves as Syracuse Surge Entrepreneurship Manager at The Tech Garden.</t>
  </si>
  <si>
    <t>emad.rahim@ztudium.com</t>
  </si>
  <si>
    <t>85 Great Portland Street</t>
  </si>
  <si>
    <t>First Floor</t>
  </si>
  <si>
    <t>W1W 7LT</t>
  </si>
  <si>
    <t>Equity Partner &amp; Board Member</t>
  </si>
  <si>
    <t>Ztudium</t>
  </si>
  <si>
    <t>173461-60P</t>
  </si>
  <si>
    <t>John Liddy</t>
  </si>
  <si>
    <t>Liddy</t>
  </si>
  <si>
    <t>Mr. John Liddy serves as Interim Vice President of Innovation &amp; Entrepreneurship at The Tech Garden. He serves as President and Principal at Liddy Enterprises. He has over 25 years of managerial experience and has been part of 6 startup companies, primarily in operations and finance roles. Immediately preceding his tenure as EIR, Liddy headed a business unit for a publicly traded company where he had full P&amp;L responsibilities for a $300 million dollar business and had over 300 employees reporting to him. Liddy received his undergraduate degree from the University of Vermont and earned his MBA from the Whitman School at Syracuse University in 2003.</t>
  </si>
  <si>
    <t>+1 (315) 470-1970</t>
  </si>
  <si>
    <t>jliddy@thetechgarden.com</t>
  </si>
  <si>
    <t>Syracuse</t>
  </si>
  <si>
    <t>Syracuse, NY</t>
  </si>
  <si>
    <t>402, 235 Harrison Street</t>
  </si>
  <si>
    <t>13202</t>
  </si>
  <si>
    <t>President &amp; Principal</t>
  </si>
  <si>
    <t>Liddy Enterprises</t>
  </si>
  <si>
    <t>167759-11P</t>
  </si>
  <si>
    <t>Alon Leibovich</t>
  </si>
  <si>
    <t>Leibovich</t>
  </si>
  <si>
    <t>Intel Ignite</t>
  </si>
  <si>
    <t>Mr. Alon Leibovich serves as Managing Director, Intel Ignite Tel-Aviv at Intel Ignite. He is a Co-Founder and serves as Managing Director at Ignite DeepTech. He co-founded and served as President and Board Member at BrandTotal.</t>
  </si>
  <si>
    <t>+1 (929) 353-6459</t>
  </si>
  <si>
    <t>alon@intelignite.com</t>
  </si>
  <si>
    <t>Managing Director, Intel Ignite Tel-Aviv</t>
  </si>
  <si>
    <t>183141-19P</t>
  </si>
  <si>
    <t>Avi Tel-Or</t>
  </si>
  <si>
    <t>Tel-Or</t>
  </si>
  <si>
    <t>Mr. Avi Tel-Or serves as Chief Technology Officer, Intel Ignite Tel-Aviv at Intel Ignite. He served as Vice President, Research &amp; Development at Valerann. During his career, he has successfully led the development of innovative technologies from concept to mass manufacturing and deployment into the consumer market. He holds a degree in Machine Learning from the University of Washington, Seattle, and a degree in Finance &amp; Management from Bar-Ilan University.</t>
  </si>
  <si>
    <t>avi@intelignite.com</t>
  </si>
  <si>
    <t>Chief Technology Officer, Intel Ignite Tel-Aviv</t>
  </si>
  <si>
    <t>304199-29P</t>
  </si>
  <si>
    <t>Kate Hach</t>
  </si>
  <si>
    <t>Hach</t>
  </si>
  <si>
    <t>Ms. Kate Hach serves as Program Manager, Intel Ignite Europe at Intel Ignite.</t>
  </si>
  <si>
    <t>kate@intelignite.com</t>
  </si>
  <si>
    <t>Neuturmstrasse 5</t>
  </si>
  <si>
    <t>80331</t>
  </si>
  <si>
    <t>Program Manager, Intel Ignite Europe</t>
  </si>
  <si>
    <t>401732-11P</t>
  </si>
  <si>
    <t>Mark Castleman</t>
  </si>
  <si>
    <t>Castleman</t>
  </si>
  <si>
    <t>Mr. Mark Castleman serves as Managing Director, Intel AI Cloud at Intel Ignite. Mr. Castleman completed Degree from Massachusetts Institute of Technology, The University of Texas at Austin and Georgetown University.</t>
  </si>
  <si>
    <t>Managing Director, Intel AI Cloud</t>
  </si>
  <si>
    <t>139391-29P</t>
  </si>
  <si>
    <t>Markus Bohl</t>
  </si>
  <si>
    <t>Bohl</t>
  </si>
  <si>
    <t>Mr. Markus Bohl serves as Managing Director, Intel Ignite Europe at Intel Ignite. Mr. Bohl co-founded and served as an Advisor at Laya Technologies. He co-founded and served as the Head of New Ventures ta actori GmbH. He holds an MBA in Business Administration, and Marketing from the University of Bayreuth.</t>
  </si>
  <si>
    <t>Managing Director, Intel Ignite Europe</t>
  </si>
  <si>
    <t>304194-43P</t>
  </si>
  <si>
    <t>Ofer Lior</t>
  </si>
  <si>
    <t>Ofer</t>
  </si>
  <si>
    <t>Mr. Ofer Lior serves as Global Director of Portfolio &amp; Business Development at Intel Ignite.</t>
  </si>
  <si>
    <t>Global Director of Portfolio &amp; Business Development</t>
  </si>
  <si>
    <t>53608-51P</t>
  </si>
  <si>
    <t>Ofer Shayo</t>
  </si>
  <si>
    <t>Shayo</t>
  </si>
  <si>
    <t>Mr. Ofer Shayo serves as Managing Director, Intel Ignite London at Intel Ignite. He served as Senior Vice President of Operations &amp; Commercial, Media &amp; Telecom at Kaltura. He served as the Chief Executive Officer &amp; Co-Founder at Tvinci. As a senior project manager at CoolVision, He successfully leads the development and deployment of an international video chat operation. He was a partner at Frido, a boutique provider of creative internet solutions, and co-founded Tvinci in 2007 with Ido Wiesenberg. He holds an LLB in law and a BA in Government from IDC, Hertzelia.</t>
  </si>
  <si>
    <t>ofershayo@intelignite.com</t>
  </si>
  <si>
    <t>Managing Director, Intel Ignite London</t>
  </si>
  <si>
    <t>53467-03P</t>
  </si>
  <si>
    <t>Tzahi Weisfeld</t>
  </si>
  <si>
    <t>Tzahi</t>
  </si>
  <si>
    <t>Weisfeld</t>
  </si>
  <si>
    <t>Mr. Tzahi Weisfeld served as Advisor at Explore. Dream. Discover. He also serves as Vice President &amp; General Manager at Ignite (Intel). He is the co-founder of Mintigo. He also served as Head of Microsoft for Startups at Microsoft ScaleUp. He served as Senior Director at Microsoft Ventures. He served as Advisory Board Member at PLUS Ventures.</t>
  </si>
  <si>
    <t>zack@intelignite.com</t>
  </si>
  <si>
    <t>163378-63P</t>
  </si>
  <si>
    <t>Gabe Fenton</t>
  </si>
  <si>
    <t>Fenton</t>
  </si>
  <si>
    <t>Intuitive Private Equity</t>
  </si>
  <si>
    <t>Mr. Gabe Fenton serves as President at Intuitive Foundation. Mr. Fenton serves as President at Intuitive Private Equity. He serves as Advisor at Equa Health. He has twenty-five years of capital markets experience and has started numerous successful private businesses. In addition to his work with The Robert and Kathleen Dobkin Intuitive Foundation, he is the President of Intuitive Private Equity. Before joining Intuitive, Gabe founded Resolve Funding, a national private real estate lender that specializes in providing loans for real estate investors, builders, and developers. Earlier, he was a VP for Bernstein Private Wealth Management; Founder and General Partner of NetWide-Coor Capital; and SVP Wedbush Securities, where he was active in building the alternative investment platform. He was a Portfolio Manager for UBS Wealth Management and spent the three years before that at Morgan Stanley in San Francisco. He served as a VP of Finance for Wells Fargo Advisors and he began his professional career in 1991 as a financial consultant for John Hancock Insurance. He authored the book Employee Stock Options: A Strategic Planning Guide for the 21st Century Optionaire in 2000.</t>
  </si>
  <si>
    <t>gabe@intuitivefoundation.org</t>
  </si>
  <si>
    <t>1470 Walnut Street</t>
  </si>
  <si>
    <t>Intuitive Foundation</t>
  </si>
  <si>
    <t>35667-10P</t>
  </si>
  <si>
    <t>Robert Dobkin</t>
  </si>
  <si>
    <t>Dobkin</t>
  </si>
  <si>
    <t>Mr. Robert Dobkin is the Founder and serves as Chairman of Intuitive Private Equity. He is a Co-Founderat Intuitive Foundation. He serves as its Chief Technology Officer &amp; Vice President at Linear Technology. He also serves as an Advisor at Genia Technologies. He is the Technical Advisory Board Chairman at BAM Labs. He serves as the Technology Advisor of Aerielle Group International. He served as a Board Member at actnano. He is a renowned inventor, entrepreneur, and is considered one of the founding fathers of analog integrated circuit design. He co-founded and served as Chief Technical Officer of Linear Technology Corporation, which he helped grow to 5,000 employees and well over $1 billion in revenue until ultimately selling Linear to Analog Devices for $14.8 billion in 2017. He is also Co-Founder and Chairman of Intuitive Private Equity. He has served on the boards and advisory councils of many companies, including Genia Technologies - alongside CMU alumnus Dietrich Stephan, HMicro, Quellan, SleepIQ Labs, and Spectra7 Microsystems; and has made several hundred private equity investments. He attended the Massachusetts Institute of Technology and started his career in his hometown of Philadelphia at GTE Defense Systems. He soon moved on to analog module manufacturer Philbrick Nexus in Boston, MA, and then in 1969, he joined National Semiconductor in Santa Clara, CA to work for him Widlar designing analog integrated circuits. He stayed at National for 11 years and rose to Director of Advanced Circuit Development. He holds more than 100 patents in the field of linear integrated circuits. He has authored over 50 technical papers including the three-volume technical guide, Analogue Circuit Design. He and his wife Kasey founded The Robert and Kathleen Dobkin Intuitive Foundation in 2017 with a mission to support education, innovation, and entrepreneurship in the fields of engineering, technology, medicine, and science. The Foundation grew out of his extensive engineering career and forty-five years of investment experience and Kasey's passion for helping others.</t>
  </si>
  <si>
    <t>bdobkin@intuitivepe.com</t>
  </si>
  <si>
    <t>5600 Arapahoe Avenue</t>
  </si>
  <si>
    <t>80303</t>
  </si>
  <si>
    <t>254862-28P</t>
  </si>
  <si>
    <t>Alexander Harstrick</t>
  </si>
  <si>
    <t>Harstrick</t>
  </si>
  <si>
    <t>J2 Ventures</t>
  </si>
  <si>
    <t>Mr. Alexander Harstrick is a Co-Founder and serves as Managing Partner at J2 Ventures. He serves as a Board Member at Plato Systems, Acalvio. He also serves as an Advisor at Shift5. He began his career as a healthcare consultant at Booz &amp; Co. in Chicago and was later recruited to help build the internal strategy group and eventually the enterprise venture investing arm at Blue Cross Blue Shield of New Jersey. While at BCBS, he enlisted and earned his commission in the U.S. Army Reserve as a Military Intelligence Officer. While in training, he was recruited for an intelligence role in the Special Operations Joint Task Force, deploying to Afghanistan and Iraq. Upon his return, he joined the Secretary of Defense's Defense Innovation Unit, where he led Army and joint command venture efforts in the DOD; a position he continues as a reservist. He also held roles working for the leadership of KKR and strategic finance efforts for the U.S. Air Force under AFWERX. In total, he has helped deploy ~$2 Billion in defense-related efforts across Phase 1, 2, and Strategic Finance SBIRs as well as OTAs. He holds an MBA from Harvard Business School and a Bachelors in Hispanic Studies and Political Science from Columbia University. He serves as Board Member at Code Metal.</t>
  </si>
  <si>
    <t>+1 (215) 803-8594</t>
  </si>
  <si>
    <t>alex@j2vp.com</t>
  </si>
  <si>
    <t>24 School Street</t>
  </si>
  <si>
    <t>377602-48P</t>
  </si>
  <si>
    <t>Christine Keung</t>
  </si>
  <si>
    <t>Keung</t>
  </si>
  <si>
    <t>Ms. Christine Keung serves as Partner at J2 Ventures. She serves as Board Member at Parallel Fluidics. She serves as Advisor at Trustible. She joined a COVID-19 taskforce at the U.S. Small Business Administration to launch the Paycheck Protection Program, which deployed $800 billion in low-interest uncollateralized loans to small businesses. She then served the City of San Jose as Chief Data Officer. She holds a B.A. from Wellesley College and an M.B.A. from Harvard Business School.</t>
  </si>
  <si>
    <t>ckeung@j2vp.com</t>
  </si>
  <si>
    <t>413077-15P</t>
  </si>
  <si>
    <t>Geoff Orazem JD</t>
  </si>
  <si>
    <t>Orazem</t>
  </si>
  <si>
    <t>Mr. Geoff Orazem serves as Advisor at J2 Ventures. He has a J.D. from Harvard Law School.</t>
  </si>
  <si>
    <t>gorazem@j2vp.com</t>
  </si>
  <si>
    <t>413079-13P</t>
  </si>
  <si>
    <t>Harvey Weinberg</t>
  </si>
  <si>
    <t>Advisor &amp; Director</t>
  </si>
  <si>
    <t>Mr. Harvey Weinberg serves as Advisor and Director of Corporate Development at J2 Ventures. He has over thirty-five years of strategy consulting experience, all dedicated to the financial services industry. He began his consulting career at Booz, Allen &amp; Hamilton. Two years later, he joined Alex Oliver and Bill Wyman, two senior partners at Booz Allen, as they founded Oliver, Wyman &amp; Company. He spent the next 35 years at the firm, focusing exclusively on the financial services sector before retiring from Oliver Wyman in 2019. During his tenure, he conducted assignments addressing corporate level strategy; business line strategy; operating efficiency and near-term profit improvement; and organization design. In the first half of his career, he worked for a range of international and regional banks, investment organizations, and insurers. In the latter half of his career, he focused more heavily on the insurance industry, with particular emphasis on large, diversified life insurance companies. Since retiring from Oliver Wyman in November 2019, he has been building a second career, bridging his strategy consulting experience with life insurers and a personal passion for financial planning for affluent and high net worth families. He works closely with a select group of trusts and estates attorneys to implement gifting and estate planning strategies to grow and preserve family wealth. He is an angel investing independently and as a member of the Dartmouth Angels with a focus on financial services and health care. He is a Summa Cum Laude graduate from Dartmouth College, and received his MBA from the Wharton School at the University of Pennsylvania, with highest honors.</t>
  </si>
  <si>
    <t>hweinberg@j2vp.com</t>
  </si>
  <si>
    <t>Advisor &amp; Director of Corporate Development</t>
  </si>
  <si>
    <t>415949-86P</t>
  </si>
  <si>
    <t>Jennifer Cable</t>
  </si>
  <si>
    <t>Cable</t>
  </si>
  <si>
    <t>Mr. Jennifer Cable serves as Advisor at J2 Ventures.</t>
  </si>
  <si>
    <t>jennifer.cable@j2vp.com</t>
  </si>
  <si>
    <t>98847-64P</t>
  </si>
  <si>
    <t>Jonathan Bronson Ph.D</t>
  </si>
  <si>
    <t>Bronson</t>
  </si>
  <si>
    <t>Dr. Jonathan Bronson is a Co-Founder &amp; serves as Managing Partner at J2 Ventures. He serves as Board Member at Parallel Fluidics. He serves as Board Member at Phoenix Semiconductor. He serves as Board Observer at Femtosense. Prior to J2, he was a Director of Acquisitions &amp; Finance in the private equity group of D. E. Shaw, a New York-based hedge fund with over $50 billion under management. Prior to DE Shaw, he was the COO of Backpack Health (acquired), a health-tech startup focused on helping patients visualize their medical records. He began his career at the Boston Consulting Group, serving as a Project Leader where he led consulting teams working with Fortune 500 executives across a broad number of industries. He has a Ph.D. in computational chemistry from Columbia University, where he studied under a National Science Foundation research fellowship, and a B.A. from the University of Pennsylvania, where he was a Goldwater Scholar and Phi Beta Kappa.</t>
  </si>
  <si>
    <t>jon@j2vp.com</t>
  </si>
  <si>
    <t>413076-61P</t>
  </si>
  <si>
    <t>Kenneth Lee</t>
  </si>
  <si>
    <t>Mr. Kenneth Lee serves as Advisor at J2 Ventures. He is a successful entrepreneur in the aerospace, specialty metal &amp; aircraft parts manufacturing industry. He obtained his MBA at the University of Southern California (USC) and initially worked in a variety of purchasing and procurement management positions for companies such as Hyundai Motors USA and Bralco Metals. In 1995, he started his own business business in aerospace raw materials distribution, California Metal, based in Los Angeles California, which has grown to serve virtually all of the largest aerospace industry OEM's and top-tier suppliers, and won the prestigious Boeing Performance Excellence Award four sequential years in a row. In April 2013, he founded Kencoa Aerospace Corporation in Sacheon-City South Korea from scratch - with no office, no building, no contracts, and 5 employees working out of a mobile container office. In less than 3 years, he grew Kencoa Aerospace Corporation to over 200 employees, achieving success as the first SME (small and medium enterprise) to manufacture a complete flight-worthy aircraft in Korea, the KT-100 Air Force Trainer. Kencoa would continue to manufacture major assemblies such as the complete Boeing 777 Leading Edge Wing, which is drop shipped directly to the OEM's assembly factory. In 2016 he acquired Heart of Georgia Metal Crafters LLC (HGMC) located on a regional airport industrial park in Eastman Georgia, a tier-1 supplier of precision machined components and sheetmetal fabrications to Boeing, Lockheed, Gulfstream, GKN, and other top commercial and military aerospace customers. In the first year of acquisition and re-branding the company as Kencoa Aerospace, he significantly expanded equipment and facilities, launched new larger diameter super-alloy jet engine manufacturing capabilities, and was bestowed the Elite Supplier Performance Award fromLockheed Martin as part of the top 2% of their supply global base. He graduated with High Honors from Seoul National University with a Bachelor of Business Administration. He received a Masters of Business Administration (MBA, IT, Entrepreneurship) from the University of Southern California, Marshall School of Business.</t>
  </si>
  <si>
    <t>klee@j2vp.com</t>
  </si>
  <si>
    <t>292399-93P</t>
  </si>
  <si>
    <t>Matt Goldman</t>
  </si>
  <si>
    <t>Mr. Matt Goldman serves as a Partner at J2 Ventures. He also serves as a Board Observer at Micron Biomedical. He serves as Chief Medical Officer and Director of the Future Capabilities Directorate at the Defense Innovation Unit. He served as the director of the Human Systems Portfolio at DIU. Under his leadership, the portfolio focused on bringing cutting-edge commercial technologies to the warfighter that optimize readiness, survivability, and lethality through the introduction of innovative training, novel health applications, and enhanced equipment. He has also served in several roles within the military medical community including as a program director for a graduate medical education fellowship at Walter Reed National Military Medical Center. He remains an active researcher, most recently collaborating on projects using state-of-the-art wearable technology to help with the presymptomatic identification of COVID-19. He has a bachelor's degree in Molecular Biology from Kenyon College; a Doctor of Medicine degree from the Medical College of Ohio; and is currently a double-boarded physician.</t>
  </si>
  <si>
    <t>matt.goldman@j2vp.com</t>
  </si>
  <si>
    <t>34514-02P</t>
  </si>
  <si>
    <t>Nori Lietz JD</t>
  </si>
  <si>
    <t>Nori</t>
  </si>
  <si>
    <t>Lietz</t>
  </si>
  <si>
    <t>Ms. Nori Lietz serves as a Board Member at Veris Residential. She serves as an Advisor at J2 Ventures. Ms. Lietz is a Co-Founder and serves as a Member of the Private Equity Investment Committee at Praesidium. She served as Partner &amp; Chief Strategist in private Real Estate at Partners Group. She is the founder of Areté Capital, a real estate advisory firm, and until June 2011, she was a Partner at Partners Group, a Swiss-based private alternative asset manager. At Partners Group she was Chief Strategist for private real estate, a member of the Global Investment Committee, and Chair of the private real estate Investment Committee. Additionally, she co-founded the Pension Consulting Alliance ("PCA") in 1988 and developed its real estate investment management and advisory activities. PCA became the largest real estate advisory firm in the world in terms of client assets. In that capacity, she represented many of the largest real estate investors in the world. Previously, she co-founded Public Storage, Inc., an institutional money management firm deploying pension capital to acquire real estate assets. She began her career as an attorney at Paul, Hastings specializing in SEC and ERISA matters on behalf of pension funds, real estate managers, and real estate pension consultants. She holds an AB with Honors from Stanford University. She also holds a J.D. from the UCLA School of Law where she was the Chief Comment Editor of the UCLA Law Review. She is a member of the Veris Residential Board of Directors and a Member of the Board of Directors for USA Water Polo Inc., the governing body for the sport in the United States. She is a former member of the Pension Real Estate Association Board of Directors and of the Real Estate Research Institute Board of Directors. She has been the Commencement Speaker for the MIT Center for Real Estate and has twice received the Distinguished Teaching Award for the Elective Curriculum from the Harvard Business School Class of 2014 and Class of 2022. The Private Equity Real Estate Magazine named her one of the 30 most influential industry leaders in 2006, the second most influential real estate person globally in 2007, and one of the 10 most prominent women in real estate in 2010.</t>
  </si>
  <si>
    <t>+1 (732) 590-1010</t>
  </si>
  <si>
    <t>Jersey City</t>
  </si>
  <si>
    <t>Jersey City, NJ</t>
  </si>
  <si>
    <t>210 Hudson Street</t>
  </si>
  <si>
    <t>07311</t>
  </si>
  <si>
    <t>Veris Residential</t>
  </si>
  <si>
    <t>413073-10P</t>
  </si>
  <si>
    <t>Patricia Horoho</t>
  </si>
  <si>
    <t>Horoho</t>
  </si>
  <si>
    <t>Ms. Patricia Horoho serves as Advisor at J2 Ventures. She is the Chief Executive Officer of Optum Serve, the end-to-end federal business of both Optum and UnitedHealth Group. Under her leadership, she has built a dynamic senior leadership team and grown both Optum Serve's employee population and business, including securing the $55 billion Veterans Affairs Community Care Network Third Party Administrator contract. Prior to joining Optum, she led Accenture's military health business as the client account lead and managing director for military health. Her distinguished professional career also includes 33 years with the U.S. Army, where she retired as a Lieutenant General, the 43rd Army Surgeon General and Commander of the U.S. Army Medical Command. She made history being the first woman, first nurse and non-physician to hold these posts. She has been humbled to serve and lead during pivotal moments in Army Medicine and in defense of the nation, including serving as the head nurse in the emergency room during the Green Ramp Disaster in 1994; standing up triage at the Pentagon on Sept. 11, 2001; transforming care at the Walter Reed Army Medical Center from 2006 to 2008; and serving as the Special Assistant to the Commander, International Security Assistance Force Joint Command, Afghanistan. Her military awards and citations include the Distinguished Service Medal, Legion of Merit, Bronze Star Medal, France's National Order of the Legion of Honour Chevalier (Knight), Japan's Defense Cooperation Award Second Class, and the President's Lifetime Achievement award.</t>
  </si>
  <si>
    <t>phoroho@j2vp.com</t>
  </si>
  <si>
    <t>14806-99P</t>
  </si>
  <si>
    <t>Paul Gompers Ph.D</t>
  </si>
  <si>
    <t>Gompers</t>
  </si>
  <si>
    <t>Dr. Paul Gompers is a Co-Founder and serves as Non-Executive Director at Spur Capital Partners. Dr. Gompers serves as an Advisor at J2 Ventures. He also serves as a Faculty Advisor at Xfund. He is a Professor of Business Administration at the Harvard Business School, and specializes in research on financial issues related to start-ups, high growth, and newly public companies. He has an appointment in both the Finance and Entrepreneurial Management areas and also teaches in HBS Executive Education. His research focuses on the structure, governance, and performance of private equity funds; sources of financing, incentive design, and performance of private firms; and long-run performance evaluation for newly public companies. His work on private equity funds has examined the relationship between general partners and their portfolio companies. He has investigated factors affecting the structure, timing, and monitoring activities by the general partner and how these factors affect the success or failure of entrepreneurial firms. Similarly, he has examined the relationship between institutional investors and private equity fund managers. This work has examined a large collection of partnership agreements and examined issues of compensation, covenants,s and restrictions, as well as distribution policy and performance. Other research efforts examine the institutional and market factors that influence the performance of newly public companies. He is a Faculty Research Fellow in the National Bureau of Economic Research's Corporate Finance Program. Before joining Harvard Business School, he spent two years as an Assistant Professor of Finance at the Graduate School of Business at the University of Chicago where he created a new course entitled "Entrepreneurial Finance and Management." His course development efforts at the Harvard Business School focus on issues affecting entrepreneurial firms and their investors. He received his A.B. Summa Cum Laude in Biology from Harvard College in 1987. After spending a year working as a research biochemist for Bayer Chemical AG, he attended Oxford University on a Marshall Fellowship where he received an M.Sc. in Economics in 1989. He completed his Ph.D. in Business Economics at Harvard University in 1993.</t>
  </si>
  <si>
    <t>+1 (918) 331-3800</t>
  </si>
  <si>
    <t>paul.gompers@spurcap.com</t>
  </si>
  <si>
    <t>Bartlesville</t>
  </si>
  <si>
    <t>Bartlesville, OK</t>
  </si>
  <si>
    <t>2370 Nowata Place</t>
  </si>
  <si>
    <t>74006</t>
  </si>
  <si>
    <t>+1 (918) 331-3848</t>
  </si>
  <si>
    <t>Co-Founder &amp; Non-Executive Director</t>
  </si>
  <si>
    <t>Spur Capital Partners</t>
  </si>
  <si>
    <t>381775-06P</t>
  </si>
  <si>
    <t>Raquel Bono MD</t>
  </si>
  <si>
    <t>Raquel</t>
  </si>
  <si>
    <t>Bono</t>
  </si>
  <si>
    <t>Ms. Raquel Bono serves as Chief Executive Officer, Chief of Surgical Innovation, and Board Member at Medical iSight. She serves as Chief Health Officer at Viking River Cruises. She serves as an Advisor at J2 Ventures. She also serves as the Advisor at Savoy Life. She serves as a Board Member at TARA Mind. She has dedicated almost three decades of distinguished service as a highly regarded Naval Officer. She holds the distinction of being the first female surgeon in the military to achieve the rank of Vice Admiral. Currently, she serves as the Chief Health Officer for Viking Cruises, where she has implemented a pioneering model for establishing a C-suite office to safely restart the cruise and travel industry while prioritizing public health. Previously, she was appointed by the governor as the Director of Washington State COVID-19 Health System Response Management. She also holds positions as a Senior Fellow with the Johns Hopkins University Applied Physics Laboratory and a Visiting Scholar at the University of Texas Value Institute. In her role as the former CEO and director of the Defense Health Agency (DHA), she led a joint combat support agency that enabled the Army, Navy, and Air Force medical services to deliver healthcare to combatant commands. She oversaw a global healthcare enterprise worth $50 billion, consisting of 50 hospitals and 300 clinics, serving 9.5 million military beneficiaries. She played a pivotal role in the Department of Defense's deployment of the electronic health record (EHR) system and the development of the largest federated health system with the U.S. Department of Veterans Affairs. As a board-certified trauma surgeon, she serves as an inspiration and role model, particularly for female surgeons both within the military and across the country. Her leadership positions in the DoD include: CEO/director, DHA (2015-2019); CEO/director, National Capital Region Medical Directorate (2013-2015); acting commander, Joint Task Force (JTF), National Capital Region (2013); functional champion, MHS GENESIS, the VA and DoD EHR (2014-2015); command surgeon, U.S. Pacific Command (2011-2013); chief of staff, TRICARE, DoD (2008-2010); commanding officer (CEO), Naval Hospital, Jacksonville, FL (2005-2008); executive assistant to the 35th Navy Surgeon General, Bureau of Medicine and Surgery (2004-2005); director, medical-surgical services, National Naval Medical Center, Bethesda, MD (2003-2004); planning officer for the chief of the medical corps, Bureau of Medicine and Surgery (2001-2002); director, restorative care, National Naval Medical Center (1999-2001); surgeon/surgeon intensivist, Naval Medical Center and Sentara Norfolk General Burn Trauma Unit (1991-1999); and head of casualty receiving, Operations Desert Shield and Desert Storm (1990-1991). Her honors include American College of Surgeons Mary Edwards Walker Inspiring Women in Surgery Award (2019); Federal IT Women in Leadership Lifetime Achievement Award (2019); Modern Healthcare's 50 Most Influential Clinical Executive Leaders (2019); 50 Most Influential Healthcare Physician Executives and Leaders (2018) and 100 Most Influential People in Healthcare (2018); an Executive Mosaic Washington Top 100 Executives (2017, 2018, 2019); the Healthcare Information and Management Systems Society's (HIMSS) Most Influential Women in Health Information Technology (2018), and the 2022 World War 11 Dole Leadership Award. She received her Bachelor's degree from the University of Texas, Austin; her Master of Business Administration from Washington State University, Spokane; and her medical degree from Texas Tech Health Sciences Center, Lubbock. She completed her surgical internship and residency at the Naval Medical Center, Portsmouth, VA, and performed a trauma and critical care fellowship at the Eastern Virginia Graduate School of Medicine, Norfolk.</t>
  </si>
  <si>
    <t>+1 (212) 433-2500</t>
  </si>
  <si>
    <t>rcb@medicalisight.com</t>
  </si>
  <si>
    <t>5700 Canoga Avenue</t>
  </si>
  <si>
    <t>Suite 200, Woodland Hills</t>
  </si>
  <si>
    <t>91367</t>
  </si>
  <si>
    <t>Chief Health Officer</t>
  </si>
  <si>
    <t>Viking River Cruises</t>
  </si>
  <si>
    <t>47105-38P</t>
  </si>
  <si>
    <t>Thomas Hennessey III</t>
  </si>
  <si>
    <t>Hennessey</t>
  </si>
  <si>
    <t>Mr. Thomas Hennessey is a Co-Founder and serves as President at VectorWave.. Mr. Thomas Hennessey serves as Managing Partner at Coalition Ventures (Delaware). He is a Co-Founder and serves as Chairman at Vested. He is a Venture Partner at Dyne Ventures. He serves as Board Member at Hopewell Therapeutics. He served as Managing Partner at Mass Ave Capital. He is a Co-Founder and serves as Chairman at Vested. He serves as Venture Partner at J2 Ventures. He serves as Board Member at Autogenomics. He has served as a Director of AutoGenomics since 2001. He joined AutoGenomics in January 2008 as Chief Operating Officer and Chief Financial Officer and served in those capacities until August 2013. He served as AutoGenomics' Chief Financial Officer as an independent contractor in December 2007 and as a non-employee director from January 2007 through November 2007. He has 35 years of experience in the medical and technology industries. He was an independent consultant to AutoGenomics from January 2003 until December 2007. From 2001 until 2003, he was the Chief Operating Officer and Chief Financial Officer of Photovac, Inc. He has also served as Chief Operating Officer and Chief Financial Officer for several public and private start-up companies, including Behring Diagnostics, Inc., AutoImmune, Inc., Medical Diagnostics, Inc., Cambridge Heart, Inc., and So named Corporation. He received an BS and an MS degree in mechanical engineering from the Massachusetts Institute of Technology and an M.B.A. from Harvard Business School.</t>
  </si>
  <si>
    <t>thomas@vector-wave.com</t>
  </si>
  <si>
    <t>800 Lexington Street</t>
  </si>
  <si>
    <t>Waltham Plaza Number 1077</t>
  </si>
  <si>
    <t>VectorWave (Telecommunications Service Providers)</t>
  </si>
  <si>
    <t>377606-44P</t>
  </si>
  <si>
    <t>Yeri Lopez</t>
  </si>
  <si>
    <t>Yeri</t>
  </si>
  <si>
    <t>Mr. Yeri Lopez serves as Director of Partnerships at J2 Ventures. He is currently the Director of Technology Scouting for the Spookstock Foundation, a non-profit that brings together disparate elements of the national security enterprise around technology and supports the education of children of fallen clandestine operators. He holds a Master's in International Public Policy from University of Wisconsin - Madison, a Master's in Latin American Oral History from UW, and a Bachelor of Arts in History, Philosophy, and Biology Majors from Whitman College, with a Chemistry Minor.</t>
  </si>
  <si>
    <t>+1 (608) 335-5583</t>
  </si>
  <si>
    <t>yeri@j2vp.com</t>
  </si>
  <si>
    <t>Director of Partnerships</t>
  </si>
  <si>
    <t>231012-91P</t>
  </si>
  <si>
    <t>Bob Irvin</t>
  </si>
  <si>
    <t>Irvin</t>
  </si>
  <si>
    <t>Joules Accelerator</t>
  </si>
  <si>
    <t>Mr. Bob Irvin serves as Executive Director at Joules Accelerator.</t>
  </si>
  <si>
    <t>+1 (704) 458-4188</t>
  </si>
  <si>
    <t>bob.irvin@joulesaccelerator.com</t>
  </si>
  <si>
    <t>112 South Tryon Street</t>
  </si>
  <si>
    <t>28284</t>
  </si>
  <si>
    <t>268729-12P</t>
  </si>
  <si>
    <t>Ryan Rutledge</t>
  </si>
  <si>
    <t>Rutledge</t>
  </si>
  <si>
    <t>Ryan Rutledge serves as Vice President of Strategy &amp; Innovation at Joules Accelerator. He co-founded Antlia Energy.</t>
  </si>
  <si>
    <t>ryan.rutledge@joulesaccelerator.com</t>
  </si>
  <si>
    <t>Vice President of Strategy &amp; Innovation</t>
  </si>
  <si>
    <t>199784-89P</t>
  </si>
  <si>
    <t>Evan Zimmerman JD</t>
  </si>
  <si>
    <t>Jovono</t>
  </si>
  <si>
    <t>Mr. Evan Zimmerman is the Founder &amp; serves as Chairman at Jovono. Mr. Zimmerman is a Co-Founder &amp; serves as Chief Executive Officer at Edge (San Francisco). He is a Co-Founder of Mighty Mug. Mr. Evan Zimmerman is a Founder and serves as Chairman at Jovono. He is a Co-Founder and serves as Chief Executive Officer at Drift bio. He also serves as Chairman of the Clinton Health Access Initiative technology council, which advises the technology of global public health in dozens of partner countries. He was inducted as the youngest member of the MAK Museum in Vienna's Biennale Circle, which planned the 2017 Vienna Biennale on the Future Of Work and is a member of the strategy board for Broad Center for Regenerative Medicine at USC. He also speaks and writes on technology, with pieces in publications like the Techcrunch, the Berkeley Technology Law Journal, and the South China Morning Post. He is a partner and director in Mighty Mug/Mighty Products, Inc, which has sold millions in 23 countries. Evan graduated from the University of Chicago with general and departmental honors in economics and conducted his thesis work as a visiting undergraduate at Harvard University. Every company Evan has ever done has involved patents and he holds a JD from UC Berkeley Law School with a specialization in intellectual property. Reach out to talk about how we can help you get better patents.</t>
  </si>
  <si>
    <t>+1 (310) 475-4853</t>
  </si>
  <si>
    <t>ejz@jovono.com</t>
  </si>
  <si>
    <t>204 South Beverly Drive</t>
  </si>
  <si>
    <t>90212</t>
  </si>
  <si>
    <t>127882-72P</t>
  </si>
  <si>
    <t>David Batstone Ph.D</t>
  </si>
  <si>
    <t>Batstone</t>
  </si>
  <si>
    <t>Just Business</t>
  </si>
  <si>
    <t>Dr. David Batstone is a Co-Founder and serves as President and Board Member at Not For Sale. He serves as a Board Member at Relocity. He is a Co-Founder and serves as Chief Executive Officer and Board Member at Regenerate Technology. He serves as Co-Founder and Senior Managing Partner at Just Business. He co-founded and served as a Board Member at American Battery Technology Company. He also serves as a Board Member at MicroMech. He was a Co-Founder and served as a Board Member at Rebbl. He co-founded and served as Chief Marketing Officer at Zelk. He is currently a business professor at the University of San Francisco and was previously an investment banker in the technology industry. He has authored five books, is the recipient of two national journalist awards, and was named National Endowment for the Humanities Chair at the University of San Francisco for his work in technology and ethics.</t>
  </si>
  <si>
    <t>batstoned@notforsalecampaign.org</t>
  </si>
  <si>
    <t>1930 Village Center Circle</t>
  </si>
  <si>
    <t>Suite 3 -19535</t>
  </si>
  <si>
    <t>89134</t>
  </si>
  <si>
    <t>Co-Founder, President &amp; Board Member</t>
  </si>
  <si>
    <t>Not For Sale</t>
  </si>
  <si>
    <t>123039-28P</t>
  </si>
  <si>
    <t>Mark Wexler</t>
  </si>
  <si>
    <t>Wexler</t>
  </si>
  <si>
    <t>Mr. Mark Wexler is the Co-Founder and serves as Managing Partner at Just Business. He is a Co-founder and serves as Board Member at Rebbl. He is a Co-Founder and Chief Executive Officer at Not for sale. He serves as Board Member at Dignita. He serves as Board Member at Avo (Tech Company). He served as Board Member at MicroMech. He found his vocational direction while working on the streets of Durban, South Africa with street children. He returned to the San Francisco Bay Area in 2006 to co-found Not For Sale. He manages Not For Sale's senior staff, operationalizes strategic relationships with partner institutions, and along with Batstone provides overall organizational direction. He also is a co-founder and senior partner in Just Business, which specializes in social enterprise incubation, investment, and consultation.</t>
  </si>
  <si>
    <t>+1 (609) 799-2660</t>
  </si>
  <si>
    <t>mark@justbusiness.is</t>
  </si>
  <si>
    <t>Suite 3-2127</t>
  </si>
  <si>
    <t>253251-01P</t>
  </si>
  <si>
    <t>Terra Judge</t>
  </si>
  <si>
    <t>Terra</t>
  </si>
  <si>
    <t>Judge</t>
  </si>
  <si>
    <t>Ms. Terra Judge serves as Chief Operating Officer at West (San Francisco).</t>
  </si>
  <si>
    <t>+1 (415) 429-0180</t>
  </si>
  <si>
    <t>terra@west.global</t>
  </si>
  <si>
    <t>682 Schofield Road</t>
  </si>
  <si>
    <t>West (San Francisco)</t>
  </si>
  <si>
    <t>128873-98P</t>
  </si>
  <si>
    <t>Johannis Hatt</t>
  </si>
  <si>
    <t>Johannis</t>
  </si>
  <si>
    <t>Hatt</t>
  </si>
  <si>
    <t>JVH Ventures</t>
  </si>
  <si>
    <t>Mr. Johannis Hatt is the Founder of JVH Ventures. Mr. Hatt co-founded AngelDesk. He co-founded and served as Advisory Board Member at Productsup. He co-founded FaceAdNet. He studied International Management in Oxford, Paris, and Berlin at ESCP-EAP, for which he successfully obtained a master's degree. He is also the Founder of Disruptive Lead Technologies GmbH.</t>
  </si>
  <si>
    <t>jh@jvh-ventures.com</t>
  </si>
  <si>
    <t>Simmelsdorf</t>
  </si>
  <si>
    <t>Simmelsdorf, Germany</t>
  </si>
  <si>
    <t>Bahnhofstrasse 5</t>
  </si>
  <si>
    <t>91245</t>
  </si>
  <si>
    <t>413048-08P</t>
  </si>
  <si>
    <t>Tobias Wallrabenstein</t>
  </si>
  <si>
    <t>Wallrabenstein</t>
  </si>
  <si>
    <t>Mr. Tobias Wallrabenstein serves as Analyst at JVH Ventures. He oversees the deal flow management at JVH Ventures. While earning his bachelor's degree at the European Business School, he worked in various fields such as venture capital, mid-cap investment banking, business development, fintech consulting and also spent a semester abroad at Ivey Business School. Currently, he is pursuing a master's in Strategy and Digital Business at ESCP in Berlin and Paris.</t>
  </si>
  <si>
    <t>tobias@jvh-ventures.com</t>
  </si>
  <si>
    <t>14166-91P</t>
  </si>
  <si>
    <t>Arthur Berliner</t>
  </si>
  <si>
    <t>Berliner</t>
  </si>
  <si>
    <t>Kapor Capital</t>
  </si>
  <si>
    <t>Mr. Arthur Berliner is a Co-Founder &amp; serves as Managing Director at Walden Venture Capital. He also serves as a Senior Advisor at Kapor Capital. He serves as a Board Member at MeUndies and Attn: Grace. He has a long history in the venture capital industry. He served as a Board Member at Guru. He founded Walden VC in 1974. From inception, Walden VC worked with Sprout Stage companies looking for mass markets. Mr. Berliner has led more than 100 investments in technology and consumer companies with multiple successful IPO and M&amp;A exits. In Walden's most recent fund, Mr. Berliner sourced and has sat on 7 portfolio company boards, three of which have had exits. Prior to Walden, Mr. Berliner held research, sales, and Corporate Finance roles at Sutro &amp; Company where he discovered his passion for working with high-growth companies. He completed his bachelor's from the University of California, Berkeley and MBA in finance from the University of California, Berkeley in the year 1996.</t>
  </si>
  <si>
    <t>+1 (415) 391-7225</t>
  </si>
  <si>
    <t>arthur@waldenvc.com</t>
  </si>
  <si>
    <t>750 Battery Street</t>
  </si>
  <si>
    <t>Walden Venture Capital</t>
  </si>
  <si>
    <t>246987-82P</t>
  </si>
  <si>
    <t>Batul Joffrey</t>
  </si>
  <si>
    <t>Batul</t>
  </si>
  <si>
    <t>Joffrey</t>
  </si>
  <si>
    <t>Ms. Batul Joffrey serves as Principal at Kapor Capital. Ms. Joffrey joined Kapor Capital after completing the 2019 Summer Associate Program. She focuses on managing mission-critical projects and strategic initiatives, as well as, evaluating investments and assisting with due diligence. A SoCal native, she studied economics and statistics at UCLA, worked on the complex data and management team as a consultant at Navigant, and before joining KCAP, moved to the Bay Area to get acquainted with the startup ecosystem - working as Chief of Staff for a social impact startup. She is also a member of Global Shapers, an initiative of the World Economic Forum, working with a network of individuals dedicated to addressing local, regional, and global challenges.</t>
  </si>
  <si>
    <t>+1 (415) 763-8282</t>
  </si>
  <si>
    <t>batul.joffrey@kaporcapital.com</t>
  </si>
  <si>
    <t>2148 Broadway</t>
  </si>
  <si>
    <t>62702-02P</t>
  </si>
  <si>
    <t>Benjamin Jealous</t>
  </si>
  <si>
    <t>Jealous</t>
  </si>
  <si>
    <t>Mr. Benjamin Jealous serves as Partner at Kapor Capital. Mr. Jealous served as Chairman of the Board at Rosenberg Foundation. He is an Angel Investor. He was the former President and Chief Executive Officer of the NAACP. He also serves as Advisor at PayNearMe. Mr. Jealous, who stepped down from his NAACP post at the end of 2013, led the NAACP to its first multi-year membership growth in 20 years, and under his leadership, it became the largest community-based nonpartisan voter registration operation in the country. Before leading the NAACP, he spent 15 years serving as a journalist and community organizer. He also served as an Advisor at Camelback Ventures. He serves as a Board Member at Curve Health.</t>
  </si>
  <si>
    <t>ben.jealous@kaporcapital.com</t>
  </si>
  <si>
    <t>227739-52P</t>
  </si>
  <si>
    <t>Brandon Boros</t>
  </si>
  <si>
    <t>Boros</t>
  </si>
  <si>
    <t>Mr. Brandon Boros serves as Venture Partner at Kapor Capital. He served as an Associate Director, Direct Investments at Align Impact. He joined Align Impact in 2020 from BMO Capital Markets where he was an Associate in the Mergers &amp; Acquisition group. He also served as a consultant for Impact Engine, venture capital and private equity investment firm focused on technology companies that generate positive outcomes in education, health, economic empowerment, and environmental sustainability. Earlier in his career, he was an Investment Associate at Northern Trust and a Trader at Canal Street Trading, LLC. He holds an MBA from the University of Chicago Booth School of Business and a BA from the University of Wisconsin-Madison.</t>
  </si>
  <si>
    <t>brandon.boros@kaporcapital.com</t>
  </si>
  <si>
    <t>47507-95P</t>
  </si>
  <si>
    <t>Brian Dixon</t>
  </si>
  <si>
    <t>Mr. Brian Dixon serves as Managing Partner at Kapor Capital. Mr. Dixon is one of the first and youngest African-American Partners at a Silicon Valley venture capital firm. He served as Board Member at Daylight. He is committed to making sure entrepreneurs of all backgrounds have access to advice and capital in order to make their business succeed. For the past ten years, he has worked his way up from intern to Partner at Kapor Capital. Mr. Dixon is a Kauffman Fellow, Management Leadership for Tomorrow (MLT) Fellow, and two-time tech startup founder. Mr. Dixon has an MBA from F.W. Olin Graduate School of Business at Babson College and a Bachelor of Science in Computer and Information Science from Northeastern University. To date, Mr. Dixon has shared his investment experience on over 50 stages, including TechCrunch Disrupt, SXSW, and SOCAP. He has also been featured on NPR and has earned several recognitions, including being named one of Business Insider's 46 Most Important African Americans in Technology.</t>
  </si>
  <si>
    <t>brian@kaporcapital.com</t>
  </si>
  <si>
    <t>237044-44P</t>
  </si>
  <si>
    <t>Cliff Worley</t>
  </si>
  <si>
    <t>Worley</t>
  </si>
  <si>
    <t>Mr. Cliff Worley serves as Head of Portfolio Marketing at Kapor Capital. Mr. Worley received his B.A. from the University of California at Berkeley and MBA from W. Olin Graduate School of Business at Babson College. After graduating from Babson, Mr. Worley joined the Shark Group, a branding consultancy firm created by renowned entrepreneur Daymond John. As Chief Digital Officer, Mr. Worley set the digital strategy for Daymond John and worked as a digital strategist for all of his Shark Tank investments. Prior to Kapor Capital, Mr. Worley held the role of Co-Chief Communications Officer at the Kapor Center, where he managed the digital strategy to help make the technology industry and entrepreneurship more diverse, inclusive, and impactful. Mr. Worley is also on the board of The NASDAQ Entrepreneurial Center, a non-profit designed to educate, innovate, and connect aspiring and current entrepreneurs.</t>
  </si>
  <si>
    <t>cliff.worley@kaporcapital.com</t>
  </si>
  <si>
    <t>Head of Portfolio Marketing</t>
  </si>
  <si>
    <t>40420-90P</t>
  </si>
  <si>
    <t>Freada Klein Ph.D</t>
  </si>
  <si>
    <t>Freada</t>
  </si>
  <si>
    <t>Dr. Freada Klein is a Founding Partner of Kapor Capital. Dr. Klein served as a Partner at IDEAL Investments. She has also served as an Advisor at Hingeto. She is an entrepreneur, activist, and pioneer in the field of organizational culture and diversity. She invests in seed-stage tech startups that create positive social impact by closing gaps of access, opportunity, or outcome for low-income communities and communities of color. Often, the founders are drawing on their lived experience to create a business that solves real needs. She is an Advisory Trustee of the U.C. Berkeley Foundation and is a founding team member at Project Include, a community of women in Silicon Valley working to provide practical, effective diversity and inclusion recommendations for tech companies. She is also the author of Giving Notice, which details the human and financial cost of hidden bias in the workplace. She also serves as Co-Chairwoman at Kapor Center for Social Impact.</t>
  </si>
  <si>
    <t>freada@kaporcapital.com</t>
  </si>
  <si>
    <t>331946-74P</t>
  </si>
  <si>
    <t>Jolynn Vallejo</t>
  </si>
  <si>
    <t>Jolynn</t>
  </si>
  <si>
    <t>Vallejo</t>
  </si>
  <si>
    <t>Ms. Jolynn Vallejo serves as Chief of Staff at Kapor Capital. She is passionate about creating generational wealth for underserved communities and fostering an ecosystem of diverse investors, emerging fund managers, and startup founders. An entrepreneur herself, Jolynn started her own record label at age 20 and built a career in the music business, recruitment, and public relations. She holds a BA in Development Studies from the University of California at Berkeley, with a minor in Education.</t>
  </si>
  <si>
    <t>jolynn.vallejo@kaporcapital.com</t>
  </si>
  <si>
    <t>30657-97P</t>
  </si>
  <si>
    <t>Mitchell Kapor</t>
  </si>
  <si>
    <t>Kapor</t>
  </si>
  <si>
    <t>Mr. Mitchell Kapor is a Founding Partner of Kapor Capital. Mr. Kapor served as Partner at Ideal Investments. He serves as Advisor at Common Sense Media. He serves as Board Member and Advisor at Accredible. He served as Board Member at BlocPower and Bitwise Industries. He is a pioneer in the personal computing industry and a longtime startup investor. He founded Lotus Development Corporation and designed Lotus 1-2-3. He serves as an Advisor at The Human Diagnosis Project. He is the co-founder of The Electronic Frontier Foundation, which protects freedom and privacy on the Internet and served as the founding Chair of Mozilla, the creator of the Firefox web browser. His successful early investments in the Internet sector streaming media and virtual reality earned him a reputation for seeing around corners. Along with his wife Freada Kapor Klein, for the past decade at Kapor Capital, he has developed a vision and practice of investing in tech startups that close gaps of access, opportunity, or outcome for low-income communities and communities of color and on founders from underrepresented groups. Through the work of the Kapor Center for Social Impact, he and Freada take a comprehensive approach to removing barriers in education and the workplace for all and fixing the leaks at every stage of the tech pipeline. He has served as an advisor at Hingeto. He serves on the board of SMASH, a non-profit founded by Freada to help underrepresented scholars hone their STEM knowledge while building the networks and skills for careers in tech and the sciences. He served as an Advisor at EdCast. He serves as President and Co-Chairman at the Kapor Center for Social Impact. He served as an Advisor at Handle.</t>
  </si>
  <si>
    <t>+1 (510) 488-6616</t>
  </si>
  <si>
    <t>mitch@kaporcapital.com</t>
  </si>
  <si>
    <t>383290-93P</t>
  </si>
  <si>
    <t>Tesheia van der Horst</t>
  </si>
  <si>
    <t>Tesheia</t>
  </si>
  <si>
    <t>van der Horst</t>
  </si>
  <si>
    <t>Ms. Tesheia van der Horst serves as Director of Portfolio Services at Kapor Capital. Ms. Horst moved to the Bay Area after receiving her B.A. from Wesleyan University where she studied Economics and Social Theory. Tesheia then joined VMG Partners, a consumer and technology-focused Private Equity and Venture Capital Firm. As VMG Partners' Chief of Staff, Tesheia supported the General Partners with various strategic projects and initiatives across multiple funds.</t>
  </si>
  <si>
    <t>tesheia.vanderhorst@kaporcapital.com</t>
  </si>
  <si>
    <t>Director of Portfolio Services</t>
  </si>
  <si>
    <t>40421-35P</t>
  </si>
  <si>
    <t>Uriridiakoghene Onovakpuri</t>
  </si>
  <si>
    <t>Uriridiakoghene</t>
  </si>
  <si>
    <t>Onovakpuri</t>
  </si>
  <si>
    <t>Ms. Uriridiakoghene Onovakpuri serves as Managing Partner at Kapor Capital. She serves as Board Member at Thalamus. She serves as Advisory Council Member at Kirchner Food Fellowship. She serves as Board Member at Journeys Metabolic and Carecar. She returned to the Kapor Capital team in 2016. She serves as Board Member at Bloomlife. She serves as Board Member at [Scene]. She is focused on sourcing investment opportunities, conducting diligence, and supporting Kapor Capital's portfolio companies, particularly those in the digital health and medical technology industries. Previously, she served as Director of Global Programs at Village Capital, a global accelerator program and venture capital firm which supports healthcare, education, agriculture, energy, and FinTech businesses. At Village Capital, she worked side by side with entrepreneurs from around the world helping them grow their ideas into marketable businesses. She received her MBA with a concentration in Health Sector Management from Duke University's Fuqua School of Business. She is a native San Franciscan and a proud UC Berkeley Alum.</t>
  </si>
  <si>
    <t>+1 (510) 488-6600</t>
  </si>
  <si>
    <t>ulili@kaporcapital.com</t>
  </si>
  <si>
    <t>222629-05P</t>
  </si>
  <si>
    <t>Daniel Lichtenberg</t>
  </si>
  <si>
    <t>Lichtenberg</t>
  </si>
  <si>
    <t>Keiki Capital</t>
  </si>
  <si>
    <t>Mr. Daniel Lichtenberg is the Founder &amp; serves as General Partner at Keiki Capital. He began his career as a software engineer and financial industry executive, leading a fixed-income trading desk at Bank of America Merrill Lynch. Subsequently, he worked as Chief Investment Officer in venture capital, focusing on the Mortgage Industry. He founded Keiki in 2017 to focus on accelerating climate solutions through early-stage investing and tech entrepreneurship. As Chief Operating Officer (2018 to 2020) of Urban Matrix One, a Climate Tech startup, he wrote software using Satellite Imagery and Artificial Intelligence to make precise social and environmental impact predictions for global infrastructure investors. His technical expertise is in quickly learning and executing functional software projects and machine learning analyses. As a Wall Street veteran, he has the expertise and valuable networks in equity and debt financing, financial modeling, asset securitization, and risk management. He received his BA in Architecture and Computer Science from Columbia University in the City of New York.</t>
  </si>
  <si>
    <t>+1 (646) 483-1937</t>
  </si>
  <si>
    <t>dan@keikicapital.com</t>
  </si>
  <si>
    <t>Laguna Beach</t>
  </si>
  <si>
    <t>Laguna Beach, CA</t>
  </si>
  <si>
    <t>253821-61P</t>
  </si>
  <si>
    <t>Sarthak Gupta</t>
  </si>
  <si>
    <t>Sarthak</t>
  </si>
  <si>
    <t>Mr. Sarthak Gupta serves as Senior Advisor at Keiki Capital. He serves as the Chief Investment Officer at Headwater Energy. He has served as Senior Associate at Excelsior Energy Capital. Mr. Gupta joins the Excelsior Energy Capital team having most recently been at Cypress Creek Renewables, where he evaluated solar assets across the United States. Mr. Gupta has worked on financing utility-scale, distributed C&amp;I as well as solar-plus-storage projects with more than $400 million in tax equity investment and project-level debt. Prior to his time at Cypress Creek Renewables, Mr. Gupta worked on research projects at the intersection of renewable energy and climate change at Climate Central. Mr. Gupta earned his BSE in Mechanical and Aerospace Engineering from Princeton University.</t>
  </si>
  <si>
    <t>+1 (919) 615-4751</t>
  </si>
  <si>
    <t>sarthak@keikicapital.com</t>
  </si>
  <si>
    <t>Raleigh</t>
  </si>
  <si>
    <t>Raleigh, NC</t>
  </si>
  <si>
    <t>3725 National Drive</t>
  </si>
  <si>
    <t>27612</t>
  </si>
  <si>
    <t>Headwater Energy</t>
  </si>
  <si>
    <t>332004-34P</t>
  </si>
  <si>
    <t>Aditya Naganath</t>
  </si>
  <si>
    <t>Naganath</t>
  </si>
  <si>
    <t>Kleiner Perkins</t>
  </si>
  <si>
    <t>Mr. Aditya Naganath serves as an Investor at Kleiner Perkins. He joined Kleiner Perkins' investment team in 2022 with a focus on artificial intelligence, enterprise software applications, infrastructure, and security. Before joining Kleiner Perkins, he was a product manager at Google focusing on growth initiatives for the next billion users team. He previously was a technical lead at Palantir Technologies and formerly held software engineering roles at Twitter and Nextdoor, where he was a Kleiner Perkins fellow. He earned a patent during his time at Twitter for a technical analytics product he co-created. He graduated magna cum laude from Columbia University with a bachelor's degree in Computer Science and an MBA from Stanford University.</t>
  </si>
  <si>
    <t>+1 (650) 233-2750</t>
  </si>
  <si>
    <t>aditya@kleinerperkins.com</t>
  </si>
  <si>
    <t>2750 Sand Hill Road</t>
  </si>
  <si>
    <t>+1 (650) 233-0300</t>
  </si>
  <si>
    <t>Investor &amp; Principal</t>
  </si>
  <si>
    <t>16244-56P</t>
  </si>
  <si>
    <t>Albert Gore Jr.</t>
  </si>
  <si>
    <t>Gore</t>
  </si>
  <si>
    <t>Mr. Albert Gore serves as Chairman at Generation Investment Management. He serves as Advisor at Kleiner Perkins. He served as Board Member at Apple. He is an Angel Investor. He serves as Senior Partner at Kleiner Perkins. He also serves as Senior Advisor at Google. He is the former Vice President of the United States. He also served as a Chairman and Co-Founder of Current TV, an Emmy award-winning, independently owned cable and satellite television nonfiction network for young people based on viewer-created content and citizen journalism. He is a Visiting Professor at Middle Tennessee State University in Murfreesboro, Tennessee, and chairs the Alliance for Climate Protection, a non-profit organization designed to help solve the climate crisis. Al Gore was elected to the U.S. House of Representatives in 1976, 1978, 1980, and 1982 and the U.S. Senate in 1984 and 1990. He was inaugurated as the forty-fifth Vice President of the United States on January 20, 1993, and served eight years. During the Administration, he was a central member of President Clinton's economic team. He served as President of the Senate, a Cabinet member, a member of the National Security Council, and the leader of a wide range of Administration initiatives. He is the author of the bestsellers Earth in the Balance and An Inconvenient Truth and is the subject of an Oscar-winning documentary. He is the co-winner, with the Intergovernmental Panel on Climate Change, of the 2007 Nobel Peace Prize for "informing the world of the dangers posed by climate change.</t>
  </si>
  <si>
    <t>+1 (415) 619-3242</t>
  </si>
  <si>
    <t>555 Mission Street</t>
  </si>
  <si>
    <t>94105-0931</t>
  </si>
  <si>
    <t>+1 (415) 619-3243</t>
  </si>
  <si>
    <t>Generation Investment Management</t>
  </si>
  <si>
    <t>230091-67P</t>
  </si>
  <si>
    <t>Allie Cefalo</t>
  </si>
  <si>
    <t>Allie</t>
  </si>
  <si>
    <t>Cefalo</t>
  </si>
  <si>
    <t>Ms. Allie Cefalo serves as a Partner in marketing at Kleiner Perkins. She joined Kleiner Perkins in 2019, where she leads the firm's marketing and communications. With a background in branding and strategic communications, she also serves as a trusted partner to founders. Before Kleiner Perkins, she was vice president at Teneo where she led executive reputation strategies for some of the world's largest technology companies. She has previously led communications at several startups, including Campaign Monitor, Puppet, and Appirio. She also managed partnership and customer communications during her time at Salesforce. She graduated from the University of Oregon with a degree in Journalism. Originally from the Bay Area, she likes to cheer on the local sports teams, run, and spend time with her family.</t>
  </si>
  <si>
    <t>+1 (925) 699-2474</t>
  </si>
  <si>
    <t>allie@kleinerperkins.com</t>
  </si>
  <si>
    <t>Partner, Marketing</t>
  </si>
  <si>
    <t>199206-64P</t>
  </si>
  <si>
    <t>Annie Case</t>
  </si>
  <si>
    <t>Case</t>
  </si>
  <si>
    <t>Ms. Annie Case serves as Partner &amp; Investor at Kleiner Perkins. Ms. Case serves as Board Member at MedArrive. Ms. Case joined Kleiner Perkins in 2018 and focuses on investments in early-stage companies. She serves as Board Member at Subject. Before joining Kleiner Perkins, Ms. Case worked in Product and Business Operations roles at Uber. While at Uber, she supported the SVP of Operations and helped scale the UberEats business to new markets internationally. Ms. Case started her career as a consultant at Bain &amp; Company in San Francisco, where she worked with clients in the Technology, Private Equity, and Education practices. Ms. Case graduated from Stanford University with a bachelor's degree in Human Biology and a master's degree in Management Science &amp; Engineering. She was also a member of the Stanford Women's Soccer team.</t>
  </si>
  <si>
    <t>annie@kpcb.com</t>
  </si>
  <si>
    <t>250062-31P</t>
  </si>
  <si>
    <t>Bing Gordon</t>
  </si>
  <si>
    <t>Mr. Bing Gordon serves as a Board Member at Duolingo. He served as a Board Member at Zume. He serves as an Advisor at Matter Venture Partners. He serves as a Board Member at Cameo. He served as a Venture Partner at Smash Capital. He serves as an Advisor at G2VP &amp; Azarus. He also serves as a Venture Partner at Smash Ventures. He serves as an Advisor at Kleiner Perkins. He served as Chairman at Truecaller. He also serves as Senior Advisor Juno Capital Partners</t>
  </si>
  <si>
    <t>+1 (412) 567-6602</t>
  </si>
  <si>
    <t>5900 Penn Avenue</t>
  </si>
  <si>
    <t>Duolingo</t>
  </si>
  <si>
    <t>13537-09P</t>
  </si>
  <si>
    <t>Brook Byers Ph.D</t>
  </si>
  <si>
    <t>Byers</t>
  </si>
  <si>
    <t>Dr. Brook Byers is the Founder &amp; serves as Advisor at Kleiner Perkins. He also serves as a Member of the Investment Advisory Committee at Mission Bay Capital. He serves as a Board Member at Foundation Medicine. He served as a Board Member at Oculeve. He served as a Board Member at OptiMedica. He also serves as a Board Member and Advisor at Irisvision. He serves as a Board Member at Veracyte, Octave, ArsenalBio, Crescendo Biologics, Enjoy Technology, Epiodyne, Irisvision, Newsela, Oculeve, and Tethys. He also served as a Board Member at GRAIL. He is also an Angel Investor. He serves as a Board Member at Verana Health. He served as a Board Member at Arsenal Biosciences. He has been with the firm since 1977. A venture capital investor since 1972, He has been closely involved with more than 60 new technology-based ventures, many of which have become public companies. He formed the first life sciences practice group in the venture capital profession in 1984 and led KPCB to become a premier venture capital firm in the medical, healthcare, and biotechnology sectors. KPCB has invested in and helped build more than 110 life sciences companies that have developed hundreds of products to treat the underserved medical needs of many millions of patients. He was the founding president and then chairman of four biotechnology companies that were incubated in KPCB's offices and went on to become public companies with an aggregate market value of more than US$8 billion. He serves on the board of directors of CardioDX, CareDX, Elcelyx, Foundation Medicine, Oculeve, Cell Design Labs, Zephyr Health, and Newsela. He is a Co-Founder and serves as a Board Member at NewSchools Venture Fund. He serves as an Investment Advisor at Medical Technology Venture Partner. He previously served on the board of directors at Pacific Biosciences.</t>
  </si>
  <si>
    <t>bbyers@kleinerperkins.com</t>
  </si>
  <si>
    <t>Founder &amp; Advisor</t>
  </si>
  <si>
    <t>183501-10P</t>
  </si>
  <si>
    <t>Everett Randle</t>
  </si>
  <si>
    <t>Randle</t>
  </si>
  <si>
    <t>Investor Relations &amp; Partner</t>
  </si>
  <si>
    <t>Mr. Everett Randle serves as a Partner and Investor at Kleiner Perkins. He serves as a Board Member at Captions. He serves as a Board Observer at STORED. He served as Principal at Founders Fund. He served as Executive of investments at Kleiner Perkins. Randle joined Kleiner Perkins in 2018 and focuses on investments in high-growth enterprise software and consumer internet companies. Before joining Kleiner Perkins, he worked at Vista Equity Partners on the Private Equity team in San Francisco. At Vista, his investment focus centered on enterprise software, data, and tech-enabled services. Originally from Colorado, he graduated with High Distinction from the University of Colorado Boulder - Leeds School of Business with a BS in Business Administration and an emphasis in Finance. At CU, he was a member of the Leeds Scholars Program, Beta Gamma Sigma, and was a Leeds Outstanding Graduate. He serves as Board Member at Huntress.</t>
  </si>
  <si>
    <t>ev@kleinerperkins.com</t>
  </si>
  <si>
    <t>69462-46P</t>
  </si>
  <si>
    <t>Ilya Fushman Ph.D</t>
  </si>
  <si>
    <t>Fushman</t>
  </si>
  <si>
    <t>Dr. Ilya Fushman is an Investor and serves as a Partner at Kleiner Perkins. He serves as a Board Member at Harvey and Fauna Robotics. He serves as Board Member at Profound. He serves as a Board Member at Cameo, Welcome (Walnut), DUST Identity, and Truv (San Francisco). He served as Board Member at Loom. He served as a Board Member at Autograph. He serves as a Board Observer at Nova Credit. He is an Investor &amp; serves as a Partner at Kleiner Perkins. most recently was a general partner at Index Ventures, bringing deep operating and investing experience to the venture team at Kleiner Perkins. He serves as a Board Member at Truv and Infinitus Systems. He joined Index Ventures in 2015 where he worked on the firm's investments and held board positions in companies such as Slack, Intercom, Optimizely, KeepTruckin, CultureAmp, Built, CoverWallet, and Scratch. Before Index, He spent four years at Dropbox where he was one of the company's first 75 employees. At Dropbox, he helped to build and run the company's business and corporate development functions before taking on a product leadership role and building out the core Dropbox product, Dropbox for Business, and the developer platform. He serves as an Advisor at Diadem Biotherapeutics. He serves as a Board Member at Inkitt. Previously, he was a principal at Khosla Ventures and the Director of Technology at Solar Junction. He holds a Ph.D. in Applied Physics an M.S. in Electrical Engineering from Stanford University and a B.S. in Physics from Caltech. He also served as an advisor at CoverWallet. He served as a Board Member at Sentinel.</t>
  </si>
  <si>
    <t>ilya@kleinerperkins.com</t>
  </si>
  <si>
    <t>101 South Park Street</t>
  </si>
  <si>
    <t>38018-26P</t>
  </si>
  <si>
    <t>James Huang</t>
  </si>
  <si>
    <t>Mr. James Huang is the Founder and serves as Managing Partner at Panacea Venture. He is a Co-Founder and serves as Chief Executive Officer &amp; Board Member at Orion Biotech Opportunities. He serves as Advisor at Coastar Therapeutics. He serves as Chairman at XWPharma &amp; Eos BioInnovation. He serves as a Board Member at Myrtelle. He serves as Managing Partner, China at Kleiner Perkins. He serves as a Board Member at Domain Therapeutics. He serves as a Director &amp; Chairman of, the Audit &amp; Compensation Committee at CASI Pharmaceuticals. He serves as a Board Member at Feng Biosciences. He served as Board Member at Actym Therapeutics. He focuses on the firm's life sciences practice. His main investment interests are innovation around China's growing healthcare markets and helping entrepreneurs build companies. Before coming to KPCB China, he was a managing partner at Vivo Ventures, a venture capital firm specializing in life sciences investments. While at Vivo, he led numerous investments in China. Before joining Vivo in 2007, he was president of Anesiva, a biopharmaceutical company focused on pain-management treatments. During his 20-year career in the pharmaceutical and biotech industry, he also held senior roles in business development, sales, marketing, and R&amp;D with Tularik (acquired by Amgen), GlaxoSmithKline, Bristol-Meyers Squibb and ALZA Corp. (acquired by Johnson &amp; Johnson). He received an M.B.A. from the Stanford Graduate School of Business and a B.S. degree in chemical engineering from the University of California, Berkeley. He also serves as the Board Member at EntreMed. He serves as a Board Member at JHL Biotech. He serves as Board Member at California Business Bank.</t>
  </si>
  <si>
    <t>650-688-0818</t>
  </si>
  <si>
    <t>james.huang@panaceaventure.com</t>
  </si>
  <si>
    <t>345 Park Avenue S</t>
  </si>
  <si>
    <t>2nd Floor, suite 008</t>
  </si>
  <si>
    <t>Panacea Venture</t>
  </si>
  <si>
    <t>87233-50P</t>
  </si>
  <si>
    <t>Jason Zhao</t>
  </si>
  <si>
    <t>Mr. Jason Zhao serves as Partner, China at Kleiner Perkins. Since joining the team in 2013, he has focused on investments in internet, mobile, media and consumer services. Jason works closely with entrepreneurs at JD, Arrail, Rong360, Kuukaa, Huaban, Asia Innovations, and TradeHero as board observer or advisor. Before joining KPCB China, Jason was an investment manager at Hony Capital, where he focused on cross-border late-stage/buyout investments in the internet, mobile, and clean tech sectors. Earlier in his career, Jason was a Program Manager at Microsoft, leading product design and management at PowerPoint in Silicon Valley. Jason holds a M.B.A from Harvard Business School. He also received a M.S. and B.S. with high honors in electrical engineering with a minor in computer science from the University of Illinois at Urbana-Champaign.</t>
  </si>
  <si>
    <t>+86 (0)21 3383 0688</t>
  </si>
  <si>
    <t>jason@kpcb.com</t>
  </si>
  <si>
    <t>Pudong</t>
  </si>
  <si>
    <t>Pudong, China</t>
  </si>
  <si>
    <t>Unit 2101, BEA Finance Tower</t>
  </si>
  <si>
    <t>66 Hua Yuan Shi Qiao Road</t>
  </si>
  <si>
    <t>+86 (0)21 3383 0699</t>
  </si>
  <si>
    <t>Partner, China</t>
  </si>
  <si>
    <t>332368-75P</t>
  </si>
  <si>
    <t>Jesse King</t>
  </si>
  <si>
    <t>Mr. Jesse King serves as General Counsel &amp; Partner at Kleiner Perkins. Before this Mr. King served Fenwick &amp; West; Munger, Tolles &amp; Olsen; Law Clerk to Steven V. Wilson, Central District of California; Google, Inc. He holds a BA in History from the University of California, Berkeley, and a JD from Harvard Law School.</t>
  </si>
  <si>
    <t>jking@kleinerperkins.com</t>
  </si>
  <si>
    <t>13537-45P</t>
  </si>
  <si>
    <t>John Doerr III</t>
  </si>
  <si>
    <t>Doerr</t>
  </si>
  <si>
    <t>Advisor &amp; Chairman</t>
  </si>
  <si>
    <t>Mr. John Doerr serves as Chairman &amp; Advisor at Kleiner Perkins. Mr. Doerr is the Founder of Foris Ventures. He served as a Board Member at Coursera. He serves as a Board Member at Nuna &amp; Terradot. He is an Angel Investor. He serves as Chairman at Renmatix. He served as a Board Member at Remind. He served as an Advisor at Forward. He serves as a Board Member at GALY and Flipboard. He cofounded Glass Collective. He serves as Vice President at the Benificus Foundation. He served as a Board Member at Bloom Energy. He serves as a Board Member at BetterWorks and DoorDash. He also serves as a Board Member at Asapp. He also serves as a Board Member at Breakthrough Energy. He served as an advisor at Tempus. He serves as a Board Member and member of the Leadership Development and Compensation Committee at Alphabet. He is the Co-Founder and serves as a Board Member at NewSchools Venture Fund. He serves as a Board Member at Essence Group Holdings. He is also an angel investor. He served as a Board Member at QuantumScape. He served as a Board Member at Tradesy. He served as a Board Member at Shyp and Truecaller. He joined Kleiner Perkins Caufield &amp; Byers in 1980 and has since backed some of the world's most successful entrepreneurs, including Larry Page, Sergey Brin, and Eric Schmidt of Google; Jeff Bezos of Amazon.com and Scott Cook and Bill Campbell of Intuit. Ventures sponsored by him have created more than 200,000 new jobs. He serves on the boards of Amyris, Google, and Zynga, as well as several private technology ventures. He also led KPCB's investment in Twitter. His technology career began in 1974 at Intel, just as the chipmaker was inventing the groundbreaking 8080 microprocessor. During his Intel years, he held roles in engineering, marketing, management, and sales. He also learned about operating excellence from Intel co-founder Andy Grove - an insight that he continues to share with entrepreneurs today. These include NewSchools.org, TechNet.org, the Climate Reality Project, and ONE.org. He also holds several patents for computer memory devices. He is a member of the American Academy of Arts and Sciences and a member of U.S. President Barack Obama's Council on Jobs and Competitiveness. He earned a B.S. and M.S. degree in electrical engineering from Rice University and an M.B.A. from Harvard Business School.</t>
  </si>
  <si>
    <t>jdoerr@kleinerperkins.com</t>
  </si>
  <si>
    <t>Chairman &amp; Advisor</t>
  </si>
  <si>
    <t>152967-88P</t>
  </si>
  <si>
    <t>Joshua Coyne</t>
  </si>
  <si>
    <t>Coyne</t>
  </si>
  <si>
    <t>Mr. Joshua Coyne serves as a Partner &amp; Investor at Kleiner Perkins. He served as a Board Member at Firstbase. He serves as Board Observer at Kleiner Perkins. Mr. Coyne focuses on investments in enterprise software and financial services. Before joining Kleiner Perkins, Mr. Coyne was at Qatalyst Partners, where he helped advise on multi-billion dollar acquisitions, leveraged buyouts, and financings across a variety of technology sectors. Originally from Cleveland, Mr. Coyne graduated summa cum laude from Boston College with a degree in Information Systems and Finance.</t>
  </si>
  <si>
    <t>josh@kpcb.com</t>
  </si>
  <si>
    <t>230090-95P</t>
  </si>
  <si>
    <t>Joubin Mirzadegan</t>
  </si>
  <si>
    <t>Joubin</t>
  </si>
  <si>
    <t>Mirzadegan</t>
  </si>
  <si>
    <t>Mr. Joubin Mirzadegan serves as Partner at Kleiner Perkins. He joined Kleiner Perkins in 2019 and focuses on advising the KP portfolio companies on all aspects of building and scaling a robust go-to-market. Additionally, he enables the firm's portfolio through high-impact relationships with F500 executives and key ecosystem partners. He was previously at Palo Alto Networks as a global district sales manager for the Central US based in Chicago. Before Palo Alto Networks, he worked at Evident.io as an enterprise account executive focused on the Palo Alto Networks relationship, which resulted in Evident's acquisition by Palo Alto Networks. Prior to that, he was at Bracket Computing (acquired by VMWare) and built the inside sales team from the ground up. He holds a BA (Bachelor of Arts) in International Relations &amp; Cultural Anthr from the University of California, Davis.</t>
  </si>
  <si>
    <t>260995-78P</t>
  </si>
  <si>
    <t>Leigh Marie Braswell</t>
  </si>
  <si>
    <t>Leigh Marie</t>
  </si>
  <si>
    <t>Braswell</t>
  </si>
  <si>
    <t>Ms. Leigh Marie Braswell is an Investor and serves as a Partner at Kleiner Perkins. She is an Angel Investor. She serves as a Board Member at Windsurf. She served as Principal at Founders Fund. She joined Kleiner Perkins as a partner in 2023, where she focuses on partnering with the next generation of infrastructure &amp; ML application founders. Before joining Kleiner Perkins, she began her investing career at Founders Fund. Before that, she was an early engineer and the first product manager at Scale AI, where she built and later led product development for the LiDAR/3D annotation products, used by many autonomous vehicles, robots, and AR/VR companies as a core step in their machine learning life cycles. She has also done software development at Blend, machine learning at Google, and quantitative trading at Jane Street. Originally from Alabama, she graduated from MIT.</t>
  </si>
  <si>
    <t>leigh@kleinerperkins.com</t>
  </si>
  <si>
    <t>275613-31P</t>
  </si>
  <si>
    <t>Lucas Oliveira</t>
  </si>
  <si>
    <t>Mr. Lucas Oliveira serves as Vice President &amp; Investor at Kleiner Perkins. He served as an Associate at Thoma Bravo. He joined Kleiner Perkins in 2023 where he focuses on inflection investments primarily in enterprise software. Prior to joining Kleiner Perkins, he was at Thoma Bravo in the firm's Flagship Software Buyout Fund, where he worked on $10bn+ in take-private transactions including the firm's investments in Coupa Software and Bottomline Technologies. He is from Brazil but spent the majority of his childhood in Colorado. He graduated with the highest distinction from the University of Colorado at Boulder with a degree from the Leeds School of Business.</t>
  </si>
  <si>
    <t>loliveira@kleinerperkins.com</t>
  </si>
  <si>
    <t>Vice President &amp; Investor</t>
  </si>
  <si>
    <t>227684-26P</t>
  </si>
  <si>
    <t>Mamoon Hamid</t>
  </si>
  <si>
    <t>Mamoon</t>
  </si>
  <si>
    <t>Hamid</t>
  </si>
  <si>
    <t>Mr. Mamoon Hamid serves as Partner at Kleiner Perkins. Mr. Hamid serves as Board Member at Handshake and Arcade. He serves as Board Member at Glean, Figma, Modern Health, Rippling, Alkira, Multiply Mortgage and Viz.ai, National Venture Capital Association, Netlify, Thrive Global, Alif Semiconductor and Netskope. He served as a Board Member at Netskope and Coda. He serves as Partner at Kleiner Perkins. He is an Angel Investor. He also serves as an Advisor at Pair Team. He serves as Board Member at Retym. He served as Board Member at Lumity and Intercom. He also serves as Board Member at Integrated Plasmonics, Viz and Tally. Prior to joining Kleiner Perkins, he co-founded and served as General Partner at Social Capital. He has been an early investor in and served on the boards of some of the most innovative software companies of recent times including Slack, Box and Yammer (acquired by Microsoft). Prior to Social Capital, he was a Partner at U.S. Venture Partners (USVP). He started his Silicon Valley career at Xilinx where he spent six years in various engineering and business roles. He served as a Board Member of Netskope. He holds a BS in Electrical Engineering from Purdue University, an MS from Stanford University, and an MBA from Harvard Business School. He served as a Board Member at Greenhouse Software. He served as Board member at Future.</t>
  </si>
  <si>
    <t>+1 (650) 521-9007</t>
  </si>
  <si>
    <t>mamoon.hamid@kleinerperkins.com</t>
  </si>
  <si>
    <t>136181-62P</t>
  </si>
  <si>
    <t>Moustafa ElBialy</t>
  </si>
  <si>
    <t>Moustafa</t>
  </si>
  <si>
    <t>ElBialy</t>
  </si>
  <si>
    <t>Mr. Moustafa ElBialy serves as Chief Information Officer &amp; Specialist at Kleiner Perkins. Mr. ElBialy joined Kleiner Perkins in 2018 and serves as Chief Information Officer leading all Technology efforts. He provides strategic and operational impact across the firm's Technology landscape, which includes the deployment and management of Data and Business Intelligence Tools, Data Science, Infrastructure, cybersecurity, and other software solutions that drive business outcomes for Kleiner Perkins. Before joining Kleiner Perkins, Mr. ElBialy was the Director of Technology at Social Capital. Before Social Capital, he spent 8 years at Sequoia Capital where he served as Technology Services Manager. He's also an active board member for VCPEIT, a non-profit community produced by and for forward-thinking Technology executives, CIOs, CTOs, and key decision-makers from private equity, venture capital, and leveraged buyout firms. Mr. ElBialy received his B.S.C.S. degree in Information Technology from Cairo University, Egypt.</t>
  </si>
  <si>
    <t>moustafaelbialy@kpcb.com</t>
  </si>
  <si>
    <t>Chief Information Officer &amp; Specialist</t>
  </si>
  <si>
    <t>350828-29P</t>
  </si>
  <si>
    <t>Nadia Cochinwala</t>
  </si>
  <si>
    <t>Cochinwala</t>
  </si>
  <si>
    <t>Ms. Nadia Cochinwala serves as Vice President &amp; Investor at Kleiner Perkins. She joined Kleiner Perkins in 2023 where she focuses on inflection investments primarily in enterprise software and consumer software. Prior to joining Kleiner Perkins, she was at TPG Growth. Previously, she held investing roles at Bridgewater Associates &amp; Golden Gate Capital. She was born and raised in the Bay Area and graduated from UC Berkeley's Haas School of Business. She was also a member of Berkeley's Parliamentary Debate team.</t>
  </si>
  <si>
    <t>ncochinwala@kleinerperkins.com</t>
  </si>
  <si>
    <t>159644-62P</t>
  </si>
  <si>
    <t>Nikki Zhang</t>
  </si>
  <si>
    <t>Ms. Nikki Zhang serves as Partner at Panacea Venture. She served as Director, of China at Kleiner Perkins. She has extensive experience in both the biotech and medical device sectors. Before joining KPCB China, she worked at Zimmer Biomet Inc., where she took multiple leadership roles to manage the company's global trauma business and post-merger integration projects. Earlier in her career, she was a business development manager at Hutchison MediPharma, where she specialized in corporate planning, global licensing, and strategic partnership management. She holds an M.B.A. from The Fuqua School of Business of Duke University. She also received an M.A. in Biotechnology from Columbia University and a B.S. in Biochemistry from The University of Texas at Austin.</t>
  </si>
  <si>
    <t>+86 (0)21 6176 1101</t>
  </si>
  <si>
    <t>nikki.zhang@panaceaventure.com</t>
  </si>
  <si>
    <t>Number 5, Lane 1350, Fuxing Middle Road</t>
  </si>
  <si>
    <t>Xuhui District</t>
  </si>
  <si>
    <t>200031</t>
  </si>
  <si>
    <t>76151-98P</t>
  </si>
  <si>
    <t>Ryan Panchadsaram</t>
  </si>
  <si>
    <t>Panchadsaram</t>
  </si>
  <si>
    <t>Mr. Ryan Panchadsaram serves as Advisor to the Chairman at Kleiner Perkins. He served as a Board Member at Remind. He serves as a Board Member at GALY. He joined Kleiner Perkins in 2016 to focus on venture-stage companies across the firm and serve as a technical advisor to John Doerr, Chair of Kleiner Perkins. He also served as a Board Observer at Breakthrough Energy Ventures. He serves as a Board Member at Visby Medical and Charm Industrial. Previously, he served as a Board Observer at Visby Medical. Mr. Panchadsaram was the Deputy Chief Technology Officer for the United States. At the White House, Mr. Panchadsaram helped shape how an $80 billion budget can be used by federal agencies to deliver on their missions in a more effective, design-centric, and data-driven way. In 2014, Mr. Panchadsaram was featured on the cover of Time Magazine as part of the crisis response team that rescued the rollout of Healthcare.gov. After the successful turnaround, Mr. Panchadsaram helped launch the U.S. Digital Service. Mr. Panchadsaram also represented the United States as a delegate to the United Nations, promoting increased connectivity and entrepreneurship around the world. Before public service, Mr. Panchadsaram co-founded Pipette, a digital health startup that was acquired by Ginger.io, an MIT Media Lab spin-off using big data and machine learning to improve the world's health. Mr. Panchadsaram worked at Microsoft and Salesforce.com in product and engineering roles. While at Microsoft, Mr. Panchadsaram was responsible for the user experience and design for Outlook for Mac in 2011 and filed multiple patents for innovations in geolocation, user interfaces, and large datasets. Mr. Panchadsaram graduated with a BS (Bachelor of Science) degree in Industrial Engineering and Operations Research from the University of California, Berkeley.</t>
  </si>
  <si>
    <t>Advisor to the Chairman</t>
  </si>
  <si>
    <t>13537-00P</t>
  </si>
  <si>
    <t>Susan Biglieri</t>
  </si>
  <si>
    <t>Biglieri</t>
  </si>
  <si>
    <t>Ms. Susan Biglieri serves as Chief Financial Officer &amp; Chief Operating Officer at Kleiner Perkins. For the 10 years before 2001, she was the controller at KPCB. She focuses primarily on the firm's internal financial affairs. Before joining KPCB, she worked for Mouse Systems Technology and Ernst &amp; Young. She holds a bachelor's degree in business administration from the University of California, Berkeley, and is a certified public accountant.</t>
  </si>
  <si>
    <t>sbiglieri@kleinerperkins.com</t>
  </si>
  <si>
    <t>13539-43P</t>
  </si>
  <si>
    <t>Mr. Theodore Schlein serves as Partner &amp; Advisor at Kleiner Perkins. Mr. Schlein is a Board Member of Chegg. Mr. Schlein serves as Board Member at Reputation (Business/Productivity Software). He served as Board Member at Inspirato. He serves as the Board Member at Angara E-Commerce Services, BedRock Systems, Area 1 Security, UJET and Intros. He joined Kleiner Perkins Caufield &amp; Byers in 1996 and focuses on early-stage technology companies in the enterprise software and infrastructure markets, including ventures within the networking and consumer security arenas. Mr. Schlein has led KPCB's involvement in a number of successful investments, including Mandiant (acquired by Fire Eye), Chegg (CHGG), IPO, LifeLock (LOCK), IPO; Jive Software (JIVE), IPO; ArcSight (ARST), IPO, sold to HP; Beijing Venustech (002439:Shenzhen), IPO; Corio (CRIO), sold to IBM; Extensity (EXTN), sold to GEAC; Fortify Software, sold to HP; Internet Security Systems (ISSX), sold to IBM; and Oakley Networks, sold to Raytheon. Mr. Schlein was the founding CEO of Fortify Software, a pioneer in the software security market and now an HP company. He serves on the board of directors of 3VR, Area 1 Security, Alien Vault, Chegg, FullStory, Ionic Security, IronNet Cybersecurity, IronPlanet, Jive Software, Reputation.com, Shape Security, Synack, and Trusona. Additionally, Mr. Schlein oversees KPCB's investments in Bit9, Endgame Systems, and Segment. Before joining KPCB, Mr. Schlein served as vice president, of Enterprise Solutions at Symantec. One of Symantec's early employees, he played an instrumental role in the company's growth and dominance as a global software leader. Mr. Schlein led Symantec's successful move into the software utilities market, as well as the launch of its commercial anti-virus solution, an offering that quickly emerged as the industry gold standard. Mr. Schlein is the former chairman of the National Venture Capital Association (NVCA), a national alliance advocating the role of venture investing in job creation, technology innovation, and economic development. He is also the former president of the Western Association of Venture Capitalists and the founder of DoD sponsored DeVenCI program. He currently serves on the board of overseers of the Engineering School at the University of Pennsylvania and sits on the Board of Trustees at InQTel. Mr. Schlein frequently participates as an opinion leader in public, private, and government forums, providing perspectives on security technology, related investments, and market adoption trends. Mr. Schlein holds a B.A. degree in economics from the University of Pennsylvania. He serves as a Board member at Ayasdi, Rebellion Defense, and Jack. He served as a Board Member at Endgame. Mr. Schlein served as a board member at shape security. He serves as Board Member at Mimic.</t>
  </si>
  <si>
    <t>tschlein@kleinerperkins.com</t>
  </si>
  <si>
    <t>50766-94P</t>
  </si>
  <si>
    <t>Wen Hsieh Ph.D</t>
  </si>
  <si>
    <t>Wen</t>
  </si>
  <si>
    <t>Hsieh</t>
  </si>
  <si>
    <t>Dr. Wen Hsieh is a Founding Managing Partner of Matter Venture Partners. Dr. Hsieh serves as Advisor at Kleiner Perkins. He serves as Board Member at CesiumAstro and Qumulo. He also serves as a Board Member at Lightforce. He was an associate principal at McKinsey &amp; Company San Francisco and a leader of McKinsey's Asia semiconductor practice. During his five years at McKinsey, he focused primarily on serving leading companies across the global semiconductor value chain. His secondary focus at McKinsey was on the North American biopharma sector. Earlier in his career, he founded OnChip Technologies, a startup developing MEMS microfluidic biochips. OnChip's target market was high-sensitivity and high-throughput peptide separation and identification applications. He earned a B.S. with honors, an M.S., and a Ph.D. in electrical engineering, plus a Ph.D. minor in biology, all from the California Institute of Technology</t>
  </si>
  <si>
    <t>whsieh@mattervp.com</t>
  </si>
  <si>
    <t>Koa Labs</t>
  </si>
  <si>
    <t>363747-16P</t>
  </si>
  <si>
    <t>Laura Sceppa</t>
  </si>
  <si>
    <t>Sceppa</t>
  </si>
  <si>
    <t>Mr. Laura Sceppa serves as Head of Finance and Operations at Koa Labs.</t>
  </si>
  <si>
    <t>+1 (617) 834-3287</t>
  </si>
  <si>
    <t>laura.sceppa@koalab.com</t>
  </si>
  <si>
    <t>975 Memorial Drive</t>
  </si>
  <si>
    <t>Head of Finance and Operations</t>
  </si>
  <si>
    <t>51667-48P</t>
  </si>
  <si>
    <t>Bradley Razook</t>
  </si>
  <si>
    <t>Razook</t>
  </si>
  <si>
    <t>Koch</t>
  </si>
  <si>
    <t>Mr. Bradley Razook serves as Chief Executive Officer of Resources, Executive Vice President &amp; Board Member at Koch. He served as the Chief Executive Officer &amp; President at Flint Hills Resources. He holds a bachelor's degree in business administration from Kansas State University in Manhattan.</t>
  </si>
  <si>
    <t>Wichita</t>
  </si>
  <si>
    <t>Wichita, KS</t>
  </si>
  <si>
    <t>PO Box 2256</t>
  </si>
  <si>
    <t>67201-2256</t>
  </si>
  <si>
    <t>Chief Executive Officer of Resources, Executive Vice President &amp; Board Member</t>
  </si>
  <si>
    <t>388648-45P</t>
  </si>
  <si>
    <t>Cara Chennault-Reid</t>
  </si>
  <si>
    <t>Chennault-Reid</t>
  </si>
  <si>
    <t>Ms. Cara Chennault-Reid serves as Vice President, Human Resources at Koch. She served as Chief Operating Officer, Human Resources Director &amp; Vice President of Human Resources &amp; HR Solutions at Koch.</t>
  </si>
  <si>
    <t>cara.chennaultreid@kochind.com</t>
  </si>
  <si>
    <t>Vice President, Human Resources</t>
  </si>
  <si>
    <t>37213-21P</t>
  </si>
  <si>
    <t>Charles Koch</t>
  </si>
  <si>
    <t>Mr. Charles Koch serves as Chairman of the Knowledge and Progress Fund. He serves as Chairman and Chief Executive Officer at the Charles Koch Foundation. He serves as Co-Chief Executive Officer &amp; Chairman of the Board at Koch. He was also a Co-Founder of 1888 Investments. He served as the Chairman and CEO at Koch Genesis. Since then, the company has been transformed into a dynamic and diverse group of companies employing more than 100,000 people worldwide, with about 60,000 of those in the United States, and a presence in about 60 countries. Since 2003, Koch Companies have invested about $80 billion in acquisitions and other capital expenditures. Based in Wichita, Kan., Koch Industries is involved in refining, chemicals, biofuels, and ingredients; forest and consumer products; fertilizers; polymers and fibers; process and pollution control equipment and technologies; electronic components; commodity trading; minerals; energy; ranching; glass; and investments. From January 2009 to the present, Koch Companies have earned more than 1,000 awards for safety, environmental excellence, community stewardship, innovation, and customer service. Familiar Koch companies' brands include STAINMASTER carpet, LYCRA fiber, Quilted Northern tissue, and the Dixie brand of cups, plates, and cutlery. Much of Koch Industries' success can be traced to His interest in and commitment to scientific and social progress, which led to the development and implementation of the Market-Based Management business philosophy. He has written two books about MBM: "The Science of Success," published in 2007 by John Wiley &amp; Sons, Inc., and "Good Profit," published in 2015 by Crown Business. "Good Profit" explains how any organization - including nonprofits - can apply the principles of MBM in a way that enables it to succeed by benefiting society as a whole. He is further developing the theories and expanding the practice of MBM, as well as other applications of the science of human action, not only throughout Koch companies but also with scholars, non-profit leaders, government officials, and other business leaders. He has continuously supported academic and public policy research (including several Nobel Prize winners) for 50 years, with a special focus on developing voluntary, market-based solutions to social problems. He received a bachelor's degree in general engineering (1957) and two master's degrees in nuclear and chemical engineering (1958 and 1959, respectively) from the Massachusetts Institute of Technology.</t>
  </si>
  <si>
    <t>+1 (703) 875-1600</t>
  </si>
  <si>
    <t>charles.koch@kochind.com</t>
  </si>
  <si>
    <t>4201 Wilson Boulevard</t>
  </si>
  <si>
    <t>Suite 0800</t>
  </si>
  <si>
    <t>22203</t>
  </si>
  <si>
    <t>+1 (703) 875-1601</t>
  </si>
  <si>
    <t>Chairman and Chief Executive Officer</t>
  </si>
  <si>
    <t>Charles Koch Foundation</t>
  </si>
  <si>
    <t>184958-83P</t>
  </si>
  <si>
    <t>Chase Koch</t>
  </si>
  <si>
    <t>Board Member &amp; Executive Vice President</t>
  </si>
  <si>
    <t>Mr. Chase Koch is the Founder &amp; serves as a Chief Executive Officer at Koch Disruptive Technologies. He serves as Executive Vice President of Origination and Partnerships &amp; Board Member at Koch Industries.</t>
  </si>
  <si>
    <t>koch@kochdisruptivetechnologies.com</t>
  </si>
  <si>
    <t>4111 East 37th Street North</t>
  </si>
  <si>
    <t>Koch Disruptive Technologies</t>
  </si>
  <si>
    <t>37213-39P</t>
  </si>
  <si>
    <t>David Robertson</t>
  </si>
  <si>
    <t>Chief Executive Officer &amp; Vice Chairman</t>
  </si>
  <si>
    <t>Mr. David Robertson serves as Co-Chief Executive Officer &amp; Vice Chairman of the Board at Koch. He served as President, Chief Operating Officer &amp; Board Member at Koch Industries. He previously served as Executive Vice President of Koch Industries. He also serves on the boards of Georgia-Pacific Equity Holdings, LLC, Flint Hills Resources, LLC, Molex Electronic Technologies Holdings, LLC, INVISTA B.V., and Koch Chemical Technology Group, LLC, all of which are subsidiaries of Koch Industries. He began his career with Koch Companies in 1984 and has led several Koch companies. He is the past president of Flint Hills Resources, Koch Petroleum Group, Koch Beef Company, and Koch Agriculture Company. He earned a bachelor's degree in business administration and marketing from Emporia State University, in Emporia, Kansas. He also serves on the boards of Georgia-Pacific Equity Holdings, LLC, Molex Electronic Technologies Holdings, LLC, and INVISTA B.V., all of which are subsidiaries of Koch Industries.</t>
  </si>
  <si>
    <t>david.robertson@kochind.com</t>
  </si>
  <si>
    <t>Co-Chief Executive Officer &amp; Vice Chairman</t>
  </si>
  <si>
    <t>352644-76P</t>
  </si>
  <si>
    <t>Gabriel Green</t>
  </si>
  <si>
    <t>Mr. Gabriel Green serves as Chief Information Security Officer at Koch Industries.</t>
  </si>
  <si>
    <t>189299-71P</t>
  </si>
  <si>
    <t>Jacob Francis</t>
  </si>
  <si>
    <t>Mr. Jacob Francis serves as President, Koch Real Estate Investments at Koch Industries. Mr. Jake Francis served as Managing Director, Real Estate Investments at Koch Industries.</t>
  </si>
  <si>
    <t>jake.francis@kochind.com</t>
  </si>
  <si>
    <t>President, Koch Real Estate Investments</t>
  </si>
  <si>
    <t>190155-52P</t>
  </si>
  <si>
    <t>James Hannan</t>
  </si>
  <si>
    <t>Hannan</t>
  </si>
  <si>
    <t>Mr. James Hannan serves as President, Chief Operating Officer &amp; Board Member at Koch. He serves on the boards of Koch and several other Koch subsidiaries. He served as executive vice president and CEO of Enterprises for Koch, overseeing Georgia-Pacific, Infor, Molex, Koch Engineered Solutions and Koch Investment Companies as well as Koch Communications and Marketing, Koch Logistics and Koch Public Affairs. His career with Koch began in 1998 in Koch Mineral Services where he was chief financial officer prior to being named president of INVISTA Intermediates in 2004. He joined Georgia-Pacific in 2005 as chief administrative officer and was promoted to CEO and president in 2007. In that role, he led one of the world's leading manufacturers and marketers of tissue, packaging, pulp, paper, cellulose, nonwovens, building products and related chemicals. He attended California State University-East Bay and earned a bachelor's degree in business administration with a concentration in accounting.</t>
  </si>
  <si>
    <t>jim.hannan@kochind.com</t>
  </si>
  <si>
    <t>President, Chief Operating Officer &amp; Board Member</t>
  </si>
  <si>
    <t>347721-13P</t>
  </si>
  <si>
    <t>Kenton Criser</t>
  </si>
  <si>
    <t>Kenton</t>
  </si>
  <si>
    <t>Criser</t>
  </si>
  <si>
    <t>Mr. Kenton Criser serves as Director, Investments at Koch. Mr. Criser serves as Board Member at PQ Group Holdings (Performance Chemicals Business). He has a BS Degree in Finance and Agricultural Economics from Oklahoma State University.</t>
  </si>
  <si>
    <t>+1 (316) 828-7284</t>
  </si>
  <si>
    <t>kenton.criser@kochind.com</t>
  </si>
  <si>
    <t>80690-05P</t>
  </si>
  <si>
    <t>Michael Mikalsky</t>
  </si>
  <si>
    <t>Mikalsky</t>
  </si>
  <si>
    <t>Mr. Michael Mikalsky serves as Managing Director, Koch Asset Management at Koch Industries.</t>
  </si>
  <si>
    <t>+1 (480) 419-8225</t>
  </si>
  <si>
    <t>michael.mikalsky@kochind.com</t>
  </si>
  <si>
    <t>+1 (480) 419-3630</t>
  </si>
  <si>
    <t>Managing Director, Koch Asset Management</t>
  </si>
  <si>
    <t>51959-98P</t>
  </si>
  <si>
    <t>Nicholas Hoffman JD</t>
  </si>
  <si>
    <t>Mr. Nicholas Hoffman serves as Associate General Counsel - Mergers &amp; Acquisitions, Venture Capital at Koch Industries. Mr. Nicholas Hoffman served as Associate at Stinson. He is an associate in the firm's Corporate Finance Division and advises both public and private companies with respect to securities laws, mergers and acquisitions, capital markets, corporate governance and a variety of other corporate and transactional matters.</t>
  </si>
  <si>
    <t>+1 (816) 691-2466</t>
  </si>
  <si>
    <t>Associate General Counsel - Mergers &amp; Acquisitions, Venture Capital</t>
  </si>
  <si>
    <t>352644-04P</t>
  </si>
  <si>
    <t>Paul Krebs</t>
  </si>
  <si>
    <t>Krebs</t>
  </si>
  <si>
    <t>Mr. Paul Krebs serves as CIO &amp; Chief Transformation Officer at Koch.</t>
  </si>
  <si>
    <t>paul.krebs@kochind.com</t>
  </si>
  <si>
    <t>130906-54P</t>
  </si>
  <si>
    <t>Randall Bushman</t>
  </si>
  <si>
    <t>Randall</t>
  </si>
  <si>
    <t>Bushman</t>
  </si>
  <si>
    <t>Mr. Randall Bushman serves as Chief Investment Officer at Koch Industries. He serves as Pension Executive, Direct Filing Entity at Koch Companies Defined Benefit Master Trust.</t>
  </si>
  <si>
    <t>randy.bushman@kochind.com</t>
  </si>
  <si>
    <t>130645-99P</t>
  </si>
  <si>
    <t>Richard Dinkel</t>
  </si>
  <si>
    <t>Dinkel</t>
  </si>
  <si>
    <t>Mr. Richard Dinkel serves as Chief Financial Officer, Executive Vice President &amp; Board Member at Koch. As the chief financial officer, he has responsibility for Koch's finance functions including accounting, tax, treasury, risk, and IT in addition to Koch's Global Services group.</t>
  </si>
  <si>
    <t>richard.dinkel@kochind.com</t>
  </si>
  <si>
    <t>Chief Financial Officer, Executive Vice President &amp; Board Member</t>
  </si>
  <si>
    <t>65229-22P</t>
  </si>
  <si>
    <t>Richard Fink</t>
  </si>
  <si>
    <t>Mr. Richard Fink serves as Board Member &amp; Executive Officer at Koch. Mr. Fink served as Director at Fred C. and Mary R. Koch Foundation.</t>
  </si>
  <si>
    <t>130647-97P</t>
  </si>
  <si>
    <t>Steven Feilmeier</t>
  </si>
  <si>
    <t>Feilmeier</t>
  </si>
  <si>
    <t>Mr. Steven Feilmeier serves as Chief Financial Officer &amp; Executive Vice President at Koch. Mr. Feilmeier served as a Board Member at 1888 Management. As Chief Financial Officer, he oversees Koch Industries' global financial network and serves on the company's business development board. In addition, he works closely with other business leaders to capture potential opportunities that best fit Koch Industries' capabilities and vision. He also serves on the boards of these Koch Industries subsidiaries: Georgia-Pacific Equity Holdings; Koch Chemical Technology Group, LLC; Koch Asset Management, LLC, which is responsible for various Koch company's pension investments; and Molex Electronic Technologies Holdings. He began his career with Koch Companies in 1997 as the controller for Koch Chemical Group. He later served as vice president of tax, accounting, and finance for Koch Industries and was responsible for controller operations, tax, treasury, cash management, and mergers and acquisitions. He was also vice president and controller for KoSa, a Koch Industries subsidiary that was combined with INVISTA in 2004. He earned a master's degree in accounting from Wichita State University and is a certified public accountant. He is Chairman of the board of Catholic Charities of South Central Kansas and a member of the Wichita State University Foundation board of directors.</t>
  </si>
  <si>
    <t>96865-48P</t>
  </si>
  <si>
    <t>Walter Malone</t>
  </si>
  <si>
    <t>Malone</t>
  </si>
  <si>
    <t>Mr. Walter Malone serves as Vice President at Koch Industries. He also serves as Plan Sponsor at Koch Industries Employees' Pension Plan.</t>
  </si>
  <si>
    <t>15046-30P</t>
  </si>
  <si>
    <t>Bonnie Choruby</t>
  </si>
  <si>
    <t>Bonnie</t>
  </si>
  <si>
    <t>Choruby</t>
  </si>
  <si>
    <t>Kohler</t>
  </si>
  <si>
    <t>Ms. Bonnie Choruby serves as President, Luxury and Wellness Brands at Kohler. Ms. Choruby served as a Senior Vice President, Merchandising at Hanna Andersson. Previously she served as a VP Marketing and Merchandising at Rejuvenation, Williams-Sonoma Inc. She completed her BBA in Marketing and Management from Texas A&amp;M University, College Station in the year 1987.</t>
  </si>
  <si>
    <t>+1 (920) 457-4441</t>
  </si>
  <si>
    <t>bonnie.choruby@kohler.com</t>
  </si>
  <si>
    <t>Kohler, WI</t>
  </si>
  <si>
    <t>444 Highland Drive</t>
  </si>
  <si>
    <t>53044</t>
  </si>
  <si>
    <t>President, Luxury and Wellness Brands</t>
  </si>
  <si>
    <t>232626-70P</t>
  </si>
  <si>
    <t>Brian Melka</t>
  </si>
  <si>
    <t>Melka</t>
  </si>
  <si>
    <t>Mr. Brian Melka serves as Chief Executive Officer, Kohler Energy at Kohler. He joined Kohler in 2013 as vice president - of Kohler Engines Americas, where he delivered the best run of profitable growth in the history of the engines business, according to the company. His most recent position in the company was as president - Engines, since February 2019, where he oversaw leadership of the global engines business which includes Engines Americas, Engines China, and Engines EMEA, and executed strategic plans for both gasoline and diesel markets. Prior to Kohler, he held senior leadership roles with Rexnord and Textron and is also a Six Sigma Master Black Belt.</t>
  </si>
  <si>
    <t>brian.melka@kohlercompany.com</t>
  </si>
  <si>
    <t>Chief Executive Officer, Kohler Energy</t>
  </si>
  <si>
    <t>422243-29P</t>
  </si>
  <si>
    <t>Conor Douglass</t>
  </si>
  <si>
    <t>Mr. Conor Douglass serves as Director, Mergers &amp; Acquisitions at Kohler.</t>
  </si>
  <si>
    <t>conor.douglass@kohler.com</t>
  </si>
  <si>
    <t>Director, Mergers &amp; Acquisitions</t>
  </si>
  <si>
    <t>383100-76P</t>
  </si>
  <si>
    <t>Craig Baker</t>
  </si>
  <si>
    <t>Mr. Craig Baker serves as Chief Innovation Officer at Kohler. He is responsible for industry-leading product design and innovation, as well as overseeing Kohler's Kitchen &amp; Bath Group in the U.K. He is a results-driven leader who previously led the Global Product Innovation organization as Vice President, and he has been acutely focused on advancing the company's Industrial Design and Engineering teams. He joined Kohler Co. in 1997 as a Design Engineer at Mira Showers. He served on the Kohler Mira leadership team for 16 years in a variety of roles including New Product Development Director, Marketing Director, Marketing &amp; Customer Service Director, Deputy Managing Director, and Managing Director. During his long tenure as a member of the senior management team, He developed a passion for delighting the customer along with a deep understanding of what it takes to bring innovative, reliable, award-winning products to market. He graduated from Brunel University London with a bachelor's degree in product design. He sits on the board of the UK Bathroom Manufacturers Association as Vice President and is President-designate for 2024-26.</t>
  </si>
  <si>
    <t>craig.baker@kohler.com</t>
  </si>
  <si>
    <t>Chief Innovation Officer</t>
  </si>
  <si>
    <t>87910-84P</t>
  </si>
  <si>
    <t>Daniel Velicer</t>
  </si>
  <si>
    <t>Velicer</t>
  </si>
  <si>
    <t>Mr. Daniel Velicer serves as Senior Advisor - Total Rewards at Kohler.</t>
  </si>
  <si>
    <t>daniel.velicer@kohler.com</t>
  </si>
  <si>
    <t>Senior Advisor - Total Rewards</t>
  </si>
  <si>
    <t>64839-70P</t>
  </si>
  <si>
    <t>David Kohler</t>
  </si>
  <si>
    <t>Mr. David Kohler serves as Chairman &amp; Chief Executive Officer at Kohler. He serves as Board Member at Kohler Energy. He also served as the President of Kohler Corporate Pension. With 25 years of experience with the company, David Kohler became President and Chief Executive Officer of Kohler Co. in June 2015, after serving as President and Chief Operating Officer since 2009. He is the fourth generation of the Kohler family to lead the company since its inception in 1873. David Kohler started at Kohler Co. working in every manufacturing division on the front lines. He rejoined Kohler as Director of fixtures Marketing in 1993 after working at Dayton Hudson Corporation. Since then, he has served in progressive roles including Vice President of Sales, Sector President - of K&amp;B Americas, Group President - of K&amp;B Group, Executive Vice President, and, since 2009, President and COO of Kohler Co.David currently serves on the Board of Directors of the following four organizations: Kohler Co., Interface Inc., Interceramic and the Green Bay Packers. He received his bachelor's degree in political science from Duke University and his master's degree in management from the Kellogg School of Management at Northwestern University. David is also a graduate of the Voyageur Outward Bound School in Ely, Minnesota, and is a past Chairman of the Young Presidents' Organization, Intercontinental Chapter. David and his wife Nina have four children and live in Kohler, Wisconsin. Of golf note, David served as the General Chairman for the 2015 PGA Championship at Whistling Straits, the sixth major championship hosted by Kohler Co. David will also serve as General Chair for the 2020 Ryder Cup at Whistling Straits.</t>
  </si>
  <si>
    <t>david.kohler@kohler.com</t>
  </si>
  <si>
    <t>113499-37P</t>
  </si>
  <si>
    <t>Delbert Haas</t>
  </si>
  <si>
    <t>Delbert</t>
  </si>
  <si>
    <t>Haas</t>
  </si>
  <si>
    <t>Consultant &amp; Vice President</t>
  </si>
  <si>
    <t>Mr. Delbert Haas serves as Vice President &amp; Corporate Controller at Kohler. He holds degree from University of Wisconsin.</t>
  </si>
  <si>
    <t>delbert.haas@kohler.com</t>
  </si>
  <si>
    <t>Vice President &amp; Corporate Controller</t>
  </si>
  <si>
    <t>127146-52P</t>
  </si>
  <si>
    <t>Dick Fotsch</t>
  </si>
  <si>
    <t>Fotsch</t>
  </si>
  <si>
    <t>Mr. Dick Fotsch serves as President, Global Power Group at Kohler.</t>
  </si>
  <si>
    <t>dick.fotsch@kohler.com</t>
  </si>
  <si>
    <t>President, Global Power Group</t>
  </si>
  <si>
    <t>383103-46P</t>
  </si>
  <si>
    <t>Ginger King</t>
  </si>
  <si>
    <t>Ginger</t>
  </si>
  <si>
    <t>Ms. Ginger King serves as Chief Human Resources Officer at Kohler. She is leading all aspects of HR for Kohler's global workforce of 40,000 associates, from recruitment and development to engagement and total rewards. Together with her team of HR experts, she is redefining leadership and talent practices to create an engaging and inclusive workplace environment, making Kohler a destination for the world's best talent. She joined Kohler Co. in 2001 and progressed through human resources positions in Kitchen &amp; Bath Americas. She also spent five years with Ariens Co. in the roles of Vice President - Human Resources and Group President - Ariens Specialty Brands, where she modernized the HR function and gained P&amp;L leadership experience. She returned to Kohler Co. in 2018 as Director - Corporate Human Resources and in 2019 was promoted to Vice President - Enterprise Human Resources, which expanded her scope to include multiple global HR teams. In 2021, She became Vice President - Human Resources, Kitchen &amp; Bath Group and in 2023, was appointed to Senior Vice President - Human Resources. She earned a bachelor's degree in business administration from the University of Wisconsin - Whitewater and an MBA from the University of Wisconsin - Milwaukee. She is a graduate of the Wharton Executive Education's Chief Human Resources Officer Program from the University of Pennsylvania.</t>
  </si>
  <si>
    <t>ginger.king@kohler.com</t>
  </si>
  <si>
    <t>392878-27P</t>
  </si>
  <si>
    <t>Heath Holtz</t>
  </si>
  <si>
    <t>Holtz</t>
  </si>
  <si>
    <t>Mr. Heath Holtz serves as Chief Operations &amp; Supply Chain Officer at Kohler. He oversees Environmental Health and Safety and operations support functions, such as quality, advanced manufacturing, automation, and the Kohler Operating System management team. Heath brings more than 25 years of procurement, manufacturing, operations, and supply chain experience. He joined Kohler Co. from Target Corporation, where he was Senior Vice President, Global Supply Chain, and Logistics Operations, responsible for the brand's replenishment, fulfillment networks, and logistics spanning over 50 sites. Prior to Target, Heath held executive leadership roles at Nissan North America and Nissan Motor in operations roles where he worked abroad in the United Kingdom and Japan. Early career experience includes Dell Inc. and the United States Air Force. Heath holds bachelor's and master's degrees in operations research from the United States Air Force Academy and Georgia Institute of Technology, respectively, and a master's degree in engineering systems and MBA from Massachusetts Institute of Technology.</t>
  </si>
  <si>
    <t>heath.holtz@kohler.com</t>
  </si>
  <si>
    <t>Chief Operations &amp; Supply Chain Officer</t>
  </si>
  <si>
    <t>89225-83P</t>
  </si>
  <si>
    <t>Kathy Lulloff</t>
  </si>
  <si>
    <t>Lulloff</t>
  </si>
  <si>
    <t>Ms. Kathy Lulloff serves as Senior Stock Analyst at Kohler.</t>
  </si>
  <si>
    <t>kathy.lulloff@kohler.com</t>
  </si>
  <si>
    <t>Senior Stock Analyst</t>
  </si>
  <si>
    <t>331399-09P</t>
  </si>
  <si>
    <t>Laura Kohler</t>
  </si>
  <si>
    <t>Ms. Laura Kohler serves as Chief Sustainable Living Officer at Kohler. For over three decades, she has held leadership roles at Kohler Co., contributing to marketing, HR, sustainability, and global expansion. She led initiatives in employee well-being, ESG reporting, and environmental programs, and currently serves as Chief Sustainability and DEI Officer. Her work spans stewardship, water access, and innovation, earning multiple awards. She also holds board positions across education, conservation, and the arts, and has been recognized for her leadership and service. She completed her bachelor's from Duke University and her master's from Catholic University of America and remains active in global sustainability and education initiatives.</t>
  </si>
  <si>
    <t>lkohler@kohlercompany.com</t>
  </si>
  <si>
    <t>Chief Sustainable Living Officer</t>
  </si>
  <si>
    <t>407802-88P</t>
  </si>
  <si>
    <t>Megan Belcher</t>
  </si>
  <si>
    <t>Belcher</t>
  </si>
  <si>
    <t>Ms. Megan Belcher serves as Chief Legal Officer &amp; Corporate Secretary at Kohler.</t>
  </si>
  <si>
    <t>megan.belcher@kohlercompany.com</t>
  </si>
  <si>
    <t>236782-18P</t>
  </si>
  <si>
    <t>Paul Ryan</t>
  </si>
  <si>
    <t>Mr. Paul Ryan serves as Chief Digital Officer at Kohler. He has over 25 years of experience driving transformational organization and technology strategies for companies like PepsiCo and, most recently, Mars, Inc. Prior to joining Kohler, He served as Vice President and Global Chief Information Officer for the Wrigley division of Mars. He holds a bachelor's degree in business administration and computer information systems from Bryant University in Rhode Island. Along with his team, He is focused on Kohler's digital transformation, including go-to-market and e-commerce, connected products, operations, and supply chain, data and analytics, and associate experience. He has over 30 years of experience driving organization and technology transformations for companies like PepsiCo and Mars, Inc. Prior to joining Kohler, He served as Vice President and Global Chief Information Officer for the Wrigley division of Mars. He holds a bachelor's degree in business administration and computer information systems from Bryant University in Rhode Island.</t>
  </si>
  <si>
    <t>paul.ryan@kohler.com</t>
  </si>
  <si>
    <t>227085-67P</t>
  </si>
  <si>
    <t>Rich Doyle</t>
  </si>
  <si>
    <t>Mr. Rich Doyle serves as Chief Financial Officer at Grande Cheese Company. He also serves as Chief financial Officer at Kohler. He was appointed Chief Financial Officer (CFO) in April 2025. In this role, he oversees Kohler's financial strategy, operations, and performance. He leads all financial and strategy functions, including financial planning and analysis, accounting, treasury, tax, risk management, capital allocation, mergers and acquisitions, strategy, and global shared services. He is a global leader who brings more than 20 years of experience with cross-functional success across corporate finance, strategy, marketing, supply chain, manufacturing, and business process transformation. He is a member of the Kohler Leadership Team, reporting to Chair and CEO David Kohler. Most recently, he was the CFO at Grande Cheese Company where he led the development of long-term enterprise strategy, financial operations and business planning, and human resources. Prior to Grande Cheese Company, he spent 18 years with General Mills, progressing from the Financial Leadership Development program into positions of greater complexity. He holds a bachelor of science degree from the United States Naval Academy and a master of business administration from Harvard Business School.</t>
  </si>
  <si>
    <t>rich.doyle@kohler.com</t>
  </si>
  <si>
    <t>98866-27P</t>
  </si>
  <si>
    <t>Reinout Van Lennep</t>
  </si>
  <si>
    <t>Reinout</t>
  </si>
  <si>
    <t>Van Lennep</t>
  </si>
  <si>
    <t>Kohli Ventures</t>
  </si>
  <si>
    <t>Mr. Reinout Van Lennep serves as Board Advisor at Kohli Ventures. Mr. Van Lennep served as a Board Member at WMPartners Wealth Management. He is recognized for his exceptional banking experience and has held several senior positions throughout his career. He is based in Zurich and is an independent advisor to ultra-high-net-worth families (UHNW) around the world and specializes in finance, wealth management, and family governance. It is this specialist knowledge that makes him an ideal addition to the Kohli Ventures team. Before becoming an independent advisor in January 2012, he was Managing Director at ABN AMRO Bank and responsible for its global international private banking business from 1995 to 2004, followed by seven years as senior banker to ultra-high net worth families in Western and Eastern Europe, Asia, and Latin America. Before that, he was Vice President at JP Morgan and worked at the company for 11 years in Amsterdam and London. His career has always been dedicated to the field of banking and finance. Initially, as a certified credit analyst at Chase Manhattan Bank in New York, he was promoted to Vice President at JP Morgan in Amsterdam and London. After joining ABN AMRO Bank in 1989, he advanced to become deputy CEO in Hong Kong and then CEO in Taiwan, UK, and Switzerland and was a member of several boards in that group. Over the past 10 years, he has focused more on family governance and next-generation issues and has been a regular speaker on such issues. He currently serves on several corporate and family foundation boards in Europe and Asia and advises families in not only those regions but also in Argentina and the US. He has pursued a Master's in Law from Leiden University. He studied at the University of Leiden in the Netherlands where he obtained his master's degree in Law. He then studied Russian in the Dutch Military Intelligence.</t>
  </si>
  <si>
    <t>+44 (0)20 3434 4777</t>
  </si>
  <si>
    <t>Grand Cayman, United Kingdom</t>
  </si>
  <si>
    <t>2nd Floor, Regatta Office Park</t>
  </si>
  <si>
    <t>Leeward 2, West Bay Road</t>
  </si>
  <si>
    <t>Board Advisor</t>
  </si>
  <si>
    <t>98867-62P</t>
  </si>
  <si>
    <t>Richard Howarth</t>
  </si>
  <si>
    <t>Howarth</t>
  </si>
  <si>
    <t>Mr. Richard Howarth serves as a Board Advisor at Kohli Ventures. He is a highly qualified banking professional. He has spent 34 years in the industry working in senior management positions for Barclays and Standard Chartered. As a member of the Kohli Ventures' management team, he brings a wealth of financial knowledge and a great deal of business experience from Africa. In addition to his role at Kohli Ventures, he set up an African Private Office in July 2012 to offer the benefit of his experience in Africa and the Financial Services industry to private individuals, businesses and professional firms. The company helps parties to establish and manage their relationships with private banks and other financial institutions. Prior to setting up his own business, he worked at Standard Chartered where he helped to plan and develop an African Private Banking business. During his time at the bank, he was the Market Leader for Africa and responsible for individual client management. In 1996, he began building a book of high-net-worth clients in West Africa, routinely travelling to the continent on a frequent basis. He assumed leadership of Barclays' Private Banking team for Africa which allowed him to travel to and understand all of the major Anglophone markets in Sub-Saharan Africa. He ended his career at Barclays as Head of their African Private Banking business. In this role, he travelled to Angola, Benin, Botswana, Cameroon, Ghana, Kenya, Mauritius, Nigeria, Sao Tome and Principe, Seychelles, South Africa, Tanzania, Togo, Uganda and Zambia. The first 31 years of his career were with Barclays, where he began his career on the shop floor in the domestic corporate market and then quickly progressed onto Barclays' Management Development Programme whilst studying for his professional banking qualifications. After that, he moved on to running the international corporate business at the bank's Northumberland Avenue International Branch. It was in this role that he first travelled to Africa and his love for the continent began. He has strong connections throughout the financial services industry. He is an Associate of the Chartered Institute of Financial Services and holds a Financial Studies Diploma qualification.</t>
  </si>
  <si>
    <t>84153-79P</t>
  </si>
  <si>
    <t>Tej Kohli</t>
  </si>
  <si>
    <t>Tej</t>
  </si>
  <si>
    <t>Mr. Tej Kohli is a Founder and serves as Chairman at Kohli Ventures. He co-founded Elegant Technology. He serves as an Adviser to the Board at Cascade Global. He is an investor in growth-stage ventures that focus on machine learning, robotics, smart sensors, and other related technologies in the artificial intelligence economy. He is also one of Europe's biggest individual investors in the global esports megatrend. His most recent investments include over $100m committed to the 'Rewired' investment fund, which encompasses a robotics-focused venture studio and also an esports venture fund. He made his initial fortune between 1999 and 2006 when he built a global payment gateway business in Costa Rica that grew exponentially by serving high-risk industries thanks to its proprietary fraud protection software. The company also engaged in the acquisition, turnaround, and sale of a portfolio of online gaming properties. He exited the company following its sale in 2006 and focused on building the 'Zibel' real estate portfolio which holds premium commercial real estate assets and owns residential units and towers across India, South East Asia, the UAE, and Europe. He also started investing in high-growth ventures and opportunities, culminating in the formation of the Kohli Ventures investment vehicle in 2010. He seeks to make impact investments that can have a humanitarian as well as a commercial impact. He has completed a B.Tech (Bachelor of Technology) in Electrical Engineering from the Indian Institute of Technology.</t>
  </si>
  <si>
    <t>tej@kohliventures.com</t>
  </si>
  <si>
    <t>263371-42P</t>
  </si>
  <si>
    <t>Casper Pieper</t>
  </si>
  <si>
    <t>Casper</t>
  </si>
  <si>
    <t>Koninklijke Vopak</t>
  </si>
  <si>
    <t>Mr. Casper Pieper serves as Director of Commercial &amp; Business Development for Global LNG at Vopak. He also serves as a Board Member at Tepsa. He is an independent consultant and has extensive experience in the energy and logistics sector, notably during his 25-year career at Vopak, a leading international liquid and gas storage and infrastructure company. During his time at Vopak, he served in numerous business development and operational leadership roles, including most recently as head of LNG terminals, and he led many of Vopak's diversification efforts into LNG, CCUS, and new energies. He has a master's degree in business science from the University of Groningen.</t>
  </si>
  <si>
    <t>+31 (0)10 400 2911</t>
  </si>
  <si>
    <t>casper.pieper@vopak.com</t>
  </si>
  <si>
    <t>PO Box 863</t>
  </si>
  <si>
    <t>3000 AW</t>
  </si>
  <si>
    <t>+31 (0)10 413 9829</t>
  </si>
  <si>
    <t>Director of Commercial &amp; Business Development Global LNG</t>
  </si>
  <si>
    <t>263366-92P</t>
  </si>
  <si>
    <t>Dick Richelle</t>
  </si>
  <si>
    <t>Mr. Dick Richelle serves as Chief Executive Officer and Chairman at Vopak. He served as Global Director, Commercial &amp; Business Development and President at Vopak.</t>
  </si>
  <si>
    <t>dick.richelle@vopak.com</t>
  </si>
  <si>
    <t>417077-83P</t>
  </si>
  <si>
    <t>Eric van Neerbos</t>
  </si>
  <si>
    <t>van Neerbos</t>
  </si>
  <si>
    <t>Mr. Eric van Neerbos serves as Senior Vice President - Strategy &amp; Markets at Koninklijke Vopak.</t>
  </si>
  <si>
    <t>eric.vanneerbos@vopak.com</t>
  </si>
  <si>
    <t>Senior Vice President - Strategy &amp; Markets</t>
  </si>
  <si>
    <t>263366-38P</t>
  </si>
  <si>
    <t>Fatjona Topciu</t>
  </si>
  <si>
    <t>Fatjona</t>
  </si>
  <si>
    <t>Topciu</t>
  </si>
  <si>
    <t>Ms. Fatjona Topciu serves as Manager &amp; Head of Investor Relations at Vopak.</t>
  </si>
  <si>
    <t>+31 (0)10 400 2776</t>
  </si>
  <si>
    <t>fatjona.topciu@vopak.com</t>
  </si>
  <si>
    <t>263367-82P</t>
  </si>
  <si>
    <t>Heidi Herzog</t>
  </si>
  <si>
    <t>Herzog</t>
  </si>
  <si>
    <t>Ms. Heidi Herzog serves as Director, Commercial and Business Development Americas at Vopak.</t>
  </si>
  <si>
    <t>heidi.herzog@vopak.com</t>
  </si>
  <si>
    <t>Director, Commercial and Business Development Americas</t>
  </si>
  <si>
    <t>57782-17P</t>
  </si>
  <si>
    <t>Jan Bert Schutrops</t>
  </si>
  <si>
    <t>Bert Schutrops</t>
  </si>
  <si>
    <t>Mr. Jan Bert Schutrops serves as a President Vopak Netherlands at Koninklijke Vopak. Previously, he served as a President Chemicals EMEA at Vopak.</t>
  </si>
  <si>
    <t>jan.bert.schutrops@vopak.com</t>
  </si>
  <si>
    <t>Director, Operations &amp; Technology</t>
  </si>
  <si>
    <t>454886-11P</t>
  </si>
  <si>
    <t>Lars Schaumann</t>
  </si>
  <si>
    <t>Schaumann</t>
  </si>
  <si>
    <t>377694-19P</t>
  </si>
  <si>
    <t>Leo Brand</t>
  </si>
  <si>
    <t>Brand</t>
  </si>
  <si>
    <t>Board Member &amp; Chief Information Officer</t>
  </si>
  <si>
    <t>Mr. Leo Brand serves as Chief Information Officer &amp; Board Member at Vopak. He also serves as Chairman at Vopak Ventures. He has been Chief Information Officer (CIO) at Koninklijke Vopak N.V., the world's largest independent tank storage service provider, since 2014. As CIO, he oversees the digital transformation at Vopak and is also the founder and chair of the Vopak Venture Board, through which the group invests in new technologies and sustainable innovations. Prior to this, he held commercial and management positions at Swisscom, Kearney Management Consultants and KLM. He is also a Supervisory Board member of the family-owned Autobinck Group and chair of the Supervisory Board of Innovation Quarter, Zuid-Holland's regional development agency.</t>
  </si>
  <si>
    <t>leo.brand@vopak.com</t>
  </si>
  <si>
    <t>Chief Information Officer &amp; Board Member</t>
  </si>
  <si>
    <t>263369-35P</t>
  </si>
  <si>
    <t>Maarten Smeets</t>
  </si>
  <si>
    <t>Smeets</t>
  </si>
  <si>
    <t>Mr. Maarten Smeets serves as Director Commercial &amp; Business Development, Europe &amp; Africa at Vopak.</t>
  </si>
  <si>
    <t>maarten.smeets@vopak.com</t>
  </si>
  <si>
    <t>Director Commercial &amp; Business Development, Europe &amp; Africa</t>
  </si>
  <si>
    <t>274879-18P</t>
  </si>
  <si>
    <t>Marcel Kar</t>
  </si>
  <si>
    <t>Kar</t>
  </si>
  <si>
    <t>Mr. Marcel Kar serves as Global Director, New Energies at Vopak.</t>
  </si>
  <si>
    <t>marcel.van.de.kar@vopak.com</t>
  </si>
  <si>
    <t>Global Director, New Energies</t>
  </si>
  <si>
    <t>263369-98P</t>
  </si>
  <si>
    <t>Marina Surzhenko</t>
  </si>
  <si>
    <t>Surzhenko</t>
  </si>
  <si>
    <t>Ms. Marina Surzhenko serves as Commercial, Business Development and Energy Transition Director at Vopak.</t>
  </si>
  <si>
    <t>marina.surzhenko@vopak.com</t>
  </si>
  <si>
    <t>Commercial, Business Development and Energy Transition Director</t>
  </si>
  <si>
    <t>417078-46P</t>
  </si>
  <si>
    <t>Martijn Krijgsman</t>
  </si>
  <si>
    <t>Mr. Martijn Krijgsman serves as Manager, Investor Relations at Koninklijke Vopak.</t>
  </si>
  <si>
    <t>martijn.krijgsman@vopak.com</t>
  </si>
  <si>
    <t>285179-86P</t>
  </si>
  <si>
    <t>Michiel Gilsing</t>
  </si>
  <si>
    <t>Michiel</t>
  </si>
  <si>
    <t>Gilsing</t>
  </si>
  <si>
    <t>Mr. Michiel Gilsing serves as Chief Financial Officer at Vopak.</t>
  </si>
  <si>
    <t>+31 (0)10 400 2510</t>
  </si>
  <si>
    <t>michiel.gilsing@ing.nl</t>
  </si>
  <si>
    <t>263370-79P</t>
  </si>
  <si>
    <t>Peng Chen</t>
  </si>
  <si>
    <t>Mr. Peng Chen serves as Director, Business Development and Commercial, China &amp; North Asia at Vopak.</t>
  </si>
  <si>
    <t>peng.chen@vopak.com</t>
  </si>
  <si>
    <t>Director, Business Development and Commercial, China &amp; North Asia</t>
  </si>
  <si>
    <t>377696-62P</t>
  </si>
  <si>
    <t>Sjoerd Ewalds</t>
  </si>
  <si>
    <t>Ewalds</t>
  </si>
  <si>
    <t>Mr. Sjoerd Ewalds serves as Head of Mergers and Acquisitions at Vopak. He previously served as Mergers and Acquisitions Manager at Vopak, Manager Business Control for Marketing and Sales at KPN, Senior Manager Mergers and Acquisitions at KPN, Strategy of Mergers and Acquisitions at Eneco and Manager of KPMG US. He studied Masters in Economics from Erasmus University Rotterdam.</t>
  </si>
  <si>
    <t>sjoerd.ewalds@vopak.com</t>
  </si>
  <si>
    <t>Head of Mergers and Acquisitions</t>
  </si>
  <si>
    <t>91329-85P</t>
  </si>
  <si>
    <t>Carlos Gutierrez</t>
  </si>
  <si>
    <t>Larta Institute</t>
  </si>
  <si>
    <t>Mr. Carlos Gutierrez serves as Chief Development Officer at Larta Institute. He oversees all aspects of client and partner development and strategic positioning of the organization. He is responsible for initiating, securing, and growing client relationships and alliances in the U.S. and around the world to build Larta's network and stature as a leading innovation hub. He also develops initial program content/design and contributes to ensuring the successful execution of client initiatives in the areas of technology commercialization, technology transfer, and advisory services related to innovation policy and technology-led economic development. He has a B.S. degree in Marketing and Business Administration from Cal State University, Northridge, and an MBA from the Marshall School of Business at the University of Southern California (USC).</t>
  </si>
  <si>
    <t>+1 (213) 694-2826</t>
  </si>
  <si>
    <t>cgutierrez@larta.org</t>
  </si>
  <si>
    <t>1149 South Hill Street</t>
  </si>
  <si>
    <t>90015</t>
  </si>
  <si>
    <t>228161-98P</t>
  </si>
  <si>
    <t>David Berokoff</t>
  </si>
  <si>
    <t>Berokoff</t>
  </si>
  <si>
    <t>Mr. David Berokoff serves as Director, CleanTech &amp; Energy at Larta Institute.</t>
  </si>
  <si>
    <t>dberokoff@larta.org</t>
  </si>
  <si>
    <t>Director, CleanTech &amp; Energy</t>
  </si>
  <si>
    <t>48180-07P</t>
  </si>
  <si>
    <t>Rohit Shukla</t>
  </si>
  <si>
    <t>Mr. Rohit Shukla is the Founder and serves as Chief Executive Officer &amp; Board Member at Larta Institute. He also serves as a Board Member at BioscienceLA. He is an established thought leader and respected practitioner on innovation, commercialization, and enterprise and technology-led economic development. He has advised governments, multilateral organizations, communities, and enterprises throughout the world, creating initiatives that expand entrepreneurship, promote commercialization, and enhance the competitiveness of regions across many parts of the globe. In founding and growing Larta Institute to institutionalize the work he has pioneered, he has developed a reputation and expertise in the commercialization of innovations emerging from government-funded initiatives, research institutes, universities, and larger companies in the private sector. He holds a Master's in Social and Political Sciences and Communications from the University of Cambridge &amp; Loyola Marymount University &amp; a BA in Politics, Philosophy &amp; Economics from the University of Mumbai.</t>
  </si>
  <si>
    <t>rohit.shukla@larta.org</t>
  </si>
  <si>
    <t>112392-82P</t>
  </si>
  <si>
    <t>Sunil Maulik Ph.D</t>
  </si>
  <si>
    <t>Sunil</t>
  </si>
  <si>
    <t>Maulik</t>
  </si>
  <si>
    <t>Dr. Sunil Maulik serves as Partner at AZCA. Dr. Maulik serves as an Advisor at CrowdSmart. He also serves as Principal Advise at Larta Institute, The Hive &amp; Lundquist Institute. He serves as a Managing Partner of SunilM1. He served as Vice President of Marketing at People Power Company. He has over twenty-five years of experience in Silicon Valley. He specializes in sales2.0 and marketing2.0 and teaches workshops on product design for long-term behavior change in the technology industry. He has been at five startups (two IPOs, two acquisitions, and one spectacular failure.). He has been at five startups (two IPOs, two acquisitions, and one spectacular failure.) He spent the last four years as Director and Advisor at Innovation Center Denmark and at Designit, a Danish design services firm with offices in 13 countries. He has guest-lectured at the d-school (Stanford), Haas (U.C. Berkeley), and at the University of Amsterdam (THNQ.) He is an advisor to List.ly, KpnCook, BrainAid, and AlphaPoint. He has held management positions at Pangea Systems, Tripos (NASDAQ: TRPS), Hoffmann-La Roche (NYSE: ROCHE), Oxford Molecular (LSE: OXMOL), and IntelliGenetics. His thesis research on mathematical methods for 3-D image reconstruction of self-assembling biological macromolecular assemblies was published on the cover of the scientific journal Nature. His book "Molecular Biotechnology" (J. Wiley &amp; Sons) sold over 4000 copies and was used in four university courses. He holds patents in fields as diverse as gene sequence pattern-matching, e-learning, and e-mail analytics. He worked with the Nobel-prize winners Maurice Wilkins and Aaron Klug as an undergraduate, and Sir Tom Blundell and Donald Caspar as a graduate student. He holds degrees in Physics (B.Sc.), Biology (B.Sc.), X-ray Crystallography (M.Sc.), and Biophysics (Ph.D.)</t>
  </si>
  <si>
    <t>+1 (650) 324-9100</t>
  </si>
  <si>
    <t>smaulik@azcainc.com</t>
  </si>
  <si>
    <t>Suite 120</t>
  </si>
  <si>
    <t>AZCA</t>
  </si>
  <si>
    <t>228159-10P</t>
  </si>
  <si>
    <t>Frances Ball</t>
  </si>
  <si>
    <t>Frances</t>
  </si>
  <si>
    <t>Launch Alaska</t>
  </si>
  <si>
    <t>Ms. Frances Ball serves as Chief Operating Officer at Launch Alaska. Prior to joining Launch Alaska, she was a member of the Campus Design Team at Google, where she helped design their new headquarters in California with an eye to innovation and efficiency. She holds a B.S. in Atmosphere and Energy Engineering from Stanford University and is a Leadership in Energy and Environmental Design (LEED) Accredited Professional. She sits on the Renewable Energy Alaska Project board of directors.</t>
  </si>
  <si>
    <t>+1 (907) 308-7211</t>
  </si>
  <si>
    <t>frances@launchalaska.com</t>
  </si>
  <si>
    <t>Anchorage</t>
  </si>
  <si>
    <t>Anchorage, AK</t>
  </si>
  <si>
    <t>721 Depot Drive</t>
  </si>
  <si>
    <t>Alaska</t>
  </si>
  <si>
    <t>99501</t>
  </si>
  <si>
    <t>216094-87P</t>
  </si>
  <si>
    <t>Isaac Vanderburg</t>
  </si>
  <si>
    <t>Vanderburg</t>
  </si>
  <si>
    <t>Mr. Isaac Vanderburg serves as Chief Executive Officer at Launch Alaska. He is a Founding Board Member of Earthshot Ventures. In his first six years at Launch Alaska, Isaac led the organization to more than 10x growth in their annual operating budget, and grew their portfolio to more than 30 high-growth climate tech startups. Isaac has managed two early stage investment funds, and in late 2021 was a founding board member of Earthshot Ventures, a $65 million climate tech VC fund - the first fund of its kind in Alaska. He completed the Energy Executive Leadership Program at the National Renewable Energy Lab (NREL) in Golden, CO as well the Energy Innovation and Emerging Technologies program at Stanford. He sits on the Board of Commonwealth North, Greenstand.org, SXSW Pitch, and led the Energy &amp; Energy Efficiency subcommittee and the Carbon Pricing subcommittee of Alaska's Climate Action Leadership Team under former Alaska Governor Bill Walker. In 2019 Isaac offered testimony on the role of Energy Innovation to the U.S. Senate Committee on Energy and Natural Resources.</t>
  </si>
  <si>
    <t>isaac@launchalaska.com</t>
  </si>
  <si>
    <t>316274-68P</t>
  </si>
  <si>
    <t>Ashley Currie</t>
  </si>
  <si>
    <t>Launch Tennessee</t>
  </si>
  <si>
    <t>Ms. Ashley Currie is the Founder and serves as Chief Executive Officer &amp; Editor at Urbaanite. She serves as Marketing &amp; Communications Director at Launch Tennessee.</t>
  </si>
  <si>
    <t>+1 (615) 784-8310</t>
  </si>
  <si>
    <t>1831 12th Avenue South</t>
  </si>
  <si>
    <t>Suite 124</t>
  </si>
  <si>
    <t>37203</t>
  </si>
  <si>
    <t>Founder, Chief Executive Officer &amp; Editor</t>
  </si>
  <si>
    <t>Urbaanite</t>
  </si>
  <si>
    <t>324620-11P</t>
  </si>
  <si>
    <t>Eller Kelliher</t>
  </si>
  <si>
    <t>Eller</t>
  </si>
  <si>
    <t>Kelliher</t>
  </si>
  <si>
    <t>Ms. Eller Kelliher serves as Chief Investment Officer at Launch Tennessee. She serves as Chief Investment Officer at InvestTN. She serves as a Venture Advisor at SeedToB Capital. She is an accomplished healthcare venture investor with over seven years of experience managing early-stage venture funds. Before joining SeedToB, She served as the Managing Director of Jumpstart Foundry. Over the years, she has invested in hundreds of healthcare startups and actively advises founders in the areas of business operations, fundraising, go-to-market strategy, and team development. She received her Bachelor of Science degree in Biology from Dickinson College.</t>
  </si>
  <si>
    <t>+1 (423) 290-7773</t>
  </si>
  <si>
    <t>eller@launchtn.org</t>
  </si>
  <si>
    <t>1321 6th Avenue North</t>
  </si>
  <si>
    <t>293338-72P</t>
  </si>
  <si>
    <t>Katherine Reall</t>
  </si>
  <si>
    <t>Reall</t>
  </si>
  <si>
    <t>Ms. Katherine Reall serves as Director of Finance and Administration at Launch Tennessee. Ms. Reall is a Nashville native, receiving her BBA in Accounting from Belmont University. After spending several years in the tax worlds of both public and private accounting, she opened her own CPA firm, with many of her clients becoming some of Nashville's most beloved establishments. During this time, Katherine also served as the CFO for several clients across various industries. She loves combining the 30,000-foot view with systems and processes that allow companies to work smarter. Katherine is a CPA and member of the AICPA and TSCPA. She also serves on the Advisory Board for Restore Small Groups.</t>
  </si>
  <si>
    <t>+1 (615) 991-2809</t>
  </si>
  <si>
    <t>katherine@launchtn.org</t>
  </si>
  <si>
    <t>Director of Finance and Administration</t>
  </si>
  <si>
    <t>201120-13P</t>
  </si>
  <si>
    <t>Khrys Hatch</t>
  </si>
  <si>
    <t>Khrys</t>
  </si>
  <si>
    <t>Hatch</t>
  </si>
  <si>
    <t>Mr. Khrys Hatch serves as Senior Associate at Launch Tennessee. He comes to Launch Tennessee with a unique mix of the collegiate experience. He interned for two summers at Duke University Hospital and is an alumnus of the Bluford Healthcare Leadership Institute. He is also an alumnus of HBCU@SXSW and Spotify's the Opening Act, two nationally competitive technology immersion programs. He finished his college career as a student investor in the HBCU.vc program, interning at Cross Culture Ventures. While at Fisk, he was Founding Vice Chair of the Student Advisory Board, Founding Chair of the Student Government Association Community Outreach Committee and Founding President of a chapter of Curb Creative Connection. In addition, he served as a student advisor on the national committee for Curb Creative Connection and was a 2018 Nashville Entrepreneur Week student volunteer. He is a recipient of the Student Government Association's Emerging Leader Award and the Fisk University Alumni Association's Leadership Award.</t>
  </si>
  <si>
    <t>+1 (615) 915-1376</t>
  </si>
  <si>
    <t>khrys@launchtn.org</t>
  </si>
  <si>
    <t>198290-62P</t>
  </si>
  <si>
    <t>Lindsey Cox</t>
  </si>
  <si>
    <t>Ms. Lindsey Cox serves as Chief Executive Officer at Launch Tennessee. She serves as Chief Executive Officer at InvestTN. She serves as a Board Member at Cumberland Emerging Technologies. She serves as Program Manager, at the Office of Innovation and Entrepreneurship at the U.S. Economic Development Administration. During her tenure at LaunchTN, she reimagined the 36|86 Entrepreneurship Festival into a two-day celebration of startup founders, funders, and partners, which generated national attention for Tennessee's entrepreneurial ecosystem. She also created LaunchTN's government relations team and oversaw the passage and administration of the state's Small Business Innovation Research (SBIR) Matching Program, which to date has deployed $8M of grants into tech-enabled, Tennessee-based companies. She comes to CO.LAB from the U.S. Economic Development Administration's Office of Innovation and Entrepreneurship in Washington, D.C., where she led their signature grant program, Builds to Scale. She spearheaded the agency-wide effort to rebrand and restructure this program, as well as oversaw the $150M+ portfolio of grants to tech-based economic development organizations across the country.</t>
  </si>
  <si>
    <t>lindsey@launchtn.org</t>
  </si>
  <si>
    <t>69368-14P</t>
  </si>
  <si>
    <t>Monique Villa</t>
  </si>
  <si>
    <t>Villa</t>
  </si>
  <si>
    <t>Ms. Monique Villa serves as Chief Investment Officer at Launch Tennessee. She also serves as Program Manager at Network For Teaching Entrepreneurship (NFTE). She served as Executive, Investor Relations Executive at Velos Partners. She served as the Chief of Staff at Core Innovation Capital. She has 8 years of startup experience spanning operations, strategy, and venture capital. Her professional experience to date is nothing short of creative, having closely mentored low-income middle and high-school-age entrepreneurs across Los Angeles, and also collaborating with global leaders. She has proven success in generating big outcomes with a small team on a short timeline by strategically leveraging expansive networks and effectively managing time, human capital, and financial resources alike.</t>
  </si>
  <si>
    <t>+1 (310) 946-0386</t>
  </si>
  <si>
    <t>monique@launchtn.org</t>
  </si>
  <si>
    <t>416273-86P</t>
  </si>
  <si>
    <t>Rory Levine</t>
  </si>
  <si>
    <t>Mr. Rory Levine serves as Vice President of Marketing at Launch Tennessee.</t>
  </si>
  <si>
    <t>rory@launchtn.org</t>
  </si>
  <si>
    <t>Vice President of Marketing</t>
  </si>
  <si>
    <t>99757-36P</t>
  </si>
  <si>
    <t>Clifford Sirlin MD</t>
  </si>
  <si>
    <t>Sirlin</t>
  </si>
  <si>
    <t>LaunchCapital</t>
  </si>
  <si>
    <t>Mr. Clifford Sirlin serves as Managing Partner at LaunchCapital. Dr.Sirlin also serves as a Partner at The Buy Build Fund. He is an Angel Investor. He serves as a Board Observer at Datasembly. Previously, he co-founded MDEnergy and served as its Managing Partner. He is also a Board Member at Qeepsake. For many years, he and Andy have been business partners and co-founded several successful enterprises. He received his law degree from New York University School of Law. While at NYU, he also studied at the Stern School of Business. He earned his BA in History from Colgate University. His accomplishments have been profiled by CNBC; Inc. Magazine; Success Magazine; and Crain's Business. He also is a frequent lecturer at the NYU Stern School of Business.</t>
  </si>
  <si>
    <t>+1 (203) 226-4541</t>
  </si>
  <si>
    <t>csirlin@launchcapital.com</t>
  </si>
  <si>
    <t>1 Marina Park Drive</t>
  </si>
  <si>
    <t>39958-48P</t>
  </si>
  <si>
    <t>Elon Boms</t>
  </si>
  <si>
    <t>Elon</t>
  </si>
  <si>
    <t>Boms</t>
  </si>
  <si>
    <t>Mr. Elon Boms serves as Managing Director at PV Capital Management. Mr. Boms served as Chief Executive Officer &amp; Chairman at Thimble Point Acquisition. He serves as Board Member at Lumicell. He served as a Board Member at Ubiquity. He serves as Chief Executive Officer and chairman at Thimble Point Acquisition II. He is a Co-Founder &amp; serves as Chairman at LaunchCapital. He served as a Mentor at Techstars. He served as a Board Member at Thunder Industries. He also served as a Board Observer at BioRez. He Co-founded LaunchCapital in January 2008 to help entrepreneurs gain quick access to seed capital and mentorship. He has a passion for working with industry disruptors like Arccos, Gelesis, Adimab, Pico Trading, Snap, Spotify, and more. He has taught courses at Yale School of Management on Private Equity and Venture Capital, and on Entrepreneurial Finance. He holds an MBA from Yale School of Management and a BA in Economics from George Washington University. He served as a Board Member at Liquor.com. He co-founded and served as Board member at SSD2.</t>
  </si>
  <si>
    <t>elon@pvfamilyoffice.com</t>
  </si>
  <si>
    <t>New Haven</t>
  </si>
  <si>
    <t>New Haven, CT</t>
  </si>
  <si>
    <t>195 Church Street</t>
  </si>
  <si>
    <t>06510</t>
  </si>
  <si>
    <t>PV Capital Management</t>
  </si>
  <si>
    <t>39838-87P</t>
  </si>
  <si>
    <t>Konstantine Drakonakis</t>
  </si>
  <si>
    <t>Konstantine</t>
  </si>
  <si>
    <t>Drakonakis</t>
  </si>
  <si>
    <t>Mr. Konstantine Drakonakis serves as a Board Member at ClimateHaven. He is the Co-Founder at PCTRx. He serves as a Board Member at 6K. He served as a Portfolio Director at College Street Innovation Fund. He served as a Board Member at 6K and serves as Board Member at CardioPhotonics. He also serves as a Managing Director of Investments at Connecticut Innovations. He serves as a Board Member and Advisor at SRS. He served as a Board Observer of Biorez. He served as an Investment Committee Member at YEI Innovation Fund. Previously, he served as a Board Member at Tear Solutions and Affinimark. He is an experienced early-stage investor focused on proprietary IMPACT technologies. As an "Entrepreneurial Engineer", he gravitates toward technology companies within the software, med-tech, and green-tech markets. He is actively involved in the incubation stage of the entrepreneurial ecosystem and serves as an advisor to CURE's Bioscience Clubhouse, the Entrepreneurship Foundation, and the Donaghue Foundation. Before joining Launch Capital, he was the Manager of New Technology Investments and Infrastructure Development at Connecticut Innovations, Inc., which administered the Connecticut Clean Energy Fund. He oversaw venture-stage equity investments, project finance for beta and alpha-stage prototype technology projects, and clean energy infrastructure development programs for the CCEF. His project and investment experience covers the full range of cleantech technologies. He draws on his experience in environmental management and engineering to evaluate a broad array of technologies and concepts ranging from medical devices to consumer package goods. He holds a Master's in Environmental Management from Yale University and a Civil and Environmental Engineering degree from the University of Vermont. He is a board-certified Professional Engineer and is a member of the National Civil Engineering Honors Society.</t>
  </si>
  <si>
    <t>+1 (617) 492-1700</t>
  </si>
  <si>
    <t>Woodbridge</t>
  </si>
  <si>
    <t>Woodbridge, CT</t>
  </si>
  <si>
    <t>22 Richard Sweet Drive</t>
  </si>
  <si>
    <t>06525</t>
  </si>
  <si>
    <t>PCTRx</t>
  </si>
  <si>
    <t>39959-65P</t>
  </si>
  <si>
    <t>William McCullen</t>
  </si>
  <si>
    <t>McCullen</t>
  </si>
  <si>
    <t>Mr. William McCullen serves as Chief Investment Officer at LaunchCapital. He serves as Board Member at 6K. He also serves as Board Member at Amastan Additive, Cyvl.ai, and Zagster. He is an experienced private investor and operator. Since 2009, he's invested in networking, semiconductor, clean energy, and online markets. Investments include Collaborate.com (acquired by Cisco), Incentive Targeting (acquired by Google), Daily Grommet (acquired by Rakuten), CardStar (acquired by Constant Contact), Carport (acquired by AllScripts), RunKeeper (acquired by ASICS Corporation), and many others. Previously, Mr. McCullen was an equity analyst and held senior-level technical roles at companies such as Sycamore Networks. He began his career as an engineer. Mr. McCullen received his BS and MS degrees in Electrical Engineering from Worcester Polytechnic Institute and an MBA from the MIT Sloan School of Management. He served as a Board Member at Zagster and BoardOnTrack. He serves as a Director at PV Capital Management. He served as Board Member at LightWater.</t>
  </si>
  <si>
    <t>bmccullen@launchcapital.com</t>
  </si>
  <si>
    <t>13830-04P</t>
  </si>
  <si>
    <t>Woody Benson</t>
  </si>
  <si>
    <t>Woody</t>
  </si>
  <si>
    <t>Benson</t>
  </si>
  <si>
    <t>Mr. Woody Benson serves as Venture Partner at LaunchCapital. He serves as Board Member at Sea Machines. Considered a business partner and company builder by his CEOs, Woody's 35-year tech career has been half spent on the operational side (Apple Computer, Sony Corporation, Lotus Development, Shiva Corporation &amp; MCK Communications) and the other half on the investing side (Lazard Technology Partners, Prism VentureWorks and now LaunchCapital). He has been named Mass Telecom CEO of the Year and Top 50 VC by AlwaysOn Media. He has been involved with several IPO stories, including as CEO of MCK Communications and as the first investor and now 14-year Board member in LogMeIn. Woody is also an Executive in Residence at Bentley University and hosts a weekly radio show on Bloomberg discussing Alternative Investing with a focus on Venture Capital. Woody is a native of Swampscott, MA and graduated from Governor Dummer Academy &amp; Bentley University. He served as Board Member at gen.video and Swirl. He served as an Advisor at Sports Innovation Lab. He served as Board Member at Atonomi.</t>
  </si>
  <si>
    <t>wbenson@launchcapital.com</t>
  </si>
  <si>
    <t>302351-14P</t>
  </si>
  <si>
    <t>Gerard Van Swieten</t>
  </si>
  <si>
    <t>Gerard</t>
  </si>
  <si>
    <t>Van Swieten</t>
  </si>
  <si>
    <t>Laursen Van Swieten</t>
  </si>
  <si>
    <t>Mr. Gerard Van Swieten is a Co-Founder of Laursen Van Swieten. He has extensive experience in cross-border trade and investment, growth management, IP protection, contract negotiation, legal structuring, and compliance. Before founding LvS Partners, Mr. van Swieten was a partner at Mandarin Hill Capital and IJK Capital. During his tenure at both Mandarin Hill Capital and IJK Capital, Mr. van Swieten led the China expansion for multiple portfolio companies in solar, healthcare IoT, and media and entertainment sectors. Prior to that, he served as Head of Legal of BRF SA for Asia, Europe, and Africa after having worked as an attorney in Amsterdam at Clifford Chance and in Shanghai at HIL.</t>
  </si>
  <si>
    <t>gerard@lvspartners.com</t>
  </si>
  <si>
    <t>Number 655, Changhua road, Office B5-B6</t>
  </si>
  <si>
    <t>Anken Life, JingAn District</t>
  </si>
  <si>
    <t>282586-06P</t>
  </si>
  <si>
    <t>Nick Laursen</t>
  </si>
  <si>
    <t>Laursen</t>
  </si>
  <si>
    <t>Mr. Nick Laursen is Co-Founder and serves as Chief Executive Officer and Board Member at KAKTI. He is a Co-Founder and serves as Managing Partner at Laursen Van Swieten. He is a Co-Founder and serves as an Executive, Investor Relations at ARTMO. His professional experience encompasses cross-border investment, expansion management, fund management, and finance. He has broad finance industry experience, namely in insurance, boutique investment, bulge bracket investment banking, Chinese multi-family office, and private equity. Before founding LvS Partners, He was a partner at Mandarin Hill Capital as well as IJK Capital. During his tenure at both Mandarin Hill Capital and IJK Capital, He led the China expansion for multiple portfolio companies in industry 4.0, solar, healthcare IoT, and media and entertainment. He also sits on various China Advisory Boards for expansion and growth companies.</t>
  </si>
  <si>
    <t>nick.laursen@kakti.ai</t>
  </si>
  <si>
    <t>Grindsted</t>
  </si>
  <si>
    <t>Grindsted, Denmark</t>
  </si>
  <si>
    <t>Ostergade 16</t>
  </si>
  <si>
    <t>7200</t>
  </si>
  <si>
    <t>KAKTI</t>
  </si>
  <si>
    <t>263035-18P</t>
  </si>
  <si>
    <t>Bhuvana Guruswamy</t>
  </si>
  <si>
    <t>Bhuvana</t>
  </si>
  <si>
    <t>Guruswamy</t>
  </si>
  <si>
    <t>Lavni Ventures</t>
  </si>
  <si>
    <t>Ms. Bhuvana Guruswamy is a Co-Founder and serves as Partner at Lavni Ventures. She has more than 25 years of experience in strategic marketing, product management, market research &amp; analytics in high-tech and consumer segments ranging. She is passionate about helping launch products that promote positive social impact.</t>
  </si>
  <si>
    <t>bguruswamy@lavniventures.com</t>
  </si>
  <si>
    <t>Irving</t>
  </si>
  <si>
    <t>Irving, TX</t>
  </si>
  <si>
    <t>328 Birchwood Way</t>
  </si>
  <si>
    <t>75063</t>
  </si>
  <si>
    <t>165824-29P</t>
  </si>
  <si>
    <t>Joël Kontchou</t>
  </si>
  <si>
    <t>Kontchou</t>
  </si>
  <si>
    <t>Mr. Joël Kontchou serves as Advisor at Lavni Ventures. He is a Senior Energy Industry Leader with 35+ years of experience. He has hands-on management and operations experience in public electrical utility services and across the full spectrum of the upstream oil &amp; gas industry. He is currently Managing Partner at CETD CAMEROUN working in strategic consulting, project management, technical studies, and engineering. Former Chief Executive Officer of Energy of Cameroun SA (Eneo), the leading company in charge of production, and distribution of electricity in Cameroon. Prior to this, he held various positions in Schlumberger working in Bahrain, Egypt, Syria, India, Algeria, Nigeria, Angola, Scotland, France, USA and Congo performing each time at various highest managerial positions in Operations, Human Resources and Marketing. He has completed 5 full marathons and numerous half marathons. He holds an MSc in Electro-Mechanics from Ecole Nationale Supérieure Polytechnique in Yaoundé - Cameroon and has also attended numerous professional development courses.</t>
  </si>
  <si>
    <t>86323-87P</t>
  </si>
  <si>
    <t>Krishna Shivram</t>
  </si>
  <si>
    <t>Shivram</t>
  </si>
  <si>
    <t>Mr. Krishna Shivram is a Co-Founder &amp; serves as Partner at Lavni Ventures. Mr. Krishna Shivram serve as Board Member at Ranger Energy Services. He serves as the Chief Executive Officer at Sentinel Energy Services. He served as Chief Executive Officer at Weatherford International. Mr. Shivram served as Co-Chief Financial Officer and Executive Vice President at Weatherford International. Krishna Shivram has served as a member of our board of directors since May 2017. Mr. Shivram served as the Executive Vice President and Chief Financial Officer of Weatherford International plc from November 2013 to November 2016, and as interim Chief Executive Officer of Weatherford International plc from November 2016 to March 2017, subsequent to which he evaluated potential opportunities prior to joining us. Immediately prior to joining Weatherford, Mr. Shivram served as Vice President and Treasurer of Schlumberger Ltd. since January 2011. Prior to his serving as Vice President and Treasurer, Mr. Shivram held a number of senior management positions at Schlumberger, including Controller-Drilling Group from May 2010 to January 2011, Manager-Mergers and Acquisitions from May 2009 to April 2010 and Controller-Oilfield Services from August 2006 to April 2009. Mr. Shivram is a Chartered Accountant and we believe that his experience in financial accounting, income taxes and treasury operations, along with a strong background in corporate finance and mergers and acquisitions, bring important and valuable skills to our board of directors.</t>
  </si>
  <si>
    <t>kshivram@lavniventures.com</t>
  </si>
  <si>
    <t>263041-75P</t>
  </si>
  <si>
    <t>Mohanasankar Sivaprakasam Ph.D</t>
  </si>
  <si>
    <t>Mohanasankar</t>
  </si>
  <si>
    <t>Sivaprakasam</t>
  </si>
  <si>
    <t>Dr. Mohanasankar Sivaprakasam serves as Advisor at Lavni Ventures. Dr. Sivaprakasam is a faculty of the Indian Institute of Technology Madras (IITM) in the Department of Electrical Engineering and heads IITM's Healthcare Technology Innovation Centre (HTIC). After his Ph.D. and postdoc stint in US, he returned to India in late 2008 with the goal of developing indigenous medical technologies and set up HTIC in 2011. Since then, HTIC has grown into a unique and leading med-tech innovation ecosystem in the country bringing together around 40 medical institutions, industries, government agencies in developing and deploying affordable healthcare technologies. Five of these technologies have resulted in commercially successful products. Since 2017, HTIC houses a medical technology incubator nurturing over 30 startups in this field. He received the Indian National Academy of Engineering (INAE) Young Engineer Award and IITM's R&amp;D Early Career Award. He has over 200 research publications in leading journals and conferences.</t>
  </si>
  <si>
    <t>Number 110, Prestige Dorchester 103/2</t>
  </si>
  <si>
    <t>Jakkur Village</t>
  </si>
  <si>
    <t>560064</t>
  </si>
  <si>
    <t>263038-06P</t>
  </si>
  <si>
    <t>Narmada Guruswamy</t>
  </si>
  <si>
    <t>Narmada</t>
  </si>
  <si>
    <t>Ms. Narmada Guruswamy serves as International Partner at Lavni Ventures. She has 13 years of experience in data analytics, communication &amp; volunteering. She is the winner of 2018 TechWomen 100 UK award. Currently, she is focused on fraud analytics in a big-four consultancy. Deeply committed to using data science for social benefit.</t>
  </si>
  <si>
    <t>nguruswamy@lavniventures.com</t>
  </si>
  <si>
    <t>International Partner</t>
  </si>
  <si>
    <t>263035-99P</t>
  </si>
  <si>
    <t>Sanjay Kanvinde</t>
  </si>
  <si>
    <t>Kanvinde</t>
  </si>
  <si>
    <t>Mr. Sanjay Kanvinde is a Co-Founder &amp; serves as a General Partner at Lavni Ventures. He serves as Advisor at FlytBase. He holds 23+ years in R&amp;D, business development, and IT management. Currently an angel investor and advisor to several startups, he is active in various social organizations. He has been a speaker at several industry conferences and has an MSEE degree from The University of Texas at Austin, the USA, and a BE degree from the College of Engineering, Pune, India. He is an advisor to Bhau Institute's CyMAKE incubation program for cybersecurity startups and a member of the Institute Innovation Council at the College of Engineering, Pune. He is actively involved in several charities and social organizations. He serves as an Advisor at Blackfrog Technologies. He serves as Advisor at Arishti CyberTech. Sanjay Kanvinde has 23 years' experience in the Energy Industry with Schlumberger. Over different international assignments he worked in the functional areas of Research &amp; Development, Knowledge Management, Business Development, and Corporate IT Management. Sanjay is currently based in Pune and is the Co-founder of Lavni Ventures.</t>
  </si>
  <si>
    <t>sanjay.kanvinde@lavniventures.com</t>
  </si>
  <si>
    <t>Co-Founder &amp; International Partner</t>
  </si>
  <si>
    <t>263039-59P</t>
  </si>
  <si>
    <t>Satish Pai</t>
  </si>
  <si>
    <t>Pai</t>
  </si>
  <si>
    <t>Mr. Satish Pai serves as Advisor at Lavni Ventures. Mr. Satish Pai serves as Board Member at Novelis. Mr. Pai is Managing Director of Hindalco Industries. He took over as the CEO of Hindalco's Aluminium Business in August 2013; his main focus being the ramp-up of the three mega Greenfield projects that took alumina capacity to 2.7 MT and aluminium capacity to 1.3 MT. In February 2014, he was appointed as the Deputy Managing Director of the company and was entrusted with Hindalco's copper business. Mr. Pai became the Managing Director of Hindalco (including the Novelis business) in August 2016. Prior to joining the Aditya Birla Group, Mr. Pai worked with Schlumberger based out of Paris. Over the course of his illustrious career of 28 years with Schlumberger, he held various important positions and was responsible for all aspects of operations for Schlumberger globally. Mr. Pai serves as Director on the boards of Aditya Birla Management Corporation Pvt. Ltd. and ABB, Zurich. He is a life member of the Indian Institute of Metals and is a part of CII's Task Force on China. He holds the position of Vice President and Chairman of the Government Affairs Committee of the Aluminium Association of India.</t>
  </si>
  <si>
    <t>51478-93P</t>
  </si>
  <si>
    <t>Thierry Pilenko</t>
  </si>
  <si>
    <t>Pilenko</t>
  </si>
  <si>
    <t>Mr. Thierry Pilenko is a Co-Founder and serves as a Board Member at P6 Technologies. Mr. Pilenko serves as Partner at Tupper Lake Partners. He serves as Board Member at LanzaTech. He serves as a Board Member at LanzaTech and Valaris. He serves as a Board Observer at DeepIQ. He served as Director at Hercules Offshore. He serves as an Advisor at Lavni Ventures. He serves as a Board Member at Trident Energy Management. He MC plc, a project management and equipment company resulting from the merger of Technip and FMC Technologies. Prior to this Thierry was Chairman and Chief Executive Officer of Technip, a world leader in engineering, technologies and project management for the oil and gas industry. Before joining Technip in 2007, Thierry was Chairman and Chief Executive Officer of Veritas DGC, a seismic services company based in Houston. While at Veritas DGC he successfully managed its merger with Compagnie Générale de Géophysique (CGG). Prior to this appointment, Thierry held various management and executive positions with Schlumberger where he started in 1984 as a Geologist. He held several international positions in Europe, Africa, the Middle East, and Asia before becoming President of Schlumberger-GeoQuest in Houston and subsequently Managing Director of SchlumbergerSema in Paris until 2004. He currently serves as a Non-Executive Director on the boards of Arkema SA, Trident Energy and Rely Solutions. Previously Thierry was a Director of Veritas DGC, CGGVeritas, Technip SA, Peugeot SA, Hercules Offshore, Valaris, TechnipFMC and Ensign Natural Resources. He is the founder of Pil &amp; Co LLC, a consulting firm in strategy and leadership and the co-founder of P6 Technologies, a software platform for carbon lifecycle analysis. Thierry holds Engineering degrees from France's Nancy School of Geology (1981) and the IFP School (1982).</t>
  </si>
  <si>
    <t>+1 (847) 324-2400</t>
  </si>
  <si>
    <t>Skokie</t>
  </si>
  <si>
    <t>Skokie, IL</t>
  </si>
  <si>
    <t>Illinois Science and Technology Park (ISTP), 8045 Lamon Avenue</t>
  </si>
  <si>
    <t>60077</t>
  </si>
  <si>
    <t>LanzaTech</t>
  </si>
  <si>
    <t>218655-82P</t>
  </si>
  <si>
    <t>Vasu Guruswamy</t>
  </si>
  <si>
    <t>Vasu</t>
  </si>
  <si>
    <t>Mr. Vasu Guruswamy is a Co-Founder and serves as Partner at Lavni Ventures. He serves as Venture Partner, CSL Ventures at CSL Capital Management. He serves as Advisor at FlytBase Labs. He has more than 33 years of technical and global business operations experience. He actively mentors several technology startups around the world. He has experience in PE/VC investments in his role as ex-MD and current Venture Partner at CSL capital management.</t>
  </si>
  <si>
    <t>vguruswamy@lavniventures.com</t>
  </si>
  <si>
    <t>316207-72P</t>
  </si>
  <si>
    <t>Venkat Raman</t>
  </si>
  <si>
    <t>Mr. Venkat Raman serves as Managing Director at Aeronics. He serves as International Partner at Lavni Ventures. He holds a Master's in Industrial engineering from University of Rhode Island, Kingston &amp; also completed an Bachelor of Technology in Engineering from NIT, Tiruchirappalli.</t>
  </si>
  <si>
    <t>+91 (0)80 4112 5518</t>
  </si>
  <si>
    <t>raman@aeronics.in</t>
  </si>
  <si>
    <t>85-North, Industrial Suburb II Stage</t>
  </si>
  <si>
    <t>Yeshwanthpur</t>
  </si>
  <si>
    <t>560022</t>
  </si>
  <si>
    <t>Aeronics (Industrial Supplies and Parts)</t>
  </si>
  <si>
    <t>191167-84P</t>
  </si>
  <si>
    <t>Andrew Lee Ph.D</t>
  </si>
  <si>
    <t>LDV Partners</t>
  </si>
  <si>
    <t>Dr. Andrew Lee serves as a General Partner at North South Ventures. He serves as a Venture Partner at LDV Partners. He Co-Founded Spot Biosystems and served as its Chief Executive Officer. Dr. Lee serves as an Executive at StartX. Over 300 US hospitals, 3,500 clinics, and all 10 of the top 10 global pharmaceutical companies are paying customers / co-investors in StartX Med company products. At StartX, he leads verticals in biotechnology, FDA/CLIA-regulated products, and medical/pharma enterprises. He has supported over 350 medical portfolio companies and 40+ FDA approvals in the biotech, med device, and digital health/ AI spaces with $3.5B+ in cumulative funding since 2012. He is also the Founder and Managing Director of StartX-QB3 Labs, a joint medical science and engineering venture between Stanford's StartX and UCSF's QB3 programs. His portfolio companies include Kodiak (Nasdaq: KOD), CAPP Medical (acquired by Roche), Freenome, and Orca Bio. He is also a Y Combinator alumnus, where he co-founded Clipboard Health, a leading healthcare staffing company that works with hospitals across the US. Within the Y Combinator community, he has invested in several seed-stage deals including Curative, one of the fastest-growing COVID-19 screening companies in the US. He has published over 50 peer-reviewed research manuscripts on the use of medical technologies in personalized medicine. His research has been supported by the FDA, Howard Hughes Medical Institute, Stanford Bio-X, the American Heart Association, and a number of the top 10 global pharmaceutical companies. He earned his M.D. and Ph.D. from Stanford University School of Medicine.</t>
  </si>
  <si>
    <t>North South Ventures</t>
  </si>
  <si>
    <t>317007-10P</t>
  </si>
  <si>
    <t>Dionysios Panagiotopoulos Ph.D</t>
  </si>
  <si>
    <t>Dionysios</t>
  </si>
  <si>
    <t>Panagiotopoulos</t>
  </si>
  <si>
    <t>Dr. Dionysios Panagiotopoulos serves as Partner at LDV Partners. He serves as a Board Member at Emvolon and Acumino. He serves as a Board Observer at Familiar Machines. He started his academic studies in computer science at the University of Piraeus in Greece. Later he moved to Michigan where he studied Mechanical Engineering (MSc and PhD) at Oakland University. During his PhD studies, his research focus was in the design of experiments and reliability-based design optimization and he also worked as a development engineer for electric motors at Brose Nort America. After the completion of his PhD studies, he joined FIAT Chrysler Automobiles (FCA) as an optimization specialist where he worked on minimizing the fuel of hybrid vehicles and optimizing the powertrain architecture of fully electric vehicles. Furthermore, he created two classes to share his optimization knowledge with his colleagues at FCA. He graduated in 2022 with an MBA from MIT Sloan and he joined the Venture Capital firm LDV Partners.</t>
  </si>
  <si>
    <t>+1 (650) 307-4747</t>
  </si>
  <si>
    <t>dionysios@ldvpartners.com</t>
  </si>
  <si>
    <t>228 Hamilton Avenue</t>
  </si>
  <si>
    <t>Third Floor</t>
  </si>
  <si>
    <t>291652-21P</t>
  </si>
  <si>
    <t>Eddie Chan</t>
  </si>
  <si>
    <t>Mr. Eddie Chan serves as Partner at LDV Partners. He served as a global partnerships Program Manager at YouTube, developing products and programs to empower the next generation of content creators. Prior to YouTube, he worked on the Product and Operations team around interest-based advertising at Google, focusing on democratizing digital marketing while informing baselines for policy and regulation in the space. He began his Product Management career by building and implementing Affordable Care Act Healthcare Exchanges in Vermont and Hawaii. He earned his M.B.A. from the Kellogg School of Management and his B.S. in Systems Engineering and B.A. in Economics from the University of Pennsylvania. He has also served as a Venture Fellow for various early-stage funds such as K50 Ventures, DigitalDx Ventures, and Muse Capital.</t>
  </si>
  <si>
    <t>eddie@ldvpartners.com</t>
  </si>
  <si>
    <t>364877-29P</t>
  </si>
  <si>
    <t>Li Lin Ph.D</t>
  </si>
  <si>
    <t>Dr. Li Lin serves as Partner at LDV Partners. Prior to LDVP, she was a member at Band of Angels, investing in the area of smart systems, Life sciences and pharmaceutical, energy, and agriculture industry. Prior to Band of Angels, she was Vice President of Engineering of Marvell Semiconductor's Wireless Technologies Business Unit. Prior to Marvell, she worked at Berkana Wireless Inc. (later acquired by Qualcomm Inc.) and Broadcom Corporation. Dr. Lin received M.S. and Ph.D. degrees in Electrical Engineering and Computer Sciences from the University of California at Berkeley in 1996 and 2000, respectively and a graduate of Stanford Executive Program in 2016.</t>
  </si>
  <si>
    <t>li@ldvpartners.com</t>
  </si>
  <si>
    <t>253226-71P</t>
  </si>
  <si>
    <t>Qing Zhang MD</t>
  </si>
  <si>
    <t>Qing</t>
  </si>
  <si>
    <t>Dr. Qing Zhang serves as a Partner at LDV Partners. She serves as a Board Member at ElemindShe serves as a Board Member at Genemod. She is a Founder and CEO of 20Twenty Holdings Limited, a company dedicated to developing health-tech innovations for unmet medical needs. Before founding 20Twenty, she was Vice President at 3E BioVentures, a healthcare venture capital fund based in Boston and Beijing. She spent significant time in both the US and Asia, focusing on early-growth stage investment in biotech, medtech, and digital healthcare. Portfolio companies include Apexigen, Twist Biosciences, Ansun Pharmaceutical, Giant CRO, and N.B. Quadriga, a joint venture drug development company. Before joining 3E, she was responsible for health-tech investments at GSR Ventures. Portfolio companies include Deep6 AI, One Medical Imaging, and Kinsahealth. Before entering the venture industry, she served as a physician at the National Cancer Center of China and Singapore General Hospital. She was the Co-Founder and Medical Director for Ebeecare, a home-based nursing startup based in Singapore, tackling Asian aging problems. She received her M.D. from Peking Union Medical College of Tsinghua University (Beijing) and is an MBA candidate at Columbia University (New York). Trained in oncology research at Broad Institute/Dana-Farber Cancer Institute (Boston). Mentor for Chinese University Hong Kong (Shenzhen), Alchemist Incubator (Bay Area), and Consultant for Johnson &amp; Johnson Labs (Shanghai).</t>
  </si>
  <si>
    <t>qing@ldvpartners.com</t>
  </si>
  <si>
    <t>14085-91P</t>
  </si>
  <si>
    <t>Winston Fu Ph.D</t>
  </si>
  <si>
    <t>Winston</t>
  </si>
  <si>
    <t>Fu</t>
  </si>
  <si>
    <t>Dr. Winston Fu is a Co-Founder and serves as a Partner at LDV Partners. He serves as Vice Chairman at Cepton. He serves as Chief Financial Officer at Active-Semi. He serves as a Board Member at Venti Technologies. He was a Board Member at Kilopass. He served as a Board Member at Qnovo and Cypherpath. He served as a Board Member at CompilerWorks. He brings over two decades as a technology investor and entrepreneur to build winning teams. He is a seasoned entrepreneur, athlete, coach scientist, and technology investor. Entrepreneurs appreciate that his advice and support are based on his experience as a fellow entrepreneur and technologist. Before founding LDV Partners, he served as a General Partner at US Venture Partners for 14 years. He backed industry leaders such as Box (BOX), Brion Technologies (acquired by ASML), Clear Shape Technologies (acquired by Cadence), Guidewire (GWRE), MaxLinear (MXL), Mellanox (MLNX), and New Focus (NUFO). Prior to USVP, he was a founder of Vixel Corporation, where he helped bring Fiber-Channel and Gigabit Ethernet fiber-optic interconnects to market. Vixel (VIXL) made its initial public offering in 1999 and was subsequently acquired by Emulex in 2003. He led Product Marketing at Vixel where he focused Vixel's technology on short-reach fiber-optic communications. He began his venture career as a Kaufman Fellow at US Venture Partners. He earned his MBA from the Kellogg School of Management where he was an Austin Scholar. He holds a Ph.D. in Applied Physics from Stanford University and a BS in Physics from MIT.</t>
  </si>
  <si>
    <t>+1 (650) 854-1000</t>
  </si>
  <si>
    <t>winston@ldvpartners.com</t>
  </si>
  <si>
    <t>+1 (650) 743-6568</t>
  </si>
  <si>
    <t>401247-28P</t>
  </si>
  <si>
    <t>Michael Lake</t>
  </si>
  <si>
    <t>Leading Cities</t>
  </si>
  <si>
    <t>Mr. Michael Lake serves as Chief Executive Officer, President and Board of Director at Leading Cities.</t>
  </si>
  <si>
    <t>+1 (617) 506-3499</t>
  </si>
  <si>
    <t>m.lake@leadingcities.org</t>
  </si>
  <si>
    <t>Chief Executive Officer, President and Board of Director</t>
  </si>
  <si>
    <t>297613-18P</t>
  </si>
  <si>
    <t>Adam McGowan</t>
  </si>
  <si>
    <t>LearnLaunch Fund + Accelerator</t>
  </si>
  <si>
    <t>Mr. Adam McGowan served as Chief Operating Officer at Stackwell. Mr. McGowan serves as Mentor at LearnLaunch Fund + Accelerator.</t>
  </si>
  <si>
    <t>+1 (857) 453-4434</t>
  </si>
  <si>
    <t>+1 (857) 444-8244</t>
  </si>
  <si>
    <t>Stackwell (Former)</t>
  </si>
  <si>
    <t>297613-45P</t>
  </si>
  <si>
    <t>Alex Saltonstall</t>
  </si>
  <si>
    <t>Saltonstall</t>
  </si>
  <si>
    <t>Mr. Alex Saltonstall serves as Chief Executive Officer at Printful.</t>
  </si>
  <si>
    <t>+1 (818) 351-7181</t>
  </si>
  <si>
    <t>alex@printful.com</t>
  </si>
  <si>
    <t>11025 Westlake Drive</t>
  </si>
  <si>
    <t>28273</t>
  </si>
  <si>
    <t>Printful</t>
  </si>
  <si>
    <t>38804-32P</t>
  </si>
  <si>
    <t>Alexander Grodd</t>
  </si>
  <si>
    <t>Grodd</t>
  </si>
  <si>
    <t>Mr. Alexander Grodd co-founded and served as Board Member at BetterLesson. He also serves as Mentor at LearnLaunch Fund + Accelerator. He served as Chief Executive Officer, and President at BetterLesson. He is a Teach For America alum who taught 6th grade English at Roxbury Preparatory Charter School. He founded BetterLesson to address the challenges he faced in the classroom. He has a degree in Political Philosophy from Harvard University in 2004.</t>
  </si>
  <si>
    <t>BetterLesson (Former)</t>
  </si>
  <si>
    <t>297613-63P</t>
  </si>
  <si>
    <t>Alina Aronova</t>
  </si>
  <si>
    <t>Aronova</t>
  </si>
  <si>
    <t>Ms. Alina Aronova serves as Mentor at LearnLaunch Fund + Accelerator.</t>
  </si>
  <si>
    <t>355117-96P</t>
  </si>
  <si>
    <t>Alina von Davier</t>
  </si>
  <si>
    <t>von Davier</t>
  </si>
  <si>
    <t>Ms. Alina von Davier serves as Venture Partner at LearnLaunch Fund + Accelerator.</t>
  </si>
  <si>
    <t>297614-08P</t>
  </si>
  <si>
    <t>Alo Mukerji</t>
  </si>
  <si>
    <t>Alo</t>
  </si>
  <si>
    <t>Mukerji</t>
  </si>
  <si>
    <t>Ms. Alo Mukerji serves as Mentor at LearnLaunch Fund + Accelerator.</t>
  </si>
  <si>
    <t>62947-90P</t>
  </si>
  <si>
    <t>Amar Kumar</t>
  </si>
  <si>
    <t>Mr. Amar Kumar is the Founder &amp; serves as Chief Executive Officer at KaiPod Learning. Mr. Amar Kumar serves as Mentor at Learn Launch Fund + Accelerator. He is the Founder &amp; serves as Chief Executive Officer at Kai Pod Learning. He served as Board Member at Sudiksha. He served as Senior Vice President of Efficacy at Pearson Affordable Learning Fund. He served as a Board Member at Experifun. He works across Sir Michael Barber's Office of the Chief Education Advisor at Pearson, contributing to PALF as well as the Efficacy unit. Amar brings education experience from the developing world, with a particular focus on school-based leadership and operational expertise. Previously, he was working within McKinsey and Company's Education and high-tech practices. Prior to McKinsey, he served as a teacher and principal at a rural school in Bangalore, India.</t>
  </si>
  <si>
    <t>amar@kaipodlearning.com</t>
  </si>
  <si>
    <t>PO Box 610113</t>
  </si>
  <si>
    <t>KaiPod Learning</t>
  </si>
  <si>
    <t>42728-05P</t>
  </si>
  <si>
    <t>Ameeta Soni</t>
  </si>
  <si>
    <t>Ameeta</t>
  </si>
  <si>
    <t>Soni</t>
  </si>
  <si>
    <t>Ms. Ameeta Soni serves as Mentor at Learn Launch Fund + Accelerator. She serves as Investment Committee Member at Maroon Venture Partners. She is a Co-Founder of FitTrace. She also served as Chief Marketing Officer at engage2learn. She serves as Board Member and Advisor at Ompractice. She is the President of Altek Consulting. She co-founded FitTrace. She is also an Angel Investor. She has been instrumental in the success of many new technology ventures. She served as a chief marketing officer at Platform Q Health, Inc., a digital media company focused on the healthcare sector. She also served as VP of Product Marketing and VP of Marketing at Channel Wave Software, a VC-backed provider of PRM software. She is a member of the Edison Ventures Director Network and served on the board of directors of Edison portfolio company, Plum Choice, Inc. She was a charter member of TiE-Boston and chaired the MIT Enterprise Forum of Cambridge. She earned her MBA from the University of Chicago, MS from the University of Massachusetts at Amherst, and BS (Honors) from St. Stephen's College, University of Delhi, India.</t>
  </si>
  <si>
    <t>+1 (323) 484-3484</t>
  </si>
  <si>
    <t>asoni@fittrace.com</t>
  </si>
  <si>
    <t>501 South College Street</t>
  </si>
  <si>
    <t>Suite 123</t>
  </si>
  <si>
    <t>FitTrace</t>
  </si>
  <si>
    <t>255889-54P</t>
  </si>
  <si>
    <t>Amy Baron</t>
  </si>
  <si>
    <t>Ms. Amy Baron serves as Mentor at Learn Launch Fund + Accelerator. She served as Board Member at Lit.</t>
  </si>
  <si>
    <t>amy@learnlaunch.org</t>
  </si>
  <si>
    <t>297616-42P</t>
  </si>
  <si>
    <t>Amy Kwolek</t>
  </si>
  <si>
    <t>Kwolek</t>
  </si>
  <si>
    <t>Mr. Amy Kwolek serves as Mentor at LearnLaunch Fund + Accelerator.</t>
  </si>
  <si>
    <t>204958-63P</t>
  </si>
  <si>
    <t>Andrew Joseph</t>
  </si>
  <si>
    <t>Mr. Andrew Joseph serves as Mentor at LearnLaunch Fund + Accelerator. He served as Chief Executive Officer at School by Design. He serves as a Advisory Board member at EduLab Capital Partners</t>
  </si>
  <si>
    <t>EduLab Capital Partners</t>
  </si>
  <si>
    <t>286699-51P</t>
  </si>
  <si>
    <t>Mr. Andrew Morrison serves as Venture Partner at LearnLaunch Fund + Accelerator. Mr. Morrison served as Chief Executive Officer at Collegewise. He brings broad industry expertise to his work, having served as CEO of several education companies over the past 20 years. He's also the founder and Executive Director of the 1859 Foundation, giving grants to students and young adults to help them overcome financial obstacles blocking them from their education and employment-related goals. He also serves as an advisor to and investor in various other education-related businesses. He holds an MBA in Finance from the University of Chicago and a law degree from the University of California at Berkeley.</t>
  </si>
  <si>
    <t>44289-82P</t>
  </si>
  <si>
    <t>Angelo Santinelli</t>
  </si>
  <si>
    <t>Santinelli</t>
  </si>
  <si>
    <t>Mr. Angelo Santinelli serves as a Mentor at LearnLaunch Fund + Accelerator. Mr. Santinelli serves as Senior Advisor at MediaBridge Capital Advisors. He served as Board Member at Filtered.ai. He has over 20 years of experience covering various disciplines and responsibilities including business development, strategic planning, M&amp;A, IPO, private equity financing, customer service, and all aspects of marketing and international operations. He is a principal and founder of Dakin Management, a strategy consultancy focusing on small to medium-sized businesses. He is a former partner of North Bridge Venture Partners, where he began his investing career covering communications, wireless, software, and Internet infrastructure. Prior to joining North Bridge, he was a senior executive of the Shiva Corporation, a provider of Remote Access Networking products, where he helped lead the company through a successful IPO, several acquisitions, and a rapid growth phase. Before Shiva, he was employed with Boston Consulting Group where he participated in the high-tech practice group, focusing on both business strategy and business process re-engineering for Fortune 500 companies. Additionally, he has served on numerous boards of directors participating in both audit and compensation committees. He is an Adjunct Lecturer at Babson College and Advisor for the John E. and Alice L. Butler Venture Accelerator Program. He served as Board Member at Idiom Technologies.</t>
  </si>
  <si>
    <t>297609-58P</t>
  </si>
  <si>
    <t>Ann Brady</t>
  </si>
  <si>
    <t>Ms. Ann Brady serves as Mentor at LearnLaunch Fund + Accelerator.</t>
  </si>
  <si>
    <t>ann@learnlaunch.org</t>
  </si>
  <si>
    <t>232246-09P</t>
  </si>
  <si>
    <t>Ann Koufman-Frederick</t>
  </si>
  <si>
    <t>Koufman-Frederick</t>
  </si>
  <si>
    <t>Ms. Ann Koufman-Frederick serves as Mentor at Learn Launch Fund + Accelerator. She serves as a Strategic Academic Advisor at LearnLaunch. She served as Advisor at TeachersConnect. She teaches in the Technology, Innovation, and Education program at Harvard Graduate School of Education. She also devotes time to mentoring LearnLaunch tech startups and is a Board member of the Harvard Alumni Association, and Massachusetts ASCD.</t>
  </si>
  <si>
    <t>297620-56P</t>
  </si>
  <si>
    <t>Anna Mae OShea Brooke</t>
  </si>
  <si>
    <t>Anna Mae</t>
  </si>
  <si>
    <t>OShea Brooke</t>
  </si>
  <si>
    <t>Ms. Anna Mae OShea Brooke serves as Mentor at LearnLaunch Fund + Accelerator.</t>
  </si>
  <si>
    <t>345457-81P</t>
  </si>
  <si>
    <t>Auditi Chakravarty</t>
  </si>
  <si>
    <t>Auditi</t>
  </si>
  <si>
    <t>Chakravarty</t>
  </si>
  <si>
    <t>Ms. Auditi Chakravarty serves as Venture Partner at LearnLaunch Fund + Accelerator.</t>
  </si>
  <si>
    <t>297623-17P</t>
  </si>
  <si>
    <t>Balraj Kalsi</t>
  </si>
  <si>
    <t>Balraj</t>
  </si>
  <si>
    <t>Kalsi</t>
  </si>
  <si>
    <t>Mr. Balraj Kalsi serves as Mentor at LearnLaunch Fund + Accelerator.</t>
  </si>
  <si>
    <t>103150-09P</t>
  </si>
  <si>
    <t>Barbara Russell</t>
  </si>
  <si>
    <t>Ms. Barbara Russell serves as Mentor at Learn Launch Fund + Accelerator. He served as Board Member at Op Connect. She served as Financial Advisor at Race Rock Capital. She has over 25 years of experience in investment banking and capital markets, she has raised significant amounts of capital for technology, media/new media, entertainment, and business services companies as well as provided M&amp;A and other advisory services for a myriad of companies. She is a co-founder with Lou Kerner of the Social Internet Fund (SIF), a VC fund focused on social media and internet company private shares. She also served as Managing Director of Institutional Private Equity for National Securities which specializes in raising capital and providing strategic advice for mid-stage and pre-IPO companies in the technology/internet sector. She has provided strategic advice to companies such as TCI, Liberty Media, Comcast, Bertelsmann, Time Warner, and Reuters. She has her Series 7 and 63 registrations with Race Rock.</t>
  </si>
  <si>
    <t>+1 (203) 861-9782</t>
  </si>
  <si>
    <t>104327-29P</t>
  </si>
  <si>
    <t>Ben Kutylo</t>
  </si>
  <si>
    <t>Kutylo</t>
  </si>
  <si>
    <t>Mr. Ben Kutylo serves as Mentor at LearnLaunch Fund + Accelerator. He earned BBA from University of Notre Dame.</t>
  </si>
  <si>
    <t>44186-14P</t>
  </si>
  <si>
    <t>Brad Kayton</t>
  </si>
  <si>
    <t>Kayton</t>
  </si>
  <si>
    <t>Mr. Brad Kayton is a Co-Founder &amp; serves as Board Member at 1World Online. He serves as Mentor at Learn Launch Fund + Accelerator. He served as Active Partner at North Andover Investor Collaborative II. He is a Co-Founder and serves as Chief Operating Officer, Chief Financial Officer &amp; Board Member at Zome. Previously he served as Chief Executive Officer at Zome. He served as Board Member and Co-Chief Financial Officer at Ecellix. He also serves as an Active Partner at Investors Collaborative. He is a Board Member and serves as Chief Financial Officer at Ecellix. He is a seasoned operator and serial entrepreneur who has been working as a financial professional for start-up innovation companies for the last seven years. As an entrepreneur, he co-founded five companies, serving as CEO (and CFO) in three of them, and has been the first angel investor in over a dozen companies. He was an Echols Scholar at the University of Virginia, earning a BA, followed by two graduate degrees (MBA, MA) from the University of Texas at Austin, graduating with honors.</t>
  </si>
  <si>
    <t>+1 (408) 205-5011</t>
  </si>
  <si>
    <t>bkayton@zomepower.com</t>
  </si>
  <si>
    <t>268 Bush Street</t>
  </si>
  <si>
    <t>Suite 3633</t>
  </si>
  <si>
    <t>Co-Founder, Chief Operating Officer, Chief Financial Officer &amp; Board Member</t>
  </si>
  <si>
    <t>Zome Energy Networks</t>
  </si>
  <si>
    <t>297629-92P</t>
  </si>
  <si>
    <t>Carol Ann Moore</t>
  </si>
  <si>
    <t>Ann Moore</t>
  </si>
  <si>
    <t>Ms. Carol Ann Moore serves as Mentor at LearnLaunch Fund + Accelerator.</t>
  </si>
  <si>
    <t>192115-90P</t>
  </si>
  <si>
    <t>Cecilia Frerotte</t>
  </si>
  <si>
    <t>Frerotte</t>
  </si>
  <si>
    <t>Ms. Cecilia Frerotte serves as Mentor at Learn Launch Fund + Accelerator. She is a Principal in Wolf's Commercial Audit Group and has over ten years of experience in public accounting delivering audit services. She has worked with a variety of organizations including start-ups, service businesses, software developers, medical device companies, distributors, franchisees, and not-for-profits. She has also worked in industry at a large foreign-owned biopharmaceutical company which lends a unique perspective to her client relationships have been responsible for financial and benefit plan reporting in that environment. Her experience includes providing internal control and accounting guidance to start-ups, and family-owned and closely-held businesses throughout New England. She is a member of Wolf's Technology Services Team, which provides guidance on accounting for complex debt, equity, and revenue transactions to our technology clients.</t>
  </si>
  <si>
    <t>+1 (617) 261-8186</t>
  </si>
  <si>
    <t>cfrerotte@wolfandco.com</t>
  </si>
  <si>
    <t>255 State Street</t>
  </si>
  <si>
    <t>Wolf &amp; Company</t>
  </si>
  <si>
    <t>43309-36P</t>
  </si>
  <si>
    <t>Charles Fadel</t>
  </si>
  <si>
    <t>Mr. Charles Fadel serves as Mentor at Learn Launch Fund + Accelerator. He served as Member at Beacon Angels. Charles Fadel spent 15 years in ICT (semiconductors and systems). He is a visiting scholar at Harvard GSE and Wharton/UPenn. He is vice-chair of the education committee of BIAC at the OECD and a senior fellow at The Conference Board. He was global education lead at Cisco Systems and liaison with UNESCO and World Bank. He holds a B.S. in electronics/physics with a minor in neuroscience and an M.B.A. in international marketing.</t>
  </si>
  <si>
    <t>297633-61P</t>
  </si>
  <si>
    <t>Charles Lockwood</t>
  </si>
  <si>
    <t>Lockwood</t>
  </si>
  <si>
    <t>Mr. Charles Lockwood serves as Mentor at LearnLaunch Fund + Accelerator. Mr. Lockwood is a Co-Founder and serves as Managing and Creative Director at Ideometry.</t>
  </si>
  <si>
    <t>+1 (508) 397-7151</t>
  </si>
  <si>
    <t>charles.lockwood@ideometry.com</t>
  </si>
  <si>
    <t>Co-Founder, Managing and Creative Director</t>
  </si>
  <si>
    <t>Ideometry</t>
  </si>
  <si>
    <t>297608-68P</t>
  </si>
  <si>
    <t>Colin Magee</t>
  </si>
  <si>
    <t>Magee</t>
  </si>
  <si>
    <t>Mr. Colin Magee serves as Entrepreneur-in-Residence at LearnLaunch Fund + Accelerator.</t>
  </si>
  <si>
    <t>colin@learnlaunch.com</t>
  </si>
  <si>
    <t>174561-49P</t>
  </si>
  <si>
    <t>Eric Cantor</t>
  </si>
  <si>
    <t>Cantor</t>
  </si>
  <si>
    <t>Mr. Eric Cantor serves as Board Member at PresenceLearning. He served as Venture Partner at LearnLaunch Fund + Accelerator. He serves as Board Member and Advisor at Mindprint Learning. He served as President at Kaplan. He also served as President &amp; Chief Executive Officer at Kaplan Professional.</t>
  </si>
  <si>
    <t>+1 (844) 415-4592</t>
  </si>
  <si>
    <t>eric.cantor@presence.com</t>
  </si>
  <si>
    <t>530 Seventh Avenue</t>
  </si>
  <si>
    <t>Suite M1</t>
  </si>
  <si>
    <t>PresenceLearning</t>
  </si>
  <si>
    <t>48922-21P</t>
  </si>
  <si>
    <t>Frederick Townes</t>
  </si>
  <si>
    <t>Townes</t>
  </si>
  <si>
    <t>Mr. Frederick Townes serves as CTO (Fractional) at Cobu. He serves as Chief Operating Officer at Hyperlift. He served as Board Member at Hyperlift. He served as Chief Executive Officer at Remine. He also serves as Venture Partner at LearnLaunch Fund + Accelerator. He served as Chief Product Officer at Ready Education. He is Co-Founder and serves as Chief Technology Officer at NestReady. He has over 15 years of operational leadership from early-stage to late-stage real estate and technology companies, including co-founder and chief technology officer of NestReady, co-founder &amp; chief operating officer of Placester, and founding CTO of Mashable. He has led six businesses to four acquisitions - twice with quarter-billion-dollar enterprise value - and is known for his talent for cultivating strong cultures and generating exponential business growth. Most recently, He served as chief product officer of Ready Education, where he tripled the enterprise value of the edtech company within two years.</t>
  </si>
  <si>
    <t>+1 (516) 375-5507</t>
  </si>
  <si>
    <t>fred@livecobu.com</t>
  </si>
  <si>
    <t>Kingston, MA</t>
  </si>
  <si>
    <t>182 Summer Street</t>
  </si>
  <si>
    <t>Unit Suite 211</t>
  </si>
  <si>
    <t>02364</t>
  </si>
  <si>
    <t>CTO (Fractional)</t>
  </si>
  <si>
    <t>Cobu</t>
  </si>
  <si>
    <t>72344-53P</t>
  </si>
  <si>
    <t>Hakan Satiroglu</t>
  </si>
  <si>
    <t>Satiroglu</t>
  </si>
  <si>
    <t>Mr. Hakan Satiroglu serves as Vice President of strategy at The Glimpse Group. He is a Co-Founder of Mountain Gap Solutions. He served as an Advisor at Cognii. He is the Founder and serves as Chief Executive Officer at XR Terra. He is a Co-Founder of LearnLaunch Fund + Accelerator. He was a Co-Founder and served as a Board Member and Marketing/Product Executive at TeachersConnect. He is an entrepreneur and seasoned executive focused on the transition of business models and processes in the digital age. His expertise includes go-to-market strategy, market positioning, sales channel development, technology product development, building and nurturing productive teams, and new business development. He is an angel investor and an active mentor for startups and entrepreneurs in the Boston area. In 2004, he co-founded and served as the CEO at Xplana Learning, a social learning network that is paving the way for how learning will be enabled in the 21st century. Xplana Learning is the leading personal learning environment that integrates local and commercially published content, student-to-student and faculty-to-student collaboration. In 2009, Xplana Learning was acquired by MBS Textbook Exchange. After the acquisition, he shifted his focus from overseeing operations and driving sales activity to leveraging publisher and institution-wide relationships. He received his BA in Finance and Accounting from Boston University.</t>
  </si>
  <si>
    <t>+1 (917) 292-2685</t>
  </si>
  <si>
    <t>hsatiroglu@glimpsegroup.io</t>
  </si>
  <si>
    <t>15 West 38th Street</t>
  </si>
  <si>
    <t>Vice President, Strategy</t>
  </si>
  <si>
    <t>The Glimpse Group</t>
  </si>
  <si>
    <t>55529-38P</t>
  </si>
  <si>
    <t>Jamie Farrell</t>
  </si>
  <si>
    <t>Farrell</t>
  </si>
  <si>
    <t>Ms. Jamie Farrell serves as Senior Advisor at New Markets Venture Partners. She also serves as a Venture Partner at LearnLaunch Fund + Accelerator. Ms. Farrell serves as Advisor at Knack (Educational Software). She serves as a Board Member at Nearpeer. She served as an Advisor at Vantage Point. She serves as Chief Revenue Officer at Genius Academy. She served as Chief Operating Officer at Sales Impact Academy. She served as Chief Revenue Officer at Emeritus. She co-founded and served as Chief Operating Officer at Edge Pathways. She served as a Board Member at Credly. She served as Chief Revenue Officer at Eruditus Executive Education. She served as Chief Business Officer at Trilogy Education Services. She served as a Board Member and Advisor at LearnerNation. She served as Vice President at General Assembly. She served as Senior Vice President, Global Business Development at 2U. She co-founded &amp; served as Chief Revenue Officer &amp; Chief Operating Officer at Engageli.</t>
  </si>
  <si>
    <t>+1 (561) 912-1843</t>
  </si>
  <si>
    <t>Fulton, MD</t>
  </si>
  <si>
    <t>8161 Maple Lawn Boulevard</t>
  </si>
  <si>
    <t>20759</t>
  </si>
  <si>
    <t>+1 (301) 362-5517</t>
  </si>
  <si>
    <t>New Markets Venture Partners</t>
  </si>
  <si>
    <t>48731-86P</t>
  </si>
  <si>
    <t>Jean Hammond</t>
  </si>
  <si>
    <t>Hammond</t>
  </si>
  <si>
    <t>Ms. Jean Hammond serves as a General Partner at LearnLaunch Fund + Accelerator. She serves as an Advisor at Unruly Studios. She served as a Board Member at Boclips. She serves as a Board Member at Hihilulu. She serves as a Board Observer at Education Modified. She is also the founder of JPH Associates. She served as an Advisor at Pragya Systems and Teachers Connect. She co-founded AXON Networks. She also served as a Board Member at inStream (Business/Productivity Software). She is an active angel investor focusing on early-stage high-tech and high-growth start-ups. She is a member of Hub Angels and Launchpad Venture Group and she is the founder of the Boston Forum of Golden Seeds. She has an active portfolio and has served as a director or advisor with over 30 of the companies within her portfolio. She is a Chinese professor at the famous oriental language education institute INALCO (Institut National des Langues et Civilisations Orientales) in France. She received her MS from MIT Sloan School of Management in 1986 and her BS in Biology from Boston University. She served as a Board Member at Peach. She serves as an Advisor at Mindsets Learning.</t>
  </si>
  <si>
    <t>jean@learnlaunch.com</t>
  </si>
  <si>
    <t>51886-63P</t>
  </si>
  <si>
    <t>Kirby Salerno</t>
  </si>
  <si>
    <t>Salerno</t>
  </si>
  <si>
    <t>Mr. Kirby Salerno serves as Chief Executive Officer at Playbl. Kirby volunteers in his hometown of Needham, MA having served as a board member of the Needham Education Foundation, Noah's Ark Preschool, Co-President of the Pollard Middle School PTO, and as founding board member of TEC Connections Academy, a Commonwealth Virtual School. He's currently a member of the Technical Advisory Council of the Barbara Bush Foundation for Adult Literacy and on the board of the Boston chapter of the American Lung Association. Mr. Kirby Salerno serves as President at Education Modified. He serves as Venture Partner at LearnLaunch Fund + Accelerator. He served as Chief Revenue Officer at Boclips. He served as Chief Revenue Officer at Edmit. Mr. Salerno served as Vice President, Sales at TenMarks. He served as Chief Revenue Officer at Money Experience. Mr. Salerno served as Vice President, Sales at Ten Marks. Mr. Salerno brings a passion for public education reform and 12 years of K-16 education experience to Ten Marks. Prior to joining Ten Marks, he worked with Teach First, a Seattle-based professional development startup and Ever Fi, a DC-based education technology startup. He also co-founded Classroom Window, a national non-profit dedicated to giving teachers a voice in determining what tools, technology and texts are working in their classrooms. He graduated from Middlebury College with a B.A. in Political Science and Spanish.</t>
  </si>
  <si>
    <t>kirby@playbl.com</t>
  </si>
  <si>
    <t>06511</t>
  </si>
  <si>
    <t>Playbl</t>
  </si>
  <si>
    <t>440056-00P</t>
  </si>
  <si>
    <t>Kripa Sundar</t>
  </si>
  <si>
    <t>Kripa</t>
  </si>
  <si>
    <t>Sundar</t>
  </si>
  <si>
    <t>Dr. Kripa Sundar serves as Entrepreneur-in-Residence at LearnLaunch Fund + Accelerator.</t>
  </si>
  <si>
    <t>47310-85P</t>
  </si>
  <si>
    <t>Mark Miller</t>
  </si>
  <si>
    <t>Mr. Mark Miller serves as Managing Partner at Good Harbor Partners. He served as Advisor at Cognii. He is a Co-Founder &amp; serves as Board Member at Learn Launch Fund + Accelerator. He has co-founded, built, and served as CEO or Executive Chairman for leading publishing, technology, and community companies. He serves as a managing partner at Good Harbor Partners, a merchant bank providing consulting and advisory M&amp;A services to ed-tech companies.</t>
  </si>
  <si>
    <t>+1 (617) 823-9303</t>
  </si>
  <si>
    <t>mark@goodharborpartners.com</t>
  </si>
  <si>
    <t>281 Summer Street</t>
  </si>
  <si>
    <t>Good Harbor Partners</t>
  </si>
  <si>
    <t>336083-41P</t>
  </si>
  <si>
    <t>Martin Chaplin</t>
  </si>
  <si>
    <t>Chaplin</t>
  </si>
  <si>
    <t>Mr. Martin Chaplin serves as Venture Scout at LearnLaunch Fund + Accelerator. At LearnLaunch Fund + Accelerator, he leverages his superpower of force-multiplying internal and external collaboration and startup analysis. He is a 2x founder and Program Operator in the field of Education with a passion for scaling impact. Realizing his Potential at Albany State University, an HBCU in South Georgia, he landed at the intersection of Education and innovation. While as an Educator in 2016, he co-wrote Curriculum for Goodie Nation's accelerator Powered by Verizon and Google for Startups. After several years in the classroom and Spending time as an Engineering Education Research fellow at Purdue University, he sought to scale impact in the space through the use of Educational technology, so he founded ImaginED Georgia a community of practice for researchers, Edtech founders, and Educators with the mission to catalyze innovative solutions for marginalized students. During this time, He mobilized a community of 2000+ equity-focused Education Professionals, designed accelerators, and developed strategic plans for 40+ startups that contributed to Millions in funding for diverse founders. His demonstrated skill in strategy, Startup analysis, fundraising, and identifying essential resources led him to work alongside industry-leading innovators including Techstars, Goodie Nation, Turner Miint foundation, AT&amp;T, the National Society for Black Engineers, and the National Science Foundation. He is the Former Chairman of the US Black Chambers Young Entrepreneurs Collaborative, Atlanta Chapter. Young Nonprofit Professionals 30 under 30. HBCUvc Fellow, and founding member of BlckVC, Atlanta Chapter. Now relocated to Boston, he is keeping the same momentum to create an intentional impact as an associate board member for Youth Guidance.</t>
  </si>
  <si>
    <t>+1 (912) 596-6881</t>
  </si>
  <si>
    <t>martin@learnlaunch.com</t>
  </si>
  <si>
    <t>Venture Scout</t>
  </si>
  <si>
    <t>13607-20P</t>
  </si>
  <si>
    <t>Matthew Rubins</t>
  </si>
  <si>
    <t>Rubins</t>
  </si>
  <si>
    <t>Mr. Matthew Rubins serves as General Partner at Learn Launch Fund + Accelerator. He is an Angel Investor. He served as Managing Director &amp; Head, of Program Development &amp; Curriculum at Fullbridge. He sources and works on a variety of transactions in the broadband wireless, ISP, CLEC, enterprise infrastructure, telecom software and IT services industries. Both prior to and after business school, he was a financial analyst and then an Associate in the media and telecommunications groups at Donaldson, Lufkin &amp; Jenrette. In 1996, he joined the Deutsche Morgan Grenfell Technology Group as an Assistant Vice President in the telecommunications and data networking areas. He currently serves on the Board of Directors of HyPerformix, SpeechCycle, and Vertical Communications. He received a BS in applied and engineering physics from Cornell University and an MBA from Harvard Business School.</t>
  </si>
  <si>
    <t>matt@learnlaunch.com</t>
  </si>
  <si>
    <t>213245-56P</t>
  </si>
  <si>
    <t>Richard Varn</t>
  </si>
  <si>
    <t>Varn</t>
  </si>
  <si>
    <t>Mr. Richard Varn serves as Chief Information Officer &amp; Board Member at Jobspeaker. He serves as a Venture Partner at LearnLaunch Fund + Accelerator. He serves as Board Member at Peerceptiv. He has a long history in education and education technology, having managed the ETS Center for Advanced Technology &amp; Neuroscience as well as the ETS Innovation Lab. He served for 9 years as a Distinguished Presidential Appointee and 10 years on the ETS Board of Trustees. Earlier roles included serving as Senior Fellow with the Center for Digital Government and Education in Sacramento, CA, as CIO of the State of Iowa, and as Director of IT Production Services and Instructor at the University of Northern Iowa. Mr. Varn has been a longtime advisor to the LearnLaunch Institute and has consulted with many early-stage companies in the education space.</t>
  </si>
  <si>
    <t>+1 (515) 281-8699</t>
  </si>
  <si>
    <t>richardvarn@jobspeaker.com</t>
  </si>
  <si>
    <t>126 West Portal Avenue</t>
  </si>
  <si>
    <t>94127</t>
  </si>
  <si>
    <t>Chief Information Officer &amp; Strategic Advisor</t>
  </si>
  <si>
    <t>Jobspeaker</t>
  </si>
  <si>
    <t>46505-89P</t>
  </si>
  <si>
    <t>Robert Gleason</t>
  </si>
  <si>
    <t>Mr. Robert Gleason serves as Mentor at LearnLaunch Fund + Accelerator. Mr. Gleason founded and served as President &amp; Chief Executive Officer at Riverton Software. He served as the Chief Executive Officer, President, and a Board Member at Red Tail Solutions. He brings to Red Tail more than 25 years of management experience in a wide range of entrepreneurial high tech businesses offering logistics software, software development tools, Internet consulting services, high-performance networked-based business applications, and supply-chain integration solutions. Prior to Red Tail, he was the founder and CEO of Riverton - a software tools and Internet professional services provider. Before founding Riverton, he was vice president of sales and marketing at Easel Corporation, where he contributed to helping the company achieve a successful public offering in the early '90s. Before Easel, he brought to market one of the industry's first warehouse management systems at Distribution Management Systems, which was subsequently acquired by Cullinet. Early on, he began his high-tech career as a consultant for International Data Corporation. He holds a bachelor's degree in civil engineering from Brown University and a master's degree in business administration from Harvard Business School.</t>
  </si>
  <si>
    <t>78145-84P</t>
  </si>
  <si>
    <t>Robert Mallon</t>
  </si>
  <si>
    <t>Mallon</t>
  </si>
  <si>
    <t>Mr. Robert Mallon serves as Mentor at LearnLaunch Fund + Accelerator. He serves as Director of Product at Zagster. He has also served as the Vice President, Client Services at Modo Labs.</t>
  </si>
  <si>
    <t>440039-17P</t>
  </si>
  <si>
    <t>Sagnik Ghosh</t>
  </si>
  <si>
    <t>Sagnik</t>
  </si>
  <si>
    <t>Ghosh</t>
  </si>
  <si>
    <t>Mr. Sagnik Ghosh serves as Investment Analyst at LearnLaunch Fund + Accelerator.</t>
  </si>
  <si>
    <t>sagnik@learnlaunch.com</t>
  </si>
  <si>
    <t>178224-13P</t>
  </si>
  <si>
    <t>Steve Stalzer</t>
  </si>
  <si>
    <t>Stalzer</t>
  </si>
  <si>
    <t>Mr. Steve Stalzer serves as Entrepreneur-in-Residence at LearnLaunch Fund + Accelerator. Mr. Stalzer served as Vice President, Engineering at Authess.</t>
  </si>
  <si>
    <t>108107-56P</t>
  </si>
  <si>
    <t>Steven Shapiro</t>
  </si>
  <si>
    <t>Mr. Steven Shapiro serves as Venture Partner at LearnLaunch Fund + Accelerator. He served as Chief Executive Officer &amp; Board Member at FineTune. Steve is a serial entrepreneur, three-time founder (in Education, International Travel and Workforce Development) and most recently the CEO of FineTune, a high growth, early-stage EdTech company providing a platform that enables qualitative assessment at scale. He enjoys leveraging many of the lessons learned from his various ventures to help current entrepreneurs streamline their efforts for a successful outcome. Steve is also an angel investor with LaunchPad Venture Group and Cornell Red Bear Angels. Additionally, Steve is heavily involved in a number of endeavors to improve equity in education and workforce.</t>
  </si>
  <si>
    <t>49409-20P</t>
  </si>
  <si>
    <t>Tetyana Astashkina</t>
  </si>
  <si>
    <t>Tetyana</t>
  </si>
  <si>
    <t>Astashkina</t>
  </si>
  <si>
    <t>Ms. Tetyana Astashkina serves as General Partner at LearnLaunch Fund + Accelerator. She also served as Mentor at MassChallenge. She served as Principal at b-to-v Partners. She is responsible for organizing the b-to-v Travel (b-to-v Weeks) and for the expansion of the international network of investors. The international network of b-to-v has more than 1,000 private investors and entrepreneurs from Brazil, USA, China, Israel, India, Turkey and Eastern Europe today. Resulting from the recent b-to-v Weeks investments include eCift and iXiGO. Tetyana studied international relations at the Lviv Ivan Franko University in Ukraine and European Studies at the European University Viadrina in Germany.</t>
  </si>
  <si>
    <t>+1 (617) 356-1357</t>
  </si>
  <si>
    <t>tetyana@learnlaunch.com</t>
  </si>
  <si>
    <t>297611-38P</t>
  </si>
  <si>
    <t>Tiffany Norwood</t>
  </si>
  <si>
    <t>Norwood</t>
  </si>
  <si>
    <t>Ms. Tiffany Norwood serves as Venture Partner at LearnLaunch Fund + Accelerator.</t>
  </si>
  <si>
    <t>114643-09P</t>
  </si>
  <si>
    <t>William Hughes</t>
  </si>
  <si>
    <t>Mr. William Hughes serves as a mentor in Learn Launch Fund + Accelerator. He is a Board Member at Fine Tune. He served as Chief Strategy Officer at Learning Objects. He is president of Open4 Learning, an education-based venture advisory company. He serves as a partner with Milamber Ventures. Mr. Hughes founded and served as Chief Executive Officer at JobReady. Mr. Hughes also serves as Venture Partner at 11 Tribes Ventures. He joined the Education Design Lab as President where he oversees operations, leads new business initiatives, talent development, communications and marketing strategies, and advocates for the Lab's expansive portfolio both internally and with stakeholders. Prior to joining the Lab, he was the founder and CEO of JobReady, formed in 2019 in partnership with the National Education Foundation, with the goal to reach the next million job seekers with world-class career skills training. He launched JobReady as a business of Open4 Learning, an ed tech-focused venture development and advisory firm which served clients ranging from the Times of India to Authess (acquired by Elsevier) to the Global Water Center (eradicating the lack of access to safe water globally). Previously, he was chief strategy Officer at Learning Objects, where he led its growth strategy, resulting in an acquisition by Cengage in 2015 and the migration of Cengage's Ed2Go to the Learning Objects platform. Before that, he was vice president of Global Strategy and Business Development at Pearson, leading innovation, partnerships, and new ventures in postsecondary education. While there, he co-founded Intellus Learning (acquired by Macmillan), launched Pearson Writer (2015 product of the year), and oversaw the transformation of Pearson's learning products into its flagship MyLab platform. Over the past 25 years, Hughes has held leadership positions at Sapient, Mercer, and the Cambridge Innovation Center. In addition, he was a member of the board of trustees of Kaplan University (now Purdue University Global). He currently serves as a board member of Berkshire Bank (NYSE: BHLB). He served as a board member at FineTune. He holds an AB from Harvard and an SM in Management from MIT, where he was a Seley Scholar.</t>
  </si>
  <si>
    <t>+1 (202) 350-9983</t>
  </si>
  <si>
    <t>bhughes@open4learning.com</t>
  </si>
  <si>
    <t>Pittsfield</t>
  </si>
  <si>
    <t>Pittsfield, MA</t>
  </si>
  <si>
    <t>99 North Street</t>
  </si>
  <si>
    <t>01201</t>
  </si>
  <si>
    <t>Berkshire Hills Bancorp</t>
  </si>
  <si>
    <t>29410-75P</t>
  </si>
  <si>
    <t>William Triant</t>
  </si>
  <si>
    <t>Triant</t>
  </si>
  <si>
    <t>Mr. William Triant serves as Mentor at LearnLaunch Fund + Accelerator. He serves as Board Member at Codman Academy Charter Public School. He serves as Board Member at Massachusetts business alliance for education. He served as Advisor at Pearson Affordable Learning Fund. He joined Hart Capital as a Partner in January 2007. Previously, he was an associate at Leeds Equity Partners, a private equity firm focused on the education industry. He has also served as a high school teacher in the Boston Public Schools, where he taught Algebra and Entrepreneurship. During this time, he received a Stride Rite Public Service grant to establish a college preparatory program for Boston Public School students. He received his A.B. from Harvard University and his M.B.A. and M.A. in education from Stanford University.</t>
  </si>
  <si>
    <t>311755-96P</t>
  </si>
  <si>
    <t>Alex Rohregger</t>
  </si>
  <si>
    <t>Rohregger</t>
  </si>
  <si>
    <t>Leitmotif</t>
  </si>
  <si>
    <t>Mr. Alex Rohregger serves as Principal at Leitmotif. He joined the firm in February 2025 and brings expertise in robotics and industrial AI to the firm. Having a technical background and innate curiosity, he excels at partnering with technical founders to help finance, staff, and scale their businesses. He is based in Munich, Germany. Before Leitmotif, he was a Vice President with Picus Capital, where he was instrumental in establishing their investment theses for robotics, AI, software infrastructure, and cybersecurity. He worked with eight portfolio companies across multiple stages during his tenure at Picus Capital. Before becoming an investor, he worked as a freelance engineer for two startups in robotics and automation. His research on novel designs and control methods for bio-inspired robotics was published in Science Robotics. He earned a master's degree in Robotics, Cognition, and Intelligence from Technische Universität München (TUM) and a bachelor's degree in Mechanical Engineering from Karlsruhe Institut für Technologie (KIT). He was also part of the Center for Digital Technology and Management (CDTM).</t>
  </si>
  <si>
    <t>ar@leitmotif.vc</t>
  </si>
  <si>
    <t>382067-11P</t>
  </si>
  <si>
    <t>Benjamin Painter</t>
  </si>
  <si>
    <t>Painter</t>
  </si>
  <si>
    <t>Benjamin Painter serves as Chief Financial Officer at Leitmotif.</t>
  </si>
  <si>
    <t>brp@leitmotif.vc</t>
  </si>
  <si>
    <t>265 Lytton Avenue</t>
  </si>
  <si>
    <t>Suite 302</t>
  </si>
  <si>
    <t>186762-25P</t>
  </si>
  <si>
    <t>Claudius Jablonka Ph.D</t>
  </si>
  <si>
    <t>Claudius</t>
  </si>
  <si>
    <t>Jablonka</t>
  </si>
  <si>
    <t>Mr. Claudius Jablonka serves as General Partner at Leitmotif. He is an experienced investor and operator with a strong track record of identifying and empowering exceptional early-stage founders. For more than a decade, he has created a deep network in the European tech ecosystem that complements Leitmotif's transatlantic operations. He is based in Munich, Germany. Before Leitmotif, He was a Co-Founder and General Partner at 10x Founders, an early-stage venture capital firm that raised €160 million from an extraordinary network of 200 European and US angel investors. During his tenure, 10x Founders invested in 70 startups across Europe and the US, notably Cylib (battery recycling), Ixana (semiconductors), and Magic (AI foundation models). Previously, he established the Munich office of Plug and Play Tech Center, where he led several deep tech and AI investments - including Recogni and Presize.ai - and successfully facilitated open innovation programs with some of Europe's largest corporations. As Chief of Staff at notebooksbilliger.de, one of the most successful e-commerce companies in Germany, he was instrumental in scaling the organization to €800 million in annual revenue. He began his career at the Center for Digital Technology and Management (CDTM), managing an elite entrepreneurship program that included the founders of five unicorn companies - Personio, Razor, Cellares, Trade Republic, and Forto. He continues to be a lecturer and advisor at CDTM. He earned a doctorate in Economics and a Master of Business Research from the Ludwig-Maximilians-Universität München (LMU). He also obtained a Master's degree in Management &amp; Technology, with a minor in Mechanical Engineering, from the Technische Universität München (TUM), during which he spent a semester abroad at UC Berkeley.</t>
  </si>
  <si>
    <t>cj@leitmotif.vc</t>
  </si>
  <si>
    <t>382046-68P</t>
  </si>
  <si>
    <t>Jens Wiese</t>
  </si>
  <si>
    <t>Wiese</t>
  </si>
  <si>
    <t>Mr. Jens Wiese is a Co-Founder and serves as Managing Partner at Leitmotif. He brings over 20 years of transatlantic business and deal-making experience to the firm. His significant investing expertise ranges from later-stage venture capital to multi-billion-dollar mergers and acquisitions. He is a sought-after board member with the proven ability to orchestrate complex international partnerships that drive strategic and financial value. He is based in Palo Alto, California, and also drives substantial business in Europe for Leitmotif. Previously, he served as Head of Corporate Development at Volkswagen Group, where he oversaw several major acquisitions that accelerated the automaker's transition to electric mobility. He was instrumental in developing Volkswagen's battery strategy, spearheading key investments and partnerships with Northvolt and QuantumScape (NYSE: QS). Additionally, he initiated and led the strategic partnership with Ford Motor Company, which focused on electric and light commercial vehicles and has since become one of the largest industrial alliances in the automotive sector. Earlier in his career, he held senior management consulting roles at AlixPartners and Roland Berger, where he specialized in M&amp;A, restructuring, and performance improvement for clients in the automotive and industrial sectors. He earned a master's degree from Ludwig-Maximilians-Universität München and completed an executive management program on disruptive innovation at Harvard Business School.</t>
  </si>
  <si>
    <t>jw@leitmotif.vc</t>
  </si>
  <si>
    <t>Co-Founder and Managing Partner</t>
  </si>
  <si>
    <t>14136-40P</t>
  </si>
  <si>
    <t>Matt Trevithick</t>
  </si>
  <si>
    <t>Trevithick</t>
  </si>
  <si>
    <t>Mr. Matt Trevithick is a Co-Founder and serves as Managing Partner at Leitmotif. He co-founded and served as Investor &amp; Advisor at Phononic. He co-founded Leitmotif in 2023 with Jens Wiese. He served as a Board Member at Fervo Energy. He has diverse experience as an investor, advisor, and operator across a spectrum of technologies, sectors, and stages. Having co-founded two startups that exited profitably, he has tremendous empathy for the entrepreneurial journey and knows what it takes to drive successful outcomes. He especially enjoys working with deep tech founders to demystify the capital planning and fundraising processes necessary to adequately resource their ventures. He is based in Palo Alto, California. Previously, he was a Partner at DCVC focused on later-stage climate tech investments.</t>
  </si>
  <si>
    <t>mdt@leitmotif.vc</t>
  </si>
  <si>
    <t>429625-54P</t>
  </si>
  <si>
    <t>Ryan Bayliss</t>
  </si>
  <si>
    <t>Bayliss</t>
  </si>
  <si>
    <t>Mr. Ryan Bayliss serves as an Operating Partner at Leitmotif. He is an internationally recognized battery expert. With extensive experience in academia and industry, he provides technical depth and commercial judgment in advanced energy storage and circular materials, two significant investment themes for Leitmotif. He is based in Palo Alto, California. Before joining Leitmotif, he was Director of Product Marketing at Sila Nanotechnologies, a silicon anode startup aiming to increase the energy density of electric vehicle batteries. Previously, he was an Innovation Program Manager at Corning. He led teams through full-cycle product development and industrialization of engineered ceramics for clean air applications, contributing to over $1 billion in new business. Before that, he established the battery products group within Corning's Science and Technology Division. In his academic career, he was a Senior Research Fellow at Oxford in the Department of Materials. During that time, he co-founded and secured over $100 million in government funding for The Faraday Institution, the UK's national battery research laboratory. He also spent two years jointly appointed as a Research Assistant Professor at the University of Illinois Chicago and a Joint Center for Energy Storage Research (JCESR) member at Argonne National Laboratory. He holds a PhD in Materials from Imperial College London and a master's and bachelor's degree in Chemistry from the University of Birmingham. He has over 30 peer-reviewed publications and patents with over 1,000 citations.</t>
  </si>
  <si>
    <t>rdb@leitmotif.vc</t>
  </si>
  <si>
    <t>367056-19P</t>
  </si>
  <si>
    <t>Ganesh Rao</t>
  </si>
  <si>
    <t>Ganesh</t>
  </si>
  <si>
    <t>LG Nova</t>
  </si>
  <si>
    <t>Mr. Ganesh Rao serves as Director, Customer Success &amp; Digital Health at LG Nova.</t>
  </si>
  <si>
    <t>ganesh@lgnova.com</t>
  </si>
  <si>
    <t>5150 Great America parkway</t>
  </si>
  <si>
    <t>95054</t>
  </si>
  <si>
    <t>Director, Customer Success &amp; Digital Health</t>
  </si>
  <si>
    <t>59795-83P</t>
  </si>
  <si>
    <t>Sokwoo Rhee Ph.D</t>
  </si>
  <si>
    <t>Sokwoo</t>
  </si>
  <si>
    <t>Rhee</t>
  </si>
  <si>
    <t>Dr. Sokwoo Rhee serves as Head at LG Nova. He is the Corporate Executive Vice President for Innovation at LG Electronics and Head of LG NOVA, a new Silicon Valley-based innovation center. He leads LG Electronics' global innovation projects, new business creation, strategic partnerships, and ecosystem development. Before joining LG, he served as Associate Director for Cyber-Physical Systems (CPS) Innovation at the National Institute of Standards and Technology, U.S. Department of Commerce, covering innovation programs for the Internet of Things (IoT) and Smart Cities. He managed the Global City Teams Challenge (GCTC), a U.S. federal government program to develop a global ecosystem of major business and technology stakeholders to create replicable and scalable IoT/smart city projects. He previously served as a Presidential Innovation Fellow on CPS, a program by the White House. During his tenure, he co-led the SmartAmerica Challenge, which brought together IoT technologies and organizations nationwide to demonstrate how they can collaborate to create technology-based projects with a focus on socio-economic benefits. Before joining the U.S government, he was a co-founder and CTO of Millennial Net, Inc., one of the first organizations to successfully commercialize low-power wireless mesh/sensor networks and IoT technologies from academia. He also worked on wireless medical sensors as a Massachusetts Institute of Technology research associate. He received his M.S. and Ph.D. in Mechanical Engineering from the Massachusetts Institute of Technology.</t>
  </si>
  <si>
    <t>srhee@lgnova.com</t>
  </si>
  <si>
    <t>197296-93P</t>
  </si>
  <si>
    <t>Anshul Agarwal</t>
  </si>
  <si>
    <t>LG Technology Ventures</t>
  </si>
  <si>
    <t>Mr. Anshul Agarwal serves as Managing Director at LG Technology Ventures. Mr. Agarwal served as a Board Observer at Aetion. He served as Board Member at May Mobility. He serves as a Board Member at Venti Technologies, Avegant. He serves as a Board Member at Claroty. Previously, he served as Director, Investments &amp; Business Development at Mitsui &amp; Co. He also serves as a Board Observer at Li Industries. He also served as a Board Member at Cipla Health, Jadu AR, and Aurora Labs. He serves as a Board Observer at Syte, CerebrumX, and Deep Instinct. He has over twenty years of experience as an entrepreneur, operator, and investor in Information Technology and Deep Tech companies. He started his career as a software engineer at Epic System Corp, which he helped transform into the dominant company in the Healthcare IT space. At Epic, he conceived and launched multiple products while rotating between technical and business roles. After stints in the hedge fund and management consulting worlds, he gravitated to venture capital because of his passion for technology. He holds an MBA from the Tuck School of Business at Dartmouth College and a degree in Computer &amp; Management Information Systems from the University of Arizona.</t>
  </si>
  <si>
    <t>+1 (669) 212-6190</t>
  </si>
  <si>
    <t>aagarwal@lgtechventures.com</t>
  </si>
  <si>
    <t>2755 Great America Way</t>
  </si>
  <si>
    <t>Suite Number 425</t>
  </si>
  <si>
    <t>59684-05P</t>
  </si>
  <si>
    <t>Dong-Su Kim Ph.D</t>
  </si>
  <si>
    <t>Dong-Su</t>
  </si>
  <si>
    <t>Dr. Dong-Su Kim serves as Chief Executive Officer at LG Technology Ventures. Dr. Kim served as a Board Member at Reno Sub-Systems. He served as a Board Member at SBA Materials, Panasas, D2S, and Datera. He served as vice president of Samsung Venture Investment. He is a Senior Director at Samsung Ventures America. He covers semiconductors, displays, LEDs, and "emerging" businesses, which include bio and cleantech. He has over fifteen years of investment, strategy, planning, and technology experience. Prior to joining Samsung Ventures, he was a Director of Asia Evolution, an investment bank in Korea covering mid-market financing, private placement, and M&amp;A. Before joining Asia Evolution, he was a Senior Manager in the Technology Strategy Officer at Samsung Electronics where he was responsible for strategic venture investments and technology alliances. He also worked in technology planning for Samsung's Telecom R&amp;D center, where he was responsible for discovering new research topics. Prior to that, he was a Technical Leader at Samsung Fiber Optics Business in charge of the development of fiber optic components and also managed a technical sales team. He is on the board of directors for DCG Systems and Reno (Electronic). He also served on the board of Pixtronix, IntegenX, and GCT Semiconductor. He served as the Board Member at Astute Networks. He has an M.A. and a Ph.D. from Princeton University in Electrical Engineering and a B.S. with Honors from the California Institute of Technology in Applied Physics.</t>
  </si>
  <si>
    <t>dongsu4.kim@lgtechventures.com</t>
  </si>
  <si>
    <t>203603-41P</t>
  </si>
  <si>
    <t>Frederick Dopfel</t>
  </si>
  <si>
    <t>Dopfel</t>
  </si>
  <si>
    <t>Mr. Frederick Dopfel serves as Principal at LG Technology Ventures. He served as a Senior Associate at Grishin Robotics. He served as a Board Member at Rogue Games. His technical experience includes MEMS and microfluidics research at Lawrence Berkeley National Lab, Berkeley Sensor, and Actuator Center, and the Italian Institute of Technology Nanotechnology Lab. He has built robotic rovers for The Mars Society and launched rockets from high-altitude balloons. An avid tinkerer, he enjoys building computers and programming complex IoT automation, including hacking development boards into existing "dumb" appliances to turn his home into a fully automated "smart house". He holds a B.S. in Engineering Physics with a minor in Electrical Engineering &amp; Computer Science from UC Berkeley and an M.S. in Management Science &amp; Engineering from Stanford.</t>
  </si>
  <si>
    <t>frederick.dopfel@lgtechventures.com</t>
  </si>
  <si>
    <t>303945-58P</t>
  </si>
  <si>
    <t>Gyun Hong Kim</t>
  </si>
  <si>
    <t>Gyun Hong</t>
  </si>
  <si>
    <t>Mr. Gyun Hong Kim serves as Senior Director, Business Development at LG Technology Ventures. He has over twenty years of experience in the field of IT services as an engineer, consultant, strategist, and collaboration coordinator. Prior to joining LG Technology Ventures, he spent nineteen years at LG CNS, a global IT service company of LG Group. He began his career as a system engineer and performed over eighty IT projects on-site covering various industries including public, manufacturing, defense, financial, education, and retail. Afterward, he transitioned his career towards consulting, evaluating new technologies, building corporate technology strategies, and leading new business development. He was also dedicated to developing the next generation smartphone with LG Electronics, serving as one of the team leaders. He also served as an auditor of the Hackathon challenge hosted by the city of Seoul and as an advisor of the Korean National Information Society Agency for several years. He was awarded the Bronze degree from LG Group's Future Challenger program, which is a contest held by LG Group for new business models and technology development. He has also received a plaque for his contribution to the new IT systems from The Korean Police Agency and Shinhan Bank in Korea. He holds his B.S. in Nuclear Engineering from Hanyang University and his MBA from LG Academy, where he won the Best Project Award as a team leader and graduated summa cum laude.</t>
  </si>
  <si>
    <t>kim.gyun-hong@lgtechventures.com</t>
  </si>
  <si>
    <t>Senior Director, Business Development</t>
  </si>
  <si>
    <t>303940-99P</t>
  </si>
  <si>
    <t>Krishna Ramachandran</t>
  </si>
  <si>
    <t>Mr. Krishna Ramachandran serves as Investment Director at LG Technology Ventures. In his current role, he believes that his main purpose is to support founders and their teams. Throughout his career, he has worked at a range of organizations across four continents. He started his career at McKinsey and Company, was the first employee at a FinTech startup and has worked at IDEO, Amazon and Accenture. He holds a BS in Electrical Engineering from Georgia Institute of Technology and an MBA from London Business School.</t>
  </si>
  <si>
    <t>krishna@lgtechventures.com</t>
  </si>
  <si>
    <t>303943-15P</t>
  </si>
  <si>
    <t>Mark Kim</t>
  </si>
  <si>
    <t>Investor Relations &amp; Vice President</t>
  </si>
  <si>
    <t>Mr. Mark Kim serves as Vice President, Business Development and Investor Relations at LG Technology Ventures. He is the head of Fund Operation at LG Technology Ventures. He has over night-teen years of corporate strategy, technology strategy &amp; planning and new business operation in LG Group. As the head of fund operations, he manages the performance of over $400 million fund assets and establishment of new funds, and supports communications with LG affiliates(LPs) in order to maximize the investment performance of each fund. Prior to joining LG Technology Ventures in May, 2021, he worked for various affiliates of LG Group. At LG Science Park, he managed/supported LG Group's open innovation as a team leader. Prior to LG Science Park, he was dispatched to Energy TFT of LG Holdings to support energy-related business in LG Group. In LG Fuel Cell Systems, which was a JV company with Rolls-Royce Group, he carried out business strategy and market development as a leadership member. He also worked on technology strategy and PMO at LG Display. He double majored in Industrial Engineering and Business Administration from Inha Univ and dropped out of KAIST MBA.</t>
  </si>
  <si>
    <t>mark.kim@lgtechventures.com</t>
  </si>
  <si>
    <t>Vice President, Business Development and Investor Relations</t>
  </si>
  <si>
    <t>196622-38P</t>
  </si>
  <si>
    <t>Robert McIntyre</t>
  </si>
  <si>
    <t>Mr. Robert McIntyre serves as Managing Director and Board Member at Eatron Technologies. He serves as Managing Director at LG Technology Ventures. He has over 20 years of experience as an investor, entrepreneur, and advisor with technology start-up companies in Silicon Valley. He serves as a Board Member at 8i and Element Energy. He serves as a Board Observer at South 8 Technologies. Prior to LG, he served as a Partner at CMEA Ventures ($1b AUM) and an associate at H.I.G. Capital ($30b AUM) leading many successful investments including Intermolecular (IPO), Schooner (acquired by Sandisk), Mojo Networks (acquired by Arista Networks), Ageia (acquired by Nvidia), and Lvl7 Systems (acquired by Broadcom). As an entrepreneur, he has served as a business development executive at several start-up companies including NextBio (acquired by Illumina) and AirWave Wireless (acquired by Hewlett-Packard). He holds a bachelor of science degree in Chemical Engineering from the Massachusetts Institute of Technology (MIT) and an MBA from the Wharton School where he was a Palmer Scholar. He serves as Board Member at Sion Power.</t>
  </si>
  <si>
    <t>+1 (415) 223-4342</t>
  </si>
  <si>
    <t>Warwick</t>
  </si>
  <si>
    <t>Warwick, United Kingdom</t>
  </si>
  <si>
    <t>11A Innovation Centre</t>
  </si>
  <si>
    <t>Warwick Technology Park, Warwickshire</t>
  </si>
  <si>
    <t>CV34 6UW</t>
  </si>
  <si>
    <t>Eatron Technologies</t>
  </si>
  <si>
    <t>303939-55P</t>
  </si>
  <si>
    <t>Sungkwon Kang Ph.D</t>
  </si>
  <si>
    <t>Sungkwon</t>
  </si>
  <si>
    <t>Dr. Sungkwon Kang serves as Director at LG Technology Ventures. He started his career with LG in January 2012 and has held various R&amp;D and corporate roles within LG Group, including LG Chem - Life Sciences, LG Corp - Tech Center, and LG Tech Ventures. Before joining LG in Silicon Valley, he was a consultant with Boston Consulting Group, where he focused on chemical, energy, semiconductor, healthcare, and biopharma industries. He holds a Ph.D. in Biomedical Engineering from Cornell University and B.S. dual degrees with Honors in Mechanical Engineering and Mathematics from Virginia Tech.</t>
  </si>
  <si>
    <t>sungkwon@lgtechventures.com</t>
  </si>
  <si>
    <t>41965-66P</t>
  </si>
  <si>
    <t>Taejoon Park</t>
  </si>
  <si>
    <t>Taejoon</t>
  </si>
  <si>
    <t>Mr. Taejoon Park serves as Managing Director at LG Technology Ventures. He serves as Board Member at Duality. He served as a Board Observer at eyecandylab. Previously, he served as an Investment Principal at Applied Ventures. Prior to Applied Ventures, he served as a senior consultant at Monitor Group. He holds his Bachelor of Science in electrical engineering from Yonsei University in Seoul, Korea and an MBA from the Haas School of Business, University of California Berkeley.</t>
  </si>
  <si>
    <t>taejoon.park@lgtechventures.com</t>
  </si>
  <si>
    <t>349435-72P</t>
  </si>
  <si>
    <t>Yongjoon Choi</t>
  </si>
  <si>
    <t>Yongjoon</t>
  </si>
  <si>
    <t>Mr. Yongjoon Choi serves as Principal at LG Technology Ventures. He started his career as an investment analyst at Rutter Private Equity and experienced various types of investments, from buyouts and growth capital to mezzanine deals. He spent five years at Rutter Private Equity and three years at KPMG in the M&amp;A division. He holds an MBA from Columbia Business School, a BA degree in Economics, and a MA degree in International Business and Finance from Brandeis University.</t>
  </si>
  <si>
    <t>yongjoon.choi@lgtechventures.com</t>
  </si>
  <si>
    <t>297072-19P</t>
  </si>
  <si>
    <t>Yoonsung Jung</t>
  </si>
  <si>
    <t>Yoonsung</t>
  </si>
  <si>
    <t>Jung</t>
  </si>
  <si>
    <t>Mr. Yoonsung Jung serves as Chief Financial Officer &amp; Vice President at LG Technology Ventures. He is an experienced CFO with a demonstrated history of working in the finance industry for over 18 years, and over 13 years with LG group focusing on Mergers &amp; Acquisitions, Business Development, and Strategic/Financial planning across expanded scopes of business. Prior to joining LG Technology Ventures in 2022 as the CFO, he was a member of LG Corp., the holding company for the LG group, where he was responsible for Investment &amp; Business portfolio management. He started his career as a business consultant focusing on Credit scoring / Risk management policy for financial institutions, then moved to Investment Banking for M&amp;A advisory. He then joined the M&amp;A team of LG Electronics HQ in 2009 where he spent 10 years focusing on in &amp; outbound deals covering Korea, the U.S., and the EU, and moved to LG Corp. where he spent 3 years in the finance team prior to joining LG Technology Ventures. With his multicultural background, as born in Korea, graduated high school in Japan, and BS in Financial Economics at Binghamton University.</t>
  </si>
  <si>
    <t>jung.yoonsung@lgtechventures.com</t>
  </si>
  <si>
    <t>303944-41P</t>
  </si>
  <si>
    <t>Youngjun Kong</t>
  </si>
  <si>
    <t>Youngjun</t>
  </si>
  <si>
    <t>Mr. Youngjun Kong serves as Principal at LG Technology Ventures. Prior to joining LG Technology Ventures, he worked as an equity analyst at Goldman Sachs' equity research division, an M&amp;A advisor at Deutsche Bank's investment banking division, and an equity analyst at a TMT long/short equity hedge fund based in NYC. He holds an MBA from the Wharton School of the University of Pennsylvania and a BA in Business Administration from Korea University in Seoul, Korea.</t>
  </si>
  <si>
    <t>youngjun.kong@lgtechventures.com</t>
  </si>
  <si>
    <t>51572-89P</t>
  </si>
  <si>
    <t>Christopher Wright</t>
  </si>
  <si>
    <t>Liberty Energy</t>
  </si>
  <si>
    <t>Mr. Christopher Wright serves as Chief Executive Officer at Liberty Oilfield Services. He also serves as Executive Chairman at Liberty Resources II. He has consulted and taught courses on all six inhabited continents and authored or co-authored over 60 technical papers and articles. He has received numerous industry awards and several U.S. patents. He also led the recapitalization of Stroud Energy in 2000 and served as its Chairman prior to its sale to Range Resources in 2006. He has served on the board of directors of several companies, including TAS (industrial energy technology company), Travanti Pharma (pharmaceutical device company) and LeMond Fitness. He was a founding shareholder and the CEO of Liberty Resources LLC. Mr. Wright has over 20 years of experience in the oil and gas industry. He is a Founder and former President and CEO of Pinnacle Technologies. He has had a life long passion for energy and its role in human life.</t>
  </si>
  <si>
    <t>+1 (303) 749-5757</t>
  </si>
  <si>
    <t>chris.wright@libertyresourcesllc.com</t>
  </si>
  <si>
    <t>1200 17th Street</t>
  </si>
  <si>
    <t>+1 (303) 749-5759</t>
  </si>
  <si>
    <t>Liberty Resources II</t>
  </si>
  <si>
    <t>246077-65P</t>
  </si>
  <si>
    <t>Jim Brady</t>
  </si>
  <si>
    <t>Mr. Jim Brady serves as Senior Vice President, Operations at Liberty Energy. He has been with Liberty from day one. With over two decades of experience in the oil and gas industry, his expertise encompasses a comprehensive understanding of personnel management, equipment, vendor relations, and customer dynamics. He has been a driving force in building a corporate culture that prioritizes service excellence, safety, and an unwavering commitment to achieving the highest standards within the industry. He began his career with Halliburton in 1990, where he spent 17 years, serving in roles with increasing responsibility, culminating with his role as service manager, overseeing service quality, safety protocols, and personnel management. From 2007 to 2011, he held various positions with Superior Well Services, leading to his role as Rockies Region Manager.</t>
  </si>
  <si>
    <t>+1 (303) 515-2800</t>
  </si>
  <si>
    <t>jim.brady@libertyfrac.com</t>
  </si>
  <si>
    <t>950 17th Street</t>
  </si>
  <si>
    <t>38184-76P</t>
  </si>
  <si>
    <t>Michael Stock</t>
  </si>
  <si>
    <t>Stock</t>
  </si>
  <si>
    <t>Chief Financial Officer &amp; Treasurer</t>
  </si>
  <si>
    <t>Mr. Michael Stock serves as Chief Financial Officer and Treasurer at Liberty Oilfield Services. He joined Liberty in April 2012. Prior to joining Liberty, he was CFO for TAS Energy Inc., an innovative Cleantech Energy company in Houston, TX from 2009 to 2012. At TAS, he was a key part of the raising of Equity from leading investment groups including Kleiner Perkins, Element Partners, NGP and Credit Suisse. During the 3 years he was at TAS the company grew rapidly and successfully commercialized new business lines including Geothermal Power and Waste Heat Recovery. Prior to joining TAS, Mr. Michael was the CFO for Pinnacle Technologies Inc. a leading Oil Field Service company. He was the CFO for Pinnacle Technologies from 1997 to 2009. During his tenure Pinnacle Technologies grew at a compound annual growth rate of greater than 30%, from a $2.5M startup to a dominant technology provider with 70% market share in the hydraulic fracture mapping and reservoir monitoring business. He was a key player in the sale of Pinnacle Technologies to Carbo Ceramics (NYSE CRR) in 2002 and then managed the sale of the fracture mapping and reservoir monitoring business to Halliburton (NYSE HAL) before joining TAS. His professional experience includes working for NeXT Software Inc. in Silicon Valley leading up to their prospective IPO and final sale to Apple Computer. He brings over 25 years of financial and systems implementation experience to the company. Throughout his career, he has been involved in all levels of finance including global financial management, mergers and acquisitions, strategic planning and risk management.</t>
  </si>
  <si>
    <t>michael.stock@libertyfrac.com</t>
  </si>
  <si>
    <t>372544-66P</t>
  </si>
  <si>
    <t>Mike Machovoe</t>
  </si>
  <si>
    <t>Machovoe</t>
  </si>
  <si>
    <t>Mr. Mike Machovoe serves as Vice President of Business Development at Liberty Energy. He began his career with Liberty in July 2013 as an account representative, reporting to Tom Riebel. He has served several roles in the Liberty business development team since 2013 including Account Manager, Area Sales Manager for the Rocky Mountain Region, Director of Sales, and the Director of Business Development. Currently, he manages 55 employees and he is the co-author of 2 technical industry papers. started his oilfield career in 2002 working as a field specialist for Pinnacle Technologies. He received an undergraduate degree in Environmental Studies from the State University of New York at Buffalo. Mike is based in Denver and remains a passionate Buffalo Bills and Sabres fan, as well as the Colorado Avalanche.</t>
  </si>
  <si>
    <t>mike.machovoe@libertyfrac.com</t>
  </si>
  <si>
    <t>424319-41P</t>
  </si>
  <si>
    <t>Ron Gusek</t>
  </si>
  <si>
    <t>Gusek</t>
  </si>
  <si>
    <t>Mr. Ron Gusek serves as Chief Executive Officer at Liberty Energy.</t>
  </si>
  <si>
    <t>ron.gusek@libertyenergy.com</t>
  </si>
  <si>
    <t>44682-76P</t>
  </si>
  <si>
    <t>Ryan Gosney</t>
  </si>
  <si>
    <t>Gosney</t>
  </si>
  <si>
    <t>Mr. Ryan Gosney serves as Chief Accounting Officer at Liberty Oilfield Services. Over the course of his career, he has gained extensive experience leading auditing and accounting teams in both private and public settings in the oil and gas industry through a diverse array of transactions and growth. He has a Bachelor of Business Administration from Texas Christian University. He began his career as an auditor with Arthur Andersen, LLP in September 1995 where he served in increasing roles of responsibility up to Audit Manager until June 2002. From October 2002 to October 2005, he served as Controller for Patina Oil &amp; Gas Corporation and as Controller of Delta Petroleum Corporation from October 2005 until he departed in 2012. He served as Chief Financial Officer for Dorado E&amp;P Partners, LLC, an oil and gas exploration and production company, from January 2012 to January 2016. Prior to joining Liberty, between July 2016 and February 2017, he served as the Chief Accounting Officer of Vantage Energy, an oil and gas exploration and production company.</t>
  </si>
  <si>
    <t>ryan.gosney@libertyfrac.com</t>
  </si>
  <si>
    <t>392078-80P</t>
  </si>
  <si>
    <t>Adam Winn</t>
  </si>
  <si>
    <t>Winn</t>
  </si>
  <si>
    <t>Liberty Mutual Investments</t>
  </si>
  <si>
    <t>Mr. Adam Winn serves as Co-Head of Global Private Investments at Liberty Mutual Investments. Mr. Winn joined Liberty Mutual Investments (LMI) in 2017. As co-head of GPI, he oversees the strategy and day-to-day business of LMI's private investment platforms, which span private equity, venture capital, private credit, real estate, distressed and energy transition. He also leads efforts to drive innovation and partnerships more broadly for LMI. Before joining LMI, he spent more than a decade at Goldman Sachs. He has a Bachelor of Arts from Tufts University.</t>
  </si>
  <si>
    <t>+1 (617) 357-9500</t>
  </si>
  <si>
    <t>awinn@libertymutualinvestments.com</t>
  </si>
  <si>
    <t>157 Berkeley Street</t>
  </si>
  <si>
    <t>Co-Head of Global Private Investments</t>
  </si>
  <si>
    <t>396244-18P</t>
  </si>
  <si>
    <t>Alex Kayvanfar</t>
  </si>
  <si>
    <t>Kayvanfar</t>
  </si>
  <si>
    <t>Mr. Alex Kayvanfar serves as Managing Director, Capital Solutions at Liberty Mutual Investments.</t>
  </si>
  <si>
    <t>alex.kayvanfar@libertymutualinvestments.com</t>
  </si>
  <si>
    <t>396252-10P</t>
  </si>
  <si>
    <t>Bevin Brown</t>
  </si>
  <si>
    <t>Bevin</t>
  </si>
  <si>
    <t>Ms. Bevin Brown serves as Managing Director, Portfolio Strategy &amp; Management at Liberty Mutual Investments.</t>
  </si>
  <si>
    <t>bevin.brown@libertymutualinvestments.com</t>
  </si>
  <si>
    <t>Managing Director, Portfolio Strategy &amp; Management</t>
  </si>
  <si>
    <t>368103-79P</t>
  </si>
  <si>
    <t>Brett Bickford</t>
  </si>
  <si>
    <t>Bickford</t>
  </si>
  <si>
    <t>Mr. Brett Bickford serves as Vice President, Global Alternative Markets at Liberty Mutual Investments.</t>
  </si>
  <si>
    <t>brett.bickford@lmi.com</t>
  </si>
  <si>
    <t>Vice President, Global Alternative Markets</t>
  </si>
  <si>
    <t>67765-33P</t>
  </si>
  <si>
    <t>Carlos Feged</t>
  </si>
  <si>
    <t>Feged</t>
  </si>
  <si>
    <t>Mr. Carlos Feged serves as Managing Director of Strategy and Asset Allocation at Liberty Mutual Investments. He served as Head of Public Equities and Executive Vice President at Hartford Investment Management. He is responsible for both quantitative and fundamental equity investment, as well as Variable Annuity hedging at HIMCO. Before this, he was the Chief Market Risk Officer within The Hartford's Enterprise Risk Management organization, responsible for leading the group that manages risks associated with The Hartford's Variable Annuity business. Carlos originally joined HIMCO in 2005 as a research analyst. He was eventually promoted to Head of Leveraged Credit Research and Co-Portfolio Manager of the high-yield sector, and then finally to Executive Vice President and Head of Investments - Public Sectors. Before joining HIMCO, Carlos led product development for Hartford's 529 College Savings Program and in Hartford Life's international operations. Carlos earned his BS in Economics from the Universidad de Los Andes and his MBA from Amos Tuck School of Business at Dartmouth College. He is also a CFA charterholder.</t>
  </si>
  <si>
    <t>carlos.feged@libertymutualinvestments.com</t>
  </si>
  <si>
    <t>Managing Director, Strategy and Asset Allocation</t>
  </si>
  <si>
    <t>396258-58P</t>
  </si>
  <si>
    <t>Charley Poole</t>
  </si>
  <si>
    <t>Poole</t>
  </si>
  <si>
    <t>Mr. Charley Poole served as Managing Director, Energy Transition &amp; Infrastructure at Liberty Mutual Investments.</t>
  </si>
  <si>
    <t>charley.poole@libertymutualinvestments.com</t>
  </si>
  <si>
    <t>Managing Director, Energy Transition &amp; Infrastructure</t>
  </si>
  <si>
    <t>395284-51P</t>
  </si>
  <si>
    <t>Charlie McCarthy</t>
  </si>
  <si>
    <t>Mr. Charlie McCarthy serves as Managing Director, Credit at Liberty Mutual Investments.</t>
  </si>
  <si>
    <t>cmccarthy@libertymutualinvestments.com</t>
  </si>
  <si>
    <t>392081-41P</t>
  </si>
  <si>
    <t>Christopher Felton</t>
  </si>
  <si>
    <t>Felton</t>
  </si>
  <si>
    <t>Mr. Christopher Felton serves as Co-Head of Global Fixed Income at Liberty Mutual Investments. As Co-Head of Global Fixed Income, He is jointly responsible for the management of Liberty Mutual Investments (LMI) fixed income portfolio, and oversight of an investment team of over 60 investors across a broad set of asset class expertise. He is responsible for maximizing the risk-adjusted returns across the fixed-income portfolios. Before assuming his current role in 2016, he held multiple roles at LMI across the trading, credit research, and portfolio management functions. He received a Bachelor of Science degree in Business Administration from the University of UMass-Lowell and a Master of Business Administration from Northeastern University. He also earned his CFA designation in 2003.</t>
  </si>
  <si>
    <t>cfelton@libertymutualinvestments.com</t>
  </si>
  <si>
    <t>Co-Head of Global Fixed Income</t>
  </si>
  <si>
    <t>194148-73P</t>
  </si>
  <si>
    <t>Christopher Finn</t>
  </si>
  <si>
    <t>Mr. Christopher Finn serves as Managing Director &amp; Head of Real Estate at Liberty Mutual Investments. He holds an MBA in Finance from Boston College and a degree from the University of Massachusetts, Amherst.</t>
  </si>
  <si>
    <t>+1 (617) 654-4624</t>
  </si>
  <si>
    <t>cfinn@libertymutualinvestments.com</t>
  </si>
  <si>
    <t>368140-96P</t>
  </si>
  <si>
    <t>David Ott</t>
  </si>
  <si>
    <t>Ott</t>
  </si>
  <si>
    <t>Mr. David Ott serves as Managing Director &amp; Head of Relationship Management at Liberty Mutual Investments. He holds a Bachelor's in Economics from Bowdoin College.</t>
  </si>
  <si>
    <t>dott@libertymutualinvestments.com</t>
  </si>
  <si>
    <t>Managing Director &amp; Head of Relationship Management</t>
  </si>
  <si>
    <t>36818-65P</t>
  </si>
  <si>
    <t>Demetrios Fifis</t>
  </si>
  <si>
    <t>Demetrios</t>
  </si>
  <si>
    <t>Fifis</t>
  </si>
  <si>
    <t>Mr. Demetrios Fifis serves as Managing Director, Private Equity at Liberty Mutual Investments. He also served as an Advisor at Liberty Mutual Strategic Ventures and Senior Business Analyst at Liberty Mutual Insurance Company. He holds an MBA (Master of Business Administration) in Finance &amp; Economics and a BS (Bachelor of Science) in Business Administration from Boston University.</t>
  </si>
  <si>
    <t>+1 (617) 451-2009</t>
  </si>
  <si>
    <t>dfifis@libertymutualinvestments.com</t>
  </si>
  <si>
    <t>396261-91P</t>
  </si>
  <si>
    <t>Ed Degraan</t>
  </si>
  <si>
    <t>Degraan</t>
  </si>
  <si>
    <t>Mr. Ed Degraan serves as Managing Director, Strategy &amp; Rates at Liberty Mutual Investments.</t>
  </si>
  <si>
    <t>ed.degraan@libertymutualinvestments.com</t>
  </si>
  <si>
    <t>Managing Director, Strategy &amp; Rates</t>
  </si>
  <si>
    <t>276687-37P</t>
  </si>
  <si>
    <t>Erich Bobinsky</t>
  </si>
  <si>
    <t>Bobinsky</t>
  </si>
  <si>
    <t>Mr. Erich Bobinsky serves as Director, Portfolio Strategy &amp; Management at Liberty Mutual Investments. He serves as Board Observer at Omnidian. He serves as Crescent Energy Company at Crescent Energy Company.</t>
  </si>
  <si>
    <t>erich.bobinsky@lmi.com</t>
  </si>
  <si>
    <t>Director, Portfolio Strategy &amp; Management</t>
  </si>
  <si>
    <t>360056-08P</t>
  </si>
  <si>
    <t>Hallie Ransone</t>
  </si>
  <si>
    <t>Hallie</t>
  </si>
  <si>
    <t>Ransone</t>
  </si>
  <si>
    <t>Ms. Hallie Ransone serves as Portfolio Manager, Private Credit at Liberty Mutual Investments. Her responsibilities include developing and driving the platform's originations strategy, overseeing the underwriting and ongoing monitoring of investments, and managing portfolio construction. In addition to direct investments, she manages Liberty's investments in middle-market private credit managers. She was previously a Director at Société Générale (SG) where she was responsible for the origination of corporate and investment banking products for natural resources clients. Her mandate included sourcing and executing direct lending, financial advisories, and private placements for non-investment grade issuers. She holds a Bachelor of Science in Business Administration from the Boston University Questrom School of Business, Summa Cum Laude, with a dual concentration in Finance and Entrepreneurship.</t>
  </si>
  <si>
    <t>hallie.ransone@lmi.com</t>
  </si>
  <si>
    <t>Portfolio Manager, Private Credit</t>
  </si>
  <si>
    <t>392096-89P</t>
  </si>
  <si>
    <t>Helen O'Rourke JD</t>
  </si>
  <si>
    <t>O'Rourke</t>
  </si>
  <si>
    <t>Ms. Helen O'Rourke serves as Deputy General Counsel at Liberty Mutual Investments. She joined Liberty Mutual Insurance in 2001 and currently serves as the General Counsel for the Investments Legal Group and Deputy General Counsel for Liberty Mutual Insurance. His practice handles the legal needs of Liberty Mutual Investments (LMI), providing counsel to the LMI leadership team and helping set strategy. She leads the Investments Legal Group, which provides legal advice, counsel, and support to LMI across a variety of topics including, structuring, and negotiating terms in Private Equity funds, direct investments, co-investments, real estate partnerships, energy transition, structured finance, leveraged finance, and other private debt investments. In her role as Deputy General Counsel for Liberty Mutual Insurance, his is part of the global legal team of more than 2000 legal professionals operating in 21 countries at the company. Prior to joining Liberty Mutual, she served as Associate General Counsel at CMGI, Inc. Her focus at CMGI was twofold, mergers and acquisitions, including the acquisition of the Alta Vista Company, and venture capital investments for @Ventures. She began her legal career as a corporate associate at Boston-based Testa, Hurwitz &amp; Thibeault, LLP, and Palmer &amp; Dodge LLP. She received a Bachelor of Arts, Cum Laude, from Cornell University. She also has a Juris Doctorate, Cum Laude from Boston College Law School.</t>
  </si>
  <si>
    <t>ho'rourke@libertymutualinvestments.com</t>
  </si>
  <si>
    <t>Deputy General Counsel</t>
  </si>
  <si>
    <t>194148-28P</t>
  </si>
  <si>
    <t>Ian Seraichick</t>
  </si>
  <si>
    <t>Seraichick</t>
  </si>
  <si>
    <t>Mr. Ian Seraichick serves as an Investment Professional at Liberty Mutual Investments.</t>
  </si>
  <si>
    <t>ian.seraichick@lmi.com</t>
  </si>
  <si>
    <t>396263-17P</t>
  </si>
  <si>
    <t>Jatin Salhotra</t>
  </si>
  <si>
    <t>Salhotra</t>
  </si>
  <si>
    <t>Mr. Jatin Salhotra serves as Managing Director, Investment Strategy &amp; Solutions at Liberty Mutual Investments.</t>
  </si>
  <si>
    <t>jatin.salhotra@libertymutualinvestments.com</t>
  </si>
  <si>
    <t>Managing Director, Investment Strategy &amp; Solutions</t>
  </si>
  <si>
    <t>349959-43P</t>
  </si>
  <si>
    <t>Jennifer McGrew</t>
  </si>
  <si>
    <t>McGrew</t>
  </si>
  <si>
    <t>Ms. Jennifer McGrew serves as Managing Director, Portfolio Strategy &amp; Management at Liberty Mutual Investments. She serves as Managing Director &amp; Co-Head of Portfolio Management and Strategy, Global Private Investments at Liberty Mutual Insurance Company. She completed her MBA in Finance from The Wharton School in the year 2012. She also completed her Degree from William and Mary and her Bachelor's in Business from the University of Richmond.</t>
  </si>
  <si>
    <t>jennifer.mcgrew@libertymutualinvestments.com</t>
  </si>
  <si>
    <t>396271-18P</t>
  </si>
  <si>
    <t>John Reichard</t>
  </si>
  <si>
    <t>Reichard</t>
  </si>
  <si>
    <t>Mr. John Reichard serves as Managing Director, Capital Solutions at Liberty Mutual Investments.</t>
  </si>
  <si>
    <t>john.reichard@libertymutualinvestments.com</t>
  </si>
  <si>
    <t>110483-92P</t>
  </si>
  <si>
    <t>Julie Haase</t>
  </si>
  <si>
    <t>Ms. Julie Haase serves as Chief Operating Officer at Liberty Mutual Investments. She also serves as a Trustee at American States Insurance Company of Texas and American Economy Insurance Company. Previously, she held the position of Trustee, Vice President &amp; Chief Financial Officer at General Insurance Company of America. Additionally, she holds the role of Trustee at LM General Insurance Company and Senior Vice President &amp; Chief Financial Officer of Global Retail Markets at First National Insurance Company of America. She also serves as Vice President, Trustee &amp; Chief Financial Officer at American States Preferred Insurance Company, as well as a Trustee at Liberty Mutual Mid-Atlantic Insurance Company. In the past, Ms. Haase served as an Advisor at Liberty Mutual Strategic Ventures and held positions as Trustee, Chief Financial Officer, and Vice President at Liberty Mutual Personal Insurance Company. Ms. Haase earned a Bachelor of Science in Management from Providence College and a Master of Business Administration from Babson College. She also serves as Executive Vice President and Chief Financial Officer at Hawkeye-Security Insurance Company. She is also a graduate of the Insurance Executive Development program at the Wharton School of the University of Pennsylvania and the CFO Leadership Program at Harvard Business School.</t>
  </si>
  <si>
    <t>jhaase@libertymutualinvestments.com</t>
  </si>
  <si>
    <t>422206-66P</t>
  </si>
  <si>
    <t>Kristin Mason-Paszkewicz</t>
  </si>
  <si>
    <t>Mason-Paszkewicz</t>
  </si>
  <si>
    <t>Ms. Kristin Mason-Paszkewicz serves as Chief Administrative Officer, Talent &amp; Business Enablement at Liberty Mutual Investments. She joined Liberty Mutual Investments (LMI) in 2017 and is currently the Chief Talent Officer of LMI and a member of the LMI executive team. The LMI Talent organization is responsible for developing integrated talent strategies that align to the investment strategy and drive business outcomes. As chief talent officer, She partners with the executive leadership team to shape the organizational vision for long term talent strategies. She is focused on cultivating a high-performance culture where each employee has the opportunity to reach their full potential and deliver excellence for the firm. Herresponsibilities include overseeing the efforts to attract, develop, retain and incentivize world class asset management talent. Prior to joining LMI, She was a senior HR business partner at Boston Scientific where she led global talent strategies for the Marketing, Supply Chain, Finance and Manufacturing divisions. She has also held various talent leadership roles at National Grid and The Federal Reserve Bank of Boston. She holds Bachelor of Science from Nichols College.</t>
  </si>
  <si>
    <t>kmpaaszkewicz@libertymutualinvestments.com</t>
  </si>
  <si>
    <t>Chief Administrative Officer, Talent &amp; Business Enablement</t>
  </si>
  <si>
    <t>115992-64P</t>
  </si>
  <si>
    <t>Luke Stephan</t>
  </si>
  <si>
    <t>Mr. Luke Stephan serves as Director of Private Equity at Liberty Mutual Investments. Previously, he worked as a Partner at Keene Advisors and as an Investment Banking Analyst at Deutsche Bank. He obtained his bachelor's degree from the Boston College.</t>
  </si>
  <si>
    <t>+1 (617) 765-2054</t>
  </si>
  <si>
    <t>luke.stephan@libertymutual.com</t>
  </si>
  <si>
    <t>392104-45P</t>
  </si>
  <si>
    <t>Mark Szigety</t>
  </si>
  <si>
    <t>Szigety</t>
  </si>
  <si>
    <t>Mr. Mark Szigety serves as Managing Director, Risk Management at Liberty Mutual Investments. In this role, he is responsible for helping the organization achieve its capital creation goals by providing an independent, objective perspective on the investment process and exposures. He leads the Risk Management group that informs on LMI portfolio risk profile, tolerance, and positioning. Working across LMI, they set standards and create a common view of portfolio exposures, engaging throughout the investment process to build a collaborative and constructive risk culture across the enterprise. He joined LMI in 2017. Prior to joining LMI, he was a senior vice-president of risk and asset allocation at Harvard Management Company. He holds a doctorate from Harvard Business School and degrees in Physics from Harvard University and Massachusetts Institute of Technology. He is a CFA charter holder and a certified FRM (Financial Risk Manager).</t>
  </si>
  <si>
    <t>mszigety@libertymutualinvestments.com</t>
  </si>
  <si>
    <t>Managing Director, Risk Management</t>
  </si>
  <si>
    <t>241642-99P</t>
  </si>
  <si>
    <t>Matthew Chirokas</t>
  </si>
  <si>
    <t>Chirokas</t>
  </si>
  <si>
    <t>Mr. Matthew Chirokas serves as Associate, Private Equity at Liberty Mutual Investments. He holds a degree from Merrimack College.</t>
  </si>
  <si>
    <t>mchirokas@libertymutualinvestments.com</t>
  </si>
  <si>
    <t>44242-66P</t>
  </si>
  <si>
    <t>Matthew Stoeckle</t>
  </si>
  <si>
    <t>Stoeckle</t>
  </si>
  <si>
    <t>Mr. Matthew Stoeckle serves as the Director, Credit Strategies at Liberty Mutual Investments. He joined LMI in 2013 as an Associate on the Opportunistic Investments team and, in 2016, became part of the newly formed private credit initiative. The Direct Lending &amp; Distressed Group invests across the private credit spectrum, with a focus on niche opportunities that capitalize on both illiquidity and complexity premiums throughout market cycles. Before joining LMI, he worked as an Associate at Avante Mezzanine Partners and began his career as a financial institutions investment banker at Wachovia Securities. He holds an MBA (Master of Business Administration) in Finance from Georgetown University (2012) and earned a BS (Bachelor of Science) in Economics as well as a BA (Bachelor of Arts) in Business Administration and Finance from Elon University in 2005.</t>
  </si>
  <si>
    <t>+1 (857) 224-7958</t>
  </si>
  <si>
    <t>matthew.stoeckle@lmginv.com</t>
  </si>
  <si>
    <t>Director, Credit Strategies</t>
  </si>
  <si>
    <t>396272-62P</t>
  </si>
  <si>
    <t>Melissa Green</t>
  </si>
  <si>
    <t>Ms. Melissa Green serves as Managing Director, Business Agility at Liberty Mutual Investments.</t>
  </si>
  <si>
    <t>melissa.green@libertymutualinvestments.com</t>
  </si>
  <si>
    <t>Managing Director, Business Agility</t>
  </si>
  <si>
    <t>86518-09P</t>
  </si>
  <si>
    <t>Michael Krumsiek</t>
  </si>
  <si>
    <t>Krumsiek</t>
  </si>
  <si>
    <t>Mr. Michael Krumsiek serves as Managing Director, Credit at Liberty Mutual Investments. Previously he served as a Sr Credit Analyst at Citigroup (formerly Arcadia Financial).</t>
  </si>
  <si>
    <t>michael.krumsiek@libertymutualinvestments.com</t>
  </si>
  <si>
    <t>396274-33P</t>
  </si>
  <si>
    <t>Michael Russell</t>
  </si>
  <si>
    <t>Mr. Michael Russell serves as Chief Financial Officer, Global Investment Solutions at Liberty Mutual Investments.</t>
  </si>
  <si>
    <t>michael.russell@libertymutualinvestments.com</t>
  </si>
  <si>
    <t>Chief Financial Officer, Global Investment Solutions</t>
  </si>
  <si>
    <t>44876-17P</t>
  </si>
  <si>
    <t>Michael Travalini</t>
  </si>
  <si>
    <t>Travalini</t>
  </si>
  <si>
    <t>Mr. Michael Travalini serves as Managing Director of Private Equity at Liberty Mutual Investments. Mr. Travalini served as President of Residential services at SMS Assist. Prior to this, he was the Assistant Manager for Private Equity Performance Reporting. Mr. Travalini joined SMS Assist in February 2016 to focus on the company's rapidly growing residential division. He joined SMS Assist from Waypoint Homes, where he served as the senior vice president of operations. Mr. Travalini oversaw the national repairs and maintenance department, which included a nationwide team of technicians responsible for maintaining the company's portfolio of 17,000 homes and related customer service and technology initiatives. Prior to Waypoint Homes, Mr. Travalini was the director of acquisitions at the Laramar Group, a Chicago-based residential owner and operator with more than 40,000 national apartment units. He began his career as an auditor in the real estate practice group at the Boston office of Ernst &amp; Young LLP. Mr. Travalini, a CPA, earned his MBA from Northwestern University's Kellogg School of Management with concentrations in Real Estate and Finance. He earned his bachelor's degree in accounting from Boston College. He serves on the leadership teams of the Kellogg Real Estate Alumni Club and the Chicago Real Estate Private Equity Group.</t>
  </si>
  <si>
    <t>+1 (617) 457-1703</t>
  </si>
  <si>
    <t>mtravalini@libertymutualinvestments.com</t>
  </si>
  <si>
    <t>Managing Director of Private Equity</t>
  </si>
  <si>
    <t>422207-92P</t>
  </si>
  <si>
    <t>Michael Willock</t>
  </si>
  <si>
    <t>Willock</t>
  </si>
  <si>
    <t>Mr. Michael Willock serves as Chief Technology Officer at Liberty Mutual Investments. He brings 20+ years of software engineering and technology leadership experience to Liberty Mutual Investments (LMI). Joining the company in 2018 as LMI's Chief Technology Officer, He has led a variety of strategic initiatives. As head of the LMI Data Office, He was accountable for the mobilization of data initiatives across investments, operations, and technology. Most recently, His role expanded to include leadership of the Corporate Functions technology organization. In this capacity, he supports Liberty Mutual's Global Finance, Legal, Talent &amp; Enterprise Services groups in addition to his work with LMI. His passion for data and emerging technologies coupled with his industry expertise have led him to oversee several enterprise-wide, technology services. This work includes data science tooling, data services and platforms and user experience design. Prior to joining LMI, He held a variety of senior leadership technology related roles at Fidelity Investments. He earned a bachelor's degree in Applied Mathematics from Worcester Polytechnic Institute.</t>
  </si>
  <si>
    <t>mwillock@libertymutualinvestments.com</t>
  </si>
  <si>
    <t>184142-08P</t>
  </si>
  <si>
    <t>Monica Caldas</t>
  </si>
  <si>
    <t>Caldas</t>
  </si>
  <si>
    <t>Ms. Monica Caldas serves as Executive Vice President &amp; Chief Information Officer at Liberty Mutual Insurance Company. He/She also serves as Trustee, Executive Vice President &amp; Chief Information Officer at Employers Insurance Company of Wausau. She also serves as an Executive Vice President, Chief Information Officer, and Board Member at Safeco Insurance Company of America. Ms. Caldas serves as the Chief Information Officer at Liberty Mutual Investments. She served as Executive Vice President, Chief Information Officer &amp; Trustee at Peerless Insurance Company. Previously, Ms. Caldas served as the Chief Information Officer at GE Transportation. In this capacity, she spearheaded the horizontal integration of the Digital Technology (DT) function into GE Digital, while driving innovative solutions for GE Transportation, its customers, and employees. With extensive experience in the IT industry across financial services and industrial sectors, Ms. Caldas brings expertise in delivering business model innovation through robust digital strategies. She has been with GE since 2001, assuming roles of increasing responsibility across various GE businesses, including IT Operations, Software Development, ERP management, global rollouts, systems integrations, and organizational effectiveness. Before her current role, she served as the CIO of GE Transportation's Global Services &amp; Digital Solutions team. Ms. Caldas is also the senior executive co-sponsor for the company's GE Girls program, a STEM-based global initiative. Additionally, she is actively involved in employee engagement, and continuous improvement, and is a member of the GE Women's Network and Hispanic Forum. Ms. Caldas has been recognized for her leadership, being featured in Hispanic Executive Magazine's Top 2016 Leaders and named a finalist in the 2017 Chicago CIO Orbie Awards. Ms. Caldas holds a Bachelor of Science in Business and Management Information Systems from the University of Connecticut, as well as a Master of Business degree from Pennsylvania State University.</t>
  </si>
  <si>
    <t>monica.caldas@libertymutual.com</t>
  </si>
  <si>
    <t>175 Berkeley Street</t>
  </si>
  <si>
    <t>Executive Vice President &amp; Chief Information Officer</t>
  </si>
  <si>
    <t>Liberty Mutual Insurance Company</t>
  </si>
  <si>
    <t>194148-91P</t>
  </si>
  <si>
    <t>Neil Mathews</t>
  </si>
  <si>
    <t>Mathews</t>
  </si>
  <si>
    <t>Mr. Neil Mathews serves as Managing Director at Liberty Mutual Investments.</t>
  </si>
  <si>
    <t>+1 (202) 729-5236</t>
  </si>
  <si>
    <t>nmathews@libertymutualinvestments.com</t>
  </si>
  <si>
    <t>346402-90P</t>
  </si>
  <si>
    <t>Patrizio Urciuoli</t>
  </si>
  <si>
    <t>Patrizio</t>
  </si>
  <si>
    <t>Urciuoli</t>
  </si>
  <si>
    <t>Mr. Patrizio Urciuoli serves as Executive Managing Director, Global Strategy and Capital Allocation, and Chairperson of the Sustainable Investment Steering Committee at Liberty Mutual Investments. Mr. Urciuoli joined Liberty Mutual Investments (LMI) in 2006 and has held multiple roles across the organization. As Head of SAA, he ensures that LMI's investing activities collectively maximize long-term risk-adjusted total returns, fully leveraging Liberty Mutual's competitive advantages while optimizing for Liberty's unique constraints. He earned a Bachelor of Arts in Statistics, Actuarial and Financial Science from Rome University La Sapienza and a Master of Science in Actuarial Science, Mathematical Finance concentration from Boston University. He holds a CFA Designation and is a Fully Qualified Actuary of the "Ordine Nazionale Degli Attuari" ISOA.</t>
  </si>
  <si>
    <t>purciuoli@libertymutualinvestments.com</t>
  </si>
  <si>
    <t>Executive Managing Director, Global Strategy and Capital Allocation, and Chairperson of the Sustainable Investment Steering Committee</t>
  </si>
  <si>
    <t>392095-00P</t>
  </si>
  <si>
    <t>Paul Mitrokostas</t>
  </si>
  <si>
    <t>Mitrokostas</t>
  </si>
  <si>
    <t>Mr. Paul Mitrokostas serves as Co-Head of Global Fixed Income at Liberty Mutual Investments. He brings a distinct combination of investing, operating, financial, and legal experience to Liberty Mutual Investments (LMI). As Co-Head of Global Fixed Income, he is jointly responsible for the management of Liberty Mutual's fixed income portfolio, and oversight of an investment team comprised of over 60 investors with a broad set of asset class expertise. Before joining LMI in 2017, he served six years as Co-Portfolio Manager for an active total return credit portfolio at Harvard Management Company. He also held a variety of roles at Lehman Brothers and Barclays Bank. He began his career as a lawyer on Wall Street at Sullivan &amp; Cromwell. He holds a J.D. from the University of Pennsylvania; an MBA from the Anderson School at UCLA; and a Bachelor of Science in Economics from the Wharton School at the University of Pennsylvania.</t>
  </si>
  <si>
    <t>pmitrokostas@libertymutualinvestments.com</t>
  </si>
  <si>
    <t>231054-04P</t>
  </si>
  <si>
    <t>Mr. Raymond Chan serves as Managing Director, Strategy &amp; Rates at Liberty Mutual Investments. He served as Managing Director, BAAM at Blackstone. Before joining Blackstone in 2019, he was a Senior Portfolio Manager at Goldman Sachs where he led a multi-asset investment team within Goldman Sachs Asset Management's Global Portfolio Solutions group. He also served as the Head of Strategy for multi-asset funds and models and as the Head of the Markets Team. Before those roles, he structured and marketed cross-asset derivatives within the Securities Division of Goldman Sachs. He began his career as a consultant with Oliver Wyman. He received an AB in Biochemistry with honors from Harvard University and an MBA from the Wharton School at the University of Pennsylvania. He has earned the right to use the Chartered Financial Analyst designation.</t>
  </si>
  <si>
    <t>raymond.chan@libertymutualinvestments.com</t>
  </si>
  <si>
    <t>396279-46P</t>
  </si>
  <si>
    <t>Regan Fradette</t>
  </si>
  <si>
    <t>Regan</t>
  </si>
  <si>
    <t>Fradette</t>
  </si>
  <si>
    <t>Ms. Regan Fradette serves as Managing Director, Research at Liberty Mutual Investments.</t>
  </si>
  <si>
    <t>regan.fradette@libertymutualinvestments.com</t>
  </si>
  <si>
    <t>Managing Director, Research</t>
  </si>
  <si>
    <t>396280-81P</t>
  </si>
  <si>
    <t>Scott Fitzhenry</t>
  </si>
  <si>
    <t>Fitzhenry</t>
  </si>
  <si>
    <t>Mr. Scott Fitzhenry serves as Chief Compliance Officer at Liberty Mutual Investments.</t>
  </si>
  <si>
    <t>scott.fitzhenry@libertymutualinvestments.com</t>
  </si>
  <si>
    <t>276064-03P</t>
  </si>
  <si>
    <t>TJ Gaylord</t>
  </si>
  <si>
    <t>TJ</t>
  </si>
  <si>
    <t>Gaylord</t>
  </si>
  <si>
    <t>Mr. TJ Gaylord serves as Managing Director of Power, Renewables &amp; Infrastructure at Liberty Mutual Investments.</t>
  </si>
  <si>
    <t>+1 (617) 426-8903</t>
  </si>
  <si>
    <t>tgaylord@libertymutualinvestments.com</t>
  </si>
  <si>
    <t>Managing Director of Power, Renewables &amp; Infrastructure</t>
  </si>
  <si>
    <t>279082-09P</t>
  </si>
  <si>
    <t>Vlad Barbalat</t>
  </si>
  <si>
    <t>Vlad</t>
  </si>
  <si>
    <t>Barbalat</t>
  </si>
  <si>
    <t>Mr. Vlad Barbalat serves as Executive Vice President, and Chief Investment Officer at Liberty Mutual Insurance Company and American States Lloyds Insurance Company. He also serves as Chief Investment Officer and Executive Vice President at LM Insurance Corporation. He is also Executive Vice President and Chief Investment Officer at America First Insurance Company. He also serves as Executive Vice President and Chief Investment Officer at State Automobile Mutual Insurance Company. He also serves as Executive Vice President &amp; Chief Investment Officer at Hawkeye-Security Insurance Company. He also serves as President &amp; Chief Investment Officer at Liberty Mutual Investments. Additionally, he holds the position of Executive Vice President, Chief Investment Officer &amp; Trustee at Ohio Casualty Insurance. He serves as Executive Vice President &amp; Chief Investment Officer at American States Preferred Insurance Company. Mr. Barbalat serves as Executive Vice President &amp; Chief Investment Officer at American States Insurance Company of Texas, Executive Vice President &amp; Chief Investment Officer at American Economy Insurance Company, and Executive Vice President &amp; Chief Investment Officer at General Insurance Company of America. He also holds the position of Executive Vice President &amp; Chief Investment Officer at American States Insurance Company, as well as Executive Vice President &amp; Trustee at Liberty Mutual Insurance Company. Moreover, Mr. Barbalat serves as the Executive Vice President, Chief Investment Officer, and Board Member at Safeco Insurance Company of America and Liberty Mutual Fire Insurance Company. He also served as Executive Vice President, Chief Investment Officer &amp; Trustee at Peerless Insurance Company. He serves as Executive Vice President &amp; Chief Investment Officer at Midwestern Indemnity Company. He serves as the Chief Investment Officer, Executive Vice President &amp; Trustee at Employers Insurance Company of Wausau. Furthermore, he occupies the Executive Vice President &amp; Chief Investment Officer role at Liberty Insurance Corporation and serves as the Chief Investment Officer at First National Insurance Company of America. He graduated summa cum laude from New York University in 2003, earning dual Bachelor of Science degrees in Finance and Information Systems, and completed his Chartered Financial Analyst designation in 2006.</t>
  </si>
  <si>
    <t>vlad.barbalat@libertymutual.com</t>
  </si>
  <si>
    <t>Executive Vice President, Chief Investment Officer &amp; President, Liberty Mutual Investments</t>
  </si>
  <si>
    <t>43764-22P</t>
  </si>
  <si>
    <t>Andrew Heinlein</t>
  </si>
  <si>
    <t>Heinlein</t>
  </si>
  <si>
    <t>Lightbank (Venture Capital)</t>
  </si>
  <si>
    <t>Mr. Andrew Heinlein serves as Advisor at Lightbank. Mr. Heinlein also served as Senior Manager in True Partners Consulting. Prior to True Partners, he worked as a tax consultant for Deloitte Tax, LLP. He received his Bachelor of Business Administration in Accounting and Master of Science in Accountancy degrees from University of Notre Dame. He is a Certified Public Accountant.</t>
  </si>
  <si>
    <t>+1 (312) 276-3204</t>
  </si>
  <si>
    <t>+1 (312) 276-3231</t>
  </si>
  <si>
    <t>388613-35P</t>
  </si>
  <si>
    <t>Carter Rawlings</t>
  </si>
  <si>
    <t>Rawlings</t>
  </si>
  <si>
    <t>Mr. Carter Rawlings serves as a Senior Associate at Lightbank. Before joining the firm in 2023, he was a Principal on the New Ventures team at Redesign Health, where he focused on the incubation of new ideas and successfully launched three healthcare startups. He serves on the junior advisory board for Mission44, a foundation that supports bold organizations, leaders, and ideas to empower young people from underserved communities. He holds a B.S. in Computer Science and Business Administration from the Viterbi School of Engineering at the University of Southern California.</t>
  </si>
  <si>
    <t>carter@lightbank.com</t>
  </si>
  <si>
    <t>336500-92P</t>
  </si>
  <si>
    <t>Dwight Greenhouse</t>
  </si>
  <si>
    <t>Greenhouse</t>
  </si>
  <si>
    <t>Mr. Dwight Greenhouse serves as Associate at Lightbank. Prior to joining the firm in 2022, he was an Associate in the Healthcare Investment Banking group at Goldman Sachs, where he executed and advised on equity market transactions. He holds a B.S. in Commerce from the McIntire School at the University of Virginia, where he majored in Finance.</t>
  </si>
  <si>
    <t>dwight@lightbank.com</t>
  </si>
  <si>
    <t>210572-47P</t>
  </si>
  <si>
    <t>Eric Belcher</t>
  </si>
  <si>
    <t>Mr. Eric Belcher serves as Chief Executive Officer at Numerator. Mr. Belcher serves as Advisor at Lightbank. a leading data and technology company in the market research industry. Numerator is backed by Vista Equity Partners. Previously, Eric served as the CEO for InnerWorkings, a technology-enabled marketing execution firm. Eric was the key executive in building the company from a small, regional, private company of $30 million in annual revenue to a global public company with $1.2 billion in revenue and operations in over 30 countries. Eric has been affiliated with Lightbank since its inception, and currently sits on the board of directors of Tempus. Eric has an MBA from the University of Chicago Booth School and a degree in English Literature from Bucknell University.</t>
  </si>
  <si>
    <t>+1 (312) 585-3927</t>
  </si>
  <si>
    <t>eric.belcher@numerator.com</t>
  </si>
  <si>
    <t>24 East Washington Street</t>
  </si>
  <si>
    <t>60602</t>
  </si>
  <si>
    <t>Numerator</t>
  </si>
  <si>
    <t>36661-15P</t>
  </si>
  <si>
    <t>Eric Lefkofsky JD</t>
  </si>
  <si>
    <t>Lefkofsky</t>
  </si>
  <si>
    <t>Mr. Eric Lefkofsky is the Founder and serves as Chief Executive Officer at Tempus. He also serves as Chairman of the Board of Trustees at The Art Institute of Chicago. He is the co-founder and Partner of Lightbank, a private venture capital firm specializing in investments in technology companies. He is also a Co-Founder and serves as Chairman at Pathos AI, a clinical stage biotechnology company focused on re-engineering drug development; Groupon (NASDAQ: GRPN), a global e-commerce marketplace; Mediaocean, a leading provider of integrated media procurement technology; Echo Global Logistics (NASDAQ: ECHO), a technology-enabled transportation and logistics outsourcing firm; and InnerWorkings (NASDAQ: INWK), a global provider of managed print and promotional solutions. He co-chairs the Lefkofsky Family Foundation with his wife Liz to advance high-impact initiatives that enhance lives in the communities served. He also serves on the board of directors of Northwestern Medicine. He holds a bachelor's degree from the University of Michigan and a J.D. from the University of Michigan Law School.</t>
  </si>
  <si>
    <t>+1 (312) 997-5700</t>
  </si>
  <si>
    <t>eric@tempus.com</t>
  </si>
  <si>
    <t>Uptake (Former)</t>
  </si>
  <si>
    <t>131717-62P</t>
  </si>
  <si>
    <t>Eric Ong</t>
  </si>
  <si>
    <t>Mr. Eric Ong serves as Partner at Lightbank. He also serves as Board Membera at Freede. He serves as Board Member at Mickey. Previously, he served as an Investment Banking, Technology Group at Deutsche Bank. He serves as Board Observer at Paytient. Prior to joining Lightbank, he was part of the technology investment-banking division of Deutsche Bank in San Francisco where he focused on the software and internet sectors. During his time at Deutsche Bank, he executed over $30B in M&amp;A advisory and capital markets transactions. He also serves as a Board member at Chicago Student Loans.</t>
  </si>
  <si>
    <t>eric.ong@lightbank.com</t>
  </si>
  <si>
    <t>31700-89P</t>
  </si>
  <si>
    <t>Gabe Karp JD</t>
  </si>
  <si>
    <t>Karp</t>
  </si>
  <si>
    <t>Mr. Gabe Karp serves as Advisor, Legal &amp; Board Member at Quikly. He serves as Board Member at Waymark. He serves as Operating Partner at Detroit Venture Partners. He also serves as Venture Partner at Lightbank. He served as Board Member at Skillo. Prior to joining DVP, he was the Executive Vice President and General Counsel of ePrize, Inc. (now HelloWorld, Inc.), an interactive promotions company that represents more than 75 of the top 100 brands in the world. He served as Board Member at Marxent. He also served as Board Advisor at Detroit Labs. As a member of the executive team, he was instrumental in growing the company from a small start-up to 500 employees and led the legal, fulfillment services, and human resource teams. Crain's Business named him as the General and In-House Counsel 2011 Winner for the state of Michigan. He led the efforts on multiple acquisitions, venture financings, credit facilities, and ultimately the sale of the company to a large private equity firm. He previously spent ten years practicing law as a partner and shareholder of Hurwitz, Karp, Wallach &amp; Gantz. His practice included complex commercial litigation, consumer class action litigation, and general personal and corporate representation. He co-authored Puerto Rico's revised sweepstakes regulations adopted in 2009, and has consulted the Federal Trade Commission as well as legislators and regulators from several states on drafting and enforcing legislation in those jurisdictions applicable to the interactive promotion industry. He is a respected authority, frequent speaker, and writer on legal issues surrounding interactive promotions, including social networking and viral marketing campaigns, mobile marketing, emerging technologies, and technology startups.</t>
  </si>
  <si>
    <t>+1 (717) 669-3590</t>
  </si>
  <si>
    <t>1555 Broadway Street</t>
  </si>
  <si>
    <t>48226</t>
  </si>
  <si>
    <t>Advisor, Legal &amp; Board Member</t>
  </si>
  <si>
    <t>Quikly</t>
  </si>
  <si>
    <t>341552-71P</t>
  </si>
  <si>
    <t>Hank Couture</t>
  </si>
  <si>
    <t>Couture</t>
  </si>
  <si>
    <t>Mr. Hank Couture serves as Chief Operating Officer, Fanatics Betting &amp; Gaming at Fanatics. As Chief Operating Officer at Fanatics Betting &amp; Gaming, He plays an integral role in developing strategies across operations as the Fanatics Sportsbook is poised to launch nationwide in mid-2023. He also serves as Partner at Lightbank. Prior to joining Fanatics, He served as Vice President at DoorDash, serving on their executive management team &amp; overseeing their US Marketplace. He joined DoorDash in 2016 and helped grow the e-commerce marketplace into an industry leader. During his seven years at DoorDash, He helped the company grow from 60 employees to over 10,000. As an early employee, He oversaw DoorDash's Chicago operations. He then led the company's expansion across the Midwest that helped define the company's suburban growth strategy. While leading the US Marketplace, He oversaw the $50 billion marketplace P&amp;L and many critical business lines, such as DoorDash's subscription program, DashPass, &amp; the Caviar marketplace. Prior to DoorDash, He worked on the equity trading floor at Goldman Sachs.</t>
  </si>
  <si>
    <t>hank@lightbank.com</t>
  </si>
  <si>
    <t>371618-38P</t>
  </si>
  <si>
    <t>Joseph Hayes</t>
  </si>
  <si>
    <t>Mr. Joseph Hayes serves as Senior Finance Manager at Lightbank. Joe joined Lightbank in 2022 as a Senior Finance Manager. Prior to joining Lightbank, Joe was focused on building and scaling the corporate finance function at multiple Chicago companies; most recently at ActiveCampaign, a customer experience automation company valued at $3b, and Uptake, a Lightbank portfolio company. He also has previous experience in Equity Capital Markets investment banking at Robert W. Baird &amp; Co. Joe holds a BA in Economics with a concentration in Finance from the University of Wisconsin-Madison.</t>
  </si>
  <si>
    <t>joe@lightbank.com</t>
  </si>
  <si>
    <t>Senior Finance Manager</t>
  </si>
  <si>
    <t>291640-06P</t>
  </si>
  <si>
    <t>Jyothi Vallurupalli</t>
  </si>
  <si>
    <t>Jyothi</t>
  </si>
  <si>
    <t>Vallurupalli</t>
  </si>
  <si>
    <t>Ms. Jyothi Vallurupalli serves as a Senior Associate at Lightbank. She joined Lightbank in 2021 as an Associate. Previously, she worked as a management consultant at McKinsey, driving growth strategy initiatives at major global retail &amp; CPG companies and emerging technology startups. She has a passion for philanthropic work and is on the young professionals' board of the Chicago chapter of Cradles to Crayons. She is originally from Hyderabad, a major technology hub in India. She holds a BS in Economics from The Wharton School of the University of Pennsylvania, with concentrations in Finance, Operations, and Business Analytics.</t>
  </si>
  <si>
    <t>jyothi@lightbank.com</t>
  </si>
  <si>
    <t>267356-71P</t>
  </si>
  <si>
    <t>Lauren Von Reyn</t>
  </si>
  <si>
    <t>Von Reyn</t>
  </si>
  <si>
    <t>Ms. Lauren Von Reyn serves as Talent Partner at Lightbank. Ms. Von Reyn is a Co-Founder and serves as Vice President of Talent and People Operations at Luminary. Lauren is a Talent Partner at Lightbank, and works on recruiting and talent strategy internally at Lightbank and externally with our portfolio companies. Prior to joining Lightbank, Lauren co-founded Luminary Media, a Lightbank portfolio company. Lauren's background is in executive search; she was an early member of the Product, Data, and Technology Practice at True Search. Lauren graduated from the University of Virginia with a BS in Civil and Environmental Engineering.</t>
  </si>
  <si>
    <t>lauren@lightbank.com</t>
  </si>
  <si>
    <t>Talent Partner</t>
  </si>
  <si>
    <t>97941-16P</t>
  </si>
  <si>
    <t>Matthew Sacks</t>
  </si>
  <si>
    <t>Mr. Matthew Sacks serves as Co-Managing Partner at Lightbank. Mr. Sacks is a Co-Founder and serves as Executive Chairman at Luminary (Movies, Music, and Entertainment). He serves as Board Member at Attain. He served as President, Chief Executive Officer &amp; Board Member at Luminary. He served as a Principal at New Enterprise Associates. Previously, he worked as an Associate at New Enterprise Associates. He joined NEA in 2014 and is focused on investments in the technology sector. Prior to joining NEA, he was a member of the Technology, Media, and Telecom investment banking team at Goldman Sachs where he focused on the consumer internet sector and private company coverage. At Goldman, he worked on a number of transactions for companies including LinkedIn, Pinterest, Riverbed, Nuance Communications, and Yodlee. Prior to Goldman Sachs, he interned at First Round Capital and helped to launch Splash.FM is a social network for music sharing and discovery. He holds a BA (Bachelor of Arts) in History from the University of Pennsylvania.</t>
  </si>
  <si>
    <t>matt@lightbank.com</t>
  </si>
  <si>
    <t>Co-Managing Partner</t>
  </si>
  <si>
    <t>52776-46P</t>
  </si>
  <si>
    <t>Mike Mauceri</t>
  </si>
  <si>
    <t>Mauceri</t>
  </si>
  <si>
    <t>Mr. Mike Mauceri serves as Chief Financial Officer at Lightbank. He serves as a Board Member at Blueprint-Health, BenchPrep, and Snapsheet. He serves as Secretary &amp; Board Member at Drivin. He served as a Board Member at Hatch Loyalty. He joined Lightbank in April 2012 and is responsible for financial reporting, day-to-day management of operations, and finance matters. Before joining Lightbank, he served as corporate controller for MediaOcean, LLC, and accounting manager for Innerworkings, Inc., where he was responsible for various finance and accounting functions. He began his career at Starcom MediaVest Group serving as accounting manager. He earned a bachelor's degree in accounting from Purdue University and is a CPA.</t>
  </si>
  <si>
    <t>mike@lightbank.com</t>
  </si>
  <si>
    <t>238804-66P</t>
  </si>
  <si>
    <t>Stephen Baron</t>
  </si>
  <si>
    <t>Mr. Stephen Baron serves as Advisor at Lightbank. Stephen Baron joined Lightbank as an Advisor in July 2017. His focus is on researching decentralized networks, autonomous systems and alternative asset classes. Stephen applies his unique asset pricing background with proprietary models to analyze distributed consensus algorithm technology. Prior to Lightbank, Stephen was a Fixed-Income and Equity-Option Specialist and Market-Maker for 21 years. He was responsible for the pricing, execution and management of multi-million dollar derivative positions on behalf of his clients. Stephen, born in Boston, Ma, received his degree from the University of Massachusetts at Amherst School of Management with a BBA in Management.</t>
  </si>
  <si>
    <t>37081-00P</t>
  </si>
  <si>
    <t>William Pescatello</t>
  </si>
  <si>
    <t>Pescatello</t>
  </si>
  <si>
    <t>Mr. William Pescatello serves as General Partner at Lightbank. He serves as Board Member at Allfly, and PerBlue. He served as Managing Partner at Evolv Ventures. He previously served as Board Member at Heading Health and Snapsheet. He also served as Board Observer at Flowhub. He also is an Angel Investor. He joined Lightbank in 2011 and was promoted to Partner in September of 2014. While at Lightbank, he led the firm's investments in Centzy, Locu (acquired by GoDaddy), Ovuline, Hireology, PerBlue, and Contently (co-lead), he also served as Board Member at Udemy, Fooda, Lifecrowd, and Whoshere. He joined the team from NBCUniversal, where he was a Vice President and founding member of the Peacock Equity Fund, a $250m venture arm for NBCUniversal. While at Peacock Equity, he served as a board representative at Greystripe, Ramp, and Vivox. Prior to joining NBCUniversal, he worked at GE Capital where he helped finance leading early-stage biotech companies. He worked as a Finance Analyst at Morgan Stanley and at Merrill Lynch within their Global Research Group. He is a Chartered Financial Analyst, holds a Bachelor's Degree from Northwestern University, and graduated with honors from The University of Chicago Booth School of Business.</t>
  </si>
  <si>
    <t>bill@lightbank.com</t>
  </si>
  <si>
    <t>106349-50P</t>
  </si>
  <si>
    <t>Zack Malkin</t>
  </si>
  <si>
    <t>Malkin</t>
  </si>
  <si>
    <t>Mr. Zack Malkin serves as Venture Partner at Lightbank. Mr. Zack Malkin served as Principal at Victory Park Capital. He is responsible for due diligence and financial analysis related to new investment opportunities within the specialty finance sector and assists with portfolio monitoring and management of current Victory Park investments. Previously, Mr. Malkin was an analyst in Ernst &amp; Young's Transaction Advisory Services group, where he provided a full range of operational and financial-focused support across the transaction life cycle, advising both buyers and sellers within healthcare, industrial manufacturing, and consumer products industries. Mr. Malkin graduated from The University of Texas at Austin where he received a Bachelor of Business Administartion in finance.</t>
  </si>
  <si>
    <t>362747-35P</t>
  </si>
  <si>
    <t>Andy Lee</t>
  </si>
  <si>
    <t>Little Green Bamboo Capital</t>
  </si>
  <si>
    <t>Mr. Andy Lee serves as a Partner and advisor at Little Green Bamboo Capital. Based in Boston, he shares with us a rare and keen combination of strategic and technical insights in the healthcare industry. He was selected for the prestigious accelerated BS/MD/MBA program at Northwestern University and is currently an Emergency Medicine Physician at the Massachusetts General Hospital and the Brigham and Women's Hospital.</t>
  </si>
  <si>
    <t>362748-61P</t>
  </si>
  <si>
    <t>David Yu JD</t>
  </si>
  <si>
    <t>Mr. David Yu serves as Partner &amp; Advisor at Little Green Bamboo Capital. Based in Victoria, BC, Mr. Yu shares with us his perspectives in law and policy. He holds an MPA from Columbia University and a JD from Fordham University. He is is currently a volunteer policy analyst at the Canadian House of Commons, and is a director in Victoria's real estate development organization. He is also an active volunteer with nonprofits focused neurological diseases.</t>
  </si>
  <si>
    <t>362747-80P</t>
  </si>
  <si>
    <t>Gabriel Risa Ph.D</t>
  </si>
  <si>
    <t>Risa</t>
  </si>
  <si>
    <t>Dr. Gabriel Risa serves as a Partner and Advisor at Little Green Bamboo Capital. Based in Brussels, he actively provides his support in the technical research and the commercialization process of our team. He holds a PhD in Evolutionary Cell Biology from UCL and was a post-doctoral researcher at Cambridge's MRC Lab of Molecular Biology. After completing his fellowship at FacultyAI, a data science program for academics, he is now the Life Science R&amp;D scientist at SAS Institute.</t>
  </si>
  <si>
    <t>214740-01P</t>
  </si>
  <si>
    <t>Richard Lee</t>
  </si>
  <si>
    <t>Dr. Richard Lee is a Co-Founder &amp; serves as Chief Scientific Officer at MedsForAll. He serves as a Partner and Advisor at Little Green Bamboo Capital. He is a Doctor of Pharmacy and a Technology Entrepreneurship Certificate candidate from the University of Washington School of Pharmacy and Foster School of Business. He specializes in pharmacy practice, clinical trials, biomedical regulatory affairs, health economics, and global health. He has worked in a range of fields in pharmacy including inpatient pharmacy services, and community pharmacy, as a technical consultant for medical literature, and has led medical missions to underserved communities. He is currently a member of Kaiser Permanente, an integrated managed care health consortium, providing clinical pharmacy services.</t>
  </si>
  <si>
    <t>+1 (360) 536-8145</t>
  </si>
  <si>
    <t>richard@medsforallhealth.com</t>
  </si>
  <si>
    <t>3900 East Stevens Way Northeast</t>
  </si>
  <si>
    <t>98195</t>
  </si>
  <si>
    <t>Co-Founder &amp; Chief Scientific Officer</t>
  </si>
  <si>
    <t>MedsForAllHealth</t>
  </si>
  <si>
    <t>281804-23P</t>
  </si>
  <si>
    <t>Yifei Wang</t>
  </si>
  <si>
    <t>Yifei</t>
  </si>
  <si>
    <t>Mr. Yifei Wang serves as Partner and Advisor at Little Green Bamboo Capital. Based in Vancouver, BC, he acts as a generalist and first point of contact for many new discoveries and technologies. He received a Liberal Studies education from UCLA and a Master in Global Business from Peking University, and is currently completing a Fellowship on Social Impact Innovation and Investing with Founder Institute. He brings with him a commitment to social impact and a uniquely multi-disciplinary and multicultural perspective.</t>
  </si>
  <si>
    <t>+1 (778) 683-1432</t>
  </si>
  <si>
    <t>yifei_wang@littlegreenbamboo.com</t>
  </si>
  <si>
    <t>287542-63P</t>
  </si>
  <si>
    <t>Bin Zhou</t>
  </si>
  <si>
    <t>Bin</t>
  </si>
  <si>
    <t>LM VENTURES</t>
  </si>
  <si>
    <t>Mr. Bin Zhou is the Founder &amp; serves as Managing Partner at LM VENTURES. Mr. Zhou is an Angel Investor. Prior to establishing LM VENTURES, he served as managing director at Yazaki Innovation and as a principal at Goodyear Ventures. Before joining Goodyear, he was an investment partner at TCL Ventures</t>
  </si>
  <si>
    <t>bin.zhou@lm.ventures</t>
  </si>
  <si>
    <t>385997-95P</t>
  </si>
  <si>
    <t>Patrick Chen</t>
  </si>
  <si>
    <t>Mr. Patrick Chen serves as Partner at LM VENTURES.</t>
  </si>
  <si>
    <t>patrick.chen@lm.ventures</t>
  </si>
  <si>
    <t>386038-09P</t>
  </si>
  <si>
    <t>Robert Plant</t>
  </si>
  <si>
    <t>Plant</t>
  </si>
  <si>
    <t>Mr. Robert Plant serves as Advisor at LM VENTURES.</t>
  </si>
  <si>
    <t>441741-25P</t>
  </si>
  <si>
    <t>Xitong Zhou</t>
  </si>
  <si>
    <t>Xitong</t>
  </si>
  <si>
    <t>Mr. Xitong Zhou serves as Executive Assistant at LM VENTURES.</t>
  </si>
  <si>
    <t>xitong.zhou@lm.ventures</t>
  </si>
  <si>
    <t>427813-39P</t>
  </si>
  <si>
    <t>Abby Lilly</t>
  </si>
  <si>
    <t>Ms. Abby Lilly serves as Chief Supply Chain Officer at Lockheed Martin. Before joining Lockheed Martin, Mr. Lilly spent nearly six years as vice president of supply chain at appliance manufacturer Eaton. She served in a similar role with industrial engineering firm GKN Aerospace North America from 2010 to 2013.</t>
  </si>
  <si>
    <t>alilly@lockheedmartin.com</t>
  </si>
  <si>
    <t>112113-19P</t>
  </si>
  <si>
    <t>Adam Miller</t>
  </si>
  <si>
    <t>Mr. Adam Miller serves as Director, New Iniitiatives at Lockheed Martin.</t>
  </si>
  <si>
    <t>+1 (301) 897-6000</t>
  </si>
  <si>
    <t>adam.miller@lmco.com</t>
  </si>
  <si>
    <t>6801 Rockledge Drive</t>
  </si>
  <si>
    <t>20817</t>
  </si>
  <si>
    <t>Director, New Iniitiatives</t>
  </si>
  <si>
    <t>88423-57P</t>
  </si>
  <si>
    <t>Allen Johnson</t>
  </si>
  <si>
    <t>Mr. Allen Johnson serves as Executive, Corporate Strategy and Business Development at Lockheed Martin. Mr. Johnson serves as a Project Manager, X-Band Sensors at Missile Defense Agency.</t>
  </si>
  <si>
    <t>+1 (256) 593-5620</t>
  </si>
  <si>
    <t>johnsona@lmco.com</t>
  </si>
  <si>
    <t>Executive, Corporate Strategy and Business Development</t>
  </si>
  <si>
    <t>162707-59P</t>
  </si>
  <si>
    <t>Carl Petersen</t>
  </si>
  <si>
    <t>Petersen</t>
  </si>
  <si>
    <t>Mr. Carl Petersen serves as Director, Program Integration &amp; Operations - Integrated Fighter Group at Lockheed Martin. Mr. Petersen served as Program Management Senior Manager at Lockheed Martin. Mr. Carl Petersen served as Mergers &amp; Acquisitions Leader &amp; Senior Strategist at Lockheed Martin.</t>
  </si>
  <si>
    <t>carl.a.petersen@lmco.com</t>
  </si>
  <si>
    <t>Director, Program Integration &amp; Operations - Integrated Fighter Group</t>
  </si>
  <si>
    <t>448332-58P</t>
  </si>
  <si>
    <t>Casey French</t>
  </si>
  <si>
    <t>French</t>
  </si>
  <si>
    <t>Mr. Casey French serves as Mergers and Acquisitions Director at Lockheed Martin.</t>
  </si>
  <si>
    <t>cfrench@lockheedmartin.com</t>
  </si>
  <si>
    <t>Mergers and Acquisitions Director</t>
  </si>
  <si>
    <t>196592-05P</t>
  </si>
  <si>
    <t>Charles Bartholomew</t>
  </si>
  <si>
    <t>Bartholomew</t>
  </si>
  <si>
    <t>Mr. Charles Bartholomew serves as Program Manager at Lockheed Martin. Mr. Bartholomew served as Chief Operating Officer and Vice President at Three Sigma Software. Mr. Bartholomew is responsible for the company's tactical and day-to-day operation activities, including revenue and sales growth; expense, cost and margin control; and monthly, quarterly and annual financial goal management. Mr. Bartholomew's career includes thirty two years of experience in the engineering and infrastructure services industry, with emphasis on the design, deployment, maintenance and management of information and communication systems. Mr. Bartholomew holds a Bachelor of Science in Aerospace and Ocean Engineering from Virginia Tech, a Master of Science in Systems Management from the University of Southern California, and is a licensed Professional Engineer.</t>
  </si>
  <si>
    <t>cb@lmco.com</t>
  </si>
  <si>
    <t>Program Manager</t>
  </si>
  <si>
    <t>370224-64P</t>
  </si>
  <si>
    <t>Chris Wronsky</t>
  </si>
  <si>
    <t>Wronsky</t>
  </si>
  <si>
    <t>Chief Human Resources Officer &amp; Senior Vice President</t>
  </si>
  <si>
    <t>Mr. Chris Wronsky serves as Senior Vice President &amp; Chief Human Resources Officer at Lockheed Martin. Mr. Wronsky is responsible for the corporation's workforce of 116,000 employees in more than 50 countries around the world. Wronsky is responsible for leading global human resources (HR) strategy and cultivating talent across the corporation. His portfolio includes total rewards, talent acquisition, diversity and inclusion, labor relations, talent and organizational capability, and HR transformation. He also oversees the corporation's global security organization. Wronsky has over three decades of experience in HR, starting his career at IBM. He most recently served as the vice president of HR for Lockheed Martin's Rotary and Mission Systems business area. Formerly, he held roles as vice president for Lockheed Martin's international HR organization based in London and vice president of HR for Systems Integration in Owego, NY. He also led HR for the Lockheed Martin Maritime Systems and Sensors (MS2) business in Moorestown, New Jersey, and the MS2 Undersea Systems line of business in Manassas, Virginia. A native of central New York, Wronsky holds a bachelor's degree in industrial and labor relations from Cornell University and a master's degree in global human resource management from Rutgers University.</t>
  </si>
  <si>
    <t>chris.wronsky@lmco.com</t>
  </si>
  <si>
    <t>Senior Vice President &amp; Chief Human Resources Officer</t>
  </si>
  <si>
    <t>383310-01P</t>
  </si>
  <si>
    <t>Christopher Fritz</t>
  </si>
  <si>
    <t>Mr. Christopher Fritz serves as Director, Investor Relations at Lockheed Martin.</t>
  </si>
  <si>
    <t>cfritz@lockheedmartin.com</t>
  </si>
  <si>
    <t>88424-56P</t>
  </si>
  <si>
    <t>Chuck Hollingsworth</t>
  </si>
  <si>
    <t>Hollingsworth</t>
  </si>
  <si>
    <t>Mr. Chuck Hollingsworth serves as Executive of Talent and Training, Corporate Strategy and Business Development at Lockheed Martin. Mr. Hollingsworth served as Director of Corporate Strategy &amp; Business Development at Lockheed Martin. Currently, he is leading corporate efforts to re-invigorate quality Customer Relations and foster a customer-focused culture. Previously, he served as a Naval Officer at US Govt.</t>
  </si>
  <si>
    <t>chuck.hollingsworth@lmco.com</t>
  </si>
  <si>
    <t>Executive of Talent and Training, Corporate Strategy and Business Development</t>
  </si>
  <si>
    <t>397503-91P</t>
  </si>
  <si>
    <t>Craig Martell Ph.D</t>
  </si>
  <si>
    <t>Martell</t>
  </si>
  <si>
    <t>Chief Technology Officer &amp; Vice President</t>
  </si>
  <si>
    <t>Dr. Craig Martell serves as Chief AI Officer at Cohesity. Dr. Martell serves as Chief Technology Officer &amp; Vice President at Lockheed Martin. Dr. Martell shapes Cohesity's technical vision-and defines and executes a strategic roadmap for the company's future. Craig brings extensive industry and public sector experience and expertise in artificial intelligence (AI) and machine learning to his role. Most recently, as the first Chief Digital and Artificial Intelligence Officer (CDAO) for the U.S. Department of Defense, Craig accelerated the adoption of data, analytics, digital solutions, and AI functions. Prior to the DoD, he held senior roles at several leading technology companies. He served as Head of Machine Learning at Lyft, Head of Machine Intelligence at Dropbox, and was a leader of numerous AI teams and initiatives at LinkedIn. Craig was also a tenured computer science professor at the Naval Postgraduate School specializing in natural language processing. He holds a Ph.D. in Computer Science from the University of Pennsylvania.</t>
  </si>
  <si>
    <t>+1 (855) 214-3133</t>
  </si>
  <si>
    <t>craig@cohesity.com</t>
  </si>
  <si>
    <t>300 Park Avenue</t>
  </si>
  <si>
    <t>Suite 1700</t>
  </si>
  <si>
    <t>95110</t>
  </si>
  <si>
    <t>Chief AI Officer</t>
  </si>
  <si>
    <t>Cohesity</t>
  </si>
  <si>
    <t>81765-10P</t>
  </si>
  <si>
    <t>Daniel Henry</t>
  </si>
  <si>
    <t>Mr. Daniel Henry serves as FP&amp;A Professional at Lockheed Martin. Mr. Henry previously was Cash / Treasury Analyst at Lockheed Martin. He is responsible for evaluating targets regularly for Lockheed Martin Aeronautics line of business. Previously, he served as a Treasury Analyst at Lockheed Martin.</t>
  </si>
  <si>
    <t>FP&amp;A Professional</t>
  </si>
  <si>
    <t>110755-90P</t>
  </si>
  <si>
    <t>Danielle Stone</t>
  </si>
  <si>
    <t>Ms. Danielle Stone serves as Integrated Product Team Lead at Lockheed Martin. Mr. Stone is responsible for in-depth cost analysis to program office, engineering, and business operations identifying potential improvements and exposures through P&amp;L tracking and earned value management analysis and also ensures audit compliance and support all DCMA audits.</t>
  </si>
  <si>
    <t>Integrated Product Team Lead</t>
  </si>
  <si>
    <t>424360-36P</t>
  </si>
  <si>
    <t>Danya Trent</t>
  </si>
  <si>
    <t>Danya</t>
  </si>
  <si>
    <t>Ms. Danya Trent serves as Vice President Air Mobility &amp; Maritime Missions at Lockheed Martin.</t>
  </si>
  <si>
    <t>d-t@lmco.com</t>
  </si>
  <si>
    <t>Vice President Air Mobility &amp; Maritime Missions</t>
  </si>
  <si>
    <t>88405-75P</t>
  </si>
  <si>
    <t>David Malloy Ph.D</t>
  </si>
  <si>
    <t>Malloy</t>
  </si>
  <si>
    <t>Dr. David Malloy serves as Director, Facilities at Lockheed Martin. Dr. Malloy served as Director of Corporate Strategy at Lockheed Martin. He develops strategic plans, conduct market analyses, identify and evaluate merger and acquisition (M&amp;A) candidates. Previously as Director &amp; Chief Engineer of New Ventures, led the development of system, product, and technology offerings in utility scale renewable energy, nanotechnology, advanced sensors, and defense electronics for $6B unit of Lockheed Martin. Prior to joining Lockheed Martin, he served as a Manager at Deloitte Consulting.</t>
  </si>
  <si>
    <t>+1 (757) 262-7267</t>
  </si>
  <si>
    <t>dmalloy@cincom.com</t>
  </si>
  <si>
    <t>Director, Facilities</t>
  </si>
  <si>
    <t>145039-96P</t>
  </si>
  <si>
    <t>David Minnick</t>
  </si>
  <si>
    <t>Minnick</t>
  </si>
  <si>
    <t>Mr. David Minnick serves as Program Quality Engineering Manager at Lockheed Martin.</t>
  </si>
  <si>
    <t>d.minnick@lockheedmartin.com</t>
  </si>
  <si>
    <t>Program Quality Engineering Manager</t>
  </si>
  <si>
    <t>353660-59P</t>
  </si>
  <si>
    <t>David Tatro</t>
  </si>
  <si>
    <t>Tatro</t>
  </si>
  <si>
    <t>Mr. David Tatro serves as Vice President of Operations Transformation at Lockheed Martin.</t>
  </si>
  <si>
    <t>Vice President of Operations Transformation</t>
  </si>
  <si>
    <t>195795-64P</t>
  </si>
  <si>
    <t>Dean Acosta</t>
  </si>
  <si>
    <t>Mr. Dean Acosta serves as Senior Vice President &amp; Chief Communications Officer at Lockheed Martin. Mr. Acosta served as Chief Communications Officer at Resideo Technologies.Previously, He was vice president of Global Communications for Honeywell's Home and Building Technologies business, and before that, for the Automation and Control Solutions business.The Emmy-Award-winning former journalist brings more than 25 years of experience as a communications executive to his role, including high-profile leadership roles in public affairs, government relations and communications campaigns for three Fortune 100 companies and NASA.He earned his bachelor's degree from the University of Texas at San Antonio and his master's degree in strategic communication and leadership from Seton Hall University. Mr. Acosta has almost three decades of experience in communications and journalism, with much of it spent leading corporate communications teams, in the technology, energy and aerospace and defense sectors. Most recently, he served as vice president and chief communications officer for Resideo, a smart home technology company, where he led employee and executive communications, media relations, social media and public affairs. Prior to that, Mr. Acosta was vice president of Global Communications for two of Honeywell's businesses, and he also served as Phillips 66's global head of Corporate Communications. His career includes communications director roles at Lockheed Martin and Boeing. He also served as press secretary for NASA in the aftermath of the space shuttle Columbia disaster and through the shuttle program's return to flight. He began his career as an award-winning print and broadcast journalist.</t>
  </si>
  <si>
    <t>dean.acosta@lmco.com</t>
  </si>
  <si>
    <t>Senior Vice President &amp; Chief Communications Officer</t>
  </si>
  <si>
    <t>415276-30P</t>
  </si>
  <si>
    <t>Dennis Goege</t>
  </si>
  <si>
    <t>Goege</t>
  </si>
  <si>
    <t>Dr. Dennis Goege serves as Vice President and Chief Executive for Europe at Lockheed Martin.</t>
  </si>
  <si>
    <t>dennis.goege@lmco.com</t>
  </si>
  <si>
    <t>Vice President and Chief Executive for Europe</t>
  </si>
  <si>
    <t>110648-71P</t>
  </si>
  <si>
    <t>Doug Laurendeau</t>
  </si>
  <si>
    <t>Laurendeau</t>
  </si>
  <si>
    <t>Mr. Doug Laurendeau serves as Director, Business Development at Lockheed Martin.</t>
  </si>
  <si>
    <t>doug.laurendeau@lmco.com</t>
  </si>
  <si>
    <t>88407-19P</t>
  </si>
  <si>
    <t>Douglas Williams</t>
  </si>
  <si>
    <t>Mr. Douglas Williams serves as Director, Enterprise Strategic Initiative at Lockheed Martin. Mr. Williams previously served as a Director of Corporate Strategy at Lockheed Martin.</t>
  </si>
  <si>
    <t>douglas.williams@lmco.com</t>
  </si>
  <si>
    <t>Director, Enterprise Strategic Initiative</t>
  </si>
  <si>
    <t>448410-43P</t>
  </si>
  <si>
    <t>Eji Juber Ph.D</t>
  </si>
  <si>
    <t>Eji</t>
  </si>
  <si>
    <t>Juber</t>
  </si>
  <si>
    <t>Dr. Eji Juber serves as Director, Diversity &amp; Inclusion at Lockheed Martin.</t>
  </si>
  <si>
    <t>ejuber@lockheedmartin.com</t>
  </si>
  <si>
    <t>Director, Diversity &amp; Inclusion</t>
  </si>
  <si>
    <t>243228-79P</t>
  </si>
  <si>
    <t>Eric Scherff</t>
  </si>
  <si>
    <t>Scherff</t>
  </si>
  <si>
    <t>Mr. Eric Scherff serves as Vice President, Fleet Ballistic Missile program at Lockheed Martin.</t>
  </si>
  <si>
    <t>eric.scherff@lmco.com</t>
  </si>
  <si>
    <t>Vice President, Fleet Ballistic Missile program</t>
  </si>
  <si>
    <t>88425-82P</t>
  </si>
  <si>
    <t>Eva Kwan</t>
  </si>
  <si>
    <t>Ms. Eva Kwan serves as Strategy Engagement Senior Manager at Lockheed Martin. Ms. Kwan previously served as Technology Strategy Lead, Principal at Lockheed Martin. She served as Strategic Planner Senior Staff- Information Systems &amp; Global Solutions at Lockheed Martin. She supports design and execution of the annual Strategic Plan for a $10B IT business, including continued development of emerging adjacent markets, portfolio shaping and acquisition initiatives. Previously, she served as a Strategic Planner Staff at Lockheed Martin Information Systems &amp; Global Solutions.</t>
  </si>
  <si>
    <t>eva.kwan@lmco.com</t>
  </si>
  <si>
    <t>Strategy Engagement Senior Manager</t>
  </si>
  <si>
    <t>443295-37P</t>
  </si>
  <si>
    <t>Evan Scott</t>
  </si>
  <si>
    <t>n April 17, 2025, Lockheed Martin also announced that Evan T. Scott has been appointed Chief Financial Officer effective April 17, 2025. Mr. Scott, age 48, has served as Vice President and Chief Financial Officer of the Missiles and Fire Control business segment of the Company since January 1, 2024. He previously served in a number of other capacities at Lockheed Martin, including as Vice President and Treasurer from June 2022 through December 2023; Vice President, Finance and Business Operations of the Space business segment from March 2019 to August 2021; and Vice President and Controller of the Missiles and Fire Control business segment from March 2015 to March 2019.</t>
  </si>
  <si>
    <t>escott@lockheedmartin.com</t>
  </si>
  <si>
    <t>110652-40P</t>
  </si>
  <si>
    <t>Francis Veltre</t>
  </si>
  <si>
    <t>Veltre</t>
  </si>
  <si>
    <t>Mr. Francis Veltre serves as Operations Chief Engineer at Lockheed Martin. Mr. Veltre assists in developing program direction, ensuring all requirements allocated to the HWCET are met, and facilitating the resolution of both internal team as well as cross-team issues.</t>
  </si>
  <si>
    <t>francis.veltre@lockheedmartin.com</t>
  </si>
  <si>
    <t>Operations Chief Engineer</t>
  </si>
  <si>
    <t>177458-14P</t>
  </si>
  <si>
    <t>Frank St John</t>
  </si>
  <si>
    <t>St John</t>
  </si>
  <si>
    <t>Mr. Frank St. John serves as Chief Operating Officer at Lockheed Martin. Mr. St John has held this role since June 2020 and is responsible for the strategic, operational, and financial performance of all of the corporation's business areas, totaling almost $60 billion in sales. St. John joined Lockheed Martin more than 30 years ago and took on roles of increasing responsibility in engineering and program management before joining the corporation's executive leadership team in January 2018. Most recently, he served as executive vice president of Rotary and Mission Systems (RMS), leading a $16 billion enterprise employing 34,000 people across the globe. Under his leadership, the RMS portfolio featured more than 1,000 programs, including helicopters, integrated air, and missile defense, littoral warfare, undersea warfare, radar, electronic warfare, cyber solutions, C4ISR, and training and logistics systems. He regularly interacted with the U.S. Air Force, U.S. Army, U.S. Coast Guard, U.S. Marine Corps, U.S. Navy, and Missile Defense Agency, as well as intelligence, civil, commercial, and international military customers. Prior to that, he served as Missiles and Fire Control's (MFC) executive vice president where he was responsible for ensuring MFC's lines of business successfully met the company's commitments and responsibilities to its customers and the corporation. During his tenure at MFC, St. John also served as executive vice president and deputy of Programs, vice president of Tactical Missiles/Combat Maneuver Systems, and served as the site general manager for the MFC Orlando campus. St. John earned Bachelor of Science and Master of Science degrees in electrical engineering from the University of Central Florida. He is a member of the Institute of Electrical and Electronics Engineers, Air Force Association, Surface Navy Association and serves on the boards of the Association of the United States Army and U.S.-India Strategic Partnership Forum.</t>
  </si>
  <si>
    <t>frank.stjohn@lmco.com</t>
  </si>
  <si>
    <t>258420-61P</t>
  </si>
  <si>
    <t>Greg Gardner Ph.D</t>
  </si>
  <si>
    <t>Dr. Greg Gardner serves as Vice President, Investor Relations at Lockheed Martin.</t>
  </si>
  <si>
    <t>+1 (301) 897-6584</t>
  </si>
  <si>
    <t>greg.m.gardner@lmco.com</t>
  </si>
  <si>
    <t>252680-05P</t>
  </si>
  <si>
    <t>Gregory Ulmer</t>
  </si>
  <si>
    <t>Ulmer</t>
  </si>
  <si>
    <t>Mr. Gregory Ulmer serves as President, Aeronautics at Lockheed Martin. Mr. Ulmer was the vice president and general manager of the F-35 Lightning II program. In this capacity, he was responsible for leading all areas of the F-35 Lightning II fighter aircraft program, including development, production, sustainment and modernization. He previously served as Lockheed Martin Aeronautics' vice president of F-35 Aircraft Production. In that role, he was responsible for all aspects of global F-35 production and delivery, including program management, production operations, supply chain management, quality, affordability, tooling and manufacturing rate readiness and customer engagement. He also previously served as the vice president of operations for the Skunk Works. In this role, he was responsible for ADP operations undertaken by more than 3,000 employees across multiple Aeronautics sites, overseeing the F-22 Raptor Modification Line, U-2 Dragon Lady Periodic Depot Maintenance, F-35 Lightning II subassembly work and ADP Special Programs. Throughout his career, Ulmer has led several critical initiatives for Lockheed Martin as the C-5 vice president and program manager responsible for the overall operations and leadership of the C-5 Reliability Enhancement and Re-Engining Program and the Avionics Modernization Program; C-130 deputy program manager for operations; C-130 air vehicle director; deputy chief engineer and Flight Test integrated product team senior manager; and other roles. Ulmer began his career as a flight test engineer supporting the MD-11, C-17 and C-130J programs from first flight through certification for all three aircraft. Ulmer serves on the National Air and Space Museum Board, the National Board of Directors for Rebuilding Together and the Board of Directors for the Fort Worth Economic Development Partnership. He is also a fellow in the Royal Aeronautical Society. He is a graduate of California Polytechnic State University in San Luis Obispo, California, where he received a bachelor's degree in aeronautical engineering, and he holds an executive master's degree in business management with an emphasis on aerospace from the University of Tennessee.</t>
  </si>
  <si>
    <t>greg.m.ulmer@lmco.com</t>
  </si>
  <si>
    <t>President, Aeronautics</t>
  </si>
  <si>
    <t>31010-05P</t>
  </si>
  <si>
    <t>Howard Yellen</t>
  </si>
  <si>
    <t>Yellen</t>
  </si>
  <si>
    <t>Mr. Howard Yellen serves as Vice President of Special Operations Support Contractor Logistics Support Services (SOF CLSS) at Lockheed Martin. Before joining Lockheed Martin, Mr. Yellen was the Executive Vice President for Patriarch Partners, a private equity firm. He holds a bachelor of arts degree from Temple University, a masters of science degree from the Navy Postgraduate School and a masters of arts degree from the Naval War College.</t>
  </si>
  <si>
    <t>+1 (859) 368-9381</t>
  </si>
  <si>
    <t>Vice President of Special Operations Support Contractor Logistics Support Services (SOF CLSS)</t>
  </si>
  <si>
    <t>32869-45P</t>
  </si>
  <si>
    <t>James Taiclet Jr.</t>
  </si>
  <si>
    <t>Taiclet</t>
  </si>
  <si>
    <t>Mr. James Taiclet serves as Chairman, President and Chief Executive Officer at Lockheed Martin. Mr. Taiclet served as Chairman, President, Chief Executive Officer and Board Member at Apex Site Management. He joined the company in this role in June 2020 and has been a director on the Lockheed Martin board of directors since January 2018. Prior to joining Lockheed Martin, Mr. Taiclet was chairman, president, and chief executive officer of American Tower Corporation, the fourth largest listed telecommunications company in the U.S. Under his leadership as CEO, the company's market capitalization grew from approximately $2 billion to over $100 billion. He guided the company's transformation from a primarily U.S. business to the only truly global player in its industry, with significant assets and operations in 19 countries around the world. Prior to joining American Tower, Mr. Taiclet served as president of Allied Signal, subsequently, Honeywell Aerospace Services, conducting worldwide aircraft engine and component overhaul and repair, parts sales and distribution, space operations, and technical services. Prior to that, he served as vice president, Engine Services at Pratt &amp; Whitney, responsible for both military and commercial jet engine overhaul and repair. Mr. Taiclet began his career as a United States Air Force officer and pilot, where he logged over 5,000 flying hours as an aircraft commander, instructor pilot, and unit chief of Standardization and Evaluation. His rotational assignments included the Joint Staff and Air Staff at the Pentagon, and he served in the Gulf War and among other missions, was a pilot in one of the first transport aircraft deploying U.S. forces into Saudi Arabia during Operation Desert Shield, a Lockheed C-141B Starlifter. He holds a master's degree from Princeton University, where he was awarded a Fellowship at the Woodrow Wilson School, and he is a distinguished graduate of the United States Air Force Academy with degrees in engineering and international relations.</t>
  </si>
  <si>
    <t>+1 (301) 897-6689</t>
  </si>
  <si>
    <t>jim.taiclet@lmco.com</t>
  </si>
  <si>
    <t>Chairman, President and Chief Executive Officer</t>
  </si>
  <si>
    <t>110674-09P</t>
  </si>
  <si>
    <t>Jamie Morvis</t>
  </si>
  <si>
    <t>Morvis</t>
  </si>
  <si>
    <t>Mr. Jamie Morvis serves as Director of Corporate Development at Lockheed Martin. Prior to that, Mr. Morvis served as a Vice President, Corporate Development at OpenText. He leads global mergers &amp; acquisitions transaction execution within security, aerospace, and IT services sectors. He is also responsible for analysis, engagement, negotiation or structuring, and deal fulfillment of advanced technology systems, products and services with focus on international and cross-border mergers &amp; acquisitions.</t>
  </si>
  <si>
    <t>jamie.morvis@lmco.com</t>
  </si>
  <si>
    <t>145161-01P</t>
  </si>
  <si>
    <t>Jeff Cunningham</t>
  </si>
  <si>
    <t>Mr. Jeff Cunningham serves as Senior Investment Manager at Lockheed Martin. Mr. Cunningham serves as Board Member at EdgeQ. Mr. Cunningha serves as Investment Manager, Lockheed Martin Ventures at Lockheed Martin. Mr. Cunningha serves as a Board Observer at Humatics. He serves as a Board Member at Ocean Aero. He served as Financial Analyst Staff - Corporate Development at Lockheed Martin. He serves as Board Member &amp; Advisor at 3D Glass Solutions. He serves as Board Observer at DeepSig. In this capacity, he is responsible for leading the Corporation's investments in emerging technology companies that support Lockheed Martin's strategic business objectives. Mr. Cunningham has led venture capital investments across a variety of technology disciplines including Space Technologies, Cyber Security, Semiconductor and Next-Generation Electronics, Sustainability Initiatives, Quantum Computing, Advanced Energy Solutions and Autonomous Vehicle Technologies. Prior to joining Lockheed Martin Ventures, Mr. Cunningham served as a finance lead for a $4.6 billion Lockheed Martin program supporting the Department of Defense's global data network. As one of the first employees on the program, he helped grow the contract into one of the largest and most profitable programs in the Information Systems &amp; Global Solutions business area. Mr. Cunningham has served in various roles with Lockheed Martin including corporate development, program management finance, and financial planning and analysis. Mr. Cunningham earned his master's degree in Business Administration from the University of Maryland and his bachelor's degree from Virginia Tech.</t>
  </si>
  <si>
    <t>+1 (407) 306-7311</t>
  </si>
  <si>
    <t>jcunningham@lockheedmartin.com</t>
  </si>
  <si>
    <t>+1 (720) 479-2750</t>
  </si>
  <si>
    <t>Lockheed Martin Ventures</t>
  </si>
  <si>
    <t>52358-32P</t>
  </si>
  <si>
    <t>Jennifer Allen</t>
  </si>
  <si>
    <t>Ms. Jennifer Allen serves as Vice President, Communications at Lockheed Martin.</t>
  </si>
  <si>
    <t>jennifer.l.allen@lmco.com</t>
  </si>
  <si>
    <t>Vice President, Communications</t>
  </si>
  <si>
    <t>110760-76P</t>
  </si>
  <si>
    <t>Jessica Nielsen</t>
  </si>
  <si>
    <t>Ms. Jessica Nielsen serves as Vice President of Marketing &amp; Communications at Lockheed Martin. Ms. Nielsen is responsible for all facets of communications for $8 billion business unit at Lockheed Martin across multiple countries. Before joining Lockheed Martin, Nielsen was Executive Director, Global Communications and Influencer Relations for Dell's $8 billion IT Services business, where she built a new communications team focused on analyst relations, community affairs, media relations, social media, executive communications and employee engagement. Nielsen has spent more than 15 years working in communications positions of increasing responsibility for multiple companies in aerospace and defense, IT services, manufacturing and consumer goods. Throughout her career she has worked around the globe including assignments in Europe, the Middle East and India. She has taught at Georgetown University, holds a bachelor's degree in Human and Organizational Development from Vanderbilt University and a master's degree in Integrated Marketing Communications from Northwestern University.</t>
  </si>
  <si>
    <t>Vice President of Marketing &amp; Communications</t>
  </si>
  <si>
    <t>217873-00P</t>
  </si>
  <si>
    <t>Jesus Malave JD</t>
  </si>
  <si>
    <t>Malave</t>
  </si>
  <si>
    <t>Mr. Jay Malave serves as Board Member at GE Vernova. Mr. Malave served as Chief Financial Officer at Lockheed Martin. In this role, he is responsible for all aspects of the corporation's financial strategies, processes, and operations. Prior to joining Lockheed Martin, he served as Senior Vice President and CFO for L3Harris Technologies. In this role, he was responsible for oversight of all internal and external financial reporting, and the development of the corporation's strategic plan and the evaluation, execution and integration of mergers and acquisitions. Prior to joining L3Harris in June 2019, he served as Vice President and CFO for Carrier, an operating unit of United Technologies. He joined UTC's Corporate Office in 1997 and held roles of increasing responsibility. In 2011, he led the finance functional integration of Hamilton Sundstrand and UTC's Goodrich acquisition. In 2012, he was appointed head of investor relations for the corporation, where he spent two years working with UTC's business units to effectively communicate the company's outlook and performance to investors. He was then appointed CFO of UTC Aerospace Systems, where he served until joining Carrier Corporation in 2018. He earned a Bachelor's degree in Mathematics from the University of Connecticut, a Master's in accounting from the University of Hartford and a Juris Doctor from the University of Connecticut School of Law.</t>
  </si>
  <si>
    <t>118689-76P</t>
  </si>
  <si>
    <t>Joe Garland</t>
  </si>
  <si>
    <t>Mr. Joe Garland serves as Vice President, International Business Development at Lockheed Martin.</t>
  </si>
  <si>
    <t>joe.garland@lockheedmartin.com</t>
  </si>
  <si>
    <t>Vice President, International Business Development</t>
  </si>
  <si>
    <t>44246-71P</t>
  </si>
  <si>
    <t>Joel Key</t>
  </si>
  <si>
    <t>Key</t>
  </si>
  <si>
    <t>Mr. Joel Key serves as Multifunctional Finance Senior Manager and FSO at Lockheed Martin. Previously, Mr. Key served as the Chief Financial Officer at ChandlerMay.</t>
  </si>
  <si>
    <t>+1 (256) 722-0175</t>
  </si>
  <si>
    <t>jkey@lmco.com</t>
  </si>
  <si>
    <t>Multifunctional Finance Senior Manager and FSO</t>
  </si>
  <si>
    <t>138461-59P</t>
  </si>
  <si>
    <t>John Christopher</t>
  </si>
  <si>
    <t>Mr. John Moran serves as Vice President &amp; General Manager at Lockheed Martin. Mr. Moran serves as Board Member at Elroy Air. He served as Board Member at IQ-Analog. He is the venture capital investment arm of Lockheed Martin Corporation. In this capacity, he is responsible for leading the Corporation's investments in small technology companies which support Lockheed Martin's strategic business objectives. Before joining Lockheed Martin, He served in a variety of increasingly responsible positions at Applied Materials, Inc., Santa Clara, CA. He served most recently as the head of the Business Systems and Analytics group in the Applied Global Services Organization. Chris was with Applied for over 32 years. Before his most recent role, Chris was head of Corporate Strategy and General Manager of Applied Ventures LLC; the strategic investing arm of Applied Materials. He is a graduate of the Massachusetts Institute of Technology where he obtained both his Bachelor's and Master's degrees in Mechanical Engineering.</t>
  </si>
  <si>
    <t>jmoran@lockheedmartin.com</t>
  </si>
  <si>
    <t>Executive Director &amp; General Manager</t>
  </si>
  <si>
    <t>199091-80P</t>
  </si>
  <si>
    <t>Josh Reitsema</t>
  </si>
  <si>
    <t>Reitsema</t>
  </si>
  <si>
    <t>Mr. Josh Reitsema serves as Business and Technology Alignment Lead at Lockheed Martin.</t>
  </si>
  <si>
    <t>josh.reitsema@lmco.com</t>
  </si>
  <si>
    <t>Business and Technology Alignment Lead</t>
  </si>
  <si>
    <t>81764-02P</t>
  </si>
  <si>
    <t>Kelly Lehman</t>
  </si>
  <si>
    <t>Ms. Kelly Lehman serves as Senior Manager, Corporate Development at Lockheed Martin. Ms. Lehman served as Manager, Corporate Development at Lockheed Martin. Previously, she served as a Corporate Development Manager at Lockheed Martin. She is a graduate of Old Dominion University.</t>
  </si>
  <si>
    <t>+1 (410) 563-0730</t>
  </si>
  <si>
    <t>Senior Manager, Corporate Development</t>
  </si>
  <si>
    <t>200708-11P</t>
  </si>
  <si>
    <t>Kenneth Possenriede</t>
  </si>
  <si>
    <t>Possenriede</t>
  </si>
  <si>
    <t>Mr. Kenneth Possenriede served as Chief Financial Officer at Lockheed Martin. Mr. Possenriede previously served as vice president of Finance and Program Management at Aeronautics, where he was responsible for the business area's finances and program management processes, including accounting, contracts, business management, financial planning, scheduling, and earned value. He also served as vice president and treasurer for Lockheed Martin. In that role, he was responsible for the company's worldwide banking activity, including global treasury operations, foreign exchange, and capital markets, rating agency relations, capital planning, facilities, and risk management. He holds a Master of Business Administration from the University of Michigan and a bachelor's degree from Rutgers University in economics.</t>
  </si>
  <si>
    <t>74948-41P</t>
  </si>
  <si>
    <t>Leo Mackay Ph.D</t>
  </si>
  <si>
    <t>Dr. Leo Mackay serves as Strategic Advisor at Pegasus Capital Advisors. Dr. Mackay serves as Board Member at Cognizant Technology Solutions. He serves as Senior Vice President - Ethics and Enterprise Assurance at Lockheed Martin. He is an elected corporate officer reporting to the Chief Executive Officer and serves the Board of Directors, of Lockheed Martin Corporation. It is a $30B leading global supplier of business and IT services. He was previously Vice President of Corporate Business Development and President of ICGS, LLC, a joint venture of Lockheed Martin and Northrop Grumman. Additionally, he has had general management responsibility at Textron Corporation and Affiliated Computer Systems (now a division of Xerox). He served as Deputy Secretary of Veterans Affairs from 2001-2003 receiving the Exceptional Service Medal, the VA's highest honor, for his service. He is a member of the Council on Foreign Relations, the board of directors of the Center for a New American Security, chairman of the Board of Visitors of the School of Public Policy at the University of Maryland, and a member of the Aspen Strategy Group. A Secretary of the Navy Distinguished Graduate of the U. S. Naval Academy, he is a former naval aviator, and a veteran of Operation Earnest Will. He earned a master's degree, and a Ph.D., in public policy from Harvard University.</t>
  </si>
  <si>
    <t>+1 (703) 249-1233</t>
  </si>
  <si>
    <t>leo@usaa.com</t>
  </si>
  <si>
    <t>750 East Main Street</t>
  </si>
  <si>
    <t>+1 (203) 869-6940</t>
  </si>
  <si>
    <t>Pegasus Capital Advisors</t>
  </si>
  <si>
    <t>219917-98P</t>
  </si>
  <si>
    <t>Lorraine Ben</t>
  </si>
  <si>
    <t>Lorraine</t>
  </si>
  <si>
    <t>Ms. Lorraine Ben serves as Chief Executive, Canada at Lockheed Martin. Ms. Ben was was appointed Chief Executive for Lockheed Martin Canada in June 2019. Lorraine rejoined Lockheed Martin Canada in August 2015 as Director of Business Development and Strategy. In this role, she was responsible for the development and execution of strategies to grow the business and strengthen customer relationships. Under her leadership, Lockheed Martin Canada is responsible for delivering on country-specific strategies, maintaining and strengthening strategic customer and partner relationships. As the corporation's in-country lead, Lorraine facilitates access to Lockheed Martin's broad portfolio of products and technologies to help Canada address its security and defence challenges. Prior to joining Lockheed Martin Canada in 2015, she served in a variety of Business Development Executive roles with Lockheed Martin in Owego New York, TELUS, Accenture and IBM. Lorraine graduated from Laurentian University with a bachelor's degree in English/Law.</t>
  </si>
  <si>
    <t>+1 (407) 356-2000</t>
  </si>
  <si>
    <t>lorraine.ben@lmco.com</t>
  </si>
  <si>
    <t>Orlando</t>
  </si>
  <si>
    <t>Orlando, FL</t>
  </si>
  <si>
    <t>5600 Sand Lake Road</t>
  </si>
  <si>
    <t>32819</t>
  </si>
  <si>
    <t>Chief Executive, Canada</t>
  </si>
  <si>
    <t>157274-74P</t>
  </si>
  <si>
    <t>Maria Lee</t>
  </si>
  <si>
    <t>Executive &amp; Treasurer</t>
  </si>
  <si>
    <t>Ms. Maria Lee serves as Vice President, Treasurer and Investor Relations at Lockheed Martin. Ms. Ricciardone has served as Vice President, Treasurer and Investor Relations since January 1, 2024. She previously served as Vice President, Investor Relations from October 2022 to December 2023. Prior to joining Lockheed Martin in October 2022, she served as Vice President, Finance - FP&amp;A and Global Components for Arrow Electronics from June 2019 to October 2022. Prior to that, she served as Vice President, Strategy and Investor Relations at Hubbell Incorporated from March 2015 to June 2019.</t>
  </si>
  <si>
    <t>Vice President, Treasurer and Investor Relations</t>
  </si>
  <si>
    <t>383308-57P</t>
  </si>
  <si>
    <t>Maria Ricciardone</t>
  </si>
  <si>
    <t>Ricciardone</t>
  </si>
  <si>
    <t>Ms. Maria Ricciardone serves as Vice President, Treasurer &amp; Investor Relations at Lockheed Martin.</t>
  </si>
  <si>
    <t>+1 (301) 897-6800</t>
  </si>
  <si>
    <t>mricciardone@lockheedmartin.com</t>
  </si>
  <si>
    <t>Vice President, Treasurer &amp; Investor Relations</t>
  </si>
  <si>
    <t>165333-16P</t>
  </si>
  <si>
    <t>Mark Arifin</t>
  </si>
  <si>
    <t>Arifin</t>
  </si>
  <si>
    <t>Mr. Mark Arifin serves as Director, Strategic Transactions at LMEvolve at Lockheed Martin. Mr. Arifin served as Executive, Corporate Development &amp; Mergers and Acquisitions at Lockheed Martin.</t>
  </si>
  <si>
    <t>m.arifin@lockheedmartin.com</t>
  </si>
  <si>
    <t>Director, Strategic Transactions at LMEvolve</t>
  </si>
  <si>
    <t>88406-56P</t>
  </si>
  <si>
    <t>Michael Elliott JD</t>
  </si>
  <si>
    <t>Elliott</t>
  </si>
  <si>
    <t>Director &amp; General Counsel</t>
  </si>
  <si>
    <t>Mr. Michael Elliott serves as a Director &amp; Associate General Counsel, Corporate Transactions at Lockheed Martin. Previously, Mr. Elliott served as an Associate at Paul, Weiss, Rifkind, Wharton &amp; Garrison.</t>
  </si>
  <si>
    <t>me@lmco.com</t>
  </si>
  <si>
    <t>Director &amp; Associate General Counsel, Corporate Transactions</t>
  </si>
  <si>
    <t>165332-89P</t>
  </si>
  <si>
    <t>Michael Venn</t>
  </si>
  <si>
    <t>Venn</t>
  </si>
  <si>
    <t>Mr. Michael Venn serves as Director, Enterprise Strategy at Lockheed Martin.</t>
  </si>
  <si>
    <t>michael.b.venn@lmco.com</t>
  </si>
  <si>
    <t>383299-30P</t>
  </si>
  <si>
    <t>Michael Williamson Ph.D</t>
  </si>
  <si>
    <t>Dr. Michael Williamson serves as Senior Vice President, Global Business Development &amp; Strategy at Lockheed Martin. In this role, Dr. Williamson is focused on bringing integrated solutions to customers who rely on Lockheed Martin's capabilities and technologies to support their missions and address their most pressing needs. His responsibilities also include establishing comprehensive strategies across the enterprise that will enable future growth. Additionally, he is President of Lockheed Martin International. Previously, he served as Vice President and general manager for Lockheed Martin Missiles and Fire Control (MFC). He also previously served as Vice President of Tactical and Strike Missiles for MFC. In this capacity, he managed significant programs in the areas of Hypersonic Weapon Systems, Close Combat Systems, Strike Systems, Precision Fires and Advanced Programs. He joined Lockheed Martin in 2017 following a distinguished career as a lieutenant general with the U.S. Army. He served as the principal military deputy to the assistant secretary of the Army for Acquisition, Logistics and Technology and director of Acquisition Career Management. He also served as a congressional fellow on Capitol Hill. He holds a Bachelor's degree in Business Administration from Husson University, a Master's in Systems Management from the Naval Postgraduate School, and a Ph.D. in Business Administration from Madison University. He is also a graduate of the Advanced Management Program at the Harvard Business School.</t>
  </si>
  <si>
    <t>mwilliamson@lockheedmartin.com</t>
  </si>
  <si>
    <t>Senior Vice President, Global Business Development &amp; Strategy</t>
  </si>
  <si>
    <t>226254-43P</t>
  </si>
  <si>
    <t>Michele Evans</t>
  </si>
  <si>
    <t>Ms. Michele Evans served as Executive Vice President at Lockheed Martin. Mr. Evans served as Board Member at Cheniere Energy. She has served as Executive Vice President of Aeronautics since October 2018. She previously served as Deputy Executive Vice President of Aeronautics from June 2018 to September 2018. Prior to that, she served as Vice President and General Manager, Integrated Warfare Systems and Sensors business in our Rotary and Missions Systems (RMS) segment from November 2016 to June 2018; and Vice President and General Manager, Undersea Systems business in our RMS segment from 2013 to November 2016.</t>
  </si>
  <si>
    <t>110765-62P</t>
  </si>
  <si>
    <t>Nicholas Yunes JD</t>
  </si>
  <si>
    <t>Yunes</t>
  </si>
  <si>
    <t>Mr. Nicholas Yunes serves as Associate General Counsel at Lockheed Martin.</t>
  </si>
  <si>
    <t>+1 (202) 637-2346</t>
  </si>
  <si>
    <t>165332-44P</t>
  </si>
  <si>
    <t>Omar Hashmi</t>
  </si>
  <si>
    <t>Hashmi</t>
  </si>
  <si>
    <t>Mr. Omar Hashmi serves as Director of Global Business Development and Strategy at Lockheed Martin.</t>
  </si>
  <si>
    <t>Director of Global Business Development and Strategy</t>
  </si>
  <si>
    <t>113506-21P</t>
  </si>
  <si>
    <t>Paul Colonna</t>
  </si>
  <si>
    <t>Colonna</t>
  </si>
  <si>
    <t>Mr. Paul Colonna serves as President &amp; Chief Investment Officer at Lockheed Martin. Mr. Colonna served as Executive Vice President and Chief Investment Officer for Active Fundamental Equity and Fixed Income at State Street. Over his 26-year career, Mr. Paul has established himself as a recognized thought leader in investment management and in leading large investment teams. In his previous role with GEAM, he was President and Chief Investment Officer for Public Investments and a trustee of the GE Pension Trust and the GE Retirement Savings Plan. Mr. Paul was also the chief executive of the GEAM European and Canadian business units. Prior to leading public investments at GEAM, Mr. Paul served as President and Chief Investment Officer for GEAM's fixed income group, managing a global investment team and overseeing more than $50 billion in assets. He also held various other investment positions over his 16-year career with GEAM. Prior to joining GE, he was a Senior Portfolio Manager at Federal Home Loan Mortgage Corp where he headed the mortgage portfolio desk and oversaw all mortgage derivative trading. Before Freddie Mac, Mr. Paul worked for the First Virginia Mortgage Company. Prior to leading public investments at GEAM, Paul served as President and Chief Investment Officer for GEAM's fixed income group, managing a global investment team and overseeing more than $50 billion in assets. He also held various other investment positions over his 16-year career with GEAM. Prior to joining GE, he was a Senior Portfolio Manager at Federal Home Loan Mortgage Corp where he headed the mortgage portfolio desk and oversaw all mortgage derivative trading. Before Freddie Mac, Paul worked for First Virginia Mortgage Company.</t>
  </si>
  <si>
    <t>paul.m.colonna@lmco.com</t>
  </si>
  <si>
    <t>President &amp; Chief Investment Officer</t>
  </si>
  <si>
    <t>186096-88P</t>
  </si>
  <si>
    <t>Randall Bigum</t>
  </si>
  <si>
    <t>Bigum</t>
  </si>
  <si>
    <t>Mr. Randall Bigum serves as Vice President of Strike Weapons at Lockheed Martin.</t>
  </si>
  <si>
    <t>randall-bigum@lmco.com</t>
  </si>
  <si>
    <t>Vice President of Strike Weapons</t>
  </si>
  <si>
    <t>289772-20P</t>
  </si>
  <si>
    <t>Robert Lightfoot</t>
  </si>
  <si>
    <t>Lightfoot</t>
  </si>
  <si>
    <t>Mr. Robert Lightfoot serves as President, of Space at Lockheed Martin. Mr. Lightfoot serves as a Board Member at United Launch Alliance. Previously, Mr. Lightfoot served as vice president of Operations for Lockheed Martin Space responsible for production operations, including assembly, test and launch operations (ATLO), supply chain, quality, program management, and all facilities, logistics, and security services. He also served as vice president of Strategy and Business Development within Lockheed Martin Space. In this capacity, he was responsible for growing the Space business with a comprehensive strategy to develop new markets and while maintaining the current portfolio. Lightfoot also led strategic planning, advanced technology concepts, and new business acquisition efforts for each of the five lines of business. Before joining Lockheed Martin in 2019, he served as the president of LSINC Corporation. Lightfoot spent 29 years at NASA, where he served as associate administrator, the agency's highest-ranking civil service position. He held other critical leadership roles to support space operations, exploration, and science missions including director of the Marshall Space Flight Center in Huntsville, Alabama, and director of Propulsion Test at Stennis Space Center in Mississippi. He also focused on strategies for key missions including the Space Shuttle's return to flight following the Columbia tragedy, then initial transition and retirement efforts for shuttle infrastructure. He was inducted into the State of Alabama Engineering Hall of Fame in 2010. He also received numerous awards during his NASA career, including the Presidential Rank Award for Distinguished Executives, the highest honor for federal government work, in 2006, 2010, and 2016. Lightfoot earned a bachelor's degree in mechanical engineering from the University of Alabama where he is a Distinguished Departmental Fellow for the Department of Mechanical Engineering, a College of Engineering fellow, and previously served on the Mechanical Engineering Advisory Board.</t>
  </si>
  <si>
    <t>robert.m.lightfoot@lmco.com</t>
  </si>
  <si>
    <t>President, Space</t>
  </si>
  <si>
    <t>110766-43P</t>
  </si>
  <si>
    <t>Samuel Guthrie</t>
  </si>
  <si>
    <t>Guthrie</t>
  </si>
  <si>
    <t>Mr. Samuel Guthrie serves as Director, Strategic Development at Lockheed Martin.</t>
  </si>
  <si>
    <t>+1 (301) 897-6837</t>
  </si>
  <si>
    <t>Director, Strategic Development</t>
  </si>
  <si>
    <t>32629-69P</t>
  </si>
  <si>
    <t>Scott Jacobsen</t>
  </si>
  <si>
    <t>Jacobsen</t>
  </si>
  <si>
    <t>Mr. Scott Jacobsen serves as Managing Director, Private Markets at Lockheed Martin. Mr. Jacobsen serves as Head Managing Director, Private Equity at Lockheed Martin. Mr. Scott Jacobsen served as Head of Private Investments for Lockheed Martin Investment Management Company. He served as Senior Portfolio Manager, Private Equity at California Public Employees Retirement System. He also serves as Board Member at Institutional Limited Partners Association. Previously, he was a Director in the US Business Development team at Capital Dynamics. He has over 15 years of experience working with institutional clients in the private equity industry as an advisor and investor. Prior to joining us, Scott was an investment banker at UBS where he advised private equity firms and corporations on capital market transactions and M&amp;A. Previously, he was a consultant at Bain &amp; Company where he advised private equity firms on strategy and performed due diligence on investments. Scott received a Bachelor's degree in History and English from Stanford University and an MBA from Harvard Business School. He is a CFA (Certified Financial Advisor) Charterholder.</t>
  </si>
  <si>
    <t>+1 (415) 352-5584</t>
  </si>
  <si>
    <t>Managing Director, Private Markets</t>
  </si>
  <si>
    <t>89107-03P</t>
  </si>
  <si>
    <t>Scott Weiner</t>
  </si>
  <si>
    <t>Mr. Scott Weiner serves as Vice President, Corporate Development at Lockheed Martin. Dr. Weiner served as Senior Vice President, Corporate Development at Cobham. Prior to that, he served as the Vice President Mergers &amp; Acquisitions and Corporate Financial Analysis for EDo Corporation.</t>
  </si>
  <si>
    <t>scott.weiner@lmco.com</t>
  </si>
  <si>
    <t>252679-60P</t>
  </si>
  <si>
    <t>Stephanie Hill</t>
  </si>
  <si>
    <t>Ms. Stephanie Hill serves as President, Rotary and Mission Systems at Lockheed Martin. Throughout Mr. Hill's career with Lockheed Martin, Hill has held leadership positions of increasing responsibility including senior vice president of Enterprise Business Transformation; deputy executive vice president of RMS; senior vice president of Corporate Strategy and Business Development; vice president and general manager of Cyber, Ships and Advanced Technologies; vice president and general manager of the Information Systems and Global Solutions Civil business; vice president of Corporate Internal Audit; and vice president and general manager of the Mission Systems and Sensors business. Hill is a member of the board of directors of the business intelligence firm S&amp;P Global and is a member of The Executive Leadership Council. She was listed among Savoy Magazine's 2020 Most Influential Black Executives in Corporate America; Black Enterprise's 2019 Most Powerful Women in Corporate America; EBONY Magazine's Power 100; and Computerworld's Premier 100 IT Leaders. Hill was named as the U.S. Black Engineer of the Year by Career Communications Group in 2014 and was honored by The World Trade Center Institute in 2015 with their Maryland International Business Leadership Award. In 2013, she received the Corporate Heroine in Technology Award from the March of Dimes and the Armed Forces Communications and Electronics Association. Deeply committed to the development of others, Hill serves as a mentor to many students and professionals.</t>
  </si>
  <si>
    <t>stephanie.c.hill@lmco.com</t>
  </si>
  <si>
    <t>President, Rotary and Mission Systems</t>
  </si>
  <si>
    <t>110649-88P</t>
  </si>
  <si>
    <t>Steve Tanner</t>
  </si>
  <si>
    <t>Tanner</t>
  </si>
  <si>
    <t>Mr. Steve Tanner serves as Director of International Strategy and Integration at Lockheed Martin. Prior to joining Lockheed Martin, Mr. Tanner served in the US Air Force as Chief of Operations Division.</t>
  </si>
  <si>
    <t>+1 (703) 532-3632</t>
  </si>
  <si>
    <t>s-tanner@lmco.com</t>
  </si>
  <si>
    <t>Director of International Strategy and Integration</t>
  </si>
  <si>
    <t>365656-96P</t>
  </si>
  <si>
    <t>Steve Walker</t>
  </si>
  <si>
    <t>Mr. Steve Walker serves as Chief Technology Officer &amp; Vice President at Lockheed Martin.</t>
  </si>
  <si>
    <t>110758-06P</t>
  </si>
  <si>
    <t>Susan Maraghy</t>
  </si>
  <si>
    <t>Maraghy</t>
  </si>
  <si>
    <t>Ms. Susan Maraghy serves as Global Business Development and Strategy at Lockheed Martin. Ms. Maraghy served as Regional Vice President for South Asia, Corporate International Business Development at Lockheed Martin. She works to build partnership programs with the foremost leaders in the government marketplace through collaboration, addressing the complexities of programs by horizontally integrating domains focused on defense, intelligence, security, cyber and civil government authorities. Her expertise also includes industrial participation/offsets where she coordinated the risk reduction of offset obligations.</t>
  </si>
  <si>
    <t>susan.a.maraghy@lmco.com</t>
  </si>
  <si>
    <t>Global Business Development and Strategy</t>
  </si>
  <si>
    <t>144894-07P</t>
  </si>
  <si>
    <t>Teresa Malueg</t>
  </si>
  <si>
    <t>Malueg</t>
  </si>
  <si>
    <t>Ms. Teresa Malueg serves as Senior Staff Mechanical Engineer at Lockheed Martin.</t>
  </si>
  <si>
    <t>teresa@lmco.com</t>
  </si>
  <si>
    <t>Liverpool</t>
  </si>
  <si>
    <t>Liverpool, United Kingdom</t>
  </si>
  <si>
    <t>Senior Staff Mechanical Engineer</t>
  </si>
  <si>
    <t>254185-39P</t>
  </si>
  <si>
    <t>Tim Cahill</t>
  </si>
  <si>
    <t>Cahill</t>
  </si>
  <si>
    <t>Mr. Tim Cahill serves as President, Missiles and Fire Control at Lockheed Martin. In this role, Mr. Cahill is focused on bringing integrated solutions to customers who rely on Lockheed Martin's capabilities and technologies to support their missions and address their most pressing needs. His responsibilities also include establishing comprehensive strategies across the enterprise that will enable future growth. Prior to assuming his new role. He previously served as senior vice president of Global Business Development &amp; Strategy Mr. Cahill served as senior vice president for Lockheed Martin International, and before that, vice president, of Integrated Air, and Missile Defense (IAMD) Systems for Lockheed Martin Missiles and Fire Control. In this capacity, he managed several significant programs, including Terminal High Altitude Area Defense (THAAD), Patriot PAC-3 Missile, Medium Extended Air Defense System (MEADS), and numerous other emerging IAMD technologies. Before joining Missiles and Fire Control, Mr. Cahill worked at Lockheed Martin Space Systems Company, where he held various senior leadership positions. He served as Vice President of Engineering and Technology and, more recently as, Vice President and General Manager of Strategic and Missile Defense Systems, where he was responsible for over 4,000 employees in the US, UK, and Marshall Islands. While at Space Systems Company, Mr. Cahill oversaw various critical US military efforts, including the US Navy's Trident II D5 Fleet Ballistic Missile program as well as the US Air Force's Intercontinental Ballistic Missile program. Mr. Cahill joined Lockheed Martin in 1995, following a distinguished career as an officer in the US Air Force, where he managed the integration and launch of twenty military, NASA, and classified spacecraft on Space Shuttle, Titan, and Atlas launch vehicles. He holds a patent for a modular spacecraft bus design. Mr. Cahill holds Bachelor's and Master of Science degrees in Aeronautical and Astronautical Engineering from Purdue University and a Master's in Business from Stanford University. He has also completed the Executive Program Manager's Course at the Defense Systems Management College at Ft. Belvoir, VA.</t>
  </si>
  <si>
    <t>tim.cahill@lmco.com</t>
  </si>
  <si>
    <t>President, Missiles and Fire Control</t>
  </si>
  <si>
    <t>110653-66P</t>
  </si>
  <si>
    <t>Tyler Robinson</t>
  </si>
  <si>
    <t>Mr. Tyler Robinson serves as Director, F-22 Sustainment at Lockheed Martin. Mr. Robinson served as Head, Mergers &amp; Acquisitions Strategy &amp; Senior Manager at Lockheed Martin. He manage the execution of strategic plans and cross business area projects for the corporation and also oversees the development and project performance of Strategic Planning Analysts.</t>
  </si>
  <si>
    <t>tyler.robinson@lmco.com</t>
  </si>
  <si>
    <t>Director, F-22 Sustainment</t>
  </si>
  <si>
    <t>289571-14P</t>
  </si>
  <si>
    <t>Vernecia Johnson</t>
  </si>
  <si>
    <t>Vernecia</t>
  </si>
  <si>
    <t>Ms. Vernecia Johnson serves as Director, Diversity &amp; Inclusion, Aeronautics at Lockheed Martin.</t>
  </si>
  <si>
    <t>vernecia_johnson@lmco.com</t>
  </si>
  <si>
    <t>Director, Diversity &amp; Inclusion, Aeronautics</t>
  </si>
  <si>
    <t>422991-19P</t>
  </si>
  <si>
    <t>Warren McDonald</t>
  </si>
  <si>
    <t>Mr. Warren McDonald serves as Chief Executive at Lockheed Martin. Prior to this appointment Mr. McDonald served 41 years in the Australian Defence Force, with his last appointment being the Chief of Joint Capabilities. In 2017, as the inaugural Chief of this Group, McDonald was made responsible for its formation and development. Joint Capabilities Group now supports Army, Navy and Air Force by providing a wide range of enabling capabilities, such as logistics, education, health and military police. The Group is also responsible for progressing key projects to support cyber, data link, and satellite capabilities. In 1979 McDonald began his career in the Royal Australian Air Force as an enlisted technical apprentice. In 1989, he was commissioned and later graduated as a pilot, logging over 5000 hours in the P-3 Orion. His rotational assignments included Squadron, Wing and Group appointments, numerous deployed commands and as the Deputy Chief of the Royal Australian Air Force.</t>
  </si>
  <si>
    <t>wmcdonald@lockheedmartin.com</t>
  </si>
  <si>
    <t>158320-27P</t>
  </si>
  <si>
    <t>Amanda Sabicer</t>
  </si>
  <si>
    <t>Sabicer</t>
  </si>
  <si>
    <t>Los Angeles Cleantech Incubator</t>
  </si>
  <si>
    <t>Ms. Amanda Sabicer serves as Executive Vice President, Operations &amp; People at Los Angeles Cleantech Incubator. She has worked for Amgen's Oncology Sales and Marketing department, where she sold six oncology products to community oncology clinics and hospitals, managed over $10M in revenue a year, and was named Rookie of the Year for the Western Region. After several years serving as a strategy and development consultant for mission-driven organizations, she joined LACI in 2014 as VP of Development at LACI. In her Development role, she worked closely with federal, state, and local funders to support LACI's mission to create a green economy. More recently, she transitioned to a new role at LACI as VP of Regional Energy Innovation Clusters. The Regional Energy Innovation Cluster program is a six-year project funded by the California Energy Commission that links, convenes and supports entrepreneurs and researchers in Santa Barbara, Ventura, Los Angeles, and Orange Counties to encourage and accelerate clean energy technology commercialization. She is a Partner and Board Member of Social Venture Partners Los Angeles, a venture philanthropy organization that works to increase philanthropy and build capacity among nonprofits in Los Angeles. She graduated cum laude with a B.A. from Pomona College and received her MBA from UCLA's Anderson School of Management.</t>
  </si>
  <si>
    <t>+1 (213) 358-6500</t>
  </si>
  <si>
    <t>amanda@laincubator.org</t>
  </si>
  <si>
    <t>525 South Hewitt Street</t>
  </si>
  <si>
    <t>90013</t>
  </si>
  <si>
    <t>Executive Vice President, Operations &amp; People</t>
  </si>
  <si>
    <t>150964-57P</t>
  </si>
  <si>
    <t>Aria Safar JD</t>
  </si>
  <si>
    <t>Aria</t>
  </si>
  <si>
    <t>Safar</t>
  </si>
  <si>
    <t>Mr. Aria Safar serves as Vice President of Investments at Los Angeles Cleantech Incubator. He served as Chief Business Development Officer at E-stet. He also co-founded Onna Technologies. His role focuses on managing E-STET's strategic planning and growth by focusing on strategic accounts, communications, and recruiting. He works with corporate legal departments and law firms to build solutions that make the practice of law more efficient. Fluent in tech and legalese, he also runs all of E-STET's communications, ensuring that E-STET's ethos of transparency is expressed to the legal world. As E-STET grows, He also heads recruiting and talent management for E-STET. Before joining E-STET, he clerked in the U.S. District Court for the Western District of Tennessee in Memphis, Tennessee, where he worked on a wide variety of cases, including extensive patent work. Before clerking, he worked as a litigation associate at WilmerHale in New York, where he worked on several white-collar criminal matters for large corporate clients. He is an active member of the New York Bar. He received his J.D. from Berkeley Law School in 2012. He earned a Master's in International Relations from the London School of Economics in 2009. He graduated summa cum laude from UCLA in 2008 with a Bachelors in Political Science with a minor in Arabic.</t>
  </si>
  <si>
    <t>aria@laincubator.org</t>
  </si>
  <si>
    <t>Vice President of Investments</t>
  </si>
  <si>
    <t>158310-55P</t>
  </si>
  <si>
    <t>Bob Musselman</t>
  </si>
  <si>
    <t>Musselman</t>
  </si>
  <si>
    <t>Mr. Bob Musselman serves as Executive in Residence at Los Angeles Cleantech Incubator. He is an Angel Investor. A Naval Academy graduate and retired nuclear submarine officer, he has led several successful startup and turnaround ventures as CEO. He has led firms with operations as diverse as nuclear decontamination, factory automation equipment, object-oriented software development, thin-film PV manufacturing equipment, and components for solar-thermal power generation. His solid background in engineering (nuclear, control systems, thermo and fluid flow, and energy) is complemented with many years in marketing and sales management of engineered products and services. As the principal of his consultancy, Mobius Energy LLC, he consults with a variety of startup companies on business planning, sales, and raising capital investment, and he is an active member of the Pasadena Angels. Until November 2020, He was a full-time staff member at LACI, but continues as EIR in a contract status, coaching LACI startups and reviewing applications of prospective portfolio companies. As of June 2022, He is a primary advisor to Seatrec, an alumni startup of LACI, which has developed power generation for subsea sensor devices using ocean water temperature differential, and Planet A Energy, involved in solar thermal energy collection and storage.</t>
  </si>
  <si>
    <t>188163-73P</t>
  </si>
  <si>
    <t>Erik Johnson</t>
  </si>
  <si>
    <t>Mr. Erik Johnson serves as an Executive in Residence at Los Angeles Cleantech Incubator. He serves as a Board Member at Net Zero Accelerator. He has been a "coach" and EIR at LACI since its inception. He participated in the original incubator program and is also involved in planning and coaching our FBA program. Following in his Father and Grandfather's footsteps, he is been a serial entrepreneur for 40+ years, working with business partners that include Berkeley Capital Management, Peter Gabriel/Real World Studios, Universal &amp; Disney Companies, Saint-Gobain North America, United States Information Agency, and Department of the Interior. He is currently Owner/CEO of Greneker, a design/manufacturing company for retail visual display and specialty product manufacturing, and is the Founder/Managing Partner of Grenite, which manufactures patented, zero-waste, prefabricated sustainable countertops for Hospitality, Commercial, and Multi-Family sectors. Both companies have operations in the U.S. and Asia. He has been involved in the building and development of projects, businesses, and manufactured products on a global scale, with experience in design/manufacturing, marketing, crisis turnaround, and corporate/small business in cleantech, built environment, energy retention, and mobility sectors. Under his engineering studies at UCLA and working with Tishman Construction, he was recruited by Walt Disney Imagineering to "build some cool stuff, with some cool people." In addition to coaching startups at LACI, he co-teaches entrepreneurship at Art Center College of Design, Pasadena, CA</t>
  </si>
  <si>
    <t>erik@laincubator.org</t>
  </si>
  <si>
    <t>264637-00P</t>
  </si>
  <si>
    <t>Estelle Reyes</t>
  </si>
  <si>
    <t>Ms. Estelle Reyes serves as Senior Vice President, Enhancing Community at Los Angeles Cleantech Incubator. Ms. Reyes is focused on ensuring that underrepresented groups are engaged in the cleantech and sustainability sector. Prior to LACI, Ms. Reyes was the Executive Director at the Network for Teaching Entrepreneurship (NFTE) Greater LA, where she played a central role in launching and growing the NFTE program to reach over 12,000 students locally. Ms. Reyes also has experience as a Financial Analyst in Goldman Sachs Private Wealth Management as well as a First Grade Teacher. Ms. Reyes holds a Bachelor's degree in Neuroscience from Brown University, and a Master's degree from the Harvard Graduate School of Education.</t>
  </si>
  <si>
    <t>estelle@laincubator.org</t>
  </si>
  <si>
    <t>Senior Vice President, Enhancing Community</t>
  </si>
  <si>
    <t>159931-00P</t>
  </si>
  <si>
    <t>Jance Kosty</t>
  </si>
  <si>
    <t>Jance</t>
  </si>
  <si>
    <t>Kosty</t>
  </si>
  <si>
    <t>Ms. Jance Kosty serves as Senior Pipeline Manager at Los Angeles Cleantech Incubator. Ms. Kosty served as a Community Manager at Industrious.</t>
  </si>
  <si>
    <t>+1 (213) 647-1510</t>
  </si>
  <si>
    <t>gina@laincubator.org</t>
  </si>
  <si>
    <t>Senior Pipeline Manager</t>
  </si>
  <si>
    <t>158318-56P</t>
  </si>
  <si>
    <t>John Siegler</t>
  </si>
  <si>
    <t>Siegler</t>
  </si>
  <si>
    <t>Mr. John Siegler serves as Executive in Residence at Los Angeles Cleantech Incubator. John has provided executive coaching and advisory services as an Executive in Residence with LACI for the past four years, working with executives in the Incubation and Founders Business Accelerator programs to drive sustainable growth. John has a verifiable record of developing strategic vision, raising capital, and delivering profitable growth. He is experienced with all phases of company-building, including initial conceptualization, strategic/financial planning, market entry strategies, capitalization, product/technology development, brand development, creation and oversight of sales channels, strategic partnerships, internal financial / administrative controls and reporting structures, and acquisition / integration / company dissolution. He is a creative visionary with a pragmatic, analysis-driven implementation approach and the ability to quickly prioritize competing strategic objectives and assess them against available resources. John holds a JD/MBA from the Anderson School at UCLA / UCLA School of Law, has executive management experience as a CEO/CFO/COO, and has advised companies at all stages of development, ranging from start-ups to Fortune 500 companies over the course of his career.</t>
  </si>
  <si>
    <t>jsiegler@laincubator.org</t>
  </si>
  <si>
    <t>188162-02P</t>
  </si>
  <si>
    <t>Matt Petersen</t>
  </si>
  <si>
    <t>Mr. Matt Petersen serves as Chief Executive Officer &amp; President at Los Angeles Cleantech Incubator. Prior to joining LACI, he was appointed by Mayor Eric Garcetti as the first-ever Chief Sustainability Officer for the City of Los Angeles. Serving as CSO for four years, he was the chief architect of the groundbreaking Sustainable City plan, led efforts to make LA a global leader in EVs, and helped create the Climate Mayors. He co-founded Global Green USA and led the organization for 19 years as President and CEO. The organization was a pioneer in the greening of affordable housing, schools, and cities as well as helping grow the solar sector. In the aftermath of Hurricane Katrina, he put forth a vision and mobilized resources to green the rebuilding of New Orleans, including schools, the Lower 9th Ward, and more. He serves as a Board Member at CENTER FOR ENVIRONMENTAL HEALTH.</t>
  </si>
  <si>
    <t>matt@laincubator.org</t>
  </si>
  <si>
    <t>158318-29P</t>
  </si>
  <si>
    <t>Michael Swords</t>
  </si>
  <si>
    <t>Swords</t>
  </si>
  <si>
    <t>Mr. Michael Swords serves as Vice President of Government Relations at Los Angeles Cleantech Incubator. He was also responsible for developing partnerships with government agencies, foundations, industry, and non-profits, both here in the United States and abroad. Mike has also served as the Board President for Cleantech Los Angeles (CLA) which, before merging with LACI, was a multi-institutional collaboration between UCLA, USC, Caltech, Jet Propulsion Laboratory (JPL), Mayor's Office of Economic Development, Los Angeles Community Redevelopment Agency (CRALA), Los Angeles Department of Water and Power (LADWP), Los Angeles Chamber of Commerce, Los Angeles Business Council (LABC), Central City Association (CCA) and the Los Angeles Economic Development Council (LAEDC) to establish Los Angeles as the global leader in research, commercialization, and deployment of clean technologies. He also serves on the Board of the Los Angeles League of Conservation Voters (LALCV) and the Executive Advisory Committee for the UCLA Luskin Center for Innovation. Before joining the Office of the Vice Chancellor for Research, Mike worked as an officer in UCLA's Office of Federal Government Relations and was a legislative aide on Capitol Hill. He graduated with a BA from Whittier College and completed UCLA's Anderson School of Management's Executive Education program in December of 2008.</t>
  </si>
  <si>
    <t>mike@laincubator.org</t>
  </si>
  <si>
    <t>Vice President of Government Relations</t>
  </si>
  <si>
    <t>264108-43P</t>
  </si>
  <si>
    <t>Molly Crete</t>
  </si>
  <si>
    <t>Crete</t>
  </si>
  <si>
    <t>Ms. Molly Crete serves as Director of Incubation Services at Los Angeles Cleantech Incubator. She thrives off of teaching, leading, and helping others to improve their lives and reach their fullest potential. Through her experiences as head of programs in various startup ecosystems, such as educating youth from underrepresented communities at YEScarolina, (Youth Entrepreneurship South Carolina, a licensed partner of NFTE) and supporting Black &amp; Latinx Founders in South LA at Plug In South LA, she learned her passion lies in enhancing, connecting, and providing resources to individuals from all walks of life.</t>
  </si>
  <si>
    <t>+1 (616) 648-3803</t>
  </si>
  <si>
    <t>molly@laincubator.org</t>
  </si>
  <si>
    <t>Director of Incubation Services</t>
  </si>
  <si>
    <t>253245-70P</t>
  </si>
  <si>
    <t>Alex Laplaza</t>
  </si>
  <si>
    <t>Laplaza</t>
  </si>
  <si>
    <t>Lowercarbon Capital</t>
  </si>
  <si>
    <t>Mr. Alex Laplaza serves as Advisor at Lowercarbon Capital. Mr. Laplaza serves as Venture Partner at Steel Atlas. He brings wide-ranging expertise on scalable climate solutions across energy, agriculture, transportation, and industry. He believes that climate change is both humanity's greatest challenge and its most meaningful opportunity to build a more sustainable and equitable future. Prior to joining Lowercarbon, he worked to accelerate clean energy access and deployment in emerging markets, including South Asia, Southeast Asia, and East Africa. Most recently, he was a master's student at Stanford University focused on the policies, business models, and technologies required to decarbonize the hardest-to-abate sectors like cement, steel, chemicals, and heavy transportation. He traveled and collaborated with stakeholders in India, Kenya, Uganda, and Bangladesh on policy and financing mechanisms for clean energy and electric vehicle deployment, including with ReNew Power, the country's largest renewable energy producer in the world's fastest-growing energy market. He holds a MA in international policy specializing in energy, natural resources, and the environment from Stanford University, an Honors BA in international studies specializing in environmental and economic development from American University, and a fellowship from the Clean Energy Leadership Institute (CELI).</t>
  </si>
  <si>
    <t>+1 (415) 904-7664</t>
  </si>
  <si>
    <t>11111 Santa Monica Boulevard</t>
  </si>
  <si>
    <t>90025</t>
  </si>
  <si>
    <t>197424-28P</t>
  </si>
  <si>
    <t>Ashton Rosin</t>
  </si>
  <si>
    <t>Rosin</t>
  </si>
  <si>
    <t>Ms. Ashton Rosin serves as Operating Partner &amp; Head of Capital Formation at Lowercarbon Capital. Ms. Rosin leads the firm's partnerships with existing and future investors. She spends her time developing strategies to envision and build new products, as well as cultivating a strategic ecosystem of partners to amplify the impact of the portfolio. She brings years of experience in relationship and stakeholder management across institutional allocators investing in alternatives as well as donors in the not-for-profit ecosystem. Prior to joining Lower carbon, she was the Head of Investor Relations at Obvious Ventures where she led capital-raising efforts and built solutions for relationship management, including the ESG considerations of limited partners. She started her career in financial services leading investor relations at Clocktower Group, helping the firm to conceptualize and scale new offerings across the hedge fund and venture capital landscapes. There she built an infrastructure for investor relations and capital formation, cultivating global relationships across the firm. She was responsible for the onboarding and management of external partners spanning sovereign wealth funds, public pension plans, university endowments, foundations, and family offices. She also spearheaded the firm's marketing and PR efforts while taking the lead on strategic initiatives like the firm's pursuit of thought leadership in the ESG and DEI spaces.</t>
  </si>
  <si>
    <t>ashton@lowercarboncapital.com</t>
  </si>
  <si>
    <t>Operating Partner &amp; Head of Capital Formation</t>
  </si>
  <si>
    <t>398410-30P</t>
  </si>
  <si>
    <t>Caie Kelley</t>
  </si>
  <si>
    <t>Caie</t>
  </si>
  <si>
    <t>Ms. Caie Kelley serves as Partner at Lowercarbon Capital. Ms. Kelley was most recently at SOUNDWaves, the climate-focused venture arm of Sound Ventures, where she built out the team's sustainability strategy, helped raise the fund's first external capital, and backed founders at multiple stages of growth across batteries, alternative materials, circularity, and climate software. Prior to Sound, she was at Permira, an $80b private equity fund based in New York, where she focused on technology and industrial services growth-stage businesses. She started her career in the technology investment banking group at JP Morgan in both San Francisco and New York, where she advised IPO-ready companies on how to graduate to the "real world" (public markets). She holds a bachelor's degree in economics from Harvard College, where she graduated Summa Cum Laude and Phi Beta Kappa, and where she wrote a very, very long thesis on Southeast Asia and first became painfully aware of the disparate effects of climate change on developing parts of the world.</t>
  </si>
  <si>
    <t>caie@lowercarboncapital.com</t>
  </si>
  <si>
    <t>306080-29P</t>
  </si>
  <si>
    <t>Christina Chang Ph.D</t>
  </si>
  <si>
    <t>Dr. Christina Chang serves as Partner at Lowercarbon Capital. She serves as a Board Member at Sublime Systems. Dr. Chang incubates and invests in new technology startups with outsized climate impact. Christina has broad and deep experience in techno-economics, R&amp;D, invention and patenting of clean energy technologies. Most recently, she was a Fellow at the Advanced Research Projects Agency-Energy (ARPA-E) within the U.S. Department of Energy, where she developed new research directions for sustainable manufacturing of commodities. Before her tenure at ARPA-E, Dr. Chang was CEO of the sustainable steel startup Abraze Engineering. As solo founder of the company, she led technical and market diligence, completed the NSF I-Corps Spark Program, filed a U.S. patent on the technology, and was the grand prize winner of the Harvard President's Innovation Challenge Ingenuity Award, presented by Harvard President Larry Bacow. As a Marshall Scholar, Christina conducted scientific research and ambassadorship while living in the UK from 2012-2014. On the Scholarship, she first received an MSc in Sustainable Energy Futures at Imperial College London (2013). Christina graduated summa cum laude from Princeton University in 2012 with a Bachelor's in chemistry and Certificates in computer science, engineering biology, and materials science and engineering.</t>
  </si>
  <si>
    <t>christina@lowercarboncapital.com</t>
  </si>
  <si>
    <t>33785-92P</t>
  </si>
  <si>
    <t>Christopher Sacca JD</t>
  </si>
  <si>
    <t>Sacca</t>
  </si>
  <si>
    <t>Mr. Christopher Sacca is a Co-Founder &amp; serves as Managing Partner at Lowercarbon Capital. Mr. Sacca is the Founder and serves as Chairman at Lowercase Capital. He serves as an Advisor at RescueTime &amp; Lookout. He serves as a Board Member at RecordSetter. He served as an Advisor at FanBridge. He is an Angel Investor. He serves as an Advisor at Healthy Ventures. He served as a Board Member at Docker. He served as a Software Engineer at Ellucian. He managed a portfolio of over fifty consumer web, mobile, and wireless technology start-ups as well as an array of mature enterprises through his holding company, Lowercase Capital. While primarily known for its investments in seed and early-stage technology companies like Twitter, Uber, Instagram, and Kickstarter, Lowercase has quietly become one of the largest venture funds in the United States. Previously, he served as Head of Special Initiatives at Google Inc. In that role, among other responsibilities, he founded and headed up the alternative access and wireless divisions. His most visible projects include Google's 700MHz and TV white spaces spectrum initiatives, the company's groundbreaking data center in Oregon, and Google's free citywide WiFi network in Mountain View, CA. He also spearheaded many of Google's business development and M&amp;A transactions and was on the founding team of the company's New Business Development organization. Before joining Google, he held several executive roles at one of the world's largest streaming and digital media distribution companies, Speedera Networks (acquired by Akamai Technologies), and was ultimately responsible for their legal and corporate development efforts. Before Speedera, he was an attorney with the Silicon Valley law firm of Fenwick &amp; West where he handled venture capital, mergers &amp; acquisitions, and licensing transactions for technology clients such as Macromedia, VeriSign, and Kleiner Perkins. In 2012, he continued his work as a National Finance Committee member, a host of the technology roundtable series, and a Co-Chair of Tech for Obama. The Wall Street Journal cited him as "possibly the most influential businessman in America." He graduated cum laude from Georgetown University Law Center where he was a member of The Tax Lawyer law review and was honored as the school's Philip A. Ryan and Ralph J. Gilbert Memorial Scholar. He also graduated cum laude from the Edmund A. Walsh School of Foreign Service at Georgetown University and was an Edmund Evans Memorial Scholar as well as a Weeks Family Foundation Scholar. In the course of his studies, he attended university at the Universidad Católica del Ecuador in Quito, Ecuador, University College Cork, in Cork, Ireland, and the Universidad Complutense in Madrid, Spain, and during his time in law school, worked in San Salvador, El Salvador. Throughout his career, he has carved out time for academic experiences and fellowships including as a Henry Crown Fellow at the Aspen Institute, an Associate Fellow of the Said Business School at Oxford University, an MIT Enterprise Forum Global Trustee, and named to the Atlantic Council Vanguard 25.</t>
  </si>
  <si>
    <t>chris@lowercarboncapital.com</t>
  </si>
  <si>
    <t>204718-60P</t>
  </si>
  <si>
    <t>Clay Dumas</t>
  </si>
  <si>
    <t>Dumas</t>
  </si>
  <si>
    <t>Mr. Clay Dumas is a Founding Partner &amp; serves as General Partner at Lowercarbon Capital. He serves as Board Member and Advisor at Remora. He serves as Board Member at Lilac Solutions, Epoch Biodesign, Zero Acre Farms, and Zap Energy. He serves as Board Member at Cloud to Street. He serves on the board of Tala, a Lowercase portfolio company building a world where people everywhere have financial access, choice, and control. He served as Advisor at The Tuesday Company. Before joining Lowercase, he served as an Executive in Residence at the Pramana Collective, a strategic advisory firm in San Francisco. Previously, he was the Chief of Staff for the White House Office of Digital Strategy, a team tasked by President Obama with connecting people with a purpose. In 2017, he was named to the Forbes 30 Under 30 list. At the start of President Obama's second term, he served as an aide in the Chief of Staff's office. Before joining the White House, he worked on President Obama's 2008 and 2012 campaigns. He graduated from Harvard in 2011.</t>
  </si>
  <si>
    <t>clay@lowercarboncapital.com</t>
  </si>
  <si>
    <t>306065-08P</t>
  </si>
  <si>
    <t>Clea Kolster Ph.D</t>
  </si>
  <si>
    <t>Clea</t>
  </si>
  <si>
    <t>Kolster</t>
  </si>
  <si>
    <t>Dr. Clea Kolster serves as Partner &amp; Head of Science at Lowercarbon Capital. She served as Advisor at Third Derivative. She serves as Advisor and Board Member at Remora. She serves as Board Member at Panthalassa. leads all of the firm's technical research, development, diligence, and scientific strategy efforts. Her distinguished career has always been focused on solving the climate emergency through innovation in technology, business models, and policy. Prior to joining Lowercarbon, she worked at San Francisco-based energy consulting firm, E3, where she developed electricity resource planning models and economy-wide decarbonization plans for entire states, utilities, and asset owners, with a focus on the role of hard science emerging technologies like hydrogen production methods, long-duration energy storage, biomass conversion, carbon sequestration, geothermal and advanced nuclear. She led the analysis on over 15 projects in her 2 years at E3 including "Achieving Carbon Neutrality in California" (link) for the California Air Resources Board, "Net-Zero New England: Ensuring Electric Reliability in a Low-Carbon Future" (link) in collaboration with the Energy Futures Initiative, and another on "Examining the Role of Nuclear for Decarbonizing the Pacific Northwest". She also co-founded her own company focused on access to clean cooking fuels in West Africa, having previously worked on clean energy access and investment across emerging markets in East and North Africa. Some of her field research is summarized here. Before that, she worked for Veolia, a global leader in waste management and conversion, where she developed investment strategies for non-ferrous metal extraction from biological waste streams and monitoring technologies for ozone-depleting substances. She earned her Ph.D. in chemical engineering and energy policy at Imperial College London. She was awarded the Grantham Institute's full scholarship to conduct her Ph.D. and went on to be the student representative of the Grantham Institute at the Paris COP21 Climate Conference. She conducted her bachelor's and master's degrees at Imperial College London and was the only student selected to spend a year at Columbia University in New York. Her Ph.D. work focused on the techno-economics of large scale carbon capture and storage systems, part of which she conducted at Stanford University's Energy Resources &amp; Engineering department. With multiple publications under her belt, including "Cost and Performance of Some Carbon Capture Technology Options for Producing Different Quality CO2 Product Streams" (link) and "CO2 Enhanced Oil Recovery:</t>
  </si>
  <si>
    <t>clea@lowercarboncapital.com</t>
  </si>
  <si>
    <t>Partner &amp; Head of Science</t>
  </si>
  <si>
    <t>152132-68P</t>
  </si>
  <si>
    <t>Crystal Sacca</t>
  </si>
  <si>
    <t>Ms. Crystal Sacca is a Founding Partner of Lowercarbon Capital. Ms. Sacca serves as Partner at Lowercase Capital. She co-led early investments in companies including Uber and Blue Bottle Coffee and advises countless technology and consumer product companies within the portfolio. The Lowercase and Lowercarbon startups she backs lean on her experience as a globally-renowned advertising creative helping companies like Audi, Intel, Barclays, HBO, Sprint, HP, E*TRADE, and even Napster speak to a worldwide audience with thought-provoking wit and insight. Today, her focus extends into bolstering our democracy, promoting diversity in the venture capital community, championing the plight of women and girls around the world, providing access to clean water to the developing world, protecting and advocating for refugees, reforming our criminal justice system, and healing the planet. Prior to Lowercase, her advertising creative career was marked by a little bit of good luck and a lot of formal recognition among the industry's most distinguished juries. She won a Cannes Lion, Two Gold Cannes Cyberlions, a few One Show Pencils, and a pile of ADCs, D&amp;DADs, Kellys, Andys, Effies, Webbys, and ADDYs. She was named an ADC Young Gun, one of AdWeek's "Best Creatives You Don't Know," and served as a judge for the One Show and the Webbys. You'll likely recognize her "Rockstar" spot for Intel which was regarded as one of the funniest ads of the year and was eventually translated into dozens of languages. She serves on the Board of Trustees of the Cooper Hewitt Smithsonian Design Museum. She believes in the power of design to change the world-from climate solutions and justice, to diversity and inclusion. Serving as the Co-Chair of the museum's Engagement and Experience Committee, She harnesses the Smithsonian's platform to celebrate that power across our nation and beyond. She is a founding member of The Design Vanguard, a community of the foremost creative leaders from the business, tech, and social sectors seeking to leverage their resources and influence to catapult design forward in service of creating a more just and beautiful world. Known as an accomplished author and designer, her first book, The Essential Scratch &amp; Sniff Guide to Becoming a Wine Expert, was a New York Times Bestseller and Amazon #1. Her follow-up book, The Essential Scratch &amp; Sniff Guide to Becoming a Whiskey Know-It-All, was also a bestseller and achieved resounding critical acclaim. she regularly lends her talents as a designer and artist to local, national, and global issues including her well-known Everyone Welcome artwork created in the wake of the Muslim ban for the Creative Action Network. She graduated cum laude from the Georgetown University Edmund A. Walsh School of Foreign Service with a Bachelor of Science in Foreign Service with a major in Humanities in International Affairs and attended thanks in part to winning an American Foreign Service Association merit scholarship.</t>
  </si>
  <si>
    <t>crystal@lowercasellc.com</t>
  </si>
  <si>
    <t>417877-93P</t>
  </si>
  <si>
    <t>Duncan Carlson</t>
  </si>
  <si>
    <t>Mr. Duncan Carlson serves as Principal at Lowercarbon Capital. Prior to joining Lowercarbon, Mr. Carlson built and operated infrastructure across the waste management industry. He started his career at Pawnee Waste, where he scaled the company's treatment and disposal process from single-digit tons to thousands of tons per day. With early stage company experience in hand (and more than enough head-to-toe showers in drilling mud), he went to waste giant Waste Management, where he developed facilities across the Pacific Northwest, including one of the largest landfills in the country. Handling millions of tons of waste sparked his passion for carbon removal and the multibillion-ton atmospheric waste cleanup that will be needed to avert permanent climate disaster. His hands-on experience with heavy industry, from multimillion-yard excavation projects, to rail infrastructure, to methane gas drilling and collection, has prepared him to tackle meaningful decarbonization and gigaton-scale carbon removal. Originally from Colorado, he is now based in San Francisco. He holds his B.S. in Chemical and Biological Engineering from the University of Colorado Boulder.</t>
  </si>
  <si>
    <t>duncan@lowercarboncapital.com</t>
  </si>
  <si>
    <t>436249-18P</t>
  </si>
  <si>
    <t>Elena Mosse</t>
  </si>
  <si>
    <t>Mosse</t>
  </si>
  <si>
    <t>Ms. Elena Mosse serves as Analyst at Lowercarbon Capital. Ms. Mosse supports entrepreneurs building innovative tech to heal our planet and create a more efficient and thriving world. Her work is largely focused on deep dives into sourcing and diligence, as well as unearthing opportunities to accelerate portfolio growth. Prior to Lowercarbon, Elena served as a Venture Fellow at VC firm Fifty Years, where she worked to strengthen relationships with top-tier technical institutions and built internal tools to scale founder support. Next up was an operating role at Roblox, where she completed a product management rotational program. There, she developed an intuition for rapid commercial scale, building products on both the Growth and Economy teams. Elena graduated from Stanford University with a B.S. in Symbolic Systems, an interdisciplinary program with a blend of coursework across Computer Science, Philosophy, and Psychology. She concentrated in Human-Computer Interaction and minored in Ethics and Technology, laying the groundwork for her ever-evolving framework for maximizing the societal benefits of technology while mindfully minimizing its harms. She rounded out her time at Stanford by working as a long-time teaching assistant in Stanford's Computer Science Department, serving as the Co-President of SENSA, the Stanford Social Entrepreneurial Students' Association, and playing on a ruthlessly competitive intramural beach volleyball team.</t>
  </si>
  <si>
    <t>elena@lowercarbon.com</t>
  </si>
  <si>
    <t>398412-82P</t>
  </si>
  <si>
    <t>Eric Helfgott</t>
  </si>
  <si>
    <t>Helfgott</t>
  </si>
  <si>
    <t>Mr. Eric Helfgott serves as Principal at Lowercarbon Capital. He serves as Board Member at Growers Edge. He gravitates towards climate solutions that take serious capital and time to scale, including synthetic biology, CO2 valorization, and nuclear fusion. He sees solving climate change as the defining challenge - and in fifty years, the defining achievement - of our century. Before joining Lowercarbon, he was a Civil and Environmental Engineering master's student at Stanford University focused on nailing the techno-economics and scale-up of biological solutions in food and agriculture and CO2 electrocatalysis. During his master's, he was a summer investor at G2 Venture Partners and independently advised early-stage biotech and agriculture start-ups. Prior to getting his master's, he worked at McKinsey &amp; Company. There he helped biotech companies perfect their product launches, worked with investor-owned utilities to decarbonize their energy assets, and externed at climate unicorn Arcadia. His passion for climate tech began when he studied Bioengineering and Finance as a dual-degree student in the Jerome Fisher Program in Management &amp; Technology at the University of Pennsylvania.</t>
  </si>
  <si>
    <t>eric@lowercarboncapital.com</t>
  </si>
  <si>
    <t>306084-34P</t>
  </si>
  <si>
    <t>Harsh Dubey</t>
  </si>
  <si>
    <t>Mr. Harsh Dubey serves as Advisor at Lowercarbon Capital. Mr. Dubey supports the partners in investment diligence, keeps an eye out for badass climate entrepreneurs, and handles all manner of internal projects. Prior to joining Lowercarbon, he worked in a number of roles spanning the intermagna cum laudesection of sustainable economic development and finance. He researched and contributed to chapters on climate policy, nuclear security, and global health for "The Survival Nexus: Science, Technology, and World Affairs," by Dr. Charles Weiss, the first Science and Technology Advisor to the World Bank. He also researched outcomes-driven contracting mechanisms for the federal government and lessons from the nation's first Environmental Impact Bond for Sonal Shah, Director of the Office of Social Innovation in the Obama White House. He graduated magna cum laude from the Edmund A. Walsh School of Foreign Service at Georgetown University.</t>
  </si>
  <si>
    <t>436249-00P</t>
  </si>
  <si>
    <t>Kiko Wong</t>
  </si>
  <si>
    <t>Kiko</t>
  </si>
  <si>
    <t>Mr. Kiko Wong serves as Analyst at Lowercarbon Capital. Mr. Wong focuses primarily on the "better, faster, cheaper" technologies driving the energy economy. His work at the firm centers around investment analysis and supporting the portfolio's audacious founders. Before joining Lowercarbon, Kiko founded ClimateHaven, a climate tech incubator in New Haven, CT, where he worked closely with founders in the earliest stages of their ventures, helping them commercialize world-class academic research from lab to market. Kiko's passion for company building grew from his own experience developing the incubator's 17,000-square-foot facility and fundraising - experiences that accumulated their own set of calluses and valuable lessons. Kiko graduated with distinction from Yale College, where he studied applied physics and conducted research at the Yale Quantum Institute, contributing to the design of superconducting device platforms for quantum information systems. His work at the forefront of materials science and computing has fueled his conviction in a resilient energy transition driven by key technological breakthroughs, namely commercial fusion.</t>
  </si>
  <si>
    <t>kiko@lowercarboncapital.com</t>
  </si>
  <si>
    <t>306077-14P</t>
  </si>
  <si>
    <t>Kristin Ellis</t>
  </si>
  <si>
    <t>Ms. Kristin Ellis serves as Partner at Lowercarbon Capital. Ms. Ellis served as Board Member at MicroByre. She brings a decade of wide-ranging experience in biotechnology, hardware, high-growth startups, and operational and team-building expertise to Lowercarbon. Before joining Lowercarbon, she was both an Entrepreneur-In-Residence with Carbon180 and a fellow with the NREL LabStart Program. In both of these programs, she investigated the commercialization potential of technologies at the intersection of carbon removal and synthetic biology. She has spoken internationally at countless universities and scientific conferences on topics ranging from open-tech ecosystems to community biology. She's a fellow and active member of the Global Community Biosummit organized through the Community Biotechnology Initiative at MIT Media Lab and has participated in the Mozilla Foundation's Open Leaders program to learn more about building inclusive communities in tech. She moonlights as a founding member of NewBioCity and a member of New York's Genspace and is active in several climate-focused communities including Sunrise Scientists and AirMiners. She serves as the interim Director of Grants at iGEM. She also collaborates with a team of world-class scientists on the MIT Climate Grand Challenges. She earned a BS in Biochemistry from the University of Alabama at Birmingham as the first woman in her rural Alabaman family to graduate from college. She serves as a Board Observer at Trilobio. Serves as a Partner at Lowercarbon Capital, a climate-tech VC fund founded by Chris &amp; Crystal Sacca, served as the Director of Strategic Initiatives &amp; Scientific Development at Opentrons, &amp; conducted clinical oncology research at MD Anderson Cancer Center.</t>
  </si>
  <si>
    <t>+1 (205) 739-1313</t>
  </si>
  <si>
    <t>kristin@lowercarboncapital.com</t>
  </si>
  <si>
    <t>364958-38P</t>
  </si>
  <si>
    <t>Lauren O'Connor</t>
  </si>
  <si>
    <t>Ms. Lauren O'Connor serves as Partner at Lowercarbon Capital. Ms. O'Connor leads strategic partnerships at Lowercarbon Capital where she helps find and grow technologies that help cities, businesses, and the world at large cut carbon emissions and make a real dent in the climate emergency. Prior to Lowercarbon, she served as the Chief Sustainability Officer for the City of Los Angeles where she developed and oversaw the green transition of the second largest city in the country, including the country's largest municipal electric and water utility, as well as the busiest Port and Airport. Over her eight years in the L.A. Mayor's Office, she ushered in a series of climate-leading actions to pursue a zero emissions Port, require that all new construction be all-electric, eliminate single-use packaging, pursue 100% recycled water and 100% clean energy, and end urban oil drilling. She also oversaw the national network of mayors committed to climate action known as Climate Mayors and LA's Chairship of the international mayoral climate action organization C40. She is also an adjunct professor at the USC Sol Price School for Public Policy and serves as an advisor to the UN Secretary General's High Level Expert Group on the Net Zero Emissions Commitments of Non State Entities (HLEG). She has spent her career working on environmental issues, from serving as West Coast Political Director for the Environmental Defense Fund to being appointed Assistant Secretary for Climate Change at the California EPA, to addressing climate change and energy as Senior Policy Advisor at the British Embassy. She serves on the Boards of California Environmental Voters, WRI Ross Center for Cities, National Renewable Energy Laboratory Advanced Research on Integrated Energy Systems, and USC Center for Sustainability Solutions. She holds a Bachelor's degree in Earth Systems and Economics from Stanford University, and Master's degree in Climate and Society from Columbia University. She was awarded Columbia University's Dean's Award for Distinguished Achievement in 2023, which recognizes profound impact on academia and the world at large. She has been recognized as 40 under 40 Public Utilities Fortnightly 2021, 2019 LA Power Woman by Bisnow, and 2018 Climate Leader to Watch by E&amp;E News.</t>
  </si>
  <si>
    <t>lauren@lowercarboncapital.com</t>
  </si>
  <si>
    <t>436248-37P</t>
  </si>
  <si>
    <t>Malak Abu Sharkh</t>
  </si>
  <si>
    <t>Malak</t>
  </si>
  <si>
    <t>Abu Sharkh</t>
  </si>
  <si>
    <t>Ms. Malak Abu Sharkh serves as Associate at Lowercarbon Capital. Ms. Abu Sharkh brings her manufacturing and supply chain expertise to help turn ambitious ideas into scalable realities. Before joining Lowercarbon, Malak was at the carbon removal company Charm Industrial. There, she led supply chain and operations, working with a badass team to scale up the technology and deliver thousands of tons of permanent carbon removal to customers, including Stripe, Shopify, and Microsoft. Her experience scaling up new technologies helps drive growth across the Lowercarbon portfolio. Prior to Charm, Malak was a Senior Global Supply Manager at Apple, focused on industrial materials. Malak led the development and scale-up of raw materials supply chains in the U.S., China, Japan, Taiwan, and South Korea. Her career in climate began when she tackled one of Apple's most carbon-intensive materials: gold. She led the development and launch of the first iPhone using 100% recycled gold, the 13/13 Pro. She cut the material's carbon footprint by eliminating its energy-intensive extraction process, creating a circular supply chain where gold could be recovered from end-of-life products and reused in new ones. Before Apple, she was a process engineer at Procter &amp; Gamble, working with manufacturing plants around the world to spec, qualify, and introduce new materials to P&amp;G products. Malak studied Chemical Engineering at the Massachusetts Institute of Technology, where she co-founded MIT's first Climate &amp; Energy Hackathon in 2015 to tackle industrial decarbonization challenges head-on.</t>
  </si>
  <si>
    <t>malak@lowercarbon.com</t>
  </si>
  <si>
    <t>128510-29P</t>
  </si>
  <si>
    <t>Ryan Orbuch</t>
  </si>
  <si>
    <t>Orbuch</t>
  </si>
  <si>
    <t>Mr. Ryan Orbuch serves as Partner at Lowercarbon Capital. Mr. Orbuch serves as an Advisor and Board Member at Vaulted Deep. He serves as a Board Member at Isometric. He Co-Founded and served as Board Member at Volley Labs. Prior to joining Lowercarbon, Ryan helped initiate and led Stripe's carbon removal procurement program, which is generally regarded as the best in the industry. Ryan likely has met with more carbon removal teams than anyone in the world. Ryan was founder and creative director of the Apple Design Award-winning Finish for iPhone, a bestselling productivity app with over 250,000 school-aged users. His work has been featured in The New York Times, TechCrunch, Forbes, the Wall Street Journal, and others; he often appears on Bloomberg TV, MSNBC, FOX, and elsewhere as an expert on millennial tech trends. As a champion of education reform, Ryan serves on the Board of Directors at Student Voice, the largest stakeholder-driven student advocacy think tank in the U.S. He has delivered standing-room-only keynotes at TEDxTeen and the Thiel Summits, and formerly worked at TechStars.</t>
  </si>
  <si>
    <t>ryan@lowercarboncapital.com</t>
  </si>
  <si>
    <t>191181-61P</t>
  </si>
  <si>
    <t>Shawn Xu</t>
  </si>
  <si>
    <t>Mr. Shawn Xu serves as Partner at Lowercarbon Capital. Mr. Xu served as Senior Associate at Floodgate Fund. He serves as a Partner &amp; Advisory Board Member at Center City Ventures. He serves as an Advisor at Spatial Laser. He serves as a Board Member at NextGen Partners. He joined Floodgate in 2019 as the firm's first Senior Associate. Before Floodgate, He was a Managing Partner of First Round Capital's Dorm Room Fund, where he and his team were the first investors in 25+ promising companies built by student founders across America's best universities. His writing on the university startup ecosystem has been featured in Forbes, TechCrunch, and Startup Grind. While completing his graduate studies, He also worked with the investment team at Bessemer Venture Partners. As a builder, he works closely with our managing partners to scale our platform and founder products in ways that compound over time. Over the last several years, he has built an accomplished track record as a venture capitalist focused on investments at preseed and seed stages. Immediately before Lowercarbon, he was a Partner at On Deck's venture fund and accelerator, where he backed companies in 20+ countries and earned a founder NPS of 100. Before this, he was on the investing teams at Floodgate and First Round Capital's Dorm Room Fund, and was ranked in the Forbes 30 Under 30 for Venture Capital. He has personally partnered with ~50 companies to date and brings with him a wealth of knowledge on helping founders go zero to one, from ideation to product-market fit. Before he was an investor, he was a startup executive who led international expansion for companies such as Square. He is also involved in political activism and previously served as a tech policy advisor to California Governor Gavin Newsom. He holds an MBA/MA in International Affairs from Wharton and the Lauder Institute at the University of Pennsylvania and completed his undergraduate studies at UC San Diego.</t>
  </si>
  <si>
    <t>shawn@lowercarboncapital.com</t>
  </si>
  <si>
    <t>203833-72P</t>
  </si>
  <si>
    <t>Shuo Yang</t>
  </si>
  <si>
    <t>Shuo</t>
  </si>
  <si>
    <t>Mr. Shuo Yang serves as Partner at Lowercarbon Capital. Mr. Yang served as Principal at Fifty Years. He was the Founder and Managing Partner of Paragon Advisors. Prior to this, Mr. Yang served as an Associate at 3LP Advisors and an Associate He has founded and operated companies in both China and the USA. From working as a consultant with the Boston Consulting Group to building his own company in Shenzhen, He has been fortunate to find many diverse opportunities to learn and grow. His experiences have built up some unique knowledge in manufacturing, intellectual property, and China operations, but his wife finds these topics pretty dull so he never has an opportunity to share. Instead, he hopes his knowledge will be more useful to startup founders and he is excited to continue his journey as a lifelong student, trading knowledge with some of the most interesting people in the world.</t>
  </si>
  <si>
    <t>shuo@lowercarboncapital.com</t>
  </si>
  <si>
    <t>398412-10P</t>
  </si>
  <si>
    <t>Sidney Brown</t>
  </si>
  <si>
    <t>Ms. Sidney Brown serves as Associate at Lowercarbon Capital. Ms. Brown's work at Lowercarbon focuses on supporting the Partners with investment diligence and bringing resources to bear to help the portfolio thrive. Prior to Lowercarbon, she worked with venture-backed businesses to deliver outsized impact. As part of ICONIQ Capital's technology investing team, she sourced and analyzed investments in industry-defining software and internet businesses. She then shifted from investing to operating, as Chief of Staff to the CEO of Oatly. In this cross-functional and global role, she helped lead the company's billion-dollar IPO, supported the executive team on strategy formulation, and launched an internal innovation lab focused on pushing the limits of corporate sustainability. She has a field-tested passion for helping founders tackle growth challenges as they fundamentally transform industries. She graduated from Stanford University with a B.S. in the Science, Technology, and Society interdisciplinary program, covering broad academic ground, from the history of science, to mechanical engineering, to the discography of her favorite artist, Prince.</t>
  </si>
  <si>
    <t>sidney@lowercarboncapital.com</t>
  </si>
  <si>
    <t>446163-13P</t>
  </si>
  <si>
    <t>Abhay Sagar</t>
  </si>
  <si>
    <t>M&amp;G</t>
  </si>
  <si>
    <t>Mr. Abhay Sagar serves as Director, Impact &amp; Private Equity at M&amp;G.</t>
  </si>
  <si>
    <t>+65 6349 9000</t>
  </si>
  <si>
    <t>abhay.sagar@mandg.com</t>
  </si>
  <si>
    <t>138 Market Street</t>
  </si>
  <si>
    <t>CapitaGreen, Number 35-01</t>
  </si>
  <si>
    <t>048946</t>
  </si>
  <si>
    <t>Director, Impact &amp; Private Equity</t>
  </si>
  <si>
    <t>405690-31P</t>
  </si>
  <si>
    <t>Adrien Negreanu</t>
  </si>
  <si>
    <t>Negreanu</t>
  </si>
  <si>
    <t>Mr. Adrien Negreanu serves as Sales Director - Private assets Country Head, M&amp;G Investments at M&amp;G.</t>
  </si>
  <si>
    <t>+44 (0)20 7626 4588</t>
  </si>
  <si>
    <t>a.negreanu@mandg.com</t>
  </si>
  <si>
    <t>10 Fenchurch Avenue</t>
  </si>
  <si>
    <t>EC3M 5AG</t>
  </si>
  <si>
    <t>Sales Director - Private assetsCountry Head, M&amp;G Investments</t>
  </si>
  <si>
    <t>187836-94P</t>
  </si>
  <si>
    <t>Alejandro Domecq</t>
  </si>
  <si>
    <t>Domecq</t>
  </si>
  <si>
    <t>Mr. Alejandro Domecq serves as Deputy Country Head Spain &amp; Sales Director at M&amp;G. . He joins M&amp;G from Abante Asesores where he held different positions since 2012, being the latest that of vice president at the institutional sales department of Abantes. Prior to that, he worked in Vienna at Raiffeisen Bank International, and formerly, at CBRE and Banco Santander in Madrid.</t>
  </si>
  <si>
    <t>+34 91 561 5253</t>
  </si>
  <si>
    <t>alejandro.domecq@mandg.com</t>
  </si>
  <si>
    <t>Calle Fortuny, 6 - 4 A</t>
  </si>
  <si>
    <t>28010</t>
  </si>
  <si>
    <t>Deputy Country Head Spain &amp; Sales Director</t>
  </si>
  <si>
    <t>276810-04P</t>
  </si>
  <si>
    <t>Alex Seddon</t>
  </si>
  <si>
    <t>Seddon</t>
  </si>
  <si>
    <t>Mr. Alex Seddon serves as Head of Impact and Private Equity at M&amp;G. He was previously Co-Head of Private Credit and Head of Alternative Credit at M&amp;G and before that Head of Principal Finance at Prudential Capital. He has been investing in the public and private markets since 2003 and has expertise in private asset origination, portfolio management and investment leadership. He serves as a Board Member at Nuritas.</t>
  </si>
  <si>
    <t>alex.seddon@mandg.com</t>
  </si>
  <si>
    <t>Head of Impact &amp; Private Equity</t>
  </si>
  <si>
    <t>271933-75P</t>
  </si>
  <si>
    <t>Alexis Dussault</t>
  </si>
  <si>
    <t>Dussault</t>
  </si>
  <si>
    <t>Mr. Alexis Dussault serves as ABS Portfolio Manager at M&amp;G. Mr. Dussault served as Senior Advisor at Avellinia Capital. He focuses on quantitative analysis and risk management. His background is as a quant structurer and risk manager and he has previously worked for Funding Circle, UBS, BNP Paribas and AXA Investment Managers.</t>
  </si>
  <si>
    <t>+44 (0)75 5784 5087</t>
  </si>
  <si>
    <t>alexis.dussault@mandg.com</t>
  </si>
  <si>
    <t>ABS Portfolio Manager</t>
  </si>
  <si>
    <t>188179-12P</t>
  </si>
  <si>
    <t>Amy Cho</t>
  </si>
  <si>
    <t>Ms. Amy Cho serves as Head of Asia Pacific and Chief Executive Officer of Singapore at M&amp;G. She served as Chief Executive Officer, Hong Kong and Deputy Head, Asia Pacific at Schroders. She has a proven executive management track record and decades of experience driving business growth in the fund management industry. She will be responsible for accelerating M&amp;G's distribution ambitions in the region, a key strategic priority for the firm, enabling the investment manager to better serve existing and prospective clients. She was most recently at Schroders where she was Chief Executive Officer, Hong Kong, and Deputy Head, Asia Pacific. She led the day-to-day management of the Group's overall business in Hong Kong as well as having responsibility for regional activities. Before joining Schroders in December 2018, she has held senior positions at Pictet Asset Management, First State Investments, HSBC Asset Management and Citibank.</t>
  </si>
  <si>
    <t>amy.cho@mandg.com</t>
  </si>
  <si>
    <t>Head of Asia Pacific and Chief Executive Officer of Singapore</t>
  </si>
  <si>
    <t>444545-38P</t>
  </si>
  <si>
    <t>Andrew Naylor</t>
  </si>
  <si>
    <t>Naylor</t>
  </si>
  <si>
    <t>Mr. Andrew Naylor serves as Director Institutional Fixed Income at M&amp;G.</t>
  </si>
  <si>
    <t>andrew.naylor@mandg.com</t>
  </si>
  <si>
    <t>Director Institutional Fixed Income</t>
  </si>
  <si>
    <t>161329-33P</t>
  </si>
  <si>
    <t>Andrew Swan</t>
  </si>
  <si>
    <t>Swan</t>
  </si>
  <si>
    <t>Mr. Andrew Swan serves as Trustee Director at M&amp;G. He also serves as Trustee at Prudential Defined Benefit Scheme. He also served as Director at M&amp;G Private Funds Investment.</t>
  </si>
  <si>
    <t>+44 (0)20 7548 2375</t>
  </si>
  <si>
    <t>andrew.swan@mandg.com</t>
  </si>
  <si>
    <t>Trustee Director</t>
  </si>
  <si>
    <t>399412-45P</t>
  </si>
  <si>
    <t>Ann-Kathrin Fuhrmann</t>
  </si>
  <si>
    <t>Ann-Kathrin</t>
  </si>
  <si>
    <t>Fuhrmann</t>
  </si>
  <si>
    <t>Ms. Ann-Kathrin Fuhrmann serves as Associate Director Institutional Business Development at M&amp;G. Ms. Fuhrmann serves as Investment Expert Alternative Investments at Bosch (Automotive). In her new role, Fuhrmann will be responsible for establishing and expanding client relationships with insurance companies, pension funds and other institutional investors in Germany. She will report to Ingo Matthey, head of institutional business development in Germany and Austria. Fuhrmann joins M&amp;G from Bosch Pensionsfonds, where she held the position of expert in asset allocation with a focus on alternatives.</t>
  </si>
  <si>
    <t>+49 (0)69 1338 6720</t>
  </si>
  <si>
    <t>ann-kathrin.fuhrmann@mandg.com</t>
  </si>
  <si>
    <t>Main Building</t>
  </si>
  <si>
    <t>Taunusanlage 19</t>
  </si>
  <si>
    <t>Associate Director Institutional Business Development</t>
  </si>
  <si>
    <t>176074-39P</t>
  </si>
  <si>
    <t>Audrey Tournereau</t>
  </si>
  <si>
    <t>Tournereau</t>
  </si>
  <si>
    <t>Ms. Audrey Tournereau serves as Director of Asset Management, France, Belgium, Luxemburg &amp; Ireland at M&amp;G.</t>
  </si>
  <si>
    <t>+352 26 70 54</t>
  </si>
  <si>
    <t>audrey.tournereau@mandg.co.uk</t>
  </si>
  <si>
    <t>16, Boulevard Royal</t>
  </si>
  <si>
    <t>2449</t>
  </si>
  <si>
    <t>Director of Asset Management, France, Belgium, Luxemburg &amp; Ireland</t>
  </si>
  <si>
    <t>297017-29P</t>
  </si>
  <si>
    <t>Beata Sperling</t>
  </si>
  <si>
    <t>Beata</t>
  </si>
  <si>
    <t>Sperling</t>
  </si>
  <si>
    <t>Ms. Beata Sperling serves as Associate Director at M&amp;G Investments.</t>
  </si>
  <si>
    <t>beata.sperling@mandg.com</t>
  </si>
  <si>
    <t>339109-57P</t>
  </si>
  <si>
    <t>Ben Norris</t>
  </si>
  <si>
    <t>Norris</t>
  </si>
  <si>
    <t>Associate &amp; Director</t>
  </si>
  <si>
    <t>Mr. Ben Norris serves as Director (Private Equity) &amp; Private Equity Associate at M&amp;G.</t>
  </si>
  <si>
    <t>ben.norris@mandg.com</t>
  </si>
  <si>
    <t>Director (Private Equity) &amp; Private Equity Associate</t>
  </si>
  <si>
    <t>337924-72P</t>
  </si>
  <si>
    <t>Benoît Macé</t>
  </si>
  <si>
    <t>Benoît</t>
  </si>
  <si>
    <t>Macé</t>
  </si>
  <si>
    <t>Mr. Benoît Macé serves as Chief Strategy and Transformation Officer and Executive Committee Member at M&amp;G. Prior to that he spent 17 years at Boston Consulting Group, where he was a Managing Director and Partner in Financial Services, advising businesses in the asset management, wealth management and insurance sectors across the UK and Continental Europe. In his role at BCG he worked extensively with executive management teams on profitable growth strategies, operating model redesign and digital transformation initiatives. He also led the firm's asset management activities in the UK and Continental Europe for 5 years. He holds Masters of Science from Ecole Polytechnique in Palaiseau and Ecole Nationale Supérieure des Télécommunications in Paris.</t>
  </si>
  <si>
    <t>benoit.mace@mandg.com</t>
  </si>
  <si>
    <t>Chief Strategy and Transformation Officer &amp; Executive Committee Member</t>
  </si>
  <si>
    <t>353500-84P</t>
  </si>
  <si>
    <t>Carl Vine</t>
  </si>
  <si>
    <t>Vine</t>
  </si>
  <si>
    <t>Head &amp; Portfolio Manager</t>
  </si>
  <si>
    <t>Mr. Carl Vine serves as Co-Head APAC Equity Investing &amp; Portfolio Manager at M&amp;G.</t>
  </si>
  <si>
    <t>carl.vine@mandg.com</t>
  </si>
  <si>
    <t>Co-Head APAC Equity Investing &amp; Portfolio Manager</t>
  </si>
  <si>
    <t>160259-95P</t>
  </si>
  <si>
    <t>Caroline Connellan</t>
  </si>
  <si>
    <t>Ms. Caroline Connellan serves as Chief Executive Officer, M&amp;G Wealth - Executive Committee Member at M&amp;G. She served as Chief Executive Officer &amp; Board Member at Brooks Macdonald Group. She served as Chief Executive Officer &amp; Board Member at Brooks Macdonald Asset Management. She served as Board Member at Interactive Investor. She has over 25 years of experience in wealth management and retail financial services with recent positions including CEO of abrdn Personal Wealth, and CEO and Executive Director of wealth manager Brooks Macdonald Group plc. She was a Board member of the Investment Association for 3 years, and a member of the UK Government's Asset Management Taskforce. Prior to this she held senior positions at HSBC, Standard Life and McKinsey, having begun her career as a Private Client Investment Manager at Newton Investment Management.</t>
  </si>
  <si>
    <t>Brooks Macdonald Group (Former)</t>
  </si>
  <si>
    <t>151968-16P</t>
  </si>
  <si>
    <t>Charles De Quinsonas</t>
  </si>
  <si>
    <t>De Quinsonas</t>
  </si>
  <si>
    <t>Mr. Charles De Quinsonas serves as Fund Manager, Emerging Markets Debt at M&amp;G. He was appointed deputy fund manager of the M&amp;G Emerging Markets Bond Fund in September 2015, having joined the M&amp;G Retail Fixed Interest team in May 2014 as a junior fund manager supporting the fund. His focus is on emerging market corporates, helping to shape the fund's strategy and uncover additional opportunities on this ever-expanding universe. He has a solid background in corporate credit research and joined M&amp;G from Spread Research (in Lyon, France, and New York) where he spent four years analysing a variety of high yield and emerging market industrial credits.</t>
  </si>
  <si>
    <t>charles.dequinsonas@mandg.co.uk</t>
  </si>
  <si>
    <t>Fund Manager, Emerging Markets Debt</t>
  </si>
  <si>
    <t>425611-54P</t>
  </si>
  <si>
    <t>Chris Cochrane</t>
  </si>
  <si>
    <t>Cochrane</t>
  </si>
  <si>
    <t>Mr. Chris Cochrane serves as Chief Information Technology Officer at M&amp;G. Chris has been Chief Information Technology Officer of M&amp;G plc since 2018, responsible for defining and delivering the Group's technology strategy and enabling the digital transformation of the business. Previously, Chris has over 20 years' experience in technology roles, including as CIO of BT Global Services, delivering technology and communications services to BT's 5,000 global business customers, and as CIO of Openreach Service Delivery, enabling the digital transformation of technology and services for more than 33 million customers in the UK.</t>
  </si>
  <si>
    <t>chris.cochrane@mandg.com</t>
  </si>
  <si>
    <t>Chief Information Technology Officer</t>
  </si>
  <si>
    <t>132871-87P</t>
  </si>
  <si>
    <t>Claudia Calich</t>
  </si>
  <si>
    <t>Calich</t>
  </si>
  <si>
    <t>Ms. Claudia Calich serves as Head, of Emerging Markets Debt at M&amp;G. She joined M&amp;G in October 2013 as a specialist in emerging markets debt and was appointed fund manager of the M&amp;G Emerging Markets Bond fund in December 2013. She was also appointed acting fund manager of the M&amp;G Global Government Bond fund and acting deputy fund manager of the M&amp;G Global Macro Bond fund in July 2015. She has over 20 years of experience in emerging markets, most recently as a senior portfolio manager at Invesco in New York, with previous positions at Oppenheimer Funds, Fuji Bank, Standard &amp; Poor's, and Reuters. She graduated with a BA honors in economics from Susquehanna University in 1989 and holds an MA in International Economics from the International University of Japan in Niigata.</t>
  </si>
  <si>
    <t>claudia.calich@mandg.co.uk</t>
  </si>
  <si>
    <t>Head, Emerging Markets Debt</t>
  </si>
  <si>
    <t>248496-76P</t>
  </si>
  <si>
    <t>Clive Bolton</t>
  </si>
  <si>
    <t>Clive</t>
  </si>
  <si>
    <t>Mr. Clive Bolton serves as Chief Executive Officer, M&amp;G Life - Executive Committee Member at M&amp;G. He serves as Managing Director, Savings &amp; Retirement at Liverpool Victoria Financial Services (Savings &amp; Retirement and Protection Business). He joined M&amp;G in September 2023. With over 30 years of experience in financial services, he joins us from LV= where he was Managing Director of Protection, Savings and Retirement. Over his career he has built deep expertise within the Life and Pensions sector, including 11 years at Aviva Life UK, five of which were as Managing Director of Retirement Solutions. He represents M&amp;G on the Board of the Association of British Insurers (ABI).</t>
  </si>
  <si>
    <t>clive.bolton@mandg.com</t>
  </si>
  <si>
    <t>Chief Executive Officer, M&amp;G Life - Executive Committee Member</t>
  </si>
  <si>
    <t>174118-42P</t>
  </si>
  <si>
    <t>Cornel Chiriac</t>
  </si>
  <si>
    <t>Cornel</t>
  </si>
  <si>
    <t>Chiriac</t>
  </si>
  <si>
    <t>Mr. Cornel Chiriac serves as a Founding Partner at 2050 Capital. He also serves as Board Member at One Silicon Chip Photonics and bit.bio. He serves as Investment Director at M&amp;G. Among other deals, he led the seed investment rounds in Hadean (distributed HPC), AMFG (digital factory software), Vaticle (knowledge graph type db and query language), and Origin Sciences (DNA sequencing cancer diagnostics). He serves on several boards and advisory committees. He serves as a Board Member at AMFG, and The Naked Pharmacy. Complementary to 2050 Capital, he heads the Chicago Booth Angels London chapter, was instrumental in scaling the investment group globally, and is involved with various University of Chicago venture initiatives. In his earlier career, he built and scaled two ventures in the USA to multi-million exits, was a strategy and deal consultant with L.E.K. in London, and was a corporate VC with the World Gold Council. He holds an MBA from the University of Chicago Booth School of Business.</t>
  </si>
  <si>
    <t>cornel@2050cap.com</t>
  </si>
  <si>
    <t>Fourth Floor</t>
  </si>
  <si>
    <t>41 Dover Street</t>
  </si>
  <si>
    <t>W1S 4NR</t>
  </si>
  <si>
    <t>2050 Capital</t>
  </si>
  <si>
    <t>73600-03P</t>
  </si>
  <si>
    <t>Costanza Morea</t>
  </si>
  <si>
    <t>Costanza</t>
  </si>
  <si>
    <t>Morea</t>
  </si>
  <si>
    <t>Ms. Costanza Morea serves as Director Institutional Clients at M&amp;G. She has more than 10 years of experience in the industry, especially in the institutional segment, having previously worked for Mecer Italia as a senior investment consultant. Prior to that, She was the Institutional Clients sales manager at Credit Suisse Asset Management.</t>
  </si>
  <si>
    <t>costanza.morea@mandg.co.uk</t>
  </si>
  <si>
    <t>Director Institutional Clients</t>
  </si>
  <si>
    <t>151968-79P</t>
  </si>
  <si>
    <t>Craig Moran</t>
  </si>
  <si>
    <t>Mr. Craig Moran serves as Fund Manager, Multi-Asset at M&amp;G Investments. Craig Moran was appointed co-manager of the M&amp;G Prudent Allocation Fund on launch in April 2015. He has also been deputy fund manager on the M&amp;G Managed Growth Fund since 2013 and on the M&amp;G Episode Allocation Fund and the M&amp;G Dynamic Allocation Fund since 2011. Craig joined M&amp;G in 2005 as a performance and risk analyst and was later promoted as a fund managers' assistant to the Multi Asset team. In 2010, he became the team's investment analyst. Craig holds a bachelor of business degree from Queensland University of Technology and a masters in applied finance and investments from the Financial Services Institute of Australasia. He is a CFA charterholder.</t>
  </si>
  <si>
    <t>craig.moran@mandg.co.uk</t>
  </si>
  <si>
    <t>Fund Manager, Multi-Asset</t>
  </si>
  <si>
    <t>415567-81P</t>
  </si>
  <si>
    <t>Cristina De Guzman Esteban</t>
  </si>
  <si>
    <t>De Guzman Esteban</t>
  </si>
  <si>
    <t>Ms. Cristina De Guzman Esteban serves as ABS Credit Analyst at M&amp;G.</t>
  </si>
  <si>
    <t>+44 (0)12 6844 8031</t>
  </si>
  <si>
    <t>cristina.de-guzman-esteban@mandg.com</t>
  </si>
  <si>
    <t>Chelmsford</t>
  </si>
  <si>
    <t>Chelmsford, United Kingdom</t>
  </si>
  <si>
    <t>PO Box 9039</t>
  </si>
  <si>
    <t>CM99 2XG</t>
  </si>
  <si>
    <t>ABS Credit Analyst</t>
  </si>
  <si>
    <t>172413-37P</t>
  </si>
  <si>
    <t>Dan Riches</t>
  </si>
  <si>
    <t>Riches</t>
  </si>
  <si>
    <t>Mr. Dan Riches serves as Director, Real Estate Finance at M&amp;G.</t>
  </si>
  <si>
    <t>dan.riches@mandg.co.uk</t>
  </si>
  <si>
    <t>Director, Real Estate Finance</t>
  </si>
  <si>
    <t>169830-01P</t>
  </si>
  <si>
    <t>David Jackson</t>
  </si>
  <si>
    <t>Mr. David Jackson serves as Head of Fund Management, Continental Europe, M&amp;G Real Estate at M&amp;G.</t>
  </si>
  <si>
    <t>david.jackson@mandg.com</t>
  </si>
  <si>
    <t>World Trade Center, Tower H</t>
  </si>
  <si>
    <t>Zuidplein 36</t>
  </si>
  <si>
    <t>1077 XV</t>
  </si>
  <si>
    <t>Head of Fund Management, Continental Europe, M&amp;G Real Estate</t>
  </si>
  <si>
    <t>55421-02P</t>
  </si>
  <si>
    <t>David Parsons</t>
  </si>
  <si>
    <t>Parsons</t>
  </si>
  <si>
    <t>Mr. David Parsons serves as Head of the Public Debt Investment Specialist Team at M&amp;G. Previously, Mr. Parsons served as a Fixed Income Product Specialist at BlackRock. Prior to that he served as Senior Fixed Income Portfolio Manager at Lombard Odier Darier Hentsch &amp; Cie.</t>
  </si>
  <si>
    <t>david.parsons@mandg.co.uk</t>
  </si>
  <si>
    <t>Head of the Public Debt Investment Specialist Team</t>
  </si>
  <si>
    <t>415216-54P</t>
  </si>
  <si>
    <t>Edward Boots</t>
  </si>
  <si>
    <t>Boots</t>
  </si>
  <si>
    <t>Mr. Edward Boots serves as Head of Origination for Continental Europe of the Real Estate Finance Team at M&amp;G.</t>
  </si>
  <si>
    <t>edward.boots@mandg.com</t>
  </si>
  <si>
    <t>Head of Origination for Continental Europe of the Real Estate Finance Team</t>
  </si>
  <si>
    <t>358668-82P</t>
  </si>
  <si>
    <t>Emmanuel Deblanc</t>
  </si>
  <si>
    <t>Deblanc</t>
  </si>
  <si>
    <t>Mr. Emmanuel Deblanc served as Head of Private Markets at Allianz Global Investors. He serves as Chief Investment Officer, Private Markets at M&amp;G. He joined the company in 2017 as Head of Resilient Strategy. In this role, he was instrumental in building out AllianzGI's market-leading private debt franchise. Before joining Allianz Global Investors, He was a Managing Director at BNP Paribas co-heading a debt advisory and financing team. He was responsible for the origination and execution of advisory and arranging mandates across a broad range of sectors. Selected mandates include: advising Heathrow on the 3rd runway, and advising Borealis in relation to the acquisitions and refinancings of Fortum Sweden (Ellevio) and Fortum Finland (Caruna), both power networks with a total value of approximately EUR 8bn. He has been involved in the infrastructure and energy sectors since 1997; prior to joining BNP Paribas, he was part of MBIA's public finance team led by Deborah Zurkow.</t>
  </si>
  <si>
    <t>emmanuel.deblanc@mandg.com</t>
  </si>
  <si>
    <t>Chief Investment Officer, Private Markets</t>
  </si>
  <si>
    <t>127853-92P</t>
  </si>
  <si>
    <t>Fabiana Fedeli</t>
  </si>
  <si>
    <t>Fabiana</t>
  </si>
  <si>
    <t>Fedeli</t>
  </si>
  <si>
    <t>Ms. Fabiana Fedeli serves as Chief Investment Officer, Equities, Multi Asset and Sustainability, Board member, and Chair of Audit Committee at M&amp;G. She served as Portfolio Manager &amp; Equity Fund Manager at ORIX Corporation Europe. Previously, she served as a Senior Portfolio Manager at Pioneer Investments.</t>
  </si>
  <si>
    <t>Chief Investment Officer, Equities, Multi Asset and Sustainability, Board member, and Chair of Audit Committee</t>
  </si>
  <si>
    <t>415438-03P</t>
  </si>
  <si>
    <t>Fiona Hagdrup</t>
  </si>
  <si>
    <t>Hagdrup</t>
  </si>
  <si>
    <t>Ms. Fiona Hagdrup serves as Fund Manager &amp; Head of Leverage Finance Investments at M&amp;G.</t>
  </si>
  <si>
    <t>fiona.hagdrup@mandg.com</t>
  </si>
  <si>
    <t>Fund Manager &amp; Head of Leverage Finance Investments</t>
  </si>
  <si>
    <t>405476-56P</t>
  </si>
  <si>
    <t>Florent Delorme</t>
  </si>
  <si>
    <t>Delorme</t>
  </si>
  <si>
    <t>Mr. Florent Delorme serves as Institutional Client Director and Institutional Sales Director at M&amp;G.</t>
  </si>
  <si>
    <t>+33 (0)7 77 72 66 78</t>
  </si>
  <si>
    <t>florent.delorme@mandg.com</t>
  </si>
  <si>
    <t>8 Rue Lamennais</t>
  </si>
  <si>
    <t>Institutional Client Director and Institutional Sales Director</t>
  </si>
  <si>
    <t>157440-34P</t>
  </si>
  <si>
    <t>Grant Hadland</t>
  </si>
  <si>
    <t>Hadland</t>
  </si>
  <si>
    <t>Mr. Grant Hadland serves as Head, UK Institutional Distribution at M&amp;G. He has over 30 years of experience in institutional investment management. He joins from Standard Life Investments where he was responsible for managing relationships with a range of investment consultants. Prior to Standard Life Investments, he was head of Consultant Relationships for Royal London Asset Management, spent 13 years at Fidelity, and has held roles at both Henderson Global Investors and Schroders.</t>
  </si>
  <si>
    <t>grant.hadland@mandg.co.uk</t>
  </si>
  <si>
    <t>Head, UK Institutional Distribution</t>
  </si>
  <si>
    <t>312065-74P</t>
  </si>
  <si>
    <t>Hamish Carmody</t>
  </si>
  <si>
    <t>Carmody</t>
  </si>
  <si>
    <t>Mr. Hamish Carmody serves as Director, Business Development at M&amp;G.</t>
  </si>
  <si>
    <t>+44 (0)78 7747 1310</t>
  </si>
  <si>
    <t>hamish.carmody@mandg.com</t>
  </si>
  <si>
    <t>161330-95P</t>
  </si>
  <si>
    <t>Henry Barstow</t>
  </si>
  <si>
    <t>Mr. Henry Barstow serves as Director, Fixed Income and Head of LGPS at M&amp;G. He also served as Associate Director at M&amp;G Private Funds Investment.</t>
  </si>
  <si>
    <t>+44 (0)20 7548 3469</t>
  </si>
  <si>
    <t>henry.barstow@mandg.co.uk</t>
  </si>
  <si>
    <t>Director, Fixed Income and Head of LGPS</t>
  </si>
  <si>
    <t>339170-05P</t>
  </si>
  <si>
    <t>Ian Towey</t>
  </si>
  <si>
    <t>Towey</t>
  </si>
  <si>
    <t>Mr. Ian Towey serves as Senior Associate, Operational Due Diligence at M&amp;G.</t>
  </si>
  <si>
    <t>ian.towey@mandg.com</t>
  </si>
  <si>
    <t>Senior Associate, Operational Due Diligence</t>
  </si>
  <si>
    <t>444463-57P</t>
  </si>
  <si>
    <t>Ingo Matthey</t>
  </si>
  <si>
    <t>Ingo</t>
  </si>
  <si>
    <t>Matthey</t>
  </si>
  <si>
    <t>Mr. Ingo Matthey serves as Head of Institutional Business Development Germany &amp; Austria at M&amp;G.</t>
  </si>
  <si>
    <t>ingo.matthey@mandg.de</t>
  </si>
  <si>
    <t>Head of Institutional Business Development Germany &amp; Austria</t>
  </si>
  <si>
    <t>80950-42P</t>
  </si>
  <si>
    <t>James Tomlins</t>
  </si>
  <si>
    <t>Tomlins</t>
  </si>
  <si>
    <t>Mr. James Tomlins serves as Fund Manager at M&amp;G Investments. He joined M&amp;G in 2011. As well as managing the M&amp;G Global Floating Rate High Yield Fund, he has been manager of M&amp;G European High Yield Bond Fund since 2011 and co-manager of the M&amp;G Global High Yield Bond Fund since 2014.</t>
  </si>
  <si>
    <t>james.tomlins@mandg.co.uk</t>
  </si>
  <si>
    <t>190348-66P</t>
  </si>
  <si>
    <t>Jeffrey Lin</t>
  </si>
  <si>
    <t>Mr. Jeffrey Lin serves as Head of Thematic Equities at M&amp;G. He served as Executive at Thomson Kelvin Capital. He is a Senior VP, Senior Equity Analyst for TCW with over 14 years of experience in the technology sector. Previously worked at Montgomery Securities and Paul Allen's Vulcan Ventures where three of his investments went public and three were acquired by publicly traded companies. Served as CFO of Zaffire, an optical equipment company funded by Kleiner Perkins, until the company's sale to Centerpoint Broadband. He was an Analysy at Provident Investment Counsel and Co-Portfolio Manager of Conquistador Ventures, a technology sector focused hedge fund.</t>
  </si>
  <si>
    <t>jeffrey.lin@mandg.com</t>
  </si>
  <si>
    <t>Head of Thematic Equities</t>
  </si>
  <si>
    <t>95597-29P</t>
  </si>
  <si>
    <t>Jenny Williams</t>
  </si>
  <si>
    <t>Ms. Jenny Williams serves as Director Fixed Income at M&amp;G Investments.</t>
  </si>
  <si>
    <t>jenny.williams@mandg.com</t>
  </si>
  <si>
    <t>Director Fixed Income</t>
  </si>
  <si>
    <t>376956-46P</t>
  </si>
  <si>
    <t>Jeremy Punnett</t>
  </si>
  <si>
    <t>Punnett</t>
  </si>
  <si>
    <t>Mr. Jeremy Punnett serves as Portfolio Manager at M&amp;G.</t>
  </si>
  <si>
    <t>jeremy.punnett@mandg.com</t>
  </si>
  <si>
    <t>149247-10P</t>
  </si>
  <si>
    <t>Jing Dong Lai</t>
  </si>
  <si>
    <t>Jing</t>
  </si>
  <si>
    <t>Dong Lai</t>
  </si>
  <si>
    <t>Mr. Jing Dong Lai serves as Chief Investment Officer &amp; Chief Executive Officer, Asia, M&amp;G Real Estate at M&amp;G. He has more than 18 years of experience in Asia real estate markets, having worked in a number of the region's financial hubs including Tokyo, Hong Kong, and Singapore. Prior to this, he was Director &amp; Head of Investments at Straits Real Estate, where he managed an Asia Pacific investment mandate across multiple asset classes including office, retail and residential. He has also held senior positions at Goldman Sachs' real estate principal investment area (REPIA) in Japan and Singapore, and Carlyle Asia Real Estate Partners in Hong Kong. He started his career as an analyst in the International Principal Finance Group of Shinsei Bank, focusing on acquisition of non-performing loan portfolios. JD graduated magna cum laude from Tufts University with a B.A. in Economics and International Relations.</t>
  </si>
  <si>
    <t>+65 6436 5351</t>
  </si>
  <si>
    <t>jingdong.lai@mandg.sg</t>
  </si>
  <si>
    <t>9th Floor, Shiroyama Trust Tower</t>
  </si>
  <si>
    <t>4-3-1 Toranomon Minato-ku</t>
  </si>
  <si>
    <t>105-6009</t>
  </si>
  <si>
    <t>Chief Investment Officer &amp; Chief Executive Officer, Asia, M&amp;G Real Estate</t>
  </si>
  <si>
    <t>257035-06P</t>
  </si>
  <si>
    <t>Joanne Maure</t>
  </si>
  <si>
    <t>Maure</t>
  </si>
  <si>
    <t>Ms. Joanne Maure serves as Director, Private Funds &amp; Co-Invest at M&amp;G. Prior to joining M&amp;G, Ms. Maure was a member of the UK Investment Banking division at Jefferies in London. She holds a BSc in Mathematics and Economics from the London School of Economics.</t>
  </si>
  <si>
    <t>joanne.maure@mandg.com</t>
  </si>
  <si>
    <t>Director, Private Funds &amp; Co-Invest</t>
  </si>
  <si>
    <t>267470-11P</t>
  </si>
  <si>
    <t>Jody Neale</t>
  </si>
  <si>
    <t>Neale</t>
  </si>
  <si>
    <t>Mr. Jody Neale serves as Associate Director, M&amp;G Real Estate at M&amp;G.</t>
  </si>
  <si>
    <t>+81 (0)34 550 6837</t>
  </si>
  <si>
    <t>jody.neale@mandg.com</t>
  </si>
  <si>
    <t>Associate Director, M&amp;G Real Estate</t>
  </si>
  <si>
    <t>415641-61P</t>
  </si>
  <si>
    <t>Joe Sullivan-Bissett</t>
  </si>
  <si>
    <t>Sullivan-Bissett</t>
  </si>
  <si>
    <t>Mr. Joe Sullivan-Bissett serves as Investment Director at M&amp;G. With more than a decade of industry experience, Sullivan-Bissett is the lead investment specialist on M&amp;G's global macro strategies and sterling credit funds, which supports investment and distribution teams across the UK and internationally. He joined M&amp;G from Amundi, where he was an investment specialist within the firm's global fixed income team, covering a range of credit strategies. Prior to that, he served in a number of roles at Insight Investment, including investment specialist for fixed income strategies, the firm said in a statement.</t>
  </si>
  <si>
    <t>joe.sullivan-bissett@mandg.com</t>
  </si>
  <si>
    <t>14758-93P</t>
  </si>
  <si>
    <t>John Euers</t>
  </si>
  <si>
    <t>Euers</t>
  </si>
  <si>
    <t>Mr. John Euers serves as Managing Director, Impact &amp; Private Equity at M&amp;G. He serves as Investment Director at M&amp;G Private Funds Investment. He also serves as a Board Member at PPMC First Nominees. Prior to joining in 2006, he spent seven years with the medical research charity Wellcome Trust, one of the largest European investors in private equity, where he helped manage their £3 billion global private equity Fund of Funds portfolio.</t>
  </si>
  <si>
    <t>+44 (0)20 3480 5962</t>
  </si>
  <si>
    <t>john.euers@mandg.co.uk</t>
  </si>
  <si>
    <t>Managing Director, Impact &amp; Private Equity</t>
  </si>
  <si>
    <t>127608-31P</t>
  </si>
  <si>
    <t>John William Olsen</t>
  </si>
  <si>
    <t>William Olsen</t>
  </si>
  <si>
    <t>Mr. John William Olsen serves as Director of Global Equities &amp; Fund Manager at M&amp;G Investments. He was appointed fund manager of the M&amp;G Global Select Fund and M&amp;G Pan European Select Fund in July 2014. Olsen joined M&amp;G from Danske Capital, where from 2002 he had managed non-domestic equity portfolios, including the Global Stock Picking and Global Select equity funds, and also the European Select strategy. He joined Danske Capital in 1998 as a fund manager on the domestic Danish equities team, and in 2000 also became a global sector analyst focusing on technology and telecommunications stocks. Olsen gained a BA in business economics and then an MSc in finance and accounting from Copenhagen Business School.</t>
  </si>
  <si>
    <t>john.william@mandg.co.uk</t>
  </si>
  <si>
    <t>Director of Global Equities &amp; Fund Manager</t>
  </si>
  <si>
    <t>221174-92P</t>
  </si>
  <si>
    <t>Jonathan Daniels</t>
  </si>
  <si>
    <t>Mr. Jonathan Daniels serves as Managing Director, M&amp;G Group at M&amp;G. Prior to his appointment as CIO in February 2019, Mr. Daniels was Chief Investment Officer, Prudential UK, overseeing the management of the £178 billion With-Profits and annuity assets, and the investment capability behind the PruFund proposition.</t>
  </si>
  <si>
    <t>jonathan.daniels@mandg.co.uk</t>
  </si>
  <si>
    <t>Managing Director, M&amp;G Group</t>
  </si>
  <si>
    <t>55421-29P</t>
  </si>
  <si>
    <t>Joseph Pinto</t>
  </si>
  <si>
    <t>Mr. Joseph Pinto serves as Chief Executive Officer, Asset Management and Member of Executive Committee at M&amp;G. He served as Board Member at FundsDLT. With 30 years of experience in asset management, financial services, and consulting, he joined from Natixis Investment Managers where he served as a Head of Distribution and Investment Solutions for EMEA, APAC and LATAM and Global Chief Operating Officer. Previously at AXA Investment Managers for 13 years, he held senior positions, including Global Chief Operating Officer, Global Head of Markets &amp; Investment Strategy and Head of Business Development for South Europe and the Middle East.</t>
  </si>
  <si>
    <t>+33 (0)1 43 25 87 31</t>
  </si>
  <si>
    <t>joseph.pinto@mandg.com</t>
  </si>
  <si>
    <t>Chief Executive Officer, Asset Management &amp; Member of Executive Committee</t>
  </si>
  <si>
    <t>415476-46P</t>
  </si>
  <si>
    <t>Joseph Rice</t>
  </si>
  <si>
    <t>Mr. Joseph Rice serves as Director, ABS Portfolio Management at M&amp;G.</t>
  </si>
  <si>
    <t>joseph.rice@mandg.com</t>
  </si>
  <si>
    <t>Director, ABS Portfolio Management</t>
  </si>
  <si>
    <t>415544-32P</t>
  </si>
  <si>
    <t>Josephine Meertens</t>
  </si>
  <si>
    <t>Meertens</t>
  </si>
  <si>
    <t>Ms. Josephine Meertens serves as Director at M&amp;G.</t>
  </si>
  <si>
    <t>josephine.meertens@mandg.com</t>
  </si>
  <si>
    <t>260444-17P</t>
  </si>
  <si>
    <t>Joshua White</t>
  </si>
  <si>
    <t>Mr. Joshua White serves as Associate, Private Equity at M&amp;G.</t>
  </si>
  <si>
    <t>joshua.white@mandg.com</t>
  </si>
  <si>
    <t>344973-79P</t>
  </si>
  <si>
    <t>Karen Lam</t>
  </si>
  <si>
    <t>Mr. Karen Lam serves as Head of Investment Specialists, Private Credit at M&amp;G.</t>
  </si>
  <si>
    <t>karen.lam@mandg.com</t>
  </si>
  <si>
    <t>Head of Investment Specialists, Private Credit</t>
  </si>
  <si>
    <t>288800-65P</t>
  </si>
  <si>
    <t>Kathryn McLeland</t>
  </si>
  <si>
    <t>McLeland</t>
  </si>
  <si>
    <t>Ms. Kathryn McLeland serves as Chief Financial Officer, Board Member &amp; Member of Executive Committee at M&amp;G. Ms. McLeland serves as Chief Financial Officer, Board Member &amp; Member of Executive Committee, M&amp;G at M &amp; G Group Pension Scheme. She joins from Barclays PLC, where she has been Group Treasurer since 2018, with responsibilities that included capital management and strategy, principal equity investments (including sustainable impact and FinTech), and investor relations. Over a career of more than 20 years at Barclays, she has held a series of senior roles at the bank. Before that, she spent several years in investment banking with Merrill Lynch and Salomon Brothers. Subject to regulatory approval, she will join M&amp;G plc in May.</t>
  </si>
  <si>
    <t>kathryn.mcleland@mandg.co.uk</t>
  </si>
  <si>
    <t>Chief Financial Officer, Board Member &amp; Member of Executive Committee</t>
  </si>
  <si>
    <t>372419-83P</t>
  </si>
  <si>
    <t>Kathy Ryan</t>
  </si>
  <si>
    <t>Ms. Kathy Ryan serves as Chief Sustainability Officer at M&amp;G.</t>
  </si>
  <si>
    <t>kathy.ryan@mandg.com</t>
  </si>
  <si>
    <t>91256-59P</t>
  </si>
  <si>
    <t>Kelly Hebert</t>
  </si>
  <si>
    <t>Hebert</t>
  </si>
  <si>
    <t>Ms. Kelly Hebert serves as Country Head of Belgium, Luxembourg &amp; France at M&amp;G.</t>
  </si>
  <si>
    <t>+ 33 (0)1 71 70 30 86</t>
  </si>
  <si>
    <t>kelly.hebert@mandg.com</t>
  </si>
  <si>
    <t>Country Head of Belgium, Luxembourg &amp; France</t>
  </si>
  <si>
    <t>416137-15P</t>
  </si>
  <si>
    <t>Kirsty Wright</t>
  </si>
  <si>
    <t>Mr. Kirsty Wright serves as Director of PruFund Proposition at M&amp;G.</t>
  </si>
  <si>
    <t>kirsty.wright@mandg.com</t>
  </si>
  <si>
    <t>Director of PruFund Proposition</t>
  </si>
  <si>
    <t>415502-11P</t>
  </si>
  <si>
    <t>Krishan Padhiar</t>
  </si>
  <si>
    <t>Krishan</t>
  </si>
  <si>
    <t>Padhiar</t>
  </si>
  <si>
    <t>Mr. Krishan Padhiar serves as Portfolio Manager at M&amp;G.</t>
  </si>
  <si>
    <t>krishan.padhiar@mandg.com</t>
  </si>
  <si>
    <t>151969-15P</t>
  </si>
  <si>
    <t>Leonard Vinville</t>
  </si>
  <si>
    <t>Vinville</t>
  </si>
  <si>
    <t>Mr. Leonard Vinville serves as Director at M&amp;G Investments. Léonard Vinville joined M&amp;G in 2002, and since then has been managing the convertibles allocation of the Prudential With Profit Life Fund. He has also been responsible for managing the M&amp;G Global Convertibles Fund since its launch in July 2007. Both funds are run with the same investment approach and with an emphasis on generating strong risk-adjusted returns. Prior to joining M&amp;G, Léonard was Head of European Convertibles at AGF Asset Management in Paris, where he managed convertibles and French equity mandates. He has an MBA and is qualified as a chartered accountant.</t>
  </si>
  <si>
    <t>leonard.vinville@mandg.co.uk</t>
  </si>
  <si>
    <t>330324-58P</t>
  </si>
  <si>
    <t>Lisa Worley</t>
  </si>
  <si>
    <t>Ms. Lisa Worley serves as Chief Marketing Officer, M&amp;G Wealth at M&amp;G. She serves as Chief Marketing Officer at Asurafin. With over 20 years of experience leading marketing, communications, business development, and digital transformation globally across banking, fintech, professional services, stockbroking, wealth, and investment management, she brings a wealth of expertise to the business and client experience.</t>
  </si>
  <si>
    <t>lisa.worley@mandg.com</t>
  </si>
  <si>
    <t>Chief Marketing Officer, M&amp;G Wealth</t>
  </si>
  <si>
    <t>425614-42P</t>
  </si>
  <si>
    <t>Louise Gelling</t>
  </si>
  <si>
    <t>Gelling</t>
  </si>
  <si>
    <t>Louise Gelling serves as Interim Group Chief Risk and Compliance Officer at M&amp;G. Louise has over 24 years' experience in the Financial Services industry. She joined M&amp;G plc as the Chief Risk Officer for Non-Financial Risk and was appointed as the Interim Chief Risk and Compliance Officer in January 2024. Prior to joining M&amp;G plc, Louise worked at UBS for eight years within Compliance and Operational Risk Control, and served as the Global Head of Operational Risk for the last three years. Earlier in her career, Louise spent 15 years in external audit at Deloitte where she trained as a chartered accountant. She worked on a variety of projects and with many clients in the Banking and Capital Markets sectors, where she gained valuable experience in risk management and compliance.</t>
  </si>
  <si>
    <t>Interim Group Chief Risk and Compliance Officer</t>
  </si>
  <si>
    <t>163692-37P</t>
  </si>
  <si>
    <t>Manuel Pozzi</t>
  </si>
  <si>
    <t>Mr. Manuel Pozzi serves as an Investment Director at M&amp;G Investments. Based in Milan, Mr. Pozzi will work closely with London's investment teams, reporting to Neal Brooks, head of Business Management. With over 16 years of industry experience, Mr. Pozzi will focus on analysing key business and market issues as well as defining strategic portfolios, working with M&amp;G's leading multi-asset, bond and equity investment teams. Before joining M&amp;G in 2011, Mr. Pozzi has been portfolio manager at Banca Passadore and Banco Desio. He has a degree in Economics at Bocconi University in Milan.</t>
  </si>
  <si>
    <t>+39 02 3206 551</t>
  </si>
  <si>
    <t>manuel.pozzi@mandg.co.uk</t>
  </si>
  <si>
    <t>Via Santa Maria Segreta, 6</t>
  </si>
  <si>
    <t>248105-89P</t>
  </si>
  <si>
    <t>Mark McLane</t>
  </si>
  <si>
    <t>McLane</t>
  </si>
  <si>
    <t>Mr. Mark McLane serves as Head of Diversity, Inclusion and Well-being at M&amp;G Investments.</t>
  </si>
  <si>
    <t>mark.mclane@mandg.com</t>
  </si>
  <si>
    <t>Head of Diversity, Inclusion and Well-being</t>
  </si>
  <si>
    <t>444430-36P</t>
  </si>
  <si>
    <t>Martin Kübler</t>
  </si>
  <si>
    <t>Kübler</t>
  </si>
  <si>
    <t>Mr. Martin Kübler serves as Director Institutional Business Development at M&amp;G.</t>
  </si>
  <si>
    <t>martin.kuebler@mandg.com</t>
  </si>
  <si>
    <t>Director Institutional Business Development</t>
  </si>
  <si>
    <t>55624-42P</t>
  </si>
  <si>
    <t>Martin Lennon</t>
  </si>
  <si>
    <t>Lennon</t>
  </si>
  <si>
    <t>Mr. Martin Lennon is a Co-Founder and serves as Chief Executive Officer and Member of the Investment, Steering, and Executive Committee at Infracapital. He serves as Head of Project and Infrastructure Finance at M&amp;G. He has been the Head of Infracapital since its inception, and has over 30 years' infrastructure, project finance, and investment experience. Prior to founding Infracapital, he led the Project &amp; Infrastructure Finance business at M&amp;G, having joined the company in 1998. He developed a substantial and diversified business investing in infrastructure across a range of financial instruments, including public bonds, private placements, loans, mezzanine, and equity. He played a key role in the creation and development of the first secondary market PFI fund, the M&amp;G Innisfree PPP Fund ("IMPPP") in 2002. He chairs the Investment Committee of Infracapital and the Investment &amp; Steering Committee of IMPPP. Prior to joining M&amp;G, he worked in the infrastructure and project finance divisions of AMEC Plc and Brown &amp; Root Limited. He is a Chartered Management Accountant and is authorised to undertake investment activities by M&amp;G under the Certification Regime.</t>
  </si>
  <si>
    <t>+44 (0)20 8162 3072</t>
  </si>
  <si>
    <t>martin.lennon@infracapital.co.uk</t>
  </si>
  <si>
    <t>Co-Founder, Chief Executive Officer and Member of the Investment, Steering, and Executive Committee</t>
  </si>
  <si>
    <t>Infracapital</t>
  </si>
  <si>
    <t>309784-33P</t>
  </si>
  <si>
    <t>Matt Howells</t>
  </si>
  <si>
    <t>Howells</t>
  </si>
  <si>
    <t>Mr. Matt Howells serves as Chief People Officer and Executive Committee Member at M&amp;G. He was previously Managing Director for the Later Life Planning and Legal Services at the Co-op and prior to that the Managing Director for Barclays Secured Lending and the COO for the Retail Bank's Global HR Operations. Earlier in his career he worked with a variety of FTSE Financial Services organisations working on transformation, change and integration with Accenture.</t>
  </si>
  <si>
    <t>mhowells@mandgplc.com</t>
  </si>
  <si>
    <t>Chief People Officer &amp; Executive Committee Member</t>
  </si>
  <si>
    <t>355493-44P</t>
  </si>
  <si>
    <t>Matt Robinson</t>
  </si>
  <si>
    <t>Mr. Matt Robinson serves as Managing Director, International Life Insurance Business at M&amp;G. Mr. Robinson served as Managing Director at Hornbuckle Mitchell Private Pension. Previously he worked at Aviva for 20 years, where he held a number of senior roles. He is a qualified actuary who brings a deep knowledge of the insurance market and leading large
teams in different countries. He joins M&amp;G from Embark, a pensions provider that is part of Lloyds Banking Group, where he was Managing Director. Prior to his role at Embark, Matt was a Non-Executive Director at Zurich Life &amp; Pensions Ireland and spent over 20 years at Aviva, where he held a number of senior roles both in the UK and Ireland. During his time at Aviva, Matt led on a strategic review of the company's presence in Ireland and the regulatory process for the acquisition of Friends First and its merger with Aviva Life Ireland.</t>
  </si>
  <si>
    <t>matt.robinson@mandg.com</t>
  </si>
  <si>
    <t>Managing Director, International Life Insurance Business</t>
  </si>
  <si>
    <t>190749-25P</t>
  </si>
  <si>
    <t>Matthew Russell</t>
  </si>
  <si>
    <t>Mr. Matthew Russell serves as Fund Manager at M&amp;G.</t>
  </si>
  <si>
    <t>matthew.russell@mandg.co.uk</t>
  </si>
  <si>
    <t>139475-80P</t>
  </si>
  <si>
    <t>Micaela Forelli</t>
  </si>
  <si>
    <t>Micaela</t>
  </si>
  <si>
    <t>Forelli</t>
  </si>
  <si>
    <t>Ms. Micaela Forelli serves as Chief Executive Officer, Europe at M&amp;G.</t>
  </si>
  <si>
    <t>micaela.forelli@mandg.com</t>
  </si>
  <si>
    <t>Chief Executive Officer, Europe</t>
  </si>
  <si>
    <t>444313-99P</t>
  </si>
  <si>
    <t>Michael Barkett</t>
  </si>
  <si>
    <t>Barkett</t>
  </si>
  <si>
    <t>Mr. Michael Barkett serves as Director, Institutional Sales North America at M&amp;G. Mr. Barkett earned a degree from the University of Exeter and a degree from Victoria University of Wellington.</t>
  </si>
  <si>
    <t>michael.barkett@mandg.com</t>
  </si>
  <si>
    <t>1395 Brickell Avenue</t>
  </si>
  <si>
    <t>Director, Institutional Sales North America</t>
  </si>
  <si>
    <t>182814-22P</t>
  </si>
  <si>
    <t>Michael Stiasny</t>
  </si>
  <si>
    <t>Stiasny</t>
  </si>
  <si>
    <t>Mr. Michael Stiasny serves as Head of UK Equities &amp; Fund Manager - Recovery Fund, Dividend Fund &amp; Chair Fund at M&amp;G.</t>
  </si>
  <si>
    <t>michael.stiasny@mandg.co.uk</t>
  </si>
  <si>
    <t>Head of UK Equities &amp; Fund Manager - Recovery Fund, Dividend Fund &amp; Chair Fund</t>
  </si>
  <si>
    <t>198339-22P</t>
  </si>
  <si>
    <t>Michael van der Meer</t>
  </si>
  <si>
    <t>van der Meer</t>
  </si>
  <si>
    <t>Mr. Michael van der Meer serves as Head of Sustainability at M&amp;G. He served as Partner, Director, Investment Committee Member &amp; Board Member at Outlier Ventures. He helps set the strategic priorities of Outlier and its investment portfolio. He is an experienced angel investor focused on DLT, biotech, and the space industry. He has over a decade of professional experience managing investments in emerging markets, having been an Investment Adviser to Trading Emissions PLC for whom he served as a non-executive director at Asia Biogas. He is currently a director at RobecoSAM AG in Zurich, Switzerland.</t>
  </si>
  <si>
    <t>+41 (0)43 443 8200</t>
  </si>
  <si>
    <t>michael.meer@mandg.com</t>
  </si>
  <si>
    <t>Zollstrasse 17</t>
  </si>
  <si>
    <t>145342-18P</t>
  </si>
  <si>
    <t>Nas Islam</t>
  </si>
  <si>
    <t>Nas</t>
  </si>
  <si>
    <t>Mr. Nas Islam serves as Chief Audit Officer (SMF5) - M&amp;G Group Investments at M&amp;G.</t>
  </si>
  <si>
    <t>nas.islam@mandg.com</t>
  </si>
  <si>
    <t>Chief Audit Officer (SMF5) - M&amp;G Group Investments</t>
  </si>
  <si>
    <t>56218-69P</t>
  </si>
  <si>
    <t>Nicola Mutinelli</t>
  </si>
  <si>
    <t>Mutinelli</t>
  </si>
  <si>
    <t>Mr. Nicola Mutinelli serves as Sales Director-Head of Advisory Clients at M&amp;G Investments. He has previously worked as relationship manager for independent asset manager Anima SGR, where he took care of relationships with Italy's main distribution networks.</t>
  </si>
  <si>
    <t>nicola.mutinelli@mandg.co.uk</t>
  </si>
  <si>
    <t>Sales Director-Head of Advisory Clients</t>
  </si>
  <si>
    <t>279503-02P</t>
  </si>
  <si>
    <t>Niranjan Sirdeshpande</t>
  </si>
  <si>
    <t>Niranjan</t>
  </si>
  <si>
    <t>Sirdeshpande</t>
  </si>
  <si>
    <t>Mr. Niranjan Sirdeshpande serves as Global Head of Investments - M&amp;G Catalyst at M&amp;G. Mr. Sirdeshpande serves as Non-Executive Director, Board at Biobest Group. He serves as Board Member at Northern Gritstone. He serves as Board Member at Seeker Music. He also serves as Board Member at SKY Aviation Leasing International. He also served as Board Member at Nuclera.</t>
  </si>
  <si>
    <t>niranjan.sirdeshpande@mandg.com</t>
  </si>
  <si>
    <t>Global Head of Investments - M&amp;G Catalyst</t>
  </si>
  <si>
    <t>53530-57P</t>
  </si>
  <si>
    <t>Paolo Rossi</t>
  </si>
  <si>
    <t>Mr. Andrea Rossi serves as Group Chief Executive Officer, Board Member &amp; Executive Committee Member at M&amp;G. Mr. Rossi served as a senior advisor at Quadrivio Group. He served as Chief Executive Officer and Board Director at AXA Investment Managers. Mr. Rossi began his career at Olivetti in the Finance Department before having several international experiences at Olivetti Canada and Morgan Stanley. In 1995, he moved to General Electric Group, first as Product Marketing Manager for General Electric Lighting Europe and then as Vice President for Six Sigma at General Electric Capital AFS Europe. From 1999 to 2000, he worked for Transamerica Aegon as Director of Business Development and Marketing-Europe. In 2001, he joined the AXA Group as Senior Vice President, Business Support and Development-Mediterranean Region, Middle East, and Latin America, with a subsequent post as Chief Operating Officer of the MEDLA Region. In 2006, he moved to Dubai as CEO and Deputy Chairman of AXA Insurance Gulf &amp; Middle East before being appointed CEO of AXA Assicurazioni in Italy in 2008. He became Chief Executive Officer of AXA IM in July 2013. He Rossi holds a degree in economics from the "Università La Sapienza" in Rome, Italy, and an MBA from INSEAD in Fontainebleau, France.</t>
  </si>
  <si>
    <t>andrea.rossi@mandg.com</t>
  </si>
  <si>
    <t>Group Chief Executive Officer, Board Member &amp; Executive Committee Member</t>
  </si>
  <si>
    <t>415446-31P</t>
  </si>
  <si>
    <t>Peilin Bao</t>
  </si>
  <si>
    <t>Peilin</t>
  </si>
  <si>
    <t>Mr. Peilin Bao serves as Portfolio Manager at M&amp;G.</t>
  </si>
  <si>
    <t>peilin.bao@mandg.com</t>
  </si>
  <si>
    <t>282761-02P</t>
  </si>
  <si>
    <t>Philipp Kowollik</t>
  </si>
  <si>
    <t>Kowollik</t>
  </si>
  <si>
    <t>Mr. Philipp Kowollik serves as Head of Private Banks and Family Offices at M&amp;G. Mr. Kowollik served as Director at Columbia Threadneedle Investments.</t>
  </si>
  <si>
    <t>philipp.kowollik@mandg.com</t>
  </si>
  <si>
    <t>Head of Private Banks and Family Offices</t>
  </si>
  <si>
    <t>202582-72P</t>
  </si>
  <si>
    <t>Praveg Patil</t>
  </si>
  <si>
    <t>Praveg</t>
  </si>
  <si>
    <t>Patil</t>
  </si>
  <si>
    <t>Mr. Praveg Patil serves as Head of Asia - Impact and Private Equity at M&amp;G. He serves as Board Member at SkyCell.</t>
  </si>
  <si>
    <t>praveg.patil@mandg.com</t>
  </si>
  <si>
    <t>Head of Asia - Impact &amp; Private Equity</t>
  </si>
  <si>
    <t>329995-63P</t>
  </si>
  <si>
    <t>Rana Modarres</t>
  </si>
  <si>
    <t>Rana</t>
  </si>
  <si>
    <t>Modarres</t>
  </si>
  <si>
    <t>Ms. Rana Modarres serves as Impact Director - Catalyst Fund at M&amp;G.</t>
  </si>
  <si>
    <t>rana.modarres@mandg.com</t>
  </si>
  <si>
    <t>Impact Director - Catalyst Fund</t>
  </si>
  <si>
    <t>403864-21P</t>
  </si>
  <si>
    <t>Richard Godfrey</t>
  </si>
  <si>
    <t>Godfrey</t>
  </si>
  <si>
    <t>Mr. Richard Godfrey serves as Chief Operating Officer at M&amp;G.</t>
  </si>
  <si>
    <t>rgodfrey@mandg.com</t>
  </si>
  <si>
    <t>163750-42P</t>
  </si>
  <si>
    <t>Richard Ryan</t>
  </si>
  <si>
    <t>Mr. Richard Ryan serves as Director of Fixed Income, Senior Credit Portfolio Manager at M&amp;G Investments. He was the Global Fixed Income Fund Manager at Nomura Asset Management.</t>
  </si>
  <si>
    <t>richard.ryan@mandg.co.uk</t>
  </si>
  <si>
    <t>Director of Fixed Income, Senior Credit Portfolio Manager</t>
  </si>
  <si>
    <t>444656-17P</t>
  </si>
  <si>
    <t>Robert Scheer</t>
  </si>
  <si>
    <t>Mr. Robert Scheer serves as Co-Head of Private Credit Origination at M&amp;G.</t>
  </si>
  <si>
    <t>robert.scheer@mandg.co.uk</t>
  </si>
  <si>
    <t>Co-Head of Private Credit Origination</t>
  </si>
  <si>
    <t>153644-50P</t>
  </si>
  <si>
    <t>Rory Alexander</t>
  </si>
  <si>
    <t>Mr. Rory Alexander serves as Fund Manager, UK Sustain Paris Aligned Fund, at M&amp;G. He had been an embedded research analyst with the UK Equities team since June 2015. He initially joined M&amp;G as an analyst in the Equity Research team in 2008 and covered areas such as global transport, support services, media, and consumer staples. Prior to joining M&amp;G, Rory worked for St. James's Place Partnership. He graduated from Bath University in 2008 with a BSc (Hons) in economics.</t>
  </si>
  <si>
    <t>rory.alexander@mandg.co.uk</t>
  </si>
  <si>
    <t>Fund Manager , UK Sustain Paris Aligned Fund</t>
  </si>
  <si>
    <t>55182-07P</t>
  </si>
  <si>
    <t>Rupert Krefting</t>
  </si>
  <si>
    <t>Krefting</t>
  </si>
  <si>
    <t>Mr. Rupert Krefting serves as Head of Corporate Finance and Stewardship at M&amp;G. He served as Director, Corporate Banking at Numis Securities.</t>
  </si>
  <si>
    <t>rupert.krefting@mandg.com</t>
  </si>
  <si>
    <t>Head of Corporate Finance and Stewardship</t>
  </si>
  <si>
    <t>161555-23P</t>
  </si>
  <si>
    <t>Samuel Collings</t>
  </si>
  <si>
    <t>Collings</t>
  </si>
  <si>
    <t>Mr. Samuel Collings serves as Head of DC Business Development at M&amp;G.</t>
  </si>
  <si>
    <t>+44 (0)20 7548 3279</t>
  </si>
  <si>
    <t>sam.collings@mandg.co.uk</t>
  </si>
  <si>
    <t>Head of DC Business Development</t>
  </si>
  <si>
    <t>119482-57P</t>
  </si>
  <si>
    <t>Sander Van der Wel</t>
  </si>
  <si>
    <t>Sander</t>
  </si>
  <si>
    <t>Van der Wel</t>
  </si>
  <si>
    <t>Mr. Sander Van der Wel serves as Director Institutional Business Development Benelux at M&amp;G. He is a part of the Dutch and Belgian institutional markets. He joined from Aegon Asset Management. Prior to his tenure at Aegon AM, he worked at Citigroup and Barclays, where he served as a director of fixed income sales, EMEA among others. He holds a Bachelor's in International Management.</t>
  </si>
  <si>
    <t>sander.vanderwel@mandg.com</t>
  </si>
  <si>
    <t>Director Institutional Business Development Benelux</t>
  </si>
  <si>
    <t>172181-35P</t>
  </si>
  <si>
    <t>Sean Fitzgerald</t>
  </si>
  <si>
    <t>Chief Financial Officer &amp; Director</t>
  </si>
  <si>
    <t>Mr. Sean Fitzgerald serves as Chief Financial Officer &amp; Director of FP&amp;A at M&amp;G. Mr. Fitzgerald served as Director at Standard Life Portfolio Investments. He has served on the MGSL board since 2020. He is responsible for all finance-regulated functions associated with M&amp;G's investment management business. Prior to joining M&amp;G in 2019, he was CFO of Aberdeen Standard Investments, the asset management arm of Standard Life Aberdeen. He holds a degree in economics from Manchester Metropolitan University and is a Fellow of the Institute of Chartered Accountants of England and Wales.</t>
  </si>
  <si>
    <t>sean.fitzgerald@mandg.co.uk</t>
  </si>
  <si>
    <t>Chief Financial Officer &amp; Director of FP&amp;A</t>
  </si>
  <si>
    <t>363955-24P</t>
  </si>
  <si>
    <t>Thierry Masson</t>
  </si>
  <si>
    <t>Masson</t>
  </si>
  <si>
    <t>Mr. Thierry Masson serves as Head of Origination, Americas - Catalyst at M&amp;G Investments at M&amp;G.</t>
  </si>
  <si>
    <t>thierry.masson@mandg.com</t>
  </si>
  <si>
    <t>Head of Origination, Americas - Catalyst at M&amp;G Investments</t>
  </si>
  <si>
    <t>415482-58P</t>
  </si>
  <si>
    <t>Thomas Lane</t>
  </si>
  <si>
    <t>Mr. Thomas Lane serves as Fund Manager at M&amp;G. Thomas has a particular focus on driving sustainability within the strategy, taking it beyond ESG integration and into sustainable objective-driven investment. He is a CFA® charter holder, including the Certificate in ESG Investing, and has a First Class BSc (Hons) in International Business &amp; Economics, from Aston University.</t>
  </si>
  <si>
    <t>thomas.lane@mandg.com</t>
  </si>
  <si>
    <t>89736-76P</t>
  </si>
  <si>
    <t>Tim Huband</t>
  </si>
  <si>
    <t>Huband</t>
  </si>
  <si>
    <t>Mr. Tim Huband serves as Head of Infrastructure Debt at M&amp;G.</t>
  </si>
  <si>
    <t>+44 (0)20 8162 2230</t>
  </si>
  <si>
    <t>tim.huband@mandg.com</t>
  </si>
  <si>
    <t>Head of Infrastructure Debt</t>
  </si>
  <si>
    <t>153103-78P</t>
  </si>
  <si>
    <t>Vincent Charles-Gervais</t>
  </si>
  <si>
    <t>Charles-Gervais</t>
  </si>
  <si>
    <t>Mr. Vincent Charles-Gervais serves as Portfolio Manager at M&amp;G. Mr. Vincent Charles-Gervais served as Portfolio Manager at Intermediate Capital Group. Previously, Vincent was Head of Research and an Investment Manager in Global Corporate Investments at ZAIS Group. He was responsible for managing structured credit portfolios with a total assets under management in excess of $400 million and played a key role in developing ZAIS's investment research platform for illiquid and complex credit. Prior to joining ZAIS in December 2008, Vincent was a Director on the European Structured Credit trading desk of Lehman Brothers in London which he joined in June 2006. Prior to that, Vincent was a member of AXA Investment Managers' team responsible for issuing structured credit vehicles. Vincent holds a DEA of Mathematics applied to Finance at Paris 6 University (N. El Karoui), and graduated from Ecole Nationale de la Statistique et de l'Administration Economique (E.N.S.A.E.) and Ecole Normale Superieure de Cachan (E.N.S.).</t>
  </si>
  <si>
    <t>vincent.charles-gervais@mandg.com</t>
  </si>
  <si>
    <t>63320-50P</t>
  </si>
  <si>
    <t>Werner Kolitsch</t>
  </si>
  <si>
    <t>Kolitsch</t>
  </si>
  <si>
    <t>Mr. Werner Kolitsch serves as Head of DACH Business Development at M&amp;G. Mr. Kolitsch served as a Head, Germany and Austria at Threadneedle Asset Management Holdings.</t>
  </si>
  <si>
    <t>werner.kolitsch@mandg.com</t>
  </si>
  <si>
    <t>Head of DACH Business Development</t>
  </si>
  <si>
    <t>448764-85P</t>
  </si>
  <si>
    <t>Werner Koltisch</t>
  </si>
  <si>
    <t>Koltisch</t>
  </si>
  <si>
    <t>Mr. Werner Koltisch serves as Head of DACH Business Development at M&amp;G.</t>
  </si>
  <si>
    <t>werner.koltisch@mandg.com</t>
  </si>
  <si>
    <t>247963-69P</t>
  </si>
  <si>
    <t>Zachary Webb</t>
  </si>
  <si>
    <t>Mr. Zachary Webb serves as Head of Investments - EMEA, Catalyst Funds at M&amp;G. He serves as a Board Member at Reactive Technologies. He also served as an Advisor at Carbon to Clean.
He also serves as a Board Member at Greencore Homes.</t>
  </si>
  <si>
    <t>+44 (0)20 3519 2707</t>
  </si>
  <si>
    <t>zachary.webb@mandg.com</t>
  </si>
  <si>
    <t>Head of Investments - EMEA, Catalyst Funds</t>
  </si>
  <si>
    <t>179453-98P</t>
  </si>
  <si>
    <t>Aaron Anglada</t>
  </si>
  <si>
    <t>Anglada</t>
  </si>
  <si>
    <t>M&amp;T Bank</t>
  </si>
  <si>
    <t>Mr. Aaron Anglada serves as Senior Vice President at M&amp;T Bank.</t>
  </si>
  <si>
    <t>aanglada@mtb.com</t>
  </si>
  <si>
    <t>Saddle Brook</t>
  </si>
  <si>
    <t>Saddle Brook, NJ</t>
  </si>
  <si>
    <t>222435-46P</t>
  </si>
  <si>
    <t>Aarthi Murali</t>
  </si>
  <si>
    <t>Ms. Aarthi Murali serves as Chief Customer Experience Officer at M&amp;T Bank.</t>
  </si>
  <si>
    <t>+1 (716) 842-5138</t>
  </si>
  <si>
    <t>amurali@mtb.com</t>
  </si>
  <si>
    <t>One M&amp;T Plaza</t>
  </si>
  <si>
    <t>14203-2399</t>
  </si>
  <si>
    <t>Chief Customer Experience Officer</t>
  </si>
  <si>
    <t>42049-81P</t>
  </si>
  <si>
    <t>Adam Bavifard</t>
  </si>
  <si>
    <t>Bavifard</t>
  </si>
  <si>
    <t>Mr. Adam Bavifard serves as Senior Vice President at M&amp;T Bank. He served as Relationship Manager at M&amp;T Bank. Previously he served as an Associate at The DAK Group. He concentrated on all transaction activities for mergers and acquisitions and valuations, including identifying strategic targets, analyzing business metrics, and researching industry opportunities. Previously, Mr. Bavifard was a Commercial Lender for M&amp;T Bank. Mr. Bavifard is a graduate of the State University of New York at Buffalo, holding both a BA in Biology, and M.B.A., with concentrations in finance, consulting, and biotechnology.</t>
  </si>
  <si>
    <t>+1 (201) 712-9555</t>
  </si>
  <si>
    <t>abavifard@mtb.com</t>
  </si>
  <si>
    <t>231204-88P</t>
  </si>
  <si>
    <t>Afreen Husain</t>
  </si>
  <si>
    <t>Afreen</t>
  </si>
  <si>
    <t>Husain</t>
  </si>
  <si>
    <t>Ms. Afreen Husain serves as Executive at M&amp;T Bank.</t>
  </si>
  <si>
    <t>afreen.husain@mtb.com</t>
  </si>
  <si>
    <t>134047-63P</t>
  </si>
  <si>
    <t>Ajibola Fadahunsi</t>
  </si>
  <si>
    <t>Ajibola</t>
  </si>
  <si>
    <t>Fadahunsi</t>
  </si>
  <si>
    <t>Mr. Ajibola Fadahunsi serves as Investment Banker at M&amp;T Bank.</t>
  </si>
  <si>
    <t>+1 (410) 244-4618</t>
  </si>
  <si>
    <t>afadahunsi@mtb.com</t>
  </si>
  <si>
    <t>25 South Charles Street</t>
  </si>
  <si>
    <t>21201</t>
  </si>
  <si>
    <t>Investment Banker</t>
  </si>
  <si>
    <t>164219-68P</t>
  </si>
  <si>
    <t>Allen Naples</t>
  </si>
  <si>
    <t>Naples</t>
  </si>
  <si>
    <t>President &amp; Senior Vice President</t>
  </si>
  <si>
    <t>Mr. Allen Naples serves as Regional President at M&amp;T Bank. He has experience in the financial services industry. He currently serves at the executive or chairman level for several organizations, including CenterState CEO, New York Business Development, Onondaga Community College Foundation, Syracuse Research, Century Club of Syracuse, Say Yes for Education Scholarship Campaign, and Onondaga Golf and Country Club.</t>
  </si>
  <si>
    <t>101 South Salina Street</t>
  </si>
  <si>
    <t>Regional President</t>
  </si>
  <si>
    <t>86728-33P</t>
  </si>
  <si>
    <t>Andrea Kozlowski JD</t>
  </si>
  <si>
    <t>Kozlowski</t>
  </si>
  <si>
    <t>Ms. Andrea Kozlowski serves as Group Vice President and Manager of Compensation and Incentive Plan Governance at M&amp;T Bank. Before joining M&amp;T Bank, Ms. Kozlowski served as an Attorney at Phillips Lytle. Ms. Kozlowski holds a bachelor's degree in English language and literature from the State University of New York College at Geneseo and an MBA and JD from the State University of New York at Buffalo.</t>
  </si>
  <si>
    <t>ak@mtb.com</t>
  </si>
  <si>
    <t>Senior Director, Total Rewards</t>
  </si>
  <si>
    <t>275901-76P</t>
  </si>
  <si>
    <t>Andrew McNulty</t>
  </si>
  <si>
    <t>McNulty</t>
  </si>
  <si>
    <t>Mr. Andrew McNulty serves as Senior Vice President and Senior Relationship Manager at M&amp;T Bank.</t>
  </si>
  <si>
    <t>+1 (804) 754-4822</t>
  </si>
  <si>
    <t>amcnulty@mtb.com</t>
  </si>
  <si>
    <t>Senior Vice President and Senior Relationship Manager</t>
  </si>
  <si>
    <t>299082-70P</t>
  </si>
  <si>
    <t>Ashton Phillips</t>
  </si>
  <si>
    <t>Mr. Ashton Phillips serves as Investment Banking Director, Financial Sponsors Group at M&amp;T Bank.</t>
  </si>
  <si>
    <t>aphillips2@mtb.com</t>
  </si>
  <si>
    <t>Investment Banking Director, Financial Sponsors Group</t>
  </si>
  <si>
    <t>164217-88P</t>
  </si>
  <si>
    <t>August Chiasera</t>
  </si>
  <si>
    <t>August</t>
  </si>
  <si>
    <t>Chiasera</t>
  </si>
  <si>
    <t>Mr. August Chiasera serves as Head of Service Modernization at M&amp;T Bank. He participates in several community organization boards, including Center Stage, the Baltimore Development Corporation, the Baltimore Symphony Orchestra, the Greater Baltimore Committee, and the University of Maryland Medical System. He serves as board chair of the Economic Alliance of Greater Baltimore.</t>
  </si>
  <si>
    <t>Head of Service Modernization</t>
  </si>
  <si>
    <t>86727-43P</t>
  </si>
  <si>
    <t>Ayan Das Gupta</t>
  </si>
  <si>
    <t>Ayan</t>
  </si>
  <si>
    <t>Das Gupta</t>
  </si>
  <si>
    <t>Mr. Ayan Das Gupta serves as Executive Vice President at M&amp;T Bank.</t>
  </si>
  <si>
    <t>adasgupta@mtb.com</t>
  </si>
  <si>
    <t>146366-20P</t>
  </si>
  <si>
    <t>Barrett Winfrey</t>
  </si>
  <si>
    <t>Winfrey</t>
  </si>
  <si>
    <t>Mr. Barrett Winfrey serves as Group Director of Financial Sponsors at M&amp;T Bank. Previously, he served as Associate - PNC Investment Capital at PNC Capital Finance.</t>
  </si>
  <si>
    <t>bwinfrey@mtb.com</t>
  </si>
  <si>
    <t>Group Director, Financial Sponsors</t>
  </si>
  <si>
    <t>126959-59P</t>
  </si>
  <si>
    <t>Brandon Smith</t>
  </si>
  <si>
    <t>Mr. Brandon Smith serves as Head of Centralized Operations and Risk at M&amp;T Bank.</t>
  </si>
  <si>
    <t>brandon.smith@mtb.com</t>
  </si>
  <si>
    <t>Head of Centralized Operations and Risk</t>
  </si>
  <si>
    <t>127750-51P</t>
  </si>
  <si>
    <t>Brian Clark</t>
  </si>
  <si>
    <t>Mr. Brian Clark serves as Group Manager, Middle Market Lending at M&amp;T Bank. Previously, he served as a Senior Vice President - Northern New Jersey Group Manager at PNC Bank.</t>
  </si>
  <si>
    <t>bjclark@mtb.com</t>
  </si>
  <si>
    <t>Group Manager, Middle Market Lending</t>
  </si>
  <si>
    <t>173735-74P</t>
  </si>
  <si>
    <t>Brian Klock</t>
  </si>
  <si>
    <t>Klock</t>
  </si>
  <si>
    <t>Executive Vice President &amp; Head</t>
  </si>
  <si>
    <t>Mr. Brian Klock serves as Executive Vice President &amp; Head of Market and Investor Relations at M&amp;T Bank. Mr. Klock joined M&amp;T from Keefe, Bruyette &amp; Woods, where he was managing director and head of Large Regional U.S. Bank Research, covering financial institutions including M&amp;T Bank. He has experience in capital markets, financial services, and investor relations. Before KBW, Mr. Klock worked for M&amp;T in the Controller's Group and Corporate Finance from 1994-2004, where he held several management positions including vice president of Capital Management and Investor Relations.</t>
  </si>
  <si>
    <t>Executive Vice President &amp; Head of Market and Investor Relations</t>
  </si>
  <si>
    <t>384673-69P</t>
  </si>
  <si>
    <t>Bryant Pund</t>
  </si>
  <si>
    <t>Pund</t>
  </si>
  <si>
    <t>Mr. Bryant Pund serves as Vice President, Fund Banking &amp; Relationship Manager, PE Fund Banking at M&amp;T Bank.</t>
  </si>
  <si>
    <t>bpund@mtb.com</t>
  </si>
  <si>
    <t>Vice President, Fund Banking &amp; Relationship Manager, PE Fund Banking</t>
  </si>
  <si>
    <t>447698-35P</t>
  </si>
  <si>
    <t>Carl Jordan</t>
  </si>
  <si>
    <t>Chief Diversity Officer &amp; Senior Vice President</t>
  </si>
  <si>
    <t>Mr. Carl Jordan serves as Chief Diversity Officer &amp; Senior Vice President, Enterprise wide Risk Manager at M&amp;T Bank.</t>
  </si>
  <si>
    <t>cjordan@mtb.com</t>
  </si>
  <si>
    <t>Chief Diversity Officer &amp; Senior Vice President, Enterprise wide Risk Manager</t>
  </si>
  <si>
    <t>437592-88P</t>
  </si>
  <si>
    <t>Carmen Magistro</t>
  </si>
  <si>
    <t>Magistro</t>
  </si>
  <si>
    <t>Mr. Carmen Magistro serves as Northern Pennsylvania Regional President at M&amp;T Bank. Previously serving as M&amp;T's Commercial Senior Group Manager for Northern Pennsylvania Commercial &amp; Industrial, Magistro has assumed additional responsibilities to help strengthen M&amp;T's presence in the community and enhance service to customers throughout the region. Magistro joined M&amp;T Bank in 2009 and has more than 22 years of experience in the financial services industry, with expertise spanning commercial banking, business banking, and government banking. Throughout his tenure, he has been actively engaged in the community and involved with organizations such as the Greater Wilkes Barre Chamber of Commerce, Junior Achievement of NEPA, United Way of Wyoming Valley, Unico National Wilkes-Barre Chapter, Allied Services Greater Autism Classic, and Fine Arts Fiesta.</t>
  </si>
  <si>
    <t>cmagistro@mtb.com</t>
  </si>
  <si>
    <t>Northern Pennsylvania Regional President</t>
  </si>
  <si>
    <t>164221-30P</t>
  </si>
  <si>
    <t>Cecilia Hodges</t>
  </si>
  <si>
    <t>Ms. Cecilia Hodges serves as Regional President at M&amp;T Bank. Hodges has more than 28 years of experience in the financial services industry, including 18 years with M&amp;T Bank.</t>
  </si>
  <si>
    <t>chodges@mtb.com</t>
  </si>
  <si>
    <t>Richmond</t>
  </si>
  <si>
    <t>Richmond, VA</t>
  </si>
  <si>
    <t>8002 Discover Drive</t>
  </si>
  <si>
    <t>23229</t>
  </si>
  <si>
    <t>Regional President, Greater Washington and Virginia</t>
  </si>
  <si>
    <t>369338-05P</t>
  </si>
  <si>
    <t>Celeste Burgossenior</t>
  </si>
  <si>
    <t>Burgossenior</t>
  </si>
  <si>
    <t>Ms. Celeste Burgossenior serves as Senior Vice President at M&amp;T Bank.</t>
  </si>
  <si>
    <t>360104-86P</t>
  </si>
  <si>
    <t>Chad Durakis</t>
  </si>
  <si>
    <t>Durakis</t>
  </si>
  <si>
    <t>Mr. Chad Durakis serves as Managing Director, Investment Banking Group - Debt Capital Markets at M&amp;T Bank. =</t>
  </si>
  <si>
    <t>cdurakis@mtb.com</t>
  </si>
  <si>
    <t>Managing Director, Investment Banking Group - Debt Capital Markets</t>
  </si>
  <si>
    <t>358035-22P</t>
  </si>
  <si>
    <t>Chris Tesla</t>
  </si>
  <si>
    <t>Tesla</t>
  </si>
  <si>
    <t>Mr. Chris Tesla serves as Vice President &amp; Team Leader (Middle Market Banking) at M&amp;T Bank.</t>
  </si>
  <si>
    <t>ctesla@mtb.com</t>
  </si>
  <si>
    <t>Vice President &amp; Team Leader (Middle Market Banking)</t>
  </si>
  <si>
    <t>343496-89P</t>
  </si>
  <si>
    <t>Christophe Delente</t>
  </si>
  <si>
    <t>Delente</t>
  </si>
  <si>
    <t>Mr. Christophe Delente serves as Investment Banking Analyst at M&amp;T Bank.</t>
  </si>
  <si>
    <t>cdelente@mtb.com</t>
  </si>
  <si>
    <t>Investment Banking Analyst</t>
  </si>
  <si>
    <t>135973-09P</t>
  </si>
  <si>
    <t>Christopher Callaghan</t>
  </si>
  <si>
    <t>Callaghan</t>
  </si>
  <si>
    <t>Mr. Christopher Callaghan serves as Executive Vice President at M&amp;T Bank.</t>
  </si>
  <si>
    <t>ccallaghan@mtb.com</t>
  </si>
  <si>
    <t>101970-28P</t>
  </si>
  <si>
    <t>Christopher Kay JD</t>
  </si>
  <si>
    <t>Mr. Christopher E. Kay serves as Head of Enterprise Platforms at M&amp;T Bank. Mr. Kay leads Enterprise Platforms for M&amp;T Bank. He oversees M&amp;T's Consumer Banking and Business Banking divisions, including more than 1,000 branches in 12 states across the Northeastern U.S. from Maine to Virginia and Washington, DC. Mr. Kay also oversees enterprise-wide functions including marketing, communications, customer experience, digital, strategy and transformation. Mr. Kay joined M&amp;T in November 2018 after serving as Chief Innovation Officer at Humana, where he led efforts to create a new approach to integrated care with the power to improve health and well-being and lower costs for customers. Prior to that, he was the managing director of Citi Ventures, where he led Citi's corporate venture capital efforts globally, as well as Citi's efforts to redesign and scale a new customer experience across Consumer Banking and Private Banking businesses. Mr. Kay holds a JD from the University of Minnesota Law School and a bachelor's degree from the University of Wisconsin-Madison. Mr. Kay leads the bank's enterprise functions, strengthening and scaling M&amp;T's core capabilities and creating greater operational effectiveness. Mr. Kay enterprise accountability includes digital and payments, marketing and communications, bank-wide strategy, transformation, and partnerships. He is a key member of M&amp;T's executive leadership team responsible for the company's strategic direction under the leadership of M&amp;T Bank Chairman and CEO René Jones. Previously, he led the consumer banking, business banking and mortgage businesses for M&amp;T, overseeing more than 1,000 branches across the bank's footprint.</t>
  </si>
  <si>
    <t>ckay@mtb.com</t>
  </si>
  <si>
    <t>86727-61P</t>
  </si>
  <si>
    <t>Clifford Johnson</t>
  </si>
  <si>
    <t>Mr. Clifford Johnson serves as Group Vice President and Manager, Corporate Reporting at M&amp;T Bank. Mr. Johnson holds a BBA in accounting from Saint Bonaventure University.</t>
  </si>
  <si>
    <t>cjohnson@mtb.com</t>
  </si>
  <si>
    <t>Group Vice President &amp; Manager, Corporate Reporting</t>
  </si>
  <si>
    <t>114299-47P</t>
  </si>
  <si>
    <t>Curt Lang</t>
  </si>
  <si>
    <t>Curt</t>
  </si>
  <si>
    <t>Mr. Curt Lang serves as Middle Market Group Manager &amp; Group Manager Commercial Banking at M&amp;T Bank. Previously, he served as a Vice President of Middle Market Commercial Banking at Citizens Bank.</t>
  </si>
  <si>
    <t>clang@mtb.com</t>
  </si>
  <si>
    <t>Woodbridge Township</t>
  </si>
  <si>
    <t>Woodbridge Township, NJ</t>
  </si>
  <si>
    <t>143720-38P</t>
  </si>
  <si>
    <t>Dan Burns</t>
  </si>
  <si>
    <t>Mr. Dan Burns serves as Regional President at M&amp;T Bank. He also served as Chairman of the Board at Greater Rochester Enterprise. He joined M&amp;T as part of the bank's Management Development Program. Since then, he has held numerous positions within the bank, and in 2004, became regional president. He serves on the boards of the Greater Rochester Enterprise, YMCA of Greater Rochester, University of Rochester Medical Center, Flaum Eye Institute, United Way of Greater Rochester, E3 Rochester, and St. John Fisher College. He also serves as chair of the Monroe Community College Foundation.</t>
  </si>
  <si>
    <t>dburns@mtb.com</t>
  </si>
  <si>
    <t>Rochester</t>
  </si>
  <si>
    <t>Rochester, NY</t>
  </si>
  <si>
    <t>255 East Avenue</t>
  </si>
  <si>
    <t>14604</t>
  </si>
  <si>
    <t>384419-53P</t>
  </si>
  <si>
    <t>Daniel McCarthy</t>
  </si>
  <si>
    <t>Mr. Daniel McCarthy serves as Senior Vice President - Commercial Relationship Manager at M&amp;T Bank.</t>
  </si>
  <si>
    <t>dmccarthy3@mtb.com</t>
  </si>
  <si>
    <t>Senior Vice President - Commercial Relationship Manager</t>
  </si>
  <si>
    <t>86728-06P</t>
  </si>
  <si>
    <t>Darlene Spychala</t>
  </si>
  <si>
    <t>Darlene</t>
  </si>
  <si>
    <t>Spychala</t>
  </si>
  <si>
    <t>Ms. Darlene Spychala serves as Senior Vice President at M&amp;T Bank. Ms. Spychala holds a bachelor's degree in accounting and law from Syracuse University.</t>
  </si>
  <si>
    <t>dspychala@mtb.com</t>
  </si>
  <si>
    <t>36229-51P</t>
  </si>
  <si>
    <t>Darren King</t>
  </si>
  <si>
    <t>Mr. Darren King serves as Senior Executive Vice President, Retail Banking, Business Banking, Mortgage, Indirect/Dealer and Consumer Lending at M&amp;T Bank. He also serves as Executive Vice President and Chief Financial Officer at M&amp;T Bank Corporation Pension Plan. He is responsible for the overall financial management of the company. He is also a member of M&amp;T's Management Committee. Prior to his current role, King was the Retail Banking Executive with responsibility for overseeing all business banking functions and the branch and ATM network, which encompasses more than 800 branches 1,600 ATMs located in New York, Maryland, New Jersey, Pennsylvania, Delaware, Connecticut, Virginia, West Virginia and Washington, D.C., as well as the Marketing and Communications Division. King joined M&amp;T Bank in 2000 as Administrative Vice President of Network Planning and has served in many management positions, including the head of Business Banking, manager of Alternative Banking (Telephone Banking, Online, and ATM) and manager of Distribution Strategy. His experience in the financial services industry spans more than 25 years and includes senior leadership roles at Mercer Management Consulting, the predecessor firm to Oliver Wyman, where he was Vice President in the Financial Services Practice. King earned his Honors Business Administration (HBA) from the Richard Ivey School of Business at the University of Western Ontario. He currently serves on the boards of the Buffalo Society of Natural Sciences, which governs the Buffalo Museum of Science and Tifft Nature Preserve, as well as Kaleida Health, the largest healthcare provider in Western New York.</t>
  </si>
  <si>
    <t>58843-09P</t>
  </si>
  <si>
    <t>Daryl Bible</t>
  </si>
  <si>
    <t>Daryl</t>
  </si>
  <si>
    <t>Bible</t>
  </si>
  <si>
    <t>Chief Financial Officer &amp; Senior Executive Vice President</t>
  </si>
  <si>
    <t>Mr. Daryl Bible serves as Chief Financial Officer &amp; Senior Executive Vice President at M&amp;T Bank. He serves as Chief Financial Officer &amp; Senior Executive Vice President at Branch Banking and Trust. He joined BB&amp;T in January 2008 after a 24-year career with U.S. Bancorp, the last 10 years as treasurer. Brings three decades as a banking and corporate finance leader to his new role at M&amp;T Bank. Previously, he was the CFO of Trust Financial Corporation, where he established a proven track record of economic transformations and operational execution. Bible joined Truist's predecessor, BB&amp;T, in January 2008 after a 24-year career with U.S. Bank, serving 10 years as treasurer. He earned both a bachelor's and master's degree in business administration from the University of Cincinnati and is a CFA® charter holder.</t>
  </si>
  <si>
    <t>dbible@mtb.com</t>
  </si>
  <si>
    <t>Chief Financial Officer, Finance &amp; Senior Executive Vice President</t>
  </si>
  <si>
    <t>201203-20P</t>
  </si>
  <si>
    <t>David Clarke</t>
  </si>
  <si>
    <t>Mr. David Clarke serves as Vice President &amp; Senior Relationship Manager, Healthcare at M&amp;T Bank.</t>
  </si>
  <si>
    <t>+1 (716) 842-5390</t>
  </si>
  <si>
    <t>dclarke@mtb.com</t>
  </si>
  <si>
    <t>350 Park Avenue</t>
  </si>
  <si>
    <t>Vice President &amp; Senior Relationship Manager, Healthcare</t>
  </si>
  <si>
    <t>265661-74P</t>
  </si>
  <si>
    <t>David Conboy</t>
  </si>
  <si>
    <t>Conboy</t>
  </si>
  <si>
    <t>Mr. David Conboy serves as Senior Vice President and Tech Strategy at M&amp;T Bank.</t>
  </si>
  <si>
    <t>dconboy1@mtb.com</t>
  </si>
  <si>
    <t>Senior Vice President and Tech Strategy</t>
  </si>
  <si>
    <t>243139-24P</t>
  </si>
  <si>
    <t>David Hollis</t>
  </si>
  <si>
    <t>Hollis</t>
  </si>
  <si>
    <t>Mr. David Hollis serves as Chief Human Resources Officer at M&amp;T Bank. He served as Chief Human Resources Officer &amp; Executive Vice President at New York Community Bank. In this role, he provides strategic direction and operational leadership for all aspects of human resources. He oversees the development and execution of company-wide programs and initiatives in the areas of compensation, benefits, talent development, talent acquisition, business partnerships, HR information systems &amp; analytics, employee engagement, and HR compliance &amp; oversight. He brings more than 25 years of HR leadership in financial services, manufacturing/industrial, and retail industries. Most recently he served as Chief Talent Officer at Goodyear Tire and Rubber where he had extensive HR responsibilities encompassing 64,000 employees in 22 countries. Previously, he was Chief Human Resources Officer at the Federal Reserve Bank of Cleveland, where he led transformational change with an emphasis on culture, talent acquisition and management, and strategy development. He also served as director of the bank's Office of Minority and Women Inclusion, overseeing workforce representation, supplier diversity, and financial outreach. Earlier in his career, he held senior roles with PNC Financial Services, National City Bank, and Sears Roebuck &amp; Co.</t>
  </si>
  <si>
    <t>dhollis@mtb.com</t>
  </si>
  <si>
    <t>208029-43P</t>
  </si>
  <si>
    <t>Debbie Di Matteo</t>
  </si>
  <si>
    <t>Debbie</t>
  </si>
  <si>
    <t>Di Matteo</t>
  </si>
  <si>
    <t>Mr. Debbie Di Matteo serves as Executive at M&amp;T Bank.</t>
  </si>
  <si>
    <t>ddimatteo@mtb.com</t>
  </si>
  <si>
    <t>46294-12P</t>
  </si>
  <si>
    <t>Doris Meister</t>
  </si>
  <si>
    <t>Meister</t>
  </si>
  <si>
    <t>Doris P. Meister is a Senior Executive Vice President (2016) of M&amp;T and M&amp;T Bank and is responsible for overseeing the Company's Wealth Management business, including Wilmington Trust Wealth Management, M&amp;T Securities and WT Investment Advisors. Ms. Meister is the Chair of the Board, President and Chief Executive Officer (2022) and a Director (2016) of Wilmington Trust, N.A. and Wilmington Trust Company, and the Chair of the Board, Chief Executive Officer and a Director (2017) of WT Investment Advisors. She is a Director (2017), Chair of the Board and Chief Executive Officer (2018) of Wilmington Funds Management and WTIM. Ms. Meister is a Director, Chair of the Board and Chief Executive Officer (2022) of PUA, and a Director, Chair of the Board and Chief Executive Officer (2023) of WTAM. Ms. Meister joined Wilmington Trust N.A. in 2016 and has over four decades of financial and executive management experience.</t>
  </si>
  <si>
    <t>dmeister@mtb.com</t>
  </si>
  <si>
    <t>36230-50P</t>
  </si>
  <si>
    <t>Douglas Sheline</t>
  </si>
  <si>
    <t>Sheline</t>
  </si>
  <si>
    <t>Senior Vice President &amp; Treasurer</t>
  </si>
  <si>
    <t>Mr. Douglas Sheline serves as Senior Vice President and Assistant Treasurer at M&amp;T Bank.</t>
  </si>
  <si>
    <t>dsheline@mtb.com</t>
  </si>
  <si>
    <t>Senior Vice President &amp; Assistant Treasurer</t>
  </si>
  <si>
    <t>428369-86P</t>
  </si>
  <si>
    <t>Eric Feldstein</t>
  </si>
  <si>
    <t>Feldstein</t>
  </si>
  <si>
    <t>Mr. Eric Feldstein serves as Head of Business Banking &amp; Regional President of Western New York at M&amp;T Bank. He leads M&amp;T Bank's Business Banking division, working closely with community and corporate leadership throughout the footprint, providing advice and guidance to over 330,000 small and mid-sized companies. This includes oversight of the bank's Small Business Administration (SBA) program.</t>
  </si>
  <si>
    <t>efeldstein@mtb.com</t>
  </si>
  <si>
    <t>Head of Business Banking &amp; Regional President, Western New York</t>
  </si>
  <si>
    <t>191483-56P</t>
  </si>
  <si>
    <t>Eric Heintz</t>
  </si>
  <si>
    <t>Heintz</t>
  </si>
  <si>
    <t>Mr. Eric Heintz serves as Managing Director, Renewable Energy Finance at M&amp;T Bank. He served as Director, Finance at M&amp;T Bank.</t>
  </si>
  <si>
    <t>eheintz@mtb.com</t>
  </si>
  <si>
    <t>Managing Director, Renewable Energy Finance</t>
  </si>
  <si>
    <t>64031-86P</t>
  </si>
  <si>
    <t>Erik Zeppuhar</t>
  </si>
  <si>
    <t>Zeppuhar</t>
  </si>
  <si>
    <t>Mr. Erik Zeppuhar serves as Executive Vice President &amp; Head of Financial Sponsors Group at M&amp;T Bank. Previously, he served as a Vice President at M&amp;T Bank.</t>
  </si>
  <si>
    <t>ezeppuhar@mtb.com</t>
  </si>
  <si>
    <t>Executive Vice President &amp; Head of Financial Sponsors Group</t>
  </si>
  <si>
    <t>164235-07P</t>
  </si>
  <si>
    <t>Frank Micalizzi</t>
  </si>
  <si>
    <t>Micalizzi</t>
  </si>
  <si>
    <t>Mr. Frank Micalizzi serves as Bridgeport Regional President and Head of Commercial Banking for Connecticut at M&amp;T Bank. He began his career at M&amp;T Bank in 2009 and previously served as group manager for the Tarrytown middle market group, responsible for the middle market, health care, and not-for-profit commercial relationships teams. He served as vice chair for the Lighthouse of America, as a Westchester County Association board member, and as president of the Leukemia and Lymphoma Society of America, Hudson Valley Chapter. He continues to be active in several local charitable organizations in both Connecticut and New York.</t>
  </si>
  <si>
    <t>fmicalizzi@mtb.com</t>
  </si>
  <si>
    <t>Tarrytown</t>
  </si>
  <si>
    <t>Tarrytown, NY</t>
  </si>
  <si>
    <t>120 White Plains Road</t>
  </si>
  <si>
    <t>10591</t>
  </si>
  <si>
    <t>Bridgeport Regional President and Head of Commercial Banking for Connecticut</t>
  </si>
  <si>
    <t>384689-35P</t>
  </si>
  <si>
    <t>Frank Park</t>
  </si>
  <si>
    <t>Mr. Frank Park serves as Senior Vice President &amp; Commercial Senior Relationship Manager at M&amp;T Bank.</t>
  </si>
  <si>
    <t>fpark@mtb.com</t>
  </si>
  <si>
    <t>Senior Vice President &amp; Commercial Senior Relationship Manager</t>
  </si>
  <si>
    <t>383710-96P</t>
  </si>
  <si>
    <t>George Casey</t>
  </si>
  <si>
    <t>Mr. George Casey serves as Investment Banking Analyst at M&amp;T Bank.</t>
  </si>
  <si>
    <t>gcasey@mtb.com</t>
  </si>
  <si>
    <t>291994-12P</t>
  </si>
  <si>
    <t>Glenn Jackson</t>
  </si>
  <si>
    <t>Glenn</t>
  </si>
  <si>
    <t>Mr. Glenn Jackson serves as Board Member at WNY Impact Investment Fund. Mr. Jackson serves as Head of Engagement and Belonging at M&amp;T Bank. He holds BA (Bachelor of Arts) in Economics from Harvard University.</t>
  </si>
  <si>
    <t>+1 (716) 464-3069</t>
  </si>
  <si>
    <t>120 West Tupper Street</t>
  </si>
  <si>
    <t>14201</t>
  </si>
  <si>
    <t>WNY Impact Investment Fund</t>
  </si>
  <si>
    <t>347905-27P</t>
  </si>
  <si>
    <t>Heidi Stumpff</t>
  </si>
  <si>
    <t>Stumpff</t>
  </si>
  <si>
    <t>Mr. Heidi Stumpff serves as Region Manager Commercial Real Estate, Senior Vice President at M&amp;T Bank.</t>
  </si>
  <si>
    <t>hstumpff@mtb.com</t>
  </si>
  <si>
    <t>Region Manager Commercial Real Estate, Senior Vice President</t>
  </si>
  <si>
    <t>65275-66P</t>
  </si>
  <si>
    <t>Hugh Giorgio</t>
  </si>
  <si>
    <t>Mr. Hugh Giorgio serves as Executive Vice President, Head of Investment Banking and Capital Markets at M&amp;T Bank.Previously, he served as a Vice President at The Bank of New York.</t>
  </si>
  <si>
    <t>+1 (410) 244-3824</t>
  </si>
  <si>
    <t>hgiorgio@mtb.com</t>
  </si>
  <si>
    <t>+1 (410) 244-4477</t>
  </si>
  <si>
    <t>Executive Vice President &amp; Head of Investment Banking and Capital Markets</t>
  </si>
  <si>
    <t>164231-56P</t>
  </si>
  <si>
    <t>Ira Brown</t>
  </si>
  <si>
    <t>Mr. Ira Brown serves as Senior Vice President &amp; Head of Middle Market Banking at M&amp;T Bank. He has experience in the financial services industry. Mr. Brown currently serves on the board of the American Red Cross of Southeast Pennsylvania, Center City Business District, Pa Bankers Society and the Walnut Street Theater.</t>
  </si>
  <si>
    <t>+1 (201) 368-4509</t>
  </si>
  <si>
    <t>ibrown@mtb.com</t>
  </si>
  <si>
    <t>Villanova</t>
  </si>
  <si>
    <t>Villanova, PA</t>
  </si>
  <si>
    <t>797 East Lancaster Ave</t>
  </si>
  <si>
    <t>19085</t>
  </si>
  <si>
    <t>Senior Vice President, Head of Middle Market Banking &amp; Regional President</t>
  </si>
  <si>
    <t>312989-68P</t>
  </si>
  <si>
    <t>Ishet Dhar</t>
  </si>
  <si>
    <t>Ishet</t>
  </si>
  <si>
    <t>Mr. Ishet Dhar serves as Chief Digital Officer at M&amp;T Bank. He received a MBA from Rice University.</t>
  </si>
  <si>
    <t>idhar@mtb.com</t>
  </si>
  <si>
    <t>293811-22P</t>
  </si>
  <si>
    <t>Jennifer Warren</t>
  </si>
  <si>
    <t>Ms. Jennifer Warren serves as Head of Institutional Services &amp; Equipment Finance at M&amp;T Bank. She leads an experienced team of industry professionals who provide trust, custody, and agency services to corporations, government agencies, foundations, and investment plans in the U.S. and Europe. She also leads the Equipment Finance group, overseeing a $9.3B portfolio of specialised products across small, mid, and large equipment categories. Before joining M&amp;T Bank/Wilmington Trust in 2022, she served as CEO of Computershare's North American Issuer Services business, providing shareholder services to more than 6,000 public companies. She also served as general counsel at Canadian Imperial Bank of Commerce (CIBC) and, later, as president and CEO of CIBC's U.S. operations. In these roles, she led teams across North America, navigating the challenges of the global financial crisis and re-positioned the U.S. business, including broker-dealer operations, wealth management, corporate banking, real estate finance, and capital markets, for both organic and inorganic growth. She has been a longstanding supporter of the United Way in both the U.S. and Canada. She is a current member of the board of directors of the United Way of New York City and the Partnership Fund for New York City.</t>
  </si>
  <si>
    <t>jwarren@mtb.com</t>
  </si>
  <si>
    <t>86728-60P</t>
  </si>
  <si>
    <t>Jessica Theal</t>
  </si>
  <si>
    <t>Theal</t>
  </si>
  <si>
    <t>Ms. Jessica Theal serves as Manager of Shareholder Relations at M&amp;T Bank.</t>
  </si>
  <si>
    <t>jt@mtb.com</t>
  </si>
  <si>
    <t>Manager of Shareholder Relations</t>
  </si>
  <si>
    <t>32933-98P</t>
  </si>
  <si>
    <t>John MacLeod</t>
  </si>
  <si>
    <t>MacLeod</t>
  </si>
  <si>
    <t>Principal &amp; Vice President</t>
  </si>
  <si>
    <t>Mr. John MacLeod serves as Administrative Vice President &amp; Canadian Principal Officer at M&amp;T Bank. Previously, he served as a Vice President &amp; Deputy Manager at HSBC Bank Canada.</t>
  </si>
  <si>
    <t>+1 (416) 214-2301</t>
  </si>
  <si>
    <t>jmacleod@mtb.com</t>
  </si>
  <si>
    <t>Administrative Vice President &amp; Canadian Principal Officer</t>
  </si>
  <si>
    <t>114302-08P</t>
  </si>
  <si>
    <t>John Parisio</t>
  </si>
  <si>
    <t>Parisio</t>
  </si>
  <si>
    <t>Mr. John Parisio serves as Vice President at M&amp;T Bank. Previously, he served as a Vice President at People's United Bank.</t>
  </si>
  <si>
    <t>jparisio@mtb.com</t>
  </si>
  <si>
    <t>Vice President, Middle Market</t>
  </si>
  <si>
    <t>16303-24P</t>
  </si>
  <si>
    <t>John Taylor</t>
  </si>
  <si>
    <t>Mr. John Taylor serves as Controller at M&amp;T Bank. Mr.Taylor served as a Board Member at Bank of Hope. He also served on the board of directors of Kennedy Wilson. Previously, Mr. Taylor served on the boards of directors of the former Wilshire Bancorp and Wilshire Bank since November 2011, and also of PennyMac Financial Services, Inc. from 2012 to 2013, where he served as the Chairman of the Audit Committee. Mr. Taylor was a senior audit partner in KPMG LLP's Financial Services practice based in Los Angeles prior to his retirement on September 30, 2011. Mr. Taylor has more than 38 years of public accounting experience as a certified public accountant and provided services to numerous publicly held banks, financial institutions, and financial services clients during his 27 years as a KPMG partner. He received his B.S., cum laude, from the University of Southern California in Los Angeles.</t>
  </si>
  <si>
    <t>jtaylor@mtb.com</t>
  </si>
  <si>
    <t>170587-18P</t>
  </si>
  <si>
    <t>Jonathan Sammarco</t>
  </si>
  <si>
    <t>Sammarco</t>
  </si>
  <si>
    <t>Mr. Jonathan Sammarco serves as Senior Vice President - Fund Banking at M&amp;T Bank. He served as Vice President, Private Equity at East West Bancorp.</t>
  </si>
  <si>
    <t>jsammarco1@mtb.com</t>
  </si>
  <si>
    <t>Senior Vice President, Fund Banking</t>
  </si>
  <si>
    <t>384722-47P</t>
  </si>
  <si>
    <t>Joseph Robinson</t>
  </si>
  <si>
    <t>Mr. Joseph Robinson serves as Senior Vice President, Financial Sponsors Group at M&amp;T Bank.</t>
  </si>
  <si>
    <t>Senior Vice President, Financial Sponsors Group</t>
  </si>
  <si>
    <t>336994-21P</t>
  </si>
  <si>
    <t>Julianne Urban</t>
  </si>
  <si>
    <t>Ms. Julianne Urban serves as Chief Auditor at M&amp;T Bank. She leads the M&amp;T's Internal Audit function and is responsible for development of the audit division's strategic vision and execution of enterprise assurance services. She represents Internal Audit as a non-voting member on numerous M&amp;T risk and governance committees, including the Management Risk Committee and Capital Risk Committee. She interfaces with numerous regulatory agencies including the Federal Reserve Bank of New York, New York State Department of Financial Services, Office of the Comptroller of the Currency, and Consumer Financial Protection Bureau. She also represents Internal Audit on various external working industry groups. She has been with M&amp;T for over 20 years and has served in a variety of audit division roles during her tenure. She serves as the executive sponsor on M&amp;T's Disability Advocacy Network Resource Group. Prior to joining M&amp;T, She was a senior audit manager with KPMG LLP where she conducted audits primarily in the financial services industry and was a national instructor. She serves on the Canisius University Women's Leadership Council and is a board member for the Western New York Chapter of the Institute of Internal Auditors and the Western New York Chapter of the Alzheimer's Association. She has a bachelor's degree in accounting from Canisius University and is a Certified Public Accountant, Certified Internal Auditor, and Certified Fraud Examiner.</t>
  </si>
  <si>
    <t>jurban@mtb.com</t>
  </si>
  <si>
    <t>336165-58P</t>
  </si>
  <si>
    <t>Kelly Rocchio</t>
  </si>
  <si>
    <t>Rocchio</t>
  </si>
  <si>
    <t>Ms. Kelly Rocchio serves as Senior Vice President, Senior Relationship Manager, The Private Equity Fund Group at M&amp;T Bank.</t>
  </si>
  <si>
    <t>krocchio@mtb.com</t>
  </si>
  <si>
    <t>Senior Vice President, Senior Relationship Manager, The Private Equity Fund Group</t>
  </si>
  <si>
    <t>36229-78P</t>
  </si>
  <si>
    <t>Kevin Pearson</t>
  </si>
  <si>
    <t>Mr. Pearson serves as Vice Chairman at M&amp;T Bank. Mr. Pearson also serves as Vice President &amp; Board Member at M &amp; T Charitable Foundation. He has responsibility for the commercial banking, credit, technology and operations, wealth, and institutional divisions. He joined M&amp;T Bank in 1989 as part of the private banking division in New York City and held several management positions, including head of commercial lending in the bank's Tarrytown region, Philadelphia Regional President, and New York City Metro-Area Executive. He joined the Management Committee and was named Executive Vice President in 2002. He received a Bachelor of Science in Commerce and a Master of Business Administration from Santa Clara University. He is a trustee of the boards of Mercy Health Services and The Park School of Baltimore.</t>
  </si>
  <si>
    <t>427547-44P</t>
  </si>
  <si>
    <t>Krista Phillips</t>
  </si>
  <si>
    <t>Ms. Krista Phillips serves as Chief Customer Officer at M&amp;T Bank. He has over 25 years of experience in the financial services sector. Before joining M&amp;T Bank, she was the Executive Vice President at Wells Fargo (NYSE: WFC), where she led consumer credit cards and enterprise marketing. Her previous roles have included Managing Director at Citi, where she was responsible for brand management, advertising, and insights for the Global Consumer Bank, among other senior positions.</t>
  </si>
  <si>
    <t>krista@mtb.com</t>
  </si>
  <si>
    <t>288975-07P</t>
  </si>
  <si>
    <t>Kristy Farrell</t>
  </si>
  <si>
    <t>Ms. Kristy Farrell serves as Director, Talent Mobility and Development at M&amp;T Bank.</t>
  </si>
  <si>
    <t>kfarrell@mtb.com</t>
  </si>
  <si>
    <t>Director, Talent Mobility and Development</t>
  </si>
  <si>
    <t>384307-66P</t>
  </si>
  <si>
    <t>Kyle Kovachik</t>
  </si>
  <si>
    <t>Kovachik</t>
  </si>
  <si>
    <t>Mr. Kyle Kovachik serves as Commercial Relationship Manager at M&amp;T Bank.</t>
  </si>
  <si>
    <t>kkovachik@mtb.com</t>
  </si>
  <si>
    <t>Commercial Relationship Manager</t>
  </si>
  <si>
    <t>170665-30P</t>
  </si>
  <si>
    <t>Laura O'Hara JD</t>
  </si>
  <si>
    <t>O'Hara</t>
  </si>
  <si>
    <t>Ms. Laura O'Hara serves as Chief Legal Officer at M&amp;T Bank. In this role, she oversees all of the company's legal affairs, as well as the Office of the Corporate Secretary. She is a key member of M&amp;T's executive leadership team, which is responsible for the company's strategic direction under the leadership of M&amp;T Bank Chairman and CEO René Jones. She has more than 30 years of litigation, regulatory compliance, and risk management experience, including time spent at Santander Bank, where she served as Executive Vice President and General Counsel from 2015 until she joined M&amp;T in 2017.</t>
  </si>
  <si>
    <t>lo'hara@mtb.com</t>
  </si>
  <si>
    <t>321249-97P</t>
  </si>
  <si>
    <t>Lokilani Hunt</t>
  </si>
  <si>
    <t>Lokilani</t>
  </si>
  <si>
    <t>Ms. Lokilani Hunt serves as an Executive of Ventures &amp; Strategic Partnership at M&amp;T Bank.</t>
  </si>
  <si>
    <t>lhunt1@mtb.com</t>
  </si>
  <si>
    <t>Executive, Ventures &amp; Strategic Partnership</t>
  </si>
  <si>
    <t>408756-25P</t>
  </si>
  <si>
    <t>Lopa Kolluri</t>
  </si>
  <si>
    <t>Lopa</t>
  </si>
  <si>
    <t>Kolluri</t>
  </si>
  <si>
    <t>Ms. Lopa Kolluri serves as Head of Affordable Housing Lending at M&amp;T Bank.</t>
  </si>
  <si>
    <t>lkolluri@mtb.com</t>
  </si>
  <si>
    <t>Head of Affordable Housing Lending</t>
  </si>
  <si>
    <t>114303-34P</t>
  </si>
  <si>
    <t>Louis Zachman</t>
  </si>
  <si>
    <t>Zachman</t>
  </si>
  <si>
    <t>Mr. Louis Zachman serves as Senior VP, Group Risk Manager of the Environmental Finance Division of M&amp;T Bank at M&amp;T Bank.</t>
  </si>
  <si>
    <t>lzachman@mtb.com</t>
  </si>
  <si>
    <t>Senior VP, Group Risk Manager of the Environmental Finance Division of M&amp;T Bank</t>
  </si>
  <si>
    <t>383824-27P</t>
  </si>
  <si>
    <t>Mark Cohen</t>
  </si>
  <si>
    <t>Mr. Mark Cohen serves as Senior Vice President &amp; Senior Relationship Manager at M&amp;T Bank.</t>
  </si>
  <si>
    <t>+1 (215) 665-1509</t>
  </si>
  <si>
    <t>117 South 18th Street</t>
  </si>
  <si>
    <t>Senior Vice President &amp; Senior Relationship Manager</t>
  </si>
  <si>
    <t>383769-73P</t>
  </si>
  <si>
    <t>Mark Davis</t>
  </si>
  <si>
    <t>Mr. Mark Davis serves as Senior Vice President at M&amp;T Bank. He is a highly experienced professional with 23.8 years of work experience in banking, sales, financial analysis, risk management, and finance. He has worked at M&amp;T Bank, a top 20 bank, in various roles such as Senior Vice President and Vice President. Mark is known for his leadership and strategist skills, where he can help the full breadth of M&amp;T's commercial clientele. He is also a former customer-centric Relationship Manager, specializing in product design and building strategic purpose for his product set. Mark's passion lies in building strong relationships with others and he believes in building strong relationships in all aspects of life.</t>
  </si>
  <si>
    <t>mdavis2@mtb.com</t>
  </si>
  <si>
    <t>1025 Governor Warfield Parkway</t>
  </si>
  <si>
    <t>358730-74P</t>
  </si>
  <si>
    <t>Mark Hutton</t>
  </si>
  <si>
    <t>Hutton</t>
  </si>
  <si>
    <t>Mr. Mark Hutton serves as President (Delaware) and Executive Vice President, Commercial Banking at M&amp;T Bank.</t>
  </si>
  <si>
    <t>mhutton@mtb.com</t>
  </si>
  <si>
    <t>President (Delaware) and Executive Vice President, Commercial Banking</t>
  </si>
  <si>
    <t>277254-28P</t>
  </si>
  <si>
    <t>Mark Wolfram</t>
  </si>
  <si>
    <t>Wolfram</t>
  </si>
  <si>
    <t>Mr. Mark Wolfram serves as Corporate and Institutional Banking, Vice President at M&amp;T Bank.</t>
  </si>
  <si>
    <t>mwolfram@mtb.com</t>
  </si>
  <si>
    <t>Corporate and Institutional Banking, Vice President</t>
  </si>
  <si>
    <t>360105-94P</t>
  </si>
  <si>
    <t>Matthew Ensor</t>
  </si>
  <si>
    <t>Ensor</t>
  </si>
  <si>
    <t>Mr. Matthew Ensor serves as Debt Capital Markets Associate and Debt Capital Markets Analyst at M&amp;T Bank (MDP) at M&amp;T Bank.</t>
  </si>
  <si>
    <t>mensor@mtb.com</t>
  </si>
  <si>
    <t>Debt Capital Markets Associate and Debt Capital Markets Analyst at M&amp;T Bank (MDP)</t>
  </si>
  <si>
    <t>32941-99P</t>
  </si>
  <si>
    <t>Matthew Modlish</t>
  </si>
  <si>
    <t>Modlish</t>
  </si>
  <si>
    <t>Mr. Matthew Modlish serves as Senior Vice President &amp; Group Manager at M&amp;T Bank. Mr. Modlish served as Senior Vice President at People's United Bank. Previously he was Senior Vice President at JP Morgan Chase. He also served as Vice President and Senior Business Development Officer at Bank of America Business Capital.</t>
  </si>
  <si>
    <t>mmodlish@mtb.com</t>
  </si>
  <si>
    <t>Senior Vice President &amp; Group Manager</t>
  </si>
  <si>
    <t>417360-07P</t>
  </si>
  <si>
    <t>Matthew Petrula</t>
  </si>
  <si>
    <t>Petrula</t>
  </si>
  <si>
    <t>Mr. Matt Petrula serves as Head of Regional Real Estate at M&amp;T Bank.</t>
  </si>
  <si>
    <t>mpetrula@mtb.com</t>
  </si>
  <si>
    <t>Head, Regional Real Estate</t>
  </si>
  <si>
    <t>275879-71P</t>
  </si>
  <si>
    <t>Melvin Watkins</t>
  </si>
  <si>
    <t>Mr. Melvin Watkins serves as Senior Vice President Group Manager Commercial Banking at M&amp;T Bank.</t>
  </si>
  <si>
    <t>Senior Vice President Group Manager Commercial Banking</t>
  </si>
  <si>
    <t>164217-34P</t>
  </si>
  <si>
    <t>Michael Keegan</t>
  </si>
  <si>
    <t>Keegan</t>
  </si>
  <si>
    <t>Mr. Michael Keegan serves as Head of Community Banking at M&amp;T Bank. He also serves roles as commercial area Executive and regional President for the Capital Region and Hudson Valley. He is responsible for defining and driving market-level engagement strategies across the enterprise, ensuring the bank delivers in ways that make sense in each of the communities the Bank serves. Since joining M&amp;T in 1994, He has held several roles including commercial area executive and regional president for the Capital Region and Hudson Valley. Before joining M&amp;T he held positions at HSBC, Fleet Bank, and Farm Credit Bank. He graduated from the University of Massachusetts and earned his MBA from Union College in Schenectady, NY. Committed to the community, He sits on the boards of the New York State Charter Advisory Board, Retail Council Services Corp., and Smiley Brothers. His past affiliations include St. Peter's Health Partners, Albany Regional Chamber of Commerce, SUNY New Paltz Foundation's Capital Campaign Executive Committee Chair. In 2021, he was inducted into the Albany Business Review's 40 Under 40 Hall of Fame, one of the most coveted professional honors in the region.</t>
  </si>
  <si>
    <t>mkeegan@mtb.com</t>
  </si>
  <si>
    <t>327 Great Oaks Boulevard</t>
  </si>
  <si>
    <t>12203</t>
  </si>
  <si>
    <t>Head of Community Banking</t>
  </si>
  <si>
    <t>133352-92P</t>
  </si>
  <si>
    <t>Michael Sinclair</t>
  </si>
  <si>
    <t>Executive Vice President &amp; Senior Managing Director</t>
  </si>
  <si>
    <t>Mr. Michael Sinclair serves as Executive Vice President &amp; Senior Managing Director, Fund Banking at M&amp;T Bank. He served as Region Manager &amp; Head of Fund Banking at People's United Bank. Mr. Michael Sinclair served as Fund Banking Market Leader at People's United Bank. He is Head of Private Equity Banking at Peoples United Bank, which has $48 billion in assets and over 400 locations in the Eastern US. Previously, he served as a Managing Director and Market Manager for the Eastern US at East West Bank. His prior experience includes banking and investing roles at Silicon Valley Bank, Raymond James, TSG Equity Partners and BankBoston. Mr. Sinclair has an MBA from the Tuck School of Business at Dartmouth, an AB in Biology from Bowdoin College, and he is a CFA Charterholder.</t>
  </si>
  <si>
    <t>msinclair@mtb.com</t>
  </si>
  <si>
    <t>Executive Vice President &amp; Senior Managing Director, Fund Banking</t>
  </si>
  <si>
    <t>164176-48P</t>
  </si>
  <si>
    <t>Michael Todaro</t>
  </si>
  <si>
    <t>Todaro</t>
  </si>
  <si>
    <t>Michael J. Todaro is a Senior Executive Vice President (2015) and Chief Risk Officer (2021) of M&amp;T and M&amp;T Bank where he is responsible for overseeing the Company's governance and strategy for risk management as well as relationships with the Company's regulators and supervisory agencies. He is a Senior Executive Vice President (2015) and Chief Risk Officer (2021) of Wilmington Trust, N.A., and is a Senior Executive Vice President (2021) of Wilmington Trust Company. Mr. Todaro began his career with M&amp;T in 1995, and previously served as Senior Vice President of M&amp;T Bank and held a number of management positions within M&amp;T Bank's Mortgage, Consumer Lending and Customer Asset Management Divisions. Most recently he was responsible for Enterprise Transformation activities.</t>
  </si>
  <si>
    <t>mtodaro@mtb.com</t>
  </si>
  <si>
    <t>280444-87P</t>
  </si>
  <si>
    <t>Michael Wisler</t>
  </si>
  <si>
    <t>Wisler</t>
  </si>
  <si>
    <t>Mr. Michael Wisler serves as Chief Information Officer at M&amp;T Bank. He serves as Chairman of the Board 43North. He serves as a Board Member at TechBuffalo. He leads all aspects of technology for the company identifying emerging technology trends to day-to-day delivery of technology that supports the company's 22,000+ employees, 1,000+ locations, and millions of customers across the U.S. and Europe. He has two decades of experience in the financial and technology industries. Before joining M&amp;T in 2018, he held the positions of CTO of North American Credit Cards and CIO of Europe at Capital One. In 2014, he was recognized by Computerworld Magazine as one of the "Premier 100 Information Technology Leaders." He received a B.S. from the University of Findlay and an M.S. in Management of Information Technology from the University of Virginia.</t>
  </si>
  <si>
    <t>mwisler@mtb.com</t>
  </si>
  <si>
    <t>353850-94P</t>
  </si>
  <si>
    <t>Michelle Brett</t>
  </si>
  <si>
    <t>Mr. Michelle Brett serves as Executive Vice President and Head of Commercial Risk at M&amp;T Bank.</t>
  </si>
  <si>
    <t>mbrett@mtb.com</t>
  </si>
  <si>
    <t>Executive Vice President and Head of Commercial Risk</t>
  </si>
  <si>
    <t>288975-16P</t>
  </si>
  <si>
    <t>Michelle-Marie Gant</t>
  </si>
  <si>
    <t>Michelle-Marie</t>
  </si>
  <si>
    <t>Gant</t>
  </si>
  <si>
    <t>Ms. Michelle-Marie Gant serves as Director of Diversity and Inclusion - Senior Vice President at M&amp;T Bank.</t>
  </si>
  <si>
    <t>mgant@mtb.com</t>
  </si>
  <si>
    <t>Director of Diversity and Inclusion - Senior Vice President</t>
  </si>
  <si>
    <t>252491-86P</t>
  </si>
  <si>
    <t>Neeraj Singh</t>
  </si>
  <si>
    <t>Mr. Neeraj Singh serves as Chief Risk Officer at M&amp;T Bank. He is responsible for risk management strategy, governance, and relationships with the company's regulators and supervisory agencies. He serves as a member of M&amp;T's Enterprise Leadership Team and Risk Committee of the Board. Previously, He was CRO for USAA where he oversaw the association's enterprise management and compliance functions. Prior to this role, he served as CRO for the U.S. Consumer Bank and Head of Global Consumer Risk Modeling at Citi, and also led Citi's Global Consumer Bank Risk Modeling Utility. Earlier roles included various risk, finance, and decision management roles at Citi, and leadership roles at TD Bank and Barclays. He holds an MBA from the University of Maryland with a concentration in finance and a bachelor's degree in mechanical engineering from the Birla Institute of Technology in India. He also completed the Advanced Risk Management Program at the Wharton School at the University of Pennsylvania.</t>
  </si>
  <si>
    <t>nsingh@mtb.com</t>
  </si>
  <si>
    <t>164228-05P</t>
  </si>
  <si>
    <t>Nick Lambrow</t>
  </si>
  <si>
    <t>Lambrow</t>
  </si>
  <si>
    <t>Mr. Nick Lambrow serves as Regional President, Delaware at M&amp;T Bank. He has more than 34 years of experience in the financial services industry and has held a range of managerial positions throughout the bank's Maryland and Greater Washington markets, including Relationship Manager and Unit Head for both the Business Banking and Middle Market areas.</t>
  </si>
  <si>
    <t>nick@trustnota.com</t>
  </si>
  <si>
    <t>1100 North Market Street</t>
  </si>
  <si>
    <t>19890</t>
  </si>
  <si>
    <t>Regional President, Delaware</t>
  </si>
  <si>
    <t>384740-65P</t>
  </si>
  <si>
    <t>Patrick Rosseel</t>
  </si>
  <si>
    <t>Rosseel</t>
  </si>
  <si>
    <t>Mr. Patrick Rosseel serves as Senior Vice President, Commercial Banking at M&amp;T Bank.</t>
  </si>
  <si>
    <t>prosseel@mtb.com</t>
  </si>
  <si>
    <t>Senior Vice President, Commercial Banking</t>
  </si>
  <si>
    <t>39012-40P</t>
  </si>
  <si>
    <t>Paul Hogan MD</t>
  </si>
  <si>
    <t>Dr. Paul Hogan served as Senior Vice President and Managing Director-Debt Capital Markets at M&amp;T Bank. He serves as Managing Director at PNC Financial Services Group.</t>
  </si>
  <si>
    <t>Senior Vice President and Managing Director-Debt Capital Markets</t>
  </si>
  <si>
    <t>164230-21P</t>
  </si>
  <si>
    <t>Peter D'Arcy</t>
  </si>
  <si>
    <t>Mr. Peter D'Arcy serves as Head of Commercial Banking at M&amp;T Bank. In his current role, he is responsible for directing strategic growth and business line development activities across M&amp;T's footprint for Commercial clients. Previously, he served as an Area Executive, was co-head of the bank's Senior Loan Committee, and supervised the bank's Commercial Real Estate Segment, Capital Markets, and Corporate and institutional Banking Divisions. He holds a bachelor's degree in psychology from Vassar College.</t>
  </si>
  <si>
    <t>pdarcy@mtb.com</t>
  </si>
  <si>
    <t>164232-10P</t>
  </si>
  <si>
    <t>Peter Newman</t>
  </si>
  <si>
    <t>Mr. Peter Newman serves as Regional President of the Southern NY region at M&amp;T Bank. He began his career at M&amp;T Bank in 1990 and was promoted to regional president in 2011. He served as director for Community Foundation for South Central New York, director for UHS Senior Living at Ideal, finance committee chair for Church of the Holy Family, director for Greater Binghamton Chamber of Commerce, treasurer for Mercy House of the Southern Tier, board member for Union-Endicott Education Foundation, and a trustee for Broome Community College Foundation.</t>
  </si>
  <si>
    <t>peter.newman@mtb.com</t>
  </si>
  <si>
    <t>Binghamton</t>
  </si>
  <si>
    <t>Binghamton, NY</t>
  </si>
  <si>
    <t>68 Exchange Street</t>
  </si>
  <si>
    <t>13901</t>
  </si>
  <si>
    <t>164230-93P</t>
  </si>
  <si>
    <t>Phil Johnson</t>
  </si>
  <si>
    <t>Mr. Phil Johnson serves as Regional President at M&amp;T Bank. He has more than 30 years of experience in the financial services industry, including nearly 25 years with M&amp;T Bank. Johnson currently serves at the executive or chairman level for organizations including the Williamsport/Lycoming Chamber of Commerce, Greater Wilkes-Barre Chamber of Commerce, Central Pennsylvania Workforce Development, Susquehanna Health, Misericordia University, Penn College Foundation, and the Wilkes-Barre Family YMCA.</t>
  </si>
  <si>
    <t>pjohnson@mtb.com</t>
  </si>
  <si>
    <t>Williamsport</t>
  </si>
  <si>
    <t>Williamsport, PA</t>
  </si>
  <si>
    <t>101 West 3rd Street</t>
  </si>
  <si>
    <t>17701</t>
  </si>
  <si>
    <t>35605-18P</t>
  </si>
  <si>
    <t>Rene Jones</t>
  </si>
  <si>
    <t>Rene</t>
  </si>
  <si>
    <t>Mr. Rene Jones serves as Chief Executive Officer and Chairman at M&amp;T Bank. He also serves as a Board Member at ACV Auctions. He served as a Board Member at Jacobs Institute. He also serves as a Member of the Board at the Federal Reserve Bank Of New York. He also serves as a Member of the Audit and Risk Committee, and Management and Budget Committee. Previously, he served as Executive Vice President (2006) of M&amp;T and a Vice Chairman (2014) of M&amp;T Bank responsible for the Company's Wealth and Institutional Services Division, Treasury Division, and Mortgage and Consumer Lending Divisions. He served as Chairman, Board Member, President &amp; Chief Executive Officer at Wilmington Trust. Previously, he served as Chief Financial Officer (2005) at M&amp;T, M&amp;T Bank, and Wilmington Trust, N.A., and had held several management positions within M&amp;T Bank's Finance Division since 1992. He received a Bachelor of Science in Management Science from Boston College. He began his career in accounting at the Boston-based office of Ernst &amp; Young, and at a private equity firm, and then received a Master of Business Administration at the University of Rochester.</t>
  </si>
  <si>
    <t>+1 (302) 651 1000</t>
  </si>
  <si>
    <t>rjones@mtb.com</t>
  </si>
  <si>
    <t>428372-92P</t>
  </si>
  <si>
    <t>Rich McCarthy</t>
  </si>
  <si>
    <t>Mr. Rich McCarthy serves as Head of Retail Banking at M&amp;T Bank. His career began as a branch banking intern and then as a loan analyst in Commercial Banking. He transitioned into the branch network to obtain a customer-facing role as a business development officer. Since then, he has held leadership roles in Digital and Telephone Banking, Consumer Products, Customer Experience, and Network Planning.</t>
  </si>
  <si>
    <t>rmccarthy@mtb.com</t>
  </si>
  <si>
    <t>Head, Retail Banking</t>
  </si>
  <si>
    <t>113590-45P</t>
  </si>
  <si>
    <t>Richard Iovanne</t>
  </si>
  <si>
    <t>Iovanne</t>
  </si>
  <si>
    <t>Executive Vice President &amp; Manager</t>
  </si>
  <si>
    <t>Mr. Richard Iovanne serves as Executive Vice President &amp; Senior Group Manager at M&amp;T Bank. Mr. Iovanne served as Senior Vice President &amp; Market Manager at People's United Bank.</t>
  </si>
  <si>
    <t>riovanne@mtb.com</t>
  </si>
  <si>
    <t>Executive Vice President &amp; Senior Group Manager</t>
  </si>
  <si>
    <t>36228-52P</t>
  </si>
  <si>
    <t>Robert Bojdak</t>
  </si>
  <si>
    <t>Bojdak</t>
  </si>
  <si>
    <t>Chief Credit Officer &amp; Executive</t>
  </si>
  <si>
    <t>Robert J. Bojdak is a Senior Executive Vice President and Chief Credit Officer (2004) of M&amp;T and M&amp;T Bank where he is responsible for managing the overall risk involving M&amp;T Bank's loan portfolio, monitoring portfolio metrics and workout activities. He is a Senior Executive Vice President (2004) of Wilmington Trust, N.A. and a Senior Executive Vice President (2020) of Wilmington Trust Company. Mr. Bojdak joined M&amp;T Bank in 2002 and previously served as Senior Vice President and Credit Deputy for M&amp;T Bank and as a Director of Wilmington Trust, N.A.</t>
  </si>
  <si>
    <t>Chief Credit Officer, Finance &amp; Executive</t>
  </si>
  <si>
    <t>114306-40P</t>
  </si>
  <si>
    <t>Robert Hintelmann</t>
  </si>
  <si>
    <t>Hintelmann</t>
  </si>
  <si>
    <t>Mr. Robert Hintelmann serves as Deputy Credit Officer &amp; Executive Vice President at M&amp;T Bank. Previously, he served as a Senior Vice President at Capital Bank.</t>
  </si>
  <si>
    <t>rhintelmann@mtb.com</t>
  </si>
  <si>
    <t>Deputy Credit Officer &amp; Executive Vice President</t>
  </si>
  <si>
    <t>324980-56P</t>
  </si>
  <si>
    <t>Sam Bluso</t>
  </si>
  <si>
    <t>Bluso</t>
  </si>
  <si>
    <t>Mr. Sam Bluso serves as Executive Vice President, Head of Institutional Real Estate &amp; Commercial Observer at M&amp;T Bank. In his new role, he focuses on expanding M&amp;T's corporate real estate business and delivering capital markets solutions to REIT and investment real estate fund clients. He joined M&amp;T Bank from People's United Bank, where he was responsible for the bank's real estate investment trust business as the head of REIT corporate finance and banking.</t>
  </si>
  <si>
    <t>sbluso@mtb.com</t>
  </si>
  <si>
    <t>Executive Vice President, Head of Institutional Real Estate &amp; Commercial Observer</t>
  </si>
  <si>
    <t>114307-30P</t>
  </si>
  <si>
    <t>Samuel Tingley</t>
  </si>
  <si>
    <t>Tingley</t>
  </si>
  <si>
    <t>Mr. Samuel Tingley serves as Commercial Group Manager at M&amp;T Bank. Previously, he served as a Senior Vice President at RBS Citizens.</t>
  </si>
  <si>
    <t>stingley@mtb.com</t>
  </si>
  <si>
    <t>Commercial Group Manager</t>
  </si>
  <si>
    <t>170670-43P</t>
  </si>
  <si>
    <t>Sarah Hudak</t>
  </si>
  <si>
    <t>Hudak</t>
  </si>
  <si>
    <t>Ms. Sarah Hudak serves as Director of Credit Delivery - Senior Vice President and Credit Delivery Evolution Integration Lead at M&amp;T Bank.</t>
  </si>
  <si>
    <t>shudak@mtb.com</t>
  </si>
  <si>
    <t>Director of Credit Delivery - Senior Vice President and Credit Delivery Evolution Integration Lead</t>
  </si>
  <si>
    <t>210765-52P</t>
  </si>
  <si>
    <t>Sarah Knakmuhs</t>
  </si>
  <si>
    <t>Knakmuhs</t>
  </si>
  <si>
    <t>Ms. Sarah Knakmuhs serves as Chief Communications Officer at M&amp;T Bank, he previously served as Senior Counselor at The Abernathy MacGregor Group. She helps companies solve complex public policy and public affairs issues. She is an accomplished corporate executive with a strong financial and business background that includes extensive government affairs experience, leading an investor relations team during a major M&amp;A transaction, and managing the launch of a new product/brand. She has over 20 years of leadership experience working for a regulated Fortune 200 company in the consumer-packaged goods sector. Sarah has a track record of quickly and successfully developing innovative, strategic solutions in challenging situations. She regularly works with a diverse group of stakeholders including elected officials, the investment community, international partners, regulatory officials, and the media. Sarah has extensive background speaking to a large variety of audiences ranging from corporate Boards to advisory committees of the FDA. In Sarah's most recent role, she ran a large public policy and government affairs team, with a focus on fiscal issues. Her team was responsible for a broad range of public affairs responsibilities including developing policy on emerging issues economic analysis, research, digital campaigns running state ballot campaigns, local lobbying, and managing third-party relationships. Sarah joined Abernathy MacGregor after spending fourteen years at Altria where she held numerous senior roles including Vice President of Government Affairs and Public Policy; Vice President of Brand; and Vice President of Investor Relations. She also served as Tax Counsel at the U.S. Chamber of Commerce and worked at KPMG's Washington National Tax Practice. She was a guest lecturer at the University of Richmond School of Business.</t>
  </si>
  <si>
    <t>+1 (202) 913-4802</t>
  </si>
  <si>
    <t>sknakmuhs@mtb.com</t>
  </si>
  <si>
    <t>447697-63P</t>
  </si>
  <si>
    <t>Sean Choi</t>
  </si>
  <si>
    <t>Executive Vice President &amp; Senior Vice President</t>
  </si>
  <si>
    <t>Mr. Sean Choi serves as Executive Vice President, Corporate Development &amp; Senior Vice President at M&amp;T Bank.</t>
  </si>
  <si>
    <t>schoi@mtb.com</t>
  </si>
  <si>
    <t>Executive Vice President, Corporate Development &amp; Senior Vice President</t>
  </si>
  <si>
    <t>418640-77P</t>
  </si>
  <si>
    <t>Steve Epping</t>
  </si>
  <si>
    <t>Epping</t>
  </si>
  <si>
    <t>Mr. Steve Epping serves as President at M&amp;T Bank.</t>
  </si>
  <si>
    <t>sepping@mtb.com</t>
  </si>
  <si>
    <t>164229-67P</t>
  </si>
  <si>
    <t>Thomas Comiskey</t>
  </si>
  <si>
    <t>Comiskey</t>
  </si>
  <si>
    <t>Mr. Thomas Comiskey serves as Regional President at M&amp;T Bank. He joined M&amp;T in 2003 and has held numerous management positions within the bank, including senior group manager in the commercial banking division managing middle market, healthcare and not-for-profit commercial lending teams in New Jersey.</t>
  </si>
  <si>
    <t>tom@trustnota.com</t>
  </si>
  <si>
    <t>99 Wood Avenue South</t>
  </si>
  <si>
    <t>288363-88P</t>
  </si>
  <si>
    <t>Tim Byrd</t>
  </si>
  <si>
    <t>Byrd</t>
  </si>
  <si>
    <t>Chief Information Officer &amp; Executive Vice President</t>
  </si>
  <si>
    <t>Mr. Tim Byrd serves as Executive Vice President &amp; Chief Information Security Officer at M&amp;T Bank. He is an Angel Investor. He serves as an Advisor at Permiso Security.</t>
  </si>
  <si>
    <t>t.byrd@mtb.com</t>
  </si>
  <si>
    <t>Executive Vice President &amp; Chief Information Security Officer</t>
  </si>
  <si>
    <t>287327-71P</t>
  </si>
  <si>
    <t>Timothy Gallagher</t>
  </si>
  <si>
    <t>Mr. Timothy Gallagher serves as Senior Executive Vice President at M&amp;T Bank. Mr. Gallagher served as Managing Director at Slate Asset Management. Prior to joining Slate, he was the Head of Commercial Real Estate at Annaly Capital Management. He was previously a Managing Director for Morgan Stanley in New York, as well as for Goldman Sachs in both New York and London. He holds a Bachelor of Science degree from The Ohio State University</t>
  </si>
  <si>
    <t>tim@trustnota.com</t>
  </si>
  <si>
    <t>384416-74P</t>
  </si>
  <si>
    <t>Tom Mathews</t>
  </si>
  <si>
    <t>Mr. Tom Mathews serves as Vice President at M&amp;T Bank.</t>
  </si>
  <si>
    <t>tmathews@mtb.com</t>
  </si>
  <si>
    <t>242767-36P</t>
  </si>
  <si>
    <t>Tracy Woodrow</t>
  </si>
  <si>
    <t>Woodrow</t>
  </si>
  <si>
    <t>Chief Administrative Officer &amp; Executive</t>
  </si>
  <si>
    <t>Ms. Tracy Woodrow serves as Chief Administrative Officer, Senior Executive Vice President, and interim Chief Human Resources Officer at M&amp;T Bank. She leads a team of human resources professionals responsible for diversity and inclusion, recruiting, leadership development, compensation, benefits, and employee relations for M&amp;T's more than 17,000 employees. She joined M&amp;T Bank in 2013 and served as Bank Secrecy Act Officer, responsible for overseeing the enterprise-wide anti-money laundering program. Prior to joining M&amp;T, she worked as in-house counsel and a senior compliance leader with HSBC Bank USA, NA, focusing on commercial, anti-money laundering, and employment law matters. She graduated from Boston College Law School and the State University of New York at Albany.</t>
  </si>
  <si>
    <t>twoodrow@mtb.com</t>
  </si>
  <si>
    <t>Chief Administrative Officer, Administration &amp; Executive</t>
  </si>
  <si>
    <t>279438-76P</t>
  </si>
  <si>
    <t>Yurie Jang</t>
  </si>
  <si>
    <t>Yurie</t>
  </si>
  <si>
    <t>Ms. Yurie Jang serves as Relationship Banker at M&amp;T Bank.</t>
  </si>
  <si>
    <t>yjang@mtb.com</t>
  </si>
  <si>
    <t>Relationship Banker</t>
  </si>
  <si>
    <t>166633-12P</t>
  </si>
  <si>
    <t>Antonio Occhionero</t>
  </si>
  <si>
    <t>Occhionero</t>
  </si>
  <si>
    <t>MacKinnon, Bennett &amp; Company</t>
  </si>
  <si>
    <t>Mr. Antonio Occhionero serves as Managing Partner at MacKinnon, Bennett &amp; Company. He leads the firm's funds business, as well as its mobility investments. He joined the firm in 2011 and has been a key contributor to the growth of the MKB platform and establishing MKB as an institutional fund manager. Formerly a Director at Credit Suisse in the Transportation and M&amp;A practices in London, He has extensive international investment banking experience. He is a CPA, CA and an ICD.D which was completed at the Institute of Corporate Directors, Rotman School of Management at the University of Toronto. He holds an MBA from SDA Bocconi in Milan and a Bachelor of Commerce from McGill University.</t>
  </si>
  <si>
    <t>+1 (514) 876-3939</t>
  </si>
  <si>
    <t>a.occhionero@mkbandco.com</t>
  </si>
  <si>
    <t>1 Place Ville Marie</t>
  </si>
  <si>
    <t>Suite 3670</t>
  </si>
  <si>
    <t>H3B 3P2</t>
  </si>
  <si>
    <t>+1 (514) 876-3956</t>
  </si>
  <si>
    <t>399126-16P</t>
  </si>
  <si>
    <t>Caelan Davey</t>
  </si>
  <si>
    <t>Caelan</t>
  </si>
  <si>
    <t>Davey</t>
  </si>
  <si>
    <t>Mr. Caelan Davey serves as Analyst at MacKinnon, Bennett &amp; Company. He is responsible for research and analysis, monitoring portfolio company performance, conducting portfolio analysis, and supporting due diligence activities. Before this, he worked at Canada Life as a part of their global private debt investments team, where he analyzed existing and potential credit investments. He holds an Honours Business Administration degree from the University of Western Ontario and a Masters in Financial Analysis degree from London Business School. He has also passed Level 3 of the CFA Program.</t>
  </si>
  <si>
    <t>c.davey@mkbandco.com</t>
  </si>
  <si>
    <t>166635-01P</t>
  </si>
  <si>
    <t>Chanel Damphousse</t>
  </si>
  <si>
    <t>Damphousse</t>
  </si>
  <si>
    <t>Ms. Chanel Damphousse serves as Partner at MacKinnon, Bennett &amp; Company. She leads transaction execution, is responsible for due diligence and contributes to portfolio-company management and investment sourcing. She was an investment analyst for the government of Canadas Real Property Branch before joining MKB. She serves as Board Member at Bluon.</t>
  </si>
  <si>
    <t>c.damphousse@mkbandco.com</t>
  </si>
  <si>
    <t>399107-53P</t>
  </si>
  <si>
    <t>Christie Sirois</t>
  </si>
  <si>
    <t>Sirois</t>
  </si>
  <si>
    <t>Investment Executive &amp; Senior Associate</t>
  </si>
  <si>
    <t>Mr. Christie Sirois serves as Senior Associate &amp; Member of Investment Team at MacKinnon, Bennett &amp; Company. She is responsible for researching and executing investment opportunities, performing due diligence activities, supporting portfolio companies, and conducting sector deep dives. Prior to this, she worked at the Laurentian Bank of Canada in the commercial asset-based lending sector, with a focus on deal underwriting, supporting two major portfolio acquisitions, and managing the equipment finance securitization program. She holds a Bachelor of Commerce with Honours from Queen's University and has passed her CFA Level 1 exam.</t>
  </si>
  <si>
    <t>c.sirois@mkbandco.com</t>
  </si>
  <si>
    <t>Senior Associate &amp; Member of Investment Team</t>
  </si>
  <si>
    <t>213855-22P</t>
  </si>
  <si>
    <t>Geetanjali Kanwar</t>
  </si>
  <si>
    <t>Geetanjali</t>
  </si>
  <si>
    <t>Kanwar</t>
  </si>
  <si>
    <t>Investment Executive &amp; Principal</t>
  </si>
  <si>
    <t>Ms. Geetanjali Kanwar serves as Principal and Member of Investment Team at MacKinnon, Bennett &amp; Company. She serves as a Board Observer at Bird Canada. She is responsible for transaction execution, sourcing and due diligence of investments, monitoring portfolio company performance, and conducting sector deep dives. Prior to this, she worked at EY, where she was focused on performing external audits and financial analyses of technology companies. She holds a Master of Management in Finance from McGill University and a Bachelor of Commerce with Honours from the University of Delhi.</t>
  </si>
  <si>
    <t>g.kanwar@mkbandco.com</t>
  </si>
  <si>
    <t>Principal and Member of Investment Team</t>
  </si>
  <si>
    <t>349436-98P</t>
  </si>
  <si>
    <t>Jesse Teichman</t>
  </si>
  <si>
    <t>Teichman</t>
  </si>
  <si>
    <t>Mr. Jesse Teichman serves as Board Observer at Make My Day. He serves as Partner at MacKinnon, Bennett &amp; Company.</t>
  </si>
  <si>
    <t>j.teichman@mkbandco.com</t>
  </si>
  <si>
    <t>47628-37P</t>
  </si>
  <si>
    <t>John Devillars</t>
  </si>
  <si>
    <t>Devillars</t>
  </si>
  <si>
    <t>Mr. John DeVillars is a Co-Founder and serves as an Advisor, Chairman and Managing Partner at BlueWave. He currently serves as Senior Advisor at MacKinnon, Bennett &amp; Company, Managing Partner at BlueWave Capital, Member of the Social Advisory Board at Commons Capital, board member at Clean Harbors, Executive Vice President of Brownfields Recovery Corporation, and Visiting Lecturer in Environmental Studies at the Department of Urban Studies and Planning at the Massachusetts Institute of Technology. He previously served as Advisor and Chairman at the Sustainability Roundtable, New England Administrator for the U.S. Environmental Protection Agency, Secretary of the Environment for the Commonwealth of Massachusetts, Chairman of the Board for the Massachusetts Water Resources Authority, Chief of Operations for Governor Michael S. Dukakis, and Director of the Environmental Services Group for Coopers &amp; Lybrand. He completed his Master of Public Administration from Harvard University and his BA from the University of Pennsylvania.</t>
  </si>
  <si>
    <t>+1 (617) 209-3122</t>
  </si>
  <si>
    <t>jdevillars@bluewavesolar.com</t>
  </si>
  <si>
    <t>116 Huntington Avenue</t>
  </si>
  <si>
    <t>Co-Founder, Advisor, Chairman &amp; Managing Partner</t>
  </si>
  <si>
    <t>BlueWave Solar</t>
  </si>
  <si>
    <t>446132-53P</t>
  </si>
  <si>
    <t>Josée-Lise Leheutre</t>
  </si>
  <si>
    <t>Josée-Lise</t>
  </si>
  <si>
    <t>Leheutre</t>
  </si>
  <si>
    <t>Analyst &amp; Investment Executive</t>
  </si>
  <si>
    <t>Ms. Josée-Lise Leheutre serves as Analyst &amp; Member of Investment Team at MacKinnon, Bennett &amp; Company. She is responsible for research and analysis, monitoring portfolio company performance, conducting portfolio analysis, and supporting due diligence activities. Prior to this, She worked at Trans-Canada Capital, an asset management firm. As part of their sustainable investing team, she was responsible for the integration of environmental, social and governance factors in the investment process of different strategies and asset classes. She holds a Bachelor in Business Administration, a Master in Finance, and a Microprogram in Sustainable Development from HEC Montréal, and also is a CFA Charterholder.</t>
  </si>
  <si>
    <t>leheutre@mkbandco.com</t>
  </si>
  <si>
    <t>Analyst &amp; Member of Investment Team</t>
  </si>
  <si>
    <t>402595-03P</t>
  </si>
  <si>
    <t>Katherine Hamilton</t>
  </si>
  <si>
    <t>Ms. Katherine Hamilton serves as Advisor at MacKinnon, Bennett &amp; Company. Ms. Hamilton serves as Chairman at 38 North Solutions. She also served as Vice Chairwoman of the Board of Directors at Greentown Labs. She was an original and longtime host of The Energy Gang podcast and is now a regular contributor to The Carbon Copy podcast. She has led several councils of the World Economic Forum as a global policy and technology thought leader and is currently a Senior Executive in Clean Power and Electrification She studied electrical engineering at Northern Virginia Community College and holds degrees from Cornell University and the Sorbonne.</t>
  </si>
  <si>
    <t>+1 (202) 540-9162</t>
  </si>
  <si>
    <t>1100 15th Street, North West</t>
  </si>
  <si>
    <t>38 North Solutions</t>
  </si>
  <si>
    <t>93039-22P</t>
  </si>
  <si>
    <t>Kenneth MacKinnon</t>
  </si>
  <si>
    <t>MacKinnon</t>
  </si>
  <si>
    <t>Founder &amp; Senior Partner</t>
  </si>
  <si>
    <t>Mr. Kenneth MacKinnon is a Co-Founder and serves as Senior Partner at MacKinnon, Bennett &amp; Company. Mr. MacKinnon is responsible for MKB's overall strategic direction and performance. He also oversees fundraising activities and deal execution and is directly involved in the management of portfolio investments. He served as Chairman at Miovision. He serves as a Board Member at XNRGY Climate Systems. Formerly a Managing Director at Merrill Lynch &amp; Co., Ken led Merill's successful technology investment banking practice in Canada for several years. Prior to co-founding MKB, he was a Managing Partner with Miralta Capital, a private equity management firm. Ken began his career in investment banking with McLeod, Young, Weir &amp; Company Ltd. and also served as CFO of a publicly traded merchant bank. He is a Dobson Fellow at the Dobson Center for Entrepreneurial Studies at McGill University and is a certified director of the Institute of Corporate Directors. Ken has a B.A. from McGill and an MBA from the Ivey School of Business.</t>
  </si>
  <si>
    <t>k.mackinnon@mkbandco.com</t>
  </si>
  <si>
    <t>Co-Founder &amp; Senior Partner</t>
  </si>
  <si>
    <t>446134-60P</t>
  </si>
  <si>
    <t>Lisa Mighri</t>
  </si>
  <si>
    <t>Mighri</t>
  </si>
  <si>
    <t>Mr. Lisa Mighri serves as Analyst, Investment Team at MacKinnon, Bennett &amp; Company. She is responsible for research and analysis, tracking portfolio performance, conducting financial assessments, supporting due diligence, and contributing to ESG initiatives. Previously, she worked in Private Equity &amp; Infrastructure at iA Global Asset Management, focusing on deal underwriting and portfolio oversight. During her studies, she held summer positions in global equity research at CDPQ and external funds management at Desjardins Global Asset Management. She holds a Bachelor of Business Administration in Finance, International Profile, from Université Laval and has passed the CFA Level II exam.</t>
  </si>
  <si>
    <t>l.mighri@mkbandco.com</t>
  </si>
  <si>
    <t>146970-10P</t>
  </si>
  <si>
    <t>Marc St-Arnaud</t>
  </si>
  <si>
    <t>St-Arnaud</t>
  </si>
  <si>
    <t>Mr. Marc St-Arnaud serves as an Advisor at MacKinnon, Bennett &amp; Company. He co-founded and served as Chief Financial Officer &amp; Chief Operating Officer at GWAVA. He brings many years of business experience to the company and skills in strategic planning and organizational policies. He has a history of managing and growing profitable companies. Before founding this company, he was Chief Financial Officer &amp; Chief Operating Officer of Tobit Software of North America Inc. Mr. St-Arnaud is also a Fellow of McGill University Dobson Centre of Entrepreneurial Studies. He obtained a General MBA from Université du Québec in 1982.</t>
  </si>
  <si>
    <t>76487-05P</t>
  </si>
  <si>
    <t>Nikoo Asadi</t>
  </si>
  <si>
    <t>Nikoo</t>
  </si>
  <si>
    <t>Asadi</t>
  </si>
  <si>
    <t>Ms. Nikoo Asadi serves as Director of Operations at MacKinnon, Bennett &amp; Company. She served as the Vice President of Administration at Cinemagram. She has done her Major in Communication and Media Studies from Concordia University in 2003.</t>
  </si>
  <si>
    <t>n.asadi@mkbandco.com</t>
  </si>
  <si>
    <t>143918-56P</t>
  </si>
  <si>
    <t>Patrick Bennett</t>
  </si>
  <si>
    <t>Mr. Patrick Bennett is a Founding Member &amp; serves as Partner at MacKinnon, Bennett &amp; Company. He worked with John and Ken since the firm's inception. He has been instrumental in developing and executing MKB's early investment strategy and portfolio with extensive participation across the investment lifecycle including sourcing, due diligence, transaction execution, and investment management. He is a Board Member at BBOXX Ltd, Mara Renewables and the Bennett Church Hill Capital Inc. family office, and has served as a Board Member at Opus One and as Board Observer at Miovision Technologies. He graduated from Queen's University in 2002, the London School of Economics in 2005 and earned his CFA designation in 2011.</t>
  </si>
  <si>
    <t>p.bennett@mkbandco.com</t>
  </si>
  <si>
    <t>192650-14P</t>
  </si>
  <si>
    <t>Philippe Dunsky</t>
  </si>
  <si>
    <t>Dunsky</t>
  </si>
  <si>
    <t>Mr. Philippe Dunsky serves as President and Analyst at Dunsky. He serves as an Advisor at MacKinnon, Bennett &amp; Company. He is currently Vice Chair of the Canadian Energy Efficiency Alliance. He is notably co-Chair of Efficiency Canada; a Director of the Canadian Renewable Energy Association; a founding Director of the Greater Montreal Climate Fund; and recently chaired the Quebec Government's Electrification Working Group. He previously served on the Government of Canada's energy thought leaders' council, Generation Energy, and on the Governing Council of the Canadian Green Municipal Fund, among other appointments.</t>
  </si>
  <si>
    <t>+1 (514) 504-9030 x22</t>
  </si>
  <si>
    <t>philippe@dunsky.com</t>
  </si>
  <si>
    <t>50 Suite Catherine Street West</t>
  </si>
  <si>
    <t>H2X 3V4</t>
  </si>
  <si>
    <t>President &amp; Analyst</t>
  </si>
  <si>
    <t>266472-64P</t>
  </si>
  <si>
    <t>Saul Muskin</t>
  </si>
  <si>
    <t>Muskin</t>
  </si>
  <si>
    <t>Mr. Saul Muskin serves as Principal and Member of Investment Team at MacKinnon, Bennett &amp; Company. Prior to this, he worked at Clean Energy Collective (CEC), a community solar developer based in Colorado. At CEC he performed corporate and project finance functions, assisting in corporate fundraising efforts and project development. He holds a Bachelor of Commerce from McGill University where he double majored in international management and strategy.</t>
  </si>
  <si>
    <t>s.muskin@mkbandco.com</t>
  </si>
  <si>
    <t>166632-22P</t>
  </si>
  <si>
    <t>W. John Bennett</t>
  </si>
  <si>
    <t>W. John</t>
  </si>
  <si>
    <t>W. John Bennett is Co-Founder and serves as Chairman of Board at MacKinnon, Bennett &amp; Company. He is also chairman of New Look Vision Group Inc., a major publicly traded integrated optical retailer in Canada. John began his career with McLeod, Young, Weir Ltd., and was executive vice-president and member of the executive committee when it was sold to the Bank of Nova Scotia in 1987 to become Scotia Capital Markets. Since then, John has been principally involved in direct investments on his own account and on behalf of associated investors in Canadian and international businesses through Benvest Holdings Ltd., and Bennett Church Hill Capital Inc. John has served on the board of many public and private companies and educational and charitable foundations. He is director of the Canadian History Society and other educational institutions and is an active philanthropist. He holds an Hons. BA and an LLB from the University of Toronto and is a member of the Law Society of Upper Canada.</t>
  </si>
  <si>
    <t>j.bennett@mkbandco.com</t>
  </si>
  <si>
    <t>Co-Founder &amp; Chairman of Board</t>
  </si>
  <si>
    <t>376635-70P</t>
  </si>
  <si>
    <t>Adam Hain</t>
  </si>
  <si>
    <t>Hain</t>
  </si>
  <si>
    <t>Macquarie Group</t>
  </si>
  <si>
    <t>Mr. Adam Hain serves as Senior Managing Director of Infrastructure Advisory at Macquarie Group. Mr. Hain also serves as Partner at Macquarie Capital.</t>
  </si>
  <si>
    <t>adam.hain@macquarie.com</t>
  </si>
  <si>
    <t>1 Elizabeth Street</t>
  </si>
  <si>
    <t>Senior Managing Director of Infrastructure Advisory</t>
  </si>
  <si>
    <t>199577-98P</t>
  </si>
  <si>
    <t>Ajay Singh</t>
  </si>
  <si>
    <t>Mr. Ajay Singh serves as a Vice President at Macquarie Group.</t>
  </si>
  <si>
    <t>ajay@macquarie.com</t>
  </si>
  <si>
    <t>197897-77P</t>
  </si>
  <si>
    <t>Alex Harvey</t>
  </si>
  <si>
    <t>Mr. Alex Harvey serves as Chief Financial Officer, Head of the Financial Management Group, and Member of the Executive Committee at Macquarie Group. He is also the Executive Chairman of Macquarie Group in Asia. Before being appointed CFO, he was the Global Head of the Principal Transaction Group in Macquarie Capital and a member of Macquarie Capital's Management Committee. He was the first Chief Executive Officer of Macquarie's operations in Asia where he was responsible for a business with more than 3,400 staff across 14 locations. He has more than 20 years of experience in the financial services industry across Australia, Asia, Europe, and the United States. In August 2015, he was appointed Chairman of the Police Citizens Youth Clubs NSW Board. He is also a Board member of High Resolves. He holds a Master of Commerce, and Bachelor of Economics from Sydney University and is a member of the Institute of Chartered Accountants.</t>
  </si>
  <si>
    <t>+61 (0)2 8232 3333</t>
  </si>
  <si>
    <t>alex.harvey@macquarie.com</t>
  </si>
  <si>
    <t>+61 (0)2 8232 3350</t>
  </si>
  <si>
    <t>Chief Financial Officer, Executive Chairman &amp; Head of Financial Management Group, Macquarie Group</t>
  </si>
  <si>
    <t>Macquarie Asset Management</t>
  </si>
  <si>
    <t>319849-57P</t>
  </si>
  <si>
    <t>Andrew Cassidy</t>
  </si>
  <si>
    <t>Cassidy</t>
  </si>
  <si>
    <t>Chief Risk Officer &amp; Head</t>
  </si>
  <si>
    <t>Mr. Andrew Cassidy serves as Chief Risk Officer, Member of Executive Committee &amp; Head, Risk Management Group at Macquarie Group. Mr. Cassidy spent over 15 years in Macquarie Capital in various roles, including leadership of Macquarie's principal investment activity in Asia Pacific. He joined the Risk Management Group in 2019 and has overseen the continued strengthening of Macquarie's risk framework since then. The Risk Management Group is the central risk management function within Macquarie overseeing Credit, Prudential, Capital and Markets, Market Risk, Operational Risk, Compliance and Quantitative Applications. It is responsible for independent and objective review and challenge, oversight, monitoring and reporting in relation to Macquarie's material risks. The Chief Risk Officer also manages the Internal Audit function jointly with the Board Audit Committee.</t>
  </si>
  <si>
    <t>andrew.cassidy@macquarie.com</t>
  </si>
  <si>
    <t>Chief Risk Officer, Member of Executive Committee &amp; Head, Risk Management Group</t>
  </si>
  <si>
    <t>181800-55P</t>
  </si>
  <si>
    <t>Anton Moldan</t>
  </si>
  <si>
    <t>Moldan</t>
  </si>
  <si>
    <t>Mr. Anton Moldan serves as Senior Managing Director at Macquarie Group. He also serves as Senior Managing Director at Macquarie Asset Management. He serves as Board Member at Bluebird Fiber.</t>
  </si>
  <si>
    <t>+1 (646) 669-8292</t>
  </si>
  <si>
    <t>anton.moldan@macquarie.com</t>
  </si>
  <si>
    <t>660 Fifth Avenue</t>
  </si>
  <si>
    <t>10103</t>
  </si>
  <si>
    <t>154683-55P</t>
  </si>
  <si>
    <t>Antony Green</t>
  </si>
  <si>
    <t>Antony</t>
  </si>
  <si>
    <t>Mr. Antony Green serves as an Executive Director &amp; Chairman of Macquarie Sports at Macquarie Group.</t>
  </si>
  <si>
    <t>antony.green@macquarie.com</t>
  </si>
  <si>
    <t>Executive Director &amp; Chairman of Macquarie Sports</t>
  </si>
  <si>
    <t>158087-44P</t>
  </si>
  <si>
    <t>Ben Hodgson</t>
  </si>
  <si>
    <t>Hodgson</t>
  </si>
  <si>
    <t>Mr. Ben Hodgson serves as Managing Director at Macquarie Group. He was Analyst at Rothschild Inc.</t>
  </si>
  <si>
    <t>+1 (415) 829-6600</t>
  </si>
  <si>
    <t>ben.hodgson@macquarie.com</t>
  </si>
  <si>
    <t>215087-59P</t>
  </si>
  <si>
    <t>Ben Way</t>
  </si>
  <si>
    <t>Way</t>
  </si>
  <si>
    <t>Mr. Ben Way serves as Head of Macquarie Asset Management &amp; Member of Executive Committee at Macquarie Asset Management. He also serves as Group Head at Macquarie Asset Management. Since joining Macquarie in 2006, he has held senior leadership positions across Macquarie's Taiwan, Seoul, and Beijing offices, and, prior to his appointment as Head of MAM in April 2021, he was Head of MAM's Global Alternatives division. In addition to his global management responsibilities for MAM, he is also the CEO of Macquarie Group Asia, where he leads the continued growth of Macquarie's Asia platform, which employs more than 4,000 people across 14 locations and 11 markets. He is a Director of the Macquarie Group Foundation. He has been based in Asia for more than 20 years. He was previously Chairman and CEO of Taiwan Broadband Communications and a management consultant with Bain &amp; Company. He is the Chair of Lender Friend, a fintech lending solution for migrant workers in Hong Kong. He is also a Fellow of the 2017 class of the Finance Leaders Fellowship and a member of the Aspen Global Leadership Network. He holds a Bachelor of Law and a Bachelor of Arts from Macquarie University, Sydney.</t>
  </si>
  <si>
    <t>b.way@macquarie.com</t>
  </si>
  <si>
    <t>Head of Macquarie Asset Management &amp; Member of Executive Committee</t>
  </si>
  <si>
    <t>456407-92P</t>
  </si>
  <si>
    <t>Brendan Jones</t>
  </si>
  <si>
    <t>Mr. Brendan Jones serves as Head of Real Estate in EMEA at Macquarie Group. He serves as Head, Real Estate in EMEA at Macquarie Asset Management.</t>
  </si>
  <si>
    <t>Head of Real Estate in EMEA</t>
  </si>
  <si>
    <t>203647-78P</t>
  </si>
  <si>
    <t>Camelia Robu</t>
  </si>
  <si>
    <t>Camelia</t>
  </si>
  <si>
    <t>Robu</t>
  </si>
  <si>
    <t>Ms. Camelia Robu serves as Head of Leveraged Finance in EMEA at Macquarie Group.</t>
  </si>
  <si>
    <t>robu@macquarie.com</t>
  </si>
  <si>
    <t>Head of Leveraged Finance in EMEA</t>
  </si>
  <si>
    <t>357741-19P</t>
  </si>
  <si>
    <t>Catalina Hayata</t>
  </si>
  <si>
    <t>Catalina</t>
  </si>
  <si>
    <t>Hayata</t>
  </si>
  <si>
    <t>Mr. Catalina Hayata serves as Managing Director and Head of LATAM Private Credit at Macquarie Group.</t>
  </si>
  <si>
    <t>catalina.hayata@macquarie.com</t>
  </si>
  <si>
    <t>Head, LATAM Private Credit</t>
  </si>
  <si>
    <t>201379-60P</t>
  </si>
  <si>
    <t>Chris Rutherford</t>
  </si>
  <si>
    <t>Rutherford</t>
  </si>
  <si>
    <t>Mr. Chris Rutherford serves as Managing Director, Oil &amp; Gas Investment Banking at Macquarie Group.</t>
  </si>
  <si>
    <t>+971 (0)4 376 3015</t>
  </si>
  <si>
    <t>crutherford@macquarie.com</t>
  </si>
  <si>
    <t>The Exchange, Gate Village 11, Level 3, Unit 304</t>
  </si>
  <si>
    <t>Dubai International Financial Centre, Post Box 506751</t>
  </si>
  <si>
    <t>Managing Director, Oil &amp; Gas Investment Banking</t>
  </si>
  <si>
    <t>12534-04P</t>
  </si>
  <si>
    <t>Christopher Leslie</t>
  </si>
  <si>
    <t>Mr. Christopher Leslie served as the Chief Executive Officer at Macquarie Infrastructure. He serves as He serves as a Senior Managing Director, Green Investments, Macquarie Asset Management at Macquarie Group. Board Member and Member of the Leadership Development and Compensation Committee at Cleco Corporate Holdings. He served as Senior Managing Director at Macquarie Group. Mr. Leslie served as a Board Member at InSite Wireless Group and Puget Sound Energy. He has 22 years of experience in infrastructure and has led a number of significant transactions on behalf of MIRA funds, including the $7.9 billion take-private of Puget Energy in 2009; the $4.8 billion sale of Global Tower Partners in 2013; and in 2014, the negotiation of the agreement around the proposed take-private of the $4.7 billion Louisiana-based electric utility holding company Cleco Corporation (NYSE: CNL). Prior to the formation of MIP I in 2006, Mr. Leslie played an integral role in the development of Macquarie Essential Assets Partnership, MIRA's private Canadian infrastructure fund. He began his career with Macquarie in 1992 in Sydney, Australia, where he was involved in cross-border structured finance and leasing between Australia, Japan, the United Kingdom, and the U.S. He has been instrumental in expanding Macquarie's infrastructure business globally having launched Macquarie offices in Southeast Asia and India and subsequently in North America. Mr. Leslie moved to New York in 1999 to build Macquarie's infrastructure business in the U.S. He received a Bachelor of Commerce (Honors) degree from the University of Melbourne.</t>
  </si>
  <si>
    <t>+1 (212) 231-1000</t>
  </si>
  <si>
    <t>chris.leslie@macquarie.com</t>
  </si>
  <si>
    <t>Senior Managing Director, Green Investments, Macquarie Asset Management</t>
  </si>
  <si>
    <t>315685-36P</t>
  </si>
  <si>
    <t>Christopher O'Keeffe</t>
  </si>
  <si>
    <t>O'Keeffe</t>
  </si>
  <si>
    <t>Mr. Christopher O'Keeffe serves as Managing Director - Software &amp; Services at Macquarie Group. He holds a BS in Business, Accounting, Business Finance from Indiana University.</t>
  </si>
  <si>
    <t>+1 (312) 660-9000</t>
  </si>
  <si>
    <t>christopher.okeeffe@macquarie.com</t>
  </si>
  <si>
    <t>1 North Wacker Drive</t>
  </si>
  <si>
    <t>Suite 2900</t>
  </si>
  <si>
    <t>Managing Director - Software &amp; Services</t>
  </si>
  <si>
    <t>158771-98P</t>
  </si>
  <si>
    <t>Cole Magrath</t>
  </si>
  <si>
    <t>Magrath</t>
  </si>
  <si>
    <t>Mr. Cole Magrath serves as Managing Director at Macquarie Group. Mr. Magrath served as Vice President, CAF Lending at Macquarie Group.</t>
  </si>
  <si>
    <t>+1 (212) 231 6360</t>
  </si>
  <si>
    <t>cole.magrath@macquarie.com</t>
  </si>
  <si>
    <t>424441-00P</t>
  </si>
  <si>
    <t>Colin Wu</t>
  </si>
  <si>
    <t>Mr. Colin Wu serves as Senior Managing Director at Macquarie Group. He completed his Bachelor of Commerce from University of Sydney.</t>
  </si>
  <si>
    <t>+852 3922 1888</t>
  </si>
  <si>
    <t>colin.wu@macquarie.com</t>
  </si>
  <si>
    <t>Level 22, 23, One International Finance Centre</t>
  </si>
  <si>
    <t>1 Harbour View Street, Central</t>
  </si>
  <si>
    <t>388204-48P</t>
  </si>
  <si>
    <t>Courtney Mitchell JD</t>
  </si>
  <si>
    <t>Ms. Courtney Mitchell serves as Vice President - Macquarie Capital Principal Finance - Legal at Macquarie Group.</t>
  </si>
  <si>
    <t>courtney.mitchell@macquarie.com</t>
  </si>
  <si>
    <t>Vice President - Macquarie Capital Principal Finance - Legal</t>
  </si>
  <si>
    <t>141011-47P</t>
  </si>
  <si>
    <t>David Berman</t>
  </si>
  <si>
    <t>Mr. David Berman serves as Co-Head of Macquarie Capital, Americas and Global Head of Consumer, Gaming &amp; Leisure at Macquarie Group. He founded and served as Chief Executive Officer at Regal Capital Advisors.</t>
  </si>
  <si>
    <t>david.berman@macquarie.com</t>
  </si>
  <si>
    <t>Co-Head, Macquarie Capital, Americas and Global Head of Consumer, Gaming &amp; Leisure</t>
  </si>
  <si>
    <t>161668-63P</t>
  </si>
  <si>
    <t>David Cobbold</t>
  </si>
  <si>
    <t>Cobbold</t>
  </si>
  <si>
    <t>Mr. David Cobbold serves as Vice Chairman, Metal &amp; Mining at Macquarie Group. He served as a Managing Director and Head of Mining at Macquarie Capital Markets Canada. He holds a Bachelor of Arts in Economics, from the University of Western Ontario and a Master of Business Administration (MBA), from Harvard Business School.</t>
  </si>
  <si>
    <t>david.cobbold@macquarie.com</t>
  </si>
  <si>
    <t>Vice Chairman, Metal &amp; Mining</t>
  </si>
  <si>
    <t>82069-03P</t>
  </si>
  <si>
    <t>David Farkas</t>
  </si>
  <si>
    <t>Farkas</t>
  </si>
  <si>
    <t>Mr. David Farkas serves as Managing Director, Aerospace, Defense &amp; Government Services at Macquarie Group. Mr. Farkas served as General Manager, Business Development and Mergers &amp; Acquisitions at GE Aerospace. Previously, he served as Vice President, Business Development &amp; Mergers &amp; Acquisitions at Hexcel. Prior to that, he served as Vice President, Business Development and M&amp;A at Honeywell Aerospace. He served as Director of Corporate Development at SIRVA and as a Manager in Transaction Services at PricewaterhouseCoopers. In this role, he is responsible for delivering all aspects of business development and M&amp;A efforts for GE Aviation. Prior to joining GE, David spent most of this career with Honeywell International where he held various corporate development and M&amp;A leadership positions over twelve years, including eight years as vice president of Business Development and M&amp;A for Honeywell Aerospace. He also served as vice president of Business Development and M&amp;A for the Performance Materials and Technologies ("PMT") division and led other major corporate development transactions. Most recently, David was with Hexcel Corporation leading Business Development and M&amp;A. Earlier in his career, David also worked in various M&amp;A-related positions of increasing responsibility for Sirva, Inc and in the Transaction Advisory group at PricewaterhouseCoopers in Chicago. David started his career as a CPA and auditor at Plante Moran. David is a graduate of Michigan State University where he earned a Bachelor of Arts degree in Accounting. He also is a graduate of the University of Queensland in Brisbane, Australia with a Master's in Business Administration.</t>
  </si>
  <si>
    <t>david.farkas@macquarie.com</t>
  </si>
  <si>
    <t>Managing Director, Aerospace, Defense &amp; Government Services</t>
  </si>
  <si>
    <t>166121-20P</t>
  </si>
  <si>
    <t>David Roseman</t>
  </si>
  <si>
    <t>Roseman</t>
  </si>
  <si>
    <t>Mr. David Roseman serves as Executive Chairman at Macquarie Capital. He serves as Board Member at Onyx Insight.</t>
  </si>
  <si>
    <t>david.roseman@macquarie.com</t>
  </si>
  <si>
    <t>Executive Chairman, Macquarie Capital</t>
  </si>
  <si>
    <t>340942-33P</t>
  </si>
  <si>
    <t>Deep Gupta</t>
  </si>
  <si>
    <t>Deep</t>
  </si>
  <si>
    <t>Mr. Deep Gupta serves as Managing Director at Macquarie Group.</t>
  </si>
  <si>
    <t>deep.gupta@macquarie.com</t>
  </si>
  <si>
    <t>392483-08P</t>
  </si>
  <si>
    <t>Don Trent</t>
  </si>
  <si>
    <t>Mr. Don Trent serves as Senior Managing Director at Macquarie Group.</t>
  </si>
  <si>
    <t>don.trent@macquarie.com</t>
  </si>
  <si>
    <t>289741-24P</t>
  </si>
  <si>
    <t>Doug Meador</t>
  </si>
  <si>
    <t>Meador</t>
  </si>
  <si>
    <t>Mr. Doug Meador serves as Senior Managing Director at Macquarie Group. Mr. Meador is also a Board Member at Elexo.</t>
  </si>
  <si>
    <t>doug.meador@macquarie.com</t>
  </si>
  <si>
    <t>Adelaide</t>
  </si>
  <si>
    <t>Adelaide, Australia</t>
  </si>
  <si>
    <t>Level 4</t>
  </si>
  <si>
    <t>63 Pirie Street, Kaurna Country</t>
  </si>
  <si>
    <t>South Australia</t>
  </si>
  <si>
    <t>5000</t>
  </si>
  <si>
    <t>194058-46P</t>
  </si>
  <si>
    <t>Dragi Ristevski</t>
  </si>
  <si>
    <t>Dragi</t>
  </si>
  <si>
    <t>Ristevski</t>
  </si>
  <si>
    <t>Mr. Dragi Ristevski serves as a Executive Director, Macquarie Capital at Macquarie Group. He previously served as Co-Head of Investment Banking and Capital Markets at Credit Suisse. Mr. Dragi Ristevski served as Executive at Citigroup Global Markets.</t>
  </si>
  <si>
    <t>dragi.ristevski@macquarie.com</t>
  </si>
  <si>
    <t>Executive Director, Macquarie Capital</t>
  </si>
  <si>
    <t>55882-45P</t>
  </si>
  <si>
    <t>Eric Wurtzebach</t>
  </si>
  <si>
    <t>Wurtzebach</t>
  </si>
  <si>
    <t>Mr. Eric Wurtzebach serves as Senior Managing Director, Head of the Americas &amp; Director at Macquarie Group. He also serves as Global Head of Real Estate at Macquarie Asset Management. Mr. Wurtzebach served as Managing Director at M3 Capital Partners. Previously, he served as a Director - Real Estate Investment Banking at BMO Capital Markets. He leads MAM Real Estate's principal investment and asset management activities in the Americas, which have included partnerships with Logistics Property Company, Greystar Real Estate Partners, and RHP Properties. He holds a BS (Bachelor of Science) in Finance From Trinity University.</t>
  </si>
  <si>
    <t>eric.wurtzebach@macquarie.com</t>
  </si>
  <si>
    <t>Senior Managing Director, Head of the Americas &amp; Director</t>
  </si>
  <si>
    <t>225893-17P</t>
  </si>
  <si>
    <t>Erik Petersson</t>
  </si>
  <si>
    <t>Petersson</t>
  </si>
  <si>
    <t>Mr. Petersson serves as Senior Managing Director at Macquarie Group. Mr. Erik Petersson serves as Board Member at Storegga.</t>
  </si>
  <si>
    <t>erik.petersson@macquarie.com</t>
  </si>
  <si>
    <t>108527-95P</t>
  </si>
  <si>
    <t>Evie Bruce</t>
  </si>
  <si>
    <t>Evie</t>
  </si>
  <si>
    <t>Ms. Evie Bruce serves as Group General Counsel, Head of the Legal and Governance Group &amp; Member of the Executive Committee at Macquarie Group. She was a Managing Partner in Financial Institutions, Banking &amp; Finance, and Projects &amp; Real Estate at King &amp; Wood Mallesons. She served as a Partner at SJ Berwin. Before joining the executive team, she led a successful practice specializing in M&amp;A (public and private M&amp;A, schemes of arrangement, reconstructions, and joint ventures) and capital markets (IPOs, secondary capital raisings, and hybrid and retail debt securities offerings). She has extensive experience advising large companies and emerging enterprises across various sectors, including financial services, private equity, and infrastructure.</t>
  </si>
  <si>
    <t>evie.bruce@macquarie.com</t>
  </si>
  <si>
    <t>Group General Counsel, Head of Legal and Governance Group &amp; Member of Executive Committee</t>
  </si>
  <si>
    <t>93390-58P</t>
  </si>
  <si>
    <t>Fady Lahame</t>
  </si>
  <si>
    <t>Fady</t>
  </si>
  <si>
    <t>Lahame</t>
  </si>
  <si>
    <t>Mr. Fady Lahame serves as Head of France at Macquarie Group. He served as Partner at Messier Maris &amp; Associés. Before joining Messier Maris &amp; Associés, he spent over 19 years at Credit Suisse, most recently as Co-Head of the Investment Banking Department France &amp; BeLux. He arrived at Credit Suisse in 1996 and was promoted to Managing Director and Head of the French M&amp;A team in 2007. He graduated from HEC.</t>
  </si>
  <si>
    <t>fady.lahame@macquarie.com</t>
  </si>
  <si>
    <t>Head of France</t>
  </si>
  <si>
    <t>317255-23P</t>
  </si>
  <si>
    <t>Filipe Mossmann</t>
  </si>
  <si>
    <t>Mossmann</t>
  </si>
  <si>
    <t>Mr. Filipe Mossmann serves as Managing Director, Commodities and Global Markets at Macquarie Group.</t>
  </si>
  <si>
    <t>filipe.mossmann@macquarie.com</t>
  </si>
  <si>
    <t>Managing Director, Commodities and Global Markets</t>
  </si>
  <si>
    <t>199961-02P</t>
  </si>
  <si>
    <t>Florian Harold</t>
  </si>
  <si>
    <t>Mr. Florian Harold serves as Group Head of Principal Finance at Macquarie Group. He joined Macquarie in 2009 and has over 15 years of investment experience.</t>
  </si>
  <si>
    <t>florian@macquarie.com</t>
  </si>
  <si>
    <t>Group Head of Principal Finance</t>
  </si>
  <si>
    <t>429047-29P</t>
  </si>
  <si>
    <t>Gabriel Ho</t>
  </si>
  <si>
    <t>Mr. Gabriel Ho serves as a Managing Director in South-east Asia at Macquarie Group.</t>
  </si>
  <si>
    <t>gabriel.ho@macquarie.com</t>
  </si>
  <si>
    <t>Managing Director in South-east Asia</t>
  </si>
  <si>
    <t>83081-62P</t>
  </si>
  <si>
    <t>Gabriele Duesberg</t>
  </si>
  <si>
    <t>Duesberg</t>
  </si>
  <si>
    <t>Ms. Gabriele Duesberg serves as Managing Director at Macquarie Group. She also serves as Head of Diversified Infrastructure - EMEA at Macquarie Asset Management. She served as Managing Director at J.P. Morgan. Previously, she served as an Associate at JP Morgan.</t>
  </si>
  <si>
    <t>gabriele.duesberg@macquarie.com</t>
  </si>
  <si>
    <t>329846-59P</t>
  </si>
  <si>
    <t>Gareth Edwards</t>
  </si>
  <si>
    <t>Mr. Gareth Edwards serves as Investment Director at Macquarie Group.</t>
  </si>
  <si>
    <t>ge@macquarie.com</t>
  </si>
  <si>
    <t>40907-44P</t>
  </si>
  <si>
    <t>Garry Farrell</t>
  </si>
  <si>
    <t>Garry</t>
  </si>
  <si>
    <t>Mr. Garry Farrell serves as Group Head of Corporate &amp; Asset Finance at Macquarie Bank. He joined Macquarie in 1986, working extensively in originating, structuring, and executing transactions for global clients. He was Head of Macquarie's European Investment Banking operations, leading the rapid growth of that business, and has originated and developed businesses in Japan, South Africa, Ireland, Europe, the UK, and the US.</t>
  </si>
  <si>
    <t>garry.farrell@macquarie.com</t>
  </si>
  <si>
    <t>Group Head, Corporate and Asset Finance</t>
  </si>
  <si>
    <t>368705-62P</t>
  </si>
  <si>
    <t>Graeme Conway</t>
  </si>
  <si>
    <t>Mr. Graeme Conway serves as Chief Commercial Officer &amp; Head of Solutions for Macquarie Asset Management at Macquarie Asset Management. Mr. Graeme Conway serves as Chief Commercial Officer &amp; Head of Strategic Solutions at Macquarie Group. He also serves as a Board Member at M.D. Sass-Macquarie Financial Strategies. As Head of Strategic Solutions, he is responsible for MAM's Corporate Development &amp; Strategy, Secondaries, Wealth Solutions, Insurance Solutions, Impact Solutions, and Insurance Facility businesses. Since joining Macquarie, he has held several senior positions, including Head of Macquarie Capital Europe and Head of Real Assets in the Americas. Throughout his career, he has worked in Australia, the UK, and the US, and has extensive experience across the infrastructure and asset management sectors. He serves as an Investment Committee member across MAM's Secondaries business. He has a Bachelor of Engineering (First Class Honours) and a Bachelor of Commerce in finance and management from the University of Western Australia.</t>
  </si>
  <si>
    <t>graeme.conway@macquarie.com</t>
  </si>
  <si>
    <t>+1 (212) 231-1010</t>
  </si>
  <si>
    <t>Chief Commercial Officer &amp; Head of Solutions for Macquarie Asset Management</t>
  </si>
  <si>
    <t>217005-76P</t>
  </si>
  <si>
    <t>Greg Callman</t>
  </si>
  <si>
    <t>Callman</t>
  </si>
  <si>
    <t>Mr. Greg Callman serves as Senior Managing Director and Global Head of Storage and Energy Technology at Macquarie Group, Green Investment Group. He also serves as Energy Chief Investment Officer at Tech and Energy Transition Corporation. He is a Co-Founder and serves as Board Member at Eku Energy. He serves as a Board Member at Calibrant Energy and Arcadia. He also served as a Board Member at InCharge Energy. He leads infrastructure development and growth equity investments across grid-scale energy storage, distributed energy, fleet electrification, and retail energy. He brings 20 years of international experience as an operating executive, investor, consultant, and public servant. He joined Macquarie from Tesla, where he led the growth of the company's energy storage business and charging infrastructure programs in North America, Europe, and ANZ. Previously, he served at the US Department of Energy, with the Recovery Act Team and ARPA-E. He began his career as an advisor to organizations investing in emerging markets and post-conflict countries. He holds an MA from the Johns Hopkins School of Advanced International Studies (SAIS) and was an interdisciplinary Echols Scholar at the University of Virginia. He is based in San Francisco.</t>
  </si>
  <si>
    <t>gcallman@macquarie.com</t>
  </si>
  <si>
    <t>Senior Managing Director and Global Head of Storage and Energy Technology</t>
  </si>
  <si>
    <t>14082-67P</t>
  </si>
  <si>
    <t>Gregory Ager</t>
  </si>
  <si>
    <t>Ager</t>
  </si>
  <si>
    <t>Mr. Gregory Ager serves as Managing Director of the Software and Services group at Macquarie Group. He served as Managing Director at DCS Advisory. Based in Reston, he is a Managing Director at DCS Advisory. He brings more than 25 years of growth company and technology investment banking experience to his client engagements, with a current focus on SaaS/Enterprise Application Software and significant transaction experience in ERP, Supply Chain, and vertically focused solutions.</t>
  </si>
  <si>
    <t>greg.ager@macquarie.com</t>
  </si>
  <si>
    <t>Managing Director, Software and Services group</t>
  </si>
  <si>
    <t>37143-10P</t>
  </si>
  <si>
    <t>Gregory Ward</t>
  </si>
  <si>
    <t>Mr. Gregory Ward serves as Deputy Managing Director, Head of Banking and Financial Services Group, &amp; Member of the Executive Committee at Macquarie Group. He joined Macquarie in 1996, the year the organization became publicly listed, and during his tenure has driven the growth of Macquarie's retail financial services business. He has over 30 years of experience in finance and financial services. He was the Chief Financial Officer for 14 years before being appointed Deputy Managing Director of Macquarie Group, he was also Chief Executive Officer of the Group's banking subsidiary, Macquarie Bank, from 2011 to 2013.</t>
  </si>
  <si>
    <t>greg.ward@macquarie.com</t>
  </si>
  <si>
    <t>Deputy Managing Director &amp; Member of Executive Committee</t>
  </si>
  <si>
    <t>432833-32P</t>
  </si>
  <si>
    <t>Gurjit Orjela</t>
  </si>
  <si>
    <t>Gurjit</t>
  </si>
  <si>
    <t>Orjela</t>
  </si>
  <si>
    <t>Mr. Gurjit Orjela serves as a Senior Vice President at Macquarie Group.</t>
  </si>
  <si>
    <t>gurjit.orjela@macquarie.com</t>
  </si>
  <si>
    <t>399615-49P</t>
  </si>
  <si>
    <t>Harlan Cherniak</t>
  </si>
  <si>
    <t>Harlan</t>
  </si>
  <si>
    <t>Cherniak</t>
  </si>
  <si>
    <t>Mr. Harlan Cherniak serves as Head of Infrastructure Debt - Americas at Macquarie Group.</t>
  </si>
  <si>
    <t>harlan.cherniak@macquarie.com</t>
  </si>
  <si>
    <t>Head of Infrastructure Debt - Americas</t>
  </si>
  <si>
    <t>348904-90P</t>
  </si>
  <si>
    <t>Heather Wachtler</t>
  </si>
  <si>
    <t>Wachtler</t>
  </si>
  <si>
    <t>Ms. Heather Wachtler serves as Senior Vice President-Leveraged Finance at Macquarie Group.</t>
  </si>
  <si>
    <t>hwachtler@macquarie.com</t>
  </si>
  <si>
    <t>Senior Vice President-Leveraged Finance</t>
  </si>
  <si>
    <t>423340-66P</t>
  </si>
  <si>
    <t>Helena Slater</t>
  </si>
  <si>
    <t>Slater</t>
  </si>
  <si>
    <t>Mr. Helena Slater serves as a Media &amp; Government Affairs Manager at Macquarie Group.</t>
  </si>
  <si>
    <t>helena.slater@macquarie.com</t>
  </si>
  <si>
    <t>Media &amp; Government Affairs Manager</t>
  </si>
  <si>
    <t>425043-37P</t>
  </si>
  <si>
    <t>Jack Huxtable</t>
  </si>
  <si>
    <t>Huxtable</t>
  </si>
  <si>
    <t>Mr. Jack Huxtable serves as Relationship Manager - Wealth Distribution at Macquarie Group.</t>
  </si>
  <si>
    <t>+44 (0)20 3037 2000</t>
  </si>
  <si>
    <t>jack.huxtable@macquarie.com</t>
  </si>
  <si>
    <t>Ropemaker Place</t>
  </si>
  <si>
    <t>28 Ropemaker Street</t>
  </si>
  <si>
    <t>EC2Y 9HD</t>
  </si>
  <si>
    <t>Relationship Manager - Wealth Distribution</t>
  </si>
  <si>
    <t>160395-67P</t>
  </si>
  <si>
    <t>Jackie Hamilton</t>
  </si>
  <si>
    <t>Ms. Jackie Hamilton serves as Global Co-Head of Real Estate Principal Investing &amp; Finance and Member of the Macquarie Group Foundation Committee at Macquarie Group. Ms. Hamilton is focused on principal investing in commercial real estate, primarily special situations or higher-yielding first mortgage and mezzanine lending within the United States. Prior to Macquarie, Ms. Hamilton served as private equity fund manager at Pacific Coast Capital Partners, focusing on high-yield senior debt and equity originations, and at Lehman Brothers. Ms. Hamilton has real estate experience investing across the capital structure in all major asset classes, including ground-up development and transitional projects. He holds a B.S. in biology from the Georgia Institute of Technology, and an M.B.A. from the Stern School of Business at New York University.</t>
  </si>
  <si>
    <t>jackie.hamilton@macquarie.com</t>
  </si>
  <si>
    <t>Global Co-Head of Real Estate Principal Investing &amp; Finance and Member of the Macquarie Group Foundation Committee</t>
  </si>
  <si>
    <t>285700-69P</t>
  </si>
  <si>
    <t>James Colazzo</t>
  </si>
  <si>
    <t>Colazzo</t>
  </si>
  <si>
    <t>Mr. James Colazzo serves as Associate, Private Equity at Macquarie Group.</t>
  </si>
  <si>
    <t>james.c@macquarie.com</t>
  </si>
  <si>
    <t>228997-27P</t>
  </si>
  <si>
    <t>James Fincher</t>
  </si>
  <si>
    <t>Fincher</t>
  </si>
  <si>
    <t>Mr. James Fincher serves as Managing Director at Macquarie Group.</t>
  </si>
  <si>
    <t>james.fincher@macquarie.com</t>
  </si>
  <si>
    <t>180766-63P</t>
  </si>
  <si>
    <t>James Fogarty</t>
  </si>
  <si>
    <t>Fogarty</t>
  </si>
  <si>
    <t>Mr. James Fogarty serves as Managing Director at Macquarie Group. He served as Senior Vice President, Acquisitions at Starwood Capital Group. He has a primary focus on acquisitions in the tri-state area, including New York City and most recently made the firm's first investments into Australia where he continues to source opportunities and manages existing assets. Mr. Fogarty was previously based in London and focused on acquisitions for Starwood. Before joining Starwood Capital in 2011, he worked for 5 years in lending across various asset types and acquisitions of office buildings in the U.S. Mr. Fogarty graduated Cum Laude from the University of Pennsylvania with a concentration in Real Estate.</t>
  </si>
  <si>
    <t>james.fogarty@macquarie.com</t>
  </si>
  <si>
    <t>95284-45P</t>
  </si>
  <si>
    <t>James Forrest</t>
  </si>
  <si>
    <t>Forrest</t>
  </si>
  <si>
    <t>Mr. James Forrest serves as Managing Director &amp; Global Head of Strategy &amp; Communications at Macquarie Group. Mr. Forrest served as Senior Vice President, Macquarie Capital at Macquarie Group. Previously, he served as a Summer Analyst at Merrill Lynch Investment Managers. He holds a MA in Economics from University of Cambridge.</t>
  </si>
  <si>
    <t>james.forrest@macquarie.com</t>
  </si>
  <si>
    <t>Managing Director &amp; Global Head of Strategy &amp; Communications</t>
  </si>
  <si>
    <t>150135-40P</t>
  </si>
  <si>
    <t>James Maydew</t>
  </si>
  <si>
    <t>Maydew</t>
  </si>
  <si>
    <t>Mr. James Maydew serves as Global Portfolio Manager and Head of Global Listed Real Estate at Macquarie Group. He served as Global Portfolio Manager and Head of Global Listed Real Estate at AMP Capital Investors. Previously, he served as an Investment - Chartered Surveyor at Cushman &amp; Wakefield. He holds a degree in Real Estate Investment &amp; Finance from University of Reading.</t>
  </si>
  <si>
    <t>+61 (0)2 9257 5000</t>
  </si>
  <si>
    <t>jm@macquarie.com</t>
  </si>
  <si>
    <t>Portfolio Manager &amp; Head of Global Listed Real Estate</t>
  </si>
  <si>
    <t>454824-10P</t>
  </si>
  <si>
    <t>Jamie Sanchez</t>
  </si>
  <si>
    <t>Mr. Jamie Sanchez serves as Senior Vice President at Macquarie Group.</t>
  </si>
  <si>
    <t>53845-21P</t>
  </si>
  <si>
    <t>Jason White</t>
  </si>
  <si>
    <t>Mr. Jason White serves as a Managing Director, Software and Services Investment Banking &amp; Principal Investing at Macquarie Group. Mr. White served as Managing Director at Berkery, Noyes &amp; Co. Previously, he served as Senior Vice President - Mergers &amp; Acquisitions at Tegris Advisors. He has over 8 years of investment banking and corporate finance transactional experience at firms such as G.C. Andersen Partners, Merriman Curhan Ford &amp; Co., Maxim Group and Bear Stearns &amp; Co. Mr. White's prior transactions have spanned industries within the Temporary Staffing, Leisure, Hospitality, TMT, Energy, Homeland Defense, Plastics and Packaging, Healthcare and Maritime Shipping sectors and regions across the United States, Europe and China. Mr. White worked most recently at G.C. Andersen Partners, where he assisted 8 senior partners on merger and acquisition and financial advisory assignments including on behalf of HarbourVest Global Private Equity Fund of Funds (Secondary and Direct investment teams managing over $84 billion in total assets). Previously, Mr. White worked in the investment banking group at Merriman Curhan Ford Group, where he focused primarily on TMT. Mr. White also worked at Maxim Group where he helped raise over $1.5 billion in initial public offerings. Prior to joining Maxim Group, Mr. White was a corporate finance analyst in the Generalist Group at Bear, Stearns &amp; Co. Mr. White earned his BBA from The George Washington University with a major in Finance.</t>
  </si>
  <si>
    <t>jw@macquarie.com</t>
  </si>
  <si>
    <t>Managing Director, Software and Services Investment Banking &amp; Principal Investing</t>
  </si>
  <si>
    <t>117776-35P</t>
  </si>
  <si>
    <t>Jeremy Parker</t>
  </si>
  <si>
    <t>Mr. Jeremy Parker serves as a Senior Managing Director and Co-Head of Aerospace, Defense &amp; Government Services at Macquarie Group. He served as a Managing Director &amp; Co-Head of Aerospace, Defense &amp; Technology at Sagent Advisors. He joined Sagent Advisors in 2013 as a Manager Director in the Aerospace, Defense and Technology group. Prior to joining Sagent, Mr. Parker was a Managing Director and Head of Aerospace, Defense &amp; Government at Gleacher &amp; Company (including its predecessor company Gleacher Partners). During his tenure there, Mr. Parker advised numerous domestic and international clients on a variety of mergers &amp; acquisitions and financing transactions, including recent assignments such as Evolvent Technologies' sale to ManTech International, New Mountain Capital's acquisition of a majority stake in SNL Financial, CKX's sale to Apollo Global Management and Mercury Systems' equity offering. Prior to Gleacher, Mr. Parker was a Principal in the Corporate Mergers &amp; Acquisitions group of Science Applications International Corporation (SAIC), a Fortune 500® science, engineering, and technology company. Mr. Parker began his investment banking career at Donaldson, Lufkin and Jenrette. Mr. Parker received his MBA from the Stanford Graduate School of Business and his BA from Georgetown University.</t>
  </si>
  <si>
    <t>+1 (212) 904-9405</t>
  </si>
  <si>
    <t>jeremy.parker@macquarie.com</t>
  </si>
  <si>
    <t>Senior Managing Director and Co-Head of Aerospace, Defense &amp; Government Services</t>
  </si>
  <si>
    <t>152168-23P</t>
  </si>
  <si>
    <t>John Pickhaver</t>
  </si>
  <si>
    <t>Pickhaver</t>
  </si>
  <si>
    <t>Mr. John Pickhaver serves as Head of Infrastructure and Energy Capital at Macquarie Group. Mr. John Pickhaver served as Co-Head, Macquarie Capital at Macquarie Group.</t>
  </si>
  <si>
    <t>john.pickhaver@macquarie.com</t>
  </si>
  <si>
    <t>Head of Infrastructure and Energy Capital</t>
  </si>
  <si>
    <t>93504-79P</t>
  </si>
  <si>
    <t>Justino Ocampo</t>
  </si>
  <si>
    <t>Justino</t>
  </si>
  <si>
    <t>Ocampo</t>
  </si>
  <si>
    <t>Mr. Justino Ocampo serves as Managing Director at Macquarie Group. He served as Executive Vice President &amp; Group Head, Investment Banking at First Metro Investment. Previously he served as a Group Vice President at Royal Bank of Scotland.</t>
  </si>
  <si>
    <t>justin.ocampo@macquarie.com</t>
  </si>
  <si>
    <t>164812-33P</t>
  </si>
  <si>
    <t>Kevin Byrne</t>
  </si>
  <si>
    <t>Mr. Kevin Byrne serves as Senior Vice President at Macquarie Group.</t>
  </si>
  <si>
    <t>kevin.byrne@macquarie.com</t>
  </si>
  <si>
    <t>39661-84P</t>
  </si>
  <si>
    <t>Kevin Hwang</t>
  </si>
  <si>
    <t>Hwang</t>
  </si>
  <si>
    <t>Mr. Kevin Hwang serves as Managing Director and Principal Investing at Macquarie Group. Previously, he served as a Principal at TPG Sixth Street Partners and Senior Vice President at Crescent Capital Group. He began his career as a management consultant at McKinsey &amp; Company. He received his M.B.A. from Harvard Business School and his B.A. from Cornell University.</t>
  </si>
  <si>
    <t>212-231-1000</t>
  </si>
  <si>
    <t>kevin.hwang@macquarie.com</t>
  </si>
  <si>
    <t>Managing Director, Principal Investing</t>
  </si>
  <si>
    <t>327643-03P</t>
  </si>
  <si>
    <t>Kevin Nobels</t>
  </si>
  <si>
    <t>Nobels</t>
  </si>
  <si>
    <t>Mr. Kevin Nobels serves as Managing Director, Infrastructure and Energy Capital at Macquarie Group.</t>
  </si>
  <si>
    <t>kevin.nobels@macquarie.com</t>
  </si>
  <si>
    <t>Managing Director, Infrastructure and Energy Capital</t>
  </si>
  <si>
    <t>50149-90P</t>
  </si>
  <si>
    <t>Kristie Malkasian</t>
  </si>
  <si>
    <t>Malkasian</t>
  </si>
  <si>
    <t>Ms. Kristie Malkasian serves as Research Librarian at Macquarie Group. Prior to this, she was a researcher at NewSmith Capital Partners. She was also a librarian with Swiss Re, a wholesale provider of reinsurance, insurance and other insurance-based forms of risk transfer.</t>
  </si>
  <si>
    <t>kristie.malkasian@macquarie.com</t>
  </si>
  <si>
    <t>Research Librarian</t>
  </si>
  <si>
    <t>387178-12P</t>
  </si>
  <si>
    <t>Kurt Phares</t>
  </si>
  <si>
    <t>Phares</t>
  </si>
  <si>
    <t>Mr. Kurt Phares serves as Senior Vice President at Macquarie Group.</t>
  </si>
  <si>
    <t>kurt.phares@macquarie.com</t>
  </si>
  <si>
    <t>28135-27P</t>
  </si>
  <si>
    <t>Lawrence Handen</t>
  </si>
  <si>
    <t>Handen</t>
  </si>
  <si>
    <t>Mr. Lawrence Handen served as Senior Managing Director and Head of Principal Investing and Capital Markets for Americas, Europe &amp; Asia at Macquarie Capital. He serves as a Board Member at ERT, Velosimo, Kalkomey Enterprises, Autobooks, and PayIt. He previously served as a Board Member at Allovue and Planview. He brings more than 25 years of experience in the software, Internet, and technology services industries as a principal investor, operator, and consultant. Before Insight, He was a General Partner at UBS Capital, where he led the firm's Software, Internet &amp; Services Group. Previously, he was a Partner with PricewaterhouseCoopers Consulting. He received a BA in Economics and Political Science from Bucknell University and an MBA in Finance from NYU's Stern School of Business.</t>
  </si>
  <si>
    <t>lawrence.handen@macquarie.com</t>
  </si>
  <si>
    <t>Senior Managing Director and Head of Principal Investing and Capital Markets for Americas, Europe &amp; Asia</t>
  </si>
  <si>
    <t>363884-41P</t>
  </si>
  <si>
    <t>Lisa Crass Ph.D</t>
  </si>
  <si>
    <t>Crass</t>
  </si>
  <si>
    <t>Dr. Lisa Crass serves as Director at Macquarie Group.</t>
  </si>
  <si>
    <t>lisa.crass@macquarie.com</t>
  </si>
  <si>
    <t>48263-68P</t>
  </si>
  <si>
    <t>Maheep Jain</t>
  </si>
  <si>
    <t>Maheep</t>
  </si>
  <si>
    <t>Mr. Maheep Jain serves as Managing Director at Macquarie Group. Before joining CDC, He was the associated director at Clean World Capital in London, where he worked on renewable energy and clean-tech transactions in Western Europe. Before this, he worked for Bechtel Corporation in Houston on large Oil, Gas, and power projects in North America, Africa, and Asia. He holds a bachelor's degree in engineering from the Indian Institute of Technology-Guwahati, an MS from the University of Houston, and an MBA from the London Business School.</t>
  </si>
  <si>
    <t>maheep.jain@macquarie.com</t>
  </si>
  <si>
    <t>121911-94P</t>
  </si>
  <si>
    <t>Mark Bradshaw</t>
  </si>
  <si>
    <t>Bradshaw</t>
  </si>
  <si>
    <t>Mr. Mark Bradshaw serves as a Global Head of Macquarie Infrastructure &amp; Energy Capital at Macquarie Group.</t>
  </si>
  <si>
    <t>mark@macquarie.com</t>
  </si>
  <si>
    <t>Global Head of Macquarie Infrastructure &amp; Energy Capital</t>
  </si>
  <si>
    <t>135037-99P</t>
  </si>
  <si>
    <t>Matthew Booth</t>
  </si>
  <si>
    <t>Mr. Matthew Booth serves as Senior Managing Director, Commodities and Global Markets Group at Macquarie Group. He served as Board Member at Connected Energy. Matt is a Managing Director in the fixed-income, currencies, and commodities groups of Macquarie Bank Ltd where he is responsible for principal investments in energy and commodities. He has an MA in mathematics from Christ Church, Oxford, and an MSc in international politics of Asia from the School of Oriental and African Studies. He also serves as Managing Director at Macquarie Group.</t>
  </si>
  <si>
    <t>matthew.booth@macquarie.com</t>
  </si>
  <si>
    <t>378555-85P</t>
  </si>
  <si>
    <t>Matthew Edgar</t>
  </si>
  <si>
    <t>Mr. Matthew Edgar serves as Senior Managing Director at Macquarie Group. Mr. Edgar serves as Board Member at Cero Generation. he has Bachelor of Commerce &amp; Bachelor of Arts from University of Melbourne &amp; University of North Carolina at Chapel Hill in Finance, Economics, History, Political Science.</t>
  </si>
  <si>
    <t>+33 (0)1 56 54 52 50</t>
  </si>
  <si>
    <t>matthew.edgar@macquarie.com</t>
  </si>
  <si>
    <t>12-14 Rond Point des Champs-Elysees Marcel-Dassault</t>
  </si>
  <si>
    <t>351689-23P</t>
  </si>
  <si>
    <t>Matthew Ellis</t>
  </si>
  <si>
    <t>Mr. Matthew Ellis serves as Chief Digital Officer at Macquarie Group.</t>
  </si>
  <si>
    <t>matthew.ellis@macquarie.com</t>
  </si>
  <si>
    <t>32565-79P</t>
  </si>
  <si>
    <t>Matthew Fiore</t>
  </si>
  <si>
    <t>Fiore</t>
  </si>
  <si>
    <t>Mr. Matthew Fiore serves as Managing Director at Macquarie Group. Mr. Fiore has 23 years of experience, most recently as a Managing Director at DC Advisory where he was responsible for the firm's Cybersecurity practice. Over the course of his career, he has helped complete more than 50 M&amp;A and capital-raising transactions. Prior to joining DC Advisory, Mr. Fiore was a Managing Director at Signal Hill Capital, a predecessor firm in the US to DC Advisory, and before that he was a Vice President at Updata Advisors. He began his career at Warburg Pincus-backed Clondalkin Group.</t>
  </si>
  <si>
    <t>+1 (212) 904-9460</t>
  </si>
  <si>
    <t>matthew@macquarie.com</t>
  </si>
  <si>
    <t>125928-64P</t>
  </si>
  <si>
    <t>Matthew Taylor</t>
  </si>
  <si>
    <t>Mr. Matthew Taylor serves as Managing Director, Services EMEA at Macquarie Group.</t>
  </si>
  <si>
    <t>mtaylor@macquarie.com</t>
  </si>
  <si>
    <t>Managing Director, Services EMEA</t>
  </si>
  <si>
    <t>101124-37P</t>
  </si>
  <si>
    <t>Michael Barrish</t>
  </si>
  <si>
    <t>Barrish</t>
  </si>
  <si>
    <t>Mr. Michael Barrish serves as Managing Director - Financial Sponsors Group, Macquarie Capital at Macquarie Group. He holds a Business Economics from Brown University.</t>
  </si>
  <si>
    <t>michael.barrish@macquarie.com</t>
  </si>
  <si>
    <t>Managing Director - Financial Sponsors Group, Macquarie Capital</t>
  </si>
  <si>
    <t>31844-44P</t>
  </si>
  <si>
    <t>Michael Magliana</t>
  </si>
  <si>
    <t>Magliana</t>
  </si>
  <si>
    <t>Mr. Michael Magliana serves as Senior Managing Director at Macquarie Group. He served as Managing Director and Co-Head of Financial Sponsors at Jefferies Financial Group.</t>
  </si>
  <si>
    <t>michael.magliana@macquarie.com</t>
  </si>
  <si>
    <t>47013-85P</t>
  </si>
  <si>
    <t>Michael Mascis</t>
  </si>
  <si>
    <t>Mascis</t>
  </si>
  <si>
    <t>Mr. Michael Mascis serves as Co-Head Wealth Solutions and Managing Director at Macquarie Group. Mr. Mascis was a Founding Partner &amp; served as Chief Financial Officer at Central Park Group. He also serves as Chief Financial Officer of Wealth Solutions at Central Park Advisers. He has over 25 years of experience in the financial services industry. Prior to joining Central Park Group, he served as Executive Director and CFO of the UBS Financial Services Alternative Investment Group responsible for finance, operations, and operational diligence. At UBS, he was responsible for 33 investment vehicles with approximately $10.5 billion of assets under management. Investments included hedge funds, fund-of-funds, private equity, real estate, and managed futures, structured as both registered and non-registered vehicles with over 30,000 investors. He began his career at Arthur Andersen &amp; Co. as an auditor in the financial services division. While at Andersen, he was elected into the partnership as part of the Hedge Fund Advisory and Capital Markets practice. He was actively involved with the Firm's industry training initiatives, presenting at both internal and external forums. His clients included a broad array of financial services institutions: large financial service firms, hedge funds, and private equity funds. He is a CPA and graduated from Iona College with a BBA in Accounting.</t>
  </si>
  <si>
    <t>+1 (212) 317-9266</t>
  </si>
  <si>
    <t>Co-Head Wealth Solutions and Managing Director</t>
  </si>
  <si>
    <t>29633-95P</t>
  </si>
  <si>
    <t>Michael Meyers</t>
  </si>
  <si>
    <t>Meyers</t>
  </si>
  <si>
    <t>Mr. Michael Meyers serves as Managing Director at Macquarie Group. He is responsible for North American distribution for private capital transactions through capital structures including senior and junior debt, PIPES and ordinary equity transactions. He also serves as Chairman at PageDaily.</t>
  </si>
  <si>
    <t>michael@macquarie.com</t>
  </si>
  <si>
    <t>36395-02P</t>
  </si>
  <si>
    <t>Michael Silverton</t>
  </si>
  <si>
    <t>Silverton</t>
  </si>
  <si>
    <t>Mr. Michael Silverton serves as a Member of the Executive Committee at Macquarie Group. He also served as Head of Investments at Macquarie Capital. He leads a global team that provides advisory, capital markets, investing, development, and equities capabilities to clients, with a focus on infrastructure and real assets; technology, software, and services; and resources, energy, and materials. Since joining Macquarie Group in 1997, he has built and led businesses across the globe, with roles in Sydney, London, and Chicago before moving to New York in 2010. Prior to Macquarie Capital, he held positions in Macquarie Group's Central Executive Strategy unit and Risk Management Division. In 2013, he became Head of Macquarie Capital in the Americas, adding oversight of Europe and Asia shortly after.</t>
  </si>
  <si>
    <t>michael.silverton@macquarie.com</t>
  </si>
  <si>
    <t>Head, Macquarie Capital &amp; Member of Executive Committee</t>
  </si>
  <si>
    <t>190855-00P</t>
  </si>
  <si>
    <t>Michael Van Der Beugel</t>
  </si>
  <si>
    <t>Van Der Beugel</t>
  </si>
  <si>
    <t>Mr. Michael Van Der Beugel serves as Managing Director at Macquarie Group.</t>
  </si>
  <si>
    <t>+1 (310) 557-4300</t>
  </si>
  <si>
    <t>michael.beugel@macquarie.com</t>
  </si>
  <si>
    <t>Suite 2250</t>
  </si>
  <si>
    <t>200946-88P</t>
  </si>
  <si>
    <t>Miki Edelman</t>
  </si>
  <si>
    <t>Miki</t>
  </si>
  <si>
    <t>Edelman</t>
  </si>
  <si>
    <t>Ms. Miki Edelman serves as Senior Managing Director and Head of Portfolio Advocacy at Macquarie Group. Ms. Edelman served as Advisor at Quantexa.</t>
  </si>
  <si>
    <t>miki.edelman@macquarie.com</t>
  </si>
  <si>
    <t>Senior Managing Director and Head of Portfolio Advocacy</t>
  </si>
  <si>
    <t>427791-34P</t>
  </si>
  <si>
    <t>Milissa Hutchinson</t>
  </si>
  <si>
    <t>Milissa</t>
  </si>
  <si>
    <t>Ms. Milissa Hutchinson serves as Head of US Wealth Distribution at Macquarie Group.</t>
  </si>
  <si>
    <t>milissa.hutchinson@macquarie.com</t>
  </si>
  <si>
    <t>Head of US Wealth Distribution</t>
  </si>
  <si>
    <t>343230-94P</t>
  </si>
  <si>
    <t>Morgan LeConey</t>
  </si>
  <si>
    <t>LeConey</t>
  </si>
  <si>
    <t>Mr. Morgan LeConey serves as Managing Director &amp; Head of US Consumer and Retail at Macquarie Group. He focuses on advising clients across the food and beverage, household and personal care products, consumer goods, and retail sectors. Mr. LeConey joins Macquarie Capital from Nomura, where he was Managing Director of Global Consumer Products and Retail Group, in the firm's investment banking division.</t>
  </si>
  <si>
    <t>morgan.leconey@macquarie.com</t>
  </si>
  <si>
    <t>Managing Director &amp; Head of US Consumer and Retail</t>
  </si>
  <si>
    <t>202879-36P</t>
  </si>
  <si>
    <t>Neil Kratz</t>
  </si>
  <si>
    <t>Kratz</t>
  </si>
  <si>
    <t>Mr. Neil Kratz serves as Senior Manager &amp; Vice President at Macquarie Group. He previously served as an Associate at BMO Capital Markets Corp.</t>
  </si>
  <si>
    <t>neil.kratz@macquarie.com</t>
  </si>
  <si>
    <t>Senior Manager &amp; Vice President</t>
  </si>
  <si>
    <t>80209-81P</t>
  </si>
  <si>
    <t>Nicholas Gole</t>
  </si>
  <si>
    <t>Gole</t>
  </si>
  <si>
    <t>Mr. Nicholas Gole serves as Senior Managing Director at Macquarie Group. Previously, he served as a Managing Director at Macquarie Securities.</t>
  </si>
  <si>
    <t>nicholas.gole@macquarie.com</t>
  </si>
  <si>
    <t>444345-67P</t>
  </si>
  <si>
    <t>Nick Coxon</t>
  </si>
  <si>
    <t>Coxon</t>
  </si>
  <si>
    <t>Mr. Nick Coxon serves as Managing Director at Macquarie Group.</t>
  </si>
  <si>
    <t>ncoxon@macquarie.com</t>
  </si>
  <si>
    <t>50155-21P</t>
  </si>
  <si>
    <t>Nicole Sorbara</t>
  </si>
  <si>
    <t>Sorbara</t>
  </si>
  <si>
    <t>Chief Operating Officer &amp; Head</t>
  </si>
  <si>
    <t>Ms. Nicole Sorbara serves as Global Chief Operating Officer, Head of the Corporate Operations Group, &amp; Member of the Executive Committee at Macquarie Group. She is Chair of the Board of PCYC NSW. She leads a global team across 25 countries covering Digital Transformation and Data, Technology, Operations, Human Resources, Business Services, Corporate Strategy and Solutions, and the Macquarie Group Foundation. She joined Macquarie in 1996. During her tenure, she has worked across various roles in finance, Macquarie Capital and was previously the Head of Human Resources. She is a Chartered Accountant with more than 30 years of experience in accounting and financial services.</t>
  </si>
  <si>
    <t>nicole.sorbara@macquarie.com</t>
  </si>
  <si>
    <t>Chief Operating Officer &amp; Head, Corporate Operations Group</t>
  </si>
  <si>
    <t>299057-41P</t>
  </si>
  <si>
    <t>Nikki Kurland</t>
  </si>
  <si>
    <t>Kurland</t>
  </si>
  <si>
    <t>Ms. Nikki Kurland serves as a Senior Vice President at Macquarie Group. He holds a Bachelor's degree in Economics &amp; Finance from Yeshiva University.</t>
  </si>
  <si>
    <t>nikki.kurland@macquarie.com</t>
  </si>
  <si>
    <t>199347-04P</t>
  </si>
  <si>
    <t>Oliver Bradley</t>
  </si>
  <si>
    <t>Mr. Oliver Bradley serves as Board member at Cloud Extel. He served as a Board Member at Brillband. Mr. Bradley serves as Senior Managing Director at Macquarie Group. Mr. Bradley serves as Board Member and Director Finance at Pentacom Investments. He also serves as a Board Member at Voneus.</t>
  </si>
  <si>
    <t>oliver.bradley@macquarie.com</t>
  </si>
  <si>
    <t>171576-46P</t>
  </si>
  <si>
    <t>Patrick Ottersbach</t>
  </si>
  <si>
    <t>Ottersbach</t>
  </si>
  <si>
    <t>Mr. Patrick Ottersbach serves as a Senior Managing Director &amp; Head of Direct Lending Europe at Macquarie Group. He also serves as Board Member at Adapt Biogas. He served as Board Member at Business Keeper. He holds a BS in Economics from University of Warwick.</t>
  </si>
  <si>
    <t>patrick.ottersbach@macquarie.com</t>
  </si>
  <si>
    <t>Senior Managing Director &amp; Head of Direct Lending Europe</t>
  </si>
  <si>
    <t>337105-54P</t>
  </si>
  <si>
    <t>Patrick Pham</t>
  </si>
  <si>
    <t>Mr. Patrick Pham serves as a Senior Vice President at Macquarie Group.</t>
  </si>
  <si>
    <t>patrick.pham@macquarie.com</t>
  </si>
  <si>
    <t>107198-38P</t>
  </si>
  <si>
    <t>Mr. Peter Davis serves as Managing Director, Head of Financial Technology Banking at Macquarie Group. Previously, he served as a Managing Director at Barclays.</t>
  </si>
  <si>
    <t>peterdavis@macquarie.com</t>
  </si>
  <si>
    <t>Managing Director, Head of Financial Technology Banking</t>
  </si>
  <si>
    <t>256398-49P</t>
  </si>
  <si>
    <t>Peter Gavan</t>
  </si>
  <si>
    <t>Gavan</t>
  </si>
  <si>
    <t>Mr. Peter Gavan serves as Managing Director, Upstream Energy Capital at Macquarie Group. Mr. Gavan serves as a Board Member at Storegga. He served as a Board Member at Pale Blue Dot Energy. He received his MS (Master of Science) in Offshore Engineering from the University of Aberdeen. He received his BA (Bachelor of Arts) in Economics from the University of Wolverhampton.</t>
  </si>
  <si>
    <t>+65 6601 0888</t>
  </si>
  <si>
    <t>peter.gavan@macquarie.com</t>
  </si>
  <si>
    <t>9 Straits View</t>
  </si>
  <si>
    <t>Number 21-07, Marina One West Tower</t>
  </si>
  <si>
    <t>018937</t>
  </si>
  <si>
    <t>Managing Director, Upstream Energy Capital</t>
  </si>
  <si>
    <t>141509-17P</t>
  </si>
  <si>
    <t>Raghu Velamati</t>
  </si>
  <si>
    <t>Raghu</t>
  </si>
  <si>
    <t>Velamati</t>
  </si>
  <si>
    <t>Mr. Raghu Velamati serves as Senior Managing Director of Software &amp; Services at Macquarie Group.</t>
  </si>
  <si>
    <t>raghu.velamati@macquarie.com</t>
  </si>
  <si>
    <t>Senior Managing Director, Software &amp; Services</t>
  </si>
  <si>
    <t>203792-14P</t>
  </si>
  <si>
    <t>Rainer Langel</t>
  </si>
  <si>
    <t>Rainer</t>
  </si>
  <si>
    <t>Langel</t>
  </si>
  <si>
    <t>Mr. Rainer Langel serves as Head of EMEA at Macquarie Group.</t>
  </si>
  <si>
    <t>rainer.langel@macquarie.com</t>
  </si>
  <si>
    <t>Head of EMEA</t>
  </si>
  <si>
    <t>296436-88P</t>
  </si>
  <si>
    <t>Rana Misirlizade</t>
  </si>
  <si>
    <t>Misirlizade</t>
  </si>
  <si>
    <t>Associate Director &amp; Director</t>
  </si>
  <si>
    <t>Mr. Rana Misirlizade serves as Associate Director Private Credit &amp; Director at Macquarie Group.</t>
  </si>
  <si>
    <t>rana.misirlizade@macquarie.com</t>
  </si>
  <si>
    <t>Associate Director Private Credit &amp; Director</t>
  </si>
  <si>
    <t>37143-37P</t>
  </si>
  <si>
    <t>Roy Laidlaw</t>
  </si>
  <si>
    <t>Laidlaw</t>
  </si>
  <si>
    <t>Mr. Roy Laidlaw serves as Executive Director at Macquarie Group. He previously served as Executive Director Head of Asian Equities at Jardine Fleming.</t>
  </si>
  <si>
    <t>roy.laidlaw@macquarie.com</t>
  </si>
  <si>
    <t>47014-03P</t>
  </si>
  <si>
    <t>Ruth Goodstein JD</t>
  </si>
  <si>
    <t>Goodstein</t>
  </si>
  <si>
    <t>Ms. Ruth Goodstein serves as Chief Operating Officer, Macquarie Asset Management Wealth Solutions at Macquarie Group. Ms.Goodstein was a Founding Partner and served as Chief Operating Officer at Central Park Group. She also serves as Chief Operating Officer of Wealth Solutions at Central Park Advisers. She has over 25 years of experience in the financial services industry. Prior to joining Central Park Group, she served as the Chief Operating Officer of Robeco-Sage Capital, an institutional hedge fund-of-funds firm. Prior to Sage, she was a Senior Vice President in the UBS Financial Services Alternative Investment Group overseeing product development, product management, and marketing. Prior to UBS, she was Associate General Counsel at JP Morgan Investment Management, worked in global compliance at Bankers Trust Company, and as an attorney at Oppenheimer &amp; Co., Inc. She began her career at the law firm of Goodkind, Wechsler, Labaton &amp; Rudoff. She graduated from Cornell University and has a J.D. from Brooklyn Law School. She has served on several NASD District 10 Committees and is a regular speaker at industry conferences.</t>
  </si>
  <si>
    <t>rgoodstein@macquarie.com</t>
  </si>
  <si>
    <t>Chief Operating Officer, Macquarie Asset Management Wealth Solutions</t>
  </si>
  <si>
    <t>37174-96P</t>
  </si>
  <si>
    <t>Ryan Williams</t>
  </si>
  <si>
    <t>Mr. Ryan Williams serves as Senior Vice President &amp; Financial Sponsors at Macquarie Group.</t>
  </si>
  <si>
    <t>ryan.williams@macquarie.com</t>
  </si>
  <si>
    <t>Senior Vice President &amp; Financial Sponsors</t>
  </si>
  <si>
    <t>222034-15P</t>
  </si>
  <si>
    <t>Sam Jacobson</t>
  </si>
  <si>
    <t>Mr. Sam Jacobson serves as a Vice President, Venture Capital at Macquarie Group.</t>
  </si>
  <si>
    <t>sam.jacobson@macquarie.com</t>
  </si>
  <si>
    <t>Vice President, Venture Capital</t>
  </si>
  <si>
    <t>191677-06P</t>
  </si>
  <si>
    <t>Sam McNair</t>
  </si>
  <si>
    <t>McNair</t>
  </si>
  <si>
    <t>Mr. Sam McNair serves as Manager at Macquarie Group. He served as Board Member at Aquilon Network.</t>
  </si>
  <si>
    <t>sam.mcnair@macquarie.com</t>
  </si>
  <si>
    <t>155445-67P</t>
  </si>
  <si>
    <t>Shaun Gembala</t>
  </si>
  <si>
    <t>Gembala</t>
  </si>
  <si>
    <t>Mr. Shaun Gembala serves as Senior Managing Director, Credit Markets at Macquarie Group. His responsibilities include providing single credit and portfolio financing solutions for corporate credit assets with a focus on the private debt market as well as monetization options for illiquid credit assets. He joined Macquarie in 2009 as a trader on the Credit Sales and Trading desk, focused on trading leveraged loans, distressed debt, and bankruptcy claims. Prior to Macquarie, he was a Trader at Satellite Asset Management.</t>
  </si>
  <si>
    <t>shaun.gembala@macquarie.com</t>
  </si>
  <si>
    <t>Senior Managing Director, Credit Markets</t>
  </si>
  <si>
    <t>54929-53P</t>
  </si>
  <si>
    <t>Shawn Lytle</t>
  </si>
  <si>
    <t>Lytle</t>
  </si>
  <si>
    <t>Mr. Shawn Lytle serves as President, Delaware Funds by Macquarie, Head of Equities &amp; Multi-Asset for Macquarie Asset Management and Head of Americas - Macquarie Group at Macquarie Group. Mr. Lytle served as President, Chief Executive Officer, and Director at Delaware Investments National Municipal Income Fund. He is responsible for overseeing the business, investment teams, and strategies for clients. He also serves as the President of Delaware Funds by Macquarie® and oversees registered vehicle governance globally across MAM. Before taking on this role in January 2019, he was deputy global head of MIM, responsible for leading America's business. He serves as president of Delaware Funds by Macquarie. In addition, he is head of the Americas for Macquarie Group, which involves chairing the region's Management Committee and also representing the Americas region on Macquarie Group's Management Committee. Before joining Macquarie in June 2015 as president of Delaware Investments, he held several management roles at UBS Asset Management where he worked for 13 years. He was the regional head of the Americas for five years, based in Chicago and New York. Before that, he worked in London in various investment roles within UBS Asset Management's equity group, including deputy global head of equities. Before joining UBS in 2002 as a global equity portfolio manager, he worked for JPMorgan Asset Management for 10 years in a variety of roles in London and New York, including global equity client portfolio manager and US mutual fund sales. He received a bachelor's degree in marketing from The McDonough School of Business at Georgetown University. He is on the board of directors for the National Association of Securities Professionals (NASP) and he is a member of the board of governors for the Investment Company Institute (ICI). He was previously on the board of directors for the Sustainability Accounting Standards Board (SASB) for five years. He also serves as President, Chief Executive Officer, and Elected Manager at Four Corners Capital Management. He holds a Bachelor's degree in Marketing from Georgetown University.</t>
  </si>
  <si>
    <t>shawn.lytle@macquarie.com</t>
  </si>
  <si>
    <t>President, Delaware Funds by Macquarie, Head of Equities &amp; Multi-Asset for Macquarie Asset Management and Head of Americas - Macquarie Group</t>
  </si>
  <si>
    <t>439708-33P</t>
  </si>
  <si>
    <t>Sherri Brudner</t>
  </si>
  <si>
    <t>Brudner</t>
  </si>
  <si>
    <t>Ms. Sherri Brudner serves as a Managing Director, Macquarie's Commodities and Global Markets at Macquarie Group.</t>
  </si>
  <si>
    <t>+1 (713) 275-6100</t>
  </si>
  <si>
    <t>sherri.brudner@macquarie.com</t>
  </si>
  <si>
    <t>One Allen Center, Floors 31-33</t>
  </si>
  <si>
    <t>500 Dallas Street</t>
  </si>
  <si>
    <t>Managing Director, Macquarie's Commodities and Global Markets</t>
  </si>
  <si>
    <t>448764-94P</t>
  </si>
  <si>
    <t>Shyam Kotecha</t>
  </si>
  <si>
    <t>Shyam</t>
  </si>
  <si>
    <t>Mr. Shyam Kotecha serves as Vice President at Macquarie Group. Mr. Kotecha holds Master's Degree from University of Bristol and Bachelor's from University of Warwick.</t>
  </si>
  <si>
    <t>shyam.kotecha@macquarie.com</t>
  </si>
  <si>
    <t>404785-09P</t>
  </si>
  <si>
    <t>Simon Wright</t>
  </si>
  <si>
    <t>Board Member &amp; Head</t>
  </si>
  <si>
    <t>Mr. Simon Wright serves as Head of Commodities and Global Markets and Member of Executive Committee at Macquarie Group. Prior to his role as Group Head, he was the Head of the Fixed Income &amp; Currencies division within Commodities and Global Markets. Since joining Macquarie in 1989, he has held a number of senior roles within Commodities and Global Markets, including Head of Financial Markets, where he led the build and oversight of Macquarie's global financial markets platform, which is comprised of Fixed Incomes and Currencies and Futures, and Head of Australia and New Zealand. He holds a Bachelor of Economics from Sydney University.</t>
  </si>
  <si>
    <t>simon.wright@macquarie.com</t>
  </si>
  <si>
    <t>Head of Commodities and Global Markets and Member of Executive Committee</t>
  </si>
  <si>
    <t>82008-46P</t>
  </si>
  <si>
    <t>Steve Koenig</t>
  </si>
  <si>
    <t>Mr. Steve Koenig serves as a Managing Director &amp; US Head of Technology Research at Macquarie Group. He serves as a Managing Director &amp; Equity Analyst at Wedbush Securities. Previously he has worked at Longbow Research as Equity Analyst. He is also an angel investor.</t>
  </si>
  <si>
    <t>sk@macquarie.com</t>
  </si>
  <si>
    <t>Managing Director &amp; US Head of Technology Research</t>
  </si>
  <si>
    <t>301782-07P</t>
  </si>
  <si>
    <t>Stuart Mumley</t>
  </si>
  <si>
    <t>Mumley</t>
  </si>
  <si>
    <t>Mr. Stuart Mumley serves as a Director of Product Management at Macquarie Group.</t>
  </si>
  <si>
    <t>sm@macquarie.com</t>
  </si>
  <si>
    <t>Director, Product Management</t>
  </si>
  <si>
    <t>29709-55P</t>
  </si>
  <si>
    <t>Tara Teeter JD</t>
  </si>
  <si>
    <t>Teeter</t>
  </si>
  <si>
    <t>Ms. Tara Teeter serves as Senior Counsel at Macquarie Group. She previously served as an Associate in the Global Transactions and Latin American Practice Groups in King &amp; Spalding's Houston office. Ms. Teeter's practice focuses on energy project development, mergers and acquisitions, private equity and a variety of other business transactions within the energy industry. Prior to joining King &amp; Spalding, Ms. Teeter obtained her J.D., cum laude, from University of Houston Law Center in 2006, where she was an Articles Editor on the Houston Law Review. She graduated, cum laude, from Texas A&amp;M University-College Station in 2001, where she received a B.A. in History and a B.S. in Psychology. Ms. Teeter also pursued a M.A. in English Legal History from the University of Houston. Ms. Teeter is a member of the American Bar Association, the Houston Bar Association, Houston Young Lawyers Association, and is admitted to practice in Texas.</t>
  </si>
  <si>
    <t>tara.teeter@macquarie.com</t>
  </si>
  <si>
    <t>Senior Counsel</t>
  </si>
  <si>
    <t>209956-96P</t>
  </si>
  <si>
    <t>Tejas Shekhar</t>
  </si>
  <si>
    <t>Tejas</t>
  </si>
  <si>
    <t>Shekhar</t>
  </si>
  <si>
    <t>Mr. Tejas Shekhar serves as Senior Vice President, Principal Investing at Macquarie Group.</t>
  </si>
  <si>
    <t>+1 (630) 723-7096</t>
  </si>
  <si>
    <t>tejas.shekhar@macquarie.com</t>
  </si>
  <si>
    <t>Senior Vice President, Principal Investing</t>
  </si>
  <si>
    <t>18076-78P</t>
  </si>
  <si>
    <t>Thomas Amster</t>
  </si>
  <si>
    <t>Amster</t>
  </si>
  <si>
    <t>Mr. Thomas Amster serves as Senior Managing Director and Head of US Financial Sponsors at Macquarie Group. He served as a Managing Director &amp; Head of Investment Banking at Morgan Stanley.</t>
  </si>
  <si>
    <t>thomas.amster@macquarie.com</t>
  </si>
  <si>
    <t>Senior Managing Director &amp; Head of US Financial Sponsors</t>
  </si>
  <si>
    <t>177094-63P</t>
  </si>
  <si>
    <t>Thomas Price</t>
  </si>
  <si>
    <t>Mr. Thomas Price serves as a Associate Director of Finance, Commodities and Global Markets at Macquarie Group.</t>
  </si>
  <si>
    <t>thomas@macquarie.com</t>
  </si>
  <si>
    <t>Associate Director of Finance, Commodities and Global Markets</t>
  </si>
  <si>
    <t>203593-60P</t>
  </si>
  <si>
    <t>Timothy Alden</t>
  </si>
  <si>
    <t>Alden</t>
  </si>
  <si>
    <t>Mr. Timothy Alden serves as a Senior Managing Director at Macquarie Group.</t>
  </si>
  <si>
    <t>timothy.alden@macquarie.com</t>
  </si>
  <si>
    <t>196859-53P</t>
  </si>
  <si>
    <t>Timothy Kuhnen</t>
  </si>
  <si>
    <t>Kuhnen</t>
  </si>
  <si>
    <t>Mr. Timothy Kuhnen serves as a Senior Vice President at Macquarie Group. He served as Associate - Fund Liquidity Solutions at Crestline Investors. He holds a Bachelor's in Electrical Engineering from Rice University.</t>
  </si>
  <si>
    <t>timothy.kuhnen@macquarie.com</t>
  </si>
  <si>
    <t>436150-45P</t>
  </si>
  <si>
    <t>Tom Colebatch</t>
  </si>
  <si>
    <t>Colebatch</t>
  </si>
  <si>
    <t>Mr. Tom Colebatch serves as Managing Director at Macquarie Group.</t>
  </si>
  <si>
    <t>tom.colebatch@macquarie.com</t>
  </si>
  <si>
    <t>354363-49P</t>
  </si>
  <si>
    <t>Varshini Kumar</t>
  </si>
  <si>
    <t>Varshini</t>
  </si>
  <si>
    <t>Ms. Varshini Kumar serves as a Credit Analyst at Macquarie Group.</t>
  </si>
  <si>
    <t>varshini.kumar@macquarie.com</t>
  </si>
  <si>
    <t>Credit Analyst</t>
  </si>
  <si>
    <t>262322-02P</t>
  </si>
  <si>
    <t>Varun Chhabra</t>
  </si>
  <si>
    <t>Mr. Varun Chhabra serves as Associate Director at Macquarie Group. He served as Board Observer at Console. He served as Board Member at Plutora.</t>
  </si>
  <si>
    <t>varun.chhabra@macquarie.com</t>
  </si>
  <si>
    <t>224421-13P</t>
  </si>
  <si>
    <t>Venkat Kausik</t>
  </si>
  <si>
    <t>Kausik</t>
  </si>
  <si>
    <t>Mr. Venkat Kausik serves as Senior Vice President at Macquarie Group.</t>
  </si>
  <si>
    <t>venkat.kausik@macquarie.com</t>
  </si>
  <si>
    <t>376080-76P</t>
  </si>
  <si>
    <t>Vivek Bommi</t>
  </si>
  <si>
    <t>Bommi</t>
  </si>
  <si>
    <t>Mr. Vivek Bommi serves as Head, Leveraged Credit at Macquarie Group.</t>
  </si>
  <si>
    <t>vivek.bommi@macquarie.com</t>
  </si>
  <si>
    <t>Head, Leveraged Credit</t>
  </si>
  <si>
    <t>42745-87P</t>
  </si>
  <si>
    <t>Wandy Hoh</t>
  </si>
  <si>
    <t>Wandy</t>
  </si>
  <si>
    <t>Hoh</t>
  </si>
  <si>
    <t>Ms. Wandy Hoh serves as Managing Director &amp; Head of Infrastructure Secondaries at Macquarie Group. Ms. Hoh serves as Managing Director at Macquarie Group. She co-founded and served as Chief Executive Officer at MeeGenius. She also serves as Head of Infrastructure Secondaries at Macquarie Asset Management. She has a distinguished business background, with 15 years as an executive with some of the world issues First Boston. She holds a BA cum laude in Business Economics from UCLA and an MBA from Columbia Business School.</t>
  </si>
  <si>
    <t>wandy.hoh@macquarie.com</t>
  </si>
  <si>
    <t>Managing Director &amp; Head of Infrastructure Secondaries</t>
  </si>
  <si>
    <t>36091-81P</t>
  </si>
  <si>
    <t>William Demas</t>
  </si>
  <si>
    <t>Demas</t>
  </si>
  <si>
    <t>Mr. William Demas serves as Senior Managing Director and Head of Americas, Green Investment Group at Macquarie Group. He served as Managing Director at Stonepeak Infrastructure Partners. Before joining Stonepeak, he was an Associate Partner at Copenhagen Infrastructure Partners, where he headed its North American investment activities. Before CIP, he worked at Macquarie Capital, where he led its North American renewable energy principal investment and advisory activities. He has over 15 years of experience in the renewable energy infrastructure and clean technology sectors, having worked at Ewing Bemiss &amp; Co., Good Energies, and Lazard. He holds a Bachelor of Arts in Economics from Harvard University. He serves as Board Member at Atlas Agro.</t>
  </si>
  <si>
    <t>william.demas@macquarie.com</t>
  </si>
  <si>
    <t>Senior Managing Director &amp; Head of Americas, Green Investment Group</t>
  </si>
  <si>
    <t>52043-32P</t>
  </si>
  <si>
    <t>William Eckmann</t>
  </si>
  <si>
    <t>Eckmann</t>
  </si>
  <si>
    <t>Mr. William Eckmann serves as Senior Managing Director &amp; Head of Principal Finance and Private Credit at Macquarie Group. He served as Principal at Solar Capital. Mr. Eckmann also served as the Chairman of the Board of Directors at DS Waters of America.</t>
  </si>
  <si>
    <t>bill.eckmann@macquarie.com</t>
  </si>
  <si>
    <t>Senior Managing Director &amp; Head of Principal Finance and Private Credit</t>
  </si>
  <si>
    <t>315214-12P</t>
  </si>
  <si>
    <t>William Rekemeyer</t>
  </si>
  <si>
    <t>Rekemeyer</t>
  </si>
  <si>
    <t>Mr. William Rekemeyer serves as a Vice President, Investment Banking at Macquarie Group.</t>
  </si>
  <si>
    <t>+1 (515) 291-9882</t>
  </si>
  <si>
    <t>william.rekemeyer@macquarie.com</t>
  </si>
  <si>
    <t>Vice President, Investment Banking</t>
  </si>
  <si>
    <t>387715-15P</t>
  </si>
  <si>
    <t>Zachary Levin</t>
  </si>
  <si>
    <t>Mr. Zachary Levin serves as Senior Vice President at Macquarie Group.</t>
  </si>
  <si>
    <t>zach.levin@macquarie.com</t>
  </si>
  <si>
    <t>306694-27P</t>
  </si>
  <si>
    <t>Brahm Rhodes Ph.D</t>
  </si>
  <si>
    <t>Brahm</t>
  </si>
  <si>
    <t>Malaika Ventures</t>
  </si>
  <si>
    <t>Dr. Brahm Rhodes is the Founder and serves as a General Partner at Malaika Ventures. He is a Co-Founder and serves as a General Partner at Fictive Ventures. He holds a BS in electrical engineering, an MS in aerospace engineering, and a Ph.D. in mechanical engineering from Boston University. Partner. He is a co-founder and General Partner at Malaika Ventures, an early-stage climate tech fund investing through a climate justice lens. He is a multi-disciplinary engineer with deep experience across technologies and industries, from health tech to fintech to AI to climate tech. His expertise spans founding venture-backed companies, early-stage investing, advising and launching accelerators, and mentoring startups and accelerators (e.g., Village Capital, Techstars, and Greentown Labs ACCEL), which provides a unique perspective on startup growth and success. He is a venture partner with NextGen Venture Partners. As a member of the Capital Committee for Browning the Green Space, he helped define and deliver VC Onramp, a training program for diverse investors in climate tech. He is an advisor to Browning the Green Space's Barrier Removal Fund, a source of integrated capital helping ensure a just transition.</t>
  </si>
  <si>
    <t>+1 (917) 740-5399</t>
  </si>
  <si>
    <t>br@malaikaventures.com</t>
  </si>
  <si>
    <t>404359-21P</t>
  </si>
  <si>
    <t>Ms Chante Harris serves as Venture Partner at Malaika Ventures.</t>
  </si>
  <si>
    <t>+1 (917) 254-8639</t>
  </si>
  <si>
    <t>251517-34P</t>
  </si>
  <si>
    <t>Danielle Harris</t>
  </si>
  <si>
    <t>Ms. Danielle Harris serves as Managing Director, Engagement &amp; Innovation at Elemental Impact. She serves as Board Observer at Dollaride. She served as an Advisor at Chewbox. She is a passionate advocate for environmental and racial justice. As Managing Director of Engagement &amp; Innovation, she oversees Elemental's new "Inspire Action" pillar of our 5-Year Strategy because she is committed to invigorating the hearts and minds of the many to reach our social justice and climate action goals. She is a natural at finding our audiences, her authenticity, vulnerability and humor captivates people's hearts and minds and inspires accountability for the change we want to see. Previously she led Elemental's mobility strategy and portfolio as Director of Mobility Innovation, working directly with Elemental Excelerator's mobility portfolio companies, partners, and cities to catalyze collaboration within the transportation industry. As a thought leader in new mobility, she provides a systems approach to help both startups and companies strategize and thrive within the ever-evolving transportation revolution. She sees mobility as a vital tool to resolve the challenges of today and unlock the potential of tomorrow. Prior to joining Elemental, she was the Innovation Strategist for San Francisco Municipal Transportation Agency's (SFMTA) Office of Innovation. She integrated her background in land use and transportation planning to create dynamic teams with both city departments and tech companies. She married government and tech to implement pilots that successfully improved roadway safety, reduced greenhouse gas emissions, and addressed environmental inequities.</t>
  </si>
  <si>
    <t>+1 (808) 237-5050</t>
  </si>
  <si>
    <t>danielle@elementalexcelerator.com</t>
  </si>
  <si>
    <t>Ali'i Place, 1099 Alakea Street</t>
  </si>
  <si>
    <t>Suite 1250</t>
  </si>
  <si>
    <t>96813</t>
  </si>
  <si>
    <t>Managing Director, Engagement &amp; Innovation</t>
  </si>
  <si>
    <t>Elemental Impact</t>
  </si>
  <si>
    <t>100731-88P</t>
  </si>
  <si>
    <t>Juliana Garaizar</t>
  </si>
  <si>
    <t>Garaizar</t>
  </si>
  <si>
    <t>Ms. Juliana Garaizar is a Co-Founder &amp; serves as General Partner at Malaika Ventures. Ms. Garaizar served as Chief Development &amp; Investment Officer at Greentown Labs. She serves as Venture Partner at Climate Global Ventures. She also serves as Board Member at MoonFlower Farms. Previously, she was VP of Innovation and Head of the Houston Incubator for Greentown Labs. Before this, she served as Investment Committee Member at TMC Innovation. She serves as Managing Director &amp; Chief Executive Officer at Houston Angel Network. She is an active Member of Portfolio. Previously, she worked for five years in Singapore: first as an International Trade Consultant for the Trade Commission of Spain in a broad range of industry sectors and then as a Project Manager for the Asia Technology Office of Citigroup, leading projects at the international level. She obtained an MBA at the London Business School, specializing in Entrepreneurship. She is President of one of Sophia Business Angels' sidecar funds, SBA ISF Holding, an Expert Committee Member of Succes Europe (EBAN's Best European Early Stage Fund 2010), a member of the UT Horizons Fund External Advisory Committee as well as an International Founding Member of Istanbul's Galata Business Angels.</t>
  </si>
  <si>
    <t>+1 (832) 294-9636</t>
  </si>
  <si>
    <t>juliana@malaikaventures.com</t>
  </si>
  <si>
    <t>52953-13P</t>
  </si>
  <si>
    <t>Julianne Zimmerman</t>
  </si>
  <si>
    <t>Ms. Julianne Zimmerman serves as General Partner at Malaika Ventures .She serves as Advisor at Canela Media. She served as Managing Director at Reinventure Capital. She is an Angel Investor. She has been putting technology to work for the greater good in the US and abroad. Along the way she has contributed to a variety of roles: Co-Founder of a seed-stage investment firm; VP of Communications at a utility-scale energy storage company; Co-founder and Director of Business Development of a biofuel company; VP of Engineering at a water purification company; and trusted mentor, board member, advisor, or consultant to many more. She invests heavily in cultivating community, including as a mentor with the MIT Venture Mentoring Service and life deacon in her church; she recently concluded a three-year term as Co-chair of the MIT Enterprise Forum Innovation Series. As an author and speaker for domestic and global audiences, she has contributed to GreenMoney, GreenBiz, Sloan EMBA, GIST Global Entrepreneurship Bootcamp, All-Russia Innovation Convention, and the MIT Nuts &amp; Bolts Course, among others; she also frequently serves as a judge for technology and entrepreneurship competitions, and as a Connectix for innovators around the world. She earned two undergraduate degrees from MIT (Aero/Astro Engineering and Literature / Humanities), an MS from the University of Maryland, and an executive certificate in sustainability management from the Presidio Graduate School; she previously volunteered as a certified Emergency Medical Technician in Maryland (PGFD 1) and Massachusetts (Boston Marathon finish line medical services); she served as a research diver at the University of Maryland Space Systems Laboratory. She was twice a finalist in the NASA astronaut selection process.</t>
  </si>
  <si>
    <t>jz@malaikaventures.com</t>
  </si>
  <si>
    <t>287831-80P</t>
  </si>
  <si>
    <t>Kerry Bowie</t>
  </si>
  <si>
    <t>Bowie</t>
  </si>
  <si>
    <t>Mr. Kerry Bowie is a Co-Founder &amp; serves as General Partner at Malaika Ventures. He is a Co-Founder and serves as the President &amp; Executive Director at Browning the Green Space. He serves as Managing Partner at Msaada Partners. He holds bachelor's and master's degrees in environmental engineering from the Massachusetts Institute of Technology (MIT) and the University of Michigan, respectively, and an MBA from the MIT Sloan School of Management.</t>
  </si>
  <si>
    <t>kerry@malaikaventures.com</t>
  </si>
  <si>
    <t>50 Milk Street, 15th Floor</t>
  </si>
  <si>
    <t>Co-Founder, President &amp; Executive Director</t>
  </si>
  <si>
    <t>The Majira Project</t>
  </si>
  <si>
    <t>62101-90P</t>
  </si>
  <si>
    <t>Jack Brody</t>
  </si>
  <si>
    <t>Mana Ventures</t>
  </si>
  <si>
    <t>Mr. Jack Brody is a Co-Founder and serves as General Partner &amp; Advisor at Mana Ventures. Mr. Brody serves as a Product Designer at Snapchat. He co-founded NineSixFive. He serves as Advisor at Abstract. He is also an Angel Investor. He completed his BS (Bachelor of Science) in Product Design from Stanford University and ME (Master of Engineering) in Mechanical Engineering from Stanford University.</t>
  </si>
  <si>
    <t>jack@manaventures.vc</t>
  </si>
  <si>
    <t>Co-Founder, General Partner &amp; Advisor</t>
  </si>
  <si>
    <t>409113-82P</t>
  </si>
  <si>
    <t>Jared Van Ryne</t>
  </si>
  <si>
    <t>Van Ryne</t>
  </si>
  <si>
    <t>Mr. Jared Van Ryne serves as Associate at Mana Ventures.</t>
  </si>
  <si>
    <t>jared@manaventures.vc</t>
  </si>
  <si>
    <t>85687-75P</t>
  </si>
  <si>
    <t>Morgan Schwanke</t>
  </si>
  <si>
    <t>Schwanke</t>
  </si>
  <si>
    <t>Mr. Morgan Schwanke is a Co-Founder &amp; serves as General Partner at Mana Ventures. Mr. Schwanke is a Co-Founder and serves as Chief Executive Officer at OnMyBlock. He previously served as the Financial Analyst at Xpert Financial.</t>
  </si>
  <si>
    <t>morgan@manaventures.vc</t>
  </si>
  <si>
    <t>388190-44P</t>
  </si>
  <si>
    <t>Brandon Bruce</t>
  </si>
  <si>
    <t>Market Square Ventures</t>
  </si>
  <si>
    <t>Mr. Brandon Bruce is a Co-Founder and serves as a General Partner at Market Square Ventures.</t>
  </si>
  <si>
    <t>+1 (865) 789-0127</t>
  </si>
  <si>
    <t>brandon@marketsquareventures.com</t>
  </si>
  <si>
    <t>Knoxville</t>
  </si>
  <si>
    <t>Knoxville, TN</t>
  </si>
  <si>
    <t>121 East Jackson Avenue</t>
  </si>
  <si>
    <t>37915</t>
  </si>
  <si>
    <t>326999-53P</t>
  </si>
  <si>
    <t>Harry Boston Ph.D</t>
  </si>
  <si>
    <t>Dr. Harry Boston is the Founder and served as President at Boston Government Services. He is a Co-Founder and serves as a General Partner at Market Square Ventures. He is an award-winning, minority-owned engineering, technology, and security firm advancing missions of national importance for government programs, national laboratories, national security facilities, and nuclear operations. He has over 30 years of experience leading large and complex engineering and environmental programs, both as a senior executive with the U.S. Department of Energy (DOE) and as an executive with several major government contractors. He began his career as a research scientist at the University of Wisconsin and the Oak Ridge National Laboratory. He spent 15 years managing engineering and environmental projects before joining DOE as a member of the Senior Executive Service. He holds a Ph.D. (Doctor of Philosophy) Degree.</t>
  </si>
  <si>
    <t>+1 (866) 730-7353</t>
  </si>
  <si>
    <t>hboston@bgs-llc.com</t>
  </si>
  <si>
    <t>Oak Ridge</t>
  </si>
  <si>
    <t>Oak Ridge, TN</t>
  </si>
  <si>
    <t>105 Mitchell Road</t>
  </si>
  <si>
    <t>37830</t>
  </si>
  <si>
    <t>Boston Government Services</t>
  </si>
  <si>
    <t>298023-58P</t>
  </si>
  <si>
    <t>John Bruck</t>
  </si>
  <si>
    <t>Bruck</t>
  </si>
  <si>
    <t>Mr. John Bruck is a Co-Founder and serves as General Partner at Market Square Ventures. He serves as a Board Member at ConveyMED. He serves as a Board Member and Advisor at Shift Thermal. He served as an Investor Member at Queen City Angels. He serves as a Board Member at ConveyMD. He served as Director at University of Tennessee Research Park at Cherokee Farm.</t>
  </si>
  <si>
    <t>john@marketsquareventures.com</t>
  </si>
  <si>
    <t>94633-03P</t>
  </si>
  <si>
    <t>Mr. Martin Brown is a Co-Founder &amp; serves as a General Partner at Market Square Ventures. He serves as President &amp; Chief Executive Officer at Pershing Yoakley &amp; Associates. Since joining the Firm in 1991, he has approached clients' needs with mindfulness and purposefulness based on defining values-relationships, excellence, character, and impact- and a culture of HELP. During his tenure, Marty has helped catapult the firm to national recognition that includes INSIDE Public Accounting's Top 100 Firm, Modern Healthcare's Top 15 Healthcare Consulting Firm, and INSIDE Public Accounting's Third Highest Percentage of Female Ownership Among Top 100 Firms. PYA also was featured in Accounting Today's "Inside the Top 100-In-Depth Looks at Four of the Most Successful Firms in the Country." Marty's leadership experience spans more than three decades, many industries, and organizations that include start-ups to Fortune 100 companies. Marty served as PYA's Managing Principal of Consulting Services from 2006 to 2019. His deep and broad insight into healthcare, valuation, financial analysis and oversight, and strategic planning is the basis for his ability to define, seize, and best leverage market opportunities for PYA's client partners. Before joining PYA, Marty served as a senior manager at KPMG. With strong business acumen and a continued spirit of entrepreneurship, Marty has played an important role in the planning and startup of PYA's successful affiliated companies, within which he has continued to serve on several executive committees. He also is a champion for excellence, hiring and promoting professionals of the highest character. And, he directs a posture of thought leadership, extending the Firm's knowledge base to help clients and future clients. Marty is a certified public accountant whose professional involvement extends to national organizations such as the American Health Law Association and the American Institute of Certified Public Accountants, as well as many state and local organizations. He holds a BS (Bachelor of Science) in Business Administration and Accounting from the University of Tennessee, Knoxville.</t>
  </si>
  <si>
    <t>+1 (865) 673-0844</t>
  </si>
  <si>
    <t>marty@marketsquareventures.com</t>
  </si>
  <si>
    <t>424071-91P</t>
  </si>
  <si>
    <t>Rosa Mar</t>
  </si>
  <si>
    <t>Rosa</t>
  </si>
  <si>
    <t>Mar</t>
  </si>
  <si>
    <t>Ms. Rosa Mar is a Co-Founder &amp; serves as a General Partner at Market Square Ventures. She was a former executive management at Levi Strauss &amp; Co.</t>
  </si>
  <si>
    <t>rosa@marketsquareventures.com</t>
  </si>
  <si>
    <t>451054-72P</t>
  </si>
  <si>
    <t>MaRS Discovery District</t>
  </si>
  <si>
    <t>Ms. Alison Nankivell serves as Chief Executive Officer at MaRS Discovery District.</t>
  </si>
  <si>
    <t>+1 (416) 673-8100</t>
  </si>
  <si>
    <t>MaRS Centre, South Tower, 101 College Street</t>
  </si>
  <si>
    <t>M5G 1L7</t>
  </si>
  <si>
    <t>57005-92P</t>
  </si>
  <si>
    <t>Calvin Stiller MD</t>
  </si>
  <si>
    <t>Stiller</t>
  </si>
  <si>
    <t>Director Emeritus</t>
  </si>
  <si>
    <t>Dr. Calvin Stiller served as Director Emeritus at MaRS Discovery District. He is a lifelong innovator whose work encompasses science, business, and public service. As a scientist, Dr. Stiller was the principal investigator on the Canadian multi-center study that established the effectiveness of Cyclosporin in transplantation, which led to its worldwide use as first-line therapy for transplant rejection. He was the first to demonstrate that Type I Diabetes could be altered by an immunosuppressive agent confirming that it was an autoimmune disease. He has published over 250 scientific and medical papers, co-edited five books, and is the author of Lifegifts, a book about organ transplantation. In 1985, Dr. Stiller established the Multi-Organ Transplant Service in London, arguably one of the first in the world, and served as its chief for over a decade. He has been president of the Canadian Society of Nephrology and co-founded the MaRS center, the Ontario Genomics Institute, the Ontario Institute for Cancer Research, which he currently chairs, the J. Allyn Taylor International Prize in Medicine, and the Canadian Medical Hall of Fame. Dr. Stiller is also an entrepreneur and businessperson. He founded two firms that eventually employed 4,000 people in healthcare and technology services, which were later sold and taken public. He established four venture capital funds to invest in innovation, including the largest life sciences fund in Canada. Dr. Stiller received his medical degree from the University of Saskatchewan in 1965 and his fellowship in the Royal College of Physicians and Surgeons of Canada (FRCPC) in 1972, following seven years of post-graduate studies in Edmonton and London, Ontario. He is a member of the Order of Ontario and an officer of the Order of Canada. He is the recipient of four honorary degrees and numerous others, including the Medec Award and the Canada Gairdner Wightman Award.</t>
  </si>
  <si>
    <t>435657-70P</t>
  </si>
  <si>
    <t>Elana Granieri</t>
  </si>
  <si>
    <t>Elana</t>
  </si>
  <si>
    <t>Granieri</t>
  </si>
  <si>
    <t>Ms. Elana Granieri serves as Senior Director Finance at MaRS Discovery District.</t>
  </si>
  <si>
    <t>+1 (647) 225-1223</t>
  </si>
  <si>
    <t>egranieri@marsdd.com</t>
  </si>
  <si>
    <t>Senior Director Finance</t>
  </si>
  <si>
    <t>432967-51P</t>
  </si>
  <si>
    <t>Grace Lee Reynolds</t>
  </si>
  <si>
    <t>Lee Reynolds</t>
  </si>
  <si>
    <t>Ms. Grace Lee Reynolds serves as Chief Executive Officer at MaRS Discovery District. She has been a key leader at MaRS for more than a decade, previously serving as CFO of MaRS Discovery District and president of MaRS Discovery Enterprises. She played a pivotal role in transforming MaRS into a globally recognized innovation hub, helping develop and scale the 1.5-million-square-foot MaRS Centre, driving its social purpose business model and advancing early-stage investment funds and innovation programming. Most recently, as head of development and programming, she oversaw the strategies and activities essential to MaRS' mission reach, growth and financial sustainability. Beyond MaRS, she served as CEO of Toronto Artscape, a social enterprise operating unique spaces and programs for creatives across Toronto. Prior to that, she spent 15 years in finance leadership roles at major Canadian academic hospitals, including SickKids Foundation and University Health Network, where she worked across clinical operations, corporate services and fundraising. She began her career in the entrepreneurship services group at Ernst &amp; Young.</t>
  </si>
  <si>
    <t>glee-reynolds@marsdd.com</t>
  </si>
  <si>
    <t>448297-03P</t>
  </si>
  <si>
    <t>Hadeer Abdelhamid</t>
  </si>
  <si>
    <t>Hadeer</t>
  </si>
  <si>
    <t>Abdelhamid</t>
  </si>
  <si>
    <t>Mr. Hadeer Abdelhamid serves as Manager at MaRS Discovery District.</t>
  </si>
  <si>
    <t>57012-22P</t>
  </si>
  <si>
    <t>Kim Josephs</t>
  </si>
  <si>
    <t>Josephs</t>
  </si>
  <si>
    <t>Ms. Kim Josephs serves as Senior Manager, Property Services at MaRS Discovery District. She completed her degree in English from South East London Technical College.</t>
  </si>
  <si>
    <t>+1 (416) 673-8167</t>
  </si>
  <si>
    <t>kjosephs@marsdd.com</t>
  </si>
  <si>
    <t>+1 (416) 673-8181</t>
  </si>
  <si>
    <t>Senior Manager, Property Services</t>
  </si>
  <si>
    <t>297483-31P</t>
  </si>
  <si>
    <t>Leah Perry</t>
  </si>
  <si>
    <t>Leah</t>
  </si>
  <si>
    <t>Ms. Leah Perry serves as Senior Manager, Cleantech at MaRS Discovery District.</t>
  </si>
  <si>
    <t>lperry@marsdd.com</t>
  </si>
  <si>
    <t>Senior Manager, Cleantech</t>
  </si>
  <si>
    <t>42136-12P</t>
  </si>
  <si>
    <t>Nina Gazzola</t>
  </si>
  <si>
    <t>Gazzola</t>
  </si>
  <si>
    <t>Ms. Nina Gazzola serves as Senior Vice President, Innovation Hubs at MaRS Discovery District. She is responsible for MaRS Centre operations, with a special focus on tenant satisfaction. She also oversees leasing and serves as the Corporate Secretary to the Board of Directors. Previously, she worked on special projects for the Deputy Minister of the Ontario Ministry of Energy, Science and Technology and for the Dean of Students at Wilfrid Laurier University. She holds a BA in Political Science and Administration from Wilfrid Laurier University in Waterloo, Ontario, and is a member of the Building Owners and Managers Association.</t>
  </si>
  <si>
    <t>+1 (416) 673-8112</t>
  </si>
  <si>
    <t>ngazzola@marsdd.com</t>
  </si>
  <si>
    <t>Senior Vice President, Innovation Hubs</t>
  </si>
  <si>
    <t>309459-07P</t>
  </si>
  <si>
    <t>Pui Ng</t>
  </si>
  <si>
    <t>Pui</t>
  </si>
  <si>
    <t>Mr. Pui Ng serves as Senior Manager, Market Intelligence at MaRS Discovery District.</t>
  </si>
  <si>
    <t>pyng@marsdd.com</t>
  </si>
  <si>
    <t>Senior Manager, Market Intelligence</t>
  </si>
  <si>
    <t>57017-71P</t>
  </si>
  <si>
    <t>Richard Bozzato Ph.D</t>
  </si>
  <si>
    <t>Bozzato</t>
  </si>
  <si>
    <t>Mr. Richard Bozzato serves as Senior Advisor, Health at MaRS Discovery District. He has experience as a pharmaceutical industry executive, having led the development of innovative drugs, biologics, medical devices and combination products in several therapeutic areas, including metabolic diseases, regenerative medicine, bone repair and orthopaedics, haematology and nicotine addiction. Throughout his career, he has been responsible for overseeing all aspects of the product development process, from basic research, preclinical safety and toxicology, and clinical research to chemistry, manufacturing and regulatory submissions in the United States, Canada and Europe. He has extensive experience in the management of intellectual property, having successfully defended against and challenged competitors' claims.</t>
  </si>
  <si>
    <t>rbozzato@marsdd.com</t>
  </si>
  <si>
    <t>Senior Advisor, Health</t>
  </si>
  <si>
    <t>229081-87P</t>
  </si>
  <si>
    <t>Tyler Hamilton</t>
  </si>
  <si>
    <t>Mr. Tyler Hamilton serves as Senior Director, Climate at MaRS Discovery District. Previous to joining MaRS, he spent two decades as a journalist and wrote extensively about Canada's clean technology sector and global cleantech trends. Most recently he was editor-in-chief of business and sustainability magazine Corporate Knights. He also spent 13 years at the Toronto Star, where he reported on Canada's energy sector and wrote a popular weekly column on clean energy technologies and trends. In 2011, he authored Mad Like Tesla, a book that examines the various barriers to clean energy innovation and surveys the landscape of some potentially world-changing clean technologies.</t>
  </si>
  <si>
    <t>thamilton@marsdd.com</t>
  </si>
  <si>
    <t>Senior Director, Climate</t>
  </si>
  <si>
    <t>282741-94P</t>
  </si>
  <si>
    <t>Akira Terakawa</t>
  </si>
  <si>
    <t>Terakawa</t>
  </si>
  <si>
    <t>Marubeni</t>
  </si>
  <si>
    <t>Mr. Akira Terakawa serves as Director, Member of the Board &amp; Senior Corporate Advisor at Marubeni. He was appointed as the Director and Senior Executive Vice President in 2021. Previously, he served as Executive Officer and Managing Executive Officer, and Senior Managing Executive Officer at Marubeni. He also serves as a Board member at United Super Markets Holdings.</t>
  </si>
  <si>
    <t>+44 (0)20 7826 8600</t>
  </si>
  <si>
    <t>terakawa-a@marubeni.com</t>
  </si>
  <si>
    <t>95 Gresham Street</t>
  </si>
  <si>
    <t>EC2V 7AB</t>
  </si>
  <si>
    <t>+44 (0)20 7826 8611</t>
  </si>
  <si>
    <t>Director, Member of the Board &amp; Senior Corporate Advisor</t>
  </si>
  <si>
    <t>440725-87P</t>
  </si>
  <si>
    <t>Akiyuki Omoto</t>
  </si>
  <si>
    <t>Akiyuki</t>
  </si>
  <si>
    <t>Omoto</t>
  </si>
  <si>
    <t>Mr. Akiyuki Omoto serves as Chief Executive Officer at Marubeni.</t>
  </si>
  <si>
    <t>+81 (0)33 282 2111</t>
  </si>
  <si>
    <t>4-2, Ohtemachi 1-chome</t>
  </si>
  <si>
    <t>100-8088</t>
  </si>
  <si>
    <t>+81 (0)33 282 4241</t>
  </si>
  <si>
    <t>448763-23P</t>
  </si>
  <si>
    <t>Daiki Tanaka</t>
  </si>
  <si>
    <t>Daiki</t>
  </si>
  <si>
    <t>Associate &amp; Project Manager</t>
  </si>
  <si>
    <t>Mr. Daiki Tanaka serves as Associate &amp; Project Manager at Marubeni.</t>
  </si>
  <si>
    <t>tanaka-daiki@marubeni.com</t>
  </si>
  <si>
    <t>259165-00P</t>
  </si>
  <si>
    <t>Hernan Figueroa Ph.D</t>
  </si>
  <si>
    <t>Figueroa</t>
  </si>
  <si>
    <t>Dr. Hernan Figueroa serves as Senior Manager, Data Science at Marubeni.</t>
  </si>
  <si>
    <t>figueroa-h@marubeni.com</t>
  </si>
  <si>
    <t>Senior Manager, Data Science</t>
  </si>
  <si>
    <t>395331-13P</t>
  </si>
  <si>
    <t>Hiroki Saito</t>
  </si>
  <si>
    <t>Saito</t>
  </si>
  <si>
    <t>Mr. Hiroki Saito serves as Private Equity Sec., Manager, Business Investment at Marubeni.</t>
  </si>
  <si>
    <t>saito-h@marubeni.com</t>
  </si>
  <si>
    <t>Private Equity Sec., Manager, Business Investment</t>
  </si>
  <si>
    <t>389285-47P</t>
  </si>
  <si>
    <t>James O'Neill</t>
  </si>
  <si>
    <t>Mr. James O'Neill serves as Senior Director at Marubeni.</t>
  </si>
  <si>
    <t>oneill-j@marubeni.com</t>
  </si>
  <si>
    <t>386884-81P</t>
  </si>
  <si>
    <t>Juan Cunill</t>
  </si>
  <si>
    <t>Cunill</t>
  </si>
  <si>
    <t>Mr. Juan Cunill serves as Head of Business Development and Mergers &amp; Acquisitions at Marubeni. He served as Commercial Manager Hino Chile at Inchcape. He served as Director of Dealer Network Development &amp; Customer Quality at Nissan. He served as Manager of International Sales Finance and Financial Analyst at Mack Trucks. He holds a Bachelor of Science in Financial Management from the Catholic University of America and a Master Master of Business Administration in Business Administration and Management from Universidad Pontificia Comillas.</t>
  </si>
  <si>
    <t>Head of Business Development and Mergers &amp; Acquisitions</t>
  </si>
  <si>
    <t>448763-41P</t>
  </si>
  <si>
    <t>Julia Yan</t>
  </si>
  <si>
    <t>Ms. Julia Yan serves as Manager at Marubeni.</t>
  </si>
  <si>
    <t>453090-25P</t>
  </si>
  <si>
    <t>Kazuaki Shibuya</t>
  </si>
  <si>
    <t>Shibuya</t>
  </si>
  <si>
    <t>Mr. Kazuaki Shibuya serves as General Manager at General Manager of Marubeni Power &amp; Infrastructure Department.</t>
  </si>
  <si>
    <t>General Manager of Marubeni Power &amp; Infrastructure Department</t>
  </si>
  <si>
    <t>219791-80P</t>
  </si>
  <si>
    <t>Kazuhiro Kondo</t>
  </si>
  <si>
    <t>Kazuhiro</t>
  </si>
  <si>
    <t>Mr. Kazuhiro Kondo serves as Chief Operating Officer of the Construction, Industrial Machinery and Mobility Division at Marubeni.</t>
  </si>
  <si>
    <t>kondo-k@marubeni.com</t>
  </si>
  <si>
    <t>Chief Operating Officer, Construction, Industrial Machinery &amp; Mobility Division</t>
  </si>
  <si>
    <t>395493-85P</t>
  </si>
  <si>
    <t>Kei Usami</t>
  </si>
  <si>
    <t>Usami</t>
  </si>
  <si>
    <t>Mr. Kei Usami serves as Manager, Business Investment at Marubeni.</t>
  </si>
  <si>
    <t>usami-k@marubeni.com</t>
  </si>
  <si>
    <t>Manager, Business Investment</t>
  </si>
  <si>
    <t>152672-05P</t>
  </si>
  <si>
    <t>Kenji Natori</t>
  </si>
  <si>
    <t>Natori</t>
  </si>
  <si>
    <t>Chief Technology Officer &amp; General Manager</t>
  </si>
  <si>
    <t>Mr. Kenji Natori serves as Chief Technology Officer &amp; General Manager of Marubeni's New Technology &amp; Renewable Energy Department at Marubeni.</t>
  </si>
  <si>
    <t>k-n@marubeni.com</t>
  </si>
  <si>
    <t>Chief Technology Officer &amp; General Manager of Marubeni's New Technology &amp; Renewable Energy Department</t>
  </si>
  <si>
    <t>91103-77P</t>
  </si>
  <si>
    <t>Kentaro Kuroiwa</t>
  </si>
  <si>
    <t>Kuroiwa</t>
  </si>
  <si>
    <t>Senior Director &amp; Vice President</t>
  </si>
  <si>
    <t>Mr. Kentaro Kuroiwa serves as Senior Director &amp; Department Manager, PE Department M&amp;A Department Investment Business Unit at Marubeni.</t>
  </si>
  <si>
    <t>kuroiwa-k@marubeni.com</t>
  </si>
  <si>
    <t>Senior Director &amp; Department Manager, PE Department M&amp;A Department Investment Business Unit</t>
  </si>
  <si>
    <t>101109-52P</t>
  </si>
  <si>
    <t>Kimihiro Ushimaru</t>
  </si>
  <si>
    <t>Kimihiro</t>
  </si>
  <si>
    <t>Ushimaru</t>
  </si>
  <si>
    <t>Ms. Kimihiro Ushimaru serves as General Manager, Marubeni Corporation Karachi at Marubeni. He holds a Degree from the Tokyo University of Foreign Studies.</t>
  </si>
  <si>
    <t>ushimaru-k@marubeni.com</t>
  </si>
  <si>
    <t>General Manager, Marubeni Corporation Karachi</t>
  </si>
  <si>
    <t>291411-64P</t>
  </si>
  <si>
    <t>Kosuke Takechi</t>
  </si>
  <si>
    <t>Kosuke</t>
  </si>
  <si>
    <t>Takechi</t>
  </si>
  <si>
    <t>Mr. Kosuke Takechi serves as Regional Chief Executive Office for the Americas, Regional Chief Operating Officer for North &amp; Central America, President and Chief Executive Officer of Marubeni America Corporation at Marubeni. Mr. Takechi served as Chief Operating Officer and Head of the Aerospace and Ship Division at Marubeni. He served as Investment Advisory Committee Member at Dee4 Capital. He has worked with Marubeni for since 1988. He served as Executive Vice President of the Japanese Ship Exporter's Association.</t>
  </si>
  <si>
    <t>takechi-k@marubeni.com</t>
  </si>
  <si>
    <t>Managing Executive Officer &amp; Chief Executive Officer of Food and Agriculture Group</t>
  </si>
  <si>
    <t>56404-99P</t>
  </si>
  <si>
    <t>Kosuke Tashiro</t>
  </si>
  <si>
    <t>Tashiro</t>
  </si>
  <si>
    <t>Mr. Kosuke Tashiro serves as Vice President of Marubeni Power International at Marubeni. He serves as a Board Member at Mainstream Renewable Power. He also serves as Board Member at Azuri Technologies. He was appointed to the Board of Mainstream Renewable Power in September 2013 immediately after Marubeni Corporation agreed to subscribe to shares in the company. He has been with Marubeni Corporation since 1999 in the power and utility sector and has held positions in New York and Tokyo negotiating, executing, and structuring M&amp;As, joint ventures, and green/brown-field developments across the wind, solar and efficient gas combined cycle plants. He graduated from Aoyama Gakuin University in Tokyo (B.A in International Politics, Economics, and Business).</t>
  </si>
  <si>
    <t>tashiro-ko@marubeni.com</t>
  </si>
  <si>
    <t>Vice President of Marubeni Power International</t>
  </si>
  <si>
    <t>334798-48P</t>
  </si>
  <si>
    <t>Manabe Kazumi</t>
  </si>
  <si>
    <t>Manabe</t>
  </si>
  <si>
    <t>Kazumi</t>
  </si>
  <si>
    <t>Mr. Manabe Kazumi serves as Deputy General Manager at Marubeni.</t>
  </si>
  <si>
    <t>manabe-kazumi@marubeni.com</t>
  </si>
  <si>
    <t>Deputy General Manager</t>
  </si>
  <si>
    <t>406029-52P</t>
  </si>
  <si>
    <t>Masahiro Yamazaki</t>
  </si>
  <si>
    <t>Yamazaki</t>
  </si>
  <si>
    <t>Executive Officer &amp; General Manager</t>
  </si>
  <si>
    <t>Mr. Masahiro Yamazaki serves as Executive Officer &amp; General Manager of Energy Division at Marubeni.</t>
  </si>
  <si>
    <t>Executive Officer &amp; General Manager of Energy Division</t>
  </si>
  <si>
    <t>255989-53P</t>
  </si>
  <si>
    <t>Masayuki Omoto</t>
  </si>
  <si>
    <t>Mr. Masayuki Omoto serves as President &amp; Chief Executive Officer at Marubeni.</t>
  </si>
  <si>
    <t>40589-20P</t>
  </si>
  <si>
    <t>Masumi Kakinoki</t>
  </si>
  <si>
    <t>Masumi</t>
  </si>
  <si>
    <t>Kakinoki</t>
  </si>
  <si>
    <t>Mr. Masumi Kakinoki serves as Representative Director &amp; Chairman of the Board at Marubeni. He served as Board Member at Aircastle. In 1980, he commenced his career at Marubeni Corporation, marking the beginning of a distinguished professional journey. Over the years, he ascended through various leadership roles, demonstrating exceptional skills and strategic vision. In 2010, he was appointed as an Executive Officer, reflecting his growing influence within the organization. By 2013, he advanced to the position of Managing Executive Officer and became a Member of the Board, further solidifying their leadership presence. His continued contributions led to another promotion in 2014 as Managing Executive Officer. The trajectory of his career peaked in 2017 when he was named Senior Managing Executive Officer, followed by his appointment as Senior Executive Vice President and Member of the Board in 2018. Ultimately, in 2019, he achieved the pinnacle of his career by becoming the President and CEO, also serving as a Member of the Board, embodying the values and strategic direction of Marubeni Corporation.</t>
  </si>
  <si>
    <t>kakinoki-m@marubeni.com</t>
  </si>
  <si>
    <t>Representative Director &amp; Chairman of the Board</t>
  </si>
  <si>
    <t>279594-01P</t>
  </si>
  <si>
    <t>Minako Wakayama</t>
  </si>
  <si>
    <t>Minako</t>
  </si>
  <si>
    <t>Wakayama</t>
  </si>
  <si>
    <t>Mr. Minako Wakayama serves as General Manager at Marubeni. She served as an Executive at the Power Projects and Infrastructure Asset Management Department at Marubeni.</t>
  </si>
  <si>
    <t>wakayama-m@marubeni.com</t>
  </si>
  <si>
    <t>395303-95P</t>
  </si>
  <si>
    <t>Naoto Kuroiwa</t>
  </si>
  <si>
    <t>Mr. Naoto Kuroiwa serves as Private Equity Sec., Business Investment at Marubeni.</t>
  </si>
  <si>
    <t>kuroiwa-n@marubeni.com</t>
  </si>
  <si>
    <t>Private Equity Sec., Business Investment</t>
  </si>
  <si>
    <t>414695-17P</t>
  </si>
  <si>
    <t>Nobuhiro Minato</t>
  </si>
  <si>
    <t>Nobuhiro</t>
  </si>
  <si>
    <t>Minato</t>
  </si>
  <si>
    <t>Mr. Nobuhiro Minato serves as General Manager of Mobile Solutions Division at Marubeni.</t>
  </si>
  <si>
    <t>General Manager of Mobile Solutions Division</t>
  </si>
  <si>
    <t>143976-25P</t>
  </si>
  <si>
    <t>Patrick Gilligan</t>
  </si>
  <si>
    <t>Gilligan</t>
  </si>
  <si>
    <t>Advisor &amp; Vice President</t>
  </si>
  <si>
    <t>Mr. Patrick Gilligan serves as Vice President, Advisor to President &amp; Business Development Director(including M&amp;A, Portfolio Investments) at Marubeni. Mr. Gilligan also serves as Senior New Business Development Director at Marubeni America. Previously he served as a Senior Associate Venture Capital at Marubeni Corporation.</t>
  </si>
  <si>
    <t>+1 (646) 874-0183</t>
  </si>
  <si>
    <t>gilligan-p@marubeni.com</t>
  </si>
  <si>
    <t>375 Lexington Avenue</t>
  </si>
  <si>
    <t>+1 (212) 450-0700</t>
  </si>
  <si>
    <t>Vice President, Advisor to President &amp; Business Development Director(including M&amp;A, Portfolio Investments)</t>
  </si>
  <si>
    <t>395307-73P</t>
  </si>
  <si>
    <t>Rumiko Tamura</t>
  </si>
  <si>
    <t>Rumiko</t>
  </si>
  <si>
    <t>Tamura</t>
  </si>
  <si>
    <t>Ms. Rumiko Tamura serves as Assistant General Manager, Business Investment at Marubeni.</t>
  </si>
  <si>
    <t>tamura-r@marubeni.com</t>
  </si>
  <si>
    <t>Assistant General Manager, Business Investment</t>
  </si>
  <si>
    <t>84273-22P</t>
  </si>
  <si>
    <t>Shinji Kasai</t>
  </si>
  <si>
    <t>Kasai</t>
  </si>
  <si>
    <t>Executive &amp; General Manager</t>
  </si>
  <si>
    <t>Mr. Shinji Kasai serves as Senior Operating Officer and General Manager of the Healthcare and Medical Business Department at Marubeni. He served as a President and Director at PT Marubeni Indonesia. He holds a Bachelor of Science in Industrial Management from the Tokyo Institute of Technology.</t>
  </si>
  <si>
    <t>kasai-s@marubeni.com</t>
  </si>
  <si>
    <t>Senior Operating Officer and General Manager of Healthcare and Medical Business Department</t>
  </si>
  <si>
    <t>312185-44P</t>
  </si>
  <si>
    <t>Sulabh Saxena</t>
  </si>
  <si>
    <t>Sulabh</t>
  </si>
  <si>
    <t>Mr. Sulabh Saxena serves as Marketing Manager at Marubeni.</t>
  </si>
  <si>
    <t>saxena-s@marubeni.com</t>
  </si>
  <si>
    <t>239624-56P</t>
  </si>
  <si>
    <t>Takayuki Furuya</t>
  </si>
  <si>
    <t>Furuya</t>
  </si>
  <si>
    <t>Mr. Takayuki Furuya serves as Representative Director, Board Member, Senior Managing Executive Officer &amp; Chief Financial Officer.</t>
  </si>
  <si>
    <t>furuya-t@marubeni.com</t>
  </si>
  <si>
    <t>Representative Director, Board Member, Senior Managing Executive Officer &amp; Chief Financial Officer</t>
  </si>
  <si>
    <t>271759-24P</t>
  </si>
  <si>
    <t>Takeru Nonaka</t>
  </si>
  <si>
    <t>Takeru</t>
  </si>
  <si>
    <t>Nonaka</t>
  </si>
  <si>
    <t>Mr. Takeru Nonaka serves as Sales and Administration Executive at Marubeni. He holds a Degree from Tokyo Institute of Technology.</t>
  </si>
  <si>
    <t>nonaka-t@marubeni.com</t>
  </si>
  <si>
    <t>Sales &amp; Administration Executive</t>
  </si>
  <si>
    <t>227236-24P</t>
  </si>
  <si>
    <t>Taro Kawabe</t>
  </si>
  <si>
    <t>Taro</t>
  </si>
  <si>
    <t>Kawabe</t>
  </si>
  <si>
    <t>Mr. Taro Kawabe serves as Chief Operating Officer of the Finance, Leasing and Real Estate Business Division at Marubeni. He served as Board Member at Aircastle.</t>
  </si>
  <si>
    <t>kawabe-t@marubeni.com</t>
  </si>
  <si>
    <t>Chief Operating Officer, Finance, Leasing &amp; Real Estate Business Division</t>
  </si>
  <si>
    <t>181471-87P</t>
  </si>
  <si>
    <t>Tomonobu Miki</t>
  </si>
  <si>
    <t>Tomonobu</t>
  </si>
  <si>
    <t>Chief Operating Officer &amp; Executive Officer</t>
  </si>
  <si>
    <t>Mr. Tomonobu Miki serves as Chief Operating Officer, Food Division-1 &amp; Executive Officer at Marubeni.</t>
  </si>
  <si>
    <t>Chief Operating Officer, Food Division-1 &amp; Executive Officer</t>
  </si>
  <si>
    <t>310268-35P</t>
  </si>
  <si>
    <t>Toru Okazaki</t>
  </si>
  <si>
    <t>Okazaki</t>
  </si>
  <si>
    <t>Mr. Toru Okazaki serves as Executive Officer &amp; Chief Operating Officer of Aerospace &amp; Ship Division at Marubeni.</t>
  </si>
  <si>
    <t>okazaki-t@marubeni.com</t>
  </si>
  <si>
    <t>Executive Officer &amp; Chief Operating Officer of Aerospace &amp; Ship Division</t>
  </si>
  <si>
    <t>80702-29P</t>
  </si>
  <si>
    <t>Toshihiro Fukumura</t>
  </si>
  <si>
    <t>Toshihiro</t>
  </si>
  <si>
    <t>Fukumura</t>
  </si>
  <si>
    <t>Mr. Toshihiro Fukumura serves as Chief Operating Officer of Next Generation Corporate Development Division at Marubeni.</t>
  </si>
  <si>
    <t>Chief Operating Officer of Next Generation Corporate Development Division</t>
  </si>
  <si>
    <t>358321-24P</t>
  </si>
  <si>
    <t>Yasutaka Nishimune</t>
  </si>
  <si>
    <t>Yasutaka</t>
  </si>
  <si>
    <t>Nishimune</t>
  </si>
  <si>
    <t>Mr. Yasutaka Nishimune serves as Manager at Marubeni.</t>
  </si>
  <si>
    <t>+1 (212) 450-0100</t>
  </si>
  <si>
    <t>nishimune-y@marubeni.com</t>
  </si>
  <si>
    <t>439772-14P</t>
  </si>
  <si>
    <t>Yasutomo Miyake</t>
  </si>
  <si>
    <t>Yasutomo</t>
  </si>
  <si>
    <t>Miyake</t>
  </si>
  <si>
    <t>Mr. Yasutomo Miyake serves as General Manager, Ship Project Department at Marubeni.</t>
  </si>
  <si>
    <t>General Manager, Ship Project Department</t>
  </si>
  <si>
    <t>255614-14P</t>
  </si>
  <si>
    <t>Sonia Bryan</t>
  </si>
  <si>
    <t>Mass.Gov</t>
  </si>
  <si>
    <t>Director &amp; Senior Partner</t>
  </si>
  <si>
    <t>Ms. Sonia Bryan serves as Human Resources Director and Senior Human Resources Business Partner at Mass.Gov.</t>
  </si>
  <si>
    <t>+1 (617) 305-3500</t>
  </si>
  <si>
    <t>sonia.bryan@mass.gov</t>
  </si>
  <si>
    <t>1 South Station</t>
  </si>
  <si>
    <t>3rd floor</t>
  </si>
  <si>
    <t>+1 (617) 345-9101</t>
  </si>
  <si>
    <t>Human Resources Director and Senior Human Resources Business Partner</t>
  </si>
  <si>
    <t>437429-08P</t>
  </si>
  <si>
    <t>Amanda Wall</t>
  </si>
  <si>
    <t>Massachusetts Development Finance Agency</t>
  </si>
  <si>
    <t>Assistant Secretary &amp; General Counsel</t>
  </si>
  <si>
    <t>Ms. Amanda Wall serves as Deputy General Counsel &amp; Assistant Secretary at Massachusetts Development Finance Agency.</t>
  </si>
  <si>
    <t>+1 (617) 330-2000</t>
  </si>
  <si>
    <t>awall@massdevelopment.com</t>
  </si>
  <si>
    <t>99 High Street</t>
  </si>
  <si>
    <t>+1 (617) 330-2001</t>
  </si>
  <si>
    <t>Deputy General Counsel &amp; Assistant Secretary</t>
  </si>
  <si>
    <t>398325-70P</t>
  </si>
  <si>
    <t>Benny Wong</t>
  </si>
  <si>
    <t>Mr. Benny Wong serves as Vice President, Investment Banking at Massachusetts Development Finance Agency. He joined MassDevelopment's Investment Banking Department in 2001. He is a project manager responsible for new bond originations in the Greater Boston region. Since joining the agency, he has closed over 300 bond transactions for a variety of borrowers including non-profits, manufacturers, housing developers, recycling companies, and governmental entities. Prior to joining MassDevelopment, he worked at Quick &amp; Reilly, Inc. (now Bank of America Merrill Lynch) where he provided investment banking, cash flow, debt structuring, and technical analysis services for organizations, companies, and municipalities throughout New England. He served as either an investment banker or financial advisor on deals totaling over $600 million while at Quick &amp; Reilly. He earned a Bachelor's Degree in Business Administration from Boston University.</t>
  </si>
  <si>
    <t>+1 (617) 405-5253</t>
  </si>
  <si>
    <t>bwong@massdevelopment.com</t>
  </si>
  <si>
    <t>174505-87P</t>
  </si>
  <si>
    <t>Brenda Doherty</t>
  </si>
  <si>
    <t>Doherty</t>
  </si>
  <si>
    <t>Ms. Brenda Doherty serves as Vice President of Marketing and Communications at Massachusetts Development Finance Agency.</t>
  </si>
  <si>
    <t>+1 (617) 451-2477</t>
  </si>
  <si>
    <t>bdoherty@massdevelopment.com</t>
  </si>
  <si>
    <t>Vice President of Marketing and Communications</t>
  </si>
  <si>
    <t>396726-22P</t>
  </si>
  <si>
    <t>Dan O'Connell</t>
  </si>
  <si>
    <t>Mr. Dan O'Connell serves as Attorney and Real Estate Developer at the Massachusetts Development Finance Agency. He is an attorney and developer of laboratory, office, and residential real estate. He served as Secretary of Housing and Economic Development under Governor Patrick, Executive Director of the Massachusetts Industrial Finance Agency and Directory of Planning and Development at Massport under Governor Weld, and Chief of Staff for Congressman (now Senator) Ed Markey. He also served as President and CEO of the Massachusetts Competitive Partnership. He is a member of the Board of Trustees of the Institute of Contemporary Art and is a graduate of Harvard College, AB (cum laude) and Harvard Law School, JD.</t>
  </si>
  <si>
    <t>doconnell@massdevelopment.com</t>
  </si>
  <si>
    <t>Attorney and Real Estate Developer</t>
  </si>
  <si>
    <t>378080-11P</t>
  </si>
  <si>
    <t>David Abdoo</t>
  </si>
  <si>
    <t>Abdoo</t>
  </si>
  <si>
    <t>Mr. David Abdoo serves as Chief of Staff at Massachusetts Development Finance Agency. Previously, he served as the Chief of Staff at the MBTA where he served as senior strategic advisor to the CEO/General Manager.</t>
  </si>
  <si>
    <t>+1 (617) 330-3122</t>
  </si>
  <si>
    <t>dabdoo@massdevelopment.com</t>
  </si>
  <si>
    <t>209037-88P</t>
  </si>
  <si>
    <t>Douglas Robinson</t>
  </si>
  <si>
    <t>Mr. Douglas Robinson serves as Director of Governmental Relations at Massachusetts Development Finance Agency. Mr. Robinson came to MassDevelopment from Blueday, Inc., a retail industry software and consulting firm, where he led all marketing, communications, and business development efforts. Prior to joining Blueday, Inc., he served as a campaign finance official for several Massachusetts Gubernatorial and United States Senate candidates. He also co-founded The LiftEd Project, a nonprofit organization that helps healthcare professionals and educators better serve the children in their care. Mr. Robinson holds a B.A. in Economics from Vanderbilt University.</t>
  </si>
  <si>
    <t>+1 (508) 581-7878</t>
  </si>
  <si>
    <t>drobinson@massdevelopment.com</t>
  </si>
  <si>
    <t>Director of Governmental Relations</t>
  </si>
  <si>
    <t>398319-22P</t>
  </si>
  <si>
    <t>Eleni Varitimos</t>
  </si>
  <si>
    <t>Eleni</t>
  </si>
  <si>
    <t>Varitimos</t>
  </si>
  <si>
    <t>Ms. Eleni Varitimos serves as Director of Division Operations at Massachusetts Development Finance Agency. She joined MassDevelopment in June 2014 and serves as the Director of Division Operations for the Community Development Division. Prior to this role, she served as the Agency's Vice President of Community Development for the Northeast Region of Massachusetts. In this Lawrence-based role, she managed projects requiring support from the Brownfields Redevelopment Fund, the Collaborative Workspace Program, and the Transformative Development Initiative (TDI) program. She spent over a decade on Beacon Hill as a Chief of Staff in the Massachusetts Senate focusing her work on statewide transportation policy and fiscal affairs. She was an inaugural participant in the Lawrence Leads program in 2019. She also worked at Fidelity Investments providing strategic marketing services to their portfolio companies and as a Business Analyst at PrimeStreet Corporation. Her earlier work included helping launch the non-partisan public policy think tank MassINC and its independent policy magazine, CommonWealth. She earned an MBA with magna cum laude honors from the F.W. Olin School of Business at Babson College after graduating from Bryn Mawr College where she concentrated in political science and Latin American studies, as well as 16th and 17th Century European history.</t>
  </si>
  <si>
    <t>+1 (978) 459-6100</t>
  </si>
  <si>
    <t>evaritimos@massdevelopment.com</t>
  </si>
  <si>
    <t>Director of Division Operations</t>
  </si>
  <si>
    <t>398322-73P</t>
  </si>
  <si>
    <t>Frank Canning</t>
  </si>
  <si>
    <t>Canning</t>
  </si>
  <si>
    <t>Mr. Frank Canning serves as Vice President, Investment Banking at Massachusetts Development Finance Agency. He has worked for MassDevelopment since 1999 in the Investment Banking Division. He is responsible for tax-exempt bond originations in western Massachusetts and has managed or co-managed over 200 bond issues for the Agency. Prior to joining MassDevelopment, he worked for 15 years in residential mortgage lending at Springfield Institution for Savings. He received a bachelor's degree in business administration from St. Michael's College, Winooski, Vermont, and a master's degree in finance from Western New England University, Springfield, Massachusetts.</t>
  </si>
  <si>
    <t>+1 (413) 755-1350</t>
  </si>
  <si>
    <t>fcanning@massdevelopment.com</t>
  </si>
  <si>
    <t>437428-63P</t>
  </si>
  <si>
    <t>Gary Walker</t>
  </si>
  <si>
    <t>Mr. Gary Walker serves as Interim Executive Vice President, Real Estate at Massachusetts Development Finance Agency.</t>
  </si>
  <si>
    <t>gwalker@massdevelopment.com</t>
  </si>
  <si>
    <t>Interim Executive Vice President, Real Estate</t>
  </si>
  <si>
    <t>437430-16P</t>
  </si>
  <si>
    <t>George Durante</t>
  </si>
  <si>
    <t>Durante</t>
  </si>
  <si>
    <t>Mr. George Durante serves as TDI Deputy Director, Investments and Partnerships at Massachusetts Development Finance Agency.</t>
  </si>
  <si>
    <t>gdurante@massdevelopment.com</t>
  </si>
  <si>
    <t>TDI Deputy Director, Investments and Partnerships</t>
  </si>
  <si>
    <t>398327-77P</t>
  </si>
  <si>
    <t>Lisa Kalinowski</t>
  </si>
  <si>
    <t>Kalinowski</t>
  </si>
  <si>
    <t>Ms. Lisa Kalinowski serves as Senior Vice President, Finance at Massachusetts Development Finance Agency. She joined MassDevelopment in 1995 and serves as the Senior Vice President of Finance. She oversees the Financial Analysis and Reporting Department. She and her team are responsible for all Agency financial reporting and cash flow analysis, compliance reporting, grant contract management, and the preparation of the Agency's fiscal year operating and capital budgets. Other responsibilities include managing the Devens Assessors Office and managing the renewal of the Agency's insurance policies. She has a Bachelor of Science in Accounting from Anna Maria College and an MBA from Anna Maria College.</t>
  </si>
  <si>
    <t>+1 (978) 984-2922</t>
  </si>
  <si>
    <t>lkalinowski@massdevelopment.com</t>
  </si>
  <si>
    <t>437432-68P</t>
  </si>
  <si>
    <t>Marcos Marrero</t>
  </si>
  <si>
    <t>Marrero</t>
  </si>
  <si>
    <t>Director &amp; Senior Executive Vice President</t>
  </si>
  <si>
    <t>Mr. Marcos Marrero serves as Senior Executive Vice President &amp; Deputy Director at Massachusetts Development Finance Agency.</t>
  </si>
  <si>
    <t>mmarrero@massdevelopment.com</t>
  </si>
  <si>
    <t>Senior Executive Vice President &amp; Deputy Director</t>
  </si>
  <si>
    <t>209037-52P</t>
  </si>
  <si>
    <t>Meg Delorier</t>
  </si>
  <si>
    <t>Delorier</t>
  </si>
  <si>
    <t>Ms. Meg Delorier serves as Interim Executive Vice President of Devens Operations and Director of Military Initiatives at Massachusetts Development Finance Agency. She joined MassDevelopment in 2001 and serves as MassDevelopment's lead staff person in Devens with oversight of its Departments of Public Safety (including Fire and Police), Environmental Engineering, Public Works, Recreation, and Utilities. She also serves as the Director of Military Initiatives. She is responsible for furthering various economic development activities involving the defense sector, including outreach to defense-related companies, redevelopment of federal surplus property, development of infrastructure and real property assets to increase mission, development, and implementation of operational enhancements, and creation and implementation of outreach activities and coordination of information and opportunities. She acts as the primary contact to the Executive Director of the Military Asset and Security Strategy Task Force. Before joining MassDevelopment, she was the Executive Director of the Nashoba Valley Chamber of Commerce. She was also the Station Manager for the American Red Cross at Luke Air Force Base, AZ, and Fort Devens, MA. She attended Nathaniel Hawthorne College majoring in Criminal Justice.</t>
  </si>
  <si>
    <t>+1 (978) 784-2929</t>
  </si>
  <si>
    <t>mdelorier@massdevelopment.com</t>
  </si>
  <si>
    <t>Interim Executive Vice President Devens Operations and Director of Military Initiatives</t>
  </si>
  <si>
    <t>398321-56P</t>
  </si>
  <si>
    <t>Michael-Ray Jeffreys</t>
  </si>
  <si>
    <t>Michael-Ray</t>
  </si>
  <si>
    <t>Jeffreys</t>
  </si>
  <si>
    <t>Mr. Michael-Ray Jeffreys serves as Vice President of Asset Management at Massachusetts Development Finance Agency. He was Portfolio Manager at First Realty Management in Boston and has a broad array of experience managing construction, facility operations, and capital improvement projects at federal, historical, commercial, and residential properties. He attended elementary school on the active-duty post, prior to his father's retirement from the Army. He also retired from the US Army, where he served in many capacities, including as a physical security specialist and as a military police officer, and is a Veteran of Operation Iraqi Freedom. He is the Vice-Chair of the Select Board and represents his town on a regional planning and transportation committee. He received his Bachelor of Science in Interdisciplinary Studies from Fitchburg State University.</t>
  </si>
  <si>
    <t>+1 (978) 784-2936</t>
  </si>
  <si>
    <t>mjeffreys@massdevelopment.com</t>
  </si>
  <si>
    <t>Vice President of Asset Management</t>
  </si>
  <si>
    <t>437427-64P</t>
  </si>
  <si>
    <t>Navjeet Bal</t>
  </si>
  <si>
    <t>Navjeet</t>
  </si>
  <si>
    <t>Mr. Navjeet Bal serves as President &amp; Chief Executive Officer at Massachusetts Development Finance Agency.</t>
  </si>
  <si>
    <t>nbal@massdevelopment.com</t>
  </si>
  <si>
    <t>158849-92P</t>
  </si>
  <si>
    <t>Nichole Smith-Benton</t>
  </si>
  <si>
    <t>Nichole</t>
  </si>
  <si>
    <t>Smith-Benton</t>
  </si>
  <si>
    <t>Ms. Nichole Smith-Benton serves as Vice President, Portfolio Administration at Massachusetts Development Finance Agency. She joined MassDevelopment in 1995 and serves as the Vice President of the Loan Operations Department. She overseas portfolio operations, loan servicing, loan documentation and loan escrow activity. She monitors a portfolio of loans and guarantees to ensure appropriate risk ratings, and prompt recognition and speedy resolution of loan payment and performance difficulties. She manages relationships between agency borrowers, other lenders, and equity sources after a loan or guarantee closes through loan payments, payoffs, workouts, or foreclosure on assigned portfolios. She manages a staff of three people including an AVP. She has a Bachelor of Science in Business Administration from Northeastern University.</t>
  </si>
  <si>
    <t>+1 (617) 330-2037</t>
  </si>
  <si>
    <t>nsmithbenton@massdevelopment.com</t>
  </si>
  <si>
    <t>Vice President, Portfolio Administration</t>
  </si>
  <si>
    <t>398326-06P</t>
  </si>
  <si>
    <t>Rebecca Sullivan</t>
  </si>
  <si>
    <t>Ms. Rebecca Sullivan serves as Senior Vice President, Investment Banking at Massachusetts Development Finance Agency. She manages MassDevelopment's Investment Banking Department and specializes in tax-exempt bond financing for universities, healthcare institutions, secondary schools, charter schools, as well as infrastructure and energy projects. She joined MassDevelopment in 2001 as a Vice President working as a project manager responsible for managing bond transactions in the Greater Boston region of Massachusetts. Prior to joining MassDevelopment, she worked at Fleet Securities and BankBoston as an investment banker and at BankBoston as a short-term tax-exempt trader and underwriter. She holds a Masters of Science in Finance from Boston College, and a Bachelor of Business Administration from the University of Massachusetts, Amherst.</t>
  </si>
  <si>
    <t>+1 (617) 330-2068</t>
  </si>
  <si>
    <t>rsullivan@massdevelopment.com</t>
  </si>
  <si>
    <t>Senior Vice President, Investment Banking</t>
  </si>
  <si>
    <t>398323-90P</t>
  </si>
  <si>
    <t>Robert Seega</t>
  </si>
  <si>
    <t>Seega</t>
  </si>
  <si>
    <t>Mr. Robert Seega serves as Vice President, Investment Banking at Massachusetts Development Finance Agency. He joined MassDevelopment in 2008. He is a vice president responsible for new bond originations primarily in central Massachusetts. Since joining the Agency, he has closed multiple bond transactions for a variety of purposes and borrowers, including nonprofit organizations, colleges and universities, health and human service providers, independent schools, charter schools, manufacturing companies, recycling/solid waste companies, and affordable housing developers. Prior to joining MassDevelopment, he worked for 36 years at National Grid where he served in a number of capacities, including Head of Investor Relations, Vice President of Public Affairs, and Head of U.S. Treasury Operations. He has a Bachelor's Degree in Business Administration from Clark University and a Master of Business Administration Degree from Nichols College.</t>
  </si>
  <si>
    <t>+1 (508) 363-2799</t>
  </si>
  <si>
    <t>rseega@massdevelopment.com</t>
  </si>
  <si>
    <t>398326-51P</t>
  </si>
  <si>
    <t>Simmee Silton</t>
  </si>
  <si>
    <t>Simmee</t>
  </si>
  <si>
    <t>Silton</t>
  </si>
  <si>
    <t>Ms. Simmee Silton serves as Senior Vice President, Institutional Finance at Massachusetts Development Finance Agency. She joined MassDevelopment in 2010 and serves as a Senior Vice President in the Institutional Finance group, managing relationships and bond financing transactions for high-profile nonprofit institutional borrowers primarily within the higher education and healthcare sectors. Prior to joining MassDevelopment as Vice President, Investment Banking for the North Region, she gained experience in her role with MassDevelopment's predecessor, the Massachusetts Development Finance Agency (MIFA), as a commercial lender for both Bank of Boston and Chase as well as working in a variety of positions with area nonprofits. She has a Bachelor of Arts in Political Science and Economics from Wheaton College.</t>
  </si>
  <si>
    <t>+1 (617) 330-2006</t>
  </si>
  <si>
    <t>ssilton@massdevelopment.com</t>
  </si>
  <si>
    <t>Senior Vice President, Institutional Finance</t>
  </si>
  <si>
    <t>117619-75P</t>
  </si>
  <si>
    <t>Simon Gerlin</t>
  </si>
  <si>
    <t>Gerlin</t>
  </si>
  <si>
    <t>Mr. Simon Gerlin serves as Treasurer &amp; Chief Financial Officer at the Massachusetts Development Finance Agency. He joined MassDevelopment in February 2013 as the Agency's Chief Financial Officer and Executive Vice President of Finance. He has a proven track record in both public company finance and public accounting. Prior to MassDevelopment, he served in executive finance, compliance, and audit roles at Clean Harbors Environmental Services. He also spent 16 years at PricewaterhouseCoopers LLP, serving clients in numerous sectors such as energy and utilities, manufacturing, and higher education. He is a certified public accountant, a member of the American Society of CPAs, and a Director of Cambridge Bancorp, where he is Chair of the Audit Committee. He also serves as a Board Member at Cambridge Trust. He received a Bachelor of Arts in political science from Middlebury College and a Master of Business Administration from Harvard Business School.</t>
  </si>
  <si>
    <t>simon@massdevelopment.com</t>
  </si>
  <si>
    <t>Treasurer &amp; Chief Financial Officer</t>
  </si>
  <si>
    <t>446514-49P</t>
  </si>
  <si>
    <t>Stephanie Zierten</t>
  </si>
  <si>
    <t>Zierten</t>
  </si>
  <si>
    <t>Ms. Stephanie Zierten serves as General Counsel &amp; Secretary of the Board of Directors at Massachusetts Development Finance Agency.</t>
  </si>
  <si>
    <t>szierten@massdevelopment.com</t>
  </si>
  <si>
    <t>General Counsel &amp; Secretary of the Board of Directors</t>
  </si>
  <si>
    <t>398322-10P</t>
  </si>
  <si>
    <t>Taiwo Bello</t>
  </si>
  <si>
    <t>Taiwo</t>
  </si>
  <si>
    <t>Bello</t>
  </si>
  <si>
    <t>Mr. Taiwo Bello serves as Vice President, Investment Banking at Massachusetts Development Finance Agency. He manages the bond financing program to assist many developmental projects undertaken by non-profits, manufacturers, housing developers, health and human service providers, colleges and universities, independent and charter schools, recycling and waste companies, and governmental entities. Before now, was an Investment Banking Associate at MassDevelopment, where he worked broadly on tax-exempt bond financing. Prior to joining MassDevelopment, he was a Business Specialist / Relationship Manager at Bank of America. He was also a Senior Personal Banker at Citizens Bank, and a Branch Manager and the Head of Operations at Guaranty Trust Bank, Nigeria. He has extensive banking and relationship management experience, as well as broad technical skills. He holds a Bachelor's Degree in Civil Engineering and a Master's Degree in Business Administration.</t>
  </si>
  <si>
    <t>tbello@massdevelopment.com</t>
  </si>
  <si>
    <t>174912-49P</t>
  </si>
  <si>
    <t>Tom Pope</t>
  </si>
  <si>
    <t>Pope</t>
  </si>
  <si>
    <t>Mr. Tom Pope serves as Assistant Vice President &amp; Asset Manager at Massachusetts Development Finance Agency.</t>
  </si>
  <si>
    <t>+1 (978) 784-2939</t>
  </si>
  <si>
    <t>tpope@massdevelopment.com</t>
  </si>
  <si>
    <t>Assistant Vice President &amp; Asset Manager</t>
  </si>
  <si>
    <t>139717-00P</t>
  </si>
  <si>
    <t>Anantha Chandrakasan Ph.D</t>
  </si>
  <si>
    <t>Anantha</t>
  </si>
  <si>
    <t>Chandrakasan</t>
  </si>
  <si>
    <t>Massachusetts Institute of Technology</t>
  </si>
  <si>
    <t>Dr. Anantha Chandrakasan Serves as Chief Innovation and Strategy Officer at Mapletree Industrial Trust Management. He also serves as Chairman of the MIT Climate &amp; Sustainability Consortium. He serves as a Board Member, Member of the Corporate Development Committee &amp; Member of the Audit Committee at Analog Devices. Dr. Chandrakasan co-founded Finwave Semiconductor. He has been with the Massachusetts Institute of Technology, Cambridge, where he is currently the Vannevar Bush Professor of Electrical Engineering and Computer Science. He was a co-recipient of several awards including the 2007 ISSCC Beatrice Winner Award for Editorial Excellence and the ISSCC Jack Kilby Award for Outstanding Student Paper (2007, 2008, 2009). He received the 2009 Semiconductor Industry Association (SIA) University Researcher Award and the 2013 IEEE Donald O. Pederson Award in Solid-State Circuits. In 2015 he was elected to the National Academy of Engineering. His research interests include ultra-low-power circuit and system design, energy harvesting, energy-efficient RF circuits, and hardware security. He is a co-author of Low Power Digital CMOS Design (Kluwer Academic Publishers, 1995), Digital Integrated Circuits (Pearson Prentice-Hall, 2003, 2nd edition), and Sub-threshold Design for Ultra-Low Power Systems (Springer 2006). He is an IEEE Fellow. He has served in various roles for the IEEE ISSCC including Program Chair, Signal Processing Sub-committee Chair, and Technology Directions Sub-committee Chair. He has been the Conference Chair of ISSCC since 2010. He was the Director of the MIT Microsystems Technology Laboratories from 2006 to 2011. Since July 2011, he has been the Head of the MIT EECS Department. He earned his bachelor's (1989), master's (1990), and doctoral (1994) degrees in electrical engineering and computer sciences from the University of California, Berkeley.</t>
  </si>
  <si>
    <t>+65 6377 6000</t>
  </si>
  <si>
    <t>10 Pasir Panjang Road</t>
  </si>
  <si>
    <t>Suite 13-01 Mapletree Business City</t>
  </si>
  <si>
    <t>117438</t>
  </si>
  <si>
    <t>Analog Devices (Former)</t>
  </si>
  <si>
    <t>414929-89P</t>
  </si>
  <si>
    <t>Cecilia Stuopis</t>
  </si>
  <si>
    <t>Stuopis</t>
  </si>
  <si>
    <t>Ms. Cecilia Stuopis serves as Chief Health Officer at Massachusetts Institute of Technology. The chief health officer is responsible for the clinical and administrative activities of MIT Health in Cambridge and Lexington, including the provision of high-quality, safe, patient-focused clinical care; finance and operations; campus public health outreach; and the MIT Student Health Insurance Plan. The chief health officer also oversees MIT Health's legal, regulatory, and professional standards compliance, including licensure and accreditation. The chief health officer works closely with MIT leaders and key campus partners, including the Division of Student Life, the Office of the Vice Chancellor, Emergency Management, and MIT Human Resources, providing leadership and guidance on all matters pertaining to health standards and health-related concerns of the MIT community.</t>
  </si>
  <si>
    <t>+1 (617) 253-1000</t>
  </si>
  <si>
    <t>cstuopis@mit.edu</t>
  </si>
  <si>
    <t>77 Massachusetts Avenue</t>
  </si>
  <si>
    <t>234481-15P</t>
  </si>
  <si>
    <t>Cynthia Barnhart Ph.D</t>
  </si>
  <si>
    <t>Barnhart</t>
  </si>
  <si>
    <t>Dr. Cynthia Barnhart serves as Chairwoman of the Board of Trustees, Presidential Search Advisory Committee, and Annual Review Subcommittee &amp; Vice-chairwoman of the Executive Committee at the University of Vermont. She serves as a Provost &amp; Member of the Academic Appointments Subgroup, Academic Council, Broad Institute Collaboration Coordination Committee, Budget and Finance Steering Group, Building Committee, Center for Reimagining Learning, Dean's Group, Enrollment Management Group, Federal Relations Committee, Gift Acceptance Committee, Graduate Union Decision Team, Lincoln Lab Advisory Board, MIT Technology Review Board, Schwarzman College of Computing External Advisory Council, Singapore-MIT Alliance for Research and Technology Board, and MIT Solve Steering Committee at the Massachusetts Institute of Technology. She served as a Board Member at Landmark Bio. She served as a Board Member at Transplace. Dr. Barnhart is MIT's Chancellor and the Ford Foundation Professor of Engineering. At MIT, she previously served as Associate and Acting Dean for the School of Engineering and co-directed the Operations Research Center and the Center for Transportation and Logistics. She is an elected member of the National Academy of Engineering and the American Academy of Arts and Sciences and has served as the President of the Institute for Operations Research and the Management Sciences. Dr. Barnhart is a trustee of the Alfred P. Sloan Foundation and the University of Vermont and a director of Transplace. She received a BS in Civil Engineering from the University of Vermont and an SM and a Ph.D. in Civil Engineering (Transportation and Operations Research) from MIT.</t>
  </si>
  <si>
    <t>cbarnhart@mit.edu</t>
  </si>
  <si>
    <t>Provost &amp; Member of the Academic Appointments Subgroup, Academic Council, Broad Institute Collaboration Coordination Committee, Budget and Finance Steering Group, Building Committee, Center for Reimagining Learning, Dean's Group, Enrollment Management Group, Federal Relations Committee, Gift Acceptance Committee, Graduate Union Decision Team, Lincoln Lab Advisory Board, MIT Technology Review Board, Schwarzman College of Computing External Advisory Council, Singapore-MIT Alliance for Research and Technology Board, and MIT Solve Steering Committee</t>
  </si>
  <si>
    <t>72831-61P</t>
  </si>
  <si>
    <t>Glen Shor JD</t>
  </si>
  <si>
    <t>Shor</t>
  </si>
  <si>
    <t>Executive Vice President &amp; Treasurer</t>
  </si>
  <si>
    <t>Mr. Glen Shor serves as Executive Vice President, Treasurer, Chair of the Building Committee, Budget and Finance Steering Group, and Supplemental 401(k) Plan Oversight Committee &amp; Member of the Development Committee, Executive Committee, Gift Acceptance Committee, Academic Council, Enrollment Management Group, MIT Corporation, MIT International Board of Directors, and MIT Investment Management Company Board of Directors at Massachusetts Institute of Technology. He also serves as Executive Vice President &amp; Treasurer at MIT Basic Retirement Plan. He served as a Board Member at The Engine. He is responsible for leading all of the administrative and financial functions at MIT and working with the president, the Corporation, and members of MIT's senior leadership team to ensure that MIT's financial, capital, and operational resources are optimally deployed in a manner that supports the Institute's academic mission of education and research. He serves as Executive Director at The Commonwealth Health Insurance Connector Authority. He served as a Board Member at MassVentures. He is responsible for managing state finances, including preparation of the governor's budget recommendation, development of a state capital budget, managing budgetary activities across state government, and development of long-term fiscal policy. He also oversees the state agencies that provide core administrative services in the Commonwealth, including the collection of state taxes, the administration of IT services, and the management of human resources in state government. Prior to his appointment as Secretary in January 2013, he served as Executive Director of the Massachusetts Health Insurance Connector Authority. Prior to being appointed Executive Director of the Health Connector in June of 2010, he was a leading policy point person for Governor Deval Patrick in implementing health care reform in Massachusetts. As Assistant Secretary for Health Care Policy and Deputy General Counsel at A&amp;F, he played a critical role in overseeing the early policy decisions of the Health Connector and the financing of healthcare reform. He was a Senior Policy Director and Assistant Attorney General in the Office of the Attorney General of Massachusetts, a Senior Policy Aide and Counsel to former U.S. Representative Martin T. Meehan and U.S. Senator Charles E. Schumer, and a Public Interest Attorney defending the constitutionality of our nation's campaign finance laws in U.S. Supreme Court litigation. Mr. Shor holds a law degree from Harvard Law School and graduated from Yale University with a B.A. in History.</t>
  </si>
  <si>
    <t>glenshor@mit.edu</t>
  </si>
  <si>
    <t>+1 (617) 253-8544</t>
  </si>
  <si>
    <t>Executive Vice President, Treasurer, Chair of the Building Committee, Budget and Finance Steering Group, and Supplemental 401(k) Plan Oversight Committee &amp; Member of the Development Committee, Executive Committee, Gift Acceptance Committee, Academic Council, Enrollment Management Group, MIT Corporation, MIT International Board of Directors, and MIT Investment Management Company Board of Directors</t>
  </si>
  <si>
    <t>Massachusetts Institute of Technology Endowment</t>
  </si>
  <si>
    <t>321171-04P</t>
  </si>
  <si>
    <t>Katie Hammer</t>
  </si>
  <si>
    <t>Ms. Katie Hammer serves as Vice President for Finance &amp; a Member of the Academic Council, Budget and Finance Steering Group, Committee for Renovation and Space Planning, Employee Benefits Oversight Committee, Enrollment Management Group, Gift Policy Committee, MIT Press Management Board, and Supplemental 401(k) Oversight Committee at Massachusetts Institute of Technology. Ms. Hammer serves as Vice President of Finance at the Massachusetts Institute of Technology. She served the City of Detroit in leadership roles, including chief deputy CFO and deputy chief operating officer. During her tenure, she oversaw budget, treasury, procurement, and other financial functions for the Office of the Chief Financial Officer. From 2015 to 2017, she was budget director for the City of Boston, investing in education, public safety, transportation, efforts to reduce homelessness, and improving municipal services. She holds a BA in political science and economics from Washington University in St. Louis, and an MPA from the Princeton School of Public and International Affairs at Princeton University, with a concentration in economics and public policy.</t>
  </si>
  <si>
    <t>+1 (617) 715-5940</t>
  </si>
  <si>
    <t>khammer@mit.edu</t>
  </si>
  <si>
    <t>+1 (857) 209-5758</t>
  </si>
  <si>
    <t>Vice President for Finance &amp; Member of the Academic Council, Budget and Finance Steering Group, Committee for Renovation and Space Planning, Employee Benefits Oversight Committee, Enrollment Management Group, Gift Policy Committee, MIT Press Management Board, and Supplemental 401(k) Oversight Committee</t>
  </si>
  <si>
    <t>114869-26P</t>
  </si>
  <si>
    <t>Mark DiVincenzo JD</t>
  </si>
  <si>
    <t>DiVincenzo</t>
  </si>
  <si>
    <t>Mr. Mark DiVincenzo serves as Vice President, General Counsel, Chairman of the CRICO Underwriting Committee, and Member of the Academic Council, Committee on Intellectual Property, CRICO Board, Gift Policy Committee, MIT International Board of Directors, MIT Senior Risk Group, MIT/BU Law Clinic Oversight Board, and Risk and Audit Committee at Massachusetts Institute of Technology. Mr. DiVincenzo joined MIT in 2001 as a Litigation and Risk Management Counsel. He served as MIT's Deputy General Counsel from 2007 to 2015. Prior to joining MIT, he practiced law with Burns &amp; Levinson as a business litigator and trial attorney, and with the Boston office of Jackson Lewis, a national labor and employment law firm. Mr. DiVincenzo currently serves as a member of the Board of Directors of the National Association of College and University Attorneys, as the co-chair of the Boston Bar Association's College and University Law Section, as a member of the Oversight Board of the BU/MIT Startup and Technology Law Clinics, and as a member of the underwriting committee of the Risk Management Foundation of the Harvard Medical Institutions Inc., he graduated from Boston College with a BA in Political Science, magna cum laude, and earned a JD from Cornell Law School.</t>
  </si>
  <si>
    <t>+1 (617) 452-3985</t>
  </si>
  <si>
    <t>mdiv@mit.edu</t>
  </si>
  <si>
    <t>Vice President, General Counsel, Chair of the CRICO Underwriting Committee &amp; Member of the Academic Council, Committee on Intellectual Property, CRICO Board, Gift Policy Committee, MIT International Board of Directors, MIT Senior Risk Group, MIT/BU Law Clinic Oversight Board, and Risk and Audit Committee</t>
  </si>
  <si>
    <t>326336-77P</t>
  </si>
  <si>
    <t>Melissa Nobles Ph.D</t>
  </si>
  <si>
    <t>Nobles</t>
  </si>
  <si>
    <t>Dr. Nobles serves as Chancellor &amp; Member of the Academic Council, Building Committee, Dean's Group, and Employee Benefits Oversight Committee at the Massachusetts Institute of Technology. She is a graduate of Brown University where she majored in history. She received her MA and PhD in political science from Yale University. Dr. Nobles has also been involved in faculty governance at MIT and beyond, serving as associate chair of the MIT Faculty from 2007 to 2009, and vice president of the American Political Science Association.</t>
  </si>
  <si>
    <t>+1 (617) 253-9742</t>
  </si>
  <si>
    <t>mnobles@mit.edu</t>
  </si>
  <si>
    <t>428029-93P</t>
  </si>
  <si>
    <t>Minas Megalokonomos</t>
  </si>
  <si>
    <t>Minas</t>
  </si>
  <si>
    <t>Megalokonomos</t>
  </si>
  <si>
    <t>Mr. Minas Megalokonomos serves as Research Affiliate at Massachusetts Institute of Technology. Mr. Megalokonomos is an Angel Investor and serves as Advisor at serfers.co. Mr. Megalokonomos is an Angel Investor and serves as Advisor at Gaspar AI. Mr. Megalokonomos served as Director of Strategy &amp; Operations | Middle East, Africa, Pakistan &amp; India at Huawei. He served as Head of Strategic Partnerships - Mobile Apps &amp; Emerging Media at Middle East Broadcasting Center. Mr. Megalokonomos served as Head of Strategy and Business Operations at Velti. He also served as Head of Strategy and Sales at Wappier. He holds BA (Bachelor of Arts) degree from Boston University.</t>
  </si>
  <si>
    <t>minasm@mit.edu</t>
  </si>
  <si>
    <t>Research Affiliate</t>
  </si>
  <si>
    <t>435168-37P</t>
  </si>
  <si>
    <t>Rachel Donahue</t>
  </si>
  <si>
    <t>Donahue</t>
  </si>
  <si>
    <t>Ms. Rachel Donahue serves as Secretary of the Corporation at the Massachusetts Institute of Technology.</t>
  </si>
  <si>
    <t>Secretary of the Corporation</t>
  </si>
  <si>
    <t>323774-92P</t>
  </si>
  <si>
    <t>Sally Kornbluth Ph.D</t>
  </si>
  <si>
    <t>Kornbluth</t>
  </si>
  <si>
    <t>Dr. Sally Kornbluth serves as Chief Executive Officer &amp; President at the Massachusetts Institute of Technology. She also serves as a Member of the Strategic Advisory Board at Longwood Fund. Dr. Kornbluth became MIT's 18th president on January 1, 2023. She graduated from Williams College in 1982 with a BA in political science. Making a sharp pivot toward biology, she received a scholarship to attend Cambridge University, where she earned a BA in genetics in 1984. In 1989, Dr. Kornbluth received her PhD in molecular oncology from Rockefeller University and then completed postdoctoral training at the University of California, San Diego. In 1994, she joined Duke as an assistant professor of pharmacology and cancer biology, and by 2005 had risen to full professor. She stepped into administration the following year as vice dean for basic science at the Duke School of Medicine, a post she held until she became provost in 2014.</t>
  </si>
  <si>
    <t>+1 (617) 253-6700</t>
  </si>
  <si>
    <t>sally.kornbluth@mit.edu</t>
  </si>
  <si>
    <t>258526-00P</t>
  </si>
  <si>
    <t>Whitney Espich</t>
  </si>
  <si>
    <t>Espich</t>
  </si>
  <si>
    <t>Ms. Whitney Espich serves as Chief Executive Officer of the MIT Alumni Association at Massachusetts Institute of Technology. Ms. Espich assumed the role of chief executive officer of the MIT Alumni Association in August 2017. Before that, she served as executive director of communications, events, and donor relations in MIT's Resource Development office. There, she played a significant role in launching the public phase of the MIT Campaign for a Better World, collaborating across MIT to share the campaign's message with alumni and friends around the globe. Her previous professional experience includes roles in Harvard University's central development and alumni affairs office, as well as at Harvard's Radcliffe Institute for Advanced Study, Citigate Cunningham, the Thomas Jefferson Foundation (Monticello), and Mary Baldwin College. She holds a BA from Indiana University Bloomington, an MA from the University of Virginia, and an MPhil from the University of St Andrews in Scotland.</t>
  </si>
  <si>
    <t>+1 (617) 253-8231</t>
  </si>
  <si>
    <t>wespich@mit.edu</t>
  </si>
  <si>
    <t>Chief Executive Officer, MIT Alumni Association</t>
  </si>
  <si>
    <t>426660-76P</t>
  </si>
  <si>
    <t>Xiao Wang Ph.D</t>
  </si>
  <si>
    <t>Xiao</t>
  </si>
  <si>
    <t>Dr. Xiao Wang is the Scientific Co-founder and serves as Scientific Advisor at Stellaromics. Dr. Xiao Wang serves as Associate Professor at Massachusetts Institute of Technology. Dr. Wang is a core institute member of the Broad Institute of MIT and Harvard and an associate professor in the Department of Chemistry at MIT. She started her lab in 2019 to develop and apply new chemical, biophysical, and genomic tools to better understand tissue function and dysfunction at the molecular level. Wang joined the MIT and Broad after conducting postdoctoral research at Stanford University Bioengineering with Professor Karl Deisseroth, where she was a fellow of the Life Sciences Research Foundation. Wang received her B.S. in Chemistry and Molecular Engineering from Peking University and her Ph.D. in Chemistry from the University of Chicago with Professor Chuan He.</t>
  </si>
  <si>
    <t>+1 (857) 675-9157</t>
  </si>
  <si>
    <t>wang@mit.edu</t>
  </si>
  <si>
    <t>321 Harrison Avenue</t>
  </si>
  <si>
    <t>Scientific Co-founder and Scientific Advisor</t>
  </si>
  <si>
    <t>Stellaromics</t>
  </si>
  <si>
    <t>430691-59P</t>
  </si>
  <si>
    <t>Chelsea Haraty</t>
  </si>
  <si>
    <t>Chelsea</t>
  </si>
  <si>
    <t>Haraty</t>
  </si>
  <si>
    <t>Massachusetts Mutual Life Insurance</t>
  </si>
  <si>
    <t>Chelsea Haraty serves as Executive at MassMutual Financial Group.</t>
  </si>
  <si>
    <t>+1 (800) 272-2216</t>
  </si>
  <si>
    <t>Springfield</t>
  </si>
  <si>
    <t>Springfield, MA</t>
  </si>
  <si>
    <t>1295 State Street</t>
  </si>
  <si>
    <t>01111</t>
  </si>
  <si>
    <t>293756-50P</t>
  </si>
  <si>
    <t>Cynthia Ryan</t>
  </si>
  <si>
    <t>Ms. Ryan serves as the Head of Human Resources at MassMutual Financial Group. She served as Executive Vice President &amp; Chief Human Resources Officer at Cigna. She was previously the human resources leader for Cigna's Commercial and Government businesses, Enterprise Strategy and Solutions, and Global Technology. Earlier in her career, she led the Global Talent Management organization, which encompassed recruitment, learning and development, leadership development, succession planning, strategic workforce planning, employee engagement, performance management, and employee relations. She began her career working as a human resources generalist for a healthcare delivery company, before joining Cigna as an associate in its HR Development Program. She serves on the board of directors for Blessings in a Backpack®, a national non-profit that helps ensure kids who are fed during the week on free and reduced meal programs are not at risk of going hungry on the weekends. She holds a Bachelor's Degree in Management from the State University of New York at Geneseo and a Master's Degree in Industrial Labor Relations from Cornell University.</t>
  </si>
  <si>
    <t>cryan@massmutual.com</t>
  </si>
  <si>
    <t>Executive Vice President &amp; Chief Human Resources Officer</t>
  </si>
  <si>
    <t>The Cigna Group (Former)</t>
  </si>
  <si>
    <t>241645-51P</t>
  </si>
  <si>
    <t>Dadong Yan</t>
  </si>
  <si>
    <t>Dadong</t>
  </si>
  <si>
    <t>Mr. Dadong Yan serves as Head of Portfolio Finance and Chairman of Portfolio Finance Investment Committee at Barings. Mr. Yan serves as Head of Alternative Investment Solutions at MassMutual Financial Group. He is responsible for leading a global team that originates, underwrites, and manages investment grade portfolio finance investments. Dadong was previously Head of Alternative Investment Solutions at MassMutual where he built strategic partnerships with alternative asset managers globally and originated bilateral private portfolio finance opportunities. Prior to joining MassMutual, Dadong was an investment professional with experience investing across the capital structure in both public and private asset classes at Blackstone, Altai Capital, and Coatue Management. Previously, he was an investment banking professional at J.P. Morgan in the Financial Institutions Group. Dadong graduated magna cum laude from the University of Michigan, Ross School of Business and LSA Honors College with a triple major in business, biophysics, and honors German, where he was a Martin Haller Award recipient.</t>
  </si>
  <si>
    <t>+852 2841 1411</t>
  </si>
  <si>
    <t>dadong.yan@barings.com</t>
  </si>
  <si>
    <t>15 Queens Road Central</t>
  </si>
  <si>
    <t>35th Floor, Gloucester Tower</t>
  </si>
  <si>
    <t>Head of Portfolio Finance and Chairman of Portfolio Finance Investment Committee</t>
  </si>
  <si>
    <t>Barings</t>
  </si>
  <si>
    <t>398029-42P</t>
  </si>
  <si>
    <t>Doug Steele</t>
  </si>
  <si>
    <t>Mr. Doug Steele serves as Head Of MassMutual Investments at MassMutual Financial Group.</t>
  </si>
  <si>
    <t>dsteele@massmutual.com</t>
  </si>
  <si>
    <t>Head Of MassMutual Investments</t>
  </si>
  <si>
    <t>143157-88P</t>
  </si>
  <si>
    <t>Elizabeth Roberts</t>
  </si>
  <si>
    <t>Ms. Elizabeth Roberts serves as Head, Impact Investing at MassMutual Financial Group. She also serves as a Head of Impact Investments at MM Catalyst Fund. She also serves as Board Member at Ompractice and MeetCaregivers. She also serves as a Board Observer at Clean Crop Technologies and TOP The Organic Project. Previously, she served as Chief Executive Officer at Valley Venture Mentors.</t>
  </si>
  <si>
    <t>+1 (413) 788-8411</t>
  </si>
  <si>
    <t>eroberts@massmutual.com</t>
  </si>
  <si>
    <t>Head, Impact Investing</t>
  </si>
  <si>
    <t>339895-18P</t>
  </si>
  <si>
    <t>Eric Partlan</t>
  </si>
  <si>
    <t>Partlan</t>
  </si>
  <si>
    <t>Mr. Eric Partlan serves as Chief Investment Officer at MassMutual Financial Group.</t>
  </si>
  <si>
    <t>epartlan@massmutual.com</t>
  </si>
  <si>
    <t>197230-78P</t>
  </si>
  <si>
    <t>Geoffrey Craddock</t>
  </si>
  <si>
    <t>Craddock</t>
  </si>
  <si>
    <t>Mr. Geoffrey Craddock serves as Chief Risk Officer at Massachusetts Mutual Life Insurance. Mr. Craddock serves as Board Member at Rothesay Life. Geoff began his career in a range of trading and brokerage positions with various investment banks beginning in Europe. Subsequently, he held roles at the Canadian Imperial Bank of Commerce (CIBC) where he oversaw global market risk management for the bank's investment banking, trading and retail activities. In 2008, Geoff joined MassMutual's asset management subsidiary, OppenheimerFunds, establishing and leading their risk management and asset allocation function after the global financial crisis, enhancing their governance structure and facilitating execution of strategic initiatives. Geoff also served as the leadership sponsor for OppenheimerFunds corporate giving program. Geoff assumed his current role at MassMutual in 2017.</t>
  </si>
  <si>
    <t>368120-08P</t>
  </si>
  <si>
    <t>Hester Cai</t>
  </si>
  <si>
    <t>Ms. Hester Cai serves as a Portfolio Manager at MassMutual Financial Group.</t>
  </si>
  <si>
    <t>lcai06@massmutual.com</t>
  </si>
  <si>
    <t>82208-08P</t>
  </si>
  <si>
    <t>Jack Kennedy JD</t>
  </si>
  <si>
    <t>Mr. Jack Kennedy serves as Head of Best Interest Regulations &amp; Lending Initiatives at Massachusetts Mutual Life Insurance. Before Mass Mutual, Mr. Kennedy served as an Assistant Vice President at Hartford Financial Services and an Associate Counsel at Hartford Life. He holds a BA in Classics from the College of the Holy Cross and a JD and MBA in Finance from the University of Notre Dame.</t>
  </si>
  <si>
    <t>jackkennedy@massmutual.com</t>
  </si>
  <si>
    <t>Head of Best Interest Regulations &amp; Lending Initiatives</t>
  </si>
  <si>
    <t>398713-69P</t>
  </si>
  <si>
    <t>James Feliz</t>
  </si>
  <si>
    <t>Feliz</t>
  </si>
  <si>
    <t>Mr. James Feliz serves as Investment Advisor at Massachusetts Mutual Life Insurance.</t>
  </si>
  <si>
    <t>209499-67P</t>
  </si>
  <si>
    <t>Jason Allen JD</t>
  </si>
  <si>
    <t>Mr. Jason Allen serves as Head of Catalyst Funds at MassMutual Financial Group. He also serves as Board Member at Paerpay. He serves as a Board Member at Dock Health &amp; Surround Insurance. He served as Vice President of investments at MassVentures. Before MassVentures, He was at Launch Capital where he focused on sourcing and evaluating new investments across industry verticals. He is an experienced operator in SaaS, B2B enterprise software, and marketplace companies. Throughout his career, he has overseen sales, marketing, and business operations at emerging technology companies. Most recently, he served as general manager of Ovia Insights, a division of Ovia Health, where he led sales and marketing efforts. He has also worked as the Director of Inside Sales at Attivio a natural language processing, AI-powered search and text company. He earned a J.D. from Northeastern University School of Law, a Master of Theological Studies from Harvard Divinity School, and a B.A. from Denison University.</t>
  </si>
  <si>
    <t>+1 (617) 207-5576</t>
  </si>
  <si>
    <t>jason_allen@massmutual.com</t>
  </si>
  <si>
    <t>Head of Catalyst Funds</t>
  </si>
  <si>
    <t>76230-46P</t>
  </si>
  <si>
    <t>Jennifer Halloran</t>
  </si>
  <si>
    <t>Halloran</t>
  </si>
  <si>
    <t>Ms. Jennifer Halloran serves as Head of Marketing and Brand at MassMutual Financial Group. She served as Consultant, Brand and Digital Marketing at Fidelity Investments. She served as Head, of Marketing at Mobiquity. She is an established veteran in the field. At Fidelity Investments, she developed digital-marketing programs in social media, mobile, online, and the Fidelity website to support the company's brand and ultimate customer experience. She drove online programs that improved marketing ROI, engagement, and customer loyalty and satisfaction. Earlier at Fidelity, Halloran oversaw and created cohesive and compelling omnichannel marketing campaigns across traditional and digital marketing mediums. Before joining Fidelity, Halloran was vice president of communications at Putnam Investments. There, she worked on Putnam's retail mutual fund and college-planning product lines. Prior to Putnam Halloran also spent a number of years in digital and traditional advertising agencies with experience at both Hill Holiday and Digitas.</t>
  </si>
  <si>
    <t>jhalloran@massmutual.com</t>
  </si>
  <si>
    <t>Head of Marketing and Brand</t>
  </si>
  <si>
    <t>368054-38P</t>
  </si>
  <si>
    <t>Jessica Li</t>
  </si>
  <si>
    <t>Ms. Jessica Li serves as Alternative Investment Analyst and Investment Consultant at MassMutual Financial Group.</t>
  </si>
  <si>
    <t>jli23@massmutual.com</t>
  </si>
  <si>
    <t>Alternative Investment Analyst and Investment Consultant</t>
  </si>
  <si>
    <t>326451-70P</t>
  </si>
  <si>
    <t>Jessica Williams</t>
  </si>
  <si>
    <t>Ms. Jessica Williams serves as Head of Responsible Sourcing at Massachusetts Mutual Life Insurance.</t>
  </si>
  <si>
    <t>jlozano-williams@massmutual.com</t>
  </si>
  <si>
    <t>Head of Responsible Sourcing</t>
  </si>
  <si>
    <t>366127-84P</t>
  </si>
  <si>
    <t>Jim Tetreault</t>
  </si>
  <si>
    <t>Tetreault</t>
  </si>
  <si>
    <t>Mr. Jim Tetreault serves as Head, Corporate Development at Massachusetts Mutual Life Insurance. Mr. Tetreault has been working in the current position for 10 years. His work experience includes M&amp;T Bank, Administrative Vice PresidentM&amp;T Bank from 2009-2013; Perella Weinberg Partners, DirectorPerella Weinberg Partners from 2007-2009; Bear Stearns Asset Management, Associate from 2005-2007.</t>
  </si>
  <si>
    <t>Head, Corporate Development</t>
  </si>
  <si>
    <t>213534-91P</t>
  </si>
  <si>
    <t>John Rugel</t>
  </si>
  <si>
    <t>Rugel</t>
  </si>
  <si>
    <t>Mr. John Rugel serves as Head of Operations at Massachusetts Mutual Life Insurance. Previously Mr. Rugel served as Chief Operations Officer at Global Atlantic Financial Group. He is responsible for oversight of Global Atlantic's in-force and new business insurance service and operations. He served as Senior Vice President of Life and Annuity Operations at Allstate. With more than two decades in the industry, his experience spans underwriting, new business and operations leadership positions at Allstate, MetLife, American General/AIG.</t>
  </si>
  <si>
    <t>107319-16P</t>
  </si>
  <si>
    <t>Keith McDonagh</t>
  </si>
  <si>
    <t>McDonagh</t>
  </si>
  <si>
    <t>Mr. Keith McDonagh serves as Corporate Controller at MassMutual Financial Group. He has an MBA in Accounting &amp; Finance from the University of Connecticut, Storrs, and a BS in Finance from Boston College.</t>
  </si>
  <si>
    <t>kmcdonagh@massmutual.com</t>
  </si>
  <si>
    <t>Corporate Controller</t>
  </si>
  <si>
    <t>141311-71P</t>
  </si>
  <si>
    <t>Kelly Schoner</t>
  </si>
  <si>
    <t>Schoner</t>
  </si>
  <si>
    <t>Ms. Kelly Schoner serves as Continuous Improvement Consultant, MMUS at Massachusetts Mutual Life Insurance. Previously, Ms. Schoner served as a Strategic Business Consultant, US Insurance Group. She has a BS in Finance from Boston College.</t>
  </si>
  <si>
    <t>kschoner@massmutual.com</t>
  </si>
  <si>
    <t>Continuous Improvement Consultant, MMUS</t>
  </si>
  <si>
    <t>427201-39P</t>
  </si>
  <si>
    <t>Mary Fortin</t>
  </si>
  <si>
    <t>Fortin</t>
  </si>
  <si>
    <t>Ms. Mary Fortin serves as Chief Financial Officer at MassMutual Financial Group.</t>
  </si>
  <si>
    <t>mary@massmutual.com</t>
  </si>
  <si>
    <t>197230-69P</t>
  </si>
  <si>
    <t>Michael O'Connor</t>
  </si>
  <si>
    <t>Mr. Michael O'Connor serves as General Counsel at MassMutual Financial Group. He also serves as Board Member at C.M. Life Insurance Company. He serves as Trustee at MML Bay State Life Insurance Company.</t>
  </si>
  <si>
    <t>moconnor@massmutual.com</t>
  </si>
  <si>
    <t>86523-22P</t>
  </si>
  <si>
    <t>Richard Goldstein</t>
  </si>
  <si>
    <t>Mr. Richard Goldstein serves as Vice President, Benefits at Massachusetts Mutual Life Insurance.</t>
  </si>
  <si>
    <t>richardgoldstein@massmutual.com</t>
  </si>
  <si>
    <t>Vice President, Benefits</t>
  </si>
  <si>
    <t>65881-36P</t>
  </si>
  <si>
    <t>William Silvanic</t>
  </si>
  <si>
    <t>Silvanic</t>
  </si>
  <si>
    <t>Mr. William Silvanic serves as Senior Vice President &amp; Actuary at MassMutual Financial Group.</t>
  </si>
  <si>
    <t>wsilvanic@massmutual.com</t>
  </si>
  <si>
    <t>Senior Vice President &amp; Actuary</t>
  </si>
  <si>
    <t>242072-83P</t>
  </si>
  <si>
    <t>Carolyn Kirk</t>
  </si>
  <si>
    <t>Massachusetts Technology Collaborative</t>
  </si>
  <si>
    <t>Ms. Carolyn Kirk serves as Chief Executive Officer at Massachusetts Technology Collaborative. Before her roles in state government, in 2007 she became the first woman popularly elected as Mayor of the City of Gloucester, going on to win three subsequent terms. With a strong mayor form of government, she was responsible for all aspects of the executive management of the City of Gloucester including public safety, public works, public health, community, and economic development, and served as a member of the elected School Committee. She holds a Graduate degree from Boston College.</t>
  </si>
  <si>
    <t>+1 (508) 870-0312</t>
  </si>
  <si>
    <t>kirk@masstech.org</t>
  </si>
  <si>
    <t>Westborough</t>
  </si>
  <si>
    <t>Westborough, MA</t>
  </si>
  <si>
    <t>75 North Drive</t>
  </si>
  <si>
    <t>01581</t>
  </si>
  <si>
    <t>+1 (508) 898-2275</t>
  </si>
  <si>
    <t>390185-38P</t>
  </si>
  <si>
    <t>Marc Leonetti</t>
  </si>
  <si>
    <t>Leonetti</t>
  </si>
  <si>
    <t>Mr. Marc Leonetti serves as Chief Financial Officer at Massachusetts Technology Collaborative.</t>
  </si>
  <si>
    <t>leonetti@masstech.org</t>
  </si>
  <si>
    <t>242066-71P</t>
  </si>
  <si>
    <t>Megan Marszalek</t>
  </si>
  <si>
    <t>Marszalek</t>
  </si>
  <si>
    <t>Ms. Megan Marszalek serves as Program Director, Entrepreneurial Ecosystems Innovation Institute at Massachusetts Technology Collaborative.</t>
  </si>
  <si>
    <t>+1 (508) 735-2017</t>
  </si>
  <si>
    <t>marszalek@masstech.org</t>
  </si>
  <si>
    <t>Program Director, Entrepreneurial Ecosystems Innovation Institute</t>
  </si>
  <si>
    <t>203574-25P</t>
  </si>
  <si>
    <t>Michael Kennealy</t>
  </si>
  <si>
    <t>Kennealy</t>
  </si>
  <si>
    <t>Mr. Michael Kennealy served as Co-Chairman at Massachusetts Life Sciences Center. Mr. Kennealy served as a Board Member at Massachusetts Clean Energy Center. He serves as Co-Chairman at Decoy Therapeutics. In early 2015, he joined the Administration as Assistant Secretary for Business Growth. As Assistant Secretary, he played an integral role in advancing the administration strategy for job creation and business development across the entire Commonwealth and provided leadership in key sectors, including serving as co-chair of the board of the Massachusetts Life Sciences Center. He combines a successful track record in the private sector with a strong commitment to the public good. He began his career in private equity at TA Associates, a Boston-based firm. In 1997, he joined Spectrum Equity, a private equity firm founded in 1994 with offices in Boston and San Francisco. During his more than 15 years at Spectrum, he helped grow the firm to become an established market leader with nearly $5 billion in assets under management and investments in over 100 high-growth internet, software, and information services companies. After his career in private equity, he spent two years as Special Advisor to the Receiver at Lawrence Public Schools, where he worked with the state-appointed superintendent/receiver on strategic and financial initiatives to support the school district turnaround plan. He received an A.B. in Government from Dartmouth College and an M.B.A. from Harvard Business School.</t>
  </si>
  <si>
    <t>143396-20P</t>
  </si>
  <si>
    <t>Patrick Larkin</t>
  </si>
  <si>
    <t>Larkin</t>
  </si>
  <si>
    <t>Mr. Patrick Larkin serves as Deputy Director, MassTech, and Director, Innovation Institute at Massachusetts Technology Collaborative. He is the Founder and Director of the Innovation Institute, the economic development division of the MassTech Collaborative (MassTech), one of the nation's first state agencies to focus on innovation-based economic development. The Innovation Institute at MassTech collaborates across sectors and regions to support the Commonwealth's Innovation Economy, which drives jobs, startups, and business growth. Mr. Larkin is one of the Commonwealth's earliest practitioners to focus on collaboration between industry, academia, and government to strengthen ecosystems for innovation and devise and deploy pathways for economic growth and opportunity. A nationally recognized economic development organization, the Innovation Institute's efforts include playing a leading role in facilitating innovation-driven economic growth in Gateway Cities through nimble public sector investments and customized, on-the-ground intervention to seed the conditions for sustainable economic growth.</t>
  </si>
  <si>
    <t>larkin@masstech.org</t>
  </si>
  <si>
    <t>2 Center Plaza</t>
  </si>
  <si>
    <t>242069-14P</t>
  </si>
  <si>
    <t>William Fuqua</t>
  </si>
  <si>
    <t>Fuqua</t>
  </si>
  <si>
    <t>Mr. William Fuqua serves as Program Manager, Innovation Institute at Massachusetts Technology Collaborative.</t>
  </si>
  <si>
    <t>fuqua@masstech.org</t>
  </si>
  <si>
    <t>Program Manager, Innovation Institute</t>
  </si>
  <si>
    <t>84558-97P</t>
  </si>
  <si>
    <t>Anarghya Vardhana</t>
  </si>
  <si>
    <t>Anarghya</t>
  </si>
  <si>
    <t>Vardhana</t>
  </si>
  <si>
    <t>Maveron</t>
  </si>
  <si>
    <t>Ms. Anarghya Vardhana serves as General Partner at Maveron. She serves as an Advisor at Goodbill. She serves as Board Member at Alife, Odela and Co-Star. She also serves as Board Member at NextGen Partners. She formerly served as Principal. She served as an Investor at Rothenberg Ventures. She published a math theorem at the age of 17 which set her on a lifelong path in STEM. Prior to entering the world of venture capital, she worked for several startups as the product manager and head of the product capacity, including the early founding teams of Fintech and Healthtech companies. She also expanded her product experience to the non-profit and developing world through her work for Ushahidi, where she was a product manager and led user experience research across South America and East Africa. Before entering the startup world, she held various roles at Google, leading operational teams and focusing on the international expansion of the AdWords Express product. Prior to joining Maveron, she was an investor at Rothenberg Ventures where she focused on consumer and media investments while also spending significant time focusing on frontier technology. Within the portfolio, she is a board observer for Booster Fuels. She also served as a Board Member at Masse. She attended Stanford University where she studied Science, Technology, and Society, focusing on math and computer science.</t>
  </si>
  <si>
    <t>anarghya@maveron.com</t>
  </si>
  <si>
    <t>1550 Bryant Street</t>
  </si>
  <si>
    <t>+1 (415) 373-6250</t>
  </si>
  <si>
    <t>13598-74P</t>
  </si>
  <si>
    <t>Daniel Levitan</t>
  </si>
  <si>
    <t>Levitan</t>
  </si>
  <si>
    <t>Mr. Daniel Levitan is a Co-Founder and serves as a General Partner at Maveron. He serves as a Board Member at Chariot and Cumulus. He serves as a Board Member, Member of the Compensation Committee, and Member of the Nominating and Corporate Governance Committee at Trupanion. He serves as a Board Member at Pro.01/01/1998 Maveron, Pacaso, AllBbirds, and Daring Foods. He also serves as a Board Member at Landing. He was a Board Member of Arivale. Since co-founding the firm with Howard Schultz 16 years ago, he has led many of the firm's successful investments, including Zulily, Capella Education, and Potbelly. Forbes recently named him to its Midas List magazine's annual ranking of the top 100 VCs in the world. He currently serves on the board of directors of Pinkberry, Potbelly, and Trupanion and recently led the Fund's investment in Peach. Before co-founding Maveron, he spent 15 years in investment banking, focused primarily on consumer businesses. During his banking career, he helped more than 100 companies go public, make strategic acquisitions, or monetize the equity value they had created. He met Howard Schultz in 1991 when Starbucks began planning for its IPO and eventually helped the company go public. He has acted as a board member of numerous private, public, and philanthropic organizations, including the Rock Center for Entrepreneurship at Harvard Business School, where he regularly acts as a judge and mentor in the annual New Venture Competition. He serves on the board of the Seattle Children's Hospital Foundation and is currently Chairman of Hope for Heroism, a charity that helps wounded Israeli combat soldiers. He is a graduate of Duke University (BA) and Harvard Business School (MBA).</t>
  </si>
  <si>
    <t>+1 (206) 288-1700</t>
  </si>
  <si>
    <t>dan@maveron.com</t>
  </si>
  <si>
    <t>411 First Avenue South</t>
  </si>
  <si>
    <t>+1 (206) 288-1777</t>
  </si>
  <si>
    <t>42332-68P</t>
  </si>
  <si>
    <t>David Wu</t>
  </si>
  <si>
    <t>Mr. David Wu serves as a Venture Partner at Maveron. Mr. Wu served as Board Advisor at WePay. He joined the company in 2012 to help identify new investments in emerging consumer Internet companies. He serves as a Board Member at Illumix. He was a Board Member of Darby Smart. He is a successful entrepreneur, technology executive and angel investor who began his two-decade career in the computer and Internet industries, writing a few hundred thousand lines of C++ code at Scitor and Synopsys. He subsequently spent 10 years at Homestead.com, where he was chief product officer, Chief Financial Officer and Chief Operating Officer, helping grow the company to more than 400,000 paying subscribers and its eventual acquisition by Intuit for $170 million in 2007. Following the acquisition of Homestead, he managed a variety of Intuit's businesses as a vice president in the Small Business Group, including QuickBooks Online and Intuit.com. At Intuit and Homestead, he worked with Homestead board member, Intuit Board Chairman and the company Senior Advisor Bill Campbell, who recommended him to the company. He led the company's investments in Darby Smart and Aria Innovations and served on each company's board. He sourced and led company IV's investment in August Home, where he was a board member, as well as several company seed investments. He has strong ties to the Silicon Valley entrepreneurial community. Prior to joining the company, he invested in 22 startups, including SeatMe, Practice Fusion, Sociable Labs, Postmates, Beautylis and Taulia (on June 30, 2014, this portfolio was marked at 4.4x cost). He can often be found coaching and mentoring entrepreneurs at Stanford Business School and top Bay Area incubators, such as Y-Combinator, AngelPad, 500Startups, and Stanford's StartX. He recently served on the Board of Directors of company IV portfolio company, SeatMe, which was acquired by Yelp (NASDAQ: YELP) and as the Internet Committee chair on the Deal Screening Committee for the Band of Angels, Silicon Valley's oldest seed funding organization. He is a Bay Area native and holds a BS in electrical engineering and a BA in economics from Stanford University. He served as the Board Member and Advisor at Instamotor.</t>
  </si>
  <si>
    <t>357117-40P</t>
  </si>
  <si>
    <t>Hunter Lampson</t>
  </si>
  <si>
    <t>Lampson</t>
  </si>
  <si>
    <t>Mr. Hunter Lampson serves as Chief of Staff at Maveron. He earned his Bachelor's degree in Cultural Anthropology from Amherst College.</t>
  </si>
  <si>
    <t>hunter@maveron.com</t>
  </si>
  <si>
    <t>33214-51P</t>
  </si>
  <si>
    <t>Jason Stoffer</t>
  </si>
  <si>
    <t>Stoffer</t>
  </si>
  <si>
    <t>Mr. Jason Stoffer serves as Chief Investment Officer and General Partner at Maveron. He serves as a Board Member at BookClub. He served as Board Member at The Guild. He is an Angel Investor. He served as a Board Member at , Parade, Lovevery, Imperfect Foods, Keeps, Julep, and Latimer Education. He served as Board Member at Dolly and Common. He aspired to be the world's greatest veterinarian. Now he herds cats of a different sort as a father to three young boys. He joined Maveron in 2007 after a pioneering role in online education and has become our resident expert in consumer education, e-commerce, and marketplace businesses. He likes to dig in and stay involved, and our companies are better for it. He is a diehard U of Michigan football fan and a voracious reader-historical fiction, science fiction, the classics. His love of animals never quite went away; he serves on the board of the Seattle Humane Society. He is a graduate of the University of Michigan (BA in economics) and the Wharton School at the University Of Pennsylvania (MBA). He serves as Board Member at Free Agency.</t>
  </si>
  <si>
    <t>jason@maveron.com</t>
  </si>
  <si>
    <t>223037-20P</t>
  </si>
  <si>
    <t>Jerry Lu</t>
  </si>
  <si>
    <t>Mr. Jerry Lu serves as Board Observer at Free Agency. He serves as a Partner at Maveron. He served as an Investor at Advancit Capital. Prior to Maveron, he was at Advancit Capital, a media-focused investment fund investing in tech-enabled, consumer, and next-generation media companies. In addition to completing his MBA at Wharton, he spent his time before becoming an investor as an operator, leading operations at Spate (a YC-backed startup using data to predict the next big consumer trends). He built his career as a data scientist at Google, where he helped to launch and grow YouTube's first paid subscription businesses (YouTube Red, YouTube Music, YouTube TV). After graduating with a BS and MS from UC Berkeley, he started his career in consumer tech and then spent several years in media, both as an operator and investor.</t>
  </si>
  <si>
    <t>jerry@maveron.com</t>
  </si>
  <si>
    <t>39078-37P</t>
  </si>
  <si>
    <t>Jodi Olson</t>
  </si>
  <si>
    <t>Jodi</t>
  </si>
  <si>
    <t>Olson</t>
  </si>
  <si>
    <t>Coordinator &amp; Executive Assistant</t>
  </si>
  <si>
    <t>Ms. Jodi Olson serves as Executive Assistant &amp; Event Coordinator at Maveron. Her invaluable administrative talents help support the Investment team. Formerly, she worked at Comerica Bank for five years as a Pacific Northwest regional administrative officer in the technology and life sciences division where she managed the administrative staff. She also worked as an administrator in the venture capital industry for several years-at InterWest Partners and The Phoenix Partners-prior to her role at Comerica Bank. Jodi plays an active role in fund raising for the YMCA's Partners with Youth Campaign. Family, sports, and travel are Jodi's passions. She adores her two nephews and enjoys watching their sporting events and playing sports with them. An experienced traveler, Jodi has been fortunate to tour the world with her family. She holds several administration certificates.</t>
  </si>
  <si>
    <t>jolson@maveron.com</t>
  </si>
  <si>
    <t>Executive Assistant &amp; Event Coordinator</t>
  </si>
  <si>
    <t>130893-85P</t>
  </si>
  <si>
    <t>Kyle Widrick</t>
  </si>
  <si>
    <t>Widrick</t>
  </si>
  <si>
    <t>Mr. Kyle Widrick serves as a Partner &amp; Investor at Pari Passu Venture Partners. He is a Co-Founder and serves as Chief Executive Officer and Board Member at WIN Brands Group. He serves as Venture Partner at Maveron. He is an Angel Investor. He co-founded and served as Chairman and Board Member at Brand Value Accelerator. He served as a Venture Partner at 7 Global Capital. Mr. Widrick also served as a Venture Partner at Crosslantic Capital. Mr. Widrick also served as External Advisor, US at SevenVentures. After opening the office for the group in 2014, his focus is on growing the USA team &amp; efforts in supporting the growth and expansion of American B2C companies to Europe. Before SevenVentures, he worked as the lead investment manager of a known family office based in New York City.</t>
  </si>
  <si>
    <t>kyle@ppvp.com</t>
  </si>
  <si>
    <t>Pari Passu Venture Partners</t>
  </si>
  <si>
    <t>169750-00P</t>
  </si>
  <si>
    <t>Natalie Dillon</t>
  </si>
  <si>
    <t>Ms. Natalie Dillon serves as Partner at Maveron. She serves as Principal at Maveron. She serves Board Member at NextGen Partners. She served as Senior Associate at Maveron. Previously, She served as an Investor at Susa Ventures. She came home from school one day with a simple note from her kindergarten teacher - She is good at patterns. Decades later, from spotting her opponents' errors on the tennis courts at Stanford to studying financial markets on Wall Street, to curating playlists on SoundCloud, She always loves identifying consumer trends and meeting people who defy the odds. Prior to Maveron, She was at Susa Ventures, a premier seed-stage fund in San Francisco. At Susa, She worked with the team to source and help diligence several investments, largely in the consumer space. Before Susa, She was a financial analyst at Goldman Sachs and a research associate at Silicon Valley Bank.</t>
  </si>
  <si>
    <t>ndillon@maveron.com</t>
  </si>
  <si>
    <t>172964-35P</t>
  </si>
  <si>
    <t>Nathan Apsel</t>
  </si>
  <si>
    <t>Apsel</t>
  </si>
  <si>
    <t>Mr. Nathan Apsel serves as Chief Operating Officer, Chief Financial Officer &amp; Partner at Maveron. Mr. Apsel served as Chief Financial Officer at Paradigm (Crypto Fund). Mr. Apsel served as Chief Financial Officer at 8VC. Prior to 8VC and Paradigm (Crypto Fund), Mr. Apsel served as a Senior Manager in PwC's Asset Management Practice based in San Francisco. Mr. Apsel also worked with a range of financial services clients, with a focus on alternative asset managers. He completed a tour at PwC's National Office in Florham Park, New Jersey. Mr. Apsel received a M.Acc and B.S. in Accounting from the University of Oregon. He is a CPA and is a member of the AICPA.</t>
  </si>
  <si>
    <t>+1 (541) 954-7435</t>
  </si>
  <si>
    <t>nathan@maveron.com</t>
  </si>
  <si>
    <t>Chief Operating Officer, Chief Financial Officer &amp; Partner</t>
  </si>
  <si>
    <t>348686-38P</t>
  </si>
  <si>
    <t>Raeann Yurman</t>
  </si>
  <si>
    <t>Raeann</t>
  </si>
  <si>
    <t>Yurman</t>
  </si>
  <si>
    <t>Ms. Raeann Yurman serves as the Operations Manager at Maveron. She brings a strong hospitality and administrative background to the Maveron team. She is always willing to help, with an infectious smile on her face. She joined the team in January 2019 and supports Anarghya Vardhana and Nathan Apsel, while managing the SF office. Before joining Maveron, She worked in support roles at Zendesk and she spent many years working in the hospitality industry.</t>
  </si>
  <si>
    <t>raeann@maveron.com</t>
  </si>
  <si>
    <t>197220-97P</t>
  </si>
  <si>
    <t>Simran Suri</t>
  </si>
  <si>
    <t>Simran</t>
  </si>
  <si>
    <t>Suri</t>
  </si>
  <si>
    <t>Ms. Simran Suri serves as Senior Associate at Maveron. She serves as Advisor at A-Level Capital. She also served as a Senior Associate at Equal Ventures Management. She is a sophomore double majoring in International Studies and Sociology as a part of the Global Social Change and Development program. This past summer, she worked at a medical practice, learning about the business aspect of healthcare. This summer, She will be working at a credit research firm in New York City in the metals/mining sector. On-campus, She works as an Associate Consultant for Nest Strategies, the student-run marketing consulting firm. She also serves as the Assistant Director of Finance for Alpha Phi and the Vice President of the JHU chapter of the Alexander Hamilton Society.</t>
  </si>
  <si>
    <t>simran@maveron.com</t>
  </si>
  <si>
    <t>406358-74P</t>
  </si>
  <si>
    <t>Casey Goldstein</t>
  </si>
  <si>
    <t>MCJ</t>
  </si>
  <si>
    <t>Mr. Casey Goldstein serves as an Investment Analyst at MCJ. He is a Co-Founder of College to Climate. He is passionate about bringing the next generation in to the climate space, through community and technology. He previously worked at Brightmerge, a climate tech startup helping develop models of load demand for EV fleets. In addition to his work at MCJ, he is the co-founder of College to Climate, a platform dedicated to helping college students and recent graduates find careers in the climate space. Based in Boston, he holds a B.S. in Computer Science from Duke University and received the 2024 Forever Duke Leadership Award.</t>
  </si>
  <si>
    <t>casey@mcjcollective.com</t>
  </si>
  <si>
    <t>867 Boylston Street</t>
  </si>
  <si>
    <t>5th floor Suite 1407</t>
  </si>
  <si>
    <t>50080-96P</t>
  </si>
  <si>
    <t>Cody Simms</t>
  </si>
  <si>
    <t>Simms</t>
  </si>
  <si>
    <t>Mr. Cody Simms serves as Managing Partner at MCJ. He is also the Co-Founder of Climate Changemakers, a non-profit advocacy organization. Previously, he served as Partner and Senior Vice President at Techstars, where he launched and operated Disney Accelerator. Earlier in his career, he held roles including Chief Product Officer at StumbleUpon, Vice President of Product Management at Yahoo, and Product Manager at The New York Times, Sprint, and NBC Internet / Snap.com. He has taught graduate programs at the USC Annenberg School for Communication and Journalism. He studied Chinese in college and lived in both Beijing and Guangzhou in the late 1990s, including time interning at the US Consulate during President Bill Clinton's trip to China in 1998. He got into tech in 1999 via pre-IPO Snap.com / NBC He holds an MA in Communication and Media Studies from the University of London and a BA in History and East Asian Studies from the University of Kansas.</t>
  </si>
  <si>
    <t>cody@mcj.vc</t>
  </si>
  <si>
    <t>181004-41P</t>
  </si>
  <si>
    <t>Courtney Flynn</t>
  </si>
  <si>
    <t>Ms. Courtney Flynn serves as Chief Financial Officer at MCJ. She is the Chief Financial Officer of MCJ. In this role, she is responsible for MCJ's financial and accounting operations, including financial reporting, fund administration, portfolio monitoring, capital management, and firm operations. Before joining MCJ in 2024, She was the VP of Finance &amp; Controller at Pacific Lake Partners, where she managed the finance function for funds with more than $1.6B in AUM. Before Pacific Lake, She was with Leerink Capital Partners, IPS Fund Services, and EY. She is a Certified Public Accountant and holds a B.B.A. in Accounting from the University of Massachusetts Amherst.</t>
  </si>
  <si>
    <t>courtney@mcjcollective.com</t>
  </si>
  <si>
    <t>13456-63P</t>
  </si>
  <si>
    <t>David Aronoff</t>
  </si>
  <si>
    <t>Aronoff</t>
  </si>
  <si>
    <t>Mr. David Aronoff serves as Chairman and Managing Partner at MCJ. He serves as a Board Member at Draper Laboratories, BitSight Technologies, Aliro, NetBox Labs and iDirect Government. Before joining MCJ in October 2020, he spent fifteen years as a General Partner at Flybridge Capital Partners. Before this, Aronoff spent nearly a decade focusing on early-stage investing at Greylock Partners and held management roles at Chipcom, an enterprise network equipment vendor where he led development efforts in Ethernet switches and routers. While working full-time on his MBA, he co-founded the Attitude Network (acquired by TheGlobe.com), an Internet content startup with the top two game sites of the day, HappyPuppy.com and GamesDomain.com. Earlier in his career, he held technical positions at Bell Laboratories, where he developed cybersecurity software and network systems. He was a Co-Founder and served as a Board Member at Minim (Business/Productivity Software). He also serves as an Investor at Apiary. He also serves as a Member of the Board of Directors at VCET Capital. He holds a BS in Computer Science from the University of Vermont, cum laude and with college honors, an MS in Computer Engineering from the University of Southern California, and an MBA with Distinction from Harvard Business School.</t>
  </si>
  <si>
    <t>+1 (802) 656-3880</t>
  </si>
  <si>
    <t>david@mcjcollective.com</t>
  </si>
  <si>
    <t>Burlington, VT</t>
  </si>
  <si>
    <t>266 Main Street</t>
  </si>
  <si>
    <t>05401</t>
  </si>
  <si>
    <t>Flybridge (New York) (Former)</t>
  </si>
  <si>
    <t>189452-08P</t>
  </si>
  <si>
    <t>Jason Jacobs</t>
  </si>
  <si>
    <t>Mr. Jason Jacobs is the Founder and serves as Venture Partner at MCJ. He co-founded and served as Chief Executive Officer at Two Way Labs. He served as a Mentor at Rough Draft Ventures. He serves as Executive at Evergrow (Environmental Services (B2B)). He knew he wanted to make his next chapter about the purpose and wanted to help with climate change, but he didn't know how. So he started talking with fascinating and accomplished people and soon after started recording those conversations. In doing so, MCJ was born. Previously, He was the Founder and CEO of Runkeeper, which he led from 2008 through the company's acquisition by ASICS for $85M in March 2016. Post-acquisition, He served as ASICS Corporation's Global Head of Digital. After departing ASICS, He had one entrepreneurial false start before finding his path in climate. He recounted his entrepreneurial journey in detail during his turn as a My Climate Journey show guest in early 2022. He has a BA from Wesleyan University and an MBA from Babson College, where he was an Olin Fellow. Most of his free minutes today are spent running or at the youth hockey rink, and you can follow his every thought on Twitter, he promises not to hold anything back.</t>
  </si>
  <si>
    <t>jason@mcj.vc</t>
  </si>
  <si>
    <t>432775-18P</t>
  </si>
  <si>
    <t>Jenn Beening</t>
  </si>
  <si>
    <t>Beening</t>
  </si>
  <si>
    <t>Ms. Jenn Beening serves as Director of Marketing at MCJ.</t>
  </si>
  <si>
    <t>jenn@mcj.vc</t>
  </si>
  <si>
    <t>438518-80P</t>
  </si>
  <si>
    <t>Lauren Miller</t>
  </si>
  <si>
    <t>Ms. Lauren Miller serves as Head of Talent at MCJ.</t>
  </si>
  <si>
    <t>lauren@mcjcollective.com</t>
  </si>
  <si>
    <t>39891-43P</t>
  </si>
  <si>
    <t>Thai Nguyen</t>
  </si>
  <si>
    <t>Mr. Thai Nguyen serves as Partner at MCJ. He served as Director of Business Development at Luxe. He served as the Chief Executive Officer of Jobaphiles. He joined MCJ at the start of 2020, originally supporting initiatives across content, community, and its earliest climate investments. He relishes the breadth of perspectives and resources the MCJ Community offers and strives to channel that in supporting entrepreneurs tackling the climate crisis. An operator who has worked in large organizations as well as early-stage startups, He spent several years in product management and business development at Intuit. He went on to lead business development, partnerships, and sales at on-demand valet parking startup, Luxe. He then spent several years working on new mobility technologies in the automotive sector, serving clients such as Volvo Cars. Focused on how MCJ can catalyze climate tech innovation, he delights in the opportunity to meet new founders and explore ways he can help advance their vision. He has a B.A. in Computer Science and Asian Studies from Williams College.</t>
  </si>
  <si>
    <t>thai@mcjcollective.com</t>
  </si>
  <si>
    <t>294830-29P</t>
  </si>
  <si>
    <t>Yin Lu</t>
  </si>
  <si>
    <t>Yin</t>
  </si>
  <si>
    <t>Ms. Yin Lu serves as Partner at MCJ. Her focus at MCJ is on community strategy, investments, and post-investment support, all with a lens toward ensuring diversity, equity, and inclusion are at the forefront of decision-making. She previously worked on DEI efforts at Sheryl Sandberg &amp; Dave Goldberg Family Foundation and was GM of Khan Academy's international business, where she and her team scaled Khan Academy's content into 30 languages and launched offices in Mexico, Brazil, Peru, and India. She also built up the first community, international and marketing teams at Coursera. She began her tech career at Google and Microsoft. As the mother of 2 young children, She is deeply committed to helping ensure climate solutions scale responsibly in making a multi-generational impact. Outside of family and work, She holds a B.A. in Economics and M. Ed. in counseling, both from UCLA.</t>
  </si>
  <si>
    <t>yin@mcjcollective.com</t>
  </si>
  <si>
    <t>308035-72P</t>
  </si>
  <si>
    <t>Amy Li</t>
  </si>
  <si>
    <t>Medley Partners Management</t>
  </si>
  <si>
    <t>Ms. Amy Li serves as Controller at Medley Partners. Prior to joining Medley in 2018, she was a Senior Audit Associate at RSM US LLP, where she led financial statement audits for private equity funds, venture capital funds, and not-for-profit organizations. She earned a BS in Business Administration from San Francisco State University and is a Certified Public Accountant.</t>
  </si>
  <si>
    <t>+1 (415) 375-8790</t>
  </si>
  <si>
    <t>ali@medleyp.com</t>
  </si>
  <si>
    <t>One Market Street</t>
  </si>
  <si>
    <t>Spear Tower, Suite 4100</t>
  </si>
  <si>
    <t>+1 (415) 956-2084</t>
  </si>
  <si>
    <t>12994-66P</t>
  </si>
  <si>
    <t>Brent Whisenant JD</t>
  </si>
  <si>
    <t>Whisenant</t>
  </si>
  <si>
    <t>Mr. Brent Whisenant serves as Managing Director at Medley Partners. He served as Board Member at Siva Power. He joined Medley from The Carlyle Group, where he was a Managing Director with its growth equity fund based in San Francisco. Prior to joining Carlyle, Brent worked in the Mergers &amp; Acquisitions group at Robertson Stephens &amp; Company in San Francisco, where he joined after working as an Associate at Cravath, Swaine &amp; Moore in New York City. Prior to law school, Brent practiced as a CPA with Price Waterhouse in New York City. Brent received his J.D. degree from Columbia Law School and a B.S. from Brigham Young University.</t>
  </si>
  <si>
    <t>brent@medleyp.com</t>
  </si>
  <si>
    <t>42237-64P</t>
  </si>
  <si>
    <t>Edson Maduwura</t>
  </si>
  <si>
    <t>Edson</t>
  </si>
  <si>
    <t>Maduwura</t>
  </si>
  <si>
    <t>Mr. Edson Maduwura serves as Chief Financial Officer &amp; Chief Compliance Officer at Medley Partners. Mr. Maduwura joined Medley from Capital Dynamics where he was the Vice President responsible for accounting, and tax. Before Capital Dynamics, he was a Vice President in the Alternative Funds Services division of HSBC Bank US NA. Previously, he worked for Deloitte and Touché as an auditor for six years. He has over 10 years of private equity fund administration and auditing experience. He holds a Bachelor's degree in Accounting from the University of Zimbabwe. He also holds the professional designations of Chartered Financial Analyst (CFA), and Certified Public Accountant (CPA) and is a retired Chartered Accountant in Zimbabwe.</t>
  </si>
  <si>
    <t>edson@medleyp.com</t>
  </si>
  <si>
    <t>56076-40P</t>
  </si>
  <si>
    <t>Lorraine Suen</t>
  </si>
  <si>
    <t>Suen</t>
  </si>
  <si>
    <t>Ms. Lorraine Suen serves as Managing Director at Medley Partners. She focuses on fund commitments, co-investments, and secondaries across private equity and venture capital strategies. Before joining Medley in 2018, she was a Vice President at Capital Dynamics in their New York and San Francisco offices, where she spent nine years focused on fund and secondary investing in the US and on a global basis. Previously, she gained investment banking experience, focusing on cross-border mergers &amp; acquisitions, as an associate at EuroConsult Capital in New York. She earned a BS in Finance &amp; Management from Purdue University, the Krannert School of Management.</t>
  </si>
  <si>
    <t>lorraine@medleyp.com</t>
  </si>
  <si>
    <t>398856-52P</t>
  </si>
  <si>
    <t>Luwei Xiong</t>
  </si>
  <si>
    <t>Luwei</t>
  </si>
  <si>
    <t>Ms. Luwei Xiong serves as an Associate at Medley Partners. She is involved in all of the firm's investment activities. Before joining Medley in 2023, she was an investment analyst at SVB in their SF office, focusing on fixed-income research and portfolio management. Before that, she was an investment analyst at Vanguard's investment management group. She earned a BA in Economics from Yale University.</t>
  </si>
  <si>
    <t>luwei@medleyp.com</t>
  </si>
  <si>
    <t>42238-00P</t>
  </si>
  <si>
    <t>Mark Heising</t>
  </si>
  <si>
    <t>Mr. Mark Heising is the Founder of Medley Partners. Mr. Heising is an Angel Investor. He also serves on a Board of Directors at Renaissance Technologies. He is also a co-founder and vice chairman of the Heising-Simons Foundation. He serves as Chairman of the Board of Trustees at the Environmental Defense Fund. and as a Board member at Sion Power. Previously he was the Founder of VLSI Cores, which designed and licensed cryptographic integrated circuits. He holds six U.S. Patents in cryptography, compression, and data communications. On the non-profit side, he currently serves on the Board of Directors of the Bipartisan Policy Center, the Environmental Defense Fund, and the Heising-Simons Foundation. He served as Chairman at Siva Power. He earned a BS in Physics and an MS in Electrical Engineering and Computer Sciences from the University of California at Berkeley.</t>
  </si>
  <si>
    <t>mark@medleyp.com</t>
  </si>
  <si>
    <t>40480-66P</t>
  </si>
  <si>
    <t>Pascal Villiger</t>
  </si>
  <si>
    <t>Villiger</t>
  </si>
  <si>
    <t>Mr. Pascal Villiger serves as Managing Director at Medley Partners. Prior to joining Medley, Pascal was a Portfolio Manager at CalSTRS and was part of the team responsible for managing the private equity portfolio. Previously, Pascal spent the ten years working as an investment banker focused on providing financial advisory services to corporate clients and the private equity community. Pascal was most recently an Executive Director with UBS in San Francisco focused on the technology industry and prior to that was at Banc of America Securities LLC. Pascal earned a BS and MBA from the University of Texas in Austin.</t>
  </si>
  <si>
    <t>pascal@medleyp.com</t>
  </si>
  <si>
    <t>42238-18P</t>
  </si>
  <si>
    <t>Peter Phillips</t>
  </si>
  <si>
    <t>Mr. Peter Phillips serves as Managing Director at Medley Partners. He joined Medley from Deutsche Bank Securities, where he was an Analyst and an Associate in the global investment banking division based in New York. At Deutsche Bank, he was engaged in LBO, recapitalization, and corporate advisory transactions, working for two years in the Leveraged Finance Group and two years in the Commercial Real Estate Group. he earned his BA in Economics from Middlebury College, where he graduated cum laude and with All-Academic honors.</t>
  </si>
  <si>
    <t>peter@medleyp.com</t>
  </si>
  <si>
    <t>264932-92P</t>
  </si>
  <si>
    <t>Troy Waddell</t>
  </si>
  <si>
    <t>Mr. Troy Waddell serves as Vice President at Medley Partners. He is involved across all of the firm's investment activities. Before joining Medley in 2021, he was an Analyst at Barings in their Charlotte office, where he focused on investing in private equity and real asset funds, co-investments, and secondaries on behalf of institutional clients. He earned a BS in Finance from Wake Forest University.</t>
  </si>
  <si>
    <t>troy@medleyp.com</t>
  </si>
  <si>
    <t>387297-19P</t>
  </si>
  <si>
    <t>Chris Pinto</t>
  </si>
  <si>
    <t>Menterra</t>
  </si>
  <si>
    <t>Mr. Chris Pinto serves as Investment Analyst at Menterra. He believes in the transformative impact of focused capital and innovation, and the crucial roles they must play in addressing the complex challenges society is faced with. Guided by this conviction, he strives to unite capital with purpose at Menterra. He brings with him a unique perspective, having previously gained experience in both technology and quantitative risk at Nomura. In his most recent role, he focused on building and improving risk models, exploring better quantitative techniques, and ensuring model compliance. In technology he was involved in building data tools and analytical solutions for teams across regions, including the use of machine learning algorithms. He is a merit award recipient for his B.Tech in Computer Engineering at NMIMS' Mukesh Patel School of Technology Management and Engineering. He has also earned the FRM designation and has cleared all three levels of the CFA program.</t>
  </si>
  <si>
    <t>+91 (0)80 4210 4208</t>
  </si>
  <si>
    <t>chris@menterra.com</t>
  </si>
  <si>
    <t>Indiranagar, 2nd Stage</t>
  </si>
  <si>
    <t>216, Alfa Center, 2nd Floor</t>
  </si>
  <si>
    <t>221172-40P</t>
  </si>
  <si>
    <t>George Thomas</t>
  </si>
  <si>
    <t>Mr. George Thomas serves as Chief Executive Officer, Partner &amp; Head of Asset Management at Menterra. He serves as Board Member at Adiuvo Diagnostics. George Thomas is a Postgraduate in Humanities from St. Stephen's College, Delhi University. His early professional career was with Unilever's food businesses in India. After working with India Value Fund Advisors for several years, in late 2011, he founded CapAleph Advisors India Private Limited, a PE fund. At Menterra, he leads the initiative to build a deep past-investment operating team and deepen the fund-incubator platform.</t>
  </si>
  <si>
    <t>george@menterra.com</t>
  </si>
  <si>
    <t>Chief Executive Officer, Partner &amp; Head of Asset Management</t>
  </si>
  <si>
    <t>67577-05P</t>
  </si>
  <si>
    <t>Mukesh Sharma</t>
  </si>
  <si>
    <t>Mukesh</t>
  </si>
  <si>
    <t>Mr. Mukesh Sharma is a Co-Founder and serves as Partner &amp; Head-Investment Management at Menterra. He serves as Board Member at Adiuvo Diagnostics. He served as Board Member at Biosense Technologies. He served as Chief Investment and Incubation Officer at Villgro. He has over 10 years of experience in private equity, investment banking and early-stage investing. He has worked on over 50 buy-side and sell-side transactions with an investment value of US$500m and more. He has executed deals in the emerging and frontier markets in India, Middle East, North Africa, South-East Asia and Eastern Europe.</t>
  </si>
  <si>
    <t>mukesh@menterra.com</t>
  </si>
  <si>
    <t>Co-Founder, Partner &amp; Head-Investment Management</t>
  </si>
  <si>
    <t>262426-24P</t>
  </si>
  <si>
    <t>Palamadai Ganapathy</t>
  </si>
  <si>
    <t>Palamadai</t>
  </si>
  <si>
    <t>Ganapathy</t>
  </si>
  <si>
    <t>Mr. Palamadai Ganapathy is a Co-Founder &amp; serves as Chairman at Haqdarshak. He is an Angel Investor. He is a Co-Founder &amp; Advisor at Menterra. He is also a Co-Founder of Haqdarshak Empowerment Solutions and also serves as its Director. He served as a Board member at Artoo. He also served as President, India at Villgro Innovation Marketing. He has operational and strategic responsibility for all major programs that make Villgro's vision a reality. In addition to running Villgro's programs, he directly mentors several social enterprises in the Villgro portfolio, spending significant amounts of time helping entrepreneurs overcome their challenges and scale. He is also actively involved in building the social enterprise ecosystem in India, through organizations like the Aspen Network of Development Entrepreneurs, by active participation in various industry bodies and working groups, and by giving inspirational talks at forums like TEDx. Prior to Villgro, he co-founded a venture-funded startup and held leadership positions at small and large corporations in India and the United States.</t>
  </si>
  <si>
    <t>+91 (0)93 7078 0374</t>
  </si>
  <si>
    <t>ganapathy@haqdarshak.com</t>
  </si>
  <si>
    <t>149, 12th Cross Road 2nd Phase</t>
  </si>
  <si>
    <t>J.P. Nagar</t>
  </si>
  <si>
    <t>560078</t>
  </si>
  <si>
    <t>Haqdarshak</t>
  </si>
  <si>
    <t>67575-52P</t>
  </si>
  <si>
    <t>Paul Basil</t>
  </si>
  <si>
    <t>Mr. Paul Basil is a Co-Founder and serves as Partner &amp; Head-Impact Management at Menterra. He serves as a Board Member at Chrysalis. He is the Founder and serves as a Board Member at Villgro, where he previously served as Chief Executive Officer. He served as a Board Member at Aibono. He serves as a Board Member at Stones2Milestones. He founded Villgro in 2001 with the mission of incubating early-stage, innovative businesses and has since worked in discovering thousands of innovations and innovators, and incubated over 100 businesses that have had an impact on the lives of more than 15 million people living in India. He has contributed to building the social enterprise ecosystem in India through several initiatives- Unconvention, a platform for events on innovation and social entrepreneurship, and the Villgro Fellowship which recruits global mid-career professionals to experience social entrepreneurship. He serves as a Board Member at Nube Sol. He has a degree in mechanical engineering and is a postgraduate in forestry management.</t>
  </si>
  <si>
    <t>+91 (0)80 4163 1523</t>
  </si>
  <si>
    <t>paul@menterra.com</t>
  </si>
  <si>
    <t>Co-Founder, Partner &amp; Head-Impact Management</t>
  </si>
  <si>
    <t>38892-79P</t>
  </si>
  <si>
    <t>Adrian Fortino</t>
  </si>
  <si>
    <t>Fortino</t>
  </si>
  <si>
    <t>Mercury Fund</t>
  </si>
  <si>
    <t>Mr. Adrian Fortino serves as General Partner at Mercury Fund. He serves as a Board Member of the Michigan Venture Capital Association and WizeHire. He serves as a Board Member at ArborXR. He served as a Board Member at Sight Machine. He leads Mercury's Midwest office in Ann Arbor, Michigan, and focuses on investments in enterprise SaaS, industrial IoT, and tech-enabled service companies. Prior to joining Mercury, He was the Managing Director of Detroit Innovate, a seed-stage investment fund targeting seed investments in enabling technologies in healthcare, transportation, and industrial applications. During this time, He was also the Managing Director of the First Step Fund, a micro-investment, industry-agnostic fund focused on seed-stage companies in Southeast Michigan. Prior to Detroit Innovate and the First Step Fund, He co-founded three software companies: Sidecar (acq. by GM), ShepherdIS, and FlockTAG. Prior to founding startup companies, He was the Manager of Powertrain Development with Ricardo, a global engineering consultancy focusing on the automotive, cleantech, military, and industrial sectors. He received his BSE in Mechanical Engineering from the University of Michigan and an MBA with High Distinction from the Ross School of Business at the University of Michigan. Outside of Mercury, He teaches venture capital classes at the University of Michigan College of Engineering. He also serves on the board of the Michigan Venture Capital Association and the advisory boards of First Capital Fund and the Ann Arbor Entrepreneurs Fund.</t>
  </si>
  <si>
    <t>+1 (713) 715-6820</t>
  </si>
  <si>
    <t>adrian@mercuryfund.com</t>
  </si>
  <si>
    <t>3737 Buffalo Speedway</t>
  </si>
  <si>
    <t>Suite 1750</t>
  </si>
  <si>
    <t>418138-30P</t>
  </si>
  <si>
    <t>Aileen Allen</t>
  </si>
  <si>
    <t>Aileen</t>
  </si>
  <si>
    <t>Ms. Aileen Allen serves as Venture Partner at Mercury Fund. Prior to joining Mercury, she spent 15+ years in B2B software GTM, leading marketing and BDR teams at world-class SaaS companies. She oversaw product marketing teams and ecosystem GTM at Atlassian during the company's hyper-growth phase (pre and post-IPO), and it's at Atlassian where she developed a deep level of expertise in PLG and layered sales motions. She subsequently served as a marketing executive at Gremlin, Vanta, and Tailscale. She is an active angel investor and advisor - she enjoys partnering with founders and executives to design and execute go-to-market strategies, optimize customer journeys, and drive user/customer acquisition, expansion, and retention. She serves on the Board of Directors of Houston Angel Network, Texas' oldest angel investment group. She earned her BA in Mass Communication and Spanish from St. Edward's University.</t>
  </si>
  <si>
    <t>280952-65P</t>
  </si>
  <si>
    <t>Alexander Gras</t>
  </si>
  <si>
    <t>Gras</t>
  </si>
  <si>
    <t>Mr. Alex Gras serves as an Associate to Senior Associate at Mercury Fund. He served as Chief Commercial Officer at The Cannon. He got his Master's at Southern Methodist University. Engaging in this career trajectory afforded him opportunities to work in Argentina, Brazil, and the US, mastering all three languages of the Americas. After realizing being an "intrapreneur" has its limitations, he jumped at the opportunity to help foster collaborative, innovative entrepreneurial ecosystems for those looking to also spread their wings.</t>
  </si>
  <si>
    <t>alex.gras@mercuryfund.com</t>
  </si>
  <si>
    <t>Associate to Senior Associate</t>
  </si>
  <si>
    <t>74034-64P</t>
  </si>
  <si>
    <t>Andreas Galliker</t>
  </si>
  <si>
    <t>Galliker</t>
  </si>
  <si>
    <t>Mr. Andreas Galliker serves as Chief Financial Officer at Mercury Fund. Mr. Galliker also serves as Fund Administrator, GSqr Consulting at HX Venture Fund. Before joining Mercury, he worked with Cintrifuse, a Cincinnati-based venture capital fund-of-funds, and for Northcreek, a mid-market mezzanine fund. Before that, he was a Mandate Manager for an Audit, Tax, and Financial Advisory Firm, where he was responsible for annual reporting, audit mandates, and investment accounts. He received his BBA in Finance, and his M.S. in Finance, where he was a UGS Scholar, from the University of Cincinnati. He received a Swiss certified specialist in accounting and finance degree (CPA equivalent) from the Institute of Higher Business Education in Lucerne, Switzerland, and is a CFA charter holder and a member of the CFA Society Houston.</t>
  </si>
  <si>
    <t>andreas@mercuryfund.com</t>
  </si>
  <si>
    <t>36977-05P</t>
  </si>
  <si>
    <t>Aziz Gilani</t>
  </si>
  <si>
    <t>Aziz</t>
  </si>
  <si>
    <t>Gilani</t>
  </si>
  <si>
    <t>Mr. Aziz Gilani serves as General Partner at Mercury Fund. He serves as Board Member at MSPbots. He serves as Board Member at Trava. He served as Board Member at Amify. He focuses on investments in enterprise SaaS, Cloud and data science startups. Prior to joining Mercury, He was a Senior Engagement Leader with Infosys Consulting, an early executive at ABB Performance Services, a Senior Consultant at Cap Gemini Ernst &amp; Young, and an Analyst at Lotus Development Corp. He received his BBA from the University of Texas where he was a TILF Scholar, and his MBA from Northwestern University's Kellogg School of Management where he was an FC Austin Scholar.In addition, He is a graduate of the Kauffman Fellows Program through the Center for Venture Education, where he completed industry-defining field work on Seed Accelerators. He is a recognized expert in Seed Accelerators, and has been quoted in several national publications including The Wall Street Journal, The New York Times, BusinessWeek, ReadWriteWeb, TechCocktail, and The Business Journals. Outside of Mercury, He serves in advisory roles for the Mayor of Houston's Tech and Innovation Council, Seed Accelerator Rankings, and SXSW Interactive. He is also an adjunct professor of entrepreneurship at Rice's Jones Graduate School of Business where he teaches a course on venture capital. He serves as Board Member at RepeatMD.</t>
  </si>
  <si>
    <t>aziz@mercuryfund.com</t>
  </si>
  <si>
    <t>13161-43P</t>
  </si>
  <si>
    <t>Blair Garrou</t>
  </si>
  <si>
    <t>Garrou</t>
  </si>
  <si>
    <t>Mr. Blair Garrou is a Co-Founder and serves as Managing Partner at Mercury Fund. Mr. Garrou served as Venture Investor &amp; Board Member at TrackX (Business/Productivity Software). He also serves as a Governing Board Member at Houston Exponential. He served as a General Partner at The Collective. He also serves as an Advisor Board Member at Rice Alliance for Technology and Entrepreneurship. He focuses on investments in enterprise SaaS and cloud computing startups. He currently serves as a Board Member at Apto, Koupon Media, Cart.com, LISNR, ShareThis, Spruce (Media and Information Services (B2B)), Televet, and Trendkite. He also serves as a Board Observer at Mercury Software. He serves as an Advisor at Virtuix. His previous investments at Mercury have included Alert Logic, BlackLocus DÃ²nde, Infochimps, Patient I/O, and Phurnace Software. He served as a Venture Investor and Board Member at TrackX. Before co-founding Mercury, he was the CEO of Intermat, a leader in product information management software. Before Intermat, he was a Principal of Genesis Park, a Houston-based venture capital and private equity firm, where he focused on the firm's software investments, including Intermat, FuelQuest, and SAT Corporation ). Before Genesis Park, he helped launch and was the Director of Operations for the Houston Technology Center (HTC), the largest technology incubator in the state of Texas, and he led the formation of the Houston Angel Network, one of the largest and most active angel investment organizations in the U.S. Previously, he was an investment banker with BMO Nesbitt Burns and an auditor with Deloitte &amp; Touche. He is also a co-founder of Station Houston, the largest coworking accelerator in Houston, and SURGE Accelerator, a mentor-driven seed accelerator focused on entrepreneurs seeking to solve the world's energy problems using the software. Outside of Mercury, he serves in board and/or advisory roles for the Post Oak School, Rice Alliance, Texas Venture Capital Association, UTHealth, and YPO - Gulf States Chapter. He is an Adjunct Professor at the Jones Graduate School of Business at Rice University where he teaches a course on venture capital. He also was named to the Houston Business Journal's inaugural "40 under 40." He served as a Board Member at Performix, Amify and Label Insight. He received a B.S. in Management with special attainments in Commerce from Washington &amp; Lee University.</t>
  </si>
  <si>
    <t>blair@mercuryfund.com</t>
  </si>
  <si>
    <t>95086-81P</t>
  </si>
  <si>
    <t>Brad Van Otterloo</t>
  </si>
  <si>
    <t>Van Otterloo</t>
  </si>
  <si>
    <t>Mr. Brad Van Otterloo serves as Venture Advisor at Mercury Fund. He served as Chief Executive Officer at Koupon Media. He has almost two decades of proven leadership, working with clients across multiple verticals including Consumer Packaged Goods, Retail, Education, and Automotive. Previously, Brad was EVP of Revolution Education which grew to be the largest provider of online tutoring in the US. He earned his MBA from the University of Southern California and his Bachelor's degree from Miami University.</t>
  </si>
  <si>
    <t>420090-94P</t>
  </si>
  <si>
    <t>Cameron Mejia</t>
  </si>
  <si>
    <t>Mejia</t>
  </si>
  <si>
    <t>Mr. Cameron Mejia serves as Analyst at Mercury Fund. Prior to Mercury, he spent summers working at BlackRock in their Fixed Income group and at Vista Equity Partners as a Private Equity summer analyst. He received a BA in Global Affairs from Yale University where he was in Pierson College.</t>
  </si>
  <si>
    <t>cameron@mercuryfund.com</t>
  </si>
  <si>
    <t>318124-81P</t>
  </si>
  <si>
    <t>Chantell Preston</t>
  </si>
  <si>
    <t>Chantell</t>
  </si>
  <si>
    <t>Ms. Chantell Preston serves as Investor Relations at GOOSE Capital. She serves as a Venture Advisor at Mercury Fund. She serves as Board Member at VIC Technology Venture Development. She also serves as Board Member at Forest Devices. She is a seasoned professional with 20-plus years of experience in healthcare operations and in the healthcare innovation ecosystem as an investor, advisor, and strategist. Ms.Preston is distinguished by her ability to identify and develop sound business strategies. Throughout her career, she has helped organizations recognize their unique business advantage and position themselves as key players in the healthcare industry. Ms. Preston's desirable entrepreneurial and executive experience earns her a seat in the board room. Ms, Preston holds a Master of Business Administration from Sam Houston State University and a Bachelor in Business Administration in Marketing from Texas A&amp;M University.</t>
  </si>
  <si>
    <t>6100 Main Street</t>
  </si>
  <si>
    <t>Mail Stop Code 531</t>
  </si>
  <si>
    <t>77005-1827</t>
  </si>
  <si>
    <t>GOOSE Capital</t>
  </si>
  <si>
    <t>13161-52P</t>
  </si>
  <si>
    <t>Daniel Watkins Ph.D</t>
  </si>
  <si>
    <t>Dr. Daniel Watkinsis a Co-Founder and serves as Chief Strategy Officer &amp; Director at OmniScience. He is a Co-Founder &amp; serves as Venture Partner at Mercury Fund. Dr. Watkins serves as Chief Executive Officer at Pelagos Pharmaceuticals. He is the Co- Founder &amp; serves as Director at Mercury Data Science. He serves as a Board Member at ESG Solutions. He is also a Co-Founder and serves as Venture Partner at Mercury Fund. He also serves as Board Member at Ripple Science. He serves as Board Member at Resonant Therapeutics and Sinopsys Surgical. He served as Board Member at Benson Hill. He focuses on startups utilizing software, cloud computing, and/or machine learning to drive the next wave of scientific innovation in healthcare, agriculture, and other industrial markets. He currently serves on the boards of Mercury portfolio companies Benson Hill, Clean Chemistry, Deep Imaging, Resonant, Sinopsys, and Swift Biosciences. His previous investments at Mercury have included Crate Health (acq. by SCI Solutions). Before co-founding Mercury, he served in several operational roles including CEO of DNAtrix and Nanospectra Biosciences, both startup oncology companies. Previously, He was Vice President at a boutique investment banking firm and Worldwide Manager of Operations and Control Systems for Scientific Software-Intercomp (Baker Hughes).He served as Board Member at DNAtrix. He received his B.S. from Rice University and his M.S. and Ph.D. from Carnegie Mellon University, all in Materials Science. He is also a co-founder of the Rice Alliance for Technology and Entrepreneurship at Rice University. Outside of Mercury, he serves on the advisory boards of Northwestern University's Innovation and New Ventures Office (INVO), the Rice Alliance, the University of Michigan's Venture Center Council, and the University of Illinois Proof of Concept Fund Committee. He also serves as Board Member at Ambyint.</t>
  </si>
  <si>
    <t>+1 (832) 304-0281</t>
  </si>
  <si>
    <t>daniel@omniscience.bio</t>
  </si>
  <si>
    <t>Texas Medical Center Innovation, 2450 Holcombe Boulevard</t>
  </si>
  <si>
    <t>Suite 1220</t>
  </si>
  <si>
    <t>77021</t>
  </si>
  <si>
    <t>Co-Founder, Chief Strategy Officer &amp; Director</t>
  </si>
  <si>
    <t>OmniScience</t>
  </si>
  <si>
    <t>274878-55P</t>
  </si>
  <si>
    <t>Danielle Quinton</t>
  </si>
  <si>
    <t>Quinton</t>
  </si>
  <si>
    <t>Ms. Danielle Quinton serves as Vice President - Growth, Fractal River &amp; Venture Advisor at Mercury Fund. She has been working exclusively with startups since 2018. She is passionate about seeing her clients succeed by focusing on their customer's journey. Her role-up-the-sleeves approach to leadership enables her to design scalable, repeatable Sales, Onboarding, Customer Success, Support, and Service Delivery processes that can be reinforced with systemic tooling. She provides executive and leadership coaching to her clients and often serves as a fractional executive (COO, Director of CS, Director of Implementation, Director of Support) for startups when needed.</t>
  </si>
  <si>
    <t>Vice President - Growth, Fractal River &amp; Venture Advisor</t>
  </si>
  <si>
    <t>43176-88P</t>
  </si>
  <si>
    <t>Edward Hill</t>
  </si>
  <si>
    <t>Mr. Edward Hill serves as Executive at Service Provider Capital. He serves as a Venture Advisor at Mercury Fund. He has over 20 years of experience as an operator, consultant, and investor in technology companies, with a particular focus on communications, computing, and cloud technologies. Before joining Mercury, he was a Director with Sternhill Partners, a Texas-based early-stage venture capital firm, where he invested in and worked closely with pioneering start-ups in several important emerging markets, including WiFi (Boingo, IPO), WiMAX (Navini Networks, acq. by Cisco); blade servers (RLX Technologies, acq. by Hewlett-Packard); and virtualization (Surgient, acq. by Quest Software). Before Sternhill, he was with BellSouth Internet Services where he managed broadband operations during the initial deployment and growth of BellSouth's broadband Internet service. Before BellSouth, he was a consultant with McKinsey &amp; Co., focusing primarily on the communications industry; BroadBand Technologies, a start-up fiber-in-the-loop, telecom equipment manufacturer that went public in 1992, where he managed deployments throughout the U.S. and Puerto Rico; Alcatel Network Systems; and Siecor Corporation, a fiber optic cable manufacturer owned by Siemens and Corning. He earned a B.S. in Electrical Engineering from N.C. State University and an MBA from The Amos Tuck School at Dartmouth College where he was named an Edward Tuck Scholar. He currently sits on the boards of Mercury Fund portfolio companies Ambiq Micro, DeepField Networks, and Macheen, and is a board observer of Contour Energy Systems. In addition, he is a mentor with seed accelerators TechStars Cloud (San Antonio, TX) and TECH Wildcatters (Dallas, TX). Outside of Mercury, he serves on the boards of the Texas Venture Capital Association and the Rice Alliance for Technology &amp; Entrepreneurship. He is also an Adjunct Professor at the Jones Graduate School of Business at Rice University where he teaches a course on venture capital.</t>
  </si>
  <si>
    <t>ned@serviceprovidercapital.com</t>
  </si>
  <si>
    <t>Service Provider Capital</t>
  </si>
  <si>
    <t>42531-58P</t>
  </si>
  <si>
    <t>Edward Lou</t>
  </si>
  <si>
    <t>Lou</t>
  </si>
  <si>
    <t>Mr. Edward Lou serves as Board Director at MSPbots. Mr. Lou is also a Co-Founder of Codapet. He serves as Board Member at HiLink. He serves as Board Member at Chowbus. He served as Board Member at Paro &amp; Lemonlight. He also serves as President &amp; Board Member at Chowbus. He co-founded and served as Executive Chairman at Shiftgig. He served as Board Member &amp; Advisor at HumanPredictions. He serves as an Advisor at ReloShare. He serves as Board Member at The Mom Project. He serves as a Venture Partner at Mercury Fund. He is an active angel investor in over 60 early-stage tech companies and acts as a mentor, coach, advisor, or board director to many of them. He is a board director at The Mom Project, Albert.io, LemonLight, Human Predictions, Infi, and Chowbus. He is a co-founder of a stealth-mode pet startup. He grew the company from idea to 200 full-time employees across 13 cities serving 2,000 business clients and 30,000 hourly workers; he raised over $50M of institutional capital during a rapid growth period. He is also co-founder and board director of One Goal, a 501 (c) 3 non-profit that improves college acceptance and persistence by empowering urban high school students through a teacher-led 3-year fellowship. In the past few years, One Goal has grown to over 220 staff members and a $30 million annual budget in large part due to the program's success - 98% of program fellows get accepted to college and 78% are persisting. Since its inception, the program has grown from seven students in one school to 20,000 students in 600 schools across 6 cities. He was previously a general partner with OCA Ventures, in Fund I and Fund II, he invested in ten portfolio companies in software, consumer internet, and business services. As a board director or observer, he worked closely with management teams to scale their business, raise capital, and attract talent. He is a Board Member at DwellSocial. He received his M.B.A. in Finance and his B.S. in Mechanical Engineering from Washington University in Saint Louis. He was recognized in 2010 as one of Crain's Chicago Business' 40 Under 40, in 2011 as Chicago United's Business Leader of Color, and in 2012 as a Forbes Up and Comer, in 2015 as Techweek100, in 2016 as Crain's Chicago Business' Tech 50, and in 2016 as E&amp;Y's Entrepreneur of the Year Midwest finalist.</t>
  </si>
  <si>
    <t>+1 (312) 635-4042</t>
  </si>
  <si>
    <t>eddie@codapet.com</t>
  </si>
  <si>
    <t>PO BOX 10364</t>
  </si>
  <si>
    <t>60610</t>
  </si>
  <si>
    <t>Codapet</t>
  </si>
  <si>
    <t>149725-18P</t>
  </si>
  <si>
    <t>Emily Keeton</t>
  </si>
  <si>
    <t>Keeton</t>
  </si>
  <si>
    <t>Ms. Emily Keeton serves as Venture Advisor at Mercury Fund. Ms. Emily Keeton Co-Founded and serves as a Mentor at Station Houston. She served as Chief Executive Officer at Tempest. She served as a Board Member at ezCater. She served as Co-Head of Mergers &amp; Acquisitions at IAC. She served as Managing Director, of Creator Fund at WeWork. She served as Co-Head of Mergers &amp; Acquisitions at IAC/InterActive. She recently served as Co-founder and CEO of Flavour, a food and restaurant discovery app acquired by Tasting Table Media in 2015. Before this, She was Senior Vice President and Head of Corporate Development at Scripps Networks Interactive, where she was responsible for M&amp;A, partnerships, and international strategic development. Previously, She served as Senior Vice President of Corporate Development at Ascent Media Group Inc., as well as Managing Director in the Media and Telecommunications Investment Banking division at Donaldson, Lufkin, and Jenrette (now Credit Suisse), where she worked on financing and strategic transactions for media and entertainment companies. She is the Co-Founder of Station Houston, a technology incubator in Houston, Texas. She received her M.B.A. from Harvard Business School and her B.A. from Columbia University.</t>
  </si>
  <si>
    <t>61949-35P</t>
  </si>
  <si>
    <t>Erik Huddleston</t>
  </si>
  <si>
    <t>Huddleston</t>
  </si>
  <si>
    <t>Mr. Erik Huddleston serves as Chief Executive Officer at Aprimo. Mr. Huddleston serves as a Venture Advisor at Mercury Fund. He serves as a Board Member at TeleVet. He serves as an Executive Board Member and GTM Strategy at Quantified. He served as President at Cision Group. He served as Chief Executive Officer at TrendKite. He also serves as a Board Member at Ekos. his career started at the dawn of digital and he has watched the CMOs' march toward integrated marketing across paid, owned, and shared media. Many iconic companies have been created in the marketing technology space, but only the TrendKite vision, combined with digital PR, is enabling the CMO to invest in earned media reliably and scalably. On any given workday, you will find Mr. Nelson making sure the company is operating successfully, collaborating with colleagues, and above all-ensuring TrendKite customers are happy. Before leading TrendKite, he ran a product for Sprinklr, a post-merger with Social analytics firm Dachis Group. He ran the SaaS business, built, and brought to market Dachis Group's flagship social analytics platform that enables brands to optimize their paid, owned, and earned tactics through the lens of earned media. Mr. Nelson studied at the University of Texas at Austin in the Plan II Honors Program. Outside of the office, you'll find him mentoring young entrepreneurs, perfecting a martial arts move, or cheering on his kids at their sporting events.</t>
  </si>
  <si>
    <t>+1 (877) 297-8912</t>
  </si>
  <si>
    <t>erik.huddleston@aprimo.com</t>
  </si>
  <si>
    <t>200 Vesey Street</t>
  </si>
  <si>
    <t>10285</t>
  </si>
  <si>
    <t>Cision US</t>
  </si>
  <si>
    <t>129866-59P</t>
  </si>
  <si>
    <t>Heath Butler</t>
  </si>
  <si>
    <t>Mr. Heath Butler serves as a Partner at Mercury Fund. Mr. Butler is a Co-Founder &amp; serves as an Advisor at Urban Capital Network. He served as Board Member at TrackX (Business/Productivity Software). He manages the organization's network platform, including corporate, service provider, and startup community relationships. He is a Co-Founder and serves as Strategic Advisor at The Collective. He served as a Strategic Advisor at Linogard. He Co-Founded Gestalt Theory Venture Partners. His investments focus on themes within B2B SaaS, Improved Consumer Targeting, and Tech-Enabled Services. Before joining Mercury, he co-founded Gestalt Theory Venture Partners, a startup studio and angel investment platform. Before Gestalt, he held executive roles as a seasoned go-to-market and corporate development executive at Insperity (NYSE: NSP), the nation's leading HR outsourcing services provider. Before Insperity, he led business development for EnergyWorkspace.com, founded a fin-tech startup, and developed his foundational management skills at UPS. He received an MBA in Marketing from Texas Southern University's Jesse H. Jones School of Business and a B.S. in Finance from the University of New Orleans. Outside of Mercury, he is an active angel investor and mentor in the Houston innovation community and was a founding investor in Station Houston, the programming partner of The Ion. He is passionate about educating, empowering, and enabling entrepreneurial ecosystems. He serves as a Board Member at Medefy.</t>
  </si>
  <si>
    <t>heath@mercuryfund.com</t>
  </si>
  <si>
    <t>140900-23P</t>
  </si>
  <si>
    <t>Jackie Pfister</t>
  </si>
  <si>
    <t>Pfister</t>
  </si>
  <si>
    <t>Ms. Jackie Pfister serves as Chief Operating Officer at Mercury Fund. She is managing all venture operations for the partnership. She collaborates with the entire investment team to ensure all aspects of the Mercury platform achieve maximum productivity and impact. She also coordinates community and ecosystem engagement for the firm, including planning and executing the annual CXO Summit in Austin. Before Mercury, she worked as a Business Analyst at Trenegy, a Houston-based management consulting firm. While at Trenegy, she focused on project management, change management, and organizational design related to new enterprise software implementations. She received her BA in Communication with a minor in Business Administration from Texas A&amp;M in College Station.</t>
  </si>
  <si>
    <t>jackie@mercuryfund.com</t>
  </si>
  <si>
    <t>106 East 6th Street</t>
  </si>
  <si>
    <t>30476-62P</t>
  </si>
  <si>
    <t>Jeremy Baksht</t>
  </si>
  <si>
    <t>Baksht</t>
  </si>
  <si>
    <t>Mr. Jeremy Baksht is a Co-Founder and serves as Chief Executive Officer at Catena Clearing. He serves as a Venture Advisor at Mercury Fund. He is a Co-Founder and serves as Co-Chief Executive Officer at Shaper Capital. Mr. Baksht serves as Chief Growth Officer at Ampla. He serves as a Venture Partner at Social Impact Capital. He served as a Partner at DataFrame Ventures. He is a Co-founder and serves as CEO at Catena Clearing. He is an Angel Investor. He served as a Venture Partner at NextGen Venture Partners. He co-founded and served as Senior Vice President, Business Development at CirrusMD. He also served as Chief Operating Officer at Qineqt. He served as Senior Vice President of Business Development at Estimize. He served as Executive Vice President, Business Development and Sales at Trusted Insight. He served as Vice President of Corporate Development at ACE Group. Previously he served as Vice President, of Global Industrials Group, Investment Banking at Citi. He served as an Advisor at TripleBlind. He holds a BS in Mechanical Engineering from Comillas Pontifical University, a BS in Mechanical Engineering from the University of Texas, Austin, and an MBA from the University of Virginia.</t>
  </si>
  <si>
    <t>1460 Broadway</t>
  </si>
  <si>
    <t>Catena Clearing</t>
  </si>
  <si>
    <t>257455-72P</t>
  </si>
  <si>
    <t>Kirk Ball</t>
  </si>
  <si>
    <t>Mr. Kirk Ball serves as Executive Vice President &amp; Chief Information Officer at Giant Eagle. He serves as a Venture Advisor at Mercury Fund. He also serves as the advisor at CincyTech.</t>
  </si>
  <si>
    <t>+1 (800) 553-2324</t>
  </si>
  <si>
    <t>kirk.ball@gianteagle.com</t>
  </si>
  <si>
    <t>Cranberry</t>
  </si>
  <si>
    <t>Cranberry, PA</t>
  </si>
  <si>
    <t>700 Cranberry Woods Drive</t>
  </si>
  <si>
    <t>16066</t>
  </si>
  <si>
    <t>Giant Eagle</t>
  </si>
  <si>
    <t>38329-75P</t>
  </si>
  <si>
    <t>Kurt Abrahamson</t>
  </si>
  <si>
    <t>Abrahamson</t>
  </si>
  <si>
    <t>Mr. Kurt Abrahamson serves as Executive Chairman at ShareThis. Mr. Abrahamson serves as a Venture Advisor at Mercury Fund. He serves as Executive Chairman and Director at Brrr. He most recently served as Chief Executive Officer of SocialMedia.com, a leader in online display advertising, which was recently acquired by LivingSocial. He came to SocialMedia.com from Google, where he first served as Director of the Content Media Group. In this position, he helped lead the global launch of Google AdSense, managed the direct sales channel for publishers, and secured long-term deals with five of the top 10 Web properties. He also served as the Director of Global Sales &amp; Operations Strategy and as Director of Sales Operations for North America. Before working at Google, he served as Chief Operating Officer of Jupiter Communications and as President of Jupiter Media Metrix, where he helped build their business from a small 12-person group to 520 employees worldwide, establishing Jupiter as one of the leading Internet research organizations. He serves as a Board Member and Advisor at Amify.</t>
  </si>
  <si>
    <t>+1 (415) 298-3512</t>
  </si>
  <si>
    <t>kurt.abrahamson@sharethis.com</t>
  </si>
  <si>
    <t>Building 4, Suite 200</t>
  </si>
  <si>
    <t>ShareThis</t>
  </si>
  <si>
    <t>259147-63P</t>
  </si>
  <si>
    <t>Lisa Roberts</t>
  </si>
  <si>
    <t>Ms. Lisa Roberts serves as Chief Product Officer at Mercury Fund. She served as Chief Marketing and Product Officer at FloorFound. She served as Vice President of Marketing at Edgecase. Her career has been in building and leading (as both heads of Product and/or Marketing) early-stage B2B SaaS businesses through growth to IPO or acquisition. She has specific experience and expertise in e-commerce (Bazaarvoice, FloorFound, Dell, Garden.com), higher education (Civitas Learning), Martech (Yonder, Adlucent), and e-commerce logistics (FloorFound). She advises several local Austin startups and has been on the board of the Andy Roddick Foundation since 2018. She received a BA in advertising and journalism from Texas A&amp;M College Station.</t>
  </si>
  <si>
    <t>lisa.roberts@mercuryfund.com</t>
  </si>
  <si>
    <t>286829-38P</t>
  </si>
  <si>
    <t>Melissa Turowsky</t>
  </si>
  <si>
    <t>Turowsky</t>
  </si>
  <si>
    <t>Ms. Melissa Turowsky serves as Chief Marketing Officer at Mercury Fund. She served as Chief Marketing Officer at ReturnLogic. She also works with portfolio companies to refine their marketing strategies. Prior to joining Mercury, Melissa was a strategic marketing consultant working with VC and PE backed companies, helping them meet their business goals. She was founder of MamaViews.com, a place where expecting and new parents could research and find service providers, and served as Director of Marketing at Epiq Systems (NASDAQ: EPIQ), a legal tech company where she oversaw the brand integration of newly acquired businesses and developed localized branding for Hong Kong and European markets. At Macys (NYSE: M), after the parent company decided to roll various regional stores into the Macy's brand, Melissa worked as an Art Director, serving on a small team testing the rebrand in a few key markets. She began her career at an Interpublic Group ad agency in New York. She has a BA from Cornell University and a certificate in graphic design from Parsons School of Design.</t>
  </si>
  <si>
    <t>melissa.turowsky@mercuryfund.com</t>
  </si>
  <si>
    <t>231582-52P</t>
  </si>
  <si>
    <t>Omair Tariq</t>
  </si>
  <si>
    <t>Omair</t>
  </si>
  <si>
    <t>Mr. Omair Tariq is a Co-Founder and serves as Chief Executive Officer and Board Member at Cart.com. He serves as a Venture Advisor at Mercury Fund. He served as Chief Operating Officer and Chief Financial Officer at Blinds.com, which he helped grow and exit to The Home Depot, staying on to lead an e-commerce P&amp;L. He has founded and exited D2C brands and invests in and advises high-growth startups and VC funds.</t>
  </si>
  <si>
    <t>omair.tariq@cart.com</t>
  </si>
  <si>
    <t>1334 Brittmoore Road</t>
  </si>
  <si>
    <t>77043</t>
  </si>
  <si>
    <t>Cart.com</t>
  </si>
  <si>
    <t>376824-07P</t>
  </si>
  <si>
    <t>Patrick Okorafor</t>
  </si>
  <si>
    <t>Okorafor</t>
  </si>
  <si>
    <t>Mr. Patrick Okorafor serves as Director of Finance at Mercury Fund.</t>
  </si>
  <si>
    <t>+1 (713) 837-6591</t>
  </si>
  <si>
    <t>patrick@mercuryfund.com</t>
  </si>
  <si>
    <t>330003-91P</t>
  </si>
  <si>
    <t>Rachel Craft</t>
  </si>
  <si>
    <t>Craft</t>
  </si>
  <si>
    <t>Ms. Rachel Craft serves as Office Assistant at Mercury Fund. She helps the team with administrative tasks and daily operational needs. Prior to Mercury, Rachel worked as a Sales Support Specialist at Experian Consumer Services on the Data Breach Response Team. Rachel received her B.A. in History from Baylor University.</t>
  </si>
  <si>
    <t>rachel@mercuryfund.com</t>
  </si>
  <si>
    <t>Office Assistant</t>
  </si>
  <si>
    <t>83969-47P</t>
  </si>
  <si>
    <t>Roberto Moctezuma</t>
  </si>
  <si>
    <t>Moctezuma</t>
  </si>
  <si>
    <t>Mr. Roberto Moctezuma serves as Advisor at Mercury Fund. He Co-Founded and served as Executive-in-Residence at Voxofon.</t>
  </si>
  <si>
    <t>+1 (832) 413-2040</t>
  </si>
  <si>
    <t>270955-99P</t>
  </si>
  <si>
    <t>Rory Verrett</t>
  </si>
  <si>
    <t>Verrett</t>
  </si>
  <si>
    <t>Mr. Rory Verrett serves as Venture Advisor at Mercury Fund. He also serves as Board Member at Bolster.</t>
  </si>
  <si>
    <t>217295-11P</t>
  </si>
  <si>
    <t>Samantha Lewis</t>
  </si>
  <si>
    <t>Ms. Samantha Lewis serves as Partner at Mercury Fund. She serves as Advisor at Profitr. Ms. Lewis specific focus is on Mercury's Power theme, where she seeks to fund startups utilizing blockchain, data platforms, and fintech to rethink the way people access capital and opportunity. She currently serves on the boards of Mercury portfolio companies Strata (infrastructure), Arden (infrastructure), Civitech (data platform), Brassica (fintech infrastructure), Omniscience (vertical AI) and Cooklist (data intelligence). She is an active Kauffman Fellow. Before joining Mercury, she was the Investment Director at Goose Capital, a Houston-based investment group of serial entrepreneurs and F500 CEOs, where she led deal sourcing, structuring, and portfolio management. At Goose, she helped lead investments in Syzygy Plasmonics, Rufus Labs, and Outrider Technologies. She is a repeat entrepreneur with a background spanning agribusiness, logistics and supply chain, beauty, and deep tech. She received her MBA from Rice University and a B.A. in Political Science and History from Texas A&amp;M University.</t>
  </si>
  <si>
    <t>samantha@mercuryfund.com</t>
  </si>
  <si>
    <t>268567-39P</t>
  </si>
  <si>
    <t>Tolonye Williams</t>
  </si>
  <si>
    <t>Tolonye</t>
  </si>
  <si>
    <t>Ms. Tolonye Williams serves as Operations Manager at Mercury Fund. She supports the investment team through deal flow pipeline and database management; performing venture, company, and market-related research. She also works directly with the Mercury Fund Limited Partners. Prior to Mercury, Tolonye supported executive staff members in various fields including commercial real estate, marketing, and non-profit. A native Houstonian Tolonye attended Houston Community College and The University of Houston.</t>
  </si>
  <si>
    <t>tolonye@mercuryfund.com</t>
  </si>
  <si>
    <t>39109-06P</t>
  </si>
  <si>
    <t>Winston Gilpin</t>
  </si>
  <si>
    <t>Gilpin</t>
  </si>
  <si>
    <t>Mr. Winston Gilpin serves as Chief Financial Officer at inerG. He is a Co-Founder and serves as Managing General Partner at The Collective. He also served as Chief Financial Officer at Performix. He serves as Senior Advisor at Mercury Fund. He also serves as Fund Administrator, GSqr Consulting at HX Venture Fund. He has over 25 years of experience in finance and accounting, serving in several executive management and advisory positions for publicly traded and privately owned companies. As the founder and president of Gilpin Consulting, he provides CFO services to many of Mercury Fund's incubated startup companies. Before Mercury, he served as the CFO of Internet REIT, a leader in direct web navigation. Formerly, he was a director and the CFO of Intermat. During his fifteen-year tenure at Intermat, his responsibilities included managing all of the financial aspects of the company, strategic planning, contractual and legal matters, sales, marketing, operations, and executive management. Before joining Intermat, he held Controller and/or Chief Financial Officer positions at Partner's Construction (a subsidiary of Century Development Corporation), a multi-state construction company; Fogle Equipment Company, a construction equipment dealer; and Van Leeuwen Pipe and Tube, a wholesale pipe distributor. He also held the position of Chief Accountant with the Municipal Credit Union of New York City. He served as Strategic Advisor at Paige.</t>
  </si>
  <si>
    <t>winston@thecollectiv.vc</t>
  </si>
  <si>
    <t>4201 Main Street</t>
  </si>
  <si>
    <t>Suite 42</t>
  </si>
  <si>
    <t>Fund Administrator, GSqr Consulting</t>
  </si>
  <si>
    <t>HX Venture Fund</t>
  </si>
  <si>
    <t>422567-56P</t>
  </si>
  <si>
    <t>Jacquelyn Caputo</t>
  </si>
  <si>
    <t>Jacquelyn</t>
  </si>
  <si>
    <t>Meyer Global Management</t>
  </si>
  <si>
    <t>Ms. Jacquelyn Caputo serves as Executive Administrative Assistant at Meyer Global Management. She is a highly skilled executive assistant and software developer, with multiple years of experience, whose dedication and commitment to relationship building are unmatched. She maintains robust relationships with investors to achieve the highest level of service and support.</t>
  </si>
  <si>
    <t>+1 (646) 543-5830</t>
  </si>
  <si>
    <t>jacquelyn@meyerglobalmgmt.com</t>
  </si>
  <si>
    <t>477 Madison Avenue</t>
  </si>
  <si>
    <t>Executive Administrative Assistant</t>
  </si>
  <si>
    <t>202239-64P</t>
  </si>
  <si>
    <t>Owen Meyer</t>
  </si>
  <si>
    <t>Mr. Owen E.H. Meyer is the Founder and serves as a Fund Manager and Chief Executive Officer at Meyer Global Management. He served as Special General Partner at DT Unicorn Fund. He also serves as Managing Member at Meyer Equity. He is an Angel Investor. He is a technology-centric venture fund and hedge fund manager. He has held multiple board positions at technology startups as well as advised on interim-CFO roles to early-stage businesses. Before that, he served in strategic corporate finance and M&amp;A investment banking roles. He started his career as an investor for a hedge fund, Harvest Management. He is a technology-centric venture fund and hedge fund manager. He has held multiple board positions at technology startups as well as advised on interim-CFO roles to early-stage businesses. Before that, he served in strategic corporate finance and M&amp;A investment banking roles. He started his career as an investor for a hedge fund. He holds Executive Education Certificates from Harvard Business School and MIT Sloan School. He graduated early Magna Cum Laude from Stony Brook University with dual degrees in Applied Mathematics and Finance.</t>
  </si>
  <si>
    <t>owen@meyerglobalmgmt.com</t>
  </si>
  <si>
    <t>Founder, Fund Manager &amp; Chief Executive Officer</t>
  </si>
  <si>
    <t>317711-89P</t>
  </si>
  <si>
    <t>Aaron Graham</t>
  </si>
  <si>
    <t>MicroVentures</t>
  </si>
  <si>
    <t>Mr. Aaron Graham serves as a Compliance Analyst at MicroVentures.</t>
  </si>
  <si>
    <t>+1 (512) 212-1160</t>
  </si>
  <si>
    <t>aaron.graham@microventures.com</t>
  </si>
  <si>
    <t>11601 Alterra Parkway</t>
  </si>
  <si>
    <t>Compliance Analyst</t>
  </si>
  <si>
    <t>365021-83P</t>
  </si>
  <si>
    <t>Alan Kane</t>
  </si>
  <si>
    <t>Kane</t>
  </si>
  <si>
    <t>Mr. Alan Kane serves as Venture Analyst at MicroVentures.</t>
  </si>
  <si>
    <t>alan.kane@microventures.com</t>
  </si>
  <si>
    <t>Venture Analyst</t>
  </si>
  <si>
    <t>265748-77P</t>
  </si>
  <si>
    <t>Ashley Allen</t>
  </si>
  <si>
    <t>Ms. Ashley Allen serves as Vice President at MicroVentures. She holds CFA certificate.</t>
  </si>
  <si>
    <t>317716-39P</t>
  </si>
  <si>
    <t>Benjamin Rae</t>
  </si>
  <si>
    <t>Mr. Benjamin Rae serves as Senior Venture Analyst at MicroVentures.</t>
  </si>
  <si>
    <t>benjamin.rae@microventures.com</t>
  </si>
  <si>
    <t>Senior Venture Analyst</t>
  </si>
  <si>
    <t>317727-73P</t>
  </si>
  <si>
    <t>Cole Lawson</t>
  </si>
  <si>
    <t>Mr. Cole Lawson serves as Senior Venture Analyst at MicroVentures.</t>
  </si>
  <si>
    <t>cole.lawson@microventures.com</t>
  </si>
  <si>
    <t>317724-67P</t>
  </si>
  <si>
    <t>Daniel Burnham</t>
  </si>
  <si>
    <t>Burnham</t>
  </si>
  <si>
    <t>Mr. Daniel Burnham serves as Investor Relations Representative at MicroVentures.</t>
  </si>
  <si>
    <t>daniel.burnham@microventures.com</t>
  </si>
  <si>
    <t>Investor Relations Representative</t>
  </si>
  <si>
    <t>365021-56P</t>
  </si>
  <si>
    <t>Denis Zingman</t>
  </si>
  <si>
    <t>Zingman</t>
  </si>
  <si>
    <t>Mr. Denis Zingman serves as Venture Analyst at MicroVentures.</t>
  </si>
  <si>
    <t>denis.zingman@microventures.com</t>
  </si>
  <si>
    <t>246012-04P</t>
  </si>
  <si>
    <t>Elizabeth Willmore</t>
  </si>
  <si>
    <t>Willmore</t>
  </si>
  <si>
    <t>Ms. Elizabeth Willmore serves as Chief Compliance Officer at MicroVentures.</t>
  </si>
  <si>
    <t>elizabeth@microventures.com</t>
  </si>
  <si>
    <t>365020-75P</t>
  </si>
  <si>
    <t>Emily Andrews</t>
  </si>
  <si>
    <t>Andrews</t>
  </si>
  <si>
    <t>Ms. Emily Andrews serves as Venture Fund Analyst at MicroVentures.</t>
  </si>
  <si>
    <t>emily.andrews@microventures.com</t>
  </si>
  <si>
    <t>Venture Fund Analyst</t>
  </si>
  <si>
    <t>66411-55P</t>
  </si>
  <si>
    <t>Ernesto Paiz</t>
  </si>
  <si>
    <t>Paiz</t>
  </si>
  <si>
    <t>Mr. Ernesto Paiz serves as Vice President of Investments at MicroVentures. He also serves as Advisor at Melboss Music. He serves as partner at Ecosystem Ventures. He has extensive experience in Crowdfunding and early stage investing. He received an MBA from Santa Clara University with an emphasis on management and marketing. He has worked with various start-ups in Silicon Valley and was also VP of an independent music label. He manages our Appsstore Inc, GRIN.com and NoiseToys investments, among others. Additionally, he manages the social online media for PURE SWISS mineral water.</t>
  </si>
  <si>
    <t>ernesto@microventures.com</t>
  </si>
  <si>
    <t>317728-09P</t>
  </si>
  <si>
    <t>Jaimie Phillips</t>
  </si>
  <si>
    <t>Jaimie</t>
  </si>
  <si>
    <t>Ms. Jaimie Phillips serves as Venture Fund Analyst at MicroVentures.</t>
  </si>
  <si>
    <t>jaimie.phillips@microventures.com</t>
  </si>
  <si>
    <t>317726-74P</t>
  </si>
  <si>
    <t>Lena Greenstone</t>
  </si>
  <si>
    <t>Greenstone</t>
  </si>
  <si>
    <t>Ms. Lena Greenstone serves as an Investor Relations Specialist &amp; Client Support Specialist at MicroVentures.</t>
  </si>
  <si>
    <t>Executive, Investor Relations</t>
  </si>
  <si>
    <t>317707-57P</t>
  </si>
  <si>
    <t>Liam Burke</t>
  </si>
  <si>
    <t>Mr. Liam Burke serves as Senior Private Market Analyst at MicroVentures.</t>
  </si>
  <si>
    <t>liam@microventures.com</t>
  </si>
  <si>
    <t>Senior Private Market Analyst</t>
  </si>
  <si>
    <t>66411-37P</t>
  </si>
  <si>
    <t>Lisa Bint</t>
  </si>
  <si>
    <t>Bint</t>
  </si>
  <si>
    <t>Ms. Lisa Bint serves as Analyst at MicroVentures. Prior to joining the MicroVentures team, Ms. Bint worked at Dell Financial Services (DFS) as a Customer Service Supervisor. While at DFS, Ms. Bint managed a customer service team, oversaw operations, and focused on problem resolution. Ms. Bint holds a BA in Mass Communications from Texas State University. As a Compliance Analyst, Ms. Bint is responsible for daily operations at MicroVentures.</t>
  </si>
  <si>
    <t>lisa@microventures.com</t>
  </si>
  <si>
    <t>317713-78P</t>
  </si>
  <si>
    <t>Matthew Amado</t>
  </si>
  <si>
    <t>Amado</t>
  </si>
  <si>
    <t>Mr. Matthew Amado serves as Venture Analyst at MicroVentures.</t>
  </si>
  <si>
    <t>matt.amado@microventures.com</t>
  </si>
  <si>
    <t>317724-13P</t>
  </si>
  <si>
    <t>Michael DeMarco</t>
  </si>
  <si>
    <t>DeMarco</t>
  </si>
  <si>
    <t>Mr. Michael DeMarco serves as Investor Relations Representative at MicroVentures.</t>
  </si>
  <si>
    <t>michael.demarco@microventures.com</t>
  </si>
  <si>
    <t>317701-90P</t>
  </si>
  <si>
    <t>Mindy Mcduffie Hayes</t>
  </si>
  <si>
    <t>Mcduffie Hayes</t>
  </si>
  <si>
    <t>Ms. Mindy Mcduffie Hayes serves as Venture Fund Manager at MicroVentures. M</t>
  </si>
  <si>
    <t>mindy@microventures.com</t>
  </si>
  <si>
    <t>Venture Fund Manager</t>
  </si>
  <si>
    <t>317709-73P</t>
  </si>
  <si>
    <t>Ryan Southworth</t>
  </si>
  <si>
    <t>Southworth</t>
  </si>
  <si>
    <t>Mr. Ryan Southworth serves as a Private Market Associate at MicroVentures.</t>
  </si>
  <si>
    <t>ryan.southworth@microventures.com</t>
  </si>
  <si>
    <t>Private Market Associate</t>
  </si>
  <si>
    <t>66411-19P</t>
  </si>
  <si>
    <t>Tyler Gray</t>
  </si>
  <si>
    <t>Mr. Tyler Gray serves as President at MicroVentures. Mr. Gray joins MicroVentures from Charles Schwab, where he was a Senior Supervising Trade Specialist. Prior to Schwab, he was an options trader in Chicago and Austin, TX, where he managed a multi-million dollar account and wrote multiple algorithms set to capture profit from different market inefficiencies. He holds a BA in Economics from Michigan State University as well as the Series 7, 9/10, 24, 63 and 99 licenses. Currently, he is pursuing a MBA with a concentration in both Accounting and Finance at St. Edward's University in Austin, TX.</t>
  </si>
  <si>
    <t>+1 (800) 283-9903</t>
  </si>
  <si>
    <t>tyler@microventures.com</t>
  </si>
  <si>
    <t>66410-65P</t>
  </si>
  <si>
    <t>William Clark</t>
  </si>
  <si>
    <t>Mr. William Clark is the Founder and serves as Chief Executive Officer at MicroVentures. With more than a decade of top-level management experience in the credit risk management and financial services industry, he brings to the company key strategic focus and critical evaluation skills essential to both the investor and startup business components of MicroVentures. As Risk Manager at an online payment processing company, his responsibilities included managing risk on the merchant side of the business. His comprehensive approach to the company stems from key experience previously helping manage a billion-dollar portfolio of small business accounts as Credit Risk Manager in the Small Business Risk Management Division of a captive financial institution. He holds a BS in finance from Michigan State University as well as Series 7, 24, 63 and 79 licenses.</t>
  </si>
  <si>
    <t>bill.clark@microventures.com</t>
  </si>
  <si>
    <t>368227-72P</t>
  </si>
  <si>
    <t>Daniel Medeiros</t>
  </si>
  <si>
    <t>Medeiros</t>
  </si>
  <si>
    <t>Milwaukee Electric Tool</t>
  </si>
  <si>
    <t>Mr. Daniel Medeiros serves as Co-Chief Engineer at Milwaukee Electric Tool. He has worked as VP at Mars, Senior Hardware Engineer at Quatrefoil Associates Inc, and Senior Wireless Architect at GE Healthcare.</t>
  </si>
  <si>
    <t>+1 (800) 729-3878</t>
  </si>
  <si>
    <t>daniel.medeiros@milwaukeetool.com</t>
  </si>
  <si>
    <t>Brookfield</t>
  </si>
  <si>
    <t>Brookfield, WI</t>
  </si>
  <si>
    <t>13135 West Lisbon Road</t>
  </si>
  <si>
    <t>53005</t>
  </si>
  <si>
    <t>Co-Chief Engineer</t>
  </si>
  <si>
    <t>368227-99P</t>
  </si>
  <si>
    <t>Daniel Wagner</t>
  </si>
  <si>
    <t>Mr. Daniel Wagner serves as Chief Electrical Engineer at Milwaukee Electric Tool. He has worked as Principal Staff RF/Electrical Engineer at Motorola, Electrical Engineering Lead at Zebra Technologies, and Engineering Associate at Eaton.</t>
  </si>
  <si>
    <t>daniel.wagner@milwaukeetool.com</t>
  </si>
  <si>
    <t>Chief Electrical Engineer</t>
  </si>
  <si>
    <t>214448-59P</t>
  </si>
  <si>
    <t>James Wamsley</t>
  </si>
  <si>
    <t>Wamsley</t>
  </si>
  <si>
    <t>Mr. James Wamsley serves Executive Vice President, Operations at Milwaukee Tool. He served as Executive Vice President and Chief Supply Chain Officer at Pentair.</t>
  </si>
  <si>
    <t>james.wamsley@milwaukeetool.com</t>
  </si>
  <si>
    <t>Pentair (Former)</t>
  </si>
  <si>
    <t>368228-08P</t>
  </si>
  <si>
    <t>Jeff Kreutzer</t>
  </si>
  <si>
    <t>Kreutzer</t>
  </si>
  <si>
    <t>Mr. Jeff Kreutzer serves as Co-Chief Engineer at Milwaukee Electric Tool. He has worked as Adjunct Instructor | Project &amp; Portfolio Management at University of Wisconsin-Milwaukee; Vice President of Delivery at Forte Research Systems Inc; and PMO Director, Power Solutions and Corporate at Johnson Controls. Jeff works or has worked as Director of Program Management at Hunter Business School.</t>
  </si>
  <si>
    <t>jeff.kreutzer@milwaukeetool.com</t>
  </si>
  <si>
    <t>368227-90P</t>
  </si>
  <si>
    <t>John Scott</t>
  </si>
  <si>
    <t>Mr. John Scott serves as Co-Chief Engineer at Milwaukee Electric Tool. He has worked as Principal Engineer at MILWAUKEE ELECTRIC TOOL; Sr. Design/Resident Engineer - MILSCO/Harley-Davidson Motor Co. at HARLEY-DAVIDSON and Sr. Design Engineer at Milsco Manufacturing.</t>
  </si>
  <si>
    <t>john.scott@milwaukeetool.com</t>
  </si>
  <si>
    <t>368227-63P</t>
  </si>
  <si>
    <t>Mark Molitor</t>
  </si>
  <si>
    <t>Molitor</t>
  </si>
  <si>
    <t>Mr. Mark Molitor serves as Chief Information Officer at Milwaukee Electric Tool.</t>
  </si>
  <si>
    <t>mark.molitor@milwaukeetool.com</t>
  </si>
  <si>
    <t>385412-14P</t>
  </si>
  <si>
    <t>Michael Zimmermann</t>
  </si>
  <si>
    <t>Mr. Michael Zimmermann serves as Vice President - Enterprise Project Management and Continuous Improvement at Milwaukee Electric Tool.</t>
  </si>
  <si>
    <t>michael.zimmermann@milwaukeetool.com</t>
  </si>
  <si>
    <t>Vice President - Enterprise Project Management and Continuous Improvement</t>
  </si>
  <si>
    <t>368227-81P</t>
  </si>
  <si>
    <t>Milisav Lazarevic</t>
  </si>
  <si>
    <t>Milisav</t>
  </si>
  <si>
    <t>Lazarevic</t>
  </si>
  <si>
    <t>Mr. Milisav Lazarevic serves as Co-Chief Engineer at Milwaukee Electric Tool. He has experience in NPD and machine design utilizing CAD, FEA and CFD software. Innovative thinker that created original designs resulting in eight acquired patents.</t>
  </si>
  <si>
    <t>milisav.lazarevic@milwaukeetool.com</t>
  </si>
  <si>
    <t>167154-76P</t>
  </si>
  <si>
    <t>Scott Griswold</t>
  </si>
  <si>
    <t>Griswold</t>
  </si>
  <si>
    <t>Mr. Scott Griswold serves as President, Power Tool Accessories at Milwaukee Electric Tool.</t>
  </si>
  <si>
    <t>scott.griswold@milwaukeetool.com</t>
  </si>
  <si>
    <t>President, Power Tool Accessories</t>
  </si>
  <si>
    <t>75220-66P</t>
  </si>
  <si>
    <t>Steven Richman</t>
  </si>
  <si>
    <t>Richman</t>
  </si>
  <si>
    <t>Mr. Steven Richman serves as Group President &amp; Chief Executive Officer at Milwaukee Electric Tool. He served as Director at Techtronic Industries.</t>
  </si>
  <si>
    <t>steven.richman@milwaukeetool.com</t>
  </si>
  <si>
    <t>Group President &amp; Chief Executive Officer</t>
  </si>
  <si>
    <t>353831-32P</t>
  </si>
  <si>
    <t>Ping King</t>
  </si>
  <si>
    <t>MIT $100K Entrepreneurship Competition</t>
  </si>
  <si>
    <t>Ms. Ping King serves as Co-Managing Director at MIT $100K Entrepreneurship Competition.</t>
  </si>
  <si>
    <t>ping.king@mit100k.org</t>
  </si>
  <si>
    <t>1 Amherst South</t>
  </si>
  <si>
    <t>Co-Managing Director</t>
  </si>
  <si>
    <t>235037-44P</t>
  </si>
  <si>
    <t>Leon Sandler</t>
  </si>
  <si>
    <t>MIT Deshpande Center</t>
  </si>
  <si>
    <t>Mr. Leon Sandler serves as Executive Director at MIT Deshpande Center.</t>
  </si>
  <si>
    <t>+1 (617) 253-0943</t>
  </si>
  <si>
    <t>lsandler@deshpande.mit.edu</t>
  </si>
  <si>
    <t>292 Main Street</t>
  </si>
  <si>
    <t>356933-26P</t>
  </si>
  <si>
    <t>Jinane Abounadi Ph.D</t>
  </si>
  <si>
    <t>Jinane</t>
  </si>
  <si>
    <t>Abounadi</t>
  </si>
  <si>
    <t>MIT Sandbox</t>
  </si>
  <si>
    <t>Dr. Jinane Abounadi serves as Executive Director of MIT Sandbox Innovation Fund Program &amp; MIT Graduate Alumni Council at MIT Sandbox. Dr. Abounadi brings a unique combination of experiences, from academic research to senior operational and strategic roles in start-up companies and large businesses. As the founding Executive Director, she has built MIT Sandbox into a leading student entrepreneurship program, funding over 500 student ideas per year and supporting over 1,000 aspiring entrepreneurs per year. Since the launch in 2016, MIT Sandbox has supported the launch of numerous successful and highly innovative startups. SHe was recently honored with the 2021 Monosson Award for Entrepreneurial Mentorship for her leadership in supporting entrepreneurship at MIT, and the Underscore VC 2021 Core Award for her contributions to Boston's academic entrepreneurial ecosystem and her leadership in empowering the next generation of student founders. Prior to MIT Sandbox, she held leadership roles in two of the most successful local Boston area start-ups, ITA Software and Kayak, where she gained deep knowledge about the travel technology sector. Most recently, she ran a global portfolio of 3rd party products for Travelport, giving her the opportunity to establish partnerships with companies across the globe and to advise and evaluate a number of start-ups in the travel sector. She earned her PhD in electrical engineering and computer science at MIT, a BS in electrical engineering from Caltech, and a BA from Bryn Mawr College. She has several publications in the fields of machine learning and communication networks and is passionate about teaching and working with college students.</t>
  </si>
  <si>
    <t>+1 (617) 621-0156</t>
  </si>
  <si>
    <t>jinane.abounadi@sandbox.mit.edu</t>
  </si>
  <si>
    <t>IHQ, Building E38 - 4th floor</t>
  </si>
  <si>
    <t>Executive Director of MIT Sandbox Innovation Fund Program &amp; MIT Graduate Alumni Council</t>
  </si>
  <si>
    <t>81530-56P</t>
  </si>
  <si>
    <t>Amar Pradhan</t>
  </si>
  <si>
    <t>Pradhan</t>
  </si>
  <si>
    <t>Mobility Impact Partners</t>
  </si>
  <si>
    <t>Mr. Amar Pradhan serves as Partner at Mobility Impact Partners. He served as the Global Strategy &amp; Solution Leader - Power Generation at IBM. Previously, he was a Co-Founder and served as the Chief Executive Officer &amp; Board Member at 10Six. He serves as Board Member at Samsar Resources.</t>
  </si>
  <si>
    <t>+1 (212) 650-9456</t>
  </si>
  <si>
    <t>pradhan@mobilityimpact.partners</t>
  </si>
  <si>
    <t>3 East 80th Street</t>
  </si>
  <si>
    <t>10075</t>
  </si>
  <si>
    <t>15513-49P</t>
  </si>
  <si>
    <t>Andrew Flett</t>
  </si>
  <si>
    <t>Flett</t>
  </si>
  <si>
    <t>Mr. Andrew Flett serves as General Partner at Mobility Impact Partners. He served as Board Member at PanGo Networks and Avrios. Mr. Flett was a Principal at Investcorp since 1998. He serves as an Executive at Mobility Impact Partners. He serves as Board Member at Avios and TRUCE Software. He serves as Board Member at Ampathy &amp; . He served on the boards of FleetMatics, Magnum Semiconductor, thought Equity Motion, and Wells-CTI. He has served as a non-executive member of FleetMatics Board of Directors since 2008 and is a member of the audit committee. He is an Angel Investor. He serves as an Advisor at Roadz. He holds a BE in Mechanical Engineering from the University of Victoria, and an MBA from the Wharton School at the University of Pennsylvania.</t>
  </si>
  <si>
    <t>flett@mobilityimpact.partners</t>
  </si>
  <si>
    <t>322125-94P</t>
  </si>
  <si>
    <t>Asad Hussain</t>
  </si>
  <si>
    <t>Mr. Asad Hussain serves as Partner at Mobility Impact Partners.</t>
  </si>
  <si>
    <t>hussain@mobilityimpact.partners</t>
  </si>
  <si>
    <t>394791-58P</t>
  </si>
  <si>
    <t>Bill Graves</t>
  </si>
  <si>
    <t>Mr. Bill Graves serves as Board Member at OpenForce. Mr. Graves serves as Advisory Board Member at Mobility Impact Partners. He served as President and CEO of the American Trucking Association and is the longest-serving Republican Governor in Kansas history. is a distinguished leader in transportation policy and administration. As the 43rd Governor of Kansas from 1995 to 2003, Graves was instrumental in advancing the state's transportation infrastructure. His tenure was marked by the signing of a landmark $13-billion comprehensive transportation program, which significantly enhanced highways, railroad infrastructure, airports, and public transit services across Kansas.</t>
  </si>
  <si>
    <t>+1 (800) 742-7508</t>
  </si>
  <si>
    <t>20860 North Tatum Boulevard</t>
  </si>
  <si>
    <t>85050</t>
  </si>
  <si>
    <t>OpenForce</t>
  </si>
  <si>
    <t>240784-75P</t>
  </si>
  <si>
    <t>Cassidy Shell</t>
  </si>
  <si>
    <t>Shell</t>
  </si>
  <si>
    <t>Ms. Cassidy Shell served as Lead Analyst, Transportation &amp; Logistics at Cleantech Group. She also serves as Senior Associate at Mobility Impact Partners.</t>
  </si>
  <si>
    <t>shell@mobilityimpact.partners</t>
  </si>
  <si>
    <t>112204-90P</t>
  </si>
  <si>
    <t>David Weinstein</t>
  </si>
  <si>
    <t>Mr. David Weinstein is the Founder of Freshwater Advisors where he serves as Chief Executive Officer. He serves as Advisory Board Member at Mobility Impact Partners. His clients have included: Exelon, Caterpillar, Northwestern Mutual, AbbVie, Allstate, Hyatt Corporation, Energize Ventures, Clean Energy Trust, Cummins, Microsoft, and CME Group. From 2003 through 2010, he served as the founding CEO of the Chicagoland Entrepreneurial Center (CEC), which now operates in 1871, as one of the country's leading incubators. He served as Co-Founding Investment Team Member of the I2A Fund. Prior to the CEC, he served as CEO of BlueMeteor, a technology company that provided enterprise software applications and infrastructure to Fortune 1000 businesses. He executed strategic alliances with technology industry leaders Oracle Corporation, TIBCO Software, Sun Microsystems, and EMC Corporation. From 1996 to 2000, he worked as a chief technology advisor to the mayor of the City of Chicago, Richard M. Daley. He also spearheaded the creation of the Mayor's Council of Technology Advisors (MCTA). He has served on numerous company and civic boards throughout his career. He served as a founding Advisory Board member at Cleversafe (acquired by IBM). Currently, he serves as a board member at FinTEx Chicago and is a member of World Business Chicago's ChicagoNEXT. In 2014, he was named to the Crain's Tech 50. He previously served as one of the youngest members of the Chicago Plan Commission. He currently serves as a founding advisory board member at Ocient and Uptake. He graduated cum laude from the University of Wisconsin at Madison and holds an MBA from Northwestern University's Kellogg Graduate School of Management.</t>
  </si>
  <si>
    <t>+1 (312) 450-4035</t>
  </si>
  <si>
    <t>david@freshwateradvisors.com</t>
  </si>
  <si>
    <t>222 West Merchandise Mart Plaza</t>
  </si>
  <si>
    <t>Suite 1212</t>
  </si>
  <si>
    <t>Freshwater Advisors</t>
  </si>
  <si>
    <t>217557-19P</t>
  </si>
  <si>
    <t>Dennis Cuneo JD</t>
  </si>
  <si>
    <t>Mr. Dennis Cuneo JD. serves as Board Member and Member of Audit Committee and Compensation Committee at BorgWarner. He serves as Advisory Board Member at Mobility Impact Partners. Mr. Cuneo, a former Toyota executive, has been an attorney with the law firm of Fisher &amp; Phillips LLP since July 2010, serving as Partner of the firm's Washington, D.C. office. He also operates his own consulting firm, DC Strategic Advisors LLC, which provides strategic business advice to companies in the auto industry and other industries. He was Senior Vice President of Toyota North America, Inc. from 2000 to 2006; Corporate Secretary and Chief Environmental Officer of Toyota Motor North America Inc. from 2004 to 2006; and Senior Vice President of Toyota Motor Manufacturing North America from 2001 to 2006. Mr. Cuneo was formerly Board Chairman of the Federal Reserve Bank of Cleveland, Cincinnati branch, was formerly on the board of the Center for Automotive Research and is Chairman of the Board at Loyola University in New Orleans. Mr. Cuneo was formerly on the board of AK Steel Holding Corporation from February 2008 until March 2020 when it merged with Cleveland-Cliffs Inc. Mr. Cuneo brings experience in, and understanding of, the automotive industry and its trends.</t>
  </si>
  <si>
    <t>+1 (504) 865-2281</t>
  </si>
  <si>
    <t>Board Member and Member of Audit Committee and Compensation Committee</t>
  </si>
  <si>
    <t>BorgWarner (Former)</t>
  </si>
  <si>
    <t>72809-20P</t>
  </si>
  <si>
    <t>Harald Norvik</t>
  </si>
  <si>
    <t>Harald</t>
  </si>
  <si>
    <t>Norvik</t>
  </si>
  <si>
    <t>Mr. Harald Norvik serves as a Board Member at Forandringsfabrikken. He serves as Advisory Board Member at Mobility Impact Partners. Mr. Norvik served as Chairman at EnergyNest. Mr. Norvik also served as Board Member at FairChance. He is the former head of Statoil ASA(1988-99). He is currently also serving as a Board member of Conocophillips, PGS and Deep Ocean. He is Chairman of the Board of Havguland, Rock Energy and Member of Akers Executive Board as CFO (1981-86). Norvik brings vast experience in leading international companies and has chaired multiple Boards including Telenor ASA, SAS, Umoe, H. Aschehoug &amp; Co. AS, TV2 ASA, Oslo Stock Exchange and DnB NOR ASA. In addition, he has served as a board member in E.ON Ruhrgas. He is also an Angel Investor. He earned a Master's from the Norwegian Scholl of Economics and Business Administration in 1971.</t>
  </si>
  <si>
    <t>Peder Claussønsgate 2</t>
  </si>
  <si>
    <t>0165</t>
  </si>
  <si>
    <t>Forandringsfabrikken</t>
  </si>
  <si>
    <t>144989-02P</t>
  </si>
  <si>
    <t>James Hackett</t>
  </si>
  <si>
    <t>Mr. James Hackett served as Chief Executive Officer &amp; Board Member at Ford Motor. Mr. Hackett earned a Bachelor's degree in Finance from the University of Michigan, Ann Arbor, in 1977.</t>
  </si>
  <si>
    <t>+1 (313) 323-2875</t>
  </si>
  <si>
    <t>Dearborn</t>
  </si>
  <si>
    <t>Dearborn, MI</t>
  </si>
  <si>
    <t>One American Road, 4th Floor</t>
  </si>
  <si>
    <t>P.O. Box 6248</t>
  </si>
  <si>
    <t>48126</t>
  </si>
  <si>
    <t>Ford Motor</t>
  </si>
  <si>
    <t>375798-34P</t>
  </si>
  <si>
    <t>John Abbott</t>
  </si>
  <si>
    <t>Abbott</t>
  </si>
  <si>
    <t>Mr. John Abbott serves as Advisory Board Member at Mobility Impact Partners. He served as a Board Director of Fiat Chrysler Automobiles NV from 2018-2021. Before that, he was the Downstream Director and a member of the Executive Committee of Royal Dutch Shell plc from 2013 to 2019. He is currently a Non-Executive Director of Inter Continental Exchange Futures Europe and Neste Oyj.</t>
  </si>
  <si>
    <t>92779-66P</t>
  </si>
  <si>
    <t>John Engler JD</t>
  </si>
  <si>
    <t>Engler</t>
  </si>
  <si>
    <t>Mr. John Engler served as President at Business Roundtable. He serves as Advisory Board Member at Mobility Impact Partners. He also serves as a Board Of Director at K12. He is a member of our Nominating and Corporate Governance Committee and our Academic Committee. From 2004 to 2011, Mr. Engler was the President and Chief Executive Officer of the National Association of Manufacturers. He was President of State and Local Government and Vice President of Government Solutions for North America for Electronic Data Systems Corporation from 2003 to 2004. Mr. Engler served as Michigan's 46th governor for three terms from 1991 to 2003. He has served on the board of directors of Universal Forest Products Inc. since 2003 and is a member of its Compensation Committee. He is also a director of Munder Capital Management. Previously, Mr. Engler was a director of Northwest Airlines from 2003 to 2008, a director of Dow Jones &amp; Company, Inc. from 2005 to 2007, and a director of Delta Airlines from 2008 to 2012. Mr. Engler holds a B.S. in Agricultural Economics from Michigan State University and a J.D. from the Thomas M. Cooley Law School. Mr. Engler was selected as a director because of his executive and legislative expertise as a state governor, including working with state education budgets, and for his business experience. The Board of Directors also benefits from Mr. Engler's perspective as a director of numerous public companies and as a member of their audit committees.</t>
  </si>
  <si>
    <t>Stride (Educational Software) (Former)</t>
  </si>
  <si>
    <t>242452-09P</t>
  </si>
  <si>
    <t>John Tully</t>
  </si>
  <si>
    <t>Mr. John Tully serves as a Partner at Mobility Impact Partners. He served as a Board Member at VoltaGrid. He served as Vice President, Strategy &amp; Business Development at Pilot Co. Earlier he worked as Managing Director at Goldman Sachs. Prior to joining MIP, he was responsible for Strategy and Business Development for Pilot Flying J's (PFJ) Energy Division. Notably, this effort included founding Pilot's venture capital group, establishing and leading the Investment Committee, and managing ongoing relationships. Prior to joining PFJ, he was with Goldman Sachs for 22 years where he held a number of roles focused on the energy and power space, ultimately as Managing Director and Head of North American Commodity Energy Sales. He graduated from SUNY Albany with a B.S. in Finance.</t>
  </si>
  <si>
    <t>tully@mobilityimpact.partners</t>
  </si>
  <si>
    <t>123073-03P</t>
  </si>
  <si>
    <t>Liz Kerton</t>
  </si>
  <si>
    <t>Kerton</t>
  </si>
  <si>
    <t>Ms. Liz Kerton serves as President at Telecom Council in Silicon Valley. She serves as Advisory Board Member at Mobility Impact Partners. She has been involved with the Service Provider Forum in the area for 6 years before venturing into building an association to support the larger telecom community. Her day job is Managing Director of the Kerton Group, which does marketing and business consulting in the telecom industry.</t>
  </si>
  <si>
    <t>+1 (408) 834-7933</t>
  </si>
  <si>
    <t>liz@telecomcouncil.com</t>
  </si>
  <si>
    <t>Telecom Council in Silicon Valley</t>
  </si>
  <si>
    <t>345403-18P</t>
  </si>
  <si>
    <t>Mark Gainsborough</t>
  </si>
  <si>
    <t>Gainsborough</t>
  </si>
  <si>
    <t>Mr. Mark Gainsborough serves as Chairman at Seatrium. He serves as Advisory Board Member at Mobility Impact Partners. He spent 39 years with Royal Dutch Shell where he held various senior appointments, his last appointment being Executive Vice-President (EVP) and head of Shell's New Energies business. He was responsible for building and acquiring positions in renewable power generation, electricity supply, energy storage, hydrogen, advanced biofuels and nature-based solutions. Prior to this he was EVP Global Commercial, leading Shell's Lubricants, Bitumen, Jet Fuel, Marine Fuels and Sulphur businesses. He is currently a board member of companies engaged in large-scale renewables, energy access through distributed generation and advanced plastics recycling. He serves on a number of advisory boards including Beyond Net Zero, an Energy Transition investment fund. Mr Gainsborough completed a Master's degree in Environmental Policy in 2008 and holds a Bachelor of Science degree in Psychology from University College, London. He is a Fellow of the UK Energy Institute.</t>
  </si>
  <si>
    <t>+65 6265 1766</t>
  </si>
  <si>
    <t>mark.gainsborough@seatrium.com</t>
  </si>
  <si>
    <t>80 Tuas South Boulevard</t>
  </si>
  <si>
    <t>637051</t>
  </si>
  <si>
    <t>+65 6261 0738</t>
  </si>
  <si>
    <t>Seatrium</t>
  </si>
  <si>
    <t>178689-16P</t>
  </si>
  <si>
    <t>Peter Schwarzenbauer</t>
  </si>
  <si>
    <t>Schwarzenbauer</t>
  </si>
  <si>
    <t>Mr. Peter Schwarzenbauer serves as Chief Executive Officer of Germany Office at Wahu Mobility. Mr. Schwarzenbauer serves as Advisory Board Member at Mobility Impact Partners. He served as Board Member at GreenMobility. He serves as Member of the Board of Management at BMW Group. He is an Automotive leader with a legacy of driving innovation. He has held significant positions at BMW AG, BMW of North America, and other leading automotive companies, showcasing his expertise in the industry.</t>
  </si>
  <si>
    <t>+233 (0)55 743 2442</t>
  </si>
  <si>
    <t>peter@wahu.me</t>
  </si>
  <si>
    <t>Accra</t>
  </si>
  <si>
    <t>Accra, Ghana</t>
  </si>
  <si>
    <t>Warehouse BW A</t>
  </si>
  <si>
    <t>Spintex Road</t>
  </si>
  <si>
    <t>153-4232</t>
  </si>
  <si>
    <t>Ghana</t>
  </si>
  <si>
    <t>Chief Executive Officer of Germany Office</t>
  </si>
  <si>
    <t>Wahu Mobility</t>
  </si>
  <si>
    <t>313779-43P</t>
  </si>
  <si>
    <t>Richard Spitzer</t>
  </si>
  <si>
    <t>Spitzer</t>
  </si>
  <si>
    <t>Mr. Richard Spitzer serves as an Advisory Board Member at Mobility Impact Partners. He is the Founder and serves as Managing Partner at Escavel Capital. He serves as a Board Member at Samsar Resources. He was a former Global Managing Partner for Accenture Automotive and Industrials Group. He serves as an Advisor at Voltaiq. He has completed his BS in Mechanical Engineering with honors from the University of Mississippi, and Master of Business Administration in Finance with honors from Southern Methodist University.</t>
  </si>
  <si>
    <t>+1 (313) 401-7333</t>
  </si>
  <si>
    <t>7941 Katy Freeway</t>
  </si>
  <si>
    <t>Suite 223</t>
  </si>
  <si>
    <t>Escavel Capital</t>
  </si>
  <si>
    <t>62644-78P</t>
  </si>
  <si>
    <t>Rodney Slater JD</t>
  </si>
  <si>
    <t>Dr. Rodney Slater serves as Partner at Squire Patton Boggs. He serves as Senior Advisor at Energy Impact Partners. Dr. Slater serves as Board Member at Transurban. Dr. Slater serves as a Board Member at Verizon Communications. He also serves as a Board Member at Transurban. Mr. Slater, 59, is a partner at the law firm Squire Patton Boggs LLP, focusing his practice in the areas of transportation and infrastructure and public policy. Before joining Squire Patton Boggs, from February 1997 to January 2001, Mr. Slater was the U.S. Secretary of Transportation. In that position, Mr. Slater was responsible for overseeing national transportation policy, encouraging intermodal transportation, negotiating international transportation agreements, and assuring the fitness of U.S. airlines. Before his appointment as Secretary of Transportation, from 1993 to 1997, Mr. Slater was the Administrator of the Federal Highway Administration, which provides financial and technical support for constructing, improving, and preserving the U.S. highway system. Mr. Slater's experience as the U.S. Secretary of Transportation and as the Administrator of the Federal Highway Administration positions him well to provide oversight to Verizon, which operates in a highly regulated industry, and to advise the Board and senior management on logistics, strategic partnerships, government relations and public policy. Each of these areas is an important focus for Verizon and has a fundamental impact on the way the Company operates. Mr. Slater also brings to the Board his experience guiding clients in developing infrastructure, as well as insights on the role of law in the Company's business. Mr. Slater has served as a Director of Verizon since 2010 and is a member of the Corporate Governance and Policy Committee. He is also a director of Kansas City Southern (since 2001), Transurban Group (since 2009) and Atkins PLC (since 2011). In the past five years, Mr. Slater has served as a director of Delta Air Lines, Inc. and ICx Technologies Inc.</t>
  </si>
  <si>
    <t>+1 (202) 457-5265</t>
  </si>
  <si>
    <t>rodney.slater@squirepb.com</t>
  </si>
  <si>
    <t>2550 M Street North-West</t>
  </si>
  <si>
    <t>20037</t>
  </si>
  <si>
    <t>+1 (202) 457-6315</t>
  </si>
  <si>
    <t>Squire Patton Boggs</t>
  </si>
  <si>
    <t>322125-58P</t>
  </si>
  <si>
    <t>Shweta Natarajan</t>
  </si>
  <si>
    <t>Shweta</t>
  </si>
  <si>
    <t>Natarajan</t>
  </si>
  <si>
    <t>Ms. Shweta Natarajan serves as Partner, Strategy at Mobility Impact Partners. In this role, she collaboratively guides the creation of MIP's investment theses and liaises closely with MIP's LPs to discern their mobility challenges and pinpoint business opportunities. She serves as Advisory Board Member at CURRENTfleet. She has extensive experience in strategy development and business transformation. At Caterpillar, she served as the Head of Enterprise Strategic Initiatives, identifying pivotal growth prospects for the firm. Earlier, during a five-year tenure at McKinsey &amp; Company, she held senior positions, advising CXOs of premier industrial and tech enterprises on addressing their critical challenges. Before McKinsey, she directed business strategy and operations for iPhone components and accessories at Apple. Before moving into business roles, she gained her foundational engineering experience at 3M and Honeywell. She holds both a BS and MS in mechanical engineering from Georgia Tech, marked by her highly-cited research into semiconductor physics and gas turbine combustion. She is a board member of the School of Mechanical Engineering at Georgia Tech and sits on the Battery Secondary Use committee of the Society of Automotive Engineers. Additionally, she advises startups in the mobility, fintech, and femtech sectors.</t>
  </si>
  <si>
    <t>+1 (408) 974-2746</t>
  </si>
  <si>
    <t>natarajan@mobilityimpact.partners</t>
  </si>
  <si>
    <t>Partner, Strategy</t>
  </si>
  <si>
    <t>278225-56P</t>
  </si>
  <si>
    <t>Stephanie Hazell</t>
  </si>
  <si>
    <t>Hazell</t>
  </si>
  <si>
    <t>Ms. Stephanie Hazell serves as a Board Member at Renew Holdings. She serves as Advisory Board Member at Mobility Impact Partners. She also serves as a Board Member at North Sea Midstream Partners and Piclo. She serves as Board Member and Senior Independent at 3i Infrastructure. She has over 20 years of relevant experience working in high-profile businesses including PricewaterhouseCoopers LLP, Orange SA, Virgin Management Ltd, and National Grid Plc where she held the position of Director, Strategy and Corporate Development. She is an Industrial Partner at Infracapital and a Non-Executive Director for a number of their investments.</t>
  </si>
  <si>
    <t>+44 (0)11 3281 4200</t>
  </si>
  <si>
    <t>Saint Helier</t>
  </si>
  <si>
    <t>Saint Helier, United Kingdom</t>
  </si>
  <si>
    <t>Aztec Group House, IFC 6</t>
  </si>
  <si>
    <t>The Esplanade</t>
  </si>
  <si>
    <t>Jersey</t>
  </si>
  <si>
    <t>JE2 3BZ</t>
  </si>
  <si>
    <t>3i Infrastructure</t>
  </si>
  <si>
    <t>221380-75P</t>
  </si>
  <si>
    <t>Stephen Holliday</t>
  </si>
  <si>
    <t>Holliday</t>
  </si>
  <si>
    <t>Mr. Stephen Holliday serves as Board Member at ProSapient. He serves as Advisory Board Member at Mobility Impact Partners. He also serves as Chairman at CityFibre. Mr. Holliday serves as Chairman at Zenobe Energy. He served as Chief Executive of National Grid plc from 2007 - 2016 after joining as the Board Director responsible for the UK and Europe in March 2001. He was a Non-Executive Director of Marks &amp; Spencer from 2004 - 2014 and the Defra Lead Non-Executive Director and Defra Board member from 2016 - 2017. Prior to his time at National Grid, he spent 19 years with Exxon before taking on the role of International Development Director of British Borneo Oil and Gas. He is currently deputy chair at Convatec Group PLC. He is Chairman of the Board of Trustees of Crisis, a trustee of Step up to Serve, vice chair of Business in the Community and vice chair of the Careers and Enterprise Company. He was elected as a Fellow of the Royal Society of Engineers in 2010 and holds Honorary Doctorates from Nottingham University and Strathclyde University.</t>
  </si>
  <si>
    <t>+44 (0)20 8156 7277</t>
  </si>
  <si>
    <t>sholliday@prosapient.com</t>
  </si>
  <si>
    <t>33 Holborn</t>
  </si>
  <si>
    <t>EC1N 2HT</t>
  </si>
  <si>
    <t>proSapient</t>
  </si>
  <si>
    <t>65148-67P</t>
  </si>
  <si>
    <t>Steven Chu Ph.D</t>
  </si>
  <si>
    <t>Dr. Steven Chu serves as Board Member &amp; Chair of the Nominating and Corporate Governance Committee at Oatly Group. He serves as Advisory Board Member at Mobility Impact Partners. He serves as Board Member at Amprius Technologies and Svante. He joined the board of directors in May 2021. He has been a professor at Stanford University since 2013. He previously served as the Secretary of Energy at the U.S. Department of Energy from 2009 to 2013. He currently serves on the board of directors for several private companies and served on the board of directors of Nvidia Corporation from 2004 to 2009, the Okinawa Institute of Science and Technology from 2004 to 2009, and the Lawrence Berkeley National Laboratory from 2004 to 2009. He holds a Bachelor of Science in Physics and a Bachelor of Arts in Mathematics from the University of Rochester. He also holds a Ph.D. in Physics and did a postdoctoral fellowship at the University of California, Berkeley. He was awarded the Nobel Prize in Physics in 1997 and has been a Member of the National Academy of Sciences and a foreign member of eight other academies of science since 1992. He has won numerous other awards, including 32 honorary university degrees. Dr. Chu holds an A.B. degree in Mathematics and a B.S. degree in Physics from the University of Rochester, and a Ph.D. in Physics from the University of California at Berkeley, and has 33 honorary degrees.</t>
  </si>
  <si>
    <t>Amprius Technologies</t>
  </si>
  <si>
    <t>169770-52P</t>
  </si>
  <si>
    <t>Steven Hellman</t>
  </si>
  <si>
    <t>Hellman</t>
  </si>
  <si>
    <t>Mr. Steven Hellman is the Founder &amp; serves as Managing Partner at Mobility Impact Partners. He is a Co-Founder &amp; serves as Chairman at Enernet Global. He Co-Founded Energy Impact Partners. He serves as Chairman at Samsar Resources. He has a long career building energy companies. He currently serves as Chairman of Eos Energy Storage, which is developing advanced batteries for stationary storage applications; Chairman of Convergent Energy &amp; Power, an energy storage asset development company; Chairman of Internet Global, a global developer of microgrids; and Chairman of Aspect Enterprise Solutions, which provides a SaaS platform to help global energy companies manage information and transactions. Mr. Hellman also built and exited a multi-billion dollar energy trading company, a large shipping company, and a $150 million commercial real estate business. He speaks Russian and Chinese, is a member of the Council on Foreign Relations, and holds an MA (Industrial Engineering) and a BS (Political Science, Slavic Languages) from Stanford University (Phi Beta Kappa, 1987). He served as Board Member at Toucan.</t>
  </si>
  <si>
    <t>+1 (212) 452-7856</t>
  </si>
  <si>
    <t>hellman@mobilityimpact.partners</t>
  </si>
  <si>
    <t>77857-12P</t>
  </si>
  <si>
    <t>Theodore Craver Jr.</t>
  </si>
  <si>
    <t>Craver</t>
  </si>
  <si>
    <t>Mr. Theodore Craver serves as Board Member, Member of Compensation and People Development Committee and Chairman of Corporate Governance Committee at Duke Energy. Mr. Craver serves as Advisory Board Member at Mobility Impact Partners. He also serves as a Board Member, Chairman of the Audit Committee and Member of Finance Committee, and Governance and Nominating Committee at Wells Fargo. Previously, he served as the Chairman, President, and Chief Executive Officer at Edison International. Craver was elected chairman and chief executive officer in August 2008, and president in April 2008. Craver was chairman, president, and chief executive officer of Edison Mission Group from January 2005 to April 2008. Before that, he was executive vice president of parent company Edison International and held the position of a chief financial officer and treasurer from January 2000 through December 2004. Before joining Edison in 1996, Craver served as executive vice president and corporate treasurer of First Interstate Bancorp from 1991 to 1996. In that role, he was responsible for corporate development, treasury, and sales and trading of investment and insurance products. While at First Interstate, Craver also served as executive vice president and chief financial officer of the wholesale banking subsidiary from 1986 to 1991. Before joining First Interstate, he spent four years with Bankers Trust Company of New York and seven years with Security Pacific National Bank in various capital markets sales and trading capacities. Craver is on the Board and serves as Chairman of the Edison Electric Institute, and is on the Board of the Electric Power Research Institute. He is a member of the Business Roundtable and serves on the Board of Directors of Health Net, Inc. Craver is also on the Board of Trustees of the Autry National Center and the California Board of Trustees of The Nature Conservancy. Craver earned an MBA and a bachelor's degree in economics and international relations from the University of Southern California.</t>
  </si>
  <si>
    <t>+1 (800) 488-3853</t>
  </si>
  <si>
    <t>525 South Tryon Street</t>
  </si>
  <si>
    <t>Board Member, Member of Compensation and People Development Committee and Chairman of Corporate Governance Committee</t>
  </si>
  <si>
    <t>Duke Energy</t>
  </si>
  <si>
    <t>148778-29P</t>
  </si>
  <si>
    <t>Thomas Wendt</t>
  </si>
  <si>
    <t>Wendt</t>
  </si>
  <si>
    <t>Mr. Thomas Wendt serves as Partner at Bain Capital VCaaS. He serves as Advisory Board Member at Mobility Impact Partners. Mr. Wendt served as Partner at Bain &amp; Company. He served as Senior Advisory Board Member at Energy Impact Partners. He co-founded and served as Managing Director of Icebreaker Ventures. He is a leader in Bain's Technology and Automotive practices, focused primarily in the intersection of automotive and tech, venture capital, and corporate innovation. He is also an expert in the firm's Advanced Manufacturing &amp; Services practice. He has a strong track record of building profitable, growing businesses with industry-recognized expertise. He holds deep management expertise in rapid-growth and turnaround environments with a proven ability to successfully set strategy, grow, and turn around business operations. He is passionate about the ongoing mobility revolution and the ways in which engineering, building, selling and using cars is changing. He has extensive experience in corporate venture capital and in supporting and mentoring great founders, teams, and companies to achieve their full potential and to rewire industries. Outside of his client work, he sits on the advisory boards of Energy Impact Partners and Next Future Transportation Inc. Prior to Bain, he co-led the North American automotive practice of a leading global strategy consultancy. He also co-founded Icebreaker Ventures, Autonomous World Fund, a unique multi-corporate strategic venture capital fund around autonomous, connected, electrified and shared mobility. He holds an MBA, an MSME, and a BSc from Darmstadt University of Technology. He also attended Harvard Business School's Executive Education Program.</t>
  </si>
  <si>
    <t>Bain Capital VCaaS</t>
  </si>
  <si>
    <t>375802-57P</t>
  </si>
  <si>
    <t>Yoshiaki Tojo</t>
  </si>
  <si>
    <t>Tojo</t>
  </si>
  <si>
    <t>Mr. Yoshiaki Tojo serves as Advisory Board Member at Mobility Impact Partners. He stands out for his deep expertise in the development, introduction, and adoption of new technologies in both the U.S. and Japan. Having served in several public entities like JETRO, NEDO, and the Ministry of Economy, Trade, and Industry for the Government of Japan, he has a unique perspective on international tech collaboration. Presently, he helms Senesens, his consulting and investment firm, focusing on seed-stage technological advancements.</t>
  </si>
  <si>
    <t>tojo@mobilityimpact.partners</t>
  </si>
  <si>
    <t>396148-69P</t>
  </si>
  <si>
    <t>Ahmad Tahir</t>
  </si>
  <si>
    <t>Tahir</t>
  </si>
  <si>
    <t>Moderne Ventures</t>
  </si>
  <si>
    <t>Mr. Ahmad Tahir serves as Senior Associate at Moderne Ventures. He focuses on technology companies in and around real estate, fintech, insurance, hospitality, home services and sustainability. Prior to Moderne, he was a Director of Corporate Development &amp; Investments at Matterport, a 3D spatial capture and digital twin company. In this role, he led inorganic growth strategy formulation, as well as managed M&amp;A and venture investment processes. Before that, he was a Corporate Development Deal Lead at EPAM Systems, a global software engineering firm. Preceding EPAM, he was an Investment Banker at Credit Suisse. He holds a BS in Finance from Indiana University's Kelley School of Business and an MBA from Rice University's Jones Graduate School of Business.</t>
  </si>
  <si>
    <t>ahmad@moderneventures.com</t>
  </si>
  <si>
    <t>401 North Michigan Avenue</t>
  </si>
  <si>
    <t>Suite 1900</t>
  </si>
  <si>
    <t>60611</t>
  </si>
  <si>
    <t>442168-84P</t>
  </si>
  <si>
    <t>Amol Mehta</t>
  </si>
  <si>
    <t>Amol</t>
  </si>
  <si>
    <t>Mr. Amol Mehta serves as Senior Associate at Moderne Ventures. Prior to Moderne, he was an early employee and Senior Director at Advocate Technologies, a SaaS platform providing insurance risk solutions and analytics for asset-based lenders and asset managers. In that role, he partnered closely with the Founder and led various aspects of business development, including growth strategy, sales/GTM, and core product development, taking the startup from ideation to hyper-growth with several revenue-generating enterprise clients. Prior to Advocate, he was an Investment Banker at Jefferies in the Housing &amp; Real Estate Group. He began his career at Goldman Sachs, where he helped manage the firm's tactical and strategic positioning in the Business Selection &amp; Conflicts Resolution Group. He earned a B.S. and M.S. in Economics from New York University, where he was a Presidential Honors Scholar, as well as an MBA from Columbia Business School, where he was on the Dean's Honor List.</t>
  </si>
  <si>
    <t>amol@moderneventures.com</t>
  </si>
  <si>
    <t>317793-16P</t>
  </si>
  <si>
    <t>Carolyn Kwon</t>
  </si>
  <si>
    <t>Ms. Carolyn Kwon serves as Head of Platform at Moderne Ventures. She is responsible for the key operational activities of Moderne Passport. These include partnering with the firm's Passport participants, logistics and event management, strategic guidance, and Network relationship management. Before joining Moderne Ventures, she was a President's Club Recipient at LinkedIn where she partnered directly with high-growth companies to develop and launch their corporate recruitment and digital marketing strategies. She was also a co-founder of one of LinkedIn's Global Employee Resource Groups. Previously she held strategy positions with the Kraft Sports Group (the New England Patriots) and Bain &amp; Company, Inc. She received a Bachelor of Arts in Sociology and Entrepreneurial Leadership Studies, summa cum laude, from Tufts University.</t>
  </si>
  <si>
    <t>carolyn@moderneventures.com</t>
  </si>
  <si>
    <t>69268-96P</t>
  </si>
  <si>
    <t>Constance Freedman</t>
  </si>
  <si>
    <t>Ms. Constance Freedman is the Founder and serves as Managing Partner at Moderne Ventures. Ms. Freedman serves as a Board Member &amp; Advisor at ICON and UrbanBound. She also served as Board Observer TaskEasy. She served as Board Member at DocuSign. She is the Advisor at Nova (Financial Software) and Abound. She served as Managing Director at Second Century Ventures. Prior to launching Moderne, she was the head of Strategic Investments at the National Association of Realtors® (NAR) where she launched and managed its investment arm, Second Century Ventures (SCV), and founded its accelerator program, REach, in 2009 and 2013 respectively. During her tenure with NAR, she invested in over 30 technology companies and helped bring them to market in the real estate industry and beyond. She was active on several company boards including DocuSign, Updater, Ifbyphone, and Xceligent. She came to Second Century Ventures with a background in Venture Capital, Technology, and Real Estate. Prior to launching SCV, she was an investor with Cue Ball, an early and growth-stage investment fund focused on the information services and consumer sectors. She began her career by spending 7 years in an operating capacity at technology start-ups Molecular (backed by CMGI, acquired by Isobar) and Account4.com (acquired by Lawson). She was a practicing real estate agent for three years prior to starting her career in technology. In 2014, Constance was recognized by Crain's Business in its prestigious 40 under 40 awards and was named on Crain's Chicago Top Tech 50. She was also recognized in both 2014 and 2015 as one of the top 200 most powerful individuals in residential real estate by Swanopoel's "Power 200." She served on the Advisory Board for the National Venture Capital Association's Corporate Venturing Group from 2010-2013 and is on the board of overseers for the non-profit, From the Top. She earned a BS from Boston University and an MBA from Harvard Business School.</t>
  </si>
  <si>
    <t>cfreedman@moderneventures.com</t>
  </si>
  <si>
    <t>104740-48P</t>
  </si>
  <si>
    <t>David Tal</t>
  </si>
  <si>
    <t>Mr. David Tal is a Co-Founder and serves as Chief Executive Officer at Verse.io. He serves as Entrepreneur-in-Residence at Moderne Ventures. Prior to joining Moderne Ventures, He participated in the Moderne Passport Program as a founder. Following his completion of the program, He served as a mentor to other Moderne portfolio companies. He collaborates closely with Moderne's team and portfolio companies to help startups strategize and scale. He is a UCLA graduate, and two-time venture-backed startup founder. He has a proven track record of building and scaling successful businesses. He has founded and exited two companies alongside his brothers, most recently an AI-powered customer engagement platform that was acquired by a large publicly traded company. His expertise spans artificial intelligence and industries such as real estate, housing, mortgage, financial services, and home services. In his most recent venture, He led a company from inception to acquisition, successfully raising multiple rounds of venture funding, establishing strategic enterprise partnerships, driving continuous product innovation, and scaling a dynamic team from 0 to over 100 employees across the U.S. and internationally.</t>
  </si>
  <si>
    <t>+1 (844) 372-3014</t>
  </si>
  <si>
    <t>david@verse.io</t>
  </si>
  <si>
    <t>550 West Broadway Street</t>
  </si>
  <si>
    <t>Suite 413</t>
  </si>
  <si>
    <t>92101</t>
  </si>
  <si>
    <t>Verse.ai</t>
  </si>
  <si>
    <t>311695-75P</t>
  </si>
  <si>
    <t>Dylan Ketcham</t>
  </si>
  <si>
    <t>Ketcham</t>
  </si>
  <si>
    <t>Mr. Dylan Ketcham serves as Principal at Moderne Ventures. He focuses on high-growth technology companies in and around real estate. mortgage. finance, insurance, and home services industries. Prior to Moderne, he was a founding team member and Vice President of the Emerging Fintech investment banking practice at Barclays. He holds a BS in Finance and Accounting from Elon University and an MBA from Northwestern's Kellogg School of Management. He also serves as an Advisory Board Member at the Doherty Center at Elon University.</t>
  </si>
  <si>
    <t>dylan@moderneventures.com</t>
  </si>
  <si>
    <t>442169-29P</t>
  </si>
  <si>
    <t>Kelly Soljacich</t>
  </si>
  <si>
    <t>Soljacich</t>
  </si>
  <si>
    <t>Ms. Kelly Soljacich serves as Entrepreneur-in-Residence at Moderne Ventures. She joined Moderne Ventures after working in commercial real estate Portfolio and Asset Management for over 23 years. Previously, as a Senior Vice President of Asset Management with LaSalle Investment, she initially oversaw a portfolio of assets across various funds and custom account clients before transitioning to Head of EST Innovation (Environmental, Social and Technology). Her projects included vetting and evaluate hundreds of Proptech vendors, working with the sustainability group on innovative or technology focused sustainability initiatives as well as leading LaSalle's partnership with the RedCross, Health and Wellness certifications and created and ran their Social Toolkit and programming. Mrs. Soljacich's professional responsibilities have covered multifamily, retail, office, medical office, student housing, showroom and industrial properties across the United States. Mrs. Soljacich is also an active Board Member of the Red Cross of Illinois, as well as the Technology product council of ULI and advises several Woman's professional and DEI groups. Prior to joining LaSalle in 2017, Mrs. Soljacich was employed by Deutsche Bank (DWS) in Chicago in both the Asset Management and Portfolio Management groups since 2007, and before that with Vornado (MMPI) and General Growth Properties (Brookfield) in similar roles.</t>
  </si>
  <si>
    <t>311684-50P</t>
  </si>
  <si>
    <t>Lila Trickle</t>
  </si>
  <si>
    <t>Trickle</t>
  </si>
  <si>
    <t>Ms. Lila Trickle serves as Chief of Staff &amp; Chief Communications Officer at Moderne Ventures. She oversees firm operations and strategic initiatives, and communications for the firm. Previously, She was the Senior Director of Marketing on the Executive Leadership team at IA Collaborative, a global design and innovation consultancy firm, where she led marketing and communications and created structures and processes to help the organization scale. Previously, she was VP of Corporate Communications in the Corporate Affairs and Reputation Management department at Edelman for over a decade where her roles included equal parts primary account lead, senior project manager and trusted advisor to the C-suite for Edelman's global Fortune 500 clients. A champion for women in business, Her work has been recognized by Fast Company's World Changing Ideas awards. She serves on the Executive Board at Friends of Prentice, an organization committed to funding the future of women's healthcare in partnership with Northwestern Medicine Prentice Women's Hospital. She earned a BA in Marketing Communications &amp; Journalism from Columbia College Chicago.</t>
  </si>
  <si>
    <t>lila@moderneventures.com</t>
  </si>
  <si>
    <t>138089-44P</t>
  </si>
  <si>
    <t>Lindsay Hyde</t>
  </si>
  <si>
    <t>Hyde</t>
  </si>
  <si>
    <t>Ms. Lindsay Hyde serves as Entrepreneur-in-Residence at Moderne Ventures. Before joining Moderne, Lindsay was the co-founder and CEO of Baroo, a multifamily services company that provide services as amenities to leading class A multifamily owners and operators. Earlier in her career, Lindsay founded and served as the Executive Director of the international not-for-profit organization, Strong Women, Strong Girls and worked to drive innovation at both BlackRock and the Downtown Project. Lindsay also serves as a public company director at Monro (NASDAQ: MNRO). Lindsay earned her BA, magna cum laude, and MBA from Harvard University.</t>
  </si>
  <si>
    <t>lindsay@moderneventures.com</t>
  </si>
  <si>
    <t>13092-04P</t>
  </si>
  <si>
    <t>Liza Benson</t>
  </si>
  <si>
    <t>Liza</t>
  </si>
  <si>
    <t>Ms. Liza Benson serves as Partner at Moderne Ventures. She served as Board Member at The Rounds, Caribou. She serves as Board Member at Measurabl. She served Board Member as Kaiyo.</t>
  </si>
  <si>
    <t>liza@moderneventures.com</t>
  </si>
  <si>
    <t>357632-56P</t>
  </si>
  <si>
    <t>Matthew Burns JD</t>
  </si>
  <si>
    <t>Dr. Matthew Burns serves as Senior Associate at Moderne Ventures. Before joining Moderne, He served as Senior Associate at Cleveland Avenue. He helped identify, evaluate, and scale emerging consumer tech companies and brands. Previously, He worked in investment banking at Robert W. Baird &amp; Co., advising on both sell-side and buy-side M&amp;A transactions. He began his career practicing law at Kirkland &amp; Ellis LLP, specializing in mergers &amp;acquisitions and investment funds. He earned his B.S. in Business Administration, graduating magna cum laude from High Point University, and his J.D., graduating magna cum laude from Howard University School of Law.</t>
  </si>
  <si>
    <t>matthew@moderneventures.com</t>
  </si>
  <si>
    <t>422476-39P</t>
  </si>
  <si>
    <t>Rachel Warden</t>
  </si>
  <si>
    <t>Mr. Rachel Warden serves as Investor Relations Associate at Moderne Ventures. She works closely with Moderne's Partners and Head of Capital Formation &amp; Investor Relations to support the firm's investor partnerships and communications. Prior to joining Moderne, She served as a Senior Investment Analyst at Plan PILOT, specializing in institutional investment consulting. In this position, She managed several client relationships and played a key role in acquiring new business. She conducted in-depth financial research, led investment recommendations, and contributed to the firm's thought leadership initiatives. Prior to Plan PILOT, She gained M&amp;A experience at Benchmark International evaluating potential acquisition targets as an analyst. She also worked briefly as a sales intern at Signature Lacrosse, a student-led startup in Tampa, FL. She earned a BS in Economics, summa cum laude, from the University of Tampa and an MS in Finance, summa cum laude, from Loyola University Chicago.</t>
  </si>
  <si>
    <t>+1 (270) 505-2660</t>
  </si>
  <si>
    <t>rachel@moderneventures.com</t>
  </si>
  <si>
    <t>Investor Relations Associate</t>
  </si>
  <si>
    <t>238936-96P</t>
  </si>
  <si>
    <t>Sam Delisi</t>
  </si>
  <si>
    <t>Delisi</t>
  </si>
  <si>
    <t>Mr. Sam Delisi serves as Operating Partner at Moderne Ventures. . He was most recently the Global Head of Property Management Services for WeWork. He was recruited to stand up a third-party property management business. Sam has a 40 year career in property management leadership and commercial brokerage roles with Newmark Knight Frank, CBRE, Insignia ESG and U.S Equities Realty.</t>
  </si>
  <si>
    <t>sam@moderneventures.com</t>
  </si>
  <si>
    <t>211861-45P</t>
  </si>
  <si>
    <t>Seth Corder</t>
  </si>
  <si>
    <t>Corder</t>
  </si>
  <si>
    <t>Mr. Seth Corder serves as Managing Director at Moderne Ventures. Prior to joining Moderne Ventures, Mr. Corder was a Partner at High Alpha, a leading venture fund focused on early-stage B2B SaaS companies across North America. During his six-year tenure, High Alpha invested in over 70 high-growth B2B companies. He was instrumental in leading the investment team, serving as a voting member of the investment committee, and providing strategic guidance to founders across the portfolio. He served as a board member or observer for nine companies, providing hands-on support to help drive growth and success. Before joining High Alpha, He spent nearly a decade advising and investing in technology companies. He began his investment career at Goldman Sachs, where he focused on private equity and venture capital. He also gained valuable experience in investment banking at Pacific Crest Securities, where he specialized in M&amp;A transactions for B2B companies, particularly in the DevOps space, with a strong emphasis on Europe and Israel. His recent accolades include being recognized by Business Insider as one of the 39 Most Important VCs in the Midwest. He is deeply passionate about mentoring the next generation of venture capitalists, regularly speaking in college classrooms and serving as a mentor in programs such as Venture Forward. He graduated from the Mitch Daniels School of Business at Purdue University, where he studied finance and accounting. He is also a Kauffman Fellow, the world's premier venture capital fellowship.</t>
  </si>
  <si>
    <t>seth@moderneventures.com</t>
  </si>
  <si>
    <t>317793-52P</t>
  </si>
  <si>
    <t>Theo Lim</t>
  </si>
  <si>
    <t>Mr. Theo Lim serves as Senior Associate at Moderne Ventures.</t>
  </si>
  <si>
    <t>theo@moderneventures.com</t>
  </si>
  <si>
    <t>366798-16P</t>
  </si>
  <si>
    <t>Wai Cheng</t>
  </si>
  <si>
    <t>Wai</t>
  </si>
  <si>
    <t>Ms. Wai Cheng serves as Managing Director and Head of Capital Formation &amp; Investor Relations at Moderne Ventures. Ms. Cheng served as Director at Lafayette Square. Prior to joining Lafayette Square, she was an Executive Director and a Portfolio Manager at GCM Grosvenor's Absolute Return Strategy team. GCM Grosvenor is a global alternative asset management firm with more than $70 billion in assets under management. Previously, she was a Senior Portfolio Manager for the Texas Treasury Safekeeping Trust Company with more than $65 billion in assets under management. In this role, she managed the Alternative Fixed Income and Private Debt strategies for the trust company. Previously, she was an Associate Director in the Portfolio Management Department at PAAMCO / Prisma. She began her career working as an Analyst in foreign exchange sales and trading at Goldman Sachs in Hong Kong. She received her Bachelor of Arts in Economics from the University of Chicago and her Master of Business Administration from the Tuck School of Business at Dartmouth College. She holds the Chartered Financial Analyst® designation.</t>
  </si>
  <si>
    <t>wai@moderneventures.com</t>
  </si>
  <si>
    <t>Managing Director and Head of Capital Formation &amp; Investor Relations</t>
  </si>
  <si>
    <t>344088-64P</t>
  </si>
  <si>
    <t>Jakub Buzalski</t>
  </si>
  <si>
    <t>Jakub</t>
  </si>
  <si>
    <t>Buzalski</t>
  </si>
  <si>
    <t>Montis Capital (Warsaw)</t>
  </si>
  <si>
    <t>Mr. Jakub Buzalski serves as Senior Analyst at Montis Capital (Warsaw).</t>
  </si>
  <si>
    <t>+48 66 379 7265</t>
  </si>
  <si>
    <t>j.buzalski@montiscap.com</t>
  </si>
  <si>
    <t>Ul. Nowogrodzka 10/8</t>
  </si>
  <si>
    <t>00-511</t>
  </si>
  <si>
    <t>230930-02P</t>
  </si>
  <si>
    <t>Lukasz Dziekonski</t>
  </si>
  <si>
    <t>Dziekonski</t>
  </si>
  <si>
    <t>Mr. Lukasz Dziekonski serves as Managing Partner &amp; serves as Group Chief Executive Officer at Montis Capital (Warsaw). He served as Board Member at Plenti.</t>
  </si>
  <si>
    <t>l.dziekonski@montiscap.com</t>
  </si>
  <si>
    <t>Managing Partner &amp; Group Chief Executive Officer</t>
  </si>
  <si>
    <t>230929-30P</t>
  </si>
  <si>
    <t>Michał Gawęda</t>
  </si>
  <si>
    <t>Michał</t>
  </si>
  <si>
    <t>Gawęda</t>
  </si>
  <si>
    <t>Mr. Michał Gawęda serves as Venture Partner at Montis Capital. He previously worked in the family office of Luma Investment, where he participated in several M&amp;A transactions. He has also worked with Ernst &amp; Young.</t>
  </si>
  <si>
    <t>m.gaweda@montiscap.com</t>
  </si>
  <si>
    <t>59602-69P</t>
  </si>
  <si>
    <t>Tomasz Poniński Ph.D</t>
  </si>
  <si>
    <t>Tomasz</t>
  </si>
  <si>
    <t>Poniński</t>
  </si>
  <si>
    <t>Dr. Tomasz Poniński serves as Managing Partner at Montis Capital (Warsaw). He serves as Board Member at Fresh Inset. He served as Chairman of the Supervisory Board at Adiuvo Investment and Biotts, where he is also an Advisor. He is the president of Orenore Polska Sp. z oo - an investment company forming a capital group, operating in the areas of life science/biotechnology, Internet and renewable energy. Mr. Poniński has over 10 years of experience in the investment and consulting industry. He is a graduate of the Warsaw School of Economics in Warsaw in the fields of Management and Finance and Banking, a Ph.D. student at the Warsaw School of Economics. Mr. Poniński is the President of the Management Board of Biovo Sp. z oo with its registered office in Warsaw (46.28% share in the share capital), and the President of the Management Board of Orenore Sp. z o. o. with headquarters in Warsaw.</t>
  </si>
  <si>
    <t>t.poninski@montiscap.com</t>
  </si>
  <si>
    <t>230928-31P</t>
  </si>
  <si>
    <t>Wojciech Szwankowski</t>
  </si>
  <si>
    <t>Wojciech</t>
  </si>
  <si>
    <t>Szwankowski</t>
  </si>
  <si>
    <t>Mr. Wojciech Szwankowski serves as Managing Partner at Montis Capital (Warsaw). He started his professional career at Paris Stock Exchange. He has also worked with JP Morgan and Goldman Sachs</t>
  </si>
  <si>
    <t>w.szwankowski@montiscap.com</t>
  </si>
  <si>
    <t>225463-06P</t>
  </si>
  <si>
    <t>Ann Chu</t>
  </si>
  <si>
    <t>Moonrise Capital</t>
  </si>
  <si>
    <t>Ms. Ann Chu serves as Chief Financial Officer at Moonrise Capital. Prior to joining Moonrise Capital, she was the Corporate Controller of Commonfund and its subsidiaries from 2005 to March 2016. Prior to Commonfund, she was Vice President of Finance and Operations at TDA Capital Partners, formerly known as Templeton Direct Advisors, a private equity and venture capital boutique. Prior to TDA, she was the Corporate Controller of Kenmar, a commodity pool operator and commodity trading advisor. At the asset management businesses of Morgan Stanley &amp; Co. and Chase Manhattan, she was responsible for conducting reviews of third party service providers including fund accounting and administration, custody and transfer agent for these respective organization's sponsored offshore funds. She has 9 years of combined audit and tax experience at Deloitte and PriceWaterhouse. She graduated with a B.B.A. in Accounting from Pace University in 1985 and is a Certified Public Accountant (inactive) in New York.</t>
  </si>
  <si>
    <t>ann.chu@moonrisecapital.com</t>
  </si>
  <si>
    <t>Vero Beach</t>
  </si>
  <si>
    <t>Vero Beach, FL</t>
  </si>
  <si>
    <t>4445 North A1A</t>
  </si>
  <si>
    <t>Suite 231</t>
  </si>
  <si>
    <t>32963</t>
  </si>
  <si>
    <t>14560-84P</t>
  </si>
  <si>
    <t>Donald Pascal</t>
  </si>
  <si>
    <t>Mr. Donald Pascal is the Founder and serves as Managing Partner at Moonrise Capital. He served as Managing Director at Commonfund Capital. His primary responsibilities included oversight of due diligence, manager selection and investment management for the firm's private capital and distressed capital programs. He was a member of the Investment Committee of Commonfund Capital. He has 30 years of direct private capital and multi-manager investment experience, including sourcing, negotiating, and monitoring direct investments. Prior to joining Commonfund Capital in 1998, He worked at Victory Ventures LLC, Noel Group, Inc. and The Prospect Group, Inc., all private capital funds organized by Louis Marx, Jr. Previously, he worked at E.M. Warburg Pincus &amp; Co. and Strategic Planning Associates. He is presently a member of the advisory boards of several private capital limited partnerships, including those managed by: Accel Partners, Bridgepoint Capital, IDGAccel, Legend Capital, New Enterprise Associates, Northern Light, and Greylock Israel. He is also a member of the Investment Committee for The Hotchkiss School. He received a B.S. in Engineering from Princeton University.</t>
  </si>
  <si>
    <t>+1 (203) 544-2303</t>
  </si>
  <si>
    <t>don.pascal@moonrisecapital.com</t>
  </si>
  <si>
    <t>366883-03P</t>
  </si>
  <si>
    <t>Sobhon Khairy</t>
  </si>
  <si>
    <t>Sobhon</t>
  </si>
  <si>
    <t>Khairy</t>
  </si>
  <si>
    <t>Mr. Sobhon Khairy serves as Senior Associate at Moonrise Capital. Prior to his role at the firm, Mr. Khairy was a Venture Associate at SeedInvest in New York, where he built relationships with startup founders, conducted due diligence, and structured early-stage venture deals across various industries. Prior to SeedInvest, Mr. Khairy was a Research Analyst at Pilot44 Labs in San Francisco, a corporate innovation consultancy that enables Fortune 100 enterprises to innovate through startup partnerships, pilots, and investment. Mr. Khairy graduated from Tufts University in 2019 with a Bachelor's Degree in International Relations and Economics.</t>
  </si>
  <si>
    <t>sobhon.khairy@moonrisecapital.com</t>
  </si>
  <si>
    <t>56193-22P</t>
  </si>
  <si>
    <t>Colin Mangham</t>
  </si>
  <si>
    <t>Mangham</t>
  </si>
  <si>
    <t>Morpho Energy</t>
  </si>
  <si>
    <t>Mr. Colin Mangham is a Co-Founder and serves as Chief Commercial Officer &amp; Head, Client Relations at Morpho Energy. He serves as a Director at Net Zero Accelerator. He also served as the Chief Marketing Officer at Oomba. He has created and communicated the value of new and important ideas, initiatives, and organizations for 30 years. He's guided dozens of global brands (generating over $500 million in revenues) and hundreds of entrepreneurs (securing over $75 million in funding). He is a LEED Green Associate, Living Future Ambassador (Living Building Challenge), certified Biomimicry Specialist (bioinspired innovation), and certified optimization coach. He currently serves as a judge for the CHARGE Awards honoring the world's best energy brands, as well as the Katerva Awards, Edison Awards and Biomimicry Global Design Challenge. He also directs the Net Zero Accelerator, founded by the U.S. Green Building Council's LA Chapter to advance innovation in the built environment toward net zero energy, waste, water and carbon. His "Find Your Woods" TEDx and "Going Green" on CNN International have helped further establish him as a leading advocate of next-gen sustainability and innovation inspired by nature. With an MBA from the University of Liverpool and a bachelor's in Business Administration from LSU, he lectures at UCLA, USC and Loyola Marymount and is a Visiting Faculty member at the Reutlingen University of applied science in Germany.</t>
  </si>
  <si>
    <t>+1 (800) 596-2949</t>
  </si>
  <si>
    <t>colin@morphoenergy.com</t>
  </si>
  <si>
    <t>El Segundo</t>
  </si>
  <si>
    <t>El Segundo, CA</t>
  </si>
  <si>
    <t>880 Apollo Street</t>
  </si>
  <si>
    <t>Suite 333</t>
  </si>
  <si>
    <t>90245</t>
  </si>
  <si>
    <t>Co-Founder, Chief Commercial Officer &amp; Head, Client Relations</t>
  </si>
  <si>
    <t>334182-97P</t>
  </si>
  <si>
    <t>Conrad Chase</t>
  </si>
  <si>
    <t>Mr. Conrad Chase is a Co-Founder and serves as Chief Executive Officer at Morpho Energy. Mr. Chase is the former Chief Executive Officer of Point Load Power, the cleantech company that invented PV Booster rooftop tracker. For more than a decade prior to co-founding Point Load Power, Conrad held finance and business development leadership positions in international solar, mining, and real estate industries. In his role as Director of Project Finance at Inovateus Solar, Conrad developed and financed over 55MW of rooftop and utility solar projects from NJ to CA. He earned his B.A. from the University of Wisconsin-Madison.</t>
  </si>
  <si>
    <t>conrad@morphoenergy.com</t>
  </si>
  <si>
    <t>116019-37P</t>
  </si>
  <si>
    <t>Jon Buttles</t>
  </si>
  <si>
    <t>Buttles</t>
  </si>
  <si>
    <t>Mr. Jon Buttles serves as Board Chair &amp; Founding CFO at Morpho Energy. He also serves as Chief Financial Officer at Birch Creek Development. He serves as Managing Partner at Morpho Ventures. He served as Chief Financial Officer at Cypress Creek Renewables. As CFO, Jon is responsible for guiding and evaluating Cypress Creek's immediate and long-range financial planning, budgets, and performance. With a background in investment banking, private equity, and venture capital at companies including Core Equity Group, Monument Capital Partners and Merriman Capital, Inc., Jon is instrumental in Cypress Creek's strategic growth. Jon also currently serves on the board of advisors for a number of companies including GTX Corp. and Boldface LLC.</t>
  </si>
  <si>
    <t>jon@morphoenergy.com</t>
  </si>
  <si>
    <t>Board Chair &amp; Founding CFO</t>
  </si>
  <si>
    <t>334183-87P</t>
  </si>
  <si>
    <t>Rusty Wood</t>
  </si>
  <si>
    <t>Chief Development Officer &amp; Head</t>
  </si>
  <si>
    <t>Mr. Rusty Wood is a Co-Founder and serves as Chief Development Officer &amp; Head of Engineering &amp; Construction at Morpho Energy. Mr. Wood is a proven and accomplished Construction executive with over 16 years experience of full life-cycle construction leadership experience to include functional leadership areas to include, but not limited to:Engineering, Drafting, Project Development, Permitting, Entitlements, Commissioning, Operations, Maintenance and Finance. Focused on leading clients and employees to operational success in the General Construction or Utility and Energy Industries. Has completed the following project phases for over 2GW of projects: provided financial project structuring, funding; designed, engineered, project managed, consulted upon, construction, and commissioning for Governments, Utilities and Private Third-Party Owners spanning over $3 billion in project values. Rusty received his BS and MBA from Western Governors University, and LEED® Accredited Professional (AP) from the Green Building Certification Institute.</t>
  </si>
  <si>
    <t>rusty@morphoenergy.com</t>
  </si>
  <si>
    <t>Co-Founder, Chief Development Officer &amp; Head of Engineering &amp; Construction</t>
  </si>
  <si>
    <t>54927-82P</t>
  </si>
  <si>
    <t>Andrew Katz</t>
  </si>
  <si>
    <t>mParticle</t>
  </si>
  <si>
    <t>Mr. Andrew Katz serves as Chief Technology Officer at Rokt. He is a Co-Founder and serves as Chief Technology Officer and Board Member at mParticle. With extensive experience in software engineering and technical leadership, he plays a crucial role in driving Rokt's technological advancements in the ecommerce marketing space. Prior to joining Rokt, Katz co-founded mParticle and served as its Chief Technology Officer. He also held senior technology positions at other prominent companies, including as VP of Engineering at Yahoo!. Prior to this role, Mr. Katz was the VP of Engineering of Yahoo for 1.5 years. He also was a Co-Founder of interclick, founded in 2004 and the CEO of mStyle, based in Boston. Mr. Katz studied Business Administration at Babson College, graduating in 2002.</t>
  </si>
  <si>
    <t>Level 10</t>
  </si>
  <si>
    <t>Rokt</t>
  </si>
  <si>
    <t>341564-95P</t>
  </si>
  <si>
    <t>Cecilia Jenkins</t>
  </si>
  <si>
    <t>Ms. Cecilia Jenkins serves as Director of Strategic People Business Partners at mParticle.</t>
  </si>
  <si>
    <t>+1 (917) 692-2868</t>
  </si>
  <si>
    <t>99 Wall Street</t>
  </si>
  <si>
    <t>Suite 630</t>
  </si>
  <si>
    <t>Director of Senior Human Resorce &amp; Strategic People Business Partners</t>
  </si>
  <si>
    <t>54928-36P</t>
  </si>
  <si>
    <t>Jason Lynn</t>
  </si>
  <si>
    <t>Mr. Jason Lynn is a Co-Founder and serves as Chief Product Officer at mParticle. He is also an Angel Investor. He is responsible for overseeing all things product-related. Prior Jason served as VP of Product at Yahoo, where he managed the product, analytics, data partnerships, and sales engineering teams for the Genome business unit. Previous to this, Jason was Chief Strategy Officer at Interclick (NASDAQ: ICLK), where he established the product, privacy, analytics, and marketing practices. Additionally, he designed the core data valuation and targeting systems, OSM and Genome. Jason came to Interclick with 10+ years in the internet technology industry, including roles with Right Media, TACODA, Intel, and UUnet. Duke University with degrees in Economics &amp; Public Policy.</t>
  </si>
  <si>
    <t>jlynn@mparticle.com</t>
  </si>
  <si>
    <t>190647-73P</t>
  </si>
  <si>
    <t>Jillian Burnett</t>
  </si>
  <si>
    <t>Burnett</t>
  </si>
  <si>
    <t>Ms. Jillian Burnett serves as Chief Customer Officer at mParticle.</t>
  </si>
  <si>
    <t>jburnett@mparticle.com</t>
  </si>
  <si>
    <t>45930-79P</t>
  </si>
  <si>
    <t>Michael Katz</t>
  </si>
  <si>
    <t>Mr. Michael Katz is a Co-Founder and serves as Chief Executive Officer and Board Member at mParticle. Mr. Katz is an Angel Investor. He also serves as an Advisor at Radar. He is responsible for creating and overseeing the execution of mParticle's vision of becoming the premier mobile data solution. Prior, Michael was a VP of Optimization &amp; Analytics at Yahoo where he came via the acquisition of interclick, the company he founded. As former CEO &amp; Co-founder of interclick, Michael led the business as it grew organically to $140M in revenue while expanding gross margin % and EBITDA before its sale to Yahoo for $270 million in 2011. Mr. Michael was also responsible for building and maintaining analyst, auditor, and investor relationships. Prior, he was an Analyst at Accenture and ZEFER. He holds Syracuse University Degrees in Finance and Economics.</t>
  </si>
  <si>
    <t>mkatz@mparticle.com</t>
  </si>
  <si>
    <t>170234-92P</t>
  </si>
  <si>
    <t>Kathy Mitsuko Koll</t>
  </si>
  <si>
    <t>Mitsuko Koll</t>
  </si>
  <si>
    <t>MPower Partners</t>
  </si>
  <si>
    <t>Ms. Kathy Matsui is a Co-Founder and serves as General Partner at MPower Partners. She serves as Board Member at Fast Retailing Company. She is the former Vice Chair of Goldman Sachs Japan and Chief Japan Equity Strategist. Her groundbreaking 'Womenomics' research spurred the Japanese government to promote gender diversity, and she has advised corporations on governance and diversity best practices. She published her book, How to Nurture Female Employees, in 2020. She has an MA from the Johns Hopkins School of Advanced International Studies and an AB from Harvard.</t>
  </si>
  <si>
    <t>kathy@mpower-partners.com</t>
  </si>
  <si>
    <t>Yamaguchi</t>
  </si>
  <si>
    <t>Yamaguchi, Japan</t>
  </si>
  <si>
    <t>10717-1 Sayama</t>
  </si>
  <si>
    <t>754-0894</t>
  </si>
  <si>
    <t>Fast Retailing Company</t>
  </si>
  <si>
    <t>384497-83P</t>
  </si>
  <si>
    <t>Kazuhiro Hosaka</t>
  </si>
  <si>
    <t>Hosaka</t>
  </si>
  <si>
    <t>Mr. Kazuhiro Hosaka serves as an Associate at MPower Partners. He Hosaka previously worked at WeWork Japan in its expansion phase, leading the fundraising initiatives that
enabled the company's growth to about 40 locations across Japan. Previously at Nikken Sekkei, an architectural design firm, he contributed to the launch of international branches and projects. He earned a BA from Hitotsubashi University and an MBA from INSEAD.</t>
  </si>
  <si>
    <t>337163-23P</t>
  </si>
  <si>
    <t>Kirara Tsutsui</t>
  </si>
  <si>
    <t>Kirara</t>
  </si>
  <si>
    <t>Tsutsui</t>
  </si>
  <si>
    <t>Ms. Kirara Tsutsui serves as Vice President at MPower Partners. She previously worked as a consultant at Bain &amp; Company (Tokyo), with case work ranging from due diligence (business and ESG) for private equity funds to new business development and cost reduction strategies for global companies. She earned BS degrees from Pomona College in Environmental Science and Economics.</t>
  </si>
  <si>
    <t>kirara@mpower-partners.com</t>
  </si>
  <si>
    <t>127617-31P</t>
  </si>
  <si>
    <t>Masatoshi Fukasawa</t>
  </si>
  <si>
    <t>Masatoshi</t>
  </si>
  <si>
    <t>Fukasawa</t>
  </si>
  <si>
    <t>Mr. Masatoshi Fukasawa serves as Partner at MPower Partners. He serves as Board Member at Candee. He served as Principal at Eight Roads. He served as Senior Vice President, Investments at DeNA. He also serves as Board Member at Div. Prior to Eight Roads, he spent 5 years at DeNA as the CEO/Head of Marketing of its mobile game business in the United States, and he also launched a new business as the CEO of DeNA Life Science. He was also responsible for DeNA's venture investments in Japan and overseas as Senior Vice President in the Strategic Investment Office. Before joining DeNA, he spent almost 10 years with Accenture, engaged in management consulting for the communications, technology, media, and internet industries as a Senior Manager. He graduated from the Tokyo Institute of Technology (BS in Engineering) and Harvard Business School (completed PLD).</t>
  </si>
  <si>
    <t>+81 (0)33 928 0069</t>
  </si>
  <si>
    <t>337159-54P</t>
  </si>
  <si>
    <t>Miwa Seki</t>
  </si>
  <si>
    <t>Miwa</t>
  </si>
  <si>
    <t>Seki</t>
  </si>
  <si>
    <t>Ms. Miwa Seki is a Co-Founder and serves as General Partner at MPower Partners. She is a former Japanese growth equity portfolio manager with Clay Finlay, and she previously worked in investment banking for Morgan Stanley. She has translated over 50 business/entrepreneurship publications, and is also an associate professor of Kyorin University. She earned an MBA from Harvard Business School and a BA from Keio University.</t>
  </si>
  <si>
    <t>miwa@mpower-partners.com</t>
  </si>
  <si>
    <t>337162-24P</t>
  </si>
  <si>
    <t>Xia Ye</t>
  </si>
  <si>
    <t>Ye</t>
  </si>
  <si>
    <t>Ms. Xia Ye serves as Principal at MPower Partners. She previously worked as an investment banking associate at Credit Suisse (Tokyo), first in the corporate finance team engaging in cross-border M&amp;A and subsequently in the capital markets division focusing on IPOs and overseas offerings for new economy companies in Japan. She was born in Yunnan, China, and she holds a BA from Fudan University (China) and an MS in Engineering from the University of Tokyo.</t>
  </si>
  <si>
    <t>xia@mpower-partners.com</t>
  </si>
  <si>
    <t>337157-20P</t>
  </si>
  <si>
    <t>Yumiko Murakami</t>
  </si>
  <si>
    <t>Yumiko</t>
  </si>
  <si>
    <t>Ms. Yumiko Murakami is a Co-Founder and serves as General Partner at MPower Partners. She is the former head of the OECD Tokyo Centre. Prior to the OECD, she worked for 20 years in the global financial industry, mostly as a Managing Director at Goldman Sachs in New York, London, and Tokyo. She is a leading authority on a wide range of economic policy issues such as corporate governance, tax guidelines, diversity, education, trade, and innovation. She sits on several Government advisory panels, including Prime Minister Kishida's panel on "The New Form of Capitalism". She has an MBA from Harvard Business School, an MA from Stanford Universit,y and a BA from Sophia University.</t>
  </si>
  <si>
    <t>yumiko@mpower-partners.com</t>
  </si>
  <si>
    <t>317281-06P</t>
  </si>
  <si>
    <t>Yuna Sakuma</t>
  </si>
  <si>
    <t>Yuna</t>
  </si>
  <si>
    <t>Sakuma</t>
  </si>
  <si>
    <t>Ms. Yuna Sakuma serves as Venture Partner at MPower Partners. She previously worked with global companies on their mid- to long-term strategies and growth transformations at McKinsey and Company in Tokyo. Prior to McKinsey, she managed the global health policy program at the Center for Global Development, a Washington, DC-based think tank, and was a consultant at Trinity Life Sciences in the Boston, MA area. She earned an MBA from Harvard Business School and a BA from Princeton University.</t>
  </si>
  <si>
    <t>yuna@mpower-partners.com</t>
  </si>
  <si>
    <t>87941-80P</t>
  </si>
  <si>
    <t>Assaf Zipori</t>
  </si>
  <si>
    <t>Zipori</t>
  </si>
  <si>
    <t>Nano Dimension</t>
  </si>
  <si>
    <t>Mr. Assaf Zipori serves as chief Financial officer at Nano Dimension .He serves as Senior Vice President of Strategy, Corp Dev &amp; M&amp;A and served as Chief Financial Officer at MarkForged Holding. He has served as Markforged's Acting CFO since May 2023. Before that, he served as Markforged's Vice President of Corporate Development and Strategy from April 2021 through May 2023. Before that, he served as Markforged's Acting Chief Financial Officer from November 2019 through April 2021. Previously, he served as Vice President of Corporate Development at Yotpo Ltd., an eCommerce marketing platform from March 2019 through November 2019. Before that, from September 2016 to November 2019, he was the Director of Corporate Development and Ventures at Amdocs Limited. Before joining Amdocs Limited, he served as Chief Financial Officer at Component Control, Inc. from January 2015 to August 2016. Earlier in his career, he served as Director of Corporate Development &amp; Alliances at Retailix Ltd., Manager at KPMG LLP and Consultant at Ernst &amp; Young LLP. He holds a B.B.A. from Pace University and an M.S. in Finance from Baruch College.</t>
  </si>
  <si>
    <t>+972 (0)73 750 9142</t>
  </si>
  <si>
    <t>assaf.zipori@markforged.com</t>
  </si>
  <si>
    <t>Ness Ziona</t>
  </si>
  <si>
    <t>Ness Ziona, Israel</t>
  </si>
  <si>
    <t>2 Ilan Ramon Street</t>
  </si>
  <si>
    <t>Ness-Ziona Science Park</t>
  </si>
  <si>
    <t>7403635</t>
  </si>
  <si>
    <t>35334-01P</t>
  </si>
  <si>
    <t>Dale Baker</t>
  </si>
  <si>
    <t>Chief Revenue Officer &amp; President</t>
  </si>
  <si>
    <t>Mr. Dale Baker serves as Chief Revenue Officer &amp; President of Nano Dimension Americas at Nano Dimension. Mr. Dale Baker served as President and Chief Operating Officer at Green Roads. Previously, he served as Chief Operating Officer at Cyalume Technologies. Previously he served as the Chief Executive Officer at SellingSource. He served as President at Intrepid Investments. He completed his MBA from Duke University (Fuqua) and BS in Mechanical Engineering from Virginia Polytechnic Institute and State University (Virginia Tech).</t>
  </si>
  <si>
    <t>dale.baker@nano-di.com</t>
  </si>
  <si>
    <t>Chief Revenue Officer &amp; President of Nano Dimension Americas</t>
  </si>
  <si>
    <t>345156-85P</t>
  </si>
  <si>
    <t>Julien Lederman</t>
  </si>
  <si>
    <t>Lederman</t>
  </si>
  <si>
    <t>Mr. Lederman has served as our Chief Business Officer from April 1, 2025. Mr. Lederman served as our interim Chief Executive Officer from December 26, 2024, until the appointment of Ofir Baharav as Chief Executive Officer in April 2, 2025. From March 2021 Mr. Lederman has served as Vice President of Corporate Development. Previously, Mr. Lederman was employed at Amazon.com, Inc., The Goldman Sachs Group, Inc., Lehman Brothers Holdings, Inc., and the World Economic Forum. He earned an MBA from INSEAD in France in 2013 and a BA from Colgate University in New York in 2008.</t>
  </si>
  <si>
    <t>287100-55P</t>
  </si>
  <si>
    <t>Nick Geddes</t>
  </si>
  <si>
    <t>Geddes</t>
  </si>
  <si>
    <t>Mr. Nick Geddes serves as Chief Technology Officer at Nano Dimension. He is a Co-Founder and serves as Senior Chief Technical Officer at Global Inkjet Systems. He founded GIS in late 2006 after a successful investment banking career at UBS. He drives innovation and leads the ever-growing R&amp;D teams. Nick wrote the GIS variable data RIP, the original curved surface compensation tool and is now working on the latest generation of inkjet image quality enhancement software. He is committed to retaining the core ethical and professional principles of the company, making GIS a trusted partner in business worldwide</t>
  </si>
  <si>
    <t>+44 (0)12 2373 3733</t>
  </si>
  <si>
    <t>nick.geddes@globalinkjetsystems.com</t>
  </si>
  <si>
    <t>Cambridge, United Kingdom</t>
  </si>
  <si>
    <t>Edinburgh House, Saint John Innovation Park</t>
  </si>
  <si>
    <t>Cowley Road</t>
  </si>
  <si>
    <t>CB4 0DS</t>
  </si>
  <si>
    <t>Co-Founder &amp; Senior Chief Technical Officer</t>
  </si>
  <si>
    <t>Global Inkjet Systems</t>
  </si>
  <si>
    <t>47894-14P</t>
  </si>
  <si>
    <t>Ofir Baharav</t>
  </si>
  <si>
    <t>Ofir</t>
  </si>
  <si>
    <t>Baharav</t>
  </si>
  <si>
    <t>Mr. Ofir Baharav serves as Chief Executive Officer at Nano Dimension. Mr. Baharav served as Chief Executive Officer at Power Breezer. Mr. Baharav serves as Board Member at Qylur Intelligent Systems. He served as Co-Chief Executive Officer at Xjet Solar. He served as Chief Operating Officer at Optonics. He founded and served as president of Healinx Corporation, a healthcare ASP. During his tenure as President, he grew Healinx to over 50 employees and engaged Healinx in its first key strategic relationships. He led Healinx through three rounds of funding ($26M) from premier venture capital firms. Previously, he served as an analyst for BI-101. He holds a Master's of Business from Warwick Business School, UK.</t>
  </si>
  <si>
    <t>+1 (650) 930-0745</t>
  </si>
  <si>
    <t>100875-61P</t>
  </si>
  <si>
    <t>Tomer Pinchas</t>
  </si>
  <si>
    <t>Tomer</t>
  </si>
  <si>
    <t>Pinchas</t>
  </si>
  <si>
    <t>Mr. Tomer Pinchas served as Chief Operating Officer &amp; Chief Financial Officer at Nano Dimension. Mr. Pinchas served as Chief Financial Officer at Kryon. He served as Chief Financial Officer at Dvtel. He comes to Kryon with over 16 years of global experience in finance, accounting, M&amp;As, operations, negotiations, purchasing, taxes, legal, HR and ERP implementation. He previously served as CFO at myThings INC., a personalized retargeting company providing advertisers with display ads in real-time. His experience also includes working at top public accounting firms including PwC in New York. He is a graduate of the General Management Program (GMP) at Harvard Business School.</t>
  </si>
  <si>
    <t>223030-09P</t>
  </si>
  <si>
    <t>Yoav Stern</t>
  </si>
  <si>
    <t>Yoav</t>
  </si>
  <si>
    <t>Mr. Yoav Stern served as Chief Executive Officer at Nano Dimension. He is a seasoned executive with a proven track record of over three decades. He served in executive roles as CEO and Chairman as well as an active hands-on investor in hi-tech companies, specializing in machine vision, fiber optics, defense tech, communication solutions, aerospace, and homeland security. He spent most of his business career in the United States, running both public and private companies with global operations. He has built and turned around several international corporations, growing them from a few million dollars to hundreds of millions of dollars in revenue, most of them traded in US public markets and all of them encompassing multi-disciplinary technologies and operations across 3-4 continents. Among the companies that he has led, some of which he eventually sold, were Wordstar International Inc., Kellstrom Industries Inc., DVTEL Inc., Bogen Corporation, and FiberSensys LLC. Through the development of effective strategies and rigorous execution, he implemented methodologies that resulted in organic growth and generated attractive M&amp;A opportunities for scaling up the businesses, ultimately increasing shareholders' value. He earned a B.Sc. Degree in Mathematics and Computer Science from TAU, an M.A. in International Relations from NYU, as well as a Diploma in Automation and Mechanical Engineering. He is a Graduate of the IAF Academy, a Lt. Colonel (Ret.), an F-15 fighter pilot and an ex- D. Squadron Commander.</t>
  </si>
  <si>
    <t>yoav@nano-di.com</t>
  </si>
  <si>
    <t>68771-62P</t>
  </si>
  <si>
    <t>Yoram Zilberberg</t>
  </si>
  <si>
    <t>Yoram</t>
  </si>
  <si>
    <t>Zilberberg</t>
  </si>
  <si>
    <t>Mr. Yoram Zilberberg serves as Chief System Engineer and Director of System Engineering at Nano Dimension. He served as Vice President, Research &amp; Development at Power Offer. He served as a Vice President, Research &amp; Development at Power Offer Electronics.</t>
  </si>
  <si>
    <t>yoram.zilberberg@nano-di.com</t>
  </si>
  <si>
    <t>Chief System Engineer and Director of System Engineering</t>
  </si>
  <si>
    <t>32192-11P</t>
  </si>
  <si>
    <t>Zivi Nedivi</t>
  </si>
  <si>
    <t>Zivi</t>
  </si>
  <si>
    <t>Nedivi</t>
  </si>
  <si>
    <t>Mr. Zivi Nedivi has served as our President since April 2021. Mr. Nedivi has been the chief executive officer of several technology companies, including Cyalume Technologies Inc., a world leader in chemical-lighting solutions that manufactures chemiluminescent ammunition and infra-red devices used by U.S. and NATO military forces as well as law enforcement agencies. He was also the chief operating officer of Lumenis Ltd., a developer of innovative energy-based technologies. From 1990 to 2005, he was the chief executive officer of Kellstrom Industries, Inc., an advanced data management company. A graduate of the Israel Air Force Academy, he was a F-15 fighter pilot for seven years and held the rank of major.</t>
  </si>
  <si>
    <t>zivi.n@nano-di.com</t>
  </si>
  <si>
    <t>126726-67P</t>
  </si>
  <si>
    <t>A.C. Charania</t>
  </si>
  <si>
    <t>A.C.</t>
  </si>
  <si>
    <t>Charania</t>
  </si>
  <si>
    <t>National Aeronautics and Space Administration</t>
  </si>
  <si>
    <t>Mr. A.C. Charania serves as Chief Technologist at National Aeronautics and Space Administration. He also served as a Director of Strategy and Business Development at Virgin Galactic. Previously, he served as an Indepedent Consultant at Planetary Resources, Inc.</t>
  </si>
  <si>
    <t>+1 (404) 931-7980</t>
  </si>
  <si>
    <t>300 East Street South West</t>
  </si>
  <si>
    <t>Suite 5R30</t>
  </si>
  <si>
    <t>20546</t>
  </si>
  <si>
    <t>+1 (202) 358-4338</t>
  </si>
  <si>
    <t>358694-02P</t>
  </si>
  <si>
    <t>Amit Kshatriya</t>
  </si>
  <si>
    <t>Kshatriya</t>
  </si>
  <si>
    <t>Mr. Amit Kshatriya serves as Deputy Associate Administrator for Moon to Mars Program at National Aeronautics and Space Administration.</t>
  </si>
  <si>
    <t>+1 (202) 358-0001</t>
  </si>
  <si>
    <t>amit.kshatriya@nasa.gov</t>
  </si>
  <si>
    <t>Deputy Associate Administrator for Moon to Mars Program</t>
  </si>
  <si>
    <t>404275-60P</t>
  </si>
  <si>
    <t>Amy Kaminski</t>
  </si>
  <si>
    <t>Kaminski</t>
  </si>
  <si>
    <t>Mr. Amy Kaminski serves as Program Executive for Prizes, Challenges and Crowdsourcing at National Aeronautics and Space Administration.</t>
  </si>
  <si>
    <t>Program Executive for Prizes, Challenges and Crowdsourcing</t>
  </si>
  <si>
    <t>397336-06P</t>
  </si>
  <si>
    <t>David Salvagnini</t>
  </si>
  <si>
    <t>Salvagnini</t>
  </si>
  <si>
    <t>Mr. David Salvagnini serves as Chief Artificial Intelligence Officer and Chief Data Officer at National Aeronautics and Space Administration.</t>
  </si>
  <si>
    <t>david.salvagnini@nasa.gov</t>
  </si>
  <si>
    <t>213519-52P</t>
  </si>
  <si>
    <t>Duane Armstrong</t>
  </si>
  <si>
    <t>Duane</t>
  </si>
  <si>
    <t>Mr. Duane Armstrong serves as Manager at National Aeronautics and Space Administration.</t>
  </si>
  <si>
    <t>+1 (202) 358-4612</t>
  </si>
  <si>
    <t>curtis.d.armstrong@nasa.gov</t>
  </si>
  <si>
    <t>162907-57P</t>
  </si>
  <si>
    <t>James Polk</t>
  </si>
  <si>
    <t>Polk</t>
  </si>
  <si>
    <t>Dr. James Polk serves as Chief Health and Medical Officer at National Aeronautics and Space Administration. Dr. Polk began serving in this position in November of 2016. Dr. Polk is the former Dean of Medicine for Des Moines University's College of Osteopathic Medicine. Prior to his work at Des Moines University, Dr. Polk was the Assistant Secretary (Acting) for Health Affairs and Chief Medical Officer of the U.S. Department of Homeland Security (DHS), assuming this post after serving as the Principal Deputy Assistant Secretary for Health Affairs and Deputy Chief Medical Officer. Before coming to DHS, Dr. Polk was the Chief of Space Medicine for NASA's Johnson Space Center in Houston, Texas. He is the former State Emergency Medical Services Medical Director for the State of Ohio, and former Chief of Metro Life Flight in Cleveland, Ohio. Dr. Polk is a Fellow of the American College of Osteopathic Emergency Physicians, Fellow of the Aerospace Medicine Association, and a Fellow of Extreme and Wilderness Medicine. Dr. Polk received his degree in Osteopathic Medicine from the A.T. Still University in Kirksville, Missouri. He completed his residency in emergency medicine with the Mt. Sinai hospitals via Ohio University and completed his training in aerospace medicine at the University of Texas Medical Branch. He is triple board-certified in emergency medicine and aerospace medicine, by the American Board of Preventive Medicine, the American Osteopath Board of Emergency Medicine, and the American Osteopathic Board of Preventive Medicine. Dr. Polk holds a Master in Science in Space Studies from the American Military University, a Master in Medical Management from the University of Southern California's Marshall School of Business, and a Masters Certificate in Public Health from the University of New England. Dr. Polk is well-published in the fields of emergency medicine, disaster medicine, space medicine, and medical management. He is a Clinical Associate Professor of Emergency Medicine at the Edward Via College of Osteopathic Medicine. He has received numerous awards and commendations including citations from the Federal Bureau of Investigations, White House Medical Unit, Association of Air Medical Services, U.S. Air Force, and has received the NASA Center Director's Commendation, the NASA Exceptional Service Medal, the National Security and International Affairs Medal, the NASA Exceptional Achievement Medal, and the NASA Outstanding Leadership Medal.</t>
  </si>
  <si>
    <t>jpolk@nasa.gov</t>
  </si>
  <si>
    <t>Chief Health and Medical Officer</t>
  </si>
  <si>
    <t>317897-56P</t>
  </si>
  <si>
    <t>Jason Kessler</t>
  </si>
  <si>
    <t>Mr. Jason Kessler serves as Program Executive, NASA SBIR/STTR Program at National Aeronautics and Space Administration.</t>
  </si>
  <si>
    <t>+1 (202) 358-1107</t>
  </si>
  <si>
    <t>jason.l.kessler@nasa.gov</t>
  </si>
  <si>
    <t>Program Executive, NASA SBIR/STTR Program</t>
  </si>
  <si>
    <t>271419-58P</t>
  </si>
  <si>
    <t>Jeffrey Seaton</t>
  </si>
  <si>
    <t>Seaton</t>
  </si>
  <si>
    <t>Mr. Jeffrey Seaton serves as Chief Information Officer at National Aeronautics and Space Administration. Mr. Seaton was named CIO in January 2021. Prior to his appointment as NASA's CIO, Mr. Seaton served as acting CIO since May 2020 and as deputy CIO before that. Mr. Seaton supported the leadership and integration of NASA corporate and mission critical IT functions and capabilities and oversaw NASA's annual information technology (IT) spending of more than $2 billion. He collaboratively provided oversight for agency-wide, mission-enabling functions related to IT investments, modernization efforts, cybersecurity and the delivery of enterprise-wide IT and information solutions. From 2011 to 2018, Mr. Seaton served as the Chief Information Officer (CIO) at NASA's Langley Research Center. During that time, he led transformative change efforts in both the Langley and CIO enterprise across the Agency to increase the effectiveness, and accountability of the services provided by the organization. Prior to the CIO role, Mr. Seaton served as the Chief Technology Officer at Langley Research Center, responsible for planning and coordinating center investments in high-value technologies for future NASA missions. He has also held various technical leadership positions since joining NASA in 1991 as an electrical engineer conducting robotics research. Mr. Seaton is a 2014 recipient of NASA's Outstanding Leadership Medal. In June 2008, he was selected to participate in NASA's Senior Executive Service Career Development Program. He received his Bachelor's and Master's Degrees from Virginia Tech in Electrical Engineering.</t>
  </si>
  <si>
    <t>jeffrey.seaton@nasa.gov</t>
  </si>
  <si>
    <t>288188-11P</t>
  </si>
  <si>
    <t>Katherine Calvin Ph.D</t>
  </si>
  <si>
    <t>Chief Scientific Officer &amp; Senior Advisor</t>
  </si>
  <si>
    <t>Dr. Katherine Calvin serves as Chief Scientific &amp; Senior Climate Advisor at National Aeronautics and Space Administration. As chief scientist, Calvin advises agency leadership on the agency's science programs and science-related strategic planning and investments. As senior climate advisor, she provides insights recommendations for the agency's climate-related science, technology, and infrastructure programs. Calvin will serve in this capacity under the Intergovernmental Personnel Act Mobility Program, which provides for the temporary assignment of personnel between the federal government and state and local governments, colleges and universities, Indian tribal governments, federally funded research and development centers, and other eligible organizations. Since 2008, Calvin has been an Earth scientist at the Pacific Northwest National Laboratory's Joint Global Change Research Institute (JGCRI) in College Park, Maryland. She worked in JGCRI's Global Change Analysis Model, a system for exploring and analyzing the relationships between human and Earth systems in the context of global climate change. She also worked on the Department of Energy's Energy Exascale Earth System Model, a system for analyzing the past, present, and future state of the Earth system. Her research simulates the interaction between global resources, focusing on the impact of land, water, and energy use through an environmental and socioeconomic lens. Calvin received her doctorate in Management, Science, and Engineering from Stanford University and a bachelor of science in Computer Science and Mathematics from the University of Maryland.</t>
  </si>
  <si>
    <t>katherine.calvin@nasa.gov</t>
  </si>
  <si>
    <t>Chief Scientific &amp; Senior Climate Advisor</t>
  </si>
  <si>
    <t>271418-95P</t>
  </si>
  <si>
    <t>Margaret Vo Schaus</t>
  </si>
  <si>
    <t>Vo Schaus</t>
  </si>
  <si>
    <t>Ms. Margaret Vo Schaus serves as Chief Financial Officer at National Aeronautics and Space Administration. She is a career member of the Senior Executive Service. Over the past decade, she has held numerous leadership roles with responsibilities for the financial management and business operations of science and engineering organizations at the departments of Energy and Defense. She most recently served as the director for business operations in the Office of the Under Secretary of Research and Engineering at the Department of Defense, where she was responsible for oversight of a multibillion-dollar budget. Ms. Vo Schaus has been recognized with awards including the Office of the Secretary of Defense's Exceptional Civilian Service Award, the Department of Energy's Distinguished Career Service Award, and the Secretary of Energy's Honor Award. She is a first-generation Vietnamese American, born in Michigan and raised in Southern California. She received her bachelor's in science, technology, and society, as well as English, from Stanford University, and her master's in management science and engineering from Stanford University.</t>
  </si>
  <si>
    <t>margaret.vo.schaus@nasa.gov</t>
  </si>
  <si>
    <t>208903-24P</t>
  </si>
  <si>
    <t>Monsi Roman</t>
  </si>
  <si>
    <t>Monsi</t>
  </si>
  <si>
    <t>Ms. Monsi Roman serves as Project Executive, Commercial LEO Destinations Program at National Aeronautics and Space Administration.</t>
  </si>
  <si>
    <t>mroman@nasa.gov</t>
  </si>
  <si>
    <t>Project Executive, Commercial LEO Destinations Program</t>
  </si>
  <si>
    <t>329346-28P</t>
  </si>
  <si>
    <t>Shruti Jana</t>
  </si>
  <si>
    <t>Shruti</t>
  </si>
  <si>
    <t>Jana</t>
  </si>
  <si>
    <t>Ms. Shruti Jana serves as an Executive at National Aeronautics and Space Administration. She also serves as Chief Moderation Officer at Trill Project.</t>
  </si>
  <si>
    <t>162909-19P</t>
  </si>
  <si>
    <t>Vincent Michaud MD</t>
  </si>
  <si>
    <t>Michaud</t>
  </si>
  <si>
    <t>Dr. Vincent Michaud serves as Deputy Chief Health and Medical Officer at National Aeronautics and Space Administration. Dr. Michaud is responsible for the oversight of all health and medical activities at NASA, including medical aspects of all national and international NASA missions involving humans. He holds an M.D. degree from the University of Texas Southwestern Medical School in Dallas, and completed residencies in Aerospace Medicine and Occupational Medicine at the USAF School of Aerospace Medicine at Brooks AFB, Texas. A Fellow of the Aerospace Medical Association, he is certified by the American Board of Preventive Medicine (Aerospace and Occupational Medicine). He has extensive experience in the clinical practice of aerospace medicine and occupational medicine as well as in administrative medical management. Dr. Michaud retired from the United States Air Force in 2012 after serving for 26 years. He served in a wide variety of settings as a clinical practitioner and medical leader, including commanding the only chemically and biologically hardened hospital in the Republic of South Korea. Dr. Michaud attained a USAF flight rating of Chief Flight Surgeon logging more than 1100 hours in over 25 different military aircraft including: F-4, F-111, F-15, F-16, C-130, HH-53, H-60, T-37, KC-135, C-22, and C-32. His military decorations include the Legion of Merit Medal and the Chairman of the Joint Chiefs of Staff Excellence in Medicine Award. Dr. Michaud is also designated an FAA Aviation Medical Examiner.</t>
  </si>
  <si>
    <t>vmichaud@nasa.gov</t>
  </si>
  <si>
    <t>Deputy Chief Health and Medical Officer</t>
  </si>
  <si>
    <t>172566-73P</t>
  </si>
  <si>
    <t>William Gerstenmaier</t>
  </si>
  <si>
    <t>Gerstenmaier</t>
  </si>
  <si>
    <t>Mr. William Gerstenmaier serves as Associate Administrator for Human Exploration and Operations at the National Aeronautics and Space Administration. Directorate at NASA Headquarters in Washington. In this position, Gerstenmaier provides strategic direction for all aspects of NASA's human exploration of space and cross-agency space support functions of space communications and space launch vehicles. He provides programmatic direction for the operation and utilization of the International Space Station (ISS), development of the Space Launch System, and Orion spacecraft, and provides strategic guidance and direction for the commercial crew and cargo programs that will provide logistics and crew transportation to the space station. Gerstenmaier began his NASA career in 1977 at the then-Lewis Research Center in Cleveland, performing aeronautical research. He was involved with the wind tunnel tests that were used to develop the calibration curves for the air data probes used during entry on the Space Shuttle. Beginning in 1988, Gerstenmaier headed the Orbital Maneuvering Vehicle (OMV) Operations Office, Systems Division at the Johnson Space Center. He was responsible for all aspects of OMV operations at Johnson, including the development of a ground control center and training facility for OMV, operations support to vehicle development, and personnel and procedures development to support OMV operations. Subsequently, he headed the Space Shuttle/Space Station Freedom Assembly Operations Office, Operations Division. He was responsible for resolving technical assembly issues and developing assembly strategies. Gerstenmaier also served as Shuttle/Mir Program operations manager. In this role, he was the primary interface to the Russian Space Agency for operational issues, negotiating all protocols used in support of operations during the Shuttle/Mir missions. In addition, he supported NASA 2 operations in Russia, from January through September 1996 including responsibility for daily activities, as well as the health and safety of the NASA crewmember on space station Mir. He scheduled science activities, and public affairs activities, monitored Mir systems, and communicated with the NASA astronaut on Mir. In 1998, Gerstenmaier was named manager, of Space Shuttle Program Integration, responsible for the overall management, integration, and operations of the Space Shuttle Program. This included the development and operations of all Space Shuttle elements, including the orbiter, external tank, solid rocket boosters, and Space Shuttle main engines, as well as the facilities required to support ground processing and flight operations. In December 2000, Gerstenmaier was named deputy manager of, the ISS Program, and two years later became manager. He was responsible for the day-to-day management, development, integration, and operation of the space station. This included the design, manufacturing, testing, and delivery of complex space flight hardware and software, and its integration with the elements from international partners into a fully functional and operating space station. Named associate administrator for the Space Operations Directorate in 2005, Gerstenmaier directed the safe completion of the last 21 Space Shuttle missions that witnessed assembly completion of the International Space Station. During this time, he provided programmatic direction for the integration and operation of the ISS, space communications, and space launch vehicles. Gerstenmaier received a Bachelor of Science in aeronautical engineering from Purdue University in 1977 and a Master of Science degree in mechanical engineering from the University of Toledo in 1981. In 1992 and 1993, he completed coursework for a doctorate in dynamics and control with an emphasis in propulsion at Purdue University. Gerstenmaier is the recipient of numerous awards, including three NASA Certificates of Commendation, two NASA Exceptional Service Medals, a Senior NASA Outstanding Leadership Medal, the Meritorious Executive Presidential Rank Award, and a Distinguished Executive Presidential Rank Award. He also was honored with an Outstanding Aerospace Engineer Award from Purdue University.</t>
  </si>
  <si>
    <t>+1 (202) 358-2015</t>
  </si>
  <si>
    <t>Associate Administrator for the Human Exploration and Operations</t>
  </si>
  <si>
    <t>148473-37P</t>
  </si>
  <si>
    <t>Charlie Baker</t>
  </si>
  <si>
    <t>National Collegiate Athletic Association</t>
  </si>
  <si>
    <t>Mr. Charlie Baker serves as President &amp; Board Member of the National Collegiate Athletic Association. He served as Governor at Mass.Gov. Mr. Baker also serves as Governor of the Baker-Polito Administration. He attended Massachusetts public schools and is a graduate of Harvard College. He went on to earn a Master's of Business Administration from the Kellogg Graduate School of Management at Northwestern University.</t>
  </si>
  <si>
    <t>+1 (317) 917-6222</t>
  </si>
  <si>
    <t>cbaker@ncaa.org</t>
  </si>
  <si>
    <t>700 West Washington Street</t>
  </si>
  <si>
    <t>P.O. Box 6222</t>
  </si>
  <si>
    <t>46206-6222</t>
  </si>
  <si>
    <t>+1 (317) 917-6888</t>
  </si>
  <si>
    <t>256427-56P</t>
  </si>
  <si>
    <t>Dan Gavitt</t>
  </si>
  <si>
    <t>Gavitt</t>
  </si>
  <si>
    <t>Mr. Dan Gavitt serves as Senior Vice President at the National Collegiate Athletic Association. He also supervises the Postseason NIT and NCAA Divisions II and III Men's Basketball Championships and serves as the staff's day-to-day contact to the Division I Men's Basketball Committee and the Men's Basketball Oversight Committee. Before his service at the Big East, He was director of athletics and recreation at Bryant, which has one of the largest Division II athletics departments in the country. Earlier in his career, He ran his own sports marketing and event management firm, Craigville Sports Associates; served as an assistant basketball coach at Providence College; and ran the Rick Barnes basketball camp. He holds a bachelor's degree in history from Dartmouth and a Master of Business Administration from Providence. He is a member of both the National Association of Basketball Coaches and the National Association of Collegiate Directors of Athletics.</t>
  </si>
  <si>
    <t>dgavitt@ncaa.org</t>
  </si>
  <si>
    <t>Senior Vice President of Basketball</t>
  </si>
  <si>
    <t>90398-98P</t>
  </si>
  <si>
    <t>David Schnase</t>
  </si>
  <si>
    <t>Schnase</t>
  </si>
  <si>
    <t>Mr. David Schnase serves as Vice President of Academic and Membership Affairs at National Collegiate Athletic Association.</t>
  </si>
  <si>
    <t>dschnase@ncaa.org</t>
  </si>
  <si>
    <t>Vice President of Academic and Membership Affairs</t>
  </si>
  <si>
    <t>398426-41P</t>
  </si>
  <si>
    <t>John Macrina</t>
  </si>
  <si>
    <t>Macrina</t>
  </si>
  <si>
    <t>Mr. John Macrina serves as Vice President &amp; Chief Technology Officer at National Collegiate Athletic Association.</t>
  </si>
  <si>
    <t>jmacrina@ncaa.org</t>
  </si>
  <si>
    <t>Vice President &amp; Chief Technology Officer</t>
  </si>
  <si>
    <t>337611-07P</t>
  </si>
  <si>
    <t>Mario Morris</t>
  </si>
  <si>
    <t>Mr. Mario Morris serves as Senior Vice President of Administration and Chief Financial Officer at National Collegiate Athletic Association. . He joined the national office in September 2022, bringing a deep background of experience in college athletics and the financial services industry. As senior vice president of administration and chief financial officer, Mr. Morris provides strategic leadership and oversight of all financial activity and administrative operations for the Association. Prior to the NCAA, MR. Morris was executive deputy athletics director at Notre Dame where he was responsible for the athletics department's core business and revenue-generation functions, including strategic financial planning, business operations, multimedia rights, apparel, fan engagement, corporate relations, business innovation, ticketing, marketing, hospitality, contracts, information technology, data analytics, athletics equipment, facilities and events. Before joining Notre Dame, Mr. Morris held a variety of financial management roles in Wisconsin. As CFO, he had primary oversight of Wisconsin's $150 million budget and financial operations. Mr. Morris received his law degree from Wisconsin, and his bachelor's degree in finance from Alabama and is currently pursuing his doctorate in educational leadership and policy analysis at Wisconsin.</t>
  </si>
  <si>
    <t>mmorris@ncaa.org</t>
  </si>
  <si>
    <t>Senior Vice President of Administration and Chief Financial Officer</t>
  </si>
  <si>
    <t>90397-00P</t>
  </si>
  <si>
    <t>Michael King</t>
  </si>
  <si>
    <t>Mr. Michael King serves as Managing Director of Purchasing and Operations at National Collegiate Athletic Association.</t>
  </si>
  <si>
    <t>mking@ncaa.org</t>
  </si>
  <si>
    <t>Managing Director, Purchasing and Operations</t>
  </si>
  <si>
    <t>282546-46P</t>
  </si>
  <si>
    <t>Scott Bearby</t>
  </si>
  <si>
    <t>Bearby</t>
  </si>
  <si>
    <t>Mr. Scott Bearby serves as Senior Vice President, Legal Affairs &amp; General Counsel at National Collegiate Athletic Association. He oversees hearing operations, human resources and the office of legal affairs. He assumed the role of interim senior vice president and joined the national office senior management team in May 2021. Mr. Bearby was named vice president of legal affairs and general counsel in August 2016 after serving in various legal positions at the national office since January 1999. Before joining the NCAA, Bearby spent six years in private practice. A native of Hammond, Indiana, he earned his bachelor's degree in government from Notre Dame and his law degree from Indiana University, Bloomington.</t>
  </si>
  <si>
    <t>sbearby@circlek.com</t>
  </si>
  <si>
    <t>Senior Vice President, Legal Affairs &amp; General Counsel</t>
  </si>
  <si>
    <t>191264-41P</t>
  </si>
  <si>
    <t>Andy Agg</t>
  </si>
  <si>
    <t>Agg</t>
  </si>
  <si>
    <t>National Grid</t>
  </si>
  <si>
    <t>Mr. Andy Agg serves as Chief Financial Officer and Board Member at National Grid. Prior to joining National Grid in 2008, he served in a number of roles with PricewaterhouseCoopers, including a secondment to the United States. His in-depth knowledge of National Grid, both in the UK and the US, and his broad experience in operational and corporate finance roles have ensured a smooth transition to his role as CFO. He graduated with a BA(Hons) degree in history from the University of Bristol. He is a Chartered Accountant and a member of the ICAEW. He has significant financial experience, having held a number of senior finance leadership roles across the Group, including Group Financial Controller, UK CFO, and Group Tax and Treasury Director. He brings in-depth knowledge of National Grid, both in the UK and the US, and his broad experience across operational and corporate finance roles led to a smooth transition into his role. He contributed broadly on a wide range of topics at Board, Finance, and Audit &amp; Risk Committee meetings and was instrumental in achieving the successful sale of a majority stake in our UK Gas Transmission business in 2022.</t>
  </si>
  <si>
    <t>+44 (0)20 7004 3000</t>
  </si>
  <si>
    <t>andy.agg@nationalgrid.com</t>
  </si>
  <si>
    <t>1-3 Strand</t>
  </si>
  <si>
    <t>WC2N 5EH</t>
  </si>
  <si>
    <t>Chief Financial Officer and Board Member</t>
  </si>
  <si>
    <t>267151-06P</t>
  </si>
  <si>
    <t>Asad Akinfolarin</t>
  </si>
  <si>
    <t>Akinfolarin</t>
  </si>
  <si>
    <t>Mr. Asad Akinfolarin serves as Inclusion and Diversity Project Manager at National Grid.</t>
  </si>
  <si>
    <t>+44 (0)40 1273 2917</t>
  </si>
  <si>
    <t>asad_akinfolarin@nationalgrid.com</t>
  </si>
  <si>
    <t>Inclusion and Diversity Project Manager</t>
  </si>
  <si>
    <t>77681-71P</t>
  </si>
  <si>
    <t>Audrey Kent</t>
  </si>
  <si>
    <t>Ms. Audrey Kent serves as Investment Strategist at National Grid. She previously served as Managing Director of Risk Management at Verizon Investment Management.</t>
  </si>
  <si>
    <t>audrey.kent@nationalgrid.com</t>
  </si>
  <si>
    <t>Investment Strategist</t>
  </si>
  <si>
    <t>141333-49P</t>
  </si>
  <si>
    <t>Belinda Littleton</t>
  </si>
  <si>
    <t>Ms. Belinda Littleton serves as Head, Asset Engineering Assurance at National Grid.</t>
  </si>
  <si>
    <t>belinda.littleton@nationalgrid.com</t>
  </si>
  <si>
    <t>Head, Asset Engineering Assurance</t>
  </si>
  <si>
    <t>290015-83P</t>
  </si>
  <si>
    <t>Ben Wilson</t>
  </si>
  <si>
    <t>Mr. Ben Wilson serves as President of National Grid Ventures at National Grid. He served as a Board Member at National Gas Transmission. Before joining National Grid, he was the Chief Executive Officer of Australian Gas Infrastructure Group (AGIG), one of the largest utility infrastructure businesses in Australia; active in every mainland state and throughout storage, midstream, transmission, distribution, and metering. Before AGIG, he was the Director of Strategy &amp; Regulation and Chief Financial Officer of UK Power Networks, an electricity distribution business in the UK with 8 million customers. Before moving into industry, he spent 15 years as an energy and utilities investment banker, working in Europe and Asia. He holds a degree in Natural Sciences from Cambridge University. He has more than 25 years of experience in the energy sector and has wide international experience. His focus areas include strategy, market analytics, policy &amp; regulatory strategy, M&amp;A, innovation, and sustainability. He oversees National Grid Partners, our corporate venture capital fund. He has a particular interest in the energy transition and the role of hydrogen.</t>
  </si>
  <si>
    <t>ben.wilson@nationalgrid.com</t>
  </si>
  <si>
    <t>President, National Grid Ventures</t>
  </si>
  <si>
    <t>41654-17P</t>
  </si>
  <si>
    <t>Carl Trowell Ph.D</t>
  </si>
  <si>
    <t>Trowell</t>
  </si>
  <si>
    <t>Mr. Carl Trowell served as Chief Executive Officer at Acteon Group. He also serves as a Board Member at Valaris. He serves as President, UK Strategic Infrastructure at National Grid. Prior to that, he was elected president of Schlumberger in April 2013 and held a variety of international management positions, including regional managing director for Schlumberger operations in the North Sea and vice president of corporate marketing. He has a Ph.D. in Earth Sciences from the University of Cambridge, a BSc degree in Geology from Imperial College of Science, Technology and Medicine, and an MBA from the Open University.</t>
  </si>
  <si>
    <t>+44 (0)20 7654 5870</t>
  </si>
  <si>
    <t>5847 San Felipe</t>
  </si>
  <si>
    <t>Suite 3300</t>
  </si>
  <si>
    <t>77057</t>
  </si>
  <si>
    <t>Valaris</t>
  </si>
  <si>
    <t>67511-17P</t>
  </si>
  <si>
    <t>Charles Derosa</t>
  </si>
  <si>
    <t>Derosa</t>
  </si>
  <si>
    <t>Mr. Charles Derosa serves as Vice President of US Tax at National Grid. He served as Plan Administrator at National Grid USA Companies Final Average Pay Pension Plan. He also serves as Plan Administrator at Keyspan Corporation Non-Union Life Veba Master Trust, Keyspan Pension Master Trust, National Grid USA Companies Final Average Pay Pension Plan, Keyspan Corporation Union VEBA Master Trust, and Niagara Mohawk Pension Plan. He served as a Plan Administrator at Keyspan Corporation Non-Union Medical Veba Master Trust. He completed his Bachelor's and Master's in Accounting from Long Island University in 1991 and 1994 respectively.</t>
  </si>
  <si>
    <t>charles.derosa@nationalgrid.com</t>
  </si>
  <si>
    <t>Vice President, US Tax</t>
  </si>
  <si>
    <t>290056-78P</t>
  </si>
  <si>
    <t>Charlie Brown</t>
  </si>
  <si>
    <t>Ms. Charlie Brown serves as Executive Advisor to the President of Electricity Transmission at National Grid.</t>
  </si>
  <si>
    <t>charlie.brown@nationalgrid.com</t>
  </si>
  <si>
    <t>Executive Advisor to the President of Electricity Transmission</t>
  </si>
  <si>
    <t>264914-92P</t>
  </si>
  <si>
    <t>Cordi O'Hara</t>
  </si>
  <si>
    <t>Cordi</t>
  </si>
  <si>
    <t>Ms. Cordi O'Hara serves as President, UK Electricity Distribution at National Grid. She is responsible for leading the UK's largest electricity distribution network, which serves over eight million customers across the East and West Midlands, South West, and South Wales. As President of National Grid PLC, she oversees a £6 billion investment programme (2023-28) aimed at delivering clean, fair, and affordable energy. Previously, she served as President of National Grid Ventures, managing the development and operation of major energy assets including electricity interconnectors, LNG infrastructure, and renewable energy projects. Her earlier roles include Chief Operating Officer of the US Gas Business and head of the UK System Operator, where she oversaw the strategic planning and operation of over 14,000 miles of networks. She has been a key advocate for decarbonisation and innovation in the energy sector, promoting clean technology and demand response strategies to support net-zero targets. Recognised for her expertise, she became a Fellow of the UK Energy Institute in 2016 and was awarded an OBE in 2019 for her contributions to the industry. With more than two decades of experience, she has led transformation initiatives, strengthened customer engagement, and built strategic relationships with regulators and policymakers across the UK and US. Known for advancing diversity and inclusion, she sponsors the Women in National Grid (WiNG) employee group. Prior to joining National Grid, she held commercial and operational roles at Centrica, the UK's largest energy retailer, serving 11 million customer accounts. She holds external appointments on the boards of WindEurope and the Energy Networks Association, is a member of the Roundtable for Europe's Energy Future (REEF), and serves as a trustee of the Faraday Institution.</t>
  </si>
  <si>
    <t>cordi.ohara@nationalgrid.com</t>
  </si>
  <si>
    <t>President, UK Electricity Distribution</t>
  </si>
  <si>
    <t>217756-45P</t>
  </si>
  <si>
    <t>Courtney Geduldig</t>
  </si>
  <si>
    <t>Geduldig</t>
  </si>
  <si>
    <t>Ms. Geduldig, prior to becoming Executive Vice President, Public Affairs on May 1, 2015, was Managing Director, Global Government and Public Policy since 2013, and Vice President of Global Regulatory Affairs at S&amp;P Global Ratings. Prior to that, she was Managing Director and Head of Federal Government Relations at the Financial Services Forum.</t>
  </si>
  <si>
    <t>courtney.geduldig@nationalgrid.com</t>
  </si>
  <si>
    <t>S&amp;P Global (Former)</t>
  </si>
  <si>
    <t>135007-03P</t>
  </si>
  <si>
    <t>David Campbell</t>
  </si>
  <si>
    <t>Mr. David Campbell serves as Vice President of Finance Records to Reports at National Grid. He holds a BA from Middlebury College in 1990. He earned his MS from the State University of New York (SUNY) in 1994.</t>
  </si>
  <si>
    <t>david.campbell@nationalgrid.com</t>
  </si>
  <si>
    <t>Vice President Finance Record to Report</t>
  </si>
  <si>
    <t>31389-58P</t>
  </si>
  <si>
    <t>Dean Seavers</t>
  </si>
  <si>
    <t>Seavers</t>
  </si>
  <si>
    <t>Mr. Dean Seavers serves as Board Member at Albemarle. Mr. Seavers serves as Board Member at Sciens Building Solutions. Mr. Seavers served as Executive Director and President at National Grid. From there he held a series of leadership roles before moving to Tyco International Ltd, where he held various senior management positions before joining General Electric Company and United Technologies Corporation. He was President and Chief Executive Officer of General Electric Security and then President, Global Services of United Technologies Fire &amp; Security. He was also a member of the Board of Directors of the National Fire Protection Association. External appointments: Advisor to the board at City Light Capital, Board member of Red Hawk Fire &amp; Security, LLC, and Non-executive Director of Albemarle Corporation. He completed his MBA from Stanford University in the year 1987 and BBA in business from Kent State University in the year 1984.</t>
  </si>
  <si>
    <t>Executive Director and President</t>
  </si>
  <si>
    <t>267149-62P</t>
  </si>
  <si>
    <t>Dilip Jina</t>
  </si>
  <si>
    <t>Dilip</t>
  </si>
  <si>
    <t>Jina</t>
  </si>
  <si>
    <t>Mr. Dilip Jina serves as Executive, Group Strategic Business Planning at National Grid.</t>
  </si>
  <si>
    <t>dilip.jina@nationalgrid.com</t>
  </si>
  <si>
    <t>Executive, Group Strategic Business Planning</t>
  </si>
  <si>
    <t>128386-00P</t>
  </si>
  <si>
    <t>Eddie Davies</t>
  </si>
  <si>
    <t>Mr. Eddie Davies serves as Interim Global Head of Pensions at National Grid. Previously he served as Head of UK Pensions at National Grid.</t>
  </si>
  <si>
    <t>eddied@nationalgrid.com</t>
  </si>
  <si>
    <t>Interim Global Head, Pensions</t>
  </si>
  <si>
    <t>94900-69P</t>
  </si>
  <si>
    <t>Francine Kollydas</t>
  </si>
  <si>
    <t>Francine</t>
  </si>
  <si>
    <t>Kollydas</t>
  </si>
  <si>
    <t>Mr. Francine Kollydas serves as Director Investment Management at National Grid.</t>
  </si>
  <si>
    <t>francine.kollydas@nationalgrid.com</t>
  </si>
  <si>
    <t>Director Investment Management</t>
  </si>
  <si>
    <t>149974-12P</t>
  </si>
  <si>
    <t>Helen Burt</t>
  </si>
  <si>
    <t>Burt</t>
  </si>
  <si>
    <t>Ms. Helen Burt serves as Chief Customer Officer at National Grid. She served as Chief Customer Officer &amp; Executive Vice President at Utilligent. She is a 30-year industry expert and serves as Utilligent's Chief Customer Officer, offering a deep understanding of the fast-changing technology demands utilities face to better serve their customers. Her career has been dedicated to meeting this challenge, most recently as PG&amp;E's senior vice president of external affairs and public policy. Helen joined PG&amp;E as the industry's first Chief Customer Officer, accountable for the end-to-end customer engagement strategy, including a $2.2 billion smart meter program deploying over 10 million meters with significant IT integration into the utility's CC&amp;B system, and digital strategy. Prior executive positions include VP of Customer Billing and Operations at TXU Energy, the largest electric retailer in the fully-competitive Texas energy market.</t>
  </si>
  <si>
    <t>helen.burt@nationalgrid.com</t>
  </si>
  <si>
    <t>Chief Customer Officer &amp; Executive Vice President</t>
  </si>
  <si>
    <t>Utilligent (Former)</t>
  </si>
  <si>
    <t>128387-08P</t>
  </si>
  <si>
    <t>James Kerrane</t>
  </si>
  <si>
    <t>Kerrane</t>
  </si>
  <si>
    <t>Mr. James Kerrane serves as Pension Finance Manager at National Grid. He holds BA (Bachelor of Arts) in Economics from University of Birmingham.</t>
  </si>
  <si>
    <t>+44 (0)19 2665 5585</t>
  </si>
  <si>
    <t>james_kerrane@nationalgrid.com</t>
  </si>
  <si>
    <t>Pension Finance Manager</t>
  </si>
  <si>
    <t>351376-57P</t>
  </si>
  <si>
    <t>James McGaugh</t>
  </si>
  <si>
    <t>McGaugh</t>
  </si>
  <si>
    <t>Mr. James McGaugh serves as U.S. Head of Corporate Affairs at National Grid.</t>
  </si>
  <si>
    <t>james.mcgaugh@nationalgrid.com</t>
  </si>
  <si>
    <t>US Head, Corporate Affairs</t>
  </si>
  <si>
    <t>318582-91P</t>
  </si>
  <si>
    <t>John Dzialo</t>
  </si>
  <si>
    <t>Dzialo</t>
  </si>
  <si>
    <t>Mr. John Dzialo serves as Executive, Grid Modernization, Communication Networks at National Grid.</t>
  </si>
  <si>
    <t>781-7240100</t>
  </si>
  <si>
    <t>john.dzialo@nationalgrid.com</t>
  </si>
  <si>
    <t>Executive, Grid Modernization, Communication Networks</t>
  </si>
  <si>
    <t>67389-76P</t>
  </si>
  <si>
    <t>John Pettigrew</t>
  </si>
  <si>
    <t>Pettigrew</t>
  </si>
  <si>
    <t>Mr. John Pettigrew serves as Chief Executive and Board Member at National Grid. He is responsible for the executive leadership and day-to-day management of the Company, ensuring delivery of the strategy agreed by the Board. Through his leadership of the Group Executive Committee, he demonstrates commitment to safety and operational and financial performance. He joined National Grid as a graduate in 1991 and has progressed through many senior management roles, demonstrating a strong track record of developing and implementing global strategies for profitable growth. He is responsible for executive leadership and day-to-day management of the Company to ensure the delivery of the strategy agreed by the Board. He contributes widely to external industry discussions shaping energy policy and brings significant know-how and commerciality to his leadership of the executive team and management of the Company's business. He continues to lead the implementation of National Grid's strategy. Recently he progressed the Company's strategic pivot, including the successful acquisition of the UK electricity distribution business ('NGED'), the sale of a majority stake in our UK Gas Transmission and Metering business, and the sale of the Rhode Island business. He serves as Senior Independent Director of Rentokil Initial plc and Member of the Edison Electric Institute Executive Committee.</t>
  </si>
  <si>
    <t>john.pettigrew@nationalgrid.com</t>
  </si>
  <si>
    <t>267151-33P</t>
  </si>
  <si>
    <t>Julie Moore</t>
  </si>
  <si>
    <t>Ms. Julie Moore serves as Workforce and Capability Strategy Manager at National Grid.</t>
  </si>
  <si>
    <t>julie.moore@nationalgrid.com</t>
  </si>
  <si>
    <t>Workforce and Capability Strategy Manager</t>
  </si>
  <si>
    <t>267149-26P</t>
  </si>
  <si>
    <t>Katerina Tsirimpa</t>
  </si>
  <si>
    <t>Katerina</t>
  </si>
  <si>
    <t>Tsirimpa</t>
  </si>
  <si>
    <t>Ms. Katerina Tsirimpa serves as Group Head, Mergers &amp; Acquisitions at National Grid.</t>
  </si>
  <si>
    <t>katerina.tsirimpa@nationalgrid.com</t>
  </si>
  <si>
    <t>Group Head, Mergers &amp; Acquisitions</t>
  </si>
  <si>
    <t>319842-55P</t>
  </si>
  <si>
    <t>Laurie Poltynski</t>
  </si>
  <si>
    <t>Poltynski</t>
  </si>
  <si>
    <t>Director &amp; Manager</t>
  </si>
  <si>
    <t>Ms. Laurie Poltynski serves as Director and Manager, Customer and Community at National Grid.</t>
  </si>
  <si>
    <t>laurie@nationalgrid.com</t>
  </si>
  <si>
    <t>Director and Manager, Customer and Community</t>
  </si>
  <si>
    <t>187401-52P</t>
  </si>
  <si>
    <t>Lisa Lambert</t>
  </si>
  <si>
    <t>Ms. Lisa Lambert serves as Chief Investment Officer Of Private Markets at George Kaiser Family Foundation. Ms. Lambert serves as Board Member at Multiscale Technologies. She serves as Board Member at UL Solutions. She is also the Founder and served as Chief Technology &amp; Innovation Officer and President at National Grid Partners. She also serves as the Chief Technology and Innovation Officer at National Grid. She serves as a Board Member at Pixeom. She is also the Founder and serves as Chairman and Chief Executive Officer at UPWARD Women. She is responsible for leading innovation for National Grid Ventures, through venture and growth capital investing, internal and external innovation projects, such as technology scouting, incubations and accelerations, technology commercialization, and more. She will build her Silicon Valley-based organization and connect National Grid to the technology, entrepreneurial, and venture capital community to drive innovation to address key trends happening within the energy industry. Lambert earned a Master of Business Administration from Harvard Business School and a Bachelor of Science in management information systems from Pennsylvania State University.</t>
  </si>
  <si>
    <t>+1 (888) 995-8243</t>
  </si>
  <si>
    <t>lisa@gkff.org</t>
  </si>
  <si>
    <t>Newark, CA</t>
  </si>
  <si>
    <t>7373 Gateway Boulevard</t>
  </si>
  <si>
    <t>94560</t>
  </si>
  <si>
    <t>Lucid Group</t>
  </si>
  <si>
    <t>456348-88P</t>
  </si>
  <si>
    <t>Lisa Wieland</t>
  </si>
  <si>
    <t>Wieland</t>
  </si>
  <si>
    <t>Ms. Lisa Wieland serves as President, New England at National Grid. She is responsible for delivering safe, reliable and affordable energy to National Grid customers across New England, managing electric and gas operations in Massachusetts and overseeing regional transmission infrastructure. She is focused on supporting Massachusetts' energy transition and climate targets while maintaining the state's economic competitiveness. Prior to joining National Grid, she served as CEO of the Massachusetts Port Authority, where she led major capital improvements across aviation, maritime and real estate assets-including Terminal E expansion, harbor dredging, and container facility upgrades-and launched sustainability and diversity initiatives such as the NetZero Plan and the Massport Model. Before her tenure at Massport, she worked as a Consultant at Bain &amp; Company, advising clients in healthcare, medical devices and consumer products. She began her professional career in broadcast journalism, reporting on news and politics for CNN. She has extensive experience navigating public-private partnerships and advancing critical infrastructure through collaboration with government agencies, communities, and industry stakeholders. While Port Director at Massport, she was appointed Chairperson of the Maritime Transportation System National Advisory Committee to the U.S. Secretary of Transportation. She holds a bachelor's degree from the University of California, Los Angeles, and an MBA from Harvard Business School.</t>
  </si>
  <si>
    <t>lisa.wieland@nationalgrid.com</t>
  </si>
  <si>
    <t>President, New England</t>
  </si>
  <si>
    <t>134485-12P</t>
  </si>
  <si>
    <t>Lori Santoro</t>
  </si>
  <si>
    <t>Santoro</t>
  </si>
  <si>
    <t>Ms. Lori Santoro serves as Director, Benefits at National Grid.</t>
  </si>
  <si>
    <t>lori.santoro@nationalgrid.com</t>
  </si>
  <si>
    <t>Director, Benefits</t>
  </si>
  <si>
    <t>59364-91P</t>
  </si>
  <si>
    <t>Lorraine Lynch</t>
  </si>
  <si>
    <t>Ms. Lorraine Lynch serves as Vice President &amp; Treasurer at National Grid. She serves as Group Head of Audit at National Grid. She is a certified treasury professional, chairperson for the National Grid Investment Committee; a member of the Alumni Board for St Francis College in Brooklyn New York, and an advisory board member and member of the finance and investment committee for the Franciscan Brothers of Brooklyn.</t>
  </si>
  <si>
    <t>+1 (508) 389-2000</t>
  </si>
  <si>
    <t>lorraine.lynch@nationalgrid.com</t>
  </si>
  <si>
    <t>170570-17P</t>
  </si>
  <si>
    <t>Natalie Edwards</t>
  </si>
  <si>
    <t>Ms. Natalie Edwards serves as Chief Diversity Officer at National Grid. She is the Founder of Broomstick Wedding Company and also serves as its Chief Executive Officer.</t>
  </si>
  <si>
    <t>natalie.edwards@nationalgrid.com</t>
  </si>
  <si>
    <t>Global Chief Diversity Officer</t>
  </si>
  <si>
    <t>290017-45P</t>
  </si>
  <si>
    <t>Paul Mckiernan</t>
  </si>
  <si>
    <t>Mckiernan</t>
  </si>
  <si>
    <t>Mr. Paul Mckiernan serves as Director of Merger &amp; Aquisitions at National Grid.</t>
  </si>
  <si>
    <t>paul.mckiernan@nationalgrid.com</t>
  </si>
  <si>
    <t>Director, Merger &amp; Aquisitions</t>
  </si>
  <si>
    <t>390938-68P</t>
  </si>
  <si>
    <t>Shannon Soland</t>
  </si>
  <si>
    <t>Soland</t>
  </si>
  <si>
    <t>Mr. Shannon Soland serves as Chief Technology Officer at National Grid. He leads National Grid's IT &amp; digital strategy, cyber-security, data and global IT infrastructure &amp; operations functions. In his previous role he was the Chief Technology Officer focused on delivering quality, performance and innovation across our technology landscape. He has been leading technology and digital organisations for over 20 years, holding senior leadership positions with IBM and Verizon, including the role of department Chief Technology Officer at NextEra Energy. He has also held leadership positions bringing multiple start-ups through the IPO journey, showing the ability to drive dynamic results in small and large corporations. He holds a Bachelor of Science degree in Computer Science from Saint Louis University and an Executive Masters of Business Administration degree from the University of Texas Arlington. He is also a Board member of SustainableIT.org, continuing to focus on global net-zero initiatives.</t>
  </si>
  <si>
    <t>shannon.soland@nationalgrid.com</t>
  </si>
  <si>
    <t>290058-58P</t>
  </si>
  <si>
    <t>Simon Watson</t>
  </si>
  <si>
    <t>Mr. Simon Watson serves as Head, Commercial Development - LionLink at National Grid.</t>
  </si>
  <si>
    <t>simon.watson@nationalgrid.com</t>
  </si>
  <si>
    <t>Head, Commercial Development - LionLink</t>
  </si>
  <si>
    <t>89715-16P</t>
  </si>
  <si>
    <t>Stephen McCaffrey</t>
  </si>
  <si>
    <t>Mr. Stephen McCaffrey serves as Senior Counsel at National Grid. He is responsible for practice areas involving all aspects of Employee Benefits related to defined benefit, defined contribution plans, and executive compensation as well as any IRS and DOL matters regarding the benefit plans. Steve is plan counsel to the National Grid U.S. Fiduciary Committees. Steve is a member of the Board of Directors of the Plan Sponsor Council of America (PSCA) and serves on its Executive Committee and Nominating Committee. He is a member of PSCA's Legal and Legislative Committee. On December 1, 2011, Steve was selected to be Chairman of the PSCA's Legal and Legislative Committee. Steve also serves on the Board of Directors of the American Benefits Council and is a member of the Defined Contribution Institutional Investment Association and its Plan Sponsor Advisory Committee. He is a frequent lecturer on all aspects of employee benefit retirement issues.</t>
  </si>
  <si>
    <t>stephen.mccaffrey@nationalgrid.com</t>
  </si>
  <si>
    <t>354252-97P</t>
  </si>
  <si>
    <t>Stephen Smith</t>
  </si>
  <si>
    <t>Mr. Stephen Smith serves as Chief Strategy and Regulation Officer at National Grid. He serves as President at National Grid Partners. He joined National Grid in October 2021 and is Interim Chief Strategy and Regulation Officer. He previously held the role of Group Head of Strategy and President of National Grid Partners. Before joining National Grid, he spent 11 years at Lloyds Banking Group (LBG) holding a number of senior executive positions and was a member of the Retail Executive Committee. Prior to LBG he was a Board member and Managing Director at Ofgem, and his early career included American Electric Power and PricewaterhouseCoopers (PWC). He has more than 25 years' experience in the energy and finance sectors spanning: venture capital, fintech, innovation and competition, government and policy, markets, regulatory reform and regulatory strategy. He has also held a non-executive position in British Gas' Customer Fairness Committee and has also been an angel investor in energy startups in the UK. He is a Council Member at The Regulatory Policy Institute.</t>
  </si>
  <si>
    <t>stephen_smith@nationalgrid.com</t>
  </si>
  <si>
    <t>Chief Strategy and Regulation Officer</t>
  </si>
  <si>
    <t>104868-10P</t>
  </si>
  <si>
    <t>Talvis Love</t>
  </si>
  <si>
    <t>Talvis</t>
  </si>
  <si>
    <t>Mr. Talvis Love serves as Group Chief Information Officer and Digital Officer at National Grid. He served as Senior Vice President and Chief Information Officer at Baxter International. He served as Vice President and Chief Information Security Officer at Cardinal Health. Previously, Love was senior vice president, eCommerce, Governance Execution, Enterprise Architecture &amp; Chief Information Security Officer of Cardinal Health. His career has also included several executive and management positions within TD Bank Group, Ford Motor Company, Oracle Corporation and Quaker Oats Company, a division of PepsiCo. He served as Board Member at Duck Creek Technologies.</t>
  </si>
  <si>
    <t>talvis.love@nationalgrid.com</t>
  </si>
  <si>
    <t>Chief Information Officer and Digital Officer</t>
  </si>
  <si>
    <t>141331-60P</t>
  </si>
  <si>
    <t>Terry McCormick</t>
  </si>
  <si>
    <t>McCormick</t>
  </si>
  <si>
    <t>Mr. Terry McCormick serves as Vice President of Mergers and Acquisitions at National Grid. Previously, he served at National Grid. He served as Head of Market Fundamentals, Head of Mergers and Acquisitions and Head of Market Fundamentals, Head of UK Mergers and Acquisitions and Market Fundamentals, Head of US Mergers and Acquisitions and Market Fundamentals, Head of Markets and Regulation, Business Development, Head of Corporate Development and Markets, Head of Corporate Development, Corporate Development executive and Head of Carbon Capture and Storage at National Grid. He holds a Bachelor of Engineering in Electrical Engineering and a Master of Business Administration from Ashridge Business School.</t>
  </si>
  <si>
    <t>terry.mccormick@nationalgrid.com</t>
  </si>
  <si>
    <t>277349-95P</t>
  </si>
  <si>
    <t>Will Serle</t>
  </si>
  <si>
    <t>Serle</t>
  </si>
  <si>
    <t>Mr. Will Serle serves as Chief People and Culture Officer at National Grid. He serves as Chief People Officer at Capita. He is responsible for delivery of the company's HR and people strategy, supporting and advising the organization to evolve Capita's culture and ways of working for all its employees. He has 30 years of experience in Human Resources, gained predominantly in the engineering and project management sector; supporting clients in the Oil and Gas, Mining, Nuclear and Renewables industry. He holds a Masters Degree in HR from the Robert Gordon University in Aberdeen and is a Fellow of the Chartered Institute of Personnel and Development.</t>
  </si>
  <si>
    <t>will.serle@nationalgrid.com</t>
  </si>
  <si>
    <t>259329-88P</t>
  </si>
  <si>
    <t>Anne Miller</t>
  </si>
  <si>
    <t>National Renewable Energy Laboratory</t>
  </si>
  <si>
    <t>Ms. Anne Miller serves as Technology Transfer Director at National Renewable Energy Laboratory.</t>
  </si>
  <si>
    <t>+1 (303) 275-3000</t>
  </si>
  <si>
    <t>anne.miller@nrel.gov</t>
  </si>
  <si>
    <t>Golden, CO</t>
  </si>
  <si>
    <t>15013 Denver West Parkway</t>
  </si>
  <si>
    <t>80401</t>
  </si>
  <si>
    <t>Technology Transfer Director</t>
  </si>
  <si>
    <t>297565-93P</t>
  </si>
  <si>
    <t>Bethany Speer</t>
  </si>
  <si>
    <t>Bethany</t>
  </si>
  <si>
    <t>Ms. Bethany Speer serves as a Group Manager- Project Development and Finance at National Renewable Energy Laboratory.</t>
  </si>
  <si>
    <t>bethany.speer@nrel.gov</t>
  </si>
  <si>
    <t>Group Manager- Project Development and Finance</t>
  </si>
  <si>
    <t>259128-37P</t>
  </si>
  <si>
    <t>Caitlyn Clark Ph.D</t>
  </si>
  <si>
    <t>Caitlyn</t>
  </si>
  <si>
    <t>Dr. Caitlyn Clark serves as a Senior Researcher at National Renewable Energy Laboratory. She works primarily in the Wind Energy Systems and Engineering group at NREL's Flatirons Campus in Boulder, Colorado. Her work involves the design, controls, and optimization of offshore wind and marine hydrokinetic energy systems that incorporate cost, performance, and reliability. She also is involved in marine hydrokinetic workforce development efforts. Prior to joining NREL, Caitlyn received her doctorate in mechanical engineering at Oregon State University and conducted research through the Pacific Marine Energy Center. During her doctoral tenure, she conducted research at Aalborg University in Denmark as a Fulbright Scholar and received a minor in Risk and Uncertainty Quantification in the Marine Sciences through the National Science Foundation National Traineeship.</t>
  </si>
  <si>
    <t>Senior Researcher</t>
  </si>
  <si>
    <t>297462-79P</t>
  </si>
  <si>
    <t>Daniel Zimny-Schmitt</t>
  </si>
  <si>
    <t>Zimny-Schmitt</t>
  </si>
  <si>
    <t>Mr. Daniel Zimny-Schmitt serves as an Energy Researcher and Prize Lead at National Renewable Energy Laboratory. He works on a joint appointment between the Advanced Data Analytics &amp; Tools Group in NREL's Strategic Energy Analysis Center and the Mobility team in the Transportation and Hydrogen Systems Center. His areas of expertise include electric utility rate structures, demographic and transportation analysis using US Census Bureau data, and public transportation infrastructure and mobility.</t>
  </si>
  <si>
    <t>daniel.zimnyschmitt@nrel.gov</t>
  </si>
  <si>
    <t>Energy Researcher and Prize Lead</t>
  </si>
  <si>
    <t>229078-18P</t>
  </si>
  <si>
    <t>David Glickson</t>
  </si>
  <si>
    <t>Glickson</t>
  </si>
  <si>
    <t>Mr. David Glickson serves as Executive, Public Affairs at National Renewable Energy Laboratory.</t>
  </si>
  <si>
    <t>david.glickson@nrel.gov</t>
  </si>
  <si>
    <t>Executive, Public Affairs</t>
  </si>
  <si>
    <t>297243-28P</t>
  </si>
  <si>
    <t>Denise Barber</t>
  </si>
  <si>
    <t>Barber</t>
  </si>
  <si>
    <t>Ms. Denise Barber serves as Project Leader and Implementer: Prize Programs at National Renewable Energy Laboratory.</t>
  </si>
  <si>
    <t>denise.barber@nrel.gov</t>
  </si>
  <si>
    <t>Project Leader &amp; Implementer: Prize Programs</t>
  </si>
  <si>
    <t>180260-56P</t>
  </si>
  <si>
    <t>Douglas Arent Ph.D</t>
  </si>
  <si>
    <t>Arent</t>
  </si>
  <si>
    <t>Dr. Douglas Arent serves as Executive Director, Strategic Public-Private Partnerships at National Renewable Energy Laboratory. As deputy, Doug Arent supports integrating the Scientific Computing and Energy Analysis (SCEA) directorate's cross-cutting technical capabilities and will bolster the strategic positioning and growth of the entire laboratory. Arent is also the acting Executive Director of the Joint Institute for Strategic Energy Analysis at the NREL. In addition to his NREL responsibilities, Arent is Sr. Visiting Fellow at the Center for Strategic and International Studies, serves on the American Academy of Arts and Sciences Steering Committee on Social Science and the Alternative Energy Future, is a member of the National Research Council Committee to Advise to U.S. Global Change Research Program (USGCRP), and is a Member of the Keystone Energy Board. Arent is the Editor in Chief for Renewable Energy Focus and is Associate Editor for the journal Renewable and Sustainable Energy Reviews. Arent serves on the World Economic Forum Future of Electricity Working Group, and is a member of the International Advisory Board for the journal Energy Policy and for Energy Academy Europe. Arent was a Coordinating Lead Author for the 5th Assessment Report of the Intergovernmental Panel on Climate Change (IPCC). He has been a member of Policy Subcommittee of the National Petroleum Council Study on Prudent Development of North America Natural Gas and Oil Resources, served from 2008 to 2010 on the National Academy of Sciences Panel on Limiting the Magnitude of Future Climate Change, and also served on the Executive Council of the U.S. Association of Energy Economists. His research interests are centered in energy and sustainability, where he has been active for more than 30 years. He has published extensively on topics of clean energy, renewable energy, power systems, natural gas, and the intersection of science and public policy. Arent has a Ph.D. from Princeton University, an MBA from Regis University, and a bachelor's of science from Harvey Mudd College in California.</t>
  </si>
  <si>
    <t>douglas.arent@nrel.gov</t>
  </si>
  <si>
    <t>Executive Director, Strategic Public-Private Partnerships</t>
  </si>
  <si>
    <t>259334-74P</t>
  </si>
  <si>
    <t>Ellen Morris Ph.D</t>
  </si>
  <si>
    <t>Dr. Ellen Morris serves as Director, University Partnerships at National Renewable Energy Laboratory. She is a world-recognized expert on energy and international development, with a particular focus on policy analysis, research, strategy development, and writing on energy access, gender equality, and business models for the base of the pyramid. She is launching and directing a new program at NREL to build and strengthen partnerships with leading universities and research institutions. These partnerships leverage NREL's scientific knowledge and state-of-the-art facilities to solve complex, multidisciplinary challenges in energy efficiency, sustainable transportation, renewable power technologies, and grid integration. She holds a BS in Geophysical Engineering from the Colorado School of Mines and a Ph.D. in Geological Oceanography from the University of Rhode Island.</t>
  </si>
  <si>
    <t>emorris@nrel.gov</t>
  </si>
  <si>
    <t>Director, University Partnerships</t>
  </si>
  <si>
    <t>297391-51P</t>
  </si>
  <si>
    <t>Eric Manuel</t>
  </si>
  <si>
    <t>Mr. Eric Manuel serves as Director, Planning &amp; Performance Management at National Renewable Energy Laboratory.</t>
  </si>
  <si>
    <t>eric.manuel@nrel.gov</t>
  </si>
  <si>
    <t>Director, Planning &amp; Performance Management</t>
  </si>
  <si>
    <t>297460-00P</t>
  </si>
  <si>
    <t>Guangdong Zhu Ph.D</t>
  </si>
  <si>
    <t>Manager &amp; Senior Associate</t>
  </si>
  <si>
    <t>Dr. Guangdong Zhu serves as Group Manager &amp; Senior Researcher at National Renewable Energy Laboratory. His work focuses on solar collector characterization, geothermal power plant modeling and analysis, and renewable energy hybridization. Guangdong has an extensive background in power generation systems, heat transfer processes, and fluid mechanics. He is also well versed in stress analysis, efficient computing, numerical modeling, and related experimental validation. He has written peer-reviewed papers, reports, and presentations in the areas of solar thermal power, geothermal power, multiphase flow, and power generation systems.</t>
  </si>
  <si>
    <t>guangdong.zhu@nrel.gov</t>
  </si>
  <si>
    <t>Group Manager &amp; Senior Researcher</t>
  </si>
  <si>
    <t>297501-85P</t>
  </si>
  <si>
    <t>Heather Proc</t>
  </si>
  <si>
    <t>Proc</t>
  </si>
  <si>
    <t>Ms. Heather Proc serves as Program Operations Project Controller IV - Innovation and Entrepreneurship Center at the National Renewable Energy Laboratory.</t>
  </si>
  <si>
    <t>hproc@nrel.gov</t>
  </si>
  <si>
    <t>Program Operations Project Controller IV - Innovation and Entrepreneurship Center</t>
  </si>
  <si>
    <t>260304-13P</t>
  </si>
  <si>
    <t>James Lyall Ph.D</t>
  </si>
  <si>
    <t>Lyall</t>
  </si>
  <si>
    <t>Dr. James Lyall serves as Chief Information Officer at National Renewable Energy Laboratory. Dr. Lyall leads NREL's Information Technology Services (ITS) Office and the development of an innovative, robust, and secure IT environment across the laboratory. As chief information officer (CIO), Lyall guides ITS strategy for supporting the lab's major IT functions-including the design, development, deployment, maintenance, and upgrade of IT capabilities-and maintains appropriate levels of cybersecurity. Lyall came to NREL from Metropolitan State University of Denver, where he was the CIO and associate vice president of academic and student affairs. In that role, he provided strategic leadership, coordination, planning, and management for all enterprise information and instructional technology. He also represented the university regionally and nationally in all IT-related matters. His experience also includes serving as associate CIO at Kansas State University, where he was responsible for the institution's enterprise server, networking, and telecommunications infrastructure. Lyall has a bachelor's in biology and chemistry from Missouri Southern State University and a master's of science and a doctorate of philosophy from Colorado State University.</t>
  </si>
  <si>
    <t>james.lyall@nrel.gov</t>
  </si>
  <si>
    <t>297452-26P</t>
  </si>
  <si>
    <t>Jeffrey Wolf</t>
  </si>
  <si>
    <t>Mr. Jeffrey Wolf serves as Communications Officer at National Renewable Energy Laboratory.</t>
  </si>
  <si>
    <t>jeffrey.wolf@nrel.gov</t>
  </si>
  <si>
    <t>Communications Officer</t>
  </si>
  <si>
    <t>306794-80P</t>
  </si>
  <si>
    <t>Jennifer Logan</t>
  </si>
  <si>
    <t>Ms. Jennifer Logan serves as Chief Financial Officer at National Renewable Energy Laboratory. She has served as a Chief Financial Officer and business/finance director for 4 years at Thomas Jefferson National Accelerator Facility (Jefferson Lab) in Newport News, Virginia. She also served in various federal contracting and acquisition roles for 18 years within the Department of the Defense, including as deputy chief of contracting and business operations division head contracting officer at Norfolk Naval Shipyard. She also served as submarine contracting division head at the U.S. Navy Supervisor of Shipbuilding in Newport News, Virginia. She began her career as an officer in the U.S. Air Force, stationed in Colorado Springs, Colorado. She holds a bachelor's degree in business administration from East Carolina University and a master's degree in procurement and acquisition management from Webster University.</t>
  </si>
  <si>
    <t>+1 (202) 488-2200</t>
  </si>
  <si>
    <t>jennifer.logan@nrel.gov</t>
  </si>
  <si>
    <t>901 D. Street, South West</t>
  </si>
  <si>
    <t>Suite 930</t>
  </si>
  <si>
    <t>20024-2157</t>
  </si>
  <si>
    <t>259332-85P</t>
  </si>
  <si>
    <t>Jianping Yu Ph.D</t>
  </si>
  <si>
    <t>Jianping</t>
  </si>
  <si>
    <t>Dr. Jianping Yu serves as a Senior Scientist at National Renewable Energy Laboratory.</t>
  </si>
  <si>
    <t>jianping.yu@nrel.gov</t>
  </si>
  <si>
    <t>Senior Scientist</t>
  </si>
  <si>
    <t>270154-09P</t>
  </si>
  <si>
    <t>Julie Baker</t>
  </si>
  <si>
    <t>Chief Operating Officer &amp; Director</t>
  </si>
  <si>
    <t>Ms. Julie Baker serves as Deputy Laboratory Director, Chief Operating Officer and Alliance Senior Vice President at National Renewable Energy Laboratory. Baker guides laboratory operations and assesses the effectiveness of business systems and infrastructure in supporting mission outcomes and NREL's vision. She came to NREL in 2016 as associate laboratory director for Facilities and Operations, overseeing the laboratory's Site Operations; Environment, Safety, Health, and Quality; Information Technology; and Security and Emergency Management organizations. Prior to NREL, she worked at Idaho National Laboratory for 27 years. She has expertise in many aspects of nuclear facility operations, business, and mission development. She has served in a variety of operations, engineering, science and technology, and management positions throughout her career. Among these assignments was her role as special assistant to Idaho National Laboratory's laboratory director. During that time, she engaged in the full array of the laboratory's internal and external strategic priorities. She has a bachelor's degree in process technology from the University of Idaho and studied mechanical engineering at Utah State University. She also serves on the governing committee that oversees operations at Pacific Northwest National Laboratory.</t>
  </si>
  <si>
    <t>julie.baker@nrel.gov</t>
  </si>
  <si>
    <t>Deputy Laboratory Director, Chief Operating Officer, Alliance Senior Vice President</t>
  </si>
  <si>
    <t>227996-02P</t>
  </si>
  <si>
    <t>Karin Wadsack</t>
  </si>
  <si>
    <t>Wadsack</t>
  </si>
  <si>
    <t>Director &amp; Project Manager</t>
  </si>
  <si>
    <t>Ms. Karin Wadsack serves as Global Power System Transformation Consortium Director, Energy Transitions Initiative Partnership Project Program Manager, USAID Project Manager at National Renewable Energy Laboratory.</t>
  </si>
  <si>
    <t>karin.wadsack@nrel.gov</t>
  </si>
  <si>
    <t>Global Power System Transformation Consortium Director, Energy Transitions Initiative Partnership Project Program Manager, USAID Project Manager</t>
  </si>
  <si>
    <t>227979-55P</t>
  </si>
  <si>
    <t>Kate Moore</t>
  </si>
  <si>
    <t>Ms. Kate Moore serves as Head of the Partnerships, Innovation &amp; Entrepreneurship Center at the National Renewable Energy Laboratory.</t>
  </si>
  <si>
    <t>kate.moore@nrel.gov</t>
  </si>
  <si>
    <t>Head of Partnerships, Innovation &amp; Entrepreneurship Center</t>
  </si>
  <si>
    <t>228006-55P</t>
  </si>
  <si>
    <t>Katie Richardson</t>
  </si>
  <si>
    <t>Ms. Katie Richardson serves as Group Manager, Innovation and Entrepreneurship Center at the National Renewable Energy Laboratory. Since 2018, he has helped NREL support state, local, and tribal governments as a program manager for the Innovation and Entrepreneurship Center. Before joining NREL, she served as the state science and development director for U.S. Senator Martin Heinrich (NM). He holds a bachelor's degree in physics from Caltech and a doctoral physics degree from the University of New Mexico.</t>
  </si>
  <si>
    <t>katie.richardson@nrel.gov</t>
  </si>
  <si>
    <t>Group Manager, Innovation and Entrepreneurship Center</t>
  </si>
  <si>
    <t>297453-88P</t>
  </si>
  <si>
    <t>Katie Woslager</t>
  </si>
  <si>
    <t>Woslager</t>
  </si>
  <si>
    <t>Ms. Katie Woslager serves as Program Manager at National Renewable Energy Laboratory. She serves as an Executive at the Colorado Office of Economic Development Commission.</t>
  </si>
  <si>
    <t>katie.woslager@nrel.gov</t>
  </si>
  <si>
    <t>227979-82P</t>
  </si>
  <si>
    <t>Kristi Theis</t>
  </si>
  <si>
    <t>Theis</t>
  </si>
  <si>
    <t>Ms. Kristi Theis serves as Communications Lead at National Renewable Energy Laboratory.</t>
  </si>
  <si>
    <t>Communications Lead</t>
  </si>
  <si>
    <t>297349-66P</t>
  </si>
  <si>
    <t>Kristin Field-Macumber</t>
  </si>
  <si>
    <t>Field-Macumber</t>
  </si>
  <si>
    <t>Ms. Kristin Field-Macumber serves as IN2 Technical Project Manager at National Renewable Energy Laboratory. She joined NREL in January 2009. Her expertise is in collaborating with industry partners to identify feasible energy efficiency strategies and using EnergyPlus computer simulation to evaluate standard energy performance and improve design decisions concerning energy efficiency. Prior to joining NREL, she worked in consulting for Architectural Energy Corporation in Boulder, Colorado. At AEC, she analyzed a wide variety of commercial building types for sustainable design assistance work at each design phase of specific building projects.</t>
  </si>
  <si>
    <t>kristin.field-macumber@nrel.gov</t>
  </si>
  <si>
    <t>IN2 Technical Project Manager</t>
  </si>
  <si>
    <t>297555-04P</t>
  </si>
  <si>
    <t>Lin Simpson Ph.D</t>
  </si>
  <si>
    <t>Simpson</t>
  </si>
  <si>
    <t>Dr. Lin Simpson serves as a Senior Scientist at National Renewable Energy Laboratory. At NREL, he was the director of the U.S. Department of Energy's Hydrogen Sorption Center of Excellence and performs associated advanced materials development and testing. Previously, he was the manager of Advanced Programs at ITN Energy Systems, Inc., where he planned, implemented, and managed R&amp;D activities to produce the next generation of enabling technologies for a broad range of commercial applications in technology areas that included: nanotechnology, nanomaterials, thin-film photovoltaics, thin-film processing, fuel cells, solid-state batteries, electrochromic, and advanced sensors. He was also a research scientist in the Chemical Technology Division at Argonne National Laboratory, where he evaluated the structural and chemical integrity of materials and performed mechanistic investigations using electrochemical and optical techniques.</t>
  </si>
  <si>
    <t>259289-11P</t>
  </si>
  <si>
    <t>Martin Keller Ph.D</t>
  </si>
  <si>
    <t>Dr. Martin Keller serves as President and Laboratory Director at Alliance for Sustainable Energy. He serves as Laboratory Director and Alliance President at National Renewable Energy Laboratory. He is a Board Member at Tech 20/20. Under his leadership, the number of full-time employees at NREL has increased by more than 32%. Keller is a visionary leader who is committed to people, teams, and partnerships. He innovatively and pragmatically applies private sector best practices at NREL to achieve game-changing scientific outcomes. Working collaboratively with his leadership team, he developed a strategy for NREL focused on three key initiatives: integrated energy pathways, circular economy, and electrons to molecules. This strategy drives advanced scientific research, programs, projects, and partnerships at NREL. For example, NREL's partnership portfolio-which includes Eaton Corp., Wells Fargo, Hewlett Packard Enterprise, the New York State Energy Research and Development Authority, and more than 900 private and public sector organizations-has generated over $1 billion of research and development for the laboratory. From 2006 to 2015, Keller led energy, biological, and environmental research programs at Oak Ridge National Laboratory. His efforts culminated in his being promoted to serve as the associate laboratory director for the Energy and Environmental Sciences Directorate during his last 6 years there. Earlier in his career, Keller's dedicated work in a variety of research management positions at Diversa Corp. enhanced and developed the microbiology expertise of this biotech company. Currently, he is a fellow of the American Association for the Advancement Science and recently retired as chair of its Industrial Science and Technology Section. In addition, Keller is a member of the Scientific Advisory Council for Julich Forschungszentrum and serves on numerous scientific advisory boards. Keller received his doctorate in microbiology from the University of Regensburg, Germany.</t>
  </si>
  <si>
    <t>+1 (303) 572-1536</t>
  </si>
  <si>
    <t>mkeller@allianceforsustainableenergy.org</t>
  </si>
  <si>
    <t>PO Box 4011</t>
  </si>
  <si>
    <t>Mailstop Rsf-053</t>
  </si>
  <si>
    <t>President &amp; Laboratory Director</t>
  </si>
  <si>
    <t>Alliance for Sustainable Energy</t>
  </si>
  <si>
    <t>259337-62P</t>
  </si>
  <si>
    <t>Monali Mujumdar</t>
  </si>
  <si>
    <t>Monali</t>
  </si>
  <si>
    <t>Mujumdar</t>
  </si>
  <si>
    <t>Ms. Monali Mujumdar serves as Startup Engagement Lead and Program Operations at National Renewable Energy Laboratory.</t>
  </si>
  <si>
    <t>monali.mujumdar@nrel.gov</t>
  </si>
  <si>
    <t>Startup Engagement Lead and Program Operations</t>
  </si>
  <si>
    <t>259211-08P</t>
  </si>
  <si>
    <t>Peter Green</t>
  </si>
  <si>
    <t>Director &amp; Executive Officer</t>
  </si>
  <si>
    <t>Mr. Peter Green serves as Deputy Laboratory Director, Science and Technology, Chief Research Officer, and Alliance Senior Vice President at National Renewable Energy Laboratory. In his role as deputy laboratory director for Science and Technology, Green is responsible for NREL's science and research goals, strengthening the laboratory's core capabilities, and enhancing NREL's research portfolio. In addition, he oversees the Laboratory Directed Research and Development Program, NREL-university interactions, and the postdoctoral research program. Prior to his appointment at NREL, Green spent 20 years in academia and 11 years at Sandia National Laboratories, where his professional career began in 1985. He moved from Sandia to The University of Texas in 1996, where he became the B.F. Goodrich Endowed Professor of Materials Engineering and a professor of chemical engineering. In 2005, he was recruited to the University of Michigan to become chair of the Department of Materials Science and Engineering. He was also the Vincent T. and Gloria M. Gorguze Endowed Professor of Engineering as well as professor of chemical engineering, applied physics, and macromolecular science and technology. He served as director of a DOE Energy Frontiers Research Center: Center for Solar and Thermal Energy Conversion. Green's prior leadership experience includes serving as president of the Materials Research Society (MRS). He has been a member of advisory boards for national academies, national laboratories, and universities. His awards include election to the position of fellow of a number of societies: MRS, American Physical Society, American Ceramics Society, Royal Society of Chemistry, and the American Association for the Advancement of Science. Other recognition includes inaugural editor-in-chief, MRS Communications; National Science Foundation Creativity Extension Award; divisional associate editor, Physical Review Letters; and "Outstanding Referee" for the Journals of the American Physical Society. He holds bachelor's and master's degrees in physics from Hunter College and a master's and doctorate in materials science and engineering from Cornell University.</t>
  </si>
  <si>
    <t>peter.green@nrel.gov</t>
  </si>
  <si>
    <t>Deputy Laboratory Director, Science and Technology, Chief Research Officer, and Alliance Senior Vice President</t>
  </si>
  <si>
    <t>227887-03P</t>
  </si>
  <si>
    <t>Rachelle Ihly</t>
  </si>
  <si>
    <t>Rachelle</t>
  </si>
  <si>
    <t>Ihly</t>
  </si>
  <si>
    <t>Ms. Rachelle Ihly serves as GCxN Technical Project Manager at National Renewable Energy Laboratory. She serves as Board Member at Colorado Cleantech Industries Association.</t>
  </si>
  <si>
    <t>rachelle.ihly@nrel.gov</t>
  </si>
  <si>
    <t>227961-28P</t>
  </si>
  <si>
    <t>Rexann Dunn</t>
  </si>
  <si>
    <t>Rexann</t>
  </si>
  <si>
    <t>Mr. Rexann Dunn serves as Small Business Program Manager at National Renewable Energy Laboratory.</t>
  </si>
  <si>
    <t>Small Business Program Manager</t>
  </si>
  <si>
    <t>297246-43P</t>
  </si>
  <si>
    <t>Ron Benioff</t>
  </si>
  <si>
    <t>Benioff</t>
  </si>
  <si>
    <t>Mr. Ron Benioff serves as an International Program Manager at National Renewable Energy Laboratory. In addition, he is the laboratory program manager for international programs at the lab. He joined NREL in 1997 and has led initiatives providing clean energy technical resources and assessments, expert advice, and training to countries around the world. Prior to joining NREL, he worked at the U.S. Environmental Protection Agency on climate change and waste management issues.</t>
  </si>
  <si>
    <t>ron.benioff@nrel.gov</t>
  </si>
  <si>
    <t>International Program Manager</t>
  </si>
  <si>
    <t>297276-13P</t>
  </si>
  <si>
    <t>Ryan Brubaker</t>
  </si>
  <si>
    <t>Brubaker</t>
  </si>
  <si>
    <t>Mr. Ryan Brubaker serves as a Cybersecurity Program Manager at National Renewable Energy Laboratory.</t>
  </si>
  <si>
    <t>Cybersecurity Program Manager</t>
  </si>
  <si>
    <t>229104-01P</t>
  </si>
  <si>
    <t>Sandra Loi</t>
  </si>
  <si>
    <t>Loi</t>
  </si>
  <si>
    <t>Ms. Sandra Loi serves as Project Manager at National Renewable Energy Laboratory.</t>
  </si>
  <si>
    <t>sloi@nrel.gov</t>
  </si>
  <si>
    <t>297491-32P</t>
  </si>
  <si>
    <t>Shanti Pless</t>
  </si>
  <si>
    <t>Shanti</t>
  </si>
  <si>
    <t>Pless</t>
  </si>
  <si>
    <t>Mr. Shanti Pless serves as a Senior Building Energy Research Engineer at National Renewable Energy Laboratory. He joined the Commercial Building Research Group at NREL in 1999 with a focus on applied research and design processes for commercial building energy efficiency and building-integrated renewable energy. This work has included facilitating numerous integrated design processes and energy modeling teams needed to realize cost-effective zero-energy commercial buildings. He is leading the development of the next round of Advanced Energy Design Guides and managing the Whole Buildings Systems Integration section of the group.</t>
  </si>
  <si>
    <t>spless@nrel.gov</t>
  </si>
  <si>
    <t>Senior Building Energy Research Engineer</t>
  </si>
  <si>
    <t>229048-39P</t>
  </si>
  <si>
    <t>Shelly Curtiss</t>
  </si>
  <si>
    <t>Curtiss</t>
  </si>
  <si>
    <t>Ms. Shelly Curtiss serves as Program Manager at the National Renewable Energy Laboratory. She serves as Deputy Director at the Colorado Cleantech Industries Association.</t>
  </si>
  <si>
    <t>shelly.curtiss@nrel.gov</t>
  </si>
  <si>
    <t>286709-05P</t>
  </si>
  <si>
    <t>Tina Herrera</t>
  </si>
  <si>
    <t>Herrera</t>
  </si>
  <si>
    <t>Ms. Tina Herrera serves as Chief Human Resources Officer at National Renewable Energy Laboratory. Ms. Herrera has served as human resources strategic partner for the Director's Office, Technology Deployment Office, Office of General Counsel, and External Affairs Office at PNNL. She has also served Battelle on several successful laboratory operating contracts rebid and transition teams. She holds a bachelor's degree in human resources management from New Mexico State University and a master's degree in organizational development from Fielding Graduate University in Santa Barbara, California.</t>
  </si>
  <si>
    <t>tina.herrera@nrel.gov</t>
  </si>
  <si>
    <t>227971-36P</t>
  </si>
  <si>
    <t>Tonya McCabe</t>
  </si>
  <si>
    <t>Tonya</t>
  </si>
  <si>
    <t>Ms. Tonya McCabe serves as a GCxN and IN2 Program Operations at National Renewable Energy Laboratory.</t>
  </si>
  <si>
    <t>tm@nrel.gov</t>
  </si>
  <si>
    <t>GCxN and IN2 Program Operations</t>
  </si>
  <si>
    <t>203215-06P</t>
  </si>
  <si>
    <t>Trish Cozart</t>
  </si>
  <si>
    <t>Cozart</t>
  </si>
  <si>
    <t>Ms. Trish Cozart serves as Director of the Innovation and Entrepreneurship Center at the National Renewable Energy Laboratory. She served as Director of the Innovation and Entrepreneurship Center at Wells Fargo Innovation Incubator. Previously, she spent nine years at NREL leading projects for an application development and analysis team, primarily supporting the U.S. Department of Energy's deployment efforts for alternative fuels and advanced vehicles. During this time, she also led deployment-oriented projects in other areas of the lab including wind, geothermal, solar, buildings, and tech-to-market. Before arriving at NREL in 2009, she co-founded a digital publishing company specializing in audio production and new media for World Heritage Sites. Her basement in Wheat Ridge, Colorado, has served as the birthplace for two startup companies over the last 15 years.</t>
  </si>
  <si>
    <t>trish.cozart@nrel.gov</t>
  </si>
  <si>
    <t>Director of Innovation and Entrepreneurship Center</t>
  </si>
  <si>
    <t>227875-15P</t>
  </si>
  <si>
    <t>Wendy Gutcher</t>
  </si>
  <si>
    <t>Gutcher</t>
  </si>
  <si>
    <t>Ms. Wendy Gutcher serves as Innovation and Entrepreneurship Center Operations at National Renewable Energy Laboratory.</t>
  </si>
  <si>
    <t>Innovation and Entrepreneurship Center Operations</t>
  </si>
  <si>
    <t>180263-17P</t>
  </si>
  <si>
    <t>William Farris</t>
  </si>
  <si>
    <t>Mr. William Farris serves as Associate Laboratory Director for Innovation, Partnering and Outreach at National Renewable Energy Laboratory. In his role at NREL, he Farris directs efforts to accelerate commercialization and the transfer of laboratory technologies to the marketplace. He also oversees all licensing, sponsored research agreements, enterprise development, and innovation management functions at NREL. Farris led the integration of NREL commercialization programs with the Colorado Center for Renewable Energy Economic Development (CREED), which seeks to catalyze the expansion of the renewable energy economic cluster in Colorado and beyond. He also conceptualized and managed the development of the Energy Innovation Portal, which serves as an internet-based clearinghouse for intellectual property developed at the nation's national laboratories. Prior to joining NREL in 2008, Farris was responsible for the Commercialization, Economic Development, Business and Competitive Intelligence, and Commercial Relationships offices at the Pacific Northwest National Laboratory. In addition, he managed new venture activities at the Pacific Northwest Division of the Battelle Memorial Institute, and served as a primary point of contact for interactions with venture capitalists. Farris holds a bachelor's degree in Geological Sciences and a master's in Radiological Sciences from the University of Washington, and a master's in Management of Technology from the National Technological University.</t>
  </si>
  <si>
    <t>william.farris@nrel.gov</t>
  </si>
  <si>
    <t>Associate Laboratory Director for Innovation, Partnering and Outreach</t>
  </si>
  <si>
    <t>259318-36P</t>
  </si>
  <si>
    <t>William Tumas Ph.D</t>
  </si>
  <si>
    <t>Tumas</t>
  </si>
  <si>
    <t>Dr. William Tumas serves as Associate Laboratory Director, Materials, Chemical, and Computational Science at National Renewable Energy Laboratory. He is responsible for overall leadership, management, technical direction, and workforce development of the materials, chemical, and computational science capabilities at NREL, spanning fundamental and applied R&amp;D for renewable energy and energy efficiency. Key research areas include photovoltaics and solar energy conversion, electrochemistry and electrons to molecules, hydrogen production and solar fuels, materials discovery and development for renewable energy technologies, chemistry and nanoscience, energy storage and batteries, fuel cells, building materials, advanced computing and theory, and reliability and durability of energy technologies. He oversees NREL's solar, hydrogen and fuel cells, basic energy sciences, advanced computing, and ARPA-E programs. Tumas also serves as the NREL laboratory point of contact for the Office of Science's Basic Energy Sciences program, responsible for sponsor interface, program management, and program execution. Tumas has been actively engaged in collaborative research and a range of technical management and leadership positions for over 30 years in industry and at national laboratories. He joined NREL in December 2009 as director of the Chemical and Materials Science Center. He has led a number of program development activities and created a number of multi-institution and international collaborations. He has also led two Energy Frontier Research Centers on materials discovery: the Center for Next Generation of Materials Design and the Center for Inverse Design. Prior to NREL, Bill was at Los Alamos National Laboratory for 17 years, where his last position was program director for Applied Energy Programs (DOE's Energy Efficiency and Renewable Energy, Fossil Energy, and Electricity Delivery and Energy Reliability offices). His research activities include materials design, catalysis, supercritical fluids, green chemistry, and waste treatment technology development and assessment. He has over 65 peer-reviewed publications and 12 patents and has given over 125 invited presentations. He is a fellow of the American Association for the Advancement of Science and serves on several advisory boards for energy-related research. He has contributed to several Basic Energy Sciences reports, including as chair for the Roundtable on Liquid Solar Fuels. Tumas received a Bachelor of Arts in chemistry from Ithaca College and a doctorate in chemistry from Stanford University and was a National Science Foundation and then a Hertz Foundation graduate fellow. He did research at Caltech as a National Institutes of Health and then a Chaim Weizmann postdoctoral fellow before starting his career at DuPont Central Research.</t>
  </si>
  <si>
    <t>bill.tumas@nrel.gov</t>
  </si>
  <si>
    <t>Associate Laboratory Director, Materials, Chemical, and Computational Science</t>
  </si>
  <si>
    <t>411384-70P</t>
  </si>
  <si>
    <t>Rachel Frank</t>
  </si>
  <si>
    <t>Natural Bridge Ventures</t>
  </si>
  <si>
    <t>Ms. Rachel Frank serves as President at Natural Bridge Ventures.</t>
  </si>
  <si>
    <t>r.frank@naturalbridge.fund</t>
  </si>
  <si>
    <t>Venice</t>
  </si>
  <si>
    <t>Venice, FL</t>
  </si>
  <si>
    <t>300 Tamiami Trail South</t>
  </si>
  <si>
    <t>34285</t>
  </si>
  <si>
    <t>120165-49P</t>
  </si>
  <si>
    <t>John Barbieri</t>
  </si>
  <si>
    <t>Barbieri</t>
  </si>
  <si>
    <t>Natural Resources</t>
  </si>
  <si>
    <t>Mr. John Barbieri serves as Chief Executive Officer at Natural Resources.</t>
  </si>
  <si>
    <t>+1 (310) 697-9224</t>
  </si>
  <si>
    <t>john@nrcwater.com</t>
  </si>
  <si>
    <t>333 West 6th Street</t>
  </si>
  <si>
    <t>90731</t>
  </si>
  <si>
    <t>164392-66P</t>
  </si>
  <si>
    <t>Caitlin Henning</t>
  </si>
  <si>
    <t>NatureVest</t>
  </si>
  <si>
    <t>Ms. Caitlin Henning serves as Director, Operations and Finance, Impact Finance and Markets at NatureVest. She leads the financial management for the NatureVest team with a focus on donor reporting, budget creation/control, and contract administration. Before coming to The Nature Conservancy, she worked in R&amp;D acquisition and project management at the National Institutes of Health. Growing up in the Appalachians, Caitlin has a long-standing passion for environmental conservation. She holds an MBA, as well as an MS in Finance from West Virginia University.</t>
  </si>
  <si>
    <t>+1 (703) 841-5300</t>
  </si>
  <si>
    <t>chenning@tnc.org</t>
  </si>
  <si>
    <t>4245 Fairfax Drive</t>
  </si>
  <si>
    <t>Director, Operations and Finance, Impact Finance and Markets</t>
  </si>
  <si>
    <t>307216-99P</t>
  </si>
  <si>
    <t>Catherine Burns Ph.D</t>
  </si>
  <si>
    <t>Dr. Catherine Burns serves as Managing Director, Impact Management at NatureVest. Prior to joining TNC, she held faculty positions at Duke University and the University of Maine, publishing her conservation research in the Proceedings of the National Academy of Sciences, Ecology, Biodiversity and Conservation, and BioScience, among other journals. She completed her Ph.D. in Ecology &amp; Evolutionary Biology in 2004 from Yale University and her B.S. in Biology from Emory University.</t>
  </si>
  <si>
    <t>cburns@tnc.org</t>
  </si>
  <si>
    <t>Managing Director, Impact Management</t>
  </si>
  <si>
    <t>164389-24P</t>
  </si>
  <si>
    <t>Jacob Davis</t>
  </si>
  <si>
    <t>Mr. Jacob Davis serves as the Senior Director, Financial Advisory at NatureVest. He leads the origination efforts for NatureVest's water markets team, supporting state chapters and country programs in leveraging private capital in freshwater conservation projects. He has an MBA from the University of Colorado, Boulder where he focused on sustainability and finance.</t>
  </si>
  <si>
    <t>+1 (917) 270-1313</t>
  </si>
  <si>
    <t>jacob.davis@tnc.org</t>
  </si>
  <si>
    <t>Senior Director, Financial Advisory</t>
  </si>
  <si>
    <t>434578-78P</t>
  </si>
  <si>
    <t>Jeff Schutes</t>
  </si>
  <si>
    <t>Schutes</t>
  </si>
  <si>
    <t>Mr. Jeff Schutes serves as Executive at NatureVest.</t>
  </si>
  <si>
    <t>+1 (703) 247-3736</t>
  </si>
  <si>
    <t>jeff.schutes@tnc.org</t>
  </si>
  <si>
    <t>301653-91P</t>
  </si>
  <si>
    <t>Jennifer Morris</t>
  </si>
  <si>
    <t>Ms. Jennifer Morris serves as Chief Executive Officer &amp; Board Member at The Nature Conservancy. Ms. Morris serves as Chief Executive Officer &amp; Board Member at NatureVest. She leads a team of nearly 6,000 staff in over 80 countries addressing the climate and biodiversity crises. With 25+ years in conservation, her leadership emphasizes proven management, innovative finance solutions, and science-based approaches centered on communities. Prior to joining TNC, she held key roles at Conservational International, including COO and President during a period of rapid growth. She has been named to TIME's inaugural Climate 100 list of leaders, Forbes' 50 over 50 for Impact and Virginia Business' Virginia 500 Power List. She serves on a range of global councils including the Climate Advisory Board for NBIM and Nestlé's Creating Shared Value Advisory Council. She also chairs the board of Enduring Earth. Based in Washington, D.C.She has dedicated her life to protecting the environment for people and nature. She brings decades of global leadership, proven management skills, and a passion for conservation to the organization and its ambitious mission-conserving the lands and waters on which all life depends. She holds a Master's in International Affairs from Columbia University.</t>
  </si>
  <si>
    <t>4245 North Fairfax Drive</t>
  </si>
  <si>
    <t>The Nature Conservancy</t>
  </si>
  <si>
    <t>307243-90P</t>
  </si>
  <si>
    <t>Kathleen McLaughlin</t>
  </si>
  <si>
    <t>Ms. Kathleen McLaughlin serves as Executive at NatureVest. Ms. McLaughlin earned a B.S. in electrical engineering from Boston University, as well as an M.A. in politics, philosophy, and economics from Balliol College at Oxford University, where she was a Rhodes Scholar. She also has a diploma in theology from Oxford.</t>
  </si>
  <si>
    <t>164391-67P</t>
  </si>
  <si>
    <t>Lauren Ferstandig</t>
  </si>
  <si>
    <t>Ferstandig</t>
  </si>
  <si>
    <t>Ms. Lauren Ferstandig serves as Managing Director at NatureVest. She has been instrumental in the Conservancy's development of a global water markets strategy, which seeks to leverage the power of tradable water markets to promote greater water efficiency and conservation. Targeted geographies for the water markets strategy include Australia and the American West. She has a Master's in International Relations from the London School of Economics where she focused on issues related to East African water resource management.</t>
  </si>
  <si>
    <t>lferstandig@tnc.org</t>
  </si>
  <si>
    <t>95617-90P</t>
  </si>
  <si>
    <t>Matthew Arnold</t>
  </si>
  <si>
    <t>Mr. Matthew Arnold serves as Global Head, Impact Finance and Markets at The Nature Conservancy. He served as Managing Director and Global Head of Sustainable Finance at JPMorgan Chase. Previously, he served as a Partner of Sustainable Business Solutions at PwC. He co-founded Sustainable Finance Ltd, which was acquired by PwC in December 2008. He was also Chief Operating Officer at the World Resources Institute, a sustainable development think tank. He has held positions in marketing with IBM, investment banking with Merrill Lynch, and in business development with Santa Fe Trading, Hong Kong. He founded the Management Institute for Environment and Business, which was a pioneer in presenting environmental challenges as business opportunities to companies and business schools. He holds an AB degree in Psychobiology from Harvard College, an MA in International Relations from Johns Hopkins University, and an MBA from Harvard Business School.</t>
  </si>
  <si>
    <t>matthew.arnold@tnc.org</t>
  </si>
  <si>
    <t>Global Head, Impact Finance and Markets, The Nature Conservancy</t>
  </si>
  <si>
    <t>164396-80P</t>
  </si>
  <si>
    <t>Melissa Weigel</t>
  </si>
  <si>
    <t>Weigel</t>
  </si>
  <si>
    <t>Ms. Melissa Weigel serves as Managing Director of capital Raising, Impact Finance, and Markets at NatureVest. She works closely with the Director of Investment Partnerships, product leads and fundraisers across the Conservancy to raise money for NatureVest's conservation impact investment products. Before this, she spent 4 years working as a member of the Conservancy's development teams in Pennsylvania and New York, where she successfully stewarded major donors in support of the Conservancy's global work. Before her work at the Conservancy, she served as an Account Executive for Schultz &amp; Williams, a consulting firm that specializes in nonprofits. At Schultz &amp; Williams, she worked with several organizations, including the Planetary Society, the Cornell Lab of Ornithology, and the Wildlife Conservation Society.</t>
  </si>
  <si>
    <t>mweigel@tnc.org</t>
  </si>
  <si>
    <t>Managing Director, Capital Raising, Impact Finance and Markets</t>
  </si>
  <si>
    <t>380669-86P</t>
  </si>
  <si>
    <t>Slav Gatchev</t>
  </si>
  <si>
    <t>Slav</t>
  </si>
  <si>
    <t>Gatchev</t>
  </si>
  <si>
    <t>Mr. Slav Gatchev serves as Managing Director of sustainable Debt at NatureVest. He holds an MBA with honours from New York University's Stern School of Business.</t>
  </si>
  <si>
    <t>slav.gatchev@tnc.org</t>
  </si>
  <si>
    <t>Managing Director, Sustainable Debt</t>
  </si>
  <si>
    <t>244710-73P</t>
  </si>
  <si>
    <t>Azeez Mohammed Ph.D</t>
  </si>
  <si>
    <t>Azeez</t>
  </si>
  <si>
    <t>Neotribe Ventures</t>
  </si>
  <si>
    <t>Dr. Azeez Mohammed serves as Venture Advisor &amp; Executive-in-Residence at Neotribe Ventures. He served as President &amp; Chief Executive Officer at Covanta Holding. He served as a Senior Advisor at GiantLeap Capital. Before he formed Giantleap, he was a GE Corporate officer and President &amp; CEO of GE Power Conversion, a global electrification business with $2 billion in revenue and employed 8000 people, operating in 110 countries. Before this, he led the $4 billion GE Power Services businesses for the Middle East and Africa where he addressed operational challenges through the application of Lean manufacturing and Six Sigma operating playbook while opening $2 billion of growth businesses in Algeria, Iraq, and Nigeria. On behalf of the Vice-Chairman of GE, he had also been a business transformation leader for a $20 billion Energy Services business where he led a team of 300 people for 2 years to completely restructure and stabilize the fastest-growing Gas Turbine services business. A common thread throughout his career of successful turnarounds and growth has been the utilization of aftermarket services and digital transformation.</t>
  </si>
  <si>
    <t>+1 (800) 950-8749</t>
  </si>
  <si>
    <t>amohammed@reworldwaste.com</t>
  </si>
  <si>
    <t>Morristown</t>
  </si>
  <si>
    <t>Morristown, NJ</t>
  </si>
  <si>
    <t>445 South Street</t>
  </si>
  <si>
    <t>07960</t>
  </si>
  <si>
    <t>GiantLeap Capital (Former)</t>
  </si>
  <si>
    <t>310317-67P</t>
  </si>
  <si>
    <t>Mary Geddling</t>
  </si>
  <si>
    <t>Geddling</t>
  </si>
  <si>
    <t>Ms. Mary Geddling serves as Executive Assistant &amp; Operations Manager at Neotribe Ventures. Ms. Geddling brings experience from previous roles at Gryphon Investors, Mach49, SignalFx and Foundation Capital. Mary Geddling holds a City College of San Francisco. she holds degree from City College of San Francisco.</t>
  </si>
  <si>
    <t>+1 (650) 468-4221</t>
  </si>
  <si>
    <t>mgeddling@neotribe.vc</t>
  </si>
  <si>
    <t>1300 El Camino Real</t>
  </si>
  <si>
    <t>Executive Assistant &amp; Operations Manager</t>
  </si>
  <si>
    <t>228244-87P</t>
  </si>
  <si>
    <t>Neeraj Hablani</t>
  </si>
  <si>
    <t>Hablani</t>
  </si>
  <si>
    <t>Mr. Neeraj Hablani serves as Partner at Neotribe Ventures. He serves as Board Member at Yoodli. He serves as Board Member at Quattr and BinIT. He serves as Board Member at Vexev. Neeraj brings an operational and engineering mindset to his role at Neotribe. His primary focus is the early-stage practice where he leads investments in a wide range of technology sectors. Neeraj serves on the board of companies in the enterprise IT, federated learning, computer vision, and medical imaging domains. Neeraj spent the early part of his career on upstart teams at Microsoft and Google.</t>
  </si>
  <si>
    <t>+1 (786) 505-4888</t>
  </si>
  <si>
    <t>nhablani@neotribe.vc</t>
  </si>
  <si>
    <t>317474-11P</t>
  </si>
  <si>
    <t>Nitin Chopra</t>
  </si>
  <si>
    <t>Nitin</t>
  </si>
  <si>
    <t>Chopra</t>
  </si>
  <si>
    <t>Mr. Nitin Chopra serves as Managing Director at Neotribe Ventures. Mr. Chopra has a unique experience as a technologist, product leader, and investor. Before joining Neotribe, he was a Managing Director at Shasta Ventures. His career spans product management and business development roles in enterprise software and semiconductors. He serves as a Board Member at ISARA and 1touch.io.</t>
  </si>
  <si>
    <t>nchopra@neotribe.vc</t>
  </si>
  <si>
    <t>212313-61P</t>
  </si>
  <si>
    <t>Rebecca Mitchem</t>
  </si>
  <si>
    <t>Mitchem</t>
  </si>
  <si>
    <t>Ms. Rebecca Mitchem serves as a Partner at Neotribe Ventures. She served as Executive Director, Private Equity Group at J.P. Morgan Securities. She also served as Board Member at ClearMotion. She previously served as Executive Officer at J.P. Morgan Securities and Board Member at Top Aces. Prior to joining the Group, she was a member of the Multi-Asset Solutions team in JP Morgan Asset Management. An employee since 2011, Ms. Mitchem also worked for the Global Liquidity team in the New York, London, and Frankfurt offices. She received her BS in Applied Economics and Management, cum laude, from Cornell University. Ms. Mitchem is a CFA charter holder and a member of the CFA Institute. She has completed her FINRA Series 7 and Series 63 Certifications.</t>
  </si>
  <si>
    <t>rmitchem@neotribe.vc</t>
  </si>
  <si>
    <t>45663-49P</t>
  </si>
  <si>
    <t>Steven Bragonier</t>
  </si>
  <si>
    <t>Bragonier</t>
  </si>
  <si>
    <t>Chief Financial Officer &amp; Founder</t>
  </si>
  <si>
    <t>Mr. Steven Bragonier is a Co-Founder and serves as Chief Financial Officer at Neotribe Ventures. He also serves as Chief Financial Officer at Sentons. He served as Chief Financial Officer at Gainspeed. He has over 25 years of experience providing strong financial management to Silicon Valley high-tech companies. For the last ten years, Steve has had his financial consulting practice assisting start-ups in establishing proper financial controls and measurements, implementing effective financial planning, and raising capital. During this period, Steve joined two of these firms in full-time executive roles. He worked as Vice President of Finance at Telegent Systems, a fabless semiconductor business that grew from $0 to $200M in three years and was acquired by Spreadtrum. He also served as CFO at Neoteris which was acquired by Netscreen. Netscreen was subsequently acquired by Juniper, and Steve led the integration efforts during both acquisitions. Previously, Steve spent many years with Silicon Graphics, assisting in its growth from a startup to a large, public, multi-national corporation with revenues of over $4 billion. During his tenure at SGI, Steve held a variety of positions including Corporate Controller and Director of International Finance located in Geneva Switzerland. Steve started his career with Hewlett-Packard. Steve holds an M.B.A. from the University of Southern California and a B.A. in Economics from Stanford University.</t>
  </si>
  <si>
    <t>sbragonier@neotribe.com</t>
  </si>
  <si>
    <t>13682-35P</t>
  </si>
  <si>
    <t>Swaroop Kolluri</t>
  </si>
  <si>
    <t>Swaroop</t>
  </si>
  <si>
    <t>Mr. Swaroop Kolluri is a Co-Founder &amp; serves as Managing Director at Neotribe Ventures. He is currently an Angel Investor. He also serves as Board Member at Auditoria, Aquarius Energy, Correlia Biosystems, Aira Technologies, Metalenz, BillionToOne, StepZen, Console, Vendia, Theta Lake, Metrika, and ClimateAI. He also serves as an Advisor at Four Rivers Group and Cyence. He previously served as Advisor at Global Ventures (Dubai), and Board Member at ClearMotion, Novatium, Pluribus Networks, Illusive Networks, Heliogen, BillionToOne, Empirico, Metromile, Aerospike, Infiot, and OANDA. He also served as a General Partner at New Enterprise Associates (NEA) and as Board Member for Energy Vault Holdings. Prior to NEA, he held executive roles at Juniper Networks, NetScreen, and Neoteris, including Executive VP and GM, GM of Secure Access Products, and President and CEO. He co-founded Healtheon/WebMD, where he held various senior leadership roles, and began his career at Silicon Graphics, Inc. (SGI). He earned a B.Tech. in Mechanical Engineering from the Indian Institute of Technology, Madras, and an M.S. in Operations Research from the State University of New York at Buffalo.</t>
  </si>
  <si>
    <t>swaroop@neotribe.vc</t>
  </si>
  <si>
    <t>317147-32P</t>
  </si>
  <si>
    <t>Tracy Xie</t>
  </si>
  <si>
    <t>Ms. Tracy Xie serves as Controller at Neotribe Ventures.</t>
  </si>
  <si>
    <t>+1 (408) 732-9000</t>
  </si>
  <si>
    <t>txie@neotribe.vc</t>
  </si>
  <si>
    <t>327019-96P</t>
  </si>
  <si>
    <t>Liz Ditchburn</t>
  </si>
  <si>
    <t>Ditchburn</t>
  </si>
  <si>
    <t>Net Zero Technology Centre</t>
  </si>
  <si>
    <t>Ms. Liz Ditchburn serves as Audit Committee Chair at Net Zero Technology Centre. She also serves as a Trustee at Nesta. She has more than three decades of experience in the UK civil service and devolved administrations in both domestic and international settings. Most recently, she was Director General for Economy for the Scottish Government, leading all aspects of the economy and the drive towards net zero in Scotland. Previously, she was the Policy Director of the Department for International Development (now Foreign, Commonwealth and Development Office) and its first Value for Money Director. Across her executive career she has worked to integrate economic, social and environmental change to secure better outcomes for people, place and planet.</t>
  </si>
  <si>
    <t>+44 (0)12 2406 3200</t>
  </si>
  <si>
    <t>20 Queens Road</t>
  </si>
  <si>
    <t>AB15 4ZT</t>
  </si>
  <si>
    <t>Audit Committee Chair</t>
  </si>
  <si>
    <t>309636-64P</t>
  </si>
  <si>
    <t>Mark Anderson</t>
  </si>
  <si>
    <t>Mr. Mark Anderson serves as a Chief Acceleration Officer and TeckX Director at Net Zero Technology Centre. He began his career with Procter &amp; Gamble in 1991, before spending 25 years in strategy consulting and corporate advisory. Before joining the Net Zero Technology Centre in March 2021, he co-founded two technology businesses alongside his advisory work, in which he focused on raising funds for start-ups and developing their business strategies, leading commercial due diligence for finance houses, and advising large corporates on strategy and M&amp;A. He holds a Master's degree in Engineering from Oxford University and a Master's degree in Environmental Technology and Energy Policy from Imperial College, London.</t>
  </si>
  <si>
    <t>mark.anderson@netzerotc.com</t>
  </si>
  <si>
    <t>Chief Acceleration Officer &amp; TechX Director</t>
  </si>
  <si>
    <t>345081-97P</t>
  </si>
  <si>
    <t>Myrtle Dawes</t>
  </si>
  <si>
    <t>Myrtle</t>
  </si>
  <si>
    <t>Dawes</t>
  </si>
  <si>
    <t>Ms. Myrtle Dawes serves as Chief Executive Officer at Net Zero Technology Centre. She is a non-executive board member of FirstGroup, a non-executive board member of the Centre for Process Innovation, an advisory board member for the Association of Black and Minority Engineers, and sits on the Technology Leadership Board. She holds a Masters's in Chemical Engineering and Chemical Technology from Imperial College. She is a Fellow of the Institute of Chemical Engineers, Fellow of the Energy Institute, Fellow of the Forward Institute, and Honorary Fellow of the Association of Project Managers.</t>
  </si>
  <si>
    <t>myrtle.dawes@ogtc.com</t>
  </si>
  <si>
    <t>343769-41P</t>
  </si>
  <si>
    <t>Rebecca Allison</t>
  </si>
  <si>
    <t>Ms. Rebecca Allison serves as a Chief Operations Officer at Net Zero Technology Centre.</t>
  </si>
  <si>
    <t>rebecca.allison@netzerotc.com</t>
  </si>
  <si>
    <t>314060-77P</t>
  </si>
  <si>
    <t>Alberto Greppi</t>
  </si>
  <si>
    <t>Greppi</t>
  </si>
  <si>
    <t>NEVA SGR</t>
  </si>
  <si>
    <t>Mr. Alberto Greppi serves as Senior Investor at NEVA SGR.</t>
  </si>
  <si>
    <t>alberto.greppi@nevasgr.com</t>
  </si>
  <si>
    <t>Turin</t>
  </si>
  <si>
    <t>Turin, Italy</t>
  </si>
  <si>
    <t>Corso Castelfidardo, 22</t>
  </si>
  <si>
    <t>Torino</t>
  </si>
  <si>
    <t>10128</t>
  </si>
  <si>
    <t>Senior Investor</t>
  </si>
  <si>
    <t>314060-95P</t>
  </si>
  <si>
    <t>Cosimo Scarinci</t>
  </si>
  <si>
    <t>Cosimo</t>
  </si>
  <si>
    <t>Scarinci</t>
  </si>
  <si>
    <t>Mr. Cosimo Scarinci serves as Investor at NEVA SGR.</t>
  </si>
  <si>
    <t>cosimo.scarinci@nevasgr.com</t>
  </si>
  <si>
    <t>309318-49P</t>
  </si>
  <si>
    <t>Elena Bertola</t>
  </si>
  <si>
    <t>Bertola</t>
  </si>
  <si>
    <t>Ms. Elena Bertola serves as Executive Assistant to the CEO and President at NEVA SGR.</t>
  </si>
  <si>
    <t>elena.bertola@nevasgr.com</t>
  </si>
  <si>
    <t>Executive Assistant to the CEO and President</t>
  </si>
  <si>
    <t>243452-89P</t>
  </si>
  <si>
    <t>Francesco Fontana Ph.D</t>
  </si>
  <si>
    <t>Dr. Francesco Fontana serves as Principal at NEVA SGR. He served as Associate &amp; Research Lead at Claris Ventures. He holds a double degree in engineering from Politecnico di Torino and Politecnico di Milano, and an MBA from the Collège des Ingénieurs. He is currently pursuing a Ph.D. in entrepreneurial finance with a focus on econometric models to explore unconventional investment strategies. Prior to joining Claris Ventures, he gained international working experience in multinational companies.</t>
  </si>
  <si>
    <t>francesco.fontana@nevasgr.com</t>
  </si>
  <si>
    <t>284772-70P</t>
  </si>
  <si>
    <t>Gaetano Micciche</t>
  </si>
  <si>
    <t>Gaetano</t>
  </si>
  <si>
    <t>Micciche</t>
  </si>
  <si>
    <t>Mr. Gaetano Micciche serves as Director at NEVA SGR. He is the Chairman of IMI Corporate &amp; Investment Banking Division and International Subsidiary Banks Division of Intesa Sanpaolo S.p.A.</t>
  </si>
  <si>
    <t>284772-07P</t>
  </si>
  <si>
    <t>Guido de Vecchi</t>
  </si>
  <si>
    <t>de Vecchi</t>
  </si>
  <si>
    <t>Mr. Guido De Vecchi serves as Director at NEVA SGR. He also serves as Managing Director of SIREF Fiduciaria S.p.A..</t>
  </si>
  <si>
    <t>362863-63P</t>
  </si>
  <si>
    <t>Kashif Siddiqui</t>
  </si>
  <si>
    <t>Kashif</t>
  </si>
  <si>
    <t>Mr. Kashif Siddiqui serves as Senior Investor at NEVA SGR.</t>
  </si>
  <si>
    <t>kashif.siddiqui@nevasgr.com</t>
  </si>
  <si>
    <t>197951-23P</t>
  </si>
  <si>
    <t>Liliana Nordbakk</t>
  </si>
  <si>
    <t>Nordbakk</t>
  </si>
  <si>
    <t>Ms. Liliana Nordbakk serves as Board Member at Nuclidium. she serves as Partner at NEVA SGR. She served as a Member of Band of Angels.</t>
  </si>
  <si>
    <t>liliana.nordbakk@nevasgr.com</t>
  </si>
  <si>
    <t>Basel</t>
  </si>
  <si>
    <t>Basel, Switzerland</t>
  </si>
  <si>
    <t>Im Erasmushaus</t>
  </si>
  <si>
    <t>Bäumleingasse 18</t>
  </si>
  <si>
    <t>4051</t>
  </si>
  <si>
    <t>Nuclidium</t>
  </si>
  <si>
    <t>314061-13P</t>
  </si>
  <si>
    <t>Luca Saldì</t>
  </si>
  <si>
    <t>Saldì</t>
  </si>
  <si>
    <t>Mr. Luca Saldì serves as Investor at NEVA SGR.</t>
  </si>
  <si>
    <t>luca.saldi@nevasgr.com</t>
  </si>
  <si>
    <t>207524-71P</t>
  </si>
  <si>
    <t>Marco Di Miceli</t>
  </si>
  <si>
    <t>Di Miceli</t>
  </si>
  <si>
    <t>Mr. Marco Di Miceli serves as Partner at NEVA SGR. He serves as a Partner, Key Man, and Investment Committee Member of NEVA FIRST and NEVA FIRST ITALIA FUNDS at NEVA SGR. He co-founded and served as a Partner at Sequitur Capital. He also served as Senior Advisor at Alcedo. He started his career in 1996 at SDA Bocconi School of Management working on several post-graduate courses, including the Master in Business Administration. In 1998, he joined Bankers Trust where he was involved in transactions for industrial companies and utilities as a member of the Italian Investment Banking team. After the acquisition by Deutsche Bank, he moved to London, where he worked on a wide range of transactions for clients in the healthcare industry. Since 2003 he has worked on SMEs, as an M&amp;A advisor until 2006 and in Private Equity thereafter. He was a board member of Alcedo III's portfolio company Gimi from 2008 to 2013 jointly working with Alcedo and then joined the Team in 2014 to cooperate in the raising of the new Fund. He graduated in Economics from the Bocconi University of Milan.</t>
  </si>
  <si>
    <t>marco.dimiceli@nevasgr.com</t>
  </si>
  <si>
    <t>203031-19P</t>
  </si>
  <si>
    <t>Mario Costantini</t>
  </si>
  <si>
    <t>Costantini</t>
  </si>
  <si>
    <t>Mr. Mario Costantini serves as Chief Executive Officer, Head of Investment &amp; Board Member at NEVA SGR.</t>
  </si>
  <si>
    <t>mario.costantini@nevasgr.com</t>
  </si>
  <si>
    <t>Chief Executive Officer, Head of Investment &amp; Board Member</t>
  </si>
  <si>
    <t>183127-33P</t>
  </si>
  <si>
    <t>Massimo Proverbio</t>
  </si>
  <si>
    <t>Proverbio</t>
  </si>
  <si>
    <t>Mr. Massimo Proverbio serves as Chief Data, AI and Technology Officer at Intesa Sanpaolo. He serves as Director at NEVA SGR. After earning his Bachelor of Engineering degree at Politecnico di Milano University in 1985, he joined IBM as a system engineer. In 1988, he entered Accenture Italia as a project manager within the banking sector, focusing on the branch network. From 1991 to 1994 he worked for Accenture in Belgium, Hungary, and South Africa managing IT systems architecture, IT transformation, and merger planning projects. In 1994, he returned to Accenture Italia and in 1999 he managed planning and integration projects regarding the main Italian banking groups, in addition to cost reduction and multi-channel solutions and core banking systems set-up projects. In 1999, he was appointed as an Accenture Partner. Since that year he became responsible for various Accenture clients and led different Accenture offer areas development, like Merger and Acquisition, Digital transformation, and CRM and Cost restructuring. Starting in 2003 he also took on the Italian Banking industry responsibility (offer, service quality, customer satisfaction). In 2007, he was appointed Accenture Financial Services (Banks and Insurance) Lead for Italy, Central Europe, Russia, Greece, Turkey, and the Middle East and entered the Accenture Italia and Accenture Financial Services Europe and Latin America Executive Committees. In 2012, he was nominated Accenture Senior Managing Director and also became Accenture Payment Services Global Lead; then, in 2015, he was appointed as Europe and Latin America Banking Industry and Practice Lead. In December 2017, he left Accenture to join Intesa Sanpaolo.</t>
  </si>
  <si>
    <t>+39 01 1555 1</t>
  </si>
  <si>
    <t>massimo.proverbio@intesasanpaolo.com</t>
  </si>
  <si>
    <t>Piazza San Carlo, 156</t>
  </si>
  <si>
    <t>10121</t>
  </si>
  <si>
    <t>Chief Data, A.I. and Technology Officer</t>
  </si>
  <si>
    <t>Intesa Sanpaolo</t>
  </si>
  <si>
    <t>302236-39P</t>
  </si>
  <si>
    <t>Matteo Colombo</t>
  </si>
  <si>
    <t>Mr. Matteo Colombo serves as ESG Team Manager and Research and Innovation at NEVA SGR.</t>
  </si>
  <si>
    <t>matteo.colombo@nevasgr.com</t>
  </si>
  <si>
    <t>ESG Team Manager and Research and Innovation</t>
  </si>
  <si>
    <t>220729-96P</t>
  </si>
  <si>
    <t>Matteo Gallo</t>
  </si>
  <si>
    <t>Gallo</t>
  </si>
  <si>
    <t>Mr. Matteo Gallo serves as Key man and Investment Committee Member of SVILUPPO ECOSISTEMI di INNOVAZIONE fund at NEVA SGR. He serves as Board Member at Bio4Dreams .He co-founded and served as Advisor at MiaCar. He is a Co-Founder &amp; serves as Advisory at Axieme. He is a Co-Founder at Feat. Ventures. He co-founded Talent Garden.</t>
  </si>
  <si>
    <t>matteo.gallo@nevasgr.com</t>
  </si>
  <si>
    <t>Key man and Investment Committee Member of SVILUPPO ECOSISTEMI di INNOVAZIONE fund</t>
  </si>
  <si>
    <t>285434-11P</t>
  </si>
  <si>
    <t>Maurizio Cortese</t>
  </si>
  <si>
    <t>Maurizio</t>
  </si>
  <si>
    <t>Cortese</t>
  </si>
  <si>
    <t>Mr. Maurizio Cortese served as Chief Executive Officer at Intesa Sanpaolo Smart Care. He serves as Business Development Director at NEVA SGR.</t>
  </si>
  <si>
    <t>maurizio.cortese@nevasgr.com</t>
  </si>
  <si>
    <t>446876-74P</t>
  </si>
  <si>
    <t>Monica Volpin</t>
  </si>
  <si>
    <t>Volpin</t>
  </si>
  <si>
    <t>Ms. Monica Volpin serves as Principal at NEVA SGR.</t>
  </si>
  <si>
    <t>monica.volpin@nevasgr.com</t>
  </si>
  <si>
    <t>228210-31P</t>
  </si>
  <si>
    <t>Paola Angeletti</t>
  </si>
  <si>
    <t>Angeletti</t>
  </si>
  <si>
    <t>Board Member &amp; Vice Chairman</t>
  </si>
  <si>
    <t>Ms. Paola Angeletti serves as Chief Sustainability Officer at Intesa Sanpaolo. She serves as Deputy Vice-Chairman &amp; Board Member of NEVA SGR. Before graduation, she spent a semester at New York University and then began her working experience in the credit department of the Italian branch of a US commercial bank. After graduation, she worked in advisory and corporate finance in a consultancy firm and then in a UK investment bank. In 1994, she joined the Group as a Senior Investment Manager for the Merchant Banking Department of Mediocredito Lombardo and then within the Private Equity Department of IntesaBci. In 2002, she was appointed Head of Corporate Development in the Shareholdings Department of Banca Intesa. From 2007 to 2014, within the General Secretariat of the Intesa Sanpaolo Supervisory Board, she was Head of the Unit with planning and technical support functions to the Board and its Committees (Strategy Committee, Remuneration Committee, Financial Statements Committee, Related Party Transactions Committee, Control Committee, Supervisory Body ex D.Lgs. 231/01). In 2015, she became Head of the M&amp;A Department of Intesa Sanpaolo and, in this role, she completed many extraordinary transactions, disposals, and acquisitions relating to banks, financial and operating companies in Italy and abroad. In 2018, she broadened her responsibility as Head of the Shareholdings Department. In 2019, she became Head of the International Subsidiary Banks Division, coordinating 11 banks in Central-Eastern Europe and in North Africa, with 22,000 people, 1,000 branches, and over 7 million customers. Over the years, she has been a board director of many companies of the Group engaged in leasing, consumer finance, and banking. She graduated 'cum laude' in Economics at the Bocconi University in 1989.</t>
  </si>
  <si>
    <t>paola.angeletti@intesasanpaolo.com</t>
  </si>
  <si>
    <t>355074-94P</t>
  </si>
  <si>
    <t>Paola Papanicolaou</t>
  </si>
  <si>
    <t>Papanicolaou</t>
  </si>
  <si>
    <t>Ms. Paola Papanicolaou serves as Head Division of the International Subsidiary Banks of Intesa Sanpaolo at Intesa Sanpaolo. She serves as Investment Committee Member, Neva First Fund at NEVA SGR. She was former deputy head of division and has gained extensive experience of technological innovation in the group in recent years.</t>
  </si>
  <si>
    <t>paola.papanicolaou@intesasanpaolo.com</t>
  </si>
  <si>
    <t>Head Division of the International Subsidiary Banks of Intesa Sanpaolo</t>
  </si>
  <si>
    <t>284771-71P</t>
  </si>
  <si>
    <t>Paolo Bonassi</t>
  </si>
  <si>
    <t>Bonassi</t>
  </si>
  <si>
    <t>Mr. Paolo Bonassi serves as Director at NEVA SGR. He is Head of the Strategic Support Department of Intesa Sanpaolo S.p.A..</t>
  </si>
  <si>
    <t>206467-48P</t>
  </si>
  <si>
    <t>Aneri Pradhan</t>
  </si>
  <si>
    <t>New Energy Nexus</t>
  </si>
  <si>
    <t>Ms. Aneri Pradhan serves as Chief Operating Officer at New Energy Nexus. She Co-Founded and served as Chief Executive Officer and Board Member at ENVision mobile. She is the Founder and Executive Director of ENVenture, an award-winning incubator that finances and trains rural cooperatives in Uganda to start clean energy businesses. She has over 10 years of experience working in 15 countries in Africa and Asia on last mile technology adoption, focusing on clean energy entrepreneurship and fintech. She formerly worked at Facebook on their Sustainability and Connectivity Lab, prototyping new social impact technologies. Previously, she served as an Energy Access Officer at the United Nations Foundation, spearheading grassroots entrepreneur mobilization for the UN Sustainable Energy for All Initiative. She is a Renewable Energy Worlds Top 40 under 40 in solar, winner of the Vodafone Wireless Innovation Prize, an American Express Emerging Innovator, Wild Gift Fellow, member of Forbes Nonprofit Council, and recipient of the Global Social Benefit Incubator. She has a Masters in Environment &amp; Development from the London School of Economics and a Bachelors from the University of North Carolina at Chapel Hill.</t>
  </si>
  <si>
    <t>aneri.pradhan@newenergynexus.com</t>
  </si>
  <si>
    <t>417265-66P</t>
  </si>
  <si>
    <t>Brenda Valerio</t>
  </si>
  <si>
    <t>Ms. Brenda Valerio serves as Program Director at New Energy Nexus.</t>
  </si>
  <si>
    <t>brenda.valerio@newenergynexus.com</t>
  </si>
  <si>
    <t>200839-69P</t>
  </si>
  <si>
    <t>Christina Borsum</t>
  </si>
  <si>
    <t>Borsum</t>
  </si>
  <si>
    <t>Ms. Christina Borsum serves as Chief Financial Officer at New Energy Nexus. She also served as Chief Financial Officer at CalCEF Clean Energy Venture Fund.</t>
  </si>
  <si>
    <t>christina.borsum@newenergynexus.com</t>
  </si>
  <si>
    <t>36384-40P</t>
  </si>
  <si>
    <t>Danny Kennedy</t>
  </si>
  <si>
    <t>Mr. Danny Kennedy is a Co-Founder and serves as an Advisor at Boon. He serves as a Senior Advisor at Wollemi Capital. He also serves as Director of the Energy Laboratory. He is a Director at EnergyLab. He serves as a Venture Partner at New Energy Nexus. He was a Co-Founder of Powerhouse Ventures (Oakland). He co-founded and served as Strategic Advisor at Sungevity. He serves as a Board Member at Powerhive. He served as a Board Member at Mosaic. He did his BS in Political Science from Macquarie University in 1994.</t>
  </si>
  <si>
    <t>+91 (0)74 1194 4645</t>
  </si>
  <si>
    <t>Gurgaon</t>
  </si>
  <si>
    <t>Gurgaon, India</t>
  </si>
  <si>
    <t>Plot Number 763, Udyog Vihar</t>
  </si>
  <si>
    <t>Phase 5</t>
  </si>
  <si>
    <t>Haryana</t>
  </si>
  <si>
    <t>122008</t>
  </si>
  <si>
    <t>216630-10P</t>
  </si>
  <si>
    <t>Diyanto Imam</t>
  </si>
  <si>
    <t>Diyanto</t>
  </si>
  <si>
    <t>Mr. Diyanto Imam serves as Program Director at New Energy Nexus.</t>
  </si>
  <si>
    <t>diyanto.imam@newenergynexus.com</t>
  </si>
  <si>
    <t>417264-13P</t>
  </si>
  <si>
    <t>Doosughun Takur</t>
  </si>
  <si>
    <t>Doosughun</t>
  </si>
  <si>
    <t>Takur</t>
  </si>
  <si>
    <t>Ms. Doosughun Takur serves as Director of Programs at New Energy Nexus.</t>
  </si>
  <si>
    <t>doosughun.takur@newenergynexus.com</t>
  </si>
  <si>
    <t>Director of Programs</t>
  </si>
  <si>
    <t>109497-79P</t>
  </si>
  <si>
    <t>Henri Eeghen</t>
  </si>
  <si>
    <t>Eeghen</t>
  </si>
  <si>
    <t>Mr. Henri Eeghen serves as Chief Executive Officer at New Energy Nexus. Mr. Eeghen served as Interim Chief Executive Officer at Stronghold Group.</t>
  </si>
  <si>
    <t>henri.eeghen@newenergynexus.com</t>
  </si>
  <si>
    <t>320771-53P</t>
  </si>
  <si>
    <t>Joy Larson</t>
  </si>
  <si>
    <t>Joy</t>
  </si>
  <si>
    <t>Ms. Joy Larson serves as Director at CalSEED. She serves as Program Director, CalSEED at New Energy Nexus.</t>
  </si>
  <si>
    <t>joy.larson@newenergynexus.com</t>
  </si>
  <si>
    <t>436 14th Street</t>
  </si>
  <si>
    <t>CalSEED</t>
  </si>
  <si>
    <t>278669-71P</t>
  </si>
  <si>
    <t>Julius Mujuni</t>
  </si>
  <si>
    <t>Mujuni</t>
  </si>
  <si>
    <t>Mr. Julius Mujuni serves as Country Director at New Energy Nexus.</t>
  </si>
  <si>
    <t>julius.mujuni@newenergynexus.com</t>
  </si>
  <si>
    <t>Country Director</t>
  </si>
  <si>
    <t>278669-62P</t>
  </si>
  <si>
    <t>Kate Frucher</t>
  </si>
  <si>
    <t>Frucher</t>
  </si>
  <si>
    <t>Ms. Kate Frucher is a Co-Founder and serves as Managing Director &amp; Board Member at The Clean Fight. Ms. Kate Frucher serves as Managing Director at New Energy Nexus.</t>
  </si>
  <si>
    <t>kate@thecleanfight.com</t>
  </si>
  <si>
    <t>43 West 23rd Street</t>
  </si>
  <si>
    <t>Co-Founder, Managing Director &amp; Board Member</t>
  </si>
  <si>
    <t>The Clean Fight</t>
  </si>
  <si>
    <t>278669-17P</t>
  </si>
  <si>
    <t>Nalin Agarwal</t>
  </si>
  <si>
    <t>Mr. Nalin Agarwal serves as Program Director, India at New Energy Nexus.</t>
  </si>
  <si>
    <t>nalin.agarwal@newenergynexus.com</t>
  </si>
  <si>
    <t>Program Director, India</t>
  </si>
  <si>
    <t>338484-34P</t>
  </si>
  <si>
    <t>Stanley Ng</t>
  </si>
  <si>
    <t>Stanley</t>
  </si>
  <si>
    <t>Mr. Stanley Ng serves as Program Director, SEA Singapore at New Energy Nexus.</t>
  </si>
  <si>
    <t>stanley.ng@newenergynexus.com</t>
  </si>
  <si>
    <t>Program Director, SEA Singapore</t>
  </si>
  <si>
    <t>13144-33P</t>
  </si>
  <si>
    <t>Thatcher Bell</t>
  </si>
  <si>
    <t>Thatcher</t>
  </si>
  <si>
    <t>Mr. Thatcher Bell is a Co-Founder and serves as Board Member at CoVenture. He serves as Head of Programs at The Clean Fight. Mr. Bell served on the Board of Directors at NY Tech MeetUp. He served as an Advisor at Red Bear Angels. He serves as Head of Programs, New York at New Energy Nexus. He served as an Advisor at CultureIQ. He served as a Board Member at Lumetra. He is also the Investor-in-Residence at Cornell Tech. He serves as a Fund Advisor at BR Venture Fund. He served as a Venture Partner at Gotham Ventures. He also serves as a board member at LendKey Technologies. He works closely with DFJ Gotham portfolio companies SinglePlatform, Sailthru, AdStruc, Fynanz, Solvate, Altruik, Lumeta, and Verterra. He is Co-Chair of the New York chapter of Wharton Private Equity Partners. Before joining DFJ Gotham, he was a Senior Analyst at North Hill Ventures, the venture capital affiliate of Capital One Financial, where he was a deal team member for the firm's investments in DealerTrack (NASDAQ: TRAK), Higher One (NYSE: ONE), Compete (acquired by TNS) and Exchange Solutions. He has a B.S. cum laude in Engineering from Cornell University and an M.B.A. with honors from the Wharton School of the University of Pennsylvania. While at Wharton, he was a Summer Associate with Silicon Alley Venture Partners (now GSA Venture Partners) in New York, an early-stage technology venture capital firm.</t>
  </si>
  <si>
    <t>+1 (305) 494-4856</t>
  </si>
  <si>
    <t>thatcher@coventure.vc</t>
  </si>
  <si>
    <t>437 Madison Avenue</t>
  </si>
  <si>
    <t>Suite 2001</t>
  </si>
  <si>
    <t>Treville Capital Group</t>
  </si>
  <si>
    <t>278669-53P</t>
  </si>
  <si>
    <t>Yeni Tjiunardi</t>
  </si>
  <si>
    <t>Yeni</t>
  </si>
  <si>
    <t>Tjiunardi</t>
  </si>
  <si>
    <t>Ms. Yeni Tjiunardi serves as Managing Director &amp; Partner at New Energy Nexus Ventures. She served as Chief Investment Officer &amp; Managing Director at New Energy Nexus. She has strategic analysis, origination, and implementation experience in energy projects and low-carbon solutions across the Asia Pacific region. Her background includes key positions at multinational utility companies such as Engie and the AES Corporation, where she contributed significantly to climate change mitigation projects, certified emission reduction transactions, and the development of Independent Power Producer (IPP) electricity projects. She holds a CFA and an MBA from the National University of Singapore (NUS).</t>
  </si>
  <si>
    <t>ytjiunardi@newenergynexus.ventures</t>
  </si>
  <si>
    <t>8 Marina View, Asia Square Tower 1</t>
  </si>
  <si>
    <t>Suite 43-01</t>
  </si>
  <si>
    <t>018960</t>
  </si>
  <si>
    <t>New Energy Nexus Ventures</t>
  </si>
  <si>
    <t>41962-24P</t>
  </si>
  <si>
    <t>Aaron Jacobson</t>
  </si>
  <si>
    <t>New Enterprise Associates</t>
  </si>
  <si>
    <t>Mr. Aaron Jacobson serves as a Partner at New Enterprise Associates. He serves as Board Director at Second Front Systems. He serves as a Board Observer at WireWheel. He serves as a Board Member at DeltaStream, Tigera, Pulumi, Rapid Robotics, ForAllSecure, Crowdbotics, and Embrace. He served as a Board Observer at StreamSets. Previously, he served as the Principal of the company. He joined NEA as an Associate in 2011 and is focused on information and energy technology investments. He served as a Board Member at Bitglass DreamFactory and Illusive Networks. Before joining NEA, he spent two years at Qatalyst Partners in San Francisco. At Qatalyst, he worked as an Analyst engaged in various M&amp;A transactions, which included the sale of PopCap Games to Electronic Arts, the sale of Riot Games to Tencent, the strategic investment in Go Daddy from KKR / Silver Lake / TCV, the sale of Palm to HP and Conexant's sale to Golden Gate Capital, among others. He held summer positions at Alcatel-Lucent Bell Labs (including with their internal Ventures Group) in Murray Hill, New Jersey, as well as at Lehman Brothers' Investment Banking Division in New York City. He graduated Summa Cum Laude from the Jerome Fisher Program in Management and Technology at the University of Pennsylvania, where he earned a dual Bachelor of Science degree in Economics and Electrical Engineering and a minor in Math.</t>
  </si>
  <si>
    <t>+1 (650) 854-9499</t>
  </si>
  <si>
    <t>ajacobson@nea.com</t>
  </si>
  <si>
    <t>2855 Sand Hill Road</t>
  </si>
  <si>
    <t>+1 (650) 687-1854</t>
  </si>
  <si>
    <t>385406-65P</t>
  </si>
  <si>
    <t>Adit Ghosh</t>
  </si>
  <si>
    <t>Adit</t>
  </si>
  <si>
    <t>Mr. Adit Ghosh serves as an Associate at New Enterprise Associates. He is an Associate on NEA's Healthcare Team focused on life sciences investing. He joined NEA in 2023 after spending two years as an investment banker at Lazard, advising on biopharmaceutical M&amp;A transactions. Previously, he spent time conducting oncology research at Allogene Therapeutics, where he published his work in Cancer Research. He graduated summa cum laude from the Roy and Diana Vagelos Program in Life Sciences and Management at the University of Pennsylvania, where he earned dual degrees in biology and economics from the Wharton School.</t>
  </si>
  <si>
    <t>+1 (646) 677-2777</t>
  </si>
  <si>
    <t>aghosh@nea.com</t>
  </si>
  <si>
    <t>104 5th Avenue</t>
  </si>
  <si>
    <t>19th Floor</t>
  </si>
  <si>
    <t>117286-93P</t>
  </si>
  <si>
    <t>Alex Sharata</t>
  </si>
  <si>
    <t>Sharata</t>
  </si>
  <si>
    <t>Mr. Alex Sharata serves as Partner at New Enterprise Associates. Earlier Mr. Sharata served as Principal there. He was a Co-Founder at Fractal Technology. He served as Managing Partner at A-Level Capital. He served as an Analyst, Private Equity at Vista Equity Partners. A computer science and mathematics major by trade, he seeks opportunities where he can leverage his quantitative skills to help businesses grow. As a freshman, he cofounded the TAMID Group at JHU, which has become one of the largest business groups at Johns Hopkins. As a sophomore, he helped lead A-Level Capital and had the privilege of working with an incredible team, making investments in capital-efficient, early-stage companies. He's pursued experiences ranging from software and research engineering to business development, and most recently, he interned at a VC firm that invests in financial technology companies across emerging markets with up to $3 million per transaction. He also works with Sequoia Capital as an Ambassador to help increase Sequoia's exposure on campus and to bring Sequoia insights and experience to the Hopkins entrepreneurial ecosystem. He graduated from Johns Hopkins University with a Bachelor of Science degree in Computer Science and a minor in Economics. He serves as Board Observer at DeltaStream.</t>
  </si>
  <si>
    <t>asharata@nea.com</t>
  </si>
  <si>
    <t>332259-76P</t>
  </si>
  <si>
    <t>Alexis Contos</t>
  </si>
  <si>
    <t>Contos</t>
  </si>
  <si>
    <t>Ms. Alexis Contos serves as Chief Marketing Officer at New Enterprise Associates. She has led and inspired some of the most powerful and innovative brands in the world. Her experience spans technology, financial, consumer, and venture -- from seed-stage startups to global Fortune 50 companies. Previously, Ms. Contos led global marketing &amp; events for SoftBank Vision Funds as well as brand marketing for companies such as Square, Weebly, Braintree &amp; PayPal.</t>
  </si>
  <si>
    <t>acontos@nea.com</t>
  </si>
  <si>
    <t>20773-81P</t>
  </si>
  <si>
    <t>Ali Behbahani MD</t>
  </si>
  <si>
    <t>Behbahani</t>
  </si>
  <si>
    <t>Dr. Ali Behbahani serves as Partner and Co-Head of Healthcare at New Enterprise Associates. He served as a Board Member at Ivantis, Korro, Tune Therapeutics, and SpyGlass Pharma. He served as a Board Member at Genocea Biosciences &amp; ExploraMed. He served as a Board Member at Prospect Medical and Solace Therapeutics, He serves as a Board Member of Black Diamond Therapeutics, 858 Therapeutics, Stablix Therapeutics, Monte Rosa Therapeutics, and serves as Board Member, Member of Audit Committee &amp; Member of Corporate Governance &amp; Nominating Committee at Oyster Point Pharmaceuticals. He serves as Non-Executive Director at Adaptimmune Therapeutics. He formerly served as a Partner. He has seen the healthcare and innovation ecosystems from nearly every angle, previously holding positions as a Venture Associate at Morgan Stanley Venture Partners, as a consultant in business development at The Medicines Company, and as a Healthcare Investment Banking Analyst at Lehman Brothers. He concurrently earned an MD from The University of Pennsylvania School of Medicine and an MBA from The University of Pennsylvania Wharton School. He serves on the boards of directors of the following companies: Adaptimmune, Arcellx, Cardionomic, CVRx, Genocea, Ivantis, Minerva Surgical, Nevro, and Nkarta. He serves as a director at CRISPR Therapeutics. He conducted basic science research in the fields of viral fusion inhibition and structural proteomics at the National Institutes of Health and Duke University. He concurrently earned his MD degree from The University of Pennsylvania School of Medicine and his MBA degree from The University of Pennsylvania Wharton School, where he graduated with Honors and was a Palmer Scholar. He graduated summa cum laude and received his bachelor's degrees with distinction in Biomedical Engineering, Electrical Engineering, and Chemistry from Duke University.</t>
  </si>
  <si>
    <t>abehbahani@nea.com</t>
  </si>
  <si>
    <t>Partner &amp; Co-Head of Healthcare</t>
  </si>
  <si>
    <t>97941-70P</t>
  </si>
  <si>
    <t>Andrew Schoen</t>
  </si>
  <si>
    <t>Schoen</t>
  </si>
  <si>
    <t>Mr. Andrew Schoen serves as a Partner at New Enterprise Associates. He serves as a Board Member at Clarifai and Aigen. He is a board director or observer for Berkshire Grey (NASDAQ), CCP Games (acquired), Dandelion, Duolingo, Expanse (acquired), IonQ (NYSE), Tamr, and ThreatQ. In addition, he works closely with New Wave Foods, Onshape (acquired), Pentaho (acquired), PlayVS, Pocket (acquired), Rocket Chat, and Timescale. He is also a member of NEA's Asia investing team and is involved with NEA's investments in ByteDance, Xsky, and Zuoyebang. Before joining NEA, He was a member of Blackstone's M&amp;A team in New York. He previously co-founded the digital media company Flicstart (acquired). He was named to the 2018 Forbes 30 Under 30 list in Venture Capital. He serves on the Cornell University Council, and the Advisory Council for Entrepreneurship at Cornell, and is President Emeritus of the Cornell Venture Capital Club. He serves on the Boards of the Diyala Foundation focusing on sustainable development and education and is a Board Member Emeritus of the National Udall Scholarship Association, which focuses on Native American issues and environmental sustainability. He earned his Master of Management Science in Global Affairs as a Schwarzman Scholar at Tsinghua University in Beijing. He completed his Bachelor's with Phi Beta Kappa honors in Economics and Science of Earth Systems in Engineering at Cornell University. He served as Board Member at ThreatQuotient.</t>
  </si>
  <si>
    <t>aschoen@nea.com</t>
  </si>
  <si>
    <t>195356-53P</t>
  </si>
  <si>
    <t>Ann Bordetsky</t>
  </si>
  <si>
    <t>Bordetsky</t>
  </si>
  <si>
    <t>Ms. Ann Bordetsky serves as a Partner at New Enterprise Associates. Ms. Bordetsky serves as an Advisor at January Ventures. She serves as a board observer at Perplexity. She served as an Advisor at Pano. Prior to NEA, she served as Chief Operating Officer of Rival Inc. She was previously Director of Business Development &amp; Strategic Initiatives at Uber. Before Uber, she was the Head of Commerce and Consumer Product Business Development at Twitter and held a variety of business development and GTM roles at the pioneering early-stage marketplace and mobility startups (Wheelz and Better Place). Before joining the world of Tech and Silicon Valley startups, she served in government engagement and federal policy roles in DC at one of the nation's top environmental think tanks. She holds an MBA from Stanford University and a bachelor's degree in environmental science, policy, and management from the University of California, Berkeley.</t>
  </si>
  <si>
    <t>abordetsky@nea.com</t>
  </si>
  <si>
    <t>138332-71P</t>
  </si>
  <si>
    <t>Anna Golynskaya</t>
  </si>
  <si>
    <t>Golynskaya</t>
  </si>
  <si>
    <t>Ms. Anna Golynskaya serves as Managing Director, Capital Solutions at General Atlantic. She also serves as Partner and Head of Capital Formation at New Enterprise Associates. She joined General Atlantic in 2014 and is based in the New York office, where she focuses on the firm's Capital Partnering efforts. Before joining General Atlantic, Ms. Golynskaya worked at Credit Suisse, where she spent over six years in the Private Fund Group helping lead fundraising and secondary advisory assignments for general partners and limited partners. Previously, Ms. Golynskaya was an investment banking analyst in the Global Industrials Group at Credit Suisse. Ms. Golynskaya earned a B.S. in Finance and Accounting from the Stern School of Business at New York University, where she graduated magna cum laude.</t>
  </si>
  <si>
    <t>+1 (212) 715-4000</t>
  </si>
  <si>
    <t>agolynskaya@generalatlantic.com</t>
  </si>
  <si>
    <t>Park Avenue Plaza, 55 East</t>
  </si>
  <si>
    <t>52nd Street, 33rd Floor</t>
  </si>
  <si>
    <t>10055</t>
  </si>
  <si>
    <t>General Atlantic</t>
  </si>
  <si>
    <t>16190-83P</t>
  </si>
  <si>
    <t>Anthony Florence</t>
  </si>
  <si>
    <t>Mr. Anthony Florence serves as Co-Chief Executive Officer at New Enterprise Associates. He serves as Board Member at Weaviate. He served as a Board Member at Proof of Learn. He serves as Board Member at Wonder Group and DataRobot. He also serves as an Executive at Connect Ventures. He serves as Board Member at Maisonette and Burrow. He serves as Board Member at Wizard. He serves as Board Member at Clio. He serves as a Board Member at Duolingo, Koudai, Luminary (Movies, Music, and Entertainment), and The WELL. He served as Board Member at The Yes, Casper Sleep, and IfOnly. He served as Board Member at Wallapop, EVERFI, The YES, Cvent, Casper, Care.com, and Tamara Mellon. He served as a Board Member at Snowplow, Edmodo, and Landit. He focuses on investments in the Internet and software sectors. In addition, he is actively involved in NEA's investing activities in China. He is a Board Member of Care.com (NYSE: CRCM), Cvent (NYSE: CVT), Moda Operandi, Edmodo, Luminary, and EverFi, and was involved in a number of NEA's venture growth equity portfolio companies, including Gilt Groupe. He led the firm's investment in Quidsi (Diapers.com), which was acquired by Amazon in 2011. Before joining NEA, he was a Managing Director at Morgan Stanley was Head of Technology Banking in New York, and was a member of the North American Management Committee for investment banking. He spent over a decade at Morgan Stanley focused on the Technology sector, and also worked with a number of NEA's companies in both IPOs and M&amp;A transactions. He received an MBA and a B.A. in Economics from Dartmouth College. He serves as Co-Chief Executive Officer at Neo Cybernetica. He is an Angel Investor.</t>
  </si>
  <si>
    <t>tflorence@nea.com</t>
  </si>
  <si>
    <t>332273-71P</t>
  </si>
  <si>
    <t>Arjun Jain</t>
  </si>
  <si>
    <t>Mr. Arjun Jain serves as Principal at New Enterprise Associates. Before joining NEA, he was a merchant banker at The Raine Group in New York where he worked on M&amp;A transactions and growth equity investments across the technology, media, and entertainment landscapes globally. While at Raine, he worked on Epic Games' acquisition of Tonic Games, Raine's investment into Foursquare, Foursquare's acquisition of Factual, Placed and Unfolded.ai, Warner Music's IPO, and Netflix's acquisition of the Roald Dahl Story Company. Before Raine, he worked in Sales &amp; Trading at J.P. Morgan, focusing on fixed-income products and derivatives. He graduated from Princeton University with a Bachelor of Arts degree in Economics.</t>
  </si>
  <si>
    <t>ajain@nea.com</t>
  </si>
  <si>
    <t>125471-89P</t>
  </si>
  <si>
    <t>Ashley Mitchell</t>
  </si>
  <si>
    <t>Ms. Ashley Mitchell serves as Director of Marketing at New Enterprise Associates. Ms. Mitchell joined NEA in 2011, where she is currently a Communications and Marketing Manager. She works on NEA brand initiatives including the NEA website, social media communities, content, internal and external events, sponsorships, media opportunities, and speaking engagements. She also partners with portfolio companies on announcements, launches, and events. She enjoys utilizing her written, creative, and event-planning skills to enhance experiences for portfolio companies and the NEA team. Before NEA, She spent six years in the retail sector running high-volume stores for Abercrombie &amp; Fitch and Hollister Co. She led teams of six assistant managers and 100+ part-time associates, managing customer service, visual implementation, sales, and overall growth and development. She earned a B.S. in Business Administration from California Polytechnic State University, San Luis Obispo (Cal Poly) with a concentration in Marketing and a minor in Psychology.</t>
  </si>
  <si>
    <t>ashley@nea.com</t>
  </si>
  <si>
    <t>385407-37P</t>
  </si>
  <si>
    <t>Aya Somai</t>
  </si>
  <si>
    <t>Aya</t>
  </si>
  <si>
    <t>Somai</t>
  </si>
  <si>
    <t>Ms. Aya Somai serves as Associate at New Enterprise Associates. Ms. Somai joined NEA in 2023 as an investor on the Technology team. Previously, she worked at JP Morgan as an investment banking analyst focused on M&amp;A transactions. She graduated from the University of Chicago, where she majored in economics with a specialization in data science, and minored in art history.</t>
  </si>
  <si>
    <t>aya_somai@nea.com</t>
  </si>
  <si>
    <t>385408-00P</t>
  </si>
  <si>
    <t>Ayush Goradia</t>
  </si>
  <si>
    <t>Ayush</t>
  </si>
  <si>
    <t>Goradia</t>
  </si>
  <si>
    <t>Mr. Ayush Goradia serves as an Associate at New Enterprise Associates. He joined NEA in 2023 as an Associate on the Technology team, focusing on enterprise and consumer investments. Prior to joining NEA, He spent two years at Qatalyst Partners, in San Francisco. At Qatalyst, He worked with management teams across software, infra, semiconductors, and fintech. Originally from Houston, He graduated from The University of Texas at Austin with degrees in business honors, finance, and mathematics.</t>
  </si>
  <si>
    <t>agoradia@nea.com</t>
  </si>
  <si>
    <t>74551-78P</t>
  </si>
  <si>
    <t>Blake Wu</t>
  </si>
  <si>
    <t>Mr. Blake Wu serves as a Partner at New Enterprise Associates. He serves as Board Member at Slope. Previously, He served as a Board Member at SetPoint Medical, Nuvolo, and OrphoMed. He worked as a Senior Associate at New Enterprise Associates. He joined NEA in 2014 as an Associate on the Med Team. He served as a Board Member at Slope &amp; American Pathology Partners. Prior to joining NEA, he was an Associate in the Private Equity Group at Ares Management, as well as an analyst in the Investment Banking Group at Moelis &amp; Company in Los Angeles. At Moelis, he was a generalist, primarily focused on healthcare, business services, and media. His previous work experience also includes Barclays Capital, where he was an Associate in the Equity Research Group, covering retail hardlines. He graduated from The Wharton School at the University of Pennsylvania, with a B.S. in economics with concentrations in Finance, Real Estate, and Management.</t>
  </si>
  <si>
    <t>bwu@nea.com</t>
  </si>
  <si>
    <t>45032-32P</t>
  </si>
  <si>
    <t>Brad Thawley</t>
  </si>
  <si>
    <t>Thawley</t>
  </si>
  <si>
    <t>Mr. Brad Thawley serves as Partner, Limited Partner Relations at New Enterprise Associates. He served as Senior Director at University of Texas Investment Management Company. Previously, He served as Senior Investment Manager at Teacher Retirement System of Texas. Prior to that, he served as Senior RSA at Standard &amp; Poor's.</t>
  </si>
  <si>
    <t>+1 (410) 842-4000</t>
  </si>
  <si>
    <t>bthawley@nea.com</t>
  </si>
  <si>
    <t>Partner, Limited Partner Relations</t>
  </si>
  <si>
    <t>81959-77P</t>
  </si>
  <si>
    <t>Brandon Christie</t>
  </si>
  <si>
    <t>Mr. Brandon Christie serves as VC Principal at New Enterprise Associates. Mr. Christie joined NEA in 2014 and is a Principal focused on enterprise &amp; consumer technology investments in China &amp; other emerging markets in Asia. He works with companies across all stages and sectors including Tuya, GrowingIO, Moqi, Blue Ocean, Woebot, Bytedance, and Workera, among others. Before joining NEA, Mr. Christie was a member of Barclays' Financial Sponsors Investment banking team in New York. He graduated from the Jerome Fisher Program in Management and Technology at the University of Pennsylvania, where he earned a dual set of Bachelor of Science degrees in Financial and Systems Engineering.</t>
  </si>
  <si>
    <t>brandonchristie@nea.com</t>
  </si>
  <si>
    <t>VC Principal</t>
  </si>
  <si>
    <t>13681-18P</t>
  </si>
  <si>
    <t>Brooke Seawell</t>
  </si>
  <si>
    <t>Seawell</t>
  </si>
  <si>
    <t>Mr. Brooke Seawell serves as a Board Member &amp; Chairman of the Audit Committee at Goodleap. He serves as a Board Member &amp; Chairman of the Audit Committee at Nvidia. He served as Executive Vice President &amp; Chief Financial Officer at NetDynamics. He serves as a Venture Partner at New Enterprise Associates. He serves as a Board Member &amp; Chairman of the Audit Committee at Tenable. He serves as a Board Member and Audit Committee ChairBoard at Eargo. He serves as Executive Vice President and Chief Financial Officer at NetDynamics. He served as a Board Member at Eargo, Slope &amp; American Pathology Partners. He serves at New Enterprise Associates. He also serves as the Board Member at Malwarebytes. He joined NEA in 2005 as a Venture Partner, focusing on software, systems, and internet investments. He brings more than 30 years of experience in technology finance and operations. He currently serves on the board of directors of Tableau Software (NYSE: DATA), Lithium Technologies, and Technical Communities. He served as a Board Member at SugarCRM. In addition to his NEA board responsibilities, He was most recently a Partner with Technology Crossover Ventures (TCV). Before that, he was Executive Vice President of NetDynamics, an application server software company, which was acquired by Sun Microsystems in 1998. From 1991 to 1997, he was Senior Vice President, Finance and Operations, and CFO of Synopsys, an electronic design automation software company, which he took public in 1992. During his tenure at Synopsys, revenue grew from $20 million to $500 million. From 1983 to 1991 he served as Vice President, Finance and Production and CFO of Weitek, a fabless semiconductor company, which he took public in 1988. Previously, he co-founded and was CFO of Southwall Technologies, a complex thin film coatings company. As a founder, officer, investor, or director, he has been involved in 10 IPOs - Accrue Software, ArcSight, Glu Mobile, Informatica, Mediaplex, NVIDIA, Southwall Technologies, Synopsys, Tableau Software, and Weitek and 8 strategic acquisitions - CoWare (acquired by Synopsys), Extricity (acquired by Peregrine Systems), NetDynamics (acquired by Sun Microsystems), Rasna (acquired by Parametric Technology), SiliconBlue (acquired by Lattice Semiconductor), SiTme (acquired by MegaChips), Telligent Systems (acquired by Spreadtrum Communications) and TimesTen (acquired by Oracle). He served on the Management Board of the Stanford Business School from 2008-2012 and currently serves on the Stanford Athletic Board. He received his MBA and BA from Stanford University. He earned his Degree from Ladon School.</t>
  </si>
  <si>
    <t>+1 (916) 772-9048</t>
  </si>
  <si>
    <t>Roseville</t>
  </si>
  <si>
    <t>Roseville, CA</t>
  </si>
  <si>
    <t>8781 Sierra College Boulevard</t>
  </si>
  <si>
    <t>95661</t>
  </si>
  <si>
    <t>Board Member &amp; Chairman of Audit Committee</t>
  </si>
  <si>
    <t>Goodleap</t>
  </si>
  <si>
    <t>35855-74P</t>
  </si>
  <si>
    <t>Carmen Chang JD</t>
  </si>
  <si>
    <t>Ms. Carmen Chang serves as Partner &amp; Head of Asia at New Enterprise Associates. Ms. Chang serves as a Board Member at Kira and Coursera. She serves as a Board Member at Alien Technology, Simple Psychology, Transfix, Blue Ocean, InCarey, Availink, Workera, Sengled, and Tuya Smart. She served as a Board Member at STX Entertainment. She also serves as a Strategic Advisor at Long Hill Capital Venture Partners. She serves as a Board Member at Alien Technology. In this role, She is focused on building the firm's global organization and portfolio in China and other emerging markets in Asia. In this role, she focuses on building NEA's global organization and portfolio in China and other emerging markets in Asia (ex-India). From September 1994 to July 2003 and from August 2005 to February 2012, She was a partner at Wilson, Sonsini, Goodrich &amp; Rosati, a major Silicon Valley law firm, where she specialized in corporate and securities law and led that firm's China practice. From July 22, 2003, to July 31, 2005, she was a partner at Shearman &amp; Sterling LLP. She holds an MA in Modern Chinese History from Stanford University and a JD from Stanford Law School.</t>
  </si>
  <si>
    <t>+1 (650) 963-9884</t>
  </si>
  <si>
    <t>2440 West El Camino Real</t>
  </si>
  <si>
    <t>94040</t>
  </si>
  <si>
    <t>Coursera</t>
  </si>
  <si>
    <t>47552-50P</t>
  </si>
  <si>
    <t>Claudia Munce</t>
  </si>
  <si>
    <t>Munce</t>
  </si>
  <si>
    <t>Ms. Claudia Munce serves as a Venture Advisor at New Enterprise Associates. She serves as a Board Member at Best Buy. She serves as a Board Member at Arteris. She also serves as an Advisor at Illuminate Ventures. She served as a Managing Director of IBM Venture Capital Group and Vice President of Corporate Strategy at IBM Corp. (2004-15); Director of Strategy, at IBM Venture Capital Group (2000-04); Head of Technology Transfer and Licensing, at IBM Research (1994-2000). She is a seasoned venture capital leader who has developed a deep knowledge of global partnerships and M&amp;A activities. Her many years of focusing on emerging markets and disruptive technology will be valuable to Best Buy as it explores growth opportunities as part of its ongoing Renew Blue transformation. She brings the perspective of someone with a highly technical engineering background as well as business acumen and a strategic mindset. She serves as a board member for Bank of the West, the National Venture Capital Association, and Global Corporate Venturing. She also served as a Strategic Advisor at Vertical Venture Partners. She holds degrees from the Santa Clara University School of Engineering and the Stanford University Graduate School of Business.</t>
  </si>
  <si>
    <t>+1 (888) 237-8289</t>
  </si>
  <si>
    <t>Richfield</t>
  </si>
  <si>
    <t>Richfield, MN</t>
  </si>
  <si>
    <t>7601 Penn Avenue South</t>
  </si>
  <si>
    <t>55423-3645</t>
  </si>
  <si>
    <t>Best Buy Co.</t>
  </si>
  <si>
    <t>271107-37P</t>
  </si>
  <si>
    <t>Danielle Ezratty</t>
  </si>
  <si>
    <t>Ezratty</t>
  </si>
  <si>
    <t>Ms. Danielle Ezratty serves as an Associate at New Enterprise Associates. She joined NEA in 2023 and currently focuses on investments in digital health. Previously, she worked at Clayton, Dubilier &amp; Rice on its healthcare team, focused on growth and buyout investing in healthcare services.</t>
  </si>
  <si>
    <t>+1 (301) 272-2300</t>
  </si>
  <si>
    <t>dezratty@nea.com</t>
  </si>
  <si>
    <t>206582-05P</t>
  </si>
  <si>
    <t>Danielle Lay</t>
  </si>
  <si>
    <t>Ms. Danielle Lay serves as Partner at New Enterprise Associates. She joined NEA in 2017 and is a Principal focused on consumer internet and tech enabled marketplaces and services. She is passionate about companies and founders that want to build lasting enterprise value by providing goods, services and experiences that consumers love and need. Danielle works closely with several NEA companies including Block, Burrow, Formlabs, Goody, Moda Operandi, Patreon, The Well, The Wing, Transfix and Woebot. She previously worked with Framebridge (acquired) and Desktop Metal (NYSE: DM). Prior to joining NEA, Danielle was an investment banker at Goldman Sachs covering consumer and enterprise Fintech companies and Asset Managers such as FIS, Fiserv, Nasdaq, Bridgewater and Trupanion. She graduated from Northwestern University with a BA in Economics, Business Institutions and Chinese. While living in Evanston and Chicago, she founded and operated a graphic design and web development marketplace called DesignWorks.</t>
  </si>
  <si>
    <t>dlay@nea.com</t>
  </si>
  <si>
    <t>385409-35P</t>
  </si>
  <si>
    <t>Darcy Casarella</t>
  </si>
  <si>
    <t>Darcy</t>
  </si>
  <si>
    <t>Casarella</t>
  </si>
  <si>
    <t>Ms. Darcy Casarella serves as Director of Talent at New Enterprise Associates.</t>
  </si>
  <si>
    <t>darcy@nea.com</t>
  </si>
  <si>
    <t>Director of Talent</t>
  </si>
  <si>
    <t>28487-71P</t>
  </si>
  <si>
    <t>Edward Mathers</t>
  </si>
  <si>
    <t>Mr. Edward Mathers serves as Partner at New Enterprise Associates. Mr. Mathers served as Board Member at Reneo Pharmaceuticals. He serves as a Board Member at Brenig Therapeutics. He also serves as a Board Member at SpliceBio. He served as a Board Member at Inversago Pharma. He also served as a Board Member at Curzon Pharmaceuticals and Motus Games. He serves as a Board Member at MBX Biosciences, Senti Bio, Affinia Therapeutics, Code Bio, and Mirum Pharmaceuticals. He joined NEA as a Partner in August 2008 and is focused on biotechnology and specialty pharmaceuticals investments. He is on the Boards of portfolio companies Inozyme Pharma, Amplyx Pharmaceuticals, ObsEva, Intarcia Therapeutics, Synlogic, Rhythm Pharmaceuticals, and Ra Pharmaceuticals. He previously served on the board of Intarcia Therapeutics. He served as a Board Member at Lumos Pharma. He is also a director of Liquidia Technologies. He is also a member of NC State's College of Sciences Foundation board. Previously he was a board member of Lumena (sold to the Shire), Plexxikon (sold to Daiichi Sankyo), Intarcia, Satori Pharmaceuticals, Southeast Bio, MedImmune, LLC, and the Biotechnology Industry Organization (BIO). Prior to joining NEA, he most recently served as Executive Vice President, Corporate Development and Venture, at MedImmune, Inc. In this role, he was a member of the leadership team that executed the sale of the company to AstraZeneca for $15.6 billion in 2007. While at MedImmune, he was responsible for the company's corporate and business development activities and led the company's venture capital subsidiary, MedImmune Ventures, Inc. Before joining MedImmune in 2002, he was Vice President, Marketing and Corporate Licensing and Acquisitions at Inhale Therapeutic Systems. He spent 15 years at Glaxo Wellcome (GlaxoSmithKline), where he held sales and marketing positions of increasing responsibility. He served as a Board Member at Envisia Therapeutics. He serves as a Board Member at OnKure Therapeutics. He earned his bachelor's degree in chemistry from North Carolina State University.</t>
  </si>
  <si>
    <t>emathers@nea.com</t>
  </si>
  <si>
    <t>385409-62P</t>
  </si>
  <si>
    <t>Emily Baine</t>
  </si>
  <si>
    <t>Baine</t>
  </si>
  <si>
    <t>Ms. Emily Baine serves as Vice President of Talent at New Enterprise Associates.</t>
  </si>
  <si>
    <t>ebaine@nea.com</t>
  </si>
  <si>
    <t>Vice President of Talent</t>
  </si>
  <si>
    <t>385409-89P</t>
  </si>
  <si>
    <t>Erica Sunkin</t>
  </si>
  <si>
    <t>Sunkin</t>
  </si>
  <si>
    <t>Ms. Erica Sunkin serves as Director of Communications at New Enterprise Associates.</t>
  </si>
  <si>
    <t>esunkin@nea.com</t>
  </si>
  <si>
    <t>Director of Communications</t>
  </si>
  <si>
    <t>13679-11P</t>
  </si>
  <si>
    <t>Forest Baskett Ph.D</t>
  </si>
  <si>
    <t>Forest</t>
  </si>
  <si>
    <t>Baskett</t>
  </si>
  <si>
    <t>Dr. Forest Baskett serves as a Special Partner at New Enterprise Associates. Dr. Baskett serves as an Advisor at AiSprouts VC. He is a Board Member at Big Enigma (Database Software). He is a Board Member at ForAllSecure. He is a Board Member at PL&amp;H. He is a Board Member of the Big Data Federation. He served as Board member at Tableau Software. He served as an Advisor at Struck Capital. He serves as a Board Member at the Branch. He also served as a Board Member at UnifyID, Pacific Light &amp; Hologram, Tigera, and Terrajoule. He also serves as a Board Observer &amp; Advisor at Overactive. He served as a Board Member at Datrium, Plato Systems, and FarmVisionAI. He served as a Board Member at Bitglass and Chelsio Communications. He focuses on information technology investments and serves on the Board of Directors for several private and public companies. Some of his investments that became public companies are Atheros Communications, Audience, Data Domain, Fusion-io, and Tableau Software. Before NEA, he was Senior Vice President of R&amp;D and Chief Technology Officer of Silicon Graphics Inc. He founded and directed the Western Research Laboratory of Digital Equipment Corporation before joining SGI. Before that, he was a Professor of Computer Science and Electrical Engineering at Stanford University. He received a BA in Mathematics from Rice University, a Ph.D. in Computer Science from the University of Texas at Austin, and a member of the National Academy of Engineering. He serves as an Advisor at Smartcar. He served as an Advisor at Matroid. He served as a Board Member at Aquantia. He has served as a member of our board of directors since October 2016. Before NEA, he was the senior vice president of R&amp;D and Chief Technology Officer of Silicon Graphics Inc. He founded and directed the Western Research Laboratory of Digital Equipment Corporation before joining Silicon Graphics Inc. Before that, he was a professor of computer science and electrical engineering at Stanford University. He received a BA in Mathematics from Rice University, a Ph.D. in Computer Science from the University of Texas at Austin, and is a member of the National Academy of Engineering.</t>
  </si>
  <si>
    <t>fbaskett@nea.com</t>
  </si>
  <si>
    <t>36915-13P</t>
  </si>
  <si>
    <t>Gregory Papadopoulos Ph.D</t>
  </si>
  <si>
    <t>Dr. Gregory Papadopoulos serves as a Venture Partner at New Enterprise Associates. He served as a Board Member &amp; Advisor at Nimble Collective. He served as a Board Member of Neural Magic. He serves as a Board Member at Infoworks. He serves as Board Member at Swift Navigation, Aquabyte, Sentons, Echodyne, Enigma (Database Software), KONUX, Nodar, Union.ai, Justworks, HEAVY.AI, Fabric8Labs, Mojo Vision, Neural Magic, Nodar, ARRIS, Pacific Light &amp; Hologram, Senton, AI Squared and Everactive. He also serves as a Board Observer at Enigma (Database Software). He also served as a Board Member at Lytmus, Fyusion, CareZone, DreamFactory, Fyusion, Graphite Systems, LiveLoop, Lytmus, Lytro, Mimosa Networks, Run time, and Advisor at VeloCloud and Curisium. He served as a Board Member at Mimosa ( Restaurants and Bars). He holds an MS and Ph.D. in Electrical Engineering / Computer Science from the Massachusetts Institute of Technology (MIT) and a BA in Systems Science from the University of California, San Diego.</t>
  </si>
  <si>
    <t>greg.papadopoulos@nea.com</t>
  </si>
  <si>
    <t>57763-00P</t>
  </si>
  <si>
    <t>Hilarie Koplow-McAdams</t>
  </si>
  <si>
    <t>Hilarie</t>
  </si>
  <si>
    <t>Koplow-McAdams</t>
  </si>
  <si>
    <t>Ms. Hilarie Koplow-McAdams serves as a Venture Partner at New Enterprise Associates. Ms. Koplow-McAdams serves as a Board Member at Toast. She serves as a Board Member at Tulip Interfaces, and Zendesk. She served as Board Member at Automation Anywhere. She serves as a Board Observer at Assembled. She serves as a Board Member at Uniphore, SafeBase, PixieBrix, and HackerOne. She serves as Board Member at Automation Anywhere, and Beyond Identity. She also serves as a Board Member at BloomReach. She serves as a board member for Tableau Corporation. She serves as a Board Member at Tableau Software. She served as the Chief Revenue Officer &amp; President at New Relic. She also serves on the Board of Directors at Tableau. She served as a Board Observer at Reltio. She has been with New Relic, a cloud-based software analytics company, since 2013 and has also served as the company's CRO. She served as the President of New Relic, Inc., a digital intelligence company, from October 2015 until April 2017 and, before that, served as New Relic's Chief Revenue Officer from December 2013 to September 2015. She also served as a Board Member at DataRobot. Before New Relic, she served as President of Global Sales at salesforce.com, inc., a software company, from April 2013 to November 2013. She also held a variety of other positions at salesforce.com, including President of the Commercial and SMB unit from February 2012 to April 2013, Executive Vice President of Worldwide Sales from May 2010 to February 2012, and Executive Vice President of Global Corporate Sales from May 2008 to May 2010. From 2006 to 2008, she served as Vice President of Direct Sales at Intuit Inc., a software company. In addition, she previously served in various senior sales roles at Oracle Corporation, a computer technology company, where her most recent role was Senior Vice President of Oracle Direct. She holds an M.A. in Public Policy from the University of Chicago and a B.A. in Sociology from Mills College. She was chosen to serve on our Board due to her leadership and global expertise as a current executive and former sales executive of publicly traded international technology companies and her experience in senior management of high-growth technology companies, including software and emerging technology companies. She also serves as a Board Member at Duo Security.</t>
  </si>
  <si>
    <t>hkoplow-mcadams@nea.com</t>
  </si>
  <si>
    <t>332268-31P</t>
  </si>
  <si>
    <t>Hunter Worland</t>
  </si>
  <si>
    <t>Worland</t>
  </si>
  <si>
    <t>Mr. Hunter Worland serves as Principal at New Enterprise Associates. He was an associate consultant at Bain &amp; Company in New York, where he worked with media, financial services, and medical technology clients. He assisted in go-to-market strategy development, organizational redesign, and post-merger integration. Before Bain, he spent time at Bridgewater Associates and the Council on Foreign Relations. He graduated from Harvard College with a degree in History and Government as well as a certificate in Latin American studies. While at Harvard, he earned the Thomas Hoopes Prize for his senior thesis on decolonization in French Guiana. He also served as director of the university's prison tutoring program.</t>
  </si>
  <si>
    <t>hworland@nea.com</t>
  </si>
  <si>
    <t>248333-32P</t>
  </si>
  <si>
    <t>J.C. Lopez MD</t>
  </si>
  <si>
    <t>J.C.</t>
  </si>
  <si>
    <t>Dr. J.C. Lopez serves as Principal on NEA's Healthcare Team at New Enterprise Associates. He also serves as a Board Observer at Stablix. He served as a Board Member at Qpex &amp; Pionyr Immunotherapeutics. Prior to NEA, He led Global Search and Evaluation for Neuroscience, Ophthalmology, and Rare Diseases for Roche/Genentech. While at Genentech, he sourced, led, and closed Genentech's collaboration with Clover Therapeutics and was involved with Genentech's collaborations with Convelo Therapeutics. As Global Search and Evaluation Lead, he was responsible for the sourcing, triaging, and initial diligence of opportunities in neuroscience, ophthalmology, and rare diseases. Prior to Roche/Genentech, he held various roles as an intern at Militia Hill Ventures, where he focused on biotech company creation, and as a Tech Transfer Fellow at the University of Pennsylvania's Tech Transfer Office. He received a BS in Biological Sciences from Stanford University, an MD from The Perelman School of Medicine at The University of Pennsylvania, and an MBA from The Wharton School where he was a Joseph Wharton Fellow.</t>
  </si>
  <si>
    <t>jlopez@nea.com</t>
  </si>
  <si>
    <t>Principal on NEA's Healthcare Team</t>
  </si>
  <si>
    <t>332266-87P</t>
  </si>
  <si>
    <t>James Buxton MD</t>
  </si>
  <si>
    <t>Buxton</t>
  </si>
  <si>
    <t>Dr. James Buxton serves as Principal at New Enterprise Associates. Prior to NEA, he worked at SR One Capital Management where he focused on early-stage biopharma opportunities. Prior to SR One, he worked at Morgan Stanley and New Rhein Healthcare Investors. He began his career as a practicing physician and then as a surgeon focused on Cardiothoracic surgery, having joined the Royal College of Surgeons with his MRCS. During medical school he spent time researching endothelin signaling in colorectal cancer, driving to Mongolia for charity, and living in Samoa working at the national hospital. He received a BSc in surgical and medical sciences from University College London and an MD from University College London Medical School. As a Thouron Scholar, he then earned an MBA from The Wharton School.</t>
  </si>
  <si>
    <t>jbuxton@nea.com</t>
  </si>
  <si>
    <t>385411-24P</t>
  </si>
  <si>
    <t>James Kaplan</t>
  </si>
  <si>
    <t>Mr. James Kaplan serves as an Associate at New Enterprise Associates. He joined NEA in 2023 as an investor on the Technology team, focused on consumer and AI apps. Prior to NEA, Mr. Kaplan spent time at early-stage startups, including GlossGenius, a PLG vertical SaaS business, and consulting with Frost Giant Studios, a Starcraft spinout game studio building the next generation of real-time strategy (RTS) games. He also spent time at Credit Suisse in its technology group. He graduated from the University of Southern California.</t>
  </si>
  <si>
    <t>jkaplan@nea.com</t>
  </si>
  <si>
    <t>106372-36P</t>
  </si>
  <si>
    <t>Jeffrey Immelt</t>
  </si>
  <si>
    <t>Immelt</t>
  </si>
  <si>
    <t>Mr. Jeffrey Immelt serves as Board Member at Twilio. Mr. Immelt serves as Board Member at Desktop Metal. Mr. Immelt is an Angel Investor. He serves as a Venture Partner at New Enterprise Associates. He serves as a Board Member at MGT Insurance. He serves as Board Member at Radiology Partners and Bloom Energy, TAE Technologies, Sila, Arkestra, Hennessy Capital Investment, and Transfix. He also serves as a Board Member &amp; Compensation Committee Chair at Collective Health. He serves as a Board Observer at Cleo (Commercial Services). He serves as a Strategic Advisor at triValence. From 2001 to 2017, he served as the Chairman and Chief Executive Officer of General Electric Company (NYSE: GE). Upon completing his MBA program, Mr. Immelt joined General Electric in 1982 and held various roles within the company before assuming his position as Chief Executive Officer. Jeff earned a bachelor's degree in applied mathematics from Dartmouth College and an MBA from Harvard University. He currently serves on the board for NEA portfolio companies Bloom Energy, Bright Health, Cleo, Collective Health, Desktop Metal, Formlabs, Tri Alpha Energy and Tuya.</t>
  </si>
  <si>
    <t>+1 (415) 390-2337</t>
  </si>
  <si>
    <t>101 Spear Street</t>
  </si>
  <si>
    <t>Twilio</t>
  </si>
  <si>
    <t>385411-42P</t>
  </si>
  <si>
    <t>Jennifer Ball</t>
  </si>
  <si>
    <t>Limited Partner &amp; Manager</t>
  </si>
  <si>
    <t>Ms. Jennifer Ball serves as Manager, of LP Relations at New Enterprise Associates. She joined NEA in 2014 and is currently a Manager of LP Relations. In her role, She works on initiatives with the LP Relations Team including fundraising and co-investments, industry research and analysis, creating and managing internal and external content, and overseeing new tool and process implementation. Before transitioning to LP Relations, She provided executive support to NEA's Chairman and Managing General Partner. Before joining NEA, she held positions as an executive assistant and financial manager. She graduated magna cum laude from Middle Tennessee State University. In 2021, she completed the Venture Capital University online program.</t>
  </si>
  <si>
    <t>jball@nea.com</t>
  </si>
  <si>
    <t>Manager, LP Relations</t>
  </si>
  <si>
    <t>271828-63P</t>
  </si>
  <si>
    <t>Jerry Sanchez JD</t>
  </si>
  <si>
    <t>Mr. Jerry Sanchez serves as Chief Compliance Officer at New Enterprise Associates. He served as Senior Vice President &amp; Chief Compliance Officer at EIG Global Energy Partners. Before joining EIG in 2018, Mr. Sanchez was the Chief Investment Counsel for Utah Retirement Systems. Previously, Mr. Sanchez has held various legal and regulatory compliance positions at Goldman, Sachs &amp; Co., Partners Group, the U.S. Securities and Exchange Commission, and the law firm of Emmet, Marvin &amp; Martin. He received a B.A. in History, magna cum laude, from Brigham Young University - Hawaii and a J.D. from New York Law School, where he was a member of the New York Law School Law Review.</t>
  </si>
  <si>
    <t>jsanchez@nea.com</t>
  </si>
  <si>
    <t>216363-70P</t>
  </si>
  <si>
    <t>John Kettle</t>
  </si>
  <si>
    <t>Kettle</t>
  </si>
  <si>
    <t>Mr. John Kettle serves as Senior Associate, LP Relations at New Enterprise Associates. He served as an Associate, Capital &amp; Partner Solutions at Vista Equity Partners. He supports the Capital &amp; Partner Solutions strategy across the Vista platform. Before joining Vista, Mr. Kettle was an intern at Bessemer Trust on the Client Advisory team.</t>
  </si>
  <si>
    <t>jkettle@nea.com</t>
  </si>
  <si>
    <t>Senior Associate, LP Relations</t>
  </si>
  <si>
    <t>64434-79P</t>
  </si>
  <si>
    <t>Kate Barrett</t>
  </si>
  <si>
    <t>Ms. Kate Barrett serves as Partner of Communications at New Enterprise Associates. Ms. Barrett joined NEA in 2007 and is currently the firm's Marketing Partner. In this role, she leads the development and execution of NEA's global marketing strategy, including communications, public relations, and marketing portfolio services. She works closely with NEA's portfolio companies, providing both strategic counsel and tactical support on communications and marketing initiatives. Prior to joining NEA, she held corporate communications roles at MedImmune, with a particular focus on corporate branding and digital media. She previously held a variety of communications and project management roles at The Kroger Co. and The E. W. Scripps Company. She began her career at The Cincinnati Enquirer. She serves on the Board of Directors of Thrive DC, an organization committed to preventing and ending homelessness. She earned her bachelor's degree in English/Journalism at Miami University.</t>
  </si>
  <si>
    <t>+1 (301) 272-2318</t>
  </si>
  <si>
    <t>k.barrett@nea.com</t>
  </si>
  <si>
    <t>Partner of Communications</t>
  </si>
  <si>
    <t>112387-78P</t>
  </si>
  <si>
    <t>Kavita Patel MD</t>
  </si>
  <si>
    <t>Dr. Kavita Patel serves as Venture Partner at New Enterprise Associates. Dr. Patel serves as Board Member at Radiology Partners. She served as Advisor at Aetion. She served as Managing Director and Board Member at Brookings Institution and Dignity Health respectively. He serves as a Senior Advisor at Arsenal Capital Partners. She is an Advisor of Action. He serves as a Strategic Advisor at triValence. She also serves as a Board Member at Strive Health, Intelligent Medicine Acquisition, SelectQuote, SSM Health, Personal Genome Diagnostics, Arcellx, and Sigilon Therapeutics. She has served as a Senior Fellow at The Brookings Institution, as well as a practicing physician at Johns Hopkins, since January 2011. She has more than fifteen years of healthcare leadership experience and clinical work, with an emphasis on bridging research, innovation, policy, and advocacy. Before joining The Brookings Institution, she served as Director of Policy for the Office on Intergovernmental Affairs and Public Engagement at The White House from 2009 to 2010. Before that, she served as Deputy Staff Director for Health for Senator Edward M. Kennedy from 2007 to 2009. Currently, she serves as a member of the Board of Directors of SSM Healthcare and Dignity Healthcare, which are nonprofit integrated delivery systems, and Community Catalyst, a national advocacy organization. She also serves as an advisory board member for the National Commission of Physician Payment Reform, the Robert Graham Center for Policy Studies in Family Medicine and Primary Care, and the Johns Hopkins Medicine Sibley Hospital Innovation Hub. She is a physician and healthcare policy expert based in Washington, D.C. She previously served in the Obama Administration, playing a key role in the design of healthcare reform legislation. She earned her Bachelor of Arts degree from the University of Texas at Austin, her M.D. from the University of Texas Health Science Center, and her M.S.H.S. from the University of California, Los Angeles. She is an Angel Investor.</t>
  </si>
  <si>
    <t>patel@nea.com</t>
  </si>
  <si>
    <t>308315-17P</t>
  </si>
  <si>
    <t>Kemi Odusan</t>
  </si>
  <si>
    <t>Kemi</t>
  </si>
  <si>
    <t>Odusan</t>
  </si>
  <si>
    <t>Ms. Kemi Odusan serves as a Senior Associate at New Enterprise Associates. She focused on technology investing across Europe. She joined NEA in 2023 after spending nearly two years as an Associate at General Atlantic, where she focused on the technology sector in EMEA. Previously, she was an Investment Banking Analyst in the Technology, Media, and Telecommunications (TMT) group at Goldman Sachs, in London. She graduated from the University of Bristol with a BSc in economics.</t>
  </si>
  <si>
    <t>+44 (0)20 8187 2513</t>
  </si>
  <si>
    <t>kodusan@nea.com</t>
  </si>
  <si>
    <t>5 Carnaby Street</t>
  </si>
  <si>
    <t>W1F 9PB</t>
  </si>
  <si>
    <t>61250-59P</t>
  </si>
  <si>
    <t>Lila Tretikov</t>
  </si>
  <si>
    <t>Tretikov</t>
  </si>
  <si>
    <t>Ms. Lila Tretikov serves as an Honorary Founding Member at Toda.Network. She serves as Board Member at Horizon3.ai. She serves as Partner &amp; Head of AI Strategy at NEA at Horizon3.ai. Ms. Tretikov serves as a Board Member &amp; Member of the Audit Committee at Volvo Car. She also serves as a Board Member of Zendesk. She served as a Board Member at Onfido. She served as Deputy Chief Technology Officer at Microsoft. She is an Honorary Founding Member of Toda (Financial Software). She was a Co-Founder and serves as a Board Member at Todacorp. She served as Corporate Vice President, of AI, Perception &amp; Mixed Reality at Microsoft. She served as a Board Member at Rackspace US. She serves as Executive Director at Wikimedia Foundation. She serves as a Board Member at Volvo Car. She served as the Chief Product Officer at SugarCRM. She leads SugarCRM's growth and market innovation initiatives, including stewardship of the SugarCRM brand and its award-winning product. As Chief Product Officer, she also leads the marketing, product, and R&amp;D functions. As a key member of SugarCRM's senior leadership team, she leads the creation of marketing and product initiatives, creative expressions, advertising, and key product and research innovations. She leads internal teams and channel partners across the Americas, Europe, and Asia. Prior to coming to Sugar, she led the innovation enterprise software sector at Sun Microsystems, Sprint/Nextel, VeriSign, and Bank of America. As an entrepreneur, she has also established and grown successful startups in the digital marketing space. She has an academic background in computer science, mathematics, and visual arts. She studied at the University of California Berkeley and Lomonosov Moscow State University.</t>
  </si>
  <si>
    <t>+1 (408) 454-6900</t>
  </si>
  <si>
    <t>995 Market Street</t>
  </si>
  <si>
    <t>Toda.Network</t>
  </si>
  <si>
    <t>206585-20P</t>
  </si>
  <si>
    <t>Luke Pappas</t>
  </si>
  <si>
    <t>Mr. Luke Pappas serves as a Partner at New Enterprise Associates. He Co-Founded QueueStatus. He joined as an Associate at New Enterprise Associates. He joined NEA in 2017 as an investor on the technology team. He also serves as an executive in Connect Ventures (Venture capital). Before joining NEA, He was a member of the Technology Investment Banking Team at Morgan Stanley in Menlo Park. While at Morgan Stanley, He worked on a variety of capital markets and M&amp;A transactions across the software, semiconductor, consumer internet, and hardware sectors, with companies such as Airbnb, Nutanix, Nvidia, Pandora, and Snap. He graduated from Stanford University with dual BS degrees in computer science and management science &amp; engineering.</t>
  </si>
  <si>
    <t>lpappas@nea.com</t>
  </si>
  <si>
    <t>275699-17P</t>
  </si>
  <si>
    <t>Lulu Xu</t>
  </si>
  <si>
    <t>Lulu</t>
  </si>
  <si>
    <t>Ms. Lulu Xu serves as Principal at New Enterprise Associates. Ms. Xu joined NEA in 2021 as an investor on the healthcare team. She focuses on later-stage life sciences investments. Before joining NEA, she worked at AbbVie in several roles across R&amp;D and M&amp;A. Most recently she worked in AbbVie's Enterprise Strategy group on the acquisition and integration of Allergan and Pharmacyclics. Prior to that, she worked on the data science team leading digital health initiatives and she was part of AbbVie's leadership rotational program. She attended the Stanford University Graduate School of Business, where she co-founded the life sciences venture program Nucleate Bio Bay Area. She received a BS from Northwestern University in both Neuroscience and Communication Sciences &amp; Disorders.</t>
  </si>
  <si>
    <t>lxu@nea.com</t>
  </si>
  <si>
    <t>411230-98P</t>
  </si>
  <si>
    <t>Madison Faulkner</t>
  </si>
  <si>
    <t>Faulkner</t>
  </si>
  <si>
    <t>Ms. Madison Faulkner serves as Principal at New Enterprise Associates. Ms. Madison Faulkner serves as Board Member at Foresight Risk and Insurance Services. She joined NEA in 2024 as a Principal on the technology team focused on early-stage data, infrastructure, developer tools, data science, and AI/ML. Previously, she was a Vice President at Costanoa Ventures where she worked closely with Delphina.ai, Probabl.ai, Mindtrip.ai, Noteable.io (acq by Confluent), Rafay.co, and others. Prior to investing, she was Head of Data Science and Machine Learning at Thrasio, Head of Data Science at Greycroft, and held several data science positions at Facebook. She received a BS in Management Science and Engineering from Stanford University.</t>
  </si>
  <si>
    <t>mfaulkner@nea.com</t>
  </si>
  <si>
    <t>31276-72P</t>
  </si>
  <si>
    <t>Mark Hawkins</t>
  </si>
  <si>
    <t>Hawkins</t>
  </si>
  <si>
    <t>Mr. Mark Hawkins serves as a Board Member at SecureWorks. He served as an Advisor at Salesforce. He is a Venture Partner at New Enterprise Associates. He serves as Chairman at DataRobot. He is responsible for leading the company's global finance organization and is a member of the company's executive committee reporting directly to chairman and CEO Marc Benioff. He served as a Board Member and Audit Committee Chair at Plex Systems. He serves as a Board Member at Ariel Alternatives. He has more than 30 years of experience with leading finance organizations at global software and technology companies including Autodesk, Logitech, Dell, and Hewlett-Packard. At Autodesk, he served as CFO and executive vice president from 2009 to 2014, leading the global finance, information technology, and procurement organizations. From 2006 to 2009, he was CFO and senior vice president of finance &amp; IT at Logitech International SA. From 2000 to 2006, he served as vice president of finance for Dell's Worldwide Procurement and Logistics organization, as well as vice president of finance for Dell's U.S. Home Segment. Before Dell, he spent nearly 19 years at Hewlett-Packard where he held a variety of finance and business management roles, including a two-year posting in Europe. He serves on the board of SecureWorks, a global leader in cybersecurity solutions. He holds an M.B.A. in Finance from the University of Colorado, a B.A. from Michigan State University, and completed the Advanced Management Program at Harvard Business School.</t>
  </si>
  <si>
    <t>+1 (888) 454-7539</t>
  </si>
  <si>
    <t>mark@salesforce.com</t>
  </si>
  <si>
    <t>Salesforce Tower</t>
  </si>
  <si>
    <t>415 Mission Street, 3rd Floor</t>
  </si>
  <si>
    <t>+1 (415) 901-7040</t>
  </si>
  <si>
    <t>Salesforce</t>
  </si>
  <si>
    <t>332271-37P</t>
  </si>
  <si>
    <t>Mason Murray</t>
  </si>
  <si>
    <t>Mr. Mason Murray serves as a Senior Associate at New Enterprise Associates. Before joining NEA, he worked on M&amp;A, equity, and debt transactions with Bank of America's Technology, Media &amp; Telecom investment banking group. While at BofA, he covered enterprise technology and telecommunications companies, including Informatica, Dropbox, DraftKings, Bread Financial (fka. Alliance Data), Charter, Altice, and Crown Castle, along with numerous Private Equity clients.</t>
  </si>
  <si>
    <t>mmurray@nea.com</t>
  </si>
  <si>
    <t>65847-79P</t>
  </si>
  <si>
    <t>Matthew McAviney MD</t>
  </si>
  <si>
    <t>McAviney</t>
  </si>
  <si>
    <t>Dr. Matthew McAviney serves as a Partner at New Enterprise Associates. He served as a Board Member at Polyneuron Pharmaceuticals. He served as Principal at F-Prime Capital Partners. He serves as a Board Member at Escient Pharmaceuticals and Moximed. He served as a Board Member at Sagimet Biosciences. Before F-Prime, he held positions at Oliver Wyman, Robert W. Baird, J.P. Morgan, and the National Institutes of Health. He holds an M.D. from the University of Illinois and an M.B.A. from the University of Chicago. He received his B.A. in biology with honors from the University of Chicago. He serves as Board Member at Ouro Medicines.</t>
  </si>
  <si>
    <t>+1 (617) 231-2400</t>
  </si>
  <si>
    <t>mmcaviney@nea.com</t>
  </si>
  <si>
    <t>63880-30P</t>
  </si>
  <si>
    <t>Melissa Taunton</t>
  </si>
  <si>
    <t>Taunton</t>
  </si>
  <si>
    <t>Ms. Melissa Taunton serves as a Partner at New Enterprise Associates. She serves as an Advisor at 3DLOOK. She serves as an Advisor at Blockchain Capital. She served as an Advisor at Sentient Technologies. She joined NEA as a Partner in 2015. She focuses on talent acquisition at the executive level across the NEA portfolio. She brings broad operating experience from the technology and healthcare sectors, along with a passion for cultivating relationships, to seek out best-in-class people who will build life-changing companies that have a global reach. She previously served as an Operating Partner at Khosla Ventures. She began her career in technology at Qualcomm (supply chain management), Hewlett Packard (global contract manufacturing strategy), and Netopia (strategic technology alliances). She then transitioned to healthcare, as President of Drip Drop, Inc. (an oral rehydration product for hospital and home use). She graduated from The University of North Carolina at Chapel Hill and the University of San Diego with an MBA (Summa Cum Laude) in finance and marketing, specializing in contract negotiations.</t>
  </si>
  <si>
    <t>mtaunton@nea.com</t>
  </si>
  <si>
    <t>339720-13P</t>
  </si>
  <si>
    <t>Mia Mansour</t>
  </si>
  <si>
    <t>Mansour</t>
  </si>
  <si>
    <t>Ms. Mia Mansour serves as a Senior Associate at New Enterprise Associates. She joined NEA in 2023 as an investor on the Technology team. Prior to joining NEA, she worked as a Private Equity Associate at Permira. She previously spent time at McKinsey as a Business Analyst in the Digital Practice and at Microsoft as a Software Program Manager. She graduated from the University of Pennsylvania with a BS in economics and mechanical engineering and a Master of Science degree in Robotics Engineering.</t>
  </si>
  <si>
    <t>mmansour@nea.com</t>
  </si>
  <si>
    <t>273328-21P</t>
  </si>
  <si>
    <t>Michael Albert</t>
  </si>
  <si>
    <t>Mr. Michael Albert serves as an Associate at New Enterprise Associates. Before joining NEA, he was a member of the Healthcare Investment Banking Group at Goldman Sachs in New York City, where he worked on various financing and M&amp;A transactions across biopharma. He also spent time conducting acute myeloid leukemia research at Weill Cornell Medical College and Imperial College London. He graduated from Northwestern University with a bachelor's degree in Neuroscience.</t>
  </si>
  <si>
    <t>albert@nea.com</t>
  </si>
  <si>
    <t>211291-84P</t>
  </si>
  <si>
    <t>Michael Li</t>
  </si>
  <si>
    <t>Mr. Michael Li serves as Principal at New Enterprise Associates. Mr. Li joined NEA in 2021 as an associate on the healthcare team. He served as an Associate at Court Square Capital Partners. He joined Court Square in 2019 after working in the M&amp;A group at PJT Partners in New York. He graduated from the Edmund A. Walsh School of Foreign Service at Georgetown University, where he studied international relations and economics.</t>
  </si>
  <si>
    <t>+1 (212) 752-6705</t>
  </si>
  <si>
    <t>michael@nea.com</t>
  </si>
  <si>
    <t>13072-33P</t>
  </si>
  <si>
    <t>Michele Park Ph.D</t>
  </si>
  <si>
    <t>Dr. Michele Park serves as Partner at New Enterprise Associates. Dr. Park serves as a Board Member at Abcuro, ChromaCode, and Tagworks Pharmaceuticals. Previously, she served as a Partner at Clarus Ventures. Before Clarus, she spent six years as a research analyst covering the biotechnology sector at Credit Suisse and Piper Jaffray. She received her Ph.D. in Molecular Biology from the Weill Cornell Graduate School of Medical Sciences and completed her dissertation at Memorial Sloan-Kettering Cancer Center. She holds a B.A. in Molecular Biology from Princeton University. She serves as Co-Chair of the Cancer Prevention and Research Institute of Texas (CPRIT) Product Development Advisory Committee; Board Trustee for the American Friends of the Royal Philharmonic Orchestra (AFRPO); and is a member of the Council of Korean Americans (CKA) and Private Equity Women Investor Network.</t>
  </si>
  <si>
    <t>michele@nea.com</t>
  </si>
  <si>
    <t>13680-19P</t>
  </si>
  <si>
    <t>Mohamad Makhzoumi</t>
  </si>
  <si>
    <t>Mohamad</t>
  </si>
  <si>
    <t>Makhzoumi</t>
  </si>
  <si>
    <t>Mr. Mohamad Makhzoumi serves as a Board Member at Collective Health. Mr. Makhzoumi serves as Board Member at Pathos. He served as Board Member at Everside Health. He serves as a Board Member at PayZen, Radiology Partners, Waymark, Collective Health, Apollo Spectra Hospitals, BetterDoctor, DaVita NephroLife, DSI Renal, Elements Behavioral Health, Nova Medical Centers, Comprehensive Pharmacy Services, Vori Health, Anterior and Curana Health. He serves as Co-Chief Executive Officer at New Enterprise Associates. He serves as a Board Member at Pager. He serves as a Board Member at Riverside Health, Pager, Belong Health, and Nuvolo. He served as a Board Member at Curisium and CPS Solutions. He first joined NEA as an intern in 2000 and later as an associate in 2005. He now heads the healthcare services and healthcare information technology investment practice. He served as a Board Member at Welltok. He is a Board Observer of BENU and Vantage Oncology. His past investments include Bravo Health, CHG Healthcare, Long Term Care Group, and ppoNEXT. Previously, he focused on growth equity investments at Summit Partners prior to which he worked with UBS Investment Bank where he concentrated on leveraged finance and sponsor-led transactions. He received a bachelor's degree, with distinction, from the University of Pennsylvania and is an active participant in the cancer community, and has been a founding board member of Livestrong's Young Leadership Cancer Council.</t>
  </si>
  <si>
    <t>+1 (844) 803-0210</t>
  </si>
  <si>
    <t>45 Fremont Street</t>
  </si>
  <si>
    <t>Collective Health</t>
  </si>
  <si>
    <t>332272-36P</t>
  </si>
  <si>
    <t>Mustafa Neemuchwala</t>
  </si>
  <si>
    <t>Neemuchwala</t>
  </si>
  <si>
    <t>Mr. Mustafa Neemuchwala serves as Principal at New Enterprise Associates. Before NEA, Mr. Neemuchwala advised on $55B of tech M&amp;A at Qatalyst Partners. At Qatalyst, Neemuchwala worked closely with management teams on deals like Segment's sale to Twilio, Auth0's sale to Okta, Afterpay's sale to Square, Intuit's acquisition of Credit Karma, Hortonworks' merger with Cloudera, Pluralsight's sale to Vista, and HotelTonight's sale to Airbnb. He graduated from the University of Texas at Austin, majoring in Business Honors, Finance, &amp; Plan II Honors, with a minor in Mathematics and additional coursework in Computer Science.</t>
  </si>
  <si>
    <t>mustafa@nea.com</t>
  </si>
  <si>
    <t>216606-97P</t>
  </si>
  <si>
    <t>Nick Kline</t>
  </si>
  <si>
    <t>Kline</t>
  </si>
  <si>
    <t>Mr. Nick Kline serves as Partner, LP Relations at New Enterprise Associates. Before joining NEA in 2019, he was a Director in the Institutional Client Business at BlackRock in San Francisco. He holds a BA in History, with honors, from the University of California, Berkeley. He is a CFA Charterholder. In this role, he was responsible for the delivery of the firm's entire investment capabilities to the institutional investor community. He began his career as a member of the business development team at AXA Rosenberg. He holds a BA in History, with honors, from the University of California, Berkeley. He is a CFA Charterholder.</t>
  </si>
  <si>
    <t>nkline@nea.com</t>
  </si>
  <si>
    <t>Partner, LP Relations</t>
  </si>
  <si>
    <t>385412-68P</t>
  </si>
  <si>
    <t>Nyle Sykes</t>
  </si>
  <si>
    <t>Nyle</t>
  </si>
  <si>
    <t>Mr. Nyle Sykes serves as an Associate at New Enterprise Associates. He joined NEA in 2023 as an investor on the Technology team, focused on enterprise and consumer investments. Before joining NEA, he was an investment banker at Evercore, in New York, where he worked on M&amp;A transactions and capital raises for technology and fintech clients globally. Before Evercore, He spent time at The Walt Disney Company and Klarity, an AI document review startup, in strategy and business development roles. He graduated from MIT with a BS in computer science and a minor in finance.</t>
  </si>
  <si>
    <t>nsykes@nea.com</t>
  </si>
  <si>
    <t>13679-74P</t>
  </si>
  <si>
    <t>Patrick Kerins</t>
  </si>
  <si>
    <t>Kerins</t>
  </si>
  <si>
    <t>Mr. Patrick Kerins serves as a Special Partner at New Enterprise Associates. He served as a Board Member and Chair of the Compensation Committee at BuzzFeed. He serves as a Board Member at The Players' Tribune &amp; Spring Global. He served as a Board Member at ChannelAdvisor, Sportsrocket, GumGum, and Videology. He serves as a Board Member at BuzzFeed. He joined the firm in 2006 as a General Partner focusing on technology investments, particularly Software-as-a-Service, digital media, mobile technology, and Internet companies. He is a director of BedRocket Media, ChannelAdvisor (NYSE: ECOM), Millennial Media (NYSE: MM), and Spring Wireless. Before joining NEA, He was a General Partner of Grotech Capital Group, investing in high-tech companies and serving on the boards of Advertising.com, CDnow, Fieldglass Software, SALIX Technologies, and Synchrologic. Previously, He spent 10 years at Alex. Brown &amp; Sons as an investment banker for technology companies. He was a consultant with McKinsey &amp; Co. and served as an officer in the U.S. Navy on the staff of Admiral H.G. Rickover at the Headquarters of the Navy's Nuclear Propulsion Program. He is Chairman Emeritus of the Mid-Atlantic Venture Association. He received an MBA, with Distinction, from Harvard Business School and a BS degree from Villanova University. He also serves on the Board of TrackMaven.</t>
  </si>
  <si>
    <t>pkerins@nea.com</t>
  </si>
  <si>
    <t>13621-51P</t>
  </si>
  <si>
    <t>Paul Walker</t>
  </si>
  <si>
    <t>Mr. Paul Walker serves as Partner &amp; Co-Head of Healthcare at New Enterprise Associates. Mr. Walker served as a Board Observer at Sunesis. He served as Board Member at Trillium Therapeutics. He joined NEA in 2008. He served as a Board Member at Allakos. He focuses on later-stage biotechnology and life sciences investments. Before joining NEA, he worked at MPM Capital as a General Partner with the MPM BioEquities Fund, where he specialized in public, PIPE, and mezzanine-stage life sciences investing. He served as the Board Member at Tracon Pharmaceuticals. Previously, he was a portfolio manager at Franklin Templeton Investments. He is a board observer of Sunesis (NASDAQ: SNSS) and Interleukin Genetics (NASDAQ: ILIU), a Director of TRACON Pharmaceuticals (NASDAQ: TCON), a former board member of TESARO (NASDAQ: TRSO), and manages several NEA's other late-stage and public investments. He received a BS in biochemistry and cell biology from UC San Diego.</t>
  </si>
  <si>
    <t>pwalker@nea.com</t>
  </si>
  <si>
    <t>13681-27P</t>
  </si>
  <si>
    <t>Peter Sonsini</t>
  </si>
  <si>
    <t>Sonsini</t>
  </si>
  <si>
    <t>Mr. Peter Sonsini is a Co-founder and serves as General Partner at Laude Ventures. He serves as Venture Advisor at New Enterprise Associates. He serves as Board Member at Databricks He serves as a Board Member &amp; Member of the Audit Committee at HTintri. He serves as Unite Genomics. He served as a Board Member at Lattice Engines. He served as a Board Member at Nefeli Networks. He serves as a Board Member and Advisor at Matroid and Forethought. He serves as a Board Member at Evident. He previously served as a Board Member at Apprenda, Pluribus Networks, and Veriflow Systems. He also served as a General Partner at New Enterprise Associates. He joined NEA in 2005 and focuses on early-stage enterprise software, services, and systems companies. He is the co-head of NEA's enterprise software practice group and serves on several boards for NEA portfolio companies, including, Apprenda, and Conviva. Past investments include Pentaho (acquired by Hitachi), Teracent (acquired by Google), and XenSource (acquired by Citrix Systems). Before NEA, he was Senior Director of Strategic Alliances at VMware where he struck the company's initial OEM deals and grew annual sales through OEMs from $0 to $40 million in four years. He ran product management at Mirapoint and worked in sales and marketing at Hewlett-Packard, including Worldwide Product Manager for the mid-range server business. He began his career at Montgomery Securities in the Technology Corporate Finance group. He received his MBA from the Kellogg School of Management at Northwestern University, and his BA in Political Economy from the University of California, Berkeley. He served as a Board Member at Sisu Data. He served as a Board Member at StreamSets. He serves as a Board Member at Perplexity AI.</t>
  </si>
  <si>
    <t>pete@laude.vc</t>
  </si>
  <si>
    <t>196266-52P</t>
  </si>
  <si>
    <t>Philip Chopin</t>
  </si>
  <si>
    <t>Chopin</t>
  </si>
  <si>
    <t>Mr. Philip Chopin serves as a Managing Director, NEA UK at New Enterprise Associates. He serves as a Board Member at Keelvar Systems. He serves as a Board Member at Sana. He served as a Partner at 83North. He joined 83North in 2018 and is based in our London office. Previously, he held several roles at SSENSE, a luxury fashion retailer in Montreal. Before that, he was a Project Leader at the Boston Consulting Group and worked in the Mexico City, New York, and Montreal offices primarily focusing on Tech and Retail. He holds an MBA from the Kellogg School of Management and an MSc from Grenoble Ecole de Management.</t>
  </si>
  <si>
    <t>+44 (20) 7287 8700</t>
  </si>
  <si>
    <t>pchopin@nea.com</t>
  </si>
  <si>
    <t>Managing Director, NEA UK</t>
  </si>
  <si>
    <t>36032-50P</t>
  </si>
  <si>
    <t>Rick Yang</t>
  </si>
  <si>
    <t>Mr. Rick Yang serves as Partner and Head of Technology at New Enterprise Associates. Mr. Yang serves as Board Member at Chava Communications. He served as a Board Member at Pair (Multimedia and Design Software). He serves as a Board Member at FightCamp. He serves as a Board Member at Union (Austin), Wheelhouse, Euclid Media &amp; Stride (Financial Software). He serves as a Board Member at Gen.G, Drop, Plaid Technologies, Genies, and MasterClass. He serves as General Partner and Head of Connect Ventures (Venture Capital). He served as a Board Member at Fyusion and Pilot AI. He joined NEA as an associate in 2007 and is focused on information and financial technology investments. He also co-manages NEA's seed practice. He is currently on the board of mNectar and TabbedOut and he works closely with BlockCypher, Euclid, Fyusion, GoEuro, Olio Devices, Plaid, Soraa, and Stride Health. He was historically involved with Braintree (acquired by PayPal), Gaikai (acquired by Sony), and Pure Energies (acquired by NRG). He served as a Board Member at Soraa. Prior to joining NEA, he advised on and executed a number of strategic financing initiatives for leading public and private tech companies as part of the Credit Suisse Technology Group. He is currently a member of the Startup Showcase Advisory Board for SXSW and a mentor at Plug and Play Startup Camp. He serves as a Board Member at Union. He earned his bachelor's degree in electrical engineering from Stanford University. He serves as Board Member at Wiith.</t>
  </si>
  <si>
    <t>ryang@nea.com</t>
  </si>
  <si>
    <t>Partner &amp; Head of Technology</t>
  </si>
  <si>
    <t>13958-83P</t>
  </si>
  <si>
    <t>Ronald Bernal</t>
  </si>
  <si>
    <t>Bernal</t>
  </si>
  <si>
    <t>Mr. Ronald Bernal serves as a Venture Partner at New Enterprise Associates. He serves as Board Member at Tigera, SolidFire, ProStor Systems, FabricLock, and Uhana. He served as a Board Member at Fugue. He also served as a Member of the Board of Directors at CSU Ventures. He serves as Board Member at Smartcar. He served as a Board Member at Igneous. He served as a Board Observer at Luminate Wireless. He is an entrepreneur, high-tech business executive, and venture capitalist. He joined New Enterprise Associates in 2010 as a Venture Partner and focuses on information and energy technology investments. He serves on the boards of several NEA portfolio companies. He served as a Board Member of BlueJeans. Before NEA, he was a Partner at Sequel Venture Partners and a Venture Partner at Sutter Hill Ventures. Before SHV, he was Chief of Staff/COO for the Service Provider and Product Technology Group Businesses at Cisco. He joined Cisco via the acquisition of Growth Networks, an internet-switching fabric company where he was President and CEO. He also worked at Silicon Graphics, Inc. as SVP and GM of the $1 billion-plus server division and President of the MIPS group, the microprocessor subsidiary of SGI. He was VP of Engineering, COO, and co-founder of Edge Computer. He also serves on the boards of Open Network Summit (ONS), Colorado School of Mines Advisory, and Colorado State University Ventures. He holds a B.S. in electrical engineering from DeVry Institute of Technology.</t>
  </si>
  <si>
    <t>rbernal@nea.com</t>
  </si>
  <si>
    <t>36034-12P</t>
  </si>
  <si>
    <t>Scott Gottlieb MD</t>
  </si>
  <si>
    <t>Gottlieb</t>
  </si>
  <si>
    <t>Dr. Scott Gottlieb serves as a Board Member at Illumina. Dr. Gottlieb serves as Board Member at Resilience (Biotechnology). He serves as a Partner at Gottlieb. He serves as a Board Member, Member of the Executive Committee, Science and Technology Committee, and Chairman of the Regulatory and Compliance Committee at Pfizer. He has been a Partner, of New Enterprise Associates, Inc.'s Healthcare Investment Team and a Resident Fellow of the American Enterprise Institute since 2019. Served as the 23rd Commissioner of the FDA from 2017 to 2019. e was a Venture Partner at NEA from 2007 to 2017 until being appointed the 23rd Commissioner of the U.S. Food and Drug Administration (FDA), where he served from 2017 to 2019. In addition to his role as an investor, He is a physician, policy expert, and advocate for healthcare entrepreneurship, innovation, and access. Prior to serving as Commissioner of the FDA, He held several roles in the public and private sectors, including serving as a Venture Partner to New Enterprise Associates, Inc. from 2007 to 2017. Director of Illumina, Inc. and Tempus AI, Inc. Director of Aetion, Inc. a private healthcare data technology company, and Tempus, a private technology company. Board Member of National Resilience, Inc. Scientific Advisory Board Member of CellCarta. Member of the National Academy of Medicine and a contributor to the financial news network CNBC. He earned his Degree, his MD from New York University in 2002 and 1999, his BA in Economics from Wesleyan University in 1994, and Graduated from Mount Sinai School of Medicine.</t>
  </si>
  <si>
    <t>+1 (858) 202-4500</t>
  </si>
  <si>
    <t>sgottlieb@illumina.com</t>
  </si>
  <si>
    <t>5200 Illumina Way</t>
  </si>
  <si>
    <t>92122</t>
  </si>
  <si>
    <t>+1 (858) 202-4766</t>
  </si>
  <si>
    <t>Illumina</t>
  </si>
  <si>
    <t>13681-09P</t>
  </si>
  <si>
    <t>Scott Sandell</t>
  </si>
  <si>
    <t>Sandell</t>
  </si>
  <si>
    <t>Chief Investment Officer &amp; Executive</t>
  </si>
  <si>
    <t>Mr. Scott Sandell serves as Executive Chairman &amp; Chief Investment Officer at New Enterprise Associates. He serves as an Advisor and a Board Member at Orby AI. He is also an Advisor at Union. He serves as a Board Member at Union (Austin). He serves as a Board Member at Transfix. He serves as an Advisor at Media Predict. He served as a Board Member at Brale. He serves as a board member at Sana. He served as a Board Member at Fetchr &amp; Inkitt. Merge and Tuya Smart. He served as an Advisor at Sentons. He served as an Advisor at BloomReach. He serves as an Advisor at Four Rivers Group. He served as a Board Member at Datrium. He served as a Board Member at Automation Anywhere and Divvy. He served as a Board Member at UnifyID, Expanse, and CareZone. He serves as a Board Member at Alfred. He served as a Board Member at BlueJeans. He serves as a Board Member of One Concern, Robinhood, and Tableau Software. Since joining the firm in 1996, he has personally led investments in industry-transforming companies like Bloom Energy, Data Domain, Fusion-io, Salesforce.com, Tableau Software, WebEx, and Workday. He is among the most frequently named investors on the Forbes Midas List, with 22 technology companies in his portfolio having completed public offerings or mergers. In addition to his focus on information technology and alternative energy investments, he leads NEA's investing activities in China. He is currently a director of a number of private companies, including Bloom Energy, Branch Metrics, Captora, CloudFlare, Coursera, Green Chef, and Tuya. Other previous investments include Fusion-io (acquired by SanDisk), Neoteris (acquired by Juniper Networks), NetIQ (acquired by Attachmate Corporation), Playdom (acquired by Disney), and Spreadtrum Communications (acquired by Tsinghua Unigroup). Before joining NEA, he was a Product Manager at Microsoft, where he worked on Windows 95. Before joining Microsoft, he was the first salesperson at C-ATS Software and later co-founded and ran the company's European subsidiary. He began his career at the Boston Consulting Group. He holds an MBA from Stanford and an AB in Engineering Sciences from Dartmouth College. He also serves on the Board of Overseers for the Thayer School of Engineering at Dartmouth and is a former Chairman of the National Venture Capital Association (NVCA) (2014-2015). He served as a Board Member at Bitglass.</t>
  </si>
  <si>
    <t>ssandell@nea.com</t>
  </si>
  <si>
    <t>Executive Chairman &amp; Chief Investment Officer</t>
  </si>
  <si>
    <t>125460-82P</t>
  </si>
  <si>
    <t>Shanna Hendriks</t>
  </si>
  <si>
    <t>Shanna</t>
  </si>
  <si>
    <t>Ms. Shanna Hendriks serves as Director of Business Development at New Enterprise Associates. She joined NEA as a Portfolio Services manager in 2014. She focuses on communications and marketing support for the portfolio which includes supporting the PR needs of early-stage companies, acting as a resource to later-stage companies, and developing educational programs and events at NEA for portfolio companies of all levels of growth. She also supports the portfolio through business development and executive briefings. She brings more than eight years of PR agency work at some of the leading PR agencies in the Bay Area to her role with NEA. She was one of the first hires at LaunchSquad where she learned the ropes of emerging tech PR. She then worked with a boutique firm where she represented some of the most well-known winter sports brands doing consumer PR. Realizing that she missed crafting the story that has become so important for technology companies, she went on to join Hill &amp; Knowlton's tech practice working with Fortune 500 companies such as Qualcomm, HP, and Yahoo! She then transitioned in-house to communications at Shutterfly working on corporate communications and the company's photobooks and share site products. Before that move, she worked in PR at Ottawa's famous Fairmont Chateau Laurier. She attended Algonquin College for Public Relations in Ottawa, Ontario.</t>
  </si>
  <si>
    <t>shendriks@nea.com</t>
  </si>
  <si>
    <t>38803-42P</t>
  </si>
  <si>
    <t>Stephanie Brecher JD</t>
  </si>
  <si>
    <t>Brecher</t>
  </si>
  <si>
    <t>Ms. Stephanie Brecher serves as Chief Legal Officer at New Enterprise Associates.</t>
  </si>
  <si>
    <t>+1 (650) 815-2604</t>
  </si>
  <si>
    <t>sbrecher@nea.com</t>
  </si>
  <si>
    <t>+1 (650) 815-4664</t>
  </si>
  <si>
    <t>13679-83P</t>
  </si>
  <si>
    <t>Suzanne King</t>
  </si>
  <si>
    <t>Ms. Suzanne King serves as Partner &amp; Head of LP Relations at New Enterprise Associates. She joined the firm in 1995 and is the Partner in charge of the firm's LP relations and marketing activities. In this role, she has coordinated raising $8.6 billion for NEA funds 12, 13, and 14. She started her career at NEA on the information technology investing team and worked with many portfolio companies including Guardent (acquired by Verisign), and Quantum Bridge Communications (acquired by Motorola). Before NEA, she led the financial team at XcelleNet, a venture-backed developer of system management software for remote access. She helped guide the company from start-up to successful IPO. She also worked as a CPA for Arthur Andersen &amp; Co., specializing in emerging information technology companies. She earned a BS in business administration/accounting from the University of North Carolina at Chapel Hill, an MBA from Northwestern University's Kellogg School of Management, and a Kauffman Fellowship in Venture Capital.</t>
  </si>
  <si>
    <t>sking@nea.com</t>
  </si>
  <si>
    <t>Partner &amp; Head of LP Relations</t>
  </si>
  <si>
    <t>210545-47P</t>
  </si>
  <si>
    <t>Tiffany Le</t>
  </si>
  <si>
    <t>Ms. Tiffany Le serves as Principal at New Enterprise Associates. She serves as a Board Member at Amber Therapeutics and Magenta Medical. She serves as Board Member at Allay Therapeutics. She served as an Associate at Kaiser Permanente Ventures. Joining KPV in 2019, She brings over 7 years of experience working with stakeholders across the healthcare spectrum, including pharma, medtech, provider, and payer. She has researched genomics in precision medicine and synthetic biology and is particularly interested in the use of AI and technology to improve patient care. She began her career as a Senior Life Sciences Consultant at L.E.K. Consulting, where she helped life sciences and healthcare clients tackle major strategic decisions including R&amp;D/pipeline optimization, M&amp;A, pricing strategies, and international expansion. During this period, she also spent time working in London and was on an externship with Amgen working on Customer Experience and Innovation. Before joining KPV, she also obtained venture capital experience at GE Ventures and Bessemer Venture Partners in the healthcare and life sciences sectors. She received a BA in Business Economic Theory from the University of California, Los Angeles, and an MBA from Harvard Business School.</t>
  </si>
  <si>
    <t>tle@nea.com</t>
  </si>
  <si>
    <t>211002-31P</t>
  </si>
  <si>
    <t>Tiffany Luck</t>
  </si>
  <si>
    <t>Luck</t>
  </si>
  <si>
    <t>Ms. Tiffany Luck serves as a Partner at New Enterprise Associates. She serves as Board Member at Smartcar and Twelve Labs. She served as a Partner at GGV Capital. She serves as a Board Observer at WorkBoard. She served as a Board Member at Mindee. She served as a Board Member at Yac and Pinwheel. Before joining GGV, she was with Morgan Stanley's Technology Investment Banking Group in Menlo Park where she worked on several major transactions, including GitHub's recent sale to Microsoft for $7.5 billion. Before Morgan Stanley, she spent time at Amazon and worked with several venture-backed startups. She received a BS from the University of Virginia and an MBA from the Wharton School of the University of Pennsylvania. She served as a Board Member at Stream.</t>
  </si>
  <si>
    <t>tluck@nea.com</t>
  </si>
  <si>
    <t>385413-31P</t>
  </si>
  <si>
    <t>Tracy Howe</t>
  </si>
  <si>
    <t>Howe</t>
  </si>
  <si>
    <t>Director &amp; Limited Partner</t>
  </si>
  <si>
    <t>Ms. Tracy Howe serves as Director, of LP Relations, ESG &amp; Events at New Enterprise Associates.</t>
  </si>
  <si>
    <t>thowe@nea.com</t>
  </si>
  <si>
    <t>Director, LP Relations, ESG &amp; Events</t>
  </si>
  <si>
    <t>92173-24P</t>
  </si>
  <si>
    <t>Vanessa Larco</t>
  </si>
  <si>
    <t>Larco</t>
  </si>
  <si>
    <t>Ms. Vanessa Larco serves as a Partner at New Enterprise Associates. Ms. Larco serves as Partner, New Enterprise Associates at Cleo (Commercial Services). She serves as a Board Member at Atman Capital Partners. She serves as a Board Member at Kindred. She also serves as a Board Member at Evernow &amp; Latinx VC. She serves as a Board Member at Assembled, Mejuri, and Rocket. Chat, Cleo, and Evident. She serves as a Board Observer at HEAVY.AI, Robinhood (Brokerage) &amp; Forethought. She brings nearly a decade of deep product expertise to NEA's consumer and enterprise investing practices, garnered through roles at some of the world's leading technology companies, including Box and Microsoft, and as co-founder of a mobile gaming startup. She most recently served as Box's Director of Product Management for Mobile and Web, leading a team supporting the company's flagship web and mobile products. She pioneered wide-scale A/B testing across the apps and founded the Associate Product Manager program. Before Box, she held positions at Playdom (acquired by Disney Interactive) and Microsoft and co-founded FunLoop, a mobile entertainment platform for kids. She will focus on investments in both enterprise and consumer technologies. She graduated with honors from the Georgia Institute of Technology and earned a BS in Computer Science, specializing in human-computer interaction and usability. She serves as a Board Observer at Granica.</t>
  </si>
  <si>
    <t>vlarco@nea.com</t>
  </si>
  <si>
    <t>385413-49P</t>
  </si>
  <si>
    <t>Victoria Valverde</t>
  </si>
  <si>
    <t>Valverde</t>
  </si>
  <si>
    <t>Ms. Victoria Valverde serves as Associate at Revelation Partners. She serves as an Associate at New Enterprise Associates. She joined NEA in 2023 as an Associate on the Healthcare team working across both the life sciences and digital health sectors. Before joining NEA, She was a member of the Healthcare Investment Banking team at Goldman Sachs, in New York. There, she focused on biotech clients and worked on a variety of M&amp;A, partnership, and financing transactions. She received an MS in biomedical informatics and a BS in bioengineering from Stanford University.</t>
  </si>
  <si>
    <t>+1 (415) 636-5425</t>
  </si>
  <si>
    <t>vvalverde@revelation-partners.com</t>
  </si>
  <si>
    <t>Sausalito</t>
  </si>
  <si>
    <t>Sausalito, CA</t>
  </si>
  <si>
    <t>300 Turney Street</t>
  </si>
  <si>
    <t>94965</t>
  </si>
  <si>
    <t>Revelation Partners</t>
  </si>
  <si>
    <t>42121-00P</t>
  </si>
  <si>
    <t>Donald Dodge</t>
  </si>
  <si>
    <t>Dodge</t>
  </si>
  <si>
    <t>New North Ventures</t>
  </si>
  <si>
    <t>Mr. Donald Dodge serves as an Advisor at Cruiseable. He is an Angel Investor. He serves as a General Partner at New North Ventures. He serves as an Advisor at Aisle411 and PuzzlePiece. He served as a Board Member at Lucid, and Propensity. He served as Board Member at StatSocial. He also served as an Advisor at GV and Binded. He was at Google for 9 years (2009 - 2018) as Head of Developer Relations, and as an Advisor to Google Ventures and Google Capital. He managed external relationships with Venture Capital firms worldwide. As an advisor to Google Ventures, he attended weekly Partner meetings, performed "due diligence" on hundreds of potential investments, advised many portfolio companies, and brought 9 companies into GV as a Venture Partner. He also advised Google Capital on larger strategic investments. Prior to Google, he was a Technology Evangelist at Microsoft for 5 years (2004 - 2009) working with startup developers, founders, and investors. He was also Head of Venture Capital Relations at Microsoft. He briefed VC firms on where Microsoft product plans were going, and areas of strategic cooperation with their portfolio companies. He managed the acquisition of several companies for Microsoft. Prior to Microsoft, he was a VP at several prominent technology companies including; Groove Networks (acquired by Microsoft), Bowstreet Software (acquired by IBM), Napster (acquired by Best Buy), and AltaVista (acquired by Yahoo). He started his technology career at Digital Equipment Corp as a Product Manager in Database Systems, and later as an Engineering Manager. He has been a private investor in over 50 technology companies and served on the Board of Directors of many companies including two Billion dollar Unicorns; Lucid and Aras. He holds a BBA from the University of Southern Maine.</t>
  </si>
  <si>
    <t>+1 (877) 322-3773</t>
  </si>
  <si>
    <t>don@newnorthventures.com</t>
  </si>
  <si>
    <t>848 Elm Street</t>
  </si>
  <si>
    <t>102666-61P</t>
  </si>
  <si>
    <t>Jack Daly</t>
  </si>
  <si>
    <t>Mr. Jack Daly serves as Managing Partner at JFXD Capital. He serves as a Venture Partner at New North Ventures. He is also a Co-Owner and serves as Chief Executive Officer at Fitness Anywhere. He also serves as a Board Member at Newlight Technologies. He served as a Partner at TPG Capital. Before joining TPG, he served as a Partner in the Merchant Banking Division at Goldman Sachs &amp; Co. as the Head of Industrials Private Equity in the Americas. He also served as an Executive at InnoCom Bio Equities. He joined Goldman in 1999 and was named a managing director in 2006. Before joining the bank, he taught mechanical and aerospace engineering at Case Western Reserve University. He most recently served as a Partner and Managing Director in the Principal Investment Area (PIA) of the Merchant Banking Division at Goldman Sachs Group, leading the U.S. Industrials Private Equity team. Before Goldman Sachs, he served as a Senior Instructor of Mechanical and Aerospace Engineering at Case Western Reserve University and as a Visiting Professor of Industrial Engineering at Kasetsart University in Bangkok, Thailand. He serves as a Board Member &amp; Audit Committee Chairman at Newlight. He is also on the board of the Navy SEAL Foundation. He served as a Board Member at Transplace. He received a BS and MS degree in mechanical engineering from CWRU and an MBA from the Wharton School of the University of Pennsylvania. He served as a Board Member at CLEAResult.</t>
  </si>
  <si>
    <t>501 Palm Trail</t>
  </si>
  <si>
    <t>33843</t>
  </si>
  <si>
    <t>JFXD Capital</t>
  </si>
  <si>
    <t>41724-46P</t>
  </si>
  <si>
    <t>Jeremy Hitchcock</t>
  </si>
  <si>
    <t>Hitchcock</t>
  </si>
  <si>
    <t>Mr. Jeremy Hitchcock is a Co-Founder &amp; serves as a General Partner at New North Ventures. He founded and served as Executive Chairman at Minim. He previously served as Chief Executive Officer at the company. He serves as Principal at Orbit Group. He is also an Angel Investor. He served as a Board Member at Efabless. He Co-founded Dyn in 2001 from an open-source project As CEO, bootstrapped the company for 10 years, raised $100mm+ of funding, and built a company from 0 to 500 full-time employees. Dyn was acquired by ORCL for $600mm in 2017. He Co-founded Minim as a response to the Mirai Botnet in 2017 and recruited the current Minim CEO (former Dyn COO) in 2019, Minim (NASDAQ: MINM) went public in 2021 and Personal angel portfolio into over 50 companies. He holds a BS in MIS from Worcester Polytechnic Institute in 2003.</t>
  </si>
  <si>
    <t>jeremy@newnorthventures.com</t>
  </si>
  <si>
    <t>315916-66P</t>
  </si>
  <si>
    <t>Jessica Nelson</t>
  </si>
  <si>
    <t>Ms. Jessica Nelson serves as Principal at New North Ventures. Ms. Nelson served as the Director of Operations for the Rines Angel Fund, an undergraduate seed-stage venture fund focused on backing New England startups. She graduated from the University of New Hampshire Peter T. Paul College of Business &amp; Economics in May 2021 with a Bachelor of Science in Business Administration, and Entrepreneurship and a dual minor in Sales and Sustainable Agriculture.</t>
  </si>
  <si>
    <t>+1 (603) 303-2397</t>
  </si>
  <si>
    <t>jessica@newnorthventures.com</t>
  </si>
  <si>
    <t>328814-29P</t>
  </si>
  <si>
    <t>Kevin Higgins</t>
  </si>
  <si>
    <t>Higgins</t>
  </si>
  <si>
    <t>Mr. Kevin Higgins serves as Venture Partner at New North Ventures.</t>
  </si>
  <si>
    <t>378172-81P</t>
  </si>
  <si>
    <t>Marc Wolf</t>
  </si>
  <si>
    <t>Mr. Marc Wolf serves as a Venture Partner at New North Ventures. He is the Current Chief Development Officer for the Jewish Community Relations Council of New York (JCRC-NY) and former development at National Medal of Honor Museum, Navy SEAL Foundation, Jewish Federations of North America and UJA-Federation of New York, Veteran U.S. Naval Intelligence Officer for Naval Special Warfare's SEAL Team TWO and Maritime Patrol and Reconnaissance Forces with deployments to Afghanistan and Iraq, Secondary naval training included Command/Physical Security, Operational Security (OpSec), Top Secret Control, Anti-Terrorism/Force Protection and Intruder Detection Services. Affiliations include the Intelligence and National Security Alliance (INSA), the Association of Former Intelligence Officers (AFIO), The OSS Society, and the American Society for Industrial Security International (ASIS). He holds a BS in Finance and International Business from Texas A&amp;M University, a Graduate Certificate in Advanced International Affairs at The Bush School of Government and Public Service, and an MBA from Washington University in St. Louis' Olin Business School and Navy SEAL Foundation Ambassador, American Friends of Israel Navy SEALs Treasurer, and Texas A&amp;M University Hillel Board.</t>
  </si>
  <si>
    <t>42273-55P</t>
  </si>
  <si>
    <t>Paul Liberman</t>
  </si>
  <si>
    <t>Liberman</t>
  </si>
  <si>
    <t>Mr. Paul Liberman is a Co-Founder &amp; serves as President, Global Technology and Product, Board Member &amp; Member of the Compliance Committee at DraftKings. He serves as a Venture Partner at New North Ventures. Together with Matthew Kalish and Jason Robins, Paul founded DraftKings in 2011 and built the company from a small operation working of out Paul's spare bedroom to one of the most popular DFS sites in the country, with over 6 million registered users. Paul has served as both CTO and CMO of DraftKings before assuming his current position guiding the company's operations and growth. Before founding DraftKings, Paul was a senior manager of strategy and analytics at Vistaprint, where he held a number of roles in website analytics. Paul holds a B.S. in Electrical Engineering and Computer Science from Worcester Polytechnic Institute.</t>
  </si>
  <si>
    <t>+1 (617) 500-9915</t>
  </si>
  <si>
    <t>pliberman@draftkings.com</t>
  </si>
  <si>
    <t>279475-48P</t>
  </si>
  <si>
    <t>Rick Waddell Ph.D</t>
  </si>
  <si>
    <t>Dr. Rick Waddell serves as Venture Partner at New North Ventures. He holds a BS from the United States Military Academy (Class of 1982), an MA from Oxford earned as a Rhodes Scholar, and a PhD from Columbia. Mr. Waddell served in the Clinton Administration as a Director for European Security Affairs, and in the Trump Administration as the Deputy National Security Adviser. Mr. Waddell most recently served as the Assistant to the Chairman of the Joint Chiefs of Staff (ACJCS), and Senior Military Adviser to the Secretary of State. He retired in 2021 at the rank of Lieutenant General from the U.S. Army.</t>
  </si>
  <si>
    <t>35645-86P</t>
  </si>
  <si>
    <t>Robert May</t>
  </si>
  <si>
    <t>Mr. Robert May is a Co-Founder and serves as General Partner at Half Court Ventures. Mr. May is the Founder and serves as Chief Executive Officer at BrandGuard. He served as Executive Chairman at BrandGuard. He serves as a Venture Partner at Bee Partners. He also serves as a Partner at New North Ventures. He is 4x AI Founder &amp; Thought Leader. He is a Co-Founder and serves as a Board Member &amp; Partner at AI Operators Fund. He served as Board Member at Deeplite. He served as a Venture Partner at PJC. He also served as a Board Member at Native Voice. He served as a Board Member at Root AI. He also serves as a Board Observer at Synthesis AI. He serves as a Board Member at Rethink. He has expertise in AI, hardware, B2B, and SaaS. Before joining PJC, he was the co-founder and served as CEO and Board Member at Talla, an AI, and automation platform, transforming how businesses deliver customer support. He was also the co-founder and CEO of Backupify, the world's first cloud-to-cloud backup provider which was acquired for over $100m. He is a Co-Founder of Neurometric.</t>
  </si>
  <si>
    <t>+1 (502) 523-9696</t>
  </si>
  <si>
    <t>rob@halfcourt.vc</t>
  </si>
  <si>
    <t>2 Park Plaza</t>
  </si>
  <si>
    <t>Half Court Ventures</t>
  </si>
  <si>
    <t>428926-60P</t>
  </si>
  <si>
    <t>Stan Baumgartner</t>
  </si>
  <si>
    <t>Stan</t>
  </si>
  <si>
    <t>Baumgartner</t>
  </si>
  <si>
    <t>Mr. Stan Baumgartner serves as Chief Financial Officer at New North Ventures.</t>
  </si>
  <si>
    <t>stan@newnorthventures.com</t>
  </si>
  <si>
    <t>328814-20P</t>
  </si>
  <si>
    <t>Stephanie Bellistri</t>
  </si>
  <si>
    <t>Bellistri</t>
  </si>
  <si>
    <t>Ms. Stephanie Bellistri serves as General Partner at New North Ventures. She has held senior leadership and interagency positions, managed multi-million dollar enterprise and overseas operations, and traveled globally in support of counterterrorism, counterproliferation, counterintelligence and military operations.</t>
  </si>
  <si>
    <t>stephanie@newnorthventures.com</t>
  </si>
  <si>
    <t>234483-40P</t>
  </si>
  <si>
    <t>Susan Kilrain</t>
  </si>
  <si>
    <t>Kilrain</t>
  </si>
  <si>
    <t>Ms. Susan Kilrain serves as Venture Partner at New North Ventures. She served as Board Member at Transplace. After working for Lockheed Corporation for three years, she joined the Navy. She was commissioned in 1985 and went on to earn her wings in 1987. She was selected by NASA for astronaut training in 1995 and flew as pilot of the Space Shuttle Columbia during STS-83 and STS-94, both in 1997. She worked in Mission Control during the launches and landings for many space shuttle missions. She also worked at NASA Headquarters in Washington, DC in the offices of Safety and Legislative Affairs. She left NASA in 2003 and retired from the Navy in 2005. She was a board member for the Georgia Institute of Technology and Transplace. She is a consultant and motivational speaker, specializing in encouraging young women to excel in STEM careers. She is a graduate of Naval Test Pilot School and has flown over 30 different types of aircraft. She graduated with a master's degree in Aerospace Engineering from Georgia Institute of Technology.</t>
  </si>
  <si>
    <t>68326-21P</t>
  </si>
  <si>
    <t>Suzanne Kelly</t>
  </si>
  <si>
    <t>Ms. Suzanne Kelly is the Founder and serves as Chief Executive Officer, Publisher &amp; Board Member at The Cipher Brief. Prior to this, she served as Vice President of Strategic Initiatives at ACADEMI. She serves as Venture Partner at New North Ventures. She most recently served as CNN's Intelligence Correspondent before spending two years in the private sector. She also worked as an Executive Producer for CNN and as a news anchor at CNN International based in Berlin and Atlanta. In Berlin, she anchored a morning news program that was broadcast live in Europe, the Middle East, and Africa, and from Atlanta, she anchored a number of world news programs. She covered the NATO campaign in 1999 from Kosovo and Macedonia.</t>
  </si>
  <si>
    <t>Marietta</t>
  </si>
  <si>
    <t>Marietta, GA</t>
  </si>
  <si>
    <t>3605 Sandy Plains Road</t>
  </si>
  <si>
    <t>30066</t>
  </si>
  <si>
    <t>Founder, Chief Executive Officer, Publisher &amp; Board Member</t>
  </si>
  <si>
    <t>The Cipher Brief</t>
  </si>
  <si>
    <t>303365-44P</t>
  </si>
  <si>
    <t>Ariella Frank</t>
  </si>
  <si>
    <t>Ariella</t>
  </si>
  <si>
    <t>New Stack Ventures</t>
  </si>
  <si>
    <t>Ms. Ariella Frank serves as an Associate at New Stack Ventures. She served as an Analyst at TXV Partners. Her first venture and startup ecosystem exposure came at Barnard College when she joined seed-stage startup Gooroo. She began working as a business development intern and was quickly asked to join full-time. While balancing a full course load, she progressed from assisting with BD efforts to overseeing an entire business line. After graduating, she joined Goldman Sach's private lending division. She holds a BA in Economics.</t>
  </si>
  <si>
    <t>+1 (312) 804-3306</t>
  </si>
  <si>
    <t>ariella@newstack.com</t>
  </si>
  <si>
    <t>Suite 570</t>
  </si>
  <si>
    <t>99726-85P</t>
  </si>
  <si>
    <t>Bong Koh</t>
  </si>
  <si>
    <t>Bong</t>
  </si>
  <si>
    <t>Mr. Bong Koh is the Founder &amp; Founding Partner of KohFounders. Mr. Koh is an Angel Investor. He is a Co-Founder &amp; serves as an Investment Partner at Hypothesis Studio. He previously helped launch companies that generated over $300M in annual sales, employed hundreds of employees, and raised over $50M in venture funding which were ultimately acquired by Qualcomm, Photobucket, and Brand Networks. His first startup experience was as one of the first employees in the New York Strategy Group at Organic (IPO and acquisition by Omnicom). He has also worked with Advanced Technology Ventures in Palo Alto and was an initial investor in MuckerLab in Santa Monica. He was also an EIR with Prism and a mentor with Techstars (Cedars-Sinai and Chicago), TigerLabs (Princeton), and AlphaLab (Pittsburgh). He was also an Associate at McKinsey in Palo Alto and Los Angeles and an M&amp;A Analyst at Salomon Smith Barney in New York. He holds a BA from Yale University and an MBA from the Sloan School of Management at MIT.</t>
  </si>
  <si>
    <t>+1 (213) 246-6335</t>
  </si>
  <si>
    <t>bong@kohfounders.com</t>
  </si>
  <si>
    <t>11845 West Olympic Boulevard</t>
  </si>
  <si>
    <t>90064</t>
  </si>
  <si>
    <t>KohFounders</t>
  </si>
  <si>
    <t>202777-84P</t>
  </si>
  <si>
    <t>J.R. Moran</t>
  </si>
  <si>
    <t>J.R.</t>
  </si>
  <si>
    <t>Mr. J.R. Moran serves as Chief Operating Officer at New Stack Ventures. As Chief Operating Officer at New Stack, he brings his legal experience to facilitate investment financing and analysis. His career spans more than 15 years as an attorney, focusing primarily on litigation in the areas of patent and antitrust law. Throughout his career, he has represented a variety of inventors and corporations in computer technology, medical devices, and digital media -- successfully litigating and defending $B+ through patent infringement suits and licensing. He has also worked extensively on transactional matters with regard to venture capital financings, venture fund formation, and company financing.</t>
  </si>
  <si>
    <t>jr@newstack.vc</t>
  </si>
  <si>
    <t>224047-45P</t>
  </si>
  <si>
    <t>Luke Skertich</t>
  </si>
  <si>
    <t>Skertich</t>
  </si>
  <si>
    <t>Mr. Luke Skertich serves as Principal at New Stack Ventures. Mr. Skertich is a Principal of FJ Labs. Previously, he was an investor at M25 and held product management roles at three VC-backed startups. He earned an MBA from the University of Chicago Booth School of Business &amp; a Bachelor's in Bioengineering from the University of Illinois at Urbana-Champaign.</t>
  </si>
  <si>
    <t>luke@newstack.com</t>
  </si>
  <si>
    <t>294879-70P</t>
  </si>
  <si>
    <t>Nate Pierotti</t>
  </si>
  <si>
    <t>Pierotti</t>
  </si>
  <si>
    <t>Mr. Nate Pierotti is a Co-Founder of Showdrop. Mr. Nate Pierotti serves as Venture Partner at New Stack Ventures. Prior to New Stack, he co-founded Monarc, a deepTech / Robotics company in the sportsTech space. There he served as Chief Executive Officer and led product development, prior to exit. He also helped design and engineer Monarc's products, receiving multiple patents for his work. He holds a BE in Computer Engineering from University of Iowa.</t>
  </si>
  <si>
    <t>+1 (312) 404-9014</t>
  </si>
  <si>
    <t>nate@showdrop.com</t>
  </si>
  <si>
    <t>1221 North Dearborn Street</t>
  </si>
  <si>
    <t>Apartment 1410 North</t>
  </si>
  <si>
    <t>Showdrop</t>
  </si>
  <si>
    <t>116875-18P</t>
  </si>
  <si>
    <t>Nicholas Moran</t>
  </si>
  <si>
    <t>Mr. Nicholas Moran serves as a General Partner at New Stack Ventures. He serves as a Board Member at Shower Stream and Gamify. He served as a Board Observer at Retail Aware. He served as a Board Member at Urban Sky. Prior to New Stack, He spent time as both an investor and an operator. He also served as an Advisor &amp; Venture Partner at Prota Ventures. He worked in M&amp;A for Danaher, a science and technology conglomerate. After his time in M&amp;A, He developed one of the most successful new products for Danaher, a novel method for testing compounds in drinking water. In addition to his investing efforts, he founded the first Venture Capital podcast, The Full Ratchet. New Stack Ventures started as a small group of Chicago-based investors and has grown into the largest AngelList syndicate, based in the midwest.</t>
  </si>
  <si>
    <t>nick@newstack.com</t>
  </si>
  <si>
    <t>423267-22P</t>
  </si>
  <si>
    <t>Shilpa Reddy</t>
  </si>
  <si>
    <t>Shilpa</t>
  </si>
  <si>
    <t>Ms. Shilpa Reddy serves as Analyst at New Stack Ventures. Prior to New Stack, she sourced and diligenced consumer, enterprise, and healthcare startups at VU Venture Partners. During her time as a Clinical Research Data Analyst at UC Davis Hospital, where she was exposed to innovative medical devices. She holds a degree from University of Texas, Austin.</t>
  </si>
  <si>
    <t>shilpa@newstack.com</t>
  </si>
  <si>
    <t>65766-43P</t>
  </si>
  <si>
    <t>Cameron Lawrence</t>
  </si>
  <si>
    <t>Newlab</t>
  </si>
  <si>
    <t>Mr. Cameron Lawrence serves as Chief Executive Officer at Newlab. He serves as Chief Financial Officer at Crafty. He served as Chief Financial Officer at General Nutrition Centers. He served as Chief Accounting Officer &amp; Senior Vice President, Finance at General Nutrition Centers. Effective April 15, 2019, He was appointed as Senior Vice President Finance and Chief Accounting Officer at GNC Holdings, Inc. Before his appointment, He served as the Chief Operating &amp; Financial Officer at Ondine Biomedical Inc., and before that time had spent more than five years with PNI Digital Media, a subsidiary of Staples, Inc. as the Business Unit Chief Executive Officer and General Manager. He has also held various roles in Finance and Accounting at PricewaterhouseCoopers and OncoGenex Pharmaceuticals.</t>
  </si>
  <si>
    <t>+1 (718) 488-7005</t>
  </si>
  <si>
    <t>cameron@newlab.com</t>
  </si>
  <si>
    <t>Brooklyn Navy Yard</t>
  </si>
  <si>
    <t>11205</t>
  </si>
  <si>
    <t>General Nutrition Centers (Former)</t>
  </si>
  <si>
    <t>385297-39P</t>
  </si>
  <si>
    <t>Carl Wolf</t>
  </si>
  <si>
    <t>Mr. Carl Wolf serves as Chief Commercial &amp; Operating Officer at Newlab. Mr. Wolf served as Chief Operating Officer at LanzaTech. Mr. Wolf joined LanzaTech in 2011 and has worked in various roles throughout the company, including operations, project management, government relations, and business development and strategy. Before joining LanzaTech, Carl was a consultant at BCS, Incorporated, where he worked with environmental and energy sector clients, including the U.S. Department of Energy. Carl holds a B.A. from the University of Maryland-Baltimore County, a M.Sc. from New York Institute of Technology, and an MBA from The Kellogg School of Management at Northwestern University.</t>
  </si>
  <si>
    <t>carl@lanzatech.com</t>
  </si>
  <si>
    <t>130261-78P</t>
  </si>
  <si>
    <t>David Belt</t>
  </si>
  <si>
    <t>Mr. David Belt is a Co-Founder and serves as Executive Chairman at New Lab. He serves as Advisory Board Member at Green Frontier Capital. He serves as Board Member at Neighborhood Trust. He is the founder and Executive Director of DBI and Macro Sea. Newlab is an interdisciplinary space designed to support entrepreneurs working in emerging technologies in NYC and is a public-private partnership within the City of New York, which supports over 200 start-ups in a variety of fields including robotics, A.I., urban technology, and energy. He was voted one of the top 50 most powerful people in tech in NYC in 2019 by City &amp; State and one of the top 100 most influential people in Brooklyn by Brooklyn Magazine. He is also the Founder of Macro Sea, a New York-based real estate development firm that repurposes unused space. He has been a guest lecturer for institutions such as Columbia University, RPI, Penn Design, Community Design Collaborative, the Atlantic Conference, the Venice Biennale, and MoMA.</t>
  </si>
  <si>
    <t>david@newlab.com</t>
  </si>
  <si>
    <t>209021-59P</t>
  </si>
  <si>
    <t>Garrett Winther</t>
  </si>
  <si>
    <t>Winther</t>
  </si>
  <si>
    <t>Mr. Garrett Winther serves as Chief Venture Officer at Newlab. He served as Partner at Hax Incubator. He served as Partner, HAX at SOSV. He empowers new startups with early stage investment, defining go-to-market strategies, and continuous development of HAXs global ecosystem of founders, partners, and investors. Prior to joining Hax Incubator, he enjoyed eight years with IDEO, a global design and innovation firm, where he lead large innovation programs and global client relationships across a diverse portfolio of automotive, healthcare, retail, and consumer electronics businesses. During his time at IDEO, he and his teams influenced over eighty billion dollars in clients annual revenue, launched numerous corporate ventures, and instilled cultures of ongoing innovation around the world. He also constantly draws from the highs and lows of launching his own venture-backed hardware startups in the past. He is continuously learning and building new ventures which has lead to a breadth of capabilities that complement his degree in Mechanical Engineering from M.I.T.</t>
  </si>
  <si>
    <t>garrett@newlab.com</t>
  </si>
  <si>
    <t>Chief Venture Officer</t>
  </si>
  <si>
    <t>181902-70P</t>
  </si>
  <si>
    <t>Liz Keen</t>
  </si>
  <si>
    <t>Keen</t>
  </si>
  <si>
    <t>Ms. Liz Keen serves as Chief Strategy Officer at Newlab. Previously, she served Chief Business Officer. Ms. Keen serves as Venture Partner at ACME Capital. She has more than of 10 years of experience in strategic communications and brand positioning and has worked with some of the world's leading brands across technology, fashion, and hospitality. She is currently Head of Brand and Communications for Sherpa Capital where she manages media relations and brand initiatives for the Firm and provides strategic communications counsel and industry connectivity for Sherpa Capital portfolio companies. Previously, She was a partner at Sherpa Foundry, a corporate innovation platform founded by Sherpa Capital cofounders Scott Stanford and Shervin Pishevar. There she created strategic programming that connected Sherpa Foundry members (including DreamWorks [acq. Comcast], Target, Salesforce, and eBay), to the best startups, entrepreneurs, and emerging technology through curated experiences. Prior to joining the Sherpa family, She spent several years in New York City as Senior Director of Communications + Special Projects at Conde Nast where she managed public relations, executive positioning and global programming across the company's media properties. She has served as an advisor to multiple startups and as a consultant to Equinox, overseeing strategy around the rebranding of Furthermore, their editorial platform and retail business. She has received her BA in Public Relations from the University of Southern California.</t>
  </si>
  <si>
    <t>+1 (212) 286-8059</t>
  </si>
  <si>
    <t>liz.keen@newlab.com</t>
  </si>
  <si>
    <t>118929-61P</t>
  </si>
  <si>
    <t>Satish Rao</t>
  </si>
  <si>
    <t>Mr. Satish Rao serves as Chief Product Officer at New Lab. He served as Associate Director of Physical Sciences Licensing at Columbia Technology Ventures. He joined as Project Manager at Columbia Technology Ventures in the year 2013. Prior to that he served as Postdoctoral Research Associate at Icahn School of Medicine at Mount Sinai.</t>
  </si>
  <si>
    <t>satish@newlab.com</t>
  </si>
  <si>
    <t>141358-78P</t>
  </si>
  <si>
    <t>Scott Cohen</t>
  </si>
  <si>
    <t>Mr. Scott Cohen is a Co-Founder and serves as a Board Member &amp; Partner at New Lab. He is a Co-Founder &amp; serves as Chairman at Applied XL. He served as a Board member at StrongArm Tech. Cohen is a versatile artist and entrepreneur with a vast appetite to learn about new technologies and build bridges where none existed. He has a particular interest in people working across disciplines that are leveraging technology and design to solve complex problems. He holds investments in Nanotronics Imaging, NDI Medical, GoTenna, Plethora, and Britehub-all enterprises that reflect New Lab's mission. His career has spanned many disciplines ranging from his partnerships with Belt, his work in the photographic arts, and a narrative feature film he shot in Antarctica that won a FIPRESCI Grand Jury Award for Best New American Cinema.</t>
  </si>
  <si>
    <t>scott@newlab.com</t>
  </si>
  <si>
    <t>Co-Founder, Partner &amp; Board Member</t>
  </si>
  <si>
    <t>228165-04P</t>
  </si>
  <si>
    <t>Annette Brenner</t>
  </si>
  <si>
    <t>NextCorps</t>
  </si>
  <si>
    <t>Ms. Annette Brenner serves as Senior Business Advisor, Growth Services at NextCorps. Annette identifies and develops new clients and projects as she promotes all of NextCorps' manufacturing growth services to the region's small- and mid-sized manufacturers. This includes finding the best service providers and potential funding resources for projects such as strategic business solutions and growth services, lean enterprises, quality management, market development, product design, and prototyping. Annette strategizes to assist companies in identifying the best service provider and potential funding resources. Prior to NextCorps, Annette has been a senior research engineer and global buyer for General Motors, graphic designer, lecturer, and office to operations in a machine shop. Annette has chemical engineering degrees from The University of Akron and the University of Kentucky and an MBA from Simon School of Business, University of Rochester. Annette enjoys problem solving with the manufacturers in our region for the diverse products they make and with the wide range of service providers that partner on projects to provide solutions.</t>
  </si>
  <si>
    <t>+1 (585) 214-2400</t>
  </si>
  <si>
    <t>annette.brenner@nextcorps.org</t>
  </si>
  <si>
    <t>260 East Main Street</t>
  </si>
  <si>
    <t>Suite 6000</t>
  </si>
  <si>
    <t>+1 (585) 327-7931</t>
  </si>
  <si>
    <t>Senior Business Advisor, Growth Services</t>
  </si>
  <si>
    <t>259117-48P</t>
  </si>
  <si>
    <t>Chris Carpenter</t>
  </si>
  <si>
    <t>Carpenter</t>
  </si>
  <si>
    <t>Mr. Chris Carpenter serves as Marketing &amp; Community Relations Manager, For ClimateTech at NextCorps. He handles all marketing requirements for Venture For ClimateTech and Scale For ClimateTech programs, including lead generation, videos, podcasts, social media, and content for events and newsletters. Before joining NextCorps, he managed reporters and videographers in multiple roles, including acting as the liaison between Congress and all broadcast media on Capitol Hill and as an assignment editor for Spectrum News. In addition, he supported the NBC Olympic Broadcast for the 2014 and 2016 Olympic games in various roles. He is a seasoned videographer, and has produced and animated programs for HealthCentral.Com, TheBody, WXXI, Grid Alternatives, and The Climate Mobilization. He has a B.S. in Television-Radio Media Production from Ithaca College.</t>
  </si>
  <si>
    <t>+1 (585) 678-4772</t>
  </si>
  <si>
    <t>chris.carpenter@nextcorps.org</t>
  </si>
  <si>
    <t>Marketing &amp; Community Relations Manager, For ClimateTech</t>
  </si>
  <si>
    <t>228197-53P</t>
  </si>
  <si>
    <t>Devin Sandon</t>
  </si>
  <si>
    <t>Sandon</t>
  </si>
  <si>
    <t>Mr. Devin Sandon serves as Operations Manager, Venture For ClimateTech at NextCorps. Devin works to recruit, develop, and support the growth of early stage ClimateTech startups both inside and outside of the Venture For ClimateTech program. In addition, he works broadly to support NextCorps' programs and strategic initiatives with regards to generating greater program integration within the NextCorps ecosystem. Prior to working for NextCorps, Devin served as an information analyst at the Center for Emerging and Innovative Sciences at the University of Rochester, where he worked to support and grow the optics and photonics cluster in Rochester. Devin is a graduate of the University of Rochester, where he completed his bachelor's degree in political science and economics, as well as completing the Take Five Scholars program in which he investigated the political, economic, cultural, philosophical, and religious development of Southeast Asia, with a particular focus on China.</t>
  </si>
  <si>
    <t>devin.sandon@nextcorps.org</t>
  </si>
  <si>
    <t>Operations Manager, Venture For ClimateTech</t>
  </si>
  <si>
    <t>103230-82P</t>
  </si>
  <si>
    <t>Holly Barrett</t>
  </si>
  <si>
    <t>Ms. Holly Barrett serves as Chief Marketing Officer at NextCorps Luminate. She serves as Chief Marketing Officer at NextCorps. She oversees branding and marketing activities for NextCorps and its many programs and events, including inbound and outbound marketing for Luminate, ClimateTech, and Embark. She is a technology marketing and PR professional who has worked at small and large agencies, supporting brands such as Motorola, ViewSonic, Xerox, Mobil Chemical, and a host of fledging tech companies. Before joining NextCorps, She helped Brand Cool secure millions in contract revenues, scale and manage the business, and aided in its acquisition by Butler/Till. She teaches executive communication at St. John Fisher College at its Center for Community Engagement and was a former instructor at Monroe County's The Entrepreneurs Network. She earned her audio engineering degree at Michigan State University and has served on boards and committees for Volunteers of America, The Children's Agenda, and the Rochester Museum &amp; Science Center.</t>
  </si>
  <si>
    <t>NextCorps Luminate</t>
  </si>
  <si>
    <t>259073-74P</t>
  </si>
  <si>
    <t>Jackie Amigone</t>
  </si>
  <si>
    <t>Amigone</t>
  </si>
  <si>
    <t>Ms. Jackie Amigone serves as Operations Manager and IT Supervisor at NextCorps. She has worked supporting the entrepreneurs at NextCorps in several capacities since 1999. Jackie graduated from SUNY Fredonia with a BA in theatre arts production and has remained involved in Rochester's vibrant arts community with Blackfriars Theatre. Jackie is inspired by the passion and drive Rochester entrepreneurs possess, and she's excited to see the startup community continue to strengthen and help drive economic growth.</t>
  </si>
  <si>
    <t>+1 (585) 214-2402</t>
  </si>
  <si>
    <t>jackie.amigone@nextcorps.org</t>
  </si>
  <si>
    <t>Operations Manager and IT Supervisor</t>
  </si>
  <si>
    <t>47618-92P</t>
  </si>
  <si>
    <t>James Senall</t>
  </si>
  <si>
    <t>Senall</t>
  </si>
  <si>
    <t>Mr. James Senall serves as President at NextCorps. He is a Co-Founder &amp; serves as Managing Director at Rochester Angel Network. He serves as President at High Tech Rochester. Jim joined High Tech Rochester in 2009, and in that capacity leads the HTR team towards their mission of creating entrepreneurship and innovation-based regional growth. During his tenure at HTR, the organization has launched several new initiatives including a software accelerator program, a clean tech accelerator, and a statewide Entrepreneur-in-Residence program. Through these and its other offerings, HTR has served more than 800 client companies over the past 5 years. Prior experience includes co-founding the Rochester Angel Network in 2005, which he continues to lead as its Managing Director; experience with multiple startup companies; engineering and manufacturing roles at multi-billion dollar firms; and teaching graduate-level courses in tech entrepreneurship. Jim has served in various board roles including chairman of the Business Incubator Association of New York State, board member of the New York State Economic Development Council, board member of Adarza Biosystems, Executive Committee member of the University of Rochester's Tech Development Fund, Investment Committee member of Launch NY's seed capital fund, and board member of Rochester Angel Network and the Rochester Angel Fund. Jim holds a B.S. in electrical engineering from the Rochester Institute of Technology, and an M.B.A. in marketing and entrepreneurship from the Simon Business School, University of Rochester. He and his family reside in Penfield, NY and they enjoy spending time in Lake Placid each winter and the Outer Banks, NC each summer</t>
  </si>
  <si>
    <t>james.senall@nextcorps.org</t>
  </si>
  <si>
    <t>184821-49P</t>
  </si>
  <si>
    <t>Michael Sisson</t>
  </si>
  <si>
    <t>Sisson</t>
  </si>
  <si>
    <t>Mr. Michael Sisson serves as Senior Business Advisor at NextCorps. He has over 30 years of diverse manufacturing and economic development experience with manufacturing firms in the Finger Lakes Region. His passion is working with small/medium size manufacturing companies helping them grow and innovate. He has extensive experience working with clients in manufacturing operations, strategic planning, business plan development and funding resources. He has a strong background in Lean, ISO, and Operation Management. His experience spans a wide variety of industries, including fabricated metals, medical industry, plastics, food and agriculture processing, optics and metal finishing. Mike is a N.I.S.T Certified Trainer in all Lean Tools and a LEAN Certified Trainer via MEP University. Mike holds a B.S. in mechanical engineering from Rensselaer Polytechnic Institute and an M.B.A. from the Simon Business School, University of Rochester. He has also completed numerous training classes in world-class manufacturing operations.</t>
  </si>
  <si>
    <t>michael.sisson@nextcorps.org</t>
  </si>
  <si>
    <t>118388-71P</t>
  </si>
  <si>
    <t>Mike Riedlinger</t>
  </si>
  <si>
    <t>Riedlinger</t>
  </si>
  <si>
    <t>Mr. Mike Riedlinger serves as Managing Director, Technology Commercialization &amp; Scale For ClimateTech at NextCorps. He was a Co-Founder &amp; served as Board Member at Diffinity Genomics. He serves as Program Manager at HTR LaunchPad. He serves as Managing Director at For ClimateTech. He holds a B.F.A. from Rochester Institute of Technology and a M.B.A. from the University of Rochester, where he is currently a Lecturer in Technical Entrepreneurship Management.</t>
  </si>
  <si>
    <t>+1 (585) 413-9061</t>
  </si>
  <si>
    <t>mike.riedlinger@nextcorps.org</t>
  </si>
  <si>
    <t>Managing Director, Technology Commercialization &amp; Scale For ClimateTech</t>
  </si>
  <si>
    <t>446201-83P</t>
  </si>
  <si>
    <t>Peter Hogya</t>
  </si>
  <si>
    <t>Hogya</t>
  </si>
  <si>
    <t>Mr. Peter Hogya serves as Startup Manufacturing Program Coordinator at NextCorps. He serves as Executive at For ClimateTech.</t>
  </si>
  <si>
    <t>+1 (585) 410-9563</t>
  </si>
  <si>
    <t>peter.hogya@nextcorps.org</t>
  </si>
  <si>
    <t>Startup Manufacturing Program Coordinator</t>
  </si>
  <si>
    <t>54221-68P</t>
  </si>
  <si>
    <t>Sujatha Ramanujan Ph.D</t>
  </si>
  <si>
    <t>Sujatha</t>
  </si>
  <si>
    <t>Ramanujan</t>
  </si>
  <si>
    <t>Dr. Sujatha Ramanujan serves as Managing Director &amp; Chief Investment Officer at Luminate. She serves as Managing Director, Luminate &amp; Chief Investment Officer at NextCorps. She serves as Board Advisor at Double Helix Optics. She was the Chief Operating Officer and Vice President at Intrinsiq Materials. She serves as a Board Member at SunDensity and NanoPattern Technologies. She is a serial entrepreneur and seasoned executive with 25 years of experience in Clinical Devices and Consumer Electronics. She has started, built, and grown three startup businesses in cardiac surgical equipment, optical communications, and nanomaterials. In addition, as CTO and Product Line Manager of Mammography CAD and Pediatric Businesses within Kodak and Carestream, her team developed and launched clinical equipment and Clinical IT on every continent. She has held scientific, technical leadership, and laboratory head positions in Chrysler Corporation, GE, Kodak, Carestream, and Intrinsiq Materials. She holds 28 issued US patents. As a corporate investor for Kodak, then later working with regional investment councils, she provides guidance to start-ups, M&amp;A strategies for growing businesses, and vetting of technologies to investors. She has served on investment advisories in the US, Canada, and Israel. She holds a Ph.D. in Electrical Engineering from the University of Michigan and is an Executive Board Member of the National Women's Hall of Fame.</t>
  </si>
  <si>
    <t>sujatha.ramanujan@nextcorps.org</t>
  </si>
  <si>
    <t>Managing Director &amp; Chief Investment Officer</t>
  </si>
  <si>
    <t>93729-07P</t>
  </si>
  <si>
    <t>Brandon Hurlbut JD</t>
  </si>
  <si>
    <t>Hurlbut</t>
  </si>
  <si>
    <t>NGP Energy Capital Management</t>
  </si>
  <si>
    <t>Mr. Brandon Hurlbut is a Co-Founder &amp; serves as Partner at Boundary Stone Partners. He is a leader in climate policy, finance, technology, advocacy, law, politics, and media. He served as a Board Member at Swell. He served in the Obama Administration as the U.S. Department of Energy (DOE) Chief of Staff and in the White House as the President's liaison to the energy and environment cabinet agencies. He provided leadership and counsel to the White House and Cabinet Secretaries during high-profile initiatives and challenges including the deployment of $90 billion in clean energy investments under the Obama Recovery Act, the Fukushima nuclear accident in Japan, the Gulf oil spill, and Hurricane Sandy. At the DOE, he served on the investment committee for the department's $38 billion clean energy fund. He is a co-founder of Overture VC, a climate tech seed investment fund. In addition, he is a Senior Advisor to Aligned Climate Capital, an investor in sustainability infrastructure, and serves on the Evergreen Action Advisory Board. He serves as an Operating Partner at NGP Energy Capital Management. He is an Operating Partner of the NGP energy transition funds, and he brings over two decades of experience working in the policy, finance, technology, advocacy, law, politics, and media areas of climate change. He joined the firm in 2020. He previously served in the Obama Administration as the U.S. Department of Energy Chief of Staff and in the White House as the President's liaison to the energy and environment cabinet agencies. At the DOE, he oversaw the day-to-day operations of a federal agency with a $29 billion budget and a 115,000-person workforce. He served on the investment committee for its $38 billion clean energy fund. After public service, he co-founded Boundary Stone Partners, a climate government affairs firm, and Overture, a climate seed fund. He currently serves on the board of directors of the following organizations: Sparkfund, an energy infrastructure finance platform; Swell Energy, a residential battery storage developer; Orka, a solar finance company; the Sunrise Movement, a youth climate advocacy organization; Clean Energy for America, an organization supporting candidates who champion climate change; and Solutions Project, an environmental justice organization. He earned a J.D. from Georgetown University Law Center in 2004 and a B.A. from the University of Illinois at Urbana-Champaign in 1997.</t>
  </si>
  <si>
    <t>+1 (972) 432-1440</t>
  </si>
  <si>
    <t>brandon@boundarystone.com</t>
  </si>
  <si>
    <t>999 East Street North West</t>
  </si>
  <si>
    <t>Boundary Stone Partners</t>
  </si>
  <si>
    <t>121555-27P</t>
  </si>
  <si>
    <t>Brian Patterson JD</t>
  </si>
  <si>
    <t>Mr. Brian Patterson serves as Partner, Investor Relations at NGP Energy Capital Management. He serves as a Partner of the NGP funds and oversees our Investor Relations activities while focusing on the firm's capital-raising activities. He brings nearly 20 years of financial and legal experience to the firm's investment pursuits and sits on the firm's Investment Committee, Monitoring Committee, and Investment Process Committee. He joined NGP in 2016. Prior to joining NGP, he was an Investment Manager with the University of Notre Dame Investment Office, where he oversaw Notre Dame's global energy efforts, including sourcing, underwriting, and investing in the upstream, services, midstream, and power sectors. In 2014, he was recognized by Oil and Gas Investor Magazine as one of the Top 20 Under 40 in Energy Finance. Before his work with the University of Notre Dame, he was an Attorney with Goodwin Procter LLP and Verrill Dana LLP, where he specialized in private equity, complex merger and acquisition transactions, and joint-venture transactions. He graduated cum laude from the University of Notre Dame in May 1999. He received a J.D. from Boston College Law School in 2003 and is a CFA Charterholder.</t>
  </si>
  <si>
    <t>bpatterson@ngpenergy.com</t>
  </si>
  <si>
    <t>2850 North Harwood Street</t>
  </si>
  <si>
    <t>+1 (972) 432-1441</t>
  </si>
  <si>
    <t>Partner, Investor Relations</t>
  </si>
  <si>
    <t>99289-72P</t>
  </si>
  <si>
    <t>Brian Seline</t>
  </si>
  <si>
    <t>Seline</t>
  </si>
  <si>
    <t>Mr. Brian Seline serves as Partner at NGP Energy Capital Management. He concentrates on NGP's efforts in sourcing new investments, acquisition evaluation, and serving on the boards of current investments. He joined NGP in 2013. He has over a decade of experience in the energy industry, and In his time with NGP, he has worked directly with over 20 upstream and midstream companies across the investment lifecycle-from first idea to ultimate exit. Prior to NGP, he was an Investment Banking Analyst with Barclays Capital's Natural Resources Group in Houston, where he focused on financing and merger and acquisition transactions in the oil and gas industry. He received a B.B.A. in Finance and a B.A. in Economics in 2011 from The University of Texas at Austin, where he was a member of the Phi Beta Kappa scholastic honor society.</t>
  </si>
  <si>
    <t>bseline@ngpenergy.com</t>
  </si>
  <si>
    <t>160511-77P</t>
  </si>
  <si>
    <t>Brittany Irvin</t>
  </si>
  <si>
    <t>Ms. Brittany Irvin serves as Manager of Investor &amp; Financial Reporting at NGP Energy Capital Management. She joined NGP in 2016. She served as Investor Reporting Associate at Tillridge Global Agribusiness Partners. She concentrates on NGP's efforts in serving Limited Partners, financial reporting, and forecasting and supports the firm's Valuation and ESG committees. Prior to joining NGP, she was a Senior Analyst with Goldman Sachs, focused on reporting for the firm's private equity funds. She began her career as an Auditor with Ernst &amp; Young's Financial Services Office, where her audit work focused on private equity funds, hedge funds, and mutual funds. She earned a B.S. in Accounting and M.S. in Finance in 2012 from Texas A&amp;M University and is a CPA in Texas.</t>
  </si>
  <si>
    <t>birvin@ngpenergy.com</t>
  </si>
  <si>
    <t>Manager of Investor &amp; Financial Reporting</t>
  </si>
  <si>
    <t>409257-10P</t>
  </si>
  <si>
    <t>Carli Siller</t>
  </si>
  <si>
    <t>Carli</t>
  </si>
  <si>
    <t>Siller</t>
  </si>
  <si>
    <t>Ms. Carli Siller serves as Associate at NGP Energy Capital Management.</t>
  </si>
  <si>
    <t>+1 (972) 945-8495</t>
  </si>
  <si>
    <t>csiller@ngpenergy.com</t>
  </si>
  <si>
    <t>148495-60P</t>
  </si>
  <si>
    <t>Charlie Shufeldt</t>
  </si>
  <si>
    <t>Shufeldt</t>
  </si>
  <si>
    <t>Mr. Charlie Shufeldt is the Founder &amp; serves as President at Elk Range Royalties. He also serves as a Vice President at NGP Energy Capital Management. He is the President of Elk Range Royalties. Prior to forming Elk Range, he was a co-founder and Managing Director of IOG Capital, LP and President of IOG Resources, LLC. During his time with IOG, the company was a pioneer in structuring DrillCo transactions, deploying over $800mm in capital across more than 500 wells since 2015. He began his career with Bank of America in California before moving to Texas with HBK Capital Management. He is a Chartered Financial Analyst (CFA) and holds a bachelor's degree from Stanford University where he studied Economics and Computer Science. He has remained involved with his alma mater and currently serves as Chairman of the Stanford Doerr School of Sustainability's Petroleum Investments Committee (PIC). He and Clint formed the company in early 2020 to fill a need they saw in the market for producing minerals and royalties. Prior to forming Elk Range, he was a co-founder and Managing Director of IOG Capital, LP and President of IOG Resources, LLC. During his time with IOG, the company was a pioneer in structuring DrillCo transactions, deploying over $800mm in capital across more than 500 wells since 2015. He began his career with Bank of America in California before moving to Texas with HBK Capital Management. He is a Chartered Financial Analyst (CFA) and holds a bachelor's degree from Stanford University where he studied Economics and Computer Science He has remained involved with his alma mater and currently serves as Chairman of the Stanford Doerr School of Sustainability's Petroleum Investments Committee (PIC). He is a Chartered Financial Analyst (CFA), and a 2002 alumnus of Stanford University.</t>
  </si>
  <si>
    <t>+1 (972) 432-1340</t>
  </si>
  <si>
    <t>charlie.shufeldt@elkrange.com</t>
  </si>
  <si>
    <t>2110 Farrington Street</t>
  </si>
  <si>
    <t>75207</t>
  </si>
  <si>
    <t>Elk Range Royalties</t>
  </si>
  <si>
    <t>112702-78P</t>
  </si>
  <si>
    <t>Chase Paxton</t>
  </si>
  <si>
    <t>Paxton</t>
  </si>
  <si>
    <t>Mr. Chase Paxton serves as Director of Finance &amp; Valuations at NGP Energy Capital Management. He joined NGP in 2013. Prior to NGP, he was a Director at Duff &amp; Phelps (nka Kroll), where he prepared valuations for financial and tax reporting, portfolio valuation, transaction opinions, and dispute resolution. He is a CFA Charterholder and received his B.B.A. through the Honor's Program in Management in 2003 from Texas Tech University and an M.B.A. in Finance from Mays Business School in 2005 from Texas A&amp;M.</t>
  </si>
  <si>
    <t>+1 (972) 322-0425</t>
  </si>
  <si>
    <t>cpaxton@ngpenergy.com</t>
  </si>
  <si>
    <t>Director of Finance &amp; Valuations</t>
  </si>
  <si>
    <t>258098-68P</t>
  </si>
  <si>
    <t>Chester Wang</t>
  </si>
  <si>
    <t>Chester</t>
  </si>
  <si>
    <t>Mr. Chester Wang serves as Vice President at NGP Energy Capital Management. He serves as an Associate for the firm, concentrating on NGP's efforts in sourcing investments, transaction analysis, and execution, as well as monitoring active portfolios. He joined NGP in 2020. Prior to NGP, he was an Investment Banking Analyst with Evercore Partners in Houston, focusing on financing and merger and acquisition transactions in the oil and gas industry. He received a B.S. in Petroleum Engineering from The University of Tulsa in 2018.</t>
  </si>
  <si>
    <t>cwang@ngpenergy.com</t>
  </si>
  <si>
    <t>717 Texas Avenue</t>
  </si>
  <si>
    <t>Suite 1650</t>
  </si>
  <si>
    <t>28273-42P</t>
  </si>
  <si>
    <t>Chris Carter</t>
  </si>
  <si>
    <t>Mr. Chris Carter serves as Managing Partner at NGP Energy Capital Management. Mr.Carter served as Board Member at Switchback II. As Managing Partner, he oversees NGP's efforts in sourcing, structuring, executing, and monitoring investments. He chairs the Investment, Investment Process and Monitoring Committees and is a member of NGP's Executive Committee. he joined NGP in 2004. Previously, he was a summer Associate at McKinsey &amp; Company and an Analyst with Deutsche Bank's Energy Investment Banking Group, where he focused on financing and merger and acquisition transactions. He received a B.B.A. and an M.P.A. in Accounting from the University of Texas at Austin in 2002, where he was a member of the Canfield Business Honors Program. He also received an M.B.A. from Stanford University Graduate School of Business in 2008, graduating as an Arjay Miller Scholar.</t>
  </si>
  <si>
    <t>ccarter@ngpenergy.com</t>
  </si>
  <si>
    <t>185257-27P</t>
  </si>
  <si>
    <t>Christina Sanders</t>
  </si>
  <si>
    <t>Ms. Christina Sanders serves as General Counsel - Energy Transition, Assistant General Counsel at NGP Energy Capital Management. She joined NGP in 2018 and is focused on NGP's fund formations and the structuring and execution of transactions on behalf of NGP and its portfolio companies. She is also a member of the NGP ESG Committee. Prior to NGP, she was an Associate with the law firm of Thompson &amp; Knight LLP for over five years. As a member of the firm's Corporate and Securities practice group, she focused her practice on energy private equity work, including investments in portfolio companies, energy transactional work, and private equity fund formations. She received a B.A. in Political Science from the University of Southern California in 2008 and a J.D., summa cum laude, from Texas Tech University School of Law in 2012.</t>
  </si>
  <si>
    <t>csanders@ngpenergy.com</t>
  </si>
  <si>
    <t>General Counsel - Energy Transition, Assistant General Counsel</t>
  </si>
  <si>
    <t>409257-73P</t>
  </si>
  <si>
    <t>Colin Kanatzar</t>
  </si>
  <si>
    <t>Kanatzar</t>
  </si>
  <si>
    <t>Mr. Colin Kanatzar serves as Associate at NGP Energy Capital Management. He graduated from Texas A&amp;M University - Mays Business School with a BBA in Accounting before getting his Master of Science in Finance from the same university. Prior to NGP, he worked at Truist Securities before moving to Guggenheim Securities as an investment banking analyst.</t>
  </si>
  <si>
    <t>+1 (972) 640-8316</t>
  </si>
  <si>
    <t>ckanatzar@ngpenergy.com</t>
  </si>
  <si>
    <t>30108-16P</t>
  </si>
  <si>
    <t>Craig Glick JD</t>
  </si>
  <si>
    <t>Mr. Craig Glick serves as Partner at NGP Energy Capital Management. He serves as Board Member at Catapult Energy Services Group and Caltex Trilogy. He joined NGP in 2006. He brings over 37 years of legal and financial experience to the firm's structuring and execution activities. He plays an active role in the full range of NGP's investment process and sits on the firm's Executive Committee. Previously, he served as Managing Director and General Counsel for NGP Midstream &amp; Resources from 2006 to 2008. He was a founding partner of Kosmos Energy Holdings and served as Senior Vice President, General Counsel, and Corporate Secretary from 2003 to 2006. His previous tenures also include Hunt Resources and Hunt Oil Company (1999 to 2003), Gulf Canada Resources, Limited (1994 to 1999), and Torch Energy Advisors (1994). He was a Partner in the law firm of Vinson &amp; Elkins from 1985 to 1994 and has been a director of six publicly-traded companies: HighPoint Resources, Vantage Energy, Northern Blizzard Resources, Inc., Parallel Energy Trust, Westside Energy, Inc., and Gulf Indonesia Resources. He received a B.A. in Political Science, cum laude, from Tulane University in 1982 and a J.D. from the University of Texas School of Law in 1985, where he was a member of the Texas Law Review.</t>
  </si>
  <si>
    <t>cglick@ngpenergy.com</t>
  </si>
  <si>
    <t>286349-41P</t>
  </si>
  <si>
    <t>David Colt</t>
  </si>
  <si>
    <t>Colt</t>
  </si>
  <si>
    <t>Mr. David Colt serves as Partner at NGP Energy Capital Management. Mr. Colt is an Angel Investor. He joined NGP in 2021. Before NGP, he was a Principal with CPP Investments, where he was responsible for developing and executing a late-stage venture and growth equity investment strategy in the energy transition. Prior to joining CPP Investments, He was the Vice President of Corporate Development and Finance for ChargePoint. He is a graduate of Reed College with a degree in Economics, where he was a Ducey Fellow.</t>
  </si>
  <si>
    <t>dcolt@ngpenergy.com</t>
  </si>
  <si>
    <t>15550-48P</t>
  </si>
  <si>
    <t>David Hayes</t>
  </si>
  <si>
    <t>Mr. David Hayes serves as Partner at NGP Energy Capital Management. He serves as a Partner of the NGP funds and concentrates on transaction sourcing and execution, along with monitoring active portfolio companies. He also specializes in transaction support for NGP portfolio companies, assisting them in accessing capital markets when external financing is required. He joined the firm in 1998. He started his career as an analyst with Merrill Lynch's Energy Investment Banking group in Houston, focusing on merger and acquisition transactions in the exploration and production, and pipeline industries. During business school, he was an Associate with Charlesbank Capital Partners, where he focused on evaluating private equity investment opportunities in all industries, as well as analyzing trends in the leveraged buyout sector. He received a B.A. in Economics, magna cum laude, from Rice University in 1996, where he was elected to the Phi Beta Kappa scholastic honor society, and an M.B.A. from Harvard Business School in 2002.</t>
  </si>
  <si>
    <t>dhayes@ngpenergy.com</t>
  </si>
  <si>
    <t>354613-15P</t>
  </si>
  <si>
    <t>David Tubb JD</t>
  </si>
  <si>
    <t>Tubb</t>
  </si>
  <si>
    <t>Mr. David Tubb serves as Chief Compliance Officer at NGP Energy Capital Management. He joined NGP in 2023. He is responsible for administering NGP's compliance program, ensuring that NGP complies with regulatory agencies and that the behavior in the organization meets the NGP standards of conduct. Prior to NGP, he worked at ORIX Corporation USA for three years as Counsel, Compliance where he administered the compliance program across the group's registered investment advisers and other affiliates. He received a B.B.A. in Marketing &amp; Management from the University of Georgia in 2012 and a J.D., cum laude, from Southern Methodist University Dedman School of Law in 2016.</t>
  </si>
  <si>
    <t>dtubb@ngpenergy.com</t>
  </si>
  <si>
    <t>271354-60P</t>
  </si>
  <si>
    <t>Dwight Clark</t>
  </si>
  <si>
    <t>Mr. Dwight Clark serves as Senior Associate at NGP Energy Capital Management. He concentrates on NGP's efforts in sourcing investments, transaction analysis, and execution, as well as monitoring active portfolios. He joined NGP in 2023. Before joining NGP, he was an Associate at Fidelis New Energy in Houston, where he focused on financing large-scale decarbonization and low-carbon fuels infrastructure projects. He also gained experience in transaction analysis and portfolio monitoring as an Associate at Mountain Capital in Houston. He served as an Associate at Mountain Capital Management. Prior to joining Mountain Capital in 2021, He started his career as an Investment Banking Analyst at Petrie Partners in Denver, where he was involved in capital markets and merger and acquisition transactions within the energy industry. He received a B.S. in Applied Mathematics from Emory University in 2018.</t>
  </si>
  <si>
    <t>dclark@ngpenergy.com</t>
  </si>
  <si>
    <t>370299-07P</t>
  </si>
  <si>
    <t>Evan Smith</t>
  </si>
  <si>
    <t>Mr. Evan Smith serves as Associate at NGP Energy Capital Management. He concentrates on NGP's efforts in sourcing investments, transaction analysis, and execution, as well as monitoring active portfolios. He joined NGP in 2023. Prior to NGP, he was an Investment Banking Analyst at Goldman Sachs' Global Natural Resources Group in Houston, focusing on financing and merger and acquisition transactions in the energy industry. He received a B.B.A. in Finance with a minor in Latin from Southern Methodist University in 2021.</t>
  </si>
  <si>
    <t>esmith@ngpenergy.com</t>
  </si>
  <si>
    <t>99287-83P</t>
  </si>
  <si>
    <t>Greg Lyons</t>
  </si>
  <si>
    <t>Mr. Greg Lyons serves as a Partner at NGP Energy Technology Partners. He concentrates on making growth equity investments in energy transition businesses. He focuses his efforts on sourcing, investment analysis, and transaction execution, and he serves as a board member or board observer for several of NGP's energy transition portfolio companies. He served as a Board Member at ORKA Finance. Before joining NGP in 2014, he was an Investment Banking Analyst with Citi's Global Energy Group in Houston, where he focused on financing and merger and acquisition transactions in the energy industry. He received a B.A. in Political Science from Yale University in 2012.</t>
  </si>
  <si>
    <t>glyons@ngpetp.com</t>
  </si>
  <si>
    <t>1750 K Street Northwest</t>
  </si>
  <si>
    <t>+1 (202) 536-3921</t>
  </si>
  <si>
    <t>NGP Energy Technology Partners</t>
  </si>
  <si>
    <t>370301-95P</t>
  </si>
  <si>
    <t>Heide Mpofu</t>
  </si>
  <si>
    <t>Mpofu</t>
  </si>
  <si>
    <t>Ms. Heide Mpofu serves as Investor Relations Coordinator at NGP Energy Capital Management. She concentrates on NGP's capital raising and investor relations activities. Prior to joining the investor relations team, she served in other operational roles as a Staff Accountant and Executive Assistant. She joined NGP in 2012. Prior to NGP, she was a Recruiting Coordinator with Academic Partnerships. She received an A.S. in Sciences from North Lake College in 2006.</t>
  </si>
  <si>
    <t>972-432-1440</t>
  </si>
  <si>
    <t>hmpofu@ngpenergy.com</t>
  </si>
  <si>
    <t>28370-98P</t>
  </si>
  <si>
    <t>James Wallis</t>
  </si>
  <si>
    <t>Mr. James Wallis serves as Partner at NGP Energy Capital Management. He also serves as Board Member at Noveon. He served as Board Member at Ojjo. He joined NGP in 2017. He has invested extensively throughout the energy value chain and concentrates primarily on sourcing, executing, and monitoring NGP's energy transition-related investment opportunities. Previously, he was a Managing Director with Lime Rock Partners, which he joined in 2007. Prior to Lime Rock, he worked in the energy investment banking groups of Merrill Lynch and Petrie Parkman &amp; Co. He received a B.B.A. in Finance from The University of Texas at Austin, where he was a member of the Business Honors Program.</t>
  </si>
  <si>
    <t>+1 (713) 579-5700</t>
  </si>
  <si>
    <t>jwallis@ngpenergy.com</t>
  </si>
  <si>
    <t>35400-88P</t>
  </si>
  <si>
    <t>Jeffrey Zlotky JD</t>
  </si>
  <si>
    <t>Zlotky</t>
  </si>
  <si>
    <t>Mr. Jeffrey Zlotky serves as Partner &amp; General Counsel at NGP Energy Capital Management. He serves as Partner and General Counsel of the NGP funds, where he applies his broad experience in the energy and private equity industries to the structuring and execution of transactions on behalf of both NGP and its portfolio companies. He joined NGP in 2015. Prior to joining NGP, he spent his entire professional career with the global law firm of Thompson &amp; Knight LLP, where he was a partner in their Corporate and Securities practice group, with an emphasis on energy finance and private equity. During his tenure, he served in a variety of management positions, including as the firm's global Managing Partner from 2009 to 2012 and as a member of the board of directors of the Thompson &amp; Knight Foundation. He has extensive experience in the structuring and organization of private equity funds on behalf of sponsors and investors, the investment activities of private equity funds, and mergers and acquisitions. In his tenure with Thompson &amp; Knight, he was an advisor to NGP and worked on a variety of significant matters, including the formation of several NGP investment funds, significant investment transactions, and other key transactions involving NGP portfolio companies. He attended Princeton University, where he graduated magna cum laude, and The University of Texas School of Law, where he graduated with honors and served as an Associate Editor of the Texas Law Review.</t>
  </si>
  <si>
    <t>jzlotky@ngpenergy.com</t>
  </si>
  <si>
    <t>Partner &amp; General Counsel</t>
  </si>
  <si>
    <t>45147-16P</t>
  </si>
  <si>
    <t>Jill Lampert</t>
  </si>
  <si>
    <t>Lampert</t>
  </si>
  <si>
    <t>Chief Financial Officer &amp; Investment Executive</t>
  </si>
  <si>
    <t>Ms. Jill Lampert serves as Chief Financial &amp; Administrative Officer and Member of Executive Committee and Investment Committee at NGP Energy Capital Management. She served as Chief Financial Officer at Vantage Energy Acquisition. At NGP, she oversees financial reporting, tax, and accounting oversight as well as all other administrative functions including technology, marketing, human resources, and support operations. She is a member of NGP's Executive Committee and Investment Committee. She served as Chief Financial Officer and Founding Member of NGP Midstream and Resources from 2007 to 2010, where she was responsible for managing the complexities presented by global investments, including legal documentation, tax planning, investor communication, financial reporting,g and accounting oversight. Prior to NGP, she held other financial, accounting, and operational roles after beginning her career at Arthur Andersen. She is a Certified Public Accountant and earned her B.B.A. in Accounting in 1988 from The University of Texas at Austin.</t>
  </si>
  <si>
    <t>jlampert@ngpenergy.com</t>
  </si>
  <si>
    <t>Chief Financial &amp; Administrative Officer and Member of Executive Committee and Investment Committee</t>
  </si>
  <si>
    <t>160511-59P</t>
  </si>
  <si>
    <t>Kevin Sirchia</t>
  </si>
  <si>
    <t>Sirchia</t>
  </si>
  <si>
    <t>Mr. Kevin Sirchia serves as Senior Vice President, Investor Relations at NGP Energy Capital Management. He focuses on NGP's capital raising and investor relations activities and is a member of the firm's co-investment team. Prior to joining the investor relations team, he assisted in the preparation and analysis of NGP's valuation deliverables and financial reporting. He joined NGP in 2014. Prior to NGP, he was a Senior Associate in the Energy &amp; Mining Valuation Advisory practice of Duff &amp; Phelps, a diversified financial advisory firm. While at Duff &amp; Phelps, he assisted Fortune 500, private equity and government clients with the preparation of energy-related company and asset valuations for financial and tax reporting, portfolio valuation, transaction opinions, and dispute resolution. He received a B.B.A. in Finance, magna cum laude, from the Mays Business School at Texas A&amp;M University in 2012.</t>
  </si>
  <si>
    <t>ksirchia@ngpenergy.com</t>
  </si>
  <si>
    <t>Senior Vice President, Investor Relations</t>
  </si>
  <si>
    <t>35301-70P</t>
  </si>
  <si>
    <t>Maritza Liaw</t>
  </si>
  <si>
    <t>Maritza</t>
  </si>
  <si>
    <t>Liaw</t>
  </si>
  <si>
    <t>Ms. Maritza Liaw serves as Partner at NGP Energy Capital Management. She leads growth equity investments in the firm's portfolio companies. She has held leadership positions in both operating and investing companies-all pursuing environmental sustainability. As an operator, she developed utility-scale wind energy projects and merchant transmissions in Montana and Alberta, Canada. She also served as CFO of an eco-friendly home construction company utilizing sustainably sourced materials and energy-efficiency technologies. She started her career with the Boston Consulting Group, and prior to joining NGP in 2021, she was a Partner with the Kleiner Perkins' Green Growth Fund. She earned dual B.A. and B.S. degrees from Stanford University and earned an M.B.A. from Harvard Business School as a Baker Scholar.</t>
  </si>
  <si>
    <t>mliaw@ngpenergy.com</t>
  </si>
  <si>
    <t>68608-27P</t>
  </si>
  <si>
    <t>Mr. Matthew Gallagher is the Founder and serves as President and Chief Executive Officer at Greenlake Energy. Mr. Gallagher serves as President and Chief Executive Officer at Greenlake Energy II. He serves as Venture Partner at NGP Energy Capital Management. Mr. Matthew Gallagher serves as President and Chief Executive Officer at Parsley Energy. Since joining the Company in 2010, Mr. Gallagher has overseen the Company's engineering and geoscience functions in positions of increasing responsibility, including Vice President-Engineering and Geoscience from December 2013 to April 2014, and Vice President-Chief Operating Officer from May 2014 through January 2017. Prior to joining the Company, Mr. Gallagher served as Investor Relations Supervisor for Pioneer from 2008 to 2010. From 2005 to 2008, Mr. Gallagher held a variety of engineering roles with Pioneer, including Gulf of Mexico Shelf Reservoir Engineer, Hugoton Reservoir Engineer and Spraberry Production and Operations Engineer. Mr. Gallagher has a Bachelor of Science in Petroleum Engineering from the Colorado School of Mines and is a member of the Permian Basin Society of Petroleum Engineers and West Texas Geological Society.</t>
  </si>
  <si>
    <t>+1 (737) 279-8299</t>
  </si>
  <si>
    <t>matt.gallagher@greenlakeenergy.com</t>
  </si>
  <si>
    <t>3600 North Capital of Texas Highway</t>
  </si>
  <si>
    <t>Building A Suite 240</t>
  </si>
  <si>
    <t>78746</t>
  </si>
  <si>
    <t>Founder, President &amp; Chief Executive Officer</t>
  </si>
  <si>
    <t>Greenlake Energy</t>
  </si>
  <si>
    <t>409258-27P</t>
  </si>
  <si>
    <t>Matthew Hosman</t>
  </si>
  <si>
    <t>Hosman</t>
  </si>
  <si>
    <t>Mr. Matthew Hosman serves as Associate at NGP Energy Capital Management. He graduated from Louisiana State University with a BS in Mechanical Engineering. Prior to NGP, he was an investment banking analyst at Tudor, Pickering, Holt &amp; Co.</t>
  </si>
  <si>
    <t>+1 (972) 218-0073</t>
  </si>
  <si>
    <t>mhosman@ngpenergy.com</t>
  </si>
  <si>
    <t>166986-28P</t>
  </si>
  <si>
    <t>Matthew Tramonte</t>
  </si>
  <si>
    <t>Tramonte</t>
  </si>
  <si>
    <t>Mr. Matthew Tramonte serves as Principal at NGP Energy Capital Management. He concentrates on NGP's efforts in sourcing investments, transaction analysis, and execution, as well as monitoring active portfolios. He joined NGP in 2017. Prior to NGP, he was a Management Consultant with Bain &amp; Company, focusing on strategy development and performance improvement in the oil and gas industry. He received a B.B.A., summa cum laude, in Finance as a member of the Business Honors Program from Texas A&amp;M University in 2013.</t>
  </si>
  <si>
    <t>mtramonte@ngpenergy.com</t>
  </si>
  <si>
    <t>108269-11P</t>
  </si>
  <si>
    <t>Patrick McWilliams</t>
  </si>
  <si>
    <t>McWilliams</t>
  </si>
  <si>
    <t>Mr. Patrick McWilliams serves as Partner at NGP Energy Capital Management. He concentrates on NGP's transaction sourcing and execution, as well as the monitoring of active portfolio companies. He is a member of the NGP Investment and ESG committees, and he joined NGP in 2015. He has an extensive background in the energy sector, having spent 22 years primarily focused on energy financing alternatives for the upstream and midstream industries. Prior to NGP, he was a Managing Director with JPMorgan Securities, which he joined in 2012 to launch and build the Middle Market Oil and Gas Finance platform. In addition to directly covering oil and gas companies, he and his team led the coverage of energy-focused private equity sponsors. He received a B.S. in Finance from Louisiana State University in 2000.</t>
  </si>
  <si>
    <t>pmcwilliams@ngpenergy.com</t>
  </si>
  <si>
    <t>99288-55P</t>
  </si>
  <si>
    <t>Peter Ray</t>
  </si>
  <si>
    <t>Mr. Peter Ray serves as Partner at NGP Energy Capital Management. He serves as a Board Member at Catapult Energy Services Group. He joined NGP in 2014. Before NGP, he was an Investment Banking Analyst with Deutsche Bank's Natural Resources Group in Houston, where he focused on financing and merger and acquisition transactions in the oil and gas industry. He received a B.B.A. in Finance from the McCombs School of Business at The University of Texas at Austin in 2011.</t>
  </si>
  <si>
    <t>pray@ngpenergy.com</t>
  </si>
  <si>
    <t>16219-45P</t>
  </si>
  <si>
    <t>Philip Deutch JD</t>
  </si>
  <si>
    <t>Deutch</t>
  </si>
  <si>
    <t>Mr. Philip Deutch serves as Co-Head, Energy Transition and Partner at NGP Energy Technology Partners. He serves as Board Member at Anew Climate. He serves as Managing Partner at Oasis Investment Partners. He is Co-Head, Energy Transition and Partner of NGP and Chief Executive Officer of NGP ETP III. He founded NGP Energy Technology Partners (ETP) in 2005, managed NGP ETP I and NGP ETP II and has been investing in the energy technology sector since 1997. He is a member of NGP's Executive Committee. From 2015 to 2018, he was Partner, COO and President of Social Capital, a $1.8 billion Silicon Valley-based investment firm, where he helped launch SC Public Equity Partners and Social Capital Hedosophia Holdings Corp. From 1997 to 2004, he was Managing Director at Perseus, where he led or co-led the firm's energy investing activities and was a member of the firm's Executive Committee. From 1986 to 1988, he was a financial analyst in the Mergers &amp; Acquisition Department of Morgan Stanley &amp; Company. He is a board member of Anew, Form Energy, Voltus, Community Energy and TPI Composites. He is also a former board member of American Wind Capital, Beacon Power, Evergreen Solar, Renewable Energy Group and SatCon Technologies. Additionally, he is a member of the Board of Trustees of the Menlo School. He previously served on the MIT Future of Solar and Future of Storage Studies and on the boards of the Folger Shakespeare Library, the International Center for Women, the Washington Performing Arts Society and Capital for Children. He received a J.D. with distinction from Stanford Law School in 1991 and a B.A. in Economics from Amherst College in 1986, where he was elected a member of Phi Beta Kappa scholastic honor society.</t>
  </si>
  <si>
    <t>+1 (202) 536-3938</t>
  </si>
  <si>
    <t>pdeutch@ngpetp.com</t>
  </si>
  <si>
    <t>Co-Head, Energy Transition and Partner</t>
  </si>
  <si>
    <t>258107-23P</t>
  </si>
  <si>
    <t>Pierce Durham</t>
  </si>
  <si>
    <t>Pierce</t>
  </si>
  <si>
    <t>Mr. Pierce Durham serves as Vice President at NGP Energy Capital Management. He concentrates on NGP's efforts in sourcing investments, transaction analysis, and execution, as well as monitoring active portfolios. He joined NGP in 2020. Prior to NGP, he was an Investment Banking Analyst, Natural Resources with Barclays Investment Bank in Houston, focusing on financing and mergers and acquisitions in the oil and gas industry. He received a B.B.A. in Finance from The University of Texas at Austin in 2018.</t>
  </si>
  <si>
    <t>pdurham@ngpenergy.com</t>
  </si>
  <si>
    <t>144828-28P</t>
  </si>
  <si>
    <t>Sam Stoutner</t>
  </si>
  <si>
    <t>Stoutner</t>
  </si>
  <si>
    <t>Mr. Sam Stoutner serves as Co-Head, Energy Transition and Partner at NGP Energy Capital Management. He concentrates on NGP's investment activity within the energy transition. He focuses his efforts in sourcing investments, transaction analysis and execution, as well as the monitoring of active portfolios. He is also a member of the NGP Investment Committee and the former Chair of the NGP ESG Committee. He joined NGP in 2011. He has over a decade of experience sourcing, executing and monitoring investments in the energy sector and has helped to lead investments in numerous current and former NGP portfolio companies. Prior to joining NGP, he was an Investment Banking Analyst with Madison Williams and Company's Energy Investment Banking Group in Houston, where he focused on financing and merger and acquisition transactions in the oil and gas industry. He received a B.B.A. and M.P.A. in Accounting, summa cum laude, from The University of Texas at Austin in 2010. He received an M.B.A. from Stanford Graduate School of Business in 2016.</t>
  </si>
  <si>
    <t>sstoutner@ngpenergy.com</t>
  </si>
  <si>
    <t>144830-98P</t>
  </si>
  <si>
    <t>Tanner Leland</t>
  </si>
  <si>
    <t>Mr. Tanner Leland serves as Principal at NGP Energy Capital Management. He primarily concentrates on NGP's investment activity within the energy transition. He focuses his efforts on sourcing investments, transaction analysis, and execution, as well as the monitoring of active portfolios. He joined NGP in 2016. Before NGP, he was an Investment Banking Analyst with Barclays Capital's Energy Group in Houston, where he focused on financing and merger and acquisition transactions in the energy industry. He received a B.A. in Mathematical Economic Analysis with a minor in Business from Rice University in 2013.</t>
  </si>
  <si>
    <t>tleland@ngpenergy.com</t>
  </si>
  <si>
    <t>172053-28P</t>
  </si>
  <si>
    <t>Tran Ly</t>
  </si>
  <si>
    <t>Ly</t>
  </si>
  <si>
    <t>Ms. Tran Ly serves as Senior Associate at Quantum Innovation Fund. She also serves as a Vice President at Quantum Capital Group. She serves as Vice President at NGP Energy Capital Management. Prior to joining Quantum, she was an Associate at Greentech Capital Advisors, where she worked with clients across the energy transition, sustainable infrastructure, and clean technologies universe on M&amp;A, private placement, and strategic advisory transactions. She graduated as the Valedictorian of the Class of 2017 from Sewanee: The University of the South, with a B.A. in Economics and Mathematics.</t>
  </si>
  <si>
    <t>tly@quantumep.com</t>
  </si>
  <si>
    <t>800 Capitol Street</t>
  </si>
  <si>
    <t>Suite 3600</t>
  </si>
  <si>
    <t>Quantum Innovation Fund</t>
  </si>
  <si>
    <t>16204-42P</t>
  </si>
  <si>
    <t>Ward Polzin</t>
  </si>
  <si>
    <t>Polzin</t>
  </si>
  <si>
    <t>Mr. Ward Polzin is the Founder and serves as Executive Chairman at Camino Natural Resources. He serves as Venture Partner NGP Energy Capital Management. He brings a wealth of over 35 years of leadership, engineering, commercial, and investing experience in the energy industry. He joined NGP in 2022. He is the Executive Chairman of Camino Natural Resources, LLC, an NGP portfolio oil and gas company started in 2017. Previously, he served as CEO of Centennial Resource Development, LLC, an NGP portfolio company focused on the Permian basin of West Texas, from 2013 to 2016. Prior to forming Camino and Centennial, he served as a Managing Director and a founding partner in Investment Banking at Tudor, Pickering, Holt &amp; Co., where he spearheaded the firm's E&amp;P asset acquisition and divestiture practice. He earned a B.S. in Petroleum Engineering from the Colorado School of Mines in 1984 and an M.B.A. from Rice University in 1986. He is also a CFA charterholder.</t>
  </si>
  <si>
    <t>+1 (800) 662-0492</t>
  </si>
  <si>
    <t>wpolzin@caminoresources.com</t>
  </si>
  <si>
    <t>Camino Natural Resources</t>
  </si>
  <si>
    <t>84490-66P</t>
  </si>
  <si>
    <t>Wil Fischer</t>
  </si>
  <si>
    <t>Wil</t>
  </si>
  <si>
    <t>Mr. Wil Fischer serves as Senior Associate at Natural Gas Partners. He serves as Vice President at NGP Energy Capital Management. He concentrates on NGP's efforts in sourcing investments, transaction analysis, and execution, as well as the monitoring of active portfolios in energy transition. He joined NGP in 2017. Prior to NGP, he was an Investment Banking Analyst with Scotiabank's Global Energy Group, focusing on financing and merger and acquisition transactions in the energy industry. He received a B.B.A. in Finance with High Honors from the University of Texas at Austin in 2014.</t>
  </si>
  <si>
    <t>wfischer@ngptrs.com</t>
  </si>
  <si>
    <t>5221 N O Connor Blvd # 1100</t>
  </si>
  <si>
    <t>75039-3788</t>
  </si>
  <si>
    <t>Natural Gas Partners</t>
  </si>
  <si>
    <t>335371-42P</t>
  </si>
  <si>
    <t>Zach Kelly</t>
  </si>
  <si>
    <t>He concentrates on efforts in sourcing investments, transaction analysis, and execution, as well as monitoring active portfolios. He joined NGP in 2022. Prior to NGP, he was an Investment Banking Analyst with Citi's Global Energy Group in Houston, focusing on financing and merger and acquisition transactions in the energy industry. He is from a small town in East Feliciana Parish, Louisiana, and he has a passion for all things outdoors. He received a B.S.E. in Operations Research and Financial Engineering from Princeton University in 2020.</t>
  </si>
  <si>
    <t>zkelly@ngpenergy.com</t>
  </si>
  <si>
    <t>122262-31P</t>
  </si>
  <si>
    <t>Anne-Lene Midseim</t>
  </si>
  <si>
    <t>Anne-Lene</t>
  </si>
  <si>
    <t>Midseim</t>
  </si>
  <si>
    <t>Norsk Hydro</t>
  </si>
  <si>
    <t>Ms. Anne-Lene Midseim serves as Executive Vice President of Compliance, IP, and General Counsel at Norsk Hydro. She also served as the Chairwoman of the Board of Directors at Industriforsikring. She has worked for Hydro since 1998, including as Company Secretary, Head of Staff in Bauxite &amp; Alumina, Head of CSR, and Legal Counsel. In 2006 and 2007 she worked for the Norwegian Oil for Development project as a resident Legal Advisor to the Minister of Petroleum. Before joining Hydro, Midseim worked as a Lawyer for the Norwegian Law firm Vogt &amp; co and Executive Officer in the Ministry of Oil and Energy. Ms. Midseim has a law degree from the University of Oslo.</t>
  </si>
  <si>
    <t>+47 22 53 81 00</t>
  </si>
  <si>
    <t>anne-lene.midseim@hydro.com</t>
  </si>
  <si>
    <t>Drammensveien 264</t>
  </si>
  <si>
    <t>Skoyen</t>
  </si>
  <si>
    <t>0283</t>
  </si>
  <si>
    <t>Executive Vice President Compliance, IP and General Counsel</t>
  </si>
  <si>
    <t>228771-64P</t>
  </si>
  <si>
    <t>Aud Helen Halvorsen</t>
  </si>
  <si>
    <t>Aud Helen</t>
  </si>
  <si>
    <t>Halvorsen</t>
  </si>
  <si>
    <t>Ms. Aud Helen Halvorsen serves as Senior Systems Consultant, Investor Relations at Norsk Hydro.</t>
  </si>
  <si>
    <t>+47 95 18 27 41</t>
  </si>
  <si>
    <t>aud.helen.halvorsen@hydro.com</t>
  </si>
  <si>
    <t>Senior Systems Consultant, Investor Relations</t>
  </si>
  <si>
    <t>83597-05P</t>
  </si>
  <si>
    <t>Eivind Kallevik</t>
  </si>
  <si>
    <t>Kallevik</t>
  </si>
  <si>
    <t>Mr. Eivind Kallevik serves as Chief Executive Officer &amp; President at Norsk Hydro. Mr. Eivind Kallevik served as Executive Vice President, Primary Metal at Norsk Hydro. He has worked in Hydro since 1998 and has held a variety of senior positions in the corporate center and in business areas along the value chain, in Norway and internationally. His Hydro career includes core positions within the finance area, including corporate accounting, financial reporting, performance management and treasury. In 2011, when Hydro took over Vale's aluminium activities in Brazil, Kallevik became head of Finance in Hydro's new Bauxite &amp; Alumina business area, a position he held until he was appointed CFO of Norsk Hydro ASA. Prior to Hydro, Kallevik held positions in Christiania Bank within Oil and Gas Financing in New York and Oslo. Eivind Kallevik holds a Master's degree in Business Administration from the University of San Francisco.</t>
  </si>
  <si>
    <t>eivind.kallevik@hydro.com</t>
  </si>
  <si>
    <t>369910-90P</t>
  </si>
  <si>
    <t>Elitsa Boyadzhieva</t>
  </si>
  <si>
    <t>Elitsa</t>
  </si>
  <si>
    <t>Boyadzhieva</t>
  </si>
  <si>
    <t>Ms. Elitsa Boyadzhieva serves as Investor Relations Officer at Norsk Hydro.</t>
  </si>
  <si>
    <t>+47 91 77 54 72</t>
  </si>
  <si>
    <t>elitsa.boyadzhieva@hydro.com</t>
  </si>
  <si>
    <t>155603-44P</t>
  </si>
  <si>
    <t>Even Simonsen</t>
  </si>
  <si>
    <t>Even</t>
  </si>
  <si>
    <t>Mr. Even Simonsen serves as Energy Portfolio Manager at Norsk Hydro. Mr. Simonsen served as Head of Group Analysis at Norsk Hydro. He also served in Corporate Strategy &amp; Analysis at Norsk Hydro.</t>
  </si>
  <si>
    <t>even.simonsen@hydro.com</t>
  </si>
  <si>
    <t>Energy Portfolio Manager</t>
  </si>
  <si>
    <t>200759-77P</t>
  </si>
  <si>
    <t>Gote Nordh</t>
  </si>
  <si>
    <t>Gote</t>
  </si>
  <si>
    <t>Nordh</t>
  </si>
  <si>
    <t>Mr. Gote Nordh served as Co-Managing Director at Eugen Notter. He also serves as Vice President at Norsk Hydro.</t>
  </si>
  <si>
    <t>gote.nordh@hydro.com</t>
  </si>
  <si>
    <t>122263-30P</t>
  </si>
  <si>
    <t>Hanne Simensen</t>
  </si>
  <si>
    <t>Simensen</t>
  </si>
  <si>
    <t>Ms. Hanne Simensen serves as Executive Vice President of Hydro Aluminium Metal, previously served as Senior Vice President, Global Business Services at Norsk Hydro. Ms. Hanne Simensen served as Executive Vice President of People &amp; HSE at Norsk Hydro. She has worked in Hydro since 1994, and has held various positions within business and human resources in Rolled Products, Oil &amp; Gas and Energy. She has a master of management degree from BI, including two years international business studies in Germany.</t>
  </si>
  <si>
    <t>hanne.simensen@hydro.com</t>
  </si>
  <si>
    <t>Executive Vice President, Hydro Aluminium Meta</t>
  </si>
  <si>
    <t>142628-32P</t>
  </si>
  <si>
    <t>Henrik Buer</t>
  </si>
  <si>
    <t>Henrik</t>
  </si>
  <si>
    <t>Buer</t>
  </si>
  <si>
    <t>Mr. Henrik Buer serves as Strategy Director, Extruded Solutions at Norsk Hydro. Mr. Henrik Buer served as Industry Analyst, Corporate Strategy at Norsk Hydro. Previously, he served as a Consultant at Norges Bank.</t>
  </si>
  <si>
    <t>henrik.buer@hydro.com</t>
  </si>
  <si>
    <t>Strategy Director, Extruded Solutions</t>
  </si>
  <si>
    <t>83584-63P</t>
  </si>
  <si>
    <t>Hilde Aasheim</t>
  </si>
  <si>
    <t>Aasheim</t>
  </si>
  <si>
    <t>Ms. Hilde Merete Aasheim served as Chief Executive Officer &amp; President at Norsk Hydro.</t>
  </si>
  <si>
    <t>368331-49P</t>
  </si>
  <si>
    <t>Jon-Harald Nilsen</t>
  </si>
  <si>
    <t>Jon-Harald</t>
  </si>
  <si>
    <t>Nilsen</t>
  </si>
  <si>
    <t>Mr. Jon-Harald Nilsen serves as Executive Vice President at Norsk Hydro.</t>
  </si>
  <si>
    <t>155603-17P</t>
  </si>
  <si>
    <t>Kathrine Fog</t>
  </si>
  <si>
    <t>Kathrine</t>
  </si>
  <si>
    <t>Fog</t>
  </si>
  <si>
    <t>Ms. Kathrine Fog serves as Senior Vice President, Corporate Strategy &amp; Analysis at Norsk Hydro.</t>
  </si>
  <si>
    <t>kathrine.fog@hydro.com</t>
  </si>
  <si>
    <t>Senior Vice President, Corporate Strategy &amp; Analysis</t>
  </si>
  <si>
    <t>122267-44P</t>
  </si>
  <si>
    <t>Lars Kolbjørnsen</t>
  </si>
  <si>
    <t>Kolbjørnsen</t>
  </si>
  <si>
    <t>Executive Officer &amp; Vice President</t>
  </si>
  <si>
    <t>Mr. Lars Kolbjørnsen serves as Vice President &amp; Senior Compliance Officer at Norsk Hydro. Previously, he served as Corporate Compliance Officer at Norsk Hydro.</t>
  </si>
  <si>
    <t>lars.kolbjornsen@hydro.com</t>
  </si>
  <si>
    <t>Vice President &amp; Senior Compliance Officer</t>
  </si>
  <si>
    <t>369909-28P</t>
  </si>
  <si>
    <t>Martine Hagen</t>
  </si>
  <si>
    <t>Martine</t>
  </si>
  <si>
    <t>Hagen</t>
  </si>
  <si>
    <t>Ms. Martine Hagen serves as Head of Investor Relations at Norsk Hydro.</t>
  </si>
  <si>
    <t>+47 91 70 89 18</t>
  </si>
  <si>
    <t>martine.rambol.hagen@hydro.com</t>
  </si>
  <si>
    <t>410282-38P</t>
  </si>
  <si>
    <t>Mathias Gautier</t>
  </si>
  <si>
    <t>Gautier</t>
  </si>
  <si>
    <t>Mr. Mathias Gautier serves as Investor Relations Officer at Norsk Hydro.</t>
  </si>
  <si>
    <t>+47 94 86 15 97</t>
  </si>
  <si>
    <t>mathias.gautier@hydro.com</t>
  </si>
  <si>
    <t>228768-85P</t>
  </si>
  <si>
    <t>Pal Kildemo</t>
  </si>
  <si>
    <t>Pal</t>
  </si>
  <si>
    <t>Kildemo</t>
  </si>
  <si>
    <t>Mr. Pal Kildemo served as Advisor to the CEO at Norsk Hydro.</t>
  </si>
  <si>
    <t>pal.kildemo@hydro.com</t>
  </si>
  <si>
    <t>97871-50P</t>
  </si>
  <si>
    <t>Peik Norenberg</t>
  </si>
  <si>
    <t>Peik</t>
  </si>
  <si>
    <t>Norenberg</t>
  </si>
  <si>
    <t>Mr. Peik Norenberg serves as Head of Corporate Finance at Norsk Hydro.</t>
  </si>
  <si>
    <t>Head of Corporate Finance</t>
  </si>
  <si>
    <t>97567-84P</t>
  </si>
  <si>
    <t>Roland Scharf-Bergmann</t>
  </si>
  <si>
    <t>Scharf-Bergmann</t>
  </si>
  <si>
    <t>Senior Advisor &amp; Senior Vice President</t>
  </si>
  <si>
    <t>Mr. Roland Scharf-Bergmann serves as SVP - Senior Advisor Recycling and Process Metallurgy at Norsk Hydro.</t>
  </si>
  <si>
    <t>roland.scharf-bergmann@hydro.com</t>
  </si>
  <si>
    <t>SVP - Senior Advisor Recycling and Process Metallurgy</t>
  </si>
  <si>
    <t>145096-48P</t>
  </si>
  <si>
    <t>Tim McCleary</t>
  </si>
  <si>
    <t>McCleary</t>
  </si>
  <si>
    <t>Mr. Tim McCleary serves as Senior Vice President &amp; Head, Mergers &amp; Acquisitions at Norsk Hydro. Mr. Tim McCleary served as Head of Mergers and Acquisitions at Norsk Hydro. Previously, he served as a Senior Corporate Counsel at Origin Energy. He served as Board Member at NorSun.</t>
  </si>
  <si>
    <t>tim.mccleary@hydro.com</t>
  </si>
  <si>
    <t>Senior Vice President &amp; Head, Mergers &amp; Acquisitions</t>
  </si>
  <si>
    <t>58833-91P</t>
  </si>
  <si>
    <t>Tom Rotjer</t>
  </si>
  <si>
    <t>Rotjer</t>
  </si>
  <si>
    <t>Mr. Tom Røtjer serves as Senior Vice President of Projects at Norsk Hydro. He served as Board Member at GEG. He has held a variety of senior management positions in Norsk Hydro since 1980, covering different areas of development projects of the company. From 2004 to 2007, he was the project director of the NOK 55 billion Orment Lange and Langelad subsea gas development projects in the Norwegian Sea. Since 2007, he has held the position of Executive Vice President of Projects. He joined the Board of Directors in July 2011. He served as a Board Member at Det norske oljeselskap and Aibel.</t>
  </si>
  <si>
    <t>Senior Vice President of Projects</t>
  </si>
  <si>
    <t>369875-53P</t>
  </si>
  <si>
    <t>Trond Christophersen</t>
  </si>
  <si>
    <t>Trond</t>
  </si>
  <si>
    <t>Christophersen</t>
  </si>
  <si>
    <t>Mr. Trond Christophersen serves as Executive Vice President &amp; Chief Financial Officer at Norsk Hydro. Mr. Christophersen is responsible for strategy, sustainability, technology, risk management, IT and cybersecurity, supply chain policy, and shaping and safeguarding the portfolio. He joined Hydro in 1997 and has held various positions previously including several management positions in the former Oil &amp; Energy Business Area and the Aluminium Business Area including asset management and business development, senior positions in the business area, including Head of Energy Markets, Head of Business Unit Recycling, Head of Commercial, and Plant Manager at the Karmøy smelter, EVP Corporate Development with responsibility for strategy, sustainability, technology, and shaping and safeguarding portfolio. He holds a Master of Management, BI Norwegian Business School (2006), MSc Mechanical Engineering, University of Bath, UK (1997), and MSc Mechanical Engineering (Siv.Ing), NTNU, Trondheim, Norway (1997). 
.</t>
  </si>
  <si>
    <t>216081-46P</t>
  </si>
  <si>
    <t>Grzegorz Golec Ph.D</t>
  </si>
  <si>
    <t>Grzegorz</t>
  </si>
  <si>
    <t>Golec</t>
  </si>
  <si>
    <t>Novavis Group</t>
  </si>
  <si>
    <t>Dr. Grzegorz Golec is a Co-Founder &amp; serves as Managing Partner at Novavis Group. He started his professional career as a stockbroker (license no 1473) at BGŻ SA Brokerage House, where he worked from 1996 to 1999. From 1999 to 2002 he was in charge of corporate finance in BMT S.A. Brokerage House. Since 2002, acting as a partner in Impera Consulting sp. z o.o. and Equity Service Poland sp. z o.o. as well as being an individual entrepreneur, he managed advisory projects in the capital transactions field. In the 2005-2008 period, Grzegorz cooperate with Supernova Capital where he served as President of the Management Board of NFI Progress S.A. and President of the Management Board of the company which managed assets of three National Investment Funds. Since 2008 partner at Novavis Group where he is responsible for investment banking transactions and owns investments of funds that are under Novavis Group management. He holds a Ph.D. in economics and graduated from Maria Curie-Skłodowska University in Lublin, The Faculty of Economics, and The Faculty of Law and Administration.</t>
  </si>
  <si>
    <t>+48 22 209 9800</t>
  </si>
  <si>
    <t>grzegorz.golec@rubiconpartners.pl</t>
  </si>
  <si>
    <t>Wspólna 70</t>
  </si>
  <si>
    <t>Park Avenue, 5th floor</t>
  </si>
  <si>
    <t>00-687</t>
  </si>
  <si>
    <t>+48 22 209 9801</t>
  </si>
  <si>
    <t>216081-64P</t>
  </si>
  <si>
    <t>Grzegorz Kubica</t>
  </si>
  <si>
    <t>Kubica</t>
  </si>
  <si>
    <t>Mr. Grzegorz Kubica serves as Partner and Sales Manager at Novavis Group. He graduated from University of Economics in Katowice (Faculty of Management and Marketing), majored in organization and management of companies. He gained professional experience in TESCO POLSKA sp. z o.o., MEBLO-EXPO Sp. j. (currently Beskidzkie Fabryki Mebli sp. z o.o.), and PKN ORLEN S.A., among others. From 2007 to 2008 he served as a President of the Management Board of BBI ZENERSI NFI S.A. (previously FOKSAL NFI S.A.), where he was responsible for preparation and realization of fund's development strategy. From 2008 to 2010 he served as Vice President of EGZO GROPUS sp. z o.o. - PR/IR agency - where he was responsible for investment relation management for the company's client (e.g. MIRBUD S.A., PAGED S.A., BIOTON S.A., HARDEX S.A., BBI DEVELOPMENT NFI S.A., BBI CAPITAL NFI S.A., ELZAB S.A., EFH S.A.). Since 2010 in Novavis Group, where he conducts M&amp;A and project finance transactions both on the private and public market.</t>
  </si>
  <si>
    <t>grzegorz.kubica@rubiconpartners.pl</t>
  </si>
  <si>
    <t>227655-28P</t>
  </si>
  <si>
    <t>Janusz Diemko</t>
  </si>
  <si>
    <t>Janusz</t>
  </si>
  <si>
    <t>Diemko</t>
  </si>
  <si>
    <t>Mr. Janusz Diemko is a Co-Founder and serves as Chief Executive Officer at XeloPay. He served as Advisor at Cambrist. He also served as Member of the Supervisory Board at IQ Partners. He serves as Advisor at Novavis Group. He graduated in Geography from University of London.</t>
  </si>
  <si>
    <t>+48 50 255 5557</t>
  </si>
  <si>
    <t>jdiemko@xelopay.com</t>
  </si>
  <si>
    <t>Białystok</t>
  </si>
  <si>
    <t>Białystok, Poland</t>
  </si>
  <si>
    <t>Ul. Hurtowa 4/7</t>
  </si>
  <si>
    <t>15-399</t>
  </si>
  <si>
    <t>XeloPay</t>
  </si>
  <si>
    <t>208720-72P</t>
  </si>
  <si>
    <t>Krzysztof Czaplicki</t>
  </si>
  <si>
    <t>Czaplicki</t>
  </si>
  <si>
    <t>Mr. Krzysztof Czaplicki is a Co-Founder and serves as Chief Operating Officer &amp; Board Member at Noctiluca. He serves as a Venture Partner at Novavis Group. He is a Co-Founder and serves as Chief Operating Officer, Chief Strategy Officer &amp; Board Member at Fresh Inset. He is an experienced entrepreneur and manager of seed and VC funds. Since 2009, a partner at a seed capital fund - investing in new technologies. He has international experience gained while working for the World Bank Group. He is an expert in the assessment of intangible assets in companies.</t>
  </si>
  <si>
    <t>+48 56 646 1963</t>
  </si>
  <si>
    <t>kczaplicki@noctiluca.eu</t>
  </si>
  <si>
    <t>Torun</t>
  </si>
  <si>
    <t>Torun, Poland</t>
  </si>
  <si>
    <t>Jurija Gagarina 7 / 41B</t>
  </si>
  <si>
    <t>Kuyavian-Pomeranian</t>
  </si>
  <si>
    <t>87-100</t>
  </si>
  <si>
    <t>Co-Founder, Chief Operating Officer &amp; Board Member</t>
  </si>
  <si>
    <t>Noctiluca</t>
  </si>
  <si>
    <t>216084-34P</t>
  </si>
  <si>
    <t>Marcin Prokopiuk</t>
  </si>
  <si>
    <t>Prokopiuk</t>
  </si>
  <si>
    <t>Mr. Marcin Prokopiuk serves as Director, mergers and acquisitions at Novavis Group. In the years 2013-2015, he gained experience in the PKP PLK investment project management office and in the Deloitte audit department. In the years 2016-2018, he worked as an Analyst and Senior in DDPP Securities, where he was responsible for mergers and acquisitions and other projects in the field of corporate finance. He has experience i.a. in finding investors, creating transaction documentation and valuations, financial modeling, analyzing investment projects, financial restructuring, and managing due diligence processes. He holds a securities broker license with authorization to perform investment consultancy activities (No. 3289). He is a graduate of the Warsaw School of Economics, Finance, and Accounting.</t>
  </si>
  <si>
    <t>marcin.prokopiuk@rubiconpartners.pl</t>
  </si>
  <si>
    <t>Director, mergers and acquisitions</t>
  </si>
  <si>
    <t>256666-78P</t>
  </si>
  <si>
    <t>Mateusz Nowak</t>
  </si>
  <si>
    <t>Mr. Mateusz Nowak serves as Venture Director at Novavis Group. He joined Novavis Group in 2020 and focuses on creating strategies followed by operational management of companies. Mateusz is a delegated interim manager and development director on behalf of the Novavis Group fund in deep tech portfolio companies. Ex-PwC, ex-VC fund manager (Bridge Alfa), founder of the Technological Entrepreneurship Foundation, and co-founder of MIT Enterprise Forum Poland (currently CEE).</t>
  </si>
  <si>
    <t>+48 50 251 7361</t>
  </si>
  <si>
    <t>mateusz.nowak@rubiconpartners.pl</t>
  </si>
  <si>
    <t>Venture Director</t>
  </si>
  <si>
    <t>216034-57P</t>
  </si>
  <si>
    <t>Michał Chabowski</t>
  </si>
  <si>
    <t>Chabowski</t>
  </si>
  <si>
    <t>Mr. Michał Chabowski serves as Managing Partner at Novavis Group. He serves as Chief Corporate Finance and Investment Officer &amp; Supervisory Board Member at Fresh Inset. He serves as a Supervisory Board Member at Pricely and Ekobilet. He served as a Board Member at Medibox. Since 2013 in Novavis Group, where he has been responsible for conducting and supervising start-up investments in VC funds managed by Novavis Group. Member of Supervisory Boards and financial director of portfolio companies, actively involved in their development (venture building, business development, and optimization of financing sources). He gained his previous professional experience conducting investment banking (M&amp;A) projects within the Novavis Group and in VC funds (evaluation and management of investment projects) and consulting companies (evaluation of investment projects and financial modeling). He graduated from the Warsaw School of Economics and majored in Corporate Finance and Investment Banking.</t>
  </si>
  <si>
    <t>+48 60 081 5065</t>
  </si>
  <si>
    <t>michal.chabowski@rubiconpartners.pl</t>
  </si>
  <si>
    <t>353128-51P</t>
  </si>
  <si>
    <t>Michał Mizak</t>
  </si>
  <si>
    <t>Mizak</t>
  </si>
  <si>
    <t>Mr. Michał Mizak serves as an Investment Associate at Novavis Group. He joined Novavis Group in 2023 and supports Partners and Directors in implementing business initiatives in portfolio companies, assessing new investment projects, as well as preparing analyses, financial models, presentations, and other materials needed for transactions. Before joining Novavis Group, he gained experience in investment banking (Pekao, mBank), where he cooperated with private and public sector entities as part of transaction advisory. He was a member of the Corporate Development team at Wirtualna Polska, where he participated in M&amp;A processes, as well as in the preparation of strategic materials for the development of the holding.</t>
  </si>
  <si>
    <t>michal.mizak@rubiconpartners.pl</t>
  </si>
  <si>
    <t>305880-40P</t>
  </si>
  <si>
    <t>Pawel Madej</t>
  </si>
  <si>
    <t>Pawel</t>
  </si>
  <si>
    <t>Madej</t>
  </si>
  <si>
    <t>Mr. Pawel Madej serves as Investment Director at Novavis Group. From 2011 - 2015, he was serving as an analyst and senior in EY, where he was involved in corporate finance projects: debt and mezzanine fundraising, financial and operational restructuring, independent business review, liquidity management as well as other financial advisory projects. From 2016 - 2018, he worked also as a Manager in the corporate finance boutique RSQ Associates where he was engaged in M&amp;A transactions and interim management projects. He acted as an advisor to the board as well as took management roles in companies, mainly in the area of finance and business development. He is experienced in the analysis and assessment of investment projects, valuation of companies, financial modeling, preparation of transaction documentation, profitability evaluation of greenfield projects, and coordination of the M&amp;A processes. He passed 2 levels of Chartered Financial Analyst (CFA). He graduated from the University of Warsaw, Economics (Faculty of Economic Sciences) as well as Management and Marketing (Faculty of Management).</t>
  </si>
  <si>
    <t>pawel.madej@rubiconpartners.pl</t>
  </si>
  <si>
    <t>216081-55P</t>
  </si>
  <si>
    <t>Piotr Karmelita</t>
  </si>
  <si>
    <t>Piotr</t>
  </si>
  <si>
    <t>Karmelita</t>
  </si>
  <si>
    <t>Mr. Piotr Karmelita is a Co-Founder &amp; serves as Partner at Novavis Group. He begins his career in BMT S.A. Brokerage House (1995-2000) and before becoming the President of the Management Board, he held the position of assistant (1995-1996), a project manager (1997), a Director (1998), and a member of the Management Board (since 1999). As the head of the department, he was responsible for the valuation of companies, acquiring financing for companies via public offerings of shares, and conducting M&amp;A transactions. From 2002 to 2010 professionally active within the structures of the group BB Investment S.A. where, as the President of the Management Board, he coordinated the process of ownership supervision over the companies forming the group and was also responsible for private market investments related to start-up funding and seed funding. From 2006 to 2010 President of the Management Board of BBI Capital NFI S.A., where he was responsible for managing the assets of a private equity fund. Since 2011 partner of Novavis Group, where he is responsible for investment banking transactions and owns investments of funds that are under Novavis Group management. He graduated from Poznań Academy of Economics and Business and majored in capital investments and financial strategies of companies.</t>
  </si>
  <si>
    <t>piotr.karmelita@rubiconpartners.pl</t>
  </si>
  <si>
    <t>404443-36P</t>
  </si>
  <si>
    <t>Agnese Cillo</t>
  </si>
  <si>
    <t>Agnese</t>
  </si>
  <si>
    <t>Cillo</t>
  </si>
  <si>
    <t>Novum Capital Partners</t>
  </si>
  <si>
    <t>Ms. Agnese Cillo serves as Investments Manager, Private Equity &amp; Venture Capital at Novum Capital Partners. Ms. Cillo previously worked at Decisive Capital Management as a Venture Capital/Growth Analyst focusing on direct tech investments. Before this, she was an M&amp;A Analyst at Gerald Metals and Banque Profil de Gestion (One Swiss Bank). She started her career at the European Investment Fund as a Venture Capital Fund Investments Analyst. She is a Chartered Alternative Investment Analyst (CAIA) and holds an MSc. In Economics from Cattolica University in Milan. She also holds a Private Markets Certificate from Oxford University SBS, as well as a Postgraduate Master in Private Equity from IFBL.</t>
  </si>
  <si>
    <t>+41 (0)22 715 1800</t>
  </si>
  <si>
    <t>agnese.cillo@novumcapitalpartners.com</t>
  </si>
  <si>
    <t>Rue des Alpes 7</t>
  </si>
  <si>
    <t>Investments Manager, Private Equity &amp; Venture Capital</t>
  </si>
  <si>
    <t>236885-68P</t>
  </si>
  <si>
    <t>Alvise Gaggia</t>
  </si>
  <si>
    <t>Alvise</t>
  </si>
  <si>
    <t>Gaggia</t>
  </si>
  <si>
    <t>Mr. Alvise Gaggia is a Founding Partner and serves as a Board Member at Novum Capital Partners. Before co-founding Novum Capital Partners in 2018, he worked at BvB &amp; Cie, a Swiss private investment firm, for over 15 years, during which he set up the firm's London office among other responsibilities. Before that, he was the Head of the Marketing and Client department of Fiduciary Trust in Geneva and held senior Relationship Manager roles at Indosuez, Banque Privée Edmond de Rothschild, Credit Suisse, and Citibank. He holds a master's degree in Political Science from the University of Lausanne.</t>
  </si>
  <si>
    <t>acg@novumcapitalpartners.com</t>
  </si>
  <si>
    <t>Founding Partner &amp; Board Member</t>
  </si>
  <si>
    <t>49675-87P</t>
  </si>
  <si>
    <t>Cesare d'Amico</t>
  </si>
  <si>
    <t>d'Amico</t>
  </si>
  <si>
    <t>Mr. Cesare d'Amico serves as Chief Executive Officer &amp; Board Member at d'Amico Societa' di Navigazione. He is a Founding Partner &amp; serves as Chairman of the Board at Novum Capital Partners. He graduated in 1982 in Business and Economics from Rome University (La Sapienza). He joined the family-owned company, d'Amico Società di Navigazione S.p.A., in 1976 in the technical department. In 1977 he moved to the liner department and he became General Manager of the liner services in 1978. In 1982 he was appointed Chief Executive Officer of d'Amico Società di Navigazione S.p.A., the ultimate holding of the d'Amico Group. He currently holds this role. In 1993, he launched the d'Amico Group's bulk activity. In 1997, he played a prominent role in the privatization of Italia di Navigazione S.p.A., a public company, where he then was nominated Chief Executive Officer, a role which he maintained until the company was sold to CP Ships Canada in 2002. Since 1997, he has played a leading role in the development of the activities of d'Amico Dry d.a.c. (formerly d'Amico Dry), thus contributing to the development of its fleet. In May 2007, he took part in the listing of d'Amico International Shipping S.A. (holding of the tanker business unit) at the STAR segment of the Italian stock exchange. In 2011, He was appointed President of the Fondazione ITS Caboto (Gaeta, Italy) an advanced technical education school, offering two-year post-secondary training for technical staff and young Italian seagoing personnel interested in embarking upon an international career in the shipping industry. Currently, he is a member of the Board of Directors of d'Amico Dry d.a.c., d'Amico International Shipping S.A. and its controlling shareholder, d'Amico International S.A. as well as a director of several companies of the d'Amico Group. He is also involved in a number of companies and international associations that are not part of the d'Amico Group, including as Vice-Chairman of Tamburi Investment Partners S.p.A., a company listed on the STAR segment of the Italian stock exchange. He also served as a Chairman at The Standard Club UK.</t>
  </si>
  <si>
    <t>+39 06 8456 11</t>
  </si>
  <si>
    <t>cesare.d@damicoship.com</t>
  </si>
  <si>
    <t>Corso d'Italia 35/B</t>
  </si>
  <si>
    <t>+39 06 9896 8092</t>
  </si>
  <si>
    <t>d'Amico International Shipping</t>
  </si>
  <si>
    <t>236886-94P</t>
  </si>
  <si>
    <t>Didier Despland</t>
  </si>
  <si>
    <t>Despland</t>
  </si>
  <si>
    <t>Mr. Didier Despland serves as Partner &amp; Chief Operating Officer at Novum Capital Partners. He is the Chief Operating Officer of Envisage. In parallel, he joined Novum Capital Partners in 2019 also as Chief Operating Officer. Previously, he spent 8 years as Chief Operating Officer at SG M&amp;RSA, where he oversaw internal procedures, relations with bank counterparties, and AML requirements. He also handled requests for structuring, financing, and wealth planning from the company's key clients. He started his career as a corporate consultant in China for European companies, before joining GDP Gestion de Patrimoines in Lausanne. He holds a master's degree in Management from the University of Lausanne (HEC) and is a Chartered Alternative Investment Analyst (CAIA).</t>
  </si>
  <si>
    <t>+41 (0)22 715 1813</t>
  </si>
  <si>
    <t>didier.despland@novumcapitalpartners.com</t>
  </si>
  <si>
    <t>366628-33P</t>
  </si>
  <si>
    <t>Flavio Testi</t>
  </si>
  <si>
    <t>Testi</t>
  </si>
  <si>
    <t>Mr. Flavio Testi serves as Senior Investment Manager of Fixed Income at Novum Capital Partners. He joined Novum Capital Partners in 2021 as Investment Manager responsible for fixed-income investments. He started his career with BSI Bank in Lugano, where between 1993 to 2012 he managed several fixed-income funds such as the Multiband USD. From 2002, he was Head of the Fixed Income Unit within the Asset Management department, where he was responsible for 8 funds and 4 fund managers (AUM CHF1.8 billion), and was a member of the Tactical Asset Allocation Committee (OTAC) of the BSI Group. In 2012, he joined Patrimony 1873, the Family Office of EFG Group, as a senior partner, where he managed the White Fleet III Globes Euro Credit Bond Fund and advised clients in the fixed income space. He holds an M.A. in Economics from Fribourg University and is a Certified EFFAS Financial Analyst.</t>
  </si>
  <si>
    <t>flavio.testi@novumcapitalpartners.com</t>
  </si>
  <si>
    <t>Senior Investment Manager, Fixed Income</t>
  </si>
  <si>
    <t>83627-11P</t>
  </si>
  <si>
    <t>Gabriele Gallotti</t>
  </si>
  <si>
    <t>Gallotti</t>
  </si>
  <si>
    <t>Mr. Gabriele Gallotti is a Founder and serves as a Partner, Chief Executive Officer &amp; Board Member at Novum Capital Partners. He serves as a Board Member at Altovita and as a Board Observer at Energy Dome. Earlier, he served as Managing Director at J.P. Morgan. Previously, he served as an Executive Director at JPMorgan (Suisse) SA. He started his career at BSI in Lugano.</t>
  </si>
  <si>
    <t>gabriele.gallotti@novumcapitalpartners.com</t>
  </si>
  <si>
    <t>Founding Partner, Chief Executive Officer &amp; Board Member</t>
  </si>
  <si>
    <t>330938-38P</t>
  </si>
  <si>
    <t>Giovanni Martinez</t>
  </si>
  <si>
    <t>Mr. Giovanni Martinez serves as Investment Manager, Private Equity &amp; Venture Capital at Novum Capital Partners. Mr. Martinez serves as a Private Equity and Venture Capital Specialist at Envisage. In parallel, he joined Novum Capital Partners in 2020 as an analyst. In 2023, after three successful years at Novum, he became responsible for Private Equity and Venture Capital investments. Previously, he worked in Milan at UBS Asset Management in the Sales department for a year, and at UBS Wealth Management in the Global Segments division for two years. He graduated from Bocconi University with a Master of Science in Accounting, Financial Management, and Control. He also attended international academic programs at Northwestern University in Chicago and Alliance Manchester Business School.</t>
  </si>
  <si>
    <t>+41 (0)22 715 1805</t>
  </si>
  <si>
    <t>giovanni.martinez@novumcapitalpartners.com</t>
  </si>
  <si>
    <t>Investment Manager, Private Equity &amp; Venture Capital</t>
  </si>
  <si>
    <t>182802-88P</t>
  </si>
  <si>
    <t>Julien Etaix</t>
  </si>
  <si>
    <t>Etaix</t>
  </si>
  <si>
    <t>Mr. Julien Etaix serves as Chief Investment Officer at Novum Capital Partners. He serves as Chief Investment Officer at Trousdale Ventures. He served as Board Member at Inovexus Ventures. Mr. Etaix served as Investment Manager at Upfront Ventures. He served as Investment Partner and Portfolio Manager at Airbus Ventures. Prior to joining Airbus, he was an Investor at J.P. Morgan Asset Management, where he oversaw multi asset-class investments within the advisory and discretionary portfolio for privately-owned corporations, non-profit organizations, and UHNW families. He was previously a reorganization project manager at Barclays and a business analyst consultant at Airbus as a supply chain management engineer. He completed his master's degree in supply chain and IT enterprise resource planning project management at Ecole des Mines d'Albi-Carmaux in France.</t>
  </si>
  <si>
    <t>julien.etaix@novumcapitalpartners.com</t>
  </si>
  <si>
    <t>413765-74P</t>
  </si>
  <si>
    <t>Julien Machuca</t>
  </si>
  <si>
    <t>Machuca</t>
  </si>
  <si>
    <t>Mr. Julien Machuca serves as Legal Counsel and Head of Compliance and Risk Management at Novum Capital Partners. Previously, he worked as Senior Legal Counsel in various departments of Credit Suisse Asset and Wealth Management in Zurich. Before that, he worked for 4 years as Senior Legal and Compliance counsel for an International Wealth Structuring Group headquartered in Luxembourg and for 4 years as Senior Legal Counsel in an International Law Firm based in Geneva and New York City. He is a lawyer and holds a Master's degree in Law and Economics with a specialization in contracts and business law from the Savoie Mont-Blanc University.</t>
  </si>
  <si>
    <t>julien.machuca@novumcapitalpartners.com</t>
  </si>
  <si>
    <t>Legal Counsel and Head of Compliance and Risk Management</t>
  </si>
  <si>
    <t>237074-14P</t>
  </si>
  <si>
    <t>Karim Khalil</t>
  </si>
  <si>
    <t>Mr. Karim Khalil serves as Senior Portfolio Manager at Novum Capital Partners. He also serves as a Senior Equity Specialist at Envisage. In parallel, he joined Novum Capital Partners in 2019 as a senior Investment Manager responsible for public equity investments. He previously worked for 8 years as an assistant portfolio manager and senior analyst at Jabre Capital Partners. Before this, he spent 6 years as an equity analyst at Bank of America Merrill Lynch, Bear Stearns, and M. Safra &amp; Co. He started his career at Rockwell Automation. He holds an MBA in Finance, Accounting, and Strategic Management with honors from the University of Chicago Booth School of Business, and a B.A. in Business Administration from the American University in Cairo.</t>
  </si>
  <si>
    <t>karim.khalil@novumcapitalpartners.com</t>
  </si>
  <si>
    <t>132636-52P</t>
  </si>
  <si>
    <t>Klaas Meertens</t>
  </si>
  <si>
    <t>Klaas</t>
  </si>
  <si>
    <t>Mr. Klaas Meertens is a Co-Founder and serves as Managing Partner at HTP Investments. Mr. Meertens is a Founding Partner and serves as a Board Member at Novum Capital Partners. He is a managing partner of the private equity firm HTP Investments in Amsterdam and a founding partner of the multi-family office Novum Capital Partners in Geneva. He is a member of the supervisory board of Knaus Tabbert AG, the Frankfurt-listed European leisure vehicle producer, and acts as a non-executive Board member of EFIC1, a SPAC aiming to invest in European FinTechs, of which HTP Investments is a sponsor and the sole anchor investor. In 2008, He partnered with Wim de Pundert in HTP Investments to exclusively invest their proprietary funds into private companies. Together they acquired majority stakes in businesses including Knaus Tabbert, Michael Thierry Group, Geiger, Reum, Halberg Guss, Morelo, Oyster, Formtec, and UBC. Knaus Tabbert was IPO-ed in September 2020. The company was acquired in 2009 for EUR 12.6 million and its market capitalization at IPO reached EUR 602 million. Beyond HTP Investments, He and De Pundert have made significant early investments in technological companies, including US-based Zillow Group and UK FinTech player Curve. In 2018, He partnered with Gabriele Gallotti to set up Novum Capital Partners in Geneva. Novum is a multi-family office catering to UHNW families, with close to 2 billion Swiss francs in assets under management. Early in 2021, together with Nicholas Aperghis, He initiated and founded EFIC1. It aims to merge with a fast-growing European private FinTech company. Through HTP Investments, He and De Pundert have invested a total of more than 45 million euros in EFIC1 as sponsors and sole anchor investors. Before He partnered with De Pundert in 2008, he worked for J.P. Morgan in New York, Amsterdam, and as of 1997 in London, where he first headed and built their TMT EMEA team and later became head of investment banking for the Benelux and Switzerland. He was also part of the EMEA Investment Banking Coverage management team. While at J.P. Morgan, He initiated many high-profile multi-billion transactions across M&amp;A, ECM, and DCM for blue-chip clients. From 1986 until 1996, He worked for McKinsey &amp; Company in Amsterdam, New York, Brussels, London, and Milan, for the last 4 years as a partner focusing on transportation and financial institutions. He studied Physics at the University of Utrecht (BSc) and Management at the Interfaculteit in Delft (MSc).</t>
  </si>
  <si>
    <t>Prinsengracht 769</t>
  </si>
  <si>
    <t>1017 JZ</t>
  </si>
  <si>
    <t>HTP Investments</t>
  </si>
  <si>
    <t>413761-06P</t>
  </si>
  <si>
    <t>Liz Kennedy</t>
  </si>
  <si>
    <t>Ms. Liz Kennedy serves as Senior Investment Manager at Novum Capital Partners. She previously worked at Jabre Capital Partners, a Geneva-based hedge fund. During her 13-year tenure at Jabre Capital, she held several roles, the last one being Head of Trading. He began her career in London working at various investment banks including Morgan Stanley and Deutsche Bank before joining hedge funds Bennelong Asset Management and GLG Partners. She holds a B.A in Commerce Accounting from the University of Tasmania.</t>
  </si>
  <si>
    <t>liz.kennedy@novumcapitalpartners.com</t>
  </si>
  <si>
    <t>366627-52P</t>
  </si>
  <si>
    <t>Maxime Glasson</t>
  </si>
  <si>
    <t>Glasson</t>
  </si>
  <si>
    <t>Mr. Maxime Glasson serves as Senior Investment Manager of Hedge Funds &amp; Alternative Investments at Novum Capital Partners. Previously he spent 6 years at J.P. Morgan Alternative Asset Management, and most recently as a Portfolio Manager in charge of the Portfolio/Research &amp; Relationship Management for customized Hedge Fund mandates covering UHNW and Institutional clients across Europe, the Middle East, and Asia. He started his career in 2013 within the Hedge Fund Operations unit of J.P. Morgan International Private Bank. He holds a Master of Science in Finance from Grenoble Graduate School of Business in France and is a Chartered Alternative Investment Analyst (CAIA).</t>
  </si>
  <si>
    <t>maxime.glasson@novumcapitalpartners.com</t>
  </si>
  <si>
    <t>Senior Investment Manager Hedge Funds &amp; Alternative Investments</t>
  </si>
  <si>
    <t>413759-62P</t>
  </si>
  <si>
    <t>Sebastian Jeck</t>
  </si>
  <si>
    <t>Jeck</t>
  </si>
  <si>
    <t>Mr. Sebastian Jeck serves as Partner &amp; Relationship Manager at Novum Capital Partners. He serves as Chief Executive Officer at Envisage. He brings extensive experience from his 13 years with UBS' international wealth management and global family office desks, where he covered sophisticated families across Europe out of Zurich and London. He was entrusted with their global wealth situations and successfully built one of UBS's largest client portfolios in the Western European market. His typical clients have complex structures in multiple jurisdictions with investment and tax considerations. He also assists in family governance and involves the next generation where possible. He graduated from Zurich University with a degree in applied science and is a CFA charter holder. He is fluent in German, English &amp; French with a basic knowledge of Croatian.</t>
  </si>
  <si>
    <t>sebastian.jeck@novumcapitalpartners.com</t>
  </si>
  <si>
    <t>Partner &amp; Relationship Manager</t>
  </si>
  <si>
    <t>413762-14P</t>
  </si>
  <si>
    <t>Valentine Forsans</t>
  </si>
  <si>
    <t>Valentine</t>
  </si>
  <si>
    <t>Forsans</t>
  </si>
  <si>
    <t>Ms. Valentine Forsans serves as Investment Manager Equity at Novum Capital Partners. Previously she was at Berenberg in London where she worked as an equity research analyst in the consumer discretionary team covering luxury goods, sporting goods, retail &amp; eyewear sectors. Before this, she was an investor relations officer at EssilorLuxottica. She also worked within the luxury goods equity research teams at HSBC and Kepler Chevreux. She holds an MSc in Financial Markets and Investments from Skema Business School completed across France, China, and the US.</t>
  </si>
  <si>
    <t>valentine.forsans@novumcapitalpartners.com</t>
  </si>
  <si>
    <t>Investment Manager Equity</t>
  </si>
  <si>
    <t>236886-49P</t>
  </si>
  <si>
    <t>Vittorio Treichler</t>
  </si>
  <si>
    <t>Vittorio</t>
  </si>
  <si>
    <t>Treichler</t>
  </si>
  <si>
    <t>Mr. Vittorio Treichler serves as a Partner &amp; Market Strategist at Novum Capital Partners. In his role as Market Strategist, he is responsible for the investment strategy and asset allocation. He has worked for over 16 years as the multi-asset class fund manager at BSI, where he successfully managed two fixed-income and foreign exchange Total Return funds investing across a large array of financial instruments. Most recently, he worked as Portfolio Manager at Core Asset Management, where he was responsible for the asset allocation and portfolio management of a Total Return strategy. He holds a bachelor's degree in Business Administration from LIUC Castellanza.</t>
  </si>
  <si>
    <t>vittorio.treichler@novumcapitalpartners.com</t>
  </si>
  <si>
    <t>Partner &amp; Market Strategist</t>
  </si>
  <si>
    <t>121516-93P</t>
  </si>
  <si>
    <t>Aalt Dijkhuizen Ph.D</t>
  </si>
  <si>
    <t>Aalt</t>
  </si>
  <si>
    <t>Dijkhuizen</t>
  </si>
  <si>
    <t>NPM Capital</t>
  </si>
  <si>
    <t>Dr. Aalt Dijkhuizen served as Member of the Supervisory Board at INCOTEC Group. He also serves as Advisory Board Member at NPM Capital. He served as Board Member at Future Food Fund.</t>
  </si>
  <si>
    <t>+31 (0)65 335 5744</t>
  </si>
  <si>
    <t>office.fresco@wur.nl</t>
  </si>
  <si>
    <t>Nieuwerkerk a/d IJssel</t>
  </si>
  <si>
    <t>Nieuwerkerk a/d IJssel, Netherlands</t>
  </si>
  <si>
    <t>Postbus 220</t>
  </si>
  <si>
    <t>2910 AE</t>
  </si>
  <si>
    <t>+31 (0)18 031 8067</t>
  </si>
  <si>
    <t>Van Hessen</t>
  </si>
  <si>
    <t>39734-56P</t>
  </si>
  <si>
    <t>Alexis Milkovic</t>
  </si>
  <si>
    <t>Milkovic</t>
  </si>
  <si>
    <t>Mr. Alexis Milkovic serves as Investment Director at NPM Capital. He served as Partner at Equistone Partners Europe. He joined Equistone Partners Europe in August 2008. He holds a degree in Economics. Prior to joining Equistone Partners Europe Alexis worked as an Assistant Manager with KPMG Transaction Services.</t>
  </si>
  <si>
    <t>+49 (0)89 242 0640</t>
  </si>
  <si>
    <t>milkovic@npm-capital.com</t>
  </si>
  <si>
    <t>Breitnerstraat 1</t>
  </si>
  <si>
    <t>Vlaams Gewest</t>
  </si>
  <si>
    <t>1077 BL</t>
  </si>
  <si>
    <t>58804-75P</t>
  </si>
  <si>
    <t>Bart Coopmans</t>
  </si>
  <si>
    <t>Coopmans</t>
  </si>
  <si>
    <t>Mr. Bart Coopmans serves as Managing Director at NPM Capital. He serves as Supervisory Board Member at Infinitas Learning. He served as Board Member at Deli Home. He joined NPM Capital in September 2007. Previously he was a Principal at the Boston Consulting Group and held various positions at Unilever.</t>
  </si>
  <si>
    <t>+31 (0)20 570 5555</t>
  </si>
  <si>
    <t>coopmans@npm-capital.com</t>
  </si>
  <si>
    <t>172774-99P</t>
  </si>
  <si>
    <t>Bob Brouwer</t>
  </si>
  <si>
    <t>Mr. Bob Brouwer serves as Financial Affairs Mid-office at NPM Capital. He is working at NPM Capital since 1998. He studied Business Economics at The Hague University of Applied Sciences in The Hague.</t>
  </si>
  <si>
    <t>brouwer@npm-capital.com</t>
  </si>
  <si>
    <t>Financial Affairs Mid-office</t>
  </si>
  <si>
    <t>252071-29P</t>
  </si>
  <si>
    <t>Casper Dek</t>
  </si>
  <si>
    <t>Dek</t>
  </si>
  <si>
    <t>Mr. Casper Dek serves as Senior Associate at NPM Capital. Mr. Dek holds a MSc in Aerospace Engineering from the Technical University of Delft.</t>
  </si>
  <si>
    <t>dek@npm-capital.com</t>
  </si>
  <si>
    <t>179532-19P</t>
  </si>
  <si>
    <t>Chantal Stoffelsma</t>
  </si>
  <si>
    <t>Stoffelsma</t>
  </si>
  <si>
    <t>Ms. Chantal Stoffelsma serves as Senior Investment Manager at NPM Capital. She joined NPM Capital in October 2017. She holds an MBA from INSEAD and a MSc in Chemistry from Leiden University.
Involved at</t>
  </si>
  <si>
    <t>stoffelsma@npm-capital.com</t>
  </si>
  <si>
    <t>442617-49P</t>
  </si>
  <si>
    <t>Christien van de Kerk</t>
  </si>
  <si>
    <t>Christien</t>
  </si>
  <si>
    <t>van de Kerk</t>
  </si>
  <si>
    <t>Ms. Christien van de Kerk serves as Analyst at NPM Capital.</t>
  </si>
  <si>
    <t>vandekerk@npm-capital.com</t>
  </si>
  <si>
    <t>55876-87P</t>
  </si>
  <si>
    <t>Daniel Ropers</t>
  </si>
  <si>
    <t>Ropers</t>
  </si>
  <si>
    <t>Mr. Daniel Ropers served as Imvestment Committee Member at Ponooc. He also serves as Chariman at PHH Group. He also served as Board Member at AS Adventure and Industrial Adviser at CVC Capital Partners Advisor and at NPM Capital. Mr. Ropers served as Chief Executive Officer at Springer Nature. He joined Springer Nature in October 2017, following 17 years as CEO at online retailer bol.com. Under his leadership, bol.com grew from a start-up to one of Europe's leading online retailers. Prior to joining bol.com, he had an early career in management consulting, at McKinsey, working with international clients and developing expertise in e-commerce. He holds a Master's Degree in Economics, having studied Global Economics and Business Studies at Erasmus University (Rotterdam, NL) and ESSEC (Cergy-Pontoise, France).</t>
  </si>
  <si>
    <t>+31 (0)30 310 4999</t>
  </si>
  <si>
    <t>dropers@bol.com</t>
  </si>
  <si>
    <t>Utrecht</t>
  </si>
  <si>
    <t>Utrecht, Netherlands</t>
  </si>
  <si>
    <t>Keulsekade 189</t>
  </si>
  <si>
    <t>3534 AC</t>
  </si>
  <si>
    <t>Managing Director &amp; Chief Executive Officer</t>
  </si>
  <si>
    <t>bol.com</t>
  </si>
  <si>
    <t>308909-26P</t>
  </si>
  <si>
    <t>Didier van der Horst</t>
  </si>
  <si>
    <t>Mr. Didier van der Horst serves as Analyst at NPM Capital.</t>
  </si>
  <si>
    <t>vanderhorst@npm-capital.com</t>
  </si>
  <si>
    <t>39103-21P</t>
  </si>
  <si>
    <t>Dirk Reyn</t>
  </si>
  <si>
    <t>Reyn</t>
  </si>
  <si>
    <t>Mr. Dirk Reyn serves as Managing Partner at Bioqube Ventures. He also serves as Board Member at Enhanc3D Genomics. He is a Health Advisor at NPM Capital He is a Board Member at TiGenix. He co-founded and served as Interim Chief Executive Officer and Board Member at Spectricity. He served as the Board Member and Chief Executive Officer at eTheRNA. He was a Co-Founder and served as the Chief Executive Officer at Movetis. He is a Pharmacist and MBA'er with International Marketing, Global Sales Management, Product Development, Crisis Management, Business Development and General Management/biotech CEO skills acquired in the international pharmaceutical industry over a period of more than 38 years in both big and small companies and in different continents. He was a key player in at least 6 major pharma licensing and M&amp;A deals in his capacity as head of BD for Europe while working for JNJ. After his tenure in big pharma (Lilly and JNJ), he was start-up CEO and founder of different companies including Movetis (2006), a public (Euronext) biopharmaceutical spin-off company from Janssen Pharmaceutica that was acquired by Shire, Progress Pharma (2012) that worked on a GI asset (Lipid, Heidelberg) before it was acquired by Nestle, eTheRNA (2015), a mRNA technology spin-off from the Free University of Brussels, and Spectricity (2018), an Imec spin-off with the smallest spectrometer on the planet. He is currently one of the three Managing Partners of the Bioqube Factory Fund (2020), a specialized biotech investment Fund with 110 million under management. He is also the President of Flanders bio, the organization of biotech companies in Flanders.</t>
  </si>
  <si>
    <t>+32 (0)3 369 17 40</t>
  </si>
  <si>
    <t>dirk@bioqubeventures.com</t>
  </si>
  <si>
    <t>Barricadenplein 13</t>
  </si>
  <si>
    <t>Bioqube Ventures</t>
  </si>
  <si>
    <t>308918-80P</t>
  </si>
  <si>
    <t>Eric Lauwers</t>
  </si>
  <si>
    <t>Lauwers</t>
  </si>
  <si>
    <t>Mr. Eric Lauwers served as Chief Executive Officer at Arvesta. He serves as Advisor at NPM Capital.</t>
  </si>
  <si>
    <t>Arvesta (Former)</t>
  </si>
  <si>
    <t>395365-96P</t>
  </si>
  <si>
    <t>Erik Wedershoven</t>
  </si>
  <si>
    <t>Wedershoven</t>
  </si>
  <si>
    <t>Mr. Erik Wedershoven serves as Director ESG &amp; Fund Manager at NPM Capital.</t>
  </si>
  <si>
    <t>wedershoven@npm-capital.com</t>
  </si>
  <si>
    <t>Director ESG &amp; Fund Manager</t>
  </si>
  <si>
    <t>308913-31P</t>
  </si>
  <si>
    <t>Gijs Propper</t>
  </si>
  <si>
    <t>Gijs</t>
  </si>
  <si>
    <t>Propper</t>
  </si>
  <si>
    <t>Mr. Gijs Propper serves as Associate at NPM Capital. Mr. Propper joined NPM Capital in June 2022. He holds a BSc in Econometrics from the University of Groningen, and a MSc in Econometrics from the Erasmus University Rotterdam.</t>
  </si>
  <si>
    <t>propper@npm-capital.com</t>
  </si>
  <si>
    <t>354949-03P</t>
  </si>
  <si>
    <t>Hans Van Der Heyden</t>
  </si>
  <si>
    <t>Van Der Heyden</t>
  </si>
  <si>
    <t>Mr. Hans Van Der Heyden serves as Advisor at NPM Capital.</t>
  </si>
  <si>
    <t>51841-81P</t>
  </si>
  <si>
    <t>Hiram Claus</t>
  </si>
  <si>
    <t>Hiram</t>
  </si>
  <si>
    <t>Mr. Hiram Claus serves as Investment Director at NPM Capital. Mr. Claus served as Senior Director and Member of the Investment Committee at Cobepa. He also serves as a Board Member at Tech Tribes Nederland. He served as a Board Member at Carrières du Hainaut. He holds a Master's Degree in Business Engineering and a Master's in Operations &amp; Technology Management from Ghent University. Having started his professional career in 2002 as an IT project manager for an export company in Nigeria, he joined Fortis in early 2003 as an international management trainee. He subsequently focused on merger &amp; acquisition transactions as a senior associate with Fortis Corporate Finance &amp; Capital Markets (Brussels). He joined Cobepa in 2007.</t>
  </si>
  <si>
    <t>+32 (0)2 213 32 32</t>
  </si>
  <si>
    <t>claus@npm-capital.com</t>
  </si>
  <si>
    <t>374158-45P</t>
  </si>
  <si>
    <t>Isaak Waterschoot</t>
  </si>
  <si>
    <t>Isaak</t>
  </si>
  <si>
    <t>Waterschoot</t>
  </si>
  <si>
    <t>Mr. Isaak Waterschoot serves as Associate at NPM Capital. He used to work as Associate at ING Corporate Finance. He holds an MSc in Business Engineering from the Catholic University of Leuven.</t>
  </si>
  <si>
    <t>waterschoot@npm-capital.com</t>
  </si>
  <si>
    <t>308919-61P</t>
  </si>
  <si>
    <t>Jan Stichele</t>
  </si>
  <si>
    <t>Stichele</t>
  </si>
  <si>
    <t>Mr. Jan Stichele serves as Advisor at NPM Capital. He serves as a Board Member at Frigilunch and Ardo. He also serves as Chairman at Lotus Bakeries. He did a Master's degree in Civil Engineering (KU Leuven) and a Candidate degree in Applied Economics (KU Leuven). He was the technical director of the Verlipack Group. Since the end of 1996 active in the Lotus Bakeries Group as General Manager Lotus Bakeries France, thereafter as General Manager Operations and between 2011 and 2016 as Executive Director. He has been a Member of the Board of Directors at Lotus Bakeries since 2005. He is a member of the Board of Directors of Ardo Group, B.I.G., Connect+ and OLV Ziekenhuis Aalst (hospital). He is the Chairman of the Board of Directors at Team Industries and Flanders' FOOD.</t>
  </si>
  <si>
    <t>144925-39P</t>
  </si>
  <si>
    <t>Jelmer Methorst</t>
  </si>
  <si>
    <t>Jelmer</t>
  </si>
  <si>
    <t>Methorst</t>
  </si>
  <si>
    <t>Mr. Jelmer Methorst serves as Senior Investment Manager at NPM Capital. Mr. Methorst is working at NPM Capital since May 2015. He earned a BS in Business Administration at Erasmus University and a Master's in Finance from IE Business School. Before starting at NPM Capital, he did internships at Oaklins, Avedon Capital Partners, and Cinven.</t>
  </si>
  <si>
    <t>methorst@npm-capital.com</t>
  </si>
  <si>
    <t>70342-03P</t>
  </si>
  <si>
    <t>Jeroen de Haas</t>
  </si>
  <si>
    <t>de Haas</t>
  </si>
  <si>
    <t>Mr. Jeroen de Haas served as Chief Executive Officer at Groendus. He serves as an Advisor at NPM Capital. He has also served as President at Solaris Industria. He served as Chairman of the Board and Chief Executive Officer at Eneco. He was appointed as the chairman of the Board of Management on 1st February 2007. He also served as a Chairman of the Supervisory Board at Port of Amsterdam. He has been a member of the Board of Management since July 2000 and held the position of vice-chairman since 2006. He also serves as a Board Member at Rooftop Energy. Since 1996, he was General Manager of the Enercom energy company cooperative, six members of which merged with Eneco in July 2000. Before this, he was General Manager of RCCIVEV, a unit of Roccade.</t>
  </si>
  <si>
    <t>Chairman of the Board and Chief Executive Officer</t>
  </si>
  <si>
    <t>Eneco (Former)</t>
  </si>
  <si>
    <t>218306-17P</t>
  </si>
  <si>
    <t>Jeroen Haas</t>
  </si>
  <si>
    <t>Mr. Jeroen Haas serves as Advisor at NPM Capital. He served as Associate Partner at Prorsum Capital.</t>
  </si>
  <si>
    <t>Associate Partner</t>
  </si>
  <si>
    <t>Prorsum Capital (Former)</t>
  </si>
  <si>
    <t>354943-81P</t>
  </si>
  <si>
    <t>Jivan Misier</t>
  </si>
  <si>
    <t>Jivan</t>
  </si>
  <si>
    <t>Misier</t>
  </si>
  <si>
    <t>Mr. Jivan Misier serves as Associate at NPM Capital. He studied economics &amp; philosophy at the University of Groningen and finance at the University of Amsterdam.</t>
  </si>
  <si>
    <t>ramdatmisier@npm-capital.com</t>
  </si>
  <si>
    <t>56625-58P</t>
  </si>
  <si>
    <t>Jos Lamers</t>
  </si>
  <si>
    <t>Jos</t>
  </si>
  <si>
    <t>Lamers</t>
  </si>
  <si>
    <t>Mr. Jos Lamers serves as Advisor at NPM Capital. He serves as Board Member at Colosseum Dental Group (Zurich). He served as the CEO of UNILABS from 2013 to 2019 and continued his leadership as Executive Chairman from 2019 to 2022. Since 2022, he has been acting as a Senior Advisor to AP Moller Holdings. In 2024, He also joined the Board of Jacobs Holding AG. Before he joined Unilabs, he served as the CEO at Nucletron, growing the business substantially. Furthermore, He is a senior advisor, investor and board member in various other private equity settings (a.o. CVC, APAX). He holds a degree in Human Nutrition from the University of Wageningen.</t>
  </si>
  <si>
    <t>424429-84P</t>
  </si>
  <si>
    <t>Jurian Oskam</t>
  </si>
  <si>
    <t>Jurian</t>
  </si>
  <si>
    <t>Oskam</t>
  </si>
  <si>
    <t>Mr. Jurian Oskam serves as CFO at NPM Capital.</t>
  </si>
  <si>
    <t>oskam@npm-capital.com</t>
  </si>
  <si>
    <t>CFO</t>
  </si>
  <si>
    <t>130427-74P</t>
  </si>
  <si>
    <t>Kobe Verdonck</t>
  </si>
  <si>
    <t>Kobe</t>
  </si>
  <si>
    <t>Verdonck</t>
  </si>
  <si>
    <t>Mr. Kobe Verdonck serves as Chief Executive Officer at SD Worx Group. He serves as Advisor at NPM Capital.</t>
  </si>
  <si>
    <t>kobe.verdonck@northgatearinso.com</t>
  </si>
  <si>
    <t>Antwerp</t>
  </si>
  <si>
    <t>Antwerp, Belgium</t>
  </si>
  <si>
    <t>Brouwersvliet 2</t>
  </si>
  <si>
    <t>SD Worx Group</t>
  </si>
  <si>
    <t>128845-63P</t>
  </si>
  <si>
    <t>Maarten Steinbuch Ph.D</t>
  </si>
  <si>
    <t>Steinbuch</t>
  </si>
  <si>
    <t>Dr. Maarten Steinbuch is a Co-Founder of Microsure. He co-founded &amp; served as a Technical Advisor at Preceyes. He serves as an Advisor at NPM Capital. He serves as a Board Advisor at ScoutinScience. He co-founded and served as Scientific Director at Eindhoven Medical Robotics. He received his M.Sc. degree and Ph.D. Degree from Delft University of Technology, in 1984 and 1989 resp. From 1987 to 1998 he was with Philips Research Labs., Eindhoven as a Member of the Scientific Staff. From 1998-1999 he was manager of the Dynamics and Control group at Philips Center for Manufacturing Technology. Since 1999 he has been a full professor and chair of the Control Systems Technology group of the Mechanical Engineering Department of Eindhoven University of Technology. He was Editor-in-Chief of IFAC Mechatronics (2009-2015) and is the Scientific Director of the Research Centre High Tech Systems of the Federation of Dutch Technical Universities, a member of the board of AutomotiveNL, a member of the Formula E team, a member of the advisory board of The High Tech Institute and of Nobleo Technology BV, (past) co-founder of MI-Partners BV, co-founder of Mechatronics Academy BV, BV and founder of Steinbuch in Motion BV. He is CEO of Medical Robotic Technologies BV and faculty of SingularityU Netherlands. Since 2014 he is also Scientific Director of the TU/e High Tech Systems Center HTSC. In 2003, 2005, 2008, and 2015 he obtained the 'Best-Teacher' award from the Department of Mechanical Engineering, TU/e. In 2008 as well as in 2014 his research group obtained the QANU excellence rating [5555]. In 2013 he was appointed Distinguished University Professor at TU/e. In 2015 he received the KIVI Academic Society Award. In 2016 he was awarded Simon Stevin Meester 2016, the highest Dutch award for Scientific Technological research. His research interests are modeling design, and control of motion systems, robotics, automotive powertrains, and fusion plasmas.</t>
  </si>
  <si>
    <t>+31 40-247 5444</t>
  </si>
  <si>
    <t>msteinbuch@microsure.nl</t>
  </si>
  <si>
    <t>Son</t>
  </si>
  <si>
    <t>Son, Netherlands</t>
  </si>
  <si>
    <t>Science Park Eindhoven 5080</t>
  </si>
  <si>
    <t>5692 EA</t>
  </si>
  <si>
    <t>Co- Founder</t>
  </si>
  <si>
    <t>Microsure</t>
  </si>
  <si>
    <t>308914-57P</t>
  </si>
  <si>
    <t>Margot Soederhuizen</t>
  </si>
  <si>
    <t>Soederhuizen</t>
  </si>
  <si>
    <t>Ms. Margot Soederhuizen serves as Associate at NPM Capital. Ms. Soederhuizen joined NPM Capital in January 2022. She holds a BSc Liberal Arts &amp; Sciences from the Amsterdam University College, where she majored in mathematics, and a MSc Finance &amp; Investments from the Erasmus University Rotterdam.</t>
  </si>
  <si>
    <t>soederhuizen@npm-capital.com</t>
  </si>
  <si>
    <t>356236-93P</t>
  </si>
  <si>
    <t>Marijke Aarts</t>
  </si>
  <si>
    <t>Marijke</t>
  </si>
  <si>
    <t>Aarts</t>
  </si>
  <si>
    <t>Ms. Marijke Aarts serves as Investment Manager at NPM Capital. Ms. Aarts served as an Investment Professional at 365 Capital. She previously worked at ING in the Benelux Corporate Finance team based in Amsterdam, where she was involved in various M&amp;A transactions. Prior to this, she gained work experience and completed internships in private equity at Bencis Capital Partners and investment banking at ING. She holds a master's degree in Financial Economics from the Erasmus University Rotterdam in the Netherlands.</t>
  </si>
  <si>
    <t>aarts@npm-capital.com</t>
  </si>
  <si>
    <t>225620-02P</t>
  </si>
  <si>
    <t>Martien Penning</t>
  </si>
  <si>
    <t>Martien</t>
  </si>
  <si>
    <t>Mr. Martien Penning is the Founder &amp; serves as Managing Partner at Hillenraad Partners. He also serves as Advisor at NPM Capital. He is a horticultural expert in products, markets, and technology with 35 years of international strategy experience and expertise.</t>
  </si>
  <si>
    <t>+31 (0)17 461 0438</t>
  </si>
  <si>
    <t>martienpenning@hillenraadpartners.nl</t>
  </si>
  <si>
    <t>Poeldijk</t>
  </si>
  <si>
    <t>Poeldijk, Netherlands</t>
  </si>
  <si>
    <t>ABC Westland 127</t>
  </si>
  <si>
    <t>2685 DB</t>
  </si>
  <si>
    <t>Hillenraad Partners</t>
  </si>
  <si>
    <t>59645-44P</t>
  </si>
  <si>
    <t>Martijn Bras</t>
  </si>
  <si>
    <t>Bras</t>
  </si>
  <si>
    <t>Mr. Martijn Bras serves as General Counsel at NPM Capital. He is working at NPM Capital since May 2015. He served as a Senior Associate &amp; Attorney at law at Loyens &amp; Loeff. He is is a member of the corporate practice group. He assists clients in (inter)national mergers and acquisitions, management buyouts, leveraged buyouts, private equity and venture capital transactions, joint ventures, financing rounds and investments fund and accounting law related matters.</t>
  </si>
  <si>
    <t>+31 (0)20 578 54 56</t>
  </si>
  <si>
    <t>bras@npm-capital.com</t>
  </si>
  <si>
    <t>+31 (0)20 578 58 10</t>
  </si>
  <si>
    <t>94412-62P</t>
  </si>
  <si>
    <t>Martijn Koster</t>
  </si>
  <si>
    <t>Mr. Martijn Koster serves as Senior Investment Manager at NPM Capital. He served as Board Member at Ohpen. He used to work at KPMG Corporate Finance as Associate Director. He holds a MSc in Technical Business Administration from the University of Twente.</t>
  </si>
  <si>
    <t>koster@npm-capital.com</t>
  </si>
  <si>
    <t>157910-05P</t>
  </si>
  <si>
    <t>Mathieu Devos</t>
  </si>
  <si>
    <t>Devos</t>
  </si>
  <si>
    <t>Mr. Mathieu Devos serves as Senior Investment Manager at NPM Capital. He studied Commercial Engineering at the University of Leuven.</t>
  </si>
  <si>
    <t>devos@npm-capital.com</t>
  </si>
  <si>
    <t>244354-33P</t>
  </si>
  <si>
    <t>Micha Enthoven</t>
  </si>
  <si>
    <t>Enthoven</t>
  </si>
  <si>
    <t>Mr. Micha Enthoven serves as Investment Manager at NPM Capital. Micha joined NPM Capital in September 2020. He used to be a consultant at EY-Parthenon. He holds an MSc in Finance from the University of Groningen.</t>
  </si>
  <si>
    <t>enthoven@npm-capital.com</t>
  </si>
  <si>
    <t>198281-53P</t>
  </si>
  <si>
    <t>Michelle Dieben</t>
  </si>
  <si>
    <t>Dieben</t>
  </si>
  <si>
    <t>Ms. Michelle Dieben serves as Investment Manager at NPM Capital. Michelle joined NPM Capital in August 2018. She holds a MSc in Finance &amp; Investments from Erasmus University (Rotterdam) and a M.A. HSG in Quantitative Economics &amp; Finance from the University of Sankt Gallen (Switzerland).</t>
  </si>
  <si>
    <t>dieben@npm-capital.com</t>
  </si>
  <si>
    <t>58370-23P</t>
  </si>
  <si>
    <t>Peter Byloos MD</t>
  </si>
  <si>
    <t>Byloos</t>
  </si>
  <si>
    <t>Mr. Peter Byloos serves as Chief Executive Officer and Chairman at Optegra. He serves as an Advisor at NPM Capital. He served as Partner, Health &amp; Care at Gimv. He joined Gimv in 2015 as Business Development Partner for Health &amp; Care. He is a Medical Doctor from the University of Leuven and holds a Master of Science in Management from Boston University. In his last role, he was CEO of Handicare, a Norwegian PE-backed international solution provider of technical aids (eg .wheelchairs, stairlifts...) for the elderly and disabled. Before that, he held several executive positions for large US Medical Device corporations, i.a. as the President EMEA at CR Bard.</t>
  </si>
  <si>
    <t>+32 (0)3 290 21 19</t>
  </si>
  <si>
    <t>peter.byloos@optegra.com</t>
  </si>
  <si>
    <t>Kent, United Kingdom</t>
  </si>
  <si>
    <t>Oakhill House</t>
  </si>
  <si>
    <t>130 Tonbridge Road, Hildenborough, Tonbridge</t>
  </si>
  <si>
    <t>TN11 9DZ</t>
  </si>
  <si>
    <t>Optegra</t>
  </si>
  <si>
    <t>374166-10P</t>
  </si>
  <si>
    <t>René Steenvoorden</t>
  </si>
  <si>
    <t>Steenvoorden</t>
  </si>
  <si>
    <t>Mr. René Steenvoorden serves as Advisor at NPM Capital. He is the former Chief Digital Officer of Randstad and currently a member of the UWV Board of Directors.</t>
  </si>
  <si>
    <t>74787-85P</t>
  </si>
  <si>
    <t>Roderick Reimers</t>
  </si>
  <si>
    <t>Reimers</t>
  </si>
  <si>
    <t>Mr. Roderick Reimers serves as Investment Director at NPM Capital. He served as Executive Director at Rabo Investments. He served as Managing Director at Bencis Capital Partners. He joined Rabo Investments in 2021. After having started his career at Rabobank, first as a trainee and later on in the Acquisition Finance department, he spent over twelve years at Bencis Capital Partners (a mid-market private equity firm focusing on the Benelux and Germany). At Rabo Investments, he will be able to leverage his longstanding experience in supporting companies and their teams realizing their ambitions and will continue to be focused on finding the right partnerships. He holds a degree in Law and Economics from the University of Utrecht. He served as Board Member at DentConnect.</t>
  </si>
  <si>
    <t>reimers@npm-capital.com</t>
  </si>
  <si>
    <t>57347-11P</t>
  </si>
  <si>
    <t>Rutger Ruigrok</t>
  </si>
  <si>
    <t>Rutger</t>
  </si>
  <si>
    <t>Ruigrok</t>
  </si>
  <si>
    <t>Mr. Rutger Ruigrok serves as Managing Director at NPM Capital. He joined NPM Capital in January 2005. Previously, he was an analyst at DHV Engineering.</t>
  </si>
  <si>
    <t>ruigrok@npm-capital.com</t>
  </si>
  <si>
    <t>172776-52P</t>
  </si>
  <si>
    <t>Stefan Smets</t>
  </si>
  <si>
    <t>Smets</t>
  </si>
  <si>
    <t>Mr. Stefan Smets serves as Assitant Controller, Finance at NPM Capital.</t>
  </si>
  <si>
    <t>smets@npm-capital.com</t>
  </si>
  <si>
    <t>Assitant Controller, Finance</t>
  </si>
  <si>
    <t>144870-94P</t>
  </si>
  <si>
    <t>Stijn Jonker</t>
  </si>
  <si>
    <t>Jonker</t>
  </si>
  <si>
    <t>Mr. Stijn Jonker serves as Senior Investment Manager at NPM Capital. He is working at NPM Capital since February 2016. He rejoined NPM Capital in November 2020, after having previously spent four years with NPM. Prior to rejoining NPM Capital, he worked at EQT Partners in their Amsterdam office. He holds a MSc in Mathematics from the University of Cambridge and a BSc in Econometrics from the University of Groningen.</t>
  </si>
  <si>
    <t>jonker@npm-capital.com</t>
  </si>
  <si>
    <t>374173-75P</t>
  </si>
  <si>
    <t>Timo Hoogeboom</t>
  </si>
  <si>
    <t>Hoogeboom</t>
  </si>
  <si>
    <t>Mr. Timo Hoogeboom serves as Advisor at NPM Capital. He is the former CEO of HAK. He is also chairman of the Board of Directors of Brand Masters and member of the Board of Directors of BACU Bakery and Go-Tan. He is associated with NPM as an advisor on the theme of Feeding the World .</t>
  </si>
  <si>
    <t>167511-43P</t>
  </si>
  <si>
    <t>Xander Wolfkamp</t>
  </si>
  <si>
    <t>Xander</t>
  </si>
  <si>
    <t>Wolfkamp</t>
  </si>
  <si>
    <t>Mr. Xander Wolfkamp serves as Senior Investment Manager at NPM Capital. He used to work at Gilde Equity Management. He holds an MSc in Finance from the University of Groningen.</t>
  </si>
  <si>
    <t>+31 (0)30 760 5912</t>
  </si>
  <si>
    <t>wolfkamp@npm-capital.com</t>
  </si>
  <si>
    <t>320976-01P</t>
  </si>
  <si>
    <t>Aaron Suri</t>
  </si>
  <si>
    <t>Nucleus Capital</t>
  </si>
  <si>
    <t>Mr. Aaron Suri serves as Investor at Nucleus Capital.</t>
  </si>
  <si>
    <t>aaron@nucleus-capital.com</t>
  </si>
  <si>
    <t>Kleine Hamburger Straße 16</t>
  </si>
  <si>
    <t>384698-98P</t>
  </si>
  <si>
    <t>Carolina Villa</t>
  </si>
  <si>
    <t>Dr. Carolina Villa serves as Principal at Nucleus Capital.</t>
  </si>
  <si>
    <t>carolina@nucleus-capital.com</t>
  </si>
  <si>
    <t>320974-66P</t>
  </si>
  <si>
    <t>Isabella Fandrych Ph.D</t>
  </si>
  <si>
    <t>Fandrych</t>
  </si>
  <si>
    <t>Dr. Isabella Fandrych is a Co-Founder &amp; serves as General Partner at Nucleus Capital. Dr. Fandrych worked as a consultant for McKinsey &amp; Company for four years where she helped large German corporations transition towards digital business models and to embark on decarbonization journeys. While there, she became particularly interested in sustainability and decarbonization in the manufacturing space. She has a bachelor's in industrial engineering and management from the Technical University of Berlin, a master's in Finance and Economy from the London School of Economics and a PhD in management from the University of Dusseldorf.</t>
  </si>
  <si>
    <t>isabella@nucleus-capital.com</t>
  </si>
  <si>
    <t>273693-52P</t>
  </si>
  <si>
    <t>Karim Suhm</t>
  </si>
  <si>
    <t>Suhm</t>
  </si>
  <si>
    <t>Limited Partner &amp; Venture Partner</t>
  </si>
  <si>
    <t>Mr. Karim Suhm serves as Venture Partner &amp; Limited Partner at Nucleus Capital.</t>
  </si>
  <si>
    <t>Venture Partner &amp; Limited Partner</t>
  </si>
  <si>
    <t>267178-06P</t>
  </si>
  <si>
    <t>Marc Penkala</t>
  </si>
  <si>
    <t>Penkala</t>
  </si>
  <si>
    <t>Advisor &amp; Limited Partner</t>
  </si>
  <si>
    <t>Mr. Marc Penkala is the Founder &amp; serves as Managing Director &amp; VC Advisor at Minimal VC. He serves as Advisory Partner &amp; Limited Partner at Nucleus Capital.</t>
  </si>
  <si>
    <t>marc@minimalvc.com</t>
  </si>
  <si>
    <t>Ansbacher Strasse 65</t>
  </si>
  <si>
    <t>10777</t>
  </si>
  <si>
    <t>Founder &amp; Managing Director &amp; VC Advisor</t>
  </si>
  <si>
    <t>Minimal VC</t>
  </si>
  <si>
    <t>266425-57P</t>
  </si>
  <si>
    <t>Martin Weber</t>
  </si>
  <si>
    <t>Mr. Martin Weber serves as Venture Partner at Nucleus Capital. Mr. Weber is a Co-Founder and serves as Executive of Operations, Corporate Development &amp; Finance &amp; Managing Director at one. fıve. He served as a Venture Associate at Sushi Venture Partners. He served as Director of the Program at European Pioneers. Before, he headed Operations at Startupbootcamp Media in Tel Aviv and London and has also been active as an educator, teaching courses about entrepreneurship, business modeling, and fundraising at Tel Aviv University. He holds an M.Sc. from ESCP Europe, which he got in London, Paris, and Madrid.</t>
  </si>
  <si>
    <t>martin@one-five.com</t>
  </si>
  <si>
    <t>Reichskanzlerstraße 23A</t>
  </si>
  <si>
    <t>22609</t>
  </si>
  <si>
    <t>Co-Founder, Executive of Operations, Corporate Development &amp; Finance &amp; Managing Director</t>
  </si>
  <si>
    <t>one.fıve</t>
  </si>
  <si>
    <t>355019-32P</t>
  </si>
  <si>
    <t>Maximilian Schwarz</t>
  </si>
  <si>
    <t>Schwarz</t>
  </si>
  <si>
    <t>Mr. Maximilian Schwarz is a Co-Founder and serves as General Partner at Nucleus Capital. He serves as Advisor at Cirplus.</t>
  </si>
  <si>
    <t>maximilian@nucleus-capital.com</t>
  </si>
  <si>
    <t>218445-04P</t>
  </si>
  <si>
    <t>Raffael Wohlgensinger</t>
  </si>
  <si>
    <t>Wohlgensinger</t>
  </si>
  <si>
    <t>Mr. Raffael Wohlgensinger is a Co-Founder and serves as Managing Director &amp; Chief Executive Officer at Formo. Mr. Wohlgensinger also serves as a Venture Partner at Nucleus Capital.</t>
  </si>
  <si>
    <t>+49 (0)74 6294 420</t>
  </si>
  <si>
    <t>raffael@formo.bio</t>
  </si>
  <si>
    <t>Stralauer Allee 10-11</t>
  </si>
  <si>
    <t>10245</t>
  </si>
  <si>
    <t>Co-Founder, Managing Director &amp; Chief Executive Officer</t>
  </si>
  <si>
    <t>Formo</t>
  </si>
  <si>
    <t>273693-07P</t>
  </si>
  <si>
    <t>Sohrab Beheshtipour</t>
  </si>
  <si>
    <t>Sohrab</t>
  </si>
  <si>
    <t>Beheshtipour</t>
  </si>
  <si>
    <t>Mr. Sohrab Beheshtipour serves as a Venture Partner at Nucleus Capital. He also serves as a Partner at Studio Legal Rechtsanwälte. He is a member of our Corporate Law &amp; Transactions, Venture Capital, and M&amp;A practice groups and advises founders and companies on financing rounds, investment structuring and all corporate law matters.</t>
  </si>
  <si>
    <t>+49 30 52 000 93 50</t>
  </si>
  <si>
    <t>beheshtipour@studiolegal.de</t>
  </si>
  <si>
    <t>Berlin Freedom 2</t>
  </si>
  <si>
    <t>10785</t>
  </si>
  <si>
    <t>+49 (0)30 5200 0939 3</t>
  </si>
  <si>
    <t>Studio Legal Rechtsanwälte</t>
  </si>
  <si>
    <t>220538-44P</t>
  </si>
  <si>
    <t>Alex Hoffman</t>
  </si>
  <si>
    <t>Nucor</t>
  </si>
  <si>
    <t>Mr. Alex Hoffman serves as Vice President and General Manager - Business Development at Nucor. He served as Vice President - Business Development at Steel Dynamics, Inc and as Vice President, Strategy at Alpha Natural Resources. He has completed his MBA in Management Accounting &amp; Finance from Northwestern University and BA in History from Yale University.</t>
  </si>
  <si>
    <t>+1 (704) 366-7000</t>
  </si>
  <si>
    <t>alex.hoffman@nucor.com</t>
  </si>
  <si>
    <t>1915 Rexford Road</t>
  </si>
  <si>
    <t>28211</t>
  </si>
  <si>
    <t>+1 (704) 362-4208</t>
  </si>
  <si>
    <t>Vice President and General Manager - Business Development</t>
  </si>
  <si>
    <t>272177-20P</t>
  </si>
  <si>
    <t>Allen Behr</t>
  </si>
  <si>
    <t>Behr</t>
  </si>
  <si>
    <t>Mr. Al Behr serves as Executive Vice President Plate and Structural Products at Nucor. He previously served as General Manager of Nucor Steel Texas from 2017-2020; President of the Vulcraft/Verco Group in 2014; Vice President of Nucor 2012; General Manager of Vulcraft South Carolina in 2011; General Manager of Nucor Building Systems South Carolina in 2008; Engineering Manager there in 2001; Nucor Building Systems Texas in 1999; Design Engineer at Nucor Building Systems Indiana in 1996.</t>
  </si>
  <si>
    <t>al.behr@nucor.com</t>
  </si>
  <si>
    <t>218119-87P</t>
  </si>
  <si>
    <t>Chad Utermark</t>
  </si>
  <si>
    <t>Utermark</t>
  </si>
  <si>
    <t>Mr. Chad D. Utermark serves as Executive Vice President of New Markets and Innovation at Nucor. He previously served as General Manager of Nucor-Yamato from 2011 to 2014 and as General Manager of Nucor Steel-Texas from 2008 to 2011. He was named Vice President of Nucor in 2009. Mr. Utermark began his Nucor career as a utility operator at Nucor Steel-Arkansas in 1992, subsequently serving as shift supervisor and Hot Mill Manager at that division as well as Roll Mill Manager at Nucor Steel-Texas.</t>
  </si>
  <si>
    <t>chad.utermark@nucor.com</t>
  </si>
  <si>
    <t>82664-92P</t>
  </si>
  <si>
    <t>Chris Hendricksen</t>
  </si>
  <si>
    <t>Hendricksen</t>
  </si>
  <si>
    <t>Mr. Chris Hendricksen serves as Controller at Nucor. He served as Manager of Business Development and Mergers and Acquisitions at Nucor. Prior to Nucor, he served as Manager of Corporate Development and Mergers and Acquisitions at D&amp;M Holdings. Mr. Hendricksen holds a BS in Economics from James Madison University and a MBA in Finance from Bentley University.</t>
  </si>
  <si>
    <t>chris.hendricksen@nucor.com</t>
  </si>
  <si>
    <t>272179-09P</t>
  </si>
  <si>
    <t>Daniel Needham</t>
  </si>
  <si>
    <t>Needham</t>
  </si>
  <si>
    <t>Mr. Daniel Needham serves as Executive Vice President Bar and Rebar Fabrication Products at Nucor. He began his career with Nucor in 2000 as a Controller at Nucor Steel Hertford County. He subsequently served as Controller of Nucor Steel Decatur, LLC and Nucor Steel Utah. In 2011, he became General Manager of Nucor Steel Connecticut, Inc. He later served as General Manager of Nucor Steel Utah and was elected Vice President in 2016. He most recently served as Vice President and General Manager of Nucor Steel Indiana from 2019-2021.</t>
  </si>
  <si>
    <t>daniel.needham@nucor.com</t>
  </si>
  <si>
    <t>225897-31P</t>
  </si>
  <si>
    <t>David Sumoski</t>
  </si>
  <si>
    <t>Sumoski</t>
  </si>
  <si>
    <t>David A. Sumoski (53), Executive Vice President of Merchant and Rebar Products, was named EVP in 2014. He previously served as General Manager of Nucor Steel Memphis, Inc. from 2012 to 2014 and as General Manager of Nucor Steel Marion, Inc. from 2008 to 2012. Mr. Sumoski was named Vice President of Nucor in 2010. He began his career with Nucor as an electrical supervisor at Nucor Steel-Berkeley in 1995, later serving as Maintenance Manager.</t>
  </si>
  <si>
    <t>david.sumoski@nucor.com</t>
  </si>
  <si>
    <t>220537-81P</t>
  </si>
  <si>
    <t>Gregg Lucas</t>
  </si>
  <si>
    <t>Mr. Gregg Lucas serves as Director, Investor Relations at Nucor.</t>
  </si>
  <si>
    <t>+1 (704) 972-1841</t>
  </si>
  <si>
    <t>glucas@nucor.com</t>
  </si>
  <si>
    <t>272178-46P</t>
  </si>
  <si>
    <t>Gregory Murphy</t>
  </si>
  <si>
    <t>Mr. Gregory Murphy serves as Executive Vice President of Business Services and General Counsel at Nucor. He began his Nucor career in 2015 as Vice President and General Counsel and later assumed responsibility for environmental and public affairs in 2020. Prior to joining Nucor, he was a Partner with the law firm of Moore &amp; Van Allen PLLC in Charlotte, where he was the team leader of the Litigation Practice Group and served for a decade on the firm's Executive Committee.</t>
  </si>
  <si>
    <t>gregory.gregory@nucor.com</t>
  </si>
  <si>
    <t>327548-53P</t>
  </si>
  <si>
    <t>Jack Sullivan</t>
  </si>
  <si>
    <t>Mr. Jack Sullivan serves as General Manager, Investor Relations at Nucor. He served as Vice President, Investor Relations at Duke Energy. He holds a BA in Chemistry and History from the University of North Carolina and an MBA in Finance from Wake Forest University.</t>
  </si>
  <si>
    <t>jack.sullivan@nucor.com</t>
  </si>
  <si>
    <t>General Manager, Investor Relations</t>
  </si>
  <si>
    <t>190420-21P</t>
  </si>
  <si>
    <t>John Hollatz</t>
  </si>
  <si>
    <t>Hollatz</t>
  </si>
  <si>
    <t>John Hollatz (47), Executive Vice President of Bar, Engineered Bar, and Rebar Fabrication Products, was named EVP in May 2022. Mr. Hollatz began his career at Nucor in 1999 as Design Engineer at Vulcraft Indiana and then served as Sales Engineer and Sales Manager at Vulcraft Nebraska. Mr. Hollatz later served as General Manager of Nucor Building Systems South Carolina, General Manager of Vulcraft Indiana, and President of the Vulcraft/Verco group. He was promoted to Vice President and General Manager of Nucor Steel Decatur, LLC in 2016.</t>
  </si>
  <si>
    <t>john.hollatz@nucor.com</t>
  </si>
  <si>
    <t>82664-83P</t>
  </si>
  <si>
    <t>John Pressly</t>
  </si>
  <si>
    <t>Pressly</t>
  </si>
  <si>
    <t>Mr. John Pressly serves as Manager of Business Development &amp; Mergers &amp; Acquisitions at Nucor.</t>
  </si>
  <si>
    <t>john.pressly@nucor.com</t>
  </si>
  <si>
    <t>Manager Of Business Development: Mergers And Acquisitions</t>
  </si>
  <si>
    <t>248970-43P</t>
  </si>
  <si>
    <t>Kenneth Query</t>
  </si>
  <si>
    <t>Query</t>
  </si>
  <si>
    <t>Mr. Kenneth Rex Query serves as Executive Vice President of Sheet and Tubular Products at Nucor. He served as President of Nucor's Vulcraft/Verco Group and joined Nucor in 1990 as a financial analyst in the Corporate Office and subsequently served as Controller at Vulcraft South Carolina, Nucor Steel Berkeley and Nucor Steel Hertford. After serving as General Manager and Corporate Controller, Mr. Query's positions included Vice President and General Manager at Nucor Steel Auburn, Inc., Nucor Steel Decatur, LLC, Nucor Steel South Carolina and Nucor Cold Finish as well as President of Nucor Europe.</t>
  </si>
  <si>
    <t>kenneth.query@nucor.com</t>
  </si>
  <si>
    <t>350149-96P</t>
  </si>
  <si>
    <t>Len Greuning</t>
  </si>
  <si>
    <t>Greuning</t>
  </si>
  <si>
    <t>Mr. Len Greuning serves as Chief Information Officer at Manulife Investment Management. He serves as Chief Information Officer at Nucor. He is responsible for information services functions supporting the global wealth and asset management business of Manulife Investment Management, including setting the strategic direction for the firm's technology function and driving delivery transformation. Previously, he was the chief information officer for John Hancock, the U.S. segment of Toronto-based Manulife, with oversight of John Hancock's life insurance, long-term care, annuities, and fixed products. He joined the company in 2010 as chief architect for John Hancock and was later named chief technology officer, responsible for technology transformation services and business</t>
  </si>
  <si>
    <t>+1 (416) 852-7498</t>
  </si>
  <si>
    <t>greuning@manulifeam.com</t>
  </si>
  <si>
    <t>200 Bloor Street East</t>
  </si>
  <si>
    <t>M4W 1E5</t>
  </si>
  <si>
    <t>Manulife Investment Management Holdings (Canada)</t>
  </si>
  <si>
    <t>210708-37P</t>
  </si>
  <si>
    <t>Leon Topalian</t>
  </si>
  <si>
    <t>Topalian</t>
  </si>
  <si>
    <t>Mr. Leon Topalian serves as Chief Executive Officer, Chairman &amp; President at Nucor. He was named President and Chief Executive Officer effective January 1, 2020. He previously served as President and Chief Operating Officer of Nucor beginning in September 2019. He began his career with Nucor as a project engineer at Nucor Steel-Berkeley in 1996 and was promoted to Cold Mill Production Supervisor in 1998. He has held various leadership positions throughout his Nucor career in Australia, at Nucor Steel South Carolina, Nucor Steel Kankakee, and Nucor Yamato Steel Company. He served as Executive Vice President of Beam and Plate Products from 2017 to 2019.</t>
  </si>
  <si>
    <t>leon.topalian@nucor.com</t>
  </si>
  <si>
    <t>Chief Executive Officer, Chairman &amp; President</t>
  </si>
  <si>
    <t>225586-81P</t>
  </si>
  <si>
    <t>Michael Keller</t>
  </si>
  <si>
    <t>Mr. Michael D. Keller serves as Vice President &amp; Corporate Controller at Nucor. As Corporate Controller, he will serve as the Principal Accounting Officer for the Corporation. He began his career with the Corporation in 1998 as the controller of the Corporation's Vulcraft - Texas division. He later served as controller of Nucon Steel Commercial Corporation and of Nucor Steel - Indiana. He was promoted to General Manager of Nucor Steel Auburn, a wholly-owned subsidiary of the Corporation, in June 2008.</t>
  </si>
  <si>
    <t>michael.keller@nucor.com</t>
  </si>
  <si>
    <t>82665-01P</t>
  </si>
  <si>
    <t>Steve Laxton</t>
  </si>
  <si>
    <t>Laxton</t>
  </si>
  <si>
    <t>Mr. Steve Laxton served as Chief Financial Officer, Treasurer &amp; Executive Vice President at Nucor. He served as Director of Asset Management and Energy Commodities at Cinergy. Mr. Laxton holds a BS in Marketing and Finance from Georgetown College and a MBA from the University of Kentucky.</t>
  </si>
  <si>
    <t>steve.laxton@nucor.com</t>
  </si>
  <si>
    <t>Chief Financial Officer, Treasurer &amp; Executive Vice President</t>
  </si>
  <si>
    <t>398110-33P</t>
  </si>
  <si>
    <t>Luke Surowiec</t>
  </si>
  <si>
    <t>Surowiec</t>
  </si>
  <si>
    <t>NYC Acclerator</t>
  </si>
  <si>
    <t>Mr. Luke Surowiec serves as Program Director at NYC Acclerator.</t>
  </si>
  <si>
    <t>+1 (212) 656-9202</t>
  </si>
  <si>
    <t>luke@accelerator.nyc</t>
  </si>
  <si>
    <t>630 3rd Avenue</t>
  </si>
  <si>
    <t>252519-04P</t>
  </si>
  <si>
    <t>Doreen Harris</t>
  </si>
  <si>
    <t>NYSERDA</t>
  </si>
  <si>
    <t>Ms. Doreen Harris serves as Chief Executive Officer &amp; President at NYSERDA. Ms. Harris has held public and private sector leadership roles advancing clean energy projects and engineering companies for more than 20 years. During her 10 years of public service, she has held executive, technical, and policy positions at NYSERDA, most recently as the Vice President of Large-Scale Renewables. While at NYSERDA, she has overseen the State's nation-leading advancement of renewable resources under the Climate Leadership and Community Protection Act and Clean Energy Standard. Ms. Harris also spearheaded the strategic development of New York's offshore wind resource, including the execution of the State's offshore wind master plan. She was also instrumental in advancing and implementing the Accelerated Renewable Energy Growth and Community Benefit Act, which will modernize the siting of large-scale renewable energy projects across New York. Before embarking on a career in public service, Ms. Harris spent more than a decade in the energy sector, serving in management and engineering roles. She began her career at Alcoa Advanced Technologies and Optimation Technologies in engineering roles associated with consulting and project management. Prior to joining NYSERDA, she served as Project Director for Global Water Technologies, Inc., where she led a multi-year initiative to develop and commercialize energy savings and water treatment technologies.</t>
  </si>
  <si>
    <t>+1 (518) 862-1090</t>
  </si>
  <si>
    <t>doreen.harris@nyserda.ny.gov</t>
  </si>
  <si>
    <t>17 Columbia Circle</t>
  </si>
  <si>
    <t>+1 (518) 862-1091</t>
  </si>
  <si>
    <t>168895-72P</t>
  </si>
  <si>
    <t>Jacques Roeth</t>
  </si>
  <si>
    <t>Jacques</t>
  </si>
  <si>
    <t>Roeth</t>
  </si>
  <si>
    <t>Mr. Jacques Roeth serves as Executive, Clean Technology - Innovation and Business Development at NYSERDA.</t>
  </si>
  <si>
    <t>Executive, Clean Technology - Innovation and Business Development</t>
  </si>
  <si>
    <t>168194-62P</t>
  </si>
  <si>
    <t>Janet Joseph</t>
  </si>
  <si>
    <t>Ms. Janet Joseph serves as Vice President for Innovation and Strategy at NYSERDA. She serves as Advisor at Commonweal Ventures. She oversees research and market development programs, focused on catalyzing partnerships to increase innovation and investment in clean energy in New York State. Ms. Joseph has held technical and leadership positions at NYSERDA over the past 25 years. She has spearheaded initiatives to develop renewable power in New York State, built a cleantech start-up industry, and explored long-term strategies to reduce greenhouse gas emissions. Prior to joining NYSERDA, Ms. Joseph was a research scientist at Battelle Pacific Northwest National Laboratory. She worked on a range of energy and environmental technology and policy issues from cleaning up hazardous waste to global climate change. She also worked as an environmental management consultant for Booz Allen Hamilton in Washington, D.C.</t>
  </si>
  <si>
    <t>+1 (212) 681-4640</t>
  </si>
  <si>
    <t>1359 Broadway</t>
  </si>
  <si>
    <t>Vice President for Innovation and Strategy</t>
  </si>
  <si>
    <t>62126-38P</t>
  </si>
  <si>
    <t>John Lochner</t>
  </si>
  <si>
    <t>Lochner</t>
  </si>
  <si>
    <t>Mr. John Lochner serves as Advisor at NYSERDA. He served as Vice President, Corporate Development at Locus Energy. He responsibilities include fund-raising, corporate strategy and exploring new business opportunities. He is Locus Energy's representative to the Solar Access To Public Capital organization, an industry group dedicated to the diversification of financing options for the solar industry run by the National Renewable Energy Laboratory. Lochner was previously an investment banker at Credit Suisse in the firm's Global Energy Group based in New York. At Credit Suisse, he worked on mergers and acquisitions, initial public offerings and debt financings for solar, wind, geothermal, biofuel and traditional power companies in the United States, Latin America, Europe and Asia. His previous experience includes management consulting as well as work with the State of Qatar on global economic development and investment initiatives. He has also acted as a placement agent for investment firms looking to raise money for sovereign wealth funds and high-net-worth individuals. He holds an MBA from Wharton Business School, a master's degree from Harvard University and a bachelor's degree from Duke University.</t>
  </si>
  <si>
    <t>+1 (212) 971-5342</t>
  </si>
  <si>
    <t>john.lochner@nyserda.ny.gov</t>
  </si>
  <si>
    <t>171188-38P</t>
  </si>
  <si>
    <t>Michael Genovese</t>
  </si>
  <si>
    <t>Genovese</t>
  </si>
  <si>
    <t>Mr. Michael Genovese serves as Senior Project Manager at NYSERDA.</t>
  </si>
  <si>
    <t>+1 (518) 862-1090 x3103</t>
  </si>
  <si>
    <t>michael.genovese@nyserda.ny.gov</t>
  </si>
  <si>
    <t>368411-50P</t>
  </si>
  <si>
    <t>Pam Poisson</t>
  </si>
  <si>
    <t>Pam</t>
  </si>
  <si>
    <t>Poisson</t>
  </si>
  <si>
    <t>Ms. Pam Poisson serves as Chief Financial Officer at NYSERDA. She is helping to deliver on NYSERDA's mission and achieve New York's nation-leading goals in a fiscally responsible manner. In this capacity, she is responsible for budgeting, financial reporting and analysis, accounting operations, treasury management, utility conduit bond financing, residential/small commercial financing solutions, and internal controls. Ms. Poisson joined NYSERDA in July 2021 with extensive experience in the public and private sectors. Ms. Poisson began her career in government at the U.S. Department of Labor, then spent more than two decades working in the housing and financial market arena at Freddie Mac. Shifting intentionally to clean energy and climate change, Ms. Poisson was hired as Chief Financial Officer of the American Wind Energy Association (AWEA) in 2010 and promoted two years later to serve as their CFO and SVP of Operations. Just prior to joining NYSERDA, Ms. Poisson managed the financial and operational components of AWEA's merger into the American Clean Power (ACP). Ms. Poisson currently serves on the Board of Repowering Schools, a charitable non-profit focused on renewable energy education, and is active in the Finance and Administration Roundtable. She recently served as Finance Committee Advisor for the American Wind Wildlife Institute and as Chair of the Endowment Committee for her local church. Ms. Poisson was named one of the "Trending 40" Best Association and Non-Profit CFOs and received several times the Freddie Mac Premier Achievement Award for Outstanding Contributions to the Business. Ms. Poisson is a Summa Cum Laude graduate of The American University's Kogod College of Business with a concentration in Finance. Certified in Diversity, Equity, and Inclusion in the Workplace, she also completed a component of the Sloan School of Management Strategic Leadership Program and is a Toastmasters International "Competent Communicator". Ms. Poisson is also a Virginia state-certified Master Naturalist.</t>
  </si>
  <si>
    <t>pam.poisson@nyserda.ny.gov</t>
  </si>
  <si>
    <t>78147-46P</t>
  </si>
  <si>
    <t>Robert Manasier</t>
  </si>
  <si>
    <t>Manasier</t>
  </si>
  <si>
    <t>Mr. Robert Manasier serves as Chief Executive Officer at In Focus Brands. He serves as an Entrepreneur-in-Residence at NYSERDA. He also serves as Board member at Autonomy Distributors.</t>
  </si>
  <si>
    <t>robertm@infocusbrands.com</t>
  </si>
  <si>
    <t>In Focus Brands</t>
  </si>
  <si>
    <t>436464-37P</t>
  </si>
  <si>
    <t>Andrew Petzold</t>
  </si>
  <si>
    <t>Petzold</t>
  </si>
  <si>
    <t>Oak Ridge National Laboratory</t>
  </si>
  <si>
    <t>Mr. Andrew Petzold serves as Chief Financial Officer (Interim) at Oak Ridge National Laboratory. Mr.Petzold leads the Laboratory's Business Services Directorate, with responsibility for directing the ORNL financial and acquisition management systems. He also serves as Interim Chief Financial Officer for UT-Battelle, LLC.</t>
  </si>
  <si>
    <t>+1 (865) 576-7658</t>
  </si>
  <si>
    <t>apetzold@ornl.gov</t>
  </si>
  <si>
    <t>P.O. Box 2008</t>
  </si>
  <si>
    <t>37831</t>
  </si>
  <si>
    <t>Chief Financial Officer (Interim)</t>
  </si>
  <si>
    <t>342074-71P</t>
  </si>
  <si>
    <t>Balendra Sutharshan</t>
  </si>
  <si>
    <t>Balendra</t>
  </si>
  <si>
    <t>Sutharshan</t>
  </si>
  <si>
    <t>Mr. Balendra Sutharshan serves as Chief Operating Officer &amp; Executive Vice President of operations at Oak Ridge National Laboratory. In concert with the Deputy Director of Science and Technology, Sutharshan supports the Laboratory Director in the planning, integration, and execution of Laboratory-level initiatives as ORNL's chief operating officer.</t>
  </si>
  <si>
    <t>sutharshanb@ornl.gov</t>
  </si>
  <si>
    <t>Chief Operating Officer &amp; Executive Vice President of operations</t>
  </si>
  <si>
    <t>403028-11P</t>
  </si>
  <si>
    <t>Craig Blue</t>
  </si>
  <si>
    <t>Blue</t>
  </si>
  <si>
    <t>Mr. Craig Blue serves as Chief Manufacturing Officer at Oak Ridge National Laboratory.</t>
  </si>
  <si>
    <t>blue@ornl.gov</t>
  </si>
  <si>
    <t>Chief Manufacturing Officer</t>
  </si>
  <si>
    <t>13866-85P</t>
  </si>
  <si>
    <t>Jennifer Caldwell Ph.D</t>
  </si>
  <si>
    <t>Caldwell</t>
  </si>
  <si>
    <t>Dr. Jennifer Caldwell serves as Director, of the Technology Transfer Division at Oak Ridge National Laboratory. She is responsible for the commercialization of ORNL technologies through the management of Privately Funded Technology Transfer (PFTT). Before joining ORNL in 2006, she commercialized technology during her six-year tenure at Research Corporation Technology, Inc. (RCT) located in Tucson, Arizona. RCT is a technology management company that licenses and invests in early-stage technologies. She managed and licensed a technology portfolio concentrating on life sciences, biotechnology, and pharmaceuticals. She earned a Bachelor of Science degree in Chemistry from Florida State University in 1994 and a Doctor of Philosophy in Chemistry (with emphasis in Biochemistry) from the University of Florida in 2000. Before pursuing a Ph.D., she was employed by EG&amp;G Florida, Inc. at the Kennedy Space Center as an Environmental Health Specialist. She is a member of the American Association for the Advancement of Science, the American Chemical Society, and the Licensing Executives Society.</t>
  </si>
  <si>
    <t>+1 (865) 574-4180</t>
  </si>
  <si>
    <t>caldwelljt@ornl.gov</t>
  </si>
  <si>
    <t>+1 (865) 574-9241</t>
  </si>
  <si>
    <t>Director, Technology Transfer Division</t>
  </si>
  <si>
    <t>151482-25P</t>
  </si>
  <si>
    <t>Michael Paulus Ph.D</t>
  </si>
  <si>
    <t>Paulus</t>
  </si>
  <si>
    <t>Dr. Michael Paulus serves as Director, Technology Transfer at Oak Ridge National Laboratory. He has led the ORNL Technology Transfer Office since 2009. He and his team collaborate with industry leaders and laboratory scientists to translate ORNL inventions into commercially successful products. ORNL has more than 150 active technology licenses. Prior to joining the ORNL Technology Transfer Office, he served as Vice President of Product Management with Siemens Molecular Imaging. He also served as co-founder and CEO of ImTek, Inc, an ORNL spin-out and market leader in laboratory animal x-ray CT imaging before its acquisition by CTI, Inc, and Siemens. He also Co-Founded and served as President at ImTek.</t>
  </si>
  <si>
    <t>paulusmj@ornl.gov</t>
  </si>
  <si>
    <t>Director, Technology Transfer</t>
  </si>
  <si>
    <t>59682-43P</t>
  </si>
  <si>
    <t>Scott Branham</t>
  </si>
  <si>
    <t>Branham</t>
  </si>
  <si>
    <t>Mr. J. Scott Branham serves as Chief Financial Officer and Director, Business Services at Oak Ridge National Laboratory. Mr. Branham served as Chief Financial Officer and Director, Business Services at Pension Plan For Employees at ORNL. Mr. Branham leads the Laboratory's Business Services Directorate, with responsibility for directing the ORNL budgeting process and business management functions and delivering relevant and reliable financial analysis and reporting. Mr. Branham earned a B.S. in business administration and accounting from Concord College (now Concord University) in Athens, West Virginia, and an M.B.A. in finance from Auburn University in Auburn, Alabama. He is also a Certified Public Accountant. Mr. Branham serves on the boards of the East Tennessee Institute of Internal Auditors and the local unit of the American Red Cross. He was previously the communications representative on the DOE Contractor Internal Audit Directors Steering Committee. He has also served on the DOE Steering Committee for Quality Auditing, including a term as co-chair, and on various committees with the Tennessee Society of Certified Public Accountants and the American Cancer Society.</t>
  </si>
  <si>
    <t>+1 (865) 241-7614</t>
  </si>
  <si>
    <t>branhams@ornl.gov</t>
  </si>
  <si>
    <t>+1 (865) 241-7595</t>
  </si>
  <si>
    <t>Chief Financial Officer &amp; Director, Business Services</t>
  </si>
  <si>
    <t>295606-00P</t>
  </si>
  <si>
    <t>Alison Delgado</t>
  </si>
  <si>
    <t>Delgado</t>
  </si>
  <si>
    <t>Obsidian Investment Partners</t>
  </si>
  <si>
    <t>Ms. Alison Delgado is a Founding Partner of Obsidian Investments.</t>
  </si>
  <si>
    <t>+1 (919) 267-5390</t>
  </si>
  <si>
    <t>alison@obsidianip.com</t>
  </si>
  <si>
    <t>31 Hudson Yards</t>
  </si>
  <si>
    <t>300049-48P</t>
  </si>
  <si>
    <t>Elifmina Mizrahi</t>
  </si>
  <si>
    <t>Elifmina</t>
  </si>
  <si>
    <t>Mizrahi</t>
  </si>
  <si>
    <t>Ms. Elifmina Mizrahi serves as Associate at Obsidian Investment Partners.</t>
  </si>
  <si>
    <t>mina@obsidianip.com</t>
  </si>
  <si>
    <t>300048-58P</t>
  </si>
  <si>
    <t>Matt McMahon</t>
  </si>
  <si>
    <t>Mr. Matt McMahon serves as Vice President of the Investments Team at Obsidian Investment Partners.</t>
  </si>
  <si>
    <t>+1 (212) 466-6773</t>
  </si>
  <si>
    <t>matt@obsidianip.com</t>
  </si>
  <si>
    <t>Vice President of the Investments Team</t>
  </si>
  <si>
    <t>13652-38P</t>
  </si>
  <si>
    <t>MIchael Lythcott</t>
  </si>
  <si>
    <t>MIchael</t>
  </si>
  <si>
    <t>Lythcott</t>
  </si>
  <si>
    <t>Mr. MIchael Lythcott is a Founding Partner of Obsidian Investment Partners. Mr. Lythcott served as a Partner at Uplift Equity Partners. He co-founded and served as Chief Executive Officer at PureAdvice.</t>
  </si>
  <si>
    <t>+1 (212) 466-6771</t>
  </si>
  <si>
    <t>michael@obsidianip.com</t>
  </si>
  <si>
    <t>298679-14P</t>
  </si>
  <si>
    <t>Omeed Farhadi</t>
  </si>
  <si>
    <t>Omeed</t>
  </si>
  <si>
    <t>Farhadi</t>
  </si>
  <si>
    <t>Mr. Omeed Farhadi serves as Investment Analyst at Obsidian Investment Partners.</t>
  </si>
  <si>
    <t>omeed@obsidianip.com</t>
  </si>
  <si>
    <t>60043-69P</t>
  </si>
  <si>
    <t>Albert Tacon Ph.D</t>
  </si>
  <si>
    <t>Tacon</t>
  </si>
  <si>
    <t>Ocean 14 Capital</t>
  </si>
  <si>
    <t>Dr. Albert Tacon serves as Advisory Board Member at Ocean 14 Capital. He is currently the Aquaculture Research Director of Aquatic Farms in Hawaii, USA and is a consultant to various aquaculture organizations worldwide. He advises the Heliae management team on technology, process, and product strategy for feed and nutraceutical markets, bringing over 35 years of applied research, training and field experience in aquaculture nutrition and feed technology. Before joining Aquatic Farms, Dr. Tacon served as Technical Director and Program Manager at The Oceanic Institute, Hawaii, USA and Fishery Resources Officer (Feed Specialist) for the Food &amp; Agriculture Organization (FAO) at their headquarters in Rome, Italy. He has worked with FAO in numerous capacities as an advisor on aquaculture feed and nutrition in Indonesia, Brazil, and Rome, as well as for numerous international aquaculture organizations and commercial entities throughout Asia Pacific, Europe, and the Americas., Dr. Tacon is affiliated with several Universities and Aquaculture related organizations worldwide, including University of Hawaii at Manoa and the College of Agriculture, Forestry, and Natural Resource Management at the University of Hawaii at Hilo and has over 199 publications on aquaculture, food security and poverty alleviation, nutrition, aquaculture development trends, and feed technology, and FAO training manuals. He holds on a patent on aquaculture technology. He serves on numerous advisory and technical boards for industry, academia, and non-governmental organizations. Dr. Tacon received his Bachelor of Science with honors in Botany &amp; Zoology (specializing in marine zoology) from Westfield College, University of London. Dr. Tacon received his Ph.D. from University College, Cardiff.</t>
  </si>
  <si>
    <t>+44 (0)20 7045 9790</t>
  </si>
  <si>
    <t>1 Knightsbridge Green</t>
  </si>
  <si>
    <t>SW1X 7QA</t>
  </si>
  <si>
    <t>190030-87P</t>
  </si>
  <si>
    <t>André Martins</t>
  </si>
  <si>
    <t>Mr. André Martins serves as a Senior Associate at Ocean 14 Capital. He serves as a Private Equity Associate at Oxy Capital. He has over 6 years of experience in private equity at Oxy Capital, a leading $1,3bn Portuguese firm where he supported investments, portfolio management, and exits across multiple industries. He holds an MSc in Engineering Physics from Instituto Superior Técnico.</t>
  </si>
  <si>
    <t>+351 91 012 2839</t>
  </si>
  <si>
    <t>andre.martins@ocean14capital.com</t>
  </si>
  <si>
    <t>237821-68P</t>
  </si>
  <si>
    <t>Carlos Monreal</t>
  </si>
  <si>
    <t>Monreal</t>
  </si>
  <si>
    <t>Mr. Carlos Monreal is the Founder of Plastic Energy. Previously, he served as its President and Chief Executive Officer. He serves as an Advisory Board Member at Ocean 14 Capital. He serves as Chairman at Plastyx. He has significant experience as a CEO. Engineer by training, he has been a serial entrepreneur for more than 30 years, always developing disruptive technologies and providing innovative solutions. He was the founder of companies ranging from the development of GPS applications like precision farming, and machine control of fleet management, to an EPC company on renewable energy, with all of them sharing the principle of Time to Market and replicability of the solutions. He studied Business Administration at the University of Navarra (IESE) and Engineering at the University Polytechnic of Madrid, and returned there to study waste management in 2014. He is the Founder of Circular Resources.</t>
  </si>
  <si>
    <t>+44 (0)20 4566 5999</t>
  </si>
  <si>
    <t>carlos.monreal@plasticenergy.com</t>
  </si>
  <si>
    <t>65 Carter Lane</t>
  </si>
  <si>
    <t>EC4V 5DY</t>
  </si>
  <si>
    <t>Plastic Energy</t>
  </si>
  <si>
    <t>454897-99P</t>
  </si>
  <si>
    <t>Carolina Christiansen</t>
  </si>
  <si>
    <t>Ms. Carolina Christiansen serves as an Associate at Ocean 14 Capital. She has a Master's Degree in Regenerative Economics from Schumacher College (UK) and a Bachelor's Degree in Economics and Accounting from the University of California. She worked at a venture builder for impact start-ups (contractor of the EIC Fund) and has worked at a climate think tank in London (Dark Matter Labs), working on climate finance for ecosystem restoration. She also worked at a unicorn fintech as FP&amp;A in the USA (Brex).</t>
  </si>
  <si>
    <t>carolina.christiansen@ocean14capital.com</t>
  </si>
  <si>
    <t>164586-88P</t>
  </si>
  <si>
    <t>Chris Barnes</t>
  </si>
  <si>
    <t>Mr. Chris Barnes serves as a Founding Partner at Ocean 14 Capital. He is the Co-Founder and serves as a Trustee at Blue Marine Foundation. He was the Founder and served as Chief Executive Officer at Adjust Your Set. He has over 10 years of ocean conservation experience as the co-Founder of Blue Marine Foundation where he led several critical projects. He is also an entrepreneur and angel investor. He founded Adjust Your Set a leading brand communications agency and was the executive producer of the film The End of the Line.</t>
  </si>
  <si>
    <t>+44 (0)20 7845 5850</t>
  </si>
  <si>
    <t>chris@bluemarinefoundation.com</t>
  </si>
  <si>
    <t>South Building</t>
  </si>
  <si>
    <t>Somerset House</t>
  </si>
  <si>
    <t>Blue Marine Foundation</t>
  </si>
  <si>
    <t>59827-69P</t>
  </si>
  <si>
    <t>David Legg Ph.D</t>
  </si>
  <si>
    <t>Legg</t>
  </si>
  <si>
    <t>Dr. David Legg is the Founder &amp; serves as Chief Executive Officer and Board Senior Advisor at Invest Alberta. Dr. Legg serves as Advisory Board Member at Ocean 14 Capital. Dr. Legg is an Angel Investor. Dr. Legg served as Managing Director and Head, International Markets at Gerson Lehrman Group. Since 2003, he has developed our global client base and led our strategic expansion into Europe and Asia, with GLG teams now serving clients in over a dozen unique markets outside the US. Previously, he oversaw strategy and business development projects at McKinsey &amp; Company in the United States, Canada, and England. He earned a Ph.D. in Sociology from Yale University in 2000, a Master's in Law from the University of Oxford in 1999, a BA in Philosophy and Sociology from The University of Lethbridge in 1992, and a degree in Computing from the University of East Anglia in 1983.</t>
  </si>
  <si>
    <t>116529-04P</t>
  </si>
  <si>
    <t>Francisco Gomes</t>
  </si>
  <si>
    <t>Chief Investment Officer &amp; Founding Partner</t>
  </si>
  <si>
    <t>Mr. Francisco Gomes serves as Founding Partner &amp; Chief Investment Officer at Ocean 14 Capital. He served as Chief Executive Officer at Pontos Aqua Holdings. He has over 23 years of operational and investment experience in aquaculture having managed operations in farming, health &amp; nutrition, equipment &amp; engineering, processing &amp; marketing. During his career, he has successfully advised and or led M&amp;A for more than $300 M acquisition in fish farming, feeds, ingredients, and equipment.</t>
  </si>
  <si>
    <t>+1 (314) 603-2210</t>
  </si>
  <si>
    <t>Founding Partner &amp; Chief Investment Officer</t>
  </si>
  <si>
    <t>237013-03P</t>
  </si>
  <si>
    <t>George Duffield</t>
  </si>
  <si>
    <t>Duffield</t>
  </si>
  <si>
    <t>Mr. George Duffield is a Founding Partner at Ocean 14 Capital. He is also the Co-Founder and serves as a Trustee at Blue Marine Foundation. He serves Board Member at Ava Ocean. He has over 10 years of ocean conservation experience as the co-founder of Blue Marine Foundation, where he led several critical projects. He is also an entrepreneur and angel investor. As a movie producer, he produced several movies, including the award-winning documentary film The End of the Line, which was awarded the Puma Creative Impact Award in 2011.</t>
  </si>
  <si>
    <t>george.duffield@ocean14capital.com</t>
  </si>
  <si>
    <t>315353-26P</t>
  </si>
  <si>
    <t>Hugo Le Breton</t>
  </si>
  <si>
    <t>Le Breton</t>
  </si>
  <si>
    <t>Mr. Hugo Le Breton serves as Head of Impact at Ocean 14 Capital. He has 22 years of experience in developing and implementing sustainability programs in a variety of industries, including 15 years with Royal Dutch Shell. He is the Founder of Le Breton Yachts. He received MSc in Environmental Management from Imperial College, London, and an MA in Natural Sciences from the University of Cambridge.</t>
  </si>
  <si>
    <t>hugo.lebreton@ocean14capital.com</t>
  </si>
  <si>
    <t>Head of Impact</t>
  </si>
  <si>
    <t>357851-35P</t>
  </si>
  <si>
    <t>Joe Brockbank</t>
  </si>
  <si>
    <t>Brockbank</t>
  </si>
  <si>
    <t>Mr. Joe Brockbank serves as Analyst at Ocean 14 Capital. He holds a BSc in Biology from the University of Bristol and CFA qualifications in Investment management &amp; ESG investing.</t>
  </si>
  <si>
    <t>joe.brockbank@ocean14capital.com</t>
  </si>
  <si>
    <t>308988-55P</t>
  </si>
  <si>
    <t>Max Holtzman</t>
  </si>
  <si>
    <t>Holtzman</t>
  </si>
  <si>
    <t>Mr. Max Holtzman serves as Principal &amp; Portfolio Governance at Ocean 14 Capital. Effective July 14, 2022, the Board appointed him as a member of the Board. He serves as Operations Director at Ocean 14 Capital, a private equity impact fund focused on the Blue Economy. He also serves as the Investments Principal at Pontos Aqua. Pontos Aqua is a founding partner of Ocean 14 Capital. He launched the advisory business of Pontos, as well as Pontos' direct investment in recirculated aquaculture farming (PRC). He managed Pontos' direct investment in PRC and the private equity and leveraged buyout practice. Additionally, He is a founding officer of Stronger America through Seafood, which strives to increase the production of healthy, sustainable, and affordable seafood in the United States. Before joining Pontos and Ocean 14, He was the Vice Chairman of Capitol Peak Asset Management, which focused on infrastructure projects and companies in Rural America. Before Capitol Peak, He was appointed by President Obama as the Senior Advisor to the United States Secretary of Agriculture. For six years, He advised the Secretary on the development of new public-private partnerships, aquaculture, trade, biotechnology, and international food security. He also served as Acting Deputy Under Secretary for Farm and Foreign Agriculture Services and as Acting Deputy Under Secretary of Marketing and Regulatory Programs. In these roles, He represented the United States in its negotiations with the People's Republic of China as a four-time Delegate on the Joint Committee on Commerce and Trade, and he was regularly involved with a multitude of international trade issues, trade missions, and trade negotiations. He also served as the United States Chairman of the North American Biotechnology Initiative, which includes the United States, Canada, and Mexico. Before this appointment, He, an attorney for over 25 years, provided strategic consulting to multi-national companies related to transportation infrastructure, project finance, public-private partnerships, health care, and government procurement. He also served as a City Attorney and Special Counsel to several municipalities. He is a Board Member of The Arcadia Center for Sustainable Food and Agriculture, he is the Founding Chairman of Adopt-A-Classroom, and he sits on the Global Advisory Council of Secure System. He holds a BS in Agricultural Economic from, University of Florida.</t>
  </si>
  <si>
    <t>+1 (855) 420-0020</t>
  </si>
  <si>
    <t>Rolling Meadows</t>
  </si>
  <si>
    <t>Rolling Meadows, IL</t>
  </si>
  <si>
    <t>2220 Hicks Road</t>
  </si>
  <si>
    <t>60008</t>
  </si>
  <si>
    <t>Agrify</t>
  </si>
  <si>
    <t>98660-17P</t>
  </si>
  <si>
    <t>Maximilian Gottschalk</t>
  </si>
  <si>
    <t>Gottschalk</t>
  </si>
  <si>
    <t>Mr. Maximilian Gottschalk is a Founding Partner at Ocean 14 Capital. He is a founding Partner at Vedra Partners. He has over 25 years of Investment and Venture Capital experience having started, backed, and exited several investments across various industries including fin-tech, financial services, fashion, and FMCG. He co-founded Gottex Fund Management, an alternative investment company in which he grew to $16bn of assets under management and took public at a $2.2bn market cap. He has a business degree in finance from the University of Virginia.</t>
  </si>
  <si>
    <t>+41 (0) 216 171 55</t>
  </si>
  <si>
    <t>max.gottschalk@ocean14capital.com</t>
  </si>
  <si>
    <t>237013-30P</t>
  </si>
  <si>
    <t>Piers Lakin</t>
  </si>
  <si>
    <t>Lakin</t>
  </si>
  <si>
    <t>Mr. Piers Lakin serves as Principal at Ocean 14 Capital. Mr. Lakin has over 6 years of experience in sustainable finance and private equity at ADM Capital, a $1.6bn Private Equity group in Asia. He has supported a number of investments across the Asia Pacific Region. He has Masters in Civil and Environmental Engineering from Imperial College.</t>
  </si>
  <si>
    <t>+44 (0)20 8743 5505</t>
  </si>
  <si>
    <t>piers.lakin@ocean14capital.com</t>
  </si>
  <si>
    <t>267200-20P</t>
  </si>
  <si>
    <t>Ricardo Cires</t>
  </si>
  <si>
    <t>Cires</t>
  </si>
  <si>
    <t>Mr. Ricardo Cires serves as Senior Analyst at Ocean 14 Capital. He has 10 years experience in financial consulting on a variety of industries and markets Specialized in financial modeling and controlling Experience in M&amp;A transactions, due diligence, valuation, budgeting and business planning at S&amp;H, Tempreand Carollo.</t>
  </si>
  <si>
    <t>rcries@ocean14capital.com</t>
  </si>
  <si>
    <t>104251-24P</t>
  </si>
  <si>
    <t>Sheila Gungadin</t>
  </si>
  <si>
    <t>Gungadin</t>
  </si>
  <si>
    <t>Ms. Sheila Gungadin serves as Head of Investor Relations at Ocean 14 Capital. She joined Ocean 14 Capital as Head of Investor Relations in 2021. Previously, she was vice president at BerchWood Partners. She has over a decade of experience in capital raising, project management and business development. She has worked across Asia, Europe, and the Middle East. She received a masters from UCL and holds a BA from the National University of Singapore.</t>
  </si>
  <si>
    <t>sheila.gungadin@ocean14capital.com</t>
  </si>
  <si>
    <t>117380-98P</t>
  </si>
  <si>
    <t>Timothy Roniger</t>
  </si>
  <si>
    <t>Roniger</t>
  </si>
  <si>
    <t>Mr. Timothy Roniger is a Founding Partner &amp; serves as Chief Financial Officer at Aether Capital Partners. Mr. Roniger serves as Risk Director at Ocean 14 Capital. He serves as Senior Partner and Chief Financial Officer at Vedra Partners. He oversees accounting &amp; administration for group and family members. He also served as Chief Financial Officer at Hycap. He is a Chartered Accountant (SAICA) and holds an Honors Degree in Accounting and Finance. He was the CFO of Gottex Fund Management, having been listed on the Zurich Stock Exchange with $16bn of AUM. Prior to Gottex, he held roles in investment banking with Merrill Lynch in London and Zurich. He started his career with EY, where he qualified as a Chartered Accountant.</t>
  </si>
  <si>
    <t>tim.roniger@aether-cp.com</t>
  </si>
  <si>
    <t>21 Knightsbridge</t>
  </si>
  <si>
    <t>SW1X 7LY</t>
  </si>
  <si>
    <t>Founding Partner &amp; Chief Financial Officer</t>
  </si>
  <si>
    <t>Aether Capital Partners</t>
  </si>
  <si>
    <t>230517-19P</t>
  </si>
  <si>
    <t>Brad Ack</t>
  </si>
  <si>
    <t>Ack</t>
  </si>
  <si>
    <t>Ocean Visions</t>
  </si>
  <si>
    <t>Mr. Brad Ack serves as Chief Executive Officer &amp; Board of Director at Ocean Visions. Mr. Ack serves as Advisor at Blue Oceans Partners. He serves as an Advisor at Silver Lining (NGO). He has 35 years of experience working at the intersection of science, policy, a nd environmental innovation, focused on preserving nature and a living world. During his career, he has designed and implemented innovative conservation and sustainability initiatives spanning tropical forests and high deserts to estuaries and the global ocean. H has worked for both the government and NGOs at senior levels. Previously, he served as SVP Oceans at WWF-US, Executive Director of the Puget Sound Recovery Program for the State of Washington, and Regional Director-Americas for the Marine Stewardship Council. He earlier led conservation programs at Grand Canyon Trust and started his career working on community-based conservation in Latin America. He received his Master's degree from Georgetown University and his Bachelor's degree from Macalester College.</t>
  </si>
  <si>
    <t>brad.ack@oceanvisions.org</t>
  </si>
  <si>
    <t>Leesburg</t>
  </si>
  <si>
    <t>Leesburg, VA</t>
  </si>
  <si>
    <t>1019-B Edwards Ferry Road</t>
  </si>
  <si>
    <t>Suite 1024</t>
  </si>
  <si>
    <t>20176</t>
  </si>
  <si>
    <t>Chief Executive Officer &amp; Board of Director</t>
  </si>
  <si>
    <t>391047-31P</t>
  </si>
  <si>
    <t>Nikhil Neelakantan</t>
  </si>
  <si>
    <t>Neelakantan</t>
  </si>
  <si>
    <t>Mr. Nikhil Neelakantan serves as Senior Program Officer, Launchpad program at Ocean Visions. He works with startups working on ocean-based carbon dioxide removal. He comes to Ocean Visions after founding a startup in India that provided small and medium sized businesses with access to formal sources of credit. Prior to that he worked as a business manager at Capital One working in Commercial Banking as well as in the Credit card lines of business. He started his career working as a process engineer in the semiconductor industry and also worked at a nanotechnology company looking to commercialize a new material called Ultrananocrystalline diamond. He has a MBA from the University of Oxford, a MS in Materials Science and Engineering from Purdue University and a B.Tech from Indian Institute of Technology-Madras. Outside of work, He volunteers with non-profits addressing climate change such as The Open Air Collective and with the city of Richmond, where he volunteers to develop and implement their climate action plan.</t>
  </si>
  <si>
    <t>nikhil@oceanvisions.org</t>
  </si>
  <si>
    <t>225 Baker Street</t>
  </si>
  <si>
    <t>30313</t>
  </si>
  <si>
    <t>Senior Program Officer, Launchpad program</t>
  </si>
  <si>
    <t>443462-05P</t>
  </si>
  <si>
    <t>Ruth Driscoll-Lovejoy JD</t>
  </si>
  <si>
    <t>Driscoll-Lovejoy</t>
  </si>
  <si>
    <t>Dr. Ruth Driscoll-Lovejoy serves as Program Director at Ocean Visions. She directs the Ocean Visions Remove Program focused on marine carbon dioxide removal (mCDR). A seasoned ocean conservation advocate, she is dedicated to establishing strong, science-based and socially-informed environmental standards into policy. Before joining Ocean Visions, She led the U.S. Aquaculture Campaign at the Environmental Defense Fund to ensure open ocean aquaculture develops responsibly in the United States and produces equitable outcomes. She has also advanced science-based policies and management programs for federal fisheries and coastal habitat. Before entering the public sector, She helped global multinational corporations achieve and maintain compliance as an environment, health, and safety regulatory consultant. She received a bachelor's degree in marine biology from Texas A&amp;M University and her master's degree in environmental law and policy and Juris Doctor from Vermont Law School. She is a member of the Oregon State Bar.</t>
  </si>
  <si>
    <t>ruth@oceanvisions.org</t>
  </si>
  <si>
    <t>429159-70P</t>
  </si>
  <si>
    <t>Jonathan Brearley</t>
  </si>
  <si>
    <t>Brearley</t>
  </si>
  <si>
    <t>Ofgem</t>
  </si>
  <si>
    <t>Mr. Jonathan Brearley serves as Chief Executive Officer at Ofgem.</t>
  </si>
  <si>
    <t>+44 (0)20 7901 7000</t>
  </si>
  <si>
    <t>jbrearley@ofgem.gov.uk</t>
  </si>
  <si>
    <t>9 Millbank</t>
  </si>
  <si>
    <t>SW1P 3GE</t>
  </si>
  <si>
    <t>+44 (0)20 7901 7066</t>
  </si>
  <si>
    <t>431177-77P</t>
  </si>
  <si>
    <t>Matt Hastings</t>
  </si>
  <si>
    <t>Hastings</t>
  </si>
  <si>
    <t>Mr. Matt Hastings serves as Deputy Director at Ofgem.</t>
  </si>
  <si>
    <t>94645-27P</t>
  </si>
  <si>
    <t>Antonio Ruiz</t>
  </si>
  <si>
    <t>Orbia (Mexico)</t>
  </si>
  <si>
    <t>Mr. Antonio Ruiz serves as Honorary Chairman for Life at Orbia Advance. Patrimonial director of Orbia since 2000. Antonio is a private accountant and businessman with extensive experience spanning banking and finance. He previously served on several boards including those of Telmex and Monterrey Industries. Antonio holds a bachelor's degree in public accounting from the EBC School of Mexico and an executive business director certification from the IPADE Business School.</t>
  </si>
  <si>
    <t>+52 (01)55 5366 4000</t>
  </si>
  <si>
    <t>Paseo de la Reforma Number 483</t>
  </si>
  <si>
    <t>47 Floor Cuauhtémoc</t>
  </si>
  <si>
    <t>06500</t>
  </si>
  <si>
    <t>154079-20P</t>
  </si>
  <si>
    <t>Berenice Jalpa</t>
  </si>
  <si>
    <t>Berenice</t>
  </si>
  <si>
    <t>Jalpa</t>
  </si>
  <si>
    <t>Ms. Berenice Jalpa serves as Director of Investor Relations at Orbia (Mexico).</t>
  </si>
  <si>
    <t>+52 (01)55 5366 4084</t>
  </si>
  <si>
    <t>294334-30P</t>
  </si>
  <si>
    <t>Deborah Butters</t>
  </si>
  <si>
    <t>Butters</t>
  </si>
  <si>
    <t>Chief People Officer &amp; Senior Vice President</t>
  </si>
  <si>
    <t>Ms. Deborah Butters serves as Senior Vice President, Chief People Officer and Corporate Communications Executive at Orbia (Mexico). As Chief People Officer, she is responsible for the growth and development of Orbia as a sustainable, people-centric organization and for enhancing the experiences and capabilities of our global team. She additionally leads Orbia's Communication &amp; Brand Marketing strategic vision and execution. With more than 25 years of experience, she is an accomplished human resources leader. Having worked across the technology, consulting, life sciences and now industrial sectors in a global capacity, she has expertise in talent attraction and retention, acquisition integrations, executive and employee compensation models and supporting transformational performance and change management initiatives. Before joining Orbia, she served as PerkinElmer's global CHRO and was the architect behind the company's people strategy. Before PerkinElmer, she spent 17 years with IBM, living and working in both the U.S. and Europe in leadership roles where she enhanced the company's global HR programs and led an enterprise-wide talent transformation. She started her career in a software start-up with Lotus Development in 1991, where she held progressive leadership roles until IBM acquired Lotus in 1999. She holds a Bachelor of Science degree in the field of Human Resources from The University of Bath in England and a postgraduate diploma in Human Resources from the University of London.</t>
  </si>
  <si>
    <t>deborah_butters@orbia.com</t>
  </si>
  <si>
    <t>Senior Vice President, Chief People Officer &amp; Corporate Communications Executive</t>
  </si>
  <si>
    <t>320699-62P</t>
  </si>
  <si>
    <t>Diego Echave</t>
  </si>
  <si>
    <t>Echave</t>
  </si>
  <si>
    <t>Mr. Diego Echave serves as Vice President of Investor Relations and Business Development at Orbia.</t>
  </si>
  <si>
    <t>+52 (01)85 8283 6201</t>
  </si>
  <si>
    <t>dechave@kaluz.com</t>
  </si>
  <si>
    <t>Vice President, Investor Relations and Business Development</t>
  </si>
  <si>
    <t>347569-48P</t>
  </si>
  <si>
    <t>Gautam Nivarthy Ph.D</t>
  </si>
  <si>
    <t>Gautam</t>
  </si>
  <si>
    <t>Nivarthy</t>
  </si>
  <si>
    <t>President &amp; Vice President</t>
  </si>
  <si>
    <t>Mr. Gautam Nivarthy serves as Corporate Vice President of Strategy and Executive Vice President &amp; President of Polymer Solutions (Alphagary) at Orbia. He serves as Corporate Vice President of Strategy for Orbia and is responsible for steering Orbia's strategic partnerships, new business development activities and execution of organic and inorganic growth initiatives. In addition, as Executive Vice President and President of Orbia's Polymer Solutions business group, he leads the Alphagary business, which focuses on providing material solutions spanning polymer compounds, plasticizers and heat stabilizers that are used across industries to enhance everyday lives. A chemical engineer by training with over 20 years of management experience in the chemical industry, he has led wide-ranging business transformation efforts that unlock significant value. Since joining Orbia in 2017, he has elevated Alphagary to an industry leadership position on the back of providing innovative solutions tailored to customer needs. Before joining Orbia, he held executive leadership roles spanning marketing, strategy and general management for Honeywell, DuPont and Unilever.</t>
  </si>
  <si>
    <t>gautam.nivarthy@orbia.com</t>
  </si>
  <si>
    <t>Corporate Vice President of Strategy, Orbia, and Executive Vice President &amp; President, Polymer Solutions (Alphagary)</t>
  </si>
  <si>
    <t>294336-55P</t>
  </si>
  <si>
    <t>James Kelly</t>
  </si>
  <si>
    <t>Mr. James Kelly serves as Chief Financial Officer &amp; Senior Vice President at Orbia Advance. He brings over 30 years of experience to leading Orbia's finance organization and presiding over the accounting, treasury, financial planning and analysis, tax and investor relations functions. Jim is a seasoned executive with extensive experience in building global finance organizations and a track record of financial and operational leadership in the chemical and manufacturing industries. He has expertise in establishing best-in-class finance systems, processes and fundamentals that enhance organizational resilience and support growth. Prior to joining Orbia, Jim held a variety of senior positions, most recently serving as Vice President and Corporate Controller of Cabot Corporation, where he oversaw all reporting and internal control activities, finance process improvements and facilitation of Cabot's Audit Committee activities. Over the course of his career, Jim lived and worked across several continents and steered teams in corporate reporting, business financial planning and analysis, investor relations and internal audit. Jim holds an MBA from Harvard University and a B.S. degree in accounting from Georgetown University.</t>
  </si>
  <si>
    <t>jim.p.kelly@orbia.com</t>
  </si>
  <si>
    <t>151164-82P</t>
  </si>
  <si>
    <t>Sameer Bharadwaj Ph.D</t>
  </si>
  <si>
    <t>Dr. Sameer Bharadwaj serves as Chief Executive Officer and President of Building and Infrastructure (Wavin), Koura (Fluor), Alphagary (Compounds) and Vestolit (Vinyl) Business Groups at Orbia. He most recently has served as President of Orbia's Fluorinated Solutions &amp; Polymer Solutions business groups. In addition to his role as Orbia's Chief Executive Officer, he also currently serves as the President of Orbia's Building &amp; Infrastructure business group (Wavin). With more than 20 years of experience, he is a proven strategic leader with a track record of fostering business growth through technology-led innovation, operational excellence and talent development across the advanced materials, technology, energy and pharmaceutical industries. Since joining Orbia in 2016 to lead the compounds business group, he has assumed leadership of the Alphagary, Koura and Vestolit commercial brands and brought Orbia's fluorine-based and PVC and vinyl polymer compound solution portfolios to competitive market positions and his global teams to high levels of performance. Before joining Orbia, he held numerous executive leadership positions throughout an 11-year tenure at Cabot, most recently as Vice President and General Manager, where he steered go-to-market strategy and commercialization of new technologies with a key focus in the energy and materials spaces. Before that, he worked as a strategy consultant for The Boston Consulting Group, where he served clients in the metals, telecommunications, technology, biotechnology and pharmaceutical industries. He started his career as a senior research engineer at The Dow Chemical Company. Sameer has an MBA from Harvard Business School, a Ph.D in chemical engineering from the University of Minnesota and a bachelor's degree in chemical engineering from the University of Bombay.</t>
  </si>
  <si>
    <t>sameer.bharadwaj@orbia.com</t>
  </si>
  <si>
    <t>Chief Executive Officer &amp; President of Building &amp; Infrastructure (Wavin), Koura (Fluor), Alphagary (Compounds) and Vestolit (Vinyl) Business Groups</t>
  </si>
  <si>
    <t>138202-66P</t>
  </si>
  <si>
    <t>Simon Gardner</t>
  </si>
  <si>
    <t>Mr. Simon Gardner serves as Director at Orbia Advance.</t>
  </si>
  <si>
    <t>simon.gardner@mexichem.com.mx</t>
  </si>
  <si>
    <t>52894-99P</t>
  </si>
  <si>
    <t>Jason Holt Ph.D</t>
  </si>
  <si>
    <t>Orion Industrial Ventures</t>
  </si>
  <si>
    <t>Dr. Jason Holt serves as Partner at Orion Industrial Ventures. He served as Advisor at Baruch Future Ventures. He serves as Chief Technical Officer at Pana LCE. He serves as Board Member at LuxWall. He serves as Board Observer at LuxWall. He serves as Venture Partner at Tai Partners. He co-founded and served as President at Heliotrope Technologies. He was most recently a Co-founder, Director, and Chief Technology Officer of NanOasis, a venture-backed startup where he led the development of a next-generation nanocomposite membrane for water treatment and generated several issued patents on the core technology. Prior to that, he was a staff scientist at Lawrence Livermore National Laboratory, investigating novel fluidic and energy harvesting properties of nanomaterials. Earlier in his career, he was a Senior Process Engineer at Intel where he led a team developing plasma etch and metrology tools for next-generation logic device development. In addition to his research and entrepreneurship activities, He has served as a domain expert on energy and advanced materials technologies to government agencies and venture capital firms. In this role, he has evaluated proposals for funding, performed due diligence on potential investments, and helped identify promising new areas for investment. He earned a Ph.D. in Chemical Engineering from the California Institute of Technology (advised by Harry Atwater) and a BS in Chemical Engineering (Summa Cum Laude) from the University of California, Irvine. His research has appeared on the cover of Science and his publications have been cited over 1600 times. In 2012, he was named a Kauffman Fellows Program finalist.</t>
  </si>
  <si>
    <t>+1 (408) 217-6002</t>
  </si>
  <si>
    <t>holtjason@oiv.orionrp.com</t>
  </si>
  <si>
    <t>7 Bryant Park, 25th Floor</t>
  </si>
  <si>
    <t>1045 Avenue of the Americas</t>
  </si>
  <si>
    <t>427867-21P</t>
  </si>
  <si>
    <t>Mark Frayman</t>
  </si>
  <si>
    <t>Frayman</t>
  </si>
  <si>
    <t>Mr. Mark Frayman serves as Managing Partner at Orion Industrial Ventures. Before Orion, he established and ran BHP Ventures, a leading metals and mining corporate venture capital group within the BHP Group, the world's largest diversified natural resources company. His experience preceding BHP Ventures spanned public and private investments, including managing a large family office portfolio and working with leading venture capital investment firms. First Class Honours degree in Law and Commerce (University of Melbourne).</t>
  </si>
  <si>
    <t>mfrayman@oiv.orionrp.com</t>
  </si>
  <si>
    <t>427869-37P</t>
  </si>
  <si>
    <t>Mollie Wilkinson</t>
  </si>
  <si>
    <t>Mollie</t>
  </si>
  <si>
    <t>Ms. Mollie Wilkinson serves as Investor at Orion Industrial Ventures. She has a background in deep technological R&amp;D, engineering, technical consulting, and investing, working with both early-stage start-ups and larger corporations. Ms. Wilkinson was previously an investment professional at Anzu Partners where she led transactions in materials, manufacturing, and sustainability, as well as being involved in the firm's diversity, equity, and inclusion (DEI) outreach. BS in Materials Science and Engineering and an MS in Climate, Environment, and Sustainability, both at MIT.</t>
  </si>
  <si>
    <t>mwilkinson@oiv.orionrp.com</t>
  </si>
  <si>
    <t>54161-92P</t>
  </si>
  <si>
    <t>Oskar Lewnowski</t>
  </si>
  <si>
    <t>Oskar</t>
  </si>
  <si>
    <t>Lewnowski</t>
  </si>
  <si>
    <t>Mr. Oskar Lewnowski is the Founder and serves as Group Chief Executive Officer at Orion Resource Partners. He is also the Founder &amp; serves as Group Chief Executive Officer at Orion Industrial Ventures. Over the past decade he has raised over $8 billion whilst spearheading the Investment Committee and deploying capital across 80+ portfolio companies. He is currently responsible for the strategic direction of the firm's expansion efforts. Before Orion, he was a founding partner of the Red Kite Group and Chief Investment Officer of mine finance. His career began on the sales side across various roles and jurisdictions, enabling global investment experience. He earned BA in Business Administration (Georgetown University) and a MBA (New York University, Stern School of Business).</t>
  </si>
  <si>
    <t>+1 (212) 596-3511</t>
  </si>
  <si>
    <t>olewnowski@orionrp.com</t>
  </si>
  <si>
    <t>Founder, Group Chief Executive Officer &amp; Investment Committee Member</t>
  </si>
  <si>
    <t>Orion Resource Partners</t>
  </si>
  <si>
    <t>269221-60P</t>
  </si>
  <si>
    <t>Ajay Rayasam</t>
  </si>
  <si>
    <t>Rayasam</t>
  </si>
  <si>
    <t>Osage University Partners</t>
  </si>
  <si>
    <t>Mr. Ajay Rayasam serves as Principal, Technology at Osage University Partners. He joined Osage University in 2021. At OUP, he focuses on technology investments across software, computing and hardware. Before joining OUP, he was the chief of staff and product manager at Kubisys, an enterprise software startup that raised over $15M. While there, he led fundraising and business development efforts while launching mission-critical products. As a graduate student at MIT, he researched the intersection of engineering, business and design. He built an algorithm to predict the likelihood of a student dropping out due to mental illness. He holds an M.S. from the Massachusetts Institute of Technology in Engineering &amp; Management (Integrated Design &amp; Management Fellow) and a B.Sc. from Babson College.</t>
  </si>
  <si>
    <t>+1 (484) 434-2255</t>
  </si>
  <si>
    <t>arayasam@oup.vc</t>
  </si>
  <si>
    <t>Bala Cynwyd</t>
  </si>
  <si>
    <t>Bala Cynwyd, PA</t>
  </si>
  <si>
    <t>50 Monument Road</t>
  </si>
  <si>
    <t>19004</t>
  </si>
  <si>
    <t>+1 (484) 434-2256</t>
  </si>
  <si>
    <t>Principal, Technology</t>
  </si>
  <si>
    <t>148424-23P</t>
  </si>
  <si>
    <t>Beth Grafstrom</t>
  </si>
  <si>
    <t>Grafstrom</t>
  </si>
  <si>
    <t>Ms. Beth Grafstrom served as a Vice President, Finance at Osage University Partners. She also served as the Fund Controller of Cimarron Healthcare Capital. Prior to 2015, she worked at New Mountain Capital, first as a Private Equity Fund Accountant and then as the Business Development Company Controller. Prior to joining New Mountain Capital, she was a Senior Associate in the Banking Capital Markets Assurance practice at PricewaterhouseCoopers. She received her B.S., summa cum laude, in 2005 from the University of Scranton..</t>
  </si>
  <si>
    <t>+1 (484) 270-3260</t>
  </si>
  <si>
    <t>bgrafstrom@oup.vc</t>
  </si>
  <si>
    <t>36613-00P</t>
  </si>
  <si>
    <t>Claudia Dunnous</t>
  </si>
  <si>
    <t>Dunnous</t>
  </si>
  <si>
    <t>Ms. Claudia Dunnous serves as Chief Financial Officer at Osage Venture Partners.</t>
  </si>
  <si>
    <t>+1 (484) 270-3242</t>
  </si>
  <si>
    <t>cdunnous@osagepartners.com</t>
  </si>
  <si>
    <t>Osage Venture Partners</t>
  </si>
  <si>
    <t>446681-62P</t>
  </si>
  <si>
    <t>Justin Robeny</t>
  </si>
  <si>
    <t>Robeny</t>
  </si>
  <si>
    <t>Mr. Justin Robeny serves as Associate, Life Science at Osage University Partners. He focuses on biotech investment opportunities across therapeutic areas. Before OUP, he was an Analyst at Octagon Capital Advisors, specializing in healthcare investments in oncology and immunology across public and private markets globally. Before Octagon, he worked in clinical operations at Axsome Therapeutics, helping manage trials for Auvelity® in CNS disorders. He holds an M.Sc. in clinical research from Icahn School of Medicine at Mount Sinai, where he gained expertise in clinical trial design, biostatistics, and interpretation of clinical trial results. He worked at Sinai BioDesign during graduate school, collaborating with physicians to identify clinical shortcomings and develop innovative medical device solutions. He also holds a B.A. in human health from Emory University.</t>
  </si>
  <si>
    <t>jrobeny@oup.vc</t>
  </si>
  <si>
    <t>Associate, Life Science</t>
  </si>
  <si>
    <t>111680-83P</t>
  </si>
  <si>
    <t>Kirsten Leute</t>
  </si>
  <si>
    <t>Leute</t>
  </si>
  <si>
    <t>Ms. Kirsten Leute serves as Partner, University Relations at Osage University Partners. She served as Senior Vice President of University Relations at Osage University Partners. Kirsten previously was Associate Director of the Office of Technology Licensing at Stanford University. Osage University Partners is a venture capital fund that has partnered with more than 70 leading universities to make direct investments in their most promising startup companies.</t>
  </si>
  <si>
    <t>kleute@osagepartners.com</t>
  </si>
  <si>
    <t>Partner, University Relations</t>
  </si>
  <si>
    <t>211651-48P</t>
  </si>
  <si>
    <t>Kumar Patel</t>
  </si>
  <si>
    <t>Mr. Kumar Patel serves as Fund Controller, Finance at Osage University Partners. Prior to joining OUP, Mr. Patel worked at The Rock Creek Group as a Senior Fund Accountant and at SEI Investments as a Supervisor. He holds a B.A. in Accounting from Arcadia University and is a CPA.</t>
  </si>
  <si>
    <t>+1 (215) 269-8415</t>
  </si>
  <si>
    <t>kpatel@oup.vc</t>
  </si>
  <si>
    <t>Fund Controller, Finance</t>
  </si>
  <si>
    <t>36612-73P</t>
  </si>
  <si>
    <t>Louis Berneman</t>
  </si>
  <si>
    <t>Berneman</t>
  </si>
  <si>
    <t>Mr. Louis Berneman is a Founding Partner at Osage University Partners. Mr. Berneman is a Co-Founder and serves as Principal, Chief Executive Officer, Director, and Co-President at TMune Therapeutics. He developed the original concept and is the founding partner of Osage University Partners. He is also managing director of Texelerate, LLC, a technology transfer consultancy he formed in 2005 to assist academic institutions, entrepreneurs, and investors in licensing transactions and in monetizing their intellectual property assets. He was also the lead advisor, for non-profit institutions for HealthCare Royalty Partners. He is a former Managing Director of the Center for Technology Transfer of the University of Pennsylvania and the former Director of Licensing and Business Development for Virginia's Center for Innovative Technology. He is a Past President of AUTM (Association of University Technology Managers) and an active member of LES (Licensing Executives Society). He has been a founder, director, and/or CEO of several start-ups including Biotherapeutics, InnoTech, and TMune Therapeutics. He has been involved in intellectual property licensing, business development, and entrepreneurial activities for 30+ years. He is a Certified Licensing Professional (CLP) and Registered Technology Transfer Professional (RTTP). He has testified as an expert in intellectual property litigation in federal and state courts. He has a baccalaureate degree from Penn State, a teaching credential from UCSB, and master's and doctoral degrees from Teachers College, Columbia University.</t>
  </si>
  <si>
    <t>+1 (215) 545-2282</t>
  </si>
  <si>
    <t>lberneman@oup.vc</t>
  </si>
  <si>
    <t>131463-10P</t>
  </si>
  <si>
    <t>Manny Stockman Ph.D</t>
  </si>
  <si>
    <t>Manny</t>
  </si>
  <si>
    <t>Stockman</t>
  </si>
  <si>
    <t>Dr. Manny Stockman serves as Partner, Technology at Osage University Partners. He also serves as Board Observer at Everactive and NuMat Technologies. He also serves as Board Director at Opsys Technologies. He serves as Board Member at Quintessent. He has led investments in PsiKick, SiFive, and IonQ. Prior to joining Osage, he was at Lockheed Martin ATL and Skunkworks. He led a team of engineers executing on the transition of early stage technologies into the defense industry by joining universities with industry to develop unique technology solutions across the materials, applied physics and photonics domains.</t>
  </si>
  <si>
    <t>mstockman@oup.vc</t>
  </si>
  <si>
    <t>Partner, Technology</t>
  </si>
  <si>
    <t>12915-28P</t>
  </si>
  <si>
    <t>Marc Singer</t>
  </si>
  <si>
    <t>Mr. Marc Singer is a Co-Founder and serves as Managing Partner, Technology at Osage University Partners. He served as Board member at Adexa. He started working with Bob and Lou in late 2007 to develop and launch OUP. Along with the other Managing Partners, he oversees and approves all Partnership investments and other Partnership and organizational activities. He focuses on technology investments, and along with Bill, is responsible for day to day execution of the Partnership. At the present time, he serves on the boards of Infinio, and Psikick. He previously served on the boards of OUP portfolio companies MC10 and Paracosm. He has spent over 25 years in venture capital. In 1993, he joined Consumer Venture Partners, an early-stage venture capital firm that invested in young consumer businesses. In 1997, he co-founded BEV Capital with two colleagues from Consumer Venture Partners and served as a General Partner. From 1997 to 2007, BEV raised and invested over $200 million in over 40 companies and co-invested with over 100 other venture capital firms. BEV initially focused on making early-stage consumer investments. Over time, he transitioned away from investing in the consumer sector and focused on building a technology portfolio for BEV. He is co-Chairman of the Selection Advisory Board for GreenLight Philadelphia, a venture philanthropy firm, he serves on the Advisory Board for the Center for Employment Opportunities in Philadelphia, and he is a volunteer for HIAS-PA. He earned his B.S. from The Wharton School of the University of Pennsylvania, summa cum laude in 1993. He served as Board Member at Streetlight Data.</t>
  </si>
  <si>
    <t>+1 (484) 270-3249</t>
  </si>
  <si>
    <t>msinger@oup.vc</t>
  </si>
  <si>
    <t>Co-Founder &amp; Managing Partner, Technology</t>
  </si>
  <si>
    <t>55653-76P</t>
  </si>
  <si>
    <t>Matthew Cohen Ph.D</t>
  </si>
  <si>
    <t>Dr. Matthew Cohen serves as Investment Committee Member at N.XT. He serves as Managing Partner, Life Science at Osage University Partners. He joined OUP in 2013 and focuses on investments in therapeutics, diagnostics, medical devices, and research tools. He has been involved with OUP's investment in several portfolio companies including Kura Oncology (NASDAQ: KURA), Spero Therapeutics (NASDAQ: SPRO), Cell Design Labs (acquired by Gilead), Biohaven Pharma (NYSE: BHVN), Arrakis Therapeutics, Antiva Biosciences, PMV Pharma, and others. He served as Board Observer at Palladio Biosciences. Prior to joining OUP, he was a strategy consultant with L.E.K. Consulting serving clients in biopharma, diagnostics, research tools, healthcare, and private equity. Engagements included strategy development, market assessment, commercialization support, portfolio development, acquisition target identification, and diligence/transaction support. As a Ph.D. student at the University of Pennsylvania, he conducted research on the antibody response to a novel protein-based poxvirus vaccine and advised several startups while working with the Penn Biotech Group. He holds a Ph.D. in Cell and Molecular Biology from The University of Pennsylvania, and a B.S. in Microbiology from The Pennsylvania State University.</t>
  </si>
  <si>
    <t>+1 (484) 434-2255 x167</t>
  </si>
  <si>
    <t>mcohen@oup.vc</t>
  </si>
  <si>
    <t>Managing Partner, Life Science</t>
  </si>
  <si>
    <t>241131-07P</t>
  </si>
  <si>
    <t>Mitra Miri Ph.D</t>
  </si>
  <si>
    <t>Miri</t>
  </si>
  <si>
    <t>Dr. Mitra Miri serves as Investment Committee Member at N.XT. She serves as Principal, Life Science at Osage University Partners. She served as Bioscience Investment Associate at Connecticut Innovations. Previously, she was a Life Sciences Consultant in the healthcare practice at L.E.K. in NYC, where she worked with a range of companies from startups to large pharma across project types (growth strategy, commercial due diligence for strategic and commercial buyers, BD asset screen and prioritization, and portfolio optimization), sectors (therapeutics and medical devices), and therapeutic areas (oncology, neuroscience, ophthalmology, inflammation, and dermatology). Prior to L.E.K., she was a Company Creation Fellow at Flagship Pioneering. She also worked as a Strategy Analyst in Yale's Office of the Provost, where she collaborated with university leaders and provided decision support across a broad spectrum of topics. She is also an alumnus of Yale's Office of Cooperative Research, where she was a Venture Fellow for Canaan Partners and a Blavatnik Associate. Prior to Yale, she was a Rotary Ambassadorial Fellow in Kampala, Uganda, where she spent a year working with the Infectious Diseases Institute's Director of Research to establish its translational lab and build capacity to conduct a wide range of assays, from routine diagnostics to highly complex microbiological, immunological and molecular biological assays. She received her Ph.D. in neuroscience from Yale University, where she was a Ford Foundation Fellow, Pfizer Endowed Fellow, and National Science Foundation Graduate Research Fellow. She also holds a BA in biology from the University of Texas.</t>
  </si>
  <si>
    <t>+1 (860) 257-2368</t>
  </si>
  <si>
    <t>mmiri@oup.vc</t>
  </si>
  <si>
    <t>+1 (860) 563-4877</t>
  </si>
  <si>
    <t>Principal, Life Science</t>
  </si>
  <si>
    <t>261666-82P</t>
  </si>
  <si>
    <t>Nabil Ullah</t>
  </si>
  <si>
    <t>Ullah</t>
  </si>
  <si>
    <t>Mr. Nabil Ullah serves as an Associate at Osage University Partners. He supports OUP's technology investment team by sourcing and evaluating new investment opportunities, conducting diligence, and providing portfolio support. He joined OUP in 2021, where his other focuses include managing OUP's database of university spinouts and leading data analytics for the firm. Prior to OUP, he was a Financial Analyst at Goldman Sachs, where he focused on portfolio management, with a heavy emphasis on public equities and alternatives, for a client base that ranged from startup founders and CEOs to retired industry experts. He graduated magna cum laude from Drexel University with a B.S. in Business and Engineering which involved a minor in Finance and a concentration in Mechanical Engineering.</t>
  </si>
  <si>
    <t>nullah@oup.vc</t>
  </si>
  <si>
    <t>13752-37P</t>
  </si>
  <si>
    <t>Robert Adelson JD</t>
  </si>
  <si>
    <t>Adelson</t>
  </si>
  <si>
    <t>Mr. Robert Adelson is the Founder &amp; serves as Managing Partner at Osage Venture Partners. He is a Trustee of Thomas Jefferson University. He also serves as an executive at Emily's Entourage. He serves as a Board Member at HelloTeam. He served as a Board Member at Embodied &amp; Pliant. He is a Co-Founder and serves as Managing Partner at Osage University Partners. He also serves as a Strategic Advisor at Cimarron Healthcare Capital. He serves as an Investor at Light Beam Capital. He founded Osage Partners in 1990 and has built a track record as a top-performing venture investor. He is a native of Tulsa, Oklahoma, where he is a partner in a fourth-generation family business. Before founding Osage, he clerked with the Honorable Walter K. Stapleton, U.S. Third Circuit Court of Appeals, and practiced corporate law at the Philadelphia law firm of Wolf, Block, Schorr &amp; Solis-Cohen. He also served as a Board Member at SevOne, where he chairs the Innovation Pillar, and is a former Chair of Thomas Jefferson University Hospital and trustee of its former parent, Jefferson Health System. He serves on the Board of Directors of the Free Library of Philadelphia Foundation, is a member of the Advisory Council of the Yale Entrepreneurial Institute, and serves on the Investment Committee of the Philadelphia Museum of Art and the Business Development Committee of The Wistar Institute. He served as a Board Observer at VividCortex. He has been a board member of several private companies and is currently on the board of Halfpenny Technologies and served as a Board Member at Katabat. He is a graduate of Yale Law School, where he was an editor of The Yale Law Journal and of Yale College, from which he graduated summa cum laude.</t>
  </si>
  <si>
    <t>radelson@oup.vc</t>
  </si>
  <si>
    <t>14074-39P</t>
  </si>
  <si>
    <t>William Harrington MD</t>
  </si>
  <si>
    <t>Dr. William Harrington serves as Managing Partner, Life Science at Osage University Partners. He serves as Board Member at Altius. He also serves as Board Member at MicroTransponder. He served as Board Observer at Capella BioScience. Bill joined OUP in 2012. Along with the other Managing Partners, Bill is responsible for overseeing and approving all Partnership investments and all other Partnership and organizational activities. Bill is responsible for overseeing all life science investment activities of the Partnership, and along with Marc, is responsible for the day-to-day execution of the Partnership. At the present time, Bill serves on the boards of Hyalex Orthopedics, Neuros Medical, and MediSix Therapeutics. Bill previously served on the boards of OUP portfolio companies Millendo Therapeutics. He served as Board Member at Ribon Therapeutics. Bill has spent the last 20 years in venture capital. In 1999, he joined Three Arch Partners, a west coast venture capital firm with over $1 billion under management. Bill served as a General Partner at Three Arch Partners, where he focused on investing in life science companies including therapeutics, medical devices, and healthcare services. He left Three Arch Partners at the end of 2011 to join OUP. Prior to joining Three Arch, Bill served as a practicing Interventional Radiologist in the San Francisco Bay Area. He serves as Board Member at Trabsposonr.</t>
  </si>
  <si>
    <t>bharrington@oup.vc</t>
  </si>
  <si>
    <t>187999-57P</t>
  </si>
  <si>
    <t>Jason Levin</t>
  </si>
  <si>
    <t>Osmington</t>
  </si>
  <si>
    <t>Mr. Jason Levin serves as President at Osmington. He is responsible for a team of investment professionals that source and execute equity and debt investments in real estate, private equity and venture. In addition, he is a member of the board of a number of investee companies on behalf of Osmington. Prior to his current position, He worked as a Vice President at Empire Communities, one of the largest Toronto based residential real estate developers. his responsibilities included acquisitions and sourcing all the capital requirements for this growing business. His real estate career began at Canadian Mortgage Capital Corporation, a Toronto based, non-bank real estate lender. In his 7 years with the company he structured and closed over $1 billion in private and institutional debt. He holds a Master of Business Administration degree from The Schulich School of Business at York University.</t>
  </si>
  <si>
    <t>+1 (416) 362-5177</t>
  </si>
  <si>
    <t>jlevin@osmington.com</t>
  </si>
  <si>
    <t>421297-21P</t>
  </si>
  <si>
    <t>Jonathan Weinbaum</t>
  </si>
  <si>
    <t>Weinbaum</t>
  </si>
  <si>
    <t>Mr. Jonathan Weinbaum serves as Associate Director, Investments &amp; Asset Management at Osmington. He joined Osmington in 2019 and supports the company on real estate investment and development matters. Prior to joining Osmington, he articled at a downtown Toronto law firm where he focused on corporate, securities, and real estate law. He was admitted to the Ontario Bar in 2020 and holds a Master of Science in Real Estate Development from Columbia University, a Bachelor of Laws from King's College London, and a Bachelor of Arts from the University of Guelph.</t>
  </si>
  <si>
    <t>jweinbaum@osmington.com</t>
  </si>
  <si>
    <t>Associate Director, Investments &amp; Asset Management</t>
  </si>
  <si>
    <t>421297-03P</t>
  </si>
  <si>
    <t>Jordan Bizouati</t>
  </si>
  <si>
    <t>Bizouati</t>
  </si>
  <si>
    <t>Mr. Jordan Bizouati serves as Vice President, Investments &amp; Asset Management at Osmington. He joined Osmington in 2014 and has over ten years of experience in real estate investments and development. He is responsible for managing Osmington's existing investments and also evaluates new investment opportunities in real estate, venture capital, and private equity. He holds a Bachelor of Business Administration with Honours degree from the Schulich School of Business.</t>
  </si>
  <si>
    <t>jbizouati@osmington.com</t>
  </si>
  <si>
    <t>Vice President, Investments &amp; Asset Management</t>
  </si>
  <si>
    <t>111840-40P</t>
  </si>
  <si>
    <t>Lawrence Zucker</t>
  </si>
  <si>
    <t>Zucker</t>
  </si>
  <si>
    <t>Mr. Lawrence Zucker serves as Chief Executive Officer at Osmington. Mr. Zucker also serves as Chief Executive Officer at Osmington Capital Partners. He has transacted on more than $2.5 billion in real estate and has built a portfolio of investments in real estate, hospitality, technology, green energy and entertainment. Among his accomplishments is the joint venture to relocate the Atlanta Thrashers to Winnipeg to become the Winnipeg Jets, and the acquisition and development of the commercial and retail rights for Toronto's Union Station. Prior to joining Osmington, He practiced real estate and land development law in Toronto. He is a member of the Institute of Corporate Directors and sits on a number of private and not for profit boards. He holds a Bachelor of Arts in Economics degree from McGill University and a Bachelor of Laws degree from the University of British Columbia.</t>
  </si>
  <si>
    <t>+1 (866) 724-3343</t>
  </si>
  <si>
    <t>lzucker@osmington.com</t>
  </si>
  <si>
    <t>204737-05P</t>
  </si>
  <si>
    <t>Vlad Amurjuev</t>
  </si>
  <si>
    <t>Amurjuev</t>
  </si>
  <si>
    <t>Mr. Vlad Amurjuev serves as Vice President of Investments at Osmington. Mr. Amurjuev serves as Managing Partner at Osmington Capital Partners. He serves as Board Member at Pollin Fertility and Boreal Carbon. He served as a Board Member at Ample Organics. Vlad is a member of the investment team that sources and executes equity and debt investments in real estate, private equity and venture capital. Prior to his current role, Vlad worked as CFO at Barnhart Asset Management, a boutique real estate private equity firm that managed a $150m private equity fund for Canadian pension funds. Vlad's responsibilities included overseeing all aspects of financial management, fund structuring, acquisitions, financings, and reporting. Vlad holds a bachelor's degree from The Schulich School of Business as well as CPA, CA, and CFA designations.</t>
  </si>
  <si>
    <t>vamurjuev@osmington.com</t>
  </si>
  <si>
    <t>206047-90P</t>
  </si>
  <si>
    <t>Nicholas Yarnall</t>
  </si>
  <si>
    <t>Yarnall</t>
  </si>
  <si>
    <t>OTH Capital</t>
  </si>
  <si>
    <t>Founder &amp; Principal</t>
  </si>
  <si>
    <t>Mr. Nicholas Yarnall is a Co-Founder and serves as principal at OTH Capital. His role as a managing partner includes primary responsibilities for the firms acquisitions, brokerage activities, and new market investment strategies. He serves as General Partner at Stellifi. He also oversees management of the firms property management company, Regency Property management, and the firms construction company, OTH Construction Management. He is responsible for developing the renovation plan and budget for each acquisition, and he manages and directs all construction and rehab efforts. He began his career as a real estate professional for one of New York Citys largest residential brokerage firms. Early in 2012, he joined a leading private real estate investment group from Baltimore, Maryland that focused on acquiring and renovating single-family investment properties on the east coast. He responsibilities for the firm included acquisition, underwriting, due diligence and disposition activities for their Atlanta, Georgia office. His role included responsibilities for asset management and construction renovation projects, and he also participated in the firms structured partnerships, financing, and private lending activities. He is currently a licensed real estate broker in Texas, and he is an active member of the Austin Board of Realtors, Young Mens Business League of Austin, and the San Antonio Board of Realtors. He graduated with a Bachelor of Arts in economics from Rollins College located in Winter Park, Florida.</t>
  </si>
  <si>
    <t>+1 (512) 871-0559</t>
  </si>
  <si>
    <t>nyarnall@othcapital.com</t>
  </si>
  <si>
    <t>2630 Exposition Boulevard</t>
  </si>
  <si>
    <t>Suite 214</t>
  </si>
  <si>
    <t>78703</t>
  </si>
  <si>
    <t>Co-Founder &amp; Principal</t>
  </si>
  <si>
    <t>206052-31P</t>
  </si>
  <si>
    <t>Paolo Boero</t>
  </si>
  <si>
    <t>Boero</t>
  </si>
  <si>
    <t>Mr. Paolo Boero serves as Managing Partner at Stellifi. He is a Co-Founder and serves as Principal at OTH Capital. He serves as Board Member at Dextall and Tough Leaf. His role as a managing partner includes primary responsibilities for the firm's Investment, marketing, and accounting areas, which include valuation, financial modeling, and reporting. He also oversees the management of the firm's property management company, Regency Property Management, and the firm's construction company, OTH Construction Management. Prior to founding Old Three Hundred Capital, he spent approximately six years in several investment roles in New York City. From 2007 to 2009, he worked on the trading floor of a major Wall Street bank supporting the credit, interest rate, and equity derivatives trading desks. Thereafter, he worked for a leveraged debt and private equity fund with approximately $260 billion under management. While at the fund, his responsibilities included supporting leveraged loan and high-yield trading, portfolio modeling, structuring and valuation, and deal origination for the fund's CLOs, managed accounts, and private equity investments. He received a Master of Business Administration from the McCombs School of Business at the University of Texas at Austin, with a concentration in real estate finance and entrepreneurship, and a Bachelor of Science in economics from Dickinson College, in Carlisle, Pennsylvania.</t>
  </si>
  <si>
    <t>+1 (512) 871-0561</t>
  </si>
  <si>
    <t>pboero@othcapital.com</t>
  </si>
  <si>
    <t>2630 Exposition Blouevard</t>
  </si>
  <si>
    <t>Stellifi VC</t>
  </si>
  <si>
    <t>206047-63P</t>
  </si>
  <si>
    <t>William Gottfried JD</t>
  </si>
  <si>
    <t>Gottfried</t>
  </si>
  <si>
    <t>Mr. William Gottfried is a Co-Founder &amp; serves as Chief Executive Officer and Board Member at PropUp. He is a Co-Founder and serves as Principal at OTH Capital. His role as a managing partner includes primary responsibilities for all fundraising, investor relations, and legal matters. He also oversees management of the firms property management company, Regency Property Management, and the firms construction company, OTH Construction Management. He plays a key role for the firm with respect to understanding Austins unique demographics, neighborhoods, communities, and housing stock. He is central to the firms ongoing fundraising activities, including the development of strategic investor and partner relationships. Prior to founding Old Three Hundred Capital, He was an associate for a mid-sized law firm with offices in Dallas and Austin. As an attorney, his practice focused on real estate transactions and construction litigation. Early in his career, he participated in a $2 billion fundraising campaign for University Development and Alumni Relations at New York University. he is a licensed attorney in Texas and a member of the State Bar of Texas with a specialization in real estate. He received his Juris Doctorate from the University of Texas School of Law in Austin, and a Bachelor of Arts in history from Tulane University in New Orleans, Louisiana.</t>
  </si>
  <si>
    <t>+1 (512) 871-0556</t>
  </si>
  <si>
    <t>wgottfried@othcapital.com</t>
  </si>
  <si>
    <t>PropUp (Business/Productivity Software)</t>
  </si>
  <si>
    <t>443090-17P</t>
  </si>
  <si>
    <t>Elizabeth Stockton</t>
  </si>
  <si>
    <t>Stockton</t>
  </si>
  <si>
    <t>Overlap Holdings</t>
  </si>
  <si>
    <t>Ms. Elizabeth Stockton serves as Director, Government Solutions at Overlap Holdings. Ms. Stockton has worked across the Department of Defense, startups, and government in general, scaling organizations to drive key revenue, operational, and policy outcomes. At DoD she handled urgent homeland defense and emerging technology policy priorities for the Under Secretary of Defense for Policy. Previously, she served as Chief of Staff to the first-ever Assistant Secretary of Defense for Industrial Base Policy, an office responsible for $2 billion annually in industrial base investments. She led strategic planning and Congressional engagements for the 400+ person organization. She started her career in growth and operations at software and hardware startups, and holds a degree in International Relations from the University of St Andrews.</t>
  </si>
  <si>
    <t>+1 (646) 470-5142</t>
  </si>
  <si>
    <t>elizabeth@overlapholdings.com</t>
  </si>
  <si>
    <t>Director, Government Solutions</t>
  </si>
  <si>
    <t>344993-05P</t>
  </si>
  <si>
    <t>Gauri Jaswal</t>
  </si>
  <si>
    <t>Gauri</t>
  </si>
  <si>
    <t>Jaswal</t>
  </si>
  <si>
    <t>Ms. Gauri Jaswal serves as Chief of Staff at Overlap Holdings. She is responsible for building out key tools to manage relationships and empower the firm's Investing and Connecting businesses. She has extensive experience in frontier tech venture capital, having been the first hire at Conscience VC, where she helped build out operations, sourcing, and the firm's investment process. Prior to that, she worked at dlab, an SOSV accelerator, and Outlier Ventures, a VC firm dedicated to investing in the emerging web3 ecosystem. She holds a degree in Economics from Yale University.</t>
  </si>
  <si>
    <t>gjaswal@overlapholdings.com</t>
  </si>
  <si>
    <t>389101-51P</t>
  </si>
  <si>
    <t>Irene Edwards</t>
  </si>
  <si>
    <t>Ms. Irene Edwards serves as Chief Communications Officer &amp; Head of Investor Relations at Overlap Holdings. She spent 20 years in legacy media as a magazine editor at Condé Nast, Time Inc., and American Express Publishing, and helped launch various media startups in San Francisco, before pivoting to lead comms initiatives at international orgs with a world-positive mission. Most recently, she served as Head of Communications at MAD, a global nonprofit at the intersection of food systems and hospitality founded by Chef René Redzepi of Restaurant Noma. She is a graduate of Northwestern University's Medill School of Journalism.</t>
  </si>
  <si>
    <t>iedwards@overlapholdings.com</t>
  </si>
  <si>
    <t>Chief Communications Officer &amp; Head of Investor Relations</t>
  </si>
  <si>
    <t>344992-69P</t>
  </si>
  <si>
    <t>Justin Stevens</t>
  </si>
  <si>
    <t>Stevens</t>
  </si>
  <si>
    <t>Mr. Justin Stevens is the Founder &amp; serves as Chief Executive Officer at Overlap Holdings. Mr. Stevens is an Angel Investor. He served as a Senior Partner at Apollo Global Management. He sat on the board of directors of numerous large public and private companies and played key roles in the establishment of Apollo's Impact Investing platform and the firm's initial climate strategy. He invested in, advised, built, and oversaw organizations ranging from early-stage frontier tech startups to large, publicly traded companies. He has deep relationships across various fields, including finance, industry, government, foundations, and NGOs. He is an active investor in frontier tech alongside numerous top-tier, widely known VCs and specialty niche VCs with strong areas of core competency.</t>
  </si>
  <si>
    <t>jstevens@overlapholdings.com</t>
  </si>
  <si>
    <t>42224-86P</t>
  </si>
  <si>
    <t>Robert Morelli</t>
  </si>
  <si>
    <t>Morelli</t>
  </si>
  <si>
    <t>Mr. Robert Morelli serves as Chief Operating Officer at Overlap Holdings. Mr. Morelli Co-Founded &amp; served as Chief Executive Officer at HomeKeepr. He was a Co-founder at Tou'd. Morelli has been at the forefront of every element of the business including product development, business relations, finance, and marketing. Morelli has been deeply involved in the startup sector since 2009, including having founded the real estate and mortgage financial advisory firm, Sirona Advisors. After Sirona, Morelli co-founded the web-based business, WhichDoc (and its breakout project, Villij), a social recommendation platform for patients seeking help in selecting physicians. Morelli also previously served as Head of Syndicate and Structuring for the residential mortgage and asset-backed CDO business at UBS, having joined UBS in 1999. Morelli holds a bachelor of science degree from Cornell University.</t>
  </si>
  <si>
    <t>rmorelli@overlapholdings.com</t>
  </si>
  <si>
    <t>43684-75P</t>
  </si>
  <si>
    <t>Ashok Reddy</t>
  </si>
  <si>
    <t>Ashok</t>
  </si>
  <si>
    <t>Overlay Capital</t>
  </si>
  <si>
    <t>Mr. Ashok Reddy serves as Managing Director, Partner &amp; Member of the Investment Committee at Overlay Capital. He is a Co-Founder and serves as a Partner at Unreasonable Capital. At Overlay Capital, he is responsible for overseeing the firm's venture capital fund and direct investments. He also spent over a decade as a private equity investor focused on middle-market leveraged buyouts of entrepreneur-driven businesses.</t>
  </si>
  <si>
    <t>+1 (770) 415-0595</t>
  </si>
  <si>
    <t>areddy@overlaycapital.com</t>
  </si>
  <si>
    <t>Alpharetta</t>
  </si>
  <si>
    <t>Alpharetta, GA</t>
  </si>
  <si>
    <t>11720 Amber Park Drive</t>
  </si>
  <si>
    <t>Suite 425</t>
  </si>
  <si>
    <t>30009</t>
  </si>
  <si>
    <t>Managing Director, Partner &amp; Member of Investment Committee</t>
  </si>
  <si>
    <t>358622-74P</t>
  </si>
  <si>
    <t>Brett Wayman</t>
  </si>
  <si>
    <t>Wayman</t>
  </si>
  <si>
    <t>Mr. Brett Wayman serves as Managing Partner &amp; Chief Operating Officer at Overlay Capital. He is responsible for overseeing the firm's platform growth and building strategic partnerships. He is also a member of Overlay Capital's investment committee. Before Overlay, he served as head of sustainable investing for Envestnet (NYSE: ENV) and spent over a decade in alternative asset management for multi-family offices. He holds the CSRIC (Chartered SRI Counselor) designation.</t>
  </si>
  <si>
    <t>bwayman@overlaycapital.com</t>
  </si>
  <si>
    <t>Managing Partner &amp; Chief Operating Officer</t>
  </si>
  <si>
    <t>203112-55P</t>
  </si>
  <si>
    <t>Chadd Evans</t>
  </si>
  <si>
    <t>Chadd</t>
  </si>
  <si>
    <t>Mr. Chadd Evans serves as Managing Partner &amp; Chief Investment Officer at Overlay Capital. He founded and served as Chief Executive Officer at Altera Advisors. He also serves as Chairman at Proof of Impact. Before starting Altera, he was the Principal of Field Equity, a boutique private equity investment firm focused on the lower-middle market. He was responsible for executing over $1 billion in transactions. Prior to Field Equity, he was the Senior Vice President of Investments for Ackermann &amp; Co., a commercial real estate investment firm located in the Southeast. He is also a CAIA and CFA Charterholder. He graduated from the Terry College of Business at The University of Georgia with a BBA in Finance.</t>
  </si>
  <si>
    <t>cevans@overlaycapital.com</t>
  </si>
  <si>
    <t>Managing Partner &amp; Chief Investment Officer</t>
  </si>
  <si>
    <t>399624-04P</t>
  </si>
  <si>
    <t>Elizabeth Blankenship-Singh</t>
  </si>
  <si>
    <t>Blankenship-Singh</t>
  </si>
  <si>
    <t>Ms. Elizabeth Blankenship-Singh serves as Director, Investments at Overlay Capital. She oversees sourcing and diligence for deals through Overlay's Innovation Fund as well as Overlay Build. She co-founded and served as Chief Executive Officer at by Eilly and is a Board Member at CAV Angels.</t>
  </si>
  <si>
    <t>+1 (901) 827-8272</t>
  </si>
  <si>
    <t>elizabeth@overlaycapital.com</t>
  </si>
  <si>
    <t>89900-29P</t>
  </si>
  <si>
    <t>Jeff Sheridan</t>
  </si>
  <si>
    <t>Chief Revenue Officer &amp; Managing Partner</t>
  </si>
  <si>
    <t>Mr. Jeff Sheridan serves as Managing Partner &amp; Chief Revenue Officer at Overlay Capital. He is primarily responsible for driving the growth of Overlay's investment funds platform by aligning our product development, sales, marketing &amp; customer success efforts. With over 20 years of experience at the intersection of capital and values, he has a proven track record of growing alternative investment businesses and optimizing distribution strategies. He has a deep understanding of the industry and is committed to delivering exceptional results for Overlay's investors.</t>
  </si>
  <si>
    <t>jeff@overlaycapital.com</t>
  </si>
  <si>
    <t>Managing Partner &amp; Chief Revenue Officer</t>
  </si>
  <si>
    <t>304420-51P</t>
  </si>
  <si>
    <t>Julieta Moradei</t>
  </si>
  <si>
    <t>Julieta</t>
  </si>
  <si>
    <t>Moradei</t>
  </si>
  <si>
    <t>Ms. Julieta Moradei serves as Managing Partner, Overlay Capital Build at Overlay Capital. Ms. Moradei served as Partner at HomeTeam Ventures.</t>
  </si>
  <si>
    <t>+1 (781) 552-2255</t>
  </si>
  <si>
    <t>julieta@overlaycapital.com</t>
  </si>
  <si>
    <t>Managing Partner, Overlay Capital Build</t>
  </si>
  <si>
    <t>358624-00P</t>
  </si>
  <si>
    <t>Milena Stojceska</t>
  </si>
  <si>
    <t>Stojceska</t>
  </si>
  <si>
    <t>Ms. Milena Stojceska serves as Director, Investor Relations at Overlay Capital. She is the point person for many key relationships including our limited partner investors. Having previously held roles at Unreasonable Group and the Australian Consulate General, she has experience at the intersection of venture capital, corporate finance, and policy. Throughout her career, she has been an advisor to politicians, business leaders, founders, and investors - with a focus on driving business forward through impact and sustainable finance.</t>
  </si>
  <si>
    <t>mstojceska@overlaycapital.com</t>
  </si>
  <si>
    <t>311140-00P</t>
  </si>
  <si>
    <t>Scott Sadler</t>
  </si>
  <si>
    <t>Sadler</t>
  </si>
  <si>
    <t>Mr. Scott Sadler serves as Director, Investment Strategies at Overlay Capital. He is a key member of the investment team and oversees investment group operations. He is also a member of the investment committee where he leverages his diverse financial background that - in addition to being an active alternative asset investor - also includes time running an emerging markets fund as well as wealth management. He is a Chartered Financial Analyst (CFA®).</t>
  </si>
  <si>
    <t>scott@boardwalkcm.com</t>
  </si>
  <si>
    <t>Director, Investment Strategies</t>
  </si>
  <si>
    <t>268184-80P</t>
  </si>
  <si>
    <t>Allison Hinckley Ph.D</t>
  </si>
  <si>
    <t>Hinckley</t>
  </si>
  <si>
    <t>Overture Climate VC</t>
  </si>
  <si>
    <t>Dr. Allison Hinckley serves as Senior Principal at Overture Climate VC. She served as Bard Observer at VEIR. She served as a Senior Associate at F-Prime Capital. She serves as a Board Observer at Osmoses. She served as a Board Observer at Nitricity. She holds a PhD in Chemical Engineering from Stanford, where her research focused on next-generation electronic materials and electrochemical and thermoelectric devices. Before joining FSV, she founded and ran a deep tech consultancy, helping early-stage startups with thermal and electrical systems design and materials selection to accelerate their time to market. She also holds an M.Phil. in Micro- and Nanotechnology Enterprise from the University of Cambridge where she was a Gates-Cambridge Scholar and a B.S. in Chemical Engineering from MIT. She served as a Board Observer at Quaise.</t>
  </si>
  <si>
    <t>+1 (617) 563-7000</t>
  </si>
  <si>
    <t>allison@finestructure.vc</t>
  </si>
  <si>
    <t>384611-23P</t>
  </si>
  <si>
    <t>Ameet Konkar</t>
  </si>
  <si>
    <t>Ameet</t>
  </si>
  <si>
    <t>Konkar</t>
  </si>
  <si>
    <t>Mr. Ameet Konkar serves as a Venture Partner at Chakra Growth Fund. He serves as an Advisor at Overture VC.</t>
  </si>
  <si>
    <t>+1 (408) 642-9464</t>
  </si>
  <si>
    <t>Saratoga</t>
  </si>
  <si>
    <t>Saratoga, CA</t>
  </si>
  <si>
    <t>13987 Pike Road</t>
  </si>
  <si>
    <t>95070</t>
  </si>
  <si>
    <t>Chakra Growth Fund</t>
  </si>
  <si>
    <t>329192-56P</t>
  </si>
  <si>
    <t>Ben Rhodes</t>
  </si>
  <si>
    <t>Mr. Ben Rhodes serves as an Advisor at Overture VC. He is co-host of Pod Save the World, a contributor for MSNBC, a senior advisor to former President Barack Obama, and chair of National Security Action. From 2009-2017, he served as a Deputy National Security Advisor and speechwriter for President Obama. In that capacity, he participated in all of President Obama's key decisions. He is the author of two New York Times bestsellers: After the Fall: Being American in the World We Made, and The World As It Is: A Memoir of the Obama White House.</t>
  </si>
  <si>
    <t>+1 (202) 556-0013</t>
  </si>
  <si>
    <t>3019 Ocean Park Boulevard</t>
  </si>
  <si>
    <t>281612-89P</t>
  </si>
  <si>
    <t>Brandon Hurlbut</t>
  </si>
  <si>
    <t>Mr. Brandon Hurlbut is a Co-Founder and serves as Principal at Overture VC.</t>
  </si>
  <si>
    <t>+1 (202) 262-0450</t>
  </si>
  <si>
    <t>brandon@boundarystonepartners.com</t>
  </si>
  <si>
    <t>292978-45P</t>
  </si>
  <si>
    <t>Emma McDonagh</t>
  </si>
  <si>
    <t>Ms. Emma McDonagh serves as Vice President at Overture VC.</t>
  </si>
  <si>
    <t>emma@overture.vc</t>
  </si>
  <si>
    <t>241526-71P</t>
  </si>
  <si>
    <t>Gaurav Sant Ph.D</t>
  </si>
  <si>
    <t>Sant</t>
  </si>
  <si>
    <t>Dr. Gaurav Sant is the Founder and serves as Chief Technology Officer and Board Member at CarbonBuilt. He is a Co-Founder and serves as Director at Equatic. He serves as an Advisor at Overture VC. He is a co-founder and a board member at Concrete-AI. He serves as an Advisory Board Member at Fundamental. He served as Advisor at Arqlite. He is a world-class researcher and Professor of civil and environmental engineering as well as materials science and engineering at the University of California, Los Angeles (UCLA). He also heads the Institute for Carbon Management, where he and his team develop pioneering market-focused technologies to reduce the accumulation of carbon dioxide in the atmosphere. He has published many peer-reviewed scientific articles and advises governments and companies. His interest goes beyond the written word. He likes to see the implementation and impact of research. That's why he founded and heads CarbonBuilt. He received a Ph.D., MS, and BS in Civil Engineering from Purdue University.</t>
  </si>
  <si>
    <t>+1 (505) 660-4166</t>
  </si>
  <si>
    <t>gsant@carbonbuilt.com</t>
  </si>
  <si>
    <t>Torrance</t>
  </si>
  <si>
    <t>Torrance, CA</t>
  </si>
  <si>
    <t>20600 Gramercy Place</t>
  </si>
  <si>
    <t>Suite 205</t>
  </si>
  <si>
    <t>90501</t>
  </si>
  <si>
    <t>CarbonBuilt</t>
  </si>
  <si>
    <t>421803-55P</t>
  </si>
  <si>
    <t>Karen Skelton</t>
  </si>
  <si>
    <t>Skelton</t>
  </si>
  <si>
    <t>Ms. Karen Skelton serves as Advisor at Overture Climate VC. She was a visiting Scholar At Stanford's Doerr School Of Sustainability. Former SENIOR Policy Advisor, US Department Of Energy</t>
  </si>
  <si>
    <t>49370-95P</t>
  </si>
  <si>
    <t>Kiran Bhatraju</t>
  </si>
  <si>
    <t>Bhatraju</t>
  </si>
  <si>
    <t>Mr. Kiran Bhatraju is a Co-Founder and serves as Chief Executive Officer at Arcadia Power. Mr. Bhatraju is a Co-Founder of The Nuclear Company. He also serves as a Board Member at Solar Holler. He also served as a Venture Advisor at Appalachian Horizon. He served as Director of Business Development at American Efficient. He also serves as a Board Member at Joint Venture (Arcadia Power / BlueWave). He has spent years working on public policy issues for Fortune 500 companies and as a legislative aide on Capitol Hill. He is also a soon-to-be-published author. He holds a B.A. from the University of Pennsylvania and is a proud Kentucky Colonel. He also served as Board Member at AppHarvest.</t>
  </si>
  <si>
    <t>+1 (866) 526-0083</t>
  </si>
  <si>
    <t>kiran@arcadia.com</t>
  </si>
  <si>
    <t>555 11th Street Northwest</t>
  </si>
  <si>
    <t>Arcadia Power</t>
  </si>
  <si>
    <t>329192-02P</t>
  </si>
  <si>
    <t>Lara Pierpoint Ph.D</t>
  </si>
  <si>
    <t>Pierpoint</t>
  </si>
  <si>
    <t>Dr. Lara Pierpoint serves as Managing Director at PRIME CoalitionShe serves as an Advisor at Overture VC. She serves as an Advisor at Blue Energy (Massachusetts). She is the Director of Climate, Actuate where she leads efforts to deploy emissions-reducing technologies more quickly. Prior to Actuate, she was the Director of Technology Strategy at Exelon and the Director of the Office of Energy Supply Security at the U.S. DOE Office of Policy and Systems Analysis. She earned a Ph.D. in Engineering Systems from MIT; a SM in Nuclear Science and Engineering and an SM in Technology and Policy from MIT; and a BS in Physics from UCLA.</t>
  </si>
  <si>
    <t>lara@primecoalition.org</t>
  </si>
  <si>
    <t>PRIME Coalition</t>
  </si>
  <si>
    <t>445193-02P</t>
  </si>
  <si>
    <t>Leila Pirbay</t>
  </si>
  <si>
    <t>Pirbay</t>
  </si>
  <si>
    <t>Ms. Leila Pirbay serves as Principal at Overture Climate VC. She joined Overture in 2025 to support founders driving the transition to a decarbonized world. Her career began at Stripe a decade ago, where she joined as employee #300 when its Dublin HQ had only a dozen people. At Stripe, she worked on the company's European expansion and led its entry into Italy. More recently, she spent two years at EQT Ventures, focusing on early and growth-stage software investments across the US and Europe. She is passionate about economic development and believes that transitioning to a decarbonized world is not only vital for addressing climate challenges but also essential for ensuring long-term human and economic well-being. She has worked across for-profit and not-for-profit organizations in the United States, Morocco, India, Turkey, Ireland, Italy, and her home country of Madagascar. Along the way, she has learned six languages and is working on her seventh (insert Hindi word for "almost there"). She holds a bachelor's degree in Anthropology and Economics from Harvard, as well as an MBA from Stanford's Graduate School of Business and an MPA from Harvard's Kennedy School of Government.</t>
  </si>
  <si>
    <t>leila@overture.vc</t>
  </si>
  <si>
    <t>13274-29P</t>
  </si>
  <si>
    <t>Liron Gitig JD</t>
  </si>
  <si>
    <t>Liron</t>
  </si>
  <si>
    <t>Gitig</t>
  </si>
  <si>
    <t>Mr. Liron Gitig serves as Board Partner at FTV Capital. He also serves as Venture Partner at Overture Climate VC. He served as a Board Member at A-LIGN Assurance. He served as a Board Member at LiveIntent. He also serves as a Board Member at A-LIGN, Security Compass, and SD Elements. He served as a Board Member at Utopia Global, GigaSpaces Technologies, ID.me, and ReliaQuest. Mr. Gitig joined FTV Capital in 2006 and has more than 17 years of experience in growth and private equity, venture capital, technology, and investment banking. Mr. Gitig leads investments in enterprise solutions (business services and technology) and currently serves on the boards of FTV Capital portfolio companies, including Perfecto Mobile, Basis Global Technologies, OpenSpan, Shoutlet, and Utopia. He previously served on the board of Aveksa, a leader in business-driven identity and access management, which was acquired by EMC Corporation in 2013. Prior to joining FTV Capital, he was responsible for software investments at venture funds including Lazard Technology Partners, Giza GE Venture Fund, and BRM Capital. Before embarking on his career in venture capital, Mr. Gitig served as vice president of corporate development at Fundtech Corporation, a global provider of electronic payments, cash management, and settlement solutions.</t>
  </si>
  <si>
    <t>+1 (212) 682-4800</t>
  </si>
  <si>
    <t>lgitig@ftvcapital.com</t>
  </si>
  <si>
    <t>535 Madison Avenue</t>
  </si>
  <si>
    <t>Floor 33</t>
  </si>
  <si>
    <t>Board Partner</t>
  </si>
  <si>
    <t>FTV Capital</t>
  </si>
  <si>
    <t>307773-64P</t>
  </si>
  <si>
    <t>Maud Texier</t>
  </si>
  <si>
    <t>Maud</t>
  </si>
  <si>
    <t>Texier</t>
  </si>
  <si>
    <t>Ms. Maud Texier serves as Director, EMEA Energy at Alphabet. Ms. Texier serves as an Advisor at Overture VC. She is Google's Head of Clean Energy and Carbon Development where she leads decarbonization initiatives to ensure Google achieves its climate goals. Prior to joining Google, she was Head of Industrial Energy Products at Tesla, leading the product management group for utility-scale batteries and applications across global markets. Previously, she worked for Electricite De France as part of the Innovation office in charge of new technologies for the group. She holds an MS in Engineering in Energy and Power Systems from Ecole Centrale Paris.</t>
  </si>
  <si>
    <t>+1 (650) 681-6232</t>
  </si>
  <si>
    <t>maud@abc.xyz</t>
  </si>
  <si>
    <t>1600 Amphitheatre Parkway</t>
  </si>
  <si>
    <t>Director, EMEA Energy</t>
  </si>
  <si>
    <t>Alphabet</t>
  </si>
  <si>
    <t>281613-70P</t>
  </si>
  <si>
    <t>Michael O'Neil</t>
  </si>
  <si>
    <t>O'Neil</t>
  </si>
  <si>
    <t>Mr. Michael O'Neil is a Co-Founder &amp; serves as Partner at Overture VC.</t>
  </si>
  <si>
    <t>michael@overture.eco</t>
  </si>
  <si>
    <t>391339-63P</t>
  </si>
  <si>
    <t>Neil Chatterjee</t>
  </si>
  <si>
    <t>Mr. Neil Chatterjee serves as Board Advisor at AiDash. He serves as Board Member at CarbonCapture. He also serves as Advisor at Overture Climate VC. He serves as Senior Advisor at Commonweal Ventures.</t>
  </si>
  <si>
    <t>+1 (408) 703-1099</t>
  </si>
  <si>
    <t>neil@aidash.com</t>
  </si>
  <si>
    <t>575 High Street</t>
  </si>
  <si>
    <t>AiDash</t>
  </si>
  <si>
    <t>289134-91P</t>
  </si>
  <si>
    <t>Nidhi Thakar JD</t>
  </si>
  <si>
    <t>Ms. Nidhi Thakar serves as Board Member at Greentown Labs. She serves as an Advisor at Overture VC. She also serves as Board Member at Gridworks. She is Senior Director of Resource and Regulatory Strategy and External Engagement for Portland General Electric, where she leads cross-functional efforts to advance the company's priorities related to rapid decarbonization and electrification, resiliency and reliability, business model innovation, and customer products. In this role, she manages the Regulatory Strategy and Integrated Resource Planning teams and supports the company's work at the federal level. Prior to her role at Portland General, she served in the administration of Governor Brown as Chief of Strategy and External Affairs to President Michael Picker of the California Public Utilities Commission. She also previously served in the Obama administration as Senior Advisor to the U.S. Department of Energy's Loan Programs Office, where she was part of the executive team responsible for managing a $32 billion portfolio of loans and loan guarantees and for financing innovative, clean energy, and advanced vehicle technologies. She has held a number of other positions in the non-profit and government world, including Deputy Director of the Public Lands Project at the Center for American Progress, where she led the team's legal and policy analysis on energy and environmental issues affecting public lands; Legislative Aide to U.S. Representative Shelley Berkley of Nevada; and a law clerk for the Federal Energy Regulatory Commission and U.S. Department of Justice's Environmental Enforcement Division. She is an attorney by training and advising clients on energy and environmental matters as an associate at Perkins Coie LLP from 2008-2014. In this role, she practiced before the Federal Energy Regulatory Commission and state public utility commissions, as well as advised clients on the permitting of onshore and offshore renewable energy and hydroelectric projects, western water issues, and wholesale electric and natural gas proceedings. She holds a BA from the University of Maryland, College Park, and received her JD from Lewis &amp; Clark Law School, with a Certificate in Environmental Law, where she was a member of the Law Review.</t>
  </si>
  <si>
    <t>+1 (888) 954-6836</t>
  </si>
  <si>
    <t>15065-56P</t>
  </si>
  <si>
    <t>Peter Gross</t>
  </si>
  <si>
    <t>Mr. Peter Gross serves as Chairman at Cato Digital. He serves as Board Member at Apolo. He serves as a Board Member at Chilldyne. He serves as an Advisor at Overture VC. He holds an MS degree in Electrical Engineering from Polytechnic University and an MBA degree from California State University.</t>
  </si>
  <si>
    <t>+1 (866) 877-7115</t>
  </si>
  <si>
    <t>Milpitas</t>
  </si>
  <si>
    <t>Milpitas, CA</t>
  </si>
  <si>
    <t>691 South Milpitas Boulevard</t>
  </si>
  <si>
    <t>Suite 113</t>
  </si>
  <si>
    <t>95035</t>
  </si>
  <si>
    <t>+1 (408) 887-6315</t>
  </si>
  <si>
    <t>Cato Digital</t>
  </si>
  <si>
    <t>329191-21P</t>
  </si>
  <si>
    <t>Peter Kalmus Ph.D</t>
  </si>
  <si>
    <t>Dr. Peter Kalmus serves as an Advisor at Overture VC. He is an American scientist and writer. He is currently a climate scientist at the NASA Jet Propulsion Lab where he studies the rapidly changing Earth, focusing on biodiversity forecasting, clouds, and severe weather. He is the author of the award winning book, Being the Change: Live Well and Spark a Climate Revolution. He earned a Ph.D. in physics from Columbia University and a BA in physics from Harvard University.</t>
  </si>
  <si>
    <t>54982-18P</t>
  </si>
  <si>
    <t>Shomik Dutta</t>
  </si>
  <si>
    <t>Shomik</t>
  </si>
  <si>
    <t>Mr. Shomik Dutta is a Co-Founder and serves as a Managing Partner at Overture Climate VC. He co-founded DuSable Capital Management. He serves as a Board Member at Higher Ground Labs. He served as a Board Member at Mobilize. He served as an Advisor at New/Mode. Before co-founding DuSable, he worked in investment banking at Morgan Stanley and the Rock Creek Group hedge fund. He has also served as a longtime staffer to President Obama. From 2011 - to 2012, he served as the National Finance Consultant for President Obama's re-election campaign. Earlier in his career, he served as the Special Advisor to the Chairman of the Federal Communications Commission and as a special assistant in President Obama's White House. Before joining the Obama Administration, he served on the Presidential Transition Team and worked in the Mid-Atlantic region for President Obama's historic 2008 election. He is a veteran staffer of several statewide Democratic campaigns, including Martin O'Malley's successful gubernatorial campaign in Maryland and several U.S. Senate Campaigns. He earned an MBA from The Wharton School of Business and a BA from Williams College. He serves as Board Member at Endolith.</t>
  </si>
  <si>
    <t>shomik@overture.vc</t>
  </si>
  <si>
    <t>281613-07P</t>
  </si>
  <si>
    <t>Tamim Mourad</t>
  </si>
  <si>
    <t>Tamim</t>
  </si>
  <si>
    <t>Mourad</t>
  </si>
  <si>
    <t>Mr. Tamim Mourad is a Co-Founder &amp; serves as Venture Partner at Overture VC. He was the Founder of PriceGrabber.com.</t>
  </si>
  <si>
    <t>tamim@overture.eco</t>
  </si>
  <si>
    <t>392131-54P</t>
  </si>
  <si>
    <t>Jessica Fleenor</t>
  </si>
  <si>
    <t>Fleenor</t>
  </si>
  <si>
    <t>OwlSpark</t>
  </si>
  <si>
    <t>Ms. Jessica Fleenor serves as Director of Acceleration Programs at Rice Alliance for Technology and Entrepreneurship. She serves as a Managing Director at OwlSpark. She has a decade of experience in communications, design and program management. She holds a B.S. in Mass Communications from Virginia Commonwealth University.</t>
  </si>
  <si>
    <t>+1 (713) 348-3443</t>
  </si>
  <si>
    <t>jef4@rice.edu</t>
  </si>
  <si>
    <t>McNair Hall</t>
  </si>
  <si>
    <t>Suite 103</t>
  </si>
  <si>
    <t>77005-2932</t>
  </si>
  <si>
    <t>+1 (713) 348-3110</t>
  </si>
  <si>
    <t>Director of Acceleration Programs</t>
  </si>
  <si>
    <t>Rice Alliance for Technology and Entrepreneurship</t>
  </si>
  <si>
    <t>43325-20P</t>
  </si>
  <si>
    <t>Kerri Smith</t>
  </si>
  <si>
    <t>Ms. Kerri Smith serves as an Advisor at OwlSpark. She serves as Executive Director at Rice Alliance Clean Energy Accelerator. Previously, she serves as Vice President of Operations at Surge Accelerator. She worked at the Houston Advanced Research Center (HARC) where she managed their Intellectual Property and Industrial Affiliates programs. She received a B.S. degree from Northern Illinois University and conducted graduate studies at Texas A&amp;M University.</t>
  </si>
  <si>
    <t>kerri@owlspark.com</t>
  </si>
  <si>
    <t>McNair Hall, Suite 103</t>
  </si>
  <si>
    <t>Rice University, 6100 Main Street</t>
  </si>
  <si>
    <t>Rice Alliance Clean Energy Accelerator</t>
  </si>
  <si>
    <t>134034-58P</t>
  </si>
  <si>
    <t>Azim Jamal MD</t>
  </si>
  <si>
    <t>Azim</t>
  </si>
  <si>
    <t>Pacific Reach Capital</t>
  </si>
  <si>
    <t>Dr. Azim Jamal is a Co-Founder and serves as Chief Executive Officer at Pacific Reach Properties. He also served as President and Chief Executive Officer at Retirement concepts. Azim has extensive experience in managing and overseeing investments in a variety of industries, including real estate, hospitality, healthcare, and technology. Azim is also responsible for driving the creative direction and strategy for Pacific Reach's Hospitality and Entertainment Division. Specifically guiding the vision and design required to develop unique and vibrant venues that stand apart.</t>
  </si>
  <si>
    <t>+1 (604) 662-4969</t>
  </si>
  <si>
    <t>ajamal@pacificreach.com</t>
  </si>
  <si>
    <t>Number 1818 - 701, West Georgia Street</t>
  </si>
  <si>
    <t>PO Box 10126</t>
  </si>
  <si>
    <t>V7Y 1C6</t>
  </si>
  <si>
    <t>199446-67P</t>
  </si>
  <si>
    <t>Corey Colville</t>
  </si>
  <si>
    <t>Colville</t>
  </si>
  <si>
    <t>Mr. Corey Colville serves as Chief Operating Officer at Pacific Reach Capital. He served as Vice President of investments at Sandpiper Group. He is focused on optimizing the Pacific Reach portfolio as well as the growth of business through strategic transactions, repositioning, and partnerships. He was responsible for the full cycle of idea generation through to transaction execution and carrying out asset management. He directly manages the acquisition, asset management, and development teams at Pacific Reach. With 15 years of experience in real estate investments, he has been directly involved in over $4 billion in transactions across North America in the private and public markets. He brings over 10 years of experience in corporate development, due diligence, analysis, and real estate appraisal to Sandpiper Group. Prior to joining Sandpiper, He led corporate development at Amica Mature Lifestyles Inc. where he was responsible for new developments, acquisitions, divestures and internal growth opportunities. He holds a degree in Business Administration from the Beedie School of Business at Simon Fraser University and has completed the Appraisal Institute of Canada and University of British Columbia Sauder School of Business PGCV program.</t>
  </si>
  <si>
    <t>ccolville@pacificreach.com</t>
  </si>
  <si>
    <t>207601-30P</t>
  </si>
  <si>
    <t>Dan Dibadj</t>
  </si>
  <si>
    <t>Dibadj</t>
  </si>
  <si>
    <t>Mr. Dan Dibadj serves as Senior Director, Investments at Pacific Reach Capital. Dan leads all investment activities at Pacific Reach including sourcing, negotiating, and execution of acquisition opportunities. His areas of expertise include multifamily and commercial real estate, development, hospitality, and senior housing. Dan brings nine years of experience in real estate investment and has been directly involved in over $3 Billion in transactions across North America. Prior to Pacific Reach, Dan was a part of the development team of a prominent Canadian developer. He is a member of UDI, ULI, NAIOP, and the Gastown BIA. Dan graduated from the University of British Columbia, with a Bachelor of Commerce (Honours), specializing in Accounting and Real Estate.</t>
  </si>
  <si>
    <t>ddibadj@pacificreach.com</t>
  </si>
  <si>
    <t>Senior Director, Investments</t>
  </si>
  <si>
    <t>134036-11P</t>
  </si>
  <si>
    <t>Joe Moosa</t>
  </si>
  <si>
    <t>Moosa</t>
  </si>
  <si>
    <t>Mr. Joe Moosa is a Co-Founder and serves as President at Pacific Reach Properties. Joe is responsible for directing all development, construction, and asset management activities for Pacific Reach, which he co-founded in 2014. Joe has a proven track record in leading construction projects using diligent financial, development, and construction management systems and processes. Prior to Pacific Reach, as the President and Chief Executive Officer of Retirement Concepts Developments, Joe led the development, construction, and maintenance of Retirement Concepts seniors housing portfolio and managing the infrastructure required for clinical operations. He is a professional engineer trained in Engineering, Systems Design, and Management from the University of Waterloo. His track record as an entrepreneurial business leader includes having founded, developed, and sold several companies to publicly traded organizations, including GE Capital.</t>
  </si>
  <si>
    <t>jmoosa@pacificreach.com</t>
  </si>
  <si>
    <t>199448-74P</t>
  </si>
  <si>
    <t>Landon Bahrey</t>
  </si>
  <si>
    <t>Landon</t>
  </si>
  <si>
    <t>Bahrey</t>
  </si>
  <si>
    <t>Mr. Landon Bahrey serves as Portfolio Manager at Pacific Reach Capital. Mr. Bahrey served as an Analyst at Sandpiper Group. He was responsible for supporting the deal team in evaluating new investment opportunities as well as assisting with asset management and relationship development. He was most recently an investment banking analyst at Capital West Partners, where he was responsible for delivering top-quality analysis and advice to clients as they engaged in significant and complex corporate strategy milestones. Prior to this, he completed internships with the investment banking division at the National Bank of Canada and the consulting group at The T1 Agency. He holds a Bachelor of Commerce (First Class Honours) from Queen's University, where he received numerous academic awards while also participating in several entrepreneurial, student-based investment funds.</t>
  </si>
  <si>
    <t>+1 (778) 998-9394</t>
  </si>
  <si>
    <t>lbahrey@pacificreach.com</t>
  </si>
  <si>
    <t>186505-21P</t>
  </si>
  <si>
    <t>Zahra Salisbury</t>
  </si>
  <si>
    <t>Zahra</t>
  </si>
  <si>
    <t>Salisbury</t>
  </si>
  <si>
    <t>Mr. Zahra Salisbury serves as Managing Director, Design and Special Project at Pacific Reach Capital. Zahra is responsible for overseeing design, food &amp; beverage concepts, and special projects for Pacific Reach's hospitality portfolio. Zahra brings two decades of diverse business experience, having worked at McKinsey &amp; Company in New York, the World Health Organization in Geneva, and corporate finance firms in Vancouver. Zahra has been a member of the Young Presidents Organization since 2010, is co-founder of the Sparkle Gala in Support of the BC Women's Hospital, a former co-chair of the Canuck Place Gift of Time Gala, and one of the founding members of the Forum for Women Entrepreneurs. Zahra has a Bachelor of Science degree from UBC and a Master's of Science degree from Harvard University.</t>
  </si>
  <si>
    <t>zsalisbury@pacificreach.com</t>
  </si>
  <si>
    <t>Managing Director, Design and Special Project</t>
  </si>
  <si>
    <t>200111-23P</t>
  </si>
  <si>
    <t>Ajith Pai</t>
  </si>
  <si>
    <t>Ajith</t>
  </si>
  <si>
    <t>Paipal Ventures</t>
  </si>
  <si>
    <t>Founding Partner &amp; Principal</t>
  </si>
  <si>
    <t>Mr. Ajith Pai is the Founding Partner &amp; serves as Principal at Paipal Ventures. He is also the Co-Founder and Partner at Farmiculture Organics LLP, a leading supplier of fresh produce &amp; tech enabled farming company Jt. &amp; Managing Director at VWF Industries (P) Ltd - a manufacturer with expertise in design &amp; development of LED signs &amp; displays, diamond dies &amp; tools.</t>
  </si>
  <si>
    <t>ajith@paipal.vc</t>
  </si>
  <si>
    <t>Mysore</t>
  </si>
  <si>
    <t>Mysore, India</t>
  </si>
  <si>
    <t>Number 90, K.R.S Road</t>
  </si>
  <si>
    <t>Metagalli</t>
  </si>
  <si>
    <t>570016</t>
  </si>
  <si>
    <t>413653-24P</t>
  </si>
  <si>
    <t>Brahmavar Pai</t>
  </si>
  <si>
    <t>Brahmavar</t>
  </si>
  <si>
    <t>Mr. Brahmavar Pai serves as a Designated Partner at Paipal Ventures. He also serves as Designated Partner at Farmiculture Organics LLP, Managing Director at VWF Industries Private Limited &amp; Director at Vijay Litetronics Components Private Limited, Vijay Litetronics Components Private Limited, Entech Signs &amp; Displays India Private Limited, Transcredit And Capital Limited, Vijay Halocoils Private Limited, Litetronics Vijay (India) Private Limited &amp; Vijay Precision Dies Private Limited.</t>
  </si>
  <si>
    <t>Designated Partner</t>
  </si>
  <si>
    <t>413652-61P</t>
  </si>
  <si>
    <t>Rajesh Pai</t>
  </si>
  <si>
    <t>Mr. Rajesh Pai serves as Partner at Paipal Ventures. He also serves as Designated Partner at Tugi Restaurant LLP &amp; Director at VWF Industries Private Limited, Manipal Industries Limited &amp; T V P Consultants Limited.</t>
  </si>
  <si>
    <t>188439-94P</t>
  </si>
  <si>
    <t>Cory Hall</t>
  </si>
  <si>
    <t>Park Partners Capital</t>
  </si>
  <si>
    <t>Mr. Cory Hall serves as Vice President, Investments at Park Partners Capital. Mr. Hall served as an Associate at Global Energy Capital. His responsibilities include evaluating and executing new investments, as well as monitoring and supporting the growth of GEC portfolio companies. Prior to joining GEC, he worked at Wells Fargo in the Mergers &amp; Acquisitions group, where he specialized in the energy and power industries. He graduated magna cum laude from Texas A&amp;M University, where he earned a BBA and an MS in Finance. He is an avid fan of the Houston Astros and has run his first marathon.</t>
  </si>
  <si>
    <t>+1 (713) 547-4691</t>
  </si>
  <si>
    <t>cory@parkpartnersgroup.com</t>
  </si>
  <si>
    <t>2803 Buffalo Speedway</t>
  </si>
  <si>
    <t>175466-71P</t>
  </si>
  <si>
    <t>Drew Carden</t>
  </si>
  <si>
    <t>Carden</t>
  </si>
  <si>
    <t>Mr. Drew Carden is a Co-Founder &amp; serves as President at Park Partners Capital. He served as Vice President of Corporate Development at Tally Energy Services. He started his career in New York City, NY with Blackstone's credit division making debt and equity investments. He then came to Houston, TX to join a single-family office, Sallyport Holdings, where he started businesses and made private investments in others. Before co-founding Park Partners, he ran mergers and acquisitions for a private equity-backed company in Houston.</t>
  </si>
  <si>
    <t>+1 (713) 599-9900</t>
  </si>
  <si>
    <t>drew@parkpartnersgroup.com</t>
  </si>
  <si>
    <t>158095-63P</t>
  </si>
  <si>
    <t>Bob Best</t>
  </si>
  <si>
    <t>Pason Systems</t>
  </si>
  <si>
    <t>Mr. Bob Best serves as Director, Cloud Solutions at Pason Systems. Mr. Best served as Product Line Manager, Data Acquisition and Delivery at Pason Systems.</t>
  </si>
  <si>
    <t>+1 (403) 301-3400</t>
  </si>
  <si>
    <t>bob.best@pason.com</t>
  </si>
  <si>
    <t>6130 Third Street South East</t>
  </si>
  <si>
    <t>T2H 1K4</t>
  </si>
  <si>
    <t>+1 (403) 301-3499</t>
  </si>
  <si>
    <t>Director, Cloud Solutions</t>
  </si>
  <si>
    <t>274517-20P</t>
  </si>
  <si>
    <t>Bryce McLean</t>
  </si>
  <si>
    <t>Mr. Bryce McLean serves as Lead Director &amp; Chair of the Audit Committee at Pason Systems. He is President of Bragg Creek Financial Consultants Ltd., a private financial consulting company, and serves on the Board of Directors of Wrangler West Energy Corp., Bengal Energy Ltd., Ensign Energy Services Inc., and Holloway Lodging Corporation. With a Bachelor of Arts from the Ivey School of Business at the University of Western Ontario, Mr. Howe has served as the Chief Financial Officer of several public companies and is a member of the Institute of Chartered Accountants of Alberta.</t>
  </si>
  <si>
    <t>bryce.mclean@pason.com</t>
  </si>
  <si>
    <t>246078-64P</t>
  </si>
  <si>
    <t>Celine Boston</t>
  </si>
  <si>
    <t>Ms. Celine Boston serves as Chief Financial Officer at Pason Systems.</t>
  </si>
  <si>
    <t>celine.boston@pason.com</t>
  </si>
  <si>
    <t>274523-77P</t>
  </si>
  <si>
    <t>Heather Hantos</t>
  </si>
  <si>
    <t>Hantos</t>
  </si>
  <si>
    <t>Ms. Heather Hantos serves as Vice President, Human Resources at Pason Systems. Heather joined Pason in 2011, and during her tenure has held numerous roles within the Human Resources department. Prior to joining Pason, she held various Human Resources and Project Management positions with a focus on recruitment for oil and gas service companies.</t>
  </si>
  <si>
    <t>heather.hantos@pason.com</t>
  </si>
  <si>
    <t>66939-58P</t>
  </si>
  <si>
    <t>Jon Faber</t>
  </si>
  <si>
    <t>Mr. Jon Faber serves as President, Chief Executive Officer and Director at Pason Systems. He originally joined Pason as Chief Financial Officer in March 2014. Before coming to Pason, he worked in investment banking with National Bank Financial and Wellington West Capital Markets. He received a Bachelor of Business Administration from Brock University and a Master of Business Administration from Purdue University and holds the Chartered Financial Analyst, Chartered Business Valuator, and Chartered Professional Accountant designation. He has also completed the Advanced Management Program at the Wharton School of the University of Pennsylvania.</t>
  </si>
  <si>
    <t>jon.faber@pason.com</t>
  </si>
  <si>
    <t>President, Chief Executive Officer &amp; Director</t>
  </si>
  <si>
    <t>144536-59P</t>
  </si>
  <si>
    <t>Kevin Boston</t>
  </si>
  <si>
    <t>Mr. Kevin Boston serves as Vice President, Business Development at Pason Systems.</t>
  </si>
  <si>
    <t>kevin.boston@pason.com</t>
  </si>
  <si>
    <t>158085-37P</t>
  </si>
  <si>
    <t>Lars Olesen</t>
  </si>
  <si>
    <t>Olesen</t>
  </si>
  <si>
    <t>Mr. Lars Olesen serves as a Vice President, Product Management at Pason Systems. He leads the strategic planning, development, and commercialization of Pason's innovative suite of rigsite and office products. Lars joined Pason in 1999 as the company's first marketing and sales representative. During his 18-year tenure Lars has held numerous progressive sales, business development, and product management roles, with the most recent being Director, Rigsite Solutions, Product Line Management. Prior to Pason, Lars spent a number of years with a directional drilling company in a well planning and sales capacity. Lars holds a Bachelor of Commerce degree from the University of Calgary.</t>
  </si>
  <si>
    <t>lars.olesen@pason.com</t>
  </si>
  <si>
    <t>218017-09P</t>
  </si>
  <si>
    <t>Natalie Fenez</t>
  </si>
  <si>
    <t>Fenez</t>
  </si>
  <si>
    <t>Ms. Natalie Fenez serves as Vice President, Legal &amp; Corporate Secretary at Pason Systems. She has nearly 20 years' experience practicing law both in-house and in private practice. She has significant experience in drafting and negotiating complex contracts, mergers and acquisitions, business functions and operations, corporate governance, employment law, dispute resolution, and securities and regulatory compliance. Before joining Pason, Natalie served as Legal Counsel for the Corporate Services departments at the City of Calgary and Alberta Health Services. Prior to that, she worked in private practice as a member of the Tax group of Miller Thomson LLP. Since joining Pason in 2017, Natalie has held the roles of Legal Counsel and Director, Human Resources. Natalie holds a Law degree from the University of Moncton, New Brunswick, and a Bachelor of Commerce (Hons) in Accounting from the University of Manitoba.</t>
  </si>
  <si>
    <t>nfenez@pason.com</t>
  </si>
  <si>
    <t>Secretary, Administration &amp; Vice President</t>
  </si>
  <si>
    <t>274521-16P</t>
  </si>
  <si>
    <t>Russell Smith</t>
  </si>
  <si>
    <t>Mr. Russell Smith serves as Vice President, International at Pason Systems. Russell joined Pason in July 2010 and most recently held the position of Vice President, Business Development and Marketing. He has over 25 years of oilfield-related experience in business development, sales, and general management. Before joining Pason, Russell held various roles with global responsibility at Halliburton and Knowledge Systems.</t>
  </si>
  <si>
    <t>russell.smith@pason.com</t>
  </si>
  <si>
    <t>274522-51P</t>
  </si>
  <si>
    <t>Ryan Van Beurden</t>
  </si>
  <si>
    <t>Van Beurden</t>
  </si>
  <si>
    <t>Mr. Ryan Van Beurden serves as Vice President, Rigsite Research &amp; Development at Pason Systems. Before joining Pason, he gained experience working in gas compression manufacturing; engineering, procurement, and construction; and developing SCADA systems at an E&amp;P operator.</t>
  </si>
  <si>
    <t>ryan.vanbeurden@pason.com</t>
  </si>
  <si>
    <t>270352-36P</t>
  </si>
  <si>
    <t>C. Smith</t>
  </si>
  <si>
    <t>Patterson Uti Energy</t>
  </si>
  <si>
    <t>Mr. C. Andrew Smith serves as Executive Vice President and Chief Financial Officer of Patterson-UTI. From April 2014 until September 2017, Mr. Smith served as Executive Vice President and Chief Financial Officer of Kirby Corporation, a marine transportation and diesel engine services company. From January 2014 to April 2014, Mr. Smith served as Executive Vice President - Finance of Kirby Corporation. Prior to joining Kirby Corporation, Mr. Smith served as Senior Vice President and Chief Financial Officer of Benthic Geotech and was previously Chief Financial Officer for both Global Industries, LTD and NATCO Group. Mr. Smith holds a degree in business administration from the University of Houston.</t>
  </si>
  <si>
    <t>+1 (281) 765-7100</t>
  </si>
  <si>
    <t>10713 West Sam Houston Parkway North</t>
  </si>
  <si>
    <t>77064</t>
  </si>
  <si>
    <t>+1 (281) 765-7175</t>
  </si>
  <si>
    <t>Executive Vice President, Chief Financial Officer, Finance &amp; Chief Accounting Officer, Accounting</t>
  </si>
  <si>
    <t>292454-38P</t>
  </si>
  <si>
    <t>James Holcomb</t>
  </si>
  <si>
    <t>Holcomb</t>
  </si>
  <si>
    <t>Mr. James Holcomb serves as Executive Vice President and Chief Business Officer at Patterson Uti Energy. Mr. Holcomb has served as President of Patterson-UTI Drilling Company LLC since January 2012. Mr. Holcomb came to Patterson-UTI in February 1998 with the acquisition of Robertson Onshore Drilling Company and since that time has served in numerous operational management roles, including as Senior Vice President of Operations of Patterson-UTI Drilling Company LLC from April 2006 to January 2012. Mr. Holcomb has over 30 years of experience in contract drilling operations. Mr. Holcomb holds a Bachelor of Science Degree in Business Management from LeTourneau University.</t>
  </si>
  <si>
    <t>mike.holcomb@patenergy.com</t>
  </si>
  <si>
    <t>Executive Vice President and Chief Business Officer</t>
  </si>
  <si>
    <t>392497-12P</t>
  </si>
  <si>
    <t>Kathryn Roark JD</t>
  </si>
  <si>
    <t>Roark</t>
  </si>
  <si>
    <t>Ms. Kathryn Roark serves as Senior Vice President, Sustainability, Diversity &amp; Culture at Patterson Uti Energy. She served as Vice President of Diversity and ESG for Patterson-UTI from 2017 to February 2024. She joined Patterson-UTI in April 2015 as the Vice President of Diversity and Compliance and her role expanded to include ESG-related responsibilities in April 2021. Prior to joining Patterson-UTI, she was Sr. Labor and Employment Counsel at Baker Hughes.She began her legal career at the Bracewell law firm in Houston, Texas. She graduated with a B.A. in History and Spanish from the University of North Carolina at Chapel Hill and obtained her J.D. from the University of Houston.</t>
  </si>
  <si>
    <t>kathryn.roark@patenergy.com</t>
  </si>
  <si>
    <t>Senior Vice President, Sustainability, Diversity &amp; Culture</t>
  </si>
  <si>
    <t>83767-69P</t>
  </si>
  <si>
    <t>Kenneth Berns</t>
  </si>
  <si>
    <t>Mr. Kenneth Berns serves as Executive Vice President and Chief Commercial Officer at Patterson-UTI since April 2003 and as a director of Patterson-UTI since May 2001. Mr. Berns served as a director of UTI from 1995 to May 2001. Mr. Berns has been an executive with REMY Investors since 1994. Mr. Berns holds a Bachelors Degree in Business Administration from San Diego State University and a Masters Degree in Taxation from Golden Gate University.</t>
  </si>
  <si>
    <t>k.berns@patenergy.com</t>
  </si>
  <si>
    <t>392498-29P</t>
  </si>
  <si>
    <t>Marty Unrein</t>
  </si>
  <si>
    <t>Marty</t>
  </si>
  <si>
    <t>Unrein</t>
  </si>
  <si>
    <t>Mr. Marty Unrein serves as Senior Vice President, Sales and Marketing at Patterson Uti Energy. He began his career with Patterson-UTI Drilling in 2005 working on a rig in the DJ Basin of Colorado, In 2008, He moved into sales where he served in various roles in the Ark-La-Tex region before being promoted to Vice President of Sales &amp; Marketing for South Texas based in Houston. In 2017, he moved to Universal Pressure Pumping where he served in various roles, including Senior Vice President of Sales &amp; Marketing. He graduated from the University of Northern Colorado with a B.A. in Economics.</t>
  </si>
  <si>
    <t>marty.unrein@patenergy.com</t>
  </si>
  <si>
    <t>Senior Vice President, Sales and Marketing</t>
  </si>
  <si>
    <t>292453-57P</t>
  </si>
  <si>
    <t>Seth Wexler</t>
  </si>
  <si>
    <t>Mr. Seth Wexler serves as Senior Vice President, General Counsel &amp; Secretary at Patterson Uti Energy. Mr. Wexler has served as Senior Vice President, General Counsel and Secretary of Patterson-UTI since February 2017. Mr. Wexler served as General Counsel and Secretary of Patterson-UTI from August 2009 to February 2017. From March 1998 to August 2009, he specialized in securities law and mergers and acquisitions for the law firm of Norton Rose Fulbright US LLP, including as a partner of such law firm since January 2007. Mr. Wexler holds a Bachelor of Business Administration in Finance from the University of Texas at Austin, a Juris Doctorate from the University of Houston Law Center and a Masters of Business Administration from the University of Houston.</t>
  </si>
  <si>
    <t>seth.wexler@patenergy.com</t>
  </si>
  <si>
    <t>79587-55P</t>
  </si>
  <si>
    <t>William Hendricks Jr.</t>
  </si>
  <si>
    <t>Hendricks</t>
  </si>
  <si>
    <t>Mr. William Hendricks serves as Board Member, President and Chief Executive Officer at Patterson Uti Energy. He serves as a Board Member at Starling Medical. From April 2012 through September 2012, he served as Chief Operating Officer of Patterson-UTI. From May 2010 through March 2012, Mr. Hendricks served as President of Schlumberger Drilling &amp; Measurements, a division of Schlumberger Limited, a global provider of oilfield services. Prior to that date, Mr. Hendricks worked for Schlumberger in various worldwide locations and capacities since 1988, including serving in numerous executive positions since 2003. He holds a BS (Bachelor of Science) in Petroleum Engineering from Texas A&amp;M University.</t>
  </si>
  <si>
    <t>andy.hendricks@patenergy.com</t>
  </si>
  <si>
    <t>111270-34P</t>
  </si>
  <si>
    <t>Bruce Clarke</t>
  </si>
  <si>
    <t>PBJ Capital</t>
  </si>
  <si>
    <t>Mr. Bruce Clarke serves as Managing Member at PBJ Capital. He served as a Board Member at Embr Labs. He served as a Board Member at Nauticol. He serves as a Board Member at Hopara. He serves as Managing Member at PBJ Capital. He serves as Chairman at Arrowstreet Capital. He currently serves as a Board Member for eight early-stage technology firms. He also serves as a Board Member at Mightier. He is responsible for managing the firm's business affairs as well as developing and implementing Arrowstreet's strategic business plan. He holds a seat on the firm's Investment Committee. From 1994 to 1999, he was the President and CEO of PanAgora Asset Management. He led the management of the business with $17 billion of assets for 100 clients. In addition, Mr. Clarke served as Chairman of the Investment Committee. He directed the global investment group at PanAgora and its predecessor, The Boston Company, from 1988 to 1994. In that role, he oversaw the investment process for all Global Asset Allocation, International Equity, and Emerging Market Strategies. From 1984 to 1988, He worked in London and Milan in portfolio management and corporate finance. He started his career in 1980 as a financial analyst at a Canadian brokerage firm. He received his MBA from London Business School in 1984 and a B.Com. from the University of British Columbia in 1980. He is a CFA charterholder. Also, he serves as a board member at Sotero.</t>
  </si>
  <si>
    <t>+1 617 417 6199</t>
  </si>
  <si>
    <t>bclarke@pbjcapital.com</t>
  </si>
  <si>
    <t>Lincoln, MA</t>
  </si>
  <si>
    <t>23 Bedford Road</t>
  </si>
  <si>
    <t>01773</t>
  </si>
  <si>
    <t>87766-66P</t>
  </si>
  <si>
    <t>David Budworth</t>
  </si>
  <si>
    <t>Budworth</t>
  </si>
  <si>
    <t>PEAK6 Investments</t>
  </si>
  <si>
    <t>Mr. David Budworth serves as Partner at PEAK6 Investments. Mr. David Budworth served as Chief Technology Officer at Spark Networks. He serves as Partner at PEAK6 Investments. He is the Partner in charge of technical architecture across the firm. David joined PEAK6 in 2005 and brings a wealth of experience in the design and development of fast, reliable, and business-focused systems from multiple industries including Finance, Automotive, and Defense. Prior to joining PEAK6, David served as the primary architect and core development manager for online mortgage lender E-LOAN, and played a key role in building out the company's technology department.</t>
  </si>
  <si>
    <t>+1 (312) 444-8000</t>
  </si>
  <si>
    <t>dbudworth@peak6.com</t>
  </si>
  <si>
    <t>141 West Jackson Boulevard</t>
  </si>
  <si>
    <t>29982-34P</t>
  </si>
  <si>
    <t>Jay Coppoletta JD</t>
  </si>
  <si>
    <t>Coppoletta</t>
  </si>
  <si>
    <t>Mr. Jay Coppoletta serves as Chief Corporate Development &amp; Legal Officer at PEAK6 Investments. He serves as Board Member at Thrasio. He served as a Board Member at Harvest Savings &amp; Wealth Technologies. He manages the legal function across all PEAK6 businesses and works with the firm's Co-Founders and President on strategic growth projects and firm investments. He joined PEAK6 in February of 2010 after spending over six years at Sidley Austin LLP, where he was a member of Sidley's Chicago Corporate Group. He received a Bachelor of Arts in Political Science Summa Cum Laude from Loyola University Chicago and a Juris Doctor Magna Cum Laude from the University of Michigan where he was also a member of the Michigan Law Review and Order of the Coif.</t>
  </si>
  <si>
    <t>jcoppoletta@peak6.com</t>
  </si>
  <si>
    <t>Chief Corporate Development &amp; Legal Officer</t>
  </si>
  <si>
    <t>87762-79P</t>
  </si>
  <si>
    <t>Jennifer Just</t>
  </si>
  <si>
    <t>Just</t>
  </si>
  <si>
    <t>Ms. Jennifer Just is a Co-Founder &amp; serves as a Managing Partner at PEAK6 Investments. She serves as the Founder of PEAK6 Strategic Capital. She serves as one of two managing members of PEAK6 LLC, the general partner of PEAK6 Investments, L.P. From 1990-1992, she worked in the trading department of O'Connor &amp; Associates, and on the floor of the CBOE. From 1992-1997, she worked for Swiss Bank Corporation, the successor to O'Connor &amp; Associates, as a market risk analyst in global risk control and senior equity derivatives marketer. She received a Bachelor of Business Administration from the University of Michigan and holds the Chartered Financial Analyst designation.</t>
  </si>
  <si>
    <t>jennifer.just@peak6.com</t>
  </si>
  <si>
    <t>225126-19P</t>
  </si>
  <si>
    <t>Judi Hart</t>
  </si>
  <si>
    <t>Judi</t>
  </si>
  <si>
    <t>Ms. Judi Hart serves as Executive Vice President at PEAK6 Investments. Ms. Hart served as Chief Operating Officer at PEAK6 Investments. Before joining PEAK6, she spent 16 years as a human resources professional leading people and culture for global brands, most notably Apple and Beats Electronics. She began as Vice President of People and Culture at Beats Music and Beats Electronics, which expanded from 25 to 750 employees before being acquired by Apple. She earned her bachelor's degree in music from the University of Southern California and has been marching to the beat of her drum ever since.</t>
  </si>
  <si>
    <t>judi.hart@peak6.com</t>
  </si>
  <si>
    <t>87761-53P</t>
  </si>
  <si>
    <t>Matt Hulsizer</t>
  </si>
  <si>
    <t>Hulsizer</t>
  </si>
  <si>
    <t>Mr. Matt Hulsizer is a Co-Founder and serves as Managing Partner at PEAK6 Investments. He is a Co-Founder and served as Managing Partner at Peak6 Sports. He serves as one of two managing members of PEAK6 LLC, which is the general partner of PEAK6 Investments, L.P. From 1994 until he co-founded PEAK6 in 1997, he was a director and risk manager for Swiss Bank, a global financial services corporation that merged with Union Bank of Switzerland to become UBS AG. From 1991-1993, he worked as a senior trader with O'Connor &amp; Associates, a proprietary derivatives trading firm that was acquired by Swiss Bank and subsequently integrated into Swiss Bank Capital Markets. He graduated from Amherst College and has served as a board member of New Jersey's Peddie School and Chicago's Steppenwolf Theatre Company.</t>
  </si>
  <si>
    <t>matt.hulsizer@peak6.com</t>
  </si>
  <si>
    <t>319034-17P</t>
  </si>
  <si>
    <t>Pia Sur</t>
  </si>
  <si>
    <t>Sur</t>
  </si>
  <si>
    <t>Ms. Pia Sur serves as Senior Associate, Strategic Capital at PEAK6 Investments.</t>
  </si>
  <si>
    <t>psur@peak6.com</t>
  </si>
  <si>
    <t>888 7th Avenue</t>
  </si>
  <si>
    <t>10106</t>
  </si>
  <si>
    <t>Senior Associate, Strategic Capital</t>
  </si>
  <si>
    <t>280650-07P</t>
  </si>
  <si>
    <t>Sam Winkler</t>
  </si>
  <si>
    <t>Mr. Sam Winkler serves as Co-Chief Investment Officer, Strategic Capital at PEAK6 Investments. He also serves as Principal at PEAK6 Strategic Capital.</t>
  </si>
  <si>
    <t>+1 (415) 527-6227</t>
  </si>
  <si>
    <t>swinkler@peak6.com</t>
  </si>
  <si>
    <t>Co-Chief Investment Officer, Strategic Capital</t>
  </si>
  <si>
    <t>87768-37P</t>
  </si>
  <si>
    <t>Sue Hendrick</t>
  </si>
  <si>
    <t>Hendrick</t>
  </si>
  <si>
    <t>Ms. Sue Hendrick serves as a Partner at PEAK6 Investments. She is the Partner in charge of all Finance &amp; Accounting functions for the firm. She joined PEAK6 in October of 1998 and has held a variety of roles at PEAK6 during her tenure, primarily in the shared business management group. Prior to joining PEAK6, She was a Vice President at the Northern Trust Company in the Northern Trust Global Investments group. She received a Bachelor's degree in Business Administration from the University of Michigan.</t>
  </si>
  <si>
    <t>shendrick@peak6.com</t>
  </si>
  <si>
    <t>203657-23P</t>
  </si>
  <si>
    <t>Taylor Luiso</t>
  </si>
  <si>
    <t>Luiso</t>
  </si>
  <si>
    <t>Mr. Taylor Luiso serves as Executive Vice President, Strategy at PEAK6 Investments.</t>
  </si>
  <si>
    <t>tluiso@peak6.com</t>
  </si>
  <si>
    <t>Executive Vice President, Strategy</t>
  </si>
  <si>
    <t>255629-17P</t>
  </si>
  <si>
    <t>Tom Simpson</t>
  </si>
  <si>
    <t>Mr. Tom Simpson serves as Chief Executive Officer, PEAK6 Capital Management at PEAK6 Investments. He leads the development of the company's short- and long-term strategy for growth and expansion. He is a team-oriented leader who manages more than 70 traders focused on diversified business strategies. His background includes trading positions at Consolidated Trading LLC, Fulcrum Investment Group, Stafford Trading, and Linnco Futures. In 1995, he graduated from the University of Illinois at Urbana-Champaign with a bachelor's degree in finance.</t>
  </si>
  <si>
    <t>ts@peak6.com</t>
  </si>
  <si>
    <t>Chief Executive Officer, PEAK6 Capital Management</t>
  </si>
  <si>
    <t>92168-38P</t>
  </si>
  <si>
    <t>William Capuzzi</t>
  </si>
  <si>
    <t>Capuzzi</t>
  </si>
  <si>
    <t>Mr. William Capuzzi serves as Chief Executive Officer at Apex Fintech Solutions. he serves as Board Member at Bruce Markets. Mr. Capuzzi serves as a Partner at Peak6 Investments. He served as Chief Executive Officer at Apex Clearing. He served as Chief of Staff at Cowen Execution Services. He is an Angel Investor. He served as a Board Member at TraderTools. In his role as CEO of Apex Clearing, he sets the vision and strategy to help Apex identify and realize new areas of growth and opportunity. Under his guidance, Apex continues to be a proven leader in clearing and execution, helping power the digital revolution in financial services. Before his role as CEO of Apex Clearing Corporation, he previously worked at Convergex Group where he was Chief of Staff and a member of the firm's Executive Committee. As Chief of Staff, he managed critical internal and external initiatives for the company and was responsible for the firm's options, prime services, global clearing, and commission-sharing arrangement (CSA) businesses. He also served as Director at Pershing LLC, responsible for their institutional product suite, and directed their global re-engineering efforts firm-wide. He started his career on Wall Street at Donaldson, Lufkin &amp; Jenrette (DLJ) as part of their MBA program in 1999, and just before that was a principal for a large consulting firm. He earned a Bachelor of Arts degree from Wesleyan University in Connecticut and a Master of Business Administration in Strategic Management from Rutgers University. He holds Series 7, 24, and 63 registrations.</t>
  </si>
  <si>
    <t>+1 (214) 953-3599</t>
  </si>
  <si>
    <t>wcapuzzi@apexfintechsolutions.com</t>
  </si>
  <si>
    <t>350 North Saint Paul Street</t>
  </si>
  <si>
    <t>Suite 1300</t>
  </si>
  <si>
    <t>Apex Fintech Solutions</t>
  </si>
  <si>
    <t>302403-34P</t>
  </si>
  <si>
    <t>D'Rita Robinson</t>
  </si>
  <si>
    <t>D'Rita</t>
  </si>
  <si>
    <t>Pendulum Holdings</t>
  </si>
  <si>
    <t>Ms. D'Rita Robinson is a Co-Founder and serves as Chief Operating Officer at Pendulum Holdings.</t>
  </si>
  <si>
    <t>drita@pendulumholdings.com</t>
  </si>
  <si>
    <t>Beverly Hills</t>
  </si>
  <si>
    <t>Beverly Hills, CA</t>
  </si>
  <si>
    <t>345 North Maple Drive</t>
  </si>
  <si>
    <t>90210</t>
  </si>
  <si>
    <t>302403-88P</t>
  </si>
  <si>
    <t>Kristin Scott</t>
  </si>
  <si>
    <t>Ms. Kristin Scott serves as Co-Managing Director &amp; Chief Compliance Officer at Pendulum Holdings.</t>
  </si>
  <si>
    <t>kristin@pendulumholdings.com</t>
  </si>
  <si>
    <t>Managing Director &amp; Chief Compliance Officer</t>
  </si>
  <si>
    <t>57157-93P</t>
  </si>
  <si>
    <t>Rish Sinha</t>
  </si>
  <si>
    <t>Rish</t>
  </si>
  <si>
    <t>Mr. Rish Sinha serves as Managing Director at Pendulum Holdings. He serves as Board Member at PetPlate. Mr. Rish Sinha served as Vice President at BDT Capital Partners. He served as an Associate at Tinicum. Previously, he served as an Analyst at Merrill Lynch.</t>
  </si>
  <si>
    <t>rish@pendulumholdings.com</t>
  </si>
  <si>
    <t>293787-46P</t>
  </si>
  <si>
    <t>Robbie Robinson</t>
  </si>
  <si>
    <t>Robbie</t>
  </si>
  <si>
    <t>Mr. Robbie Robinson is a Co-Founder and serves as Chief Executive Officer at Pendulum Holdings. He serves as Board Member at Saltbox. He serves as an Executive at MarcyPen Capital Partners. He served as Advisor at Ariel Alternatives. He is a former Partner at BDT Capital Partners. He is a Board member of Oscar Health Inc.</t>
  </si>
  <si>
    <t>robbie@pendulumholdings.com</t>
  </si>
  <si>
    <t>40814-65P</t>
  </si>
  <si>
    <t>Adeel Qalbani</t>
  </si>
  <si>
    <t>Qalbani</t>
  </si>
  <si>
    <t>Perry Creek Capital</t>
  </si>
  <si>
    <t>Mr. Adeel Qalbani serves as Managing Partner at Perry Creek Capital. He served Senior Managing Director at Reservoir Capital Group. He holds Master's in Economics from University of Oxford and Bachelor's in Economics from Princeton University.</t>
  </si>
  <si>
    <t>+1 (212) 356-6051</t>
  </si>
  <si>
    <t>adeel@perrycreekcap.com</t>
  </si>
  <si>
    <t>150 East 58th Street</t>
  </si>
  <si>
    <t>10155</t>
  </si>
  <si>
    <t>75775-33P</t>
  </si>
  <si>
    <t>Brian Zingale</t>
  </si>
  <si>
    <t>Zingale</t>
  </si>
  <si>
    <t>Mr. Brian Zingale serves as Partner at Perry Creek Capital. He was the Managing Director at Reservoir Capital Group. Mr. Brian Zingale served as Board Member at C12 Energy.</t>
  </si>
  <si>
    <t>bzingale@perrycreekcap.com</t>
  </si>
  <si>
    <t>80112-70P</t>
  </si>
  <si>
    <t>Scott Kupersmith</t>
  </si>
  <si>
    <t>Kupersmith</t>
  </si>
  <si>
    <t>Mr. Scott Kupersmith serves as Chief Financial Officer at Perry Creek Capital.</t>
  </si>
  <si>
    <t>skupersmith@perrycreekcap.com</t>
  </si>
  <si>
    <t>163994-95P</t>
  </si>
  <si>
    <t>Alec Nielsen Ph.D</t>
  </si>
  <si>
    <t>Alec</t>
  </si>
  <si>
    <t>Pillar VC</t>
  </si>
  <si>
    <t>Dr. Alec Nielsen is a Co-Founder &amp; serves as President, Board Member &amp; Chief Executive Officer at Asimov. Dr. Nielsen also serves as a Venture Partner at Pillar VC. He holds a Ph.D. in Biological Engineering from the Massachusetts Institute of Technology (MIT) and BS in Bioengineering from University of Washington, Seattle.</t>
  </si>
  <si>
    <t>+1 (617) 849-9299</t>
  </si>
  <si>
    <t>alec@asimov.com</t>
  </si>
  <si>
    <t>Co-Founder, President, Board Member &amp; Chief Executive Officer</t>
  </si>
  <si>
    <t>Asimov</t>
  </si>
  <si>
    <t>370398-52P</t>
  </si>
  <si>
    <t>Alex Reinhart</t>
  </si>
  <si>
    <t>Reinhart</t>
  </si>
  <si>
    <t>Ms. Alex Reinhart serves as Associate at Pillar VC. She was a software engineer at Apple and founded an AI legal tech company. Alex graduated from MIT with a degree in Mechanical Engineering with Computer Science and sits on the Board of Directors of the MIT Club of New York.</t>
  </si>
  <si>
    <t>alex@pillar.vc</t>
  </si>
  <si>
    <t>500 Boylston Street</t>
  </si>
  <si>
    <t>38345-32P</t>
  </si>
  <si>
    <t>David Husak</t>
  </si>
  <si>
    <t>Husak</t>
  </si>
  <si>
    <t>Mr. David Husak co-founded and also served as Chief Technology Officer, Executive Vice President of Product &amp; Technology and Board Member at Plexxi. He was the Founder and also serves as the Chief technology Officer at Reva Systems.</t>
  </si>
  <si>
    <t>13716-37P</t>
  </si>
  <si>
    <t>Jamie Goldstein</t>
  </si>
  <si>
    <t>Founding Partner &amp; Managing Partner</t>
  </si>
  <si>
    <t>Mr. Jamie Goldstein is a Co-Founder and Founding Partner &amp; serves as Managing Partner at Pillar VC. He serves as Board Member at Tycho AI. He served as a Board Member at Neural Magic. He served as a Board Member at ZILLA Security. He served as Board Member at Lyra Therapeutics. He also serves as a Board Member at Fluent Metal &amp; Adaptilens. He serves as the Founding Partner and Managing Partner at Petri. He is a Co-Founder of Kula Bio. He served as Board Member at Kuebix. He served as a Partner at North Bridge Venture Partners. He serves as a Venture Capital Advisory Board Member at VCET Capital. He serves as a Board Member at Arsenal Medical. Before joining North Bridge in 1998, he co-founded PureSpeech, a venture-backed speech recognition software and applications company targeting service providers and enterprise call centers. He served as Vice President of Sales and Marketing, driving revenue through OEM relationships with leading PC manufacturers and voice services platform providers. PureSpeech was acquired by Voice Control Systems (NASDAQ: VCSI) and subsequently sold to Scansoft (NASDAQ: SSFT). Before PureSpeech, he was an early employee with Symmetrix, a provider of manufacturing execution software that helped old-line manufacturing companies streamline their operations. Symmetrix grew to nearly 200 employees before its acquisition by SAIC. He is a graduate of MIT in 1989 and the Harvard Graduate School of Business Administration in 1994. He serves as a Board Member at QD Vision, Plexxi, and Actifio. He served as a Board Member at LBRY and Exaware. He served as a Board Member at Rekener, DipJar &amp; Reclaim. He serves as a Board Member at Algorand.</t>
  </si>
  <si>
    <t>jamie@pillar.vc</t>
  </si>
  <si>
    <t>Co-Founder, Founding Partner &amp; Managing Partner</t>
  </si>
  <si>
    <t>451490-95P</t>
  </si>
  <si>
    <t>John Casey Jr.</t>
  </si>
  <si>
    <t>Dr. John Casey serves as Venture Partner at Pillar VC. Prior to Ormoni, He worked at Flagship Pioneering as part of a venture creation team. He played a pivotal role in building the scientific strategy of Epiva, leading to its merger with Evelo Biosciences. He was part of the founding team of Inari Agriculture, where he led their IP strategy and played a central role in R&amp;D strategy. He was also a member of the founding team of Kintai Therapeutics. Before joining Flagship, He earned his doctorate in biological engineering at MIT. He received his B.S. in biological engineering from Louisiana State University.</t>
  </si>
  <si>
    <t>249195-25P</t>
  </si>
  <si>
    <t>Leah Morris</t>
  </si>
  <si>
    <t>Ms. Leah Morris serves as Executive Director at Pillar VC. Ms. Morris served as Senior Director, Velocity Team at Radical Ventures. She also provides research for our Investment Team and Insights Program. Prior to Radical, she was a Research Assistant to Professor Avi Goldfarb at the Rotman School of Management, where she focused on the economic principles of artificial intelligence and Canadian policy development. Previously, she worked as a policy analyst for the United Nations in the International Organization for Migration. She has also worked in global health and security for non-profits in Jamaica and South Africa. In 2018, she received a fellowship grant from the Open Society Foundation to lead an evaluation of LGBTQIA+ educational programming. She holds an MBA from The University of Toronto, a Master of Global Affairs from the Munk School of Global Affairs and Public Policy, and a Bachelor's in International Development and Environmental Studies from Dalhousie University.</t>
  </si>
  <si>
    <t>leah@pillar.vc</t>
  </si>
  <si>
    <t>398100-61P</t>
  </si>
  <si>
    <t>Liz Kettler</t>
  </si>
  <si>
    <t>Kettler</t>
  </si>
  <si>
    <t>Ms. Liz Kettler serves as a Chief Financial Officer at Pillar VC. She holds a BBA from Emory University's Goizueta Business School. She is a CPA and CFA charterholder</t>
  </si>
  <si>
    <t>liz@pillar.vc</t>
  </si>
  <si>
    <t>193687-03P</t>
  </si>
  <si>
    <t>Parker McKee</t>
  </si>
  <si>
    <t>McKee</t>
  </si>
  <si>
    <t>Mr. Parker McKee serves as Partner at Pillar VC. He serves as Board Member at Acelab. He served as Board Member at Zilla Security. He serves as Board Member at BoolSi. He serves as Board Member at Hello Tickets. He served as Observer, Board of Directors at Neural Magic. He serves as Observer, Board of Directors at Topologic (Commercial Services). He serves as Observer, Board of Directors. He got his start in venture capital as an intern at Boston-based .406 Ventures, then spent two summers working with Pillar before joining the team full time in 2018. He graduated from the University of Michigan, where he earned an interdisciplinary degree with work in Business and Computer Science. He was a four-year member of the varsity lacrosse team, where he was elected Captain and awarded the Big Ten conference's Sportsmanship Award.</t>
  </si>
  <si>
    <t>parker@pillar.vc</t>
  </si>
  <si>
    <t>45276-49P</t>
  </si>
  <si>
    <t>Richard Napolitano</t>
  </si>
  <si>
    <t>Mr. Richard Napolitano served as Chief Executive Officer &amp; Board Member at Advisor360. He is the Founding Pillar of Pillar VC. He focuses on building a best-in-class WealthTech SaaS platform and leading clients through their digital transformation. He has spent over 30 years working in engineering, large-scale IT software systems, and sales, enterprise-level team management, and global product development. Trained as a software engineer, he started his career at Digital Equipment Corporation, where his technical and entrepreneurial know-how led him to found or lead several tech companies, including Napcon Associates; Data Kinesis (acquired by Adaptec); BluePoint Technologies (acquired by Adobe); Plexxi (acquired by HP Enterprise); and Pirus Networks (acquired by Sun Microsystems). He served as President of U.S. Sales for Sun Microsystems and as President of EMC's $4 billion software storage division. He has a BS (Bachelor of Science) in computer science from Stony Brook University.</t>
  </si>
  <si>
    <t>Founding Pillar</t>
  </si>
  <si>
    <t>41555-35P</t>
  </si>
  <si>
    <t>Russ Wilcox</t>
  </si>
  <si>
    <t>Mr. Russ Wilcox serves as a Venture Partner at Pillar VC. He served as an Advisor at Imprint Energy. He serves as a Venture Partner at Petri.. He serves as Chief Executive Officer, President, and Board Member at Trellis Air. He serves as Board Observer at Matterworks. He serves as a Board Member and Advisor at Harvest Automation. He has 20 years of start-up operating experience, having founded three companies and raised $150 million in private capital. He serves as a Board Member at Acelab. He served as the CEO of E Ink, an electronic paper company, for a decade. He is also a Co-Founder of Kula Bio and serves as its Chairman. The company reached a $200 million run rate and was acquired for half a billion dollars in 2009. He has led Pillar's investments, Higharc, Cake, Quadratic 3D, Scripta, Kiwi, and Soofa, among others. At E Ink Corporation, he commercialized the electronic paper invented at the MIT Media Lab. E Ink conducted materials research, filed patents, scaled a factory, and shipped tens of millions of displays for the Amazon Kindle and other devices. To date, consumers have purchased more than $10 billion of E Ink-related devices and content. Following E Ink, he co-founded Transatomic Power, advancing a source of clean energy, and Piper Therapeutics, conducting preclinical studies for an immuno-oncology drug. He actively supports the Boston entrepreneurial community. Since 2012, he has volunteered as an Entrepreneur-in-Residence for the Harvard Business School Rock Center and counseled hundreds of students on achieving their start-up goals. He sits on the Harvard Physical Sciences Accelerator Review Board, a venture-backed developer of agricultural robots. He has been an angel investor in several start-ups, including Disruptor Beam, PowerInbox, Calimmune, Gen9, DriveFactor, and Camino Financial. He began his startup career as a product manager at PureSpeech, a speech recognition company co-founded by Jamie Goldstein. He served as a Board Member at Zapata AI.</t>
  </si>
  <si>
    <t>russ@pillar.vc</t>
  </si>
  <si>
    <t>44163-19P</t>
  </si>
  <si>
    <t>Sarah Hodges</t>
  </si>
  <si>
    <t>Ms. Sarah Hodges serves as Chief Marketing Officer at Procore. She serves as a Managing Partner at Pillar VC. She serves as a Board Member at Launchpad. She served as a Board Member at Knox Financial. She serves as a Board Member at JobGet. Ms. Hodges serves as a Board Member at Waeve. She served as a Board Member of the New England Venture Capital Association. Ms. Hodges is an Angel Investor.</t>
  </si>
  <si>
    <t>sarah@pillar.vc</t>
  </si>
  <si>
    <t>206618-86P</t>
  </si>
  <si>
    <t>Thomas de Vlaam</t>
  </si>
  <si>
    <t>de Vlaam</t>
  </si>
  <si>
    <t>Mr. Thomas de Vlaam serves as Partner at Pillar VC. He serves as Board Member at Amplifyer Bio. Prior to Pillar VC He serves as Board Member at ARVADA Therapeutics. He co-founded and served as Chief Executive Officer at Amylon. He was at Flagship Pioneering, where he was responsible for developing the science, business strategy, and intellectual property behind new platform companies. Before joining Flagship, he founded and served as a Chief Executive Officer of Amylon Therapeutics, a biotechnology startup that focused on using RNA therapeutics to treat rare neurodegenerative disease. He created Amylon as a spin-out from ProQR Therapeutics, where he was previously their head of CNS innovation. He holds a B.Sc. degree in International Medicine and Global Health.</t>
  </si>
  <si>
    <t>thomas@pillar.vc</t>
  </si>
  <si>
    <t>273728-89P</t>
  </si>
  <si>
    <t>Tony Kulesa Ph.D</t>
  </si>
  <si>
    <t>Kulesa</t>
  </si>
  <si>
    <t>Dr. Tony Kulesa serves as Partner at Pillar VC. He is a Co-Founder &amp; serves as Partner at Petri. He serves as a Board Member at Matterworks. Previously, he was the founding Director of the MIT BioMakerspace, a community biology laboratory and incubator space, and an Instructor at the MIT Department of Biological Engineering. He holds a PhD from MIT, where his inventions of new platforms for drug discovery and microbial therapeutics were highlighted in Science Editor's Choice and Nature Reviews Drug Discovery. While at MIT, he was a founding officer of MIT Biotech Group and co-founded and directed 3 courses on biotech and entrepreneurship, including BiomedStartup, a course that coaches 10+ teams per year on research commercialization projects.</t>
  </si>
  <si>
    <t>tony@pillar.vc</t>
  </si>
  <si>
    <t>68423-68P</t>
  </si>
  <si>
    <t>Christos Megalou</t>
  </si>
  <si>
    <t>Christos</t>
  </si>
  <si>
    <t>Megalou</t>
  </si>
  <si>
    <t>Piraeus Financial Holdings</t>
  </si>
  <si>
    <t>Mr. Christos Megalou serves as Chief Executive Officer at Piraeus Bank. He serves as Independent Senior Professional Advisors at Brookstreet Equity Partners. He is the Founder &amp; serves as Chief Executive Officer at Piraeus Bank. He is currently the Founder and Managing Director of Tite Capital. He serves as an Advisor at Brookstreet Equity. He also serves as a Chairman of the Group Executive Committee and Board Member at Piraeus Financial Holdings. He is a senior international banker who has worked with Barclays in Athens and London, Credit Suisse in London, managed Eurobank Ergasias, and was senior advisor to Fairfax Financial. He was Chief Executive Officer of Eurobank Ergasias, Chairman of the Executive Board of Eurobank Ergasias, and Vice Chairman of the Board of Eurolife the Insurance arm of Eurobank Ergasias. From 2010 to 2013, He served as Chairman of the Hellenic Bankers Association in the United Kingdom. From 1997 to 2013, he was Vice-Chairman of Southern Europe, Co-head of Investment Banking for Southern Europe, and Managing Director in the Investment Banking Division of Credit Suisse in London. He received a Bachelor of Science in Economics from the University of Athens and holds a Master of Business Administration in Finance from Aston University in Birmingham, United Kingdom.</t>
  </si>
  <si>
    <t>+30 210 333 5818</t>
  </si>
  <si>
    <t>megalou@piraeusbankgroup.com</t>
  </si>
  <si>
    <t>4 Amerikis Street</t>
  </si>
  <si>
    <t>105 64</t>
  </si>
  <si>
    <t>243135-19P</t>
  </si>
  <si>
    <t>Ioannis Stamoulis</t>
  </si>
  <si>
    <t>Ioannis</t>
  </si>
  <si>
    <t>Stamoulis</t>
  </si>
  <si>
    <t>Mr. Ioannis Stamoulis serves as an Executive at Piraeus Financial Holdings. He has other Executive committee memberships as Chair of the Provisioning Committee, Chair of the Risk Model Oversight Committee (RMOC), Chair of the International Banking A Committee, Member of the ESG &amp; Corporate Responsibility Committee, Member of the Asset-Liability Management Committee (ALCO), Member of the Senior Credit Committee, Member of the Recovery Credit Committee, Member of the Group Planning &amp; Monitoring Committee, Member of the Resolution Committee and Member of the Emergency Humanitarian Relief Committee. His previous professional experiences include Piraeus Bank S.A., Deputy Chief Risk Officer (2017-2020), Senior Director, Group Credit Risk Division (2011-2017), Senior Manager, Retail Credit Risk Division (2007-2011), National Bank of Greece, Senior Officer of Collections Division (2006 to 2007), Statistical Decisions Ltd. Head of Greece Office (2003 to 2006) and Quantos Ltd. Consulting Services (2002 to 2003). His educational qualifications include Transition to General Management Program", INSEAD, France, 2017, M.Sc. Statistics, Athens University of Economics &amp; Business and Catholic University of Leuven, 1997-1999, and BSc Mathematics, Aristotle University of Thessaloniki, Greece, 1996.</t>
  </si>
  <si>
    <t>+30 210 328 8071</t>
  </si>
  <si>
    <t>stamoulisi@piraeusbank.gr</t>
  </si>
  <si>
    <t>63721-36P</t>
  </si>
  <si>
    <t>Karel De Boeck</t>
  </si>
  <si>
    <t>De Boeck</t>
  </si>
  <si>
    <t>Director &amp; Vice Chairman</t>
  </si>
  <si>
    <t>Mr. Karel De Boeck serves as Vice Chairman of the Board of Directors, Chairman of the Risk Committee, Member of the Audit and Nomination Committees, and Senior Independent Director at Piraeus Financial Holdings. He formerly served as Chief Executive Officer at Dexia Crédit Local. He previously served at Lamifil NV. He earned a Master's in Economics in 1974 and a degree in Civil Engineering in 1972 from Katholieke Universiteit Leuven (KU Leuven, University of Leuven).</t>
  </si>
  <si>
    <t>Vice Chairman of the Board of Directors, Chairman of the Risk Committee, Member of the Audit and Nomination Committees, and Senior Independent Director</t>
  </si>
  <si>
    <t>122736-25P</t>
  </si>
  <si>
    <t>Adam Lasics</t>
  </si>
  <si>
    <t>Lasics</t>
  </si>
  <si>
    <t>Piva Capital</t>
  </si>
  <si>
    <t>Mr. Adam Lasics serves as Partner, Operations &amp; Strategy at Piva Capital. He also served as Senior Director &amp; Board Member at GE Ventures. He is based in Houston, TX, and joined the team in 2014. He leads partnerships and joint venture investments with start-ups focused on oil and gas. Leveraging his background in finance, strategy, and technology, he works with portfolio companies to evaluate and execute opportunities for scaling and business transformation. Before joining GE Ventures, he spent eight years leading oil and gas investment strategy for GE Capital's $16 billion energy private equity and debt business unit. He was responsible for determining investment opportunities across the entire oil and gas value chain, performing investment diligence, and supporting portfolio management. His diverse background includes strategy consulting at McKinsey &amp; Company as well as investment banking at Simmons &amp; Company. He holds an MBA, with honors, from Northwestern University's Kellogg School of Management and earned his undergraduate in Electrical Engineering and Economics from Rice University.</t>
  </si>
  <si>
    <t>+1 (650) 420-7800</t>
  </si>
  <si>
    <t>adam@piva.vc</t>
  </si>
  <si>
    <t>4 Embarcadero Center</t>
  </si>
  <si>
    <t>Suite 3950</t>
  </si>
  <si>
    <t>+1 (650) 209-8266</t>
  </si>
  <si>
    <t>Partner, Operations &amp; Strategy</t>
  </si>
  <si>
    <t>217179-19P</t>
  </si>
  <si>
    <t>Adzmel Adznan</t>
  </si>
  <si>
    <t>Adzmel</t>
  </si>
  <si>
    <t>Adznan</t>
  </si>
  <si>
    <t>Mr. Adzmel Adznan is a Co-Founder and serves as a Partner at Piva Capital. He serves as a Board Member at INERATEC, Onerail, and Joywell. He joins Piva Capital from PETRONAS, one of the Global Fortune 500 energy firms where he spent more than 10 years honing his technical and commercial knowledge across the entire energy value chain. Most recently, he was instrumental in developing PETRONAS' Corporate Venture Capital unit, a new approach to augment its ongoing efforts in future-proofing by investing in cutting-edge technology across the new energy value chain. He served as a Board Observer at Solidia. He served as a Board Member at Anuvia Plant Nutrients. He holds a Master of Business Administration (MBA) from Harvard Business School and a Master of Engineering (M.Eng.) in Mechanical Engineering from the University of Strathclyde, Scotland.</t>
  </si>
  <si>
    <t>+1 (415) 635-7643</t>
  </si>
  <si>
    <t>adzmel@piva.vc</t>
  </si>
  <si>
    <t>410650-03P</t>
  </si>
  <si>
    <t>Claire Yun</t>
  </si>
  <si>
    <t>Ms. Claire Yun serves as Investor at Piva Capital. Prior to joining Piva, she helped launch business development and strategy at Noon Energy, a long-duration energy storage startup. Previously, she was the Director of Business and Corporate Development at Vox Media, where she worked with the executive team to lead M&amp;A and growth strategy efforts. She began her career in M&amp;A investment banking at J.P. Morgan. She holds an MBA from the Stanford Graduate School of Business and an MS from the Stanford Doerr School of Sustainability, as well as a BBA and BA from the University of Texas.</t>
  </si>
  <si>
    <t>claire@piva.vc</t>
  </si>
  <si>
    <t>310407-49P</t>
  </si>
  <si>
    <t>Divina Agellon</t>
  </si>
  <si>
    <t>Divina</t>
  </si>
  <si>
    <t>Agellon</t>
  </si>
  <si>
    <t>Ms. Divina Agellon serves as Office Manager at Piva Capital. She holds a Bachelor of science degree in Public Health concentration from San Diego State University.</t>
  </si>
  <si>
    <t>divina@piva.vc</t>
  </si>
  <si>
    <t>307697-41P</t>
  </si>
  <si>
    <t>Elizabeth Lowery</t>
  </si>
  <si>
    <t>Ms. Elizabeth Lowery serves as ESG Advisor &amp; Board Member at Keter Environmental Services. She also serves as Board Member at Board Member. She also serves as a Senior Advisor in Piva Capital.</t>
  </si>
  <si>
    <t>+1 (866) 679-5079</t>
  </si>
  <si>
    <t>400 Atlantic Street</t>
  </si>
  <si>
    <t>06901</t>
  </si>
  <si>
    <t>ESG Advisor &amp; Board Member</t>
  </si>
  <si>
    <t>Keter Environmental Services</t>
  </si>
  <si>
    <t>48136-69P</t>
  </si>
  <si>
    <t>Issam Dairanieh Ph.D</t>
  </si>
  <si>
    <t>Issam</t>
  </si>
  <si>
    <t>Dairanieh</t>
  </si>
  <si>
    <t>Dr. Issam Dairanieh serves as Venture Partner at Piva Capital. Earlier, he served as Managing Director at BP Ventures. He served as a board member at XACT DownholeTelemetry, BrightSource Energy, Oxane Materials and Skyonic.</t>
  </si>
  <si>
    <t>issam@piva.vc</t>
  </si>
  <si>
    <t>410653-18P</t>
  </si>
  <si>
    <t>Jillian Noël</t>
  </si>
  <si>
    <t>Ms. Jillian Noël serves as Investor at Piva Capital. She led strategic projects across fundraising, market development, and business operations with the goal of providing zero carbon energy to the masses. Prior to General Fusion, she helped grow McKinsey &amp; Company's Sustainability Practice, serving clients on sustainability strategy, decarbonization pathways, and new energy markets. She holds an MBA from Harvard Business School and a Bachelor of Commerce in Finance and Sustainability from McGill University.</t>
  </si>
  <si>
    <t>jillian@piva.vc</t>
  </si>
  <si>
    <t>410450-14P</t>
  </si>
  <si>
    <t>Lee Larson</t>
  </si>
  <si>
    <t>Mr. Lee Larson is an Investor of Piva Capital.</t>
  </si>
  <si>
    <t>22142-89P</t>
  </si>
  <si>
    <t>Lisa Blanco</t>
  </si>
  <si>
    <t>Blanco</t>
  </si>
  <si>
    <t>Ms. Lisa Read Blanco serves as Partner &amp; Legal Counsel at Piva Ventures. She also is a Partner in King &amp; Spalding's Corporate Practice Group. Ms. Blanco has significant experience in private equity and mergers and acquisitions transactions, representing both private equity funds and large corporations. Ms. Blanco received her J.D., cum laude, from the University of Georgia School of Law in 1998 where she was a member of the Georgia Journal of International and Comparative Law. She graduated, cum laude, from the University of Georgia in 1995 with a B.B.A. in International Business. Ms. Blanco currently serves as a member of the Board of Directors of the Atlanta Alliance on Developmental Disabilities. Ms. Blanco has served as a Director on the Board of Directors of the National Alumni Association of the University of Georgia and as a member of the IT Advisory Board of Georgia Tech's Economic Development Institute. She is a member of the State Bar of Georgia and the American Bar Association.</t>
  </si>
  <si>
    <t>+1 (404) 572-4677</t>
  </si>
  <si>
    <t>lisa@piva.vc</t>
  </si>
  <si>
    <t>+1 (404) 572-5100</t>
  </si>
  <si>
    <t>Partner &amp; Legal Counsel</t>
  </si>
  <si>
    <t>217175-50P</t>
  </si>
  <si>
    <t>Maria Buitron</t>
  </si>
  <si>
    <t>Buitron</t>
  </si>
  <si>
    <t>Ms. Maria Buitron serves as Principal at Piva Capital. Prior to joining Piva Capital, she was a consultant at Accenture Strategy Energy (formerly known as Schlumberger Business Consulting). She holds a BS in Chemical Engineering from Tecnologico de Monterrey, where she graduated with top honors, as well as an MBA from the UC Berkeley Haas School of Business.</t>
  </si>
  <si>
    <t>maria@piva.vc</t>
  </si>
  <si>
    <t>39674-08P</t>
  </si>
  <si>
    <t>Mark Gudiksen Ph.D</t>
  </si>
  <si>
    <t>Gudiksen</t>
  </si>
  <si>
    <t>Dr. Mark Gudiksen serves as Managing Partner at Piva Capital. Previously, Dr. Gudiksen served as Managing Director at TPG Alternative &amp; Renewable Technologies. He joined TPG Biotechnology in 2008, focusing on healthcare and industrial biotechnology. Before joining TPG Biotechnology, Dr. Gudiksen was at McKinsey &amp; Company where he worked on a broad spectrum of strategic topics and M&amp;A opportunities. He serves as a Board Member at Xage Security. He also served as a Board Member at Anuvia Plant Nutrients and Alphabet Energy. Before this, he received his Ph.D. in chemical physics from Harvard and his B.S. in chemistry from Stanford. His doctoral work in nanotechnology was recognized with several highly cited publications in leading scientific journals, such as Science and Nature, and general audience publications as broad as Scientific American and the Wall Street Journal. Dr. Gudiksen currently serves as a Board Member at Auxogyn, Mercatus and Nodal. He also served as Chairman at Advantek Waste Management Services. He also serves as Chief Compliance Officer and partner at Circularis Partners. He served as Board Member at Nodality.</t>
  </si>
  <si>
    <t>mark@piva.vc</t>
  </si>
  <si>
    <t>52764-94P</t>
  </si>
  <si>
    <t>Michael Idelchik</t>
  </si>
  <si>
    <t>Idelchik</t>
  </si>
  <si>
    <t>Mr. Michael Idelchik serves as Vice President of Advanced Technologies at GE Global Research. He is a Co-Founder and serves as Chief technology officer at Ekamor ResourceHe serves as Board Member at Velo3D. He served as Vice President at GE Ventures. In this role, which he undertook in 2004, he oversees the company's longest range, highest impact research endeavors. With major programs in nanotechnology, energy conversion, molecular medicine, advanced propulsion, organic electronics and sustainable energy, the Advance Technology office represents the most significant investments in emerging technologies. Prior to assuming this role, he served as the managing director of GE's China Technology Center, since its inception in 2002. In this role, he founded and built GE's first integrated technology center in China. He first joined GE as an engineer at Aircraft Engines in 1978. He progressed through a number of engineering positions with increasing responsibilities and in 1991 he was a recipient of the Aircraft Engines 'Engineer of the Year' award. In 1994 he joined GE Medical Systems as a Global X-ray Tube Engineering Manager. In 1998 he was named General Manager Global Components Engineering at GEMS, where he led the successful introduction of a LightSpeed Detector for the world's first multi slice CT scanner and delivery of the first 41 cm digital X-ray Detectors for clinical evaluations. He was named GE Vice President and General Manager of Global Technology for GE Lighting in 1999. There he led the revitalization of the product portfolio with customer-focused innovation and Six Sigma quality. He also led GE lighting entry into Technical Lighting markets with Video Projection, Light Emitting Diodes, and Electronics /Ballast products. In January 2006, GE President and CEO Jeff Immelt presented he the Chairman's Award for Technology Leadership in recognition of a lifetime achievement in driving innovation and growth for the future. He received a B.S. degree in Mechanical Engineering from Columbia University and a Masters degree from the Massachusetts Institute of Technology. He holds 12 patents.</t>
  </si>
  <si>
    <t>+1 (518) 387-7914</t>
  </si>
  <si>
    <t>Niskayuna</t>
  </si>
  <si>
    <t>Niskayuna, NY</t>
  </si>
  <si>
    <t>1 Research Circle</t>
  </si>
  <si>
    <t>12309</t>
  </si>
  <si>
    <t>Vice President, Advanced Technologies</t>
  </si>
  <si>
    <t>GE Global Research</t>
  </si>
  <si>
    <t>13055-59P</t>
  </si>
  <si>
    <t>Ricardo Angel Ph.D</t>
  </si>
  <si>
    <t>Dr. Ricardo Angel serves as Managing Partner and Chief Executive Officer at Piva Capital. He serves as Board Observer at Malta and Worlds. He brings more than 25 years of experience in the industrial and energy sectors, having spent most of his career at Piva Capital and at GE Ventures where he was a founding Managing Director leading origination and investments. While at GE Ventures he developed and executed the group's strategy by leveraging breakthrough technologies, innovative business models, capital, and the GE platform which led to shifts incorporating business strategy, multiple technical and commercial collaborations, and various company acquisitions. Ricardo served on dozens of Board of Directors of portfolio companies and provided leadership and guidance to management teams to drive operational and financial value. Mr. Angel also led Energy Technology Ventures (ETV), a $300 million joint venture formed by GE, NRG Energy, Inc., and ConocoPhillips, focused on investing in emerging energy technology companies. Previously, Ricardo worked at Chevron's Venture Capital group, in investment banking at Goldman Sachs, and as a consultant at the CNA Corporation. He serves as a Board Member at Novastus.</t>
  </si>
  <si>
    <t>+1 (925) 385-8582</t>
  </si>
  <si>
    <t>ricardo@piva.vc</t>
  </si>
  <si>
    <t>Managing Partner &amp; Chief Executive Officer</t>
  </si>
  <si>
    <t>40365-37P</t>
  </si>
  <si>
    <t>Robert Siegel</t>
  </si>
  <si>
    <t>Siegel</t>
  </si>
  <si>
    <t>Mr. Robert Siegel serves as a Partner at XSeed Capital. He served as a Board Member at Cape Productions. He is a Board Member of Avochato. He served as an Advisor at Pixlee TurnTo. He served as a Board member at Sparta Science. He serves as a Mentor at K5 Ventures. His investment areas include enterprise software and business operations, where computational technology helps automate/improve company performance, and computing platforms that shape business and consumer behaviors. He sits on the Board of Directors of Zooz, Lex Machina, Productions, and DropThought. He led XSeed's investments in CirroSecure (acquired by Palo Alto Networks - NYSE: PANW), Chatous, Dispatcher, Breezeworks, The League, Teapot, Smart Coffee Technology, Neon, Caller Zen, and SIPX (acquired by ProQuest), and also supports other portfolio companies such as Citrine Informatics. He holds a BA from UC Berkeley and an MBA from Stanford University, is the co-inventor of four patents, and served as lead researcher for Andy Grove's book Only the Paranoid Survive. He served as an Advisor at CloudCath.</t>
  </si>
  <si>
    <t>+1 (650) 331-1230</t>
  </si>
  <si>
    <t>rsiegel@xseedcap.com</t>
  </si>
  <si>
    <t>3130 Alpine Road</t>
  </si>
  <si>
    <t>XSeed Capital</t>
  </si>
  <si>
    <t>272043-10P</t>
  </si>
  <si>
    <t>Roxanne Tully</t>
  </si>
  <si>
    <t>Roxanne</t>
  </si>
  <si>
    <t>Ms. Roxanne Tully serves as Principal at Piva Capital. She spent four years with BioLite, developing innovative consumer energy products for off-grid communities around the world. There she managed the manufacturing, sourcing, and quality of various consumer electronics, including renewable energy generation and storage systems. Prior to BioLite, Roxanne worked as an R&amp;D engineer for The Clorox Company, where she developed sustainable packaging solutions for a variety of brands. Roxanne is focused on identifying and supporting visionary entrepreneurs who are leading the world's major industries to a more sustainable and resilient future. Roxanne holds a B.S. in mechanical engineering from Tufts University and a M.B.A. from Harvard Business School.</t>
  </si>
  <si>
    <t>roxanne@piva.vc</t>
  </si>
  <si>
    <t>237149-11P</t>
  </si>
  <si>
    <t>Steve Foster</t>
  </si>
  <si>
    <t>Mr. Steve Foster serves as Venture Partner at Piva Capital. He served as Board Member at Superior Sensor Technology. He served as Venture Partner at 40 North Ventures. He also served as Board Member at ZincFive. He brings over 30 years of technology and energy experience including 20 years in private equity and venture capital. He was most recently a Managing Partner at ClearSky Power and Technology Fund, a $275m fund focused on energy technology. He previously spent time making venture investments with Altira Group and TPG, where he helped launch the venture and grow equity funds. He holds a Master's in Management from the Kellogg Graduate School of Management and a Bachelor's degree in Accounting from Santa Clara University. He is Chairman of the Advisory board of the Center for Innovation and Entrepreneurship at Santa Clara University. He also mentors social entrepreneurs through the Miller Center at SCU and teaches courses at SCU and Northwestern University.</t>
  </si>
  <si>
    <t>+1 (650) 921-2173</t>
  </si>
  <si>
    <t>342813-70P</t>
  </si>
  <si>
    <t>Mr. Tony Di Bona is a Co-Founder and serves as Partner at Redbrick Associates. He serves as Chief Financial Officer at Piva Capital &amp; Moment Ventures. He serves as Chief Financial Officer at Aditum Bio. He served as Chief Financial Officer at Teres Bio. He served as Chief Financial Officer at Wildcat Venture Partners. He also serves as a Chief Financial Officer at Calibrate Ventures. He served as Chief Financial Officer at Telescope Partners. He serves as General Partner &amp; Chief Financial Officer at Alloy Ventures. With more than 30 years of experience, He is an expert in venture capital finance and fund operations. He brings high-level strategic thinking to guide all aspects of fund formation, investment structures, fundraising, partner communications and financial due diligence. He holds a Bachelor of Economics (BEc) from University of Sydney, where he majored in accounting and law. He is a CPA (Australia) and serves on the Board of the Northern California Private Equity &amp; VC Chapter of the Financial Executive Alliance, a national affinity group administered by First Republic Bank.</t>
  </si>
  <si>
    <t>+1 (650) 687-5007</t>
  </si>
  <si>
    <t>tony@redbrickassociates.com</t>
  </si>
  <si>
    <t>240202-81P</t>
  </si>
  <si>
    <t>Benjamin Kim Ph.D</t>
  </si>
  <si>
    <t>Playground Global</t>
  </si>
  <si>
    <t>Dr. Benjamin Kim serves as Partner at Playground Global. He serves as Board Member at Synthetic Design Lab. He served as Principal at Playground Global. Prior to Playground, he was a PhD graduate student and an NSF Fellow at Stanford University, where he studied Bioengineering and Biomedical Engineering. At Playground, Ben has sourced and led investments in companies including Atomic AI, Infinimmune, Insamo, Outpace Bio, and Manifold Bio. Ben currently sits on the boards of eight biotech companies and has a penchant for helping craft pipelines and lead indication decisions.</t>
  </si>
  <si>
    <t>kim@playground.global</t>
  </si>
  <si>
    <t>44974-99P</t>
  </si>
  <si>
    <t>Bruce Leak</t>
  </si>
  <si>
    <t>Leak</t>
  </si>
  <si>
    <t>Mr. Bruce Leak is a Founding Partner &amp; serves as General Partner at Playground Global. He serves as Board Member at Mangata and Fabric. He serves as Board Member at GigaCrop. He serves as Director at Puralytics. He served as a Board Member at uAvionix &amp; FarmWise Labs. From an early age, his intellectual curiosity led to a fascination with computers and emerging technology and later informed his career path which took him from the frontier days of Apple and Microsoft, to entrepreneurship, to his time at Playground investing in complex ideas with the potential to change the world. With a Master's in Electrical Engineering from Stanford, he spent two summer internships at Microsoft. There, he tested an early prototype of Microsoft Word for the original IBM PC and later worked on the first versions of Microsoft's Macintosh applications. His first full-time role was with Apple's System Software team where he led the company's efforts on 32-bit Color Quickdraw which became the foundation of true color display on Mac screens and led to the birth of QuickTime. He spent five years at Apple expanding the QuickTime team, shipping several versions of the product, and speaking at developer conferences. He was later recruited by Steve Perlman to General Magic, and they set out to build a color version of the platform for gaming. In 1993, he joined forces with Peter Barrett and Steve Blank to form Rocket Science Games, where he hired many members of the Quicktime team, supported developers, and built the gaming platform. His next venture was WebTV, which he founded with two General Magic alumni, Steve Perlman, and Phil Goldman. WebTV was acquired by Microsoft and the company went on to ship the first DVR products for Echostar and DirectTV. After founding several startups selling technology and services to mobile phone operators and automotive OEMs and traveling the world, he co-founded Playground Global venture capital firm he wished existed when he was building his own company. From robotics to quantum computing to groundbreaking medical advancements, Playground's true north is leaving a lasting impact for generations to come.</t>
  </si>
  <si>
    <t>bruce@playground.vc</t>
  </si>
  <si>
    <t>418495-15P</t>
  </si>
  <si>
    <t>Daniel Yum</t>
  </si>
  <si>
    <t>Yum</t>
  </si>
  <si>
    <t>Mr. Daniel Yum serves as Principal &amp; Venture Investor at Playground Global. He supports the General Partners with sourcing, technical due diligence, and portfolio company support with a particular focus on software, automation, artificial intelligence, and machine learning. He is also a software engineer and supports portfolio companies through architecture reviews, engineering mentorship, interviews of key hires, and strategic analysis of the technology landscape. He came to Playground Global from Intel, where he played an integral role in building and shipping the first Intel Architecture-based Android Smartphone, for which he was recognized with an Intel Achievement Award. Prior to Intel, he was part of the team that built and proved the feasibility of crosswind kite power generation at Makani Power - before it was acquired by Google/X Labs - where he was responsible for all the software, from embedded motor &amp; flight controls to the ground station &amp; visualization. At the University of Waterloo, he led the school's Midnight Sun Solar Car team that set the Guinness World Record for the Longest Journey by a solar electric car. He has also founded two companies, including a music search engine in the early days of the Internet while he was in high school.</t>
  </si>
  <si>
    <t>daniel@playground.global</t>
  </si>
  <si>
    <t>Principal &amp; Venture Investor</t>
  </si>
  <si>
    <t>377326-63P</t>
  </si>
  <si>
    <t>George Ketigian</t>
  </si>
  <si>
    <t>Ketigian</t>
  </si>
  <si>
    <t>Mr. George Ketigian serves as Advisor at Playground Global.</t>
  </si>
  <si>
    <t>199484-11P</t>
  </si>
  <si>
    <t>Gregory Wilson</t>
  </si>
  <si>
    <t>Mr. Gregory Wilson serves as Chief Financial Officer at Playground Global. He joined Playground in 2018 and is responsible for firm and fund operations as chief financial officer. Greg leads the back office and efforts to build world-class systems and processes across the firm as Playground continues to invest in companies shaping the next wave of technologies. He has deep expertise in fund management and operational excellence, with prior experience at leading investment firms including Vector Capital, Pantera Capital, Serent Capital, and Social Capital. He graduated from the University of California San Diego with a degree in Economics.</t>
  </si>
  <si>
    <t>greg@playground.global</t>
  </si>
  <si>
    <t>119824-66P</t>
  </si>
  <si>
    <t>Hadley Wilkins</t>
  </si>
  <si>
    <t>Wilkins</t>
  </si>
  <si>
    <t>Ms. Hadley Wilkins serves as a Marketing Operating Partner at Playground Global. She served as Head of Marketing at Redpoint Ventures. She leads marketing, including communications, branding, events, and content. She works closely with Redpoint founders to support them through various stages of growth with strategic counsel and tactical support. She brings hands-on experience working with consumer tech and enterprise disruptors from prior leadership roles at some of the world's leading marketing and communications agencies. She has led integrated campaigns for established and emerging brands spanning from corporate, product, and developer programs to executive thought leadership, employee, and digital engagement programs. She is a recovering art history major, pop culture addict, and ex-Bostonian.</t>
  </si>
  <si>
    <t>+1 (415) 710-7836</t>
  </si>
  <si>
    <t>hadley@playground.vc</t>
  </si>
  <si>
    <t>Marketing Operating Partner</t>
  </si>
  <si>
    <t>40792-51P</t>
  </si>
  <si>
    <t>Jory Bell</t>
  </si>
  <si>
    <t>Jory</t>
  </si>
  <si>
    <t>Mr. Jory Bell serves as a General Partner at Playground Global. He serves as a Board Member at Amber and Infinimmune. He served as a Board Member at Relativity Space. He served as a Board Member at Mangata. He served as a Board Member at 1910 Genetics. He joined the firm as Vice President in 2015. He serves as a Board Member at De-Ice. After graduation, he worked as a researcher as part of the joint MIT/ Wood Hole Oceanographic Institute climate change program, where he designed, built, and deployed autonomous deep sea robotics. Drawn to the Bay Area by his passion for entrepreneurial technology, he spent six years at Apple as a laptop designer. In 2000, he left Apple to found OQO, a computer hardware and software manufacturer credited by the Guinness World Records as having created the world's smallest Windows PC. Upon joining Playground, he discovered his passion for working with brilliant technical founders, using science and technology to build massive companies to address large-scale societal needs. He sourced some of the firm's earliest investments, ts including Nervana Systems (acquired by Intel), and subsequently led the firm's investment efforts in deep tech areas, including advanced manufacturing, aerospace, genomics, and synthetic/computational biology. He holds a Bachelor in Architecture, Literature, and Earth and Planetary Science from the Massachusetts Institute of Technology (MIT).</t>
  </si>
  <si>
    <t>216681-94P</t>
  </si>
  <si>
    <t>Justin Ernest</t>
  </si>
  <si>
    <t>Mr. Justin Ernest serves as Principal at Playground Global. He served as a Venture Partner at NextGen Venture Partners.He joined Playground in 2019 and has supported companies across a number of areas including logistics, aerospace, decarbonization, and automation. He also leads the MBA summer intern program at Playground. A native of Atlanta, He started his career managing equity and debt portfolios at The Coca-Cola Company and subsequently held investment roles at a variety of venture capital and private equity firms, including NextGen Venture Partners, TechOperators, Sidewalk Infrastructure Partners, and Advent International. He graduated from the University of Georgia and received his MBA from Harvard Business School.</t>
  </si>
  <si>
    <t>justin@playground.global</t>
  </si>
  <si>
    <t>171107-56P</t>
  </si>
  <si>
    <t>Kendra Perlitz</t>
  </si>
  <si>
    <t>Kendra</t>
  </si>
  <si>
    <t>Perlitz</t>
  </si>
  <si>
    <t>Ms. Kendra Perlitz serves as Chief Operating Officer at Playground Global. Ms. Perlitz serves as Advisor at Supermoon Capital. She served as Managing Director, Investor Relations &amp; Operations at SVB Capital. Ms. Kendra Perlitz served as Vice President, Capital Formation at Top Tier Capital Partners. Kendra is Top Tier's Investor Relations Manager focusing on fund raising and new business activities including RFPs. Prior to Top Tier Kendra worked as a Senior Manager FP&amp;A at McKesson, the largest provider of distribution and technology solutions within healthcare. Prior to McKesson, she worked at a venture backed healthcare start-up in San Francisco. Before business school, she worked in client services at Hall Capital Partners, a SF-based investment advisor. Kendra holds a B.S. in Human &amp; Organizational Development with Leadership Effectiveness and minor in Economics and an M.Ed. in Organizational Leadership, both from Vanderbilt University, and an M.B.A. from the Kenan-Flagler Business School at UNC.</t>
  </si>
  <si>
    <t>+1 (415) 835-7500</t>
  </si>
  <si>
    <t>kendra@playground.global</t>
  </si>
  <si>
    <t>31370-23P</t>
  </si>
  <si>
    <t>Laurie Yoler</t>
  </si>
  <si>
    <t>Yoler</t>
  </si>
  <si>
    <t>General Partner &amp; Venture Partner</t>
  </si>
  <si>
    <t>Ms. Laurie Yoler is an Investor &amp; serves as Venture Partner &amp; General Partner at Playground Global. Ms. Yoler served as Board Member &amp; Strategic Advisor at Zoox. She served as an Advisor at Precise.ly and Board Member at Bose. Before that, she was President of Qualcomm Labs at Qualcomm. Before that, she was a founder and Managing Director at GrowthPoint Technology Partners, a pioneering technology investment bank, where she helped entrepreneurs and their boards complete strategic M&amp;A transactions and fundraise. The first years of her career were spent as a computer scientist in artificial intelligence, developing and launching innovations and products for Accenture, PwC, and Visa. At Visa, she helped create a new division focusing exclusively on debit cards, which eventually yielded the groundbreaking Visa Debit Card. Next, she was at Sun Microsystems, where she helped the company emerge as the go-to server platform for software in the Internet age. Start-ups became increasingly important customers and partners for Sun and Java, so she helped start and build Sun Microsystems Ventures, an early corporate venture capital group. She liked startups so much that she left Sun in 2001 to dive full-time into early-stage ventures, learning company building, fundraising, and being part of a founding team at six companies, including Tesla, where she was a founding investor and board member for almost a decade. She was also a founding executive at Packet Design, focused on building new networking and security companies. Packet Design created a network performance management software company which was later acquired by Ciena. Throughout her career, she has served as a director and advisor on more than 25 boards spanning public companies, startups, and nonprofits. Currently, she serves on the boards of Bose, Church &amp; Dwight, Lacuna, and the Computer History Museum, and the advisory boards for Accenture, TTI/Vanguard, and AI4All. Dedicated to a lifetime of learning, she continues her education at Stanford in subjects such as board governance, biotechnology, biochemistry, neuropsychology, neuroscience, and geology. She also guest lectures for the Engineering, Law, and Business Schools at Stanford. She served as Board Member at Leaf Logistics.</t>
  </si>
  <si>
    <t>laurie@playground.vc</t>
  </si>
  <si>
    <t>Investor, Venture Partner &amp; General Partner</t>
  </si>
  <si>
    <t>134040-97P</t>
  </si>
  <si>
    <t>Matthew Hershenson</t>
  </si>
  <si>
    <t>Hershenson</t>
  </si>
  <si>
    <t>Mr. Matthew Hershenson is a Co-Founder and serves as a Venture Partner at Playground Global. He serves as a Board Member at Outpace Bio. He served as a Board Member at Sparta Science and Skydio. He serves as a Board Member at Ayar Labs. As a teenager, he had an after-school job at Carnegie Mellon University's Robotics Institute, where his size made him ideal for running cables under the raised floors in labs and machine rooms and above the dropped ceilings in the offices. He also learned how to repair and maintain the Computer Science Department's Xerox Altos. His earliest professional experience was at Apple, where he worked first in manufacturing engineering in Apple's "Mac Factory" and later worked in the PowerBook group on the design of Apple's line of PowerBook laptops. In 2000, he co-founded Danger, which went on to produce the first consumer smartphone. After creating nine versions of the T-Mobile Sidekick and beginning the process of going public, Danger was purchased by Microsoft. He stayed at Microsoft for two years after the acquisition, serving as a Partner in Hardware Engineering. Leveraging his mobile hardware experience, he joined Google's Android team as Director of Hardware. At Google, he built the Android hardware team to span all aspects of hardware development - from chip design to regulatory compliance and everything in between. He and his team shipped over 10 generations of devices across phones, tablets, and streaming receivers. In late 2014, he joined up with the founding team to start Playground. The idea was to invest in transformative companies with multigenerational impact, while working side-by-side with portfolio companies to help them advance faster than if they were on their own.</t>
  </si>
  <si>
    <t>matt@playground.vc</t>
  </si>
  <si>
    <t>35305-48P</t>
  </si>
  <si>
    <t>Patrick Gelsinger</t>
  </si>
  <si>
    <t>Gelsinger</t>
  </si>
  <si>
    <t>Mr. Patrick Gelsinger serves as General Partner at Playground Global. Mr. Gelsinger served as Chief Executive Officer &amp; Board Member at Intel. Mr. Gelsinger is an Angel Investor. He serves as Board Member at Snowcap. He serves as Advisor &amp; Investor at Garden City. He serves as Executive Chairman at xLight. He served as Chief Executive Officer and Board Member at Intel. Most recently, He served as the CEO of VMware since 2012, where he significantly transformed the company into a recognized global leader in cloud infrastructure, enterprise mobility and cybersecurity, almost tripling the company's annual revenues. Prior to joining VMware, he was president and chief operating officer of EMC Information Infrastructure Products at EMC, overseeing engineering and operations for information storage, data computing, backup and recovery, RSA security and enterprise solutions. Before joining EMC, he spent 30 years at Intel, becoming the company's first chief technology officer and driving the creation of key industry technologies such as USB and Wi-Fi. He was the architect of the original 80486 processor, led 14 different microprocessor programs and played key roles in the Core and Xeon families. Gelsinger began his career in 1979 at Intel, becoming its first chief technology officer, and also serving as senior vice president and the general manager of the Digital Enterprise Group. He managed the creation of key industry technologies such as USB and Wi-Fi. He was the architect of the original 80486 processor, led 14 microprocessor programs and played key roles in the Intel® Core™ and Intel® Xeon® processor families, leading to Intel becoming the preeminent microprocessor supplier. Gelsinger earned several degrees in electrical engineering: an associate degree from Lincoln Technical Institute, a bachelor's degree from Santa Clara University and a master's degree from Stanford University. He holds eight patents in the areas of VLSI design, computer architecture and communications, is an IEEE Fellow, and serves as a member of the National Security Telecommunications Advisory Committee.</t>
  </si>
  <si>
    <t>61706-44P</t>
  </si>
  <si>
    <t>Peter Barrett</t>
  </si>
  <si>
    <t>Mr. Peter Barrett is a Co-Founder and serves as General Partner at Playground Global. He serves as Director at Element Zero. He serves as Board Member at Anjuna. He serves as Board Member at PsiQuantum. He served as Board Member at MosaicML, Artificial, Lacuna, NextSilicon. He served as Board Member at Universal Hydrogen.He also served as Board Member at Fathom Computing and Era Software. He believes the computing revolution-and arguably even the industrial revolution-hasn't happened yet. He is drawn to the toughest challenges at the boundaries of deep tech and hard science. He has been writing software since he was a teenager. At 19, his first security program caught the attention of the NSA. From his first company, Rocket Science Games, he's had an adventurous career in technology from creating the first widely used video codec in the early 90s, building the world's most popular IPTV platform at Microsoft, cloud intelligence for automotive at CloudCar, and now quantum and optical computing, robotics and artificial intelligence at Playground. He holds over 100 patents. At Playground, he delights in the opportunity to deeply collaborate with entrepreneurs and help create transformative companies with multigenerational impact. He thrives on technologies that lie somewhere between improbable and impossible and companies whose success will help move civilization forward.</t>
  </si>
  <si>
    <t>peter@playground.global</t>
  </si>
  <si>
    <t>41573-71P</t>
  </si>
  <si>
    <t>Phyllis Whiteley Ph.D</t>
  </si>
  <si>
    <t>Whiteley</t>
  </si>
  <si>
    <t>Dr. Phyllis Whiteley is a Co-Founder and serves as Board Member at Nalu Bio. She serves as Advisor at Playground Global. She served as Board Member at 1910 Genetics. She also serves as a Board Member at 1910 Genetics. She serves as Chairman of the Board at Bodyport. Ms. Whiteley also served as a Venture Partner at Mohr Davidow Ventures. She serves as a Venture Partner at Playground Global. She served as a Partner at Wildcat Venture Partners. She also served as a Board Member at Alydia Health. She provides hands-on leadership in building, investing, and creating companies in the digital health space. Phyllis's career is founded on her passion for personalized medicine, global healthcare, and transformative life science innovations. She has founded and built multiple companies in the United States and abroad. Her executive expertise includes strategic planning, financing, partnerships, restructuring, building executive teams and M&amp;A. Before joining Wildcat Venture Partners and Mohr Davidow Ventures, Phyllis was an Officer and Senior Vice President, Business Development, Licensing, and Alliance Management at Perlegen Sciences, Inc. Before joining Perlegen, she served as Vice President, Strategic Portfolio Management for Roche. Over her ten-year career with Roche, she held various positions in Business Development based in Basel, Switzerland, coupled with R&amp;D leadership positions in the US. Phyllis also held a Senior Research Immunology role with Merck. Phyllis currently serves on multiple boards, including Analyte Health (Chair), Balance Therapeutics, RainDance Technologies, the Personalized Medicine Coalition (emeritus), UCSF Leadership Council for Global Health, and Springboard Enterprises, where she mentors women executives. She also served as a board member at Alydia Health.</t>
  </si>
  <si>
    <t>+1 (415) 706-0623</t>
  </si>
  <si>
    <t>phyllis@nalubio.com</t>
  </si>
  <si>
    <t>38 Keyes Avenue</t>
  </si>
  <si>
    <t>Nalu Bio</t>
  </si>
  <si>
    <t>377327-98P</t>
  </si>
  <si>
    <t>Rahul Meka</t>
  </si>
  <si>
    <t>Meka</t>
  </si>
  <si>
    <t>Mr. Rahul Meka serves as Senior Associate at Playground Global. He joined Playground in 2023 and focuses on deep tech investing across decarbonization, automation, and AI. His professional journey began at Magna International, where he focused on electrification, autonomy in mobility, and other aspects of manufacturing and robotics. Following his tenure at Magna, he contributed his expertise to Akasha Imaging, which was later acquired by Intrinsic, an Alphabet company based out of Google X. At Intrinsic, he furthered his exploration of computational imaging and related technologies. He holds an MBA in Finance and Strategy from the University of Chicago, complemented by an MSc. in Mechanical Engineering from Columbia University and a B Engg. in Mechanical Engineering from Birla Institute of Technology and Science.</t>
  </si>
  <si>
    <t>rahul@playground.global</t>
  </si>
  <si>
    <t>94277-98P</t>
  </si>
  <si>
    <t>Richard Peretz</t>
  </si>
  <si>
    <t>Peretz</t>
  </si>
  <si>
    <t>Mr. Richard Peretz serves as a Venture Partner at Playground Global. Mr. Peretz also serves as Board Member at The Chefs' Warehouse, He serves as a Board Member also at Nauto. He served as Board Member at Electric Last Mile Solutions. Previously, He served as the Chief Financial Officer of the United Parcel Service, Inc. (UPS), an American multinational shipping and receiving supply chain management company, from July 2015 to February 2020. He also held various leadership positions at UPS, including as the Controller and Treasurer as well as head of Mergers &amp; Acquisitions from 2007 to 2015, Chief Financial Officer and Vice President of International Operations from 2002 to 2007 and in various other roles of increasing responsibility from 1981 to 2010. He also currently serves on the boards of directors of several companies, including: Boxbot, Inc., a startup venture that produces conveyors and package handling systems, since September 2023, Altus Power, Inc., a provider of alternative energy solutions, since December 2021, and Iris Acquisition Corp., (formerly Tribe Capital Growth Corp. I), a special purpose acquisition company, since March 2021 where he serves as Chair of the Audit Committee. He previously served on the board of directors of Semper Paratus Acquwasition Corporation, a special purpose acquwasition company, from October 2021 to June 2022, Electric Last Mile Solutions, Inc., a designer and manufacturer of electric vehicles, from June 2021 to June 2022, Tribe Capital Growth Corp. II, a special purpose acquisition company from March 2021 to May 2022, and First International Bancorp, a state-chartered bank of Connecticut, from 2008 to 2015. He served as an Investment Committee Member for the UPS Strategic Venture, a venture capital fund managed by the UPS Strategic Enterprise Fund of UPS, from 2013 to February 2020. He served as a Board Member on the Atlanta Chapter of the American Red Cross, a disaster and humanitarian relief organization, from 2008 to 2015. He earned a B.A. in Business Administration from the University of Texas at San Antonio and an M.B.A. from the Goizueta Business School at Emory University.</t>
  </si>
  <si>
    <t>richard@playground.global</t>
  </si>
  <si>
    <t>The Chefs' Warehouse (Former)</t>
  </si>
  <si>
    <t>418470-58P</t>
  </si>
  <si>
    <t>Sarah Beresford</t>
  </si>
  <si>
    <t>Beresford</t>
  </si>
  <si>
    <t>Ms. Sarah Beresford serves as Director of Investor Relations at Playground Global. She supports Playground's capital formation and investor relations activities, bringing more than 10 years of diverse experience in corporate and asset management strategy and operations. Prior to joining Playground, she was Director and Chief of Staff at Bayshore Global Management, a single-family office in California. She started her career as a management consultant in Deloitte's strategy practice in New York. She holds an MBA from Harvard Business School and a Bachelor's degree in economics from Brown University.</t>
  </si>
  <si>
    <t>sarah@playground.vc</t>
  </si>
  <si>
    <t>216682-30P</t>
  </si>
  <si>
    <t>Sasha Ostojic</t>
  </si>
  <si>
    <t>Ostojic</t>
  </si>
  <si>
    <t>Mr. Sasha Ostojic serves as Venture Partner at Playground Global. Mr. Ostojic serves as Board member at d-Matrix. He serves as Advisor, Board Member and Chairman at Anari. He serves as Advisor at Cognomotiv. Sasha is a technology industry expert, advisor and investor. As Senior Vice President Engineering at Cruise Automation, an autonomous vehicle technology company owned by General Motors, Sasha guided the Software and Hardware teams in achieving an industry leadership position. As Vice President Software at Nvidia, Sasha was in charge of some of the most strategic and mission critical initiatives that contributed to Nvidia becoming the undisputed leader in visual computing and AI technologies. And before all that, Sasha was an early pioneer in developing and deploying speech recognition and text to speech synthesis solutions at scale.</t>
  </si>
  <si>
    <t>339472-81P</t>
  </si>
  <si>
    <t>Victoria Chernow</t>
  </si>
  <si>
    <t>Chernow</t>
  </si>
  <si>
    <t>Ms. Victoria Chernow serves as Advisor at Playground Global. As a Climate &amp; Energy lead at Science for America, a non-profit "solutions incubator," she focuses on identifying, developing, and launching technology-driven solutions to the most urgent climate and energy challenges. Prior to joining SfA, she was part of the venture team at Playground, working on early-stage materials and decarbonization investments. She was previously a technologist with the strategic VC In-Q-Tel, where she identified and evaluated cutting-edge startups with high national security impact in the areas of manufacturing, electrification, and bioengineering. Prior to that, she served as a Fellow at the Advanced Research Projects Agency - Energy (ARPA-E), an agency within the US Department of Energy. She is a former fellow of the Clean Energy Leadership Institute and Women Leaders in Energy Fellow at the Atlantic Council. She received her PhD in Materials Science from the California Institute of Technology (Caltech) and BA in Chemistry from Harvard University.</t>
  </si>
  <si>
    <t>vchernow@playground.global</t>
  </si>
  <si>
    <t>38305-45P</t>
  </si>
  <si>
    <t>Daniel Cromie</t>
  </si>
  <si>
    <t>Cromie</t>
  </si>
  <si>
    <t>Point Cove</t>
  </si>
  <si>
    <t>Mr. Daniel Cromie is the Founder and serves as Managing Partner at Point Cove. He serves as a Executive Chairman at Adept Materials. He served as a Board Member at Marcal Paper. Mr. Cromie serves as an Operating Partner at Atlas Holdings. He serves as a Board Member at Techstyle Materials and Erickson Construction. He joined Atlas in 2002 and serves as a Partner. He has approximately several years of private equity experience, throughout which period he has worked with Mr. Bursky and Mr. Fazio. He serves on the Board of Managers of Bridgewell Resources, Capital Equipment Resources, Erickson Framing Holdings, Phoenix Industrial Services, RedBuilt, and Soundview Paper Before joining Atlas, he served as a consultant for the Commodity Operations Group of Goldman Sachs in a variety of capacities including as a member of the development team of an integrated fixed income, currency and commodities operations system. Concurrently, he toured the country as a professional musician. Before his professional music career, he was a Senior Analyst at Interlaken. He is a graduate of the University of Pennsylvania.</t>
  </si>
  <si>
    <t>dcromie@pointcovellc.com</t>
  </si>
  <si>
    <t>Providence</t>
  </si>
  <si>
    <t>Providence, RI</t>
  </si>
  <si>
    <t>Rhode Island</t>
  </si>
  <si>
    <t>451557-91P</t>
  </si>
  <si>
    <t>Anthony Cortese</t>
  </si>
  <si>
    <t>Ponderosa Ventures</t>
  </si>
  <si>
    <t>Mr. Anthony Cortese serves as Associate at Ponderosa Ventures.</t>
  </si>
  <si>
    <t>anthony.cortese@ponderosavc.com</t>
  </si>
  <si>
    <t>345385-63P</t>
  </si>
  <si>
    <t>Chloë Payne</t>
  </si>
  <si>
    <t>Chloë</t>
  </si>
  <si>
    <t>Payne</t>
  </si>
  <si>
    <t>Ms. Chloë Payne serves as Principal at Ponderosa Ventures.</t>
  </si>
  <si>
    <t>+1 (785) 994-5244</t>
  </si>
  <si>
    <t>chloe.payne@ponderosavc.com</t>
  </si>
  <si>
    <t>225100-27P</t>
  </si>
  <si>
    <t>Evi Steyer</t>
  </si>
  <si>
    <t>Evi</t>
  </si>
  <si>
    <t>Ms. Evi Steyer is a Co-Founder and serves as Member of Ponderosa Investment Committee at Ponderosa Ventures. She is an Angel Investor. She serves as Board Member at Steward Technologies. She also served as a Board Member at Eunice and Natrx. She served as Investment Associate at Astanor Ventures.</t>
  </si>
  <si>
    <t>+1 (207) 534-4700</t>
  </si>
  <si>
    <t>Co-Founder &amp; Member of Ponderosa Investment Committee</t>
  </si>
  <si>
    <t>15075-28P</t>
  </si>
  <si>
    <t>Thomas Steyer</t>
  </si>
  <si>
    <t>Mr. Thomas Steyer is a Co-Founder and serves as Member of Ponderosa Investment Committee at Ponderosa Ventures. Mr. Steyer is a Co-Founder and serves as Chairman at Beneficial State Bank. He serves as President at Tomkat Foundation. He is a Co-Founder of Tomkat Foundation. He is an Angel Investor. He served as Chief Investment Officer at Farallon Capital. He also served as Board Member at CapitalSource. Mr. Steyer graduated summa cum laude from Yale University where he was elected to Phi Beta Kappa and earned an MBA from the Stanford Graduate School of Business where he was an Arjay Miller Scholar.</t>
  </si>
  <si>
    <t>thomas.steyer@ponderosavc.com</t>
  </si>
  <si>
    <t>52400-26P</t>
  </si>
  <si>
    <t>Amber Caska</t>
  </si>
  <si>
    <t>Caska</t>
  </si>
  <si>
    <t>Portfolia</t>
  </si>
  <si>
    <t>Ms. Amber Caska serves as Venture Partner, Consumer Fund at Portfolia. She is also an Advisor of Business and Strategy at Athira Pharma. Previously she served as Vice President at J.P. Morgan and was treasurer of Paul Allen's investment office, Vulcan Inc. She also served as Advisor at Off The Grid Ventures.</t>
  </si>
  <si>
    <t>+1 (650) 681-8406</t>
  </si>
  <si>
    <t>amber@portfolia.com</t>
  </si>
  <si>
    <t>3 East Third Avenue</t>
  </si>
  <si>
    <t>Venture Partner, Consumer Fund</t>
  </si>
  <si>
    <t>129617-11P</t>
  </si>
  <si>
    <t>Barbara Clarke</t>
  </si>
  <si>
    <t>Ms. Barbara Clarke is a Co-Founder &amp; serves as Board Member at The Impact Seat. She serves as Board Observer at TOP The Organic Project. She is an Angel Investor. She served as a Board member of Cocomama and Founders First Capital Partners. Previously she was the Senior Manager of KPMG. She serves as Advisor at BlendScore. She has been investing in emerging technologies, including medical devices, for almost a decade. To date, she has invested in more than 60 companies and 12 funds in North America and Europe. She has been creating opportunities for under-represented entrepreneurs by investing in companies that are either led by women of color or have women on their funding teams - even before it became fashionable to do so. As a key member of the investment community, she also advises entrepreneurs and innovators on launching companies, accessing capital, and leveraging the international network of investors. She serves as the Lead investor, Portfolia's Rising Tide Fund, Enterprise Fund, and FirstStep Fund at Portfolia.</t>
  </si>
  <si>
    <t>+1 (857) 230-0396</t>
  </si>
  <si>
    <t>barbara@impactseat.com</t>
  </si>
  <si>
    <t>253 Shawmut Avenue</t>
  </si>
  <si>
    <t>Apartment 2A</t>
  </si>
  <si>
    <t>The Impact Seat Foundation</t>
  </si>
  <si>
    <t>337955-14P</t>
  </si>
  <si>
    <t>Brittany Feehan</t>
  </si>
  <si>
    <t>Feehan</t>
  </si>
  <si>
    <t>Ms. Brittany Feehan serves as Director of Investor Relations at Portfolia.</t>
  </si>
  <si>
    <t>+1 (650) 429-4362</t>
  </si>
  <si>
    <t>brittany@portfolia.com</t>
  </si>
  <si>
    <t>98715-97P</t>
  </si>
  <si>
    <t>Ms. Chantell Preston serves as Lead Partner, Active Aging, Longevity and FemTech Fund I &amp; II at Portfolia. She previously served as Board Member at the company. She served as Board Member at LabReady. She served as Chief Development Officer at Mentis Neuro Rehabilitation. She was actively involved with the initial development of Inception Fertility Ventures and remains active as an important advisor to the management team. Ms. Preston herself has a daughter through the use of assisted fertility treatment which provides an additional perspective for the Inception Fertility Ventures team as they continually try to improve on the model they have developed. A graduate of Texas A&amp;M University with her Bachelor of Business Administration and a Master's in Business Administration from Sam Houston State University, she has served in both consulting and executive-level capacities for both public and privately-held organizations. She has gained a substantial breadth of knowledge through years of experience in healthcare-specific space planning, design, construction, operational implementation and licensing for a wide variety of healthcare facilities.</t>
  </si>
  <si>
    <t>+1 (713) 864-5284</t>
  </si>
  <si>
    <t>Lead Partner, Active Aging and Longevity Fund I &amp; II</t>
  </si>
  <si>
    <t>90317-71P</t>
  </si>
  <si>
    <t>Claire England</t>
  </si>
  <si>
    <t>Ms. Claire England serves as an Investment Partner at Green Park &amp; Golf Ventures. She serves as a Partner at LOHAS Advisors. She serves as a Fund Partner at Portfolia. Previously, she serves as a Partner, of FemTech, Food &amp; AgTech Fund at Portfolia. She served as a Board Member and Advisor at Seminars. She served as Executive Director at Central Texas Angel Network. She brings 19 years of executive and nonprofit leadership as Executive Director of Central Texas Angel Network (CTAN). She joined the organization in December 2014 and has led it to become the nation's most active single-chapter angel group. She holds a BA degree in Mass Communications from Texas State University.</t>
  </si>
  <si>
    <t>+1 (512) 522-4186</t>
  </si>
  <si>
    <t>Green Park &amp; Golf Ventures</t>
  </si>
  <si>
    <t>138733-12P</t>
  </si>
  <si>
    <t>Elaine Bolle</t>
  </si>
  <si>
    <t>Bolle</t>
  </si>
  <si>
    <t>Ms. Elaine Bolle is a Co-Founder &amp; serves as a Board Member at RTP Angel Fund. Ms. Bolle serves as a Board Member at RTP Capital Associates. She serves as the Lead Venture Partner, at Portfolia Active Aging and Longevity Fund at Portfolia. She serves as a Board Member at OneDigitalTrust. She serves as the Lead Venture Partner, at Active Aging and Longevity Fund at Portfolia. She is an active angel investor, board director, and advisor leading domestic and global organizations from start-ups to $750M+ enterprises. She has built and successfully exited several early-stage venture-backed companies including Achex, a payment processor, sold to First Data Corp. She currently focuses on early-stage entrepreneurial ventures serving on several boards including RTP Capital Associates, an angel investing network in North Carolina; the Angel Capital Association, the largest association for angel investors in North America; the Council for Entrepreneurial Development, a Triangle-based ecosystem for entrepreneurs and investors; and Seal the Seasons a privately held local frozen food company She is an Entrepreneur in Residence at First Flight Venture Center one of the nation's largest high science incubators. She also serves on the Board of Directors for Dress for Success Triangle NC. Throughout her career, she has held management roles in strategic marketing and brand management, business development and sales, e-commerce and internet applications, fund-raising, mergers, and acquisitions. Her industry expertise includes financial services, consumer goods and services, internet end-user applications, and e-commerce. Ms. Bolle was the Senior Vice President and General Manager for Western Union, a global payment provider, leading the consumer payments businesses worldwide. She was a Vice President and Senior Director of Citicorp Global Payments and at Quaker Oats, she conceived, built, and managed the new wholesome snack business Quaker Chewy Granola Bars. Ms. Bolle has an MBA and a BA from the University of Michigan.</t>
  </si>
  <si>
    <t>Durham, NC</t>
  </si>
  <si>
    <t>Research Triangle Park</t>
  </si>
  <si>
    <t>27709</t>
  </si>
  <si>
    <t>RTP Angel Fund</t>
  </si>
  <si>
    <t>277479-64P</t>
  </si>
  <si>
    <t>Jane Dis MD</t>
  </si>
  <si>
    <t>Dis</t>
  </si>
  <si>
    <t>Dr. Jane Dis serves as FemTechII Lead at Portfolia. She also serves as an Advisor at Goddess Gaia Ventures. She is also the Co-Founder and CEO of Equity Quotient, Co-Founder of OB Best Practice in partnership with OBGProject, Co-Founder of TIME'S UP Healthcare, and Co-Founder of Diana Consulting. She served as Chief Medical Officer at Biorithm. She holds an MD.</t>
  </si>
  <si>
    <t>FemTechII Lead</t>
  </si>
  <si>
    <t>41310-10P</t>
  </si>
  <si>
    <t>Manthi Nguyen</t>
  </si>
  <si>
    <t>Manthi</t>
  </si>
  <si>
    <t>Ms. Manthi Nguyen serves as Chief Executive Officer at Momentum Metal Finishing. She also serves as Venture Partner &amp; Lead Investor, Portfolia Rising Tide, Enterprise, Consumer and Active Aging and Longevity Funds at Portfolia and Investor at Sand Hill Angels. Ms. Manthi Nguyen has over twenty five years of diverse experience in all functions of managing and growing businesses with capital efficiency and operational effectiveness in a wide range of industries: real-time control systems, telecommunications and networking, Internet services, publishing, heath and fitness, and manufacturing. In the early part of her career, Manthi joined General Motors Advanced Manufacturing Research in developing technologies for office and factory automation. She participated in developing international standards for Open System Interconnect with National Institute of Standard and Technology (NIST). Manthi was involved in a series of early startup developing routing and networking technologies that were later acquired by NEC, Cabletron, Tut Systems, and Cisco. In the last 10 years, Manthi has brought her executive experience to focus on small businesses. Manthi Nguyen received her BSEE from University of Washington, and her MBA from University of Michigan.</t>
  </si>
  <si>
    <t>+1 (650) 367-7066</t>
  </si>
  <si>
    <t>manthi@momentum-mmf.com</t>
  </si>
  <si>
    <t>1286 Anvilwood Avenue</t>
  </si>
  <si>
    <t>94089</t>
  </si>
  <si>
    <t>+1 (408) 988-4856</t>
  </si>
  <si>
    <t>Momentum Metal Finishing</t>
  </si>
  <si>
    <t>113941-90P</t>
  </si>
  <si>
    <t>Nola Masterson</t>
  </si>
  <si>
    <t>Nola</t>
  </si>
  <si>
    <t>Masterson</t>
  </si>
  <si>
    <t>Ms. Nola Masterson is the Founder of Science Futures Management. She serves as an Advisor at Sugati Ventures. She serves as a Board Member at Pacylex Pharmaceuticals. She serves as an Advisor at H7 BioCapital. She served as Chairman at Prime Genomics. She serves as a Board Member at Pacylex Pharmaceuticals. She served as a Board Member at EmbraceHer Innovations. She served as a Board Member at Lynx Biosciences. Science Futures is a 30-year-old investment and advisory firm. She is a biotechnology industry leader and forward thinker with more than 35 years of business experience in the life sciences industry and venture capital investment. From 2000 to 2005, she was a Venture Partner with TVM Capital GmbH, one of the first and largest venture capital firms in Germany. She sourced and invested in three companies and built out their San Francisco office. She was a co-founder and President of Sequenom, Inc., a DNA sequencing company that went public on Nasdaq in 2000, and wrote the first business plans for IDEC and Insight Vision, as a consultant to Kleiner Perkins Caufield &amp; Byers, and for ReSound, with Dr. Rodney Perkins, the founder. She was the first biotech analyst on Wall Street for Drexel Burnham and Merrill Lynch. She is the Chairwoman of the Board of Directors of Repros Therapeutics Inc. (RPRX). She is Chairwoman Emeritus of the BayBio Institute, a non-profit organization serving the Northern California life sciences industry by focusing on best practices, entrepreneurship, workforce development, and science education, and also serves on the Board of Advisors to Astia, a non-profit organization dedicated to advancing women entrepreneurs. As a graduate of the Stanford Law School Board of Directors College course, she is currently in her second year as an Adjunct Professor at the University of San Francisco, teaching Biotech, Local, National, and International in the School of Business. She serves as Chairman at Prime Genomics. She has a BS and an MT (ASCP) from Fordham Marymount College, an MS from George Washington University, and did postgraduate work at the University of Florida.</t>
  </si>
  <si>
    <t>+1 (415) 725-4072</t>
  </si>
  <si>
    <t>nola@sciencefuturesinc.com</t>
  </si>
  <si>
    <t>Woodside</t>
  </si>
  <si>
    <t>Woodside, CA</t>
  </si>
  <si>
    <t>768 West California Way</t>
  </si>
  <si>
    <t>94062</t>
  </si>
  <si>
    <t>+1 (650) 363-2112</t>
  </si>
  <si>
    <t>Science Futures Management</t>
  </si>
  <si>
    <t>168916-96P</t>
  </si>
  <si>
    <t>Patricia Costello</t>
  </si>
  <si>
    <t>Ms. Patricia Costello serves as Managing Director &amp; Board Member at Portfolia Venture Management.</t>
  </si>
  <si>
    <t>366493-51P</t>
  </si>
  <si>
    <t>Sheila Collins</t>
  </si>
  <si>
    <t>Ms. Sheila Collins serves as Fund Partner at Portfolia. Ms. Collins served as Senior Advisor, Startup Programming at AARP Innovations. An innovation leader in fintech, health tech, and aging innovation, Ms. Collins has experience at Fortune 100 firms and as a founder of Capital Curator, helping high-growth startups shape the future of finance, healthcare, and economic mobility. She helped launch Small Business Saturday, built a tech accelerator for 500+ AgeTech startups, and integrates financial empathy into her work.</t>
  </si>
  <si>
    <t>Fund Partner</t>
  </si>
  <si>
    <t>90988-66P</t>
  </si>
  <si>
    <t>Trish Costello</t>
  </si>
  <si>
    <t>Ms. Trish Costello is the Founder &amp; serves as Chief Executive Officer at Portfolia. Her goal is over 100,000 women (and their colleagues and friends) investing in Portfolia Funds in five years. She is internationally recognized for her pioneering work in educating and preparing venture capital investment partners, through the prestigious Kauffman Fellows Program. As the founding CEO and CEO Emeritus of the Center for Venture Education, she led the Kauffman Fellows Program for its first ten years. She was the Founding President of CVE Capital Corp, the holding company of a $1.7 billion Fund of Funds. She was on the start-up team of the Kauffman Foundation's entrepreneurship center, where for eight years she directed its efforts in venture capital, angel investing, and programming to accelerate high-potential women entrepreneurs. She played a leading role nationally in increasing equity investments in women's businesses and in funding initiatives supporting high-growth women entrepreneurs. She led the National Science Foundation SBIR Sub-Committee on Commercialization and was the Director of the Arthur M. Blank Center of Entrepreneurship at Babson College, the first college focused on entrepreneurship and rated within the top 5 globally. She was recently recognized by INC. Magazine in its 15 Most Innovative Women Entrepreneurs of 2016; 17 Women Investors to Watch by the Center for Women and Wealth, and highlighted in Newsweek, Inc, and Forbes for her work in activating women investors. She speaks globally on new models of venture capital and angel investing, trends with women investors, and women's high-potential entrepreneurship. She has keynoted at the United Nations and the OECD and testified at the White House Commission on Women and before the US Senate.</t>
  </si>
  <si>
    <t>trish@portfolia.com</t>
  </si>
  <si>
    <t>40506-58P</t>
  </si>
  <si>
    <t>Angela Jackson</t>
  </si>
  <si>
    <t>Portland Seed Fund</t>
  </si>
  <si>
    <t>Ms. Angela Jackson is a Co-Founder and serves as Managing Director at Portland Seed Fund. She serves as a Board member at Lumen (Educational Software). She has 15 years of experience as a venture capitalist, angel investor, and advisor to startups in the technology, consumer products, cleantech, and mobile service industries. She also served as the Director of Portland State University's Center for Entrepreneurship and manager of the Portland State University Business Accelerator. Her position at Portland State University allows her to monitor prospective and existing portfolio companies that originate from the university. Prior to her career as a consultant, Angela was principal at the incubator/investment fund, Emergent, had started and operated numerous small companies, and drove key partner relationships and channels at Auctionpay during a period of rapid growth. Angela previously served as Chair of Angel Oregon and President of the Keiretsu Forum Portland chapter. Currently, she sits on the boards of the Angel Capital Association, Crowd Supply, and TIE Oregon. She has earned a B.A. in English and History from Boston University, and an M.A. in Environmental Studies from the University of Oregon.</t>
  </si>
  <si>
    <t>+1 (503) 419-3007</t>
  </si>
  <si>
    <t>angela@portlandseedfund.com</t>
  </si>
  <si>
    <t>Lake Oswego</t>
  </si>
  <si>
    <t>Lake Oswego, OR</t>
  </si>
  <si>
    <t>4900 Meadows Road</t>
  </si>
  <si>
    <t>97035</t>
  </si>
  <si>
    <t>40204-09P</t>
  </si>
  <si>
    <t>Jenn Lynch</t>
  </si>
  <si>
    <t>Ms. Jenn Lynch serves as Managing Director at Portland Seed Fund. She is also an Angel Investor. She has over ten years of software product management, product marketing, and user experience design experience. She co-founded Upstart Labs, where she was a general partner. Previously, she was a director of professional services at StepChange Group, now Dachis Group, developing social media marketing initiatives for large enterprises. Before Dachis Group, she was a product manager and product marketing manager in the enterprise talent management space at Unicru (now Kronos), Yahoo! HotJobs, and BrassRing (now Kenexa). She has earned an M.B.A. from Columbia Business School and a B.S. in Journalism from the Medill School at Northwestern University.</t>
  </si>
  <si>
    <t>jenn@portlandseedfund.com</t>
  </si>
  <si>
    <t>12904-39P</t>
  </si>
  <si>
    <t>Jim Huston</t>
  </si>
  <si>
    <t>Huston</t>
  </si>
  <si>
    <t>Mr. Jim Huston is a Co-Founder and serves as Managing Director at Portland Seed Fund. He served as Board Member at Onboard Dynamics. He is also an Angel Investor. He is a tech industry veteran with close to 20 years of experience advising and investing in early-stage technology companies around the world. Prior to his role as Managing Director for the Portland Seed Fund, he was the Managing Director at Blueprint Ventures, a Bay Area technology growth capital firm, and Director of Strategic Investments at Intel Capital. While at Blueprint and Intel Capital, he led investments worth more than $67 Million in 19 companies that have returned more than 2.5 times invested capital. He currently sits on the boards of 4-Tell and Oregon Public Broadcasting. He has an MBA from the Kellogg School of Management at Northwestern University, a BS in engineering from Rose Hulman Institute of Technology, and is an adjunct professor at Portland State University teaching an MBA class on venture finance. He served as Board Observer at Plover.</t>
  </si>
  <si>
    <t>+1 (503) 780-1952</t>
  </si>
  <si>
    <t>jim@portlandseedfund.com</t>
  </si>
  <si>
    <t>130972-15P</t>
  </si>
  <si>
    <t>Shashi Jain</t>
  </si>
  <si>
    <t>Shashi</t>
  </si>
  <si>
    <t>Mr. Shashi Jain serves as Venture Partner at Portland Seed Fund. He Founded Ideaculture.</t>
  </si>
  <si>
    <t>327823-30P</t>
  </si>
  <si>
    <t>Steve Eichenlaub</t>
  </si>
  <si>
    <t>Eichenlaub</t>
  </si>
  <si>
    <t>Mr. Steve Eichenlaub serves as Managing Director at Portland Seed Fund. He served as Treasurer &amp; Board Member at Portland Energy Conservation. He has been associated with PSF since 2014 as a limited partner in PSF II and III and brings extensive venture capital, startup operating, and M&amp;A experience to his role as Managing Director of Portland Seed Fund IV. Previously, he was COO at M-SIX, a Portland-based SaaS startup, helping grow the company up to and beyond its successful exit. Ahead of that, for over a decade he was a Managing Director in Intel Capital, leading and managing the strategy, deal structuring, and post-investment efforts on over 100 investments tied to the strategic interests of Intel Labs. He then worked inside Intel Labs applying seed startup concepts to convert raw technologies into viable prototypes with a compelling business value proposition that would then "exit" to an Intel product group. Since 2011, he has been a Board member and Treasurer of PECI, a Portland-based energy policy-influencing nonprofit focused on environmental justice and equity by amplifying the voices of under-represented communities. He holds a B.S. in Engineering from UC Berkeley and an M.B.A. from Harvard Business School.</t>
  </si>
  <si>
    <t>+1 (503) 701-6931</t>
  </si>
  <si>
    <t>steve@portlandseedfund.com</t>
  </si>
  <si>
    <t>414043-84P</t>
  </si>
  <si>
    <t>Brianna Rivera</t>
  </si>
  <si>
    <t>Powerhouse Ventures (Oakland)</t>
  </si>
  <si>
    <t>Ms. Brianna Rivera serves as an Associate at Powerhouse Ventures.</t>
  </si>
  <si>
    <t>brianna.rivera@powerhouse.fund</t>
  </si>
  <si>
    <t>1528 Webster Street</t>
  </si>
  <si>
    <t>288133-57P</t>
  </si>
  <si>
    <t>Cameron Peterkin</t>
  </si>
  <si>
    <t>Peterkin</t>
  </si>
  <si>
    <t>Mr. Cameron Peterkin serves as Senior Associate at Powerhouse Ventures&gt; He served as an Associate at BCI Technology Investments. Prior to that, he served in the International Trade Administration at the U.S. Embassy in Ottawa. He received his Bachelor's of Commerce degree with a specialization in Finance from the University of Ottawa.</t>
  </si>
  <si>
    <t>cameron@powerhouse.fund</t>
  </si>
  <si>
    <t>96419-71P</t>
  </si>
  <si>
    <t>Emily Kirsch</t>
  </si>
  <si>
    <t>Kirsch</t>
  </si>
  <si>
    <t>Ms. Emily Kirsch is the Founder and serves as the Chief Executive Officer of Powerhouse Innovation and Managing Partner of Powerhouse Ventures at Powerhouse Ventures (Oakland). She is an Angel Investor. She serves as an Advisor at Leap. She serves as an Advisor at Zeti. She served as an Advisor at Renu Ventures. She serves as an Advisor at Pearl Street Technologies. Powerhouse partners with corporations and investors to help them engage with cutting-edge startups, tap into proprietary market insights, and lead the next century of clean technology innovation. Powerhouse Ventures backs founding teams in building innovative software to rapidly transform our global energy and mobility systems. She is also the host of the podcast Watt It Takes, which tells the stories of entrepreneurs who are building our carbon-free future. She serves on the board of Station A. She serves as a Board Member at Recurrent, a former board observer of Ensemble Energy (acquired), and serves on the investor advisory board of the New York State Energy and Research Development Authority (NYSERDA). She is the recipient of the Entrepreneurship Award from C3E, a partnership between the US Department of Energy, Stanford, and MIT to highlight women's leadership in clean energy. She is also a World Economic Forum Young Global Leader Fellow. Her work has been cited in Bloomberg, The Guardian, The Huffington Post, and The New York Times.</t>
  </si>
  <si>
    <t>emily@powerhouse.fund</t>
  </si>
  <si>
    <t>Founder and Chief Executive Officer of Powerhouse Innovation and Managing Partner of Powerhouse Ventures</t>
  </si>
  <si>
    <t>321795-55P</t>
  </si>
  <si>
    <t>Gabe Cuadra</t>
  </si>
  <si>
    <t>Cuadra</t>
  </si>
  <si>
    <t>Mr. Gabe Cuadra serves as Principal at Powerhouse Ventures.</t>
  </si>
  <si>
    <t>gabe.cuadra@powerhouse.fund</t>
  </si>
  <si>
    <t>321796-36P</t>
  </si>
  <si>
    <t>Gabriel VanLoozen</t>
  </si>
  <si>
    <t>VanLoozen</t>
  </si>
  <si>
    <t>Mr. Gabriel VanLoozen serves as Principal at Powerhouse Ventures.</t>
  </si>
  <si>
    <t>gabriel.vanloozen@powerhouse.fund</t>
  </si>
  <si>
    <t>434764-00P</t>
  </si>
  <si>
    <t>Jamie Link Ph.D</t>
  </si>
  <si>
    <t>Link</t>
  </si>
  <si>
    <t>Dr. Jamie Link serves as Executive Vice President at Powerhouse Ventures. Leads strategic growth for Powerhouse by empowering our clients to be leaders in climate tech innovation. Over two decades of experience building teams and programs to accelerate commercialization of new technologies at the U.S. Department of Energy, EDF Renewables, and Avantus.</t>
  </si>
  <si>
    <t>245049-04P</t>
  </si>
  <si>
    <t>Marie Thompson</t>
  </si>
  <si>
    <t>Ms. Marie Thompson serves as a Partner at Powerhouse Ventures. She serves as a Board Observer at Copia. She performs sourcing and diligence for Powerhouse Ventures as well as portfolio engagement and post-investment support. Previously she worked in strategic planning at Apache Corporation and sales strategy at Bloom Energy. She holds an MBA from Berkeley Haas.</t>
  </si>
  <si>
    <t>marie@powerhouse.fund</t>
  </si>
  <si>
    <t>274276-90P</t>
  </si>
  <si>
    <t>Shaandiin Cedar</t>
  </si>
  <si>
    <t>Shaandiin</t>
  </si>
  <si>
    <t>Cedar</t>
  </si>
  <si>
    <t>Ms. Shaandiin Cedar serves as a Senior Associate at Powerhouse Ventures. Previously worked with utilities, developers, and Fortune 1000 corporate sustainability teams at GreenBiz Group. Cleantech writer and Diné (Navajo) tribal member focused on equity and renewable energy development with tribes.</t>
  </si>
  <si>
    <t>shaandiin@powerhouse.fund</t>
  </si>
  <si>
    <t>244474-66P</t>
  </si>
  <si>
    <t>Carly Anderson Ph.D</t>
  </si>
  <si>
    <t>Carly</t>
  </si>
  <si>
    <t>Prelude Ventures</t>
  </si>
  <si>
    <t>Dr. Carly Anderson serves as Principal at Prelude Ventures. She served as Board Member at Focused Energy. She served as Chemical Engineer and Partner at Prime Movers Lab. As a chemical engineer, she performs in-depth due diligence into potential investments across areas including nuclear, solar, energy storage, water, agriculture, synthetic biology, and materials. She also supports portfolio companies in evaluating and overcoming key process design, scalability, and implementation challenges. She has supported new technologies through fundamental research, prototyping, and techno-economic assessments for applications across energy, materials, industrial chemicals, bioproducts, and water treatment spaces. She brings 10+ years of experience in startups, technology development, and technical consulting to Prime Movers Lab. As Senior Engineer at Mosaic Materials, she designed gas separation processes for bioenergy, oil &amp; gas, petrochemical, and carbon tech applications using a new class of porous materials. She has also led fundamental research on creating electrical plasma devices for biomedicine and wastewater remediation and on new characterization techniques for thermoelectric and battery materials. She began her career with Dominion Engineering, Inc., where she developed and deployed water chemistry and corrosion mitigation technologies for commercial nuclear plants. She holds a Ph.D. in chemical &amp; biomolecular engineering from UC Berkeley and a BS in chemical engineering from Cornell University.</t>
  </si>
  <si>
    <t>+1 (415) 729-1270</t>
  </si>
  <si>
    <t>canderson@preludeventures.com</t>
  </si>
  <si>
    <t>One Ferry Building</t>
  </si>
  <si>
    <t>Suite 275</t>
  </si>
  <si>
    <t>403304-05P</t>
  </si>
  <si>
    <t>Edward Yang</t>
  </si>
  <si>
    <t>Mr. Edward Yang serves as a Senior Associate at Prelude Ventures. Before Prelude, he was a management consultant at Bain &amp; Company, where he worked with clients in the utilities &amp; renewables practice to build data-driven processes for optimizing grid capital investments and supported private equity and growth equity clients to evaluate investment opportunities across a range of industries. He also previously held roles at Powerhouse Ventures and at Crux, a sustainable finance startup building a market platform for clean energy and decarbonization project developers to transact and manage transferable tax credits. He holds a B.S. in Industrial Engineering &amp; Operations Research from UC Berkeley's College of Engineering and a B.S. in Business Administration from the Haas School of Business. He has served as an advisor/director on the boards of the Jacobs Institute for Design Innovation and the Sutardja Center for Entrepreneurship &amp; Technology at UC Berkeley, as well as Seattle-based nonprofits Teens in Public Service and the Museum of History and Industry.</t>
  </si>
  <si>
    <t>eyang@preludeventures.com</t>
  </si>
  <si>
    <t>85047-94P</t>
  </si>
  <si>
    <t>Eileen McMahon</t>
  </si>
  <si>
    <t>Ms. Eileen McMahon serves as Coordinator of Operations and Executive Support at Prelude Ventures. Previously, she served as Prelude Ventures' first assistant. She has been with the firm since its inception, working in partnership with the investment team to provide the administrative and operational support needed to keep pace with investments. Now in the Operations role, she provides a deeper level of support to the firm and portfolio. She graduated from Fordham University with a B.A. in English Literature</t>
  </si>
  <si>
    <t>emcmahon@preludeventures.com</t>
  </si>
  <si>
    <t>Coordinator of Operations and Executive Support</t>
  </si>
  <si>
    <t>42118-48P</t>
  </si>
  <si>
    <t>Gabriel Kra</t>
  </si>
  <si>
    <t>Kra</t>
  </si>
  <si>
    <t>Mr. Gabriel Kra is a Co-Founder and serves as Managing Director at Prelude Ventures. He serves as a Board Member at Trove. He serves on the Board of Directors at RedoxBlox. He serves as a Board Member at Meridian Clean Energy. He served as an Advisor at ClearMetal. He founded Prelude Ventures' cleantech platform in 2009, after more than 15 years of experience developing companies, both as an entrepreneur and investor. He is a Board Member at Form Energy. He served as a Board Member at PostScript and Carbon180. He also serves as a Board Member at CREO Syndicate. He is responsible for overseeing the firm's investments across a broad range of new energy innovations. Before forming Prelude Ventures, he spent four years as an investment banker with Deutsche Bank in its solar and semiconductor groups. He was also an early employee at three venture-backed telecommunications and semiconductor start-ups, where he was instrumental in raising money, launching products, developing technology, and getting acquired. His early experience with Greenpeace and at Yellowstone National Park sparked his lifelong commitment to fighting climate change. He serves on the Board of Directors for Renew Financial, Ripple Foods, Sense Labs, PLANT PV, and Natron Energy, and he is actively involved with the firm's investments in Citrine, Metalenz, Zymergen, Spark Thermionics, QuantumScape, and Yerdle. Other investments at Prelude include SolarBridge (SPWR) and Clean Urban Energy. He also serves on the Board of Directors of Activation Energy, and on advisory boards of Cyclotron Road, Prime Coalition, and the California League of Conservation Voters. He holds MBAs from the Columbia Business School and the Haas School of Business, University of California at Berkeley, an MS in atmospheric chemistry from SUNY Stony Brook, and a BA in philosophy from Columbia College. He serves as Board Member at Ebb Carbon.</t>
  </si>
  <si>
    <t>gkra@preludeventures.com</t>
  </si>
  <si>
    <t>365236-21P</t>
  </si>
  <si>
    <t>Katie Clasen</t>
  </si>
  <si>
    <t>Clasen</t>
  </si>
  <si>
    <t>Ms. Katie Clasen serves as Principal at Prelude Ventures.</t>
  </si>
  <si>
    <t>kclasen@preludeventures.com</t>
  </si>
  <si>
    <t>11527-75P</t>
  </si>
  <si>
    <t>Katy Young</t>
  </si>
  <si>
    <t>Ms. Katy Young served as Chief Financial Officer at Champlain Capital. She serves as Chief Financial Officer at Prelude Ventures. She also served as Vice President at Champlain Capital Partners. Before Champlain, Ms. Young was an equity research analyst with Putnam Investments, covering domestic insurance companies. Before joining Putnam, Ms. Young was a financial analyst with the Atlantic Richfield Company (ARCO). Before joining ARCO, Ms. Young was a senior auditor with Deloitte &amp; Touche, LLP, and a staff accountant with Price Waterhouse, LLP. Ms. Young received her B.A. from the University of California, Los Angeles, and her M.B.A. from the Wharton School at the University of Pennsylvania.</t>
  </si>
  <si>
    <t>+1 (415) 281-4191</t>
  </si>
  <si>
    <t>kyoung@preludeventures.com</t>
  </si>
  <si>
    <t>95866-39P</t>
  </si>
  <si>
    <t>Laura Baxter-Simons JD</t>
  </si>
  <si>
    <t>Baxter-Simons</t>
  </si>
  <si>
    <t>Ms. Laura Baxter-Simons serves as Chief Compliance Officer, Senior Managing Director, and General Counsel at Meritage Group. She is also a Co-Founder and serves as Co-Director at Sea Change Foundation. She also served as an Investor at Breakthrough Energy. She has a B.A. from U.C. Berkeley in Economics and German, an M.A. from U.C. Berkeley in German Literature, and a J.D. from Stanford Law School. She currently serves as a member of the U.C. Berkeley, College of Letters and Science Advisory Board and on the Stanford Law School Dean's Advisory Council.</t>
  </si>
  <si>
    <t>+1 (415) 399-5330</t>
  </si>
  <si>
    <t>laura@meritagegroup.com</t>
  </si>
  <si>
    <t>Suite 375</t>
  </si>
  <si>
    <t>+1 (415) 591-0850</t>
  </si>
  <si>
    <t>Meritage Group</t>
  </si>
  <si>
    <t>68131-90P</t>
  </si>
  <si>
    <t>Mark Cupta</t>
  </si>
  <si>
    <t>Cupta</t>
  </si>
  <si>
    <t>Mr. Mark Cupta serves as a Board Member at Windfall Bio. He serves as Managing Director at Prelude Ventures. He serves as a Board Member at Quaise Energy. He served as a Board Member at Benson Hill. He served as a Board Member at Holo. He serves as Board Member at Citrine and Benson Hill Biosystems and actively manages the firm's investments in 3DFortify, Arvegenix, MineSense, Pivot Bio, Planet Labs, PLANT PV, polySpectra, Renew Financial, and Zymergen. Before Prelude, he worked with the Celanese Corporation, a Fortune 500 company specializing in advanced materials and chemicals. He also spent time with Terawatt Ventures, the corporate venture capital team at Chevron Technology Ventures, and with sustainable chemistry start-up Novomer. He served as a Board Observer at Atom Computing. He serves as a Board Member at Zapata Computing and Arable. He received a BS and MS in Chemical &amp; Bio-molecular Engineering from Georgia Tech and an MBA from the Stanford Graduate School of Business. He has authored patents and publications in a wide variety of technologies, including microelectronics, engineered polymers, advanced cement, barrier coatings, pharmaceutical delivery systems, and pulp &amp; paper additives. He also serves as a Board Observer at Plant Pv, CoverCress, Renew Financial, and Zymergen, and served as a Board Member at Project Frog, Zapata AI, and Arvegenix. He also served as a Board Observer at GreenLight Biosciences. He serves as a Board Member at Meati</t>
  </si>
  <si>
    <t>mcupta@preludeventures.com</t>
  </si>
  <si>
    <t>42478-93P</t>
  </si>
  <si>
    <t>Matthew Eggers</t>
  </si>
  <si>
    <t>Mr. Matthew Eggers serves as Managing Director at Prelude Ventures. Mr. Eggers served as a Partner at Breakthrough Energy Ventures. He serves as a Board Member at LuxWall and Graphyte. He served as a Board Member at Aeroseal. He is also an Angel Investor. He also served as a Board Member at Albedo and ZeroAvia. He serves as Vice President of Energy Management at Yardi Systems.In 2006, after leading the commercial launch of a breakthrough cancer drug for Genentech, Matt left biotech because he believed that climate change and environmental degradation were the most important problems in the world. Matt spent the next 15 years as an executive at climate tech companies like Sunrun, Bloom Energy, and Tesla, holding leadership roles in operations, sales, product, finance, and marketing. At Sunrun, he led operations and product management as Sunrun grew from 30 employees and 2,000 installations to 1,200 employees and 55,000 installations and raised $300M in equity capital. He transitioned to investing in early-stage climate tech at Breakthrough Energy Ventures where he led investments in grid, aerospace, buildings, and SaaS software companies, and was thrilled to join Prelude in 2023. Matt loves working with founders to help them build enduring, iconic, and profitable companies that will drive massive improvement in human civilization and for all life on Earth. Matt has a B.S. in molecular biology from Duke University, and an MBA from Stanford. He has served on the boards of the Duke University Center for Energy, Development and the Global Environment, The Institute for Market Transformation, and Ecology Project International. Matt grew up on a farm in Iowa but found his true home among the California coasts and mountains.</t>
  </si>
  <si>
    <t>meggers@preludeventures.com</t>
  </si>
  <si>
    <t>95865-40P</t>
  </si>
  <si>
    <t>Nathaniel Simons</t>
  </si>
  <si>
    <t>Mr. Nathaniel Simons is a Co-Founder of Prelude Ventures. He is also the Chief Executive Officer of Elan Management. He also serves as Chairman and Senior Managing Director at Meritage Group. He served as an Investor at Breakthrough Energy. He received his Bachelor of Arts in Economics and his Master of Arts in Mathematics from the University of California, Berkley. He is also a Co-Founder and serves as Co-Director at Sea Change Foundation. Nat spends time meeting with other funders with interest in overlapping philanthropic areas and is committed to helping attract more capital into the areas of climate change and clean energy philanthropy and investing. He served as Director at Renaissance Technologies.</t>
  </si>
  <si>
    <t>+1 (216) 777-4741</t>
  </si>
  <si>
    <t>nsimons@preludeventures.com</t>
  </si>
  <si>
    <t>13725-82P</t>
  </si>
  <si>
    <t>Timothy Woodward</t>
  </si>
  <si>
    <t>Mr. Timothy Woodward serves as Board Observer at Element Energy. He serves as Managing Director at Prelude Ventures. He serves as Board Member at Heliotrope. He serves as Board Member at LuxWall. He served as Board Member at Encycle. He also serves as an Executive Committee Member &amp; Strategic Advisor at Allotrope Partners. He builds on over 25 years of venture capital investing experience working with talented entrepreneurs who want to change the world. Previously, he was a Managing Director for 15 years with Nth Power where he led investments in companies involved in renewable energy, demand response, advanced materials, and outsourced utility customer management. He was the lead investment partner for that firm's successful investments in Evergreen Solar (ESLR), Comverge (COMV), and Proton Energy Systems (DESC). Prior to entering the venture capital business, he was involved in the launch of First Source, a company providing industrial solvent recycling services. He received his MBA with honors from The Anderson Graduate School of Management at UCLA and his BS in Resource Economics from UC Berkeley in 1982. He currently serves on the board of directors for LevelTen Energy, MineSense, Powerhive, and Voltus, and he has oversight for Prelude's investments in QuantumScape and LevelTen. He also served as Board Member at EnergySavvy. He was a Managing Director for 15 years with Nth Power where he led investments in companies involved in renewable energy, demand response, advanced materials and outsourced utility customer management. He was the lead investment partner for that firm's successful investments in Evergreen Solar (ESLR), Comverge (COMV) and Proton Energy Systems (DESC). Prior to entering the venture capital business, Tim was involved in the launch of First Source, a company providing industrial solvent recycling services. He received his MBA with honors from The Anderson Graduate School of Management at UCLA and a BS in Resource Economics from UC Berkeley in 1982. He currently serves on the board of directors for LevelTen, Encycle, MineSense, Powerhive, Voltus, LuxWall, Terabase and Pyka and he has oversight for Prelude's investments in Element Energy, Recurrent and Solidia.</t>
  </si>
  <si>
    <t>twoodward@preludeventures.com</t>
  </si>
  <si>
    <t>352708-57P</t>
  </si>
  <si>
    <t>Urwashi Govindji</t>
  </si>
  <si>
    <t>Urwashi</t>
  </si>
  <si>
    <t>Govindji</t>
  </si>
  <si>
    <t>Ms. Urwashi Govindji serves as Executive Assistant at Prelude Ventures. Before joining the team, She supported C-level executives along with the Private Equity and Real Assets teams at Hall Capital Partners for 18 years. She brings extensive experience in operations, efficient processes, and administration and has been instrumental in developing and implementing policies and procedures. Before that, she was at Robertson Stephens and worked in Convertible Securities and Institutional Sales. She started her career at Van Kampen Funds. She holds a BA in Finance from the University of Houston.</t>
  </si>
  <si>
    <t>ugovindji@preludeventures.com</t>
  </si>
  <si>
    <t>418519-99P</t>
  </si>
  <si>
    <t>Andy Ozawa</t>
  </si>
  <si>
    <t>Ozawa</t>
  </si>
  <si>
    <t>Presidio Ventures</t>
  </si>
  <si>
    <t>Mr. Andy Ozawa serves as Chief of Operations at Presidio Ventures.</t>
  </si>
  <si>
    <t>+1 (408) 845-9458</t>
  </si>
  <si>
    <t>ozawa@presidio-ventures.com</t>
  </si>
  <si>
    <t>3975 Freedom Circle</t>
  </si>
  <si>
    <t>Suite 910</t>
  </si>
  <si>
    <t>Chief of Operations</t>
  </si>
  <si>
    <t>357204-70P</t>
  </si>
  <si>
    <t>Christoffer Kvernvold</t>
  </si>
  <si>
    <t>Christoffer</t>
  </si>
  <si>
    <t>Kvernvold</t>
  </si>
  <si>
    <t>Mr. Christoffer Kvernvold serves as Principal at Presidio Ventures.</t>
  </si>
  <si>
    <t>+44 (0)20 7246 3600</t>
  </si>
  <si>
    <t>Vintners' Place</t>
  </si>
  <si>
    <t>68 Upper Thames Street</t>
  </si>
  <si>
    <t>EC4V 3BJ</t>
  </si>
  <si>
    <t>418502-62P</t>
  </si>
  <si>
    <t>Dafydd Prole</t>
  </si>
  <si>
    <t>Dafydd</t>
  </si>
  <si>
    <t>Prole</t>
  </si>
  <si>
    <t>Mr. Dafydd Prole serves as an investment Principal at Presidio Ventures.</t>
  </si>
  <si>
    <t>prole@presidio-ventures.com</t>
  </si>
  <si>
    <t>305094-07P</t>
  </si>
  <si>
    <t>Dominik Slonecki</t>
  </si>
  <si>
    <t>Slonecki</t>
  </si>
  <si>
    <t>Mr. Dominik Slonecki serves as an Investment Director at Presidio Ventures. Mr. Dominik Slonecki serves as Board Observer at Algorithmiq. He served as a Board Member at AppyWay.</t>
  </si>
  <si>
    <t>42067-72P</t>
  </si>
  <si>
    <t>Ellen Pierce</t>
  </si>
  <si>
    <t>Ms. Ellen Pierce serves as Vice President of Administration at Presidio Ventures.</t>
  </si>
  <si>
    <t>pierce@presidio-ventures.com</t>
  </si>
  <si>
    <t>Vice President, Administration</t>
  </si>
  <si>
    <t>418515-67P</t>
  </si>
  <si>
    <t>Hiroseki Sagara</t>
  </si>
  <si>
    <t>Hiroseki</t>
  </si>
  <si>
    <t>Sagara</t>
  </si>
  <si>
    <t>Mr. Hiroseki Sagara serves as Associate at Presidio Ventures.</t>
  </si>
  <si>
    <t>sagara@presidio-ventures.com</t>
  </si>
  <si>
    <t>196925-23P</t>
  </si>
  <si>
    <t>Jamie Tapscott</t>
  </si>
  <si>
    <t>Tapscott</t>
  </si>
  <si>
    <t>Ms. Jamie Tapscott serves as an Executive Assistant at Presidio Ventures.</t>
  </si>
  <si>
    <t>tapscott@presidio-ventures.com</t>
  </si>
  <si>
    <t>222194-53P</t>
  </si>
  <si>
    <t>Kei Yoshida</t>
  </si>
  <si>
    <t>Yoshida</t>
  </si>
  <si>
    <t>Mr. Kei Yoshida serves as Principal at Presidio Ventures.</t>
  </si>
  <si>
    <t>yoshida@presidio-ventures.com</t>
  </si>
  <si>
    <t>370447-66P</t>
  </si>
  <si>
    <t>Koichi Mizoguchi</t>
  </si>
  <si>
    <t>Mizoguchi</t>
  </si>
  <si>
    <t>Mr. Koichi Mizoguchi serves as Associate at Presidio Ventures.</t>
  </si>
  <si>
    <t>300130-57P</t>
  </si>
  <si>
    <t>Kuni Kawase</t>
  </si>
  <si>
    <t>Kuni</t>
  </si>
  <si>
    <t>Kawase</t>
  </si>
  <si>
    <t>Mr. Kuni Kawase serves as Managing Director at Presidio Ventures.</t>
  </si>
  <si>
    <t>209888-38P</t>
  </si>
  <si>
    <t>Leonard Fong</t>
  </si>
  <si>
    <t>Fong</t>
  </si>
  <si>
    <t>Mr. Leonard Fong serves as Senior Controller at Presidio Ventures.</t>
  </si>
  <si>
    <t>fong@presidio-ventures.com</t>
  </si>
  <si>
    <t>Senior Controller</t>
  </si>
  <si>
    <t>297376-03P</t>
  </si>
  <si>
    <t>Masaki Himeno</t>
  </si>
  <si>
    <t>Himeno</t>
  </si>
  <si>
    <t>Mr. Masaki Himeno serves as Senior Director at Presidio Ventures. Mr. Himeno served as Director at Sumitomo Corporation of America.</t>
  </si>
  <si>
    <t>himeno@presidio-ventures.com</t>
  </si>
  <si>
    <t>42067-81P</t>
  </si>
  <si>
    <t>Masood Pirzada</t>
  </si>
  <si>
    <t>Masood</t>
  </si>
  <si>
    <t>Pirzada</t>
  </si>
  <si>
    <t>Mr. Masood Pirzada serves as Chief Executive Officer, Venture Investments at Presidio Ventures. He also serves as Board Member at Bluestacks and Enevate. He serves as Board Member at HiBob, TSAVORITE, CALIENT Technologies, Now.gg, and Solantro Semiconductor. Mr. Pirzada holds BS in Computer Science from California State University in 1997.</t>
  </si>
  <si>
    <t>pirzada@presidio-ventures.com</t>
  </si>
  <si>
    <t>Chief Executive Officer, Venture Investments</t>
  </si>
  <si>
    <t>42067-63P</t>
  </si>
  <si>
    <t>Michelle Soon</t>
  </si>
  <si>
    <t>Soon</t>
  </si>
  <si>
    <t>Ms. Michelle Soon serves as Director of Finance at Presidio Ventures.</t>
  </si>
  <si>
    <t>+1 (408) 896-5508</t>
  </si>
  <si>
    <t>soon@presidio-ventures.com</t>
  </si>
  <si>
    <t>357181-93P</t>
  </si>
  <si>
    <t>Miguel Reyes</t>
  </si>
  <si>
    <t>Mr. Miguel Reyes serves as an Associate at Presidio Ventures.</t>
  </si>
  <si>
    <t>reyes@presidio-ventures.com</t>
  </si>
  <si>
    <t>396324-37P</t>
  </si>
  <si>
    <t>Oshie Sato</t>
  </si>
  <si>
    <t>Oshie</t>
  </si>
  <si>
    <t>Mr. Oshie Sato serves as Senior Director at Presidio Ventures.</t>
  </si>
  <si>
    <t>169401-79P</t>
  </si>
  <si>
    <t>Raleigh Werner</t>
  </si>
  <si>
    <t>Mr. Raleigh Werner serves as Principal at Presidio Ventures. Mr. Werner served as Chief of Staff and Marketing Operations Manager at Accion Systems.</t>
  </si>
  <si>
    <t>+1 (781) 238-6630</t>
  </si>
  <si>
    <t>werner@presidio-ventures.com</t>
  </si>
  <si>
    <t>1500 District Avenue</t>
  </si>
  <si>
    <t>Suite 1038</t>
  </si>
  <si>
    <t>175915-09P</t>
  </si>
  <si>
    <t>Richard Crosfield</t>
  </si>
  <si>
    <t>Crosfield</t>
  </si>
  <si>
    <t>Mr. Richard Crosfield is a Director at Presidio Ventures. Mr. Crosfield serves as a Board Member at TOffeeAM. He served as an Associate at Ruffena Capital. His first degree was in mechanical engineering, and he later studied a full MBA at Cass in London before founding a technology business. He invented and designed a payment system that maximizes profits at busy bars, pubs, and restaurants. This led to him having much experience working with investors to raise equity and debt financing. He has a strong strategic drive, is a fluent Spanish speaker, and has excellent technical skills and day-to-day management of the complexities of advisory and investment work.</t>
  </si>
  <si>
    <t>crosfield@presidio-ventures.com</t>
  </si>
  <si>
    <t>13824-64P</t>
  </si>
  <si>
    <t>Ross Leav</t>
  </si>
  <si>
    <t>Leav</t>
  </si>
  <si>
    <t>Mr. Ross Leav serves as Senior Vice President at Presidio Ventures. He serves as a Board Observer at Phoenix Tailings, Karamba Security, Monitaur, Ori, PreVeil, Stardog, Symbrosia, and Mabl.</t>
  </si>
  <si>
    <t>leav@presidio-ventures.com</t>
  </si>
  <si>
    <t>247187-53P</t>
  </si>
  <si>
    <t>Seth Nishida</t>
  </si>
  <si>
    <t>Mr. Seth Nishida serves as Senior Director at Presidio Ventures. He serves as a Board Member at ActiveScaler.</t>
  </si>
  <si>
    <t>nishida@presidio-ventures.com</t>
  </si>
  <si>
    <t>370447-57P</t>
  </si>
  <si>
    <t>Shingo Tsuboi</t>
  </si>
  <si>
    <t>Shingo</t>
  </si>
  <si>
    <t>Mr. Shingo Tsuboi serves as Principal at Presidio Ventures.</t>
  </si>
  <si>
    <t>tsuboi@presidio-ventures.com</t>
  </si>
  <si>
    <t>396325-45P</t>
  </si>
  <si>
    <t>Syboney Caballero</t>
  </si>
  <si>
    <t>Syboney</t>
  </si>
  <si>
    <t>Caballero</t>
  </si>
  <si>
    <t>Ms. Syboney Caballero serves as Executive Administrative Assistant at Presidio Ventures.</t>
  </si>
  <si>
    <t>caballero@presidio-ventures.com</t>
  </si>
  <si>
    <t>441458-29P</t>
  </si>
  <si>
    <t>Taku Ando</t>
  </si>
  <si>
    <t>Taku</t>
  </si>
  <si>
    <t>Ando</t>
  </si>
  <si>
    <t>Mr. Taku Ando serves as Principal at Presidio Ventures.</t>
  </si>
  <si>
    <t>357180-04P</t>
  </si>
  <si>
    <t>Tomo Yamaguchi</t>
  </si>
  <si>
    <t>Tomo</t>
  </si>
  <si>
    <t>Mr. Tomo Yamaguchi serves as Senior Director at Presidio Ventures.</t>
  </si>
  <si>
    <t>yamaguchi@presidio-ventures.com</t>
  </si>
  <si>
    <t>370447-12P</t>
  </si>
  <si>
    <t>Toshiya Sato</t>
  </si>
  <si>
    <t>Toshiya</t>
  </si>
  <si>
    <t>Mr. Toshiya Sato serves as Principal at Presidio Ventures.</t>
  </si>
  <si>
    <t>sato@presidio-ventures.com</t>
  </si>
  <si>
    <t>89437-51P</t>
  </si>
  <si>
    <t>Tyler Schinto</t>
  </si>
  <si>
    <t>Schinto</t>
  </si>
  <si>
    <t>Mr. Tyler Schinto serves as Senior Director at Presidio Ventures. He serves as a Board Member at Atropos Health. He serves as a Board Observer at Citrine Informatics. He serves as a Board Observer at Tealium. He served as Director of private Equity Investments at Sumitomo Corporation. He has led the formation, financing and oversight of several portfolio companies and has been involved in the evaluation and analysis of numerous businesses and transaction opportunities across industries. Previously, as an Associate with Atlas Holdings, he performed modeling and financial analysis of new deal opportunities and worked closely with the management of portfolio companies on strategic initiatives and monitoring of investments. He served as Vice President of direct Investments at iCapital. In addition, he assisted with fundraising for Atlas Holdings' first committed fund. Prior to Atlas Holdings, he worked in Deloitte's Assurance and Advisory division as part of the Private Equity Investors Services group and was responsible for private equity fund audits, including valuations of portfolio companies. He is a graduate of Pace University's Lubin School of Business, where he earned combined MBA and BBA degrees. He is a Chartered Financial Analyst (CFA) charter holder and is certified as a Public Accountant (CPA) in the State of Connecticut.</t>
  </si>
  <si>
    <t>schinto@presidio-ventures.com</t>
  </si>
  <si>
    <t>277 Park Avenue</t>
  </si>
  <si>
    <t>Floor 15</t>
  </si>
  <si>
    <t>10172</t>
  </si>
  <si>
    <t>222193-36P</t>
  </si>
  <si>
    <t>Yumi Yoshizawa</t>
  </si>
  <si>
    <t>Yoshizawa</t>
  </si>
  <si>
    <t>Ms. Yumi Yoshizawa serves as Principal at Presidio Ventures.</t>
  </si>
  <si>
    <t>yoshizawa@presidio-ventures.com</t>
  </si>
  <si>
    <t>98309-71P</t>
  </si>
  <si>
    <t>Andrew Beebe</t>
  </si>
  <si>
    <t>Beebe</t>
  </si>
  <si>
    <t>Mr. Andrew Beebe serves as Managing Director at Obvious Ventures. He served as Board Member at Amply Power, Enbala, Xpertsea, Solstice Power Technologies, and Lightship. He serves as Board Member at Plant Prefab. He was a Co-Founder and served as President of EI Solutions. He is also a Member of the Investment Advisory Committee at PRIME Coalition. He also served as an advisor at GE Current. He has focused on clean technology and clean energy solutions. He started down the clean tech path with Energy Innovations in 2003, in which he grew from a business plan to a major solar developer serving customers like Google, Disney, Sony Pictures, and British Telecom. After selling the company to Suntech in 2008, Andrew served as Chief Commercial Officer at Suntech as well as Vice President of Global Product Strategy. During his tenure, Suntech became the largest solar company in the world. After leaving Suntech, Andrew spent two years as Vice President of Distributed Generation for NextEra Energy, the largest clean energy developer in the US. Before his cleantech career, Andrew spent a decade building companies in the early days of "Web 1.0." In 1998 Andrew co-founded Bigstep.com, an e-commerce platform designed to serve the needs of small businesses entering the Internet age. He has been supporting the enterprising ideas of people power ever since. Andrew is a member of the Advisory Board for GE's distributed generation business, Current by GE. He is also a member of the NREL Investor Advisory Board. He is a graduate of Dartmouth College. He also serves as a Board Member at SINAI.</t>
  </si>
  <si>
    <t>+1 (415) 754-0003</t>
  </si>
  <si>
    <t>andrew@obviousventures.com</t>
  </si>
  <si>
    <t>190 Pacific Avenue</t>
  </si>
  <si>
    <t>Obvious Ventures</t>
  </si>
  <si>
    <t>35641-27P</t>
  </si>
  <si>
    <t>Andrew Ziolkowski</t>
  </si>
  <si>
    <t>Ziolkowski</t>
  </si>
  <si>
    <t>Mr. Andrew Ziolkowski serves as Advisor, Sustainability at Sandbox Industries. He also serves as a Member of the Investment Advisory Committee at PRIME Coalition. He served as Board Member at Corvium. He served as Board Member at Novihum Technologies, Conservis and Descartes Labs. Among his successful investments, he includes DexCom, Biomimetic Pharmaceuticals, FutureHealth, Tessera, i-STAT, and The Liposome Company. Prior to joining Cultivian, he was a Managing Director of SAE Ventures and Forest Street Capital LLC, where he spent fourteen years as an investor and advisor to early-stage healthcare and technology companies. Previously, he was Director, of Venture Capital at CS First Boston Merchant Bank. He represents Cultivian on the Board of Directors of AquaSpy, Environmental Operating Solutions, Harvest Automation, and Novogy. He serves as a Board Member at Harvest Automation.</t>
  </si>
  <si>
    <t>+1 (317) 208-3333</t>
  </si>
  <si>
    <t>andy@cultiviansbx.com</t>
  </si>
  <si>
    <t>333 North Green Street</t>
  </si>
  <si>
    <t>Advisor, Sustainability</t>
  </si>
  <si>
    <t>Sandbox Industries</t>
  </si>
  <si>
    <t>416371-60P</t>
  </si>
  <si>
    <t>Anna Goldstein</t>
  </si>
  <si>
    <t>Ms. Anna Goldstein serves as Director of Impact at PRIME Coalition. She was the founding Executive Director of the Energy Transition Institute at the University of Massachusetts Amherst, where she led efforts to integrate different ways of thinking about technology and social equity in the energy transition.</t>
  </si>
  <si>
    <t>anna@primecoalition.org</t>
  </si>
  <si>
    <t>Director of Impact</t>
  </si>
  <si>
    <t>14069-53P</t>
  </si>
  <si>
    <t>Daniel Miller</t>
  </si>
  <si>
    <t>Mr. Daniel Miller served as Board Member at Svante and Axine. He is a Co-Founder of The Roda Group and serves as Managing Director. He also served as President and Board Member at mOasis. He serves as Board Member at Gridtential Energy. He also serves as Member of the Investment Advisory Committee at PRIME Coalition.He is on the Board of Directors of the four most recent Roda Group investments - mOasis, Inventys, Gridtential. He serves as Senior Advisor at Starshot Capital. The Roda Group believes that mOasis, Gridtential, and Axine will fundamentally advance the way we grow food, produce energy, store energy, and clean industrial wastewater, respectively . He was previously the president and member of the board of Ask Jeeves, Inc. (now Ask.com), a former Roda Group affiliate. He has served on the boards of other former affiliates including PolyServe (now owned by HP), SightSpeed (which was acquired by Logitech), and Solazyme (IPO May, 2011).Prior to The Roda Group, Mr. Miller was Executive Vice President of TCSI Corporation, a company he co-founded with his Roda Group partner, Roger Strauch. TCSI (now owned by Rocket Software) is a leading provider of integrated software products and services for the global telecommunications industry. Prior to TCSI, he was a systems engineer at Hughes Aircraft's (now Boeing) Space and Communications Group where he was responsible for designing communications payloads for commercial communications satellites. Mr. Miller is a member of Cornell University's Faculty Computing and Information Science and School of Electrical and Computer Engineering Advisory Boards. He is also an advisor to the PRIME Coalition and the XPrize Environment and Energy Prize Committee.Mr. Miller is a member of the board and former President of the Foundation Board of Trustees of the Chabot Space &amp; Science Center. At Chabot, Dan spearheaded the development of a climate change exhibit and web site for kids called Bill Nye's Climate Lab, featuring Bill Nye the Science Guy. He is a former member of the board of the Pacific Pinball Museum, a non-profit organization dedicated to teaching art, history, and science through pinball. Dan is a leading speaker on the urgent need to address climate change, including at the COP15 conference in Copenhagen. He gave a talk at TEDxOrangeCoast on how to fix climate change for free. He is also a member of The Climate Project. You can learn more about climate change and Dan's activities at his Climate Place web site. Dan received his Bachelor of Science in Electrical Engineering, with distinction, from Cornell University and his Master of Science in Electrical Engineering from Stanford University. He holds three patents in the areas of compression technology and wireless communications systems.</t>
  </si>
  <si>
    <t>+1 (510) 649-2182</t>
  </si>
  <si>
    <t>dan@rodagroup.com</t>
  </si>
  <si>
    <t>2217 5th Street</t>
  </si>
  <si>
    <t>94710-2216</t>
  </si>
  <si>
    <t>+1 (510) 649-0660</t>
  </si>
  <si>
    <t>The Roda Group</t>
  </si>
  <si>
    <t>157880-98P</t>
  </si>
  <si>
    <t>David Danielson Ph.D</t>
  </si>
  <si>
    <t>Danielson</t>
  </si>
  <si>
    <t>Dr. David Danielson serves as Partner at Breakthrough Energy Ventures. He serves as a Board Member at M2X Energy. He serves as a Board Member at Equilibrium Energy, Lilac Solutions, ElectraSteel, National Venture Capital Association, and Form Energy &amp; Fervo Energy. He serves as a Member of the Investment Advisory Committee at PRIME Coalition. He serves as a Member of the Investment Committee at Clean Energy Trust. He is a Managing Director at Breakthrough Energy Ventures, a new Bill Gates-led 1 billion dollar investment fund focused on building the breakthrough energy technology companies of tomorrow. He also currently serves as a Precourt Energy Scholar at the Precourt Insitute for Energy at Stanford University, where he teaches a course on energy entrepreneurship. He is considered a global expert in the development of next-generation clean-energy technologies and the creation of new R&amp;D and organizational models for high-impact clean-energy innovation. Before joining Breakthrough Energy Ventures, he served for four years as the U.S. Department of Energy's (DOE) Assistant Secretary of Energy Efficiency and Renewable Energy (EERE), where he led the world's largest government clean-energy innovation funding organization. At EERE, he directed the Obama Administration's innovation strategy in the areas of sustainable transportation, renewable power, energy efficiency, and clean-energy manufacturing, investing approximately $2 billion annually into American clean-energy innovation. Before joining EERE, he was employee #1 at the DOE's Advanced Research Projects Agency-Energy (ARPA-E), a highly successful funding agency that focuses on the development of high-risk, high-reward clean-energy technologies. Before his government service, he was a clean-energy venture capitalist at General Catalyst Partners and, as a Ph.D. student at MIT, was the founder and president of the MIT Energy Club. He holds a Ph.D. from MIT and a BS from UC Berkeley, both in the field of Materials Science &amp; Engineering.</t>
  </si>
  <si>
    <t>+1 (425) 497-4300</t>
  </si>
  <si>
    <t>david@breakthroughenergy.org</t>
  </si>
  <si>
    <t>Kirkland</t>
  </si>
  <si>
    <t>Kirkland, WA</t>
  </si>
  <si>
    <t>Po Box 563</t>
  </si>
  <si>
    <t>98033</t>
  </si>
  <si>
    <t>Partner, Breakthrough Energy Ventures</t>
  </si>
  <si>
    <t>Breakthrough Energy</t>
  </si>
  <si>
    <t>82266-67P</t>
  </si>
  <si>
    <t>Dawn Lippert</t>
  </si>
  <si>
    <t>Dawn</t>
  </si>
  <si>
    <t>Lippert</t>
  </si>
  <si>
    <t>Ms. Dawn Lippert serves as a Founding Partner at Earthshot Ventures. She is the Founder &amp; serves as Chief Executive Officer &amp; Board Member at Elemental Excelerator. She also serves as a Member of the Investment Advisory Committee at PRIME Coalition. The Energy Excelerator helps innovative energy companies succeed in Hawaii and the Asia Pacific with funding up to $1M per company, strategic relationships, and a vibrant ecosystem. The program is funded by the U.S. Office of Naval Research, the U.S. Department of Energy, the State of Hawaii, and private investors; it operates as a program within the 501c3 organization Pacific International Center for High Technology Research (PICHTR). Before joining PICHTR in 2009, she was a management consultant with Booz Allen's alternative energy team and worked on clean energy projects in Washington DC, India, Africa, and Latin America. Her work at Booz Allen included conducting financial and policy analysis for the Hawaii Clean Energy Initiative (HCEI), a partnership between the U.S. Department of Energy and the State of Hawaii initiated in 2008. She holds a BA in Environmental Studies and a Master's from Yale School of Management.</t>
  </si>
  <si>
    <t>dawn@earthshot.vc</t>
  </si>
  <si>
    <t>Earthshot Ventures</t>
  </si>
  <si>
    <t>135821-44P</t>
  </si>
  <si>
    <t>Drew FitzGerald</t>
  </si>
  <si>
    <t>FitzGerald</t>
  </si>
  <si>
    <t>Mr. Drew FitzGerald is a Co-Founder of Just (Beverages). He is the Founding Advisor of PRIME Coalition.</t>
  </si>
  <si>
    <t>+1 (855) 282-5878</t>
  </si>
  <si>
    <t>Just (Beverages)</t>
  </si>
  <si>
    <t>28512-64P</t>
  </si>
  <si>
    <t>Nancy Pfund</t>
  </si>
  <si>
    <t>Pfund</t>
  </si>
  <si>
    <t>Ms. Nancy Pfund is a Co-Founder and serves as Managing Partner at DBL Partners. Ms. Pfund is an Angel Investor. She serves as Board Observer at Mast Reforestation. She serves as Board Member at Bellwether Coffee. She also serves as Board Member and Observer at The Muse. She currently sponsors or sits on the Board of Directors of several companies, including; Farmers Business Network, The Muse, Off-Grid Electric PRIME Coalition, and, before their public offerings, Tesla Motors, and Pandora. She serves as an Advisor at Dynamo Energy Hub. She served as a Board Member at Primus Power. She served as a Board Member at Advanced Microgrid Solutions. She also served on the board of SolarCity from 2008 until its acquisition by Tesla in December 2016, on both the audit and compensation committees, and chairing its corporate governance committee; Before founding DBL Investors, she was a Managing Director in Venture Capital at JPMorgan, having started her investment career at Hambrecht &amp; Quist in 1984. Previously, she worked at Intel Corporation, the State of California, Stanford University, and the Sierra Club. She was featured as #17 in the 2014 FORTUNE Inaugural World's Top 25 Eco-Innovators and appeared on Fast Company's 2016 List of Most Creative People in Business. She serves on the Advisory Council of the Bill Lane Center for the American West at Stanford University; the Advisory Board of the Lawrence Berkeley National Laboratory (Berkeley Lab); the UC Davis Center for Energy Efficiency, and co-chairs the Yale School of Management Program on Entrepreneurship. She is also a Trustee of the National Geographic Society. She has been a Lecturer in Management at the Stanford Graduate School of Business and the Yale School of Management; and is a C3E Ambassador to the U.S. Clean Energy Education and Empowerment Program, led by the U.S. Department of Energy. She is also a founding officer and director of ABC2, a foundation aimed at accelerating a cure for brain cancer. She is the author, along with Benjamin Healey of the widely cited report on the history of U.S. energy subsidies entitled, "What Would Jefferson Do? The Historical Role of Federal Subsidies in Shaping America's Energy Future", co-authored with Michael Lazar, "Red, White &amp; Green: The True Colors of America's Clean Tech Jobs", co-authored with Noah Walker, "Ask Saint Onofrio: Finding What Has Been Lost in A Tale of Two Energy Sources", co-authored with Anand Chhabra, "Renewables Are Driving Up Electricity Prices: Wait, What?", and co-authored with Kristofer Holz, The 2017 Inauguration: Empowering a Clean Energy Nation". She received her BA and MA in anthropology from Stanford University and her MBA from the Yale School of Management.</t>
  </si>
  <si>
    <t>+1 (415) 568-2901</t>
  </si>
  <si>
    <t>nancy@dbl.vc</t>
  </si>
  <si>
    <t>One Montgomery Street</t>
  </si>
  <si>
    <t>Suite 2375</t>
  </si>
  <si>
    <t>+1 (415) 956-2561</t>
  </si>
  <si>
    <t>DBL Partners</t>
  </si>
  <si>
    <t>142011-46P</t>
  </si>
  <si>
    <t>Nobuyuki Kambe Ph.D</t>
  </si>
  <si>
    <t>Nobuyuki</t>
  </si>
  <si>
    <t>Kambe</t>
  </si>
  <si>
    <t>Dr. Nobuyuki Kambe served as a Board Member at Sionic Energy. He served as a Board Mmeber at Imprint Energy. He serves as Co-Founder &amp; Managing General Partner at Phoenix Venture Partners. He serves as a Member of the Investment Advisory Committee at PRIME Coalition. He serves as a Board Member at NOHMs Technologies. He served as a Board Member at Tactus Technology. He served as a Board Member at C3Nano. He is a distinguished inventor and serial entrepreneur with deep expertise in nanomaterials. He was a Senior Manager of New Business Strategy in semiconductor and carbon nanomaterials and devices at Nippon Telegraph &amp; Telephone (NTT) with management oversight of thousands of patents and hundreds of commercialization and R&amp;D partnerships. He earned his BS and MS from Keio University and his Ph.D. from MIT.</t>
  </si>
  <si>
    <t>+1 (650) 349-3467</t>
  </si>
  <si>
    <t>nobuyuki@phoenix-vp.com</t>
  </si>
  <si>
    <t>1700 South El Camino Real</t>
  </si>
  <si>
    <t>Suite 355</t>
  </si>
  <si>
    <t>+1 (650) 349-3469</t>
  </si>
  <si>
    <t>Phoenix Venture Partners</t>
  </si>
  <si>
    <t>135982-90P</t>
  </si>
  <si>
    <t>Sarah Kearney</t>
  </si>
  <si>
    <t>Ms. Sarah Kearney is a Co-Founder and serves as Executive Director and Board Member at PRIME Coalition. She co-founded and served as Executive Director at Just Goods. Sarah was put in a humbling position of marshalling philanthropic capital as her first job out of college. Since then, she's worked non-stop to expand the way humanity thinks about philanthropic giving.</t>
  </si>
  <si>
    <t>+1 (585) 662-8045</t>
  </si>
  <si>
    <t>sarah@primecoalition.org</t>
  </si>
  <si>
    <t>Co-Founder, Executive Director and Board Member</t>
  </si>
  <si>
    <t>38792-17P</t>
  </si>
  <si>
    <t>Spencer Maughan Ph.D</t>
  </si>
  <si>
    <t>Maughan</t>
  </si>
  <si>
    <t>Dr. Spencer Maughan is the Founder and serves as Managing Partner at DYDX. Dr. Maughan serves as Board Member at Enko. He is a co-founder and served as a managing partner at Finistere Ventures. He is a Co-Founder and serves as Co-Chairman at Hi Fidelity Genetics. He serves as a Board Member at ZeaKal. He served as a Board Member at AgGenetics. He served as a Board Member at Telesense. He served as Vice President at Venrock. He is also a Member of the Investment Advisory Committee at PRIME Coalition. Before his study at Stanford, he spent over a decade performing and managing genetic research around the globe. In collaboration with Aventis CropScience (acquired by Bayer), he investigated new genes connecting environmental signals to plant growth. As a Marie Curie Fellow, at the Institute of Biotechnology (University of Cambridge), he described new components of stem cell division. His research has received numerous awards including honours from the UK Houses of Parliament for work that has led to the identification of a new set of compounds for the treatment of malaria. He also serves as a Member of the Investment Committee at PRIME Coalition. He did his MBA (Master of Business Administration) from Stanford Graduate School of Business and the University of Melbourne he completed his Ph.D. and BS in Genetics.</t>
  </si>
  <si>
    <t>spencer@dydxcap.com</t>
  </si>
  <si>
    <t>141636-34P</t>
  </si>
  <si>
    <t>Tom Biegala</t>
  </si>
  <si>
    <t>Biegala</t>
  </si>
  <si>
    <t>Mr. Tom Biegala is a Board Member at Cadstrom. He is a Founding Partner of Bison Ventures. It is an early-stage venture capital firm focused on investing in frontier technology companies that create a healthier person and a healthier planet. He serves as a Board Observer at Zyphra. He has been working in frontier technology and sustainability as an investor and engineer for nearly 20 years. His passion for space started with early research on cutting-edge OLED and photovoltaic technologies as an engineering student at Cornell University. Since then, he has been in involved in all phases of a company's life cycle from newco formation and early R&amp;D through to scale-up and IPO. Prior to founding Bison Ventures, he was part of a team of investment professionals managing the personal venture capital investments of Bill Gates at Cascade Asset Management Company. He was the first venture capital investment professional dedicated to this work at Cascade and throughout his time has been involved in category-creating sustainability companies. He serves as a Board Member at Allonnia. He started his career at Intel Corporation as a manufacturing engineer, which was followed by work developing next-generation solar photovoltaic technologies at two university spin-outs. While completing his MBA, he transitioned from engineering to venture capital investing at Altira Group, an energy technology-focused venture capital firm in Denver, Colorado. He received a B.S. in Materials Science and Engineering from Cornell University and an MBA from Northwestern University's Kellogg School of Management.</t>
  </si>
  <si>
    <t>tom@bison.vc</t>
  </si>
  <si>
    <t>1170 Gorgas Avenue</t>
  </si>
  <si>
    <t>Bison Ventures</t>
  </si>
  <si>
    <t>293817-16P</t>
  </si>
  <si>
    <t>Tom Chi</t>
  </si>
  <si>
    <t>Mr. Tom Chi serves as Member of Investment Advisory Committee at PRIME Coalition.</t>
  </si>
  <si>
    <t>Member of Investment Advisory Committee</t>
  </si>
  <si>
    <t>166448-08P</t>
  </si>
  <si>
    <t>Bonnie Bassler Ph.D</t>
  </si>
  <si>
    <t>Bassler</t>
  </si>
  <si>
    <t>Princeton University</t>
  </si>
  <si>
    <t>Dr. Bonnie Bassler serves as Molecular Biologist at Princeton University. Dr. Bassler serves as Board Member at Royalty Pharma. She has been a member of our board of directors since June 2020. She currently serves in several roles at Princeton University, including, Chair of the Department of Molecular Biology since 2013, associated faculty member of the Department of Chemistry since 2010, Investigator at the Howard Hughes Medical Institute since 2005, Professor in the Department of Molecular Biology since 1994, and associate faculty member of the Princeton Environmental Institute since 1996. Previously, she served as the Director of the Council on Science and Technology at Princeton University from July 2008 to June 2013. She has served as a board member at Kaleido Biosciences, since 2018, as a board member of Regeneron Pharmaceuticals, since 2016, and as a Trustee of the Alfred P. Sloan Foundation since 2014 and previously served as a board member of Sanofi from November 2014 to September 2016. She served as a board member of the American Association for the Advancement of Science from January 2012 to December 2016. She was a member of the National Science Board from January 2010 until May 2016. She has been elected to the National Academy of Sciences, the National Academy of Medicine, and the Royal Society, among other honorific organizations. She received a B.S. in biochemistry from the University of California-Davis and a Ph.D. in biochemistry from John Hopkins University. Dr. Bassler is a Co-Founder of PumpKin (Beverages).</t>
  </si>
  <si>
    <t>+1 (609) 258-4136</t>
  </si>
  <si>
    <t>bbassler@princeton.edu</t>
  </si>
  <si>
    <t>22 Chambers Street</t>
  </si>
  <si>
    <t>Suite 300Suite 300</t>
  </si>
  <si>
    <t>08542</t>
  </si>
  <si>
    <t>Molecular Biologist</t>
  </si>
  <si>
    <t>60875-47P</t>
  </si>
  <si>
    <t>Christopher Eisgruber</t>
  </si>
  <si>
    <t>Eisgruber</t>
  </si>
  <si>
    <t>Dr. Christopher Eisgruber serves as President at Princeton University. Dr. Eisgruber serves as President at Trustees of Princeton University. He also serves as a Board Member at Princeton University Investment Company. He previously served as provost for nine years. He joined the Princeton faculty in 2001 as the director of the Program in Law and Public Affairs and the Laurance S. Rockefeller Professor of Public and International Affairs and the University Center for Human Values.</t>
  </si>
  <si>
    <t>+1 (609) 258-6100</t>
  </si>
  <si>
    <t>eisgruber@princeton.edu</t>
  </si>
  <si>
    <t>331096-78P</t>
  </si>
  <si>
    <t>Jeffrey LeDonne</t>
  </si>
  <si>
    <t>LeDonne</t>
  </si>
  <si>
    <t>Mr. Jeffrey LeDonne serves as IT Support Manager at Princeton University.</t>
  </si>
  <si>
    <t>IT Support Manager</t>
  </si>
  <si>
    <t>200486-26P</t>
  </si>
  <si>
    <t>Max Franzblau</t>
  </si>
  <si>
    <t>Franzblau</t>
  </si>
  <si>
    <t>Associate &amp; Senior Associate</t>
  </si>
  <si>
    <t>Mr. Max Franzblau is an Investor &amp; serves as Senior Associate at Princeton University. He served as Investor at ICONIQ Growth. He served as Analyst at General Atlantic. He is part of the firm's thematic sourcing program. Before joining General Atlantic in 2018, he was a 2017 General Atlantic Summer Analyst. He holds a BA in Economics from Harvard University.</t>
  </si>
  <si>
    <t>mfranzblau@princeton.edu</t>
  </si>
  <si>
    <t>Investor &amp; Senior Associate</t>
  </si>
  <si>
    <t>49504-42P</t>
  </si>
  <si>
    <t>Andy Hayes</t>
  </si>
  <si>
    <t>PROOF</t>
  </si>
  <si>
    <t>Mr. Andy Hayes serves as Partner - Investor Relations and Fundraising at PROOF. He served as Managing Director at First Avenue Partners. He is responsible for distribution on the Westcoast U.S. and Western Canada and origination across the US and Asia. Before joining First Avenue, he spent 13 years at Oregon State Treasury, mostly as a private equity investment officer advising a globally diversified private equity portfolio, with an FMV of approximately $15 billion. Before Oregon State Treasury, he held an analyst position at R.V. Kuhns &amp; Associates conducting due diligence. He holds an MBA from Portland State University and is a CFA charter holder.</t>
  </si>
  <si>
    <t>+1 (703) 563-4100</t>
  </si>
  <si>
    <t>ahayes@proof.vc</t>
  </si>
  <si>
    <t>Reston</t>
  </si>
  <si>
    <t>Reston, VA</t>
  </si>
  <si>
    <t>11911 Freedom Drive</t>
  </si>
  <si>
    <t>Suite 1080</t>
  </si>
  <si>
    <t>20190</t>
  </si>
  <si>
    <t>+1 (703) 563-4111</t>
  </si>
  <si>
    <t>Partner - Investor Relations and Fundraising</t>
  </si>
  <si>
    <t>89922-25P</t>
  </si>
  <si>
    <t>Bryan Ciambella</t>
  </si>
  <si>
    <t>Ciambella</t>
  </si>
  <si>
    <t>Mr. Bryan Ciambella serves as a Partner at Peak State Ventures. He serves as General Partner at PROOF. He spent four years launching B Capital Group- a venture/growth equity fund launched in partnership with the Boston Consulting Group and Eduardo Saverin from Facebook. He spent three years at IAC (Tinder, Vimeo, Match, ANGI HomeServices) focused on new investments, business development and strategy. He led an investment in Apalon, a top 10 WW iOS app publisher and mobile B2B Software Company based in Minsk, Belarus and led the post-integration into IAC. He started Hello Fresh in the USA with Daniel Treiman, the largest global meal kit company. In 2010, he founded and had a successful exit with an online fantasy sports gaming company (acquired by the Global Gaming Network). He founded the World Championship of Ping Pong, which aired in over 840 million homes worldwide (CCTV, Fox Sports) and was acquired by Matchroom Sports.</t>
  </si>
  <si>
    <t>bryan.ciambella@peakstate.vc</t>
  </si>
  <si>
    <t>972 Mission Street</t>
  </si>
  <si>
    <t>Peak State Ventures</t>
  </si>
  <si>
    <t>355572-19P</t>
  </si>
  <si>
    <t>Ha Dao</t>
  </si>
  <si>
    <t>Dao</t>
  </si>
  <si>
    <t>Mr. Ha Dao serves as Analyst at PROOF.</t>
  </si>
  <si>
    <t>ha@proof.vc</t>
  </si>
  <si>
    <t>184303-45P</t>
  </si>
  <si>
    <t>Jennifer Schretter</t>
  </si>
  <si>
    <t>Schretter</t>
  </si>
  <si>
    <t>Ms. Jennifer Schretter serves as General Partner at PROOF Fund. She served as Director at DreamIt Ventures. She serves as Director at Dreamit where she manages Dreamit's startup acceleration cycles across multiple industry verticals and cities. She is responsible for overseeing all components of Dreamit's acceleration programs from the evaluation and selection of startups for each cycle and as potential investments for Dreamit through completion of the startups' next funding rounds. Prior to Dreamit, she was an Associate at Goldman Sachs where she sourced, evaluated, and built relationships with entrepreneurs, early and growth-stage companies, and investors. She later served as interim Chief of Staff at a machine learning company following their Series C funding. Prior to Goldman Sachs, she launched and ran an international jewelry business for five years, served as an independent consultant for the marketplace and consumer technology start-ups, and interned at NextGen Venture Partners, where she screened investment opportunities, performed due diligence, and assisted with fundraising and portfolio management. She began her career on Wall Street as an interdealer broker at Tullett Prebon and ICAP plc. She subsequently pursued psychophysiology research and coursework at Harvard University while writing a 93,000-word commercial fiction novel. She graduated magna cum laude from Boston College with a BA in Sociology and holds an MBA from the University of Virginia Darden School of Business.</t>
  </si>
  <si>
    <t>jennifer@proof.vc</t>
  </si>
  <si>
    <t>13144-42P</t>
  </si>
  <si>
    <t>John Backus Jr.</t>
  </si>
  <si>
    <t>Backus</t>
  </si>
  <si>
    <t>Mr. John Backus is a Co-Founder and serves as Managing Partner of Pro Rata Opportunity Fund. He also served as Chief Executive Officer and Director at PROOF Acquisition I. He serves as Senior Advisor at KBW Ventures. Mr. Backus also serves as Senior Advisor at Blue Heron Capital. He also served as Board member at Spotflux and Two Six Labs. Mr. Backus also serves as Senior Advisor at Blue Heron Capital. He is also a Co-Founder and serves as Managing Partner at NAV.VC. Before becoming a venture capitalist, he Co-Founded US Order, which revolutionized online banking, went public in 1995 and was sold to Visa. He began his career at Bain &amp; Company and Bain Capital, where he was the first management consultant to take a full time operating role in a portfolio company. He is currently serving on the NVCA Board of Directors. Additionally, he is Chairman Emeritus of the Northern Virginia Technology Council (NVTC) Board of Directors, the founding Chairman and current Board member of the NVTC TechPAC, and Chairman Emeritus of the Wolf Trap Foundation Board of Directors. He has served as a technology policy adviser to Virginia governors Gilmore, Warner and McDonnell. He holds a B.A. in Economics from Stanford University and an M.B.A. from Stanford University Graduate School of Business.</t>
  </si>
  <si>
    <t>+1 (703) 563-4101</t>
  </si>
  <si>
    <t>backus@proof.vc</t>
  </si>
  <si>
    <t>14104-90P</t>
  </si>
  <si>
    <t>John Burke</t>
  </si>
  <si>
    <t>Mr. John Burke is a Co-Founder and serves as General Partner at PROOF. Mr. Burke serves as Board Member at Valencell. He was a Board Member at B-Stock Solutions. Mr. Burke co-founded and served as General Partner at True Ventures. He serves as Board Member at ConnectEdu, Always Prepped, Socrative, Datacraft Solutions, DigitalSport, 410 Labs and Neon Labs. For eight years, he lived through the balancing act of building his own company at BMI Software, which he founded in 1989 and sold in 1997. Mr. Burke began his venture career at ABS Ventures in 1999, working with Mr. Phil Black and then, after the acquisition of Alex Brown and Sons by Deutsche Bank, continued on with DB Capital Partners. Before founding True, he was a Managing Member with Blacksmith Capital. Mr. Burke recently crossed an important threshold in his professional life: he has now been a venture capitalist longer than he was a CEO. He holds a BS degree in Mechanical Engineering from U.C. Berkeley, a BA degree in Economics from U.C. Santa Cruz and an MBA degree from Harvard Business School. Mr. Burke served as Board Member at EdgeConneX.</t>
  </si>
  <si>
    <t>+1 (650) 319-2150</t>
  </si>
  <si>
    <t>jburke@proof.vc</t>
  </si>
  <si>
    <t>290131-66P</t>
  </si>
  <si>
    <t>Margaret Varona</t>
  </si>
  <si>
    <t>Varona</t>
  </si>
  <si>
    <t>Ms. Margaret Varona serves as Chief Financial Officer at PROOF Fund. She has more than two decades of experience in the finance, accounting, and information technology spaces. Prior to joining PROOF, she served for six years as the Chief Financial Officer of Arborview Capital where she was responsible for the investor reporting, accounting, tax, compliance, and administrative operations of the firm and its Fund partnerships. Prior to joining Arborview Capital, she served for eight years as Finance Director for Beach Street Consulting, Inc., an information technology consulting firm. She was also Co-Founder and CFO of ServingTalent LLC, a social impact-focused recruiting firm working to reduce high levels of unemployment among military and foreign service spouses. She began her career with RWD Technologies and Fannie Mae as a project manager and information technology consultant.</t>
  </si>
  <si>
    <t>maggie@proof.vc</t>
  </si>
  <si>
    <t>208264-51P</t>
  </si>
  <si>
    <t>Michael Zarlenga</t>
  </si>
  <si>
    <t>Zarlenga</t>
  </si>
  <si>
    <t>Mr. Michael Zarlenga serves as General Counsel at PROOF Fund. He has over 25 years of experience practicing law and consulting with businesses. As General Counsel for PROOF, he oversees legal matters relating to compliance, existing funds, new fund formations, portfolio investments, and SPV closings. Additionally, he works closely with our CFO on investor relations and reporting. Prior to joining the PROOF team, he was an attorney with a local law firm and served as the General Counsel to Carson America, Inc., the principal campaign committee for Dr. Ben Carsons bid for the Republican Presidential Nomination. He is very familiar with the some of the PROOF team, as he assisted with the formation of a prior fund while an attorney with Manatt, Phelps &amp; Phillips, LLP more than 20 years ago.</t>
  </si>
  <si>
    <t>michael@proof.vc</t>
  </si>
  <si>
    <t>13144-60P</t>
  </si>
  <si>
    <t>Thanasis Delistathis</t>
  </si>
  <si>
    <t>Thanasis</t>
  </si>
  <si>
    <t>Delistathis</t>
  </si>
  <si>
    <t>Mr. Thanasis Delistathis is a Co-Founder and serves as Managing Partner at PROOF. He serves as Advisor at Elev8 Venture Partners. He is also a Co-Founder and serves as Managing Partner at NAV.VC. He serves as Board Observer at ExecOnline and Zeel. He serves as Board Member at TVU Networks. He served as Board Member at Bambeco and Moda Operandi. He is an experienced investor and advisor to growth companies. He has invested in entrepreneurs whose technology brought text messaging mainstream in the United States, movies to the Web, radio to your phone, and the ability to buy couture straight from the runway. he brings two decades of experience to his entrepreneurial teams and access to a premier set of syndicate investors as companies quickly scale. Before he became a venture capitalist, he spent three years providing corporate restructuring and financial strategies for 20 public subsidiaries and early-stage technology opportunities that are now part of Thermo Fisher Scientific. He started his career at McKinsey &amp; Co. He co-founded and served as Board Member at Zerve. He also served as Advisor at SignalFrame.</t>
  </si>
  <si>
    <t>+1 (703) 338-0919</t>
  </si>
  <si>
    <t>td@proof.vc</t>
  </si>
  <si>
    <t>95700-70P</t>
  </si>
  <si>
    <t>Gary Lin</t>
  </si>
  <si>
    <t>Purple Orange Ventures</t>
  </si>
  <si>
    <t>Mr. Gary Lin is the Founder and serves as Managing Director at Purple Orange Ventures. He co-founded Lovely Day Food. He served as an Advisor at Arkeon. He is the Founder and serves as Managing Director at EVIG Group. He served as a Board Observer at Melt&amp;Marble. He serves as an Advisor at Good Startup. He also serves as an Advisor at Recent Capital. He is a Co-Founder of Lovely Day Foods. He co-founded and served as the Chief Executive Officer &amp; Managing Director of glispa. He has over 15 years of online marketing experience, helping leading clients worldwide harness the Internet's potential as an advertising medium. As CEO, he leads growth strategy, operations, and product innovation. Previously, he founded Glispa, LLC in the US, which in 2008 was awarded the #1 Advertising &amp; Marketing company in America by Inc. 500 for its 3-year growth rate of over 800%. He has worked globally, in the US, Malaysia, China, Brazil, and Germany, and held several leadership roles at one of the very first global digital agencies, Beyond Interactive Inc. - now part of MediaCom (WPP). He was General Manager in Sao Paulo Brazil and head of business development in China before becoming one of the first hires in NYC. He holds a Marketing and International Marketing degree from the University of Michigan Business School.</t>
  </si>
  <si>
    <t>gary@purpleorange.com</t>
  </si>
  <si>
    <t>District Court - Charlottenburg</t>
  </si>
  <si>
    <t>HRB 145758 B</t>
  </si>
  <si>
    <t>146450-17P</t>
  </si>
  <si>
    <t>Brandon Maier</t>
  </si>
  <si>
    <t>Maier</t>
  </si>
  <si>
    <t>Quake Capital</t>
  </si>
  <si>
    <t>Mr. Brandon Maier is a Co-Founder &amp; serves as General Partner at LvlUp Ventures. He is a Co-Founder and serves as a Partner &amp; Portfolio Company Mentor at Quake Capital. Also, he is a Co-founder and serves as Chief Executive Officer at Jozii. As a member of the Quake team, he handles University Relations, Deal Flow Generation, Quake Social Media, and Sponsorship Outreach.</t>
  </si>
  <si>
    <t>+1 (646) 671-1038</t>
  </si>
  <si>
    <t>brandon@lvlup.vc</t>
  </si>
  <si>
    <t>90277</t>
  </si>
  <si>
    <t>LvlUp Ventures</t>
  </si>
  <si>
    <t>106528-78P</t>
  </si>
  <si>
    <t>Glennon Argenbright</t>
  </si>
  <si>
    <t>Glennon</t>
  </si>
  <si>
    <t>Argenbright</t>
  </si>
  <si>
    <t>Mr. Glenn Argenbright is a Co-Founder &amp; serves as a General Partner at Quake Capital. He is a Founding Partner at Sustainable Impact Partners. He served as Chief Executive Officer at FLO. Previously, he served as Managing Partner and Chief Operating Officer &amp; Secretary at Health News. He also serves as a Board Member and Advisor at ForSale Today. He served as Chief Executive Officer at Saflink. Early in his career, he co-founded Mediaplex, one of the original online ad-serving platforms. The Company went on to a successful IPO, with a valuation exceeding $4.5 billion. It was later acquired and is now part of the ValueClick family of companies. Other notable exits include Intellicom - acquired by Softnet Systems; Jotter - acquired by Saflink; and SFLK - where he restructured the business and successfully relisted the Company on NASDAQ, where the valuation climbed from roughly $18M to over $ 425 M. He has appeared as a guest lecturer at numerous universities and startup events throughout the U.S. In addition, he's been interviewed for both print and television, including Barron's, Bloomberg, Business Week, CNBC, CNN, Entrepreneur, Forbes, Fox Business, and Fox News, Inc. Magazine, Wired, and many others. His education includes a Law Degree from the University of San Diego, Advanced Studies and Certification in International Trade from Oxford University, Magdalen College, Oxford, England, and degrees in Urban Planning and Political Science from the University of California, San Diego. He serves as a Board Member at Strayos. He serves as a Board Member at HelloWoofy.com. He serves as a Board Member at Precision Aerospace Group.</t>
  </si>
  <si>
    <t>+1 (737) 317-2313</t>
  </si>
  <si>
    <t>glenn@quake.vc</t>
  </si>
  <si>
    <t>6513 123rd Avenue North East</t>
  </si>
  <si>
    <t>PO Box Suite 232</t>
  </si>
  <si>
    <t>38619-64P</t>
  </si>
  <si>
    <t>Jason Fernandez</t>
  </si>
  <si>
    <t>Mr. Jason Fernandez serves as Managing Partner at Quake Capital. He serves as General Partner at CRECI Ventures. He served as Principal at Bryker Capital. He served as Director, Business Development at Holtzman Partners. He actively seeks to build long-term relationships with his co-workers and clients, and he hopes to increase Holtzman Partners' market share within its current service areas and expand into new and exciting ones. Prior to joining Holtzman Partners, he spent more than 15 years as an investment banking, private equity, and entrepreneurial professional across a number of distinct industries, including technology, healthcare, E&amp;P, real estate and consumer products. He began his career at Arthur Andersen and Deloitte, followed by Oppenheimer, VVV Capital and the McLean Group before starting his own practice, Bryker Partners. He earned a B.A. in economics from Vanderbilt University and an M.B.A. from the Fuqua School of Business at Duke University.</t>
  </si>
  <si>
    <t>+1 (917) 701-5286</t>
  </si>
  <si>
    <t>jason@quake.vc</t>
  </si>
  <si>
    <t>213007-06P</t>
  </si>
  <si>
    <t>Akash Palkhiwala</t>
  </si>
  <si>
    <t>Akash</t>
  </si>
  <si>
    <t>Palkhiwala</t>
  </si>
  <si>
    <t>Qualcomm</t>
  </si>
  <si>
    <t>Mr. Akash Palkhiwala serves as Chief Financial Officer &amp; Chief Operating Officer at Qualcomm. Mr. Palkhiwala is an Angel Investor. He is currently Senior Vice President and finance lead for QCT, with responsibility for finance and all chipset products and segments including Mobile, RF Front End, Compute, Auto, Connectivity and Networking and IoT. He serves as an Advisor &amp; Board Member at Neuron7.</t>
  </si>
  <si>
    <t>+1 (858) 587-1121</t>
  </si>
  <si>
    <t>apalkhiwala@qualcomm.com</t>
  </si>
  <si>
    <t>5775 Morehouse Drive</t>
  </si>
  <si>
    <t>93099-43P</t>
  </si>
  <si>
    <t>Aleksandr Kushleyev</t>
  </si>
  <si>
    <t>Aleksandr</t>
  </si>
  <si>
    <t>Kushleyev</t>
  </si>
  <si>
    <t>Mr. Aleksandr Kushleyev serves as Principal Engineer at Qualcomm.</t>
  </si>
  <si>
    <t>akushleyev@qualcomm.com</t>
  </si>
  <si>
    <t>269523-64P</t>
  </si>
  <si>
    <t>Alex Katouzian</t>
  </si>
  <si>
    <t>Katouzian</t>
  </si>
  <si>
    <t>Mr. Alex Katouzian serves as Group General Manager, Mobile, Compute, &amp; XR (MCX), Qualcomm Technologies, Inc. at Qualcomm. In this role, Katouzian is responsible for the business unit strategy, chipset and software portfolios, P&amp;L, customer relationships, ecosystem business development, and oversight of all program management and execution for the Snapdragon platforms. His responsibilities include a focused expansion into creating premium, end-to-end experiences across handsets, earbuds and headsets, wearables, tablets, PCs, XR, gaming and security. Katouzian is also responsible for driving the Application Processor Technologies roadmap across all Business Units. Katouzian joined Qualcomm in 2002 as part of the Mobile business team focused on UMTS and CDMA product lines. He has held several growing management positions responsible for the expansion of the Snapdragon CDMA, UMTS, LTE, and 5G processors, from feature phones to smart phones, to computing and infrastructure. He holds a Bachelor of Science degree in electrical engineering from the University of California, San Diego with an emphasis in Semiconductor Physics.</t>
  </si>
  <si>
    <t>akatouzian@qualcomm.com</t>
  </si>
  <si>
    <t>Group General Manager, Mobile, Compute, &amp; XR (MCX), Qualcomm Technologies, Inc.</t>
  </si>
  <si>
    <t>190011-61P</t>
  </si>
  <si>
    <t>Alexander Rogers</t>
  </si>
  <si>
    <t>Mr. Alexander Rogers serves as President, Qualcomm Technology Licensing (QTL) &amp; Global Affairs at Qualcomm. Alexander H. Rogers, age 62, has served as Executive Vice President and President, Qualcomm Technology Licensing (QTL) since October 2016. He served as Senior Vice President and President, QTL from September 2016 to October 2016, Senior Vice President, Deputy General Counsel and General Manager, QTL from March 2016 to September 2016, Senior Vice President and Deputy General Counsel from October 2015 to March 2016 and Senior Vice President and Legal Counsel from April 2007 to October 2015. Prior to transitioning to QTL, Mr. Rogers led Qualcomm's litigation group. Mr. Rogers joined Qualcomm in January 2001 as an attorney. He also serves as Board Member at Amionx. Prior to joining Qualcomm, Mr. Rogers was a partner at the law firm of Gray, Cary, Ware &amp; Friedenrich (now DLA Piper), specializing in intellectual property and commercial litigation. Mr. Rogers holds B.A. and M.A. degrees in English Literature from Georgetown University and a J.D. degree from Georgetown University Law Center.</t>
  </si>
  <si>
    <t>alex@qualcomm.com</t>
  </si>
  <si>
    <t>President, Qualcomm Technology Licensing (QTL) &amp; Global Affairs</t>
  </si>
  <si>
    <t>173912-95P</t>
  </si>
  <si>
    <t>Andrew Cohen</t>
  </si>
  <si>
    <t>Mr. Andrew Cohen is a Co-Founder of Qualcomm.</t>
  </si>
  <si>
    <t>andrew.cohen@qualcomm.com</t>
  </si>
  <si>
    <t>227006-11P</t>
  </si>
  <si>
    <t>Ann Chaplin JD</t>
  </si>
  <si>
    <t>Ms. Ann Chaplin serves as General Counsel &amp; Corporate Secretary at Qualcomm. Ms. Chaplin served as Corporate Secretary and Deputy General Counsel at General Motors. Since joining GM, she has managed several critical business areas, including complex litigation, compliance, customer experience, global product development, purchasing, intellectual property, labor and employment, special investigations, strategic transactions, and regulations. She also served as GM's chief compliance officer. She joined GM in 2015 as deputy general counsel of litigation. Previously, she was an equity principal at the law firm of Fish &amp; Richardson specializing in intellectual property litigation. She served as the firm's litigation practice group leader, responsible for a team of 250 litigators across 12 offices. She was also an elected member of the firm's management committee and served as the managing partner of the Twin Cities office. She holds a bachelor's degree from the University of Minnesota and earned her Juris Doctor from Harvard Law School.</t>
  </si>
  <si>
    <t>achaplin@qualcomm.com</t>
  </si>
  <si>
    <t>142624-27P</t>
  </si>
  <si>
    <t>Atif Piracha</t>
  </si>
  <si>
    <t>Atif</t>
  </si>
  <si>
    <t>Piracha</t>
  </si>
  <si>
    <t>Mr. Atif Piracha serves as Director of Corporate Strategy and Development at Qualcomm.</t>
  </si>
  <si>
    <t>ap@qualcomm.com</t>
  </si>
  <si>
    <t>Director of Corporate Strategy and Development</t>
  </si>
  <si>
    <t>424883-53P</t>
  </si>
  <si>
    <t>Baaziz Achour</t>
  </si>
  <si>
    <t>Baaziz</t>
  </si>
  <si>
    <t>Achour</t>
  </si>
  <si>
    <t>Dr. Baaziz Achour, who currently serves as Deputy CTO Dr. Achour will commence his service as CTO on February 3, 2025. Dr. Achour has served as Deputy Chief Technology Officer since 2023. He first joined Qualcomm as a Systems Engineer in 1993. Over the course of his tenure with Qualcomm, Dr. Achour has held several leadership roles within the engineering organization and has been essential in contributing to nearly every generation of wireless technology. He was a key part of the leadership team that enabled the accelerated launch of 5G and will lead the evolution of cellular to 6G. Dr. Achour holds a B.S. degree in Physics from the University of Algiers, and master's and doctorate degrees in Electrical Engineering from Tufts University. He has twenty-four granted U.S. patents in wireless communications.</t>
  </si>
  <si>
    <t>ba@qualcomm.com</t>
  </si>
  <si>
    <t>118419-85P</t>
  </si>
  <si>
    <t>Brian Modoff</t>
  </si>
  <si>
    <t>Modoff</t>
  </si>
  <si>
    <t>Mr. Brian Modoff serves as an Advisory Partner at Summit Partners. He serves as Advisor at Ethernovia. He serves as an Advisor and Board Member at FemtoMetrix. He serves as a Board Member at Mixed-Signal Devices. He serves as an Advisor at Frore Systems. He served as a Board Member at Exium. He was a Managing Director in Equity Research at Deutsche Bank Securities Inc., a provider of financial services, from March 1999 to October 2015. He served as Executive Vice President of Strategy and M&amp;A and is a U.S. He served as Executive Vice President of Strategy, Mergers &amp; Acquisitions, and Venture Investments at Qualcomm. Prior to joining Deutsche Bank, he was a research analyst at several financial institutions from November 1993 to March 1999. He previously worked in defense electronics, including at Rockwell International in manufacturing management, and for the U.S. Navy as a communications technician. He holds a B.A. in Economics from California State University, Fullerton, and a Master of International Management from the Thunderbird School of Global Management. He served as Executive Vice President at Qualcomm.</t>
  </si>
  <si>
    <t>bm@qualcomm.com</t>
  </si>
  <si>
    <t>44863-21P</t>
  </si>
  <si>
    <t>Chris Zhao</t>
  </si>
  <si>
    <t>Mr. Chris Zhao serves as Senior Manager of Mergers &amp; Acquisitions and Corporate Development at Qualcomm.</t>
  </si>
  <si>
    <t>chris@qualcomm.com</t>
  </si>
  <si>
    <t>Senior Manager of Mergers &amp; Acquisitions and Corporate Development</t>
  </si>
  <si>
    <t>84697-75P</t>
  </si>
  <si>
    <t>Colin Ryan JD</t>
  </si>
  <si>
    <t>Dr. Colin Ryan serves as Chief Strategy &amp; Corporate Development Officer at Qualcomm. In this role, Ryan explores new business models, develops strategic initiatives and partnerships, drives market expansion and corporate business development, and guides the company through strategic planning. Ryan also oversees Mergers &amp; Acquisitions (M&amp;A) strategies and execution, as well as investments through Qualcomm Ventures to advance the ecosystem Previously, Ryan spent more than 25 years at Goldman Sachs advising clients across the technology, media, and telecom industries and held various leadership positions in both the U.S. and Europe, including Global Co-Head of Technology M&amp;A, Co-Head of M&amp;A for the Americas, and Global Co-Chairman of the Technology Media and Telecom advisory business. Most recently, he founded his own technology and media advisory and investment firm, Clipper Street Capital. Ryan holds a bachelor's degree in international law from University College Dublin and currently serves on the Board of the American Ireland Funds.</t>
  </si>
  <si>
    <t>cryan@qualcomm.com</t>
  </si>
  <si>
    <t>Chief Strategy &amp; Corporate Development Officer</t>
  </si>
  <si>
    <t>111517-57P</t>
  </si>
  <si>
    <t>Cristiano Amon</t>
  </si>
  <si>
    <t>Amon</t>
  </si>
  <si>
    <t>Dr. Cristiano Amon serves as President, Chief Executive Officer &amp; Board Member at Qualcomm. He serves as Board Member at Adobe. He serves as President at Qualcomm CDMA Technologies. In this role, and in partnership with Murthy Renduchintala, he is responsible for the oversight of all activities related to Qualcomm's semiconductor business within the mobile and computing segment. He also serves as a member of Qualcomm's executive committee. Prior to his co-president role, he served as Senior Vice President of Product Management of QCT, managing the company's wireless chipset portfolio. While at Qualcomm, he was also the chief technical officer of Vésper, a wireless operator in Brazil. He joined Qualcomm in 1995 as an engineer and throughout his tenure held several other technical and leadership roles. He also held positions in NEC, Ericsson and Velocom Inc. He holds a BS (Bachelor of Science) in Electrical Engineering and an Honorary Doctorate from Universidade Estadual de Campinas.</t>
  </si>
  <si>
    <t>camon@qualcomm.com</t>
  </si>
  <si>
    <t>80359-48P</t>
  </si>
  <si>
    <t>David Kidd</t>
  </si>
  <si>
    <t>Kidd</t>
  </si>
  <si>
    <t>Mr. David Kidd serves as Senior Director of Technology at Qualcomm. Previously he served as Vice President of Engineering at SuVolta.</t>
  </si>
  <si>
    <t>dkidd@qualcomm.com</t>
  </si>
  <si>
    <t>Senior Director of Technology</t>
  </si>
  <si>
    <t>106777-63P</t>
  </si>
  <si>
    <t>Don McGuire</t>
  </si>
  <si>
    <t>McGuire</t>
  </si>
  <si>
    <t>Mr. Don McGuire serves as Senior Vice President &amp; Chief Marketing Officer at Qualcomm. In this role, McGuire leads global marketing across all Qualcomm's businesses, as the company continues to diversify beyond mobile into new industries. McGuire oversees all aspects of marketing including, corporate communications, advertising, creative, media, brand management, product and technology marketing, partner and channel marketing, sales and ecosystem enablement, marketing strategy, planning and operations; and data science.Prior to becoming CMO, McGuire lead the Global Product and Technology Marketing organization. His oversight and strong marketing expertise led to innovative marketing campaigns and collaborative partnerships that have brought the most cutting-edge technology products to market.A dynamic marketing leader with 25 years of experience, McGuire has worked across mobile provider, device OEM, content/developer, and semiconductor industries. Prior to joining Qualcomm, McGuire was a senior leader at Intel, where he led global marketing strategy, campaigns, and messaging for their Client Computing Business. Additionally, McGuire was a founding member of a marketing strategy consulting firm, chief marketing officer of Amp'd Mobile, vice president of global marketing for Kyocera, vice president of sales and marketing for Leap Wireless and the vice president and general manager for Sprint PCS. For the past two years, Don has been recognized as one of the World's Most Influential CMOs by Forbes and was most recently recognized on the 2024 Forbes Entrepreneurial CMO 50 list. Don holds a Bachelor of Science degree from California State University, Chico in Business Administration and attended an executive master's program at Stanford University's Schwab School of Business.</t>
  </si>
  <si>
    <t>dmcguire@qualcomm.com</t>
  </si>
  <si>
    <t>Senior Vice President &amp; Chief Marketing Officer</t>
  </si>
  <si>
    <t>142624-90P</t>
  </si>
  <si>
    <t>Essa Cooper</t>
  </si>
  <si>
    <t>Essa</t>
  </si>
  <si>
    <t>Ms. Essa Cooper serves as Director of Project Management at Qualcomm.</t>
  </si>
  <si>
    <t>ecooper@qualcomm.com</t>
  </si>
  <si>
    <t>Director of Project Management</t>
  </si>
  <si>
    <t>133356-70P</t>
  </si>
  <si>
    <t>Heather Ace JD</t>
  </si>
  <si>
    <t>Ms. Heather Ace serves as Chief Human Resources Officer at Qualcomm. She serves as Board Member at Accelus. Previously, she was the chief human resources officer at Dexcom, reporting to the CEO, and serving as a member of the executive leadership team, and leading all aspects of HR, including working closely with the board of directors, compensation committee, and playing a key role in aligning the executive leadership team on companywide strategic priorities and operational planning and execution. Before Dexcom, Ace served as the EVP of global HR at Orexigen Therapeutics, the Business Integration Leader for Royal Philips' HealthTech acquisition of Volcano Corporation, the EVP of global HR at Volcano Corporation, and held various HR executive roles at Life Technologies. Ace also was a partner at Gray Cary Ware &amp; Freidenrich (now DLA Piper), where she practiced litigation and employment law, specializing in mergers and acquisitions.</t>
  </si>
  <si>
    <t>hace@qualcomm.com</t>
  </si>
  <si>
    <t>82489-78P</t>
  </si>
  <si>
    <t>Hiten Somwal</t>
  </si>
  <si>
    <t>Hiten</t>
  </si>
  <si>
    <t>Somwal</t>
  </si>
  <si>
    <t>Mr. Hiten Somwal serves as Senior Director of Strategy &amp; Corporate Development at Qualcomm. Prior to Qualcomm, He served as a Consultant at IBM. Mr. Somwal holds a Bachelor of Engineering degree in Computer Engineering from the University of Pune and a MBA in Finance from Cornell University.</t>
  </si>
  <si>
    <t>hsomwal@qualcomm.com</t>
  </si>
  <si>
    <t>Senior Director of Strategy &amp; Corporate Development</t>
  </si>
  <si>
    <t>82489-51P</t>
  </si>
  <si>
    <t>James Alexander</t>
  </si>
  <si>
    <t>Mr. James Alexander serves as Vice President of Corporate Development at Qualcomm. Previously, he served as the Director, QCT Corporate Development at Qualcomm.</t>
  </si>
  <si>
    <t>jalexander@qualcomm.com</t>
  </si>
  <si>
    <t>Vice President of Corporate Development</t>
  </si>
  <si>
    <t>79856-47P</t>
  </si>
  <si>
    <t>James Misener</t>
  </si>
  <si>
    <t>Misener</t>
  </si>
  <si>
    <t>Mr. James Misener serves as Senior Director of Product Management, Qualcomm Technologies at Qualcomm. Mr. Misener served as an Executive at Motus Ventures.</t>
  </si>
  <si>
    <t>jim@qualcomm.com</t>
  </si>
  <si>
    <t>Senior Director of Product Management, Qualcomm Technologies</t>
  </si>
  <si>
    <t>111520-36P</t>
  </si>
  <si>
    <t>James Thompson Ph.D</t>
  </si>
  <si>
    <t>Dr. James Thompson serves as Chief Technology Officer at Qualcomm. In this role, Thompson oversees engineering teams responsible for digital, analog, and RF chip design, technology developments including CDMA, WCDMA, LTE, and GERAN modems, video, audio, graphics and imaging engines, CPU and DSP hardware, as well as all AP and Modem SW development and product integration and testing. He serves as a Trustee at Wisconsin Alumni Research Foundation. Thompson also serves as a member of Qualcomm's executive committee. Thompson joined Qualcomm in 1992 working on a prototype of a CDMA base station used for early technical trials prior to standardization of IS-95. In 1994, he began work on the system design of Globalstar, a low earth orbit satellite communications system. In 1996, he was given overall engineering responsibility for the development of the Globalstar earth stations, phones, and data modems. Globalstar is deployed and operating in North America, South America, Europe, and Asia. In 2001, he moved over to QCT initially taking responsibility for all hardware development and expanding those responsibilities in 2005 to include FW and SW. Prior to joining Qualcomm, Thompson worked for Avantek Corporation in Santa Clara, California as an RF integrated circuit designer. Thompson holds a Bachelor of Science, Master of Science, and Ph.D in electrical engineering from the University of Wisconsin - Madison.</t>
  </si>
  <si>
    <t>jamest@qualcomm.com</t>
  </si>
  <si>
    <t>139351-51P</t>
  </si>
  <si>
    <t>Jason Pettit</t>
  </si>
  <si>
    <t>Pettit</t>
  </si>
  <si>
    <t>Mr. Jason Pettit serves as Senior Director of Product Management, Linux at Qualcomm. He served as a Board Member at Linaro.</t>
  </si>
  <si>
    <t>jpettit@qualcomm.com</t>
  </si>
  <si>
    <t>Senior Director of Product Management, Linux</t>
  </si>
  <si>
    <t>360566-38P</t>
  </si>
  <si>
    <t>Jeff Torrance</t>
  </si>
  <si>
    <t>General Manager &amp; Senior Vice President</t>
  </si>
  <si>
    <t>Mr. Jeff Torrance serves as Senior Vice President &amp; General Manager, Industrial and Embedded IoT, Qualcomm Technologies, Inc. at Qualcomm. Previously he served as vice president of investor relations and corporate development at CSR, where he led the company's strategic transformation to grow outside the mobile handset business. He moved to Qualcomm following the company's acquisition of CSR and has been instrumental in helping to grow the IoT business. He holds a Ph.D. in digital modulation from the University of Southampton, United Kingdom.</t>
  </si>
  <si>
    <t>jtorrance@qualcomm.com</t>
  </si>
  <si>
    <t>Senior Vice President &amp; General Manager, Industrial and Embedded IoT, Qualcomm Technologies, Inc.</t>
  </si>
  <si>
    <t>440707-33P</t>
  </si>
  <si>
    <t>Jilei Hou</t>
  </si>
  <si>
    <t>Jilei</t>
  </si>
  <si>
    <t>Hou</t>
  </si>
  <si>
    <t>Mr. Jilei Hou serves as Executive at Qualcomm.</t>
  </si>
  <si>
    <t>121041-91P</t>
  </si>
  <si>
    <t>Jon Russo JD</t>
  </si>
  <si>
    <t>General Counsel &amp; Senior Director</t>
  </si>
  <si>
    <t>Mr. Jon Russo serves as Senior Director &amp; Legal Counsel at Qualcomm. He is also a member of the Corporate M&amp;A team, working on various acquisitions, divestments, and joint ventures. He previously spent over 5 years as an associate at Cooley LLP where he represented companies and investors in a wide range of transactions including mergers and acquisitions, public equity and debt offerings and venture capital financings, as well as day-to-day corporate activities. Prior to joining Cooley, he was CFO for a startup scientific instrument company. He received a BA in Economics from UC San Diego and a JD from the University of San Diego, School of Law.</t>
  </si>
  <si>
    <t>jrusso@qualcomm.com</t>
  </si>
  <si>
    <t>Senior Director &amp; Legal Counsel</t>
  </si>
  <si>
    <t>139048-93P</t>
  </si>
  <si>
    <t>Michael Thacker</t>
  </si>
  <si>
    <t>Thacker</t>
  </si>
  <si>
    <t>Mr. Michael Thacker serves as Executive at Qualcomm.</t>
  </si>
  <si>
    <t>+1 (650) 258-3410</t>
  </si>
  <si>
    <t>mthacker@qualcomm.com</t>
  </si>
  <si>
    <t>220798-54P</t>
  </si>
  <si>
    <t>Nakul Duggal</t>
  </si>
  <si>
    <t>Nakul</t>
  </si>
  <si>
    <t>Duggal</t>
  </si>
  <si>
    <t>Mr. Nakul Duggal serves as Group General Manager, Automotive, Industrial and Cloud, Qualcomm Technologies, Inc. at Qualcomm. He serves as Board Member at Cubic (Telecom Services). He is vice president of automotive product management for Qualcomm, a global leader in semiconductor products and services focused on application processing, wireless communications, and software platforms. He has been a global technology leader and innovator in the wireless industry with experience in engineering, product strategy, and development for more than 20 years. He has been responsible for growing and developing Qualcomm's automotive product portfolio, P&amp;L management, product strategy, business development, and ecosystem alliances since 2011. He received an MBA from the University of California at Los Angeles and holds a bachelor's degree in electronics and communications engineering from M.S. University in India.</t>
  </si>
  <si>
    <t>+1 (858) 486-5365</t>
  </si>
  <si>
    <t>nduggal@qualcomm.com</t>
  </si>
  <si>
    <t>Group General Manager, Automotive, Industrial and Cloud, Qualcomm Technologies, Inc.</t>
  </si>
  <si>
    <t>142625-71P</t>
  </si>
  <si>
    <t>Nitin Dhiman</t>
  </si>
  <si>
    <t>Dhiman</t>
  </si>
  <si>
    <t>Mr. Nitin Dhiman serves as Director, 5G Global Product Marketing at Qualcomm. Previously, he served as Sr Due Diligence Analyst at Tech Coast Angels.</t>
  </si>
  <si>
    <t>ndhiman@qualcomm.com</t>
  </si>
  <si>
    <t>Director, 5G Global Product Marketing</t>
  </si>
  <si>
    <t>340227-46P</t>
  </si>
  <si>
    <t>Palkesh Jain Ph.D</t>
  </si>
  <si>
    <t>Palkesh</t>
  </si>
  <si>
    <t>Dr. Palkesh Jain serves as Senior Director of Technology at Qualcomm. In 2004, he joined the ASIC Group, Texas Instruments, Bengaluru, India, where he defined and developed, several of the GHz enabling reliability methodologies. In 2014, he joined the Central Engineering Team, Qualcomm Technologies Inc., Bengaluru, where he is involved with system level power and thermal management methodologies and initiatives. He holds 15 U.S. patents.</t>
  </si>
  <si>
    <t>pjain@qualcomm.com</t>
  </si>
  <si>
    <t>315294-13P</t>
  </si>
  <si>
    <t>Rajen Vagadia</t>
  </si>
  <si>
    <t>Rajen</t>
  </si>
  <si>
    <t>Vagadia</t>
  </si>
  <si>
    <t>Mr. Rajen Vagadia serves as Global Carrier Strategy &amp; Global Distribution Channel at Qualcomm.</t>
  </si>
  <si>
    <t>rvagadia@qti.qualcomm.com</t>
  </si>
  <si>
    <t>Global Carrier Strategy &amp; Global Distribution Channel</t>
  </si>
  <si>
    <t>330307-66P</t>
  </si>
  <si>
    <t>Roawen Chen Ph.D</t>
  </si>
  <si>
    <t>Roawen</t>
  </si>
  <si>
    <t>Dr. Roawen Chen serves as Chief Supply Chain &amp; Operations Officer, Qualcomm Technologies, Inc. at Qualcomm. In this role, Chen is responsible for Qualcomm's worldwide semiconductor operations and supply chain as well as all manufacturing engineering functions. Prior to Qualcomm, Chen was vice president of manufacturing operations at Marvell Semiconductor. Previously, Chen held a variety of leadership roles, including vice president and general manager of the Mobile Communication and Connectivity business unit, during his tenure at Marvell. Before Marvell, Chen also held technical and business positions at Intel and TSMC. Chen earned a bachelor's degree in Physics from National Tsing-Hua University in Taiwan, a master's degree in Materials Science from University of California, San Diego, and a doctorate in Electrical Engineering and Computer Science from the University of California, Berkeley. Chen was also a graduate of the Stanford Graduate School of Business Emerging COO Program.</t>
  </si>
  <si>
    <t>rchen@qualcomm.com</t>
  </si>
  <si>
    <t>Chief Supply Chain &amp; Operations Officer, Qualcomm Technologies, Inc.</t>
  </si>
  <si>
    <t>445549-33P</t>
  </si>
  <si>
    <t>Sanjeet Pandit</t>
  </si>
  <si>
    <t>Sanjeet</t>
  </si>
  <si>
    <t>Mr. Sanjeet Pandit serves as Senior Director, Business Development at Qualcomm.</t>
  </si>
  <si>
    <t>142627-06P</t>
  </si>
  <si>
    <t>Shravan Jhaveri</t>
  </si>
  <si>
    <t>Shravan</t>
  </si>
  <si>
    <t>Jhaveri</t>
  </si>
  <si>
    <t>Mr. Shravan Jhaveri serves as Executive, Qualcomm Automotive BU - Finance at Qualcomm.</t>
  </si>
  <si>
    <t>sj@qualcomm.com</t>
  </si>
  <si>
    <t>Executive, Qualcomm Automotive BU - Finance</t>
  </si>
  <si>
    <t>440473-24P</t>
  </si>
  <si>
    <t>Sudeepto Roy</t>
  </si>
  <si>
    <t>Sudeepto</t>
  </si>
  <si>
    <t>340393-15P</t>
  </si>
  <si>
    <t>Vinay Murthy</t>
  </si>
  <si>
    <t>Mr. Vinay Murthy serves as Senior Director of Technology at Qualcomm.</t>
  </si>
  <si>
    <t>vinay_murthy@qualcomm.com</t>
  </si>
  <si>
    <t>146807-29P</t>
  </si>
  <si>
    <t>William Kim</t>
  </si>
  <si>
    <t>Mr. William Kim serves as Director of Corporate Development at Qualcomm. Previously, he served as a Senior Finance Manager at QMT, Subsidiary of Qualcomm, Inc.</t>
  </si>
  <si>
    <t>wkim@qualcomm.com</t>
  </si>
  <si>
    <t>100214-83P</t>
  </si>
  <si>
    <t>Nick Coronges</t>
  </si>
  <si>
    <t>Coronges</t>
  </si>
  <si>
    <t>R/GA IoT Venture Studio</t>
  </si>
  <si>
    <t>Mr. Nick Coronges serves as Executive Vice President &amp; Chief Technology Officer at R/GA Accelerator. He also serves as a Partner at R/GA Ventures. As Global Chief Technology Officer, Nick leads R/GA's Technology capability across the agency's global network. In this connected age, Technology is a critical element of R/GA's work with clients, infused into business consulting and transformation strategy, product and service development, and communications and campaigns. Nick oversees a global staff of developers and technologists and works closely with clients such as Samsung, Nike, Beats by Dre, and Google as well as early stage and emerging startups to anticipate and strategically integrate advances in technology. In his nearly 10 years at R/GA, Nick was deeply involved in the Nike and R/GA partnership that resulted in many breakthrough products such as NIKEiD and the Nike+ platform. Nick's work has been recognized by the industry with many of its most esteemed awards, including the Cannes Integrated Titanium, the D&amp;AD Black Pencil, International Andy Gold, One Show awards, and Adweek's Campaign of the Decade. Prior to joining R/GA, Nick developed systems for managing Internet-connected hardware at a startup in San Francisco, and early web applications for clients at digital agencies in San Francisco and New York City. He also serves as Executive Vice President &amp; Global Chief Technology Officer, R/GA Technology Partner, R/GA Ventures at R/GA IoT Venture Studio.</t>
  </si>
  <si>
    <t>+1 (212) 946-4000</t>
  </si>
  <si>
    <t>nick.coronges@rga.com</t>
  </si>
  <si>
    <t>205 West 28th Street</t>
  </si>
  <si>
    <t>Suite 7</t>
  </si>
  <si>
    <t>R/GA Ventures</t>
  </si>
  <si>
    <t>74062-45P</t>
  </si>
  <si>
    <t>Stephen Plumlee</t>
  </si>
  <si>
    <t>Plumlee</t>
  </si>
  <si>
    <t>Mr. Stephen Plumlee serves as Founder at R/GA Ventures. He is the Founder of R/GA Ventures. He served as Vice Chairman at R/GA. He founded &amp; served as Managing Partner at R/GA Ventures. He served as Chief Operating Officer &amp; Managing Partner at Verizon Media Tech Venture Studio. He is responsible for coordinating R/GA's global operations including P&amp;L management, strategic growth for R/GA's international operations, financial tracking, and business continuity planning. He also oversees all client engagement agreements, statements of work, and company hiring, among other responsibilities. He joined R/GA in 1998 to lead the agency's Production Department, which grew more than ten-fold during his tenure. As EVP of Production, he developed the company's resource allocation process, and conceived and implemented a proprietary system for tracking project, client team, and department financial data, which has led to increased utilization, realization, and profitability. Stephen also managed R/GA's reorganization into client-based teams.</t>
  </si>
  <si>
    <t>+1 (718) 694-0750</t>
  </si>
  <si>
    <t>stephen.plumlee@rgaiot.com</t>
  </si>
  <si>
    <t>306721-63P</t>
  </si>
  <si>
    <t>Chris Afshar</t>
  </si>
  <si>
    <t>Afshar</t>
  </si>
  <si>
    <t>RAA Ventures</t>
  </si>
  <si>
    <t>Mr. Chris Afshar serves as Chief Financial Officer &amp; Co-Chief Operating Officer at RAA Ventures.</t>
  </si>
  <si>
    <t>cafshar@raaventures.com</t>
  </si>
  <si>
    <t>Chief Financial Officer &amp; Co-Chief Operating Officer</t>
  </si>
  <si>
    <t>61302-52P</t>
  </si>
  <si>
    <t>John Anzur JD</t>
  </si>
  <si>
    <t>Anzur</t>
  </si>
  <si>
    <t>Mr. John Anzur serves as Co-Chief Operating Officer at RAA Ventures. He was an Independent Advisor at RAA Capital. Prior to joining RAA, he practiced as a corporate and securities law partner at large international firms doing sophisticated business transactions. He also worked as General Counsel at The Lamaur Corporation, a publicly traded company. He earned his Bachelor of Arts and Masters at Oxford University, and received his Juris Doctor from Georgetown University.</t>
  </si>
  <si>
    <t>81660-88P</t>
  </si>
  <si>
    <t>Paris Koleini</t>
  </si>
  <si>
    <t>Koleini</t>
  </si>
  <si>
    <t>Mr. Paris Koleini serves as Managing Director at RAA Ventures. He serves as Managing director at RAA Ventures. Previously, he served as Private Equity/Venture Capital and Hedge Fund Consultant at Albourne Partners.</t>
  </si>
  <si>
    <t>+1 (415) 497-9059</t>
  </si>
  <si>
    <t>paris@raacap.com</t>
  </si>
  <si>
    <t>61301-98P</t>
  </si>
  <si>
    <t>Robert Afshar JD</t>
  </si>
  <si>
    <t>Mr. Robert Afshar is the Founding Partner of RAA Ventures. Mr. Afshar is an Angel Investor. He founded and served as Chief Executive Officer &amp; President at LeadClick Media. He was the Founder of Eadvertising. After earning a Bachelor of Arts from the University of California, Berkeley, and a Juris Doctor from the University of San Francisco's School of Law, he went on to practice corporate law. Shortly after his tenure as an attorney, he founded and presided over Legal Resource - a popular source for online "How To" legal information. In 1998, he founded LeadClick Media Inc., a leading online lead generation and internet marketing company that provides customers to the automotive, real estate, and financial services markets. In 2003, he launched eAdvertising.com which quickly became one of the leading affiliate marketing networks in the country reaching over 85 million customers. Additionally, in 2002 he co-founded and serves on the Board of Directors of FBM Software.</t>
  </si>
  <si>
    <t>+1 (804) 368-0299</t>
  </si>
  <si>
    <t>rafshar@raaventures.com</t>
  </si>
  <si>
    <t>2857 Paradise Road Unit 903</t>
  </si>
  <si>
    <t>89109</t>
  </si>
  <si>
    <t>154209-79P</t>
  </si>
  <si>
    <t>Ami Naik</t>
  </si>
  <si>
    <t>Ami</t>
  </si>
  <si>
    <t>Radicle Impact</t>
  </si>
  <si>
    <t>Ms. Ami Naik serves as a Partner at Radicle Impact. She leads the fund's diversity, equity, and inclusion work and the Radicle Fellows Council. She served as a Senior Associate at Radicle Impact. Previously, she worked both as an investment professional and in key leadership roles at early-stage companies. Most recently, she was Head of Business Operations at BloomThat and a Product Manager at Fairloan Financial. Prior to that, she was an investment professional and conducted due diligence and monitored investments at Elevar Equity, an early-stage, emerging market fund manager, and Cedarview Capital, a high-yield focused hedge fund. She started her career working in JPMorgan's Energy Investment Banking group. She received her MBA from Wharton School of Management and her bachelor's degree from Wellesley College, where she focused on Economics and Political Science.</t>
  </si>
  <si>
    <t>+1 (707) 656-2715</t>
  </si>
  <si>
    <t>ami@radicleimpact.com</t>
  </si>
  <si>
    <t>124790-68P</t>
  </si>
  <si>
    <t>Corey Vernon</t>
  </si>
  <si>
    <t>Vernon</t>
  </si>
  <si>
    <t>Ms. Corey Vernon served as Divisional Lead of Finance and Strategy at Evrnu. She serves as Partner at Radicle Impact. She received a BS with distinction in Commerce from the University of Virginia's McIntire School of Commerce with a concentration in Finance and Entrepreneurship. She was formerly an Analyst at ING Capital, where she focused on providing structured acquisition financing for leveraged buyout transactions. She has been a guest speaker at the University of Virginia, Stanford University, and UC Berkeley on impact venturing investing. He serves as Board Member at Evrnu.</t>
  </si>
  <si>
    <t>+1 (203) 273-9141</t>
  </si>
  <si>
    <t>corey@radicleimpact.com</t>
  </si>
  <si>
    <t>13252-06P</t>
  </si>
  <si>
    <t>Daniel Skaff</t>
  </si>
  <si>
    <t>Skaff</t>
  </si>
  <si>
    <t>Mr. Daniel Skaff is a Co-Founder &amp; serves as Managing Partner at Radicle Impact. He also serves as a Member of the Board of Directors at Marin Community Foundation. He serves as a Board Member at eCurrency Mint and Suma. He is its President and Co-Chief Executive Officer. He serves as a Board Member at Vericool and Jiko. He served as a Board Member at Beneficial State Bank. He served as a Board Member at MoCaFi. In addition to his responsibilities at Beneficial State and Radicle Impact, Dan is a Trustee and past Investment Committee Chair of the Marin Community Foundation; Trustee of the Latino Community Foundation; Board Member of the Bay Area Council; Member of the Federal Reserve Bank of San Francisco's Community Depository Institutions Advisory Council; and Advisory Board Member of Stratis Asia LP. Prior to Beneficial State Dan was Managing Partner of Sienna Ventures, a private equity firm investing in emerging consumer, mobile communications, and financial services companies. While at Sienna, Dan sponsored several businesses that grew from early stage to publicly-traded companies or resulted in successful private sales including Glu Mobile, Openwave Systems, Tradepoint Solutions, Motricity, Protocol Communications, Bojangles' Restaurants, and Heidi's Fine Desserts. Earlier in his career, Dan served as Executive Chairman of Pon North America and in the Corporate Finance Departments of Bankers Trust Company in Los Angeles and Bank of America in New York. Dan has also served as Senior Advisor to Fairview Capital's Darlington Partners public equities fund; as Co-Chairman and lead director of Glu Mobile (Nasdaq GLUU); and as a Director of EBT Digital Communications (LSE AIM) in Shanghai, China. He is a past member of the Harvard College Fund Council and a Trustee of the Bay Area Discovery Museum. Dan received a bachelor's degree with honors from Harvard University, and an MBA from the Wharton School at the University of Pennsylvania, where he was a Wharton Fellow and serves as a guest speaker in Wharton's Leadership in the Business World Program.</t>
  </si>
  <si>
    <t>dan@radicleimpact.com</t>
  </si>
  <si>
    <t>50763-61P</t>
  </si>
  <si>
    <t>Kathryn Taylor JD</t>
  </si>
  <si>
    <t>Ms. Kathryn Taylor is a Co-Founder and serves as Investor &amp; Special Limited Partner at Radicle Impact. She is also the CEO of One PacificCoast Bank, which she and her husband, Tom Steyer, co-founded in 2006. The bank's revolutionary ownership design means that its profits will be invested in the communities it serves. She is also a Founding Director of the TomKat Ranch Educational Foundation dedicated to sustainable food production through ranching, tours, research, and school lunch and garden programs. She serves on the Harvard University Board of Overseers, the Ecotrust Board of Directors, and the Grid Alternatives National Advisory Committee. She graduated with a bachelor's degree from Harvard University and earned a JD/MBA from Stanford University.</t>
  </si>
  <si>
    <t>+1 (510) 550-8405</t>
  </si>
  <si>
    <t>Co-Founder, Investor &amp; Special Limited Partner</t>
  </si>
  <si>
    <t>33231-43P</t>
  </si>
  <si>
    <t>Marc Brown JD</t>
  </si>
  <si>
    <t>Mr. Marc Brown serves as Partner &amp; Head of EQT Growth at EQT.He served as an Advisor at True Wind Capital Management. He serves as Corporate Vice President, Corporate Development and Global Head of Mergers &amp; Acquisitions of Strategic Investments at Microsoft. He serves as Board Memebr of Rapid7. He served as Executive at Union Bay Partners. He also serves as Advisor at Boldstart Ventures. He serves as Advisor at Ten Eleven Ventures. He has led 70+ acquisitions with over $5 billion in deal consideration, including Fast Search and Transfer, Tell me, Inc., Danger, Inc., DATAllegro, Frontbridge, Softricity, and Massive Inc. Additionally, he co-created Microsoft's China Investment Program ($60 million Fund I; currently investing $100 million Fund II) and sourced/negotiated and closed 8 program related investments representing ~$75 million of invested capital, including Inspur International, Chinasoft International, Dalian Hi-Think Computing and Rootnet. Prior to Microsoft, he was an Associate in the Corporate Group at Goodwin, Procter LLP where he represented venture capital and private equity firms in structuring, analyzing, drafting, negotiating and closing leveraged buyout, recapitalization and early and later-stage venture investments for clients such as Alta Communications, TA Associates, Summit Partners, Great Hill Partners, and eCOM Partners. He received a A.B. in Economics from Colgate University, an M.B.A. from NYU Stern School of Business and a J.D. from Georgetown University.</t>
  </si>
  <si>
    <t>+44 (0)20 7430 5510</t>
  </si>
  <si>
    <t>marc.brown@eqtpartners.com</t>
  </si>
  <si>
    <t>30 Broadwick Street</t>
  </si>
  <si>
    <t>W1F 8JB</t>
  </si>
  <si>
    <t>Partner &amp; Head of EQT Growth</t>
  </si>
  <si>
    <t>EQT</t>
  </si>
  <si>
    <t>180070-39P</t>
  </si>
  <si>
    <t>Phil Graves</t>
  </si>
  <si>
    <t>Mr. Phil Graves serves as Chief Executive Officer, Chief Financial Officer &amp; Board Member at Meati. He served as Co-Chief Executive Officer at Wild Idea. He serves as Advisor at Radicle Impact. He served as Chief Sustainability Officer at Bass Pro Shops.He serves as Advisor at Radicle Impact. He served as Chief Sustainability Officer at Bass Pro Shops. He served as Managing Director at Tin Shed Ventures. He also served as VP, Corporate Development at Patagonia. He earned his BBA Accounting (magna cum laude) and MS Finance degrees from Texas A&amp;M University. He is a Chartered Financial Analyst (CFA), Certified Public Accountant (CPA), Global Corporate Venturing Powerlist 100 Fund Manager.</t>
  </si>
  <si>
    <t>+1 (303) 200-0273</t>
  </si>
  <si>
    <t>phil.graves@meati.com</t>
  </si>
  <si>
    <t>6880 Winchester Circle</t>
  </si>
  <si>
    <t>Unit D</t>
  </si>
  <si>
    <t>80301</t>
  </si>
  <si>
    <t>Chief Executive Officer, Chief Financial Officer &amp; Board Member</t>
  </si>
  <si>
    <t>Meati</t>
  </si>
  <si>
    <t>400607-38P</t>
  </si>
  <si>
    <t>Sameer Jain</t>
  </si>
  <si>
    <t>Mr. Sameer Jain serves as Chief Financial Officer at Radicle Impact. He also focuses on supporting overall firm administration, investor relations, fund accounting, and portfolio investments. Previously, he has served in a variety of leadership roles across the investment management and financial services industries. Most recently, he worked as the Director of Fund Operations at Kiva Capital, an investment manager that supports underserved communities with impact-first capital. Prior to that, he was the Chief Operating Officer at Osmium Partners, an investment manager that focuses on small-cap public equity investing. He was also previously a Senior Vice President of Operations at Citco Fund Services, a market-leading fund administrator. He started his career at Investors Bank &amp; Trust followed by Barclays Global Investors. He received a BA in Economics and a BS in Psychology from the University of California, Davis. He is a licensed CPA in the state of California, a CGMA holder, and a member of the AICPA. He also completed executive education programs through Santa Clara University receiving a Certificate of Advanced Accounting Proficiency, as well as through VC University - which is a joint initiative of Venture Forward, the National Venture Capital Association, and Berkeley Law Executive Education.</t>
  </si>
  <si>
    <t>sameer@radicleimpact.com</t>
  </si>
  <si>
    <t>38753-38P</t>
  </si>
  <si>
    <t>Tom Chavez Ph.D</t>
  </si>
  <si>
    <t>Chavez</t>
  </si>
  <si>
    <t>Dr. Tom Chavez is a Co-Founder and serves as Executive Chairman at Headlamp Health. He co-founded and served as Chief Executive Officer at RevAmp. He is also a Co-Founder and serves as Co-Chief Executive Officer &amp; Board Member at Eskalera. He co-founded Beacon. He served as a Board Member at SturdyAI. He co-founded and served as Chairman at Habu. He serves as a Board Member at Truth{set}. He is a Co-Founder of Kapstan. He is a Co-Founder &amp; serves as CEO at Ketch. He serves as an Advisory Board Member at Radicle Impact. He is a Co-Founder and serves as General Partner at Super{set Startup Studio. He serves as a Board Member at conDati. He is a Co-Founder and serves as Chairman at MarkovML. He is a Co-Founder and serves as Chief Executive Officer at Boomjam. He serves on the Advisory Board of tvScientific. He serves as a Board Member at SturdyAI. Prior to forming super{set}, he was the CEO and co-founder of Krux, acquired by Salesforce in 2016. Before Krux, he was the CEO and co-founder of Rapt, acquired by Microsoft in 2008. He holds a B.A. in Computer Science and Philosophy from Harvard University and a Ph.D. in Engineering-Economic Systems and Operations Research from Stanford University.</t>
  </si>
  <si>
    <t>tom@headlamp.com</t>
  </si>
  <si>
    <t>23 Geary Street</t>
  </si>
  <si>
    <t>Headlamp Health</t>
  </si>
  <si>
    <t>354309-04P</t>
  </si>
  <si>
    <t>Alex Mihailiciuc</t>
  </si>
  <si>
    <t>Mihailiciuc</t>
  </si>
  <si>
    <t>Radix Venture</t>
  </si>
  <si>
    <t>Mr. Alex Mihailiciuc serves as Venture Partner at Radix Venture Partners. He serves as Vice President at UiPath - one of CEE's most valuable tech companies listed on NASDAQ. Helped transform a Bucharest apartment startup into a global leader in Robotic Process Automation (RPA)</t>
  </si>
  <si>
    <t>1 Cote d'Eich</t>
  </si>
  <si>
    <t>1450</t>
  </si>
  <si>
    <t>56424-07P</t>
  </si>
  <si>
    <t>Marton Szoke</t>
  </si>
  <si>
    <t>Marton</t>
  </si>
  <si>
    <t>Szoke</t>
  </si>
  <si>
    <t>Mr. Marton Szoke serves as Venture Partner at Radix Venture Partners. He served as a Board Member at Omixon. He served as Chairman at Soneas. He served as Board Member of Tresorit. He founded IndexTools and served as the Managing Director. He holds a Degree from Wirtschaftsuniversität Wien in 2002, he also completed a degree from Österreichische Schule Budapest in 1999.</t>
  </si>
  <si>
    <t>marton@radix-vc.com</t>
  </si>
  <si>
    <t>133029-91P</t>
  </si>
  <si>
    <t>Michal Olszacki Ph.D</t>
  </si>
  <si>
    <t>Olszacki</t>
  </si>
  <si>
    <t>Dr. Michal Olszacki serves as Chief Technology Officer at Radix Venture. Ph.D. in Microelectronics, over 5 years in post-doc research at INSA Toulouse. Former Managing Partner at a leading Polish deep tech VC - PIBIR.</t>
  </si>
  <si>
    <t>michal.olszacki@radix-vc.com</t>
  </si>
  <si>
    <t>354301-48P</t>
  </si>
  <si>
    <t>Michal Urbanowski</t>
  </si>
  <si>
    <t>Urbanowski</t>
  </si>
  <si>
    <t>Mr. Michal Urbanowski serves as Partner &amp; CFO at Radix Venture. He is two times CFO for a VC fund (Nomad VC, Valuetech), with 20 years experience in financial DD and M&amp;As. Several exits, including Booksy (currently valued at $640M) M.Sc. Eng, Warsaw University of Technology.</t>
  </si>
  <si>
    <t>michal@radix-vc.com</t>
  </si>
  <si>
    <t>Partner &amp; CFO</t>
  </si>
  <si>
    <t>150706-36P</t>
  </si>
  <si>
    <t>Pawel Bochniarz</t>
  </si>
  <si>
    <t>Bochniarz</t>
  </si>
  <si>
    <t>Mr. Pawel Bochniarz serves as Partner at Radix Venture. Serial entrepreneur turned into tech investor. Former founder and chairman of MIT Enterprise Forum Poland and Managing Partner at Valuetech - the 1st deep tech accelerators and deep tech seed funds in Poland. M.Sc in Economics, University of Warsaw.</t>
  </si>
  <si>
    <t>+352 48 50 17 40 07 4</t>
  </si>
  <si>
    <t>pawel@radix-vc.com</t>
  </si>
  <si>
    <t>354305-98P</t>
  </si>
  <si>
    <t>Serhii Sokolenko</t>
  </si>
  <si>
    <t>Serhii</t>
  </si>
  <si>
    <t>Sokolenko</t>
  </si>
  <si>
    <t>Mr. Serhii Sokolenko is a Co-Founder and serves as Chief Executive Officer and Managing Director at Tower. Mr. Sokolenko serves as Venture Partner at Radix Venture Partners. He also is an experienced angel investor and one of the key people in the growing Ukrainian startup ecosystem.</t>
  </si>
  <si>
    <t>Kolonnenstr. 8</t>
  </si>
  <si>
    <t>10827</t>
  </si>
  <si>
    <t>Co-Founder, Chief Executive Officer &amp; Managing Director</t>
  </si>
  <si>
    <t>Tower (Business/Productivity Software)</t>
  </si>
  <si>
    <t>130501-54P</t>
  </si>
  <si>
    <t>Wojciech Ratymirski</t>
  </si>
  <si>
    <t>Ratymirski</t>
  </si>
  <si>
    <t>Mr. Wojciech Ratymirski serves as a Partner at Radix Venture Partners. He serves as a Partner &amp; Investment Director at Newberg Investments. He served as Partner at ValueTech Seed. He also serves as Chief Financial Officer at InData Software. Since 2001, he has been professionally involved in accounting, controlling, and corporate finance. He serves as a Board Member at Kogena. He serves as a Board Member at Hustro. He gained many years of experience in the areas of corporate finance management, investment settlements, and controlling, among others as a financial director, including in companies listed on the Warsaw Stock Exchange, and conducting consulting and advisory activities. In the course of his professional career, he has repeatedly participated in capital transactions, both on the selling and buying side. He advised on M&amp;A transactions, and restructuring and conducted due diligence studies for the needs of acquisitions and mergers. At the request of private investors, the responsible person successfully carried out several entry and exit processes, achieving high rates of return for investors. A lawyer and political scientist by education (University of Wrocław), a graduate of postgraduate studies in "Accounting and financial control" at the University of Economics in Wrocław. He has an Accounting Certificate from the Ministry of Finance.</t>
  </si>
  <si>
    <t>+48 60 632 4112</t>
  </si>
  <si>
    <t>wojciech@radix-vc.com</t>
  </si>
  <si>
    <t>111378-97P</t>
  </si>
  <si>
    <t>Gregory Raiz</t>
  </si>
  <si>
    <t>Raiz</t>
  </si>
  <si>
    <t>Raiz Capital</t>
  </si>
  <si>
    <t>Mr. Gregory Raiz is the Founding Partner of Raiz Capital. He served as Managing Director at Techstars. He served as Chief Innovation Officer at RightPoint Consulting. As Chief Innovation Officer, he will continue building the culture of innovation throughout Rightpoint and working with clients to help them digitally transform their businesses using innovative technologies. He founded and served as Chief Executive Officer of Raizlabs. He graduated from Tufts University and got his start as a Program Manager on Windows XP. Raizlabs was founded in 2003 and hit its stride in 2007 with the launch of Apple's iPhone. When its first app rose to the top of the AppStore's charts, Raizlabs secured its place on the industry map. Originally known for the team's expertise in mobile app development and design, Raizlabs also creates technology for the web and other cutting-edge platforms from Voice to IoT, AI, VR, and more. He is passionate about impacting the tech community and remains active in Boston and SF's development and design communities. Beyond founding AltConf and DrinksOnTap, he actively speaks at engagements in conjunction with MIT, MobileMonday, HBS, Bentley, and Olin, as well as companies like Microsoft, Fidelity, Staples, and others. He sits on the boards of BostonCHI and UXPA Boston and continues to cultivate Raizlabs as well as his newest venture, AppBlade.com.</t>
  </si>
  <si>
    <t>graiz@raiz.vc</t>
  </si>
  <si>
    <t>Venture Lane</t>
  </si>
  <si>
    <t>02201</t>
  </si>
  <si>
    <t>210920-23P</t>
  </si>
  <si>
    <t>Jessica Lynch</t>
  </si>
  <si>
    <t>Ms. Jessica Lynch is a Founding Partner at Raiz Capital. She founded and served as Chief Executive Officer at WishRoute. She has dedicated her life to helping founders succeed after going through the journey herself. Prior to starting Raiz Capital, Jess was the CEO and founder of Wishroute, a MarTech company that helped health &amp; wellness subscription companies improve user adoption and engagement through SMS coaching. Wishroute was acquired by Suggestic in 2023 and IP was licensed to Guidely and Runzy. She holds an MBA from Boston University</t>
  </si>
  <si>
    <t>jlynch@raiz.vc</t>
  </si>
  <si>
    <t>351751-06P</t>
  </si>
  <si>
    <t>Althea Wishloff</t>
  </si>
  <si>
    <t>Althea</t>
  </si>
  <si>
    <t>Wishloff</t>
  </si>
  <si>
    <t>Raven Indigenous Capital Partners</t>
  </si>
  <si>
    <t>Mr. Althea Wishloff serves as a General Partner at Raven Indigenous Capital Partners. She serves as Board Member at FetchGoat. She served as Venture Associate at Panache Ventures. She served as a Board Member at Artemis. She serves as an Advisor at Misfit Ventures.</t>
  </si>
  <si>
    <t>altheawishloff@ravencapitalpartners.ca</t>
  </si>
  <si>
    <t>304-134 Abbott Street</t>
  </si>
  <si>
    <t>V6B 2K4</t>
  </si>
  <si>
    <t>353088-55P</t>
  </si>
  <si>
    <t>Devon Krainer</t>
  </si>
  <si>
    <t>Devon</t>
  </si>
  <si>
    <t>Krainer</t>
  </si>
  <si>
    <t>Ms. Devon Krainer serves as Investment Associate at Raven Indigenous Capital Partners. earned an Honors Business Administration bachelor's degree with distinction from the IUniversity of Western Ontario and a postgraduate diploma in Social Innovation from the University of Waterloo.</t>
  </si>
  <si>
    <t>devonkrainer@ravencapitalpartners.ca</t>
  </si>
  <si>
    <t>402219-64P</t>
  </si>
  <si>
    <t>Fiorella Schiffino</t>
  </si>
  <si>
    <t>Schiffino</t>
  </si>
  <si>
    <t>Ms. Fiorella Schiffino serves as Chief Financial Officer at Raven Indigenous Capital Partners.</t>
  </si>
  <si>
    <t>fiorella@ravencapitalpartners.com</t>
  </si>
  <si>
    <t>206309-80P</t>
  </si>
  <si>
    <t>Jeffrey Cyr</t>
  </si>
  <si>
    <t>Mr. Jeffrey Cyr serves as Managing Partner at Raven Indigenous Capital Partners. For nearly 20 years, he has provided strategic leadership for Indigenous, not-for-profit, and government organizations. He has helped create and implement the community-driven outcomes contract (a unique pay-for-success social finance model) and the Indigenous Solutions Lab process, which earned him an Ashoka Fellowship.</t>
  </si>
  <si>
    <t>jeffcyr@ravencapitalpartners.ca</t>
  </si>
  <si>
    <t>353090-80P</t>
  </si>
  <si>
    <t>Joshua Alook</t>
  </si>
  <si>
    <t>Alook</t>
  </si>
  <si>
    <t>Mr. Joshua Alook serves as Investment Associate at Raven Indigenous Capital Partners. He is a member of Bigstone Cree Nation and is grateful to reside on treaty 6 territory and ancestral homeland of the Metis in Saskatoon Saskatchewan with his wife. He currently holds a Bachelor of Commerce from the University of Saskatchewan and has spent the last 4 years providing banking and lending services to Indigenous Governments at First Nations Bank of Canada. He has a passion for working with indigenous businesses and is excited to help provide impact investment to indigenous entrepreneurs. Outside of his professional career, Josh comes from a sports background as a former national level swimmer and a senior hockey goalie. In his spare time, he likes to play hockey and then golf in the off-season. He serves as a Board Member at AdvancedAg.</t>
  </si>
  <si>
    <t>joshuaalook@ravencapitalpartners.ca</t>
  </si>
  <si>
    <t>353089-63P</t>
  </si>
  <si>
    <t>Nicole Johnny</t>
  </si>
  <si>
    <t>Johnny</t>
  </si>
  <si>
    <t>Ms. Nicole Johnny serves as Investment Associate at Raven Indigenous Capital Partners. She possesses extensive experience in real estate and investment financing with a specialty in researching and analyzing business development. She has experience in investment banking with RBC Capital Markets, tribal land valuations from both Federal and Tribal perspectives, and commercial real estate development. She received an MBA in finance from Pepperdine University and an undergraduate degree in finance and economics.</t>
  </si>
  <si>
    <t>njohnny@ravencapitalpartners.ca</t>
  </si>
  <si>
    <t>266469-04P</t>
  </si>
  <si>
    <t>Paul Lacerte</t>
  </si>
  <si>
    <t>Lacerte</t>
  </si>
  <si>
    <t>Mr. Paul Lacerte serves as Managing Partner at Raven Indigenous Capital Partners. He also serves as a Board Member at Boann Social Impact and nisto. He serves as an Advisor at the Social Awareness Group. He is the former Vice-Chair of the Vancouver Foundation Board of Directors, the former Board Chair for Reconciliation Canada, and a former representative to the United Nations Permanent Forum on Indigenous Issues. He was awarded the Order of BC in 2014.</t>
  </si>
  <si>
    <t>paullacerte@ravencapitalpartners.ca</t>
  </si>
  <si>
    <t>259805-44P</t>
  </si>
  <si>
    <t>Stephen Nairne</t>
  </si>
  <si>
    <t>Nairne</t>
  </si>
  <si>
    <t>Mr. Stephen Nairne serves as Chief Investment Officer at Raven Indigenous Capital Partners. Prior to joining Raven Indigenous Capital Partners in 2018, Mr. Nairne was the Founder and Managing Partner of AHL Venture Partners, an impact investing firm dedicating to scaling disruptive, scalable, and mission-driven enterprises across Sub-Saharan Africa. He also serves as Board Member at Animikii.</t>
  </si>
  <si>
    <t>stephennairne@ravencapitalpartners.ca</t>
  </si>
  <si>
    <t>39540-25P</t>
  </si>
  <si>
    <t>Bob Gillespie</t>
  </si>
  <si>
    <t>REACH Accelerating Real Estate</t>
  </si>
  <si>
    <t>Mr. Bob Gillespie serves as a Managing Partner, REACH Commercial at the National Association of Realtors Reach. He served as a Mentor at Sente Ventures. He also served as an Executive Director at Elmspring Accelerator. As Executive Director, he is responsible for the development and growth of the Elmspring Fund. He will also oversee the acquisition and development of top technology startups, which are increasingly in demand by tech accelerators and venture capital firms around the nation. Companies launched in the Elmspring accelerator have included College Annex, a search service for college campus rentals; HerbFront, the nation's only verified legal cannabis property listing platform; and Peer Realty, the premier real estate crowdfunding platform. He brings over 25 years of experience in consulting, technology, leadership, and operations. He is sought after by professional organizations, universities, and the media as a speaker on entrepreneurship, leadership, and innovation. In 1871, at the Chicago home of the Elmspring accelerator, he held regular sessions on finance, financial modeling, and related issues for entrepreneurs. As part of Anka Capital Management, he has worked with over 100 early and growth-stage companies on global market expansion and growth strategies. He is a self-described "serial entrepreneur," His diverse experience will make him both a valued leader within Elmspring and a valuable mentor for Elmspring accelerator participants. He has a BA in Computer Science and English from Knox College and an MBA from the University of Chicago Booth School of Business with concentrations in Entrepreneurship and Finance. He served as a Board Member at Conference Scheduling Solutions.</t>
  </si>
  <si>
    <t>+1 (312) 329-8524</t>
  </si>
  <si>
    <t>bgillespie@secondcenturyventures.com</t>
  </si>
  <si>
    <t>430 North Michigan Avenue</t>
  </si>
  <si>
    <t>Managing Partner, REACH Commercial</t>
  </si>
  <si>
    <t>Second Century Ventures</t>
  </si>
  <si>
    <t>400806-19P</t>
  </si>
  <si>
    <t>Bob Goldberg</t>
  </si>
  <si>
    <t>bgoldberg@narreach.com</t>
  </si>
  <si>
    <t>421678-09P</t>
  </si>
  <si>
    <t>Carlos Rousseau</t>
  </si>
  <si>
    <t>Rousseau</t>
  </si>
  <si>
    <t>Mr. Carlos Rousseau serves as Managing Partner at National Association of Realtors Reach. He also serves as a Mnaging Partner at Second Century Ventures, REACH Latam.</t>
  </si>
  <si>
    <t>carlos@narreach.com</t>
  </si>
  <si>
    <t>421689-07P</t>
  </si>
  <si>
    <t>Dan Weisman</t>
  </si>
  <si>
    <t>Weisman</t>
  </si>
  <si>
    <t>Mr. Dan Weisman serves as Director of Innovation Strategy at National Association of Realtors Reach.</t>
  </si>
  <si>
    <t>163404-37P</t>
  </si>
  <si>
    <t>Dave Garland</t>
  </si>
  <si>
    <t>Mr. Dave Garland serves as Managing Partner at REACH. Mr. Garland is responsible for sourcing and evaluating investment opportunities that promise to improve the global residential and commercial real estate industries. He brings over 18 years of strategic advisory experience to numerous venture-backed, public and private real estate companies, bridging these entities with established brokerages and technology firms. As a startup investor, he sits on several boards of growing real estate and mortgage technology organizations. As an industry practitioner, he has acquired, owned and managed portfolios of single-family residential, commercial and development properties across America. During the housing crisis, he worked with key organizations to create practical solutions for thousands of real estate</t>
  </si>
  <si>
    <t>dgarland@narreach.com</t>
  </si>
  <si>
    <t>244307-08P</t>
  </si>
  <si>
    <t>Lynette Keyowski</t>
  </si>
  <si>
    <t>Lynette</t>
  </si>
  <si>
    <t>Keyowski</t>
  </si>
  <si>
    <t>Ms. Lynette Keyowski serves as Managing Partner, REACH Canada at National Association of Realtors Reach. She has over 12 years' executive leadership and management experience in the North American real estate vertical, with a focus on delivering innovative, technology-based solutions to enhance the property transaction ecosystem.</t>
  </si>
  <si>
    <t>lynette@narreach.com</t>
  </si>
  <si>
    <t>Managing Partner, Reach Canada</t>
  </si>
  <si>
    <t>79786-63P</t>
  </si>
  <si>
    <t>Mark Birschbach</t>
  </si>
  <si>
    <t>Birschbach</t>
  </si>
  <si>
    <t>Mr. Mark Birschbach serves as Managing Director at REACH (Education and Training Services). Mr. Birschbach serves as Managing Director at Second Century Ventures. He also serves as Managing Director at the National Association of Realtors Reach. He is the Senior Vice President of strategic business, innovation &amp; technology (SBIT) for the national association of REALTORS. He and his team drive innovation in real estate and benefits to NAR members through strategic relationships with a broad range of business and technology players, driving significant non-dues revenue, return on investment, and cost savings to NAR members. He is responsible for managing Second Century Ventures; the Reach® Technology Accelerator, the REALTOR Benefits® Program, the Center for REALTOR® Technology, and NAR's top-level domains. He is leading NAR's effort to create a strategic think tank of world-class business leaders and innovators.</t>
  </si>
  <si>
    <t>+1 (312) 329-8619</t>
  </si>
  <si>
    <t>mbirschbach@narreach.com</t>
  </si>
  <si>
    <t>446155-39P</t>
  </si>
  <si>
    <t>Mr. Michael Hill serves as Program Director, UK at REACH Accelerating Real Estate.</t>
  </si>
  <si>
    <t>mhill@narreach.com</t>
  </si>
  <si>
    <t>Program Director, UK</t>
  </si>
  <si>
    <t>372389-95P</t>
  </si>
  <si>
    <t>Mike McAra</t>
  </si>
  <si>
    <t>McAra</t>
  </si>
  <si>
    <t>Mr. Mike McAra serves as Director, Reach Canada at National Association of Realtors Reach. He brings over a decade of data-driven leadership in scaling high-growth firms across North America. He holds an MBA, Summa Cum Laude, from the EDHEC Business School and is a former REALTOR.</t>
  </si>
  <si>
    <t>mmcara@narreach.com</t>
  </si>
  <si>
    <t>Director, Reach Canada</t>
  </si>
  <si>
    <t>180187-30P</t>
  </si>
  <si>
    <t>Natasha Terinova</t>
  </si>
  <si>
    <t>Terinova</t>
  </si>
  <si>
    <t>Ms. Natasha Terinova serves as Director, Reach UK at National Association of Realtors Reach. She Co-Founded Vmoto UK and served as its Chief Executive Officer. She brings over a decade of experience ranging from corporate partnerships to running and scaling innovative high growth companies focused on environmental sustainability. She holds an MBA from Kent Business School and is a regular speaker at industry events.</t>
  </si>
  <si>
    <t>nterinova@narreach.com</t>
  </si>
  <si>
    <t>Director, Reach Uk &amp; Partner</t>
  </si>
  <si>
    <t>54204-31P</t>
  </si>
  <si>
    <t>Zal Bilimoria</t>
  </si>
  <si>
    <t>Zal</t>
  </si>
  <si>
    <t>Bilimoria</t>
  </si>
  <si>
    <t>Refactor Capital</t>
  </si>
  <si>
    <t>Mr. Zal Bilimoria is a Founding Partner of Refactor Capital. Previously, Mr. Bilimoria served as a partner at Andreessen Horowitz where he helped launch the Bio Fund. Prior to that, he spent 10 years as a product manager at Microsoft, Google, Netflix, and LinkedIn building consumer and enterprise software products. He is an Angel Investor. After ten years building software products, He joined a16z in 2013 and was originally tasked to search for the next big consumer or enterprise app. However, dozens of exceptional founders pulled him into digital health. He volunteered to lead those efforts and supported a16z's investments in many health startups. My interests then expanded to include computational and synthetic biology. In 2015, I was part of a small team that launched a16z's first Bio Fund and thereafter, in 2016, left to start Refactor, where he is now managing 4 funds and $225M in AUM. After making a dozen "bio meets climate" investments, He elevated climate tech as a primary category of interest. Some of today's very best founders are building hard tech companies in bio and climate: where technology can be used to foster a happier, healthier, and more habitable world. He created Refactor to be one of the first institutional investors backing founders striving to manifest category-defining companies.</t>
  </si>
  <si>
    <t>zal@refactor.com</t>
  </si>
  <si>
    <t>330 Primrose Road</t>
  </si>
  <si>
    <t>429391-81P</t>
  </si>
  <si>
    <t>Alex Honnold</t>
  </si>
  <si>
    <t>Honnold</t>
  </si>
  <si>
    <t>ReGen Ventures</t>
  </si>
  <si>
    <t>Mr. Alex Honnold serves as an Advisor at ReGen Ventures. He is is widely recognized as the most accomplished and daring rock climber of his generation, gaining national attention for his free solo ascent of El Capitan in Yosemite National Park, immortalised in the Academy Award®-winning documentary Free Solo.</t>
  </si>
  <si>
    <t>+61 (0)4 3344 0199</t>
  </si>
  <si>
    <t>Byron Bay</t>
  </si>
  <si>
    <t>Byron Bay, Australia</t>
  </si>
  <si>
    <t>1/4 Banksia Drive</t>
  </si>
  <si>
    <t>2481</t>
  </si>
  <si>
    <t>291534-13P</t>
  </si>
  <si>
    <t>Alexandra Carr</t>
  </si>
  <si>
    <t>Ms. Alexandra Carr serves as Chief of Staff at ReGen Ventures. She started her career as a commercial lawyer at Herbert Smith Freehills before heading up the Business Development and Partnerships function at an Australian AgTech scaleup. She is dedicated to leveraging the firm's capabilities to support scaleable and regenerative solutions for a better planet.</t>
  </si>
  <si>
    <t>alexandra@regen.vc</t>
  </si>
  <si>
    <t>29331-91P</t>
  </si>
  <si>
    <t>Bill Tarr</t>
  </si>
  <si>
    <t>Tarr</t>
  </si>
  <si>
    <t>Mr. Bill Tarr is a Co-Founder &amp; serves as Managing Director at MOTIV Partners. Mr. Tarr serves as an Advisor at ReGen Ventures.He is an Angel Investor. Bill previously co-founded Aquillian Investments, an investment and advisory firm exclusively focused on environmental sustainability, clean technology, and natural resources, which launched the first Ecosystem Integrity Fund. Prior to Aquillian, Bill was a management consultant with Origo Global Business Partners, where he co-developed the Social Enterprise Services division and managed various sustainability projects, and was a Director for New Sector Alliance, managing projects for social enterprises. Bill received his BA from Dartmouth.</t>
  </si>
  <si>
    <t>bill@motivpartners.com</t>
  </si>
  <si>
    <t>MOTIV Partners</t>
  </si>
  <si>
    <t>47915-74P</t>
  </si>
  <si>
    <t>Cameron Adams</t>
  </si>
  <si>
    <t>Mr. Cameron Adams is a Co-Founder and serves as Chief Product Officer at Canva. He serves as Director of Wedgetail Foundation at Wedgetail. He also serves as an Advisor at ReGen Ventures.</t>
  </si>
  <si>
    <t>+61 (0)4 0135 5781</t>
  </si>
  <si>
    <t>cameron@canva.com</t>
  </si>
  <si>
    <t>Surry Hills</t>
  </si>
  <si>
    <t>Surry Hills, Australia</t>
  </si>
  <si>
    <t>110 Kippax Street</t>
  </si>
  <si>
    <t>2010</t>
  </si>
  <si>
    <t>Co-Founder and Chief Product Officer</t>
  </si>
  <si>
    <t>Canva</t>
  </si>
  <si>
    <t>252864-37P</t>
  </si>
  <si>
    <t>Carrie Phillips</t>
  </si>
  <si>
    <t>Ms. Carrie Phillips serves an Advisor at ReGen Ventures. She is a Founding partner of BPCM Worldwide, a communications consultancy with a focus on Sustainability, Luxury, Fashion, Beauty, Hospitality and Technology. Carrie Founded BPCM's Sustainability practice to help companies understand their impact as well as how and when to talk to their customers</t>
  </si>
  <si>
    <t>384999-13P</t>
  </si>
  <si>
    <t>Chip Richards</t>
  </si>
  <si>
    <t>Mr. Chip Richards serves as an Advisor at ReGen Ventures. He is an Olympic and Leadership Coach and facilitator of human potential with pioneering teams and organizations globally.</t>
  </si>
  <si>
    <t>178958-62P</t>
  </si>
  <si>
    <t>Daniel Fitzgerald</t>
  </si>
  <si>
    <t>Mr. Daniel Fitzgerald is the Founder &amp; serves as Managing Partner at ReGen Ventures. He serves as Board Member at PACT and Aigen. He serves as Executive, Investments at Small Giants.</t>
  </si>
  <si>
    <t>dan@regen.vc</t>
  </si>
  <si>
    <t>384987-97P</t>
  </si>
  <si>
    <t>Elena Klonsky</t>
  </si>
  <si>
    <t>Klonsky</t>
  </si>
  <si>
    <t>Ms. Elena Klonsky serves as Associate at ReGen Ventures. She holds a Master's Degree from the Colombia Climate School and a Masters in Arts. She is extremely passionate about deep climate sector research, climate resiliency and storytelling in climate. Her focus is advancing our theses on deep transformation from the frame of systems-level change.</t>
  </si>
  <si>
    <t>elena@regen.vc</t>
  </si>
  <si>
    <t>289536-13P</t>
  </si>
  <si>
    <t>Georgia Vidler</t>
  </si>
  <si>
    <t>Vidler</t>
  </si>
  <si>
    <t>Ms. Georgia Vidler serves as Partner at Everywhere Ventures. She is a Co-founder of Human Health. She serves as Advisor at ReGen Ventures.</t>
  </si>
  <si>
    <t>georgia@human.health</t>
  </si>
  <si>
    <t>216 Lower Heidelberg Road, Ivanhoe East</t>
  </si>
  <si>
    <t>VIC 30793/91 Reservoir Street, Surry Hills</t>
  </si>
  <si>
    <t>Human Health</t>
  </si>
  <si>
    <t>319084-21P</t>
  </si>
  <si>
    <t>Mai Ly</t>
  </si>
  <si>
    <t>Mai</t>
  </si>
  <si>
    <t>Ms. Mai Ly serves as Principal at ReGen Ventures. She served as Investor at Collaborative Fund. She began her career as a Trader with Barclays Bank in New York.</t>
  </si>
  <si>
    <t>mai@regen.vc</t>
  </si>
  <si>
    <t>199730-44P</t>
  </si>
  <si>
    <t>Parker Hughes</t>
  </si>
  <si>
    <t>Mr. Parker Hughes serves as Principal at ReGen Ventures. He began his career by scaling a venture-backed food waste startup out of his college dorm room. He has since worked for ReFED, advising food retailers &amp; manufacturers on resource management and most recently, as a Regenerative AgTech Investment Associate at Soilworks Natural Capital.</t>
  </si>
  <si>
    <t>parker@regen.vc</t>
  </si>
  <si>
    <t>54946-45P</t>
  </si>
  <si>
    <t>Peter Gold</t>
  </si>
  <si>
    <t>Mr. Peter Gold is a Co-Founder of Assembly Climate Capital. He serves as a Managing Partner of Archer Capital. He also serves as an Advisor at ReGen Ventures. Since that time, he has been involved in all aspects of the business, including deal sourcing, deal execution, and the management of investments. He led the acquisition and divestment of Dôme Coffees, Amart All Sports, Rowe &amp; Jarman, and Rebel Sport, and the acquisitions of Ausfuel, Gull, and Quick Service Restaurants. He has also had varying levels of involvement with MCK, Australian Geographic, Signature Security, Tasman, RED Paper, and Onesource. He is currently a Director of Quick Service Restaurants. During his time at Archer, he has gained operational experience whilst on secondment as Interim CEO of Metro Photos. Prior to that he worked in the Investment Banking Division of Morgan Stanley in Melbourne and New York, providing advice on the structuring and execution of mergers and acquisitions and project financing. Before his time at Morgan Stanley, he worked as an actuarial analyst for Sedgwick Noble Lowndes. He is qualified as an Associate of the Institute of Actuaries of Australia and holds a Bachelor of Commerce from the University of Melbourne.</t>
  </si>
  <si>
    <t>peter@assemblycc.com</t>
  </si>
  <si>
    <t>Suite 4, Pier 2/3</t>
  </si>
  <si>
    <t>13 Hickson Road</t>
  </si>
  <si>
    <t>Assembly Climate Capital</t>
  </si>
  <si>
    <t>53996-95P</t>
  </si>
  <si>
    <t>Renée Beaumont</t>
  </si>
  <si>
    <t>Renée</t>
  </si>
  <si>
    <t>Beaumont</t>
  </si>
  <si>
    <t>Ms. Renée Beaumont serves as Senior Advisor at ReGen Ventures. She is an Angel Investor. She serves as an Executive Chair at Kalos Ventures. She served as Chief Operating Officer and Executive Committee Member at Lafayette Square. She is a former Partner at Generation Investment Management, a firm that focuses on sustainable capitalism. Before joining Generation in 2015, she served as Managing Director and Global Head of Business Development at Providence Equity Partners LLC where she oversaw all business development, sales, and investor relations activities globally across its private equity and credit platforms. She joined Providence after almost a decade at Goldman, Sachs &amp;Co., where she was a Managing Director in its Merchant Banking Division. While in the Merchant Bank, she was responsible for the division's institutional business development efforts and before that, she headed the Power &amp; Energy Investing for the Infrastructure Fund at Goldman Sachs. Before Goldman, she was an attorney at Shearman &amp; Sterling LLP in New York, NY. She clerked for the British Columbia Court of Appeals before joining Shearman &amp;Sterling. She is focused on impact investing and is a senior advisor to venture capital funds - ReGen Ventures and Firework Ventures - a senior advisor to Blue Haven Initiative as well as an advisor to BrainTrust. She also sits on the advisory board of NYU Stern's Business and Human Rights Center and has been involved with the Public Theater for two decades. She holds an LLB degree from the University of New Brunswick and a BA in Political Science from the University of Victoria. She served as an Advisor at Sakara.</t>
  </si>
  <si>
    <t>429392-26P</t>
  </si>
  <si>
    <t>Rich Roll</t>
  </si>
  <si>
    <t>Roll</t>
  </si>
  <si>
    <t>Mr. Rich Roll serves as an Advisor at ReGen Ventures. He is a vegan ultra-endurance athlete and full-time wellness &amp; plant-based nutrition advocate, popular public speaker, husband, father of 4 and inspiration to people worldwide as a transformative example of courageous and healthy living.</t>
  </si>
  <si>
    <t>97326-19P</t>
  </si>
  <si>
    <t>Rose Marcario</t>
  </si>
  <si>
    <t>Marcario</t>
  </si>
  <si>
    <t>Ms. Rose Marcario serves as Partner at ReGen Ventures. She also serves as a Board Member &amp; Advisor at Meati. She served as Board Member at Ajna BioSciences. She served as Chief Executive Officer, President, and Board Member at Patagonia. Prior to Patagonia, she served as Executive Vice President at Capital Advisors, LLP. She is an Angel Investor.</t>
  </si>
  <si>
    <t>rose@regen.vc</t>
  </si>
  <si>
    <t>322677-19P</t>
  </si>
  <si>
    <t>Sam Tidswell</t>
  </si>
  <si>
    <t>Tidswell</t>
  </si>
  <si>
    <t>Mr. Sam Tidswell serves as Principal at ReGen Ventures. He served as Principal at Grok Ventures. He began his career at J.P. Morgan.</t>
  </si>
  <si>
    <t>sam@regen.vc</t>
  </si>
  <si>
    <t>289533-43P</t>
  </si>
  <si>
    <t>Tom McQuillen</t>
  </si>
  <si>
    <t>McQuillen</t>
  </si>
  <si>
    <t>Mr. Tom McQuillen serves as a Partner at ReGen Ventures. He began his career in consulting in Melbourne before trading in his suit to run an environmental NGO &amp; eco-tourism business in Nicaragua. As a post-grad, he completed his MBA and joined the School of Climate Change at the University of Oxford, where he also managed the Seed Fund.</t>
  </si>
  <si>
    <t>tom@regen.vc</t>
  </si>
  <si>
    <t>289536-85P</t>
  </si>
  <si>
    <t>William Coleman</t>
  </si>
  <si>
    <t>Mr. William Coleman serves as an Advisor at ReGen Ventures. He serves as a Board Member at Face Plant. He has been an investor and operator in sustainable innovation for 20+ years, most recently as the CEO of Lucid and previously as a partner at Mohr Davidow Ventures investing in early cleantech companies.</t>
  </si>
  <si>
    <t>+1 (650) 854-7236</t>
  </si>
  <si>
    <t>will@regen.vc</t>
  </si>
  <si>
    <t>33832-27P</t>
  </si>
  <si>
    <t>Mark Pincus</t>
  </si>
  <si>
    <t>Pincus</t>
  </si>
  <si>
    <t>Mr. Mark Pincus is a Co-Founder and serves as Managing Member at Reinvent Capital. Mr. Pincus serves as an Advisor at PlayerZero. He is a founder and serves as Chairman of the Board at Zynga. He is the Founder of WorkPlay Ventures. He co-founded &amp; served as Managing Member at Reinvent Technology Partners. He served as an Advisor at HireAthena. He serves as Advisor at Momento (Multimedia and Design Software).He is an accomplished entrepreneur and investor. He founded several internet companies including Zynga, which pioneered social games to help establish gaming as a mass-market activity. He was the Chairman of Zynga's Board and also served as Zynga's Executive Chairman and twice as its Chief Executive Officer, including when he returned in 2015 to lead its turnaround and reinvention as a mobile-first games company. Zynga merger with Take-Two Interactive in 2022. Before Zynga, Mark founded tribe.net, one of the earliest online social networks whose technology was acquired by Cisco Systems. He also founded Support.com, a provider of help desk service and support automation software, one of the first enterprise software companies to go to market with a subscription-based model. Support.com went public in 2001. Mark also founded FreeLoader, Inc., a web-based, push technology news company, which was acquired by Individual, Inc. Mark has made numerous investments in many internet, media, and software companies, including Facebook, Twitter, Airbnb, Snap, Epic Games, Xiaomi, JD.com, and Niantic. He is also an active angel investor in technology startups. Mark has prioritized social impact in his personal and professional life. Zynga was one of the first companies to use in-game virtual goods to allow players to contribute directly to disaster relief and other nonprofit efforts. Mark was appointed by President Barack Obama to the Board of the Presidio Trust, a federal agency that operates the Presidio as part of the Golden Gate Recreation Area. He also regularly lectures to aspiring entrepreneurs at colleges and universities, including Stanford Graduate School of Business, Harvard Business School, and The Wharton School of the University of Pennsylvania. Mark has built an intellectual practice around product management. He was an early pioneer in reimagining product management for consumer internet products, notably the use of rapid testing and experimentation to inform design decisions in all stages of product development. He also developed a product roadmapping process that tracks engineering resources to expected outcomes. Mark was among the first to bring these lessons to games, spawning an always-on, product-as-a-service operating model that empowers product teams to react in real time to user behavior by deploying product updates. In addition, Mark co-created the Stanford Graduate School of Business course on Product Management with Professor Amir Goldberg. He is the Founder and serves as Co-Lead Director at Reinvent Technology Partners Z.</t>
  </si>
  <si>
    <t>mark@reinventcapital.com</t>
  </si>
  <si>
    <t>Co-Founder &amp; Managing Member</t>
  </si>
  <si>
    <t>204315-13P</t>
  </si>
  <si>
    <t>Michael Thompson</t>
  </si>
  <si>
    <t>Mr. Michael Thompson serves as Managing Partner at BHR Capital. Mr. Thompson served as Chief Executive Officer and Chief Financial Officer at Reinvent Technology Partners Y. Mr. Michael Thompson co-founded and served as Managing Member at Reinvent Technology Partners. He serves as a Board Member at CIENCE. He served as Chief Executive Officer and Chief Financial Officer at Reinvent Technology Partners Z. He is a Co-Founding Member &amp; serves as Managing Member at Reinvent Capital. He is responsible for all portfolio construction, security selection, and risk management activities and oversees BHR's investment team. Before founding BHR, he was with Bay Harbour Management, having joined the firm in 2008 to lead research and investment efforts in the financial and real estate sectors, and to manage the firm's short investment portfolio. He was previously a Managing Director at Wachovia Securities with management responsibilities for a $3+ billion propriety trading book. He graduated magna cum laude with a BBA in International Finance from the Honors Program at the University of Georgia where he received Alumni, Governors, and Hope Scholarships. He served as Chief Executive Officer, Chief Financial Officer &amp; Board Member at Reinvent Technology Partners Y.</t>
  </si>
  <si>
    <t>+1 (917) 592-6925</t>
  </si>
  <si>
    <t>michael@bhrcap.com</t>
  </si>
  <si>
    <t>733 Third Avenue</t>
  </si>
  <si>
    <t>BHR Capital</t>
  </si>
  <si>
    <t>31710-43P</t>
  </si>
  <si>
    <t>Reid Hoffman</t>
  </si>
  <si>
    <t>Mr. Reid Hoffman serves as Board Member at Entrepreneurs First. Mr. Hoffman serves as Board Member at Sanmai Technologies. Mr. Hoffman serves as President, Treasurer, and Director at Aphorism Foundation. Mr. Hoffman is a Co-Founder and serves as Board Member at Manas AI. He served as Co-Founding Member, Co-Lead Director &amp; Board Member at Reinvent Technology Partners Z. He serves as an Advisor at Blue Tulip Ventures. He is an Angel Investor. He serves as a Board Member &amp; Member of the Environmental, Social, and Public Policy Committee at Microsoft. He serves as a Board Member at the Arc Institute. He serves as a Board Member at Kiva Capital Management. He serves as a Global Board Member at Endeavor Global. He serves as Chairman at Village Global. He served as a Board Observer at Airbnb. He served as a Board Member at Coda. He served as Co-Lead Director at Reinvent Technology Partners. He served as Chairman of the Investment Committee at Endeavor Catalyst. He serves as a Partner at Greylock. He serves as a Board Member at Coda. He is a Co-Founder and serves as a Board Member at Inflection AI. He is a Co-Founding Member and serves as an Advisor at Reinvent Capital. He serves as an Advisor at Aureila Foundry. He is an accomplished entrepreneur, executive, and investor, and has played an integral role in building many of today's leading consumer technology businesses. He served as a Board Member at NeeEndeavor, Globalva, OpenAI, and Convoy. In 2003, He co-founded LinkedIn, the world's largest professional networking service. In 2009, He joined Greylock Partners, where he focuses on building products that can reach hundreds of millions of participants and businesses that have network effects. In 2019, He joined Reinvent Capital and serves as an Advisory Partner. He serves on the board of directors for Joby Aviation. He also serves on the boards of several private companies and not-for-profits. He holds a master's degree in philosophy from Oxford University, where he was a Marshall Scholar, a bachelor's degree with distinction in symbolic systems, and a Bachelor of Science from Stanford University. He joined the Microsoft board as an independent director in March 2017.</t>
  </si>
  <si>
    <t>+1 (800) 285-7772</t>
  </si>
  <si>
    <t>One Microsoft Way</t>
  </si>
  <si>
    <t>98052</t>
  </si>
  <si>
    <t>Entrepreneurs First (Former)</t>
  </si>
  <si>
    <t>247829-86P</t>
  </si>
  <si>
    <t>Carlotta LaNier</t>
  </si>
  <si>
    <t>Carlotta</t>
  </si>
  <si>
    <t>LaNier</t>
  </si>
  <si>
    <t>Reinventure Capital</t>
  </si>
  <si>
    <t>Ms. Carlotta Walls LaNier serves as Advisor at Reinventure Capital. She was the youngest of the Little Rock Nine, a group of African-American students who, in 1957, were the first black students ever to attend classes at Little Rock Central High School in Little Rock, Arkansas. She was the first black female to graduate from Central High School. In 1999, she and the rest of the Little Rock Nine were awarded the Congressional Gold Medal by President Bill Clinton. They have received other awards and recognition, including the prestigious Spingarn Medal from the NAACP, the Pierre Marquette Award, and the Lincoln Leadership Prize from the Abraham Lincoln Library Foundation. She has been a member of the Urban League and the NAACP, and is currently president of the Little Rock Nine Foundation, a scholarship organization dedicated to ensuring equal access to education for African Americans. She has served as a trustee for the Iliff School of Theology in Denver, and of the University of Northern Colorado. She was named a "Woman of Distinction" by the Girl Scouts in 2000 and was inducted into the Colorado Women's Hall of Fame in 2004 and into the National Women's Hall of Fame in October 2015. She received the National Shining Star Award from NOBEL/Women (National Organization of Black Elected Legislative Women).</t>
  </si>
  <si>
    <t>02130</t>
  </si>
  <si>
    <t>47955-34P</t>
  </si>
  <si>
    <t>Edward Dugger III</t>
  </si>
  <si>
    <t>Dugger</t>
  </si>
  <si>
    <t>Mr. Edward Dugger is the Founder &amp; serves as Managing Partner at Reinventure Capital. He serves as a Board Member at Home Outside. He also serves as a Board Member at BlueHub Capital, OpConnect, and Adventr. His VC career began at age 25 and accelerated at age 27 when he became CEO of one of the larger venture capital firms in the nation, backed and mentored by such board directors as the CEO of Morgan Stanley and the Chairman of the Executive Committee of JP Morgan. As head of one of the earliest impact VC funds, he invested in growth industries to consciously expand business opportunities for entrepreneurs of color, achieving an IRR of 32% during its last decade. An early pioneer in impact investing, he has also had careers as a real estate developer, business strategy consultant, and interim CFO, and now has re-entered the profession of venture capital with over 30 years of deep business development and venture capital experience track record of notable achievements.</t>
  </si>
  <si>
    <t>+1 (617) 500-6607</t>
  </si>
  <si>
    <t>ed@reinventurecapital.com</t>
  </si>
  <si>
    <t>46798-84P</t>
  </si>
  <si>
    <t>Elyse Cherry JD</t>
  </si>
  <si>
    <t>Cherry</t>
  </si>
  <si>
    <t>Ms. Elyse Cherry serves as Chief Executive Officer at BlueHub Capital. She serves as Advisor and Partner at Reinventure Capital. She previously served as Board Member at Acelero Learning. Ms. Cherry is president of its affiliates, Boston Venture Fund, Aura Mortgage Advisors and NSP Residential. Ms. Cherry helped found Boston Community Capital in 1984 as a member of its original Board of Directors. Since 1992, Ms. Cherry has served on the boards of directors of more than a dozen privately held companies including Pilgrim Insurance Company and Zipcar. Ms. Cherry is an attorney and a former partner at the law firm of Hale and Dorr, now known as Wilmer Hale, where her transactional practice focused on commercial real estate finance and development. In 1992, Ms. Cherry left Hale and Dorr to become Vice President and Counsel of SRB Corporation, a wholly-owned subsidiary of Plymouth Rock Assurance Corporation. She subsequently served as CEO of Earthwide Products Corporation, an investment fund targeting environmental businesses. Early in her career, Ms. Cherry served as a field examiner in the New England region of the National Labor Relations Board and as a VISTA volunteer in rural Tennessee. She earned a BA in Political Science from Wellesley College and a JD from the Northeastern University School of Law.</t>
  </si>
  <si>
    <t>+1 (617) 427-8600</t>
  </si>
  <si>
    <t>elysecherry@bostoncommunitycapital.org</t>
  </si>
  <si>
    <t>1785 Columbus Avenue</t>
  </si>
  <si>
    <t>+1 (617) 427-9300</t>
  </si>
  <si>
    <t>BlueHub Capital</t>
  </si>
  <si>
    <t>66203-47P</t>
  </si>
  <si>
    <t>Henry McGee</t>
  </si>
  <si>
    <t>McGee</t>
  </si>
  <si>
    <t>Mr. Henry McGee serves as Partner &amp; Advisor at Reinventure Capital. He serves as Board Member, Member of Audit Committee, Chairperson of Governance, Sustainability and Corporate Responsibility Committee &amp; Member of Executive Committee at AmerisourceBergen. He serves as Board Member &amp; Chairman, Nominating and Governance Committee at Tegna. He served as the President of HBO Home Entertainment from 1995 until his retirement in March 2013. He joined Harvard Business School as a Senior Lecture in 2013. He is a co-author of numerous media industry case studies and is a member of the school's Digital Initiative. He is a graduate of Harvard College and Harvard Business School.</t>
  </si>
  <si>
    <t>+1 (703) 873-6600</t>
  </si>
  <si>
    <t>8350 Broad Street</t>
  </si>
  <si>
    <t>Tegna</t>
  </si>
  <si>
    <t>206969-50P</t>
  </si>
  <si>
    <t>Itzel Moncada</t>
  </si>
  <si>
    <t>Itzel</t>
  </si>
  <si>
    <t>Moncada</t>
  </si>
  <si>
    <t>Ms. Itzel Moncada serves as Senior Associate, Investments at Reinventure Capital. She served as Coordinator at the SD World Trade Center at the San Diego Regional Economic Development Corporation. She served as a Private Equity Analyst with Cebron Group and has years of experience in finance, research, and international economic development. Her area of expertise is research and development-intensive companies, including life sciences, technology, and advanced manufacturing. Before joining Cebron Group, she worked with World Trade Center San Diego, where she led foreign direct investment and strategy initiatives along the CaliBaja region. She holds a BA from the University of California, Los Angeles (UCLA) and an MBA from the University of San Diego.</t>
  </si>
  <si>
    <t>+1 (818) 302-5210</t>
  </si>
  <si>
    <t>itzel@reinventurecapital.com</t>
  </si>
  <si>
    <t>40685-68P</t>
  </si>
  <si>
    <t>James Casselberry Jr.</t>
  </si>
  <si>
    <t>Casselberry</t>
  </si>
  <si>
    <t>Mr. James Casselberry is a Co-Founder and serves as Chief Executive Officer at Known Holdings. He serves as Partner &amp; Advisor at Reinventure Capital. He also serves as a Board Member at Impact Engine. He served as Chief Investment Officer at 4S Bay Partners. He served as Chief Executive Officer at Wayfarer Studios. He also serves as Chief Investment Officer at 4S Bay Partners. He was responsible for various business development activities. Mr. Casselberry has over 26 years in the investment management and investment consulting industry. Most recently, he led Dearborn Park Group, LLC, a firm that offers strategic consulting for investment management and financial services firms. Representative clients include The Northern Trust Company, Dorchester Capital LLC, Urban Medical Centers LLC, Chicago Capital Management, L.P., A&amp;A Hospitality LLC, and Keel Asset Management, LLC. Previously, Mr. Casselberry was a principal at Ennis Knupp and Associates Inc. and served as the primary consultant and managing consulting assignments. Mr. Casselberry also served as the leader of Ennis Knupp's Emerging Manager Advisory Council and was a member of the firm's global equity research group, private equity research group, as well as fixed income advisory council. Over his career, Mr. Casselberry has held several positions, including Chairman and Chief Executive Officer of Trias Capital Management, LLC, Chief Operating Officer of Wedgewood Capital Management, Inc., and Director at the John D. and Catherine T. MacArthur Foundation, serving in the Investment Group. He began his career holding positions at First Chicago Corporation and Arthur D. Little Valuation, Inc. Mr. Casselberry received a BS in economics from the University of Illinois and an MBA from the University of Chicago Booth School of Business.</t>
  </si>
  <si>
    <t>+1 (407) 985-8763</t>
  </si>
  <si>
    <t>jim@known.holdings</t>
  </si>
  <si>
    <t>Known</t>
  </si>
  <si>
    <t>50830-66P</t>
  </si>
  <si>
    <t>James Davidson</t>
  </si>
  <si>
    <t>Mr. James Davidson serves as Partner &amp; Advisor at Reinventure Capital. He serves as Senior General Partner at Dev Equity. He served as a Board Member at CauseLabs. He served as Chairman and Advisor at Social Venture Circle. He also served as Chairman at Change Finance. He serves as a Board Member at MCE Social Capital. He is an early-stage investor and advisor with over 20 years of internet technology experience. Previously, he was a senior leader at AOL, where he served as CTO of DigitalCity, the internet's first hyper-local portal, and later as VP of Web Services and Publishing, where he led teams responsible for some of the most innovative and high-scale sites, including AOL.com and MapQuest. He has also been a leader at early-stage companies, including CTO of ShareThis.com, President of Examiner.com, and co-founder and CEO of Laborfair.com, an online marketplace for disadvantaged service providers. He is also a guarantor with MicroCredit Enterprises, which helps fund microloans around the world. He earned a BS in Physics from UC Santa Barbara.</t>
  </si>
  <si>
    <t>441868-24P</t>
  </si>
  <si>
    <t>Langston Dugger</t>
  </si>
  <si>
    <t>Langston</t>
  </si>
  <si>
    <t>Mr. Langston Dugger serves as Partner, Operations at Reinventure Capital. Most recently, as the US General Manager at Getir, he spearheaded the launch and expansion of a vertically integrated 10-minute grocery delivery service, achieving 10,000 daily deliveries and managing a $50M P&amp;L. Prior to Getir, he served as Head of Operations at VeoRide, where he scaled electric scooter operations fivefold across 40 markets, overseeing 20,000 vehicles and a $40M P&amp;L. As Vice President of Strategy and Operations at Tall Tree Foods, he led value creation initiatives across five food manufacturing businesses with a combined revenue of $150M. Reporting directly to the CEO, he optimized production efficiency and developed a consumer research-driven product development process, generating $5M in new sales. He holds an MBA from the Tuck School of Business at Dartmouth and a Bachelor of Arts in Economics from Brown University.</t>
  </si>
  <si>
    <t>langston@reinventurecapital.com</t>
  </si>
  <si>
    <t>Partner, Operations</t>
  </si>
  <si>
    <t>247827-88P</t>
  </si>
  <si>
    <t>Len Sheynblat</t>
  </si>
  <si>
    <t>Sheynblat</t>
  </si>
  <si>
    <t>Mr. Len Sheynblat serves as Partner at Reinventure Capital. He is a senior engineering executive with 15+ years of technical leadership experience at Fortune 500 companies. In his current position as Vice President of Engineering at Qualcomm, he is leading efforts to integrate a variety of sensors into wireless devices that will enhance the user experience of these products and other mobile applications. His earlier responsibilities include VP Engineering for Emerging Businesses and VP Technology, where he was Engineering Lead for Sensors, Wearables, and Radio-location Solutions. He is also an extraordinary inventor. He holds more than 700 granted patents worldwide. He holds an MS in Systems Engineering from Boston University and is also a graduate of the University of California, Berkeley, Haas School of Business, Center for Executive Development.</t>
  </si>
  <si>
    <t>247792-78P</t>
  </si>
  <si>
    <t>Marsh Carter</t>
  </si>
  <si>
    <t>Marsh</t>
  </si>
  <si>
    <t>Mr. Marsh Carter serves as an Advisor &amp; Partner at Reinventure Capital. He is the former CEO of State Street Corporation and the former Chair of NYSE. From service in Vietnam to the New York Stock Exchange, he has had an extensive military, business, and civic career. He has worked for some of the most powerful companies in banking, and, completing his banking career, he served as the chairman and CEO of State Street Bank and Trust Company, Boston, and of its holding company, State Street Corporation. During his nine years as CEO, the company grew more than sixfold. In 1998, he and the bank were awarded the Gartner Group Excellence in Technology Award for the application of technology for business value and business return. After retiring from State Street, he served as Chair of the Board of Directors of the New York Stock Exchange from 2003 to 2013. He also regularly lectures on leadership and management to graduate students at the Sloan School of Management at MIT, Babson College, the Naval War College, and Harvard's Kennedy School of Government. He is a graduate of West Point and earned an MS in Operations from Research Naval Postgraduate School.</t>
  </si>
  <si>
    <t>391279-60P</t>
  </si>
  <si>
    <t>Maryam Mitchell</t>
  </si>
  <si>
    <t>Maryam</t>
  </si>
  <si>
    <t>Ms. Maryam Mitchell serves as Chief of Staff of Operations &amp; Administration at Reinventure Capital.</t>
  </si>
  <si>
    <t>maryam@reinventurecapital.com</t>
  </si>
  <si>
    <t>Chief of Staff of Operations &amp; Administration</t>
  </si>
  <si>
    <t>247828-24P</t>
  </si>
  <si>
    <t>Nicola Peill-Moelter Ph.D</t>
  </si>
  <si>
    <t>Peill-Moelter</t>
  </si>
  <si>
    <t>Dr. Nicola Peill-Moelter serves as Partner at Reinventure Capital. Since 2018 she has been Director of Sustainability Innovation at VMware's Office of the CTO using sustainability as an inspiration for product innovation. Prior to VMware, she led Akamai's global sustainability program. Her purview spans the gamut of energy and greenhouse gas management and reporting; renewable energy and energy efficiency; electronic-waste management; employee engagement and stakeholder-awareness. Her goal is to reduce carbon emissions of Akamai's global Intelligent Cloud Platform, which represents 90 percent of Akamai's environmental impact. Prior to heading up Akamai's sustainability initiatives, she held positions there as a senior product manager and principal solutions engineer. She is a graduate of Manhattan College where she earned a BE in Chemical Engineering and California Institute of Technology where she earned a Ph.D. in Environmental Engineering Science.</t>
  </si>
  <si>
    <t>174562-75P</t>
  </si>
  <si>
    <t>Richard DeVaughn</t>
  </si>
  <si>
    <t>DeVaughn</t>
  </si>
  <si>
    <t>Mr. Richard DeVaughn serves as Partner &amp; Advisor at Reinventure Capital. He serves as Board Member at LOFA Industries. Mr. DeVaughn is the President and CEO of Arcadia Group International, a global business consulting firm specializing in productivity management, business transformation, and product development process improvement. He is a seasoned executive who has led global technology, operations, and product development in the consumer, industrial, and commercial product sectors. Prior to founding The Arcadia Group International, he was corporate vice president for Ingersoll Rand Company where he provided strategic and operational leadership and was responsible for global engineering, technology-driven innovation, and emerging market product development. He also held senior leadership positions in engineering, R&amp;D, manufacturing operations, strategic planning, and business development with Ford Motor Company, Textron, and The Stanley Works. A recognized thought leader, he has been a proactive member of the Engineering, Research and Development Council of the Manufacturers Alliance for Productivity and Innovation (MAPI) and a member of the Corporate Executive Board's Research, Technology and Engineering Council. Since 2016, he has also been the founder and CEO of Jaro Media Services, a media, and technology company providing a premier online destination for African Americans who love and appreciate the best film, visual art, books, and music produced by the African diaspora. He is a graduate of Kettering University (BSME, Mechanical Engineering) and MIT (MBA, Sloan Fellow).</t>
  </si>
  <si>
    <t>56254-96P</t>
  </si>
  <si>
    <t>Ronald Goldsberry Ph.D</t>
  </si>
  <si>
    <t>Goldsberry</t>
  </si>
  <si>
    <t>Dr. Ronald Goldsberry serves as Partner &amp; Advisor at Reinventure Capital. Dr. Goldsberry served as Board Member and Treasurer at Michigan State University. He began his association with Ford when the automotive company purchased Parker Chemical Company from the Parker Division of Occidental Chemical Corporation. He was Vice President and General Manager of the Parker Division at the time of the purchase. He was later named President and Chief Operating Officer of Parker Chemical. Mr. Goldsberry served as a Board Member at Michigan State University. He has 30 years of business experience with companies such as Gulf Oil Corporation, Boston Consulting Group, Hewlett-Packard, and NASA/AMES Research Center. He served as Chairman of the Board of OnStation Corporation and its Chief Executive Officer. He was also on the Board of Directors for Case Construction Equipment, Inc., Primerica Corporation, The Rockefeller Foundation, and Stanford University Graduate School of Business. He was also Chairman of UNC Venture, Inc., Detroit Public Television, and United Way for Southeastern Michigan. He is also the recipient of numerous academic, industry, and civic awards and was elected a member of the National Academy of Engineering. He graduated summa cum laude from Central State University with a Bachelor of Science degree in chemistry. He received a Ph.D. in chemistry from Michigan State University and an MBA in finance and marketing from Stanford University. He was also presented with an Honorary Doctorate from both Central State University and Adrian College.</t>
  </si>
  <si>
    <t>+1 (248) 338-2224</t>
  </si>
  <si>
    <t>247790-71P</t>
  </si>
  <si>
    <t>Shijiro Ochirbat</t>
  </si>
  <si>
    <t>Shijiro</t>
  </si>
  <si>
    <t>Ochirbat</t>
  </si>
  <si>
    <t>Ms. Shijiro Ochirbat serves as Partner at Reinventure Capital. She serves as a Board Member at Carecar. She began her career providing financial analysis to the Prime Minister of Mongolia, addressing income inequality challenges. Her journey led her to economic analyst roles with the UNDP and WTO, a senior business analyst role with one of Australia's largest corporations, and a consultancy role with an Indonesian startup helping smallholder farmers. She received her MBA from the University of Sydney and her MPA degree from the Harvard Kennedy School with an emphasis on impact investment, which included social finance coursework from Harvard Business School.</t>
  </si>
  <si>
    <t>shijiro@reinventurecapital.com</t>
  </si>
  <si>
    <t>42049-90P</t>
  </si>
  <si>
    <t>Alex Pentland Ph.D</t>
  </si>
  <si>
    <t>Pentland</t>
  </si>
  <si>
    <t>REMUS Capital</t>
  </si>
  <si>
    <t>Dr. Alex Pentland is a Co-Founder and serves as Scientific Visionary at Cogito. He also co-founded Endor. He served as a Board Member at Polwas Markets. He serves as an Advisor at REMUS Capital. He is a Co-Founder and serves as Senior Advisor at Riff Analytics. He serves as an Advisor to Portfolio at Romulus Capital. He also served as Advisor at Wise Systems. He co-founded Distilled Identity. He is a Board Member of Sila. He co-founded and served as an Advisor at Ginger.io. He serves as Advisors at Zeotap and Glasswing Ventures. He was the Co-Founder and served as a Board Member and Chief Sociometrician of Thasos. He served as an Advisory Board Member at Monument Capital Group. He serves as Chairman of The Human Project. He was a Co-Founder of Humanyze. Dr. Pentland pioneered reality mining technology and is a leader in pervasive information systems generally. He helped create and direct the MIT Media Laboratory, is a member of the U.S. National Academies, and is one of the most cited computer scientists in the world. Forbes named Sandy one of the seven most powerful data scientists in the world, along with the founders of Google and the US Chief Technical Officer. Dr. Pentland holds a Doctor of Philosophy degree in Computer Science &amp; Psychology from Massachusetts Institute of Technology (MIT) and a Bachelor of Science degree in Computer Science &amp; Psychology from the University of Michigan, Ann Arbor.</t>
  </si>
  <si>
    <t>+1 (617) 253-4203</t>
  </si>
  <si>
    <t>75 State Street</t>
  </si>
  <si>
    <t>+1 (617) 253-8000</t>
  </si>
  <si>
    <t>Co-Founder &amp; Scientific Visionary</t>
  </si>
  <si>
    <t>Cogito</t>
  </si>
  <si>
    <t>38480-05P</t>
  </si>
  <si>
    <t>Anmol Madan Ph.D</t>
  </si>
  <si>
    <t>Anmol</t>
  </si>
  <si>
    <t>Madan</t>
  </si>
  <si>
    <t>Dr. Anmol Madan is the Founder &amp; serves as Chief Executive Officer &amp; Board Member at RadiantGraph. Dr. Madan co-founded Ginger. He serves as Advisor at REMUS Capital and Pelago. He was a PhD Candidate and Research Assistant at MIT Media Lab. He was a Chief Data Scientist at Livongo where he is responsible for machine learning and data science across all of Livongo's products and services. He is an accomplished Chief Data Scientist at Teladoc and Livongo, with expertise in machine learning (ML) and artificial intelligence (AI). Co-founder and CEO of Ginger (acq Headspace Health). He is recognized as a World Economic Forum Tech Pioneer and 100 Most Creative People.</t>
  </si>
  <si>
    <t>+1 (857) 928-3248</t>
  </si>
  <si>
    <t>amadan@radiantgraph.com</t>
  </si>
  <si>
    <t>370 Brannan Street</t>
  </si>
  <si>
    <t>RadiantGraph</t>
  </si>
  <si>
    <t>112433-32P</t>
  </si>
  <si>
    <t>Ashwin Madgavkar</t>
  </si>
  <si>
    <t>Madgavkar</t>
  </si>
  <si>
    <t>Mr. Ashwin Madgavkar serves as Advisor at REMUS Capital. Mr. Madgavkar founded &amp; served as Board Member at Ceres AI. Previously Mr. Madgavkar served as Chief Executive Officer at Ceres Imaging. He holds an MBA from Stanford University Graduate School of Business.</t>
  </si>
  <si>
    <t>+1 (630) 930-8828</t>
  </si>
  <si>
    <t>94248-46P</t>
  </si>
  <si>
    <t>Benjamin Waber Ph.D</t>
  </si>
  <si>
    <t>Waber</t>
  </si>
  <si>
    <t>Dr. Benjamin Waber is a Co-Founder and serves as an Advisor and Board Member at Humanyze. Previously, he served as President at Humanyze. He serves as an Advisor at REMUS Capital. He is a Co-Founder and serves as President at Humanyze. He is a visiting scientist at the MIT Media Lab, previously worked as a senior researcher at Harvard Business School, and received his Ph.D. from MIT for his work with Alex "Sandy" Pentland's Human Dynamics group. His work has been featured in major media outlets such as Wired, The Economist, and NPR. He has consulted for industry leaders such as LG, McKinsey &amp; Company, and Gartner on technology trends, social networks, and organizational design. His book, People Analytics, was published by the Financial Times Press in 2013.</t>
  </si>
  <si>
    <t>+1 (617) 701-7683</t>
  </si>
  <si>
    <t>ben@humanyze.com</t>
  </si>
  <si>
    <t>Co-Founder, Advisor &amp; Board Member</t>
  </si>
  <si>
    <t>Humanyze</t>
  </si>
  <si>
    <t>54357-04P</t>
  </si>
  <si>
    <t>Brett Reed</t>
  </si>
  <si>
    <t>Mr. Brett Reed serves as Advisor at REMUS Capital. Mr. Reed co-founded and served as President and Board Member at Cohealo. He has eight years of retail operations experience. Most recently, he served as Operational Control Auditor for Burlington Coat Factory with responsibility for almost 100 stores from Maryland to Puerto Rico with sales in excess of $1B. His team focused on improving, measuring and managing operational efficiencies. Brett received his MBA from the University of Miami.</t>
  </si>
  <si>
    <t>229080-25P</t>
  </si>
  <si>
    <t>Cavin Mozarmi</t>
  </si>
  <si>
    <t>Cavin</t>
  </si>
  <si>
    <t>Mozarmi</t>
  </si>
  <si>
    <t>Mr. Cavin Mozarmi serves as Principal &amp; Leading AI Investing at REMUS Capital.</t>
  </si>
  <si>
    <t>cmozarmi@remuscap.com</t>
  </si>
  <si>
    <t>Principal &amp; Leading AI Investing</t>
  </si>
  <si>
    <t>133182-55P</t>
  </si>
  <si>
    <t>Daniel Greenfield Ph.D</t>
  </si>
  <si>
    <t>Dr. Daniel Greenfield is a Co-Founder and serves as Chief Executive Officer at PetaGene. He also serves as an Advisor at REMUS Capital. A Cambridge University Ph.D. with a Masters in Bioinformatics, he has experience leading teams in Silicon Valley to build groundbreaking new products. His Ph.D. was awarded a prize for the top dissertation in the U.K. by the British Computer Society.</t>
  </si>
  <si>
    <t>+44 (0)12 2365 5651</t>
  </si>
  <si>
    <t>dan@petagene.com</t>
  </si>
  <si>
    <t>IdeaSpace, Hauser Forum</t>
  </si>
  <si>
    <t>3 Charles Babbage Road</t>
  </si>
  <si>
    <t>CB3 0GT</t>
  </si>
  <si>
    <t>PetaGene</t>
  </si>
  <si>
    <t>110314-45P</t>
  </si>
  <si>
    <t>Frank Wisner</t>
  </si>
  <si>
    <t>Wisner</t>
  </si>
  <si>
    <t>Mr. Frank Wisner serves as an Advisor at REMUS Capital. He concluded his more than 35-year career with the U.S. State Department by serving as U.S. Ambassador to India from 1994 to 1997. Following his retirement as U.S. Ambassador to India, He served as Vice Chairman, External Affairs of American International Group, Inc. (AIG), a publicly traded international insurance and financial services company, from 1997 until his retirement in March 2009. He has served in the roles of International Affairs Advisor and Foreign Affairs Advisor with Squire Patton Boggs, a multinational law firm (formerly, Patton Boggs LLP), since 2009. In addition to his extensive international and governmental affairs experience, He has accumulated diverse business experience. From 2001 to 2015, He served as a director of Ethan Allen Interiors Inc., a publicly traded residential furniture company, where he served as a member of the Nominations Committee. He also previously served as a director of AIG Property Casualty Inc., an affiliate of AIG and a leading U.S. and international property and casualty and general insurer. On December 12, 2018, He informed the Board of his decision to retire from the Board at the end of his current term and not stand for re-election as a director at EOG's 2019 annual meeting of stockholders 2019 Annual Meeting.</t>
  </si>
  <si>
    <t>EOG Resources (Former)</t>
  </si>
  <si>
    <t>206267-05P</t>
  </si>
  <si>
    <t>Ian Seiferling Ph.D</t>
  </si>
  <si>
    <t>Seiferling</t>
  </si>
  <si>
    <t>Dr. Ian Seiferling is a Co-Founder and serves as Chief Executive Officer at Adaviv. He also serves as an Advisor at REMUS Capital. He has worked as a field biologist, an environmental consultant, and a biodiversity researcher. As a postdoctoral research fellow at MIT, he focused on the nexus of environmental science and urban planning and design at the MIT Senseable City Lab.He holds a BsC in Biology from the University of Regina, a Masters in Ecology from the University of Quebec at Montreal, and a PhD in Biology from the University of Quebec at Trois-Rivieres.</t>
  </si>
  <si>
    <t>+1 (617) 539-6878</t>
  </si>
  <si>
    <t>ian@adaviv.com</t>
  </si>
  <si>
    <t>G-Tek Labs, 28 Damrell Street</t>
  </si>
  <si>
    <t>02127</t>
  </si>
  <si>
    <t>Adaviv</t>
  </si>
  <si>
    <t>220985-29P</t>
  </si>
  <si>
    <t>Isabella Fantini</t>
  </si>
  <si>
    <t>Ms. Isabella Fantini serves as Venture Advisor at REMUS Capital. Ms. Fantini is a member of the investing team at REMUS. As the firm's ag and food tech specialist, she focuses on deals related to the agriculture and food industries. She is based in the REMUS Boston office. Prior to joining REMUS, she was an analyst at SOSV's Food-X Accelerator Program, an accelerator for food companies. There, she managed the accelerator's portfolio and developed relationships with founders in order to support their growth. She led the entire deal process for 12 follow-on investments and worked to optimize deal flow and streamline the accelerator's application interview process. She also spent time at Mercato, a grocery delivery company, where she was an early member of the Merchant Growth Sales Team. Before shifting her focus to agriculture and food-based investing, she worked at Berenberg Capital Markets, where she focused on European Equity Sales, as well as at Adam &amp; Partners Investment Advisors and Deutsche Bank. She holds a BSc in Financial Economics from the University of St. Andrews, where she was a member of the St. Andrews Investment Society and the St. Andrews Economic Forum.</t>
  </si>
  <si>
    <t>ifantini@remuscap.com</t>
  </si>
  <si>
    <t>66432-88P</t>
  </si>
  <si>
    <t>Jason Gulbinas</t>
  </si>
  <si>
    <t>Gulbinas</t>
  </si>
  <si>
    <t>Mr. Jason Gulbinas is a Co-Founder and serves as Chief Executive Officer &amp; Board Member at Aila. He serves as an Advisor at REMUS Capital. He founded and managed a product development consultancy, Product1 Design, which he ran for 10 years, and worked with clients including J&amp;J and Polaroid. Though his expertise lies in building businesses, his roots are in product development: Jason previously held active program management and engineering roles in high-tech, consumer, and medical device companies and is a graduate of BU and Babson's MBA program.</t>
  </si>
  <si>
    <t>+1 (617) 903-8331</t>
  </si>
  <si>
    <t>jason@ailatech.com</t>
  </si>
  <si>
    <t>Natick</t>
  </si>
  <si>
    <t>Natick, MA</t>
  </si>
  <si>
    <t>11 Huron Drive</t>
  </si>
  <si>
    <t>Suite 202</t>
  </si>
  <si>
    <t>01760</t>
  </si>
  <si>
    <t>+1 (831) 731-1382</t>
  </si>
  <si>
    <t>Aila (Commercial Services)</t>
  </si>
  <si>
    <t>166847-77P</t>
  </si>
  <si>
    <t>John Tincoff</t>
  </si>
  <si>
    <t>Tincoff</t>
  </si>
  <si>
    <t>Mr. John Tincoff serves as a Partner at REMUS Capital. He served as a Board Member at Humanyze. He served as Director of Strategic Initiatives at Romulus Capital. He served as Board Member at Cogito. He joined Romulus Capital after six years as a partner at sister company Romulus Advisory, a strategic advisory firm serving clients in the technology industry. In that role, he provided clients with industry insights and novel strategies on questions such as M&amp;A, capital raising, strategic partnerships, and growth initiatives. He had significant experience working with clients of all sizes, with a strong focus on growth- and early-stage companies. Prior to Romulus, he worked in energy and industrial investment banking, project finance, and corporate advisory at Taylor DeJongh and the Lafayette Group in Washington, D.C. He holds a BSFS in International Political Economy from Georgetown University. He serves as a Board Member at Aila. He serves as a Board Observer at Electric Era.</t>
  </si>
  <si>
    <t>jtincoff@remuscap.com</t>
  </si>
  <si>
    <t>38637-01P</t>
  </si>
  <si>
    <t>Jonathan Radoff</t>
  </si>
  <si>
    <t>Radoff</t>
  </si>
  <si>
    <t>Mr. Jonathan Radoff is a Co-Founder and serves as Chief Executive Officer, President and Board Member at Beamable. He serves as Advisor at REMUS Capital. He serves as Advisor at MetaMundo. He founded and served as President and Chief Executive Officer from 1992 to 1997 and Chief Technology Officer since November 1997 at Eprise Corporation. He served as Chairman of Eprise Corporation from 1992 to 1997. Prior to founding Eprise, he served as President at Inner Circle Software. His latest company, is the culmination of his experiences, combining the creativity and fun of the game industry with the know-how and technological expertise of designing interactive, online communities. Mr. Radoff is well-seasoned in building online communities, designing games and growing successful companies. Mr. Radoff began his career in computer games at age 13, when his Space Empire creation became a cult classic on the Atari ST platform. He serves as Director at gamerDNA, Inc. He left college in 1991 to start Novalink. Before founding Disruptor Beam, Jon built one of the first commercial games on the Internet, took a web content management company public, and grew a game advertising network to ten million people. He continues to disrupt the mobile game publishing industry through creative thinking and rapid iteration. Jon built one of the first commercial games on the Internet, took a web content management company public, grew a game advertising network, and launched mobile games played by millions of people including Game of Thrones Ascent and Star Trek Timelines.</t>
  </si>
  <si>
    <t>+1 (978) 503-2861</t>
  </si>
  <si>
    <t>jon@beamable.com</t>
  </si>
  <si>
    <t>6 Liberty Square</t>
  </si>
  <si>
    <t>PMB 451</t>
  </si>
  <si>
    <t>Beamable</t>
  </si>
  <si>
    <t>256002-31P</t>
  </si>
  <si>
    <t>Joshua Richards</t>
  </si>
  <si>
    <t>Mr. Joshua Richards is a Co-Founder and serves as Advisor at TalentX Entertainment. He co-founded and served as Board Member at Ani. He serves as a Venture Partner at REMUS Capital. He serves as Advisor at Breakr. He co-founded and served as Operating Partner at Animal Capital. He is also the Founder and serves as Chief Executive Officer at CrossCheck Studios. He co-hosts U.S. top 15 podcast BFFs with Barstool's Dave Portnoy. He served as Chief Strategy Officer at Triller.</t>
  </si>
  <si>
    <t>josh@talentxent.com</t>
  </si>
  <si>
    <t>Co-Founder &amp; Advisor to Vice President of Talent</t>
  </si>
  <si>
    <t>TalentX Entertainment</t>
  </si>
  <si>
    <t>48365-92P</t>
  </si>
  <si>
    <t>Krishna Gupta</t>
  </si>
  <si>
    <t>Mr. Krishna Gupta is a Co-Founder and serves as General Partner at Romulus Capital. He serves as Chairman at Ceres AI. He is the Founder and serves as the Chief Executive Officer at REMUS Capital. He is a Co-Founder and serves as Chairman at Presto Phoenix.</t>
  </si>
  <si>
    <t>kgupta@romuluscap.com</t>
  </si>
  <si>
    <t>Romulus Capital</t>
  </si>
  <si>
    <t>38566-00P</t>
  </si>
  <si>
    <t>Matthew Barba</t>
  </si>
  <si>
    <t>Barba</t>
  </si>
  <si>
    <t>Mr. Matthew Barba is a Co-Founder and serves as a Board Member &amp; Chief Executive Officer at Placester. He also serves as an Advisor at REMUS Capital. He is a harbinger for the Real Estate industry. With a background in finance, engineering and real estate his life's work has become solving the problems he identified first hand working in the industry.</t>
  </si>
  <si>
    <t>+1 (800) 728-8391</t>
  </si>
  <si>
    <t>matt@placester.com</t>
  </si>
  <si>
    <t>33 Arch Street</t>
  </si>
  <si>
    <t>Placester</t>
  </si>
  <si>
    <t>41998-24P</t>
  </si>
  <si>
    <t>Payal Kadakia</t>
  </si>
  <si>
    <t>Payal</t>
  </si>
  <si>
    <t>Ms. Payal Kadakia serves as Executive Chairman at ClassPass. Ms. Kadakia serves as Advisor at Remus Capital. She co-founded and served as Chief Executive Officer at ClassPass. Ms. Kadakia is a Co-Founder and serves as the Executive Chairman at ClassPass. Prior to founding ClassPass, she worked as a consultant at Bain &amp; Company and in Warner Music Group's Digital Strategy and Business Development Group. She also has a degree from MIT in Operations Research and Economics.</t>
  </si>
  <si>
    <t>+1 (917) 979-4701</t>
  </si>
  <si>
    <t>payal@classpass.com</t>
  </si>
  <si>
    <t>Missoula</t>
  </si>
  <si>
    <t>Missoula, MT</t>
  </si>
  <si>
    <t>101 East Front Street</t>
  </si>
  <si>
    <t>Suite 20</t>
  </si>
  <si>
    <t>59802</t>
  </si>
  <si>
    <t>ClassPass</t>
  </si>
  <si>
    <t>38555-92P</t>
  </si>
  <si>
    <t>Rajat Suri Ph.D</t>
  </si>
  <si>
    <t>Dr. Rajat Suri serves as Advisor at REMUS Capital. He co-founded and served as Chief Executive Officer and Board Member at Presto Automation. He also serves as an Advisor at REMUS Capital. He founded Presto in 2008 while pursuing his doctorate at MIT. He has also co-founded Zimride (now Lyft), the popular ride-sharing company. He holds a bachelor's from the University of Waterloo and also attended a Ph.D. / MBA program at MIT.</t>
  </si>
  <si>
    <t>Presto Phoenix (Former)</t>
  </si>
  <si>
    <t>237722-86P</t>
  </si>
  <si>
    <t>Robert Fryers</t>
  </si>
  <si>
    <t>Fryers</t>
  </si>
  <si>
    <t>Mr. Robert Fryers is a Co-Founder and serves as Chief Executive Officer and Board Member at Spotta. He serves as Advisor at REMUS Capital. He is the co-founder and CEO of Spotta. He loves to create and build things, whether that's tech, products, teams or whole businesses. He prides himself on his practical, common sense approach, which he has applied in challenging sectors from Formula 1 to life-critical medical implants.He has a 1st class degree in Engineering from the University of Cambridge, is a Chartered Engineer with the IET, and in 2020 won the SME Leader award from the Royal Academy of Engineering in London.</t>
  </si>
  <si>
    <t>+44 (0)12 2396 7398</t>
  </si>
  <si>
    <t>robert.fryers@spotta.co</t>
  </si>
  <si>
    <t>620 Newmarket Road</t>
  </si>
  <si>
    <t>CB5 8LP</t>
  </si>
  <si>
    <t>Spotta</t>
  </si>
  <si>
    <t>123433-57P</t>
  </si>
  <si>
    <t>Scott Montgomerie</t>
  </si>
  <si>
    <t>Montgomerie</t>
  </si>
  <si>
    <t>Mr. Scott Montgomerie is the Co-Founder &amp; serves as Chief Executive Officer at Scope AR. He Co-Founded Xfire.</t>
  </si>
  <si>
    <t>+1 (855) 207-2673</t>
  </si>
  <si>
    <t>scott@scopear.com</t>
  </si>
  <si>
    <t>Scope AR</t>
  </si>
  <si>
    <t>42469-66P</t>
  </si>
  <si>
    <t>Shantanu Gaur MD</t>
  </si>
  <si>
    <t>Gaur</t>
  </si>
  <si>
    <t>Dr. Shantanu Gaur is the Founder and serves as Chief Executive Officer and Board Member at Allurion Technologies. He founded Allurion while at Harvard Medical School in 2009. He graduated summa cum laude with a B.S. in Biology from Harvard College and with an M.D. from Harvard Medical School where he was a Paul Revere Frothingham Scholar and Paul &amp; Daisy Soros Fellow. He is qualified to serve as Chief Executive Officer and director of Allurion because of his experience founding Allurion, serving as its Chief Executive Officer and serving on the Allurion Board.</t>
  </si>
  <si>
    <t>+1 (617) 721-0406</t>
  </si>
  <si>
    <t>sgaur@allurion.com</t>
  </si>
  <si>
    <t>14 Huron Drive</t>
  </si>
  <si>
    <t>Chief Executive Officer &amp; Chief Financial Officer, Finance</t>
  </si>
  <si>
    <t>Allurion Technologies</t>
  </si>
  <si>
    <t>75616-93P</t>
  </si>
  <si>
    <t>Shiladitya Sengupta Ph.D</t>
  </si>
  <si>
    <t>Shiladitya</t>
  </si>
  <si>
    <t>Sengupta</t>
  </si>
  <si>
    <t>Dr. Shiladitya Sengupta was a Co-Founder of Cerulean Pharma and served as a Member of the Scientific Advisory Board and Board Member. He co-founded Farcast Biosciences, He serves as a Venture Partner at Navam Capital. He serves as an Advisor at REMUS Capital. He is also a Co-Founder of Vyome and serves as its Board Member and Clinical Advisory Board. He is also a Co-Founder of Alyssum Therapeutics and serves as a Board Member. He also serves as the co-chair of the Center for Regenerative Medicine at the Brigham and Women's Hospital, and an assistant professor of medicine at Harvard Medical School. He completed his Ph.D. from Trinity College, University of Cambridge as a Nehru and British Chevening scholar following which he did a fellowship at the Massachusetts Institute of Technology. He has been recognized as one of the top 35 innovators of the world by Technology Review Magazine, has received the Era of Hope Scholar Award from the US Department of Defense, and numerous awards from the American Society for Experimental Therapeutics. He has published over 45 papers including in Nature, PNAS, and Cancer Research, and is also the co-founder of Cerulean Pharmaceuticals, Mitra Biotech, and Vyome Biosciences.</t>
  </si>
  <si>
    <t>+1 (973) 832-8147</t>
  </si>
  <si>
    <t>ssengupta@vyometx.com</t>
  </si>
  <si>
    <t>100, Overlook Center</t>
  </si>
  <si>
    <t>Co-Founder, Board Member &amp; Scientific &amp; Clinical Advisory Board</t>
  </si>
  <si>
    <t>Vyome Therapeutics</t>
  </si>
  <si>
    <t>222776-29P</t>
  </si>
  <si>
    <t>Stash Pomichter</t>
  </si>
  <si>
    <t>Stash</t>
  </si>
  <si>
    <t>Pomichter</t>
  </si>
  <si>
    <t>Mr. Stash Pomichter serves as Venture Partner at REMUS Capital. He serves as Board Observer at Orchard Robotics. He served as General Partner at Cronos Ventures. He serves as an Advisor at Allocations. He has studied Undergraduate studies at the Massachusetts Institute of Technology</t>
  </si>
  <si>
    <t>229080-97P</t>
  </si>
  <si>
    <t>William Souillard-Mandar</t>
  </si>
  <si>
    <t>Souillard-Mandar</t>
  </si>
  <si>
    <t>Mr. William Souillard-Mandar serves as Venture Partner at REMUS Capital.</t>
  </si>
  <si>
    <t>168838-39P</t>
  </si>
  <si>
    <t>Amy Nelson</t>
  </si>
  <si>
    <t>Rethink Capital Partners</t>
  </si>
  <si>
    <t>Ms. Amy Nelson serves as Chief Strategy Officer at Rethink Capital Partners. Ms. Amy Nelson served as Chief Executive Officer at Venture for America. After earning a degree in philosophy and government from Claremont McKenna College, she did stints in Cameroon and Cambodia, where she helped grow highly-innovative international development organizations. While earning her MBA at NYU's Stern School of Business, Amy joined the team at B Lab, where she helped launch B Analytics, the leading data platform for impact investors. Amy joined Venture for America in 2013 to lead fundraising and external relations, rose to Managing Director in 2016 and became CEO in 2017. As CEO, Amy is focused on making VFA the go-to path for aspiring young entrepreneurs and helping lower the barriers to entrepreneurship for all. She lives in beautiful Park Slope with her husband and two children, and can be found attending Cirque du Soleil performances around the globe.</t>
  </si>
  <si>
    <t>+1 (909) 753-2897</t>
  </si>
  <si>
    <t>amy@rethink.vc</t>
  </si>
  <si>
    <t>707 Westchester Avenue</t>
  </si>
  <si>
    <t>10604</t>
  </si>
  <si>
    <t>+1 (914) 681-5182</t>
  </si>
  <si>
    <t>293167-00P</t>
  </si>
  <si>
    <t>Andre Bennin</t>
  </si>
  <si>
    <t>Bennin</t>
  </si>
  <si>
    <t>Mr. Andre Bennin serves as Managing Partner, Rethink Education at Rethink Capital Partners. He serves as Board Member at Pathstream. He previously served as Managing Partner of Juvo Ventures. Before that, he came from Strada Education Network, where he was a Managing Director of Corporate Development, working as investment lead on several direct minority, control, and fund investments. While at Strada, Dre served on the boards of Authess, Cell-Ed, BridgeEdu, and Roadtrip Nation. In addition, he was an advisory board member of Kenzie Academy and GSV Ventures. He was recognized in Savoy Magazine's 2020 Most Influential Black Executives in Corporate America. He brings a breadth of experience in investing, operations, and policy. Dre earned his bachelor's degree in Molecular Biology and his Juris Doctorate from Brigham Young University. He was born in Côte d'Ivoire to two Ghanaian parents and grew up in Alexandria, Virginia.</t>
  </si>
  <si>
    <t>+1 (914) 269-0938</t>
  </si>
  <si>
    <t>Managing Partner, Rethink Education</t>
  </si>
  <si>
    <t>233363-62P</t>
  </si>
  <si>
    <t>Brad Jakeman</t>
  </si>
  <si>
    <t>Jakeman</t>
  </si>
  <si>
    <t>Mr. Brad Jakeman is a Founding Managing Partner of Rethink Capital Partners. Mr. Jakeman serves as Board Member at The Humane Society of the United States &amp; Sunny Sky Products. Former president of PepsiCo's Global Beverage Group, accounting for more than $20BN in revenue. He was instrumental in driving financial returns while re-tooling the beverage portfolio for the future. Through marketing, innovation, M&amp;A, and product reformulation he significantly reshaped the PepsiCo beverage portfolio toward healthier, more nutritious options. During his seven-year tenure, PepsiCo's market cap increased by 52% outpacing the principal competitor by 24%, ROIC grew from 9.5% to 24.8% and PepsiCo returned over $45BN to shareholders, all while making significant progress toward a more sustainable future for the company and society. He implemented one of the largest reformulation efforts in packaged good history to remove one-third of added sugar from over 600+ beverage SKUs. He created double-digit growth in PepsiCo's water portfolio, including one of the most successful launches in packaged good history with LifeWTR ($250MM Retail Sales in year one) and drove Aquafina to the #1 packaged water brand globally. He also spearheaded key M&amp;A efforts, notably SodaStream, the world's largest carbonated water brand that alone is expected to eliminate 67 billion single-use plastic packages by 2025. He is considered one of the world's leading branding thought leaders and has been named one of the top 5 'Most Indispensable Executives in Tech, Media and Marketing' for two years in a row by Adweek.</t>
  </si>
  <si>
    <t>brad@rethink.vc</t>
  </si>
  <si>
    <t>Founding Managing Partner, Rethink Food</t>
  </si>
  <si>
    <t>316906-66P</t>
  </si>
  <si>
    <t>Bridget Duru</t>
  </si>
  <si>
    <t>Bridget</t>
  </si>
  <si>
    <t>Duru</t>
  </si>
  <si>
    <t>Board Observer &amp; Senior Associate</t>
  </si>
  <si>
    <t>Ms. Bridget Duru serves as Senior Associate, Rethink Education &amp; Board Observer at Rethink Capital Partners. Prior to joining the firm in January 2022, she spent two years at EY-Parthenon, focusing on commercial due diligence for companies in the consumer and education sectors. She graduated magna cum laude from Brown University and holds a B.A. in Political Science and Gender Studies.</t>
  </si>
  <si>
    <t>+1 (202) 247-5549</t>
  </si>
  <si>
    <t>Senior Associate, Rethink Education &amp; Board Observer</t>
  </si>
  <si>
    <t>205490-89P</t>
  </si>
  <si>
    <t>David Braunstein</t>
  </si>
  <si>
    <t>Braunstein</t>
  </si>
  <si>
    <t>Mr. David Braunstein serves as Senior Vice President, Investments, Rethink Real Estate at Rethink Capital Partners. He leads the evaluation of new investment opportunities. Prior to joining the team, he was an Originations Associate for Hudson Realty Capital, a New York-based real estate equity fund manager with over $1.5 billion in assets under management. Preceding his time at Hudson Realty Capital, he held acquisition and asset management roles at Argent Ventures and DRA Advisors in New York. Prior to this experience, he served as an Analyst in Real Estate Finance with UBS and as a Senior Accountant at Ernst &amp; Young. He holds a Bachelor of Science in Accounting from Tulane University and a Master of Science in Real Estate from New York University.</t>
  </si>
  <si>
    <t>Senior Vice President, Investments, Rethink Real Estate</t>
  </si>
  <si>
    <t>370416-07P</t>
  </si>
  <si>
    <t>Dean Banks</t>
  </si>
  <si>
    <t>Banks</t>
  </si>
  <si>
    <t>Mr. Dean Banks serves as Chief Executive Officer &amp; Board Member at Indigo. He serves as Chief Executive Officer - Partner at Flagship Pioneering. He serves as Board Member at Meatable. His unique background as an entrepreneur, technologist, innovator, and business executive provides a strong foundation as he stewards Indigo Ag into this next critical phase of growth and profitability, to ultimately realize the full potential of the Indigo Ag platform for companies, farmers, and the planet. He has been an Indigo Ag Board Member since July 2022. He previously served as President and CEO at Tyson Foods where he was responsible for charting the long-term vision for the company including steering integration of advanced technologies like artificial intelligence, robotics, and development of alternative proteins throughout its operations. During his four-year tenure with the company, he also served on the Board and executive leadership team. He joined Tyson from the high-tech incubator at Alphabet, the company formerly known as Google [X], where he served on the leadership team and led moonshot projects across multiple industries including sustainable food (as co-founder of Tidal) and robotics (as co-founder of Intrinsic). He was previously managing partner of SEED Ventures, a group investing in and developing early stage healthcare technologies. He also has served as a consultant to Cleveland Clinic Innovations, SVP of Business Development and Strategic Marketing at OrthoHelix, co-founder and CEO of Connective Orthopedics, and Vice President at Highland Capital Partners. He currently serves on the Boards of Vergent Bioscience (where he was a co-founder and founding CEO), OMeat, and on the Advisory Board of Shiru. He is a former platoon sergeant and squad leader in the U.S. Marine Corps. He holds a Bachelor of Arts in Marketing and Public Relations from Miami University and a Master of Business Administration from the Harvard Business School.</t>
  </si>
  <si>
    <t>+1 (844) 828-0240</t>
  </si>
  <si>
    <t>dbanks@indigoag.com</t>
  </si>
  <si>
    <t>500 Rutherford Avenue</t>
  </si>
  <si>
    <t>Charlestown</t>
  </si>
  <si>
    <t>Indigo</t>
  </si>
  <si>
    <t>372485-53P</t>
  </si>
  <si>
    <t>Divya Demato</t>
  </si>
  <si>
    <t>Demato</t>
  </si>
  <si>
    <t>Ms. Divya Demato is a Co-Founder and serves as Chief Executive Officer at GoodOps. Ms. Demato brings 20 years of experience as an operator, entrepreneur, executive, consultant, and advisor for internationally recognized startups and leading multinationals. She has driven innovative supply chain and logistics solutions for companies at various stages of growth, including Walmart, Danone, VF Corp, Martin Brower/McDonald's, Madison Reed, One Kings Lane, Westwing/Rocket Internet, ABLE and Pricesmart. In 2021, she was named one of the Top 100 Women in Supply Chain globally by Supply Chain Digital and Top 10 Women in Procurement by Procurement Magazine. In 2020, she was also a winner of Supply &amp; Demand Chain Executive's Women in Supply Chain Award. Ms. Demato is an advisor to Rethink Food VC and Radiant Ventures, a mentor for Unreasonable Group and Chairwoman Emeritus for Nexus Global. She has spoken at industry leading supply chain and sustainability events such as EcoVadis SUSTAIN Conference, EcoVadis Asia Pacific B2B Sustainability Forum, Alcott Global's Makers &amp; Movers Summit, Global Sources Sustainable Sourcing, Ardent Partners CPO Rising, Techstars, Home Delivery World, Automated Vehicles Symposium, FASHINNOVATION, The NY Supply Chain Meetup and Nexus Global.</t>
  </si>
  <si>
    <t>+1 (646) 504-0610</t>
  </si>
  <si>
    <t>divya@goodops.co</t>
  </si>
  <si>
    <t>GoodOps</t>
  </si>
  <si>
    <t>275607-10P</t>
  </si>
  <si>
    <t>Douglas Ray</t>
  </si>
  <si>
    <t>Mr. Douglas Ray serves as President and Chief Executive Officer at Rethink Capital Partners. He previously served on the Board of Directors of Fifth Street Finance Corp. (NASDAQ: FSC), a public investment management company based in White Plains, NY, and is a member of the Young Presidents Organization (YPO). Prior to joining Seavest, he was employed in Washington, D.C., on the staff of U.S. Senator Arlen Specter and as a research analyst for the Republican National Committee. He received a Bachelor of Arts degree in Political Science from the University of Pittsburgh.</t>
  </si>
  <si>
    <t>60600-43P</t>
  </si>
  <si>
    <t>Ebony Brown</t>
  </si>
  <si>
    <t>Ebony</t>
  </si>
  <si>
    <t>Ms. Ebony Brown is the Principal at Rethink Education, a venture capital firm focused on education technology. She also served as Board Member at Anthill AI. Most recently, she was the Director of US Ventures at Village Capital, where she was responsible for finding and supporting US start-ups for the fund's five sectors. Prior to this, she was Education Director for the Social Venture Fund. Previously, she spent time in her hometown of Detroit, managing charter schools at New Urban Learning, and began her career as an Account Strategist at Google. She holds an MBA from the University of Michigan's Ross School of Business and a B.B.A in Finance from Howard University. He served as Board Member at AllHere Education.</t>
  </si>
  <si>
    <t>Partner, Rethink Education</t>
  </si>
  <si>
    <t>61581-61P</t>
  </si>
  <si>
    <t>Heidi Patel</t>
  </si>
  <si>
    <t>Ms. Heidi Patel serves as Managing Partner at Rethink Impact. She served as Board Member at Oncue. She serves as an Investment Committee Member at GSB Impact Fund. She serves as a Board Member at Clarity Pediatrics. She serves as a Board Member at Oncue. She served as a Board Member at Ketos. She serves as a Board Member at Icon Savings Plan. She serves as a Board Observer at Univfy. She serves as a Board Observer at Angaza. She serves as a Board Observer at Binti. Previously, she was President and Head of Communities Investing for New Island Capital Management, an institutional-scale and 100% mission-focused investment advisor to a single ultra-high net-worth family. In this capacity, she helped grow and run the firm while also focusing on early-stage private equity investing in online marketplaces, sustainable food and consumer brands, alternative financial institutions, and local living economies. She sat on New Island's Executive Team and the Investment Committee, overseeing 100+ investments, across multiple asset classes, in sustainability, conservation, education, economic development, sustainable agriculture, and green real estate. Prior to this, she was an Acumen Fund Global Fellow working with D.light Design India, a social enterprise operating in India, China, and Tanzania to eradicate kerosene through the design, manufacturing, and distribution of solar-powered LED lights. Before Acumen, she was a Director at Pacific Community Ventures, a double bottom-line private equity fund and non-profit organization in San Francisco, California focused on small businesses creating high-quality jobs in low-income neighborhoods. Previously, she was a founding member of AOL Time Warner Ventures and worked in Investment Banking at Deutsche Morgan Grenfell and Credit Suisse First Boston. She teaches (and co-created) a course on institutional impact investing at the Stanford University Graduate School of Business and she serves on the Investment Committee for the Stanford GSB Student Impact Fund. She is an advisor to Impact America (another women-led impact investing firm) and a Board Member of Goodwill Industries of San Francisco, Marin, and San Mateo. Her work in social enterprise and impact investing has been featured in the Wall St Journal, NPR's Marketplace, Fox Business News, Forbes.com, Huffington Post, Ladies Home Journal, AOL's WalletPop, Rick Roberts Show, and the Acumen Fund blog. She earned an AB from Princeton University and an MBA from the Graduate School of Business at Stanford University. She serves as a Board Member at Full Harvest. She served as a Board Member at Spring Health. She serves as Board Member at Culina Health.</t>
  </si>
  <si>
    <t>+1 (917) 873-6975</t>
  </si>
  <si>
    <t>heidi@rethinkimpact.com</t>
  </si>
  <si>
    <t>Rethink Impact</t>
  </si>
  <si>
    <t>413915-14P</t>
  </si>
  <si>
    <t>Hillary Collins</t>
  </si>
  <si>
    <t>Hillary</t>
  </si>
  <si>
    <t>Ms. Hillary Collins serves as Senior Associate, Project Management at Rethink Capital Partners.</t>
  </si>
  <si>
    <t>hcollins@rethink-capital.com</t>
  </si>
  <si>
    <t>Senior Associate, Project Management</t>
  </si>
  <si>
    <t>56967-94P</t>
  </si>
  <si>
    <t>Jenny Abramson</t>
  </si>
  <si>
    <t>Ms. Jenny Abramson is the Founder &amp; serves as Managing Partner at Rethink Capital Partners. She sits on the boards of Bold (Educational and Training Services), EveryDay Labs, FutureFuel.io, Sempre Health, Wellthy, and as a board observer for Neurotrack and Werk. Previously, she served as CEO of LiveSafe, a tech security company focused on preventing school shootings and sexual assaults. She also held leadership roles at The Washington Post, Personal (a data tech company), The Boston Consulting Group, D.C. Public Schools, and Teach for America. She served as a Board Member at Ellevest. She is a board member of the NFL Players, Inc., DC Prep, and is board chair of Georgetown Day School. She is also an active member of All Raise, co-leading their data efforts. Finally, she is an Advisory Board member of the Camden Partners Nexus Fund (an early-stage health-focused VC fund). She has been covered in Forbes, on CNN, in The New York Times, and in The Washington Post, interviewed on Squawk Box, featured at the Code Conference, at the United Nations, at the G7, and on Capitol Hill, and was named Top 40 Under 40, a DC Power Women in Tech and a DC Tech Titan. She received bachelor's and master's degrees with honors from Stanford University, an MBA with honors, and the Dean's Award from Harvard Business School (where she also served on the Investment Committee for Shareholder Responsibility for Harvard University), and was a Fulbright Scholar at the London School of Economics. She also serves as a Board Member at the Jacobs Foundation.</t>
  </si>
  <si>
    <t>+1 (724) 316-9966</t>
  </si>
  <si>
    <t>jenny@rethink-capital.com</t>
  </si>
  <si>
    <t>284079-70P</t>
  </si>
  <si>
    <t>Jessica Krieger Ph.D</t>
  </si>
  <si>
    <t>Krieger</t>
  </si>
  <si>
    <t>Dr. Jessica Krieger is a Co-Founder and serves as Chief Executive Officer at Ohayo Valley.</t>
  </si>
  <si>
    <t>jkrieger@ohayovalley.com</t>
  </si>
  <si>
    <t>814 University Avenue</t>
  </si>
  <si>
    <t>Apartment 221</t>
  </si>
  <si>
    <t>Ohayo Valley</t>
  </si>
  <si>
    <t>37695-52P</t>
  </si>
  <si>
    <t>Jonathan Winer</t>
  </si>
  <si>
    <t>Winer</t>
  </si>
  <si>
    <t>President &amp; Senior Managing Director</t>
  </si>
  <si>
    <t>Mr. Jonathan Winer serves as Senior Managing Director, Rethink Capital Partners and President &amp; Chief Investment Officer, Rethink Healthcare Real Estate at Rethink Capital Partners. He previously served as Partner at Ernst &amp; Young. He is also a Partner and President at Rethink Healthcare Real Estate. He joined the firm in 2008 and has over 28 years of real estate experience. In his role, he has multi-faceted responsibilities including directing both the acquisition and asset management groups. Prior to Rethink, he was a Partner at EY LLP where he directed the Healthcare Real Estate Advisory practice. Previously, he was active with Chemical Bank and Bear Stearns &amp; Co., Inc., where he specialized in providing tax-exempt financing. He is a frequent speaker at healthcare real estate industry events including seminars sponsored by the Building Owners and Managers Association (BOMA), Urban Land Institute (ULI), and Healthcare Financial Management Association (HFMA). He serves on the BOMA Healthcare Facilities Conference. He has an MBA from New York University and a BBA from George Washington University and is a licensed Real Estate Broker in New York.</t>
  </si>
  <si>
    <t>+1 (914) 683-8474</t>
  </si>
  <si>
    <t>jwiner@seavestinc.com</t>
  </si>
  <si>
    <t>Senior Managing Director, Rethink Capital Partners and President &amp; Chief Investment Officer, Rethink Healthcare Real Estate</t>
  </si>
  <si>
    <t>277367-14P</t>
  </si>
  <si>
    <t>Karin Rotem-Wildeman Ph.D</t>
  </si>
  <si>
    <t>Rotem-Wildeman</t>
  </si>
  <si>
    <t>Dr. Karin Rotem-Wildeman serves as Chief Research &amp; Development Officer at Keurig Dr Pepper. with more than 25 years of leadership experience in product innovation and commercialization for leading global food and beverage companies, including PepsiCo, Nestle and GODIVA Chocolatier. She was most recently Chief Scientific Officer at the LIVEKINDLY Collective - a plant-based startup with a portfolio of established brands as well as innovative new products. She spent 18 years with PepsiCo in global R&amp;D leadership roles across beverages and food, with her last serving as Senior Vice President, Beverage Regional R&amp;D. During her time at the company, she led innovation into emerging white spaces as well as renovation in core categories and oversaw work in process development, strategy, portfolio management, and venture capital investment.</t>
  </si>
  <si>
    <t>53 South Avenue</t>
  </si>
  <si>
    <t>Keurig Dr Pepper</t>
  </si>
  <si>
    <t>316941-67P</t>
  </si>
  <si>
    <t>Kaylee Grant</t>
  </si>
  <si>
    <t>Kaylee</t>
  </si>
  <si>
    <t>Ms. Kaylee Grant serves as Vice President, Finance at Rethink Capital Partners. She is responsible for the accounting operations and financial reporting for all Rethink entities. She has 8 years of experience focusing on fund accounting, financial reporting, and transaction accounting. She joined Rethink in 2014 from Tishman Speyer where she was a fund controller responsible for financial accounting and fair value reporting for various funds investing in commercial real estate. Prior to her time at Tishman Speyer, She spent four years as a senior auditor in the real estate service group at CohnReznick LLC. She received a dual Bachelor of Business Administration degree in Accounting and Finance from Western New England University. She is a CPA licensed in the State of New York.</t>
  </si>
  <si>
    <t>413914-69P</t>
  </si>
  <si>
    <t>Keith Barker</t>
  </si>
  <si>
    <t>Mr. Keith Barker serves as Vice President, Development and Construction at Rethink Capital Partners.</t>
  </si>
  <si>
    <t>kbarker@rethink-capital.com</t>
  </si>
  <si>
    <t>Vice President, Development and Construction</t>
  </si>
  <si>
    <t>205491-07P</t>
  </si>
  <si>
    <t>Kurt Hackett</t>
  </si>
  <si>
    <t>Mr. Kurt Hackett serves as Vice President of Asset Management, Rethink Real Estate at Rethink Capital Partners. Prior to joining Seavest, he worked at Hudson Realty Capital, a New York-based real estate equity fund manager with over $1.5 billion in assets under management, as a Director in the Loan Originations Group and as a Vice President in the Asset Management Group with responsibility for determining and executing business plan goals for a portfolio of debt and equity investments across property types. Preceding his time at Hudson Realty Capital, he held underwriting and asset management positions at LEM Capital, a series of private equity funds sponsored by Lubert-Adler, in Philadelphia. Prior to this experience, he served as an Associate in the Real Estate Investment Group at JPMorgan Investment Management and as an accountant at the New York City Economic Development Corporation. He earned his B.B.A. from Pace University, and his M.B.A. from The Wharton School of the University of Pennsylvania, with a concentration in Finance and Real Estate.</t>
  </si>
  <si>
    <t>Vice President of Asset Management, Rethink Real Estate</t>
  </si>
  <si>
    <t>270969-49P</t>
  </si>
  <si>
    <t>Lisa Mann</t>
  </si>
  <si>
    <t>Ms. Lisa Mann serves as Board Member at Louisiana Fish Fry. She served as Board Member at SunFed Ranch.</t>
  </si>
  <si>
    <t>lisa.mann@mdlz.com</t>
  </si>
  <si>
    <t>445 Park Avenue</t>
  </si>
  <si>
    <t>Managing Director, Consumer Practice &amp; Chief Marketing Officer</t>
  </si>
  <si>
    <t>Raines International</t>
  </si>
  <si>
    <t>193347-19P</t>
  </si>
  <si>
    <t>Malika Basheer</t>
  </si>
  <si>
    <t>Malika</t>
  </si>
  <si>
    <t>Basheer</t>
  </si>
  <si>
    <t>Ms. Malika Basheer serves as Senior Vice President &amp; Director of Asset Management, Rethink Real Estate at Rethink Capital Partners. Prior to joining Rethink, Ms. Basheer held key roles in corporate finance for Mastercard International and PepsiCo where she demonstrated success working with cross-functional teams to execute strategies to maximize value and mitigate risks on various product types across multiple markets. Ms. Basheer earned her Master's in Business Administration and a dual Bachelor of Science degree in Finance and Management Information Systems from the School of Management at Binghamton University.</t>
  </si>
  <si>
    <t>mbasheer@rethink-capital.com</t>
  </si>
  <si>
    <t>Senior Vice President &amp; Director of Asset Management, Rethink Real Estate</t>
  </si>
  <si>
    <t>40448-44P</t>
  </si>
  <si>
    <t>Matthew Greenfield Ph.D</t>
  </si>
  <si>
    <t>Dr. Matthew Greenfield is the Founder and serves as Managing Partner, of Rethink Education at Rethink Capital Partners. He serves as Board Member at AllHere. He also serves as Managing Partner at Seavest Investment Group. He serves as a Board Member at Stellic, Ignite! Reading, Mainstay (Educational Software), Mouse Interactive Media and PingMD. He serves as a Board Member &amp; Advisor at Lynx Educate. He chairs the board of Engrade, he is a founder of Stonework Capital, an ethically oriented hedge fund based in New York City, and he served as a Managing Partner at NewSchool Ventures Fund, and the College Board. He serves as a Board Member at GetSetup and CareAcademy. He previously served as a Board Member at Allovue. He previously helped start three technology businesses, including Rethink Autism, DB Software (acquired by Cadre Software and now part of CA), and Synergetics (acquired by 3Com), and worked as an associate at ABS Ventures. In addition to Synergetics, his successful angel investments include Wireless Generation (acquired by News), Atricure, and Wellfleet (merged with Synoptics to form Bay Networks and then acquired by Nortel). He taught at Bowdoin College, where he served on the committee overseeing admissions, and the City University of New York, where he served on a college curriculum committee, helped launch an interdisciplinary learning community program for first-year students, taught in the teacher preparation program, and taught graduate classes in literature to teachers from the New York City public schools. He helped design and launch Blackwell's Literature Compass online journal and the associated blog and co-edited the Shakespeare section, he co-edited Edmund Spenser: Essays on Culture and Allegory, and he has published in such journals as the Paris Review, Raritan, Tikkun, PMLA, Shakespeare Quarterly, and English Literary Renaissance. He received his B.A., M.A., and Ph.D. in English from Yale University, where he won five academic prizes and fellowships from the Mellon and Whiting Foundations and served on the editorial board of the Yale Journal of Law and the Humanities.</t>
  </si>
  <si>
    <t>+1 (212) 231-0056</t>
  </si>
  <si>
    <t>Founder &amp; Managing Partner, Rethink Education</t>
  </si>
  <si>
    <t>42824-17P</t>
  </si>
  <si>
    <t>Michael Walden</t>
  </si>
  <si>
    <t>Walden</t>
  </si>
  <si>
    <t>Mr. Michael Walden serves as Chief Operating &amp; Compliance Officer, Rethink Capital Partners and President, Rethink Community at Rethink Capital Partners. He is also the President, of Rethink Community at Rethink Capital Partners. He serves as Chief Operating Officer at Seavest Investment Group. He was a Board Member of Empowered Education. He most recently served as Managing Director of Potomac Media Partners, a corporate development advisory services firm. Prior to Potomac Media Partners, he served as Executive Vice President of Corporate Development at InPhonic, where he was responsible for strategic partnerships, financing, business development, and M&amp;A activities. During his tenure, InPhonic went from a venture-financed start-up to a public offering in November 2004. He served as a Board Member at EVERFI. His experience also includes serving in various operating positions in venture-funded growth companies in the technology and telecommunications sectors. He received a Bachelor of Science degree in Business Administration from the University of Richmond. He also served as Secretary at A. L. Mailman Family Foundation.</t>
  </si>
  <si>
    <t>mwalden@seavestinc.com</t>
  </si>
  <si>
    <t>Chief Operating &amp; Compliance Officer, Rethink Capital Partners and President, Rethink Community</t>
  </si>
  <si>
    <t>192201-76P</t>
  </si>
  <si>
    <t>Michelle Dervan</t>
  </si>
  <si>
    <t>Dervan</t>
  </si>
  <si>
    <t>Ms. Michelle Dervan is the Founder &amp; serves as Chief Executive Officer and Board Member at SkillsTrust. Ms. Michelle Dervan serves as Venture Partner, Rethink Education at Rethink Capital Partners. Prior to joining Rethink Education, she was a Director of Strategic Partnerships at Pearson Education where she focused on sourcing and structuring partnership deals with large and small tech companies. She previously held a number of education, ed-tech, and economic development roles at the Irish government agency, Enterprise Ireland. She is actively interested in education policy and workforce development initiatives. She volunteers as an Organizer of the NYEdtech Meetup, as a Mentor with YearUp, and serves as a NextGen Board Member of NY Collaborates for Autism, a nonprofit that designs innovative programs to improve the lives of people living with Autism Spectrum Disorder. She has an MBA from Columbia Business School and a Bachelor's degree in European Studies, French, and Russian from Trinity College Dublin, Ireland. She also serves as Board Member at Academy.</t>
  </si>
  <si>
    <t>SkillsTrust</t>
  </si>
  <si>
    <t>413910-01P</t>
  </si>
  <si>
    <t>Moira Cullen</t>
  </si>
  <si>
    <t>Moira</t>
  </si>
  <si>
    <t>Cullen</t>
  </si>
  <si>
    <t>Ms. Moira Cullen serves as Operating Advisor on Design at Rethink Capital Partners.</t>
  </si>
  <si>
    <t>Operating Advisor on Design</t>
  </si>
  <si>
    <t>381072-61P</t>
  </si>
  <si>
    <t>Monique Malcolm-Hay</t>
  </si>
  <si>
    <t>Malcolm-Hay</t>
  </si>
  <si>
    <t>Ms. Monique Malcolm-Hay serves as Senior Associate, Rethink Education &amp; Board Observer at Rethink Capital Partners. Previously, She served as Co-Chief Investment Officer at Stanford GSB Impact Fund. Prior to this, she was at Future Fit AI, an early-stage future of work startup leveraging AI to help people navigate career transitions. She began her career at PwC, focusing on financial due diligence, turnaround, and consulting projects in the future of work and education sectors. She graduated from Stanford University with an MBA and MA in Education. She serves as Board Observer at Ignite Reading.</t>
  </si>
  <si>
    <t>mmalcolm-hay@rethink-capital.com</t>
  </si>
  <si>
    <t>915 Broadway, 1104</t>
  </si>
  <si>
    <t>Senior Associate &amp; Board Observer</t>
  </si>
  <si>
    <t>132214-60P</t>
  </si>
  <si>
    <t>P. David Bramble JD</t>
  </si>
  <si>
    <t>P. David</t>
  </si>
  <si>
    <t>Bramble</t>
  </si>
  <si>
    <t>Mr. P. David Bramble serves as a Board Member at Robert W. Deutsch Foundation. He is also a Co-Founder &amp; serves as Managing Partner at MCB Real Estate. He serves as Co-Managing Partner, Rethink Community at Rethink Capital Partners. Mr. Bramble also serves as a board member for the Brown School of Business, Stevenson University, Mt. Washington, MD, the Pediatric Hospital Foundation, and was the former Commissioner on the Maryland Racing Commission. Mr. Bramble received his Bachelor of Arts from Princeton University and his Juris Doctorate from the University of Pennsylvania Law School.</t>
  </si>
  <si>
    <t>+1 (410) 662-0105</t>
  </si>
  <si>
    <t>dbramble@mcbrealestate.com</t>
  </si>
  <si>
    <t>2002 Clipper Park Road</t>
  </si>
  <si>
    <t>Suite 105</t>
  </si>
  <si>
    <t>21218</t>
  </si>
  <si>
    <t>+1 (410) 662-0109</t>
  </si>
  <si>
    <t>MCB Real Estate</t>
  </si>
  <si>
    <t>316908-91P</t>
  </si>
  <si>
    <t>Percy Oliver</t>
  </si>
  <si>
    <t>Mr. Percy Oliver serves as an Associate for Rethink Real Estate at Rethink Capital Partners. Prior to joining Rethink, he completed an M.B.A. internship at Beacon Capital Partners with the primary responsibility of underwriting office and life science properties in various markets. Before pursuing his MBA, he worked at MUFG and JP Morgan in transaction banking and working capital solutions.</t>
  </si>
  <si>
    <t>Associate, Rethink Healthcare Real Estate</t>
  </si>
  <si>
    <t>413910-55P</t>
  </si>
  <si>
    <t>Richard Demato</t>
  </si>
  <si>
    <t>Mr. Richard Demato serves as Operating Advisor on Supply Chain at Rethink Capital Partners.</t>
  </si>
  <si>
    <t>Operating Advisor on Supply Chain</t>
  </si>
  <si>
    <t>48049-84P</t>
  </si>
  <si>
    <t>Richard Segal</t>
  </si>
  <si>
    <t>Segal</t>
  </si>
  <si>
    <t>Executive Director &amp; Investment Executive</t>
  </si>
  <si>
    <t>Mr. Richard Segal served as Executive Director &amp; Investment Committee Member at Rethink Impact. He served as Chairman of Knowledge to Practice. He serves as Board Member at HOMER. He has served on the boards of many public and private companies which include Hudson General Inc., Air Express Int., Penn Traffic, Schoolnet, Civitas, Wireless Generation, Smarterer, and Flocabulary. Currently, he sits on the boards of various education technology companies including Advanced Prison Data Systems, Cinematic Health Education, Knowledge 2 Practice, Noodle Companies, Voxy, BEGiN-Homer Learning, Engen, and Vivi. He is deeply committed to creating better communities through his philanthropic engagements, which are primarily focused on health, education, and providing opportunities for low-income children and the arts. He is a Trustee of the Whitney Museum of Art in New York City, where he serves as Treasurer and chair of the Finance Committee. He also sits on the Board of the New York Academy of Art, serving as Treasurer and Vice-Chair. Additionally, he serves on the Board of Trustees of New York-Presbyterian Hospital and he is a board member and Finance Chair of the Africa Center in New York. He was the President of the A. L. Mailman Family Foundation. He received a Bachelor of Arts degree in English from Wesleyan University</t>
  </si>
  <si>
    <t>rsegal@rteducation.com</t>
  </si>
  <si>
    <t>Executive Director &amp; Investment Committee Member, Rethink Food</t>
  </si>
  <si>
    <t>233364-07P</t>
  </si>
  <si>
    <t>Rini Greenfield</t>
  </si>
  <si>
    <t>Rini</t>
  </si>
  <si>
    <t>Ms. Rini Greenfield is the Founder &amp; serves as Managing Partner, Rethink Food at Rethink Capital Partners. A co-founder of Adaptive Management, a former Tiger Management fund, she helped pioneer the use of big data analysis and visualization to make fundamental long-term investments. She has over a decade of experience investing in technology and consumer companies. She started her career developing a keen understanding of the global semiconductor and capital equipment industry which drove her to develop a strong global supply chain network with a particular focus on Asia. She sought out sectors that were at the tipping point of disruption through innovation, investing in wireless products, telecommunications, alternative energy, internet, media, e-commerce, sensor technology, SaaS, and others. Her investment scope broadened beyond the U.S. and Asia to the Middle East, Western Europe and Russia. She has extensive relationships with technologists, operators and investors worldwide. After Adaptive, she expanded her repertoire to private companies. She invested for a multi-billion dollar single-family office focused on early to growth stage consumer and technology companies with a social impact lens. Investments made during her tenure include one of the world's largest ride-sharing companies which are based in Asia.</t>
  </si>
  <si>
    <t>Founder &amp; Managing Partner, Rethink Food</t>
  </si>
  <si>
    <t>112764-70P</t>
  </si>
  <si>
    <t>Shakawat Chowdhury</t>
  </si>
  <si>
    <t>Shakawat</t>
  </si>
  <si>
    <t>Mr. Shakawat Chowdhury serves as Chief Financial Officer at Rethink Capital Partners. Mr. Chowdhury manages the firm's financial and accounting operations. He has over nineteen (19) years of experience in the real estate industry with a focus on accounting and taxation. Prior to joining Rethink, he was a Senior Tax Director in the tax group for Tishman Speyer where he had responsibility for the U.S. tax reporting function of all legal entities globally. Prior to his tenure at Tishman Speyer, he spent four years at Arthur Andersen &amp; Co. He received a Bachelor of Business Administration Degree Cum Laude in accounting with a minor in mathematics from Bernard M. Baruch College. He is a CPA licensed in the State of New York.</t>
  </si>
  <si>
    <t>shakawat.chowdhury@rteducation.com</t>
  </si>
  <si>
    <t>257796-19P</t>
  </si>
  <si>
    <t>Sophie Kim</t>
  </si>
  <si>
    <t>Ms. Sophie Kim serves as Senior Associate, Investments, Rethink Healthcare Real Estate at Rethink Capital Partners. She is an associate at Seavest and focuses on property acquisitions across the firm's investment platforms, including Seavest Healthcare Properties and Rethink Community. In this role, she evaluates new investment opportunities by performing underwriting, due diligence, market analysis, and presenting to the investment committee. Her responsibilities also extend to the management and analysis of the existing portfolio. She has an MBA from the University of Chicago Booth School of Business, with concentrations in Finance and Economics, and a Bachelor's degree from the University of Wisconsin - Madison.</t>
  </si>
  <si>
    <t>+1 (217) 344-2487</t>
  </si>
  <si>
    <t>Senior Associate, Investments, Rethink Healthcare Real Estate</t>
  </si>
  <si>
    <t>72932-68P</t>
  </si>
  <si>
    <t>Steve Ells</t>
  </si>
  <si>
    <t>Ells</t>
  </si>
  <si>
    <t>Steve Ells serves as Senior Strategic Advisor at Rethink Capital Partners. Mr. Ells has served as a Director since October 2020. Mr. Ells is the Founder and former Executive Chairman &amp; CEO of Chipotle Mexican Grill. Prior to launching Chipotle, Mr. Ells worked for two years at Stars restaurant in San Francisco., where he was inspired by the local taquerias. Mr. Ells returned home to Denver in hopes of opening a similarly themed establishment and founded Chipotle in 1993. Under his direction, the chain grew substantially, serving naturally raised protein and promoting sustainable agriculture. Mr. Ells served as Chief Executive Officer of the chain from 1993 until 2009, when he split Co-Chief Executive Officer duties with Monty Moran. Mr. Ells returned as sole Chief Executive Officer from 2016 to 2017. Mr. Ells received a Bachelor of Arts degree from the University of Colorado at Boulder and is also a 1990 Culinary Institute of America graduate.</t>
  </si>
  <si>
    <t>Ajax I (Former)</t>
  </si>
  <si>
    <t>413912-17P</t>
  </si>
  <si>
    <t>Thomas Friel Jr.</t>
  </si>
  <si>
    <t>Friel</t>
  </si>
  <si>
    <t>Mr. Thomas Friel serves as Operating Advisor on Intellectual Property at Rethink Capital Partners.</t>
  </si>
  <si>
    <t>Operating Advisor on Intellectual Property</t>
  </si>
  <si>
    <t>281919-97P</t>
  </si>
  <si>
    <t>Viktoriya Lushkova</t>
  </si>
  <si>
    <t>Viktoriya</t>
  </si>
  <si>
    <t>Lushkova</t>
  </si>
  <si>
    <t>Ms. Viktoriya Lushkova serves as Senior Associate in Investor Relations at Rethink Capital Partners. She also serves as Investor Relations Associate at Rethink Capital Partners. She joined Seavest in 2021 and supports managing Seavest's capital campaigns across investment strategies. Prior to joining Seavest, she worked as an Investor Relations Analyst at Apax Partners, a global private equity firm. Earlier in her career, she was part of the trade finance team at Nitron Group, a global commodity trading firm. She previously played professional and DI tennis. She received a dual B.S.B.A. with honors in International Business and Marketing. Outside of work, she enjoys running marathons to raise funds for Pencils of Promise.</t>
  </si>
  <si>
    <t>vlushkova@rethink-capital.com</t>
  </si>
  <si>
    <t>452065-33P</t>
  </si>
  <si>
    <t>Deanna Kocher</t>
  </si>
  <si>
    <t>RevIthaca Startup Works</t>
  </si>
  <si>
    <t>+1 (607) 882-2400</t>
  </si>
  <si>
    <t>314 East State Street</t>
  </si>
  <si>
    <t>163850-59P</t>
  </si>
  <si>
    <t>Kenneth Rother</t>
  </si>
  <si>
    <t>Rother</t>
  </si>
  <si>
    <t>Director &amp; Entrepreneur-in-Residence</t>
  </si>
  <si>
    <t>Mr. Kenneth Rother serves as Director &amp; Entrepreneur-in-Residence at RevIthaca Startup Works. He serves as Advisor at Exotanium. He is the Director of Rev as well as its Hardware Entrepreneurship program. He is the Managing Director of Cornell's eLab student accelerator program, teaches entrepreneurship at the Johnson School, instructs and coaches in several technology commercialization programs including NSF I-Corps, and is a Venture Partner at Cayuga Venture Fund. Ken has held multiple senior business and technical positions for organizations such as Discovery Communications, Reuters, Matrox, and the Toronto Stock Exchange. He has direct startup experience having co-founded a software business in Toronto and joining an early stage online media business in New York, both of these startups concluded with successful exits. Most recently Ken was the Senior Vice President of Digital Media at Discovery.</t>
  </si>
  <si>
    <t>krother@revithaca.com</t>
  </si>
  <si>
    <t>204616-09P</t>
  </si>
  <si>
    <t>Laurent Bischof</t>
  </si>
  <si>
    <t>Laurent</t>
  </si>
  <si>
    <t>Bischof</t>
  </si>
  <si>
    <t>Rewired Venture Studio</t>
  </si>
  <si>
    <t>Mr. Laurent Bischof serves as Director at Rewired Venture Studio. He co-founded and served as Managing Partner at Fintech Fusion. He co-founded Bloom, the first AI platform dedicated to strategic analysis of social networks, where he is currently acting as Board member and CFO. Since 2011, he has also managing director of Polytech Ventures, a Swiss-based early-stage venture fund.</t>
  </si>
  <si>
    <t>+41 (0)22 361 0327</t>
  </si>
  <si>
    <t>laurent@rewired.com</t>
  </si>
  <si>
    <t>Nyon</t>
  </si>
  <si>
    <t>Nyon, Switzerland</t>
  </si>
  <si>
    <t>Rue de la Porcelaine 13</t>
  </si>
  <si>
    <t>1260</t>
  </si>
  <si>
    <t>268131-16P</t>
  </si>
  <si>
    <t>Philippe Erwin</t>
  </si>
  <si>
    <t>Mr. Philippe Erwin serves as Chief Business Officer at Rewired. He serves as Advisor at Netgraph Investment. With more than 20 years of experience in the entertainment and video games industry, Philippe is well-known for his expertise in investment and business development. In 2013, he co-founded QED Associates, a media consultancy business, and was a general counsel for Robot Cache, the first PC games digital distribution platform built on the blockchain. He is also a Chief Business Officer for Cascade Global supporting the business development of the venture capital and sharing his knowledge on video games. He is also a board advisor for Team Vitality, one of the leading European esports Teams.</t>
  </si>
  <si>
    <t>perwin@rewired.com</t>
  </si>
  <si>
    <t>212286-88P</t>
  </si>
  <si>
    <t>Sam Cooke</t>
  </si>
  <si>
    <t>Cooke</t>
  </si>
  <si>
    <t>Mr. Sam Cooke is a Co-Founder and serves as Managing Director at Esports Insider. He is a Co-Founder &amp; serves as Co-Managing Director at The Esports Journal. He also serves as Senior Advisor at Rewired. He serves as Advisor at Rewired GG. He first entered the world of esports as a journalist covering the industry from a betting perspective for SBC News in 2015. Recognizing an opportunity and gap in the market, he co-founded and grew the business news site, media, and events company Esports Insider. Since the launch of ESI in the summer of 2016 it has grown into one of the leading industry sites globally and has organized more esports-focused business events than any other company. In the position of Managing Director, he oversees the growth of the company and the direction of the company, as well as its day-to-day affairs.</t>
  </si>
  <si>
    <t>Riverbank House, Putney Bridge Approach</t>
  </si>
  <si>
    <t>SW6 3JD</t>
  </si>
  <si>
    <t>Esports Insider</t>
  </si>
  <si>
    <t>158483-17P</t>
  </si>
  <si>
    <t>Bernard Lupien</t>
  </si>
  <si>
    <t>Lupien</t>
  </si>
  <si>
    <t>Rhapsody Venture Partners</t>
  </si>
  <si>
    <t>Mr. Bernard Lupien serves as General Partner at Rhapsody Venture Partners. He served as Board Member at Tender Food. He is the Board Member of Adden Energy and Polaris Electro-Optics.</t>
  </si>
  <si>
    <t>201 Broadway</t>
  </si>
  <si>
    <t>Suite 330</t>
  </si>
  <si>
    <t>94601-35P</t>
  </si>
  <si>
    <t>Carsten Boers</t>
  </si>
  <si>
    <t>Boers</t>
  </si>
  <si>
    <t>Mr. Carsten Boers serves as Managing Partner at Rhapsody Venture Partners. He served as a Board Member at SAFI-Tech. He served as President, Chief Executive Officer and Board Member at Kinalco. He co-founded and served as Chief Executive Officer and President at Flytxt. He also serves as Managing Partner at Rhapsody Venture Partners. He serves as President at HyperDamping. He served as a Board Member at Hazel Technologies, Tender Food, Nodar. Previously, he served as President and Advisor at Arnasi. He served as a Board Member at Manus Bio. He also serves as a Board Member and Advisor at GPR. He serves as an Advisor at LiquiGlide.</t>
  </si>
  <si>
    <t>+1 (206) 285-3498</t>
  </si>
  <si>
    <t>carsten.boers@rhapsodyvp.com</t>
  </si>
  <si>
    <t>331829-29P</t>
  </si>
  <si>
    <t>Corrie Kavanaugh</t>
  </si>
  <si>
    <t>Corrie</t>
  </si>
  <si>
    <t>Kavanaugh</t>
  </si>
  <si>
    <t>Ms. Corrie Kavanaugh serves as Principal at Rhapsody Venture Partners.</t>
  </si>
  <si>
    <t>corrie.kavanaugh@rhapsodyvp.com</t>
  </si>
  <si>
    <t>380420-20P</t>
  </si>
  <si>
    <t>Isabel Klein</t>
  </si>
  <si>
    <t>Ms. Isabel Klein serves as Associate at Rhapsody Venture Partners.</t>
  </si>
  <si>
    <t>isabel.klein@rhapsodyvp.com</t>
  </si>
  <si>
    <t>129842-74P</t>
  </si>
  <si>
    <t>Jason Whaley</t>
  </si>
  <si>
    <t>Whaley</t>
  </si>
  <si>
    <t>Mr. Jason Whaley serves as General Partner at Rhapsody Venture Partners. He also serves as Chief Financial Officer at HyperDamping. He serves as a Board Member at Fluid Efficiency, Holiferm, Sensatek &amp; Verdafresh. His expertise is forming collaborative R&amp;D relationships between start-ups and major industrial players, in order to commercialize cutting-edge scientific innovations. He is a General Partner at Rhapsody Venture Partners, a venture fund specializing in applied science and engineering start-ups. He serves as a Board Member at Sensatek. He is an experienced entrepreneur, investor and start-up CEO in "hard tech" businesses. He is currently a general partner at Rhapsody Venture Partners, where he identifies investment opportunities in early-stage physical sciences companies, work with entrepreneurs to develop long-term customer-partner relationships, and places capital to fund early-stage operations. Prior to RVP, he was the CEO and co-founder of Manus Biosynthesis, an industrial biotechnology company based in Cambridge, MA. At Manus, he secured over $25M in corporate partnerships to develop sustainable production methods for natural products. He also has deep experience in strategy consulting, first as an engagement manager at Monitor Group, and then as a partner at Fitzgerald Analytics, where he initiated and managed client relationships worth over $1M annually. Experience with: Business development in complex B2B environments, with novel technologies. New company formation. Raising capital for seed-stage companies, especially IP-driven hard-technology companies. Evaluating and structuring equity investments. Due diligence. R&amp;D management. IP portfolio strategy. Financial management. Team formation, recruiting and growth. Back office process design and optimization. Chemicals, flavors, fragrances, food ingredients, agricultural supply chains, industrial biotechnology.</t>
  </si>
  <si>
    <t>jason.whaley@rhapsodyvp.com</t>
  </si>
  <si>
    <t>226812-52P</t>
  </si>
  <si>
    <t>Jessica Freyer</t>
  </si>
  <si>
    <t>Freyer</t>
  </si>
  <si>
    <t>Ms. Jessica Freyer serves as Board Member at ChEmpower. Ms. Freyer serves as Partner at Rhapsody Venture Partners. She serves as Board Member at Biophilica. She serves as Board Member at Verdafresh.</t>
  </si>
  <si>
    <t>83496-88P</t>
  </si>
  <si>
    <t>Mike Fuerstman Ph.D</t>
  </si>
  <si>
    <t>Fuerstman</t>
  </si>
  <si>
    <t>Dr. Mike Fuerstman serves as Partner at Rhapsody Venture Partners. He served as Vice President of Business Development at Nano Terra. Mike Fuerstman leads Nano Terra's efforts to identify new opportunities to create innovative products with commercial partners. While at Nano Terra, he has orchestrated co-development partnerships with leading companies in a range of industries - including consumer products, automotive, oil &amp; gas, electronics, life sciences, packaging, and industrial products. He is also responsible for executing strategies to commercialize a number of technologies developed in-house.</t>
  </si>
  <si>
    <t>mike.fuerstman@rhapsodyvp.com</t>
  </si>
  <si>
    <t>270156-16P</t>
  </si>
  <si>
    <t>Rebecca Wilson</t>
  </si>
  <si>
    <t>Ms. Rebecca Wilson serves as an Associate at Rhapsody Venture Partners.</t>
  </si>
  <si>
    <t>rebecca.wilson@rhapsodyvp.com</t>
  </si>
  <si>
    <t>430770-25P</t>
  </si>
  <si>
    <t>Robert Newman</t>
  </si>
  <si>
    <t>Mr. Robert Newman serves as Analyst at Rhapsody Venture Partners.</t>
  </si>
  <si>
    <t>robert.newman@rhapsodyvp.com</t>
  </si>
  <si>
    <t>430771-33P</t>
  </si>
  <si>
    <t>Sarah Hammer</t>
  </si>
  <si>
    <t>Ms. Sarah Hammer serves as Associate at Rhapsody Venture Partners.</t>
  </si>
  <si>
    <t>sarah.hammer@rhapsodyvp.com</t>
  </si>
  <si>
    <t>298803-07P</t>
  </si>
  <si>
    <t>Anika Kimble-Huntley</t>
  </si>
  <si>
    <t>Kimble-Huntley</t>
  </si>
  <si>
    <t>Rhode Island Commerce Corporation</t>
  </si>
  <si>
    <t>Ms. Anika Kimble-Huntley serves as Chief Marketing Officer at Rhode Island Commerce Corporation. She has more than 20 years of marketing experience. Prior to joining the corporation, she served as the vice president of marketing for the Hard Rock Hotel &amp; Casino Sacramento at Fire Mountain where she developed and executed all marketing strategies to open the company's first branded hotel and casino property in California. She also previously served as vice president of national marketing for MGM Springfield, helping to open the $960 million hotel and casino resort. Previous roles include executive leadership roles with Penn National Gaming, Caesars Entertainment in Las Vegas and Canada, as well as Hasbro Inc. in Rhode Island. She holds an MBA from Simmons College Graduate School of Management and a degree in Economics from Washington University in St. Louis.</t>
  </si>
  <si>
    <t>+1 (401) 278-9147</t>
  </si>
  <si>
    <t>anika.kimble-huntley@commerceri.com</t>
  </si>
  <si>
    <t>315 Iron Horse Way</t>
  </si>
  <si>
    <t>02908</t>
  </si>
  <si>
    <t>+1 (401) 273-8270</t>
  </si>
  <si>
    <t>146278-90P</t>
  </si>
  <si>
    <t>Bill Ash</t>
  </si>
  <si>
    <t>Ash</t>
  </si>
  <si>
    <t>Mr. Bill Ash serves as Managing Director of Financial Services, President, and Chief Operating Officer at Rhode Island Commerce Corporation. He oversees the Rhode Island Industrial Facilities Corporation bond issuance (RIIFC), Rhode Island Industrial Recreation-Building Authority mortgage insurance (IRBA), Renewable Energy Fund (REF), State Small Business Credit Initiative, and the Small Business Loan Fund (SBLF) programs. He manages the administration, business, and policy decisions of the various financial services programs to assure compliance with board actions and policies. He has more than 25 years of experience working with businesses as a lender, consultant, and investor. Previously, he held positions as managing director of M &amp; A at Oppenheimer &amp; Co. and senior managing director of The Tron Group - a Boston-based turnaround and business advisory firm. He also managed two SBIC mezzanine funds where he was responsible for the fund management, capital calls, and ultimate exit of over 30 investments and operating companies. During the mid-90s, He was the venture capital manager for the Rhode Island Economic Development Corporation where he assisted companies in their strategic and financial planning, M&amp;A, and raising equity and debt capital. Earlier in his career, He worked for various regional and national banks in ABL lending, workout, credit, and field examination positions. He graduated from the SUNY New York Maritime Academy with a BS degree in Transportation Management and Economics, completed a graduate certificate in finance from Harvard University, and an M.B.A. from the University of Rhode Island.</t>
  </si>
  <si>
    <t>+1 (401) 278-9184</t>
  </si>
  <si>
    <t>william.ash@commerceri.com</t>
  </si>
  <si>
    <t>Managing Director of Financial Services, President and Chief Operating Officer</t>
  </si>
  <si>
    <t>266583-43P</t>
  </si>
  <si>
    <t>Daniel McKee</t>
  </si>
  <si>
    <t>Mr. Daniel McKee serves as Governer at Rhode Island Commerce Corporation.</t>
  </si>
  <si>
    <t>+1 (401) 278-9100</t>
  </si>
  <si>
    <t>Governer</t>
  </si>
  <si>
    <t>338304-61P</t>
  </si>
  <si>
    <t>Daniela Fairchild</t>
  </si>
  <si>
    <t>Fairchild</t>
  </si>
  <si>
    <t>Ms. Daniela Fairchild serves as Chief Strategy Officer at Rhode Island Commerce Corporation. In this role, Ms. Fairchild ensures cohesion and efficiency between all Commerce Corporation and Executive Office of Commerce projects as well as guides the internal systems and processes that allow Commerce to best serve clients and partners. Daniela holds a BA from Tufts University in International Relations and an MSEd from the University of Pennsylvania in International Educational Development. Daniela comes to the Corporation with a robust resume overseeing organizational-strategy creation and deployment, government systems innovation, and leadership development. Her background is in the education, nonprofit, and government sectors. Most recently, Daniela served as the Director of the Rhode Island Office of Innovation, where she led strategic deployment of an integrated portfolio of twenty systems innovation projects-at stages ranging from proof-of-concept to sustainability. Prior to this role, she developed advocacy campaigns and organizational strategy for RI-CAN, managed internal capacity building at 50CAN, guided policy research at the Thomas B. Fordham Institute, and ran program evaluation for Africare. Daniela started her career as a high school special education teacher and enjoyed serving as an urban high school rowing coach for six years.</t>
  </si>
  <si>
    <t>+1 (401) 278-9187</t>
  </si>
  <si>
    <t>daniela.fairchild@commerceri.com</t>
  </si>
  <si>
    <t>146278-00P</t>
  </si>
  <si>
    <t>Elizabeth Tanner</t>
  </si>
  <si>
    <t>Ms. Elizabeth Tanner serves as Secretary of Commerce at Rhode Island Commerce Corporation. In her role, Secretary Tanner administers the Executive Office of Commerce, the state agency charged with promoting commerce and fostering an economic environment in which Rhode Island's businesses can grow and prosper. To accomplish this goal, Secretary Tanner oversees multiple state departments, divisions, and quasi-governmental agencies. From November 2017, and until her appointment as Secretary of Commerce, Liz served as Director of the Department of Business Regulation, under Governor Gina Raimondo. She oversaw the regulating and enforcement of all Financial Services, the Office of the State Fire Marshal (including the RI Bomb Squad), the State Building Office, the Office of Cannabis Regulation, Gaming and Athletics and a wide variety of professional licenses. She served as a board member to Rhode Island Housing and is believed to have been the only female Boxing Commissioner in the United States. Liz began her career in government in 2015, serving as the Rhode Island Commerce Corporation's Executive Vice President of Client Services. In that position, she worked closely with small businesses and was known for listening to, and working to resolve, the concerns raised by businesses, at the hundreds of events and meetings she attended or hosted. A graduate of the University of Rhode Island and Western New England University Law School, Liz has also received training from Harvard University's Kennedy School of Government.</t>
  </si>
  <si>
    <t>elizabeth.tanner@commerceri.com</t>
  </si>
  <si>
    <t>Secretary of Commerce</t>
  </si>
  <si>
    <t>393135-13P</t>
  </si>
  <si>
    <t>James Bennett</t>
  </si>
  <si>
    <t>Mr. James Bennett serves as President &amp; Chief Operating Officer at Rhode Island Commerce Corporation.</t>
  </si>
  <si>
    <t>james.bennett@commerceri.com</t>
  </si>
  <si>
    <t>183120-49P</t>
  </si>
  <si>
    <t>Jeff Miller</t>
  </si>
  <si>
    <t>Mr. Jeff Miller serves as Executive Vice President, Investments at Rhode Island Commerce Corporation. Jeff has 28 years of experience in banking, finance, real-estate development and public-private partnering. As the manager of the multifamily divisions of several of Washington, D.C.'s signature developers, he created and and managed a platform and investment strategy for every aspect of multifamily ownership. The markets and projects upon which Jeff has focused have high barriers to entry and complex configurations that require a deep and sophisticate knowledge of land planning, building design and programming, zoning and entitlement regulation, project finance, leasing markets, and product operations. His expertise in government comes from working for Washington, D.C. Mayor Vincent Gray in the Office of the Deputy Mayor for Planning and Economic Development, where he served as Director of Real Estate, and then Deputy Mayor. In that role he oversaw a portfolio of development and incentives in the District that included 39 projects under construction and 44 completed with a total development cost of $9 billion.</t>
  </si>
  <si>
    <t>401-278-9138</t>
  </si>
  <si>
    <t>jeff.miller@commerceri.com</t>
  </si>
  <si>
    <t>294762-97P</t>
  </si>
  <si>
    <t>Julianne Stelmaszyk</t>
  </si>
  <si>
    <t>Stelmaszyk</t>
  </si>
  <si>
    <t>Ms. Julianne Stelmaszyk serves as Director of Food Strategy at Rhode Island Commerce Corporation.</t>
  </si>
  <si>
    <t>julianne.stelmaszyk@commerceri.com</t>
  </si>
  <si>
    <t>Director of Food Strategy</t>
  </si>
  <si>
    <t>298805-59P</t>
  </si>
  <si>
    <t>Justin Medeiros</t>
  </si>
  <si>
    <t>Mr. Justin Medeiros serves as Chief Financial Officer &amp; Senior Controller at Rhode Island Commerce Corporation. He has broad experience in accounting and financial reporting and analysis. Most recently, He was a Vice President/Assistant Controller at BankNewport, where he had direct oversight of all accounting functions, including but not limited to, financial and regulatory reporting, general ledger maintenance, audit, tax, cash management and accounts payable. Prior to working at BankNewport, He spent several years in roles of increasing responsibility in financial planning and analysis at MetLife. He holds a bachelor's degree and an MBA from Bryant University and is a CPA.</t>
  </si>
  <si>
    <t>+1 (401) 278-9160</t>
  </si>
  <si>
    <t>justin.medeiros@commerceri.com</t>
  </si>
  <si>
    <t>Chief Financial Officer &amp; Senior Controller</t>
  </si>
  <si>
    <t>42219-46P</t>
  </si>
  <si>
    <t>Kathy Tufts</t>
  </si>
  <si>
    <t>Tufts</t>
  </si>
  <si>
    <t>Ms. Kathy Tufts served as Director, International Trade at Rhode Island Economic Development Corporation.</t>
  </si>
  <si>
    <t>Director, International Trade</t>
  </si>
  <si>
    <t>42220-27P</t>
  </si>
  <si>
    <t>Mark Brodeur</t>
  </si>
  <si>
    <t>Brodeur</t>
  </si>
  <si>
    <t>Mr. Mark Brodeur served as Associate Vice President of Tourism at Rhode Island Commerce Corporation. Mr. Brodeur is responsible for implementing and managing the activities of the corporation's tourism efforts, PR, publications, trade events, marketing programs and tourism research. Mark also oversees operation of the Rhode Island building at the Eastern States Exposition (Big E) in Springfield, MA, the nation's fifth largest fair. In addition, as the hospitality and tourism sector lead, Mark is the first point of contact for industry development interests.</t>
  </si>
  <si>
    <t>Associate Vice President of Tourism</t>
  </si>
  <si>
    <t>394609-06P</t>
  </si>
  <si>
    <t>Melody Weeks</t>
  </si>
  <si>
    <t>Melody</t>
  </si>
  <si>
    <t>Weeks</t>
  </si>
  <si>
    <t>Ms. Melody Weeks serves as Executive Vice President at Rhode Island Commerce Corporation. As Executive Vice President, she is responsible for leading the strategy and implementation of all Commerce efforts to support current and potential businesses in Rhode Island. She joined RI Commerce first as a Government Contracts Counselor in 2015 after working in the Maine PTAC program for four years. Her previous work experience also includes construction association management, program management, and marketing and fundraising for educational institutions. She brings decades of experience supporting small businesses and priority industries to grow and succeed in Rhode Island and beyond. She has a dual degree in communications and political science from the University of Southern Maine.</t>
  </si>
  <si>
    <t>+1 (401) 278-9175</t>
  </si>
  <si>
    <t>melody.weeks@commerceri.com</t>
  </si>
  <si>
    <t>394608-07P</t>
  </si>
  <si>
    <t>Neil Martin</t>
  </si>
  <si>
    <t>Mr. Neil Martin serves as Managing Director of Financial Programs at Rhode Island Commerce Corporation. He has nearly forty years of experience assisting businesses to stabilize, grow and prosper. His experience is in commercial banking, manufacturing and government financing products. Most recently he was the COO/CFO for Massachusetts Grow Capital Corporation, an organization that lends and provides technical assistance to businesses. He earned his undergraduate degree from the University of Massachusetts at Amherst and his MBA from Suffolk University.</t>
  </si>
  <si>
    <t>+1 (401) 278-9137</t>
  </si>
  <si>
    <t>neil.martin@commerceri.com</t>
  </si>
  <si>
    <t>Managing Director of Financial Programs</t>
  </si>
  <si>
    <t>203710-33P</t>
  </si>
  <si>
    <t>Robin Erickson</t>
  </si>
  <si>
    <t>Erickson</t>
  </si>
  <si>
    <t>Ms. Robin Erickson serves as Domestic Tourism &amp; Marketing Operations Director at Rhode Island Commerce Corporation. Prior to joining the corporation, Robin was the Director of Marketing for Rhode Island Monthly, where she was responsible for all external communications and marketing efforts for the magazine and its ancillary publications. She also executed a number of special events for the magazine including the Best of Rhode Island, which was honored with a Gold Award at the City and Regional Magazine Association and among the finalists for a national Folio Award. Robin was previously an Account Executive for the RDW Group and Director of Communications for the American Red Cross, Rhode Island Chapter. Robin holds a bachelor's degree from Providence College.</t>
  </si>
  <si>
    <t>+1 (401) 278-9113</t>
  </si>
  <si>
    <t>robin.erickson@commerceri.com</t>
  </si>
  <si>
    <t>Domestic Tourism &amp; Marketing Operations Director</t>
  </si>
  <si>
    <t>241419-34P</t>
  </si>
  <si>
    <t>Sharon Penta</t>
  </si>
  <si>
    <t>Penta</t>
  </si>
  <si>
    <t>Ms. Sharon Penta serves as Operations Manager at Rhode Island Commerce Corporation. Sharon is responsible for the daily activities and initiatives of the chief operating officer of the Commerce Corporation, oversees the flow of information to both internal staff and external partners, and works on projects and initiatives pertaining to the operation and functionality of the agency. She is liaison to the corporation's board of directors and is responsible for the coordination and execution of board meetings. In addition, Sharon manages the support staff and activities associated with the daily operations of the corporation. Sharon joined the agency in 1995 after relocating from New Hampshire where she was assistant corporate secretary/executive assistant to the chairman and CEO of First NH Banks, a division of the Bank of Ireland. Previously, she was executive assistant to the chairman and CEO of Outlet Communications, a national multi-media company located in Providence. Sharon began her career in private industry at Stanley Fastening Systems, a worldwide manufacturer located in East Greenwich, RI.Sharon graduated from Katharine Gibbs Business School and attended the University of New Hampshire and the University of Rhode Island.</t>
  </si>
  <si>
    <t>+1 (401) 278-9103</t>
  </si>
  <si>
    <t>sharon.penta@commerceri.com</t>
  </si>
  <si>
    <t>241420-60P</t>
  </si>
  <si>
    <t>Stacy Farrell</t>
  </si>
  <si>
    <t>Analyst &amp; Portfolio Manager</t>
  </si>
  <si>
    <t>Ms. Stacy Farrell serves as Financial Portfolio Manager &amp; Credit Analyst at Rhode Island Commerce Corporation. She serves as administrative support for all finance programs of the corporation, including coordination of all incoming loan/bond requests for the Small Business Loan Fund Corporation (SBLFC), Rhode Island Industrial Recreational Building Authority (IRBA), Rhode Island Industrial Facilities Corporation (RIIFC), and the Commerce Corporation and the State Small Business Credit Initiative (SSBCI). This includes the review of all incoming potential applicants, communication with potential clients regarding the application and required documentation, and follow-up to gather the required documents. She joined the corporation in 2010 to help assist with streamlining and simplifying the application process across the financial programs. She has held a variety of positions in finance and banking, from leading a team of credit analysts underwriting loans through SBA's 7(a) and USDA programs to supervising the operations and tellers at branches of local community banks.</t>
  </si>
  <si>
    <t>+1 (401) 278-9126</t>
  </si>
  <si>
    <t>stacy.farrell@commerceri.com</t>
  </si>
  <si>
    <t>Financial Portfolio Manager &amp; Credit Analyst</t>
  </si>
  <si>
    <t>42218-38P</t>
  </si>
  <si>
    <t>Stuart Freiman</t>
  </si>
  <si>
    <t>Mr. Stuart Freiman serves as Broadband Project Director at Rhode Island Commerce Corporation. He manages state programs related to internet infrastructure and use and its impact on economic development, citizen opportunity, and delivery of government services. In this position, Stuart works with stakeholders throughout the state in both the public and private sectors to help understand the state's strengths and gaps in broadband technology and the emerging opportunities it enables.</t>
  </si>
  <si>
    <t>+1 (401) 278-9100 x 168</t>
  </si>
  <si>
    <t>sfreiman@commerceri.com</t>
  </si>
  <si>
    <t>Broadband Project Director</t>
  </si>
  <si>
    <t>252351-82P</t>
  </si>
  <si>
    <t>Angela Wilkins Ph.D</t>
  </si>
  <si>
    <t>Rice University</t>
  </si>
  <si>
    <t>Dr. Angela Wilkins is a Co-Founder and serves as Chief Operating Officer and Board Member at Rhythio Medical. She serves as Executive Director at the Ken Kennedy Institute. She serves as Chief Product and Data Officer at Starling Medical. She served as a Partner at First Bight Ventures. She co-founded and served as Chief Executive Officer and Chief Technology Officer of Mercury Data Science, where she previously served as Co-Chief Executive Officer and Chief Technology Officer. She holds a Bachelor's in Physics from the University of Northern Colorado and a Ph.D. in Theoretical Physics from Leigh University.</t>
  </si>
  <si>
    <t>+1 (610) 392-5189</t>
  </si>
  <si>
    <t>angela@rhythiomedical.com</t>
  </si>
  <si>
    <t>77429</t>
  </si>
  <si>
    <t>Co-Founder &amp; Chief Operating Officer &amp; Board Member</t>
  </si>
  <si>
    <t>Rhythio Medical</t>
  </si>
  <si>
    <t>317882-80P</t>
  </si>
  <si>
    <t>Annaissa Flores</t>
  </si>
  <si>
    <t>Annaissa</t>
  </si>
  <si>
    <t>Ms. Annaissa Flores serves as Strategic Initiatives Analyst at Rice Management Company.</t>
  </si>
  <si>
    <t>+1 (713) 348-0000</t>
  </si>
  <si>
    <t>77005</t>
  </si>
  <si>
    <t>+1 (713) 348-6127</t>
  </si>
  <si>
    <t>Strategic Initiatives Analyst, Rice Management Company</t>
  </si>
  <si>
    <t>117708-85P</t>
  </si>
  <si>
    <t>Bart Broadman Ph.D</t>
  </si>
  <si>
    <t>Broadman</t>
  </si>
  <si>
    <t>Dr. Brat Broadman serves as a Managing Director at Astignes Capital. Dr. Broadman served as a Board Member at DBS Bank. He also serves as a Trustee at Rice University. He also serves as Chairman of the Board of Directors at Rice Management Company. He served as Managing Director at Alphadyne Asset Management. He is a member of the Board Risk Management Committee and Compensation and Management Development Committee. He is a Co-Founder, Chief Investment Officer (Asia strategy), and serves as Managing Director of Alphadyne Asset Management. Alphadyne is an investment management firm with offices in Singapore, and New York and a research office in London. Its investment team focuses on multiple alternative strategies, primarily in the area of fixed income.</t>
  </si>
  <si>
    <t>+65 6622 8288</t>
  </si>
  <si>
    <t>bart.broadman@rice.edu</t>
  </si>
  <si>
    <t>One George Street</t>
  </si>
  <si>
    <t>Suite 22-01</t>
  </si>
  <si>
    <t>049145</t>
  </si>
  <si>
    <t>Astignes Capital</t>
  </si>
  <si>
    <t>63797-32P</t>
  </si>
  <si>
    <t>Brad Fralic</t>
  </si>
  <si>
    <t>Fralic</t>
  </si>
  <si>
    <t>Mr. Brad Fralic serves as Controller at Rice University.</t>
  </si>
  <si>
    <t>+1 (713) 348-4927</t>
  </si>
  <si>
    <t>bfralic@rice.edu</t>
  </si>
  <si>
    <t>111014-20P</t>
  </si>
  <si>
    <t>Cynthia Wilson JD</t>
  </si>
  <si>
    <t>Ms. Cynthia Wilson serves as Deputy Secretary of the Board of Trustees at Rice University.</t>
  </si>
  <si>
    <t>+1 (713) 348-5048</t>
  </si>
  <si>
    <t>clwilson@rice.edu</t>
  </si>
  <si>
    <t>+1 (713) 348-5010</t>
  </si>
  <si>
    <t>Deputy Secretary for the Board of Trustees</t>
  </si>
  <si>
    <t>188140-42P</t>
  </si>
  <si>
    <t>Dan Watson Ph.D</t>
  </si>
  <si>
    <t>Dr. Dan Watson serves as Adjunct Professor - Finance at Rice University. She did her Ph.D. from Rice University.</t>
  </si>
  <si>
    <t>+1 (713) 348-4055</t>
  </si>
  <si>
    <t>Adjunct Professor - Finance</t>
  </si>
  <si>
    <t>437941-81P</t>
  </si>
  <si>
    <t>John Lawrence</t>
  </si>
  <si>
    <t>Mr. John Lawrence serves as Chief Investment Officer at Rice University.</t>
  </si>
  <si>
    <t>johnl@rice.edu</t>
  </si>
  <si>
    <t>338848-84P</t>
  </si>
  <si>
    <t>Katrina Spencer</t>
  </si>
  <si>
    <t>Katrina</t>
  </si>
  <si>
    <t>Ms. Katrina Spencer serves as Treasurer &amp; Chief Financial Officer at Rice University.</t>
  </si>
  <si>
    <t>katrina.spencer@rice.edu</t>
  </si>
  <si>
    <t>309790-90P</t>
  </si>
  <si>
    <t>Kelly Fox</t>
  </si>
  <si>
    <t>Ms. Kelly Fox serves as Executive Vice President for Operations, Finance, &amp; Support at Rice University. She serves as a Board Member of Associated Universities. Before joining Rice, she was executive vice president and chief budget officer at the Georgia Institute of Technology. Before joining Georgia Tech, she led the strategic resources and support team at the University of Colorado Boulder, guiding the financial management and planning activities of its $1.8 billion budget. She has received several leadership and administrative honors and served on many national higher-education governing and advisory boards. She earned her Master of Public Administration degree from the University of Colorado Denver and her Bachelor of Science in Psychology from the University of Nebraska-Lincoln.</t>
  </si>
  <si>
    <t>+1 (713) 348-4180</t>
  </si>
  <si>
    <t>kelly.fox@rice.edu</t>
  </si>
  <si>
    <t>Executive Vice President for Operations, Finance, &amp; Support</t>
  </si>
  <si>
    <t>278193-25P</t>
  </si>
  <si>
    <t>Michol Ecklund JD</t>
  </si>
  <si>
    <t>Michol</t>
  </si>
  <si>
    <t>Ecklund</t>
  </si>
  <si>
    <t>Ms. Michol Ecklund serves as Trustee at Rice University. Ms. Ecklund served as General Counsel &amp; Secretary at Callon Petroleum. He has served the Company as Senior Vice President, General Counsel, and Corporate Secretary since February 2019 and Vice President, General Counsel, and Corporate Secretary from November 2017 to February 2019. Before joining Callon in November 2017, Ms. Ecklund was Deputy General Counsel for Operations &amp; Commercial Law at Marathon Oil Company from October 2014 to October 2017, where she oversaw the legal team for global operations and acquisitions divestitures and corporate communications. During her 15 years at Marathon Oil, Ms. Ecklund served in progressive positions within and outside the Law Organization including compliance, litigation, human resources, investor relations, corporate communications, and tax. Before Marathon Oil, she practiced law at Baker Botts LLP in Houston. Ms. Ecklund currently serves as a member of the Rice University Board of Trustees, a director of The Woman's Hospital of Texas, and a director of the World Affairs Council of Houston. Ms. Ecklund received a B.A. from Rice University and a J.D. degree from Harvard Law School.</t>
  </si>
  <si>
    <t>2000 West Sam Houston Parkway South</t>
  </si>
  <si>
    <t>Callon Petroleum</t>
  </si>
  <si>
    <t>274878-19P</t>
  </si>
  <si>
    <t>Nafisa Istami</t>
  </si>
  <si>
    <t>Nafisa</t>
  </si>
  <si>
    <t>Istami</t>
  </si>
  <si>
    <t>Ms. Nafisa Istami serves as Senior Innovation Manager at Rice University. She also serves as an Analyst at DFJ Mercury. He served as a Senior Analyst at Mercury Fund. She focuses on investment diligence and financial reporting. Before joining Mercury, she worked at the Houston Angel Network (HAN) as an associate. At HAN, she supported the Managing Director in sourcing, screening, and conducting diligence on startups for angel investment consideration. She received her B.A. in Sociology and Business from Rice University.</t>
  </si>
  <si>
    <t>nri1@rice.edu</t>
  </si>
  <si>
    <t>Senior Innovation Manager</t>
  </si>
  <si>
    <t>317879-02P</t>
  </si>
  <si>
    <t>Omar Syed</t>
  </si>
  <si>
    <t>Mr. Omar Syed serves as Vice President &amp; General Counsel at Rice University. He came to Rice from the University of Texas System where he last served as vice chancellor and deputy general counsel, representing and counseling the 13-campus university system's governing board, chancellor, presidents, and senior officials on a full range of legal matters. He also led a 31-attorney office that represents a diverse group of R1 institutions, academic medical centers, Hispanic-serving institutions, and regional institutions. He joined the UT System's Office of General Counsel in 2007, managed the office's generalist practice group from 2014-2016, and has served in his current position since 2016. Some of his key accomplishments and initiatives include leading the UT System's legal response to the COVID-19 pandemic; supporting the merger of two Texas universities into a single, new university; providing employment law and compliance guidance during the system's bid to operate the Los Alamos National Laboratory; and drafting, advocating and implementing a systemwide policy, resembling the NFL's Rooney Rule, that requires racial and gender diversity in the recruitment and interviewing of provosts, deans, and other senior officials on campus and in the system offices. He earned his bachelor of arts degree with special honors in public policy studies from the University of Chicago in 1996 and his law degree from the University of Minnesota Law School in 1999.</t>
  </si>
  <si>
    <t>+1 (713) 348-5237</t>
  </si>
  <si>
    <t>os21@rice.edu</t>
  </si>
  <si>
    <t>Vice President &amp; General Counsel</t>
  </si>
  <si>
    <t>418824-37P</t>
  </si>
  <si>
    <t>Paul Cherukuri Ph.D</t>
  </si>
  <si>
    <t>Cherukuri</t>
  </si>
  <si>
    <t>Dr. Paul Cherukuri serves as Board Member at RBL. Dr. Paul Cherukuri serves as Vice President for Innovation and Chief Innovation Officer Adjunct Professor, Management and Entrepreneurship Associate Research Professor, Electrical and Computer Engineering at Rice University. Dr. Cherukuri is Rice University's first vice president for innovation. As the chief innovation officer, Cherukuri leads Rice's technology and commercialization infrastructure to translate breakthrough discoveries into inventions for societal benefit. The primary areas of focus for the Office of Innovation are technology translation, startup creation, commercialization and entrepreneurship training. The role also oversees Rice's programs in and engagement with the Ion. Cherukuri is a physicist, chemist and med-tech entrepreneur with over 15 years of experience in academia and the pharmaceutical industry. He earned his bachelor's degree in physics from the University of Kentucky and his Ph.D. in physical chemistry under Nobel laureate Richard Smalley at Rice. Before returning to Rice in 2014, Cherukuri was a visiting scholar with Harvard University chemistry Professor George Whitesides and a member of the Department of Experimental Therapeutics faculty at the University of Texas MD Anderson Cancer Center. He was also co-founder and chief technical officer of MAReNIR Technologies LLC and a senior scientist at Sanofi, where he developed drug products and biomedical devices. Prior to being named vice president of innovation, Paul was executive director of the Institute of Biosciences and Bioengineering. During his six-year tenure in the role, Cherukuri engaged with faculty to develop interdisciplinary translational research partnerships with federal and corporate agencies, garnering nearly $37 million in funding aimed at accelerating the development of new technologies into commercializable products.</t>
  </si>
  <si>
    <t>cheru@rice.edu</t>
  </si>
  <si>
    <t>1840 Dynamic WaySTE 910</t>
  </si>
  <si>
    <t>Street 910</t>
  </si>
  <si>
    <t>77030</t>
  </si>
  <si>
    <t>RBL</t>
  </si>
  <si>
    <t>317880-01P</t>
  </si>
  <si>
    <t>Reginald DesRoches Ph.D</t>
  </si>
  <si>
    <t>Reginald</t>
  </si>
  <si>
    <t>DesRoches</t>
  </si>
  <si>
    <t>President &amp; Trustee</t>
  </si>
  <si>
    <t>Dr. Reginald DesRoches serves as President &amp; Trustee at Rice University. Dr. DesRoches' tenure at Rice began in 2017 when he accepted the post as the William and Stephanie Sick Dean of Engineering at the George R. Brown School of Engineering. As the leader of Rice's engineering school, he was in charge of nine departments, 137 faculty, and 2,500 students. During his time as dean, the school dramatically increased in size, stature, and department rankings. It also saw significant growth in research programs. He also led the establishment of the collaborative research center in India with IIT-Kanpur, the first of its kind. Before his appointment at Rice, he served as chair of the School of Civil and Environmental Engineering at Georgia Tech in Atlanta. As chair, he led a major renovation of the school's main research and teaching home, and he spearheaded a major fundraising effort for the school that doubled the number of endowed chairs and professors. During his tenure as chair, the school dramatically moved up in the U.S. News &amp; World Report graduate rankings, achieving a ranking of No. 2 in the nation - the highest in the history of the school. He chaired the National Institute of Standards and Technology's (NIST) National Construction Safety Team Advisory Committee (NCST), which is overseeing NIST's investigation of the collapse of the Champlain Towers South Condominium in Surfside, Florida. He is on the advisory board for the Natural Hazards Engineering Research Infrastructure (NHERI) Simulation Center, the California Department of Transportation Seismic Advisory Board, the Halliburton Labs Clean Tech Accelerator, and the HTX Impact Fund, which is focused on minority-led startups. He previously served on the advisory committee for the Engineering Directorate for the National Science Foundation, the National Academies Resilient America Roundtable (RAR), the Global Earthquake Modeling Scientific Board, and the National Science Foundation Engineering Advisory Council. In recent years, he has testified before U.S. House and Senate subcommittees on the science of earthquake resilience, and he has participated in Washington, D.C., roundtables for media and congressional staffers on topics ranging from disaster preparedness to challenges for African American men in STEM fields. He earned his Bachelor of Science in Mechanical Engineering, a Master of Science in Civil Engineering, and a Doctorate in Structural Engineering at the University of California, Berkeley.</t>
  </si>
  <si>
    <t>reginald.desroches@rice.edu</t>
  </si>
  <si>
    <t>262892-08P</t>
  </si>
  <si>
    <t>Terrence Gee</t>
  </si>
  <si>
    <t>Terrence</t>
  </si>
  <si>
    <t>Mr. Terrence Gee serves as Senior Vice President of Enterprise Transformation, and Chief Information Officer at Coca-Cola Beverages Florida. Mr. Gee serves as a Trustee at Rice University. He brings over 30 years of business experience to Coke Florida and oversees information technology, knowledge and insights, large-scale program management, and communications. Before joining Coke Florida, Mr. Gee founded and managed an investment and advisory firm focused on early-stage healthcare and energy companies. He began his professional career at Accenture where he became a partner, focusing on complex, technology-driven change programs. Mr. Gee serves on the Board of Trustees of Rice University and the Prairie View A&amp;M Foundation. He holds a BA in Economics from Rice University. He also serves as a Board Member at Cona Services.</t>
  </si>
  <si>
    <t>+1 (800) 438-2653</t>
  </si>
  <si>
    <t>tgee@cocacolaflorida.com</t>
  </si>
  <si>
    <t>Tampa</t>
  </si>
  <si>
    <t>Tampa, FL</t>
  </si>
  <si>
    <t>10117 Princess Palm Avenue</t>
  </si>
  <si>
    <t>33610</t>
  </si>
  <si>
    <t>Senior Vice President, Enterprise Transformation and Chief Information Officer</t>
  </si>
  <si>
    <t>Coca-Cola Beverages Florida</t>
  </si>
  <si>
    <t>317881-18P</t>
  </si>
  <si>
    <t>Wanda Gass</t>
  </si>
  <si>
    <t>Gass</t>
  </si>
  <si>
    <t>Ms. Wanda Gass serves as Trustee at Rice University. She serves at Design Connect Create.</t>
  </si>
  <si>
    <t>wanda.gass@rice.edu</t>
  </si>
  <si>
    <t>55098-91P</t>
  </si>
  <si>
    <t>Bob Chatham</t>
  </si>
  <si>
    <t>Chatham</t>
  </si>
  <si>
    <t>RightHill Ventures</t>
  </si>
  <si>
    <t>Mr. Bob Chatham serves as Executive at RightHill Ventures. Mr. Chatham was a Co-Founder and served as Chief Marketing Officer and Head of Business Development at VCharge. He serves as an Director at Slater Technology Fund.</t>
  </si>
  <si>
    <t>+1 (401) 537-7251</t>
  </si>
  <si>
    <t>bob@righthill.vc</t>
  </si>
  <si>
    <t>225 Dyer Street</t>
  </si>
  <si>
    <t>02903</t>
  </si>
  <si>
    <t>291195-01P</t>
  </si>
  <si>
    <t>Dave Durfee</t>
  </si>
  <si>
    <t>Durfee</t>
  </si>
  <si>
    <t>Mr. Dave Durfee is a Co-Founder and serves as Chief Executive Officer and Chief Scientists at Bay Computer Associates. He serves as Advisor at RightHill Ventures.</t>
  </si>
  <si>
    <t>+1 (401) 463-3481 x140</t>
  </si>
  <si>
    <t>ddurfee@baycomp.com</t>
  </si>
  <si>
    <t>Cranston</t>
  </si>
  <si>
    <t>Cranston, RI</t>
  </si>
  <si>
    <t>40 Sharpe Drive</t>
  </si>
  <si>
    <t>02920</t>
  </si>
  <si>
    <t>CEO &amp; Chief Scientist</t>
  </si>
  <si>
    <t>Bay Computer Associates</t>
  </si>
  <si>
    <t>42519-25P</t>
  </si>
  <si>
    <t>Jason Harry Ph.D</t>
  </si>
  <si>
    <t>Dr. Jason Harry is the Founder &amp; serves as Chief Executive Officer at Lucidux. Dr. Harry serves as Advisor and Operating Partner at Slater Technology Fund. He serves as Advisor at RightHill Ventures. He has worked in biomedical engineering and medical device entrepreneurial environments for over 20 years. He has served as co-founder and president of Afferent Technologies and vice president of research engineering at NMT Medical, Inc., (NASDAQ:NMTI), a company specializing in minimally invasive cardiovascular implants and for which he built the infrastructure and team responsible for new product development. He received his doctorate from Harvard University and was on the engineering faculty of Brown University for several years, where his research focus was in functional neural stimulation and muscle mechanics. He has a Masters Degree in Mechanical Engineering from Massachusetts Institute of Technology (MIT) and BS Degree in Engineering Science and Mechanics from Georgia Institute of Technology.</t>
  </si>
  <si>
    <t>+1 (401) 438-7847</t>
  </si>
  <si>
    <t>3 Davol Square Street A425</t>
  </si>
  <si>
    <t>02903-4763</t>
  </si>
  <si>
    <t>Lucidux</t>
  </si>
  <si>
    <t>281418-67P</t>
  </si>
  <si>
    <t>Megan Ranney MD</t>
  </si>
  <si>
    <t>Ranney</t>
  </si>
  <si>
    <t>Dr. Megan Ranney serves as Co-Founder, Senior Strategic Advisor &amp; Chief Research Officer at American Foundation for the Firearm Injury Reduction in Medicine. Ms. Ranney serves as Advisor at RightHill Ventures. He completed MD (Doctor of Medicine) and Master of Public Health degree.</t>
  </si>
  <si>
    <t>+1 (401) 331-8855</t>
  </si>
  <si>
    <t>WA</t>
  </si>
  <si>
    <t>2300 North Street North East</t>
  </si>
  <si>
    <t>Co-Founder, Senior Strategic Advisor &amp; Chief Research Officer</t>
  </si>
  <si>
    <t>American Foundation for the Firearm Injury Reduction in Medicine</t>
  </si>
  <si>
    <t>292865-05P</t>
  </si>
  <si>
    <t>Moses Goddard</t>
  </si>
  <si>
    <t>Moses</t>
  </si>
  <si>
    <t>Mr. Moses Goddard serves as Advisor at RightHill Ventures.</t>
  </si>
  <si>
    <t>36215-92P</t>
  </si>
  <si>
    <t>Thorne Sparkman</t>
  </si>
  <si>
    <t>Thorne</t>
  </si>
  <si>
    <t>Sparkman</t>
  </si>
  <si>
    <t>Mr. Thorne Sparkman serves as Managing Director at RightHill Ventures. Mr. Sparkman serves as Board Member at Lenoss Medical. He serves as Managing Director at Slater Technology Fund. He serves as a Board Observer at Octagon Therapeutics and Arctura. He serves as a Board Observer at XM Therapeutics. He served as Board Member at Datarista. He served as a Board Observer at RxVantage. He joined Slater in 2000 as Executive Director of the Slater Center for Interactive Technologies ('Slater Interactive'), now the Slater Technology Fund ('Slater Fund'), where he invests in software, new media, and energy-related technologies. He began his career at Time Warner in 1993, where he led the book group's early efforts in online publishing and commerce on CompuServe and the web. In 1995, he co-founded EScribe Corporation, an online publisher that developed communities for upscale, outdoor enthusiasts. The company grew organically and was acquired by NameMedia in 2006. From 1996 to 1998, he co-founded and served as Chief Executive Officer at Incubator, Inc., an angel-funded, Internet business incubator in Berkeley, California, which backed web-based start-ups from the university community, including Emptor (Accept.com), a venture-backed online payments company acquired by Amazon.com. At the Slater Technology Fund, he continues to focus on the earliest stage of company creation. He serves as a Board Member at ProThera Biologics, Advanced Image Enhancement, Alektrona, Dynadec, Tizra, and Traction Software. He serves as a Board Observer at Andera, Inc., and Mofuse. He was previously involved with MTI Film and MTI Machine vision (acquired by DVT Corporation, NSDQ: CGNX), GeneSpectrum (acquired by NABsys), Swyx, Tazz Networks, and ModEnergy (acquired by Enersys NSDQ: ENS). He enjoys working with young entrepreneurs as a guest in entrepreneurship classes at Brown University and the University of Rhode Island, a judge at the Rhode Island Business Plan Competition, and a mentor at BetaSpring, a Providence venture accelerator. He is a frequent panelist at forums including the Brown Forum for Enterprise, the 128 Innovation Capital Group, and the Rhode Island Center for Innovation and Entrepreneurship, and his articles on entrepreneurship have appeared in publications including The Providence Journal, Mass High Tech, and American Venture. He holds a B.A. in Biological Anthropology from Harvard and an M.B.A. from the University of California Berkeley's Haas School of Business. He served as a Board Member at Teampage and Location.</t>
  </si>
  <si>
    <t>+1 (401) 831-6633</t>
  </si>
  <si>
    <t>thorne@righthill.vc</t>
  </si>
  <si>
    <t>426884-23P</t>
  </si>
  <si>
    <t>Alf Barrios</t>
  </si>
  <si>
    <t>Alf</t>
  </si>
  <si>
    <t>Rio Tinto</t>
  </si>
  <si>
    <t>Mr. Alf Barrios serves as Chief Commercial Officer at Rio Tinto. Mr. Barrios serves as Board Member at Syngenta.</t>
  </si>
  <si>
    <t>+44 (0)20 7781 2000</t>
  </si>
  <si>
    <t>alf.barrios@riotinto.com</t>
  </si>
  <si>
    <t>6 Saint James's Square</t>
  </si>
  <si>
    <t>SW1Y 4AD</t>
  </si>
  <si>
    <t>295827-49P</t>
  </si>
  <si>
    <t>Amar Jambaa</t>
  </si>
  <si>
    <t>Jambaa</t>
  </si>
  <si>
    <t>Mr. Amar Jambaa serves as Manager, Investor Relations at Rio Tinto.</t>
  </si>
  <si>
    <t>ajambaa@riotinto.com</t>
  </si>
  <si>
    <t>267499-00P</t>
  </si>
  <si>
    <t>Andrew Latham</t>
  </si>
  <si>
    <t>Mr. Andrew Latham serves as Head of Group Business Development at Rio Tinto. He holds a BEng in Mining Engineering from London and Nottingham Universities, having completed his studies from 1983 to 1988. Previously, he served as Head of Group Mergers and Acquisitions, Head of Rio Tinto Ventures, and Managing Director of Rio Tinto Lithium. Before joining Rio Tinto, he was a Partner at X2 Resources. He also served as Head of Group Business Development at Xstrata and led the Americas Metals and Mining Advisory Business at Standard New York, part of the Standard Bank Group.</t>
  </si>
  <si>
    <t>andrew.latham@riotinto.com</t>
  </si>
  <si>
    <t>Head of Group Business Development</t>
  </si>
  <si>
    <t>419898-52P</t>
  </si>
  <si>
    <t>Armando Torres</t>
  </si>
  <si>
    <t>Torres</t>
  </si>
  <si>
    <t>Mr. Armando Torres serves as Managing Director of Aluminium Pacific Operations at Rio Tinto.</t>
  </si>
  <si>
    <t>Managing Director, Aluminium Pacific Operations</t>
  </si>
  <si>
    <t>252107-02P</t>
  </si>
  <si>
    <t>Arnaud Soirat</t>
  </si>
  <si>
    <t>Soirat</t>
  </si>
  <si>
    <t>Mr. Arnaud Soirat serves as Chief Operating Officer at Rio Tinto. Arnaud joined Rio Tinto in 2010 and was previously Chief Executive, Copper &amp; Diamonds from 2016 to 2020. Prior to this, he had 20 years experience in commercial and operations roles in the metals and mining industry, including at Alcoa and Pechiney. As Chief Operating Officer, Arnaud uses his extensive operational and leadership experience to drive company-wide, sustainable improvements with the introduction of the Safe Production System (SPS), with deployments underway at every product group. From his previous roles, Arnaud brings significant experience in safety and operational excellence, improving business profitability and competitiveness, and deploying lean manufacturing to help achieve stable and optimized operations through stronger employee engagement.</t>
  </si>
  <si>
    <t>arnaud.soirat@riotinto.com</t>
  </si>
  <si>
    <t>393469-12P</t>
  </si>
  <si>
    <t>Bold Baatar</t>
  </si>
  <si>
    <t>Bold</t>
  </si>
  <si>
    <t>Baatar</t>
  </si>
  <si>
    <t>Mr. Bold Baatar serves as Chief Commercial Officer at Rio Tinto. Prior to this, he led the Energy &amp; Minerals product group, a position he had held since 2016. Since joining Rio Tinto in 2013, he has held a number of leadership positions across operations, marine, iron ore sales and marketing, and Copper. He brings deep experience across geographies, commodities, and markets. A passionate advocate for integrating ESG into decision-making across the business landscape, he combines strong commercial and business development expertise with a focus on developing markets and partnerships with our host communities and nations.</t>
  </si>
  <si>
    <t>bold.baatar@riotinto.com</t>
  </si>
  <si>
    <t>267499-63P</t>
  </si>
  <si>
    <t>Chantelle Thom</t>
  </si>
  <si>
    <t>Chantelle</t>
  </si>
  <si>
    <t>Thom</t>
  </si>
  <si>
    <t>Ms. Chantelle Thom serves as Global Manager Equity, Inclusion &amp; Diversity at Rio Tinto.</t>
  </si>
  <si>
    <t>chantelle.thom@riotinto.com</t>
  </si>
  <si>
    <t>Global Manager Equity, Inclusion &amp; Diversity</t>
  </si>
  <si>
    <t>295829-74P</t>
  </si>
  <si>
    <t>Clare Peever</t>
  </si>
  <si>
    <t>Peever</t>
  </si>
  <si>
    <t>Ms. Clare Peever serves as Business Executive to the CFO at Rio Tinto.</t>
  </si>
  <si>
    <t>+44 (0)77 8896 7877</t>
  </si>
  <si>
    <t>cpeever@riotinto.com</t>
  </si>
  <si>
    <t>Business Executive to the CFO</t>
  </si>
  <si>
    <t>417228-13P</t>
  </si>
  <si>
    <t>Dan Walker</t>
  </si>
  <si>
    <t>Mr. Dan Walker serves as Chief Innovation Officer at Rio Tinto.</t>
  </si>
  <si>
    <t>dan.walker@riotinto.com</t>
  </si>
  <si>
    <t>267498-82P</t>
  </si>
  <si>
    <t>David Ovington</t>
  </si>
  <si>
    <t>Ovington</t>
  </si>
  <si>
    <t>Mr. David Ovington serves as Executive, Investor Relations at Rio Tinto.</t>
  </si>
  <si>
    <t>+44 (0)79 2001 0978</t>
  </si>
  <si>
    <t>david.ovington@riotinto.com</t>
  </si>
  <si>
    <t>426156-04P</t>
  </si>
  <si>
    <t>Georgie Bezette</t>
  </si>
  <si>
    <t>Georgie</t>
  </si>
  <si>
    <t>Bezette</t>
  </si>
  <si>
    <t>Ms. Georgie Bezette serves as Chief People Officer at Rio Tinto.</t>
  </si>
  <si>
    <t>georgie.bezette@riotinto.com</t>
  </si>
  <si>
    <t>199333-09P</t>
  </si>
  <si>
    <t>Isabelle Deschamps</t>
  </si>
  <si>
    <t>Deschamps</t>
  </si>
  <si>
    <t>Ms. Isabelle Deschamps serves as Chief Legal Officer, Governance &amp; Corporate Affairs &amp; Member of Executive Committee at Rio Tinto. She served as General Counsel &amp; Member of the Executive Committee at AkzoNobel. With extensive international corporate experience, Isabelle was previously General Counsel of AkzoNobel and a member of their Executive Committee, where she was responsible for all legal, integrity &amp; compliance, and intellectual property management, as well as company secretary. She was also a driving force behind their Diversity &amp; Inclusion programme. Before joining AkzoNobel, Isabelle spent six years at Unilever in the UK and in The Netherlands where she had accountability for legal and compliance for its European businesses and its Food &amp; Refreshment division worldwide. Prior to that, she led the legal and compliance activities for the Personal Care business while managing the global Intellectual Property group and spearheading legal support to e-commerce, digital and privacy. Isabelle joined Unilever from Nestlé, where she held various positions in Switzerland and globally. She started her career at a Canadian law firm in Montreal and is admitted to the England and Wales Law Society and to the Quebec (Canada) Bar. She is a pragmatic, open leader with a passion for equal opportunities, inclusion and diversity, continuous learning and a culture of integrity. She is also a strong champion of fostering a culture of integrity and encouraging people to always have the courage to do the right thing.</t>
  </si>
  <si>
    <t>isabelle.deschamps@riotinto.com</t>
  </si>
  <si>
    <t>Chief Legal Officer, Governance &amp; Corporate Affairs &amp; Member of Executive Committee</t>
  </si>
  <si>
    <t>35268-85P</t>
  </si>
  <si>
    <t>Jakob Stausholm</t>
  </si>
  <si>
    <t>Jakob</t>
  </si>
  <si>
    <t>Stausholm</t>
  </si>
  <si>
    <t>Mr. Jakob Stausholm serves as Chief Executive, Member of the Executive Committee &amp; Board Member at Rio Tinto. As Chief Executive, he brings strategic and commercial expertise and governance experience. He is committed to rebuilding trust with communities, and Traditional Owners and engaging broadly with stakeholders, including governments, partners and other business leaders. He continues to focus on improving operational performance, including through the Safe Production System, creating and progressing value-accretive growth options while remaining disciplined on capital allocation and delivering returns for shareholders. He has over 20 years of experience, primarily in senior finance roles at Maersk Group and Royal Dutch Shell plc. He was also a Non-Executive Director of Woodside Petroleum and Statoil (now Equinor).</t>
  </si>
  <si>
    <t>+61 (0)3 9283 3333</t>
  </si>
  <si>
    <t>jakob.stausholm@riotinto.com</t>
  </si>
  <si>
    <t>120 Collins Street</t>
  </si>
  <si>
    <t>Level 43</t>
  </si>
  <si>
    <t>Rio Tinto (Melbourne)</t>
  </si>
  <si>
    <t>277172-56P</t>
  </si>
  <si>
    <t>James Martin</t>
  </si>
  <si>
    <t>Mr. James Martin serves as Chief People Officer &amp; Member of the Executive Committee at Rio Tinto. Previously, Mr. Martin was a partner at Egon Zehnder, a global leadership advisory firm, for 15 years. He has led a range of global practices and specializes in coaching, talent management and leadership development. Prior roles include senior equity research roles at Credit Suisse First Boston and ABN AMRO. He began his career as a pilot in the UK's Royal Air Force.</t>
  </si>
  <si>
    <t>james.martin@riotinto.com</t>
  </si>
  <si>
    <t>Chief People Officer &amp; Member of the Executive Committee</t>
  </si>
  <si>
    <t>342819-46P</t>
  </si>
  <si>
    <t>Jean-Philippe Castonguay</t>
  </si>
  <si>
    <t>Jean-Philippe</t>
  </si>
  <si>
    <t>Castonguay</t>
  </si>
  <si>
    <t>Mr. Jean-Philippe Castonguay serves as Director, Energy Development Canada at Rio Tinto.</t>
  </si>
  <si>
    <t>15145827455</t>
  </si>
  <si>
    <t>jean-philippe.castonguay@riotinto.com</t>
  </si>
  <si>
    <t>Director, Energy Development Canada</t>
  </si>
  <si>
    <t>130944-25P</t>
  </si>
  <si>
    <t>Jean-Sebastien Jacques</t>
  </si>
  <si>
    <t>Mr. Jean-Sebastien Jacques served as Chief Executive Officer &amp; Board Member at Rio Tinto.</t>
  </si>
  <si>
    <t>394795-09P</t>
  </si>
  <si>
    <t>Jonathon McCarthy</t>
  </si>
  <si>
    <t>Mr. Jonathon McCarthy serves as Head of Rio Tinto Energy Development at Rio Tinto.</t>
  </si>
  <si>
    <t>jonathon.mccarthy@riotinto.com</t>
  </si>
  <si>
    <t>Head of Rio Tinto Energy Development</t>
  </si>
  <si>
    <t>267499-27P</t>
  </si>
  <si>
    <t>Juan Romero</t>
  </si>
  <si>
    <t>Mr. Juan Romero serves as Vice President, Business Development at Rio Tinto.</t>
  </si>
  <si>
    <t>juan.romero@riotinto.com</t>
  </si>
  <si>
    <t>254444-86P</t>
  </si>
  <si>
    <t>Kellie Parker</t>
  </si>
  <si>
    <t>Ms. Kellie Parker serves as Chief Executive, Australia &amp; Member of the Executive Committee at Rio Tinto. Ms. Parker served as Managing Director at Queensland Alumina. Ms. Parker is the managing director of Rio Tinto Aluminium's Pacific Operations, comprising four bauxite mines in Queensland and the Northern Territory, two alumina refineries and a power station in Gladstone, and four aluminum smelters in Australia and New Zealand. Her Rio Tinto career began in 2001 where she progressed through a number of safety, operational, and leadership roles before joining the Rio Tinto Iron Ore Executive team in 2014, then in 2016, she was appointed as Managing Director, Planning Integration and Assets. She holds a Bachelor of Science and a Health and Safety Diploma from Curtin University Western Australia.</t>
  </si>
  <si>
    <t>kellie.parker@riotinto.com</t>
  </si>
  <si>
    <t>360 Collins Street</t>
  </si>
  <si>
    <t>Level 7</t>
  </si>
  <si>
    <t>+61 (0)3 9283 3707</t>
  </si>
  <si>
    <t>403585-93P</t>
  </si>
  <si>
    <t>Laura Brooks</t>
  </si>
  <si>
    <t>Ms. Laura Brooks serves as Investor Relations Manager at Rio Tinto.</t>
  </si>
  <si>
    <t>laura.brooks@riotinto.com</t>
  </si>
  <si>
    <t>309431-62P</t>
  </si>
  <si>
    <t>Mark Davies</t>
  </si>
  <si>
    <t>Mr. Mark Davies serves as Chief Technical Officer &amp; Member of the Executive Committee at Rio Tinto. He leads the Development &amp; Technology division. On the development side of his portfolio, he is responsible for exploration and major capital construction, renewable energy projects, and closure teams working to rehabilitate and repurpose mines and facilities at the end of operations. He is passionate about technology and innovation, also leading Rio Tinto's technical Centres of Excellence as well as the office of the Chief Scientist, which oversees Rio Tinto's global research and development activities. The technical Centres of Excellence cover asset management, energy and climate change, orebody knowledge, underground mining, surface mining, and processing. He is also a sponsor of Rio Tinto's efforts to raise awareness and improve support for employees affected by Domestic and Family Violence as well as Rio Tinto's White Ribbon accreditation. He has extensive international experience gained over 25 years with Rio Tinto in Australia, the US, the UK and Singapore. He joined the company in 1995 as a senior mechanical engineer and over the years has worked in various operational and functional leadership roles. These include Chief Commercial Officer and interim CEO for the Iron and Titanium business unit, head of Group Risk, and most recently, vice president of global Procurement.</t>
  </si>
  <si>
    <t>mark.davies@riotinto.com</t>
  </si>
  <si>
    <t>Chief Technical Officer &amp; Member of the Executive Committee</t>
  </si>
  <si>
    <t>282574-90P</t>
  </si>
  <si>
    <t>Marnie Finlayson</t>
  </si>
  <si>
    <t>Marnie</t>
  </si>
  <si>
    <t>Finlayson</t>
  </si>
  <si>
    <t>Ms. Marnie Finlayson serves as Managing Director of Battery Materials Business at Rio Tinto.</t>
  </si>
  <si>
    <t>mfinlayson@riotinto.com</t>
  </si>
  <si>
    <t>Managing Director of Battery Materials Business</t>
  </si>
  <si>
    <t>120604-87P</t>
  </si>
  <si>
    <t>Nigel Steward</t>
  </si>
  <si>
    <t>Steward</t>
  </si>
  <si>
    <t>Chief Scientific Officer &amp; Head</t>
  </si>
  <si>
    <t>Mr. Nigel Steward serves as Chief Scientist &amp; Head of Group Technical - Processing, Asset Management, Energy &amp; Climate Change, R&amp;D &amp; Tech Strategy at Rio Tinto. Mr. Nigel Steward serves as Chief Scientist at Kennecott Utah Copper. He oversees all aspects of the business. In his previous role, Nigel served as senior vice president of the technology and supply chain business unit for Rio Tinto Alcan. This role ensured the supply of lowest-cost and highest-value creating technologies, know-how, raw materials, and energy, and provided profitable sales of our technologies, products, and services to Rio Tinto Alcan worldwide. Nigel has worked for Rio Tinto Alcan for 26 years holding various operational and functional positions in the fields of research and development, environment and technical management, regional industrial development, technology sales, and operational excellence and climate change in Europe and Canada. Nigel holds a BSc(eng) in Metallurgy and Materials Science from Imperial College, London, UK. He also has a Ph.D. in Materials Science from Imperial College and is an Associate of the Royal School of Mines. Nigel also holds an MBA from Queen's University, Canada.</t>
  </si>
  <si>
    <t>nigel.steward@riotinto.com</t>
  </si>
  <si>
    <t>Chief Scientist &amp; Head of Group Technical - Processing, Asset Management, Energy &amp; Climate Change, R&amp;D &amp; Tech Strategy</t>
  </si>
  <si>
    <t>455884-66P</t>
  </si>
  <si>
    <t>Pekka Santasalo</t>
  </si>
  <si>
    <t>Pekka</t>
  </si>
  <si>
    <t>Santasalo</t>
  </si>
  <si>
    <t>Mr. Pekka Santasalo serves as Head of Growth &amp; Ventures at Rio Tinto.</t>
  </si>
  <si>
    <t>Head of Growth &amp; Ventures</t>
  </si>
  <si>
    <t>250929-01P</t>
  </si>
  <si>
    <t>Peter Cunningham</t>
  </si>
  <si>
    <t>Mr. Peter Cunningham serves as Chief Financial Officer, Executive Director, Board Member, and Member of the Chair's Committee and Executive Committee at Rio Tinto. He joined Rio Tinto in March 1993 and was appointed Chief Financial Officer and Executive Director in June 2021, after serving as Interim Chief Financial Officer for a short period of time. As Chief Financial Officer, he brings extensive commercial expertise from working across the Group in various geographies. He is strongly focused on the decarbonisation of our assets, investing in the commodities essential for the energy transition, and delivering attractive returns to shareholders while maintaining financial discipline. During almost 3 decades with Rio Tinto, he has held a number of senior leadership roles, including Group Controller, Chief Financial Officer - Organisational Resources, Global Head of Health, Safety, Environment &amp; Communities, Head of Energy and Climate Strategy, and Head of Investor Relations.</t>
  </si>
  <si>
    <t>peter.cunningham@riotinto.com</t>
  </si>
  <si>
    <t>303125-95P</t>
  </si>
  <si>
    <t>Peter Harvey</t>
  </si>
  <si>
    <t>Mr. Peter Harvey serves as Managing Director, Closure and Legacy Management at Rio Tinto. He previously served as Vice President Hsse for Energy and Minerals, General Manager Hsec for Diamonds and Minerals, Hsec and Ops Support Manager Exploration at Rio Tinto, Managing Director at Sentinel Consulting, Reserve Officer at Royal Engineers and Director at Wilderness Expertise.</t>
  </si>
  <si>
    <t>peter.harvey@riotinto.com</t>
  </si>
  <si>
    <t>Managing Director, Closure and Legacy Management</t>
  </si>
  <si>
    <t>98851-96P</t>
  </si>
  <si>
    <t>Philip Richards JD</t>
  </si>
  <si>
    <t>Mr. Philip Richards serves as Group General Counsel at Rio Tinto. Previously he was with Freshfields Bruckhaus Deringer, where he was a senior partner specializing in corporate law. Philip has extensive experience in governance, corporate advisory, and transactional work. At Freshfields, he established and led the financial institution's group for many years, advising on a number of significant transactions in that and other sectors. Philip also spent four years as a managing partner of Freshfields' Italian offices in Milan and Rome.</t>
  </si>
  <si>
    <t>philip.richards@riotinto.com</t>
  </si>
  <si>
    <t>206615-44P</t>
  </si>
  <si>
    <t>Simon Trott</t>
  </si>
  <si>
    <t>Trott</t>
  </si>
  <si>
    <t>Mr. Simon Trott serves as Chief Executive, Iron Ore &amp; Member of the Executive Committee at Rio Tinto. Mr. Trott served as Chief commercial officer at Rio Tinto. His role is to oversee how Rio Tinto derives maximum value from its products and continues to strengthen customer relationships. He is accountable for the global Sales &amp; Marketing, Marine &amp; Logistics, and Procurement organizations, supported by Market Analysis, among other functions. He has been with Rio Tinto for almost 18 years and has held a wide variety of commercial, operating, and business development roles across a number of commodities. In his previous role as Salt, Uranium &amp; Borates managing director, he oversaw operations and projects in Australia, Africa, Europe, and the US. He has a graduate diploma in Finance &amp; Investment (FINSIA) and is a graduate of the Australian Institute of Company Directors.</t>
  </si>
  <si>
    <t>simon.trott@riotinto.com</t>
  </si>
  <si>
    <t>Chief Executive, Iron Ore &amp; Member of the Executive Committee</t>
  </si>
  <si>
    <t>292961-62P</t>
  </si>
  <si>
    <t>Sinead Kaufman</t>
  </si>
  <si>
    <t>Mr. Sinead Kaufman serves as Chief Executive, Minerals &amp; Member of the Executive Committee at Rio Tinto. Since she joined Rio Tinto in 1997 as a geologist, she has held senior leadership and operational roles across Aluminium, Copper &amp; Diamonds, Energy &amp; Minerals, and Iron Ore. She joined the Executive Committee in early 2021. She brings strong operational expertise combined with a track record of delivering future-focused sustainability outcomes. She has led the Minerals business to play a central role in driving growth, for example, through the acquisition of the Rincon Lithium Project in Argentina, which supports our battery materials strategy. She is also playing a leading role in many sustainability initiatives to help us reach our decarbonization ambition.</t>
  </si>
  <si>
    <t>sinead.kaufman@riotinto.com</t>
  </si>
  <si>
    <t>406558-18P</t>
  </si>
  <si>
    <t>Sophie Bergeron</t>
  </si>
  <si>
    <t>Bergeron</t>
  </si>
  <si>
    <t>Ms. Sophie Bergeron serves as Managing Director at Rio Tinto.</t>
  </si>
  <si>
    <t>403584-94P</t>
  </si>
  <si>
    <t>Tom Gallop</t>
  </si>
  <si>
    <t>Gallop</t>
  </si>
  <si>
    <t>Mr. Tom Gallop serves as General Manager of Investor Relations at Rio Tinto.</t>
  </si>
  <si>
    <t>tom.gallop@riotinto.com</t>
  </si>
  <si>
    <t>General Manager of Investor Relations</t>
  </si>
  <si>
    <t>403587-10P</t>
  </si>
  <si>
    <t>Weiwei Hu</t>
  </si>
  <si>
    <t>Weiwei</t>
  </si>
  <si>
    <t>Mr. Weiwei Hu serves as Investor Relations Manager at Rio Tinto.</t>
  </si>
  <si>
    <t>weiwei.hu@riotinto.com</t>
  </si>
  <si>
    <t>407894-23P</t>
  </si>
  <si>
    <t>Xu Feng</t>
  </si>
  <si>
    <t>Mr. Xu Feng serves as Chief Executive Officer at Rio Tinto.</t>
  </si>
  <si>
    <t>xu.feng@riotinto.com</t>
  </si>
  <si>
    <t>210341-17P</t>
  </si>
  <si>
    <t>Collier Bern</t>
  </si>
  <si>
    <t>Collier</t>
  </si>
  <si>
    <t>Bern</t>
  </si>
  <si>
    <t>Riot Ventures</t>
  </si>
  <si>
    <t>Mr. Collier Bern serves as Partner &amp; Head of Growth at Riot Ventures. He served as a Principal at R7 Partners. He was formerly at Mesirow Advanced Strategies where he led the sourcing and diligence of late-stage venture co-investments as well as fund investments in quantitative and equity strategies. Before Mesirow, he was a Vice President in the M&amp;A group of BMO Capital Markets, where he focused on technology, healthcare, and food companies.</t>
  </si>
  <si>
    <t>+1 (312) 350-4941</t>
  </si>
  <si>
    <t>collier@riot.vc</t>
  </si>
  <si>
    <t>1 Beacon Street</t>
  </si>
  <si>
    <t>241965-91P</t>
  </si>
  <si>
    <t>Meghan Moreland</t>
  </si>
  <si>
    <t>Meghan</t>
  </si>
  <si>
    <t>Moreland</t>
  </si>
  <si>
    <t>Ms. Meghan Moreland serves as an Investor at Riot Ventures. She was an Investor in B Capital Group. Previously, she served as Chief of Staff for B Capital. Prior to joining the firm, she worked at J.P. Morgan with their Endowments and Foundations group to deliver institutional investment capabilities to endowments and foundations across the Western and Southern U.S. She started her career as a management consultant working with Walmart and General Mills. She graduated with honors from the University of Texas at Austin.</t>
  </si>
  <si>
    <t>+1 (310) 698-1270</t>
  </si>
  <si>
    <t>meghan@riot.vc</t>
  </si>
  <si>
    <t>31427-02P</t>
  </si>
  <si>
    <t>Stephen Marcus</t>
  </si>
  <si>
    <t>Mr. Stephen Marcus is a Co-Founder and serves as General Partner at Riot Ventures. Mr. serves as a Board Member at Shield AI. Mr. Marcus is an Angel Investor. He served as a Board Member at Signature Medical. He serves as a Board Member at Shield AI. He is a futurist and believes that the next 20 years of humanity will be profoundly affected by advances in technology. Steve came to Riot having been an entrepreneur with over 20 years of building wireless networks end-to-end. He has also invested in dozens of tech companies including a half dozen unicorns that collectively have over $100B of market capitalization. Steve led Riot's investments in Toast (restaurant OS), Desktop Metal (industrial additive manufacturing), Shield.AI (edge AI for defence), Subspace (low latency internet backbone), Meter (quantum dot CT scanning), Assetario (real-time pricing for gaming companies), and System1 (brain organoid drug discovery platform). Steve received a BS from Worcester Polytechnic Institute and an MBA from the MIT Sloan School of Management. In his spare time, Steve enjoys piloting helicopters and aeroplanes, competitive tennis, high-stakes poker, meeting the locals and exploring strange new places.</t>
  </si>
  <si>
    <t>+1 (310) 243-6433</t>
  </si>
  <si>
    <t>steve@riot.vc</t>
  </si>
  <si>
    <t>92197-45P</t>
  </si>
  <si>
    <t>William Coffield</t>
  </si>
  <si>
    <t>Coffield</t>
  </si>
  <si>
    <t>Mr. William Coffield is a Co-Founder &amp; serves as General Partner at Riot Ventures. He serves as Board Member at OpenEnvoy. He serves as Board Member at Rugged Robotic. He focuses on investments at the intersection of hardware and software with enterprise + industrial + transportation applications. Prior to Riot, he was an investor with Boston-based Saturn Partners, where he led early-stage investments in enterprise and FinTech companies as well as opened Saturn's LA office. He was a founding investor and close advisor of Brace.ai, a technology platform for the mortgage servicing industry. His superpower is accelerating portfolio company business development, hiring, product strategy, and fundraising. He earned his BBA from James Madison University.</t>
  </si>
  <si>
    <t>+1 (617) 648-9100</t>
  </si>
  <si>
    <t>will@riot.vc</t>
  </si>
  <si>
    <t>40697-56P</t>
  </si>
  <si>
    <t>Andrew Appelbaum JD</t>
  </si>
  <si>
    <t>Appelbaum</t>
  </si>
  <si>
    <t>RiverPark Ventures</t>
  </si>
  <si>
    <t>Mr. Andrew Appelbaum serves as Managing Partner at RiverPark Ventures. Mr. Appelbaum co-founded Seamless. He is a Co-Founder and serves as Board Member at Domino. He is a career entrepreneur with a focus on creating marketplaces and disrupting inefficient supply chains. The companies he has co-founded have spanned a broad diversity of industries, including technology, energy, food services, e-commerce, media, and real estate. He is the co-founder of Seamless (formerly Seamless Web), Cleaner Options, mdenergy, and Blue Ribbon Partners. Prior to founding RiverParkVentures, he was an active angel investor. He began his career as an attorney for Latham &amp; Watkins in NYC. He serves on the Board of Directors and Executive Committee of the JCC of Manhattan and is a member of NY Angels. Andy received a BA in Philosophy and Political Science, summa cum laude from SUNY Binghamton and a JD from New York University School of Law.</t>
  </si>
  <si>
    <t>+1 (212) 484-2102</t>
  </si>
  <si>
    <t>aappelbaum@riverparkventures.com</t>
  </si>
  <si>
    <t>156 West 56th Street</t>
  </si>
  <si>
    <t>+1 (212) 484-2151</t>
  </si>
  <si>
    <t>151500-70P</t>
  </si>
  <si>
    <t>Conrad van Tienhoven</t>
  </si>
  <si>
    <t>van Tienhoven</t>
  </si>
  <si>
    <t>Mr. Conrad van Tienhoven serves as Assistant Portfolio Manager at RiverPark Ventures. Conrad graduated from the University of Texas with a BA in Economics in 1997. He then joined Baron Capital as a junior analyst and covered the real estate and consumer/retail industries. In 2000, he became a senior analyst on the Baron iOpportunity Fund covering internet media, ecommerce, hardware, software, and online business services. In 2004, in addition to his information technology work, Conrad was made a senior analyst on the Baron Fifth Avenue Growth Fund. In this role, he worked as a generalist in large cap growth ideas. Conrad joined RiverPark Capital at its inception and is a senior research analyst within the firm.</t>
  </si>
  <si>
    <t>+1 (212) 484-2100</t>
  </si>
  <si>
    <t>ctienhoven@riverparkventures.com</t>
  </si>
  <si>
    <t>Assistant Portfolio Manager</t>
  </si>
  <si>
    <t>211478-77P</t>
  </si>
  <si>
    <t>Danny Cohen</t>
  </si>
  <si>
    <t>Mr. Danny Cohen serves as an Investor at RiverPark Ventures. He supports all aspects of RiverPark's pre- and post-investment process. Before joining RiverPark, he spent two years at Thomson Reuters - originally in the Automotive Practice Group and most recently in Content &amp; Product Innovation at TR Labs, the company's global growth engine. He received his B.A. in Political Science from the University of Michigan. As a sophomore, he co-founded snack food brand Funkin' Seeds which he ran with four friends until a successful exit in March 2017. During his time in Michigan, he spent summers at hedge fund Scoggin Capital Management and RPV portfolio company Via Transportation, where he launched service expansions to Washington DC and New York-area airports.</t>
  </si>
  <si>
    <t>dcohen@riverparkventures.com</t>
  </si>
  <si>
    <t>151502-50P</t>
  </si>
  <si>
    <t>Kenneth Gilison JD</t>
  </si>
  <si>
    <t>Gilison</t>
  </si>
  <si>
    <t>Mr. Kenneth Gilison serves as Chief Operating Officer at RiverPark Ventures. Kenny is the Chief Operating Officer of RiverPark Ventures. Prior to joining RiverPark, he served as Managing Principal at Westbrook Partners in charge of all operations in France where he opened Westbrook's Paris office in 2003 and served on the Investment Committee. Previously, he was Director of Acquisitions and a member of the Executive Committee for STAM Europe, a Paris-based asset management firm. Prior to joining STAM Europe, he was the founder and head of GMAC Commercial Mortgage's Paris office. Earlier, Kenny was a senior member of the commercial real estate finance team at Deutsche Bank in New York. Prior to Deutsche Bank, he was a practicing attorney concentrating in structured finance, corporate finance, and real estate at Skadden, Arps, Slate, Meagher &amp; Flom in New York. Kenny received a B.A. from the University of Virginia and a J.D., magna cum laude, from the University of California, Hastings College of Law.</t>
  </si>
  <si>
    <t>kgilison@riverparkfunds.com</t>
  </si>
  <si>
    <t>151506-55P</t>
  </si>
  <si>
    <t>Kristi Caruso</t>
  </si>
  <si>
    <t>Caruso</t>
  </si>
  <si>
    <t>Ms. Kristi Caruso serves as Chief Administrative Officer at RiverPark Ventures. Kristi received her bachelor's degree as a teacher for the speech/hearing handicapped from New York University in 1996. From 1996 to 2006, Kristi worked at Baron Capital Inc. rising from marketing intern to an administrative manager. Her roles included research support, trading operations, human resource management and marketing. From 2006 to present, Kristi has worked at RiverPark as Head Trader and Office Manager. Kristi is also an accomplished chef and recently completed training at the French Culinary Institute.</t>
  </si>
  <si>
    <t>kcaruso@riverparkventures.com</t>
  </si>
  <si>
    <t>151507-18P</t>
  </si>
  <si>
    <t>Kristin Cobb</t>
  </si>
  <si>
    <t>Cobb</t>
  </si>
  <si>
    <t>Ms. Kristin Cobb serves as Associate, Operations at RiverPark Ventures. Kristin joined RiverPark as an Associate in February 2013. From 2010 to 2012 Kristin was a Compliance and Operations Intern for GLG Ore Hill LLC. In 2011 Ore Hill was acquired by Man Investments Inc., where Kristin then transitioned into a US Institutional Business Development and Investor Relations Management Intern from 2012 to 2013. Kristin received a B.S. in Organizational Management and Development, with a Finance concentration, from New York University in 2014.</t>
  </si>
  <si>
    <t>Associate, Operations</t>
  </si>
  <si>
    <t>151506-01P</t>
  </si>
  <si>
    <t>Matthew Parkinson</t>
  </si>
  <si>
    <t>Parkinson</t>
  </si>
  <si>
    <t>Mr. Matthew Parkinson serves as Chief Financial Officer &amp; Chief Operating Officer at Riposte Capital. He serves as Controller at RiverPark Ventures. He received his Bachelor's Degree in Accounting from the University of Connecticut in 2007. From 2007 to 2011, He worked as a Senior Fund Accountant at GlobeOp Financial Services LLC, where he performed all back office responsibilities for numerous hedge fund clients. In 2011, He joined LightBox Capital Management Ltd., an equity market-neutral/multi-prime broker hedge fund, as Controller. At LightBox, He was responsible for all accounting and operations for the funds' master-feeder structure. He joined RiverPark as Controller in May 2012.</t>
  </si>
  <si>
    <t>+1 (646) 802-6330</t>
  </si>
  <si>
    <t>mparkinson@ripostecapital.com</t>
  </si>
  <si>
    <t>Riposte Capital</t>
  </si>
  <si>
    <t>123265-81P</t>
  </si>
  <si>
    <t>Morty Schaja</t>
  </si>
  <si>
    <t>Morty</t>
  </si>
  <si>
    <t>Schaja</t>
  </si>
  <si>
    <t>Mr. Morty Schaja serves as the Chief Executive Officer &amp; Founding Partner at RiverPark Ventures. He serves as Board Member at ThayerMahan. He serves as Chief Executive Officer &amp; Managing Partner at RiverPark Funds. He served as Board Member at Ash Improvement Technology. He graduated from Tel-Aviv University in 1975 with a BS in Physics and from Columbia University in 1976 with an MBA in finance and accounting. From 1977 to 1985, he was Vice President for Consulting with Data Resources, a leading economic consulting and forecasting firm. From 1986 through 1987 he was a Senior Analyst with Donaldson, Lufkin &amp; Jenrette's Stock Index Department. From 1987 until 1990, he was Executive Vice President of First Security, a registered investment advisor and hedge fund. From February 1991 through March 2006, he had various responsibilities with Baron Capital, leading to his position as President and Chief Operating Officer, where he managed the growth of the firm from $40 million in assets under management to over $15 billion. As CEO and a founding partner of RiverPark Capital, he has responsibility for all of the firm's business activities as well as overseeing the firm's risk management, compliance and trading infrastructure and participating in the portfolio management process.</t>
  </si>
  <si>
    <t>mschaja@riverparkventures.com</t>
  </si>
  <si>
    <t>151505-11P</t>
  </si>
  <si>
    <t>Paul Genova</t>
  </si>
  <si>
    <t>Genova</t>
  </si>
  <si>
    <t>Mr. Paul Genova serves as Chief Financial Officer at RiverPark Ventures. He serves as Chief Financial Officer at RiverPark Funds. He received his bachelor's degree in accountancy from Bentley College in 1999. From 1999 to 2002, He was a Senior Auditor for Pustorino, Puglisi and Co., Grant Thornton, LLP, and PricewaterhouseCoopers, LLP, whereby he led various high-profile audit engagements in their respective capital markets groups. In 2003, He joined Exis Capital Management, Inc. as a Senior Accountant, a multi-strategy / multi-prime broker / multi-manager hedge fund platform with assets reaching $1.5 billion under management. Within a year at Exis Capital Management, Inc., He was promoted to Controller whereby he was responsible for two master-feeder complex capital structures as well as managing a group of several back-office members. Before joining RiverPark Capital LLC in May of 2008, He spent just under a year and a half as Controller at K Squared Capital Advisors, LP, a high-yield/distressed opportunities hedge fund with approximately $270 million in assets under management.</t>
  </si>
  <si>
    <t>pgenova@riverparkfunds.com</t>
  </si>
  <si>
    <t>P.O. Box 219008</t>
  </si>
  <si>
    <t>64121-9008</t>
  </si>
  <si>
    <t>RiverPark Funds</t>
  </si>
  <si>
    <t>165743-74P</t>
  </si>
  <si>
    <t>Spencer Krug</t>
  </si>
  <si>
    <t>Krug</t>
  </si>
  <si>
    <t>Mr. Spencer Krug serves as Partner at RiverPark Ventures. Spencer is involved with all aspects of RPV's investment process, with a particular focus on deal sourcing, due diligence, financial modeling and managing portfolio companies. Spencer also serves as a mentor with Backstage Capital and runs a fitness program for the VC and Tech community called VC Fit. Prior to joining RiverPark, Spencer served as a Consultant with L.E.K., a global management consulting firm, specializing in due diligence projects for private equity firms and corporate strategy engagements. Spencer was also one of the first hires for CampusProtein, a leading sports nutrition marketplace catered to the college demographic. Spencer received his B.S. and M.B.A. from the Indiana University - Kelley School of Business where he studied Accounting and Financial Analysis. While at Indiana, Spencer taught an introductory business course to a cohort of freshman students. Spencer is a licensed Certified Public Accountant (CPA).</t>
  </si>
  <si>
    <t>skrug@riverparkventures.com</t>
  </si>
  <si>
    <t>358337-71P</t>
  </si>
  <si>
    <t>Tetiana Pyrig</t>
  </si>
  <si>
    <t>Tetiana</t>
  </si>
  <si>
    <t>Pyrig</t>
  </si>
  <si>
    <t>Ms. Tetiana Pyrig serves as Executive at RiverPark Ventures. Prior to joining RiverPark, she worked at ADW Labs, Inc. from 2010 to 2015 as a Bookkeeper, where she created financial transactions by preparing and analyzing accounting records and financial reports. She was also responsible for processing payroll, preparing invoices, and managed multiple clients, projects and company improvement initiatives. She received her Bachelor's Degree in Accounting and Business Administration with a minor in Sociology from Baruch College in 2015. After graduating, she traveled for 6 months to 12 different countries. She joined RiverPark in May 2016.</t>
  </si>
  <si>
    <t>106139-62P</t>
  </si>
  <si>
    <t>Jerome Ternynck</t>
  </si>
  <si>
    <t>Ternynck</t>
  </si>
  <si>
    <t>Robin Capital</t>
  </si>
  <si>
    <t>Mr. Jerome Ternynck is a Co-Founder of Rypples. Mr. Ternynck is the Founder &amp; serves as Chairman at SmartRecruiters. Mr. Ternynck serves as Venture Partner at Robin Capital. Mr. Ternynck is an Angel Investor. He started his first recruiting company at age 22 in Eastern Europe after the Berlin Wall fell. He then pioneered the recruiting software industry in 1999 by building one of the first global enterprise SaaS platforms. He served as Chief Executive Officer and Co-Founder at MrTed Limited. He serves as Board Member at Traackr. He is an entrepreneur with his heart in recruiting and soul in technology. He envisions a world where recruitment is transparent, and hiring is so easy that his grandma can do it. He's passionate for what he does, hates the status quo, and loves innovation especially when it reaches disruption. His goal is to bring the economy to its full potential by removing friction in the labor market and eradicating unemployment.</t>
  </si>
  <si>
    <t>Windsor</t>
  </si>
  <si>
    <t>Windsor, United Kingdom</t>
  </si>
  <si>
    <t>St. Stephens House</t>
  </si>
  <si>
    <t>Arthur Road, Berkshire</t>
  </si>
  <si>
    <t>SL4 1RU</t>
  </si>
  <si>
    <t>Rypples</t>
  </si>
  <si>
    <t>426926-26P</t>
  </si>
  <si>
    <t>Lea Vajnorsky</t>
  </si>
  <si>
    <t>Vajnorsky</t>
  </si>
  <si>
    <t>Ms. Lea Vajnorsky is an Angel Investor. She is the Founder and Chief Executive Officer at Wo\men Inc. She also serves as a Venture Partner at Robin Capital. She has experience from previous roles at Russell Reynolds Associates, NOAH Advisors Ltd. and Henkel. Ms. Vajnorsky holds a 2008 - 2011 Bachelor of Arts (B.A.) in Public Relations with Event Management from University of the Arts London.</t>
  </si>
  <si>
    <t>Hessen</t>
  </si>
  <si>
    <t>35726-86P</t>
  </si>
  <si>
    <t>Renaud Visage</t>
  </si>
  <si>
    <t>Visage</t>
  </si>
  <si>
    <t>Mr. Renaud Visage is a Founding Partner of Slate Venture Capital. He serves as a Venture Partner at Robin Capital. He also co-founded Eventbrite. He served as a Venture Partner at Index Ventures. He served as an Advisor at Cloudthread. He serves as a Board Member at Bearer. He served as a venture partner at Point Nine Capital. He holds a master's degree in Engineering from École centrale de Lyon and Cornell University. He holds a Master's degree in Engineering from Cornell University.</t>
  </si>
  <si>
    <t>+33 (0)6 24 73 44 28</t>
  </si>
  <si>
    <t>renaud@slate.vc</t>
  </si>
  <si>
    <t>57 Rue D'amsterdam</t>
  </si>
  <si>
    <t>Slate Venture Capital</t>
  </si>
  <si>
    <t>259701-58P</t>
  </si>
  <si>
    <t>Robin Haak</t>
  </si>
  <si>
    <t>Haak</t>
  </si>
  <si>
    <t>Mr. Robin Haak is the Founder and serves as a Managing Partner of Robin Capital. He serves as Advisor at Volta Software. He is an Angel Investor. He served as Partner at Gaia Capital Partners.</t>
  </si>
  <si>
    <t>robin@robincap.com</t>
  </si>
  <si>
    <t>Zionskirchstraße</t>
  </si>
  <si>
    <t>20149</t>
  </si>
  <si>
    <t>12963-70P</t>
  </si>
  <si>
    <t>Anand Rajaraman Ph.D</t>
  </si>
  <si>
    <t>Rajaraman</t>
  </si>
  <si>
    <t>Rocketship.vc</t>
  </si>
  <si>
    <t>Dr. Anand Rajaraman is a Co-Founder, Co-Owner and serves as Managing Partner at San Francisco Unicorns. Dr. Rajaraman serves as Partner at Rocketship.vc. Mr. Rajaraman is an Angel Investor. He also is a Co-Founding Partner at Milliways Ventures. He served as Board Member at H2O.ai. He serves as Advisor at PayMate. He was a co-founding Partner and served as Vice President at Cambrian Ventures. He also co-founded &amp; served as Chief Executive Officer &amp; Board Member at Kosmix. He was a Board Member and served as an Advisor at ClearStory Data. He serves as a board member at Transformic. He serves as Founding Partner at Cambrian Ventures. He is a Founding Partner of WalmartLabs and has served as a Senior Vice President. Prior to founding the firm in 2000, he was the Director of Technology at Amazon.com and was responsible for technology strategy and advanced technology initiatives. He helped launch the transformation of Amazon.com from a retailer into a retail platform, enabling third-party retailers to sell on Amazon.com's website. He came to Amazon.com in 1998 through the $250 million acquisition of Junglee which he co-founded. As the Chief Technology Officer, he played a key role in developing Junglee's award-winning Virtual Database technology. He has research and development experience at Stanford University, AT&amp;T Bell Labs, and Xerox PARC. He serves as a Consulting Assistant Professor at Stanford University's Computer Science Department. He has numerous publications, patents, and awards at leading academic and industry forums. He has been featured in articles in Business Week, the San Francisco Chronicle, and other leading national publications. He obtained M.S. and Ph.D. in Computer Science from Stanford University and a Bachelor's degree in Computer Science and Engineering from the Indian Institute of Technology, Madras, where he won the President of India Gold Medal for graduating at the top of his class.</t>
  </si>
  <si>
    <t>anand@sfunicorns.com</t>
  </si>
  <si>
    <t>104 1st Street</t>
  </si>
  <si>
    <t>Co-Founder, Co-Owner &amp; Managing Partner</t>
  </si>
  <si>
    <t>San Francisco Unicorns</t>
  </si>
  <si>
    <t>13723-66P</t>
  </si>
  <si>
    <t>Greg Lahann</t>
  </si>
  <si>
    <t>Lahann</t>
  </si>
  <si>
    <t>Mr. Greg Lahann serves as Chief Financial Officer at rocketship.vc. He served as Chief Financial Officer at Bow Capital. He served as Chief Financial Officer at Lumenetix. He also served as Partner and Managing Director at Novus Ventures. He served as Chief Financial Officer and Director at Alta Energy. He brings over 15 years of venture capital experience to his work as a general partner at Novus. Prior to joining the firm, he spent 13 years as a general partner with MK Global Ventures. As a member of the board of directors and/or a member of the executive management team, he has guided a number of early-stage technology companies. He has served as a chief financial officer to several emerging technology companies and has directed and managed every phase of high-technology business development, from start-up, through growth and IPO. He also spent six years in the high technology audit practice of PriceWaterhouse, where he assisted clients with a broad range of transactions including private company financings, mergers, acquisitions, and initial public offerings.</t>
  </si>
  <si>
    <t>greg@rocketship.vc</t>
  </si>
  <si>
    <t>317285-92P</t>
  </si>
  <si>
    <t>Lisa Danna</t>
  </si>
  <si>
    <t>Danna</t>
  </si>
  <si>
    <t>Ms. Lisa Danna serves as Investment Specialist at Rocketship.vc.</t>
  </si>
  <si>
    <t>Investment Specialist</t>
  </si>
  <si>
    <t>240736-78P</t>
  </si>
  <si>
    <t>Madhu Iyer</t>
  </si>
  <si>
    <t>Madhu</t>
  </si>
  <si>
    <t>Ms. Madhu Iyer serves as Managing Partner at Rocketship.vc. She was the Chief Data Officer of Gojek and helped grow the business into a $1 billion unicorn. She was on the board and started the Singapore office. Before Gojek, she was an operating partner at a 150M private equity fund building startups across South East Asia. She was part of the founding team of Intuit's Quickbooks Lending Platform where she helped grow the platform to $300 million and holds 3 patents in the areas of user data augmented algorithms for financial inclusion.</t>
  </si>
  <si>
    <t>madhu@rocketship.vc</t>
  </si>
  <si>
    <t>42719-50P</t>
  </si>
  <si>
    <t>Sailesh Ramakrishnan Ph.D</t>
  </si>
  <si>
    <t>Sailesh</t>
  </si>
  <si>
    <t>Dr. Sailesh Ramakrishnan serves as Managing Partner at Rocketship.vc. Dr. Ramakrishnan serves as Investment Professional at Milliways Ventures. He is also an Angel Investor. Prior to rocketship.vc, he was CTO and co-founder of LocBox (acquired by Square), a startup focused on marketing for local businesses. He worked with Anand and Venky at their previous startup Kosmix, and continued on to Walmart as a Director of Engineering at @WalmartLabs. Before jumping into the startup world, he worked as a Computer Scientist at NASA Ames Research Center. He earned his Bachelors degree in Civil Engineering from IIT Madras, his Masters degree in Construction Management from Virginia Tech and another Master degree in Intelligent Systems from University of Pittsburgh. He was a Ph.D. candidate in Artificial Intelligence at the University of Michigan.</t>
  </si>
  <si>
    <t>sailesh@rocketship.vc</t>
  </si>
  <si>
    <t>434745-64P</t>
  </si>
  <si>
    <t>Shivam Patel</t>
  </si>
  <si>
    <t>Shivam</t>
  </si>
  <si>
    <t>Mr. Shivam Patel serves as Investor at Rocketship.vc.</t>
  </si>
  <si>
    <t>shivam@rocketship.vc</t>
  </si>
  <si>
    <t>12963-88P</t>
  </si>
  <si>
    <t>Venkatesh Harinarayan Ph.D</t>
  </si>
  <si>
    <t>Harinarayan</t>
  </si>
  <si>
    <t>Dr. Venkatesh Harinarayan is a Co-Founder and serves as Co-Owner &amp; Managing Partner at San Francisco Unicorns. Dr. Venkatesh Harinarayan serves as Partner at Rocketship.vc. Dr. Harinarayan is a Co-Founding Partner of Milliways Ventures. He co-founded and served as President at Cambrian Ventures. He served as Advisor at FetchRev. He served as Advisor at Qubole. He is a Founder and President at Cambrian Ventures. He is also a Founding Partner of @WalmartLabs and has served as its Senior Vice President. He is also a Founding Partner of Kosmix Corporation. He is an Advisor at UReach Technologies. He serves as an Investor, Advisor, and Board Member to several technology start-ups. He serves as a Board Member at Jasper Design Automation. Prior to founding the firm in 2000, he was a General Manager at Amazon.com, working with the Founder and Chief Executive Officer, Mr. Jeff Bezos, he helped create Amazon.com's marketplace business. He came to Amazon.com in 1998 through the $250 million acquisition of Junglee which he co-founded in 1996. At Junglee, he ran an award-winning marketing program and was also responsible for building key strategic relationships. He has authored multiple technical papers including one which received ACM SIGMOD's best paper award in 1996, and also has three patents including one referred to as the most useful database patent to come out of IBM in 10 years. His achievements include a PR program that included campaign that won the Bulldog Award for the best media campaign of 1998 and key strategic relationships with companies like Yahoo!, Excite, and Ziff Davis. He has been featured in the Wall Street Journal, Salon.com, India Today, CNET TV, on the cover of Business Week (Intl. Ed.), and SiliconIndia. He has a Ph.D. from Stanford University in Computer Science. He is also an Angel Investor.</t>
  </si>
  <si>
    <t>venky@sfunicorns.com</t>
  </si>
  <si>
    <t>152587-00P</t>
  </si>
  <si>
    <t>Wang Lam</t>
  </si>
  <si>
    <t>Mr. Wang Lam serves as Partner at Rocketship. Mr. Lam joined rocketship.vc from WalmartLabs, where he was a director following Walmart's acquisition of Kosmix, the startup he joined as it was being formed. Before that, Wang's dissertation work included contributions to the Stanford WebBase project and time exploring data systems at IBM Almaden. He obtained his bachelor's degree in Electrical Engineering and Computer Science from UC Berkeley and his M.S. and Ph.D. in Computer Science from Stanford University.</t>
  </si>
  <si>
    <t>wlam@rocketship.vc</t>
  </si>
  <si>
    <t>386734-60P</t>
  </si>
  <si>
    <t>Zubin Mittal</t>
  </si>
  <si>
    <t>Zubin</t>
  </si>
  <si>
    <t>Mr. Zubin Mittal serves as an Investor at Rocketship.vc. Before Rocketship, he was an investor at Cherry Ventures in Berlin and started the Airtel Startup Accelerator in New Delhi. Previously, he worked as a Product Manager at Wynk Music in New Delhi and as an Analyst at Macro Advisory Partners in New York. He holds a BA in Economics from Yale University and an MBA from Harvard Business School. He is also an active angel investor and a guest author at Inc42, one of India's leading tech publications.</t>
  </si>
  <si>
    <t>39131-83P</t>
  </si>
  <si>
    <t>Amory Lovins Ph.D</t>
  </si>
  <si>
    <t>Amory</t>
  </si>
  <si>
    <t>Lovins</t>
  </si>
  <si>
    <t>Rocky Mountain Institute</t>
  </si>
  <si>
    <t>Founder &amp; Trustee</t>
  </si>
  <si>
    <t>Dr. Amory Lovins is a Co-Founder &amp; serves as Trustee at Rocky Mountain Institute. He served as Advisor at Third Derivative. He serves as Advisor at TS Conductor. He is an energy advisor to major firms and governments in 65+ countries for 40+ years; author of 31 books and more than 600 papers; and an integrative designer of superefficient buildings, factories, and vehicles. A Harvard and Oxford dropout, former Oxford don, honorary US architect, and Swedish engineering academician, he has taught at ten universities, most recently Stanford's Engineering School and the Naval Postgraduate School (but only on topics he's never studied, so as to retain beginner's mind). He served from 2011-18 on the National Petroleum Council. Time has named him one of the world's 100 most influential people, and Foreign Policy, one of the 100 top global thinkers. His latest books include Natural Capitalism, Small Is Profitable, Winning the Oil Endgame 2004, The Essential Amory Lovins, and Reinventing Fire. His main recent efforts include supporting RMI's collaborative synthesis, for China's National Development and Reform Commission, of an ambitious efficiency-and-renewables trajectory that informed the 13th Five Year Plan; helping the Government of India design transformational mobility; and exploring how to make the integrative design the new normal, so investments to energy efficiency can yield expanding rather than diminishing returns.</t>
  </si>
  <si>
    <t>+1 (303) 245-1003</t>
  </si>
  <si>
    <t>alovins@rmi.org</t>
  </si>
  <si>
    <t>2490 Junction Place</t>
  </si>
  <si>
    <t>101838-25P</t>
  </si>
  <si>
    <t>Brian O'Hanlon</t>
  </si>
  <si>
    <t>O'Hanlon</t>
  </si>
  <si>
    <t>Mr. Brian O'Hanlon is the Founder &amp; serves as Chief Technology Officer &amp; Board Member at Open Blue. He is also the Founder of Snapperfarm where he served as the President.</t>
  </si>
  <si>
    <t>+1 (617) 863-2067</t>
  </si>
  <si>
    <t>brian@openblue.com</t>
  </si>
  <si>
    <t>382 Northeast 191st Street</t>
  </si>
  <si>
    <t>33179</t>
  </si>
  <si>
    <t>Open Blue Cobia</t>
  </si>
  <si>
    <t>422388-28P</t>
  </si>
  <si>
    <t>Brian O'Hanlon serves as Managing Director at Rocky Mountain Institute. He holds degree M.A., in International Relations, from American University and B.A., in Political Science and History, from Pacific Lutheran University</t>
  </si>
  <si>
    <t>214792-75P</t>
  </si>
  <si>
    <t>Carly Nading</t>
  </si>
  <si>
    <t>Nading</t>
  </si>
  <si>
    <t>Ms. Carly Nading serves as Controller of Accounting at Rocky Mountain Institute. Prior to RMI, she was the Controller at the Lincoln Park Zoo in Chicago where she was responsible for the oversight of financial accounting and reporting functions. She also worked in public accounting with Deloitte. She is a licensed Certified Public Accountant in Illinois and Colorado. She is currently a member of the Colorado Society of Certified Public Accountants.</t>
  </si>
  <si>
    <t>cnading@rmi.org</t>
  </si>
  <si>
    <t>Controller, Accounting</t>
  </si>
  <si>
    <t>367416-28P</t>
  </si>
  <si>
    <t>Charlotte Matthews</t>
  </si>
  <si>
    <t>Ms. Charlotte Matthews serves as Managing Director, Carbon-Free Buildings at Rocky Mountain Institute. She serves as an Advisor at New System Ventures. She is the Managing Director of the Carbon-Free Buildings program. She is a trailblazing sustainability leader with a remarkable track record in architecture, construction management, commercial real estate, and urban technology. She joins RMI as the Managing Director of Carbon-Free Buildings, bringing her dynamic experience and innovation to drive sustainable solutions in the built environment. She brings a breadth of experience to RMI, spanning architecture, construction management, commercial real estate development, and technology. Her impressive career includes leading initiatives in every building market segment that address clean energy and building decarbonization. Most recently, she's been working with investors and early-stage companies targeting the clean energy and building decarbonization space. Prior she led the development of a platform at Google to automate residential demand management in response to dynamic utility pricing; led the electricity, thermal, waste, and stormwater infrastructure design, financing, and development strategy for a "Climate Positive" district, and led the the sustainable design, development, construction, and operations strategy for over 30 LEED Silver, Gold and Platinum affordable and luxury multifamily, office, retail, and hotel projects. Her thought leadership and experience in the industry have been recognized with appointments to several government task forces and industry committees. She is also an active board member of an energy services company and previously sat on the board of several nonprofits. Throughout the interview process, it was clear that her extensive experience leading cross-functional, mission-driven teams and her ability to partner across industries to engage policymakers will make her a great fit for amplifying and leading our Building's work. She completed her BS in Environmental Science from Brown University.</t>
  </si>
  <si>
    <t>charlotte.matthews@rmi.org</t>
  </si>
  <si>
    <t>Managing Director, Carbon-Free Buildings</t>
  </si>
  <si>
    <t>364241-53P</t>
  </si>
  <si>
    <t>Enki Tan</t>
  </si>
  <si>
    <t>Enki</t>
  </si>
  <si>
    <t>Mr. Enki Tan serves as a Board Member at Conservation International Ventures. He also served as a Trustee at Rocky Mountain Institute. He also works on climate-aligned solutions as a board member of the Center for Nature-Based Climate Solutions at the National University of Singapore. He is a renowned business leader who serves on the boards of companies listed on the Singapore, Jakarta, Shanghai, and Australian stock exchanges; the Asian School of Business; the World Economic Forum Automotive and New Mobility Group; and Conservation International.</t>
  </si>
  <si>
    <t>Conservation International Ventures (Former)</t>
  </si>
  <si>
    <t>214791-94P</t>
  </si>
  <si>
    <t>Heather McCreery</t>
  </si>
  <si>
    <t>McCreery</t>
  </si>
  <si>
    <t>Ms. Heather McCreery serves as Chief Finance Officer at Rocky Mountain Institute. She comes to the organization with 25 years of experience in finance, accounting, and auditing from organizations including Coopers &amp; Lybrand and the U.S. Olympic Committee. For over a decade, she served as the Chief Financial Officer at Wall Street On Demand (Boulder, CO), leading finance, accounting, and human resources. During her tenure, the financial services website design and hosting company grew from $7 million to $60 million in revenue and from 70 to 400 employees. It also experienced four ownership changes, including venture capital, Reuters Media, and Goldman Sachs PIA. Wall Street On Demand was ultimately acquired by UK-based The Markit Group. Ms. McCreery managed the integration effort and remained as a Director of Finance with Markit for five years.</t>
  </si>
  <si>
    <t>hmccreery@rmi.org</t>
  </si>
  <si>
    <t>Chief Finance Officer</t>
  </si>
  <si>
    <t>355949-65P</t>
  </si>
  <si>
    <t>Ije Ikoku Okeke</t>
  </si>
  <si>
    <t>Ije Ikoku</t>
  </si>
  <si>
    <t>Okeke</t>
  </si>
  <si>
    <t>Ms. Ije Ikoku Okeke serves as Managing Director, Global South at Rocky Mountain Institute. She is the MD of Catalytic Climate Capital, Global South, where she leads RMI's efforts to mobilize, scale, and catalyze climate finance in global emerging markets. She also co-leads the Global South Program in the Caribbean, Asia, and Africa and works on cross-cutting initiatives with RMI's Climate-Aligned Industries, Third Derivative, and Climate Finance Programs. She brings over two decades of experience in private equity, infrastructure investments, and project development in the energy sector, where she has successfully originated and structured project finance, equity, and structured finance deals over $3 billion at the International Finance Corporation, World Bank, Emerging Capital Partners, and CEC Africa Investment. With a career devoted to fostering sustainable and inclusive growth across the United States and global emerging markets, Okeke's contributions and thought leadership have led to board roles at several infrastructure companies, advisory board and investment committee membership of several private equity funds, and an advisory role at The Rockefeller Foundation and MIT Energy Initiative through their Global Commission to End Energy Poverty. She earned an MBA in finance and Entrepreneurial Management from the Wharton School of the University of Pennsylvania &amp; BSc, in Mechanical Engineering, Stanford University.</t>
  </si>
  <si>
    <t>iokeke@rmi.org</t>
  </si>
  <si>
    <t>Managing Director, Global South</t>
  </si>
  <si>
    <t>253633-51P</t>
  </si>
  <si>
    <t>James Newcomb</t>
  </si>
  <si>
    <t>Newcomb</t>
  </si>
  <si>
    <t>Mr. James Newcomb serves as Managing Director and Senior Expert, Strategy Team at Rocky Mountain Institute. He is the Managing Director at RMI, where he directs the Strategic Analysis &amp; Engagement Group. He also serves as senior advisor to the Institute's India and Electricity programs. He is a writer, consultant, and scenario thinker with more than 30 years of experience in the energy sector, including expertise in electricity, mobility, and strategy. In India, he has led a team of experts in support of actions by the central government to achieve a rapid transformation of the country's mobility system to a future that will provide shared, connected, and electric mobility services. He helped to conceive and launch RMI's Urban Mobility Lab, which supports leading Indian cities in piloting, integrating, and scaling innovative solutions to deliver urban mobility services. He co-founded and led RMI's Electricity Innovation Laboratory (eLab), which brings together leading industry actors to develop, test, and scale new solutions that enable greater adoption of renewable distributed energy resources by all customer types. He has consulted widely with leading utilities, cities, utility regulators, and other organizations on the transformation of the electricity sector. Before joining RMI, he managed market and policy analysis at the National Renewable Energy Laboratory's Strategic Energy Analysis Center. He helped to lead the laboratory's Renewable Electricity Futures Study, which examined the technical, economic, and environmental challenges and opportunities of delivering 80% of U.S. electricity supplies from renewable sources by 2050. In addition to leading the group's ongoing research in renewable energy finance and policy analysis, he initiated new programs in behavioral economics and innovation. He was the founding president and CEO of E SOURCE, a leading independent provider of research and consulting services to utilities and their customers on energy efficiency, distributed resources, and customer services. He holds an M.A. in Energy and Resources from the University of California, Berkeley, Energy, and a B.A. in Economics from Harvard University.</t>
  </si>
  <si>
    <t>jnewcomb@rmi.org</t>
  </si>
  <si>
    <t>Managing Director and Senior Expert, Strategy Team</t>
  </si>
  <si>
    <t>253634-05P</t>
  </si>
  <si>
    <t>Jennifer Stokes</t>
  </si>
  <si>
    <t>Ms. Jennifer Stokes serves as Chief Development Officer at Rocky Mountain Institute. Ms. Jennifer Stokes served as Managing Director, Development at Rocky Mountain Institute. Jennifer has 20 years of experience in leading fundraising for our country's most respected human services organizations, including the American National Red Cross, Girl Scouts of South Carolina, and Mile High United Way. Before joining the team at RMI/CWR, Jennifer successfully led the major giving efforts for the American National Red Cross during major national and international disasters, including the 9/11 Tragedies and Hurricane Katrina. As the Chief Development Officer of Mile High United Way, she led the team of staff and volunteers to raise more than $35 million annually and mobilized more than 150,000 hours of volunteer service. She recently completed the fundraising for LEED Gold Certified Mile High United Way Morgridge Center for Community Change, anchoring the redevelopment of the Curtis Park neighborhood in downtown Denver. Jennifer's expertise in the complex issues related to poverty and natural disasters overlaps with the dynamic opportunity that clean, renewable energy offers as part of the solution for our country and the world. An active national speaker on donor-focused communications and engagement, Jennifer continues to serve as a mentor and advisor in the philanthropy field. BA, in International Studies with concentrations in Russian Studies and Economics, Colby College London School of Economics School for International Training.</t>
  </si>
  <si>
    <t>jstokes@rmi.org</t>
  </si>
  <si>
    <t>159603-85P</t>
  </si>
  <si>
    <t>Jessica Uhl</t>
  </si>
  <si>
    <t>Uhl</t>
  </si>
  <si>
    <t>Ms. Jessica Uhl served as a Board Member at General Electric. She serves as Chief Financial Officer and Board Member at Royal Dutch Shell. She also served as Chief Financial Officer and Member of the Executive Committee of Royal Dutch Shell at Shell Trust (Bermuda). She also serves as a trustee at Rocky Mountain Institute. She was appointed to these positions in March 2017. She joined Shell in 2004 and has held Finance leadership roles in Shell's Upstream, Integrated Gas, and Downstream businesses, as well as in Projects &amp; Technology and Corporate headquarters. She was previously Executive Vice President (EVP) of finance for the Integrated Gas business and has held roles including EVP, Finance for Upstream Americas, Vice President (VP) Finance, Upstream Americas Unconventionals, VP Controller for Upstream and Projects and Technology, VP Finance for the global Lubricants business and Head of External Reporting. She joined Shell in finance and business development, supporting the renewable business. Before that, she worked for Enron in Houston and Panama (1997-2003) and Citibank in San Francisco (1990-96). She obtained an MBA at INSEAD in 1997. She worked as Chief Financial Officer, Board Member &amp; Member of the Executive Committee at Shell Pension Plan.</t>
  </si>
  <si>
    <t>+1 (617) 674-7555</t>
  </si>
  <si>
    <t>58 Charles Street</t>
  </si>
  <si>
    <t>02141</t>
  </si>
  <si>
    <t>GE Vernova</t>
  </si>
  <si>
    <t>253634-86P</t>
  </si>
  <si>
    <t>Jon Creyts Ph.D</t>
  </si>
  <si>
    <t>Creyts</t>
  </si>
  <si>
    <t>Chief Executive Officer &amp; Trustee</t>
  </si>
  <si>
    <t>Dr. Jon Creyts serves as Chief Executive Officer and Trustee at Rocky Mountain Institute. He was a Co-Founder and served as Board Member at Third Derivative. He is a recognized global change leader focused on the clean energy transition. Over the past two decades, he has worked extensively with officials at the highest levels of government, with leading global companies and institutions both individually and in consortia, spoken extensively, and continuously progressed the global dialogue on practical solutions to the climate challenge. He has extensive experience in energy transition strategies, disruptive technologies (especially solar, storage, and blockchain), energy efficiency, and urban transformation. In his time with RMI, he has helped lead and grow RMI's global capacity for impact. In 2013, he initiated the Reinventing Fire: China collaboration, working alongside some of China's most senior energy leaders to craft a clean energy roadmap for the country. That work helped inform U.S.-China climate negotiations and became a reference for targets in China's 13th Five-Year Plan. Based on the proven ability of RMI to support China in its energy transition, he helped found an office in Beijing, which now has active programs counseling on electricity reform, urban decarbonization, near-zero district development, and clean logistics and mobility. Practical integration of these ideas is embodied in multiple publications in English and Mandarin, including the Carbon-Free City Handbook. He has also worked to advance the understanding of the disruptive potential of emerging technologies. RMI's 2014 and 2015 reports on grid defection highlighted the emerging economics of combined batteries and solar. More recent work on the blockchain has framed the transformative potential of that technology, which greatly reduces friction in physical and financial markets and could be a key enabler for a distributed internet of energy. He also played key roles in the development and stewardship of RMI's Electricity Innovation Lab and Business Renewables Center (now the standalone Renewable Energy Buyer's Alliance). His current RMI Ventures activities focus on accelerating critical climate solutions to a global scale. Working together with leading corporations, venture capitalists, and other NGO and government entities, he is building an innovation accelerator that uses an integrated ecosystem approach to tackle the significant commercialization gap that exists for startups between prototype and first customer. He is a board member of both RMI's joint venture Energy Web Foundation, which is creating a global open-source blockchain platform to support digital energy markets, and WattTime, which is a venture integrating real-time carbon emission tracking into business tools. He is also a member of RMI's Executive Council and there helps guide the overall direction of the Institute. Before joining RMI, he was a partner with McKinsey and Company for 11 years where he helped found McKinsey's sustainability practice and was a member of the global energy practice. He served clients extensively on issues related to operations, capital productivity, environmental management, and growth, focusing on the energy, industrial, and technology sectors. During his time at McKinsey, he co-authored the groundbreaking survey Reducing US Greenhouse Gas Emissions: How Much at What Cost? popularizing the use of the cost curve as a means to convey the economics of reducing carbon emissions. He was also a principal author of that report's sequel, Unlocking Energy Efficiency in the U.S. Economy, which explored the barriers and solutions to unlocking energy efficiency's potential at scale. Before McKinsey, he worked as a designer in both the aerospace and power industries and is an alumnus of Lockheed Martin's renowned Skunk Works aircraft prototyping facility.</t>
  </si>
  <si>
    <t>jcreyts@rmi.org</t>
  </si>
  <si>
    <t>287030-08P</t>
  </si>
  <si>
    <t>Josh Henretig</t>
  </si>
  <si>
    <t>Henretig</t>
  </si>
  <si>
    <t>Mr. Josh Henretig serves as Managing Director, Climate Intelligence at Rocky Mountain Institute. He is leading the Climate Intelligence Program, which focuses on applying data and technology to differentiate climate performance across material and energy industries and their associated value chains. Before joining RMI, he served as Vice President of Global Partnerships at Higg, an integrated platform for sustainability insights that helps consumer goods businesses take responsibility for their entire social and environmental impact, from materials to products, from factories to stores, and across energy, waste, water, and working conditions. Before Higg, he spent more than 17 years at Microsoft, where he played a leading role in shaping the company's sustainability agenda, from its very first public environmental commitments in 2008 to its announcement in January 2020 that it would become "carbon negative" by expanding its internal carbon tax, reducing and removing its emissions since its 1975 founding, and deploying $1 billion to stimulate and accelerate the development of carbon removal technology. Over the years, he has worked on all aspects of corporate sustainability design and execution, from product development and strategic partnerships to developing scalable programs and tools to drive innovation while decoupling environmental impacts from the company's business growth. In 2016, he led the development of Microsoft's AI for Earth program, a $50 million initiative focused on deploying Microsoft's artificial intelligence research and technology in four areas: climate change, agriculture, water, and biodiversity. He also oversaw the global sustainability team's operational commitments around decarbonizing energy and fuel sources, increasing material and water reuse, tracking and reporting progress against goals, and managing climate-related risks and environmental compliance across the company's entire value chain. He has done B.A. from Whitman College.</t>
  </si>
  <si>
    <t>+1 (425) 882-8080</t>
  </si>
  <si>
    <t>jhenretig@rmi.org</t>
  </si>
  <si>
    <t>1750 K Street North West</t>
  </si>
  <si>
    <t>Managing Director, Climate Intelligence</t>
  </si>
  <si>
    <t>253636-03P</t>
  </si>
  <si>
    <t>Leia Guccione</t>
  </si>
  <si>
    <t>Leia</t>
  </si>
  <si>
    <t>Guccione</t>
  </si>
  <si>
    <t>Ms. Leia Guccione serves as Managing Director, US Program at Rocky Mountain Institute. She is the Managing Director for RMI's Carbon-Free Electricity, where she leads RMI's research and collaboration efforts to support the rapid transition to a low-carbon electricity system to support a secure, prosperous, and equitable US economy. Since 2012, she has directed RMI's research exploring the potential for distributed generation, distributed energy resources, and distributed battery technologies to disrupt utility business models and other aspects of the US electricity system and advanced the development of targeted solutions for these innovations. Additionally, she's led client engagements assisting leading utilities, public utility commissions, large corporations, states, and cities to develop evolved business models and policies. At RMI, she has employed an expansive set of strategies to accelerate the transformation of the US electricity system. She currently leads a body of work to inform utility regulators of policy solutions for a clean energy future, as well as provide them with unique process design and facilitation as they develop and execute reform initiatives to implement these solutions. She has supported multiple engagements with utilities, with an emphasis on improving utility innovation programs, pilots, and demonstrations. She also contributed to the growth of RMI's Electricity Innovation Lab (e-Lab), a unique ongoing collaboration of leading electricity industry actors to develop, implement, and spread new solutions. She specifically led the design and development of e-Lab's annual Accelerator and Summit programs. She has also led engagements with corporations and cities to support them in their procurement and deployment of renewable energy, energy efficiency, and advanced energy solutions such as microgrids. Before joining RMI, she served in the US Navy as a nuclear-trained Surface Warfare Officer and continues to serve in the US Navy Reserves. She earned an MS in sustainable Development, from the University of London, a BS, in Mechanical Engineering and Political Science, from Iowa State University &amp; Professional Engineer, P.E., licensed in the State of Colorado.</t>
  </si>
  <si>
    <t>lguccione@rmi.org</t>
  </si>
  <si>
    <t>Managing Director, US Program</t>
  </si>
  <si>
    <t>253637-47P</t>
  </si>
  <si>
    <t>Lena Hansen</t>
  </si>
  <si>
    <t>Ms. Lena Hansen serves as Chief Strategy Officer at Rocky Mountain Institute. She has also led RMI's US electricity program, where she focused on electric utility business models and the integration of renewable and distributed energy resources into the grid. She co-founded RMI's Electricity Innovation Lab (e-Lab), a unique multi-year collaboration of leading power sector decision-makers to create transformational solutions, and led RMI's collaboration with the New York Public Service Commission on its industry-leading reform initiative "Reforming the Energy Vision." She co-authored RMI's 2011 book Reinventing Fire: Bold Business Solutions for a New Energy Era, a roadmap for an economic transition to a low-carbon system in the US. Previously she was the Managing Director of our China Program, based in Beijing, where she led a team of 20 to advise and support China's energy transition in the areas of power market reform, city carbon peaking, near-zero carbon development, and freight electrification. She has 15 years of experience developing, testing, and implementing innovative efficiency and clean energy solutions. She did Master of Environmental Management in Economics &amp; Policy, Duke University. She did her BA, Physics at University of North Carolina-Chapel Hill. She has certification in Energy &amp; Environment, Duke University.</t>
  </si>
  <si>
    <t>lhansen@rmi.org</t>
  </si>
  <si>
    <t>214793-47P</t>
  </si>
  <si>
    <t>Marty Pickett JD</t>
  </si>
  <si>
    <t>Pickett</t>
  </si>
  <si>
    <t>Ms. Marty Pickett serves as Chief Executive Officer, Managing Director, Co-Chairwoman of the Board of Trustees, and General Counsel at Rocky Mountain Institute. Before joining RMI in 1998, she practiced land use planning and land use and real estate law in Denver and Aspen Colorado. She serves on the Advisory Board of the Center for the Environment at Catawba College in North Carolina, the international jury of the Dutch Postcode Lottery's Green Challenge prize, and the People and Planet advisory board of IKEA.</t>
  </si>
  <si>
    <t>mpickett@rmi.org</t>
  </si>
  <si>
    <t>Chief Executive Officer, Managing Director, Co-Chairwoman of the Board of Trustees, and General Counsel</t>
  </si>
  <si>
    <t>367419-16P</t>
  </si>
  <si>
    <t>Sukanya Paciorek</t>
  </si>
  <si>
    <t>Sukanya</t>
  </si>
  <si>
    <t>Paciorek</t>
  </si>
  <si>
    <t>Ms. Sukanya Paciorek serves as Managing Director, Carbon-Free Buildings at Rocky Mountain Institute. She is a Managing Director on the Carbon-Free Buildings team where she leads the team's market transformation work. With nearly 20 years in the energy, sustainability, and real estate industries, she brings both private and public sector experience to her current role. While she began the early part of her career working for the State Department at the US Mission to the United Nations, she moved into energy and sustainability industries after completing her master's degree. She spent seven years at Vornado Realty Trust as the SVP of Energy + Sustainability where she helped build the company's sustainability strategy and team and was responsible for the company's roughly $150 million annual energy and sustainability budget. After Vornado, she served as the executive vice president, head of asset management, and chief operating officer at the Brooklyn Navy Yard where she was responsible for leasing, operations (including sustainability), property management, and IT. This was during an especially exciting period of growth where the Yard grew from 3 million sf to over 8 million sf of real estate and from 270 tenants to 450 tenants. It was also in the aftermath of Hurricane Sandy, where major parts of the Yard were impacted by flooding, making resiliency planning even more important. After nearly two decades in New York City, she moved to the Pacific Northwest and most recently worked at the Whatcom Community Foundation where she was the director of special projects where she led a waterfront mixed-use project with affordable housing and a food campus. During COVID, she oversaw the region's food security task force as part of the Foundation's ongoing efforts to support local food banks. Her public policy and community engagement experience includes serving on nonprofit and industry boards including serving as the co-chair of the Real Estate Board of NY's sustainability committee and as a board member of the Building Energy Exchange (BeEx) and Urban Green Council in New York City. She was appointed to the board of NYSERDA in 2017, and most recently served on the board of Mercy Housing Northwest. She holds a BA, in International Relations &amp; an MA in international Energy Management and Policy, from the Columbia School of International and Public Affairs.</t>
  </si>
  <si>
    <t>spaciorek@rmi.org</t>
  </si>
  <si>
    <t>114457-78P</t>
  </si>
  <si>
    <t>Thomas Dinwoodie</t>
  </si>
  <si>
    <t>Dinwoodie</t>
  </si>
  <si>
    <t>Mr. Thomas Dinwoodie serves as Executive at Rocky Mountain Institute. He serves as Board Member at Solar Mosaic. He is the Founder &amp; serves as Chief Technology Officer at SunPower. He served as Advisor at Leap (Media and Information Services). He is an Angel Investor. He also serves as Board Member Sistine Solar. He is the Founder and CTO, SunPower Corporation Systems based in Richmond, California. He is also the former Founder, CEO, and Chairman of PowerLight, a leading and global supplier of photovoltaic products and systems. Dinwoodie has authored numerous papers and holds over 30 patents on building-integrated photovoltaic and related products, and holds a Master's degree in Architecture from UC Berkeley, an M.S. in Mechanical Engineering from MIT, and a Bachelor's of Science in Structural Engineering from Cornell University.</t>
  </si>
  <si>
    <t>tdinwoodie@sunpowercorp.com</t>
  </si>
  <si>
    <t>72178-57P</t>
  </si>
  <si>
    <t>Avidan Ross</t>
  </si>
  <si>
    <t>Avidan</t>
  </si>
  <si>
    <t>Root Ventures</t>
  </si>
  <si>
    <t>Mr. Avidan Ross is the Founding Partner and also serves as Managing Partner at Root Ventures. Mr. Ross serves as Advisor at SeeControl. He served as a Board Member at Nautilus Labs. He serves as a Board Member at Dusty Robotics. He also serves as a Board Observer at Shoonya. He began his network software development career as the number eight employee of J2 global (NASD: JCOM) and then spent time at Universal Studios Online and Comet Systems (the first spyware!). He was a network developer, focused on creating the earliest SNMP tools for DOCSIS at Excite@Home. He then watched the first dot com collapse from the inside. After a round-the-world trip, he moved back to New York, where he studied computer science from Columbia University, and wrote high frequency trading platforms for a hedge fund break off from Goldman Sachs. Avidan then moved to Los Angeles to become CTO of CIM Group, helping the company grow from 200mm under management to over 13bn today. In the year he spent between private equity and venture capital, he filmed a TV show for the Food Network (which never aired) called "Weapons of Mass Consumption", in which he and his friends designed and built robotically controlled food machines. When you meet him, ask him about 45 second pizza in the afterburner pizza oven. He is an Angel Investor.</t>
  </si>
  <si>
    <t>+1 (415) 416-9071</t>
  </si>
  <si>
    <t>avidan@root.vc</t>
  </si>
  <si>
    <t>2670 Harrison Street</t>
  </si>
  <si>
    <t>402407-65P</t>
  </si>
  <si>
    <t>Ben Lovell</t>
  </si>
  <si>
    <t>Mr. Ben Lovell serves as Head of Operations at Root Ventures. He worked at a16z, Menlo Ventures, and FT Partners to build technical automations and data pipelines from the ground up. He also cofounded an adtech startup for rideshare companies. He graduated with a BA from Stanford University.</t>
  </si>
  <si>
    <t>ben@root.vc</t>
  </si>
  <si>
    <t>178875-46P</t>
  </si>
  <si>
    <t>Chrissy Meyer</t>
  </si>
  <si>
    <t>Chrissy</t>
  </si>
  <si>
    <t>Ms. Chrissy Meyer serves as a Partner at Root Ventures. She has spent the past decade developing and shipping hardware at Apple and Square. She serves as Board Member at ChargeLab. Prior to Root, she was a founding team member at Pearl Automation, a vehicle technology startup. She has managed projects that have shipped tens of millions of units, and she has spent over a year on the ground in Asia working with manufacturers and suppliers. She has an MS in Electrical Engineering from Stanford and a BSEE from Rose-Hulman.</t>
  </si>
  <si>
    <t>chrissy@root.vc</t>
  </si>
  <si>
    <t>44944-39P</t>
  </si>
  <si>
    <t>Kane Hsieh</t>
  </si>
  <si>
    <t>Mr. Kane Hsieh serves as Partner at Root Ventures. Mr. Hsieh is an Angel Investor. Before joining Root Ventures, Mr. Hsieh founded and was Head of Product and a Board Member at Brilliant Bicycle Co. He serves as a Board Member at Kayhan Space. He has also worked as an investor at RRE Ventures, a developer at Romotive, and a Product Manager at Microsoft. Outside of work, he restores vintage film cameras and trawls Kickstarter for indie video games. He serves as a Board Member at Crux OCM. Mr. Hsieh has a Bachelor's degree in Computer Science from Harvard, where he worked on drone communications.</t>
  </si>
  <si>
    <t>kane@root.vc</t>
  </si>
  <si>
    <t>196290-82P</t>
  </si>
  <si>
    <t>Laelah Reino</t>
  </si>
  <si>
    <t>Laelah</t>
  </si>
  <si>
    <t>Reino</t>
  </si>
  <si>
    <t>Ms. Laelah Reino serves as Operations Manager at Root Ventures. Laelah has spent over 15 years in marketing for films, consumer products, and subscription-based services. Outside of work, Laelah an avid kickballer and board gamer. Laelah Reino has a BA in Business Administration with a Marketing concentration from Drexel University.</t>
  </si>
  <si>
    <t>laelah@root.vc</t>
  </si>
  <si>
    <t>196288-75P</t>
  </si>
  <si>
    <t>Lee Edwards</t>
  </si>
  <si>
    <t>Mr. Lee Edwards serves as Partner at Root Ventures. Mr. Edwards is an Angel Investor. He serves as a Board Member at Meroxa and Daily(Communication Software). Lee was most recently CTO at Teespring and has been angel investing since 2016. Previously, Lee was a mechanical engineer at iRobot, a software engineer at Pivotal Labs, a Lead Engineer at SideTour (acquired by Groupon in 2013), and an engineering manager for GrouponLive. He graduated from Olin College of Engineering with a degree in Systems Engineering. He serves as Ba oard Member at Privacy Dynamics.</t>
  </si>
  <si>
    <t>lee@root.vc</t>
  </si>
  <si>
    <t>41588-83P</t>
  </si>
  <si>
    <t>Edmund Gaffney</t>
  </si>
  <si>
    <t>Gaffney</t>
  </si>
  <si>
    <t>Roundwood Capital</t>
  </si>
  <si>
    <t>Mr. Edmund Gaffney is the Founder of Roundwood Capital. Mr. Gaffneyis a Co-Owner and serves as Chairman &amp; Chief Executive Officer at Abbott Furnace Company. He serves as Chairman at The Rose and Smart Care Equipment Solutions. He also serves as a Board Member at Onvector. Prior to founding Roundwood Capital in 2013, Mr. Gaffney was a Partner at Jacobson Partners, a New York-based private equity firm, from 2001 through 2012. While at Jacobson Partners, He was responsible for the origination, execution, and oversight of fund investments. Prior to Jacobson Partners, He co-founded Vercera, an online marketplace for commercial receivables. Prior to Vercera, Mr. Gaffney managed the acquisition activities for AmeriGas Propane. He currently serves on the Board of Directors for the Bryn Mawr Hospital Foundation.</t>
  </si>
  <si>
    <t>+1 (201) 486-8900</t>
  </si>
  <si>
    <t>egaffney@roundwoodcapital.com</t>
  </si>
  <si>
    <t>144546-13P</t>
  </si>
  <si>
    <t>Greg Hawkins</t>
  </si>
  <si>
    <t>Roy Hill Holdings</t>
  </si>
  <si>
    <t>Mr. Greg Hawkins serves as the Chief Financial Officer at Roy Hill Holdings. Mr. Hawkins was Executive Director, Finance at Emeco Holdings Ltd, and previously was CEO of African Barrick Gold plc. And has also held senior management positions with Barrick Gold Corporation. He has over 20 years of experience in financial and operational roles within the resources sector in Australia, Papua New Guinea, and Eastern Africa. He holds a B.Comm (Bachelor of Commerce) degree.</t>
  </si>
  <si>
    <t>+61 (0)8 6242 1000</t>
  </si>
  <si>
    <t>greg.hawkins@royhill.com.au</t>
  </si>
  <si>
    <t>Welshpool Dc</t>
  </si>
  <si>
    <t>Welshpool Dc, Australia</t>
  </si>
  <si>
    <t>PO Box Locked Bag No.42</t>
  </si>
  <si>
    <t>6986</t>
  </si>
  <si>
    <t>+61 (0)8 6242 1200</t>
  </si>
  <si>
    <t>144545-86P</t>
  </si>
  <si>
    <t>Sanjiv Manchanda</t>
  </si>
  <si>
    <t>Sanjiv</t>
  </si>
  <si>
    <t>Manchanda</t>
  </si>
  <si>
    <t>Mr. Sanjiv Manchanda served as Chief Executive Officer at Atlas Iron. He serves as the Acting Chief Operating Officer and Project Director at Roy Hill Holdings. He commenced with the Roy Hill Project in February 2011 and was appointed as Project Director for Roy Hill Holdings in May 2012. He has significant experience in the design and construction of large mining and minerals processing projects in Australia, Africa, India, Malaysia and Indonesia. He has held senior project management roles with Citic Pacific Mining, Newcrest, Norilsk Nickel Australia, Lynas Corporation and BHP Billiton.</t>
  </si>
  <si>
    <t>sanjiv.manchanda@royhill.com.au</t>
  </si>
  <si>
    <t>Acting Chief Operating Officer &amp; Project Director</t>
  </si>
  <si>
    <t>14698-72P</t>
  </si>
  <si>
    <t>Aaron Rudberg</t>
  </si>
  <si>
    <t>Rudberg</t>
  </si>
  <si>
    <t>S2G Investments</t>
  </si>
  <si>
    <t>Mr. Aaron Rudberg serves as Managing Partner at S2G Investments. He focused on the day-to-day operations of S2G and portfolio management. He also ensures the firm has the right culture to perform at a high level. He has worked in the investment business his entire professional career and brings experience as an entrepreneur and institutional investor. Before joining S2G, he spent 10 years at Baird Capital, where he was a Partner and Managing Director overseeing global strategy, investor relations, marketing, and business development for the $3.4 billion private equity and venture capital business. Previously, He worked at Muller &amp; Monroe, where he focused on investing in emerging managers. He received a BA from the University of Illinois at Urbana-Champaign and an MBA from the Kellogg School of Management at Northwestern University. He served as Chief Compliance Officer and Managing Director at Builders Initiative.</t>
  </si>
  <si>
    <t>+1 (312) 321-8000</t>
  </si>
  <si>
    <t>aaron@s2ginvestments.com</t>
  </si>
  <si>
    <t>343216-90P</t>
  </si>
  <si>
    <t>Andrea Woodside</t>
  </si>
  <si>
    <t>Ms. Andrea Woodside serves as Managing Director at S2G Investments. She works on the Special Opportunities Investment team, where she oversees the fund strategy, portfolio construction, investment sourcing and execution, and portfolio management. Before joining S2G, she was part of Goldman Sachs' impact investing division, Imprint, where she led private markets investing within Food and Agriculture and Clean Energy. While there, she led nearly $1 billion worth of private impact investment transactions within the climate transition theme. Before that, she held various positions at Imprint Capital which was acquired by Goldman Sachs in 2015. Early in her career, she worked at two grassroots organizations, The Earth Island Institute and Friends of the Mississippi River, and for the University of Minnesota's School of Natural Resources. She holds a Bachelor of Science from the University of Minnesota</t>
  </si>
  <si>
    <t>andrea@s2gventures.com</t>
  </si>
  <si>
    <t>73521-91P</t>
  </si>
  <si>
    <t>Arthur Chow</t>
  </si>
  <si>
    <t>Mr. Arthur Chow serves as Principal, Food and Agriculture at S2G Ventures. He serves as Board Member at Corvus Robotics. He is focused on the evaluation and execution of potential investments as well as serving the needs of portfolio companies. He has nearly a decade of investing and operating experience in the food industry. He began his career as an investment banking analyst at UBS. He then joined Frontenac, a Chicago-based middle-market private equity firm, as an Associate focused on food and consumer buyouts. Seeking to explore an operating role within food, he oversaw the commercial performance of a $2 billion P&amp;L at the Kraft Heinz Company as an Associate Director in the food service business unit. Searching for more early-stage mission-oriented companies, he joined S2G as a Senior Associate. While pursuing his MBA before re-joining S2G, he worked for several food startups with exceptional founders in financial, marketing, and operating roles. These include Tovala, a direct-to-consumer smart oven, and meal kit service platform; Once Upon a Farm, a cold-pressed organic baby food brand; and Dom's Market and Kitchen, a next-generation grocery retail concept. He received a BBA from the University of Michigan Ross School of Business with the Highest Distinction and an MBA from the University of Chicago Booth School of Business.</t>
  </si>
  <si>
    <t>arthur@s2gventures.com</t>
  </si>
  <si>
    <t>Principal, Food and Agriculture</t>
  </si>
  <si>
    <t>197412-58P</t>
  </si>
  <si>
    <t>Audre Kapacinskas</t>
  </si>
  <si>
    <t>Audre</t>
  </si>
  <si>
    <t>Kapacinskas</t>
  </si>
  <si>
    <t>Ms. Audre Kapacinskas is a Co-Founder and serves as Advisor at Fifth Star Funds. She also serves as Principal, Corporate Development at S2G Ventures. She served as Vice President at Builders Private Capital. She is a Vice President at S2G Ventures, where she focuses on unlocking value for S2G, its portfolio companies, and strategic partners. Over the last 10+ years, she has worked at the intersection of technology, strategy, and operations to incubate new ideas and drive growth. Prior to S2G, She was a Director of Sales and Corporate Strategy at Uptake, a high-growth predictive analytics start-up delivering Artificial Intelligence solutions to the Industrial space. While at Uptake, she focused on Corporate Development. Strategic Partnerships and new opportunity incubation - enabling the company to grow from a concept in a single market to an international, cross-industry player with a $2B+ valuation. Earlier, she worked for Stax, a boutique strategy consulting firm focused on assisting Private Equity firms with opportunity assessment, value quantification, and growth acceleration. She holds an Honours BA from the University of Toronto (Economics, International Relations) as well as an MA from Vilnius University.</t>
  </si>
  <si>
    <t>+1 (312) 836-1325</t>
  </si>
  <si>
    <t>audre@fifthstarfunds.com</t>
  </si>
  <si>
    <t>222 Merchandise Mart Plaza</t>
  </si>
  <si>
    <t>Fifth Star Funds</t>
  </si>
  <si>
    <t>211533-49P</t>
  </si>
  <si>
    <t>Bala Nagarajan</t>
  </si>
  <si>
    <t>Mr. Bala Nagarajan serves as a Managing Director at S2G Investments. He has over 15 years of experience in the Energy sector originating and executing transactions across the globe. Before joining S2G, he served as a Managing Director at NextEra Energy, where he led the Climate Tech Ventures team. Before NextEra, he helped set up Equinor's clean energy fund in London and relocated to New York City in 2018 to lead their Americas team. Before that, he was the Co-founder and CEO of Dawn Energy, a renewable energy development platform in the UK. His prior experiences include roles with PwC, Arthur Andersen, Citigroup, Lehman Brothers, and Huck Capital. He is a Chartered Accountant from India and an MBA graduate from IESE Business School, Spain</t>
  </si>
  <si>
    <t>bala@s2gventures.com</t>
  </si>
  <si>
    <t>40570-57P</t>
  </si>
  <si>
    <t>Chuck Templeton</t>
  </si>
  <si>
    <t>Templeton</t>
  </si>
  <si>
    <t>Mr. Chuck Templeton serves as Managing Partner at S2G Investments. He serves as Board Member at Allmade Materials, Brightseed, Atomo, Flashfood, Food In-Depth, Kuli Kuli, Once Upon a Farm, shiru and Ripple (Berkeley). He is an Angel Investor. He is focused on value creation for portfolio companies by helping emerging entrepreneurs, executives, and companies scale their businesses. As an ex-operator - including founding OpenTable and serving as lead investor and operating Chairman in companies such as Grubhub and Venmo (Braintree Payment Systems) - he considers himself a student of leadership, entrepreneurship, and cultural development. He is focused on helping the S2G team, entrepreneurs, and executives take their ideas, validate them, institutionalize processes, and ultimately scale their business innovations to address today's urgent environmental and societal problems; examples of portfolio support topics include leadership development, culture building, operations, and team building. He was a US Army Ranger qualified and a sniper before receiving a Bachelor's Degree in Environmental Economics from California Polytechnic State University and an MBA from the Kellogg School of Management at Northwestern University. He is a Co-Founder at Cal Poly Ventures. Mr.Templeton serves as Chairman at SafeTraces. He served as an Advisor at Wasoko.</t>
  </si>
  <si>
    <t>chuck@s2gventures.com</t>
  </si>
  <si>
    <t>80381-89P</t>
  </si>
  <si>
    <t>Cristina Rohr</t>
  </si>
  <si>
    <t>Rohr</t>
  </si>
  <si>
    <t>Ms. Cristina Rohr serves as Managing Director of the Food &amp; Agriculture Investment Team at S2G Investments. She served as Board Member at Trace Genomics. She served as a Board Member at Sentera. Her portfolio work ranges from agriculture-focused investments in genetics, crop protection, soil health, and digital / IoT to consumer-facing brands. She has nearly 14 years of experience in sourcing, executing, managing, and exiting venture and private equity investments. Before joining S2G, she was a private equity investor with the Edgewater Funds in Chicago; before that, she was with First Reserve in London, where she focused on leveraged buyout investments in the natural resources industry. She also previously worked for Citigroup's Investment Banking Division in London. She graduated from Stanford University with a Bachelor of Arts and Sciences and a double major in Mathematical and Computational Sciences and Economics. She earned her MBA from the University of Chicago's Booth School of Business.</t>
  </si>
  <si>
    <t>cristina@s2gventures.com</t>
  </si>
  <si>
    <t>Managing Director of the Food &amp; Agriculture Investment Team</t>
  </si>
  <si>
    <t>182839-06P</t>
  </si>
  <si>
    <t>Daniel Ripma</t>
  </si>
  <si>
    <t>Ripma</t>
  </si>
  <si>
    <t>Mr. Daniel Ripma serves as Vice President and Board Member at Mend. He serves as Board Member at Growers Edge. He serves as Vice President, Food and Agriculture at S2G Ventures. Mr. Ripma primarily focuses on opportunities in agriculture, ingredients, and the convergence of food and health. His efforts focus on research, evaluation, and execution of investments. Before S2G Ventures, he was an investment banking analyst working on M&amp;A transactions broadly across the industrial sector. His interest in food and agriculture was cultivated through a personal pursuit of health and wellness, spanning weight loss and an Ironman triathlon. Mr. Ripma serves as Board Member at Big Bold Health. His responsibilities include research, evaluation and execution of potential investments. Before S2G Ventures, he was an investment banking analyst focused on mergers &amp; acquisitions across the industrial sector at Greenhill &amp; Co. in Chicago. He graduated from Indiana University with a B.S. in Public Affairs. He serves as Board Member at Mealogic.</t>
  </si>
  <si>
    <t>+1 (917) 488-9897</t>
  </si>
  <si>
    <t>180 Varick Street</t>
  </si>
  <si>
    <t>Mend</t>
  </si>
  <si>
    <t>300843-46P</t>
  </si>
  <si>
    <t>Francis O'Sullivan Ph.D</t>
  </si>
  <si>
    <t>Dr. Francis O'Sullivan serves as Managing Director of the Energy Investment Team at S2G Investments. He also serves as Board Member at Electra. As Managing Director, he is responsible for sourcing, executing, managing, and exiting S2G's energy opportunities. Previously, he was a Senior Vice President and Head of Onshore Strategy for Ørsted, one of the world's leading renewable energy developers; in this role, he was responsible for commercial planning and market analysis across onshore wind, solar, and storage and was a member of the management team responsible for growing Ørsted's onshore business from &lt;1GW of wind in 2019 to &gt;5GWs of wind solar and storage today. Before Ørsted, he was Director of Research for the MIT Energy Initiative and Co-Director of the MIT Electric Power System Center. He continues to hold a Senior Lecturer position at the MIT Sloan School of Management and engages broadly as a speaker and writer on the topics of clean energy, water, and climate regulatory and policy development. He received his Ph.D., E.E., and S.M. degrees from the Massachusetts Institute of Technology, and his B.E. degree from the National University of Ireland, all in electrical engineering. He serves as Board Member at LineVision.</t>
  </si>
  <si>
    <t>francis@s2gventures.com</t>
  </si>
  <si>
    <t>Managing Director, Energy Investment Team</t>
  </si>
  <si>
    <t>343220-59P</t>
  </si>
  <si>
    <t>Francis Villante</t>
  </si>
  <si>
    <t>Villante</t>
  </si>
  <si>
    <t>Mr. Francis Villante serves as an Associate of food and Agriculture at S2G Ventures. Before joining S2G, he worked in investment banking at Nomura Greentech where he focused on sustainable infrastructure and technology. He advised clients on a variety of M&amp;A transactions and specialized in the environmental services, industrial decarbonization, and water technology &amp; infrastructure sectors. He graduated from the University of Southern California with a B.A. in Economics.</t>
  </si>
  <si>
    <t>Associate, Food and Agriculture</t>
  </si>
  <si>
    <t>343221-40P</t>
  </si>
  <si>
    <t>Gokul Raghavan</t>
  </si>
  <si>
    <t>Gokul</t>
  </si>
  <si>
    <t>Mr. Gokul Raghavan serves as Vice President Energy, Venture &amp; Growth at S2G Investments. Before joining S2G, he worked on the investment team at Fidelity Investments. While at Fidelity, he focused on public equity investments across downstream energy, materials, utilities, and renewable infrastructure. In his prior role, he was a rotational associate at Fidelity, working across various asset-class investment strategies including small-cap equity, investment-grade fixed income, and global asset allocation. He graduated with degrees in Mathematics and Economics from the University of Chicago.</t>
  </si>
  <si>
    <t>gokul@s2gventures.com</t>
  </si>
  <si>
    <t>Vice President Energy, Venture &amp; Growth</t>
  </si>
  <si>
    <t>453486-16P</t>
  </si>
  <si>
    <t>Heather McPherson</t>
  </si>
  <si>
    <t>McPherson</t>
  </si>
  <si>
    <t>Director &amp; Vice President</t>
  </si>
  <si>
    <t>Ms. Heather McPherson serves as Vice President, Director of Impact at S2G Investments. Before joining S2G, she worked at Builders Vision, where she facilitated a unified impact measurement and management approach across Builders Asset Management, the Builders Initiative Investment Team, and S2G. Previously, she led impact measurement, management, and acceleration initiatives at SJF Ventures. Prior to SJF, she helped launch Impact Capital Managers (ICM), a network of private capital fund managers investing for impact and market-rate returns. She holds an MBA from Duke University's Fuqua School of Business and a BA in English Literature from Carleton College.</t>
  </si>
  <si>
    <t>heather@s2gventures.com</t>
  </si>
  <si>
    <t>Vice President, Director of Impact</t>
  </si>
  <si>
    <t>266771-35P</t>
  </si>
  <si>
    <t>Jake Reznick</t>
  </si>
  <si>
    <t>Reznick</t>
  </si>
  <si>
    <t>Mr. Jake Reznick serves as Vice President, Oceans Investment Team at S2G Ventures. Mr. Reznick is focused on evaluating new investments and serving the needs of portfolio companies. Before joining S2G, Jake led commercial strategy and innovation projects Fahrenheit 212 (now Frog) and advised on M&amp;A in renewable energy and frontier sustainability markets as an investment banker at Greentech Capital Advisors. Jake is a Fulbright Scholar, holds an MBA and a Master of Environmental Management from Yale and a BA in Environmental Studies from Carleton College.</t>
  </si>
  <si>
    <t>jake@s2gventures.com</t>
  </si>
  <si>
    <t>Vice President, Oceans Investment Team</t>
  </si>
  <si>
    <t>120512-62P</t>
  </si>
  <si>
    <t>Jessica Murphy</t>
  </si>
  <si>
    <t>Ms. Jessica Murphy serves as Vice President of Community at S2G Ventures. She leads the development and execution of community strategies and initiatives on behalf of the team, including events and programming, communications, business development, and partnerships. She is passionate about the power of private market conveners, supporting entrepreneurs, and the role of community to accelerate impact and growth across the S2G portfolio and broader food, agriculture, oceans, and energy sectors. She brings over 11 years of experience in venture capital and private equity. Prior to joining S2G Ventures, she worked at the Pritzker Family Office and Diversified Financial Management Corporation, both private family offices based in Chicago. Before working within the financial services industry, she was the assistant executive suites manager at Delaware North SportService, the premium hospitality provider for the NFL's Chicago Bears and Soldier Field. She graduated from DePaul University with a bachelor's degree in psychology and business administration and has a post-graduate certification in human resource management. Outside of work, she can be found spending time with family, on an outdoor adventure, or exploring neighborhoods and restaurants across Chicago. She serves on the Executive Committee and as programming chair at Naturally Chicago.</t>
  </si>
  <si>
    <t>jessica@s2ginvestments.com</t>
  </si>
  <si>
    <t>Vice President of Community</t>
  </si>
  <si>
    <t>343223-83P</t>
  </si>
  <si>
    <t>Jinchen Zou</t>
  </si>
  <si>
    <t>Jinchen</t>
  </si>
  <si>
    <t>Zou</t>
  </si>
  <si>
    <t>Ms. Jinchen Zou serves as a Senior Associate at S2G Ventures. Her responsibilities include research, evaluation, and execution of potential investments as well as support of S2G's portfolio companies. Before joining S2G, she advised on climate finance transactions at Pollination Group and served public, private, and social sector clients on business strategy at McKinsey &amp; Company. She graduated from Yale University with a B.A. in Economics and Global Affairs.</t>
  </si>
  <si>
    <t>jinchen@s2gventures.com</t>
  </si>
  <si>
    <t>187331-95P</t>
  </si>
  <si>
    <t>Kate Danaher</t>
  </si>
  <si>
    <t>Danaher</t>
  </si>
  <si>
    <t>Ms. Kate Danaher serves as Managing Director of the Oceans Investment Team at S2G Investments. She has worked at the intersection of impact investing and sustainable food and agriculture for over eight years, specializing in US food systems, fair trade supply chains, and consumer-facing brands. As Managing Director, her efforts are focused on making investments, managing portfolio companies, and serving on various portfolio company boards, with a particular focus on structuring capital, facilitating syndications, and providing wraparound resources to enable Ocean businesses to scale while preserving their mission. Before joining S2G, she was the Chief Lending Officer at RSF Social Finance, where she oversaw the capital deployment strategy to evaluate products, investment sectors, and growth objectives in alignment with the organization's strategic plan. She received her MBA through the Global Social and Sustainable Enterprise program at Colorado State University.</t>
  </si>
  <si>
    <t>kate@s2gventures.com</t>
  </si>
  <si>
    <t>Managing Director of the Oceans Investment Team</t>
  </si>
  <si>
    <t>435427-93P</t>
  </si>
  <si>
    <t>Kevin Vincent</t>
  </si>
  <si>
    <t>Mr. Kevin Vincent serves as Chief Compliance Officer at S2G Investments.</t>
  </si>
  <si>
    <t>kevin@s2ginvestments.com</t>
  </si>
  <si>
    <t>82626-31P</t>
  </si>
  <si>
    <t>Larsen Mettler</t>
  </si>
  <si>
    <t>Mettler</t>
  </si>
  <si>
    <t>Mr. Larsen Mettler serves as Managing Director of the Oceans Investment Team at S2G Investments. He serves as a Board Member at Kuehnle AgroSystems. He brings two decades of experience in the oceans and finance sectors. As Managing Director, he is responsible for identifying opportunities, supporting entrepreneurs, and building the blue economy ecosystem. Before joining S2G, he was a shareholder and the Chief Financial Officer of Silver Bay Seafoods, a position he held since 2016. Before joining Silver Bay, he was a Director at KeyBanc Capital Markets, where he led the firm's Seafood Investment Banking and Corporate Lending practice. He has also held various positions with the United Nations, the Executive Office of the President of the United States, and DoubleClick. He holds an MBA with a concentration in Investment Banking from Wake Forest and Dual BBAs in Finance and Information Systems from the University of New Mexico.</t>
  </si>
  <si>
    <t>larsen@s2gventures.com</t>
  </si>
  <si>
    <t>354622-78P</t>
  </si>
  <si>
    <t>Maggie Cha</t>
  </si>
  <si>
    <t>Ms. Maggie Cha serves as Associate, Food and Agriculture at S2G Investments. Ms. Cha served as an Investment Banking Associate at UBS Group. Prior to S2G, she worked at UBS as an Investment Banking Associate in the Private Financing Markets group, where she executed private placements for growth stage companies. She holds a BS from Cornell University, where she majored in Industrial and Labor Relations with a minor in Business Administration.</t>
  </si>
  <si>
    <t>maggie@s2ginvestments.com</t>
  </si>
  <si>
    <t>322206-31P</t>
  </si>
  <si>
    <t>Maggie Fried</t>
  </si>
  <si>
    <t>Fried</t>
  </si>
  <si>
    <t>Ms. Maggie Fried serves as Vice President, Corporate Development - Oceans at S2G Ventures. Prior to S2G, she was the Head of the Oceans, Seafood, and Aquaculture Investor Consortium (OSAIC) at CREO, a network of family offices investing into climate and sustainability solutions. In her role as the Head of OSAIC, she built a consortium of global investors and catalyzed over $300 million of investment from this group into sustainable oceans and seafood companies and funds over 2.5 years. She has long been passionate about the intersection of climate, food production, and poverty alleviation. Earlier in her career, she supported due diligence, investor relations, and portfolio management for Illumen Capital, Draper Richards Kaplan, and the Phillips Foundation, and advised several early-stage impact ventures on fundraising and partnership strategies. Her experience also includes programs, partnerships, and executive leadership of several non-profit organizations in the U.S. and abroad.</t>
  </si>
  <si>
    <t>maggie@s2gventures.com</t>
  </si>
  <si>
    <t>Vice President, Corporate Development - Oceans</t>
  </si>
  <si>
    <t>377475-31P</t>
  </si>
  <si>
    <t>Marisa Sweeney</t>
  </si>
  <si>
    <t>Sweeney</t>
  </si>
  <si>
    <t>Ms. Marisa Sweeney serves as Vice President, of Special Opportunities at S2G Ventures. She also serves as the Member of the Advisory Committee at YPE SF Bay Area. Before Generate Capital, she was on the strategy team at Onyx Renewable Partners, a Blackstone portfolio company, and focused on acquiring portfolios of distributed solar assets. In addition to her professional career, she served as Co-President of Young Professionals in Energy SF Bay Area and currently serves as an advisor. She is a member of the Clean Energy Leadership Institute 2019 cohort. She holds a B.S. in Management with a concentration in Finance and a B.A. in Politics, Philosophy, and Law from Binghamton University.</t>
  </si>
  <si>
    <t>marisa@s2gventures.com</t>
  </si>
  <si>
    <t>Principal, Special Opportunities</t>
  </si>
  <si>
    <t>75223-63P</t>
  </si>
  <si>
    <t>Mary DaSilva JD</t>
  </si>
  <si>
    <t>Ms. Mary DaSilva serves as Chief People Officer at S2G Investments. Ms. Mary DaSilva serves as Partner and Chief Talent Officer at Vistria Group. She serves as a Member of the Advisory Board at Faircourt Partners. She served as Director and Head of Human Resources at Madison Dearborn Partners. At MDP, Ms. DaSilva was part of the leadership team and was responsible for talent acquisition, talent development, and design and execution of the firm's human capital-related strategy. Prior to MDP, Ms. DaSilva began her career as an Associate in the International Tax group of Deloitte's Chicago office where she focused on clients in the financial services sector. Ms. DaSilva is a registered member of the Illinois Bar Association. She is currently on the Advisory Board of Faircourt Partners as well as the leadership team for the Private Equity Human Resources Network. Ms. DaSilva was an inaugural member of the Steering Committee of the Chicago Financial Services Pipeline Initiative. Ms. DaSilva received a B.S. from DePaul University and a J.D. from Loyola University Chicago School of Law.</t>
  </si>
  <si>
    <t>mary@s2ginvestments.com</t>
  </si>
  <si>
    <t>266781-16P</t>
  </si>
  <si>
    <t>Mason Leist</t>
  </si>
  <si>
    <t>Leist</t>
  </si>
  <si>
    <t>Ms. Mason Leist serves as Associate, Food &amp; Agriculture at S2G Ventures. Ms. Leist's responsibilities include evaluation and research of potential investments and support for S2G's portfolio companies. Prior to S2G she worked as a project consultant for Bluefield Research, leading a report on the future of water management strategies in agriculture. She graduated from Cornell University as an International Agriculture and Rural Development major with a concentration in Economic Development, and minors in Business and Law. During her time at Cornell, she served as the president of the Cornell Hydroponics Student Organization, and as an executive member of Anabel's Grocery, a subsidized grocery store erected to address food security on Cornell's campus. In 2019 she was selected as a CALS Global Fellow to work with Siam Organic, a social enterprise focused on bringing their unique rice strain to international markets and supporting Thai smallholder farmers. She also received a Cornell Cooperative Extension grant to work for Smallhold in 2018.</t>
  </si>
  <si>
    <t>mason@s2gventures.com</t>
  </si>
  <si>
    <t>Associate, Food &amp; Agriculture</t>
  </si>
  <si>
    <t>112597-39P</t>
  </si>
  <si>
    <t>Matthew Walker JD</t>
  </si>
  <si>
    <t>Mr. Matthew Walker serves as Managing Director of the Food &amp; Agriculture Investment Team at S2G Investments. He serves as Board Member at Believer Meats. He has over 15 years of experience in venture capital, investment banking, and securities law. As Managing Director, His efforts are focused on making investments, managing portfolio companies, and serving on various portfolio company boards. Before joining S2G, he was an investment banking associate at Perella Weinberg Partners in New York, focused on M&amp;A and restructuring transactions across a range of industries. Before that role, he was a securities attorney in the Funds, Regulation, and Equity Derivatives practice at Cadwalader, Wickersham &amp; Taft, LLP in New York. He has an MBA from The University of Chicago Booth School of Business, a J.D. from New York University School of Law, and a B.S. in Mechanical Engineering from the University of Michigan. He serves as Board Member at TradeLanes.</t>
  </si>
  <si>
    <t>matthew@s2gventures.com</t>
  </si>
  <si>
    <t>Managing Director, Food &amp; Agriculture Investment Team</t>
  </si>
  <si>
    <t>306554-59P</t>
  </si>
  <si>
    <t>Michael Gilkes</t>
  </si>
  <si>
    <t>Gilkes</t>
  </si>
  <si>
    <t>Mr. Michael Gilkes serves as Vice President, of Oceans at S2G Ventures. Before joining S2G Ventures, he was a Managing Director at Cleveland Avenue, a Chicago-based venture capital firm that invests in companies that positively disrupt large and growing markets, where he focused on the execution of investments in food, agriculture, and consumer-related technologies. He served as a Board Member at Retail Aware. He served as Principal, Investments at Cleveland Avenue. He graduated from the College of Business at the University of Illinois at Urbana-Champaign with a B.S. in Finance.</t>
  </si>
  <si>
    <t>mike@s2gventures.com</t>
  </si>
  <si>
    <t>Vice President, Oceans</t>
  </si>
  <si>
    <t>343227-52P</t>
  </si>
  <si>
    <t>Michael Krutz</t>
  </si>
  <si>
    <t>Krutz</t>
  </si>
  <si>
    <t>Mr. Michael Krutz serves as a Senior Associate in food and Agriculture at S2G Ventures. Before joining S2G, he worked in Investment Banking at J.P. Morgan in the Diversified Industries coverage group. At J.P. Morgan, he focused on M&amp;A transactions in the Automotive, Equipment, and Agriculture sectors. He also helped establish the firm's Agriculture Technology practice, leading efforts around M&amp;A and partnerships with strategic corporations and capital raises for Agriculture Technology startups. He graduated from Wabash College with a B.A. Magna Cum Laude in Economics.</t>
  </si>
  <si>
    <t>michael@s2gventures.com</t>
  </si>
  <si>
    <t>Senior Associate, Food &amp; Agriculture Investment</t>
  </si>
  <si>
    <t>343227-97P</t>
  </si>
  <si>
    <t>Michelle Morales</t>
  </si>
  <si>
    <t>Ms. Michelle Morales serves as Associate, Energy, Venture &amp; Growth at S2G Investments. She has focused her career on solving complex environmental problems. Before joining S2G Ventures, she managed the monitoring, reporting, and verification of greenhouse gas reductions across a portfolio of waste-to-energy projects as a Carbon Markets Project Manager at 3Degrees. Before her time at 3Degrees, she provided remediation engineering support to clean up contaminated soil and groundwater sites as an Environmental Engineer at Parsons Corporation. She holds an MBA from the Kellogg School of Management and a BS in Environmental Engineering from MIT.</t>
  </si>
  <si>
    <t>michelle@s2ginvestments.com</t>
  </si>
  <si>
    <t>Associate, Energy, Venture &amp; Growth</t>
  </si>
  <si>
    <t>197412-04P</t>
  </si>
  <si>
    <t>Mike Wise</t>
  </si>
  <si>
    <t>Mr. Mike Wise serves as Principal at S2G Investments. He serves as a Board Member at Swarm Engineering. His responsibilities include research, evaluation, and execution of potential investments. Before S2G Ventures, he was a management consultant at Deloitte, specializing in strategy and innovation projects across the consumer and industrial products sectors. He graduated cum laude from Princeton University with an AB in Public and International Affairs. He earned his MBA with distinction from the Kellogg School of Management at Northwestern University.</t>
  </si>
  <si>
    <t>mw@s2gventures.com</t>
  </si>
  <si>
    <t>377476-93P</t>
  </si>
  <si>
    <t>Miles Russo</t>
  </si>
  <si>
    <t>Miles</t>
  </si>
  <si>
    <t>Mr. Miles Russo serves as Associate, Clean Energy at S2G Ventures. Prior to joining S2G, he worked at Marathon Capital, a boutique investment bank focused on clean energy, sustainable technologies &amp; infrastructure markets. He graduated cum laude with a degree in Finance and Environmental Studies from Tulane University.</t>
  </si>
  <si>
    <t>miles@s2gventures.com</t>
  </si>
  <si>
    <t>Associate, Clean Energy</t>
  </si>
  <si>
    <t>343229-05P</t>
  </si>
  <si>
    <t>Mitch Worden</t>
  </si>
  <si>
    <t>Worden</t>
  </si>
  <si>
    <t>Mr. Mitch Worden serves as Vice President of Corporate Development - Clean Energy at S2G Ventures. Before S2G Ventures, He was the Commercial Sector Lead and Vice President of the Clean Energy &amp; Infrastructure team at JLL, where he advised Fortune 500 clients on their decarbonization strategies and led the execution of these strategies. He has expertise in clean energy and infrastructure project finance, third-party and ownership deal structures, and project management. He led the development of over 40 MW of distributed generation clean energy technologies. Additionally, he focused on business development to expand value-add sustainability service offerings for clients. Previously, he worked at Invenergy, an independent power producer and utility-scale renewable energy developer, where he focused on project finance, tax equity buyouts, back leverage, refinancing, and project management and execution. Additionally, he led cross-functional teams via a project management role through financing to commercial operations. He completed his MBA from Northwestern University and has a bachelor's degree in Finance from Indiana University.</t>
  </si>
  <si>
    <t>mitch@s2gventures.com</t>
  </si>
  <si>
    <t>Vice President, Corporate Development - Clean Energy</t>
  </si>
  <si>
    <t>15588-73P</t>
  </si>
  <si>
    <t>Monica Jensen</t>
  </si>
  <si>
    <t>Ms. Monica Jensen serves as Chief Financial and Compliance Officer at S2G Ventures. She served as Controller at DW Healthcare Partners. She has eight years of experience in accounting, with five years dedicated to fund accounting and operations. Prior to DWHP, she was the Controller for Peterson Partners, a Salt Lake City-based private equity firm with over $300 million of capital under management. Previously, she was an Investment Operations Senior Associate for Quellos Private Capital Markets, LP in Seattle, WA. In addition, she worked for Ernst &amp; Young LLP in Assurance and Advisory Business Services and for Arthur Andersen LLP in the tax division. She was born and raised in St. Louis, Mo. She received her Bachelors degree in Business Administration from Emory University and held a CPA license in Washington which she retired on June 30, 2006.</t>
  </si>
  <si>
    <t>+1 (801) 365-4010</t>
  </si>
  <si>
    <t>Chief Financial and Compliance Officer</t>
  </si>
  <si>
    <t>266780-62P</t>
  </si>
  <si>
    <t>Mounir Ghabrial</t>
  </si>
  <si>
    <t>Mounir</t>
  </si>
  <si>
    <t>Ghabrial</t>
  </si>
  <si>
    <t>Mr. Mounir Ghabrial serves as Senior Associate, Food &amp; Agriculture Investment Team at S2G Ventures. Mr. Ghabrial portfolio work ranges across food as health, novel ingredients, and consumer brands. His responsibilities include sourcing, analyzing new investments, financial modeling, due diligence, deal process execution, and portfolio company monitoring. Mo previously worked at Everytable as a strategic finance analyst. Mo graduated from the University of Southern California with a BS in Business Administration.</t>
  </si>
  <si>
    <t>mo@s2gventures.com</t>
  </si>
  <si>
    <t>Senior Associate, Food &amp; Agriculture Investment Team</t>
  </si>
  <si>
    <t>343229-95P</t>
  </si>
  <si>
    <t>Olivia Gomez</t>
  </si>
  <si>
    <t>Ms. Olivia Gomez serves as Associate, Oceans, Venture &amp; Growth at S2G Investments. She worked on a variety of M&amp;A and capital market transactions across an array of technology subsectors. She holds a BA in Economics with a concentration in Environmental Studies from Williams College. She attended high school at Noble and Greenough School and during her time there participated in a semester abroad at the Island School in Cape Eleuthera, the Bahamas, which is focused on environmental sustainability.</t>
  </si>
  <si>
    <t>olivia@s2gventures.com</t>
  </si>
  <si>
    <t>Associate, Oceans, Venture &amp; Growth</t>
  </si>
  <si>
    <t>173908-90P</t>
  </si>
  <si>
    <t>Priyanka Duvvuru</t>
  </si>
  <si>
    <t>Duvvuru</t>
  </si>
  <si>
    <t>Ms. Priyanka Duvvuru serves as Principal, Energy, Venture &amp; Growth at S2G Investments. Ms. Duvvuru serves as Board Member at 38 Degrees North (20 Community Solar Projects in Massachusetts). She serves as Board Member at 38 Degrees North. She served as Vice President at Stonepeak Infrastructure Partners. Before joining Stonepeak, she was a project developer at Clean Line Energy Partners, where she worked on the Plains &amp; Eastern Clean Line development team. She holds a Bachelor of Science in Civil and Environmental Engineering from Rice University.</t>
  </si>
  <si>
    <t>priyanka@s2gventures.com</t>
  </si>
  <si>
    <t>Principal, Energy, Venture &amp; Growth</t>
  </si>
  <si>
    <t>35360-74P</t>
  </si>
  <si>
    <t>Sanjeev Krishnan</t>
  </si>
  <si>
    <t>Sanjeev</t>
  </si>
  <si>
    <t>Mr. Sanjeev Krishnan serves as Managing Partner and Co-Leads at S2G Ventures. He serves as Managing Director &amp; Co-Chief Investment Officer at Builders Initiative. He is active in developing investment strategies as well as overseeing investments and portfolio management. For more than 20 years, he has been focused on finding opportunities at the intersection of innovation and multi-asset investing to drive productivity, profitability, and systems change. Under his leadership, S2G has expanded to include systems investing strategies across energy, food and agriculture, and oceans, and a team with deep sector, investment, and value-added platform expertise. Before S2G, he held positions at CLSA Capital Partners, Global Environment Fund, International Finance Corp. (World Bank Group), and JP Morgan. He received a BA from the London School of Economics.</t>
  </si>
  <si>
    <t>sanjeev@s2gventures.com</t>
  </si>
  <si>
    <t>266726-44P</t>
  </si>
  <si>
    <t>Tonya Bakritzes</t>
  </si>
  <si>
    <t>Bakritzes</t>
  </si>
  <si>
    <t>Ms. Tonya Bakritzes serves as Chief Marketing Officer at S2G Investments. She oversees the fund's brand strategy, marketing, and communications and provides strategic guidance to the fund's portfolio companies. She has over 20 years of experience working in the technology industry delivering large-scale digital solutions across a variety of industries including Financial Services, Energy, Education, and Travel &amp; Hospitality. Her past work has ranged from business planning, consumer research &amp; strategy development to design, build, and support of enterprise-scale platforms to marketing campaign planning, execution, and optimization. She has over 15 years of experience working in digital agencies and consultancies as a strategic advisor for clients and 5 years delivering digital programs at J.P. Morgan Chase in the Treasury Services division. Before S2, G she was the Chief Marketing Officer for Isobar US, a global digital agency, where she led the agency's marketing strategy and execution of all marketing and communications activities. During her tenure, Isobar was recognized as a 5 time Leader in Gartner's Magic Quadrant for Global Digital Agencies with the highest score for completeness of vision and won numerous industry awards including Fast Company Most Innovative Company in AR/VR and Cannes Lion Grand Prix for Digital Craft.</t>
  </si>
  <si>
    <t>tonya@s2gventures.com</t>
  </si>
  <si>
    <t>22370-14P</t>
  </si>
  <si>
    <t>Walter Robb IV</t>
  </si>
  <si>
    <t>Robb</t>
  </si>
  <si>
    <t>Operating Partner &amp; Senior Partner</t>
  </si>
  <si>
    <t>Mr. Walter Robb serves as Senior Executive Partner &amp; Operating Partner at S2G Investments. Previously, Mr. Robb served as Board Member at Aphria. He serves as a Board Member at Aphria, The Container Store, Apeel, Cece's Veggie Co, HeatGen, Hungry, Union Square Hospitality Group, and Advisor at Almanac Insights, and Springdale Ventures. He served as a Board Member at Livekindly. He served as a Board Member at New Barn Organics, and Potbelly Sandwich Works and Advisor at Maveron. He holds a Degree in Phi Beta Kappa from Stanford University. He is an ardent organic advocate; he works in his organic garden and has served on the Board of Directors of the Organic Trade Association and the Organic Center for Education and Promotion. In 2013 he received the Culinary Institute of America "Augie" Award for Sustainability and Food Ethics, and in 2018, he was inducted into the Expo West Natural Products Expo Hall of Legends. He served as a Board Member at Love Life! He serves as an Advisor at Stonewall Robb. He served as an Advisor at Motif FoodWorks. He serves as Advisor at Meati.</t>
  </si>
  <si>
    <t>walter.robb@love.life</t>
  </si>
  <si>
    <t>Senior Executive Partner &amp; Operating Partner</t>
  </si>
  <si>
    <t>324012-79P</t>
  </si>
  <si>
    <t>Yilin Huo</t>
  </si>
  <si>
    <t>Yilin</t>
  </si>
  <si>
    <t>Huo</t>
  </si>
  <si>
    <t>Mr. Yilin Huo serves as Senior Analyst at S2G Ventures. Mr. Huo served as Analyst at Inverness Graham.</t>
  </si>
  <si>
    <t>yilin@s2gventures.com</t>
  </si>
  <si>
    <t>169456-51P</t>
  </si>
  <si>
    <t>Brian Gaister</t>
  </si>
  <si>
    <t>Gaister</t>
  </si>
  <si>
    <t>SaaS Ventures</t>
  </si>
  <si>
    <t>Mr. Brian Gaister is a Co-Founder &amp; serves as Chief Executive Officer at Pennington Partners &amp; Co. Mr. Gaister is a Co-Founder and serves as a Partner at SaaS Ventures. He is an Angel Investor. He is a serial entrepreneur, and active investor, and is passionate about building and investing in companies and helping mentor and develop the next generation of leaders. He is also actively involved with family companies. Prior to founding Pennington Partners &amp; Co, he spent 8 years at leading investment banks. He devotes substantial time to serving on the investment committee for the Bender JCC of Greater Washington D.C. as well as serving as a long-time committee member for the Investment Management Consultants Association. He is also a member of The National Young Leadership Cabinet through JFNA and is a founding member of the Keiretsu Forum in Washington D.C. He previously taught economics and served on the advisory board of the Academy of Finance in Howard County, Maryland, and is a member of Nexus Global. He holds a Certified Investment Management Analyst® (CIMA®) designation, as well as a Certified Private Wealth Advisor® (CPWA®) designation, both awarded by the Investment Management Consultants Association (IMCA®) in conjunction with the Wharton School of the University of Pennsylvania and the University of Chicago Booth School of Business. He earned a Bachelor of Science in International Business from the University of Maryland Robert H. Smith School of Business and has also completed the Executive Education Program on Strategy and Leadership at Dartmouth's Tuck School of Business.</t>
  </si>
  <si>
    <t>+1 (202) 370-6435</t>
  </si>
  <si>
    <t>brian.gaister@saasventurecapital.com</t>
  </si>
  <si>
    <t>7500 Old Georgetown Road</t>
  </si>
  <si>
    <t>Suite 705</t>
  </si>
  <si>
    <t>+1 (202) 654-5830</t>
  </si>
  <si>
    <t>Pennington Partners &amp; Co</t>
  </si>
  <si>
    <t>47855-35P</t>
  </si>
  <si>
    <t>Collin Gutman</t>
  </si>
  <si>
    <t>Gutman</t>
  </si>
  <si>
    <t>Mr. Collin Gutman is a Co-Founder and serves as Managing Partner at SaaS Ventures. He is an Angel Investor. He serves as Board Member at FirmPilot and Rollio. He was also the Founder and served as General Partner at Forum Ventures. In addition to founding Acceleprise in DC, he is the co-founder &amp; CEO of WorkAmerica, which is the Linkedin for Skilled Trades. Prior to WorkAmerica, he was the Chief Strategy Officer at EmployInsight and spent time with the Boston Consulting Group. He holds a BA cum laude from Yale University.</t>
  </si>
  <si>
    <t>+1 (202) 412-4940</t>
  </si>
  <si>
    <t>collin.gutman@saasventurecapital.com</t>
  </si>
  <si>
    <t>20001</t>
  </si>
  <si>
    <t>249261-67P</t>
  </si>
  <si>
    <t>Dan Eidell</t>
  </si>
  <si>
    <t>Eidell</t>
  </si>
  <si>
    <t>Mr. Dan Eidell serves as Partner at SaaS Ventures. He serves as Board Observer at DwellSocial. He brings almost five years of venture capital and startup operating experience to the team works directly with Collin and Seth on SaaS's deal team. His main responsibilities include sourcing, diligence, and portfolio support. He most recently served as an Associate at OCA Ventures, a $100M+, Chicago-based, early-stage venture capital fund. In this and other roles, he has also worked with several early-stage startups in sectors including transportation, HR Tech, esports, and fintech.</t>
  </si>
  <si>
    <t>dan.eidell@saasventurecapital.com</t>
  </si>
  <si>
    <t>252020-26P</t>
  </si>
  <si>
    <t>Jesse Bloom</t>
  </si>
  <si>
    <t>Mr. Jesse Bloom serves as a Partner at SaaS Ventures. His main responsibilities include sourcing, diligence, portfolio support, and investor relations. Jesse most recently served as Vice President at Alpha Partners, a $120 million later-stage venture capital fund, and the largest fund dedicated to investing through the pro-rata rights of other investors. Jesse is also the founder of NewbieVCs, an exclusive community of over 170 junior venture capitalists focused on diligence support and networking. Prior to his work in venture capital, Jesse served as a wealth manager at Morgan Stanley, helping families allocate capital, manage stock option exposure, and plan for retirement. Jesse managed over $25 million in public and private investments and was Valedictorian of his Certified Portfolio Management course at Columbia University.</t>
  </si>
  <si>
    <t>jesse.bloom@saasventurecapital.com</t>
  </si>
  <si>
    <t>15588-01P</t>
  </si>
  <si>
    <t>Rodd Macklin</t>
  </si>
  <si>
    <t>Rodd</t>
  </si>
  <si>
    <t>Macklin</t>
  </si>
  <si>
    <t>Mr. Rodd Macklin serves as Chief Financial Officer at NGP Energy Technology Partners. He serves as a Venture Partner at SaaS Ventures. He is a Co-Founder and serves as Senior Managing Director and Investment Committee Member at Pennington Partners &amp; Co. He served as a Chief Financial Officer for several private equity and venture capital firms. He served as Chief Financial Officer and Chief Compliance Officer for NaviMed Capital Advisors, located in Washington, D.C. NaviMed, established in 2011, invests capital for growth and buyout transactions exclusively in the healthcare industry. NaviMed manages approximately $400 million of capital commitments. He served as Chief Financial Officer for FJ Labs, since 2016. Established in 2015, FJ Labs invests in early-stage business-to-consumer and business-to-business companies across the globe. The principals of FJ Labs, who have been successful on an individual basis both as entrepreneurs and early-stage investors, combined to create a first-time fund with a commitment from a multi-billion dollar publicly traded company as the anchor LP. He had primary responsibility for financial and operational activities relating to five funds and numerous affiliated entities aggregating approximately $400 million, including financial and management reporting, financial statement preparation and annual audits, tax compliance and planning, and treasury functions. He graduated with a B.S. in Mathematics from William &amp; Mary and an MBA from The Wharton School of the University of Pennsylvania. He is an active Chartered Financial Analyst (CFA), a CPA (inactive), and a long-time board member of the Washington, D.C./Baltimore chapter of the Private Equity CFO Association (PECFOA). He is a Director, along with other senior management team members, and shall be responsible for assisting the Board in making critical decisions going forward as it prepares to "go public" in 2027.</t>
  </si>
  <si>
    <t>rodd.macklin@saasventurecapital.com</t>
  </si>
  <si>
    <t>55993-06P</t>
  </si>
  <si>
    <t>Seth Shuldiner</t>
  </si>
  <si>
    <t>Shuldiner</t>
  </si>
  <si>
    <t>Mr. Seth Shuldiner is a Co-Founder and serves as Partner at SaaS Ventures. Mr. Shuldiner also served as an Investment Analyst at Maryland Venture Fund. He joined the Maryland Venture Fund as an Investment Analyst in March 2013. Prior to MVF, Mr. Shuldiner began his career working at Community Analytics, an angel-backed startup in the Baltimore area specializing in influence marketing and information services primarily for the healthcare industry. Immediately before his transition into Venture, Mr. Shuldiner worked at T. Rowe Price, where he gained valuable experience in the financial services industry and obtained FINRA securities licenses 6, 63, and 7. Seth has a B.A. from Franklin &amp; Marshall College, where he graduated with a major in Business and a minor in Mandarin Chinese. He serves as an Advisor at Legal Karma. Seth is a co-founding GP at SaaS Ventures, where he led their investment in Legal Karma. Seth brings over a decade of experience scaling and investing in early stage B2B software companies. He holds an MBA from the University of Maryland Smith School of Business and a B.A. from Franklin &amp; Marshall College.</t>
  </si>
  <si>
    <t>+1 (410) 715-4188</t>
  </si>
  <si>
    <t>seth.shuldiner@saasventurecapital.com</t>
  </si>
  <si>
    <t>205983-91P</t>
  </si>
  <si>
    <t>Murat Arcan</t>
  </si>
  <si>
    <t>Murat</t>
  </si>
  <si>
    <t>Arcan</t>
  </si>
  <si>
    <t>Sabanci Climate Technologies</t>
  </si>
  <si>
    <t>Mr. Murat Arcan serves as Managing Director at Sabanci Climate Technologies. He served as Chief Operating Officer, Composites at Kordsa Global Endustriyel Iplik ve Kord Bezi Sanayi ve Ticaret. He is a seasoned professional with a broad range of expertise in the automotive, technical textiles, advanced materials, and renewable energy sectors. As the Managing Director of Sabanci Climate Ventures, he leads strategic investments in pioneering energy and climate technologies. With over two decades of experience in various strategic roles, he brings a depth of knowledge to the forefront of climate innovation. His leadership is characterized by a dedication to fostering technologies that contribute to economic growth while addressing critical environmental challenges. He holds an undergraduate degree in Business Administration from Bilkent University and an MBA from Koç University.</t>
  </si>
  <si>
    <t>+90 (0)262 316 7000</t>
  </si>
  <si>
    <t>moarcan@sabancict.com</t>
  </si>
  <si>
    <t>264788-02P</t>
  </si>
  <si>
    <t>Pengxin Dong</t>
  </si>
  <si>
    <t>Pengxin</t>
  </si>
  <si>
    <t>Dong</t>
  </si>
  <si>
    <t>Mr. Pengxin Dong serves as Investment Manager, Sabanci Climate Ventures at Sabanci Climate Technologies.</t>
  </si>
  <si>
    <t>pdong@sabancict.com</t>
  </si>
  <si>
    <t>Investment Manager, Sabancı Climate Ventures</t>
  </si>
  <si>
    <t>318635-11P</t>
  </si>
  <si>
    <t>Sindhu Kotha</t>
  </si>
  <si>
    <t>Sindhu</t>
  </si>
  <si>
    <t>Kotha</t>
  </si>
  <si>
    <t>Ms. Sindhu Kotha serves as Investment Manager at Sabanci Climate Technologies. She served as Vice President at SuRo Capital. Before joining SuRo, She worked on high-trust teams to invest in early- and growth-stage companies at Antler and B37 Ventures founded a femtech company, and, as a Finance &amp; Strategy operator, co-led the IPO process at climatetech startup Proterra. She began her career in investment banking at SunTrust Robinson Humphrey, where she focused on M&amp;A advisory and capital markets financing in the Healthcare Coverage Group. She graduated with an MBA (Entrepreneurship/Venture Capital) from the Kellogg School of Management at Northwestern University and a BBA in Finance and Comparative Literature from Emory University.</t>
  </si>
  <si>
    <t>skotha@sabancict.com</t>
  </si>
  <si>
    <t>253342-27P</t>
  </si>
  <si>
    <t>Tolga Doğancıoğlu</t>
  </si>
  <si>
    <t>Tolga</t>
  </si>
  <si>
    <t>Doğancıoğlu</t>
  </si>
  <si>
    <t>Mr. Tolga Doğancıoğlu serves as Chief Executive Officer at Sabanci Climate Technologies. He serves as Advisory Board Member at Sabancı Ventures. He served as Chief Executive Officer at Temsa. After graduating from Ankara Anatolian High School and Mechanical Engineering Department of ODTÜ (Middle East Technical University), he began his career at ASELSAN and then worked for ENKA Teknik and Ford Otosan companies and completed several national and international projects. He completed a private MBA program at Koç University during the same years. In 2005, he left Ford Otosan to establish Hexagon Studio Engineering and Design Company, and he worked as the General Manager of this company for 12 years. In December 2017, he joined Sabancı Group as the Project and Business Development Director of the Department of Industry Group and he was appointed as the Construction and Business Development Director of Kordsa in July 2018. When TEMSA was transferred to the partnership of Sabancı Holding and PPF Group, he was appointed as the CEO of TEMSA.</t>
  </si>
  <si>
    <t>tdogancioglu@sabancict.com</t>
  </si>
  <si>
    <t>429469-84P</t>
  </si>
  <si>
    <t>Andy Cohen Ph.D</t>
  </si>
  <si>
    <t>Safar Partners</t>
  </si>
  <si>
    <t>Dr. Andy Cohen serves as an Analyst at Safar Partners. He completed his PhD at Harvard's Microrobotics Lab, where he developed practical manufacturing techniques for industrial-scale production of soft artificial muscles. As a postdoctoral researcher under Prof. Robert Wood, he is currently applying the technology to medical and home care applications.</t>
  </si>
  <si>
    <t>+1 (585) 967-5505</t>
  </si>
  <si>
    <t>andy.cohen@safar.partners</t>
  </si>
  <si>
    <t>50801-68P</t>
  </si>
  <si>
    <t>Anurag Bajpayee Ph.D</t>
  </si>
  <si>
    <t>Anurag</t>
  </si>
  <si>
    <t>Bajpayee</t>
  </si>
  <si>
    <t>Dr. Anurag Bajpayee is a Co-Founder and serves as Chief Executive Officer at Gradiant. He also serves as Business Advisor at Safar Partners. Under his leadership, Gradiant has evolved from a technology start-up into a global brand with diversified applications and multiple divisions around the world. Prior to founding Gradiant, he earned his Ph.D. in Mechanical Engineering from MIT where he worked on industrial desalination and water treatment. His doctoral work was recognized by Scientific American as a top 10 world-changing idea and is now part of Gradiant's technology portfolio. He has co-authored seminal journal articles and holds several patents in the field of water treatment. He also holds a bachelor's degree in Mechanical Engineering from the University of Missouri and a master's from MIT.</t>
  </si>
  <si>
    <t>+1 (781) 819-5034</t>
  </si>
  <si>
    <t>130 New Boston Street</t>
  </si>
  <si>
    <t>Gradiant</t>
  </si>
  <si>
    <t>321216-58P</t>
  </si>
  <si>
    <t>Arda Kotikian Ph.D</t>
  </si>
  <si>
    <t>Arda</t>
  </si>
  <si>
    <t>Kotikian</t>
  </si>
  <si>
    <t>Ms. Arda Kotikian serves as Associate at Safar Partners. Arda is currently a postdoctoral fellow in Jennifer Lewis' lab at Harvard University working on the development and fabrication of soft functional materials. She has a Ph.D. in Mechanical Engineering and Materials Science from Harvard, where she developed a platform for hierarchical programming and synthesis of liquid crystal elastomer actuators for 3D printed soft robotics in the Lewis Lab. Prior to Safar and Harvard, Arda received a B.A. in Chemistry and Mathematics from Mount Holyoke College.</t>
  </si>
  <si>
    <t>arda.kotikian@safar.partners</t>
  </si>
  <si>
    <t>17166-16P</t>
  </si>
  <si>
    <t>Arunas Chesonis</t>
  </si>
  <si>
    <t>Arunas</t>
  </si>
  <si>
    <t>Chesonis</t>
  </si>
  <si>
    <t>Dr. Arunas Chesonis serves as Managing Partner and Investment Committee Member at Safar Partners. He serves as a Board Member at Imago Rehab. He serves as a Board Observer at Venti Technologies. He serves as a Board Member at Satelles. He served as Co-Chief Executive Officer and Chairman at Sweetwater Energy. He serves as Chairman at C2Sense. He serves as a Board Member at Quaise Energy, Ubiquitous Energy, and 5x5 Technologies. He serves as Vice Chairman at Clerio Vision. He served as a Board Member at Pirouette Medical. He also served as the Managing Partner of Bridge Point Capital. He serves as a Board Observer at Radical Plastics. He serves as Chairman of the Board at Kofinder Technologies Inc. He co-founded and served as Partner and Managing Partner at Cranberry Capital. He also served as a Board Member at FINsix. He is also the Founder and served as the Chairman and Chief Executive Officer at PAETEC Holding. He served as Chairman at Nanoramic. He also served as Chairman and Chief Executive Officer of PAETEC Holding Corp. He founded PAETEC in 1998. He previously served as President of ACC Corp. until it was purchased by AT&amp;T in 1998. He received the Ernst &amp; Young Entrepreneur of the Year Award, the Herbert W. Van Brul Entrepreneurial Award from the College of Business at Rochester Institute of Technology, and was elected to the Rochester Business Hall of Fame. He has a long history in renewable energy. His private philanthropic organization, the Chesonis Family Foundation, supports many environmental and renewable energy research projects and has also given almost $10 million to the Massachusetts Institute of Technology to support breakthrough technology research to address climate change and sustainability. He holds a B.S. in Civil Engineering from the Massachusetts Institute of Technology, an MBA from the William E. Simon Graduate School of Business at the University of Rochester, and an Honorary Doctorate of Laws from the University of Rochester. He is also a member of the MIT Corporation and is a trustee at the University of Rochester.</t>
  </si>
  <si>
    <t>+1 (585) 899-0750</t>
  </si>
  <si>
    <t>arunas.chesonis@safar.partners</t>
  </si>
  <si>
    <t>Managing Partner &amp; Investment Committee Member</t>
  </si>
  <si>
    <t>304744-78P</t>
  </si>
  <si>
    <t>Ayman Hindy Ph.D</t>
  </si>
  <si>
    <t>Ayman</t>
  </si>
  <si>
    <t>Hindy</t>
  </si>
  <si>
    <t>Dr. Ayman Hindy serves as Managing Director, Portfolio Management Reengineering and Infrastructure at Pacific Investment Management Company. Prior to joining PIMCO in 2021, he was an operating partner at Safar Partners, and previously he was a partner at Advanced Liquidity Concepts, an investment firm specializing in execution efficiency. Prior to this, he was a partner, senior portfolio manager, and head of the U.S. office for Capula Investment Management, and a founding partner and portfolio manager at Platinum Grove Asset Management. He has served as a professor of finance at the Graduate School of Business at Stanford University and published research in leading academic journals, and he is a guest lecturer at leading business schools. He served on the advisory board of the Cairo Stock Exchange and the visiting committee at the American University in Cairo. He has 30 years of investment experience and holds a master's degree in engineering and a Ph.D. in financial economics from the Massachusetts Institute of Technology.</t>
  </si>
  <si>
    <t>+1 (203) 622-4666</t>
  </si>
  <si>
    <t>ayman.hindy@pimco.com</t>
  </si>
  <si>
    <t>650 Newport Center Drive</t>
  </si>
  <si>
    <t>+1 (949) 720-1376</t>
  </si>
  <si>
    <t>Managing Director, Portfolio Management Reengineering and Infrastructure</t>
  </si>
  <si>
    <t>Pacific Investment Management Company</t>
  </si>
  <si>
    <t>15502-60P</t>
  </si>
  <si>
    <t>Bijan Salehizadeh MD</t>
  </si>
  <si>
    <t>Bijan</t>
  </si>
  <si>
    <t>Salehizadeh</t>
  </si>
  <si>
    <t>Dr. Bijan Salehizadeh is a Co-Founder and serves as Managing Director at NaviMed Capital. He serves as a Board Member at Advantage Surgical &amp; Wound Care, OPN Healthcare and Aledade. Dr. Salehizadeh has 25 years of healthcare operating and investment experience. At NaviMed, he sits on the Firm's Investment Committee and is responsible for leading investments and overseeing portfolio companies with a particular focus on healthcare providers and pharmaceutical services. Prior to co-founding NaviMed, he was a General Partner at Highland Capital Partners, where he focused on growth-stage healthcare investments. Prior to joining Highland Capital Partners in 2004, Dr. Salehizadeh spent several years in a variety of healthcare operational roles at publicly traded and emerging growth companies. Dr. Salehizadeh is currently on the Boards of Directors for BrentCare Behavioral Health, Citrus Health Group, and OPN Healthcare. Dr. Salehizadeh previously served on the Boards of Directors of CenterPointe Behavioral Health, The CM Group, Lighthouse Lab Services, and Velocity Clinical Research. Dr. Salehizadeh holds an AB in Molecular Biology from Princeton University, an MD and MS in Health Policy from Columbia University, and an MBA from Harvard Business School. He served as Board Member at Scientific Commercialization.</t>
  </si>
  <si>
    <t>+1 (202) 568-6432</t>
  </si>
  <si>
    <t>bijan@navimed.com</t>
  </si>
  <si>
    <t>Rosslyn</t>
  </si>
  <si>
    <t>Rosslyn, VA</t>
  </si>
  <si>
    <t>1300 Wilson Boulevard</t>
  </si>
  <si>
    <t>NaviMed Capital</t>
  </si>
  <si>
    <t>287246-26P</t>
  </si>
  <si>
    <t>Chris O'Donnell</t>
  </si>
  <si>
    <t>O'Donnell</t>
  </si>
  <si>
    <t>Mr. Chris O'Donnell serves as Business Advisor at Safar Partners. He is the Founder and Chief Executive Officer of OAM Quant, an investment management company whose aim is to consistently generate alpha in liquid global markets using a disciplined approach rooted in data science, technology, and finance. He holds a B.S. in Finance and Accounting from Ithaca College and an MBA from the William E. Simon Graduate School of Business Administration at the University of Rochester.</t>
  </si>
  <si>
    <t>Business Advisor</t>
  </si>
  <si>
    <t>253029-70P</t>
  </si>
  <si>
    <t>Conor Walsh Ph.D</t>
  </si>
  <si>
    <t>Member of Scientific Advisory Board</t>
  </si>
  <si>
    <t>Dr. Conor Walsh is a Co-Founder and serves as Board Member at Imago Rehab. Dr. Conor Walsh serves as Member of Scientific Advisory Board at Safar Partners. Mr. Walsh serves as Board Member at Verve Motion. He is the Paul A. Maeder Professor of Engineering and Applied Sciences at the John A. Paulson Harvard School of Engineering and Applied Sciences and an Associate Faculty Member at the Wyss Institute for Biologically Inspired Engineering. He is the founder of the Harvard Biodesign Lab, which brings together researchers from the engineering, industrial design, apparel, clinical, and business communities to develop new disruptive robotic technologies for augmenting and restoring human performance. This research includes new approaches to the design, manufacture, and control of wearable robotic devices and characterizing their performance through biomechanical and physiological studies so as to further the scientific understanding of how humans interact with such machines. Example application areas include enhancing the mobility of healthy individuals, restoring the mobility of patients with gait deficits, assisting those with upper extremity weakness to perform activities of daily living, and preventing injuries of workers performing physically strenuous tasks. His multidisciplinary research spans engineering, biology, and medicine and has led to multiple high impact scientific papers as well as technology translation. Multiple technologies from the lab have been licensed to industry. He is a co-founder of Verve, Inc. commercialization of a back assist exosuit and the ReStore soft exosuit from ReWalk Robotics is now FDA and CE mark approved for use during gait rehabilitation poststroke. He is the winner of multiple awards including the Presidential Early Career Award for Scientists and Engineers and the MIT Technology Review Innovator Under 35 Award.</t>
  </si>
  <si>
    <t>+1 (617) 671-0789</t>
  </si>
  <si>
    <t>Lowell, MA</t>
  </si>
  <si>
    <t>C/O UMass Lowell Innovation Hub</t>
  </si>
  <si>
    <t>110 Canal Street, 3rd Floor</t>
  </si>
  <si>
    <t>01852</t>
  </si>
  <si>
    <t>+1 (617) 250-8243</t>
  </si>
  <si>
    <t>Imago Rehab</t>
  </si>
  <si>
    <t>14351-50P</t>
  </si>
  <si>
    <t>Greg Feldman JD</t>
  </si>
  <si>
    <t>Mr. Greg Feldman serves as Partner and Investment Committee Member at Safar Partners. He also served as a Chairman at C2Sense. He is a Co-Founder and serves as Executive Chairman at Wellspring since January 1995. He also serves as a president at Wellspring Distributiion. For four years before the formation of Wellspring, he was in charge of acquisitions at EXOR America (formerly IFINT USA), the U.S. investment arm of the Agnelli Group. For two years before joining EXOR, he was co-founder and served as vice president at Clegg Industries, an investment firm backed by Drexel Burnham Lambert Incorporated to invest in leveraged acquisitions of middle-market manufacturing companies. From 1983 to 1988, he was a mergers and acquisitions lawyer at Paul, Weiss, Rifkind, Wharton &amp; Garrison in New York. He has served on the boards of numerous public and private companies and is actively involved in several charitable organizations.</t>
  </si>
  <si>
    <t>greg.feldman@safar.partners</t>
  </si>
  <si>
    <t>Partner &amp; Investment Committee Member</t>
  </si>
  <si>
    <t>429469-21P</t>
  </si>
  <si>
    <t>Hannah Jacobs</t>
  </si>
  <si>
    <t>Ms. Hannah Jacobs serves as an Analyst at Safar Partners. She is a PhD candidate in the Department of Biology in Chris Burge's lab at MIT and an affiliated researcher at the Broad Institute of MIT and Harvard. In her PhD, she is developing computational tools to better understand human variation at the genetic and RNA level. She organizes for MIT Hacking Medicine and holds a B.A. in Biochemistry from Wellesley College.</t>
  </si>
  <si>
    <t>hannah.jacobs@safar.partners</t>
  </si>
  <si>
    <t>234921-79P</t>
  </si>
  <si>
    <t>Mark Chaney</t>
  </si>
  <si>
    <t>Chaney</t>
  </si>
  <si>
    <t>Mr. Mark Chaney serves as Business Advisor at Safar Partners. He is passionate about holding strong values and uniting leadership positions within the company to follow through with the vision of Calvary through its employees and customers that they serve. Under Mark Chaney's leadership, Calvary Industries has grown and expanded during periods of economic and industrial challenges and has been able to forge business relationships internationally to expand their market. The company has nearly doubled in the past year and a half, and grown to almost 300 employees. Mark's commitment to innovation has spawned a new Innovation lab which has developed new products such as Opti-Cool (Energy efficient Data Center Cooling Equipment) and X-Cell (Modular and Redeployable Assembly Equipment). Bringing high technology to manufacturing automation, machine tooling and robotics is important to the future of Calvary. Mark bases a high level of importance on the values of reliability, integrity, high quality, honesty and respect for all employees and customers, as well as takes a strong personal interest in helping set strategies for continued growth and success for Calvary's Market with executive leaders in the company.</t>
  </si>
  <si>
    <t>148179-61P</t>
  </si>
  <si>
    <t>Mark Zupan</t>
  </si>
  <si>
    <t>Zupan</t>
  </si>
  <si>
    <t>Mr. Mark Zupan serves as President at Alfred University. He also serves as Business Advisor at Safar Partners. He was Dean and Professor of Economics at the University of Arizona's Eller College of Management for seven years. Before that, he was on the faculty of the University of Southern California's Marshall School of Business, attaining tenure there while also serving as Associate Dean for Master's Degree Programs. He was a visiting professor in the Amos Tuck School of Business at Dartmouth College in the fall of 1995.</t>
  </si>
  <si>
    <t>+1 (607) 871-2101</t>
  </si>
  <si>
    <t>zupan@alfred.edu</t>
  </si>
  <si>
    <t>Alfred</t>
  </si>
  <si>
    <t>Alfred, NY</t>
  </si>
  <si>
    <t>1 Saxon Drive</t>
  </si>
  <si>
    <t>14802</t>
  </si>
  <si>
    <t>Alfred University</t>
  </si>
  <si>
    <t>234892-99P</t>
  </si>
  <si>
    <t>Markus Buehler Ph.D</t>
  </si>
  <si>
    <t>Buehler</t>
  </si>
  <si>
    <t>Dr. Markus Buehler serves as Scientific Advisor at Safar Partners. He is Former Department Head of Civil and Environmental Engineering &amp; McAfee Professor of Engineering at MIT. He also directs the Laboratory for Atomistic and Molecular Mechanics (LAMM) and serves as the Director of the MIT-Germany Program. Until 2013, he served as Co-Director of the MIT Computation for Design and Optimization Program. Buehler has published more than 300 articles and delivered hundreds of plenary, keynote and invited speeches. Buehler received the NSF CAREER award, the United States Air Force Young Investigator Award, the Navy Young Investigator Award, and the DARPA Young Faculty Award, as well as the Presidential Early Career Award for Scientists and Engineers (PECASE). In 2010 he received the Harold E. Edgerton Faculty Achievement Award for exceptional distinction in teaching and in research or scholarship. Other awards include the TMS Hardy Award, the IEEE Holm Conference Mort Antler Lecture Award, the Materials Research Society Outstanding Young Investigator Award, the SES Young Investigator Medal, the Thomas J.R. Hughes Young Investigator Award, the Sia Nemat-Nasser Medal, the Rossiter W. Raymond Memorial Award, the Stephen Brunauer Award, the Alfred Noble Prize, and the Leonardo da Vinci Award. Buehler serves as a member of the editorial board of many international publications and has chaired numerous committees. He received a Ph.D. in Chemistry from the University of Stuttgart and the Max Planck Institute for Metals Research after obtaining a M.S. in Engineering Mechanics from Michigan Tech, and undergraduate studies in Chemical and Process Engineering at the University of Stuttgart.</t>
  </si>
  <si>
    <t>+1 (617) 452-2750</t>
  </si>
  <si>
    <t>Scientific Advisor</t>
  </si>
  <si>
    <t>40120-12P</t>
  </si>
  <si>
    <t>Nader Motamedy</t>
  </si>
  <si>
    <t>Motamedy</t>
  </si>
  <si>
    <t>Mr. Nader Motamedy is a Founder and serves as Managing Partner and Investment Committee Member at Safar Partners. He serves as Board Member at Aramis Biosciences. Prior to founding Safar, and until January 1, 2018, Nader was Senior Founding Partner, Chairman, and CEO of Caspian Private Equity ("CPE"), with over $3 billion under management. He led the Investment Team and was a member of the Investment Committee and responsible for the strategic direction as well as the development and management of the firm. During 2018, Nader was Vice Chairman of the Board of Managers of CPE. Prior to and concurrent to that, until January 2012, Nader was a Founding Partner and member of the Board of Managers of Caspian Capital Management, LLC ("CCM") which managed as much as $2.2 billion of alternative assets, including fixed income relative value portfolios and quantitative trading strategies. CCM also provided non-discretionary consulting on as much as $3 billion in structured products on funds of hedge fund programs. Nader began his investment career at Morgan Stanley in 1985 and worked at Prudential Securities and CDC Investment Management Corporation prior to founding CCM. Nader holds an MBA from Boston College and a BS in Mechanical Engineering from Boston University. He serves on various company and fund advisory boards. In addition to other community engagements, he is also actively involved in several youth assistance and development projects. Nader was instrumental in establishing the Paris St. Germain professional soccer team youth development program and its Foundation in the United States to help underprivileged youth achieve their athletic as well as academic potential. He is also a senior advisor to Inter Campus, the philanthropic arm of Inter Milan soccer team in New York as well as the Youri Djorkaeff Foundation. Nader is also the president of the Boston Children's Fund.</t>
  </si>
  <si>
    <t>+1 (212) 703-0300</t>
  </si>
  <si>
    <t>nader.motamedy@safar.partners</t>
  </si>
  <si>
    <t>Founder, Managing Partner and Investment Committee Member</t>
  </si>
  <si>
    <t>152194-33P</t>
  </si>
  <si>
    <t>Nicolas Fourt</t>
  </si>
  <si>
    <t>Fourt</t>
  </si>
  <si>
    <t>Mr. Nicolas Fourt served as Co-Chief Operating Officer &amp; Chief Revenue Officer at ACOFI. He also serves as a Business Advisor at Safar Partners. He graduated from ENSAE, holds a DEA in Economics from the University of Paris I, and is a member of the Institute of French Actuaries, He led until September 2008 all of Natixis' market activities, until after co-led those of the CDC and Ixis. His taste for innovation and structuring led him to participate in the creation of the bond market or to develop the team's expertise on the different segments of the securitization market. The Alfafinance consulting company that it launched in 2010, is more specifically involved in debt restructuring operations or those related to its customers in the field of management or insurance. It is in this capacity that he launched with ACOFI the first loan funds (2012).</t>
  </si>
  <si>
    <t>234847-00P</t>
  </si>
  <si>
    <t>Parinaz Motamedy</t>
  </si>
  <si>
    <t>Parinaz</t>
  </si>
  <si>
    <t>Ms. Parinaz Motamedy serves as Partner &amp; Investment Committee Member at Safar Partners. She serves as Board Member at Pirouette Medical. Prior to joining Safar, She worked at Accorhotels in Paris, investing in hospitality startups on Accor's corporate venture team. Before Accor, She worked on the Product Structuring Team at Blackstone, structuring specialized hedge fund products at Blackstone Alternative Asset Management in New York City. She has a BA in Philosophy and a secondary in Psychology from Harvard University.</t>
  </si>
  <si>
    <t>+1 (212) 655-0220</t>
  </si>
  <si>
    <t>parinaz.motamedy@safar.partners</t>
  </si>
  <si>
    <t>304752-25P</t>
  </si>
  <si>
    <t>Priti Marteil-Agarwal</t>
  </si>
  <si>
    <t>Marteil-Agarwal</t>
  </si>
  <si>
    <t>Ms. Priti Marteil-Agarwal serves as Managing Partner at NiXEN Partners. Ms. Marteil-Agarwal is the Founder &amp; serves as Managing Director at Primafi Partners. After starting her career in a consulting firm in New York, she joined the private equity sector in 1999. In 2006, she joined Natixis Private Equity and became a Partner responsible for Business Development and M&amp;A Synergies of the portfolio. It was at NPE that she worked with teams from Nixen Partners and Jean-Paul for the first time. From 2012 she managed her firm, Primafi Partners, which offered services in M&amp;A, development,t and management of investments in Private Equity to Family Offices and family SMEs/ETIs mainly.</t>
  </si>
  <si>
    <t>+33 (0)1 75 77 46 01</t>
  </si>
  <si>
    <t>priti.agarwal@nixen.com</t>
  </si>
  <si>
    <t>38 bis rue d'Artois</t>
  </si>
  <si>
    <t>+33 (0)1 53 75 47 06</t>
  </si>
  <si>
    <t>NiXEN Partners</t>
  </si>
  <si>
    <t>220781-26P</t>
  </si>
  <si>
    <t>Reza Dana MD</t>
  </si>
  <si>
    <t>Dr. Reza Dana is a Co-Founder and serves as Advisor at Aramis Biosciences. He is a Scientific Co-Founder &amp; serves as Board Member at Kera Therapeutics. He serves as Senior Advisor at 7G Bioventures. He is a Co-Founder and serves as Board Member at GelMEDIX. He also serves as Scientific Advisor at Safar Partners. is the Claes Dohlman Professor of Ophthalmology at Harvard Medical School, and Director of Cornea at the Massachusetts Eye and Ear, and Senior Scientist at the Schepens Eye Research Institute of Mass Eye and Ear, where he leads the Laboratory of Corneal Immunology, Transplantation and Regeneration. In addition, he is a faculty member of the Immunology graduate program at Harvard Medical School and Director of the Harvard-Vision Clinical Scientist Development Program. A graduate of Johns Hopkins and Harvard, his work focuses on disease mechanisms that underlie autoimmunity, tissue scarring, transplant failure, chronic inflammation, and pathological blood vessel formation. He has authored over 400 articles and his published work has been cited more than 26,000 times. He has been recipient of numerous awards, including the Association for Research in Vision and Ophthalmology Cogan and Friedenwald Awards, the Physician-Scientist Award, Senior Investigator Award and the Stein Innovation Award from Research to Prevent Blindness, the Alcon Research Institute Award, the Endre A. Balazs Prize from the International Society of Eye Research, and the Ellis Island Medal of Honor for his contributions in the United States. He is Editor-in-Chief of Cornea, Senior Associate Editor of Ocular Surface, and Senior Editor of Encyclopedia of the Eye. In addition to his basic investigations, he leads a translational research program that has received 12 IND permits from the US FDA. He has trained over 120 fellows and graduate students from 34 countries in his laboratory, and over 80 physician fellows to date. He is recipient of the A. Clifford Barger Excellence in Mentoring Award at Harvard Medical School.</t>
  </si>
  <si>
    <t>+1 (617) 912-7401</t>
  </si>
  <si>
    <t>reza.dana@aramisbio.com</t>
  </si>
  <si>
    <t>Medfield</t>
  </si>
  <si>
    <t>Medfield, MA</t>
  </si>
  <si>
    <t>266 Main Street, Building 2</t>
  </si>
  <si>
    <t>Suite 11</t>
  </si>
  <si>
    <t>02052</t>
  </si>
  <si>
    <t>Sightstream</t>
  </si>
  <si>
    <t>13815-73P</t>
  </si>
  <si>
    <t>Robert Metcalfe Ph.D</t>
  </si>
  <si>
    <t>Metcalfe</t>
  </si>
  <si>
    <t>Dr. Robert Metcalfe serves as Senior Advisor at Safar Partners. Dr. Metcalfe serves as Board Member &amp; Advisor at CubicPV. He serves as Advisor at SuperWorld. He served as Board Member at 1366 Technologies. He served as Partner Emeriti at Polaris Partners. He served as Advisor at UT Horizon Fund. He served as Partner at Polaris Partna ers. He was a Polaris Partner from 2001 - 2011. He is currently a Professor of Innovation in the Cockrell School of Engineering at The University of Texas at Austin. While an engineer-scientist, he helped pioneer the Internet. In 1973, at the Xerox Palo Alto Research Center, he invented Ethernet, the local-area networking standard on which he shares four patents. While an entrepreneur-executive (1979-1989), he founded 3Com Corporation, the billion-dollar networking company where at various times he was chairman, CEO, division general manager, and vice president of engineering, sales, and marketing. 3Com became part of HP in 2010. While a publisher-pundit (1990-2000), he was CEO of IDG's InfoWorld Publishing Company (1992-1995). For eight years, he opined about the Internet in an InfoWorld column read weekly by half a million information technologists. He was awarded the IEEE Medal of Honor in 1996. He received the 2003 Marconi Award for inventing the Ethernet and promulgating Metcalfe's Law. He received the National Medal of Technology from President Bush in 2003 and in May 2007, along with 17 others, he was inducted into the National Inventors Hall of Fame in Akron, Ohio. In 2008, he received the Fellow Award from the Computer History Museum. He earned two Bachelor's Degrees (Electrical Engineering and Industrial Management) from the Massachusetts Institute of Technology and his Masters's and Ph.D. degrees from Harvard University. His published books include Packet Communication, Beyond Calculation, and Internet Collapses.</t>
  </si>
  <si>
    <t>65932-57P</t>
  </si>
  <si>
    <t>Robert Millard</t>
  </si>
  <si>
    <t>Mr. Robert Millard serves as a Board Member, Member of the Nominating and Corporate Governance Committee &amp; Chairman of the Compensation Committee at Evercore Group. He also serves as a Managing Partner at Realm Partners. He serves as a Senior Advisor at Safar Partners. He serves as the Chairman of the Massachusetts Institute of Technology Corporation, as well as Chairman of the Executive Committee and a board member of the MIT Investment Management Company. Before becoming Chairman of MIT, Mr. Millard served as the Chairman of Realm Partners from 2009 to 2014 and held various senior roles, including Managing Director, at Lehman Brothers and its predecessors from 1976 to 2008. Mr. Millard is the Lead Independent Director of the Board of Directors and Chair of the Compensation and Executive Committees of L-3 Communications Corporation. He also served as a director of Weatherford International until February 2012 and as director of GulfMark Offshore until July 2013. He is a current member of the Council on Foreign Relations and serves on its Finance and Budget Committee. Mr. Millard has an M.B.A. from the Harvard Business School and an S.B. from the Massachusetts Institute of Technology.</t>
  </si>
  <si>
    <t>+1 (212) 857-3100</t>
  </si>
  <si>
    <t>55 East 52nd Street</t>
  </si>
  <si>
    <t>Board Member, Member of the Nomiating &amp; Chairman of the Compensation Committee</t>
  </si>
  <si>
    <t>Evercore Group</t>
  </si>
  <si>
    <t>380445-13P</t>
  </si>
  <si>
    <t>Ryan Owens</t>
  </si>
  <si>
    <t>Ms. Ryan Owens serves as Analyst at Safar Partners. She is currently completing her Ph.D. in Toxicology with a focus on Bioinformatics from the University of Rochester School of Medicine and Dentistry. Her research focuses on the relationship between chemosensory neurons and the immune system in the lab of Regina Rowe, MD., PhD. Previously, Ryan also worked at LabCorp Inc., and Yale University. She also holds a M.S. in Environmental Science and a B.S. in Biology.</t>
  </si>
  <si>
    <t>ryan.owens@safar.partners</t>
  </si>
  <si>
    <t>234845-92P</t>
  </si>
  <si>
    <t>Sahba Vaziri</t>
  </si>
  <si>
    <t>Sahba</t>
  </si>
  <si>
    <t>Vaziri</t>
  </si>
  <si>
    <t>Ms. Sahba Vaziri serves as Partner, Chief Financial Officer, and Investment Committee Member at Safar Partners. Sahba is a successful finance professional in the energy field, focusing on renewable energy. She has 20 years of experience financing power projects, both as a banker at Lehman Brothers, CS First Boston Corporation, and Bechtel Corporation, and as a personal investor. Most recently, Sahba worked as a financial consultant to the leading marine hydrokinetic energy company, Ocean Renewable Power Company, where she analyzed financial and market conditions, performed due diligence, and raised private and public financing. Sahba is a dual degree holder from MIT. She received her MBA from Sloan School of Management, with Concentrations in Finance and International Management. She also has a BSc in Electric Engineering from MIT with concentrations in Optoelectronics and Telecommunications. Sahba is involved with community volunteering, as a member of the Ethel Walker School Board of Trustees, the President of the 1172 Park Avenue Corporation Board of Directors, and a member of Mission: Restore Advisory Board.</t>
  </si>
  <si>
    <t>sahba.vaziri@safar.partners</t>
  </si>
  <si>
    <t>Partner, Chief Financial Officer and Investment Committee Member</t>
  </si>
  <si>
    <t>27533-80P</t>
  </si>
  <si>
    <t>Seth Lawry</t>
  </si>
  <si>
    <t>Lawry</t>
  </si>
  <si>
    <t>Mr. Seth Lawry serves as an Advisory Partner at Thomas H. Lee Partners. He served as a Board Member at HighByte. He also serves as a Trustee at Lawry Family Foundation. He also serves as Business Advisor at Safar Partners. Prior to joining Thomas H. Lee Partners, Mr. Lawry worked at Morgan Stanley &amp; Co. Incorporated in the Mergers and Acquisitions, Corporate Finance, and Equity Capital Markets Departments. Mr. Lawry also worked at General Atlantic Partners, a venture capital company. Mr. Lawry is currently a director of Agencyport Software Ltd., CompuCom Systems, Inc., and MoneyGram International, Inc. His prior directorships include Fidelity National Information Services, Inc., Houghton Mifflin Company, ProSiebenSat.1 Media AG, Safelite Glass Corp., Tucker Anthony Sutro, and Warner Music Group Corp. Mr. Lawry holds a B.A., magna cum laude, in Economics and German Studies from Williams College and an M.B.A. from the Stanford Graduate School of Business. Mr. Lawry currently serves as a trustee of Colby College and is active in various private and non-profit institutions.</t>
  </si>
  <si>
    <t>+1 (617) 227-1050</t>
  </si>
  <si>
    <t>slawry@thlee.com</t>
  </si>
  <si>
    <t>100 Federal Street</t>
  </si>
  <si>
    <t>Advisory Partner</t>
  </si>
  <si>
    <t>Thomas H. Lee Partners</t>
  </si>
  <si>
    <t>171287-11P</t>
  </si>
  <si>
    <t>Shreya Dave Ph.D</t>
  </si>
  <si>
    <t>Shreya</t>
  </si>
  <si>
    <t>Dr. Shreya Dave is a Co-Founder and serves as Chief Executive Officer, President and Board Member at Via Separations. She served as Board Member at Greentown Labs. She also serves as Business Advisor at Safar Partners. She worked with Professor Jeffrey Grossman at MIT for her Ph.D. research on graphene oxide membranes, which ultimately led to the founding of Via. Via was recognized as one of C&amp;EN's 10 startups to watch in 2019. She is passionate about interdisciplinary creativity, building things, and educating people. She was awarded Technology Review's 35 Innovators under 35 in 2018. She holds bachelor's and Masters's degrees from MIT in Mechanical Engineering and Technology &amp; Policy. For fun, she serves on MIT's Corporate Development Committee, the board of directors for Greentown Labs, and mentors in MIT's product design and development course, 2.009.</t>
  </si>
  <si>
    <t>+1 (781) 354-7945</t>
  </si>
  <si>
    <t>sdave@viaseparations.com</t>
  </si>
  <si>
    <t>Co-Founder, Chief Executive Officer, President and Board Member</t>
  </si>
  <si>
    <t>Via Separations</t>
  </si>
  <si>
    <t>64025-38P</t>
  </si>
  <si>
    <t>Sophie Vandebroek Ph.D</t>
  </si>
  <si>
    <t>Vandebroek</t>
  </si>
  <si>
    <t>Dr Sophie. Vandebroek serves as Board Member at Idexx Laboratories.Dr Sophie. Vandebroek serves as Advisor at Half Court Ventures. She serves as an Advisor at Blue Tulip Ventures. She serves as Member of the Supervisory Board and Member of the Audit Committee at Wolters Kluwer. She serves as Vice President, Emerging Technology Partnerships for International Business Machines, Inc. (IBM) since August 2018. She also serves as Board Member at Inari. She serves as Scientific Advisor at Safar Partners. She was previously Chief Operating Officer - IBM Research since January 2017. Prior to joining IBM, she was an executive with Xerox Corporation where she served as Chief Technology Officer and Corporate Vice President of Xerox Corporation and President of the Xerox Innovation Group from 2006 to 2016 and was Chief Engineer of Xerox Corporation from 2002 to 2005. She was also responsible for overseeing Xerox's global research centers, including the Palo Alto Research Center, or PARC Inc. She has been a member of the Advisory Council of the Dean of the School of Engineering at Massachusetts Institute of Technology since 2010. She is a Fellow of the Institute of Electrical &amp; Electronics Engineers, a Fulbright Fellow and a Fellow of the Belgian-American Educational Foundation. She holds an undergraduate degree in engineering and a master's degree in electro-mechanical engineering from KU Leuven, Leuven, Belgium, and a PhD in electrical engineering from Cornell University.</t>
  </si>
  <si>
    <t>+1 (207) 556-0300</t>
  </si>
  <si>
    <t>Westbrook</t>
  </si>
  <si>
    <t>Westbrook, ME</t>
  </si>
  <si>
    <t>One Idexx Drive</t>
  </si>
  <si>
    <t>04092</t>
  </si>
  <si>
    <t>+1 (207) 556-4346</t>
  </si>
  <si>
    <t>Idexx Laboratories</t>
  </si>
  <si>
    <t>116140-87P</t>
  </si>
  <si>
    <t>Timothy Swager</t>
  </si>
  <si>
    <t>Swager</t>
  </si>
  <si>
    <t>Mr. Timothy Swager is a Co-Founder of C2Sense. He is a Co-Founder of Fluorityx. He serves as Scientific Advisor at Safar Partners. He is a Co-Founder &amp; serves as Technical Advisor at Xibus Systems. He is the John D. MacArthur Professor of Chemistry at MIT, and is a co-founder of C2Sense supporting the startup as a consultant. He serves as a board Member of Inkibit. He co-founded Dynupol. He has published more than 400 peer-reviewed papers and has more than 60 issued/pending patents. A major focus of Swager's research in electronic organic materials is the demonstration of new conceptual approaches to the construction of sensory materials. These methods are the basis of the FidoTM explosives detectors (FLIR Systems Inc), which have the highest sensitivity of any explosives sensor. He is the co-founder of 4 companies and has served on a number of corporate and government boards. He is the Founder of Xibus. He is Professor of Chemistry at MIT and the Faculty Director of the Deshpande Center for Technological Innovation. More than 350 published peer-reviewed papers and more than 50 issued/pending patents. Founder of four additional companies, DyNuPol, Iptyx, PolyJoule, and C2Sense</t>
  </si>
  <si>
    <t>+1 (617) 651-3991</t>
  </si>
  <si>
    <t>timothy@c2sense.com</t>
  </si>
  <si>
    <t>500 Arsenal Street</t>
  </si>
  <si>
    <t>Hyperion Biosystems</t>
  </si>
  <si>
    <t>234846-55P</t>
  </si>
  <si>
    <t>Vera Schroeder Ph.D</t>
  </si>
  <si>
    <t>Vera</t>
  </si>
  <si>
    <t>Dr. Vera Schroeder serves as a Partner &amp; Investment Committee Member at Safar Partners. Dr. Schroeder serves as a Board Member at Ancilia Bio. She serves as a Board Member at Concerto Biosciences. She brings broad experience in the fields of chemistry, nanoscience, and materials science to the Safar team. As a graduate student, she worked in the laboratory of Professor Tim Swager at MIT focused on carbon-nanotube-based chemical sensing. While at MIT, she also spent her time at Sloan and HBX learning about venture creation and strategy as well as interning at the MP Healthcare Venture Management fund. She holds a BS in Chemistry and an MS in Chemistry from RWTH Aachen University and a Ph.D. in Chemistry from MIT.</t>
  </si>
  <si>
    <t>+1 (617) 642-1828</t>
  </si>
  <si>
    <t>vera.schroeder@safar.partners</t>
  </si>
  <si>
    <t>44055-46P</t>
  </si>
  <si>
    <t>Vladimir Bulović Ph.D</t>
  </si>
  <si>
    <t>Bulović</t>
  </si>
  <si>
    <t>Dr. Vladimir Bulović is a Co-Founder and serves as Scientific Advisor at Ubiquitous Energy. He is Professor of Electrical Engineering and Associate Dean for Innovation at MIT. He also serves as Scientific Advisor at Safar Partners. He has launched a number of technology companies that have successfully commercialized research from his group, including Kateeva and QD Vision. He is an inventor of over 50 patents in the field of organic optoelectronics and holds a BSE and PhD from Princeton University.</t>
  </si>
  <si>
    <t>bulovic@mit.edu</t>
  </si>
  <si>
    <t>Ubiquitous Energy (Former)</t>
  </si>
  <si>
    <t>122471-20P</t>
  </si>
  <si>
    <t>Alain Destrain</t>
  </si>
  <si>
    <t>Destrain</t>
  </si>
  <si>
    <t>Saint-Gobain</t>
  </si>
  <si>
    <t>Mr. Alain Destrain has served the majority of his professional career in the Vauxrot plant at Saint-Gobain Packaging (SGE, former Packaging Sector). Very early on he took a union career path at the Vauxrot plant, then in the local and national union organizations as Secretary responsible for union affairs at the Departemental Union of Aisne for three years, then as member of the Federal Glass and Ceramics Office since 1999. In 2002 he was in charge of collective bargaining in the Mechanical Glass Division through the FNTVC. At Saint-Gobain Packaging and the Saint-Gobain Group, he has been union representative (affiliated then titular member of the Central Enterprise Committee of SGE, Central Union Delegate of Verallia, Secretary of the Saint-Gobain Group Committee, member of the European Convention for Social Dialog and member of the Select Committee. In 2013, in recognition of his union career, he pursued certification training at Sciences Po Paris. Mr. Alain Destrain has served as Safety Auditor within Saint-Gobain Interservices since January 1, 2015. Mr. Alain Destrain has been a Director of Compagnie de Saint-Gobain since December 2014.</t>
  </si>
  <si>
    <t>+33 (0)1 88 54 00 00</t>
  </si>
  <si>
    <t>12 place de lIris</t>
  </si>
  <si>
    <t>La Defense Cedex</t>
  </si>
  <si>
    <t>92096</t>
  </si>
  <si>
    <t>395435-89P</t>
  </si>
  <si>
    <t>Ankit Ghelani</t>
  </si>
  <si>
    <t>Ankit</t>
  </si>
  <si>
    <t>Ghelani</t>
  </si>
  <si>
    <t>Mr. Ankit Ghelani serves as Deputy Director, Mergers &amp; Acquisitions at Saint-Gobain.</t>
  </si>
  <si>
    <t>ankit.ghelani@saint-gobain.com</t>
  </si>
  <si>
    <t>Deputy Director, Mergers &amp; Acquisitions</t>
  </si>
  <si>
    <t>319424-68P</t>
  </si>
  <si>
    <t>Anne Hardy Ph.D</t>
  </si>
  <si>
    <t>Dr. Anne Hardy serves as Chief Innovation Officer at Saint-Gobain. Dr. Hardy joined Saint-Gobain in 1992 as a Research Engineer in the Saint-Gobain Research North America center (Northboro, Massachusetts). She has held various positions within the Saint-Gobain R&amp;D organization - Deputy Vice President of Group's R&amp;D and director of the Northboro R&amp;D center. She currently has 16 patents, working with a range of materials and processes including ceramics, polymers and construction materials. In 2015 she received the STEP award from the Manufacturing Institute which recognizes women in science, technology, engineering and production careers. She has a PhD in Material Science from MIT. In addition, she has a BS degree in Chemical Engineering from the University of Utah.</t>
  </si>
  <si>
    <t>271463-50P</t>
  </si>
  <si>
    <t>Antoine Vignial</t>
  </si>
  <si>
    <t>Vignial</t>
  </si>
  <si>
    <t>Mr Antoine Vignial serves as Group General Counsel, Corporate Secretary &amp; Member of the Executive Committee at Saint-Gobain. He is a qualified lawyer, is a graduate of IEP Paris and ESSEC Business School with a post-graduate degree in private law from Université Paris II Panthéon-Assas. He began his career as a lawyer and then partner at Gide Loyrette Nouel before becoming a partner of the Freshfields Bruckhaus Deringer law firm in 1999. He joined Compagnie de Saint-Gobain in 2012 as Corporate Secretary and a member of the Executive Committee.</t>
  </si>
  <si>
    <t>antoine.vignial@saint-gobain.com</t>
  </si>
  <si>
    <t>338034-43P</t>
  </si>
  <si>
    <t>Attila Piros</t>
  </si>
  <si>
    <t>Attila</t>
  </si>
  <si>
    <t>Piros</t>
  </si>
  <si>
    <t>Mr. Attila Piros served as Chief Executive Officer at Saint-Gobain Hungary.</t>
  </si>
  <si>
    <t>attila.piros@saint-gobain.com</t>
  </si>
  <si>
    <t>142587-46P</t>
  </si>
  <si>
    <t>Aymeric D'Ydewalle</t>
  </si>
  <si>
    <t>Aymeric</t>
  </si>
  <si>
    <t>D'Ydewalle</t>
  </si>
  <si>
    <t>General Manager &amp; Manager</t>
  </si>
  <si>
    <t>Mr. Aymeric D'Ydewalle serves as General Manager-Advanced Ceramics Composites &amp; Strategy and Corporate Development Manager at Saint-Gobain. Mr. D'Ydewalle served as Business Manager at Saint-Gobain. He served as Strategy &amp; Corporate Development Manager at Saint-Gobain. Previously he served as a Global Player Management Trainee at Saint-Gobain. He holds Master's in Strategic Management from HEC Paris and Civil Engineering from Université catholique de Louvain. He also holds degree in Electronics from University of York.</t>
  </si>
  <si>
    <t>aymeric.dydewalle@saint-gobain.com</t>
  </si>
  <si>
    <t>General Manager-Advanced Ceramics Composites &amp; Strategy and Corporate Development Manager</t>
  </si>
  <si>
    <t>377466-58P</t>
  </si>
  <si>
    <t>Basma Kharrat</t>
  </si>
  <si>
    <t>Basma</t>
  </si>
  <si>
    <t>Kharrat</t>
  </si>
  <si>
    <t>Ms. Basma Kharrat serves as Vice President of External Venturing at Saint-Gobain. Ms. Kharrat serves as Vice President of External Venturing, Paris at Saint-Gobain NOVA. Based in Paris, France, she will oversee the global venturing efforts for Saint-Gobain. Under her leadership, NOVA's investment focus will continue to focus on building win-win collaborations, and a commitment to open innovation and supporting startups. She started her career in strategy consulting at BearingPoint, France, before joining Saint-Gobain in 2017. She worked first as Director of Strategic Planning, Mergers, and Acquisitions for the Saint-Gobain Innovative Materials business unit, then as General Manager for the company's ZirPro business within the Ceramics activity. She is a graduate of Ecole Polytechnique and Ecole des Mines de Paris.</t>
  </si>
  <si>
    <t>basma.kharrat@saint-gobain.com</t>
  </si>
  <si>
    <t>Vice President of External Venturing</t>
  </si>
  <si>
    <t>166209-85P</t>
  </si>
  <si>
    <t>Benoit Bazin</t>
  </si>
  <si>
    <t>Benoit</t>
  </si>
  <si>
    <t>Bazin</t>
  </si>
  <si>
    <t>Mr. Benoit Bazin serves as Chief Executive Officer &amp; Chairman at Saint-Gobain. Mr. Bazin served as Senior Vice President- President Construction Product Sector at CertainTeed. After studying in France and in the United States, and spending four years at the Interministerial Committee for Industrial Restructuring (ICIR) and the Treasury Department within the French Ministry of Finance, Benoit Bazin joined Saint-Gobain in 1999. He held various positions in France, including Corporate Planning Director from 2000 to 2002 and, starting in 2002, in the United States - in a general management role within High-Performance Materials, before taking the Chief Financial Officer role of Compagnie de Saint-Gobain in 2005. From 2009 to the end of 2015, Benoit Bazin headed the Building Distribution Sector. In 2010, he was named Senior Vice President of Compagnie de Saint-Gobain. From 2016 to the end of 2018, Benoit Bazin headed the Construction Products Sector. During 2017, he was President and CEO of CertainTeed Corporation in the United States. He was appointed Chief Operating Officer of Compagnie de Saint-Gobain on January 1, 2019 and elected to the Board on June 3, 2021. He was appointed Chief Executive Officer as from July 1, 2021. He becomes Chairman and Chief Executive Officer of Compagnie de Saint-Gobain at the close of the General Meeting of June 6, 2024. In addition, Benoit Bazin was appointed as Director of Vinci on June 18, 2020; and is, as such, Chairman of the Strategy and CSR Committee and member of the Nomination and Governance Committee. He was also a Director and a member of the Audit and Risk Committee of Essilor between 2009 and 2017, chairing the Audit and Risk Committee from May 2016 to March 2017.</t>
  </si>
  <si>
    <t>b.bazin@saint-gobain.com</t>
  </si>
  <si>
    <t>Chief Executive Officer and Chairman of the Board of Directors</t>
  </si>
  <si>
    <t>127510-03P</t>
  </si>
  <si>
    <t>Benoit Richard</t>
  </si>
  <si>
    <t>Mr. Benoit Richard serves as Director, Mergers &amp; Acquisitions and Strategic Development at Saint-Gobain. Previously, he served as Director of Strategy and Business Development at Saint-Gobain Solar. He holds degrees from Collège des ingénieurs and École des ponts ParisTech.</t>
  </si>
  <si>
    <t>benoit.richard@saint-gobain.com</t>
  </si>
  <si>
    <t>Director, Mergers &amp; Acquisitions and Strategic Development</t>
  </si>
  <si>
    <t>31900-87P</t>
  </si>
  <si>
    <t>Bernard Gautier</t>
  </si>
  <si>
    <t>Mr. Bernard Gautier received an engineer training (SUPELEC). He started his career by creating a company in the media sector, AG Euromedia, then pursued his career from 1983 to 1989 as consultant and then as Director of Studies at Arthur Andersen in the media-press and services sector. After 12 years at Bain &amp; Company, where he became Senior Partner and member of the International Board of Directors in 1999, he joined Atlas Venture in early 2001 as General Partner responsible for the Paris office from 2000 to 2003. He has operational and investment experience and considerable experience in information technology, telecommunications and related services, as well as in LBO funds and Private Equity. Mr. Bernard Gautier joined the Wendel Group in 2003 and became a Board member in 2005. He served as Chairman of the Board of Directors of Lineis (2003-2005), Director of Wheelabrator Allevard (2004-2005) and TFM (Wheelabrator Allevard Group) (2004-2005) and Vice Chairman of the Supervisory Board of Editis (2004-2008). His other offices and duties held over the past five years are described below. Mr. Bernard Gautier has been a Director of Compagnie de Saint-Gobain since June 2008</t>
  </si>
  <si>
    <t>395432-11P</t>
  </si>
  <si>
    <t>Christian Bako</t>
  </si>
  <si>
    <t>Bako</t>
  </si>
  <si>
    <t>Mr. Christian Bako serves as Vice President, Marketing &amp; Development at Saint-Gobain. Mr. Bako studied International Business Administration in Germany and Spain. He started his career in the windows industry at Roto Frank where during 8 years he held various positions in Sales, Marketing, Strategy &amp; General Management in Germany, Spain and France, before moving to the building distribution as Vice-President Western Hemisphere for VBH Holding. He joined Saint-Gobain in 2017 as Chief Digital Officer for the Building Glass division in Germany, Austria &amp; Switzerland. In 2018 he became Managing Director for the Glassolutions BU in Germany. In 2020 he joined Saint-Gobains Abrasives division where we was Managing Director of Central Europe until being nominated Vice-President Marketing &amp; Development for the Group as per September 1st 2023.</t>
  </si>
  <si>
    <t>christian.bako@saint-gobain.com</t>
  </si>
  <si>
    <t>Vice President, Marketing &amp; Development</t>
  </si>
  <si>
    <t>210550-24P</t>
  </si>
  <si>
    <t>Cordula Gudduschat</t>
  </si>
  <si>
    <t>Cordula</t>
  </si>
  <si>
    <t>Gudduschat</t>
  </si>
  <si>
    <t>Mr. Cordula Gudduschat serves as General Manager, Isover and Rigips Germany at Saint-Gobain. She studied in the European Business Program and holds a double diploma from the Fachhochschule Münster &amp; Bordeaux Business School. She worked for 11 years at Bosch, notably in Brazil, China, the Netherlands and Germany before joining Saint-Gobain in 2017 as International Marketing Director for Weber.</t>
  </si>
  <si>
    <t>cordula.gudduschat@saint-gobain.com</t>
  </si>
  <si>
    <t>General Manager, Isover and Rigips Germany</t>
  </si>
  <si>
    <t>295915-15P</t>
  </si>
  <si>
    <t>Dirk Meulder</t>
  </si>
  <si>
    <t>Meulder</t>
  </si>
  <si>
    <t>Mr. Dirk De Meulder serves as Project Director at Saint-Gobain. Mr. Meulder serves as Board Member at JUUNOO.</t>
  </si>
  <si>
    <t>427550-05P</t>
  </si>
  <si>
    <t>Hemant Khurana</t>
  </si>
  <si>
    <t>Hemant</t>
  </si>
  <si>
    <t>Khurana</t>
  </si>
  <si>
    <t>Mr. Hemant Khurana is the Founder and serves as Managing Director and Board Member at Saint-Gobain. He holds Master of Business Administration in Marketing &amp; Management from Indian Institute of Management, Calcutta. He also holds Bachelor of Engineering in Industrial Engineering from Delhi College of Engineering.</t>
  </si>
  <si>
    <t>hemant.khurana@saint-gobain.com</t>
  </si>
  <si>
    <t>Founder, Managing Director and Board Member</t>
  </si>
  <si>
    <t>122472-64P</t>
  </si>
  <si>
    <t>Herbster Dias</t>
  </si>
  <si>
    <t>Herbster</t>
  </si>
  <si>
    <t>Mr. Herbster Dias serves as Supply Chain Director at Saint-Gobain Sekurit &amp; Sekurit Service South America at Saint-Gobain.</t>
  </si>
  <si>
    <t>herbster.dias@saint-gobain.com</t>
  </si>
  <si>
    <t>Supply Chain Director at Saint-Gobain Sekurit &amp; Sekurit Service South America</t>
  </si>
  <si>
    <t>431778-70P</t>
  </si>
  <si>
    <t>Javier Gimeno</t>
  </si>
  <si>
    <t>Gimeno</t>
  </si>
  <si>
    <t>Mr. Javier Gimeno serves as Director of Latin America at Saint-Gobain.</t>
  </si>
  <si>
    <t>javier.gimeno@saint-gobain.com</t>
  </si>
  <si>
    <t>Director of Latin America</t>
  </si>
  <si>
    <t>228692-26P</t>
  </si>
  <si>
    <t>Laurence Pernot</t>
  </si>
  <si>
    <t>Pernot</t>
  </si>
  <si>
    <t>Ms. Laurence Pernot serves as Vice President of Communications at Saint-Gobain. In 1993, she was appointed Communications VP for the Regional Council of Loire Atlantique, before moving to the industry and joining the AREVA Group in 2001. She did her post-graduate studies in American History and Anthropology at the University of the Sorbonne.</t>
  </si>
  <si>
    <t>laurence.pernot@saint-gobain.com</t>
  </si>
  <si>
    <t>Vice President of Communications</t>
  </si>
  <si>
    <t>146221-66P</t>
  </si>
  <si>
    <t>Maud Thuaudet</t>
  </si>
  <si>
    <t>Thuaudet</t>
  </si>
  <si>
    <t>Ms. Maud Thuaudet serves as Chief Financial Officer at Saint-Gobain. Ms. Thuaudet serves as General Manager, Glass France at Saint-Gobain. Ms. Thuaudet served as Vice President of Corporate Strategy and Planning at Saint-Gobain. Ms. Thuaudet serves as Program Manager at Thales Alenia Space. Currently, she also serves as a Master of Business Administration Candidate (12D Class) at INSEAD.</t>
  </si>
  <si>
    <t>maud.thuaudet@thalesgroup.com</t>
  </si>
  <si>
    <t>222672-25P</t>
  </si>
  <si>
    <t>Mike Chaldecott</t>
  </si>
  <si>
    <t>Chaldecott</t>
  </si>
  <si>
    <t>Mr. Mike Chaldecott serves as Chief Executive Officer at Saint-Gobain, UK &amp; Ireland.</t>
  </si>
  <si>
    <t>mike.chaldecott@saint-gobain.com</t>
  </si>
  <si>
    <t>Chief Executive Officer of UK &amp; Ireland</t>
  </si>
  <si>
    <t>127502-56P</t>
  </si>
  <si>
    <t>Nader Fleury</t>
  </si>
  <si>
    <t>Fleury</t>
  </si>
  <si>
    <t>Mr. Nader Fleury serves as Vice President, Finance Southern Europe, Middle East &amp; Africa at Saint-Gobain. Mr. Fleury served as the Head of Finance at Placoplatre. He holds degree in 
Law &amp; Economics from Sciences-Po Paris and degree from HEC Paris.</t>
  </si>
  <si>
    <t>nader.fleury@saint-gobain.com</t>
  </si>
  <si>
    <t>Vice President, Finance Southern Europe, Middle East &amp; Africa</t>
  </si>
  <si>
    <t>286584-58P</t>
  </si>
  <si>
    <t>Noémie Chocat Ph.D</t>
  </si>
  <si>
    <t>Noémie</t>
  </si>
  <si>
    <t>Chocat</t>
  </si>
  <si>
    <t>Dr. Noémie Chocat serves as Vice President, Corporate Strategy at Saint-Gobain. Mr. Chocat graduated from Ecole Polytechnique and earning a PhD in Materials Science and Engineering from MIT, she joined Saint-Gobain in 2012 as a Research Engineer in SGR Paris. In 2015, she moved to the Building Distribution Sector central team as Digital Project Leader, then in 2017 to DSC within SGDB France as Director of Marketing Studies and Pricing. Since 2019, she has been the Digital Director of SGDB France. She has been appointed Vice-President of Corporate Strategy as of October 1, 2021.</t>
  </si>
  <si>
    <t>noemie.chocat@saint-gobain.com</t>
  </si>
  <si>
    <t>Vice President, Corporate Strategy</t>
  </si>
  <si>
    <t>262798-48P</t>
  </si>
  <si>
    <t>Ovidiu Pascutiu</t>
  </si>
  <si>
    <t>Ovidiu</t>
  </si>
  <si>
    <t>Pascutiu</t>
  </si>
  <si>
    <t>Mr. Ovidiu Pascutiu serves as Chief Executive Officer, Romania at Saint-Gobain.</t>
  </si>
  <si>
    <t>ovidiu.pascutiu@saint-gobain.com</t>
  </si>
  <si>
    <t>Chief Executive Officer, Romania</t>
  </si>
  <si>
    <t>134469-10P</t>
  </si>
  <si>
    <t>Pascal Lai</t>
  </si>
  <si>
    <t>Mr. Pascal Lai joined the Group in 1986 at the Aniche plant (Saint-Gobain Sekurit, Innovative Materials Sector) where he worked for 20 years in production in the furnace environment, then as a toolmaker. In 2000 he started a union career path (affiliated with the Confederation Française Democratique du Travail - CFDT), where he has successively held positions in the Aniche Facility Committee, as Personnel Representative and as full member of the CHSCT. He is also a full member of the Saint-Gobain Sekurit France Central Enterprise Committee. He has also held member positions on the Saint-Gobain Group Committee, as Group coordinator since 2011 and as full member of the Convention for European Social Dialog. Mr. Lai has held the position of Environment, Health and Safety Officer at Saint-Gobain Sekurit France since December 1, 2014. Mr. Pascal Lai has been a Director of Compagnie de Saint-Gobain since December 1, 2014.</t>
  </si>
  <si>
    <t>449931-61P</t>
  </si>
  <si>
    <t>Patrick DUPIN</t>
  </si>
  <si>
    <t>DUPIN</t>
  </si>
  <si>
    <t>Mr. Patrick DUPIN serves as Chief Operating Officer at Saint-Gobain.</t>
  </si>
  <si>
    <t>patrick.dupin@saint-gobain.com</t>
  </si>
  <si>
    <t>Group Chief Operating Officer</t>
  </si>
  <si>
    <t>296777-53P</t>
  </si>
  <si>
    <t>Patrick Maier</t>
  </si>
  <si>
    <t>Mr. Patrick Maier serves as Chief Executive Officer, Switzerland at Saint-Gobain. Mr. Maier serves as Chief Executive Officer at Sanitas Troesch.</t>
  </si>
  <si>
    <t>patrick.maier@saint-gobain.com</t>
  </si>
  <si>
    <t>Chief Executive Officer, Switzerland</t>
  </si>
  <si>
    <t>122472-55P</t>
  </si>
  <si>
    <t>Pierre Hebert</t>
  </si>
  <si>
    <t>Mr. Pierre Hebert serves as Director of Corporate and Functional Training &amp; Saint-Gobain University Shared Service Center at Saint-Gobain.</t>
  </si>
  <si>
    <t>pierre.hebert@saint-gobain.com</t>
  </si>
  <si>
    <t>Director of Corporate and Functional Training &amp; Saint-Gobain University Shared Service Center</t>
  </si>
  <si>
    <t>287293-78P</t>
  </si>
  <si>
    <t>Santhanam Bhuvaragamurthy</t>
  </si>
  <si>
    <t>Bhuvaragamurthy</t>
  </si>
  <si>
    <t>Mr. Santhanam Bhuvaragamurthy serves as Chief Executive Officer, Executive Director &amp; Managing Director at Grindwell Norton. He previously served as Chief Executive Officer, Asia-Pacific &amp; India Region at Saint-Gobain. He holds his B.Tech in Civil Engineering from the Indian Institute of Technology, Madras, and his Post-Graduation in Management from the Indian Institute of Management, Ahmedabad. He started his career as a Management Trainee in May 1980 at Grindwell Norton, a Saint-Gobain Group Company, and served in various functions such as Information Technology, Operations, Product Development, Sales, and Marketing. In 1996, he worked closely with the Saint-Gobain Group to develop a strategic blueprint for investments in India. In April 1997, he was appointed as Managing Director of Saint-Gobain Glass India. On January 1st, 2020, he became CEO of India. As of July 1, 2021, he has been appointed CEO of the Asia-Pacific &amp; India Region.</t>
  </si>
  <si>
    <t>santhanam.b@saint-gobain.com</t>
  </si>
  <si>
    <t>Chief Executive Officer, Asia-Pacific &amp; India Region</t>
  </si>
  <si>
    <t>231833-89P</t>
  </si>
  <si>
    <t>Sibylle Daunis</t>
  </si>
  <si>
    <t>Sibylle</t>
  </si>
  <si>
    <t>Daunis</t>
  </si>
  <si>
    <t>Ms. Sibylle Daunis serves as Director Representing Employee Shareholders at Saint-Gobain</t>
  </si>
  <si>
    <t>sibylle.daunis@saint-gobain.com</t>
  </si>
  <si>
    <t>Director Representing Employee Shareholders</t>
  </si>
  <si>
    <t>142298-38P</t>
  </si>
  <si>
    <t>Sophie Sebaoun-Rousselle</t>
  </si>
  <si>
    <t>Sebaoun-Rousselle</t>
  </si>
  <si>
    <t>Ms. Sophie Sebaoun-Rousselle serves as Supercut EMEA Business Manager at Saint-Gobain. Ms. Sebaoun-Rousselle served as Key Account &amp; DIY Channel Manager, Abrasives EMEA at Saint-Gobain. Previously she served as Distribution Optimization - P&amp;G at Procter &amp; Gamble. She holds a degree in Finance and Quantitative Economics fromm Ecole polytechnique. She also holds Master's in Supply Chain from MINES ParisTech and in Finance and Quantitative Economics from X - HEC respectively.</t>
  </si>
  <si>
    <t>s-sebaoun-rousselle@saint-gobain.com</t>
  </si>
  <si>
    <t>Supercut EMEA Business Manager</t>
  </si>
  <si>
    <t>200889-46P</t>
  </si>
  <si>
    <t>Sreedhar N.</t>
  </si>
  <si>
    <t>Sreedhar</t>
  </si>
  <si>
    <t>N.</t>
  </si>
  <si>
    <t>Mr. Sreedhar N. serves as Chief Financial Officer &amp; Member of Executive Committee at Saint-Gobain. Mr. N. served as Chief Financial Officer and Member of the Executive Committee at Saint-Gobain Performance Plastics. He is a qualified Management Accountant who holds a Master's degree in Commerce and a Master's degree in Management from Nagpur University (India). He joined the group in 1994 as a management accountant in the Abrasives Business in India and later assumed responsibility for its Finance function. In 2003, he moved to Paris and worked in various functions such as Internal Audit and the Group Finance Controlling at Compagnie de Saint-Gobain. In 2006 he was appointed Finance Director, West Europe, of the Construction Products Sector. In 2008, he returned to India as the General Manager of the Coated Abrasives Business and in 2010, he became Vice-President, of Abrasives India. Since 2015, he has been the Chief Financial Officer of the High-Performance Materials Sector. He has been appointed Chief Financial Officer of the Saint-Gobain group, effective January 1, 2019.</t>
  </si>
  <si>
    <t>Chief Financial Officer &amp; Member of Executive Committee</t>
  </si>
  <si>
    <t>226139-05P</t>
  </si>
  <si>
    <t>Stephan Lipinski</t>
  </si>
  <si>
    <t>Lipinski</t>
  </si>
  <si>
    <t>Mr. Stephan Lipinski serves as Business Transformation Director, EMEA at Saint-Gobain. Mr. Lipinskialso served as Chief Financial Officer at Saint-Gobain - Germany &amp; Austria, General Delegation Central Europe, Building Glass Europe + Glass Industry, Glass, Glass Deutschland and Rigips divisions. He previously served as Head Of Controlling Central and Eastern Europe at Saint-Gobain Beteiligungen.</t>
  </si>
  <si>
    <t>stephan.lipinski@saint-gobain.com</t>
  </si>
  <si>
    <t>Business Transformation Director, EMEA</t>
  </si>
  <si>
    <t>127503-91P</t>
  </si>
  <si>
    <t>Theophile Charlet</t>
  </si>
  <si>
    <t>Theophile</t>
  </si>
  <si>
    <t>Charlet</t>
  </si>
  <si>
    <t>Mr. Theophile Charlet serves as General Manager Zirpro at Saint-Gobain. Mr. Charlet served as General Manager, Central-South-East Europe &amp; Russia &amp; General Manager Central &amp; South East Europe at Saint-Gobain. He served as Sales Manager, Key Account Distribution - Europe, Middle-East, Africa of Saint-Gobain Abrasives at Saint-Gobain. Previously, he served as the External Venturing Project Coordinator at Saint-Gobain. He holds Master of Science in Management from City University London, Master's Degree from ESCP Europe and 
Diploma in Business Administration and Management from Europäische Wirtschaftshochschule Berlin.</t>
  </si>
  <si>
    <t>theophile.charlet@saint-gobain.com</t>
  </si>
  <si>
    <t>General Manager Zirpro</t>
  </si>
  <si>
    <t>257613-40P</t>
  </si>
  <si>
    <t>Ursula Soritsch-Renier</t>
  </si>
  <si>
    <t>Soritsch-Renier</t>
  </si>
  <si>
    <t>Ms. Ursula Soritsch-Renier serves as Chief Digital and Information Officer at Saint-Gobain.</t>
  </si>
  <si>
    <t>ursula.soritsch-renier@saint-gobain.com</t>
  </si>
  <si>
    <t>Chief Digital and Information Officer</t>
  </si>
  <si>
    <t>383035-96P</t>
  </si>
  <si>
    <t>Vivien Dardel</t>
  </si>
  <si>
    <t>Vivien</t>
  </si>
  <si>
    <t>Dardel</t>
  </si>
  <si>
    <t>Mr. Vivien Dardel serves as Analyst, Investor relations at Saint-Gobain.</t>
  </si>
  <si>
    <t>vivien.dardel@saint-gobain.com</t>
  </si>
  <si>
    <t>Analyst, Investor relations</t>
  </si>
  <si>
    <t>36370-00P</t>
  </si>
  <si>
    <t>Allison Goldberg</t>
  </si>
  <si>
    <t>Saints Capital</t>
  </si>
  <si>
    <t>Ms. Allison Goldberg serves as Managing Partner at Comcast Ventures. Ms. Goldberg had served as Venture Partner &amp; Advisor at Touchdown Ventures. She serves as Venture Partner at Saints Capital. She joined Touchdown Ventures in 2020 and has been a venture investor in the digital media and consumer technology sectors for over 20 years. She is currently a Partner at VC fund Saints Capital Media Ventures, a buyout of her strategic venture portfolio from Time Warner. She served as a Board Member of the video game company Proletariat. Prior to that, she was a Partner at Advancit Capital, focusing on early-stage investments in consumer and media technology companies. She previously served as Group Managing Director &amp; Senior Vice President of Time Warner Investments, where she ran the group focused on investing up to $25 million in private companies to generate both strategic value and financial returns for Time Warner Inc. Prior to joining Time Warner in July 2001, she was an Associate at Groupe Arnault, investing in and managing new media and technology equity investments for the private holding company of the Chairman of LVMH. She currently serves on the boards of FirstMark Horizon Acquisition Corp. (NYSE: FMAC.U), Vostok Emerging Finance (VEMF-SDB), and advertising technology company YieldMo. She is an active observer on the boards of Above Average, Amino, Bustle Digital Group, and Dynamic Signal. Previously, she was a director or active observer on the boards of several companies including Adify, Discord, FanDuel, Fuse Media, iStreamPlanet, Mashable, MediaVest, SambaTV, Simulmedia, Trion Worlds, and Visible World. She received a B.S. in Economics from the Wharton School at the University of Pennsylvania. She served as Board Member at Outpost Games.</t>
  </si>
  <si>
    <t>+1 (917) 934-1965</t>
  </si>
  <si>
    <t>61 Crosby Street</t>
  </si>
  <si>
    <t>Comcast Ventures</t>
  </si>
  <si>
    <t>13933-81P</t>
  </si>
  <si>
    <t>David Quinlivan</t>
  </si>
  <si>
    <t>Quinlivan</t>
  </si>
  <si>
    <t>Mr. David Quinlivan is a Co-Founder and serves as Managing Director of Saints Capital. He serves as Board Member at Aria Systems. Before co-founding Saints with Mr. Sawyer in 2000, He was the Senior Vice President of Finance at InsWeb, a publicly traded company providing online insurance solutions. While at InsWeb, Mr. Quinlivan was integrally involved in the company's fundraising efforts, including its initial public offering, and played a key role in the areas of corporate development and corporate strategy. Mr. Quinlivan was previously an investment banker at Credit Suisse First Boston with its Mergers and Acquisitions and Technology Groups. At CSFB, Mr. Quinlivan completed domestic and international transactions valued at over $10 billion in a wide variety of industries including technology, retail, and consumer products. He has also worked at the LEK Consulting Group, an international management consulting firm, providing strategic advice in the consumer technology, media, healthcare, and transportation industries. Mr. Quinlivan received an MBA from the Stanford Graduate School of Business and a BA, cum laude, in Physics from Harvard University. He received an MS in Physics from UCLA, where he also attended doctoral studies in solid-state physics. Mr. Quinlivan is the lead author of published scientific research on the electrical properties of high temperatures. He also served as Board Member and Board Observer at Alliance Global Services, Zazzle and CiDRA Holdings.</t>
  </si>
  <si>
    <t>+1 (415) 773-2080</t>
  </si>
  <si>
    <t>david@saintscapital.com</t>
  </si>
  <si>
    <t>Suite 1850</t>
  </si>
  <si>
    <t>135621-46P</t>
  </si>
  <si>
    <t>John Metz</t>
  </si>
  <si>
    <t>Metz</t>
  </si>
  <si>
    <t>Mr. John Metz serves as Board Member at Aryaka Networks. He served as Managing Director, Technology Investment Banking at Jefferies Financial Group. He serves as a Venture Partner at Saints Capital. He was Managing Director, Investment Banking at Credit Suisse. He has led over 35 technology IPOs, advised on over $200 BN in technology mergers and acquisitions, and over $3 BN in technology private placements in his 30-year career as a technology banker.</t>
  </si>
  <si>
    <t>+1 (888) 692-7925</t>
  </si>
  <si>
    <t>3945 Freedom Circle</t>
  </si>
  <si>
    <t>Aryaka Networks</t>
  </si>
  <si>
    <t>13933-54P</t>
  </si>
  <si>
    <t>Kenneth Sawyer</t>
  </si>
  <si>
    <t>Sawyer</t>
  </si>
  <si>
    <t>Mr. Kenneth Sawyer is a Co-Founder and serves as Managing Director at Saints Capital. He served as Board Member at Color Edge. Mr. Sawyer serves as Executive at State48 Ventures. He is a Co-Founder of Crib Equity. He serves as Venture Partner at Crossover VC. as He also serves as Board Member at OrSense. He has been selected as a member of the Forbes Midas list for several years, where he was recognized as one of the top 100 investors in venture capital globally. He served as Board Member at Acsis. He also served as a Board Member at Vidyo. Before co-founding Saints' direct secondary activities with Mr. Quinlivan in 2000, he was the Head of Strategic Advisory Services and Mergers and Acquisitions at Volpe Brown Whelan &amp; Co., a privately-held investment bank focused on emerging growth companies in the technology and healthcare industries. While at Volpe, he advised over 100 companies on strategic issues, assisted in completing over 50 M&amp;A transactions totaling several billion dollars, assisted in completing several strategic private placements and IPOs, and reviewed and approved over 50 IPOs of internet and technology companies as a member of the Commitment Committee. He grew his department's revenue by over eight times in his three years at Volpe Brown Whelan &amp; Co. Prior to working at Volpe Brown Whelan &amp; Co., he was a Partner at Colman Partners and a Principal at Colman Furlong &amp; Co. He also has operating experience as the CFO of New Image Industries, a publicly-traded digital imaging company. He also has operating experience as a founder and CEO of several small private companies. He began his career at Morgan Stanley &amp; Co. He received an MBA from the Stanford Graduate School of Business and a BS with honors in Industrial Engineering from Stanford University. At Stanford, he was elected as a member of the Phi Beta Kappa and Tau Beta Pi honor societies. He also studied in France, Washington, D.C., and at the Copenhagen School of Business in Denmark.</t>
  </si>
  <si>
    <t>ken@saintscapital.com</t>
  </si>
  <si>
    <t>13014-55P</t>
  </si>
  <si>
    <t>Robert Keppler</t>
  </si>
  <si>
    <t>Keppler</t>
  </si>
  <si>
    <t>Mr. Robert Keppler serves as Chief Financial Officer at Saints Capital. Before joining Saints in 2007, he was CFO of Centennial Ventures for ten years. Centennial Ventures managed over $1 billion of capital. Before Centennial, he worked for 18 years at Total Petroleum (North America), a multi-billion dollar public petroleum company, departing as a senior financial officer of the company. He began his career as a certified public accountant with PricewaterhouseCoopers. He received a BA in Business from Capital University. He also completed the Executive Management Development Program at the University of Virginia Graduate Business School and the Graduate Tax Program at the University of Denver.</t>
  </si>
  <si>
    <t>bob@saintscapital.com</t>
  </si>
  <si>
    <t>36997-48P</t>
  </si>
  <si>
    <t>Scott Halsted</t>
  </si>
  <si>
    <t>Halsted</t>
  </si>
  <si>
    <t>Mr. Scott Halsted is a Co-Founder and serves as Managing Partner at Revelation Partners. He is currently also a managing partner at Leerink Revelation Healthcare Funds I &amp; II , SC Everest, and SC Granite - all are funds dedicated to secondary investing in health care and represent in excess of $640 million in capital under management. Mr. Halsted was previously a managing member at Morgan Stanley Ventures, where he worked from 1987 to 2007. As co-head of the healthcare practice at Morgan Stanley Ventures, Mr. Halsted managed over $300 million of investments in over 40 companies. Prior to his investment career, Mr. Halsted worked in the medical technology field in the areas of product design and business development for Intermedics Orthopedics and Hexcel Medical. Mr. Halsted has completed over 50 health care transactions both as a primary and a secondary investor. Mr. Halsted's investments encompass many successful companies including: Intuitive Surgical, Incline Therapeutics (acquired by MDCO), Ekos Corporation (acquired by BAT), AngioScore (acquired by SPNC), Astex Pharmaceuticals, MediGuide (acquired by STJ), eValve (acquired by ABT), Enanta Pharmaceuticals, Estech Corporation (acquired by ATRC), Concentric (acquired by SYK), MileStone Healthcare (acquired by HCR), Arcadian Health (acquired by HUM), BenefitMall, Microgenics (acquired by Sybron), Rita Medical, Cytyc Corporation, Managed Health Networks (acquired by FDNH), R2 Technology (acquired by HOLX), TEI Bioscience (acquired by IART), InnFocus Medical (acquired by Santen) and DiscoveRx (acquired by Eurofins). Mr. Halsted is currently on the board of Intelycare and Optiscan Biomedical. Mr. Halsted received his MM degree from Northwestern University and his AB degree from Dartmouth College. He also received a BE degree in Biomechanical Engineering from the Thayer School of Engineering at Dartmouth College.</t>
  </si>
  <si>
    <t>+1 (415) 636-5420</t>
  </si>
  <si>
    <t>shalsted@revelation-partners.com</t>
  </si>
  <si>
    <t>290543-77P</t>
  </si>
  <si>
    <t>Spencer Clark</t>
  </si>
  <si>
    <t>Mr. Spencer Clark serves as Vice President at Saints Capital. Before joining Saints, he worked at MicroVentures, an online investment platform offering investments in early and late-stage private companies, where he led due diligence on dozens of investment opportunities. Before his time at MicroVentures, he interned at SigmaRoc Plc, a buy-and-build group that invests in and operates construction material assets in the UK and Northern Europe, Deloitte, and The Walt Disney Company in the finance department. He received an MSc in Management with an emphasis in Finance from University College London with first-class honors, and a BA in Accounting from Michigan State University.</t>
  </si>
  <si>
    <t>sclark@saintscapital.com</t>
  </si>
  <si>
    <t>314363-71P</t>
  </si>
  <si>
    <t>Achyut Jajoo</t>
  </si>
  <si>
    <t>Achyut</t>
  </si>
  <si>
    <t>Jajoo</t>
  </si>
  <si>
    <t>Mr. Achyut Jajoo serves as Senior Vice President &amp; General Manager of Manufacturing and Automotive at Salesforce.</t>
  </si>
  <si>
    <t>+1 (800) 420-7332</t>
  </si>
  <si>
    <t>achyut.jajoo@salesforce.com</t>
  </si>
  <si>
    <t>Senior Vice President &amp; General Manager of Manufacturing and Automotive</t>
  </si>
  <si>
    <t>367981-93P</t>
  </si>
  <si>
    <t>Ajay Arumugam</t>
  </si>
  <si>
    <t>Arumugam</t>
  </si>
  <si>
    <t>Mr. Ajay Arumugam serves as Senior Solution Engineer at Salesforce.</t>
  </si>
  <si>
    <t>aarumugam@salesforce.com</t>
  </si>
  <si>
    <t>Senior Solution Engineer</t>
  </si>
  <si>
    <t>47663-38P</t>
  </si>
  <si>
    <t>Alan Caudill</t>
  </si>
  <si>
    <t>Caudill</t>
  </si>
  <si>
    <t>Mr. Alan Caudill serves as Vice President, Commerce Cloud Kernel at Salesforce. He founded Dygest.</t>
  </si>
  <si>
    <t>acaudill@salesforce.com</t>
  </si>
  <si>
    <t>Vice President, Commerce Cloud Kernel</t>
  </si>
  <si>
    <t>391103-29P</t>
  </si>
  <si>
    <t>Alexandra Legend Siegel</t>
  </si>
  <si>
    <t>Legend Siegel</t>
  </si>
  <si>
    <t>Ms. Alexandra Legend Siegel serves as Chief Equality Officer at Salesforce.</t>
  </si>
  <si>
    <t>legendsiegela@salesforce.com</t>
  </si>
  <si>
    <t>Chief Equality Officer</t>
  </si>
  <si>
    <t>450715-33P</t>
  </si>
  <si>
    <t>Amit Khanna</t>
  </si>
  <si>
    <t>Khanna</t>
  </si>
  <si>
    <t>Mr. Amit Khanna serves as Senior Vice President and General Manager at Salesforce. He leads global industry solutions and product strategy for healthcare and life sciences. With over 20 years of enterprise software experience, he has held leadership roles at SAP and First Data Corporation. Amit holds a B.Tech in Engineering from the Indian Institute of Technology, Kanpur, and an MBA in Finance and Strategy from NYU's Stern School of Business.</t>
  </si>
  <si>
    <t>akhanna@salesforce.com</t>
  </si>
  <si>
    <t>Senior Vice President and General Manager</t>
  </si>
  <si>
    <t>68226-31P</t>
  </si>
  <si>
    <t>Andrew Calvert</t>
  </si>
  <si>
    <t>Calvert</t>
  </si>
  <si>
    <t>Chief Strategy Officer &amp; Executive</t>
  </si>
  <si>
    <t>Mr. Andrew Calvert serves as Chief of Staff to the Chairman of the Advisory Board and Chief Strategy Officer at Salesforce. He is also the Global Vice President at Frost &amp; Sullivan.</t>
  </si>
  <si>
    <t>+1 (415) 430-8493</t>
  </si>
  <si>
    <t>acalvert@salesforce.com</t>
  </si>
  <si>
    <t>Chief of Staff to the Chairman of the Advisory Board and Chief Strategy Officer</t>
  </si>
  <si>
    <t>367981-21P</t>
  </si>
  <si>
    <t>Ankit Misra</t>
  </si>
  <si>
    <t>Mr. Ankit Misra serves as Lead Solution Engineer at Salesforce.</t>
  </si>
  <si>
    <t>ankit.misra@salesforce.com</t>
  </si>
  <si>
    <t>Lead Solution Engineer</t>
  </si>
  <si>
    <t>175487-59P</t>
  </si>
  <si>
    <t>Ariel Kelman</t>
  </si>
  <si>
    <t>Kelman</t>
  </si>
  <si>
    <t>Chief Marketing Officer &amp; President</t>
  </si>
  <si>
    <t>Mr. Ariel Kelman serves as Chief Marketing Officer &amp; President at Salesforce. He served as Chief Marketing Officer at Fireblocks. He served as Chief Marketing Officer &amp; Executive Vice President at Oracle. He served as Vice President of Worldwide Marketing at Amazon Web Services. He is responsible for leading global marketing activities of Amazon's cloud computing business, Amazon Web Services, also known at AWS. Previous career positions have included Vice President Platform Product Marketing at Salesforce.com where he was responsible for product marketing activities relating to Salesforce's application development platform (Force.com). Ariel was also co-founder of Ventaso, a customer message management solutions platform, where he raised $65 million in venture capital funds. Ariel is a graduate of UC Berkeley with an Economics degree.</t>
  </si>
  <si>
    <t>ariel.kelman@salesforce.com</t>
  </si>
  <si>
    <t>60915-25P</t>
  </si>
  <si>
    <t>Arundhati Bhattacharya</t>
  </si>
  <si>
    <t>Arundhati</t>
  </si>
  <si>
    <t>Ms. Arundhati Bhattacharya serves as Board Member, Environmental, Social and Governance Committee Member &amp; Human Resources, Nomination and Remuneration Committee Member at Reliance Industries. She served as an Advisor at ChrysCapital. She serves as Chief Executive Officer and Chairperson at Salesforce, India. Ms. Bhattacharya served as Chairman of the Board at State Bank of India from 2013 to 2017. She held several positions during her career with the bank, including working in foreign exchange, treasury, retail operations, human resources, and investment banking. This included positions like the chief executive of the bank's merchant banking arm- State Bank of India Capital Markets; the Chief General Manager in charge of new projects. She has also served at the bank's New York office. Involved with the launch of several new businesses such as SBI General Insurance, SBI Custodial Services, SBI Pension Funds, and the SBI Macquarie Infrastructure Fund. In 2016, she was named the 25th most powerful woman in the world by Forbes. Ranked among the FT Top 100 Global Thinkers by Foreign Policy magazine. Named the 4th most powerful woman in Asia Pacific by Fortune in 2017. India Today magazine ranked her 19th in India's 50 Most Powerful People of 2017 list. In 2018, she was named Business Leader of the Year at The Asian Awards.</t>
  </si>
  <si>
    <t>+91 (0)22 2278 5000</t>
  </si>
  <si>
    <t>Maker Chambers IV, 222</t>
  </si>
  <si>
    <t>9th Floor, Nariman Point</t>
  </si>
  <si>
    <t>400021</t>
  </si>
  <si>
    <t>+91 (0)22 2204 2268</t>
  </si>
  <si>
    <t>Reliance Industries</t>
  </si>
  <si>
    <t>367999-57P</t>
  </si>
  <si>
    <t>Ashley Eliasoph</t>
  </si>
  <si>
    <t>Eliasoph</t>
  </si>
  <si>
    <t>Ms. Ashley Eliasoph serves as Senior Manager, Corporate Communications at Salesforce.</t>
  </si>
  <si>
    <t>aeliasoph@salesforce.com</t>
  </si>
  <si>
    <t>Senior Manager, Corporate Communications</t>
  </si>
  <si>
    <t>223560-10P</t>
  </si>
  <si>
    <t>Bill Patterson</t>
  </si>
  <si>
    <t>Executive Vice President &amp; General Manager</t>
  </si>
  <si>
    <t>Mr. Bill Patterson serves as Executive Vice President and General Manager - CRM Applications at Salesforce. He also serves as Board Observer at Automation Anywhere. Most recently, Bill led development of Salesforce Work.com, a set of new technology solutions to help business and community leaders around the world reopen safely, re-skill employees and respond efficiently on the heels of COVID-19. A former software engineer and enterprise solutions architect, Bill joined Salesforce in 2017 after a 14-year career at Microsoft, where he held various leadership roles across product strategy, product management, product marketing and software engineering.</t>
  </si>
  <si>
    <t>bill.patterson@salesforce.com</t>
  </si>
  <si>
    <t>Executive Vice President and General Manager - CRM Applications</t>
  </si>
  <si>
    <t>384766-93P</t>
  </si>
  <si>
    <t>Brad Arkin</t>
  </si>
  <si>
    <t>Arkin</t>
  </si>
  <si>
    <t>Mr. Brad Arkin serves as Chief Trust Officer at Salesforce. Arkin joins Salesforce with over 20 years of product and enterprise security leadership at companies including Cisco and Adobe. At Salesforce, Arkin will focus on working with customers, partners, and the company's extended ecosystem to prioritize trust and security in an AI-first world.</t>
  </si>
  <si>
    <t>barkin@salesforce.com</t>
  </si>
  <si>
    <t>72029-53P</t>
  </si>
  <si>
    <t>Bradley Robinson</t>
  </si>
  <si>
    <t>Mr. Bradley Robinson serves as Senior Director, Global Email Success and Journey Strategy at Salesforce. Previously he served as Senior Director, Marketing at Blu Homes.</t>
  </si>
  <si>
    <t>bradley.robinson@salesforce.com</t>
  </si>
  <si>
    <t>Senior Director, Global Email Success and Journey Strategy</t>
  </si>
  <si>
    <t>367996-42P</t>
  </si>
  <si>
    <t>Brandon Stauber</t>
  </si>
  <si>
    <t>Stauber</t>
  </si>
  <si>
    <t>Mr. Brandon Stauber serves as Senior Principal - ISV Technology Strategy, OneHLS - Global Health and Life Sciences at Salesforce.</t>
  </si>
  <si>
    <t>bstauber@salesforce.com</t>
  </si>
  <si>
    <t>Senior Principal - ISV Technology Strategy, OneHLS - Global Health and Life Sciences</t>
  </si>
  <si>
    <t>126489-79P</t>
  </si>
  <si>
    <t>Brett Gubenko</t>
  </si>
  <si>
    <t>Gubenko</t>
  </si>
  <si>
    <t>Mr. Brett Gubenko serves as Vice President, Healthcare &amp; Life Sciences at Salesforce. Previously he served as Commercial Account Executive, Financial Services at Salesforce.com</t>
  </si>
  <si>
    <t>+1 (415) 901-7000</t>
  </si>
  <si>
    <t>bgubenko@salesforce.com</t>
  </si>
  <si>
    <t>Vice President, Healthcare &amp; Life Sciences</t>
  </si>
  <si>
    <t>160327-99P</t>
  </si>
  <si>
    <t>Christine Worth</t>
  </si>
  <si>
    <t>Worth</t>
  </si>
  <si>
    <t>Ms. Christine Worth serves as Senior Director, Sales Programs at Salesforce.</t>
  </si>
  <si>
    <t>cworth@salesforce.com</t>
  </si>
  <si>
    <t>Senior Director, Sales Programs</t>
  </si>
  <si>
    <t>432278-56P</t>
  </si>
  <si>
    <t>Christopher Lyman</t>
  </si>
  <si>
    <t>Lyman</t>
  </si>
  <si>
    <t>Christopher Lyman serves as Regional Vice President of Private Equity Practice at Salesforce.</t>
  </si>
  <si>
    <t>clyman@salesforce.com</t>
  </si>
  <si>
    <t>Regional Vice President of Private Equity Practice</t>
  </si>
  <si>
    <t>160325-74P</t>
  </si>
  <si>
    <t>Christopher Post</t>
  </si>
  <si>
    <t>Post</t>
  </si>
  <si>
    <t>Mr. Christopher Post serves as Senior Account Executive - Enterprise Strategic Accounts at Salesforce. He served as Account Executive at Salesforce.</t>
  </si>
  <si>
    <t>cp@salesforce.com</t>
  </si>
  <si>
    <t>Senior Account Executive - Enterprise Strategic Accounts</t>
  </si>
  <si>
    <t>239976-46P</t>
  </si>
  <si>
    <t>Cynthia Florentino</t>
  </si>
  <si>
    <t>Florentino</t>
  </si>
  <si>
    <t>Ms. Cynthia Florentino serves as Solutions Manager Healthcare &amp; Life Sciences Industry at Salesforce. Before joining Accenture, she worked for Software.org, an international foundation, engaging with governments in a dialogue about innovation-enabling policies and partnering with leading organizations to expand the technological workforce of the future. Before Software.org, she was the policy analyst for the Association for Computing Machinery (ACM), leading all their policy initiatives, including on algorithmic transparency and accountability. She has a master's degree in International Science and Technology Policy from George Washington University and a bachelor's degree in Political Science from the University of Central Florida.</t>
  </si>
  <si>
    <t>cflorentino@salesforce.com</t>
  </si>
  <si>
    <t>Solutions Manager Healthcare &amp; Life Sciences Industry</t>
  </si>
  <si>
    <t>129852-46P</t>
  </si>
  <si>
    <t>Dan Farber</t>
  </si>
  <si>
    <t>Mr. Dan Farber serves as Senior Vice President, Global Strategic Communications at Salesforce. He serves as Board Member at Red Herring. He is also an Advisor at MetaMind.</t>
  </si>
  <si>
    <t>dan.farber@salesforce.com</t>
  </si>
  <si>
    <t>Senior Vice President, Global Strategic Communications</t>
  </si>
  <si>
    <t>74243-80P</t>
  </si>
  <si>
    <t>Dan Luton</t>
  </si>
  <si>
    <t>Luton</t>
  </si>
  <si>
    <t>Mr. Dan Luton serves as Services Portfolio Director at Salesforce. He served as Director, Product Development at roundCorner.</t>
  </si>
  <si>
    <t>dluton@salesforce.com</t>
  </si>
  <si>
    <t>Services Portfolio Director</t>
  </si>
  <si>
    <t>234530-02P</t>
  </si>
  <si>
    <t>Darryn Dieken</t>
  </si>
  <si>
    <t>Darryn</t>
  </si>
  <si>
    <t>Dieken</t>
  </si>
  <si>
    <t>Mr. Darryn Dieken serves as Chief Availability Officer at Salesforce.</t>
  </si>
  <si>
    <t>ddieken@salesforce.com</t>
  </si>
  <si>
    <t>Chief Availability Officer</t>
  </si>
  <si>
    <t>40346-47P</t>
  </si>
  <si>
    <t>Dave Angulo</t>
  </si>
  <si>
    <t>Angulo</t>
  </si>
  <si>
    <t>Mr. Dave Angulo serves as Software Architect at Salesforce. He served as a Chief Technology Officer of SpotRight. He is Co-founder of Spot Influence and served as its Chief Executive Officer. Prior to that he was at Cisco Systems for 10 years.</t>
  </si>
  <si>
    <t>dangulo@salesforce.com</t>
  </si>
  <si>
    <t>Software Architect</t>
  </si>
  <si>
    <t>88584-40P</t>
  </si>
  <si>
    <t>Dave Moellenhoff</t>
  </si>
  <si>
    <t>Moellenhoff</t>
  </si>
  <si>
    <t>Mr. Dave Moellenhoff is a Co-Founder &amp; serves as Board Member at Salesforce. Mr. Moellenhoff is an Angel Investor. He earned bachelor's degrees in computer science and electrical engineering from Washington University in 1992, as well as a master's degree in business administration in 1994. He serves as Advisor at Oort.</t>
  </si>
  <si>
    <t>69160-51P</t>
  </si>
  <si>
    <t>David Schmaier</t>
  </si>
  <si>
    <t>Schmaier</t>
  </si>
  <si>
    <t>Mr. David Schmaier serves as President &amp; Chief Product Officer at Salesforce. Mr. Schmaier is an Angel Investor. He has over three decades of experience building cloud-, CRM-, and industry-specific vertical software companies as an executive, entrepreneur, board member, and investor. David is President and Chief Product Officer, responsible for Salesforce's global product team, strategy, and vision. He and his organization partner closely with industry leading companies on their digital transformations to connect with and serve their customers in entirely new ways. Prior to Salesforce, he worked as the CEO and Founder at Vlocity - a three-time Forbes Cloud 100 company (2017, 2018, 2019) and strategic Salesforce ISV - delivering industry-specific cloud and mobile software with embedded digital, omni-channel processes for six industries. Vlocity was Salesforce's fastest growing ISV out of 5,000 and was acquired by Salesforce in June 2020. Prior to Vlocity, David worked on the Founding Executive Team and as Executive Vice President at Siebel Systems, a pioneering company in the CRM space. He helped build the company from an idea to a public company of 8,000 people and $2 billion in revenue. He continues to serve as a strategic advisory board member for Genstar Capital, a leading private equity firm. David worked previously in a variety of sales and marketing roles at Oracle Corporation and also at Braxton Associates (now part of Deloitte Consulting). He also served as COO and as an advisory board member for C3.ai, a leading provider of enterprise AI applications, and on the board of directors for Inxeption, a fast-growing industrial ecommerce software provider, as well as TravelClick, a leading hospitality software company. He also served on the board of trustees of Town School for Boys and The Hamlin School, both independent schools in San Francisco.</t>
  </si>
  <si>
    <t>davidschmaier@salesforce.com</t>
  </si>
  <si>
    <t>President &amp; Chief Product Officer</t>
  </si>
  <si>
    <t>74317-51P</t>
  </si>
  <si>
    <t>Dorothy Watson</t>
  </si>
  <si>
    <t>Ms. Dorothy Watson serves as Senior Strategic Account Manager - Retail at Salesforce. Previously he served as Vice President, Sales, Customer Implementations &amp; Solution Delivery at Scopix.</t>
  </si>
  <si>
    <t>watson@salesforce.com</t>
  </si>
  <si>
    <t>Senior Strategic Account Manager - Retail</t>
  </si>
  <si>
    <t>155546-02P</t>
  </si>
  <si>
    <t>Elizabeth Pinkham</t>
  </si>
  <si>
    <t>Pinkham</t>
  </si>
  <si>
    <t>Ms. Elizabeth Pinkham serves as Executive Vice President of Global Real Estate at Salesforce. A 20+ year Salesforce veteran, Pinkham was previously responsible for global strategic events. She has overseen a wide range of brand experiences and events, including managing the company's annual Dreamforce event in San Francisco from its first program in 2003 through Dreamforce 2016, which attracted 171,000 registered attendees and more than 16 million online viewers. Prior to joining Salesforce, Pinkham held marketing roles at Oracle and Sybase. Pinkham holds a BA from the University of California, Berkeley.</t>
  </si>
  <si>
    <t>epinkham@salesforce.com</t>
  </si>
  <si>
    <t>Bellevue</t>
  </si>
  <si>
    <t>Bellevue, WA</t>
  </si>
  <si>
    <t>Executive Vice President of Global Real Estate</t>
  </si>
  <si>
    <t>367175-26P</t>
  </si>
  <si>
    <t>Fatima Paruk MD</t>
  </si>
  <si>
    <t>Fatima</t>
  </si>
  <si>
    <t>Paruk</t>
  </si>
  <si>
    <t>Dr. Fatima Paruk serves as Senior Vice President &amp; Chief Health Officer at Salesforce. She brings her experience as a practicing physician, chief medical officer, and clinical technology strategy consultant to Salesforce's HLS. Prior to joining Salesforce, Fatima led McKinsey Company's Clinical Center of Excellence. She has also served as Chief Medical Information Officer for Microsoft US Health &amp; Life Sciences, and Chief Medical Officer of Analytics and Consumer Wellness at Allscripts, where she provided medical leadership to a world-class team of data scientists. Dr. Paruk successfully demonstrated the power of big data in improving health outcomes. Her team facilitated early identification of chronic diseases, successfully quantified impacts of social determinants of health, and worked to deliver such insights to the point of care to clinicians within their workflows, and to consumers.</t>
  </si>
  <si>
    <t>fparuk@salesforce.com</t>
  </si>
  <si>
    <t>Senior Vice President &amp; Chief Health Officer</t>
  </si>
  <si>
    <t>141206-14P</t>
  </si>
  <si>
    <t>Gagandeep Singh</t>
  </si>
  <si>
    <t>Gagandeep</t>
  </si>
  <si>
    <t>Mr. Gagandeep Singh serves as Director of Sales at Salesforce. He served as Manager, Mergers &amp; Acquisitions Integration at Salesforce.com. Previously he served as a Mergers &amp; Acquisitions Integration at eBay Inc.</t>
  </si>
  <si>
    <t>gagandeep.singh@salesforce.com</t>
  </si>
  <si>
    <t>Director of Sales</t>
  </si>
  <si>
    <t>79235-92P</t>
  </si>
  <si>
    <t>Greg Fiorindo</t>
  </si>
  <si>
    <t>Fiorindo</t>
  </si>
  <si>
    <t>Mr. Greg Fiorindo serves as Vice President of Sales, Manufacturing, Automotive and Energy at Salesforce. Mr. Fiorindo served as Director, Sales at SteelBrick. He served as Strategic Account Manager, SteelBrick at Salesforce.com. He served as Vice President of sales at Radius (Fwix). He served as Senior Vice President, Sales, Americas at Streetline. He earned BA (Bachelor of Arts) in Business Administration and Economics from the University of California, Berkeley in 1991.</t>
  </si>
  <si>
    <t>greg.fiorindo@salesforce.com</t>
  </si>
  <si>
    <t>Vice President of Sales, Manufacturing, Automotive and Energy</t>
  </si>
  <si>
    <t>367969-60P</t>
  </si>
  <si>
    <t>Hannah Freeman</t>
  </si>
  <si>
    <t>Ms. Hannah Freeman serves as Senior Product Marketing Manager at Salesforce.</t>
  </si>
  <si>
    <t>hfreeman@salesforce.com</t>
  </si>
  <si>
    <t>Senior Product Marketing Manager</t>
  </si>
  <si>
    <t>367999-21P</t>
  </si>
  <si>
    <t>James Page</t>
  </si>
  <si>
    <t>Page</t>
  </si>
  <si>
    <t>Mr. James Page serves as Director, Business Consulting at Salesforce.</t>
  </si>
  <si>
    <t>james@salesforce.com</t>
  </si>
  <si>
    <t>Director, Business Consulting</t>
  </si>
  <si>
    <t>80289-91P</t>
  </si>
  <si>
    <t>Jason Swetnam</t>
  </si>
  <si>
    <t>Swetnam</t>
  </si>
  <si>
    <t>Mr. Jason Swetnam serves as Senior Vice President - Enterprise Sales at Salesforce. He served as Regional Vice President of Enterprise Sales at Salesforce. He was a Vice President of Sales at Bitly.</t>
  </si>
  <si>
    <t>jswetnam@salesforce.com</t>
  </si>
  <si>
    <t>Senior Vice President - Enterprise Sales</t>
  </si>
  <si>
    <t>122825-98P</t>
  </si>
  <si>
    <t>Jayesh Govindarajan</t>
  </si>
  <si>
    <t>Jayesh</t>
  </si>
  <si>
    <t>Govindarajan</t>
  </si>
  <si>
    <t>Mr. Jayesh Govindarajan serves as Senior Vice President of AI and Machine Learning at Salesforce. He co-founded MinHash. He serves as Venture Partner at NeueCapital Partners.</t>
  </si>
  <si>
    <t>jgovindarajan@salesforce.com</t>
  </si>
  <si>
    <t>Senior Vice President of AI and Machine Learning</t>
  </si>
  <si>
    <t>64153-18P</t>
  </si>
  <si>
    <t>Jeff Amann JD</t>
  </si>
  <si>
    <t>Amann</t>
  </si>
  <si>
    <t>Dr. Jeff Amann serves as Chief Customer &amp; Commercial Officer, Products at Salesforce. He served as Chief Operating Officer at Vlocity. He was the President and Chief Operating Officer at BandPage, Inc. He was also the Board Member at Veeva Systems.</t>
  </si>
  <si>
    <t>jamann@salesforce.com</t>
  </si>
  <si>
    <t>Chief Customer &amp; Commercial Officer, Products</t>
  </si>
  <si>
    <t>366776-74P</t>
  </si>
  <si>
    <t>Jeff Kennedy</t>
  </si>
  <si>
    <t>Mr. Jeff Kennedy serves as Strategic Partnerships &amp; Alliances at Salesforce.</t>
  </si>
  <si>
    <t>jeff@salesforce.com</t>
  </si>
  <si>
    <t>Strategic Partnerships &amp; Alliances</t>
  </si>
  <si>
    <t>359167-15P</t>
  </si>
  <si>
    <t>Jim Steele</t>
  </si>
  <si>
    <t>Mr. Jim Steele serves as President of Global Strategic Customers at Salesforce. After a successful 23-year career at IBM, Jim decided to leave the company and head to Ariba in 2000. While at Ariba, Jim saw the company take a meteoric rise before the historic .com bubble burst in 2002. This would lead to Jim joining Salesforce as President of Global Sales. After eight years, Jim was named Chief Customer Officer of Salesforce. In 2014, Jim left Salesforce to rejoin the startup world with InsideSales.com and Yext, which he helped take public. In 2020, Jim returned to Salesforce as the President of Global Strategic Customers reporting to Gavin Patterson, Salesforce's new President &amp; Chief Revenue Officer. Jim says that not much had changed at the company since his time away - except how big Salesforce has become.</t>
  </si>
  <si>
    <t>jim.steele@salesforce.com</t>
  </si>
  <si>
    <t>President of Global Strategic Customers</t>
  </si>
  <si>
    <t>80032-78P</t>
  </si>
  <si>
    <t>John Somorjai JD</t>
  </si>
  <si>
    <t>Somorjai</t>
  </si>
  <si>
    <t>Mr. John Somorjai serves as President at Salesforce Ventures. He serves as Chief Corporate Development Officer and Chief Investments Officer at Salesforce. He also serves as a Board Member at Incode. Since 2005, he has been leading the evaluation, deal execution, and integration of Salesforce's corporate strategic transactions, including mergers and acquisitions, as well as investments. His team has helped bring the company into significant new growth areas and onboarded several key leaders through more than 60 acquisitions including Datorama, Demandware, ExactTarget, Heroku, InStranet, Krux, MetaMind, MuleSoft, Radian6, RelateIQ, Quip, SteelBrick and Tableau. Salesforce Ventures is the second most active corporate venture program in the world and its portfolio includes innovative cloud companies such as Anaplan, Classy, DocuSign, Dropbox, FinancialForce, GainSight, Lyft, nCino, Stripe, SurveyMonkey, Twilio, Zoom and Vlocity. His team has made more than 300 investments in companies located in 20 different countries. Before Salesforce, he was Vice President of Business Development for Ingenio, which was acquired by AT&amp;T. Before Ingenio, He worked for Oracle Corporation in Corporate Development. He is a member of the Board of Directors of the National Venture Capital Association. He holds a B.A. from Dartmouth College and a J.D. from the University of California at Berkeley.
.</t>
  </si>
  <si>
    <t>+1 (800) 667-6389</t>
  </si>
  <si>
    <t>Salesforce Ventures</t>
  </si>
  <si>
    <t>160328-26P</t>
  </si>
  <si>
    <t>Joshua Horgan</t>
  </si>
  <si>
    <t>Horgan</t>
  </si>
  <si>
    <t>Mr. Joshua Horgan serves as Enterprise Account Executive at Salesforce.</t>
  </si>
  <si>
    <t>jhorgan@salesforce.com</t>
  </si>
  <si>
    <t>Enterprise Account Executive</t>
  </si>
  <si>
    <t>313292-89P</t>
  </si>
  <si>
    <t>Juan Perez</t>
  </si>
  <si>
    <t>Perez</t>
  </si>
  <si>
    <t>Mr. Juan Perez serves as Chief Information Officer &amp; Executive Vice President at Salesforce. He is responsible for the global IT organization and leads the company's internal digital transformation to support growth and scale. His team supports the integration of new acquisition companies across the Salesforce ecosystem to streamline technology integration processes and drives global operational efficiencies through the implementation of modern technologies, including analytics, automation, artificial intelligence, and security, among others. Previously, he was Chief Information and Engineering Officer for UPS and a member of the UPS Executive Leadership Team, responsible for all technology and engineering functions. He was appointed to the role in 2017 after having served as CIO since 2016. He was a driving force behind UPS's adoption of advanced analytics and led the implementation of new technologies, including artificial intelligence, virtual assistants, and virtual reality solutions for driver training. He oversaw numerous technology systems that support the company's financial, human resources, operations, customer service, and sales, and managed a $6 billion engineering and IT budget. He oversaw the Advanced Technology Group, charged with future operational technology strategy including robotics, autonomous transportation, and network optimization, and helped develop driver dispatch and navigation solutions aimed at improving service and efficiencies. He also led the largest automation and capacity expansion in the company's recent history, He was also an executive advisor on diversity across the enterprise. In 2013, he was recognized by Computerworld as a Premier 100 IT Leader. In 2015 and 2017, he was recognized as one of the top 100 Hispanic IT leaders by the Hispanic IT Executive Council (HITEC). The Atlanta Telecom Professionals (ATP) awarded him with the 2015 Leadership Award. He was recognized in 2016 as a Top Latino Leader by the Council for Latino Workplace Equity. He was named CIO of the Year in 2017 by CIO Dive. In 2018, he was honored with the Distinguished Mexican award from the Mexican government for his personal and career achievements in the U.S. He was named 2018 CIO of the Year by the Georgia CIO Leadership Association in the Super Global category at its annual CIO of the Year® ORBIE® Awards. He was ranked 43 in the Latino Leaders Magazine 2020 list of the 101 Most Influential Latinos, and named to theboardiQ Hall of Fame LatinX | Hispanic Top 100 Honorees. In 2019, he received the Forbes CIO Innovation Award for his contributions to developing UPS' Global Smart Logistics Network. He holds a B.S. in industrial and systems engineering and an M.S. in computer and manufacturing engineering from the University of Southern California. He is a senior member of the Institute of Industrial Engineers and holds several professional certificates in project management, business administration, and IT management. He serves as a program evaluator for the Accreditation Board of Engineering and Technology (ABET) and was a lecturer at USC for seven years, where he taught courses in engineering economy, quality control, industrial engineering, and operations management. In 2019, he was named a member of The Hershey Company's board of directors and is a member of the advisory boards for the School of Industrial and Systems Engineering at UPS and the School of Business at Georgia Tech. Upon his retirement in 2022, UPS established the Juan Perez UPS Endowed Scholarship at the Viterbi School of Engineering at USC in support of Hispanic and female engineering students. He is an active member of his church and community.</t>
  </si>
  <si>
    <t>juan.perez@salesforce.com</t>
  </si>
  <si>
    <t>97100-11P</t>
  </si>
  <si>
    <t>Karly Bolton</t>
  </si>
  <si>
    <t>Karly</t>
  </si>
  <si>
    <t>Ms. Karly Bolton serves as Senior Director of Corporate Communications at Salesforce. He served as Manager, Corporate Communications at Salesforce.com.</t>
  </si>
  <si>
    <t>karly.bolton@salesforce.com</t>
  </si>
  <si>
    <t>Senior Director of Corporate Communications</t>
  </si>
  <si>
    <t>88982-20P</t>
  </si>
  <si>
    <t>Kathleen Collins</t>
  </si>
  <si>
    <t>Ms. Kathleen Collins serves as Vice President, Employee Success M&amp;A at Salesforce. Previously, she served as an Executive Communication Manager at HP.</t>
  </si>
  <si>
    <t>kathleen.collins@salesforce.com</t>
  </si>
  <si>
    <t>Vice President, Employee Success M&amp;A</t>
  </si>
  <si>
    <t>111810-16P</t>
  </si>
  <si>
    <t>Kedar Doshi</t>
  </si>
  <si>
    <t>Doshi</t>
  </si>
  <si>
    <t>Mr. Kedar Doshi serves as Executive Vice President, Big Data and Observability at Salesforce. Mr. Doshi is an Angel Investor. He served as Chief Technology Officer, CRM &amp; Chatter at Salesforce.com. He is responsible for overall technical vision of the Sales Cloud, Service Cloud and Chatter. He has worked with Salesforce since first joining as Chief Technology Officer for Customer Relationship Management (CRM) and Chatter in 2003. He was subsequently promoted to roles of increasing responsibility, including Senior Vice President of Engineering for Einstein.ai and Senior Vice President of Engineering for Einstein Analytics. Previously, Doshi held roles with Supplybase.com (an i2 Technologies company) and Oracle.</t>
  </si>
  <si>
    <t>kdoshi@salesforce.com</t>
  </si>
  <si>
    <t>Executive Vice President, Big Data and Observability</t>
  </si>
  <si>
    <t>141901-21P</t>
  </si>
  <si>
    <t>Kendall Collins</t>
  </si>
  <si>
    <t>Executive &amp; Executive Officer</t>
  </si>
  <si>
    <t>Mr. Kendall Collins serves as Chief Business Officer &amp; Chief of Staff to Marc Benioff at Salesforce. He serves as Advisor at Okta. He serves as Chief Business Officer &amp; Chief of Staff at Salesforce He is overseeing Corporate Marketing, Brand, Communications, Solutions Marketing, Demand Generation, Enablement, Sales Development, and Marketing Technology. Most recently, Kendall was an Executive in Residence at Accel. Before that, he served as the GM of Enterprise Technology at WeWork, and the Chief Marketing Officer of AppDynamics, which was acquired by Cisco. Prior to AppD, Kendall served as a Cloud CEO and CMO at Salesforce.com and held roles at Siebel Systems, Oracle, AT Kearney, and Procter &amp; Gamble. Kendall graduated with a B.S. in Commerce from the University of Virginia, a concentration in East Asian Studies, and studied at National Taiwan University. He has served on the Board of Algolia, Tech for Campaigns, and was appointed to the Digital Advisory Board for Obama for America.</t>
  </si>
  <si>
    <t>kendallcollins@salesforce.com</t>
  </si>
  <si>
    <t>Chief Business Officer &amp; Chief of Staff to Marc Benioff</t>
  </si>
  <si>
    <t>90023-05P</t>
  </si>
  <si>
    <t>Koby Ben-Zvi Ph.D</t>
  </si>
  <si>
    <t>Ben-Zvi</t>
  </si>
  <si>
    <t>Dr. Koby Ben-Zvi serves as President at Placer. He serves as Senior Vice President &amp; Managing Director, Israel at Salesforce. Dr. Ben-Zvi serves as a Senior Vice President and Managing Director, Salesforce Israel at Salesforce.com. He is the Co-Founder of BlueTail and was the Chairman and Chief Executive Officer of BlueTail. Over 40 years of experience in worldwide Executive Management and Business Development. Held various senior executive positions within public and private enterprises (USA and Israel); including SVP/Managing Director at Salesforce.com, CEO of Elron Software, and President at Sterling Software. Koby's rich history includes two successful exits: BlueTail (acquired by Salesforce.com) and Tefen Labs (acquired by Sterling Software).</t>
  </si>
  <si>
    <t>+1 (818) 937-0444</t>
  </si>
  <si>
    <t>koby@placer.ai</t>
  </si>
  <si>
    <t>Covina</t>
  </si>
  <si>
    <t>Covina, CA</t>
  </si>
  <si>
    <t>440 North Barranca Avenue</t>
  </si>
  <si>
    <t>Suite 1277</t>
  </si>
  <si>
    <t>91723</t>
  </si>
  <si>
    <t>Placer.ai</t>
  </si>
  <si>
    <t>111822-85P</t>
  </si>
  <si>
    <t>Kristofer Konietzko</t>
  </si>
  <si>
    <t>Kristofer</t>
  </si>
  <si>
    <t>Konietzko</t>
  </si>
  <si>
    <t>Mr. Kristofer Konietzko serves as Senior Director of Operations, Global Communications at Salesforce.</t>
  </si>
  <si>
    <t>kkonietzko@salesforce.com</t>
  </si>
  <si>
    <t>Senior Director of Operations, Global Communications</t>
  </si>
  <si>
    <t>47596-96P</t>
  </si>
  <si>
    <t>Kyle Robbins</t>
  </si>
  <si>
    <t>Mr. Kyle Robbins serves as Senior Product Manager, AI for Marketing (Einstein) at Salesforce. He currently serves as a Principal Product Lead, Personalization Builder &amp; Interaction Studio at Salesforce.</t>
  </si>
  <si>
    <t>krobbins@salesforce.com</t>
  </si>
  <si>
    <t>Senior Product Manager, AI for Marketing (Einstein)</t>
  </si>
  <si>
    <t>367982-38P</t>
  </si>
  <si>
    <t>Larry Davis</t>
  </si>
  <si>
    <t>Mr. Larry Davis serves as Industry Solutions MedTech at Salesforce.</t>
  </si>
  <si>
    <t>larry.davis@salesforce.com</t>
  </si>
  <si>
    <t>Industry Solutions MedTech</t>
  </si>
  <si>
    <t>36340-66P</t>
  </si>
  <si>
    <t>Marc Benioff</t>
  </si>
  <si>
    <t>Mr. Marc Benioff is a Co-Founder and serves as Co-Chief Executive Officer &amp; Chairman at Salesforce. Mr. Benioff is an Angel Investor. He served as an Advisor at Forward. He is the Founder of TIME Ventures. He serves as a Board Member at SilviaTerra and Artera. He serves as a Member of, the Breakthrough Energy Coalition at Breakthrough Energy. He serves as an Executive at The Marc R. Benioff Revocable Trust. He was the Owner of Efficient Capacity. He served as an Advisor at Brandcast. He co-founded Salesforce in 1999. He has been widely recognized for his visionary leadership and pioneering innovations. He is also a member of the World Economic Forum Board of Trustees. He also serves as a Board Member and Advisor at BirdEye. He created the 1-1-1 model of philanthropy, which leverages the resources of Salesforce to improve communities around the world. Before launching Salesforce, he spent 13 years at Oracle Corporation. He founded his first company, Liberty Software, which created video games, at the age of 15. He also worked as an assembly language programmer in Apple Computer's Macintosh Division. He is the author of three books, including the national bestseller, Behind the Cloud. He is also an Angel Investor. He served as an Advisor at DoubleRock. Building a different kind of company, he created Salesforce to not only develop great products but also to have a positive impact on the world. On day one, he created the 1-1-1 model of philanthropy, which leverages the resources of Salesforce to improve communities around the world. Today, more than 12,000 companies have adopted the 1-1-1 model through the Pledge 1% movement, and his wife, Lynne, has focused their philanthropy on healthcare, the environment, public education, and homelessness. He has given more than $250 million to the University of California, San Francisco, to build UCSF Benioff Children's Hospitals in San Francisco and Oakland. The Benioffs have also established the Benioff Ocean Initiative at the University of California, Santa Barbara, the UCSF Benioff Homelessness and Housing Initiative, the UCSF Benioff Initiative for Prostate Cancer Research, and the UCSF Benioff Center for Microbiome Medicine, and they have provided the initial funding for the Stanford Microbiome Therapies Initiative. A member of the World Economic Forum (WEF) board of trustees, he co-founded 1t.org - the global movement to conserve, restore, and grow 1 trillion trees - and the WEF Friends of Ocean Action. He also serves as the inaugural chair of WEF's Centre for the Fourth Industrial Revolution in San Francisco. He received a B.S. in Business Administration in 1986 and an honorary degree of Doctor of Humane Letters in 2014 from the University of Southern California.</t>
  </si>
  <si>
    <t>marc@salesforce.com</t>
  </si>
  <si>
    <t>Co-Founder, Co-Chief Executive Officer &amp; Chairman</t>
  </si>
  <si>
    <t>82073-53P</t>
  </si>
  <si>
    <t>Margaret Coyle</t>
  </si>
  <si>
    <t>Ms. Margaret Coyle serves as Executive Vice President, Corporate Development at Salesforce. She served as Group Vice President, Corporate Development at Oracle. Previously, she served as a Director Corporate Development at Fair Isaac.</t>
  </si>
  <si>
    <t>mcoyle@salesforce.com</t>
  </si>
  <si>
    <t>Executive Vice President, Corporate Development</t>
  </si>
  <si>
    <t>105154-21P</t>
  </si>
  <si>
    <t>Mei-lin Cheng</t>
  </si>
  <si>
    <t>Mei-lin</t>
  </si>
  <si>
    <t>Ms. Mei-lin Cheng serves as Operations, Professional Dev at Salesforce. Ms. Cheng served as the Senior Executive, Operations and Professional Development at SteelBrick. She also served as Vice President of Operations at SteelBrick. A former Olympics swimmer, Mei-lin demonstrates a sports-like competitive edge in her work. She had a 25-year career at Hewlett-Packard (HP) where she ended her tenure as VP &amp; CIO for HP's LaserJet Imaging Systems &amp; Computer Products business. In this role, she managed 400+ employees and a $500 million budget. Mei-lin successfully managed the re-engineering of the HP Supply Chain for Order Fulfillment, and the results of her team's efforts were featured in Fortune Magazine. She was responsible for all IT procurement, development, integration, and implementation strategies globally. Her previous positions at HP included order fulfillment reengineering manager, worldwide admin systems manager and other worldwide IT and engineering management positions. Mei-lin also help multiple roles at BigMachines including SVP Professional and Customer Services and Strategic Advisor, Sales Enablement. She holds an M.S. in operations research and a B.A. in economics and math from Stanford University. An honors math student, she trained to swim competitively, landing a spot on the Malaysian team sent to the 1972 Summer Olympics in Munich.</t>
  </si>
  <si>
    <t>+1 (847) 572-0300</t>
  </si>
  <si>
    <t>mei-lin@salesforce.com</t>
  </si>
  <si>
    <t>Operations, Professional Dev</t>
  </si>
  <si>
    <t>141320-53P</t>
  </si>
  <si>
    <t>Michael Gourhan</t>
  </si>
  <si>
    <t>Gourhan</t>
  </si>
  <si>
    <t>Mr. Michael Gourhan serves as Senior Director, Corporate Development at Salesforce.</t>
  </si>
  <si>
    <t>mgourhan@salesforce.com</t>
  </si>
  <si>
    <t>205206-76P</t>
  </si>
  <si>
    <t>Miguel Milano</t>
  </si>
  <si>
    <t>Milano</t>
  </si>
  <si>
    <t>Mr. Miguel Milano serves as President &amp; Chief Revenue Officer at Salesforce. He is a Co-Owner and served as Chief Revenue Officer at Celonis. Mr. Milano served as President at Salesforce Ventures. He is responsible for global sales, customer success, solution engineering, delivery, demand generation, and partners</t>
  </si>
  <si>
    <t>mmilano@salesforce.com</t>
  </si>
  <si>
    <t>President &amp; Chief Revenue Officer</t>
  </si>
  <si>
    <t>294069-52P</t>
  </si>
  <si>
    <t>Nathalie Scardino</t>
  </si>
  <si>
    <t>Scardino</t>
  </si>
  <si>
    <t>Chief People Officer &amp; President</t>
  </si>
  <si>
    <t>Ms. Nathalie Scardino serves as Chief People Officer &amp; President at Salesforce. Ms. Scardino is an Angel Investor. She's responsible for leading the Global Employee Success organization, which includes hiring and employee engagement, talent development, and cultivating Salesforce's high-performance 'Ohana culture. Previously, Nathalie served as the company's head of recruiting, onboarding, and employee learning - a unique role focused on the full candidate lifecycle from recruiting and onboarding to ongoing employee development and upskilling. With more than a decade at Salesforce, Nathalie has played a vital role in key company milestones, including the Racial Equality and Justice Task Force designed to accelerate the company's equality efforts. Prior to joining Salesforce, Nathalie worked at Reed Elsevier (now RELX Group), starting in sales and then moving into executive search focused on the technology and digital transformation practice. She was responsible for identifying C-suite and senior-level leadership talent, in addition to driving succession planning for both public and early-stage companies. Nathalie serves on the board of San Francisco Youth Theatre, a nonprofit transforming communities through accessible opportunities in theater arts creation, education, and performance. Nathalie holds a B.A. from Goldsmiths, University of London, and lives in San Francisco with her husband and their two sons.</t>
  </si>
  <si>
    <t>nscardino@salesforce.com</t>
  </si>
  <si>
    <t>89021-53P</t>
  </si>
  <si>
    <t>Omair Hussain</t>
  </si>
  <si>
    <t>Mr. Omair Hussain serves as Director, Credit and Collections (Toronto) at Salesforce. Previously, he served as a Senior Portfolio Analyst- M&amp;A Lead at Salesforce.com.</t>
  </si>
  <si>
    <t>ohussain@salesforce.com</t>
  </si>
  <si>
    <t>Director, Credit and Collections (Toronto)</t>
  </si>
  <si>
    <t>61824-70P</t>
  </si>
  <si>
    <t>Parker Harris</t>
  </si>
  <si>
    <t>Mr. Parker Harris is a Co-Founder and serves as Chief Technology Officer, Slack and Board Member at Salesforce. Mr. Harris is an Angel Investor. He served as Advisor at Elevate Security. Prior to Salesforce, he developed cloud computing expertise at Left Coast Software, a company he co-founded in 1996, and salesforce automation expertise at Metropolis Software, an early pioneer in field salesforce automation, subsequently acquired by Clarify. He developed a love of math, science and computer programming at an early age, but also developed the other side of his brain with a fluency in French and a degree in English Literature from Middlebury College. Before Salesforce, Parker co-founded cloud computing company Left Coast Software and worked at Metropolis Software, a pioneer in field sales force automation. Parker has a B.A. in English literature from Middlebury College. He resides in San Francisco.</t>
  </si>
  <si>
    <t>parker@salesforce.com</t>
  </si>
  <si>
    <t>Co-Founder, Chief Technology Officer, Slack &amp; Board Member</t>
  </si>
  <si>
    <t>160330-24P</t>
  </si>
  <si>
    <t>Patrick Reid</t>
  </si>
  <si>
    <t>Mr. Patrick Reid serves as Senior Vice President, North America Financial Services at Salesforce.</t>
  </si>
  <si>
    <t>preid@salesforce.com</t>
  </si>
  <si>
    <t>Senior Vice President, North America Financial Services</t>
  </si>
  <si>
    <t>292299-22P</t>
  </si>
  <si>
    <t>Peter Schwartz</t>
  </si>
  <si>
    <t>Mr. Peter Schwartz serves as Chairman at B612 Foundation. Mr. Schwartz serves as Senior Vice President of Strategic Planning. He specializes in scenario-planning and working with corporations, governments and institutions to create alternative perspectives of the future and develop robust strategies for a changing and uncertain world. As Senior Vice President of Strategic Planning for Salesforce, he manages the organization's ongoing strategic conversation. Prior to joining Salesforce, Mr. Schwartz was co-founder and chairman of Global Business Network. He is the author of several works. His first book, The Art of the Long View, is considered a seminal publication on scenario planning. Mr. Schwartz has also served as a script consultant on the films The Minority Report, Deep Impact, Sneakers and War Games. He received a B.S. in aeronautical engineering and astronautics from Rensselaer Polytechnic Institute in New York.</t>
  </si>
  <si>
    <t>pschwartz@salesforce.com</t>
  </si>
  <si>
    <t>Senior Vice President of Strategic Planning</t>
  </si>
  <si>
    <t>367983-73P</t>
  </si>
  <si>
    <t>Prashant Bhargava</t>
  </si>
  <si>
    <t>Bhargava</t>
  </si>
  <si>
    <t>Mr. Prashant Bhargava serves as Principal Solution Engineer at Salesforce.</t>
  </si>
  <si>
    <t>pbhargava@salesforce.com</t>
  </si>
  <si>
    <t>Principal Solution Engineer</t>
  </si>
  <si>
    <t>62087-59P</t>
  </si>
  <si>
    <t>Raj Rajen</t>
  </si>
  <si>
    <t>Mr. Raj Rajen serves as Director, Technical Consulting at Salesforce. He served as Technical Architect at Salesforce.com. He served as Chief Technologist at Janeeva. He leads the development and implementation teams at Janeeva.Raj has 19 years of technology industry experience as a senior developer with a focus on Web-based Enterprise Software. Raj was most recently the Principal Architect at Mechanical Dynamics Inc. and MSC Software for their enterprise-level Collaborative Product Commerce (CPC) and Simulation Data Management (SDM) solutions. Prior to that, he led the technical teams at BlueGill Technologies, where he developed solution architecture and managed implementation for BlueGill's Fortune 100 customers. Raj also has extensive experience in user interface design and analytical software development through senior technical positions at Automated Analysis Corporation and TNO (Netherlands).</t>
  </si>
  <si>
    <t>rrajen@salesforce.com</t>
  </si>
  <si>
    <t>Director, Technical Consulting</t>
  </si>
  <si>
    <t>367979-59P</t>
  </si>
  <si>
    <t>Raquel Campos</t>
  </si>
  <si>
    <t>Ms. Raquel Campos serves as Corporate Marketing Manager at Salesforce.</t>
  </si>
  <si>
    <t>+1 (206) 368-9893</t>
  </si>
  <si>
    <t>raquel.campos@salesforce.com</t>
  </si>
  <si>
    <t>Corporate Marketing Manager</t>
  </si>
  <si>
    <t>298238-86P</t>
  </si>
  <si>
    <t>Robert DeSisto</t>
  </si>
  <si>
    <t>DeSisto</t>
  </si>
  <si>
    <t>Mr. Robert DeSisto serves as Senior Vice President &amp; General Manager of B2C Commerce at Salesforce. Previously, Rob managed the monetization and pricing strategy of Salesforce's entire product portfolio and served as chief advisor on strategic accounts.</t>
  </si>
  <si>
    <t>robert.desisto@salesforce.com</t>
  </si>
  <si>
    <t>Senior Vice President &amp; General Manager of B2C Commerce</t>
  </si>
  <si>
    <t>89024-59P</t>
  </si>
  <si>
    <t>Robert Keith</t>
  </si>
  <si>
    <t>Mr. Robert Keith serves as Managing Director, Salesforce Ventures at Salesforce. He serves as Partner at Salesforce Ventures. He serves as Board Observer at Second Front. Previously, he served as an Investment Banking Analyst - Technology at Morgan Stanley.</t>
  </si>
  <si>
    <t>rkeith@salesforce.com</t>
  </si>
  <si>
    <t>Managing Director, Salesforce Ventures</t>
  </si>
  <si>
    <t>36373-15P</t>
  </si>
  <si>
    <t>Robin Washington</t>
  </si>
  <si>
    <t>Ms. Robin Washington serves as Board Member &amp; Member of the Audit Committee at Honeywell. Ms. Washington serves as Board Member at Mastercard Foundation. Ms. Washington serves as Board Member, Member of Audit and Compliance Committee &amp; Chairman of Leadership Development, Inclusion and Compensation Committee at Alphabet. She serves as Board Member at StockX. She served as the Executive of Catalyst Partners Acquisition. She also served as an Advisor at General Catalyst. She served as an Advisor at Health Equity Ventures. She serves as a Board Member at Salesforce. She serves as a Board Member &amp; Chairman of the Leadership Development, Inclusion, and Compensation Committee at Alphabet. She serves as a Board Member at Alphabet. She serves as a Board Member at Vertiv. She also serves as a Board Member and Advisor at Beacon Biosignals and Eikon Therapeutics. She also serves as an Advisory Board Member at Altas Partners. Upon consummation of the Business Combination on February 7, 2020, She was appointed to serve as one of our directors. She is the former Executive Vice President and Chief Financial Officer of Gilead Sciences, Inc. (NASDAQ: GILD), a biopharmaceutical company. She held this role from May 2008 until November 1, 2019, the effective date of her retirement as Chief Financial Officer, and remains an advisor to the company until March 1, 2020. From 2006 to 2007, She served as Chief Financial Officer of Hyperion Solutions, an enterprise software company that was acquired by Oracle Corporation in March 2007. Before that, she spent nearly 10 years at PeopleSoft, Inc., a provider of enterprise application software, where she served in several executive positions, most recently in the role of Senior Vice President and Corporate Controller. Since April 2019, She also serves as a Board Member and Chairman of the Leadership Development and Compensation Committee at Alphabet Inc. (NASDAQ: GOOG), a multinational technology company. She also currently serves as a director of Honeywell International, Inc. (NYSE: HON), a diversified technology and manufacturing company, where she has served since April 2013. She also serves on the Board of Visitors, Graziadio School of Business and Management, Pepperdine University, the President's Council &amp; Ross Business School Advisory Board, the University of Michigan, and the UCSF Benioff Children's Hospital Oakland Board of Directors. She is a Certified Public Accountant and received a B.A. in Business Administration from the University of Michigan and an M.B.A. from Pepperdine University.</t>
  </si>
  <si>
    <t>+1 (703) 535-7000</t>
  </si>
  <si>
    <t>robin.washington@honeywell.com</t>
  </si>
  <si>
    <t>356203-18P</t>
  </si>
  <si>
    <t>Sabastian Niles</t>
  </si>
  <si>
    <t>Sabastian</t>
  </si>
  <si>
    <t>Niles</t>
  </si>
  <si>
    <t>Mr. Sabastian Niles serves as Chief Legal Officer &amp; President at Salesforce. Prior to joining Salesforce, Sabastian was a partner at Wachtell, Lipton, Rosen &amp; Katz, where he worked with U.S. and international companies navigating corporate transformations, creating value through innovation, and sustaining stakeholder trust. His wide-ranging client work included developing and leading teams advising CEOs, boards of directors, and senior executives on corporate governance, enterprise risk oversight, strategic and financial investments, alliances, and mergers and acquisitions. He also worked with teams to advance sustainability priorities, strengthen stakeholder and shareholder relationships, and deepen corporate purpose to create value and fortify culture.</t>
  </si>
  <si>
    <t>sniles@salesforce.com</t>
  </si>
  <si>
    <t>President &amp; Chief Legal Officer</t>
  </si>
  <si>
    <t>110727-01P</t>
  </si>
  <si>
    <t>Samuel Thompson JD</t>
  </si>
  <si>
    <t>Mr. Samuel Thompson serves as Quality Assurance Consultant at Salesforce. He served as Associate at Pepper Hamilton. He is an associate in the Intellectual Property Litigation Practice Group of Pepper Hamilton LLP, resident in the Philadelphia office. Mr. Thompson is admitted to practice in the District of Columbia and Virginia.</t>
  </si>
  <si>
    <t>samuelthompson@salesforce.com</t>
  </si>
  <si>
    <t>Quality Assurance Consultant</t>
  </si>
  <si>
    <t>123100-93P</t>
  </si>
  <si>
    <t>Scott Hansma</t>
  </si>
  <si>
    <t>Hansma</t>
  </si>
  <si>
    <t>Mr. Scott Hansma serves as Executive Vice President, Engineering at Salesforce. Mr. Angel Investor is an Angel Investor.</t>
  </si>
  <si>
    <t>shansma@salesforce.com</t>
  </si>
  <si>
    <t>Executive Vice President, Engineering</t>
  </si>
  <si>
    <t>98818-93P</t>
  </si>
  <si>
    <t>Scott Mitchell</t>
  </si>
  <si>
    <t>Mr. Scott Mitchell serves as Strategic Account Executive - GovSI at Salesforce. He served as the Vice President of Sales at New Signature. He leads New Signature's high-powered national sales team that has achieved double-digit growth for the last nine years. He is responsible for expanding New Signature's channel relationships and all aspects of the sales process including hiring, training, mentoring, managing and coaching sales teams.</t>
  </si>
  <si>
    <t>+1 (617) 252-0795</t>
  </si>
  <si>
    <t>scottmitchell@salesforce.com</t>
  </si>
  <si>
    <t>Strategic Account Executive - GovSI</t>
  </si>
  <si>
    <t>186047-29P</t>
  </si>
  <si>
    <t>Silvio Savarese Ph.D</t>
  </si>
  <si>
    <t>Savarese</t>
  </si>
  <si>
    <t>Dr. Silvio Savarese serves as Executive Vice President &amp; Chief Scientist at Salesforce. Dr. Savarese serves as Advisor at Twelve Labs. He is an Angel Investor. He had served as Chief Scientist and co-founder at Aibee. He is an Associate Professor of Computer Science at Stanford University and director of the SAIL-Toyota Center for AI Research at Stanford. He earned his Ph.D. in Electrical Engineering from the California Institute of Technology. He is a world-class expert in computer vision especially in visual 3D reconstruction. He is the recipient of several awards including the James R. Croes Medal and Google Research Award. He was a Beckman Institute Fellow at the University of Illinois at Urbana-Champaign and an Associate Professor of Electrical and Computer Engineering at the University of Michigan, Ann Arbor.</t>
  </si>
  <si>
    <t>+1 (626) 405-0120</t>
  </si>
  <si>
    <t>ssavarese@salesforce.com</t>
  </si>
  <si>
    <t>Executive Vice President &amp; Chief Scientist</t>
  </si>
  <si>
    <t>217607-95P</t>
  </si>
  <si>
    <t>Srinivas Tallapragada</t>
  </si>
  <si>
    <t>Srinivas</t>
  </si>
  <si>
    <t>Tallapragada</t>
  </si>
  <si>
    <t>Mr. Srini Tallapragada serves as President &amp; Chief Engineering Officer at Salesforce. He serves as Board Member at Avalara. He leads a globally distributed and diverse team of technologists responsible for building and operating the company's market leading innovative products and platform. Tallapragada joined Salesforce in 2012 and brings more than 20 years of product development experience in enterprise software including leading the development of ERP, CRM, e-commerce and industry-specific applications. Prior to Salesforce, Tallapragada held multiple leadership roles at Oracle and SAP leading the development of many of core enterprise applications and integration of technology from numerous acquisitions. Tallapragada holds a Masters from the school of Human Resources at XLRI, Jamshedpur, India and a Bachelors of Technology in Computer Science from the National Institute of Technology (NIT), Warangal, India.</t>
  </si>
  <si>
    <t>stallapragada@salesforce.com</t>
  </si>
  <si>
    <t>President &amp; Chief Engineering Officer</t>
  </si>
  <si>
    <t>126486-01P</t>
  </si>
  <si>
    <t>Stephanie Glenn</t>
  </si>
  <si>
    <t>Ms. Stephanie Glenn serves as Executive Vice President, Digital (Marketing &amp; Commerce Cloud) at Salesforce.</t>
  </si>
  <si>
    <t>sglenn@salesforce.com</t>
  </si>
  <si>
    <t>Executive Vice President, Digital (Marketing &amp; Commerce Cloud)</t>
  </si>
  <si>
    <t>262790-20P</t>
  </si>
  <si>
    <t>Sundeep Reddy</t>
  </si>
  <si>
    <t>Mr. Sundeep Reddy serves as Chief Accounting Officer &amp; Executive Vice President at Salesforce. He also serves as Board Member at Make-A-Wish Foundation of America. Prior to joining Salesforce, Mr. Reddy served in a variety of corporate finance leadership roles at McKesson Corporation, a pharmaceutical distribution company, from 2013 to 2021, including Senior Vice President, Controller and Chief Accounting Officer from July 2018 to September 2021, Senior Vice President, Assistant Controller from June 2017 to July 2018, Senior Vice President, McKesson Technology Solutions Finance and Accounting from March 2017 to June 2017, and Vice President, Controller of McKesson Technology Solutions from December 2013 to February 2017. Mr. Reddy is a Certified Public Accountant and received his B.B.A. from Georgia State University and M.B.A. from Emory University.</t>
  </si>
  <si>
    <t>sundeep.reddy@salesforce.com</t>
  </si>
  <si>
    <t>275354-83P</t>
  </si>
  <si>
    <t>Surj Sondhi</t>
  </si>
  <si>
    <t>Surj</t>
  </si>
  <si>
    <t>Sondhi</t>
  </si>
  <si>
    <t>Mr. Surj Sondhi serves as Vice President, Business Value Services at Salesforce.</t>
  </si>
  <si>
    <t>ssondhi@salesforce.com</t>
  </si>
  <si>
    <t>Vice President, Business Value Services</t>
  </si>
  <si>
    <t>74250-46P</t>
  </si>
  <si>
    <t>Suzanne DiBianca</t>
  </si>
  <si>
    <t>DiBianca</t>
  </si>
  <si>
    <t>Ms. Suzanne DiBianca serves as Executive Vice President &amp; Chief Impact Officer at Salesforce. She serves as a Board member at South Pole Carbon Asset Management and as a Trustee at The Patrick J. McGovern Foundation. She also served as Advisory Board Member at Classy. She has been named one of Inside Philanthropy's 50 Most Powerful Women in Philanthropy and is a member of the San Francisco Business Times' Most Influential Women in Bay Area Business hall of fame. She serves on the boards of Box.org, Classy, Inc., Tides, Twilio.org and the World Affairs Council's Global Philanthropy Forum. Former board service includes Goodwill Industries, the San Francisco School Volunteers and Zynga.org. Prior to joining Salesforce, she was a principal at CSC Consulting, where she led mergers, acquisitions and technology implementations for Fortune 500 companies. Before CSC, she was the marketing and program director for Partners for Democratic Change, an organization providing conflict management and dispute resolution training around the world. She is a graduate of the University of Colorado at Boulder.</t>
  </si>
  <si>
    <t>sdibianca@salesforce.com</t>
  </si>
  <si>
    <t>Executive Vice President &amp; Chief Impact Officer</t>
  </si>
  <si>
    <t>234527-68P</t>
  </si>
  <si>
    <t>Tara Ridley</t>
  </si>
  <si>
    <t>Ridley</t>
  </si>
  <si>
    <t>Ms. Tara Ridley serves as Vice President Alliances &amp; Channels at Salesforce.</t>
  </si>
  <si>
    <t>tridley@salesforce.com</t>
  </si>
  <si>
    <t>Vice President Alliances &amp; Channels</t>
  </si>
  <si>
    <t>82132-21P</t>
  </si>
  <si>
    <t>Tim Roman</t>
  </si>
  <si>
    <t>Mr. Tim Roman serves as Principal Solutions Engineer, Consumer Goods at Salesforce. He served as Senior Program Manager at Salesforce.com. He also founded Emailtastic.com.</t>
  </si>
  <si>
    <t>troman@salesforce.com</t>
  </si>
  <si>
    <t>Principal Solutions Engineer, Consumer Goods</t>
  </si>
  <si>
    <t>53780-77P</t>
  </si>
  <si>
    <t>Vala Afshar</t>
  </si>
  <si>
    <t>Vala</t>
  </si>
  <si>
    <t>Mr. Vala Afshar serves as Chief Digital Evangelist at Salesforce. He served as the Chief Marketing Officer &amp; Chief Customer Officer at Enterasys Networks. He is responsible for global marketing and customer service and support operations. An award-winning inventor of social technologies and customer services operations, Afshar is considered a pioneer in cloud computing, social collaboration, business intelligence and customer relationship management. Afshar is a recognized social media advocate, having been the keynote of several industry events including Salesforce's Dreamforce. His thought-leadership has been sought after by leading publications including Forbes, The Economist, ZDNet and many more. To his credit, Vala was recently named by InformationWeek as one of the "Top 10 Social Business Leaders" as well as being an ongoing columnist for the publication. He is also an influential blogger on Huffington Post and co-host of the weekly "CXO Talk" interview series.</t>
  </si>
  <si>
    <t>vafshar@salesforce.com</t>
  </si>
  <si>
    <t>Chief Digital Evangelist</t>
  </si>
  <si>
    <t>254224-45P</t>
  </si>
  <si>
    <t>Wendy Batchelder</t>
  </si>
  <si>
    <t>Batchelder</t>
  </si>
  <si>
    <t>Ms. Wendy Batchelder serves as Senior Vice President, Chief Data Officer &amp; Global Data Governance at Salesforce. She is responsible for the company's business insights, analytics solutions and delivering excellence in data management across the company. She directs the planning and implementation of enterprise information systems to foster innovation that creates competitive advantage, enhances the customer experience, improves service quality, supports business development, improves cost-effectiveness and leads to greater productivity and efficiency. She has spent over 15 years in leadership roles at a variety of global companies spanning various industries. Prior to her role at VMware, she held various leadership roles at Wells Fargo, including the Head of Enterprise Master &amp; Reference Data and Head of the Corporate Risk Data Office. She spent 10 years in progressive IT Audit roles at Aviva North America, KPMG and Ernst &amp; Young LLP. She holds an Executive Master of Business Administration from the University of Iowa, a Master of Accountancy from Drake University and a Bachelor of Science in Accounting from Miami University. She is also a Certified Information Systems Auditor. She currently serves as an appointed member of the Iowa Governor's STEM Advisory Council, including co-chairing the Career Exploration Committee. She serves as Board Member at Pitchly.</t>
  </si>
  <si>
    <t>wbatchelder@salesforce.com</t>
  </si>
  <si>
    <t>Senior Vice President, Chief Data Officer &amp; Global Data Governance</t>
  </si>
  <si>
    <t>147053-17P</t>
  </si>
  <si>
    <t>Connie Lee</t>
  </si>
  <si>
    <t>Sandia National Laboratories</t>
  </si>
  <si>
    <t>Ms. Connie Lee serves as Investment Manager at Sandia National Laboratories. She holds Master's in Accounting from University of New Mexico, Albuquerque and also BBA (Bachelor of Business Administration) in Finance, Summa Cum Laude from University of New Mexico, Albuquerque.</t>
  </si>
  <si>
    <t>+1 (505) 844-8066</t>
  </si>
  <si>
    <t>connie.lee@sandia.gov</t>
  </si>
  <si>
    <t>Albuquerque</t>
  </si>
  <si>
    <t>Albuquerque, NM</t>
  </si>
  <si>
    <t>1515 Eubank Southeast</t>
  </si>
  <si>
    <t>New Mexico</t>
  </si>
  <si>
    <t>87123</t>
  </si>
  <si>
    <t>287027-74P</t>
  </si>
  <si>
    <t>David Gibson</t>
  </si>
  <si>
    <t>Mr. David Gibson serves as Deputy Laboratories Director and Chief Operations Officer at Sandia National Laboratories. As Deputy Laboratories Director and Chief Operations Officer for Sandia National Laboratories, he provides leadership, oversight, management direction, and execution to implement the Labs Director's strategic vision for safe and secure operations at Sandia. Previously, he served as the Senior Director of Environmental Safety Health and Quality at Argonne National Laboratory, where he was responsible for ensuring lab operations were conducted safely and in compliance with all environmental regulations. He has broad and deep operational management experience and has had direct functional oversight of a variety of operational capabilities, including Facilities, Logistics, Environmental Management, Occupational Safety and Health, Safeguards &amp; Security, Project Management, and Quality Programs. He started his career at Sandia as an intern in the Facilities Corporate Projects organization in 1998. He was quickly promoted through the staff ranks and served in two team lead roles before becoming the Manager of Nuclear Weapons Planning Integration. Over the years he served in two Senior Manager roles within Sandia's Infrastructure Operations division, and in 2017 he became the Center Director of Sandia's California Site Operations. He holds an MBA from the University of New Mexico.</t>
  </si>
  <si>
    <t>david.gibson@sandia.gov</t>
  </si>
  <si>
    <t>Deputy Laboratories Director and Chief Operations Officer</t>
  </si>
  <si>
    <t>246981-16P</t>
  </si>
  <si>
    <t>James Peery</t>
  </si>
  <si>
    <t>Peery</t>
  </si>
  <si>
    <t>Dr. James Peery serves as Laboratories Director at Sandia National Laboratories. He provides leadership and management direction for the safe, secure execution of all Sandia missions. Before his appointment as Sandia Director on Jan. 1, 2020, James served as associate laboratory director for national security sciences at Oak Ridge National Laboratory (ORNL), overseeing research and development programs that support the national security missions of the U.S. Department of Energy and other government agencies. These included preventing and countering the spread of weapons of mass destruction, accelerating the adoption of computing beyond Moore's Law, providing resilience to cyber systems, and advancing autonomous national security capabilities through materials science, advanced manufacturing, and electrification. James served as Sandia's Vice President for Defense Systems and Assessments from March 2015 to April 2017. In this role, he was responsible for developing and integrating advanced science and technology into state-of-the-art systems for the National Nuclear Security Administration, the Department of Defense, and other national security agencies. Areas of focus included nuclear weapons electronics, integrated military systems, information operations, proliferation assessments, remote sensing and verification, space missions, surveillance and reconnaissance, and science and technology products. From April 2010 to March 2015, James was the Director of Sandia's Information Systems Analysis Center, responsible for the development and application of new information technologies that enable information superiority for customers of Sandia's national security and critical infrastructure work. Prior to that, he directed the Computation, Computers, Information, and Mathematics (CCIM) center, which forms the foundation of Sandia's research and development activities in high-performance computing. CCIM contains the Computer Science Research Institute, the joint Institute for Advanced Architectures and Algorithms with ORNL, and the Alliance for Computing at Extreme Scales with Los Alamos National Laboratory (LANL). During this period, James directed NNSA's Advanced Simulation and Computing Program (ASC). James served in several leadership roles at LANL from 2002 to 2007 before returning to Sandia in the positions of Hydrodynamic Experiments Division Leader, Principal Deputy Associate Director of LANL's Nuclear Weapons Program, and Program Director of the NNSA's ASC. James began his career at Sandia in 1990. He worked in the Computational Solid Mechanics and Structural Dynamics Department and the Computational Physics Department. James has been responsible for the development of state-of-the-art, massively parallel computational tools spanning the fields of high energy density physics to structural dynamics. James' major research areas are in Arbitrary Lagrangian-Eulerian algorithms and parallel algorithms, where he has published more than 50 papers. As part of the Salinas team, James was awarded the 2002 Gordon Bell Award. James holds a doctorate in nuclear engineering from Texas A&amp;M University.</t>
  </si>
  <si>
    <t>james.peery@sandia.gov</t>
  </si>
  <si>
    <t>Laboratories Director</t>
  </si>
  <si>
    <t>284842-36P</t>
  </si>
  <si>
    <t>John Zepper</t>
  </si>
  <si>
    <t>Zepper</t>
  </si>
  <si>
    <t>Chief Information Officer &amp; Executive Director</t>
  </si>
  <si>
    <t>Mr. John Zepper serves as Information Engineering Executive Director &amp; Chief Information Officer at Sandia National Laboratories. He provides leadership in quality and performance assurance, cybersecurity and mission computing, surety engineering and weapons quality, and information technology services. In his previous roles at Sandia, he led the Labs' Space Mission Program and was director of Systems Mission Engineering, an organization of more than 400 scientists, engineers, and technologists that develop distributed sensing systems to solve a broad spectrum of problems of national importance for the U.S. Department of Defense and Intelligence Community. He has vast experience delivering products using agile coding techniques in the cloud environment. In particular, he was responsible for creating large, real-time information systems that process data from multiple U.S. satellite systems, performing research in information surety topics, and providing decision support systems. He also headed the development of path-finding satellite systems that advanced mission performance beyond the state of the art. In 2018, he was part of a team that created an agile code development space to improve collaboration and productivity, and the next year he was part of the team that created Science and Technology Advancing Resilience for Contested Space, which advances the nation's capabilities to maintain and expand its freedom of action in the space domain. During his 34-year career in the NNSA community, he has led Sandia's Cyber Security Services &amp; Technologies Program, its Nuclear Weapons Classified Computing Service Improvement Program and its Nuclear Weapons Joint Computational Engineering Laboratory Program core team. He also gained leadership experience in building Advance Simulation &amp; Computing supercomputers and in writing parallel code for the Nuclear Weapons ASC Engineering Program. He earned his Bachelor's and Master of Science degrees from the University of New Mexico.</t>
  </si>
  <si>
    <t>john.zepper@sandia.gov</t>
  </si>
  <si>
    <t>Information Engineering Executive Director &amp; Chief Information Officer</t>
  </si>
  <si>
    <t>147049-48P</t>
  </si>
  <si>
    <t>Marianne Hill</t>
  </si>
  <si>
    <t>Ms. Marianne Hill serves as Attorney at Sandia National Laboratories. She also serves as a Board Member at Leadership New Mexico.</t>
  </si>
  <si>
    <t>marianne.hill@sandia.gov</t>
  </si>
  <si>
    <t>Attorney</t>
  </si>
  <si>
    <t>175819-69P</t>
  </si>
  <si>
    <t>Mary Monson</t>
  </si>
  <si>
    <t>Monson</t>
  </si>
  <si>
    <t>Ms. Mary Monson serves as Senior Manager, Technology Partnerships and Business Development at Sandia National Laboratories.</t>
  </si>
  <si>
    <t>mary.monson@sandia.gov</t>
  </si>
  <si>
    <t>Senior Manager, Technology Partnerships and Business Development</t>
  </si>
  <si>
    <t>175820-14P</t>
  </si>
  <si>
    <t>Ted Blacker Ph.D</t>
  </si>
  <si>
    <t>Blacker</t>
  </si>
  <si>
    <t>Dr. Ted Blacker serves as Department Manager, of Simulation Modeling Sciences at Sandia National Laboratories. He began his career at Sandia Labs working as a computational analyst performing FEA simulations in solid mechanics and structural dynamics. He was drawn to research in meshing to solve the model-building bottleneck in the analysis process. His discovery and development of the Paving algorithm provided the first all-quad general meshing tool and led to several patents and an eventual R&amp;D 100 award. Further work in hexahedral meshing resulted in the establishment of the CUBIT project and the ongoing International Meshing Roundtable (now in its 25th year). He eventually left Sandia to work in the private industry on a technology transfer leave of absence. Dr. Blacker worked for both FDI and FLUENT, leading the GAMBIT project development (a general geometry and meshing tool). He eventually returned to Sandia as a manager and has continued his research focus. He has published extensively and served on temporary assignment to the DoD CREATE program in Washington DC. Dr. Blacker currently manages 1) the team developing topology optimization for additive manufacture (PLATO), 2) the meshing and geometry research team (CUBIT) and 3) a team providing high-performance computing infrastructure (Sierra Toolkit) for the SIERRA code base. Dr. Blacker obtained his BS and MS in CE from BYU, followed by a Ph.D. from Northwestern University in Theoretical and Applied Mechanics.</t>
  </si>
  <si>
    <t>Department Manager, Simulation Modeling Sciences</t>
  </si>
  <si>
    <t>195576-13P</t>
  </si>
  <si>
    <t>William Elias II</t>
  </si>
  <si>
    <t>Chief Legal Officer &amp; Executive Director</t>
  </si>
  <si>
    <t>Mr. William Elias serves as Executive Director, Chief Legal Officer &amp; Corporate Secretary, at NTESS, LLC at Sandia National Laboratories. He joined NTESS in May 2017 as part of the new leadership team at Sandia. Before joining NTESS, He was General Counsel at Argonne National Laboratory, the nation's oldest and preeminent multi-purpose national science laboratory, based in Illinois. Before joining Argonne, He was General Counsel and Secretary of the Corporation at The Charles Stark Draper Laboratory, Inc., an independent, nonprofit research and development laboratory in Cambridge, Massachusetts. Draper is primarily a contractor for the U.S. Department of Defense, other national security agencies, and NASA. While at Draper, He was also a Visiting Associate Professor of Law at the Boston University School of Law, focusing on intellectual property and business strategy. He began his legal career as a judicial clerk for the Massachusetts Supreme Judicial Court and was an attorney in private practice with Ropes &amp; Gray and Peabody &amp; Brown. He received his Juris Doctorate magna cum laude at the Boston University School of Law and his Bachelor of Science degree from Tufts University.</t>
  </si>
  <si>
    <t>william.elias@sandia.gov</t>
  </si>
  <si>
    <t>Executive Director, Chief Legal Officer &amp; Corporate Secretary, NTESS, LLC</t>
  </si>
  <si>
    <t>285412-42P</t>
  </si>
  <si>
    <t>Aagam Shah Ph.D</t>
  </si>
  <si>
    <t>Aagam</t>
  </si>
  <si>
    <t>Sands Capital</t>
  </si>
  <si>
    <t>Dr. Aagam Shah serves as Senior Associate at Sands Capital. He served as Investment Analyst (Lifesciences) at Occident Group. He is responsible for improving healthcare by promoting innovative and sustainable start-ups. He Supports sourcing, analysis, and due diligence of new ventures in the life sciences. He has experience in medical technology, neuroscience, and cardiovascular research. He received Ph.D. in Information Technology &amp; Electrical Engineering from ETH Zurich and completed his master's in Biomedical Engineering from Johns Hopkins University. He also holds BE in Biomedical Engineering from the University of Mumbai.</t>
  </si>
  <si>
    <t>+1 (703) 562-4000</t>
  </si>
  <si>
    <t>ashah@sandscap.com</t>
  </si>
  <si>
    <t>1000 Wilson Boulevard</t>
  </si>
  <si>
    <t>358945-93P</t>
  </si>
  <si>
    <t>Alexandra Fulk</t>
  </si>
  <si>
    <t>Fulk</t>
  </si>
  <si>
    <t>Ms. Alexandra Fulk serves as the Chief Compliance Officer &amp; Senior Counsel at Sands Capital. She holds JD from Cornell Law School and a BS in International Business from the University of Maryland College Park.</t>
  </si>
  <si>
    <t>afulk@sandscap.com</t>
  </si>
  <si>
    <t>Chief Compliance Officer &amp; Senior Counsel</t>
  </si>
  <si>
    <t>358926-22P</t>
  </si>
  <si>
    <t>Amir Reda</t>
  </si>
  <si>
    <t>Reda</t>
  </si>
  <si>
    <t>Mr. Amir Reda serves as a Portfolio Specialist at Sands Capital. He holds BA in Political Science from St. Mary's College of Maryland.</t>
  </si>
  <si>
    <t>amir@sandscapital.com</t>
  </si>
  <si>
    <t>Portfolio Specialist</t>
  </si>
  <si>
    <t>273033-46P</t>
  </si>
  <si>
    <t>Andrew Gavlin</t>
  </si>
  <si>
    <t>Gavlin</t>
  </si>
  <si>
    <t>Mr. Andrew Gavlin serves as Vice President at Sands Capital. He has a BS in Accounting and Business Administration &amp; Political Philosophy from Washington &amp; Lee University.</t>
  </si>
  <si>
    <t>agavlin@sandscap.com</t>
  </si>
  <si>
    <t>127026-46P</t>
  </si>
  <si>
    <t>Andrew Giordano</t>
  </si>
  <si>
    <t>Giordano</t>
  </si>
  <si>
    <t>Mr. Andrew Giordano serves as Executive Managing Director, Business Development and Client Relations at Sands Capital. Previously Mr. Giordano served as a Vice President at FBR. He earned an MBA from Columbia Business School and London Business School and a BA in International Politics and Economics from Middlebury College. He joined Sands Capital in 2010 and is Managing Director, Client Relations. He began his career at Sands Capital supporting client relations efforts for public equity strategies, and his passion for the private space steered him to the Sands Capital Ventures team. He has worked with Frank Sands to implement Sands Capital's client-first, white-glove service approach to our Partners. He leads the team's business development efforts and is the primary contact for all partner and prospective engagements. He came to Sands Capital from Friedman, Billings, and Ramsey Capital Markets where he spent six years supporting equity clients and cultivating relationships with hedge funds and long-only firms across the US. He holds a B.A. from Middlebury College and has dual MBAs from Columbia Business School and London Business School.</t>
  </si>
  <si>
    <t>+1 (703) 253-4453</t>
  </si>
  <si>
    <t>andrew@sandscapital.com</t>
  </si>
  <si>
    <t>Executive Managing Director, Business Development and Client Relations</t>
  </si>
  <si>
    <t>136961-56P</t>
  </si>
  <si>
    <t>Annie McCormick</t>
  </si>
  <si>
    <t>Ms. Annie McCormick serves as Director, Client Service at Sands Capital. Previously she served as Investment Performance Analyst at Cambridge Associates. She has a BS in Finance from Pennsylvania State University.</t>
  </si>
  <si>
    <t>amccormick@sandscap.com</t>
  </si>
  <si>
    <t>Director, Client Service</t>
  </si>
  <si>
    <t>60518-80P</t>
  </si>
  <si>
    <t>Barron Martin Jr.</t>
  </si>
  <si>
    <t>Mr. Barron Martin serves as Managing Partner, Global Innovation Fund at Sands Capital Management.</t>
  </si>
  <si>
    <t>barron@sandscapital.com</t>
  </si>
  <si>
    <t>272825-29P</t>
  </si>
  <si>
    <t>Ben Betcher</t>
  </si>
  <si>
    <t>Betcher</t>
  </si>
  <si>
    <t>Mr. Ben Betcher serves as Senior Research Analyst at Sands Capital. He was Senior Research Associate at Sanford Bernstein. He was an Analyst at Davis Advisors. He was Head of Finance at Ampush. He holds BS in Psychology from Tufts University.</t>
  </si>
  <si>
    <t>bbetcher@sandscap.com</t>
  </si>
  <si>
    <t>Senior Research Analyst</t>
  </si>
  <si>
    <t>136939-33P</t>
  </si>
  <si>
    <t>Beth McSorley</t>
  </si>
  <si>
    <t>McSorley</t>
  </si>
  <si>
    <t>Ms. Beth McSorley serves as a Director of Corporate Tax at Sands Capital. She earned BS in Accounting from University of Alabama in 2000 and Masters of Accounting and Operations Management from University of Alabama in 2003.</t>
  </si>
  <si>
    <t>beth@sandscapital.com</t>
  </si>
  <si>
    <t>Director of Corporate Tax</t>
  </si>
  <si>
    <t>127031-41P</t>
  </si>
  <si>
    <t>Brad Howlett</t>
  </si>
  <si>
    <t>Howlett</t>
  </si>
  <si>
    <t>Mr. Bradley Howlett serves as a Director, Private Markets Finance and Operations at Sands Capital. Previously he served as a Senior Consultant at Baker Tilly Virchow Krause, LLP. He holds MS in Data Science and a BS in Commerce from the University of Virginia.</t>
  </si>
  <si>
    <t>bhowlett@sandscap.com</t>
  </si>
  <si>
    <t>Director, Private Markets Finance and Operations</t>
  </si>
  <si>
    <t>60507-01P</t>
  </si>
  <si>
    <t>Brian Christiansen</t>
  </si>
  <si>
    <t>Mr. Brian Christiansen serves as Executive Managing Director, Senior Portfolio Manager &amp; Research Analyst at Sands Capital. He has a BA &amp; MBA from Yale University.</t>
  </si>
  <si>
    <t>bchristiansen@sandscap.com</t>
  </si>
  <si>
    <t>Executive Managing Director, Senior Portfolio Manager &amp; Research Analyst</t>
  </si>
  <si>
    <t>136946-62P</t>
  </si>
  <si>
    <t>Brian Crofton</t>
  </si>
  <si>
    <t>Crofton</t>
  </si>
  <si>
    <t>Mr. Brian Crofton serves as a Research Analyst at Sands Capital. He graduated from Colgate University (2014) with a BA in Mathematical Economics.</t>
  </si>
  <si>
    <t>bcrofton@sandscap.com</t>
  </si>
  <si>
    <t>Research Analyst</t>
  </si>
  <si>
    <t>60519-25P</t>
  </si>
  <si>
    <t>Brian Keegan</t>
  </si>
  <si>
    <t>Mr. Brian Keegan serves as Research Analyst at Sands Capital Management.</t>
  </si>
  <si>
    <t>bkeegan@sandscap.com</t>
  </si>
  <si>
    <t>429516-46P</t>
  </si>
  <si>
    <t>Chitrank Jain</t>
  </si>
  <si>
    <t>Chitrank</t>
  </si>
  <si>
    <t>Mr. Chitrank Jain serves as a Senior Research Associate at Sands Capital. He previously held positions at Avendus Spark (2020-2024) Mumbai, India | Director - Equity Sales, Motilal Oswal (2015-2020) Mumbai, India | Vice President - Equity Sales, Kotak Mahindra Bank (2011-2013), Mumbai, India | Senior Manager - Internal Audit. He graduated from S.P. Jain Institute of Management &amp; Research, Mumbai (2015) with a PGDM (MBA) in Finance and holds The Institute of Chartered Accounts of India, New Delhi (2010) Associate Chartered Accountant Certification.</t>
  </si>
  <si>
    <t>cjain@sandscapital.com</t>
  </si>
  <si>
    <t>Senior Research Associate</t>
  </si>
  <si>
    <t>273033-82P</t>
  </si>
  <si>
    <t>Christina Hang</t>
  </si>
  <si>
    <t>Ms. Christina Hang serves as Research Analyst at Sands Capital.</t>
  </si>
  <si>
    <t>chang@sandscapital.com</t>
  </si>
  <si>
    <t>213427-54P</t>
  </si>
  <si>
    <t>Christopher Eng</t>
  </si>
  <si>
    <t>Eng</t>
  </si>
  <si>
    <t>Mr. Christopher Eng serves as Principal at Sands Capital.</t>
  </si>
  <si>
    <t>ceng@sandscap.com</t>
  </si>
  <si>
    <t>273060-64P</t>
  </si>
  <si>
    <t>Christopher Jenkins</t>
  </si>
  <si>
    <t>Mr. Christopher Jenkins serves as Senior Proxy Specialist at Sands Capital. He was an Investment Operations Specialist at The Edgar Lomax Company. He holds MBA in School of Business from George Mason University and a BS in Finance from George Mason University.</t>
  </si>
  <si>
    <t>cjenkins@sandscapital.com</t>
  </si>
  <si>
    <t>Senior Proxy Specialist</t>
  </si>
  <si>
    <t>254612-98P</t>
  </si>
  <si>
    <t>Christy Steele</t>
  </si>
  <si>
    <t>Ms. Christy Steele serves as Principal at Sands Capital. He joined Sands Capital Ventures in 2020. She identifies and evaluates investment opportunities in the technology sector. Prior to joining Sands, Steele was a film producer and photo editor with over ten years of experience creating content for television, film, print, and web. She has worked for Science Magazine and on television shows and documentaries for Smithsonian Channel, Travel Channel, National Geographic, and Animal Planet. Steele has also been a small business consultant advising small businesses on website design and marketing content. Christy received a BA in English from Georgetown University and a MBA from the Georgetown McDonough School of Business. An independent, staff-owned firm founded in 1992 and headquartered in the Washington, D.C. area with offices in London and Singapore, Sands Capital managed more than $43.5 billion in client assets as of September 30, 2022.</t>
  </si>
  <si>
    <t>csteele@sandscap.com</t>
  </si>
  <si>
    <t>136934-20P</t>
  </si>
  <si>
    <t>Dana McNamara</t>
  </si>
  <si>
    <t>Chief Administrative Officer &amp; Managing Director</t>
  </si>
  <si>
    <t>Ms. Dana McNamara serves as Executive Managing Director &amp; Chief Administrative Officer at Sands Capital Management. She earned a BBA from James Madison University in 1992 and MBA from University of Virginia in 2014.</t>
  </si>
  <si>
    <t>dmcnamara@sandscap.com</t>
  </si>
  <si>
    <t>Executive Managing Director &amp; Chief Administrative Officer</t>
  </si>
  <si>
    <t>429528-16P</t>
  </si>
  <si>
    <t>Daniel Pilling</t>
  </si>
  <si>
    <t>Pilling</t>
  </si>
  <si>
    <t>Portfolio Manager &amp; Senior Analyst</t>
  </si>
  <si>
    <t>Mr. Daniel Pilling serves as Portfolio Manager &amp; Senior Research Analyst at Sands Capital. He graduated from Cambridge University (2007) with a MPhil in Finance and from Manchester Business School (2006) with a BA in Business Finance and Economics.</t>
  </si>
  <si>
    <t>dpilling@sandscap.com</t>
  </si>
  <si>
    <t>Portfolio Manager &amp; Senior Research Analyst</t>
  </si>
  <si>
    <t>60519-07P</t>
  </si>
  <si>
    <t>Danielle Menichella</t>
  </si>
  <si>
    <t>Menichella</t>
  </si>
  <si>
    <t>Ms. Danielle Menichella serves as Senior Research Analyst &amp; Portfolio Manager at Sands Capital.</t>
  </si>
  <si>
    <t>dmenichella@sandscap.com</t>
  </si>
  <si>
    <t>Senior Research Analyst &amp; Portfolio Manager</t>
  </si>
  <si>
    <t>60503-14P</t>
  </si>
  <si>
    <t>David Levanson</t>
  </si>
  <si>
    <t>Levanson</t>
  </si>
  <si>
    <t>Mr. David Levanson serves as Senior Portfolio Manager, Research Analyst &amp; Executive Managing Director at Sands Capital Management. He earned a BSBA in Finance from University of Florida in 1990 and MBA from University of Virginia in 1996.</t>
  </si>
  <si>
    <t>dlevanson@sandscap.com</t>
  </si>
  <si>
    <t>Senior Portfolio Manager, Research Analyst &amp; Executive Managing Director</t>
  </si>
  <si>
    <t>429520-42P</t>
  </si>
  <si>
    <t>Eduardo Leal</t>
  </si>
  <si>
    <t>Leal</t>
  </si>
  <si>
    <t>Mr. Eduardo Leal serves as Senior Research Analyst at Sands Capital. He graduated from Stanford University (2021) with an MS and Pontificia Universidade Catolica - Rio (2008) with a BA in Industrial Engineering.</t>
  </si>
  <si>
    <t>eleal@sandscap.com</t>
  </si>
  <si>
    <t>60504-67P</t>
  </si>
  <si>
    <t>Emerson Bluhm</t>
  </si>
  <si>
    <t>Bluhm</t>
  </si>
  <si>
    <t>Mr. Emerson Bluhm serves as Senior Research Analyst and Portfolio Manager at Sands Capital Management. He also served as Investment Executive at Sands Capital Ventures. he has completed his BS (Bachelor of Science) in Accounting and Business Administration at Washington &amp; Lee University.</t>
  </si>
  <si>
    <t>ebluhm@sandscap.com</t>
  </si>
  <si>
    <t>273052-45P</t>
  </si>
  <si>
    <t>Emmett O'Sullivan</t>
  </si>
  <si>
    <t>Emmett</t>
  </si>
  <si>
    <t>Mr. Emmett O'Sullivan serves as a Senior Portfolio and Market Analyst at Sands Capital. He graduated from the CASS Business School, London, UK (2008) with an MSc in Investment Management and from Dublin City University (2007) with a BSc in Business Studies.</t>
  </si>
  <si>
    <t>eo'sullivan@sandscapital.com</t>
  </si>
  <si>
    <t>Senior Portfolio and Market Analyst</t>
  </si>
  <si>
    <t>60504-22P</t>
  </si>
  <si>
    <t>Eric Black</t>
  </si>
  <si>
    <t>Mr. Eric Black serves as an Associate Portfolio Manager at Sands Capital Management. He served as an Investment Executive at Sands Capital Ventures. He graduated from Georgetown University (2011) with a BA in Political Economy and Russian, and from the University of Virginia (2020) with an MBA, from Darden School.</t>
  </si>
  <si>
    <t>+1 (818) 415-4635</t>
  </si>
  <si>
    <t>eblack@sandscap.com</t>
  </si>
  <si>
    <t>The Mortimer House</t>
  </si>
  <si>
    <t>37-41 Mortimer Street, Fitzrovia</t>
  </si>
  <si>
    <t>W1T 3JH</t>
  </si>
  <si>
    <t>136952-92P</t>
  </si>
  <si>
    <t>Eric Perlish</t>
  </si>
  <si>
    <t>Perlish</t>
  </si>
  <si>
    <t>Mr. Eric Perlish serves as Global Head of Trading at Sands Capital. Previously he served as Head Trader at Ironbound Capital.</t>
  </si>
  <si>
    <t>eric@sandscapital.com</t>
  </si>
  <si>
    <t>Global Head of Trading</t>
  </si>
  <si>
    <t>38642-05P</t>
  </si>
  <si>
    <t>Erin Soule</t>
  </si>
  <si>
    <t>Soule</t>
  </si>
  <si>
    <t>Ms. Erin Soule serves as Managing Director &amp; Head of Private Markets Finance and Operations at Sands Capital. She joined American Capital in November 2001 and began working directly for the Investment Committee in October 2005. Ms. Soule focuses on transaction underwriting; evaluating investment opportunities and managing the due diligence process. She began her tenure at American Capital as a Senior Manager in the Financial Analysis &amp; Compliance Team (FACT) where she lead a 12-person team on financial and accounting due diligence assignments, portfolio valuations and investment monitoring. Prior to joining American Capital, Ms. Soule was a Manager at a telecommunications company and a Senior Associate at PriceWaterhouseCoopers.</t>
  </si>
  <si>
    <t>esoule@sandscap.com</t>
  </si>
  <si>
    <t>Managing Director &amp; Head of Private Markets Finance and Operations</t>
  </si>
  <si>
    <t>60508-36P</t>
  </si>
  <si>
    <t>Frank Sands Jr.</t>
  </si>
  <si>
    <t>Sands</t>
  </si>
  <si>
    <t>Mr. Frank Sands serves as Chief Investment Officer and Chief Executive Officer at Sands Capital. He joined Sands Capital Management at its founding in 1992, serving as an assistant to the President, Frank Sands, Sr., CFA. He re-joined the firm in 2000 as Director of Research and Sr. Co-Portfolio Manager of the Select Growth strategy. In 2008, he became Chief Investment Officer and Chief Executive Officer of the firm. Prior to re-joining Sands Capital, he spent six years as a Research Analyst and Portfolio Manager at Fayez Sarofim &amp; Co., an institutional investment management firm based in Houston. He earned a BA from Washington &amp; Lee University (1989), an MS from Johns Hopkins University (1993) and an MBA from the Darden School at the University of Virginia (1994).</t>
  </si>
  <si>
    <t>fmsands@sandscap.com</t>
  </si>
  <si>
    <t>Chief Investment Officer &amp; Chief Executive Officer</t>
  </si>
  <si>
    <t>273032-92P</t>
  </si>
  <si>
    <t>Han Du</t>
  </si>
  <si>
    <t>Han</t>
  </si>
  <si>
    <t>Du</t>
  </si>
  <si>
    <t>Mr. Han Du serves as Senior Research Associate at Sands Capital. He holds BS from the University of Virginia.</t>
  </si>
  <si>
    <t>hdu@sandscapital.com</t>
  </si>
  <si>
    <t>429523-03P</t>
  </si>
  <si>
    <t>Hari Manikandan</t>
  </si>
  <si>
    <t>Manikandan</t>
  </si>
  <si>
    <t>Mr. Hari Manikandan serves as Senior Research Associate at Sands Capital. He graduated from Georgetown University (2018) with a BSBA in Finance.</t>
  </si>
  <si>
    <t>hmanikandan@sandscap.com</t>
  </si>
  <si>
    <t>273051-19P</t>
  </si>
  <si>
    <t>Ian Barnes</t>
  </si>
  <si>
    <t>Mr. Ian Barnes serves as Managing Director at Sands Capital.</t>
  </si>
  <si>
    <t>ibarnes@sandscap.com</t>
  </si>
  <si>
    <t>38964-07P</t>
  </si>
  <si>
    <t>Ian Ratcliffe</t>
  </si>
  <si>
    <t>Ratcliffe</t>
  </si>
  <si>
    <t>Mr. Ian Ratcliffe serves as Executive Managing Partner &amp; Executive Managing Director at Sands Capital. Mr. Ratcliffe served as Board Member at Alamar Biosciences, Farcast Biosciences and Avitide. He serves as a Board Member at Teckro. He serves as the Chief Executive Officer and a Board Member at Ubiquigent. He served as Board Member at Nanoview Biosciences and Global Cell Solutions. He served as Chief Executive Officer and Chairman at Enzymatic (Beverly). He founded Stemgent, a stem cell reagent, and service company in 2008 and serves as its Executive Chairman. Stemgent acquired Asterand Plc's Human Tissue Business in July 2012. Previously he was President of Upstate Biotechnology, a leading provider of cell signaling research products and services that was acquired by Serologicals in 2004. He is also the Chairman of Enzymatic, a manufacturer of molecular biology reagents. He is a Co-founder of Asterand Biosciences. He has a degree in Chemical Engineering from the University of Surrey and an MBA from the Darden Graduate School of Business Administration at the University of Virginia.</t>
  </si>
  <si>
    <t>+1 (617) 245-0000</t>
  </si>
  <si>
    <t>ian@sandscap.com</t>
  </si>
  <si>
    <t>Executive Managing Partner &amp; Executive Managing Director</t>
  </si>
  <si>
    <t>273052-09P</t>
  </si>
  <si>
    <t>Jack Mayer</t>
  </si>
  <si>
    <t>Mr. Jack Mayer serves as Director, Portfolio Specialists at Sands Capital. He holds BA in Economics from College of William &amp; Mary.</t>
  </si>
  <si>
    <t>jmayer@sandscap.com</t>
  </si>
  <si>
    <t>Director, Portfolio Specialists</t>
  </si>
  <si>
    <t>136951-21P</t>
  </si>
  <si>
    <t>Jacob Miller</t>
  </si>
  <si>
    <t>Mr. Jacob Miller serves as Head of Accounting and Finance at Sands Capital. Previously he served as Financial Analyst at General Services Administration. He holds MCA in Accountancy from University of North Carolina at Chapel Hill, MBA from Georgetown University, and BA in Economics and Political Science from the Bucknell University.</t>
  </si>
  <si>
    <t>jacob@sandscapital.com</t>
  </si>
  <si>
    <t>Head of Accounting and Finance</t>
  </si>
  <si>
    <t>99651-25P</t>
  </si>
  <si>
    <t>Jake Merrill</t>
  </si>
  <si>
    <t>Mr. Jake Merrill serves as Principal at Sands Capital. He also served as Research Analyst at Causeway Capital Management. He rejoined Sands Capital in 2017 as a member of the global life sciences sector team, and was subsequently promoted to Sr. Research Associate, and later joined Sands Capital Ventures in 2018 as a Senior Associate. He identifies, assesses, and monitors investments, focusing primarily on the life sciences sector. He earned a BS from the University of Virginia. Previously he served Research Associate at Sands Capital Management.</t>
  </si>
  <si>
    <t>jmerrill@sandscap.com</t>
  </si>
  <si>
    <t>263121-31P</t>
  </si>
  <si>
    <t>Jane Fellowes</t>
  </si>
  <si>
    <t>Fellowes</t>
  </si>
  <si>
    <t>Ms. Jane Fellowes serves as a Senior Manager, Private Markets Finance and Operations at Sands Capital. She joined Sands Capital in 2020 and is a Fund Accounting Manager for Sands Capital Ventures. In her role, she oversees accounting, financial analysis, and reporting. Prior to joining Sands Capital, She was a Portfolio Accounting Manager at Madison Marquette and began her career as an auditor at Baker Tilly Virchow Krause, LLP. She graduated summa cum laude from Virginia Tech with a BS in Accounting and Information Systems and is a Certified Public Accountant.</t>
  </si>
  <si>
    <t>jfellowes@sandscapital.com</t>
  </si>
  <si>
    <t>Senior Manager, Private Markets Finance and Operations</t>
  </si>
  <si>
    <t>60517-27P</t>
  </si>
  <si>
    <t>Jason Harden</t>
  </si>
  <si>
    <t>Harden</t>
  </si>
  <si>
    <t>Mr. Jason Harden serves as a Senior Analyst &amp; Associate Portfolio Manager at Sands Capital Management. He holds BA in Economics and Spanish from Washington &amp; Lee University.</t>
  </si>
  <si>
    <t>jharden@sandscap.com</t>
  </si>
  <si>
    <t>Senior Analyst &amp; Associate Portfolio Manager</t>
  </si>
  <si>
    <t>136961-02P</t>
  </si>
  <si>
    <t>Jeff Lockhart</t>
  </si>
  <si>
    <t>Lockhart</t>
  </si>
  <si>
    <t>Mr. Jeff Lockhart serves as Head of Client Service at Sands Capital Management. Previously he served as Senior Analyst at Bentz Whaley Flessner. He holds MBA from Duke University and a BA in Economics from the Vanderbilt University.</t>
  </si>
  <si>
    <t>jlockhart@sandscap.com</t>
  </si>
  <si>
    <t>Head of Client Service</t>
  </si>
  <si>
    <t>136956-07P</t>
  </si>
  <si>
    <t>Jennifer Black</t>
  </si>
  <si>
    <t>Ms. Jennifer Black serves as Senior Manager, Business Development Services at Sands Capital. Previously she served as Marketing Analyst at GW&amp;K Investment Management. She holds BSBA in Management from University of Richmond.</t>
  </si>
  <si>
    <t>black@sandscap.com</t>
  </si>
  <si>
    <t>Senior Manager, Business Development Services</t>
  </si>
  <si>
    <t>60513-22P</t>
  </si>
  <si>
    <t>Jennifer Greene</t>
  </si>
  <si>
    <t>Ms. Jennifer Greene serves as a Senior Research Analyst at Sands Capital Management. He holds BS in Commerce from the University of Virginia.</t>
  </si>
  <si>
    <t>jgreene@sandscap.com</t>
  </si>
  <si>
    <t>429541-03P</t>
  </si>
  <si>
    <t>Jery Tang</t>
  </si>
  <si>
    <t>Jery</t>
  </si>
  <si>
    <t>Mr. Jery Tang serves as a Senior Research Associate &amp; Investor at Sands Capital. He graduated from NYU Stern School of Business (2020) with a BS in Finance and Data Science.</t>
  </si>
  <si>
    <t>jtang@sandscap.com</t>
  </si>
  <si>
    <t>Senior Research Associate &amp; Investor</t>
  </si>
  <si>
    <t>136942-48P</t>
  </si>
  <si>
    <t>Jessica Bowers</t>
  </si>
  <si>
    <t>Bowers</t>
  </si>
  <si>
    <t>Ms. Jessica Bowers serves as Billing and Financial Analyst at Sands Capital Management.</t>
  </si>
  <si>
    <t>jbowers@sandscap.com</t>
  </si>
  <si>
    <t>Billing and Financial Analyst</t>
  </si>
  <si>
    <t>263120-14P</t>
  </si>
  <si>
    <t>Joanne Hwang</t>
  </si>
  <si>
    <t>Ms. Joanne Hwang serves as Executive Assistant at Sands Capital Ventues. Joanne joined Sands Capital Ventures in 2019 and is the Executive Assistant supporting all members of the Sands Capital Ventures team. Prior to joining Sands Capital Ventures, Joanne was the Executive Assistant to the President &amp; CEO of the US-ASEAN Business Council, and Administrative Assistant to the Director of Research and the Equity Research team at FBR &amp; Co. Joanne holds a BS in Recreation, Parks and Tourism from the University of Florida.</t>
  </si>
  <si>
    <t>jhwang@sandscap.com</t>
  </si>
  <si>
    <t>127029-52P</t>
  </si>
  <si>
    <t>Jonathan Goodman JD</t>
  </si>
  <si>
    <t>Mr. Jonathan Goodman serves as General Counsel at Sands Capital. Mr. Goodman manages all aspects of Sands Capital Ventures' legal and compliance matters, including fund formation, transaction execution, and regulatory compliance. Prior to joining Sands Capital, Mr. Goodman was associated with Gibson, Dunn &amp; Crutcher LLP, and Cravath, Swaine &amp; Moore, LLP, where he had extensive experience with private investment funds, mergers and acquisitions, capital markets transactions, and related regulatory regimes. Mr. Goodman holds a BA from the University of Wisconsin in Political Science and Japanese at Madison and a Juris Doctor degree from the Georgetown University Law Center where he graduated magna cum laude and with the Order of the Coif designation.</t>
  </si>
  <si>
    <t>jgoodman@sandscap.com</t>
  </si>
  <si>
    <t>136960-30P</t>
  </si>
  <si>
    <t>Josephine Lewis</t>
  </si>
  <si>
    <t>Ms. Josephine Lewis serves as Senior Director, Client Relations at Sands Capital.</t>
  </si>
  <si>
    <t>jlewis@sandscap.com</t>
  </si>
  <si>
    <t>Senior Director, Client Relations</t>
  </si>
  <si>
    <t>136957-87P</t>
  </si>
  <si>
    <t>Karen Hsu</t>
  </si>
  <si>
    <t>Ms. Karen Hsu serves as a Manager, Risk Analytics at Sands Capital. Previously she served as a Business Analyst at T. Rowe Price. She holds an MBA from Duke University and a BA in Economics from the University of Maryland.</t>
  </si>
  <si>
    <t>khsu@sandscap.com</t>
  </si>
  <si>
    <t>Manager, Risk Analytics</t>
  </si>
  <si>
    <t>273056-77P</t>
  </si>
  <si>
    <t>Kathryn Bickley</t>
  </si>
  <si>
    <t>Bickley</t>
  </si>
  <si>
    <t>Ms. Kathryn Bickley serves as Director, Portfolio Implementation at Sands Capital. She holds BS in Business Administration from Washington &amp; Lee University.</t>
  </si>
  <si>
    <t>kbickley@sandscapital.com</t>
  </si>
  <si>
    <t>Director, Portfolio Implementation</t>
  </si>
  <si>
    <t>136957-42P</t>
  </si>
  <si>
    <t>Katie Hanley</t>
  </si>
  <si>
    <t>Hanley</t>
  </si>
  <si>
    <t>Ms. Katie Hanley serves as Director, Data Initiatives at Sands Capital.</t>
  </si>
  <si>
    <t>khanley@sandscap.com</t>
  </si>
  <si>
    <t>Director, Data Initiatives</t>
  </si>
  <si>
    <t>429539-14P</t>
  </si>
  <si>
    <t>Kelly Rogal</t>
  </si>
  <si>
    <t>Rogal</t>
  </si>
  <si>
    <t>Ms. Kelly Rogal serves as a Senior Research Analyst at Sands Capital. She graduated from University of California, Berkeley with a Bachelor of Arts.</t>
  </si>
  <si>
    <t>krogal@sandscap.com</t>
  </si>
  <si>
    <t>136962-19P</t>
  </si>
  <si>
    <t>Kevin Murphy</t>
  </si>
  <si>
    <t>Mr. Kevin Murphy serves as Senior Director, Client Relations at Sands Capital Management. Previously he served as Manager at Marriott International.</t>
  </si>
  <si>
    <t>kevin@sandscapital.com</t>
  </si>
  <si>
    <t>302790-43P</t>
  </si>
  <si>
    <t>Kshitij Seth</t>
  </si>
  <si>
    <t>Kshitij</t>
  </si>
  <si>
    <t>Mr. Kshitij Seth serves as an Associate at Sands Capital. Mr. Seth served as an Investor at G Squared. He graduated from the University of California, Berkeley (2017-2020) with a BS in Mechanical Engineering.</t>
  </si>
  <si>
    <t>kseth@sandscap.com</t>
  </si>
  <si>
    <t>99643-60P</t>
  </si>
  <si>
    <t>Kumar Gautam</t>
  </si>
  <si>
    <t>Mr. Kumar Gautam serves as a Partner at Sands Capital. He earned an MS in Management from Stanford Graduate School of Business and a BA in Computer Science from Dartmouth College.</t>
  </si>
  <si>
    <t>kgautam@sandscap.com</t>
  </si>
  <si>
    <t>429543-91P</t>
  </si>
  <si>
    <t>Madison Fishwick</t>
  </si>
  <si>
    <t>Ms. Madison Fishwick serves as Senior Associate, Private Markets Finance and Operations at Sands Capital. She graduated from American University (2021) with MSA in Accounting
and a BSBA in Accounting, Finance.</t>
  </si>
  <si>
    <t>mfishwick@sandscap.com</t>
  </si>
  <si>
    <t>Senior Associate, Private Markets Finance and Operations</t>
  </si>
  <si>
    <t>273057-22P</t>
  </si>
  <si>
    <t>Maria Billups</t>
  </si>
  <si>
    <t>Billups</t>
  </si>
  <si>
    <t>Ms. Maria Billups serves as Senior Investment Operations Specialist at Sands Capital.</t>
  </si>
  <si>
    <t>mbillups@sandscap.com</t>
  </si>
  <si>
    <t>Senior Investment Operations Specialist</t>
  </si>
  <si>
    <t>358933-24P</t>
  </si>
  <si>
    <t>Marina Serenbetz</t>
  </si>
  <si>
    <t>Serenbetz</t>
  </si>
  <si>
    <t>Ms. Marina Serenbetz serves as a Partner at Sands Capital. She holds BS in Commerce and BA in Spanish from the University of Virginia.</t>
  </si>
  <si>
    <t>marina@sandscapital.com</t>
  </si>
  <si>
    <t>119 West 24th Street</t>
  </si>
  <si>
    <t>273046-24P</t>
  </si>
  <si>
    <t>Mark McGovern</t>
  </si>
  <si>
    <t>Mr. Mark McGovern serves as a Venture Partner at Sands Capital. He was CEO of Ravenwill, Vice President in Product Management for CA Technologies, he Co-Founded and served as CEO of Mobile System 7. He was Vice President, Technology at In-Q-Tel, and Director, Technology at Cigital. He holds MS in Engineering from Virginia Polytechnic Institute and a BS in Electrical Engineering from the Worcester Polytechnic Institute.</t>
  </si>
  <si>
    <t>mmcgovern@sandscap.com</t>
  </si>
  <si>
    <t>136951-84P</t>
  </si>
  <si>
    <t>Mark Muldoon</t>
  </si>
  <si>
    <t>Muldoon</t>
  </si>
  <si>
    <t>Mr. Mark Muldoon serves as Senior Trader at Sands Capital. He holds BS in Finance from Central Connecticut State University.</t>
  </si>
  <si>
    <t>mmuldoon@sandscap.com</t>
  </si>
  <si>
    <t>Senior Trader</t>
  </si>
  <si>
    <t>429525-01P</t>
  </si>
  <si>
    <t>Massimo Marolo</t>
  </si>
  <si>
    <t>Marolo</t>
  </si>
  <si>
    <t>Mr. Massimo Marolo serves as Senior Research Analyst at Sands Capital. He graduated from Johns Hopkins SAIS (1999) with an MA in International Relations and from Georgetown University (1997) with a BA in Middle Eastern Studies.</t>
  </si>
  <si>
    <t>mmarlolo@sandscap.com</t>
  </si>
  <si>
    <t>136955-26P</t>
  </si>
  <si>
    <t>Matthew Alsted</t>
  </si>
  <si>
    <t>Alsted</t>
  </si>
  <si>
    <t>Mr. Matthew Alsted serves as Head of Marketing and Communications at Sands Capital. He holds BS in Marketing, International Business from the Babson College.</t>
  </si>
  <si>
    <t>malsted@sandscap.com</t>
  </si>
  <si>
    <t>Head of Marketing and Communications</t>
  </si>
  <si>
    <t>273029-32P</t>
  </si>
  <si>
    <t>Matthew Buckley</t>
  </si>
  <si>
    <t>Buckley</t>
  </si>
  <si>
    <t>Mr. Matthew Buckley serves as a Senior Research Associate at Sands Capital. He was Corporate Development Senior Analyst at Capital One and Investment Banking Analyst at J.P. Morgan. He holds BBA in Finance from College of William &amp; Mary.</t>
  </si>
  <si>
    <t>mbuckley@sandscap.com</t>
  </si>
  <si>
    <t>60518-17P</t>
  </si>
  <si>
    <t>Matthew Luneburg</t>
  </si>
  <si>
    <t>Luneburg</t>
  </si>
  <si>
    <t>Mr. Matthew Luneburg serves as Senior Research Analyst at Sands Capital Management.</t>
  </si>
  <si>
    <t>mluneburg@sandscap.com</t>
  </si>
  <si>
    <t>60512-59P</t>
  </si>
  <si>
    <t>Michael Ginder</t>
  </si>
  <si>
    <t>Ginder</t>
  </si>
  <si>
    <t>Mr. Michael Ginder serves as a Partner at Sands Capital. He serves as a Board Member at Blue Earth Therapeutics. He serves as Board Member at Prilenia. He serves as Board Member at Inspirna. He serves as board observer at Avenzo Therapeutics. He a BS in commerce from the University of Virginia in 2011 and has been a CFA charterholder since 2015.</t>
  </si>
  <si>
    <t>mginder@sandscap.com</t>
  </si>
  <si>
    <t>187775-20P</t>
  </si>
  <si>
    <t>Michael Graninger</t>
  </si>
  <si>
    <t>Graninger</t>
  </si>
  <si>
    <t>Mr. Michael Graninger serves as a Managing Partner at Sands Capital. He also serves as a Board Member at SafeRide Health and WireWheel. He serves as a Board Member at Red Sift. He serves as an Investment Committee Member at Virginia Venture Partners. He also serves as Director at Hungry Marketplace. He served as a Board Observer at Vesper. He has more than 20 years of experience investing in, managing, financing, and developing innovative enterprise technologies. Prior to joining Sands Capital Ventures, he was a Partner at In-Q-Tel, a strategic investor in early-stage businesses in artificial intelligence, computer vision, data analytics, cybersecurity, novel materials, and other spaces of potentially high impact on national security. He also was the founder and President of Mobile System 7, a cybersecurity company. Previously, he served as Managing Director at The Hunter Capital Group, a specialized investment bank, and Senior Vice President at Friedman, Billings, and Ramsey where he focused on IPOs, M&amp;A advisory, and private placements. He received a bachelor's degree in Business Administration from Salisbury State University and an MBA from San Diego State University. He served as President at Mobile System 7. He serves as Vice President and General Manager at The Meadows Racetrack.</t>
  </si>
  <si>
    <t>mgraninger@sandscap.com</t>
  </si>
  <si>
    <t>60517-90P</t>
  </si>
  <si>
    <t>Michael Raab</t>
  </si>
  <si>
    <t>Raab</t>
  </si>
  <si>
    <t>Mr. Michael Raab serves as an Executive Managing, Director Director of Research, Portfolio Manager and Senior Research Analyst at Sands Capital. He also served as Board Member &amp; Advisor at NepFin. He has a MBA from University of Maryland and BA from University of Virginia.</t>
  </si>
  <si>
    <t>m.raab@sandscap.com</t>
  </si>
  <si>
    <t>Executive Managing, Director Director of Research, Portfolio Manager and Senior Research Analyst</t>
  </si>
  <si>
    <t>429537-70P</t>
  </si>
  <si>
    <t>Michael Rallo</t>
  </si>
  <si>
    <t>Rallo</t>
  </si>
  <si>
    <t>Mr. Michael Rallo serves as Research Analyst and Investor at Sands Capital. He graduated from Washington &amp; Lee University (2018) with a BS in Accounting and Business Administration.</t>
  </si>
  <si>
    <t>mrallo@sandscap.com</t>
  </si>
  <si>
    <t>Research Analyst and Investor</t>
  </si>
  <si>
    <t>60507-91P</t>
  </si>
  <si>
    <t>Michael Sramek</t>
  </si>
  <si>
    <t>Sramek</t>
  </si>
  <si>
    <t>Mr. Michael Sramek serves as Managing Director, Research Analyst &amp; Senior Portfolio Manager at Sands Capital.</t>
  </si>
  <si>
    <t>michael@sandscap.com</t>
  </si>
  <si>
    <t>Managing Director, Research Analyst &amp; Senior Portfolio Manager</t>
  </si>
  <si>
    <t>358927-75P</t>
  </si>
  <si>
    <t>Mike Degnan</t>
  </si>
  <si>
    <t>Degnan</t>
  </si>
  <si>
    <t>Mr. Mike Degnan serves as a Senior Portfolio Specialist at Sands Capital. He holds BS in Finance from the University of Maryland.</t>
  </si>
  <si>
    <t>mdegnan@sandscap.com</t>
  </si>
  <si>
    <t>Senior Portfolio Specialist</t>
  </si>
  <si>
    <t>272848-51P</t>
  </si>
  <si>
    <t>Miriam Sanders</t>
  </si>
  <si>
    <t>Ms. Miriam Zeskind serves as Director, Investor Relations at Sands Capital. She holds a BS in Finance from the University of North Carolina.</t>
  </si>
  <si>
    <t>msanders@sandscap.com</t>
  </si>
  <si>
    <t>136959-76P</t>
  </si>
  <si>
    <t>Naru Ji</t>
  </si>
  <si>
    <t>Naru</t>
  </si>
  <si>
    <t>Ji</t>
  </si>
  <si>
    <t>Ms. Naru Ji serves as Manager, Product Services at Sands Capital. Previously she served as Senior Research Associate at Cambridge Associates. She has a BA from Cornell University.</t>
  </si>
  <si>
    <t>nji@sandscap.com</t>
  </si>
  <si>
    <t>Manager, Product Services</t>
  </si>
  <si>
    <t>273044-44P</t>
  </si>
  <si>
    <t>Nicholas Graziano</t>
  </si>
  <si>
    <t>Graziano</t>
  </si>
  <si>
    <t>Mr. Nicholas Graziano serves as Portfolio Specialist at Sands Capital. He was Corporate Strategy Manager at Cvent, an Engagement Manager at Monitor Deloitte Consulting, Team Lead, Senior Analyst at Cambridge Associates, and a Wealth Management Associate at McAdam Financial Group. He holds an MBA from the University of Virginia and a BS in Accounting from Pennsylvania State University.</t>
  </si>
  <si>
    <t>ngraziano@sandscap.com</t>
  </si>
  <si>
    <t>Principal, Portfolio Services</t>
  </si>
  <si>
    <t>136948-78P</t>
  </si>
  <si>
    <t>Pamela Gendell</t>
  </si>
  <si>
    <t>Gendell</t>
  </si>
  <si>
    <t>Ms. Pamela Gendell serves as Senior Compliance Analyst at Sands Capital Management.</t>
  </si>
  <si>
    <t>pgendell@sandscapital.com</t>
  </si>
  <si>
    <t>Manager, Marketing, Advertising, and Communication Compliance</t>
  </si>
  <si>
    <t>118230-31P</t>
  </si>
  <si>
    <t>Parker Cassidy</t>
  </si>
  <si>
    <t>Mr. Parker Cassidy serves as a Partner at Sands Capital. He served as Principal at RA Capital Management. He serves as Board Member at Exo. He served as Board Member at Qvella. He served as Chief Commercial Officer at Farcast Biosciences. He served as a Board Member at Nucleix and Covid Apollo. He served as a Board Member at Nanoview Biosciences. He has spent over a decade as an entrepreneurial general manager with leadership experience in diagnostics, medical devices, and research tools at Becton Dickinson and Millipore. Parker's expertise extends to profit and loss management, new product development, strategy development, mergers and acquisitions/integration, and new team formation. He serves as Board Member at Beta Bionics.</t>
  </si>
  <si>
    <t>pcassidy@sandscap.com</t>
  </si>
  <si>
    <t>273031-21P</t>
  </si>
  <si>
    <t>Patrick DiTondo</t>
  </si>
  <si>
    <t>DiTondo</t>
  </si>
  <si>
    <t>Mr. Patrick DiTondo serves as a Senior Research Associate at Sands Capital. He holds BA in Economics and European History from Washington and Lee University.</t>
  </si>
  <si>
    <t>pditondo@sandscap.com</t>
  </si>
  <si>
    <t>273941-56P</t>
  </si>
  <si>
    <t>Philip Caraci</t>
  </si>
  <si>
    <t>Caraci</t>
  </si>
  <si>
    <t>Mr. Philip Caraci serves as Portfolio Specialist at Sands Capital. He has a BS Honors from University of St Andrews.</t>
  </si>
  <si>
    <t>pcaraci@sandscap.com</t>
  </si>
  <si>
    <t>136942-03P</t>
  </si>
  <si>
    <t>Ryan Bateman</t>
  </si>
  <si>
    <t>Bateman</t>
  </si>
  <si>
    <t>Chief Information Officer &amp; Chief Technology Officer</t>
  </si>
  <si>
    <t>Mr. Ryan Bateman serves as Chief Technology Officer &amp; Chief Information Security Officer at Sands Capital. He has a MBA from Georgetown University and BA from Northwestern University.</t>
  </si>
  <si>
    <t>bateman@sandscap.com</t>
  </si>
  <si>
    <t>Chief Technology Officer &amp; Chief Information Security Officer</t>
  </si>
  <si>
    <t>136964-26P</t>
  </si>
  <si>
    <t>Samantha Toler</t>
  </si>
  <si>
    <t>Toler</t>
  </si>
  <si>
    <t>Ms. Samantha Toler serves as Senior Director, Client Relations and Business Development at Sands Capital. Previously she served as Vice President, Equities Division at Goldman Sachs.</t>
  </si>
  <si>
    <t>stoler@sandscap.com</t>
  </si>
  <si>
    <t>Senior Director, Client Relations and Business Development</t>
  </si>
  <si>
    <t>284266-27P</t>
  </si>
  <si>
    <t>Scott Headd</t>
  </si>
  <si>
    <t>Headd</t>
  </si>
  <si>
    <t>Mr. Scott Headd serves as Senior Director, Client Relations at Sands Capital. He draws on his experience and expertise in private markets and dedication to client service to support Sands Capital Ventures Partners, portfolio companies, and investment teams. Prior to re-joining Sands Capital, Scott was Managing Director at J.P. Morgan Private Bank where he advised entrepreneurs and family offices on all facets of their financial well-being. He was previously a member of the U.S. Advisory Council reporting to the CEO and Operating Committee and a Morgan Circle Award Recipient in 2021 which recognized the Private Bank's top 3% performers. Scott holds a B.A. from the University of Virginia, McIntire School of Commerce, and an MBA from the Darden School of Business at the University of Virginia.</t>
  </si>
  <si>
    <t>sheadd@sandscapital.com</t>
  </si>
  <si>
    <t>136947-43P</t>
  </si>
  <si>
    <t>Semone Fraser</t>
  </si>
  <si>
    <t>Semone</t>
  </si>
  <si>
    <t>Ms. Semone Fraser serves as Senior Investment Operations Analyst at Sands Capital.</t>
  </si>
  <si>
    <t>sfraser@sandscap.com</t>
  </si>
  <si>
    <t>Senior Investment Operations Analyst</t>
  </si>
  <si>
    <t>263120-86P</t>
  </si>
  <si>
    <t>Shannon Pederson</t>
  </si>
  <si>
    <t>Pederson</t>
  </si>
  <si>
    <t>Ms. Shannon Pederson serves as a Senior Operations Associate at Sands Capital. She joined Sands Capital Ventures in 2017 as an Executive Assistant and was promoted to Operations Associate in 2019. In her new role, she focuses on offerings, distributions, and other operational tasks. Prior to Sands Capital Ventures, she was Executive Assistant at Stifel and Hilltop Public Solutions, and Project Accountant at Balfour Beatty Construction. She holds a BS in Social Work from George Mason University.</t>
  </si>
  <si>
    <t>spederson@sandscap.com</t>
  </si>
  <si>
    <t>Senior Operations Associate, SCV</t>
  </si>
  <si>
    <t>273059-02P</t>
  </si>
  <si>
    <t>Shou-Wei Fan</t>
  </si>
  <si>
    <t>Shou-Wei</t>
  </si>
  <si>
    <t>Ms. Shou-Wei Fan serves as Director, Investment Operations at Sands Capital.</t>
  </si>
  <si>
    <t>sfan@sandscapital.com</t>
  </si>
  <si>
    <t>Director, Investment Operations</t>
  </si>
  <si>
    <t>223442-11P</t>
  </si>
  <si>
    <t>Shreya Singh</t>
  </si>
  <si>
    <t>Ms. Shreya Singh serves as an Associate at Sands Capital. She served as a Partner at A-Level Capital. She's excited about the intersection of deep tech and business strategy, and has held roles in both tech and venture! Most recently, She has been working as an analyst at Sands Capital for almost 2 years on their high-growth life sciences venture fund.</t>
  </si>
  <si>
    <t>ssingh@sandscap.com</t>
  </si>
  <si>
    <t>127027-36P</t>
  </si>
  <si>
    <t>Stephen Nimmo</t>
  </si>
  <si>
    <t>Nimmo</t>
  </si>
  <si>
    <t>Mr. Stephen Nimmo serves as Executive Managing Director, Business Development and Client Relations at Sands Capital.</t>
  </si>
  <si>
    <t>snimmo@sandscap.com</t>
  </si>
  <si>
    <t>190284-40P</t>
  </si>
  <si>
    <t>Stephen Zachary Ph.D</t>
  </si>
  <si>
    <t>Mr. Stephen Zachary serves as Board Member at DICE Therapeutics. He served as Board Member at Day Zero Diagnostics. He served as Board Member at Acumen Pharmaceuticals. He is a Principal at Sands Capital Ventures, a venture capital firm based in the Washington DC area. At Sands Capital, Stephen leads private life sciences investments in therapeutic, diagnostic, and life sciences tools businesses. Prior to joining Sands Capital, Stephen received his Ph.D. in neuroscience from the Johns Hopkins School of Medicine. Stephen served as Director of Business Development and Research Analytics at Agilis Biotherapeutics, a gene therapy company focused on rare neurological diseases, and is a Kauffman Fellow (Class 23).</t>
  </si>
  <si>
    <t>szachary@sandscap.com</t>
  </si>
  <si>
    <t>DICE Therapeutics (Former)</t>
  </si>
  <si>
    <t>60506-74P</t>
  </si>
  <si>
    <t>Sunil Thakor</t>
  </si>
  <si>
    <t>Thakor</t>
  </si>
  <si>
    <t>Mr. Sunil Thakor serves as Senior Portfolio Manager and Research Analyst at Sands Capital. Mr. Thakor earned MBA from Columbia University in 2006 and BA in Economics-Mathematics from Colby College in 1999.</t>
  </si>
  <si>
    <t>thakor@sandscap.com</t>
  </si>
  <si>
    <t>Senior Portfolio Manager &amp; Research Analyst</t>
  </si>
  <si>
    <t>250756-84P</t>
  </si>
  <si>
    <t>T. Perry Williams</t>
  </si>
  <si>
    <t>T. Perry</t>
  </si>
  <si>
    <t>President &amp; Senior Investment Manager</t>
  </si>
  <si>
    <t>Mr. T. Perry Williams serves as a President &amp; Senior Portfolio Manager at Sands Capital Management. He holds an MBA from Kellogg Graduate School of Management at Northwestern University (1999), and from the University of Virginia (1994), a BS from McIntire School of Commerce. Previously he worked at Mercer Investment Consulting (1995 - 2004) in Atlanta, GA as Consultant and Principal.</t>
  </si>
  <si>
    <t>perry@sandscap.com</t>
  </si>
  <si>
    <t>President &amp; Senior Portfolio Manager</t>
  </si>
  <si>
    <t>99640-90P</t>
  </si>
  <si>
    <t>Teeja Boye</t>
  </si>
  <si>
    <t>Teeja</t>
  </si>
  <si>
    <t>Boye</t>
  </si>
  <si>
    <t>Mr. Teeja Boye serves as Portfolio Manager &amp; Senior Research Analyst at Sands Capital. He also served as Investment Executive at Sands Capital Ventures. He served as Advisor at IAM ventures.</t>
  </si>
  <si>
    <t>tboye@sandscap.com</t>
  </si>
  <si>
    <t>99653-41P</t>
  </si>
  <si>
    <t>Thomas Rogers</t>
  </si>
  <si>
    <t>Mr. Thomas Rogers serves as Research Analyst at Sands Capital Management.</t>
  </si>
  <si>
    <t>trogers@sandscap.com</t>
  </si>
  <si>
    <t>60506-20P</t>
  </si>
  <si>
    <t>Thomas Trentman</t>
  </si>
  <si>
    <t>Trentman</t>
  </si>
  <si>
    <t>Mr. Thomas Trentman serves as Senior Portfolio Manager and Research Analyst at Sands Capital.</t>
  </si>
  <si>
    <t>ttrentmans@sandscapital.com</t>
  </si>
  <si>
    <t>263118-88P</t>
  </si>
  <si>
    <t>Tyler Miller</t>
  </si>
  <si>
    <t>Mr. Tyler Miller serves as Manager, Finance and Operations at Sands Capital. He joined Sands Capital Ventures in 2019 and is a Sr. Associate, Finance and Operations. In his role, he assists with portfolio valuations, financial reporting, financial modeling, and other operational tasks. Prior to joining Sands Capital, he worked in PricewaterhouseCoopers LLP's Risk Assurance group and served clients in Hospitality, Real Estate, and Technology sectors. He graduated from Georgetown University in 2016 with a BA in Economics.</t>
  </si>
  <si>
    <t>tmiller@sandscap.com</t>
  </si>
  <si>
    <t>Manager, Finance and Operations</t>
  </si>
  <si>
    <t>60517-99P</t>
  </si>
  <si>
    <t>Wesley Johnston</t>
  </si>
  <si>
    <t>Mr. Wesley Johnston serves as Senior Portfolio Manager and Research Analyst at Sands Capital.</t>
  </si>
  <si>
    <t>wesley@sandscapital.com</t>
  </si>
  <si>
    <t>261804-88P</t>
  </si>
  <si>
    <t>Yolande Hanlan JD</t>
  </si>
  <si>
    <t>Yolande</t>
  </si>
  <si>
    <t>Hanlan</t>
  </si>
  <si>
    <t>Ms. Yolande Hanlan serves as Director and Senior Counsel at Sands Capital Management. She joined Sands Capital in 2018 and as Director and Senior Legal Counsel, she focuses on Sands Capital Ventures' transactions and fund formation activities. Prior to joining Sands Capital, She practiced as an attorney in the investment funds group at White &amp; Case LLP. Outside of her legal practice, from 2015-2019 She served as an Adjunct Associate Professor at Georgetown University's School of Foreign Service. She began her career as a corporate strategy consultant for private and public sector clients at Monitor Deloitte. She received a B. Comm., with first-class honors, and BA with distinction, from Queen's University (Canada). She also earned a Masters of Science in Foreign Service degree, with distinction, and a Juris Doctor, cum laude, from Georgetown University.</t>
  </si>
  <si>
    <t>yhanlan@sandscap.com</t>
  </si>
  <si>
    <t>Director &amp; Senior Counsel</t>
  </si>
  <si>
    <t>429514-39P</t>
  </si>
  <si>
    <t>Zhaoqi Huang</t>
  </si>
  <si>
    <t>Zhaoqi</t>
  </si>
  <si>
    <t>Mr. Zhaoqi Huang serves as Senior Research Associate at Sands Capital. He previously worked for Deloitte Consulting. He graduated from Pomona College (2019) with a BA in Molecular Biology.</t>
  </si>
  <si>
    <t>zhuang@sandscap.com</t>
  </si>
  <si>
    <t>422245-36P</t>
  </si>
  <si>
    <t>Alex Lee</t>
  </si>
  <si>
    <t>SBVA</t>
  </si>
  <si>
    <t>Mr. Alex Lee serves as Associate, Korea at SoftBank Ventures Asia. He was a Senior Consultant at EY-Parthenon, where he advised financial institutions on commercial due diligence and developed business strategies for global technology and energy firms. He graduated from the University of Chicago with a Bachelor's in Economics.</t>
  </si>
  <si>
    <t>+82 (0)23 484 9042</t>
  </si>
  <si>
    <t>19th Floor, B Wing, Kyobo Tower, 465</t>
  </si>
  <si>
    <t>Gangnam-daero, Seocho - Gu</t>
  </si>
  <si>
    <t>06611</t>
  </si>
  <si>
    <t>Associate, Korea</t>
  </si>
  <si>
    <t>230116-33P</t>
  </si>
  <si>
    <t>Ashley Liu</t>
  </si>
  <si>
    <t>Ms. Ashley Liu serves as Senior Associate, China at SoftBank Ventures Asia. Before joining SoftBank Ventures Asia, she worked at China Renaissance from 2017 to 2018, covering fundraising of TMT startups, including consumer internet, enterprise SaaS, etc. Before that, She worked at KPMG Tanzania from 2014 to 2015. She received her Bachelor's Degree in Journalism and Communication from Nanjing University and Master's Degree in Finance from the Chinese University of Hong Kong.</t>
  </si>
  <si>
    <t>Senior Associate, China</t>
  </si>
  <si>
    <t>47044-99P</t>
  </si>
  <si>
    <t>Benjamin Weiss</t>
  </si>
  <si>
    <t>Mr. Benjamin Weiss served as the General Partner at CEIIF. He also serves as Partner at Alicorn. He served as Board Advisor at Get SAT. He serves as a Managing Partner at CreditEase. He serves as Director at Heliant Ventures. He serves as a Venture Partner, Israel at SoftBank Ventures Asia. He serves as a Board Member at Alcide, WeedOUT and SP Nano. He serves as a Board Observer at Silentium, and Saguna. He served as a Board Observer at Pebbles Interfaces and Sanguine Biosciences. He served as a Board Member at Geneformics, Continual, DiA Imaging Analysis and SP Materials &amp; Imvision. He founded and served as Managing Partner at iVentures Asia. He received the 'Most Active VC Fund' award in Israel for 3 consecutive years (2016, 2017, 2018) with 22 new investments. He has had multiple portfolio exits including global IPOs and various M&amp;As to companies like Google, Facebook, Snapchat &amp; Samsung Electronics. He has 20 years of experience in 7 countries via a diverse range of roles in Asia, including with Salomon Smith Barney, Macquarie Bank, Shinsei Bank, AXA, CLSA, and Baker and McKenzie. He is a Chartered Financial Analyst (CFA) and Lawyer. He has a BCom and LL.B from the University of NSW is a Chartered Financial Analyst (CFA) and is a graduate of Sydney College of Law.</t>
  </si>
  <si>
    <t>Shlomo Ibn Gabirol Street 30</t>
  </si>
  <si>
    <t>Yafo</t>
  </si>
  <si>
    <t>6407807</t>
  </si>
  <si>
    <t>Alicorn</t>
  </si>
  <si>
    <t>98163-82P</t>
  </si>
  <si>
    <t>Cindy Jin</t>
  </si>
  <si>
    <t>Ms. Cindy Jin serves as a Partner, Korea at SoftBank Ventures Asia. She serves as Board Member at Style Theory. Following a Georgetown undergraduate degree, Ms. Jin worked as an investment banker at Credit Suisse's New York and Hong Kong offices for four years. She then moved to Stanford's MBA program, where her interest in start-ups and venture capital blossomed. She started her investment career at D3Jubilee, an impact investment firm in Korea. In March 2014, she joined SoftBank Ventures Korea, where she has been actively investing in consumer technology companies across Southeast Asia and Korea. She also serves as a Board member at Rapport Labs</t>
  </si>
  <si>
    <t>+82 (0)23 484 9000</t>
  </si>
  <si>
    <t>Partner, Korea</t>
  </si>
  <si>
    <t>98161-48P</t>
  </si>
  <si>
    <t>Daniel Kang</t>
  </si>
  <si>
    <t>Mr. Daniel Kang serves as an Advisor at SoftBank Ventures Asia. He serves as Board Member at Tantan Select, Qanda, Healcerion, Ruby Cube, JANDI, Qualson, VCNC, Vespa, Global Networks, Mathpresso, ALT, Ini3 Digital, Intake and SoftPV. He also served as Board Member at Buzzvil, Orange Power and Scatter Lab. He holds an MA in Finance Management from Seoul National University and a BA in Business Administration from Seoul National University. He served as a Board Member at Human Technology.</t>
  </si>
  <si>
    <t>230139-82P</t>
  </si>
  <si>
    <t>Dapeng Wang</t>
  </si>
  <si>
    <t>Dapeng</t>
  </si>
  <si>
    <t>Mr. Dapeng Wang serves as Director at SBVA. Prior to joining SoftBank Ventures Asia, Mr. Wang was a Director of UBS Asset Management, covering its APAC private equity fund investment. He also worked in private equity direct investment with Long Tree Capital as an Investment Management, and in management consulting with Trinamo in London. Dapeng has an MBA degree from Columbia Business School, an MPhil degree from Cambridge University and a BEng degree from Beijing Institute of Technology.</t>
  </si>
  <si>
    <t>36037-45P</t>
  </si>
  <si>
    <t>Ding'an Fei</t>
  </si>
  <si>
    <t>Ding'an</t>
  </si>
  <si>
    <t>Mr. Ding'an Fei serves as Venture Partner at SBVA. He was a Founding Partner of Ledger Capital. He served as Executive Director and Principal, Technology, Media, and Telecommunications at Warburg Pincus. He was closely involved with NEA's investments in Playdom, HYGEIA Medical Services, CITIC Pharmaceuticals, and Spreadtrum Communications (NASDAQ: SPRD). Prior to joining NEA, he was an investment banking analyst at Morgan Stanley in the Merger and Acquisition group in its Asia Pacific office. While at Morgan Stanley, he advised and executed a number of equity/debt financings and cross-border M&amp;A transactions for leading public and private companies in Asia across a wide range of sectors. He earned his bachelor's degree in mathematics and economics from Amherst College and was elected Phi Beta Kappa.</t>
  </si>
  <si>
    <t>422248-33P</t>
  </si>
  <si>
    <t>Edward Chung</t>
  </si>
  <si>
    <t>Mr. Edward Chung serves as Partner &amp; Head Korea at SBVA. He began his career as an engineer at a tech start-up and helped manage its operations until the company was listed on the KOSDAQ. He then joined McKinsey as a consultant, where he developed business strategies for global companies. In 2015, he joined SBVA and invested in early to growth-stage companies. From 2021 to 2023, he worked as the EVP/CSO of Blank Corp. and led the company's turnaround. Afterwards, in 2023, he rejoined SBVA as an Investment/Operating Partner. He graduated from Seoul National University with a double major in electrical engineering and business administration.</t>
  </si>
  <si>
    <t>Partner &amp; Head Korea</t>
  </si>
  <si>
    <t>422249-41P</t>
  </si>
  <si>
    <t>Elly Han</t>
  </si>
  <si>
    <t>Elly</t>
  </si>
  <si>
    <t>Ms. Elly Han serves as Associate, Korea at SBVA. Ms. Han was an analyst at Carlyle's Asia Buyout team, where she reviewed potential investment opportunities across various sectors and managed the operational &amp; financial performance of portfolio companies. She holds a B.A. in Economics from Yonsei University.</t>
  </si>
  <si>
    <t>98170-21P</t>
  </si>
  <si>
    <t>Eugene Chang JD</t>
  </si>
  <si>
    <t>Mr. Eugene Chang serves as Partner, General Counsel and Compliance Officer at SBVA. He joined SoftBank Ventures in January 2015 and has been actively investing in start-ups in the deep technology and gaming sectors. He aims to foster robust teams that will build sustainable companies and can add to their unique value over time, even after investors exit. He believes this will not only make investors more credible in the long run but also support a virtuous cycle for the industry as a whole. Before joining SoftBank Ventures, he worked with Enswers, which is now part of Gracenote under Nielson. He served as an in-house legal counsel, engaging in mergers and acquisitions and restructuring. He is an active lawyer in California and holds a JD degree from Santa Clara University, located in the tech hub of Silicon Valley, and a BA from the University of Michigan.</t>
  </si>
  <si>
    <t>Partner, General Counsel and Compliance Officer</t>
  </si>
  <si>
    <t>155911-24P</t>
  </si>
  <si>
    <t>Eunwoo Lee</t>
  </si>
  <si>
    <t>Eunwoo</t>
  </si>
  <si>
    <t>Mr. Eunwoo Lee serves as Partner &amp; Managing Director at SoftBank Ventures Asia. He also serves as Board Member at Buzzni, Gaudio Lab, BRAVECOMPANY, Carro (Automotive), Fast Campus, and Karrot. He also served as Board Member at Megaphone (Sweden), Tridge Group Conbus, Seworks, Keystone Marketing Company, Derkwoo Electronics, MangoPlate, MirageWorks, RSQUARE, and Hyperconnect. He holds BS in Computer Science &amp; Engineering from POSTECH.</t>
  </si>
  <si>
    <t>316408-69P</t>
  </si>
  <si>
    <t>Han Wang</t>
  </si>
  <si>
    <t>Ms. Han Wang serves as an Associate, China at SBVA. Prior to joining SoftBank Ventures Asia, she interned at Lazard, during which she was involved in investment banking businesses such as M&amp;A and capital raising. Before that, she interned at Ardian and mainly participated in FoF investments. She received her Bachelor's Degree in Finance from the University of New South Wales and a Master's in Finance from the London School of Economics and Political Science.</t>
  </si>
  <si>
    <t>Associate, China</t>
  </si>
  <si>
    <t>230139-10P</t>
  </si>
  <si>
    <t>Jackson Du</t>
  </si>
  <si>
    <t>Mr. Jackson Du serves as Vice President, China at SBVA. Prior to joining SoftBank Ventures Asia, he was an Associate Consultant at Bain &amp; Company, working in the PE group and providing commercial due diligence services to global leading PE firms. He received his Bachelor's Degree in Software Engineering and Master's Degree in Management from Zhejiang University.</t>
  </si>
  <si>
    <t>Vice President, China</t>
  </si>
  <si>
    <t>123050-08P</t>
  </si>
  <si>
    <t>Jason Ding</t>
  </si>
  <si>
    <t>Mr. Jason Ding serves as Partner &amp; Head of China Investment at SBVA. he was a Partner and Managing Director of TPG Growth based in Beijing. Before joining TPG in 2018, he was the Managing Partner and head of Evolution Media China since 2016, a TPG-sponsored media and entertainment investment platform originally from the US. Previously he worked from 2008 to 2016 as the Partner of Bertelsmann Asia Investments, where he joined as the founding team member in Bertelsmann's corporate investment arm in China, covering various sectors incl. Media, Consumer Internet, Fintech, Enterprise Software, Education, and BPO. He started his career as an Associate at China Growth Capital and Technology Specialist at Accenture.</t>
  </si>
  <si>
    <t>Partner &amp; Head of China Investment</t>
  </si>
  <si>
    <t>98170-84P</t>
  </si>
  <si>
    <t>Jeehyun Choi</t>
  </si>
  <si>
    <t>Jeehyun</t>
  </si>
  <si>
    <t>Mr. Jeehyun Choi serves as a Partner, Korea at SoftBank Ventures Asia. Mr. Choi serves as a Board Member at ImpriMed. He served as an Associate at Samsung Electronics. He has invested in a wide range of industries in order to introduce tremendous advantages through the application of IT. He continues to work relentlessly to deliver multiple value-adds, which spur the growth of portfolio companies. Before joining SoftBank Ventures, he worked in the management support department of Samsung Electronics for three years, dealing with budgeting control and managerial accounting. After graduating from Korea University Business School, he studied computer science at the Cyber University of Korea in order to gain a deeper knowledge of IT. He holds a BA in Business Administration from Korea University and graduated once again in Computer Engineering from Korea Cyber University to pursue further education in ICT.</t>
  </si>
  <si>
    <t>316402-57P</t>
  </si>
  <si>
    <t>Jeremy Cheong</t>
  </si>
  <si>
    <t>Mr. Jeremy Cheong serves as Associate, Southeast Asia at SoftBank Ventures Asia. Prior to joining Softbank Ventures Asia, he was an equity analyst at Goldman Sachs focusing on the Southeast Asia region, covering the consumer, retail and agriculture space. He graduated Summa Cum Laude from Singapore Management University with a Bachelors in Economics.</t>
  </si>
  <si>
    <t>jeremy@softbank.co.kr</t>
  </si>
  <si>
    <t>Associate, Southeast Asia</t>
  </si>
  <si>
    <t>410779-00P</t>
  </si>
  <si>
    <t>Ji-woo Jeong</t>
  </si>
  <si>
    <t>Ji-woo</t>
  </si>
  <si>
    <t>Mr. Ji-woo Jeong serves as Chief Executive at SoftBank Ventures Asia.</t>
  </si>
  <si>
    <t>269735-05P</t>
  </si>
  <si>
    <t>Joanne Kwon</t>
  </si>
  <si>
    <t>Ms. Joanne Kwon serves as Principal, Korea at SoftBank Ventures Asia. Her experience prior to joining SoftBank Ventures Asia spanned banking, consulting, and private equity. During her years in banking, she worked with clients on M&amp;A and IPO transactions in Korea and globally. As a consultant, she worked with clients seeking to solve strategic problems and maximize a firm's value. She then joined private equity where she was able to deploy the experiences in banking and consulting. She holds a BA in Business Administration from Yonsei University and an MBA from the University of Pennsylvania (Wharton).</t>
  </si>
  <si>
    <t>Principal, Korea</t>
  </si>
  <si>
    <t>454182-76P</t>
  </si>
  <si>
    <t>Joon Jung</t>
  </si>
  <si>
    <t>Joon</t>
  </si>
  <si>
    <t>Mr. Joon Jung serves as Associate, Investments at SBVA. He graduated summa cum laude from Seoul National University, dual majoring in Business and Computer Science. He also brings strong startup experience, having spent two years building B2B SaaS products at Megazone Cloud and Shopl, and contributing to global GTM strategy at Moreh.</t>
  </si>
  <si>
    <t>Associate, Investments</t>
  </si>
  <si>
    <t>104858-20P</t>
  </si>
  <si>
    <t>Joonpyo Lee</t>
  </si>
  <si>
    <t>Joonpyo</t>
  </si>
  <si>
    <t>Mr. Joonpyo Lee serves as Chief Executive Officer and Managing Partner at SoftBank Ventures Asia. He served as a Board Member at Aria Pharmaceuticals. He serves as Board Member at Jandi. He served as Advisor at Jandi. He served as Board Member at twoXAR, True Balance, and Zepl. He serves as Board Member and Advisor at Jandi. He also served as Board Member at Radish, Guggy, OPGG, Lunit, Balance Hero, Blank Corporation, Speclipse and Tomocube. He served as Board Member at MyMusicTaste and Fishbrain. In 2001, he founded Evixar, a web-based remote control platform for PC, which was acquired by a public company in 2004. He subsequently joined GOM TV, the largest Internet video service in Korea, as the director of global business development. While at the company, JP ran GOM Star League, the world's first e-sports league, broadcasted to more than 100 million viewers worldwide. He then co-founded Enswers, an ACR (Automatic Content Recognition) technology company. Over the years, he tripled his team by leading the core ACR business. He opened offices in San Francisco, acquired two companies, and accelerated overall growth. Enswers became the world's largest ACR provider of Smart TVs, leading to its acquisition by Tribune Media Group in 2014, a move led by JP. He served as Board Member at Cyclops.</t>
  </si>
  <si>
    <t>jp@softbank.co.kr</t>
  </si>
  <si>
    <t>Chief Executive Officer and Managing Partner</t>
  </si>
  <si>
    <t>316421-29P</t>
  </si>
  <si>
    <t>Juyon Lee</t>
  </si>
  <si>
    <t>Juyon</t>
  </si>
  <si>
    <t>Ms. Juyon Lee serves as Director at SoftBank Ventures Asia. Her experience prior to joining SoftBank Ventures Asia spans investment banking and fund of funds management. During her years in investment banking, she worked with many corporate clients on IPO, M&amp;A, Block Sales, corporate bonds, hybrid securities, and right offerings transactions in Korea. Based on Investment Banking experience, she also worked at the fund-of-funds house which specialized in PEs/VCs in Korea. Her main investment funds were M&amp;A funds, Secondary funds, matching funds, IP&amp;Technology funds, etc. She has a master's in Finance degree from London Business School and a BS degree (Math. and Business administration) from Sogang University. She also is a CFA (Chartered Financial Analyst).</t>
  </si>
  <si>
    <t>247892-41P</t>
  </si>
  <si>
    <t>Kenneth Low</t>
  </si>
  <si>
    <t>Mr. Kenneth Low serves as Principal, South East Asia at SoftBank Ventures Asia. He serves as Board Member at Carro. He co-founded &amp; served as Chief Operating Officer at Calacarte. He served as an Entrepreneur-in-Residence at 500 Startups. Before joining Softbank in 2020, he was most recently an Entrepreneur-in-Residence (EIR) with 500 Startups, helping to guide technology start-ups to grow and scale within the Southeast Asia region. Previously, he was the co-founder and COO of Club Alacarte, a consumer lifestyle coupon subscription app in Indonesia. Before forming Club Alacarte, he worked for more than 13 years as an investment banker in Hong Kong, New York, and Singapore.</t>
  </si>
  <si>
    <t>Principal, South East Asia</t>
  </si>
  <si>
    <t>422246-62P</t>
  </si>
  <si>
    <t>Louis Hong</t>
  </si>
  <si>
    <t>Mr. Louis Hong serves as Vice President, Korea at SoftBank Ventures Asia. Prior to joining SBVA, he served as a director at Daishin Private Equity, where he executed over 20 private equity investments. He embarked on his professional journey at Cummins as a project manager, focusing on tackling engineering challenges in the new product development initiatives. Subsequently, he transitioned to strategic consulting at A.T.Kearney, where he orchestrated complex cross-industry projects, further broadening his business acumen. He holds a B.S. in Mechanical Engineering from University of Illinois at Urbana-Champaign.</t>
  </si>
  <si>
    <t>Vice President, Korea</t>
  </si>
  <si>
    <t>422246-17P</t>
  </si>
  <si>
    <t>Nayoung Jeong</t>
  </si>
  <si>
    <t>Nayoung</t>
  </si>
  <si>
    <t>Ms. Nayoung Jeong serves as Senior Associate, Korea at SBVA. Beginning Ms. Jeong's career journey, she joined Lunit, a pioneering Medical AI startup, and navigated critical milestones including medical device approvals, business development, and a listing on KOSDAQ. She then transitioned to Bain &amp; Company as a management consultant, advising global corporations and private equity firms on business strategy and M&amp;A. She holds a dual major in Nursing and Business Administration from Korea University and is a licensed Registered Nurse.</t>
  </si>
  <si>
    <t>Senior Associate, Korea</t>
  </si>
  <si>
    <t>316398-70P</t>
  </si>
  <si>
    <t>Richard Jang</t>
  </si>
  <si>
    <t>Mr. Richard Jang serves as Vice President, Korea at SoftBank Ventures Asia. Prior to joining SoftBank Ventures Asia, he was a member of the leadership team at Function of Beauty, a New York City-based startup that focuses on creating customized beauty products. At Function of Beauty, he led the company's finance functions, spearheaded strategic initiatives, and managed various fundraising projects. Prior to his role at Function of Beauty, he was an associate at MacAndrews &amp; Forbes and Hahn &amp; Company, where he was responsible for identifying and evaluating investments in companies in the consumer, healthcare, and transportation sectors. He began his career as an analyst in the Global Industrials Group at Bank of America Merrill Lynch in New York. He graduated with an A.B. in Economics from Harvard University.</t>
  </si>
  <si>
    <t>89908-12P</t>
  </si>
  <si>
    <t>Roy Liu</t>
  </si>
  <si>
    <t>Mr. Roy Liu serves as Principal at SoftBank Ventures Asia. Earlier, he served as a Senior Associate, Investments at Ventech. Prior to joining the team in 2018, he was a partner of Zhong Capital. At Zhong Capital, he sourced and executed deals in growth-stage companies. He started his investment career at Ventech China. He was named Forbes '30 under 30 Asia: Finance &amp; Venture Capital' in 2016 and China Venture's Young Venture Capitalist in 2015. He got a Master's Degree in Accounting and Finance from the University of Manchester.</t>
  </si>
  <si>
    <t>203879-35P</t>
  </si>
  <si>
    <t>Sean Lee</t>
  </si>
  <si>
    <t>Mr. Sean Lee serves as a Board Member at Enuma. He serves as an Advisor at SoftBank Ventures Asia. He serves as a Board Member at Enuma. He has been with SoftBank Ventures since 2007. While at the firm, he has led a number of investments in ICT start-ups in Korea and across Southeast Asia, serving on the board of directors for companies including Tokopedia, Rsquare, and KnowRe. As an entrepreneur himself, he is keen to support innovative start-ups. Before joining SoftBank Ventures, he traveled the world and accumulated eight years of operational experience in both start-ups and a global corporation. He holds a BS in Computer Science &amp; Engineering from Pohang University of Science and Technology.</t>
  </si>
  <si>
    <t>+1 (800) 280-0558</t>
  </si>
  <si>
    <t>2600 9th Street</t>
  </si>
  <si>
    <t>Enuma</t>
  </si>
  <si>
    <t>230109-94P</t>
  </si>
  <si>
    <t>Seung Lee</t>
  </si>
  <si>
    <t>Seung</t>
  </si>
  <si>
    <t>Chief Financial Officer &amp; Senior Partner</t>
  </si>
  <si>
    <t>Mr. Seung Lee serves as Chief Financial Officer, Senior Partner and Head of Tech Growth Equity at SBVA. He worked for more than 15 years in Morgan Stanley's investment banking division in Hong Kong and Korea, advising on numerous M&amp;A and capital markets transactions.</t>
  </si>
  <si>
    <t>seung@softbank.co.kr</t>
  </si>
  <si>
    <t>Chief Financial Officer, Senior Partner and Head of Tech Growth Equity</t>
  </si>
  <si>
    <t>194934-52P</t>
  </si>
  <si>
    <t>Seyoung Lee</t>
  </si>
  <si>
    <t>Seyoung</t>
  </si>
  <si>
    <t>Ms. Seyoung Lee serves as Vice President at SBVA. She served as an Analyst at Sagamore Investments. Performs investment analytics and diligence in the Hong Kong office. Previously, she served as Program Manager of SuperCharger FinTech Accelerator in Hong Kong and as an associate for the Digital Finance Institute, a think tank focusing on the next generation of financial services. She graduated Summa Cum Laude with a BA in Ethics, Politics, and Economics from Yale University and a Master's in Management Science from Tsinghua University.</t>
  </si>
  <si>
    <t>316403-56P</t>
  </si>
  <si>
    <t>Shengkai He</t>
  </si>
  <si>
    <t>Shengkai</t>
  </si>
  <si>
    <t>Mr. Shengkai He serves as Senior Analyst, China at SoftBank Ventures Asia. Prior to joining SoftBank Ventures Asia, he worked at CDH Investments from 2020 to 2021 as a full-time intern and received return offer. He received his Bachelor of Business Administration and Master Degree of Finance from Tsinghua University.</t>
  </si>
  <si>
    <t>76002-40P</t>
  </si>
  <si>
    <t>Tony Lyu</t>
  </si>
  <si>
    <t>Lyu</t>
  </si>
  <si>
    <t>Mr. Tony Lyu serves as Advisor at SBVA. Mr. Lyu Co-Founded and served as Chief Executive Officer at Korbit. He also Co-founded TIDE Institute, a non-profit organization providing technology entrepreneurship education. Prior to that, he worked in Germany and in Austria as an Associate Expert at the United Nations Office for Outer Space Affairs, and in Sri Lanka as a vocational school teacher for the Korea International Cooperation Agency. He holds an MS in Financial Economics from the University of London.</t>
  </si>
  <si>
    <t>230138-02P</t>
  </si>
  <si>
    <t>Xindi Guo</t>
  </si>
  <si>
    <t>Xindi</t>
  </si>
  <si>
    <t>Ms. Xindi Guo serves as Vice President at SoftBank Ventures Asia. Before joinging Softbank Ventures Asia, Ms. Guo worked as Investment Associate for TPG China Music (a greenfield music label under TPG Growth) and Evolution Media China (a TPG-sponsored investment platform) since 2016, covering TMT investment. I previously worked as a BD at China Central Television, covering the international news exchange business since 2013. She received her Bachelor's Degree in Communication from the University of Colorado Denver, and her Master's Degree in Communication, Culture, and Technology from Georgetown University.</t>
  </si>
  <si>
    <t>293310-55P</t>
  </si>
  <si>
    <t>Young Park</t>
  </si>
  <si>
    <t>Mr. Young Park serves as Principal, Korea at SoftBank Ventures Asia. Mr. Park served as Principal &amp; Vice Chairman at DS Asset Management. He began his career as a research analyst at Bank of America Merrill Lynch's Seoul office, analyzing publicly listed companies in the industrial sector for five years. He holds a degree in Business Administration from Yonsei University.</t>
  </si>
  <si>
    <t>230115-52P</t>
  </si>
  <si>
    <t>YZ Wang</t>
  </si>
  <si>
    <t>YZ</t>
  </si>
  <si>
    <t>Mr. YZ Wang serves as Vice President, China at SBVA. Before joining SoftBank Ventures Asia, Mr. Wang was an Associate of Evolution Media China from 2017 to 2018, covering TMT sectors. Previously worked as an Associate Consultant of Bain &amp; Company from 2015 to 2017, providing strategy &amp; operation consulting services to global leading companies. He received his Bachelor's Degree in Public Administration from Chu Kochen Honors College, Zhejiang University.</t>
  </si>
  <si>
    <t>ywang@sbvacorp.com</t>
  </si>
  <si>
    <t>244417-69P</t>
  </si>
  <si>
    <t>Robert Harrington</t>
  </si>
  <si>
    <t>SBXi</t>
  </si>
  <si>
    <t>Mr. Robert Harrington serves as Director of Operations at SBXi. Mr. Harrington is a Co-Founder of Dryfter (Media and Information Services (B2B)). He graduated from Boston College in 2018 with a Bachelor's Degree in Economics. He also worked as a broker in New York City on the Interest Rate Swap Options Desk.</t>
  </si>
  <si>
    <t>+1 (703) 477-4828</t>
  </si>
  <si>
    <t>robert@sbxi.com</t>
  </si>
  <si>
    <t>325858-60P</t>
  </si>
  <si>
    <t>Adam Kerr</t>
  </si>
  <si>
    <t>SCF Partners</t>
  </si>
  <si>
    <t>Mr. Adam Kerr serves as Vice President at SCF Partners. He joined SCF in 2021 as an Associate, based in Aberdeen. He serves as Board Member at D2zero. He focuses on sourcing, evaluating, and executing new investment opportunities in the UK and Europe whilst providing strategic support to SCF's international portfolio. Whilst at Deloitte, he worked in the Energy and Industrials Financial Advisory practice, providing financial due diligence and M&amp;A transaction advisory services to a broad range of international energy clients. In 2018, he was appointed to a corporate development position at a high-growth private equity-backed energy services business, playing a key role in expanding the rental fleet and internationalising the business. Prior to joining SCF, he had a corporate development role at a high-profile family-owned food business, supporting the senior leadership team with a transformational US acquisition and building a pipeline of potential M&amp;A targets. He graduated from Aberdeen Business School with a First-Class Honours in Accounting and Finance, subsequently joining Deloitte and qualifying as a Chartered Accountant with the Institute of Chartered Accountants of Scotland.</t>
  </si>
  <si>
    <t>+44 (0)12 2465 6930</t>
  </si>
  <si>
    <t>akerr@scfpartners.com</t>
  </si>
  <si>
    <t>15 Rubislaw Terrace</t>
  </si>
  <si>
    <t>AB10 1XE</t>
  </si>
  <si>
    <t>+44 (0)12 2465 6931</t>
  </si>
  <si>
    <t>387777-25P</t>
  </si>
  <si>
    <t>Amber Lin</t>
  </si>
  <si>
    <t>Ms. Amber Lin serves as Controller at SCF Partners.</t>
  </si>
  <si>
    <t>+1 (713) 227-7888</t>
  </si>
  <si>
    <t>alin@scfpartners.com</t>
  </si>
  <si>
    <t>600 Travis</t>
  </si>
  <si>
    <t>Suite 6600</t>
  </si>
  <si>
    <t>+1 (832) 213-1313</t>
  </si>
  <si>
    <t>441633-97P</t>
  </si>
  <si>
    <t>Ananya Ganesh</t>
  </si>
  <si>
    <t>Ms. Ananya Ganesh serves as an Analyst at SCF Partners. She graduated from Stanford University in 2024 with a B.S. in Product Design Engineering and a B.S. in Computational Biology. Following graduation, she began her career as an Investment Banking Analyst with Wells Fargo in the Financial Sponsors Group, where she participated in origination, structuring, and execution of leveraged buyouts, dividend recapitalizations, refinancings, acquisitions, financings, and equity issuances for large-cap private equity sponsors.</t>
  </si>
  <si>
    <t>aganesh@scfpartners.com</t>
  </si>
  <si>
    <t>15610-51P</t>
  </si>
  <si>
    <t>Andrew Waite</t>
  </si>
  <si>
    <t>Waite</t>
  </si>
  <si>
    <t>Mr. Andrew Waite serves as Managing Partner at SCF Partners. He serves as a Board Member at Forum Energy Technologies. He was appointed as a director in August 2010 and currently serves as a member of the Governance Committee. He is Co-President of LESA, and has been an officer of that company since 1995. He was previously Vice President of Simmons &amp; Company International, where he served from August 1993 to September 1995. From 1984 to 1991, he held a number of engineering and project management positions with the Royal Dutch/Shell Group, an integrated energy company. He currently serves on the board of directors of Atlantic Navigation Holdings, an operator of offshore vessels. He has also served on the board of directors of Complete Production Services, Inc., a provider of specialized oil and gas completion and production services, from 2000 to 2006, and Oil States International, Inc., a leading manufacturer of equipment for deepwater production facilities and subsea pipelines and a leading service provider to the oil and gas industry, from 1995 to 2006.</t>
  </si>
  <si>
    <t>awaite@scfpartners.com</t>
  </si>
  <si>
    <t>15611-23P</t>
  </si>
  <si>
    <t>Anthony DeLuca</t>
  </si>
  <si>
    <t>Mr. Anthony DeLuca serves as a Partner at SCF Partners. He earned his accounting degree from Texas A&amp;M University in 1984. Through 1992, he worked in the Houston office of Arthur Andersen &amp; Co., where he provided accounting and auditing, merger and acquisition, and business process consulting services. There he also gained significant experience with public equity, debt offerings, and transaction due diligence and analysis. His entire tenure with Andersen was devoted to clients in the oil and gas and oilfield service arenas. Interested in applying these skills as a principal rather than a consultant, he joined SCF in late 1992. He has filled numerous roles within the firm including serving as a board member of several prior portfolio companies. His primary responsibilities are overall management, capital formation, investor reporting and relations, transaction review, due diligence,e and transaction execution.</t>
  </si>
  <si>
    <t>adeluca@scfpartners.com</t>
  </si>
  <si>
    <t>424193-14P</t>
  </si>
  <si>
    <t>Cathryn Hart</t>
  </si>
  <si>
    <t>Cathryn</t>
  </si>
  <si>
    <t>Ms. Cathryn Hart serves as Senior Associate at SCF Partners. She graduated from the Massachusetts Institute of Technology (MIT) in 2018 with dual degrees in chemical engineering and writing. She began her career at Pioneer Natural Resources, where she held various technical and operational roles before transitioning into business development and corporate strategy. Before joining SCF, she earned an MBA and an MS in Engineering from Harvard Business School, graduating with High Distinction and as a Baker Scholar.</t>
  </si>
  <si>
    <t>chart@scfpartners.com</t>
  </si>
  <si>
    <t>325859-14P</t>
  </si>
  <si>
    <t>Charlie Booker</t>
  </si>
  <si>
    <t>Booker</t>
  </si>
  <si>
    <t>Mr. Charlie Booker serves as Senior Associate at SCF Partners. He joined in 2022, where he assesses and evaluates new investment opportunities, as well as working with the SCF Ventures portfolio. He graduated from Harvard University in 2019 with a B.A. in Economics, while also playing football where he earned First-Team All-Conference honors. Afterwards, he would then go on to continue his football career while working towards his MBA at the Jones Graduate School of Business (Rice University) with a focus in Finance and Strategy. Reaching the conclusion of his football career, he worked for Crown Castle, a Fortune 500 telecom infrastructure company, where he'd be a part of the corporate finance and investor relations team.</t>
  </si>
  <si>
    <t>cbooker@scfpartners.com</t>
  </si>
  <si>
    <t>82588-87P</t>
  </si>
  <si>
    <t>Cissy Xiao</t>
  </si>
  <si>
    <t>Cissy</t>
  </si>
  <si>
    <t>Ms. Cissy Xiao serves as Director of Finance at SCF Partners. She graduated from the University of Texas in Austin with a Bachelor of Business Administration and a Master in Professional Accounting. After graduation, she began her career in the Securitization Tax Practice at Deloitte Tax LLP, where she serviced structured products issuers and investors, including consultation with asset-backed securitization issuers regarding structural matters, excess inclusion, financial report analysis, and taxable income computations associated with securitization vehicles. Prior to joining SCF Partners, she worked as a forensic accounting specialist at Deloitte Financial Advisory Services LLP, where her duties involved litigation and discovery process support.</t>
  </si>
  <si>
    <t>cxiao@scfpartners.com</t>
  </si>
  <si>
    <t>17834-86P</t>
  </si>
  <si>
    <t>Colin Welsh</t>
  </si>
  <si>
    <t>Mr. Colin Welsh served as Co-Chief Executive Officer and Managing Director at Simmons &amp; Company International. He serves as Board Member at Powerstar. He serves as Chairman at D2Zero,Centurion Group and Score Group. He serves as Partner at SCF Partners. He serves as International Partner at SCF Partners. He was a Board Member of Aberdeen Football Club. He joined Simmons in 1999 to establish the firm's Eastern Hemisphere business. From its Aberdeen hub and satellite operations in London and Dubai, his team has advised on transactions with an aggregate value in excess of $15 billion. Prior to joining Simmons, in 1987 he established the Aberdeen office of RMD, a newly formed accountancy and corporate finance firm. Over twelve years RMD developed into successful, independent accountancy and corporate finance advisory boutique which was ultimately sold to Touche Ross (now Deloitte). Previously, he worked in both the London and Aberdeen offices of Touche Ross. He graduated from Aberdeen University having studied Economics, Accountancy &amp; Law and went on to qualify as a Scottish Chartered Accountant while working at Ernst &amp; Whinney (now Ernst &amp; Young).</t>
  </si>
  <si>
    <t>+44 (0)12 2420 2300</t>
  </si>
  <si>
    <t>cwelsh@scfpartners.com</t>
  </si>
  <si>
    <t>204672-70P</t>
  </si>
  <si>
    <t>Daniel West</t>
  </si>
  <si>
    <t>Mr. Daniel West serves as Managing Director at SCF Partners. He serves as a Board Member at Innovative Downhole Solutions. He serves as a Board Member at Professional Directional Enterprises. After growing up in the Houston area and studying economics at Harvard College, He trained as an infantry officer in the United States Marine Corps. As a platoon commander with the 22nd Marine Expeditionary Unit aboard the USS Mesa Verde, he led the Tactical Recovery of Aircraft and Personnel force in support of the NATO aerial campaign over Libya. He then served as executive officer of India Company, 3rd Battalion, 9th Marines as it mentored Afghan forces to assume lead security responsibility and executed counter-narcotics missions in Marjah, Helmand Province, Afghanistan. He graduated with honors from Harvard Business School and Harvard Law School, where he served as an editor of the Harvard Law Review and taught undergraduate economics courses. Following experience in consulting and finance and a legal clerkship on the U.S. Court of Appeals for the D.C. Circuit, He joined the company in 2018. He is responsible for evaluating new investment opportunities and providing strategic growth assistance to our partners.</t>
  </si>
  <si>
    <t>dwest@scfpartners.com</t>
  </si>
  <si>
    <t>15611-32P</t>
  </si>
  <si>
    <t>David Baldwin</t>
  </si>
  <si>
    <t>Mr. David Baldwin serves as Partner at SCF Partners. Mr. Baldwin serves as Board Member at Greentown Labs. He served as Board Member &amp; Member of Nominating, Governance &amp; Sustainability Committee at Forum Energy Technologies. He was appointed as a director of Forum in May 2005 and currently serves as a member of the Governance Committee. Mr. Baldwin is the Co-President of LESA and has been an officer of that company since 1991. Prior to joining LESA, Mr. Baldwin was a drilling and production engineer with Union Pacific Resources Group Inc., an independent natural gas and oil exploration and production company. Mr. Baldwin serves as a director of Select Energy Solutions, Inc., a public energy services company; Nine Energy Service, Inc., a public energy services company; Oil Patch, Inc., a private energy services company; and BCCK, Inc., a private energy services company; and served as a director of Complete Production Services, Inc., a provider of specialized oil and gas completion and production services.</t>
  </si>
  <si>
    <t>dbaldwin@scfpartners.com</t>
  </si>
  <si>
    <t>204672-61P</t>
  </si>
  <si>
    <t>Deviyani Misra-Godwin</t>
  </si>
  <si>
    <t>Deviyani</t>
  </si>
  <si>
    <t>Misra-Godwin</t>
  </si>
  <si>
    <t>Ms. Deviyani Misra-Godwin serves as Managing Director at SCF Partners. She also serves as a Board Member at Capital Sand Proppants. She earned her Bachelor's and Master's degrees in Chemical Engineering from the University of Cambridge, where she graduated with First Class Honours. During that time she was selected as an exchange student at the Massachusetts Institute of Technology (MIT) for a year. After graduating, she spent several years at ExxonMobil, in a range of technical, operational, and supply chain roles in the downstream and petrochemicals industry. She subsequently joined the Boston Consulting Group as a management consultant in the London Energy practice, working on strategic and operational projects across the energy industry. She then moved to Boston to pursue her MBA at Harvard Business School, graduating in 2018.</t>
  </si>
  <si>
    <t>dmisra-godwin@scfpartners.com</t>
  </si>
  <si>
    <t>35792-92P</t>
  </si>
  <si>
    <t>Ernie Danner</t>
  </si>
  <si>
    <t>Ernie</t>
  </si>
  <si>
    <t>Danner</t>
  </si>
  <si>
    <t>Mr. Ernie Danner serves as Operating Partner at SCF Partners. Mr. Danner served as Chairman &amp; Board Member at Shelf Drilling. He serves as Chairman at Pipeline Plastics. After graduating from Rice University in Houston with a Master of Accountancy, Ernie worked in the tax advisory group of KPMG for six years. He then worked in a series of financial roles in the energy sector, international insurance brokerage business, and specialty chemical business. In 1998, Ernie joined a private equity firm in the purchase of a small gas compression business. Over a 13-year period, he partnered with the management team in the creation of what is now Exterran, a leader in natural gas compression products and services and a premier provider of equipment and solutions for processing, production, air emissions and water treatment to the energy sector. Upon his retirement as CEO in 2011, Exterran had grown to 10,000 employees with operations in 30 countries.</t>
  </si>
  <si>
    <t>edanner@scfpartners.com</t>
  </si>
  <si>
    <t>85970-80P</t>
  </si>
  <si>
    <t>Mr. Garrett Jackson serves as Managing Director at SCF Partners. He serves as Chairman at OneWest Manufacturing. He serves as Board Member at Pipeline Plastics. He joined SCF Partners in 2013 and currently serves as a Director. His responsibilities include evaluating and executing new investment opportunities across North America, leading the firm's business development efforts and providing strategic support to existing portfolio companies. He also helps lead the firm's investment activities in the downstream and industrial services sectors, serving as a board director on Taurus Industrial Group, Pipeline Plastics, Westbrook Energy Group, Camin Cargo and Critical Flow Solutions. Born and raised in Mississippi, he graduated Summa Cum Laude from the University of Mississippi (Ole Miss) with a Bachelor's of Science dual degree in Political Science and Public Policy Leadership. Upon graduating, he took a job with Solamere Capital, a Boston-based Private Equity firm. Soon after moving to Boston, he got involved with the Free and Strong America PAC, Senator Mitt Romney's Boston-based political action committee. In 2009, he took a job as the Deputy National Finance Director for the Free and Strong America PAC, but soon became Senator Romney's Personal Aide. As Romney's aide, he was responsible for managing his day-to-day activities and traveled with the GOP presidential nominee throughout the entirety of the 2012 election cycle. He earned an MBA from Rice University's Business School, graduating in 2017. He is also active in the community and other initiatives, serving as a board member for Young Professionals in Energy, and an advisory board member for The Center for Pursuit and The Ole Miss Business School</t>
  </si>
  <si>
    <t>gjackson@scfpartners.com</t>
  </si>
  <si>
    <t>217289-89P</t>
  </si>
  <si>
    <t>Griffin Doyle</t>
  </si>
  <si>
    <t>Mr. Griffin Doyle serves as Senior Associate at SCF Partners. He is an Analyst at SCF, where he joined in 2019. His responsibilities include managing the firm's marketing efforts, assisting in proprietary deal sourcing, and researching end markets for new investments. Since starting with SCF, he has spent significant time helping develop the firm's energy transition strategy. He graduated with Honors from the University of Texas at Austin, where he was a part of the Business Honors Program and took classes in Management Information Systems, Finance, and Entrepreneurship. While in school, he spent a summer in Cape Town, South Africa, where he studied data science and artificial intelligence. Upon completion of these classes, he worked for DataProphet, a machine learning consultancy.</t>
  </si>
  <si>
    <t>gdoyle@scfpartners.com</t>
  </si>
  <si>
    <t>35973-55P</t>
  </si>
  <si>
    <t>Hossam Elbadawy</t>
  </si>
  <si>
    <t>Hossam</t>
  </si>
  <si>
    <t>Elbadawy</t>
  </si>
  <si>
    <t>Mr. Hossam Elbadawy serves as Managing Director &amp; Technology Partner at SCF Partners. He serves as Advisor at 16s technologies. He serves as a Board Member at ESG Solutions. He serves as a Board Member at Petro. He served as an Advisor at Petro.ai. He is the Founder and serves as President &amp; Chief Executive Officer at O&amp;G Technologies. He also serves as Chairman at Vertice Oil Tools. He serves as a Board Member at Kinetic Upstream Technologies and Advantek Waste Management Services. He serves as a Board Member at Innovative Downhole Solutions and Revterra. He also serves as a Board Member at Commando Pressure Control. He also served as Advisor of Oil &amp; Gas, Technical &amp; Business at HyperSciences. He formerly served as Chief Executive Officer at Tercel Oilfield Products. He also served as a Senior Operating Partner at Lime Rock Partners. He continues in that role and serves as the full-time CEO of Tercel Oilfield Products, a Lime Rock Partners portfolio company, and a Dubai-based designer and manufacturer of leading-edge drilling and well construction tools. Before serving in these roles, he spent nearly 17 years at Schlumberger, most recently as Vice President of Schlumberger Manufacturing. He managed the operations, strategy, lean manufacturing implementation, and systems improvement for Schlumberger's manufacturing efforts worldwide. Earlier in his career at Schlumberger, he managed the company's leading-edge Rosharon Technology Center and the Houston Product Center. He served as the Board of Directors of GEODynamics, Kinetic Pressure Control, Tercel Oilfield Products, and TGT Oil and Gas Services. He holds an MBA (Master of Business Administration) from Northwestern University (Kellogg) and a Master's in Engineering Management from Northwestern University. He also has a BS (Bachelor of Science) in Mechanical Engineering from Ain Shams University.</t>
  </si>
  <si>
    <t>helbadawy@scfpartners.com</t>
  </si>
  <si>
    <t>Managing Director &amp; Technology Partner</t>
  </si>
  <si>
    <t>149823-01P</t>
  </si>
  <si>
    <t>Hugh Sheppard</t>
  </si>
  <si>
    <t>Sheppard</t>
  </si>
  <si>
    <t>Mr. Hugh Sheppard serves as Managing Director at SCF Partners. In this role, he was involved with reserves estimation and field development planning for Santos' Cooper Basin fields in Central Australia. Subsequently, he worked as a completions engineer and worked closely with a broad range of service companies to plan and execute well integrity, new good completion, and fracture stimulation projects in the Cooper, Eromanga, and Amadeus Basins. He earned an MBA (Master of Business Administration) from the Harvard Business School in 2016, a BE (Bachelor of Engineering) in Chemical Engineering and Biotechnology from the University of Adelaide in 2009.</t>
  </si>
  <si>
    <t>hsheppard@scfpartners.com</t>
  </si>
  <si>
    <t>15610-42P</t>
  </si>
  <si>
    <t>L.E. Simmons</t>
  </si>
  <si>
    <t>L.E.</t>
  </si>
  <si>
    <t>Simmons</t>
  </si>
  <si>
    <t>Mr. L.E. Simmons is the Founder and serves as Chairman at SCF Partners. He is responsible for guidance over the firm's investment program and strategy. He began his focus on finance at the University of Utah, where he majored in Economics and also studied at the London School of Economics. He subsequently earned an MBA from Harvard Business School. He helped launch the Corporate Finance Department at The First National Bank of Chicago before moving to Texas in 1974 to be the co-founder of Simmons &amp; Company International, an investment banking firm specializing in oilfield service companies. Following a significant downturn in the energy business in the 1980s, He founded SCF Partners. Through SCF, he has guided the investment of over $2.5 billion in private equity capital used to build energy service and equipment companies. SCF has helped to build 16 public companies listed on the U.S. and Canadian stock exchanges, some of which are among the largest companies in the oil service industry today. He currently serves on the boards of Sinclair Oil Corporation, and the Ellison Ranching Company. He is also active in the non-profit sector, currently serving on boards of or associated with the Sam Houston Council of the Boy Scouts of America, Houston Endowment, Harvard Business School, Rice University, The London School of Economics, Texas Children's Hospital, The George H.W. Bush Presidential Library Foundation and the Energy Advisory Council for the Federal Reserve Bank of Dallas.</t>
  </si>
  <si>
    <t>lsimmons@scfpartners.com</t>
  </si>
  <si>
    <t>375063-49P</t>
  </si>
  <si>
    <t>Paul Bateman</t>
  </si>
  <si>
    <t>Mr. Paul Bateman serves as Associate at SCF Partners. He supports the firm's efforts to identify and execute new investment opportunities and subsequent growth initiatives for SCF's portfolio companies, with a particular emphasis on the Ventures portfolio. He began his career as an Analyst at Citi, where he participated in the underwriting and analysis of syndicated credit facilities for Exploration and production, Midstream, and clean energy clients. In this role, he also spent time working on restructuring and remediation of troubled assets. He holds a BS (Bachelor of Science) in Economics from Brigham Young University, Provo.</t>
  </si>
  <si>
    <t>pbateman@scfpartners.com</t>
  </si>
  <si>
    <t>20347-30P</t>
  </si>
  <si>
    <t>Peter Stuart</t>
  </si>
  <si>
    <t>Mr. Peter Stuart serves as Operating Partner at SCF Partners. He serves as Board Member at Score Group. He served as Chief Executive Officer at Triton Group Holdings. After achieving a B.Sc. degree in Mechanical Engineering from Heriot-Watt University in Edinburgh, Scotland in 1979, he began his 27-year oilfield career as an Engineering Specialist with Halliburton where he remained for 5 years prior to spending two years with Sparrows Offshore as a Project Engineer. In 1985 he joined Drexel Equipment and commenced a 21-year career with them, during which time Drexel underwent several mergers and acquisitions, including Tuboscope and Varco, before becoming part of National Oilwell Varco in 2004. He has managed operations throughout the Eastern Hemisphere and, in particular, in the North Sea, Middle East, Africa and the Far East. He was Group Vice-President for the company's Tuboscope and Brandt Eastern Hemisphere operations. He is an accomplished fund-raiser and is actively involved in his community having served as Secretary and Chairman of Montrose Round Table, past President and current Secretary of Montrose Burns Club, and he is also a Director of Montrose Port Authority and of Montrose Football Club.</t>
  </si>
  <si>
    <t>+44 (0)12 2476 6000</t>
  </si>
  <si>
    <t>Westhill</t>
  </si>
  <si>
    <t>Westhill, United Kingdom</t>
  </si>
  <si>
    <t>Concorde House, Endeavour Drive</t>
  </si>
  <si>
    <t>Arnhall Business Park</t>
  </si>
  <si>
    <t>AB32 6UF</t>
  </si>
  <si>
    <t>+44 (0)12 2427 9737</t>
  </si>
  <si>
    <t>VisualSoft (Westhill)</t>
  </si>
  <si>
    <t>165039-67P</t>
  </si>
  <si>
    <t>Sean Rice</t>
  </si>
  <si>
    <t>Mr. Sean Rice serves as Managing Partner at SCF Partners. Mr. Rice serves as a Board Member at Centurion Group. He serves as a Board Member at Professional Directional Enterprises. He served as Board Member at Rockwater Energy Solutions. Before joining the company, he was with Goldman, Sachs &amp; Co. for 18 years and most recently served as head of Global Energy Investment Banking. He was a longtime member of the Merger Leadership Group and had previously served as Goldman's head of Mergers &amp; Acquisitions for the Global Energy Group. He also served as an advisor on capital markets transactions and activism defense, with a particular focus on oilfield service and upstream clients. He joined SCF as a Managing Director in 2017. He earned a BS in Finance from Boston College in 1994 and an MBA from The Wharton School of the University of Pennsylvania in 1999. He currently serves on the board of The Children's Museum of Houston and The St. Francis Episcopal School. He was also the Director of Site Energy Services.</t>
  </si>
  <si>
    <t>srice@scfpartners.com</t>
  </si>
  <si>
    <t>89032-60P</t>
  </si>
  <si>
    <t>Abhinav Bhatia</t>
  </si>
  <si>
    <t>Abhinav</t>
  </si>
  <si>
    <t>Schneider Electric (Electrical Equipment)</t>
  </si>
  <si>
    <t>Mr. Abhinav Bhatia serves as League Leader, Power Breakers - International Hub at Schneider Electric (Electrical Equipment).</t>
  </si>
  <si>
    <t>abhinav.bhatia@se.com</t>
  </si>
  <si>
    <t>Rueil Malmaison</t>
  </si>
  <si>
    <t>Rueil Malmaison, France</t>
  </si>
  <si>
    <t>35 rue Joseph Monier</t>
  </si>
  <si>
    <t>92500</t>
  </si>
  <si>
    <t>League Leader, Power Breakers - International Hub</t>
  </si>
  <si>
    <t>140977-36P</t>
  </si>
  <si>
    <t>Ahmed Wafi</t>
  </si>
  <si>
    <t>Wafi</t>
  </si>
  <si>
    <t>Mr. Ahmed Wafi serves as Director, Global Business Development at Schneider Electric (Electrical Equipment).</t>
  </si>
  <si>
    <t>ahmed.wafi@se.com</t>
  </si>
  <si>
    <t>Director, Global Business Development</t>
  </si>
  <si>
    <t>374487-94P</t>
  </si>
  <si>
    <t>Alban Jacquin</t>
  </si>
  <si>
    <t>Alban</t>
  </si>
  <si>
    <t>Jacquin</t>
  </si>
  <si>
    <t>Mr. Alban Jacquin serves as Vice President of Diversity, Equity, Inclusion and Well-being at Schneider Electric (Electrical Equipment).</t>
  </si>
  <si>
    <t>alban.jacquin@se.com</t>
  </si>
  <si>
    <t>Vice President of Diversity, Equity, Inclusion and Well-being</t>
  </si>
  <si>
    <t>303436-63P</t>
  </si>
  <si>
    <t>Ali Haj Fraj</t>
  </si>
  <si>
    <t>Haj Fraj</t>
  </si>
  <si>
    <t>Dr. Ali Haj Fraj serves as Senior Vice President, Digital Factory, Industrial Automation at Schneider Electric (Electrical Equipment). Mr. Haj Fraj joined Schneider Electric as Senior Vice President Machine Solutions for Industrial Automation in 2015 and has recently expanded his role by taking up the leadership of Schneider's Digital Plant business earlier in 2021. Ali has spent 20 years in different roles in Industrial Automation and Energy Management including various leadership positions in R&amp;D, sales and marketing, business development, strategy and general management. This experience and his knowledge of dedicated customer markets is combined with a proven track record in driving innovation and global business growth as well as digitization. Ali started his career as Motion Control Project Manager for Siemens AG in 2001. Ali graduated from Technische Universität München (Germany) and holds a diploma in Mechanical Engineering, as well as a doctorate in Mechatronics.</t>
  </si>
  <si>
    <t>ali.haj-fraj@se.com</t>
  </si>
  <si>
    <t>Senior Vice President, Digital Factory, Industrial Automation</t>
  </si>
  <si>
    <t>29624-86P</t>
  </si>
  <si>
    <t>Allen Zhou</t>
  </si>
  <si>
    <t>Mr. Allen Zhou serves as Vice President &amp; General Counsel at Schneider Electric (Electrical Equipment). Prior to this, Mr. Zhou served as a partner in the corporate department of Paul Hastings' Shanghai office. His practice encompasses a range of business and corporate finance areas, including mergers, acquisitions, restructurings, direct foreign investment, joint ventures, as well as private equity, venture capital, banking and finance. From 2004 to 2008, Mr. Zhou worked for GE as Asia's general counsel for infrastructure and China's general counsel for GE Money. Mr. Zhou received his Bachelor of Laws (LL.B.) from Beijing University. He also received his Master of Laws (LL.M.) from Boston University Law School and Master of Science in Finance (M.S.F) degree from Boston College Business School. Mr. Zhou is admitted to practice law in the state of New York and is a member of the American Bar Association, New York Bar Association and the Association for Investment Management and Research. Mr. Zhou speaks and writes regularly on legal matters and is fluent in English and Mandarin Chinese.</t>
  </si>
  <si>
    <t>allen.zhou@se.com</t>
  </si>
  <si>
    <t>262562-77P</t>
  </si>
  <si>
    <t>Amit Bhalla</t>
  </si>
  <si>
    <t>Mr. Amit Bhalla serves as Senior Vice President &amp; Head, Investor Relations at Schneider Electric (Electrical Equipment). Mr. Bhalla started his career in consulting and has over the years worked in diverse corporate and finance leadership roles in multinational corporations across the UK, Singapore, China, France and India. Amit is a qualified Chartered Accountant with management courses from Insead and UNC. Schneider Electric is empowering people to make the most of energy and resources, ensuring Life Is On for everyone, everywhere and at every moment. With 135,000 employees worldwide and a presence in over 115 countries, Schneider Electric had revenues in excess of 27 billion euros in 2019.</t>
  </si>
  <si>
    <t>+44 2045571328</t>
  </si>
  <si>
    <t>amit.bhalla@se.com</t>
  </si>
  <si>
    <t>Senior Vice President &amp; Head, Investor Relations</t>
  </si>
  <si>
    <t>89044-75P</t>
  </si>
  <si>
    <t>Anna Shashina</t>
  </si>
  <si>
    <t>Shashina</t>
  </si>
  <si>
    <t>Ms. Anna Shashina serves as Director of Mergers &amp; Acquisitions at Schneider Electric (Electrical Equipment).</t>
  </si>
  <si>
    <t>anna.shashina@se.com</t>
  </si>
  <si>
    <t>Director of Mergers &amp; Acquisitions</t>
  </si>
  <si>
    <t>262563-85P</t>
  </si>
  <si>
    <t>Axel Tismer</t>
  </si>
  <si>
    <t>Tismer</t>
  </si>
  <si>
    <t>Mr. Axel Tismer serves as Senior Vice President &amp; Chief Financial Officer, Industrial Automation at Schneider Electric (Electrical Equipment).</t>
  </si>
  <si>
    <t>axel.tismer@se.com</t>
  </si>
  <si>
    <t>Senior Vice President &amp; Chief Financial Officer, Industrial Automation</t>
  </si>
  <si>
    <t>277567-30P</t>
  </si>
  <si>
    <t>Bapak Sebagai</t>
  </si>
  <si>
    <t>Bapak</t>
  </si>
  <si>
    <t>Sebagai</t>
  </si>
  <si>
    <t>Mr. Bapak Sebagai serves as Country President- Brazil at Schneider Electric (Electrical Equipment). Mr. Sebagai is responsible for developing Schneider Electric's business portfolio in Indonesia with a mission to be a partner of the government and industry players in Indonesia in providing digital solutions in energy management and automation for efficiency and sustainability. He successfully transformed the organization by improving competence, digitization, processes, partner network and overall business performance. Under his leadership, several iconic projects were won that established the company as one of the market leaders. Roberto Rossi is known as an enthusiastic, intelligent, and focused leader on human resource development.</t>
  </si>
  <si>
    <t>bs@se.com</t>
  </si>
  <si>
    <t>Country President- Brazil</t>
  </si>
  <si>
    <t>389042-92P</t>
  </si>
  <si>
    <t>Barbara Frei-Spreiter Ph.D</t>
  </si>
  <si>
    <t>Frei-Spreiter</t>
  </si>
  <si>
    <t>Dr. Barbara Frei-Spreiter serves as Executive Vice President, Industrial Automation &amp; Member of the Executive Committee at Schneider Electric (Electrical Equipment). Dr. Frei-Spreiter leads Schneider Electric's global Industrial Automation Business and has served on the company's Executive Committee since 2019. Barbara joined Schneider Electric in 2016 as Country President of Germany, and expanded her scope to Zone President of DACH in 2017 (including Germany, Austria and Switzerland). In 2019, she was appointed Executive Vice President, Europe Operations and a member of the Executive Committee. Barbara started her career as a development project manager for motors and drives at ABB Schweiz AG. She held various senior management positions in the ABB Group, including regional responsibility as Country Manager Czech Republic, Regional Manager for the Mediterranean in Italy, and leadership of the worldwide drives business. Barbara holds a PhD in Electrical Machines from ETH Zurich, and an MBA from IMD Lausanne.</t>
  </si>
  <si>
    <t>frei-spreiter@se.com</t>
  </si>
  <si>
    <t>Executive Vice President, Industrial Automation &amp; Member of the Executive Committee</t>
  </si>
  <si>
    <t>306166-24P</t>
  </si>
  <si>
    <t>Benoit Jacquemin</t>
  </si>
  <si>
    <t>Jacquemin</t>
  </si>
  <si>
    <t>Mr. Benoit Jacquemin serves as Innovation Director Industry Business at Schneider Electric (Electrical Equipment).</t>
  </si>
  <si>
    <t>benoit_j@se.com</t>
  </si>
  <si>
    <t>Innovation Director Industry Business</t>
  </si>
  <si>
    <t>13896-28P</t>
  </si>
  <si>
    <t>Benoit Toulouse</t>
  </si>
  <si>
    <t>Toulouse</t>
  </si>
  <si>
    <t>Mr. Benoit Toulouse serves as Belgium Finance Director at Schneider Electric (Electrical Equipment).</t>
  </si>
  <si>
    <t>benoit.toulouse@se.com</t>
  </si>
  <si>
    <t>Belgium Finance Director</t>
  </si>
  <si>
    <t>329806-99P</t>
  </si>
  <si>
    <t>Binu Philip</t>
  </si>
  <si>
    <t>Binu</t>
  </si>
  <si>
    <t>Mr. Binu Philip serves as Zone Vice President &amp; Chief Human Resources Officer for the Greater India Zone at Schneider Electric (Electrical Equipment).</t>
  </si>
  <si>
    <t>binu.philip@se.com</t>
  </si>
  <si>
    <t>Zone Vice President &amp; Chief Human Resources Officer for the Greater India Zone</t>
  </si>
  <si>
    <t>308098-18P</t>
  </si>
  <si>
    <t>Bruno Turchet</t>
  </si>
  <si>
    <t>Turchet</t>
  </si>
  <si>
    <t>Mr. Bruno Turchet serves as Employee Director &amp; Member of the Investment Committee at Schneider Electric (Electrical Equipment). Mr. Turchet began his career in 1999 as Electromechanical Engineer for Assystem Technologies (French consulting and engineering company) and held the role of Key Account Manager for the industry market (2001 - 2005). He joined Schneider Electric in 2005 and has been working in different operations. He started as Project Technical Leader for Low Voltage Equipment in France for two years, before expatriation to Schneider Electric China as Low &amp; Medium Voltage Equipment R&amp;D Manager for three years. Back in France in 2011, he led the Productivity Department of one of the main divisions of the Group and deployed there the sustainability program. From 2016 to 2021, he was New Products Industrialization Director of Final Distribution Line of Business. Since July 2021, Bruno Turchet is Vice-President Industrialization for Home &amp; Distribution Europe Division. In April 2021, he has been appointed Director of the Board representing the employees of Schneider Electric SE. Bruno Turchet holds a Master of Science Degree in Engineering &amp; Quality from the University of Besancon (France). He also attended the High Performance Boards program at IMD Business School of Lausanne (Switzerland) in October 2021.</t>
  </si>
  <si>
    <t>Employee Director &amp; Member of the Investment Committee</t>
  </si>
  <si>
    <t>238944-61P</t>
  </si>
  <si>
    <t>Charise Le</t>
  </si>
  <si>
    <t>Charise</t>
  </si>
  <si>
    <t>Chief Human Resources Officer &amp; Executive</t>
  </si>
  <si>
    <t>Ms. Charise Le serves as Chief Human Resources Officer &amp; Member of the Executive Committee at Schneider Electric (Electrical Equipment). Mr. Le is the Chief Human Resource Officer of Schneider Electric and a member of the Executive Committee since April 1, 2020. In 2005 she was appointed Human Resources Manager China for Clipsal, an associated brand of Schneider Electric. Then, she joined Schneider Electric in 2007 as Human Resources Director for Schneider Asia Pacific region. In the last 15 years, she has held different HR positions within the Group. Since 2015 she has been leading the HR Strategy &amp; Global Service of the Group. She started her career in 1995 and began at Siemens as an HR Specialist and continued to move through different HR positions in companies such as General Electric and Pillsbury China. She graduated from East China University of Science and Technology (Shanghai).</t>
  </si>
  <si>
    <t>charise_l@se.com</t>
  </si>
  <si>
    <t>Chief Human Resources Officer &amp; Member of the Executive Committee</t>
  </si>
  <si>
    <t>143735-68P</t>
  </si>
  <si>
    <t>Christian Corsin</t>
  </si>
  <si>
    <t>Corsin</t>
  </si>
  <si>
    <t>Mr. Christian Corsin serves as Senior Vice President, Enterprise &amp; Systems, APC-MGE at Schneider Electric (Electrical Equipment).</t>
  </si>
  <si>
    <t>+33 (0)4 76 39 80 20</t>
  </si>
  <si>
    <t>cc@se.com</t>
  </si>
  <si>
    <t>Senior Vice President, Enterprise &amp; Systems, APC-MGE</t>
  </si>
  <si>
    <t>156286-36P</t>
  </si>
  <si>
    <t>Christophe Blassiau</t>
  </si>
  <si>
    <t>Blassiau</t>
  </si>
  <si>
    <t>Mr. Christophe Blassiau serves as Chief Product Security Officer, Senior Vice President, Cybersecurity &amp; Product Security, Global Chief Information Security Officer &amp; CPSO at Schneider Electric (Electrical Equipment). Mr. Blassiau is a Co-Founder of 3c-evolution. Before, he worked as Funder and General Manager at 3c-evolution. He completed his education from Harvard University.</t>
  </si>
  <si>
    <t>christophe.blassiau@se.com</t>
  </si>
  <si>
    <t>Chief Product Security Officer, Senior Vice President, Cybersecurity &amp; Product Security, Global Chief Information Security Officer &amp; CPSO</t>
  </si>
  <si>
    <t>296999-47P</t>
  </si>
  <si>
    <t>Christophe de Maistre Ph.D</t>
  </si>
  <si>
    <t>de Maistre</t>
  </si>
  <si>
    <t>Dr. Christophe de Maistre serves as Heavy Industries Segment President - Energies &amp; Chemicals / Mining, Minerals &amp; Metals at Schneider Electric (Electrical Equipment). Dr. de Maistre joined Schneider Electric in 2017 as Executive Vice President of the Partner Projects Division. In 2018 he prepared the integration of Larsen &amp; Toubro Electrical &amp; Automation into Schneider's Indian organization, one of the company's largest acquisitions to date. Christophe de Maistre has been Zone President for the DACH region since March 2019. The engineer, majoring in automation, began his professional career at Siemens in the early 1990s, where he held various managerial positions, most recently as CEO of the French branch of the company. In terms of content, de Maistre was consistently involved with the topics of industrial automation and low-voltage distribution. Geographically, his career took him from Erlangen via Paris to Shanghai. De Maistre spent a total of eleven years in China before returning to the European Siemens organization in 2012. Mr. Christophe Maistre served as Managing Director at Converse Energy Projects.</t>
  </si>
  <si>
    <t>christophe.demaistre@se.com</t>
  </si>
  <si>
    <t>Heavy Industries Segment President - Energies &amp; Chemicals / Mining, Minerals &amp; Metals</t>
  </si>
  <si>
    <t>318199-87P</t>
  </si>
  <si>
    <t>Christophe Poline</t>
  </si>
  <si>
    <t>Poline</t>
  </si>
  <si>
    <t>Mr. Christophe Poline serves as Director of Solidarity Investments in the Sustainable Development Department at Schneider Electric (Electrical Equipment). Mr. Poline serves as Board Member at Amped Innovation. After having created Schneider Electric's Solidarity Employee Savings Scheme in France, he is now in charge of managing the solidarity component. This fund invests on the one hand in France and Europe in solidarity companies contributing to the fight against energy poverty, and on the other hand in Sub-Saharan Africa. In Africa, the fund targets social enterprises providing safe and reliable access to renewable electricity in rural and peri-urban areas. He has also piloted the creation of a €75M impact fund dedicated to rural electrification in East Africa in partnership with major European development banks. To do so, he can rely on his previous experience as an International Financial Controller, in charge of the balance sheet structure of Schneider Electric subsidiaries in Europe and Asia. He also participated in the design of the Schneider Electric Group Management Control System, implementing new concepts replacing the annual budget process to improve the responsiveness and flexibility of management decision-making. Christophe holds a law degree from ESSEC.</t>
  </si>
  <si>
    <t>christophe.poline@se.com</t>
  </si>
  <si>
    <t>Director of Solidarity Investments in the Sustainable Development Department</t>
  </si>
  <si>
    <t>348006-16P</t>
  </si>
  <si>
    <t>Daniel Palme</t>
  </si>
  <si>
    <t>Palme</t>
  </si>
  <si>
    <t>Mr. Daniel Palme serves as Head of Private Equity, Sustainability Business &amp; Advisory at Schneider Electric (Electrical Equipment).</t>
  </si>
  <si>
    <t>daniel.palme@se.com</t>
  </si>
  <si>
    <t>Head of Private Equity, Sustainability Business &amp; Advisory</t>
  </si>
  <si>
    <t>111921-85P</t>
  </si>
  <si>
    <t>Deepa Peswani</t>
  </si>
  <si>
    <t>Peswani</t>
  </si>
  <si>
    <t>Ms. Deepa Peswani serves as Senior Commercial Business Finance Director, Secure Power Division at Schneider Electric (Electrical Equipment).</t>
  </si>
  <si>
    <t>deepa.peswani@se.com</t>
  </si>
  <si>
    <t>Senior Commercial Business Finance Director, Secure Power Division</t>
  </si>
  <si>
    <t>86839-39P</t>
  </si>
  <si>
    <t>Derek Slayton</t>
  </si>
  <si>
    <t>Slayton</t>
  </si>
  <si>
    <t>Mr. Derek Slayton serves as Global Strategic Account Executive - Cloud &amp; Service Provider Segment at Schneider Electric (Electrical Equipment). Mr. Slayton served as Vice President, Sales at NodePrime. Before NodePrime, Derek led the Large Enterprise Web|Tech vertical at Dell managing some of the most complex customers in the social media, gaming, and XaaS industries. He brings more than 15 years of experience in the technology industry, in areas ranging from servers, storage, networking and data protection software.</t>
  </si>
  <si>
    <t>derek.slayton@se.com</t>
  </si>
  <si>
    <t>Global Strategic Account Executive - Cloud &amp; Service Provider Segment</t>
  </si>
  <si>
    <t>87778-09P</t>
  </si>
  <si>
    <t>Elizabeth Hackenson</t>
  </si>
  <si>
    <t>Hackenson</t>
  </si>
  <si>
    <t>Ms. Elizabeth Hackenson serves as Chief Information Officer at Schneider Electric (Electrical Equipment). Ms. Hackenson served as Board Member at Red Five Security. She served as Board Member at ForeScout Technologies. She serves as Chief Information Officer at Schneider Electric. She also serves as an advisor at Insight Partners. On May 29, 2019, the Board appointed Elizabeth Hackenson to serve as member of the Board. which is leading the digital transformation in energy management and automation in homes, buildings, data centers, infrastructure, and operational technology (OT) industries. Prior to Schneider Electric Elizabeth served as CIO and SVP of Technology and Services at The AES Corporation. Her previous leadership roles also include SVP and CIO at Alcatel-Lucent and EVP and CIO for MCI. In 2014, Ms. Hackenson was inducted into the CIO Hall of Fame by CIO Magazine.</t>
  </si>
  <si>
    <t>+1 (212) 230-9200</t>
  </si>
  <si>
    <t>elizabeth.hackenson@se.com</t>
  </si>
  <si>
    <t>1114 Avenue of the Americas</t>
  </si>
  <si>
    <t>36th Floor</t>
  </si>
  <si>
    <t>+1 (212) 230-9272</t>
  </si>
  <si>
    <t>ForeScout Technologies (Former)</t>
  </si>
  <si>
    <t>89047-45P</t>
  </si>
  <si>
    <t>Eric Marty</t>
  </si>
  <si>
    <t>Mr. Eric Marty serves as Strategic Innovation Director at Schneider Electric (Electrical Equipment). Mr. Marty served as a Director of Innovation and IP Strategy at Schneider Electric. Previously, he served as a R&amp;D Strategy Director at Schneider Electric.</t>
  </si>
  <si>
    <t>eric.marty@se.com</t>
  </si>
  <si>
    <t>Strategic Innovation Director</t>
  </si>
  <si>
    <t>327421-72P</t>
  </si>
  <si>
    <t>Esther Finidori</t>
  </si>
  <si>
    <t>Finidori</t>
  </si>
  <si>
    <t>Ms. Esther Finidori serves as Chief Sustainability Officer at Schneider Electric (Electrical Equipment). Ms. Finidori serves as Board Member at IFPEB. Previously at Schneider Electric, she held the position of France Operations Strategy VP. She also served in various sustainability roles, including Group Environment VP, where she played an instrumental role in shaping and executing the company's environmental initiatives, solidifying its position as a recognized sustainability leader.</t>
  </si>
  <si>
    <t>esther.finidori@se.com</t>
  </si>
  <si>
    <t>166329-28P</t>
  </si>
  <si>
    <t>Fabrice Jadot</t>
  </si>
  <si>
    <t>Jadot</t>
  </si>
  <si>
    <t>Dr. Fabrice Jadot serves as Senior Vice President, Industrial Automation at Schneider Electric (Electrical Equipment). Dr.Jadot served as Chief Technology Officer at Schneider Electric. Fabrice first joined Schneider Electric in 1997 focusing on motor control within R&amp;D as part of the variable speed drives activity, which became a joint venture with Toshiba in 2000 (Schneider Electric Toshiba). In 2012, he joined the corporate company (Schneider Electric) as the Strategy and Innovation Platforms VP dealing with cross-business technology platforms in the domain of digital services, supervisory control and embedded control. Fabrice held the title of Chief Technology Officer for the Industry Business driving automation system architecture, cyber-security and automation digital transformation (Industrial Internet of Things, Industry 4.0, etc.). Fabrice graduated from Catholic University of LOUVAIN, LOUVAIN-LA-NEUVE, BELGIUM, CESAME (Centre for Systems Engineering) Doctoral degree in Mathematical Engineering, Specialization in Control Thesis: Dynamics and robust nonlinear PI control of stirred tank reactors.</t>
  </si>
  <si>
    <t>fabrice.jadot@se.com</t>
  </si>
  <si>
    <t>Kadima Zoran</t>
  </si>
  <si>
    <t>Kadima Zoran, Israel</t>
  </si>
  <si>
    <t>Senior Vice President, Industrial Automation</t>
  </si>
  <si>
    <t>111906-37P</t>
  </si>
  <si>
    <t>Francois-Eric Mezin</t>
  </si>
  <si>
    <t>Francois-Eric</t>
  </si>
  <si>
    <t>Mezin</t>
  </si>
  <si>
    <t>Mr. Francois-Eric Mezin serves as Vice President, Finance International Global Supply Chain at Schneider Electric (Electrical Equipment).</t>
  </si>
  <si>
    <t>francois-eric.mezin@se.com</t>
  </si>
  <si>
    <t>Vice President, Finance International Global Supply Chain</t>
  </si>
  <si>
    <t>128102-23P</t>
  </si>
  <si>
    <t>Gilles Desroches</t>
  </si>
  <si>
    <t>Desroches</t>
  </si>
  <si>
    <t>Mr. Gilles Desroches serves as Senior Vice President Citizenship &amp; Institutional Affairs &amp; Chief Corporate Citizenship Officer at Schneider Electric (Electrical Equipment). Mr. Desroches serves as Senior Vice-President of Citizenship and Institutional Relations at Schneider Electric. After an initial experience as a leader of an NGO and then within a ministerial cabinet, He serves as President at Schneider Electric Energy Access Asia. Gilles Vermot Desroches joined Schneider Electric to create and develop the Schneider Electric Foundation, under the aegis of the Fondation de France. Three years later, he took over responsibility for the Group's global Sustainable Development department. This new direction includes, in addition to the Foundation, the impetus and the deployment of environmental, ethical, and societal responsibility policies of Schneider Electric, as well as the awareness of all its stakeholders to the challenges of sustainable development. Since 2001, Gilles has notably been behind the creation of the Group's Principles of Responsibility, the Group's adherence to the United Nations Global Compact (2002), the creation of the development performance measurement tool energy from Schneider Electric (Planet and Society Barometer - 2005) and more recently from the energy access program (BipBop - 2008). In 2008, Gilles and his teams joined the Strategy and Innovation department of Schneider Electric to further emphasize the support and consistency of the actions of the sustainable development department for the proper execution of the strategy. In addition to his responsibilities within Schneider Electric, Gilles Vermot Desroches is a member of the Board of Directors of the French forum of Friends of the Global Compact, of ORSE (Observatory of Corporate Social Responsibility) of OSI (Observatory Social International), and of the Scientific Committee of the IMS "Entreprendre pour la cité", Lecturer at Sciences-Po Paris, he is also a member of the National Council for Sustainable Development of the Grenelle de l'Environnement. Gilles is a graduate engineer from the School of Information and Communication Technologies in Paris and holds a degree in philosophy.</t>
  </si>
  <si>
    <t>Senior Vice President Citizenship &amp; Institutional Affairs &amp; Chief Corporate Citizenship Officer</t>
  </si>
  <si>
    <t>283620-07P</t>
  </si>
  <si>
    <t>Grégoire Viasnoff</t>
  </si>
  <si>
    <t>Grégoire</t>
  </si>
  <si>
    <t>Viasnoff</t>
  </si>
  <si>
    <t>Mr. Grégoire Viasnoff serves as Incubation Practice Vice President at Schneider Electric (Electrical Equipment). Mr. Viasnoff serves as a Board member at NaviX Solutions. He is the head of our incubation practice that turns ideas into scalable and independent ventures. His global team has dedicated hubs in Singapore, Paris, Boston, and San Francisco. The Incubation practice incorporates 1 to 2 additional ventures per year while scaling our past incubations, among them Verkor, our first unicorn. He is a board member of Tradify, StockPro, SmartD, and Dash Energy. He joined Schneider Electric in 2008 and SE Ventures in 2020. Over the past 15 years, he transformed many global businesses for Schneider, especially when he led the development and sales deployment of Schneider's IoT platform for energy management: EcoStruxure™ Power. He started his career in the military and aerospace industry, where he developed software and airborne systems. He graduated from Ecole Centrale Paris in 2001.</t>
  </si>
  <si>
    <t>gregoire.viasnoff@se.com</t>
  </si>
  <si>
    <t>Incubation Practice Vice President</t>
  </si>
  <si>
    <t>111904-57P</t>
  </si>
  <si>
    <t>Guillaume Le Gouic</t>
  </si>
  <si>
    <t>Le Gouic</t>
  </si>
  <si>
    <t>Mr. Guillaume Le Gouic serves as Senior Vice President, Power Systems and Digital Power at Schneider Electric (Electrical Equipment). Mr. Le Gouic and his leadership team deliver best-in-class equipment and solutions for our partners and customers. Le Gouic joined Schneider Electric in 2008 as a Senior Auditor. During his tenure, he has held various senior leadership roles in Finance, CFO for Mexico and Central America Operations, and CFO for Schneider Electric's Sustainability Business. Guillaume broadened his areas of expertise with leadership roles in Services, Business Development, Sales Operations, and more recently as VP of US Sales Operations and Price Management. Prior to joining Schneider Electric, Le Gouic served as a Senior Consultant at Roland Berger Strategy Consultants. Earlier, Le Gouic worked at Arthur D. Little Consultants, specializing in the Aerospace and Automotive industries. Born in France, Le Gouic speaks French, Spanish and English. He holds a degree, in MSC Aerospace Aeronautical Engineering.</t>
  </si>
  <si>
    <t>guillaume.legouic@se.com</t>
  </si>
  <si>
    <t>Senior Vice President, Power Systems and Digital Power</t>
  </si>
  <si>
    <t>298764-37P</t>
  </si>
  <si>
    <t>Gwenaelle Avice-Huet</t>
  </si>
  <si>
    <t>Gwenaelle</t>
  </si>
  <si>
    <t>Avice-Huet</t>
  </si>
  <si>
    <t>Ms. Gwenaelle Avice-Huet serves as Executive Vice President of Europe Operations and Member of the Executive Committee at Schneider Electric (Electrical Equipment). Ms.Avice-Huet leads the development of Corporate Strategy, Mergers &amp; Acquisitions and Divestment activities, Sustainability, and Customer Satisfaction &amp; Quality. Prior to her current position, Gwenaelle led Schneider's Corporate Strategy as SVP, Corporate Strategy, and Energy Management Strategy between March 2021 to March 2022. Before joining Schneider Electric, Gwenaelle worked at ENGIE (formerly GDF SUEZ) from 2010 to 2021, first as Senior Vice-President for European and Regulatory Affairs, then as Chief Executive Officer of ENGIE France Renewable Energy, and in her last role as part of the Executive Committee of Engie, serving as the Chief Executive Officer of ENGIE North America and in charge of the Global Business Line on Renewable Energies. She started her career in scientific research at the French National Research Institute and the French Atomic Energy Commission on nuclear energy, before joining the World Bank as a consultant in Washington D.C. She also worked for the Service of the Prime Minister in France within the General Secretary for European affairs overseeing energy and competitiveness matters, and as the advisor for various ministers. Gwenaelle has been an Independent Director on the Board of Air France-KLM since May 2021. She has been nominated as a Young Global Leader by the World Economic Forum. In 2019, she received a Knight of the National Order of Merit in France. Gwenaelle holds a degree in Physics and Chemistry from the Ecole Normale Supérieure in Cachan, a post-graduate diploma in Molecular Chemistry from France's Ecole Polytechnique, and an engineering degree from the Corps des Ponts et Chaussées.</t>
  </si>
  <si>
    <t>+33 (0)1 44 22 20 85</t>
  </si>
  <si>
    <t>gwenaelle.avice-huet@se.com</t>
  </si>
  <si>
    <t>Executive Vice President of Europe Operations and Member of the Executive Committee</t>
  </si>
  <si>
    <t>153973-00P</t>
  </si>
  <si>
    <t>Henry Boyer</t>
  </si>
  <si>
    <t>Boyer</t>
  </si>
  <si>
    <t>Mr. Henry Boyer serves as Atlantic Region Director &amp; Deputy Regional Director at Schneider Electric (Electrical Equipment).</t>
  </si>
  <si>
    <t>+33 (0)2 99 62 39 63</t>
  </si>
  <si>
    <t>henry.boyer@se.com</t>
  </si>
  <si>
    <t>Atlantic Region Director &amp; Deputy Regional Director</t>
  </si>
  <si>
    <t>46171-18P</t>
  </si>
  <si>
    <t>Hervé Coureil</t>
  </si>
  <si>
    <t>Hervé</t>
  </si>
  <si>
    <t>Coureil</t>
  </si>
  <si>
    <t>Executive &amp; Secretary</t>
  </si>
  <si>
    <t>Mr. Hervé Coureil serves as Chief Governance Officer, Member of the Executive Committee &amp; Secretary General at Schneider Electric (Electrical Equipment). Mr. Coureil served as an Executive at Aster Capital Partners. Hervé previously served as Chief Financial Officer for the Critical Power and Cooling Services (CPCS) Business Unit of Schneider Electric, which was formed in early 2007 following the acquisition of APC Corp. and its merger with MGE UPS Systems. Hervé's responsibilities in CPCS included overseeing Legal, IT, and Strategy. Prior to this, Hervé served as Vice President of Finance, Control, and Business Development for the Asia Pacific Operating Division, since its creation in 2003. His responsibilities included setting up finance, legal, and tax processes, as well as acquisitions and partnerships. He joined Schneider Electric in 1993 and has held a variety of finance and business development positions, including Vice President of Financial Control for the International Operating Division, corporate officer for Mergers and Acquisitions, and financial controller of various organizations. He holds a master's in management from Reims Management School (France) and graduated in European business studies from ICADE in Madrid (Spain).</t>
  </si>
  <si>
    <t>herve.coureil@se.com</t>
  </si>
  <si>
    <t>Chief Governance Officer, Member of the Executive Committee &amp; Secretary General</t>
  </si>
  <si>
    <t>238944-43P</t>
  </si>
  <si>
    <t>Hilary Maxson</t>
  </si>
  <si>
    <t>Maxson</t>
  </si>
  <si>
    <t>Ms. Hilary Maxson serves as Executive Vice President, Group Chief Financial Officer &amp; Member of the Executive Committee at Schneider Electric (Electrical Equipment). Ms.Maxson served as Chief Financial Officer at Schneider Electric. She joined Schneider Electric in 2017 as Senior Vice President and Chief Financial Officer for the Group's Building and IT business unit, located in Hong Kong. She then became CFO of the Group's newly formed Energy Management business unit in 2019. Energy Management is the largest business unit at Schneider, with more than 75% of its revenues, and management of its low and medium-voltage businesses as well as secure power. Prior to joining Schneider Electric, she held a variety of finance and business development positions across the globe primarily in the power and utility industry. She started her career at Bank of America and Citigroup, in New York, and then joined the AES Corporation where she served as CFO of Asia, CFO of Africa, Managing Director of M&amp;A, and other senior positions. She has a bachelor's degree in Applied Economics &amp; Management and an MBA, both from Cornell University (USA).</t>
  </si>
  <si>
    <t>hilary.maxson@se.com</t>
  </si>
  <si>
    <t>Executive Vice President, Group Chief Financial Officer &amp; Member of the Executive Committee</t>
  </si>
  <si>
    <t>347800-15P</t>
  </si>
  <si>
    <t>Irina Gilfanova</t>
  </si>
  <si>
    <t>Gilfanova</t>
  </si>
  <si>
    <t>Ms. Irina Gilfanova serves as Head of Private Equity Practice Europe at Schneider Electric (Electrical Equipment).</t>
  </si>
  <si>
    <t>irina.gilfanova@se.com</t>
  </si>
  <si>
    <t>Head of Private Equity Practice Europe</t>
  </si>
  <si>
    <t>229041-64P</t>
  </si>
  <si>
    <t>Jean-Louis Stasi</t>
  </si>
  <si>
    <t>Jean-Louis</t>
  </si>
  <si>
    <t>Stasi</t>
  </si>
  <si>
    <t>Mr. Jean-Louis Stasi serves as Senior Vice President - Strategic Partnerships with Startups at Schneider Electric (Electrical Equipment).</t>
  </si>
  <si>
    <t>jean-louis.stasi@se.com</t>
  </si>
  <si>
    <t>Senior Vice President - Strategic Partnerships with Startups</t>
  </si>
  <si>
    <t>181545-31P</t>
  </si>
  <si>
    <t>Jesús Carmona</t>
  </si>
  <si>
    <t>Jesús</t>
  </si>
  <si>
    <t>Carmona</t>
  </si>
  <si>
    <t>Mr. Jesús Carmona serves as President, Mexico &amp; Central America at Schneider Electric (Electrical Equipment). Mr. Carmona has 24 years of experience in global, regional and local roles in Canada, Venezuela, Brazil, the United States and Mexico. In addition, since 2018 he has held different positions as head of Power Products and as head of the Solutions and Services Execution Center. Similarly, he is an electrical engineer from the University of Simón Bolívar in Venezuela; he has a master's degree in Business Administration from Duke University, in the United States; and completed the Harvard Business School and Insead Executive Education programs.</t>
  </si>
  <si>
    <t>jesus.carmona@se.com</t>
  </si>
  <si>
    <t>President, Mexico &amp; Central America</t>
  </si>
  <si>
    <t>212580-73P</t>
  </si>
  <si>
    <t>José Bonomo</t>
  </si>
  <si>
    <t>Bonomo</t>
  </si>
  <si>
    <t>Mr. José Bonomo serves as Vice President Power Management Systems League Leader at Schneider Electric (Electrical Equipment).</t>
  </si>
  <si>
    <t>jose.bonomo@se.com</t>
  </si>
  <si>
    <t>Vice President Power Management Systems League Leader</t>
  </si>
  <si>
    <t>136270-09P</t>
  </si>
  <si>
    <t>Kathy Benner</t>
  </si>
  <si>
    <t>Ms. Kathy Benner serves as Infrastructure Project Manager at Schneider Electric (Electrical Equipment). Ms. Benner previously served as the Chief Technology Officer &amp; Director, Information Technology at Gibson Guitar.</t>
  </si>
  <si>
    <t>kathybenner@se.com</t>
  </si>
  <si>
    <t>Infrastructure Project Manager</t>
  </si>
  <si>
    <t>69449-05P</t>
  </si>
  <si>
    <t>Kevin Brown</t>
  </si>
  <si>
    <t>Mr. Kevin Brown serves as Senior Vice President, EcoStruxure Solutions, Secure Power Division at Schneider Electric (Electrical Equipment). Mr. Brown served as Vice President of Global Data Center Strategy and Technology at Schneider Electric. Kevin is responsible for the Data Center Infrastructure Management (DCIM) and IT infrastructure management software business, which provides customers insight into the resiliency and availability of their infrastructure. He also serves as head of the Energy Management Technology Research Center, which researches market trends and creates content that helps customers make smart and pragmatic business and technology decisions. Formerly CTO and CMO of Secure Power, Kevin has held senior management roles in product development, marketing, and software development in the power electronics and HVAC industries. He's passionate about harnessing technology to address the challenges of resiliency, availability, and sustainability. He has a Bachelor of Science in Mechanical Engineering from Cornell University.</t>
  </si>
  <si>
    <t>kevin.brown@se.com</t>
  </si>
  <si>
    <t>Senior Vice President, EcoStruxure Solutions, Secure Power Division</t>
  </si>
  <si>
    <t>244864-27P</t>
  </si>
  <si>
    <t>Lance Haines</t>
  </si>
  <si>
    <t>Lance</t>
  </si>
  <si>
    <t>Haines</t>
  </si>
  <si>
    <t>Mr. Lance Haines serves as Chief Technology Officer, Microgrids at Schneider Electric (Electrical Equipment). Mr. Haines has been with Schneider Electric for more than 15 years after beginning his career in engineering at a clean-tech start-up focused on electric vehicles. He earned bachelor's degrees in Electrical Engineering and Spanish from Rice University and a Master of Science from the University of Wisconsin-Madison. Haines will lead the development and execution of Schneider Electric's microgrid technology roadmap to support the maturity of microgrids, oversee its integration with the company's broader EcoStruxure platform, drive rapid innovation for customers and contribute to Schneider Electric's leadership in solutions for the new energy landscape. Haines will focus on democratizing microgrids, leveraging the development of new technologies and software solutions to make microgrids easier to integrate and deploy for businesses and municipalities of all sizes.</t>
  </si>
  <si>
    <t>lance.haines@se.com</t>
  </si>
  <si>
    <t>Chief Technology Officer, Microgrids</t>
  </si>
  <si>
    <t>111921-13P</t>
  </si>
  <si>
    <t>Lowell Gordon</t>
  </si>
  <si>
    <t>Mr. Lowell Gordon serves as Senior Finance Director - Global Delivery at Schneider Electric (Electrical Equipment).</t>
  </si>
  <si>
    <t>lowell.gordon@se.com</t>
  </si>
  <si>
    <t>Senior Finance Director - Global Delivery</t>
  </si>
  <si>
    <t>89072-38P</t>
  </si>
  <si>
    <t>Luc Asselin</t>
  </si>
  <si>
    <t>Asselin</t>
  </si>
  <si>
    <t>Mr. Luc Asselin serves as Lean Expert at Schneider Electric (Electrical Equipment). Mr. Asselin served as Industrial Performance Manager at Schneider Electric. Previously, he served as a Acquisitions integration Director at AREVA T&amp;D.</t>
  </si>
  <si>
    <t>luc.asselin@se.com</t>
  </si>
  <si>
    <t>Lean Expert</t>
  </si>
  <si>
    <t>111892-96P</t>
  </si>
  <si>
    <t>Luc Meysenc Ph.D</t>
  </si>
  <si>
    <t>Meysenc</t>
  </si>
  <si>
    <t>Dr. Luc Meysenc serves as Power Systems Competency Center Vice President at Schneider Electric (Electrical Equipment). Dr. Meysenc focuses on the new energy landscape, especially the digitization of electrical distribution and sustainability challenges. She joined Schneider Electric in 2005, leading turnkey projects for the electro-intensive segment. Then he moved to the Energy Management business unit as Global Lab manager and later Chief Technology Officer. Before joining SE Ventures in January 2022, she led a department of power systems experts helping Schneider Electric's strategic customers define their new generation of electrical architecture focusing on hyperscale data center, MMM, O&amp;G, healthcare, and semiconductor plant segments. She Graduated from Grenoble National Polytechnic Institute with a Master's and a Ph.D. in Electrical Engineering. He is the owner of more than 20 patents.</t>
  </si>
  <si>
    <t>luc.meysenc@se.com</t>
  </si>
  <si>
    <t>Power Systems Competency Center Vice President</t>
  </si>
  <si>
    <t>347858-38P</t>
  </si>
  <si>
    <t>Marcos Loveday</t>
  </si>
  <si>
    <t>Loveday</t>
  </si>
  <si>
    <t>Mr. Marcos Loveday serves as Associate Director - Private Equity &amp; Sustainable Finance at Schneider Electric (Electrical Equipment).</t>
  </si>
  <si>
    <t>marcos.loveday@se.com</t>
  </si>
  <si>
    <t>Associate Director - Private Equity &amp; Sustainable Finance</t>
  </si>
  <si>
    <t>331608-25P</t>
  </si>
  <si>
    <t>Marta Carneiro Enes</t>
  </si>
  <si>
    <t>Marta Carneiro</t>
  </si>
  <si>
    <t>Mr. Marta Carneiro Enes serves as Sustainable and Impact Investment Manager at Schneider Electric (Electrical Equipment).</t>
  </si>
  <si>
    <t>carneiroe@se.com</t>
  </si>
  <si>
    <t>Sustainable and Impact Investment Manager</t>
  </si>
  <si>
    <t>111905-02P</t>
  </si>
  <si>
    <t>Michael Gillooley</t>
  </si>
  <si>
    <t>Gillooley</t>
  </si>
  <si>
    <t>Mr. Michael Gillooley serves as Vice President, Finance at Schneider Electric (Electrical Equipment).</t>
  </si>
  <si>
    <t>michael-gillooley@se.com</t>
  </si>
  <si>
    <t>240910-93P</t>
  </si>
  <si>
    <t>Mustafa Demirkol</t>
  </si>
  <si>
    <t>Demirkol</t>
  </si>
  <si>
    <t>Mr. Mustafa Demirkol serves as Vice President of Data Center Systems, Offer Management and Marketing, Energy Management at Schneider Electric (Electrical Equipment). Mr. Demirkol is the Global VP, of 3-Phase UPS Offer Management &amp; Marketing for Schneider Electric. Today he leads a team responsible for developing energy-efficient, resilient and sustainable critical power solutions that drive mission-critical uptime. He joined Schneider Electric in 2013 as Strategy and Business Development Director for Turkey and Central Asia region. He has since held roles as VP of Middle East Channel Development and Vice President of the Secure Power Division in Turkey, Central Asia and Pakistan, where he oversaw strategic operations within the IT channel and data center infrastructure businesses. After achieving growth across the region for three consecutive years, he became Vice President for the Data Center Systems line of business in 2020, where he became responsible for three-phase UPS marketing and product development. He is an Industrial Engineer and has a Masters degree in Finance and Accounting. During his career, he has created transformative sales, marketing and channel development strategies, and led several merger and acquisition (M&amp;A) programs.</t>
  </si>
  <si>
    <t>mustafa.demirkol@se.com</t>
  </si>
  <si>
    <t>Vice President of Data Center Systems, Offer Management and Marketing, Energy Management</t>
  </si>
  <si>
    <t>250777-27P</t>
  </si>
  <si>
    <t>Nadège Petit</t>
  </si>
  <si>
    <t>Nadège</t>
  </si>
  <si>
    <t>Petit</t>
  </si>
  <si>
    <t>Ms. Nadège Petit serves as Chief Innovation Officer &amp; Member of Global Executive Committee at Schneider Electric (Electrical Equipment). Ms. Petit serves as Executive Vice President at Schneider Electric. She also serves as Board Member at AlphaStruxure and AutoGrid. Power is critical to today's businesses. It's what keeps them running and allows them to grow and scale with the ever-growing demands of their customers. Our mission at Schneider Electric is to find new ways of helping organizations meet their power needs more efficiently, safely and cost-effectively, all while enabling them to achieve their environmental commitments. As the Executive Vice President of Schneider Electric's Global Power Products business, she is responsible for spearheading innovation, ensuring we practice it, enable it and deliver it for all our customers around the world. Her passion is technology and connectivity. She strongly believes in adopting the latest technology and embracing change will help us differentiate how we look at day-to-day lives. With modern technology on our side, we can communicate better, do more and be more resilient to the changes that we face daily. She started her journey with Schneider Electric in September 2004 as International Sales Project Manager, before moving to the Global Power Business in 2007. In 2008, she took over global business development as Business Development VP for the EMEA zone. She moved to Russia in 2011 to take on the role of Business VP for the Energy business. In 2014, she was made Energy Business VP for France Operations and, in 2017, became Senior Vice President of Corporate Strategy at the group level. In 2018, she was appointed Executive Vice President for the Global Power Products business currently based in Hong Kong.</t>
  </si>
  <si>
    <t>nadege.petit@se.com</t>
  </si>
  <si>
    <t>Chief Innovation Officer &amp; Member of Global Executive Committee</t>
  </si>
  <si>
    <t>111989-26P</t>
  </si>
  <si>
    <t>Nathan Bouma</t>
  </si>
  <si>
    <t>Bouma</t>
  </si>
  <si>
    <t>Mr. Nathan Bouma serves as Vice President, Solutions Engineering &amp; Midwest Region &amp; Branch Manager - Chicago at Schneider Electric (Electrical Equipment). Mr. Bouma is Vice President, Midwest Region at Schneider Electric. Previously, he was the President and served as Chief Executive Officer at ITG Solutions.</t>
  </si>
  <si>
    <t>nathan-bouma@se.com</t>
  </si>
  <si>
    <t>Vice President, Solutions Engineering &amp; Midwest Region &amp; Branch Manager - Chicago</t>
  </si>
  <si>
    <t>111883-15P</t>
  </si>
  <si>
    <t>Nicolas Leterrier</t>
  </si>
  <si>
    <t>Leterrier</t>
  </si>
  <si>
    <t>Mr. Nicolas Leterrier serves as Chief Technology Officer &amp; Semiconductor Sustainability Business leader at Schneider Electric (Electrical Equipment).</t>
  </si>
  <si>
    <t>nicolas.leterrier@se.com</t>
  </si>
  <si>
    <t>Chief Technology Officer &amp; Semiconductor Sustainability Business leader</t>
  </si>
  <si>
    <t>111920-50P</t>
  </si>
  <si>
    <t>Nicole Linehan JD</t>
  </si>
  <si>
    <t>Linehan</t>
  </si>
  <si>
    <t>Ms. Nicole Linehan serves as Associate General Counsel, Global Intellectual Property at Schneider Electric (Electrical Equipment). Ms. Linehan served as Senior Manager of Corporate Affairs &amp; Development at Evolve IP. She serves as Assistant General Counsel, IP at Schneider Electric. Nicole Linehan brings a wealth of leadership, training and strategic planning skills honed by her 15 year operating history with the Evolve IP senior management team. As Senior Manager of Corporate Affairs &amp; Development, Nicole dedicates a significant amount of her time to local charities and organizations including: Villanova University, Villanova Blue White Scholarship Foundation, MANNA and The Susan G. Komen Breast Cancer Foundation. Prior to joining Evolve IP, Nicole held a Senior Management Position at ATX Communications and reported directly to the Executive Leadership Team. Nicole was responsible for the retention, growth and strategic development of the ATX Commercial Customer base. It is here that she managed 40+ account representatives who were actively responsible for the retention and growth of the $200+M Commercial Customer base. Nicole holds a Bachelor of Science in Business Administration from Villanova University.</t>
  </si>
  <si>
    <t>nicole.linehan@se.com</t>
  </si>
  <si>
    <t>Associate General Counsel, Global Intellectual Property</t>
  </si>
  <si>
    <t>111884-23P</t>
  </si>
  <si>
    <t>Olivier Blum</t>
  </si>
  <si>
    <t>Mr. Olivier Blum serves as Chief Executive Officer &amp; Member of the Executive Committee at Schneider Electric (Electrical Equipment). Mr. Blum served as Executive Vice President, Energy Management Business &amp; Member of the Executive Committee at Schneider Electric (Electrical Equipment). He served as Board Member at Delta Dore. He served as Secretary of the Investment Committee and Chief of Strategy &amp; Sustainability Officer at Schneider Electric. He graduated from Grenoble Business School in France (GEM, France). He began his career at Schneider Electric in 1993 and held various positions in the France Commercial organization, from Sales Engineer to Vice-Director of Country Sales. In 2001, he was appointed as Secretary of the Executive Committee and Global Company Program Vice President. In 2003, he moved to China as Final Low Voltage Activity Director and was nominated in 2006 as the Head of Strategy and Marketing Director for China. In 2008, he was appointed Managing Director &amp; Country President of Schneider Electric, India. At the end of 2012, he was appointed Executive Vice President of the Retail Division. In 2014, he was appointed Chief Human Resources Officer and Member of the Executive Committee. In June 2019, he was awarded the Chief Human Resources Officer of the Year, in the 24th Annual Director of Human Resources Award which was organized by Cadremploi, Morgan Phillips Hudson, Le Figaro, and Fyte. He is the Chief Strategy &amp; Sustainability Officer and a member of the Executive Committee starting April 1st, 2020. He joined at the same time the board of AVEVA Group PLC (Global leader in Industrial Software) as a Non-Executive Director and member of the Remuneration Committee.</t>
  </si>
  <si>
    <t>olivier.blum@se.com</t>
  </si>
  <si>
    <t>238944-79P</t>
  </si>
  <si>
    <t>Peter Weckesser Ph.D</t>
  </si>
  <si>
    <t>Weckesser</t>
  </si>
  <si>
    <t>Dr. Peter Weckesser serves as Executive Vice President, Digital, Chief Digital Officer &amp; Member of Executive Committee at Schneider Electric (Electrical Equipment). Dr. Weckesser served as Chief Digital Officer at Schneider Electric. Mr. Weckesser is the Chief Digital Officer of Schneider Electric and a member of the Executive Committee since June 2020, when he joined the company. Prior to working at Schneider, he served as the Digital Transformation Officer of Airbus' Defence &amp; Space division since 2017. Before joining Airbus, he had extensive experience as a Senior Executive at Siemens, most recently as the Chief Operating Officer of Siemens' Product Lifecycle Management, leading the IoT and Digital Enterprise business and activities. He also held other executive-level positions with Siemens such as the CEO of Industry Services and CEO of Value Services. His career began at Siemens where he worked in various roles in product management and development, including Director of Business Development in the United States. He holds a degree in physics as well as a PhD in Computer Science from the University of Karlsruhe, Germany. He currently resides in Germany.</t>
  </si>
  <si>
    <t>peter.weckesser@se.com</t>
  </si>
  <si>
    <t>Executive Vice President, Digital, Chief Digital Officer &amp; Member of Executive Committee</t>
  </si>
  <si>
    <t>283077-01P</t>
  </si>
  <si>
    <t>Philip Rambach</t>
  </si>
  <si>
    <t>Rambach</t>
  </si>
  <si>
    <t>Mr. Philip Rambach serves as Chief Artificial Intelligence Officer at Schneider Electric (Electrical Equipment). Mr. Rambach is a graduate of Ecole Polytechnique and joined Schneider Electric in 2010 from AREVA. He has more than 20 years of experience in strategy, innovation, and business responsibility in many industries. He held various leadership roles in Industrial Automation. Most recently, as SVP Industrial Automation Commercial, where he led the commercial organization. Having an international career background, he will be executing this new global role from France reporting to the Chief Digital Officer, Peter Weckesser.</t>
  </si>
  <si>
    <t>philip.r@se.com</t>
  </si>
  <si>
    <t>388157-68P</t>
  </si>
  <si>
    <t>Philippe More</t>
  </si>
  <si>
    <t>More</t>
  </si>
  <si>
    <t>Mr. Philippe More serves as Vice President, M&amp;A &amp; Head of Group Mergers and Acquisitions at Thales (Aerospace and Defence). Mr. More served as Vice President of Corporate Mergers &amp; Acquisitions at Schneider Electric. Previously, he served as a Director M&amp;A at Royal Bank of Scotland. He spent almost fifteen years in the investment banking sector, where he worked as a financial analyst in the trading room, before moving into structured &amp; corporate finance and then mergers and acquisitions advisory. He joined the Thales group at the end of 2015. He graduated from Lyon University with a B.A. in financial engineering.</t>
  </si>
  <si>
    <t>+33 (0)1 57 77 80 00</t>
  </si>
  <si>
    <t>philippe.more@thalesgroup.com</t>
  </si>
  <si>
    <t>Meudon</t>
  </si>
  <si>
    <t>Meudon, France</t>
  </si>
  <si>
    <t>4 Rue de la Verrerie</t>
  </si>
  <si>
    <t>92190</t>
  </si>
  <si>
    <t>Vice President, M&amp;A &amp; Head of Group Mergers and Acquisitions</t>
  </si>
  <si>
    <t>Thales (Aerospace and Defence)</t>
  </si>
  <si>
    <t>89056-09P</t>
  </si>
  <si>
    <t>Rajesh Dawar</t>
  </si>
  <si>
    <t>Dawar</t>
  </si>
  <si>
    <t>Mr. Rajesh Dawar serves as Associate General Manager at Schneider Electric (Electrical Equipment).</t>
  </si>
  <si>
    <t>r-d@se.com</t>
  </si>
  <si>
    <t>Associate General Manager</t>
  </si>
  <si>
    <t>238909-96P</t>
  </si>
  <si>
    <t>Sandra Echer</t>
  </si>
  <si>
    <t>Echer</t>
  </si>
  <si>
    <t>Ms. Sandra Echer serves as Executive Assistant at Schneider Electric (Electrical Equipment). Ms. Echer served as Executive Assistant to Heriberto Diarte Grant Allen and Varun Jain at Schneider Electric.</t>
  </si>
  <si>
    <t>sandra.echer@se.com</t>
  </si>
  <si>
    <t>157661-83P</t>
  </si>
  <si>
    <t>Scott Harden</t>
  </si>
  <si>
    <t>Mr. Scott Harden serves as Senior Vice President &amp; Chief Technology Officer, Home &amp; Distribution Software at Schneider Electric (Electrical Equipment).</t>
  </si>
  <si>
    <t>scott.harden@se.com</t>
  </si>
  <si>
    <t>Senior Vice President &amp; Chief Technology Officer, Home &amp; Distribution Software</t>
  </si>
  <si>
    <t>182918-80P</t>
  </si>
  <si>
    <t>Shonodeep Modak</t>
  </si>
  <si>
    <t>Shonodeep</t>
  </si>
  <si>
    <t>Mr. Shonodeep Modak serves as Chief Marketing Officer, Energy Management Business at Schneider Electric (Electrical Equipment). Mr. Modak mission is to elevate marketing performance, supporting business growth and commercial impact as well as enrich the digital customer experience and thought leadership across the full scope of Energy Management globally. Prior to this, he was Chief Marketing Officer for the North America region of Schneider Electric. Throughout his 20-year career at multiple Fortune 500 companies, Shonodeep has fused analytics with creativity to drive profitable growth and improve market position. He previously held senior marketing and sales positions with top brands including General Electric (GE) and ExxonMobil, Modak brings more than 17 years of experience across energy, oil &amp; gas and electrical distribution, leading data-driven global teams to propel portfolio expansion. Most recently, he served as Chief Marketing Officer for GE's Industrial Solutions business, leading a global organization responsible for all aspects of marketing including product, verticals, channel, digital, field and event activities. Additionally, he is a member of the Georgia State University Marketing Round Table, which consists of the most senior marketing people at top Georgia companies, and the Atlanta chapter President of the CMO Club.</t>
  </si>
  <si>
    <t>shonodeep.modak@se.com</t>
  </si>
  <si>
    <t>Chief Marketing Officer, Energy Management Business</t>
  </si>
  <si>
    <t>244160-92P</t>
  </si>
  <si>
    <t>Sonali Satpathy</t>
  </si>
  <si>
    <t>Sonali</t>
  </si>
  <si>
    <t>Satpathy</t>
  </si>
  <si>
    <t>Ms. Sonali Satpathy serves as Senior Vice President, Human Resources, People Strategy at Schneider Electric (Electrical Equipment). Mr. Satpathy served as Vice President, Diversity, Inclusion &amp; Well Being at Schneider Electric.</t>
  </si>
  <si>
    <t>sonali.satpathy@se.com</t>
  </si>
  <si>
    <t>Senior Vice President, Human Resources, People Strategy</t>
  </si>
  <si>
    <t>228337-12P</t>
  </si>
  <si>
    <t>Sophie Borgne</t>
  </si>
  <si>
    <t>Borgne</t>
  </si>
  <si>
    <t>Ms. Sophie Borgne serves as Water &amp; Environment Segment President at Schneider Electric (Electrical Equipment). Ms. Borgne has a unique background in automation, control, and IoT with various roles in industrial automation and energy management over her 22-year career at Schneider Electric. In the last five years, she successfully led the Digital Plant and Digital Power Lines of Business and drove innovation and growth through EcoStruxure Plant and EcoStruxure Power, working closely with Schneider Electric's Digital team and its leading-edge industrial software company, AVEVA. Since joining Schneider Electric in 2001, Sophie has gained global exposure in Africa, China, France, Italy, and the US. She has led marketing, business development, R&amp;D, systems testing, customer technical support, industrialization, and supply chain teams. As Segment President for WWW, Sophie will continue to focus on supporting Schneider Electric's customers in the water industry to accelerate their digital transformation to meet sustainability ambitions. Her background in digital technology will be a crucial factor in spotlighting this mission and vision as she continues to hold a passion for automation and digitalization of industrial processes, power, and energy management solutions. Sophie holds an M.S. in Civil Engineering from École Nationale des Ponts et Chaussées (Paris) and an M.B.A. from the Collège des Ingénieurs (Paris). In addition, Sophie sits on the Schneider Electric Diversity, Equity, and Inclusion board, and is the HANNOVER MESSE Engineer Powerwoman 2020 award winner. A passionate advocate for diversity, equality, and inclusion (DEI) and early careers, Sophie believes that encouraging more young people to pursue rewarding careers in Science, Technology, Engineering, and Mathematics (STEM), and investing in equal opportunities will be crucial to solving the industry's skills gap.</t>
  </si>
  <si>
    <t>sophie.borgne@se.com</t>
  </si>
  <si>
    <t>Water &amp; Environment Segment President</t>
  </si>
  <si>
    <t>12058-21P</t>
  </si>
  <si>
    <t>Steve Wilhite</t>
  </si>
  <si>
    <t>Mr. Steve Wilhite serves as President, Schneider Electric's Sustainability Business at Schneider Electric (Electrical Equipment). Mr. Wilhite served as Board Member at Dash Energy. He joined Schneider Electric in 2011 through its acquisition of Summit Energy where he had been CEO and President since 2001. Since that time, his team has grown to become the largest buyer of energy in the world and currently manages more than $30 billion in energy spend for 4,500+ Schneider Electric clients around the world, in addition to providing sustainability-related services to the same client base. Prior to joining Summit, he provided consulting services to several Fortune 500 companies that compete in the deregulated retail energy industry. He also held a variety of leadership positions at FPL Energy Services, Duke-Louis Dreyfus, and International Paper. He holds a bachelor's degree in Mathematics from Wheaton College and a master's degree from Duke University's Fuqua School of Business.</t>
  </si>
  <si>
    <t>steve.wilhite@se.com</t>
  </si>
  <si>
    <t>President, Schneider Electric's Sustainability Business</t>
  </si>
  <si>
    <t>124618-33P</t>
  </si>
  <si>
    <t>Sylvain Frode De La Foret</t>
  </si>
  <si>
    <t>Frode De La Foret</t>
  </si>
  <si>
    <t>Mr. Sylvain Frode De La Foret serves as Senior Vice President, Europe and International Hub, Power Products &amp; Buildings &amp; Vice President, Partner Projects at Schneider Electric (Electrical Equipment).</t>
  </si>
  <si>
    <t>Senior Vice President, Europe and International Hub, Power Products &amp; Buildings &amp; Vice President, Partner Projects</t>
  </si>
  <si>
    <t>89071-30P</t>
  </si>
  <si>
    <t>Sylvain Langlois</t>
  </si>
  <si>
    <t>Langlois</t>
  </si>
  <si>
    <t>Mr. Sylvain Langlois serves as Corporate Mergers &amp; Acquisitions - Post Merger Integration Process Leader at Schneider Electric (Electrical Equipment). Previously, Mr. Langlois served as a Finance Director Energy France at Schneider Electric.</t>
  </si>
  <si>
    <t>sylvain.langlois@se.com</t>
  </si>
  <si>
    <t>Corporate Mergers &amp; Acquisitions - Post Merger Integration Process Leader</t>
  </si>
  <si>
    <t>111916-18P</t>
  </si>
  <si>
    <t>Trevor Lambeth</t>
  </si>
  <si>
    <t>Lambeth</t>
  </si>
  <si>
    <t>Mr. Trevor Lambeth serves as Pensions Director UKI at Schneider Electric (Electrical Equipment). Mr. Lambeth joined Schneider Electric in 1988 and previous roles include UK Systems Accountant, Tax and Treasury Manager, Finance Partner for Industry, Marketing Manager for Industrial Control, Finance Partner for Power.</t>
  </si>
  <si>
    <t>trevor.lambeth@se.com</t>
  </si>
  <si>
    <t>Pensions Director UKI</t>
  </si>
  <si>
    <t>87847-93P</t>
  </si>
  <si>
    <t>Varun Jain</t>
  </si>
  <si>
    <t>Mr. Varun Jain is a Founding General Partner, SE Ventures of Schneider Electric. He has been investing for over a decade in AI-led enterprise software startups focused on digital transformation and decarbonization of industry, mobility, and the built environment. He serves as a Board Observer at AiDash. He serves as a Board Member at Energetic Capital. He served as a Board Observer at SkyDrop. He served as a Board Member at Oosto. He serves as a General Partner at SE Ventures. Previously, he served as Investment Director at Qualcomm Ventures. He served as a Board Observer at Spyce and Sense360. He joined Qualcomm Ventures in 2014 and has since led investments in Clearmotion, Cruise Automation, Even Responsible Finance, and Flirtey. In 2017, he was recognized as one of the global top 20 Rising Stars in the corporate venture industry by Global Corporate Venturing. Before becoming an investor, he gained significant operating experience at Mint, which started in 2007 in partnership with The Wall Street Journal and is today one of the largest and most respected news organizations in Asia. He rose quickly through the ranks to lead business operations for Mint's key growth initiatives and successfully launched a series of consumer and enterprise products across India and Singapore. He holds an MBA from the Kellogg School of Management where he was a McCormick Scholar; a Masters (Communications) from MICA; and a Bachelor of Technology (CS, EE) from DA-IICT.</t>
  </si>
  <si>
    <t>varun.jain@se.com</t>
  </si>
  <si>
    <t>Founding General Partner, SE Ventures</t>
  </si>
  <si>
    <t>185414-41P</t>
  </si>
  <si>
    <t>Alexandra Manick</t>
  </si>
  <si>
    <t>Manick</t>
  </si>
  <si>
    <t>Schooner Capital</t>
  </si>
  <si>
    <t>Ms. Alexandra Manick serves as Principal at Schooner Capital. She also serves as Board Member at Amplified Industries, Censinet, and serves on the boards of Acoustic Wells, JETCOOL Technologies, and Remedy Plan Therapeutics, among others, providing strategic support across the broader private portfolio. She served as Board Member at eXIthera Pharmaceuticals. She previously worked at MIT spin-out start-up, 1366 Technologies (now CubicPV) and Tesla Motors. She holds a BS in Materials Science from MIT and an MBA from Stanford.</t>
  </si>
  <si>
    <t>+1 (617) 963-5200</t>
  </si>
  <si>
    <t>amanick@schoonercapital.com</t>
  </si>
  <si>
    <t>Two Financial Center</t>
  </si>
  <si>
    <t>60 South Street, 11th Floor</t>
  </si>
  <si>
    <t>+1 (617) 963-5201</t>
  </si>
  <si>
    <t>91285-48P</t>
  </si>
  <si>
    <t>Antonio Cienfuegos</t>
  </si>
  <si>
    <t>Cienfuegos</t>
  </si>
  <si>
    <t>Mr. Antonio Cienfuegos serves as Managing Director at Schooner Capital. He joined Schooner as an Analyst in 2014 after interning for the firm a year prior. He focuses on the firm's direct public equity investment efforts, which he helped launch and manage. He leads and supports investment identification, due diligence, valuation, portfolio construction, and trading for the public's portfolio in the US and global developed and developing market names. In addition to his public equities work, he provides corporate finance and strategic support across the broader Schooner portfolio. He joined Schooner as a graduate of New York's Columbia University, where he earned dual degrees in Financial Economics and in Hispanic Studies, as well as interning for multiple years at Columbia's Heilbrunn Center for Graham &amp; Dodd Investing.</t>
  </si>
  <si>
    <t>acienfuegos@schoonercapital.com</t>
  </si>
  <si>
    <t>134697-34P</t>
  </si>
  <si>
    <t>Brian Rodgers</t>
  </si>
  <si>
    <t>Rodgers</t>
  </si>
  <si>
    <t>Mr. Brian Rodgers serves as Controller at Schooner Capital. He joined Schooner Capital in 2010 and became our Controller in 2023. Brian divides his time between internal financial matters and tax preparation. Prior to joining Schooner, Brian spent three years in public accounting at Tonneson &amp; Company CPA's P.C. where he assisted with attestation and taxation engagements for a wide variety of clients. Brian has an undergraduate degree and a Master's of Accounting degree from the University of New Hampshire. He is also licensed as a Certified Public Accountant in the Commonwealth of Massachusetts.</t>
  </si>
  <si>
    <t>brodgers@schoonercapital.com</t>
  </si>
  <si>
    <t>451711-90P</t>
  </si>
  <si>
    <t>Carl Becker</t>
  </si>
  <si>
    <t>Mr. Carl Becker serves as an Associate at Schooner Capital. Prior to joining Schooner, he worked as a Consultant at Bain &amp; Company, as well as at startups and multinational enterprises, including Volkswagen and Deutsche Telekom. He holds both a Bachelor of Science and a Master of Science in Business Administration and Electrical Power Engineering from RWTH Aachen University, as well as an MBA from MIT Sloan.</t>
  </si>
  <si>
    <t>cbecker@schoonercapital.com</t>
  </si>
  <si>
    <t>451714-78P</t>
  </si>
  <si>
    <t>Chan Won</t>
  </si>
  <si>
    <t>Won</t>
  </si>
  <si>
    <t>Mr. Chan Won serves as Analyst at Schooner Capital. He focuses on public equity investment opportunities. In addition to portfolio monitoring, he supports the investment cycle from idea generation to diligence, valuation, and execution. He joined Schooner upon graduation from New York University, where he earned dual degrees in Finance and Data Science. During school, he worked as the sole analyst at a consumer-focused public equity fund and as a summer associate at Temasek in their investment group.</t>
  </si>
  <si>
    <t>cwon@schoonercapital.com</t>
  </si>
  <si>
    <t>72452-80P</t>
  </si>
  <si>
    <t>Jon Corbett</t>
  </si>
  <si>
    <t>Mr. Jon Corbett serves as Chief Financial Officer at Schooner Capital. Mr. Corbett also served as Vice President of Finance at Schooner Capital. As CFO, He is responsible for managing the accounting and finance operations of Schooner as well as monitoring tax compliance. He supports Schooner's public equities efforts while working closely with several of Schooner's private portfolio companies. He also serves as Treasurer of The Schooner Foundation. Before Schooner, Jon spent 10 years in public accounting at Tonneson + Co. where he worked with a diverse group of privately held companies and not-for-profit organizations. Mr. Corbett has an undergraduate business degree, concentration in accounting from Merrimack Colleg,e and a master's of science in taxation degree from the Elkin B. McCallum Graduate School of Business at Bentley University. He is also licensed as a Certified Public Accountant in the Commonwealth of Massachusetts and is a member of the American Institute of Certified Public Accountants.</t>
  </si>
  <si>
    <t>jcorbett@schoonercapital.com</t>
  </si>
  <si>
    <t>283000-33P</t>
  </si>
  <si>
    <t>Julia Pettengill</t>
  </si>
  <si>
    <t>Pettengill</t>
  </si>
  <si>
    <t>Ms. Julia Pettengill serves as Executive Director at Schooner Capital. In her role, she oversees the vision and execution of the Foundation's strategic direction and grant-making in social Justice, global health equity, education, livelihoods and environmental initiatives, domestically and internationally. Julia comes from a diverse background in international development, nonprofit management, capacity building, and fundraising with a strong focus on sub-Saharan Africa, where she grew up. She holds a Bachelor of Arts and Master of Education from the University of Cape Town, South Africa, and currently serves on the boards of Friendship Bench, Network of Engaged International Donors and co chairs the Advisory Council of HEAL Initiative. Previously, Julia served as a member of the National Cancer Institute's Pediatric Leukemia and Lymphoma Steering Committee, and co-chaired the Dana Farber Cancer Institute's pediatric patient and family advisory council.</t>
  </si>
  <si>
    <t>julia@schoonercapital.com</t>
  </si>
  <si>
    <t>451714-15P</t>
  </si>
  <si>
    <t>Laurie Finkielsztein</t>
  </si>
  <si>
    <t>Finkielsztein</t>
  </si>
  <si>
    <t>Ms. Laurie Finkielsztein serves as Senior Associate at Schooner Capital. She focuses on early and growth stage investments. She is heavily involved with a number of Schooner holdings, including Breezeway, Capital Provisions, Meili, Onebeat, and Ottometric. Prior to joining Schooner, she worked on the investment team at Fifth Wall and began her career in investment banking at Goldman Sachs in the TMT group. She graduated from Brown University with a degree in Computer Science.</t>
  </si>
  <si>
    <t>lfinkielsztein@schoonercapital.com</t>
  </si>
  <si>
    <t>127097-83P</t>
  </si>
  <si>
    <t>Orhan Gazelle</t>
  </si>
  <si>
    <t>Orhan</t>
  </si>
  <si>
    <t>Gazelle</t>
  </si>
  <si>
    <t>Mr. Orhan Gazelle serves as Managing Director at Schooner Capital. Mr. Gazelle serves as Board Member at SeLux Dx. Mr. Gazelle serves as Board Member at Breezeway. Mr. Gazelle serves as Board Member at Bento. Mr. Gazelle serves as Board Member at MarginEdge. He served as a Board Member at Zixi. He serves or has served on the boards of multiple SaaS companies, including Bento, Breezeway, Congruity360, MarginEdge, Meili, Zippity and Zixi. He is also a director at Capital Provisions and is heavily involved with a number of other Schooner holdings, including Selux, Spotted Risk and SRS Medical. Prior to joining Schooner, he worked at Taulia, a financial supply chain company based in San Francisco, where he was responsible for leading company-wide analytics. Orhan holds a Master of Engineering Management from Thayer School of Engineering at Dartmouth College and a BS with Honors in Mechanical Engineering from Trinity College, where he graduated Phi Beta Kappa.</t>
  </si>
  <si>
    <t>+1 (617) 963-5200*5208</t>
  </si>
  <si>
    <t>ogazelle@schoonercapital.com</t>
  </si>
  <si>
    <t>32405-41P</t>
  </si>
  <si>
    <t>Peter Binas JD</t>
  </si>
  <si>
    <t>Binas</t>
  </si>
  <si>
    <t>Mr. Peter Binas serves as Managing Partner at Schooner Capital. He joined Schooner after almost ten years with management consultancy McKinsey &amp; Company. While there, He specialized in corporate finance and strategy, advising leading players in the consumer packaged goods and retail industries in the US, Latin America, and Western Europe. Core areas of focus included mergers and acquisitions, new market entry and growth strategies, competitive strategy, post-merger integration, and operational effectiveness. At Schooner, He serves as a director on the boards of Tracsis Rail Technology Solutions, Colo Railroad Builders, Orthocare Innovations, and Custom-made. He also provides strategic and corporate finance support across the full portfolio. He holds a JD/MBA from Harvard Law and from Harvard Business School where he was a Baker Scholar, and an AB with Honors from Harvard University where he graduated Phi Beta Kappa in Economics and Social Studies. He is a Board Member of Modus Health.</t>
  </si>
  <si>
    <t>+1 (617) 357-9031</t>
  </si>
  <si>
    <t>pbinas@schoonercapital.com</t>
  </si>
  <si>
    <t>13896-82P</t>
  </si>
  <si>
    <t>Steve Maiocco</t>
  </si>
  <si>
    <t>Maiocco</t>
  </si>
  <si>
    <t>Mr. Steve Maiocco serves as Managing Partner at Schooner Capital. He serves as a Board Member at SRS Medical Systems. He divides his time between Schooner's internal financial and administrative matters and Schooner's investment portfolio, including serving as a board member of Millstone Medical Outsourcing and Iron Rail Group. Prior to joining Schooner, he spent approximately fourteen years in public accounting at Tonneson &amp; Company CPAs P.C. where he worked with his clients on a wide range of accounting, financial, and tax matters. He has an undergraduate degree from Cornell University and a Master of Science in Taxation degree from Bentley University.</t>
  </si>
  <si>
    <t>smaiocco@schoonercapital.com</t>
  </si>
  <si>
    <t>36935-65P</t>
  </si>
  <si>
    <t>Ted Henderson</t>
  </si>
  <si>
    <t>Henderson</t>
  </si>
  <si>
    <t>Mr. Ted Henderson is the Chief Executive Officer &amp; Managing Partner at Schooner Capital. He also serves as a Board Member at Brixton Biosciences. He serves as an Executive Advisor &amp; Board Member at Modus Health. He serves as a Board Member at Emerald Cloud Lab. He served as a Board Member at SpottedRisk, Zixi and 4G Clinical. He invests across asset classes, domestically and abroad, with a particular interest he domestic venture and growth-stage companies, as well as alternative asset holdings in developing markets. He serves as a Board Member at Orthocare Innovations, MediaSilo, Millstone Medical Outsourcing, Nanoscale Powders, Seventh Generation, SRS Medical, and Topokine Therapeutics. At Millstone Medical Outsourcing, he serves as chairman. He is a past director of several of Schooner's investments, as well as several not-for-profit organizations to joining Schooner, he founded several enterprises in the for-profit education sector, served as a general manager at subsidiaries of The Washington Post Company, worked in venture capital at Fidelity Capital, and served global clients at Leo Burnett. He received an MBA from Harvard Business School and is a cum laude graduate of Dartmouth College. He served as a Board Member at Cartesian Therapeutics.</t>
  </si>
  <si>
    <t>thenderson@schoonercapital.com</t>
  </si>
  <si>
    <t>13896-91P</t>
  </si>
  <si>
    <t>Vincent Ryan</t>
  </si>
  <si>
    <t>Mr. Vincent Ryan is the Founder and serves as the Chairman of Schooner Capital. He also serves as a Director at Iron Mountain. He served as a Global Board Member at The Nature Conservancy. He served as a director of the Marine Biological Laboratory, the Isabella Stewart Gardner Museum, Physicians for Human Rights, and Survivor Corps (formerly Landmine Survivors Network). He also chairs the Advisory Board of the Carr Center at Harvard University's Kennedy School of Government. He is a graduate of Boston University.</t>
  </si>
  <si>
    <t>vryan@schoonercapital.com</t>
  </si>
  <si>
    <t>329925-52P</t>
  </si>
  <si>
    <t>Roberto Alvarez</t>
  </si>
  <si>
    <t>Seldor Capital</t>
  </si>
  <si>
    <t>Mr. Roberto Alvarez is the Founder at Aventures. Mr. Alvarez serves as Venture Partner at Seldor Capital. He also serves as an Investment Committee Member at FrissOn Capital. He worked as a management and operations consultant, co-founded 3 tech companies, designed and implemented executive education programs, and taught at different universities. He also serves as Executive Director of the Global Federation of Competitiveness Councils and Senior Policy Fellow at Queen Mary University London's Global Policy Institute, helping to catalyze advances in the global innovation and competitiveness policy domain.</t>
  </si>
  <si>
    <t>Aventures</t>
  </si>
  <si>
    <t>248777-38P</t>
  </si>
  <si>
    <t>Sidney Nakahodo</t>
  </si>
  <si>
    <t>Nakahodo</t>
  </si>
  <si>
    <t>Mr. Sidney Nakahodo is the Founder and serves as General Partner at Seldor Capital. He is also a Co-Founded &amp; served as an Executive at New York Space Alliance. He has been a Fellow at Singularity University, a think tank, and incubator based at NASA Ames Research Park in Silicon Valley, and is involved in several tech start-ups, both as co-founder and advisor. Previously he was a member of the World Bank staff in Washington DC.</t>
  </si>
  <si>
    <t>+1 (202) 379-6030</t>
  </si>
  <si>
    <t>sidney@seldorcapital.com</t>
  </si>
  <si>
    <t>68 Bradhurst Ave, Apt 1p</t>
  </si>
  <si>
    <t>10039</t>
  </si>
  <si>
    <t>325537-03P</t>
  </si>
  <si>
    <t>Steven Gonzalez</t>
  </si>
  <si>
    <t>Mr. Steven Gonzalez serves as Venture Partner at Ecosphere Ventures. He serves as Venture Partner at Seldor Capital.</t>
  </si>
  <si>
    <t>Ecosphere Ventures</t>
  </si>
  <si>
    <t>197490-88P</t>
  </si>
  <si>
    <t>Daniel Nascimento</t>
  </si>
  <si>
    <t>Nascimento</t>
  </si>
  <si>
    <t>Semapa Next</t>
  </si>
  <si>
    <t>Mr. Daniel Nascimento serves as Principal at Semapa Next. He also serves as Board Member at PVComplete. He served as Principal at EDP Ventures. He served as Board Member at LOQR.</t>
  </si>
  <si>
    <t>+351 21 318 4700</t>
  </si>
  <si>
    <t>daniel@semapanext.com</t>
  </si>
  <si>
    <t>Avenida Fontes Pereira de Melo, 14</t>
  </si>
  <si>
    <t>1050-121</t>
  </si>
  <si>
    <t>+351 21 352 1748</t>
  </si>
  <si>
    <t>255052-54P</t>
  </si>
  <si>
    <t>Grégoire Viat</t>
  </si>
  <si>
    <t>Viat</t>
  </si>
  <si>
    <t>Mr. Grégoire Viat serves as Principal at Semapa Next. Mr. Viat served as Associate Portage Ventures at Portage. Before joining Portag3 in 2021, he spent more than six years in Investment Banking with Morgan Stanley in London and Paris. He was involved in several transactions across M&amp;A and capital markets (public and private) in the Basic Materials sector globally. He holds a master's degree from ESCP Business School in Paris.</t>
  </si>
  <si>
    <t>91600-30P</t>
  </si>
  <si>
    <t>Hugo Augusto</t>
  </si>
  <si>
    <t>Mr. Hugo Augusto serves as Chief Executive Officer at Semapa Next. He served as Chief Executive Officer at MyChild. He serves as a Board Member at Defined.ai. He also served as Managing Director at Techstars. He holds degrees in Business Consulting and Management and a Master's in Operations Management from ISEG at Universidade Técnica de Lisboa. He also holds an MBA in Entrepreneurship from Northwestern University.</t>
  </si>
  <si>
    <t>hugo@semapanext.com</t>
  </si>
  <si>
    <t>275225-14P</t>
  </si>
  <si>
    <t>Jakob Lilienweiss</t>
  </si>
  <si>
    <t>Lilienweiss</t>
  </si>
  <si>
    <t>Mr. Jakob Lilienweiss serves as Investor at Semapa Next. He served as Investment Manager at High-Tech Gründerfonds. He holds a Bachelor's degree in Economics with a semester abroad in the US and recently completed a double Master's degree in Management, specializing in Innovation and Strategy. His first real contact with venture capital was during his Master's thesis on 'Corporate Venture Capital (CVC) investment relationships from the perspective of Tech-oriented Start-ups', where he analyzed the motivations, concerns, and protection mechanisms for start-ups when accepting CVC investments. In addition, he worked as a teaching assistant in strategy and entrepreneurship courses for Maastricht University. He prepared an industry-specific target market analysis on 'E-Health in Portugal' for German companies wishing to enter the Portuguese market on behalf of BMWi.</t>
  </si>
  <si>
    <t>jakob@semapanext.com</t>
  </si>
  <si>
    <t>414263-62P</t>
  </si>
  <si>
    <t>Laura Barbas</t>
  </si>
  <si>
    <t>Barbas</t>
  </si>
  <si>
    <t>Ms. Laura Barbas is an Investor of Semapa Next.</t>
  </si>
  <si>
    <t>+351 91 555 3580</t>
  </si>
  <si>
    <t>laura@semapanext.com</t>
  </si>
  <si>
    <t>414266-23P</t>
  </si>
  <si>
    <t>Maria da Assunção Magalhães</t>
  </si>
  <si>
    <t>Maria da Assunção</t>
  </si>
  <si>
    <t>Magalhães</t>
  </si>
  <si>
    <t>Ms. Maria da Assunção Magalhães serves as Investor at Semapa Next.</t>
  </si>
  <si>
    <t>assuncao@semapanext.com</t>
  </si>
  <si>
    <t>382505-50P</t>
  </si>
  <si>
    <t>Michal Mashall</t>
  </si>
  <si>
    <t>Mashall</t>
  </si>
  <si>
    <t>Ms. Michal Mashall serves as Portfolio &amp; Community Manager at Semapa Next.</t>
  </si>
  <si>
    <t>michal@semapanext.com</t>
  </si>
  <si>
    <t>Portfolio &amp; Community Manager</t>
  </si>
  <si>
    <t>370600-75P</t>
  </si>
  <si>
    <t>David Chou</t>
  </si>
  <si>
    <t>Seraph Group</t>
  </si>
  <si>
    <t>Mr. David Chou serves as a Partner at Seraph Group. He has over 29+ years of working experience at international institutions in US, Europe, Singapore, Japan, Hong Kong, Mainland China, and Taiwan. He completed his MBA from Columbia Business School in 1995.</t>
  </si>
  <si>
    <t>david@seraphgroup.net</t>
  </si>
  <si>
    <t>Milton, GA</t>
  </si>
  <si>
    <t>1076 Bream Drive</t>
  </si>
  <si>
    <t>30004</t>
  </si>
  <si>
    <t>74205-10P</t>
  </si>
  <si>
    <t>Jake Moilanen</t>
  </si>
  <si>
    <t>Moilanen</t>
  </si>
  <si>
    <t>Mr. Jake Moilanen serves as General Partner, Seraph Austin at Seraph Group. He is a Co-Founder &amp; serves as President &amp; Chief Technology Officer at Ironlight Group. He is an Angel Investor. He also serves as General Partner, Seraph Austin at Seraph Group. He is the Founder at Centrility. He is the Founder and served as the Chief Executive Officer of Crowd Ignite. He also served as the Managing Director at Evolve Media.</t>
  </si>
  <si>
    <t>jake@seraphgroup.net</t>
  </si>
  <si>
    <t>Austin General Partner</t>
  </si>
  <si>
    <t>150736-60P</t>
  </si>
  <si>
    <t>Peter Truwit</t>
  </si>
  <si>
    <t>Truwit</t>
  </si>
  <si>
    <t>Mr. Peter Truwit serves as Partner at Seraph Group. He served as Principal at Seraph Group. An early interest in technology led to a love of the industry and the entrepreneurship it enabled, resulting in an internship with Seraph in 2014. After graduating from Colgate University, Peter joined Seraph as an Analyst in 2014. Peter was raised in Wayzata, Minnesota, attended the Blake School in Minneapolis, MN, and graduated from Colgate University in 2014 with a double major in Economics and English Literature.</t>
  </si>
  <si>
    <t>peter@seraphgroup.net</t>
  </si>
  <si>
    <t>14540-68P</t>
  </si>
  <si>
    <t>Thomas Barrett</t>
  </si>
  <si>
    <t>Mr. Thomas Barrett serves as Chief Financial Officer at Seraph Group. He serves as Chief Financial Officer at Aiconex. He served as Chief Investment Officer at Bergendahl Holdings. He also served as Chief Financial Officer &amp; Chief Investment Officer at Cymric Family Office Services. He served as Executive Vice President at Langan Insurance Benefits &amp; Financial Services.</t>
  </si>
  <si>
    <t>+1 (805) 642-9280</t>
  </si>
  <si>
    <t>tom@seraphgroup.net</t>
  </si>
  <si>
    <t>37033-03P</t>
  </si>
  <si>
    <t>Tuff Yen</t>
  </si>
  <si>
    <t>Tuff</t>
  </si>
  <si>
    <t>Yen</t>
  </si>
  <si>
    <t>Mr. Tuff Yen is the Founder and serves as Chief Executive Officer at Seraph. He serves as an Executive of Play Labs. He serves as a Board Member at LifeSignals and Lucira Health. He served as a Board Member at AirDog. Previously, he served as a Board Member of espionage. He spent his career as a scientist and a professional investor. He worked as a venture capitalist with Hambrecht &amp; Quist's venture fund ("HQAP") in San Francisco as well as Chemical Bank's venture arm in New York City. During this period, he worked on investments in a broad range of businesses including industrial manufacturing, distribution, entertainment, publishing, information technology, Internet, medical, and life sciences. Prior to joining the VC community, he was a bioengineer with Genentech and worked at Amgen, two leading biotechnology pioneers. He received his master's in business administration from the Yale School of Management and his bachelor's degree in Arts in microbiology and immunology from the University of California Berkeley.</t>
  </si>
  <si>
    <t>tuff@seraphgroup.net</t>
  </si>
  <si>
    <t>441688-42P</t>
  </si>
  <si>
    <t>Billy Hahn</t>
  </si>
  <si>
    <t>Billy</t>
  </si>
  <si>
    <t>Hahn</t>
  </si>
  <si>
    <t>Mr. Billy Hahn serves as an Investment Advisor at Service Provider Capital. He is a Director of Startups &amp; Capital Solutions at Brex and oversees their Venture Debt Fund. Over his 10+ year career in banking and fintech, he has worked with hundreds of VC-backed technology companies to advise them on capital market strategies and provide them with growth capital and other bespoke financial services to help them grow their businesses.</t>
  </si>
  <si>
    <t>Vail</t>
  </si>
  <si>
    <t>Vail, CO</t>
  </si>
  <si>
    <t>2121 North Frontage Road West</t>
  </si>
  <si>
    <t>Suite 256</t>
  </si>
  <si>
    <t>81657</t>
  </si>
  <si>
    <t>69993-10P</t>
  </si>
  <si>
    <t>Brian Gordon JD</t>
  </si>
  <si>
    <t>Mr. Brian Gordon serves as a Partner at McDermott Will &amp; Emery. He serves as Managing Director at Service Provider Capital. He was also a Partner at DLA Piper. He represents venture-backed technology companies in acquisitions, financing transactions, the negotiation of credit facilities, corporate governance, employment, and equity compensation matters, and the resolution of day-to-day legal issues. A significant part of his practice is the representation of private equity funds in the acquisition and disposition of portfolio companies, in both control and non-control transactions. He also routinely serves as counsel to strategic buyers and sellers in M&amp;A transactions. He has a sub-specialty in representing restaurant and retail groups in private equity and acquisition transactions. He has a sub-specialty in representing restaurant and retail groups in private equity and acquisition transactions.</t>
  </si>
  <si>
    <t>+1 (404) 260-8576</t>
  </si>
  <si>
    <t>bgordon@mwe.com</t>
  </si>
  <si>
    <t>1180 Peachtree Street, North East</t>
  </si>
  <si>
    <t>Suite 3350</t>
  </si>
  <si>
    <t>+1 (404) 601-7435</t>
  </si>
  <si>
    <t>McDermott</t>
  </si>
  <si>
    <t>38070-82P</t>
  </si>
  <si>
    <t>Douglas Spear JD</t>
  </si>
  <si>
    <t>Spear</t>
  </si>
  <si>
    <t>Mr. Douglas Spear serves as Partner &amp; Co-Chairman of Corporate Practice Group at Nelson Mullins Riley &amp; Scarborough. Mr. Spear served as Chief Legal Officer at Greenlight (Other Financial Services). Mr. Spear serves as Managing Director at Service Provider Capital. He serves as Senior Advisor at Nelson Mullins Riley &amp; Scarborough and leader of the Firm's Emerging Growth and Venture Capital practice, also serves as Managing Director at Service Provider Capital. He and his team work proactively with emerging and growth-stage technology companies in various sectors, venture capital firms, and angel investors to solve their business and legal problems practically and efficiently. He is extremely active in start-up communities in the Southeast and beyond, working closely with founders, investors, and other advisors to help build growing companies in various industries. He also has experience in representing clients in merger and acquisition transactions, private placements, and various forms of debt financing. As an Adjunct Professor at Emory University School of Law, he teaches the Venture Capital Law course. In 1998, He earned his Juris Doctor from the University of Pittsburgh and received his Bachelor of Arts, with honours, in 1995 from the University of Pennsylvania.</t>
  </si>
  <si>
    <t>+1 (404) 322-6000</t>
  </si>
  <si>
    <t>doug.spear@nelsonmullins.com</t>
  </si>
  <si>
    <t>Atlantic Station, 201 17th Street North West</t>
  </si>
  <si>
    <t>30363</t>
  </si>
  <si>
    <t>+1 (404) 322-6050</t>
  </si>
  <si>
    <t>Partner &amp; Co-Chairman of Corporate Practice Group</t>
  </si>
  <si>
    <t>Nelson Mullins Riley &amp; Scarborough</t>
  </si>
  <si>
    <t>257732-56P</t>
  </si>
  <si>
    <t>Galen Mason JD</t>
  </si>
  <si>
    <t>Galen</t>
  </si>
  <si>
    <t>Mr. Galen Mason serves as Managing Director at Service Provider Capital. He serves as Partner &amp; Co-Chair, Venture Best at Michael Best &amp; Friedrich. He advises on topics that touch a company's cap table or an investor's equity position and further serves as outside general counsel for his clients, discarding trivial issues and identifying and marshaling resources for the issues that really matter. He carefully builds and manages a team of Michael Best subject matter experts who provide first-in-class, proactive, and efficient guidance, the delivery of which he adjusts with the growth of the business. This includes legal and business counsel from formation and early financings to growth stage employment, tax, intellectual property, and regulatory matters, later stage financings, commercial agreements, rapid and discreet dispute resolution, secondary transactions, and ultimately, an exit transaction. He fosters meaningful relationships with investors, board members, and fellow service providers across the country - accountants, bankers, advisors, and consultants - to help ensure that the professional expertise a business needs is fully aligned with the resources and objectives at hand.</t>
  </si>
  <si>
    <t>galen@serviceprovidercapital.com</t>
  </si>
  <si>
    <t>63453-61P</t>
  </si>
  <si>
    <t>Jody Shepherd</t>
  </si>
  <si>
    <t>Mr. Jody Shepherd is a Co-Founder &amp; serves as Managing Director at Service Provider Capital. Mr. Shepherd also serves as Managing Director at Customers Bank. He served as Managing Director, Technology - Venture Banking Group at Signature Bank. He has been working in the Rocky Mountain venture community since 2004. He currently serves as Managing Director - Venture Banking for Customers Bank, co-chair of the Colorado Venture Summit.</t>
  </si>
  <si>
    <t>jody@serviceprovidercapital.com</t>
  </si>
  <si>
    <t>33335-74P</t>
  </si>
  <si>
    <t>Lori Pickle JD</t>
  </si>
  <si>
    <t>Pickle</t>
  </si>
  <si>
    <t>Ms. Lori Pickle serves as a Partner at Dwyer Murphy Calvert. Her practice focuses on private and public companies, venture capital and private equity firms and their portfolio companies, and private and public equity investors. She serves as Managing Director at Service Provider Capital. She holds a JD (Doctor of Law) degree from the University of Texas School of Law and a BA (Bachelor of Arts) in International Studies from Emory University.</t>
  </si>
  <si>
    <t>+1 (512) 610-9639</t>
  </si>
  <si>
    <t>lpickle@dmc-law.com</t>
  </si>
  <si>
    <t>1301 West 25th Street</t>
  </si>
  <si>
    <t>Suite 560</t>
  </si>
  <si>
    <t>+1 (512) 610-1131</t>
  </si>
  <si>
    <t>Dwyer Murphy Calvert</t>
  </si>
  <si>
    <t>29876-68P</t>
  </si>
  <si>
    <t>Noah Pittard JD</t>
  </si>
  <si>
    <t>Pittard</t>
  </si>
  <si>
    <t>Mr. Noah Pittard is a Co-Founder at Service Provider Capital. Mr. Pittard serves as a Partner at Cooley. He is an Angel Investor. He has a national legal practice, representing high-profile startup companies and venture funds on both coasts as well as in the Boulder/Denver, CO, and Austin, TX ecosystems. Since starting with Cooley in San Francisco in 2000, he has represented VCs and companies in hundreds of venture capital deals.</t>
  </si>
  <si>
    <t>noah@serviceprovidercapital.com</t>
  </si>
  <si>
    <t>+1 (720) 566-4099</t>
  </si>
  <si>
    <t>117797-14P</t>
  </si>
  <si>
    <t>Patrick Cerone</t>
  </si>
  <si>
    <t>Cerone</t>
  </si>
  <si>
    <t>Mr. Patrick Cerone serves as Managing Director at Service Provider Capital. He served as General Manager &amp; Director of Marketing and Product Development at Swingbyte. He previously served as Marketing Manager at EmPowerHR, Account Manager at Telefund, and Organizer/Field Manager at Grass Roots Campaigns. He earned his Bachelors of Art in History from Fordham University.</t>
  </si>
  <si>
    <t>+1 (415) 465-4295</t>
  </si>
  <si>
    <t>pat@serviceprovidercapital.com</t>
  </si>
  <si>
    <t>38146-87P</t>
  </si>
  <si>
    <t>Phil Gager</t>
  </si>
  <si>
    <t>Gager</t>
  </si>
  <si>
    <t>Mr. Phil Gager serves as Senior Managing Director, Tech Lending at Trinity Capital. He also serves as Managing Director at Service Provider Capital. He had served as Managing Director, New England at Square 1 Bank. He has held originations and leadership roles at Capital Advisors Group and Stifel Bank.</t>
  </si>
  <si>
    <t>+1 (480) 374-5350</t>
  </si>
  <si>
    <t>pgager@trincapinvestment.com</t>
  </si>
  <si>
    <t>1 North 1st Street</t>
  </si>
  <si>
    <t>85004</t>
  </si>
  <si>
    <t>Senior Managing Director, Tech Lending</t>
  </si>
  <si>
    <t>Trinity Capital (Phoenix)</t>
  </si>
  <si>
    <t>404753-68P</t>
  </si>
  <si>
    <t>Sebastien Lasseur</t>
  </si>
  <si>
    <t>Lasseur</t>
  </si>
  <si>
    <t>Mr. Sebastien Lasseur serves as Intern at Service Provider Capital. Mr. Lasseur serves as Managing Director at University of Colorado Deming Center Venture Fund.</t>
  </si>
  <si>
    <t>sebastien@serviceprovidercapital.com</t>
  </si>
  <si>
    <t>Intern</t>
  </si>
  <si>
    <t>98242-39P</t>
  </si>
  <si>
    <t>Stefan Spazek</t>
  </si>
  <si>
    <t>Spazek</t>
  </si>
  <si>
    <t>Mr. Stefan Spazek serves as an Executive Vice President &amp; Director of Debt Placement at Capital Advisors Group. He also serves as Managing Director at Service Provider Capital. His career in Boston spans more than 20 years in sales, marketing, and finance roles. For the past 14 years, he has been at Capital Advisors Group advising venture-backed startups on their cash investment strategies and helping them source, negotiate and secure debt financing. He currently runs the firm's U.S. debt advisory business and oversees business development in the New England market.</t>
  </si>
  <si>
    <t>+1 (617) 630-8100</t>
  </si>
  <si>
    <t>sspazek@capitaladvisors.com</t>
  </si>
  <si>
    <t>Executive Vice President &amp; Director of Debt Placement</t>
  </si>
  <si>
    <t>Capital Advisors Group</t>
  </si>
  <si>
    <t>256115-71P</t>
  </si>
  <si>
    <t>Christopher Jackson</t>
  </si>
  <si>
    <t>SFG Asset Advisors</t>
  </si>
  <si>
    <t>Mr. Christopher Jackson serves as President at SFG Asset Advisors. Prior to this, he was a partner and COO of Barbary Coast Capital Management where he managed all non-investment operations. In 1998, Mr. Jackson helped co-found Hoover Capital Management where he raised $100 million in institutional and private assets and managed the growth and development of the firm. He previously worked at Emerging Growth Management where he was the head of marketing and assisted with client service. Mr. Jackson graduated from Lehigh University in 1990.</t>
  </si>
  <si>
    <t>cjackson@sfgaa.com</t>
  </si>
  <si>
    <t>1004 O'Reilly Avenue</t>
  </si>
  <si>
    <t>Suite 3A</t>
  </si>
  <si>
    <t>255839-14P</t>
  </si>
  <si>
    <t>Daphne Dickson</t>
  </si>
  <si>
    <t>Daphne</t>
  </si>
  <si>
    <t>Dickson</t>
  </si>
  <si>
    <t>Ms. Daphne Dickson serves as Chief Operating Officer &amp; Director of Alternative Investments at SFG Asset Advisors. In her current role, she oversees the legal, compliance, operations, and governance of the family office and associated entities. She is a member of the investment committee for private equity and hedge fund evaluation. From 1995 to 2006, she worked in public relations and marketing, which included running the launch of over 40 consumer-facing technology companies and major product introductions. She holds a B.A. in Communications from The University of Virginia and is a member of 100 Women in Finance (100WF), Institute for Limited Partners (ILPA), and PEWIN.</t>
  </si>
  <si>
    <t>ddickson@sfgaa.com</t>
  </si>
  <si>
    <t>Chief Operating Officer &amp; Director of Alternative Investments</t>
  </si>
  <si>
    <t>37196-92P</t>
  </si>
  <si>
    <t>Herman Leung</t>
  </si>
  <si>
    <t>Leung</t>
  </si>
  <si>
    <t>Mr. Herman Leung serves as Portfolio Manager &amp; Head of Equity Investments at SFG Asset Advisors. He served as Senior Internet Analyst at Susquehanna Financial Advisors. Prior to joining Susquehanna Financial Advisor, he worked with Deutsche Bank and also has worked at both Nextag and VC firm Telesoft Partners. Prior to Deutsche Bank, He worked in the technology industry, most recently at Nextag, an online comparison shopping site, and Telesoft Partners, a venture capital fund focused on technology investments. He holds a bachelor's degree in Finance from California Polytechnic State University, San Luis Obispo.</t>
  </si>
  <si>
    <t>hleung@sfgaa.com</t>
  </si>
  <si>
    <t>Portfolio Manager &amp; Head of Equity Investments</t>
  </si>
  <si>
    <t>255838-78P</t>
  </si>
  <si>
    <t>Michael Jackson</t>
  </si>
  <si>
    <t>Mr. Michael Jackson is the Founder of SFG Asset Advisors. Mr. Jackson has forty years of experience as a portfolio manager, analyst, and investor in multiple industries and markets. Prior to SFG, Mr. Jackson was the founder and Chairman of Emerging Growth Management, one of the first and most successful hedge fund management companies on the West Coast. At EGM, Mr. Jackson started the firm's first hedge fund in 1986 and in subsequent years founded two other hedge funds, a convertible bond fund and a fund of funds. All of the firm's products had excellent returns and the assets under management grew to over a billion dollars under his leadership. From 1982-1986, Mr. Jackson was a general partner of Hambrecht &amp; Quist Equity Management, a registered investment firm specializing in emerging growth stocks. From 1972-1982, he was the senior portfolio manager at Baker Fentress &amp; Company, a $250 million publicly traded closed-end fund. Mr. Jackson graduated from the University of Virginia and holds an MBA from the University of Southern California.</t>
  </si>
  <si>
    <t>mjackson@sfgaa.com</t>
  </si>
  <si>
    <t>215172-28P</t>
  </si>
  <si>
    <t>Brandon Huffman</t>
  </si>
  <si>
    <t>Huffman</t>
  </si>
  <si>
    <t>Shadow Ventures</t>
  </si>
  <si>
    <t>Mr. Brandon Huffman serves as Managing Principal &amp; Chief Executive Officer at Tourmaline Capital. Mr. Huffman serves as an Advisor at Shadow Ventures. He served as Managing Principal &amp; Portfolio Manager of Equity Investments at Rubenstein Partners. He was responsible for implementing and overseeing all aspects of the firm's value-added funds and is a member of the Investment Committee. Before Rubenstein Partners, he worked at Wachovia Securities in the Real Estate Leveraged Finance Group. He holds a BS in Commerce and Finance and a BA in Spanish from the University of Virginia.</t>
  </si>
  <si>
    <t>+1 (415) 839-7405</t>
  </si>
  <si>
    <t>brandon@tourmalinecp.com</t>
  </si>
  <si>
    <t>1711 Mason Street</t>
  </si>
  <si>
    <t>Suite 3</t>
  </si>
  <si>
    <t>Managing Principal &amp; Chief Executive Officer</t>
  </si>
  <si>
    <t>Tourmaline Capital</t>
  </si>
  <si>
    <t>261119-44P</t>
  </si>
  <si>
    <t>Dana Barrett</t>
  </si>
  <si>
    <t>Ms. Dana Barrett serves as Venture Partner at Shadow Ventures. She serves as a Board member at Invest Atlanta. She also serves as a Board Member at Fulton County Government. Ms. Barrett has had a diverse professional background, including roles as a tech executive, small business owner, and award-winning TV, radio, and podcast host. She started her career in technology, becoming a self-taught programmer and eventually rising to the position of Vice President. After starting her own tech consulting firm, she opened a bookstore/coffee shop in Roswell. Dana transitioned into media, hosting a talk radio show where she focused on addressing topics of ethics, gender, and race. She has also written for Forbes and hosted a TV show on Atlanta's NBC affiliate. In 2020, she was the Democratic nominee for Congress in Georgia's 11th District. Ms. Barrett is a graduate of Cornell University.</t>
  </si>
  <si>
    <t>+1 (404) 612-9800</t>
  </si>
  <si>
    <t>2090 Dunwoody Club Drive</t>
  </si>
  <si>
    <t>Floor 4</t>
  </si>
  <si>
    <t>30319</t>
  </si>
  <si>
    <t>208850-68P</t>
  </si>
  <si>
    <t>Matthew Ohlman</t>
  </si>
  <si>
    <t>Ohlman</t>
  </si>
  <si>
    <t>Mr. Matthew Ohlman serves as Chief Technology Officer &amp; General Partner at Shadow Ventures. He serves as a Board Member at Billy. He serves as Advisor at Ecobot. At Shadow, he is responsible for technical due diligence on potential investments, providing technical guidance to portfolio companies, investor relations, building and managing proprietary tools, and overseeing the firm's internal operations.</t>
  </si>
  <si>
    <t>+1 (404) 479-7943</t>
  </si>
  <si>
    <t>mohlman@shadow.vc</t>
  </si>
  <si>
    <t>208845-55P</t>
  </si>
  <si>
    <t>Nick Durham</t>
  </si>
  <si>
    <t>Mr. Nick Durham serves as Advisor at Ecobot. Mr. Nick Durham serves as General Partner at Shadow Ventures. He also serves as Board Member at Stake. He serves as Board Member at Embue.</t>
  </si>
  <si>
    <t>ndurham@shadow.vc</t>
  </si>
  <si>
    <t>113483-80P</t>
  </si>
  <si>
    <t>Paul Arena</t>
  </si>
  <si>
    <t>Mr. Paul Arena serves as Chief Executive Officer, President, and Director at Parallax Health Sciences. He serves as Venture Partner at Shadow Ventures. Previously, from March 2013 through January 2014 he was a Senior Managing Director of AudioEye, Inc. and became Executive Chairman from January 2014 through March 2015. He was previously Chief Executive Officer of Augme Technologies, Inc. from June 2010 to September 2012 and was Chairman from September 2011 through September 2012. Augme was publicly traded and went from less than $40 million market value to over $400 million market before acquiring Hipcricket, Inc. in 2011 for $44 million. Hipcricket, Inc. was purchased in 2015 by Upland Software, Inc., now NASDAQ traded under the symbol "UPLD" and has a market value of ~$465 million as of this writing. From February 2002 to March 2010, he held various executive positions including Chairman of the Board, Chief Executive Officer, Principal Financial Officer and founder of Geos Communications (formerly i2 Telecom International) he served in various executive capacities including Chairman of the Board, Chief Executive Officer, President and founder of Cereus Technology Partners, Inc. and its subsidiaries, from May 1991 to April 2000. In 1994, he was a financial advisor to and became a minority interest owner in Great Lakes Pulp &amp; Fiber, Inc.</t>
  </si>
  <si>
    <t>+1 (770) 415-1215</t>
  </si>
  <si>
    <t>parena@i2telecom.com</t>
  </si>
  <si>
    <t>Roswell</t>
  </si>
  <si>
    <t>Roswell, GA</t>
  </si>
  <si>
    <t>5070 Old Ellis Pointe</t>
  </si>
  <si>
    <t>30076</t>
  </si>
  <si>
    <t>Parallax Health Sciences (Former)</t>
  </si>
  <si>
    <t>86989-60P</t>
  </si>
  <si>
    <t>Pramod Reddy</t>
  </si>
  <si>
    <t>Pramod</t>
  </si>
  <si>
    <t>Mr. Pramod Reddy is the Founder &amp; serves as General Partner at Shadow Ventures. Mr. Reddy serves as Advisor at Amenify. He serves as Advisor at Ecobot. He was the Co-Founder and served as partner at The Combine. He served as a Board Member at Codesign. He serves as Board Member &amp; Advisor at Kairos. He also served as the Executive Chairman and Interim Chief Executive Officer at InfoTyccon. He founded Ampirix, where he serves as the Managing Partner, Senior Analyst, and General Partner. He is a Board Member at Hummingbird Kinetics. He also served as Board Member at Konstru. Besides. He is an author, serial entrepreneur, speaker, and thought leader with over 20 years of experience in advanced technology and disruptive innovation. He is a globally recognized expert on advanced technologies, including Building Information Modeling (BIM), Collaborative Communication, Artificial Intelligence, Semantics Database, Mobile Applications, and Cloud computing. In 2012, he published his book BIM for Building Owners and Developers. He is a graduate of the Georgia Institute of Technology with a Bachelor of Science degree in Civil Engineering. He holds Master's.</t>
  </si>
  <si>
    <t>kp@shadow.vc</t>
  </si>
  <si>
    <t>275686-03P</t>
  </si>
  <si>
    <t>Anar Bayramov</t>
  </si>
  <si>
    <t>Anar</t>
  </si>
  <si>
    <t>Bayramov</t>
  </si>
  <si>
    <t>Mr. Anar Bayramov serves as Group Appraisal Manager at Shell. Mr. Bayramov joined Investor Relations team in 2019 and is based in The Hague. He started his career in audit and corporate finance advisory in 2007 and joined Shell in 2013 as group reporting analyst. He later held roles of finance advisor for wells and chemicals credit risk advisor for Europe and Africa. Anar holds MSc Finance degree from Tilburg University and is currently studying towards his CFA qualification.</t>
  </si>
  <si>
    <t>+31 (0)70 377 9111</t>
  </si>
  <si>
    <t>anar.bayramov@shell.com</t>
  </si>
  <si>
    <t>The Hague</t>
  </si>
  <si>
    <t>The Hague, Netherlands</t>
  </si>
  <si>
    <t>Post Office box 162</t>
  </si>
  <si>
    <t>2501 AN</t>
  </si>
  <si>
    <t>Group Appraisal Manager</t>
  </si>
  <si>
    <t>275685-40P</t>
  </si>
  <si>
    <t>Andreas Bork</t>
  </si>
  <si>
    <t>Bork</t>
  </si>
  <si>
    <t>Mr. Andreas Bork serves as Vice President Investor Relations, ESG at Shell. Mr. Bork joined the Investor Relations team as Senior Investor Relations Officer in June 2019. He works on our Environment, Social and Governance (ESG) programme, which is a focus area of significant and growing importance for Shell, as well as our environmentally and socially responsible Investors. Andreas joined Shell in 1999 and he has since then held various Finance and Commercial roles including Finance in the Business, Finance in Projects, Controller, Treasurer and M&amp;A. He has worked in Exploration, Projects and Assets across the world in Upstream, Midstream and Downstream. He lived over 10 years in Qatar as part of building a new heartland for Shell. His previous role was Finance Manager for Pearl GTL in Qatar. Andreas holds 2 master degrees in finance and economics.</t>
  </si>
  <si>
    <t>andreas.bork@shell.com</t>
  </si>
  <si>
    <t>Vice President Investor Relations, ESG</t>
  </si>
  <si>
    <t>76232-80P</t>
  </si>
  <si>
    <t>Andrew Mackenzie Ph.D</t>
  </si>
  <si>
    <t>Dr. Andrew Mackenzie serves as Chairman of the Board &amp; Chairman of Nomination &amp; Succession Committee at Shell. Prior to joining Shell, Dr. Mackenzie was CEO of BHP from 2013 to 2019 after joining BHP in 2008. As BHP CEO, he simplified and strengthened the business, and made it the first miner to pledge to tackle emissions caused when customers use its products. From 2004 to 2007, he held various executive positions at Rio Tinto, including Head of Industrial Minerals and Diamonds. Prior to this, Sir Andrew spent 22 years with bp, during which he worked across most business streams and functions - principally in exploration and production, and petrochemicals - and held senior and executive positions, including as Chief Reservoir Engineer and Chief Technology Officer. From 2005 to 2013, Sir Andrew served as a Non-executive Director of Centrica. He has also served on many not-for-profit boards, including public policy think tanks in the UK and Australia.</t>
  </si>
  <si>
    <t>+44 (0)20 7934 1234</t>
  </si>
  <si>
    <t>Shell Centre</t>
  </si>
  <si>
    <t>SE1 7NA</t>
  </si>
  <si>
    <t>BHP Group (Former)</t>
  </si>
  <si>
    <t>90983-44P</t>
  </si>
  <si>
    <t>Bart van Harssel Ph.D</t>
  </si>
  <si>
    <t>van Harssel</t>
  </si>
  <si>
    <t>Dr. Bart van Harssel serves as Country Finance Director Qatar &amp; Chief Financial Officer Qatar at Shell. Dr. van Harssel earned his Doctorate in International Business from Maastricht University in 2004 and his MBA in Finance and General from Indiana University in 2003. He also earned a degree in Register Controller from VU University Amsterdam in 2008 and a degree from Mill-Hill College. Additionally, he holds a Ph.D.</t>
  </si>
  <si>
    <t>bart.vanharssel@shell.com</t>
  </si>
  <si>
    <t>Country Finance Director Qatar &amp; Chief Financial Officer Qatar</t>
  </si>
  <si>
    <t>141489-19P</t>
  </si>
  <si>
    <t>Bernard Bos</t>
  </si>
  <si>
    <t>Bos</t>
  </si>
  <si>
    <t>Mr. Bernard Bos serves as Senior Vice President of Investment Appraisal and Assurance at Shell.</t>
  </si>
  <si>
    <t>bernard.bos@shell.com</t>
  </si>
  <si>
    <t>Senior Vice President of Investment Appraisal and Assurance</t>
  </si>
  <si>
    <t>90969-04P</t>
  </si>
  <si>
    <t>Bernardo Franco</t>
  </si>
  <si>
    <t>Bernardo</t>
  </si>
  <si>
    <t>Mr. Bernardo Franco serves as Chief Financial Officer US Chemicals &amp; Products (Refining) at Shell. Mr. Franco earned his MBA in Finance from London Business School and his BAS in Industrial Engineering from the Georgia Institute of Technology.</t>
  </si>
  <si>
    <t>bernardo.franco@shell.com</t>
  </si>
  <si>
    <t>Chief Financial Officer US Chemicals &amp; Products (Refining)</t>
  </si>
  <si>
    <t>90962-56P</t>
  </si>
  <si>
    <t>Brent Lefaive</t>
  </si>
  <si>
    <t>Lefaive</t>
  </si>
  <si>
    <t>Mr. Brent Lefaive serves as Senior LNG Trader at Shell. Mr. Lefaive was the Corporate Mergers &amp; Acquisitions Economist, Upstream New Business Development at Royal Dutch Shell. Previously, he served as Financial Modeling Consultant, M&amp;A and Commercial Finance at Shell.</t>
  </si>
  <si>
    <t>brent.lefaive@shell.com</t>
  </si>
  <si>
    <t>Senior LNG Trader</t>
  </si>
  <si>
    <t>90977-05P</t>
  </si>
  <si>
    <t>C.J. Akwaeze</t>
  </si>
  <si>
    <t>C.J.</t>
  </si>
  <si>
    <t>Akwaeze</t>
  </si>
  <si>
    <t>Mr. C.J. Akwaeze serves as Finance Director, The Shell Petroleum Development Company of Nigeria at Shell. He served as Senior Manager, Mergers and Acquisitions and Commercial Finance at Shell. He also serves as Director at Frategists.</t>
  </si>
  <si>
    <t>cj.akwaeze@shell.com</t>
  </si>
  <si>
    <t>Finance Director, The Shell Petroleum Development Company of Nigeria</t>
  </si>
  <si>
    <t>442643-77P</t>
  </si>
  <si>
    <t>Cederic Cremers</t>
  </si>
  <si>
    <t>Cederic</t>
  </si>
  <si>
    <t>Cremers</t>
  </si>
  <si>
    <t>Mr. Cederic Cremers serves as President, Integrated Gas &amp; Member of Executive Committee at Shell. Cederic was appointed Executive Vice President, Liquefied Natural Gas in August 2021. He joined Shell's Retail business in 2002 and has held a variety of finance and commercial roles across Shell upstream and downstream businesses, including General Manager, Shell Chemicals Europe; Vice President, Commercial and New Business Development, Asia; and Executive Vice President and Country Chair, Russia.</t>
  </si>
  <si>
    <t>President, Integrated Gas &amp; Member of Executive Committee</t>
  </si>
  <si>
    <t>449694-91P</t>
  </si>
  <si>
    <t>Christopher Conrad</t>
  </si>
  <si>
    <t>Mr. Christopher Conrad serves as Head of Corporate Strategy at Shell. Mr. Conrad earned his BS in Chemical Engineering from Michigan State University. He also earned his MBA in Finance from the University of Houston.</t>
  </si>
  <si>
    <t>christopher.conrad@shell.com</t>
  </si>
  <si>
    <t>Head of Corporate Strategy</t>
  </si>
  <si>
    <t>275686-66P</t>
  </si>
  <si>
    <t>Danielle Collins</t>
  </si>
  <si>
    <t>Ms. Danielle Collins serves as Senior Investor Relations Officer at Shell. Ms. Collins joined the Investor Relations team in September 2018. Since joining Shell in 2006, she has held a variety of Finance positions in business planning, performance management, controlling and general finance management. Danielle holds a Bachelor of Commerce and Bachelor of Arts degrees as well as being a Certified Professional Accountant. Danielle is Canadian but currently lives in Houston, Texas where the North America Investor Relations team resides.</t>
  </si>
  <si>
    <t>danielle.collins@shell.com</t>
  </si>
  <si>
    <t>Senior Investor Relations Officer</t>
  </si>
  <si>
    <t>433242-82P</t>
  </si>
  <si>
    <t>Dave Brown</t>
  </si>
  <si>
    <t>Mr. Dave Brown serves as Senior Program Manager, Mergers and Acquisitions at Shell.</t>
  </si>
  <si>
    <t>dave.brown@shell.com</t>
  </si>
  <si>
    <t>Senior Program Manager, Mergers and Acquisitions</t>
  </si>
  <si>
    <t>178347-61P</t>
  </si>
  <si>
    <t>David Deline</t>
  </si>
  <si>
    <t>Deline</t>
  </si>
  <si>
    <t>Mr. David Deline serves as Gulf of Mexico Abandonment Manager at Shell. Mr. Deline served as Completions &amp; Technology Effectiveness Team Lead, Canada at Royal Dutch Shell.</t>
  </si>
  <si>
    <t>david.deline@shell.com</t>
  </si>
  <si>
    <t>Gulf of Mexico Abandonment Manager</t>
  </si>
  <si>
    <t>34511-68P</t>
  </si>
  <si>
    <t>David Jacober</t>
  </si>
  <si>
    <t>Jacober</t>
  </si>
  <si>
    <t>Mr. David Jacober serves as Business Opportunity Manager, Shell Oil Products US at Shell. Mr. Jacober leads the development and implementation of large, strategic capital projects for process safety, growth, and energy conservation across Shell's global Downstream Manufacturing assets. Mr. Jacober has over 30 years of refining experience with Shell Oil Company and holds a BS in Chemical Engineering from the University of Illinois.</t>
  </si>
  <si>
    <t>david.jacober@shell.com</t>
  </si>
  <si>
    <t>Business Opportunity Manager, Shell Oil Products US</t>
  </si>
  <si>
    <t>91026-55P</t>
  </si>
  <si>
    <t>David Rowley</t>
  </si>
  <si>
    <t>Rowley</t>
  </si>
  <si>
    <t>Mr. David Rowley serves as Senior Director of Financial Planning &amp; Analysis - Global Gas, Power &amp; Environmental Products Trading at Shell. Mr. Rowley earned his degree in Geography from the University of Bristol in 2006.</t>
  </si>
  <si>
    <t>david.rowley@shell.com</t>
  </si>
  <si>
    <t>Senior Director of Financial Planning &amp; Analysis - Global Gas, Power &amp; Environmental Products Trading</t>
  </si>
  <si>
    <t>178357-69P</t>
  </si>
  <si>
    <t>Dipak Patki</t>
  </si>
  <si>
    <t>Dipak</t>
  </si>
  <si>
    <t>Patki</t>
  </si>
  <si>
    <t>Mr. Dipak Patki serves as Inst and Control Head Shared Resources North Field Ex Project Shell Qatar, Qatar Energy and Process Automation, Control &amp; Optimization, Technical Authority 1 at Shell. Mr. Patki has a master's degree in Electrical Engineering from the University of Western Ontario. He gained 26 years of Industry experience by working in various positions in the Petrochemical, Chemical, Refinery &amp; Oil Sands industries. Prior to joining Shell, he worked internationally in China, Indonesia, the USA, and India. presently he supports Shell Unconventional, Trading &amp; Supply Business in the Americas and Lubricant business worldwide. He also leads the digitalization workstream within Shell and holds the cyber security technical authority 1 position. He holds a Master's in Electrical Engineering from the University of Western Ontario.</t>
  </si>
  <si>
    <t>dipak.patki@shell.com</t>
  </si>
  <si>
    <t>Inst and Control Head Shared Resources North Field Ex Project Shell Qatar, Qatar Energy and Process Automation, Control &amp; Optimization, Technical Authority 1</t>
  </si>
  <si>
    <t>321605-02P</t>
  </si>
  <si>
    <t>Divyesh Desai</t>
  </si>
  <si>
    <t>Divyesh</t>
  </si>
  <si>
    <t>Mr. Divyesh Desai serves as RNG Business Development Head - Asia, Low Carbon Solutions at Shell. Mr. Desai serves as Board Member at Punjab Renewable Energy Systems. He has 25 years of experience in the Oil and Gas industry. He is currently leading the new fuels business development in Asia.</t>
  </si>
  <si>
    <t>divyesh.desai@shell.com</t>
  </si>
  <si>
    <t>RNG Business Development Head - Asia, Low Carbon Solutions</t>
  </si>
  <si>
    <t>275685-22P</t>
  </si>
  <si>
    <t>Edzard van Loon</t>
  </si>
  <si>
    <t>van Loon</t>
  </si>
  <si>
    <t>Mr. Edzard van Loon serves as Senior Investor Relation Officer at Shell. Mr. van Loon joined the Investor Relations team as Senior Investor Relations Officer in December 2020. He started his career in private equity where he worked for 3 years and subsequently joined Shell in 2002 where he worked in the Investor Relations team from 2003 until 2006. After this he held various positions in commercial finance, business finance and planning in The Hague, Nigeria and Oman. Before joining the Investor Relations team end of 2020 he was seconded to PDO in Oman where he was Head of Opex finance. Edzard originally graduated as a Civil Engineer, has a Dutch Registered Controller qualification and is also a Charted Management Accountant.</t>
  </si>
  <si>
    <t>edzard.loon@shell.com</t>
  </si>
  <si>
    <t>Senior Investor Relation Officer</t>
  </si>
  <si>
    <t>90972-73P</t>
  </si>
  <si>
    <t>Egbert de Weert</t>
  </si>
  <si>
    <t>Egbert</t>
  </si>
  <si>
    <t>de Weert</t>
  </si>
  <si>
    <t>Mr. Egbert de Weert serves as Deal Lead and Team Lead EMEA, Mergers and Acquisitions and Deal Execution at Shell.</t>
  </si>
  <si>
    <t>egbert.deweert@shell.com</t>
  </si>
  <si>
    <t>Deal Lead and Team Lead EMEA, Mergers and Acquisitions and Deal Execution</t>
  </si>
  <si>
    <t>245492-56P</t>
  </si>
  <si>
    <t>Eva Wan</t>
  </si>
  <si>
    <t>Ms. Eva Wan serves as Head of Aviation Digital Strategy at Shell. Ms. Wan earned his degree in Economics and Econometrics from Monash University.</t>
  </si>
  <si>
    <t>eva.wan@shell.com</t>
  </si>
  <si>
    <t>Head of Aviation Digital Strategy</t>
  </si>
  <si>
    <t>90957-34P</t>
  </si>
  <si>
    <t>Frank Lemmink</t>
  </si>
  <si>
    <t>Lemmink</t>
  </si>
  <si>
    <t>Mr. Frank Lemmink serves as Executive Vice President Integrated Gas and Upstream at Shell. Mr. Lemmink served as Board Member, Shell Pension at Royal Dutch Shell. Also, he is Shareholder of Petroleum Development Oman. He holds an MBA in Finance and Economics from the University of Rochester, an MBA in Finance and Economics from Nyenrode Business University, and an MS in Economics from Erasmus University Rotterdam.</t>
  </si>
  <si>
    <t>frank.lemmink@shell.com</t>
  </si>
  <si>
    <t>Executive Vice President Integrated Gas and Upstream</t>
  </si>
  <si>
    <t>90973-90P</t>
  </si>
  <si>
    <t>Ivan Wong</t>
  </si>
  <si>
    <t>Mr. Ivan Wong serves as Project Director, Acquisitions, Divestment &amp; Joint Venture at Shell.</t>
  </si>
  <si>
    <t>ivan.wong@shell.com</t>
  </si>
  <si>
    <t>Project Director, Acquisitions, Divestment &amp; Joint Venture</t>
  </si>
  <si>
    <t>308023-93P</t>
  </si>
  <si>
    <t>Izabela Jamka</t>
  </si>
  <si>
    <t>Izabela</t>
  </si>
  <si>
    <t>Jamka</t>
  </si>
  <si>
    <t>Ms. Izabela Jamka serves as General Manager, Marketing and Sustainability - Commercial Road Transport at Shell. Ms. Jamka holds an MS in Economics from Uniwersytet Ekonomiczny Poznaniu (2006) and a degree from ESCP Business School (2005).</t>
  </si>
  <si>
    <t>izabela.jamka@shell.com</t>
  </si>
  <si>
    <t>General Manager, Marketing and Sustainability - Commercial Road Transport</t>
  </si>
  <si>
    <t>339400-63P</t>
  </si>
  <si>
    <t>Jan-Hein Loves</t>
  </si>
  <si>
    <t>Jan-Hein</t>
  </si>
  <si>
    <t>Loves</t>
  </si>
  <si>
    <t>Mr. Jan-Hein Loves serves as Manager of Alternative Investments at Shell. Mr. Loves holds a degree in Finance and Investment from Erasmus University Rotterdam.</t>
  </si>
  <si>
    <t>jan.heinloves@shell.com</t>
  </si>
  <si>
    <t>Manager of Alternative Investments</t>
  </si>
  <si>
    <t>310775-50P</t>
  </si>
  <si>
    <t>Jason Wong</t>
  </si>
  <si>
    <t>Mr. Jason Wong serves as Executive Chairman at Shell China.</t>
  </si>
  <si>
    <t>+86 (0)10 6529 6616</t>
  </si>
  <si>
    <t>Floor 30, Block B, China World Building, No. 1 Jianguomenwai Street, Chaoyang District</t>
  </si>
  <si>
    <t>+86 (0)10 6529 6666</t>
  </si>
  <si>
    <t>Shell China</t>
  </si>
  <si>
    <t>145350-01P</t>
  </si>
  <si>
    <t>Jeffrey Cheung</t>
  </si>
  <si>
    <t>Cheung</t>
  </si>
  <si>
    <t>Mr. Jeffrey Cheung serves as Investment Manager - Renewable Energy (Solar, Storage, Offshore Wind, RNG, EV) at Shell. Mr. Cheung earned his MS in Business Administration and Management from Imperial College London and his BS (Honors) in Economics from the University of Bath.</t>
  </si>
  <si>
    <t>jeffrey.cheung@shell.com</t>
  </si>
  <si>
    <t>Investment Manager - Renewable Energy (Solar, Storage, Offshore Wind, RNG, EV)</t>
  </si>
  <si>
    <t>320349-25P</t>
  </si>
  <si>
    <t>Jonathan McCloy</t>
  </si>
  <si>
    <t>McCloy</t>
  </si>
  <si>
    <t>Mr. Jonathan McCloy serves as General Manager Gas, Shell Energy Europe at Shell.</t>
  </si>
  <si>
    <t>jonathan.mccloy@shell.com</t>
  </si>
  <si>
    <t>General Manager Gas, Shell Energy Europe</t>
  </si>
  <si>
    <t>157493-98P</t>
  </si>
  <si>
    <t>Justin Stroud</t>
  </si>
  <si>
    <t>Mr. Justin Stroud serves as Portfolio Development Lead at Shell.</t>
  </si>
  <si>
    <t>justin.stroud@shell.com</t>
  </si>
  <si>
    <t>Portfolio Development Lead</t>
  </si>
  <si>
    <t>90975-34P</t>
  </si>
  <si>
    <t>Katie Cottingim</t>
  </si>
  <si>
    <t>Cottingim</t>
  </si>
  <si>
    <t>Ms. Katie Cottingim serves as Vice President of Finance Exploration, Development and Shales at Shell.</t>
  </si>
  <si>
    <t>katie.cottingim@shell.com</t>
  </si>
  <si>
    <t>Vice President of Finance Exploration, Development and Shales</t>
  </si>
  <si>
    <t>297620-38P</t>
  </si>
  <si>
    <t>Kelly Manning</t>
  </si>
  <si>
    <t>Manning</t>
  </si>
  <si>
    <t>Ms. Kelly Manning serves as Senior Investor Relation Officer at Shell. Since joining Shell in 2006, Ms. Manning has held a variety of Finance positions in business planning, performance management, controlling and general finance management. She holds a Bachelor of Commerce and Bachelor of Arts degrees as well as being a Certified Professional Accountant. He holds a BS in Finance from Florida State University, Tallahassee.</t>
  </si>
  <si>
    <t>+1 (713) 767-5300</t>
  </si>
  <si>
    <t>kelly.manning@shell.com</t>
  </si>
  <si>
    <t>1000 Main, 12th Floor</t>
  </si>
  <si>
    <t>159582-97P</t>
  </si>
  <si>
    <t>Kevin Ouyang</t>
  </si>
  <si>
    <t>Ouyang</t>
  </si>
  <si>
    <t>Mr. Kevin Ouyang serves as Manager Group Strategic Risk Assurance &amp; Advisory at Shell. Mr. Ouyang holds an MBA from INSEAD, a Bachelor's (Honors) in Management and Accounting from the University of Western Ontario, and an additional degree from INSEAD.</t>
  </si>
  <si>
    <t>kevin.ouyang@shell.com</t>
  </si>
  <si>
    <t>Manager Group Strategic Risk Assurance &amp; Advisory</t>
  </si>
  <si>
    <t>74963-62P</t>
  </si>
  <si>
    <t>Krug Fenz</t>
  </si>
  <si>
    <t>Fenz</t>
  </si>
  <si>
    <t>Mr. Krug Fenz serves as Manager of Mergers &amp; Acquisitions at Shell. Mr. Fenz holds a BS in Economics and a BA in International Relations with honors from the University of California. He went on to receive an MS in International Relations from Georgetown University with additional post graduate studies in economics and law.</t>
  </si>
  <si>
    <t>krug.frenz@shell.com</t>
  </si>
  <si>
    <t>Manager of Mergers &amp; Acquisitions</t>
  </si>
  <si>
    <t>90961-21P</t>
  </si>
  <si>
    <t>Kuo Tong Soo</t>
  </si>
  <si>
    <t>Tong Soo</t>
  </si>
  <si>
    <t>Mr. Kuo Tong Soo serves as Corporate M&amp;A Lead at Shell. Mr. Tong Soo earned his MS in Economics from the University of Oxford in 2003 and his BS in Economics from University College London in 2002. He also earned his MBA from INSEAD.</t>
  </si>
  <si>
    <t>kuo.soo@shell.com</t>
  </si>
  <si>
    <t>Corporate M&amp;A Lead</t>
  </si>
  <si>
    <t>318866-86P</t>
  </si>
  <si>
    <t>Leonora Jansen</t>
  </si>
  <si>
    <t>Leonora</t>
  </si>
  <si>
    <t>Ms. Leonora Jansen serves as Investor Relations Analyst at Shell. Ms. Jansen joined the Investor Relations team in May 2022 as an Investor Relations Analyst based in The Hague. Since joining Shell in 2018, she has held roles in Projects &amp; Technology, Integrated Gas and Chemicals &amp; Products and has worked in Rijswijk, Krakow and Moerdijk. She holds a BSc in International Business Administration and an MSc in Finance and Investments from the Rotterdam School of Management, Erasmus University.</t>
  </si>
  <si>
    <t>leonora.jansen@shell.com</t>
  </si>
  <si>
    <t>Investor Relations Analyst</t>
  </si>
  <si>
    <t>127296-64P</t>
  </si>
  <si>
    <t>Lonneke Hombergen</t>
  </si>
  <si>
    <t>Lonneke</t>
  </si>
  <si>
    <t>Hombergen</t>
  </si>
  <si>
    <t>Ms. Lonneke Hombergen serves as Senior Legal Counsel at Shell.</t>
  </si>
  <si>
    <t>lonneke.hombergen@shell.com</t>
  </si>
  <si>
    <t>Senior Legal Counsel</t>
  </si>
  <si>
    <t>90962-38P</t>
  </si>
  <si>
    <t>Loran Andresen</t>
  </si>
  <si>
    <t>Loran</t>
  </si>
  <si>
    <t>Andresen</t>
  </si>
  <si>
    <t>Ms. Loran Andresen serves as Cost &amp; Performance Lead, P&amp;T Wells Technology at Shell. Ms. Andresen served as Head of Operations, Shell TechWorks at Royal Dutch Shell. She is an accomplished Finance professional with 20+ years of experiences in international Upstream businesses including US joint ventures, Deepwater, Unconventionals, Exploration, Integrated Gas, R&amp;D projects, M&amp;A and Commercial Finance. She recently completed her role in M&amp;A and returned from The Hague in August 2015. Her competencies include a full suite of finance and accounting capabilities with key strengths in Business Partnering, Group Accounting &amp; Reporting, Financial Controls, and Cost Management / Commercial Finance. Loran graduated from University of Houston with Bachelor in Accountancy and Master of Business Administration, concentration in Management Information Systems. She is a Certified Public Accountant (CPA) and Chartered Global Management Accountant (CGMA). Loran is also an active member of the AICPA (American Institute of Certified Public Accountants) and MSCPA (Massachusetts Society of Certified Public Accountants).</t>
  </si>
  <si>
    <t>loran.fuandresen@shell.com</t>
  </si>
  <si>
    <t>Cost &amp; Performance Lead, P&amp;T Wells Technology</t>
  </si>
  <si>
    <t>297618-40P</t>
  </si>
  <si>
    <t>Maarten Tiemstra</t>
  </si>
  <si>
    <t>Tiemstra</t>
  </si>
  <si>
    <t>Mr. Maarten Tiemstra serves as Finance Director - Low Carbon Fuels and Oil Products Trading Europe at Shell. Mr. Tiemstra joined the Investor Relations team as a Senior Investor Relations Officer in December 2021. Since he joined Shell in 2012, he has held various roles in P&amp;T, Chemicals and Products, and Mobility based in the Netherlands, Singapore, and the Philippines. Before joining Shell, he worked for a London-based private equity fund for about 4 years. He holds a Bachelor's Degree in International Economics and Business from the University of Groningen, a Master's Degree in Business Administration from VU University Amsterdam, and has a Dutch Registered Controller qualification.</t>
  </si>
  <si>
    <t>maarten.tiemstra@shell.com</t>
  </si>
  <si>
    <t>Finance Director - Low Carbon Fuels and Oil Products Trading Europe</t>
  </si>
  <si>
    <t>275684-59P</t>
  </si>
  <si>
    <t>Mano Sundaram Ph.D</t>
  </si>
  <si>
    <t>Sundaram</t>
  </si>
  <si>
    <t>Dr. Mano Sundaram serves as Senior Vice President, Finance Conventional Oil &amp; Gas (CFO of COG LOB) at Shell. Dr. Sundaram joined the Investor Relations team as Vice President of Europe in February 2019. Since he joined Shell in 2006, he has held various roles in Treasury, M&amp;A, Upstream and Trading across the world, including London, Houston, Dubai and Kazakhstan. Before joining Shell, he worked for British Telecom in London for about 6 years in various treasury roles, and prior to that worked in finance roles in a private metals trading company based in St. Petersburg, Russia. Mano read electrical engineering in Russia with further MBA and Ph.D. qualifications in finance from Imperial College London, UK.</t>
  </si>
  <si>
    <t>mano.sundaram@shell.com</t>
  </si>
  <si>
    <t>Senior Vice President, Finance Conventional Oil &amp; Gas (CFO of COG LOB)</t>
  </si>
  <si>
    <t>381642-40P</t>
  </si>
  <si>
    <t>Marianne Scholtens</t>
  </si>
  <si>
    <t>Scholtens</t>
  </si>
  <si>
    <t>Ms. Marianne Scholtens serves as Investor Relations Events Organizer at Shell. Ms. Scholtens joined Shell in 2016 as Executive Collaboration Lead at Executive IT support. Previous role as Problem manager at van Oord Rotterdam. Before that several it projects roles at Siemens, Rijkswaterstaat, Nike and Heineken.</t>
  </si>
  <si>
    <t>marianne.scholtens@shell.com</t>
  </si>
  <si>
    <t>Investor Relations Events Organizer</t>
  </si>
  <si>
    <t>318934-63P</t>
  </si>
  <si>
    <t>Mark Galperin</t>
  </si>
  <si>
    <t>Galperin</t>
  </si>
  <si>
    <t>Mr. Mark Galperin serves as Director of Corporate Development and Mergers &amp; Acquisition at Shell. Mr. Galperin earned his MBA in Finance and Energy from Rice University and his BBA in Finance from Pace University.</t>
  </si>
  <si>
    <t>mark.galperin@shell.com</t>
  </si>
  <si>
    <t>Director of Corporate Development and Mergers &amp; Acquisition</t>
  </si>
  <si>
    <t>90982-54P</t>
  </si>
  <si>
    <t>Maurits Van Den Boom</t>
  </si>
  <si>
    <t>Maurits</t>
  </si>
  <si>
    <t>Van Den Boom</t>
  </si>
  <si>
    <t>Mr. Maurits Boom serves as Vice President, Finance - Gas &amp; Power Trading Europe and Global Environmental Solutions at Shell. Mr. Boom was the Manager, Mergers &amp; Acquisitions and Commercial Finance at Royal Dutch Shell. Previously, he served as an Internal Auditor at Shell.</t>
  </si>
  <si>
    <t>maurits.vandenboom@shell.com</t>
  </si>
  <si>
    <t>Vice President, Finance - Gas &amp; Power Trading Europe and Global Environmental Solutions</t>
  </si>
  <si>
    <t>381642-85P</t>
  </si>
  <si>
    <t>Michael Augusto</t>
  </si>
  <si>
    <t>Mr. Michael Augusto serves as Senior Investor Relations Analyst at Shell. Mr. Augusto joined Shell in 2018 as the Upstream Planning &amp; Directorate Lead. Prior to Shell, he worked for Motorola Solutions and was an Officer in the Army. He holds a Master' Executive in Business Management from ISCTE, a Corporate Finance Post-Graduate from Kozminski University, and an MBA from St. Gallen Business School and Cracow School of Business.</t>
  </si>
  <si>
    <t>michael.augusto@shell.com</t>
  </si>
  <si>
    <t>Senior Investor Relations Analyst</t>
  </si>
  <si>
    <t>297617-05P</t>
  </si>
  <si>
    <t>Mikel Van Beek</t>
  </si>
  <si>
    <t>Mikel</t>
  </si>
  <si>
    <t>Van Beek</t>
  </si>
  <si>
    <t>Mr. Mikel Van Beek serves as Vice President of Investor Realtions Reporting &amp; Insights at Shell. Mr. Van Beek joined the Investor Relations team in Q4 2021 as the IR Manager. Since he joined Shell in 2000, he has held various roles in M&amp;A, Upstream Finance and Chemicals &amp; Products major project management across the world. This has resulted in postings in Houston, Beijing, Abu Dhabi, and The Hague. Before joining Shell, he worked for PwC in Rotterdam &amp; Windhoek. He graduated from the Erasmus Universiteit Rotterdam in Business Finance &amp; Economics.</t>
  </si>
  <si>
    <t>mikel.beek@shell.com</t>
  </si>
  <si>
    <t>Vice President of Investor Realtions Reporting &amp; Insights</t>
  </si>
  <si>
    <t>381643-21P</t>
  </si>
  <si>
    <t>Mohammed Hamid</t>
  </si>
  <si>
    <t>Mr. Mohammed Hamid serves as Executive Vice President of Investor Relations &amp; Strategic Planning at Shell. Mr. Hamid has experience across the energy value chain through roles in Downstream, Trading and Upstream in multiple locations. Most recently, he served as Business Advisor to the CFO. He brings a strong focus on capital allocation and shareholder primacy, leveraging his experience as an investment principal outside of Shell. He holds a BSc in Computer Science, an MBA and a CIMA.</t>
  </si>
  <si>
    <t>mohammed.hamid@shell.com</t>
  </si>
  <si>
    <t>Executive Vice President of Investor Relations &amp; Strategic Planning</t>
  </si>
  <si>
    <t>381644-02P</t>
  </si>
  <si>
    <t>Morgan Roll</t>
  </si>
  <si>
    <t>Mr. Morgan Roll serves as Executive, Mergers &amp; Acquisitions and Deal Delivery at Shell.</t>
  </si>
  <si>
    <t>morgan.roll@shell.com</t>
  </si>
  <si>
    <t>Executive, Mergers &amp; Acquisitions and Deal Delivery</t>
  </si>
  <si>
    <t>90959-68P</t>
  </si>
  <si>
    <t>Nihara Guruge</t>
  </si>
  <si>
    <t>Nihara</t>
  </si>
  <si>
    <t>Guruge</t>
  </si>
  <si>
    <t>Ms. Nihara Guruge serves as Commercial Manager of Hydrogen &amp; Renewables at Shell. Ms. Guruge holds a BBA in Finance from the National University of Singapore (2009).</t>
  </si>
  <si>
    <t>nihara.guruge@shell.com</t>
  </si>
  <si>
    <t>Commercial Manager of Hydrogen &amp; Renewables</t>
  </si>
  <si>
    <t>90973-18P</t>
  </si>
  <si>
    <t>Norbert Roelofs</t>
  </si>
  <si>
    <t>Roelofs</t>
  </si>
  <si>
    <t>Mr. Norbert Roelofs serves as Strategic Transformation NL Upstream Business Opportunity Manager at Shell. Mr. Roelofs earned his MBA from London Business School in 2006 and also earned an MBA from Columbia University in the same year. He holds a Doctorandus degree in Finance and Economics from Vrije Universiteit Amsterdam, completed in 1997.</t>
  </si>
  <si>
    <t>norbert.roelofs@shell.com</t>
  </si>
  <si>
    <t>Strategic Transformation NL Upstream Business Opportunity Manager</t>
  </si>
  <si>
    <t>328546-63P</t>
  </si>
  <si>
    <t>Óscar Fernández</t>
  </si>
  <si>
    <t>Óscar</t>
  </si>
  <si>
    <t>Fernández</t>
  </si>
  <si>
    <t>Mr. Óscar Fernández serves as President of Shell Spain at Shell. Mr. Fernández has been carrying out his professional work at Shell España SA since 2008. During his career in the company he has held various positions of national and international responsibility in the Downstream area. Currently he is the director of the Basic Oils Business for Europe, the Middle East and Africa, a responsibility that he will combine with the position of president of Shell España SA. Óscar Fernández is an industrial engineer and has an MBA from the IESE Business School. He began his professional career at Danone France, later working at the CERN Particle Physics Laboratory in Switzerland and later at Moinsa, a company belonging to the El Corte Inglés Group.</t>
  </si>
  <si>
    <t>oscar.fernandez@shell.com</t>
  </si>
  <si>
    <t>President of Shell Spain</t>
  </si>
  <si>
    <t>442876-87P</t>
  </si>
  <si>
    <t>Oswald Clint Ph.D</t>
  </si>
  <si>
    <t>Oswald</t>
  </si>
  <si>
    <t>Dr. Oswald Clint serves as Vice President, Investor Relations &amp; Market Engagements at Shell. Dr. Clint is a seasoned global energy equity analyst with experience evaluating implications of global energy market dynamics and corporate strategies on equity valuations and offering expert advice to global institutional investors. Before his two decades at AB Bernstein, he worked as a Chartered accountant and consultant for KPMG. He also worked as a post-doctoral Research Fellow following his PhD in Geophysics at the University College London.</t>
  </si>
  <si>
    <t>oswald.clint@shell.com</t>
  </si>
  <si>
    <t>Vice President, Investor Relations &amp; Market Engagements</t>
  </si>
  <si>
    <t>381641-50P</t>
  </si>
  <si>
    <t>Pedro Rumayor</t>
  </si>
  <si>
    <t>Rumayor</t>
  </si>
  <si>
    <t>Mr. Pedro Rumayor serves as Senior Investor Relations Officer ESG at Shell. Since joining Shell as a graduate in 2011, Mr. Rumayor has held various Finance roles across Shell's businesses and specialized roles in M&amp;A and Commercial Finance. Prior to Shell, he worked in a consultancy firm providing geoscience services for the O&amp;G industry. He holds a master's degree in international management/CEMS from the Rotterdam School of Management and a bachelor's degree in business administration.</t>
  </si>
  <si>
    <t>pedro.rumayor@shell.com</t>
  </si>
  <si>
    <t>Senior Investor Relations Officer ESG</t>
  </si>
  <si>
    <t>448622-29P</t>
  </si>
  <si>
    <t>Peter Costello</t>
  </si>
  <si>
    <t>Mr. Peter Costello serves as President at Shell. Mr. Costello was appointed Executive Vice President, Conventional Oil and Gas in November 2021 after serving as Senior Vice President of that same business. Peter joined Shell in 2016 as Vice President, Nigeria and Gabon following the company's combination with BG Group, where he held geographically diverse senior roles across Downstream, Midstream, and Upstream, including President and Country Head, Kazakhstan.</t>
  </si>
  <si>
    <t>442875-34P</t>
  </si>
  <si>
    <t>Philippa Bounds</t>
  </si>
  <si>
    <t>Philippa</t>
  </si>
  <si>
    <t>Bounds</t>
  </si>
  <si>
    <t>Ms. Philippa Bounds serves as Chief Legal Officer &amp; Member of the Executive Committee at Shell. Ms. Bounds was previously General Counsel for Trading and Supply, based in London. She joined Shell in 2005 after a decade of working at English and American law firms, specializing in structured finance. She has held legal roles across Shell's businesses, including Senior Legal Counsel in Gas and Power and in Corporate. She has also held several advisory roles, including special adviser to the EU Commission's Director General of Internal Markets on securities laws. She has represented Shell on a committee that worked with the UK government on the introduction of the Companies Act 2006.</t>
  </si>
  <si>
    <t>philippa.bounds@shell.com</t>
  </si>
  <si>
    <t>Chief Legal Officer &amp; Member of the Executive Committee</t>
  </si>
  <si>
    <t>318880-63P</t>
  </si>
  <si>
    <t>Priscilla Elsen</t>
  </si>
  <si>
    <t>Elsen</t>
  </si>
  <si>
    <t>Ms. Priscilla Elsen serves as Senior Investor Relations Event Organizer at Shell. Ms. Elsen joined Investor Relations in December 2019. She is responsible for organizing shareholder engagements with Shell Management. She joined Shell in 2006 and has held various Personal Assistant roles in Upstream and Integrated Gas in Shell. Prior to Shell, she worked as a Notary assistant and managed her own restaurant.</t>
  </si>
  <si>
    <t>priscilla.elsen@shell.com</t>
  </si>
  <si>
    <t>Senior Investor Relations Event Organizer</t>
  </si>
  <si>
    <t>381644-65P</t>
  </si>
  <si>
    <t>Rachel Smith</t>
  </si>
  <si>
    <t>Ms. Rachel Smith serves as Associate, Mergers &amp; Acquisitions - New Business Development at Shell.</t>
  </si>
  <si>
    <t>rachel.smith@shell.com</t>
  </si>
  <si>
    <t>Associate, Mergers &amp; Acquisitions - New Business Development</t>
  </si>
  <si>
    <t>390668-32P</t>
  </si>
  <si>
    <t>Rachel Solway</t>
  </si>
  <si>
    <t>Solway</t>
  </si>
  <si>
    <t>Ms. Rachel Solway serves as Chief Human Resources and Corporate Officer and Member of Executive Committee at Shell. Ms. Solway joined Shell in 1995 in Upstream in Aberdeen, Scotland. She has since held HR roles in manufacturing, LPG, lubricants and chemicals. In 2016, Rachel was appointed Executive Vice President HR Integrated Gas. She became the Executive Vice President HR Upstream in 2020 before being appointed interim Executive Vice President HR Organisation Development &amp; Learning in May 2023.</t>
  </si>
  <si>
    <t>rachel.solway@shell.com</t>
  </si>
  <si>
    <t>Chief Human Resources and Corporate Officer and Member of Executive Committee</t>
  </si>
  <si>
    <t>318871-54P</t>
  </si>
  <si>
    <t>Roshni Tibrewala</t>
  </si>
  <si>
    <t>Tibrewala</t>
  </si>
  <si>
    <t>Ms. Roshni Tibrewala serves as Competitive Intelligence Lead - Low Carbon Solutions at Shell. Ms. Tibrewala joined the Investor Relations team in August 2021. She is based in Bengaluru, India. Roshni joined Shell in April 2019 as a Financial Modeller supporting Shell Global Businesses. Prior to Shell, she worked with CRISIL Global Research &amp; Analytics as an Equity Research Analyst, covering the media sector in U.S and Europe. She started her career with Acuity Knowledge Partners in the Investment Banking team. She earned his PGDM in Finance and General from IFMR Graduate School of Business - Krea University in 2013. He also earned his BS in Information Systems Management from M.O.P. Vaishnav College for Women - India.</t>
  </si>
  <si>
    <t>roshni.tibrewala@shell.com</t>
  </si>
  <si>
    <t>Competitive Intelligence Lead - Low Carbon Solutions</t>
  </si>
  <si>
    <t>90958-15P</t>
  </si>
  <si>
    <t>Rozimi Rahman</t>
  </si>
  <si>
    <t>Rozimi</t>
  </si>
  <si>
    <t>Mr. Rozimi Rahman serves as Head of Corporate Mergers &amp; Acquisitions at Shell. Mr. Rahman earned his MS in Finance from Durham University in 2000 and his BA in Economics from Durham University in 1999. He also earned his degree from Kolej Tuanku Ja'afar</t>
  </si>
  <si>
    <t>rozimi.rahman@shell.com</t>
  </si>
  <si>
    <t>Head of Corporate Mergers &amp; Acquisitions</t>
  </si>
  <si>
    <t>318876-49P</t>
  </si>
  <si>
    <t>Sanchay Maity</t>
  </si>
  <si>
    <t>Sanchay</t>
  </si>
  <si>
    <t>Maity</t>
  </si>
  <si>
    <t>Mr. Sanchay Maity serves as Senior Advisor, Group Strategy, Portfolio &amp; Finance at Shell. Mr. Maity joined the Investor Relations team in April 2022. He started his career in Shell in the Corporate Holdings and Treasury team in Chennai. Prior to joining Shell, he worked in the Utility industry across diverse profiles in finance. He is a qualified Chartered Accountant (ACA) and Cost Accountant (ACMA). He also has an MBA from the Indian School of Business (ISB) with a major in Finance and Strategy.</t>
  </si>
  <si>
    <t>sanchay.maity@shell.com</t>
  </si>
  <si>
    <t>Senior Advisor, Group Strategy, Portfolio &amp; Finance</t>
  </si>
  <si>
    <t>318878-92P</t>
  </si>
  <si>
    <t>Sarath Sontam</t>
  </si>
  <si>
    <t>Sarath</t>
  </si>
  <si>
    <t>Sontam</t>
  </si>
  <si>
    <t>Mr. Sarath Sontam serves as Senior Advisor - Group Strategy, Portfolio &amp; Finance at Shell. Mr. Sontam joined the Investor Relations team in September 2022 and is based in Bengaluru, India. In his previous role at Shell, he worked as an Economics Advisor for Shell's retail business. Outside of Shell, Sarath has worked as a Senior Equity Research Associate at a global, buy-side investment management firm, and in his most recent job, he has worked in Strategy and M&amp;A roles at a US-headquartered Software conglomerate. Sarath is a Chartered Accountant and has done his MBA from the Indian Institute of Management, Calcutta.</t>
  </si>
  <si>
    <t>sarath.sontam@shell.com</t>
  </si>
  <si>
    <t>Senior Advisor - Group Strategy, Portfolio &amp; Finance</t>
  </si>
  <si>
    <t>296863-66P</t>
  </si>
  <si>
    <t>Sinead Gorman</t>
  </si>
  <si>
    <t>Gorman</t>
  </si>
  <si>
    <t>Ms. Sinead Gorman serves as Chief Financial Officer, Member of the Executive Committee &amp; Board Member at Shell. She also serves as Chief Financial Officer at Shell International Pension Fund. She has held various key leadership roles in Finance across the Shell value chain. She started her career in Trading, working in STASCO and the Coral Energy Joint Venture, based in Calgary and Houston. She worked in Mergers &amp; Acquisitions and Treasury based in The Netherlands. In recent years, She has held the position of Executive Vice President of Finance for Projects &amp; Technology, Integrated Gas &amp; New Energies, and is currently the EVP of Finance for Upstream. She, a British national, holds an MEng in Engineering, Economics, and Management from the University of Oxford, and an MSc in Finance from the London Business School.</t>
  </si>
  <si>
    <t>+31 70 377 2309</t>
  </si>
  <si>
    <t>sinead.gorman@shell.com</t>
  </si>
  <si>
    <t>Chief Financial Officer, Member of the Executive Committee &amp; Board Member</t>
  </si>
  <si>
    <t>343641-70P</t>
  </si>
  <si>
    <t>Steven Oprea</t>
  </si>
  <si>
    <t>Oprea</t>
  </si>
  <si>
    <t>Mr. Steven Oprea serves as Manager, Stakeholder Engagement, Corporate Relations at Shell. Mr. Oprea holds a BA in French from Michigan State University.</t>
  </si>
  <si>
    <t>soprea@shell.com</t>
  </si>
  <si>
    <t>Manager, Stakeholder Engagement, Corporate Relations</t>
  </si>
  <si>
    <t>90981-19P</t>
  </si>
  <si>
    <t>Steven Zijlstra</t>
  </si>
  <si>
    <t>Zijlstra</t>
  </si>
  <si>
    <t>Mr. Steven Zijlstra serves as Finance Manager Europe Renewable Power Generation at Shell. Mr. Zijlstra earned his MS in Economics from the University of Groningen. He also earned his degree in Liberal Arts from DePauw University.</t>
  </si>
  <si>
    <t>steven.zijlstra@shell.com</t>
  </si>
  <si>
    <t>Finance Manager Europe Renewable Power Generation</t>
  </si>
  <si>
    <t>90978-13P</t>
  </si>
  <si>
    <t>Sue Bridges</t>
  </si>
  <si>
    <t>Ms. Sue Bridges serves as Senior Manager of Mergers &amp; Acquisitions and Commercial Finance at Shell.</t>
  </si>
  <si>
    <t>sue.bridges@shell.com</t>
  </si>
  <si>
    <t>Senior Manager of Mergers &amp; Acquisitions and Commercial Finance</t>
  </si>
  <si>
    <t>203549-50P</t>
  </si>
  <si>
    <t>Thijs Arlman</t>
  </si>
  <si>
    <t>Arlman</t>
  </si>
  <si>
    <t>Mr. Thijs Arlman serves as Head of Plastics Circularity at Shell. Mr. Arlman earned his Master of Science in Physics from University of Twente.</t>
  </si>
  <si>
    <t>thijs.arlman@shell.com</t>
  </si>
  <si>
    <t>Head of Plastics Circularity</t>
  </si>
  <si>
    <t>351855-82P</t>
  </si>
  <si>
    <t>Thomas Summers</t>
  </si>
  <si>
    <t>Mr. Thomas Summers serves as Senior Vice President Shell LNG Marketing &amp; Trading at Shell.</t>
  </si>
  <si>
    <t>thomas.summers@shell.com</t>
  </si>
  <si>
    <t>Senior Vice President Shell LNG Marketing &amp; Trading</t>
  </si>
  <si>
    <t>318862-09P</t>
  </si>
  <si>
    <t>Timo Horcher</t>
  </si>
  <si>
    <t>Horcher</t>
  </si>
  <si>
    <t>Mr. Timo Horcher serves as General Manager Value Assurance Downstream &amp; Renewables at Shell. Mr. Horcher joined the team as Senior Investor Relations Officer in January 2018. Since joining Shell in 2002, he has held a variety of finance positions in business planning, performance management &amp; analysis and general finance management. More recently he coordinated the separation of the Motiva joint venture in the US. He has been based in Hamburg, Houston and The Hague. Mr. Timo holds degrees in Business Administration from the European School of Business, Reutlingen and Northwestern University, Boston.</t>
  </si>
  <si>
    <t>timo.horcher@shell.com</t>
  </si>
  <si>
    <t>General Manager Value Assurance Downstream &amp; Renewables</t>
  </si>
  <si>
    <t>297619-57P</t>
  </si>
  <si>
    <t>Tom O'Bannon</t>
  </si>
  <si>
    <t>O'Bannon</t>
  </si>
  <si>
    <t>Mr. Tom O'Bannon serves as Vice President, Investor Relations - Americas at Shell. In addition to holding relationships with investors across the Americas, Mr. O'Bannon is the accountable VP for the Upstream pillar. He has been with Shell for 22 years in various Finance and Commercial roles. He has an extensive background as a finance professional in Shell's Upstream and Integrated Gas businesses with specialized roles in Treasury, Tax and M&amp;A practices. Most recently, he worked in the Hague leading finance for the development portfolio in Integrated Gas. Before joining Shell, he worked in strategy and business development for Reliant Energy.</t>
  </si>
  <si>
    <t>tom.obannon@shell.com</t>
  </si>
  <si>
    <t>Vice President, Investor Relations - Americas</t>
  </si>
  <si>
    <t>275687-02P</t>
  </si>
  <si>
    <t>Tonyau Sellers</t>
  </si>
  <si>
    <t>Tonyau</t>
  </si>
  <si>
    <t>Sellers</t>
  </si>
  <si>
    <t>Ms. Tonyau Sellers serves as Investor Relations Coordinator at Shell. Ms. Sellers has been with Shell for 26 years in various roles. She has worked as an Executive Assistant/Project Coordinator in numerous assignments within Shell including the US Country Chair's office supporting EC members and Shell Oil Company activities. Tonyau also served in Social Investment as a Project Coordinator organizing volunteer projects such as Beach Clean-up, Bike Around the Bay and Shell Eco-Marathon. In her previous assignment she supported the MLP and Pipeline Finance, Tonyau contributed to the SHLX IPO, various Investor Roadshows and tours, as well as support to SHLX Board members and committee meetings.</t>
  </si>
  <si>
    <t>tonyau.sellers@shell.com</t>
  </si>
  <si>
    <t>349475-14P</t>
  </si>
  <si>
    <t>Ugo Mosca</t>
  </si>
  <si>
    <t>Mosca</t>
  </si>
  <si>
    <t>Mr. Ugo Mosca serves as Manager M&amp;A and New Business Development at Shell.</t>
  </si>
  <si>
    <t>ugo.mosca@shell.com</t>
  </si>
  <si>
    <t>Manager M&amp;A and New Business Development</t>
  </si>
  <si>
    <t>285376-06P</t>
  </si>
  <si>
    <t>Wael Sawan</t>
  </si>
  <si>
    <t>Wael</t>
  </si>
  <si>
    <t>Sawan</t>
  </si>
  <si>
    <t>Mr. Wael Sawan serves as Chief Executive Officer, Board Member and Member of Executive Committee at Shell. Mr. Sawan was previously Director, of Integrated Gas, Renewables, and Energy Solutions. He has been a member of the Executive Committee (EC) since 2019 when he was appointed Upstream Director. Wael joined Shell in 1997 and has worked in each of Shell's core business units: Upstream, Integrated Gas, and Downstream. In his time with Shell, he has served in critical roles including Vice President for Commercial, New Business, and LNG in Qatar, Managing Director and Chairman of the Qatar Shell companies, and Executive Vice President of Shell's Deep Water business. Wael was born in Lebanon and grew up in the United Arab Emirates and Canada. He holds a master's degree in engineering from McGill University in Montreal and an MBA from Harvard Business School. He lives in the UK, is married to Nicole and they have three sons.</t>
  </si>
  <si>
    <t>wael.sawan@shell.com</t>
  </si>
  <si>
    <t>Chief Executive Officer, Board Member and Member of Executive Committee</t>
  </si>
  <si>
    <t>297319-15P</t>
  </si>
  <si>
    <t>Yesim Jonsson</t>
  </si>
  <si>
    <t>Yesim</t>
  </si>
  <si>
    <t>Jonsson</t>
  </si>
  <si>
    <t>Ms. Yesim Jonsson serves as Commercial Partnership Manager, GameChanger &amp; GCxN Program Manager at Shell.</t>
  </si>
  <si>
    <t>yesim.jonsson@shell.com</t>
  </si>
  <si>
    <t>Commercial Partnership Manager, GameChanger &amp; GCxN Program Manager</t>
  </si>
  <si>
    <t>422484-94P</t>
  </si>
  <si>
    <t>Zoë Yujnovich</t>
  </si>
  <si>
    <t>Zoë</t>
  </si>
  <si>
    <t>Yujnovich</t>
  </si>
  <si>
    <t>Ms. Zoë Yujnovich serves as Integrated Gas and Upstream Director at Shell. Ms. Yujnovich has held various management positions in Downstream, Integrated Gas and Upstream. She served as Executive Vice President Conventional Oil &amp; Gas and was previously Chair and Executive Vice President Shell Australia Pty Ltd. She joined Shell from Rio Tinto in 2014 to lead Shell's Oil Sands business in Canada.</t>
  </si>
  <si>
    <t>zoe.yujnovich@shell.com</t>
  </si>
  <si>
    <t>Integrated Gas and Upstream Director</t>
  </si>
  <si>
    <t>203893-30P</t>
  </si>
  <si>
    <t>Bo Liu</t>
  </si>
  <si>
    <t>Bo</t>
  </si>
  <si>
    <t>Shenzhen Capital Group</t>
  </si>
  <si>
    <t>Mr. Bo Liu serves as Vice President at Shenzhen Capital Group. Formerly he was the CFO of Shenzhen SED Electronics, in charge of audit, tax, and financial advisory at Tilly, CFO of Shenzhen SEG Group, and CFO of Shenzhen Energy Group.</t>
  </si>
  <si>
    <t>+86 (0)755 8291 2888</t>
  </si>
  <si>
    <t>bliu@szvc.com.cn</t>
  </si>
  <si>
    <t>Floor 52, Shenzhen Capital Group Plaza</t>
  </si>
  <si>
    <t>Number 1066 Haide 3rd Road, Nanshan District</t>
  </si>
  <si>
    <t>518054</t>
  </si>
  <si>
    <t>+86 (0)755 8291 2880</t>
  </si>
  <si>
    <t>248075-02P</t>
  </si>
  <si>
    <t>Ding Zuo</t>
  </si>
  <si>
    <t>Zuo</t>
  </si>
  <si>
    <t>Mr. Ding Zuo serves as President at Shenzhen Capital Group. Mr. Zuo joined Shenzhen Capital Group in June 2019 and is currently the Deputy Secretary of the Party Committee and the President of the Group. He worked for the China Securities Regulatory Commission since July 2000 and served as Deputy Director of the Overseas Listing Division and Director of the International Organization Division of the International Cooperation Department, Party Committee Member and Deputy Chief of the Seventh Division of the Inspection Corps, Party Committee Member and Deputy Commissioner of the Office of the Shenzhen Regulatory Commissioner,Party Committee Memberand Deputy Director of the Shenzhen Securities Regulatory Bureau. Mr. Zuohas extensive experience in securities market supervision.</t>
  </si>
  <si>
    <t>dzuo@szvc.com.cn</t>
  </si>
  <si>
    <t>334511-92P</t>
  </si>
  <si>
    <t>Hao YU</t>
  </si>
  <si>
    <t>Hao</t>
  </si>
  <si>
    <t>YU</t>
  </si>
  <si>
    <t>Ms. Hao YU serves as Financial Director at Shenzhen Capital Group. She joined Shenzhen Capital Group Co., Ltd. in May 2020. She was granted a master's degree in Accounting from the Chinese University of Hong Kong. She is a ChinaCertified Public Accountant (CICPA), a senior member of the Association of Chartered Certified Public Accountants (ACCA), and the director of the Global Council of ACCA. She used to be the General Manager of the Accounting Center of ShenzhenAgricultural Products Group Co., Ltd. and the Chairman of the Board of HyperionFinance, Director and Chief Financial Officer of Shenzhen Energy Group Co., Ltd. She has rich work experience in accounting, internal auditing, and controlling, as well as team management.</t>
  </si>
  <si>
    <t>Financial Director</t>
  </si>
  <si>
    <t>101842-03P</t>
  </si>
  <si>
    <t>Hua Zhang</t>
  </si>
  <si>
    <t>Mr. Hua Zhang serves as Deputy General Manager at Shenzhen Capital Group.</t>
  </si>
  <si>
    <t>hzhang@szvc.com.cn</t>
  </si>
  <si>
    <t>334509-22P</t>
  </si>
  <si>
    <t>Jian He</t>
  </si>
  <si>
    <t>Jian</t>
  </si>
  <si>
    <t>Mr. Jian He serves as Analyst at Shenzhen Capital Group.</t>
  </si>
  <si>
    <t>+8618026912731</t>
  </si>
  <si>
    <t>jhe@szvc.com.cn</t>
  </si>
  <si>
    <t>248074-03P</t>
  </si>
  <si>
    <t>Jian Zhang</t>
  </si>
  <si>
    <t>Mr. Jian Zhang serves as Vice President at Shenzhen Capital Group. Mr. Zhang joined Shenzhen Capital Group in June 2019 and is currently a member of the Party Committee and Vice President of the Group. He worked in Shenzhen Machinery Equipment Import and Export Corporation (with experience in the Nigerian representative office) and Shenzhen Yikang Medical Instrument Co., Ltd.; from February 2001 to June 2019, he worked in Shenzhen Agricultural Products Co., Ltd. as the Minister of Human Resource, Secretary of the Youth League Committee, Deputy General Manager, Party Committee Member, and the Chairman of a number of subsidiaries. Mr. Zhang has rich experience in investment and financing, as well as corporate management. He got an MBA from Huazhong University of Science and Technology and has the title of Economist.</t>
  </si>
  <si>
    <t>jzhang@szvc.com.cn</t>
  </si>
  <si>
    <t>203977-36P</t>
  </si>
  <si>
    <t>Jun Zhou</t>
  </si>
  <si>
    <t>Mr. Jun Zhou served as Executive Director at Shenzhen Capital Group.</t>
  </si>
  <si>
    <t>jzhou@szvc.com.cn</t>
  </si>
  <si>
    <t>203894-02P</t>
  </si>
  <si>
    <t>Shouyu Li</t>
  </si>
  <si>
    <t>Shouyu</t>
  </si>
  <si>
    <t>Mr. Shouyu Li serves as Vice President at Shenzhen Capital Group. Being one of the founding staff of SCGC, Mr. Li has rich experience in venture capital, investment banking, investment trust, financing guaranty and enterprise management. Mr. Li investment portfolio spans over 20 projects, among which 9 has completed a successful IPO and got listed on the Shanghai Stock Exchange or the Shenzhen Stock Exchange namely Do Fluoride Chemicals (002407.SZ), Zhengzhou Coal Mining Machinery Group (601717.SH), Haoxiangni (002582.SZ), Mingtai Aluminum (601677.SH), GL Tech (300480.SZ), Terca (002213.SZ), Han's Laser (002008.SZ) and Sinovatio (002912. SZ), while some others got listed on the NEEQ. In particular, he took the lead in SCGCs acquisition of Sinovatio, which got listed in November 2017 and became the first company listed on the SME Board of SZSE that is controlled by a venture capital firm.</t>
  </si>
  <si>
    <t>sli@szvc.com.cn</t>
  </si>
  <si>
    <t>184505-86P</t>
  </si>
  <si>
    <t>Yi Zhou</t>
  </si>
  <si>
    <t>Dr. Yi Zhouyi served as the General Manager at Shenzhen Capital Group.</t>
  </si>
  <si>
    <t>yzhou@szvc.com.cn</t>
  </si>
  <si>
    <t>221122-54P</t>
  </si>
  <si>
    <t>Zhidong Wang</t>
  </si>
  <si>
    <t>Zhidong</t>
  </si>
  <si>
    <t>Mr. Zhidong Wang is the Founder and serves as President &amp; Chairman at XNW.com. Mr. Wang served as Board Observer at Codasip. He serves as Executive at Shenzhen Capital Group.</t>
  </si>
  <si>
    <t>+86 (0)10 8215 8685</t>
  </si>
  <si>
    <t>zhidong@xnw.com</t>
  </si>
  <si>
    <t>Unit A701, 7/F, Building 8</t>
  </si>
  <si>
    <t>1 Zhongguancun East Avenue, Haidian District</t>
  </si>
  <si>
    <t>Founder, President &amp; Chairman</t>
  </si>
  <si>
    <t>XNW.com</t>
  </si>
  <si>
    <t>214937-11P</t>
  </si>
  <si>
    <t>Nicholas Billotti</t>
  </si>
  <si>
    <t>Billotti</t>
  </si>
  <si>
    <t>Shibumi International</t>
  </si>
  <si>
    <t>Mr. Nicholas Billotti serves as Managing Partner at Shibumi International. He serves as a Board Member at Skypull. He serves as Board Member &amp; Advisor at Hustro.</t>
  </si>
  <si>
    <t>+90 539 547 34 83</t>
  </si>
  <si>
    <t>nbillotti@shibumi-international.com</t>
  </si>
  <si>
    <t>Post Office Box 340505</t>
  </si>
  <si>
    <t>340505</t>
  </si>
  <si>
    <t>214938-19P</t>
  </si>
  <si>
    <t>Türkekul Doğan</t>
  </si>
  <si>
    <t>Türkekul</t>
  </si>
  <si>
    <t>Doğan</t>
  </si>
  <si>
    <t>Mr. Türkekul Doğan serves as Invesment Committee Member at Shibumi International.</t>
  </si>
  <si>
    <t>Invesment Committee Member</t>
  </si>
  <si>
    <t>404703-19P</t>
  </si>
  <si>
    <t>Jeff Ackel</t>
  </si>
  <si>
    <t>Ackel</t>
  </si>
  <si>
    <t>Sigma Thermal</t>
  </si>
  <si>
    <t>Mr. Jeff Ackel serves as Chief Executive Officer at Sigma Thermal.</t>
  </si>
  <si>
    <t>+1 (770) 427-5770</t>
  </si>
  <si>
    <t>jackel@sigmathermal.com</t>
  </si>
  <si>
    <t>4875 Deen Road</t>
  </si>
  <si>
    <t>+1 (678) 254-1762</t>
  </si>
  <si>
    <t>399380-05P</t>
  </si>
  <si>
    <t>Aaron Revzin</t>
  </si>
  <si>
    <t>Silicon Valley Bank</t>
  </si>
  <si>
    <t>Mr. Aaron Revzin serves as Senior Vice President at Silicon Valley Bank.</t>
  </si>
  <si>
    <t>+1 (408) 654-5500</t>
  </si>
  <si>
    <t>arevzin@svb.com</t>
  </si>
  <si>
    <t>2625 Augustine Drive</t>
  </si>
  <si>
    <t>42436-54P</t>
  </si>
  <si>
    <t>Adam Tweedy</t>
  </si>
  <si>
    <t>Tweedy</t>
  </si>
  <si>
    <t>Mr. Adam Tweedy serves as Senior Liquidity Advisor and Head of Life Science and Healthcare Investor Coverage at Silicon Valley Bank. He served as an Investment Consultant at SVB Capital. In an earlier role, Adam led SVB Private Equity Services, which provides banking services and debt financing for venture capital and private equity firms. Thanks to his deep understanding of the goals of these clients, Adam was instrumental in helping build this business unit from a small niche provider into a global practice and in leading SVB to become a premier partner to investors in the innovation economy. When Adam joined SVB in 2001, he brought significant experience in international business to the bank. As co-founder and chief financial officer for startup Trueque.com, Inc., which is an internet barter site for the Spanish- and Portuguese-speaking world, Adam directed operations and business development. Before his time with Trueque, Adam was a management consultant for Logistic and Distribution Systems in Warsaw, Poland, where he advised management on the sales, marketing, and operations departments for this Polish distributor of consumer-packaged goods. Adam began his banking career as a relationship manager at Fleet National Bank in its acquisition finance division. Adam holds a master's degree in business administration from the F.W. Olin Graduate School of Business at Babson College and a bachelor's degree in business administration from Washington &amp; Jefferson College.</t>
  </si>
  <si>
    <t>+1 (617) 630-4183</t>
  </si>
  <si>
    <t>atweedy@svb.com</t>
  </si>
  <si>
    <t>Senior Liquidity Advisor, Head of Life Science and Healthcare Investor Coverage</t>
  </si>
  <si>
    <t>360024-04P</t>
  </si>
  <si>
    <t>Alexis Sinclair</t>
  </si>
  <si>
    <t>Mr. Alexis Sinclair serves as a Chief Counsel - SVB Commercial at Silicon Valley Bank.</t>
  </si>
  <si>
    <t>asinclair@svb.com</t>
  </si>
  <si>
    <t>Chief Counsel - SVB Commercial</t>
  </si>
  <si>
    <t>366737-32P</t>
  </si>
  <si>
    <t>Ann Lucchesi</t>
  </si>
  <si>
    <t>Lucchesi</t>
  </si>
  <si>
    <t>Ms. Ann Lucchesi serves as Managing Director, SVB Access Private Banking &amp; Lending, Northern California at Silicon Valley Bank. She is an enterprise relationship manager at Silicon Valley Bank in San Francisco. She works within the commercial banking division, serving as a key contact between tech banking and the private bank, delivering educational programs and providing thought leadership. She's also a subject matter expert for all things related to private stock and equity compensation. In her current role, she's primarily focused on helping founders and executives of private companies plan across their entire balance sheets. In addition to her career at SVB, She is a certified financial planner and certified equity professional. She has also spent time working with companies on pre-IPO planning and post-IPO management. Throughout her career, Ann has enjoyed connecting clients with professionals who can help solve their financial planning issues and educating them on how best to achieve their financial goals. In short, she loves helping people understand their financial life. Sheholds bachelor's degrees in international business and finance from Oregon State University. She also has an MBA in finance from the Haas School of Business at University of California, Berkeley.</t>
  </si>
  <si>
    <t>alucchesi@svb.com</t>
  </si>
  <si>
    <t>Managing Director, SVB Access Private Banking &amp; Lending, Northern California</t>
  </si>
  <si>
    <t>415070-65P</t>
  </si>
  <si>
    <t>Anthony Flores</t>
  </si>
  <si>
    <t>Mr. Anthony Flores serves as a Credit Risk Manager and Head of Life Science &amp; Healthcare Credit at Silicon Valley Bank.</t>
  </si>
  <si>
    <t>a.flores@svb.com</t>
  </si>
  <si>
    <t>Credit Risk Manager and Head of Life Science &amp; Healthcare Credit</t>
  </si>
  <si>
    <t>367343-56P</t>
  </si>
  <si>
    <t>Ariana Ognibene</t>
  </si>
  <si>
    <t>Ariana</t>
  </si>
  <si>
    <t>Ognibene</t>
  </si>
  <si>
    <t>Ms. Ariana Ognibene serves as Senior Vice President of Corporate VC and Growth Equity Investor Coverage at Silicon Valley Bank. She is a vice president within the corporate relationship management group at SVB, based in San Diego. In this role, she focuses on fostering relationships with corporate development, investment, and innovation teams at the largest and most influential corporations in the Life Sciences and Healthcare ecosystem and helping these corporations and SVB clients maximize their success and achieve their unique goals. She originally joined Silicon Valley Bank in 2015. Her SVB career began in her hometown of Boston, where she focused on supporting venture-backed biotechnology and diagnostics companies in the Northeast. In 2018, she migrated to San Diego, where she supported and advised venture-backed medical device and health-tech companies in the Southwest US. She most recently transitioned to lead the life science and healthcare efforts for the corporate venture team in October of 2021. She is a member of Biocom's Medical Device Committee and previously worked with Springboard Enterprises, an organization that supports promising high-growth, woman-led companies. She holds a bachelor's degree in economics from the College of the Holy Cross in Worcester, Massachusetts. Her studies also included a semester at University College Dublin. She comes from a family of three sisters (she's the eldest) and two dogs, all of whom still live in the Boston area. An avid dancer for 15 years, she enjoys various genres of the art form. Her free time finds her running, hiking, and reading, as well as satisfying her deep love for Italian food.</t>
  </si>
  <si>
    <t>ao@svb.com</t>
  </si>
  <si>
    <t>Senior Vice President, Corporate VC and Growth Equity Investor Coverage</t>
  </si>
  <si>
    <t>367140-97P</t>
  </si>
  <si>
    <t>Ben Schor</t>
  </si>
  <si>
    <t>Schor</t>
  </si>
  <si>
    <t>Mr. Ben Schor serves as Vice President, Startup Banking at Silicon Valley Bank.</t>
  </si>
  <si>
    <t>bschor@svb.com</t>
  </si>
  <si>
    <t>Vice President, Startup Banking</t>
  </si>
  <si>
    <t>367225-39P</t>
  </si>
  <si>
    <t>Bill Sideris</t>
  </si>
  <si>
    <t>Sideris</t>
  </si>
  <si>
    <t>Dr. Bill Sideris serves as Director, Life Science and Healthcare at Silicon Valley Bank. He provides comprehensive financial products and services as well as flexible lending solutions to Northeast healthtech and medtech clients at every stage of development. Before this role, he was part of SVB Securities, performing valuations and advising Life Science and Healthcare clients on their M&amp;A strategy. Prior to joining SVB, Bill spent time as an R&amp;D Engineer, developing medical devices for ophthalmic and cardiovascular indications in both Fortune 500 and start-up organizations. Bill graduated with a professional doctorate degree in engineering from the Technical University of Delft and a master of science degree in biomedical engineering from the University of Houston.</t>
  </si>
  <si>
    <t>bsideris@svb.com</t>
  </si>
  <si>
    <t>Director, Life Science and Healthcare</t>
  </si>
  <si>
    <t>366397-21P</t>
  </si>
  <si>
    <t>Brendan Crawford</t>
  </si>
  <si>
    <t>Mr. Brendan Crawford serves as a Senior Vice President at Silicon Valley Bank.</t>
  </si>
  <si>
    <t>bcrawford@svb.com</t>
  </si>
  <si>
    <t>357435-46P</t>
  </si>
  <si>
    <t>Brian Foley</t>
  </si>
  <si>
    <t>Foley</t>
  </si>
  <si>
    <t>Mr. Brian Foley serves as Market Manager at Silicon Valley Bank. Previous to SVB, he spent seven years at Macquarie Group as a managing director in their Credit Markets Division. Prior to that, he was a director at Bank of America. He earned a Bachelor of Business Administration in Accounting from the University of Notre Dame. He also earned a Master of Business Administration in Financial Engineering from the MIT Sloan School of Management.</t>
  </si>
  <si>
    <t>bfoley@svb.com</t>
  </si>
  <si>
    <t>Market Manager</t>
  </si>
  <si>
    <t>384079-60P</t>
  </si>
  <si>
    <t>Britt Hultgren</t>
  </si>
  <si>
    <t>Britt</t>
  </si>
  <si>
    <t>Hultgren</t>
  </si>
  <si>
    <t>Ms. Britt Hultgren serves as Director at Silicon Valley Bank. Britt Hultgren, based in Boston, MA, US, is currently a Director at Silicon Valley Bank, bringing experience from previous roles at Boston Private, BNY Mellon, Bank of Boston and BayBank. Britt Hultgren holds a 2000 - 2004 MBA in Finance at Questrom School of Business, Boston University. With a robust skill set that includes Commercial Banking, Wealth Management, Hedge Funds, Securities, Fixed Income and more, Britt Hultgren contributes valuable insights to the industry.</t>
  </si>
  <si>
    <t>bhultgren@svb.com</t>
  </si>
  <si>
    <t>39368-08P</t>
  </si>
  <si>
    <t>Carrie Merritt</t>
  </si>
  <si>
    <t>Merritt</t>
  </si>
  <si>
    <t>Ms. Carrie Merritt serves as Head of Corporate Affairs at Silicon Valley Bank.</t>
  </si>
  <si>
    <t>+1 (503) 574-3705</t>
  </si>
  <si>
    <t>cmerritt@svb.com</t>
  </si>
  <si>
    <t>Head of Corporate Affairs</t>
  </si>
  <si>
    <t>356336-38P</t>
  </si>
  <si>
    <t>Christopher Morrison</t>
  </si>
  <si>
    <t>Mr. Christopher Morrison serves as Managing Director and Head of Boston Enterprise Software at Silicon Valley Bank.</t>
  </si>
  <si>
    <t>cmorrison@svb.com</t>
  </si>
  <si>
    <t>Managing Director &amp; Head of Boston Enterprise Software</t>
  </si>
  <si>
    <t>38992-60P</t>
  </si>
  <si>
    <t>Cindy Schatz</t>
  </si>
  <si>
    <t>Schatz</t>
  </si>
  <si>
    <t>Ms. Cindy Schatz serves as Corporate Banking Region Manager at Silicon Valley Bank. Ms. Cindy Schatz serves as Head of Credit Review at Silicon Valley Bank. Cindy Schatz served as senior credit officer for SVB in Denver. In this role, she oversees and manages the bank's portfolio in the technology sector, specifically in the areas of software, e-commerce, marketplace, and gaming. Though she's based in Colorado, she works with teams across the United States and Canada. Prior to taking on her current position, Cindy was the Head of Structured Products for the central United States. Cindy and her team focused on providing customers with creative working capital solutions. Earlier in her career, she also launched and oversaw SVB's Private Equity Services team helping venture capital and private equity firms with their capital needs. Cindy earned her bachelor's degree from the University of Colorado, Boulder, where she specialized in finance and entrepreneurship and competed on the women's tennis team; she also holds the Chartered Financial Analyst designation. Outside of her work for SVB, Cindy serves as an Advanced Industries Selection Committee Member for the State of Colorado. She is also a board member for the University of Colorado's Burridge Center, which supports programs and resources in investment and finance education. In her free time, Cindy enjoys spending time with her husband and two daughters while also trying to make it back onto the tennis court whenever she can.</t>
  </si>
  <si>
    <t>cschatz@svb.com</t>
  </si>
  <si>
    <t>Corporate Banking Region Manager</t>
  </si>
  <si>
    <t>104250-43P</t>
  </si>
  <si>
    <t>Dan Baldi</t>
  </si>
  <si>
    <t>Baldi</t>
  </si>
  <si>
    <t>Mr. Dan Baldi serves as the National Head of Climate Tech and Sustainability at Silicon Valley Bank. Mr. Dan Baldi serves as Market Manager - Climate Technology and Sustainability at Silicon Valley Bank. He manages numerous client relationships across the Bay Area and beyond. Dan and his team have primary responsibility for banking and lending activity to venture-backed cleantech companies. He is experienced in many aspects of early-stage and middle-market financing including growth capital lending, working capital lending, asset-based lending, EXIM finance, USDA lending, utility rebate finance, cash flow lending, international credit products, and trade finance. Before joining Silicon Valley Bank Dan spent four years in middle market banking at commercial banks. He also has experience in technology leasing focused on the early-stage technology market, partnering and syndication, and public and private accounting.</t>
  </si>
  <si>
    <t>+1 (415) 764-3106</t>
  </si>
  <si>
    <t>dbaldi@svb.com</t>
  </si>
  <si>
    <t>National Head of Climate Tech and Sustainability</t>
  </si>
  <si>
    <t>367226-20P</t>
  </si>
  <si>
    <t>Drew Pickul</t>
  </si>
  <si>
    <t>Pickul</t>
  </si>
  <si>
    <t>Mr. Drew Pickul serves as Director, Corp Banking Credit Solutions at Silicon Valley Bank.</t>
  </si>
  <si>
    <t>dpickul@svb.com</t>
  </si>
  <si>
    <t>Director, Corp Banking Credit Solutions</t>
  </si>
  <si>
    <t>42438-16P</t>
  </si>
  <si>
    <t>Gerald Brady</t>
  </si>
  <si>
    <t>Mr. Gerald Brady served as Managing Director at Silicon Valley Bank. Mr. Brady serves as Managing Director Silicon Valley Bank. He served as a Member of the Advisory Board at Bright Capital. Prior to joining SVB, he served as the director of investor relations for Siemens AG, where he was responsible for all aspects of investor communications in North America. Before that, he was an acquisition director in the Strategic Planning Group at Siemens Corporation and served as a managing director of Siemens Acceleration USA, which is the early-stage venture capital arm of Siemens. He has also worked at 3i in London and Palo Alto, where he was a director, investing in a number of technology businesses, including ActiveCard (ACTI), Bitfone (acquired by HP), Raw Communications (acquired by Thomson Financial), and Winery Exchange. Prior to his work in finance, he worked in the Internet and media industry, was part of the UK launch team for ZDNet in 1995, was a sales manager for Yahoo! UK when it launched in 1996, and was an executive at Ziff-Davis and EMAP Plc. He holds an honors degree from Kingston University, an MBA from Cranfield University, and is a Fellow of the Royal Society of Arts. He was chairman of the NVCA's Corporate Venture Group from 2006-2007.</t>
  </si>
  <si>
    <t>+1 (650) 855 3072</t>
  </si>
  <si>
    <t>gbrady@svb.com</t>
  </si>
  <si>
    <t>453821-23P</t>
  </si>
  <si>
    <t>Gustavo Rodezno</t>
  </si>
  <si>
    <t>Rodezno</t>
  </si>
  <si>
    <t>Mr. Gustavo Rodezno serves as Chief Executive Officer at Silicon Valley Bank.</t>
  </si>
  <si>
    <t>383973-49P</t>
  </si>
  <si>
    <t>Hector Gandhi</t>
  </si>
  <si>
    <t>Hector</t>
  </si>
  <si>
    <t>Mr. Hector Gandhi serves as Managing Director, RM Specialty Commercial Lending at Silicon Valley Bank.</t>
  </si>
  <si>
    <t>hgandhi@svb.com</t>
  </si>
  <si>
    <t>Managing Director, RM Specialty Commercial Lending</t>
  </si>
  <si>
    <t>367450-75P</t>
  </si>
  <si>
    <t>Jackie Spencer</t>
  </si>
  <si>
    <t>Ms. Jackie Spencer serves as Head of Life Science and Healthcare Relationship Management at Silicon Valley Bank. Jackie Spencer heads up the US relationship management team for Life Science and Healthcare accelerator and growth. Jackie and her team are focused on providing banking and financing solutions to innovative companies in the sector. Before taking on her current role, Jackie worked on SVB's strategic capital team, supporting the US, Canadian, and European Life Science and Healthcare markets, deploying large, syndicated, mezzanine, and convertible debt opportunities. Before that, she led the West Coast biotech, diagnostics, and research tools team providing banking services and debt-financing solutions to companies in those sectors from early-stage venture-backed enterprises to late-stage public companies. Her expertise includes calling on the networks she's built in her fifteen-plus years at SVB to make pivotal connections for her clients. Since joining SVB in 2007, Jackie worked in both technology and healthcare practices from emerging market to late-stage corporate finance. She started in the bank's technology practice area first as an associate and later as a vice president. For seven-plus years, she served enterprise and consumer application companies, providing resources and tools to help these entrepreneurs as they scale their businesses.</t>
  </si>
  <si>
    <t>jspencer@svb.com</t>
  </si>
  <si>
    <t>Head of Life Science &amp; Healthcare Relationship Management</t>
  </si>
  <si>
    <t>360025-75P</t>
  </si>
  <si>
    <t>Jake Bayliss</t>
  </si>
  <si>
    <t>Mr. Jake Bayliss serves as Director - Loan Capital Markets at Silicon Valley Bank.</t>
  </si>
  <si>
    <t>jbayliss@svb.com</t>
  </si>
  <si>
    <t>Director - Loan Capital Markets</t>
  </si>
  <si>
    <t>403257-43P</t>
  </si>
  <si>
    <t>James Lucas</t>
  </si>
  <si>
    <t>Mr. James Lucas serves as Managing Director with SVB's Sponsor Finance team at Silicon Valley Bank.</t>
  </si>
  <si>
    <t>james@svb.com</t>
  </si>
  <si>
    <t>Managing Director with SVB's Sponsor Finance team</t>
  </si>
  <si>
    <t>367214-86P</t>
  </si>
  <si>
    <t>Jesse Scott</t>
  </si>
  <si>
    <t>Mr. Jesse Scott serves as Principal Marketing Strategist at Silicon Valley Bank.</t>
  </si>
  <si>
    <t>jscott@svb.com</t>
  </si>
  <si>
    <t>Principal Marketing Strategist</t>
  </si>
  <si>
    <t>419705-65P</t>
  </si>
  <si>
    <t>John Benetti</t>
  </si>
  <si>
    <t>Benetti</t>
  </si>
  <si>
    <t>Mr. John Benetti serves as Managing Director at Silicon Valley Bank.</t>
  </si>
  <si>
    <t>john@svb.com</t>
  </si>
  <si>
    <t>356277-16P</t>
  </si>
  <si>
    <t>Jordy Samiljan</t>
  </si>
  <si>
    <t>Jordy</t>
  </si>
  <si>
    <t>Samiljan</t>
  </si>
  <si>
    <t>Mr. Jordy Samiljan serves as Managing Director at SVB Financial Group. Mr.Samiljan serves as Managing Director,I Leveraged Finance and Sponsor Coverage at Silicon Valley Bank.</t>
  </si>
  <si>
    <t>+1 (650) 567-6900</t>
  </si>
  <si>
    <t>jsamiljan@svb.com</t>
  </si>
  <si>
    <t>2100 Ross Avenue</t>
  </si>
  <si>
    <t>SVB Financial Group</t>
  </si>
  <si>
    <t>28192-60P</t>
  </si>
  <si>
    <t>Julie Betts</t>
  </si>
  <si>
    <t>Betts</t>
  </si>
  <si>
    <t>Ms. Julie Betts serves as Managing Director, Securities Strategic Advisory at SVB Financial Group. She serves as Managing Director, Life Science &amp; Healthcare at Silicon Valley Bank. Julie provides specialized banking services and debt-financing solutions, as well as advice on strategic growth, to life science companies across all sectors and life stages, from early-stage venture-backed enterprises to late-stage public companies. Before joining the commercial banking team, Julie spent several years leading SVB's Strategic Advisory effort, where she was responsible for managing client engagements and leading execution for advisory projects. Prior to joining SVB, Julie worked for 10 years at Greenhill &amp; Co LLC, a boutique investment bank, spending time in both their New York and London offices. While at Greenhill, Julie advised both public and private companies on M&amp;A and restructuring transactions. She managed both buy-side and sell-side processes, completed complex corporate valuations, conducted transaction negotiations and provided strategic advice. Julie has broad experience across a range of sectors, with a focus on healthcare. Before Greenhill, Julie also worked at Prudential Securities in the M&amp;A Group and at J.P. Morgan in the Syndicated Leveraged Finance Group.</t>
  </si>
  <si>
    <t>+1 (408) 654-7400</t>
  </si>
  <si>
    <t>jbetts@svb.com</t>
  </si>
  <si>
    <t>3003 Tasman Drive</t>
  </si>
  <si>
    <t>Managing Director, Securities Strategic Advisory</t>
  </si>
  <si>
    <t>367357-69P</t>
  </si>
  <si>
    <t>Katie Wilgus</t>
  </si>
  <si>
    <t>Wilgus</t>
  </si>
  <si>
    <t>Ms. Katie Wilgus serves as Client Marketing Senior Associate &amp; Sr. Sponsorship &amp; Communication Strategist at Silicon Valley Bank.</t>
  </si>
  <si>
    <t>kwilgus@svb.com</t>
  </si>
  <si>
    <t>Client Marketing Senior Associate &amp; Sr. Sponsorship &amp; Communication Strategist</t>
  </si>
  <si>
    <t>14365-99P</t>
  </si>
  <si>
    <t>Keith Cox</t>
  </si>
  <si>
    <t>Mr. Keith Cox serves as Head of Leveraged Finance and Sponsor Coverage at Silicon Valley Bank. Mr. Keith Cox serves as Partner, Credit at Parthenon Capital Partners.Keith Cox is head of leveraged finance and sponsor coverage for Silicon Valley Bank in Boston, Massachusetts. In this role, he is responsible for leading the bank's sponsor finance business, including origination, execution and portfolio management for clients in the life science and healthcare sector. Keith drives strategy and provides advisory services and lending product support to various SVB entities, including SVB Securities and SVB Asset Management. Keith is passionate about helping clients and colleagues reach their goals. He joined Silicon Valley Bank in 2021 as managing director, sponsor finance, before moving to his current role. Keith is a seasoned lending executive with more than 20 years of experience driving growth at a variety of banks and unregulated lenders, particularly in technology and healthcare verticals. He has led teams of all sizes to successfully achieve - and exceed - client and business goals. Keith credits strong poise and a team-first approach to assisting him reach business objectives throughout his career, which includes helping to direct the credit strategy for Parthenon Capital, a $2 billion private equity partnership. He held executive and senior level positions for SunTrust (now Truist), NewStar Financial and FleetBoston Financial. He also supported the US Navy Naval Sea Systems Command as a project engineer and mechanical engineer. Keith earned an MBA with a concentration in finance and operations from the Yale School of Management at Yale University, where he earned top distinctions in management of quality, negotiation and teambuilding. He holds a bachelor's degree in mechanical engineering, cum laude, from Tufts University.</t>
  </si>
  <si>
    <t>+1 (781) 686-7416</t>
  </si>
  <si>
    <t>kcox@svb.com</t>
  </si>
  <si>
    <t>Head of Leveraged Finance and Sponsor Coverage</t>
  </si>
  <si>
    <t>236672-92P</t>
  </si>
  <si>
    <t>Korey Haefner</t>
  </si>
  <si>
    <t>Korey</t>
  </si>
  <si>
    <t>Haefner</t>
  </si>
  <si>
    <t>Mr. Korey Haefner serves as a Vice President at Silicon Valley Bank. He served as Director of Finance and Administration at BioPlx.</t>
  </si>
  <si>
    <t>khaefner@svb.com</t>
  </si>
  <si>
    <t>366875-11P</t>
  </si>
  <si>
    <t>Laura Moriarty</t>
  </si>
  <si>
    <t>Moriarty</t>
  </si>
  <si>
    <t>Ms. Laura Moriarty serves as Director of Life Sciences and Healthcare at Silicon Valley Bank.</t>
  </si>
  <si>
    <t>lmoriarty@svb.com</t>
  </si>
  <si>
    <t>Director, Life Sciences &amp; Healthcare</t>
  </si>
  <si>
    <t>30745-45P</t>
  </si>
  <si>
    <t>Lisa Puleo</t>
  </si>
  <si>
    <t>Puleo</t>
  </si>
  <si>
    <t>Ms. Lisa Puleo serves as Director of Sales Origination at Silicon Valley Bank. She served as Executive, Equity Sales at Wells Fargo. Lisa Puleo leads Capital Advisors Group's Mid-Atlantic business development efforts with a focus on early- and late-stage companies, hedge funds and institutions of higher education. Lisa joined Capital Advisors Group in 2016 as Vice President and has over 18 years of experience in the financial services industry. Previously, Lisa held Institutional Equity Sales positions at Wells Fargo Securities and Bank of America Securities where she interacted with finance executives and public and private company executives in an effort to serve institutional portfolio managers and research analysts across all industries and market capitalizations. Additionally, Lisa spent part of her career in Corporate Finance where she concentrated on Initial Public Offerings and Mergers and Acquisitions in the technology vertical. Lisa has her Bachelor's Degree from Plymouth State University and holds her Series 7 and Series 63.</t>
  </si>
  <si>
    <t>lisa@svb.com</t>
  </si>
  <si>
    <t>Director of Sales Origination</t>
  </si>
  <si>
    <t>157451-05P</t>
  </si>
  <si>
    <t>Marc Neri</t>
  </si>
  <si>
    <t>Neri</t>
  </si>
  <si>
    <t>Mr. Marc Neri serves as Managing Director at Silicon Valley Bank.</t>
  </si>
  <si>
    <t>+1 (312) 704-9514</t>
  </si>
  <si>
    <t>mneri@svb.com</t>
  </si>
  <si>
    <t>222 West Adams Street</t>
  </si>
  <si>
    <t>+1 (312) 704-1530</t>
  </si>
  <si>
    <t>366475-51P</t>
  </si>
  <si>
    <t>Mr. Mark Davis serves as Senior Vice President at Silicon Valley Bank.</t>
  </si>
  <si>
    <t>mdavis@svb.com</t>
  </si>
  <si>
    <t>367229-98P</t>
  </si>
  <si>
    <t>Matt Peleti</t>
  </si>
  <si>
    <t>Peleti</t>
  </si>
  <si>
    <t>Mr. Matt Peleti serves as Vice President, Life Sciences at Silicon Valley Bank.</t>
  </si>
  <si>
    <t>mpeleti@svb.com</t>
  </si>
  <si>
    <t>Vice President, Life Sciences</t>
  </si>
  <si>
    <t>367118-29P</t>
  </si>
  <si>
    <t>Matthew Perry</t>
  </si>
  <si>
    <t>Mr. Matthew Perry serves as A Managing Director, Health Tech &amp; Medical Device at Silicon Valley Bank.</t>
  </si>
  <si>
    <t>mperry@svb.com</t>
  </si>
  <si>
    <t>Managing Director, Health Tech &amp; Medical Device</t>
  </si>
  <si>
    <t>238492-81P</t>
  </si>
  <si>
    <t>Milo Bissin</t>
  </si>
  <si>
    <t>Bissin</t>
  </si>
  <si>
    <t>Mr. Milo Bissin serves as Market Manager, Life Sciences at Silicon Valley Bank. He serves as Director - Life Sciences and Healthcare at Silicon Valley Bank.</t>
  </si>
  <si>
    <t>mbissin@svb.com</t>
  </si>
  <si>
    <t>Market Manager, Life Sciences</t>
  </si>
  <si>
    <t>178401-97P</t>
  </si>
  <si>
    <t>Nancy Langenstein</t>
  </si>
  <si>
    <t>Langenstein</t>
  </si>
  <si>
    <t>Ms. Nancy Langenstein serves as Strategic Marketing Managing Director at SVB Financial Group. She served as Director of Marketing at SigFig. Nancy is a catalyst for creative ideas and growth initiatives through fresh, strategic thinking, powerful storytelling, and advances in marketing technology. She has deep experience at top marketing agencies Digitas and MRM/McCann, where she led relationships with brands including Wells Fargo, BlackRock/iShares, Charles Schwab, Microsoft, and Intuit. Nancy has a BA in International Relations from Tufts University.</t>
  </si>
  <si>
    <t>nlangenstein@svb.com</t>
  </si>
  <si>
    <t>Strategic Marketing Managing Director</t>
  </si>
  <si>
    <t>366746-32P</t>
  </si>
  <si>
    <t>Nina Kandilian</t>
  </si>
  <si>
    <t>Kandilian</t>
  </si>
  <si>
    <t>Ms. Nina Kandilian serves as Senior Vice President, Healthcare &amp; Life Science Investor Coverage at Silicon Valley Bank. She manages relationships with traditional venture capital firms focused on healthcare and life sciences investments. Prior to her time at SVB, Nina led product marketing and strategy at digital health startup Orbita. Prior to Orbita, Nina led operations at the MassChallenge HealthTech startup accelerator program helping hundreds of digital health startups scale their companies through meaningful partnerships with corporations and the venture capital community. Nina started her career in various product and digital transformation roles at the Mass General Brigham Health System in Boston, MA. Nina received her MBA at Babson College and her Bachelor's degree from Suffolk University.</t>
  </si>
  <si>
    <t>nina@svb.com</t>
  </si>
  <si>
    <t>Senior Vice President, Healthcare &amp; Life Science Investor Coverage</t>
  </si>
  <si>
    <t>148826-71P</t>
  </si>
  <si>
    <t>Peter Freyer</t>
  </si>
  <si>
    <t>Mr. Peter Freyer serves as Managing Director of National Healthcare Sponsor Finance &amp; Life Sciences at Silicon Valley Bank. Mr. Freyer is a trusted ally to private equity firms, delivering the customized financing they need to successfully bid on healthcare enterprises. Peter's clients count on his specialized expertise to guide them through the unique challenges involved in investing in this dynamic sector. Having raised significant venture capital for his own startup company (Mediaconnex) early in his career, Peter delivers every service he provides with an entrepreneurial spirit. Peter has the unique experience of having previously been a client of the bank. Prior to joining SVB in 2010, Peter launched the sponsor finance healthcare group at Wells Fargo Foothill, growing the portfolio from $50 million to more than $600 million. His passion for healthcare took off in 2001 when he cofounded a contract research organization that steered drug and device companies through financing for clinical trial studies. Previously, at Capstone Advisory Group, he oversaw financial restructuring for several hospitals. He holds a bachelor's degree in finance from the University of Texas at Austin and a master's degree in business administration with a concentration in finance at the Marshall School of Business at USC.</t>
  </si>
  <si>
    <t>+1 (818) 382-2624</t>
  </si>
  <si>
    <t>pfreyer@svb.com</t>
  </si>
  <si>
    <t>Managing Director of National Healthcare Sponsor Finance &amp; Life Sciences</t>
  </si>
  <si>
    <t>366958-99P</t>
  </si>
  <si>
    <t>Raysa Bousleiman</t>
  </si>
  <si>
    <t>Raysa</t>
  </si>
  <si>
    <t>Bousleiman</t>
  </si>
  <si>
    <t>Ms. Raysa Bousleiman serves as Vice President, Venture Capital Relationship Management, Life Science and Healthcare at Silicon Valley Bank. She is a Healthcare Sales Strategy and Operations analyst at Silicon Valley Bank in San Francisco.</t>
  </si>
  <si>
    <t>rbousleiman@svb.com</t>
  </si>
  <si>
    <t>Vice President, Venture Capital Relationship Management, Life Science and Healthcare</t>
  </si>
  <si>
    <t>398956-96P</t>
  </si>
  <si>
    <t>Robert Sureck</t>
  </si>
  <si>
    <t>Sureck</t>
  </si>
  <si>
    <t>Mr. Robert Sureck serves as Senior Market Manager at Silicon Valley Bank.</t>
  </si>
  <si>
    <t>robert@svb.com</t>
  </si>
  <si>
    <t>Senior Market Manager</t>
  </si>
  <si>
    <t>366772-24P</t>
  </si>
  <si>
    <t>Sabrina Maharaj</t>
  </si>
  <si>
    <t>Maharaj</t>
  </si>
  <si>
    <t>Ms. Sabrina Maharaj serves as Head of Digital Go To Market Strategy at Silicon Valley Bank.</t>
  </si>
  <si>
    <t>smaharaj@svb.com</t>
  </si>
  <si>
    <t>Head of Digital Go To Market Strategy</t>
  </si>
  <si>
    <t>367363-72P</t>
  </si>
  <si>
    <t>Sam Subilia</t>
  </si>
  <si>
    <t>Subilia</t>
  </si>
  <si>
    <t>Mr. Sam Subilia serves as Market Manager, of East Coast Healthtech Credit at Silicon Valley Bank.</t>
  </si>
  <si>
    <t>ssubilia@svb.com</t>
  </si>
  <si>
    <t>Market Manager, East Coast Healthtech Credit</t>
  </si>
  <si>
    <t>115001-83P</t>
  </si>
  <si>
    <t>Samantha Colletti</t>
  </si>
  <si>
    <t>Colletti</t>
  </si>
  <si>
    <t>Ms. Samantha Colletti serves as Managing Director at SVB Financial Group. She also serves as Managing Director at Silicon Valley Bank. Previously, she served as a Senior Credit Analyst at Texas Security Bank.</t>
  </si>
  <si>
    <t>scolletti@svb.com</t>
  </si>
  <si>
    <t>152459-38P</t>
  </si>
  <si>
    <t>Scott McCarty</t>
  </si>
  <si>
    <t>Mr. Scott McCarty serves as Managing Director - Sales Origination at Silicon Valley Bank. He serves as Director at Silicon Valley Bank. Throughout his 12 years with Silicon Valley Bank, based in the Atlanta office, he has focused on providing specialized banking and lending services to the innovation economy, with a specific emphasis on expanding the Bank's healthcare practice. Previously, he was a sales executive for an emerging healthcare IT company. He graduated from the University of Georgia with a major in Finance from the Terry College of Business.</t>
  </si>
  <si>
    <t>+1 (404) 264-8337</t>
  </si>
  <si>
    <t>smccarty@svb.com</t>
  </si>
  <si>
    <t>Managing Director - Sales Origination</t>
  </si>
  <si>
    <t>384804-01P</t>
  </si>
  <si>
    <t>Sepehr Salimi</t>
  </si>
  <si>
    <t>Sepehr</t>
  </si>
  <si>
    <t>Salimi</t>
  </si>
  <si>
    <t>Mr. Sepehr Salimi serves as Vice President, Tech Banking at Silicon Valley Bank. Mr. Salimi served as Vice President, Innovation Banking Portfolio Manager at Cambridge Trust. Prior to his role at the Innovation Banking Group, Sep managed a $500 million middle market Commercial loan portfolio comprising of renewable energy, non-profit, and professional services. Sep joined Cambridge Trust in 2015 as an analyst, underwriting and analyzing commercial loans across all industries. Prior experience includes, Commercial Portfolio Manager, Cambridge Trust; Senior Credit Analyst, Cambridge Trust; Commercial Credit Analyst, Commerce Bank &amp; Trust; Office Manager, Santander; Bank Supervisor, TD Bank.</t>
  </si>
  <si>
    <t>ssalimi@svb.com</t>
  </si>
  <si>
    <t>Vice President, Tech Banking</t>
  </si>
  <si>
    <t>336610-27P</t>
  </si>
  <si>
    <t>Simon Keyes</t>
  </si>
  <si>
    <t>Keyes</t>
  </si>
  <si>
    <t>Mr. Simon Keyes serves as Director at Silicon Valley Bank.</t>
  </si>
  <si>
    <t>+1 (212) 821-8972</t>
  </si>
  <si>
    <t>skeyes@svb.com</t>
  </si>
  <si>
    <t>387 Park Avenue South</t>
  </si>
  <si>
    <t>Director &amp; Co-Head</t>
  </si>
  <si>
    <t>399380-23P</t>
  </si>
  <si>
    <t>Timothy Dawson</t>
  </si>
  <si>
    <t>Mr. Timothy Dawson serves as a Vice President at Silicon Valley Bank.</t>
  </si>
  <si>
    <t>tdawson@svb.com</t>
  </si>
  <si>
    <t>167288-23P</t>
  </si>
  <si>
    <t>Trefor Bacon</t>
  </si>
  <si>
    <t>Trefor</t>
  </si>
  <si>
    <t>Bacon</t>
  </si>
  <si>
    <t>Mr. Trefor Bacon serves as Managing Director at Silicon Valley Bank.</t>
  </si>
  <si>
    <t>371128-78P</t>
  </si>
  <si>
    <t>Wiktor Rozwalka</t>
  </si>
  <si>
    <t>Wiktor</t>
  </si>
  <si>
    <t>Rozwalka</t>
  </si>
  <si>
    <t>wrozwalka@svb.com</t>
  </si>
  <si>
    <t>Director, Capital Markets</t>
  </si>
  <si>
    <t>15616-63P</t>
  </si>
  <si>
    <t>Alan Kelley</t>
  </si>
  <si>
    <t>SJF Ventures</t>
  </si>
  <si>
    <t>Mr. Alan Kelley serves as Managing Director at SJF Ventures. He serves as Board Observer at LeadGenius. He serves as Board Member at Revalue Nature. He has led or co-led investments for SJF in Carrum Health, Cooks Venture, Easy Metrics, Elemeno Health, LeadGenius, MediaMath, MedPage Today, Preclick, Ryla Teleservices, ServiceChannel, Vital Farms, and Yieldbot. Prior to joining SJF Ventures, he worked primarily in investment management. He conceived, developed, and managed Trusco Capital Management's first Internet and technology mutual fund, which ranked in the top quintile of the Lipper Science and Technology Funds Universe. He received a B.A. in Public Policy from Duke University in 1991. He earned his M.B.A. from the Goizueta Business School's Evening Program at Emory University in 1999. He serves as Board Member at Elemeno Health.</t>
  </si>
  <si>
    <t>akelley@sjfventures.com</t>
  </si>
  <si>
    <t>1012 Torney Avenue</t>
  </si>
  <si>
    <t>Suite 152</t>
  </si>
  <si>
    <t>322957-45P</t>
  </si>
  <si>
    <t>Anna Rumer</t>
  </si>
  <si>
    <t>Rumer</t>
  </si>
  <si>
    <t>Ms. Anna Rumer serves as Associate, Portfolio Acceleration at SJF Ventures. Prior to joining SJF, She worked at the Gartner Research Board, a think tank focused on business and technology strategy, where she conducted in-depth research projects on topics including data ethics, machine learning, and digital transformation. She holds a bachelor's degree in Political Science and a master's degree in International Relations from the University of Chicago, both with a focus on climate policy. While at UChicago, she completed internships at JetBlue, a Shark Tank-featured startup called LuminAID, Time Magazine, and on Capitol Hill working for Senator Chris Murphy.</t>
  </si>
  <si>
    <t>+1 (917) 693-4858</t>
  </si>
  <si>
    <t>arumer@sjfventures.com</t>
  </si>
  <si>
    <t>80 Maiden Lane</t>
  </si>
  <si>
    <t>Suite 1501</t>
  </si>
  <si>
    <t>10038</t>
  </si>
  <si>
    <t>Associate, Portfolio Acceleration</t>
  </si>
  <si>
    <t>15617-08P</t>
  </si>
  <si>
    <t>Arrun Kapoor</t>
  </si>
  <si>
    <t>Arrun</t>
  </si>
  <si>
    <t>Mr. Arrun Kapoor serves as Managing Director at SJF Ventures. He also serves as Board Member at Elemeno Health. He has been involved as a Board Director or Observer of Elemeno Health, Rhithm, SchooLinks, Springboard, Catalant, Interplay Learning, Voxy, Portfolium, Civitas Learning, RaiseMe, think Through Learning, FieldView Solutions, ServiceChannel, Truist and Ayla Networks. He also served as Board Member at Jopwell. He leads the NYC EdLinks program, is a member of the Investment Board of the Social Venture Fund for The Tamer Center for Social Enterprise at Columbia Business School, and was on the Advisory Board for the University of Texas System, Institute for Transformational Learning. He was most recently with Bain &amp; Company in London and Delhi, where he launched the firm's internal green practice initiatives. He worked with Bain's private equity consulting practice and gained experience in a range of industries. Prior to Bain, he was an early employee and Manager with Eurasia Group, a successful political risk consulting business in New York and London. He holds a master's degree in International Political Economics from the London School of Economics and completed a BA from New York University with an economics and business focus.</t>
  </si>
  <si>
    <t>akapoor@sjfventures.com</t>
  </si>
  <si>
    <t>36642-52P</t>
  </si>
  <si>
    <t>Cody Nystrom</t>
  </si>
  <si>
    <t>Ms. Cody Nystrom serves as Managing Director at SJF Ventures. She serves as a Board Member and Board Observer at mPulse Mobile. She served as a Board Member at Vital Farms and mPulse. She served as an Investment Advisor at Virginia Venture Partners. She leads SJF's health and wellness investment practice. She currently represents SJF on the boards of Ellipsis Health (mental health machine learning platform), Take Command Health (health reimbursement software), Pierian (clinical genomics software), mPulse Mobile (mobile healthcare engagement platform), TemperPack (sustainable thermal packaging solutions), Solera Health (preventative and digital therapeutics health network), Validic (mobile health data platform), and Cecelia Health (clinician coaching for chronic conditions). She previously represented SJF on the boards of Versify Solutions, Community Energy and CleanScapes.</t>
  </si>
  <si>
    <t>+1 (919) 530-1177</t>
  </si>
  <si>
    <t>cnystrom@sjfventures.com</t>
  </si>
  <si>
    <t>200 North Mangum Street</t>
  </si>
  <si>
    <t>27701</t>
  </si>
  <si>
    <t>+1 (919) 530-1178</t>
  </si>
  <si>
    <t>55998-82P</t>
  </si>
  <si>
    <t>Daniel Geballe</t>
  </si>
  <si>
    <t>Geballe</t>
  </si>
  <si>
    <t>Mr. Daniel Geballe serves as Managing Director at SJF Ventures. Mr. Geballe served as Board Member at SeamlessDocs. He served as Board Member at ShipMonk. He serves as Board Member at Respondology. He has worked on SJF's investments in Carrum Health, City Innovate, Easy Metrics (Board Director), Jopwell, LeadGenius, Nextracker (acquired by FLEX), Portfolium (acquired by Instructure), SeamlessDocs (acquired by Kofile), Voltaiq, Waycare Technologies (acquired by Rekor Systems), and Yieldbot. Prior to SJF, He worked for DBL Investors as a summer associate, Corporation for Enterprise Development, and Fisher Investments. He has a Bachelor's Degree in anthropology and a Master's Degree in environmental management from Yale University and an MBA from the Stanford Graduate School of Business. He is also on the Board of the Levi Strauss Foundation, where he serves as Vice President and Chair of the Finance Committee.</t>
  </si>
  <si>
    <t>dgeballe@sjfventures.com</t>
  </si>
  <si>
    <t>15616-54P</t>
  </si>
  <si>
    <t>David Griest</t>
  </si>
  <si>
    <t>Griest</t>
  </si>
  <si>
    <t>Mr. David Griest serves as Managing Director at SJF Ventures. David Griest is a Managing Director at SJF Ventures and based in Seattle. He serves as Board Member at Iron Sheepdog. He joined SJF in 2004 and leads investments in supply chain, circular economy, food/tech, and tech-enabled services. David's investments include SJF portfolio companies Aseptia (sustainable food processing technology), BioSurplus (pre-owned laboratory equipment), Intechra (electronics reuse and recycling), Lineage Logistics (cold chain storage and logistics), Mercado (first-mile import supply chain), Novinium (power cable rejuvenation and reuse), Optoro (customer returns optimization platform), Perishable Shipping Solutions (cold chain e-commerce fulfillment), Rustic Crust (all-natural and organic pizza products), Salvage Direct (salvage vehicle auction platform), ShipMonk (e-commerce fulfillment &amp; inventory management), Telkore (wireless infrastructure services), and Tive (supply chain visibility). David was previously with Croft &amp; Bender, an investment bank in Atlanta that provides venture capital, M&amp;A, and other financial advisory services for middle market and emerging growth companies in the Southeast. He also assisted with C&amp;B Capital, a co-investment fund managed by Croft &amp; Bender. David has an MBA from the Yale School of Management and a BBA in Finance from the University of Georgia. In his spare time, David enjoys slow walks up steep hills at high altitudes including the 50-state highpoints, South America, and Antarctica. He served as Board Member at HYLA.</t>
  </si>
  <si>
    <t>+1 (360) 204-5632</t>
  </si>
  <si>
    <t>15616-72P</t>
  </si>
  <si>
    <t>David Kirkpatrick</t>
  </si>
  <si>
    <t>Kirkpatrick</t>
  </si>
  <si>
    <t>Mr. David Kirkpatrick is a Co-Founder and serves as a Managing Director at SJF Ventures, which focuses on high-growth, positive-impact ventures. He also serves as the founding co-chair of Impact Capital Managers, a network of private capital fund managers in the U.S. and Canada investing for financial returns and impact. He served as Board Member at Room. Prior to SJF, He founded and managed two other successful enterprises - KirkWorks, a cleantech investment research firm; and SunShares, a solar energy, and recycling company. He was named the 2005 CDVC Practitioner of the Year by the Community Development Venture Capital Alliance and Recycler of the Year in 1996 by the National Recycling Coalition. He earned a BA in Physics and History from Duke University in 1982 and an MBA from UNC Kenan Flagler Business School (KFBS) in 1991. He was named KFBS Executive MBA Alumnus of the Year in 2010.</t>
  </si>
  <si>
    <t>+1 (919) 908-8365</t>
  </si>
  <si>
    <t>dkirk@sjfventures.com</t>
  </si>
  <si>
    <t>380570-41P</t>
  </si>
  <si>
    <t>Ms. Elizabeth Roberts serves as Senior Analyst at SJF Ventures. She previously worked at Aegis Ventures, a healthcare-focused venture studio. Prior to Aegis, she was an associate consultant at Bain &amp; Company, with substantial involvement in both Bain's private equity practice and non-profit work. She graduated with high distinction from the University of Toronto, receiving an H.BSc. in Global Health and Immunology, having published several papers on healthcare quality and accessibility.</t>
  </si>
  <si>
    <t>eroberts@sjfventures.com</t>
  </si>
  <si>
    <t>174682-81P</t>
  </si>
  <si>
    <t>Jackie Lipkin</t>
  </si>
  <si>
    <t>Lipkin</t>
  </si>
  <si>
    <t>Ms. Jackie Lipkin serves as Partner at SJF Ventures. Jackie's portfolio engagements include Lineage Logistics, Living Earth, Mercado Labs, Perishable Shipping Solutions, TemperPack, and Tive. Jackie previously worked in finance for Schoology, a high-growth education technology company. Prior to Schoology, Jackie was an investment banking analyst for Centerview Partners, an independent M&amp;A, restructuring, and strategic advisory firm. Jackie graduated magna cum laude from the Wharton School at the University of Pennsylvania with a BS in Economics and concentrations in Finance and Management. Jackie also served as the treasurer for the Junior Board of Girls Inc of NYC.</t>
  </si>
  <si>
    <t>+1 (919) 530-1177 x405</t>
  </si>
  <si>
    <t>jlipkin@sjfventures.com</t>
  </si>
  <si>
    <t>323002-90P</t>
  </si>
  <si>
    <t>Joey Barrick</t>
  </si>
  <si>
    <t>Joey</t>
  </si>
  <si>
    <t>Barrick</t>
  </si>
  <si>
    <t>Mr. Joey Barrick serves as a Senior Associate at SJF Ventures. He serves as an Advisor at Blueridge Climate Ventures. He previously worked as an investment banking associate at Moelis &amp; Company, an independent M&amp;A, restructuring, and strategic advisory firm. Prior to Moelis &amp; Company, He was an electrical engineer for Enercon Services, where he led the design, implementation, and commissioning of engineering projects at utility sites across the Southeast. He holds an MBA from the University of Chicago Booth School of Business with concentrations in entrepreneurship and finance, and also graduated with the highest honors from the Georgia Institute of Technology with a BS in Electrical Engineering.</t>
  </si>
  <si>
    <t>jbarrick@sjfventures.com</t>
  </si>
  <si>
    <t>16602-67P</t>
  </si>
  <si>
    <t>Julie Plowden</t>
  </si>
  <si>
    <t>Plowden</t>
  </si>
  <si>
    <t>Ms. Julie Plowden serves as Chief Financial Officer at Double Time Capital. She serves as Chief Financial Officer &amp; Chief Compliance Officer at SJF Ventures. She also provides outsourced financial and back-office services to clean energy investment firm Double Time Capital. She is a former Director of Finance for Parish Capital Advisors (sold to the StepStone Group), a private equity fund of funds with over a billion of assets under management, where she oversaw back-office administration, accounting, and reporting. Earlier in her career, she served as a senior tax manager for Ernst &amp; Young LLP, where she focused on real estate and venture capital. She is a CPA with over 20 years of experience. She is a graduate of Clemson University.</t>
  </si>
  <si>
    <t>+1 (919) 426-8903</t>
  </si>
  <si>
    <t>jplowden@doubletimecapital.com</t>
  </si>
  <si>
    <t>14460 Falls of Neuse Road</t>
  </si>
  <si>
    <t>Suite 149-226</t>
  </si>
  <si>
    <t>27614</t>
  </si>
  <si>
    <t>Double Time Capital</t>
  </si>
  <si>
    <t>380568-88P</t>
  </si>
  <si>
    <t>Kelsey Jarrett</t>
  </si>
  <si>
    <t>Jarrett</t>
  </si>
  <si>
    <t>Ms. Kelsey Jarrett serves as Director of Impact at SJF Ventures. Previously, she served as a Vice President at Malk Partners, a leading ESG and impact consultancy, where she advised Growth Equity and Venture Capital firms on their ESG and impact strategies. Prior to Malk, she worked at impact measurement firm 60 Decibels in London and began her career in Washington D.C. as a political and advocacy digital strategist, including as a Political Partnerships Analyst at Google. She holds a B.S. in Human and Organizational Development from Vanderbilt University and an M.P.A. from the London School of Economics, specializing in social impact innovation.</t>
  </si>
  <si>
    <t>kjarrett@sjfventures.com</t>
  </si>
  <si>
    <t>50959-18P</t>
  </si>
  <si>
    <t>Perry Clarkson</t>
  </si>
  <si>
    <t>Clarkson</t>
  </si>
  <si>
    <t>Mr. Perry Clarkson serves as Partner at SJF Ventures. He previously worked on the Investments team at Roivant Sciences, focused on identifying and transacting on intriguing preclinical and clinical stage therapeutic programs. Prior to Roivant, He was an Associate at Longitude Capital, a life sciences-focused venture capital fund, as well as an investment banking analyst at Barclays, focused primarily on healthcare M&amp;A transactions. He graduated magna cum laude from the University of Pennsylvania, receiving a Bachelor of Science in Economics (concentration in Finance) from the Wharton School as well as a Bachelor of Applied Science (major in Biomedical Science) from the School of Engineering and Applied Science.</t>
  </si>
  <si>
    <t>+1 (201) 321-0883</t>
  </si>
  <si>
    <t>pclarkson@sjfventures.com</t>
  </si>
  <si>
    <t>15616-45P</t>
  </si>
  <si>
    <t>Richard Defieux</t>
  </si>
  <si>
    <t>Defieux</t>
  </si>
  <si>
    <t>Mr. Richard Defieux is a Co-Founder and serves as Chairman of the Investment Committee at SJF Ventures. From 2009 to 2015, He was also an advisor to Battelle and Battelle company 360ip, where he managed the investment activities of two venture funds in Asia. Previously, He was a General Partner of five US-based venture capital funds, including Edison I, II, and III, where he devised and led the firm's environmental and energy investing program and shared responsibility for communications investments. He received a Cleantech Pioneer award in 2003 from the Cleantech Group. Prior to venture capital, He was a Senior Scientist and Division Manager at Environmental Research &amp; Technology Inc (ERT), then a leading environmental consulting and engineering services firm. He has an MBA from Columbia University and a BA and MA from Boston University.</t>
  </si>
  <si>
    <t>+1 (215) 962-2118</t>
  </si>
  <si>
    <t>rdefieux@sjfventures.com</t>
  </si>
  <si>
    <t>Co-Founder, Chairman of Investment Committee</t>
  </si>
  <si>
    <t>41098-96P</t>
  </si>
  <si>
    <t>Eric Norlin</t>
  </si>
  <si>
    <t>Norlin</t>
  </si>
  <si>
    <t>SK Ventures</t>
  </si>
  <si>
    <t>Mr. Eric Norlin is the Founder &amp; serves as General Partner at SK Ventures. He began organizing technology conferences in 1999. In 2002, he became an owner and organizer of Digital ID World, which was acquired by IDG via a joint venture in 2005. He went on to found conferences like SaaScon (Software as a Services conference) in conjunction with IDG World Expo, as well as work on conferences like LinuxWord. Since 2007, Eric has started and runs three successful technology conferences with his wife, Kim: Defrag and Glue. Eric's foray into technology began when his father brought home a Commodore 64, evolved into work with the National Security Agency, and transitioned into roles running content for technology conferences, writing articles for technology publications and serving as a vice president of marketing at an identity technology startup (Ping Identity). Eric's work has been featured in The Wall Street Journal, BusinessWeek, Inc. Magazine, CNet and NetworkWorld. In May, 2011, Eric founded SK Ventures, a seed fund focused on early-stage investing around the themes he explores at Defrag and Glue. Eric has an undergraduate degree in South Asian Studies.</t>
  </si>
  <si>
    <t>+1 (650) 843-5000</t>
  </si>
  <si>
    <t>enorlin@skvcap.com</t>
  </si>
  <si>
    <t>Siesta Key</t>
  </si>
  <si>
    <t>Siesta Key, FL</t>
  </si>
  <si>
    <t>6547 Midnight Pass Road</t>
  </si>
  <si>
    <t>Suite 30</t>
  </si>
  <si>
    <t>34242</t>
  </si>
  <si>
    <t>43417-09P</t>
  </si>
  <si>
    <t>Paul Kedrosky Ph.D</t>
  </si>
  <si>
    <t>Kedrosky</t>
  </si>
  <si>
    <t>Dr. Paul Kedrosky serves as General Partner at SK Ventures. Mr. Kedrosky is an Angel Investor. He serves as Advisor at Garibaldi Capital Advisors. He serves as General Partner at SK Ventures. He served as Advisor at OMERS Ventures. He is an entrepreneur, investor, and thought leader. He has founded multiple technology companies, as well as having invested in more than fifty others. He has sold companies to Cisco, Twitter, Demand Media, and others. Paul ran an innovative seed capital program in southern California. The latter fund, the first of its kind, has since been widely imitated around the world. He has also been a venture investor with Ventures West, a Canadian venture capital firm. He is an advisor and investor in many startups, both in Canada and in the United States. He is also a Senior Fellow at the Kauffman Foundation, a $3-billion foundation devoted to the growth of entrepreneurship, innovation and risk capital. The fund is a highly active investor in venture firms, and Paul is closely involved with evaluating new commitments. Paul is a highly sought after speaker. He has spoken around the world at top venture investing and entrepreneurship conferences, and is among the most respected authorities in the world on the transformation of the venture capital industry, having provided guidance to venture partnerships, governments and institutional investors in North and South America, Asia and Europe. He has appeared on CNBC, Bloomberg, and CBC, as well as being quoted more than one hundred times in the Wall Street Journal, the New York Times, the Financial Times, and many other publications. He is among the best-known bloggers, and a widely-followed commentator on Twitter and other social networks.</t>
  </si>
  <si>
    <t>+1 (858) 598-3630</t>
  </si>
  <si>
    <t>paul@skvcap.com</t>
  </si>
  <si>
    <t>433904-86P</t>
  </si>
  <si>
    <t>Howard Crawford Ph.D</t>
  </si>
  <si>
    <t>Sky Foundation</t>
  </si>
  <si>
    <t>Dr. Howard Crawford serves as Member of Scientific Advisory Committee at Sky Foundation.</t>
  </si>
  <si>
    <t>+1 (248) 385-5143</t>
  </si>
  <si>
    <t>Bloomfield Hills</t>
  </si>
  <si>
    <t>Bloomfield Hills, MI</t>
  </si>
  <si>
    <t>33 Bloomfield Hills Parkway</t>
  </si>
  <si>
    <t>48304</t>
  </si>
  <si>
    <t>Member of Scientific Advisory Committee</t>
  </si>
  <si>
    <t>363586-87P</t>
  </si>
  <si>
    <t>Jody Skonieczny</t>
  </si>
  <si>
    <t>Skonieczny</t>
  </si>
  <si>
    <t>Ms. Jody Skonieczny serves as Executive Director at Sky Foundation. She was Senior Vice President, Member Engagement, Volunteer Development, and chief Strategy Officer with MICPA, and previously held related positions with St. Clair County Community College and Detroit Red Wings - Little Caesars Amateur Hockey. He holds a B.A. in Communication from Oakland University and an M.A. in Liberal Studies from the University of Michigan - Flint. She is pursuing her doctorate in Leadership Studies at LSU - Shreveport.</t>
  </si>
  <si>
    <t>adalton@skyfoundationinc.org</t>
  </si>
  <si>
    <t>363604-69P</t>
  </si>
  <si>
    <t>Sheila Sky</t>
  </si>
  <si>
    <t>Ms. Sheila Sky is the Founder of Sky Foundation. Ms. Sky was diagnosed with the most common form of pancreatic cancer in the fall of 2007. She completed chemotherapy, radiation and had "Whipple" surgery to remove her tumor. She used her energy and positive attitude to provide hope and knowledge when people face the challenges of a disease that they never anticipated. Sheila was diagnosed with a recurrence of pancreatic cancer in her lung in May 2020. After almost 3 years of battling this second diagnosis, Sheila passed away peacefully from complications of pancreatic cancer on Saturday, February 25, 2023. Sky Foundation will continue its very important mission of raising awareness and funding pancreatic cancer research for years to come, as her legacy.</t>
  </si>
  <si>
    <t>sky@skyfoundationinc.org</t>
  </si>
  <si>
    <t>251325-28P</t>
  </si>
  <si>
    <t>Benjamin Heywood</t>
  </si>
  <si>
    <t>Heywood</t>
  </si>
  <si>
    <t>SkyRiver Ventures</t>
  </si>
  <si>
    <t>Mr. Benjamin Heywood serves as General Partner at SkyRiver Ventures. As an entrepreneur and technologist, He has been at the center of digital transformation for 25+ years. In 2004, He co-founded PatientsLikeMe, an early social network for people living with chronic illness. As President and Director, He managed all aspects of PatientsLikeMe's operations, including strategy, business development, legal, finance, privacy, and product/engineering. After working in manufacturing making brain aneurysm implants at Target Therapeutics, he moved to Hollywood to work in feature film development during the digital transformation of the entertainment industry.</t>
  </si>
  <si>
    <t>+1 (310) 383-1908</t>
  </si>
  <si>
    <t>ben@skyriverventures.com</t>
  </si>
  <si>
    <t>46164-79P</t>
  </si>
  <si>
    <t>Hyuk-Jeen Suh Ph.D</t>
  </si>
  <si>
    <t>Hyuk-Jeen</t>
  </si>
  <si>
    <t>Dr. Hyuk-Jeen Suh serves as a General Partner at SkyRiver Ventures. He serves as an Advisor at MarketX. He serves as a Board Observer &amp; Advisor at Geminus AI. He served as a Board Member at Callidus Biopharma. Dr. Suh was Head of Samsung Ventures America East Coast and Senior Investment Manager at Samsung Venture Investment. He also served as a Board Member at WellDoc and Tamr. He also serves as a Board Member at Callidus Biopharma. He has over 20 years of industry experience in consumer electronics, biotech, and semiconductor. Before joining Samsung Ventures, he worked at J.P. Morgan investment banking in the Technology, Media, and Telecom group. Before J.P. Morgan, he was the global senior business development and marketing manager at MEMSIC, a semiconductor startup with automobile and consumer electronics clients. He led the international marketing strategy which contributed to the successful IPO of MEMSIC in 2007. Before joining MEMSIC, he was a senior research engineer at Sequenom, a biotech startup. He researched DNA biochips and led joint venture projects with Hitachi and Samsung to design high-throughput bio instruments. He began his career at Intel Corporation as a process engineer, leading yield improvement projects that contributed to one of the highest yield rates in Intel history for the Pentium microprocessor. He advises startup companies and is a mentor at various startup accelerators. He is a guest speaker at universities including Harvard University, Yale University, and MIT and judges for the MIT $100K entrepreneurship competition. He earned his Ph.D. in electrical engineering, focusing on Microelectromechanical Systems (MEMS) from the University of Illinois at Urbana-Champaign. He earned his MBA from Yale School of Management. He holds a B.S. in mechanical engineering, B. A in economics and an M.E in electrical engineering, all from Cornell University. He also served as a Board Member at Princeton Identity.</t>
  </si>
  <si>
    <t>+1 (617) 851-9876</t>
  </si>
  <si>
    <t>hyukjeen@skyriverventures.com</t>
  </si>
  <si>
    <t>13972-42P</t>
  </si>
  <si>
    <t>Ranvir Gujral</t>
  </si>
  <si>
    <t>Ranvir</t>
  </si>
  <si>
    <t>Gujral</t>
  </si>
  <si>
    <t>Sleeping Bear Capital</t>
  </si>
  <si>
    <t>Mr. Ranvir Gujral is the Founder and serves as Managing Partner at Sleeping Bear Capital. Mr. Gujral founded Chute. He also serves as Chairman at Adaptive Energy. He is an Angel Investor. An entrepreneur in spirit, he is the previous co-founder of LifeGrams Corporation and Blue Whale Labs. Currently, he serves on the board of The Detroit Foundation - a non-profit focused on reinvigorating the city through social entrepreneurship and job growth. He holds BBA (Bachelor of Business Administration) degree in Finance and Accounting from University of Michigan (Ross).</t>
  </si>
  <si>
    <t>ranvir@sleepingbearcap.com</t>
  </si>
  <si>
    <t>833 Market Street</t>
  </si>
  <si>
    <t>Suite 316</t>
  </si>
  <si>
    <t>308837-44P</t>
  </si>
  <si>
    <t>Henry Ahn</t>
  </si>
  <si>
    <t>Ahn</t>
  </si>
  <si>
    <t>Small Business Innovation Research and Small Business Technology Transfer Programs</t>
  </si>
  <si>
    <t>Mr. Henry Ahn serves as Program Director for The National Science Foundation's at Small Business Innovation Research and Small Business Technology Transfer Programs.</t>
  </si>
  <si>
    <t>+1 (571) 306-5201</t>
  </si>
  <si>
    <t>hahn@sbir.gov</t>
  </si>
  <si>
    <t>Program Director for The National Science Foundation's</t>
  </si>
  <si>
    <t>431195-23P</t>
  </si>
  <si>
    <t>Rob Baranowski</t>
  </si>
  <si>
    <t>Baranowski</t>
  </si>
  <si>
    <t>Mr. Rob Baranowski serves as Program Manager at Small Business Innovation Research and Small Business Technology Transfer Programs.</t>
  </si>
  <si>
    <t>204822-28P</t>
  </si>
  <si>
    <t>Aaron Wong</t>
  </si>
  <si>
    <t>SoftBank Investment Advisers</t>
  </si>
  <si>
    <t>Mr. Aaron Wong serves as Director at SoftBank Investment Advisers. He serves as Board Member at Provable. He is an Angel Investor. He co-founded Parafi Capital.</t>
  </si>
  <si>
    <t>+44 (0)20 7173 9805</t>
  </si>
  <si>
    <t>aaron.wong@softbank.com</t>
  </si>
  <si>
    <t>69 Grosvenor Street</t>
  </si>
  <si>
    <t>W1K 3JP</t>
  </si>
  <si>
    <t>185454-73P</t>
  </si>
  <si>
    <t>Alex Clavel</t>
  </si>
  <si>
    <t>Mr. Alex Clavel serves as Chief Executive Officer and Co-Chief Executive Officer of the SoftBank Vision Funds. He serves as Chief Executive Officer at SoftBank Investment Advisers. He serves as Head of M&amp;A and Corporate Finance at SoftBank Group. He serves as a Board Member at Paytm Mall. He serves as Board Member at Hike. He served as a Board Member at OneWeb. He is head of M&amp;A and corporate finance at SoftBank Group International. Before joining SoftBank, he was a Managing Director at Morgan Stanley where he spent 19 years in Hong Kong, New York, Shanghai, and Tokyo, focusing on M&amp;A and media and communications investment banking. Mr. Clavel received a BA in East Asian Studies from Princeton University.</t>
  </si>
  <si>
    <t>+81 (0)36 889 2000</t>
  </si>
  <si>
    <t>alex.clavel@softbank.com</t>
  </si>
  <si>
    <t>1-7-1, Kaigan</t>
  </si>
  <si>
    <t>Minato-ku</t>
  </si>
  <si>
    <t>105-7537</t>
  </si>
  <si>
    <t>Co-Chief Executive Officer, SoftBank Investment Advisers</t>
  </si>
  <si>
    <t>SoftBank Group</t>
  </si>
  <si>
    <t>66490-93P</t>
  </si>
  <si>
    <t>Amit Lubovsky</t>
  </si>
  <si>
    <t>Lubovsky</t>
  </si>
  <si>
    <t>Mr. Amit Lubovsky serves as Board Member at Claroty. He served as Board Member at Oosto. He serves as a Board Member at Williot. He is a Director, of Americas at SoftBank Investment Advisers. He served as Director at SoftBank Capital. He has a BA (Bachelor of Arts) in Computer Science and a BS (Bachelor of Science) in Mechanical Engineering from Tel Aviv University. He has completed his MBA (Master of Business Administration) in Finance &amp; Marketing from Technion-Machon Technology Le' Israel.</t>
  </si>
  <si>
    <t>al@softbank.com</t>
  </si>
  <si>
    <t>Director, Americas</t>
  </si>
  <si>
    <t>280583-47P</t>
  </si>
  <si>
    <t>Andrew Zloto</t>
  </si>
  <si>
    <t>Zloto</t>
  </si>
  <si>
    <t>Mr. Andrew Zloto serves as Partner, Americas at SoftBank Investment Advisers. He serves as a Board Member at Plenty, and Plume. Prior to joining SoftBank Investment Advisers, he led corporate development and strategy for Airbnb. He is a past investor with Luxor Capital Group and was a private equity analyst with The Blackstone Group. He holds a degree in economics from the Wharton School at the University of Pennsylvania. He served as Board Member at Rapid.</t>
  </si>
  <si>
    <t>+1 (650) 562-8100</t>
  </si>
  <si>
    <t>andrew.zloto@softbank.com</t>
  </si>
  <si>
    <t>300 El Camino Real</t>
  </si>
  <si>
    <t>Partner, Americas</t>
  </si>
  <si>
    <t>119810-89P</t>
  </si>
  <si>
    <t>Angela Du</t>
  </si>
  <si>
    <t>Ms. Angela Du serves as Partner, Americas at SoftBank Investment Advisers. She serves as Board Member at Nature's FYND. She serves as Board Observer at Papa and LTK. Ms. Du served as Senior Research Analyst at Parnassus Investments. She joined Parnassus Investments in 2015 and was previously a Parnassus research intern. Her prior experience includes work as an investment banking analyst at Goldman Sachs and as a private equity associate at TPG Capital. Ms. Du graduated Phi Beta Kappa, Tau Beta Pi, and with departmental distinction from Stanford University. Ms. Du received her bachelor's degree in Management Science and Engineering. She earned a master's degree in business administration from the Wharton School.</t>
  </si>
  <si>
    <t>+1 (415) 743-1547</t>
  </si>
  <si>
    <t>angela.du@softbank.com</t>
  </si>
  <si>
    <t>163300-24P</t>
  </si>
  <si>
    <t>Arthur Zhang Ph.D</t>
  </si>
  <si>
    <t>Dr. Arthur Zhang serves as Partner at SoftBank Investment Advisers. Mr. Zhang served as Principal at ZhenFund. Prior to joining Zhenfund, he was the Investment Director at Baidu Investment, M&amp;A Department, with a focus on auto, healthcare, recruiting, and digital content/IP, investing roughly $150MM in the above-mentioned sectors. Prior to Baidu, he was a management consultant with Booz &amp; Company, accumulated experiences in various sectors such as auto, education, healthcare, industrial goods, etc., and served a series of Fortune 500 clients such as Honeywell, Caterpillar, FedEx, American Airlines, Dover, etc. He holds a Ph.D. Degree in Transportation &amp; Operations and M.A. in Economics from Northwestern University, and B.Eng. from Tsinghua University.</t>
  </si>
  <si>
    <t>arthur.zhang@softbank.com</t>
  </si>
  <si>
    <t>Units 2301-03 &amp; 12-16, Floor 23, Two ICC</t>
  </si>
  <si>
    <t>Shanghai International Commerce Centre, 288 South Shanxi Road, Xuhui</t>
  </si>
  <si>
    <t>15472-27P</t>
  </si>
  <si>
    <t>Brett Rochkind</t>
  </si>
  <si>
    <t>Rochkind</t>
  </si>
  <si>
    <t>Mr. Brett Rochkind serves as Managing Partner, Americas at SoftBank Investment Advisers. He serves as Strategic Advisor at XP Health. Previously, he served as General Partner at Charles River Ventures. Mr. Rochkind served as Managing Director at General Atlantic. He serves as Board Member at Appirio and Zūm. He leads General Atlantic's Palo Alto office and is co-head of the firm's Internet &amp; Technology sector. Since joining the firm in 2002, He has worked closely with many of GA's portfolio companies in the software, Internet, information, and services sectors including Appirio, Box, IHS, SSA Global, and Altair Engineering in the United States, Decolar, MercadoLibre and Grupo Linx in Brazil and Latin America and PowerDsine in Israel. he also worked in GA's Hong Kong office, where he focused on opportunities in China and the Asia-Pacific region including the firm's investments in Alibaba Group, Renren, Soufun, and Lenovo. Prior to joining General Atlantic, He was an investment banker with Morgan Stanley &amp; Co. in its Mergers &amp; Acquisitions department in New York and Menlo Park and helped to establish Morgan Stanley's Israel office based in Tel Aviv. He graduated magna cum laude and as a University Scholar from the Stern School of Business at New York University and earned his M.B.A. from the Columbia University Graduate School of Business. he is an active member of the community and is involved in a number of educational and not-for-profit organizations, including New York University, where he is a member of the University's Board of Trustees and Co-Founder of the Young Alumni Leadership Circle. He is a member of the Israel Venture Network and AIPAC.</t>
  </si>
  <si>
    <t>+1 (650) 272-6692</t>
  </si>
  <si>
    <t>brett@softbank.com</t>
  </si>
  <si>
    <t>Managing Partner, Americas</t>
  </si>
  <si>
    <t>301260-25P</t>
  </si>
  <si>
    <t>Cecilia Chen</t>
  </si>
  <si>
    <t>Ms. Cecilia Chen serves as Partner, Asia at SoftBank Investment Advisers. Before joining SoftBank Investment Advisers, She was an executive director in Goldman Sachs' Asian Special Situations Group, covering growth equity investment in China. She began her career as an investment banking analyst with China International Capital Corporation, followed by several years as an associate director with UBS. She graduated with a bachelor of business administration from Shanghai Jiao Tong University and an MBA from the Wharton School at the University of Pennsylvania.</t>
  </si>
  <si>
    <t>cecilia.chen@softbank.com</t>
  </si>
  <si>
    <t>Office 2701, LHT Tower</t>
  </si>
  <si>
    <t>31 Queen's Road, Central</t>
  </si>
  <si>
    <t>Partner, Asia</t>
  </si>
  <si>
    <t>258946-48P</t>
  </si>
  <si>
    <t>Chris Lee</t>
  </si>
  <si>
    <t>Mr. Chris Lee serves as a Partner, Asia at SoftBank Investment Advisers. He joined SoftBank Investment Advisers in 2019, when the Singapore office was first opened. With a degree in economics from the University of Chicago, he has spent most of his career in private equity, including working at GIC in Singapore and CVC Capital Partners in Hong Kong. He serves as Board Member at bKash and Biofourmis.</t>
  </si>
  <si>
    <t>chris.lee@softbank.com</t>
  </si>
  <si>
    <t>138 Market Street, Number 27-01A</t>
  </si>
  <si>
    <t>CapitaGreen Building</t>
  </si>
  <si>
    <t>283063-60P</t>
  </si>
  <si>
    <t>Dennis Chang</t>
  </si>
  <si>
    <t>Mr. Dennis Chang serves as Managing Partner &amp; Head of Asia Investing at SoftBank Investment Advisers.</t>
  </si>
  <si>
    <t>dennis.chang@softbank.com</t>
  </si>
  <si>
    <t>Managing Partner &amp; Head of Asia Investing</t>
  </si>
  <si>
    <t>203992-57P</t>
  </si>
  <si>
    <t>Eric Chen</t>
  </si>
  <si>
    <t>Mr. Eric Chen serves as Managing Partner at SoftBank Investment Advisers. Mr. Chen serves as Co-Chief Executive Officer, China at ARM.</t>
  </si>
  <si>
    <t>eric.chen@softbank.com</t>
  </si>
  <si>
    <t>203995-36P</t>
  </si>
  <si>
    <t>Faisal Rehman</t>
  </si>
  <si>
    <t>Rehman</t>
  </si>
  <si>
    <t>Mr. Faisal Rehman serves as Senior Partner &amp; Head of Investments at Safanad. He serves as a Senior Advisor at SoftBank Investment Advisers. He serves on the Board of multiple US, UK, and GCC technology companies. He also serves on the Advisory Board of the Dubai Chamber of Digital Economy. Prior to joining SoftBank, Faisal was a Managing Director at Deutsche Bank. He is a graduate of the LSE and a chartered accountant.</t>
  </si>
  <si>
    <t>+44 (0)11 3239 2767</t>
  </si>
  <si>
    <t>frehman@safanad.com</t>
  </si>
  <si>
    <t>Level 4 The Gate (East)</t>
  </si>
  <si>
    <t>Dubai International Financial Centre</t>
  </si>
  <si>
    <t>+971 (0)4 312 9777</t>
  </si>
  <si>
    <t>Senior Partner &amp; Head of Investments</t>
  </si>
  <si>
    <t>Safanad</t>
  </si>
  <si>
    <t>203993-11P</t>
  </si>
  <si>
    <t>Greg Moon</t>
  </si>
  <si>
    <t>Moon</t>
  </si>
  <si>
    <t>Mr. Greg Moon serves as Executive Managing Partner at SoftBank Investment Advisers. He is a veteran member of the SoftBank team, He is the former president of SoftBank Ventures Korea, where he was an early-stage investor in APAC. With experience leading venture capital activities for SoftBank, he is currently focused on deep tech and advanced internet sectors, including AI and biotech, in APAC. He has a BA from Korea University and holds an MBA from the University of Drexel in Philadelphia.</t>
  </si>
  <si>
    <t>greg.moon@softbank.com</t>
  </si>
  <si>
    <t>Executive Managing Partner</t>
  </si>
  <si>
    <t>409352-68P</t>
  </si>
  <si>
    <t>Hiroshi Sensaki</t>
  </si>
  <si>
    <t>Sensaki</t>
  </si>
  <si>
    <t>Mr. Hiroshi Sensaki serves as Director at SoftBank Group. He serves as Board Member at LegalOn Technologies. He serves as Director, Asia at SoftBank Investment Advisers.</t>
  </si>
  <si>
    <t>370425-16P</t>
  </si>
  <si>
    <t>Jagannath Iyer</t>
  </si>
  <si>
    <t>Jagannath</t>
  </si>
  <si>
    <t>Mr. Jagannath Iyer serves as Partner, Capital Markets at SoftBank Investment Advisers. Mr. Iyer serves as Board Member at Treasure Data and WeWork.</t>
  </si>
  <si>
    <t>jagannath.iyer@softbank.com</t>
  </si>
  <si>
    <t>Partner, Capital Markets</t>
  </si>
  <si>
    <t>432718-57P</t>
  </si>
  <si>
    <t>Jaime Ocampo</t>
  </si>
  <si>
    <t>Mr. Jaime Ocampo serves as Director, Americas at SoftBank Investment Advisers. Mr. Ocampo serves as Investment Advisers at SoftBank Group. He serves as a Board Member at NetraDyne. He joined SBIA in 2019 after working in the technology, media, and telecommunications investment banking group at Goldman Sachs in New York. He started out at SBIA in the firm's London office before relocating to Silicon Valley in 2021. At SBIA, He invests in an array of companies, with a particular emphasis on FinTech and AI infrastructure.</t>
  </si>
  <si>
    <t>jaime.ocampo@softbank.com</t>
  </si>
  <si>
    <t>188344-00P</t>
  </si>
  <si>
    <t>Jason Park</t>
  </si>
  <si>
    <t>Mr. Jason Park serves as Director, of Asia at SoftBank Investment Advisers. He serves as a Board Member at bKash. He served as a Senior Associate at SoftBank Ventures Korea.</t>
  </si>
  <si>
    <t>jasonpark@softbank.com</t>
  </si>
  <si>
    <t>Director, Asia</t>
  </si>
  <si>
    <t>212317-75P</t>
  </si>
  <si>
    <t>Javier Villamizar</t>
  </si>
  <si>
    <t>Villamizar</t>
  </si>
  <si>
    <t>Mr. Javier Villamizar serves as Operating Partner &amp; Advisor at Connexa Capital. Mr. Villamizar serves as an Operating Partner at SoftBank Investment Advisers. He serves as a Board Member at Alpha AI and DigitalReef. He also serves as an Advisor at Talisman. He also serves as an Operating Partner at SoftBank Investment Advisers. He served as an Advisor at Veronorte. He also serves as a Board Member at DigitalReef. He serves as an Advisor at HTwenty. A leader in the global telecom industry for over three decades, He brings expertise in scaling businesses to his work with the Vision Fund. He was managing director for Motorola Ventures before moving to Brightstar, which he helped expand into 35 new markets. Before joining SoftBank, he helped Greensill grow its technology and telecom practice globally. His current role at the Vision Fund is focused on delivering operational support to help portfolio companies accelerate growth, scale up, and expand globally.</t>
  </si>
  <si>
    <t>+1 (305) 794-2838</t>
  </si>
  <si>
    <t>Hallandale</t>
  </si>
  <si>
    <t>Hallandale, FL</t>
  </si>
  <si>
    <t>800 Silks Run</t>
  </si>
  <si>
    <t>33009</t>
  </si>
  <si>
    <t>Connexa Capital</t>
  </si>
  <si>
    <t>202556-71P</t>
  </si>
  <si>
    <t>John Cassidy Ph.D</t>
  </si>
  <si>
    <t>Dr. John Cassidy serves as Director, EMEA at SoftBank Investment Advisers. He serves as a Board Member at Ventus Therapeutics, Big Health. Previously, he served as as Principal at Arix Bioscience. He also served as a Board Member at Twelve Bio. He was also a board observer for STipe Therapeutics and Quench Bio. Prior to that, he worked at L.E.K. Consulting LLP. He has a first-class degree in Biochemistry from Imperial College London and a PhD in Neuroscience from University College London sponsored by the Medical Research Council and Pfizer. He has published research in journals including Proceedings of the National Academy of Sciences (PNAS), Nature Communications, eLife and Journal of Neuroscience.</t>
  </si>
  <si>
    <t>+44 (0)20 7290 1056</t>
  </si>
  <si>
    <t>john.cassidy@softbank.com</t>
  </si>
  <si>
    <t>Director, EMEA</t>
  </si>
  <si>
    <t>301261-69P</t>
  </si>
  <si>
    <t>John Clappier</t>
  </si>
  <si>
    <t>Clappier</t>
  </si>
  <si>
    <t>Mr. John Clappier serves as Partner, Capital Markets at SoftBank Investment Advisers.</t>
  </si>
  <si>
    <t>john.clappier@softbank.com</t>
  </si>
  <si>
    <t>31299-58P</t>
  </si>
  <si>
    <t>Karol Niewiadomski</t>
  </si>
  <si>
    <t>Karol</t>
  </si>
  <si>
    <t>Niewiadomski</t>
  </si>
  <si>
    <t>Mr. Karol Niewiadomski serves as a Partner, Americas at SoftBank Investment Advisers. He serves as a Member of Supervisory Board at Eobuwie.pl. He served as Principal at Silver Lake Partners. He serves as Board Member at Ethos Life. He joined Silver Lake in 2007 and is a Principal. Before joining Silver Lake, he worked in the Energy Investment Banking Group at Credit Suisse in London. Mr. Niewiadomski graduated from the Warsaw School of Economics with M.Sc. in Finance and holds an M.Sc. in International Management from the Community of European Management Schools obtained at the University of Cologne, Germany.</t>
  </si>
  <si>
    <t>+1 (650) 233-8120</t>
  </si>
  <si>
    <t>karol@softbank.com</t>
  </si>
  <si>
    <t>418906-63P</t>
  </si>
  <si>
    <t>Kenneth Lu</t>
  </si>
  <si>
    <t>Mr. Kenneth Lu serves as Partner, Asia at SoftBank Investment Advisers. Prior to joining SoftBank Investment Advisers, he served as an investor within Temasek's China investment team focusing on technology, media, and telecom investing. He is also a past corporate development investor with Baidu. He is focused on consumer, transportation and logistics, and hardware start-ups that solve real-world problems. He has a BS in industrial engineering from Northwestern University and an MBA from University of California, Berkeley.</t>
  </si>
  <si>
    <t>kenneth@softbank.com</t>
  </si>
  <si>
    <t>203996-53P</t>
  </si>
  <si>
    <t>Kentaro Matsui</t>
  </si>
  <si>
    <t>Matsui</t>
  </si>
  <si>
    <t>Mr. Kentaro Matsui serves as Managing Partner, Asia at SoftBank Investment Advisers. He serves as a Partner at SoftBank Group. He is based out of SBIA's Tokyo office, where he focuses on investment opportunities in Asia. Before his current role, he worked for Mizuho Securities, where he advised on SoftBank's major investments in companies including Vodafone Japan, Sprint, and ARM.</t>
  </si>
  <si>
    <t>+81 (0)36 773 2874</t>
  </si>
  <si>
    <t>kentaro.matsui@softbank.com</t>
  </si>
  <si>
    <t>Tokyo Port City, Takeshiba Office Tower</t>
  </si>
  <si>
    <t>35th Floor, 1-7-1, Kaigan, Minato-ku</t>
  </si>
  <si>
    <t>Managing Partner, Asia</t>
  </si>
  <si>
    <t>255810-43P</t>
  </si>
  <si>
    <t>Liam Armstrong</t>
  </si>
  <si>
    <t>Mr. Liam Armstrong serves as Venture Capital Fund Manager at Vancouver Social Value Fund. He is an Investor at SoftBank Vision Fund. He has completed Bachelor in Commerce and Computer Science from University of British Columbia.</t>
  </si>
  <si>
    <t>Venture Capital Fund Manager</t>
  </si>
  <si>
    <t>Vancouver Social Value Fund</t>
  </si>
  <si>
    <t>234228-34P</t>
  </si>
  <si>
    <t>Mark Agne</t>
  </si>
  <si>
    <t>Agne</t>
  </si>
  <si>
    <t>Mr. Mark Agne serves as Managing Partner &amp; Head of Equity Capital Markets at SoftBank Investment Advisers. Prior to joining Softbank, he was head of Goldman Sachs' Japan Securities Division and co-head of APAC equity trading. In addition, he is a co-owner of the Seattle Sounders Football Club and is active on the boards of several non-profit organizations. He graduated from Brown University with a degree in Economics and Political Science and is a CFA charter holder.</t>
  </si>
  <si>
    <t>magne@softbank.com</t>
  </si>
  <si>
    <t>Managing Partner &amp; Head of Equity Capital Markets</t>
  </si>
  <si>
    <t>418905-46P</t>
  </si>
  <si>
    <t>Mark Kornblau</t>
  </si>
  <si>
    <t>Chief Marketing Officer &amp; Managing Partner</t>
  </si>
  <si>
    <t>Mr. Mark Kornblau serves as Managing Partner &amp; Chief Communications and Marketing Officer at SoftBank Investment Advisers. Over the course of his career, he has led strategic communications and message development for US presidential candidates, members of the US Senate and House of Representatives, top officials in the Obama administration, and media and finance giants like NBCUniversal and JPMorgan Chase. At SoftBank, he oversees communications and marketing for the entire global organization.</t>
  </si>
  <si>
    <t>mark.kornblau@softbank.com</t>
  </si>
  <si>
    <t>Managing Partner &amp; Chief Communications and Marketing Officer</t>
  </si>
  <si>
    <t>44182-45P</t>
  </si>
  <si>
    <t>Masayoshi Son</t>
  </si>
  <si>
    <t>Masayoshi</t>
  </si>
  <si>
    <t>Mr. Masayoshi Son is the Founder and serves as Chief Executive Officer and Chaiman at SoftBank Group. He serves as Chairman at The Stargate Project. He is also the Founder of SoftBank Investment Advisers. He also serves as Chairman of the Board at ARM. He served as Director &amp; Chairman at SB Energy Japan. He served as a Board Member at Paytm. He also served as an Investment Committee Member at the Open Opportunity Fund. He served as an Advisor at Kyocera Goldman Sachs Venture Capital. He served as Chairman at SB Energy Holdings. He served as a Board Member at Alibaba Group. He also serves as chairman of SoftBank Mobile and on the board of T-Mobile. He founded SoftBank Group. He has been the company's Chairman and Chief Executive Officer from February 1986 until June 2015. He also served as an Investor at Breakthrough Energy. He also serves in various capacities within SoftBank's portfolio of companies, including Vodafone (currently SoftBank) as its Chairman since 2015 and served as its Chairman and Chief Executive Officer from 2006 until 2015. In addition, he sits on the board of directors of Yahoo! Japan, which was established as a joint venture between SoftBank and Yahoo! and served as its Chairman from 1996 until 2015. He has also served as Honorary Chairman of the Broadband Association in Japan. He also serves as Director at Yahoo Japan. He served as an Advisor at The Raine Group. He holds a BSBA in Economics from the University of California, Berkeley.</t>
  </si>
  <si>
    <t>masayoshi.son@softbank.co.jp</t>
  </si>
  <si>
    <t>243181-27P</t>
  </si>
  <si>
    <t>Max Ohrstrand</t>
  </si>
  <si>
    <t>Ohrstrand</t>
  </si>
  <si>
    <t>Mr. Max Ohrstrand serves as Partner, EMEA at SoftBank Investment Advisers. He also serves as a Board Member at Peak AI &amp; Energy Vault, Atom Learning, and Permutive. He joined SoftBank Investment Advisors in 2017, having previously worked as an investment banker at Moelis &amp; Company advising clients on mergers &amp; acquisitions and capital markets transactions. He graduated with a double first in mathematics from New College, Oxford. He served as a Board Member at Goustro.</t>
  </si>
  <si>
    <t>max@softbank.com</t>
  </si>
  <si>
    <t>Partner, EMEA</t>
  </si>
  <si>
    <t>418895-11P</t>
  </si>
  <si>
    <t>Mike Guo</t>
  </si>
  <si>
    <t>Mr. Mike Guo serves as Partner, Asia at SoftBank Investment Advisers. He holds a BS in computer science from Peking University and an MS in Management Science and Engineering from Stanford.</t>
  </si>
  <si>
    <t>mike.guo@softbank.com</t>
  </si>
  <si>
    <t>208875-07P</t>
  </si>
  <si>
    <t>Nahoko Hoshino</t>
  </si>
  <si>
    <t>Nahoko</t>
  </si>
  <si>
    <t>Hoshino</t>
  </si>
  <si>
    <t>Ms. Nahoko Hoshino serves as Director, EMEA at SoftBank Investment Advisers. She serves as Board Member at Dice. She serves as Board Member at C2FO. She serves as a Board Member at Tractable and Kigen. She has worked on M&amp;A deals in the financial institutions and technology space with the Investment Banking Division at Goldman Sachs, picked long-term winners as an equity research analyst at Fidelity Management and Research, and most recently on business development as a Managing Director at Afiniti, a provider of AI solutions based on machine learning and behavioral science to better match customers with customer service agents. She earned her MBA from the Wharton School of the University of Pennsylvania and a BSc in International Relations from the London School of Economic and Political Science (LSE).</t>
  </si>
  <si>
    <t>nahoko.hoshino@softbank.com</t>
  </si>
  <si>
    <t>312057-82P</t>
  </si>
  <si>
    <t>Narendra Rathi</t>
  </si>
  <si>
    <t>Narendra</t>
  </si>
  <si>
    <t>Mr. Narendra Rathi serves as Director, of Asia at SoftBank Investment Advisers. Mr. Rathi serves as a Board Member at ElasticRun. He serves as an Advisor &amp; Board Member at Whatfix. He is an Angel Investor.</t>
  </si>
  <si>
    <t>narendra@softbank.com</t>
  </si>
  <si>
    <t>203997-07P</t>
  </si>
  <si>
    <t>Navneet Govil</t>
  </si>
  <si>
    <t>Navneet</t>
  </si>
  <si>
    <t>Govil</t>
  </si>
  <si>
    <t>Mr. Navneet Govil serves as a Managing Partner and Investment Committee Member at SoftBank Investment Advisers. He serves as Board Member at AresnalBio. Mr. Govil serves as Board Member at ElevateBio. He served as Chief Executive Officer &amp; Chief Financial Officer at SVF Investment 2. He served as Chief Financial Officer &amp; Director at SVF Investment 3. He also serves as Chief Financial Officer and Board Member at SVF Investment. Prior to joining SoftBank, he served in senior corporate officer roles for publicly traded multinational corporations. At CA Technologies, he was Senior Vice President of Finance and Strategic Pricing, where he led treasury, corporate business development, pricing and business unit finance functions. Previously, he was Vice President of Corporate Development and Project Finance as well as Treasurer at SunPower Corporation. He also served in several capacities during his eight-year tenure at Sun Microsystems, most recently as Controller for its Microelectronics Group. He also held finance positions at Hewlett-Packard, Pfizer and Fortistar Capital. He currently serves as a member of the Audit Committee for the board of directors of ARM Holdings and as a board director of SBIA US. He earned MBA and MEng degrees from Cornell University.</t>
  </si>
  <si>
    <t>navneet@softbank.com</t>
  </si>
  <si>
    <t>280086-40P</t>
  </si>
  <si>
    <t>Peter Park</t>
  </si>
  <si>
    <t>Mr. Peter Park serves as Investment Director at SoftBank Investment Advisers. Mr. Park serves as a Board Member at Aculys. He served as Operations Executive at Alphabet. Before SoftBank, he built and managed a wide range of technology businesses: LINE's blockchain and mobile payment units across Japan and Taiwan, Google's finance operations in APAC markets, and CapitalX, a start-up he founded in Singapore to provide invoice financing for SMEs in South East Asia. He is passionate about improving the healthcare system &amp; microcredit ecosystem in the developing world and previously held positions at the World Bank and Grameen Foundation. He began his career in investment banking at Citigroup in Hong Kong. He holds a BA in Economics from Northwestern University and an MBA from The Wharton School.</t>
  </si>
  <si>
    <t>park@softbank.com</t>
  </si>
  <si>
    <t>Investment Director, Asia</t>
  </si>
  <si>
    <t>147605-86P</t>
  </si>
  <si>
    <t>Rajeev Misra</t>
  </si>
  <si>
    <t>Mr. Rajeev Misra serves as a Senior Advisor at SoftBank Investment Advisers. He served as an Advisor at Neat Burger. He serves as the Chief Executive Officer and Chairman of the Board at SVF Investment Corp. He was also a member of the firm's Investment Committee and serves on the Board of SoftBank Group and as Head of the Vision Fund. He serves as an Angel Investor. He served as a Board Member at Uber. Before this appointment, He was a Senior Managing Director at Fortress Investment Group where he was the head of European investments. Previously, he served as an Independent Director at Eros International. Before that, he served as Group Managing Director for UBS in London and was responsible for leveraging finance, global credit, commercial real estate, and emerging markets. He also spent 17 years in various senior leadership roles at Deutsche Bank and Merrill Lynch. He received a BSc in Mechanical Engineering and an MSc in Computer Science from the University of Pennsylvania, and an MBA from the MIT Sloan School of Management.</t>
  </si>
  <si>
    <t>rajeev.misra@visionfund.com</t>
  </si>
  <si>
    <t>SVF Investment (Former)</t>
  </si>
  <si>
    <t>212323-69P</t>
  </si>
  <si>
    <t>Ram Trichur</t>
  </si>
  <si>
    <t>Trichur</t>
  </si>
  <si>
    <t>Mr. Ram Trichur serves as an Operating Partner at SoftBank Investment Advisers. He serves as Board Member at WorkBoardAI. He is an Angel Investor. His current role at the Vision Fund is focused on delivering operational support to mobility and transportation companies, as well as managing ecosystem synergies and partnerships globally. He serves as a Board Member at Collective HealtH. He served as a Board Member at Light. He began his career at General Electric as a software engineer and later served as a member of GE's corporate audit staff, where he helped global divisions identify problems and improve performance. He has also been a consultant with McKinsey and was co-founder and president of Whisk, a corporate rideshare platform that is now part of Enterprise Holdings.</t>
  </si>
  <si>
    <t>ram@softbank.com</t>
  </si>
  <si>
    <t>208998-37P</t>
  </si>
  <si>
    <t>Robert Kaplan</t>
  </si>
  <si>
    <t>Mr. Robert Kaplan serves as Partner, Americas at SoftBank Investment Advisers. He serves as Board Member at Fabric (Business /Productivity Software) and bloXroute Labs. He served as Principal at B Capital Group. Prior to joining B Capital, he was an early employee at Spring (acq. by ShopRunner), an NYC-based e-commerce marketplace, where he ran the growth team, spearheaded international expansion, and helped with fundraising. Before Spring, he worked in business operations at Ampush Media, a bootstrapped ad-tech firm that helped the most innovative mobile-focused startups with growth, after spending three years at JPMorgan. Originally from Greensboro, NC, he received an MBA from the University of Chicago Booth School of Business and a BBA from the University of Michigan.</t>
  </si>
  <si>
    <t>rkaplan@softbank.com</t>
  </si>
  <si>
    <t>13989-70P</t>
  </si>
  <si>
    <t>Ronald Fisher</t>
  </si>
  <si>
    <t>Mr. Ronald Fisher serves as a Board Member at ARM. Mr. Fisher served as a Board Member &amp; Vice Chairman at Sprint. He serves as Director &amp; Vice President at SoftBank Group. He serves as Senior Adviser at SoftBank Investment Advisers. He served as a Board Member at T-Mobile USA. He served as an Advisory Board Member at Stage 1 Ventures. Mr. Fisher served as the Member of the Boards at Sprint. He served as a Board Member at Celtra. He serves as a Board Member at T-Mobile USA. He also served as a Board Member at WeWork and Fanatics. Mr. Fisher served as a Board Member at OneWeb. He joined SoftBank in 1995, overseeing its U.S. operations and other activities outside of Asia, and founded SoftBank Capital. He served as director and president of SoftBank Holdings, Inc., vice chairman of Sprint Corporation, and member of the board of directors of SoftBank Corp. in Japan. He has over 30 years of experience working with high-growth and turnaround technology companies. Before joining SoftBank, he was the CEO of Phoenix Technologies Ltd., the leading developer and marketer of system software products for personal computers, from 1990 to 1995. He joined Phoenix from Interactive Systems Corporation, a UNIX software company purchased by the Eastman Kodak Company in 1988. At Interactive Systems he served for five years as President, initially as COO and then as CEO. His experience before Interactive Systems includes senior executive positions at VisiCorp, TRW, and ICL (USA). He serves on the boards of several SoftBank Capital portfolio companies, including Cloud Engines (Pogoplug), Nellymoser, and Swirl. He previously served on the boards of Desktone (sold to VMware in 2013), E*Trade Group, and GSI Commerce (sold to eBay in 2011). He earned an MBA from Columbia University, New York, and a Bachelor of Commerce from the University of Witwatersrand in South Africa.</t>
  </si>
  <si>
    <t>WeWork (Former)</t>
  </si>
  <si>
    <t>121046-05P</t>
  </si>
  <si>
    <t>Ryan James JD</t>
  </si>
  <si>
    <t>Mr. Ryan James serves as Director, Legal at SoftBank Investment Advisers. He served as Attorney at Cooley. He holds BA in Communication Studies from University of California, Los Angeles (UCLA) and JD from New York University School of Law.</t>
  </si>
  <si>
    <t>rjames@softbank.com</t>
  </si>
  <si>
    <t>Director, Legal</t>
  </si>
  <si>
    <t>197401-42P</t>
  </si>
  <si>
    <t>Ryan Lucas</t>
  </si>
  <si>
    <t>Mr. Ryan Lucas serves as Director at SoftBank Investment Advisers. He works in the Operating Group, where he helps portfolio companies scale their business and supports investment sourcing and diligence. Prior to joining SoftBank in 2018, he was a Senior Consultant at EY where he focused on operational and financial due diligence in the Technology and Consumer Product industries. He began his career at EY and started as a Consultant where he focused on strategy and operations for Financial Services clients. He earned his BBA from the University of Washington.</t>
  </si>
  <si>
    <t>+1 (650) 954-3944</t>
  </si>
  <si>
    <t>ryanlucas@softbank.com</t>
  </si>
  <si>
    <t>203999-77P</t>
  </si>
  <si>
    <t>Saleh Romeih</t>
  </si>
  <si>
    <t>Romeih</t>
  </si>
  <si>
    <t>Mr. Saleh Romeih serves as Senior Partner &amp; Global Managing Partner at Safanad. He also serves as a Director at Beyon. Mr. Romeih serves as Senior Advisor at SoftBank Investment Advisers. He serves as a Senior Advisor at Mundi Ventures. He also serves as a Board Member &amp; Member of the Executive Committee at Bahrain Telecommunications. Mr. Romeih graduated cum laude from Georgetown University and received an MBA from the University of Pennsylvania, USA.</t>
  </si>
  <si>
    <t>+971 (0)4 312 9700</t>
  </si>
  <si>
    <t>sromeih@safanad.com</t>
  </si>
  <si>
    <t>Senior Partner &amp; Global Managing Partner</t>
  </si>
  <si>
    <t>236849-59P</t>
  </si>
  <si>
    <t>Sarthak Misra</t>
  </si>
  <si>
    <t>Mr. Sarthak Misra serves as Partner, Asia at SoftBank Investment Advisers. He serves as Board Member at Namma Yatri. He serves as Board Member at OfBusiness. He serves as Board Member at Juspay Technologies. He holds a BS in Management Science &amp; Engineering from Stanford University and an MBA with Distinction from Harvard Business School.</t>
  </si>
  <si>
    <t>sarthak.misra@softbank.com</t>
  </si>
  <si>
    <t>Ceejay House, Suite 1401, Shiv Sagar Estate</t>
  </si>
  <si>
    <t>F Block Drive, Annie Beasant Road, Worli</t>
  </si>
  <si>
    <t>253842-31P</t>
  </si>
  <si>
    <t>Serena Dayal</t>
  </si>
  <si>
    <t>Dayal</t>
  </si>
  <si>
    <t>Ms. Serena Dayal served as a Board Member at Standard Cognition. She served as a Board Member at Roofstock. She serves as Partner, Americas at SoftBank Investment Advisers. She serves as a Board Member at Sand Picsart. Before joining SoftBank Investment Advisers, she was an investor within the private equity business at Fortress Investment Group in New York and spent more than a decade in the investment banking division at Goldman Sachs in a variety of different roles. She holds an AB in economics with a certificate in politics from Princeton University.</t>
  </si>
  <si>
    <t>301264-21P</t>
  </si>
  <si>
    <t>Shanshan Liu</t>
  </si>
  <si>
    <t>Shanshan</t>
  </si>
  <si>
    <t>Ms. Shanshan Liu serves as Partner, Asia at SoftBank Investment Advisers. He serves as a Board Member at Zaihui.</t>
  </si>
  <si>
    <t>shanshan@softbank.com</t>
  </si>
  <si>
    <t>301265-29P</t>
  </si>
  <si>
    <t>Shintaro Isono</t>
  </si>
  <si>
    <t>Shintaro</t>
  </si>
  <si>
    <t>Isono</t>
  </si>
  <si>
    <t>Mr. Shintaro Isono serves as Partner, Capital Markets at SoftBank Investment Advisers. He spent 18 years in the securities division and corporate treasury of Goldman Sachs in Tokyo and London before joining SBIA. He specializes in global debt capital markets and helps the firm and its portfolio companies raise debt financing. He also oversees SBIA's SPAC initiatives. He graduated from Tokyo University with a law degree.</t>
  </si>
  <si>
    <t>shintaro.isono@softbank.com</t>
  </si>
  <si>
    <t>203999-95P</t>
  </si>
  <si>
    <t>Shivani Lala</t>
  </si>
  <si>
    <t>Lala</t>
  </si>
  <si>
    <t>Ms. Shivani Lala serves as Partner &amp; Global Head of Tax at SoftBank Investment Advisers.</t>
  </si>
  <si>
    <t>shivani@softbank.com</t>
  </si>
  <si>
    <t>Partner &amp; Global Head of Tax</t>
  </si>
  <si>
    <t>188584-66P</t>
  </si>
  <si>
    <t>Siraj Iqbal</t>
  </si>
  <si>
    <t>Iqbal</t>
  </si>
  <si>
    <t>Mr. Siraj Iqbal serves as Director at SoftBank Investment Advisers. Mr. Iqbal serves as Board Observer at Automation Anywhere. Before joining SoftBank in 2018, he helped start a fund that invested in SoFi, Hotel Tonight, and Airbnb. He also spent time investing in technology businesses at Warburg Pincus. He began his career at the Boston Consulting Group and received his BS from the Wharton School at the University of Pennsylvania.</t>
  </si>
  <si>
    <t>siraj.iqbal@softbank.com</t>
  </si>
  <si>
    <t>38235-07P</t>
  </si>
  <si>
    <t>Sumer Juneja</t>
  </si>
  <si>
    <t>Sumer</t>
  </si>
  <si>
    <t>Juneja</t>
  </si>
  <si>
    <t>Mr. Sumer Juneja serves as Managing Partner &amp; Head of EMEA &amp; India Investing at SoftBank Investment Advisers. He serves as Advisor &amp; Board Member at Whatfix. He served as Board Member at Swiggy, Lenskart.com, Delhivery, Unacademy, Ola Electric, and Ola. He served as Director at Norwest Venture Partners. He is an Angel Investor, He serves as an Advisor on growth equity investments in Indian companies across a wide range of sectors, including telecom, technology, financial services, infrastructure, and manufacturing. Before joining NVP India in 2009, he was a founding member of Goldman Sachs' Asian Special Situations Group in India, a balance sheet investing group with over $4 billion under management. In this role, he originated and evaluated investment opportunities in a broad range of industries, conducted due diligence, and had board-level involvement with such companies as Bharti Infratel, IRB Infrastructure Developers Ltd., IL&amp;FS Transportation Networks Ltd. (ITNL), Cremica, and OnMobile.Prior to this role, he was an analyst for the Industrial and Natural Resources Team in the Investment Banking Division of Goldman Sachs. In this position, he actively drove all aspects of the M&amp;A process including financial analysis, due diligence and public and private buy-side and sell-side transactions. Transaction experience included acquisition of Paladin Resources by Talisman Energy, acquisition of Domnick Hunter by Parker Hannifin and advising Thames Water, a UK water utility, on the divestiture of its international assets valued at over $2 billion. He obtained his bachelor of science degree in politics and economics from the London School of Economics.</t>
  </si>
  <si>
    <t>sumer.juneja@softbank.com</t>
  </si>
  <si>
    <t>Managing Partner &amp; Head of EMEA &amp; India Investing</t>
  </si>
  <si>
    <t>366817-51P</t>
  </si>
  <si>
    <t>Tamar Motola</t>
  </si>
  <si>
    <t>Tamar</t>
  </si>
  <si>
    <t>Motola</t>
  </si>
  <si>
    <t>Ms. Tamar Motola serves as Vice President at SoftBank Investment Advisers. She holds a Bachelor's in Economics, and East Asian Studies from Barnard College and Columbia University.</t>
  </si>
  <si>
    <t>km@softbank.com</t>
  </si>
  <si>
    <t>418893-76P</t>
  </si>
  <si>
    <t>Tim Yap</t>
  </si>
  <si>
    <t>Mr. Tim Yap serves as Director, EMEA at SoftBank Investment Advisers. Before joining SoftBank, he spent half a decade working on large technology, media, and telecom deals at Jefferies.</t>
  </si>
  <si>
    <t>tim.yap@softbank.com</t>
  </si>
  <si>
    <t>204001-21P</t>
  </si>
  <si>
    <t>Vikas Parekh</t>
  </si>
  <si>
    <t>Mr. Vikas Parekh as Managing Partner, Americas at SoftBank Investment Advisers. Mr. Parekh serves as Board Member at Pantheon. He serves as Board Observer at Cohesity. He also serves as Managing Partner, Americas at SoftBank Investment Advisers. He served as a Partner at SoftBank Investment Advisers and as a Board Member at Nauto. He also serves as a Board Member at MinIO, Mapbox, Blinkit, Cohesity, and Automation Anywhere. He holds an MBA with highest honors from Harvard Business School, a BS in Electrical Engineering (Highest Honors), and an MS in Electrical and Computer Engineering from Georgia Institute of Technology.</t>
  </si>
  <si>
    <t>vparekh@softbank.com</t>
  </si>
  <si>
    <t>441718-30P</t>
  </si>
  <si>
    <t>Weixiang Lim</t>
  </si>
  <si>
    <t>Weixiang</t>
  </si>
  <si>
    <t>Mr. Weixiang Lim serves as Director at SoftBank Investment Advisers. He joined SBIA in 2019 after more than five years at Temasek, where he invested in consumer-focused companies.</t>
  </si>
  <si>
    <t>weixiang.lim@softbank.com</t>
  </si>
  <si>
    <t>Director, ASIA</t>
  </si>
  <si>
    <t>349047-73P</t>
  </si>
  <si>
    <t>Wil Bolivar</t>
  </si>
  <si>
    <t>Bolivar</t>
  </si>
  <si>
    <t>Mr. Wil Bolivar serves as Partner &amp; Chief Technology Officer at SoftBank Investment Advisers.</t>
  </si>
  <si>
    <t>wil.bolivar@softbank.com</t>
  </si>
  <si>
    <t>234235-00P</t>
  </si>
  <si>
    <t>Ziyad Al Ashaikh</t>
  </si>
  <si>
    <t>Ziyad</t>
  </si>
  <si>
    <t>Al Ashaikh</t>
  </si>
  <si>
    <t>Mr. Ziyad Al Ashaikh serves as Partner, EMEA &amp; Head of Saudi Arabia at SoftBank Investment Advisers.</t>
  </si>
  <si>
    <t>ziyad.alashaikh@softbank.com</t>
  </si>
  <si>
    <t>Al Nakheel, 5th Floor, Unit 12</t>
  </si>
  <si>
    <t>Al-Raidah Digital City, 3884</t>
  </si>
  <si>
    <t>Partner, EMEA &amp; Head of Saudi Arabia</t>
  </si>
  <si>
    <t>352354-42P</t>
  </si>
  <si>
    <t>Albert Esser</t>
  </si>
  <si>
    <t>Esser</t>
  </si>
  <si>
    <t>Softeq</t>
  </si>
  <si>
    <t>Mr. Albert Esser serves as Chief Delivery Officer at Softeq. He is a seasoned global technology executive with expertise in managing large teams in a distributed workforce model. Albert brings 30 years of experience in technology and consulting to Softeq. Before joining the team, he began his career as a Staff Scientist at Daimler AG. He subsequently held leadership positions at GE, Emerson, Hilti, and Dell, where he worked on various high-profile projects worldwide. At Softeq, he leads the Delivery organization including Solutions Engineering, Project Management, and Resource Management. He is expanding the team's capabilities and agility by adding to the global network of consultants. He's also ensures Softeq leads the way in emerging technologies like loT, AI/ML, vision systems, industrial automation, robotics, cloud applications, and cyber security. He is a Senior Research Fellow at the University of Texas, Austin, TX. He received his MS and PhD in Electrical Engineering from the University of Aachen, Germany. He published a book on wireless transmission of electric power and signals for robots, over 10 papers, received an Outstanding Prize Paper Award jointly from the IEEE/Industrial Application Society and the IEE Japan, holds over 15 US patents, and received numerous company awards, including the GE Dushman Award, the company's highest-ranking team award</t>
  </si>
  <si>
    <t>+1 (888) 552-5001</t>
  </si>
  <si>
    <t>albert.esser@softeq.com</t>
  </si>
  <si>
    <t>1155 Dairy Ashford Road</t>
  </si>
  <si>
    <t>77079</t>
  </si>
  <si>
    <t>Chief Delivery Officer</t>
  </si>
  <si>
    <t>313142-95P</t>
  </si>
  <si>
    <t>Anna Tiomina</t>
  </si>
  <si>
    <t>Tiomina</t>
  </si>
  <si>
    <t>Ms. Anna Tiomina serves as Chief Financial Officer at Softeq. Anna spent half a decade in the pharma industry, holding top management positions in finance at Sandoz. Before that Anna worked in the steel industry at a major national steel works. Anna holds an MBA from the Vienna University of Economics and Business.</t>
  </si>
  <si>
    <t>311571-46P</t>
  </si>
  <si>
    <t>Christopher Howard</t>
  </si>
  <si>
    <t>Mr. Christopher Howard is the Founder and serves as Chief Executive Officer and President at Softeq. He is also a Founding General Partner at SoftEQ Venture Studio.</t>
  </si>
  <si>
    <t>chris.howard@softeq.com</t>
  </si>
  <si>
    <t>Founder, Chief Executive Officer &amp; President</t>
  </si>
  <si>
    <t>178007-41P</t>
  </si>
  <si>
    <t>Craig Ceccanti</t>
  </si>
  <si>
    <t>Ceccanti</t>
  </si>
  <si>
    <t>Mr. Craig Ceccanti serves as Chief Operating Officer &amp; Managing Partner at Softeq. Mr.Ceccanti is the Co-Founder and serves as Board of Director at Pinots Palette Dubuque. He served as Board Member at Bread Man Baking Co. He co-founded &amp; served as Chief Technology Officer, Chief Financial Officer &amp; currently serves as Board Member at sEATz. Houston's first and premier, upscale BYOB Painting Studio. As a pioneer in the newly developed and rapidly expanding Sip and Paint industry, Craig has directed an innovative start-up business with one location to a concept that is now being sold nationwide. His contributions at Pinot's Palette have involved strategy, financing, architecting proprietary technology, developing and standardizing operations, fundraising, and building a team-based culture and a purpose-driven brand. These efforts have helped Pinot's Palette attract both local and national media attention from TLC Network, The Business Journal, 002 Houston, Envy, Houston Press, ABC 13, and Great Day Houston, among others. Outside of Pinot's Palette, Craig stays true to his background in Consulting and Project Management. He actively devotes his time to supporting young entrepreneurs, charities, and alumni chapters in the Houston community. Some of his favorite projects include teaching "Marketing for Small Business" at Rice University's Jones Graduate School and coaching at Vintage CrossFit.</t>
  </si>
  <si>
    <t>craig.ceccanti@softeq.com</t>
  </si>
  <si>
    <t>351896-23P</t>
  </si>
  <si>
    <t>Edwin Lemus</t>
  </si>
  <si>
    <t>Lemus</t>
  </si>
  <si>
    <t>Mr. Edwin Lemus serves as Chief People Officer at Softeq.</t>
  </si>
  <si>
    <t>edwin.lemus@softeq.com</t>
  </si>
  <si>
    <t>313143-31P</t>
  </si>
  <si>
    <t>Joel Carter</t>
  </si>
  <si>
    <t>Mr. Joel Carter serves as Chief Marketing Officer at Softeq. He began his career creating ad campaigns for leading B2B and B2C technology brands such as IBM, Tandon and Cellular One. He then moved to marketing leadership for consumer electronics giant Tandy Corporation.</t>
  </si>
  <si>
    <t>joel.carter@softeq.com</t>
  </si>
  <si>
    <t>47703-79P</t>
  </si>
  <si>
    <t>Titus Brenninkmeijer</t>
  </si>
  <si>
    <t>Titus</t>
  </si>
  <si>
    <t>Solgenix</t>
  </si>
  <si>
    <t>Mr. Titus Brenninkmeijer serves as a Board Member at Accion. Mr. Brenninkmeijer is the Founder and serves as President at Solgenix. He also served as Board Member at Pod Generating Group. He also serves as a Pasadena Angels Investor and Member at Pasadena Angels. He is a social entrepreneur whose work has focused on assisting global entrepreneurs to grow sustainable businesses through the development of commercially viable applications. He was a Board Member of PHAT Energy. His decades-long experience in international retail allows him to leverage deep knowledge of consumer behavior and trends to help his partners successfully target current and future consumer needs. Before entering the solar energy industry in 2003, he spent 25 years in the retail industry in the United Kingdom, Germany, Spain, Brazil, and the U.S. In 2005, he founded Solgenix, an investment company with a focus on privately-held solar energy companies in developed as well as emerging markets. He is also a co-founding member and sits on the Steering Committee of the REDCO (Rural Energy Delivery Companies) Alliance, a group of thirteen solar energy entrepreneurs from Latin America, Africa, and Asia. He serves as Chairman of the Energy Access Foundation (EAF), which he co-founded in 2006. The EAF is a nonprofit organization devoted to providing support and funding for innovation in clean energy delivery in the rural marketplace in emerging markets. He is a board member and partner of Phatenergy, a company focused on the installation of solar systems in Southern California. He serves on the boards of ACCION, a nonprofit that supports microfinance institutions in close to 30 countries across the globe; TechnoServe, a nonprofit that works with enterprising people in the developing world; and the Huntington Library and Gardens, based in San Marino, California. He holds a B.A. from Boston College and an MBA from the Haas School of Business at the University of California, Berkeley.</t>
  </si>
  <si>
    <t>+1 (626) 432-5470</t>
  </si>
  <si>
    <t>titus@solgenix.net</t>
  </si>
  <si>
    <t>315 Meigs Road</t>
  </si>
  <si>
    <t>Suite A-271</t>
  </si>
  <si>
    <t>93109</t>
  </si>
  <si>
    <t>+1 (626) 628-3734</t>
  </si>
  <si>
    <t>47723-95P</t>
  </si>
  <si>
    <t>Alan Clayton</t>
  </si>
  <si>
    <t>SOSV</t>
  </si>
  <si>
    <t>Mr. Alan Clayton serves as Global Roaming Mentor at SOSV. Mr. Clayton serves as Advisor at Scooterson. He founded and owned Wish4 Fairtrade. He also served as a Board Member at MakersTV.net. Alan is one of the four original founders of Amadeus International, a coaching consultancy which grew to more than 35 consultants, with international clients including Motorola, AT&amp;T, GlaxoSK, Aviva, and Shell. Since 1997, Alan has delivered 'The Entrepreneurial Mindset' program to startups of all types, on behalf of regional enterprise boards. He serves on the Enterprise Ireland mentor team, coaching companies in such sectors as food, technology, theatre production, and media. He also serves as Advisor at Rob OReilly. He received his degree in Business Studies from Kingston University.</t>
  </si>
  <si>
    <t>+353 (0)21 473 273</t>
  </si>
  <si>
    <t>alan.clayton@sosv.com</t>
  </si>
  <si>
    <t>12 South Mall</t>
  </si>
  <si>
    <t>T12 RD43</t>
  </si>
  <si>
    <t>Global Roaming Mentor</t>
  </si>
  <si>
    <t>351256-15P</t>
  </si>
  <si>
    <t>Andrew Gollach</t>
  </si>
  <si>
    <t>Gollach</t>
  </si>
  <si>
    <t>Mr. Andrew Gollach serves as a Partner at SOSV. He serves as a Partner at HAX. He also works closely with companies after investment, helping them de-risk their technology, develop scalable go-to-market strategies, and secure additional funding. He has over 10 years of technical and operational experience in renewable fuels and traditional oil and gas industries, where he worked as an engineer in nine different countries. He led a team on the deployment of a first-of-its-kind low-carbon fuels facility while at LanzaTech which went public in 2023 and contributed to the operations of many more large CAPEX projects. He holds an MBA from Carnegie Mellon and a BS in Chemical Engineering from Michigan Technological University.</t>
  </si>
  <si>
    <t>andrew.gollach@sosv.com</t>
  </si>
  <si>
    <t>174 Nassau Street</t>
  </si>
  <si>
    <t>59565-70P</t>
  </si>
  <si>
    <t>Arvind Gupta</t>
  </si>
  <si>
    <t>Mr. Arvind Gupta serves as a Partner at Mayfield Fund. Mr. Gupta also serves as a Venture Advisor at SOSV. He is the Founder and serves as Venture Advisor at IndieBio. He serves as a Board Member at New Culture, Geltor, Prellis Biologics, Windfall Bio, Vivid Vision, and Prolific Machines. He served as a Board Member at SyntheX. He served as a Board Member at Doloromics. He served as a Board Member at Filtricine and MotionSavvy. Beginning his professional life as an options market maker in the Pacific Coast Exchange in the Microsoft pit, he left trading in search of a career with deeper meaning. He set out and discovered design when IDEO hired him. As a design director of product development and strategy at IDEO, he led the team that designed the Samsung Galaxy Curve, amassed 8 patents, received many international design awards, and moved to Shanghai to build the Asia product design team. Further, he co-founded Starters, a personal fitness app that gained thousands of users in 98 countries. Joining SOSV in 2013, he became a venture capitalist investing in biotech and deep science technologies, including AR/VR and new user interfaces. He is a regular speaker at TEDx, TechCrunch Disrupt, Slush conference, Startup Iceland, and SFMOM, among others. His writing appears in Nature, Rotman, Forbes, and Design Observer. He has been awarded 8 US Patents and has had his work in the SF Museum of Modern Art. He received his B.S. in Genetic Engineering from UCSB and studied Industrial Design at SFSU.</t>
  </si>
  <si>
    <t>+1 (650) 854-5560</t>
  </si>
  <si>
    <t>arvind@mayfield.com</t>
  </si>
  <si>
    <t>2484 Sand Hill Road</t>
  </si>
  <si>
    <t>+1 (650) 854-5712</t>
  </si>
  <si>
    <t>Mayfield Fund</t>
  </si>
  <si>
    <t>57985-75P</t>
  </si>
  <si>
    <t>Benjamin Joffe</t>
  </si>
  <si>
    <t>Joffe</t>
  </si>
  <si>
    <t>Mr. Benjamin Joffe serves as a Senior Partner at SOSV. He serves as Advisor at RayIoT. He served as a Venture Advisor at 500 Startups. He serves as an Advisor at Feel Therapeutics. He works with startups on strategy, marketing, PR, and fundraising. He is considered a global thought leader on deep tech innovation and ecosystems and has represented SOSV at many global events such as TechCrunch Disrupt, Hello Tomorrow!, and Slush. He has also lectured at Berkeley Haas, CentraleSupelec, the National University of Singapore, and Zhejiang University where he gave a course on Deep Tech Ventures. He has been featured on Bloomberg TV, in The Wall Street Journal, The Economist, Nature, and Wired, and has also contributed to TechCrunch, Forbes, VentureBeat, and IEEE Spectrum. Before SOSV, he was the founder of a strategy consultancy that researched Asia-based digital innovations supporting clients such as Microsoft, Citi, and Harvard Business School. He also founded Mobile Monday Beijing, a community of thousands of mobile industry professionals in China.</t>
  </si>
  <si>
    <t>benjamin.joffe@sosv.com</t>
  </si>
  <si>
    <t>7 Penn Plaza</t>
  </si>
  <si>
    <t>59566-51P</t>
  </si>
  <si>
    <t>Brian Murphy</t>
  </si>
  <si>
    <t>Mr. Brian Murphy serves as Finance Director at SOSV. Before joining SOSventures in May 2013, Brian was responsible for the financial planning and management of international companies ranging from Global Banking Institutions (HBOS) to Multinational Construction Conglomerates to an Irish-based SME Automotive Company (AVIS Johnston &amp; Perrott). Brian's Accounting &amp; Engineering background merges analytical problem-solving skills with a deep commercial understanding of Financial Control, Financial Modeling &amp; Planning resulting in a unique ability to analyze and solve complex business challenges in an efficient, strategic and methodical manner. As a member of the SOSventures finance team, he is responsible for the day-to-day management of all financial and legal business of SOSv and its 70+ investment companies. In addition to his membership of the Institute of Chartered Accountants in Ireland, Brian holds a degree in Civil &amp; Environmental Engineering from University College Cork and has held a Masters in Business (MBS) from the Cork Institute of Technology.</t>
  </si>
  <si>
    <t>+353 (0)21 470 0991</t>
  </si>
  <si>
    <t>brian.murphy@sosv.com</t>
  </si>
  <si>
    <t>351253-99P</t>
  </si>
  <si>
    <t>Carmelo Vivas</t>
  </si>
  <si>
    <t>Carmelo</t>
  </si>
  <si>
    <t>Vivas</t>
  </si>
  <si>
    <t>Mr. Carmelo Vivas serves as Investment Analyst at SOSV. He joined SOSV as part of the Investment Team at the Office of the Managing General Partner, supporting cross-functional operations and relationships. He has previously worked as an operations and change management leader in logistics and nonprofit organizations in New Jersey, New York, and Puerto Rico. He graduated from Rutgers University with BA in Philosophy and Comparative Literature. He also completed undergraduate work (no degree) at the University of Puerto Rico - Mayagüez.</t>
  </si>
  <si>
    <t>40070-35P</t>
  </si>
  <si>
    <t>Cyril Ebersweiler</t>
  </si>
  <si>
    <t>Cyril</t>
  </si>
  <si>
    <t>Ebersweiler</t>
  </si>
  <si>
    <t>Mr. Cyril Ebersweiler is the Founder &amp; serves as Managing Director at Hax. He serves as Advisor at RayIoT. He serves as a Board Member at Labrador. He serves as a General Partner at SOSV SCGC China Management Company. He served as an Investment Panel Member at SEEDS Capital. He served as a Board Member at Aylien. He serves as a Board Member at Amber Agriculture. He serves as a Board Member at Volterra. He served as the Board Member at Nextly and Leap Motion. A hardware investor, visionary, and serial entrepreneur, he was SOSV's first general partner to run an accelerator, starting Chinaccelerator, the first mentorship-driven seed-funding program in China. He serves as a Board Member in Formlabs. He serves as an Advisor at ViaBot. He serves as an Advisor at Monogram.</t>
  </si>
  <si>
    <t>cebersweiler@hax.co</t>
  </si>
  <si>
    <t>7Floor, Black Ark (CEC Science &amp; Technology Building D)</t>
  </si>
  <si>
    <t>Shennan Middle Road 2070, Futian District</t>
  </si>
  <si>
    <t>518028</t>
  </si>
  <si>
    <t>HAX</t>
  </si>
  <si>
    <t>122848-93P</t>
  </si>
  <si>
    <t>Deborah Zajac</t>
  </si>
  <si>
    <t>Ms. Deborah Zajac served as Managing Director at Cerity Partners Ventures. She serves as General Partner at SOSV. She joined Touchdown Ventures in 2016 and has launched and run multiple corporate venture funds. She has over 15 years of experience in investment, innovation, and development in healthcare, IoT, consumer, industrials, retail, mobile, energy, and frontier tech. Before joining Touchdown, she worked at GE Ventures and with four of its predecessor funds at GE Corporate, where she also crafted partnerships to develop novel products and businesses globally. She began her career as a management consultant at Andersen and joined Celarix.com and GE to grow and transform their businesses in enterprise software, aerospace, industrials, manufacturing, and logistics. She received an MBA from the NYU Stern School of Business, a BS in Finance, and a BA in Asian Studies from Lehigh University, where she was an Iacocca and Trustee Scholar. She served two terms as a Trustee of Lehigh University, founding Advisor for Lehigh's Baker Center for Entrepreneurship, Creativity, and Innovation, and an Exec-In-Residence at Columbia University's Tech Ventures.</t>
  </si>
  <si>
    <t>81082-36P</t>
  </si>
  <si>
    <t>Duncan Turner</t>
  </si>
  <si>
    <t>Mr. Duncan Turner serves as a General Partner at SOSV. He serves as Managing Director at Hax Incubator. He serves as a Board Member &amp; Advisor at RockMass Technologies. He serves as Advisor at Kegg. He serves as Board Member and Advisor at Feel. He serves as Advisor at Bartesian. He serves as Board Member at Artyc, RxAll, WakeCap &amp; Seppure. He served as Board Member at Nura. He serves as Board Member at Sana Health, VoltStorage, and Nura. He comes from IDEO, where he led a broad range of strategic projects. Prior to IDEO, He successfully launched and scaled hardware startups in the U.K. and China. He has taken numerous products to market, from early conception to final development and sales. He joins HAXLR8R as the company's program director and will be managing the Shenzhen office and accelerator programs. He will be in charge of the operations, the strategic direction of the program and provide hands-on mentoring to HAXLR8R startups. He holds a degree from Sheffield Hallam University and an MA in Industrial Design Engineering from Royal College of Art.</t>
  </si>
  <si>
    <t>duncan.turner@sosv.com</t>
  </si>
  <si>
    <t>Newark, NJ</t>
  </si>
  <si>
    <t>2 Cedar Street</t>
  </si>
  <si>
    <t>07102</t>
  </si>
  <si>
    <t>307800-82P</t>
  </si>
  <si>
    <t>Hugh Bowen</t>
  </si>
  <si>
    <t>Bowen</t>
  </si>
  <si>
    <t>Mr. Hugh Bowen serves as an Associate at SOSV. He works with startups across industries including some of the former RebelBio companies in the US and all IndieBio EU companies. He provides support for follow-on investment and continuous development of SOSV's global ecosystem of founders, partners, and investors. In addition to working with existing program investments, he is researching and sourcing potential opportunities in the emerging Quantum Software vertical. He also participates in relevant IC meetings. Prior to joining SOSV, he worked as a data consultant for Kubrick Group, Europe's fastest-growing private company. As a Data Product Consultant, He worked with clients connecting technical and business development teams to establish effective data-centric projects. He has a mixture of technical and financial experience. He holds a degree in Mathematics from the University of St Andrews.</t>
  </si>
  <si>
    <t>hugh.bowen@sosv.com</t>
  </si>
  <si>
    <t>209021-68P</t>
  </si>
  <si>
    <t>Ji Ke</t>
  </si>
  <si>
    <t>Ke</t>
  </si>
  <si>
    <t>Mr. Ji Ke serves as Partner at SOSV. He is responsible for driving the content and delivery of the HAX Seed accelerator program in Shenzhen. He oversees all elements of recruitment, application review, due diligence, curriculum development, mentorship development, and program execution. He also provides ongoing mentorship and support for teams in-program and HAX alumni. He is a mechanical engineer by training, who came to HAX most recently from IDEO. He brings with him a unique combination of experience in factory automation, product design, and high-speed machinery. He is skilled in designing complex mechanisms for a wide range of industries. His patent portfolio includes DMLS, machine vision, nursery products, industrial machinery, air compressors, and diesel engine components. He serves as Partner &amp; Chief Technology Officer at HAX. He earned his Master's degree from the University of Toronto.</t>
  </si>
  <si>
    <t>ji.ke@sosv.com</t>
  </si>
  <si>
    <t>114485-77P</t>
  </si>
  <si>
    <t>Joshua Torrey</t>
  </si>
  <si>
    <t>Torrey</t>
  </si>
  <si>
    <t>Mr. Joshua Torrey serves as Manager, Information Technology at SOSV. Josh is responsible for managing, implementing, troubleshooting, and supporting SOSV's internal IT processes and systems. This includes administration of internal email and CRM applications, development and maintenance of SOSV and program websites, and working closely with the IT team on constant system improvement and risk management. Josh graduated from Connecticut College with a degree in Philosophy, and has a certification in Information Storage and Management from EMC. Josh previously worked as a technical support engineer for Dell/EMC. He lives in Cape Cod.</t>
  </si>
  <si>
    <t>joshua.torrey@sosv.com</t>
  </si>
  <si>
    <t>Manager, Information Technology</t>
  </si>
  <si>
    <t>441765-28P</t>
  </si>
  <si>
    <t>Katie Hoffman</t>
  </si>
  <si>
    <t>Ms. Katie Hoffman serves as General Partner at SOSV. Previously, Ms. Hoffman was a founding partner and investment committee member at Regeneration.VC, an early-stage venture fund investing in circular hardware and software. With nearly 15 years in climate policy and investment, she helped launch one of the first low-carbon ETFs on the NYSE and crafted climate-smart strategies for institutions, family offices, and brands. She has developed green tech incubator, accelerator, and syndicate programs at the University of California, New Energy Nexus, NEXUS Global, and with Women Moving Markets, supporting over 100 companies. She holds degrees in History and Environmental Science from UC Berkeley.</t>
  </si>
  <si>
    <t>katie.hoffman@sosv.com</t>
  </si>
  <si>
    <t>59570-83P</t>
  </si>
  <si>
    <t>Kelly Kirkpatrick</t>
  </si>
  <si>
    <t>Ms. Kirkpatrick serves as Partner &amp; Director of Investor Relations at SOSV. She has also conducted policy research, analysis, and implementation for the California Environmental Protection Agency's Department of Toxic Substances Control. As an Executive Fellow of the Governor's Office State of California 2011-2012, she regularly briefed policymakers and regulation development teams on hazardous waste permitting, consumer product safety, and pollution prevention issues. Her true passion is finding ways to broaden and deepen community knowledge, setting the stage for effective civic engagement, and helping citizens make a difference. While at the Evanston community foundations, the Chicago Community Trust, and the Sierra Health Foundation, she coordinated a range of community leadership initiatives. This included innovative capacity building, health, and youth grant programs for local foundations and alumni networks. As a Public Policy advisor, she supports all organizations and movements that are benefactors of the O'Sullivan Foundation. These organizations focus on STEM (Science, Technology, Engineering, and Math) education, environment, and humanitarian outreach. She is very involved in activities for the Irish Entrepreneur Forum and Open Ireland, as well as Khan Academy and CoderDojo. She was awarded the George J. Mitchell Scholar 2012-2013 by the US-Ireland Alliance to complete her studies at UCC. The program aims to encourage peace and relationship-building between the US, Ireland, and Northern Ireland. She holds a Bachelor of Science (BSEd) in Social Policy and a Master's Business Science degree in Government from University College Cork.</t>
  </si>
  <si>
    <t>kelly.kirkpatrick@sosv.com</t>
  </si>
  <si>
    <t>O'Sullivan Foundation (Former)</t>
  </si>
  <si>
    <t>132106-69P</t>
  </si>
  <si>
    <t>Maria O'Brien</t>
  </si>
  <si>
    <t>Ms. Maria O'Brien serves as Senior Operating Partner at SOSV. She leads the SOSV legal team based in Cork, Ireland. In her role, she oversees all legal matters for the firm, including reviewing, coordinating, and managing 150+ program and follow-on investments annually, providing counsel to SOSV General Partners on investments and partnerships, and actively mentoring SOSV startups and entrepreneurs on a variety of corporate and commercial matters. She holds a law degree from University College Cork and is a member of the Law Society of Ireland and an associate of the Irish Tax Institute. She previously worked in private practice as a commercial solicitor before joining SOSV as an in-house counsel.</t>
  </si>
  <si>
    <t>maria.obrien@sosv.com</t>
  </si>
  <si>
    <t>Senior Operating Partner</t>
  </si>
  <si>
    <t>47722-06P</t>
  </si>
  <si>
    <t>Mary Zhucui</t>
  </si>
  <si>
    <t>Zhucui</t>
  </si>
  <si>
    <t>Ms. Mary Zhucui serves as Risk Controller at SOSV. She serves as a Risk Controller at SOSV SCGC China Management Company. She provides operational line management with comprehensive and professional integrated risk management, including people management, reporting to local regulators, and relationships with LPs. She is an integral member of the SOSV finance team. She has managed tax, payroll, and expense processes for SOSV's 100+ staff across three continents. She brings her extensive experience interfacing between Asia and international markets to SOSV. Before joining SOSV, she acted as the international liaison for SOSV portfolio companies working in Asia. Aside from her work with SOSV, she has had a variety of unique roles primarily in the social impact space. She co-founded Flowers of the Mountain, an NGO aimed at alleviating educational inequalities in rural villages in western China. Her work has given her a strong background in educational programming and social enterprise fundraising.</t>
  </si>
  <si>
    <t>mary.zhucui@sosv.com</t>
  </si>
  <si>
    <t>Risk Controller</t>
  </si>
  <si>
    <t>241645-33P</t>
  </si>
  <si>
    <t>Meghan Hind</t>
  </si>
  <si>
    <t>Hind</t>
  </si>
  <si>
    <t>Ms. Meghan Hind serves as Data and Business Analyst at SOSV. Her role includes gathering and analyzing data on SOSV portfolio companies and syndicate investors, managing the funds' databases and CRM, and reporting SOSV's quarterly investments to external data providers including PitchBook, Crunchbase, and Preqin. She is a graduate of Harvard College and NUI Galway She served as an Executive at IndieBio.</t>
  </si>
  <si>
    <t>meghan.hind@sosv.com</t>
  </si>
  <si>
    <t>Data and Business Analyst</t>
  </si>
  <si>
    <t>441767-62P</t>
  </si>
  <si>
    <t>Melanie O'Connor</t>
  </si>
  <si>
    <t>Ms. Melanie O'Connor serves as Investor Relations Associate at SOSV. She holds a Business degree from Trinity College Dublin, where she specialized in financial management, investments, strategic management, and international macroeconomics.</t>
  </si>
  <si>
    <t>melanie.oconnor@sosv.com</t>
  </si>
  <si>
    <t>50365-09P</t>
  </si>
  <si>
    <t>Mohan Iyer</t>
  </si>
  <si>
    <t>Mr. Mohan Iyer serves as General Partner at SOSV. He serves as General Partner at IndieBio. He serves as Board Member at Proton Intelligence. He serves as a Board Member at SyntheX. He served as Chief Operating Officer at Pendulum Therapeutics. Previously he served as the Chief Business Officer at Second Genome. Most recently, he was Chief Financial and Business Officer of Tethys Bioscience. Previously, he was Managing Director in the merchant banking group at Burrill &amp; Company where he advised biotech companies on partnering and M&amp;A transactions. He also spent seven years as a member of the executive team at diaDexus where he played a key role in the commercialization of a novel diagnostic product for cardiovascular risk assessment. He brings deep operational experience with over 25+ years as an entrepreneur and leader at various life science startups where he enjoyed developing strategy, building successful teams, executing against complex operational goals, fundraising in good times and bad, and forging creative sell-side strategic partnering and M&amp;A deals. Having walked in these shoes, he is passionate about serving genius entrepreneurs to realize their mission of a better world by creating, scaling, and exiting meaningful new companies. He holds a BS in Chemical Engineering from the University of Tennessee, an MS in Biomedical Engineering from Duke University, and an MBA from Yale University. He serves as Advisor at Laguna Bio. He is an Angel Investor.</t>
  </si>
  <si>
    <t>mohan.iyer@sosv.com</t>
  </si>
  <si>
    <t>2565 3rd Street</t>
  </si>
  <si>
    <t>Suite 318</t>
  </si>
  <si>
    <t>235517-68P</t>
  </si>
  <si>
    <t>Pae Wu Ph.D</t>
  </si>
  <si>
    <t>Pae</t>
  </si>
  <si>
    <t>Dr. Pae Wu serves as General Partner at SOSV. She also serves as Chief Technology Officer &amp; General Partner at IndieBio. At IndieBio, she is responsible for portfolio management and technical oversight. She has invested in high-risk solutions to intractable problems in both government and corporate contexts. She applies rigorous science and engineering to transform emerging technologies into solutions for national defense, humanity, and the planet. She is especially passionate about bridging engineered materials and systems to biology.
Prior to joining IndieBio, she served as the Scientific Director of Telefónica's moonshot factory - Alpha (Barcelona), Science Director at the US Office of Naval Research - Global (Singapore), and technical consultant at the Defense Advanced Research Projects Agency (DARPA). She holds degrees in Electrical Engineering from Duke (Ph.D.) and Princeton (BS).</t>
  </si>
  <si>
    <t>pae.wu@sosv.com</t>
  </si>
  <si>
    <t>217014-94P</t>
  </si>
  <si>
    <t>Po Bronson</t>
  </si>
  <si>
    <t>Po</t>
  </si>
  <si>
    <t>Mr. Po Bronson serves as Managing Director &amp; General Partner at IndieBio. He serves as General Partner at SOSV. He serves as Board Member at Prolific Machines &amp; Spiral Wave. He works with teams on their storytelling to investors and partners and guides IndieBio's strategic thinking around future markets. He is passionate about reconceptualizing complex challenges into more elegant forms, to broaden understanding and highlight priorities. He is a longtime science journalist honored with nine national awards and the author of seven bestselling books. Prior to IndieBio, he spent four years as a Futurist with Attention Span Media, consulting corporate innovation efforts for globally-recognized brands. He was a finance and tech journalist covering Silicon Valley for Wired, The New York Times Magazine, and an op-ed contributor for The Wall Street Journal. His science journalism has been honored with nine national awards, and he is the author of seven bestselling books that are available in 28 languages worldwide. His work has been cited in 185 academic journals and 503 books. He learned finance at Credit Suisse and consulting at a division of Arthur Andersen. He has significant experience leading complex customer service organizations, building communities, and even communities of like-minded companies. He's navigated public-private partnerships with many government agencies. Most recently, he is the co-author of Decoding the World: A Roadmap for the Questioner, published by Twelve Books, a division of the Hachette Publishing Group. His background is in Economics.</t>
  </si>
  <si>
    <t>po.bronson@indie.bio</t>
  </si>
  <si>
    <t>479 Jessie Street</t>
  </si>
  <si>
    <t>Managing Director &amp; General Partner</t>
  </si>
  <si>
    <t>IndieBio</t>
  </si>
  <si>
    <t>306599-68P</t>
  </si>
  <si>
    <t>Sabriya Stukes Ph.D</t>
  </si>
  <si>
    <t>Sabriya</t>
  </si>
  <si>
    <t>Stukes</t>
  </si>
  <si>
    <t>Dr. Sabriya Stukes serves as Partner at SOSV. She serves as Chief Scientific Officer &amp; Partner at IndieBio. Before joining, she was Operations Director for Stellate Therapeutics, a biotech company developing microbiome-derived therapeutics to treat neurodegenerative diseases. After earning her Ph.D. in Biomedical Sciences from the Albert Einstein College of Medicine, she was the founding Associate Director for the Master's in Translational Medicine (MTM) program at The City College of New York, NYC's first and only graduate degree that educates and trains scientists and engineers in the hands-on process of medical technology commercialization and healthcare innovation. She holds a Ph.D. (Doctor of Philosophy) in
Biomedical Sciences from Albert Einstein College of Medicine.</t>
  </si>
  <si>
    <t>39039-58P</t>
  </si>
  <si>
    <t>Sean O'Sullivan</t>
  </si>
  <si>
    <t>Mr. Sean O'Sullivan is the Founder &amp; serevs as Managing General Partner at SOSV. Mr. O'Sullivan serves as Board Member at Prellis Biologics. He serves on Investment Advisory Board at AIF. He also serves as a Board member at Sun Genomics. He is a Co-Founding Limited Partner and also serves as Investment Advisor at Autism Impact Fund. After his first startup went public in 1994, he founded SOSV in 1995 as a "super angel." In 2007, based on the success of two dozen investments that had done remarkably well, he began expanding SOSV and transitioning it from a personal investment vehicle into an organization that today has about 100 staff supporting investments into 70 new startups every year, as well as follow-on investments in another 200 or so SOSV startups. In 2023, SOSV had 8 general partners operating globally with major offices in San Francisco, New York, Cork, Newark, Pune, and Shenzhen. The company also has staff in over 10 US states; Tokyo, Japan; Singapore; and London, UK. He got his entrepreneurial start in 1985 as a founder of MapInfo, inventing street mapping technology for personal computers. MapInfo went on to become a $200 million revenue public company with over 1,000 employees worldwide. In 1996, while at the helm of his second company, NetCentric, he created "software for inside the Internet" and is credited with co-creating the term "cloud computing" alongside George Favaloro from Compaq. He continued as an entrepreneur and investor, creating and supporting a range of business, humanitarian, and educational endeavors. A major promoter of economic and social development, he founded JumpStart International in 2003. JumpStart was a leading humanitarian engineering organization based in Baghdad and which operated throughout Iraq during the post-war period of 2003-2006. He spent a few years running JumpStart, which for a time had a staff of more than 3,000, running up to 80 projects at a time in Baghdad, Fallujah, and Najaf. As the benefactor of the O'Sullivan Foundation, he has also been a primary funder of organizations such as Khan Academy (http://www.khanacademy.org), I-ASC (http://i-asc.org/), and CoderDojo (http://coderdojo.com). As the founding Chairman of the Irish Entrepreneurship Forum and founder of Open Ireland, he was a leader and influencer of Irish government policy in fueling economic growth and recovery in the technology sector. He was a regular investment panelist on the popular RTÉ TV show Dragon's Den and an occasional columnist for Ireland's Sunday Business Post. He holds a Bachelor of Science in Electrical Engineering from Rensselaer Polytechnic Institute and a Master of Fine Arts in Film Production from the University of Southern California.</t>
  </si>
  <si>
    <t>sean.osullivan@sosv.com</t>
  </si>
  <si>
    <t>166254-76P</t>
  </si>
  <si>
    <t>Sheng Ge</t>
  </si>
  <si>
    <t>Ge</t>
  </si>
  <si>
    <t>Mr. Sheng Ge serves as Partner, Investments Operations at SOSV. He is a Partner at SOSV, where he works directly with SOSV Founder and Managing General Partner Sean O'Sullivan on various aspects of the firm, from global strategies to Sean's investment portfolio at SOSV. He graduated from Bowdoin College with BA in Economics and Music.</t>
  </si>
  <si>
    <t>sheng.ge@sosv.com</t>
  </si>
  <si>
    <t>Partner, Investments Operations</t>
  </si>
  <si>
    <t>152291-89P</t>
  </si>
  <si>
    <t>Siobhán Murphy</t>
  </si>
  <si>
    <t>Siobhán</t>
  </si>
  <si>
    <t>Ms. Siobhán Murphy serves as General Counsel at SOSV. Her main responsibility is managing legal issues for all of SOSV's global programs. In this capacity, she executes over 150 contracts, founders agreements, and other legal documents annually to support the onboarding process and supports founders with a wide range of legal queries. She holds a degree in Corporate Law and a Postgraduate Degree in Civil Law from National University of Ireland Galway, and a Masters Degree in European and International Business Law from Trinity College Dublin. She has recently received a Diploma in Technology and Intellectual Property Law from the Law Society of Ireland.</t>
  </si>
  <si>
    <t>siobhan.murphy@sosv.com</t>
  </si>
  <si>
    <t>172614-07P</t>
  </si>
  <si>
    <t>Stephen Chambers Ph.D</t>
  </si>
  <si>
    <t>Dr. Stephen Chambers served as a Board Observer at Eachday. He serves as Managing Director &amp; General Partner at IndieBio. He serves as General Partner at SOSV. He Serves as Board Member at Bioeutectics. Previously, he served as Chief Executive Officer at SynbiCITE. He has a wealth of experience in life science-based start-up companies. At IndieBio, he oversees relationship-building between founders, investors, mentors, and partners. He was one of the founding scientists at Vertex Pharmaceuticals, working on many drug discovery programs, resulting in the FDA approval of Agenerase &amp; Lexiva. He went on to co-found Abpro Therapeutics, employing synthetic biology and immunology to accelerate antibody discovery and development. Recruited as CEO of SynbiCITE, the Innovation and Knowledge Center for Synthetic Biology in the UK, he oversaw a dramatic growth in the synthetic biology innovation ecosystem with a record number of startups and fundraising in this sector. At the same time, he co-founded Bio-start, the UK's first Life Science accelerator. He has co-authored over 30 peer-reviewed scientific publications, including Nature and Cell, and has several patents issued. He has been featured in Huffington Post, Upstart, and BioScience, and is a regular conference speaker and government advisor on Life Science innovation and entrepreneurship. He has a Ph.D. in Molecular Biology and was recently awarded Royal Society Entrepreneur in Residence at Imperial College London. He is a Member of the Royal Society's Industrial Fellows College and a Fellow of the Royal Society of Biology. He completed his MS in Biochemical Engineering from Birmingham University and his BS in Biochemistry from the University of Wales.</t>
  </si>
  <si>
    <t>stephen.chambers@indiebio.co</t>
  </si>
  <si>
    <t>1188 York Avenue</t>
  </si>
  <si>
    <t>11016</t>
  </si>
  <si>
    <t>59566-42P</t>
  </si>
  <si>
    <t>Stephen McCann</t>
  </si>
  <si>
    <t>McCann</t>
  </si>
  <si>
    <t>Mr. Stephen McCann serves as Chief Financial Officer and General Partner at SOSV. He oversees the office in Cork, Ireland. He is responsible for the strategy and execution of all of SOSV's financial, investment, and legal operations. With deep experience working with startup companies, he enjoys solving complex business challenges and enabling startups of all sizes to thrive. Stephen is an active mentor to the 500+ companies in the SOSV portfolio. Before joining SOSV, Stephen held senior finance roles in a leading Irish semi-state organization, an international retail business, and a leading audit and accountancy firm. Stephen studied Finance (BSC) at University College Cork and has an IFRS diploma from the Association of Chartered Certified Accountants, of which he is also a fellow. Stephen speaks at events around Europe on a range of startup financing issues.</t>
  </si>
  <si>
    <t>stephen.mccann@sosv.com</t>
  </si>
  <si>
    <t>138955-15P</t>
  </si>
  <si>
    <t>Susan Schofer Ph.D</t>
  </si>
  <si>
    <t>Schofer</t>
  </si>
  <si>
    <t>Dr. Susan Schofer serves as Partner at SOSV. She serves as Partner and Chief Science Officer at Hax. She served as Senior Vice President, Business Development at Modern Meadow. She serves as a Board Observer at Kolibri. She is an experienced product development leader with over 10 years of experience in the biotechnology, renewable chemicals, and polymer industries. Prior to joining Modern Meadow, she worked at Amyris, on both the product development and commercial teams to bring renewable performance materials products to market. Before Amyris, She worked at Symyx Technologies, where she used automated, high-throughput workflows to discover and optimize new catalysts and materials for a range of applications. Earlier, she was a management consultant at Mitchell Madison Group. She received her bachelor's degree in chemistry from Brown University and her Ph.D. in chemistry from Caltech, and she was a National Science Foundation International Postdoctoral Fellow at Stockholm and Uppsala Universities where she worked to develop catalyst systems for artificial photosynthesis. She holds a Ph.D. in chemistry from Caltech and an Sc.B. in chemistry from Brown.</t>
  </si>
  <si>
    <t>susan.schofer@sosv.com</t>
  </si>
  <si>
    <t>306601-12P</t>
  </si>
  <si>
    <t>Westley Dang Ph.D</t>
  </si>
  <si>
    <t>Westley</t>
  </si>
  <si>
    <t>Dang</t>
  </si>
  <si>
    <t>Dr. Westley Dang serves as Principal at SOSV. He serves as Chief Scientific Officer &amp; Principal at IndieBio. He is a process-oriented systems thinker and loves tinkering with productivity tools and workflows. He knows every hotkey for every application and thinks ortho-linear keyboards are the bomb dot com. Halfway through his grad school career (in neuroscience), he realized that he was more concerned about the looming threat of climate change. He volunteered with the Surfrider Foundation San Diego as co-chair for the Rise Above Plastics committee and an Executive Committee member, where he focused on private and legislative efforts to reduce single-use plastic consumption in San Diego. He volunteered at a start-up accelerator in San Diego, advising start-ups alongside local business mentors in the area. He did his Ph.D. in Neuroscience in the lab of Mark Mayford at The Scripps Research Institute, where they used genetically-encoded markers to study neural ensembles thought to be the substrate for learning and memory. His project focused on the impact of aging on the ability to reactivate neurons during memory recall. He did his undergrad at the University of Puget Sound in Tacoma, WA, majoring in Biochemistry with a neuroscience emphasis.</t>
  </si>
  <si>
    <t>+1 (503) 585-1320</t>
  </si>
  <si>
    <t>westley.dang@sosv.com</t>
  </si>
  <si>
    <t>43419-16P</t>
  </si>
  <si>
    <t>William Bean</t>
  </si>
  <si>
    <t>Bean</t>
  </si>
  <si>
    <t>Mr. William Bean serves as Managing General Partner at Orbit Startups. Mr. Bean served as an Advisor at 888 VC and CITYDATA.ai. He serves as a Venture Partner at SOSV. He serves as a Board Member &amp; Advisor at NEUfast. He served as an Advisor at Eristica. He serves as an Advisor at Robin8 and The Mills Fabrica. He serves as a Board Member at The CareVoice, Boost Capital, Goama, and Phable. He serves as an Advisor at Reflect Ventures. He serves as a Board Observer at Flickstree. He is also an Advisor at Luxchain. He joined SOSV from SingTel Innov8 Ventures where he was Managing Director supporting China investments. While at Innov8, he led investments including Yodo1, GMobi, DemystData, Lekan, and Massive Impact. Previously, he was a Partner at Softbank China &amp; India Holdings, a venture capital firm backed by Softbank and Cisco, leading investments in China and South East Asia. He spent 11 years as an equity research analyst most recently with Deutsche Bank where he was responsible for Internet and Telecom Equipment in Asia and China technology, media, and telecom. Previously he covered Digital Media at Banc of America Securities in San Francisco and PC/Enterprise Hardware at Bear Stearns in New York. He was an active angel investor with 39 investments between 2004 and 2014. In 2006, he was ranked All-Asia analyst for Technology/Software and IT Services by Institutional Investor Magazine Asia. In 2005, he was ranked stock picker overall for Hong Kong/China and stock picker in technology, media, and telecom by Thomson Reuters Starmine. He currently sits on the boards of advisors/directors for some companies including Neonan, Robin8, Yodo1, DYAD, GMobi, Silk Road Telecom, iTalki, and kineticOne as well as organizations including Angelvest, Angelcrunch, AAMA Shanghai, Digital Matters, Techyizu, and the US-China Strong Foundation. He holds a BA from Bowdoin College. He serves as Board Member at ScanTrust.</t>
  </si>
  <si>
    <t>william.bao.bean@orbitstartups.com</t>
  </si>
  <si>
    <t>Managing General Partner</t>
  </si>
  <si>
    <t>Orbit Startups</t>
  </si>
  <si>
    <t>79510-87P</t>
  </si>
  <si>
    <t>William Farah JD</t>
  </si>
  <si>
    <t>Mr. William Farah serves as Legal Counsel at SOSV. Mr. William Farah serves as a Managing Partner of Scenic Lakeview. He served as Senior Vice President, Business Development at Oomba. He is the Principal at William Farah. As legal counsel at SOSV, William provides oversight on legal issues for SOSV's US-based accelerator programs. He is specifically involved in entity formation for new companies, and regularly advises founders and the firm on US law and regulatory requirements. William has been working with startups for nearly 10 years in a variety of areas. In his work, he counsels entrepreneurs regarding startup planning and legal issues confronted by early-stage companies, including entity formation, preparation of the company's business plan, financing, structuring and drafting the various corporate agreements among stockholders and partners. He also advises on securities financing, sales agreements, intellectual property licensing and other business contracts and filings. William graduated from University of Michigan with a BA in Economics and Political Science. William is also a Director at the First Step Foundation, which provides financial resources, support and personal training services to people with gross and fine motor disabilities.</t>
  </si>
  <si>
    <t>william.farah@sosv.com</t>
  </si>
  <si>
    <t>Legal Counsel</t>
  </si>
  <si>
    <t>266856-58P</t>
  </si>
  <si>
    <t>Yuan-Ting Meng</t>
  </si>
  <si>
    <t>Yuan-Ting</t>
  </si>
  <si>
    <t>Ms. Yuan-Ting Meng serves as Investment Lead, Africa at SOSV. Ms. Meng operated at the nexus of digital innovation, agribusiness, financial inclusion, and partnership across emerging economies, via her capacities at the World Bank Group, impact investment advisory and VC-backed Fintech startup. In her roles, she supported businesses and ecosystems in navigating the frontiers of disruptive technologies and building strategic alliances for impact. She writes column articles around the African digital tech ecosystem on DIGITIMES, a leading tech-focused media worldwide, with an aim to catalyze cross-border investment. Passionate about cross-border collaboration and venture investment with a keen focus on Africa, Asia, and Europe, she has lived and worked across four continents in Taiwan, Kenya, Ghana, South Africa, Uganda, the Netherlands, France, Russia, and the US. She holds an M.A. in Development Economics and International Business from the Fletcher School of Law and Diplomacy at Tufts University.</t>
  </si>
  <si>
    <t>yuan-ting.meng@sosv.com</t>
  </si>
  <si>
    <t>Investment Lead, Africa</t>
  </si>
  <si>
    <t>40292-38P</t>
  </si>
  <si>
    <t>Alexis Ohanian Sr.</t>
  </si>
  <si>
    <t>Ohanian</t>
  </si>
  <si>
    <t>Spacecadet Ventures</t>
  </si>
  <si>
    <t>Mr. Alexis Ohanian is the Founder and serves as General Partner at Seven Seven Six. He serves as Board Member at LeadGenius. Mr. Ohanian is an Investor of 2 Punks Capital. He served as an Advisor at Summon (Automotive). He serves as Board Member at AdQuick, Ro, Visual.ly, Atoms and ApeCoin. He served as Board Member at Hotshot. He is an Angel Investor. He is a Co-Founder and Serves as Board Member at Angel City FC. He is the Founder of Das Kapital Capital. In 2020, he founded Seven Seven Six, an early-stage venture capital firm. He also serves as Advisor and Limited Partner at Ingressive Capital. At heart, the firm is a technology company that deploys venture capital. Two years later, he launched his family foundation 776.org to combat inequity worldwide through entrepreneurship and announced a $20M commitment to climate action through his new 776 Climate Fellowship. He also wrote a national bestselling book, Without Their Permission, for which he embarked on a 5-month bus tour speaking at 82 universities across America about innovation. He was a partner at Y Combinator and a co-founder of Initialized Capital. Before that, in 2005, he co-founded Reddit. He departed in 2010, only to return as executive chairman in 2014 to help lead the turnaround of what is now one of the largest websites in the U.S. and listed on the NYSE as $RDDT. He is the Founder and serves as President at 776 Fellowship.</t>
  </si>
  <si>
    <t>+1 (661) 776-2020</t>
  </si>
  <si>
    <t>alexis.ohanian@sevensevensix.com</t>
  </si>
  <si>
    <t>Jupiter</t>
  </si>
  <si>
    <t>Jupiter, FL</t>
  </si>
  <si>
    <t>6671 West Indiantown Road</t>
  </si>
  <si>
    <t>Suite 50-420</t>
  </si>
  <si>
    <t>33458</t>
  </si>
  <si>
    <t>Seven Seven Six</t>
  </si>
  <si>
    <t>353042-65P</t>
  </si>
  <si>
    <t>Chris Dixon</t>
  </si>
  <si>
    <t>Mr. Chris Dixon serves as Investor at Spacecadet Ventures.</t>
  </si>
  <si>
    <t>+1 (628) 222-0466</t>
  </si>
  <si>
    <t>87401-53P</t>
  </si>
  <si>
    <t>Daniel Eckler</t>
  </si>
  <si>
    <t>Eckler</t>
  </si>
  <si>
    <t>Chief Marketing Officer &amp; Founder</t>
  </si>
  <si>
    <t>Mr. Daniel Eckler is a Co-Founder and Chief Marketing Officer at Spacecadet Ventures. Mr. Eckler is the Founder at MIJLO and served as Chief Executive Officer at Groundwave Media Group. He co-founded Groundwave Media Group. He holds a BA in Media Arts from University of Toronto.</t>
  </si>
  <si>
    <t>daniel@spacecadet.ventures</t>
  </si>
  <si>
    <t>Co-Founder &amp; Chief Marketing Officer</t>
  </si>
  <si>
    <t>32755-60P</t>
  </si>
  <si>
    <t>Marc Andreessen</t>
  </si>
  <si>
    <t>Andreessen</t>
  </si>
  <si>
    <t>Mr. Marc Andreessen is a Co-Founder and serves as General Partner, Investing at Andreessen Horowitz. He served as a Board Member at Golden. He served as an Investor at Patron. He serves as Board Member &amp; Member of the Compensation, Nominating &amp; Governance Committee at Meta Platforms. He serves as a Board Member at Octopus Deploy. He serves as a Board Member at Dialpad. He is the Founder of Marc Andreessen (family office). He serves as a Board Member at Pave. Furthermore, he also serves as a Board Member and Member of the Compensation, Nominating &amp; Governance, Audit &amp; Risk Oversight Committee at Facebook. He also serves as an Investor at Spacecadet Ventures. He served as a Board Member at OpenGov. He served as an Advisor at The Raine Group. Previously, he co-founded and served as the Chairman of the board of directors of Opsware, Inc. (formerly known as Loudcloud Inc.), a software company. He also served as Chief Technology Officer of America Online, Inc., an Internet services company. In addition to serving on our board of directors, he currently serves as a member of the boards of directors of several private companies. He previously served as an Advisor at Arimo. He serves as an Investor at Trust Fund. He previously served as a member of the boards of directors of eBay Inc. from September 2008 to October 2014, Hewlett-Packard Company from September 2009 to October 2015, and Hewlett Packard Enterprise Company from November 2015 to April 2018. He serves as a Board Member at TipTop. He serves as a Board Member at Codi. He also holds a BS in Engineering, and Computer Science from the University of Illinois, Urbana-Champaign. He served as Board Member at Bracket Computing.</t>
  </si>
  <si>
    <t>ma@a16z.com</t>
  </si>
  <si>
    <t>Co-Founder &amp; General Partner, Investing</t>
  </si>
  <si>
    <t>36939-34P</t>
  </si>
  <si>
    <t>Stewart Butterfield</t>
  </si>
  <si>
    <t>Butterfield</t>
  </si>
  <si>
    <t>Mr. Stewart Butterfield co-founded Slack. Mr. Butterfield served as Board Member at Rise. Mr. Butterfield is a Co-Founder and serves as Chief Executive Officer and Board Member at Slack. He serves as Investor at Spacecadet Ventures. He served as an Advisor at Dovetail Research and SignalFire. He is an Angel Investor. Prior to this, he served as the Senior Director of Product Management at Yahoo, as well as President and Co-Founder of Ludicorp Research and Development. In addition to these positions, he also worked as the Managing Director and Company Secretary with Gradfinder.com. He holds a BA degree in Philosophy &amp; English from the University of Victoria and an MPhil in Philosophy from the University of Cambridge.</t>
  </si>
  <si>
    <t>+1 (415) 630-7943</t>
  </si>
  <si>
    <t>50 Fremont Street</t>
  </si>
  <si>
    <t>Slack</t>
  </si>
  <si>
    <t>134538-13P</t>
  </si>
  <si>
    <t>Wisam Abdulla</t>
  </si>
  <si>
    <t>Wisam</t>
  </si>
  <si>
    <t>Abdulla</t>
  </si>
  <si>
    <t>Mr. Wisam Abdulla is the Co-Founder &amp; serves as a General Partner at Spacecadet Ventures. Mr. Abdulla was a Co-Founder and served as Chief Executive Officer &amp; Board Member at Hazel. He is a Co-Founder at Spacecadet Ventures. Previously, he co-founded and served as Chief Executive Officer at Rise People. He holds a Bachelor's in General Studies from Simon Fraser University.</t>
  </si>
  <si>
    <t>+1 (888) 884-2935</t>
  </si>
  <si>
    <t>wiz@spacecadet.ventures</t>
  </si>
  <si>
    <t>159008-23P</t>
  </si>
  <si>
    <t>Alex Wu</t>
  </si>
  <si>
    <t>SparkLabs Group</t>
  </si>
  <si>
    <t>Mr. Alex Wu is a Co-Founder &amp; serves as Vice President of Strategy, Marketing, and Partnerships at NEX. He serves as Venture Partner at SparkLabs Group. Previously, he served as a Vice President of Marketing at Newsela. He serves as a Venture Partner at SparkLabs. He brings more than eight years of experience in cutting-edge technology marketing. Before joining Newsela, He led product marketing efforts at Uber, helping to bring affordable transportation options to thousands of small and medium-sized businesses all over the world. While there, he orchestrated the launch of new product features for businesses, directed cross-functional efforts to acquire and engage customers, and led B2B sales enablement efforts. Previously, he was the Head of Product Marketing, Communications, and Partnerships at Quora, the leading question-and-answer site on the Internet. He led a variety of efforts including product launches, the creation of Quora's Top Writer program, syndication partnerships with top media sites like Time and BBC, and signing up public figures like President Barack Obama and Jeremy Lin. Before Quora, he spent more than four years as a brand, consumer, and product marketer at Facebook where he managed over $50 million in media placements, accelerated the adoption of products like Facebook Pages and Facebook for Android, and led global marketing initiatives with Facebook's mobile operator and device partners. As an Obama for America field organizer and staffer, he was part of the team that helped elect President Barack Obama during the 2008 U.S. presidential election. Before Obama for America, he started his professional career at Marketbridge, a leading marketing consulting firm, where he ran campaigns for Fortune 500 clients like Microsoft and HSBC. He received his B.S. in Commerce and American Politics from the University of Virginia. While there, he also worked in the University's admissions office focused on international student admissions. Born in New Jersey, he moved to Taiwan when he was 9, attending an international school in Hsinchu before moving to the United States for college.</t>
  </si>
  <si>
    <t>+1 (408) 357-4989</t>
  </si>
  <si>
    <t>alex@nex.inc</t>
  </si>
  <si>
    <t>75 East Santa Clara Street</t>
  </si>
  <si>
    <t>95113</t>
  </si>
  <si>
    <t>Co-Founder &amp; Vice President of Strategy, Marketing, and Partnerships</t>
  </si>
  <si>
    <t>NEX (Entertainment Software)</t>
  </si>
  <si>
    <t>54429-49P</t>
  </si>
  <si>
    <t>Alexander Halliday</t>
  </si>
  <si>
    <t>Halliday</t>
  </si>
  <si>
    <t>Mr. Alex Halliday is a Co-Founder &amp; serves as Chief Executive Officer &amp; Board Member at AirOps. Mr. Halliday serves as the Director of Product at Teespring. Mr. Halliday co-founded and served as Chief Executive Officer at LawPal. He also serves as Venture Partner, SparkLabs Global Ventures at SparkLabs Group. He served as Board member at Daisie. Mr. Halliday has been building and running online businesses for many years. Most recently a founder of Complete Creative, a design agency which provided web strategy and technical services to larger agencies and their brands such as Vodafone, Diageo and Carlsberg. Previous projects include a fansite hosting and revenue share platform which maintained official and unofficial communities for over 100 artists as well as a government funded academic news and resource aggregation service in Dubai. Mr. Halliday is the co-founder and CEO of LawPal.</t>
  </si>
  <si>
    <t>alex@airops.com</t>
  </si>
  <si>
    <t>259 Sanchez Street</t>
  </si>
  <si>
    <t>AirOps</t>
  </si>
  <si>
    <t>44244-01P</t>
  </si>
  <si>
    <t>Amr Awadallah Ph.D</t>
  </si>
  <si>
    <t>Amr</t>
  </si>
  <si>
    <t>Awadallah</t>
  </si>
  <si>
    <t>Dr. Amr Awadallah is a Co-Founder and serves as Chief Executive Officer &amp; Board Member at Vectara. Dr. Awadallah also serves as an Advisor, Sparklabs Saudi Arabia at SparkLabs Group. He also served as an Investor at AtScale. He serves as a Board Member at Lucidya, Rology, and Synapse Analytics. He is an Angel Investor. Before Vectara, he was VP of Developer Relations at Google Cloud. He served as an Investor and Advisor at Alphonso. He also served as a Board Member at DeepVu. He is a Co-Founder and served as Global Chief Technology Officer at Cloudera. Previously, he served as an Advisor at DriveScale. He was an entrepreneur-in-residence at Accel Partners. Before joining Accel, he served as vice president of product intelligence engineering at Yahoo! and ran one of the very first organizations to use Hadoop for data analysis and business intelligence. He joined Yahoo! after they acquired his first startup, VivaSmart, in July 2000. He holds a bachelor's and master's degree in electrical engineering from Cairo University, Egypt, and a doctorate in electrical engineering from Stanford University.</t>
  </si>
  <si>
    <t>+1 (650) 320-9397</t>
  </si>
  <si>
    <t>amr@vectara.com</t>
  </si>
  <si>
    <t>395 Page Mill Road</t>
  </si>
  <si>
    <t>Vectara</t>
  </si>
  <si>
    <t>65117-80P</t>
  </si>
  <si>
    <t>Barry Munitz Ph.D</t>
  </si>
  <si>
    <t>Munitz</t>
  </si>
  <si>
    <t>Dr. Barry Munitz serves as President, Chief Executive Officer &amp; Board Member at the Cotsen Foundation for the Art of Teaching. Dr. Munitz serves as Chairman of the Advisory Board as Generation Three Family Partners. He serves as a Board Member at EnCorps. He also serves as Advisor, SparkLabs Frontier-ASU at SparkLabs Group. He earned his BA in Classics and Comparative Literature from Brooklyn College before earning his master's and Ph.D. from Princeton University. He is a Fellow of the American Academy of Arts &amp; Sciences. He holds honorary degrees from Whittier College, Claremont University, California State University, Rollins College, the University of Southern California, Notre Dame, and the University of Edinburgh.</t>
  </si>
  <si>
    <t>+1 (310) 826-0504</t>
  </si>
  <si>
    <t>12100 Wilshire Boulevard</t>
  </si>
  <si>
    <t>+1 (310) 826-2667</t>
  </si>
  <si>
    <t>Cotsen Foundation For The Art Of Teaching</t>
  </si>
  <si>
    <t>44389-72P</t>
  </si>
  <si>
    <t>Bernard Moon</t>
  </si>
  <si>
    <t>Mr. Bernard Moon is a Co-Founder and serves as Partner at SparkLabs Group. Mr. Moon is an Angel Investor. He served as Secretary at Spark I Acquisition. Previously, he was Co-founder &amp; CEO of Vidquik, a web conferencing &amp; sales solutions platform. Bernard was a Managing Director at the Lunsford Group, which is a private investment firm with holdings in real estate, healthcare, and other industries. Bernard was Co-founder &amp; VP of Business Development of GoingOn Networks, a social media platform for companies, and also led their product development where BusinessWeek recognized them in their "Best of the Web" list. Previously, Bernard was a Director at iRG, a leading boutique investment bank in Asia, where he focused on TMT companies. Bernard co-founded a couple of other startups, raised over $50 million in venture capital, and enjoys helping other entrepreneurs as much as possible: He serves as a mentor to MuckerLab, a startup accelerator in LA, and SixThirty, a fintech accelerator in St. Louis. He is a frequent guest writer to various technology journals, such as VentureBeat, Mashable, TechCrunch, and ReadWrite, and has been published in The New York Times, The Washington Post, and other publications. Bernard has spoken and lectured about startups and entrepreneurship at Stanford University, the Global Entrepreneurship Congress, the American Chamber of Commerce in Korea, and other organizations. He was selected as one of 8 global judges for EDF's innovation contest (EDF is the world's biggest electricity producer based in France). He completed a post-graduate fellowship with the Coro Foundation. He received his MPA in Telecom and New Media Policy from Columbia University and a BA in English and Psychology from the University of Wisconsin-Madison.</t>
  </si>
  <si>
    <t>+1 (650) 454-5244</t>
  </si>
  <si>
    <t>bernard@sparklabsglobal.com</t>
  </si>
  <si>
    <t>3587 Lupine Avenue</t>
  </si>
  <si>
    <t>277127-74P</t>
  </si>
  <si>
    <t>Bob Cermesak</t>
  </si>
  <si>
    <t>Cermesak</t>
  </si>
  <si>
    <t>Mr. Bob Cermesak serves as Advisor, SparkLabs FinTech at SparkLabs Group. Ceremsak enjoyed a long successful career in investment banking and investments and retired in 2015. He joined Farallon Capital Management, LLC in 2010 where he was a Managing Member, responsible for Investor Relations. Prior to Farallon, he worked at Goldman Sachs for twenty-five years, most recently as managing director overseeing the West Coast prime brokerage business and also as an institutional salesman in San Francisco and New York. He earned a B.A. in Economics and an MBA from Stanford University. He began his career with Price Waterhouse leaving as a Senior Auditor to be Manager of Pension Investments at Penn Central Corp.</t>
  </si>
  <si>
    <t>+1 (415) 393-7775</t>
  </si>
  <si>
    <t>Advisor, SparkLabs FinTech</t>
  </si>
  <si>
    <t>59634-01P</t>
  </si>
  <si>
    <t>Brian Behlendorf</t>
  </si>
  <si>
    <t>Behlendorf</t>
  </si>
  <si>
    <t>Mr. Brian Behlendorf serves as Advisor, SparkLabs Global Ventures at SparkLabs Group. Mr. Behlendorf served as an Executive Director at Hyperledger. He served as Board Member at EFF-Austin. He also serves as Advisor, Technology Innovation at TAU Investment Management. He was a primary developer of the Apache Web server, the most popular web server software on the Internet, and a founding member of the Apache Software Foundation. He has also served on the board of the Mozilla Foundation since 2003 and the Electronic Frontier Foundation since 2013. He was the founding CTO of CollabNet and CTO of the World Economic Forum. Most recently, he was a managing director at Mithril Capital Management LLC, a global technology investment firm. He also serves as Advisor at SparkLabs Global Ventures.</t>
  </si>
  <si>
    <t>Maru180 Building, 2nd Floor</t>
  </si>
  <si>
    <t>180 Yeoksam-ro Gangnam-gu</t>
  </si>
  <si>
    <t>06248</t>
  </si>
  <si>
    <t>Advisor, SparkLabs Global Ventures</t>
  </si>
  <si>
    <t>230964-40P</t>
  </si>
  <si>
    <t>Brian Kang</t>
  </si>
  <si>
    <t>Mr. Kang Yoon-Seok is a Co-Founder and serves as Managing Director &amp; Venture Partner at SparkLabs Group. He has over 20 years of experience as an investment professional, a former CEO of a NASDAQ-listed company, and a startup entrepreneur. He also served as a mentor for Sparklabs since the program's inception. Brian started his career as an engineer on Samsung Electronics' pioneering CDMA team and then moved into strategy and business development roles. He received his MS from NYU and also completed Stanford University's Graduate School of Business's Executive Management Program.</t>
  </si>
  <si>
    <t>brian@sparklabsventures.com</t>
  </si>
  <si>
    <t>277126-66P</t>
  </si>
  <si>
    <t>Chanho Park</t>
  </si>
  <si>
    <t>Chanho</t>
  </si>
  <si>
    <t>Mr. Chanho Park serves as Venture Partner at SparkLabs Group. He is the winningest Asian-Born Major League Baseball pitcher in history with 124 career wins, and the first South Korean-born player in major league history. He played for the Los Angeles Dodgers, Texas Rangers, San Diego Padres, New York Mets, Philadelphia Phillies, New York Yankees, and Pittsburgh Pirates from 1994 through 2010. He has been an inspiration to so many Koreans throughout the world and has been a great role model for many young people in South Korea. He has been active in many youth programs including the Park Dream Foundation which supports young baseball talent. Chan Ho has been actively participating in various fundraising events for charity, lectures, concerts, and mentoring activities both in South Korea and the U.S.</t>
  </si>
  <si>
    <t>162365-77P</t>
  </si>
  <si>
    <t>Choy Peng Wu</t>
  </si>
  <si>
    <t>Choy Peng</t>
  </si>
  <si>
    <t>Ms. Choy Peng Wu serves as an Advisor at SparkLabs Group. She served as Chief Technology Officer at the Government of Singapore Investment Corporation (GIC). She served as Group Chief Information Officer at Singtel. She is responsible for driving the Group's IT vision and roadmap to establish excellence in technology management. Prior to joining Singtel, Choy Peng was the Group Chief Information Officer of Neptune Orient Lines Group and Chief Information Officer of the Singapore Government. Choy Peng is the Deputy Chairman of IDA International Pte Ltd, a wholly-owned subsidiary of the Infocomm Development Authority of Singapore. She is also a member of the National University Health System (NUHS) Board and the Chairperson of the NUHS Information Technology (IT) Committee. Choy Peng holds a Bachelor of Science (Honours with Highest Distinction) in Computer/Communication Science and Mathematics, and a Master of Science in Computer Science/Engineering, both from the University of Michigan, US.</t>
  </si>
  <si>
    <t>378372-16P</t>
  </si>
  <si>
    <t>Daniel Kim</t>
  </si>
  <si>
    <t>Mr. Daniel Kim serves as Venture Partner / SparkLabs Korea at SparkLabs Group. He was a founding member of Facebook's Android team and helped to usher Facebook's pivot to mobile in 2010,as well as a founding member of the original Growth team in 2008, which created the industry-defining playbook for user growth. Daniel is currently an Engineering Director at Meta (formerly Facebook), which he joined in early 2007 as employee approximately 200, and is currently the 11th most tenured employee. Most recently, Daniel was the lead for NPE (New Product Experimentation) Korea, Meta's in-house incubator and a key part of their global expansion strategy.</t>
  </si>
  <si>
    <t>Venture Partner / SparkLabs Korea</t>
  </si>
  <si>
    <t>38095-21P</t>
  </si>
  <si>
    <t>David Lee JD</t>
  </si>
  <si>
    <t>Mr. David Lee serves as Advisor at Perle Ventures. Mr. Lee is an Angel Investor. He served as Advisor at InstallMonetizer. He also serves as an advisor a Refactor Capital. He served as Senior Advisor at Elation Health. He co-founded and served as Chairman at Refactor Capital. He also serves as Fund Advisor, SparkLabs Korea at SparkLabs Group. He served as an Advisor at Legalist. He previously served as Managing Partner at Refactor Capital. David was the Managing Partner, who invested in Airbnb, Snap, Stripe, Flatiron Health, Pinterest, Slack, Oscar Health, Climate Corporation, Dropbox, and many others during his tenure. He helped start the New Business Development Group at Google and spent time at Baseline Ventures, Morrison and Foerster, and the MIT Research Laboratory of Electronics. He has a JD from NYU, an MS in Electrical Engineering from Stanford, and a BA from Johns Hopkins. He was a National Science Foundation Graduate Fellow while at Stanford and was listed on the Forbes Midas List of Top Technology Investors. He currently serves on the Board of Directors of the Lucile Packard Foundation for Children's Health. He served as an Advisor at InstallMonetizer.</t>
  </si>
  <si>
    <t>L11, 9 Castlereagh Street</t>
  </si>
  <si>
    <t>Perle Ventures</t>
  </si>
  <si>
    <t>159622-57P</t>
  </si>
  <si>
    <t>Edgar Chiu</t>
  </si>
  <si>
    <t>Mr. Edgar Chiu serves as Managing Partner at SparkLabs Group. Mr. Chiu serves as General Manager at Camp Mobile Taiwan. He is also an Angel Investor. He was previously the COO of Gogolook. He is experienced in running startups and mobile app businesses. He was the founding partner and Chief Operating Officer of Gogolook. He was responsible for developing the global partnership in Japan, Korea, the Middle East, and Southeast Asia for a global caller ID service App called Whoscall. Gogolook was subsequently acquired by Naver in 2013. Later, he took on the role of Founding General Manager at Camp Mobile Taiwan (a Naver-owned mobile-specific company). He oversaw the firm's business operations and led market entry strategies for the BAND app, a mobile community application that facilitates group communication. Starting his career, he was a consultant in IBM Strategy and Transformation Practice. He strategized emerging business opportunities and new market planning consultancy services for tier-one tech. He earned his bachelor's degree in Quantitative Finance from National Tsing Hua University.</t>
  </si>
  <si>
    <t>+886 (0)91 0876898</t>
  </si>
  <si>
    <t>edgar@sparklabstaipei.com</t>
  </si>
  <si>
    <t>Number 2, Sector 4, Nanjing East Road</t>
  </si>
  <si>
    <t>Songshan District, Sungshan</t>
  </si>
  <si>
    <t>28551-52P</t>
  </si>
  <si>
    <t>Eric Ly Ph.D</t>
  </si>
  <si>
    <t>Dr. Eric Ly is a Co-Founder and serves as Executive Officer, Chief Executive Officer &amp; Board Member at KarmaCheck. He is a Co-Founder and serves as Chief Executive Officer at Hub (Business/Productivity Software). Dr. Ly also serves as an Advisor at SparkLabs Group. He served as an Advisor, Investing at Sway Ventures. He serves as a Venture Partner at Elysium Venture Capital. He also serves as an Advisor at Long Crypto Group. He also serves as an Advisor at GoldenArc. He is a Co-Founder and serves as Chief Executive Officer and Board Member at KarmaCheck. He co-founded Presdo and served as its Chief Executive Officer. He also serves as an Advisor for a new global accelerator program at SparkLabs Group. He Co-Founded F50. He serves as an Advisor at 8VC. He also served as a Venture Partner at Wellington Partners. He became a Venture Partner at Wellington in 2008. He is currently the Founder and Chief Executive Officer of Presdo, a new online scheduling application. As a venture partner, he supports Wellington's portfolio companies in the area of Internet services, with particular emphasis on social networking and social media applications, product development, technology scalability, and viral marketing techniques. Before Presdo, he was a co-founder of LinkedIn, where he was its Founding Chief Technology Officer and Vice President. With LinkedIn for more than three years, he helped LinkedIn create a rapidly growing member base and achieve profitability while creating some of the core capabilities of the service. He previously co-founded two other venture-backed internet companies, one in the mobile sector and the other in the collaboration space, both of which had successful exits. He has also worked at General Magic, Sun, NeXT, and IBM, participating in several seminal projects at each. He is a long-time resident of Silicon Valley, where he grew up and attended school. He graduated from Stanford University with a bachelor's degree with distinction in Symbolic Systems and from the MIT Media Lab with a master's degree in Media Arts and Sciences.</t>
  </si>
  <si>
    <t>+1 (877) 732-2129</t>
  </si>
  <si>
    <t>eric@karmacheck.com</t>
  </si>
  <si>
    <t>KarmaCheck</t>
  </si>
  <si>
    <t>277136-29P</t>
  </si>
  <si>
    <t>Erica Lee</t>
  </si>
  <si>
    <t>Ms. Erica Lee serves as Advisor at SparkLabs Group. Additionally, Lee is the Founder of WomenOfAI.org, a 10,000 member nonprofit sponsored by Amazon, Google, Samsung NEXT &amp; AAUW providing technical &amp; leadership programs to a diverse community. Previously, Leewas Director of AI Platform at a cashier-less checkout startup, and an AI Manager at Apple. Lee was the Founder of an Image Recognition &amp; E-commerce startups. Prior to tech, Lee embodies a math &amp; science background from Morgan Stanley, Harvard, MIT &amp; Hopkins. #intj</t>
  </si>
  <si>
    <t>42662-17P</t>
  </si>
  <si>
    <t>Frank Meehan</t>
  </si>
  <si>
    <t>Meehan</t>
  </si>
  <si>
    <t>Mr. Frank Meehan serves as Advisor at Global Changer. Mr. Meehan is a Co-Founder and serves as Partner at SparkLabs Group. He also is an Angel Investor. He is Co-founder and President of N3N, an IoT platform company and Cisco's first global IoT investment. They service numerous Fortune 500 companies and governments, such as Samsung Electronics, POSCO, Port of Singapore, The North Face, and Hyundai Motors. Previously, he co-founded and served as Chief Executive Officer at Kuato. He served as Board Member at Spinlist. He previously served as N3N's CEO. He received his B.S. in Biomedical Engineering from Northwestern University, and also an M.S. in Biomedical Engineering from Korea Advanced Institute of Science and Technology (KAIST). He also completed Stanford University's Graduate School of Business's Executive Management Program. He also serves as an Advisor at Phaze Ventures.</t>
  </si>
  <si>
    <t>frank@sparklabsglobal.com</t>
  </si>
  <si>
    <t>60649-12P</t>
  </si>
  <si>
    <t>Greg Badros Ph.D</t>
  </si>
  <si>
    <t>Badros</t>
  </si>
  <si>
    <t>Dr. Greg Badros is the Founder &amp; serves as Chief Executive Officer at Gluroo. Dr. Badros is an Angel Investor. He serves as Advisor, SparkLabs Global Ventures at SparkLabs Group. He served also as an Advisor at HealthTap. He earned bachelor's degrees in Mathematics and Computer Science from Duke University. After founding the engineering team at a successful startup, he started graduate school and earned his master's and doctoral degrees in Computer Science and Engineering from the University of Washington in Seattle. Starting from age 14, he has accumulated over twenty research and trade publications and has spoken at numerous conferences internationally. His research interests include software engineering, declarative representations and constraint satisfaction, distributed systems, programming language design and implementation, and mechanism design for online advertising auctions.</t>
  </si>
  <si>
    <t>+1 (650) 328-2278</t>
  </si>
  <si>
    <t>greg@gluroo.com</t>
  </si>
  <si>
    <t>Suite 10346</t>
  </si>
  <si>
    <t>Gluroo</t>
  </si>
  <si>
    <t>55344-43P</t>
  </si>
  <si>
    <t>Hanjoo Lee</t>
  </si>
  <si>
    <t>Hanjoo</t>
  </si>
  <si>
    <t>Mr. Hanjoo Lee is a Co-Founder &amp; serves as Co-Chief Executive Officer &amp; Chairman at Bespin Global. Mr. Lee is a Co-Founder and serves as CSO and Board Member at WhaTap Labs. He also is an Angel Investor. He is a Co-Founder and serves as a Partner at SparkLabs Global Ventures. He has 17 years of experience in IT infrastructure operations. He served as Vice Chairman and Board Member at Affinity. He serves additional responsibilities as CEO of Hostway India. He and his fellow co-founders bootstrapped Hostway into a top 5 web hosting company in the world with over 700 employees. Hostway is a multinational web hosting company headquartered in Chicago and serves more than 600,000 customers worldwide. He is currently responsible for overall corporate strategy, strategic alliances, and mergers and acquisitions. Previously, he has held positions in every department of the company, including leading global marketing and sales and overall P&amp;L for North America. He holds a BA in Biology from the University of Chicago.</t>
  </si>
  <si>
    <t>+82 (0)1 668 1280</t>
  </si>
  <si>
    <t>john.lee@bespinglobal.com</t>
  </si>
  <si>
    <t>Daeryung Seocho Tower Building, 327 Gangnam-daero</t>
  </si>
  <si>
    <t>Seocho-gu</t>
  </si>
  <si>
    <t>133-720</t>
  </si>
  <si>
    <t>Bespin Global</t>
  </si>
  <si>
    <t>259513-93P</t>
  </si>
  <si>
    <t>Hee Yoon Lee</t>
  </si>
  <si>
    <t>Hee Yoon</t>
  </si>
  <si>
    <t>Ms. Hee Yoon Lee serves as Program Director at SparkLabs Group. She oversees the accelerator investment and program at SparkLabs. She discovers promising teams and services from the early stages and invests in seeds, and manages a 16-week mentoring program to help the company's portfolio grow in compression. Previously, she worked as a brand and community leader of SparkPlus, a SparkLabs portfolio company and a co-working space. Prior to joining SparkLabs, from 2012 to 2016, she worked at the Asan Nanum Foundation, a non-profit organization affiliated with Hyundai Heavy Industries, and was in charge of planning and operating MARU180, Korea's first co-working space for startups, accelerators, and venture capitals. At the same time, she has a network of various initial venture capital and startup ecosystems at home and abroad, based on her experience in investing in Chung Ju-young Angel Investment Fund', a fund of funds of the Asan Nanum Foundation. She double majored in sociology and business administration at Korea University and completed a major in Management at the Royal Holloway University of London as an exchange student. She has been in charge of the accelerator division of SparkLabs since 2018 and has been investing and carrying out follow-up management in services, consumer goods, commerce, and biology sectors until now.</t>
  </si>
  <si>
    <t>heeyoon@sparklabs.co.kr</t>
  </si>
  <si>
    <t>159557-05P</t>
  </si>
  <si>
    <t>Ho Kim</t>
  </si>
  <si>
    <t>Mr. Ho Kim is a Co-Founder and serves as Partner, Chief Financial Officer and Board Member at SparkLabs Group. Mr. Kim served as Chief Financial Officer &amp; Director at Spark I Acquisition. He previously served as a Director of Global Business Development at Tencent Korea. He was responsible for the sourcing of Korean game titles to China and Tencent's global publishing network, headed the global sales of Tencent game titles, and he managed relationships with Tencent's global publishing partners. Before Tencent, he was the Director of Business Development and Marketing at Podotree, an online educational app developer in Korea. He was responsible for their marketing and launch effort into the U.S. Previously, he was with Vertigo Games as the Group Manager of the Overseas Business Group. He led all overseas sales efforts and service support, and all business development and game engine licensing activities. He was a Manager and Group Head of the Quality Assurance and Localization Group for NHN USA. He previously served as Project Manager of the Publishing Group at NHN USA and Assistant Manager of Global Strategy &amp; Marketing Development at NHN Corporation. He began his career at The Contents Company, an SK company, in business development and played a key role in launching Korea's first pilot IP TV service with overseas partners. He earned his BA in Economics and Philosophy from the University of Michigan.</t>
  </si>
  <si>
    <t>eugene@sparklabsglobal.com</t>
  </si>
  <si>
    <t>Co-Founder, Partner, Chief Financial Officer and Board Member</t>
  </si>
  <si>
    <t>396154-18P</t>
  </si>
  <si>
    <t>Ivan Grlic</t>
  </si>
  <si>
    <t>Grlic</t>
  </si>
  <si>
    <t>Mr. Ivan Grlic is a Co-Founder &amp; serves as Managing Partner at SparkLabs Saudi Arabia. Mr. Grlic is a Co-Founder &amp; serves as Managing Partner / SparkLabs Saudi Arabia at SparkLabs Group. He started his first business, CMT Group Balkan, in 2005, built and then sold it in 2009. He then became a partner and regional director of Naton HR for several years before starting his second business, Primus Group, in 2014. It is now one of the fastest-growing HR agencies in Eastern Europe. While he still owns it, it is under professional 
 management.</t>
  </si>
  <si>
    <t>SparkLabs Saudi Arabia</t>
  </si>
  <si>
    <t>202578-76P</t>
  </si>
  <si>
    <t>Jaeson Ma</t>
  </si>
  <si>
    <t>Jaeson</t>
  </si>
  <si>
    <t>Mr. Jaeson Ma serves as Venture Partner at Vectr Ventures. He is a Co-Founder and serves as Chief Executive Officer &amp; Chairman at EST Studios. Mr. Ma is a Co-Founder and serves as Co-Chief Executive Officer and chairman at OP3N. He is a Co-Founder of Stampede Ventures. He is the Founder and serves as General Partner at East-West Ventures. He serves as a Venture Partner at SparkLabs Group. He served as an Advisor at Mint Songs. He is a Co-Founder of 88rising. He is a media executive, artist, and entrepreneur. The founder and partner of multiple companies focused on accessing the Asian market through entertainment, media, and technology, he is considered one of the leading financiers to companies, institutions, and individuals investing in Asian media and entertainment. During his career, he has raised capital and/or advised on transactions totaling over $1 billion in value, including numerous Asian film, television, and music transactions.</t>
  </si>
  <si>
    <t>jaesonma@eststudios.co</t>
  </si>
  <si>
    <t>Talon Tower, 38 Connaught Road West</t>
  </si>
  <si>
    <t>Sheung Wan</t>
  </si>
  <si>
    <t>Vectr Ventures</t>
  </si>
  <si>
    <t>41623-93P</t>
  </si>
  <si>
    <t>James McKelvey</t>
  </si>
  <si>
    <t>McKelvey</t>
  </si>
  <si>
    <t>Mr. James McKelvey is a Co-Founder and serves as Co-Chief Executive Officer at Invisibly. He serves as Advisor at Core10. He serves as a Board Member, Member of the Compensation and Technology and Environmental Sustainability Committee Charter at Emerson Electric. He serves as an Executive at Jam Fintop Capital. He also serves as Advisor, SparkLabs FinTech at SparkLabs Group. He was a Co-Founder and served as General Partner at Cultivation Capital. He served as Advisor at Aisle411. He served as a Board Member at Kabbage. He also is a Co-Founder and serves as General Partner at FINTOP Capital. He also served as General Partner at SixThirty. He is also a Co-Founder and serves as a Board member at Block, the mobile payment system. His first venture was co-founding Mira Digital Publishing in 1990, which is a leader in electronic publishing for scientific conferences. He is an advisor to several startups including Kabbage and LockerDome. In addition to his business ventures, he is a published author and glassblowing artist and has published several books. He also served as Director at LockerDome.</t>
  </si>
  <si>
    <t>+1 (314) 380-3138</t>
  </si>
  <si>
    <t>jim.mckelvey@invisibly.com</t>
  </si>
  <si>
    <t>201 South Central Avenue</t>
  </si>
  <si>
    <t>63105</t>
  </si>
  <si>
    <t>Co-Founder, Co-Chief Executive Officer &amp; Board Member</t>
  </si>
  <si>
    <t>Invisibly</t>
  </si>
  <si>
    <t>55344-52P</t>
  </si>
  <si>
    <t>Jay McCarthy</t>
  </si>
  <si>
    <t>Mr. Jay McCarthy is a Co-Founder and serves as a Partner at SparkLabs Global Ventures. He was also a Co-Founder and served as a Partner at SparkChain Capital. He has more than 22 years of experience in Asia. Currently, as a Managing Partner of Pacific Advisers, he has advised, financed, and invested in a range of deals in Asia across industries, principally mining &amp; energy, technology, luxury consumer, and property. In recent years, he has focused on originating investment mandates for PA to invest its own capital in both publicly listed and private companies. Such origination leads to co-investment opportunities selectively with the hedge fund and institutional investor communities. He has significant experience with structuring deals and working with the relevant investor, industry, and service (legal and advisory) counterparts. He graduated from Boston College in Newton, MA, USA, and has basic speaking skills in Japanese. He is a Co-Founder and serves as Head of Finance.</t>
  </si>
  <si>
    <t>jay@sparklabsglobal.com</t>
  </si>
  <si>
    <t>277144-03P</t>
  </si>
  <si>
    <t>Jeffrey Guo</t>
  </si>
  <si>
    <t>Mr. Jeffrey Guo serves as Venture Partner, SparkLabs Connex at SparkLabs Group. Mr. Guo is Chairman of Syntrend Creative Park and Syntrend Startup Foundation. He is also a serial entrepreneur in the creative industry with startups focusing on animations, games and films.</t>
  </si>
  <si>
    <t>Venture Partner, SparkLabs Connex</t>
  </si>
  <si>
    <t>41016-52P</t>
  </si>
  <si>
    <t>Jessica Jackley Ph.D</t>
  </si>
  <si>
    <t>Jackley</t>
  </si>
  <si>
    <t>Dr. Jessica Jackley serves as a Partner at Untapped Capital. She serves as a Venture Partner at MSM. She also co-founded and served as Chief Executive Officer and Board Member at Alltruists. She served as a Board Member at Habitat for Humanity International. She served as an Advisor at Alter Global. She served as a Board Member at Jefa. She serves as a Venture Advisor &amp; Venture Partner at Collaborative Fund. She serves as an Advisory Board Member at Drawdown Fund. She serves as Venture Partner / SparkLabs Global Ventures at SparkLabs Group. She served as Chief Impact Officer at Aspiration. She co-founded and served as Chief Marketing Officer of Kiva Microfunds. She served as a Venture Partner at SparkLabs Global Ventures. She also co-founded the world's first p2p microlending website to provide people with affordable capital to start or expand a small business. To date, Kiva has provided over $1 billion in loans across 85 countries and 2.6 million borrowers at a 97.1% repayment rate. She also currently teaches Social Entrepreneurship at the Marshall School of Business at USC. She also recently served as Walt Disney Imagineering's first Entrepreneur in Residence, focusing on projects related to corporate citizenship, the sharing economy, and happiness. She is a member of the Council on Foreign Relations, a 2011 World Economic Forum Young Global Leader, and serves as an active board member or advisor for several nonprofit organizations, including Habitat for Humanity. She advises numerous start-ups and is an advisory board member of Investcorp Strategic Capital Group. Earlier in her career, she was a co-founder and CEO of ProFounder. She holds an MBA from the Stanford Graduate School of Business, a certificate in Global Leadership and Public Policy from the Harvard Kennedy School, a BA in Philosophy and Political Science from Bucknell University, and honorary PhDs from Centenary College and Quinnipiac University. She is a member of the Council on Foreign Relations and a World Economic Forum Young Global Leader.</t>
  </si>
  <si>
    <t>+1 (213) 308-1799</t>
  </si>
  <si>
    <t>400 Bellevue Way North East</t>
  </si>
  <si>
    <t>98004</t>
  </si>
  <si>
    <t>Untapped Capital</t>
  </si>
  <si>
    <t>55344-34P</t>
  </si>
  <si>
    <t>Jimmy Kim</t>
  </si>
  <si>
    <t>Mr. Jimmy Kim is a Co-Founder and serves as a Partner at SparkLabs Global. He also serves as an Investment Committee Member at Cultiv8 Funds Management. He also is an Angel Investor. He is also a Co-founder &amp; Partner at SparkLabs, a startup accelerator in Korea. He co-founded and served as President &amp; Chief of Global Business at N3N, an IoT platform company and Cisco's first global IoT investment. They service numerous Fortune 500 companies and governments, such as Samsung Electronics, POSCO, Port of Singapore, The North Face, and Hyundai Motors. He previously served as N3N's CEO. Previously, he was CEO of Nexonova, a game development studio of Nexon Corp that specializes in Social Network Games. Prior to Nexonova, he served as Executive Vice President of Nexon Corp, and Head of Nexon's Portal (market cap: $5 billion) and Web Services. Nexon is one of the most successful online gaming providers, with games such as Maple Story, Dungeon and Fighter, Combat Arms, and Kart Rider. Nexon services over 20 games across 60 countries to an audience of 300 million. He was the founding investor and active deal Adviser of Studio Ex, an online gaming studio that was acquired by Disney in 2012. He is a sought-after speaker on online gaming and technology and has spoken at various conferences such as LeWeb, Ad: Tech, and Web 2.0 Expo. He received his B.S. in Bio-medical Engineering from Northwestern University, and also an M.S. in Bio-medical Engineering from the Korea Advanced Institute of Science and Technology (KAIST). He also completed Stanford University's Graduate School of Business's Executive Management Program.</t>
  </si>
  <si>
    <t>jimmy@sparklabsglobal.com</t>
  </si>
  <si>
    <t>277142-41P</t>
  </si>
  <si>
    <t>Mr. John Lee serves as Fund Advisor at SparkLabs Group. Lee has led investments as Portfolio Manager for Major League Baseball since 2007. Current responsibilities include investing in public markets, alternative investments, private equity, and venture strategies. A particular area of interest is emerging media, entertainment, and sports-related companies. Before joining MLB, He was previously an original Managing Director at a $7 billion private investment office that invested globally using an endowment model approach across multiple asset classes.</t>
  </si>
  <si>
    <t>Fund Advisor</t>
  </si>
  <si>
    <t>15108-13P</t>
  </si>
  <si>
    <t>John Pleasants</t>
  </si>
  <si>
    <t>Pleasants</t>
  </si>
  <si>
    <t>Mr. John Pleasants is a Co-Founder and serves as Chief Executive Officer at Brava Home. Mr. Pleasants served as an Advisor at SignalFire. He also served as an Advisor at Sorfeo. He also served as an Advisor at Scalefast. He served as Board Member at Lolly. He served as Board Member at TREBEL. He served as Executive Vice President, Media Solutions at Samsung. He served as Board Member at Metrogames. He was Co-President of Disney Interactive Media Group, COO of Electronic Arts, and CEO of Ticketmaster. He served as a Chief Operating Officer and President at BioWare. He also serves as Advisor, SparkLabs Global Ventures at SparkLabs Group. He also served on the Board of ScoreBig. He completed his MBA from Harvard Business School in 1993. He also serves as an Advisory Board Member at Scalefast.</t>
  </si>
  <si>
    <t>+1 (855) 276-6767</t>
  </si>
  <si>
    <t>john@brava.com</t>
  </si>
  <si>
    <t>312 Chestnut Street</t>
  </si>
  <si>
    <t>Brava Home</t>
  </si>
  <si>
    <t>36591-94P</t>
  </si>
  <si>
    <t>John Suh</t>
  </si>
  <si>
    <t>Mr. John Suh serves as Board Member at TomoCredit. Mr. Suh serves as Board Member at ANANDA Scientific. He also serves as Venture Partner, SparkLabs Ventures at SparkLabs Group. Prior to this he served as Board Member at Channel Factory. He served as Chief Executive Officer &amp; Board Member at LegalZoom. He also served as Venture Partner at Navigate Ventures. He has served as our CEO since 2007 and as a member of our board since 2005. Prior to LegalZoom, He was CEO of StudioDirect, the Internet division of a global supply chain company, Li and Fung. He also co-founded and served as CEO of Castling Group, helping to launch category leaders such as jcrew.com and hifi.com. He received a B.A. in Organizational Behavior and Public Policy from Harvard College and received his M.B.A. with high distinction from Harvard Business School. He serves as Board Member at Vatom.</t>
  </si>
  <si>
    <t>+1 (510) 520-8324</t>
  </si>
  <si>
    <t>PO Box 194807</t>
  </si>
  <si>
    <t>94119</t>
  </si>
  <si>
    <t>TomoCredit</t>
  </si>
  <si>
    <t>179886-70P</t>
  </si>
  <si>
    <t>Joyce Kim</t>
  </si>
  <si>
    <t>Ms. Joyce Kim serves as Chief Marketing Officer at Zscaler. She serves as Chief Marketing Officer at Twilio. She also serves as Advisor, SparkLabs Frontier-ASU at SparkLabs Group. As Chief Marketing Officer, she leads global marketing as Twilio executes its vision of becoming the leader in the emerging customer engagement category. Joyce brings over two decades of experience scaling commercial innovation and growth in the technology sector through large scale digital transformation and brand elevation strategies. Her expertise spans all facets of Go-To-Market including digital, brand, communications, channels and product strategy for global technology and SaaS companies. Previously, she served as the Chief Marketing Officer for Genesys and was responsible for driving market expansion and revenue diversification strategies including customer acquisition, engagement and channel growth.</t>
  </si>
  <si>
    <t>+1 (408) 533-0288</t>
  </si>
  <si>
    <t>joyce.kim@zscaler.com</t>
  </si>
  <si>
    <t>277134-67P</t>
  </si>
  <si>
    <t>Jun-yong Hyun</t>
  </si>
  <si>
    <t>Jun-yong</t>
  </si>
  <si>
    <t>Mr. Jun-yong Hyun serves as Advisor at SparkLabs Group. He serves as Executive Vice President of AI Service Business Dept. at LG Uplus Corp. Mr. Hyun serves as an Operating Advisor, Telecoms, Media and Technology and Member of Management Advisory Panel at Point Hope Pte Ltd. He holds MBA from Columbia University and also studied at Seoul National University.</t>
  </si>
  <si>
    <t>351130-78P</t>
  </si>
  <si>
    <t>Kai Huang</t>
  </si>
  <si>
    <t>Mr. Kai Huang serves as Venture Partner, SparkLabs Connex at SparkLabs Group. He co-founded and served as CEO of Blue Goji, an interactive fitness company that brings motivation and fun to health and fitness. Before Blue Goji, he co-founded video game publisher RedOctane and was President and CEO from 1999 to 2009. Before RedOctane, Mr. Huang was co-founder and CEO of Adux Software, which was sold in 1999. Mr. Huang started his career as a consultant with Accenture in the San Francisco office.</t>
  </si>
  <si>
    <t>127074-97P</t>
  </si>
  <si>
    <t>Katharina Borchert</t>
  </si>
  <si>
    <t>Borchert</t>
  </si>
  <si>
    <t>Ms. Katharina Borchert serves as Advisor, SparkLabs Frontier-ASU at SparkLabs Group. Ms. Borchert served as Chief Operating Officer at Equilibr.io. In 2020 Katharina was named one of the 100 Most Creative People by Fast Company, an award which recognizes her leadership on Common Voice in helping to diversify AI speech through machine learning. Katharina has a background that includes more than a decade of new business growth and technological innovation in media and journalism, most recently as CEO at Spiegel Online, the online division of one of Europe's most influential magazines. Prior to that, Katharina was Editor-in-Chief and CEO at WAZ Media Group, where she completely reimagined the way local and regional journalism could be done, launching a new portal "Der Westen" based heavily upon user participation, integrated social media, and one of the earliest with a focus on location-based data in journalism. Katharina studied law (with a focus on humanitarian law) and journalism in Hamburg and Lausanne. She previously worked at the UN Center for Human Rights.</t>
  </si>
  <si>
    <t>Advisor, SparkLabs Frontier-ASU</t>
  </si>
  <si>
    <t>171432-28P</t>
  </si>
  <si>
    <t>Kurtis Jang</t>
  </si>
  <si>
    <t>Kurtis</t>
  </si>
  <si>
    <t>Board Member &amp; Chief Operating Officer</t>
  </si>
  <si>
    <t>Mr. Kurtis Jang serves as Partner, Chief Operating Officer &amp; Board Member, Sparklabs Acquisition Corporation at SparkLabs Group. Prior to joining Sparklabs, Mr. Jang was with Prudential Life Insurance Company of Korea, Ltd., a subsidiary of Prudential Financial, Inc., a provider of insurance, investment management, and other financial products and services, from April 2015 to September 2020, where he served as chief executive officer. From April 2010 to April 2015, he served as chief executive head of Chubb Korea, an insurance provider affiliated with Chubb Limited. Mr. Jang received a B.S. in Managerial Economics from the University of Illinois, Urbana-Champaign in 1990. He served as Chief Operating Officer &amp; Director at Spark I Acquisition.</t>
  </si>
  <si>
    <t>Chief Operating Officer, Operations &amp; Board Member</t>
  </si>
  <si>
    <t>277125-94P</t>
  </si>
  <si>
    <t>Lars Hansen Ph.D</t>
  </si>
  <si>
    <t>Dr. Lars Hansen serves as Advisor at SparkLabs Group. Dr. Lars joined the faculty of the University of Chicago's Department of Economics in 1981 and has served as department chairman and director of graduate studies. He is now David Rockefeller Distinguished Service Professor of Economics, Statistics, Booth School of Business and the College. He was the inaugural director of the Becker Friedman Institute until July of 2017. Read Lars' personal reflection on the beginnings of the Becker Friedman Institute here. He currently directs the Macro Finance Research Program housed under the Becker Friedman Institute. Hansen holds a bachelor's degree in mathematics and political science from Utah State University and a doctorate in economics from the University of Minnesota. Hansen has also received numerous honorary degrees, including an honorary doctorate from Utah State University in 2012.</t>
  </si>
  <si>
    <t>181627-30P</t>
  </si>
  <si>
    <t>Lily Cheng</t>
  </si>
  <si>
    <t>Lily</t>
  </si>
  <si>
    <t>Ms. Lily Cheng serves as Distinguished Engineer, General Manager of Microsoft Research, FUSE Labs and Corporate Vice President at Microsoft. Ms. Cheng serves as Advisor at SparkLabs Group. Cheng is responsible for the AI developer platform, which includes Cognitive Services' collection of powerful cognitive AI APIs for vision, speech, language understanding, knowledge, and search, which enables developers to easily add AI to their apps and services. Bot Framework makes it easy for developers to build and connect intelligent conversational AI to their customer experiences and deploy these in their custom UI as well as embedded in Skype, Microsoft Teams, Cortana, and Bing as well as Facebook, Slack, etc.</t>
  </si>
  <si>
    <t>lcheng@microsoft.com</t>
  </si>
  <si>
    <t>Distinguished Engineer, General Manager of Microsoft Research, FUSE Labs and Corporate Vice President</t>
  </si>
  <si>
    <t>Microsoft</t>
  </si>
  <si>
    <t>187308-91P</t>
  </si>
  <si>
    <t>Malcolm Nutt</t>
  </si>
  <si>
    <t>Nutt</t>
  </si>
  <si>
    <t>Mr. Malcolm Nutt serves as Director at Alpine Capital (Australia). Mr. Malcolm Nutt is a Founding Partner and serves as an Investment Committee Member &amp; Board Member at Cultiv8 Funds Management. He serves as a Partner at Sparklabs Cultiv8. He is a Director and Adviser at Wentworth Global Capital Partners. Having raised over $150m for business in the last two years, including $60m for Startups, he has a unique exposure to deal flow in the small-cap and startup ecosystem. Farming regionally for the past five years, now back in Sydney, he has a strong connection to the Agriculture and Food Technology markets. He was previously a Senior Investment Advisor at Macquarie Bank, Senior Investment Advisor and Associate Branch Manager (Sydney) at Ord Minnett, and Investment Analyst at Crescent Capital. He has a Bachelor's and Master of Commerce, as well as a University Blue from the University of Sydney.</t>
  </si>
  <si>
    <t>+61 (0)2 9119 6030</t>
  </si>
  <si>
    <t>mnutt@alpinecapital.au</t>
  </si>
  <si>
    <t>25 Bligh Street</t>
  </si>
  <si>
    <t>Suite 8.03, Level 8</t>
  </si>
  <si>
    <t>Alpine Capital (Australia)</t>
  </si>
  <si>
    <t>123235-12P</t>
  </si>
  <si>
    <t>Martin Hartono</t>
  </si>
  <si>
    <t>Hartono</t>
  </si>
  <si>
    <t>Mr. Martin Hartono is the Founder and serves as Chief Executive Officer at GDP Venture. He also serves as Advisor, SparkLabs Connex at SparkLabs Group. He has a strong passion for gaming and technology, combined with a wealth of experience as Djarum Group's Business Technology Director, led him in founding GDP Venture, a venture builder focusing on digital communities, media, commerce, and solution companies in 2010.</t>
  </si>
  <si>
    <t>martin.b.hartono@gdpventure.com</t>
  </si>
  <si>
    <t>West Jakarta</t>
  </si>
  <si>
    <t>West Jakarta, Indonesia</t>
  </si>
  <si>
    <t>Wisma 77 Tower 2, 8th Floor</t>
  </si>
  <si>
    <t>Jalan Letjen Siswondo Parman Number 77, Slipi</t>
  </si>
  <si>
    <t>11410</t>
  </si>
  <si>
    <t>GDP Venture</t>
  </si>
  <si>
    <t>14192-29P</t>
  </si>
  <si>
    <t>Maurice Werdegar</t>
  </si>
  <si>
    <t>Werdegar</t>
  </si>
  <si>
    <t>Mr. Maurice Werdegar serves as Investment Partner and Chairman at Western Technology Investment. Mr. Werdegar is an Angel Investor. He served as Chief Executive Officer at Venture Lending &amp; Leasing IX BDC. He served as Chairman &amp; Director at Venture Lending &amp; Leasing VIII. He also served as an Advisor &amp; Investor at Ingressive Capital. He also serves as an Advisory Board Member at Streamlined Ventures. He served as an Advisor on Venture Capital Investments at Major League Baseball Ventures. He serves as an Advisor at SparkLabs Global Ventures. His background includes positions as a Venture Partner at Outlook Ventures, an early-stage venture firm, and as Chief Investment Officer at Meta Markets, an online mutual fund company. He also founded and served as CEO of Left at Albuquerque, a venture-backed chain of restaurants. Before business school, he worked in corporate finance at Robertson Stephens. He holds both a BA and an MBA from Stanford University. He serves as an Advisor at Sparkwave Capital.</t>
  </si>
  <si>
    <t>+1 (650) 234-4300</t>
  </si>
  <si>
    <t>mauricew@westerntech.com</t>
  </si>
  <si>
    <t>104 La Mesa Drive</t>
  </si>
  <si>
    <t>Suite 102</t>
  </si>
  <si>
    <t>+1 (650) 234-4343</t>
  </si>
  <si>
    <t>Investment Partner &amp; Chairman</t>
  </si>
  <si>
    <t>Western Technology Investment</t>
  </si>
  <si>
    <t>67529-80P</t>
  </si>
  <si>
    <t>Melanie Healey</t>
  </si>
  <si>
    <t>Ms. Melanie Healey serves as Board Member &amp; Chairwoman, Nominating, Governance &amp; Sustainability Committee at Kenvue. Ms. Healey serves as a Board Member, Member of the Nominating and Governance Committee &amp; Chair of the Sustainability and Innovation Committee at PPG Industries. Ms. Healey also serves as an Advisor at SparkLabs Group. Ms. Healey is the former Group President of The Procter &amp; Gamble Company, one of the leading providers of branded consumer packaged goods. She served in this role from 2007 to 2015. During her tenure at Procter &amp; Gamble beginning in 1990, Ms. Healey held several positions of responsibility, including Group President and advisor to the Chairman and CEO, Group President of North America, and Group President for the Global Feminine and Health Care Sector. Ms. Healey has served as a director of Hilton Worldwide Holdings Inc. since 2017, PPG Industries, Inc. since 2016, and Target Corporation since 2015. Ms. Healey provides the Board with valuable strategic, branding, distribution, and operating experience on a global scale obtained over her 32-year career in the consumer goods industry. Her deep experience in marketing and operations, including her 18 years outside the United States, provides the Board with strategic and operational leadership and critical insights into brand building and consumer marketing trends globally. She also serves as an Executive at H Venture Partners.</t>
  </si>
  <si>
    <t>+1 (732) 524-0400</t>
  </si>
  <si>
    <t>Skillman</t>
  </si>
  <si>
    <t>Skillman, NJ</t>
  </si>
  <si>
    <t>199 Grandview Road</t>
  </si>
  <si>
    <t>08558</t>
  </si>
  <si>
    <t>Board Member &amp; Chairwoman, Nominating, Governance &amp; Sustainability Committee</t>
  </si>
  <si>
    <t>Kenvue</t>
  </si>
  <si>
    <t>159500-80P</t>
  </si>
  <si>
    <t>Michael Woodall</t>
  </si>
  <si>
    <t>Woodall</t>
  </si>
  <si>
    <t>Mr. Michael Woodall served as Chief of Operations at Putnam Investments. He serves as Advisor at SparkLabs Group. He also serves as Chairman of the Boston Water &amp; Sewer Commission. Woodall was appointed Chairman of the Board on February 24, 2015. Mr. Woodall is the Chief of Operations and President of Investor Services at Putnam Investments. His extensive leadership has earned Putnam numerous finance and customer service awards including the Dalbar Service Award for Call Center Excellence; Dalbar Total Client Experience Award (only fund firm to win); National Quality Review 5 Star rating for processing accuracy and timeliness; Money Management Executive NOVA Award for Innovation in back-office efficiency. Mr. Woodall is a recognized Financial Services Industry leader with over 30 years of experience building, re-engineering, and running profitable businesses. He has extensive involvement in all aspects of the business, partnering with clients, the CEO, and all divisions to deliver award-winning products and services. Mr. Woodall has significant leadership experience which includes working with the Putnam Funds Board of Directors, Chairing the Board of Directors for NICSA, being an active member of the NYSE Euronext Mutual Fund Proxy Fee Review Committee, ICI Operations Committee, DTCC Wealth Management Services Senior Advisory Board, Putnam Fiduciary Trust Company Board of Directors and the Board of Visitors at Northeastern University D'Amore McKim School of Business. Mr. Woodall is a graduate of Northeastern University with distinction as a member of the Sigma Epsilon Rho Honor Society. His awards include receiving the Boston-based PINCH Foundation Jack Leary Quiet Leadership Award and the Putnam Investments Board of Trustees Outstanding Service Award. Mr. Woodall is a Founding Board member of Inspire Arts and Music, an organization dedicated to enriching the area's youth with leadership and performing arts programs including the Boston Crusaders Drum &amp; Bugle Corps.</t>
  </si>
  <si>
    <t>+1 (617) 760-0281</t>
  </si>
  <si>
    <t>980 Harrison Avenue</t>
  </si>
  <si>
    <t>Putnam Investments (Former)</t>
  </si>
  <si>
    <t>213516-55P</t>
  </si>
  <si>
    <t>Mike Honda</t>
  </si>
  <si>
    <t>Mr. Mike Honda serves as an Advisor, SparkLabs Ventures at SparkLabs Group. Mr. Honda serves as Advisor at TraDove. He serves as Advisor at Terra Magnum Capital Partners. Since 2001, Honda has represented the 15th Congressional District of California in the U.S. House of Representatives. His district includes Silicon Valley, the birthplace of technology innovation and the leading region for the development of the technologies of tomorrow. He has been a public servant for decades and is lauded for his work on education, transportation, civil rights, national service, the environment, and high-tech issues. He earned Bachelor's degrees in Biological Sciences and Spanish, and a Master's degree in Education from San José State University. In his career as an educator, He was a science teacher, served as a principal at two public schools, and conducted educational research at Stanford University. Mike is serving his seventh year as Chair of the Congressional Asian Pacific American Caucus, coordinating with his colleagues in the Congressional Black Caucus and the Congressional Hispanic Caucuses to champion the causes of under-represented communities by promoting social justice, racial tolerance, and civil rights.</t>
  </si>
  <si>
    <t>Advisor, SparkLabs Ventures</t>
  </si>
  <si>
    <t>277150-06P</t>
  </si>
  <si>
    <t>Mike Joo</t>
  </si>
  <si>
    <t>Joo</t>
  </si>
  <si>
    <t>Mr. Mike Joo serves as Chief Operating Officer, Global Corporate &amp; Investment Banking and Head of North America at Bank of America. He also serves as Advisor, SparkLabs FinTech at SparkLabs Group.He served as Advisor at SparkChain Capital.</t>
  </si>
  <si>
    <t>+1 (931) 359-1515</t>
  </si>
  <si>
    <t>mike.joo@bofa.com</t>
  </si>
  <si>
    <t>America Corporate Center</t>
  </si>
  <si>
    <t>100 North Tryon Street</t>
  </si>
  <si>
    <t>Chief Operating Officer, Global Corporate &amp; Investment Banking and Head of North America</t>
  </si>
  <si>
    <t>Bank of America</t>
  </si>
  <si>
    <t>102907-90P</t>
  </si>
  <si>
    <t>Nadiem Makarim</t>
  </si>
  <si>
    <t>Nadiem</t>
  </si>
  <si>
    <t>Makarim</t>
  </si>
  <si>
    <t>Mr. Nadiem Makarim serves as an Advisor, Sparklabs Ventures at SparkLabs Group. He Founded &amp; served as Chief Executive Officer at Gojek Xcelerate. He is the Founder and serves as Chief Executive Officer at Gojek Xcelerate. He served as an Advisor at HEALTHEON Asia. He started his career as a management consultant at McKinsey &amp; Company for 3 years. After earning his MBA, he began his entrepreneurial career by establishing Zalora Indonesia, of which he was Co-Founder and Managing Editor. After leaving Zalora, he served as Chief Innovation Officer at Kartuku, an Indonesian Third Party Processor and Payment Service Provider. He received a BA in International Relations and Affairs from Brown University and an MBA from Harvard in 2009 and worked at McKinsey for nearly three years.</t>
  </si>
  <si>
    <t>Advisor, Sparklabs Ventures</t>
  </si>
  <si>
    <t>30485-17P</t>
  </si>
  <si>
    <t>Nicholas Brathwaite</t>
  </si>
  <si>
    <t>Brathwaite</t>
  </si>
  <si>
    <t>Mr. Nicholas Brathwaite is a Founder and serves as a Managing Partner of Celesta Capital. Mr. Brathwaite serves as Advisor, SparkLabs Connex at SparkLabs Group. He serves as Chairman and Executive at Supply Chain Resources Group. He serves as Executive Chairman and Board of Directors at Atonarp. He serves as a Board Member and Advisor at Clairvolex, Magnetic Insights, ideaForge, Exotanium, and SparkLabs Connex. He serves as an Independent Director at Power Integrations. He served as a Board Member at Recogni, where he previously served as Chief Executive Officer. He serves as a Member of the Board of Trustees at Northwestern Mutual. He also serves as Chairman of the Finance Committee and a Member of the Executive and Human Resources, Nominating, and Corporate Governance Committees. He serves as Chairman of Aveo. He served as Chief Technology Officer at Katerra. He served as a Board Member at Mandic and Reviver. He also serves as a Board Member of Cloudleaf, Tessera Technologies (Micro-Optics Assets), and Adapdix. He also served as a Board Member at Calysta. He has served on the Inphi Board since September 2013 and is Chairman of the nominating and corporate governance committee. He was a Co-Founding Partner of Riverwood Capital. He served as Chief Executive Officer of Aptina Imaging Corporation from April 2008 to July 2009 and was Chairman of the board from 2009 until it was sold to ON Semiconductor in 2014. Before Aptina, he joined Flextronics International Ltd. in 1995 as its Vice President of Technology, and from 2000 to 2007, he served as Chief Technology Officer. Flextronics acquired nChip, where he held the position of Vice President and General Manager of operations from 1992 to 1996. He also spent six years with Intel Corporation in various engineering management positions in technology development and manufacturing. He received a B.S. degree in Applied Chemistry from McMaster University and an M.S. degree in Polymer Science &amp; Engineering from the University of Waterloo. He has also completed the Wharton Executive Education Training Program on Corporate Governance. He served as a Board Member at BrightSource Energy. He served as Chairman and Executive at Supply Chain Resources Group. He served as a Board Member at Brilliant. He served as a Board Member at Photon Dynamics.</t>
  </si>
  <si>
    <t>+1 (650) 446-9383</t>
  </si>
  <si>
    <t>nicholas@celesta.vc</t>
  </si>
  <si>
    <t>Suite 48900</t>
  </si>
  <si>
    <t>Celesta Capital</t>
  </si>
  <si>
    <t>46999-00P</t>
  </si>
  <si>
    <t>Nicolas Gaume</t>
  </si>
  <si>
    <t>Gaume</t>
  </si>
  <si>
    <t>Mr. Nicolas Gaume is a Co-Founder and serves as Chairman &amp; Board Member at Orbite. He is a Co-Founder and serves as Chief Executive Officer at Space Cargo Unlimited. He also serves as Advisor, SparkLabs Frontier-ASU at SparkLabs Group. Previously, he served as the chief executive officer at Mimesis Republic.</t>
  </si>
  <si>
    <t>+1 (866) 342-9934</t>
  </si>
  <si>
    <t>ngaume@orbitespace.com</t>
  </si>
  <si>
    <t>6340 North East Windermere Road</t>
  </si>
  <si>
    <t>98105</t>
  </si>
  <si>
    <t>Co-Founder &amp; Chairman &amp; Board Member</t>
  </si>
  <si>
    <t>Orbite</t>
  </si>
  <si>
    <t>60647-05P</t>
  </si>
  <si>
    <t>Peter Chang</t>
  </si>
  <si>
    <t>Mr. Peter Chang is a Co-Founder &amp; serves as Chief Technology Officer at N3N. Mr. Chang serves as Venture Partner &amp; Technical Advisor, SparkLabs Global Ventures at SparkLabs Group. Previously, he co-founded and served as CTO at Innovative, an interactive software company that mixes passion, creativity, and technology to create new interactive user experiences and innovative presentation solutions. He is currently leading the product development of INNOWATCH, which is a C4-level command and control center solution. Existing customers include the G20 Summit Seoul, the Nuclear Summit Seoul, Samsung, Hyundai, Posco, and LG. He has broad experience in business planning and technology development in the telecommunication, IT, CATV, physical security, and automobile industries. Previously, he was co-founder and CTO of HeyAnita Korea, an interactive voice portal service backed by Softbank. He was also co-founder and CTO of ViewPlus, a video-on-demand system for cable and satellite services. He received his master's and bachelor's degrees in computer and electrical engineering from POSTECH and Brown University , respectively.</t>
  </si>
  <si>
    <t>+82 (0)2 761 5805</t>
  </si>
  <si>
    <t>peter.chang@n3n.ai</t>
  </si>
  <si>
    <t>41-18, Gangnam-daero 162-gil</t>
  </si>
  <si>
    <t>Gangnam-gu</t>
  </si>
  <si>
    <t>06181</t>
  </si>
  <si>
    <t>+82 (0)2 554 5803</t>
  </si>
  <si>
    <t>N3N</t>
  </si>
  <si>
    <t>396151-30P</t>
  </si>
  <si>
    <t>Phil Hellmuth</t>
  </si>
  <si>
    <t>Hellmuth</t>
  </si>
  <si>
    <t>Mr. Phil Hellmuth serves as Advisor at SparkLabs Group. He is an Advisor to, or Advisor Board member of, ten different companies, and he is sponsor money in three different SPAC's (including finding, and taking out $ RSI to a $3B market cap on the NYSE). He thinks of himself as an early early-stage, and late late-stage investor.</t>
  </si>
  <si>
    <t>44612-47P</t>
  </si>
  <si>
    <t>Raymond Ozzie</t>
  </si>
  <si>
    <t>Ozzie</t>
  </si>
  <si>
    <t>Mr. Raymond Ozzie is the Founder and serves as Executive Chairman &amp; Board Member at Blues Wireless. Mr. Ozzie serves as Board Member &amp; Chairman of the Technology Committee at Hewlett-Packard Enterprise. He also serves as Advisor at SparkLabs Group. He founded and currently serves as CEO of Blues Wireless, a provider of integrated hardware, software, and services for cellular IoT communications since 2018. He served as Chief Software Architect and Chief Technical Officer of Microsoft Corporation from 2005 until December 2010, having created Microsoft Azure and having played a key role in Microsoft's transformation from PC software to being a services-centric company. Mr. Ozzie joined Microsoft in 2005 after it acquired Groove Networks, Inc., a collaboration software company that he founded in 1997.</t>
  </si>
  <si>
    <t>+1 (650) 687-5817</t>
  </si>
  <si>
    <t>rozzie@blues.com</t>
  </si>
  <si>
    <t>6280 America Center Drive</t>
  </si>
  <si>
    <t>95002</t>
  </si>
  <si>
    <t>Board Member &amp; Chairman of Technology Committee</t>
  </si>
  <si>
    <t>Hewlett Packard Enterprise</t>
  </si>
  <si>
    <t>35911-18P</t>
  </si>
  <si>
    <t>Robert DeMillo</t>
  </si>
  <si>
    <t>DeMillo</t>
  </si>
  <si>
    <t>Mr. Robert DeMillo is a Co-Founder &amp; serves as Chief Executive Officer at Sophia Space. He serves as Chief Technology Officer at Skidmore Owings &amp; Merrill. Mr. Rob DeMillo serves as Venture Partner, SparkLabs Global Ventures at SparkLabs Group. He served as Chief Technology Officer at Nimble Collective. He served as Chief Technology Officer and Technical Advisor at Videoo. Prior to StudioNow, he was the CTO of Discovery Digital Networks, which he came through via Discovery's acquisition of Revision3, a leader in Internet TV. In 2013, DeMillo was named to eContent's "Fabulous 15: The Top Digital Media Influencers" along with Steve Jobs, Jeff Bezos and Mark Zuckerberg. DeMillo was CTO &amp; Co-Founder of Transpera, a mobile technology company acquired byTremor Video in 2011. Prior to Transpera, DeMillo was the CTO for Third Screen Media, a mobile advertising company that was acquired by AOL in 2007. DeMillo also served as SVP of Mobile Technology at VeriSign, following the acquisition by Verisign of m-Qube in 2009 where he was SVP of Engineering. DeMillo was also the former CTO of ATG (IPO in 1999), a personalization and eCommerce leader and Chief Technology Advisor to AdRise, Encoding.com, and Vid.IO. He holds a MS and BS in Computer Science from University of Wisconsin.</t>
  </si>
  <si>
    <t>Pasadena</t>
  </si>
  <si>
    <t>Pasadena, CA</t>
  </si>
  <si>
    <t>600 Playhouse Alley</t>
  </si>
  <si>
    <t>91101</t>
  </si>
  <si>
    <t>Sophia Space</t>
  </si>
  <si>
    <t>42237-91P</t>
  </si>
  <si>
    <t>Robin Das</t>
  </si>
  <si>
    <t>Mr. Robin Das serves as Venture Partner at SparkLabs Group. Mr. Das Co-Founded and served as Chief Architect at Splunk. He also served as our Vice President, Product Development from November 2003 to January 2005 and as a member of our board of directors from October 2003 to August 2004. Previously, Mr. Das has been a large-scale, distributed software architect and engineer for both early-stage ventures and large companies, including Avolent Inc., an application software provider, Lotus Development, a software company and Sun Microsystems, Inc., a computer systems company. Mr. Das studied computer science at Indiana University.</t>
  </si>
  <si>
    <t>175921-75P</t>
  </si>
  <si>
    <t>Sameer Chishty</t>
  </si>
  <si>
    <t>Chishty</t>
  </si>
  <si>
    <t>Mr. Sameer Chishty serves as Chairman at Bol Network. He serves as Venture Partner at BSG Group. He also serves as Venture Partner, SparkLabs FinTech at SparkLabs Group. He is Founder and Chairman of Streeton Partners, a Hong Kong based merchant bank which within the past 3 years has invested in over $250 million in promising financial services and FinTech companies around the world. He is also Chairman of AsiaPak Investments, based in Seoul, Hong Kong, and Lahore; AsiaPak has deployed over $3.5 billion in belt &amp; road projects. He previously held senior roles as Partner at McKinsey &amp; Company (New York) and Partner at Bain &amp; Company (Hong Kong) where he advised financial services industry leaders and private equity investors. He has also held senior operating roles as Managing Director at Merrill Lynch Global Wealth Management in New York and Global Product Line Head at Standard Chartered Bank in Singapore. Chishty is active as angel investor and advisor to early stage FinTechs.</t>
  </si>
  <si>
    <t>+92 (0)213 7170265</t>
  </si>
  <si>
    <t>chishtysameer@bsg-group.com</t>
  </si>
  <si>
    <t>Bolistan, Creek Road Korangi Creek</t>
  </si>
  <si>
    <t>74900</t>
  </si>
  <si>
    <t>Bol Network</t>
  </si>
  <si>
    <t>142242-04P</t>
  </si>
  <si>
    <t>Sandor Hau</t>
  </si>
  <si>
    <t>Sandor</t>
  </si>
  <si>
    <t>Hau</t>
  </si>
  <si>
    <t>Mr. Sandor Hau serves as Managing Director &amp; President, Credit at Charlesbank Capital Partners. He joined Charlesbank in 2016 and oversees the firm's opportunistic credit investing. He joined the firm from Nomura Securities, where he was a managing director and head of corporate credit and special situations. Previously, he was a managing director at Goldman Sachs and head of credit investing and private equity within the principal strategies group. He resides outside New York City with his wife and four children. He serves as co-chairman of the Korea Finance Society and is a member of the Council on Foreign Relations.</t>
  </si>
  <si>
    <t>+1 (212) 903-1880</t>
  </si>
  <si>
    <t>shau@charlesbank.com</t>
  </si>
  <si>
    <t>575 Fifth Avenue</t>
  </si>
  <si>
    <t>Managing Director &amp; President, Credit</t>
  </si>
  <si>
    <t>Charlesbank Capital Partners</t>
  </si>
  <si>
    <t>41446-36P</t>
  </si>
  <si>
    <t>Scott Sorochak</t>
  </si>
  <si>
    <t>Sorochak</t>
  </si>
  <si>
    <t>Mr. Scott Sorochak served as General Partner at Blarney Ventures. he serves as Venture Partner at SparkLabs Group. He served as Chief Revenue Officer and Senior Vice President of Global Sales at Brandwatch. He has over 30 years of executive sales, marketing, and operational leadership experience in consumer internet and enterprise SaaS global organizations such as Datacoral (acquired by Cloudera, KKR), Livefyre (acquired by Adobe), Excite@Home, and Netcom. His key focus has been on helping global organizations scale profitably to $1B+ in revenue and helping to build strong cross-departmental teams at an operational level of excellence expected by management teams and boards. He has helped these, and start-ups, raise over $250MM in debt and equity financing and he continues to personally invest in many of the companies he is affiliated with. He did his Bachelor of Arts and Bachelor of Science in Management Information Systems from the University of Massachusetts, Amherst in 1988.</t>
  </si>
  <si>
    <t>Chief Revenue Officer &amp; Senior Vice President of Global Sales</t>
  </si>
  <si>
    <t>Brandwatch (Former)</t>
  </si>
  <si>
    <t>256296-16P</t>
  </si>
  <si>
    <t>Seong Ohm</t>
  </si>
  <si>
    <t>Seong</t>
  </si>
  <si>
    <t>Ohm</t>
  </si>
  <si>
    <t>Mr. Seong K. Ohm served as Senior Vice President - Merchandising at AutoZone. She serves as Advisor, SparkLabs Global Ventures at SparkLabs Group. Previously, Ms. Ohm served as the Group Commercial Development Officer for the Dairy Farm Group. Ms. Ohm also was the Chief Commercial Officer for Home Plus, the second-largest retailer in Korea. Before these roles, she was Senior Vice President - General Merchandise Manager for both Walmart and Sam's Club and Vice President/Divisional Merchandise Manager - Technology for Walmart Stores, Inc. Ms. Ohm began her career with General Electric.</t>
  </si>
  <si>
    <t>sohm@autozone.com</t>
  </si>
  <si>
    <t>Senior Vice President, Merchandising</t>
  </si>
  <si>
    <t>AutoZone (Distributors/Wholesale) (Former)</t>
  </si>
  <si>
    <t>277132-15P</t>
  </si>
  <si>
    <t>Spiros Margaris</t>
  </si>
  <si>
    <t>Spiros</t>
  </si>
  <si>
    <t>Margaris</t>
  </si>
  <si>
    <t>Mr. Spiros Margaris serves as Venture Partner, SparkLabs FinTech at SparkLabs Group. He served as Advisor at Gentwo. He serves as Board Member at barq. He has more than 25 years of national and international experience in investment management/research and startups. He is the only person who reached "The Triple Crown" of influencer rankings by being ranked the global No. 1 FinTech, Artificial Intelligence (AI) &amp; Blockchain influencer by Onlaytica (05/2018). He was also ranked the No. 2 InsurTech influencer by Onalytica. He regularly appears in the top three positions of established global industry influencer rankings. He is a speaker at international FinTech and InsurTech conferences, and he publishes articles on his innovation proposals and thought leadership. He published an AI white paper, "Machine learning in financial services: Changing the rules of the game," for the enterprise software vendor SAP. He is a senior advisor at wefox Group (wefox &amp; ONE), SparkLabs, Mediastalker, IPR Strategies, HeyBryan, kapilendo, The Yield Growth Corp. and at F10 Fintech Incubator and Accelerator. He also serves as Board Member at Canopy. He serves as an Advisor at CARL.</t>
  </si>
  <si>
    <t>Venture Partner, SparkLabs FinTech</t>
  </si>
  <si>
    <t>40282-48P</t>
  </si>
  <si>
    <t>Stanley Burrell</t>
  </si>
  <si>
    <t>Mr. Stanley Burrell serves as Advisor at SparkLabs Group. He Co-Founded A Large Corporation (DanceJam) and served as its Chief Strategy Officer. He is rapper, entrepreneur and actor. In addition, he was executive producer of his own reality show called Hammertime. He was executive producer of his own reality show called Hammertime which aired on the A&amp;E Network during the summer of 2009.</t>
  </si>
  <si>
    <t>277130-35P</t>
  </si>
  <si>
    <t>Steven Johnson</t>
  </si>
  <si>
    <t>Mr. Steven Johnson serves as Advisor, SparkLabs Frontier-ASU at SparkLabs Group. Johnson's work on the history of innovation inspired the Emmy-winning six-part series on PBS titled HOW WE GOT TO NOW with Johnson, which aired in the fall of 2014. He's also the author of The Ghost Map, Where Good Ideas Come From, and Wonderland, among many others. His newest book, Farsighted: How We Make the Decisions That Matter the Most, examines consequential once-in-lifetime decisions; the ones that affect our lives for years, or for centuries, to come.</t>
  </si>
  <si>
    <t>115730-11P</t>
  </si>
  <si>
    <t>Sungkyum Kim</t>
  </si>
  <si>
    <t>Sungkyum</t>
  </si>
  <si>
    <t>Mr. Sungkyum Kim serves as Venture Partner at SparkLabs Group. He co-founded and served as the Chief Business Officer and Board Member at Blind. He served as Head of US Expansion at Blind. Previously he served as a General manager - Sales Support at Ticket Monster Inc (acquired by Livingsocial). He has a degree in Industrial Engineering from Korea University in 2004.</t>
  </si>
  <si>
    <t>109807-57P</t>
  </si>
  <si>
    <t>Teddy Zee</t>
  </si>
  <si>
    <t>Teddy</t>
  </si>
  <si>
    <t>Zee</t>
  </si>
  <si>
    <t>Mr. Teddy Zee is a Co-Founded and served as Chief Business Officer at MintNFT. Best known for such films as Pursuit of Happyness, Hitch &amp; Charlie's Angels, Mr. Zee is a Chinese American film &amp; television producer with over thirty years of experience in Hollywood. He has built an active global advisory practice across media and technology. The films he produced or supervised have amassed over $2.6 billion in revenue. He served as EVP at Columbia Pictures, SVP at Paramount Pictures, and is a member of the Academy of Motion Picture Arts &amp; Sciences (Oscars), Academy of Television Arts &amp; Sciences (Emmys), and Producers Guild of America. He is a board member for the NASDAQ-listed SPAC Newbury Street Acquisition Corporation. He is Advisor to Vizio, a leading HDTV maker and innovator in data &amp; advertising around smart TVs; Ford Models, the iconic 75-year old global modeling agency; Tapas Media, a platform for creators of bite-sized comics and web stories; PureForm Global, a biotech company that synthesizes CBD from oils in orange peels; Watcha, a Korean streaming and data/analytics venture; SparkLabs Songdo, an accelerator focused on IoT; and Readlee, an award-winning educational AI venture. He earned an MBA from Harvard Business School and a BS from Cornell University. He is a member of the Oscars, Emmys, and Producers Guild of America. He serves as Advisor, SparkLabs Connex at SparkLabs Group. He served as Executive Advisor at Oben. Previously, he served as the Executive Vice President at Columbia Pictures, Senior Vice President at Paramount Pictures, President of Sony-based Overbrook Films, President of Fox-based Davis Entertainment, and now under the banner of Teddy Zee Productions. In addition to film and entertainment, he has built an active consulting and advisory practice that spans media, technology, and commerce while bridging Hollywood with China and Asia.</t>
  </si>
  <si>
    <t>teddy@mintnft.io</t>
  </si>
  <si>
    <t>MintX (Former)</t>
  </si>
  <si>
    <t>316779-13P</t>
  </si>
  <si>
    <t>Tom Peters</t>
  </si>
  <si>
    <t>Mr. Tom Peters serves as Advisor at SparkLabs Group. He serves as Advisor &amp; Board Member at Context Labs (Business/Productivity Software). He has been hailed as the "uber guru" by the Economist and the "father of the post-modern corporation" by the Los Angeles Times. Fortune adds, "We live in a Tom Peters world." In Search of Excellence, Tom's first book, coauthored with Robert Waterman, was published in 1982 and became an instant bestseller. In 1999 NPR named it one of the "Top Three Business Books of the Century." He followed that with A Passion for Excellence, coauthored with Nancy Austin, and a further string of Thrivininternational bestsellers including g on Chaos, Liberation Management, The Tom Peters Seminar, The Pursuit of WOW!, The Circle of Innovation, The Brand You50, The Project50, and The Professional Service Firm50. His book Re-imagine! has four topical companions, Leadership, Design, Trends, and Talent. In addition to writing, Tom presents about 50 seminars a year all over the world. Tom is a graduate of Cornell and Stanford Universities, and he has worked as a senior White House drug abuse adviser, been a partner at McKinsey &amp; Co., and spent four years on active duty in the U.S. Navy (including 2 tours in Vietnam). Tom and his family live on a farm in Vermont.</t>
  </si>
  <si>
    <t>238006-63P</t>
  </si>
  <si>
    <t>Vinton Cerf</t>
  </si>
  <si>
    <t>Vinton</t>
  </si>
  <si>
    <t>Cerf</t>
  </si>
  <si>
    <t>Mr. Vinton Cerf serves as Advisor at SparkLabs Group. He co-founded and served as Strategic Team Member at Stash. He also serves as Advisor, SparkLabs Korea at SparkLabs Group. Cerf has served as Vice President and Chief Internet Evangelist for Google since October 2005. In this role, he is responsible for identifying new enabling technologies to support the development of advanced, Internet-based products and services from Google. Cerf also served at MCI, the Corporation for National Research Initiatives, the U.S. Department of Defense's Advanced Research Agency (DARPA), and as a member of the Stanford University Faculty. In December 1997, President Clinton presented the U.S. National Medal of Technology to Cerf and his colleague, Robert E. Kahn, for founding and developing the Internet.</t>
  </si>
  <si>
    <t>vint@google.com</t>
  </si>
  <si>
    <t>154822-60P</t>
  </si>
  <si>
    <t>William Chu</t>
  </si>
  <si>
    <t>Mr. William Chu serves as Managing Partner, SparkLabs Fintech at SparkLabs Group. He Co-Founded and served as Managing Partner at SparkChain Capital. He was Director of Lawman Group International, an apparel company with business in Greater China and the US. In 2014, William joined Zheng He Capital, a Hong Kong-based private equity firm with a focus on fintech and healthcare, where he served as Executive Director. During this time, he spearheaded the firm's lead investor role in the US$500MM A Round financing of Ping An Good Doctor, a Ping An Insurance subsidiary tasked with building an online health ecosystem in China. He was also actively involved in Zheng He's role as lead investor in the US$500MM A Round and the subsequent US$1.2BN B Round of Lufax, another Ping An Insurance subsidiary that has become the world's largest online financial asset exchange. Prior to Zheng He, William was President of Lawman Group where he ran the US and China Operations. In addition to the eponymous Lawman brand, William launched the apparel lines Petrol and Heart of Stone in the North American market and built distribution across the US and Canada. William graduated with a Bachelor of Arts degree in East Asian Studies from Harvard University.</t>
  </si>
  <si>
    <t>wchu@sparklabsglobal.com</t>
  </si>
  <si>
    <t>Managing Partner, SparkLabs Fintech</t>
  </si>
  <si>
    <t>45987-49P</t>
  </si>
  <si>
    <t>Yoky Matsuoka Ph.D</t>
  </si>
  <si>
    <t>Yoky</t>
  </si>
  <si>
    <t>Matsuoka</t>
  </si>
  <si>
    <t>Dr. Yoky Matsuoka serves as Advisor, SparkLabs Global Ventures at SparkLabs Group. She is also the Founder of Yohana and serves as its Chief Executive Officer. Previously, she served as Chief Technology Officer at Nest Labs. She serves as a Board Member at Hewlett-Packard. She was an Executive at Apple. She served as Vice President at Twitter. She served as the Head of Innovation at Google and Professor of Computer Science and Engineering at the University of Washington before joining Nest, where she served as the Vice President of Technology. She is the Co-Founder and an Advisor at Brain of Things. She is the Founder and President of YokyWorks Foundation. She also serves as Advisor, SparkLabs Global Ventures at SparkLabs Group.</t>
  </si>
  <si>
    <t>Nest Labs (Former)</t>
  </si>
  <si>
    <t>277090-30P</t>
  </si>
  <si>
    <t>Youngcho Chi Ph.D</t>
  </si>
  <si>
    <t>Youngcho</t>
  </si>
  <si>
    <t>Dr. Youngcho Chi serves as Advisor at SparkLabs Group. He is the chief innovation officer and executive vice president in charge of strategy and technology at Hyundai Motor Group. Previously, Dr. Chi was executive vice president in charge of corporate strategy and corporate development at Samsung Electronics Co. for 10 years.</t>
  </si>
  <si>
    <t>33741-91P</t>
  </si>
  <si>
    <t>Andrew Parker</t>
  </si>
  <si>
    <t>Mr. Andrew Parker serves as General Partner at Spero Ventures. Mr. Parker is an Angel Investor. He served as Board Member at Splash. He serves as Board Observer at Base Operations. He serves as a Board Member at Resource. He served as a Board Member at AllHere. He serves as an Advisor at AbstractOps. He served as a Partner at Spark Capital. He joined the investment team in June 2010. He served as a Board Member at Carta, Quantopian, Kik, Panorama Education, and Particle Industries, Inc. He was a member of the investment team at Union Square Ventures for four years, first as an Analyst and later as an Associate. During that tenure, he supported the partners as they developed their portfolio from seven to thirty names, and sourced the investment opportunities in Heyzap and Foursquare. Before Union Square Ventures, Mr. Parker was a Producer at Homestead Technologies. He designed web interfaces, managed the realization of the designs through the dev cycle, and conducted user experience testing. Before Homestead, he worked for Groupspace.org as a Developer on a web service for asynchronous online deliberation, built on the LAMP stack. A graduate of Stanford in 2005, Mr. Parker received his B.S. in Symbolic Systems, which is a hybrid of Computer Science and Cognitive Psychology. He also serves as an Advisor at Kintsugi.</t>
  </si>
  <si>
    <t>andrew@spero.vc</t>
  </si>
  <si>
    <t>394829-83P</t>
  </si>
  <si>
    <t>Lisa Zieger</t>
  </si>
  <si>
    <t>Zieger</t>
  </si>
  <si>
    <t>Ms. Lisa Zieger serves as Partner, Community &amp; Network at Spero Ventures.</t>
  </si>
  <si>
    <t>lisa@spero.vc</t>
  </si>
  <si>
    <t>Partner, Community &amp; Network</t>
  </si>
  <si>
    <t>13737-88P</t>
  </si>
  <si>
    <t>Pierre Omidyar</t>
  </si>
  <si>
    <t>Omidyar</t>
  </si>
  <si>
    <t>Limited Partner</t>
  </si>
  <si>
    <t>Mr. Pierre Omidyar is a Co-Founder of the Omidyar Group. He is a Co-Founder of Omidyar Technology Ventures. He is a Co-Founder of Omidyar Network. He serves as a Limited Partner at Spero Ventures. Mr. Omidyar is also the chairman of the board of the Omidyar Network Fund. He is a Co-Founder and serves as the Chairman at eBay. He is also a Co-Founder at UP2398. He is also a co-founder and a board member at Ulupono Initiative. He is the Founder and serves as a Board Member at First Look Media. He created eBay in 1995 on the premise that people are good, and he continues to serve as board chairman. He also serves as a Board member at The Rise Fund. Today, eBay enables more than 90 million buyers and sellers to connect and prosper over shared interests. After eBay became a public company in 1998, He and his wife Pam co-founded the Omidyar Foundation to support nonprofits. Simultaneously, eBay's vast scale and accelerating social impact were demonstrating that business could also be an effective tool for creating social good. In response, they broadened their scope in 2004 to form a new entity, Omidyar Network, to make investments in for-profit companies as well as nonprofit organizations. By supporting innovative, market-based approaches, Omidyar Network creates an opportunity for individuals to connect with others and discover their power to make a difference in the world. He provides Omidyar Network's strategic vision, stemming from his values and innovative approach to investing for social good. As an extension of Omidyar Network's activities in microfinance, He and Pam gave $100 million to Tufts University, their alma mater, to create the Omidyar-Tufts Microfinance Fund. Their endowment, the single largest in the history of Tufts, aims to accelerate the growth of the microfinance industry while generating income to support university programs. He and Pam also provided seed funding to establish the Tisch College of Citizenship and Public Service to educate all members of the Tufts community in the values and skills of active citizenship. To support local efforts at home, He and Pam committed $50 million to the Hawaii Community Foundation in 2009. The resources are being used to create innovative new programs and support existing philanthropic efforts across the state. To address Hawaii's need for long-term sustainable solutions in the areas of food, energy, and waste, the Omidyars also created the Ulupono Initiative. He also serves as chairman of eBay, a trustee of Tufts University, Santa Fe Institute, and Punahou School; and as a commissioner for President Barack Obama's Commission on White House Fellowships. He is also CEO and publisher of Honolulu Civil Beat, a local news service in Hawaii that encourages greater civic participation through media.</t>
  </si>
  <si>
    <t>pierre@omidyargroup.com</t>
  </si>
  <si>
    <t>Omidyar Group</t>
  </si>
  <si>
    <t>136613-80P</t>
  </si>
  <si>
    <t>Sara Eshelman</t>
  </si>
  <si>
    <t>Eshelman</t>
  </si>
  <si>
    <t>Ms. Sara Eshelman serves as General Partner at Spero Ventures. She serves as Board Member at Oova. She served as Principal, Investments at Omidyar Network. Prior to Omidyar Network, Sara was a manager at Monitor Group (now Monitor Deloitte) where she led engagements across public and private sectors. Her work included corporate strategy, customer segmentation, pricing, and organizational design on behalf of pharmaceutical and life sciences companies, hospitality firms, and local and national governments, among others. She serves as Board Member at Gencove.</t>
  </si>
  <si>
    <t>+1 (248) 646-5486</t>
  </si>
  <si>
    <t>seshelman@spero.vc</t>
  </si>
  <si>
    <t>88798-15P</t>
  </si>
  <si>
    <t>Shripriya Mahesh</t>
  </si>
  <si>
    <t>Shripriya</t>
  </si>
  <si>
    <t>Ms. Shripriya Mahesh is a Co-Founder and serves as a General Partner at Spero Ventures. Ms. Mahesh serves as Advisory Board Member at Trehaus. She serves as Board Member and Member of the Risk Committee at eBay. She serves as a Board Member at SafeTraces, Corvus Robotics, and Mati. She served as a Partner at Omidyar Network. She served as a Board Member at PhotoShelter, Koko, and Shelfmint. She has spent over fifteen years as an executive in high-growth technology companies. She has been an active angel investor and board member or advisor to, private technology companies throughout her career. Before joining Omidyar Network, she led product and design at First Look Media. She formerly held several leadership roles at eBay. She was Vice President of Product Marketing where she was responsible for business and marketing leadership of all aspects of Buyer and Seller products, the eBay Developer's Program, and Private Marketplaces. She also led eBay's 70-person Product Management team that was responsible for product design and management for all of eBay's products on a global level. She set up the Product Strategy team responsible for defining eBay's long-term product strategy and a team within Corporate Strategy that was responsible for identifying acquisition opportunities for eBay. Before eBay, she was the VP of eCommerce at NextCard, the then-premier online credit card company backed by Kleiner, Sequoia, Redpoint, and Trinity. She has a deep interest in the visual arts and directed Academy Award® nominees James Franco and Jessica Chastain as part of a collaborative feature that premiered at the Rome Film Festival and opened theatrically. She has an MBA from Harvard Business School, a B.A. in Economics from Stella Maris University, and is an MFA candidate at NYU's Tisch School of the Arts. She served as a Venture Partner at Amasia. She also served as a Board Member at Nana Technologies.</t>
  </si>
  <si>
    <t>shripriya@spero.vc</t>
  </si>
  <si>
    <t>190919-53P</t>
  </si>
  <si>
    <t>Stephen Wemple</t>
  </si>
  <si>
    <t>Wemple</t>
  </si>
  <si>
    <t>Mr. Stephen Wemple serves as Principal at Spero Ventures. Mr. Wemple served as Investment Analyst at Village Capital. He graduated in Finance and Economics from Villanova University.</t>
  </si>
  <si>
    <t>stephen@spero.vc</t>
  </si>
  <si>
    <t>89743-51P</t>
  </si>
  <si>
    <t>Ben Sampson</t>
  </si>
  <si>
    <t>Sampson</t>
  </si>
  <si>
    <t>Standard Investments</t>
  </si>
  <si>
    <t>Mr. Ben Sampson serves as Managing Director Ventures at Standard Investments. He serves as a Board Member at Albedo. He serves as a Board Member at Superior Sensor Technology. Before 40 North Ventures, he was a Director at GE Ventures where he led investments in early-stage companies across energy, transportation, manufacturing, and the built environment. He has also held engineering and business development roles at an early-stage technology development company. He holds a Master's of Engineering Management as well as a B.E. in Mechanical Engineering from Dartmouth College.</t>
  </si>
  <si>
    <t>+1 (212) 821-1600</t>
  </si>
  <si>
    <t>ben.sampson@standardinvestments.com</t>
  </si>
  <si>
    <t>47th Floor</t>
  </si>
  <si>
    <t>Managing Director Ventures</t>
  </si>
  <si>
    <t>216535-24P</t>
  </si>
  <si>
    <t>Carmine Rossetti</t>
  </si>
  <si>
    <t>Carmine</t>
  </si>
  <si>
    <t>Rossetti</t>
  </si>
  <si>
    <t>Ms. Carmine Rossetti served as Chief Financial Officer and Treasurer (Principal Financial Officer) at Goldman Sachs Private Middle Market Credit II BDC. She serves as Chief Accounting Officer at Standard Investments. She served as Principal Financial Officer, Chief Financial Officer, and Treasurer at Goldman Sachs BDC. She was appointed as the company's chief financial officer and treasurer in November 2021. Ms. Rossetti is also the chief financial officer and treasurer of PMMC, PMMC II, and MMLC II. Mr. Rossetti was previously senior vice president and global fund controller at HPS Investment Partners, LLC since April 2020. Prior to joining HPS Investment Partners, Ms. Rossetti was the principal accounting officer of the company, PMMC, PMMC II, and MMLC II.</t>
  </si>
  <si>
    <t>carmine.rossetti@standardinvestments.com</t>
  </si>
  <si>
    <t>Principal Financial Officer, Chief Financial Officer and Treasurer</t>
  </si>
  <si>
    <t>Goldman Sachs BDC (Former)</t>
  </si>
  <si>
    <t>187267-87P</t>
  </si>
  <si>
    <t>Dave Weinstein</t>
  </si>
  <si>
    <t>Mr. Dave Weinstein serves as a Global Chief Information Security Officer at Standard Industries. He served as Chief Information Security Officer at Gro Intelligence. He also served as Chief Information Security Officer at Standard Investments. He joined Gro from McKinsey &amp; Company, where he was an Associate Partner specializing in cybersecurity. His professional experience spans both the public and private sectors. He has served as the Chief Security Officer of Claroty, Inc., and as both the CISO and Chief Technology Officer for the State of New Jersey. He began his career in cyber operations at U.S. Cyber Command. Outside of Gro, he is a Visiting Fellow at the National Security Institute and has authored dozens of articles on the subject of cybersecurity. His analysis and commentary are frequently published and cited by major media outlets including The Wall Street Journal, Bloomberg, USA Today, The Hill, and a range of trade publications. He earned his Bachelor's degree from Johns Hopkins University in Baltimore, M,D and his Master's degree from Georgetown University in Washington, DC.</t>
  </si>
  <si>
    <t>+1 (844) 565-0759</t>
  </si>
  <si>
    <t>dave.weinstein@standardindustries.com</t>
  </si>
  <si>
    <t>Global Chief Information Security Officer</t>
  </si>
  <si>
    <t>Standard Industries</t>
  </si>
  <si>
    <t>150565-96P</t>
  </si>
  <si>
    <t>David Millstone</t>
  </si>
  <si>
    <t>Millstone</t>
  </si>
  <si>
    <t>Mr. David Millstone serves as Co-Chief Investment Officer at Standard Investments. He serves as Co-Chief Executive Officer at Standard Industries. He is a graduate of Yale College and Harvard Law School and currently serves on the University Council at Yale and the Board of Advisors of the Harvard Law School Program on Corporate Governance.</t>
  </si>
  <si>
    <t>dmillstone@standardindustries.com</t>
  </si>
  <si>
    <t>251340-13P</t>
  </si>
  <si>
    <t>David Sokoler</t>
  </si>
  <si>
    <t>Sokoler</t>
  </si>
  <si>
    <t>Mr. David Sokoler serves as Portfolio Manager at Standard Investments. He serves as a Partner at Akaris Global Partners. Prior to joining Akaris Global at launch, he served as an Analyst at Soroban Capital Partners, a $12bn long-short equity fund. Before that, he was a Director on the investment team at Fir Tree Partners and worked directly with Aman for 4+ years. He has also served as an Analyst at Blackstone in its Private Equity Group and an Analyst at Lazard in its M&amp;A Advisory Group. He received an M.B.A. from Harvard Business School and an A.B. in Economics, magna cum laude, from Harvard College</t>
  </si>
  <si>
    <t>+1 (212) 220-1661</t>
  </si>
  <si>
    <t>david.sokoler@standardinvestments.com</t>
  </si>
  <si>
    <t>150567-40P</t>
  </si>
  <si>
    <t>David Winter</t>
  </si>
  <si>
    <t>Mr. David Winter is a Co-Founder and serves as Co-Chief Executive Officer at Winter Properties. He serves as Co-Chief Executive Officer at Standard Industries. He serves as Board Member at Partnership for New York City. He serves as Board Member at Air Mail. He is involved in various civic and charitable endeavors, including serving on the Board of Directors of Conservation International and on the Board of Trustees for The Metropolitan Museum of Art and Carnegie Hall. He is also a Trustee of the New York City Police Foundation and on the Board of Directors of the Partnership for New York City. He is a graduate of the University of Pennsylvania.</t>
  </si>
  <si>
    <t>dwinter@standardindustries.com</t>
  </si>
  <si>
    <t>210639-88P</t>
  </si>
  <si>
    <t>Drew Kriens</t>
  </si>
  <si>
    <t>Mr. Drew Kriens serves as a Senior Associate in Ventures at Standard Investments and 40 North Ventures. He supports the investment team in thesis development, deal management, and general administrative activities. Before joining 40 North Ventures, he was a data analyst for Juniper Networks. He received his Bachelor of Science in Business Administration, concentrating in Finance and Entrepreneurship, with Honors from the University of Oregon in 2018.</t>
  </si>
  <si>
    <t>+1 (212) 821-1588</t>
  </si>
  <si>
    <t>drew.kriens@40north.vc</t>
  </si>
  <si>
    <t>Senior Associate Ventures</t>
  </si>
  <si>
    <t>120095-29P</t>
  </si>
  <si>
    <t>Ethan Leidinger</t>
  </si>
  <si>
    <t>Leidinger</t>
  </si>
  <si>
    <t>Mr. Ethan Leidinger serves as Chief Operating Officer at Standard Investments. He also serves as Chief Operating Officer at Winter Properties. He is involved with all aspects of the day-to-day operations of Standard Investments. Prior to joining Standard, he was the Director of Investor Relations and Business Development at Woodbine Capital Advisors. Prior to Woodbine, he was the Director of Investor Relations at Select Equity Group. Previously, he was a Vice President in the Alternative Capital Markets Group at Goldman Sachs. Prior to business school, he was the US Product Manager for Goldman Sachs Asset Management's Quantitative Strategies Group, which managed the Global Alpha Fund. Mr. Leidinger earned his MBA from the Stanford Graduate School of Business and graduated summa cum laude, Phi Beta Kappa from Princeton University's Woodrow Wilson School of Public and International Affairs.</t>
  </si>
  <si>
    <t>eleidinger@40north.com</t>
  </si>
  <si>
    <t>120097-54P</t>
  </si>
  <si>
    <t>Howard Zauderer JD</t>
  </si>
  <si>
    <t>Zauderer</t>
  </si>
  <si>
    <t>Mr. Howard Zauderer serves as Chief Compliance Officer &amp; General Counsel at Standard Investments. He serves as Chief Compliance Officer and General Counsel at Winter Properties. He is responsible for overseeing all legal and compliance matters at the firm. Prior to joining Standard, he was the General Counsel and Chief Compliance Officer at Longacre Fund Management. Prior to Longacre, he was the General Counsel of Olympus America. After graduating from law school, he began his career as a Corporate Associate at both Dewey Ballantine and Morgan, Lewis and Bockius. Mr. Zauderer earned his JD from Columbia University School of Law and a BA magna cum laude in Economics from Yeshiva University.</t>
  </si>
  <si>
    <t>hzauderer@40north.com</t>
  </si>
  <si>
    <t>417769-39P</t>
  </si>
  <si>
    <t>Kangping Yu</t>
  </si>
  <si>
    <t>Kangping</t>
  </si>
  <si>
    <t>Ms. Kangping Yu serves as Director &amp; Assistant Controller at Standard Investments.</t>
  </si>
  <si>
    <t>kangping.yu@standardinvestments.com</t>
  </si>
  <si>
    <t>Director &amp; Assistant Controller</t>
  </si>
  <si>
    <t>326719-54P</t>
  </si>
  <si>
    <t>Khuram Majid</t>
  </si>
  <si>
    <t>Khuram</t>
  </si>
  <si>
    <t>Majid</t>
  </si>
  <si>
    <t>Mr. Khuram Majid serves as Vice President &amp; Global Tax Controller at Standard Investments.</t>
  </si>
  <si>
    <t>khuram.majid@standardindustries.com</t>
  </si>
  <si>
    <t>Vice President &amp; Global Tax Controller</t>
  </si>
  <si>
    <t>214794-91P</t>
  </si>
  <si>
    <t>Logan Ashcraft</t>
  </si>
  <si>
    <t>Ashcraft</t>
  </si>
  <si>
    <t>Ms. Logan Ashcraft serves as Principal Ventures at Standard Investments. She serves as a Board Member at Hippo Harvest. He serves as Board Member &amp; Advisor at Leap. She served as an Associate at Congruent Ventures. She served as a Board Observer at Kodama Systems. She served as an Investment Professional, Ventures at Centrica Innovations. She also has experience leading energy market reform engagements throughout Southeast Asia, Southern Africa, and Central America from her time at Deloitte Consulting and building go-to-market strategies at Plenty Farms. She holds two Bachelor's degrees from Johns Hopkins University and a Master's degree from Yale University.</t>
  </si>
  <si>
    <t>logan.ashcraft@standardinvestments.com</t>
  </si>
  <si>
    <t>Principal Ventures</t>
  </si>
  <si>
    <t>290783-17P</t>
  </si>
  <si>
    <t>Matt Pavia</t>
  </si>
  <si>
    <t>Pavia</t>
  </si>
  <si>
    <t>Mr. Matt Pavia serves as Director at Standard Investments.</t>
  </si>
  <si>
    <t>m-p@standardinvestments.com</t>
  </si>
  <si>
    <t>389389-06P</t>
  </si>
  <si>
    <t>Michael Bonnici</t>
  </si>
  <si>
    <t>Bonnici</t>
  </si>
  <si>
    <t>Mr. Michael Bonnici serves as Vice President at Standard Investments.</t>
  </si>
  <si>
    <t>michael.bonnici@standardinvestments.com</t>
  </si>
  <si>
    <t>389391-31P</t>
  </si>
  <si>
    <t>Nick McCormack</t>
  </si>
  <si>
    <t>Mr. Nick McCormack serves as Analyst at Standard Investments.</t>
  </si>
  <si>
    <t>283391-02P</t>
  </si>
  <si>
    <t>Peter Marturano</t>
  </si>
  <si>
    <t>Marturano</t>
  </si>
  <si>
    <t>Mr. Peter Marturano serves as the Technology Sector Head at Standard Investments. Mr. Marturano serves as a Board Member at Sentra. He serves as a Board Member at Claroty. He has over 15 years of technology investing experience, having served in various positions at Fox Point Capital, TA Associates, and Credit Suisse First Boston before joining Standard in 2013. He is a graduate of Stanford Graduate School of Business, where he was an Arjay Miller Scholar, and Harvard University, where he was a John Harvard Scholar.</t>
  </si>
  <si>
    <t>+1 (617) 574-6761</t>
  </si>
  <si>
    <t>peter.marturano@standardinvestments.com</t>
  </si>
  <si>
    <t>Technology Sector Head</t>
  </si>
  <si>
    <t>290786-50P</t>
  </si>
  <si>
    <t>Ross Zhang</t>
  </si>
  <si>
    <t>Mr. Ross Zhang serves as Senior Analyst at Standard Investments.</t>
  </si>
  <si>
    <t>rzhang@40north.com</t>
  </si>
  <si>
    <t>290782-45P</t>
  </si>
  <si>
    <t>Stephen Fisch</t>
  </si>
  <si>
    <t>Fisch</t>
  </si>
  <si>
    <t>Mr. Stephen Fisch serves as Portfolio Manager at Standard Investments.</t>
  </si>
  <si>
    <t>sfisch@40north.com</t>
  </si>
  <si>
    <t>229082-05P</t>
  </si>
  <si>
    <t>Tunde Reddy</t>
  </si>
  <si>
    <t>Tunde</t>
  </si>
  <si>
    <t>Ms. Tunde Reddy serves as Chief Financial Officer at Winter Properties. She serves as Chief Financial Officer at Standard Investments. She oversaw all financial matters at Standard Investments. Before joining Standard, she was a Managing Director and Head of GSAM Fund Controllers for the Americas at Goldman Sachs. Before Goldman Sachs, she was a Managing Director and Head of Fund and Portfolio Administration for the Americas at JP Morgan. Previously, she spent time as a Manager and Lead Controller for Morgan Stanley in the Real Estate Fund Group. She started her career in the Financial Services Audit and Business Advisory Group at Andersen Worldwide.</t>
  </si>
  <si>
    <t>tunde.reddy@standardinvestments.com</t>
  </si>
  <si>
    <t>Winter Properties</t>
  </si>
  <si>
    <t>316073-89P</t>
  </si>
  <si>
    <t>Ian Walker</t>
  </si>
  <si>
    <t>Standish Capital</t>
  </si>
  <si>
    <t>Mr. Ian Walker serves as President at Standish Capital. In his role as President at the firm, he oversees the deal flow, research and manages the portfolio of investments. He started his career in finance over 25 years ago. In that time he has held Controller or CFO level positions in multiple companies and industries including multi-unit retail operators and real estate lending companies and most recently as the VP - Finance at Verc Enterprises prior to the sale of the company in 2021.</t>
  </si>
  <si>
    <t>iwalker@standishcapital.com</t>
  </si>
  <si>
    <t>Duxbury</t>
  </si>
  <si>
    <t>Duxbury, MA</t>
  </si>
  <si>
    <t>15 Depot Street</t>
  </si>
  <si>
    <t>02332</t>
  </si>
  <si>
    <t>303318-01P</t>
  </si>
  <si>
    <t>Leo Vercollone</t>
  </si>
  <si>
    <t>Vercollone</t>
  </si>
  <si>
    <t>Mr. Leo Vercollone is the Founder and serves as Chief Executive Officer at Standish Capital. Mr. Leo Vercollone served as Chief Executive Officer at Verc Enterprises. Prior to forming Standish Capital Leo oversaw the growth of Verc Enterprises from a small start-up to the 15th largest family-owned business in Massachusetts before selling the company in 2021. He graduated from Boston College School of Management 1977.</t>
  </si>
  <si>
    <t>lvercollone@standishcapital.com</t>
  </si>
  <si>
    <t>72636-13P</t>
  </si>
  <si>
    <t>Stephen Bolze</t>
  </si>
  <si>
    <t>Bolze</t>
  </si>
  <si>
    <t>Standish Spring Investments</t>
  </si>
  <si>
    <t>Mr. Stephen Bolze serves as Executive Advisor at Blackstone. He is a Founder and serves as Chief Executive Officer at Standish Spring Investments. He serves as a Board Member at Signature Aviation and Tallgrass and Blue Energy. He served as a Board Member at Carrix. He served as Senior Vice President at General Electric. He served as Senior Vice President of General Electric and President and Chief Executive Officer of GE Power at General Electric Company. His GE career began in 1993 as the manager of Mergers and Acquisitions for GE Corporate Business Development. In 1995, he joined GE Power &amp; Water in Schenectady, NY, as manager of Competitive Strategies and later became the product general manager for large steam turbines. He subsequently held several leadership roles in Energy Services including president and general manager of Energy Management Services. In his most recent role with GE Power and its prior businesses (Thermal Power Generation, Nuclear, Wind, Water, and Distributed Generation), where he oversaw extensive infrastructure investments globally, he helped grow overall revenues by 70 percent from $16.5 billion to $28 billion over 10 years and led the successful turnaround of the Wind and Thermal units. He also oversaw major acquisitions, including the $14 billion acquisition of Alstom Power &amp; Grid - the largest industrial acquisition in GE history. Before GE Power, he held senior roles with GE Healthcare, GE Energy, and GE Corporate... He holds a B.S. degree in electrical engineering from Duke University and an M.B.A. from the University of Michigan. Before joining GE, he served as a management consultant for Corporate Decisions, Inc. and a project manager for Westinghouse.</t>
  </si>
  <si>
    <t>+1 (212) 503-2100</t>
  </si>
  <si>
    <t>steve@standishspring.com</t>
  </si>
  <si>
    <t>10154</t>
  </si>
  <si>
    <t>+1 (212) 503-6930</t>
  </si>
  <si>
    <t>Blackstone</t>
  </si>
  <si>
    <t>40886-02P</t>
  </si>
  <si>
    <t>Curt Bilby Ph.D</t>
  </si>
  <si>
    <t>Bilby</t>
  </si>
  <si>
    <t>Starburst (Accelerator/Incubator)</t>
  </si>
  <si>
    <t>Dr. Curt Bilby serves as Chief Financial Officer at Starburst. Dr. Bilby serves as Executive Chairman and Executive of Profit and Loss Management, Financing, &amp; International Merger and Acquistion at Art Discovery. Dr. Bilby served as President and Chief Executive Officer at Seahawk Biosystems. He served as Chief Financial Officer &amp; Directeur Général at Aldoria. He served as President and Chief Executive Officer at Terapio. Previously, he was President and Chief Executive Officer of Seahawk Biosystems Corporation which developed a multiplexed, microarray biosensor-based magnetic biochip technology developed at the Naval Research Laboratory. Prior to that, he was the Chairman and Chief Executive Officer of Evacyte Corporation, a company developing laser-based cancer detection and cell diagnostics using the internationally recognized Optical Cell Stretcher technology developed at The University of Texas at Austin. He also served as the President-Director General of the multi-national healthcare company Eurimed, S.A. headquartered in Paris, France. He holds a Ph.D. and an MS in Aerospace Engineering from the University of Texas and Auburn University and a BS in Mechanical Engineering from Rose-Hulman Institute of Technology.</t>
  </si>
  <si>
    <t>cbilby@artdiscovery.com</t>
  </si>
  <si>
    <t>89, Rue Réaumur</t>
  </si>
  <si>
    <t>129957-31P</t>
  </si>
  <si>
    <t>Francois Chopard</t>
  </si>
  <si>
    <t>Chopard</t>
  </si>
  <si>
    <t>Mr. Francois Chopard is a Co-Founder and serves as Chief Executive Officer at Starburst Aerospace. He served as a Partner at Expansion Ventures. He also serves as a General Partner at Starburst Ventures. He has over 20 years of experience in strategy consulting, entrepreneurship, and business development. He has founded Starburst Accelerator, the 1st incubator/accelerator dedicated to aerospace start-ups. He specializes in the Aviation Aerospace and Defense industries featuring high-stakes technology and has developed a wide experience of innovation-related issues. This has led him to speak about innovation at the World Economic Forum in Davos. He works now on topics like future trends, product strategy, and open innovation for companies mainly from the aerospace industry as well as investment funds. Prior to joining Impulse Partners, he was a Paris-based partner at Oliver Wyman. He was also the founder and CEO of Arendi Consulting. He received his MS in Electrical Engineering from the Ecole Supérieur d'Electricité (Supélec) in Paris, France. He started his career as an Airbus Engineer and spent two years in a US Air Force research lab.</t>
  </si>
  <si>
    <t>+1 (212) 345-8000</t>
  </si>
  <si>
    <t>chopard@starburst.aero</t>
  </si>
  <si>
    <t>840 Apollo Street</t>
  </si>
  <si>
    <t>Chief Executive Officer &amp; Co-Founder</t>
  </si>
  <si>
    <t>226080-28P</t>
  </si>
  <si>
    <t>Noemie Alliel</t>
  </si>
  <si>
    <t>Noemie</t>
  </si>
  <si>
    <t>Alliel</t>
  </si>
  <si>
    <t>Ms. Noemie Alliel serves as Managing Director &amp; Ventures Israel at Starburst. Ms. Alliel is a Co-Founder of Innoplaya. She joined the Starburst team in 2019 as an Operation Manager to drive and grow the Starburst innovation footprint in Israel. She is responsible for managing corporate partners, running the IAI International Innovation Center, and scouting for Israeli startups in the search for the next big thing in Aviation, Aerospace, &amp; Defense. As a French ex-pat, she lived in the US for 9 years, where she started her career advising companies in distress at KPMG in NYC before relocating to Israel 7 years ago. She previously served as deputy director of the Hive by Gvahim, where she took an active part in managing all aspects of running the accelerator program, supporting startups, and collaborating with all the players in the ecosystem before embarking on the entrepreneur journey and co-founding 3 startups. Passionate about flying, she obtained a private helicopter pilot license in 2010. She holds a Bachelor's Degree in Business Management from the University of Florida.</t>
  </si>
  <si>
    <t>noemie@starburst.aero</t>
  </si>
  <si>
    <t>2 Ze'ev Jabotinsky Road</t>
  </si>
  <si>
    <t>20th Floor</t>
  </si>
  <si>
    <t>5250501</t>
  </si>
  <si>
    <t>Managing Director &amp; Ventures Isreal</t>
  </si>
  <si>
    <t>226077-94P</t>
  </si>
  <si>
    <t>Oberhofer Lukas</t>
  </si>
  <si>
    <t>Oberhofer</t>
  </si>
  <si>
    <t>Mr. Oberhofer Lukas serves as Managing Director, USA Head of Strategic Operations, Europe at Starburst. He focuses on startup investment, consulting &amp; acceleration. He has 4 years of Startup Acceleration and Business Development experience in the US, Europe, and Middle East.</t>
  </si>
  <si>
    <t>lukas@starburst.aero</t>
  </si>
  <si>
    <t>Airbus Defence and Space building</t>
  </si>
  <si>
    <t>Willy-Messerschmitt-Straße 1, Taufkirchen</t>
  </si>
  <si>
    <t>82024</t>
  </si>
  <si>
    <t>Managing Director, USA Head of Strategic Operations, Europe</t>
  </si>
  <si>
    <t>151064-02P</t>
  </si>
  <si>
    <t>Sandra Budimir</t>
  </si>
  <si>
    <t>Budimir</t>
  </si>
  <si>
    <t>Ms. Sandra Budimir is a Co-Founder and serves as Partner, in Europe at Starburst. She serves as a General Partner at Audacia. She also serves as a General Partner at Expansion Ventures. She has a strong background in business development and strategy consulting for the Aerospace &amp; Defense industry. With 15 years of experience working for large engineering consultancies in various and countries, 10 years living abroad: In Paris, Hamburand g, Munich, and Sao Paulo she experienced working with Airbus, Dassault, Safran, Thailand s, Zodiac, and Embraer. She is the current Starburst Europe Managing Director and coordinates Sales and Business Development globally. She is responsible for the development of our two European offices: Paris and Munich and covers our activities from Israel to the UK. She received her Master's degree in entrepreneurship from Kedge Business School in France. She is currently following the IHEDN program (National Defence Policy session) under the responsibility of the Prime Minister.</t>
  </si>
  <si>
    <t>sandra@starburst.aero</t>
  </si>
  <si>
    <t>75000</t>
  </si>
  <si>
    <t>Expansion Ventures</t>
  </si>
  <si>
    <t>362474-20P</t>
  </si>
  <si>
    <t>Brian Richardson</t>
  </si>
  <si>
    <t>StartOut Growth Lab</t>
  </si>
  <si>
    <t>Mr. Brian Richardson serves as Chief Executive Officer at StartOut Growth Lab.</t>
  </si>
  <si>
    <t>+1 (415) 275-2446</t>
  </si>
  <si>
    <t>brian.richardson@startout.org</t>
  </si>
  <si>
    <t>Four Embarcadero Center</t>
  </si>
  <si>
    <t>348657-58P</t>
  </si>
  <si>
    <t>Jake Hannigan</t>
  </si>
  <si>
    <t>Hannigan</t>
  </si>
  <si>
    <t>Mr. Jake Hannigan serves as Program Manager at StartOut Growth Lab.</t>
  </si>
  <si>
    <t>jake.hannigan@startout.org</t>
  </si>
  <si>
    <t>394831-81P</t>
  </si>
  <si>
    <t>Phillip Ozaki</t>
  </si>
  <si>
    <t>Ozaki</t>
  </si>
  <si>
    <t>Mr. Phillip Ozaki serves as Chief Development Officer at StartOut Growth Lab.</t>
  </si>
  <si>
    <t>phillip.ozaki@startout.org</t>
  </si>
  <si>
    <t>362472-76P</t>
  </si>
  <si>
    <t>Tarik Perkins</t>
  </si>
  <si>
    <t>Tarik</t>
  </si>
  <si>
    <t>Mr. Tarik Perkins serves as Chief Program Officer at StartOut Growth Lab.</t>
  </si>
  <si>
    <t>tarik.perkins@startout.org</t>
  </si>
  <si>
    <t>Chief Program Officer</t>
  </si>
  <si>
    <t>132113-26P</t>
  </si>
  <si>
    <t>Bob Stearns</t>
  </si>
  <si>
    <t>Stearns</t>
  </si>
  <si>
    <t>Sternhill Associates</t>
  </si>
  <si>
    <t>Mr. Bob Stearns is a Co-Founder and serves as Managing Director at Sternhill Associates. He was a Co-Founder of Sternhill Partners. He serves as an Executive Advisor at EnsoData. He is an Advisor of SparkCognition. Mr. Stearns also served as Advisor at Statum Systems, Colle Capital Partners and EnsoData. He served as Board Member at Sommetrics. He has a long career in product development and marketing, strategic planning, mergers and acquisitions, as well as corporate venturing at some of the world's best-known computer and telecommunications companies. He has served on the Board of Governors of the Brown University Alumni Association, the Brown University Entrepreneurship Program advisory board, the Advisory Council for Computing and Information Technology at Brown, and on the advisory board for the Center for Nano- and Molecular Science and Technology at the University of Texas at Austin. He holds a Bachelor of Science degree in chemistry from Brown University, and a Master of Science degree in physics from the Massachusetts Institute of Technology. He serves as Advisor at Avathon.</t>
  </si>
  <si>
    <t>+1 (713) 816-9128</t>
  </si>
  <si>
    <t>bstearns@sternhillassociates.com</t>
  </si>
  <si>
    <t>95275-09P</t>
  </si>
  <si>
    <t>Aminta Breaux Ph.D</t>
  </si>
  <si>
    <t>Aminta</t>
  </si>
  <si>
    <t>Breaux</t>
  </si>
  <si>
    <t>Strada Education Foundation</t>
  </si>
  <si>
    <t>Dr. Aminta Breaux serves as President at Bowie State University. She serves as an Advisor and Investor at Critical Venture Partners. She serves as a Trustee at Strada Education Network. She also serves as a Member of the Governance and National Engagement committees. She served as Vice President of Advancement at Millersville University. The vice president oversees the Division of Advancement with responsibility for alumni engagement, development, advancement information services, and special events. The vice president is a member of the President's Cabinet.</t>
  </si>
  <si>
    <t>+1 (717) 871-7500</t>
  </si>
  <si>
    <t>president@bowiestate.edu</t>
  </si>
  <si>
    <t>Bowie, MD</t>
  </si>
  <si>
    <t>14000 Jericho Park Road</t>
  </si>
  <si>
    <t>20715-9465</t>
  </si>
  <si>
    <t>+1 (301) 464-7521</t>
  </si>
  <si>
    <t>Bowie State University</t>
  </si>
  <si>
    <t>433186-75P</t>
  </si>
  <si>
    <t>Chantée Eldridge</t>
  </si>
  <si>
    <t>Chantée</t>
  </si>
  <si>
    <t>Eldridge</t>
  </si>
  <si>
    <t>Ms. Chantée Eldridge serves as Chief Diversity, Equity, and Inclusion Officer at Strada Education Foundation. She also has a dual appointment as a vice president, overseeing the organization's strategic outreach and events team. As the chief diversity, equity, and inclusion officer, her role centers on developing long-range DEI planning, implementation, and measurement, championing inclusive excellence and belonging, and working closely with leaders, staff, and key stakeholders in promoting equitable outcomes in postsecondary education and the purposeful connection to work and career. A native of Denver, Colorado, she earned an executive coaching certification from Texas Christian University's Neeley School of Business and a bachelor's and graduate degree from Indiana Wesleyan University. She holds a doctorate in higher education leadership from Maryville University.</t>
  </si>
  <si>
    <t>+1 (513) 889-6267</t>
  </si>
  <si>
    <t>chantee.eldridge@stradaeducation.org</t>
  </si>
  <si>
    <t>10 West Market Street</t>
  </si>
  <si>
    <t>46204</t>
  </si>
  <si>
    <t>Chief Diversity, Equity, and Inclusion Officer</t>
  </si>
  <si>
    <t>174373-39P</t>
  </si>
  <si>
    <t>Edward Schmidt JD</t>
  </si>
  <si>
    <t>Mr. Edward Schmidt serves as Trustee at Strada Education Network. He is president and CEO of Silver Creek Partners LLC, based in suburban Indianapolis. He is a retired partner of the Indianapolis-based law firm Krieg, DeVault LLP, a former executive vice president of Sallie Mae Inc., and the former executive vice president, general counsel, and secretary of USA Group Inc. He is vice chairman of the board of Susquehanna University and a member of the boards for Indiana Hemophilia &amp; Thrombosis Center and the Indiana State Chapter of JDRF, the Juvenile Diabetes Research Foundation. He is chairman of Health Initiatives Inc. and is on the Law Advisory Council for Notre Dame Law School. He received a Bachelor of Science degree from Susquehanna University and a Juris Doctor degree from the University of Notre Dame. He is licensed to practice law in the states of Indiana, Michigan, and Pennsylvania. He is a member of the American, Indiana, and Indianapolis bar associations.</t>
  </si>
  <si>
    <t>14355-37P</t>
  </si>
  <si>
    <t>Ernest Newborn II</t>
  </si>
  <si>
    <t>Newborn</t>
  </si>
  <si>
    <t>Mr. Ernest Newborn serves as Senior Vice President, General Counsel and Secretary at USI Insurance Services. Mr. Newborn is an insurance brokerage executive with over 25 years of experience assisting publicly and privately held firms to acquire, integrate, and grow their businesses. Currently, he is senior vice president, general counsel, and secretary of USI Insurance Services, one of the largest insurance brokerage and consulting firms in the world, delivering property and casualty, employee benefits, personal risk, and retirement solutions to large-risk management clients, middle-market companies, smaller firms, and individuals. USI is the world's 8th largest insurance brokerage firm, with over $2.5B in annualised revenues. he helped build USI's national distribution system by acquiring, consolidating, and integrating over 400 insurance brokers and related businesses. He was elected to the board of USA Funds in 2000 and served as chairman of the board from 2009 to 2014. He now serves on Strada's Policy &amp; Advocacy, Governance, and Compensation committees. He started his corporate career at Anthem Blue Cross Blue Shield, a multibillion-dollar health insurance and management company. He was named vice president, general counsel, and secretary of Acordia Inc., the company's publicly owned subsidiary early in his career. Until he assumed his current position with USI, he resided in Indianapolis and was active in the Indianapolis not-for-profit community. He has received numerous awards for his civic and professional achievements. He also served as a member of the board of directors of the Jackie Robinson Foundation from March 2018 to March 2023. He received his bachelor's degree from Drake University and his law degree from the University of Michigan.</t>
  </si>
  <si>
    <t>+1 (914) 749-8500</t>
  </si>
  <si>
    <t>ernest.newborn@usi.com</t>
  </si>
  <si>
    <t>Valhalla</t>
  </si>
  <si>
    <t>Valhalla, NY</t>
  </si>
  <si>
    <t>100 Summit Lake Drive</t>
  </si>
  <si>
    <t>10595</t>
  </si>
  <si>
    <t>Senior Vice President, General Counsel and Secretary</t>
  </si>
  <si>
    <t>USI Insurance Services</t>
  </si>
  <si>
    <t>433186-84P</t>
  </si>
  <si>
    <t>Grant Schroll</t>
  </si>
  <si>
    <t>Schroll</t>
  </si>
  <si>
    <t>Mr. Grant Schroll serves as Platform Manager, Strategic Investments at Strada Education Foundation.</t>
  </si>
  <si>
    <t>grant.schroll@stradaeducation.org</t>
  </si>
  <si>
    <t>Platform Manager, Strategic Investments</t>
  </si>
  <si>
    <t>253227-70P</t>
  </si>
  <si>
    <t>Jessica Hinkle</t>
  </si>
  <si>
    <t>Ms. Jessica Hinkle serves as a Senior Vice President of Strategic Investments at Strada Education Network. She also serves as an Advisor at ETF@JFFLabs. She serves as Advisor at Stride Funding. She holds a bachelor's degree from Brown University and an MBA from Harvard Business School.</t>
  </si>
  <si>
    <t>jessica.hinkle@stradaeducation.org</t>
  </si>
  <si>
    <t>Senior Vice President of Strategic Investments</t>
  </si>
  <si>
    <t>144484-30P</t>
  </si>
  <si>
    <t>Larry Lutz</t>
  </si>
  <si>
    <t>Mr. Larry Lutz serves as Executive Vice President, Corporate Development at Strada Education Network. He serves as Board Member at Whiteboard Advisors. He serves as Board Member at Council For Adult And Experimental Learning. He serves as Board Member at InsideTrack. As executive vice president for corporate development, Larry A. He oversees Strada Education Network's business development and merger and acquisition initiatives, with a particular focus on supporting the growth and development of Strada Collaborative and its constituent organizations. Prior to joining Strada, he was chief executive officer of WiseChoice Brands, a Jacksonville, Florida-based creator of online college and career planning tools and resources. He has 25 years of experience in education finance, serving in executive leadership roles with First Marblehead Corp., Career College Loan Co., Educaid/First Union, and Student Loan Funding Corp. He is a graduate of Colorado College where he earned a bachelor's degree in English.</t>
  </si>
  <si>
    <t>+1 (317) 806-1200 x8475</t>
  </si>
  <si>
    <t>larry.lutz@stradaeducation.org</t>
  </si>
  <si>
    <t>291166-12P</t>
  </si>
  <si>
    <t>Laura McCoolidge</t>
  </si>
  <si>
    <t>McCoolidge</t>
  </si>
  <si>
    <t>Ms. Laura McCoolidge serves as Vice President, Strategic Investments at Strada Education Foundation.</t>
  </si>
  <si>
    <t>+1 (402) 915-2495</t>
  </si>
  <si>
    <t>laura.mccoolidge@stradaeducation.org</t>
  </si>
  <si>
    <t>Vice President, Strategic Investments</t>
  </si>
  <si>
    <t>114481-36P</t>
  </si>
  <si>
    <t>Leonard Gurin</t>
  </si>
  <si>
    <t>Gurin</t>
  </si>
  <si>
    <t>Mr. Leonard Gurin serves as Senior Vice President, Cash and Investments at Strada Education Network. He is the chairman of the Investment Committee for the Jewish Federation of Greater Indianapolis and previously served on the boards for Fishers Youth Assistance, Fishers YMCA, and Families First. He is a graduate of Indiana University with a major in finance.</t>
  </si>
  <si>
    <t>leonard.gurin@stradaeducation.org</t>
  </si>
  <si>
    <t>Senior Vice President, Cash and Investments</t>
  </si>
  <si>
    <t>148701-43P</t>
  </si>
  <si>
    <t>Marlene Coulis</t>
  </si>
  <si>
    <t>Marlene</t>
  </si>
  <si>
    <t>Coulis</t>
  </si>
  <si>
    <t>Ms. Marlene Coulis serves as Chair of the Board of Trustees at Strada Education Network. She is a Marketing Strategy Consultant with Coulis Consulting, which provides strategic and actionable marketing solutions to drive brand growth within the consumer and retail environment. She brings to the USA Funds board over 25 years of experience in marketing, advertising, marketing research, and strategic planning. Previously, she was a marketing executive with Anheuser-Busch, Inc. for 18 years and most recently served as Vice President of Consumer Strategy, Insights, and Innovation. In addition, she led the integration of the total marketing approach into the combined Anheuser-Busch InBev global company. She had also served on the corporation's strategy committee, a group of the most senior executives responsible for setting the company's strategic course. During her tenure, she helped the company become a leading beverage innovator by expanding its brand portfolio to include a full line of American and craft-style beers, select imports, and premium specialty beverages. She is a graduate of Ball State University in Muncie, Indiana. She was elected to the USA Funds board in 2011. She is a member of USA Funds' Compensation and Mission Advancement and Philanthropy Committees. She is also on the board of trustees for Embarc, a Chicago-based three-year program that provides community-driven, experienced-based learning opportunities to low-income High School students to inspire and prepare them for college and career success. She resides with her husband, Theo, in Chicago.</t>
  </si>
  <si>
    <t>coulis@anheuser-busch.com</t>
  </si>
  <si>
    <t>Chair of the Board of Trustees</t>
  </si>
  <si>
    <t>291467-80P</t>
  </si>
  <si>
    <t>Mr. Michael Austin serves as Chief Financial Officer &amp; Executive Vice President at Strada Education Network. He leads a team that plays a crucial role for Strada and its affiliates by performing budgeting, forecasting, and analysis that supports major corporate decisions for senior leadership, the Chief Executive Officer, and the Board of Directors including investment and asset allocation decisions, financial planning, financial risk management, and strategic transactions. Prior to joining Strada in 2017, he served as Chief Financial Officer and Finance Director of Laureate Global Partnerships, a division of publicly traded Laureate Education. There he led a global financial team responsible for setting financial strategy, budgeting and forecasting, operations and accounting support, and financial reporting. He earned his undergraduate degree from George Washington University in International Affairs/International Economics and attended the College of William and Mary's MBA program.</t>
  </si>
  <si>
    <t>michael.austin@stradaeducation.org</t>
  </si>
  <si>
    <t>79237-45P</t>
  </si>
  <si>
    <t>Michele Chang</t>
  </si>
  <si>
    <t>Ms. Michele Chang serves as Chief Strategy Officer at Strada Education Network. She served as Vice President, Programs &amp; Services at Hope Street Group. She served as Vice President, Strategic Partnership at Radius Intelligence. She became Strada's chief strategy officer in November 2022. She will lead a new strategy and innovation team in supporting efforts to improve outcomes of postsecondary education and training. She recently served in the Biden-Harris Administration as deputy assistant secretary for policy for the U.S. Department of Commerce's Economic Development Administration. In that position, she led the design, launch, and implementation of EDA's $3 billion American Rescue Plan grant programs - including the Build Back Better Regional Challenge and the Good Jobs Challenge - to help communities across the country accelerate their recovery from the COVID-19 pandemic. Before joining the Department of Commerce, She was the executive director for the Markle Foundation's Rework America Business Network, where she created and led a coalition of 12 Fortune 500 companies committed to adopting practices to place underrepresented workers without four-year degrees into quality jobs. Previously, She served in the Obama Administration as acting chief of staff and deputy chief of staff at the U.S. Small Business Administration, where she managed the day-to-day operations of the 3,000+ person agency. Prior to joining the Obama Administration, She worked at McKinsey &amp; Company, where she helped local governments, public school systems, and Fortune 500 companies alike tackle some of their most challenging and urgent issues. She has also held roles at PricewaterhouseCoopers and Hope Street Group, a national nonprofit where she led their national workforce development programs. She earned her bachelor's degree from the University of California, Los Angeles, in mathematics/applied sciences and her master's in business administration from the University of Chicago Booth School of Business.</t>
  </si>
  <si>
    <t>michele.chang@stradaeducation.org</t>
  </si>
  <si>
    <t>374847-04P</t>
  </si>
  <si>
    <t>Mike Hanagan</t>
  </si>
  <si>
    <t>Hanagan</t>
  </si>
  <si>
    <t>Mr. Mike Hanagan serves as Strategic Investments Associate at Strada Education Foundation.</t>
  </si>
  <si>
    <t>mike.hanagan@stradaeducation.org</t>
  </si>
  <si>
    <t>Strategic Investments Associate</t>
  </si>
  <si>
    <t>256219-75P</t>
  </si>
  <si>
    <t>Rhonda Powell JD</t>
  </si>
  <si>
    <t>Rhonda</t>
  </si>
  <si>
    <t>Ms. Rhonda Powell serves as Executive Vice President, General Counsel, and Corporate Secretary at Strada Education Foundation. She also served as Secretary &amp; Chief Legal Officer at BuzzFeed. She is BuzzFeed's General Counsel where she oversees business and legal affairs for the global digital media company. She joins BuzzFeed from Complex Media, where she served on the company's senior management team as Senior Vice President, Business &amp; Legal Affairs, and Chief Legal Officer. She started her career in the corporate departments of LeBoeuf, Lamb, Greene &amp; MacRae, and Proskauer Rose LLP, where she worked on transactions in the communications, media, biotechnology, and e-commerce areas. She also spent several years in the legal department of Reuters America Inc., where she focused on complex commercial transactions. She is a magna cum laude graduate of Harvard University and Radcliffe College and received her Juris Doctor from the University of Michigan, where she was a Clarence Darrow Merit Scholar.</t>
  </si>
  <si>
    <t>rhonda.powell@buzzfeed.com</t>
  </si>
  <si>
    <t>Secretary &amp; Chief Legal Officer</t>
  </si>
  <si>
    <t>BuzzFeed (Former)</t>
  </si>
  <si>
    <t>60451-84P</t>
  </si>
  <si>
    <t>Stephen Moret</t>
  </si>
  <si>
    <t>Moret</t>
  </si>
  <si>
    <t>Mr. Stephen Moret serves as President &amp; Chief Executive Officer at Strada Education Network. He serves as President &amp; Chief Executive Officer at Virginia Economic Development Partnership. Before leading VEDP, he served as President and CEO of the LSU Foundation, where he crafted a blueprint for its future development, preparing the institution to launch the largest capital campaign in state history. Concurrently, he served as Executive Director of the LSU Property Foundation to launch a $180 million mixed-use real estate development, revitalizing the western edge of the LSU campus. He previously served as President and CEO of the Baton Rouge Area Chamber of Commerce; management consultant with McKinsey &amp; Company; public policy fellow with the Public Affairs Research Council of Louisiana (a good-government think tank); consultant to Harvard Business School; Assistant to the Chancellor of LSU; and environmental consultant to the industry at Trinity Consultants. He earned a Bachelor of Science degree in mechanical engineering from Louisiana State University and a master's in business administration from Harvard Business School. He also earned a doctorate in higher education management from the University of Pennsylvania.</t>
  </si>
  <si>
    <t>+1 (804) 545-5612</t>
  </si>
  <si>
    <t>stephen.moret@stradaeducation.org</t>
  </si>
  <si>
    <t>49310-11P</t>
  </si>
  <si>
    <t>Sureel Choksi</t>
  </si>
  <si>
    <t>Sureel</t>
  </si>
  <si>
    <t>Choksi</t>
  </si>
  <si>
    <t>Mr. Sureel Choksi serves as Chief Executive Officer, Board Member, and President at Vantage Data Centers Management. He serves as a Board Member at Nexthop.ai. He serves as a Trustee and Chairman of the Investment Committee at Strada Education Network. He also serves as a Member of the Compensation Committee. He also serves as a Senior Advisor at DigitalBridge Group. Previously, he served as an Operating Executive at Silver Lake Management. He joined Silver Lake in 2013. Before Silver Lake, he was Chief Executive Officer of Elevation Data Centers, a private equity-backed data center roll-up. Previously, he held several executive roles with Level 3 Communications, including chief marketing officer, president of wholesale markets, executive vice president of services, chief financial officer, group vice president of corporate development, and treasurer. Before Level 3, he worked in venture capital at TeleSoft Partners and investment banking at Gleacher &amp; Company. He received a B.S. in Economics from the Wharton School with concentrations in Finance, Accounting, and Entrepreneurial Management and a B.A.S. from the School of Engineering and Applied Science, both from the University of Pennsylvania. He served as a Board Member at Zayo Group.</t>
  </si>
  <si>
    <t>+1 (408) 748-9830</t>
  </si>
  <si>
    <t>sureel.choksi@vantagedatacenters.com</t>
  </si>
  <si>
    <t>200 Clayton Street</t>
  </si>
  <si>
    <t>Vantage Data Centers Management Company</t>
  </si>
  <si>
    <t>290689-21P</t>
  </si>
  <si>
    <t>Terry Holloway</t>
  </si>
  <si>
    <t>Holloway</t>
  </si>
  <si>
    <t>Mr. Terry Holloway serves as Senior Vice President &amp; Chief Human Resources Officer at Strada Education Network. He has more than two decades of experience in talent management and human resources. As Strada Education NetworkSM's senior vice president and chief talent officer, he directs the organization's talent strategy, including key role succession and talent pipeline management, associate and leadership development, and team effectiveness. Previously He was the founder and chief executive officer of Cornerstone Talent Management and has served as vice president of talent management and human resources for Anthem Inc. He also was vice president of human resources for Sallie Mae and held HR roles for Ford Motor Co.He serves on the board of directors for FHL International, an Indianapolis-based nonprofit organization enabling food-insecure neighborhoods to develop a path to self-sufficiency. He also is a volunteer for Wheeler Mission Ministries, Heartland One to One Care Ministries, and Hamilton Southeastern Youth Sports Programs. He holds an undergraduate degree from Evangel University and a master's degree from Purdue University.</t>
  </si>
  <si>
    <t>terry.holloway@stradaeducation.org</t>
  </si>
  <si>
    <t>174373-21P</t>
  </si>
  <si>
    <t>Thomas Dawson</t>
  </si>
  <si>
    <t>Mr. Thomas Dawson serves as President, of Strada Collaborative at Strada Education Network. He previously was executive vice president and chief operating officer, overseeing the shared services that support the Strada network, including finance, impact evaluation, information technology, and philanthropic partnerships. As COO, he was also responsible for overseeing Strada's nonprofit affiliates - CAEL, Education at Work, InsideTrack, and Roadtrip Nation - and ensuring they met their growth, sustainability, and impact goals. Before joining Strada in May 2015, he was vice president, of product management, for Laureate Education, where he established partnerships with select nonprofit universities to run online and global education programs. He also has served as a senior policy officer for the Bill &amp; Melinda Gates Foundation, overseeing grants dedicated to helping low-income students complete college. Earlier in his career, he worked in several capacities including deputy assistant secretary for postsecondary education at the U.S. Department of Education. He graduated from Claremont McKenna College with honors degrees in government and economics and also serves on the boards of St. Richard's Episcopal School and the Indianapolis Neighborhood Housing Partnership.</t>
  </si>
  <si>
    <t>thomas.dawson@stradaeducation.org</t>
  </si>
  <si>
    <t>President, Strada Collaborative</t>
  </si>
  <si>
    <t>396476-20P</t>
  </si>
  <si>
    <t>Travis Reindl</t>
  </si>
  <si>
    <t>Reindl</t>
  </si>
  <si>
    <t>Mr. Travis Reindl serves as Senior Vice President &amp; Chief Communications Officer at Strada Education Foundation. He leads a team focused on promoting and advocating for policies that drive change in support of Strada's mission. He has more than 25 years of experience in policy and strategic communications with a focus on postsecondary education. Before joining Strada, he served as senior vice president of communications for Helios Education Foundation. He was part of the foundation's senior leadership team and led the development and execution of its annual strategic communications plan. Before joining Helios, he was senior program officer of communications for the Bill &amp; Melinda Gates Foundation, for which he oversaw print, digital, and social media communications for the foundation's postsecondary success strategy. He also developed and executed a $10 million portfolio of communications and advocacy investments. Before that, he led the development of the first policy advocacy playbook for the foundation's U.S. program as senior program officer of policy advocacy. he also served as program director for the National Governors Association and was responsible for the group's Center for Best Practices in higher education portfolio. he earned his bachelor's degree in government from the University of Notre Dame, where he graduated summa cum laude and was a member of Phi Beta Kappa. He earned his master's degree in public policy from the University of Maryland, College Park, and graduated summa cum laude.</t>
  </si>
  <si>
    <t>travis.reindl@stradaeducation.org</t>
  </si>
  <si>
    <t>57960-91P</t>
  </si>
  <si>
    <t>Belal Aftab</t>
  </si>
  <si>
    <t>Belal</t>
  </si>
  <si>
    <t>Mr. Belal Aftab serves as Executive, Partnerships &amp; Global at Stripe. Mr. Aftab served as Head of Operations at ALOHA. Mr. Aftab also served as Executive, Growth Stage Investing at Elixir Capital.</t>
  </si>
  <si>
    <t>belal@stripe.com</t>
  </si>
  <si>
    <t>Executive, Partnerships &amp; Global</t>
  </si>
  <si>
    <t>62313-31P</t>
  </si>
  <si>
    <t>Claire Johnson</t>
  </si>
  <si>
    <t>Ms. Claire Johnson serves as Board Member at Ameresco. She serves as Corporate Officer and Advisor at Stripe. She is an Angel Investor. She serves as the President of the Board of Trustees at Milton Academy. She serves as an Advisory Board Member and Operator LP at Operator Collective. She serves as a Board Member at HubSpot. She also serves as the President of the Board of Trustees at Milton Academy. She served as Vice President at Google. She serves as an Advisor at Blue Tulip Ventures. She leads the Google Offers product, responsible for matching businesses with people looking for savings on great places to eat, shop, and play. Since joining Google in 2004, she has led teams in both the consumer and business space, including the business teams behind the launches of Gmail, Google Checkout, and Google Apps. She also founded the Consumer Operations team that today supports all Google users. Most recently, she led Global Online Sales and the New Products &amp; Solutions teams, responsible respectively for acquiring and serving thousands of advertisers, merchants, and commercial partners and for developing &amp; selling new product areas for Google (e.g., display &amp; mobile). She also served as co-lead and executive sponsor of the Global Women@Google Network and is a member of the Google Diversity Executive Council. Before Google, she worked in management consulting, developing marketing and customer strategies for large media companies, including DirecTV, The New York Times, and Dow Jones. Her career began in Massachusetts state politics, working for the Attorney General and running gubernatorial, state, and local campaigns. Between elections, she spent a year working on the editorial side for a Hearst magazine publication. She earned a bachelor's degree with honors from Brown University and an MBA from Yale School of Management. She serves on the board of Hallmark Cards, Inc., and as a Trustee of Milton Academy. She is also an Angel Investor.</t>
  </si>
  <si>
    <t>Corporate Officer and Advisor</t>
  </si>
  <si>
    <t>362114-92P</t>
  </si>
  <si>
    <t>Eileen O'Mara</t>
  </si>
  <si>
    <t>O'Mara</t>
  </si>
  <si>
    <t>Ms. Eileen O'Mara serves as Chief Revenue Officer at Stripe.</t>
  </si>
  <si>
    <t>eileen@stripe.com</t>
  </si>
  <si>
    <t>35823-25P</t>
  </si>
  <si>
    <t>Elad Gil Ph.D</t>
  </si>
  <si>
    <t>Dr. Elad Gil is a Co-Founder of Color. He served as an Advisor at Origami Logic. He is an Investor in Gitlab. He serves as an Advisor at Upside. He is an Investor &amp; serves as an Advisor at Airbnb. He serves as an Advisor at PagerDuty, Coinbase, Rippling, and Deel. He serves as an Executive at Instacart. He is a Co-Founder and serves as Chairman at Color Genomics. He serves as an Advisor at Dynaboard and Mino Games. He is an Investor in Pinterest. He serves as an Advisor at Airtable. He is an Investor and serves as an Advisor, Operating Executive, &amp; Entrepreneur at Stripe. He served as Chief Executive Officer at Color Genomics. He served as the Vice President of Corporate Strategy for Twitter. He was also a Co-Founder and served as Chief Executive Officer at Mixer Labs / GeoAPI before GeoAPI.com. He has a long-standing interest in location-based services and mobile. He co-founded Google's Mobile Team, where he was the first PM on Google Mobile Maps and was involved with the Android acquisition. He served as an Advisor at Aclima. Before Google, he worked at 3 venture-backed startups and McKinsey. He is currently an investor and advisor to several mobile and social media startups. He is an Advisor of Upside and Origami Logic. He served as an Advisor at Anchorage. He also served as the Chairman at Spring Discovery. He has a Ph.D. from MIT. He serves as an Advisor at Harbor Platform. He served as an Advisor at Brex. He also serves as an Advisor at Electric Capital. He served as an Advisor at Bitwise. He previously served as CEO of Color and VP of Corporate Strategy at Twitter, where he ran various product teams, including Geo and Search. He joined Twitter with its acquisition of MixerLabs, an early developer-centric platform infrastructure provider, where he was co-founder and CEO. He spent many years at Google +1.5%, where he started the mobile team and was involved in all aspects of getting that team up and running. He was involved in three Google acquisitions (including that of the Android team) and was the original product manager for Google Mobile Maps and other key mobile products. He has also held product management and market seeding roles at several Silicon Valley companies and worked at McKinsey &amp; Co. He received his PhD from MIT and has degrees in mathematics and biology from the University of California, San Diego. He serves as an Advisor at Ambient.ai. He served as an advisor at Flexport.</t>
  </si>
  <si>
    <t>+1 (844) 352-6567</t>
  </si>
  <si>
    <t>elad@color.com</t>
  </si>
  <si>
    <t>831 Mitten Road</t>
  </si>
  <si>
    <t>Color</t>
  </si>
  <si>
    <t>85353-67P</t>
  </si>
  <si>
    <t>Jeff Titterton</t>
  </si>
  <si>
    <t>Titterton</t>
  </si>
  <si>
    <t>Mr. Jeff Titterton serves as Chief Marketing Officer at Stripe. Mr. Titterton serves as Chief Operating Officer at Zendesk. He served as our Senior Vice President, Marketing from May 2017 until October 2018. From January 2017 to May 2017, Mr. Titterton served as the Head of Global Campaign and Engagement Marketing for Adobe, a software company, where he also was the Head of Engagement Marketing and SMB Business, Creative Cloud from August 2013 to January 2017. Before that, he served as the Chief Marketing Officer for 99designs, a graphic design marketplace, from August 2011 to August 2013. Mr. Titterton holds a B.A. in English and a concentration in Economics from Cornell University. He serves as Board Member at Getty Images and he is an Angel Investor.</t>
  </si>
  <si>
    <t>jtitterton@stripe.com</t>
  </si>
  <si>
    <t>81257-05P</t>
  </si>
  <si>
    <t>Mr. Jeff Weinstein serves as Product Lead at Stripe. Mr. Weinstein co-founded and served as Chief Executive Officer of Wagon. Previously, he led real-time and batch analytics at Groupon, was President of Hyperpublic, and Director of Research and Development at comScore. He graduated from the University of Pennsylvania with Bachelor's degrees in Computer Science Engineering and Economics.</t>
  </si>
  <si>
    <t>jeff@stripe.com</t>
  </si>
  <si>
    <t>Product Lead</t>
  </si>
  <si>
    <t>288957-07P</t>
  </si>
  <si>
    <t>John Affaki</t>
  </si>
  <si>
    <t>Affaki</t>
  </si>
  <si>
    <t>Mr. John Affaki serves as Business Lead, Payment Acceptance at Stripe.</t>
  </si>
  <si>
    <t>+1 (408) 227-2807</t>
  </si>
  <si>
    <t>jaffaki@stripe.com</t>
  </si>
  <si>
    <t>Business Lead, Payment Acceptance</t>
  </si>
  <si>
    <t>176577-58P</t>
  </si>
  <si>
    <t>John Collison</t>
  </si>
  <si>
    <t>Collison</t>
  </si>
  <si>
    <t>Mr. John Collison is a Co-Founder &amp; serves as Board Member &amp; President at Stripe. Mr. Collison is an Angel Investor. He also serves as a Board Member at SCHF (GPE). He earned a degree in Physics from Harvard University in 2010.</t>
  </si>
  <si>
    <t>john@stripe.com</t>
  </si>
  <si>
    <t>Co-Founder, Board Member &amp; President</t>
  </si>
  <si>
    <t>306450-19P</t>
  </si>
  <si>
    <t>Joseph Katich</t>
  </si>
  <si>
    <t>Katich</t>
  </si>
  <si>
    <t>Mr. Joseph Katich serves as Executive, Go to Market Data Strategy at Stripe.</t>
  </si>
  <si>
    <t>joseph@stripe.com</t>
  </si>
  <si>
    <t>Executive, Go to Market Data Strategy</t>
  </si>
  <si>
    <t>154394-02P</t>
  </si>
  <si>
    <t>Krishnan Rajagopalan</t>
  </si>
  <si>
    <t>Mr. Krishnan Rajagopalan serves as Global Head of Expansion and Incubation Partnerships &amp; Board Member at Stripe. Mr. Rajagopalan co-founded and served as Chief Content and Distribution Officer at HOOQ. Rajagopalan has a strong digital media and TV background, having held senior roles at Singapore Telecommunications (Singtel) and the Motion Picture Association of America before co-founding Hooq in 2015.</t>
  </si>
  <si>
    <t>krishnan@stripe.com</t>
  </si>
  <si>
    <t>Global Head of Expansion and Incubation Partnerships &amp; Board Member</t>
  </si>
  <si>
    <t>294938-02P</t>
  </si>
  <si>
    <t>Louise Smith</t>
  </si>
  <si>
    <t>Louise began her career in banking, working at Barclays and NatWest/RBS, focused on digital distribution and data, before becoming the first chief digital officer in the history of Lloyd's of London. She has also worked as a FinTech Ambassador for HM Treasury, focused on bringing parties together from across all aspects of the industry to drive better outcomes for customers. Outside of Neuron, Louise is chair of the board for Innovate Finance, the independent industry body for the FinTech community and next generation of disrupters and challengers. Louise joined WTW in 2021 to lead the strategic direction and development of Neuron Digital Trading. She has a degree and BA from University of Pennsylvania.</t>
  </si>
  <si>
    <t>Chairman of the UK Board of Director, Chair Risk Committee and Board Member, Europe</t>
  </si>
  <si>
    <t>296071-21P</t>
  </si>
  <si>
    <t>Matt Ziegler</t>
  </si>
  <si>
    <t>Mr. Matt Ziegler serves as Head of Corporate Strategy at Stripe. During their time at Bain, Mr. Ziegler advised private equity funds on transactions valued at $500M-$5B, led primary and secondary research projects, and developed proficiency in statistical analyses, including regression and CHAID / CART. He also worked on corporate strategy for a major US telecom, merger integration for a global airline, and sales strategy for a tech distributor. He graduated from the Wharton School with a B.S. in Economics and a concentration in Management Sciences (Pre-med). He then went on to complete their MBA at Harvard Business School. He reports to William Alvarado, Chief Business Officer. He works with Raimondo Murari - Head of Marketing Operations, Tim Drinan - Head of Product Communications, and Sasha de Marigny - Head of Brand Communications.</t>
  </si>
  <si>
    <t>matt@stripe.com</t>
  </si>
  <si>
    <t>40315-69P</t>
  </si>
  <si>
    <t>Patrick Collison</t>
  </si>
  <si>
    <t>Mr. Patrick Collison is a Co-Founder &amp; serves as Chief Executive Officer and Board Member at Stripe. He serves as Advisor at Stellar Development Foundation. He also served as Partner at Y Combinator. He serves as Board Member at Pacific Fusion. He previously co-founded Automatics. He holds a Degree in Mathematics from the Massachusetts Institute of Technology (MIT). He is an Angel Investor.</t>
  </si>
  <si>
    <t>patrick@stripe.com</t>
  </si>
  <si>
    <t>411358-78P</t>
  </si>
  <si>
    <t>Rahul Patil</t>
  </si>
  <si>
    <t>Mr. Rahul Patil serves as Chief Technology Officer at Stripe.</t>
  </si>
  <si>
    <t>rahul.patil@stripe.com</t>
  </si>
  <si>
    <t>386764-75P</t>
  </si>
  <si>
    <t>Robert McIntosh</t>
  </si>
  <si>
    <t>McIntosh</t>
  </si>
  <si>
    <t>Mr. Robert McIntosh serves as Chief People Officer at Stripe.</t>
  </si>
  <si>
    <t>robert@stripe.com</t>
  </si>
  <si>
    <t>261857-62P</t>
  </si>
  <si>
    <t>Sarah Browne</t>
  </si>
  <si>
    <t>Ms. Sarah Browne serves as Global Head of Regulatory Compliance at Stripe.</t>
  </si>
  <si>
    <t>sarah@stripe.com</t>
  </si>
  <si>
    <t>Global Head of Regulatory Compliance</t>
  </si>
  <si>
    <t>261857-26P</t>
  </si>
  <si>
    <t>Scott Farrington</t>
  </si>
  <si>
    <t>Farrington</t>
  </si>
  <si>
    <t>Mr. Scott Farrington serves as Chief Accounting Officer at Stripe.</t>
  </si>
  <si>
    <t>scott@stripe.com</t>
  </si>
  <si>
    <t>262745-38P</t>
  </si>
  <si>
    <t>Simon Arscott</t>
  </si>
  <si>
    <t>Arscott</t>
  </si>
  <si>
    <t>Mr. Simon Arscott serves as Radar's Business Lead at Stripe.</t>
  </si>
  <si>
    <t>simon@stripe.com</t>
  </si>
  <si>
    <t>Radar's Business Lead</t>
  </si>
  <si>
    <t>306464-77P</t>
  </si>
  <si>
    <t>Simon Frank</t>
  </si>
  <si>
    <t>Mr. Simon Frank serves as Risk Strategist, Technology at Stripe.</t>
  </si>
  <si>
    <t>+1 (087) 644-2012</t>
  </si>
  <si>
    <t>simonfrank@stripe.com</t>
  </si>
  <si>
    <t>Risk Strategist, Technology</t>
  </si>
  <si>
    <t>359428-42P</t>
  </si>
  <si>
    <t>Steffan Tomlinson</t>
  </si>
  <si>
    <t>Steffan</t>
  </si>
  <si>
    <t>Mr. Steffan Tomlinson serves as Chief Financial Officer at Stripe. Mr. Tomlinson serves as Borad Member at Vercel</t>
  </si>
  <si>
    <t>steffan@stripe.com</t>
  </si>
  <si>
    <t>47363-23P</t>
  </si>
  <si>
    <t>William Alvarado</t>
  </si>
  <si>
    <t>Alvarado</t>
  </si>
  <si>
    <t>Advisor &amp; Executive Officer</t>
  </si>
  <si>
    <t>Mr. William Alvarado serves as Chief Business Officer &amp; Corporate Advisor at Stripe. Previously, Mr. Alvarado served as Vice President of Products and Engineering at SEVEN Networks. Before that, he served as a Senior Business Analyst at Capital One. He has degrees from Georgia Tech and Stanford. Before Stripe, he co-founded Lala Media, an online music store that was acquired by Apple in 2009 to become part of iTunes. Before that, he was vice president of products and engineering at SEVEN Networks, a leader in mobile traffic management and optimization software. He received a Bachelor of Science degree in industrial engineering from Georgia Tech and an MBA from Stanford.</t>
  </si>
  <si>
    <t>billy@stripe.com</t>
  </si>
  <si>
    <t>Chief Business Officer &amp; Corporate Advisor</t>
  </si>
  <si>
    <t>48329-92P</t>
  </si>
  <si>
    <t>William Gaybrick JD</t>
  </si>
  <si>
    <t>Gaybrick</t>
  </si>
  <si>
    <t>Mr. William Gaybrick serves as President, Products and Business at Stripe. Mr. Gaybrick served as General Partner at Thrive Capital. He served as a Board Member at Justworks. He has served as a Software Engineer at several start-ups around New York, including Milewise, Jumo, and Hunch, as well as having served as an analyst at The Blackstone Group. He is a Board Member of Segment.io. He is a Co-Founder and Board Member of Maple. He is a graduate from Harvard University and received his JD from Yale Law School. He is an Angel Investor.</t>
  </si>
  <si>
    <t>will@stripe.com</t>
  </si>
  <si>
    <t>President, Products and Business</t>
  </si>
  <si>
    <t>42546-79P</t>
  </si>
  <si>
    <t>Christof Wittig</t>
  </si>
  <si>
    <t>Christof</t>
  </si>
  <si>
    <t>Strive Capital</t>
  </si>
  <si>
    <t>Mr. Christof Wittig is a Co-Founder and serves as Chief Executive Officer &amp; Board Member at Hornet. Mr. Wittig is the Founder &amp; served as Chief Executive Officer at Vespa (Gay City Guide). Mr. Wittig is a Co-Founder and serves as Chief Executive Officer and Board Member at Hornet. He founded and served as Chief Executive Officer at Vespa. He served as a Board Member at Astro File Manager. He also serves as an Advisor at OurCam. He is a Co-Founder and serves as Managing Partner &amp; Director at Strive Capital. He served as Chief Executive Officer at Madvertise Media. He also served as President of the LGBT Foundation. He completed his MS in Management from Stanford Graduate School of Business in 2004.</t>
  </si>
  <si>
    <t>christof@hornet.com</t>
  </si>
  <si>
    <t>750 North San Vincente Boulevard</t>
  </si>
  <si>
    <t>Suite 800 West</t>
  </si>
  <si>
    <t>90069</t>
  </si>
  <si>
    <t>Hornet</t>
  </si>
  <si>
    <t>91783-72P</t>
  </si>
  <si>
    <t>Nuno Gonçalves Pedro</t>
  </si>
  <si>
    <t>Gonçalves Pedro</t>
  </si>
  <si>
    <t>Mr. Nuno Gonçalves Pedro is a Co-Founder &amp; serves as a Managing Partner at Chamaeleon. Previously, he served as a Partner at Delta Partners Group. He is a Co-Founder and serves as Managing Partner &amp; Director at Strive Capital. He also serves as a Board Member at Aptoide and KeepSafe and Advisor at Kii. He also served as a Board Member at Bica Studios and JiTT.travel. He holds a degree in Computer Engineering from the Technical University of Lisbon.</t>
  </si>
  <si>
    <t>+1 (650) 577-2340</t>
  </si>
  <si>
    <t>nuno@strivecap.com</t>
  </si>
  <si>
    <t>1900 South Norfolk Street</t>
  </si>
  <si>
    <t>Co-Founder, Managing Partner &amp; Director</t>
  </si>
  <si>
    <t>101984-50P</t>
  </si>
  <si>
    <t>Adam Struck JD</t>
  </si>
  <si>
    <t>Struck</t>
  </si>
  <si>
    <t>Struck Capital</t>
  </si>
  <si>
    <t>Mr. Adam Struck is the Founder &amp; serves as Managing Partner at Struck Capital. Mr. Struck serves as Board Member at Sequel.io. and ChangeEngine. He serves as Board Member &amp; Investor at Mate Fertility. He is a Co-Founder of Long Island Brand Beverages and Divergence Digital Currency Fund. He also serves as a Board Member at Meez. He serves as a Board Member at Marco. He serves as an Advisor and Board Member at Mythical Games &amp; Board Observer at Cohealo. Ge was a Co-Founder of Long Island Brand Beverages, acquired by Cullen Investments and taken public on the NASDAQ. Previously, he was an M&amp;A / PE attorney at Kirkland &amp; Ellis, one of the largest law firms in the world. He was the Founder and served as Managing Partner at Struck Capital Crypto. He graduated from Northwestern University where he completed the Kellogg School of Management Certificate Program. He also graduated from Georgetown Law where he received his Juris Doctorate. He is a member of the NY Bar Association and has also been recognized by Forbes, making the coveted 30 Under 30 List for Venture Capital.</t>
  </si>
  <si>
    <t>+1 (561) 289-0486</t>
  </si>
  <si>
    <t>adam@struckcapital.com</t>
  </si>
  <si>
    <t>1520-D Cloverfield Boulevard</t>
  </si>
  <si>
    <t>90404</t>
  </si>
  <si>
    <t>355268-89P</t>
  </si>
  <si>
    <t>Andrew Green</t>
  </si>
  <si>
    <t>Mr. Andrew Green serves as Chief Operating Officer at PawCare. Mr. Andrew Green serves as Chief Operating Officer, Struck Studio at Struck Capital. He serves as Chief Operating Officer, Struck Studio at Struck Capital. Prior to Struck Studio, he was the Global Director of Innovation &amp; Digital Ventures at AB-InBev, the world's largest brewer, where he led the company's first technology incubator and launched an in-house consumer digital product studio. Earlier in his career, he was a consultant for Deloitte's Innovation Strategy practice with a focus on design thinking, innovation portfolio management, and corporate venture capital. He has also been recognized for his work by Forbes' 30 Under 30 List for Marketing &amp; Advertising. He graduated from the University of Pennsylvania with a degree in Cognitive Science and Philosophy, Politics, &amp; Economics (PPE).</t>
  </si>
  <si>
    <t>andrew@mypawcare.com</t>
  </si>
  <si>
    <t>2908 Colorado Avenue</t>
  </si>
  <si>
    <t>PawCare</t>
  </si>
  <si>
    <t>407453-50P</t>
  </si>
  <si>
    <t>Anna Buraya</t>
  </si>
  <si>
    <t>Buraya</t>
  </si>
  <si>
    <t>Ms. Anna Buraya serves as Associate &amp; Investor at Struck Capital. She serves as an Investor at Mucker Capital. She focused on Pre-Seed and Seed investments. Previously, she was an Investor at Mucker, working on Seed and Series A deals in software, fintech, and marketplaces. Before that, she was at Redbud, an early-stage fund specializing in consumer investing. She began her career in Evercore's M&amp;A Advisory Group, focusing on the Media &amp; Information sector. She Maria holds a B.S. in Finance, Computing, and Data Science from NYU Stern.</t>
  </si>
  <si>
    <t>355277-80P</t>
  </si>
  <si>
    <t>Christian Juzang</t>
  </si>
  <si>
    <t>Juzang</t>
  </si>
  <si>
    <t>Mr. Christian Juzang serves as Senior Associate at Struck Capital. Prior to Struck, he served as the Director of Special Projects for Russell Wilson, where he helped strategize and build across different business endeavors and partnerships within the football star's ecosystem. Before that, he started his career in Southeast Asia as an Investment Associate for Henry Nguyen's family office, Phoenix Holdings. While there, he spent his time leading research and competitive analysis on the rapidly developing Vietnamese market. He uses his wide-range of experiences to help bring value in building disruptive businesses here at Struck Studio. He graduated from Harvard University.</t>
  </si>
  <si>
    <t>christian@struckcapital.com</t>
  </si>
  <si>
    <t>446538-34P</t>
  </si>
  <si>
    <t>David Yoo</t>
  </si>
  <si>
    <t>Mr. David Yoo serves as Principal at Struck Capital. Prior to joining Struck, he was an Investment Vice President at SoftBank Vision Fund, where he led investments and served on the board for numerous category-defining technology companies. Before his venture capital tenure, he comes from a background in management consulting working at the global consulting firm, Oliver Wyman. During his time in consulting, he focused on leading engagements with renowned technology companies and private capital firms. He graduated from U.C. Berkeley with a B.S. in Industrial Engineering Operations Research.</t>
  </si>
  <si>
    <t>david@struckcapital.com</t>
  </si>
  <si>
    <t>122932-00P</t>
  </si>
  <si>
    <t>Dongwon Lee</t>
  </si>
  <si>
    <t>Dongwon</t>
  </si>
  <si>
    <t>Mr. Dongwon Lee serves as Principal, Struck Studio at Struck Capital. He served Associate at Sapphire Ventures. He helps conduct analyses on the firm's new and current investments. Prior to joining Sapphire Ventures, he worked for the technology investment banking group at Jefferies, where he worked on a number of M&amp;A and debt transactions for the software, semiconductor, internet, and business services sectors. Previously, he was an equity salesperson at UBS covering Asian equities for US-based investors. Having grown up in New York, He graduated from Yale University in 2012 with a BA in economics and international studies with distinction. He is fluent in Korean.</t>
  </si>
  <si>
    <t>dongwon@struckcapital.com</t>
  </si>
  <si>
    <t>Principal, Struck Studio</t>
  </si>
  <si>
    <t>385407-73P</t>
  </si>
  <si>
    <t>Gordon Tindall</t>
  </si>
  <si>
    <t>Tindall</t>
  </si>
  <si>
    <t>Mr. Gordon Tindall serves as Chief Product &amp; Design Officer, Struck Studio at Struck Capital. Prior to Struck, he was a design leader at Lyft for multiple consumer-facing teams. He specialized in zero to one initiatives, leading design and product strategy across redesigns of the Lyft app, building the physical and digital experiences for Lyft Rentals, and exploring new verticals. As a self taught designer, he believes mentorship is an essential part of a team's growth. To this end, he started and grew the Lyft Product Design mentorship program to over 100 participants. In this same vein, he also served as a Design Mentor at Andreessen Horowitz for multiple years prior to joining the Struck team. Earlier in his career he worked across art and technology. He was the first designer at Kamcord, a consumer mobile application acquired by Lyft Inc. He graduated from U.C. San Diego.</t>
  </si>
  <si>
    <t>gordon@struckcapital.com</t>
  </si>
  <si>
    <t>Chief Product &amp; Design Officer, Struck Studio</t>
  </si>
  <si>
    <t>446540-68P</t>
  </si>
  <si>
    <t>Haley Vincent</t>
  </si>
  <si>
    <t>Ms. Haley Vincent serves as Associate at Struck Capital. Prior to joining Struck, she was an Investor at SoftBank Vision Fund, where she focused on growth-stage investments in enterprise and consumer software companies. Prior to investing, she worked in Citigroup's technology investment banking group, where she supported companies across various software and internet verticals through financing and M&amp;A processes. She graduated from the University of Southern California with a B.S. in Business Administration.</t>
  </si>
  <si>
    <t>haley@struckcapital.com</t>
  </si>
  <si>
    <t>355283-74P</t>
  </si>
  <si>
    <t>Justin Fasano</t>
  </si>
  <si>
    <t>Fasano</t>
  </si>
  <si>
    <t>Mr. Justin Fasano serves as Senior Associate, Struck Studio at Struck Capital. Prior to Struck, he was an Associate at Pegasus Tech Ventures, a leading corporate venture capital firm. At Pegasus, he performed due diligence, supported portfolio companies, and worked closely with corporate partners on their strategic initiatives. Prior to Pegasus Tech Ventures, he spent time as an Account Executive at ColorTokens, a cybersecurity startup. He graduated with a BS from San Diego State University.</t>
  </si>
  <si>
    <t>justin@struckcapital.com</t>
  </si>
  <si>
    <t>Senior Associate, Struck Studio</t>
  </si>
  <si>
    <t>293605-66P</t>
  </si>
  <si>
    <t>Lauren Estes</t>
  </si>
  <si>
    <t>Estes</t>
  </si>
  <si>
    <t>Ms. Lauren Estes serves as Public Relations Advisor at Struck Capital. She is the Founder of Outlier Partners where she works with tech startups and corporations on PR strategy. Previously, she co-founded Moxie Communications Group, one of the leading tech-focused PR firms with offices in New York City, San Francisco and Los Angeles. At Moxie, she focused on consumer tech, e-commerce, lifestyle, and fashion. Her clients included Dollar Shave Club, Tradesy and Casper, among many others. Prior to co-founding Moxie, she served as an editorial stylist and creative consultant for world-class magazines including W, GQ, Vanity Fair, Time, and Vogue. She graduated from the Fashion Institute of Technology.</t>
  </si>
  <si>
    <t>lauren@struckcapital.com</t>
  </si>
  <si>
    <t>Public Relations Advisor</t>
  </si>
  <si>
    <t>146986-39P</t>
  </si>
  <si>
    <t>Martin Cseh</t>
  </si>
  <si>
    <t>Cseh</t>
  </si>
  <si>
    <t>Mr. Martin Cseh serves as Principal at Struck Capital. He Co-Founded Accel Robotics. Prior to Struck, he served as Director of Partner Strategy and Expansion at Metropolis Technologies, an advanced computer vision platform transforming mobile commerce across real estate. In this role, he managed critical enterprise partnerships while helping the firm build and expand relationships with institutional real estate partners. Before Metropolis, he was Co-Founder of Accel Robotics, an AI and computer vision technology startup he helped build and scale. At Accel, he worked closely with leadership to raise over $55 million of strategic capital, develop the company's corporate strategy, and forge commercial partnerships with global brands, retailers, and real estate developers. As a Principal at Struck Studio, he leverages his operating background spanning advanced technologies and strategic partnerships to help build and scale transformative businesses. He graduated from Harvard University with a degree in Linguistics.</t>
  </si>
  <si>
    <t>martin@struckcapital.com</t>
  </si>
  <si>
    <t>74377-81P</t>
  </si>
  <si>
    <t>Michael Montero</t>
  </si>
  <si>
    <t>Montero</t>
  </si>
  <si>
    <t>Mr. Michael Montero is a Co-Founder and serves as CTO &amp; General Partner at Struck Capital. He serves as Chief Technology Officer at GibsonAI. He serves as Advisor at Junction Venture Partners. He serves as Chief Technology Officer at PawCare. Prior to joining Struck, he served as founder and Chief Technology Officer at four startups, all of which have been acquired for a total of over $500M. His most recent exits were with Resy (acq. American Express) and CrowdTwist (acq. Oracle Corporation). The acquisition of Resy brought him to American Express where he served as the Vice President of Global Mobile and Web Engineering before moving to Struck. With experience that spans his past as an entrepreneur, operator, investor, advisor, and board member, he brings unparalleled insight and technological expertise to the Struck team. He also holds a degree in computer science and mathematics from New York University and has been honored with the Crain's NY Business Hispanic Executive and Entrepreneur Tech Innovator Award.</t>
  </si>
  <si>
    <t>+1 (646) 964-5624</t>
  </si>
  <si>
    <t>mike@struckcapital.com</t>
  </si>
  <si>
    <t>Co-Founder, CTO &amp; General Partner</t>
  </si>
  <si>
    <t>14302-72P</t>
  </si>
  <si>
    <t>Thomas Ryan</t>
  </si>
  <si>
    <t>Mr. Thomas Ryan is a Co-Founder &amp; serves as Chairman (Struck Studio) at Struck Capital. Mr. Ryan served as Senior Vice President , Business Development &amp; Marketing at Software Architects. He is a Co-Founder and served as Chief Executive Officer at Pluto TV. He serves as Chief Executive Officer and President, of Streaming at Paramount Global (Media). He serves as Chief Executive Officer at ViacomCBS He also serves as Advisor at Felix Capital. He also served as an Advisor at 8tracks and Revelator. He serves as an Advisor at AudioDraft. He also serves as an Advisor at SignalFire. He also serves as a Board Member at Smule, a mobile music creation community with over 25 million monthly users, Tattoodo and Threadless, a popular crowdsourced art and e-commerce company, where he served as Chief Executive Officer from 2008 to 2012. He was also a Board Member at men's clothing service Trunk Club until its acquisition by Nordstrom in 2014 as well as Society6 until its acquisition by Demand Media in 2013. Earlier in his career, he served as senior vice president of digital strategy at EMI Music and was part of the early team at Virgin Mobile USA. Additionally, he co-founded Conductive, a pioneering digital music retailer that was acquired by eMusic in 1999. He holds a B.A. from Dartmouth College and an M.B.A. from INSEAD in France. He is also a Co-founder of Struck Capital and Serves as chairman of the same. He serves as Chief Executive Officer and President of Streaming at Paramount Global (Media). He served as Chief Executive Officer at Threadless. He is an Angel Investor.</t>
  </si>
  <si>
    <t>tom@struckcapital.com</t>
  </si>
  <si>
    <t>Co-Founder &amp; Chairman (Struck Studio)</t>
  </si>
  <si>
    <t>122691-16P</t>
  </si>
  <si>
    <t>Jacob Shea</t>
  </si>
  <si>
    <t>Structure Capital</t>
  </si>
  <si>
    <t>Mr. Jacob Shea serves as Partner at Structure Capital. He also served as Advisor at Copia. He serves as a Board Member at Lettuce Grow. He has spent his career focused on the interchange of technology, marketing, and business. Hired at 19 as a programmer at Dell Computers in Austin, he worked on the largest eCommerce store in the world for 3 years then started a tech consulting firm building enterprise software for 7 years. Moving to San Diego he co-founded a Digital Agency building digital products and campaigns for big brands. After selling the agency, he played leadership roles in technology and advisory roles for Dell, NASCAR, F1, NFL, Qualcomm and Pixar. He currently is an advisor to brands and early growth-stage companies, angel investor, he first joined as a Director, Portfolio and LP Community, and Entrepreneur in Residence at Structure Capital, and now is a Partner. He is currently in University studying Computer Science and Information Security.</t>
  </si>
  <si>
    <t>+1 (415) 602-7060</t>
  </si>
  <si>
    <t>jacob@structure.vc</t>
  </si>
  <si>
    <t>41573-44P</t>
  </si>
  <si>
    <t>Jillian Manus</t>
  </si>
  <si>
    <t>Manus</t>
  </si>
  <si>
    <t>Ms. Jillian Manus serves as Managing Partner at Structure Capital. Ms. Manus served as an Executive at Broad Strategy Fund. She served as an Advisor at Samaritan. She served as Advisor and Board Member at Shift. She served as Board Member at LiquiGlide. She is an Advisor at Benson Watch Company. She served as Board Member at Pogoseat. She served as Board Member at Workpath. Prior to Structure, she had a multifaceted career in finance and media as Director of Media Acquisitions for Credit Suisse, Director of Development for Universal and Warner Bros Studios, TV agent for ICM, Senior Strategic Advisor for VantagePoint Venture Capital, and Associate Publisher of Upside Magazine. Most recently she founded Broad Strategy, a brand acceleration, and investment company. She attended Oxford University and NYU where she has also served as an adjunct professor and Trustee. She sits on numerous additional boards including Box.org, Center for Investigative Reporting, Iggbo, Flyp, and College Track. She served seven years as Chair of The Woman's Conference. As an active philanthropist, she created the Manus Family Foundation. The two primary levers of investment for her are education and health. She also served as Board Member at Revelar. Ms. Manus attended The University of Oxford &amp; NYU, where she served on the Board of Trustees.</t>
  </si>
  <si>
    <t>jillian@structure.vc</t>
  </si>
  <si>
    <t>46084-78P</t>
  </si>
  <si>
    <t>Michael Walsh</t>
  </si>
  <si>
    <t>Mr. Michael Walsh is the Founder &amp; serves as General Partner at Structure Capital. Mr. Walsh is a Co-Founder and serves as a Board Member at HIFI Labs. He is an Angel Investor. He also serves as a Board Member and Observer at The Muse. He also serves as a Board Member at Pogoseat. He has designed missile defense systems, designed and sold air and water pollution control systems, and was an early angel investor in Salesforce.com. After a decade of software sales and sales management, ge successfully founded and sold an enterprise social networking company, while attending business school at Haas and Columbia University. He focused his efforts on investing and was a first-round investor in Uber. Leveraging his early investment success and love for helping early-stage companies, he launched Structure Capital in June 2013 and invested in 50 companies during the first year of business.</t>
  </si>
  <si>
    <t>mike@structure.vc</t>
  </si>
  <si>
    <t>159074-47P</t>
  </si>
  <si>
    <t>Alok Garg</t>
  </si>
  <si>
    <t>Alok</t>
  </si>
  <si>
    <t>Sumitomo Corporation of Americas</t>
  </si>
  <si>
    <t>Mr. Alok Garg serves as Executive Operating Partner, Digital Transformation &amp; Advisor to the CEO at Sumitomo Corporation of Americas.</t>
  </si>
  <si>
    <t>+1 (212) 207-0700</t>
  </si>
  <si>
    <t>agarg@sumitomocorpofamericas.com</t>
  </si>
  <si>
    <t>10072</t>
  </si>
  <si>
    <t>+1 (212) 207-0456</t>
  </si>
  <si>
    <t>Executive Operating Partner, Digital Transformation &amp; Advisor to the CEO</t>
  </si>
  <si>
    <t>195408-91P</t>
  </si>
  <si>
    <t>Atsushi Nishijo</t>
  </si>
  <si>
    <t>Atsushi</t>
  </si>
  <si>
    <t>Nishijo</t>
  </si>
  <si>
    <t>Mr. Atsushi Nishijo serves as Advisor at Sumitomo Corporation of Americas.</t>
  </si>
  <si>
    <t>205745-41P</t>
  </si>
  <si>
    <t>Jun Okawara</t>
  </si>
  <si>
    <t>Okawara</t>
  </si>
  <si>
    <t>Assistant &amp; General Manager</t>
  </si>
  <si>
    <t>Mr. Jun Okawara serves as Assistant To General Manager of Smart Platform Division at Sumitomo Corporation of Americas.</t>
  </si>
  <si>
    <t>juno@sumitomocorpofamericas.com</t>
  </si>
  <si>
    <t>Assistant To General Manager of Smart Platform Division</t>
  </si>
  <si>
    <t>169989-85P</t>
  </si>
  <si>
    <t>Kenichi Hyuga</t>
  </si>
  <si>
    <t>Kenichi</t>
  </si>
  <si>
    <t>Hyuga</t>
  </si>
  <si>
    <t>Chief Executive Officer &amp; General Manager</t>
  </si>
  <si>
    <t>Mr. Kenichi Hyuga serves as Deputy Group CEO, Transportation &amp; Construction Systems Group &amp; General Manager, Construction &amp; Mining Systems Strategic Business Unit at Sumitomo Corporation of Americas.</t>
  </si>
  <si>
    <t>kenichi.hyuga@sumitomocorp.com</t>
  </si>
  <si>
    <t>Deputy Group CEO, Transportation &amp; Construction Systems Group &amp; General Manager, Construction &amp; Mining Systems Strategic Business Unit</t>
  </si>
  <si>
    <t>80547-04P</t>
  </si>
  <si>
    <t>Nicholas Vega</t>
  </si>
  <si>
    <t>Vega</t>
  </si>
  <si>
    <t>Mr. Nicholas Vega serves as Senior Manager of Investments &amp; Strategy at Sumitomo Corporation of America. He served as Senior Associate at TZP Group. He joined TZP Group in December 2014. Nick began his career in 2011 as an Investment Banking Analyst with the Aerospace, Defense &amp; Government Services industry group within BB&amp;T Capital Markets. In 2013, he joined Blackstreet Capital Management, LLC as an Associate, where he focused on leveraged buyouts and turnarounds of distressed middle-market companies. He received a B.S. in Finance and a B.S. in Accounting from the University of Maryland in 2010.</t>
  </si>
  <si>
    <t>nicholas.vega@sumitomocorp.com</t>
  </si>
  <si>
    <t>Senior Manager of Investments &amp; Strategy</t>
  </si>
  <si>
    <t>309323-89P</t>
  </si>
  <si>
    <t>Sandro Hasegawa</t>
  </si>
  <si>
    <t>Mr. Sandro Hasegawa serves as Senior Vice President &amp; General Manager of Energy Innovation Initiative Americas, Assistant General Manager for the Americas at Sumitomo Corporation of Americas.</t>
  </si>
  <si>
    <t>shasegawa@sumitomocorpofamericas.com</t>
  </si>
  <si>
    <t>Senior Vice President &amp; General Manager of Energy Innovation Initiative Americas, Assistant General Manager for the Americas</t>
  </si>
  <si>
    <t>185779-81P</t>
  </si>
  <si>
    <t>Tak Niki</t>
  </si>
  <si>
    <t>Mr. Tak Niki serves as Chief Business Development Officer at Sumitomo Corporation of Americas.</t>
  </si>
  <si>
    <t>tniki@sumitomocorpofamericas.com</t>
  </si>
  <si>
    <t>300156-22P</t>
  </si>
  <si>
    <t>Tomonori Wada</t>
  </si>
  <si>
    <t>Tomonori</t>
  </si>
  <si>
    <t>Wada</t>
  </si>
  <si>
    <t>Mr. Tomonori Wada serves as President &amp; Chief Executive Officer at Sumitomo Corporation of Americas.</t>
  </si>
  <si>
    <t>twada@sumitomocorpofamericas.com</t>
  </si>
  <si>
    <t>280114-75P</t>
  </si>
  <si>
    <t>Toshiya Kitamura</t>
  </si>
  <si>
    <t>Kitamura</t>
  </si>
  <si>
    <t>Mr. Toshiya Kitamura serves as Senior Vice President &amp; General Manager, Chemicals &amp; Electronics Group at Sumitomo Corporation of Americas.</t>
  </si>
  <si>
    <t>Senior Vice President &amp; General Manager, Chemicals &amp; Electronics Group</t>
  </si>
  <si>
    <t>87792-94P</t>
  </si>
  <si>
    <t>William Cannon</t>
  </si>
  <si>
    <t>Cannon</t>
  </si>
  <si>
    <t>Mr. William Cannon serves as Senior Vice President &amp; Head of Strategic Initiatives at Sumitomo Corporation of Americas. He served as Senior Vice President &amp; General Manager, Environment &amp; Infrastructure Group at Sumitomo Corporation of Americas.</t>
  </si>
  <si>
    <t>+1 (212) 207-0671</t>
  </si>
  <si>
    <t>william.cannon@sumitomocorp.com</t>
  </si>
  <si>
    <t>Senior Vice President &amp; Head of Strategic Initiatives</t>
  </si>
  <si>
    <t>141922-45P</t>
  </si>
  <si>
    <t>Jennifer Friedman</t>
  </si>
  <si>
    <t>Supernode Ventures</t>
  </si>
  <si>
    <t>Ms. Jennifer Friedman is a Co-Founder of Four Acres. She serves as Co-Founder &amp; Managing Partner at Supernode Ventures. is a Co-Founder at Four Acres. Previously, she served as Venture Capital Investor at Eniac Ventures. She is also Managing Partner of Supernode Ventures. Prior to Supernode, she worked at Eniac Ventures, where she focused primarily on seed stage investments in mobile-first technology, including enterprise and consumer-facing applications and platforms, in addition to devices, such as smartphones, tablets, wearables, drones, robots, and IoT. She also spent time in an operational role at Minibar Delivery, an e-commerce startup, focusing on data analytics and business development. She worked as a financial professional at Goldman Sachs in the Investment Management Division. She graduated Magna Cum Laude from the University of Pennsylvania and Columbia Business School. She is a member of Wharton Private Equity &amp; Venture Capital Alumni Association. She was born and raised in New York City.</t>
  </si>
  <si>
    <t>jenny@fouracres.vc</t>
  </si>
  <si>
    <t>Four Acres Capital</t>
  </si>
  <si>
    <t>214491-16P</t>
  </si>
  <si>
    <t>Jessica Federer</t>
  </si>
  <si>
    <t>Federer</t>
  </si>
  <si>
    <t>Ms. Jessica Federer serves as a Limited Partners Relations at Allegory Capital (New York). She serves as Managing Partner at Supernode Ventures. She also serves as a Board Member at BioCurie, Angelini Ventures &amp; Aspivix. She served as a Partner at Boston Millennia Partners. She served on the Board of Directors at Cara Care. She is an advisor and investor for health and technology companies and is on the United Nations m-Powering Development Advisory Board for the Agency for Information and Communications Union (ITU). She is the founder of Innovate. Ms. Federer earned a Bachelor of Science from the George Washington University and a Master of Public Health from Yale.</t>
  </si>
  <si>
    <t>+1 (929) 340-4541</t>
  </si>
  <si>
    <t>jessica.federer@allegory.capital</t>
  </si>
  <si>
    <t>14 Wall Street</t>
  </si>
  <si>
    <t>Limited Partners Relations</t>
  </si>
  <si>
    <t>Allegory Capital (New York)</t>
  </si>
  <si>
    <t>43946-02P</t>
  </si>
  <si>
    <t>Laurel Touby</t>
  </si>
  <si>
    <t>Laurel</t>
  </si>
  <si>
    <t>Touby</t>
  </si>
  <si>
    <t>Ms. Laurel Touby is the Co-Founder &amp; serves as Chief Executive Officer at Supernode Ventures. She was the Founder and served as the Chief Executive Officer at Mediabistro. During her time as Chief Executive Officer, she pulled the company through two recessions, pivoted, managed growth with minimal resources, and developed an audience via guerrilla and social marketing (before that term existed). Users subscribe to Mediabistro's many services, which include online education, employment classifieds, conferences (offline), events (offline), forums, and industry-specific blogs, such as the popular TVNewser. Following the sale of the company for $23 mm to Jupitermedia, she remained with the company through June 2011. She began investing in seed-stage startups, including AdYapper, Appboy, Apploi, Buddie, Clef, CreativeWorx, Fashion GPS, Learn Immersive, and Pivit. She is an LP in Lowercase Ventures (with holdings in Twitter, Uber, etc.) and Pershing Square, among others. She is active as a public speaker and hosted "Secrets of Successful Startups" on CBS Interactive. An inveterate connector, she touches the entrepreneurial community in various ways, including via her monthly co-hosted Cereal Entrepreneurs breakfast, Flatiron Investor meetings, and Startup Digital Dinners. She lives in a loft in Silicon Alley and is married to Jon Fine, Author of "Your Band Sucks" and Executive Editor of Inc. Magazine. She has served as an Advisor at HoneyCo Homes.</t>
  </si>
  <si>
    <t>+1 (917) 553-9988</t>
  </si>
  <si>
    <t>laurel@supernode.vc</t>
  </si>
  <si>
    <t>43-45 East 19th Street</t>
  </si>
  <si>
    <t>50827-42P</t>
  </si>
  <si>
    <t>Dan Dershem</t>
  </si>
  <si>
    <t>Dershem</t>
  </si>
  <si>
    <t>Supply Chain Ventures</t>
  </si>
  <si>
    <t>Mr. Dan Dershem serves as Managing General Partner at Supply Chain Ventures. He is a Co-Founder and serves as Chief Executive Officer and President at LeanLogistics. He serves as a Board Member at Transporeon and Baxter Planning. He served as a Board Member at Return Rabbit. He served as a Board Member at Sandymount. He served as Vice Chairman of the Board at LLamasoft. He oversees the day-to-day operations of LeanLogistics as well as develops the executive strategy for business growth to drive maximum value for LeanLogistics' clients. In addition, he holds responsibility as Senior Vice President of Global Logistics, at CHEP. Within the CHEP organization, he is responsible for the development and implementation of the global logistics strategy for CHEP, including global technology roll-out along with cost and service performance. He served as the Chairman of the Board of Transporeon from 2016 to 2019 and continued as a Non-Executive Director post the acquisition by Hg Capital. He also serves as a non-executive Director at Sandymount. He served as a non-executive Director at Transplace and stepped down from the Board of MacroPoint upon the sale to Descartes. He serves as an Advisor/Investor to Supply.ai, Foxtrot.io, Work Truck Solutions, Resilinc, Sixfold, Levadata, Lineage Logistics, Leaf Logistics, Shipmonk, Lumina Analytics and LoadSmart. He graduated from Ferris State University with a BS in Business Management, Highest Distinction. He is an Angel Investor.</t>
  </si>
  <si>
    <t>+1 (207) 967-4691</t>
  </si>
  <si>
    <t>dan@supplychainventure.com</t>
  </si>
  <si>
    <t>Biddeford</t>
  </si>
  <si>
    <t>Biddeford, ME</t>
  </si>
  <si>
    <t>148 Hills Beach Road</t>
  </si>
  <si>
    <t>04005</t>
  </si>
  <si>
    <t>48923-38P</t>
  </si>
  <si>
    <t>David Anderson Ph.D</t>
  </si>
  <si>
    <t>Dr. David Anderson serves as the Managing General Partner at Supply Chain Ventures. He also serves as Advisor at Broad Sound Partners. Dr. David Anderson serves as Managing Director at Supply Chain Ventures. He served as a Board Member at NBD Nano and AIKO Biotechnology. He also served as Member at Golden Seeds. He serves as chairman of Control Group. He is a retired managing partner from Accenture/Anderson Consulting. He also served as a Board Member at NextShift Robotics. He also worked on an investment strategy with Accenture Technology Ventures, Accenture's venture capital fund. He retired from Accenture in 2002. Prior to Accenture, he was a founding member of two other successful consulting firms and an information technology company. He now runs his own venture capital fund focusing on early-stage investing in life sciences and information technology. He received his Ph.D. in Econometrics and Finance from Boston College and his BA in Economics from the University of Connecticut. He has also served as a board member at LeanLogistics. His past associations include the Board of Directors and Interim CEO of Option (acquired by Logility), the Board of Directors of Industri-Matematik-International (acquired by Symphony Technology, then China dot com), the Board of Directors of Vtrenz (acquired by SilverPop), the Board of Directors of LeanLogistics of Holland, Michigan(acquired by Brambles USA), Avenue Right, of Fargo, North Dakota, Waer Systems of Brighton, UK and the Board of Directors of New Vine Logistics (acquired by IBG Fulfillment Services) in Napa, California. He is Chairman of the Board of Trustees of the University of New England and a member of the Boston College Technology Council. He also serves as a Board Member at the University of New England.</t>
  </si>
  <si>
    <t>+1 (207) 286-6464</t>
  </si>
  <si>
    <t>dave@supplychainventure.com</t>
  </si>
  <si>
    <t>279233-47P</t>
  </si>
  <si>
    <t>Mark Doiron</t>
  </si>
  <si>
    <t>Doiron</t>
  </si>
  <si>
    <t>Mr. Mark Doiron serves as General Partner &amp; Fund Advisor at Supply Chain Ventures. He is an Angel Investor. As Chief Merchandising Mktg and Supply Chain Officer at Fresh Thyme Farmers Market, he drove double-digit growth and aligned the leadership team with long-term strategic objectives. He expanded the consumer base by creating/ implementing merchandising strategies &amp; supported them with a digital platform and geo targeting capabilities; delivered margin growth by developing a pricing strategy, improving promotional planning and analytics for more effective spend and supplier negotiations; and increased Private Label penetration in through enhanced offerings/merchandising. Before, he served as Chief Merchandising and Supply Chain Officer at Schnuck Markets, where he increased EBIDTA; grew overall penetration of private brand through aggressive merchandising/ branding initiatives and paved the way for further improving EBIDTA through consolidation of warehouses and contractual negotiations. He earned a B.S. in Business Administration from the University of Southern Maine, and two advanced executive program certificates from the University of Virginia's Darden School of Business. He is a Member of several Boards, and held leadership positions with community not-for-profit organizations.</t>
  </si>
  <si>
    <t>General Partner &amp; Fund Advisor</t>
  </si>
  <si>
    <t>45671-05P</t>
  </si>
  <si>
    <t>Padman Ramankutty</t>
  </si>
  <si>
    <t>Padman</t>
  </si>
  <si>
    <t>Ramankutty</t>
  </si>
  <si>
    <t>Mr. Padman Ramankutty served as Board Member &amp; Advisor at Finboot. He served as Chief Executive Officer at Intrigo Systems. He also serves as Fund Advisor at Supply Chain Ventures. He served as the Board Member at Waer. As the heartbeat of Intrigo, he was a seasoned leader in the ERP and SCM domains with over 20 years of experience. A strategist by nature, he brings forth extensive expertise in deploying new-gen technologies and serves as a trusted advisor to numerous clients in the SAP space. He has written many thought leadership articles and led the transformation of local supply chains to global businesses. He is also a valued solution architect for SAP products and has designed a 'capable-to-match' engine of SAP APO for TI, Motorola, and Intel. He brings to Lontra more than 20 years of experience and thought leadership in supply chain management and advanced planning and scheduling solutions. He was the Chief Executive Officer and co-founder of Bristlecone, a global technology consulting company and provider of extended supply chain solutions. In his role, he oversaw the development and execution of go-to-market strategies for Bristlecone's competencies in supply chain management, ERP, and applications management services. Achievements at Bristlecone included securing partnerships with SAP and SAP Labs India and merging with Mahindra Consulting. Prior to founding Bristlecone in 1998, he headed SAP's High Tech Global Industry Business Unit where he successfully positioned SAP R/3 as the premier enterprise solution for the semiconductor industry. He currently serves as a strategic advisor to the CIO and VPs of IT of industry-leading companies, including Nike and Rubbermaid, for all IT-related initiatives.</t>
  </si>
  <si>
    <t>+34 61 733 6143</t>
  </si>
  <si>
    <t>Carrer de Tanger 86</t>
  </si>
  <si>
    <t>08018</t>
  </si>
  <si>
    <t>Finboot</t>
  </si>
  <si>
    <t>50828-05P</t>
  </si>
  <si>
    <t>Peter Stiles</t>
  </si>
  <si>
    <t>Mr. Peter Stiles serves as Fund Advisor at Supply Chain Ventures. Mr. Stiles advises portfolio companies on marketing and sales strategies. He is the President of Advantage Design, and has years of experience in developing, building, and creating marketing programs for technology companies. In 1978, he co founded Transportation Data Management TDM, developed the MileMaker series of mileage systems and the Ratemaker First Rate series of rating systems which became the benchmark systems within the motor transportation industry. TDM was acquired by Rand McNally in 1980. He is a frequent lecturer at both domestic and international industry trade associations and marketing seminars. He is on the Advisory Board of Federal Signal Corporation. He holds a BA in Business Administration from Elmhurst University.</t>
  </si>
  <si>
    <t>50833-54P</t>
  </si>
  <si>
    <t>Scott Anderson</t>
  </si>
  <si>
    <t>Mr. Scott Anderson serves as General Partner &amp; Fund Advisor at Supply Chain Ventures. He Co-Founded and served as Partner at Control Group. He is also a Co-Founder of the company. He focuses on building strategic relationships and recruiting top-level talent. He is on the Board of Directors for the Downtown Lower Manhattan Association. He also holds numerous leadership and advisory roles for local organizations, including the Leadership Council and Board of Directors of openhousenewyork, Music Director and Board Member of the The Wassaic Project, member of the Lower Manhattan Tech Committee and Marketing Sub-Committee for the Alliance for Downtown New York (ADNY), City Poly Advisory Board, and a representing member for Control Group for the Association for a Better NY (ABNY) and New York Tech Meetup.</t>
  </si>
  <si>
    <t>99449-02P</t>
  </si>
  <si>
    <t>Guy Roy</t>
  </si>
  <si>
    <t>Sustainable Development Technology Canada</t>
  </si>
  <si>
    <t>Mr. Guy Roy serves as Data Analyst at Sustainable Development Technology Canada.</t>
  </si>
  <si>
    <t>+1 (613) 234-6313 x245</t>
  </si>
  <si>
    <t>g.roy@sdtc.ca</t>
  </si>
  <si>
    <t>45 O'Connor Street</t>
  </si>
  <si>
    <t>K1P 1A4</t>
  </si>
  <si>
    <t>Data Analyst</t>
  </si>
  <si>
    <t>189080-47P</t>
  </si>
  <si>
    <t>Leo Bever Ph.D</t>
  </si>
  <si>
    <t>Bever</t>
  </si>
  <si>
    <t>Dr. Leo Bever serves as an Investment Director at Sustainable Development Technology Canada. He served as Chairman at Nauticol. He has more than 30 years of experience in the financial, government, and investment sectors. Through strong advisory and guidance in the corporate environment, he has led executive leadership with financial institutions based in Canada, the U.S., Japan, and Australia, including the Bank of Canada, Ontario Teachers' Pension Plan, and Alberta Investment Management Corporation (AIMCo). He has advised Norway's Pension Plan and served on the Investment Committee of the Dutch pension fund APG in addition to leading numerous government economic panels. He earned his B.A. in Economics from the University of Oregon, and a Ph.D. in Economics from the University of Wisconsin. He has been Chairman since 2016.</t>
  </si>
  <si>
    <t>+1 (343) 804-0691</t>
  </si>
  <si>
    <t>63154-18P</t>
  </si>
  <si>
    <t>Patrice Nadeau</t>
  </si>
  <si>
    <t>Nadeau</t>
  </si>
  <si>
    <t>Mr. Nadeau serves as Research Analyst at Sustainable Development Technology Canada.</t>
  </si>
  <si>
    <t>+1 (613) 234-6313 x306</t>
  </si>
  <si>
    <t>295099-39P</t>
  </si>
  <si>
    <t>Robert Abernethy</t>
  </si>
  <si>
    <t>Abernethy</t>
  </si>
  <si>
    <t>Mr. Robert Abernethy serves as an Investment Lead at Sustainable Development Technology Canada.</t>
  </si>
  <si>
    <t>r.abernethy@sdtc.ca</t>
  </si>
  <si>
    <t>Investment Lead</t>
  </si>
  <si>
    <t>368992-81P</t>
  </si>
  <si>
    <t>Sheryl Urie</t>
  </si>
  <si>
    <t>Sheryl</t>
  </si>
  <si>
    <t>Urie</t>
  </si>
  <si>
    <t>Ms. Sheryl Urie serves as Vice President of Finance at Sustainable Development Technology Canada.</t>
  </si>
  <si>
    <t>s.urie@sdtc.ca</t>
  </si>
  <si>
    <t>62073-55P</t>
  </si>
  <si>
    <t>Ziyad Rahme</t>
  </si>
  <si>
    <t>Rahme</t>
  </si>
  <si>
    <t>Mr. Ziyad Rahme serves as Chief Operating Officer at Sustainable Development Technology Canada. He joined SDTC in 2016. As the Vice President of Investments, he provides leadership for SDTC's strategy and approach to SDTC's investment process, ensuring that the organization is sourcing and nurturing innovative clean technology companies that have the potential to deliver strong environmental and economic benefits to Canada. He oversees the day-to-day operation of the SDTech Fund investment process, from intake through to assessment, selection and recommendation of investments to SDTC's Project Review Committee and Board (approximately $90-100M/year of allocated investment). He also provides oversight of SDTC's Next Generation Biofuels Fund. Previously, as Vice President of Partnerships at SDTC, he provided leadership for engaging SDTC's key stakeholders, with a focus on collaboration and finding ways to effectively support SDTC's portfolio companies and ensuring they grow and contribute to Canada's competitive advantage in the global clean technology market. Prior to joining SDTC, he spent 18 years at Iogen Corporation, a leading developer of advanced low-carbon biofuels, where he contributed in various roles involving progressive and expanding leadership responsibility. As EVP Operations and Engineering, and General Manager of Iogen Energy, he successfully led the commercialization of Iogen's technology, and completed construction and start-up of a US$105M industrial scale facility with its partner Raízen, Brazil's fifth largest company with US$25B in revenues. He holds an M.B.A., an M.Sc. in Environmental Engineering and a B.A.Sc. in Chemical Engineering.</t>
  </si>
  <si>
    <t>z.rahme@sdtc.ca</t>
  </si>
  <si>
    <t>170555-41P</t>
  </si>
  <si>
    <t>Zoë Kolbuc</t>
  </si>
  <si>
    <t>Kolbuc</t>
  </si>
  <si>
    <t>Ms. Zoë Kolbuc serves as Vice President, Ecosystem at Sustainable Development Technology Canada. She leads the partnerships and communications team at Sustainable Development Technology Canada (SDTC) an arm's-length foundation created by the Government of Canada to promote sustainable development and support projects that develop and demonstrate new technologies to address issues related to climate change, air quality, and clean water and soil. SDTC invests in Canadian companies that, through their innovative technologies, contribute positively to Canada by creating quality jobs, driving economic growth, and protecting the environment. He works with all orders of government and with companies and innovation hubs to promote and enhance SDTC's role in advancing clean technology projects across Canada. Before joining SDTC, he was the Director of External Affairs and Communications at Spectra Energy. Her responsibilities included leading the communications, government affairs, and community investment teams for Spectra Energy's Western Canadian Operations. She also spent six years at BP, one of the world's largest integrated energy companies, most recently as the Director, External Affairs and Communications for BP Canada. This responsibility included government affairs, Aboriginal relations, and external outreach in support of BP's Canadian oil sands business. His experience includes time in the Alberta government as a senior political staffer: first, in the Ministry of Health, and then as Chief of Staff to the minister responsible for the department formerly known as Seniors and Community Supports.</t>
  </si>
  <si>
    <t>+1 (613) 234-6313</t>
  </si>
  <si>
    <t>z.kolbuc@sdtc.ca</t>
  </si>
  <si>
    <t>Vice President, Ecosystem</t>
  </si>
  <si>
    <t>448028-29P</t>
  </si>
  <si>
    <t>Alicia Hernandez</t>
  </si>
  <si>
    <t>Sustainable Ocean Alliance</t>
  </si>
  <si>
    <t>Ms. Alicia Hernandez serves as Investment Associate at Sustainable Ocean Alliance.</t>
  </si>
  <si>
    <t>alicia@soalliance.org</t>
  </si>
  <si>
    <t>445012-39P</t>
  </si>
  <si>
    <t>Anne Park</t>
  </si>
  <si>
    <t>Ms. Anne Park serves as Chief Executive Officer at Sustainable Ocean Alliance.</t>
  </si>
  <si>
    <t>anne@soalliance.org</t>
  </si>
  <si>
    <t>304174-90P</t>
  </si>
  <si>
    <t>Matthew Mulrennan</t>
  </si>
  <si>
    <t>Mulrennan</t>
  </si>
  <si>
    <t>Mr. Matthew Mulrennan serves as Director of Investments at Sustainable Ocean Alliance. He serves as Head of Investments at Seabird Ventures. He served as Chief Executive Officer at EnVest. He co-founded and served as a Partner at Savia Ventures. He is a climate and ocean investor who has supported over 150 companies, providing funding for over 70 companies. He has 17 years of interdisciplinary experience in the ocean and climate fields within science, policy, innovation prizes, and ocean investing. He is a Co-Founder of Latin American climate tech VC fund, Savia Ventures, and was the CEO of EnVest-a climate and ocean investing membership organization. For six years, he was the Director of the Ocean Initiative at the XPRIZE Foundation, which provided $10M in prizes to 50 ocean health companies and further supported their pilot testing and commercialization. He has also worked as a marine scientist at Ocean Conservation Group Oceana, a lab researcher at Scripps Institution of Oceanography, marketing for a residential energy efficiency software tool, and as a leader on congressional and environmental campaigns. He has lived in various developing countries, traveled to all seven continents, led four scientific expeditions to Antarctica, was the grand prize winner of the first Con X Tech Prize for conservation technology prototyping, and is a Fellow at the Explorers Club. His work has been featured in various media outlets, including the Washington Post, New York Times, National Geographic, TechCrunch, and BBC.</t>
  </si>
  <si>
    <t>matt@soalliance.org</t>
  </si>
  <si>
    <t>313976-53P</t>
  </si>
  <si>
    <t>Danny O'Brien</t>
  </si>
  <si>
    <t>SVG Ventures|THRIVE</t>
  </si>
  <si>
    <t>Mr. Danny O'Brien serves as Managing Director, EMEA and Global Programs at Thrive by SVG Ventures. He also serves as a Managing Director, EMEA &amp; Global Programs
at SVG Ventures. He is responsible for leading the firm's expansion in the region, connecting with partners, and identifying disruptive startups that are positively changing the food system. He has a background in management consulting and corporate innovation spending several years in Dublin, London, and New York working closely with corporate clients and startups. In 2017 he founded Idea 2 Scale, a virtual accelerator program and entrepreneurship community that helped hundreds of founders from several countries become market and investor-ready. At the same time, he started a coworking and innovation hub in Ireland called Business Barn. He sits on the Advisory Board of the International School of Agri-Management (ISAM) in Spain where he also teaches Entrepreneurship. He has a particular interest in emerging markets where he sees the potential of Agri-Food Tech to transform the lives of at-risk communities. He holds a Master's Degree in Marketing Practice from the Michael Smurfit Graduate Business School (UCD) and a Bachelor of Business Studies from DCU.</t>
  </si>
  <si>
    <t>danny.obrien@svgventures.com</t>
  </si>
  <si>
    <t>Los Gatos</t>
  </si>
  <si>
    <t>Los Gatos, CA</t>
  </si>
  <si>
    <t>750 University Avenue</t>
  </si>
  <si>
    <t>95030</t>
  </si>
  <si>
    <t>Managing Director, EMEA &amp; Global Programs</t>
  </si>
  <si>
    <t>13019-86P</t>
  </si>
  <si>
    <t>Greg Young</t>
  </si>
  <si>
    <t>Mr. Greg Young is a Co-Founder &amp; serves as Managing Partner at Spruce Capital Partners. He serves as a Venture Partner at Thrive by SVG Ventures and a General Partner of the SVG Sunrise Fund. He serves as a Board Member at Agerpoint and Crop Enhancement. He has a lengthy career backing innovative teams and technologies in life sciences &amp; tech, with over twenty years of experience in the biotech industry. His focus areas of investment cover agrifood as well as biological tools and processes that promote sustainability. He serves on several company boards and continues as co-founder and Managing Partner of Spruce Capital Partners, manager of the fully allocated MLS Capital Fund II, with many notable investments in agrifood. Before co-founding Spruce, he was an investor for a major life science firm after starting his career behind the bench as a molecular biologist at a San Diego biotech startup. He received his BS in Biochemistry and Cell Biology from the University of California, San Diego, and an MS in Biotechnology from Northwestern University.</t>
  </si>
  <si>
    <t>+1 (415) 671-5111</t>
  </si>
  <si>
    <t>greg.young@svgventures.com</t>
  </si>
  <si>
    <t>611 Gateway Blvd</t>
  </si>
  <si>
    <t>Spruce Capital Partners</t>
  </si>
  <si>
    <t>111652-30P</t>
  </si>
  <si>
    <t>Helen Hartnett</t>
  </si>
  <si>
    <t>Hartnett</t>
  </si>
  <si>
    <t>Ms. Helen Hartnett serves as Chief Operating Officer at Thrive of SVG Ventures. She also serves as Chief Operating Officer at SVG Ventures. She is a technology and operations executive with over international experience in the Technology Industry in business planning, supply chain, new products, program management, and global operations. Currently, she is vice president of Operations and Finance at SVG Partners, an investment and advisory firm based in Silicon Valley. Her career boasts some of the world's leading technology companies such as Intel, Intuit, Novell, Lucent Technologies, AST Computer, and Digital Equipment. She holds a Hons Degree in Business Studies from the University of Limerick, Ireland, and is also CPIM certified.</t>
  </si>
  <si>
    <t>helen.hartnett@svgventures.com</t>
  </si>
  <si>
    <t>288328-69P</t>
  </si>
  <si>
    <t>John Cassidy</t>
  </si>
  <si>
    <t>Mr. John Cassidy serves as Managing Director of Canada at Thrive by SVG Ventures. He also serves as a Managing Director of Canada at SVG Ventures. He leads the development and implementation of the organization's strategic plans to expand in Canada and is part of the SVG investment team which has invested in 17 Canadian agri-food tech companies. He has over 13 years of experience in the technology &amp; Investment industry. Most recently, he served as Chief Executive Officer for a fintech SME in Europe.He holds an MBA and a Bachelor of Business (Finance) from the University of Limerick, Ireland. He also holds a Certificate in Technology Management from Stanford University and is a member of the Canadian Venture Capital and Private Equity Association.</t>
  </si>
  <si>
    <t>john.cassidy@svgventures.com</t>
  </si>
  <si>
    <t>Managing Director of Canada</t>
  </si>
  <si>
    <t>67379-41P</t>
  </si>
  <si>
    <t>John Hartnett</t>
  </si>
  <si>
    <t>Mr. John Hartnett is the Founder and serves as Chief Executive Officer at SVG Ventures|THRIVE. Mr. Hartnett serves as Advisor at Airlinq. Mr. Hartnett is also the Founder and serves as Chairman at Thrive Parcel. He is an Angel Investor. He served as a Board Member at Mcor Technologies and SiSaf. He is a 25-year veteran of the technology industry and has been Executive Vice President of Palm, the Smartphone pioneer, and also held senior management positions at MetaCreations, Claris/Apple, AT&amp;T /Teradata, and Digital Equipment (DEC). He has served on both private and public boards, such as Aer Lingus, Ireland's national airline, Executive Chairman of Daybreak Technologies, that were recently acquired by Medidata (NYSE: MDSO), and various technology start-up companies. He is the Founder and President of the Irish Technology Leadership Group (ITLG), a network of global Irish technology leaders whose main focus is to foster the links between the USA and Ireland. He has served on Secretary of State Hillary Clinton's Northern Ireland Economic Working Committee and is currently Chairman of the Technology Advisory Council appointed by the Northern Ireland Prime Minister and Deputy Prime Minister. He is a graduate of the Marketing Institute of Ireland, holds a post-graduate diploma in accounting and finance from Stanford University, and has completed executive management programs at both Stanford and Harvard Universities.</t>
  </si>
  <si>
    <t>+1 (408) 380-7200</t>
  </si>
  <si>
    <t>jharvest@thriveagrifood.com</t>
  </si>
  <si>
    <t>443310-13P</t>
  </si>
  <si>
    <t>Lisa Merdjan</t>
  </si>
  <si>
    <t>Merdjan</t>
  </si>
  <si>
    <t>Ms. Lisa Merdjan serves as Head of Canada Programs at SVG Ventures|THRIVE. She is responsible for overseeing the successful delivery of all Canadian programs, including the THRIVE Academy and THRIVE Canada Accelerator. Previously, she held the role of THRIVE Academy Manager, leading the pre-accelerator program through five cohorts. With over seven years of experience in program management, client engagement, and operations, she has a strong background in fostering growth and innovation within the startup ecosystem. Before joining THRIVE, she worked at MaRS Discovery District, a leading urban innovation hub in North America. There, she managed a program focused on helping early-stage startups secure funding, drive revenue growth, and expand their teams across diverse sectors like Health, Cleantech, Fintech, and Enterprise Software. She holds a Bachelor of Arts degree in International Development with a concentration in Economic Development and Living Standards, complemented by a minor in Urban Systems from McGill University.</t>
  </si>
  <si>
    <t>Head of Canada Programs</t>
  </si>
  <si>
    <t>36932-86P</t>
  </si>
  <si>
    <t>Robert Bridge Ph.D</t>
  </si>
  <si>
    <t>Bridge</t>
  </si>
  <si>
    <t>SWAN Impact Network</t>
  </si>
  <si>
    <t>Dr. Robert Bridge is the Founder and serves as Executive Director &amp; Board Member at SWAN Impact Network. He served as Board Member &amp; Advisor at Scriptly Rx. He serves as Board Observer, Partner, and Advisor at OneSeventeen Media. He served as Executive Director at SWAN Impact. He was the Co-Founder and served as CEO &amp; Executive Board Member at InView Technology. He has been in management, marketing, and engineering roles at semiconductor and system companies for several years, including serving as founding CEO at three technology companies. Dr. Bridge has also served as an entrepreneur in residence at Austin Ventures, vice president of marketing at Agere (the network processor startup), and vice president and general manager for communications ICs at Crystal Semiconductor/Cirrus Logic. Additionally, he has held engineering and management positions at Motorola, AT&amp;T corporate headquarters, and AT&amp;T Bell Labs. He has extensive experience in founding and taking early-stage technology start-up companies to successful exits, and has built upon that experience to grow SWAN from its initial seven to angels to over 80 angels today. Bob is a Social Venture Partner, a founder and active member of the Austin chapter of the Rice Alliance for Technology and Entrepreneurship, and also supports the numerous Austin impact accelerators.</t>
  </si>
  <si>
    <t>+1 (512) 658-2240</t>
  </si>
  <si>
    <t>bob.bridge@swanimpact.org</t>
  </si>
  <si>
    <t>Dripping Springs</t>
  </si>
  <si>
    <t>Dripping Springs, TX</t>
  </si>
  <si>
    <t>610 Cottonwood Creek Road</t>
  </si>
  <si>
    <t>78620</t>
  </si>
  <si>
    <t>Founder &amp; Board Member Emeritus</t>
  </si>
  <si>
    <t>406518-94P</t>
  </si>
  <si>
    <t>Suresh Sundarababu</t>
  </si>
  <si>
    <t>Sundarababu</t>
  </si>
  <si>
    <t>Mr. Suresh Sundarababu serves as Executive Director &amp; Member of Board of Directors at SWAN Impact Network. He serves as Board Observer at NanoPharma Solutions. In addition to his traditional job role, as the Director of External Partnerships in the Technology and Innovation office at National Instruments, an Emerson Company, where he helps guide long-term innovation projects in collaboration with eminent academic and research thought leaders, he is deeply involved, through multiple startups and non-profit organizations, to help underserved founders and BIPOC youth to create a future that is impactful and equitable to everyone. He has a MS in Electrical Engineering from the University of Florida and a BE in Electrical and Communication Engineering from Bharathiar University in India.</t>
  </si>
  <si>
    <t>Executive Director &amp; Member of Board of Directors</t>
  </si>
  <si>
    <t>333133-57P</t>
  </si>
  <si>
    <t>Chris Tarrant</t>
  </si>
  <si>
    <t>Tarrant</t>
  </si>
  <si>
    <t>Sweetgreen</t>
  </si>
  <si>
    <t>Mr. Chris Tarrant serves as Chief Development Officer at Sweetgreen. He served as Chief Development Officer at Nothing Bundt Cakes. He serves as Board Member at Wedge.</t>
  </si>
  <si>
    <t>+1 (323) 990-7040</t>
  </si>
  <si>
    <t>chris.tarrant@sweetgreen.com</t>
  </si>
  <si>
    <t>3102 West 36th Street</t>
  </si>
  <si>
    <t>90018</t>
  </si>
  <si>
    <t>319652-11P</t>
  </si>
  <si>
    <t>Jason Cochran</t>
  </si>
  <si>
    <t>Cochran</t>
  </si>
  <si>
    <t>Mr. Jason Cochran serves as Chief Operating Officer at Sweetgreen. He served as Chief Executive Officer at American West Restaurant Group.</t>
  </si>
  <si>
    <t>jason.cochran@sweetgreen.com</t>
  </si>
  <si>
    <t>57466-72P</t>
  </si>
  <si>
    <t>Jonathan Neman</t>
  </si>
  <si>
    <t>Neman</t>
  </si>
  <si>
    <t>Mr. Jonathan Neman is a Co-Founder and serves as Chief Executive Officer and Board Member at Sweetgreen. He has been recognized as a key innovator in food and business, named to Fast Company's "50 Most Innovative Companies", "30 Under 30", Forbes' "30 Under 30", Food &amp; Wine's "40 Big Food Thinkers 40 and Under," and the 2020 Nation's Restaurant News NRN Power List among other accolades. Sweetgreen was named one of Fast Company's Most Innovative Companies in 2019 and 2020, won the 2020 and 2021 Webby Awards for Food &amp; Drink in the category Apps, Mobile &amp; Voice and was recognized as a Top 100 Most Loved Workplace by Newsweek in collaboration with Best Practice/ Institute. He graduated from Georgetown University's McDonough School of Business, where he met fellow Sweetgreen Co-Founders, Nathaniel Ru and Nicolas Jammet. He serves as Advisor at Meati.</t>
  </si>
  <si>
    <t>+1 (310) 874-6142</t>
  </si>
  <si>
    <t>jonathan.neman@sweetgreen.com</t>
  </si>
  <si>
    <t>3000 Robertson Boulevard</t>
  </si>
  <si>
    <t>90034</t>
  </si>
  <si>
    <t>68361-94P</t>
  </si>
  <si>
    <t>Mitch Reback</t>
  </si>
  <si>
    <t>Reback</t>
  </si>
  <si>
    <t>Mr. Mitch Reback serves as Chief Financial Officer at Sweetgreen. He has served as sweetgreen's Chief Financial Officer since 2015, overseeing finance, corporate strategy, tax, legal &amp; risk, and institutional funding. He brings more than three decades of experience in leading the finance function in large, global consumer product companies as well as young, PE backed growing firms. Prior to joining sweetgreen, he served as the CFO at Drybar and prior to that served in numerous roles in finance and strategy at Johnson &amp; Johnson, including serving as the CFO at Neutrogena. He has a proven track record in leading global business growth in marketing-driven consumer organizations. He holds a BA (Bachelor of Arts) in Economics from UCLA (Anderson) and MBA (Master of Business Administration) in Finance from University of Southern California.</t>
  </si>
  <si>
    <t>mitch.reback@sweetgreen.com</t>
  </si>
  <si>
    <t>57466-81P</t>
  </si>
  <si>
    <t>Nathaniel Ru</t>
  </si>
  <si>
    <t>Ru</t>
  </si>
  <si>
    <t>Mr. Nathaniel Ru is a Co-Founder and serves as Chief Brand Officer at Sweetgreen. Ms. Ru is a Co-Founder and serves as Principal of SWTLF Ventures. He has completed his graduation from Georgetown University.</t>
  </si>
  <si>
    <t>nathaniel.ru@sweetgreen.com</t>
  </si>
  <si>
    <t>Co-Founder &amp; Chief Brand Officer</t>
  </si>
  <si>
    <t>80380-00P</t>
  </si>
  <si>
    <t>Nicholas Mendibles</t>
  </si>
  <si>
    <t>Mendibles</t>
  </si>
  <si>
    <t>Mr. Nicholas Mendibles serves as Director of People at Sweetgreen.</t>
  </si>
  <si>
    <t>nicholas@sweetgreen.com</t>
  </si>
  <si>
    <t>Director of People</t>
  </si>
  <si>
    <t>57466-45P</t>
  </si>
  <si>
    <t>Nicolas Jammet</t>
  </si>
  <si>
    <t>Jammet</t>
  </si>
  <si>
    <t>Mr. Nicolas Jammet is a Co-Founder and serves as Chief Concept Officer and Board Member at Sweetgreen. He is a Co-Founder of SWTLF Ventures. He also served as an Advisor at Almanac Insights. He also serves as Board Member at Outdoor Voices. He also serves as Advisor at TYLT Ventures. He served as Board Member at Outdoor Voices. He oversees the strategy, growth, and operations for all of Sweetgreen's locations. Together with his two co-founders and fellow classmates from the Georgetown University McDonough School of Business, Nicolas has built Sweetgreen to become the market leader in local, organic, healthy fast food, with over 1,000 employees and 29 stores throughout Washington, D.C., New York City, Boston, Philadelphia, Virginia, and Maryland, and with expansion plans into the West Coast. Sweetgreen has received numerous accolades from the press, including The Washington Post, USA Today, Food &amp; Wine, Forbes, Bloomberg, the Washingtonian, CBS, and CNBC, and Nicolas and his partners have been selected as Forbes magazine's "30 under 30: Food &amp; Wine" and Food &amp; Wine magazine's "40 Big Food Thinkers 40 and Under." In 2010, he and his co-founders also founded Sweetlife, which has grown to become the region's largest music and food festival and a carbon-neutral event committed to sustainability. He holds a Degree in Business from Georgetown University. He served as Board Member at Great Jones. He serves as Advisor at Meati.</t>
  </si>
  <si>
    <t>nicolas@sweetgreen.com</t>
  </si>
  <si>
    <t>376286-32P</t>
  </si>
  <si>
    <t>Rebecca Nounou</t>
  </si>
  <si>
    <t>Nounou</t>
  </si>
  <si>
    <t>Ms. Rebecca Nounou serves as Head of Investor Relations &amp; Chief Of Staff at Sweetgreen.</t>
  </si>
  <si>
    <t>rebecca.nounou@sweetgreen.com</t>
  </si>
  <si>
    <t>Head of Investor Relations &amp; Chief Of Staff</t>
  </si>
  <si>
    <t>82067-77P</t>
  </si>
  <si>
    <t>Alfonso Del Moral</t>
  </si>
  <si>
    <t>Del Moral</t>
  </si>
  <si>
    <t>T. Rowe Price Group</t>
  </si>
  <si>
    <t>Mr. Alfonso del Moral serves as Head of Relationship Management Spain &amp; Portugal at T. Rowe Price. Previously, he served as a Founding Partner at Dicania Investment Partners.</t>
  </si>
  <si>
    <t>+1 (410) 345-2000</t>
  </si>
  <si>
    <t>alfonso.delmoral@troweprice.com</t>
  </si>
  <si>
    <t>1307 Point Street</t>
  </si>
  <si>
    <t>Head of Relationship Management Spain &amp; Portugal</t>
  </si>
  <si>
    <t>127426-42P</t>
  </si>
  <si>
    <t>Andrew Baek</t>
  </si>
  <si>
    <t>Baek</t>
  </si>
  <si>
    <t>Mr. Andrew Baek serves as Vice President &amp; Managing Legal Counsel at T. Rowe Price.</t>
  </si>
  <si>
    <t>andrew_baek@troweprice.com</t>
  </si>
  <si>
    <t>Vice President &amp; Managing Legal Counsel</t>
  </si>
  <si>
    <t>132900-04P</t>
  </si>
  <si>
    <t>Andrew Clifton</t>
  </si>
  <si>
    <t>Clifton</t>
  </si>
  <si>
    <t>Mr. Andrew Clifton serves as a Portfolio Specialist at T. Rowe Price. He has over 25 years of investment experience. Prior to joining the firm in 2010, he was an executive director at UBS Global Asset Management. Prior to that, he was a vice president at Merrill Lynch. He earned a BSc in economics from the London School of Economics and an MSc in econometrics from the University of Southampton.</t>
  </si>
  <si>
    <t>+44 (0)20 7651 8200</t>
  </si>
  <si>
    <t>andrew_clifton@troweprice.com</t>
  </si>
  <si>
    <t>5 Paternoster Square</t>
  </si>
  <si>
    <t>Warwick Court</t>
  </si>
  <si>
    <t>EC4M 7DX</t>
  </si>
  <si>
    <t>163929-79P</t>
  </si>
  <si>
    <t>Andrew Keirle</t>
  </si>
  <si>
    <t>Keirle</t>
  </si>
  <si>
    <t>Mr. Andrew Keirle serves as Portfolio Manager Emerging Markets Local Currency Bond Strategy in the Fixed Income Division at T. Rowe Price.</t>
  </si>
  <si>
    <t>andrew.keirle@troweprice.com</t>
  </si>
  <si>
    <t>Portfolio Manager Emerging Markets Local Currency Bond Strategy in the Fixed Income Division</t>
  </si>
  <si>
    <t>68963-50P</t>
  </si>
  <si>
    <t>Anna Dreyer Ph.D</t>
  </si>
  <si>
    <t>Dreyer</t>
  </si>
  <si>
    <t>Dr. Anna Dreyer serves as Portfolio Manager &amp; Quantitative Analyst at T. Rowe Price.</t>
  </si>
  <si>
    <t>+1 (410) 484-2325</t>
  </si>
  <si>
    <t>anna_dreyer@troweprice.com</t>
  </si>
  <si>
    <t>Portfolio Manager &amp; Quantitative Analyst</t>
  </si>
  <si>
    <t>385416-91P</t>
  </si>
  <si>
    <t>Anthony Wang</t>
  </si>
  <si>
    <t>Mr. Anthony Wang serves as Investment Analyst at T. Rowe Price.</t>
  </si>
  <si>
    <t>tony_wang@troweprice.com</t>
  </si>
  <si>
    <t>195094-27P</t>
  </si>
  <si>
    <t>Archibald Ciganer</t>
  </si>
  <si>
    <t>Archibald</t>
  </si>
  <si>
    <t>Ciganer</t>
  </si>
  <si>
    <t>Mr. Archibald Ciganer serves as a Portfolio Manager, Japanese Equity fund at T. Rowe Price.</t>
  </si>
  <si>
    <t>+81 (0)36 758 3800</t>
  </si>
  <si>
    <t>archibald_ciganer@troweprice.com</t>
  </si>
  <si>
    <t>GranTokyo South Tower 10th Floor</t>
  </si>
  <si>
    <t>1-9-2, Marunouchi, Chiyoda-ku</t>
  </si>
  <si>
    <t>100-6610</t>
  </si>
  <si>
    <t>Portfolio Manager, Japanese Equity fund</t>
  </si>
  <si>
    <t>53874-10P</t>
  </si>
  <si>
    <t>Arif Husain</t>
  </si>
  <si>
    <t>Mr. Arif Husain serves as Portfolio Manager &amp; Head of International Fixed Income at T. Rowe Price. Husain, who will start on August 30, will be based in London.</t>
  </si>
  <si>
    <t>+31 (0)20 333 6200</t>
  </si>
  <si>
    <t>arif_husain@troweprice.com</t>
  </si>
  <si>
    <t>Strawinskylaan 1433</t>
  </si>
  <si>
    <t>WTC Tower 8 Level 14</t>
  </si>
  <si>
    <t>1077 XX</t>
  </si>
  <si>
    <t>424490-05P</t>
  </si>
  <si>
    <t>Ashlesha Vaishampayan</t>
  </si>
  <si>
    <t>Ashlesha</t>
  </si>
  <si>
    <t>Vaishampayan</t>
  </si>
  <si>
    <t>ashlesha_vaishampayan@troweprice.com</t>
  </si>
  <si>
    <t>417885-04P</t>
  </si>
  <si>
    <t>Ben Riley</t>
  </si>
  <si>
    <t>Riley</t>
  </si>
  <si>
    <t>Mr. Ben Riley serves as Head of Insurance at T. Rowe Price Group. Riley has been with T. Rowe Price since 2001, joining the Americas Institutional Client Service team in 2007. In 2017, he became the firm's first senior relationship manager dedicated to overseeing insurance general account mandates, focusing on sales and client service.</t>
  </si>
  <si>
    <t>briley@troweprice.com</t>
  </si>
  <si>
    <t>Head of Insurance</t>
  </si>
  <si>
    <t>68969-71P</t>
  </si>
  <si>
    <t>Bob Burns</t>
  </si>
  <si>
    <t>Mr. Bob Burns is a Vice President at T. Rowe Price.</t>
  </si>
  <si>
    <t>bob.burns@troweprice.com</t>
  </si>
  <si>
    <t>424484-74P</t>
  </si>
  <si>
    <t>Cassandra Crowe</t>
  </si>
  <si>
    <t>Ms. Cassandra Crowe serves as Head of Asia Pacific Consultant Relations at T. Rowe Price Group.</t>
  </si>
  <si>
    <t>cassandra.crowe@troweprice.com</t>
  </si>
  <si>
    <t>Head of Asia Pacific Consultant Relations</t>
  </si>
  <si>
    <t>114058-72P</t>
  </si>
  <si>
    <t>Cheryl Pipia</t>
  </si>
  <si>
    <t>Pipia</t>
  </si>
  <si>
    <t>Ms. Cheryl Pipia serves as Head of Global Sales Management at T. Rowe Price. She served as Managing Director &amp; Head of Client Engagement &amp; Business Development at BNY Mellon.</t>
  </si>
  <si>
    <t>+1 (410) 577-8213</t>
  </si>
  <si>
    <t>cheryl_pipia@troweprice.com</t>
  </si>
  <si>
    <t>Head of Global Sales Management</t>
  </si>
  <si>
    <t>351034-93P</t>
  </si>
  <si>
    <t>Chris Tarui</t>
  </si>
  <si>
    <t>Tarui</t>
  </si>
  <si>
    <t>Consultant &amp; Head</t>
  </si>
  <si>
    <t>Mr. Chris Tarui serves as Head of Global Alts Distribution, U.S. Consultant Relations, and OCIO at T. Rowe Price.</t>
  </si>
  <si>
    <t>Head of Global Alts Distribution, U.S. Consultant Relations, and OCIO</t>
  </si>
  <si>
    <t>198734-86P</t>
  </si>
  <si>
    <t>Mr. Christopher Brown serves as Portfolio Manager of the Total Return Strategy, Head of Securitized Products Team &amp; Member of Portfolio Strategy for U.S. Taxable Bond Strategies at T. Rowe Price.</t>
  </si>
  <si>
    <t>christopher.brown@troweprice.com</t>
  </si>
  <si>
    <t>Portfolio Manager of the Total Return Strategy, Head of Securitized Products Team &amp; Member of Portfolio Strategy for U.S. Taxable Bond Strategies</t>
  </si>
  <si>
    <t>242777-71P</t>
  </si>
  <si>
    <t>Darren Hall</t>
  </si>
  <si>
    <t>Mr. Darren Hall serves as Head of Distribution, Australia &amp; New Zealand at T. Rowe Price.</t>
  </si>
  <si>
    <t>+61 (0)4 2138 2850</t>
  </si>
  <si>
    <t>darren_hall@troweprice.com</t>
  </si>
  <si>
    <t>Level 28, Governor Phillip Tower</t>
  </si>
  <si>
    <t>Head of Distribution, Australia &amp; New Zealand</t>
  </si>
  <si>
    <t>68962-78P</t>
  </si>
  <si>
    <t>David Beard-Sackett</t>
  </si>
  <si>
    <t>Beard-Sackett</t>
  </si>
  <si>
    <t>Mr. David Beard-Sackett serves as General Manager - Fixed Income &amp; Vice President at T. Rowe Price.</t>
  </si>
  <si>
    <t>+1 (410) 345-3421</t>
  </si>
  <si>
    <t>david_beard-sackett@troweprice.com</t>
  </si>
  <si>
    <t>General Manager - Fixed Income &amp; Vice President</t>
  </si>
  <si>
    <t>80149-06P</t>
  </si>
  <si>
    <t>David DiPietro</t>
  </si>
  <si>
    <t>DiPietro</t>
  </si>
  <si>
    <t>Mr. David DiPietro serves as Head of Centralized Private Equity Team at T. Rowe Price. Previously, he served as Portfolio Director at Greenspring Associates. He is a Trustee at Garrison Forest School. He previously served as the President of Signal Hill Capital Group, a boutique investment bank located in Baltimore, Maryland. At Signal Hill, he initiated and oversaw the firm's institutional equities business, as well as its venture capital and private equity coverage initiatives. From 1999 through 2003, he was the Vice Chairman of the board of directors of Deutsche Bank Securities and a member of the firm's global operating committees. Prior to that, David held leadership roles with Alex Brown. He serves as a Director of JMP Group, a publicly traded investment bank. He also serves as Lead Director of Learn It Systems, a privately held education services company. Furthermore, he received an MBA degree from the Amos Tuck School of Business at Dartmouth College and a BA degree from Haverford College.</t>
  </si>
  <si>
    <t>david_dipietro@troweprice.com</t>
  </si>
  <si>
    <t>Head of Centralized Private Equity Team</t>
  </si>
  <si>
    <t>68971-60P</t>
  </si>
  <si>
    <t>David Eiswert</t>
  </si>
  <si>
    <t>Eiswert</t>
  </si>
  <si>
    <t>Mr. David Eiswert is a Vice President &amp; Portfolio Manager at T. Rowe Price.</t>
  </si>
  <si>
    <t>david.eiswert@troweprice.com</t>
  </si>
  <si>
    <t>65239-75P</t>
  </si>
  <si>
    <t>David Frazer</t>
  </si>
  <si>
    <t>Frazer</t>
  </si>
  <si>
    <t>Mr. David Frazer serves as Executive, Relationship Management - Australia &amp; New Zealand at T. Rowe Price. Mr. Frazer leads T. Rowe Price's institutional business development, managing client and consultant relations across all asset classes, Mr. Frazer was country head at Ashmore Group until October 2013.</t>
  </si>
  <si>
    <t>+61 (0)3 9225 5435</t>
  </si>
  <si>
    <t>david.frazer@troweprice.com</t>
  </si>
  <si>
    <t>Executive, Relationship Management - Australia &amp; New Zealand</t>
  </si>
  <si>
    <t>160195-15P</t>
  </si>
  <si>
    <t>David Giroux</t>
  </si>
  <si>
    <t>Giroux</t>
  </si>
  <si>
    <t>Mr. David Giroux serves as Chief Investment Officer for Equity and Multi-Asset at T. Rowe Price.</t>
  </si>
  <si>
    <t>david_giroux@troweprice.com</t>
  </si>
  <si>
    <t>Chief Investment Officer for Equity and Multi-Asset</t>
  </si>
  <si>
    <t>225813-70P</t>
  </si>
  <si>
    <t>David Oestreicher JD</t>
  </si>
  <si>
    <t>Oestreicher</t>
  </si>
  <si>
    <t>Mr. David Oestreicher serves as General Counsel, Corporate Secretary, Chief Legal Counsel &amp; Member of the Management Committee at T. Rowe Price. He serves as a Trustee at the T. Rowe Price Foundation. He is a member of the ICI Mutual Insurance Company Board of Governors, the Executive Committee, and chairman of its Risk Management Committee. He also serves on the Board of the Investment Adviser Association and is a past chairman of its Legal and Regulatory Committee. In addition, he is a past chairman of the International Committee of the Investment Company Institute. Before becoming chief legal counsel, His main areas of practice were U.S. and international investment adviser regulation, global compliance, and non-U.S. fund regulation. Before joining T. Rowe Price in 1997, he was special counsel in the Division of Market Regulation with the U.S. Securities and Exchange Commission. Before that, he was a judicial law clerk with the Superior Court of Connecticut. He earned a B.S. in business administration from Bucknell University and a J.D. from Villanova University School of Law.</t>
  </si>
  <si>
    <t>david_oestreicher@troweprice.com</t>
  </si>
  <si>
    <t>General Counsel, Corporate Secretary, Chief Legal Counsel &amp; Member of Management Committee</t>
  </si>
  <si>
    <t>350951-77P</t>
  </si>
  <si>
    <t>Deirdre Guice-Minor</t>
  </si>
  <si>
    <t>Guice-Minor</t>
  </si>
  <si>
    <t>Ms. Deirdre Guice-Minor serves as Vice President and Head, Institutional Business Development at T. Rowe Price.</t>
  </si>
  <si>
    <t>deirdre.guiceminor@troweprice.com</t>
  </si>
  <si>
    <t>Vice President and Head, Institutional Business Development</t>
  </si>
  <si>
    <t>100230-22P</t>
  </si>
  <si>
    <t>Diana Awed</t>
  </si>
  <si>
    <t>Awed</t>
  </si>
  <si>
    <t>Ms. Diana Awed serves as Vice President &amp; Head of Marketing Enablement and Operations at T. Rowe Price Group. Ms. Awed had been head of marketing, retirement, and mutual funds at Broadridge Financial Solutions.</t>
  </si>
  <si>
    <t>d-a@troweprice.com</t>
  </si>
  <si>
    <t>Vice President &amp; Head of Marketing Enablement and Operations</t>
  </si>
  <si>
    <t>82195-75P</t>
  </si>
  <si>
    <t>Donato Savatteri</t>
  </si>
  <si>
    <t>Donato</t>
  </si>
  <si>
    <t>Savatteri</t>
  </si>
  <si>
    <t>Mr. Donato Savatteri serves as Head of Southern Europe. at T. Rowe Price. He also serves as a Country Head for Italy at T. Rowe Price. Previously, he served at Lombard Odier. He was previously Chief Executive Officer at Lombard Odier in Milan for three years, having founded the firm's office in Italy. Prior to that, he spent ten years at Franklin Templeton, where he was the Sales Director for Italy. He has 17 years of experience in the asset management industry, having started his career at JP Morgan in 1997.</t>
  </si>
  <si>
    <t>donato_savatteri@troweprice.com</t>
  </si>
  <si>
    <t>Head of Southern Europe.</t>
  </si>
  <si>
    <t>169913-71P</t>
  </si>
  <si>
    <t>Donna Anderson</t>
  </si>
  <si>
    <t>Ms. Donna Anderson serves as Vice President &amp; Global Head of Corporate Governance at T. Rowe Price. Donna leads the firm's proxy voting and engagement efforts and serves as a specialist for incorporating governance considerations into the firm's investment research process. She is cochair of the ESG Committee , a member of the Valuation Committee, and a director of the T. Rowe Price Trust Company.</t>
  </si>
  <si>
    <t>donna_anderson@troweprice.com</t>
  </si>
  <si>
    <t>Vice President &amp; Global Head of Corporate Governance</t>
  </si>
  <si>
    <t>68959-00P</t>
  </si>
  <si>
    <t>Dorothy Sawyer</t>
  </si>
  <si>
    <t>Ms. Dorothy Sawyer serves as Head of U.S. Intermediaries and Retirement Plan Services at T. Rowe Price. Previously, she served as a Senior Vice President/Workplace Investing/Market &amp; Client Insights at Fidelity Investments. She is a member of the firm's Management Committee. Ms. Sawyer has 18 years of prior industry experience. She joined T. Rowe Price in 2011 as a leader on the Individual Investors (II) marketing team and then assumed leadership of the II channel from 2013 until the end of 2015. After a year as head of Corporate Marketing &amp; Communications realigning the firm's capabilities, she joined Human Resources on January 1, 2017, as the head of Human Resources, Global Distribution, and Product. She was named to her current role in February 2018. Previously, Ms. Sawyer was a director of Global Wealth and Investment Management in Retirement Services at Bank of America/Merrill Lynch. Before this position, she held a variety of senior leadership roles within Fidelity Investments, including senior vice president (SVP), workplace investing; SVP, retirement services/plan sponsor marketing; and SVP, mid-corporate market/segment product and marketing. Ms. Sawyer began her financial services career at Fifth Third Bank as a portfolio manager for Fixed Income/Trust and Investment Services.</t>
  </si>
  <si>
    <t>dee_sawyer@troweprice.com</t>
  </si>
  <si>
    <t>166441-87P</t>
  </si>
  <si>
    <t>Doug Greenstein</t>
  </si>
  <si>
    <t>Greenstein</t>
  </si>
  <si>
    <t>Mr. Doug Greenstein serves as a Head, of U.S. Institutional Business Development at T. Rowe Price. Mr. Greenstein was an institutional business development executive at T. Rowe Price covering the Northeast region.</t>
  </si>
  <si>
    <t>doug.greenstein@troweprice.com</t>
  </si>
  <si>
    <t>Head, of U.S. Institutional Business Development</t>
  </si>
  <si>
    <t>237802-96P</t>
  </si>
  <si>
    <t>Dwayne Middleton</t>
  </si>
  <si>
    <t>Mr. Dwayne Middleton serves as Global Head of Fixed Income Trading at T. Rowe Price.</t>
  </si>
  <si>
    <t>+1 (855) 593-9675</t>
  </si>
  <si>
    <t>dwayne_middleton@troweprice.com</t>
  </si>
  <si>
    <t>233 Park Avenue, South</t>
  </si>
  <si>
    <t>Global Head of Fixed Income Trading</t>
  </si>
  <si>
    <t>116143-93P</t>
  </si>
  <si>
    <t>Elsie Chan</t>
  </si>
  <si>
    <t>Elsie</t>
  </si>
  <si>
    <t>Ms. Elsie Chan serves as a Head of intermediary sales, in Asia, ex- Japan, and Australia at T. Rowe Price. She joins T. Rowe from UBS Asset Management in Hong Kong.</t>
  </si>
  <si>
    <t>elsie.chan@troweprice.com</t>
  </si>
  <si>
    <t>Head of Asia Pacific distribution</t>
  </si>
  <si>
    <t>100050-40P</t>
  </si>
  <si>
    <t>Eric Veiel</t>
  </si>
  <si>
    <t>Veiel</t>
  </si>
  <si>
    <t>Mr. Eric Veiel serves as Co-Head of Global Equity at T. Rowe Price. He is chair of the Equity Steering Committee and a member of the Management Committee. He was previously a co-director of Equity Research for North America and co-portfolio manager of the US Structured Research Equity Strategy (SRS). From 2010 to 2014, he was the portfolio manager of the Financial Services Equity Strategy and financial services sector team leader, covering life insurance, asset managers, money-centered banks, and investment banks. Mr. Veiel has 18 years of investment experience, 12 of which have been with T. Rowe Price. Prior to joining the firm in 2005, he was employed by Wachovia Securities as a senior equity analyst, covering health insurers and pharmacy benefit managers. Mr. Veiel earned a B.B.A., magna cum laude, in finance from James Madison University. He also earned an M.B.A., with concentrations in finance and accounting, from Washington University, John M. Olin School of Business, in St. Louis, where he was a Charles F. Knight Scholar. Mr. Veiel also has earned the Chartered Financial Analyst designation.</t>
  </si>
  <si>
    <t>eric.veiel@troweprice.com</t>
  </si>
  <si>
    <t>Executive &amp; Chief Investment Officer, Investments</t>
  </si>
  <si>
    <t>321399-19P</t>
  </si>
  <si>
    <t>George Chow</t>
  </si>
  <si>
    <t>Mr. George Chow serves as Head of the Greater China Institutional Distribution Business at T. Rowe Price.</t>
  </si>
  <si>
    <t>george_chow@troweprice.com</t>
  </si>
  <si>
    <t>Head of the Greater China Institutional Distribution Business</t>
  </si>
  <si>
    <t>308858-68P</t>
  </si>
  <si>
    <t>Glen Lee</t>
  </si>
  <si>
    <t>Mr. Glen Lee serves as Head of Intermediary, Asia at T. Rowe Price.</t>
  </si>
  <si>
    <t>glen.lee@troweprice.com</t>
  </si>
  <si>
    <t>Head of Intermediary, Asia</t>
  </si>
  <si>
    <t>89878-15P</t>
  </si>
  <si>
    <t>Jai Kapadia</t>
  </si>
  <si>
    <t>Jai</t>
  </si>
  <si>
    <t>Mr. Jai Kapadia serves as Regional Portfolio Manager, International Equity Division at T. Rowe Price. He manages the Global Real Estate Equity Strategy and is responsible for stock selection for the Asia-Pacific region. Jai's investment experience began in 2004, and he has been with T. Rowe Price since 2011, beginning as an analyst and associate director of research in the Equity Research Group in Hong Kong, where he covered Asian conglomerates, real estate, and Indian pharmaceuticals. Prior to joining the firm, Jai was employed by Credit Suisse, covering telecommunication equipment stocks, and by Sirios Capital, covering consumer stocks.</t>
  </si>
  <si>
    <t>+852 6682 2176</t>
  </si>
  <si>
    <t>jai_kapadia@troweprice.com</t>
  </si>
  <si>
    <t>6th Floor, Chater House</t>
  </si>
  <si>
    <t>8 Connaught Road Central</t>
  </si>
  <si>
    <t>Regional Portfolio Manager, International Equity Division</t>
  </si>
  <si>
    <t>371109-97P</t>
  </si>
  <si>
    <t>Jaime Klema</t>
  </si>
  <si>
    <t>Klema</t>
  </si>
  <si>
    <t>Mr. Jaime Klema serves as Lead Analyst at T. Rowe Price.</t>
  </si>
  <si>
    <t>jaime_klema@troweprice.com</t>
  </si>
  <si>
    <t>Lead Analyst</t>
  </si>
  <si>
    <t>257792-41P</t>
  </si>
  <si>
    <t>Jason Adams</t>
  </si>
  <si>
    <t>Mr. Jason Adams serves as Portfolio Manager at T. Rowe Price. Jason earned a B.A. in economics from Western Washington University and an M.B.A. from Dartmouth College, Tuck School of Business.</t>
  </si>
  <si>
    <t>jason_adams@troweprice.com</t>
  </si>
  <si>
    <t>103433-77P</t>
  </si>
  <si>
    <t>Jason Nogueira</t>
  </si>
  <si>
    <t>Nogueira</t>
  </si>
  <si>
    <t>Mr. Jason Nogueira serves as a Portfolio Manager, Director of research, at North America Equity Division &amp; Co-Chairman - of the US Structured Research Equity Strategy's Investment Advisory Committee, Member - of the Portfolio Oversight Team, Member of the Equity Steering Committee and vice President at T. Rowe Price. Previously, he served as a Healthcare Equity Analyst at T Rowe Price. Jay's investment experience began in 2001, and he has been with T. Rowe Price since 2004, beginning as an investment analyst covering healthcare services in the U.S. Equity Division. He subsequently became an associate portfolio manager for the Global Growth Equity Strategy. Most recently, Jay was the sector portfolio manager of the Global Consumer Equity Strategy, which he incepted, and the consumer team leader. He also had portfolio management responsibilities for the US Structured Research Equity Strategy, both as an analyst and as a sector portfolio manager. Prior to T. Rowe Price, Jay was employed by Putnam Investments as a healthcare equity analyst. Jay also was a leveraged buyout analyst at J.W. Childs Associates and an investment banking analyst at Goldman, Sachs &amp; Company prior to business school.</t>
  </si>
  <si>
    <t>+1 (401) 728-4079</t>
  </si>
  <si>
    <t>jason_nogueira@troweprice.com</t>
  </si>
  <si>
    <t>270836-38P</t>
  </si>
  <si>
    <t>Jennifer Dardis</t>
  </si>
  <si>
    <t>Dardis</t>
  </si>
  <si>
    <t>Ms. Jennifer Dardis serves as Chief Financial Officer and Treasurer at T. Rowe Price Group. She is a member of the firm's Management Committee. Her responsibilities include global oversight for the Controller's Group, Global Tax, Procurement, Global Product, Corporate Strategy, Financial Planning &amp; Analysis, and Investor Relations. beginning in the CFO Group in a corporate strategy role, and became the head of Corporate Strategy in 2016. Most recently, she was the head of Finance. Before joining T. Rowe Price, she held positions at Constellation Energy in investor relations, at Energy Merchant in finance and business development, and SG Cowen in mergers and acquisitions. She earned a B.A. in economics from the College of William &amp; Mary and an M.B.A. from the University of Virginia, Darden School of Business.</t>
  </si>
  <si>
    <t>jennifer_dardis@troweprice.com</t>
  </si>
  <si>
    <t>Chief Financial Officer and Treasurer</t>
  </si>
  <si>
    <t>16777-09P</t>
  </si>
  <si>
    <t>Jennifer St. Germain</t>
  </si>
  <si>
    <t>St. Germain</t>
  </si>
  <si>
    <t>Ms. Jennifer St. Germain serves as Vice President at T. Rowe Price.</t>
  </si>
  <si>
    <t>+1 (410) 345-2839</t>
  </si>
  <si>
    <t>jennifer.st.germain@troweprice.com</t>
  </si>
  <si>
    <t>225591-67P</t>
  </si>
  <si>
    <t>Jessica Hiebler</t>
  </si>
  <si>
    <t>Hiebler</t>
  </si>
  <si>
    <t>Jessica M. Hiebler Principal Accounting Officer since 2010 and a Vice President since 2009.</t>
  </si>
  <si>
    <t>jessica.hiebler@troweprice.com</t>
  </si>
  <si>
    <t>96276-25P</t>
  </si>
  <si>
    <t>Jodi Love</t>
  </si>
  <si>
    <t>Ms. Jodi Love serves as Vice President, Portfolio Manager Consumer Investment Analyst at T. Rowe Price. She served as Managing Director at Jennison Associates. She joined Jennison Associates in April 2012. She came to Jennison after being with Balyasny Asset Management, where she was a senior equity analyst for consumer retail, beginning in 2008. From 2005 to 2008, she was a director, of equity research for retail soft lines at Oppenheimer. Before that, she was an equity research associate, covering retail soft lines, for Lehman Brothers. She has also been a merchandise analyst for Saks Fifth Avenue Enterprises. She began her career as an investment banking analyst for global real estate and lodging at J.P. Morgan Securities. She received a BA with first-class honors from McGill University and an AAS in applied science and fashion merchandising management with the highest honors from the Fashion Institute of Technology.</t>
  </si>
  <si>
    <t>+1 (212) 833-0708</t>
  </si>
  <si>
    <t>jodi_love@troweprice.com</t>
  </si>
  <si>
    <t>287205-40P</t>
  </si>
  <si>
    <t>John Hall</t>
  </si>
  <si>
    <t>Mr. John Hall serves as Investment Analyst at T. Rowe Price. Mr. Hall is an investment analyst in the U.S. Equity Division, working with the health care team on the analysis of drug pipelines and existing therapeutic agents. He is a vice president of T. Rowe Price Group, Inc. He is also a vice president and an Investment Advisory Committee member of the Heath Sciences and Small-Cap Stock Funds.</t>
  </si>
  <si>
    <t>+1 (410) 276-0695</t>
  </si>
  <si>
    <t>john_hall@troweprice.com</t>
  </si>
  <si>
    <t>276143-59P</t>
  </si>
  <si>
    <t>John Qian</t>
  </si>
  <si>
    <t>Mr. John Qian serves as a Portfolio Manager, Equities at T. Rowe Price.</t>
  </si>
  <si>
    <t>john_qian@troweprice.com</t>
  </si>
  <si>
    <t>Portfolio Manager, Equities</t>
  </si>
  <si>
    <t>87302-80P</t>
  </si>
  <si>
    <t>John Yule</t>
  </si>
  <si>
    <t>Yule</t>
  </si>
  <si>
    <t>Mr. John Yule serves as Head of UK and Ireland at T. Rowe Price. John brings a wealth of experience to T. Rowe Price and will allow us to further strengthen our existing wholesale and advisory relationships. He was previously at F&amp;C for 20 years until last January, most recently as head of UK retail.</t>
  </si>
  <si>
    <t>yule@troweprice.com</t>
  </si>
  <si>
    <t>Head of UK and Ireland</t>
  </si>
  <si>
    <t>160775-11P</t>
  </si>
  <si>
    <t>Jordan Vinarub</t>
  </si>
  <si>
    <t>Vinarub</t>
  </si>
  <si>
    <t>Mr. Jordan Vinarub serves as Head of the Technology Development Center at T. Rowe Price. In addition to managing the TDC, he is responsible for delivering software solutions for various business groups in conjunction with the firm's existing teams around the world. He who brings over 15 years of software engineering and development operations experience, joins T. Rowe Price from Bridgewater Associates where he held roles in charge of strategic development across the front office in execution management and portfolio generation. She earned a B.An in computer science and mathematics from Amherst College. He also earned an M.S. in computer science from the University of Massachusetts.</t>
  </si>
  <si>
    <t>jordan.vinarub@troweprice.com</t>
  </si>
  <si>
    <t>Head of Technology Development Center</t>
  </si>
  <si>
    <t>68970-79P</t>
  </si>
  <si>
    <t>Joseph Fath</t>
  </si>
  <si>
    <t>Fath</t>
  </si>
  <si>
    <t>Mr. Joe Fath is a Vice President &amp; Portfolio Manager at T. Rowe Price. Joe Fath is the portfolio manager for the US Growth Stock Strategy and is a member of the portfolio management team for the US Large-Cap Growth Equity Strategy in the U.S. Equity Division. He is a member of the U.S. Equity Steering Committee. Mr. Fath has 17 years of investment experience, 15 of which have been with T. Rowe Price. He joined the firm in 2002 as an analyst covering gaming, lodging, cruise lines, airlines, and air freight and logistics companies after serving as a summer intern for the firm in 2001. Mr. Fath was also the chief financial officer and co-founder of Broadform, Inc., a start-up educational/software company. In addition, he worked as director of operations analysis for Players International, a multi-jurisdictional gaming operator in the United States. Mr. Fath was also employed by Coopers &amp; Lybrand as a senior associate in the Business Assurance and Financial Advisory Services Group. Mr. Fath earned a B.S., with honors, in accounting from the University of Illinois at Urbana-Champaign. He also earned an M.B.A., with honors, in finance and entrepreneurial management from The Wharton School, University of Pennsylvania. Mr. Fath is also a certified public accountant.</t>
  </si>
  <si>
    <t>joseph_fath@troweprice.com</t>
  </si>
  <si>
    <t>270836-47P</t>
  </si>
  <si>
    <t>Josh Nelson</t>
  </si>
  <si>
    <t>Mr. Josh Nelson serves as Head of U.S. Equity at T. Rowe Price. In addition, he is a co-portfolio manager of the US Structured Research Equity Strategy, cochairman of the US Structured Research Equity Strategy's Investment Advisory Committee, and a member of the Research Governance Oversight Committee,.</t>
  </si>
  <si>
    <t>josh.nelson@troweprice.com</t>
  </si>
  <si>
    <t>Director of Research and Head of Equity</t>
  </si>
  <si>
    <t>167840-38P</t>
  </si>
  <si>
    <t>Josh Spencer</t>
  </si>
  <si>
    <t>Mr. Josh Spencer serves as Portfolio Manager, Global Technology Fund at T. Rowe Price.</t>
  </si>
  <si>
    <t>josh.spencer@troweprice.com</t>
  </si>
  <si>
    <t>Portfolio Manager, Global Technology Fund</t>
  </si>
  <si>
    <t>160198-93P</t>
  </si>
  <si>
    <t>Justin Thomson</t>
  </si>
  <si>
    <t>Chief Investment Officer &amp; Vice President</t>
  </si>
  <si>
    <t>Justin Thomson, Head of International Equity since 2021, chief investment officer since 2017, Co-Head of Global Equity in 2021, and a Vice President since 2001. Mr. Thomson has 28 years of investment experience, 21 of which have been with T. Rowe Price. Mr. Thomson earned an M.A., with honors, in economics from Cambridge University. On October 1, 2024, T. Rowe Price Group, Inc., announced that Justin Thomson, will step down as Head of International Equity, effective December 31, 2024.</t>
  </si>
  <si>
    <t>justin.thomson@troweprice.com</t>
  </si>
  <si>
    <t>Vice President &amp; Chief Investment Officer, Investments</t>
  </si>
  <si>
    <t>89877-97P</t>
  </si>
  <si>
    <t>Justin White</t>
  </si>
  <si>
    <t>Mr. Justin White serves as Portfolio Manager &amp; Vice President at T. Rowe Price. Prior to joining T. Rowe Price, he served as a Senior Analyst at Analysis Group. Mr. White holds a BA in applied mathematics and economics and a MBA in general management and finance from Dartmouth College.</t>
  </si>
  <si>
    <t>justin_white@troweprice.com</t>
  </si>
  <si>
    <t>Portfolio Manager, AllCap Opportunities Strategy</t>
  </si>
  <si>
    <t>68968-54P</t>
  </si>
  <si>
    <t>Ken Lowe</t>
  </si>
  <si>
    <t>Mr. Ken Lowe serves as Vice President Global Technology Services at T. Rowe Price.</t>
  </si>
  <si>
    <t>+1 (410) 345-5700</t>
  </si>
  <si>
    <t>Vice President Global Technology Services</t>
  </si>
  <si>
    <t>160298-20P</t>
  </si>
  <si>
    <t>Kimberly Johnson</t>
  </si>
  <si>
    <t>Ms. Kimberly Johnson served as Chief Operating Officer &amp; Executive Vice President at Federal National Mortgage Association. She serves as Board Member, Member of Talent and Compensation Committee &amp; Science and Member of Technology Committee at Eli Lilly. She serves as Chief Operating Officer at T. Rowe Price. Ms. Johnson is responsible for leading technology, data, enterprise models, operations, the enterprise program management office, and resiliency. This unified set of enterprise shared services is central to supporting the execution of Fannie Mae's unified business strategy. Ms. Johnson is also a member of the Management Committee, Fannie Mae's leadership team. As COO, she is charged with continuing the innovative work already underway throughout the company. Ms. Johnson partners closely with business units and the enterprise innovation team to focus resources on innovations that have the potential to enhance the company's business model, support the execution of strategy, and evolve the housing finance system for the better. Previously, Ms. Johnson served as Fannie Mae's Chief Risk Officer until March 2018. In this role, she oversaw the company's governance and strategy for global risk management. Her team provided independent oversight and guidance for managing risk and ensuring compliance, including the development and implementation of risk management measures across the company. The team also led efforts to build and sustain a strong risk culture in which all employees act on their responsibility to manage strategic, market, credit, liquidity, compliance, operational, reputational, and information security, including cyber risk. Prior to that, Ms. Johnson held several other key leadership positions, including Deputy Chief Risk Officer, Senior Vice President - Multifamily Capital Markets and Pricing, Vice President for Capital Markets - Multifamily, and Vice President - Credit Risk, Enterprise Risk Management. Before joining Fannie Mae in 2006, Ms. Johnson was a Director at Credit Suisse, where her responsibilities included financial institution fixed-income sales coverage of hedge funds, money managers, and U.S. government-sponsored entities. Earlier, she was a U.S. Equity Trader at D.E. Shaw &amp; Co. Ms. Johnson has a bachelor of arts in economics from Princeton University and a master of business administration in finance from Columbia Business School.</t>
  </si>
  <si>
    <t>+1 (317) 276-2000</t>
  </si>
  <si>
    <t>kimberly_johnson@troweprice.com</t>
  </si>
  <si>
    <t>Lilly Corporate Center</t>
  </si>
  <si>
    <t>46285</t>
  </si>
  <si>
    <t>Board Member, Member of Talent and Compensation Committee &amp; Science and Member of Technology Committee</t>
  </si>
  <si>
    <t>Eli Lilly</t>
  </si>
  <si>
    <t>307957-69P</t>
  </si>
  <si>
    <t>Lauren Bloom</t>
  </si>
  <si>
    <t>Ms. Lauren Bloom serves as Head of Canada at T. Rowe Price.</t>
  </si>
  <si>
    <t>lauren.bloom@troweprice.com</t>
  </si>
  <si>
    <t>Head of Canada</t>
  </si>
  <si>
    <t>169913-17P</t>
  </si>
  <si>
    <t>Maria Drew</t>
  </si>
  <si>
    <t>Ms. Maria Drew serves as Director of Research, Responsible Investing at T. Rowe Price. She joins from Goldman Sachs Asset Management, where she spent nine years as an equity analyst, portfolio manager and specialist in environmental, social and governance (ESG) issues. Drew comes to T. Rowe Price from Goldman Sachs Asset Management, where she worked for nine years as an equity analyst, portfolio manager and ESG specialist. Prior to this, she worked in various research analyst roles. In total, she has 20 years of investment experience. She is a graduate of Smith College.</t>
  </si>
  <si>
    <t>Director of Research, Responsible Investing</t>
  </si>
  <si>
    <t>118746-10P</t>
  </si>
  <si>
    <t>Mark Finn</t>
  </si>
  <si>
    <t>Mr. Mark Finn serves as Lead Portfolio Manager at T. Rowe Price.</t>
  </si>
  <si>
    <t>mark_finn@troweprice.com</t>
  </si>
  <si>
    <t>Lead Portfolio Manager</t>
  </si>
  <si>
    <t>452864-08P</t>
  </si>
  <si>
    <t>Matt Lawton</t>
  </si>
  <si>
    <t>Mr. Matt Lawton serves as Head of Impact Fixed Income at T. Rowe Price Group.</t>
  </si>
  <si>
    <t>matt_lawton@troweprice.com</t>
  </si>
  <si>
    <t>Head of Impact Fixed Income</t>
  </si>
  <si>
    <t>84421-09P</t>
  </si>
  <si>
    <t>Matthew Frustaci</t>
  </si>
  <si>
    <t>Frustaci</t>
  </si>
  <si>
    <t>Mr. Matthew Frustaci serves as an Investment Analyst at T. Rowe Price.</t>
  </si>
  <si>
    <t>matthew.frustaci@troweprice.com</t>
  </si>
  <si>
    <t>140607-73P</t>
  </si>
  <si>
    <t>Matthew Jenkins</t>
  </si>
  <si>
    <t>Mr. Matthew Jenkins serves as Head of Regional Sales and Strategic Partners at T. Rowe Price. He joins from Neptune Investment Management, where he has been since 2007, more recently as head of Advisory Sales and Strategic Partners. Prior to Neptune, Jenkins held roles at MetLife and Scottish Widows.</t>
  </si>
  <si>
    <t>+44 (0)20 7651 6755</t>
  </si>
  <si>
    <t>matt.jenkins@troweprice.com</t>
  </si>
  <si>
    <t>Head of Regional Sales and Strategic Partners</t>
  </si>
  <si>
    <t>68975-74P</t>
  </si>
  <si>
    <t>Melissa Wilson</t>
  </si>
  <si>
    <t>Ms. Melissa Wilson serves as Head of Business Management, Global Distribution North Americas at T. Rowe Price.</t>
  </si>
  <si>
    <t>+1 (800) 225-5132</t>
  </si>
  <si>
    <t>melissa_wilson@troweprice.com</t>
  </si>
  <si>
    <t>Owings Mills</t>
  </si>
  <si>
    <t>Owings Mills, MD</t>
  </si>
  <si>
    <t>4515 Painters Mill Road</t>
  </si>
  <si>
    <t>21117</t>
  </si>
  <si>
    <t>Head of Business Management, Global Distribution North Americas</t>
  </si>
  <si>
    <t>332250-49P</t>
  </si>
  <si>
    <t>Michael Benedetto</t>
  </si>
  <si>
    <t>Benedetto</t>
  </si>
  <si>
    <t>Mr. Michael Benedetto serves as Head of Global SMA Platform at T. Rowe Price.</t>
  </si>
  <si>
    <t>michael_benedetto@troweprice.com</t>
  </si>
  <si>
    <t>Head of Global SMA Platform</t>
  </si>
  <si>
    <t>57229-30P</t>
  </si>
  <si>
    <t>Michael Davis</t>
  </si>
  <si>
    <t>Mr. Michael Davis serves as Head of Defined Contribution Plan Specialists at T. Rowe Price. Mr. Michael Davis serves as Director, Institutional Client Relationships at Calvert Group. Mr. Davis was senior vice president and head of the stable value business at Prudential Retirement.</t>
  </si>
  <si>
    <t>michael_davis@troweprice.com</t>
  </si>
  <si>
    <t>Head of Defined Contribution Plan Specialists</t>
  </si>
  <si>
    <t>55551-61P</t>
  </si>
  <si>
    <t>Nick Slater</t>
  </si>
  <si>
    <t>Mr. Nick Slater serves as Head of Global Consultant Relations at T. Rowe Price.</t>
  </si>
  <si>
    <t>nick_slater@troweprice.com</t>
  </si>
  <si>
    <t>Head of Global Consultant Relations</t>
  </si>
  <si>
    <t>321870-61P</t>
  </si>
  <si>
    <t>Nick Trueman</t>
  </si>
  <si>
    <t>Trueman</t>
  </si>
  <si>
    <t>Mr. Nick Trueman serves as Head of Distribution, EMEA at T. Rowe Price.</t>
  </si>
  <si>
    <t>nick_trueman@troweprice.com</t>
  </si>
  <si>
    <t>Head of Distribution, EMEA</t>
  </si>
  <si>
    <t>376401-52P</t>
  </si>
  <si>
    <t>Olaf Mieske</t>
  </si>
  <si>
    <t>Mieske</t>
  </si>
  <si>
    <t>Mr. Olaf Mieske serves as Head of Germany and Mid-Europe Marketing at T. Rowe Price.</t>
  </si>
  <si>
    <t>+49 (0)69 2443 7190 0</t>
  </si>
  <si>
    <t>olaf_mieske@troweprice.com</t>
  </si>
  <si>
    <t>Neue Rothofstrasse 19</t>
  </si>
  <si>
    <t>60313</t>
  </si>
  <si>
    <t>Head of Germany and Mid-Europe Marketing</t>
  </si>
  <si>
    <t>160402-06P</t>
  </si>
  <si>
    <t>Oliver Bell</t>
  </si>
  <si>
    <t>Mr. Oliver Bell serves as Associate Head of International Equities, Portfolio Manager, Member of the International Equity Steering Committee &amp; Board Member of T. Rowe Price (Luxembourg) Management at T. Rowe Price. He serves as Director at Nazare. Previously he served as Portfolio Manager &amp; Head of International Equity at T. Rowe Price. He is a member of the International Equity Steering Committee and a Board member of T. Rowe Price (Luxembourg) Management S.a.r.l. He has 23 years of investment experience. Prior to joining T. Rowe Price in 2011, he was head of emerging markets equities research at Pictet Asset Management, where he managed several funds and a team of analysts.</t>
  </si>
  <si>
    <t>+1 (719) 278-5600</t>
  </si>
  <si>
    <t>oliver_bell@troweprice.com</t>
  </si>
  <si>
    <t>Colorado Springs</t>
  </si>
  <si>
    <t>Colorado Springs, CO</t>
  </si>
  <si>
    <t>2220 Briargate Parkway</t>
  </si>
  <si>
    <t>80920</t>
  </si>
  <si>
    <t>Associate Head of International Equities, Portfolio Manager, Member of the International Equity Steering Committee &amp; Board Member of T. Rowe Price (Luxembourg) Management</t>
  </si>
  <si>
    <t>68968-00P</t>
  </si>
  <si>
    <t>Paul Macek</t>
  </si>
  <si>
    <t>Macek</t>
  </si>
  <si>
    <t>Mr. Paul Macek serves as Vice President of Group, Head of Individual Investors Technology at T. Rowe Price.</t>
  </si>
  <si>
    <t>paul.macek@troweprice.com</t>
  </si>
  <si>
    <t>Vice President of Group, Head of Individual Investors Technology</t>
  </si>
  <si>
    <t>166010-41P</t>
  </si>
  <si>
    <t>Peter Austin</t>
  </si>
  <si>
    <t>Mr. Peter Austin serves as a Head of Multi-Asset Solutions at T. Rowe Price. He served as the Executive Director and Head of BNY Mellon Pension Services at BNY Mellon Asset Management. He also worked at The Bank of New York Mellon Corporation for 26 years</t>
  </si>
  <si>
    <t>peter_austin@troweprice.com</t>
  </si>
  <si>
    <t>Head of Multi-Asset Solutions</t>
  </si>
  <si>
    <t>223555-15P</t>
  </si>
  <si>
    <t>Philip Richards</t>
  </si>
  <si>
    <t>Mr. Philip Richards serves as Investment Analyst, Global Growth Equity Strategy at T. Rowe Price.</t>
  </si>
  <si>
    <t>philip_richards@troweprice.com</t>
  </si>
  <si>
    <t>Investment Analyst, Global Growth Equity Strategy</t>
  </si>
  <si>
    <t>89878-24P</t>
  </si>
  <si>
    <t>Preeta Ragavan</t>
  </si>
  <si>
    <t>Preeta</t>
  </si>
  <si>
    <t>Ragavan</t>
  </si>
  <si>
    <t>Investment Analyst &amp; Vice President</t>
  </si>
  <si>
    <t>Ms. Preeta Ragavan serves as Vice President &amp; Equity Investment Analyst at T. Rowe Price. Prior to joining T. Rowe Price, she served as an Assistant Vice President at Barclays Capital and as an Analyst at Lehman Brothers. She holds a bachelor's degree from Cornell University and a MBA from Columbia Business School.</t>
  </si>
  <si>
    <t>preeta.ragavan@troweprice.com</t>
  </si>
  <si>
    <t>Vice President &amp; Equity Investment Analyst</t>
  </si>
  <si>
    <t>170467-30P</t>
  </si>
  <si>
    <t>Quentin Fitzsimmons</t>
  </si>
  <si>
    <t>Fitzsimmons</t>
  </si>
  <si>
    <t>Executive &amp; Portfolio Manager</t>
  </si>
  <si>
    <t>Mr. Quentin Fitzsimmons serves as Senior Portfolio Manager, Fixed Income Division &amp; Member of the Global Fixed Income Investment Team at T. Rowe Price.</t>
  </si>
  <si>
    <t>quentin_fitzsimmons@troweprice.com</t>
  </si>
  <si>
    <t>Senior Portfolio Manager, Fixed Income Division &amp; Member of the Global Fixed Income Investment Team</t>
  </si>
  <si>
    <t>182820-61P</t>
  </si>
  <si>
    <t>Rachel Weker</t>
  </si>
  <si>
    <t>Weker</t>
  </si>
  <si>
    <t>Ms. Rachel Weker serves as Vice President, Retirement Plan Services &amp; Senior Manager, Investment Platforms and Service at T. Rowe Price.</t>
  </si>
  <si>
    <t>+1 (410) 345-4289</t>
  </si>
  <si>
    <t>rachel_weker@troweprice.com</t>
  </si>
  <si>
    <t>Vice President, Retirement Plan Services &amp; Senior Manager, Investment Platforms and Service</t>
  </si>
  <si>
    <t>288211-96P</t>
  </si>
  <si>
    <t>Ramon Richards</t>
  </si>
  <si>
    <t>Ramon</t>
  </si>
  <si>
    <t>Mr. Ramon Richards serves as Chief Technology Officer at T. Rowe Price. He served as Executive Vice President &amp; Chief Information Officer at the Federal National Mortgage Association. He is responsible for Fannie Mae's technology assets, cyber security, enterprise data assets, and implementing digital solutions that enable the business and deliver value for its customers. Under Mr. Richards' leadership, the Chief Information Office (CIO) accelerates the enterprise's technology transformation initiatives, enables comprehensive technology engagement with business partners, and defines the next horizon of technology priorities. Mr. Richards is a member of the Management Committee, Fannie Mae's leadership team. This reflects the vital importance of data and data security to Fannie Mae's business, as well as the company's continued commitment to digital transformation. Prior to his current role, Mr. Richards was Senior Vice President - Integrated Technology Solutions. He joined Fannie Mae in 1999 and has served as Senior Vice President of Securitization and Servicing Technology, Vice President of Securitization and Credit Technology, and Vice President for Finance and Corporate Function Technology, among other roles. Mr. Richards holds a Bachelor of Science in Mathematics from Morehouse College, a Bachelor of Science in Electrical Engineering from the Georgia Institute of Technology, and a Master of Business Administration from the Wharton School of the University of Pennsylvania.</t>
  </si>
  <si>
    <t>ramon_richards@troweprice.com</t>
  </si>
  <si>
    <t>175467-34P</t>
  </si>
  <si>
    <t>Randal Jenneke</t>
  </si>
  <si>
    <t>Randal</t>
  </si>
  <si>
    <t>Jenneke</t>
  </si>
  <si>
    <t>Mr. Randal Jenneke serves as Head of of Australian Equities &amp; Portfolio Manager at T. Rowe Price.</t>
  </si>
  <si>
    <t>+61 (0)2 8667 5700</t>
  </si>
  <si>
    <t>randal.jenneke@troweprice.com</t>
  </si>
  <si>
    <t>Head of of Australian Equities &amp; Portfolio Manager</t>
  </si>
  <si>
    <t>68965-30P</t>
  </si>
  <si>
    <t>Richard Burdiek</t>
  </si>
  <si>
    <t>Burdiek</t>
  </si>
  <si>
    <t>Mr. Richard Burdiek is a Vice President at T. Rowe Price.</t>
  </si>
  <si>
    <t>richard_burdiek@troweprice.com</t>
  </si>
  <si>
    <t>181464-76P</t>
  </si>
  <si>
    <t>Rick Reyes</t>
  </si>
  <si>
    <t>Mr. Rick Reyes serves as Portfolio Manager at T. Rowe Price.</t>
  </si>
  <si>
    <t>rick.delosreyes@troweprice.com</t>
  </si>
  <si>
    <t>89877-61P</t>
  </si>
  <si>
    <t>Rick Schultz</t>
  </si>
  <si>
    <t>Mr. Rick Schultz serves as Vice President, Senior Manager, Fund Accounting Operations at T. Rowe Price. Previously, he served as a Collateral Management Manager and as a Fixed Income Fund Accounting Supervisor at T. Rowe Price. He holds a BA in economics and political science from Virginia Polytechnic Institute and State University.</t>
  </si>
  <si>
    <t>rick_schultz@troweprice.com</t>
  </si>
  <si>
    <t>Vice President, Senior Manager, Fund Accounting Operations</t>
  </si>
  <si>
    <t>68972-77P</t>
  </si>
  <si>
    <t>Rob Santomartino</t>
  </si>
  <si>
    <t>Santomartino</t>
  </si>
  <si>
    <t>Mr. Rob Santomartino is a Vice President, Database Services at T. Rowe Price.</t>
  </si>
  <si>
    <t>rsantomartino@troweprice.com</t>
  </si>
  <si>
    <t>Vice President, Database Services</t>
  </si>
  <si>
    <t>160191-91P</t>
  </si>
  <si>
    <t>Robert Sharps</t>
  </si>
  <si>
    <t>Sharps</t>
  </si>
  <si>
    <t>Mr. Robert Sharps serves as Chief Executive Officer, President, Chairman of Executive Management team &amp; Management Compensation and Development Committees at T. Rowe Price. Mr. Sharps has 22 years of investment experience, 20 of which have been with T. Rowe Price. For the last 15 years, he was the lead portfolio manager for the Institutional Large-Cap Equity Growth Strategy, until December 2016. During his portfolio management tenure, T. Rowe Price was twice named Large-Cap Growth Equity Manager of the Year by Institutional Investor magazine. He joined the firm in 1997 as an analyst specializing in financial services stocks, including banks, asset managers, and securities brokers. He came to T. Rowe Price after an internship as an equity research analyst at Wellington Management. Mr. Sharps began his career in 1993 at KPMG Peat Marwick, where he was a senior management consultant focusing on corporate transactions before leaving in 1995 to pursue his M.B.A. Mr. Sharps earned a B.S., summa cum laude, in accounting from Towson University and his M.B.A. in finance from The Wharton School, University of Pennsylvania.</t>
  </si>
  <si>
    <t>robert_sharps@troweprice.com</t>
  </si>
  <si>
    <t>Chief Executive Officer, President, Chairman of Executive Management team &amp; Management Compensation and Development Committees</t>
  </si>
  <si>
    <t>89877-88P</t>
  </si>
  <si>
    <t>Ryan Ferro</t>
  </si>
  <si>
    <t>Ferro</t>
  </si>
  <si>
    <t>Mr. Ryan Ferro serves as Vice President &amp; Equity Investment Analyst at T. Rowe Price. Price. Prior to joining T. Rowe Price, he served as a Director of Corporate Development at ModusLink and as a Senior Analyst at William Blair and Company. He holds a bachelor's degree in economics from Northwestern University and a MBA from Dartmouth College.</t>
  </si>
  <si>
    <t>ryan.ferro@troweprice.com</t>
  </si>
  <si>
    <t>321398-38P</t>
  </si>
  <si>
    <t>Sae Choi</t>
  </si>
  <si>
    <t>Sae</t>
  </si>
  <si>
    <t>Mr. Sae Choi serves as Head of Institution Southeast Asia and Korea at T. Rowe Price.</t>
  </si>
  <si>
    <t>saejoon.choi@troweprice.com</t>
  </si>
  <si>
    <t>Head of Institution Southeast Asia and Korea</t>
  </si>
  <si>
    <t>157335-76P</t>
  </si>
  <si>
    <t>Scott Berg</t>
  </si>
  <si>
    <t>Mr. Scott Berg serves as Portfolio Manager, Global Growth Equity Strategy at T. Rowe Price. He has 13 years of investment experience, all of which have been with T. Rowe Price. He joined the firm in 2002 as a research analyst covering the business services sector after serving as a summer intern in 2001. In 2005, he joined the global equity team as an associate portfolio manager and in 2008 launched the Global Growth Equity Strategy. Prior to T. Rowe Price, he was the manager of financial analysis and planning for Mead Consumer and Office Products. Previously, Mr. Berg was also employed by McKinsey &amp; Company as a business analyst and was a core team member on the firm's global growth initiative. Mr. Berg graduated first in his class from Macquarie University in Australia, with a B.Ec. in actuarial studies and finance. He also holds an M.B.A. from the Stanford Graduate School of Business, where he again graduated at the top of his class. Mr. Berg has earned the Chartered Financial Analyst designation.</t>
  </si>
  <si>
    <t>+1 (410) 345-3623</t>
  </si>
  <si>
    <t>scott_berg@troweprice.com</t>
  </si>
  <si>
    <t>Portfolio Manager, Global Growth Equity Strategy</t>
  </si>
  <si>
    <t>72580-78P</t>
  </si>
  <si>
    <t>Scott Keller</t>
  </si>
  <si>
    <t>Mr. Scott Keller serves as Head of Americas, APAC, and EMEA Distribution at T. Rowe Price. He is a member of the Management and Global Distribution Executive Committees. He is the chairperson of the Board of Directors of T. Rowe Price UK Limited and the chairperson of the Boards of T. Rowe Price (Lux) Management Company and its funds. He is a vice president of T. Rowe Price Group, Inc.</t>
  </si>
  <si>
    <t>+65 6836 0098</t>
  </si>
  <si>
    <t>scott_keller@troweprice.com</t>
  </si>
  <si>
    <t>501 Orchard Road</t>
  </si>
  <si>
    <t>Number 10-02 Wheelock Place</t>
  </si>
  <si>
    <t>238880</t>
  </si>
  <si>
    <t>Head of Americas, APAC and EMEA Distribution</t>
  </si>
  <si>
    <t>166011-67P</t>
  </si>
  <si>
    <t>Sebastien Page</t>
  </si>
  <si>
    <t>Mr. Sebastien Page serves as Head of Global Multi-Asset. He is a member of the Asset Allocation Committee, which is responsible for tactical investment decisions across asset allocation portfolios. He is also a member of the Management Committee of T. Rowe Price Group. Prior to joining the firm in 2015, Mr. Page was an executive vice president at PIMCO, where he led a team focused on research and development of multi-asset solutions. Prior to joining PIMCO in 2010, he was a senior managing director at State Street Global Markets. Mr. Page won research paper awards from the Journal of Portfolio Management in 2003, 2010, and 2011 and from the Financial Analyst Journal in 2010 and 2014. He is the coauthor of the book "Factor Investing and Asset Allocation" (CFA Institute Research Foundation, 2016) and a member of the editorial board of the Financial Analysts Journal. He earned a master of science degree in finance and a bachelor's degree in business administration from Sherbrooke University in Quebec, Canada. Mr. Page has also earned the Chartered Financial Analyst designation.</t>
  </si>
  <si>
    <t>sebastien_page@troweprice.com</t>
  </si>
  <si>
    <t>127611-37P</t>
  </si>
  <si>
    <t>Shawn Driscoll</t>
  </si>
  <si>
    <t>Portfolio Manager &amp; President</t>
  </si>
  <si>
    <t>Mr. Shawn Driscoll serves as Portfolio Manager, President of the US Large-Cap Core Equity Strategy &amp; Chairman of Investment Advisory Committee, in US Equity Division at T. Rowe Price.</t>
  </si>
  <si>
    <t>shawn_driscoll@troweprice.com</t>
  </si>
  <si>
    <t>Portfolio Manager, President of the US Large-Cap Core Equity Strategy &amp; Chairman of Investment Advisory Committee, in US Equity Division</t>
  </si>
  <si>
    <t>291471-67P</t>
  </si>
  <si>
    <t>Simon Paterson</t>
  </si>
  <si>
    <t>Paterson</t>
  </si>
  <si>
    <t>Mr. Simon Paterson serves as Equity Analyst at T. Rowe Price.</t>
  </si>
  <si>
    <t>+1 (410) 537-5385</t>
  </si>
  <si>
    <t>simon_paterson@troweprice.com</t>
  </si>
  <si>
    <t>Equity Analyst</t>
  </si>
  <si>
    <t>253180-45P</t>
  </si>
  <si>
    <t>Sin Tan</t>
  </si>
  <si>
    <t>Sin</t>
  </si>
  <si>
    <t>Mr. Sin Tan serves as Vice President at T. Rowe Price.</t>
  </si>
  <si>
    <t>sindee.tan@troweprice.com</t>
  </si>
  <si>
    <t>181464-13P</t>
  </si>
  <si>
    <t>Stefan Hubrich Ph.D</t>
  </si>
  <si>
    <t>Hubrich</t>
  </si>
  <si>
    <t>Dr. Stefan Hubrich serves as Vice President, Head of Systematic Investing (Multi-Asset), Director of Research, Multi-Asset &amp; Portfolio Manager at T. Rowe Price. Dr. Hubrich is an Investment Advisory Committee member of the Global Stock, Real Assets, and Global Unconstrained Bond Funds. Dr. Hubrich is also a member of the Multi-Asset Steering Committee. Dr. Hubrich is a vice president of T. Rowe Price Group, Inc. Dr. Hubrich has 14 years of investment experience, 12 of which have been with T. Rowe Price. Before joining the firm in 2005 as a quantitative analyst, Dr. Hubrich was employed in a project management capacity at the Munich, Germany, office of McKinsey &amp; Company, Inc., a strategy consulting firm, where he focused on clients in the financial industry. Dr. Hubrich earned an M.A. and a Ph.D. in economics from the University of Maryland at College Park. Dr. Hubrich has also earned the Chartered Financial Analyst designation.</t>
  </si>
  <si>
    <t>stefan_hubrich@troweprice.com</t>
  </si>
  <si>
    <t>Vice President, Head of Systematic Investing (Multi-Asset), Portfolio Manager</t>
  </si>
  <si>
    <t>263915-20P</t>
  </si>
  <si>
    <t>Stephon Jackson</t>
  </si>
  <si>
    <t>Stephon</t>
  </si>
  <si>
    <t>Mr. Stephon Jackson serves as Head of T. Rowe Price Investment Management at T. Rowe Price. Prior to his current role, Steph was the associate head of U.S. Equity and a leader in the establishment of T. Rowe Price Investment Management. He was also a director of Equity Research for the European Equity Research team based in London and the U.S. Associate Analyst team based in Baltimore. Steph's first role at the firm in 2007 was as a portfolio specialist supporting several U.S. small-cap and mid-cap strategies, in the U.S. Equity Division. Steph is a former member of the International Steering, Equity Research, and Risk Management Oversight Committees. He also is the former chair of MOSAIC, a business resource group that identifies issues and opportunities relevant to talent, business practices, and culture in support of the firm's diversity and inclusion strategy. Prior to T. Rowe Price, he was a senior portfolio manager and a managing director with Brown Capital Management, where he managed mid-cap and large-cap growth portfolios from 1997 to 2007. He was a growth portfolio manager and director of equity research with NCM Capital Management from 1994 to 1997.</t>
  </si>
  <si>
    <t>stephon_jackson@troweprice.com</t>
  </si>
  <si>
    <t>404451-01P</t>
  </si>
  <si>
    <t>Steve McShane</t>
  </si>
  <si>
    <t>McShane</t>
  </si>
  <si>
    <t>Mr. Steve McShane serves as Head Of Solutions at T. Rowe Price Group.</t>
  </si>
  <si>
    <t>steve_mcshane@troweprice.com</t>
  </si>
  <si>
    <t>Head Of Solutions (UK Distribution)</t>
  </si>
  <si>
    <t>68964-40P</t>
  </si>
  <si>
    <t>Terry Moore</t>
  </si>
  <si>
    <t>Mr. Terry Moore is a Vice President at T. Rowe Price.</t>
  </si>
  <si>
    <t>terry_moore@troweprice.com</t>
  </si>
  <si>
    <t>139817-80P</t>
  </si>
  <si>
    <t>Thomas Poullaouec</t>
  </si>
  <si>
    <t>Poullaouec</t>
  </si>
  <si>
    <t>Mr. Thomas Poullaouec serves as Head of the Asia-Pacific Multiasset Solutions Business at T. Rowe Price. He formerly served as Managing Director, Head of Strategy &amp; Research, Asia-Pacific at State Street Global Advisors. Prior to joining SSGA, Thomas spent seven years as an Asset Allocation Product Specialist at BNP Paribas Investment Partners. He participated in the development and launch of absolute return strategies which combined tactical asset allocation and capital preservation methodologies. He started his career at a financial software firm in Paris (ARPSON), where he was involved in research and development of risk control methods.</t>
  </si>
  <si>
    <t>+852 2536 7800</t>
  </si>
  <si>
    <t>thomas_poullaouec@troweprice.com</t>
  </si>
  <si>
    <t>Head of the Asia-Pacific Multiasset Solutions Business</t>
  </si>
  <si>
    <t>69520-06P</t>
  </si>
  <si>
    <t>Thomas Watson</t>
  </si>
  <si>
    <t>Mr. Thomas Watson serves as Director of Equity Research, North America at T. Rowe Price.</t>
  </si>
  <si>
    <t>thomas_watson@troweprice.com</t>
  </si>
  <si>
    <t>Director of Equity Research, North America</t>
  </si>
  <si>
    <t>89877-70P</t>
  </si>
  <si>
    <t>Tobias Mueller</t>
  </si>
  <si>
    <t>Mr. Tobias Mueller serves as Portfolio Manager at T. Rowe Price. Prior to joining T. Rowe Price, he served as an Investment Analyst at Nordic Mezzanine and as a Credit Desk Analyst at Lehman Brothers. He holds a MBA in finance and accounting from the University of Chicago.</t>
  </si>
  <si>
    <t>tobias_mueller@troweprice.com</t>
  </si>
  <si>
    <t>68954-77P</t>
  </si>
  <si>
    <t>Tom Morelli</t>
  </si>
  <si>
    <t>Mr. Tom Morelli is a Vice President at T. Rowe Price.</t>
  </si>
  <si>
    <t>tom_morelli@troweprice.com</t>
  </si>
  <si>
    <t>68974-12P</t>
  </si>
  <si>
    <t>Tyson Kautsch</t>
  </si>
  <si>
    <t>Kautsch</t>
  </si>
  <si>
    <t>Mr. Tyson Kautsch is a Vice President, Database Management at T. Rowe Price.</t>
  </si>
  <si>
    <t>tyson_kautsch@troweprice.com</t>
  </si>
  <si>
    <t>Vice President - Mainframe Technical Support &amp; Database Management</t>
  </si>
  <si>
    <t>68963-14P</t>
  </si>
  <si>
    <t>Yongheon Lee Ph.D</t>
  </si>
  <si>
    <t>Yongheon</t>
  </si>
  <si>
    <t>Mr. Yongheon Lee serves as Associate Head of FI Quantitative Portfolio Management at T. Rowe Price.</t>
  </si>
  <si>
    <t>yongheon_lee@troweprice.com</t>
  </si>
  <si>
    <t>Associate Head of FI Quantitative Portfolio Management</t>
  </si>
  <si>
    <t>67135-24P</t>
  </si>
  <si>
    <t>Yoram Lustig</t>
  </si>
  <si>
    <t>Lustig</t>
  </si>
  <si>
    <t>Mr. Yoram Lustig serves as Head of Multi-Asset Solutions, EMEA, in the Multi-Asset Division. at T. Rowe Price. He served as Head of Multi-Asset Investments UK, Deputy Global Head Multi-Asset Investments at Ardian Holding. He was the Head of Multi-Asset Funds at Aviva Investors. He was a Director and Head of Portfolio Construction at Merrill Lynch. He was an Attorney at Gideon Fisher &amp; Co. Earlier in his career, Lustig was head of Portfolio Construction - EMEA at Merrill Lynch. He has extensive experience in the design of investment solutions, including absolute return, inflation-plus, risk-managed and environmental, social, and governance (ESG) strategies. In addition, all three of his prior roles included responsibility for managing multi-asset strategies, including dynamic asset allocation and investment selection. A published author, Lustig holds a law degree from Tel Aviv University and an MBA from London Business School. He is also a licensed lawyer.</t>
  </si>
  <si>
    <t>yoram_lustig@troweprice.com</t>
  </si>
  <si>
    <t>Head of Multi-Asset Solutions, EMEA, in the Multi-Asset Division.</t>
  </si>
  <si>
    <t>426300-67P</t>
  </si>
  <si>
    <t>Zach Baca</t>
  </si>
  <si>
    <t>Baca</t>
  </si>
  <si>
    <t>Mr. Zach Baca serves as Equity Research Associate, Healthcare at T. Rowe Price Group.</t>
  </si>
  <si>
    <t>zachary.baca@troweprice.com</t>
  </si>
  <si>
    <t>Equity Research Associate, Healthcare</t>
  </si>
  <si>
    <t>168472-90P</t>
  </si>
  <si>
    <t>Ziad Bakri MD</t>
  </si>
  <si>
    <t>Bakri</t>
  </si>
  <si>
    <t>Dr. Ziad Bakri serves as Portfolio Manager at T. Rowe Price Group. Dr. Bakri serves as Board Observer at insitro. Ziad received his medical degree from the University of Nottingham in 2003 and was an E.R. resident in London before joining Cowen and Company in New York as a biotechnology analyst in 2006. Ziad earned his undergraduate Bachelor of medical sciences degree (First class honors) from the University of Nottingham, UK, and holds the CFA designation.</t>
  </si>
  <si>
    <t>ziad.bakri@troweprice.com</t>
  </si>
  <si>
    <t>201336-40P</t>
  </si>
  <si>
    <t>John Maher</t>
  </si>
  <si>
    <t>Table Rock Infrastructure Partners</t>
  </si>
  <si>
    <t>Mr. John Maher serves as Executive at Table Rock Infrastructure Partners. Mr. Maher provides a specialized range of CFO accounting and finance services for Table Rock's Rialto Partnership, bridging municipal and project finance. He is a leading expert in starting and managing support for complex structured financings. Maher's primary focus is designing and implementing processes to safeguard financial and objectives. He also provides impeccable audit and other attestation services for financial reporting, grant and other compliance requirements. Maher began his career in 1978 with Arthur Young &amp; Company (now Ernst &amp; Young) .</t>
  </si>
  <si>
    <t>213A Second Street</t>
  </si>
  <si>
    <t>130398-76P</t>
  </si>
  <si>
    <t>Megan Matson</t>
  </si>
  <si>
    <t>Ms. Megan Matson serves as a Partner at Table Rock Capital. She is a specialist in water and wastewater infrastructure needs, risk assessment, and public-private financing. She is the Lead partner on Table Rock's nation-wide 100 City Tour assessing local water and wastewater infrastructure needs for public-private investment. Matson was also instrumental in raising the capital and implementing the first-of-its-kind water and wastewater partnership in Rialto, CA where she worked closely with ULLICO Infrastructure Fund as a major equity. Matson has a B.A. from Yale University and lives in Bolinas, CA with her family.</t>
  </si>
  <si>
    <t>megan@tablerockpartners.com</t>
  </si>
  <si>
    <t>130397-41P</t>
  </si>
  <si>
    <t>Peter Luchetti</t>
  </si>
  <si>
    <t>Luchetti</t>
  </si>
  <si>
    <t>Mr. Peter Luchetti is the Founder &amp; serves as Managing Partner at Table Rock Infrastructure Partners. He serves as a Board Member at Rand Corporation. He also served as a Board Member at Heila Technologies. He was appointed by Governor Brown to Vice-Chair of the California Infrastructure Bank where he currently serves. He led Table Rock in structuring, financing, negotiating, and closing the 30-year Rialto Water &amp; Wastewater Concession, a breakthrough in California infrastructure delivery. Table Rock remains a joint owner of the Concessionaire, Rialto Water Services, together with the Union Labor Life Insurance Co's (ULLICO) Infrastructure Fund. Before forming TRC, he was Managing Director and Global Head of Project &amp; Structured Finance for Bank of America. In this role, he was responsible for a 180-person team transacting in 32 countries on the origination and execution of project and structured finance advisory, and capital-raising activities. His experience includes transactions closed across the transportation, social infrastructure, water &amp; waste, energy, and communications sectors. He also served in a pro bono capacity for three years assisting in the formation and launch financing of the Marin Energy Authority, California's first independent green energy agency or CCA (Community Choice Aggregation). He holds an MA degree in Economics from Duke University.</t>
  </si>
  <si>
    <t>peter@tablerockpartners.com</t>
  </si>
  <si>
    <t>228855-34P</t>
  </si>
  <si>
    <t>Edward Jean-Louis</t>
  </si>
  <si>
    <t>Tale Venture Partners</t>
  </si>
  <si>
    <t>Mr. Edward Jean-Louis serves as Partner at Stedde Capital. He is a Founder and serves as Partner at Tale Venture Partners. He serves as a Board Member at SparkCharge.</t>
  </si>
  <si>
    <t>+1 (856) 886-8075</t>
  </si>
  <si>
    <t>Stedde Capital</t>
  </si>
  <si>
    <t>228854-80P</t>
  </si>
  <si>
    <t>Michael Young</t>
  </si>
  <si>
    <t>Mr. Michael Young is the Founding Partner of Tale Venture Partners. He also serves as Senior Advisor at Silicon Hills Capital.</t>
  </si>
  <si>
    <t>michael@talevp.com</t>
  </si>
  <si>
    <t>Inglewood</t>
  </si>
  <si>
    <t>Inglewood, CA</t>
  </si>
  <si>
    <t>435 West Regent Street</t>
  </si>
  <si>
    <t>Apartment Number 5</t>
  </si>
  <si>
    <t>90301</t>
  </si>
  <si>
    <t>194243-59P</t>
  </si>
  <si>
    <t>Alkesh Patel</t>
  </si>
  <si>
    <t>Tarsadia Investments</t>
  </si>
  <si>
    <t>Mr. Alkesh Patel serves as Senior Vice President, Real Estate at Tarsadia Investments.</t>
  </si>
  <si>
    <t>alkeshp@tarsadia.com</t>
  </si>
  <si>
    <t>520 Newport Center Drive</t>
  </si>
  <si>
    <t>Senior Vice President, Real Estate</t>
  </si>
  <si>
    <t>454372-66P</t>
  </si>
  <si>
    <t>Angela Duncan</t>
  </si>
  <si>
    <t>Ms. Angela Duncan serves as Corporate Controller at Tarsadia Investments.</t>
  </si>
  <si>
    <t>tarsadiai@tarsadia.com</t>
  </si>
  <si>
    <t>13593-34P</t>
  </si>
  <si>
    <t>David Browne</t>
  </si>
  <si>
    <t>Mr. David Browne serves as Chief Financial Officer at Tarsadia Investments. He also serves as Chief Financial Officer at Velocity Merger. He served as Principal at Alturas Capital. He also served as a Partner at Marwit Capital. Also, he is the Founder of Alturas Capital. He joined Marwit Capital in 2005 and has eight years of experience in private equity and corporate finance.</t>
  </si>
  <si>
    <t>+1 (949) 610-8100</t>
  </si>
  <si>
    <t>davidb@tarsadia.com</t>
  </si>
  <si>
    <t>91044-10P</t>
  </si>
  <si>
    <t>Edward Coss</t>
  </si>
  <si>
    <t>Coss</t>
  </si>
  <si>
    <t>Mr. Edward Coss serves as Chief Legal Officer and Executive Vice President at Tarsadia Investments. In his over 4 decades of practicing law, he has represented Tarsadia and its family members in their legal matters for more than 35 years, first through his law firm and later, commencing in 2003, as a member of the Tarsadia team. His representation focuses on hotel and real estate transactions, financings, mergers and acquisitions, complex commercial transactions, contract negotiations, legal strategy, and joint venture and corporate matters, with an emphasis today on complex transactions, strategic planning, and general legal advice. He holds a Master of Laws (LLM) from Boston University.</t>
  </si>
  <si>
    <t>edc@tarsadia.com</t>
  </si>
  <si>
    <t>Executive Vice President &amp; Chief Legal Officer</t>
  </si>
  <si>
    <t>75855-88P</t>
  </si>
  <si>
    <t>Gautam Patel</t>
  </si>
  <si>
    <t>Mr. Gautam Patel is a Co-Founder and serves as Managing Partner at Z3Partners. He serves as Managing Director and Member of the Investment Committee at Tarsadia Investments. He served as a Board Member at Asana BioSciences. He served as a Board Member at Kirilys. He also serves as an Advisor at Arcus Ventures. He leads Tarsadia's investment efforts in healthcare and joined the firm in 2012. He served as a Board Member at AIONX. He joined Tarsadia from Lazard, where he served as a managing director. During his 13-year tenure at Lazard, he advised across multiple industries including healthcare and general industries, with a primary focus on mergers &amp; acquisitions and corporate restructurings. He began his career in finance at Donaldson, Lufkin &amp; Jenrette in 1994. He serves on the board of directors of several companies in Tarsadia's asset management portfolio and the New York City-based Casita Maria Center for Arts and Education. He serves as a Board Member at Spectrum Brands. He serves as a Board Member at Contamination Source Identification. He served as a Board Member at AppsDaily. He served as a Managing Director at Battery Ventures. He served as an Analyst at Lazard Frères &amp; Co. Employees' Savings Plan. He served as a Board Member at TechProcess Payment Services. He served as a Managing Director at Zodius Advisors India.</t>
  </si>
  <si>
    <t>gautamp@tarsadia.com</t>
  </si>
  <si>
    <t>146234-62P</t>
  </si>
  <si>
    <t>Gerard Forster</t>
  </si>
  <si>
    <t>Forster</t>
  </si>
  <si>
    <t>Mr. Gerard Forster serves as Chief Technology Officer at Tarsadia Investments. He served as Chief Information Officer at Aimbridge Hospitality. Gerard Forster joined Aimbridge Hospitality in 2015 as its Chief Information Officer. His team is responsible for the architecture, optimization, and administration of all systems, networks, and applications. Before joining Aimbridge, Forster was a founding partner and Vice President of Information Technology at Evolution Hospitality.</t>
  </si>
  <si>
    <t>gerard.forster@tarsadia.com</t>
  </si>
  <si>
    <t>91043-29P</t>
  </si>
  <si>
    <t>Greg Casserly</t>
  </si>
  <si>
    <t>Casserly</t>
  </si>
  <si>
    <t>Mr. Greg Casserly serves as Chief Executive Officer at Tarsadia Investments. He is an integral member of the leadership team, helping to define the firm's mission and values, since joining Tarsadia as its President 25 years ago. He has a passion for process, culture, growth, and strategy. He left his native Australia to attend Cornell University's School of Hotel Administration, and after graduating (with distinction), he held various roles in hotel and resort franchising and development in the US and abroad.</t>
  </si>
  <si>
    <t>greg.casserly@tarsadiainvestments.com</t>
  </si>
  <si>
    <t>130778-83P</t>
  </si>
  <si>
    <t>Jay Santoro</t>
  </si>
  <si>
    <t>Mr. Jay Santoro serves as Vice President at Tarsadia Investments. He served as an Analyst at Falcon Capital Partners. He is working towards an undergraduate degree with a major in Mathematics as well as minors in Spanish Language and Culture and Economics. At Villanova, he serves as the Vice President of the Alternative Investments Society, a member of the Mergers &amp; Acquisitions Society, and the Captain of the university's club tennis team. He is also a Matthew J. Ryan Political Science Scholar and a Villanova Scholarship recipient. Prior to joining Falcon, he interned as an analyst at TowerCrest Capital, a boutique investment management firm in Newtown, PA. Since joining the team in January 2016, he has provided support and analysis to our full-time staff on a number of transactions</t>
  </si>
  <si>
    <t>jays@tarsadia.com</t>
  </si>
  <si>
    <t>454374-28P</t>
  </si>
  <si>
    <t>Jing Chen</t>
  </si>
  <si>
    <t>Mr. Jing Chen serves as Controller at Tarsadia Investments.</t>
  </si>
  <si>
    <t>jingc@tarsadia.com</t>
  </si>
  <si>
    <t>436183-03P</t>
  </si>
  <si>
    <t>Michael Ching</t>
  </si>
  <si>
    <t>Ching</t>
  </si>
  <si>
    <t>Mr. Michael Ching serves as Managing Director at Tarsadia Investments. Mr. Ching serves as Managing Director at Tarsadia Capital. Mr. Ching previously worked at Blackwells Capital, Managing Director, Maso Capital, Senior Analyst, Allen &amp; Co., Analyst, Sun Capital Partners, Associate,Goldman Sachs, Analyst and Deloitte Consulting, Business Analyst. He completed his B.S. Computer Engineering from Columbia University.</t>
  </si>
  <si>
    <t>michaelc@tarsadia.com</t>
  </si>
  <si>
    <t>28861-66P</t>
  </si>
  <si>
    <t>Mitchell Caplan JD</t>
  </si>
  <si>
    <t>Caplan</t>
  </si>
  <si>
    <t>Mr. Mitchell Caplan serves as President at Tarsadia Investments. He served as Board Member &amp; Chairman at Modern Bank. He serves as Board Member at YieldStreet. He also serves as Chief Executive Officer, Chairman &amp; Director at Velocity Merger. He is also served as Managing Partner of Raycliff Capital, a private equity firm that invests across a diverse set of sectors, including financial services, information technology, hospitality, and real estate. He most recently served as Chief Executive Officer of Jefferson National Financial, where he oversaw all aspects of the company's growth strategy and which was sold in early 2017 to Nationwide.</t>
  </si>
  <si>
    <t>mitch.caplan@tarsadiainvestments.com</t>
  </si>
  <si>
    <t>79494-76P</t>
  </si>
  <si>
    <t>Rishi Reddy</t>
  </si>
  <si>
    <t>Rishi</t>
  </si>
  <si>
    <t>Mr. Rishi Reddy serves as Board Member at AvantStay. Mr. Rishi Reddy co-founded Navigation Health. He is also the Founder of What's Next Ventures. He had served as Chief Executive Officer &amp; Founder at Digipath Solutions. He also serves as Managing Director and Head of Venture and Growth at Tarsadia Investments. He serves as Board Member at Chronus Health, Continental Hospitals, Phil, Avantstay &amp; Envisics. He serves as Board Member at Fathom (Other Healthcare Technology Systems).</t>
  </si>
  <si>
    <t>rishir@tarsadia.com</t>
  </si>
  <si>
    <t>Managing Director and Head of Venture and Growth</t>
  </si>
  <si>
    <t>145767-25P</t>
  </si>
  <si>
    <t>Shubhra Jain MD</t>
  </si>
  <si>
    <t>Shubhra</t>
  </si>
  <si>
    <t>Dr. Shubhra Jain serves as Head of Investment Healthcare at Tarsadia Investments. She serves as Board Member at Masterworks. She serves as an Advisor &amp; Healthcare Investor at Healthcare Innovation Pitch. She served as a Venture Partner at Social Starts. She served as Principal at Cota Capital.</t>
  </si>
  <si>
    <t>shubhraj@tarsadia.com</t>
  </si>
  <si>
    <t>Head of Investment Healthcare</t>
  </si>
  <si>
    <t>91042-66P</t>
  </si>
  <si>
    <t>Tushar Patel</t>
  </si>
  <si>
    <t>Mr. Tushar Patel is the Founder and serves as Chairman at Tarsadia Investments. He attended California State University, Fullerton. He operated, and transacted over $1B+ of hotel assets throughout the 1980s, 1990s and 2000s.</t>
  </si>
  <si>
    <t>tushar@tarsadia.com</t>
  </si>
  <si>
    <t>91047-25P</t>
  </si>
  <si>
    <t>Vikram Patel</t>
  </si>
  <si>
    <t>Mr. Vikram Patel serves as Managing Director at Tarsadia Investments. Mr. Patel holds a BS degree in Economics from University of Pennsylvania. He served as Vice President at Barclays Capital.</t>
  </si>
  <si>
    <t>vikramp@tarsadia.com</t>
  </si>
  <si>
    <t>290648-26P</t>
  </si>
  <si>
    <t>Alejandro Solé</t>
  </si>
  <si>
    <t>Solé</t>
  </si>
  <si>
    <t>TechEnergy Ventures</t>
  </si>
  <si>
    <t>Mr. Alejandro Solé serves as Chief Investment Officer at TechEnergy Ventures. He is a Co-Founder &amp; serves as Board Member at Tulum Energy. He served as Chief Executive Officer and Board Member at Herbolea Biotech.</t>
  </si>
  <si>
    <t>alejandro.sole@techenergyventures.com</t>
  </si>
  <si>
    <t>Monte Rosa 93</t>
  </si>
  <si>
    <t>442488-25P</t>
  </si>
  <si>
    <t>Andrea Mulazzani</t>
  </si>
  <si>
    <t>Mulazzani</t>
  </si>
  <si>
    <t>Mr. Andrea Mulazzani serves as Senior Investment Analyst at TechEnergy Ventures. He holds degree in Energy Engineering at Politecnico di Milano and degree in Energy Engineering at Universitat Politècnica de Catalunya (UPC)</t>
  </si>
  <si>
    <t>andrea.mulazzani@techenergyventures.com</t>
  </si>
  <si>
    <t>290649-79P</t>
  </si>
  <si>
    <t>Andrea Siciliani</t>
  </si>
  <si>
    <t>Siciliani</t>
  </si>
  <si>
    <t>Mr. Andrea Siciliani serves as the Principal at TechEnergy Ventures. He holds an MBA from Collège des Ingénieurs and a Degree in Aeronautical Engineering at Politecnico di Milano.</t>
  </si>
  <si>
    <t>andrea.siciliani@techenergyventures.com</t>
  </si>
  <si>
    <t>Pasaje Carlos María Della Paolera 299</t>
  </si>
  <si>
    <t>Piso 16</t>
  </si>
  <si>
    <t>442483-57P</t>
  </si>
  <si>
    <t>Francisco Doldán</t>
  </si>
  <si>
    <t>Doldán</t>
  </si>
  <si>
    <t>Mr. Francisco Doldán serves as an Investment Lead Analyst at TechEnergy Ventures. He holds a degree in Industrial Engineering from National Technological University (UTN).</t>
  </si>
  <si>
    <t>francisco@techenergyventures.com</t>
  </si>
  <si>
    <t>Investment Lead Analyst</t>
  </si>
  <si>
    <t>442480-87P</t>
  </si>
  <si>
    <t>Juan Schütz</t>
  </si>
  <si>
    <t>Schütz</t>
  </si>
  <si>
    <t>Mr. Juan Schütz serves as an Investor at TechEnergy Ventures. He holds an MBA at Torcuato Di Tella University and a degree in Chemical Engineering at the University of Buenos Aires (UBA)</t>
  </si>
  <si>
    <t>442473-49P</t>
  </si>
  <si>
    <t>Laura Galvani</t>
  </si>
  <si>
    <t>Ms. Laura Galvani serves as an Investor at TechEnergy Ventures. She holds Degree in Construction Engineering at Politecnico di Milano and KTH</t>
  </si>
  <si>
    <t>290652-22P</t>
  </si>
  <si>
    <t>Marco Tivelli</t>
  </si>
  <si>
    <t>Tivelli</t>
  </si>
  <si>
    <t>Mr. Marco Tivelli serves as Chief Technology Officer at Tecpetrol. He serves as Chief Technology Officer at TechEnergy Ventures. He holds degrees in Chemistry at University of Buenos Aires and Management of Technology at MIT Sloan School of Management.</t>
  </si>
  <si>
    <t>marco.tivelli@tecpetrol.com</t>
  </si>
  <si>
    <t>Carlos Maria Della Paolera 299</t>
  </si>
  <si>
    <t>C1001ADA</t>
  </si>
  <si>
    <t>Tecpetrol</t>
  </si>
  <si>
    <t>290650-33P</t>
  </si>
  <si>
    <t>Tomás Rauch</t>
  </si>
  <si>
    <t>Tomás</t>
  </si>
  <si>
    <t>Mr. Tomás Rauch is an Investor at TechEnergy Ventures. He has a Degree in Industrial Engineer at University of Buenos Aires (UBA) and Executive Program in Renewable Energy at University of Business &amp; Social Sciences (UCES)</t>
  </si>
  <si>
    <t>84492-10P</t>
  </si>
  <si>
    <t>Andrew Annacone</t>
  </si>
  <si>
    <t>Annacone</t>
  </si>
  <si>
    <t>TechNexus Venture Collaborative</t>
  </si>
  <si>
    <t>Mr. Andrew Annacone serves as Managing Director at TechNexus Venture Collaborative. He also serves as Managing Director, President &amp; Board Member at PodFund. He served as a Board Member at ThreadMeUp. He served as Vice President of New Venture Growth and Portfolio Management at Outerwall. Prior to Outerwall, he served as Vice President of Finance and Strategy at Redbox and as the Principal Engagement Manager at Galt &amp; Company. He holds an MBA in Finance from the University of Illinois.</t>
  </si>
  <si>
    <t>+1 (312) 435-1000</t>
  </si>
  <si>
    <t>andy@technexus.com</t>
  </si>
  <si>
    <t>20 North Wacker Drive</t>
  </si>
  <si>
    <t>105512-86P</t>
  </si>
  <si>
    <t>Andrew Loulousis</t>
  </si>
  <si>
    <t>Loulousis</t>
  </si>
  <si>
    <t>Mr. Andrew Loulousis serves as Vice President, Strategy &amp; Venturing at TechNexus Venture Collaborative. He formerly served as Manager at Waterstone Management Group. Prior to joining Waterstone, he was Vice President of Strategy and Finance at a start-up that built a marketplace for small and medium business lending. He was responsible for multiple aspects of the business, including new product development, strategic partnership creation, and operational improvement. Prior to that, he worked within the investment banking division of Nomura Securities International focusing on Financial Institutions where he was responsible for analysis, due diligence, and financial model creation. Prior to Nomura, He spent several years as a manager at Accenture, within both the management consulting and systems integration consulting practices. He was responsible for business process design and improvement as well as the implementation of new enterprise-wide software solutions for clients across the financial services space.</t>
  </si>
  <si>
    <t>+1 (650) 513-2531</t>
  </si>
  <si>
    <t>loulousis@technexus.com</t>
  </si>
  <si>
    <t>Vice President, Strategy &amp; Venturing</t>
  </si>
  <si>
    <t>151915-78P</t>
  </si>
  <si>
    <t>Andrew Wolohan</t>
  </si>
  <si>
    <t>Wolohan</t>
  </si>
  <si>
    <t>Mr. Andrew Wolohan serves as Vice President, Venturing at TechNexus Venture Collaborative. He completed my MBA from The University of Chicago while working part-time at OCA Ventures. He completed his undergraduate studies at The University of Notre Dame.</t>
  </si>
  <si>
    <t>andrew@technexus.com</t>
  </si>
  <si>
    <t>Vice President, Venturing</t>
  </si>
  <si>
    <t>311275-63P</t>
  </si>
  <si>
    <t>Erin Martell</t>
  </si>
  <si>
    <t>Ms. Erin Martell is the Founder and serves as Chief Executive Officer at Amenity Yoga. She serves as a Director, Venturing at TechNexus Venture Collaborative. Prior to TechNexus, She founded two startups in fitness technology which has given me a deep empathy for the entrepreneurial journey &amp; experience building companies. She graduated with an MBA from the University of Chicago where she majored in Finance and Entrepreneurship and my undergraduate degree is in engineering from the University of Michigan.</t>
  </si>
  <si>
    <t>+1 (847) 906-3334</t>
  </si>
  <si>
    <t>erin.martell@amenityoga.com</t>
  </si>
  <si>
    <t>1 East Erie Street</t>
  </si>
  <si>
    <t>Amenity Yoga</t>
  </si>
  <si>
    <t>83530-00P</t>
  </si>
  <si>
    <t>Fred Hoch</t>
  </si>
  <si>
    <t>Hoch</t>
  </si>
  <si>
    <t>Mr. Fred Hoch is a Co-Founder and serves as a General Partner at TechNexus Venture Collaborative. He is a consummate builder. Throughout his career, he has worked with thousands of technology companies to drive their growth through strategic insight partnered with a keen focus on execution. He is the Founder and General Partner of Chicago's TechNexus Venture Collaborative, a venture investment company building ecosystems to drive insight and growth. Through a unique alignment of relationships and partnerships, leading corporations leverage the platform to align, invest in and collaborate with ventures to transform business models and ultimately innovate. An outgrowth of one of the most successful startup incubators in the country in the past decade, TechNexus has emerged as one of the most active venture investors globally.</t>
  </si>
  <si>
    <t>fred@technexus.com</t>
  </si>
  <si>
    <t>318782-71P</t>
  </si>
  <si>
    <t>Joey Alfieri</t>
  </si>
  <si>
    <t>Alfieri</t>
  </si>
  <si>
    <t>Mr. Joey Alfieri serves as Senior Associate, Venturing at TechNexus Venture Collaborative. He earned his undergraduate degree from Stanford in Management Science and Engineering.</t>
  </si>
  <si>
    <t>joey@technexus.com</t>
  </si>
  <si>
    <t>Senior Associate, Venturing</t>
  </si>
  <si>
    <t>241698-25P</t>
  </si>
  <si>
    <t>Madelyn Rutter</t>
  </si>
  <si>
    <t>Madelyn</t>
  </si>
  <si>
    <t>Rutter</t>
  </si>
  <si>
    <t>Ms. Madelyn Rutter serves as Senior Director, Collaboration at TechNexus Venture Collaborative.</t>
  </si>
  <si>
    <t>madelyn@technexus.com</t>
  </si>
  <si>
    <t>Senior Director, Collaboration</t>
  </si>
  <si>
    <t>83535-04P</t>
  </si>
  <si>
    <t>Terry Howerton</t>
  </si>
  <si>
    <t>Howerton</t>
  </si>
  <si>
    <t>Mr. Terry Howerton is a Co-Founder and serves as the Chief Executive Officer of TechNexus Venture Collaborative. He serves as Chairman at Roadpass Digital. He is a Co-Founder and serves as Chairman at ChiTech. He works with large companies to co-found disruptive technology ventures on the frontiers of innovation by aligning their business needs with entrepreneurs. He serves as a Board Member at Natrion. He is a board member of the National Association of Business Incubation, the world's largest group representing incubators and entrepreneurs, and sits on the executive committee of TechNet, an association that advocates for America's global leadership in technology and innovation. He is a member of the Executive Council of TechNet alongside several CEOs of the largest companies in the tech industry. TechNet is the national advocate for important policies to the tech industry, including economic growth, immigration, STEM education, and workforce development. He serves as a director or advisor to several private companies. He was the founding chairman of one of the largest technology trade associations in the country and founder of a (now replicated) inner-city public high school to inspire a diverse population toward careers in technology and entrepreneurial thought.</t>
  </si>
  <si>
    <t>terry@technexus.com</t>
  </si>
  <si>
    <t>289888-03P</t>
  </si>
  <si>
    <t>Adam Phillips</t>
  </si>
  <si>
    <t>Mr. Adam Phillips serves as Investor-in-Residence at Techstars. Mr. Phillips served as Venture Partner at 11 Tribes. He began to invest in and operate startups. He has held First-5 employee roles at venture-backed startups (Educational Resources) and has been a founding investor for multiple regional businesses. He is currently the Managing Director at MoxE Venture Partners.</t>
  </si>
  <si>
    <t>ap@techstars.com</t>
  </si>
  <si>
    <t>Investor-in-Residence</t>
  </si>
  <si>
    <t>60411-34P</t>
  </si>
  <si>
    <t>Allard Luchsinger</t>
  </si>
  <si>
    <t>Luchsinger</t>
  </si>
  <si>
    <t>Mr. Allard Luchsinger serves as Managing Director at Techstars. He also serves as Board Member at Lendahand. He also serves as Board Member atCarePay (Managed Care). He served as a Partner at Velocity Capital Private Equity. He also served as Board Member at ClubCollect and Owlin. He served as Board Member at Meniga. He joined Velocity Capital Private Equity in 2011. Velocity is a Dutch-based venture capital firm that focuses on early-stage fintech companies. In 2006, he co-founded, San Francisco-based, online stock broker Zecco. He served as COO of Zecco until 2010. Zecco, a Velocity portfolio company, merged with Tradeking and sold to Ally Financial in 2016. He was an associate partner at the Dutch strategy-consulting firm Boer &amp; Croon. Before Boer &amp; Croon, he was co-founder and CEO of TradingCars.com, an online B2B marketplace for the trade in new passenger cars. He holds an MSc Management degree from the London School of Economics. He also holds a MA in Political Science and Philosophy from Leiden University. He served as Board Member at Five Degrees.</t>
  </si>
  <si>
    <t>allard.luchsinger@techstars.com</t>
  </si>
  <si>
    <t>438025-15P</t>
  </si>
  <si>
    <t>Amalia Lytle</t>
  </si>
  <si>
    <t>Amalia</t>
  </si>
  <si>
    <t>Ms. Amalia Lytle serves as Director of Corporate Communications at Techstars.</t>
  </si>
  <si>
    <t>amalia.lytle@techstars.com</t>
  </si>
  <si>
    <t>228 Park Avenue South</t>
  </si>
  <si>
    <t>99696</t>
  </si>
  <si>
    <t>10003-1502</t>
  </si>
  <si>
    <t>Director of Corporate Communications</t>
  </si>
  <si>
    <t>46433-35P</t>
  </si>
  <si>
    <t>Andres Barreto</t>
  </si>
  <si>
    <t>Barreto</t>
  </si>
  <si>
    <t>Mr. Andres Barreto is the Founder &amp; serves as General Partner at Firstrock Capital. Mr. Barreto is the Founder of Socialatom Group. He serves as Managing Director Techstars Economic Mobility powered by Samvid Ventures at Techstars. He serves as Board Observer at Atomchat.io. He previously founded Grooveshark, Onswipe. He served as an Advisor at Curbo. He holds Degree and BS.</t>
  </si>
  <si>
    <t>321 East 3rd Street, 2D</t>
  </si>
  <si>
    <t>Firstrock Capital</t>
  </si>
  <si>
    <t>41664-34P</t>
  </si>
  <si>
    <t>Andrew Cleland</t>
  </si>
  <si>
    <t>Cleland</t>
  </si>
  <si>
    <t>Mr. Andrew Cleland serves as Chief Investment Officer at Techstars. Mr. Cleland serves as Advisor at Alter. He served as Managing Director at Comcast Ventures. He served as a Board Member at Enigma, Juganu, Lytics and Trion World Networks. He also served as an Advisor at ICONYC Labs. He also served as a Managing Director at WarnerMedia Investments. He sources, evaluates, and executes consumer internet deals for Comcast Ventures, particularly in the areas of digital media, ad technology, games, and education. Earlier, he served as the Managing Director of Time Warner Investments. Before that, he was the COO of TrustTheDJ, a London-based music start-up. He started his career in Booz Allen &amp; Hamilton's media practice. He holds a master's degree in Economics with highest distinction from Edinburgh University and received his M.B.A. from INSEAD in France. He also served as a Board Member at SundaySky. He served as Board Member at Treno</t>
  </si>
  <si>
    <t>andrew.cleland@techstars.com</t>
  </si>
  <si>
    <t>190575-73P</t>
  </si>
  <si>
    <t>Audun Abelsnes</t>
  </si>
  <si>
    <t>Audun</t>
  </si>
  <si>
    <t>Abelsnes</t>
  </si>
  <si>
    <t>Mr. Audun Abelsnes serves as Managing Director at the Techstars Sustainability Paris Accelerator at Techstars. He also served as Board Member at ZEG Power. He also serves as a Board Member at Mentis Cura. For several years, he has been part-responsible for the master-level course "New Venture Creation" (5th year) at BI Norwegian Business School (one of the Top50 business schools in Europe). He also founded and sold one company and he has been instrumental in funding and scaling up a medical diagnostic company. He Abelsnes has spent several years in PWC management consulting and holds a Master of Science in International Marketing from BI Norwegian Business School and City University in London.</t>
  </si>
  <si>
    <t>audun.abelsnes@techstars.com</t>
  </si>
  <si>
    <t>Managing Director at the Techstars Sustainability Paris Accelerator</t>
  </si>
  <si>
    <t>444102-22P</t>
  </si>
  <si>
    <t>Brad Schnitzer</t>
  </si>
  <si>
    <t>Schnitzer</t>
  </si>
  <si>
    <t>Mr. Brad Schnitzer serves as Managing Director at Techstars.</t>
  </si>
  <si>
    <t>223594-39P</t>
  </si>
  <si>
    <t>Brian Daly</t>
  </si>
  <si>
    <t>Mr. Brian Daly is a Co-Founder and serves as Chief Executive Officer at Grandpal. He lived with his grandmother for many years in Dublin where he saw first hand the need for a product to align the whole family around her needs as she got older.</t>
  </si>
  <si>
    <t>brian.daly@grandpal.co</t>
  </si>
  <si>
    <t>Grandpal</t>
  </si>
  <si>
    <t>368343-01P</t>
  </si>
  <si>
    <t>Carly Forcade</t>
  </si>
  <si>
    <t>Forcade</t>
  </si>
  <si>
    <t>Ms. Carly Forcade serves as Global Mentor Engagement at Techstars.</t>
  </si>
  <si>
    <t>carly.forcade@techstars.com</t>
  </si>
  <si>
    <t>Global Mentor Engagement</t>
  </si>
  <si>
    <t>328080-07P</t>
  </si>
  <si>
    <t>Christine Hong</t>
  </si>
  <si>
    <t>Ms. Christine Hong serves as Investment Manager at Techstars.</t>
  </si>
  <si>
    <t>christine.hong@techstars.com</t>
  </si>
  <si>
    <t>343719-46P</t>
  </si>
  <si>
    <t>Christy Brown</t>
  </si>
  <si>
    <t>Ms. Christy Brown is a Co-Founder and serves as Chief Executive Officer &amp; Board Member at Dr.Noze Best. As serial entrepreneur who has founded and exited multiple companies in professional services, digital commerce, and technology. She has led as a senior executive in multiple public companies but gained traction as an early stage venture capitalist and Angel Investor focused on female founders. She led a venture studio as General Partner and worked to replicated the model across the United States. Pairing capital with resources to grow and scale. With her focus on capital and underserved founders she also begin leading in a day-to-day role of President &amp; CEO of Launchpad2X, a not-for-profit accelerator she financially supported. Launchpad2X focused on scaling female founders via education and community. But in 2022, her passion for motherhood, women and infant care led her to Dr. Noze Best. Dr. Noze Best is the babytech company building the modern nursery. She continues to mentor, guide, and invest in female founders and founders of color through her residency as an Entrepreneur in Residence at Emory University, as a Venture Partner in multiple venture funds, a Lead of the Emory University Startup Accelerator, and serves on multiple Boards for non-profit organizations and early-stage companies</t>
  </si>
  <si>
    <t>+1 (404) 590-1808</t>
  </si>
  <si>
    <t>christy@drnozebest.com</t>
  </si>
  <si>
    <t>75 5th Street, North West</t>
  </si>
  <si>
    <t>Suite 2181</t>
  </si>
  <si>
    <t>30308</t>
  </si>
  <si>
    <t>Dr.Noze Best</t>
  </si>
  <si>
    <t>400067-02P</t>
  </si>
  <si>
    <t>Dave Cass</t>
  </si>
  <si>
    <t>Mr. Dave Cass serves as Managing Director at Techstars.</t>
  </si>
  <si>
    <t>dave.cass@techstars.com</t>
  </si>
  <si>
    <t>53286-31P</t>
  </si>
  <si>
    <t>David Brown</t>
  </si>
  <si>
    <t>Associate Partner &amp; Founder</t>
  </si>
  <si>
    <t>Mr. David Brown serves as a Partner at Zintinus. Mr. Brown is a Co-Founder and serves as a Board Member at Techstars. He previously served as the Chief Executive Officer at Techstars. He is a lifelong entrepreneur, having joined his first startup in 1987. Throughout several startups, including Pinpoint Technologies, iContact, and others, he has developed a skill set in leading and helping companies in the startup and scale-up stages. He founded and led Techstars, a world-renowned technology accelerator, and investor. He went to McGill University, where he has a Mathematics and Computer Science degree.</t>
  </si>
  <si>
    <t>david@zintinus.com</t>
  </si>
  <si>
    <t>Pappelallee 78/79</t>
  </si>
  <si>
    <t>10437</t>
  </si>
  <si>
    <t>Zintinus</t>
  </si>
  <si>
    <t>159388-03P</t>
  </si>
  <si>
    <t>Dennis Schmuland</t>
  </si>
  <si>
    <t>Schmuland</t>
  </si>
  <si>
    <t>Dr. Dennis Schmuland serves as Advisor, Healthcare at EPIC Ventures. In 2005, he founded the US health insurance vertical and served as the Worldwide Managing Director, Health Plan Industry until 2012. During that time, in 2009, he received the distinguished Microsoft Circle of Excellence Platinum Club award for exceptional business leadership, thought leadership and strategic innovation. He holds a doctorate in medicine from the University of Washington School of Medicine, is a member of the Alpha Omega Alpha Honor Society and a Fellow of the American Academy of Family Physicians (FAAFP). He obtained undergraduate degrees in both Psychology and Chemistry from Seattle Pacific University, where he graduated summa cum laude and received the Distinguished President's Citation award. He serves on the boards of the American Heart Association, Proskriptive Inc, Managed Healthcare Executive editorial board, Robert Wood Johnson Foundation's Culture of Health Expert Advisory Board, Advisory Board of the University of Washington School of Medicine Department of Family Medicine Primary Care Innovation Lab, advisory board of the University of Washington Master in Health and Health Information Management, ActX advisory board, and GLG Institute faculty advisor.</t>
  </si>
  <si>
    <t>+1 (801) 524-8939</t>
  </si>
  <si>
    <t>15 West South Temple</t>
  </si>
  <si>
    <t>84101</t>
  </si>
  <si>
    <t>+1 (801) 524-8941</t>
  </si>
  <si>
    <t>Advisor, Healthcare</t>
  </si>
  <si>
    <t>EPIC Ventures</t>
  </si>
  <si>
    <t>321262-93P</t>
  </si>
  <si>
    <t>Devon Fanfair</t>
  </si>
  <si>
    <t>Fanfair</t>
  </si>
  <si>
    <t>Mr. Devon Fanfair serves as a Partner at Devland Innovation. While working as an engineer, Fanfair knew there was more he could do with his unique way of problem-solving and gift for human connection. He shifted into corporate Human Resources, sculpting executives and developing solutions for people development. As a serial entrepreneur, he has launched several companies in consumer goods and manufacturing and believes the studio model is the best environment for building repeatable success. His unique network with founders and investors has helped catalyze Devland to become a trusted name for company building from day zero. He graduated with a Bachelor of Science degree in Mechanical Engineering from Rice University in 2008.</t>
  </si>
  <si>
    <t>devon@devland.us</t>
  </si>
  <si>
    <t>Devland Innovation</t>
  </si>
  <si>
    <t>92924-47P</t>
  </si>
  <si>
    <t>Don Loeb</t>
  </si>
  <si>
    <t>Loeb</t>
  </si>
  <si>
    <t>Mr. Don Loeb serves as Mentor at Techstars. He served as Vice President of Corporate Development and Strategy at Techstars. He fosters relationships between corporations and startups at Techstars. Don has over 15 years of operational experience - developing, scaling, mentoring, acquiring, and selling technology companies. Prior to Techstars Don was the head of business development at Typekit (acquired by Adobe). Don also worked at Google where he was a product manager for iGoogle and other search offerings. Don has worked throughout Silicon Valley at FeedBurner (acquired by Google), Yahoo, and iSyndicate. Don has a B.A. degree in Applied Economics from UC Berkeley. He also serves as Advisor at Emtrain.</t>
  </si>
  <si>
    <t>119720-08P</t>
  </si>
  <si>
    <t>Eamonn Carey</t>
  </si>
  <si>
    <t>Eamonn</t>
  </si>
  <si>
    <t>Mr. Eamonn Carey serves as General Partner at Tera Ventures. He served as Board Member at Gastrograph AI. He serves as a Board Member at Paranoid Fan. He serves as Board Member at Decorte Future Industries. He serves as General Partner at Everywhere Ventures. He serves as Mentor at Techstars. He serves as Board Member at Rentle. He serves as Board Member and Advisor at Lingvist. He also serves as Board Member at Banjo Robinson and Click and Grow. He serves as a Board Member at Paranoid Fan. He was previously the Managing Director at Techstars Connection in partnership with AB InBev in New York. He has been a long-term mentor on Techstars and other programs around Europe, the Middle East and Asia. He also serves as Board Member at Ohne. He holds a BA from Griffith College Dublin.</t>
  </si>
  <si>
    <t>+372 632 2177</t>
  </si>
  <si>
    <t>eamonn@tera.vc</t>
  </si>
  <si>
    <t>Tallinn</t>
  </si>
  <si>
    <t>Tallinn, Estonia</t>
  </si>
  <si>
    <t>Pikk Street 7</t>
  </si>
  <si>
    <t>10123</t>
  </si>
  <si>
    <t>Estonia</t>
  </si>
  <si>
    <t>Tera Ventures</t>
  </si>
  <si>
    <t>281517-67P</t>
  </si>
  <si>
    <t>Eduard Steimle</t>
  </si>
  <si>
    <t>Steimle</t>
  </si>
  <si>
    <t>Mr. Eduard Steimle is a Co-Founder of 6nine26. He serves as Director of Investments, Techstars Venture Fund at Techstars.</t>
  </si>
  <si>
    <t>eduard@6nine26.vc</t>
  </si>
  <si>
    <t>1-3 Pemberton Row</t>
  </si>
  <si>
    <t>EC4A 3BG</t>
  </si>
  <si>
    <t>6nine26</t>
  </si>
  <si>
    <t>180677-17P</t>
  </si>
  <si>
    <t>Emily Skinstad</t>
  </si>
  <si>
    <t>Skinstad</t>
  </si>
  <si>
    <t>Ms. Emily Skinstad serves as Senior Director, Ecosystem Operations at Techstars.</t>
  </si>
  <si>
    <t>emily.skinstad@techstars.com</t>
  </si>
  <si>
    <t>Cape Town</t>
  </si>
  <si>
    <t>Cape Town, South Africa</t>
  </si>
  <si>
    <t>66 Albert Road</t>
  </si>
  <si>
    <t>Woodstock Exchange</t>
  </si>
  <si>
    <t>Senior Director, Ecosystem Operations</t>
  </si>
  <si>
    <t>92230-57P</t>
  </si>
  <si>
    <t>Ethan Appleby</t>
  </si>
  <si>
    <t>Appleby</t>
  </si>
  <si>
    <t>Mr. Ethan Appleby serves as Mentor at Techstars. He Co-Founded &amp; served as Chief Executive Officer at VangoArt. He also serves as a Board Member of ArtSpan. He has a Bachelor's degree from the University of Virginia.</t>
  </si>
  <si>
    <t>ethan.appleby@techstars.com</t>
  </si>
  <si>
    <t>89028-37P</t>
  </si>
  <si>
    <t>Fynn Glover</t>
  </si>
  <si>
    <t>Fynn</t>
  </si>
  <si>
    <t>Glover</t>
  </si>
  <si>
    <t>Mr. Fynn Glover is a Co-Founder &amp; serves as Chief Executive Officer at Schematic (Business/Productivity Software). He serves as Mentor at Techstars. He Co-Founded and served as Chief Executive Officer, President, Sales Executive &amp; Board Member at Matcha.</t>
  </si>
  <si>
    <t>+1 (423) 316-1776</t>
  </si>
  <si>
    <t>1012 Hawthorn Avenue</t>
  </si>
  <si>
    <t>Schematic</t>
  </si>
  <si>
    <t>209315-44P</t>
  </si>
  <si>
    <t>Gabriel Schlumberger</t>
  </si>
  <si>
    <t>Schlumberger</t>
  </si>
  <si>
    <t>Mr. Gabriel Schlumberger serves as an Executive at Techstars. He served as Co-Chief Executive Officer at Fitz.</t>
  </si>
  <si>
    <t>+1 (415) 595-8356</t>
  </si>
  <si>
    <t>202166-74P</t>
  </si>
  <si>
    <t>Georgie Smithwick</t>
  </si>
  <si>
    <t>Smithwick</t>
  </si>
  <si>
    <t>Ms. Georgie Smithwick serves as Managing Director at Techstars. She served as Investment Manager at Target Global. She Co-Founded and served as Chief Commercial Officer at Hexr. Prior to joining Target, he worked at several venture-backed companies in deep tech and health tech across product, marketing, and sales. During COVID-19 she joined the Lazada co-founders to build a health and wellness marketplace, which was acquired by Holland &amp; Barrett in December 2021. He joined Holland &amp; Barrett as the Director of Partnerships during their digital turnaround focusing on NHS partnerships, insurance, tele-med, diagnostics, and women's health integrations. He has been featured on the Sunday Times Maserati Top 100 Innovators in Britain, Independent's Top 30 under 30.</t>
  </si>
  <si>
    <t>georgie.smithwick@techstars.com</t>
  </si>
  <si>
    <t>173838-97P</t>
  </si>
  <si>
    <t>Gianluca Carrera</t>
  </si>
  <si>
    <t>Mr. Gianluca Carrera serves as Chief Product Officer at Facile.it. He serves as a Mentor at Techstars. Previously, he served as Chief Operating Officer at Reward. Previously, he served as Chief Solutions Officer, Customer Data Solutions at Dunnhumby. He oversees all company operations at Reward. His chief responsibility is to scale the business in revenues, customers, capability, and partners, through different geographies.</t>
  </si>
  <si>
    <t>+39 02 5555 111</t>
  </si>
  <si>
    <t>Via Sannio number 3</t>
  </si>
  <si>
    <t>Lombardia</t>
  </si>
  <si>
    <t>20137</t>
  </si>
  <si>
    <t>Facile.it</t>
  </si>
  <si>
    <t>393576-49P</t>
  </si>
  <si>
    <t>Hugh McGirr</t>
  </si>
  <si>
    <t>McGirr</t>
  </si>
  <si>
    <t>Mr. Hugh McGirr serves as Investment Principal at Techstars.</t>
  </si>
  <si>
    <t>hugh.mcgirr@techstars.com</t>
  </si>
  <si>
    <t>42165-64P</t>
  </si>
  <si>
    <t>Jason Seats</t>
  </si>
  <si>
    <t>Seats</t>
  </si>
  <si>
    <t>Mr. Jason Seats serves as Senior Fund Advisor at Techstars. Mr. Seats is an Angel Investor. Mr. Jason served as Chief Investment Officer at Techstars. He served as Advisor at 3 Day Startup. He served as an Advisory at Inboundgeo. He served as Board Member at Findhelp. He serves as Board Member &amp; Advisor at Conductrics, Wunder, and DigitalOcean. He Co-Owned and served as Advisor at Distil Networks. He was most recently the Managing Director of the Techstars programs in Austin and Cloud in San Antonio. Prior to joining Techstars, he founded Slicehost, an early cloud computing hosting company. In 2008 Slicehost was acquired by Rackspace and became the core for the initial Cloud Servers product. He continued on at Rackspace until 2010 as VP of software development for Rackspace Cloud, managing the cloud engineering teams. He has a B.S. in Computer Science and a B.S. in Electrical Engineering from Parks College of Engineering, Aviation, and Technology at Saint Louis University. He also served as Board Member at Convey.</t>
  </si>
  <si>
    <t>jason@techstars.com</t>
  </si>
  <si>
    <t>Senior Fund Advisor</t>
  </si>
  <si>
    <t>145719-64P</t>
  </si>
  <si>
    <t>Jennifer Davis</t>
  </si>
  <si>
    <t>Ms. Jennifer Davis serves as Managing Director at Techstars. Ms. Davis served as Vice President and Head of Business Development at Paint Nite.</t>
  </si>
  <si>
    <t>jennifer.davis@techstars.com</t>
  </si>
  <si>
    <t>180678-07P</t>
  </si>
  <si>
    <t>Jessica Stalbaum</t>
  </si>
  <si>
    <t>Stalbaum</t>
  </si>
  <si>
    <t>Ms. Jessica Stalbaum serves as Director, Global Business Operations at Techstars.</t>
  </si>
  <si>
    <t>jess.stalbaum@techstars.com</t>
  </si>
  <si>
    <t>Director, Global Business Operations</t>
  </si>
  <si>
    <t>263478-88P</t>
  </si>
  <si>
    <t>Jonathan Fentzke Ph.D</t>
  </si>
  <si>
    <t>Fentzke</t>
  </si>
  <si>
    <t>Dr. Jonathan Fentzke is a Co-Founder and serves as a General Partner at Far Out Ventures. He serves as a Board Member at RMVCA and Copprium. He served as a Board Member at Orda Africa. He served as a Venture Advisor at The Flying Object. He co-founded and served as a Board Member at OmniEarth. Before Far Out Ventures, he served as Managing Director at Techstars, where he managed 2 funds and was a member of the capital team. He also served as a Board Member at Ellipsis Drive and InSpace. Before that, he served as an EIR at Shell TechWorks, as a Senior Space Scientist at Johns Hopkins University Applied Physics Laboratory, and co-founded InSpace Incorporated. He holds a Ph.D. (Doctor of Philosophy) in Aerospace Engineering Sciences, a Master's in Non-Linear Systems, and a Bachelor's in Mechanical Engineering.</t>
  </si>
  <si>
    <t>jonathan@farout.vc</t>
  </si>
  <si>
    <t>Far Out Ventures</t>
  </si>
  <si>
    <t>406289-53P</t>
  </si>
  <si>
    <t>Jonathan Geehan</t>
  </si>
  <si>
    <t>Geehan</t>
  </si>
  <si>
    <t>Mr. Jonathan Geehan serves as Chief Financial Officer at Techstars.</t>
  </si>
  <si>
    <t>jonathan.geehan@techstars.com</t>
  </si>
  <si>
    <t>386269-48P</t>
  </si>
  <si>
    <t>Katie Smith</t>
  </si>
  <si>
    <t>Mr. Katie Smith serves as Head of Startup Communities at Techstars.</t>
  </si>
  <si>
    <t>katie.smith@techstars.com</t>
  </si>
  <si>
    <t>Head of Startup Communities</t>
  </si>
  <si>
    <t>317823-67P</t>
  </si>
  <si>
    <t>Keith Camhi</t>
  </si>
  <si>
    <t>Camhi</t>
  </si>
  <si>
    <t>Mr. Keith Camhi serves as Managing Director at Techstars. He is the Managing Director of the Techstars Washington DC Accelerator Powered by J.P. Morgan. He is also the MD of the Techstars Future of Longevity Accelerator, run in partnership with Melinda French Gates' Pivotal Ventures. Previously, he led Techstars' global accelerator team as Senior Vice President of Accelerators. Prior to Techstars, he founded and led the rapid growth of FitLinxx and Great Play. He received a BS in Computer Science from Cornell and was an LGO Fellow at MIT, where he received an MBA and an MS in Electrical Engineering, Computer Science.</t>
  </si>
  <si>
    <t>keith.camhi@techstars.com</t>
  </si>
  <si>
    <t>226667-17P</t>
  </si>
  <si>
    <t>Kerty Levy</t>
  </si>
  <si>
    <t>Kerty</t>
  </si>
  <si>
    <t>Levy</t>
  </si>
  <si>
    <t>Ms. Kerty Levy serves as Managing Director at Techstars. She served as an Executive at Iowa AgriTech Accelerator.</t>
  </si>
  <si>
    <t>kerty.levy@techstars.com</t>
  </si>
  <si>
    <t>223810-39P</t>
  </si>
  <si>
    <t>Kevin Liu</t>
  </si>
  <si>
    <t>Mr. Kevin Liu is a Co-Founder and serves as Chief Executive Officer at Salmon Labs. Mr. Kevin Liu is the Founder &amp; serves as Investment Manager at Uncharted Ventures. He serves as Limited Partner at Techstars.</t>
  </si>
  <si>
    <t>888 O'Farrell Street</t>
  </si>
  <si>
    <t>East 1007</t>
  </si>
  <si>
    <t>Salmon Labs</t>
  </si>
  <si>
    <t>77596-03P</t>
  </si>
  <si>
    <t>Mark Hirschfield</t>
  </si>
  <si>
    <t>Hirschfield</t>
  </si>
  <si>
    <t>Mr. Mark Hirschfield is an Investor &amp; serves as Mentor at Techstars. Mr. Hirschfield is an Angel Investor. He serves as board member at Copypress. He also serves as Advisor at Orbital Witness. He is a qualified corporate lawyer with 6 years experience practicing law at leading law firms Berwin Leighton Paisner LLP and Mishcon de Reya. During his legal career, he developed a reputation for being an entrepreneurial internet lawyer advising many successful internet companies. In February 2008, he moved out of private practice to concentrate on growing his internet, property and retail interests. At the early age of 15, Mark founded his first business for which he was awarded a national award of Student Entrepreneur of the Year in 1999. He has since founded, managed, invested, advised and sold a variety of companies. In early 2012 he exited his investment in Zugo - which grew to become one of the largest distributors for Microsoft's search engine (Bing.com). H maintains several directorships (primarily in the internet and property sectors), makes investments in various projects at seed stage and sits on the board of several start-ups around the world. He holds a Bachelor's of Law in Intellectual Property Law &amp; Internet law from Birmingham University.</t>
  </si>
  <si>
    <t>41 Luke Street</t>
  </si>
  <si>
    <t>Shoreditch</t>
  </si>
  <si>
    <t>EC2A 4LB</t>
  </si>
  <si>
    <t>Investor &amp; Mentor</t>
  </si>
  <si>
    <t>37067-32P</t>
  </si>
  <si>
    <t>Mark Tortorella</t>
  </si>
  <si>
    <t>Tortorella</t>
  </si>
  <si>
    <t>Mr. Mark Tortorella serves as Advisor at Techstars. He also serves as Senior Associate at Sigma Prime Ventures. He joined Sigma as a Senior Associate in the fall of 2010. He brings a diverse set of experiences to the firm that highlight his approach of combining analytical rigor with creativity. He is passionate about helping great entrepreneurs to start and grow innovative companies. Mark recently earned an MBA from Harvard Business School, where he focused much of his academic and extracurricular attention on entrepreneurship. After business school, Mark became an in-house advisor at the Boston startup incubator, TechStars, where he helped founders sharpen business models, understand market segments, refine growth strategies, and plan fundraising efforts. He spent his MBA summer as an investment analyst at a hedge fund in New York City. Prior to business school, Mark was a strategy consultant at Alliance Consulting Group, a boutique management strategy firm in Boston.</t>
  </si>
  <si>
    <t>211918-15P</t>
  </si>
  <si>
    <t>Martin Olczyk</t>
  </si>
  <si>
    <t>Olczyk</t>
  </si>
  <si>
    <t>Mr. Martin Olczyk serves as Managing Director at Techstars. He serves as an Advisor at TrakBar, Sentiment Search, Automotus and Sheeva.AI. He previously served as an Advisor at Hotelhero. He serves as Board Member at Volteum.</t>
  </si>
  <si>
    <t>martin.olczyk@techstars.com</t>
  </si>
  <si>
    <t>76995-46P</t>
  </si>
  <si>
    <t>Matt Kozlov</t>
  </si>
  <si>
    <t>Kozlov</t>
  </si>
  <si>
    <t>Mr. Matt Kozlov is the Founder &amp; serves as a Board of Director at Multiball Capital. Mr. Kozlov serves as Managing Director at Techstars. He serves as an Advisor at Vyng. Previously, he was Head of Corporate Development at Telesign, a leading anti-fraud firm and one of LA's fastest-growing technology companies. Before TeleSign, he was CEO of Moonshark, a venture backed by Creative Artists Agency (CAA) and Qualcomm bringing to market original mobile entertainment. He has also worked at Sony Music Entertainment (VP, Web &amp; Mobile Products), Yahoo! (corporate strategy, product development) and Bain and Company (management consulting). He is an advisor to several LA-based companies, including Chromatik, Vyng, Rattleback Rye, and Alpha Edison. He graduated from Harvard, where he studied economics.</t>
  </si>
  <si>
    <t>+1 (310) 919-5004</t>
  </si>
  <si>
    <t>3650 South Barrington Avenue</t>
  </si>
  <si>
    <t>90066</t>
  </si>
  <si>
    <t>Founder &amp; Board of Director</t>
  </si>
  <si>
    <t>Multiball Capital</t>
  </si>
  <si>
    <t>159254-83P</t>
  </si>
  <si>
    <t>Michael Rizzuto</t>
  </si>
  <si>
    <t>Rizzuto</t>
  </si>
  <si>
    <t>Mr. Michael Rizzuto serves as Head of Data and Valuations at Techstars.</t>
  </si>
  <si>
    <t>mike.rizzuto@techstars.com</t>
  </si>
  <si>
    <t>Head of Data and Valuations</t>
  </si>
  <si>
    <t>140801-14P</t>
  </si>
  <si>
    <t>Morgan Berman</t>
  </si>
  <si>
    <t>Mr. Morgan Berman serves as Mentor at Techstars. He serves as Senior Director of Growth, Americas at Techstars.</t>
  </si>
  <si>
    <t>8601 Beverly Boulevard</t>
  </si>
  <si>
    <t>90048</t>
  </si>
  <si>
    <t>221433-76P</t>
  </si>
  <si>
    <t>Neal Sáles-Griffin</t>
  </si>
  <si>
    <t>Sáles-Griffin</t>
  </si>
  <si>
    <t>Mr. Neal Sáles-Griffin serves as an Investment Committee Member at N.XT. He founded and served as Chief Executive Officer at The Starter League. He serves as Managing Director at Techstars. He also served as Venture Partner at MATH Venture Partners. He served as Managing Director at Excelerate Labs. He previously served as Chief Executive Officer at CodeNow. He serves as Venture Partner at Town Hall Ventures. He has worked and consulted with numerous startups and not-for-profits across multiple sectors. He has had the privilege of working with OCA Ventures and Sandbox Industries, two prominent venture firms in Chicago. He also serves as a board member of the Chicago chapter of the International Game Developers Association.</t>
  </si>
  <si>
    <t>+1 (773) 272-5734</t>
  </si>
  <si>
    <t>neal.griffin@northwestern.edu</t>
  </si>
  <si>
    <t>78111-37P</t>
  </si>
  <si>
    <t>Nicholas Culbertson MD</t>
  </si>
  <si>
    <t>Culbertson</t>
  </si>
  <si>
    <t>Dr. Nicholas Culbertson is a Co-Founder and serves as Chief Executive Officer at Protenus. He serves as Managing Director at Techstars. Previously, he served as Board Member at the company. He served eight years in the US Army and completed his service as a highly decorated Special Forces operator (Green Beret). He was awarded two bronze stars during his service, one for extraordinary valor. He attended the Johns Hopkins University School of Medicine where he and co-founder Robert Lord saw firsthand how electronic medical records are used to improve patient care and share data more efficiently. They also observed that the electronic medical record created a whole new slate of serious security and privacy concerns. In 2014, he and Robert developed the initial prototype and algorithms that launched Protenus, fulfilling a critical need to better protect patient data in electronic health records. Before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</si>
  <si>
    <t>nick@protenus.com</t>
  </si>
  <si>
    <t>339741-55P</t>
  </si>
  <si>
    <t>Noya Kremer</t>
  </si>
  <si>
    <t>Noya</t>
  </si>
  <si>
    <t>Kremer</t>
  </si>
  <si>
    <t>Investment Analyst &amp; Manager</t>
  </si>
  <si>
    <t>Mr. Noya Kremer serves as Investment Analyst &amp; Program manager at Techstars.</t>
  </si>
  <si>
    <t>noya.kremer@techstars.com</t>
  </si>
  <si>
    <t>54 Ahad Ha'am Street</t>
  </si>
  <si>
    <t>Floors 4 &amp; 5</t>
  </si>
  <si>
    <t>Investment Analyst &amp; Program manager</t>
  </si>
  <si>
    <t>196726-78P</t>
  </si>
  <si>
    <t>Pete Townsend</t>
  </si>
  <si>
    <t>Mr. Pete Townsend is a Founding Partner and serves as a Board Member of Norio Ventures. He is an early-stage startup investor, non-executive director, startup mentor, and podcaster and leads the Techstars Web3 accelerator. He served as Advisor at ThirdFi. He has 30 years of global experience in financial services at the startup and enterprise level with companies such as BNP Paribas, Fidelity Investments, Coinbase, and 30+ startups worldwide. He is based in Dublin, Ireland, and helps early-stage ventures in fintech and digital assets reach escape velocity and later-stage firms with board governance and leadership.</t>
  </si>
  <si>
    <t>pete@norioventures.com</t>
  </si>
  <si>
    <t>38/39 Fitwilliam Square</t>
  </si>
  <si>
    <t>2</t>
  </si>
  <si>
    <t>Norio Ventures</t>
  </si>
  <si>
    <t>333791-38P</t>
  </si>
  <si>
    <t>Ryan Spillane</t>
  </si>
  <si>
    <t>Spillane</t>
  </si>
  <si>
    <t>Mr. Ryan Spillane serves as Chief Commercial Officer at Techstars.</t>
  </si>
  <si>
    <t>ryan.spillane@techstars.com</t>
  </si>
  <si>
    <t>127047-88P</t>
  </si>
  <si>
    <t>Sabrina Kelly</t>
  </si>
  <si>
    <t>Ms. Sabrina Kelly serves as Chief People Officer at Techstars. Ms. Kelly served as Chief People Officer at WhoCo.</t>
  </si>
  <si>
    <t>sabrina.kelly@techstars.com</t>
  </si>
  <si>
    <t>176513-59P</t>
  </si>
  <si>
    <t>Sarah Bain</t>
  </si>
  <si>
    <t>Bain</t>
  </si>
  <si>
    <t>Ms. Sarah Bain serves as Managing Director at Techstars.</t>
  </si>
  <si>
    <t>sarah.bain@techstars.com</t>
  </si>
  <si>
    <t>143867-08P</t>
  </si>
  <si>
    <t>Shannon Liston</t>
  </si>
  <si>
    <t>Liston</t>
  </si>
  <si>
    <t>Ms. Shannon Liston serves as Associate General Counsel at Techstars.</t>
  </si>
  <si>
    <t>shannon.liston@techstars.com</t>
  </si>
  <si>
    <t>217388-35P</t>
  </si>
  <si>
    <t>Shirley Romig</t>
  </si>
  <si>
    <t>Shirley</t>
  </si>
  <si>
    <t>Romig</t>
  </si>
  <si>
    <t>Ms. Shirley Romig serves as Chief Operating Officer at Techstars. Effective March 9, 2023, the Board of Directors of the Company has appointed her to the Company's Board of Directors. She has two decades of experience in operationalizing growth strategies and leading transformational initiatives in complex consumer and technology organizations. Ms. Romig co-founded and served as Chief Executive Officer at Mixo, a digital creator platform for the $1.7T food market. Previously, she was Vice President with Lyft, leading Global Operations, in East and Canada from 2019 to 2022. From 2017-2019, Ms. Romig led six lines of businesses at Equinox Fitness Clubs as Group Vice President. From 2016-2017, Ms. Romig was the Head of Retail Strategy for SapientRazorfish, a global digital agency. From 2013 to 2015, Ms. Romig was the Senior Vice President of Corporate Strategy with HBC responsible for the implementation of growth initiatives across Saks Fifth Avenue, Saks OFF 5th, Lord &amp; Taylor, and Hudson's Bay in Canada. Ms. Romig also served as a Vice President for Saks Incorporated where she led the company's omnichannel transformation work and launched Saksoff5th.com as well as numerous growth initiatives for Saks.com. Earlier in her career, Ms. Romig worked in equity research and digital and strategy consulting. Ms. Romig also serves on the Board of Directors for Lovesac, a publicly traded home furnishings company as the Chair of the Nominating and Governance Committee. Ms. Romig holds an M.B.A. from the Darden School of Business and a Bachelor of Science from the McIntire School of Commerce, both at the University of Virginia.</t>
  </si>
  <si>
    <t>+1 (201) 531-1212</t>
  </si>
  <si>
    <t>shirley.romig@techstars.com</t>
  </si>
  <si>
    <t>East Rutherford</t>
  </si>
  <si>
    <t>East Rutherford, NJ</t>
  </si>
  <si>
    <t>355 Murray Hill Parkway</t>
  </si>
  <si>
    <t>07073</t>
  </si>
  <si>
    <t>Mama's Creations</t>
  </si>
  <si>
    <t>368547-58P</t>
  </si>
  <si>
    <t>Sierra Moller</t>
  </si>
  <si>
    <t>Moller</t>
  </si>
  <si>
    <t>Ms. Sierra Moller serves as Senior Corporate Counsel at Techstars.</t>
  </si>
  <si>
    <t>sierra.moller@techstars.com</t>
  </si>
  <si>
    <t>Senior Corporate Counsel</t>
  </si>
  <si>
    <t>75607-57P</t>
  </si>
  <si>
    <t>Sunil Sharma</t>
  </si>
  <si>
    <t>Mr. Sunil Sharma serves as Managing Director, Toronto &amp; Waterloo at Founder Institute. He served as Managing Director at Techstars. He serves as Advisor at Simpu. He served as Managing Director at Techstars. He serves as Board Member at Treepz. Prior to Techstars. He was a Managing Partner with Extreme Venture Partners (EVP) and co-founder and Managing Director of Extreme Startups. While at Extreme, he sourced and lead more than 40 investments across two funds and two accelerator programs. He is the Chair of the Board of Canada's Accelerator and Business Incubator Association (CABI) which has had responsibility for administering the Startup Visa immigration program to fast-track the immigration of founders to Canada. He spends a lot of time in Waterloo where he has served as Entrepreneur-in-Residence at Communitech, one of Canada's largest technology hubs. He is passionate about helping entrepreneurs become great. He spends some of his free time running the Founder Institute pre-accelerator program in Toronto and Waterloo. Through Founder Institute he has helped first-time founders create more than 100 brand-new startups with the support of more than 80 mentors. He has been very active in the startup community from his time co-launching Startup Weekend Toronto (now part of Techstars) as well as organizing many of Canada's leading innovation and technology conferences and events. Prior to his career helping startups he was a career diplomat in the Canadian Foreign Service. He served as the Head of the Canadian Consulate in San Diego, California where he launched one of Canada's newest diplomatic missions. He has also worked at the Canadian Space Agency and represented Canada at the United Nations in Geneva. He has an undergraduate degree from the University of Victoria and a graduate degree from the University of Toronto. He served as Advisor at Webware.ai. Mr. Sharma co-founded &amp; served as Managing Partner at Extreme Venture Partners. He serves as Board Member at Beam Propulsion Lab. Backed by 5 of Canada's best venture capital funds, he has co-lead investments into more than 18 companies. He is very active in the technology ecosystem across Canada and particularly in the Toronto-Waterloo corridor, where he serves as EIR at Communitech. Prior to that, he was the Global Practice Lead, Venture Capital and Private Equity in the Department of Foreign Affairs and International Trade of the Government of Canada. He served as a Board Member at Groupie.</t>
  </si>
  <si>
    <t>+1 (604) 585-1173</t>
  </si>
  <si>
    <t>sunil.sharma@techstars.com</t>
  </si>
  <si>
    <t>208152-37P</t>
  </si>
  <si>
    <t>Tim Grace</t>
  </si>
  <si>
    <t>Mr. Tim Grace serves as Managing Director &amp; All Star Mentor at Techstars. He is the Founder and serves as General Partner at LongJump. He co-founded and served as Chief Operating Officer at Draftbit. He serves as Managing Director at Techstars Columbus powered by The Ohio State University.</t>
  </si>
  <si>
    <t>tim.grace@techstars.com</t>
  </si>
  <si>
    <t>Managing Director &amp; All Star Mentor</t>
  </si>
  <si>
    <t>211425-67P</t>
  </si>
  <si>
    <t>Yuki Shirato</t>
  </si>
  <si>
    <t>Shirato</t>
  </si>
  <si>
    <t>Mr. Yuki Shirato is also a Co-Founder and serves as an External Director at Braid Technologies (Multimedia and Design Software). Previously, he served as Chief Operating Officer at Braid Technologies. He serves as Managing Director at Techstars. He serves as an Advisor at Tupac Bio. He also serves as an Advisor at attention labs. He has a long-term fascination with the startup world; he has advised more than 30 startups and venture capital funds and invested in more than 50 startups, including some unicorns. Currently, he is the Managing Director of the Techstars Japan Accelerator. He was involved in more than 50 billion USD worth of corporate transactions and represented more than 100 clients around the world, from Fortune Global 500 companies to global private equity firms, from venture capital to startups. He is a NY state attorney and a foreign registered lawyer (gaiben) in Japan.</t>
  </si>
  <si>
    <t>Clover Shibuya 6th Floor</t>
  </si>
  <si>
    <t>Shibuya 1-3-7</t>
  </si>
  <si>
    <t>150-0002</t>
  </si>
  <si>
    <t>Co-Founder &amp; External Director</t>
  </si>
  <si>
    <t>Braid Technologies (Multimedia and Design Software)</t>
  </si>
  <si>
    <t>146710-45P</t>
  </si>
  <si>
    <t>Nils Petersen Ph.D</t>
  </si>
  <si>
    <t>TECTERRA</t>
  </si>
  <si>
    <t>Dr. Nils Petersen serves as Director at TECTERRA.</t>
  </si>
  <si>
    <t>+1 (403) 532-4275</t>
  </si>
  <si>
    <t>330, 205 Quarry Park Boulevard South East</t>
  </si>
  <si>
    <t>T2L 2A6</t>
  </si>
  <si>
    <t>+1 (403) 532-4284</t>
  </si>
  <si>
    <t>239793-04P</t>
  </si>
  <si>
    <t>Sarah Campbell</t>
  </si>
  <si>
    <t>Ms. Sarah Campbell serves as Marketing Communications Manager at TECTERRA.</t>
  </si>
  <si>
    <t>scampbell@tecterra.com</t>
  </si>
  <si>
    <t>Marketing Communications Manager</t>
  </si>
  <si>
    <t>397436-32P</t>
  </si>
  <si>
    <t>Aleem Kheraj</t>
  </si>
  <si>
    <t>Aleem</t>
  </si>
  <si>
    <t>Kheraj</t>
  </si>
  <si>
    <t>Telus</t>
  </si>
  <si>
    <t>Mr. Aleem Kheraj serves as Director of Corporate Strategy &amp; Planning at Telus.</t>
  </si>
  <si>
    <t>+1 (604) 697-8044</t>
  </si>
  <si>
    <t>aleem.kheraj@telus.com</t>
  </si>
  <si>
    <t>510 West Georgia Street</t>
  </si>
  <si>
    <t>V6B 0M3</t>
  </si>
  <si>
    <t>Director of Corporate Strategy &amp; Planning</t>
  </si>
  <si>
    <t>397438-21P</t>
  </si>
  <si>
    <t>Allyson McElwain</t>
  </si>
  <si>
    <t>Ms. Allyson McElwain serves as Chief Diversity &amp; Inclusion Officer at Telus.</t>
  </si>
  <si>
    <t>allyson.mcelwain@telus.com</t>
  </si>
  <si>
    <t>Chief Diversity &amp; Inclusion Officer</t>
  </si>
  <si>
    <t>265902-67P</t>
  </si>
  <si>
    <t>Andrea Wood</t>
  </si>
  <si>
    <t>Ms. Andrea Wood serves as Corporate Secretary of Board ,Chief Legal &amp; Governance Officer at Telus.Andrea She has over 25 years of experience in the technology, media and entertainment industries. After starting her career as an associate in Dentons' financial services group, she joined Alliance Atlantis Communications (a publicly listed television and film production and distribution company and broadcaster) where she held a variety of positions over 16 years, ultimately serving as Executive Vice-President and General Counsel. After leaving Alliance Atlantis, Andrea joined WIND Mobile (now Freedom Mobile) as Chief Legal Officer.Outside of TELUS, Andrea is an enthusiastic volunteer and a director of the Vancouver Opera. She is also a Past President of the Empire Club of Canada and served on its board for six years.</t>
  </si>
  <si>
    <t>andrea.wood@telus.com</t>
  </si>
  <si>
    <t>Corporate Secretary of Board ,Chief Legal &amp; Governance Officer</t>
  </si>
  <si>
    <t>89402-23P</t>
  </si>
  <si>
    <t>Andrew Davenport</t>
  </si>
  <si>
    <t>Davenport</t>
  </si>
  <si>
    <t>Mr. Andrew Davenport serves as Director, Corporate Development at Telus. Previously, he served as a Principal / Senior Consultant at IBM.</t>
  </si>
  <si>
    <t>andrew.davenport@telus.com</t>
  </si>
  <si>
    <t>273477-43P</t>
  </si>
  <si>
    <t>Blair Miller</t>
  </si>
  <si>
    <t>Mr. Blair Miller served as Managing Partner (Pollinator Fund) at TELUS Global Ventures. He has made it his mission to leverage TELUS' resources to fund and empower the next generation of startups focused on doing good and driving social impact in communities across Canada. From transforming healthcare to supporting sustainable agriculture and reducing environmental footprints, he is passionate about technology that will better Canadians' health and wellness and create space for underrepresented entrepreneurs. He has more than 20 years of experience innovating and scaling mass-market products, including Optik TV and TELUS' suite of home security products. Through his leadership, TELUS secured industry-first partnerships with Netflix and Amazon, enabling customers to experience new and emerging digital technology platforms. As the leader of TELUS' content team, he gained an appreciation for the role a corporation can play in fostering the next generation of talent through the launch of STORYHIVE, a funding and career acceleration platform designed to support and mentor local and emerging creators.</t>
  </si>
  <si>
    <t>Managing Partner, Pollinator Fund for Good</t>
  </si>
  <si>
    <t>322523-11P</t>
  </si>
  <si>
    <t>Christopher Terris</t>
  </si>
  <si>
    <t>Terris</t>
  </si>
  <si>
    <t>Mr. Christopher Terris serves as Interim SVP &amp; President TELUS Agriculture &amp; Consumer Goods at Telus. He also serves as a Board Member at AgriWebb.</t>
  </si>
  <si>
    <t>christopher.terris@telus.com</t>
  </si>
  <si>
    <t>Interim SVP &amp; President TELUS Agriculture &amp; Consumer Goods</t>
  </si>
  <si>
    <t>58118-77P</t>
  </si>
  <si>
    <t>Darren Entwistle</t>
  </si>
  <si>
    <t>Entwistle</t>
  </si>
  <si>
    <t>Mr. Darren Entwistle serves as Chief Executive Officer and President at Telus. Mr. Entwistle From 2000 through December 2021, TELUS generated a total shareholder return of 700%, 357 points higher than the return for the S&amp;P/ TSX Composite Index of 343%. Moreover, over the past five, 10 and 15 years, TELUS has surpassed the TSX return by an average of 87%. Over the course of the past 21 years, the TELUS brand has increased in value from a few hundred million dollars to $9 billion today. In addition, at the start of 2022, TELUS had an enterprise value of $57 billion - a five-fold increase since 2000 - as well as nearly 17 million customer connections across its diverse service offerings, representing growth of 286% over the past two-plus decades. Notably, the TELUS team has entrenched a customer-first culture across the organization, which has contributed to consistently leading customer loyalty rates across its peer group on a worldwide basis. The same focus has led to TELUS repeatedly earning global recognition in respect of speed, coverage and reliability for its world-leading networks. The team's commitment to championing TELUS' social purpose has driven globally leading engagement levels, including inspiring the TELUS family to gift $900 million in cash, in-kind contributions, time and programs and 1.8 million days of volunteerism since 2000 to create stronger communities. As a result, TELUS has been recognized as the most philanthropic company in the world, as well as the global leader in social capitalism. Darren holds a Bachelor of Economics (Honours) from Concordia University in Montreal, an MBA (Finance) from McGill University, and a Diploma in Network Engineering from the University of Toronto. He has also received Honorary Doctorates of Law from McGill University, Concordia University, the University of Alberta, and the University of Victoria, and has an Honorary Degree in Business Administration from the Northern Alberta Institute of Technology. Darren sits on the Principal's International Advisory Board at McGill, is an Honorary Fellow of the Royal Conservatory, and is a Member of the Order of Canada. He holds MBA &amp; two Bachelor's &amp; one Doctorate Degree.</t>
  </si>
  <si>
    <t>darren.entwistle@telus.com</t>
  </si>
  <si>
    <t>Chief Executive Officer and President</t>
  </si>
  <si>
    <t>89395-30P</t>
  </si>
  <si>
    <t>Darren Goldstein</t>
  </si>
  <si>
    <t>Mr. Darren Goldstein serves as Vice President, Corporate Development at Telus. Previously, he served as a Vice President at PricewaterhouseCoopers.</t>
  </si>
  <si>
    <t>darren.goldstein@telus.com</t>
  </si>
  <si>
    <t>169575-04P</t>
  </si>
  <si>
    <t>Doug French</t>
  </si>
  <si>
    <t>Mr. Doug French serves as Chief Financial Officer &amp; Executive Vice President at Telus. He has 30 years of financial management experience and is a highly skilled and trusted advisor to the TELUS leadership team. With 20 years in the industry, he has the most national carrier experience of all Canadian telecommunications CFOs. Since joining TELUS in 1996, he has held progressively senior roles, including Controller for our largest business divisions, Consumer Solutions, Business Solutions, and Technology Strategy, as well as leading Corporate Accounting, Financial Reporting, and Bid Governance. Prior to becoming CFO, he served as TELUS' Senior Vice-president and Corporate Controller. He has held numerous key financial management and governance roles associated with the transformational events that have shaped TELUS. These include the company's expansion from a regional to a national telecommunications carrier; capital market activities, including the issuance of billions of dollars in debt and equity; spectrum purchases; merger and acquisition activities; successful cost-efficiency initiatives; deployment of the company's advanced wireless networks, including 4G LTE and HSPA, and the company's ongoing generational investments in fiber. He is renowned as an expert in Canadian, US, and IFRS disclosure requirements and often represents the Canadian industry in international discussions on accounting standards. He was appointed Fellow of the Chartered Professional Accountants of Ontario in 2017 and is a member of the International Accounting Standards Global Preparers Advisory Committee and the Prince's Accounting for Sustainability Project. Under his leadership, TELUS has garnered multiple awards and external recognition for the quality of our external reporting from the Chartered Professional Accountants of Canada (for the past 20 years) as well as Investor Relations Magazine. He has consistently demonstrated an unwavering commitment to helping the TELUS team pursue our multiple growth tenets while continuously realizing enhanced operational effectiveness and efficiencies. He leads a dynamic team of more than 700 professionals responsible for financial operations, reporting and analysis, treasury, investor relations, risk management, revenue assurance, taxation, pension investment management, corporate development, corporate governance and law, real estate, and sustainability. Mr. French is also a proud member and the Global Executive Sponsor of Spectrum - TELUS' resource group for LGBTQ+ team members. Prior to joining TELUS, he began his career at Ernst and Young where he worked for eight years including as a senior manager in their auditing and accounting practice. There he supported numerous clients' IPO efforts including Clearnet. He holds a Bachelor of Arts (Honours), in Commerce and Economics from the University of Toronto.</t>
  </si>
  <si>
    <t>doug.french@telus.com</t>
  </si>
  <si>
    <t>270959-59P</t>
  </si>
  <si>
    <t>Fawad Shaikh</t>
  </si>
  <si>
    <t>Fawad</t>
  </si>
  <si>
    <t>Mr. Fawad Shaikh serves as Vice President of Business Development at Telus. He served as Director of Global Business Development at Telus. He joined the TELUS Partner Solutions team in July 2016 and is instrumental to identifying and developing emerging opportunities and sectors. Fawad and the Global Innovation team are dedicated to delivering breakthrough growth and facilitating innovation exchange for TELUS and its partners. A recognized innovator, Fawad has a distinguished record of several, successful Canadian telecom firsts in diverse areas such as FTTN, VoIP, Mobile and Digital Health. Since joining TELUS in 2006, He has held progressive roles including leadership of a Technology Strategy group supporting TELUS-wide transformation initiatives and portfolio management teams within Business Solutions. He holds a Bachelor's degree in electrical engineering from Concordia University, an MBA from the University of Western Ontario, as well as numerous technical and business certifications. He is based out of TELUS' Toronto office.</t>
  </si>
  <si>
    <t>fawad.shaikh@telus.com</t>
  </si>
  <si>
    <t>89402-32P</t>
  </si>
  <si>
    <t>Geoff Catliff</t>
  </si>
  <si>
    <t>Catliff</t>
  </si>
  <si>
    <t>Mr. Geoff Catliff serves as Director, Spectrum Policy &amp; Acquisition at Telus.</t>
  </si>
  <si>
    <t>geoff.catliff@telus.com</t>
  </si>
  <si>
    <t>Director, Spectrum Policy &amp; Acquisition</t>
  </si>
  <si>
    <t>422560-09P</t>
  </si>
  <si>
    <t>Hesham Fahmy</t>
  </si>
  <si>
    <t>Hesham</t>
  </si>
  <si>
    <t>Fahmy</t>
  </si>
  <si>
    <t>Mr. Hesham Fahmy serves as Chief Information Officer at Telus. He leads the team responsible for spearheading TELUS' transformation to an AI-powered, fully-digital and software-driven technology leader. The CIO team manages all of TELUS' corporate systems and technology tools across our global lines of business, leading technology innovation and delivering faster, personalized and secure technology solutions to deliver world-leading customer experience across all current and future lines of business. An agent of transformation and an innovator with seven granted patents, He has extensive consumer, digital and cloud technology development skills and operational leadership. He approaches his product and service development strategies with an entrepreneurial spirit building high-availability cloud and enterprise systems factoring security, privacy, scalability, data warehousing and analytics, all of which centers around constantly improving the customer experience. In 2023, He was recognized as CIO of the Year by IT World Canada. With a Bachelor of Computer Engineering from McMaster University and a Master of Software Engineering from the University of Toronto, he has innovated software products and solutions for 26 years, including 20 years of senior leadership roles, with a track record of launching disruptive products and platforms. He is a motivational leader with a passion for building highly productive teams and growing professional careers. He has a track record of delivering on forward-thinking ideas that make a real difference and a personal passion for using technology to improve lives, aligned with TELUS' world leadership in social capitalism. He serves on the St. Joseph's Health Centre Foundation board, the TELUS Greater Toronto and Hamilton Area Community Board, and as an avid champion of diversity, a member of the TELUS Diversity, Equity, and Inclusion (DEI) Advisory Board. Prior to joining TELUS, he was the Vice-president of Technology and General Manager, Marketplace at Loblaw Digital, where he led the technical delivery and operations of Loblaw's omni-channel digital experiences and the transition of all of Loblaws' digital platforms to Google Cloud. He also led entrepreneurship and consumer product development at ecobee and one of the masterminds behind ecobee's thermostat line, one of the best-selling smart thermostats in North America.</t>
  </si>
  <si>
    <t>hesham.fahmy@telus.com</t>
  </si>
  <si>
    <t>270961-03P</t>
  </si>
  <si>
    <t>Ian McMillan</t>
  </si>
  <si>
    <t>McMillan</t>
  </si>
  <si>
    <t>Mr. Ian McMillan serves as Director, Investor Relations at Telus.</t>
  </si>
  <si>
    <t>+1 (604) 695-4539</t>
  </si>
  <si>
    <t>ian.mcmillan@telus.com</t>
  </si>
  <si>
    <t>113382-55P</t>
  </si>
  <si>
    <t>Ibrahim Gedeon</t>
  </si>
  <si>
    <t>Gedeon</t>
  </si>
  <si>
    <t>Mr. Ibrahim Gedeon serves as Chief Technology Officer at Telus. He earned a MS (Master of Science) inElectronics Engineering from Carleton University. He earned a BE (Bachelor of Engineering) in Electrical Engineering from American University of Beirut.</t>
  </si>
  <si>
    <t>ibrahim.gedeon@telus.com</t>
  </si>
  <si>
    <t>Chief Technology Officer, Emeritus</t>
  </si>
  <si>
    <t>420592-06P</t>
  </si>
  <si>
    <t>Jayne Landry</t>
  </si>
  <si>
    <t>Jayne</t>
  </si>
  <si>
    <t>Landry</t>
  </si>
  <si>
    <t>Ms. Jayne Landry serves as Senior Vice President of Industry Products &amp; Engineering at Telus.</t>
  </si>
  <si>
    <t>jayne.landry@telus.com</t>
  </si>
  <si>
    <t>Senior Vice President of Industry Products &amp; Engineering</t>
  </si>
  <si>
    <t>312792-58P</t>
  </si>
  <si>
    <t>Jill Schnarr</t>
  </si>
  <si>
    <t>Schnarr</t>
  </si>
  <si>
    <t>Ms. Jill Schnarr serves as Chief Communications, Social Innovation and Brand Officer at Telus. With more than 30 years of telecommunications experience and communications expertise, she leads the corporate citizenship and communications team. He brings our social purpose to life to drive social change, leveraging our world-leading technology and compassion to enable remarkable human outcomes, while amplifying internal and external campaigns, bolstering TELUS' storytelling impact, and fostering strong, positive relationships with customers and all Canadians. She is a dynamic, engaging and authentic leader with a natural ability to build integrated, multi-platform strategies that pair bold marketing with creative storytelling to convey our narratives to varying audiences in unique and memorable ways. At the helm of corporate communications, media relations, government advocacy, social media, community investment, cause marketing, team member giving, volunteerism, humanitarian relief, sponsorships, brand office, brand marketing, TELUS Studios, and corporate events, she has significantly influenced, built upon and safeguarded TELUS' reputation as a global leader, enabling TELUS to be the most trusted telco brand in Canada. Enabling the hearts, hands and voices of TELUS to strengthen the communities where we live, work and serve, she leads our annual TELUS Days of Giving, facilitating over 40,000 volunteers globally in 2019 alone, and our Team TELUS Cares programs, enabling over $736 million in giving and 10 million volunteer hours from TELUS since 2000. She oversaw and continues to evolve and expand our innovative Connecting for Good programs including Health for Good, Internet for Good and Mobility for Good, as well as TELUS Wise, building Canada's digital economy and connecting Canadians despite social, or geographical divides while promoting safe and responsible use of technology. She has also led award-winning marketing campaigns including We Give Where We Live, Go Pink, Rise Above, Share Love, All Connected, Million Hours, Most Giving Company in the World, as well as the launch of the $120 million TELUS Friendly Future Foundation through a forward-thinking creative campaign that set a new standard of corporate giving marketing. She is recognized as one of Canada's Distinctive Women, as one of the Most Influential Women in Vancouver, and as the Most Innovative Leader by the Canadian Women in Communications. Under her leadership, TELUS was acknowledged as the Most Philanthropic Corporation in the World by the Association of Fundraising Professionals and #ShareLove, TELUS' 2017 pride platform won an Experience Design &amp; Technology Award, the world's largest recognition program celebrating the best live experiences around the globe, for the best integrated digital &amp; live campaign. Furthering her dedication to giving where she lives, she serves on several boards and associations including a founding board member of the TELUS Friendly Future Foundation, and previously served as a director on the B.C. Women's Hospital Foundation for seven years, and as a TELUS Vancouver Community Board member for six years. She was also a Board Director and Chair of the Women's Leadership Circle on the Vancouver Board of Trade and served on the fundraising cabinet for B.C. Women's Health Foundation (formerly B.C. Women's Hospital Foundation) Neonatal Intensive Care Unit, and was Co-Chair of Glow, the inaugural B.C. Women's Hospital Gala.</t>
  </si>
  <si>
    <t>jill.schnarr@telus.com</t>
  </si>
  <si>
    <t>Chief Communications, Social Innovation and Brand Officer</t>
  </si>
  <si>
    <t>270960-04P</t>
  </si>
  <si>
    <t>Kasey Cummings</t>
  </si>
  <si>
    <t>Kasey</t>
  </si>
  <si>
    <t>Ms. Kasey Cummings serves as Senior Advisor, Diversity &amp; Inclusiveness (D&amp;I) Office, People &amp; Culture at Telus.</t>
  </si>
  <si>
    <t>kasey.cummings@telus.com</t>
  </si>
  <si>
    <t>Senior Advisor, Diversity &amp; Inclusiveness (D&amp;I) Office, People &amp; Culture</t>
  </si>
  <si>
    <t>366986-44P</t>
  </si>
  <si>
    <t>Kaylyn Howley</t>
  </si>
  <si>
    <t>Kaylyn</t>
  </si>
  <si>
    <t>Howley</t>
  </si>
  <si>
    <t>Ms. Kaylyn Howley serves as Senior Customer Success Manager at Telus.</t>
  </si>
  <si>
    <t>kaylyn.howley@telus.com</t>
  </si>
  <si>
    <t>Senior Customer Success Manager</t>
  </si>
  <si>
    <t>450275-59P</t>
  </si>
  <si>
    <t>Leandro Lellis</t>
  </si>
  <si>
    <t>Leandro</t>
  </si>
  <si>
    <t>Lellis</t>
  </si>
  <si>
    <t>Mr. Leandro Lellis serves as Director of Corporate Development, Mergers &amp; Acquisitions Post Merger Integration at Telus.</t>
  </si>
  <si>
    <t>leandro.lellis@telus.com</t>
  </si>
  <si>
    <t>Director of Corporate Development, Mergers &amp; Acquisitions Post Merger Integration</t>
  </si>
  <si>
    <t>270960-49P</t>
  </si>
  <si>
    <t>Liz Reynolds</t>
  </si>
  <si>
    <t>Ms. Liz Reynolds serves as Senior Advisor People and Culture, Diversity and Inclusion at Telus.</t>
  </si>
  <si>
    <t>liz.reynolds@telus.com</t>
  </si>
  <si>
    <t>Senior Advisor People and Culture, Diversity and Inclusion</t>
  </si>
  <si>
    <t>239311-00P</t>
  </si>
  <si>
    <t>Liz Sauve</t>
  </si>
  <si>
    <t>Sauve</t>
  </si>
  <si>
    <t>Ms. Liz Sauve serves as Director of Communications And Media Relations at Telus. She served as Senior Communications Manager at Telus.</t>
  </si>
  <si>
    <t>liz.sauve@telus.com</t>
  </si>
  <si>
    <t>Director of Communications And Media Relations</t>
  </si>
  <si>
    <t>250310-62P</t>
  </si>
  <si>
    <t>Madhukar Muralimohan</t>
  </si>
  <si>
    <t>Madhukar</t>
  </si>
  <si>
    <t>Muralimohan</t>
  </si>
  <si>
    <t>Mr. Madhukar Muralimohan serves as Business Strategy and Insights at Telus.</t>
  </si>
  <si>
    <t>madhukar.muralimohan@telus.com</t>
  </si>
  <si>
    <t>Business Strategy and Insights</t>
  </si>
  <si>
    <t>103299-40P</t>
  </si>
  <si>
    <t>Michel Belec</t>
  </si>
  <si>
    <t>Belec</t>
  </si>
  <si>
    <t>Secretary &amp; Senior Vice President</t>
  </si>
  <si>
    <t>Mr. Michel E. Belec has served as our Chief Legal Officer and Corporate Secretary since 2017. He serves as a Board Member at Alida. He serves as SVP, CLO &amp; Corporate Secretary 
 at Telus. He also supports our Governance Office and is principally responsible for our privacy functions worldwide. In 1996 worked with Rogers Communications, Inc. Mr. Belec began his career as an associate at Fasken Martineau. He holds a Bachelor's degree from Simon Fraser University and a Bachelor of Laws degree from Osgoode Hall Law School. He has completed various executive training programs and hosted numerous induction and learning programs both in and outside of TELUS International.</t>
  </si>
  <si>
    <t>+1 (604) 695-6400</t>
  </si>
  <si>
    <t>michel.belec@telusinternational.com</t>
  </si>
  <si>
    <t>2251 South Decatur Boulevard</t>
  </si>
  <si>
    <t>89102</t>
  </si>
  <si>
    <t>Secretary, Administration &amp; Chief Legal Officer, Legal</t>
  </si>
  <si>
    <t>TELUS Digital</t>
  </si>
  <si>
    <t>265902-85P</t>
  </si>
  <si>
    <t>Navin Arora</t>
  </si>
  <si>
    <t>Executive Vice President &amp; President</t>
  </si>
  <si>
    <t>Mr. Navin Arora serves as Executive Vice-President and Business Solutions at Telus. He leads a national team of more than 5,500 team members and oversees the end-to-end portfolio for B2B nationally, including sales, marketing, product development, customer experience, strategy and operations for all TELUS business customers across Canada. As part of his national portfolio, he oversees TELUS Enterprise Solutions, TELUS Small &amp; Medium Business, TELUS' Employer, Partner and Financial Solutions teams, as well as GoCo, one of Canada's leading managed service providers. From local small businesses and tech startups to medium-sized manufacturers, large national businesses and public sector agencies, Navin and his team are working with thousands of organizations of every size across Canada to reimagine the way technology can be used to thrive in a digital world. Under his leadership, the team is providing world-leading technology capabilities, ranging from network connectivity, collaboration, security, 5G, IoT and virtual care solutions that power the digital workplace of the future. Since joining TELUS in 1999, Navin has held senior leadership roles with increasing responsibility across various parts of the organization, including Business Solutions, Partner Solutions, Consumer, and Technology and Operations. He's played a crucial role in steering some of TELUS' most successful market growth and service innovation strategies and has guided several transformations that have driven industry-leading business growth, customer loyalty and operational excellence. Navin has grown up in Alberta, and lives in Calgary with his wife and two daughters. As a strong supporter of TELUS' commitment to give where we live, he has actively involved in various community causes across the province as well as the local South Asian community. He proudly serves as Vice Chair of TELUS' Calgary Community board, and board member of The Sandbox Project which aims to improve the health of children in Canada and across the world.</t>
  </si>
  <si>
    <t>arora.arora@telus.com</t>
  </si>
  <si>
    <t>Executive Vice-President, Business Solutions</t>
  </si>
  <si>
    <t>422559-01P</t>
  </si>
  <si>
    <t>Nazim Benhadid</t>
  </si>
  <si>
    <t>Nazim</t>
  </si>
  <si>
    <t>Benhadid</t>
  </si>
  <si>
    <t>Mr. Nazim Benhadid serves as Chief Technology Officer at Telus. He leads the team responsible for the end-to-end network technology journey for TELUS customers at home, at work and on the move. From strategy, planning, engineering, building and maintaining operations of its world-leading networks to the introduction of new technology and the evolution of network architecture and infrastructure, the TELUS Networks team delivers a fast, resilient and reliable network to keep our customers and communities connected. With over 24 years of experience in the telecommunications industry, he has worked across different services and technologies, including legacy voice, wireless, advanced networking IT, cloud infrastructure and most recently, leading the TELUS core network infrastructure. His experience working across Canada has given him first-hand insights into customer experiences, enabling him to deliver innovative solutions to advance TELUS' Customers First strategy. He is deeply involved in his community, whether it's by supporting new immigrants adjusting to the Canadian workforce or participating in fundraising events for TELUS Days of Giving. His dedication to giving back aligns with TELUS' leadership in leveraging social capitalism and world-leading technology to enable meaningful outcomes for its customers, communities and team members. He holds a Bachelor of Science in Electrical Engineering from the University of Montréal (Polytechnique Montréal) and a Master of Business Administration from HEC Montréal.</t>
  </si>
  <si>
    <t>nazim.benhadid@telus.com</t>
  </si>
  <si>
    <t>295418-62P</t>
  </si>
  <si>
    <t>Nikhil Mittal</t>
  </si>
  <si>
    <t>Mr. Nikhil Mittal serves as Director of Mergers &amp; Acquisitions and Corporate Strategy at Telus. He serves as Director of Mergers &amp; Acquisitions and Corporate Strategy at Telus.</t>
  </si>
  <si>
    <t>nikhil.mittal@telusinternational.com</t>
  </si>
  <si>
    <t>Director of Mergers &amp; Acquisitions and Corporate Strategy</t>
  </si>
  <si>
    <t>270963-10P</t>
  </si>
  <si>
    <t>Robert Mitchell</t>
  </si>
  <si>
    <t>Mr. Robert Mitchell serves as Head, Investor Relations at Telus.</t>
  </si>
  <si>
    <t>+1 (647) 837-1606</t>
  </si>
  <si>
    <t>robert.mitchell@telus.com</t>
  </si>
  <si>
    <t>265902-22P</t>
  </si>
  <si>
    <t>Sandy McIntosh</t>
  </si>
  <si>
    <t>Sandy</t>
  </si>
  <si>
    <t>Ms. Sandy McIntosh serves as Executive Vice-president, People &amp; Culture and Chief Human Resources Officer at Telus. As Executive Vice-president, Sandy leads TELUS' people and culture, corporate citizenship and communications strategies. She and her team are responsible for creating business, talent and culture practices that drive remarkable human outcomes in an increasingly digital age. Sandy believes the path to brand advocacy is paved with exceptional customer and team member experiences, and she's made it her mission to re-imagine these experiences to fuel TELUS' differentiation in the market, and ability to improve the lives of Canadians and the world we live in. Sandy's authentic, creative and collaborative style promotes a TELUS-wide culture based on integrity, innovation and spirited teamwork. In addition to supporting TELUS' Human Resources and Compensation Committee, she is a trusted advisor to the Executive Leadership Team and Board of Directors, providing strategic counsel on culture transformation, labour relations, cost transformation, mergers and acquisitions, total rewards and talent development programs to accelerate TELUS' growth and industry-leading performance. Sandy is a strong advocate for diversity and inclusion, and champions programs to help TELUS reach its global goals. TELUS has achieved team member engagement in the top 10th percentile of employers globally, and has been widely recognized as one of Canada's Top 100 Employers, inducted into the Top 10 Corporate Cultures Hall of Fame, and been named Best Diversity Employer for several consecutive years.Passionate about creating incredible outcomes for team members, customers and our communities, Sandy is a strong voice for TELUS' community promise to give where we live. She serves as Vice-chair of the TELUS Toronto Community Board and as Honorary Chair for the Princess Margaret Hospital OneWalk to Conquer Cancer. Sandy is recognized for her outstanding leadership and professional contributions as one of the Women's Executive Network's Most Powerful Women and was inducted into their Hall of Fame in 2017. She also received a Leadership Excellence Award in the Trailblazer category from Women in Communications and Technology and is listed as a Woman Worth Watching by Diversity Journal.</t>
  </si>
  <si>
    <t>sandy.mcintosh@telus.com</t>
  </si>
  <si>
    <t>351812-53P</t>
  </si>
  <si>
    <t>Tobias Mueller-Glodde</t>
  </si>
  <si>
    <t>Mueller-Glodde</t>
  </si>
  <si>
    <t>Mr. Tobias Mueller-Glodde serves as Principal - of the TELUS Pollinator Fund for Good at Telus. He served as Senior Associate - TELUS Pollinator Fund for Good at TELUS. He served as Sessional Lecturer - Impact Investing (University of Toronto Graduate Programs) at the University of Toronto. He served as a Senior Associate in clean Energy Project Finance at Vancity Community Investment Bank. He served as a Senior Associate of capital and Investments at Vancity Community Investment Bank. He served as an Advisor at Good &amp; Well. He served as a Consultant at Good &amp; Well. He served as Senior Associate, Impact Investing at CoPower. He served as an Analyst, at Impact Investing at CoPower. He earned an MS (Master of Science) from the University of Toronto and a BS (Bachelor of Science) from the University of Richmond.</t>
  </si>
  <si>
    <t>tmuellerglodde@telus.com</t>
  </si>
  <si>
    <t>Principal - TELUS Pollinator Fund for Good</t>
  </si>
  <si>
    <t>218061-55P</t>
  </si>
  <si>
    <t>Tony Geheran</t>
  </si>
  <si>
    <t>Geheran</t>
  </si>
  <si>
    <t>Mr. Tony Geheran serves as Executive Vice President and Chief Operations Officer at Telus. As TELUS' Chief Operations Officer, Tony Geheran leads Customer Technology Excellence, an organization of over 5,000 team members dedicated to enriching Canadians' lives through the power of technology. Together, they deliver world-leading digital experiences and manage every aspect of our technology infrastructure, including the build, performance and maintenance of our award-winning TELUS PureFibre and 5G networks. The team is also responsible for driving our cyber-security and privacy leadership, and advocating for our industry to ensure all Canadians have access to high-speed connectivity. Tony has held several leadership roles since joining TELUS in 2001. Most recently, he was Executive Vice-President and Chief Customer Officer of Customer Service Excellence, responsible for elevating our Mobility and Home Solutions customer experience. Tony has a wealth of experience in the telecommunications industry, having previously led several teams in the United Kingdom and the Republic of Ireland. Tony is a graduate of the Cranfield School of Management with a Diploma in Professional Marketing from the Chartered Institute of Marketing. He holds a Professional Certificate in Business Administration from Open University and received his Professional Qualifications in Mechanical and Electrical Engineering while serving in the Royal Navy. He proudly supports the Vancouver General Hospital and University of British Columbia hospital foundations.</t>
  </si>
  <si>
    <t>tony.geheran@telus.com</t>
  </si>
  <si>
    <t>89401-15P</t>
  </si>
  <si>
    <t>Yongky Christian</t>
  </si>
  <si>
    <t>Yongky</t>
  </si>
  <si>
    <t>Mr. Yongky Christian serves as Manager PMO (CSD) at Telus. Previously, He served as a Financial Service Advisor at JPMorgan Chase. He earned a BBA (Bachelor of Business Administration) in Finance from Simon Fraser University.</t>
  </si>
  <si>
    <t>yongky.christian@telus.com</t>
  </si>
  <si>
    <t>Manager PMO (CSD)</t>
  </si>
  <si>
    <t>265902-58P</t>
  </si>
  <si>
    <t>Zainul Mawji</t>
  </si>
  <si>
    <t>Zainul</t>
  </si>
  <si>
    <t>Mawji</t>
  </si>
  <si>
    <t>Ms. Zainul Mawji serves as Executive Vice-President and President, Consumer Solutions at Telus. SHe leads the organization responsible for the end-to-end design and delivery of internet, TV, smart security and automation portfolios at TELUS. Passion for entrepreneurship and technology is foundational to Zainul's approach in championing her team to drive innovative experiences and solutions that improve the lives of Canadians. Since joining TELUS in 2001, Zainul has held a variety of key leadership roles spanning corporate development, marketing, IT, capital management, strategy and technology operations. Zainul most recently served as President, Home Solutions, where she was responsible for our residential business. During her tenure, she has held positions as Vice-president of Home Solutions &amp; Complementary Channels, where she was responsible for our residential business, and Vice-president of Market Strategy &amp; Execution for Broadband Networks, where she led the market and sales introduction of TELUS PureFibre, driving strong customer growth across multiple market segments. Before joining TELUS, Zainul worked in management consulting for PricewaterhouseCoopers and Accenture, with a focus on business strategy development, system implementation and retail operations. As a strong advocate for TELUS' heartfelt commitment to give where we live, Zainul proudly serves as vice-chair on the TELUS Edmonton Community Board, member of the Premier of Alberta's Economic Recovery Council and national member for the Aga Khan Foundation for Canada.</t>
  </si>
  <si>
    <t>zainul.mawji@telus.com</t>
  </si>
  <si>
    <t>Executive Vice-President and President, Consumer Solutions</t>
  </si>
  <si>
    <t>48721-78P</t>
  </si>
  <si>
    <t>David Waxman</t>
  </si>
  <si>
    <t>Waxman</t>
  </si>
  <si>
    <t>TenOneTen Ventures</t>
  </si>
  <si>
    <t>Mr. David Waxman serves as a Partner at TenOneTen Ventures. He serves as a Board Member at Impacked. He served as an Advisor at SignalFire. He has nearly two decades of experience as a technology entrepreneur. After graduating with a master's degree from MIT's Media Lab in 1995, he co-founded Firefly, an early pioneer in personalization and privacy technology. Firefly was acquired by Microsoft in 1998 where the company's flagship product became the Microsoft Passport, the web's first unified authentication and identity platform. After Firefly, he co-founded PeoplePC, a company dedicated to simplifying the process of joining the online world. PeoplePC served over 600,000 individual subscribers as well as Fortune 100 corporations such as Ford Motor Company, Vivendi Universal, and Delta Air Lines. PeoplePC went public in 2001 and was acquired by Earthlink in 2002. In 2005, he co-founded SpotRunner, a Los Angeles-based technology company that worked to revolutionize the way advertising was created, planned, bought, and sold. Since leaving Spot Runner, he has dedicated his time to helping entrepreneurs realize their goals. He is an active mentor, speaker, and investor. He serves as Board Member at Trainwell.</t>
  </si>
  <si>
    <t>+1 (510) 421-1887</t>
  </si>
  <si>
    <t>david@tenoneten.net</t>
  </si>
  <si>
    <t>137 North Larchmont Boulevard</t>
  </si>
  <si>
    <t>Suite 494</t>
  </si>
  <si>
    <t>90004</t>
  </si>
  <si>
    <t>71448-76P</t>
  </si>
  <si>
    <t>Eric Pakravan</t>
  </si>
  <si>
    <t>Pakravan</t>
  </si>
  <si>
    <t>Mr. Eric Pakravan serves as Partner at TenOneTen Ventures. Mr. Pakravan serves as Board Member at Walla. His previous startup experience and strong technical background make him a key resource at Amplify. He also serves as Investment Committee Member at USC Marshall Venture Fund. He is a graduate of USC where he served as Student Body President of the Marshall School of Business, and founded LavaLab, USC's first hands-on engineering and product design organization.</t>
  </si>
  <si>
    <t>eric@tenoneten.net</t>
  </si>
  <si>
    <t>43394-68P</t>
  </si>
  <si>
    <t>Eytan Elbaz</t>
  </si>
  <si>
    <t>Eytan</t>
  </si>
  <si>
    <t>Elbaz</t>
  </si>
  <si>
    <t>Mr. Eytan Elbaz is a Co-Founder &amp; serves as Chief Strategy Officer at Afterparty. Mr. Elbaz is a Co-Founder and serves as Chairman at Render Media. He is a Co-Founder of Social Native. He served as Chief Strategy Officer at Social Native. He co-founded Scopely. Previously, he served as Google's Head of Domain Channel, where he grew the channel from $13 million to $600 million annually over four and a half years. He serves as Advisor at ClutchPoints. Prior to working for Google, he was Vice President and a founding member of Applied Semantics (formerly Oingo), which was later acquired by Google. At Oingo, he conceived the ideas for applying the company's meaning-based technology toward domain name selection and monetization, and toward contextual targeting, launched as Oingo AdSense in 2000. He is also the Chairman and Co-founder of Deep Dive Media, a network of healthcare information and community sites including SupportGroups.com. His award-winning public-service announcements on the subjects of tolerance and bullying have been aired around the globe and are currently on display at the Museum of Tolerance. He graduated from UCLA with a Bachelor of Science in computer science and engineering in 1995. He served as Board Member at NearWoo.</t>
  </si>
  <si>
    <t>+1 (805) 214-1221</t>
  </si>
  <si>
    <t>eytan@afterparty.com</t>
  </si>
  <si>
    <t>2355 Westwood Boulevard</t>
  </si>
  <si>
    <t>Unit Suite 1555</t>
  </si>
  <si>
    <t>Afterparty</t>
  </si>
  <si>
    <t>36325-90P</t>
  </si>
  <si>
    <t>Gilad Elbaz</t>
  </si>
  <si>
    <t>Gilad</t>
  </si>
  <si>
    <t>Mr. Gilad Elbaz serves as Partner at TenOneTen Ventures. Mr. Elbaz serves as Co-Chairman at Foursquare. He founded and served as Chief Executive Officer at Factual. He is an accomplished entrepreneur and pioneer of natural language technology. Founded in 2008, Factual is his second startup. In 1998, he co-founded Applied Semantics Inc. (ASI) which developed contextual advertising products, including ASI's AdSense. In 2003, Google acquired ASI and he stayed on through 2007 as the director of engineering for the Santa Monica office, continuing to work on AdSense. He earned his bachelor's degree from Caltech with a double major in Engineering and Applied Science and Economics. He serves on the Board of Directors of the X Prize Foundation. He also served as an Advisor at SignalFire. He holds a BS (Bachelor of Science) in Engineering and Applied Science from the California Institute of Technology.</t>
  </si>
  <si>
    <t>gil@tenoneten.net</t>
  </si>
  <si>
    <t>293707-18P</t>
  </si>
  <si>
    <t>Jim Moffatt</t>
  </si>
  <si>
    <t>Moffatt</t>
  </si>
  <si>
    <t>Mr. Jim Moffatt serves as a Board Member at Optiv Security, Icertis, and AmplifAI. He serves as an Advisor at Greycroft. He serves as a Venture Partner at TenOneTen Ventures. He serves as an Advisor at HireQuotient. He joined Greycroft in 2022 and is based in Los Angeles. He is the former Global and US CEO of Deloitte Consulting and served on the firm's US and Consulting Board of Directors. He is a recognized thought leader on enterprise strategy, go-to-market, business scaling, talent development, and transformation. His extensive professional background includes his 32-year career at Deloitte Consulting, one of the largest professional services organizations in the world, where he worked across multiple industries and sectors. Under his leadership at Deloitte, he was responsible for setting the vision, values, and cultural tone that led to the creation of an integrated global strategy, fostered innovation, and built emerging technology capabilities through ecosystem and alliance development. During his tenure, the consulting business grew to a $ 14 B+ business on the path to achieving revenue of $ 20 B. He currently serves as an independent director and/or advisor for a range of companies that include First Hawaiian Inc., a bank holding company with $25B in total assets, headquartered in Honolulu, Hawaii and its principal subsidiary, First Hawaiian Bank, where he serves on the Risk and Nomination/Governance Committees. He is also a board member for Digital Transformation Opportunity Corporation, a SPAC focused on Digital Transformation and Healthcare. His private company directorships include Optiv, Icertis, and AmplifAI. Additionally, he serves as Vice Chair on the Board of Advisors and Executive Committee of the UCLA Anderson School and as a Trustee on the UCSD Foundation Board. Most recently, he served as Chair of the UCLA Chancellor's Cabinet Council and as Chair of the Corporate Council of the American Film Institute. He holds a BA in Biology and Management Science from the University of California at San Diego and an MBA from UCLA Anderson School of Management. He is a 2018 graduate of both the Director's Consortium at the Stanford University Graduate School of Business and the Master Class of the National Association of Corporate Directors.</t>
  </si>
  <si>
    <t>84217-78P</t>
  </si>
  <si>
    <t>Minnie Ingersoll</t>
  </si>
  <si>
    <t>Minnie</t>
  </si>
  <si>
    <t>Ingersoll</t>
  </si>
  <si>
    <t>Ms. Minnie Ingersoll serves as Partner at TenOneTen Ventures. Ms. Ingersoll served as Chief Operating Officer at Code For America. She is an Angel Investor. She Co-Founded and served as Advisor at Shift Technologies. Before joining Shift, she worked at Google for more than 11 years. From 2011 to 2013, she was a principal at Google.org leading projects focused on technology for government. From 2002 to 2011, she was a Google product manager, leading efforts to create Google Fiber, deploy a city-wide WiFi network, improve Google AdWords, and maximize search quality. She has an MBA from Harvard Business School and a BS in computer science from Stanford University.</t>
  </si>
  <si>
    <t>minnie@tenoneten.net</t>
  </si>
  <si>
    <t>267406-03P</t>
  </si>
  <si>
    <t>Nicole Toussaint</t>
  </si>
  <si>
    <t>Toussaint</t>
  </si>
  <si>
    <t>Ms. Nicole Toussaint serves as an Associate at TenOneTen Ventures. Ms. Toussaint served as Investment Associate at Dalus Capital. She actively participates in the sourcing, selection, analysis, and due diligence of potential investments as well as in follow-ons and monitoring of portfolio companies. Previously she worked at Alfaro, Dávila &amp; Scherer as a financial analyst in the M&amp;A sector where she worked on the valuation of companies and due diligence for both sell-side and buy-side deals. She also has experience as a consultant in Galera Consultores, where she worked on strategic planning and portfolio valuations. Ms. Toussaint received a B.S. in Chemical and Biotechnological Engineering and an M.S. in Biomedical Engineering from Northwestern University in 2019.</t>
  </si>
  <si>
    <t>nicole@tenoneten.net</t>
  </si>
  <si>
    <t>283557-70P</t>
  </si>
  <si>
    <t>Rohan Gupta</t>
  </si>
  <si>
    <t>Mr. Rohan Gupta serves as Senior Investment Associate at Legacy Venture. He serves as an Investor at TenOneTen Ventures. As a member of the Investment Team, he conducts analysis, performs due diligence, and monitors venture capital funds and the venture industry. Before joining Legacy, he worked as an associate for DC Investment Partners, a venture capital family office based in Washington, D.C. In this role, he primarily evaluated early-stage investment opportunities across a broad range of sectors. Prior, he was a strategy consultant at Dean &amp; Company, where he conducted private equity diligence and assisted with a multi-billion dollar startup's fundraising strategy. He earned his B.S. in Chemical &amp; Biomolecular Engineering at Johns Hopkins University and originates from Auburn, AL.</t>
  </si>
  <si>
    <t>+1 (650) 324-5980</t>
  </si>
  <si>
    <t>180 Lytton Avenue</t>
  </si>
  <si>
    <t>+1 (650) 324-5982</t>
  </si>
  <si>
    <t>Next Legacy Partners</t>
  </si>
  <si>
    <t>123057-01P</t>
  </si>
  <si>
    <t>Todd Gitlin</t>
  </si>
  <si>
    <t>Mr. Todd Gitlin is the Founder and serves as Managing Partner at Safire Partners. He serves as Talent Partner at TenOneTen Ventures. He serves as Board Member at Reveleer. He is an executive search firm founded in 2006 focused on emerging growth companies. He has been a recognized leader in executive recruiting since 1999 completing over 1000 assignments. He graduated in 1999 from California State University, Chico.</t>
  </si>
  <si>
    <t>todd@safirepartners.com</t>
  </si>
  <si>
    <t>269 South Beverly Drive</t>
  </si>
  <si>
    <t>Suite 1213</t>
  </si>
  <si>
    <t>Safire Partners</t>
  </si>
  <si>
    <t>35886-52P</t>
  </si>
  <si>
    <t>Elon Musk</t>
  </si>
  <si>
    <t>Musk</t>
  </si>
  <si>
    <t>Mr. Elon Musk is a Co-Founder and serves as Board Member &amp; Chief Executive Officer at Tesla. He is a Co-Founder and serves as Co-Chief Executive Officer Neuralink. He is an Angel Investor. He is the Founder and serves as a Board Member at xAI. He is also the Co-Owner and serves as Chief Technology Officer &amp; Chairman at X. He serves as a Board Member at Endeavor, Upshift (Staffing Platform), and Proquest. He serves as President &amp; Board Member of the Musk Foundation. He is a Co-Founder and Owner and serves as Chief Executive Officer, Chief Technology Officer, President, and Chairman at SpaceX. He is the Founder of The Boring Company. He is a Co-Founder of OpenAI and Zip. He also served as Business Advisory Board Member at NeuroVigil. He founded and served as Chief Executive Officer and Chairman at X.com. He also co-founded Fysical and OpenAI (IT Consulting and Outsourcing) and served as a Board Member at Halcyon Molecular. He founded PayPal Holdings and served as Chairman at SolarCity. He serves as Supervisor at Fenrir.</t>
  </si>
  <si>
    <t>+1 (512) 516-8177</t>
  </si>
  <si>
    <t>elon.musk@teslamotors.com</t>
  </si>
  <si>
    <t>1 Tesla Road</t>
  </si>
  <si>
    <t>78725</t>
  </si>
  <si>
    <t>80537-77P</t>
  </si>
  <si>
    <t>Evan Kantor</t>
  </si>
  <si>
    <t>Kantor</t>
  </si>
  <si>
    <t>Mr. Evan Kantor serves as Manager, Supply Chain Automation and Analytics at Tesla. Mr. Kantor has five years of experience as a consultant for clean energy startups and with Analysis Group. He has expertise in data analytics, strategic planning, market research, and financial analysis. Evan has an MBA from the MIT Sloan School of Management and a Sc.B. in Applied Mathematics and Economics from Brown University.</t>
  </si>
  <si>
    <t>ekantor@teslamotors.com</t>
  </si>
  <si>
    <t>Manager, Supply Chain Automation and Analytics</t>
  </si>
  <si>
    <t>53953-03P</t>
  </si>
  <si>
    <t>Franz von Holzhausen</t>
  </si>
  <si>
    <t>Franz</t>
  </si>
  <si>
    <t>von Holzhausen</t>
  </si>
  <si>
    <t>Mr. Franz von Holzhausen serves as Chief Vehicle Designer at Tesla. Mr. von Holzhausen is responsible for driving the overall design direction of Tesla, and is charged with establishing a world class design competency for all future Tesla design concepts and production vehicles. Prior to joining Tesla, Franz was Director of Design at the Mazda North American Design Center. While at Mazda, Franz pioneered the Nagare surface language design philosophy. Franz also led design of the Mazda RX-8, Tribute, and Mazda5 production vehicle facelifts, and was instrumental in the design development of the 2009 Mazda6 and Mazda3. Before spearheading design at Mazda, Franz held the Design Director position at General Motors. The Pontiac Solstice, Saturn Sky, and Opel GT are all examples of Franz's efforts at GM. Franz began his career as Assistant Chief Designer at Volkswagen, where he was involved in projects from Concept One to the Microbus. When not immersed in design, architecture, and fashion, Franz enjoys sailing, cycling, and snowboarding. Franz also revels in driving one of the cars in his modest collection, which ranges from American muscle to Italian finesse. Franz began his studies at Syracuse University in the field of industrial design and graduated from Art Center College of Design in 1992 with a bachelor's degree in Transportation Design.</t>
  </si>
  <si>
    <t>fvonholzhausen@teslamotors.com</t>
  </si>
  <si>
    <t>Chief Vehicle Designer</t>
  </si>
  <si>
    <t>295500-70P</t>
  </si>
  <si>
    <t>Huma Qureshi</t>
  </si>
  <si>
    <t>Huma</t>
  </si>
  <si>
    <t>Qureshi</t>
  </si>
  <si>
    <t>Ms. Huma Qureshi serves as Executive, Diversity &amp; Inclusion at Tesla.</t>
  </si>
  <si>
    <t>hqureshi@tesla.com</t>
  </si>
  <si>
    <t>Executive, Diversity &amp; Inclusion</t>
  </si>
  <si>
    <t>295500-25P</t>
  </si>
  <si>
    <t>Mark Simons</t>
  </si>
  <si>
    <t>Mr. Mark Simons serves as Executive, Corporate Development and M and A at Tesla.</t>
  </si>
  <si>
    <t>msimons@tesla.com</t>
  </si>
  <si>
    <t>Executive, Corporate Development and M and A</t>
  </si>
  <si>
    <t>133062-49P</t>
  </si>
  <si>
    <t>Martin Cotterell</t>
  </si>
  <si>
    <t>Cotterell</t>
  </si>
  <si>
    <t>Mr. Martin Cotterell serves as Application Engineer, Project Engineering Manager - EMEA &amp; Senior Manager at Tesla. Mr. Cotterell is the Founder and served as the Chairman and Managing Director at Sundog Energy.</t>
  </si>
  <si>
    <t>martin.cotterell@teslamotors.com</t>
  </si>
  <si>
    <t>Application Engineer, Project Engineering Manager - EMEA &amp; Senior Manager</t>
  </si>
  <si>
    <t>82608-94P</t>
  </si>
  <si>
    <t>Nathan Hall-Snyder</t>
  </si>
  <si>
    <t>Hall-Snyder</t>
  </si>
  <si>
    <t>Mr. Nathan Hall-Snyder serves as Electro-mechanical Design Engineer at Tesla. Previously Mr. Snyder served as Vice President of Engineering at Kespry. He has Previously worked with Google[X], Mission Motors and Function Engineering.</t>
  </si>
  <si>
    <t>nathan.hall-snyder@teslamotors.com</t>
  </si>
  <si>
    <t>Electro-mechanical Design Engineer</t>
  </si>
  <si>
    <t>202464-55P</t>
  </si>
  <si>
    <t>Vaibhav Taneja</t>
  </si>
  <si>
    <t>Vaibhav</t>
  </si>
  <si>
    <t>Mr. Vaibhav Taneja serves as Chief Financial Officer &amp; Chief Accounting Officer at Tesla. Mr. Taneja served in various finance and accounting roles at SolarCity Corporation from March 2016. Mr. Taneja holds a Bachelors of Commerce degree from Delhi University and is a Certified Public Accountant (inactive).</t>
  </si>
  <si>
    <t>vtaneja@teslamotors.com</t>
  </si>
  <si>
    <t>136896-13P</t>
  </si>
  <si>
    <t>Zach Levenberg</t>
  </si>
  <si>
    <t>Levenberg</t>
  </si>
  <si>
    <t>Mr. Zach Levenberg serves as Senior Electronic Design Engineer at Tesla. Mr. Levenberg served as an Engineer at Monday Motorbikes. He is a San Francisco native who set a world record by riding his classic moped from San Francisco to the southern tip of South America, a 13,000-mile and six-month adventure. He was also instrumental in the development of Lit Motors' Kubo electric cargo scooter and C-1 self-stabilizing, 2-wheeled electric car.</t>
  </si>
  <si>
    <t>+31 (0)13 799 9400</t>
  </si>
  <si>
    <t>zlevenberg@tesla.com</t>
  </si>
  <si>
    <t>Atlasstraat 7-9</t>
  </si>
  <si>
    <t>5047 RG</t>
  </si>
  <si>
    <t>Senior Electronic Design Engineer</t>
  </si>
  <si>
    <t>56059-39P</t>
  </si>
  <si>
    <t>Neeraj Berry</t>
  </si>
  <si>
    <t>Tet Ventures</t>
  </si>
  <si>
    <t>Mr. Neeraj Berry is the Founder and serves as General Partner at Tet Ventures. He co-founded Sprig. He is an entrepreneur, venture capitalist and angel investor. Mr. Neeraj Berry was a Co-Founder of 12Society.</t>
  </si>
  <si>
    <t>neeraj@tet.vc</t>
  </si>
  <si>
    <t>Oberlandstrasse 91-93</t>
  </si>
  <si>
    <t>Care of Bahlsen Werk Berlin</t>
  </si>
  <si>
    <t>12099</t>
  </si>
  <si>
    <t>256271-23P</t>
  </si>
  <si>
    <t>Ahmad Bahai</t>
  </si>
  <si>
    <t>Bahai</t>
  </si>
  <si>
    <t>Texas Instruments</t>
  </si>
  <si>
    <t>Dr. Ahmad Bahai serves as Chief Technology Officer &amp; Senior Vice President at Texas Instruments. Dr. Bahai, Ph.D, is responsible for guiding breakthrough innovation, corporate research and Kilby Labs. Prior to this role, he served as Vice President and Chief Technologist, leading Kilby Labs, TI's innovation centers focused on breakthrough technology and innovation. Throughout his career, he has held a number of leadership roles including Director of research labs and Chief Technology Officer of National Semiconductor, technical manager of a research group at Bell Laboratories and Founder of Algorex, a communication and acoustic IC and system company, which was acquired by National Semiconductor. He joined TI in 2012 as part of the company's acquisition of National Semiconductor. He holds a Master of Science in Electrical Engineering from Imperial College, University of London and a Doctorate degree in Electrical Engineering from the University of California, Berkeley. In addition to his role at TI, he is an adjunct professor at Stanford University and an Institute of Electrical and Electronics Engineers (IEEE) Fellow.</t>
  </si>
  <si>
    <t>+1 (972) 995-2011</t>
  </si>
  <si>
    <t>ahmad.bahai@ti.com</t>
  </si>
  <si>
    <t>12500 TI boulevard</t>
  </si>
  <si>
    <t>MS 8657</t>
  </si>
  <si>
    <t>75243</t>
  </si>
  <si>
    <t>256274-29P</t>
  </si>
  <si>
    <t>Amichai Ron</t>
  </si>
  <si>
    <t>Amichai</t>
  </si>
  <si>
    <t>Mr. Amichai Ron serves as Senior vice president, Embedded Processing and DLP® Products at Texas Instruments. Prior to this role, he served as the vice president and general manager of TI's Amplifiers business. Throughout his career, he has held a number of business leadership roles in TI's Precision Analog, High-Speed Data Converters and Embedded Connectivity Solutions organizations. Ron started his TI career in 2000. He earned a bachelor's and master's degree in electrical engineering from Tel Aviv University. He also earned a Master of Business Administration from the University of Chicago.</t>
  </si>
  <si>
    <t>a-r@ti.com</t>
  </si>
  <si>
    <t>Senior vice president, Embedded Processing and DLP® Products</t>
  </si>
  <si>
    <t>121880-44P</t>
  </si>
  <si>
    <t>Amy Ye</t>
  </si>
  <si>
    <t>Ms. Amy Ye serves as Director, Global Treasury Operations at Texas Instruments. Previously, she served as Associate Corporate Development at Texas Instruments. Previously, she served as the Finance &amp; Operations Manager at Texas Instruments.</t>
  </si>
  <si>
    <t>linye@ti.com</t>
  </si>
  <si>
    <t>Director, Global Treasury Operations</t>
  </si>
  <si>
    <t>83365-48P</t>
  </si>
  <si>
    <t>Asif Shallwani</t>
  </si>
  <si>
    <t>Asif</t>
  </si>
  <si>
    <t>Shallwani</t>
  </si>
  <si>
    <t>Mr. Asif Shallwani serves as Manager, Corporate Development at Texas Instruments. He served as Director, Corporate Development at Texas Instruments. Previously, Mr. Shallwani served as a Supply Operations Manager and as a Financial Planning Manager at Texas Instruments. Mr. Shallwani holds a Bachelor of Applied Science Degree in Computer Engineering from the University of Waterloo and a MBA in Finance from Rice University.</t>
  </si>
  <si>
    <t>asif.shallwani@ti.com</t>
  </si>
  <si>
    <t>Manager, Corporate Development</t>
  </si>
  <si>
    <t>80497-36P</t>
  </si>
  <si>
    <t>Cathy Burns</t>
  </si>
  <si>
    <t>Ms. Cathy Burns serves as Manager of US Pension at Texas Instruments.</t>
  </si>
  <si>
    <t>cb@ti.com</t>
  </si>
  <si>
    <t>Manager, US Pension</t>
  </si>
  <si>
    <t>294384-70P</t>
  </si>
  <si>
    <t>Christine Witzsche</t>
  </si>
  <si>
    <t>Witzsche</t>
  </si>
  <si>
    <t>Ms. Christine Witzsche serves as Senior Vice President, Communications, Investor Relations &amp; Public Affairs Organizations at Texas Instruments. Prior to this role, she led TI's corporate communications team. Throughout her career, she has held a variety of leadership roles in communications and digital marketing, supporting TI businesses and support entities. Witzsche joined TI in 2013. She holds a bachelor's degree in public relations from The University of Texas at Austin. In addition to her role at TI, Witzsche serves as a member of the board of the TI Foundation. She is also an alumnus of Leadership Texas.</t>
  </si>
  <si>
    <t>c-witzsche@ti.com</t>
  </si>
  <si>
    <t>256273-48P</t>
  </si>
  <si>
    <t>Cynthia Trochu JD</t>
  </si>
  <si>
    <t>Trochu</t>
  </si>
  <si>
    <t>Ms. Cynthia Trochu serves as Senior Vice President, Secretary, and General Counsel, Legal at Texas Instruments. Prior to this role, she served as the vice president and assistant general counsel of TI managing legal support for TI's operations in Asia and Europe, various business entities, manufacturing, and procurement, as well as corporate compliance. Earlier in her career, Trochu served as senior counsel at TI in operations and in litigation.</t>
  </si>
  <si>
    <t>c-trochu@ti.com</t>
  </si>
  <si>
    <t>249973-93P</t>
  </si>
  <si>
    <t>Dave Pahl</t>
  </si>
  <si>
    <t>Mr. Dave Pahl serves as Vice President &amp; Head, Investor Relations at Texas Instruments. Dave Pahl is vice president and head of Investor Relations, where he oversees communications with TI's investor community. Previously, he had served as a director in the department. Pahl started his career at TI more than 30 years ago as an applications engineer. He then worked in sales and sales management in Silicon Valley for eight years. He returned to Dallas as a marketing manager and then moved to Houston as a program manager. There he managed the development of more than a dozen new products, with teams based in Houston, Dallas, Tokyo and Bangalore. Later, he served as business manager of several product lines in what is now TI's Embedded Processing segment. Pahl holds a bachelor of science degree in electrical engineering from Michigan State University and a master's degree in business administration from the University of Texas at Austin.</t>
  </si>
  <si>
    <t>dpahl@ti.com</t>
  </si>
  <si>
    <t>Vice President &amp; Head, Investor Relations</t>
  </si>
  <si>
    <t>218059-57P</t>
  </si>
  <si>
    <t>Hagop Kozanian</t>
  </si>
  <si>
    <t>Hagop</t>
  </si>
  <si>
    <t>Kozanian</t>
  </si>
  <si>
    <t>Mr. Hagop H. Kozanian serves as Senior vice president, Analog Signal Chain at Texas Instruments.He is responsible for the Analog Signal Chain business. Prior to this role, Kozanian was senior vice president of High Volume Analog and Logic, DLP® Products and Education Technology organizations. Throughout his career, he has held a number of leadership roles, including serving as vice president of TI's Power Switches, Interface and Lighting business, leading the analog systems engineering and marketing team, and area director of the Americas sales organization. Kozanian joined TI in 2004. He earned a Bachelor of Science in electrical engineering from Santa Clara University. He serves as a member of the board of the TI Foundation and TI's Political Action Committee.</t>
  </si>
  <si>
    <t>hkozanian@ti.com</t>
  </si>
  <si>
    <t>218059-48P</t>
  </si>
  <si>
    <t>Haviv Ilan</t>
  </si>
  <si>
    <t>Haviv</t>
  </si>
  <si>
    <t>Mr. Haviv Ilan serves as Board Member, President and Chief Executive Officer at Texas Instruments. He assumed this role in 2023. He has been a member of the company's board of directors since 2021. From 2020 to 2023, he served as executive vice president and chief operating officer, responsible for leading the company's business and sales organizations, technology and manufacturing operations and information technology services. Throughout his career at TI, he has held a number of leadership roles including senior vice president and general manager of various analog businesses and vice president in TI's Embedded Processing business, leading the wireless connectivity organization. He has also held a variety of business and engineering leadership roles across the company. He joined TI in 1999 through the acquisition of Butterfly, a wireless start-up company in Israel. He earned bachelor's and master's degrees in electrical engineering from Tel Aviv University. He also earned a Master of Business Administration from the Joint International Executive MBA Program at Northwestern University's Kellogg School of Management and Tel Aviv University's Leon Recanati Graduate School of Business Administration. He is a member of the Business Roundtable. He was President and chief executive officer of Texas Instruments, from April 2023 - present; executive vice president and chief operating officer from 2020 to 2023, senior vice president and general manager of various analog businesses from 2014 to 2020; vice president and general manager of wireless connectivity organization from 2010 to 2014; he held various business and engineering leadership roles from 1999 to 2010.</t>
  </si>
  <si>
    <t>havivi@ti.com</t>
  </si>
  <si>
    <t>Board Member, President and Chief Executive Officer</t>
  </si>
  <si>
    <t>121879-90P</t>
  </si>
  <si>
    <t>Jack Holmes</t>
  </si>
  <si>
    <t>Mr. Jack Holmes serves as Vice President, Director of Corporate Development and Treasury Services at Texas Instruments. He served as Vice President and Manager, Corporate Development, TI Strategic Relationships &amp; Ventures at Texas Instruments.</t>
  </si>
  <si>
    <t>jack@ti.com</t>
  </si>
  <si>
    <t>83365-30P</t>
  </si>
  <si>
    <t>Jim Vardell</t>
  </si>
  <si>
    <t>Vardell</t>
  </si>
  <si>
    <t>Mr. Jim Vardell serves as Director, Finance and Operations at Texas Instruments. He served as Director, Finance and Operations and Executive, Corporate Development at Texas Instruments. Previously, he served as a Strategic Operations Manager and a Finance Manager at Texas Instruments. Mr. Vardell holds a BBA in Management and Entrepreneurship and a MS in Supply Chain Management from Texas A&amp;M University and a MBA from the University of Texas.</t>
  </si>
  <si>
    <t>jim@ti.com</t>
  </si>
  <si>
    <t>Director, Finance and Operations</t>
  </si>
  <si>
    <t>261957-52P</t>
  </si>
  <si>
    <t>Julie Knecht</t>
  </si>
  <si>
    <t>Knecht</t>
  </si>
  <si>
    <t>Ms. Julie Knecht serves as Chief Accounting Officer at Texas Instruments.</t>
  </si>
  <si>
    <t>j-knecht1@ti.com</t>
  </si>
  <si>
    <t>456343-12P</t>
  </si>
  <si>
    <t>Katie Kane</t>
  </si>
  <si>
    <t>Ms. Katie Kane serves as Senior Vice President, General Counsel, Secretary, and Chief Compliance Officer at Texas Instruments. Prior to this role, she served as the vice president and assistant general counsel of TI, managing legal support for TI's worldwide business operations, supporting various TI businesses, sales, and manufacturing. Ms. Kane has also previously served as assistant secretary. Ms. Kane joined TI in 2012 after working in corporate governance, securities, and mergers and acquisitions at a law firm. She earned a Bachelor of Arts from The University of Texas at Austin and a Juris Doctor degree from Southern Methodist University Dedman School of Law. In addition to her role at TI, Ms. Kane serves as a member of the board of the TI Foundation.</t>
  </si>
  <si>
    <t>k-kane@ti.com</t>
  </si>
  <si>
    <t>Senior Vice President, General Counsel, Secretary and chief compliance officer</t>
  </si>
  <si>
    <t>375472-63P</t>
  </si>
  <si>
    <t>Keith Ogboenyiya</t>
  </si>
  <si>
    <t>Ogboenyiya</t>
  </si>
  <si>
    <t>Mr. Keith Ogboenyiya serves as Senior Vice President, Marketing at Texas Instruments. He is responsible for the Marketing organization. Prior to this role, he served as vice president of Systems Engineering and Marketing. He has also held several leadership roles throughout his career including vice president of TI's Interface Products business and a number of business and marketing leadership roles in analog and embedded processing. He began his career at TI in 2002. He earned a bachelor's degree in electrical engineering from Georgia Tech and a bachelor's degree in mathematics from Morehouse College. In addition to his role at TI, he serves on the College of Engineering Advisory Board at Georgia Tech.</t>
  </si>
  <si>
    <t>keith@ti.com</t>
  </si>
  <si>
    <t>Senior Vice President, Marketing</t>
  </si>
  <si>
    <t>391921-57P</t>
  </si>
  <si>
    <t>Krunali Patel</t>
  </si>
  <si>
    <t>Krunali</t>
  </si>
  <si>
    <t>Ms. Krunali Patel serves as Senior vice president and chief information officer, Information Technology (IT) Solutions at Texas Instruments. Prior to this role, she served as vice president of TI's design and manufacturing IT solutions organization, leading the development and implementation of information technology strategies and roadmaps for manufacturing automation. Throughout her career, she has led businesses as well as engineering organizations. She joined TI in 1996. She holds a Master of Science in electrical engineering from Michigan State University and a Master of Arts in Indian classical dance. Outside of TI, she serves on the executive board of the Dallas Symphony Orchestra.</t>
  </si>
  <si>
    <t>kpatel@investor.ti.com</t>
  </si>
  <si>
    <t>Senior vice president and chief information officer, Information Technology (IT) Solutions</t>
  </si>
  <si>
    <t>256275-28P</t>
  </si>
  <si>
    <t>Mark Gary</t>
  </si>
  <si>
    <t>Mr. Mark Gary serves as Senior Vice President, Analog Power Products at Texas Instruments. Prior to this role, Gary served as vice president of TI's Buck Switching Regulators business unit. He has also held a variety of roles inside the analog businesses including a variety of leadership roles in linear power, battery management solutions, and has a long history supporting the automotive market.</t>
  </si>
  <si>
    <t>mark@ti.com</t>
  </si>
  <si>
    <t>294383-71P</t>
  </si>
  <si>
    <t>Mark Roberts</t>
  </si>
  <si>
    <t>Mr. Mark Roberts serves as Senior Vice President, Sales and Marketing at Texas Instruments. Prior to this role, he served as vice president of the Americas Sales and Applications organization. He has held a variety of roles in sales and applications during his career at TI, with a deep background in automotive and industrial markets. Roberts joined TI in 1998. He holds a bachelor's degree in electrical engineering from Michigan State University and serves as a member of the board of the TI Foundation.</t>
  </si>
  <si>
    <t>m-roberts@ti.com</t>
  </si>
  <si>
    <t>375474-34P</t>
  </si>
  <si>
    <t>Mike Beckman</t>
  </si>
  <si>
    <t>Beckman</t>
  </si>
  <si>
    <t>Mr. Mike Beckman serves as Vice President &amp; Head, Investor Relations at Texas Instruments. Previously, he served as Director, Investor Relations at Texas Instruments. He works closely with TI's investor community. He began his career at TI in 2008 as a systems engineer in Tucson, Arizona, defining dozens of TI's precision data converters. He then moved into a product line manager role, where he was responsible for the strategy, execution and operations for TI precision products. Shortly after, he moved to Dallas as a business unit manager and led a portfolio of power product lines. He holds Bachelor of Science and Master of Science degrees in electrical engineering from Iowa State University. In 2017, he was awarded Iowa State's Outstanding Young Alumni Award.</t>
  </si>
  <si>
    <t>beckmanm@ti.com</t>
  </si>
  <si>
    <t>124555-42P</t>
  </si>
  <si>
    <t>Rafael Lizardi</t>
  </si>
  <si>
    <t>Lizardi</t>
  </si>
  <si>
    <t>Mr. Rafael Lizardi serves as Senior vice president and chief financial officer, Finance and Operations at Texas Instruments. Prior to this role, he served as the corporate controller. During his career at TI, he has held a number of leadership positions in finance and operations including controller for the company's High Volume Analog and Logic business and the director of corporate financial planning. He joined Texas Instruments in 2001 as part of the company's finance development program after serving five years as an officer in the U.S. Army Corps of Engineers. He earned a bachelor's degree in electrical engineering from the United States Military Academy at West Point, a Master of Business Administration from Stanford University and is a certified management accountant. In addition to his role at TI, he serves as a member of the board of the TI Foundation and the Dallas Regional Chamber.</t>
  </si>
  <si>
    <t>lizardir@ti.com</t>
  </si>
  <si>
    <t>Senior vice president and Chief Financial Officer, Finance and Operations</t>
  </si>
  <si>
    <t>375582-07P</t>
  </si>
  <si>
    <t>Terry Howard</t>
  </si>
  <si>
    <t>Mr. Terry Howard serves as Director, Diversity at Texas Instruments.</t>
  </si>
  <si>
    <t>Director, Diversity</t>
  </si>
  <si>
    <t>276671-98P</t>
  </si>
  <si>
    <t>Yesenia Moore</t>
  </si>
  <si>
    <t>Yesenia</t>
  </si>
  <si>
    <t>Ms. Yesenia Moore serves as Vice President, Talent Management and Diversity &amp; Inclusion at Texas Instruments. Previously, she served as Head of Diversity and Inclusion at Texas Instruments.</t>
  </si>
  <si>
    <t>yamoore@ti.com</t>
  </si>
  <si>
    <t>Vice President, Talent Management and Diversity &amp; Inclusion</t>
  </si>
  <si>
    <t>345523-24P</t>
  </si>
  <si>
    <t>Christy Grady</t>
  </si>
  <si>
    <t>Grady</t>
  </si>
  <si>
    <t>Texas Venture Labs</t>
  </si>
  <si>
    <t>Ms. Christy Grady serves as Program Manager at Texas Venture Labs.</t>
  </si>
  <si>
    <t>+1 (512) 471-7698</t>
  </si>
  <si>
    <t>christy.grady@mccombs.utexas.edu</t>
  </si>
  <si>
    <t>300 West Martin Luther King Junior Boulevard</t>
  </si>
  <si>
    <t>RRH 1.354, Stop D9700</t>
  </si>
  <si>
    <t>349780-87P</t>
  </si>
  <si>
    <t>Acharee Tiyabhorn</t>
  </si>
  <si>
    <t>Acharee</t>
  </si>
  <si>
    <t>Tiyabhorn</t>
  </si>
  <si>
    <t>Thai Oil</t>
  </si>
  <si>
    <t>Ms. Acharee Tiyabhorn serves as Vice President of Business Development &amp; Board Member at Thai Oil.</t>
  </si>
  <si>
    <t>+66 (0)2 7972999</t>
  </si>
  <si>
    <t>achareetiyabhorn@thaioilgroup.com</t>
  </si>
  <si>
    <t>Bangkok</t>
  </si>
  <si>
    <t>Bangkok, Thailand</t>
  </si>
  <si>
    <t>555/1 Energy Complex Building A</t>
  </si>
  <si>
    <t>11th Floor, Vibhavadi Rangsit Road</t>
  </si>
  <si>
    <t>Chatuchak</t>
  </si>
  <si>
    <t>10900</t>
  </si>
  <si>
    <t>Thailand</t>
  </si>
  <si>
    <t>+66 (0)2 7972970</t>
  </si>
  <si>
    <t>Vice President of Business Development &amp; Board Member</t>
  </si>
  <si>
    <t>342129-79P</t>
  </si>
  <si>
    <t>Bandhit Thamprajamchit</t>
  </si>
  <si>
    <t>Bandhit</t>
  </si>
  <si>
    <t>Thamprajamchit</t>
  </si>
  <si>
    <t>Mr. Bandhit Thamprajamchit, Bachelor of Engineering (Chemical Engineering) (1st Class Honours, Gold Medal), Chulalongkorn University. M.Sc. in Advanced Chemical Engineering (Distinction), Imperial College, University of London, United Kingdom. Master of Business Administration (Executive), Sasin Graduate Institute of Business Administration of Chulalongkorn University. Director Training Courses of Thai Institute of Directors Association (IOD) Director Certification Program (DCP 187/2014). Ethical Leadership Program (ELP 27/2022). Role of the Chairman Program (RCP 52/2022). Other Trainings: National Defence Course, Class 63, National Defence College. The Executive Program in Energy Literacy for a Sustainable Future, Class 14, Thailand Energy Academy. Capital Market Academy Leader Program, Class 27, Capital Market Academy. Leadership Development Program (LDP) III, Class 4, PTT Leadership and Learning Institute (PLLI). The Young Executive Program in Energy Literacy for a Sustainable Future, Class 2, Thailand Energy Academy. Executive Development Program (EDP), Thai Listed Companies Association. Executive Development Program, Fiscal Policy Research Institute Foundation, Thailand. Working Experience in the 5 Preceding Years: Jul 2017 - Sep 2018 Senior Executive Vice President-Petroleum&amp; Petrochemical and Acting Executive Vice President-Manufacturing, Thai Oil Plc. Oct 2018 - Jan 2020 Senior Executive Vice President-Petroleum&amp; Petrochemical and Acting Executive Vice President-Operation Excellence, Thai Oil Plc. Feb - Dec 2020 Senior Executive Vice President-Petroleum&amp; Petrochemical, Thai Oil Plc. Jan 2021 - Dec 2022 Senior Executive Vice President-Hydrocarbon and Acting Executive Vice President-Manufacturing, Thai Oil Plc. Jan 2023 - Present Senior Executive Vice President, PTT Plc Secondment to Thai Oil Plc as Chief Executive Officer and President. Acting Senior Executive Vice President-Hydrocarbon and Acting Executive Vice President-Manufacturing, Thai Oil Plc. Acting Managing Director, LABIX Co., Ltd. Current Positions: 1. Listed Company (3) Director, Member of the Risk Management Committee, Chief Executive Officer and the President, Acting Senior Executive Vice President-Hydrocarbon, Acting Executive Vice President-Manufacturing and the Secretary to the Board of Directors, Thai Oil Plc. Director, Global Power Synergy Plc. Senior Executive Vice President, PTT Plc . 2. Public Company -None3. Limited Company (3) Director and Chairman of the Board, Thaioil Energy Services Co., Ltd. Director, Thai Paraxylene Co., Ltd. Director and Acting Managing Director, LABIX Co., Ltd. 4. Other Organizations/Institutions (6). Board of Directors, The Federation of Thai Industries. Subcommittee on Fuel and Greenhouse Gases Impact Assessment from EV Measures, The National EV Policy Committee. Chairman, Petroleum Refining Industry Club, The Federation of Thai Industries. Vice Chairman, Petrochemical Cluster, The Federation of Thai Industries. Committee, Industrial Promotion and Support Department, The Federation of Thai Industries. Committee, The Institute of Industrial Energy, The Federation of Thai Industries.</t>
  </si>
  <si>
    <t>349778-98P</t>
  </si>
  <si>
    <t>Rathakorn Kampanathsanyakorn</t>
  </si>
  <si>
    <t>Rathakorn</t>
  </si>
  <si>
    <t>Kampanathsanyakorn</t>
  </si>
  <si>
    <t>Mr. Rathakorn Kampanathsanyakorn serves as Executive Vice President of Strategy at Thai Oil.</t>
  </si>
  <si>
    <t>rathakornkampanathsanyakorn@thaioilgroup.com</t>
  </si>
  <si>
    <t>Executive Vice President of Strategy</t>
  </si>
  <si>
    <t>306932-32P</t>
  </si>
  <si>
    <t>Viroj Mavichak</t>
  </si>
  <si>
    <t>Viroj</t>
  </si>
  <si>
    <t>Mavichak</t>
  </si>
  <si>
    <t>Mr. Viroj Mavichak serves as Managing Director at Thai Oil.</t>
  </si>
  <si>
    <t>virojmavichak@thaioilgroup.com</t>
  </si>
  <si>
    <t>349779-61P</t>
  </si>
  <si>
    <t>Wanida Boonpiraks</t>
  </si>
  <si>
    <t>Wanida</t>
  </si>
  <si>
    <t>Boonpiraks</t>
  </si>
  <si>
    <t>Ms. Wanida Boonpiraks serves as Deputy Managing Director - Finance and Accounting, Executive Vice President- Finance and Accounting &amp; Board Member at Thai Oil.</t>
  </si>
  <si>
    <t>wanidaboonpiraks@thaioilgroup.com</t>
  </si>
  <si>
    <t>Deputy Managing Director - Finance and Accounting, Executive Vice President- Finance and Accounting &amp; Board Member</t>
  </si>
  <si>
    <t>236049-04P</t>
  </si>
  <si>
    <t>Wirat Uanarumit</t>
  </si>
  <si>
    <t>Wirat</t>
  </si>
  <si>
    <t>Uanarumit</t>
  </si>
  <si>
    <t>Mr. Wirat Uanarumit served as Chief Executive Officer &amp; Board Member at Thai Oil. Mr. Uanarumit serves as Board Member at PT Chandra Asri Petrochemical.</t>
  </si>
  <si>
    <t>wiratuanarumit@thaioilgroup.com</t>
  </si>
  <si>
    <t>65115-91P</t>
  </si>
  <si>
    <t>Emilie Cortes</t>
  </si>
  <si>
    <t>Cortes</t>
  </si>
  <si>
    <t>The 22 Fund</t>
  </si>
  <si>
    <t>Ms. Emilie Cortes serves as Chief Financial Officer at Collins Foundation. Ms. Cortes also serves as Chief Financial Officer at The 22 Fund. She serves as Treasurer of the Board of Directors at Compton Foundation. She is a career financial professional and an entrepreneur whose two greatest passions are impact investing and sharing her love of the outdoors with others. She brings the wisdom of her 24-year career in financial services and philanthropic investment management to ensure that all available assets are dedicated to building a robust economic future for all. She completed her degree from the University of Houston and her BS in Business Administration from American University. She also holds an MBA in finance from the University of California, Berkeley which she completed in the year 2002.</t>
  </si>
  <si>
    <t>+1 (503) 227-7171</t>
  </si>
  <si>
    <t>ecortes@the22fund.com</t>
  </si>
  <si>
    <t>1618 South West First Avenue</t>
  </si>
  <si>
    <t>Suite 505</t>
  </si>
  <si>
    <t>97201</t>
  </si>
  <si>
    <t>+1 (503) 295-3794</t>
  </si>
  <si>
    <t>Collins Foundation</t>
  </si>
  <si>
    <t>266673-07P</t>
  </si>
  <si>
    <t>Henry Childs II</t>
  </si>
  <si>
    <t>Childs</t>
  </si>
  <si>
    <t>Mr. Henry Childs served as a Strategic Advisor at FVLCRUM. Mr. Childs served as President &amp; Chief Executive Officer at Business Consortium Fund. He also serves as Venture Partner at ProChain Ventures. He serves as a Strategic Advsior at The 22 Fund.</t>
  </si>
  <si>
    <t>ProChain Ventures</t>
  </si>
  <si>
    <t>46755-46P</t>
  </si>
  <si>
    <t>Monica Dodi</t>
  </si>
  <si>
    <t>Dodi</t>
  </si>
  <si>
    <t>Ms. Monica Dodi is a Co-Founder and serves as Managing Director &amp; Advisor at Women's VC Fund. She serves as a Board Member at Re-Nuble. She serves as a Partner at The 22 Fund. Previously, she served as Trust and Foundation Executive Director &amp; Advisor at Lord of the Trees. She served as an Executive at Atlantic Capital Europe. Monica is an international, multilingual new media entrepreneur with a proven track record in creating, launching, and building highly successful global brands. A visionary on the cutting edge of the virtual and high-tech landscape, she has founded four highly successful companies, spearheaded rapid turnarounds, and negotiated numerous licensing deals with Fortune 500 companies. As Co-Founder of MTV Europe, Monica's marketing expertise, operations, and negotiating skills led to MTV becoming the fastest-growing channel on the continent covering 16 countries and reaching breakeven in less than a year by launching the first ever Pan European advertising deals. She then joined Walt Disney/Europe where, as head of European Licensing, she was responsible for the successful turnaround of their Consumer Products business, creating new revenue streams for classic and newly released brands. She earned her BS in International Economics from Georgetown University and her MBA from Harvard Business School.</t>
  </si>
  <si>
    <t>+1 (213) 973-1373</t>
  </si>
  <si>
    <t>monica@womensvcfund.com</t>
  </si>
  <si>
    <t>311 Northwest 12th Avenue</t>
  </si>
  <si>
    <t>Suite 1003</t>
  </si>
  <si>
    <t>97209</t>
  </si>
  <si>
    <t>Co-Founder, Managing Director &amp; Advisor</t>
  </si>
  <si>
    <t>Women's VC Fund</t>
  </si>
  <si>
    <t>384360-13P</t>
  </si>
  <si>
    <t>Rachel Maccan</t>
  </si>
  <si>
    <t>Maccan</t>
  </si>
  <si>
    <t>Ms. Rachel Maccan serves as Project Manager at The 22 Fund.</t>
  </si>
  <si>
    <t>rmaccan@the22fund.com</t>
  </si>
  <si>
    <t>158316-85P</t>
  </si>
  <si>
    <t>Rajan Kasetty</t>
  </si>
  <si>
    <t>Kasetty</t>
  </si>
  <si>
    <t>Mr. Rajan Kasetty serves as a Partner at The 22 Fund. He also serves as a Board Member at Nature Coatings. He served as Executive in Residence at Los Angeles Cleantech Incubator. He is an entrepreneur since 1976. He has set up and run ventures in India, the USA, and Puerto Rico. He has international experience in a startup as well as growth-stage ventures ranging from very small to very large, local and global. He mentored, advised, and served on the boards of several successful ventures in diverse fields. He is also the mentor and Judge at Clean Tech Open and an advisor to startups and growth-stage companies. His specialties are start-up and growth-stage ventures, entrepreneurship, senior management, board member, advisor, mentor, information technology, engineering and design, manufacturing, energy and energy efficiency, and R&amp;D. He serves as Board Member and Advisor at Nevados Engineering.</t>
  </si>
  <si>
    <t>rkasetty@the22fund.com</t>
  </si>
  <si>
    <t>444279-61P</t>
  </si>
  <si>
    <t>Sarah Vaillancourt</t>
  </si>
  <si>
    <t>Vaillancourt</t>
  </si>
  <si>
    <t>Ms. Sarah Vaillancourt serves as Executive Assistant at The 22 Fund.</t>
  </si>
  <si>
    <t>svaillancourt@the22fund.com</t>
  </si>
  <si>
    <t>158316-40P</t>
  </si>
  <si>
    <t>Tracy Gray</t>
  </si>
  <si>
    <t>Ms. Tracy Gray is the Founder and serves as Managing Partner at The 22 Fund. She also served as Executive in Residence at Los Angeles Cleantech Incubator. She is a Co-Founder and serves as Managing Partner and Advisor at Women Power Our Planet. She has strong due diligence, and analytical and communication skills. She is a relationship builder across a variety of industries - from technology to venture capital to entertainment with 15 years of demonstrative team and project management success including a 200% increase in project funding. She founded We Are Enough, a not-for-profit, to educate women on investing in women-owned or women-led businesses, and how to invest with a 'gender lens.' She has keynoted many national conferences and was featured in the 200 Women project and book. She started her career as a systems engineer on the NASA Space Shuttle program. She holds a bachelor's degree in mathematical science from the University of California, Santa Barbara, and dual master's degrees in business administration from the University of California, Berkeley, and Columbia University.</t>
  </si>
  <si>
    <t>tgray@the22fund.com</t>
  </si>
  <si>
    <t>384361-57P</t>
  </si>
  <si>
    <t>Vanessa Gray</t>
  </si>
  <si>
    <t>Ms. Vanessa Gray serves as Director of Marketing &amp; Communications at The 22 Fund.</t>
  </si>
  <si>
    <t>vgray@the22fund.com</t>
  </si>
  <si>
    <t>Director, Marketing &amp; Communications</t>
  </si>
  <si>
    <t>The BFM Fund</t>
  </si>
  <si>
    <t>356870-62P</t>
  </si>
  <si>
    <t>Ms. Rachel Wilson serves as Managing Partner at The BFM Fund. She served as Principal and Head of Operations at Collab Capital.</t>
  </si>
  <si>
    <t>rwilson@bfm.fund</t>
  </si>
  <si>
    <t>272664-64P</t>
  </si>
  <si>
    <t>Amelia Ahl</t>
  </si>
  <si>
    <t>Amelia</t>
  </si>
  <si>
    <t>Ahl</t>
  </si>
  <si>
    <t>The Builders Fund</t>
  </si>
  <si>
    <t>Ms. Amelia Ahl serves as a Director of Impact at The Builders Fund. After earning a degree in International Studies and Global Security from the University of Wisconsin-Madison, She worked with the United Nations High Commissioner for Refugees (UNHCR) in Washington, D.C., and then at the Traditional Medicinal Foundation, where she supported community engagement in the company's supply chain in Rajasthan, India. She is also a graduate of Lift Economy's Next Economy MBA program</t>
  </si>
  <si>
    <t>+1 (612) 816-0707</t>
  </si>
  <si>
    <t>amelia@thebuildersfund.com</t>
  </si>
  <si>
    <t>4319 21st Street</t>
  </si>
  <si>
    <t>79302-25P</t>
  </si>
  <si>
    <t>Ani Ajith</t>
  </si>
  <si>
    <t>Ani</t>
  </si>
  <si>
    <t>Mr. Ani Ajith was a Co-Founder and served as Chief Financial Officer at Corecentra. He serves as Vice President at The Builders Fund. Previously, he served as an Associate at The Vistria Group. He joined the firm from Undergraduate Student Body where he served as President. He is a civically-engaged entrepreneur and investor based in Chicago. Before co-founding Corecentra in 2018, He was the youngest member of the founding team at The Vwastria Group, a Chicago-based private equity firm with $3.1B AUM. At Vistria, He focused on high-impact healthcare investments. In Chicago, He serves on the Executive Committee of the Field Museum's Associate Board as the co-chair of its annual EVOLVE Gala, which raises ~$100K for vital conservation and research efforts. He also volunteers as an alumni leader at his alma mater, Northwestern University, where he served as student body president. He holds a joint MBA/MPP from the University of Chicago's Booth School of Business and Harris School of Public Policy.</t>
  </si>
  <si>
    <t>+1 (832) 729-2906</t>
  </si>
  <si>
    <t>195321-79P</t>
  </si>
  <si>
    <t>Ann MacDougall JD</t>
  </si>
  <si>
    <t>Ms. Ann MacDougall serves as Board Member at Alopexx Enterprises. She serves as Investment Committee Member at The Builders Fund. She served as Board Member at Atmos Digital. She previously served as the General Counsel of PricewaterhouseCoopers US, based in NYC, as well as PwC's Global Deputy General Counsel based in Paris. She was also COO of Acumen Fund and most recently was the President of Encore.org, a national non-profit.</t>
  </si>
  <si>
    <t>+1 (917) 488-4717</t>
  </si>
  <si>
    <t>186 Alewife Brook</t>
  </si>
  <si>
    <t>Parkway 1068</t>
  </si>
  <si>
    <t>Alopexx</t>
  </si>
  <si>
    <t>195198-94P</t>
  </si>
  <si>
    <t>John Ryan</t>
  </si>
  <si>
    <t>Mr. John Ryan serves as Executive at The Builders Fund. Mr. Ryan manages the accounting and reporting functions of Dolphin Builders LP. He has 30 years of experience in finance and accounting and has specialized in partnerships for the last 20 years, first as manager of financial planning and analysis for Pillsbury Winthrop LLP (one of the country's largest law firms), then as controller for Genstar Capital. He currently serves as chief financial officer of Genstar Investment Corporation on a part-time basis, and also provides back-office services to other private equity funds and fund managers. His past and present clients include A3 Alliance LLC, Allegiance Capital Equity Partners LLC, American Industrial Partners, BISYS Private Equity Services Inc., Earlybird LLC, Gratitude Management LLC, Partnership Capital Growth LLC, Proof Ventures LLC, Sea Change Management LLC, Silicon Valley Finance Group, and TBL Management LLC. Mr. Ryan is based in the San Francisco Bay Area.</t>
  </si>
  <si>
    <t>+1 (415) 652-4554</t>
  </si>
  <si>
    <t>john@thebuildersfund.com</t>
  </si>
  <si>
    <t>269387-11P</t>
  </si>
  <si>
    <t>Katharine Hersh</t>
  </si>
  <si>
    <t>Hersh</t>
  </si>
  <si>
    <t>Ms. Katharine Hawthorne Hersh serves as an Operating Partner at The Builders Fund. She serves as a Chief Financial Officer at Acelero Learning. She is involved in investing, fundraising, and portfolio company management. While earning her MBA at Berkeley, she served as a Principal on the Haas Sustainable Investment Fund, leading investments in energy efficiency and renewables, sustainable infrastructure, and healthcare companies. She previously worked with Patamar Capital, Citibank, and Tiedemann Advisors and began her career as a finance and contracts manager at UCSF, where she oversaw a $50 million annual portfolio and negotiated over 30 transactions with federal, corporate, and philanthropic funders in the healthcare and life sciences industry. She holds a B.S. in physics from Stanford University and an MBA in finance with honors from the University of California Berkeley, Haas School of Business.</t>
  </si>
  <si>
    <t>katharine@thebuildersfund.com</t>
  </si>
  <si>
    <t>18192-07P</t>
  </si>
  <si>
    <t>Michael Dutton</t>
  </si>
  <si>
    <t>Dutton</t>
  </si>
  <si>
    <t>Mr. Michael Dutton is a Co-Founder and serves as Managing Partner and Investment Committee Member at The Builders Fund. He serves as Managing Member at Gratitude Management. He served as a Board Member at Urban Remedy and Winder Farms. He is a Co-Founder and serves as Managing Partner at Dolphin Capital. He brings extensive experience in many aspects of entrepreneurship, business planning, private equity, and marketing. He also serves as Investment Committee Member at the University Venture Fund. He has previously served as a Board Member at Manduka and Ragnar Events. Like the other Dolphin Capital partners, he has participated in the startup and growth of several companies. He co-founded Genus Group which he sold to International Data Group and Dyad Security which was acquired by Outpost 24. Previously, he was a Vice President of Product Management at Financial Fusion where he was responsible for marketing and strategy for its retail banking and capital markets software products. He has also held marketing and consulting positions at Accenture, Home Financial Network, and Microsoft Corporation. He currently sits on the Boards at Sea to Ski Property Management. He earned a bachelor's Degree from Brigham Young University and an M.B.A. from Stanford University.</t>
  </si>
  <si>
    <t>mike@thebuildersfund.com</t>
  </si>
  <si>
    <t>Co-Founder, Managing Partner &amp; Investment Committee Member</t>
  </si>
  <si>
    <t>199553-41P</t>
  </si>
  <si>
    <t>Thomas Knowles</t>
  </si>
  <si>
    <t>Knowles</t>
  </si>
  <si>
    <t>Mr. Thomas Knowles serves as Partner, Managing Partner &amp; Co-Chief Executive Officer at Gratitude Railroad. He serves as an Operating Partner at The Builders Fund. He serves as an Advisor at Buckhill Capital. He also served as a Board Member at Align Impact. He manages Gratitude Railroad, an investment partnership created by proven entrepreneurs, operators, and investors with a common belief that business and capitalism can be a force for helping solve critical social and environmental issues. Before GRR, He led corporate development and strategy for an e-commerce company, Backcountry, and a SAAS company, Liveperson. He also spent five years in investing roles with SVB Capital, the venture capital arm of Silicon Valley Bank. He graduated from Santa Clara University with a degree in Economics.</t>
  </si>
  <si>
    <t>tknowles@gratituderailroad.com</t>
  </si>
  <si>
    <t>Greater Salt Lake City Area</t>
  </si>
  <si>
    <t>84060</t>
  </si>
  <si>
    <t>Gratitude Railroad</t>
  </si>
  <si>
    <t>160380-73P</t>
  </si>
  <si>
    <t>Tripp Baird</t>
  </si>
  <si>
    <t>Tripp</t>
  </si>
  <si>
    <t>Mr. Tripp Baird is a Co-Founder and serves as Managing Partner and Investment Committee Member at The Builders Fund. He previously served as a Board Member at MPOWERD. He is focused on themes of sustainable food &amp; ag, health, climate solutions/resource efficiency, and human elevation; to help fix our broken food system, address the healthcare crisis, decarbonize the economy, use our finite resources more efficiently, and create a more equitable, sustainable future. He serves on the Builders' Investment Committee and the Boards of Traditional Medicinals, Urban Remedy, PosiGen, and MIXT. He has invested in, secured funding for, and helped develop several other successful brands including Sambazon, Manduka, Planet Organic, Pure Organic, Faraday, CytoSport/MuscleMilk, Equator Coffees, BOGS Footwear, and Surftech among numerous others. He was previously Founding Principal and a General Partner at Partnership Capital Growth (PCG) - a merchant bank focused on healthy, active, and sustainable living. Helped build boutique consumer advisory/investment group from the ground up, leading investments and advising transactions in the areas of active lifestyle/outdoor recreation, sustainable products, wellness, and healthy food/Bev. Other companies he advised and invested in include Anytime Fitness, KIND Bar, thinkthin, Gaiam, Vino Volo, TRX, and Ecover/Method. He was an associate at North Castle Partners (Equinox, Naked Juice and a consultant for Bain &amp; Company. He earned dual magna cum laude A.B.s from Harvard University. Twice a NOLS graduate, he is currently based in San Francisco.</t>
  </si>
  <si>
    <t>tripp@thebuildersfund.com</t>
  </si>
  <si>
    <t>Co-Founder, Managing Partner &amp; Member of Investment Committee</t>
  </si>
  <si>
    <t>208321-75P</t>
  </si>
  <si>
    <t>Brad True</t>
  </si>
  <si>
    <t>True</t>
  </si>
  <si>
    <t>The Cannon</t>
  </si>
  <si>
    <t>Mr. Brad True serves as Chief Operating Officer at The Cannon. He follows a winding career in the sports world that featured stops at the University of Oklahoma, Houston Texans, University of Louisville, 2016 Final Four and Professional Sports Partners, Brad joined The Cannon in December 2017 and now oversees all overall day to day operations of The Cannon and its growing community, including all current and future Cannon locations. Holding an undergraduate degree in marketing from Texas A&amp;M and a graduate degree from the University of Oklahoma.</t>
  </si>
  <si>
    <t>+1 (713) 332-1299</t>
  </si>
  <si>
    <t>btrue@thecannonhouston.com</t>
  </si>
  <si>
    <t>Suite 1327</t>
  </si>
  <si>
    <t>280951-12P</t>
  </si>
  <si>
    <t>Hilary Agho</t>
  </si>
  <si>
    <t>Agho</t>
  </si>
  <si>
    <t>Ms. Hilary Agho serves as Chief Experience Officer at The Cannon. Hilary graduated from Loyola University Chicago with a Master's Degree in Public Policy in 2015, and from the University of Wisconsin - Green Bay with three Bachelor's Degrees with summa cum laude honors. She has always had a passion for local and sustainable economic development and is committed to working with local government, community and private sector leaders to foster and maintain economically sustainable communities for businesses and people. Hilary moved to Houston from Chicago after grad school and pursued work within a startup as well as a marketing and advertising agency in the past 4 years.</t>
  </si>
  <si>
    <t>hagho@thecannon.com</t>
  </si>
  <si>
    <t>227557-09P</t>
  </si>
  <si>
    <t>Jon Lambert</t>
  </si>
  <si>
    <t>Mr. Jon Lambert serves as Chief Executive Officer at The Cannon. He brings over 30 years of professional experience and organizational and operational leadership across the public and private sectors. Prior to joining The Cannon, he served in a number of leadership roles with KPMG including four years as Executive Director of Investment Operations for KPMG Capital providing oversight to a diverse portfolio of global investment companies. He played key roles in the formation and growth of a number of start-up entities and M&amp;A-driven rapid growth companies including Houston-based Equaterra, SourceNet Solutions, Superstand Entertainment Co., and Universal Computer Systems. He holds a BS in Mathematics from Palm Beach Atlantic University.</t>
  </si>
  <si>
    <t>+1 (770) 539-2292</t>
  </si>
  <si>
    <t>jlambert@thecannon.com</t>
  </si>
  <si>
    <t>206784-55P</t>
  </si>
  <si>
    <t>Lawson Gow</t>
  </si>
  <si>
    <t>Gow</t>
  </si>
  <si>
    <t>Mr. Lawson Gow is a Co-Founder &amp; serves as Managing Partner at Helium Capital. Mr. Gow served as Chief Strategy Officer at Sportsmap Tech Acquisition. He is the Founder &amp; serves as President at The Cannon. He serves as a Managing Partner at Helium Capital. After graduating from Rice University in 2013, he joined the global VC group, KPMG Capital. However, he soon realized Houston was lacking the infrastructure and resources startups needed to thrive and decided he was going to change that. On November 5th, 2017 his idea came to fruition when we officially opened the doors of The Cannon and on May 24th, 2018, Cannon Ventures. In his free time, he dabbles in poetry, serves as a little league coach, and enjoys a smooth old fashioned. If you're looking for him, it's a safe bet he's either in a Lyft, visiting his favorite tea shop, hanging out in The Cannon main space, or spending time with his wife Lauren and adorable dog Truman.</t>
  </si>
  <si>
    <t>5353 West Alabama Street</t>
  </si>
  <si>
    <t>Suite 415</t>
  </si>
  <si>
    <t>77056-5942</t>
  </si>
  <si>
    <t>Sportsmap Tech Acquisition</t>
  </si>
  <si>
    <t>208321-93P</t>
  </si>
  <si>
    <t>Maigen Berg</t>
  </si>
  <si>
    <t>Maigen</t>
  </si>
  <si>
    <t>Ms. Maigen Berg serves as Managing Director, Marketing at The Cannon. She made her way to Houston ten years ago to begin a career in Operations and Marketing. Her entrepreneurial spirit led her to work with some of the major sports teams in Houston, including the Rockets and Astros. She also managed business relationships to build the C-Suite Network in New York and California while continuing to live in Houston. As her love for the city grew, she made a commitment to work with companies within the city and now oversees the day to day operations and management of Cannon Ventures.</t>
  </si>
  <si>
    <t>Managing Director, Marketing</t>
  </si>
  <si>
    <t>236996-02P</t>
  </si>
  <si>
    <t>Ashley Duplanty</t>
  </si>
  <si>
    <t>Duplanty</t>
  </si>
  <si>
    <t>The Forth</t>
  </si>
  <si>
    <t>Ms. Ashley Duplanty serves as Senior Manager of Strategic Partnerships &amp; Events at The Forth. Ashley works to raise Forth's growing international profile. She manages Forth's presence at the International Electric Vehicle Symposium and organizes the Roadmap Conference. She also works with Forth's European and Asian partners. Ashley holds a Master of Environmental Management from Duke University and a B.S. from the University of Puget Sound.</t>
  </si>
  <si>
    <t>+1 (503) 724-8670</t>
  </si>
  <si>
    <t>ashley.duplanty@forthmobility.org</t>
  </si>
  <si>
    <t>2035 NW Front Avenue</t>
  </si>
  <si>
    <t>Senior Manager of Strategic Partnerships &amp; Events</t>
  </si>
  <si>
    <t>317739-88P</t>
  </si>
  <si>
    <t>Andre Weisz</t>
  </si>
  <si>
    <t>The Goodyear Tire &amp; Rubber</t>
  </si>
  <si>
    <t>Mr. Andre Weisz serves as Managing Director Global Business Transformation at The Goodyear Tire &amp; Rubber. He serves as Managing Director at Reifen Burkhardt.</t>
  </si>
  <si>
    <t>+1 (330) 796-2121</t>
  </si>
  <si>
    <t>andre_weisz@goodyear.com</t>
  </si>
  <si>
    <t>Akron</t>
  </si>
  <si>
    <t>Akron, OH</t>
  </si>
  <si>
    <t>200 Innovation Way</t>
  </si>
  <si>
    <t>44316</t>
  </si>
  <si>
    <t>+1 (330) 796-2222</t>
  </si>
  <si>
    <t>Managing Director Global Business Transformation</t>
  </si>
  <si>
    <t>293129-47P</t>
  </si>
  <si>
    <t>Christian Gadzinski</t>
  </si>
  <si>
    <t>Gadzinski</t>
  </si>
  <si>
    <t>Mr. Christian Gadzinski serves as Senior Director, Commercial Truck Tire &amp; Service Centers at The Goodyear Tire &amp; Rubber. He has a unique perspective on investor relations from his leadership experience at Goodyear in both finance and our North America business. Before this appointment, he was a director and general manager within Goodyear's Commercial Truck Tire &amp; Service Centers. He joined Goodyear in 2007 and previously also held numerous roles in finance, including in business development and investor relations.</t>
  </si>
  <si>
    <t>christian_gadzinski@goodyear.com</t>
  </si>
  <si>
    <t>Senior Director Commercial Truck Tire &amp; Service Centers</t>
  </si>
  <si>
    <t>265802-95P</t>
  </si>
  <si>
    <t>Christina Zamarro</t>
  </si>
  <si>
    <t>Zamarro</t>
  </si>
  <si>
    <t>Ms. Christina Zamarro serves as Executive Vice President &amp; Chief Financial Officer at Cooper Tire &amp; Rubber Company. She serves as a Board Member at L3 Harris Technologies. She also serves as Executive Vice President &amp; Chief Financial Officer at Goodyear. She leads the company's financial activities, including operations, finance, planning, accounting, treasury, tax, audit, and investor relations. She joined Goodyear in 2007 and has held numerous leadership roles in the company, including Vice President, Finance and Treasurer, and Vice President, Investor Relations. She is a seasoned senior finance leader with a deep knowledge of Goodyear and the automotive sector. She is known for her ability to understand and navigate complex global business environments and for her strategic perspective that enables the company's financial, commercial, and operational success. Before joining Goodyear, she worked for Ford Motor Company in a variety of corporate and operating finance roles, including in treasury and financial planning and analysis in the manufacturing and financial services groups. She received a Master of Business Administration degree from Vanderbilt University and a Bachelor of Arts degree in Economics from Ohio Wesleyan University. Zamarro serves on Goodyear's Diversity &amp; Inclusion Executive Council.</t>
  </si>
  <si>
    <t>christina_zamarro@goodyear.com</t>
  </si>
  <si>
    <t>66181-15P</t>
  </si>
  <si>
    <t>Christopher Delaney</t>
  </si>
  <si>
    <t>Delaney</t>
  </si>
  <si>
    <t>Mr. Christopher Delaney served as President, Europe, Middle East and Africa at Goodyear Tire &amp; Rubber. He is the executive officer responsible for Goodyear's operations in Europe, the Middle East and Africa. Mr. Delaney joined Goodyear as President-Elect, Asia Pacific in August 2015, and has served as President, Asia Pacific (January 2016 to September 2017). Prior to joining Goodyear, Mr. Delaney was Chief Executive Officer and Managing Director of Goodman Fielder Ltd., a food products company in Australia, New Zealand and the Asia Pacific region, from July 2011 until March 2015.</t>
  </si>
  <si>
    <t>chris_delaney@goodyear.com</t>
  </si>
  <si>
    <t>170743-96P</t>
  </si>
  <si>
    <t>Christopher Helsel</t>
  </si>
  <si>
    <t>Helsel</t>
  </si>
  <si>
    <t>Mr. Christopher Helsel serves as Senior Vice President, Global Operations And Chief Technology Officer at Goodyear Tire &amp; Rubber. He joined Goodyear in 1996 and spent the early years of his career working in computer modeling, tire design and technology for consumer, commercial and racing tires. In 2010, he was named a global director, overseeing development of technology for consumer and commercial truck tires, before relocating to Goodyear's Innovation Center in Luxembourg as director of technology programs. He went on to lead the company's commercial truck tire retread business in North America prior to assuming a role as director, North America commercial and global off-highway technology at Goodyear. Helsel earned his undergraduate degree in mechanical engineering from Cleveland State University and his Master's in the same discipline from The University of Akron.</t>
  </si>
  <si>
    <t>chris_helsel@goodyear.com</t>
  </si>
  <si>
    <t>Senior Vice President, Global Operations And Chief Technology Officer</t>
  </si>
  <si>
    <t>433930-78P</t>
  </si>
  <si>
    <t>David Anckaert</t>
  </si>
  <si>
    <t>Anckaert</t>
  </si>
  <si>
    <t>Mr. David Anckaert serves as Chief of Product Strategy and Planning at The Goodyear Tire &amp; Rubber.</t>
  </si>
  <si>
    <t>david_anckaert@goodyear.com</t>
  </si>
  <si>
    <t>Chief of Product Strategy and Planning</t>
  </si>
  <si>
    <t>14589-91P</t>
  </si>
  <si>
    <t>David Jesse</t>
  </si>
  <si>
    <t>Mr. David Jesse serves as Senior Director, Global Treasury at Goodyear Tire &amp; Rubber.</t>
  </si>
  <si>
    <t>djesse@goodyear.com</t>
  </si>
  <si>
    <t>Senior Director, Global Treasury</t>
  </si>
  <si>
    <t>226383-04P</t>
  </si>
  <si>
    <t>David Phillips</t>
  </si>
  <si>
    <t>Mr. David Emmitt Phillips serves as General Counsel &amp; Senior Vice President at Goodyear Tire &amp; Rubber. Phillips joined Goodyear in 2011 as senior legal counsel, Real Estate and Finance, representing the company's treasury, business development, and real estate functions. He later advanced to Associate General Counsel, Americas where he led the Americas law department on all matters relating to the operations of the company in North, Central, and South America. Prior to joining Goodyear, Phillips was an attorney in the Jones Day Banking &amp; Finance group in Cleveland, Ohio. Phillips received his bachelor's degree from Kenyon College, and his master's in business administration, and his law degree from Cleveland State University.</t>
  </si>
  <si>
    <t>david_phillips@goodyear.com</t>
  </si>
  <si>
    <t>Senior Vice President and General Counsel</t>
  </si>
  <si>
    <t>434334-07P</t>
  </si>
  <si>
    <t>Don Metzelaar</t>
  </si>
  <si>
    <t>Metzelaar</t>
  </si>
  <si>
    <t>Mr. Metzelaar joined Goodyear and was named Senior Vice President, Global Manufacturing and Supply Chain, on January 13, 2025. He is the executive officer responsible for Goodyear's global manufacturing and supply chain activities. Prior to joining Goodyear, Mr. Metzelaar was employed by several global industrial manufacturers, including as Vice President, Global Supply Chain Strategy &amp; Transformation at Honeywell International Inc. (May 2019 to January 2021), Vice President, Integrated Supply Chain, Manufacturing &amp; Quality at Whirlpool Corporation (January 2021 to August 2023), and Global Vice President and Chief Manufacturing Officer at Johnson Controls International plc (August 2023 to January 2025).</t>
  </si>
  <si>
    <t>416377-72P</t>
  </si>
  <si>
    <t>Greg Shank</t>
  </si>
  <si>
    <t>Shank</t>
  </si>
  <si>
    <t>Mr. Greg Shank serves as Senior Director, Investor Relations at The Goodyear Tire &amp; Rubber.</t>
  </si>
  <si>
    <t>greg_shank@goodyear.com</t>
  </si>
  <si>
    <t>Senior Director, Investor Relations</t>
  </si>
  <si>
    <t>376489-27P</t>
  </si>
  <si>
    <t>Joe Burke</t>
  </si>
  <si>
    <t>Mr. Joe Burke serves as Vice President Commercial Truck North America &amp; Global Aviation at The Goodyear Tire &amp; Rubber.</t>
  </si>
  <si>
    <t>Vice President Commercial Truck North America &amp; Global Aviation</t>
  </si>
  <si>
    <t>74761-75P</t>
  </si>
  <si>
    <t>Johann Finkelmeier</t>
  </si>
  <si>
    <t>Finkelmeier</t>
  </si>
  <si>
    <t>Mr. Johann Finkelmeier serves as Vice President and General Manager OE NA Consumer Tires at Goodyear Tire &amp; Rubber. Previously, he served as Board Member at Burgaflex North America.</t>
  </si>
  <si>
    <t>Vice President and General Manager OE NA Consumer Tires</t>
  </si>
  <si>
    <t>226364-32P</t>
  </si>
  <si>
    <t>Laura Duda</t>
  </si>
  <si>
    <t>Duda</t>
  </si>
  <si>
    <t>Laura Duda serves as the Senior Vice President and Chief Communications Officer at The Goodyear Tire &amp; Rubber. As the chief communications officer, Ms. Duda leads all internal and external communications for the company, including public and media relations, employee communications, corporate reputation management, philanthropy and community relations, as well as Goodyear's fleet of world-famous airships. She joined Goodyear in 2016, serving as Vice President of Communications for the company's Americas business unit. Before joining Goodyear, she led corporate, utility and commercial communications for Chicago, Ill.-based Exelon Corporation and corporate and utility communications for Tampa, Fla.-based TECO Energy, Inc. She attended Western Carolina University, earning a Bachelor of Arts degree in Writing &amp; Editing. She later received her Master of Arts degree in Mass Communication from University of Florida and her Master of Business Administration degree from The University of Tampa. She is accredited in Public Relations and is a member of the Arthur W. Page Society and a graduate of Leadership Tampa, Leadership Greater Chicago and Leadership Akron. In 2020 and 2021, she was named to the National Diversity Council's Power 50, honoring women in the C-suite from top corporations who endeavor to improve not just departments and companies, but communities as well. She was also named to PR Week's 2021 Hall of Femme, recognizing inspiring women who set the bar higher within their organizations, nominated by their peers and colleagues, and as one of the 2021 Women of Note by Crain's Cleveland Business. She was Goodyear's 2020 Employee Resource Group executive sponsor of the year for her work with the company's Asia India Middle East (AIM) ERG. She is a board member of the Cleveland Museum of Natural History, the Greater Akron Chamber of Commerce and the Ohio &amp; Erie Canalway Coalition and a trustee of the Institute for Public Relations and the Rock &amp; Roll Hall of Fame.</t>
  </si>
  <si>
    <t>laura_duda@goodyear.com</t>
  </si>
  <si>
    <t>65258-47P</t>
  </si>
  <si>
    <t>Laura Thompson</t>
  </si>
  <si>
    <t>Ms. Laura Thompson serves as Board Member and Member of Audit Committee and Corporate Governance and Nominating Committee at Parker Hannifin. Ms. Thompson served as Executive Vice President and Chief Financial Officer at Goodyear Tire &amp; Rubber. She serves as a Board Member at Artera Services.</t>
  </si>
  <si>
    <t>lthompson@goodyear.com</t>
  </si>
  <si>
    <t>407457-91P</t>
  </si>
  <si>
    <t>Mamatha Chamarthi</t>
  </si>
  <si>
    <t>Mamatha</t>
  </si>
  <si>
    <t>Chamarthi</t>
  </si>
  <si>
    <t>Ms. Mamatha Chamarthi serves as Chief Digital Officer &amp; Senior Vice President at The Goodyear Tire &amp; Rubber.</t>
  </si>
  <si>
    <t>mamatha_chamarthi@goodyear.com</t>
  </si>
  <si>
    <t>342348-85P</t>
  </si>
  <si>
    <t>Margaret Snyder</t>
  </si>
  <si>
    <t>On March 31, 2023, The Goodyear Tire &amp; Rubber Company elected Margaret V. Snyder as Vice President and Controller, effective April 1, 2023. Ms. Snyder, 38, joined Goodyear in April 2020 and was Director, Corporate Accounting and Financial Reporting, until November 30, 2022 and was Controller, Latin America, from December 1, 2022 until March 31, 2023. Prior to joining Goodyear, Ms. Snyder spent thirteen years in public accounting at Ernst &amp; Young LLP, where she held various professional staff and manager positions of increasing responsibility, including Senior Manager, Accounting &amp; Auditing, from October 2015 to April 2020.</t>
  </si>
  <si>
    <t>margaret_snyder@goodyear.com</t>
  </si>
  <si>
    <t>226314-82P</t>
  </si>
  <si>
    <t>Mark Stewart</t>
  </si>
  <si>
    <t>Mr. Mark Stewart serves as Chief Executive Officer, President &amp; Board Member at The Goodyear Tire &amp; Rubber. He serves as Chief Operating Officer, North America &amp; Member of Top Executive Team at Stellantis. He has extensive experience in global operations management, including procurement, manufacturing, business development, and engineering. He spent the first years of his career in manufacturing with TRW Inc., and later Tower Automotive, Inc., where he served as Director of Operations and Executive Vice President. Stewart has been based in the U.S., Belgium, Germany, and China with a variety of experiences in production, quality, and engineering. Since 2006, Stewarthas held positions of increasing responsibility at TRW and, from 201,5, served as Executive Vice President and COO for ZF TRW Automotive. Stewart was named Vice President of Operations for Amazon in 20,17, where he was the lead executive for customer fulfillment across 200 operations facilities in North America. In this position, he was also responsible for overseeing operations, procurement, construction, and engineering with teams dedicated to pursuing automation, artificial intelligence, advanced robotics, and conveyance. He was appointed COO for FCA's North America region and named a member of the Group Executive Council in December 2018. Stewart holds a master of Business Administration from the University of Tennessee (Knoxville, Tennessee) and a bachelor's degree in engineering from Vanderbilt University</t>
  </si>
  <si>
    <t>mark_stewart@goodyear.com</t>
  </si>
  <si>
    <t>184179-43P</t>
  </si>
  <si>
    <t>Maureen Thune</t>
  </si>
  <si>
    <t>Thune</t>
  </si>
  <si>
    <t>Ms. Maureen Thune serves as Chief Transformation Officer at The Goodyear Tire &amp; Rubber.</t>
  </si>
  <si>
    <t>maureen_thune@goodyear.com</t>
  </si>
  <si>
    <t>437384-71P</t>
  </si>
  <si>
    <t>Michelle Ross</t>
  </si>
  <si>
    <t>Ms. Michelle Ross serves as Head of Sales and Marketing, Tires as a Service at The Goodyear Tire &amp; Rubber.</t>
  </si>
  <si>
    <t>michelle_ross@goodyear.com</t>
  </si>
  <si>
    <t>Head of Sales and Marketing, Tires as a Service</t>
  </si>
  <si>
    <t>293421-88P</t>
  </si>
  <si>
    <t>Nathaniel Madarang</t>
  </si>
  <si>
    <t>Madarang</t>
  </si>
  <si>
    <t>Mr. Nathaniel Madarang serves as President at Goodyear Tire &amp; Rubber. Madarang was named President, Asia Pacific in March 2021. He is the executive officer responsible for Goodyear's operations in Asia, Australia, New Zealand and the Western Pacific. Mr. Madarang joined Goodyear in 2008 and has served as Project Director, Finance Transformation (October 2016 to June 2018), Vice President, Finance, Asia Pacific (July 2018 to September 2019) and Managing Director, China (October 2019 to February 2021).</t>
  </si>
  <si>
    <t>nathaniel_madarang@goodyear.com</t>
  </si>
  <si>
    <t>82663-48P</t>
  </si>
  <si>
    <t>Patrick O'Brien</t>
  </si>
  <si>
    <t>Mr. Patrick O'Brien serves as Senior Director of Corporate Development (M&amp;A) at The Goodyear Tire &amp; Rubber. Before Goodyear, Mr. O'Brien served as an Investment Analyst at Parkwood Corporation. Mr. O'Brien holds a BBA in Finance from the University of Notre Dame and an MBA from the University of Akron.</t>
  </si>
  <si>
    <t>+1 (330) 796-0360</t>
  </si>
  <si>
    <t>patrick_obrien@goodyear.com</t>
  </si>
  <si>
    <t>Senior Director of Corporate Development (M&amp;A)</t>
  </si>
  <si>
    <t>314539-30P</t>
  </si>
  <si>
    <t>Richard Fourie</t>
  </si>
  <si>
    <t>Fourie</t>
  </si>
  <si>
    <t>Mr. Richard Fourie serves as Managing Director, EMEA OE Truck at The Goodyear Tire &amp; Rubber.</t>
  </si>
  <si>
    <t>richard_fourie@goodyear.com</t>
  </si>
  <si>
    <t>Managing Director, EMEA OE Truck</t>
  </si>
  <si>
    <t>293133-70P</t>
  </si>
  <si>
    <t>Thaddeus Ewald</t>
  </si>
  <si>
    <t>Thaddeus</t>
  </si>
  <si>
    <t>Ewald</t>
  </si>
  <si>
    <t>Mr. Thaddeus Ewald serves as Vice President, Strategy and Business Development at The Goodyear Tire &amp; Rubber. He served as Vice President, Corporate Strategy and Business Development at Cummins. BS (Bachelor of Science) in Mechanical Engineering from Ohio University and holds MBA (Master of Business Administration) from Kelley School of Business.</t>
  </si>
  <si>
    <t>thad_ewald@goodyear.com</t>
  </si>
  <si>
    <t>Vice President, Strategy and Business Development</t>
  </si>
  <si>
    <t>407458-18P</t>
  </si>
  <si>
    <t>Will Roland</t>
  </si>
  <si>
    <t>Mr. Will Roland serves as Chief Marketing Officer &amp; Senior Vice President at The Goodyear Tire &amp; Rubber.</t>
  </si>
  <si>
    <t>422089-84P</t>
  </si>
  <si>
    <t>Caroline de Bossart</t>
  </si>
  <si>
    <t>de Bossart</t>
  </si>
  <si>
    <t>The Grantham Foundation</t>
  </si>
  <si>
    <t>Caroline de Bossart serves as Director of Climate Investing at The Grantham Foundation.</t>
  </si>
  <si>
    <t>+1 (617) 346-7500</t>
  </si>
  <si>
    <t>caroline@granthamfoundation.org</t>
  </si>
  <si>
    <t>53 State Street</t>
  </si>
  <si>
    <t>33rd Floor</t>
  </si>
  <si>
    <t>Director of Climate Investing</t>
  </si>
  <si>
    <t>170861-41P</t>
  </si>
  <si>
    <t>Cyril Yee Ph.D</t>
  </si>
  <si>
    <t>Dr. Cyril Yee serves as Director of Investments at The Grantham Foundation. Dr. Yee served as Senior Principal, at Rocky Mountain Institute, Ventures. He also serves as a Board Member at EDAC Labs. He also serves as Director of Investments at Grantham Foundation for the Protection of the Environment. He served as an Executive at Neglected Climate Opportunities. He served as Chief Investment Officer at Third Derivative. He is Associate Director of Energy &amp; Cleantech at IP Group North America. He joined IP Group 2017 to lead the Company's efforts to identify and develop early-stage, cleantech, and energy investments with our national lab and university partners. Before joining the Company, he had leadership roles at the Rocky Mountain Institute (RMI), INEOS Bio, and as a strategy consultant. He was a Principal at RMI, a think-and-do tank focused on renewable energy and energy efficiency. He led RMI's Chinese electricity practice, working with the government and businesses to modernize China's power infrastructure and markets to integrate renewables further. At INEOS Bio, which built one of the world's first, commercial-scale, advanced biofuels plants, He led Strategy and Business Development. As a strategy consultant, he provided energy and sustainability, private equity, and financial consulting to the private sector and government consultants. He holds a Ph.D. in Biochemistry from the Massachusetts Institute of Technology and a B.A. in Biochemistry from Swarthmore College. He as Chief Executive Officer and Board Member at Bardo Climate.</t>
  </si>
  <si>
    <t>cyril@granthamfoundation.org</t>
  </si>
  <si>
    <t>139148-02P</t>
  </si>
  <si>
    <t>Hannelore Grantham</t>
  </si>
  <si>
    <t>Hannelore</t>
  </si>
  <si>
    <t>Grantham</t>
  </si>
  <si>
    <t>Ms. Hannelore Grantham is a Co-Founder of The Grantham Foundation. Ms. Grantham also serves as Trustee at Grantham Environmental Trust.</t>
  </si>
  <si>
    <t>52246-18P</t>
  </si>
  <si>
    <t>Jeremy Grantham</t>
  </si>
  <si>
    <t>Mr. Jeremy Grantham serves as Co-Founder, Partner, Asset Allocation Team Member, Long Term Investment Strategist, and Chairman of the Board of Directors at Grantham Mayo Van Otterloo. Mr. Grantham co-founded GMO in 1977 and is a member of GMO's Asset Allocation team, serving as the firm's long-term investment strategist. He is also a Co-founder and serves as Trustee at The Grantham Foundation. He is a member of the GMO Board of Directors and has also served on the investment boards of several non-profit organizations. Prior to GMO's founding, Mr. Grantham was co-founder of Batterymarch Financial Management in 1969, where he recommended commercial indexing in 1971, one of several claims to being first. He began his investment career as an economist with Royal Dutch Shell. Mr. Grantham earned his undergraduate degree from the University of Sheffield (U.K.) and an M.B.A. from Harvard Business School. He is a member of the Academy of Arts and Sciences, holds a CBE from the UK, and is a recipient of the Carnegie Medal for Philanthropy.</t>
  </si>
  <si>
    <t>jeremy.grantham@gmo.com</t>
  </si>
  <si>
    <t>+1 (617) 261-0134</t>
  </si>
  <si>
    <t>Co-Founder, Partner, Asset Allocation Team Member, Long Term Investment Strategist, and Chairman of the Board of Directors</t>
  </si>
  <si>
    <t>Grantham Mayo Van Otterloo</t>
  </si>
  <si>
    <t>115915-60P</t>
  </si>
  <si>
    <t>Marc Von Keitz Ph.D</t>
  </si>
  <si>
    <t>Von Keitz</t>
  </si>
  <si>
    <t>Dr. Marc Von Keitz serves as Director at The Grantham Foundation. He also serves as Board Member at Ocean Rainforest. He served as Program Director at Arpa-E. His focus at ARPA-E includes biological energy conversion processes, sustainable biomass production, and utilization, as well as energy efficiency. Prior to joining ARPA-E, he co-founded BioCee, Inc., an industrial biotechnology company, where he served as President, CTO, and Board Member. In these roles, he oversaw company management, technology leadership, fundraising, and strategy development. From 2000 to 2011 he was Program Director at the University of Minnesota's Biotechnology Institute (BTI) and was responsible for all scientific and managerial aspects of the university's central fermentation and bioprocessing facility, the Biotechnology Resource Center. At BTI he also developed and managed Minnesota's first laboratory-based incubator facility for biotechnology startup companies. Prior to serving as Program Director at BTI, he founded an online marketing firm promoting energy-efficient and environmentally sound housing, Green Homes Marketspace, Inc., and also worked as an Environmental Engineer at Montgomery-Watson. He holds a Ph.D. in Civil/Environmental Engineering from the University of Minnesota and an M.S. in Environmental Engineering and Science from Stanford University.</t>
  </si>
  <si>
    <t>mvonkeitz@granthamfoundation.org</t>
  </si>
  <si>
    <t>52246-54P</t>
  </si>
  <si>
    <t>Ramsay Ravenel</t>
  </si>
  <si>
    <t>Ramsay</t>
  </si>
  <si>
    <t>Ravenel</t>
  </si>
  <si>
    <t>Mr. Ramsay Ravenel serves as President &amp; Chief Investment Officer at The Grantham Foundation. He served as a Board Member at Flowcastings. He manages all aspects of the Grantham Foundation, including grantmaking and endowment management. He previously led solar energy investing at Mission Point Capital Partners, an alternative energy private equity fund, and originated investments in EcoSecurities and SunEdison at Marshall Street Management, a family office. He has also worked in timberland investment, and conservation finance and began his career with a community forestry project in Indonesian Borneo. He holds Master's degrees in Forestry and Business Administration from the Yale School of Forestry and Environmental Studies and the Yale School of Management and a Bachelor's degree in Environmental Science and Public Policy from Harvard College.</t>
  </si>
  <si>
    <t>rravenel@granthamfoundation.org</t>
  </si>
  <si>
    <t>325793-17P</t>
  </si>
  <si>
    <t>Mira Oreck</t>
  </si>
  <si>
    <t>Mira</t>
  </si>
  <si>
    <t>Oreck</t>
  </si>
  <si>
    <t>The Houssian Foundation</t>
  </si>
  <si>
    <t>Ms. Mira Oreck serves as Executive Director at The Houssian Foundation.</t>
  </si>
  <si>
    <t>+1 (604) 416-2489</t>
  </si>
  <si>
    <t>moreck@houssianfoundation.org</t>
  </si>
  <si>
    <t>2150 - 745 Thurlow Street</t>
  </si>
  <si>
    <t>V6E 0C5</t>
  </si>
  <si>
    <t>203670-82P</t>
  </si>
  <si>
    <t>Brian Phillips</t>
  </si>
  <si>
    <t>The Pearl Fund</t>
  </si>
  <si>
    <t>Mr. Brian Phillips is the Founder and serves as Chief Executive Officer &amp; Chief Investment Officer at The Pearl Fund. He serves as Board Member at Skilltype. He also serves as Board Observer at Micronic Technologies. He also serves as a Principal at Colorado Outdoors. He has a unique background ideally suited to lead the Pearl Fund. He has a rare blend of being an early-stage entrepreneur, a global expert on economic development through entrepreneurship, an advisor to Ivy League faculty on how to convert their inventions into viable businesses, and an intrapreneur in several global organizations. He has been a part of the founding team of a dozen startups. Two went public, two were acquired and one was sold via an MBO. As a founding CEO, he has raised over $33M in venture capital. However, not all his startups were successful; several others were shut down. Part of being successful in the field of entrepreneurship is learning from your failures and knowing how to fail quickly. He is an active member of the Academic Venture Exchange, which is a collaboration between the technology transfer offices at Ivy League universities and experienced entrepreneurs. Through this mechanism, he has worked with faculty inventors and entrepreneurs from Columbia, Cornell, and Princeton Universities. He currently has residences in New York City as well as in Wayne County, Pennsylvania. There are many federally designated Opportunity Zones located nearby these two residences. He is a U.S. citizen, with a Bachelor of Science degree (B.S.) in Computer Science as well as a Masters in Divinity (M.Div), and an extensive career in entrepreneurship, development, and investment spanning over 30 years.</t>
  </si>
  <si>
    <t>bphillips@thepearl.fund</t>
  </si>
  <si>
    <t>75 West End Avenue</t>
  </si>
  <si>
    <t>Suite P31D</t>
  </si>
  <si>
    <t>Founder, Chief Executive Officer &amp; Chief Investment Officer</t>
  </si>
  <si>
    <t>203671-27P</t>
  </si>
  <si>
    <t>Eve Tetzlaff</t>
  </si>
  <si>
    <t>Tetzlaff</t>
  </si>
  <si>
    <t>Ms. Eve Tetzlaff serves as Chief Marketing Officer &amp; Managing Director at The Pearl Fund. She also serves as a Venture Partner at Colorado Outdoors. She served as Board Member at Intros AI. She brings 26 years of experience at McKinsey &amp; Company, Investment Banking and Venture Capital, and roles in strategy, marketing, business development, product development, and retail innovation, for companies from startups to multibillion-dollar corporations. She has worked in industries including dot com / high tech, healthcare/life sciences, and consumer products and services, both in the United States and abroad. Her breadth of experience across industries and functions makes her a uniquely capable and well-rounded resource for the Pearl Funds portfolio of investment companies. She began her career at McKinsey &amp; Company in New York, serving clients in media, financial services, and food and beverages. She transferred to Russia at the height of the country's transition to a private economy, where she honed her skill and the taste for working smartly and flexibly in rapidly changing uncertain environments. She left McKinsey to join Russias largest Russian-owned investment bank (United Financial Group, later acquired by Deutsche Bank) and was on the founding team of one of Russias earliest venture capital funds, identifying opportunities and investing into Russia's emerging consumer sector, and serving as a hands-on management team member of investment targets. She has spent over a decade of her career in startup companies. During the dot-com boom of the mid to late 90s, Ms. Tetzlaff moved to Silicon Valley, where she was on the leadership team of two startup companies, responsible for Marketing, Business Development, and Product Development. She is a U.S. citizen, has a B.A. cum laude in Political Science from Yale University, and speaks fluent Russian.</t>
  </si>
  <si>
    <t>eve@thepearl.fund</t>
  </si>
  <si>
    <t>292427-74P</t>
  </si>
  <si>
    <t>Paul Saint-Pierre</t>
  </si>
  <si>
    <t>Saint-Pierre</t>
  </si>
  <si>
    <t>Mr. Paul Saint-Pierre serves as Chief Financial Officer &amp; Board Member at Wyndo. He serves as Chief Compliance Officer &amp; Chief Financial Officer at The Pearl Fund. He has held senior executive positions that include: Chief Financial Officer of investment companies, business development companies and a division of a corporate homebuilder; registered representative of registered investment advisors that manage alternative investment strategies; investment banker for real estate-related businesses; US REIT sector investment analyst; registered principal of broker-dealer firm that facilitated secondary-market transactions of securities issued by private equity real estate funds; portfolio manager and research director of a global real estate securities investment program; and principal advisor to institutional investors regarding their real estate investment strategies. He attended University of California, (Berkeley) Graduate School of Business where he earned a Masters degree in Business Administration.</t>
  </si>
  <si>
    <t>+1 (407) 353-3618</t>
  </si>
  <si>
    <t>psaintpierre@wyndoshop.com</t>
  </si>
  <si>
    <t>Winter Park</t>
  </si>
  <si>
    <t>Winter Park, FL</t>
  </si>
  <si>
    <t>1718 Demetree Dr</t>
  </si>
  <si>
    <t>32789</t>
  </si>
  <si>
    <t>Wyndo</t>
  </si>
  <si>
    <t>203880-16P</t>
  </si>
  <si>
    <t>Robert James</t>
  </si>
  <si>
    <t>Mr. G. Robert James serves as Advisor, Strategy at The Pearl Fund. He is the Founder and Chairman of The Solomon Group With over three decades of experience driving business transformation, he specializes in turnaround management and global business strategy for a range of companies across the public and private sectors. His clients include CEOs of major organizations and foreign heads of state. He has also consulted with department heads in the Obama, Bush and Clinton administrations on global economic and international affairs. Previously, he held executive-level roles for public companies including The Estee Lauder Companies and The Great Atlantic and Pacific Tea Company (A&amp;P), in strategic marketing, global insights, international business development, and ecommerce. He has served on the boards of organizations including Achieve, Inc., The Food Bank of New York, and Morgan Pierce International, and is actively involved with numerous U.S. and international organizations that protect and enrich the lives of children. A native of Germany and fluent in three languages, he moved to the US at the age of 15. He holds an MBA from Columbus State University and a bachelor's Degree in Psychology from the University of Georgia.</t>
  </si>
  <si>
    <t>Advisor, Strategy</t>
  </si>
  <si>
    <t>431027-83P</t>
  </si>
  <si>
    <t>Alan Bennett</t>
  </si>
  <si>
    <t>The University of Connecticut Foundation</t>
  </si>
  <si>
    <t>Mr. Alan Bennett serves as Secretary of the Board of Directors at The University of Connecticut Foundation.</t>
  </si>
  <si>
    <t>+1 (860) 486-5000</t>
  </si>
  <si>
    <t>Mansfield, CT</t>
  </si>
  <si>
    <t>2390 Alumni Drive</t>
  </si>
  <si>
    <t>Unit 3206 Storrs</t>
  </si>
  <si>
    <t>06269</t>
  </si>
  <si>
    <t>Secretary of the Board of Directors</t>
  </si>
  <si>
    <t>376551-10P</t>
  </si>
  <si>
    <t>Amy Yancey</t>
  </si>
  <si>
    <t>Yancey</t>
  </si>
  <si>
    <t>Ms. Amy Yancey serves as President &amp; Chief Executive Officer and Board Member at The University of Connecticut Foundation.</t>
  </si>
  <si>
    <t>ayancey@foundation.uconn.edu</t>
  </si>
  <si>
    <t>President &amp; Chief Executive Officer and Board Member</t>
  </si>
  <si>
    <t>227652-13P</t>
  </si>
  <si>
    <t>Ana Fidantsef Ph.D</t>
  </si>
  <si>
    <t>Fidantsef</t>
  </si>
  <si>
    <t>Dr. Ana Fidantsef serves as Industry Liaison, Senior Administrative Program Support, Tech Communications, and Industry Relations at The University of Connecticut Foundation. She has a Degree in Biotechnology from Universidade Federal do Rio Grande do Sul, a Ph.D. in Plant Molecular Biology from the University of California, Davis, and an MBA from the University of Connecticut, Storrs.</t>
  </si>
  <si>
    <t>+1 (212) 520-8484</t>
  </si>
  <si>
    <t>ana.fidantsef@uconn.edu</t>
  </si>
  <si>
    <t>Industry Liaison, Senior Administrative Program Support, Tech Communications and Industry Relations</t>
  </si>
  <si>
    <t>336719-26P</t>
  </si>
  <si>
    <t>Ashkan Novin</t>
  </si>
  <si>
    <t>Novin</t>
  </si>
  <si>
    <t>Mr. Ashkan Novin serves as Executive at The University of Connecticut Foundation.</t>
  </si>
  <si>
    <t>+1 (216) 456-1681</t>
  </si>
  <si>
    <t>novin@uconn.edu</t>
  </si>
  <si>
    <t>387536-05P</t>
  </si>
  <si>
    <t>David Carney</t>
  </si>
  <si>
    <t>Carney</t>
  </si>
  <si>
    <t>Mr. David Carney serves as Senior Vice President of Finance and Administration and Chief Financial Officer at The University of Connecticut Foundation. He oversees the finance, investment management, and fund administration for the Foundation's endowment. He served as a managing director and investment manager at BlackRock. During his sixteen-year tenure at BlackRock, he managed investment portfolios for endowments, foundations, and other institutional clients, overseeing over $20 billion in assets under management, and earlier served as an advisor to the Federal Reserve Bank of NY and other financial entities and central banks in the wake of the Global Financial Crisis. He holds a bachelor's degree from Harvard University and a Master of Business Administration from Boston College.</t>
  </si>
  <si>
    <t>+1 (860) 207-1393</t>
  </si>
  <si>
    <t>dcarney@foundation.uconn.edu</t>
  </si>
  <si>
    <t>Senior Vice President of Finance and Administration and Chief Financial Officer</t>
  </si>
  <si>
    <t>387627-85P</t>
  </si>
  <si>
    <t>Jennifer Franklin</t>
  </si>
  <si>
    <t>Franklin</t>
  </si>
  <si>
    <t>Board Member &amp; Director</t>
  </si>
  <si>
    <t>Ms. Jennifer Franklin serves as Director for Board and Foundation Operations at The University of Connecticut Foundation.</t>
  </si>
  <si>
    <t>+1 (860) 422-4201</t>
  </si>
  <si>
    <t>jfranklin@foundation.uconn.edu</t>
  </si>
  <si>
    <t>Director for Board and Foundation Operations</t>
  </si>
  <si>
    <t>321382-99P</t>
  </si>
  <si>
    <t>Laura Padron</t>
  </si>
  <si>
    <t>Padron</t>
  </si>
  <si>
    <t>Ms. Laura Padron serves as Senior Vice President for Advancement at The University of Connecticut Foundation.</t>
  </si>
  <si>
    <t>+1 (860) 207-7107</t>
  </si>
  <si>
    <t>lpadron@foundation.uconn.edu</t>
  </si>
  <si>
    <t>Senior Vice President for Advancement</t>
  </si>
  <si>
    <t>81448-39P</t>
  </si>
  <si>
    <t>Melissa Maynard</t>
  </si>
  <si>
    <t>Maynard</t>
  </si>
  <si>
    <t>Assistant Vice President &amp; Controller</t>
  </si>
  <si>
    <t>Ms. Melissa Maynard serves as Associate Vice President &amp; Controller at The University of Connecticut Foundation. She is responsible for tax compliance, financial reporting, audit, budget development, payroll, and debt compliance. She has been with the foundation since 2003. As controller since 2010, Ms. Melissa has overseen the accounting department. Before joining the foundation, Ms. Melissa was a financial analyst for an insurance company. She earned a BS in accounting from Central Connecticut State University.</t>
  </si>
  <si>
    <t>+1 (860) 917-6848</t>
  </si>
  <si>
    <t>mmaynard@foundation.uconn.edu</t>
  </si>
  <si>
    <t>Associate Vice President &amp; Controller</t>
  </si>
  <si>
    <t>140128-03P</t>
  </si>
  <si>
    <t>Shahid Farooqi Ph.D</t>
  </si>
  <si>
    <t>Shahid</t>
  </si>
  <si>
    <t>Farooqi</t>
  </si>
  <si>
    <t>Dr. Shahid Farooqi serves as Managing Director of Investments at The University of Connecticut Foundation.</t>
  </si>
  <si>
    <t>+1 (860) 576-0584</t>
  </si>
  <si>
    <t>sfarooqi@foundation.uconn.edu</t>
  </si>
  <si>
    <t>Managing Director of Investments</t>
  </si>
  <si>
    <t>81449-20P</t>
  </si>
  <si>
    <t>Suzanne O'Conor JD</t>
  </si>
  <si>
    <t>O'Conor</t>
  </si>
  <si>
    <t>Ms. Suzanne O'Conor serves as General Counsel at The University of Connecticut Foundation. She manages and coordinates legal work for all departments within the UConn Foundation. Before assuming her current role as General Counsel in 2000, Suzanne served as a development officer in charge of planned gifts from 1995 to 1999. Prior to joining the Foundation, Suzanne was an associate at Shipman &amp; Goodwin in Hartford, Conn. A member of the Connecticut Bar Association and the American Bar Association, Suzanne graduated with high honors with a JD from the University of Connecticut School of Law, and with honors with a BA in economics from the College of Holy Cross in Worcester, Mass.</t>
  </si>
  <si>
    <t>+1 (860) 486-4436</t>
  </si>
  <si>
    <t>suzanne.oconor@uconn.edu</t>
  </si>
  <si>
    <t>354174-31P</t>
  </si>
  <si>
    <t>Bob Rowe</t>
  </si>
  <si>
    <t>The Westly Group</t>
  </si>
  <si>
    <t>Mr. Bob Rowe serves as Venture Partner at The Westly Group. He serves as Advisor at Energy Capital Ventures.</t>
  </si>
  <si>
    <t>+1 (650) 275-7420</t>
  </si>
  <si>
    <t>2200 Sand Hill Road</t>
  </si>
  <si>
    <t>392208-49P</t>
  </si>
  <si>
    <t>Catie Calcagno</t>
  </si>
  <si>
    <t>Catie</t>
  </si>
  <si>
    <t>Calcagno</t>
  </si>
  <si>
    <t>Ms. Catie Calcagno serves as Head of Investor Relations at The Westly Group. She served as Director of Investor Relations at Notable Capital. Before joining The Westly Group, she served as Director of Investor Relations and Fundraising at Notable Capital (fka GGV Capital), playing a pivotal role in multiple billion-dollar fund raises. She is highly skilled in creating engaging events and communications for limited partners, directing marketing initiatives, and supporting strategic transitions. She has also held senior finance roles at Lightspeed Venture Partners, Accel Partners, and Versant Ventures. She earned a BA in Finance with a minor in History from Santa Clara University.</t>
  </si>
  <si>
    <t>catie@westlygroup.com</t>
  </si>
  <si>
    <t>198580-42P</t>
  </si>
  <si>
    <t>Danny Cotter</t>
  </si>
  <si>
    <t>Mr. Danny Cotter serves as a Managing Partner at The Westly Group. He also serves as a Board member at VIA &amp; Awair. Before joining the Westly Group, He worked at Pacific Gas &amp; Electric Company, where he focused on discovering advanced technology pilots and analyzing regulatory, competitive, and technology landscapes to shape smart grid strategies across the organization. While at PG&amp;E, He also helped lead the development of an advanced analytics platform, which enabled engineers to use enterprise data to prioritize their multi-billion dollar investment plans. After PG&amp;E, He worked at Prelude Ventures, a venture capital firm focused on investing in companies that shape the global energy ecosystem. At Prelude Ventures, He focused on finding and funding startups applying emerging technologies to advanced energy companies. He holds a B.S. in Mechanical Engineering from UCLA, an M.S. from Columbia University, and an M.B.A. from Stanford University.</t>
  </si>
  <si>
    <t>danny@westlygroup.com</t>
  </si>
  <si>
    <t>40267-36P</t>
  </si>
  <si>
    <t>David Coglizer</t>
  </si>
  <si>
    <t>Coglizer</t>
  </si>
  <si>
    <t>Mr. David Coglizer serves as a Partner at The Westly Group. Coglizer began his career by gaining over six years of deal experience at CB Richard Ellis. Following completion of his MBA at Stanford's Graduate School of Business and upon the passage of NAFTA, David "cut his teeth" in corporate debt finance for Grupo Bancomer in Mexico City (now BBVA Bancomer) during a severe economic crisis. Mr. Coglizer holds a bachelor's degree from the University of California at Davis and an MBA from Stanford's Graduate School of Business, where he was student body president at both institutions. He is a lifelong environmentalist, has held leadership positions with the Sierra Club and the League to Save Lake Tahoe, and was a candidate for the California State Assembly.</t>
  </si>
  <si>
    <t>dave@westlygroup.com</t>
  </si>
  <si>
    <t>232987-24P</t>
  </si>
  <si>
    <t>Emily Fritze</t>
  </si>
  <si>
    <t>Fritze</t>
  </si>
  <si>
    <t>Ms. Emily Fritze serves as a Partner at The Westly Group. Prior to joining the Westly Group, she was Director of Strategy at Powerhouse Ventures, a clean energy and mobility venture fund in Oakland, where she helped conceive and raise Powerhouse's seed fund and managed Powerhouse's innovation firm. Prior to Powerhouse, she served as the Senior Director in the Obama White House where she managed energy and climate initiatives. She has also served as Special Advisor at the Advanced Research Projects Agency for Energy (ARPA-E) and in policy roles to U.S. Secretary of Energy, Ernest Moniz, at the U.S. Department of Energy and in the U.S. House of Representatives for Congresswoman Gabrielle Giffords. She received her undergraduate degree in Political Science at the University of Arizona where she was student body president.</t>
  </si>
  <si>
    <t>emily@westlygroup.com</t>
  </si>
  <si>
    <t>354175-30P</t>
  </si>
  <si>
    <t>Jamie Daudon</t>
  </si>
  <si>
    <t>Daudon</t>
  </si>
  <si>
    <t>Mr. Jamie Daudon serves as Senior Associate at The Westly Group. Prior to joining the Westly Group, he worked at the Cadmus Group within the firm's "Strategy &amp; Policy" consulting practice. At Cadmus, he worked with a range of private, public, and non-profit clients on decarbonization strategies primarily within mobility, buildings, and electricity sectors. He holds a BA in Philosophy, Politics, and Economics (PPE) from Colorado College and an MBA from the U.C. Berkeley Haas School of Business.</t>
  </si>
  <si>
    <t>jamie@westlygroup.com</t>
  </si>
  <si>
    <t>43679-35P</t>
  </si>
  <si>
    <t>Jason Kalira</t>
  </si>
  <si>
    <t>Kalira</t>
  </si>
  <si>
    <t>Mr. Jason Kalira serves as Partner at The Westly Group. He serves as Board Member at Sightline Climate. He served as Head, Finance and Operations at BrightFunnel. He is in charge of developing the strategy and putting systems in place to scale the company's fast-growing global business and financial operations. He has spent his entire career investing in, advising, and operating high-growth technology companies. Previously, He was an executive at BrightFunnel, an enterprise data analytics company that he helped scale before leading it to a successful acquisition in 2017. He also spent several years as a venture capitalist, including as an investor at Battery Ventures, a $6B venture fund where he focused on early- and growth-stage enterprise software opportunities.</t>
  </si>
  <si>
    <t>jason@westlygroup.com</t>
  </si>
  <si>
    <t>189353-53P</t>
  </si>
  <si>
    <t>Jennifer Gunn</t>
  </si>
  <si>
    <t>Gunn</t>
  </si>
  <si>
    <t>Ms. Jennifer Gunn serves as Chief Financial Officer at The Westly Group. She also served as Chief Financial Officer at Trident Capital. She served as Chief Financial Officer at Sunstone Partners. She joined Sunstone Partners as CFO in 2018. She manages Sunstone Partners' Finance function and back-office processes. She has over 19 years of experience in corporate and fund accounting and administration in the asset management industry. Prior to Sunstone Partners, she was Controller of Matthews International Capital Management, a U.S. investment firm focused on multiple investing strategies in Asia. Before that, she spent the first 12 years of her career in public accounting with PricewaterhouseCoopers, LLP where she was most recently a Senior Manager and leader in the alternative asset management practice. Originally from northern Indiana, she received a Bachelor of Business Administration from the University of Notre Dame.</t>
  </si>
  <si>
    <t>+1 (412) 951-9984</t>
  </si>
  <si>
    <t>jen@westlygroup.com</t>
  </si>
  <si>
    <t>441832-78P</t>
  </si>
  <si>
    <t>Kelly McCarthy</t>
  </si>
  <si>
    <t>Ms. Kelly McCarthy serves as an Associate at The Westly Group. Prior to joining the Westly Group, she worked at Barclays in the Climate Technology &amp; Energy Transition Investment Banking Group. At Barclays, she advised a diverse group of clients through private capital raises, M&amp;A, IPOs, and other transactions across the energy transition space. She began her career at Barclays in the Consumer Retail Investment Banking Group. She holds a B.A. in Urban Studies, Sociology, and Business Management from Columbia University.</t>
  </si>
  <si>
    <t>+1 (857) 272-0117</t>
  </si>
  <si>
    <t>kelly@westlygroup.com</t>
  </si>
  <si>
    <t>291732-49P</t>
  </si>
  <si>
    <t>Megan Cain</t>
  </si>
  <si>
    <t>Ms. Megan Cain serves as Principal at The Westly Group. Prior to joining the Westly Group, Megan worked at Morgan Stanley within the Global Power, Utilities &amp; Clean Technology Investment Banking group. At Morgan Stanley, Megan advised clients through strategic M&amp;A, IPO and financing transactions. Prior to Morgan Stanley, Megan worked at Vermont Works, a social impact venture capital fund focused on delivering both competitive financial returns and social impact in support of Vermont's startup ecosystem. Megan also worked at Goldman Sachs within the Prime Brokerage division where she managed strategic hedge fund relationships throughout the United States. Megan began her career at the New York Stock Exchange within the Technology group where she served as Product Manager for a liquidity discovery software platform. Megan holds a B.S. in Industrial Engineering from Lehigh University and an M.B.A. from the Yale School of Management. Megan is a Vermont native and enjoys playing soccer, skiing and exploring the Bay Area.</t>
  </si>
  <si>
    <t>megan@westlygroup.com</t>
  </si>
  <si>
    <t>385130-35P</t>
  </si>
  <si>
    <t>Nick Albanese</t>
  </si>
  <si>
    <t>Mr. Nick Albanese serves as Vice President, Research &amp; Strategy and Investment Associate at The Westly Group.</t>
  </si>
  <si>
    <t>nick@westlygroup.com</t>
  </si>
  <si>
    <t>Vice President Research &amp; Strategy and Investment Associate</t>
  </si>
  <si>
    <t>454373-56P</t>
  </si>
  <si>
    <t>Nicole Ziqi</t>
  </si>
  <si>
    <t>Ziqi</t>
  </si>
  <si>
    <t>Ms. Nicole Ziqi serves as an Analyst at The Westly Group. Prior to joining the Westly Group, she worked in the Founder's Office at From This Island, a venture-backed personal care startup in Jakarta, Indonesia. There, she contributed to the development of go-to-market strategies and supported the execution of high-impact product launches. She worked closely with co-founders Maudy Ayunda (renowned Indonesian actress, singer-songwriter, and entrepreneur) and Patricia Davina (co-founder of successful brands like Aeris Beauté and Kin + Ally), gaining valuable experience in product development, marketing, and business operations. She is currently pursuing a B.A. in Philosophy, Politics, and Economics at the National University of Singapore.</t>
  </si>
  <si>
    <t>nicole@westlygroup.com</t>
  </si>
  <si>
    <t>441831-88P</t>
  </si>
  <si>
    <t>Noemi Walzebuck</t>
  </si>
  <si>
    <t>Noemi</t>
  </si>
  <si>
    <t>Walzebuck</t>
  </si>
  <si>
    <t>Ms. Noemi Walzebuck serves as Investor at The Westly Group.</t>
  </si>
  <si>
    <t>noemi@westlygroup.com</t>
  </si>
  <si>
    <t>221 Main Street</t>
  </si>
  <si>
    <t>Suite 1325</t>
  </si>
  <si>
    <t>232987-51P</t>
  </si>
  <si>
    <t>Shaun Chaudhuri</t>
  </si>
  <si>
    <t>Chaudhuri</t>
  </si>
  <si>
    <t>Mr. Shaun Chaudhuri serves as a Partner at The Westly Group. Before joining the Westly Group, he worked as a financial analyst at Apple and Pacific Gas &amp; Electric. At Apple, He worked on the iPhone team, leading the worldwide iPhone forecast and creating reporting metrics to monitor global microeconomic trends. At Pacific Gas &amp; Electric, he worked on the business finance IT team, where he focused on forecast initiatives and led the team's national IT benchmarking project to compare business metrics across 15 utilities across the United States. He received his undergraduate degree from Harvard University, majoring in Gender Studies and Economics. He currently serves as Treasurer for the Harvard Club of Silicon Valley and helps lead "VentureESG", a new initiative to define ESG frameworks for early-stage investing and provide operational resources for venture firms.</t>
  </si>
  <si>
    <t>+1 (925) 719-1379</t>
  </si>
  <si>
    <t>shaun@westlygroup.com</t>
  </si>
  <si>
    <t>31886-02P</t>
  </si>
  <si>
    <t>Steve Westly</t>
  </si>
  <si>
    <t>Westly</t>
  </si>
  <si>
    <t>Mr. Steve Westly is the Founder &amp; serves as Managing Partner at The Westly Group. He is also a Co-Founder &amp; serves as Chairman &amp; President at Westly Foundation. Mr. Westly also serves as a Board Member at Network Perception, Awair, Circulor, and Edeniq. He also served as an advisor for Mavatar. He serves as a Board Observer at Cleverciti. He serves as a Board Member at Vinli. He also serves as a Board Member at RadiumOne. He served as a Board Member at Simple Energy. Before founding The Westly Group, he served as the Controller and Chief Fiscal Officer of the state of California. He serves as a Board Member at Greenwave Systems. As Controller, he chaired the State Lands Commission and served on 63 other boards and commissions, including CalPERS and CalSTRS, the nation's two largest public pension funds, which together invest more than $350 billion. He currently serves on the Secretary of Energy's Advisory Board as a representative for the venture capital industry. Before running for office, he helped guide the online auction company eBay through its period of most rapid growth, serving as the Senior Vice President of Marketing, Business Development, M&amp;A, and International. He helped bring eBay to Europe and Asia and developed the marketing and acquisition strategies that paved the path for the firm's exponential growth. He holds a bachelor's degree from Stanford University and an MBA from Stanford's Graduate School of Business.</t>
  </si>
  <si>
    <t>steve@westlygroup.com</t>
  </si>
  <si>
    <t>137838-88P</t>
  </si>
  <si>
    <t>Timothy Wang</t>
  </si>
  <si>
    <t>Mr. Timothy Wang serves as Venture Partner at The Westly Group. He served as an Advisory Board Member at Crescent Fund. He serves as a Board Member at Optimal Dynamics. He served as a Board Member at Aquicore. He joined the Westly Group in 2016 and helps manage the firm's deal flow and due diligence process. Before joining the Westly Group, He was a co-founder and Head of Business Development at a China-based financial technology start-up, ChinaScope, where he raised $5M from Moody's Corporation. He began his career as an analyst at S&amp;P Capital IQ, a leading financial data provider for financial institutions and advisory firms. He worked with the Client Development team out of their New York office before moving to Hong Kong to initiate and lead their Asia go-to-market efforts and build a team that would manage relationships with all of Capital IQ's clients and prospects in the region. He has always had a passion for sustainability, focused on the intersection of sustainability, economics, and government. He holds a BA in International Relations from Brown University and an MBA from the USC Marshall School of Business. He serves as Managing Partner at Keymaker. Mr. Wang serves as Board Member at Optimal Dynamics. Mr. Wang served as Board Mmeber at T-REX.</t>
  </si>
  <si>
    <t>17864-29P</t>
  </si>
  <si>
    <t>Ajaypal Banga</t>
  </si>
  <si>
    <t>Ajaypal</t>
  </si>
  <si>
    <t>Banga</t>
  </si>
  <si>
    <t>The World Bank Group</t>
  </si>
  <si>
    <t>Mr. Ajay Banga serves as President at The World Bank Group. He served as Vice Chairman at General Atlantic. He serves as Non-Executive Director at Exor. He served as an Advisor at BeyondNetZero. Previously, he was President and CEO of Mastercard, a global organization with nearly 24,000 employees. Under his leadership, MasterCard launched the Center for Inclusive Growth, which advances equitable and sustainable economic growth and financial inclusion around the world. He was the Honorary Chairman of the International Chamber of Commerce, serving as Chairman from 2020-2022. He became an advisor to General Atlantic's climate-focused fund, BeyondNetZero, at its inception in 2021. He served as Co-Chair of the Partnership for Central America, a coalition of private organizations that works to advance economic opportunity across underserved populations in El Salvador, Guatemala, and Honduras. He was previously on the Boards of the American Red Cross, Kraft Foods, and Dow Inc. He is a co-founder of The Cyber Readiness Institute and was Vice Chair of the Economic Club of New York. He was awarded the Foreign Policy Association Medal in 2012, the Padma Shri Award by the President of India in 2016, the Ellis Island Medal of Honor and the Business Council for International Understanding's Global Leadership Award in 2019, and the Distinguished Friends of Singapore Public Service Star in 2021.</t>
  </si>
  <si>
    <t>+1 (202) 473-1000</t>
  </si>
  <si>
    <t>abanga@worldbank.org</t>
  </si>
  <si>
    <t>1818 H Street Northwest</t>
  </si>
  <si>
    <t>20433</t>
  </si>
  <si>
    <t>Non-Executive Director</t>
  </si>
  <si>
    <t>Exor (Former)</t>
  </si>
  <si>
    <t>365889-97P</t>
  </si>
  <si>
    <t>Amy Doherty</t>
  </si>
  <si>
    <t>Ms. Amy Doherty serves as Chief Information Officer &amp; Vice President at The World Bank Group. Amy Doherty, a US national, joined the World Bank having demonstrated successful leadership in technology, transformation, and information security in both the public and private sectors. Most recently, Amy served as Chief Operating Officer at First Command Financial Services, an international financial services company that promotes financial security for America's military families. In this role, she led the transformation to agile business practices and an overall modernization of the technology architecture and infrastructure. Prior to First Command, Amy served as Chief Information Officer at the American Association of Retired Persons (AARP), a social mission and membership organization, which was named #2 Best Places to Work in IT by Computerworld. While at AARP, Amy transitioned to an agile development methodology and moved their services to the cloud. Earlier in her career, Amy served in key technology leadership positions at Freddie Mac, American Financial Realty Trust, and General Motors Acceptance Corporation (GMAC) Commercial Mortgage. Amy holds a Bachelor of Science and Master of Business Administration degrees from Pennsylvania State University. She has been featured in CIO Magazine, Forbes and Computerworld. In 2019, she was recognized as CIO of the Year in the nonprofit/public sector by the Capital CIO Leadership Association. She proudly serves as a Sequoyah Fellow for the American Indian Science and Engineering Society. Amy is passionate about empowering women in technology leadership and creating a culture of continuous learning, experimentation, and innovation.</t>
  </si>
  <si>
    <t>adoherty@worldbank.org</t>
  </si>
  <si>
    <t>370824-85P</t>
  </si>
  <si>
    <t>Anna Bjerde</t>
  </si>
  <si>
    <t>Bjerde</t>
  </si>
  <si>
    <t>Ms. Anna Bjerde serves as Managing Director of Operations at The World Bank Group. Anna Bjerde has been the World Bank's Managing Director for Operations since April 3, 2023.
The Office of the Managing Director brings together the operations units of the World Bank, which includes the Regional Vice Presidencies and Operations Policy and Country Services. The World Bank's Fragility, Conflict and Violence Department also reports to the Managing Director. World Bank operations comprise an active portfolio of 1,768 projects with a value of $323 billion as of the end of FY23. Annual lending has averaged around $70.1 billion over the past three years (FY21-FY23). The operational complex of the World Bank also produces groundbreaking analytical work informing policy reforms, priority investments, technical assistance, and targeted poverty reduction. World Bank operations are grounded in a country-based model and focus on responding to the crises of recent years and medium-term development priorities including addressing challenges like poverty reduction, equitable growth, and climate change. Before assuming the role of Managing Director, Ms. Bjerde served as Vice President for Europe and Central Asia, where she led the World Bank's efforts to steer the region through a series of overlapping global shocks-the COVID-19 pandemic, a cost-of-living crisis, natural disasters, and the World Bank's large-scale response to Ukraine She previously worked as Director of Strategy and Operations for the Middle East and North Africa region. Between 2015-2018, she oversaw the World Bank's strategies, lending, and analytical work for Sustainable Development, covering all the World Bank's regions. She was also the Director of Strategy and Operations in the Europe and Central Asia region in 2014-15. Ms. Bjerde held a leadership role overseeing the World Bank's operations in Sustainable Development and Infrastructure in the African region between 2011-2013. Ms. Bjerde has over 30 years of experience working in development across sectors and regions, with a specific interest in inclusive growth and sustainable infrastructure development. She is a recognized and experienced leader with a strong track record of delivering large client programs, mobilizing resources, managing, and motivating extensive and decentralized workforces and forging strong bilateral and multilateral partnerships. Ms. Bjerde holds a Master's in Business and Economics from the University of Stockholm.</t>
  </si>
  <si>
    <t>abjerde@worldbank.org</t>
  </si>
  <si>
    <t>Managing Director, Operations</t>
  </si>
  <si>
    <t>248150-17P</t>
  </si>
  <si>
    <t>Anna Wellenstein</t>
  </si>
  <si>
    <t>Wellenstein</t>
  </si>
  <si>
    <t>Ms. Anna Wellenstein serves as Regional Practice Director at The World Bank Group. Before this, She was Director for Strategy and Operations of the World Bank's Social, Urban, Rural, and Resilience Global Practice. Prior to this, Ms. Wellenstein held positions as Regional Director for Sustainable Development for East Asia and Pacific Region, Regional Director for Latin America and the Caribbean, and Director for Strategy and Operations of the World Bank's Social, Urban, Rural and Resilience Global Practice. She holds advanced degrees from the Wharton School of Business at the University of Pennsylvania and the Fletcher School at Tufts University.</t>
  </si>
  <si>
    <t>+1 (202) 473-6477</t>
  </si>
  <si>
    <t>awellenstein@worldbank.org</t>
  </si>
  <si>
    <t>Regional Practice Director</t>
  </si>
  <si>
    <t>84143-98P</t>
  </si>
  <si>
    <t>Anshula Kant</t>
  </si>
  <si>
    <t>Anshula</t>
  </si>
  <si>
    <t>Ms. Anshula Kant serves as Managing Director &amp; Chief Financial Officer at The World Bank Group. In this role, Ms. Kant is responsible for the financial and risk management of the World Bank Group, reporting to the President. Among other key management duties, her work includes oversight of financial reporting, risk management, and mobilization of IDA and other financial resources. She also serves as Managing Director and World Bank Group Chief Financial Officer at IBRD Retirement Plans. Ms. Kant serves as Managing Director of Stressed Assets, Risk, and Compliance at the State Bank of India. She serves as Managing Director of Stressed Assets, Risk, and Compliance at the State Bank of India. She also serves as a Board Member at Infrastructure Leasing &amp; Financial Services and the National Stock Exchange of India. She is a graduate of Economic Honours from Lady Shri Ram College for Women and a post-graduate in Economics from the Delhi School of Economics.</t>
  </si>
  <si>
    <t>+1 (202) 473-7660</t>
  </si>
  <si>
    <t>akant@worldbank.org</t>
  </si>
  <si>
    <t>Managing Director &amp; Chief Financial Officer</t>
  </si>
  <si>
    <t>152539-39P</t>
  </si>
  <si>
    <t>Axel van Trotsenburg</t>
  </si>
  <si>
    <t>van Trotsenburg</t>
  </si>
  <si>
    <t>Dr. Axel van Trotsenburg serves as Senior Managing Director at The World Bank Group. He brings deep experience in regional operations and finance, drawing on his experience as currently the longest serving Vice President at the Bank, with two tenures in the Finance Complex and two in Operations. Prior to joining the World Bank, He worked at the OECD in Paris. He holds a master's and a doctorate degree in economics and a master's degree in international affairs.</t>
  </si>
  <si>
    <t>avantrotsenburg@worldbank.org</t>
  </si>
  <si>
    <t>285719-77P</t>
  </si>
  <si>
    <t>Delfim Mawete</t>
  </si>
  <si>
    <t>Delfim</t>
  </si>
  <si>
    <t>Mawete</t>
  </si>
  <si>
    <t>Mr. Delfim Mawete serves as Financial Sector Specialist at The World Bank Group.</t>
  </si>
  <si>
    <t>dmawete@worldbank.org</t>
  </si>
  <si>
    <t>Financial Sector Specialist</t>
  </si>
  <si>
    <t>196138-72P</t>
  </si>
  <si>
    <t>Dennis McLaughlin Ph.D</t>
  </si>
  <si>
    <t>Mr. Dennis McLaughlin serves as Chief Risk Officer at The World Bank Group. Mr. Dennis McLaughlin served as Chief Risk Officer at LCH, The Markets' Partner. He has over 20 years experience in risk management and finance. He joined LCH from AON where he served as the CEO for Innovation and Analytics. Previous to that he served as a Managing Director in Finance, Treasury and Risk at Merrill Lynch and served as a Director of Capital, Global Consumer Group at Citigroup. He started his finance career as a Consultant in the Global Risk Management practice at McKinsey where he focused on the risk management of Traded Products and the development of risk systems and analytical algorithms. Prior to that, he was a professor at Princeton University where he taught mathematics and quantitative finance. He has an MBA from Wharton School, University of Pennsylvania, a Ph.D. in Mathematics from Brown University and a MA in Mathematical Science from University College Dublin.</t>
  </si>
  <si>
    <t>137975-41P</t>
  </si>
  <si>
    <t>Heung Sik Choo</t>
  </si>
  <si>
    <t>Heung Sik</t>
  </si>
  <si>
    <t>Mr. Heung Sik Choo serves as Director, Investment Management Department at The World Bank Group. He holds a bachelor's degree from Yonsei University in Korea and a master's degree in Economics from Michigan State University in the United States. He is responsible for representing clients' interests and ensuring the World Bank Treasury's asset management meets the highest standard of governance and that no conflict of interest arises. He is also responsible for participating in high-level investment discussions and capacity-building activities of the Department.</t>
  </si>
  <si>
    <t>hchoo@worldbank.org</t>
  </si>
  <si>
    <t>Dierctor, Investment Management Department</t>
  </si>
  <si>
    <t>310227-04P</t>
  </si>
  <si>
    <t>Indermit Gill Ph.D</t>
  </si>
  <si>
    <t>Indermit</t>
  </si>
  <si>
    <t>Dr. Indermit Gill serves as Chief Economist &amp; Senior Vice President, Development Economics at The World Bank Group. Before starting this position on September 1, 2022, Gill served as the World Bank's Vice President for Equitable Growth, Finance, and Institutions, where he helped shape the Bank's response to the extraordinary series of shocks that have hit developing economies since 2020. Between 2016 and 2021, he was a professor of public policy at Duke University and non-resident senior fellow at the Brookings Institution's Global Economy and Development program. Gill led the World Bank's influential 2009 World Development Report on economic geography. His work includes introducing the concept of the "middle-income trap" to describe how countries stagnate after reaching a certain level of income. He has published extensively on key policy issues facing developing countries-among other things, sovereign debt vulnerabilities, green growth and natural-resource wealth, labor markets, and poverty and inequality. Gill has also taught at Georgetown University and the University of Chicago. He holds a Ph.D. in economics from the University of Chicago</t>
  </si>
  <si>
    <t>igill@worldbank.org</t>
  </si>
  <si>
    <t>Chief Economist &amp; Senior Vice President, Development Economics</t>
  </si>
  <si>
    <t>66224-80P</t>
  </si>
  <si>
    <t>Jorge Familiar</t>
  </si>
  <si>
    <t>Familiar</t>
  </si>
  <si>
    <t>Mr. Jorge Familiar serves as Vice President, Treasurer &amp; Pension Finance Administrator at The World Bank Group. He has oversight the overall aspect of financial operations, financial reporting, and internal control framework for the International Bank for Reconstruction and Development, the International Development Association, the International Finance Corporation, the Multilateral Investment Guarantee Agency, and the extensive Trust Fund/Joint Venture portfolio of these entities. He also leads the client service function for the World Bank Group accounting and business services and trust funds.</t>
  </si>
  <si>
    <t>jfamiliar@worldbank.org</t>
  </si>
  <si>
    <t>Vice President, Treasurer &amp; Pension Finance Administrator</t>
  </si>
  <si>
    <t>198850-78P</t>
  </si>
  <si>
    <t>Jorge Gonzalez</t>
  </si>
  <si>
    <t>Mr. Jorge Gonzalez serves as Director of Global Corporate Solutions (GCS) at The World Bank Group. He brings to this role a deep knowledge of multilateral development banks, a proven track record in corporate strategy and development, and a reputation for effective stakeholder engagement. He has been widely recognized for his management skills and stewardship of policies and procedures within international financial institutions with a focus on strategy, ethics, and governance. Prior to this position, He was Alternate Executive Director at the International Monetary Fund, a position he held since 2016. Previously, he served as Director General for Macroeconomic Analysis and International Finance at the Ministry of Economy of Spain. He has served on the Boards of Governors and Boards of Directors of several multilateral banks, including the World Bank, the Inter-American Development Bank, the CAF-Development Bank of Latin America, and the African Development Bank. He was Spain's chief negotiator for the establishment of the Asian Infrastructure Investment Bank and the Green Climate Fund. He has also been a member of the economic policy committees of the European Union and the Organization for Economic Co-operation and Development (OECD). As Chief Ethics Officer, Mr. Dajani directs the Ethics and Business Conduct Department, which promotes the development and application of the highest ethical standards by staff members in the performance of their duties. He provides overall strategic leadership on ethics and business conduct, ensuring that ethics and the Bank Group's values are fully incorporated into the strategy of the entire World Bank Group. He reports directly to the President of the World Bank Group. Mr. Dajani, a Spanish national, has a Bachelor's and a Master's degree in Economics from Universidad Autónoma de Madrid.</t>
  </si>
  <si>
    <t>jgonzalex@worldbank.org</t>
  </si>
  <si>
    <t>Director of Global Corporate Solutions (GCS)</t>
  </si>
  <si>
    <t>152538-13P</t>
  </si>
  <si>
    <t>Lakshmi Shyam-Sunder Ph.D</t>
  </si>
  <si>
    <t>Lakshmi</t>
  </si>
  <si>
    <t>Shyam-Sunder</t>
  </si>
  <si>
    <t>Chief Risk Officer &amp; Vice President</t>
  </si>
  <si>
    <t>Dr. Lakshmi Shyam-Sunder serves as Vice President &amp; World Bank Group Chief Risk Officer at The World Bank Group. She was appointed Vice President and World Bank Group Chief Risk Officer in February 2014. She was previously Chief Financial Officer and Director, Finance, and Risk at the Multilateral Investment Guarantee Agency (MIGA), the political risk insurance and credit enhancement arm of the World Bank Group. Ms. Shyam-Sunder was one of the key contributors to the MIGA/IBRD Exposure Exchange Agreement within the Bank Group and was responsible for strengthening and enhancing the finance, risk, resource management, IT, and control functions in MIGA. Prior to joining MIGA in March 2011, Ms. Shyam-Sunder worked at the International Finance Corporation (IFC), also part of the World Bank Group, where she held a variety of positions. As Director for Corporate Risk, she led the development of a new Client Risk Management Advisory Service function for IFC clients and the creation of the International Financial Institutions Risk Data Consortium. Before that Ms. Shyam-Sunder was Director of IFC's Risk Management and Financial Policy Department where she developed IFC's integrated economic capital and pricing framework and had responsibility for all financial risks arising from the Corporation's loan and equity investments in emerging markets, and Treasury activities as well as managing rating-agency issues. She was also Co-Chair of IFC's New Products Assessment Group. Ms. Shyam-Sunder has consulted for a wide range of public and private sector institutions in the U.S. and in emerging markets. She has also served on the Board, and Finance and Risk Committees of institutions in emerging markets. Before joining IFC, Ms. Shyam-Sunder was a faculty member at the MIT Sloan School of Management where she received an award for Excellence in Teaching. Ms. Shyam-Sunder was also on the faculty of The Tuck School of Business Administration at Dartmouth College. Ms. Shyam-Sunder holds a Ph.D. in finance from the MIT Sloan School of Management and an MBA from the Indian Institute of Management, Ahmedabad.</t>
  </si>
  <si>
    <t>lsunder@worldbank.org</t>
  </si>
  <si>
    <t>Vice President &amp; Chief Risk Officer</t>
  </si>
  <si>
    <t>424813-60P</t>
  </si>
  <si>
    <t>Marie Marie-Nelly</t>
  </si>
  <si>
    <t>Marie-Nelly</t>
  </si>
  <si>
    <t>Mr. Marie Francoise Marie Nelly serves as Country Director at The World Bank Group.</t>
  </si>
  <si>
    <t>mfrancoise@worldbank.org</t>
  </si>
  <si>
    <t>166676-77P</t>
  </si>
  <si>
    <t>Ousmane Diagana</t>
  </si>
  <si>
    <t>Ousmane</t>
  </si>
  <si>
    <t>Diagana</t>
  </si>
  <si>
    <t>Mr. Ousmane Diagana serves as Vice President of Western &amp; Central Africa at The World Bank Group. He became the Vice President of World Bank Group Human Resources in February 2018. In this role, he provides overall strategic leadership on human resource matters to the entire World Bank Group and oversees the development and implementation of the World Bank Group People Strategy, and HR policies, programs and services. Prior to this appointment, Diagana was the Vice President for Ethics and Business Conduct (EBC) and Chief Ethics Officer of the World Bank Group, a position he held since October 2015. Diagana is recognized as an organizational leader, personal mentor and professional role model. He brings to this role a deep knowledge of Bank Group operations, a reputation for innovative and strategic thinking, recognized managerial skills, and a country office perspective. Previously, he was World Bank Country Director for Côte d'Ivoire, Burkina Faso, Benin, Guinea, and Togo, based in Abidjan and prior to that he held the position of Country Director for Mali, Niger, Chad, and Guinea, based in Bamako. Between 2006 and 2009, Diagana was Country Manager in Niger and from 2004 to 2006, he was Program Leader in Morocco. In these capacities, he effectively led diverse, multi-disciplinary teams to deliver innovative strategies and operations in fragile and conflict-affected countries. In 2009, Diagana received the Good Manager Award from the World Bank Group Staff Association in recognition of his leadership skills. Diagana, a Mauritanian national, joined the Bank in 1992. He has degrees in economics, finance, and planning, as well as a certificate in education policies and analysis.</t>
  </si>
  <si>
    <t>odiagana@worldbank.org</t>
  </si>
  <si>
    <t>Vice President of Western &amp; Central Africa</t>
  </si>
  <si>
    <t>170291-71P</t>
  </si>
  <si>
    <t>Qimiao Fan Ph.D</t>
  </si>
  <si>
    <t>Qimiao</t>
  </si>
  <si>
    <t>Mr. Qimiao Fan serves as Director for Kenya, Rwanda, Somalia, and Uganda, Africa at The World Bank Group. Before that, he served as Country Director for Bangladesh, Bhutan, and Nepal, South Asia at The World Bank Group. He started the position in March 2016 and is based in Dhaka, Bangladesh. Prior to this assignment, he was the Country Director for Belarus, Moldova, and Ukraine based in Kyiv. Fan oversees the Bank's program in the three countries and leads policy dialogue with government counterparts, civil society, and other partners. He holds a Ph.D. in Economics from the University of Birmingham, England, and a B.A. in Economics from Jiangxi Institute of Finance and Economics in China. He has published widely on topics related to investment climate and problems of economies in transition.</t>
  </si>
  <si>
    <t>qfan@worldbank.org</t>
  </si>
  <si>
    <t>Director for Kenya, Rwanda, Somalia, and Uganda, Africa</t>
  </si>
  <si>
    <t>51501-88P</t>
  </si>
  <si>
    <t>Rhonda Jordan-Antoine</t>
  </si>
  <si>
    <t>Jordan-Antoine</t>
  </si>
  <si>
    <t>Ms. Rhonda Jordan-Antoine serves as a Senior Energy Specialist at The World Bank Group.</t>
  </si>
  <si>
    <t>rjordan@worldbank.org</t>
  </si>
  <si>
    <t>Senior Energy Specialist</t>
  </si>
  <si>
    <t>401557-96P</t>
  </si>
  <si>
    <t>Sahar Ghoussoub</t>
  </si>
  <si>
    <t>Sahar</t>
  </si>
  <si>
    <t>Ghoussoub</t>
  </si>
  <si>
    <t>Ms. Sahar Ghoussoub serves as Senior ESG Specialist at the World Bank Pension Fund at The World Bank Group. She earned her DEA in International Finance and Economics from Paris Dauphine University in 2004. Prior to that, she completed her Bachelor of Science with Honors in Applied Economics at the same institution in 2003, following her Bachelor of Science in Economics, which she obtained in 2002.</t>
  </si>
  <si>
    <t>sghoussoub@worldbank.org</t>
  </si>
  <si>
    <t>Senior ESG Specialist at the World Bank Pension Fund</t>
  </si>
  <si>
    <t>388696-15P</t>
  </si>
  <si>
    <t>Samuel Maimbo</t>
  </si>
  <si>
    <t>Maimbo</t>
  </si>
  <si>
    <t>Mr. Samuel Maimbo serves as Vice President of Budget, Performance Review &amp; Strategic Planning at The World Bank Group.</t>
  </si>
  <si>
    <t>smaunzelemaimbo@worldbank.org</t>
  </si>
  <si>
    <t>Vice President, Budget, Performance Review &amp; Strategic Planning</t>
  </si>
  <si>
    <t>79175-98P</t>
  </si>
  <si>
    <t>Wencai Zhang Ph.D</t>
  </si>
  <si>
    <t>Wencai</t>
  </si>
  <si>
    <t>Dr. Wencai Zhang serves as Chief Administrative Officer &amp; Managing Director at The World Bank Group. He served as Vice President of Operations 1 at the Asian Development Bank. He is responsible for operations in the South Asia Department and the Central and West Asia Department. Before joining ADB, Mr. Zhang was the Director General of the Department of External Economic Cooperation at the Ministry of Finance (MOF) of the People's Republic of China (PRC). He served as the Deputy Director General for the International Department of MOF from July 2004 to July 2012, where he worked with various multilateral initiatives, including the Group of 20 (G20), Association of Southeast Asian Nations+3 (ASEAN+3), and Asia Pacific Economic Cooperation. From April 2007 to September 2009, Mr. Zhang was the Executive Director for the PRC at ADB, where he was the Chairman of the Budget Review Committee and a member of the Development Effectiveness Committee and the Ethics Committee of the Board of Directors. From December 1993 to May 1996, he was the Advisor to the Executive Director of China at the World Bank in Washington, D.C. Since July 1989, Mr. Zhang has held senior positions in the MOF, overseeing loan programs, technical assistance and training, international financial institutions, and international economic relations. Mr. Zhang holds a PhD in Finance from the Chinese Academy of Social Sciences. He earned his Master's Degree and Bachelor's Degree in International Economics from Nan Kai University in Tianjin.</t>
  </si>
  <si>
    <t>wzhang@worldbank.org</t>
  </si>
  <si>
    <t>310999-96P</t>
  </si>
  <si>
    <t>Wendy Teleki</t>
  </si>
  <si>
    <t>Teleki</t>
  </si>
  <si>
    <t>Ms. Wendy Teleki serves as Head of the Women Entrepreneurs Finance Initiative at The World Bank Group. She also serves as Head of the Secretariat at the Women Entrepreneurs Finance Initiative. Ms. Teleki joined We-Fi in May 2019. Prior to that, Ms. Teleki worked with the International Finance Corporation leading numerous activities and initiatives focused on small and medium enterprise development in emerging markets around the world. This included several blended finance, investment, and advisory programs, including IFC's We-Fi program and the Global SME Finance Initiative. She has an MBA in Finance from the Wharton School of Business and an MA in International Economics from the Johns Hopkins School of Advanced International Studies.</t>
  </si>
  <si>
    <t>wteleki@worldbank.org</t>
  </si>
  <si>
    <t>Head of the Women Entrepreneurs Finance Initiative Secretariat</t>
  </si>
  <si>
    <t>391435-93P</t>
  </si>
  <si>
    <t>Alex Khripko</t>
  </si>
  <si>
    <t>Khripko</t>
  </si>
  <si>
    <t>Third Derivative</t>
  </si>
  <si>
    <t>Ms. Alex Khripko serves as Manager, Ecosystem Partnerships at Third Derivative. She holds a Bachelor's degree in Public Policy and Administration from Carleton University and a Masters of Public Policy from the Hertie School in Berlin.</t>
  </si>
  <si>
    <t>akhripko@third-derivative.org</t>
  </si>
  <si>
    <t>Manager, Ecosystem Partnerships</t>
  </si>
  <si>
    <t>391428-55P</t>
  </si>
  <si>
    <t>Alexander Rutter</t>
  </si>
  <si>
    <t>Mr. Alexander Rutter serves as Manager, Research at Third Derivative. He has previously work on Renewable Energy, grid management and Green Hydrogen at Multilaterals including ISA and IFC and the consulting firm BCG. He holds an MBA from the India School of Business and a degree in Electrical Engineering from the University of Waterloo.</t>
  </si>
  <si>
    <t>arutter@third-derivative.org</t>
  </si>
  <si>
    <t>Manager, Research</t>
  </si>
  <si>
    <t>391467-88P</t>
  </si>
  <si>
    <t>Ali Rotatori</t>
  </si>
  <si>
    <t>Rotatori</t>
  </si>
  <si>
    <t>Ms. Ali Rotatori serves as Manager, Startup Portfolio at Third Derivative.</t>
  </si>
  <si>
    <t>arotatori@third-derivative.org</t>
  </si>
  <si>
    <t>Manager, Startup Portfolio</t>
  </si>
  <si>
    <t>391478-32P</t>
  </si>
  <si>
    <t>Amos Zerah</t>
  </si>
  <si>
    <t>Zerah</t>
  </si>
  <si>
    <t>Mr. Amos Zerah serves as Senior Associate, Startup Portfolio at Third Derivative.</t>
  </si>
  <si>
    <t>azerah@third-derivative.org</t>
  </si>
  <si>
    <t>Senior Associate, Startup Portfolio</t>
  </si>
  <si>
    <t>391477-33P</t>
  </si>
  <si>
    <t>Amy Fairbanks</t>
  </si>
  <si>
    <t>Ms. Amy Fairbanks serves as Manager, Strategic Communications at Third Derivative. Most recently, Amy led communications and marketing for a nonprofit climate tech investor, providing hands-on support to early-stage climate tech entrepreneurs. Amy is passionate about creating opportunities for fledgling, promising climate startups founded on innovative and transformative ideas.</t>
  </si>
  <si>
    <t>ayanowf@third-derivative.org</t>
  </si>
  <si>
    <t>Manager, Strategic Communications</t>
  </si>
  <si>
    <t>391441-33P</t>
  </si>
  <si>
    <t>Ana Mifsud</t>
  </si>
  <si>
    <t>Mifsud</t>
  </si>
  <si>
    <t>Ms. Ana Mifsud serves as Manager, Special Projects at Third Derivative. She works to help early-stage climate technology startups commercialize their technology. Her current focus includes developing cohorts for hard-to-abate industrial sectors, including concrete, steel, and chemicals.</t>
  </si>
  <si>
    <t>amifsud@third-derivative.org</t>
  </si>
  <si>
    <t>Manager, Special Projects</t>
  </si>
  <si>
    <t>391424-14P</t>
  </si>
  <si>
    <t>Carie Davis</t>
  </si>
  <si>
    <t>Carie</t>
  </si>
  <si>
    <t>Ms. Carie Davis serves as Principal, Partnerships at Third Derivative.</t>
  </si>
  <si>
    <t>cdavis@third-derivative.org</t>
  </si>
  <si>
    <t>Principal, Partnerships</t>
  </si>
  <si>
    <t>391473-28P</t>
  </si>
  <si>
    <t>Caroline Winslow</t>
  </si>
  <si>
    <t>Winslow</t>
  </si>
  <si>
    <t>Ms. Caroline Winslow serves as Manager, Special Projects at Third Derivative. Prior to joining Third Derivative, Caroline worked on the Carbon-Free Buildings program at RMI, supporting the Global Cooling Prize, an international innovation competition to identify super-efficient, climate-friendly, and affordable residential cooling technologies. While working on the Prize, Caroline established and managed a coalition of global nonprofit partners, recruited international Prize applicants, developed thought leadership pieces, and led the Prize's global marketing and communications outreach. Before her time at RMI, Caroline completed her undergraduate degree at Colby College studying Environmental Policy.</t>
  </si>
  <si>
    <t>cwinslow@third-derivative.org</t>
  </si>
  <si>
    <t>391471-39P</t>
  </si>
  <si>
    <t>Cheryl Webster</t>
  </si>
  <si>
    <t>Ms. Cheryl Webster serves as Senior Associate, Programming at Third Derivative.</t>
  </si>
  <si>
    <t>cwebster@third-derivative.org</t>
  </si>
  <si>
    <t>Senior Associate, Programming</t>
  </si>
  <si>
    <t>288890-65P</t>
  </si>
  <si>
    <t>Chetan Krishna</t>
  </si>
  <si>
    <t>Mr. Chetan Krishna serves as Head of Research and Diligence at Third Derivative. He served as a Founding Team Member at 3iPartners. Before D3, he worked with various academic and multilateral organizations in climate-relevant financing, policy, and innovation, including the Massachusetts Institute of Technology and International Finance Corporation. Most recently, he was an impact investor with 3i Partners. he holds a bachelor's in engineering from IIT Delhi and a master's in technology policy from MIT.</t>
  </si>
  <si>
    <t>ckrishna@third-derivative.org</t>
  </si>
  <si>
    <t>Head of Research and Diligence</t>
  </si>
  <si>
    <t>391472-65P</t>
  </si>
  <si>
    <t>Christi Widmar</t>
  </si>
  <si>
    <t>Christi</t>
  </si>
  <si>
    <t>Widmar</t>
  </si>
  <si>
    <t>Ms. Christi Widmar serves as Senior Associate at Third Derivative. She works behind the scenes to provide operational support in project management, budget and financial management, people processes, and more throughout the program.</t>
  </si>
  <si>
    <t>cwidmar@third-derivative.org</t>
  </si>
  <si>
    <t>Senior Associate, Community Engagement</t>
  </si>
  <si>
    <t>391448-53P</t>
  </si>
  <si>
    <t>Claude Rosen</t>
  </si>
  <si>
    <t>Mr. Claude Rosen serves as Head of Operations at Third Derivative. In this role, Claude works to ensure that everything is running smoothly and firing on all cylinders for D3's global team.</t>
  </si>
  <si>
    <t>crosen@third-derivative.org</t>
  </si>
  <si>
    <t>391432-42P</t>
  </si>
  <si>
    <t>David Hynek</t>
  </si>
  <si>
    <t>Hynek</t>
  </si>
  <si>
    <t>Mr. David Hynek serves as Senior Associate at Third Derivative.</t>
  </si>
  <si>
    <t>dhynek@third-derivative.org</t>
  </si>
  <si>
    <t>265712-23P</t>
  </si>
  <si>
    <t>Ella Warshauer</t>
  </si>
  <si>
    <t>Ella</t>
  </si>
  <si>
    <t>Warshauer</t>
  </si>
  <si>
    <t>Ms. Ella Warshauer serves as Senior Associate, Business Development at Third Derivative. She served as Executive at Powerhouse Equipment &amp; Engineering Co. She works with corporates, investors, and philanthropic organizations to develop new partnerships across D3's climate tech ecosystem that support the transition to a low-carbon future.</t>
  </si>
  <si>
    <t>ewarshauer@third-derivative.org</t>
  </si>
  <si>
    <t>Senior Associate, Business Development</t>
  </si>
  <si>
    <t>391422-88P</t>
  </si>
  <si>
    <t>Emily Brzozowski</t>
  </si>
  <si>
    <t>Brzozowski</t>
  </si>
  <si>
    <t>Ms. Emily Brzozowski serves as Data &amp; Tools Specialist at Third Derivative.</t>
  </si>
  <si>
    <t>ebrzozowski@third-derivative.org</t>
  </si>
  <si>
    <t>Data &amp; Tools Specialist</t>
  </si>
  <si>
    <t>391446-64P</t>
  </si>
  <si>
    <t>Emily Rogers</t>
  </si>
  <si>
    <t>Ms. Emily Rogers serves as Manager, First Gigaton Captured at Third Derivative. She works closely with RMI's carbon initiatives - Carbon Dioxide Removal Initiative and Carbon Markets Initiative - to bring the organization's expertise to startups in the cohort.</t>
  </si>
  <si>
    <t>erogers@third-derivative.org</t>
  </si>
  <si>
    <t>Manager, First Gigaton Captured</t>
  </si>
  <si>
    <t>391440-16P</t>
  </si>
  <si>
    <t>Emma Loewen</t>
  </si>
  <si>
    <t>Loewen</t>
  </si>
  <si>
    <t>Ms. Emma Loewen serves as Manager, Special Projects at Third Derivative.</t>
  </si>
  <si>
    <t>eloewen@third-derivative.org</t>
  </si>
  <si>
    <t>391475-44P</t>
  </si>
  <si>
    <t>Guy Wohl</t>
  </si>
  <si>
    <t>Mr. Guy Wohl serves as Senior Associate, First Gigaton Captured at Third Derivative. Since 2006, Guy has worked in diverse capacities with environmental NGOs in Israel, the United States, Paraguay, and Australia, including collaboration with the World Wildlife Fund and The Nature Conservancy. Past projects and sectors of interest include surface water quality, watershed ecological restoration, geospatial studies of socioeconomics, land use issues, land degradation and restoration optimization, endangered ecosystems and species conservation, climate science education, and community-based conservation planning. Before working with environmental NGOs, Guy served three years as an infantry medic and commander in the Israel Defense Forces.</t>
  </si>
  <si>
    <t>gwohl@third-derivative.org</t>
  </si>
  <si>
    <t>Senior Associate, First Gigaton Captured</t>
  </si>
  <si>
    <t>391427-38P</t>
  </si>
  <si>
    <t>Jamie Hankins</t>
  </si>
  <si>
    <t>Hankins</t>
  </si>
  <si>
    <t>Mr. Jamie Hankins serves as Startup Portfolio Manager at Third Derivative.</t>
  </si>
  <si>
    <t>jhankins@third-derivative.org</t>
  </si>
  <si>
    <t>Startup Portfolio Manager</t>
  </si>
  <si>
    <t>391425-76P</t>
  </si>
  <si>
    <t>Juan Estalella</t>
  </si>
  <si>
    <t>Estalella</t>
  </si>
  <si>
    <t>Mr. Juan Estalella serves as Manager, Corporate &amp; Investor Engagement at Third Derivative.</t>
  </si>
  <si>
    <t>jestalella@third-derivative.org</t>
  </si>
  <si>
    <t>Manager, Corporate &amp; Investor Engagement</t>
  </si>
  <si>
    <t>391445-29P</t>
  </si>
  <si>
    <t>Lindsay Rasmussen</t>
  </si>
  <si>
    <t>Rasmussen</t>
  </si>
  <si>
    <t>Ms. Lindsay Rasmussen serves as Manager, Research &amp; Diligence at Third Derivative. She leads the research and due diligence efforts for building sector and land use startups. Previously, on RMI's Urban Transformation team, her work entailed helping cities meet ambitious equity and climate action goals. Her projects focus on nature-based solutions, city cooling and reducing the urban heat island effect, embodied carbon in city infrastructure, and urban planning and policy for meeting the 1.5°C target.</t>
  </si>
  <si>
    <t>lrasmussen@third-derivative.org</t>
  </si>
  <si>
    <t>Manager, Research &amp; Diligence</t>
  </si>
  <si>
    <t>391424-86P</t>
  </si>
  <si>
    <t>Maddy Dinsdale</t>
  </si>
  <si>
    <t>Maddy</t>
  </si>
  <si>
    <t>Dinsdale</t>
  </si>
  <si>
    <t>Ms. Maddy Dinsdale serves as Startup Portfolio Senior Associate at Third Derivative.</t>
  </si>
  <si>
    <t>mdinsdale@third-derivative.org</t>
  </si>
  <si>
    <t>Startup Portfolio Senior Associate</t>
  </si>
  <si>
    <t>391444-48P</t>
  </si>
  <si>
    <t>Mosi Odom</t>
  </si>
  <si>
    <t>Mosi</t>
  </si>
  <si>
    <t>Odom</t>
  </si>
  <si>
    <t>Ms. Mosi Odom serves as Executive Assistant at Third Derivative.</t>
  </si>
  <si>
    <t>modom@third-derivative.org</t>
  </si>
  <si>
    <t>391143-79P</t>
  </si>
  <si>
    <t>Pilar Lucena</t>
  </si>
  <si>
    <t>Lucena</t>
  </si>
  <si>
    <t>Ms. Pilar Lucena serves as Investments &amp; Fund Partnerships Principal at Third Derivative.</t>
  </si>
  <si>
    <t>pcarvajolucena@third-derivative.org</t>
  </si>
  <si>
    <t>Investments &amp; Fund Partnerships Principal</t>
  </si>
  <si>
    <t>391469-05P</t>
  </si>
  <si>
    <t>Raivat Singhania</t>
  </si>
  <si>
    <t>Raivat</t>
  </si>
  <si>
    <t>Singhania</t>
  </si>
  <si>
    <t>Mr. Raivat Singhania serves as Senior Associate, Research and Diligence at Third Derivative. Raivat develops techno-economic models to analyze the economic feasibility and areas for cost reduction in various clean energy technologies, with expertise in the hydrogen sector. Using the knowledge gained from said models, Raivat develops investment briefs for D3's large portfolio of investment partners to encourage investment in technology spaces D3 believes are strong candidates for next-generation clean energy technologies. Raivat also conducts due diligence on startup applicants from the perspective of technological feasibility.</t>
  </si>
  <si>
    <t>rsinghania@third-derivative.org</t>
  </si>
  <si>
    <t>Senior Associate, Research and Diligence</t>
  </si>
  <si>
    <t>391080-61P</t>
  </si>
  <si>
    <t>Roy Torbert</t>
  </si>
  <si>
    <t>Torbert</t>
  </si>
  <si>
    <t>Mr. Roy Torbert serves as Head of Programs at Third Derivative.</t>
  </si>
  <si>
    <t>rtorbert@third-derivative.org</t>
  </si>
  <si>
    <t>Head of Programs</t>
  </si>
  <si>
    <t>391442-50P</t>
  </si>
  <si>
    <t>Rushad Nanavatty</t>
  </si>
  <si>
    <t>Rushad</t>
  </si>
  <si>
    <t>Nanavatty</t>
  </si>
  <si>
    <t>Mr. Rushad Nanavatty serves as Managing Director at Third Derivative.</t>
  </si>
  <si>
    <t>rnanavatty@third-derivative.org</t>
  </si>
  <si>
    <t>165598-93P</t>
  </si>
  <si>
    <t>Ryan Kushner</t>
  </si>
  <si>
    <t>Kushner</t>
  </si>
  <si>
    <t>Mr. Ryan Kushner is a Co-Founder &amp; serves as Head of Philanthropic Partnerships at Third Derivative. He served as Global Network and Curriculum Lead at New Energy Nexus. He served as a Program Facilitation Executive at Elemental Impact. He helps leverage Elemental Excelerator's experience finding and funding promising startup companies to support Free Electrons, a utility-driven accelerator focused on innovation and rapid deployment, where EEx serves as the Program Facilitator. He was working on major leverage points in the renewable energy space, through his work helping California communities become CCAs, as well as through work around carbon neutrality and carbon taxes. He has co-founded and worked at numerous energy and climate startups and non-profits. He received an MBA in Sustainable Business from Presidio Graduate School with a focus on strategy and a Bachelor of Science in English from the University of Wisconsin-Madison. He has lectured on Climate, Communications, and Cleantech at UC Berkeley, Presidio Graduate School, and CCA's MBA program.</t>
  </si>
  <si>
    <t>rkushner@third-derivative.org</t>
  </si>
  <si>
    <t>Co-Founder &amp; Head of Philanthropic Partnerships</t>
  </si>
  <si>
    <t>391438-90P</t>
  </si>
  <si>
    <t>Ryan Laemel</t>
  </si>
  <si>
    <t>Laemel</t>
  </si>
  <si>
    <t>Mr. Ryan Laemel serves as Principal, Special Projects at Third Derivative. His current focus is developing three new startup cohorts focused on cement, steel, and chemical decarbonization. Prior to Third Derivative, Ryan cofounded RMI's India program, where he led research, project, policy, and convening work on transportation decarbonization and vehicle electrification at the national, state, and city levels.</t>
  </si>
  <si>
    <t>Principal, Special Projects</t>
  </si>
  <si>
    <t>391420-54P</t>
  </si>
  <si>
    <t>Silvan Aeschlimann</t>
  </si>
  <si>
    <t>Silvan</t>
  </si>
  <si>
    <t>Aeschlimann</t>
  </si>
  <si>
    <t>Mr. Silvan Aeschlimann serves as Direct Air Capture Advisor at Third Derivative.</t>
  </si>
  <si>
    <t>Direct Air Capture Advisor</t>
  </si>
  <si>
    <t>391144-24P</t>
  </si>
  <si>
    <t>Stella Liu</t>
  </si>
  <si>
    <t>Ms. Stella Liu serves as Investments &amp; Fund Partnerships Senior Associate at Third Derivative.</t>
  </si>
  <si>
    <t>sliu@third-derivative.org</t>
  </si>
  <si>
    <t>Investments &amp; Fund Partnerships Senior Associate</t>
  </si>
  <si>
    <t>83318-32P</t>
  </si>
  <si>
    <t>Shaun Abrahamson</t>
  </si>
  <si>
    <t>Third Sphere</t>
  </si>
  <si>
    <t>Mr. Shaun Abrahamson is a Co-Founder and serves as Managing Partner at Third Sphere. Mr. Abrahamson serves as Advisor at Citymart. He served as an Investment Committee Member at Urban-X. He also serves as Board Member at Cove. Tool. Before Urban Us he was an active angel investor, investing in more than 20 firms between 2007 and 2013 including ZocDoc, Trialpay (acquired by Visa), Refinery29, Skycatch, and Tonx (Acq. Blue Bottle Coffee). Early-stage investing and advising were informed by his experiences building MediaSentry (acquired by SafeNet in 2005), Starmedia Network (acquired France Telecom), govWorks (the subject of the documentary Startup.com 2001), and Oculus (MIT CADLab spin-out). He has written for organizations such as The Economist Intelligence Unit, The Huffington Post, and CNNMoney and taught classes at Wharton, NYU, and the University of Chicago Booth School. Crowdstorm, his first book, is a guide to working with large online crowds to find and evaluate ideas. The book is a result of his experiences running open innovation projects in the United States, European Union, and Latin America for clients such as Starbucks, Omnicom Group, $300 House, and Life Edited, and features firms ranging from LEGO to GE. He has an MSc from MIT where he focused on computer-aided design, an MBA from the Berlin School of Creative Leadership where he researched online collaboration, and a BSc from the University of Cape Town.</t>
  </si>
  <si>
    <t>shaun@thirdsphere.com</t>
  </si>
  <si>
    <t>233022-07P</t>
  </si>
  <si>
    <t>Shilpi Kumar</t>
  </si>
  <si>
    <t>Shilpi</t>
  </si>
  <si>
    <t>Ms. Shilpi Kumar serves as Partner at Third Sphere. She served as Board Member at Resonant Link. She served as Advisor at Perl Street. She is a member of the investment and portfolio support team. She specializes in new product market research and product strategy for early-stage companies, with experience as both a consultant and early employee. She previously led go-to-market and early sales efforts at Filament, a startup focused on deploying secure wireless networks for connected physical assets. She has also worked directly with manufacturing, construction, and shipping/logistics. Shilpi has a background as an investor, focused on hardware, industrial IoT, and robotics. Before Urban Us, she worked with VTF, First Round Capital, and Village Global. She graduated from Duke University with a degree in Neuroscience and Economics.</t>
  </si>
  <si>
    <t>shilpi@thirdsphere.com</t>
  </si>
  <si>
    <t>94102</t>
  </si>
  <si>
    <t>83370-70P</t>
  </si>
  <si>
    <t>Stonly Blue</t>
  </si>
  <si>
    <t>Stonly</t>
  </si>
  <si>
    <t>Mr. Stonly Blue is a Co-Founder and serves as an Advisor at Perl Street. Mr. Blue co-founded and served as a Partner of Urban-X. He served as Advisor at Blokable. He co-founded WhatUpBridge. He served as the Chief Technology Officer at Veddio. He also Co-Founded the company. He leads investment research, community management, and technology platform development. He has worked with the University of Chicago's Booth School of Business to help create an MBA class on how Entrepreneurship is being used to solve urban challenges. He was recently recognized as one of CNN Money's 2015 Upstart 30: a list of game-changing companies, entrepreneurs, and investors under the age of 40. He previously founded Veddio Cloud Solutions, an enterprise software company, which was acquired after a year of self-funded growth. He has built five ventures (and sold two) spanning different sectors from technology to real estate and international markets, including Brazil and Canada.</t>
  </si>
  <si>
    <t>+1 (786) 393-0998</t>
  </si>
  <si>
    <t>Perl Street</t>
  </si>
  <si>
    <t>274531-06P</t>
  </si>
  <si>
    <t>Yana Klimova</t>
  </si>
  <si>
    <t>Klimova</t>
  </si>
  <si>
    <t>Ms. Yana Klimova serves as Chief Financial Officer at Third Sphere. As a CFO and a Partner at an outsourced finance and accounting firm, she provided scaling solutions to dozens of companies in the Clean Tech and SaaS spheres. Before that, she was the Head of Finance at the Unreasonable Group, an accelerator and investor in high-growth ventures that are solving global challenges with advanced technologies. Her investment banking background includes global equity with Wellington Management and derivates with Bank of America Merrill Lynch. Later, she joined the nonprofit Partners In Health to manage financials across a portfolio of developing countries. She holds a Dual Master's of Science in Corporate Finance and Accounting from Boston College, and a degree in International Economics from Brandeis University.</t>
  </si>
  <si>
    <t>yana@thirdsphere.com</t>
  </si>
  <si>
    <t>240272-38P</t>
  </si>
  <si>
    <t>Alexandra Rutledge</t>
  </si>
  <si>
    <t>Thornton Tomasetti</t>
  </si>
  <si>
    <t>Ms. Alexandra Rutledge serves as Business Development Manager at Thornton Tomasetti.</t>
  </si>
  <si>
    <t>+1 (917) 661-7800</t>
  </si>
  <si>
    <t>arutledge@thorntontomasetti.com</t>
  </si>
  <si>
    <t>120 Broadway</t>
  </si>
  <si>
    <t>10271-0016</t>
  </si>
  <si>
    <t>+1 (917) 725-8773</t>
  </si>
  <si>
    <t>107139-70P</t>
  </si>
  <si>
    <t>Amy Hattan</t>
  </si>
  <si>
    <t>Hattan</t>
  </si>
  <si>
    <t>Associate &amp; Executive Officer</t>
  </si>
  <si>
    <t>Ms. Amy Hattan serves as LEED Green Associate &amp; Corporate Responsibility Officer at Thornton Tomasetti. Prior to this, she served as the Chief Operating Officer at Fore Solutions. She has more than 19 years of experience managing programs, projects, and communication efforts in the sustainability field. Previously, she was the director of strategic initiatives at Second Nature in Boston, where she developed a national capacity-building program funded by the Kresge Foundation to advance green building in higher education. She was integral to the development of the Sustainability Institute at the University of New Hampshire and served as the campus sustainability coordinator for Middlebury College in Vermont.</t>
  </si>
  <si>
    <t>+1 (207) 245-6072</t>
  </si>
  <si>
    <t>ahattan@thorntontomasetti.com</t>
  </si>
  <si>
    <t>LEED Green Associate &amp; Corporate Responsibility Officer</t>
  </si>
  <si>
    <t>161399-26P</t>
  </si>
  <si>
    <t>Andrew Goldbaum</t>
  </si>
  <si>
    <t>Goldbaum</t>
  </si>
  <si>
    <t>Mr. Andrew Goldbaum serves as Chief Operating Officer at Thornton Tomasetti. He provides strategic direction and oversight for our support departments: Finance &amp; Accounting, Human Resources, Information Technology, Marketing &amp; Communications and Organizational Development. He joined Thornton Tomasetti in 2014 with more than 25 years of experience in global financial, strategic and operational leadership. He was most recently chief financial officer and chief operations officer at Mercer Inc. - Talent Business, a multinational consulting business based in New York where he led the financial planning and analysis, strategic planning and operations functions. His additional expertise includes managing risks and controls, process and operational improvements, and mergers and acquisitions for multinational businesses.</t>
  </si>
  <si>
    <t>agoldbaum@thorntontomasetti.com</t>
  </si>
  <si>
    <t>161409-16P</t>
  </si>
  <si>
    <t>Bruce Gibbons</t>
  </si>
  <si>
    <t>Gibbons</t>
  </si>
  <si>
    <t>Mr. Bruce Gibbons serves as Managing Principal at Thornton Tomasetti. Mr. Bruce Gibbons serves as Senior Principal at Thornton Tomasetti. Bruce Gibbons heads the firm's creative design effort, which focuses on supporting design thinking within the firm and with trusted partners in academia and the industry. He previously headed our operations in the Western United States and serves on the board of directors. He joined Thornton Tomasetti in 2004 to establish the Los Angeles office. Over a career that spans more than three decades, he has been responsible for the design and renovation of a broad array of complex and expressive structures in North America, Europe, Asia and the Middle East. Some of his notable projects include the Anaheim Regional Transportation Intermodal Center, California Institute of the Arts' Wild Beast Pavilion in Valencia and Rose Bowl Stadium renovation in Pasadena, all of which are in California, and BMO Field in Toronto, Canada.</t>
  </si>
  <si>
    <t>+1 (213) 330-7000</t>
  </si>
  <si>
    <t>bgibbons@thorntontomasetti.com</t>
  </si>
  <si>
    <t>Managing Principal</t>
  </si>
  <si>
    <t>264796-12P</t>
  </si>
  <si>
    <t>Dom Ponsades</t>
  </si>
  <si>
    <t>Dom</t>
  </si>
  <si>
    <t>Ponsades</t>
  </si>
  <si>
    <t>Mr. Dom Ponsades serves as Senior Lead Researcher at Thornton Tomasetti. Mr. Ponsades served as Executive, Business Development at Thornton Tomasetti. Dom Ponsades is a senior lead researcher with our Business Development team.</t>
  </si>
  <si>
    <t>+1 (917) 661-8178</t>
  </si>
  <si>
    <t>dponsades@thorntontomasetti.com</t>
  </si>
  <si>
    <t>Senior Lead Researcher</t>
  </si>
  <si>
    <t>240272-56P</t>
  </si>
  <si>
    <t>Jeremy Erickson</t>
  </si>
  <si>
    <t>Mr. Jeremy Erickson serves as Associate Principal at Thornton Tomasetti. He served as Vice President, Business Development at Thornton Tomasetti.</t>
  </si>
  <si>
    <t>+1 (415) 369-6954</t>
  </si>
  <si>
    <t>jerickson@thorntontomasetti.com</t>
  </si>
  <si>
    <t>Associate Principal</t>
  </si>
  <si>
    <t>240272-65P</t>
  </si>
  <si>
    <t>Jessica Kandel</t>
  </si>
  <si>
    <t>Kandel</t>
  </si>
  <si>
    <t>Ms. Jessica Kandel serves as Vice President at Thornton Tomasetti.</t>
  </si>
  <si>
    <t>+1 (207) 879-1838</t>
  </si>
  <si>
    <t>jkandel@thorntontomasetti.com</t>
  </si>
  <si>
    <t>107140-69P</t>
  </si>
  <si>
    <t>Joseph Burns</t>
  </si>
  <si>
    <t>Mr. Joseph Burns serves as Managing Principal at Thornton Tomasetti. Joseph Burns is a passionate advocate for the deeper integration of architecture and engineering, which he promotes through technical innovation in the design of structural systems, collaboration in practice and leadership in building science education. With more than 40 years of experience, Joe specializes in the design of complex structural systems, including earthquake engineering and dynamic analysis. His credits span across several building types, including commercial, residential, healthcare, education, cultural, aviation and sports and infrastructure. A recipient of the American Institute of Steel Construction's Special Achievement Award, Joe was also named to Structural Engineer's Power List and Engineering News-Record's (ENR) Top 25 Newsmakers. He is well-known as an innovator of projects, receiving recognition for the pioneering use of Tekla modeling in the redevelopment of Chicago's Soldier Field in the late 1990s.</t>
  </si>
  <si>
    <t>jburns@thorntontomasetti.com</t>
  </si>
  <si>
    <t>240271-75P</t>
  </si>
  <si>
    <t>Michael Squarzini</t>
  </si>
  <si>
    <t>Squarzini</t>
  </si>
  <si>
    <t>Mr. Michael Squarzini serves as Co-Chief Executive Officer at Thornton Tomasetti. As Co-CEO, Mr. Squarzini provides strategic, operational and financial leadership for the firm. He guides the development of long- and short-term objectives, and programs and policies necessary for achieving our goals. Mike is responsible for decisions related to the firm's current operations and future growth, including the exploration of new business lines and geographies, partnerships, and strategic investments and merger and acquisition opportunities. He is also charged with fostering a future-focused culture of innovation and social responsibility, one that aligns with our purpose and values. Mike joined Thornton Tomasetti following graduate school. During his career, he led key roles on such projects as Yankee Stadium and Hudson Yards in New York City, Uber Technologies' San Francisco headquarters and Baku Olympic Stadium in Azerbaijan. Prior to his appointment as Co-CEO in 2020, Mike held various leadership roles, including oversight of all the firm's global regions.</t>
  </si>
  <si>
    <t>msquarzini@thorntontomasetti.com</t>
  </si>
  <si>
    <t>240271-84P</t>
  </si>
  <si>
    <t>Peter DiMaggio</t>
  </si>
  <si>
    <t>DiMaggio</t>
  </si>
  <si>
    <t>Mr. Peter DiMaggio serves as Co-Chief Executive Officer at Thornton Tomasetti. Mr. DiMaggio is responsible for defining, articulating and driving the firm's strategic vision. In addition to leading the development and execution of the overall business plan, he directs key strategic initiatives such as identifying new markets and merger and acquisition opportunities, as well as instituting mentorship and professional development programs. He also assesses and minimizes risks to the organization, and ensures that the firm sets and meets aggressive social responsibility targets on an annual basis. Pete is a recognized expert in special structures and protective design and security.</t>
  </si>
  <si>
    <t>+1 (212) 367-3000</t>
  </si>
  <si>
    <t>pdimaggio@thorntontomasetti.com</t>
  </si>
  <si>
    <t>193035-61P</t>
  </si>
  <si>
    <t>Phillip Thompson</t>
  </si>
  <si>
    <t>Mr. Phillip Thompson serves as Principal &amp; European Region Leader at Thornton Tomasetti. Mr. Thompson oversees our European region and is responsible for all aspects of our defense business in the U.K., Europe and Australia. This encompasses the fields of naval survivability, building protective design and security and advanced modeling techniques including project management, R&amp;D and strategic development. Phill has considerable experience in explosive effects and computer simulation, specializing in the effects of explosions and collisions on buildings, facilities, ships and submarines. He is the inventor of the airgun shock testing method now used by several NATO navies. He has conducted extensive research into terrorist attack on critical industrial and commercial infrastructure, design of explosive protective systems, design and management of large-scale explosive trials and holistic vulnerability assessment of facilities.</t>
  </si>
  <si>
    <t>+44 0131 8382 8271</t>
  </si>
  <si>
    <t>pthompson@thorntontomasetti.com</t>
  </si>
  <si>
    <t>386 Fore Street</t>
  </si>
  <si>
    <t>+1 (207) 245-6061</t>
  </si>
  <si>
    <t>Principal &amp; European Region Leader</t>
  </si>
  <si>
    <t>277299-37P</t>
  </si>
  <si>
    <t>Quinne Chessman</t>
  </si>
  <si>
    <t>Quinne</t>
  </si>
  <si>
    <t>Chessman</t>
  </si>
  <si>
    <t>Ms. Quinne Chessman serves as Principal at Thornton Tomasetti. She served as Associate Principal and Executive, Business Development at Thornton Tomasetti.</t>
  </si>
  <si>
    <t>+1 (312) 596-2290</t>
  </si>
  <si>
    <t>qchessman@thorntontomasetti.com</t>
  </si>
  <si>
    <t>180823-87P</t>
  </si>
  <si>
    <t>Raymond Daddazio</t>
  </si>
  <si>
    <t>Daddazio</t>
  </si>
  <si>
    <t>Mr. Raymond Daddazio serves as Chairman, Thornton Tomasetti Foundation at Thornton Tomasetti. He supports the development of our services for clients in the global federal market sector, and guides the success of numerous infrastructure-related initiatives as well as our R&amp;D incubator and technology accelerator efforts. Over a career that has spanned four decades, he has held various leadership roles, including that of president of Thornton Tomasetti, and president and CEO of Weidlinger Associates, which merged with Thornton Tomasetti in 2015. Prior to his election as Weidlinger's president in 2006, he was director of the firm's Applied Science division. As such, he oversaw the firm's advanced analysis and technology initiatives. He has extensive experience in the development and application of advanced analysis techniques to structural dynamic problems, including nonlinear structural analysis, low-frequency structural acoustics, structural optimization and vibration control.</t>
  </si>
  <si>
    <t>rdaddazio@thorntontomasetti.com</t>
  </si>
  <si>
    <t>Chairman, Thornton Tomasetti Foundation</t>
  </si>
  <si>
    <t>264799-36P</t>
  </si>
  <si>
    <t>Thomas Byrne</t>
  </si>
  <si>
    <t>Mr. Thomas Byrne serves as Associate Principal at Thornton Tomasetti.</t>
  </si>
  <si>
    <t>+1 (917) 661-7980</t>
  </si>
  <si>
    <t>tbyrne@thorntontomasetti.com</t>
  </si>
  <si>
    <t>113096-98P</t>
  </si>
  <si>
    <t>Thomas Scarangello Ph.D</t>
  </si>
  <si>
    <t>Scarangello</t>
  </si>
  <si>
    <t>Managing Principal &amp; Senior Advisor</t>
  </si>
  <si>
    <t>Dr. Thomas Scarangello serves as Managing Principal &amp; Senior Advisor at Thornton Tomasetti. He is an industry thought-leader, drawing on more than 40 years of experience leading the structural engineering and analysis and leading Thornton Tomasetti to be recognized as a creative engine of industry innovation. With the 2015 merger with Weidlinger Associates, he expanded the firm's service offerings to include transportation, protective design and security, and applied sciences. He is also active in evaluating and promoting innovative AEC technology, serving as chair of TTWiiN, an innovation accelerator that commercializes technology spun off from Thornton Tomasetti incubators, as well as driving industry innovation as a member of the BuiltWorlds' Corporate Venture Forum and as a founding member of AEC Angels.</t>
  </si>
  <si>
    <t>+1 (917) 661-8256</t>
  </si>
  <si>
    <t>tscarangello@thorntontomasetti.com</t>
  </si>
  <si>
    <t>264801-88P</t>
  </si>
  <si>
    <t>Tracey Cookson</t>
  </si>
  <si>
    <t>Tracey</t>
  </si>
  <si>
    <t>Cookson</t>
  </si>
  <si>
    <t>Ms. Tracey Cookson serves as Associate Director at Thornton Tomasetti.</t>
  </si>
  <si>
    <t>442038783005</t>
  </si>
  <si>
    <t>tcookson@thorntontomasetti.com</t>
  </si>
  <si>
    <t>264802-87P</t>
  </si>
  <si>
    <t>Yingying Xu</t>
  </si>
  <si>
    <t>Yingying</t>
  </si>
  <si>
    <t>Ms. Yingying Xu serves as Business Development Coordinator &amp; Vice President at Thornton Tomasetti.</t>
  </si>
  <si>
    <t>+1 (917) 661-8006</t>
  </si>
  <si>
    <t>yxu@thorntontomasetti.com</t>
  </si>
  <si>
    <t>Business Development Coordinator &amp; Vice President</t>
  </si>
  <si>
    <t>340359-85P</t>
  </si>
  <si>
    <t>Eric Casaburi</t>
  </si>
  <si>
    <t>Casaburi</t>
  </si>
  <si>
    <t>Tiger 21</t>
  </si>
  <si>
    <t>Mr. Eric Casaburi is the Founder &amp; serves as Chief Executive Officer at Serotonin. Mr. Casaburi is the Founder &amp; Owner of RetroFitness. He also serves as Chairman at Tiger 21.</t>
  </si>
  <si>
    <t>+1 (407) 347-0101</t>
  </si>
  <si>
    <t>eric@serotonincenters.com</t>
  </si>
  <si>
    <t>Windermere</t>
  </si>
  <si>
    <t>Windermere, FL</t>
  </si>
  <si>
    <t>7790-100 Wintergarden Vineland Road</t>
  </si>
  <si>
    <t>34786</t>
  </si>
  <si>
    <t>Serotonin</t>
  </si>
  <si>
    <t>155488-87P</t>
  </si>
  <si>
    <t>Gregory Wells</t>
  </si>
  <si>
    <t>Wells</t>
  </si>
  <si>
    <t>Mr. Gregory Wells serves as Chief Operating Officer at Tiger 21. He is responsible for the strategy, development and leadership of TIGER 21's field-based personnel, which includes Group Chairs and Membership Executives throughout North America. Having spent seven years at Vistage International as a member of the Executive Team and co-founding Sage Executive Group - a boutique high-end peer advisory organization in Southern California, Mr. Wells has extensive experience in leading and growing peer-to-peer advisory organizations. Mr. Wells also leads a group of M.B.A. students in a peer group program that connects them with CEOs as part of the Executive Leadership program at the UCLA Anderson School of Business. A Southern California native, Mr. Wells is a graduate of the University of Oregon as well as the Pacific Coast School of Banking at the University of Washington, and the Graduate School of Credit and Financial Management program held at Dartmouth College.</t>
  </si>
  <si>
    <t>+1 (212) 360-1700</t>
  </si>
  <si>
    <t>gregwells@tiger21.com</t>
  </si>
  <si>
    <t>1995 Broadway Street 600</t>
  </si>
  <si>
    <t>285394-78P</t>
  </si>
  <si>
    <t>James Salmon</t>
  </si>
  <si>
    <t>Salmon</t>
  </si>
  <si>
    <t>Mr. James Salmon serves as Chief Information Officer at Tiger 21.ames Salmon is the Chief Information Officer at TIGER 21. He is responsible for technical initiatives for the organization including enhancing Member experience through digital platforms, managing transformational change programs, and developing technology roadmaps. Mr. Salmon is a senior IT Executive with International experience operating within Executive Boards. Prior to TIGER 21, he worked as the CIO for a nationwide homebuilder in the US, CIO for Europe at a global higher education company, and has held technology leadership positions at a number of UK based organizations.</t>
  </si>
  <si>
    <t>james.salmon@tiger21.com</t>
  </si>
  <si>
    <t>72752-23P</t>
  </si>
  <si>
    <t>Jerry Swain</t>
  </si>
  <si>
    <t>Swain</t>
  </si>
  <si>
    <t>Mr. Jerry Swain serves as Chairman, San Diego at Tiger 21. He is the Founder &amp; serves as Chief Executive Officer at Swain Creations. He Founded and served as Chief Executive Officer at Jer's Chocolates. He also serves as the President - West Coast Operations, BBX Sweet Holdings at BBX Capital.</t>
  </si>
  <si>
    <t>jer.swain@tiger21.com</t>
  </si>
  <si>
    <t>Solana Beach</t>
  </si>
  <si>
    <t>Solana Beach, CA</t>
  </si>
  <si>
    <t>437 South Highway 101</t>
  </si>
  <si>
    <t>92075</t>
  </si>
  <si>
    <t>Swain Creations</t>
  </si>
  <si>
    <t>178798-96P</t>
  </si>
  <si>
    <t>Kathy Gilmore</t>
  </si>
  <si>
    <t>Gilmore</t>
  </si>
  <si>
    <t>Ms. Kathy Gilmore serves as Senior Vice President, New Group Development at Tiger 21. She joined TIGER 21 in January 2017. As Vice President of New Group Development, Kathy is responsible for managing and guiding the new Chair (Group) launch process, which includes coaching Chairs and supporting the marketing events designed to assist the Chairs. She also leads the Chair Selection team in identifying, nominating, and recruiting New Chairs throughout North America. Kathy has extensive experience in growing peer to peer organizations. While at Vistage for five years, she and her team launched over 240 New Groups. Kathy has a wide range of business and coaching experience from prior roles as Vice President of West Coast Operations and Human Resources of a Management Consulting Firm and Vice President of Operations for a California Based Disability Management Company. She is also the co-founder of a Career Coaching firm which helps recent graduates transition from college to career. Kathy holds a Master's Degree in Education from The Catholic University of America, as well as a Bachelor of Science Degree from Saint Bonaventure University.</t>
  </si>
  <si>
    <t>kathy.gilmore@tiger21.com</t>
  </si>
  <si>
    <t>Senior Vice President, New Group Development</t>
  </si>
  <si>
    <t>285394-51P</t>
  </si>
  <si>
    <t>Lisa Holladay</t>
  </si>
  <si>
    <t>Holladay</t>
  </si>
  <si>
    <t>Ms. Lisa Holladay serves as Chief Experience Officer at Tiger 21. She is responsible for optimizing the Member experience. isa Holladay is the Chief Experience Officer at TIGER 21. She is responsible for optimizing the Member experience. Ms. Holladay and her team curate an integrated portfolio of high-end Member programs. Before TIGER 21, Ms. Holladay served as Vice President and Global Brand Leader for Marriott International's top luxury brands, including The Ritz-Carlton Hotel Company, St. Regis Hotels and Resorts, and the Reserve. Previously, Ms. Holladay was with Mercedes-Benz USA, where she held leadership roles in public relations, advertising, and branding for the Mercedes-Benz, AMG, and Maybach brands.</t>
  </si>
  <si>
    <t>lisa.holladay@tiger21.com</t>
  </si>
  <si>
    <t>Chief Experience Officer</t>
  </si>
  <si>
    <t>254097-91P</t>
  </si>
  <si>
    <t>Marc Figueroa</t>
  </si>
  <si>
    <t>Mr. Marc Figueroa serves as Chief Marketing Officer at Tiger 21. Marc Figueroa serves as the Chief Marketing Officer for TIGER 21. He and his team are responsible for building a world-class network of entrepreneurial wealth creators who seek to make their success more meaningful, impactful, and enduring. Mr. Figueroa spent nearly a decade at Vistage Worldwide, where he served as a marketing and sales executive. With a 25-year track record of building brands and implementing effective marketing programs, he has served in senior roles at Robbins Research (Tony Robbins) and most recently at an international transportation and logistics firm.</t>
  </si>
  <si>
    <t>marc.figueroa@tiger21.com</t>
  </si>
  <si>
    <t>229875-67P</t>
  </si>
  <si>
    <t>Marian Stier</t>
  </si>
  <si>
    <t>Stier</t>
  </si>
  <si>
    <t>Ms. Marian Stier serves as Chief Administrative Officer at Tiger 21. She is responsible for leading Systems and Technology, overseeing Risk and Human Resources. Ms. Stier has deep experience with both Fortune 500 and venture-backed internet start-ups. Her expertise includes business process management, software implementation management and complex project management. She has a reputation as a go-to person for challenging assignments and is a seeker of constant improvement through innovation, transparency and candor.</t>
  </si>
  <si>
    <t>marian.stier@tiger21.com</t>
  </si>
  <si>
    <t>285577-12P</t>
  </si>
  <si>
    <t>Michael Cooke</t>
  </si>
  <si>
    <t>Mr. Michael Cooke serves as Chief Financial Officer at Tiger 21. Mr. Michael Cooke served as Chief Financial Officer at ICS Complete. Prior to joining ICS, Michael held various financial and operational leadership roles in service-based businesses. He began his career in investment banking and private equity investing. He has earned an MBA in Finance and Bachelor's Degree in Business Administration.</t>
  </si>
  <si>
    <t>michael.cooke@tiger21.com</t>
  </si>
  <si>
    <t>41124-88P</t>
  </si>
  <si>
    <t>Michael Sonnenfeldt</t>
  </si>
  <si>
    <t>Sonnenfeldt</t>
  </si>
  <si>
    <t>Mr. Michael Sonnenfeldt is a Co-Founder and serves as Chairman at Tiger 21. Mr. Sonnenfeldt serves as Partner &amp; Chairman at MUUS Climate Partners. He is the Founder and serves as Chairman at MUUS Asset Management. He also is Chairman of Carmanah Technologies Corp., a public Canadian company that designs, manufactures, and distributes solar-powered products and systems for industrial applications globally. Through his private investment company, MUUS &amp; Company, Mr. Sonnenfeldt has holdings in solar, battery, and other technologies related to alternative energy infrastructure applications. From 1991 to 1998, Mr. Sonnenfeldt founded and led Emmes &amp; Company; a real estate investment boutique that was a major buyer of distressed portfolios in the early 1990s and grew to over a billion dollars in assets by the time he sold his interest in 1998. In 1980, Mr. Sonnenfeldt conceived and initiated the world's then-largest commercial renovation, commencing the transformation of the 2.4 million square foot Harborside Financial Center in Jersey City, NJ. Mr. Sonnenfeldt received his Bachelor's and Master's degrees in Management from the Massachusetts Institute of Technology where he was inducted to Phi Beta Kappa.</t>
  </si>
  <si>
    <t>michael.sonnenfeldt@tiger21.com</t>
  </si>
  <si>
    <t>135553-06P</t>
  </si>
  <si>
    <t>Peter Wilson</t>
  </si>
  <si>
    <t>Mr. Peter Wilson serves as Chairman at Tiger 21. He served as a Partner at Open Road Holdings. He received his Master of Business Administration from UC Berkeley. He received a Bachelor of Arts in Economics from Columbia University.</t>
  </si>
  <si>
    <t>+1 (510) 517-5477</t>
  </si>
  <si>
    <t>peter.wilson@tiger21.com</t>
  </si>
  <si>
    <t>229876-57P</t>
  </si>
  <si>
    <t>Timothy Daniels</t>
  </si>
  <si>
    <t>Mr. Timothy Daniels serves as President, Board Member and Chief Executive Officer at Tiger 21. Timothy Daniels is the President and Chief Executive Officer of TIGER 21, the premier peer membership organization for high-net-worth wealth creators and preservers. Mr. Daniels is responsible for the strategic, operational, and financial results of the organization, and the delivery of an unparalleled world-class TIGER 21 Member experience. Mr. Daniels has been successfully directing education and human development companies for more than 25 years, leveraging his strong leadership, technology-enabled innovation, and international capabilities.</t>
  </si>
  <si>
    <t>timothy.daniels@tiger21.com</t>
  </si>
  <si>
    <t>President, Board Member &amp; Chief Executive Officer</t>
  </si>
  <si>
    <t>370592-38P</t>
  </si>
  <si>
    <t>Troy Rice</t>
  </si>
  <si>
    <t>Mr. Troy Rice serves as Chairman at Tiger 21.</t>
  </si>
  <si>
    <t>331435-45P</t>
  </si>
  <si>
    <t>Vicki Lewis</t>
  </si>
  <si>
    <t>Mr. Vicki Lewis serves as Finance Manager at Tiger 21.</t>
  </si>
  <si>
    <t>vicki.lewis@tiger21.com</t>
  </si>
  <si>
    <t>332640-01P</t>
  </si>
  <si>
    <t>Blake Oswalt</t>
  </si>
  <si>
    <t>Oswalt</t>
  </si>
  <si>
    <t>Toba Capital</t>
  </si>
  <si>
    <t>Controller &amp; Investment Analyst</t>
  </si>
  <si>
    <t>Mr. Blake Oswalt serves as Controller &amp; Investment Analyst at Toba Capital. His duties span portfolio management, back-office administration, accounting, treasury, financial analysis, and sourcing.</t>
  </si>
  <si>
    <t>blake@tobacapital.com</t>
  </si>
  <si>
    <t>4675 Macarthur Court</t>
  </si>
  <si>
    <t>76721-68P</t>
  </si>
  <si>
    <t>Brinkley Morse</t>
  </si>
  <si>
    <t>Brinkley</t>
  </si>
  <si>
    <t>Mr. Brinkley Morse is a Co-Founder and serves as the Partner at Toba Capital. He served as a Board Member at Infocyte, Seal Software, WSO2 and Sauce Labs. He worked for 25 years in the enterprise systems software industry in senior executive capacities at BMC Software, Inc. and Quest Software, Inc., including as General Counsel, Chief Financial Officer, and head of corporate development. After Dell, Inc. acquired Quest in 2012, Mr. Morse assisted Vincent Smith in the launching of Toba Capital Management, LLC, the lead investor in WSO2 and is a Toba partner.</t>
  </si>
  <si>
    <t>brinkley.morse@tobacapital.com</t>
  </si>
  <si>
    <t>43709-86P</t>
  </si>
  <si>
    <t>Jeffrey Kuo</t>
  </si>
  <si>
    <t>Mr. Jeffrey Kuo serves as Venture Investor at Toba Capital. Mr. Kuo is involved in the evaluation and execution of potential Gores opportunities. Prior to joining Gores, Mr. Kuo was an Analyst at Moelis &amp; Company, where he focused primarily on M&amp;A and financing transactions. Mr. Kuo received his B.S. in Business Administration from the University of California, Berkeley.</t>
  </si>
  <si>
    <t>Venture Investor</t>
  </si>
  <si>
    <t>76725-46P</t>
  </si>
  <si>
    <t>Patrick Mathieson</t>
  </si>
  <si>
    <t>Mathieson</t>
  </si>
  <si>
    <t>Mr. Patrick Mathieson serves as Partner at Toba Capital. Mr. Patrick Mathieson also serves as Board Member at Brella Space, Crescent Fund, Nursegrid and Small Door Veterinary. He holds a bachelor's degree in Business Administration from the University of Michigan (Ross). He served as Board Member at Candid.</t>
  </si>
  <si>
    <t>patrick@tobacapital.com</t>
  </si>
  <si>
    <t>86645-35P</t>
  </si>
  <si>
    <t>Rajan Aggarwal</t>
  </si>
  <si>
    <t>Mr. Rajan Aggarwal serves as Board Member at Hyperproof. He also serves as a Partner at Toba Capital. He serves as Board Member at Funraise and Parsec Labs. He serves as Board Member at Wallarm. He serves as Board Member at Perimeter 81. He served as Board Member at Strivacity. He is an accomplished executive with M&amp;A, strategy, investment, and management consulting experience with a successful track record of working with senior management to identify high-value prospects, developing strategic business cases, negotiating &amp; executing deals, integrating companies, and turning around distressed entities. Experienced in domestic and cross-border acquisitions. Significant experience in Enterprise Software including Identity &amp; Access Management, Windows Server Management, Mobile Security, Databases, Virtualization, and Performance Monitoring and Management. Several years of high-tech startup experience. Part of the founder's team in establishing a new technology startup. Created and managed international award-winning storage products. Coordinated international deployment efforts. Negotiated product royalty issues and outsourcing contracts. Process improvements in software licensing and risk mitigation. He holds MBA in Finance from Indiana University and BE in Computer Science from Motilal Nehru National Institute Of Technology.</t>
  </si>
  <si>
    <t>+1 (415) 483-5627</t>
  </si>
  <si>
    <t>rajan@tobacapital.com</t>
  </si>
  <si>
    <t>78681-25P</t>
  </si>
  <si>
    <t>Susan Su</t>
  </si>
  <si>
    <t>Su</t>
  </si>
  <si>
    <t>Ms. Susan Su serves as Partner at Toba Capital. Ms. Su joined Toba from Sound Ventures, and previously held growth and product roles at Stripe, Google, and Reforge (first hire). She is also the creator and Program Director for Climate Change for VCs, a 6-week class and community for investors interested in climate tech. She is an Angel Investor. She holds BA in History from Stanford University.</t>
  </si>
  <si>
    <t>susan@tobacapital.com</t>
  </si>
  <si>
    <t>47208-88P</t>
  </si>
  <si>
    <t>Vincent Smith</t>
  </si>
  <si>
    <t>Mr. Vincent Smith is a Co-Founder and serves as a Limited Partner at Toba Capital. He is a Co-Founder of Walking Softer. He also served as an Advisor at ProvenDB. He serves as an Advisor at Seal. He is an Angel Investor. He served as the Chairman at WSO2. He co-founded and served as Chairman of Quest Software. He served as a Board Member at Seal Software. He launched Toba Capital in 2012 to invest in leading-edge business applications and Internet infrastructure companies after selling Quest Software to Dell for $2.4 billion. He holds a Bachelor's from the University of Delaware, Newark.</t>
  </si>
  <si>
    <t>vinny@tobacapital.com</t>
  </si>
  <si>
    <t>4675 MacArthur Court</t>
  </si>
  <si>
    <t>Walking Softer</t>
  </si>
  <si>
    <t>47940-58P</t>
  </si>
  <si>
    <t>Wilder Ramsey</t>
  </si>
  <si>
    <t>Mr. Wilder Ramsey is a Co-Founder and serves as a Partner at Toba Capital. He serves as a Board Member at Dutchie and Lucid Green. He holds board director roles at Conversica, Restless Bandit and Funraise, and DermBiont. He serves as a Board Member at DermBiont. He is the Owner and serves as Managing Partner at Gron Ventures. He holds a BS in Business Administration and a BA in Philosophy from the University of California, Berkeley.</t>
  </si>
  <si>
    <t>+1 (510) 637-8088</t>
  </si>
  <si>
    <t>wilder@tobacapital.com</t>
  </si>
  <si>
    <t>166417-48P</t>
  </si>
  <si>
    <t>Stacey Bent Ph.D</t>
  </si>
  <si>
    <t>Bent</t>
  </si>
  <si>
    <t>TomKat Center for Sustainable Energy</t>
  </si>
  <si>
    <t>Dr. Stacey Bent serves as Director at TomKat Center for Sustainable Energy. She is the Department Chair of Chemical Engineering and the Jagdeep and Roshni Singh Professor in the School of Engineering at Stanford University, where she is appointed Professor of Chemical Engineering and Professor, by courtesy, of Chemistry, of Materials Science and Engineering, and of Electrical Engineering. Professor Bent serves as the Director of the TomKat Center for Sustainable Energy and a senior fellow in the Precourt Institute of Energy. Professor Bent obtained her B.S. degree in chemical engineering from UC Berkeley and her Ph.D. degree in chemistry from Stanford. After carrying out postdoctoral work at AT&amp;T Bell Laboratories, she joined the faculty of the Chemistry Department at New York University. She moved to Stanford University in 1998. Professor Bent's research is focused on understanding surface and interfacial chemistry and materials synthesis, and applying this knowledge to a range of problems in sustainable energy, semiconductor processing, and nanotechnology. Her group currently studies new materials and processes for electronics, solar cells and solar fuels, and catalysts. As the Director of the TomKat Center for Sustainable Energy, Professor Bent oversees the center's mission to make human electricity and transportation systems more sustainable for the long term. The center also aims to educate tomorrow's energy leaders, through outreach events, course grants, and summer internship programs.</t>
  </si>
  <si>
    <t>+1 (650) 724-1524</t>
  </si>
  <si>
    <t>sbent@tomkat.stanford.edu</t>
  </si>
  <si>
    <t>Stanford University, Shriram Center</t>
  </si>
  <si>
    <t>443 Via Ortega, Suite 377</t>
  </si>
  <si>
    <t>440339-86P</t>
  </si>
  <si>
    <t>Amanda Klein</t>
  </si>
  <si>
    <t>Toronto Hydro</t>
  </si>
  <si>
    <t>Ms. Amanda Klein serves as Executive Vice-President, External Affairs, Corporate Development and Chief Legal Officer at Toronto Hydro. She has experience to her leadership of Toronto Hydro's advocacy, communications, stakeholder relations, business development, climate action, energy and regulatory policy, law, enterprise risk and governance, as well as streetlighting, emergency management, and business continuity activities. Prior to her time at Toronto Hydro, she practiced commercial litigation and government relations in Toronto. She holds a law degree from the University of British Columbia.</t>
  </si>
  <si>
    <t>aklein@torontohydro.com</t>
  </si>
  <si>
    <t>14 Carlton Street</t>
  </si>
  <si>
    <t>M5B 1K5</t>
  </si>
  <si>
    <t>Executive Vice-President, External Affairs, Corporate Development and Chief Legal Officer</t>
  </si>
  <si>
    <t>423509-77P</t>
  </si>
  <si>
    <t>Federico Zeni</t>
  </si>
  <si>
    <t>Zeni</t>
  </si>
  <si>
    <t>Mr. Federico Zeni serves as Interim Chief Financial Officer at Toronto Hydro.</t>
  </si>
  <si>
    <t>fzeni@torontohydro.com</t>
  </si>
  <si>
    <t>Interim Chief Financial Officer</t>
  </si>
  <si>
    <t>440332-57P</t>
  </si>
  <si>
    <t>Jana Mosley</t>
  </si>
  <si>
    <t>Mosley</t>
  </si>
  <si>
    <t>Ms. Jana Mosley serves as President &amp; Chief Executive Officer at Toronto Hydro. She joined the company effective from September 3, 2024. She is an experienced industry leader with over two decades in the energy sector, including seven years in senior executive roles. She currently serves as President, ENMAX Power Corporation and was previously Senior Vice President, ENMAX Power. In these roles, she had accountability for the development and safe operation of Calgary's electric grid and non-regulated construction services. She led the utility to top quartile performance with a focus on safety, people and culture, customer experience, grid modernization, financial performance, regulatory reform and operational excellence, including a focus on Environment, Social and Governance (ESG). Before her experience at ENMAX, she held executive, senior leadership and professional technical leadership roles at Similan Consulting, Alberta Electric System Operator, Schlumberger and TransAlta Utilities &amp; AltaLink Management Limited. She is also an Executive Board Member of Western Energy Institute. She holds a Bachelor of Science in Electrical Engineering from the University of Manitoba. She is a registered Professional Engineer (P. Eng) from the Association of Professional Engineers and Geoscientists of Alberta, is a certified Project Management Professional (PMP) and a certified member of the Institute of Corporate Directors (ICD.D). She was a Calgary Influential Women in Business 2022 Award Winner, named one of Canada's Most Powerful Women by WXN in 2023, and is an Executive Board Member of Western Energy Institute.</t>
  </si>
  <si>
    <t>jmosley@torontohydro.com</t>
  </si>
  <si>
    <t>440336-53P</t>
  </si>
  <si>
    <t>Sheikh Nahyaan</t>
  </si>
  <si>
    <t>Sheikh</t>
  </si>
  <si>
    <t>Nahyaan</t>
  </si>
  <si>
    <t>Mr. Sheikh Nahyaan serves as Chief Operating Officer &amp; Executive Vice President at Toronto Hydro. He previously served as General Manager, Grid Operations at Toronto Transit Commission, Design &amp; Projects Supervisor, Engineering at Alectra Utilities and Engineering Co-op, Protection and Control at Hydro One.</t>
  </si>
  <si>
    <t>snahyaan@torontohydro.com</t>
  </si>
  <si>
    <t>117345-34P</t>
  </si>
  <si>
    <t>Joanne Mckee</t>
  </si>
  <si>
    <t>Mckee</t>
  </si>
  <si>
    <t>Toronto Metropolitan University</t>
  </si>
  <si>
    <t>Ms. Joanne Mckee serves as Chief Financial Officer at Toronto Metropolitan University. She leads, directs, and develops strategic and operational planning for the university's consolidated financial services, reporting, investing, financing, procurement, research financial management, and budgeting administration. The CFO is a key member and contributor to the university's executive leadership team and the budget planning committee and also interacts and provides financial support and expertise to senior leaders, as well as to the Board of Governors' finance, audit, investment, and pension committees. Before joining Toronto Metropolitan University in 2015, she worked at Wilfrid Laurier University as assistant vice-president, of financial resources; at Brock University as associate vice-president, of finance; and at Niagara College as the director of financial services. She is a graduate of Brock University's accounting co-op program with a Bachelor of Business Administration (BAdmin) and has a Master of Business Administration (MBA) from Niagara University. She holds the Chartered Professional Accountant (CPA) and Chartered Accountant (CA) designation. She is active within the higher education sector and has served in many volunteer leadership roles; she is currently a member of the Council of Ontario Finance Officers (COFO) and the Canadian Association of University Business Officers (CAUBO).</t>
  </si>
  <si>
    <t>+1 (416) 979-5013</t>
  </si>
  <si>
    <t>joanne.mckee@torontomu.ca</t>
  </si>
  <si>
    <t>350 Victoria Street</t>
  </si>
  <si>
    <t>M5B 2K3</t>
  </si>
  <si>
    <t>146733-49P</t>
  </si>
  <si>
    <t>Mohamed Lachemi Ph.D</t>
  </si>
  <si>
    <t>Mohamed</t>
  </si>
  <si>
    <t>Lachemi</t>
  </si>
  <si>
    <t>Dr. Mohamed Lachemi serves as President &amp; Vice-Chancellor at Toronto Metropolitan University. He serves as Board Member, Member of Corporate Governance Committee and Pension Committee at Rogers Communications Canada. He serves as Board Director at OneEleven. An internationally recognized researcher and accomplished academic administrator, he has been a key contributor to the growth and development of Ryerson over a transformational time in the university's history. A Ryerson professor of civil engineering since 1998, he has served in progressively senior roles, including dean of the faculty of engineering and architectural science, and provost and vice-president academic. In consultation with the Ryerson community, he brought in the university's academic plan, Our Time to Lead 2014-19, and as president, he is championing its shared values and strategic goals. A graduate of Université des Sciences et de la Technologie d'Oran in Algeria and L'Université de Sherbrooke (MASc and Ph.D.), Dr. Lachemi is a Fellow of the Canadian Society for Civil Engineering, a Fellow of the Canadian Academy of Engineering, and a Board member of OneEleven and Trillium Health Partners. He also serves as Board Member at Ryerson Futures.</t>
  </si>
  <si>
    <t>+1 (416) 979-5002</t>
  </si>
  <si>
    <t>mlachemi@ryerson.ca</t>
  </si>
  <si>
    <t>President, Vice-Chancellor &amp; Board Member</t>
  </si>
  <si>
    <t>Toronto Metropolitan University Endowment</t>
  </si>
  <si>
    <t>415813-78P</t>
  </si>
  <si>
    <t>Usha Srinivasan</t>
  </si>
  <si>
    <t>Usha</t>
  </si>
  <si>
    <t>Srinivasan</t>
  </si>
  <si>
    <t>Ms. Usha Srinivasan serves as Director at Toronto Metropolitan University.</t>
  </si>
  <si>
    <t>+1 (416) 979-5000</t>
  </si>
  <si>
    <t>usha@torontomu.ca</t>
  </si>
  <si>
    <t>423186-22P</t>
  </si>
  <si>
    <t>Wendy Lawrence</t>
  </si>
  <si>
    <t>Mr. Wendy Lawrence serves as General Counsel, Secretary of the Board of Governors, and Chief Privacy Officer at Toronto Metropolitan University. where she is a member of the University executive leadership team and a trusted advisor on a wide range of legal, governance, and privacy matters. She joined the University after spending over a decade in executive and senior legal leadership positions at academic hospitals, including The Hospital for Sick Children, and before that, she was counsel at the Ministry of the Attorney General. She is an experienced broader public sector lawyer, with expertise in matters ranging from corporate/commercial transactions, contracts, regulatory compliance, privacy and access to information law, and administrative law, and has been recognized for playing a leadership role in advancing compliance programs in the sector. She holds a Bachelor of Arts (Economics) degree from Queen's University and an LL.B from the University of Windsor.</t>
  </si>
  <si>
    <t>wendy.lawrence@torontomu.ca</t>
  </si>
  <si>
    <t>General Counsel, Secretary of the Board of Governors, and Chief Privacy Officer</t>
  </si>
  <si>
    <t>453831-85P</t>
  </si>
  <si>
    <t>Eiji Matsuzaki</t>
  </si>
  <si>
    <t>Eiji</t>
  </si>
  <si>
    <t>Matsuzaki</t>
  </si>
  <si>
    <t>Toyota Tsusho (Nagoya)</t>
  </si>
  <si>
    <t>Mr. Eiji Matsuzaki serves as Chief Executive Officer of Digital Solutions Division at Toyota Tsusho.</t>
  </si>
  <si>
    <t>+81 (0)52 584 5000</t>
  </si>
  <si>
    <t>eiji_matsuzaki@toyota-tsusho.com</t>
  </si>
  <si>
    <t>9-8, Meieki 4-chome</t>
  </si>
  <si>
    <t>Nakamura-ku</t>
  </si>
  <si>
    <t>450-8575</t>
  </si>
  <si>
    <t>Chief Executive Officer of Digital Solutions Division</t>
  </si>
  <si>
    <t>366601-42P</t>
  </si>
  <si>
    <t>Futoshi Horisaki</t>
  </si>
  <si>
    <t>Futoshi</t>
  </si>
  <si>
    <t>Horisaki</t>
  </si>
  <si>
    <t>Mr. Futoshi Horisaki serves as President of the Supply Chain Division at Toyota Tsusho. Previously, he served as Chief Operating Officer of Supply Chain Division.</t>
  </si>
  <si>
    <t>President, Supply Chain Division</t>
  </si>
  <si>
    <t>170866-99P</t>
  </si>
  <si>
    <t>Hideyuki Iwamoto</t>
  </si>
  <si>
    <t>Iwamoto</t>
  </si>
  <si>
    <t>Mr. Hideyuki Iwamoto serves as Executive Vice President, Chief Financial Officer, Board Member, Chief Executive Officer for Europe Region, Assistant to the President, and Chief Officer Responsible for Global Strategy and Management, Europe Region at Toyota Tsusho. He serves as a Board Member at CFAO. He joined Tomen Corporation (now Toyota Tsusho) in 1985. After some time abroad at the Business Accounting Department of Tomen Japan of Tomen America, he moved to Toyota Tsusho in Japan in 2003 and worked in the Corporate Planning Department, which he took charge of in 2009. He subsequently headed the Metal Planning Department before becoming an executive officer in 2013. Mr Iwamoto has been the Chief Financial Officer since 2017. He has a degree in economics from Chuo University of Tokyo.</t>
  </si>
  <si>
    <t>hideyuki_iwamoto@toyota-tsusho.com</t>
  </si>
  <si>
    <t>170867-08P</t>
  </si>
  <si>
    <t>Hiroshi Tominaga</t>
  </si>
  <si>
    <t>Tominaga</t>
  </si>
  <si>
    <t>Chief Executive Officer &amp; Chief Scientific Officer</t>
  </si>
  <si>
    <t>Mr. Hiroshi Tominaga serves as Chief Executive Officer for Emerging Regions, Chief Strategy Officer &amp; Board Member at Toyota Tsusho. He is responsible for public affairs.</t>
  </si>
  <si>
    <t>hiroshi_tominaga@toyota-tsusho.com</t>
  </si>
  <si>
    <t>Chief Executive Officer for Emerging Regions, Chief Strategy Officer &amp; Board Member</t>
  </si>
  <si>
    <t>154724-32P</t>
  </si>
  <si>
    <t>Ichiro Kashitani</t>
  </si>
  <si>
    <t>Kashitani</t>
  </si>
  <si>
    <t>Mr. Ichiro Kashitani served as Chief Executive Officer, President &amp; Board Member at Toyota Tsusho.</t>
  </si>
  <si>
    <t>ichiro_kashitani@toyota-tsusho.com</t>
  </si>
  <si>
    <t>448488-91P</t>
  </si>
  <si>
    <t>Kuniaki Yamagiwa</t>
  </si>
  <si>
    <t>Kuniaki</t>
  </si>
  <si>
    <t>Yamagiwa</t>
  </si>
  <si>
    <t>Mr. Kuniaki Yamagiwa serves as Managing Director at Toyota Tsusho.</t>
  </si>
  <si>
    <t>230552-11P</t>
  </si>
  <si>
    <t>Masato Yamanami</t>
  </si>
  <si>
    <t>Yamanami</t>
  </si>
  <si>
    <t>Mr. Masato Yamanami serves as Chief Executive Officer, Automotive Division at Toyota Tsusho.</t>
  </si>
  <si>
    <t>Chief Executive Officer, Automotive Division</t>
  </si>
  <si>
    <t>216068-95P</t>
  </si>
  <si>
    <t>Shigeru Harada</t>
  </si>
  <si>
    <t>Shigeru</t>
  </si>
  <si>
    <t>Mr. Shigeru Harada serves as Chief Executive Officer for Mobility Division at Toyota Tsusho.</t>
  </si>
  <si>
    <t>shigeru_harada@toyota-tsusho.com</t>
  </si>
  <si>
    <t>Chief Executive Officer for Mobility Division</t>
  </si>
  <si>
    <t>433549-45P</t>
  </si>
  <si>
    <t>Takashi Hattori</t>
  </si>
  <si>
    <t>Mr. Takashi Hattori serves as Senior Managing Director at Toyota Tsusho.</t>
  </si>
  <si>
    <t>305039-26P</t>
  </si>
  <si>
    <t>Tatsuya Watanuki</t>
  </si>
  <si>
    <t>Tatsuya</t>
  </si>
  <si>
    <t>Watanuki</t>
  </si>
  <si>
    <t>Mr. Tatsuya Watanuki serves as Executive Vice President, Chief Executive Officer for Lifestyle Division, Assistant to President, and Chief Officer Responsible for Japan Regional Strategy and Coordination, Wellness SBU at Toyota Tsusho.</t>
  </si>
  <si>
    <t>tatsuya_watanuki@toyota-tsusho.com</t>
  </si>
  <si>
    <t>442752-04P</t>
  </si>
  <si>
    <t>Toshimitsu Imai</t>
  </si>
  <si>
    <t>Toshimitsu</t>
  </si>
  <si>
    <t>Imai</t>
  </si>
  <si>
    <t>Mr. Toshimitsu Imai serves as President &amp; CEO at Toyota Tsusho.</t>
  </si>
  <si>
    <t>420724-27P</t>
  </si>
  <si>
    <t>Yuichi Arak</t>
  </si>
  <si>
    <t>Yuichi</t>
  </si>
  <si>
    <t>Arak</t>
  </si>
  <si>
    <t>Mr. Yuichi Arak serves as Group Leader of Investor Relations Group, Finance Department at Toyota Tsusho.</t>
  </si>
  <si>
    <t>+81 (0)34 306 8201</t>
  </si>
  <si>
    <t>yuichi_araki@toyota-tsusho.com</t>
  </si>
  <si>
    <t>Group Leader of Investor Relations Group, Finance Department</t>
  </si>
  <si>
    <t>407761-48P</t>
  </si>
  <si>
    <t>Yuichi Kanazawa</t>
  </si>
  <si>
    <t>Kanazawa</t>
  </si>
  <si>
    <t>Mr. Yuichi Kanazawa serves as Executive at Toyota Tsusho.</t>
  </si>
  <si>
    <t>122957-20P</t>
  </si>
  <si>
    <t>James Norman Jr.</t>
  </si>
  <si>
    <t>Transparent Collective</t>
  </si>
  <si>
    <t>Mr. James Norman serves as a Partner at Transparent Collective. He is a Co-Founder and serves as Managing Partner at Black Operator Ventures. He is the Founder of Motown Initiative. He is a Co-Founder and serves as Chief Executive Officer and Board Member at Pilotly. In 2008, he founded Ubi Video, one of the first aggregators of all things streaming video. By allowing users to view multiple video services through a consolidated experience, the platform could combine various data sets to drive provider-agnostic video recommendations. Previously, he founded and served as Chief Executive Officer and Chairman at Ubi Video. After Ubi was acquired by an MVPD, he moved on to develop GroupFlix, an a-la-carte streaming service. By cleverly bundling EST content and enabling users to select the shows they love in a low monthly subscription, the first viable a-la-carte model came to life. His latest venture is Pilotly, a consumer insights platform that enables content creators to get feedback from audiences at scale. He holds a Bachelor of Science in Electrical Engineering from the University of Michigan.</t>
  </si>
  <si>
    <t>jnorman@transparentcollective.com</t>
  </si>
  <si>
    <t>333001-00P</t>
  </si>
  <si>
    <t>Lara Jordan</t>
  </si>
  <si>
    <t>Ms. Lara Jordan is the Founder and serves as Chief Executive Officer at Pericus Ventures. She also serves as a Program Director at Transparent Collective. Prior to PV, she led content for 500 Startups, a global venture capital seed fund based in Silicon Valley. While at 500 Startups, she focused on helping underrepresented founders gain better access to funding and resources, which was her inspiration for starting Pericus Ventures. Before that, she worked in-house for an early-stage event tech startup called Magency Digital, where she headed up international marketing and sales. There, she partnered with top Fortune 500 brands like Procter &amp; Gamble, Novartis, and Deutsche Bank to incorporate digital technology into their global events. She helped the company achieve 2x YOY growth, multi-million dollar revenue, and $5 million in Series A Funding. She began her career working in digital advertising at top agencies in New York City, picking up her skills in strategy, display advertising, and paid search.</t>
  </si>
  <si>
    <t>+1 (415) 364-8564</t>
  </si>
  <si>
    <t>3873 Washington Street</t>
  </si>
  <si>
    <t>94118</t>
  </si>
  <si>
    <t>Pier Marketing</t>
  </si>
  <si>
    <t>392559-67P</t>
  </si>
  <si>
    <t>Lara McKeithan</t>
  </si>
  <si>
    <t>McKeithan</t>
  </si>
  <si>
    <t>Ms. Lara McKeithan serves as Program Director at Transparent Collective.</t>
  </si>
  <si>
    <t>lara@transparentcollective.com</t>
  </si>
  <si>
    <t>263865-70P</t>
  </si>
  <si>
    <t>Alex Hernandez</t>
  </si>
  <si>
    <t>Mr. Alex Hernandez serves as Senior Analyst, Portfolio at Trinity Capital BDC. He is responsible for the initial analysis of all incoming investment opportunities. Before joining the Trinity team, Mr. Hernandez was an underwriter for Cigna Insurance within their finance department. Mr. Hernandez earned his B.S. in Business Administration with a focus on Finance from Northern Arizona University.</t>
  </si>
  <si>
    <t>ahernandez@trincapinvestment.com</t>
  </si>
  <si>
    <t>Senior Analyst, Portfolio</t>
  </si>
  <si>
    <t>241846-30P</t>
  </si>
  <si>
    <t>Andrew Ghannam</t>
  </si>
  <si>
    <t>Ghannam</t>
  </si>
  <si>
    <t>Mr. Andrew Ghannam served as Managing Director at Trinity Capital. Mr. Ghannam joined Trinity from Pacific Western Bank, where he served as Co-Head of the Tech Venture Bank and worked with venture-backed technology and consumer companies by providing debt and banking services.</t>
  </si>
  <si>
    <t>aghannam@trincapinvestment.com</t>
  </si>
  <si>
    <t>263865-25P</t>
  </si>
  <si>
    <t>Ben Malcolmson</t>
  </si>
  <si>
    <t>Malcolmson</t>
  </si>
  <si>
    <t>Mr. Ben Malcolmson serves as the Head of Investor Relations at Trinity Capital BDC. Mr. Malcolmson is serving as the primary point of contact for the investment community. Before moving into the investor relations role, he was a Director of Equipment Financing, carrying out business development for Trinity Capital's equipment financing vertical. Mr. Malcolmson graduated from USC with a master's degree in communication management and a B.A. in print journalism.</t>
  </si>
  <si>
    <t>bmalcolmson@trincapinvestment.com</t>
  </si>
  <si>
    <t>13982-86P</t>
  </si>
  <si>
    <t>Bob D'Acquisto</t>
  </si>
  <si>
    <t>D'Acquisto</t>
  </si>
  <si>
    <t>Mr. Bob D'Acquisto serves as Managing Director, Tech Lending at Trinity Capital. He served as Senior Vice President at Avidbank. He also served as a Senior Vice President &amp; Managing Director - Venture Technology, Capital Finance at Bridge Bank. He was a founder and managing director of Snowbird Capital, a private equity mezzanine fund, and was a vice president of First Capital, an asset-based lending finance company. Mr. D'Acquisto has also founded and worked with early and late-stage technology software companies. He holds a bachelor's degree in commerce from Santa Clara University and served on the board of the Young Entrepreneurs Organization. He is a member of the Association for Corporate Growth, the Commercial Finance Association, and the Turnaround Management Association, and is a founding member of the San Francisco chapter of Opus Connect.</t>
  </si>
  <si>
    <t>Managing Director, Tech Lending</t>
  </si>
  <si>
    <t>304239-97P</t>
  </si>
  <si>
    <t>Brendan Carr</t>
  </si>
  <si>
    <t>Mr. Brendan Carr serves as Director of Tech Lending at Trinity Capital. He served as Vice President at Bridge Bank.</t>
  </si>
  <si>
    <t>Director of Tech Lending</t>
  </si>
  <si>
    <t>205440-31P</t>
  </si>
  <si>
    <t>Bryce Esquerre</t>
  </si>
  <si>
    <t>Esquerre</t>
  </si>
  <si>
    <t>Mr. Bryce Esquerre serves as Senior Analyst, Credit at Trinity Capital. He is responsible for the initial analysis of all of the incoming investment opportunities. Prior to coming to Trinity, Mr. Esquerre held roles as a securities administrative services analyst II at Wells Fargo as well as a staff accountant at an equipment company. His eye for detail is keen as he combs several different pieces of financial information. Mr. Esquerre received a BS in Accountancy from Arizona State University.</t>
  </si>
  <si>
    <t>besquerre@trincapinvestment.com</t>
  </si>
  <si>
    <t>Senior Analyst, Credit</t>
  </si>
  <si>
    <t>35188-03P</t>
  </si>
  <si>
    <t>Christopher Erro</t>
  </si>
  <si>
    <t>Erro</t>
  </si>
  <si>
    <t>Mr. Christopher Erro served as Senior Director at Ally Corporate Finance. He also serves as Senior Managing Director and Sponsor Finance at Trinity Capital BDC.</t>
  </si>
  <si>
    <t>cerro@trincapinvestment.com</t>
  </si>
  <si>
    <t>Senior Managing Director and Sponsor Finance</t>
  </si>
  <si>
    <t>205439-32P</t>
  </si>
  <si>
    <t>Cory Cramer</t>
  </si>
  <si>
    <t>Cramer</t>
  </si>
  <si>
    <t>Mr. Cory Cramer serves as Director of Equipment Financing &amp; Director, Venture Leasing at Trinity Capital. Mr. Cramer is responsible for business development for Trinity venture leasing efforts. His responsibilities include sourcing new investment opportunities, developing referral relationships, and performing due diligence on potential equipment financing opportunities. Prior to joining Trinity, Mr. Cramer began his career with E.&amp;J. Gallo Winery in the heart of wine country where he held various roles with increasing levels of responsibility. Mr. Cramer's hard work earned him a spot in the category rotation program where he supported national retailers with analytics &amp; market insights. Most recently, Mr. Cramer was responsible for business development for the Southwest division. Cramer earned his BS in Finance with a minor in Spanish from the University of Idaho.</t>
  </si>
  <si>
    <t>ccramer@trincapinvestment.com</t>
  </si>
  <si>
    <t>98190-37P</t>
  </si>
  <si>
    <t>Craig Fox</t>
  </si>
  <si>
    <t>Mr. Craig Fox serves as Managing Director at Trinity Capital BDC. Mr. Fox served as Managing Director, Fintech at Silicon Valley Bank. Previously, he served as an Audit Senior at Deloitte &amp; Touche.</t>
  </si>
  <si>
    <t>+1 (952) 745-1401</t>
  </si>
  <si>
    <t>cfox@trincapinvestment.com</t>
  </si>
  <si>
    <t>43207-30P</t>
  </si>
  <si>
    <t>Gerald Harder</t>
  </si>
  <si>
    <t>Harder</t>
  </si>
  <si>
    <t>Mr. Gerald Harder serves as Chief Operating Officer at Trinity Capital. He serves as Board Member at Project Frog. He is responsible for analyzing investment opportunities and collaborating on the firm's investment strategy, objectives, asset allocation, and balancing risk against performance. He also served as Board Member at WorkWell. Mr. Harder is an accomplished technology professional with a proven ability to manage organizations and product development at early-stage companies. As the executive vice president of engineering and operations for Sand9, Mr. Harder worked to design, develop and produce groundbreaking piezoelectric MEMs based timing devices for mobile, IoT, and communications infrastructure markets. He has served in many technology leadership roles including director of operations for Cirrus Logic, vice president of engineering for White Electronic Designs, and technical leadership roles with ON Semiconductor, National Semiconductor, Vivid Semiconductor, Medtronic, and Motorola. His experience with a broad range of technologies and end-user applications is incredibly valuable to companies in the Trinity portfolio. Mr. Harder holds a B.S. in Electrical Engineering from the University of Illinois at Urbana-Champaign and an M.S. in Electrical Engineering from Arizona State University.</t>
  </si>
  <si>
    <t>gharder@trincapinvestment.com</t>
  </si>
  <si>
    <t>249724-45P</t>
  </si>
  <si>
    <t>Igor DaCruz</t>
  </si>
  <si>
    <t>DaCruz</t>
  </si>
  <si>
    <t>Mr. Igor DaCruz serves as Managing Director, Life Sciences Credit and Portfolio at Trinity Capital. He graduated from the University of Massachusetts, Boston with a bachelor's degree in management and a concentration in finance. He brings to Trinity over 12 years of experience in the life sciences industry, having established himself as a trusted investment professional with previous experience at Runway Growth Capital and Silicon Valley Bank.</t>
  </si>
  <si>
    <t>idacruz@trincapinvestment.com</t>
  </si>
  <si>
    <t>Managing Director, Life Sciences Credit and Portfolio</t>
  </si>
  <si>
    <t>417198-97P</t>
  </si>
  <si>
    <t>Jack McNamara</t>
  </si>
  <si>
    <t>Mr. Jack McNamara serves as Director, Tech Lending at Trinity Capital. Mr. McNamara has been an active member of the NYC tech community for 5+ years, with a track record of working with tech, healthcare, and consumer companies throughout the US, Canada, and Europe.</t>
  </si>
  <si>
    <t>jmcnamara@trincapinvestment.com</t>
  </si>
  <si>
    <t>Director, Tech Lending</t>
  </si>
  <si>
    <t>45054-64P</t>
  </si>
  <si>
    <t>Jason Hamlin</t>
  </si>
  <si>
    <t>Hamlin</t>
  </si>
  <si>
    <t>Mr. Jason Hamlin serves as Director of Finance and Tax &amp; Senior Controller at Trinity Capital BDC. He serves on the investment committee at Trinity Capital Investment and manages the company's accounting activities. Mr. Hamlin brings over 13 years of experience in investment fund management, back office, finance, and accounting. Before joining Trinity, Mr. Hamlin served as vice president of capital markets at Cavan Commercial. Before joining Cavan Commercial, he was the senior vice president of finance for Majestic Capital, a hedge fund management company where he was responsible for managing investor relations, accounting, and tax for numerous corporate entities. Before joining Majestic Capital, Mr. Hamlin served as Chief Financial Officer for Life Rebuilders and Lakeside Capital Management. Mr. Hamlin has an MBA from the Thunderbird School of Global Management with an emphasis on capital markets and a B.S. from Arizona State University.</t>
  </si>
  <si>
    <t>jhamlin@trincapinvestment.com</t>
  </si>
  <si>
    <t>Director of Finance and Tax &amp; Senior Controller</t>
  </si>
  <si>
    <t>247935-43P</t>
  </si>
  <si>
    <t>Jason Isaacson</t>
  </si>
  <si>
    <t>Isaacson</t>
  </si>
  <si>
    <t>Mr. Jason Isaacson serves as Business Analyst at Trinity Capital. Prior to Trinity, Mr. Isaacson held positions in public accounting as an external auditor and as a corporate financial analyst. He has worked with several different sized public and private companies and developed process improvements around key reporting areas.</t>
  </si>
  <si>
    <t>Business Analyst</t>
  </si>
  <si>
    <t>343323-82P</t>
  </si>
  <si>
    <t>Jeremy Hodgson</t>
  </si>
  <si>
    <t>Mr. Jeremy Hodgson serves as Managing Director of Credit at Trinity Capital. He is responsible for analyzing incoming investment opportunities and providing recommendations to the Investment Committee. His career began in the Commercial Credit Analyst program at ABN AMRO La Salle Bank in Chicago where he learned to analyze middle-market borrowers. The next two decades were spent in commercial banking originating and analyzing new term and revolving loans for manufacturing, real estate, medical, hospitality, service, and start-up companies. Additionally, He founded an SBA lending department for a community bank. He earned a B.A. in Business Administration from Valparaiso University in Indiana.</t>
  </si>
  <si>
    <t>jhodgson@trincapinvestment.com</t>
  </si>
  <si>
    <t>436988-08P</t>
  </si>
  <si>
    <t>John Orlando</t>
  </si>
  <si>
    <t>Mr. John Orlando serves as Managing Director of Life Sciences at Trinity Capital. Mr. Orlando, an established leader with over a decade of experience in venture lending, has built a strong reputation as a trusted partner within the Life Sciences industry.</t>
  </si>
  <si>
    <t>jorlando@trinitycapital.com</t>
  </si>
  <si>
    <t>Managing Director of Life Sciences</t>
  </si>
  <si>
    <t>150662-62P</t>
  </si>
  <si>
    <t>Jonathan Cheung</t>
  </si>
  <si>
    <t>Mr. Jonathan Cheung serves as Managing Director, Credit at Trinity Capital. He is responsible for analyzing incoming investment opportunities and providing recommendations to the Investment Committee. Jonathan Mr. Cheung serves as director of due diligence for Trinity Capital Investment and is responsible for analyzing incoming investment opportunities and providing recommendations to the Investment Committee. Mr. Cheung began his career in the Apple Finance Development Program, where he rotated through several Apple business units to provide regional and global support to Apple's finance teams. During his tenure at Apple, Mr. Cheung worked in Japan, Australia, and the US on a variety of international projects encompassing financial analysis, modeling, market growth strategy, business process re-engineering, and enterprise reporting. While pursuing his MBA, Mr. Cheung performed in-depth due diligence for Grayhawk Capital. Mr. Cheung has a B.A. in Economics and a B.S. in Business Administration from the University of California, Berkeley. After working for Apple, Mr. Cheung received his MBA in strategic marketing and an M.S. in Business Analytics from Arizona State University's W.P. Carey School of Business. Mr. Cheung is fluent in Mandarin Chinese</t>
  </si>
  <si>
    <t>jcheung@trincapinvestment.com</t>
  </si>
  <si>
    <t>205434-37P</t>
  </si>
  <si>
    <t>Jonathan Kielmeyer</t>
  </si>
  <si>
    <t>Kielmeyer</t>
  </si>
  <si>
    <t>Mr. Jonathan Kielmeyer serves as Director, Portfolio &amp; Valuations at Trinity Capital. He is responsible for investment strategies, underwriting, and risk management for Trinity's portfolio of clients. Additionally, Mr. Kielmeyer developed and implemented Trinity's strategy, process, and approach for investment valuations. Prior to joining Trinity, Mr. Kielmeyer spent 2 years at SVB Capital and Silicon Valley bank. As Vice President on the Innovation/Debt Platform team, he was responsible for leading the due diligence process for partnered deal structures within the Strategic Capital Group, as well as developing new credit solutions to drive growth and improved returns. Additionally, he also served as Lead Analyst on the warrant portfolio team where lead the overall strategy. Prior to SVB, Mr. Kielmeyer spent 6 years in the Intel finance rotation program. Mr. Kielmeyer holds the CFA designation, earned his Masters in Business Administration with an emphasis in Finance from Arizona State University, and his Bachelor of Science in Finance from the University of Arizona.</t>
  </si>
  <si>
    <t>jkielmeyer@trincapinvestment.com</t>
  </si>
  <si>
    <t>Director, Portfolio &amp; Valuations</t>
  </si>
  <si>
    <t>18188-92P</t>
  </si>
  <si>
    <t>Jorge Sandoval</t>
  </si>
  <si>
    <t>Sandoval</t>
  </si>
  <si>
    <t>Mr. Jorge Sandoval serves as Senior Director at Ally Corporate Finance. He also serves as Senior Managing Director - Credit and Portfolio and sponsor of Finance at Trinity Capital BDC. He served as Principal at Nogales Investors Management. Before joining Nogales Investors, Mr. Jorge Sandoval was a Vice President in the Structured Finance Division of GMAC Commercial Finance and an Associate in the Global Sponsor Finance group of GE Capital, where he concentrated on private equity-sponsored middle market transactions. Before his career in finance, he worked as a systems design engineer in the Advanced Programs Group of Raytheon Missile Systems. Mr. Sandoval received his B.S. from the University of Southern California, his M.S.E. from the University of Michigan, and his M.B.A. from the Anderson School of Management at UCLA.</t>
  </si>
  <si>
    <t>+1 (310) 592-0506</t>
  </si>
  <si>
    <t>jorge.sandoval@ally.com</t>
  </si>
  <si>
    <t>Senior Managing Director - Credit and Portfolio, Sponsor Finance</t>
  </si>
  <si>
    <t>432092-26P</t>
  </si>
  <si>
    <t>Josh Ruben</t>
  </si>
  <si>
    <t>Mr. Josh Ruben serves as Managing Director at Trinity Capital. Mr. Ruben focuses on venture lending to healthcare companies.</t>
  </si>
  <si>
    <t>jruben@trincapinvestment.com</t>
  </si>
  <si>
    <t>186880-15P</t>
  </si>
  <si>
    <t>Kevin Zeidan</t>
  </si>
  <si>
    <t>Zeidan</t>
  </si>
  <si>
    <t>Mr. Kevin Zeidan serves as Managing Director of Technology Lending at Trinity Capital BDC. He served as Managing Director at Hercules Capital. He has more than 20 years of experience in the innovation sector working with VCs, start-ups, and public companies. He has forged solid relationships with top-tier VC firms, banks, debt funds, and C-level executives because of his commitment to bringing value and financial intelligence to the venture and technology communities. Specialties: venture debt, senior/junior lien and payment terms, working capital, MRR lines of credit, no covenant growth capital loans, bridge loans, venture capital, relationship management, banking, and finance. He is currently a Managing Director at Hercules Capital where he is focused on originating, executing, and managing new investment opportunities. Before his current role at Hercules Capital, he spent the last 20 years of his career split between Comerica Bank and Silicon Valley Bank (SVB). He spent the vast majority of his tenure at these respective banks being actively responsible for developing new business relationships with Technology and Life Science companies as well as providing business and financial advice to his portfolio companies and network. He earned a Bachelor of Science in Business Administration with an emphasis in International Finance and Management from the University of San Francisco.</t>
  </si>
  <si>
    <t>kzeidan@trincapinvestment.com</t>
  </si>
  <si>
    <t>Managing Director, Technology Lending</t>
  </si>
  <si>
    <t>135289-45P</t>
  </si>
  <si>
    <t>Kyle Brown</t>
  </si>
  <si>
    <t>Mr. Kyle Brown serves as Chief Executive Officer, President, Chief Investment Officer, and Director at Trinity Capital. He is responsible for managing sales activities for the firm to achieve the firm's deployment goals. He manages relationships with potential customers as well as with strategic partners including venture capital firms and technology bank lenders. He joined Trinity in 2015, following the sale of Brown Equity, an Arizona-based real estate financial investment firm he founded and operated. Before starting his firm, he co-founded and managed Sharp Equity Homes, a service for trustee sale auctions in Arizona and California. He serves as an advisory board member for both the One Institute and the Camelback Society, a non-profit organization working to improve the community.</t>
  </si>
  <si>
    <t>kbrown@trincapinvestment.com</t>
  </si>
  <si>
    <t>137504-08P</t>
  </si>
  <si>
    <t>Lauren Cosentino</t>
  </si>
  <si>
    <t>Cosentino</t>
  </si>
  <si>
    <t>Ms. Lauren Cosentino serves as Managing Director, Life Science at Trinity Capital. She served as Assistant Vice President &amp; Client Manager, Structured Finance at Square 1 Bank. She joined the firm as Portfolio Analyst.</t>
  </si>
  <si>
    <t>lauren.cosentino@bridgebank.com</t>
  </si>
  <si>
    <t>Managing Director, Life Science</t>
  </si>
  <si>
    <t>197287-39P</t>
  </si>
  <si>
    <t>Lindsay Watson</t>
  </si>
  <si>
    <t>Ms. Lindsay Watson serves as Chief Vibes Officer at Trinity Capital. She works in the marketing and sales department where she supports the team in various strategies, coordinating project activities, and participating in research efforts. Watson brings tremendous enthusiasm and experience to her role. Ms. Watson comes to the Trinity team with a background in both the nonprofit and for-profit sectors. She has led several high-capacity events, leading teams of volunteers to the success of those events. Ms. Watson has played a significant role in fundraising tens of thousands of dollars for scholarships awarded to junior high and high school students to attend summer camps. In the for-profit sector, Ms. Watson was known as high performing sales manager at a major clothing store where she was awarded top sales manager on a few occasions. Ms. Watson holds a Bachelor of Interdisciplinary Studies in Nonprofit Management and Communication from Arizona State University.</t>
  </si>
  <si>
    <t>lwatson@trincapinvestment.com</t>
  </si>
  <si>
    <t>Chief Vibes Officer</t>
  </si>
  <si>
    <t>247936-69P</t>
  </si>
  <si>
    <t>Melana Ferguson</t>
  </si>
  <si>
    <t>Melana</t>
  </si>
  <si>
    <t>Ms. Melana Ferguson serves as Director of Equipment Finance at Trinity Capital. She is responsible for the initial analysis of all incoming investment opportunities. She analyzes financial information, cap table syndicates, and business models; presenting her findings to the Senior Due Diligence staff. She has received a Bachelor of Science in Finance from Northern Arizona University, with minors in Math and Psychology, and a certificate in financial investments.</t>
  </si>
  <si>
    <t>mferguson@trincapinvestment.com</t>
  </si>
  <si>
    <t>Director, Equipment Finance</t>
  </si>
  <si>
    <t>263864-98P</t>
  </si>
  <si>
    <t>Melissa Johnson</t>
  </si>
  <si>
    <t>Ms. Melissa Johnson serves as Senior Executive Assistant, Portfolio &amp; Finance at Trinity Capital. She provides high-level executive support to the Chief Credit Officer and the Chief Accounting Officer. With a background in project management and human resources, Johnson's meticulous and task-driven personality allows her to leverage her skills to cover a wide range of support for our two executives and their teams.</t>
  </si>
  <si>
    <t>mjohnson@trincapinvestment.com</t>
  </si>
  <si>
    <t>Senior Executive Assistant, Portfolio &amp; Finance</t>
  </si>
  <si>
    <t>190739-17P</t>
  </si>
  <si>
    <t>Michael Testa</t>
  </si>
  <si>
    <t>Mr. Michael Testa serves as Chief Financial Officer at Trinity Capital. He served as Chief Accounting Officer at Trinity Capital. He served as Controller &amp; Vice President, Finance at Oxford Square Capital. Prior to joining Oxford Square, he worked at Ernst &amp; Young's New York and Zurich offices, focusing on global asset managers, hedge funds, private equity institutions, and registered investment companies. Mr. Testa received his BBA in Accounting from the Hagan School of Business at Iona College and is a licensed Certified Public Accountant in the State of New York and New Jersey.</t>
  </si>
  <si>
    <t>mtesta@trincapinvestment.com</t>
  </si>
  <si>
    <t>Chief Financial Officer, Finance &amp; Chief Accounting Officer, Accounting</t>
  </si>
  <si>
    <t>205434-01P</t>
  </si>
  <si>
    <t>Nader Maghsoudnia</t>
  </si>
  <si>
    <t>Maghsoudnia</t>
  </si>
  <si>
    <t>Mr. Nader Maghsoudnia serves as Managing Director, Portfolio at Trinity Capital. He joined Trinity Capital as the Managing Director of the Portfolio team. In this role, Nader is responsible for the overall approach, underwriting and risk management of client portfolios. He develops and executes portfolio and investment strategies, considering the unique objectives of each client he serves. Maghsoudnia has over 20 years of experience in the financial services industry, working with early stage, venture capital backed technology companies to public entities. He's a seasoned commercial lender with a background that includes sourcing potential investments and portfolio management with leading technology banks including SVB, Bridge bank, East West Bank and Square 1 Bank. Most recently he was the Senior Vice President for Square 1 Bank and was responsible for structuring, underwriting and managing loans to achieve key bank objectives. He holds a bachelor's degree in business finance from Pennsylvania State University.</t>
  </si>
  <si>
    <t>nader@trincapinvestment.com</t>
  </si>
  <si>
    <t>Managing Director, Portfolio</t>
  </si>
  <si>
    <t>138972-79P</t>
  </si>
  <si>
    <t>Richard Nelson</t>
  </si>
  <si>
    <t>Mr. Richard Nelson serves as Senior Technology Director at Trinity Capital. Mr. Nelson manages the due diligence process on investment opportunities, recommends investments, and evaluates portfolio performance. He is instrumental in screening, analyzing, and executing investment activities, providing modeling and analysis for a wide variety of investment decisions. Prior to joining Trinity, Mr. Nelson served as the MEMs oscillators and resonators principal product engineer where he was responsible for establishing production manufacturing for MEMs product lines and developing process control structures for MEMs technology. Prior to Sand9, Mr. Nelson was the biometrics principal product engineer with Validity Sensors responsible for the architectural definition of new products in biometric products. Mr. Nelson has an established track record of bringing semiconductor products to market, working with National Semiconductor, Vivid Semiconductor, and Medtronic. Mr. Nelson holds a B.S. in Electrical Engineering from the South Dakota School of Mines and Technology.</t>
  </si>
  <si>
    <t>rnelson@trincapinvestment.com</t>
  </si>
  <si>
    <t>Senior Technology Director</t>
  </si>
  <si>
    <t>230859-82P</t>
  </si>
  <si>
    <t>Robert Lake</t>
  </si>
  <si>
    <t>Mr. Robert Lake serves as Senior Managing Director, Life Sciences at Trinity Capital. Mr. Lake joined Trinity Capital from Runway Growth Capital, where he founded and built their life sciences practice and served as Managing Director, Head of Life Sciences since 2020. Previously, Mr. Lake was with Bridge Bank, a division of Western Alliance Bank, where he founded and grew the bank's life sciences practice.</t>
  </si>
  <si>
    <t>rlake@trincapinvestment.com</t>
  </si>
  <si>
    <t>Senior Managing Director, Life Sciences</t>
  </si>
  <si>
    <t>38753-29P</t>
  </si>
  <si>
    <t>Ron Kundich</t>
  </si>
  <si>
    <t>Kundich</t>
  </si>
  <si>
    <t>Mr. Ron Kundich serves as Chief Credit Officer at Trinity Capital. In this role, Mr. Kundich is responsible for developing relationships with our referral partners, sourcing potential investments, and evaluating investment opportunities. He works closely with venture capitalists, commercial technology bankers, attorneys, and financial professionals in Silicon Valley and abroad as he accomplishes these goals. Mr. Kundich's career path has included increasing levels of responsibility with leading technology banks including Silicon Valley Bank, Imperial Bank (acquired by Comerica Bank), and Square 1 Bank. Most recently, Mr. Kundich was a Co-Founder as well as the Regional Manager and Managing Director of Square 1 Bank's Silicon Valley office where he was able to lead the team's efforts in becoming a leading provider of venture debt and banking solutions to technology companies of all shapes and sizes. He received his MBA from San Jose State University and his BS from the University of California Riverside.</t>
  </si>
  <si>
    <t>rkundich@trincapinvestment.com</t>
  </si>
  <si>
    <t>Chief Credit Officer</t>
  </si>
  <si>
    <t>39988-72P</t>
  </si>
  <si>
    <t>Ryan Kaeding</t>
  </si>
  <si>
    <t>Kaeding</t>
  </si>
  <si>
    <t>Mr. Ryan Kaeding serves as Managing Director of Life Sciences at Trinity Capital BDC. He served as Managing Director at Raymond James Financial. Mr. Ryan Kaeding served as Director at Piper Sandler. Previously, he served as an Advisor at Franklin Partners upon completing his M.B.A. from the Carlson School of Management at the University of Minnesota.</t>
  </si>
  <si>
    <t>rkaeding@trincapinvestment.com</t>
  </si>
  <si>
    <t>Managing Director, Life Sciences</t>
  </si>
  <si>
    <t>197286-40P</t>
  </si>
  <si>
    <t>Ryan Little</t>
  </si>
  <si>
    <t>Mr. Ryan Little serves as Senior Managing Director, Equipment Financing at Trinity Capital. He is the point person for Trinity's Equipment Financing division. Previously he was the manager of the mid-market division with Currency Capital. Prior, he worked with Balboa Capital as a sales manager providing equipment financing and working capital to businesses.</t>
  </si>
  <si>
    <t>rlittle@trincapinvestment.com</t>
  </si>
  <si>
    <t>Senior Managing Director, Equipment Financing</t>
  </si>
  <si>
    <t>302021-56P</t>
  </si>
  <si>
    <t>Ryan Thompson</t>
  </si>
  <si>
    <t>Mr. Ryan Thompson serves as Managing Director of Technology Lending at Trinity Capital. Mr. Thompson joined Trinity from Silicon Valley Bank where he was a Senior Vice President focused on working with venture-backed growth-stage companies on a variety of debt transactions, including term loans, revolving lines of credit, and mezzanine debt. Before SVB, he was with Columbia Lake Partners, a London-based venture debt investor that focuses on providing loans to VC-backed tech companies in Europe.</t>
  </si>
  <si>
    <t>rthompson@trincapinvestment.com</t>
  </si>
  <si>
    <t>247937-14P</t>
  </si>
  <si>
    <t>Sarah Stanton JD</t>
  </si>
  <si>
    <t>Ms. Sarah Stanton serves as General Counsel &amp; Chief Compliance Officer and Secretary at Trinity Capital. Before Trinity, Ms. Stanton served as a Senior Associate General Counsel at Verra Mobility, where she handled corporate and securities matters, including SEC reporting, public company compliance, and M&amp;A. Ms. Stanton has also represented multiple public and private companies in corporate governance matters and domestic and cross-border M&amp;A at DLA Piper and Rusing Lopez &amp; Lizardi. She is a graduate of the University of Arizona earning her Bachelor's in Journalism as well as her Juris Doctor degree.</t>
  </si>
  <si>
    <t>sstanton@trincapinvestment.com</t>
  </si>
  <si>
    <t>247932-46P</t>
  </si>
  <si>
    <t>Spencer Bazz</t>
  </si>
  <si>
    <t>Bazz</t>
  </si>
  <si>
    <t>Mr. Spencer Bazz serves as Director, Equipment Finance at Trinity Capital. His responsibilities include sourcing new investment opportunities, developing referral relationships, and performing due diligence on potential debt financing opportunities. He works closely with venture capitalists and technology banks domestically and abroad, as he accomplishes these goals. Prior to joining Trinity, Mr. Bazz was a president of an angel investing group at his alma mater, Grand Canyon University. His responsibilities included sourcing angel investment opportunities for HNW individuals in the Phoenix Valley. Mr. Bazz earned his Bachelor's in Finance and Economics from Grand Canyon University.</t>
  </si>
  <si>
    <t>sbazz@trincapinvestment.com</t>
  </si>
  <si>
    <t>93783-34P</t>
  </si>
  <si>
    <t>Steven Lambe</t>
  </si>
  <si>
    <t>Lambe</t>
  </si>
  <si>
    <t>Mr. Steven Lambe serves as Managing Director, Warehouse at Trinity Capital. He rejoined Trinity Capital Investment as a director in the portfolio management department where he is responsible for reporting and analysis on the status of Trinity's growing number of portfolio companies. Prior to joining Trinity, Mr. Lambe was a senior financial analyst at Sprouts Farmers Market where he was responsible for managing and improving a $4 billion sales forecast for over 260 stores. Prior to joining Sprouts, Mr. Lambe began his career at Trinity where he grew his responsibilities from financial modeling and analysis to managing and coordinating the due diligence and underwriting process. Mr. Lambe has a Master of Finance degree from the Hult International Business School where he studied private equity and financial modeling in London, England. He also has a B.S. in business administration and finance from the University of Arizona.</t>
  </si>
  <si>
    <t>slambe@trincapinvestment.com</t>
  </si>
  <si>
    <t>Managing Director, Warehouse</t>
  </si>
  <si>
    <t>135289-63P</t>
  </si>
  <si>
    <t>Trin Coleman</t>
  </si>
  <si>
    <t>Trin</t>
  </si>
  <si>
    <t>Ms. Trin Coleman serves as Staff Accountant at Trinity Capital. She joined the firm in 2014 and delivers support for finance, accounts payable, accounts receivable, marketing, and investor relations. Prior to joining Trinity, she held a contracts administrative clerk position with IMC Sales &amp; Marketing where she processed new home contracts and supported the documentation process. For more than 19 years, she has provided administrative assistance for companies in a wide range of industries including financial services, education, healthcare services, and retail. Ms. Coleman has extensive experience in finance, accounting, purchasing, and contract management. She holds an associate's degree from Estrella Mountain Community College and is currently pursuing her Accounting Assistant Certification.</t>
  </si>
  <si>
    <t>tcoleman@trincapinvestment.com</t>
  </si>
  <si>
    <t>Staff Accountant</t>
  </si>
  <si>
    <t>129414-61P</t>
  </si>
  <si>
    <t>Vibhor Garg</t>
  </si>
  <si>
    <t>Vibhor</t>
  </si>
  <si>
    <t>Mr. Vibhor Garg serves as Managing Director, Marketing at Trinity Capital. He works closely with the Origination team in promoting and developing the company's brand.
Prior to joining Trinity, Garg co-founded Bharat Health Organization, a web-based technology platform that connects patients and corporate clients to an exclusive network of healthcare organizations, solutions and services in India. Previously, Garg served as programmer and analyst for Cognizant Technology Solutions. Garg holds an MBA in Global Management from the Thunderbird School of Global Management and a B.S. in electronics engineering from VIT University. While enrolled at VIT, he published a technical paper in the International Journal of Computer Applications.</t>
  </si>
  <si>
    <t>vgarg@trincapinvestment.com</t>
  </si>
  <si>
    <t>429350-05P</t>
  </si>
  <si>
    <t>Allison Mahalic</t>
  </si>
  <si>
    <t>Mahalic</t>
  </si>
  <si>
    <t>Trousdale Ventures</t>
  </si>
  <si>
    <t>Ms. Allison Mahalic serves as Chief Operating Officer at Trousdale Ventures.Before joining Trousdale Ventures, She was part of the operating team at LA Golf. She is a graduate of Chapman University, and holds an MBA from University of Southern California.</t>
  </si>
  <si>
    <t>+1 (424) 343-0233</t>
  </si>
  <si>
    <t>allison@trousdale.vc</t>
  </si>
  <si>
    <t>9125 Sunset Boulevard</t>
  </si>
  <si>
    <t>291382-03P</t>
  </si>
  <si>
    <t>Dave Lin</t>
  </si>
  <si>
    <t>Mr. Dave Lin is a Founding Partner at Unicorn Venture Partners. He serves as an Operating Partner at Trousdale Ventures. He serves as a Board Member at Common Heir. He serves as a Board Member at Flamingo Estate. He serves as a Board Member at Climate Candy. He serves as Co-Founder and Board Director at Meyers Manx. He serves as a Board Member at Super Coffee. He serves as a Board Member at Yellowbird Foods. He serves as a Board Member at Lemon Perfect. He serves as a Board Member at Hai. He serves as a Board Member at Databento. He served as General Partner and CIO at Trousdale Ventures, LLC. He is an experienced entrepreneur, operator, advisor, and investor to venture-backed companies. He serves as a co-managing partner of Unicorn Venture Partners. As an operator and entrepreneur, he has served as CEO of Pavemint, CFO of Maker Studios, and Director of Strategy and Director of Local Search at PriceGrabber.com. He is an alumnus of UCLA and The Wharton School at The University of Pennsylvania.</t>
  </si>
  <si>
    <t>dave@trousdale.vc</t>
  </si>
  <si>
    <t>12130 Millennium Dr</t>
  </si>
  <si>
    <t>90094</t>
  </si>
  <si>
    <t>Unicorn Venture Partners</t>
  </si>
  <si>
    <t>240857-83P</t>
  </si>
  <si>
    <t>Hinrich Woebcken</t>
  </si>
  <si>
    <t>Hinrich</t>
  </si>
  <si>
    <t>Woebcken</t>
  </si>
  <si>
    <t>Mr. Hinrich Woebcken serves as General Partner at Trousdale Ventures. Mr. Woebcken also served as Strategic Advisor at Digital Motors. Mr. Woebcken Venture Partner at Blue Lagoon Capital. He serves as Board Member at Our Next Energy. He serves as Advisor at Beep. He is a Global Automotive and Manufacturing CEO and Board Member with a track record of increasing shareholder value by leading and operating Tier 1 Suppliers and OEM's. Since early 2019, he has been a Senior Advisor to Private Equity and Start-Ups in the Automotive and related Tech Industries.</t>
  </si>
  <si>
    <t>hinrich@trousdale.vc</t>
  </si>
  <si>
    <t>429507-55P</t>
  </si>
  <si>
    <t>Jeni Bartiromo</t>
  </si>
  <si>
    <t>Jeni</t>
  </si>
  <si>
    <t>Bartiromo</t>
  </si>
  <si>
    <t>Ms. Jeni Bartiromo serves as Director of communications at Trousdale Ventures. She holds an MBA from Loyola Marymount University and a BA from Emerson College.</t>
  </si>
  <si>
    <t>jeni@trousdale.vc</t>
  </si>
  <si>
    <t>Director of communications</t>
  </si>
  <si>
    <t>402438-16P</t>
  </si>
  <si>
    <t>Michael Potiker</t>
  </si>
  <si>
    <t>Potiker</t>
  </si>
  <si>
    <t>Mr. Michael Potiker serves as Partner at Trousdale Ventures. He is a dynamic and dedicated operator in the mobility space. His expertise lies at the intersection of operations and angel investing. Before joining Trousdale, he represented his family office which invested in a variety of sectors. He is a graduate of Clark University.</t>
  </si>
  <si>
    <t>michael@trousdale.vc</t>
  </si>
  <si>
    <t>193484-26P</t>
  </si>
  <si>
    <t>Phillip Sarofim</t>
  </si>
  <si>
    <t>Sarofim</t>
  </si>
  <si>
    <t>Mr. Phillip Sarofim is a Founding Partner and serves as Chief Executive Officer at Trousdale Ventures. He serves as a Board Member of Flamingo Estate. He serves as a Board Member at Venus Aerospace. He serves as a Board Member of CesiumAstro. He served as a Board Member of YellowBird. He served as a Board Member of Coreshell. He serves as a Board Member of the Smithsonian Institution. He serves as a Member of the Board of Trustees of ArtCenter. He serves as a Board Member at FlexTal. He served as a Board Member at Lemon Perfect. He is an ardent investor in diverse sectors ranging from aerospace and climate technology to health and wellness. He serves as the Chairman of the Board of Meyers Manx, the original dune buggy manufacturer. His other investments include the advanced battery company Coreshell, where he holds a board position, CesiumAstro, the innovators behind high-throughput software-defined phased array communications for airborne and space platforms, and an industry leader in green hypersonic aviation, reflecting his commitment to sustainable fuel solutions. Beyond the business realm, he contributes his expertise to academic institutions such as the ArtCenter College of Design and the Petersen Automotive Museum.</t>
  </si>
  <si>
    <t>ps@trousdale.vc</t>
  </si>
  <si>
    <t>244696-24P</t>
  </si>
  <si>
    <t>Rahul Magan JD</t>
  </si>
  <si>
    <t>Magan</t>
  </si>
  <si>
    <t>Mr. Rahul Magan serves as General Counsel at Trousdale Ventures. Mr. Rahul Magan served as Associate at Goodwin. Mr. Magan is a part of the firm's Technology group. He joined Goodwin in 2016.</t>
  </si>
  <si>
    <t>rahul@trousdale.vc</t>
  </si>
  <si>
    <t>402439-42P</t>
  </si>
  <si>
    <t>Sachin Seth Ph.D</t>
  </si>
  <si>
    <t>Sachin</t>
  </si>
  <si>
    <t>Dr. Sachin Seth serves as Partner at Trousdale Ventures. Dr. Seth serves as Director of Finance at Meyers Manx. Dr. Seth serves as Board Observer at Aionics, Coreshell, CesiumAstro &amp; Range Energy. He most recently served as a Senior Finance Manager at Tesla Motors, which he joined after spending seven years at Texas Instruments. He received a Ph.D. in Electrical Engineering from Georgia Institute of Technology where the focus of his dissertation was high-frequency circuit design using Silicon-Germanium HBTs. He also holds an MBA in Finance and Marketing from The Wharton School. He also completed a Public Policy fellowship and is a Senior Member of the Institute of Electrical and Electronic Engineers.</t>
  </si>
  <si>
    <t>sachin@trousdale.vc</t>
  </si>
  <si>
    <t>248769-73P</t>
  </si>
  <si>
    <t>Ted Holzman</t>
  </si>
  <si>
    <t>Holzman</t>
  </si>
  <si>
    <t>Mr. Ted Holzman serves as Chief Financial Officer at Trousdale Ventures. Mr. Holzman is an Angel Investor. Before joining Trousdale, he held positions as Vice President at Sandler O'Neill + Partners and Managing Director at Invemed Associates LLC, the Langone Family Office. Additionally, he serves on the board of Lemon Perfect, a company within the Trousdale portfolio. He is a graduate of Bucknell University.</t>
  </si>
  <si>
    <t>ted@trousdale.vc</t>
  </si>
  <si>
    <t>38692-54P</t>
  </si>
  <si>
    <t>Adam D'Augelli</t>
  </si>
  <si>
    <t>D'Augelli</t>
  </si>
  <si>
    <t>True Ventures</t>
  </si>
  <si>
    <t>Mr. Adam D'Augelli serves as a Partner at True Ventures. He serves as Board Member at RadiantGraph and Deep Genomics. He served as a Board Member at Membio. He serves as Board Member at Splice (Multimedia and Design Software). He serves as Board Member at Prime Roots, and Pendulum Therapeutics. He served as Board Member at Feelmore Labs. He serves as Board Member at Flipside Crypto. He served as a Board Member of InterVenn. He served as Board Member at Symbiome and TripleLift. He served as Board Member at Girihlet. Growing up, he was drawn to startups and technology - early on as a founder of a donation-based record label and a social business in India then later as a consultant to early-stage technology companies on the East Coast. Building upon this experience, he led the creation of "Digital Frontiers," a course at the University of Florida exploring how the Internet and Technology are changing the global business landscape. He graduated Magna Cum Laude from the University of Florida with a BS &amp; MS in Finance. He serves as Board Member at Nine Realms.</t>
  </si>
  <si>
    <t>adam@trueventures.com</t>
  </si>
  <si>
    <t>501 3rd Street</t>
  </si>
  <si>
    <t>150762-97P</t>
  </si>
  <si>
    <t>Amanda Mann</t>
  </si>
  <si>
    <t>Ms. Amanda Mann serves as Vice President, Finance at True Ventures. Previously, She spent over six years in Ernst &amp; Young's assurance practice, where she served clients primarily in the technology and retail industry. She is a Certified Public Accountant, has a Bachelor's Degree in accounting from Seattle University, and has a Master's Degree in accounting from the University of Notre Dame.</t>
  </si>
  <si>
    <t>amanda@trueventures.com</t>
  </si>
  <si>
    <t>17879-14P</t>
  </si>
  <si>
    <t>Amy Errett</t>
  </si>
  <si>
    <t>Errett</t>
  </si>
  <si>
    <t>Ms. Amy Errett is a Co-Founder and serves as Chief Executive Officer &amp; Board Member at Madison Reed. Ms. Errett serves as Advisor at Common Sense Media. She serves as a Board Member at Hippo Enterprises. She serves as an Advisor at Parade Ventures. She also serves as a Board Member at Holey Grail Donuts. She also served as a Board Member at Latimer Education. She also served as an Advisor at P&amp;G Ventures. She is also an angel investor. She also serves as a Partner at True Ventures. She served as the Board Member at Vacatia. She joined the Maveron team in 2007 and was focused on opportunities in Internet-based consumer services. Before Maveron, she served as the Chief Executive Officer of the lifestyle company Olivia and Internet property Olivia.com, where she transformed the travel company into a lifestyle media company. She holds a Master of Business Administration in finance from the University of Pennsylvania (Wharton) in 1988 &amp; also holds a BA degree in liberal arts from the University of Connecticut, Storrs in 1979.</t>
  </si>
  <si>
    <t>amy@madison-reed.com</t>
  </si>
  <si>
    <t>Hippo Insurance (Former)</t>
  </si>
  <si>
    <t>150765-94P</t>
  </si>
  <si>
    <t>Amy Tusman</t>
  </si>
  <si>
    <t>Tusman</t>
  </si>
  <si>
    <t>Ms. Amy Tusman serves as Executive Assistant at True Ventures. Tusman joined True Ventures in 2012, bringing with her experience in both the corporate and technology industries. Previously, She served as executive assistant to the VP of Product at AOL. She graduated from Sonoma State University with a Bachelor of Fine Arts and a minor in business administration.</t>
  </si>
  <si>
    <t>amy@trueventures.com</t>
  </si>
  <si>
    <t>117054-82P</t>
  </si>
  <si>
    <t>Ann Weiss JD</t>
  </si>
  <si>
    <t>Ms. Ann Weiss serves as a Partner at True Ventures. Ms. Weiss is a Co-Founder and serves as a Chief Executive Officer at Hatch. She ran the consumer division of BabyCenter. She has deep experience as an entrepreneur, having founded and run two companies, both funded by True. She founded Maya's Mom and served as its Chief Executive Officer. Her experience is in early-stage consumer internet, mobile, and IOT companies. Her passion is working with early-stage entrepreneurs who have a clear vision and quiet confidence.</t>
  </si>
  <si>
    <t>ann@trueventures.com</t>
  </si>
  <si>
    <t>36326-35P</t>
  </si>
  <si>
    <t>Anthony Conrad</t>
  </si>
  <si>
    <t>Mr. Anthony Conrad serves as Partner at True Ventures. He serves as Board Member at Bumo. He served as Board Member at Common Sense Media. Mr. Conrad serves as Chief Executive Officer at Zero Longevity Science. He also serves as Board Member at The Flour + Water Hospitality Group &amp; Holey Grail Donuts. He Co-Founded and served as Co-Chief Executive Officer at About.me. He served as Board Member at 20x200. He also serves as Board Member at RescueTime. He also serves as Investor &amp; Board Member at High Fidelity. He serves as Board Member at Common Sense Media, and Modern Animal. He is the Founder of AOL Ventures. He served as a Board Member at Automattic. He served as General Partner at VSP Capital and as a Board Member at Quarterly. He served on the Board of Directors of Automattic, appssavv, PastFuture (GDGT), FREEjit, Small Batch (Typekit), WeGame, Zero and led True's investment MakerBot &amp; Plancast. He also serves as a Special Advisor to AOL Ventures. He served as a Board Member at StockTwits. Previously, he co-founded Sphere which was acquired by AOL in April, 2008. In addition, he has served on the Board of Directors for Oddpost (acquired by Yahoo), Iconoculture, MusicNow (acquired by Circuit City) and Centive (acquired by Xactly). He also played an active role managing investments in Post Communications (NASDAQ: NTVS), QuinStreet (NASDAQ: QNST), Danger (acquired by Microsoft), Sabrix and Stonyfield Farms (acquired by Groupe Danone). He is also a Board Member at Smarterer. He also served as a Board Member at appssavvy. He served as Board Member at KISSmetrics. He holds a BS (Bachelor of Science) in Telecommunications from Indiana University.</t>
  </si>
  <si>
    <t>tony@trueventures.com</t>
  </si>
  <si>
    <t>124321-96P</t>
  </si>
  <si>
    <t>Brooke Natta</t>
  </si>
  <si>
    <t>Natta</t>
  </si>
  <si>
    <t>Ms. Brooke Natta serves as Head of Public Relations at True Ventures. In this role, she employed her 15 years of experience, including agency, in-house and consulting positions, to advise early-stage startups on public relations and communications strategies. She is results-oriented and media-savvy, securing interviews and coverage in top-tier publications and blogs. Her specialties include: high-level media and analyst relations for technology companies big and small, customer reference programs, crisis communications and managing international and boutique public relations agencies. She was born and raised in Palo Alto, California and attended her undergraduate years at the University of California Berkeley.</t>
  </si>
  <si>
    <t>brooke@trueventures.com</t>
  </si>
  <si>
    <t>Head of Public Relations</t>
  </si>
  <si>
    <t>355433-14P</t>
  </si>
  <si>
    <t>Caroline Ciaramitaro</t>
  </si>
  <si>
    <t>Ciaramitaro</t>
  </si>
  <si>
    <t>Ms. Caroline Ciaramitaro serves as an Associate at True Ventures. He joined True as an analyst in 2023 following a summer of work with portfolio company Hatch through the True Ventures Fellowship. Previously, she interned for the news media company the Skimm and financial advisory firm Motley Fool. She spent nearly a year as a research assistant for the Center for Advanced Hindsight at Duke University, where she researched behavioral economic principles and private-sector applications. She graduated with a degree in applied behavioral analysis from the University of North Carolina at Chapel Hill.</t>
  </si>
  <si>
    <t>caroline@trueventures.com</t>
  </si>
  <si>
    <t>38692-99P</t>
  </si>
  <si>
    <t>Christiaan Vorkink</t>
  </si>
  <si>
    <t>Christiaan</t>
  </si>
  <si>
    <t>Vorkink</t>
  </si>
  <si>
    <t>Mr. Christiaan Vorkink serves as Vice President &amp; Director at True Ventures. He was also a Board Member at SaveUp. He serves as a Board Member at Rescue Time. His first foray into entrepreneurship came in elementary school when he and his best friend managed a newspaper delivery service in the small town in New Hampshire where they grew up. After graduating college, he taught history for two years in suburban New York before moving to Boston to spend six years in a variety of roles in support of local startups. Prior to joining True, he was a senior analyst in the venture capital research group at Cambridge Associates and worked in network development at BrightRoll, a True portfolio company. He holds a BA in Political Science from Yale and an MBA from MIT.</t>
  </si>
  <si>
    <t>christiaan@trueventures.com</t>
  </si>
  <si>
    <t>Vice President &amp; Director</t>
  </si>
  <si>
    <t>110437-75P</t>
  </si>
  <si>
    <t>Clarence Bethea</t>
  </si>
  <si>
    <t>Bethea</t>
  </si>
  <si>
    <t>Mr. Clarence Bethea is the Founder and serves as Chairman at Upsie Technology. Mr. Clarence Bethea serves as Executive in Residence and Investor at True Ventures. He serves as an Executive at Diverse Angels. He previously served as Executive Chairman at the company. Mr. Bethea has a degree in Secondary Education from Bemidji State University in 2003.</t>
  </si>
  <si>
    <t>+1 (877) 844-7745</t>
  </si>
  <si>
    <t>cbethea@upsie.com</t>
  </si>
  <si>
    <t>Saint Paul</t>
  </si>
  <si>
    <t>Saint Paul, MN</t>
  </si>
  <si>
    <t>370 Wabasha Street North</t>
  </si>
  <si>
    <t>55102</t>
  </si>
  <si>
    <t>Upsie Technology</t>
  </si>
  <si>
    <t>37205-29P</t>
  </si>
  <si>
    <t>David Balter</t>
  </si>
  <si>
    <t>Balter</t>
  </si>
  <si>
    <t>Mr. David Balter is a Co-Founder and serves as Chief Executive Officer at Flipside. He was the Co-Founder of Boston Seed Capital. He was the Founder of dunnhumby Ventures. He was a Co-Founder and served as the Chairman at Mylestone. He served as a Board Member at Broadlume. He is the Chief Executive Officer of Mylestoned. He also served as Chairman at Grapevine. He serves as a Venture Partner at True Ventures. He also co-founded Smarterer and BzzAgent and served as Chief Executive Officer at both companies. Prior to launching BzzAgent in 2001, he ran and sold two promotions agencies. Dave also Co-Founded the Word of Mouth Marketing Association in 2004 (WOMMA) and has authored two books on the subject of Word of Mouth and Social Media, Grapevine and The Word of Mouth Manual: Volume II. In 2007, Harvard Business School dubbed Dave one of Boston's "Hottest Technology CEOs." he was named to the "40 under 40" list by The Boston Business Journal and Advertising Specialty Institute, and in 2008, Dave was recognized as a Future Legend by AdClub. he sits on the advisory boards of the Wharton Future of Advertising Project, Massachusetts Innovation &amp; Technology Exchange, and the Boston Boys &amp; Girls Club Marketing and Communications Committee. He also holds a BA in Psychology from Skidmore College. He also served as Vice Chairman of the Board at Boch Center.</t>
  </si>
  <si>
    <t>+1 (435) 610-1765</t>
  </si>
  <si>
    <t>dave@flipsidecrypto.com</t>
  </si>
  <si>
    <t>PMB Number 419</t>
  </si>
  <si>
    <t>Flipside</t>
  </si>
  <si>
    <t>150763-42P</t>
  </si>
  <si>
    <t>Emily Rabbitt</t>
  </si>
  <si>
    <t>Rabbitt</t>
  </si>
  <si>
    <t>Ms. Emily Rabbitt serves as an Executive Assistant at True Ventures. She joined True Ventures in 2015, bringing with her experience in both the service and technology industries. Previously, Emily served as a marketing coordinator for Libraryworld, Inc. She earned a bachelor's degree in business administration and management from San Francisco State University.</t>
  </si>
  <si>
    <t>emily@trueventures.com</t>
  </si>
  <si>
    <t>36543-07P</t>
  </si>
  <si>
    <t>Gus Coldebella JD</t>
  </si>
  <si>
    <t>Coldebella</t>
  </si>
  <si>
    <t>Mr. Gus Coldebella serves as a Board Member at Parry Labs. He serves as a Partner at True Ventures. He previously served as a Partner at Goodwin Procter. He also served as Vice Chairman of the Board of Trustees at Colgate University. In October 2005, he was appointed deputy general counsel of the U.S. Department of Homeland Security. He was nominated to be the general counsel of DHS by President George W. Bush in July 2008 and served as its acting general counsel from February 2007 to January 2009. Before joining DHS, he represented major public companies, private equity funds, Internet and other tech startups, and boards of directors in a variety of adversarial matters. These included securities class actions alleging violations of Rule 10b-5 and breaches of fiduciary duty; SEC, stock market, and state agency investigations; arbitrations; partnership and post-closing disputes; executive terminations; and other complex litigation. He also conducted internal investigations of alleged wrongdoing on behalf of a variety of clients and counseled boards of directors on managing risk. He graduated from Cornell Law School magna cum laude in 1994 and received his undergraduate degree from Colgate University in 1991. He serves as the president of Colgate's 30,000-member Alumni Corporation and an ex officio member of its Board of Trustees.</t>
  </si>
  <si>
    <t>+1 (202) 346-4034</t>
  </si>
  <si>
    <t>gus@trueventures.com</t>
  </si>
  <si>
    <t>68661-01P</t>
  </si>
  <si>
    <t>Helen Min</t>
  </si>
  <si>
    <t>Ms. Helen Min is a Co-Founder &amp; serves as Managing Partner at Phenomenal Ventures. Ms. Min serves as Venture Partner at True Ventures. She serves as a Board Member at Loupe. She is an Angel Investor. She co-founded with Meena Harris in 2022. She was previously CMO of AngelList, Plaid, and Quora, Head of Enterprise Marketing at Dropbox, and Head of Vertical Marketing at Facebook. She started her career in the advertising industry, working for challenger brands, including Audi of America and AMD. She holds an MBA from UC Berkeley and an MS and BS in Communications from the University of Illinois at Urbana-Champaign. She served as Board Member at Loupe (Application Software).</t>
  </si>
  <si>
    <t>helen@phenomenalventures.com</t>
  </si>
  <si>
    <t>Phenomenal Ventures</t>
  </si>
  <si>
    <t>41448-34P</t>
  </si>
  <si>
    <t>James Stewart</t>
  </si>
  <si>
    <t>Mr. James Stewart serves as Chief Operating Officer &amp; Partner at True Ventures. Mr. Stewart joined True Ventures in 2012, bringing substantial operating and financial experience in venture-backed technology and biotechnology companies. He oversees the financial and administrative tasks of True, provides operating support to True's portfolio companies, and maintains close relationships with True's Limited Partners. Mr. Stewart began his career in a traditional financial role with Ernst &amp; Young, where he spent three years as a Partner, leaving to join a venture-backed technology company. He holds a BS in Business Administration from the University of Southern California.</t>
  </si>
  <si>
    <t>jstewart@trueventures.com</t>
  </si>
  <si>
    <t>38840-23P</t>
  </si>
  <si>
    <t>Jeffery Veen</t>
  </si>
  <si>
    <t>Veen</t>
  </si>
  <si>
    <t>Mr. Jeffery Veen serves as Design Partner &amp; Head of Platform at True Ventures. Mr. Veen founded and served as Chief Executive Officer at TypeKit. He served asAdvisor &amp; Board Member at UXPin. Mr. Veen also co-founded Small Batch, Inc. and served as its Chief Executive Officer. He also founded Measure Map and served as its Director. As a consultant, he has been involved in designing the blog and social media applications on the web, including Blogger, TypePad, Flickr, and more. He specializes in the integration of content, graphic design, and technology from a user-centered perspective. He is a speaker, author, and user experience consultant, as well as a columnist for Webmonkey. He is also an Angel Investor. He holds degree from Calvin College.</t>
  </si>
  <si>
    <t>jeff@trueventures.com</t>
  </si>
  <si>
    <t>Design Partner &amp; Head of Platform</t>
  </si>
  <si>
    <t>14104-72P</t>
  </si>
  <si>
    <t>Jonathan Callaghan</t>
  </si>
  <si>
    <t>Mr. Jonathan Callaghan is a Co-Founder of True Ventures. Mr. Callaghan serves as Board Member at Madison Reed, PayNearMe, Aisera, Rise Gardens, Sofar Ocean, NeoSensory, NoRedInk, and Murj. He serves as Director at Peloton (Recreational Goods). He is an Angel Investor. He served as a Board Member at 3DR and DropLabs. He served as Board Member at Cloverpop and The Yes. He was an Investor and served as a Board Member at GigaOm. He was a Board Member of Keep Holdings. He served as a Board Member at Ginger.io. He served as the Chairman of the National Venture Capital Association. He served as Advisor at Sherpa. He has founded three of his own companies and has been in the venture capital business since 1991. He founded his first company, Mountain Bike Outfitters, Inc in 1986. He started his venture career as an associate at Summit Partners and then joined AOL's Greenhouse, the venture capital/incubator for AOL. He joined the internet market early by joining CMGi's @Ventures group in 1996. Before founding True, he was a Managing Director at Globespan Capital. He received a BA in Government from Dartmouth College and an MBA, with distinction, from Harvard Business School. He serves as Board Member at Ernesta. He served as Board Member at Mystery Tackle Box.</t>
  </si>
  <si>
    <t>jon@trueventures.com</t>
  </si>
  <si>
    <t>160118-56P</t>
  </si>
  <si>
    <t>Joyce Bremer</t>
  </si>
  <si>
    <t>Bremer</t>
  </si>
  <si>
    <t>Ms. Joyce Bremer serves as Executive Assistant at True Ventures. She joined True Ventures as an executive assistant in 2015, bringing with her over 20 years of experience in biotechnology, pharmaceutical, medical device and legal industries, encompassing startup, pre-IPO, and globally public-owned companies. Previously, She served as Director, Operations and Program Management at Vaniam Group, LLC.</t>
  </si>
  <si>
    <t>joyce@trueventures.com</t>
  </si>
  <si>
    <t>39557-08P</t>
  </si>
  <si>
    <t>Kevin Rose</t>
  </si>
  <si>
    <t>Mr. Kevin Rose is a Co-Founder of Zero Longevity Science. Mr. Rose co-founded Pownce. He is a Founder and serves as Chief Executive Officer at Watchville. Mr. Rose is a Co-Founder and serves as Chief Executive Officer at Proof Collective. He serves as a Partner at True Ventures. He is the Founder of Oak Meditation. He is an Angel Investor. He is the Founder of the Foundation. He served as Board Member at Jour. He is a Board Member of Hodinkee, Endel, and Foundation (Media and Information Services). He was an Advisor at Resolute Ventures. He is a Co-Founder of North. a serial entrepreneur best known for founding Digg and Revision3. Most recently, he founded Oak, a guided meditation app, and Zero, an app for tracking intermittent fasting. In addition to serving on the boards of True Portfolio companies, Kevin is on the advisory boards of the Tony Hawk Foundation and Harlan Estate. Before joining True Ventures, he was a general partner at Google Ventures. He has been featured on the cover of Inc. Magazine, Bloomberg Businessweek, and RedHerring, in addition to others. Kevin was named "Top 25 Angel Investors" by Bloomberg, "Top 25 Web Celebrities" by Forbes, "Top 35 Innovators" by MIT, and "Top 25 Most Influential People on the Web" by Time and Businessweek magazines. He has also appeared on ABC Nightline News, The Jimmy Fallon Show, and the Charlie Rose Show. Kevin interviews experts of all types to learn how to reach peak personal and professional performance while living a minimal and balanced life for his podcast, The Kevin Rose Show. He also launched Modern Finance, a podcast covering all things crypto, DeFi, yield farming, NFTs, FIRE, robo-investing, finance hacks, and more. He holds degree from University of Nevada, Las Vegas (UNLV). He serves as Chairman at Digg.</t>
  </si>
  <si>
    <t>krose@zerolongevity.com</t>
  </si>
  <si>
    <t>3739 Balboa Street</t>
  </si>
  <si>
    <t>Suite 1008</t>
  </si>
  <si>
    <t>94121</t>
  </si>
  <si>
    <t>Zero Longevity Science</t>
  </si>
  <si>
    <t>76816-63P</t>
  </si>
  <si>
    <t>Lars Nilsson</t>
  </si>
  <si>
    <t>Mr. Lars Nilsson is the Founder &amp; serves as Chief Executive Officer at SalesSource. Mr. Nilsson serves as Special Advisor at True Ventures. Mr. Nilsson served as Vice President of Global Inside Sales at Cloudera. He serves as Limited Partner at GTMFund. With over twenty-five years of sales and operations experience within the technology sector, he has developed significant expertise in deploying and integrating Sales 2.0 technologies within Salesforce.com to promote companywide CRM adoption as well as produce ubiquitous visibility for executives into their business. Prior to Cloudera, he founded SalesSource, a premier business services consulting firm specializing in Salesforce.com customization and sales process development to help venture-backed startups scale and drive pipeline. He has also served in sales executive roles at ArcSight/Hewlett Packard, Riverbed Technology and Portal Software. All three companies achieved an IPO. He began his sales and management career at Xerox Corporation, where he excelled in the highly touted Xerox Management Training program. He earned his Bachelor of Science degree in Business Economics from the University of California, Santa Barbara in 1989.</t>
  </si>
  <si>
    <t>lars@salessource.com</t>
  </si>
  <si>
    <t>2706 Sea View Pkwy</t>
  </si>
  <si>
    <t>94502</t>
  </si>
  <si>
    <t>SalesSource</t>
  </si>
  <si>
    <t>213797-17P</t>
  </si>
  <si>
    <t>Laura Vrcek</t>
  </si>
  <si>
    <t>Vrcek</t>
  </si>
  <si>
    <t>Ms. Laura Vrcek serves as Director of Editorial at True Ventures. Since fall of 2016, she has been helping members of the True team put their pens to paper and share their insights through content. She brings more than a decade of experience with startups and media to her role as True communications director. She started her career on creative and content strategy teams for high-growth e-commerce startups, before launching her consultancy focused on developmental editing for technology executives. She has a Masters of Fine Arts in creative writing from Chatham University, where she studied emerging publishing trends and prose poetry. She graduated Summa Cum Laude and was inducted to the Phi Beta Kappa Honors Society as an undergraduate.</t>
  </si>
  <si>
    <t>laura@trueventures.com</t>
  </si>
  <si>
    <t>Director of Content Strategy</t>
  </si>
  <si>
    <t>210716-56P</t>
  </si>
  <si>
    <t>Lauren Oesterle</t>
  </si>
  <si>
    <t>Oesterle</t>
  </si>
  <si>
    <t>Ms. Lauren Oesterle serves as Executive, Finance at True Ventures. Prior to that, she worked with Ernst &amp; Young and then spent a number of years as an accounting consultant for Bay Area technology companies spanning social media and software. She holds a bachelor's degree in accounting from Miami University and a master's degree in accounting from the University of Colorado Boulder.</t>
  </si>
  <si>
    <t>lauren@trueventures.com</t>
  </si>
  <si>
    <t>Accounting Manager</t>
  </si>
  <si>
    <t>160117-66P</t>
  </si>
  <si>
    <t>Lina Bhula</t>
  </si>
  <si>
    <t>Bhula</t>
  </si>
  <si>
    <t>Ms. Lina Bhula serves as Controller at True Ventures. Ms. Bhula joined True's finance team in 2015. Lina started her career at Ernst &amp; Young in the San Francisco Assurance practice. While at Ernst &amp; Young, she spent her time serving real estate, consumer products, and technology clients. Lina has a Bachelor's degree in Economics and Accounting from the University of California, Santa Barbara.</t>
  </si>
  <si>
    <t>lina@trueventures.com</t>
  </si>
  <si>
    <t>213795-46P</t>
  </si>
  <si>
    <t>Madeline Saltzman</t>
  </si>
  <si>
    <t>Madeline</t>
  </si>
  <si>
    <t>Saltzman</t>
  </si>
  <si>
    <t>Ms. Madeline Saltzman serves as Vice President of Culture at True Ventures. Prior to joining the team, she was the VP of people and talent at Handshake, a True portfolio company. As Handshake grew from seedling startup to nationally acclaimed college career network, she ensured the organization inclusive culture scaled with it and that every interviewee felt a sense for the team mission to democratize access to opportunity. In her role as VP of culture at True, Madeline helps True founders hire and grow teams that respect and reflect diverse backgrounds and perspectives, thrive in the face of challenges, and pursue values-driven work. Within the firm, she leads Trues people initiatives and ensures organizational health. Before Handshake, Madeline focused on hiring high-performing talent and building strong, inclusive cultures at Cadre, Tumblr, and Google. A San Francisco native, Madeline returned to the Bay Area in 2016. Her hidden talents include speaking three languages and investigating all things wellness and eco-friendly. She is passionate about mentoring young women through #BuiltbyGirls and nurturing more authentic connection across the industry. Madeline graduated Magna Cum Laude from Barnard College of Columbia University with a major in political science and minor in French literature.</t>
  </si>
  <si>
    <t>madeline@trueventures.com</t>
  </si>
  <si>
    <t>Vice President of Culture</t>
  </si>
  <si>
    <t>249533-11P</t>
  </si>
  <si>
    <t>Michael Montano</t>
  </si>
  <si>
    <t>Montano</t>
  </si>
  <si>
    <t>Mr. Michael Montano serves as a Partner at True Ventures. Mr. Montano is an Angel Investor. He was a Founding Partner of Rogue Capital. He had served as Head of Engineering at Twitter.</t>
  </si>
  <si>
    <t>X (Social/Platform Software) (Former)</t>
  </si>
  <si>
    <t>429670-54P</t>
  </si>
  <si>
    <t>Mikaela Lipsky</t>
  </si>
  <si>
    <t>Mikaela</t>
  </si>
  <si>
    <t>Lipsky</t>
  </si>
  <si>
    <t>Ms. Mikaela Lipsky serves as Associate at True Ventures. Previously, she was a research assistant for the University of Washington's Department of Public Health. she was also a business operations intern for fast-casual restaurant chain Sweetgreen. She graduated with a bachelor's degree in science management from Claremont McKenna College where she was on the women's track and field team.</t>
  </si>
  <si>
    <t>mikaela@trueventures.com</t>
  </si>
  <si>
    <t>186080-23P</t>
  </si>
  <si>
    <t>Natasha Sharma</t>
  </si>
  <si>
    <t>Ms. Natasha Sharma serves as Principal at True Ventures. She serves as a Board Member at Riley. She serves as a Board Member at Sherpa and Mozza Foods. She first joined the True Ventures team in the summer of 2016 as a True Entrepreneur Corps Fellow. During TEC, she worked with Helpshift, a SaaS company that makes it easy for businesses to care for their customers. Natasha graduated from Smith College with a bachelor's degree in economics.</t>
  </si>
  <si>
    <t>natasha@trueventures.com</t>
  </si>
  <si>
    <t>90986-77P</t>
  </si>
  <si>
    <t>Nathan Yamamoto</t>
  </si>
  <si>
    <t>Yamamoto</t>
  </si>
  <si>
    <t>Mr. Nathan Yamamoto serves as a Senior Project Manager at True Ventures. He joined the True Ventures finance team in 2012 after six years in public and industry accounting. At True, he contributes to the financial reporting process, including valuations of the fund's investments, while also supporting the investment team and relations with limited partners and Founders. His experience includes time at Ernst &amp; Young, serving clients in the financial services, real estate, and clean technology industries. Subsequently, He worked at a boutique investment bank as a controller. He earned a BA in Business Administration and a Master of Accounting from the University of Washington.</t>
  </si>
  <si>
    <t>nathan@trueventures.com</t>
  </si>
  <si>
    <t>38021-23P</t>
  </si>
  <si>
    <t>Om Malik</t>
  </si>
  <si>
    <t>Om</t>
  </si>
  <si>
    <t>Mr. Om Malik serves as Board Member at Veniam. Mr. Malik also served as Partner Emeritus at True Ventures. He serves as a Board Member at Mode. He served as a Board Member at Callstats.io. He was a Board Member at Twin Prime. He was the Founder, Contributing Writer &amp; Board Member of Gigaom. He has several years of experience as a journalist covering technology and business news. He was a Writer at Red Herring during its glory days, then went on to be part of the founding team of Forbes.com as a Senior Editor. Most recently, he was a Senior Writer for Business 2.0, covering telecom and broadband stories. He also started Desiparty.com. His contributions have been published in The Wall Street Journal, The Economist and MIT Technology Review. Additionally, he is the author of "Broadbandits: Inside the $750 Billion Telecom Heist." He is also the recipient of many industry awards, including Excellence in Journalism from the Society of Professional Journalists in 2001 and the Gold Award from American Society of Business Publication Editors in 2001. He has a degree from St. Stephen's College, Delhi.</t>
  </si>
  <si>
    <t>+1 (415) 470-3349</t>
  </si>
  <si>
    <t>One Bush Plaza</t>
  </si>
  <si>
    <t>Veniam</t>
  </si>
  <si>
    <t>14104-81P</t>
  </si>
  <si>
    <t>Philip Black</t>
  </si>
  <si>
    <t>Mr. Philip Black is a Co-Founder and serves as Partner at True Ventures. He serves as Principal at Blacksmith Capital. He serves as Board Member at StrongDM. He serves as Board Member at Copper (Business/Productivity Software). He serves as Board Member at Orreco. He serves as Board Member at Automattic. He served as Board Member at Helpshift. He was a Board Member at Stitch Labs. He served as Board Member at Intertie. He serves as Board Member &amp; Advisor at Directus. He served as Board Member at Apply Financial, Loansnap, OutboundWorks, and KISSmetrics. He served as Board Member at Sano Intelligence. Previously, he served as General Partner at ABS Ventures. He founded Blacksmith Capital, a seed and early-stage venture fund focused on sub $1 million investments in the technology sector. He also served as Senior Managing Director at Blacksmith Capital. He worked for many years learning the venture trade while at Summit Partners and at the predecessor firm to Lightspeed Venture Partners. He holds an AB degree in Economics from Stanford University. He worked for many years learning the venture trade while at Summit Partners and at the predecessor firm to Lightspeed Venture Partners. He spent the crazy "internet bubble" years at ABS Ventures working with John Burke, and, in 2003, they co-founded a small angel fund, Blacksmith Capital, which set him on the path of pursuing the earliest stage technology companies that wished to raise modest, initial rounds of capital. Blacksmith proved on a microcosmic level what True Ventures has been able to institutionalize: great founders of early-stage technology companies can and often prefer to start their businesses and get a lot of traction with $2.5 million or less of initial capitalization.</t>
  </si>
  <si>
    <t>pblack@trueventures.com</t>
  </si>
  <si>
    <t>150766-21P</t>
  </si>
  <si>
    <t>Priscilla Tyler</t>
  </si>
  <si>
    <t>Ms. Priscilla Tyler serves as Vice President at True Ventures. Ms. Tyler serves as Board Member at WattCarbon. She is also an Angel Investor. She leads a number of initiatives focused on emboldening founders and their teams to do their best work, in addition to funding climate technologies. She has a bachelor's degree in economics and French from Amherst College.</t>
  </si>
  <si>
    <t>priscilla@trueventures.com</t>
  </si>
  <si>
    <t>35614-63P</t>
  </si>
  <si>
    <t>Puneet Agarwal</t>
  </si>
  <si>
    <t>Mr. Puneet Agarwal serves as a Partner at True Ventures. He serves as Board Member at Hi Marley, Baffle, Airship, Gradle, Veza, LiveStories, Puppet, Solo.io, Solvvy, Submittable, Synadia, Tray.io. He served as Board Member at Solvvy. He served as Board Member at UnderstoryHe served as Board Member at Apcera, Pulse, Datos IO, Driven (Application Performance Management), Duo Security, Evident.IO, Hedvig, Loggly, Nodeable, Orchestrate, Piston Cloud Computing, Soundhawk, npm, and tenXer and Board Observer at Streetline. He holds MS and BS in Industrial Engineering from Stanford University.</t>
  </si>
  <si>
    <t>+1 (650) 319-2164</t>
  </si>
  <si>
    <t>puneet@trueventures.com</t>
  </si>
  <si>
    <t>13660-66P</t>
  </si>
  <si>
    <t>Rohit Sharma Ph.D</t>
  </si>
  <si>
    <t>Dr. Rohit Sharma serves as Partner at True Ventures. He serves as Board Member at Conifer. He serves as Board Member at Avidbots. He serves as Board Member at Basecamp Research and ICEYE. He serves as Board Member at Diligent Robotics. He serves as Board Member at Prellis Biologics. He served as Board Member at Vanti. He served as Board Member at Aurora Insight and Enveda. He served as President &amp; Chief Executive Officer of Vdopia. He had been CTO at optical networking firm ONI Systems and served as a partner at VC firm Mohr Davidow Ventures. He later served as SVP &amp; CTO of Metro Networking. Earlier in his career, he was with Telecom Research Labs in Canada. He holds a Ph.D. in Electrical Engineering from the University of Alberta, Canada where he supports a Chair position in Digital Communications, and a BSc from the National Institute of Technology, Kurukshetra, India. He served as Board Member at Enveda Biosciences. He served as Board Member at Zymergen. He serves as Board Member at Ati Motors.</t>
  </si>
  <si>
    <t>rohit@trueventures.com</t>
  </si>
  <si>
    <t>429669-55P</t>
  </si>
  <si>
    <t>Soul Dayan</t>
  </si>
  <si>
    <t>Soul</t>
  </si>
  <si>
    <t>Dayan</t>
  </si>
  <si>
    <t>Mr. Soul Dayan serves as Associate at True Ventures. Previously, he was a fellow for the Venture Capital Investment Competition. He was a social media intern for a boutique marketing agency in his hometown, Winston-Salem, North Carolina, prior to finding his way to VC. He graduated from UNC at Chapel Hill where he was a Morehead-Cain Scholar.</t>
  </si>
  <si>
    <t>soul@trueventures.com</t>
  </si>
  <si>
    <t>160118-83P</t>
  </si>
  <si>
    <t>Stephanie Duran</t>
  </si>
  <si>
    <t>Duran</t>
  </si>
  <si>
    <t>Ms. Stephanie Duran serves as Fund Accounting Manager at True Ventures. Stephanie joined the True Ventures finance team in 2016. Prior to True, she served as a staff accountant for a real estate development firm based in San Jose, California. Stephanie holds a Bachelor's Degree in economics and accounting from the University of California, Santa Barbara.</t>
  </si>
  <si>
    <t>stephanie@trueventures.com</t>
  </si>
  <si>
    <t>Fund Accounting Manager</t>
  </si>
  <si>
    <t>14104-54P</t>
  </si>
  <si>
    <t>Toni Schneider</t>
  </si>
  <si>
    <t>Mr. Toni Schneider serves as a Partner at True Ventures. Previously, he served as Chief Executive Officer at Polldaddy. He also serves as Chief Executive Officer at Gravatar and Polldaddy. He serves as Board Member at Automattic, Handshake and Exnaton. He served as Board Member at After the Deadline. He serves as Board Member at Piavita. He also serves as Board Member at Advisor at Übermorgen Ventures and Neighborland. He served as Chief Executive Officer at IntenseDebate and Founder and Chief Executive Officer &amp; Founder at Uplister. He also served as Board Member at Tend, Atipica, Madefire, and Renovo. He is also the Founder and served as Advisor at Sphere. He holds a BS in Computer Science from Stanford University and a Degree in Computer Science from the University of California, Santa Barbara. He serves as Board Member at Bigscree.</t>
  </si>
  <si>
    <t>toni@trueventures.com</t>
  </si>
  <si>
    <t>41054-05P</t>
  </si>
  <si>
    <t>Ulrike Kellmereit</t>
  </si>
  <si>
    <t>Kellmereit</t>
  </si>
  <si>
    <t>Ms. Ulrike Kellmereit serves as Chief Financial Officer at True Ventures. She started her career in Tax Advisory Services for Ernst &amp; Young's Berlin office and transitioned to Assurance Services for Ernst &amp; Young's San Francisco office in 2007. She is a Certified Public Accountant and holds a Diploma Degree in Business and Economics from Humboldt University of Berlin and a Master's Degree in Professional Accounting from The University of Texas at Austin.</t>
  </si>
  <si>
    <t>ulrike@trueventures.com</t>
  </si>
  <si>
    <t>96120-82P</t>
  </si>
  <si>
    <t>Albert Robbat Ph.D</t>
  </si>
  <si>
    <t>Robbat</t>
  </si>
  <si>
    <t>Tufts University</t>
  </si>
  <si>
    <t>Dr. Albert Robbat serves as a Professor and Director at Tufts University. His group develops data analysis software that automatically identifies and quantifies target compounds by mathematically deconvolving mass spectra for up to 20 coeluting compounds. Once identified the spectra of target compounds are subtracted from the total ion current chromatogram resulting in mass spectra of unknowns. Once these compounds are identified, they are added to the retention time and mass spectrum library to analyze a wide variety of samples. They routinely track plant-climate interactions for tea, coffee, citrus fruit, and berries of between 500 and 1500 volatile metabolites. The objective is to learn how changes in climate will affect the sensory and nutritional compounds in foods we consume. Toward this end, they employ GC/MS, GC-GC/MS, and GCxGC/MS all with olfactory detection to learn first-hand how changes in metabolite distribution and concentration are affected. Dr. Robbat's research interests include the development of innovative analytical instruments, methods, and data analysis software used to solve a wide range of environmental problems, including a subsurface sampling and analysis probe that detects pollutants without bringing soil or groundwater to the surface for analysis. This technology is used to rapidly characterize hazardous waste sites and to provide monitoring data during cleanup. He holds an MBA degree in Executive Management from Northeastern University (2003), a BS degree in Chemistry from the University of Massachusetts, Amherst (1976), and a Ph.D. in Analytical Chemistry from Pennsylvania State University (Penn State) (1980).</t>
  </si>
  <si>
    <t>+1 (617) 627-3474</t>
  </si>
  <si>
    <t>albert.robbat@tufts.edu</t>
  </si>
  <si>
    <t>Medford</t>
  </si>
  <si>
    <t>Medford, MA</t>
  </si>
  <si>
    <t>419 Boston Avenue</t>
  </si>
  <si>
    <t>02155</t>
  </si>
  <si>
    <t>+1 (617) 627-3993</t>
  </si>
  <si>
    <t>Professor &amp; Director</t>
  </si>
  <si>
    <t>340036-12P</t>
  </si>
  <si>
    <t>Anil Saigal Ph.D</t>
  </si>
  <si>
    <t>Saigal</t>
  </si>
  <si>
    <t>Dr. Anil Saigal serves as Professor, Mechanical Engineering at Tufts University. Anil Saigal is a professor in the Department of Mechanical Engineering at Tufts School of Engineering. He received his B.Tech from the Indian Institute of Technology (IIT), Mumbai, and his M.S. and Ph.D from Georgia Tech. Saigal has been at Tufts University since 1983. He was previously the department chair and the director of international programs for the School of Engineering. He is a fellow of the American Society of Mechanical Engineers (ASME) and received the 2011 Distinguished Service Alumni Award from IIT.</t>
  </si>
  <si>
    <t>+1 (617) 627-2549</t>
  </si>
  <si>
    <t>anil.saigal@tufts.edu</t>
  </si>
  <si>
    <t>Professor, Mechanical Engineering</t>
  </si>
  <si>
    <t>306518-59P</t>
  </si>
  <si>
    <t>Ann Cullen</t>
  </si>
  <si>
    <t>Ms. Ann Cullen serves as International Business Librarian at Tufts University.</t>
  </si>
  <si>
    <t>+1 (617) 627-5000</t>
  </si>
  <si>
    <t>ann.cullen@tufts.edu</t>
  </si>
  <si>
    <t>International Business Librarian</t>
  </si>
  <si>
    <t>101291-23P</t>
  </si>
  <si>
    <t>Anthony Monaco Ph.D</t>
  </si>
  <si>
    <t>Monaco</t>
  </si>
  <si>
    <t>Dr. Anthony Monaco serves as University Professor at Tufts University. An accomplished leader, scientist, and teacher, Dr. Monaco brings to the Tufts presidency deep-rooted commitments to academic excellence, diversity, and inclusion, a global perspective, and a keen awareness of the power of higher education to impact individuals and society. Under President Monaco's leadership, the university began a comprehensive strategic planning effort in the fall of 2012 that resulted in the approval of the T10 Strategic Plan by the university's Board of Trustees in November 2013. Tufts is also actively engaged in long-term capital planning to support needed investments in facilities and systems that sustain teaching, research, and campus life. In concert with President Monaco's commitment to broaden access to a Tufts education and contain costs, the university has launched a comprehensive assessment of its administrative and financial resources project known as Tufts Effectiveness in Administrative Management (TEAM). From his first days at Tufts, President Monaco has been active in campus activities. He is a regular spectator at athletic events and routinely enjoys students' music, dance, drama, and other performances. He participates in training sessions for members of the Tufts community preparing for the Boston Marathon and supports them at the annual race. Many days he can be found swimming in the Hamilton Pool or joining students for a meal in one of the dining halls on the Medford/Somerville campus. As pro-vice-chancellor for planning and resources at Oxford University from 2007 until his arrival at Tufts, Dr. Monaco developed and led strategic planning initiatives for academic programs, capital improvements, and budgeting and resource allocation. He was an active steward of programs to make an Oxford education possible for students from a range of backgrounds. He holds a Ph.D. degree in Neuroscience from Harvard University (1987), an MD from Harvard Medical School (1988), and a BA degree in Neuroscience from Princeton University (1981).</t>
  </si>
  <si>
    <t>amonaco@tufts.edu</t>
  </si>
  <si>
    <t>University Professor</t>
  </si>
  <si>
    <t>203826-07P</t>
  </si>
  <si>
    <t>Barbara Stein</t>
  </si>
  <si>
    <t>Ms. Barbara Stein serves as Vice President for Operations at Tufts University. Ms. Stein oversees the Dining, Tufts Public and Environmental Safety (TUPD and EHS), Campus Planning, Real Estate, Facilities Services, Energy Programs and Capital Program Management. Ms. Stein joined Tufts in 2013 as Director, Strategic Capital Programs, reporting to the Vice President for Operations and responsible for the project delivery of multiple large capital projects through management of a team of senior project managers. In just two years Ms. Stein was promoted to Director, Capital Programs responsible for all capital projects, renewal planning, co-leading capital planning for the University on all campuses. Before arriving at Tufts, Ms. Stein served as Senior Project Manager at Harvard University, developing systems and standards for project delivery within the 2.4 billion House Renewal program. At GLC Development Resources she worked with local non-profits and institutions on real-estate related planning and capital projects. During years with the Massachusetts State College Building Authority, Ms. Stein managed strategic planning and oversaw the Annual Capital Repair and Improvement Program for residence halls at the nine State Colleges in Massachusetts. Ms. Stein graduated with a BA from Smith College and Master of Architecture from Harvard University, Graduate School of Design.</t>
  </si>
  <si>
    <t>bstein@tufts.edu</t>
  </si>
  <si>
    <t>Vice President for Operations</t>
  </si>
  <si>
    <t>306518-23P</t>
  </si>
  <si>
    <t>Beverly Gobiel</t>
  </si>
  <si>
    <t>Gobiel</t>
  </si>
  <si>
    <t>Mr. Beverly Gobiel serves as Library Coordinator, Special Collections at Tufts University.</t>
  </si>
  <si>
    <t>+1 (617) 627-5142</t>
  </si>
  <si>
    <t>beverly.gobiel@tufts.edu</t>
  </si>
  <si>
    <t>Library Coordinator, Special Collections</t>
  </si>
  <si>
    <t>261381-79P</t>
  </si>
  <si>
    <t>Craig Smith</t>
  </si>
  <si>
    <t>Mr. Craig Smith serves as Chief Investment Officer at Tufts University. As chief investment officer, Mr. Smith heads the university's Investment Office and oversee Tufts' $2.0 billion endowment, which was established to ensure a perpetual source of support to serve the university's mission.</t>
  </si>
  <si>
    <t>craig.smith@tufts.edu</t>
  </si>
  <si>
    <t>14480-65P</t>
  </si>
  <si>
    <t>David Hohmann</t>
  </si>
  <si>
    <t>Mr. David Hohmann serves as Director of Operations and Risk at Tufts University. Previously, he served as Director &amp; CFO at Bank of America.</t>
  </si>
  <si>
    <t>david.hohmann@tufts.edu</t>
  </si>
  <si>
    <t>Director of Operations and Risk</t>
  </si>
  <si>
    <t>386335-90P</t>
  </si>
  <si>
    <t>Jabaree Dunham-Carson</t>
  </si>
  <si>
    <t>Jabaree</t>
  </si>
  <si>
    <t>Dunham-Carson</t>
  </si>
  <si>
    <t>Ms. Jabaree Dunham-Carson serves as Senior Associate Director, Alumni Engagement at Tufts University.</t>
  </si>
  <si>
    <t>+1 (617) 627-0386</t>
  </si>
  <si>
    <t>Senior Associate Director, Alumni Engagement</t>
  </si>
  <si>
    <t>236094-85P</t>
  </si>
  <si>
    <t>James Hurley</t>
  </si>
  <si>
    <t>Mr. James Hurley serves as Vice President for Finance &amp; Treasurer at Tufts University. Mr. Hurley joined Tufts University in 2016 as executive university budget director where he led the university's budget and financial planning. He also served as executive administrative dean of Arts &amp; Sciences ad interim from December 2017 through June 2018. Mr. Hurley has extensive financial experience in higher education. Prior to joining Tufts, he served for ten years as vice president for budget and planning at Northwestern University where he managed the university's annual planning and budget process and developed long-range financial plans. Mr. Hurley's financial leadership positions also include serving as vice president for budget and planning at Brandeis University and associate dean for administration and finance at New York University.</t>
  </si>
  <si>
    <t>jim@tufts.edu</t>
  </si>
  <si>
    <t>Vice President for Finance &amp; Treasurer</t>
  </si>
  <si>
    <t>87279-13P</t>
  </si>
  <si>
    <t>Lorna Koppel</t>
  </si>
  <si>
    <t>Lorna</t>
  </si>
  <si>
    <t>Koppel</t>
  </si>
  <si>
    <t>Ms. Lorna Koppel serves as Director of Information Security at Tufts University. Ms. Koppel is responsible for providing leadership and vision for information security across the university including, serving as the leading authority and advisor to senior leadership; developing strategic plans; managing a broad catalog of information security services; managing policies and procedures; leading risk assessments and security reviews; providing leadership for incident response and management; performing community outreach and education; and supervising a team of information security professionals. Prior to coming to Tufts, she served as Vice President and Chief Information Security Officer at Iron Mountain, an enterprise information management services company. She also has held senior information security leadership roles at Kohler Company and BT Infonet Services Corporation. She brings with her rich experience in effectively leading information security initiatives in organizations with complex needs. Earlier in her career, Ms. Koppel served as a U.S. Air Force Officer, leveraging technological innovation and teamwork to provide effective weather support for 8th Air Force operations at Barksdale Air Force Base in Bossier City, Louisiana. Ms. Koppel holds a B.S. in Physics from Bowling Green State University and a B.S. in Meteorology from The Pennsylvania State University. She went on to receive her Master of Science in Atmospheric Science from the University of Albany, State University of New York, where she also taught classes and researched climatology.</t>
  </si>
  <si>
    <t>+1 (617) 627-0885</t>
  </si>
  <si>
    <t>lorna.koppel@tufts.edu</t>
  </si>
  <si>
    <t>Director of Information Security</t>
  </si>
  <si>
    <t>306518-77P</t>
  </si>
  <si>
    <t>Martha Kelehan</t>
  </si>
  <si>
    <t>Kelehan</t>
  </si>
  <si>
    <t>Ms. Martha Kelehan serves as Assistant Director, Research &amp; Learning at Tufts University.</t>
  </si>
  <si>
    <t>+1 (617) 627-2092</t>
  </si>
  <si>
    <t>martha.kelehan@tufts.edu</t>
  </si>
  <si>
    <t>Assistant Director, Research &amp; Learning</t>
  </si>
  <si>
    <t>50026-24P</t>
  </si>
  <si>
    <t>Michael Howard</t>
  </si>
  <si>
    <t>Mr. Michael Howard serves as Executive Vice President at Tufts University. In July, 2019, Mike was appointed executive vice president of Tufts University. As chief administrative officer of the university, Mike is responsible for oversight and coordination of core administrative functions including Finance, Human Resources, Information Technology, Operations, Audit &amp; Management Advisory Services, Strategy &amp; Program Development, Sustainability and Investment Office Administration.</t>
  </si>
  <si>
    <t>+1 (617) 563-9106</t>
  </si>
  <si>
    <t>mhoward@markandy.com</t>
  </si>
  <si>
    <t>203826-16P</t>
  </si>
  <si>
    <t>Michael Rodman</t>
  </si>
  <si>
    <t>Rodman</t>
  </si>
  <si>
    <t>Mr. Michael Rodman serves as Vice President for Communications and Marketing at Tufts University. Mr. Rodman oversees the university's public relations, editorial, marketing, and communications efforts. Prior to joining Tufts University in August 2018, Mr. Rodman served as the assistant dean for communications and marketing at the Harvard Graduate School of Education, where his team was responsible for the school's website, social media channels, magazine, media relations, crisis communications, and school-wide marketing efforts. Previously, Mr. Rodman served as assistant director of communications at Harvard Law School and as a speechwriter/researcher for U.S. Representative Steny Hoyer in the Committee on House Administration. Mr. Rodman has a B.A. in political science from Washington University in St. Louis and a master's in public policy from the Harvard Kennedy School.</t>
  </si>
  <si>
    <t>michael.rodman@tufts.edu</t>
  </si>
  <si>
    <t>Vice President for Communications and Marketing</t>
  </si>
  <si>
    <t>386335-09P</t>
  </si>
  <si>
    <t>Nicole Anderson</t>
  </si>
  <si>
    <t>Mr. Nicole Anderson serves as Senior Associate Director at Tufts University.</t>
  </si>
  <si>
    <t>+1 (617) 627-5741</t>
  </si>
  <si>
    <t>nicole.anderson@tufts.edu</t>
  </si>
  <si>
    <t>Senior Associate Director</t>
  </si>
  <si>
    <t>94341-97P</t>
  </si>
  <si>
    <t>Sara Lonergan</t>
  </si>
  <si>
    <t>Lonergan</t>
  </si>
  <si>
    <t>Ms. Sara Lonergan serves as Director of Investments at Tufts University. Ms. Lonergan served as Managing Director, Investments at Pantheon Ventures where she focused on the evaluation, selection, and monitoring of North American primary investment opportunities. Prior to joining Pantheon, she was a Senior Investment Associate in the private equity group at Stanford Management Company, where she was involved in making private equity and venture capital fund investments on behalf of Stanford University's endowment. Prior to Stanford, she was an Analyst at Lehman Brothers in the Private Fund Investments Group, where she was involved in primary and secondary fund investments and co-investments. She received a BA degree in Economics and Psychology from Williams College and an MBA from the Kellogg School of Management at Northwestern University.</t>
  </si>
  <si>
    <t>sara.lonergan@tufts.edu</t>
  </si>
  <si>
    <t>211392-73P</t>
  </si>
  <si>
    <t>Adam Laponis</t>
  </si>
  <si>
    <t>Laponis</t>
  </si>
  <si>
    <t>On January 5, 2024, Twist Bioscience Corporation announced the appointment of Adam Laponis as the Company's Chief Financial Officer and principal financial officer, effective January 8, 2024. Mr. Laponis, age 47, previously served as the Chief Financial Officer of Eargo, Inc., a hearing aid manufacturing company, from June 2019 to January 2024. From November 2018 to March 2019, Mr. Laponis served as Vice President of Financial Planning and Analysis for Tesla, an automotive and energy company, where he previously served as Senior Director of Finance from April 2017 to November 2018. Prior to that, he served as the Vice President and Chief Financial Officer of Cardiovascular Care of Cardinal Health, a healthcare services and products company, from October 2015 to April 2017. Prior to that, he served in various financial roles at Johnson &amp; Johnson, a healthcare company, from August 2004 to October 2015. Mr. Laponis holds a B.S. in Chemical Engineering from the University of California, Berkeley and an M.B.A. from the University of Southern California.</t>
  </si>
  <si>
    <t>alaponis@twistbioscience.com</t>
  </si>
  <si>
    <t>302646-16P</t>
  </si>
  <si>
    <t>Angela Bitting</t>
  </si>
  <si>
    <t>Bitting</t>
  </si>
  <si>
    <t>Ms. Angela Bitting serves as Chief ESG Officer and Senior Vice President of Corporate Affairs at Twist Bioscience. As a senior communications executive with over twenty-five years of experience in the biopharmaceutical industry. Before Twist, she led her consultancy practice for 20 years, working with biopharmaceutical, medical device and diagnostics clients to create key messages to implement effective communication across external audiences. Before starting her consultancy, she headed the investor relations and corporate communications department for Exelixis, Inc. She spent several years at Russell-Welsh, Inc., a boutique healthcare communications agency, working with a variety of public and private clients on a broad range of communications services. She holds a Bachelor of Science degree in cellular and molecular biology and a Bachelor of Arts degree in business marketing, both from the University of Washington. She currently serves as Vice President of provisionals for her local chapter of the National Charity League.</t>
  </si>
  <si>
    <t>abitting@twistbioscience.com</t>
  </si>
  <si>
    <t>Chief ESG Officer and Senior Executive Vice President of Corporate Affairs</t>
  </si>
  <si>
    <t>380563-57P</t>
  </si>
  <si>
    <t>Chris Baldock</t>
  </si>
  <si>
    <t>Baldock</t>
  </si>
  <si>
    <t>Mr. Chris Baldock serves as M&amp;A Integrations &amp; Special Projects Manager at Twist Bioscience.</t>
  </si>
  <si>
    <t>cbaldock@twistbioscience.com</t>
  </si>
  <si>
    <t>M&amp;A Integrations &amp; Special Projects Manager</t>
  </si>
  <si>
    <t>94950-19P</t>
  </si>
  <si>
    <t>Daniel Chadash</t>
  </si>
  <si>
    <t>Chadash</t>
  </si>
  <si>
    <t>Mr. Daniel Chadash serves as Senior Director, Product Management &amp; Business Development, DNA Data Storage at Twist Bioscience. Mr. Chadash served as Vice President, Product at Genome Compiler. He is an Angel Investor.</t>
  </si>
  <si>
    <t>Senior Director, Product Management &amp; Business Development, DNA Data Storage</t>
  </si>
  <si>
    <t>276872-23P</t>
  </si>
  <si>
    <t>Dennis Cho</t>
  </si>
  <si>
    <t>Mr. Dennis Cho serves as Chief Ethics &amp; Compliance Officer &amp; Senior Vice President at Twist Bioscience.</t>
  </si>
  <si>
    <t>+1 (908) 673-2070</t>
  </si>
  <si>
    <t>dcho@twistbioscience.com</t>
  </si>
  <si>
    <t>55719-01P</t>
  </si>
  <si>
    <t>Emily Leproust Ph.D</t>
  </si>
  <si>
    <t>Leproust</t>
  </si>
  <si>
    <t>Dr. Emily Leproust is a Co-Founder and serves as Chief Executive Officer &amp; Board Member at Twist Bioscience. She serves as Board Member at Atlas Data Storage. She serves as a Board Member at GeneDx Holding. She also served as a Board Member at Revelar Biotherapeutics. She serves as a Board Member at Sema4. She also serves as a Venture Partner at NFX. She and co-founder Bill Peck share the world record for synthesizing the longest, highest-quality oligo library. She has co-authored over 34 peer-reviewed papers-many on synthetic DNA-and has extensive marketing, management, and business development experience. Prior to Twist Bioscience, she was Director of Applications and Chemistry R&amp;D-Genomics at Agilent Technologies. She serves on the Board of Directors of GeneDx and is a co-founder of Petri, an accelerator for start-ups at the forefront of engineering and biology. She earned her Ph.D. in Organic Chemistry from the University of Houston and her M.Sc. in Industrial Chemistry from the Lyon School of Industrial Chemistry.</t>
  </si>
  <si>
    <t>eleproust@twistbioscience.com</t>
  </si>
  <si>
    <t>112631-41P</t>
  </si>
  <si>
    <t>Michael Fero Ph.D</t>
  </si>
  <si>
    <t>Fero</t>
  </si>
  <si>
    <t>Dr. Michael Fero serves as Chief Information Officer at Twist Bioscience. He is the Co-Founder and served as Chief Operating Officer, President, and Board Member at TeselaGen Biotechnology. He was an NIH Quantitative Research Career Fellow and principal investigator at Stanford, studying the role of protein localization and the essential genomic elements needed for bacterial life. With Pat Brown and David Botstein, he directed the development of the first full-genome human DNA microarrays. Before joining Stanford, he was VP of Software Engineering at Neomorphic, a computational genomics company acquired by Affymetrix, and a consulting scientist at Hyperparallel, a data mining company acquired by Yahoo! He has over 40 publications in peer-reviewed journals and holds a Ph.D. in Elementary Particle Physics from the University of California at Irvine.</t>
  </si>
  <si>
    <t>mfero@twistbioscience.com</t>
  </si>
  <si>
    <t>54527-59P</t>
  </si>
  <si>
    <t>Patrick Finn Ph.D</t>
  </si>
  <si>
    <t>Dr. Patrick Finn serves as Chief Commercial Officer and Vice President, Sales and Marketing at Twist Bioscience. He serves as Chairman at ONI. He also served as Board Member at Revelar Biotherapeutics.</t>
  </si>
  <si>
    <t>pfinn@twistbioscience.com</t>
  </si>
  <si>
    <t>Chief Operating Officer, Operations &amp; President</t>
  </si>
  <si>
    <t>340843-42P</t>
  </si>
  <si>
    <t>Paul Doran</t>
  </si>
  <si>
    <t>Doran</t>
  </si>
  <si>
    <t>Mr. Paul Doran serves as Director, Business Development at Twist Bioscience.</t>
  </si>
  <si>
    <t>pdoran@twistbioscience.com</t>
  </si>
  <si>
    <t>172648-09P</t>
  </si>
  <si>
    <t>Paula Green</t>
  </si>
  <si>
    <t>Ms. Paula Green serves as Vice President, Human Resources at Twist Bioscience. Green is an experienced human resources executive with a track record of developing and delivering high-impact people strategies, solutions, processes and tools that support leadership competencies to empower a high performing organization. Prior to Twist Bioscience, she served as Vice President, Head of Human Resources at QIAGEN, where she oversaw 50 human resources professionals supporting 4,000 employees through mergers and acquisitions, restructurings and other pivotal corporate transactions. She was the human resources manager for Operon Technologies (acquired by QIAGEN) where her responsibilities included creating strategy, overseeing benefits for all employees, and delivering training, recruitment and retention programs. She also worked as a Human Resources Consultant for the Federal Home Loan Bank of San Francisco. Paula holds a BS in Organizational Behavior from the University of San Francisco.</t>
  </si>
  <si>
    <t>pgreen@twistbioscience.com</t>
  </si>
  <si>
    <t>153049-51P</t>
  </si>
  <si>
    <t>Mr. Robert Werner serves as Chief Accounting Officer at Twist Bioscience. Mr. Robert Werner served as Head of Finance and Corporate Controller at Proteus Digital Health. Mr. Robert Werner served as Senior Director, Finance &amp; Corporate Controller at CardioDx. Mr. Werner joined CardioDx in March 2012 as Senior Director, Finance and Corporate Controller. Prior to joining CardioDx, he served as Corporate Controller for Bloom Energy Corporation, a fuel cell company, from June 2008 until February 2012. From September 2003 until May 2008, Mr. Werner held multiple controller positions with Spansion Inc. He began his career as an auditor with Ernst &amp; Young LLP.</t>
  </si>
  <si>
    <t>rwerner@twistbioscience.com</t>
  </si>
  <si>
    <t>257626-90P</t>
  </si>
  <si>
    <t>Siyuan Chen Ph.D</t>
  </si>
  <si>
    <t>Siyuan</t>
  </si>
  <si>
    <t>Dr. Siyuan Chen serves as Chief Technology Officer at Twist Bioscience. Dr. Chen is a strategic thinker with proven track record of identifying, developing, and commercializing innovative products in NGS, synthetic biology, and other life science areas. He joined Twist shortly after the company was founded and lead product development for both the synthetic biology and NGS product lines. Dr. Chen conceived and implemented a new product line for NGS that includes synthetic controls for SARS-CoV-2 and other infectious diseases, developed gene synthesis and NGS target enrichment biochemistries, workflow, reagent kits, and infrastructure, and built the company's prototype DNA synthesizer in collaboration with hardware, software, and silicon engineers, which later became a production-scale machine, serving as Twist's foundation technology. Dr. Chen is the author of numerous peer-reviewed papers and issued patents in the field of oligonucleotide synthesis and application of synthetic oligonucleotides. He earned his Ph.D. in Chemistry from the University of Wisconsin - Madison, and B.Sc. in Chemistry from Peking University in Beijing, China.</t>
  </si>
  <si>
    <t>schen@twistbioscience.com</t>
  </si>
  <si>
    <t>55719-10P</t>
  </si>
  <si>
    <t>William Banyai Ph.D</t>
  </si>
  <si>
    <t>Banyai</t>
  </si>
  <si>
    <t>Dr. William Banyai serves as Senior Vice President of Advanced Development and General Manager, Data Storage at Twist Bioscience. He serves as Chief Technology Officer. He is a seasoned entrepreneur and silicon engineering expert. He has been a founder or first employee at four different start-ups and advises early-stage startups. As VP of hardware engineering at Complete Genomics, he built their sequencing technology and delivered three generations of human genome chips and sequencers. He has twice been awarded multi-million dollar DARPA grants for the development of innovative technologies based on silicon micromachining. His career spans research, product development, and semiconductor device processing. He holds a Ph.D. in Optical Sciences from the University of Arizona, an MS in Electrical Science from the University of Michigan, and served as Staff Physicist at Lawrence Livermore National Laboratory.</t>
  </si>
  <si>
    <t>bbanyai@twistbioscience.com</t>
  </si>
  <si>
    <t>150698-89P</t>
  </si>
  <si>
    <t>Fang Li</t>
  </si>
  <si>
    <t>Tyche Partners</t>
  </si>
  <si>
    <t>Mr. Fang Li serves as Partner at Tyche Partners. He brought in-depth knowledge from telecom, network, consumer electronics, and semiconductor industries, and has extensive experience working with both Fortune 500 companies and startups in US and China. Prior to joining Tyche Partners, he spent over 15 years at Motorola Mobile Device Group where he helped define many flagship mobile phones for Motorola. He also worked at Intel China Strategy Office and Huawei as well as two startup companies. He worked closely with and fostered great relationships such as Google, Apple, Amazon, Microsoft, and Tencent, as well as many consumer electronics and internet companies. He received his Bachelor of Science degree in Computer Science from the Beijing Institute of Technology and a Master of Science degree from DePaul University in Chicago.</t>
  </si>
  <si>
    <t>+1 (650) 353-1565</t>
  </si>
  <si>
    <t>fli@tychepartners.com</t>
  </si>
  <si>
    <t>167 South San Antonio Road</t>
  </si>
  <si>
    <t>Suite 17</t>
  </si>
  <si>
    <t>150699-25P</t>
  </si>
  <si>
    <t>Michael Wishart</t>
  </si>
  <si>
    <t>Wishart</t>
  </si>
  <si>
    <t>Mr. Michael Wishart serves as a Venture Partner at Tyche Partners. He serves as a Board Member at OneD Material. He also serves as an Investment Partner at Lanza techVentures. He co-founded and served as Chief Executive Officer &amp; Board Member at Efabless. He serves as Director, Board Member, and Chairman at Cypress Semi, Goldman Sachs, Technology Group, and Investment Banking Division. He served as Investment Director at Goldman, Sachs &amp; Co. in 2011. He worked at Smith Barney, Harris Upham &amp; Co. in the Investment Banking Division from 1978 to 1980 and from 1982 to 1991. He joined Lehman Brothers in 1991 as a managing director. He subsequently organized Lehman's Global Technology Group, which he led until joining Goldman, Sachs as a managing director in 1999. He was elected a partner in 2000. He served as Chairman and Advisory Director at Goldman's Global Technology Group. He graduated magna cum laude from St. Lawrence University with a Bachelor of Science degree with honors in Mathematics. He was an Arjay Miller Scholar and received his M.B.A. from, the Graduate School of Business at Stanford University.</t>
  </si>
  <si>
    <t>+1 (650) 658-9243</t>
  </si>
  <si>
    <t>41737-15P</t>
  </si>
  <si>
    <t>Reed Hundt JD</t>
  </si>
  <si>
    <t>Hundt</t>
  </si>
  <si>
    <t>Mr. Reed Hundt is a Co-Founder &amp; serves as Chief Executive Officer at Coalition For Green Capital. Mr. Hundt serves as Special Advisor to the Chairman at ASSIA. He served as Board Member at Telegent Systems. He served as Board Member at Data Domain. He served as Advisor at Halo. He served as a Board Member at Inteliquent. He is a Co-Founder and serves as Chief Executive Officer and Board Member at The Coalition For Green Capital. He was chairman of the Federal Communications Commission (FCC) from 1993-97. He was chairman of the Federal Communications Commission (FCC) from 1993-97. Previously he was a partner at Latham &amp; Watkins, an international law firm. He is a member of the District of Columbia bar. Since 1997 he has advised several venture capital and private equity firms, and served on more than two dozen for-profit and not-for-profit boards and commissions, including 19 years on the board of Intel Corporation (2001-20) and seven years on the board of the Connecticut Green Bank (2011-18). He also taught at Yale Law School and the Yale School of Management. Hundt has written many articles and four books: A Crisis Wasted: Barack Obama's Defining Decisions (Rosetta, 2019); Zero Hour: Time to Build the Clean Power Platform (Odyssey, 2013); The Politics of Abundance: How Technology Can Fix the Budget, Revive the American Dream, and Establish Obama's Legacy (Odyssey, 2012); In China's Shadow: The Crisis of American Entrepreneurship (Yale University Press, 2006); You Say You Want A Revolution: A Story of Information Age Politics (Yale University Press, 2000). Mr. Hundt has a B.A. from Yale College (1969) and J.D. from Yale Law School (1974).</t>
  </si>
  <si>
    <t>+1 (877) 678-2920</t>
  </si>
  <si>
    <t>10802 Parkridge Boulevard</t>
  </si>
  <si>
    <t>20191</t>
  </si>
  <si>
    <t>67376-26P</t>
  </si>
  <si>
    <t>Tony Chao</t>
  </si>
  <si>
    <t>Mr. Tony Chao serves as a Partner at Tyche Partners. He serves as a Board Member at Lightforce. As a seasoned venture capitalist and technologist with over two decades of experience, He brings broad international experience, agile business development acumen, strong technical analytics, and a service-oriented, entrepreneurial mindset. Prior to joining Tyche Partners, he was the General Manager of Applied Ventures, the venture capital arm of Applied Materials. He managed a +$250M portfolio of over 60 companies. He is a recognized leader in the corporate venture community having been named to the Global Corporate Venturing Powerlist multiple times and served as Chair of the NVCA CVG group. He is passionate about disruptive technologies with the capacity to make the world a better place. He has experience in enterprise software, mobile software, AI systems, life science, sustainability, AR/VR, advanced displays, and semiconductors. Some of his past investments include SunEdison (acquired by MEMC), Infinite Power Solutions, Inc. (acquired), Grandis (acquired by Samsung), Liquavista (acquired by Samsung), Adesto Technologies (IPO), Twist Bioscience (IPO), Enki Technology (acquired by First Solar), Persimmon Technologies (acquired by Sumitomo Heavy Industries), Point Engineering (IPO), Tsukuba Seiko (IPO), Nexplanar (acquired by Cabot Microelectronics), and IMS Nanofabrication (acquired by Intel). Currently, he is serving as a board member/observer at Playnitride, Ayar Labs, LightForce Orthodontics, Guru Wireless, and Vence. Before becoming a venture investor, he served in technology leadership roles at several startups in the Boston area, including Director of Engineering at Cymfony (acquired by TNS Media Intelligence) and Lobby7 (acquired by ScanSoft/Nuance). He holds Bachelor of Science and Master's degrees in Electrical Engineering and Computer Science from MIT, as well as a Bachelor's degree in Management Science. He also holds an MBA from Harvard Business School.</t>
  </si>
  <si>
    <t>tchao@tychepartners.com</t>
  </si>
  <si>
    <t>141098-14P</t>
  </si>
  <si>
    <t>Weijie Yun Ph.D</t>
  </si>
  <si>
    <t>Weijie</t>
  </si>
  <si>
    <t>Dr. Weijie Yun is the Founder and serves as Managing Partner at Tyche Partners. He serves as Board Member at Latticework and Qumulo. He serves as Board Member at Afficient Academy. He co-founded and served as President &amp; Chief Executive Officer at Optoplex. He served as a Board Member at Motiv &amp; Movella. He is also a Board Member of TenaFe. As a serial entrepreneur, he brings deep industry domain knowledge to identify investment opportunities and hands-on operating experience to help portfolio companies to grow their business. He served as the Chief Executive Officer and Director at Alien Technology. Prior to Telegent, he led marketing and product management at Berkana Wireless, Inc., which was acquired by Qualcomm. His passion is to identify and invest in entrepreneurs with disruptive technologies in hardware systems, such as IT infrastructure (big data, storage, and networking), IoT and wearable devices, 3D printing, autonomous driving, consumer electronics, and semiconductor. Currently, he is serving as a board member/observer at Ambiq Micro, Crossbar, mCube, Motiv, Qumulo, and Kolo Medical. His other investments include Formlabs and Team Curis Group. Before founding Tyche Partners, he is a serial entrepreneur with a proven track record of combining his technical insights and market intuition to maximize companies' value. He was the founder and CEO of Telegent Systems and SiTek. He received his M.S. and Ph.D. in Electrical Engineering and Computer Sciences from the University of California at Berkeley.</t>
  </si>
  <si>
    <t>wyun@tychepartners.com</t>
  </si>
  <si>
    <t>264017-62P</t>
  </si>
  <si>
    <t>Alastair Monk Ph.D</t>
  </si>
  <si>
    <t>Monk</t>
  </si>
  <si>
    <t>U. S. National Science Foundation</t>
  </si>
  <si>
    <t>Dr. Alastair Monk serves as Program Director, SBIR/STTR at National Science Foundation. Prior to NSF, he was an active member of the startup ecosystem in Virginia as a mentor, judge, and entrepreneur. He has been directly involved in medical startups for the last 10 years. Most recently, he was the Vice President of Medical Products at Cupron, Inc. where he led the development, protection, and commercialization of a platform copper antimicrobial technology. He also founded and ran Chrysalides Consultants, a consultancy firm mentoring and providing strategic support to medical startups. Prior to Cupron and Chrysalides Consultants, he was Head Scientist at Biocontrol Ltd (now Armata Pharmaceuticals) developing and commercializing bacteriophage therapy for clinical applications. He had an active academic life as a microbiology postdoc at Virginia Commonwealth University in Internal Medicine, and has authored a number of published papers, conference abstracts, and oral presentations. He has a Ph.D. in microbiology from the University of Bath UK, and a BSc in microbiology from the University of Birmingham, UK.</t>
  </si>
  <si>
    <t>+1 (703) 292-4392</t>
  </si>
  <si>
    <t>amonk@nsf.gov</t>
  </si>
  <si>
    <t>2415 Eisenhower Avenue</t>
  </si>
  <si>
    <t>+1 (800) 877-8339</t>
  </si>
  <si>
    <t>Program Director, SBIR/STTR</t>
  </si>
  <si>
    <t>171299-44P</t>
  </si>
  <si>
    <t>Ben Schrag Ph.D</t>
  </si>
  <si>
    <t>Schrag</t>
  </si>
  <si>
    <t>Dr. Ben Schrag serves as Program Director &amp; Policy Liaison, SBIR/STTR at National Science Foundation.</t>
  </si>
  <si>
    <t>+1 (703) 292-5111</t>
  </si>
  <si>
    <t>bschrag@nsf.gov</t>
  </si>
  <si>
    <t>Program Director &amp; Policy Liaison, SBIR/STTR</t>
  </si>
  <si>
    <t>170873-11P</t>
  </si>
  <si>
    <t>Dorothy Aronson</t>
  </si>
  <si>
    <t>Aronson</t>
  </si>
  <si>
    <t>Chief Information Officer &amp; Executive Officer</t>
  </si>
  <si>
    <t>Ms. Dorothy Aronson serves as Chief Data Officer &amp; Assistant Chief Information Officer for Artificial Intelligence at National Science Foundation.</t>
  </si>
  <si>
    <t>daronson@nsf.gov</t>
  </si>
  <si>
    <t>Chief Data Officer &amp; Assistant Chief Information Officer for Artificial Intelligence</t>
  </si>
  <si>
    <t>264026-44P</t>
  </si>
  <si>
    <t>Ed Chinchoy MD</t>
  </si>
  <si>
    <t>Chinchoy</t>
  </si>
  <si>
    <t>Dr. Ed Chinchoy serves as SBIR/STTR Program Director at National Science Foundation. He has more than two decades of industry experience in both startups and global medical device manufacturers. He founded and served from concept to Series B funding as CEO and/or executive vice president for two startups. He's also held several management positions responsible for overall product division strategy, product management, pipeline planning and commercialization at Abbott (St. Jude Medical) and Medtronic, where he began his career as a scientist. He earned his bachelor's and master's degrees in mechanical engineering and a doctorate in biomedical engineering from the University of Minnesota. He served as Executive Vice President at VisCardia.</t>
  </si>
  <si>
    <t>echincho@nsf.gov</t>
  </si>
  <si>
    <t>SBIR/STTR Program Director</t>
  </si>
  <si>
    <t>402426-37P</t>
  </si>
  <si>
    <t>Ela Mirowski</t>
  </si>
  <si>
    <t>Ela</t>
  </si>
  <si>
    <t>Mirowski</t>
  </si>
  <si>
    <t>342598-42P</t>
  </si>
  <si>
    <t>Elizabeth Mirowski</t>
  </si>
  <si>
    <t>Ms. Elizabeth Mirowski serves as Program Director at National Science Foundation.</t>
  </si>
  <si>
    <t>emirowski@nsf.gov</t>
  </si>
  <si>
    <t>273033-37P</t>
  </si>
  <si>
    <t>Erik Pierstorff</t>
  </si>
  <si>
    <t>Pierstorff</t>
  </si>
  <si>
    <t>Mr. Erik Pierstorff serves as Program Director, SBIR/STTR at National Science Foundation. He joined the NSF as Program Director in November 2019. Prior to NSF, he was Chief of Operations and led Research and Development at O-Ray Pharma, where he focused on integrating biology and biomedical engineering for the goal of drug development and sustained drug delivery for the treatment of hearing loss and other ear disorders. During his time working at early-stage companies, he helped secure both Angel investment and non-dilutive funding in the form of licensing and co-development deals. Additionally, he served as Principal Investigator on several Phase I, II, and IIB SBIR grants from the National Institutes of Health and NSF. His research interests have focused on the intersection of the biotic and abiotic, spanning molecular and cell biology, materials science, gene therapy, nanomaterials, and drug delivery. He has a Ph.D. in Molecular and Cell Biology from the University of California, Berkeley, and a B.S. in Biology from Emory University.</t>
  </si>
  <si>
    <t>epiersto@nsf.gov</t>
  </si>
  <si>
    <t>369450-37P</t>
  </si>
  <si>
    <t>Erwin Gianchandani</t>
  </si>
  <si>
    <t>Gianchandani</t>
  </si>
  <si>
    <t>Mr. Erwin Gianchandani serves as an Assistant Director of Technology, Innovation and Partnerships at National Science Foundation. Gianchandani has worked at NSF since 2012. Prior to becoming the assistant director for TIP, he served as the senior advisor for Translation, Innovation and Partnerships for over a year, where he helped develop plans for the new TIP Directorate in collaboration with colleagues at NSF, other government agencies, industry and academia. During the previous six years, Gianchandani was the NSF deputy assistant director for Computer and Information Science and Engineering (CISE), and twice serving as acting assistant director for CISE. Gianchandani's leadership and management of CISE included the formulation and implementation of the directorate's $1 billion annual budget, strategic and human capital planning, and oversight of day-to-day operations for a team of over 130. Gianchandani has led the development and launch of several new NSF initiatives, including the Smart &amp; Connected Communities program, Civic Innovation Challenge, Platforms for Advanced Wireless Research, and the National Artificial Intelligence Research Institutes. Before joining NSF in 2012, Gianchandani was the inaugural director of the Computing Community Consortium, providing leadership to the computing research community in identifying and pursuing bold, high-impact research directions such as health information technology and sustainable computing. Gianchandani has published extensively and presented at international conferences on computational systems biology. He holds a bachelor's degree in computer science and master's and doctoral degrees in biomedical engineering, all from the University of Virginia. In 2021, Gianchandani received the Distinguished Presidential Rank Award, awarded to members of the federal government's Senior Executive Service for sustained extraordinary accomplishment. In 2018, he was awarded the Outstanding Young Engineering Graduate Award from the University of Virginia.</t>
  </si>
  <si>
    <t>egianchandani@nsf.gov</t>
  </si>
  <si>
    <t>Assistant Director, Technology, Innovation and Partnerships</t>
  </si>
  <si>
    <t>222284-17P</t>
  </si>
  <si>
    <t>Grace Yuan</t>
  </si>
  <si>
    <t>Ms. Grace Yuan serves as Directorate Data Analytics Officer at National Science Foundation.</t>
  </si>
  <si>
    <t>gracey@seedfund.nsf.gov</t>
  </si>
  <si>
    <t>Directorate Data Analytics Officer</t>
  </si>
  <si>
    <t>169852-51P</t>
  </si>
  <si>
    <t>Graciela Narcho</t>
  </si>
  <si>
    <t>Graciela</t>
  </si>
  <si>
    <t>Narcho</t>
  </si>
  <si>
    <t>Mr. Graciela Narcho serves as a Deputy Assistant Director of Technology, Innovation and Partnerships at National Science Foundation. He holds Master of Public Administration in Government from George Washington University and a BA in Economics from the Tufts University.</t>
  </si>
  <si>
    <t>gnarcho@nsf.gov</t>
  </si>
  <si>
    <t>Deputy Assistant Director, Technology, Innovation and Partnerships</t>
  </si>
  <si>
    <t>171297-10P</t>
  </si>
  <si>
    <t>Mr. Henry Ahn serves as a Program Director, SBIR/STTR, Directorate for Technology, Innovation and Partnerships (TIP) at National Science Foundation. He joined the National Science Foundation in July 2016 as an SBIR/STTR Program Director. Prior to joining NSF, he managed seed/early stage investment programs for TEDCO for 12 years including Technology Commercialization Fund, TEDCO's flagship seed funding program for technology-based companies in Maryland. During his time at TEDCO, he was actively involved with various entrepreneurs and entrepreneur support groups as a guest speaker, an advisory board member, a judge, a mentor, among others. Additionally, he was part of the licensing/supplier relations team at a biotechnology company called Upstate, where he successfully negotiated, licensed and commercialized approximately 190 biomedical research reagents from around the world. He has also done approximately five years of research, mostly in the field of immunology (including graduate work). He has an MBA from Rice University, an M.S. in biotechnology from the University of Tennessee, Knoxville and a B.S. in biomedical engineering from Boston University.</t>
  </si>
  <si>
    <t>+1 (703) 292-7069</t>
  </si>
  <si>
    <t>hahn@nsf.gov</t>
  </si>
  <si>
    <t>Program Director, SBIR/STTR, Directorate for Technology, Innovation and Partnerships (TIP)</t>
  </si>
  <si>
    <t>371560-87P</t>
  </si>
  <si>
    <t>Janis Coughlin-Piester</t>
  </si>
  <si>
    <t>Janis</t>
  </si>
  <si>
    <t>Coughlin-Piester</t>
  </si>
  <si>
    <t>Chief Financial Officer &amp; Head</t>
  </si>
  <si>
    <t>Mr. Janis Coughlin-Piester serves as the Chief Financial Officer &amp; Head of Office at the National Science Foundation.</t>
  </si>
  <si>
    <t>jcoughlinpiester@nsf.gov</t>
  </si>
  <si>
    <t>Chief Financial Officer &amp; Head of Office</t>
  </si>
  <si>
    <t>165469-69P</t>
  </si>
  <si>
    <t>Jesus Soriano Ph.D</t>
  </si>
  <si>
    <t>Soriano</t>
  </si>
  <si>
    <t>Dr. Jesus Soriano serves as Program Director at National Science Foundation.</t>
  </si>
  <si>
    <t>jsoriano@nsf.gov</t>
  </si>
  <si>
    <t>376920-19P</t>
  </si>
  <si>
    <t>Juan Figueroa</t>
  </si>
  <si>
    <t>Mr. Juan Figueroa serves as Program Director at National Science Foundation.</t>
  </si>
  <si>
    <t>jfigueroa@nsf.gov</t>
  </si>
  <si>
    <t>199625-77P</t>
  </si>
  <si>
    <t>Justin Magruder</t>
  </si>
  <si>
    <t>Magruder</t>
  </si>
  <si>
    <t>Mr. Justin Magruder is the Founder and Owner &amp; serves as Chairman and Principal at Noetic Partners. He serves as an Advisory Board Member at the National Science Foundation. Mr. Magruder serves as Chief Data Officer at Science Applications International. Mr. Magruder serves as Chief Data Officer at Science Applications International. Prior to founding the company, he held Senior Strategic Planning and Management positions with Freddie Mac, HP-Knightsbridge, Deutsche Asset Management, J.P. Morgan Securities, and EDS Financial Industry Group. He holds a BA from Colorado College.</t>
  </si>
  <si>
    <t>+1 (212) 876-1161</t>
  </si>
  <si>
    <t>justin.magruder@noeticpartners.com</t>
  </si>
  <si>
    <t>Founder, Principal, Owner &amp; Chairman</t>
  </si>
  <si>
    <t>Noetic Partners</t>
  </si>
  <si>
    <t>294908-05P</t>
  </si>
  <si>
    <t>Karen Marrongelle</t>
  </si>
  <si>
    <t>Marrongelle</t>
  </si>
  <si>
    <t>Dr. Karen Marrongelle serves as Chief Operating Officer at National Science Foundation. She has served as EHR assistant director since 2018. Most recently, she has collaborated with NSF Director Sethuraman Panchanathan on her key priorities, including addressing the "missing millions" in STEM. Prior to joining NSF, she served as dean of the College of Liberal Arts and Sciences at Portland State University, where she worked to implement student inclusivity measures and establish public-private partnerships to support research She has a bachelor's degree in mathematics and philosophy from Albright College, a master's degree in mathematics from Lehigh University, and a doctorate in mathematics education from the University of New Hampshire.</t>
  </si>
  <si>
    <t>kmarrong@nsf.gov</t>
  </si>
  <si>
    <t>169277-95P</t>
  </si>
  <si>
    <t>Kelly Monterroso</t>
  </si>
  <si>
    <t>Monterroso</t>
  </si>
  <si>
    <t>Ms. Kelly Monterroso serves as Communications Specialist at National Science Foundation.</t>
  </si>
  <si>
    <t>+1 (703) 292-4801</t>
  </si>
  <si>
    <t>kmonterr@nsf.gov</t>
  </si>
  <si>
    <t>Communications Specialist</t>
  </si>
  <si>
    <t>152320-42P</t>
  </si>
  <si>
    <t>Lindsay Portnoy Ph.D</t>
  </si>
  <si>
    <t>Portnoy</t>
  </si>
  <si>
    <t>Dr. Lindsay Portnoy is a Co-Founder and serves as Chief Education Officer at of Killer Snails. She is an educational and developmental psychologist with over a decade of experience in the study of development, learning, and assessment of teaching and learning from birth through adolescence. Her experiences include instruction within elementary, undergraduate, and graduate classrooms guiding teachers and researchers to think critically and creatively about the learning process. Her research focuses on the analysis of developing cognition in classroom learning.</t>
  </si>
  <si>
    <t>NY</t>
  </si>
  <si>
    <t>3203 Beverley Road</t>
  </si>
  <si>
    <t>11226</t>
  </si>
  <si>
    <t>Co-Founder &amp; Chief Education Officer</t>
  </si>
  <si>
    <t>Killer Snails</t>
  </si>
  <si>
    <t>371649-79P</t>
  </si>
  <si>
    <t>Mara Schindelholz</t>
  </si>
  <si>
    <t>Schindelholz</t>
  </si>
  <si>
    <t>Ms. Mara Schindelholz serves as Program Director at National Science Foundation.</t>
  </si>
  <si>
    <t>+1 (703) 292-4506</t>
  </si>
  <si>
    <t>marschin@nsf.gov</t>
  </si>
  <si>
    <t>426990-25P</t>
  </si>
  <si>
    <t>Micah Cheatham</t>
  </si>
  <si>
    <t>Cheatham</t>
  </si>
  <si>
    <t>Mr. Micah Cheatham serves as Chief Management Officer at National Science Foundation.</t>
  </si>
  <si>
    <t>mcheatham@nsf.gov</t>
  </si>
  <si>
    <t>Chief Management Officer</t>
  </si>
  <si>
    <t>371675-89P</t>
  </si>
  <si>
    <t>Parvathi Chundi</t>
  </si>
  <si>
    <t>Parvathi</t>
  </si>
  <si>
    <t>Chundi</t>
  </si>
  <si>
    <t>Ms. Parvathi Chundi serves as Program Director at National Science Foundation.</t>
  </si>
  <si>
    <t>pchundi@nsf.gov</t>
  </si>
  <si>
    <t>158421-88P</t>
  </si>
  <si>
    <t>Peter Atherton Ph.D</t>
  </si>
  <si>
    <t>Atherton</t>
  </si>
  <si>
    <t>Dr. Peter Atherton serves as Program Director at National Science Foundation. He joined NSF in 2013 with a broad background in the physical sciences, and extensive experience in technology development and commercialization. Before joining NSF, he was originally CEO, and most recently CTO, at MIKOH Corporation Ltd, a publicly-traded company that he founded in Sydney, Australia. While at MIKOH Corporation he was instrumental in developing and commercializing technologies in a range of fields including diffractive optics, laser-based marking, radio frequency identification, and internet-based personal authentication. Prior to MIKOH, he spent approximately seven years at the Overseas Telecommunications Commission (OTC Australia) where he managed optical fiber communications R&amp;D, including approximately 14 months in the UK at British Telecom's Martlesham Heath R&amp;D laboratories. While at OTC his research group made world-leading advances in high-speed optical communications technologies, some of which were commercialized via spin-off companies. He also managed the externally contracted development and commercialization of several optical fiber and optoelectronic technologies and was instrumental in establishing a commercialization center for specialized optical fibers at the University of Sydney. He moved to the United States in 1998 to further develop the company's technologies and markets. He holds a Ph.D. in physics (Quantum Optics), and a BEng (Mech) - both from the University of Queenslan</t>
  </si>
  <si>
    <t>+1 (703) 292-8772</t>
  </si>
  <si>
    <t>patherto@nsf.gov</t>
  </si>
  <si>
    <t>171299-89P</t>
  </si>
  <si>
    <t>Rajesh Mehta Ph.D</t>
  </si>
  <si>
    <t>Dr. Rajesh Mehta serves as Program Director, of SBIR/STTR at the National Science Foundation. He has been an SBIR/STTR Program Director since 2012. Prior to joining NSF in 2012, he was a senior research technologist at Kodak where his 26-year career spanned work at Kodak Research Laboratories, and Manufacturing Research and Engineering Organization. His work covered a broad range of materials science-based technologies related to photographic film and paper manufacturing, thermal, inkjet, electro-photographic printing, and OLED device manufacturing. He has a B. Tech. degree in Chemical Engineering from Indian Institute of Technology, Bombay, M.S. and Ph.D. degrees in Chemical Engineering from Penn State, a post-doctoral fellowship at Imperial College, and an M.S. degree in New Product Development from Rochester Institute of Technology.</t>
  </si>
  <si>
    <t>rmehta@nsf.gov</t>
  </si>
  <si>
    <t>171296-38P</t>
  </si>
  <si>
    <t>Ruth Shuman</t>
  </si>
  <si>
    <t>Shuman</t>
  </si>
  <si>
    <t>Ms. Ruth Shuman serves as Program Director at National Science Foundation Innovation Corps Program. She joined the National Science Foundation in August 2009 as a SBIR/STTR Program Director. Before coming to NSF, she was the founder, president, and CEO of a successful venture-backed life science company, Gentra Systems, Inc., that developed, manufactured, and sold products for genetic testing and research to clinical and research laboratories worldwide. Following Gentra's acquisition, she held various consulting/advisory positions with startup companies and was CEO-In-Residence for Life Science with the University of Minnesota's Venture Center evaluating the business potential of University-developed technology. She began her career as a faculty member at North Carolina State University and was a pioneer in the development of gene transfer and genetic engineering technology. She holds a Ph.D. from the University of Minnesota in the area of Genetics and Cell Biology.</t>
  </si>
  <si>
    <t>rshuman@nsf.gov</t>
  </si>
  <si>
    <t>+1 (703) 292-9488</t>
  </si>
  <si>
    <t>National Science Foundation Innovation Corps Program</t>
  </si>
  <si>
    <t>206969-05P</t>
  </si>
  <si>
    <t>Teresa Grancorvitz</t>
  </si>
  <si>
    <t>Grancorvitz</t>
  </si>
  <si>
    <t>Ms. Teresa Grancorvitz serves as Deputy Chief Operating Officer at National Science Foundation. She has a Master's Degree in Government Information Leadership with a CFO concentration from the National Defense University and a Bachelor's Degree in Accounting from George Mason University. She is also a member of the Association of Governmental Accountants (AGA) and a Certified Public Accountant in Virginia since 1992. She is a graduate of the NRC's Leadership Potential and Senior Executive Service Candidate Development programs. She received the NRC's Meritorious Service Award in 2003 and the NSF's Meritorious Presidential Rank Award in 2022.</t>
  </si>
  <si>
    <t>+1 (703) 292-8001</t>
  </si>
  <si>
    <t>tgrancor@nsf.gov</t>
  </si>
  <si>
    <t>+1 (703) 292-9446</t>
  </si>
  <si>
    <t>Deputy Chief Operating Officer</t>
  </si>
  <si>
    <t>379336-87P</t>
  </si>
  <si>
    <t>Terry L. Carpenter</t>
  </si>
  <si>
    <t>L. Carpenter</t>
  </si>
  <si>
    <t>Mr. Terry L. Carpenter serves as Chief Information Officer &amp; Chief Technology Officer at National Science Foundation.</t>
  </si>
  <si>
    <t>tcarpenter@nsf.gov</t>
  </si>
  <si>
    <t>371778-13P</t>
  </si>
  <si>
    <t>Vincent Lee</t>
  </si>
  <si>
    <t>Mr. Vincent Lee serves as Program Director at National Science Foundation.</t>
  </si>
  <si>
    <t>vlee@nsf.gov</t>
  </si>
  <si>
    <t>259204-24P</t>
  </si>
  <si>
    <t>Amanda Fong</t>
  </si>
  <si>
    <t>U.S. Agency for International Development</t>
  </si>
  <si>
    <t>Ms. Amanda Fong serves as a Representative at the U.S. Consulate General Cape Town at the U.S. Agency for International Development.</t>
  </si>
  <si>
    <t>+1 (202) 712-0000</t>
  </si>
  <si>
    <t>afong@usaid.gov</t>
  </si>
  <si>
    <t>1300 Pennsylvania Avenue, Northwest</t>
  </si>
  <si>
    <t>Representative at the U.S. Consulate General Cape Town</t>
  </si>
  <si>
    <t>227866-33P</t>
  </si>
  <si>
    <t>Autumn Gorman</t>
  </si>
  <si>
    <t>Autumn</t>
  </si>
  <si>
    <t>Ms. Autumn Gorman serves as Senior Director of Development Finance, Economics, and Market Development at the U.S. Agency for International Development.</t>
  </si>
  <si>
    <t>agorman@usaid.gov</t>
  </si>
  <si>
    <t>Senior Director of Development Finance, Economics, and Market Development</t>
  </si>
  <si>
    <t>228008-62P</t>
  </si>
  <si>
    <t>David Riposo</t>
  </si>
  <si>
    <t>Riposo</t>
  </si>
  <si>
    <t>Mr. David Riposo serves as Business Development Director for Energy and Critical Minerals at the U.S. Agency for International Development. Mr. Riposo serves as Manager, Implementation at the U.S. Trade and Development Agency.</t>
  </si>
  <si>
    <t>driposo@ustda.gov</t>
  </si>
  <si>
    <t>Business Development Director for Energy and Critical Minerals</t>
  </si>
  <si>
    <t>227928-61P</t>
  </si>
  <si>
    <t>Gina Cady</t>
  </si>
  <si>
    <t>Cady</t>
  </si>
  <si>
    <t>Ms. Gina Cady serves as Health Electrification Partnerships Lead at U.S. Agency for International Development.</t>
  </si>
  <si>
    <t>gcady@usaid.gov</t>
  </si>
  <si>
    <t>Health Electrification Partnerships Lead</t>
  </si>
  <si>
    <t>439594-75P</t>
  </si>
  <si>
    <t>Jeremy Lewin</t>
  </si>
  <si>
    <t>Lewin</t>
  </si>
  <si>
    <t>Mr. Jeremy Lewin serves as Chief Operating Officer at U.S. Agency for International Development.</t>
  </si>
  <si>
    <t>jlewin@usaid.gov</t>
  </si>
  <si>
    <t>439595-11P</t>
  </si>
  <si>
    <t>Kenneth Jackson</t>
  </si>
  <si>
    <t>Mr. Kenneth Jackson serves as Chief Financial Officer at U.S. Agency for International Development.</t>
  </si>
  <si>
    <t>kjackson@usaid.gov</t>
  </si>
  <si>
    <t>356089-24P</t>
  </si>
  <si>
    <t>Margaret Taylor</t>
  </si>
  <si>
    <t>Ms. Margaret Taylor serves as General Counsel at U.S. Agency for International Development. Previously, Ms. Taylor was a Fellow in Governance Studies at the Brookings Institution and a Senior Editor at Lawfare. She served as the Democratic Chief Counsel and Deputy Staff Director for the Senate Foreign Relations Committee through 2018. Prior to that, as an attorney in the Office of the Legal Adviser at the U.S. State Department, she advised on the legal aspects of foreign assistance programs, international economic sanctions, anti-trafficking in persons efforts, and other international law enforcement matters.</t>
  </si>
  <si>
    <t>mtaylor@usaid.gov</t>
  </si>
  <si>
    <t>227986-03P</t>
  </si>
  <si>
    <t>Matt Nigrelli</t>
  </si>
  <si>
    <t>Nigrelli</t>
  </si>
  <si>
    <t>Mr. Matt Nigrelli serves as Director, Financial Sector Engagement at U.S. Agency for International Development.</t>
  </si>
  <si>
    <t>mnigrelli@usaid.gov</t>
  </si>
  <si>
    <t>Director, Financial Sector Engagement</t>
  </si>
  <si>
    <t>238567-33P</t>
  </si>
  <si>
    <t>Michael Nicholson Ph.D</t>
  </si>
  <si>
    <t>Dr. Michael Nicholson serves as Foreign Service Officer at U.S. Agency for International Development. He holds BA in Physics &amp; Economics from Transylvania University in 1996 and Ph.D. in Economics from University of Colorado, Boulder in 2001.</t>
  </si>
  <si>
    <t>mnicholson@usaid.gov</t>
  </si>
  <si>
    <t>Foreign Service Officer</t>
  </si>
  <si>
    <t>432072-82P</t>
  </si>
  <si>
    <t>Mohamed Abdel-Kader</t>
  </si>
  <si>
    <t>Abdel-Kader</t>
  </si>
  <si>
    <t>mabdel-kader@usaid.gov</t>
  </si>
  <si>
    <t>397774-81P</t>
  </si>
  <si>
    <t>Neneh Diallo</t>
  </si>
  <si>
    <t>Neneh</t>
  </si>
  <si>
    <t>Diallo</t>
  </si>
  <si>
    <t>Ms. Neneh Diallo serves as Chief Diversity Officer at the U.S. Agency for International Development. She leads the Office of Diversity, Equity, Inclusion, and Accessibility in the Office of the Administrator. She most recently served as the Senior Vice President for Marketing and Communications at Pocstock, a global Black-owned media platform focused on increasing representation and diversity in stock media. She developed the annual framework for the company's U.S. campaign, which celebrates diversity, equity, and inclusion through thought leadership and social media campaigns. As Director of Diversity and Inclusion at the Millenium Challenge Corporation, she developed the agency's five-year diversity and inclusion plan, linking it to the Agency's corporate strategic framework and human capital strategy. She also served as Chair of the agency's Inclusion &amp; Diversity Council, charged with reviewing and enhancing its diversity, equity, and inclusion training and policies, including a review of hiring practices and pay equity.</t>
  </si>
  <si>
    <t>ndiallo@usaid.gov</t>
  </si>
  <si>
    <t>141002-02P</t>
  </si>
  <si>
    <t>Peter Natiello</t>
  </si>
  <si>
    <t>Natiello</t>
  </si>
  <si>
    <t>Mr. Peter Natiello serves as a Humanitarian and Development Counselor at the U.S. Agency for International Development. He was sworn in as the U.S. Agency for International Development's Mission Director for Colombia on August 28, 2012. Before that, from July 2011 to 2012, Mr. Natiello served as USAID's Deputy Mission Director in South Sudan, during the first year of the country's independence. From August 2009 through July 2011, Mr. Natiello served as USAID's Senior Development Advisor to the United States Special Operations Command (USSOCOM), in Tampa, Florida. During his tenure at USSOCOM, he deployed twice to Haiti to assist with the coordination of the U.S. Government earthquake response. Mr. Natiello was awarded the Joint Civilian Service Commendation medal for his service at USSOCOM. Mr. Natiello served from 2003 to 2009 with USAID in Bolivia, where he was Mission Director, Deputy Mission Director, and Director of the Alternative Development Program. As Mission Director, Mr. Natiello was responsible for an $80 million annual portfolio of long-term programs in health, private sector development, environment, food security, democracy/governance, alternative development, and disaster relief. In 2005, the Government of Bolivia awarded Mr. Natiello a medal for his contributions to rural development. Mr. Natiello managed USAID's democracy/governance and conflict mitigation portfolio in Ecuador (2001-2003) and served as a Democracy and Governance Officer in South Africa (1997-2001). He began his career with USAID in Bolivia, where he served as a Project Development Officer from 1992 to 1997. Prior to joining the Foreign Service, Mr. Natiello served as a Peace Corps Volunteer in Ecuador and subsequently as a Research Analyst with the Inter-American Development Bank in Washington. He is fluent in Spanish and proficient in Portuguese. Mr. Natiello has a Bachelor of Arts degree in Political Economy from Colorado College and a Master of International Affairs from Columbia University.</t>
  </si>
  <si>
    <t>pnatiello@usaid.gov</t>
  </si>
  <si>
    <t>Humanitarian and Development Counselor</t>
  </si>
  <si>
    <t>159235-12P</t>
  </si>
  <si>
    <t>Reginald Mitchell</t>
  </si>
  <si>
    <t>Mr. Reginald Mitchell serves as Chief Financial Officer at U.S. Agency for International Development. This includes the oversight and development of USAID's worldwide financial management policies, programs, and systems in support of the agency's development activities. Mr. Mitchell provides financial management leadership by establishing a clear set of policies and procedures to ensure the financial integrity of the agency's programs. Prior to joining USAID, Mr. Mitchell served 26 years with the U.S. Nuclear Regulatory Commission (NRC) during which time he held a number of senior executive financial positions including the Controller responsible for the agency's fiscal policies, proprietary accounting activities, and the development and maintenance of the agency's core and mixed financial systems. He received his Bachelor of Science degree in Business Management from National-Louis University and his Master of Public Administration from American University.</t>
  </si>
  <si>
    <t>rmitchell@usaid.gov</t>
  </si>
  <si>
    <t>333841-06P</t>
  </si>
  <si>
    <t>Samantha Power JD</t>
  </si>
  <si>
    <t>Power</t>
  </si>
  <si>
    <t>Ms. Samantha Power served as a Board Member at the U.S. International Development Finance Corporation. Power is the first USAID Administrator to be a member of the National Security Council, where she will ensure that development plays a critical role in America's responses to a range of economic, humanitarian, and geopolitical issues. Prior to joining the Biden-Harris Administration, Power was the Anna Lindh Professor of the Practice of Global Leadership and Public Policy at Harvard Kennedy School and the William D. Zabel Professor of Practice in Human Rights at Harvard Law School. Power earned a B.A. from Yale University and a J.D. from Harvard Law School.</t>
  </si>
  <si>
    <t>spower@usaid.gov</t>
  </si>
  <si>
    <t>227856-79P</t>
  </si>
  <si>
    <t>Samsudeen Amusa</t>
  </si>
  <si>
    <t>Samsudeen</t>
  </si>
  <si>
    <t>Amusa</t>
  </si>
  <si>
    <t>Mr. Samsudeen Amusa serves as Senior Private Sector Advisor at U.S. Agency for International Development.</t>
  </si>
  <si>
    <t>Senior Private Sector Advisor</t>
  </si>
  <si>
    <t>310933-27P</t>
  </si>
  <si>
    <t>David Turk</t>
  </si>
  <si>
    <t>Turk</t>
  </si>
  <si>
    <t>U.S. Department of Energy</t>
  </si>
  <si>
    <t>Mr. David Turk serves as Deputy Secretary at the U.S. Department of Energy. Prior to his nomination as Deputy Secretary, he was the Deputy Executive Director of the International Energy Agency (IEA), where he focused on helping countries around the world tackle their clean energy transitions. He also directed reports on the digitalization of energy systems, the future of clean hydrogen, and a project tracking progress on a wide range of clean energy technologies. During the Obama-Biden Administration, he coordinated international technology and clean energy efforts at DOE. During this time, he helped spearhead the launch of Mission Innovation-a global effort to enhance clean energy innovation. He is a graduate of both the University of Illinois at Urbana-Champaign and the University of Virginia Law School.</t>
  </si>
  <si>
    <t>+1 (202) 586-5000</t>
  </si>
  <si>
    <t>david@pnl.gov</t>
  </si>
  <si>
    <t>1000 Independence Avenue, SouthWest</t>
  </si>
  <si>
    <t>20585</t>
  </si>
  <si>
    <t>+1 (202) 586-4403</t>
  </si>
  <si>
    <t>Deputy Secretary</t>
  </si>
  <si>
    <t>452730-61P</t>
  </si>
  <si>
    <t>Gil Bindewald</t>
  </si>
  <si>
    <t>Bindewald</t>
  </si>
  <si>
    <t>bindewaldg@hq.doe.gov</t>
  </si>
  <si>
    <t>Principal Deputy Assistant Electricity Secretary</t>
  </si>
  <si>
    <t>146523-61P</t>
  </si>
  <si>
    <t>H. Felix Wu Ph.D</t>
  </si>
  <si>
    <t>H. Felix</t>
  </si>
  <si>
    <t>Dr. H. Felix Wu serves as Supervisory Program Manager at U.S. Department of Energy. He has more than 15 years of program management and leadership experience working for the Federal government and 14 years of R&amp;D experience in industry with broad-based expertise in advanced materials, fibers, polymers, composites, manufacturing, nano-materials/structures, sensor and sensor networks, NDE/structural health monitoring, civil infrastructure, and biomaterials/biomedical devices. He joined the Vehicle Technologies Office (VTO), Office of Energy Efficiency and Renewable Energy (EERE) at the U.S. Department of Energy (DOE) as a Supervisory Program Manager in January 2016. He oversees the materials technology program within the VTO with two focused R&amp;D activities in lightweight materials and propulsion materials targeting the EERE's mission to improve fuel efficiency and reduce CO2 emissions. He and his team members work very closely with external partners and stakeholders including industry, national labs, and universities in areas of advanced materials and advanced manufacturing. Prior to starting his career with the Federal government, he was a Senior Project Manager at the Alcoa Technical Center where he was the leader in the R&amp;D of a new family of fiber-metal laminates (ARALL and GLARE). He was also a Senior Project Leader at the Owens Corning Science &amp; Technology Center where he led fundamental &amp; applied research programs in long-term durability, materials interfaces, mechanical behaviors, micromechanics, surface science, fiber forming and polymer processing of reinforcements and their composites.</t>
  </si>
  <si>
    <t>felix.wu@hq.doe.gov</t>
  </si>
  <si>
    <t>Supervisory Program Manager</t>
  </si>
  <si>
    <t>408161-26P</t>
  </si>
  <si>
    <t>Jeff Marootian</t>
  </si>
  <si>
    <t>Marootian</t>
  </si>
  <si>
    <t>Mr. Jeff Marootian serves as Principal Deputy Assistant Secretary at the U.S. Department of Energy.</t>
  </si>
  <si>
    <t>jm@pnl.gov</t>
  </si>
  <si>
    <t>Principal Deputy Assistant Secretary</t>
  </si>
  <si>
    <t>59311-99P</t>
  </si>
  <si>
    <t>Jennifer Granholm</t>
  </si>
  <si>
    <t>Granholm</t>
  </si>
  <si>
    <t>Ms. Jennifer Granholm serves as Secretary of the U.S. Department of Energy. She served as a Board Member at Proterra. Ms. Granholm served as Managing Partner, Sustainability at Ridge-Lane. Ms. Granholm pioneered clean energy innovation, and economic development and led the state through the national crisis in the turn-around of the American automotive and manufacturing sectors. She laid the ground for the improvement in Michigan's economy after the auto industry bankruptcies, with bi-partisan efforts that included the private sector, fostering critical partnerships between industry, government, and researchers and creating economic incentives in battery manufacturing, bio-energy, solar and wind power. She is a Senior Political Contributor to CNN and serves on the board of directors of several companies and nonprofits. She holds a Political Science and French Degree from the University of California, Berkeley and another Degree from Harvard Law School.</t>
  </si>
  <si>
    <t>+1 (603) 206-6800</t>
  </si>
  <si>
    <t>227883-88P</t>
  </si>
  <si>
    <t>Mary Hubbard</t>
  </si>
  <si>
    <t>Hubbard</t>
  </si>
  <si>
    <t>Ms. Mary Hubbard serves as Whole Homes and Appliance Rebate Program Monitoring and Delivery Supervisor at U.S. Department of Energy. In this position, she leads BTO's Technology to Market Initiative. This includes a buildings-focused university student competition called JUMP into STEM, a building and market-oriented skills training program for national laboratory scientists, BTO's Small Business Innovation Research (SBIR), Small Business Technology Transfer (STTR), and Technology Commercialization Fund (TCF) solicitation and award processes, and other related efforts that help to drive technologies into the marketplace. In addition, she is involved with the development of BTO funding opportunities. She has a bachelor of science degree in business and a master's of public affairs (MPA), both from Indiana University. She is also a certified energy manager (CEM), LEED Green Associate, Project Management Professional (PMP), and technical project officer. Prior to joining DOE, she led a team of project managers for Siemens Government Technologies Inc., where she oversaw a $300M+ portfolio ranging from large renewable energy generation construction projects to smaller building automation systems and HVAC projects. The portfolio contained both appropriated dollar contracts and Energy Savings Performance Contracts (ESPCs). She also brings experience working with natural gas utility rate cases, green infrastructure in Portland, Oregon, as well as consulting on improving facilities with the U.S. National Park Service.</t>
  </si>
  <si>
    <t>mary.hubbard@ee.doe.gov</t>
  </si>
  <si>
    <t>Whole Homes and Appliance Rebate Program Monitoring and Delivery Supervisor</t>
  </si>
  <si>
    <t>38641-96P</t>
  </si>
  <si>
    <t>Melissa Smith</t>
  </si>
  <si>
    <t>Ms. Melissa Smith serves as Senior Portfolio Manager at U.S. Department of Energy. Previously, she served as Vice President of Special Situations at American Capital. Her prior experiences were with DaVita Inc. where she was a Senior Financial Analyst in Corporate Development and with J.P. Morgan Chase &amp; Co., as an Analyst in the Global M&amp;A group. Ms. Smith is a Cum Laude graduate of Wharton with a B.S. degree in Economics. Ms. Smith is actively involved with American Capital's investments in The Algoma Group, Berry-Hill Galleries, Inc., and New England Confectionary Company, Inc.</t>
  </si>
  <si>
    <t>melissa.smith@hq.doe.gov</t>
  </si>
  <si>
    <t>136777-51P</t>
  </si>
  <si>
    <t>Patricia Hoffman</t>
  </si>
  <si>
    <t>Ms. Patricia Hoffman serves as a Principal Deputy Director &amp; Principal Deputy Assistant Secretary at the U.S. Department of Energy. Prior to her current position, Ms. Hoffman was named Assistant Secretary for the Office of Electricity Delivery and Energy Reliability (OE) at the United States Department of Energy (DOE) in June 2010 after serving as Principal Deputy Assistant Secretary since November 2007. The focus of her responsibility is to provide leadership on a national level to modernize the electric grid, enhance the security and reliability of the energy infrastructure, and facilitate recovery from disruptions to the energy supply both domestically and internationally. This is critical to meeting the Nation's growing demand for reliable electricity by overcoming the challenges of our Nation's aging electricity transmission and distribution system and addressing the vulnerabilities in our energy supply chain. Ms. Hoffman previously served in a dual capacity as Deputy Assistant Secretary (DAS) for Research and Development (R&amp;D) and Chief Operating Officer (COO) within OE. During her tenure as the DAS for R&amp;D, she developed the long-term research strategy and improved the management portfolio of research programs for modernizing and improving the resiliency of the electric grid. This included developing and implementing sensors and operational tools for wide-area monitoring, energy storage research and demonstration, and the development of advanced conductors to increase the capacity and flexibility of the grid. She also initiated a new research effort focused on integrating and distributing renewable energy through the electric grid, such as promoting plug-in hybrid electric vehicles and implementing smart grid technologies to maintain system reliability. As COO, she managed the OE business operations, including human resources, budget development, financial execution, and performance management. Prior to joining OE, she was the Program Manager for the Federal Energy Management Program within the Office of Energy Efficiency and Renewable Energy at DOE. This program guides the Federal government to "lead by example" promoting energy efficiency, renewable energy, and smart energy management. Complementing her building energy efficiency experience, she also was the Program Manager for the Distributed Energy Program, which conducted research on advanced natural gas power generation and combined heat and power systems. Her accomplishments included the successful completion of the Advanced Turbine System program resulting in a high-efficiency industrial gas turbine power generation product. Ms. Hoffman holds a Bachelor of Science and a Master of Science in Ceramic Science and Engineering from Pennsylvania State University.</t>
  </si>
  <si>
    <t>patricia.hoffman@hq.doe.gov</t>
  </si>
  <si>
    <t>Principal Deputy Director &amp; Principal Deputy Assistant Secretary</t>
  </si>
  <si>
    <t>266987-80P</t>
  </si>
  <si>
    <t>Peter Kinney</t>
  </si>
  <si>
    <t>Mr. Peter Kinney serves as Energy Manager and Marketing Specialist at U.S. Department of Energy.</t>
  </si>
  <si>
    <t>peter@pnl.gov</t>
  </si>
  <si>
    <t>Energy Manager and Marketing Specialist</t>
  </si>
  <si>
    <t>315233-11P</t>
  </si>
  <si>
    <t>Wyatt Merrill</t>
  </si>
  <si>
    <t>Wyatt</t>
  </si>
  <si>
    <t>Mr. Wyatt Merrill serves as Technology Manager at U.S. Department of Energy.</t>
  </si>
  <si>
    <t>wyatt.merrill@hq.doe.gov</t>
  </si>
  <si>
    <t>Technology Manager</t>
  </si>
  <si>
    <t>214444-99P</t>
  </si>
  <si>
    <t>Andre Neumann-Loreck</t>
  </si>
  <si>
    <t>Neumann-Loreck</t>
  </si>
  <si>
    <t>Ubiquity Ventures</t>
  </si>
  <si>
    <t>Mr. Andre Neumann-Loreck is a Co-Founder &amp; serves as Managing Partner at On Tap Consulting. He serves as Advisor at Ubiquity Ventures.</t>
  </si>
  <si>
    <t>andre@ontap.consulting</t>
  </si>
  <si>
    <t>On Tap Consulting</t>
  </si>
  <si>
    <t>35634-43P</t>
  </si>
  <si>
    <t>Sunil Nagaraj</t>
  </si>
  <si>
    <t>Nagaraj</t>
  </si>
  <si>
    <t>Mr. Sunil Nagaraj is the Founder, a Founding Partner and serves as Managing Partner at Ubiquity Ventures. He serves as Board Member at Excarta and Caddi. He serves as Board Member at Ubicept. He serves as Advisor and Board Member at Camino. He served as Advisor at Global Ventures (Dubai). He served as Co-Chairman at NextGen Partners. He served as Board Member at SceneBox. He is a seed-stage institutional venture capital firm that invests in software beyond the screen startups, primarily around smart hardware and machine intelligence applications. He served as Board Member at Rollo, Koop, and PAXAFE. He serves as Board Observer at WindBorne Systems. He served as Board Member at Diligent Robotics. He serves as Board Observer at Parallel Domain. He served on the boards of Jargon (Seattle), Esper, Halter, Levl, and other undisclosed investments. Prior to founding Ubiquity Ventures, Mr. Nagaraj spent six years as an investor with Bessemer Venture Partners where his work included investments in Auth0, Defense.Net (acquired by F5 Networks), Rocket Lab, Spire, Tile, Twitch (acquired by Amazon), and Zapier. Before being an investor, Mr. Nagaraj was the founder/CEO of Triangulate, a VC-backed online dating startup using machine learning and behavioral data to improve accuracy. He has also worked at Bain &amp; Company, Cisco, and Microsoft. Mr. Nagaraj holds an MBA from Harvard Business School and a BS in Computer Science from the University of North Carolina at Chapel Hill. He is also an Alumni Advisor to the Harvard MS/MBA program. He serves as Board Observer at Safehub.</t>
  </si>
  <si>
    <t>sunil@ubiquity.vc</t>
  </si>
  <si>
    <t>758 Center Drive</t>
  </si>
  <si>
    <t>Founder, Founding Partner &amp; Managing Partner</t>
  </si>
  <si>
    <t>303902-74P</t>
  </si>
  <si>
    <t>Brendan Kremer</t>
  </si>
  <si>
    <t>UC San Diego</t>
  </si>
  <si>
    <t>Mr. Brendan Kremer serves as Chief Operating Officer at UC San Diego. Mr. Brendan Kremer serves as Board Member at Shadowbox. He is COO at UCSD Health and brings over 25 years of health system administration leadership knowledge to the Shadowbox management team. As COO at UCSD Health, he is responsible for hospital and physician group operations for a $3-billion academic medical center, accountable for the clinical, financial, and operational performance of all clinical service lines as well as physician group and support service operations. Prior to the COO role, he worked in a variety of positions at UCSD Health as well as other institutions including Tenet HealthCare, Huntington Memorial Hospital, and Children's Hospital Los Angeles. He received both his Bachelor's of Science (BSPA) in Public Administration and his Master's of Health Service Administration (MHA) at the University of Southern California.</t>
  </si>
  <si>
    <t>+1 (858) 534-2230</t>
  </si>
  <si>
    <t>bkremer@health.ucsd.edu</t>
  </si>
  <si>
    <t>9500 Gilman Drive</t>
  </si>
  <si>
    <t>92093-0110</t>
  </si>
  <si>
    <t>444534-49P</t>
  </si>
  <si>
    <t>Catheryn Yashar</t>
  </si>
  <si>
    <t>Catheryn</t>
  </si>
  <si>
    <t>Yashar</t>
  </si>
  <si>
    <t>Ms. Catheryn Yashar serves as Chief Medical Officer, Hillcrest and La Jolla at UC San Diego.</t>
  </si>
  <si>
    <t>cyashar@health.ucsd.edu</t>
  </si>
  <si>
    <t>Chief Medical Officer, Hillcrest and La Jolla</t>
  </si>
  <si>
    <t>55419-76P</t>
  </si>
  <si>
    <t>Chris Longhurst MD</t>
  </si>
  <si>
    <t>Longhurst</t>
  </si>
  <si>
    <t>Dr. Chris Longhurst serves as Chief Clinical and Innovation Officer at UC San Diego. Dr. Chris Longhurst serves as a Board Member at Smart Check-In. He serves as a Board Member at Grand Rounds Health. He is a board-certified pediatric hospitalist at Lucile Packard Children's Hospital and a Clinical Assistant Professor at the Stanford University School of Medicine. He was the Advisor at Kyron. He also holds an administrative appointment at Packard Children's as the Chief Medical Information Officer, where he has helped lead the organization through the implementation of a comprehensive electronic medical record (EMR) since 2004. These efforts resulted in national attention when Dr. Longhurst published the first-ever correlation between the implementation of a computerized physician order entry (CPOE) system and a decrease in hospital-wide mortality in 2010. That same year he was honored to be selected by Modern Healthcare magazine as one of the top 25 Clinical Informaticists in the nation.</t>
  </si>
  <si>
    <t>clonghurst@health.ucsd.edu</t>
  </si>
  <si>
    <t>Chief Clinical and Innovation Officer</t>
  </si>
  <si>
    <t>444537-73P</t>
  </si>
  <si>
    <t>Crystal Cene</t>
  </si>
  <si>
    <t>Cene</t>
  </si>
  <si>
    <t>Ms. Crystal Cene serves as CAO, Health Justice, Equity, Diversity and Inclusion Associate &amp; CMO, Health Equity at UC San Diego.</t>
  </si>
  <si>
    <t>ccene@health.ucsd.edu</t>
  </si>
  <si>
    <t>444539-71P</t>
  </si>
  <si>
    <t>Douglas Cates</t>
  </si>
  <si>
    <t>Cates</t>
  </si>
  <si>
    <t>Mr. Douglas Cates serves as Chief Strategy Officer at UC San Diego.</t>
  </si>
  <si>
    <t>dcates@health.ucsd.edu</t>
  </si>
  <si>
    <t>444541-96P</t>
  </si>
  <si>
    <t>Duncan Campbell</t>
  </si>
  <si>
    <t>Mr. Duncan Campbell serves as COO, Physician Network at UC San Diego.</t>
  </si>
  <si>
    <t>dcampbell@health.ucsd.edu</t>
  </si>
  <si>
    <t>COO, Physician Network</t>
  </si>
  <si>
    <t>444545-47P</t>
  </si>
  <si>
    <t>Michelle Ziemba</t>
  </si>
  <si>
    <t>Ziemba</t>
  </si>
  <si>
    <t>Ms. Michelle Ziemba serves as Chief Operating Officer, East Campus Medical Center at UC San Diego.</t>
  </si>
  <si>
    <t>mziemba@health.ucsd.edu</t>
  </si>
  <si>
    <t>Chief Operating Officer, East Campus Medical Center</t>
  </si>
  <si>
    <t>444547-27P</t>
  </si>
  <si>
    <t>Parag Agnihotri</t>
  </si>
  <si>
    <t>Parag</t>
  </si>
  <si>
    <t>Agnihotri</t>
  </si>
  <si>
    <t>Mr. Parag Agnihotri serves as Chief Medical Officer of Population Health Services at UC San Diego.</t>
  </si>
  <si>
    <t>pagnihotri@health.ucsd.edu</t>
  </si>
  <si>
    <t>Chief Medical Officer of Population Health Services</t>
  </si>
  <si>
    <t>439537-87P</t>
  </si>
  <si>
    <t>Patty Maysent</t>
  </si>
  <si>
    <t>Patty</t>
  </si>
  <si>
    <t>Maysent</t>
  </si>
  <si>
    <t>Ms. Patty Maysent serves as Chief Executive Officer at UC San Diego. Ms. Maysent leads the region's healthcare provider and only academic health system. She's deeply committed to integrating the power of academic medicine with the accessibility of community health care to create a healthier world. Her passion is for building and sustaining care teams and spaces where world-class care happens every day. She aligns more with many team members who carry out millions of patient visits annually. Under her guidance, UC San Diego Health has grown to include two academic medical centers, a community hospital, and more than primary and specialty care offices spanning San Diego, Imperial, and Riverside counties. Under Her leadership, UC San Diego Health has for the second consecutive year been recognized on U.S. News &amp; World Report's Best Hospitals National Honor Roll a distinction that is awarded to just hospitals nationwide. She believes that everyone deserves the unparalleled care provided by an academic health system. Academic medicine is different because patients see doctors who are the foremost experts in their fields, providing access to the most advanced therapies, technologies, and treatments. When needed, patients are seamlessly connected to teams of specialists who work together to personalize treatment plans specific to their individual needs. Prior to assuming her current role She served as chief of staff and chief strategy officer at UC San Diego Health. She was CEO of St. Jude Medical Center and served as a consultant for The St. Joseph Health System, University of Southern California's Keck Medical Center Norris Cancer Center, and Alliance Healthcare Services. She holds a master's degree in business administration and a master's degree in public health, both from UCLA, and received a bachelor's degree in human biology from Stanford University. She chairs the board of directors of the Hospital Association of San Diego &amp; Imperial Counties and serves on the board of the California Hospital Association. In addition, she is passionate about her years of work with the Boys and Girls Club of San Dieguito, where she has served on the board and executive committee.</t>
  </si>
  <si>
    <t>pmaysent@ucsd.edu</t>
  </si>
  <si>
    <t>397718-65P</t>
  </si>
  <si>
    <t>Jeffrey Geoghegan</t>
  </si>
  <si>
    <t>Geoghegan</t>
  </si>
  <si>
    <t>UConn</t>
  </si>
  <si>
    <t>Mr. Jeffrey Geoghegan serves as Chief Financial Officer &amp; Executive Vice President of Finance at UConn.</t>
  </si>
  <si>
    <t>+1 (860) 486-3455</t>
  </si>
  <si>
    <t>jeffrey.geoghegan@uconn.edu</t>
  </si>
  <si>
    <t>Storrs Mansfield</t>
  </si>
  <si>
    <t>Storrs Mansfield, CT</t>
  </si>
  <si>
    <t>115 North Eagleville Road</t>
  </si>
  <si>
    <t>U-3225</t>
  </si>
  <si>
    <t>Chief Financial Officer &amp; Executive Vice President of Finance</t>
  </si>
  <si>
    <t>397718-74P</t>
  </si>
  <si>
    <t>Joseph Thompson</t>
  </si>
  <si>
    <t>Assistant Vice President &amp; Executive</t>
  </si>
  <si>
    <t>Mr. Joseph Thompson serves as Chief Procurement Officer &amp; Associate Vice President of University Business Services at UConn.</t>
  </si>
  <si>
    <t>+1 (860) 486-2619</t>
  </si>
  <si>
    <t>joseph.thompson@uconn.edu</t>
  </si>
  <si>
    <t>Chief Procurement Officer &amp; Associate Vice President of University Business Services</t>
  </si>
  <si>
    <t>413206-93P</t>
  </si>
  <si>
    <t>Lakeesha Brown</t>
  </si>
  <si>
    <t>Lakeesha</t>
  </si>
  <si>
    <t>Ms. Lakeesha Brown serves as Vice President &amp; Chief Human Resources Officer at UConn.</t>
  </si>
  <si>
    <t>+1 (860) 486-4900</t>
  </si>
  <si>
    <t>lakeesha.brown@uconn.edu</t>
  </si>
  <si>
    <t>177657-67P</t>
  </si>
  <si>
    <t>Radenka Maric Ph.D</t>
  </si>
  <si>
    <t>Radenka</t>
  </si>
  <si>
    <t>Maric</t>
  </si>
  <si>
    <t>Dr. Radenka Maric serves as President at UConn. She was named the 17th president of the University of Connecticut by the Board of Trustees on September 28, 2022. She has served as UConn's vice president for research, innovation, and entrepreneurship since 2017. Maric has been a faculty member and researcher since 2010 at the University, where she also is a Board of Trustees Distinguished Professor. Maric holds multiple patents, is an elected member of several prestigious professional organizations, has published hundreds of scholarly works, received more than $40 million in research grants, and is fluent in four languages with a working knowledge of others.</t>
  </si>
  <si>
    <t>radenka.maric@uconn.edu</t>
  </si>
  <si>
    <t>391825-18P</t>
  </si>
  <si>
    <t>Scott Allen</t>
  </si>
  <si>
    <t>Mr. Scott Allen serves as Chief Medical Officer at UConn.</t>
  </si>
  <si>
    <t>scott.allen@uconn.edu</t>
  </si>
  <si>
    <t>166478-59P</t>
  </si>
  <si>
    <t>Aarash Sofla</t>
  </si>
  <si>
    <t>Aarash</t>
  </si>
  <si>
    <t>Sofla</t>
  </si>
  <si>
    <t>uFluidix</t>
  </si>
  <si>
    <t>Mr. Aarash Sofla is a Co-Founder and serves as Chief Executive Officer at uFluidix.</t>
  </si>
  <si>
    <t>aarash.sofla@ufluidix.com</t>
  </si>
  <si>
    <t>17-689 Warden Avenue</t>
  </si>
  <si>
    <t>M1L 4R6</t>
  </si>
  <si>
    <t>+1 (416) 628-2228</t>
  </si>
  <si>
    <t>166479-67P</t>
  </si>
  <si>
    <t>Christina Martin</t>
  </si>
  <si>
    <t>Ms. Christina Martin serves as Vice President, Regulatory Affairs &amp; Quality Assurance at uFluidix. She also served as Chief Technology Officer at uFluidix.</t>
  </si>
  <si>
    <t>christina.martin@ufluidix.com</t>
  </si>
  <si>
    <t>Vice President, Regulatory Affairs &amp; Quality Assurance</t>
  </si>
  <si>
    <t>454417-12P</t>
  </si>
  <si>
    <t>Emily Lindberg Ph.D</t>
  </si>
  <si>
    <t>Undeterred Capital</t>
  </si>
  <si>
    <t>Associate &amp; Head</t>
  </si>
  <si>
    <t>Dr. Emily Lindberg serves as an Associate &amp; Head of Research at Undeterred Capital. Her primary focus is on understanding emerging trends in deep tech and biotech and productizing this understanding through extensive industry analysis. Additionally, she is an Associate, working with the investment team to diligence potential investments and support existing portfolio companies. She holds a PhD in Biomechanics from UC-Berkeley with additional specializations in cell biology and material science. Prior to joining Undeterred, Emily was a Fellow at MPM Bioimpact in Boston.</t>
  </si>
  <si>
    <t>+1 (615) 218-2489</t>
  </si>
  <si>
    <t>emily@undeterredcapital.com</t>
  </si>
  <si>
    <t>3876 Sunbeam Drive</t>
  </si>
  <si>
    <t>90065</t>
  </si>
  <si>
    <t>Associate &amp; Head of Research</t>
  </si>
  <si>
    <t>270507-79P</t>
  </si>
  <si>
    <t>Joseph Wilson</t>
  </si>
  <si>
    <t>Mr. Joseph Wilson is the Founder and serves as Managing Partner at Undeterred Capital. He also serves as Advisor at Nanopath.</t>
  </si>
  <si>
    <t>joe@undeterredcapital.com</t>
  </si>
  <si>
    <t>454421-08P</t>
  </si>
  <si>
    <t>Kylie Trettner Ph.D</t>
  </si>
  <si>
    <t>Kylie</t>
  </si>
  <si>
    <t>Trettner</t>
  </si>
  <si>
    <t>Dr. Kylie Trettner serves as Research &amp; Investment Analyst at Undeterred Capital. She is broadly interested in technological innovation and supporting companies along the ideation to launch pipeline. As she has worked for a few startups in the past, she is eager to translate her experiences to the diligence and support stages of this role. She holds a PhD in Chemical Engineering from the University of Southern California, where she conducted interdisciplinary biophysics research with an industry partner. She completed the Nucleate LA Activator program as a finalist in 2023 with a team she founded based on the IP generated through her research.</t>
  </si>
  <si>
    <t>kylie@undeterredcapital.com</t>
  </si>
  <si>
    <t>Research &amp; Investment Analyst</t>
  </si>
  <si>
    <t>406484-38P</t>
  </si>
  <si>
    <t>Paul Scott</t>
  </si>
  <si>
    <t>Mr. Paul Scott serves as Chief Financial Officer at Undeterred Capital. He's responsible for operations, legal, audit, tax, annual reporting, and compliance at the firm. He has over 20 years of experience as CFO at several biotech venture firms, most notably at BioStar Ventures, where he has served since 2006 as CFO for the $200M firm. Previously, he was CFO at Windward Ventures, an $85M venture firm focused on early-stage investments in southern California. He has also served as interim CFO for a number of portfolio companies at these funds, including Network Harmoni, which was sold to Micromuse, and Mohomine, which was sold to Kofax. He was previously CEO and Chairman at VSI Enterprises, where he was hired by the board of directors to implement turnaround strategies for the public company (NASDAQ "VSIN"). He has an MBA from Loyola University of Chicago and a BA in Economics from Ithaca College in New York.</t>
  </si>
  <si>
    <t>paul@undeterredcapital.com</t>
  </si>
  <si>
    <t>389101-78P</t>
  </si>
  <si>
    <t>Gil Azevedo</t>
  </si>
  <si>
    <t>Unicorn Factory Lisboa</t>
  </si>
  <si>
    <t>Mr. Gil Azevedo serves as Executive Director at Startup Lisboa.</t>
  </si>
  <si>
    <t>gil.azevedo@startuplisboa.com</t>
  </si>
  <si>
    <t>Rua da Prata, 80</t>
  </si>
  <si>
    <t>1100-420</t>
  </si>
  <si>
    <t>439182-64P</t>
  </si>
  <si>
    <t>Marta Cardoso</t>
  </si>
  <si>
    <t>Ms. Marta Cardoso serves as Executive at Unicorn Factory Lisboa.</t>
  </si>
  <si>
    <t>177750-82P</t>
  </si>
  <si>
    <t>Marta Miraldes</t>
  </si>
  <si>
    <t>Miraldes</t>
  </si>
  <si>
    <t>Ms. Marta Miraldes serves as Partner Program Lead at Startup Lisboa.</t>
  </si>
  <si>
    <t>+351 22 906 9570</t>
  </si>
  <si>
    <t>marta.miraldes@startuplisboa.com</t>
  </si>
  <si>
    <t>Partner Program Lead</t>
  </si>
  <si>
    <t>354607-12P</t>
  </si>
  <si>
    <t>Joseph Bovair</t>
  </si>
  <si>
    <t>Bovair</t>
  </si>
  <si>
    <t>United States Air Force</t>
  </si>
  <si>
    <t>Mr. Joseph Bovair serves as Director of Security at United States Air Force.</t>
  </si>
  <si>
    <t>+1 (937) 713-5582</t>
  </si>
  <si>
    <t>joseph.bovair.2@us.af.mil</t>
  </si>
  <si>
    <t>Universal City</t>
  </si>
  <si>
    <t>Universal City, TX</t>
  </si>
  <si>
    <t>550 D Street West</t>
  </si>
  <si>
    <t>Suite 1, Randolph AFB</t>
  </si>
  <si>
    <t>78150-4527</t>
  </si>
  <si>
    <t>Director of Security</t>
  </si>
  <si>
    <t>38606-32P</t>
  </si>
  <si>
    <t>Joseph Groff JD</t>
  </si>
  <si>
    <t>Groff</t>
  </si>
  <si>
    <t>Mr. Joseph Groff serves as Judge Advocate in United States Air Force. As a military defense counsel, he represents Airmen in summary, special, and general courts-martial; pretrial confinement hearings; and all post-trial and clemency matters; interrogation situations; UCMJ, Article 32, and commander-directed investigations. He also serves as respondents' counsel in involuntary discharge, demotion, and nonjudicial punishment proceedings; flying evaluation, physical evaluation, and medical credentials boards; and various other personnel actions. He received his undergraduate degree with honors from the University of California at Los Angeles. He then graduated from the Pepperdine University School of Law and Public Policy in Malibu, California. After law school, he gained two years of experience with a general practice firm. During that time, he primarily practiced business litigation, contracts, corporate formation and maintenance, estate planning, and Social Security Disability appeals. Upon accession into the United States Air Force, he completed Commissioned Officer Training as a Distinguished Graduate.</t>
  </si>
  <si>
    <t>Judge Advocate</t>
  </si>
  <si>
    <t>332511-04P</t>
  </si>
  <si>
    <t>Laura Drummer</t>
  </si>
  <si>
    <t>Drummer</t>
  </si>
  <si>
    <t>Ms. Laura Drummer serves as Chief Data Officer for the Air Force Intelligence Community at United States Air Force. Ms. Laura Drummer founded and served as Chief Executive Officer at TAS Labs. Ms. Drummer, who previously held director positions at HII and Novetta, has formed her own company with the goal of developing technology products and services to help government customers unlock data-based insights. Prior to founding TAS Labs, She was director of analytics and AI for HII's mission technologies division. She joined the defense company after a short stint as head of AI product management at Alion Science and Technology and previously spent more than eleven years at Novetta, where her work focused on data and cyber analysis and intelligence operations. Earlier in her career, He worked as an intelligence analyst for the Department of Defense.</t>
  </si>
  <si>
    <t>Chief Data Officer for the Air Force Intelligence Community</t>
  </si>
  <si>
    <t>438518-89P</t>
  </si>
  <si>
    <t>Brooke Rollins</t>
  </si>
  <si>
    <t>Rollins</t>
  </si>
  <si>
    <t>United States Department of Agriculture</t>
  </si>
  <si>
    <t>Ms. Brooke Rollins serves as Secretary at United States Department of Agriculture.</t>
  </si>
  <si>
    <t>+1 (202) 720-2791</t>
  </si>
  <si>
    <t>1400 Independence Avenue, Southwest</t>
  </si>
  <si>
    <t>20250</t>
  </si>
  <si>
    <t>339273-73P</t>
  </si>
  <si>
    <t>L'Tonya Davis</t>
  </si>
  <si>
    <t>L'Tonya</t>
  </si>
  <si>
    <t>Ms. L'Tonya Davis serves as Executive Director, Center for Civil Rights Operations at United States Department of Agriculture.</t>
  </si>
  <si>
    <t>ltonya.davis@usda.gov</t>
  </si>
  <si>
    <t>Executive Director, Center for Civil Rights Operations</t>
  </si>
  <si>
    <t>191207-35P</t>
  </si>
  <si>
    <t>Lynn Moaney</t>
  </si>
  <si>
    <t>Moaney</t>
  </si>
  <si>
    <t>Ms. Lynn Moaney serves as Deputy Chief Financial Officer at the United States Department of Agriculture. Lynn Moaney has rejoined USDA as the Associate CFO for Financial Policy and Planning, where she maintains oversight responsibilities for USDA-wide development and implementation of fiscal policy, internal controls, administrative operations, as well as budget formulation, and execution of shared-cost programs and the working capital fund. Ms. Moaney has over 30 years developing and maintaining financial standards across the Federal Government and a proven record of leading organizational initiatives. Experience includes implementation of financial and administrative systems, budget formulation and execution, acquisitions, audit, risk management, shared services, policy development and financial operations support. In her role, she works with the CFO to "oversee all financial management activities relating to the programs and operations of the agency." She has direct management of approximately 1,300 of employees located at the Washington D.C headquarters and National Finance Center in New Orleans, LA, Fort Worth, TX, and Kansas City, MO. In addition to the financial management of the programs of the USDA, Ms. Moaney has responsibility for the National Finance Center (NFC). NFC is a Payroll Services Center of Excellence and a Human Resources Center of Excellence for the Federal Government. Ms. Moaney re-joined the USDA/OCFO organization in 2014, when she was selected to be the Associate Chief Financial Officer over Financial Policy and Planning. In this role, she was responsible for Department-wide development and implementation of fiscal and travel policy. She serves as the Controller of the Working Capital Fund (WCF) and Shared Cost programs (SCPs) which includes formulating the $1B WCF budget and $33M SCP budget; providing agency allocation amounts and monitoring budget execution. Her responsibility also included establishing Departmental policy related to maintaining internal controls in compliance with OMB Circular No A-123, to achieve the objectives of effective and efficient operations, reliable financial reporting, and compliance with applicable laws and regulation. Furthermore, she is responsible for improper payment mitigation and reporting as well as debt management, audit follow-up and overall administrative support including Continuity of Operations planning and Emergency Preparedness for the Office of the Chief Financial Officer. Prior to this position, Ms. Moaney served as the Deputy Chief Financial Officer at the Federal Communications Commission where she was responsible for the day-to-day management and development of financial systems, budget, audit findings and remediation, financial statements and new or proposed changes to policy and procedures that affect financial operations.</t>
  </si>
  <si>
    <t>lynn.moaney@usda.gov</t>
  </si>
  <si>
    <t>Deputy Chief Financial Officer</t>
  </si>
  <si>
    <t>418958-38P</t>
  </si>
  <si>
    <t>Michele Weaver</t>
  </si>
  <si>
    <t>Weaver</t>
  </si>
  <si>
    <t>Ms. Michele Weaver serves as State Director at United States Department of Agriculture.</t>
  </si>
  <si>
    <t>michele.weaver@usda.gov</t>
  </si>
  <si>
    <t>State Director</t>
  </si>
  <si>
    <t>330752-08P</t>
  </si>
  <si>
    <t>Wesley Swanzy</t>
  </si>
  <si>
    <t>Swanzy</t>
  </si>
  <si>
    <t>Mr. Wesley Swanzy serves as Chief of Staff to the Chief Financial Officer at United States Department of Agriculture.</t>
  </si>
  <si>
    <t>wesley.swanzy@usda.gov</t>
  </si>
  <si>
    <t>Chief of Staff to the Chief Financial Officer</t>
  </si>
  <si>
    <t>342803-80P</t>
  </si>
  <si>
    <t>Brynt Parmeter</t>
  </si>
  <si>
    <t>Brynt</t>
  </si>
  <si>
    <t>Parmeter</t>
  </si>
  <si>
    <t>United States Department of Defense</t>
  </si>
  <si>
    <t>Mr. Brynt Parmeter serves as Chief Talent Management Officer at United States Department of Defense.</t>
  </si>
  <si>
    <t>brynt.parmeter@defense.gov</t>
  </si>
  <si>
    <t>1400 Defense Pentagon</t>
  </si>
  <si>
    <t>20301-1400</t>
  </si>
  <si>
    <t>Chief Talent Management Officer</t>
  </si>
  <si>
    <t>400641-04P</t>
  </si>
  <si>
    <t>John Kreul</t>
  </si>
  <si>
    <t>Kreul</t>
  </si>
  <si>
    <t>Mr. John Kreul serves as Chief Operating Officer, Office of the Under Secretary of Defense (Policy) at United States Department of Defense. He leads the Policy Management and Operations (PMO) organization. Mr. Kreul is a career civilian with over 20 years of experience in OUSDP, the National Security Council staff, and the Department of State. Prior to his assignment as COO, Mr. Kreul served as Policy's Principal Director for Homeland Defense Integration and Defense Support of Civil Authorities (HDI&amp;DSCA) from August 2021 to August 2023, and Principal Director for Western Hemisphere Affairs from 2014 to 2021, serving as Acting Deputy Assistant Secretary of Defense in both offices. His career in Policy also includes assignments as chief of staff and senior advisor for regional strategy and plans for the Assistant Secretary of Defense for Asian and Pacific Security Affairs, lead of the Under Secretary's Human Capital Strategy Team, director of the Coalition Affairs office, director of the Afghanistan office, and service in the Strategy, Policy Planning, and Iranian Affairs offices. Mr. Kreul completed an assignment as a director in the National Security Council's defense policy and strategy directorate from 2009-2011 and attended the National Defense University's Industrial College of the Armed Forces from 2007-2008. Before coming to the Department of Defense, Mr. Kreul worked at the Department of State's Nonproliferation Bureau. While at State, he completed details to the U.S. Mission to NATO in Brussels in 2001 and to the Coalition Provisional Authority in Baghdad in 2003. Prior to joining the government, Mr. Kreul worked at the Center for Strategic and International Studies and the Association of the U.S. Army. He attended Georgetown University's School of Foreign Service as an undergrad and the London School of Economics for his masters.</t>
  </si>
  <si>
    <t>john.kreul@defense.gov</t>
  </si>
  <si>
    <t>Chief Operating Officer, Office of the Under Secretary of Defense (Policy)</t>
  </si>
  <si>
    <t>211195-36P</t>
  </si>
  <si>
    <t>JR Gibbens</t>
  </si>
  <si>
    <t>JR</t>
  </si>
  <si>
    <t>Gibbens</t>
  </si>
  <si>
    <t>Mr. JR Gibbens serves as Chief Investment Officer, Office of Strategic Capital, (OSC) at United States Department of Defense. Mr. Gibbens served as Chief Operating Officer and Chief Financial Officer at Trumbull Unmanned.</t>
  </si>
  <si>
    <t>jgibbens@defense.gov</t>
  </si>
  <si>
    <t>Chief Investment Officer, Office of Strategic Capital, (OSC)</t>
  </si>
  <si>
    <t>444683-89P</t>
  </si>
  <si>
    <t>Pete Hegseth</t>
  </si>
  <si>
    <t>Hegseth</t>
  </si>
  <si>
    <t>Mr. Pete Hegseth serves as Secretary of the United States Department of Defense. He was sworn in as the 29th Secretary of Defense on January 25, 2025. He was commissioned as an infantry officer in the U.S. Army National Guard following his graduation from Princeton University in 2003. During his military service, he participated in multiple active-duty deployments, including operations in Guantanamo Bay, Iraq, and Afghanistan.</t>
  </si>
  <si>
    <t>phegseth@defense.gov</t>
  </si>
  <si>
    <t>268448-59P</t>
  </si>
  <si>
    <t>Yasuhiro Sakamoto</t>
  </si>
  <si>
    <t>Yasuhiro</t>
  </si>
  <si>
    <t>Sakamoto</t>
  </si>
  <si>
    <t>United Venture Capital</t>
  </si>
  <si>
    <t>Mr. Yasuhiro Sakamoto serves as Chief Executive Officer at GK UNITED Venture Capital.</t>
  </si>
  <si>
    <t>sakamoto@united-vc.com</t>
  </si>
  <si>
    <t>5th Floor Echo Building</t>
  </si>
  <si>
    <t>2-20-9 Ryusen</t>
  </si>
  <si>
    <t>Taito-ku</t>
  </si>
  <si>
    <t>110-0012</t>
  </si>
  <si>
    <t>197202-79P</t>
  </si>
  <si>
    <t>Anthony Briggs</t>
  </si>
  <si>
    <t>Briggs</t>
  </si>
  <si>
    <t>University of Alberta</t>
  </si>
  <si>
    <t>Mr. Anthony Briggs serves as Executive Professor, Innovation and Entrepreneurship at University of Alberta. Tony holds a Doctor of Business Administration in Information Systems from Boston University's Graduate School of Management where he studied how some of the world's top technology entrepreneurs identify and develop breakthrough innovations. He has published in leading journals like Entrepreneurship Theory and Practice and Frontiers of Entrepreneurship Research. In 2014 he received the Donald and Margaret MacKenzie Undergraduate Distinguished Teaching Award.</t>
  </si>
  <si>
    <t>+1 (312) 840-7000</t>
  </si>
  <si>
    <t>tony.briggs@ualberta.ca</t>
  </si>
  <si>
    <t>116 Street and 85 Avenue</t>
  </si>
  <si>
    <t>T6G 2R3</t>
  </si>
  <si>
    <t>Executive Professor, Innovation and Entrepreneurship</t>
  </si>
  <si>
    <t>247423-06P</t>
  </si>
  <si>
    <t>Bill Flanagan JD</t>
  </si>
  <si>
    <t>Flanagan</t>
  </si>
  <si>
    <t>Mr. Bill Flanagan serves as President &amp; Vice-chancellor at University of Alberta. Mr. Flanagan also serves as an Ex Officio Member on all Board Committees. Mr. Flanagan holds a BA (English and Philosophy) from Carleton University, a JD from the University of Toronto, a DEA in International Economic Law from Université Paris I-Sorbonne, and an LLM from Columbia University. He joined the Faculty of Law at Queen's University in 1991 where he later served as dean from 2005 to 2019. During that time, he oversaw the establishment of the faculty's Ph.D. program, the founding of the Centre for Law in the Contemporary Workplace, a major expansion of the business law program, an online Undergraduate Certificate in Law Program, an online Graduate Diploma in Legal Services Management, and a forthcoming new online Graduate Diploma in Immigration and Citizenship Law.</t>
  </si>
  <si>
    <t>+1 (780) 492-3111</t>
  </si>
  <si>
    <t>bill.flanagan@ualberta.ca</t>
  </si>
  <si>
    <t>President &amp; Vice-chancellor</t>
  </si>
  <si>
    <t>45920-08P</t>
  </si>
  <si>
    <t>Brad Grier</t>
  </si>
  <si>
    <t>Grier</t>
  </si>
  <si>
    <t>Mr. Brad Grier serves as Communications Associate, VER Strategic Communications at University of Alberta. Previously, Mr. Grier served as a Creative at Apple. He served Empire Avenue as Director of Social Media &amp; Community Management.</t>
  </si>
  <si>
    <t>bgrier1@ualberta.ca</t>
  </si>
  <si>
    <t>Communications Associate, VER Strategic Communications</t>
  </si>
  <si>
    <t>309228-76P</t>
  </si>
  <si>
    <t>Faheem Khan Ph.D</t>
  </si>
  <si>
    <t>Dr. Faheem Khan serves as Executive at University of Alberta. Dr. Khan got PhD from the Technical University of Denmark (DTU) where hs research area was microfluidic resonators. He have developed novel designs of the microfluidic MEMS, their packaging and their instrumentation. He have been working with Prof Thomas Thundat for many years. Other than expertise in micro/nano sensors, He also design and develop analytical instrumentation. He have started a company Fourien Inc. which is goign to be rebranded as Life Analytical. Other than instrumentation, He is passionate about robotics. Therefore He started a company called Aro where the main focus will be the development of autonomous robotics.</t>
  </si>
  <si>
    <t>fkhan@ualberta.ca</t>
  </si>
  <si>
    <t>151067-62P</t>
  </si>
  <si>
    <t>Giovana Bianchi</t>
  </si>
  <si>
    <t>Giovana</t>
  </si>
  <si>
    <t>Ms. Giovana Bianchi serves as Director, Entreprise Partmerships at the University of Alberta.</t>
  </si>
  <si>
    <t>+1 (780) 492-4694</t>
  </si>
  <si>
    <t>giovana.bianchi@ualberta.ca</t>
  </si>
  <si>
    <t>Director, Entreprise Partnerships</t>
  </si>
  <si>
    <t>299394-73P</t>
  </si>
  <si>
    <t>Jonathan Schaeffer</t>
  </si>
  <si>
    <t>Schaeffer</t>
  </si>
  <si>
    <t>Mr. Jonathan Schaeffer serves as Professor at University of Alberta. He also serves as Board Advisor at TeejLab.</t>
  </si>
  <si>
    <t>16043651339</t>
  </si>
  <si>
    <t>jonathan@ualberta.ca</t>
  </si>
  <si>
    <t>158538-61P</t>
  </si>
  <si>
    <t>Joseph Doucet Ph.D</t>
  </si>
  <si>
    <t>Doucet</t>
  </si>
  <si>
    <t>Dr. Joseph Doucet serves as a Professor at the University of Alberta. He also serves as Vice Chairman at Emissions Reduction Alberta. He joined the School in 2000 and, from 2005, was the Enbridge Professor of Energy Policy. He has held faculty or visiting appointments at Université Laval, the University of Florida, and Université Montpellier (France). He earned his Ph.D. from the University of California, Berkeley. Under Dean Doucet's leadership, the Alberta School of Business continues to build on its globally recognized research excellence and outstanding learning environment while growing its impact in the areas of energy and the environment, entrepreneurship, and international business. The School's vision is "Leaders from Alberta for the World." Doucet's research interests are in the areas of energy and regulatory economics and policy. He regularly provides strategic advice to firms and governments in these areas. His research has appeared in journals such as the Journal of Regulatory Economics, the Canadian Journal of Economics, Energy Economics and The Energy Journal. He is a past President of the Canadian affiliate of the International Association for Energy Economics (IAEE). He is a member of the Editorial Board of the Journal of Regulatory Economics and, between 2000 and 2006, he was Editor of the journal Energy Studies Review.</t>
  </si>
  <si>
    <t>+1 (780) 492-7644</t>
  </si>
  <si>
    <t>jdoucet@ualberta.ca</t>
  </si>
  <si>
    <t>231979-69P</t>
  </si>
  <si>
    <t>Mark Huson</t>
  </si>
  <si>
    <t>Huson</t>
  </si>
  <si>
    <t>Mr. Mark Huson serves as Professor at the University of Alberta. He serves as Board Member at Pacylex Pharmaceuticals. He is a Professor of Finance and the Dianne and Irving Kipnes Chair in Finance and Development University of Alberta. Although he has been at the University of Alberta since 1993, he has also taught at the McCombs School of Business (UT Austin), and at the Richard Ivey School of Business (Western University). He has published papers in the Journal of Financial Economics, Journal of Finance, Journal of Corporate Finance, The Accounting Review, and The Journal of Operations Management. His work has been featured in the Wall Street Journal and Chief Executive magazine. His current research interests relate to the impact of intangible assets on firm policies and the markets' assessment of accounting information. He is a member of the Independent Review Committee for Canadian Western Bank's mutual funds. He has experience in Angel investing through his previous membership in the Central Texas Angel Network (CTAN) in Austin. In addition, he is actively involved in educating future entrepreneurs and investors in his role as the academic director overseeing Alberta School of Business' participation in Creative Destruction Lab-Rockies.</t>
  </si>
  <si>
    <t>+1 (780) 952-9859</t>
  </si>
  <si>
    <t>mhuson@ualberta.ca</t>
  </si>
  <si>
    <t>371298-16P</t>
  </si>
  <si>
    <t>Nate Glubbish</t>
  </si>
  <si>
    <t>Glubbish</t>
  </si>
  <si>
    <t>nate@ualberta.ca</t>
  </si>
  <si>
    <t>Minister of Technology and Innovation</t>
  </si>
  <si>
    <t>247423-87P</t>
  </si>
  <si>
    <t>Steven Dew Ph.D</t>
  </si>
  <si>
    <t>Dew</t>
  </si>
  <si>
    <t>Dr. Steven Dew serves as a Professor of Electrical &amp; Computer Engineering at the University of Alberta. Mr. Steven Dew is in his second term as provost and vice-president (academic) at the University of Alberta. An experienced administrator, and award-winning professor and researcher, he has been associate dean (research and planning) in the Faculty of Engineering since 1999, and a professor in electrical and computer engineering since completing his Ph.D. in electrical engineering at the U of A in 1992. He also holds BASc (1987) and MASc (1989) degrees in engineering physics from the University of British Columbia. With research expertise in nanofabrication, he has published more than 175 papers and is co-editor of Nanofabrication Techniques and Principles (2011). He is a recipient of the Killam Annual Professorship (2002), the McCalla Professorship (1998), and the Douglas R. Colton Medal for Research Excellence (1994). Steve is vice-chair of the national committee developing nanotechnology standards under the International Standards Organization.</t>
  </si>
  <si>
    <t>steven.dew@ualberta.ca</t>
  </si>
  <si>
    <t>Professor of Electrical &amp; Computer Engineering</t>
  </si>
  <si>
    <t>248767-39P</t>
  </si>
  <si>
    <t>Todd Gilchrist</t>
  </si>
  <si>
    <t>Gilchrist</t>
  </si>
  <si>
    <t>Mr. Todd Gilchrist serves as Vice President of University Services, Operations, and Finance at the University of Alberta. He also serves as Vice Chairman of the Board at Alberta Public Service Pension Plan. He also serves as a Member of the Governance &amp; Human Resources Committee. He is a skilled executive with more than 30 years of experience in the private, public, and not-for-profit sectors. In his most recent role as Vice President of People at Alberta Health Services, His diverse portfolio encompassed Human Resources, Workplace Health &amp; Safety, Protective Services, Legal &amp; Privacy, and Ethics &amp; Compliance. In addition, he currently serves as Board Director and Human Resources Committee Chair of the Chartered Professionals in Human Resources of Alberta (CPHR AB), Board Director with Habitat for Humanity Edmonton, and Vice-Chair of the Board of Directors with the Capital Region United Way. He is a graduate of the Rotman School of Management and the Institute of Corporate Directors (Directors Education Program). He is a graduate of the University of Alberta with a B.Sc. honours degree (applied mathematics in statistics) and is a certified director of the Institute of Corporate Directors.</t>
  </si>
  <si>
    <t>todd.gilchrist@ualberta.ca</t>
  </si>
  <si>
    <t>Vice President of University Services, Operations, and Finance &amp; Member of Audit and Risk, Finance and Property, Investment, and Human Resources and Compensation Committees</t>
  </si>
  <si>
    <t>148268-62P</t>
  </si>
  <si>
    <t>Verna Yiu MD</t>
  </si>
  <si>
    <t>Verna</t>
  </si>
  <si>
    <t>Dr. Verna Yiu serves as Provost &amp; Vice-President (Academic) at the University of Alberta. Dr. Yiu served as Chief Executive Officer at Alberta Health Services. Dr. Yiu has held numerous leadership roles in the Faculty of Medicine and Dentistry including Interim Dean (2011), Vice Dean (2008-2011), and Assistant Dean of Student Affairs (2000-2008). She is a proud U of A alumna, having completed her undergraduate degree, medical school, and residency at the U of A. She completed her fellowship in pediatric nephrology at Harvard University. For the past ten years, Dr. Yiu has held executive leadership roles at Alberta Health Services-Canada's largest province-wide healthcare system-serving first as executive vice-president and Chief Medical Officer (2012-2016), then as president and Chief Executive Officer of AHS (2016-2022). She holds an MD (Doctor of Medicine). She is a proud U of A alumna, having completed her undergraduate degree, medical school, and residency at the U of A. She completed her fellowship in pediatric nephrology at Harvard University.</t>
  </si>
  <si>
    <t>verna.yiu@ualberta.ca</t>
  </si>
  <si>
    <t>Provost and Vice-president (Academic), Member of the Board Human Resources and Compensation Committee, and Board Learning, Research and Student Experience Committee</t>
  </si>
  <si>
    <t>145741-87P</t>
  </si>
  <si>
    <t>Wilsun Xu Ph.D</t>
  </si>
  <si>
    <t>Wilsun</t>
  </si>
  <si>
    <t>Dr. Wilsun Xu serves as Research Chair Professor at University of Alberta. He received a Bachelor degree from Xian Jiaotong University, China, in 1982, a M.Sc. degree from the University of Saskatchewan, Canada, in 1985 and a Ph.D. from the University of British Columbia in 1989. He worked in BC Hydro, Canada, between 1989 and 1996 as an electrical engineer, and joined the University of Alberta in 1996.</t>
  </si>
  <si>
    <t>+1 (780) 492-5965</t>
  </si>
  <si>
    <t>wxu@ualberta.ca</t>
  </si>
  <si>
    <t>Research Chair Professor</t>
  </si>
  <si>
    <t>369330-94P</t>
  </si>
  <si>
    <t>Christopher Misra</t>
  </si>
  <si>
    <t>University of Massachusetts Amherst</t>
  </si>
  <si>
    <t>Mr. Christopher Misra serves as Vice Chancellor for Information Technology and Chief Information Officer at University of Massachusetts Amherst.</t>
  </si>
  <si>
    <t>+1 (413) 545-8000</t>
  </si>
  <si>
    <t>chris.misra@umass.edu</t>
  </si>
  <si>
    <t>Amherst</t>
  </si>
  <si>
    <t>Amherst, MA</t>
  </si>
  <si>
    <t>360 Campus Center Way</t>
  </si>
  <si>
    <t>01003-9248</t>
  </si>
  <si>
    <t>Vice Chancellor for Information Technology and Chief Information Officer</t>
  </si>
  <si>
    <t>376848-01P</t>
  </si>
  <si>
    <t>Lidya Early</t>
  </si>
  <si>
    <t>Lidya</t>
  </si>
  <si>
    <t>Early</t>
  </si>
  <si>
    <t>learly@umass.edu</t>
  </si>
  <si>
    <t>Executive Director of Government Relations and Springfield Partnerships</t>
  </si>
  <si>
    <t>392738-50P</t>
  </si>
  <si>
    <t>Sehri Nesheim</t>
  </si>
  <si>
    <t>Sehri</t>
  </si>
  <si>
    <t>Nesheim</t>
  </si>
  <si>
    <t>Ms. Sehri Nesheim serves as Vice Chancellor &amp; Chief Human Resources Officer at University of Massachusetts Amherst.</t>
  </si>
  <si>
    <t>snesheim@umass.edu</t>
  </si>
  <si>
    <t>Vice Chancellor &amp; Chief Human Resources Officer</t>
  </si>
  <si>
    <t>406564-75P</t>
  </si>
  <si>
    <t>Sheri Neshiem</t>
  </si>
  <si>
    <t>Sheri</t>
  </si>
  <si>
    <t>Neshiem</t>
  </si>
  <si>
    <t>Ms. Sheri Neshiem serves as Executive at University of Massachusetts Amherst.</t>
  </si>
  <si>
    <t>sneshiem@umass.edu</t>
  </si>
  <si>
    <t>216514-18P</t>
  </si>
  <si>
    <t>Jennifer Fraser</t>
  </si>
  <si>
    <t>University of Toronto</t>
  </si>
  <si>
    <t>Ms. Jennifer Fraser serves as Director, Innovations at University of Toronto.</t>
  </si>
  <si>
    <t>+1 (416) 946-5515</t>
  </si>
  <si>
    <t>j.fraser@utoronto.ca</t>
  </si>
  <si>
    <t>27 King's College Circle</t>
  </si>
  <si>
    <t>M5S 1A1</t>
  </si>
  <si>
    <t>Director, Innovations</t>
  </si>
  <si>
    <t>403122-79P</t>
  </si>
  <si>
    <t>Linda Johnston</t>
  </si>
  <si>
    <t>Ms. Linda Johnston serves as Vice President at University of Toronto.</t>
  </si>
  <si>
    <t>+1 (416) 978-2011</t>
  </si>
  <si>
    <t>linda.johnston@utoronto.ca</t>
  </si>
  <si>
    <t>440984-53P</t>
  </si>
  <si>
    <t>Melanie Woodin</t>
  </si>
  <si>
    <t>Woodin</t>
  </si>
  <si>
    <t>Ms. Melanie Woodin serves as President at University of Toronto.</t>
  </si>
  <si>
    <t>m.woodin@utoronto.ca</t>
  </si>
  <si>
    <t>239348-89P</t>
  </si>
  <si>
    <t>Aaron Marsh</t>
  </si>
  <si>
    <t>Unless</t>
  </si>
  <si>
    <t>Mr. Aaron Marsh serves as Chief Financial Officer at Unless. He serves as Board Member at Villa. He served as Chief Financial Officer and Chief Operating Officer at Signal Infrastructure Group. As the CFO and COO at Signal Infrastructure Group, he is responsible for financial strategy and overseeing all of the company's financial functions including accounting, audit, treasury, corporate finance, and investor relations. He also leads all human resources activities. Prior to joining SIG, he spent ten years working for two multi-billion-dollar investment funds. At Duquesne Capital, he was a Vice President in the Global Credit and Private Equity team, focusing on a range of investment strategies including private equity, value and event-driven public equity, distressed debt, and capital structure arbitrage across a variety of sectors including retail/consumer, coal/mining, automotive, chemicals, financials, infrastructure, media, transportation, real estate, and travel. Prior to Duquesne, he was a senior analyst in the global credit group at Amaranth Advisors. After Duquesne, he transitioned into education. Over the last three years as the Dean of Students at St. Paul's School, he focused on building a highly effective team to create an environment to prepare students to behave as ethical citizens in a diverse and changing global community. Prior to his role as the Dean of Students, he taught in the mathematics department, during which time he developed a three-term elective sequence for Investment Mathematics. He has been an Investment Committee member for New Hampshire's Endowment for Health, a member of the New Hampshire Charitable Foundation's Entrepreneurs Fund, and a member of the Finance Advisory Council for the VCU School of Business. He graduated from Williams College with a B.A. in both mathematics and economics.</t>
  </si>
  <si>
    <t>+1 (720) 663-1211</t>
  </si>
  <si>
    <t>aaron@unless.co</t>
  </si>
  <si>
    <t>1023 Walnut Street</t>
  </si>
  <si>
    <t>80302-5236</t>
  </si>
  <si>
    <t>147879-73P</t>
  </si>
  <si>
    <t>David Mindell Ph.D</t>
  </si>
  <si>
    <t>Mindell</t>
  </si>
  <si>
    <t>Dr. David Mindell is a Co-Founder &amp; serves as a Lead for the Unless Collective of Experts at Unless. He also serves as Board Member at Sustainment. He served as a Board Member at Xwing. He leads Unless's thought leadership across the platform, including the Unless Collective of Experts. He is a Co-Founder and serves as Executive Chairman at Humatics. He served as an Operating Partner at Blackhorn Ventures. He served as an MIT department head for five years. He is a Professor of Aeronautics and Astronautics and Dibner Professor of the History of Engineering and Manufacturing at the Massachusetts Institute of Technology. He has spent twenty-five years researching the myriad relationships between people and machines. He is an expert on robotic navigation and human interactions with autonomous systems in air, sea, and space. He has led or participated in more than 25 oceanographic expeditions, written six books, and is an inventor of nine patents in RF navigation, autonomous systems, and AI-assisted piloting. He also spent five years as a Department Head at MIT. He co-chairs MIT's Task Force on the Work of the Future, and is the author, with David Autor and Elizabeth Reynolds, of The Work of the Future: Building Better Jobs in an Age of Intelligent Machines (MIT Press, 2022). He is also the Founder and Executive Chair of Humatics Corporation, which develops technologies to transform how robots and autonomous systems work in human environments. With undergraduate degrees from Yale and a Ph.D. from MIT, he leads the Unless Collective of Experts to expand the firm's prepared mind and develop core theses on the evolution of the industry.</t>
  </si>
  <si>
    <t>david@unless.co</t>
  </si>
  <si>
    <t>Co-Founder &amp; Lead for the Unless Collective of Experts</t>
  </si>
  <si>
    <t>291969-55P</t>
  </si>
  <si>
    <t>Josh Blanchfield</t>
  </si>
  <si>
    <t>Blanchfield</t>
  </si>
  <si>
    <t>Chief Investment Officer &amp; Partner</t>
  </si>
  <si>
    <t>Mr. Josh Blanchfield serves as Partner &amp; Chief Investment Officer, Perpetual Alpha at Unless. He spent the last 14 years studying financial markets and helping some of the world's largest institutional investors engineer their portfolios. He spent 11 years at Bridgewater Associates in a variety of senior roles related to research, trading, and clients. He was responsible for Bridgewater's onshore China presence, spending three years living in China to establish offices in Beijing and Shanghai and playing a central role in designing China-specific investment strategies. He led asset allocation research for the firm's largest clients, including central banks and sovereign wealth funds. He was responsible for teaching and training investment staff of all levels. He also co-managed the trading desk during the 2008 Global Financial Crisis. He has a degree in Physics from Harvard University.</t>
  </si>
  <si>
    <t>josh@unless.co</t>
  </si>
  <si>
    <t>Partner &amp; Chief Investment Officer, Perpetual Alpha</t>
  </si>
  <si>
    <t>212414-23P</t>
  </si>
  <si>
    <t>Michael Polansky</t>
  </si>
  <si>
    <t>Polansky</t>
  </si>
  <si>
    <t>Mr. Michael Polansky is a Co-Founder and serves as a Managing Partner at Hawktail. He serves as Executive Advisor at Cove Hill Partners. He serves as Partner, Alpha Access at Unless. He serves as a Senior Advisor at 7GC &amp; Co. He is a Co-Founder and serves as Secretary and Treasurer of the Economic Innovation Group. He serves as Chief Executive Officer at the Parker Group. As Chief Executive Officer, his role is to build the business, organizational, or investment models to support Sean's vision of finding creative and novel solutions to challenges spanning a wide variety of areas across technology, life sciences, economic development, civic engagement, and public policy. Before joining the Parker Group, he was a Senior Investment Associate at Bridgewater and a Principal at Founders Fund, where he focused on consumer internet and emerging technology. He is a graduate of Harvard University with a degree in Applied Mathematics and Computer Science. He is a Co-Founder and serves as Chief Executive Officer and Chairman at Outer Biosciences.</t>
  </si>
  <si>
    <t>+1 (415) 644-8914</t>
  </si>
  <si>
    <t>mpolansky@hawktail.com</t>
  </si>
  <si>
    <t>314 Lytton Avenue</t>
  </si>
  <si>
    <t>Hawktail</t>
  </si>
  <si>
    <t>291969-91P</t>
  </si>
  <si>
    <t>Peter Joers</t>
  </si>
  <si>
    <t>Joers</t>
  </si>
  <si>
    <t>Mr. Peter Joers serves as Partner, Alpha Access at Unless. He has 30 years of experience investing in public and private markets as an advisor and principal. He co-founded a successful real estate business and an investment advisory, Greenline Partners, which he sold in 2019. Prior to co-founding Greenline, he was a Client Advisor at Bridgewater Associates, where he advised pension plans and endowments on portfolio construction. Before joining Bridgewater, he held senior executive roles at Bank of America and Montgomery Securities. He has a B.A. from the University of Washington and an MBA from Southern Methodist University.</t>
  </si>
  <si>
    <t>peter@unless.co</t>
  </si>
  <si>
    <t>Partner, Alpha Access</t>
  </si>
  <si>
    <t>94004-02P</t>
  </si>
  <si>
    <t>Trevor Zimmerman</t>
  </si>
  <si>
    <t>Mr. Trevor Zimmerman is a Co-Founder and serves as Managing Partner at Unless. He is the Co-Founder and serves as Managing Partner at Blackhorn Ventures. He serves as a Board Member at Humatics, Xwing, Sustainment, Wunder Capital, Vecna Robotics, and Rhumbix. He is an angel investor. He was also a Co-Founder and served as Managing Partner at Farmore Capital Group. Previously he was the Senior Engineer of Kurion. In addition to angel investing and venture capital, his professional experience ranges from developing materials for biomedical implants and designing high-performance batteries for the U.S. Navy to developing systems to hinder the migration of radionuclides in groundwater at the Y-12 National Security Complex. Before co-founding Blackhorn, he was the Managing Partner of Farmore Capital Group. Before co-founding FGC, he was the principal engineer in the Technology Development Division of a venture-backed startup company, Kurion, Inc. Here he was responsible for the development and early-stage maturation of technological solutions that support clean energy through waste separation and stabilization, primarily for radioactive wastewater treatment efforts at the Fukushima Daiichi Nuclear Power Plant. He serves on several for-profit and non-profit boards. He has lectured and/or published in the areas of venture capital, entrepreneurship, advanced materials, environmental engineering, and radiochemistry and holds a patent for making carbon nanopores and ductwork with nanometric walls. He studied management and entrepreneurship in the Executive Education program at the MIT Sloan School of Management, completed a post-graduate research appointment at Oak Ridge National Laboratory, and holds an M.S. in Environmental Engineering from Clemson University and a B.A. in Chemistry from Alfred University. He also serves as a Board Member at Panthalassa.</t>
  </si>
  <si>
    <t>trevor@unless.co</t>
  </si>
  <si>
    <t>32136-67P</t>
  </si>
  <si>
    <t>Trish Rogers JD</t>
  </si>
  <si>
    <t>Ms. Patricia Rogers serves as General Counsel and Chief Compliance Officer at Unless. She serves as Chief Operating Officer at Nucleus Emerging Markets Ventures. She served as Chairman of the Financial Institutions Group &amp; Attorney at Moye White. While there, she was Co-Chair of the firm's Financial Institutions Group. She has extensive experience representing private equity firms, family offices, angel investors, and commercial banks with both US and cross-border debt and equity investments. She has a passion for working with impact-focused entrepreneurs across industries. She also has in-depth experience with private capital funds and has assisted clients with fund formation, document preparation, tax, securities, and regulatory compliance issues. She represents domestic and international companies in the planning, implementation, and execution of tax planning strategies, mergers and acquisitions, joint ventures, and private equity/venture capital financings. She relies on her extensive business, financial, and legal knowledge to assist investment initiatives and in the negotiation and drafting of agreements to successfully resolve complex transaction issues and create profitable operational structures. With an extensive background in international tax and M&amp;A, she has helped many global companies establish operations in the U.S. and has also assisted U.S. multinational corporations with their overseas tax planning. She has in-depth experience with private capital funds and assists with fund formation, offering document preparation, tax, securities, and regulatory compliance issues. Thorough in approach, she believes that the best way to serve her clients is to understand their businesses from the inside out. She spends a great deal of time performing research and due diligence to understand industries, markets, and corporate structures to provide the most comprehensive legal consultation. Prior to joining Moye White, she was a partner at McKenna Long and Aldridge LLP. In addition, she spent eight years as an International Tax Consultant at KPMG and as the Vice President of Marketing for a healthcare privatization firm, gaining valuable business and tax experience.</t>
  </si>
  <si>
    <t>trish@unless.co</t>
  </si>
  <si>
    <t>+1 (303) 292-4510</t>
  </si>
  <si>
    <t>455523-31P</t>
  </si>
  <si>
    <t>Bobbie Armstrong</t>
  </si>
  <si>
    <t>Bobbie</t>
  </si>
  <si>
    <t>Uptake Alliance</t>
  </si>
  <si>
    <t>406541-89P</t>
  </si>
  <si>
    <t>Chris Richardson</t>
  </si>
  <si>
    <t>272110-06P</t>
  </si>
  <si>
    <t>Christiaan Leussink</t>
  </si>
  <si>
    <t>Leussink</t>
  </si>
  <si>
    <t>Urban Impact Ventures</t>
  </si>
  <si>
    <t>Mr. Christiaan Leussink serves as Partner, General Counsel at Urban Impact Ventures. He is currently also Head of Legal &amp; Compliance at ACTIAM. He has over 15 years of broad legal and compliance experience in various large international asset management organizations like NN Investment Partners, ACTIAM, PGGM, and the Dutch Treasury, in high tech firms like Philips International and NXP Semi-conductors as well as in strategic consultancy firm Deloitte. He holds an LL.M degree from VU Amsterdam and post-graduate degrees in Commercial Law and Securities Law from Radboud University in Nijmegen, as well as an Executive MA degree in Business Administration from ESSEC &amp; Mannheim Business School.</t>
  </si>
  <si>
    <t>cl@uiventures.com</t>
  </si>
  <si>
    <t>Hofplein 19 (lokatie 1.24)</t>
  </si>
  <si>
    <t>3032 AC</t>
  </si>
  <si>
    <t>Partner, General Counsel</t>
  </si>
  <si>
    <t>243180-64P</t>
  </si>
  <si>
    <t>Ellen van Bueren Ph.D</t>
  </si>
  <si>
    <t>van Bueren</t>
  </si>
  <si>
    <t>Dr. Ellen van Bueren serves as Advisor at Urban Impact Ventures. She is a professor of Urban Development Management at the Faculty of Architecture and the Built Environment at the Delft University of Technology and a Principal Investigator at the Amsterdam Institute for Advanced Metropolitan Solutions. In her research and teaching, she focuses on the governance challenges of today's urban areas. She is also Regional Associate Editor Europe for the International Journal 'Smart and Sustainable Built Environment' (SASBE). She started her career with Royal Haskoning in 1995 and joined the Delft University of Technology as a Researcher in 1997. She received an MA in Public Administration from Leiden University and was awarded Ph.D. in Sustainable Built Environment from the Delft University of Technology.</t>
  </si>
  <si>
    <t>Nederhoflaan 58</t>
  </si>
  <si>
    <t>2553 EW</t>
  </si>
  <si>
    <t>224761-60P</t>
  </si>
  <si>
    <t>Hans van Houwelingen</t>
  </si>
  <si>
    <t>van Houwelingen</t>
  </si>
  <si>
    <t>Mr. Hans van Houwelingen is the Founder &amp; serves as Managing Partner at Urban Impact Ventures. He also served as Director at Telelink Investments. Prior to founding Urban Impact Ventures, he was Chief Executive Officer of ACTIAM NV, a leading Sustainable and Impact asset manager with €65 billion of Assets under Management. He began his career in financial services in 1999 and since 2005 fulfilled various international executive and non-executive roles in the asset management, insurance, and technology industries, within respectively ING Group, NN Group, Telelink Holdings, Symbid, and VIVAT. At present, he holds non-executive director positions with Telelink Business Services and Aqua for All; he is a Mentor at Endeavor, the leading global high-impact entrepreneurship movement. He received an MS degree in Industrial Engineering and Management Science from the Eindhoven University of Technology and an Executive MA degree in Business Administration from INSEAD Business School, he is a Chartered Financial Analyst.</t>
  </si>
  <si>
    <t>hvh@uiventures.com</t>
  </si>
  <si>
    <t>6 Panorama Street</t>
  </si>
  <si>
    <t>1756</t>
  </si>
  <si>
    <t>152146-54P</t>
  </si>
  <si>
    <t>Hristo Valev</t>
  </si>
  <si>
    <t>Hristo</t>
  </si>
  <si>
    <t>Valev</t>
  </si>
  <si>
    <t>Mr. Hristo Valev serves as a Partner at Urban Impact Ventures. Prior to joining Urban Impact Ventures, he gained over 14 years of PE and VC experience in the CEE region, focused primarily on clean energy and technology. He was a member of the IC and an investment manager of a portfolio of wind and solar power assets with Advance Equity Holding, part of the leading Bulgarian non-banking financial group Karoll. He served as a Managing Director and CFO of Energy Invest and InterSol - investees of the PE/VC firm, while also being actively involved in the energy efficiency services company as an advisor. His input was instrumental in the realization of two successful exits, as well as a founder-led leveraged buyout. He started his financial sector career as a research analyst with Karoll Capital Management. He holds an MA degree in Economics from the Central European University in Budapest/Vienna. He is a Chartered Financial Analyst (CFA) and a Project Management Professional (PMP) certificate holder.</t>
  </si>
  <si>
    <t>+359 887 455 285</t>
  </si>
  <si>
    <t>hv@uiventures.com</t>
  </si>
  <si>
    <t>301795-03P</t>
  </si>
  <si>
    <t>Ivo Evgeniev</t>
  </si>
  <si>
    <t>Evgeniev</t>
  </si>
  <si>
    <t>Mr. Ivo Evgeniev serves as Venture Partner at Urban Impact Ventures. Mr. Evgeniev has over 20 years of private equity and entrepreneurial experience across various sectors, including technology, telecom, mobility, real estate development, renewable energy, and agriculture, as well as investment banking experience with Deutsche Bank and UBS. He holds an MBA degree from INSEAD and Master's degrees from the Technical University (Sofia) and the University for National and World Economy (Sofia).</t>
  </si>
  <si>
    <t>96949-18P</t>
  </si>
  <si>
    <t>Korstiaan Zandvliet</t>
  </si>
  <si>
    <t>Korstiaan</t>
  </si>
  <si>
    <t>Zandvliet</t>
  </si>
  <si>
    <t>Mr. Korstiaan Zandvliet serves as a Partner at Urban Impact Ventures. He serves as Board Member at Modeshift. Prior to joining Urban Impact Ventures, he was involved in several high-growth international start-ups and scale-ups as Independent Consultant, Strategic Advisor, and /or Investor. In 2011, he founded Symbid, one of the world's first equity crowdfunding platforms. In 2016, he was appointed as Reviewer Horizon 2020 on behalf of the European Commission. He is internationally recognized as an authority in the field of alternative finance, start-ups, strategic and entrepreneurial management; and is involved in various urban and social ventures. He received a BA degree in Sociology from Erasmus University Rotterdam and an MA degree in Entrepreneurship and New Business Venturing from Rotterdam School of Management / Erasmus University Rotterdam.</t>
  </si>
  <si>
    <t>+31 (0)62 423 3773</t>
  </si>
  <si>
    <t>kz@uiventures.com</t>
  </si>
  <si>
    <t>243179-83P</t>
  </si>
  <si>
    <t>Marina Niforos</t>
  </si>
  <si>
    <t>Niforos</t>
  </si>
  <si>
    <t>Ms. Marina Niforos is the Founder and serves as Principal at Logos Global Advisors. Ms. Niforos serves as Advisor at Urban Impact Ventures. She also serves as Chair of the Nominations Committee &amp; Non-Executive Member of the Board of Directors at Hellenic Holdings and Property Company. Ms. Niforos is a strategist and advisor to governments and business leaders on innovation, institutional relations, and public policy and the Founder of Logos Global Advisors. She is a Director at Seche Environment and of the Hellenic Corporation of Assets and Participations (HCAP). She is an Affiliate Professor at HEC Paris business school and a member of the EU Blockchain Observatory and Forum. She is the lead author of the IFC-World Bank report on Blockchain: Opportunities for Private Enterprises in Emerging Markets. EU Startups named her "one of five female leaders driving change in the European blockchain ecosystem". In 2012 she was appointed Commissioner to the US National Commission for UNESCO. She is co-founder/director of the European Network for Women in Leadership (WiL), and a Fellow at the European Centre for Law and the Economy of ESSEC Business School. She has served NED mandates with the Hellenic Corporation of Assets and Participations Management Board, the sovereign fund of the Hellenic Republic, Séché Environnement, a French publicly listed company, the European Network of Women in Leadership and the US National Commission for UNESCO, appointed in 2012 by Secretary of State H. Clinton. In the past, she served as CEO of the American Chamber of Commerce of France and as Director for the Diversity Center of Excellence at INSEAD. Previously she was with the World Bank Group for 5 years. She earned an IDP-C and an MBA from INSEAD, a master's in Government Administration from the University of Pennsylvania, and a Diploma in International Relations from SAIS-The Paul H. Nitze School of Advanced International Studies (Johns Hopkins University). She graduated Phi Beta Kappa from Cornell University, with a B.A. in Government and International Relations.</t>
  </si>
  <si>
    <t>marina.niforos@logosglobaladvisors.com</t>
  </si>
  <si>
    <t>6 rue Alberic Magnard</t>
  </si>
  <si>
    <t>75116</t>
  </si>
  <si>
    <t>Logos Global Advisors</t>
  </si>
  <si>
    <t>272109-88P</t>
  </si>
  <si>
    <t>Nadia Soultanova</t>
  </si>
  <si>
    <t>Soultanova</t>
  </si>
  <si>
    <t>Ms. Nadia Soultanova serves as Head of Urban Network and LP Support at Urban Impact Ventures. Prior to joining Urban Impact Ventures, she held various roles in urban innovation and digitalization. She was the Head of Investment and Business Development at the Sofia Investment Agency, the investment promotion arm of the Bulgarian capital city. In this role, she was responsible for branding Sofia as an innovation and entrepreneurial hub, building a network of partner cities and local stakeholders, as well as attracting high value-added investments. She was the city manager responsible for the creation and approval of the Strategy for Digital Transformation for the city of Sofia and a Director of Digitalization and Innovation at Sofia Municipality, where she was involved in innovative urban projects in the areas of citizen participation, e-services, open data, intelligent cities, human-centered e-service design, and data-driven policymaking. She holds an MBA from the American University in Bulgaria. She holds an MBA from the American University in Bulgaria and a BA from the University of New Orleans.</t>
  </si>
  <si>
    <t>+359896160104</t>
  </si>
  <si>
    <t>ns@uiventures.com</t>
  </si>
  <si>
    <t>Head of Urban Network and LP Support</t>
  </si>
  <si>
    <t>243181-45P</t>
  </si>
  <si>
    <t>Rafal Andrzejewski</t>
  </si>
  <si>
    <t>Rafal</t>
  </si>
  <si>
    <t>Andrzejewski</t>
  </si>
  <si>
    <t>Mr. Rafal Andrzejewski serves as Advisor at Urban Impact Ventures. Mr. Andrzejewski is the CEE Representative of Asian-based M&amp;A advisory firm TFC Capital and CEE Equity Partner for a Hong Kong Private Equity firm. Previously, he was Investment &amp; Private Equity Advisor for Bowline Capital Partners and Investment Director Poland for CEE Private Equity Partners. From 2004 to 2013 he was Managing Partner of AMROP Poland and headed their global Financial Services Practice Group. Before that, he was the President of Medical Tribune Publishing Company Poland and President of the Management Board of Polish Arka-Invesco Pension Fund. He started his career in the US in 1988 with Kimberly-Clark Corporation and later Avery International Corporation, followed by his appointment as General Manager Avery Dennison Poland. he received a BA in Business Administration from The Ohio State University, an MBA from the University of California, and an MA in Economics from the Economic University of Poznan.</t>
  </si>
  <si>
    <t>243184-24P</t>
  </si>
  <si>
    <t>Raymond de Kuiper</t>
  </si>
  <si>
    <t>de Kuiper</t>
  </si>
  <si>
    <t>Mr. Raymond de Kuiper serves as Advisor at Urban Impact Ventures. He was the Chief Investment Officer of ACTIAM NV until December 2019, a leading Sustainable and Impact asset manager with €65 billion of Assets under Management. He began his career in financial services in 1999. Until 2008 he fulfilled various international capital market roles with ABN Amro, JP Morgan, and Morgan Stanley. Until 2013 he fulfilled various financial risk management roles at Swiss Re, AON, Hewitt, and Deloitte. He joined ACTIAM in 2013 as Head of Client Advisory and was promoted to Chief Investment Officer in 2018. He holds a BA degree in Technical Management from Amsterdam University of Applied Sciences and an MA degree in Financial Management from Nyenrode Business University.</t>
  </si>
  <si>
    <t>224762-05P</t>
  </si>
  <si>
    <t>Rumen Trilev</t>
  </si>
  <si>
    <t>Rumen</t>
  </si>
  <si>
    <t>Trilev</t>
  </si>
  <si>
    <t>Mr. Rumen Trilev serves as Investments Associate at Urban Impact Ventures. Mr. Trilev also served as Chief Financial Analyst at Telelink Investments. Prior to joining Urban Impact Ventures, he was Chief Market Strategist at Telelink Bulgaria, a leading CEE digital transformation enabler with expertise in the development of wireless networks, system integration, and security and automation systems with an international network spanning 10 countries. He started his career as Data Processor at AC Nielsen. He joined Telelink Group in 2006 as Business Analyst within the Corporate M&amp;A team, executing the cross-border non-organic growth strategy. He holds a BA in Economics and an MA in Finance and Banking from the Faculty of Economics and Business Administration at Sofia University St. Kliment Ohridski and is certified under the "Consultants in European Project Management Certificate Program" by the Centre for European Programs at the American University in Bulgaria.</t>
  </si>
  <si>
    <t>+359 (0)2 970 4040</t>
  </si>
  <si>
    <t>rt@uiventures.com</t>
  </si>
  <si>
    <t>Investments Associate</t>
  </si>
  <si>
    <t>144499-51P</t>
  </si>
  <si>
    <t>Alexandre D'Ambrosio JD</t>
  </si>
  <si>
    <t>D'Ambrosio</t>
  </si>
  <si>
    <t>Vale (Multi-line Mining)</t>
  </si>
  <si>
    <t>Mr. Alexandre D'Ambrosio serves as Executive Vice President, Corporate and External Affairs at Vale. Alexandre S. D'Ambrosio has been with Vale since 2018 and holds the position of Corporate and External Affairs Executive Vice President. His responsibilities include the Legal, Taxation, Institutional Relations and Communications, as well as Corporate, Intellectual Property, Trade Compliance and Data Protection sectors of the company. He also works as Director of Vale Internacional S.A. From 2016 to 2018, he was the Executive Vice President of Banco Santander (Brasil) S.A. He was also a member of the board of directors of Santander Security Services Ltda ("S3"). From 2003 to 2016, he was the Corporate Legal Director of the Votorantim group. He was a board member of Aracruz Celulose S.A. (later Fibria S.A.) from 2004 to 2013, of Cimentos Itambé S.A. from 2006 to 2016, and of Citrosuco S.A. from 2009 to 2016. In the United States, where he remained from 1985 to 1996, he worked as an associate and partner in large law firms, in Washington, D.C. and New York, in the areas of international trade, mergers and acquisitions, project finance and cross-border finance. He obtained an LLB from the University of São Paulo Law School in 1984, an LLM from Harvard Law School in 1986, and the equivalent of a Juris Doctor degree from George Washington University's National Law Center in 1989.</t>
  </si>
  <si>
    <t>+55 21 3485 5000</t>
  </si>
  <si>
    <t>alexandre.dambrosio@vale.com</t>
  </si>
  <si>
    <t>Praia de Botafogo, 186</t>
  </si>
  <si>
    <t>Rooms 1801 to 2001</t>
  </si>
  <si>
    <t>22250-145</t>
  </si>
  <si>
    <t>Executive Vice President, Corporate and External Affairs</t>
  </si>
  <si>
    <t>235346-59P</t>
  </si>
  <si>
    <t>Carlos Henrique Senna Medeiros</t>
  </si>
  <si>
    <t>Carlos Henrique</t>
  </si>
  <si>
    <t>Senna Medeiros</t>
  </si>
  <si>
    <t>Mr. Carlos Henrique Senna Medeiros serves as Executive Vice President, Operations &amp; Chief Operating Officer at Vale. As Executive Vice President for Operations, he is responsible for managing Vale's mining, pellet production and logistics activities. He has extensive expertise in lean manufacturing, whose main goals are to optimize processes and continuously improve productivity, quality and therefore competitiveness. He is using this expertise to strengthen the safety and efficiency of Vale's operations. His appointment therefore reflects Vale's commitment to following the best globally recognized operational standards. He has an undergraduate degree in mechanical and aviation engineering from Brazil's Aeronautical Technology Institute and a master's in marketing from the Higher Education School of Advertising and Marketing (ESPM), also in Brazil. He has done the Senior Executive Program at Stanford University and a specialized course in manufacturing at Cranfield University.</t>
  </si>
  <si>
    <t>carlos.medeiros@vale.com</t>
  </si>
  <si>
    <t>Executive Vice President, Operations &amp; Chief Operating Officer</t>
  </si>
  <si>
    <t>424322-02P</t>
  </si>
  <si>
    <t>Catia Porto</t>
  </si>
  <si>
    <t>Catia</t>
  </si>
  <si>
    <t>Porto</t>
  </si>
  <si>
    <t>Ms. Catia Porto serves as Chief People Officer at Vale.</t>
  </si>
  <si>
    <t>catia.porto@vale.com</t>
  </si>
  <si>
    <t>236070-55P</t>
  </si>
  <si>
    <t>Denis Cuenca</t>
  </si>
  <si>
    <t>Cuenca</t>
  </si>
  <si>
    <t>Mr. Denis Cuenca serves as Chief Compliance Officer at Vale. Denis Cuenca has a solid career as an Internal Audit, Risk and Compliance executive. Denis has demonstrated systemic and innovative approach regarding control and prevention processes while yielding positive results and bringing recognition among its peers in the companies he worked. In his international experience, he conducted auditing and due-diligence works in Mexico, United States, Uruguay and Venezuela. Before joining Vale, he worked in companies such as Ultrapar, KPMG, Banco Itaú, Banco Real and Itautec. At Ultrapar, Mr Cuenca created a Corporate Governance framework considered innovative in Brazil, in which the Risk, Integrity and Audit areas work together. Since 2013, he has been a member of the Ultrapar Conduct Committee and served as Secretary of the Audit and Risk Committee and of the Fiscal Council at Ultrapar, being responsible for reporting on risk, compliance and audit matters. Between 2014 and 2017, Mr Cuenca also served as Corporate Governance Secretary of the Brazilian Institute of Corporate Governance (IBGC). He has a strong background in financial statements, tax routines, investments, due diligence, among others.</t>
  </si>
  <si>
    <t>denis.cuenca@vale.com</t>
  </si>
  <si>
    <t>402712-03P</t>
  </si>
  <si>
    <t>Emily Olson</t>
  </si>
  <si>
    <t>Ms. Emily Olson serves as Chief Sustainability and Corporate Affairs Officer at Vale. She serves as executive at Vale Base Metals. She has a degree in political science from Loyola University of Chicago and a master's degree in international strategy and diplomacy from the London School of Economics .</t>
  </si>
  <si>
    <t>emily.olsen@vale.com</t>
  </si>
  <si>
    <t>Chief Sustainability and Corporate Affairs Officer</t>
  </si>
  <si>
    <t>215466-94P</t>
  </si>
  <si>
    <t>Gustavo Pimenta</t>
  </si>
  <si>
    <t>Pimenta</t>
  </si>
  <si>
    <t>Mr. Gustavo Pimenta serves as Chief Financial Officer &amp; Executive Vice President, Finance and Investor Relations at Vale. He also serves as a Board Member at VLI Logística. He served as Executive Vice President and chief Financial Officer at AES. He was named AES' CFO in January 2019. As CFO, he is responsible for driving, tracking and reporting the company's financial performance as well as managing our outreach to investors. Prior to his current role, he served as Deputy CFO for AES. He previously held roles as CFO for AES' Mexico, Central America and the Caribbean Strategic Business Unit and as CFO at AES Brazil. Gustavo serves on the boards of IPALCO, AES Panama and EnerAB. Before joining AES, he was Vice President of Strategy and M&amp;A for Citigroup in London and New York after joining the bank in Brazil. He began his career at KPMG. He received a Bachelor's degree in Economics from Universidade Federal de Minas Gerais and a Master's degree in Economics and Finance from FundaÃ§Ã£o Getulio Vargas. He also participated in development programs in Finance, Strategy and Risk Management at New York University, University of Virginia's Darden School of Business and Georgetown University.</t>
  </si>
  <si>
    <t>gustavo.pimenta@vale.com</t>
  </si>
  <si>
    <t>Chief Executive Officer &amp; Executive Vice President, Finance and Investor Relations</t>
  </si>
  <si>
    <t>62798-68P</t>
  </si>
  <si>
    <t>Humberto Freitas</t>
  </si>
  <si>
    <t>Humberto</t>
  </si>
  <si>
    <t>Freitas</t>
  </si>
  <si>
    <t>Mr. Humberto Freitas serves as Director, Logistics Operations at Vale. Mr. Humberto Freitas served as Executive Director, Logistics and Mineral Exploration at Vale. He is the head of the Vale Technological Institute and Valia, a private pension fund for Vale employees. He has headed several other Vale departments, such as Logistics Operations, Ports and Shipping, Port and Shipping Operations and the Port Logistics Operations Department. Graduate in metallurgical engineering at Escola de Minas de Ouro Preto, Brazil, he also participated in the MIT Senior Leadership Program and the Executive Development Program at J.L. Kellogg, Northwestern University. He also completed the Management Course at the Association of Overseas Technical Scholarship in Japan.</t>
  </si>
  <si>
    <t>hfreitas@vale.com</t>
  </si>
  <si>
    <t>Director, Logistics Operations</t>
  </si>
  <si>
    <t>62798-95P</t>
  </si>
  <si>
    <t>José Martins</t>
  </si>
  <si>
    <t>Mr. José Martins serves as Administrator at Vale. He has been Ferrous and Strategy executive director since November 2011, and is also responsible for the Steelmaking department. He joined the company in 2004 and held positions such as Marketing, Sales and Strategy executive director. With more than 30 years' experience in the metal industry, he has been director and president of Aços Villares and director of Steelmaking at Companhia Siderúrgica Nacional (CSN). He graduated in economics at Pontifícia Universidade Católica (PUC) in São Paulo, Brazil.</t>
  </si>
  <si>
    <t>279631-18P</t>
  </si>
  <si>
    <t>Luciana Oliveti</t>
  </si>
  <si>
    <t>Oliveti</t>
  </si>
  <si>
    <t>Ms. Luciana Oliveti serves as General Manager, Investor Relations at Vale. She joined the IR team in 2019. Before that, she worked for 7 years at Vale in the areas of Corporate Communication, General Counsel, and Risk Management, in planning and management roles. Prior to joining Vale, she worked for Kroll Associates in Brazil for 8 years, as a senior director in Business Intelligence. She holds a Law degree from the Federal University of Rio de Janeiro (UFRJ), enrolled with the Brazilian Bar Association (OAB/RJ), with a specialization in financial management.</t>
  </si>
  <si>
    <t>luciana.oliveti@vale.com</t>
  </si>
  <si>
    <t>180906-67P</t>
  </si>
  <si>
    <t>Marcelo Bacci</t>
  </si>
  <si>
    <t>Marcelo</t>
  </si>
  <si>
    <t>Bacci</t>
  </si>
  <si>
    <t>Mr. Marcelo Bacci served as Chief Financial and Investor Relations Officer at Suzano Holding. He served as Chief Financial Officer, Executive Officer of Finance &amp; Investor Relations, and Member of the Management Board at Suzano. He is leading the following areas: Treasury, M&amp;A, Credit, Insurance, Investor Relations, Controllership, Shared Services Center, Tax, Financial Planning, Risk Management, and Compliance. He is also a board member at Veracel Celulose and an independent board member at BRF. He began his career at Unibanco in 1991, and later served as executive officer at Promon, as Vice-Chief Financial Officer at Louis Dreyfus Commodities, and as Vice-Chief Executive Officer at Suzano Holding. He also serves as Chairman of the Board of Ibema Papelcartão. He holds a B.A. in Public Administration from the Getúlio Vargas Foundation of São Paulo (FGVSP) and an MBA from Stanford University in California, and completed a non-degree program in Finance and Capital Markets at IBMEC São Paulo (today Insper).</t>
  </si>
  <si>
    <t>279632-44P</t>
  </si>
  <si>
    <t>Pedro Terra</t>
  </si>
  <si>
    <t>Mr. Pedro Terra serves as Investor Relations, Manager at Vale. He joined the IR team in 2019. Prior to that, he spent 2 years with Vale's Ferrous and Coal Marketing team developing shared value initiatives with steelmaking clients across the globe. Still at Vale, he worked for 4 years in the Global Strategy Department, co-responsible for delivering Vale's five-year strategic plan and providing strategic directions for business areas. He holds a degree in Economics from Universidade Federal do Rio de Janeiro (UFRJ).</t>
  </si>
  <si>
    <t>pedro.terra@vale.com</t>
  </si>
  <si>
    <t>Investor Relations, Manager</t>
  </si>
  <si>
    <t>229386-25P</t>
  </si>
  <si>
    <t>Tatiana Tauhata</t>
  </si>
  <si>
    <t>Tauhata</t>
  </si>
  <si>
    <t>Ms. Tatiana Tauhata serves as General Manager Business Development Megahub Project at Vale.</t>
  </si>
  <si>
    <t>tatiana.tauhata@vale.com</t>
  </si>
  <si>
    <t>General Manager Business Development Megahub Project</t>
  </si>
  <si>
    <t>165874-69P</t>
  </si>
  <si>
    <t>Grant Lawrence</t>
  </si>
  <si>
    <t>Valhalla Private Capital</t>
  </si>
  <si>
    <t>Mr. Grant Lawrence is the Co-Founder of Valhalla Private Capital. He also serves as a Board Partner at Startup Studio (VC). He has been over 24 years in the software industry with multiple start-ups and established companies.</t>
  </si>
  <si>
    <t>+1 (888) 406-9005</t>
  </si>
  <si>
    <t>glawrence@valhallaprivatecap.com</t>
  </si>
  <si>
    <t>150 9 Avenue Southwest</t>
  </si>
  <si>
    <t>Suite 2030</t>
  </si>
  <si>
    <t>T2P 3H9</t>
  </si>
  <si>
    <t>115814-89P</t>
  </si>
  <si>
    <t>R. Stewart Thompson</t>
  </si>
  <si>
    <t>R. Stewart</t>
  </si>
  <si>
    <t>Mr. R. Stewart Thompson is a Co-Founder and serves as Chairman and Chief Executive Officer at Valhalla Private Capital. He is a Co-Founder at Vario Ventures. He is an Angel Investor. He served as an advisor at Weave VC. He served as a Managing Partner at OKR Financial. He served as Director, Venture Capital Advisor, and Board Member at Acheson Mobile Investments. He also served as a director at TEC Edmonton. He served as an Executive Chairman at iTraumaCare.</t>
  </si>
  <si>
    <t>rthompson@valhallaprivatecap.com</t>
  </si>
  <si>
    <t>188127-55P</t>
  </si>
  <si>
    <t>Rod Brown</t>
  </si>
  <si>
    <t>Mr. Rod Brown is the Co-Founder of Valhalla Private Capital. He is also a Co-Founder at Vario Ventures. He served as Board Member at CMNGD Linens. He holds a degree in Business/Commerce, General from University of Calgary in 1992, and a BA in Business and Corporate Communications from Mount Royal College in 1995.</t>
  </si>
  <si>
    <t>rbrown@valhallaprivatecap.com</t>
  </si>
  <si>
    <t>364527-46P</t>
  </si>
  <si>
    <t>Scott Amis</t>
  </si>
  <si>
    <t>Amis</t>
  </si>
  <si>
    <t>Mr. Scott Amis serves as a Partner at Valhalla Private Capital.</t>
  </si>
  <si>
    <t>260878-51P</t>
  </si>
  <si>
    <t>Akshay Sriprasad</t>
  </si>
  <si>
    <t>Akshay</t>
  </si>
  <si>
    <t>Sriprasad</t>
  </si>
  <si>
    <t>Valley Ridge Capital</t>
  </si>
  <si>
    <t>Mr. Akshay Sriprasad is a Co-Founder and serves as Partner at Valley Ridge Capital. He is a Product Manager at Google, where he's focused on helping cities mitigate their climate impact through geospatial insights/analytics. He's dedicated his career to the development and commercialization of transformative frontier technologies, having supported business development/go-to-market efforts at X, The Moonshot Factory, led energy systems AI research projects as an NSF IGERT Fellow while at UT Austin, and consulted for the Austin Technology Incubator and Consejo Nacional de Ciencia y Tecnología (Mexico). Akshay loves engaging with product-obsessed founders who want to leave a positive mark through their work (like he does!) and enjoys morning meditation, long runs and surfing in Costa Rica every chance he gets. Akshay holds an MBA from Columbia Business School (where he graduated with Dean's Honors with Distinction), an M.S. in Chemical Engineering from The University of Texas at Austin and a B.S. (with Honors) in Chemical Engineering from The University of Arizona, where he received a full-ride merit scholarship.</t>
  </si>
  <si>
    <t>+1 (480) 522-0205</t>
  </si>
  <si>
    <t>akshay@valleyridgecapital.co</t>
  </si>
  <si>
    <t>260878-78P</t>
  </si>
  <si>
    <t>David DePalma</t>
  </si>
  <si>
    <t>DePalma</t>
  </si>
  <si>
    <t>Mr. David DePalma is a Co-Founder &amp; serves as Partner at Valley Ridge Capital. Mr. DePalma was a private equity investor at an aerospace, defense, and intelligence-focused $500mm family office, where he championed the funding and growth of mission-driven companies (e.g. in partnership with Blackstone Tactical Opportunities Fund.) In addition, David is a Techstars mentor, supporting founders and providing advice and network access.</t>
  </si>
  <si>
    <t>+1 (203) 858-9688</t>
  </si>
  <si>
    <t>david@valleyridgecapital.co</t>
  </si>
  <si>
    <t>340 Valley Road</t>
  </si>
  <si>
    <t>Unit 2, Cos Cob</t>
  </si>
  <si>
    <t>06807</t>
  </si>
  <si>
    <t>435486-25P</t>
  </si>
  <si>
    <t>Addison Bohannon</t>
  </si>
  <si>
    <t>Addison</t>
  </si>
  <si>
    <t>Bohannon</t>
  </si>
  <si>
    <t>Valor Equity Partners</t>
  </si>
  <si>
    <t>Dr. Addison Bohannon serves as Vice President, Data Scientist at Valor Equity Partners. Prior to joining Valor, he was a Senior Data Scientist at Gusto. Prior to Gusto, he worked in research, developing novel machine learning and signal processing algorithms for human-machine systems. His research work has been published in academic journals and presented at international conferences. He also previously served in leadership and operations roles as an infantry officer in the United States Army. He earned both a M.A. and Ph.D. in Applied Mathematics from the University of Maryland and a B.S. in Mathematics from the United States Military Academy.</t>
  </si>
  <si>
    <t>+1 (312) 683-1900</t>
  </si>
  <si>
    <t>abohannon@valorep.com</t>
  </si>
  <si>
    <t>320 North Sangamon Street</t>
  </si>
  <si>
    <t>+1 (312) 683-1881</t>
  </si>
  <si>
    <t>Vice President, Data Scientist</t>
  </si>
  <si>
    <t>261450-01P</t>
  </si>
  <si>
    <t>Alli Folk</t>
  </si>
  <si>
    <t>Alli</t>
  </si>
  <si>
    <t>Folk</t>
  </si>
  <si>
    <t>Ms. Alli Folk serves as a Principal at Valor Equity Partners. Ms. Folk serves as Board Member at Logiwa. She served as Board Observer at LesserEvil. Prior to joining Valor, she spent six years as a management consultant at Bain &amp; Company in the firm's San Francisco and Paris offices. At Bain, she developed deep expertise in private equity due diligence, growth strategy, and GTM strategy, with an industry focus on healthcare. Additionally, she has 25+ years of ballet training and has advised the executive teams at San Francisco Ballet, New York City Ballet, Boston Ballet, and Dance/USA on a range of strategy topics. She holds an MBA with honors from the Wharton School at the University of Pennsylvania, and a B.S. in Product Design from Stanford University, where she graduated Tau Beta Pi.</t>
  </si>
  <si>
    <t>afolk@valorep.com</t>
  </si>
  <si>
    <t>435490-30P</t>
  </si>
  <si>
    <t>Andy Dyer</t>
  </si>
  <si>
    <t>Mr. Andy Dyer serves as Vice President, Software Engineer at Valor Equity Partners. Prior to joining Valor, he worked at a Vista Equity Portfolio company, Dispatch.me. Before that he worked at Zoro.com, an eCommerce division of W.W. Grainger. He holds a B.A. in Political Science as well as a B.S. in Computer Science from Loyola University Chicago.</t>
  </si>
  <si>
    <t>adyer@valorep.com</t>
  </si>
  <si>
    <t>Vice President, Software Engineer</t>
  </si>
  <si>
    <t>377834-77P</t>
  </si>
  <si>
    <t>Anna Gurevich</t>
  </si>
  <si>
    <t>Gurevich</t>
  </si>
  <si>
    <t>Mr. Anna Gurevich serves as a Vice President at Valor Equity Partners. He joined Valor in 2023. Before joining Valor, he was a management consultant at Bain &amp; Company in the firm's New York and Seattle offices. At Bain, she worked on strategy and operational improvement projects across retail and manufacturing clients. She also spent time in Bain's customer loyalty start-up, NPS Prism, where she helped set up marketing, strategy, and talent management processes for the new business. He holds an MBA from the Stanford Graduate School of Business, where she graduated as an Arjay Miller Scholar, and a B.S. in Mechanical Engineering from Stanford University, where she graduated Phi Beta Kappa and Tau Beta Pi.</t>
  </si>
  <si>
    <t>agurevich@valorep.com</t>
  </si>
  <si>
    <t>216115-12P</t>
  </si>
  <si>
    <t>Anne Dean</t>
  </si>
  <si>
    <t>Ms. Anne Dean serves as Chief Financial Officer at Valor Equity Partners. Prior to joining Valor in 2019, she was a Director at Price Waterhouse Coopers in the assurance practice, serving asset management clients, including corporate advisors, hedge funds, fund of funds, and SEC-registered mutual funds. She has more than 12 years of audit experience. Her audit focus was in the financial services area working with clients ranging from Citadel, Grosvenor, and Columbia Acorn Management. She earned her Bachelor in Accountancy and Master in Accountancy from the University of Illinois Urbana-Champaign. She is a Certified Public Accountant licensed in Illinois.</t>
  </si>
  <si>
    <t>adean@valorep.com</t>
  </si>
  <si>
    <t>223996-69P</t>
  </si>
  <si>
    <t>Anni Ylagan</t>
  </si>
  <si>
    <t>Anni</t>
  </si>
  <si>
    <t>Ylagan</t>
  </si>
  <si>
    <t>Ms. Anni Ylagan serves as an Operating Partner at Valor Equity Partners. She also serves as a Board Member at Logiwa. She served as a Board Member at SoFresh. She serves as a Board member at Opopop. Prior to joining VSV, she worked at Starbucks Corporation within the retail operations and corporate strategy teams. Most recently she was responsible for re-engineering the supply chain for over 250 stores in New York City and developing the company's global strategic plan alongside the Chief Strategy Officer. She has also worked within the operations groups at The Engine (VC at MIT focused on early-stage technology companies ) and ZX Ventures (Corporate VC at Anheuser-Busch), as well as within the strategy group at Union Square Hospitality Group in New York City. Before that, she spent six years as a management consultant focused on transforming human capital practices at luxury retailers and managing the development of security software for US federal agencies. She earned a BBA in Management from George Washington University and an MBA from the Massachusetts Institute of Technology.</t>
  </si>
  <si>
    <t>aylagan@valorep.com</t>
  </si>
  <si>
    <t>14126-23P</t>
  </si>
  <si>
    <t>Antonio Gracias JD</t>
  </si>
  <si>
    <t>Gracias</t>
  </si>
  <si>
    <t>Mr. Antonio Gracias is the Founder and serves as Chief Executive Officer &amp; Chief Investment Officer at Valor Equity Partners. He serves as Board Member at Harmony Biosciences and Weka. He serves as Board Member at Crusoe Energy Systems. He serves as an Advisor at Square Roots. Previously, he served as Board Member at Harbor Platform. He served as Board Member at Sizzling Platter. He is also a Board Member of K Health, SpaceX, Cloud9 Esports and Bird. His duties include overall responsibility for the Firm's management, operations, and investing. He serves as a Board Member at Tesla Motors, Space Exploration Technologies, and Marathon Pharmaceuticals. These include but are not limited to human resources, management of the Firm's board, raising capital, limited partner communication, deal generation, investment selection, investment strategy, investment committee management, transaction structuring, and portfolio company management and improvement. He leads the company's investment teams in Astral Brands, Woods Restoration Holdings, and Tesla Motors. He has 15 years of experience investing in a variety of sectors including private equity, public equity, and real estate transactions. Prior to founding the firm in 2001, he served as Founder and Managing Member of MG Capital from 1995 through 2000. MG Capital was a private equity firm headquartered in Chicago, Illinois. As the lead transaction principal, he sourced investments in nine middle-market manufacturing companies where MG Capital played the role of lead equity sponsor. He also sourced three non-lead investments in a diverse set of industries.He served as the Chief Executive Officer of MG Capital's electronic connector holdings, Connector Service Corporation. He managed the company through growth from $10 million to $125 million in revenue before exiting the investment in 2001. In addition, he served as Chief Executive Officer of Industrial Powder Coatings, a $65 million revenue supplier to the auto parts and appliance sectors. Prior to MG Capital, He was an Associate with Goldman, Sachs in New York where he served the firm's institutional clients in the International Equity Division. He is a member of the Chicago 2016 Olympic Committee, a member of the Board of Directors of the Grand Victoria Foundation, a member of the Board of Trustees of the Illinois Institute of Technology, a member of The Economic Club of Chicago, and a Trustee of the Field Museum. He is also a member of several portfolio company boards including Tesla Motors and Premise. He holds a joint B.S. and M.S.F.S. (honors degree) in International Finance and Economics from the Georgetown University School of Foreign Service. He also studied corporate structures and economic development at Waseda University in Tokyo, Japan. Prior to completing his Master's, he returned to Japan as a Nikko Securities Fellow. He holds a J.D. from the University of Chicago Law School. He is fluent in Spanish, proficient in Portuguese, and has a working knowledge of Japanese. He also serves on the Board of Zenefits. He is on the Board of Directors at SolarCity. He is a Board Member at BitGo and Institutional Shareholder Services. He also served as Chairman of the Board of Directors at Intersect Illinois. He serves as Board Member at Addepar. He served as Board Member at Erisx and Hydrogen Health. He serves as Board Member at Base Power.</t>
  </si>
  <si>
    <t>agracias@valorep.com</t>
  </si>
  <si>
    <t>351181-72P</t>
  </si>
  <si>
    <t>Arthik Patel</t>
  </si>
  <si>
    <t>Arthik</t>
  </si>
  <si>
    <t>Mr. Arthik Patel serves as a Portfolio Analyst and investment at Valor Equity Partners. Before joining Valor, he worked at RSM in the Transactional Advisory Group. His work focused primarily on private equity buy- and sell-side transactions, and he supported all aspects of the financial due diligence process. Before RSM, he worked at Citadel full-time throughout his college education. His team at Citadel facilitated the market data management process and helped provide transparency on the firm's market data use and expenditures. He graduated from DePaul University in 2021 with a B.S. in Accounting and Real Estate. He is a registered certified public Accountant.</t>
  </si>
  <si>
    <t>+1 (773) 668-7347</t>
  </si>
  <si>
    <t>apatel@valorep.com</t>
  </si>
  <si>
    <t>Portfolio Analyst, Investment</t>
  </si>
  <si>
    <t>351180-46P</t>
  </si>
  <si>
    <t>Azim Djuraev</t>
  </si>
  <si>
    <t>Djuraev</t>
  </si>
  <si>
    <t>Mr. Azim Djuraev serves as an Investor at Valor Equity Partners. Prior to joining Valor, he worked at Boston Consulting Group, a leading global management consulting firm. At BCG, he primarily worked on market studies, due diligence, and portfolio growth strategy projects for private equity clients. He also previously worked at Oliver Wyman, where his experience spanned private equity and consumer retail clients. He earned a B.A. in Computer Science and a concentration in Economics from Columbia University in New York, New York.</t>
  </si>
  <si>
    <t>adjuraev@valorep.com</t>
  </si>
  <si>
    <t>435491-02P</t>
  </si>
  <si>
    <t>Boyd Estes</t>
  </si>
  <si>
    <t>Mr. Boyd Estes serves as Senior Finance Associate at Valor Equity Partners. Prior to joining Valor, Boyd was a senior audit associate at KPMG. He holds a Bachelor of Science in Accountancy and a Master of Accounting Science from the University of Illinois. He is a registered Certified Public Accountant.</t>
  </si>
  <si>
    <t>bestes@valorep.com</t>
  </si>
  <si>
    <t>Senior Finance Associate</t>
  </si>
  <si>
    <t>15979-06P</t>
  </si>
  <si>
    <t>Bradley Sheftel</t>
  </si>
  <si>
    <t>Sheftel</t>
  </si>
  <si>
    <t>Mr. Bradley Sheftel serves as a Partner at Valor Equity Partners. His responsibilities include investment structuring and execution, due diligence of potential acquisitions, industry research and analysis, and providing supplemental or interim portfolio company support. Prior to joining Valor, he worked at J.P. Morgan Securities in its New York-based Syndicated &amp; Leveraged Finance Group, providing LBO financing for various leveraged buyout firms, as well as structuring and originating high yield bond and leveraged loan transactions for corporate clients, including Polypore, National Mentor, Land O'Lakes, and HCA. He currently serves on the Corporate Relations Board of Changing Worlds, an educational arts nonprofit organization. He received a B.A. in Political Science (summa cum laude) from Tulane University, graduating Phi Beta Kappa and as a member of the William Wallace Peery Society (Tulane College's top 15 graduating seniors). He has studied abroad in Seville, Spain, and at the College of Arts &amp; Letters in Havana, Cuba.</t>
  </si>
  <si>
    <t>bsheftel@valorep.com</t>
  </si>
  <si>
    <t>15979-96P</t>
  </si>
  <si>
    <t>Bruce John</t>
  </si>
  <si>
    <t>Mr. Bruce serves as Senior Director, Operations Team at Valor Equity Partners. He is responsible for providing project management, technical consulting, and support for consolidation and operational improvement projects at Valor portfolio companies. He has 26 years of experience in operating systems, quality systems, and project management. Prior to joining the Valor Operations Group full-time in 2006, Mr. Johns operated a private consulting business and frequently provided consulting services to Valor portfolio companies. He specializes in quality systems implementation (having completed numerous ISO and QS 9000 registrations), lean improvements, visual operating systems, multimedia development, and employee training processes. Prior to private consulting, he fulfilled positions as Director of Quality and Special Projects Consultant for Connector Service Corporation from 1997 through 2003 where he was responsible for quality and process improvements in plants in the United States, Mexico, and Ireland. While at Connector Service Corporation, he reported to Timothy Watkins and Antonio Gracias. He has performed management of quality in industries of stamping, molding, plating, assembly, tool design &amp; build, printing, powder / electro-coating, cordage, and signage. Prior to joining the industry, he was a staff member of the Waubonsee Community College Transportation Technology Department where he served as an instructor of automotive and motorcycle service technology. During this five-year tenure, he also co-authored a textbook for the Goodheart-Willcox Company. The text is currently in its 3rd revision. He was formerly a Crew Chief in a jet fighter squadron of the United States Air Force where he maintained and repaired single-engine jet fighters, F-100s, and F4 Phantoms during one tour of duty in Thailand and two tours of duty in Vietnam. During his military career, he completed tech school with top honors and achieved numerous certifications, rising to the rank of Senior Trainer. His military service culminated in the Strategic Air Command, where he worked on the Lockheed U2. He holds an Associate of Arts degree from Elgin Community College and has completed additional course study at National Louis University, Eastern Michigan University, and Northern Illinois University.</t>
  </si>
  <si>
    <t>bjohns@valorep.com</t>
  </si>
  <si>
    <t>Senior Director, Operations Team</t>
  </si>
  <si>
    <t>435492-46P</t>
  </si>
  <si>
    <t>Carlos Fernandez</t>
  </si>
  <si>
    <t>Mr. Carlos Fernandez serves as Director at Valor Equity Partners. He holds a M.A. in International Relations from The American University, and B.A. in Political Science and International Relations from Rollins College.</t>
  </si>
  <si>
    <t>cfernandez@valorep.com</t>
  </si>
  <si>
    <t>435493-63P</t>
  </si>
  <si>
    <t>Carly Owens</t>
  </si>
  <si>
    <t>Ms. Carly Owens serves as Senior Finance Associate at Valor Equity Partners. Prior to joining Valor, Carly was a Tax Associate at PricewaterhouseCoopers. She earned her Bachelor of Science in Accountancy from the University of Illinois Urbana-Champaign. She is a registered Certified Public Accountant in Illinois.</t>
  </si>
  <si>
    <t>cowens@valorep.com</t>
  </si>
  <si>
    <t>216118-00P</t>
  </si>
  <si>
    <t>Casey Chory</t>
  </si>
  <si>
    <t>Chory</t>
  </si>
  <si>
    <t>Ms. Casey Chory serves as Senior Director of Finance Team at Valor Equity Partners. She joined Valor in 2019 and works as a Director of Finance. Prior to joining, she was a Manager at PricewaterhouseCoopers serving financial services clients including private equity, hedge, and mutual funds within the Chicago, Boston, and Luxembourg offices. She graduated from Providence College with a B.S. in Accountancy. She is a registered Certified Public Accountant.</t>
  </si>
  <si>
    <t>cchory@valorep.com</t>
  </si>
  <si>
    <t>Senior Director of Finance Team</t>
  </si>
  <si>
    <t>343296-28P</t>
  </si>
  <si>
    <t>Cassie Peterson JD</t>
  </si>
  <si>
    <t>Ms. Cassie Peterson serves as Chief Compliance Officer at Valor Equity Partners. She joined Valor in 2023. Before joining Valor, She spent over 15 years in the alternative asset management industry responsible for all compliance-related matters. Most recently, she was the Deputy Chief Compliance Officer at Elementum Advisors, LLC. Before that, she was a Senior Compliance Officer at Magnetar Financial LLC, both SEC-registered investment advisors. She began her career at CBOE as an Investigator. She earned a B.S. in Finance and International Business from The University of Colorado Denver and a J.D. from the University of Denver Sturm College of Law.</t>
  </si>
  <si>
    <t>cpeterson@valorep.com</t>
  </si>
  <si>
    <t>264073-87P</t>
  </si>
  <si>
    <t>Chandler Foster</t>
  </si>
  <si>
    <t>Chandler</t>
  </si>
  <si>
    <t>Mr. Chandler Foster serves as Principal at Valor Equity Partners. He joined Valor Siren Ventures as a Director in 2021. Prior to joining Valor, he worked at Starbucks for six years in many different capacities. Most recently, He was on an expat assignment in London supporting their licensee managing directors in EMEA to drive strategic and sustainable growth throughout the region. Prior to London, he completed a two-year leadership rotational program followed by strategy and finance work driving the Roastery &amp; Reserve flagship retail business. He earned his BBA in Business Management from the Foster School of Business at the University of Washington graduating Phi Beta Kappa and Cum Laude.</t>
  </si>
  <si>
    <t>cfoster@valorep.com</t>
  </si>
  <si>
    <t>435494-62P</t>
  </si>
  <si>
    <t>Christian Luciano</t>
  </si>
  <si>
    <t>Mr. Christian Luciano serves as Senior Associate, Software Engineer at Valor Equity Partners. He holds a B.S. in Computer Science from Northwestern University.</t>
  </si>
  <si>
    <t>cluciano@valorep.com</t>
  </si>
  <si>
    <t>Senior Associate, Software Engineer</t>
  </si>
  <si>
    <t>435496-78P</t>
  </si>
  <si>
    <t>Christopher Hermenitt</t>
  </si>
  <si>
    <t>Hermenitt</t>
  </si>
  <si>
    <t>Mr. Christopher Hermenitt serves as Senior Director at Valor Equity Partners. Prior to joining Valor he held various Quality Management roles across a 25 year manufacturing career. His experience spans industries such as defense (Anduril), chemicals (Henkel/Loctite), and automotive (Tenneco). He is a Senior Member of the American Society for Quality (ASQ), an ASQ Certified Manager of Quality/Organizational Excellence, an ASQ Certified Quality Auditor, a Practitioner in the Chartered Quality Institute (CQI), and a member of the Regulatory Affairs Professionals Society (RAPS). He is a voting member of the United States Technical Advisory Groups to ISO/TC 176 and ISO/PC 302, the teams that write QMS standards like ISO 9001 and ISO 19011. He has lectured on Quality Management in a variety of venues, including Arizona State University and the East China University of Science and Technology. He earned an M.S. in Engineering Management and a Graduate Certificate in Quality Management from Eastern Michigan University, where he graduated Phi Kappa Phi. He has a B.A. in Management and Organizational Development from Spring Arbor University.</t>
  </si>
  <si>
    <t>chermenitt@valorep.com</t>
  </si>
  <si>
    <t>39916-27P</t>
  </si>
  <si>
    <t>Mr. Christopher Murphy serves as Partner at Valor Equity Partners. He is responsible for the implementation of the balanced scorecard program and Valor's portfolio companies and supports business planning and portfolio strategy development and deployment. He also leads the internal and external research efforts for new investment ideas and due diligence. He is an economist with more than fifteen years of experience in leading strategy, business, and market research and analysis initiatives across a range of companies and industries. He joined Valor from Pipal Research Corporation, Chicago-based business research, and analytics firm. As part of the founding team of Pipal Research, he lead the development of the company's overall research capabilities and infrastructure and was instrumental in growing the company's Corporate and Professional Services business segments until the company was sold to a unit of Standard &amp; Poor's in 2010. He was formerly with McKinsey &amp; Company. During his more than five years with McKinsey, he led teams in North America to deliver high-quality, value-added research services and directed global knowledge management and training initiatives. Prior to joining McKinsey &amp; Company, he held management and analyst positions with Moore Corporation (now part of RR Donnelley) and Kohler Company, where he was actively involved in providing market analysis and planning, market research, competitive intelligence, and forecasting. He also worked with the U.S. Department of Defense in Washington, DC. He earned a Master of Management Degree with Distinction from the J.L. Kellogg School of Management at Northwestern University, graduating Beta Gamma Sigma. He holds an Honors Bachelor of Arts Degree in Economics and Political Science, magna cum laude, from Marquette University, graduating Phi Beta Kappa. He also holds a Master of Arts Degree in Applied Economics, with a specialization in Financial Economics, from Marquette University. Mr. Murphy currently serves on the Economics Alumni Advisory Board at Marquette University as Treasurer and has served on the board of St. Joseph School (Wilmette, IL).</t>
  </si>
  <si>
    <t>+1 (312) 568-4763</t>
  </si>
  <si>
    <t>cmurphy@valorep.com</t>
  </si>
  <si>
    <t>435501-46P</t>
  </si>
  <si>
    <t>Cindy Cho</t>
  </si>
  <si>
    <t>Ms. Cindy Cho serves as Associate General Counsel at Valor Equity Partners. Prior to joining Valor, she worked at the law firms of White &amp; Case and Perkins Coie. She holds a Bachelor of Commerce from the University of Toronto and a J.D. from Northwestern University Pritzker School of Law.</t>
  </si>
  <si>
    <t>ccho@valorep.com</t>
  </si>
  <si>
    <t>435502-18P</t>
  </si>
  <si>
    <t>Claire Soukup</t>
  </si>
  <si>
    <t>Soukup</t>
  </si>
  <si>
    <t>Ms. Claire Soukup serves as Corporate Controller at Valor Equity Partners. Prior to joining Valor, she was a Controller at David Capital Partners. Prior to David Capital, she worked in public accounting for Ernst &amp; Young. She earned a B.S in Accounting from Miami University and an M.A. in Accounting from Bowling Green State University. She is a Certified Public Accountant licensed in Illinois.</t>
  </si>
  <si>
    <t>csoukup@valorep.com</t>
  </si>
  <si>
    <t>207145-09P</t>
  </si>
  <si>
    <t>Constantine Saab</t>
  </si>
  <si>
    <t>Constantine</t>
  </si>
  <si>
    <t>Mr. Constantine Saab serves as a Senior Advisor at Valor Equity Partners. He serves as an Advisor at Vatn Systems. He served as a Board Member at Redacted. He serves as a Board Member at HackerOne. He served as a Board Member at LMI Government Consulting. He serves as an Advisor and Board Member at Cyber Reliant, Spectrohm. He also serves as a Board Member at Strider Technologies. He served as a Board Member at Anno.Ai. He supports the firm's capital raise and client service functions, as well as the sourcing, tracking, and underwriting of potential investment opportunities. He first joined Valor as an Executive in Residence (EIR) in 2019 and became a Managing Director in 2020. He is based in the Washington D.C. area. Until November 2018, he held numerous leadership positions at the Central Intelligence Agency (CIA), including Chief Strategy Officer (CSO), member of the CIA's corporate board, Acting Assistant Director, and other senior executive positions. Prior to joining the CIA in early 2001, he was a consultant and entrepreneur in the management consulting and technology space. He is a graduate of the Harvard Business School Advanced Management Program, earned a Master of Science from Virginia Tech in Systems Engineering (Management Systems), and a Bachelor of Science from the University of Virginia in Electrical Engineering. He is fluent in French, proficient in Arabic and Spanish, and has extensive experience working in Northern Africa, Europe, the Middle East, and South America. He is a non-resident senior fellow at the Atlantic Council and serves on several boards, where he contributes his background in strategy, innovation, and technology, with a particular focus on cybersecurity and artificial intelligence.</t>
  </si>
  <si>
    <t>csaab@valorep.com</t>
  </si>
  <si>
    <t>430795-00P</t>
  </si>
  <si>
    <t>Daniel Mortazavi</t>
  </si>
  <si>
    <t>Mortazavi</t>
  </si>
  <si>
    <t>Mr. Daniel Mortazavi serves as Managing Director, Investor Relations at Valor Equity Partners. He brings over 18 years of experience in the private markets and wealth management industries. Prior to joining Valor, he was the Co-Head of Private Wealth Distribution at Sera Global, a private markets advisory firm. He led numerous campaigns in the wirehouse, private bank, and RIA channels. Prior to Sera Global, He spent 15 years at Morgan Stanley where he held various leadership positions, most recently as the Head of the Private Equity, Credit, and Direct Investment platforms within the Wealth Management division. Previous roles at Morgan Stanley included Strategy and Client Relationship Management. He earned a B.A. in Political Science from Loyola University Maryland and is a CFA Charterholder.</t>
  </si>
  <si>
    <t>dmortazavi@valorep.com</t>
  </si>
  <si>
    <t>575 Broadway</t>
  </si>
  <si>
    <t>296846-29P</t>
  </si>
  <si>
    <t>David Cwiertnia</t>
  </si>
  <si>
    <t>Cwiertnia</t>
  </si>
  <si>
    <t>Mr. David Cwiertnia serves as Chief Financial Officer at Spark Pediatrics. He serves as Director at Valor Equity Partners. He served as Chief Financial Officer at Family Home Health Services. He has been the Chief Financial Officer of Spark Pediatrics since January 2020. He has over 25 years of finance and operations experience in the healthcare sector across multiple service lines. His patient-centric vision is born from his experience in hospice care settings, creating and running a not-for-profit foundation for hospice patients. He also has experience working in skilled nursing facilities, pediatric and adult home health, durable medical equipment, and nurse practitioner practices. His strengths include a passion for pediatrics, acquisition analysis and integration, de novo startups, creating finance operations teams, and building an environment of data-driven results. He has a B.S in Accounting from Arkansas State University and a B.A. in Criminal Justice from University of Arkansas Little Rock.</t>
  </si>
  <si>
    <t>+1 (786) 522-9600</t>
  </si>
  <si>
    <t>davidc@sparkpediatrics.com</t>
  </si>
  <si>
    <t>735 North West</t>
  </si>
  <si>
    <t>22nd Avenue</t>
  </si>
  <si>
    <t>33125</t>
  </si>
  <si>
    <t>Spark Pediatrics</t>
  </si>
  <si>
    <t>15979-33P</t>
  </si>
  <si>
    <t>David Heskett</t>
  </si>
  <si>
    <t>Heskett</t>
  </si>
  <si>
    <t>Mr. David Heskett serves as Operating Partner Operations Group at Valor Equity Partners. Mr. Heskett has 6 years of experience in private equity investing. As Vice President, Mr. Heskett's responsibilities include financial modeling and due diligence of potential acquisitions, industry research, and providing supplemental or interim portfolio company management. Mr. Heskett recently served as the interim CFO for Smith Gas Field Services. Prior to becoming a Vice President, Mr. Heskett was an Associate at Valor providing analytical and transactional support for the portfolio companies. Prior to joining Valor, Mr. Heskett worked at Fermi National Accelerator Laboratory, as a research analyst, on a project to update one of two primary particle collision detectors located on the Tevatron, a particle accelerator located in Batavia, Illinois. Mr. Heskett also served as a research assistant in the Plasma Physics Group at the University of Montana conducting optimization algorithms for Oak Ridge National Laboratory, funded by a University grant from the Department of Energy. Mr. Heskett received a B.A. in Physics and Applied Mathematics (magna cum laude) from University of Montana. He is currently sitting for the CFA Level II exam. Mr. Heskett is a sponsor and mentor at Link Unlimited; a not-for-profit organization that provides educational college preparatory opportunities for economically disadvantaged high school youth.</t>
  </si>
  <si>
    <t>dheskett@valorep.com</t>
  </si>
  <si>
    <t>Operating Partner Operations Group</t>
  </si>
  <si>
    <t>351178-48P</t>
  </si>
  <si>
    <t>Drew Tomback</t>
  </si>
  <si>
    <t>Tomback</t>
  </si>
  <si>
    <t>Mr. Drew Tomback serves as a Senior Associate at Valor Equity Partners. Prior to Valor, he worked in the Investment Banking Division at Credit Suisse, where he focused on healthcare-related equity and debt offerings, as well as M&amp;A transactions. He also co-founded a consumer fintech company and is a published scientific author. He received a B.A. in History from Yale University and graduated with honors and distinction in his major.</t>
  </si>
  <si>
    <t>dtomback@valorep.com</t>
  </si>
  <si>
    <t>321327-01P</t>
  </si>
  <si>
    <t>Eashani Malhotra</t>
  </si>
  <si>
    <t>Eashani</t>
  </si>
  <si>
    <t>Malhotra</t>
  </si>
  <si>
    <t>Analyst &amp; Investor Relations</t>
  </si>
  <si>
    <t>Ms. Eashani Malhotra serves as an Investor Relations Analyst at Valor Equity Partners. She served as Client Servicing Analyst, Investor Relations at Ardian.</t>
  </si>
  <si>
    <t>+1 (212) 641-8629</t>
  </si>
  <si>
    <t>emalhotra@valorep.com</t>
  </si>
  <si>
    <t>435518-20P</t>
  </si>
  <si>
    <t>Eli List</t>
  </si>
  <si>
    <t>Mr. Eli List serves as Analyst at Valor Equity Partners. Prior to joining Valor full-time, he interned with Valor. He also previously interned with an economics-based consulting firm called Compass Lexecon. He holds a B. A. in Economics from the University of California-Los Angeles (UCLA).</t>
  </si>
  <si>
    <t>elist@valorep.com</t>
  </si>
  <si>
    <t>430832-71P</t>
  </si>
  <si>
    <t>Eric Karpas</t>
  </si>
  <si>
    <t>Karpas</t>
  </si>
  <si>
    <t>Mr. Eric Karpas serves as Vice President at Valor Equity Partners. Prior to joining Valor, He spent his career building and scaling customer experience teams at growth-stage technology companies. He was the first Customer Success Manager at Addepar, and over the course of six and a half years led Addepar's Customer Education, Support, and Relationship Management teams. Most recently, He worked at Bolt, where he led customer-focused teams including Professional Services, Customer Support, Risk Operations, Technical Account Management, and Customer Education. He earned his Bachelor of Science degree in Earth Systems from Stanford University.</t>
  </si>
  <si>
    <t>ekarpas@valorep.com</t>
  </si>
  <si>
    <t>174001-42P</t>
  </si>
  <si>
    <t>Erik Kinning</t>
  </si>
  <si>
    <t>Kinning</t>
  </si>
  <si>
    <t>Mr. Erik Kinning serves as Senior Director at Valor Equity Partners. He joined Valor in 2017 and serves as a Director in Valor's operations group. Prior to joining Valor, he served as a Quality &amp; Operations Consultant with KickStage Consulting. Prior to that, he was a Lean Manager - Division Supply Chain with Parker Hannifin. He formerly spent more than nine years with General Electric serving as an Operations Leader, Lean Leader, and Quality leader across a number of business units, including GE Aviation, GE Hitachi Nuclear Energy, and GE Power &amp; Water. He is pursuing his M.S. in Lean Manufacturing from Kettering University in Flint, Michigan. He completed his B.S. in Mechanical Engineering from the University of Michigan. He also received his A.A. in Fire Science from Bellevue College in Bellevue, Washington. He holds a Lean Six Sigma Master Black Belt certification.</t>
  </si>
  <si>
    <t>ekinning@valorep.com</t>
  </si>
  <si>
    <t>449002-00P</t>
  </si>
  <si>
    <t>Ethan Dincer</t>
  </si>
  <si>
    <t>Mr. Ethan Dincer serves as Analyst at Valor Equity Partners. Prior to joining Valor, he interned at Jadwa Investment and was a consultant for Global SWF. He also worked as an independent analyst on geopolitics and business risks in the Middle East region. He holds an MSc with distinction in International Political Economy from the London School of Economics and a BA in American Studies and Political Science from Williams College.</t>
  </si>
  <si>
    <t>edincer@valorep.com</t>
  </si>
  <si>
    <t>65483-29P</t>
  </si>
  <si>
    <t>Evan Jaysane-Darr</t>
  </si>
  <si>
    <t>Jaysane-Darr</t>
  </si>
  <si>
    <t>Mr. Evan Jaysane-Darr serves as the Principal, Investment at Valor Equity Partners. Mr. Jaysane-Darr is an Angel Investor. He served as a Partner at Invesco. Previously, he served as a Vice President at Atlantic Trust. Before joining Valor, he was a Managing Partner at Invesco Private Capital, where he ran all aspects of the venture and growth fund-of-funds and direct investment business. Previously, he was a Vice President of the Alternative Investment Group at Atlantic Trust. He earned a B.A. in History from Washington and Lee University and an M.B.A. from INSEAD in France and is a CFA charter holder.</t>
  </si>
  <si>
    <t>39461-23P</t>
  </si>
  <si>
    <t>Frank Britt</t>
  </si>
  <si>
    <t>Mr. Frank Britt serves as Executive Vice President and Chief Reinvention Officer at Starbucks. In this leadership role, he is responsible for long-term strategic planning in service of helping inspire and nurture partners, customers and the communities Starbucks serves. Frank is a seasoned executive leader who has led large-scale revitalization efforts in companies across technology services, education, media, supply chain and consumer product sectors. He's passionate about helping people reach their dreams and for companies to reach their full fiscal and social potential. Before joining Starbucks in April 2022, he was the chief executive officer of Penn Foster, a social mobility and employment enablement platform, and the leading workforce development provider for opportunity youth and adult learners, and progressive talent focused employers. Frank has a longstanding commitment to helping provide educational access and training opportunities to front-line employees, meeting them where they are at and helping them unlock their potential. Early in his career, Frank made service a priority - embracing the power of what can happen when you put others first. Over the years, he has brought his diverse set of management skills to companies and non-profits including Bain Capital Ventures, Pri-Med, IBM, the National Job Corps Association, Mainspring, C&amp;S Wholesale Grocers, Accenture and Arthur D. Little. Frank was born in Montreal and graduated from Syracuse University with a bachelor's degree in marketing and supply chain management. He has been married for more than 30 years and has three adult children. He and his family share a love of adventure and working with youth-focused charities. His favorite Starbucks beverage is double tall soy latte.</t>
  </si>
  <si>
    <t>+1 (617) 851-2855</t>
  </si>
  <si>
    <t>fbritt@starbucks.com</t>
  </si>
  <si>
    <t>Norcross</t>
  </si>
  <si>
    <t>Norcross, GA</t>
  </si>
  <si>
    <t>6625 The Corners Parkway</t>
  </si>
  <si>
    <t>30092</t>
  </si>
  <si>
    <t>+1 (770) 729-8578</t>
  </si>
  <si>
    <t>Executive Vice President &amp; Chief Reinvention Officer</t>
  </si>
  <si>
    <t>435519-64P</t>
  </si>
  <si>
    <t>Hayden Edelson</t>
  </si>
  <si>
    <t>Edelson</t>
  </si>
  <si>
    <t>Mr. Hayden Edelson serves as Associate, Data Scientist at Valor Equity Partners. Prior to joining Valor, he was a Computer Vision Engineer at Socure. Prior to that, he spent time as a software engineer at IBM, an AI engineer on logistics and defense applications for the US government at Object Security, and a commercial real estate analyst at JP Morgan. He holds a B.S. in Business, with a concentration in finance, from NYU Stern and an M.S. in Computer Science from NYU Tandon.</t>
  </si>
  <si>
    <t>hedelson@valorep.com</t>
  </si>
  <si>
    <t>Associate, Data Scientist</t>
  </si>
  <si>
    <t>435521-89P</t>
  </si>
  <si>
    <t>Ian MacKenzie</t>
  </si>
  <si>
    <t>Mr. Ian MacKenzie serves as Vice President at Valor Equity Partners. Prior to joining Valor, he spent 23 years at McKinsey &amp; Company where he held various roles across Capabilities &amp; Insights and Expert Consulting. Before his time at McKinsey, he spent a year in France as a Fulbright Fellow teaching English language and literature. He holds an MBA from the Kellogg School of Management at Northwestern University, and a B.A. in Philosophy and French Literature, cum laude, from the University of Notre Dame, where he graduated as a member of Pi Delta Phi.</t>
  </si>
  <si>
    <t>imackenzie@valorep.com</t>
  </si>
  <si>
    <t>435520-81P</t>
  </si>
  <si>
    <t>Ian Shanahan</t>
  </si>
  <si>
    <t>Shanahan</t>
  </si>
  <si>
    <t>Mr. Ian Shanahan serves as Senior Finance Associate at Valor Equity Partners. Prior to joining Valor, Ian was a Senior Associate at RSM. He earned his Bachelor of Science in Accounting from the University of Illinois at Chicago. He is a registered Certified Public Accountant.</t>
  </si>
  <si>
    <t>ishanahan@valorep.com</t>
  </si>
  <si>
    <t>188055-55P</t>
  </si>
  <si>
    <t>Jacob Benedict</t>
  </si>
  <si>
    <t>Mr. Jacob Benedict serves as Vice President, Investment at Valor Equity Partners. He served as Associate at New Mountain Capital. Prior to Valor, he was a Senior Associate at New Mountain Capital, where he worked on underwriting new deals and supporting the firm's portfolio of investments. Prior to New Mountain, he was a management consultant at Bain &amp; Company, where he worked on corporate strategy and private equity due diligence projects. He has also spent time in the restaurant industry, working back of the house at Oleana in Cambridge, Massachusetts, and on the opening team at Stissing House in the Hudson Valley, New York. He holds an M.B.A. from Harvard Business School and a B.S. in Agriculture and a B.S. in Applied Economics from Cornell University.</t>
  </si>
  <si>
    <t>jbenedict@valorep.com</t>
  </si>
  <si>
    <t>435522-61P</t>
  </si>
  <si>
    <t>Jake Stopin</t>
  </si>
  <si>
    <t>Stopin</t>
  </si>
  <si>
    <t>Mr. Jake Stopin serves as Director at Valor Equity Partners. Prior to joining Valor, he was a Supplier Quality Engineer at Nissan. He has also worked as a Quality Engineer at United States Steel, where he received his Lean Six Sigma Black Belt. He has over five years of experience in the automotive industry implementing quality management systems, quality improvements, and lean manufacturing processes. He earned a B.S. in Chemical Engineering at the University of Michigan.</t>
  </si>
  <si>
    <t>jstopin@valorep.com</t>
  </si>
  <si>
    <t>263877-04P</t>
  </si>
  <si>
    <t>Jamie Eden JD</t>
  </si>
  <si>
    <t>Ms. Jamie Eden serves as General Counsel at Valor Equity Partners. She served as Managing Director, Deputy General Counsel, and Senior Compliance Officer at Solus Alternative Asset Management. She joined Solus in October 2017 as a Director Senior Counsel and Senior Compliance Officer. She has over 13 years of legal experience and most recently served as the Head of Alternatives, Legal at AllianceBernstein L.P. Prior to joining AllianceBernstein L.P., she worked as an Associate in the Investment Management Group at Schulte Roth &amp; Zabel LLP. She received a BA from the University of Pennsylvania in 2005 and a JD from Fordham University School of Law in 2008.</t>
  </si>
  <si>
    <t>jeden@valorep.com</t>
  </si>
  <si>
    <t>98857-90P</t>
  </si>
  <si>
    <t>Jared Gardner</t>
  </si>
  <si>
    <t>Mr. Jared Gardner serves as Principal, Investor Relations at Valor Equity Partners. Prior to Valor, Jared spent over 15 years in the private equity industry combining a broad range of experiences, including as a limited partner, general partner, and placement agent. Most recently, Jared was a Managing Director at Trailmark, a boutique private fund placement agent. At Trailmark, Jared led the firm's distribution efforts for the U.S. Northeast, as well as Eastern Canada, and was a senior member of Trailmark's Business Development Team. Prior to Trailmark, Jared was a Vice President at MVision Private Equity Advisers, a private fund placement agent, where he focused on deal coordination, investor distribution, and deal execution. Jared also worked at First Reserve, a global energy private equity firm, focusing on the firm's fundraising and marketing efforts, and began his career at Cambridge Associates, where he was a member of the Research Analytics Group. Jared received a B.S. in Finance from Bryant University and is a CFA charterholder.</t>
  </si>
  <si>
    <t>+1 (212) 235-1084</t>
  </si>
  <si>
    <t>jgardner@valorep.com</t>
  </si>
  <si>
    <t>105731-38P</t>
  </si>
  <si>
    <t>Jason Appelbaum</t>
  </si>
  <si>
    <t>Mr. Jason Appelbaum serves as Operating Partner at Valor Equity Partners. He is also an Angel Investor. He is a Co-Founder and served as Chief Executive Officer and Board Member at EverCharge. Prior to this, he served as Chief Executive Officer at Betware Mobile. He received a B.S. in Computer Science from Georgia Southern University.</t>
  </si>
  <si>
    <t>jappelbaum@valorep.com</t>
  </si>
  <si>
    <t>435529-90P</t>
  </si>
  <si>
    <t>Jenny Pineda</t>
  </si>
  <si>
    <t>Ms. Jenny Pineda serves as Finance Associate at Valor Equity Partners. Prior to joining Valor, she was an Audit and Assurance Senior Associate at Deloitte. She earned her Bachelor of Science with Honors in Finance and Accountancy from the University of Illinois Urbana-Champaign.</t>
  </si>
  <si>
    <t>jpineda@valorep.com</t>
  </si>
  <si>
    <t>Finance Associate</t>
  </si>
  <si>
    <t>435531-97P</t>
  </si>
  <si>
    <t>Jessica Covert</t>
  </si>
  <si>
    <t>Covert</t>
  </si>
  <si>
    <t>Ms. Jessica Covert serves as Vice President at Valor Equity Partners. Prior to joining Valor, she was a Principal at GCM Grosvenor. She also previously worked in public accounting and served asset management clients, including hedge funds, fund of funds and private equity funds. She earned both her Bachelor's in accountancy and Master's in Tax from the University of Illinois Urbana-Champaign. She is a Certified Public Accountant licensed in Illinois.</t>
  </si>
  <si>
    <t>jcovert@valorep.com</t>
  </si>
  <si>
    <t>435543-76P</t>
  </si>
  <si>
    <t>Joanna Tsarbopoulos</t>
  </si>
  <si>
    <t>Tsarbopoulos</t>
  </si>
  <si>
    <t>Ms. Joanna Tsarbopoulos serves as Associate at Valor Equity Partners. Before joining Valor, she drove operational excellence at Sur La Table in the culinary department. Prior to Sur La Table, Joanna supported fundraising efforts at Fred Hutch Cancer Center. She earned her B.A. in Business Administration from the University of Washington Foster School of Business.</t>
  </si>
  <si>
    <t>jtsarbopoulos@valorep.com</t>
  </si>
  <si>
    <t>435544-48P</t>
  </si>
  <si>
    <t>John Stanton</t>
  </si>
  <si>
    <t>Mr. John Stanton serves as Vice President at Valor Equity Partners. Prior to joining Valor, he was a member of the Digital Assets team at Goldman Sachs, following his role as a fixed-income portfolio manager within Goldman Sachs Asset Management. He earned a B.A. in International Studies from Johns Hopkins University.</t>
  </si>
  <si>
    <t>jstanton@valorep.com</t>
  </si>
  <si>
    <t>265887-28P</t>
  </si>
  <si>
    <t>Jon Koval</t>
  </si>
  <si>
    <t>Koval</t>
  </si>
  <si>
    <t>Mr. Jon Koval serves as Vice President at Valor Equity Partners. He served as an Analyst at Sopris Capital Associates. Prior to joining Valor, He was an Analyst at Sopris Capital, a venture capital firm focused on SaaS, healthcare, and tech-enabled services companies. While at Sopris, he was responsible for the evaluation and execution of new investments as well as supporting the management of current investments across the portfolio. He received a B.S.B.A. in Finance and Economics with honors from The Ohio State University Fisher College of Business.</t>
  </si>
  <si>
    <t>jkoval@valorep.com</t>
  </si>
  <si>
    <t>377829-64P</t>
  </si>
  <si>
    <t>Jonah Cader</t>
  </si>
  <si>
    <t>Cader</t>
  </si>
  <si>
    <t>Mr. Jonah Cader serves as a Principal at Valor Equity Partners. He joined Valor in 2022Prior to Valor, he was an Engagement Manager at McKinsey &amp; Company in the Technology, Media, and Telecommunications practice. While there, he led growth and go-to-market strategy teams for clients across the artificial intelligence and hyperscaler value chains. Also, he worked in strategy at Google[x], Alphabet's "moonshot factory," and as a Special Projects Researcher for the Stanford Institute for Human-Centered Artificial Intelligence (HAI). He holds an M.B.A. from the Stanford Graduate School of Business, where he graduated as an Arjay Miller Scholar, and an M.S. in Computer Science with a specialization in artificial intelligence from the Stanford University School of Engineering. He earned an Sc.B. in Computational Neuroscience from Brown University, where he graduated Magna Cum Laude and with Departmental Honors.</t>
  </si>
  <si>
    <t>jcader@valorep.com</t>
  </si>
  <si>
    <t>12405-61P</t>
  </si>
  <si>
    <t>Jonathan Shulkin</t>
  </si>
  <si>
    <t>Shulkin</t>
  </si>
  <si>
    <t>Partner &amp; President</t>
  </si>
  <si>
    <t>Mr. Jonathan Shulkin serves as Partner &amp; Co-President at Valor Equity Partners. He serves as Board Member at LesserEvil. He serves as an Advisor and Board Member at Remora. He serves as a Board Member at Aescape, Curbside SOS, Bokksu, Logiwa, LesserEvil, Solink, Browze, Brightloom, Counterpart Misfits Market, Voyage Foods, Rōti, Atmosphere, Figg and Trustworthy. He served as a Board Member at Dom's Kitchen &amp; Market, PanCan, the Pancreatic Cancer Action Network, and Tock. He also serves as Executive Chairman at Brightloom. He leads Valor's portfolio management teams in North American Coatings, Mountain High Resort Associates, and Sizzling Platter. He has 11 years of combined experience in consulting and private equity investing. Before joining Valor in 2001, he was part of MG Capital's Investment and Portfolio Team. During his tenure at MG Capital, he worked on acquisition teams focused on executing transactions in the electronic connector industry. He served in operational roles at MG Capital portfolio companies, including as Chief Operating Officer of Connector Service Corporation's Plating Division, where he managed the business through 100% growth over 12 months. Before joining MG Capital, he worked with Bain and Company, Inc. as an Associate Consultant. He worked in Dallas, Texas, and Sydney, Australia for various Fortune 500 clients including Ford Motor Company, American Airlines, the Commonwealth Bank of Australia, and Navistar, in addition to consulting for leveraged buyout firms. His consulting experience includes portfolio analysis, marketing, joint ventures, operational efficiency, purchasing, and acquisition initiatives. He holds a B.B.A. in Accounting (with honors) from the University of Texas at Austin. He currently serves on the Board of Directors for North American Coatings, LLC, and Mountain High Resort Associates. From 2001 through 2003 he served as the Chairman of the Board for Associated Plating Company, Inc.</t>
  </si>
  <si>
    <t>+1 (312) 696-2100</t>
  </si>
  <si>
    <t>jshulkin@valorep.com</t>
  </si>
  <si>
    <t>Partner &amp; Co-President</t>
  </si>
  <si>
    <t>14709-79P</t>
  </si>
  <si>
    <t>Joseph Haslip</t>
  </si>
  <si>
    <t>Haslip</t>
  </si>
  <si>
    <t>Mr. Joseph Haslip serves as Managing Director at Valor Equity Partners. Previously he served as Senior Director, Investor Relations at Valor Equity Partners. Mr. Haslip served as the Managing Director &amp; Head of Capital Strategies and Investor Relations at the Silverfern Group. Joe joined Valor in 2020, and serves as a Managing Director in Investor Relations. Prior to joining Valor, Joe spent over 20 years in the investment management industry, working at both LP and GP platforms in the private equity and hedge fund industries. On the GP side, he held senior positions at The Blue Harbour Group, an activist hedge fund and a family office investment platform focused on private equity co-investments. Joe also worked for the New York City Public Pension System, where he assisted in the buildout of its alternative investment platform in private equity and real estate. As part of that effort, he led the pension system's efforts to build out a $7 billion emerging and diverse manager portfolio across asset classes. Joe currently serves as Chairman of the Board of The National Association of Investment Companies (NAIC), which represents diverse investment managers in the private equity and hedge fund industries.</t>
  </si>
  <si>
    <t>jhaslip@valorep.com</t>
  </si>
  <si>
    <t>35127-10P</t>
  </si>
  <si>
    <t>Juan Sabater JD</t>
  </si>
  <si>
    <t>Sabater</t>
  </si>
  <si>
    <t>Mr. Juan Sabater serves as a Partner, Co-President, and Member of the Investment Committee at Valor Equity Partners. He serves as Board Member at Porch. He serves as Board Member at Premise. His responsibilities include investment structuring and execution, due diligence of potential acquisitions, and investment prospect generation. Before joining Valor, he was a Managing Director with Goldman Sachs &amp; Co. in the firm's Investment Banking Division. As a part of the investment banking team, he held several positions, including membership in the private equity coverage group, the Division's senior management team, and as a coverage and execution banker for clients in Latin America. He is currently an investor and Co-Chairman of the Board of Augeo Affinity Marketing, Inc., where he leads the company's efforts in identifying and developing new client relationships. He has been advising Valor since 2008 and is an investor in Fund II. He holds an A.B. in History from Princeton University. He studied history at the University of Oxford, Mansfield College, and holds a J.D. from Stanford Law School. He was an officer in the United States Army. He serves as Board Observer at Dataminr.</t>
  </si>
  <si>
    <t>+1 (212) 357-0726</t>
  </si>
  <si>
    <t>jsabater@valorep.com</t>
  </si>
  <si>
    <t>Partner, Co-President and Member of Investment Committee</t>
  </si>
  <si>
    <t>15441-94P</t>
  </si>
  <si>
    <t>Julie Fisher</t>
  </si>
  <si>
    <t>Ms. Julie Fisher serves as Managing Director at Valor Equity Partners. She served as Managing Director at Grafine Partners. She has over 20 years of financial experience dedicated to raising capital and working with international institutional investors in alternative assets and private equity. Prior to joining Grafine Partners, She spent 13 years at Providence Equity, a global private investment firm focused on the media and communications industries. Upon joining the firm, Julie helped to institutionalize investor relations and client service, creating the business development role and serving as a Managing Director. Prior to joining Providence, Julie was a Private Equity Consultant at Cambridge Associates, where she provided private equity consulting services to endowments and foundations. Julie was previously a Vice President with J.P. Morgan Securities, where she worked in the Private Equity and Natural Resources Groups raising capital for domestic and international companies. Julie graduated from the University of California at Berkeley and earned a Master of Science in Foreign Service from Georgetown University. She is a member of the Council on Foreign Relations.</t>
  </si>
  <si>
    <t>jfisher@valorep.com</t>
  </si>
  <si>
    <t>435545-47P</t>
  </si>
  <si>
    <t>Kamila Mananova</t>
  </si>
  <si>
    <t>Kamila</t>
  </si>
  <si>
    <t>Mananova</t>
  </si>
  <si>
    <t>Ms. Kamila Mananova serves as Senior Director at Valor Equity Partners. Prior to joining Valor, she was an Assurance Director at PricewaterhouseCoopers in Chicago. 
She has over eight years of experience at PricewaterhouseCoopers. Prior to PricewaterhouseCoopers, she worked at Deloitte. She earned a Bachelors degree in Economics and Finance from the KIMEP University in Almaty, Kazakhstan. She is a registered Certified Public Accountant in Illinois and New Hampshire.</t>
  </si>
  <si>
    <t>kmananova@valorep.com</t>
  </si>
  <si>
    <t>435547-18P</t>
  </si>
  <si>
    <t>Kayla Migacca</t>
  </si>
  <si>
    <t>Kayla</t>
  </si>
  <si>
    <t>Migacca</t>
  </si>
  <si>
    <t>Ms. Kayla Migacca serves as Executive Assistant at Valor Equity Partners. Before joining Valor, she was an Executive Assistant at BSE Global. Prior to BSE Global, she was an Executive Assistant at Starz Entertainment and also worked as a Personal Assistant to a CEO in the entertainment industry. She has extensive experience in supporting leaders across various industries, project management, and event coordination. She began her career as an Assistant Buyer and a Planner at Saks Fifth Avenue. She holds a B.A. in Fashion Merchandising from LIM College.</t>
  </si>
  <si>
    <t>Executive Assistant, Administration</t>
  </si>
  <si>
    <t>435548-62P</t>
  </si>
  <si>
    <t>Kevin Peralta</t>
  </si>
  <si>
    <t>Peralta</t>
  </si>
  <si>
    <t>Mr. Kevin Peralta serves as Analyst, Data Engineer at Valor Equity Partners. Prior to joining Valor, he was a Technical Program Manager at Meta. Before Meta, he supported product development for commercial aircraft interiors as a Payloads Design Engineer at Boeing. He earned a B.S. in Computer Science from Oregon State University and a B.S. in Mechanical Engineering from the University of Illinois at Urbana-Champaign, where he also graduated from the Hoeft Technology and Management Program.</t>
  </si>
  <si>
    <t>kperalta@valorep.com</t>
  </si>
  <si>
    <t>Analyst, Data Engineer</t>
  </si>
  <si>
    <t>435549-61P</t>
  </si>
  <si>
    <t>Kirsten Siladi</t>
  </si>
  <si>
    <t>Siladi</t>
  </si>
  <si>
    <t>Ms. Kirsten Siladi serves as Senior Finance Associate at Valor Equity Partners. Prior to joining Valor, she was an Assurance Senior Associate at PricewaterhouseCoopers. She earned her Bachelor of Business Administration and Master of Accountancy from the University of Wisconsin-Madison. She is a registered Certified Public Accountant.</t>
  </si>
  <si>
    <t>ksiladi@valorep.com</t>
  </si>
  <si>
    <t>435550-96P</t>
  </si>
  <si>
    <t>Laura Harrison Ph.D</t>
  </si>
  <si>
    <t>Dr. Laura Harrison serves as Director of Neuroscience at Valor Equity Partners. Prior to joining Valor, she served as Chief Science Officer at psyML. Before pivoting to business, she spent over a decade in academia. As a research scientist, she trained at California Institute of Technology then the University of Southern California. She earned a Ph.D. in Computation and Neural Systems at the California Institute of Technology, and a B.A. in Neuroscience and Humanities at Scripps College.</t>
  </si>
  <si>
    <t>lharrison@valorep.com</t>
  </si>
  <si>
    <t>Director of Neuroscience</t>
  </si>
  <si>
    <t>435552-22P</t>
  </si>
  <si>
    <t>Lindsay Bu</t>
  </si>
  <si>
    <t>Bu</t>
  </si>
  <si>
    <t>Ms. Lindsay Bu serves as Vice President at Valor Equity Partners. Prior to joining Valor, she worked in product management at growth-stage enterprise SaaS companies. At Mark43, she helped develop a product to improve evidence handling and case management for forensic analysts and detectives. She also worked at HyperScience. She has an MBA from Harvard Business School and a B.A. in English from Harvard College.</t>
  </si>
  <si>
    <t>lbu@valorep.com</t>
  </si>
  <si>
    <t>701 5th Avenue</t>
  </si>
  <si>
    <t>Suite 7100</t>
  </si>
  <si>
    <t>430863-85P</t>
  </si>
  <si>
    <t>Luis Cortes Reyes</t>
  </si>
  <si>
    <t>Cortes Reyes</t>
  </si>
  <si>
    <t>Mr. Luis Cortes Reyes serves as an Associate at Valor Equity Partners. Prior to joining Valor, he spent two years as an Investment Banking Analyst at Goldman Sachs in the TMT group in San Francisco, where he focused on the technology sector. He holds a B.S. in Business Administration from The Walter A. Haas School of Business at the University of California, Berkeley.</t>
  </si>
  <si>
    <t>lcortes@valorep.com</t>
  </si>
  <si>
    <t>435553-48P</t>
  </si>
  <si>
    <t>Mahal Johnson</t>
  </si>
  <si>
    <t>Mahal</t>
  </si>
  <si>
    <t>Ms. Mahal Johnson serves as Associate at Valor Equity Partners. Prior to joining Valor, she was an Administrative Assistant working with City of Seattle law enforcement professionals. She earned a B.A. in Social Sciences from Washington State University, where she was a four-year varsity athlete on the Women's Rowing Team.</t>
  </si>
  <si>
    <t>mjohnson@valorep.com</t>
  </si>
  <si>
    <t>377835-76P</t>
  </si>
  <si>
    <t>Mallory Burdick</t>
  </si>
  <si>
    <t>Burdick</t>
  </si>
  <si>
    <t>Ms. Mallory Burdick serves as Vice President at Valor Equity Partners. She joined Valor in 2023. Before joining Valor, she worked at Blue Nile, an e-commerce fine jewelry retailer where she was responsible for annual strategic planning, consumer insights research, and key strategic projects including the company's launch of lab-grown diamonds. She has also worked at Crowd Cow, a direct-to-consumer food startup where she managed sourcing and supply chain operations. Before that, she was at Boston Consulting Group where she advised clients in multiple sectors including food, agriculture, technology, and industrials. She earned her B.S. in Molecular Biology from the University of Illinois Urbana-Champaign and a dual Masters in Business Administration and Natural Resources from the University of Michigan.</t>
  </si>
  <si>
    <t>mburdick@valorep.com</t>
  </si>
  <si>
    <t>190568-53P</t>
  </si>
  <si>
    <t>Manuel Pantelias Garcés Ph.D</t>
  </si>
  <si>
    <t>Pantelias Garcés</t>
  </si>
  <si>
    <t>Dr. Manuel Pantelias Garcés serves as Principal at Valor Equity Partners. Prior to joining Valor, he was a Project Manager and Nuclear Engineer at Nagra. He also served as a Swiss delegate and represented Switzerland in various capacities at the Organization for Economic Cooperation and Development (OECD) in Paris, France, and the International Atomic Energy Agency (IAEA) in Vienna, Austria. Most recently, he served as Vice Chairman of the Decommissioning Cost Estimations Group of the Nuclear Energy Agency at the OECD. He has been a Visiting Lecturer at ETH Zurich in Switzerland and a Visiting Scientist at the US DOE Oak Ridge National Laboratory. He holds a Ph.D. and M.S. in Nuclear Engineering from ETH Zurich, Switzerland, and an Honors B.S. in Physics and Mathematics from the University of St Andrews, UK. He also completed his M.B.A. at the London Business School and the University of Chicago Booth School of Business.</t>
  </si>
  <si>
    <t>435566-62P</t>
  </si>
  <si>
    <t>Maria Cardenas</t>
  </si>
  <si>
    <t>Ms. Maria Cardenas serves as Paralegal at Valor Equity Partners. Prior to joining Valor, she was a Paralegal at JPMorgan Chase &amp; Co.. She also previously worked in the Executive Office at JPMorgan Chase &amp; Co.. She earned her Bachelor's in Industrial/Organizational Psychology from DePaul University in Chicago, Illinois.</t>
  </si>
  <si>
    <t>mcardenas@valorep.com</t>
  </si>
  <si>
    <t>Paralegal</t>
  </si>
  <si>
    <t>15980-23P</t>
  </si>
  <si>
    <t>Mark Vardaro</t>
  </si>
  <si>
    <t>Vardaro</t>
  </si>
  <si>
    <t>Mr. Mark Vardaro serves as Senior Director, Operations Team at Valor Equity Partners. He is responsible for providing project management, technical consulting, and support for consolidation, operational improvement projects, Kaizen events, and Six Sigma training at Valor portfolio companies. Prior to joining Valor Operations Group in 2006, Mr. Vardaro served as Vice President of Operations at Process-In-Focus in Oklahoma City, Oklahoma. Mr. Vardaro selected and led over 120 Six Sigma projects across multiple industries and within transactional and non-transactional processes. Additionally, Mr. Vardaro served as Inspector General in the United States Air Force Reserves ("USAFR") at Tinker Air Force Base in Oklahoma. Mr. Vardaro worked with higher headquarters and senior staff to investigate complaints and ensure compliance with statutory and regulatory laws, Air Force Instruction, and Department of Defense directives. He efficiently processed over 60 cases resulting in major overhauls to processes, personnel changes, and modifications in policy and procedures. From 2001 to 2003, Mr. Vardaro served as Director of Operations for Philips Consumer Electronics. As a Director, Mr. Vardaro managed 285 employees across seven separate operations and had full responsibility for the supply chain management. Mr. Vardaro was able to save $19 million in under six months by implementing process improvements within shipping, receiving, and inventory management utilizing DMAIC and DFSS. Mr. Vardaro received his B.A. in Finance (Honors) and M.B.A. in International Business from Oklahoma City University. Mr. Vardaro holds various designations and certifications, including RABQSA Certified Aerospace Industry, Experienced Lead Auditor; Certified Six Sigma Master Black Belt (Philips Consumer Electronics); Quality Manager (ASQ); Lean Champion (Tulsa Technology Center); and Certified Strategic Planner (USAFR). Mr. Vardaro has held Secret ETNAC security clearance with the USAFR for over 20 years. He has also received personal recognition from three Oklahoma Governors for his long-time commitment to the Oklahoma Quality Award Foundation.</t>
  </si>
  <si>
    <t>+1 (405) 556-1745</t>
  </si>
  <si>
    <t>mvardaro@valorep.com</t>
  </si>
  <si>
    <t>430836-76P</t>
  </si>
  <si>
    <t>Martin Joyce</t>
  </si>
  <si>
    <t>Mr. Martin Joyce serves as a Senior Associate at Valor Equity Partners. Prior to joining Valor, He was an auditor at Ernst &amp; Young serving a range of financial services clients within the Chicago and Des Moines offices. He earned a B.S. in Finance from The Ohio State University and an M.S. in Accountancy from The University of Texas. He is a registered Certified Public Accountant.</t>
  </si>
  <si>
    <t>mjoyce@valorep.com</t>
  </si>
  <si>
    <t>435567-61P</t>
  </si>
  <si>
    <t>Matthew Kujawinski</t>
  </si>
  <si>
    <t>Kujawinski</t>
  </si>
  <si>
    <t>Mr. Matthew Kujawinski serves as Senior Associate, Machine Learning Engineer at Valor Equity Partners. Prior to joining Valor, he worked as a backend software developer at a supply chain mapping startup and spent over four years at Accenture Labs. He holds a B.S. in Computer Science Engineering from Ohio State University.</t>
  </si>
  <si>
    <t>mkujawinski@valorep.com</t>
  </si>
  <si>
    <t>Senior Associate, Machine Learning Engineer</t>
  </si>
  <si>
    <t>275940-10P</t>
  </si>
  <si>
    <t>Max Krohn</t>
  </si>
  <si>
    <t>Mr. Max Krohn serves as an Associate at Valor Equity Partners. Prior to joining Valor, He was a Senior Consultant within Deloitte's M&amp;A Transaction Services group. During his time at Deloitte, Max supported a variety of deals primarily within the pre/post-merger integration and divestiture space. His key engagement experience included Day 1 operational readiness assessments, carve-out financial statement analysis, synergy capture, and overall client workstream management. He graduated from the University of Notre Dame in 2018 with a BBA in Finance.</t>
  </si>
  <si>
    <t>mkrohn@valorep.com</t>
  </si>
  <si>
    <t>435568-69P</t>
  </si>
  <si>
    <t>Megan Fletcher</t>
  </si>
  <si>
    <t>Ms. Megan Fletcher serves as Senior Director at Valor Equity Partners. Prior to joining Valor, she spent four years at Radius Intelligence. Before Radius, she worked as a Cloud Consultant and Solution Architect at Benissimo. She holds 6 Salesforce certifications including Salesforce Administrator, Salesforce Developer, Salesforce Advanced Administrator, Salesforce Platform App Builder, Salesforce Sales Cloud Consultant and Salesforce Service Cloud Consultant. She is also a Certified ScrumMaster.</t>
  </si>
  <si>
    <t>mfletcher@valorep.com</t>
  </si>
  <si>
    <t>435569-41P</t>
  </si>
  <si>
    <t>Michael Hogan</t>
  </si>
  <si>
    <t>Mr. Michael Hogan serves as Senior Director at Valor Equity Partners. His experience is centered around building resilient, efficient global supply chain networks to support the demands of growing companies. Prior to joining Valor, Mike led the supply chain team at Cometeer; before that, he worked in strategic sourcing at Juul Labs and co-founded Battery Bro. He brings a bachelor's in Neuroscience &amp; Philosophy from Hampshire College.</t>
  </si>
  <si>
    <t>mhogan@valorep.com</t>
  </si>
  <si>
    <t>435570-58P</t>
  </si>
  <si>
    <t>Modit Ohri</t>
  </si>
  <si>
    <t>Modit</t>
  </si>
  <si>
    <t>Ohri</t>
  </si>
  <si>
    <t>Mr. Modit Ohri serves as Vice President at Valor Equity Partners. Prior to joining Valor, he was the CEO of Globppack. He has also worked as a Senior Consultant in Ernst &amp; Young's tax consulting practice. He earned his Bachelor of Commerce from Hans Raj College at Delhi University and an M.B.A. from Kellogg School of Management at Northwestern University. He is also a chartered accountant and a member of the Institute of Chartered Accountants of India.</t>
  </si>
  <si>
    <t>mohri@valorep.com</t>
  </si>
  <si>
    <t>435572-74P</t>
  </si>
  <si>
    <t>Nicolas Sacramento</t>
  </si>
  <si>
    <t>Mr. Nicolas Sacramento serves as Senior Director at Valor Equity Partners. Prior to joining Valor, he worked for Lockheed Martin in both Quality and Operations Engineering. He has over five years of experience incorporating lean principles in the manufacturing environment, implementing new systems, tools, and training processes. He also gained experience serving as a program quality engineer working with contractual requirements, product acceptance, and developmental builds. He earned a B.S. in Aerospace Engineering from the University of Illinois, and an M.S. in Systems and Industrial Engineering and an MBA from the University of Florida.</t>
  </si>
  <si>
    <t>nsacramento@valorep.com</t>
  </si>
  <si>
    <t>435574-18P</t>
  </si>
  <si>
    <t>Nikhil Ramanan</t>
  </si>
  <si>
    <t>Ramanan</t>
  </si>
  <si>
    <t>Mr. Nikhil Ramanan serves as Senior Associate, Software Engineer at Valor Equity Partners. Prior to joining Valor, Nikhil worked at Capital One building a data access platform to facilitate scanning of company data for security purposes. He also spent four years at Salesforce. He holds a B.S. in Computer Science from the Georgia Institute of Technology.</t>
  </si>
  <si>
    <t>nramanan@valorep.com</t>
  </si>
  <si>
    <t>326509-93P</t>
  </si>
  <si>
    <t>Noa Sarah Attias</t>
  </si>
  <si>
    <t>Noa Sarah</t>
  </si>
  <si>
    <t>Attias</t>
  </si>
  <si>
    <t>Ms. Noa Sarah Attias serves as Associate at Valor Equity Partners. She served as Executive, Investments at Aquiline. Previously, she worked as a summer analyst in the Debt Capital Markets investment banking division at BNP Paribas in New York. She holds B.A. in International Studies from University of Pennsylvania and B.S. in Economics fromThe Wharton School.</t>
  </si>
  <si>
    <t>nattias@valorep.com</t>
  </si>
  <si>
    <t>435575-62P</t>
  </si>
  <si>
    <t>Payton Rehling</t>
  </si>
  <si>
    <t>Payton</t>
  </si>
  <si>
    <t>Rehling</t>
  </si>
  <si>
    <t>Mr. Payton Rehling serves as Senior Associate, Data Engineer at Valor Equity Partners. Prior to joining Valor, he was a Senior Data Analyst at GoHealth. He earned both a B.S. in Mechanical Engineering and an M.B.A. from the University of Alabama as well as an M.S. in Computer Science with a specialization in machine learning from Georgia Tech.</t>
  </si>
  <si>
    <t>prehling@valorep.com</t>
  </si>
  <si>
    <t>Senior Associate, Data Engineer</t>
  </si>
  <si>
    <t>234865-00P</t>
  </si>
  <si>
    <t>Peter Stoffel</t>
  </si>
  <si>
    <t>Stoffel</t>
  </si>
  <si>
    <t>Mr. Peter Stoffel serves as a Senior Associate at Valor Equity Partners. Mr. Stoffel served as an Associate at Molex Ventures. He joined Valor in 2021 as an Associate on the Operations Team. Before joining Valor, He was an Associate at Molex Ventures. He supported startup investment identification and execution, delivering growth through new technology, market, and business model strategies. He was also an Associate Sales Engineer at Molex Ventures. He earned an M.S. in Industrial and Engineering Management with a concentration in Product Management at Northwestern University. He has a B.S.E. in Mechanical Engineering from the University of South Carolina, where he was a McKissick scholar.</t>
  </si>
  <si>
    <t>+1 (312) 618-8917</t>
  </si>
  <si>
    <t>pstoffel@valorep.com</t>
  </si>
  <si>
    <t>144239-32P</t>
  </si>
  <si>
    <t>Philippe El Khazen</t>
  </si>
  <si>
    <t>El Khazen</t>
  </si>
  <si>
    <t>Mr. Philippe El Khazen serves as an Operating Partner at Valor Equity Partners. He serves as an Operations Specialist in the Valor operations group. His responsibilities include project management, lean implementation, and supporting operational improvement projects. Prior to joining Valor, he was a member of the navigation laboratory at the Illinois Institute of Technology where his research project focused on integrity performance prediction and optimization for a modernized version of the Global Positioning System. He holds a Master's degree in Mechanical and Aerospace Engineering (with Highest Honors) from the Illinois Institute of Technology, as well as a Master's degree in Mechanical and Materials Engineering from INSA of Strasbourg, France. He has competed in national skiing and water skiing contests and was a member of Strasbourg Aero Club where he flew gliders and small aircraft. He is fluent in French and Arabic.</t>
  </si>
  <si>
    <t>pelkhazen@valorep.com</t>
  </si>
  <si>
    <t>435577-24P</t>
  </si>
  <si>
    <t>Rachel Essel</t>
  </si>
  <si>
    <t>Essel</t>
  </si>
  <si>
    <t>Ms. Rachel Essel serves as an Associate at Valor Equity Partners. Prior to joining Valor, she was a Senior Research Analyst at the Boston Consulting Group ("BCG") in the firm's Boston and Chicago offices. She earned a B.A. in International Affairs and Economics with a minor in Business Administration from Northeastern University. At Northeastern, she completed three co-ops as an International Trade Assistant at the Embassy of the United States of America in Ghana, a Merchandizing Analyst at Wayfair, and an Administrative Assistant at the Economic Club of Washington, D.C. She is currently completing her M.A. in Public Policy at the University of Chicago's Harris School of Public Policy.</t>
  </si>
  <si>
    <t>ressel@valorep.com</t>
  </si>
  <si>
    <t>436403-08P</t>
  </si>
  <si>
    <t>Rebecca Richey</t>
  </si>
  <si>
    <t>Ms. Rebecca Richey serves as Office Manager at Valor Equity Partners. Prior to joining Valor, she served as an office manager at The Package Solution and as an executive assistant at several Chicago firms, including FLIRT Communications and Seed Media Arts. She was also a personal assistant to a partner at Kindle Communications. In addition, she has worked as a professional violinist for twenty years. She holds a Master of Arts from the Eastman School of Music in Rochester, NY, and a Bachelor of Music with Highest Honors from the University of Illinois Urbana-Champaign.</t>
  </si>
  <si>
    <t>rrichey@valorep.com</t>
  </si>
  <si>
    <t>430843-69P</t>
  </si>
  <si>
    <t>Robert Escudero</t>
  </si>
  <si>
    <t>Mr. Robert Escudero serves as Lean &amp; Growth Analyst at Valor Equity Partners. Prior to joining Valor, He interned at Amber Infrastructure Group in London. At Amber, He helped develop a firm-wide database, improving Amber's data turnaround and collection processes. Earlier, He interned as a financial analyst at High Desert Capital and Flo Networks.
He holds an A.B. in Economics and a Secondary in Computer Science from Harvard University.</t>
  </si>
  <si>
    <t>rescudero@valorep.com</t>
  </si>
  <si>
    <t>Lean &amp; Growth Analyst</t>
  </si>
  <si>
    <t>210767-23P</t>
  </si>
  <si>
    <t>Ross Fumagalli</t>
  </si>
  <si>
    <t>Fumagalli</t>
  </si>
  <si>
    <t>Mr. Ross Fumagalli serves as Principal, Investor Relations Team at Valor Equity Partners. Prior to joining Valor, he spent eight years working at Tesla in a variety of capacities across the company's sales organization. Most recently, he led the Learning &amp; Development team for the Central US &amp; Canada. Prior to this, he managed the Central US market overseeing all business operations including Sales, Marketing, &amp; Delivery. He holds a B.S. in Finance and a B.S. in Entrepreneurship from the University of Dayton.</t>
  </si>
  <si>
    <t>rfumagalli@valorep.com</t>
  </si>
  <si>
    <t>Principal, Investor Relations Team</t>
  </si>
  <si>
    <t>342226-54P</t>
  </si>
  <si>
    <t>Sequoia Johnson</t>
  </si>
  <si>
    <t>Sequoia</t>
  </si>
  <si>
    <t>Ms. Sequoia Johnson serves as an Associate at Valor Equity Partners. She served as an Associate at Castle Creek Capital. Her primary responsibilities include analytical support for the investment team, industry analysis, and portfolio company monitoring. Before joining the firm, she worked as an Analyst at 1Sharpe Capital, an investment management firm with several real estate strategies including credit, real estate private equity, and early-stage PropTech. She started on the Capital Markets team before transitioning to the Venture Capital group She holds a Bachelor of Arts in Economics from Wellesley College, where she was a member of the softball team. She is also a graduate of Phillips Exeter Academy.</t>
  </si>
  <si>
    <t>sjohnson@valorep.com</t>
  </si>
  <si>
    <t>435579-67P</t>
  </si>
  <si>
    <t>Shannon Archer</t>
  </si>
  <si>
    <t>Mr. Shannon Archer serves as Director, Software Engineer at Valor Equity Partners. Prior to joining Valor, she worked at Zoro.com, an eCommerce division of W.W. Grainger. She held a technical leadership role on the checkout team at Zoro. He earned his Bachelor's in Computer Science from the University of Wollongong.</t>
  </si>
  <si>
    <t>sarcher@valorep.com</t>
  </si>
  <si>
    <t>Director, Software Engineer</t>
  </si>
  <si>
    <t>26538-40P</t>
  </si>
  <si>
    <t>Stephen Swanson JD</t>
  </si>
  <si>
    <t>Mr. Stephen Swanson serves as Chief Legal Officer at Valor Equity Partners. He serves as Partner at FDX Capital. Prior to joining Valor, he was an Assistant General Counsel at Invesco, where he served as general counsel for Invesco's New York-based private alternative funds business, including their Private Equity, Venture Capital, and Private Credit businesses. He was also the Head of Alternative Investments for the legal team at AllianceBernstein, where he led the team responsible for the development and support of AB's private alternative investment vehicles. He has also served as General Counsel and Corporate Secretary of the Abu Dhabi Investment Company, one of the oldest Abu Dhabi government-owned financial services companies specializing in private investments, and as the global head of the Alternative Investments legal team for Citigroup's Global Wealth Management division. He has over 10 years of experience in corporate and securities transactions with leading global law firms Clifford Chance, Jones Day, and Morgan Lewis. He holds a J.D. from the Duke University School of Law and a B.A. from Cornell University.</t>
  </si>
  <si>
    <t>sswanson@valorep.com</t>
  </si>
  <si>
    <t>435580-48P</t>
  </si>
  <si>
    <t>Steven Henriquez</t>
  </si>
  <si>
    <t>Henriquez</t>
  </si>
  <si>
    <t>Mr. Steven Henriquez serves as Associate at Valor Equity Partners. Prior to joining Valor, he was an Associate for Ensono. He also worked as an Analyst at Dell Technologies. He earned a B.S. in Business Management at Skidmore College.</t>
  </si>
  <si>
    <t>shenriquez@valorep.com</t>
  </si>
  <si>
    <t>435581-11P</t>
  </si>
  <si>
    <t>Sydney Ellis</t>
  </si>
  <si>
    <t>Ms. Sydney Ellis serves as Senior Finance Associate at Valor Equity Partners. Prior to joining Valor, Sydney was a Senior Tax Associate in the Chicago office of Grant Thornton LLP. She earned her B.A. in Accountancy at the University of San Francisco.</t>
  </si>
  <si>
    <t>sellis@valorep.com</t>
  </si>
  <si>
    <t>46390-33P</t>
  </si>
  <si>
    <t>Tejal Dhingra</t>
  </si>
  <si>
    <t>Tejal</t>
  </si>
  <si>
    <t>Dhingra</t>
  </si>
  <si>
    <t>Ms. Tejal Dhingra serves as Executive Assistant at Valor Equity Partners. She served as an Executive Assistant at Mercury Capital Advisors. She works directly with the Managing Partners and other senior professionals of the firm. Prior to joining Mercury Capital Advisors, she was an administrative assistant in Bank of America Merrill Lynch's Financial Sponsors Group from 2005 to 2012. She has over 16 years of professional experience in various industries including human resources, healthcare, consumer, retail, and finance.</t>
  </si>
  <si>
    <t>tdhingra@valorep.com</t>
  </si>
  <si>
    <t>435582-37P</t>
  </si>
  <si>
    <t>Thomas Zudycki</t>
  </si>
  <si>
    <t>Zudycki</t>
  </si>
  <si>
    <t>Mr. Thomas Zudycki serves as Corporate Controller at Valor Equity Partners. He has over 35 years of experience in the finance and consulting service industries. Prior to Valor, he served as Controller at Allied Metal Company and SDI Solutions LLC. He earned a B.S. in Accounting from Roosevelt University.</t>
  </si>
  <si>
    <t>tzudycki@valorep.com</t>
  </si>
  <si>
    <t>14126-50P</t>
  </si>
  <si>
    <t>Timothy Watkins</t>
  </si>
  <si>
    <t>Mr. Timothy Watkins serves as Operating Partner at Valor Equity Partners. Mr. Watkins's responsibilities include investment selection, investment analysis, investment structuring, and active management of portfolio companies including working with existing management teams of current portfolio companies. He manages Valor's operational change management activities and Operations Professionals. He has led change management teams at Plastic Holdings, V/MSG Holdings, Fibrex Cordage, and Tewa Holdings. He leads Valor's portfolio management teams in Plastag Holdings and Tewa Holdings. He has over 20 years of operational change management experience and private equity investing experience. Prior to joining Valor in 2001, he served as a Vice President at MG Capital from 1998 through 2000. During his tenure at MG Capital, he specialized in operational due diligence and implementing post-closing operational improvements. He also provided consulting support, implementation of metrics, implementation of lean systems, and implementation of QS and ISO-approved quality systems. He served in various operational roles within MG Capital's portfolio companies as required. Prior to joining MG Capital, he served as a Principal Consultant for Westworks Ltd., a consulting organization providing operational systems support to manufacturing organizations. Clients ranged from middle-market companies to members of the Fortune 500, including Ford Motor Company and 3M. He was responsible for projects in Asia, the U.S., and Europe. He specialized in providing consulting support to internal teams designing and implementing systems in the fields of quality, IT, and lean systems. Prior to consulting, He held manufacturing and engineering management positions at Robinson Nugent, a leading connector manufacturer, and Renishaw PLC, a UK-based manufacturer of machine tool systems. He holds a B.S. in Mechanical Engineering (1st Class Honors) from Bradford University and an M.S. in Industrial Robotics from the Cranfield Institute of Technology, Great Britain. He is a winner of the Queen's Award for Engineering and is a Chartered Professional Engineer. He has also been a member of the Board of Directors of V/MSG Holdings, the parent company of Mikohn Signs and Graphics, Plastag Holdings, and Tewa Holdings.</t>
  </si>
  <si>
    <t>twatkins@valorep.com</t>
  </si>
  <si>
    <t>291590-74P</t>
  </si>
  <si>
    <t>Tom Demery</t>
  </si>
  <si>
    <t>Demery</t>
  </si>
  <si>
    <t>Mr. Tom Demery serves as Managing Director, Investor Relations at Valor Equity Partners. He served as Managing Director of Marketing at Monroe Capital. Prior to joining Valor, he was Managing Director and Co-Head of Business Development for High Net Worth Individual Portfolios at Monroe Capital, a Chicago-based Private Credit Firm. His responsibilities included building and maintaining client relationships in the intermediary and advisor-sold space, leading key account relationships for the Eastern United States, and co-managing the High Net Worth Individual Portfolios dedicated team. Prior to Monroe, he worked at Evanston Capital Management where he served as Senior Vice President Head of Intermediary Business Development and held similar roles at Fox River Partners and Stairway Partners. He began his investment career at Putnam Investments where he held multiple roles in the business development vertical. He is a member of The Economic Club of Chicago and serves on the boards of Metrosquash and The Brinson Foundation. He earned an M.B.A. from the Kellogg School of Management at Northwestern University and has a B.A. in History from Hobart College.</t>
  </si>
  <si>
    <t>+1 (312) 568-7871</t>
  </si>
  <si>
    <t>tdemery@valorep.com</t>
  </si>
  <si>
    <t>435583-63P</t>
  </si>
  <si>
    <t>Virginia Mayes</t>
  </si>
  <si>
    <t>Mayes</t>
  </si>
  <si>
    <t>Ms. Virginia Mayes serves as Technical Support Specialist at Valor Equity Partners. Prior to joining Valor, she spent the last few years as a POS Support Specialist III at LEVEL 10. She earned her associate's degree in network system administration at DeVry University.</t>
  </si>
  <si>
    <t>vmayes@valorep.com</t>
  </si>
  <si>
    <t>Technical Support Specialist</t>
  </si>
  <si>
    <t>33109-93P</t>
  </si>
  <si>
    <t>Vivek Pattipati</t>
  </si>
  <si>
    <t>Pattipati</t>
  </si>
  <si>
    <t>Mr. Vivek Pattipati serves as a Partner &amp; Investment Committee Member at Valor Equity Partners. He serves as Board Member at Biobot Analytics. He serves as a Board Member at Unchained Capital. He serves as a Board Member at Premise. He serves as a Board Member at Republic. He serves as a Board Member at Crusoe. He serves as a Board Observer at Exporta Technologies. He served as Director at Madison Dearborn Partners. He also served as a Board Member at Sonder. He joined Valor in 2017 and serves as a Principal. His responsibilities include investment structuring and execution, due diligence of potential acquisitions, and investment prospect generation. He has over eight years of experience in investment banking and private equity investing. Prior to joining Valor, he was a Director at Madison Dearborn Partners. While at Madison Dearborn Partners, he served on the Board of Directors of Performance Health. He originally joined Madison Dearborn Partners as an Associate. Prior to that, he worked as an Investment Banking Analyst in the Financial Sponsors Group at Goldman Sachs. He holds an M.B.A. from Harvard Business School where he graduated as a George F. Baker Scholar. He completed his B.A. in Economics and Statistics from the University of Chicago, where he graduated Phi Beta Kappa.</t>
  </si>
  <si>
    <t>vpattipati@valorep.com</t>
  </si>
  <si>
    <t>351181-09P</t>
  </si>
  <si>
    <t>William Bradley</t>
  </si>
  <si>
    <t>Mr. William Bradley serves as an Associate at Valor Equity Partners. Prior to joining Valor full-time, he interned with Valor working on both the Investment and VSV Operations teams. His responsibilities ranged from evaluating new investments to supporting strategic engagements at VSV portfolio companies. He also previously worked on the Portfolio Management team at Paragon Biosciences. He earned a B.S. in Economics with a concentration in Finance and a minor in Philosophy from Duke University.</t>
  </si>
  <si>
    <t>wbradley@valorep.com</t>
  </si>
  <si>
    <t>377832-52P</t>
  </si>
  <si>
    <t>Zachary Marciano</t>
  </si>
  <si>
    <t>Marciano</t>
  </si>
  <si>
    <t>Mr. Zachary Marciano serves as an Analyst at Valor Equity Partners. He joined Valor in 2023. Before joining Valor, he spent a year working in South Africa and Kenya. In South Africa, he worked as an Analyst at Knife Capital, a leading venture fund focused on the African continent. During his time in Kenya, he joined the financial services team at Wasoko - one of Africa's fastest-growing startups, where he helped launch new fintech products. Additionally, he interned on the capital markets co-investments team at KKR. He holds a B.A. in Economics with a specialization in Business from the University of Chicago where he was appointed as a Student Marshal and graduated Phi Beta Kappa.</t>
  </si>
  <si>
    <t>zmarciano@valorep.com</t>
  </si>
  <si>
    <t>311208-13P</t>
  </si>
  <si>
    <t>Andres Morin</t>
  </si>
  <si>
    <t>Morin</t>
  </si>
  <si>
    <t>VamosVentures</t>
  </si>
  <si>
    <t>Mr. Andres Morin serves as Chief Operating Officer at VamosVentures. He served as Vice President of Finance at Billd. He has been in the startup ecosystem for the past 20 years, having worked both as an operator and investor for most of his career. He brings operational expertise in strategy, corporate finance, and corporate development having held various senior roles at early-stage FinTech companies. On the investment side, he compliments expertise in FinTech investing with experience in fund administration, compliance, and legal. He holds a BS from the Massachusetts Institute of Technology.</t>
  </si>
  <si>
    <t>+1 (512) 796-0622</t>
  </si>
  <si>
    <t>andres@vamosventures.com</t>
  </si>
  <si>
    <t>Suite 3310</t>
  </si>
  <si>
    <t>216746-29P</t>
  </si>
  <si>
    <t>Ashley Ryder</t>
  </si>
  <si>
    <t>Ryder</t>
  </si>
  <si>
    <t>Ms. Ashley Aydin serves as a Partner at VamosVentures. She serves as an Investment Committee Member at Van Wickle Ventures. She started her career in Capital Markets at Morgan Stanley covering the consumer space, and moved into strategic roles at Y-Combinator, Shoptiques.com, Saks Fifth Avenue, and Estee Lauder. She's been an investor at Brand Foundry Ventures, Founders Factory, and Dorm Room Fund. She received her MBA from MIT Sloan and BA from Brown University.</t>
  </si>
  <si>
    <t>+1 (347) 234-2315</t>
  </si>
  <si>
    <t>ashley@vamosventures.com</t>
  </si>
  <si>
    <t>83435-05P</t>
  </si>
  <si>
    <t>Marcos Gonzalez</t>
  </si>
  <si>
    <t>Mr. Marcos Gonzalez is the Founder and serves as Managing Partner at VamosVentures. He also served as an Advisor at LTX VC. He has been a venture, private equity, and angel investor throughout his career both in the United States and abroad. In between investment funds, he co-founded a tech company in Boston during the first internet wave of the 90s. Before entrepreneurship and investing, he worked for the Boston Consulting Group. He holds a BA from Brown University and an MBA from Harvard Business School.</t>
  </si>
  <si>
    <t>+1 (213) 304-2211</t>
  </si>
  <si>
    <t>marcos@vamosventures.com</t>
  </si>
  <si>
    <t>297690-13P</t>
  </si>
  <si>
    <t>Maya Trujillo</t>
  </si>
  <si>
    <t>Trujillo</t>
  </si>
  <si>
    <t>Ms. Maya Trujillo serves as an Associate at VamosVentures. She graduated from The Wharton School of the University of Pennsylvania with a B.S. in Economics, concentrating in Behavioral Economics. She was selected to the Wharton Research Scholars program, where she completed her honors thesis titled "Towards a Centralized Venture Capital Data Source - The Key to Increased Minority Access to Venture Capital?" She had a summer internship and a summer analyst position at Citibank and at VamosVentures, where she explored her interest in venture capital and consumer-facing businesses.</t>
  </si>
  <si>
    <t>+1 (267) 283-7555</t>
  </si>
  <si>
    <t>maya@vamosventures.com</t>
  </si>
  <si>
    <t>275999-77P</t>
  </si>
  <si>
    <t>Valeria Martinez</t>
  </si>
  <si>
    <t>Ms. Valeria Martinez serves as Principal at VamosVentures. She started her career with Deloitte Consulting. Post-consulting, she transitioned to investing, gaining experience at Harlem Capital, PayPal Ventures, Avivar Capital, and Stanford's Impact Fund focused on the intersection of human capital and technology. She holds a BS from USC's Marshall School of Business and an MBA from Stanford Graduate School of Business, where she also earned a Certificate in Public Management and Social Innovation for her work and studies in social entrepreneurship.</t>
  </si>
  <si>
    <t>+1 (818) 257-2656</t>
  </si>
  <si>
    <t>valeria@vamosventures.com</t>
  </si>
  <si>
    <t>211952-08P</t>
  </si>
  <si>
    <t>Xavier Rosario</t>
  </si>
  <si>
    <t>Rosario</t>
  </si>
  <si>
    <t>Mr. Xavier Rosario serves as an Investment Partner at Vamos Ventures. He serves as a Partner at Vamos Ventures. He started his career at Morgan Stanley in the investment banking division and also spent time at New Enterprise Associates (NEA) investing in social media, infrastructure, and consumer software. He has extensive experience as a tech entrepreneur and operator at Bond, Very Good Security, and Rightway Healthcare. Also, he holds a BA from Harvard College.</t>
  </si>
  <si>
    <t>+1 (646) 660-0636</t>
  </si>
  <si>
    <t>xavier@vamosventures.com</t>
  </si>
  <si>
    <t>323244-10P</t>
  </si>
  <si>
    <t>Felicia Parker</t>
  </si>
  <si>
    <t>Felicia</t>
  </si>
  <si>
    <t>Ventioneers</t>
  </si>
  <si>
    <t>Ms. Felicia Parker is a Co-Founder and serves as Entrepreneur &amp; Investor at Ventioneers. She is also the Founder and CEO of Mayada, a women's apparel brand.</t>
  </si>
  <si>
    <t>+1 (289) 885-7500</t>
  </si>
  <si>
    <t>felicia.parker@ventioneers.com</t>
  </si>
  <si>
    <t>Co-Founder, Entrepreneur &amp; Investor</t>
  </si>
  <si>
    <t>323243-38P</t>
  </si>
  <si>
    <t>Mohamed Soliman</t>
  </si>
  <si>
    <t>Soliman</t>
  </si>
  <si>
    <t>Mr. Mohamed Soliman is a Co-Founder and serves as Entrepreneur &amp; Investor at Ventioneers.</t>
  </si>
  <si>
    <t>mohamed.soliman@ventioneers.com</t>
  </si>
  <si>
    <t>356836-69P</t>
  </si>
  <si>
    <t>Cara Barnes</t>
  </si>
  <si>
    <t>VentureWell</t>
  </si>
  <si>
    <t>Ms. Cara Barnes serves as Senior Program Officer at VentureWell.</t>
  </si>
  <si>
    <t>cbarnes@venturewell.org</t>
  </si>
  <si>
    <t>Hadley, MA</t>
  </si>
  <si>
    <t>100 Venture Way</t>
  </si>
  <si>
    <t>01035</t>
  </si>
  <si>
    <t>+1 (413) 587-2175</t>
  </si>
  <si>
    <t>Senior Program Officer</t>
  </si>
  <si>
    <t>160259-32P</t>
  </si>
  <si>
    <t>Chris Desrosiers</t>
  </si>
  <si>
    <t>Desrosiers</t>
  </si>
  <si>
    <t>Mr. Chris Desrosiers serves as Vice President, Finance and Administration at VentureWell. He manages the financial and accounting functions of the organization. Some of the activity he oversees includes accounting, grants and contracts, financial reporting and budget management. He gained his business and accounting experience as an entrepreneur primarily in the mortgage and real estate industries. He earned his MBA from American International College and is also a graduate of the University of Massachusetts Amherst, with a BA in sociology.</t>
  </si>
  <si>
    <t>cdesrosiers@venturewell.org</t>
  </si>
  <si>
    <t>Vice President, Finance and Administration</t>
  </si>
  <si>
    <t>51487-30P</t>
  </si>
  <si>
    <t>Christina Tamer</t>
  </si>
  <si>
    <t>Ms. Christina Tamer serves as Vice President, Ventures at VentureWell. Prior to VentureWell, she worked at Invested Development. She holds an M.B.A. and a B.S. in Management from the University of Massachusetts Boston.</t>
  </si>
  <si>
    <t>ctamer@venturewell.org</t>
  </si>
  <si>
    <t>297393-31P</t>
  </si>
  <si>
    <t>Mark Marino</t>
  </si>
  <si>
    <t>Marino</t>
  </si>
  <si>
    <t>Mr. Mark Marino serves as Vice President, Growth Strategy &amp; Development at VentureWell. Mark leads the implementation of Venturewell's growth strategy, including new business cultivation and portfolio expansion of individual, foundation, corporate, and government revenue. He also serves as Principal Investigator and Project Director for a number of VentureWell initiatives. Mark has over 18 years' experience in US and global health organizations leading operations, business development, board governance, program development, and administration. He has a background in molecular biology and infectious disease diagnostics and received a BA in Zoology and Neuroscience from Miami University (OH) and a MPH from the Johns Hopkins Bloomberg School of Public Health.</t>
  </si>
  <si>
    <t>mmarino@venturewell.org</t>
  </si>
  <si>
    <t>Vice President, Growth Strategy &amp; Development</t>
  </si>
  <si>
    <t>193728-70P</t>
  </si>
  <si>
    <t>Patrick Beattie</t>
  </si>
  <si>
    <t>Mr. Patrick Beattie serves as Senior Program Officer at VentureWell. He co-founded and served as Chief Executive Officer at Redbird. Mr. Beattie has 10 years of experience working with rapid diagnostic tests to improve global health and development. Prior to Redbird, he was a co-founder and first employee of Diagnostics For All, a Boston area-based non-profit diagnostic company, and he also lead the expansion of Pacific Diagnostics, a Tanzanian medical supply company, into Ghana. He is passionate about empowering patients to be able to proactively manage their health in a convenient manner. He earned his undergraduate degree in Chemical Engineering, magna cum laude, from Princeton University and his MBA, with distinction, from the University of Oxford, where he was a Skoll Scholar.</t>
  </si>
  <si>
    <t>pbeattie@venturewell.org</t>
  </si>
  <si>
    <t>135428-77P</t>
  </si>
  <si>
    <t>Phil Weilerstein</t>
  </si>
  <si>
    <t>Weilerstein</t>
  </si>
  <si>
    <t>Mr. Phil Weilerstein serves as President &amp; Chief Executive Officer at VentureWell. Mr. Weilerstein began his career as an entrepreneur as a student at the University of Massachusetts. He and a team including his advisor launched a start-up biotech company which ultimately went public. This experience, coupled with a lifelong passion for entrepreneurship, led to his work with VentureWell. his tenure has been marked by his skill for network-building and expert leverage of resources. He has a talent for seeking out gifted educators and other contributors and putting them to work for the betterment of invention, innovation and entrepreneurship education in the U.S. and worldwide.</t>
  </si>
  <si>
    <t>pweilerstein@venturewell.org</t>
  </si>
  <si>
    <t>356607-46P</t>
  </si>
  <si>
    <t>Sarah Whrarmby</t>
  </si>
  <si>
    <t>Whrarmby</t>
  </si>
  <si>
    <t>Ms. Sarah Whrarmby serves as Program Officer at VentureWell.</t>
  </si>
  <si>
    <t>Program Officer</t>
  </si>
  <si>
    <t>308848-87P</t>
  </si>
  <si>
    <t>Terik Tidwell</t>
  </si>
  <si>
    <t>Terik</t>
  </si>
  <si>
    <t>Tidwell</t>
  </si>
  <si>
    <t>Mr. Terik Tidwell serves as Program Director of Inclusive Innovation at VentureWell.</t>
  </si>
  <si>
    <t>Program Director of Inclusive Innovation</t>
  </si>
  <si>
    <t>308818-00P</t>
  </si>
  <si>
    <t>Tricia Compas-Markman</t>
  </si>
  <si>
    <t>Compas-Markman</t>
  </si>
  <si>
    <t>Ms. Tricia Compas-Markman serves as Director, National Venture Programs at VentureWell. She implements and supports VentureWell's early-stage entrepreneur programs, providing training for innovators on topics ranging from customer discovery to investment-readiness. Previously, she founded and led DayOne Response, a science and technology startup providing clean drinking water solutions to vulnerable communities. During her tenure, she built a company with international reach, developed key partnerships, invented and scaled water technologies, and secured financing, which resulted in reaching 35+ countries and saving lives. She received her B.S. in Civil Engineering and M.S. in Civil/Environmental Engineering from California Polytechnic State University, San Luis Obispo.</t>
  </si>
  <si>
    <t>Director, National Venture Programs</t>
  </si>
  <si>
    <t>341423-83P</t>
  </si>
  <si>
    <t>Veritec Capital Partners</t>
  </si>
  <si>
    <t>Mr. Krishna Shivram serves as Managing Partner at Veritec Capital Partners.</t>
  </si>
  <si>
    <t>krishna.shivram@veritecventures.com</t>
  </si>
  <si>
    <t>2200 Post Oak Boulevard</t>
  </si>
  <si>
    <t>81304-75P</t>
  </si>
  <si>
    <t>Lackland Bloom</t>
  </si>
  <si>
    <t>Lackland</t>
  </si>
  <si>
    <t>Mr. Lackland Bloom serves as Managing Partner at Veritec Capital Partners. He served as Managing Director at JP Morgan. He serves as a Board Member at P6 Technologies. He previously served as Senior Managing Director in the Energy Investment Banking Group at Guggenheim Partners, prior to which he was Head of the Houston Office at Deutsche Bank. From 2000 to 2016, he served in various roles in the Energy Investment Banking Group at J.P. Morgan, including Managing Director and Head of the Oil &amp; Gas Group. Prior to joining J.P. Morgan, he served as an Equity Research Analyst at RBC Dain Rauscher. He currently serves on the Board of Directors of P6 Technologies.</t>
  </si>
  <si>
    <t>+1 (713) 906-5116</t>
  </si>
  <si>
    <t>lackland.bloom@veritecventures.com</t>
  </si>
  <si>
    <t>71696-98P</t>
  </si>
  <si>
    <t>Paal Kibsgaard</t>
  </si>
  <si>
    <t>Paal</t>
  </si>
  <si>
    <t>Kibsgaard</t>
  </si>
  <si>
    <t>Mr. Paal Kibsgaard serves as Managing Partner at Veritec Capital Partners. He serves as a Board Member at P6 Technologies. He served as Chief Executive Officer &amp; Chairman at Schlumberger. He serves as a Board Member at P6 Technologies. He served as Chief Executive Officer at Katerra. He had held a variety of global senior management positions at Schlumberger Limited, including Chairman and Chief Executive Officer, Chief Operating Officer, and President at Reservoir Characterization Group. He served as Vice President of Engineering, Manufacturing, and Sustaining and Vice President of Human Resources. Earlier in his Schlumberger career, he served as Geomarket Manager for the Caspian region after holding various field positions in sales, marketing, and customer support. He was the chief operating officer of Katerra, a construction technology company located in California, and has served as a director of Katerra for the past three years. He holds a Master's degree from the Norwegian Institute of Technology and is a petroleum engineer.</t>
  </si>
  <si>
    <t>pkibsgaard@veriteccapital.com</t>
  </si>
  <si>
    <t>1502 Pace Bend Road South</t>
  </si>
  <si>
    <t>Spicewood</t>
  </si>
  <si>
    <t>78669</t>
  </si>
  <si>
    <t>Deputy Chairman &amp; Board Member</t>
  </si>
  <si>
    <t>Borr Drilling (Former)</t>
  </si>
  <si>
    <t>424255-60P</t>
  </si>
  <si>
    <t>Arjun Murti</t>
  </si>
  <si>
    <t>Murti</t>
  </si>
  <si>
    <t>Veriten</t>
  </si>
  <si>
    <t>Mr. Arjun Murti serves as a Partner at Veriten. Mr. Murti has spent over 30 years on Wall Street as a sell-side equity research analyst, buy-side investor, advisor and board member covering the global energy sector.</t>
  </si>
  <si>
    <t>+1 (832) 982-0009</t>
  </si>
  <si>
    <t>amurti@veriten.com</t>
  </si>
  <si>
    <t>2925 Richmond Avenue</t>
  </si>
  <si>
    <t>419006-17P</t>
  </si>
  <si>
    <t>Gun Kim</t>
  </si>
  <si>
    <t>Gun</t>
  </si>
  <si>
    <t>Mr. Gun Kim serves as Director at Veriten. . Previously, Mr. Kim was at Quantum Energy Partners focused on structured capital strategy.</t>
  </si>
  <si>
    <t>+1 (832) 982-1698</t>
  </si>
  <si>
    <t>gkim@veriten.com</t>
  </si>
  <si>
    <t>76997-26P</t>
  </si>
  <si>
    <t>Jeffrey Tillery</t>
  </si>
  <si>
    <t>Tillery</t>
  </si>
  <si>
    <t>Mr. Jeffrey Tillery is a Founder and serves as Chief Operating Officer and Partner at Veriten. He served as Managing Director &amp; Head of Capital Solutions at Tudor, Pickering, Holt &amp; Company. Previously, He was Co-Head of Research and Co-Head of Securities at Tudor, Pickering, Holt &amp; Co. where he was responsible for equity research coverage of the oil service sector. Before that, He was a manager in the corporate advisory services group at Huron Consulting Group, which included multiple engagements in the energy industry. He gained experience as an equity research analyst at Simmons &amp; Company, International. He began his career as an analyst at Arthur Andersen. He holds a BBA in Finance from Texas A&amp;M University.</t>
  </si>
  <si>
    <t>+1 (713) 333-2964</t>
  </si>
  <si>
    <t>jtillery@veriten.com</t>
  </si>
  <si>
    <t>Co-Founder, Chief Operating Officer &amp; Partner</t>
  </si>
  <si>
    <t>372361-33P</t>
  </si>
  <si>
    <t>Lovett Shaper</t>
  </si>
  <si>
    <t>Shaper</t>
  </si>
  <si>
    <t>Mr. Lovett Shaper serves as Director at Veriten.</t>
  </si>
  <si>
    <t>+1 (713) 540-8943</t>
  </si>
  <si>
    <t>lshaper@veriten.com</t>
  </si>
  <si>
    <t>339208-84P</t>
  </si>
  <si>
    <t>Maynard Holt</t>
  </si>
  <si>
    <t>Mr. Maynard Holt is a CO-Founder and serves as Chief Executive Officer at Veriten. Built off the momentum created by the "Close of Business Tuesday" podcast, Veriten is an energy-focused knowledge platform that brings diverse perspectives to the energy transition discussion, improving the ability of industry leaders, policymakers, and investors to make investment and strategic choices. He previously served as Chief Executive Officer of Tudor, Pickering, Holt &amp; Co. from 2016 to 2021 and has over 27 years of experience in energy investment banking and strategic advice. A co-founder of TPH, he functioned as Co-President from 2007 to 2016, and before joining TPH, he worked at Goldman Sachs &amp; Co. At Goldman from 1994 to 2007, he worked in Leveraged / Structured Finance and was last a Managing Director in Energy &amp; Power / Natural Resources. He launched Veriten to convene the brightest minds in and around energy in a civil, inclusive, and intellectually honest discussion to address the most pressing topics across the space. Like too many of us, he passionately believes there are better ways forward in energy and he wants to find them. He is an avid classic Jeep collector and dedicated patron and supporter of youth sports and holds a BA in Economics and Russian from Rice University and a Master's in Public Policy from the John F. Kennedy School of Government at Harvard University.</t>
  </si>
  <si>
    <t>mholt@veriten.com</t>
  </si>
  <si>
    <t>424253-35P</t>
  </si>
  <si>
    <t>Michael Bradley</t>
  </si>
  <si>
    <t>Mr. Michael Bradley is a Co-Founder &amp; serves as a Partner at Veriten. Mr. Bradley has more than 25 years of experience in investment strategy spanning capital markets, equity investments and sales &amp; trading roles.</t>
  </si>
  <si>
    <t>mbradley@veriten.com</t>
  </si>
  <si>
    <t>CO-Founder &amp; Partner</t>
  </si>
  <si>
    <t>59229-28P</t>
  </si>
  <si>
    <t>Robert Kester Ph.D</t>
  </si>
  <si>
    <t>Dr. Robert Kester serves as Partner, Technology &amp; Innovation at Veriten. He was a Co-Founder and served as Co-Chief Executive Officer at Rebellion Photonics. Previously, he served as Chief Technology Officer at Rebellion Photonics. He has completed his Ph.D. (Doctor of Philosophy) in Bioengineering from Rice University, MS (Master of Science) in Optical Science from University of Arizona and BS (Bachelor of Science) in Laser Optical Engineering Technology from Oregon Institute of Technology.</t>
  </si>
  <si>
    <t>rkester@veriten.com</t>
  </si>
  <si>
    <t>Partner, Technology &amp; Innovation</t>
  </si>
  <si>
    <t>340924-15P</t>
  </si>
  <si>
    <t>Robert West</t>
  </si>
  <si>
    <t>Mr. Robert West is the Founder and serves as Lead Analyst, Chief Executive Officer at Thunder Said Energy. Prior to ThunderSaid, Mr. West built up the energy practice at Redburn, which is among the world's leading, independent equity-research firms. He was responsible for the team's energy strategy and commodity market research; while covering the Super-Majors, such as ExxonMobil, Chevron, Shell, BP, TOTAL, Eni and Equinor. Prior to Redburn, Rob was part of Sanford C. Bernstein's oil and gas practice. He has completed 75 modules in the IPIMS Petroleum Geology and Engineering programme. He holds a first class degree in Experimental Psychology from University College, Oxford. He is also a CFA charterholder. And a Research Associate at the Oxford Institute for Energy Studies.</t>
  </si>
  <si>
    <t>rob.west@thundersaidenergy.com</t>
  </si>
  <si>
    <t>5900 Balcones Drive</t>
  </si>
  <si>
    <t>Suite 4357</t>
  </si>
  <si>
    <t>78731</t>
  </si>
  <si>
    <t>Founder, Lead Analyst &amp; Chief Executive Officer</t>
  </si>
  <si>
    <t>Thunder Said Energy</t>
  </si>
  <si>
    <t>11771-38P</t>
  </si>
  <si>
    <t>In Sik Rhee</t>
  </si>
  <si>
    <t>In Sik</t>
  </si>
  <si>
    <t>Vertex Ventures US</t>
  </si>
  <si>
    <t>Mr. In Sik Rhee serves as General Partner at Vertex Ventures US. Mr. In Sik Rhee serves as Board Member at Upsolver and Interana. He serves as Board Member at Cyberhaven. He served as General Partner at Vertex Ventures Israel.He previously served as General Partner at Rembrandt Venture Partners. He served as Board Member at Hedvig. He also served as Board Member at ZEPL and Evisort. He serves as a Board Member at Concurrent. He joined Rembrandt Venture Partners as a General Partner from Accel Partners. He brings an additional 18 years of experience as an entrepreneur and investor. He was a Venture Partner at the Palo Alto Office. He joined Accel Partners in August 2007. He served as an Advisor and Board Member to Accel's portfolio companies and also focused on new investment opportunities in software and digital entertainment. He was a co-founder and chief tactician at Opsware, formerly Loudcloud, which was acquired by Hewlett-Packard for US$1.6 billion in 2007.</t>
  </si>
  <si>
    <t>+1 (650) 285-5224</t>
  </si>
  <si>
    <t>ir@vertexventures.com</t>
  </si>
  <si>
    <t>345 California Avenue</t>
  </si>
  <si>
    <t>+1 (650) 240-1760</t>
  </si>
  <si>
    <t>40874-14P</t>
  </si>
  <si>
    <t>Jonathan Heiliger</t>
  </si>
  <si>
    <t>Heiliger</t>
  </si>
  <si>
    <t>Mr. Jonathan Heiliger is the Founder and serves as General Partner at Vertex Ventures US. Mr. Heiliger also serves as Board Member at Human Security, Cloud Academy, Dor, DuPont Fabros (DFT), Jive Software (JIVE) and Webmonsters. He served as a Board member at Valtix. He served as Board Member at PerimeterX. Most recently, he was a General Partner with North Bridge Venture Partners, from April 2012 to November 2014. During his tenure, he started the seed practice and led investments in Lytro, Periscope.io, Quora, and Ravel Law. Prior to NBVP, he worked at Facebook, where he led global infrastructure, site architecture, and internal systems as VP of Infrastructure &amp; Technical Operations, from 2007 until 2011. During that time Facebook grew from 35 million to over 800 million users. Before that, he held executive engineering roles at Wal-Mart and Danger (acquired by Microsoft). He also spent several years as Chief Operating Officer for Loudcloud (which became Opsware and was later acquired by HP). Earlier in his career, he co-founded and was CTO of GlobalCenter, and later founded Global Crossing's venture capital group. He also co-founded Coolan and served as an Advisor. He served as an Advisor at Redwood Systems. He also served as Board Member at Vintra. He served as Advisor at Diaminti.</t>
  </si>
  <si>
    <t>jonathan@vertexventures.com</t>
  </si>
  <si>
    <t>229661-74P</t>
  </si>
  <si>
    <t>Megan Reynolds</t>
  </si>
  <si>
    <t>Ms. Megan Reynolds serves as Principal at Vertex Ventures US. She previously served as an Investor at Crane Venture Partners.</t>
  </si>
  <si>
    <t>megan@vvus.com</t>
  </si>
  <si>
    <t>68337-55P</t>
  </si>
  <si>
    <t>Noah Carr</t>
  </si>
  <si>
    <t>Mr. Noah Carr serves as General Partner at Vertex Ventures US. Mr. Carr served as a Partner, Investments at Point72 Ventures. He serves as a Board Observer at Anvilogic. He previously served as Principal at Bain Capital Ventures. He joined Bain Capital Ventures in 2013 and focuses on venture and growth-stage opportunities in software. He enjoys working with passionate entrepreneurs to help grow their companies. Prior to joining Bain Capital Ventures, he was an analyst in the Technology Investment Banking Group at Deutsche Bank focused on helping software companies raise capital and explore strategic alternatives. During his time at Deutsche Bank, he worked closely with the Eloqua, Bazaarvoice, and Tangoe management teams on their IPOs. He graduated with a BA from Hamilton College with degrees in Computer Science and Economics.</t>
  </si>
  <si>
    <t>+1 (617) 516-2623</t>
  </si>
  <si>
    <t>noah@vvus.com</t>
  </si>
  <si>
    <t>78815-98P</t>
  </si>
  <si>
    <t>Sandeep Bhadra Ph.D</t>
  </si>
  <si>
    <t>Bhadra</t>
  </si>
  <si>
    <t>Dr. Sandeep Bhadra serves as General Partner at Vertex Ventures US. He serves as Board Observer at Orkes. He serves as a Board Member at RAD Security. He also serves as Board Member at Tulip, and Forestry Broker Buddha. He served as Board Member at TinaCMS. He served as a Board Member at Bellhop and Broker Buddha. He joined Vertex in 2017 and focuses primarily on cloud infrastructure, data-driven business applications, and cybersecurity. At 21, as a freshly minted electrical engineer, he helped set up and operate India's first WiFi hotspot and felt how transformative technology could be for business users, how hard infrastructure was to operate at scale, and how demanding business buyers could be. Most recently, he was a Principal at Menlo Ventures where he focused on investments in infrastructure and data/machine-learning-driven applications investments there including Platform9, Signifyd, Unravel Data and Clarifai. Prior to that, he was with Cisco's Corporate Development team learning how a market leader uses inorganic strategies to grow and transform itself. While there he worked on Cisco's investments in MapR, Platfora, Moogsoft, and acquisitions of Metacloud, tail-f, and Memoir Systems. He holds both a B.Tech from IIT Madras and a Ph.D. from the University of Texas at Austin in Electrical Engineering, and an MBA from INSEAD.</t>
  </si>
  <si>
    <t>sandeep@vertexventures.com</t>
  </si>
  <si>
    <t>192946-42P</t>
  </si>
  <si>
    <t>Simon Tiu</t>
  </si>
  <si>
    <t>Tiu</t>
  </si>
  <si>
    <t>Mr. Simon Tiu serves as Principal at Vertex Ventures US. Backing visionary founders in AI-native enterprise software and infrastructure. With deep expertise in machine learning, software engineering, and strategic finance, he enjoys helping technical founders navigate complex business challenges and scale effectively. Previously, he advised leading technology companies at Qatalyst Partners on ~$100B in landmark M&amp;A transactions, including Splunk, Afterpay, Coupa, and New Relic. His blend of technical and strategic experience uniquely positions him to support founders in scaling transformative companies. He started his career in management consulting and corporate strategy. He holds a B.S. in Industrial Engineering and Operations Research from UC Berkeley and an MBA from the University of Chicago Booth School of Business.</t>
  </si>
  <si>
    <t>+1 (415) 859-6779</t>
  </si>
  <si>
    <t>simon@vvus.com</t>
  </si>
  <si>
    <t>337353-49P</t>
  </si>
  <si>
    <t>Esteban Urrea</t>
  </si>
  <si>
    <t>Urrea</t>
  </si>
  <si>
    <t>Vertical Partners</t>
  </si>
  <si>
    <t>Mr. Esteban Urrea is a Co-Founder and serves as Managing Partner at Vertical Partners. He serves as Board Member at StartCo. He served as Board Member at Fourier.</t>
  </si>
  <si>
    <t>esteban.urrea@vertical-p.com</t>
  </si>
  <si>
    <t>Medellin</t>
  </si>
  <si>
    <t>Medellin, Colombia</t>
  </si>
  <si>
    <t>Calle 7, Number 39-215, Office 807</t>
  </si>
  <si>
    <t>423066-61P</t>
  </si>
  <si>
    <t>Miguel Urrea</t>
  </si>
  <si>
    <t>Board Member &amp; Chief Legal Officer</t>
  </si>
  <si>
    <t>Mr. Miguel Urrea is the Chief Legal Officer also serves as Board Member at Vertical Partners.</t>
  </si>
  <si>
    <t>miguel@vertical-p.com</t>
  </si>
  <si>
    <t>Chief Legal Officer &amp; Board Member</t>
  </si>
  <si>
    <t>423065-80P</t>
  </si>
  <si>
    <t>Renata Velez</t>
  </si>
  <si>
    <t>Renata</t>
  </si>
  <si>
    <t>Ms. Renata Velez serves as Chief Financial Officer at Vertical Partners.</t>
  </si>
  <si>
    <t>renata.velez@vertical-p.com</t>
  </si>
  <si>
    <t>327862-00P</t>
  </si>
  <si>
    <t>Abigail Reid</t>
  </si>
  <si>
    <t>VertueLab</t>
  </si>
  <si>
    <t>Ms. Abigail Hagan Reid serves as Project Manager at VertueLab. Ms. Reid earned a degree of BS (Bachelor of Science) from University of Maryland Global Campus.</t>
  </si>
  <si>
    <t>+1 (971) 770-2378</t>
  </si>
  <si>
    <t>P.O. Box 212</t>
  </si>
  <si>
    <t>97207</t>
  </si>
  <si>
    <t>193854-07P</t>
  </si>
  <si>
    <t>Aina Abiodun</t>
  </si>
  <si>
    <t>Aina</t>
  </si>
  <si>
    <t>Abiodun</t>
  </si>
  <si>
    <t>Executive Director &amp; President</t>
  </si>
  <si>
    <t>Ms. Aina Abiodun serves as President &amp; Executive Director at VertueLab. She is a Co-Founder &amp; served as Chief Operating Officer and Board Member at Salt. Ms. Abiodun served as Chief Executive Officer at 8fit. She is a Co-Founder of StoryCode and was previously Director of Strategy and Innovation at New York-based Matter Unlimited, a Cannes Lion and Clio award-winning agency. Over the course of her career, she's developed brand and strategy for companies including The Obama Foundation, Facebook, Merck, Novartis &amp; Rockefeller Foundation, and Mattel, and plans to bring her empathy- and mission-driven approach to 8fit as the company enters its next phase of growth and product development.</t>
  </si>
  <si>
    <t>+44 (0)64 6449 9829</t>
  </si>
  <si>
    <t>aina.abiodun@vertuelab.org</t>
  </si>
  <si>
    <t>President &amp; Executive Director</t>
  </si>
  <si>
    <t>276304-69P</t>
  </si>
  <si>
    <t>Erin Clements</t>
  </si>
  <si>
    <t>Clements</t>
  </si>
  <si>
    <t>Ms. Erin Clements serves as Managing Director, Washington at VertueLab. As Director of Strategic Partnerships, she works with future-focused partners to create the conditions for innovation, shared economic prosperity, and environmental change through philanthropy. She develops relationships and partnership opportunities with foundations, corporations, philanthropic organizations, and individuals who want to accelerate solutions to the global human crisis of our time: climate change, while also building a more inclusive and Just Economy.
she has over 10 years of experience in nonprofit management and philanthropy working with corporate, government, foundation, and individual funders around public space, environmental justice, climate, and clean energy and access issues. Previously, she was VP and COO of Seattle Parks Foundation, where she raised millions of dollars to support community-led parks and public space initiatives across Seattle. She has a BA from Western Washington University and a Certificate of Nonprofit Management from the University of Washington.</t>
  </si>
  <si>
    <t>erin.clements@vertuelab.org</t>
  </si>
  <si>
    <t>Managing Director, Washington</t>
  </si>
  <si>
    <t>196048-81P</t>
  </si>
  <si>
    <t>Joseph Connors</t>
  </si>
  <si>
    <t>Board Member &amp; Secretary</t>
  </si>
  <si>
    <t>Mr. Joseph Connors serves as Board Member, Secretary &amp; Treasurer at VertueLab. Prior to this, they were with Kforce from May 2001 to February 2003 as a Controller and CFO Consultant. From December 1994 to March 2000, they were the Chief Financial Officer at Rounder Records. Joseph has also worked at Columbia Bank, JMC Consulting, ONEWorld Software Solutions, and Essex County Gas Company. Joseph Connors started their career in 1984 as an Audit Manager at Smith &amp; McCafferty, CPAs. He has a Master's Level Certificate in Leadership and Financial Management in Banking from the Pacific Coast Banking School, a Master of Business Administration (M.B.A.) in Management from the Babson F.W. Olin Graduate School of Business, and a BA in Accounting from Assumption University.</t>
  </si>
  <si>
    <t>Board Member, Secretary &amp; Treasurer</t>
  </si>
  <si>
    <t>131005-18P</t>
  </si>
  <si>
    <t>Ken Vaughn</t>
  </si>
  <si>
    <t>Mr. Ken Vaughn serves as Director of Impact Investments at VertueLab. He also serves as an Advisor at VectorPoint Ventures. He manages the programs that provide grants to researchers at Oregon's state universities and make investments in Oregon startup companies. These programs are designed to accelerate research and technology development to remove the barriers to customer adoption and follow-on investments by private investors. He collaborates with innovators, investors, mentors, support organizations, and senior management talent to help assemble the elements necessary for launching a successful business in the cleantech sector in Oregon. Before joining Oregon BEST, he held senior management positions in engineering, product management and marketing in a wide range of industries. He has experience in managing innovation, starting companies, advising early-stage companies, and investing in early-stage ventures.</t>
  </si>
  <si>
    <t>+1 (503) 430-4529</t>
  </si>
  <si>
    <t>ken.vaughn@vertuelab.org</t>
  </si>
  <si>
    <t>Director of Impact Investments</t>
  </si>
  <si>
    <t>27537-58P</t>
  </si>
  <si>
    <t>Joseph Benevento</t>
  </si>
  <si>
    <t>Benevento</t>
  </si>
  <si>
    <t>Virginia Innovation Partnership Corporation</t>
  </si>
  <si>
    <t>Mr. Joseph Benevento served as Chief Executive Officer &amp; Vice President at Virginia Innovation Partnership. Mr. Benevento serves as Board Member at Roanoke Blacksburg Innovation Alliance. He served as Managing Director at Falcon Affiliates. He was an Associate at THL. Before joining THL, he worked in the Leveraged Finance Group and Principal Investment Area at Goldman Sachs in New York. He holds a B.S. in Applied Economics and Management, magna cum laude, from Cornell University. He also completed an MBA degree from Harvard Business School.</t>
  </si>
  <si>
    <t>+1 (703) 689-3000</t>
  </si>
  <si>
    <t>313 East Broad Street</t>
  </si>
  <si>
    <t>23219</t>
  </si>
  <si>
    <t>+1 (703) 689-3001</t>
  </si>
  <si>
    <t>322564-69P</t>
  </si>
  <si>
    <t>Marco Rubin</t>
  </si>
  <si>
    <t>Mr. Marco Rubin serves as Senior Director, Investments at Virginia Innovation Partnership. He is responsible for sourcing, diligence, and closing seed and early-stage investments on behalf of the Virginia Innovation Partnership Corporation. He serves as a board representative to numerous portfolio companies. He divides his responsibilities between managing the GAP Tech Fund and the Commonwealth Energy Fund. He also founded and currently serves as Advisory Board Chairman for Exoventure Associates, LLC, which is primarily engaged in emerging market activity. Before forming Exoventure, he was a founder of Monumental Venture Partners, LLC (MVP), making investments in the security, information technology, telecommunications, software, and medical devices sectors. Substantial exits were made to Dolby Labs and Level 3 Communications. Prior to Monumental, he ran New Ventures, MCI's venture capital unit, until the company's acquisition in 1998, where investment exits were made in both Cisco and Alcatel. He also worked for Booz Allen &amp; Hamilton, where he served as a project leader for clients in the energy, telecommunications, and information technology industries. Clients included names such as Mobil Oil and NASA. He began his career as an engineer at NASA's Johnson Space Center, where he trained and certified astronauts and flight controllers to operate spacecraft. He holds an MBA from George Washington University and a Bachelor of Science in Electrical Engineering from the University of New Mexico.</t>
  </si>
  <si>
    <t>marco.rubin@virginiaipc.org</t>
  </si>
  <si>
    <t>444157-39P</t>
  </si>
  <si>
    <t>Thomas Best</t>
  </si>
  <si>
    <t>Mr. Thomas Best serves as VC Funds Operations Analyst at Virginia Innovation Partnership Corporation.</t>
  </si>
  <si>
    <t>thomas.best@virginiaipc.org</t>
  </si>
  <si>
    <t>VC Funds Operations Analyst</t>
  </si>
  <si>
    <t>39125-44P</t>
  </si>
  <si>
    <t>Thomas Weithman</t>
  </si>
  <si>
    <t>Weithman</t>
  </si>
  <si>
    <t>Mr. Thomas Weithman serves as Chief Investment Officer &amp; Vice President Division of Investment at Virginia Innovation Partnership. He serves as a Managing Director andMember of Investment Advisory Board at Virginia Venture Partners. He serves as a Board Observer for several VVP portfolio companies. He served as a Board Member of the Alzheimer's Association. In 2004 He holds a Master's in Public Administration from Harvard University, a BA in English from the University of Notre Dame, and an MBA in Marketing and Management from Michigan State University.</t>
  </si>
  <si>
    <t>+1 (703) 689-3060</t>
  </si>
  <si>
    <t>thomas.weithman@virginiaipc.org</t>
  </si>
  <si>
    <t>Chief Investment Officer &amp; Vice President Division of Investment</t>
  </si>
  <si>
    <t>39010-96P</t>
  </si>
  <si>
    <t>Craig Asher</t>
  </si>
  <si>
    <t>Asher</t>
  </si>
  <si>
    <t>Vital Venture Capital</t>
  </si>
  <si>
    <t>Mr. Craig Asher serves as Principal at Vital Venture Capital. He served as a Board Member at TARA Biosystems. He serves as Board Observer at Constructive Bio. He serves as Board Member at VedaBio. He serves as a Board Member at Shoefitr, Circadence, and HealthTell, and serves as a Board Observer at Halfpenny. He co-chaired the international EPCglobal EPCIS standard which was the core for the broad adoption of similar information management software and attained ratification of the standard in 2007. Before moving into software startups, he was a consultant with Andersen Consulting (now Accenture) in the supply chain strategy practice. He serves as a Board Member at HealthTell. He did his undergraduate work at Stanford University and completed his MBA and master's in Industrial Engineering at Northwestern University.</t>
  </si>
  <si>
    <t>casher@vitalvc.com</t>
  </si>
  <si>
    <t>7101 Wisconsin Avenue</t>
  </si>
  <si>
    <t>Suite 1210</t>
  </si>
  <si>
    <t>64364-32P</t>
  </si>
  <si>
    <t>Nathaniel Brinn</t>
  </si>
  <si>
    <t>Brinn</t>
  </si>
  <si>
    <t>Mr. Nathaniel Brinn is a partner at Vital Venture Capital. Mr. Brinn serves as a General Partner at VC23 Investors. He also serves as a Board Member at Tangen Biosciences.He served as a board member at AxioMx and SchoolChapters. He was a Co-Founder of Spindle Biotech. He also served as Board Member at CD Diagnostics. Previously, he served as a Board Member at NovaTract Surgical. Nat has a 25-year successful track record of private investments, acquisitions and business management. The most recent example is HSA Bank, the largest specialty bank in the United States focused on health savings accounts. Nat has successful management experience in growth companies, including his role as CEO of HSA Bank, where accounts and revenues grew four-fold and the firm developed a significant profit margin from an initial loss position. Nat.s private equity investments have achieved positive returns, with many returning 4-5x initial investment within several years. In aggregate, he has completed more than 80 transactions with positive results, including the avoidance of any defaults during his tenure as a private placement bond investor. While he was Executive Vice President of Corporate Development at Webster Bank, Nat was responsible for mergers and acquisitions as well as strategic initiatives. He also oversaw the management of Budget Installment Company, a premium finance company that Webster acquired and grew three-fold in outstanding balances, revenues and profits over three years under his supervision. Upon acquiring HSA Bank for Webster, he was appointed to become CEO of HSA Bank. HSA Bank was purchased in early 2005 for a net premium of $12 million and was valued at nearly $100 million upon his departure at CEO in July 2007 to join Vital Financial. Both the Budget Installment and HSA Bank situations involved upgrading IT, financial, compliance and operating systems as well as building national sales organizations. Prior to his tenure at Webster Bank, Nat held positions in corporate development (M&amp;A and strategic investing) and private placement investments at Hartford Steam Boiler Insurance and Inspection Company, Phoenix Home Life, Canadian Imperial Bank and Metropolitan Life. Nat has an MBA in finance and accounting from The Fuqua School of Business (Duke University), where he was a Fuqua Scholar and his class graduation speaker. He did his undergraduate work in economics, with additional focus in mathematics and statistics, at University of Delaware where he was in the honors program.</t>
  </si>
  <si>
    <t>+1 (860) 729-3247</t>
  </si>
  <si>
    <t>nbrinn@vitalvc.com</t>
  </si>
  <si>
    <t>43418-80P</t>
  </si>
  <si>
    <t>Norman Norris JD</t>
  </si>
  <si>
    <t>Mr. Norman Norris serves as Principal at Vital Venture Capital. Mr. Norris co-founded Trancos Venture. Mr. Norris serves as a Principal at Vital Venture Capital. He was a co-founder and principal investor in Trident International, a company purchased as a division of Johnson Worldwide and then taken public on the NASDAQ. Mr. Norris served as a member of the board of directors of Trident International until its successful sale to a larger competitor. He is the chairman of, and he and his family are majority shareholders of, eTool Development. which owns significant patent rights relating to on-line product development tools used in the electronics and specialty chemical industries. Mr. Norris was an attorney in the intellectual property law firm of Woodcock Washburn. While at Woodcock Washburn he rose to the level of a named partner (1980 - 2000) and served for many years as a member of its executive committee. Mr. Norris received his JD degree from George Washington University and has a B.S. in Electrical Engineering from Michigan State University. He serves as the president of CR Certification.</t>
  </si>
  <si>
    <t>368490-79P</t>
  </si>
  <si>
    <t>Jake Kent</t>
  </si>
  <si>
    <t>Voyager (US)</t>
  </si>
  <si>
    <t>Mr. Jake Kent is a Principal of Voyager. He joined Voyager from K1, a software-focused private equity firm with over $13B AUM. At K1, he worked simultaneously across the investment and operations teams, leading both diligence and post-closing value creation. He brings expertise in investment across all stages, B2B software, marketplaces, portfolio reporting, go-to-market strategy, operations, and leading due diligence processes. He is a graduate of UCLA where he majored in Business Economics and minored in Accounting and Spanish.</t>
  </si>
  <si>
    <t>+1 (415) 407-2762</t>
  </si>
  <si>
    <t>jake@voyagervc.com</t>
  </si>
  <si>
    <t>1801 Wedemeyer Street</t>
  </si>
  <si>
    <t>Suite 604</t>
  </si>
  <si>
    <t>327204-46P</t>
  </si>
  <si>
    <t>Leonardo Banchik Ph.D</t>
  </si>
  <si>
    <t>Banchik</t>
  </si>
  <si>
    <t>Mr. Leonardo Banchik serves as Director at Voyager (US). He served as Partner &amp; Global Climate Tech Lead at Global Founders Capital. Leo brings two decades of climate tech experience across consulting, startups, research, and policy. Leo joined Voyager from Global Founders Capital, where he was the Partner responsible for GFC's global climate and deep tech investing. Prior to GFC, Leo drove sustainable investing and energy transition strategy engagements at McKinsey and led product innovation at advanced desalination startup, Sandymount. Leo earned his PhD in Mechanical Engineering from MIT as an NSF Fellow focused on low-carbon desalination. He began his career as a scientist at two National Labs and researcher at the Department of Energy's office of Energy Efficiency and Renewable Energy.</t>
  </si>
  <si>
    <t>368489-89P</t>
  </si>
  <si>
    <t>Matthew Blain</t>
  </si>
  <si>
    <t>Mr. Matthew Blain serves as Investor at Voyager. He serves as Board Member at SirenOpt. He has been incubating and launching early-stage businesses since 2017 and brings expertise in product, customer discovery, and B2B SaaS. He previously worked at Deloitte Ventures where he led the incubation and launch of 87 startup concepts over three years. Matthew earned a MBA from Berkeley and Columbia and wrote his undergraduate thesis modelling the historical climate of Tasmania to evaluate the impact of climate change. He divides his time between New York and London.</t>
  </si>
  <si>
    <t>386698-78P</t>
  </si>
  <si>
    <t>Melissa Luxemberg</t>
  </si>
  <si>
    <t>Luxemberg</t>
  </si>
  <si>
    <t>Ms. Melissa Luxemberg serves as Executive Assistant at Voyager (US). Ms Luxemberg is an executive assistant at Voyager, responsible for supporting founding partners Sarah Sclarsic and Sierra Peterson. She also assists with the firm's internal operations. Prior to Voyager, Melissa worked as a trip leader and operations expert at Backroads, designing and leading cycling trips in Croatia, Italy, and New Zealand. Melissa brings a decade of experience in operations, logistics, client relations, and project management. Melissa earned a Bachelor's in Natural Resource Management &amp; Resource Economics from the University of Delaware.</t>
  </si>
  <si>
    <t>melissa@voyagervc.com</t>
  </si>
  <si>
    <t>386696-98P</t>
  </si>
  <si>
    <t>Nare Janvelyan Ph.D</t>
  </si>
  <si>
    <t>Nare</t>
  </si>
  <si>
    <t>Janvelyan</t>
  </si>
  <si>
    <t>Ms. Nare Janvelyan is an Investor at Voyager (US).</t>
  </si>
  <si>
    <t>63788-68P</t>
  </si>
  <si>
    <t>Sarah Sclarsic</t>
  </si>
  <si>
    <t>Sclarsic</t>
  </si>
  <si>
    <t>Ms. Sarah Sclarsic is a Founding Partner of Voyager. She serves as Board Member at Andes (Agriculture). She serves as a Board Member at XL Fleet. She serves as a Board Member at SnoFox. She serves as a Board Member at Negative Emissions Materials, Andes, Intensive. She also serves as a Board Observer at Anthro Energy. She served as Director of Business at Modern Meadow. She serves as an Advisor and Board Member at Remora. She is an entrepreneur with a background in biotechnology. She co-founded Getaround, an innovative peer-to-peer carsharing company. At Getaround she guided operations and business development, crafting novel business relationships within the transportation and insurance industries. She previously worked in venture capital as an investment analyst with Canaan Partners, focusing on early-stage technology companies. She holds a BA in Bioethics and Public Policy from Harvard University, where she also performed research in a molecular and cellular biology lab. After college, she worked in sub-Saharan Africa helping the Clinton Foundation scale up treatment of HIV/AIDS. She is a graduate of Singularity University, a technology studies program based at NASA Ames, and has advised early-stage startups on business strategy, product, and business development.</t>
  </si>
  <si>
    <t>+1 (317) 852-1976</t>
  </si>
  <si>
    <t>sarah@voyagervc.com</t>
  </si>
  <si>
    <t>2703 7th Street</t>
  </si>
  <si>
    <t>Pivotal Investment III (Former)</t>
  </si>
  <si>
    <t>144600-94P</t>
  </si>
  <si>
    <t>Sierra Peterson</t>
  </si>
  <si>
    <t>Ms. Sierra Peterson is a Founding Partner of Voyager (US). Ms. Peterson is an Angel Investor. She serves as a Board Member at ENAPI. She serves as a Board Member at Ento Labs and CarbonChain. She served as an Executive at Lionheart Ventures. She serves as an Investor at Evergrow. She served as Vice President of Corporate Development and New Businesses at Renovate America. She serves as an Advisor at Swift Solar. Previously she served as a Director, of Business Development at Clean Power Finance. She served as an Advisor at Sylvera. She serves as a Board Member at Normative. She is a graduate of Stanford and Harvard.</t>
  </si>
  <si>
    <t>sierra@voyagervc.com</t>
  </si>
  <si>
    <t>42590-62P</t>
  </si>
  <si>
    <t>Ben Gibbons</t>
  </si>
  <si>
    <t>Waterpoint Lane</t>
  </si>
  <si>
    <t>Mr. Ben Gibbons is the Founder and serves as Managing Partner at Waterpoint Lane. Mr. Gibbons served as a Partner at RSM Canada Corporate Finance. Mr. Gibbons also serves as a Partner at Quantum Growth Advisors. He focuses on supporting and managing local and cross-border transactions and leading M&amp;A and capital advisory transactions in the private and public company sectors across a variety of industries. He leverages the firm's full financial service offering, ranging from transaction advisory to assurance and tax structuring, driving value to all stakeholders in corporate finance mandates. He brings his extensive corporate finance and advisory experience working in Australia and Canada to all of his transactions, whether they are large corporate transactions or small-cap private company processes. He graduated with a Bachelor of Materials Engineering (Honours) from the University of New South Wales, Sydney, Australia in 2004, and completed a Graduate Certificate in Applied Finance from the Financial Services Institute of Australia in 2008. He was admitted to the partnership in 2015. he serves as Advisor at Relocalize.</t>
  </si>
  <si>
    <t>+1 (647) 539-1598</t>
  </si>
  <si>
    <t>ben@waterpointlane.com</t>
  </si>
  <si>
    <t>M4M 2P8</t>
  </si>
  <si>
    <t>354739-33P</t>
  </si>
  <si>
    <t>Meifan Shi</t>
  </si>
  <si>
    <t>Meifan</t>
  </si>
  <si>
    <t>Chief Strategy Officer &amp; Managing Partner</t>
  </si>
  <si>
    <t>Ms. Meifan Shi serves as Co-Managing Partner, Executive, Committee Chair &amp; Chief Strategy Officer at Waterpoint Lane. Ms. Shi has extensive experience advising 50+ multimillion-dollar portfolio companies, leveraging strategy and technology expertise to scale business growth within the PE/VC, Family Office, and Institutional Investor groups. She has a Proven track record of leading business transformation initiatives from startups to Fortune 500 companies, with operating management success and investor returns. She has Strong background leading global teams on value creation opportunities and building programmatic business models to drive profitability for portfolio companies. As Executive Committee Chair, she oversees the firm's operating partner and advisory boards, leveraging global networks and sector expertise to scale transformative businesses. With over 20 years of experience in technology, finance, and investment strategy, Shi has successfully built, scaled, and exited high-growth companies, driving EBITDA growth, enterprise value, and long-term scalability across both Fortune 500 corporations and disruptive startups. Her expertise integrates financial discipline with operational leadership, ensuring sustained portfolio-wide returns. Previously, Ms. Shi co-founded the private equity business at Amazon Web Services (AWS), pioneering new service lines and forging strategic partnerships with top-tier investment firms. Under her leadership, the initiative grew a client portfolio exceeding $800 billion AUM and generated over $50 million in revenue within 18 months. At Waterpoint Lane, she integrates portfolio strategy and capital markets expertise to scale businesses in food, health, and wellness, driving fund growth, portfolio expansion, and strategic exits. Ms. Shi is deeply committed to building diverse investment ecosystems, aligning financial returns with purpose-driven innovation to create lasting value for investors, communities, and the planet.</t>
  </si>
  <si>
    <t>+1 (917) 309-0303</t>
  </si>
  <si>
    <t>meifan@waterpointlane.com</t>
  </si>
  <si>
    <t>Co-Managing Partner, Executive, Committee Chair &amp; Chief Strategy Officer</t>
  </si>
  <si>
    <t>451311-49P</t>
  </si>
  <si>
    <t>Anne Dordai</t>
  </si>
  <si>
    <t>Dordai</t>
  </si>
  <si>
    <t>Wavemaker Three-Sixty Health</t>
  </si>
  <si>
    <t>Ms. Anne Dordai serves as Head of Portfolio and Platform at Wavemaker Three-Sixty Health. Prior to Wavemaker360, she was at AEA Investors and StartUp Health. She holds B.A. from New York University</t>
  </si>
  <si>
    <t>adordai@wavemaker360.com</t>
  </si>
  <si>
    <t>65 North Raymond Avenue</t>
  </si>
  <si>
    <t>Suite 340</t>
  </si>
  <si>
    <t>91103</t>
  </si>
  <si>
    <t>Head of Portfolio and Platform</t>
  </si>
  <si>
    <t>281096-74P</t>
  </si>
  <si>
    <t>Brian Kadota</t>
  </si>
  <si>
    <t>Kadota</t>
  </si>
  <si>
    <t>Mr. Brian Kadota serves as Director of Venture Operations at Wavemaker Three-Sixty Health. He works as an integral member of the Wavemaker Three-Sixty Health operations team. He works closely with all Partners in developing and implementing strategies, policies, and business plans to further grow the fund. He continues to develop Wavemaker Three-Sixty Health's culture and cultivates opportunities for rising talent within the organization. He serves as an Associate, Three-Sixty Advisory Group. He is trained in design, coordination, and facilitation of Three-Sixty Advisory Group's DesignShop Trainer IDX EMR, Lakeside Medical Associates. He holds a BA in Political Science with a concentration on Law and Society, from California State University, Northridge.</t>
  </si>
  <si>
    <t>bkadota@wavemaker360.com</t>
  </si>
  <si>
    <t>Director of Venture Operations</t>
  </si>
  <si>
    <t>164038-60P</t>
  </si>
  <si>
    <t>Eric Marton</t>
  </si>
  <si>
    <t>Mr. Eric Marton serves as Venture Partner at Wavemaker Three-Sixty Health. He serves as Managing Director at Three-Sixty Advisory Group. He serves as an Advisor at Selfie. He served as a Board Member at Movn Health. He served as Chief Executive Officer of Verity Medical Foundation/Verity Physician Network at Verity Health System. He serves as a Managing Partner at Wavemaker Three-Sixty Health. He has more than 25 years of experience starting, growing, leading, and advising organizations in healthcare and other businesses. He joined Verity in March 2016. He most recently served as an executive director at Cedars-Sinai Health System, where he led efforts to craft a new institute model for specialty care, starting with the creation of the Cedars-Sinai Heart Institute. That entity became the largest and most highly ranked heart institute in the Western United States. His ongoing responsibilities included strategic planning, business development, physician alignment, analytics strategy, and planning for new facilities. At Cedars-Sinai, he also worked to develop a fully integrated healthcare delivery model, leveraging a dramatically expanded Medical Foundation, the hospital System, and a variety of other physician organizations. His experience also includes managed care contract negotiation for the University of California at both UCLA and UC San Francisco, as well as venture capital management at Catalyst Venture Group. He has served as a member of the Board of Directors for numerous companies and as a consultant to healthcare and VC/private equity organizations. He has been a frequent guest speaker at institutions such as the Anderson Graduate School of Management at UCLA, the Marshall School of Business at USC, the David Geffen School of Medicine at UCLA, and for a variety of professional/physician associations. He earned a bachelor's degree in Business Administration from UCLA. His passion for healthcare stems from his love of people and of innovation. Early in his career, he recognized the immeasurable value that innovation, at the intersection of science, medicine, and care delivery, can bring about.</t>
  </si>
  <si>
    <t>+1 (310) 745-1086</t>
  </si>
  <si>
    <t>emarton@wavemaker360.com</t>
  </si>
  <si>
    <t>301 North Lake Avenue</t>
  </si>
  <si>
    <t>Three-Sixty Advisory Group</t>
  </si>
  <si>
    <t>63953-92P</t>
  </si>
  <si>
    <t>Jay Goss</t>
  </si>
  <si>
    <t>Goss</t>
  </si>
  <si>
    <t>Mr. Jay Goss serves as General Partner at Wavemaker Three-Sixty Health. He serves as an Advisor &amp; Investor at Healthcare Innovation Pitch. He serves as Advisor at Nicolette and Board Member at TomBot. He serves as Managing Director at Three-Sixty Advisory Group. He serves as Board Member at Gradient Health and UptimeHealth. He has made a career of working with early-stage companies, in both consulting and operating roles (CEO, President, COO, GM, SVP). Hired by the founders and Boards of young companies (typically pre-Seed stage through Series B), he works directly with them developing and executing go-to-market strategies and essentially getting the business from proverbial first base to second. He has significant sales, marketing, operations, product development, and finance experience (routinely wearing the CFO hat for these companies), as well as working with them to raise capital from angels, celebrities, venture capital firms, and strategic investors. His recent experiences include running healthcare technology company RxVantage as its CEO, commercializing WellCaster as its President, launching healthcare marketplace company Kumba Health as its Chief Operating Officer, turn-around work with technology companies EternalSpace as its President and exactly as its CEO, commercializing virtual world company Numedeon as its COO and running sales and marketing for mobile video company Mogreet as its SVP. He received an MBA (Master of Business Administration) in Entrepreneurship from USC Marshall School of Business and a BA (Bachelor of Arts) in Economics and Business Studies from the University of California, Los Angeles (UCLA).</t>
  </si>
  <si>
    <t>+1 (818) 298-7259</t>
  </si>
  <si>
    <t>jgoss@wavemaker360.com</t>
  </si>
  <si>
    <t>281101-15P</t>
  </si>
  <si>
    <t>Jim Best</t>
  </si>
  <si>
    <t>Mr. Jim Best served as Chief Commercial Officer at Axiom Health. Mr. Jim Best serves as Limited Partner at Wavemaker Three-Sixty Health.</t>
  </si>
  <si>
    <t>Axiom Health (Former)</t>
  </si>
  <si>
    <t>44939-26P</t>
  </si>
  <si>
    <t>John Nackel Ph.D</t>
  </si>
  <si>
    <t>Nackel</t>
  </si>
  <si>
    <t>Dr. John Nackel is the Founder &amp; serves as General Partner at Wavemaker Three-Sixty Health. He served as Board Member and Executive of Business Development at FastDetect. He is the Founder and serves as Chairman &amp; Chief Executive Officer at Three-Sixty Advisory Group. He served as Chairman at Savonix. He serves as Board Member at Vitalacy. For 25 years John served in numerous leadership positions with Ernst &amp; Young (now EY) and Capgemini. He was Global Managing Director of EY's Health Care Consulting business, Managing Director of New Ventures, and CEO of Sogeti North America (the professional services arm of Capgemini). He also served as CEO of Ingenix Consulting (now Optum) a United Health Group company. He serves on the board of directors of several private and public companies, including the Ensign Group.</t>
  </si>
  <si>
    <t>+1 (626) 229-0360</t>
  </si>
  <si>
    <t>jnackel@360ag.com</t>
  </si>
  <si>
    <t>202511-44P</t>
  </si>
  <si>
    <t>Kwame Ulmer</t>
  </si>
  <si>
    <t>Kwame</t>
  </si>
  <si>
    <t>Mr. Kwame Ulmer serves as Chief Regulatory Officer at Tempo Therapeutics. Mr. Kwame Ulmer serves as Executive at Tempo Therapeutics. Mr. Kwame Ulmer is a Co-Founder &amp; serves as a Board Member at MedTech Color. He serves as a Venture Partner at Wavemaker Three-Sixty Health. He serves as a Board member at UVA LVG Seed Fund. He serves as an Advisor at Sayenza Bio. He serves as a board member at Essenvia. He also served as Regulatory Affairs Advisor at Inbrace. He served as an Advisor at inRecovery. He is a regulatory affairs executive who uniquely combines real-world startup experience with his experience as Deputy Director at the FDA overseeing dental devices. He previously served as Vice President, Regulatory Affairs and Quality Assurance at Implant Direct, a Danaher Corporation operating company. He led efforts to shorten global registration timelines, improve product quality by process optimization, and achieve best-in-class department engagement scores. He has served in progressive leadership roles at the US Food and Drug Administration (FDA) and personally evaluated over 1,000 medical technologies. He is a member of the Executive Committee of Tech Coast Angels (LA), the world's largest angel investing network.</t>
  </si>
  <si>
    <t>+1 (202) 596-2492</t>
  </si>
  <si>
    <t>kwame.ulmer@medtechcolor.org</t>
  </si>
  <si>
    <t>3030 Bunker Hill Street</t>
  </si>
  <si>
    <t>Suite 104</t>
  </si>
  <si>
    <t>92109</t>
  </si>
  <si>
    <t>Chief Regulatory Officer</t>
  </si>
  <si>
    <t>Tempo Therapeutics</t>
  </si>
  <si>
    <t>188066-17P</t>
  </si>
  <si>
    <t>Maxim Owen</t>
  </si>
  <si>
    <t>Maxim</t>
  </si>
  <si>
    <t>Mr. Maxim Owen serves as a Partner at Wavemaker Three-Sixty Health. He also serves as an Advisor &amp; Investor at Healthcare Innovation Pitch. He previously led the Ventures team at StartUp Health, the world's largest early-stage digital health portfolio. Prior to that, he built and led the venture investment team of a prominent New York family office investing across impact-focused sectors. He began his career as a global macro investor at Schroders Investment Management in London, helping manage a $30B portfolio of publicly traded securities. He led the Ventures team at StartUpHealth, investing in 100+ early-stage healthcare entrepreneurs (including Particle Health, Cityblock, Devoted Health, Quit Genius, and Inbox Health, among others). He is also the former global macro investor at Schroders Investment Management ($600B AUM). He holds a BA from the London School of Economics and he is also a Chartered Financial Analyst (CFA).</t>
  </si>
  <si>
    <t>mowen@wavemaker360.com</t>
  </si>
  <si>
    <t>297737-74P</t>
  </si>
  <si>
    <t>Monica Jain MD</t>
  </si>
  <si>
    <t>Dr. Monica Jain serves as Venture Partner at Wavemaker Three-Sixty Health. She serves as a Board Member at Elektra Health. She is a practicing General/Endocrine Surgeon, a Biomedical Engineer, and a leader in Healthcare Innovation. She advises healthcare startup companies, leads numerous innovation collaboration efforts across Southern California, and is an active researcher and educator in Surgery, Healthcare Innovation, Human Factors/Ergonomics, Quality Improvement, and Leadership. She is a Surgical Innovation Officer at Cedars-Sinai Medical Center. She is an Assistant Professor of Surgery at Cedars-Sinai Medical Center. She is a Chair/Member of multiple Surgical and Innovation Society committees. She has done Surgery training at Cedars-Sinai Medical Center and UCSF. She has done MD from Boston University School of Medicine. She has also done a BS in Biomedical Engineering at Boston University.</t>
  </si>
  <si>
    <t>281102-86P</t>
  </si>
  <si>
    <t>Pradnya Parulekar</t>
  </si>
  <si>
    <t>Pradnya</t>
  </si>
  <si>
    <t>Parulekar</t>
  </si>
  <si>
    <t>Ms. Pradnya Parulekar is a Co-Founder and serves as Chief Sustainability Officer at ELIMS. She serves as Med-Tech Analyst at Wavemaker Three-Sixty Health. She has spent the last 14 years in the medical device/diagnostics/drug delivery space, working in roles ranging from manufacturing, project management, business development, and regulatory. She focuses on understanding how a concept can be scaled with ease and consistency.
She holds MBA from UCLA Anderson School of Management, MPP -USC Sol Price School of Public Policy, ME Mechanical Engineering from Kettering University and a BS Biomedical Sciences/History from University of Michigan.</t>
  </si>
  <si>
    <t>pparulekar@wavemaker360.com</t>
  </si>
  <si>
    <t>Co-Founder &amp; Chief Sustainability Officer</t>
  </si>
  <si>
    <t>ELIMS</t>
  </si>
  <si>
    <t>199587-79P</t>
  </si>
  <si>
    <t>Shaan Patel</t>
  </si>
  <si>
    <t>Shaan</t>
  </si>
  <si>
    <t>Mr. Shaan Patel serves as Managing Partner at Azure Ventures Group. He also serves as Limited Partner at MicroAngel Capital Partners and Wavemaker Three-Sixty Health. Previously, he served as Venture Associate at Ben Jen Holdings. He is currently working on four startups, along with Ryan and Scott. He is an entrepreneur who is currently a senior at Mountain View High School. He is interested in pursuing a degree in finance and computer science while in college.</t>
  </si>
  <si>
    <t>shaan@azureventuresgroup.com</t>
  </si>
  <si>
    <t>Azure Ventures Group</t>
  </si>
  <si>
    <t>269484-04P</t>
  </si>
  <si>
    <t>Shoshana Hyman</t>
  </si>
  <si>
    <t>Shoshana</t>
  </si>
  <si>
    <t>Hyman</t>
  </si>
  <si>
    <t>Ms. Shoshana Hyman serves as Portfolio Success Manager at Wavemaker Three-Sixty Health. Ms. Hyman works facilitating introductions for our portfolio companies across the healthcare ecosystem and developing institutional relationships. Shoshana also performs in-depth sector analysis overlooking current trends and due-diligence efforts on the prospect investments of the fund. She serves as a Market Research Analyst for the Director of Innovation at Dialyze Direct, Administrative Assistant at the California Heart Center Foundation, and holds BA in Biology and History from Yeshiva University, Stern College for Women.</t>
  </si>
  <si>
    <t>shyman@wavemaker360.com</t>
  </si>
  <si>
    <t>Portfolio Success Manager</t>
  </si>
  <si>
    <t>64546-48P</t>
  </si>
  <si>
    <t>Thomas Zenty III</t>
  </si>
  <si>
    <t>Zenty</t>
  </si>
  <si>
    <t>Mr. Thomas Zenty III served as the Chief Executive Officer at University Hospitals Health System. He also serves as a Board Member at Endologix. He also serves as an Executive in Residence at Wavemaker Three-Sixty Health. Previously, He held various executive positions with Cedars-Sinai Health System, St. Joseph's Medical Center, a division of Dignity Health, Franciscan Health System of New Jersey, and St. Mary Hospital, Connecticut. He is Chairman of the Board of Western Reserve Assurance Company, Ltd. SPC, a privately-held insurance company, and chaired The Coalition to Protect America's Health Care. He is a past board member of the American Hospital Association and has also served as a director on the board of Nationwide Financial Services, Inc. He has held several academic positions with prestigious universities, including his current position as Adjunct Professor, Banking &amp; Finance at Case Western Reserve University. He received a Master's degree in Public Administration from New York University, a Master's degree in Hospital Administration from Xavier University, and a Bachelor's degree in Health Planning from Pennsylvania State University.</t>
  </si>
  <si>
    <t>+1 (949) 595-7200</t>
  </si>
  <si>
    <t>thomas.zenty@uhhospitals.org</t>
  </si>
  <si>
    <t>2 Musick</t>
  </si>
  <si>
    <t>+1 (949) 699-9622</t>
  </si>
  <si>
    <t>University Hospitals Health System (Former)</t>
  </si>
  <si>
    <t>199039-87P</t>
  </si>
  <si>
    <t>Aaron Raker</t>
  </si>
  <si>
    <t>Raker</t>
  </si>
  <si>
    <t>Wells Fargo</t>
  </si>
  <si>
    <t>Analyst &amp; Managing Director</t>
  </si>
  <si>
    <t>Mr. Aaron Raker serves as Managing Director &amp; Technology Analyst at Wells Fargo.</t>
  </si>
  <si>
    <t>+1 (212) 214-3774</t>
  </si>
  <si>
    <t>aaron.rakers@wellsfargo.com</t>
  </si>
  <si>
    <t>420 Montgomery Street</t>
  </si>
  <si>
    <t>Managing Director &amp; Technology Analyst</t>
  </si>
  <si>
    <t>81255-34P</t>
  </si>
  <si>
    <t>Adam Pelkey</t>
  </si>
  <si>
    <t>Pelkey</t>
  </si>
  <si>
    <t>Mr. Adam Pelkey serves as Head of Lending Product Development, Wealth &amp; Investment Management at Wells Fargo. He served as Corporate Development Analyst and a Finance Associate at Wells Fargo. Mr. Pelkey holds a BS in Economics, Finance, and Mathematics from the University of Minnesota.</t>
  </si>
  <si>
    <t>adam.pelkey@wellsfargo.com</t>
  </si>
  <si>
    <t>Head, Lending Product Development, Wealth &amp; Investment Management</t>
  </si>
  <si>
    <t>196318-72P</t>
  </si>
  <si>
    <t>Adam Taback</t>
  </si>
  <si>
    <t>Taback</t>
  </si>
  <si>
    <t>Chief Investment Officer &amp; Executive Vice President</t>
  </si>
  <si>
    <t>Mr. Adam Taback serves as Chief Investment Officer &amp; Executive Vice President at Wells Fargo. Mr. Taback serves as Board Member at Rubicon. Mr. Taback leads the GAI team that manages proprietary and non-proprietary alternative investment products and services-including option strategies, hedge funds, managed futures, commodities, private equity, and private real estate offerings that complement traditional investment portfolios.</t>
  </si>
  <si>
    <t>+1 (336) 282-7036</t>
  </si>
  <si>
    <t>ataback@wellsfargo.com</t>
  </si>
  <si>
    <t>301 South Tryon Street</t>
  </si>
  <si>
    <t>28282</t>
  </si>
  <si>
    <t>29688-85P</t>
  </si>
  <si>
    <t>Alan Jones</t>
  </si>
  <si>
    <t>Mr. Alan Jones serves as Managing Director, Investment Banking at Wells Fargo. Mr. Jones served as Senior Managing Director at Intermediate Capital Group. He served as a Member of the Executive Committee &amp; Risk Committee at Morgan Stanley Investment Management. He serves as a Board Member at Pursuit. He also serves as a Board Member and Member of the Investment Committee at the Commonwealth Fund. He also serves as a Member of the Audit and Compliance Committee at the Commonwealth Fund. He served as Vice Chairman, Private Credit and Equity, and Senior Advisor at Morgan Stanley Capital Partners. He is also the Chairman of Morgan Stanley's Global Private Equity Investment Committee and President of the board of directors of Morgan Stanley Private Equity Asia III. He also serves as a member of the Investment Committees for Morgan Stanley Private Equity Asia, Morgan Stanley Expansion Capital, Morgan Stanley Infrastructure Partners, and Morgan Stanley Credit Partners, and as a member of the MB &amp; REI Executive Committee and Risk Committee. He has also served as a member of the Senior Management Committee of Morgan Stanley Investment Management. He currently serves as the Director of Access Cash, Creative Circle, EmployBridge, and ReachOut Healthcare America. He has previously served as the Director of McKechnie Aerospace and Zenith. From 2005 to 2006, he was Head of Corporate Finance at Morgan Stanley. From 2002 to 2005, he was GlobalCo-Head of the Financial Sponsors Group. From 2001 to 2002, he was Head of Global Leveraged Finance, and from 2000 to 2001 served as Co-Head of Global Leveraged Finance. From 1997 to 2000, he was based in London, where he established and ran Morgan Stanley's European Leveraged Finance Department, where he served as a member of the European Investment Banking Division Operating Committee and as a Director of Morgan Stanley Bank (UK). From 1993 to 1997, he was based in New York and served as a coverage officer in Morgan Stanley's US Financial Sponsors Group. He joined Morgan Stanley in 1993 after eight years at First Boston, where he had been a Director in the High Yield Finance Group. He has served as a member of the Investment Banking Division's Operating Committee and Private Investment Committee. He has also served as Co-Chairman of Morgan Stanley's Credit Commitment Committee. He received an A.B. magna cum laude in biochemical sciences in 1983 from Harvard College, where he was elected to Phi Beta Kappa. In 1987, he received an MBA with High Distinction from Harvard Business School, where he was a Baker Scholar.</t>
  </si>
  <si>
    <t>+1 (800) 869-3557</t>
  </si>
  <si>
    <t>alan.jones@wellsfargo.com</t>
  </si>
  <si>
    <t>200 Broadway Avenue</t>
  </si>
  <si>
    <t>Managing Director, Investment Banking</t>
  </si>
  <si>
    <t>348903-55P</t>
  </si>
  <si>
    <t>Alex Biahun</t>
  </si>
  <si>
    <t>Biahun</t>
  </si>
  <si>
    <t>Mr. Alex Biahun serves as Executive Director, Leveraged Finance at Wells Fargo.</t>
  </si>
  <si>
    <t>alex.biahun@wellsfargo.com</t>
  </si>
  <si>
    <t>Executive Director, Leveraged Finance</t>
  </si>
  <si>
    <t>404246-98P</t>
  </si>
  <si>
    <t>Alexandra Barth</t>
  </si>
  <si>
    <t>Ms. Alexandra Barth serves as Co-Head of Leveraged Finance at Wells Fargo.Prior to joining Wells Fargo, Alex spent 25 years at Deutsche Bank, predominantly in the bank's Leveraged Finance business. Prior to co-leading Leveraged Finance at Deutsche Bank, Alex held numerous leadership roles within the business including co-head of U.S. Leveraged Debt Capital Markets (2017-2023) and co-head of U.S. High Yield Capital Markets (2014-2017).</t>
  </si>
  <si>
    <t>alexandra@wellsfargo.com</t>
  </si>
  <si>
    <t>Co-Head of Leveraged Finance</t>
  </si>
  <si>
    <t>325992-88P</t>
  </si>
  <si>
    <t>Mr. Alok Garg serves as Managing Director &amp; Head, Renewables &amp; Asset Finance at Wells Fargo.</t>
  </si>
  <si>
    <t>alok.garg@wellsfargo.com</t>
  </si>
  <si>
    <t>Managing Director &amp; Head, Renewables &amp; Asset Finance</t>
  </si>
  <si>
    <t>364166-65P</t>
  </si>
  <si>
    <t>Andrew Reinhart</t>
  </si>
  <si>
    <t>Mr. Andrew Reinhart serves as Managing Director, Head of Trust Services and Chief Fiduciary Officer at Wells Fargo.</t>
  </si>
  <si>
    <t>andrew@wellsfargo.com</t>
  </si>
  <si>
    <t>Managing Director, Head of Trust Services and Chief Fiduciary Officer</t>
  </si>
  <si>
    <t>387198-01P</t>
  </si>
  <si>
    <t>Angela Shin</t>
  </si>
  <si>
    <t>Ms. Angela Shin serves as Portfolio Specialist at Wells Fargo.</t>
  </si>
  <si>
    <t>angela@wellsfargo.com</t>
  </si>
  <si>
    <t>280865-98P</t>
  </si>
  <si>
    <t>Armello Rodriguez</t>
  </si>
  <si>
    <t>Armello</t>
  </si>
  <si>
    <t>Mr. Armello Rodriguez serves as Vice President, Business Development at Wells Fargo. He served as Director at LafayetteSquare. He has spent 15 years in the financial services industry, with the past 10 years focused on commercial banking for small to medium-sized firms in California. Prior to joining Lafayette, He started his career at Wells Fargo and most recently worked at Bank of America as VP on the Global Commercial Banking team. His primary focus is to partner with firms by providing strategic capital to help them achieve their growth objectives. A passionate member of the community, He serves on the Board of Directors for Save the Bay, an environmental non-profit focused on the protection and restoration of San Francisco Bay. He has also served on BofA's regional and local Hispanic Business Councils. He has a B.S. from the University of San Francisco and is current pursuit his Executive MBA from Saint Mary's College of California.</t>
  </si>
  <si>
    <t>armello.rodriguez@wellsfargo.com</t>
  </si>
  <si>
    <t>254628-10P</t>
  </si>
  <si>
    <t>Ather Williams III</t>
  </si>
  <si>
    <t>Ather</t>
  </si>
  <si>
    <t>Mr. Ather Williams serves as Head of Strategy, Digital Platform and Innovation &amp; Senior Executive Vice President at Wells Fargo. He joined in October 2020; as Managing Director, Head of Business Banking at Bank of America Corporation, a financial services company, from September 2017 to July 2020; Managing Director, Head of Global Transaction Services at Bank of America Corporation from May 2015 to September 2017; Mr. Williams has served with the Company for less than 1 year. He earned both a bachelor's degree and an MBA from Harvard University.</t>
  </si>
  <si>
    <t>a.williams@wellsfargo.com</t>
  </si>
  <si>
    <t>Head of Strategy, Digital Platform and Innovation &amp; Senior Executive Vice President</t>
  </si>
  <si>
    <t>155127-34P</t>
  </si>
  <si>
    <t>Austin Garrison</t>
  </si>
  <si>
    <t>Executive Director &amp; Portfolio Manager</t>
  </si>
  <si>
    <t>Mr. Austin Garrison serves as Executive Director &amp; Senior Portfolio Manager at Wells Fargo. Mr. Austin Garrison serves as a Partner at Concourse Capital. He has two decades of operational and investment experience.</t>
  </si>
  <si>
    <t>austin.garrison@wellsfargo.com</t>
  </si>
  <si>
    <t>Executive Director &amp; Senior Portfolio Manager</t>
  </si>
  <si>
    <t>34889-77P</t>
  </si>
  <si>
    <t>Barbara Angel</t>
  </si>
  <si>
    <t>Ms. Barbara Angel serves as Senior Vice President and Lead Mid Corporate Banker- Mid Atlantic Division at Wells Fargo.</t>
  </si>
  <si>
    <t>+1 (703) 760-6369</t>
  </si>
  <si>
    <t>bangel@wellsfargo.com</t>
  </si>
  <si>
    <t>Senior Vice President and Lead Mid Corporate Banker- Mid Atlantic Division</t>
  </si>
  <si>
    <t>39021-13P</t>
  </si>
  <si>
    <t>Barry Sommers</t>
  </si>
  <si>
    <t>Sommers</t>
  </si>
  <si>
    <t>Chief Executive Officer &amp; Senior Executive Vice President</t>
  </si>
  <si>
    <t>Mr. Barry Sommers serves as Chief Executive Officer, Wealth &amp; Investment Management, and Senior Executive Vice President at Wells Fargo. He also serves as Board Member at Wells Fargo Investment Institute.</t>
  </si>
  <si>
    <t>+1 (415) 979-0195</t>
  </si>
  <si>
    <t>barry.sommers@wellsfargo.com</t>
  </si>
  <si>
    <t>Chief Executive Officer, Wealth &amp; Investment Management and Senior Executive Vice President</t>
  </si>
  <si>
    <t>54722-62P</t>
  </si>
  <si>
    <t>Basil Darwish</t>
  </si>
  <si>
    <t>Darwish</t>
  </si>
  <si>
    <t>Mr. Basil Darwish serves as Managing Director &amp; Fintech and Enterprise IT Tech Lead at Wells Fargo. He served as Board Member at Elliptic. He is an Angel Investor. He also serves as a Board Member at Trovata and Here.</t>
  </si>
  <si>
    <t>basil.darwish@wellsfargo.com</t>
  </si>
  <si>
    <t>Managing Director &amp; Fintech and Enterprise IT Tech Lead</t>
  </si>
  <si>
    <t>151952-95P</t>
  </si>
  <si>
    <t>Becky Brown</t>
  </si>
  <si>
    <t>Ms. Becky Brown serves as Senior Vice President &amp; Managing Director at Wells Fargo.</t>
  </si>
  <si>
    <t>brown@wellsfargo.com</t>
  </si>
  <si>
    <t>10 South Wacker Drive</t>
  </si>
  <si>
    <t>Senior Vice President &amp; Managing Director</t>
  </si>
  <si>
    <t>293714-11P</t>
  </si>
  <si>
    <t>Bei Ling</t>
  </si>
  <si>
    <t>Bei</t>
  </si>
  <si>
    <t>Ms. Bei Ling serves as Senior Executive Vice President &amp; Head of Human Resources at Wells Fargo. She was Managing Director, Human Resources at JPMorgan Chase &amp; Co., a financial services company, from April 2013 to September 2021. Ms. Ling has served with the Company for less than 1 year. As senior executive vice president and head of Human Resources at Wells Fargo, Bei Ling is responsible for all aspects of the company's human capital strategy. She works closely with the company's CEO and operating committee to build a world-class culture and foster an inclusive environment to attract, develop, engage, and retain the best talent. Bei also serves on the Wells Fargo operating committee. Before joining Wells Fargo, Bei was with JPMorgan Chase where she served as managing director and global head of Talent Development and Total Rewards. In this capacity, Ling was accountable for driving strategy and implementation across multiple global functions, including leadership development and succession planning, learning, career development, compensation, benefits, and workforce data and analytics. At the same time, Ling also served as head of Human Resources for the Commercial Bank, leading end-to-end human capital strategy and programs for the business.</t>
  </si>
  <si>
    <t>+1 (414) 224-7442</t>
  </si>
  <si>
    <t>bling@wellsfargo.com</t>
  </si>
  <si>
    <t>100 East Wisconsin Avenue</t>
  </si>
  <si>
    <t>53202</t>
  </si>
  <si>
    <t>350760-34P</t>
  </si>
  <si>
    <t>Bernardo Ramos</t>
  </si>
  <si>
    <t>Mr. Bernardo Ramos serves as Commercial Banking Hispanic segment leader at Wells Fargo.</t>
  </si>
  <si>
    <t>bernardo@wellsfargo.com</t>
  </si>
  <si>
    <t>Commercial Banking Hispanic segment leader</t>
  </si>
  <si>
    <t>243496-54P</t>
  </si>
  <si>
    <t>Bill Juliano</t>
  </si>
  <si>
    <t>Juliano</t>
  </si>
  <si>
    <t>Mr. Bill Juliano serves as Chief Operational Risk Officer at Wells Fargo.</t>
  </si>
  <si>
    <t>bill.juliano@wellsfargo.com</t>
  </si>
  <si>
    <t>Chief Operational Risk Officer</t>
  </si>
  <si>
    <t>384473-35P</t>
  </si>
  <si>
    <t>Bill McKeown</t>
  </si>
  <si>
    <t>McKeown</t>
  </si>
  <si>
    <t>Mr. Bill McKeown serves as Senior Vice President &amp; Regional Sales Manager at Wells Fargo.</t>
  </si>
  <si>
    <t>bill.mckeown@wellsfargo.com</t>
  </si>
  <si>
    <t>Senior Vice President &amp; Regional Sales Manager</t>
  </si>
  <si>
    <t>29880-64P</t>
  </si>
  <si>
    <t>Brandon DeFrehn JD</t>
  </si>
  <si>
    <t>DeFrehn</t>
  </si>
  <si>
    <t>Mr. Brandon DeFrehn serves as Managing Director at Wells Fargo.</t>
  </si>
  <si>
    <t>+1 (212) 474-1210</t>
  </si>
  <si>
    <t>bdefrehn@wellsfargo.com</t>
  </si>
  <si>
    <t>160120-09P</t>
  </si>
  <si>
    <t>Brendan Gerrity</t>
  </si>
  <si>
    <t>Gerrity</t>
  </si>
  <si>
    <t>Mr. Brendan Gerrity serves as Relationship Management, Technology Finance at Wells Fargo.</t>
  </si>
  <si>
    <t>+1 (617) 854-4375</t>
  </si>
  <si>
    <t>brendan.gerrity@wellsfargo.com</t>
  </si>
  <si>
    <t>Relationship Management, Technology Finance</t>
  </si>
  <si>
    <t>32096-26P</t>
  </si>
  <si>
    <t>Brett Beugen</t>
  </si>
  <si>
    <t>Beugen</t>
  </si>
  <si>
    <t>Mr. Brett Beugen serves as Senior Vice President &amp; Division Sales Executive at Wells Fargo. Based in Minneapolis, Beugen is responsible for leading the sales team for the Business Banking Midwest region and managing activities that help support revenue growth. Prior to his current role, Beugen served as a regional sales manager for Wells Fargo's Middle Market ABL with Capital Finance.</t>
  </si>
  <si>
    <t>brett.a.beugen@wellsfargo.com</t>
  </si>
  <si>
    <t>510 South 4th Street</t>
  </si>
  <si>
    <t>55415</t>
  </si>
  <si>
    <t>Senior Vice President &amp; Division Sales Executive</t>
  </si>
  <si>
    <t>32124-70P</t>
  </si>
  <si>
    <t>Brett Rausch</t>
  </si>
  <si>
    <t>Rausch</t>
  </si>
  <si>
    <t>Mr. Raush served as a Vice President of Associated Bank.</t>
  </si>
  <si>
    <t>+1 (312) 732-7250</t>
  </si>
  <si>
    <t>+1 (312) 861-5677</t>
  </si>
  <si>
    <t>Managing Director &amp; Market Sales Executive</t>
  </si>
  <si>
    <t>30745-27P</t>
  </si>
  <si>
    <t>Brian Kucich</t>
  </si>
  <si>
    <t>Kucich</t>
  </si>
  <si>
    <t>Mr. Brian Kucich serves as Managing Director &amp; Co-Head of Institutional Equity Sales at Wells Fargo.</t>
  </si>
  <si>
    <t>brian@wellsfargo.com</t>
  </si>
  <si>
    <t>Managing Director &amp; Co-Head of Institutional Equity Sales</t>
  </si>
  <si>
    <t>33072-49P</t>
  </si>
  <si>
    <t>Mr. Brian Richardson serves as Vice President at Wells Fargo.</t>
  </si>
  <si>
    <t>+1 (626) 449-8611</t>
  </si>
  <si>
    <t>brian.richardson@wellsfargo.com</t>
  </si>
  <si>
    <t>82 South Lake Avenue</t>
  </si>
  <si>
    <t>165096-82P</t>
  </si>
  <si>
    <t>Bridget Engle</t>
  </si>
  <si>
    <t>Engle</t>
  </si>
  <si>
    <t>Ms. Bridget Engle serves as Senior Executive Vice President, Head of Technology at Wells Fargo. She also serves as the Chief Information Officer, Head of Engineering and Member of Executive Committee at BNY Mellon. Engle leads the company's Client Technology Solutions group, which provides critical technology platforms and applications that support BNY Mellon's role as the leading provider of technology solutions to the financial markets. She is responsible for setting the strategic direction and execution of the firm's technology agenda, which includes advancing the firm's NEXEN digital investment platform, investing in and integrating industry-leading applications, accelerating its digital and agile development efforts, and attracting and developing top IT talent. Most recently, Engle was the Global Commercial Banking &amp; Markets Technology executive for Bank of America, where she led a global team providing end-to-end technology solutions and support for its Global Banking and Global Markets businesses. Prior to that role, Bridget was Bank of America's Consumer Banking Technology &amp; Operations chief information officer, where she led a team that transformed the online and mobile banking platforms to serve the needs of more than 48 million consumer and small business relationships. Bridget joined Bank of America in 2010 from Depository Trust &amp; Clearing Corporation (DTCC) where she was managing director and chief technology officer responsible for overseeing critical application and technology infrastructure, including core networking services, processing, and messaging systems, distributed systems, and business continuity. Prior to this, she spent 19 years at Lehman Brothers and held numerous technology management positions including chief information officer and global head of business continuity, chief technology officer and managing director and global head of e-Commerce technology. Before joining Lehman Brothers, Bridget worked in various technical capacities for AT&amp;T Bell Laboratories. In 2013, Bank Systems and Technology named Bridget as one of the "2013 Elite 8" bank technology leaders. She was also named in 2007 as one of the "100 Most Influential Women in NYC Business" by Crain's New York Business and has been noted as one of technology's "Top Power Women" by Forbes.com.</t>
  </si>
  <si>
    <t>bridget.engle@wellsfargo.com</t>
  </si>
  <si>
    <t>160577-56P</t>
  </si>
  <si>
    <t>Carol Seitz</t>
  </si>
  <si>
    <t>Seitz</t>
  </si>
  <si>
    <t>Ms. Carol Seitz serves as Senior Vice President, Greater Commercial Banking (Washington) at Wells Fargo.</t>
  </si>
  <si>
    <t>+1 (703) 610-3181</t>
  </si>
  <si>
    <t>cseitz@wellsfargo.com</t>
  </si>
  <si>
    <t>6844 Old Dominion Drive</t>
  </si>
  <si>
    <t>22101</t>
  </si>
  <si>
    <t>Senior Vice President, Greater Commercial Banking (Washington)</t>
  </si>
  <si>
    <t>383692-78P</t>
  </si>
  <si>
    <t>Celeste Clancy</t>
  </si>
  <si>
    <t>Clancy</t>
  </si>
  <si>
    <t>Ms. Celeste Clancy serves as Vice President Commercial Banking at Wells Fargo.</t>
  </si>
  <si>
    <t>celeste.clancy@wellsfargo.com</t>
  </si>
  <si>
    <t>Senior Vice President Commercial Banking</t>
  </si>
  <si>
    <t>292626-73P</t>
  </si>
  <si>
    <t>Cesar Gonzalez</t>
  </si>
  <si>
    <t>Mr. Cesar Gonzalez serves as Head of Operations,Commercial Banking at Wells Fargo.</t>
  </si>
  <si>
    <t>gonzalez@wellsfargo.com</t>
  </si>
  <si>
    <t>Head of Operations,Commercial Banking</t>
  </si>
  <si>
    <t>57186-28P</t>
  </si>
  <si>
    <t>Chad Clark</t>
  </si>
  <si>
    <t>Mr. Chad Clark serves as Senior Relationship Manager at Wells Fargo.</t>
  </si>
  <si>
    <t>+1 (904) 361-7317</t>
  </si>
  <si>
    <t>clark@wellsfargo.com</t>
  </si>
  <si>
    <t>Jacksonville</t>
  </si>
  <si>
    <t>Jacksonville, FL</t>
  </si>
  <si>
    <t>1601 North Main Street</t>
  </si>
  <si>
    <t>32206</t>
  </si>
  <si>
    <t>Senior Relationship Manager</t>
  </si>
  <si>
    <t>169452-37P</t>
  </si>
  <si>
    <t>Charles Lott</t>
  </si>
  <si>
    <t>Lott</t>
  </si>
  <si>
    <t>Mr. Charles Lott serves as Senior Vice President &amp; Commercial Banking Leader at Wells Fargo.</t>
  </si>
  <si>
    <t>charles.lott@wellsfargo.com</t>
  </si>
  <si>
    <t>Senior Vice President &amp; Commercial Banking Leader</t>
  </si>
  <si>
    <t>44840-98P</t>
  </si>
  <si>
    <t>Charles Scharf</t>
  </si>
  <si>
    <t>Scharf</t>
  </si>
  <si>
    <t>Mr. Charles Scharf serves as Chief Executive Officer, President &amp; Board Member at Wells Fargo. Mr. Scharf serves as Board Member and Member of the Compensation &amp; Governance and Nominating Committee at Microsoft. He served as Executive Committee &amp; Board Member at Partnership for New York City. Previously, he served as chief executive officer of Bank of New York Mellon from July 2017 to October 2019 and the chairman of its board from January 2018 to October 2018. He was also chief executive officer and a director of Visa Inc. from November 2012 to December 2016. As the CEO of Visa, he transformed the firm into a technology-driven digital commerce company by partnering with the world's leading technology companies to drive new payment experiences and introduce new technologies to improve payment system security. Previously, he was a managing director of One Equity Partners at JPMorgan Chase &amp; Co. and chief executive officer of Retail Financial Services at JPMorgan Chase. He also was chief executive officer of the retail division of Bank One Corp., the chief financial officer of Bank One Corp., the chief financial officer of the Global Corporate and Investment Bank division of Citigroup, and the chief financial officer of Salomon Smith Barney and its predecessor company. He earned a Bachelor of Arts degree from Johns Hopkins University and an MBA from New York University. He serves as a Board Member, Member of the Governance and Nominating committee, &amp; Member of the Compensation Committee at Microsoft. He serves on the board of trustees of Johns Hopkins University, is a member of The Business Council, and is chairman of the New York City Ballet. He lives in New York City. A financial services veteran with 24 years of experience in leadership roles in the banking and payments industries, he served as chief executive officer of the Bank of New York Mellon from 2017 to 2019 and the chairman of its board from 2018 to 2019. He was also the chief executive officer and a director of Visa Inc. from 2012 to 2016. Previously, he was a managing director of One Equity Partners at JPMorgan Chase &amp; Co. and chief executive officer of Retail Financial Services at JPMorgan Chase. He also was chief executive officer of the retail division of Bank One Corp., chief financial officer of Bank One Corp., chief financial officer of the Global Corporate and Investment Bank division of Citigroup, and chief financial officer of Salomon Smith Barney and its predecessor company. He holds a bachelor's degree from Johns Hopkins University and an MBA from New York University. He joined the Microsoft board as an independent director in October 2014.</t>
  </si>
  <si>
    <t>charles@wellsfargo.com</t>
  </si>
  <si>
    <t>242028-10P</t>
  </si>
  <si>
    <t>Chintan Mehta</t>
  </si>
  <si>
    <t>Mr. Chintan Mehta serves as Executive Vice President &amp; Group Chief Information Officer, Digital, Innovation and Strategy and Technology Fellow at Wells Fargo.</t>
  </si>
  <si>
    <t>chintan@wellsfargo.com</t>
  </si>
  <si>
    <t>Executive Vice President &amp; Group Chief Information Officer, Digital, Innovation and Strategy and Technology Fellow</t>
  </si>
  <si>
    <t>43965-82P</t>
  </si>
  <si>
    <t>Chris Nay</t>
  </si>
  <si>
    <t>Nay</t>
  </si>
  <si>
    <t>Mr. Chris Nay serves as Executive Vice President, National Food and Beverage at Wells Fargo. He directs more than 70 experienced commercial lending professionals. His teams deliver Wells Fargo's localized loan decision-making approach to privately held, middle-market companies with revenues of $20 million and higher. He has 20 years of industry experience when he joined the bank in March 2016 as part of Wells Fargo's acquisition of GE Capital. While at GE, Nay served as Senior Managing Director of Food, Beverage and Agribusiness Group. He also oversaw more than 100 team members as managing director for commercial lending and leasing in the Central U.S. Nay graduated from the University of Kansas. While there, he worked for Ernst and Young and earned his CPA license.</t>
  </si>
  <si>
    <t>chris.nay@wellsfargo.com</t>
  </si>
  <si>
    <t>Executive Vice President, National Food and Beverage</t>
  </si>
  <si>
    <t>173846-80P</t>
  </si>
  <si>
    <t>Chris Pink</t>
  </si>
  <si>
    <t>Pink</t>
  </si>
  <si>
    <t>Mr. Chris Pink serves as Managing Director at Wells Fargo.</t>
  </si>
  <si>
    <t>cpink@wellsfargo.com</t>
  </si>
  <si>
    <t>159440-05P</t>
  </si>
  <si>
    <t>Chris Sheppard</t>
  </si>
  <si>
    <t>Mr. Chris Sheppard serves as Vice President, Commercial Banking at Wells Fargo.</t>
  </si>
  <si>
    <t>chris@wellsfargo.com</t>
  </si>
  <si>
    <t>Vice President, Commercial Banking</t>
  </si>
  <si>
    <t>165093-13P</t>
  </si>
  <si>
    <t>Christina Bresani</t>
  </si>
  <si>
    <t>Bresani</t>
  </si>
  <si>
    <t>Ms. Christina Bresani serves as Managing Director &amp; Head of Mid-Cap Mergers &amp; Acquisitions at Wells Fargo. She served as Managing Director &amp; Head of Corporate Advisory at William Blair &amp; Company. Before joining William Blair in 2017, Bresani was with UBS.</t>
  </si>
  <si>
    <t>+1 (212) 237-2746</t>
  </si>
  <si>
    <t>christina.bresani@wellsfargo.com</t>
  </si>
  <si>
    <t>Managing Director &amp; Head of Mid-Cap Mergers &amp; Acquisitions</t>
  </si>
  <si>
    <t>50542-03P</t>
  </si>
  <si>
    <t>Christine Oquendo</t>
  </si>
  <si>
    <t>Oquendo</t>
  </si>
  <si>
    <t>Ms. Christine Oquendo serves as Executive Director - Senior Lead Compliance Officer at Wells Fargo. She served as Compliance Manager at Paul Capital. Before joining Paul Capital, she had spent more than thirteen years in the financial industry, with her most recent positions in regulatory compliance roles.</t>
  </si>
  <si>
    <t>christine@wellsfargo.com</t>
  </si>
  <si>
    <t>Executive Director - Senior Lead Compliance Officer</t>
  </si>
  <si>
    <t>72589-60P</t>
  </si>
  <si>
    <t>Christopher Collins</t>
  </si>
  <si>
    <t>Mr. Christopher Collins serves as Managing Director, Healthcare Group at Wells Fargo. He served as Managing Director, Healthcare Investment Banking at Piper Sandler. Before joining Piper Jaffray in June 2014, he was a senior calling officer in the global healthcare groups at Citigroup and Credit Suisse where he focused on biotechnology companies. Before CPC Capital Management, he was an associate at Frazier Healthcare Ventures, a leading biotechnology venture capital firm with over $2 billion of assets under management, for five years. He helped start and invest in several successful biotechnology companies while a venture capitalist. Before Frazier Healthcare Ventures, he was an analyst in the global healthcare group at Morgan Stanley.</t>
  </si>
  <si>
    <t>christopher.collins@wellsfargo.com</t>
  </si>
  <si>
    <t>Managing Director, Healthcare Group</t>
  </si>
  <si>
    <t>442522-18P</t>
  </si>
  <si>
    <t>Christopher Diorio</t>
  </si>
  <si>
    <t>Diorio</t>
  </si>
  <si>
    <t>Mr. Christopher Diorio serves as Financial Advisor at Wells Fargo.</t>
  </si>
  <si>
    <t>cdiorio@wellsfargo.com</t>
  </si>
  <si>
    <t>Financial Advisor</t>
  </si>
  <si>
    <t>367682-50P</t>
  </si>
  <si>
    <t>Clayton Hale</t>
  </si>
  <si>
    <t>Mr. Clayton Hale serves as Managing Director and Co-Head Equity Capital Markets at Wells Fargo.</t>
  </si>
  <si>
    <t>chale@wellsfargo.com</t>
  </si>
  <si>
    <t>Managing Director and Co-Head Equity Capital Markets</t>
  </si>
  <si>
    <t>384683-77P</t>
  </si>
  <si>
    <t>Colin Murphy</t>
  </si>
  <si>
    <t>Mr. Colin Murphy serves as Director at Wells Fargo.</t>
  </si>
  <si>
    <t>colin.murphy@wellsfargo.com</t>
  </si>
  <si>
    <t>146382-40P</t>
  </si>
  <si>
    <t>Connie Feltenberger</t>
  </si>
  <si>
    <t>Feltenberger</t>
  </si>
  <si>
    <t>Ms. Connie Feltenberger serves as a Relationship Manager, Corporate Trust Services at Wells Fargo. Previously she served as a Corporate Financial Analyst, Industry Advisory Services at Banc of America Securities LLC.</t>
  </si>
  <si>
    <t>cf@wellsfargo.com</t>
  </si>
  <si>
    <t>Relationship Manager, Corporate Trust Services</t>
  </si>
  <si>
    <t>184312-00P</t>
  </si>
  <si>
    <t>Crystie Ciriello</t>
  </si>
  <si>
    <t>Crystie</t>
  </si>
  <si>
    <t>Ciriello</t>
  </si>
  <si>
    <t>Ms. Crystie Ciriello serves as Team Leader, Senior Relationship Manager &amp; Senior Vice President at Wells Fargo.</t>
  </si>
  <si>
    <t>crystie.ciriello@wellsfargo.com</t>
  </si>
  <si>
    <t>Team Leader, Senior Relationship Manager &amp; Senior Vice President</t>
  </si>
  <si>
    <t>387189-91P</t>
  </si>
  <si>
    <t>Dan Pomerantz</t>
  </si>
  <si>
    <t>Pomerantz</t>
  </si>
  <si>
    <t>Mr. Dan Pomerantz serves as Executive Director &amp; Senior Portfolio Manager at Wells Fargo.</t>
  </si>
  <si>
    <t>dan@wellsfargo.com</t>
  </si>
  <si>
    <t>150311-71P</t>
  </si>
  <si>
    <t>Daniel Davidson</t>
  </si>
  <si>
    <t>Mr. Daniel Davidson serves as Vice President, Financial Institutions Group at Wells Fargo.</t>
  </si>
  <si>
    <t>davidson@wellsfargo.com</t>
  </si>
  <si>
    <t>Vice President, Financial Institutions Group</t>
  </si>
  <si>
    <t>263635-66P</t>
  </si>
  <si>
    <t>Daniel Miranda</t>
  </si>
  <si>
    <t>Mr. Daniel Miranda serves as Senior Software Engineer at Wells Fargo.</t>
  </si>
  <si>
    <t>dmiranda@wellsfargo.com</t>
  </si>
  <si>
    <t>32866-93P</t>
  </si>
  <si>
    <t>Daniel Ruzylo</t>
  </si>
  <si>
    <t>Ruzylo</t>
  </si>
  <si>
    <t>Mr. Daniel Ruzylo serves as Vice President and Commercial Relationship Manager at Wells Fargo.</t>
  </si>
  <si>
    <t>daniel.ruzylo@wellsfargo.com</t>
  </si>
  <si>
    <t>Vice President &amp; Commercial Relationship Manager</t>
  </si>
  <si>
    <t>30916-72P</t>
  </si>
  <si>
    <t>Daniel Shapiro</t>
  </si>
  <si>
    <t>Mr. Daniel Shapiro serves as Regional Sales Manager, Commercial and Technology Banking at Wells Fargo. He formerly served as Vice President at GE Antares Capital. Mr. Shapiro holds a BA in Economics from University of Michigan.</t>
  </si>
  <si>
    <t>daniel.shapiro@wellsfargo.com</t>
  </si>
  <si>
    <t>Regional Sales Manager, Commercial and Technology Banking</t>
  </si>
  <si>
    <t>384350-14P</t>
  </si>
  <si>
    <t>Danielle Lussier</t>
  </si>
  <si>
    <t>Lussier</t>
  </si>
  <si>
    <t>Mr. Danielle Lussier serves as Executive Director - Technology Banking at Wells Fargo.</t>
  </si>
  <si>
    <t>danielle.lussier@wellsfargo.com</t>
  </si>
  <si>
    <t>Executive Director - Technology Banking</t>
  </si>
  <si>
    <t>216245-08P</t>
  </si>
  <si>
    <t>Darlene Goins</t>
  </si>
  <si>
    <t>Goins</t>
  </si>
  <si>
    <t>Ms. Darlene Goins serves as Head of Philanthropy and Community Impact, President at Wells Fargo. With more than two decades of experience leading strategic initiatives that drive business and societal impact, he is responsible for combining Wells Fargo's financial resources with business expertise to improve the financial well-being of underserved individuals, families, and communities. Prior to this role, he served as Wells Fargo's head of Hands on Banking®, the company's award-winning financial education and capability program that has benefitted more than 9 million youth, adults, seniors, military and entrepreneurs with financial education. He joined Wells Fargo in 2016 from FICO, where she led FICO® Score Open Access, a consumer credit score program that earned allocates from the Obama Administration, regulators, and consumer advocacy groups, among others. She also held leadership positions in sales, product management, decision science, and data science at analytic-based software companies Nomis Solutions, First Data Corporation, and ALI Solutions. An active community leader, he is based in San Francisco and currently serves on the board of directors for the American Bankers Association Foundation and Jump$tart Coalition for Personal Financial Literacy. She received a bachelor's of science degree in electrical engineering and a master's degree in Engineering-Economic Systems (now the Department of Management Science) from Stanford University.</t>
  </si>
  <si>
    <t>darlene@wellsfargo.com</t>
  </si>
  <si>
    <t>Head of Philanthropy and Community Impact, President</t>
  </si>
  <si>
    <t>41452-93P</t>
  </si>
  <si>
    <t>David DeNunzio</t>
  </si>
  <si>
    <t>DeNunzio</t>
  </si>
  <si>
    <t>Mr. David DeNunzio serves as Global Head of Mergers &amp; Acquisitions at Wells Fargo. He has more than 35 years of experience in all aspects of financial advisory services, including divestitures, buyer advisory services, mergers, recapitalizations, and takeover and activism defense.</t>
  </si>
  <si>
    <t>david.denunzio@wellsfargo.com</t>
  </si>
  <si>
    <t>229650-40P</t>
  </si>
  <si>
    <t>David Koshenina</t>
  </si>
  <si>
    <t>Koshenina</t>
  </si>
  <si>
    <t>Mr. David Koshenina serves as Head of Lender Finance at Wells Fargo. He served as Head of Lender Finance at Wells Fargo Capital Finance.</t>
  </si>
  <si>
    <t>Head of Wells Fargo Lender Finance</t>
  </si>
  <si>
    <t>321973-48P</t>
  </si>
  <si>
    <t>David LaFalce</t>
  </si>
  <si>
    <t>LaFalce</t>
  </si>
  <si>
    <t>Mr. David LaFalce serves as Senior Vice President &amp; Global Head, Operational Resilience at Wells Fargo.</t>
  </si>
  <si>
    <t>david@wellsfargo.com</t>
  </si>
  <si>
    <t>Senior Vice President &amp; Global Head, Operational Resilience</t>
  </si>
  <si>
    <t>33054-85P</t>
  </si>
  <si>
    <t>David Michaels</t>
  </si>
  <si>
    <t>Mr. David Michaels serves as Senior Vice President at Wells Fargo.</t>
  </si>
  <si>
    <t>dmichaels@wellsfargo.com</t>
  </si>
  <si>
    <t>355172-05P</t>
  </si>
  <si>
    <t>Dawson Horses</t>
  </si>
  <si>
    <t>Horses</t>
  </si>
  <si>
    <t>Mr. Dawson Horses serves as Managing Director &amp; Head, Native American Banking at Wells Fargo.</t>
  </si>
  <si>
    <t>dh@wellsfargo.com</t>
  </si>
  <si>
    <t>Managing Director &amp; Head, Native American Banking</t>
  </si>
  <si>
    <t>164521-99P</t>
  </si>
  <si>
    <t>Dean Rennell</t>
  </si>
  <si>
    <t>Rennell</t>
  </si>
  <si>
    <t>Mr. Dean Rennell serves as Regional President at Wells Fargo. Based in Phoenix, Rennell leads Business Banking operations in Arkansas, Kansas, Louisiana, Missouri, New Mexico and Texas. Prior to his current role, he managed Business Banking for the Western Mountain region.</t>
  </si>
  <si>
    <t>+1 (602) 281-8020</t>
  </si>
  <si>
    <t>dean.rennell@wellsfargo.com</t>
  </si>
  <si>
    <t>2 North Central Avenue</t>
  </si>
  <si>
    <t>250589-08P</t>
  </si>
  <si>
    <t>Derek Flowers</t>
  </si>
  <si>
    <t>Flowers</t>
  </si>
  <si>
    <t>Chief Risk Officer &amp; Senior Executive Vice President</t>
  </si>
  <si>
    <t>Mr. Derek Flowers serves as Senior Executive Vice President &amp; Chief Risk Officer at Wells Fargo. Mr. Flowers served as Senior Executive Vice President, Head of Strategic Execution and Operations at Wells Fargo. Derek Flowers is senior executive vice president and head of Wells Fargo's Strategic Execution and Operations Office, responsible for driving transformation and achieving operational excellence across all of the company's businesses to enable the company to better execute against our regulatory priorities. A 21-year veteran of the company, he is a member of the Wells Fargo Operating Committee and is based in Charlotte, North Carolina. Derek was previously Wells Fargo's chief credit and market risk officer, responsible for leadership and oversight of all credit, counterparty, and market risk undertaken throughout the company. In that role, he oversaw all credit risk through the company's lending activities and provided oversight of all company and line-of-business credit policies. He also chaired the Credit Risk Management and Market Risk Committees, and assisted management and the Board of Directors in identifying and monitoring credit, counterparty, and market risk. Before that role, Derek was chief credit and market risk officer for Wells Fargo Securities and Wells Fargo's Corporate Banking groups, which include the company's corporate, energy, power and utilities, gaming, restaurant, and sponsor finance businesses. He also had credit responsibilities for the Principal Investing Group and a portion of the treasury portfolio. Prior to joining Wholesale Credit, he served as the head of credit for Wells Fargo Securities, which included the Asset-Backed Finance and Principal Investing groups as well as customer derivative activities and wholesale counterparty group. He also led the corporate credit investing group within Wells Fargo's Securities Investment Group and was a manager for the Strategic Initiatives Division of the International and Insurance Services Group. Derek began his career with Wells Fargo as an assistant loan officer in Wholesale Banking. He subsequently served as a loan officer in multiple wholesale lines of business. Derek received his B.S. degree in finance and entrepreneurship from the University of Arizona. He received his MBA from the University of Michigan Business School.</t>
  </si>
  <si>
    <t>derek@wellsfargo.com</t>
  </si>
  <si>
    <t>Senior Executive Vice President &amp; Chief Risk Officer</t>
  </si>
  <si>
    <t>199531-27P</t>
  </si>
  <si>
    <t>Derek Page</t>
  </si>
  <si>
    <t>Advisor &amp; Senior Vice President</t>
  </si>
  <si>
    <t>Mr. Derek Page serves as Senior Vice President &amp; Wealth Advisor at Wells Fargo.</t>
  </si>
  <si>
    <t>404-504-2813</t>
  </si>
  <si>
    <t>dpage@wellsfargo.com</t>
  </si>
  <si>
    <t>Senior Vice President &amp; Wealth Advisor</t>
  </si>
  <si>
    <t>173132-92P</t>
  </si>
  <si>
    <t>Diana Williams</t>
  </si>
  <si>
    <t>Ms. Diana Williams serves as Digital Product Manager, Wells Fargo Commercial Banking at Wells Fargo. Previously she served as Loan Team Manager at Wells Fargo. She has more than 10 years of commercial lending experience to her new role. She started her Wells Fargo career in 2007 as a financial analyst. After completing Wells Fargo's Commercial Management Training program in 2011, she served clients as a relationship manager until being promoted to portfolio manager two years later. Williams earned a bachelor's degree in finance from University of Illinois at Urbana-Champaign.</t>
  </si>
  <si>
    <t>d.williams@wellsfargo.com</t>
  </si>
  <si>
    <t>Digital Product Manager, Wells Fargo Commercial Banking</t>
  </si>
  <si>
    <t>415420-66P</t>
  </si>
  <si>
    <t>Dominik Kania</t>
  </si>
  <si>
    <t>Kania</t>
  </si>
  <si>
    <t>Mr. Dominik Kania serves as Executive Director at Wells Fargo.</t>
  </si>
  <si>
    <t>dk@wellsfargo.com</t>
  </si>
  <si>
    <t>31970-35P</t>
  </si>
  <si>
    <t>Donald VanDine</t>
  </si>
  <si>
    <t>VanDine</t>
  </si>
  <si>
    <t>Mr. Donald VanDine serves as Regional Vice President at Wells Fargo. Previously he served as a City President at Michigan National Bank.</t>
  </si>
  <si>
    <t>donald.vandine@wellsfargo.com</t>
  </si>
  <si>
    <t>146512-63P</t>
  </si>
  <si>
    <t>Dorothy Killeen</t>
  </si>
  <si>
    <t>Killeen</t>
  </si>
  <si>
    <t>Ms. Dorothy Killeen serves as Head of Mid-Cap Investment Banking, Wells Fargo Corporate and Investment Banking at Wells Fargo.</t>
  </si>
  <si>
    <t>+1 (704) 335-5878</t>
  </si>
  <si>
    <t>dorothy@wellsfargo.com</t>
  </si>
  <si>
    <t>Head of Mid-Cap Investment Banking, Wells Fargo Corporate and Investment Banking</t>
  </si>
  <si>
    <t>335872-09P</t>
  </si>
  <si>
    <t>Duane Bouligny</t>
  </si>
  <si>
    <t>Bouligny</t>
  </si>
  <si>
    <t>Mr. Duane Bouligny serves as Managing Director at Wells Fargo.</t>
  </si>
  <si>
    <t>duane.bouligny@wellsfargo.com</t>
  </si>
  <si>
    <t>114683-86P</t>
  </si>
  <si>
    <t>Edward Olebe</t>
  </si>
  <si>
    <t>Olebe</t>
  </si>
  <si>
    <t>Mr. Edward Olebe is serves as Head of cards &amp; merchant services at Wells Fargo. He Co-Founded &amp; served as Chief Executive Officer at Grsp. Previously, he served as the SVP &amp; Group Head, Emerging Payments at MasterCard Worldwide.</t>
  </si>
  <si>
    <t>edward.olebe@wellsfargo.com</t>
  </si>
  <si>
    <t>Head of cards &amp; merchant services</t>
  </si>
  <si>
    <t>180249-49P</t>
  </si>
  <si>
    <t>Ellen Koebler</t>
  </si>
  <si>
    <t>Koebler</t>
  </si>
  <si>
    <t>Chief Credit Officer &amp; Executive Vice President</t>
  </si>
  <si>
    <t>Ms. Ellen Koebler serves as Chief Credit Officer &amp; Executive Vice President at Wells Fargo. She served as Deputy Chief Risk Officer at Truist. She served as Chief Risk Officer &amp; Executive Vice President at SunTrust Bank. She is responsible for the Company's risk management, including credit, market, operational, technology, and compliance risk, and oversees the risk review assurance function and portfolio risk analytics and modeling. From 2016 to 2018, she served as the consumer lending and deposit solutions executive for SunTrust with responsibility for the development and ongoing portfolio management of SunTrust's consumer lending products, as well as responsibility for the deposit, checking, and payment solutions of SunTrust. Prior to that, she served as the chief risk officer for E*TRADE. She originally joined SunTrust in May 2004 as managing director for corporate investment bank portfolio strategies. Since that time, Ms. Koebler held numerous roles in corporate risk management for SunTrust, including chief market risk and corporate analytics officer from 2014-2016 and chief market risk officer from 2013-2014.</t>
  </si>
  <si>
    <t>ellen.koebler@wellsfargo.com</t>
  </si>
  <si>
    <t>Chief Risk Officer &amp; Executive Vice President</t>
  </si>
  <si>
    <t>SunTrust Bank (Former)</t>
  </si>
  <si>
    <t>184200-58P</t>
  </si>
  <si>
    <t>Ellen Patterson JD</t>
  </si>
  <si>
    <t>General Counsel &amp; Senior Executive Vice President</t>
  </si>
  <si>
    <t>Ms. Ellen Patterson served as Senior Executive Vice President and General Counsel at Wells Fargo. She joined the Company from TD Bank Group, where she served as Group Head and General Counsel, responsible for leading the legal, compliance, anti-money laundering, global security &amp; investigations, fraud risk management, corporate secretary, and ombudsman departments. In that role, he was a member of TD's global operating committee. Previously, he held similar positions with TD's U.S. operations. She also served as chair of TD's Women in the Leadership program. Before joining TD, he was a partner at Simpson Thacher &amp; Bartlett LLP, where her practice focused on advising financial institutions on mergers &amp; acquisitions, capital markets, and corporate governance matters. He holds a Bachelor of Arts from Harvard University and a J.D. from Columbia University. She has been recognized as one of 25 "Women to Watch" by American Bankers in each of the past five years. He is a member of the board of directors of The United Way of Greater Philadelphia and Southern New Jersey.</t>
  </si>
  <si>
    <t>ellen.patterson@wellsfargo.com</t>
  </si>
  <si>
    <t>37949-05P</t>
  </si>
  <si>
    <t>Elyn Dortch</t>
  </si>
  <si>
    <t>Elyn</t>
  </si>
  <si>
    <t>Dortch</t>
  </si>
  <si>
    <t>Ms. Elyn Dortch serves as Senior Vice President &amp; Senior Relationship Manager, Commercial Banking at Wells Fargo.</t>
  </si>
  <si>
    <t>elyn.dortch@wellsfargo.com</t>
  </si>
  <si>
    <t>Senior Vice President &amp; Senior Relationship Manager, Commercial Banking</t>
  </si>
  <si>
    <t>384752-08P</t>
  </si>
  <si>
    <t>Enrique Rosales</t>
  </si>
  <si>
    <t>Enrique</t>
  </si>
  <si>
    <t>Rosales</t>
  </si>
  <si>
    <t>Mr. Enrique Rosales serves as Senior Commercial Relationship Manager at Wells Fargo.</t>
  </si>
  <si>
    <t>+1 (713) 319-1513</t>
  </si>
  <si>
    <t>enrique.rosales@wellsfargo.com</t>
  </si>
  <si>
    <t>1000 Louisiana Street</t>
  </si>
  <si>
    <t>Tunnel Level</t>
  </si>
  <si>
    <t>Senior Commercial Relationship Manager</t>
  </si>
  <si>
    <t>40405-15P</t>
  </si>
  <si>
    <t>Eric Fornel</t>
  </si>
  <si>
    <t>Fornel</t>
  </si>
  <si>
    <t>Mr. Eric Fornel serves as Vice Chairman, Investment Banking and Capital Markets at Wells Fargo.</t>
  </si>
  <si>
    <t>eric.fornel@wellsfargo.com</t>
  </si>
  <si>
    <t>Vice Chairman, Investment Banking and Capital Markets</t>
  </si>
  <si>
    <t>384669-19P</t>
  </si>
  <si>
    <t>Eric Hollingsworth</t>
  </si>
  <si>
    <t>Mr. Eric Hollingsworth serves as Senior Vice President at Wells Fargo.</t>
  </si>
  <si>
    <t>eric.hollingsworth@wellsfargo.com</t>
  </si>
  <si>
    <t>387171-73P</t>
  </si>
  <si>
    <t>Eric Pagel</t>
  </si>
  <si>
    <t>Pagel</t>
  </si>
  <si>
    <t>Mr. Eric Pagel serves as Managing Director &amp; Senior Portfolio Manager at Wells Fargo.</t>
  </si>
  <si>
    <t>ep@wellsfargo.com</t>
  </si>
  <si>
    <t>Managing Director &amp; Senior Portfolio Manager</t>
  </si>
  <si>
    <t>434588-41P</t>
  </si>
  <si>
    <t>Erik Karanik</t>
  </si>
  <si>
    <t>Karanik</t>
  </si>
  <si>
    <t>Mr. Erik Karanik serves as Head of WIM Independent Solutions at Wells Fargo.</t>
  </si>
  <si>
    <t>ekaranik@wellsfargo.com</t>
  </si>
  <si>
    <t>Head of WIM Independent Solutions</t>
  </si>
  <si>
    <t>81086-86P</t>
  </si>
  <si>
    <t>Fernando Rivas</t>
  </si>
  <si>
    <t>Rivas</t>
  </si>
  <si>
    <t>Mr. Fernando Rivas serves as Co - Chief Executive Officer of Corporate and Investment Banking &amp; Senior Executive Vice President at Wells Fargo. Mr. Fernando Rivas served as Head of North America Investment Banking at J.P. Morgan.</t>
  </si>
  <si>
    <t>fernando@wellsfargo.com</t>
  </si>
  <si>
    <t>187512-13P</t>
  </si>
  <si>
    <t>Gary Dyshaw</t>
  </si>
  <si>
    <t>Dyshaw</t>
  </si>
  <si>
    <t>Mr. Gary Dyshaw serves as Executive Vice President &amp; Division Manager at Wells Fargo. He leads a team of more than 250 team members in Iowa, Minnesota, Nebraska, North Dakota, South Dakota and Wisconsin. Prior to his current role, he led Wells Fargo's Middle Market Banking Specialty Industries Division. Regional sales manager for the Midwest Region is Brett Beugen, a 20-year company veteran.</t>
  </si>
  <si>
    <t>+1 (404) 332-6773</t>
  </si>
  <si>
    <t>gary.d@wellsfargo.com</t>
  </si>
  <si>
    <t>40 Peachtree Street Northwest</t>
  </si>
  <si>
    <t>30303</t>
  </si>
  <si>
    <t>Executive Vice President &amp; Division Manager</t>
  </si>
  <si>
    <t>31965-85P</t>
  </si>
  <si>
    <t>Gary Peters</t>
  </si>
  <si>
    <t>Mr. Gary Peters serves as Vice President, Business Development at Wells Fargo.</t>
  </si>
  <si>
    <t>gpeters@wellsfargo.com</t>
  </si>
  <si>
    <t>243642-52P</t>
  </si>
  <si>
    <t>Georgette Dixon</t>
  </si>
  <si>
    <t>Georgette</t>
  </si>
  <si>
    <t>Ms. Georgette Dixon serves as the Head of External Engagement, Diverse Segments Representation and Inclusion at Wells Fargo.</t>
  </si>
  <si>
    <t>georgette.dixon@wellsfargo.com</t>
  </si>
  <si>
    <t>Head of External Engagement, Diverse Segments Representation and Inclusion</t>
  </si>
  <si>
    <t>29199-79P</t>
  </si>
  <si>
    <t>Gerry Walters JD</t>
  </si>
  <si>
    <t>Mr. Gerry Walters serves as Managing Director &amp; Head of Technology Investment Banking at Wells Fargo. He was previously at Oppenheimer, where he served as managing director, head of Internet and digital media. He is based in San Francisco and reports to Jim Broner, head of the technology, media &amp; telecom investment banking group. He will work out of Oppenheimer's Menlo Park, CA office. Prior to this Mr. Walters joined Revolution Partners as a Managing Director in San Francisco. Since 1999, Gerry had worked at J.P. Morgan where he served as Managing Director and Head of its Internet and Digital Media Group providing advisory, equity, equity-linked and debt-financing services to clients. Before he moved to JPM, Gerry had been an attorney in private practice. He is a graduate of the University of Missouri and the University of Colorado School of Law.</t>
  </si>
  <si>
    <t>gerry.walters@wellsfargo.com</t>
  </si>
  <si>
    <t>Managing Director &amp; Head of Technology Investment Banking</t>
  </si>
  <si>
    <t>383984-02P</t>
  </si>
  <si>
    <t>Graham Gaule</t>
  </si>
  <si>
    <t>Gaule</t>
  </si>
  <si>
    <t>Mr. Graham Gaule serves as Relationship Manager at Wells Fargo.</t>
  </si>
  <si>
    <t>graham.a.gaule@wellsfargo.com</t>
  </si>
  <si>
    <t>Relationship Manager</t>
  </si>
  <si>
    <t>82939-24P</t>
  </si>
  <si>
    <t>Greg Cohn</t>
  </si>
  <si>
    <t>Mr. Greg Cohn serves as Senior Vice President at Wells Fargo.</t>
  </si>
  <si>
    <t>+1 (408) 966-6317</t>
  </si>
  <si>
    <t>greg.cohn@wellsfargo.com</t>
  </si>
  <si>
    <t>50 West San Fernando Street</t>
  </si>
  <si>
    <t>131375-98P</t>
  </si>
  <si>
    <t>Gregory Polgar</t>
  </si>
  <si>
    <t>Polgar</t>
  </si>
  <si>
    <t>Mr. Gregory Polgar serves as Director, Market Credit Leader - Commercial Banking at Wells Fargo. He served as Senior Account Executive at O'Keeffe &amp; Company.</t>
  </si>
  <si>
    <t>+1 (202) 637-2513</t>
  </si>
  <si>
    <t>gp@wellsfargo.com</t>
  </si>
  <si>
    <t>801 Pennsylvania Avenue North West</t>
  </si>
  <si>
    <t>Director, Market Credit Leader - Commercial Banking</t>
  </si>
  <si>
    <t>276643-45P</t>
  </si>
  <si>
    <t>Gregory Price</t>
  </si>
  <si>
    <t>Mr. Gregory Price serves as Senior Premier Banker at Wells Fargo.</t>
  </si>
  <si>
    <t>gregory.price@wellsfargo.com</t>
  </si>
  <si>
    <t>Senior Premier Banker</t>
  </si>
  <si>
    <t>184902-31P</t>
  </si>
  <si>
    <t>Henry Li</t>
  </si>
  <si>
    <t>Mr. Henry Li serves as Director, Corporate Banking at Wells Fargo.</t>
  </si>
  <si>
    <t>hli@wellsfargo.com</t>
  </si>
  <si>
    <t>Director, Corporate Banking</t>
  </si>
  <si>
    <t>284073-04P</t>
  </si>
  <si>
    <t>Hunter Patton</t>
  </si>
  <si>
    <t>Patton</t>
  </si>
  <si>
    <t>Mr. Hunter Patton serves as Managing Director at Wells Fargo.</t>
  </si>
  <si>
    <t>hp@wellsfargo.com</t>
  </si>
  <si>
    <t>345954-34P</t>
  </si>
  <si>
    <t>Iana Corniciuc</t>
  </si>
  <si>
    <t>Corniciuc</t>
  </si>
  <si>
    <t>Ms. Iana Corniciuc serves as Relationship Manager at Wells Fargo.</t>
  </si>
  <si>
    <t>iana.corniciuc@wellsfargo.com</t>
  </si>
  <si>
    <t>32022-73P</t>
  </si>
  <si>
    <t>James Opdyke</t>
  </si>
  <si>
    <t>Opdyke</t>
  </si>
  <si>
    <t>Mr. James Opdyke serves as Market Executive &amp; Executive Vice President at Wells Fargo.</t>
  </si>
  <si>
    <t>+1 (213) 253-6800</t>
  </si>
  <si>
    <t>james.opdyke@wellsfargo.com</t>
  </si>
  <si>
    <t>Market Executive &amp; Executive Vice President</t>
  </si>
  <si>
    <t>431732-08P</t>
  </si>
  <si>
    <t>James Schulte</t>
  </si>
  <si>
    <t>Mr. James Schulte serves as Managing Director, Market Coverage Originations at Wells Fargo.</t>
  </si>
  <si>
    <t>james.schulte@wellsfargo.com</t>
  </si>
  <si>
    <t>Managing Director, Market Coverage Originations</t>
  </si>
  <si>
    <t>184725-64P</t>
  </si>
  <si>
    <t>Jared Chester</t>
  </si>
  <si>
    <t>Mr. Jared Chester serves as Vice President SBA Lending at Wells Fargo.</t>
  </si>
  <si>
    <t>+1 (612) 799-6168</t>
  </si>
  <si>
    <t>jared.chester@wellsfargo.com</t>
  </si>
  <si>
    <t>Vice President SBA Lending</t>
  </si>
  <si>
    <t>79244-02P</t>
  </si>
  <si>
    <t>Jason Benson</t>
  </si>
  <si>
    <t>Mr. Jason Benson serves as Business Execution Director at Wells Fargo. He served as an Executive Director at JP Morgan. He was previously working as a Vice President at JPMorgan Chase.</t>
  </si>
  <si>
    <t>jason.benson@wellsfargo.com</t>
  </si>
  <si>
    <t>Business Execution Director</t>
  </si>
  <si>
    <t>85120-57P</t>
  </si>
  <si>
    <t>Jason Gers</t>
  </si>
  <si>
    <t>Gers</t>
  </si>
  <si>
    <t>Mr. Jason Gers serves as Vice President at Wells Fargo. He served as Vice President at JP Morgan. Previously, he served as a Vice President at Merrill Lynch.</t>
  </si>
  <si>
    <t>jason.gers@wellsfargo.com</t>
  </si>
  <si>
    <t>393006-79P</t>
  </si>
  <si>
    <t>Jason Rosenberg</t>
  </si>
  <si>
    <t>Mr. Jason Rosenberg serves as Head of Public Affair &amp; Senior Vice President at Wells Fargo.</t>
  </si>
  <si>
    <t>jrosenberg@wellsfargo.com</t>
  </si>
  <si>
    <t>81254-62P</t>
  </si>
  <si>
    <t>Jay Hesby</t>
  </si>
  <si>
    <t>Hesby</t>
  </si>
  <si>
    <t>Mr. Jay Hesby serves as Senior Vice President, Corporate Development at Wells Fargo. He holds a MBA in Finance from Carlson School of Management.</t>
  </si>
  <si>
    <t>+1 (612) 673-8531</t>
  </si>
  <si>
    <t>jay.hesby@wellsfargo.com</t>
  </si>
  <si>
    <t>+1 (612) 673-8503</t>
  </si>
  <si>
    <t>Senior Vice President, Corporate Development</t>
  </si>
  <si>
    <t>243529-12P</t>
  </si>
  <si>
    <t>Jeff Colson</t>
  </si>
  <si>
    <t>Colson</t>
  </si>
  <si>
    <t>Mr. Jeff Colson serves as Chief Risk Officer - Enterprise Finance at Wells Fargo.</t>
  </si>
  <si>
    <t>jeff@wellsfargo.com</t>
  </si>
  <si>
    <t>Chief Risk Officer - Enterprise Finance</t>
  </si>
  <si>
    <t>271231-75P</t>
  </si>
  <si>
    <t>Jeffrey Hall</t>
  </si>
  <si>
    <t>Mr. Jeffrey Hall serves as Board Member at FIA Tech. He serves as Director &amp; Business Manager, Futures Commission Merchant at Wells Fargo.</t>
  </si>
  <si>
    <t>jeffrey.hall@wellsfargo.com</t>
  </si>
  <si>
    <t>Director &amp; Business Manager, Futures Commission Merchant</t>
  </si>
  <si>
    <t>140891-50P</t>
  </si>
  <si>
    <t>Jeffrey Hogan</t>
  </si>
  <si>
    <t>Mr. Jeffrey Hogan serves as Managing Director &amp; Head of Global Mergers &amp; Acquisitions at Wells Fargo. He served as Head of Global Technology Mergers &amp; Acquisitions at Morgan Stanley. He is a veteran banker with over 35 years of experience in the financial industry, specializing in mergers and acquisitions.</t>
  </si>
  <si>
    <t>jh@wellsfargo.com</t>
  </si>
  <si>
    <t>Managing Director &amp; Head of Global Mergers &amp; Acquisitions</t>
  </si>
  <si>
    <t>33067-99P</t>
  </si>
  <si>
    <t>Jeffrey Warren</t>
  </si>
  <si>
    <t>Mr. Jeffrey Warren serves as Financial Advisor at Wells Fargo &amp; Company.</t>
  </si>
  <si>
    <t>jeffrey.warren@wellsfargo.com</t>
  </si>
  <si>
    <t>203539-15P</t>
  </si>
  <si>
    <t>Jessica Lupovici</t>
  </si>
  <si>
    <t>Lupovici</t>
  </si>
  <si>
    <t>Ms. Jessica Lupovici serves as Head, East Region Commercial Banking at Wells Fargo. Ms. Jessica Lupovici served as Managing Director at J.P. Morgan.</t>
  </si>
  <si>
    <t>jl@wellsfargo.com</t>
  </si>
  <si>
    <t>Head, East Region Commercial Banking</t>
  </si>
  <si>
    <t>349896-25P</t>
  </si>
  <si>
    <t>Jill Ford</t>
  </si>
  <si>
    <t>Ford</t>
  </si>
  <si>
    <t>Ms. Jill Ford serves as Co-Head of Equity Capital Markets at Wells Fargo.</t>
  </si>
  <si>
    <t>j.ford@wellsfargo.com</t>
  </si>
  <si>
    <t>Co-Head of Equity Capital Markets</t>
  </si>
  <si>
    <t>82890-73P</t>
  </si>
  <si>
    <t>Jim Themides</t>
  </si>
  <si>
    <t>Themides</t>
  </si>
  <si>
    <t>Mr. Jim Themides serves as Regional Vice President at Wells Fargo.</t>
  </si>
  <si>
    <t>+1 (813) 276-6632</t>
  </si>
  <si>
    <t>jim.themides@wellsfargo.com</t>
  </si>
  <si>
    <t>100 South Ashley Drive</t>
  </si>
  <si>
    <t>Floor 1</t>
  </si>
  <si>
    <t>33602</t>
  </si>
  <si>
    <t>164520-19P</t>
  </si>
  <si>
    <t>John Cole</t>
  </si>
  <si>
    <t>Mr. John Cole serves as Vice President and Regional Banking Manager at Wells Fargo. Based in Summit, N.J., he oversees Business Banking operations in New Jersey, New York, Connecticut, Massachusetts, Pennsylvania, Ohio, and Delaware. Before his current role, he led the Northeast region as part of the previous structure for the Eastern Region.</t>
  </si>
  <si>
    <t>john@wellsfargo.com</t>
  </si>
  <si>
    <t>Vice President and Regional Banking Manager</t>
  </si>
  <si>
    <t>31966-93P</t>
  </si>
  <si>
    <t>John Flint</t>
  </si>
  <si>
    <t>Flint</t>
  </si>
  <si>
    <t>Mr. John Flint serves as Senior Vice President &amp; Regional Sales Manager at Wells Fargo.</t>
  </si>
  <si>
    <t>+1 (617) 460-3240</t>
  </si>
  <si>
    <t>john.flint@wellsfargo.com</t>
  </si>
  <si>
    <t>+1 (617) 248-8922</t>
  </si>
  <si>
    <t>238931-92P</t>
  </si>
  <si>
    <t>John Leone</t>
  </si>
  <si>
    <t>Mr. John Leone serves as Managing Director and Head of Quantitative Strategy at Wells Fargo. He serves as a Mentor at Mentors Fund.</t>
  </si>
  <si>
    <t>john.leone@wellsfargo.com</t>
  </si>
  <si>
    <t>Managing Director and Head Quantitative Strategy</t>
  </si>
  <si>
    <t>99818-56P</t>
  </si>
  <si>
    <t>John Manning</t>
  </si>
  <si>
    <t>Mr. John Manning serves as Executive Vice President at Wells Fargo.</t>
  </si>
  <si>
    <t>john.manning@wellsfargo.com</t>
  </si>
  <si>
    <t>33753-97P</t>
  </si>
  <si>
    <t>Jon Huerta</t>
  </si>
  <si>
    <t>Huerta</t>
  </si>
  <si>
    <t>Mr. Jon Huerta serves as Managing Director at Wells Fargo.</t>
  </si>
  <si>
    <t>jon.huerta@wellsfargo.com</t>
  </si>
  <si>
    <t>153499-78P</t>
  </si>
  <si>
    <t>Jonathan Berns</t>
  </si>
  <si>
    <t>Mr. Jonathan Berns serves as Executive Director at Wells Fargo. He Berns served as Vice President &amp; Senior Relationship Manager, Global Commercial Banking at Bank of America Merrill Lynch.</t>
  </si>
  <si>
    <t>jonathan.berns@wellsfargo.com</t>
  </si>
  <si>
    <t>99119-44P</t>
  </si>
  <si>
    <t>Jonathan Velline</t>
  </si>
  <si>
    <t>Velline</t>
  </si>
  <si>
    <t>Mr. Jonathan Velline serves as Executive Vice President at Wells Fargo. He serves as Board Vice President at Lighthouse Community Charter School.</t>
  </si>
  <si>
    <t>jonathan@wellsfargo.com</t>
  </si>
  <si>
    <t>140273-56P</t>
  </si>
  <si>
    <t>Josie Haspel</t>
  </si>
  <si>
    <t>Josie</t>
  </si>
  <si>
    <t>Haspel</t>
  </si>
  <si>
    <t>Ms. Josie Haspel serves as Senior Vice President, Customer Experience Leader at Wells Fargo. Previously, she served as a Case Team Leader at Bain &amp; Company.</t>
  </si>
  <si>
    <t>josie.haspel@wellsfargo.com</t>
  </si>
  <si>
    <t>Senior Vice President, Customer Experience Leader</t>
  </si>
  <si>
    <t>170063-92P</t>
  </si>
  <si>
    <t>Joye Lynn</t>
  </si>
  <si>
    <t>Joye</t>
  </si>
  <si>
    <t>Ms. Joye Lynn serves as Head of Underwriting at Wells Fargo.</t>
  </si>
  <si>
    <t>joye.lynn@wellsfargo.com</t>
  </si>
  <si>
    <t>Head of Underwriting</t>
  </si>
  <si>
    <t>384039-37P</t>
  </si>
  <si>
    <t>Julie Havens</t>
  </si>
  <si>
    <t>Havens</t>
  </si>
  <si>
    <t>Ms. Julie Havens serves as Business Development Officer at Wells Fargo.</t>
  </si>
  <si>
    <t>julie.e.havens@wellsfargo.com</t>
  </si>
  <si>
    <t>Business Development Officer</t>
  </si>
  <si>
    <t>33069-43P</t>
  </si>
  <si>
    <t>Julius Young Jr.</t>
  </si>
  <si>
    <t>Mr. Julius Young serves as Market Executive - Commercial Banking at Wells Fargo. Previously he served as a Senior Vice President, Global Banking at Wells Fargo.</t>
  </si>
  <si>
    <t>+1 (713) 319-1902</t>
  </si>
  <si>
    <t>julius.young@wellsfargo.com</t>
  </si>
  <si>
    <t>Market Executive - Commercial Banking</t>
  </si>
  <si>
    <t>241694-02P</t>
  </si>
  <si>
    <t>Kaitlyn Hull</t>
  </si>
  <si>
    <t>Kaitlyn</t>
  </si>
  <si>
    <t>Ms. Kaitlyn Hull serves as Senior Vice President &amp; Commercial Banking Relationship Manager at Wells Fargo.</t>
  </si>
  <si>
    <t>kaitlyn@wellsfargo.com</t>
  </si>
  <si>
    <t>Senior Vice President &amp; Commercial Banking Relationship Manager</t>
  </si>
  <si>
    <t>338027-77P</t>
  </si>
  <si>
    <t>Karl Adams</t>
  </si>
  <si>
    <t>Mr. Karl Adams serves as Capital Markets Middle Office Analyst at Wells Fargo.</t>
  </si>
  <si>
    <t>karl.adams@wellsfargo.com</t>
  </si>
  <si>
    <t>Capital Markets Middle Office Analyst</t>
  </si>
  <si>
    <t>160286-41P</t>
  </si>
  <si>
    <t>Kathleen Gound</t>
  </si>
  <si>
    <t>Gound</t>
  </si>
  <si>
    <t>Ms. Kathleen Gound serves as Vice President at Wells Fargo.</t>
  </si>
  <si>
    <t>+1 (913) 234-2905</t>
  </si>
  <si>
    <t>kathleen@wellsfargo.com</t>
  </si>
  <si>
    <t>5301 West 95th Street</t>
  </si>
  <si>
    <t>66210</t>
  </si>
  <si>
    <t>79974-64P</t>
  </si>
  <si>
    <t>Katria Kowal</t>
  </si>
  <si>
    <t>Katria</t>
  </si>
  <si>
    <t>Kowal</t>
  </si>
  <si>
    <t>Consultant &amp; Director</t>
  </si>
  <si>
    <t>Ms. Katria Kowal serves as Executive Director &amp; Senior Lead Treasury Management Consultant at Wells Fargo. Ms. Kowal served as Assistant Treasurer at Sunoco.</t>
  </si>
  <si>
    <t>+1 (609) 953-5357</t>
  </si>
  <si>
    <t>kk@wellsfargo.com</t>
  </si>
  <si>
    <t>1501 Chestnut Street</t>
  </si>
  <si>
    <t>19102</t>
  </si>
  <si>
    <t>+1 (609) 953-7912</t>
  </si>
  <si>
    <t>Executive Director &amp; Senior Lead Treasury Management Consultant</t>
  </si>
  <si>
    <t>32918-68P</t>
  </si>
  <si>
    <t>Kendra Bach</t>
  </si>
  <si>
    <t>Bach</t>
  </si>
  <si>
    <t>Ms. Kendra Bach serves as Vice President, Commercial Banking at Wells Fargo. She also serves as Vice Chair of the Board at Ohio Valley Goodwill Industries Rehabilitation Center. Previously, she served as an Executive at Bank of Kentucky, and as Vice President at Integra Bank. She holds a Bachelor of Science degree from Plymouth State University, and an MBA from Northern Kentucky University.</t>
  </si>
  <si>
    <t>kendra.bach@wellsfargo.com</t>
  </si>
  <si>
    <t>13540-78P</t>
  </si>
  <si>
    <t>Kenneth Maggi</t>
  </si>
  <si>
    <t>Maggi</t>
  </si>
  <si>
    <t>Mr. Kenneth Maggi serves as Vice President at Wells Fargo.</t>
  </si>
  <si>
    <t>kmaggi@wellsfargo.com</t>
  </si>
  <si>
    <t>162334-36P</t>
  </si>
  <si>
    <t>Kevin Dowdle</t>
  </si>
  <si>
    <t>Dowdle</t>
  </si>
  <si>
    <t>Mr. Kevin Dowdle serves as Senior Relationship Manager at Wells Fargo.</t>
  </si>
  <si>
    <t>+1 (801) 246-1642</t>
  </si>
  <si>
    <t>kevin.dowdle@wellsfargo.com</t>
  </si>
  <si>
    <t>299 South Main Street</t>
  </si>
  <si>
    <t>84111</t>
  </si>
  <si>
    <t>81396-64P</t>
  </si>
  <si>
    <t>Kevin Healey</t>
  </si>
  <si>
    <t>Mr. Kevin Healey serves as Managing Director, Mergers and Acquisitions at Wells Fargo. He served as Managing Director of the Strategic Advisory Group at PJT Partners. Before joining the firm, Mr. Healey worked in the M&amp;A group at J.P. Morgan where he advised clients across multiple industries on a variety of public and private company transactions, leveraged buyouts, and Reverse Morris Trust transactions.</t>
  </si>
  <si>
    <t>kevin.healey@wellsfargo.com</t>
  </si>
  <si>
    <t>Managing Director, Mergers and Acquisitions</t>
  </si>
  <si>
    <t>85136-23P</t>
  </si>
  <si>
    <t>Kevin Reen</t>
  </si>
  <si>
    <t>Reen</t>
  </si>
  <si>
    <t>Mr. Kevin Reen serves as Chief Executive Officer Home Lending at Wells Fargo.</t>
  </si>
  <si>
    <t>kevin@wellsfargo.com</t>
  </si>
  <si>
    <t>Chief Executive Officer Home Lending</t>
  </si>
  <si>
    <t>144509-95P</t>
  </si>
  <si>
    <t>Kirk Katchen JD</t>
  </si>
  <si>
    <t>Katchen</t>
  </si>
  <si>
    <t>Mr. Kirk Katchen serves as Vice President, Business Development at Wells Fargo.</t>
  </si>
  <si>
    <t>+1 (215) 239-3105</t>
  </si>
  <si>
    <t>kirk@wellsfargo.com</t>
  </si>
  <si>
    <t>198801-55P</t>
  </si>
  <si>
    <t>Kleber Santos</t>
  </si>
  <si>
    <t>Kleber</t>
  </si>
  <si>
    <t>Santos</t>
  </si>
  <si>
    <t>Kleber Santos serves as Senior Executive Vice President, Chief Executive Officer of Consumer Lending at Wells Fargo. He is responsible for leading more than 35,000 employees focused on providing consumer lending products and services, including Home Loans, Auto Loans, Personal Lending, Credit Cards, Retail Services and Merchant Services. Prior to leading Consumer Lending, Kleber was head of Diverse Segments, Representation &amp; Inclusion at Wells Fargo - a role he will continue to have until his replacement is named. In this role, Kleber is responsible for leading efforts to make the company a place where diversity is reflected at all levels and in every facet of the company's operations, processes, and programs. His work is focused on creating a more diverse and inclusive working environment and partnering with Wells Fargo's business leaders to deliver products and services specifically designed to meet the needs of diverse customer segments. He also previously served as interim Head of Human Resources with responsibility for building and implementing the strategies, programs, and infrastructure to develop, engage, and retain strong talent for the company. Prior to joining Wells Fargo in 2020, Kleber worked for 15 years in a number of senior roles at Capital One, most recently as president of Retail and Direct Banking, accountable for the division's revenue, product development and marketing, branches and ATMs, and operations. He chaired Capital One's Retail and Direct Banking Diversity Council and served as executive sponsor of Capital One's Hispanic/Latinx associates and allies employee affinity group. Kleber also was executive vice president of Capital One's consumer bank for three years with responsibility for marketing, online and mobile channels, product development, credit underwriting, pricing, and fraud monitoring. Prior to joining Capital One, Kleber was an engagement manager with McKinsey &amp; Company. A native of Brazil, Kleber holds a bachelor's degree in civil engineering from Universidade Federal da Bahia, Brazil and master's degrees in both business administration and management of information technology from the University of Virginia. He previously served as a second lieutenant of infantry in the Brazilian Army Reserve Forces.</t>
  </si>
  <si>
    <t>ksantos@wellsfargo.com</t>
  </si>
  <si>
    <t>Senior Executive Vice President, Chief Executive Officer of Consumer Lending</t>
  </si>
  <si>
    <t>209593-36P</t>
  </si>
  <si>
    <t>Kristy Fercho</t>
  </si>
  <si>
    <t>Fercho</t>
  </si>
  <si>
    <t>Kristy Fercho serves as Senior Executive Vice President, Head of Diverse Segments, Representation and Inclusion and Head of Home Lending at Wells Fargo. She served as Executive Vice President &amp; President, Mortgage at Flagstar Bank. She is responsible for the direction and oversight of all aspects of mortgage and secondary marketing and for the continued expansion of Flagstar's mortgage business. Flagstar is the nation's fifth-largest bank mortgage originator. Ms. Fercho spent 15 years with Fannie Mae, ultimately serving as senior vice president, customer delivery executive, responsible for the end-to-end strategy and business performance of all single-family customers in the western United States, representing an acquisition volume of over $300 billion. Prior to Fannie Mae, she worked for eight years at PepsiCo, reaching the level of director of Human Resources for several corporate functions worldwide.</t>
  </si>
  <si>
    <t>kristy.fercho@flagstar.com</t>
  </si>
  <si>
    <t>73749-43P</t>
  </si>
  <si>
    <t>Kurt Wegleitner</t>
  </si>
  <si>
    <t>Wegleitner</t>
  </si>
  <si>
    <t>Mr. Kurt Wegleitner serves as Senior Vice President at Wells Fargo.</t>
  </si>
  <si>
    <t>kurt@wellsfargo.com</t>
  </si>
  <si>
    <t>99693-19P</t>
  </si>
  <si>
    <t>Kyle Hranicky</t>
  </si>
  <si>
    <t>Hranicky</t>
  </si>
  <si>
    <t>Kyle G. Hranicky serves as Senior Executive Vice President &amp; Chief Executive Officer of Commercial Banking at Wells Fargo. He oversees teams dedicated to providing financial solutions to businesses with annual sales generally in excess of $5 million. Kyle serves on the Wells Fargo Operating Committee. Serving clients in the business banking, middle market, and mid-corporate segments, along with specialized expertise across industry sectors and municipalities, Commercial Banking is a market-leading provider of cash management services, digital channel capabilities, working capital, investment capital, and sales financing solutions that help customers optimize liquidity and grow their business through their lifecycle. Kyle began his current role in September 2021. Prior to that he was head of Middle Market Banking, which provides local service and decision-making, a comprehensive suite of products, and industry expertise to serve the diverse financial needs of business banking, middle market, and government and institutional banking customers. Kyle also served as the head of Wells Fargo's Corporate Banking group, where he led the transformation to industry-specialized relationship businesses and managed Wells Fargo Strategic Capital, a specialized capital provider. He also partnered with other Wells Fargo executives to align Wells Fargo's corporate banking and securities businesses to form Corporate and Investment Banking to serve the needs of corporate and institutional clients in a more integrated and simplified way. Additional leadership positions he has held since 1995 include head of the Wells Fargo Energy Group, where the team established a top-tier position in the Energy industry, regional manager of the Loan Syndication group, part of Wells Fargo Capital Markets, Commercial Banking relationship manager, and loan team manager. Before Wells Fargo, he worked for the Southland Corporation.</t>
  </si>
  <si>
    <t>+1 (646) 728-3293</t>
  </si>
  <si>
    <t>kylehranicky@wellsfargo.com</t>
  </si>
  <si>
    <t>Senior Executive Vice President &amp; Chief Executive Officer of Commercial Banking</t>
  </si>
  <si>
    <t>258236-83P</t>
  </si>
  <si>
    <t>Laura Solorio</t>
  </si>
  <si>
    <t>Solorio</t>
  </si>
  <si>
    <t>Ms. Laura Solorio serves as Commercial Loan Closing Associate at Wells Fargo.</t>
  </si>
  <si>
    <t>laura.solorio@wellsfargo.com</t>
  </si>
  <si>
    <t>Commercial Loan Closing Associate</t>
  </si>
  <si>
    <t>425207-35P</t>
  </si>
  <si>
    <t>Leah Miller</t>
  </si>
  <si>
    <t>Ms. Leah Miller serves as Financial Crimes Specialist at Wells Fargo.</t>
  </si>
  <si>
    <t>millerl@wellsfargo.com</t>
  </si>
  <si>
    <t>Financial Crimes Specialist</t>
  </si>
  <si>
    <t>82897-12P</t>
  </si>
  <si>
    <t>Leila Tooley</t>
  </si>
  <si>
    <t>Tooley</t>
  </si>
  <si>
    <t>Ms. Leila Tooley serves as Commercial Banker at Wells Fargo.</t>
  </si>
  <si>
    <t>leila.tooley@wellsfargo.com</t>
  </si>
  <si>
    <t>Commercial Banker</t>
  </si>
  <si>
    <t>202097-08P</t>
  </si>
  <si>
    <t>Lesya Mitkevych</t>
  </si>
  <si>
    <t>Lesya</t>
  </si>
  <si>
    <t>Mitkevych</t>
  </si>
  <si>
    <t>Ms. Lesya Mitkevych serves as ABL Relationship Manager at Wells Fargo.</t>
  </si>
  <si>
    <t>lesya.mitkevych@wellsfargo.com</t>
  </si>
  <si>
    <t>ABL Relationship Manager</t>
  </si>
  <si>
    <t>387099-91P</t>
  </si>
  <si>
    <t>Lisa Farley</t>
  </si>
  <si>
    <t>Ms. Lisa Farley serves as Executive Director, Institutional Chief Investment Officer &amp; Portfolio Manager at Wells Fargo.</t>
  </si>
  <si>
    <t>+1 (310) 550-7183</t>
  </si>
  <si>
    <t>lfarley@wellsfargo.com</t>
  </si>
  <si>
    <t>433 North Camden Drive</t>
  </si>
  <si>
    <t>Executive Director, Institutional Chief Investment Officer &amp; Portfolio Manager</t>
  </si>
  <si>
    <t>288046-63P</t>
  </si>
  <si>
    <t>Luke Atherton</t>
  </si>
  <si>
    <t>Mr. Luke Atherton serves as Executive Director, of the Technology Banking Group at Wells Fargo.</t>
  </si>
  <si>
    <t>luke.atherton@wellsfargo.com</t>
  </si>
  <si>
    <t>Executive Director, Technology Banking Group</t>
  </si>
  <si>
    <t>384923-44P</t>
  </si>
  <si>
    <t>Lynne Sanders</t>
  </si>
  <si>
    <t>Lynne</t>
  </si>
  <si>
    <t>Partner &amp; Senior Vice President</t>
  </si>
  <si>
    <t>Ms. Lynne Sanders serves as Senior Vice President, Business Development at Wells Fargo.</t>
  </si>
  <si>
    <t>lynne.m.sanders@wellsfargo.com</t>
  </si>
  <si>
    <t>Senior Vice President, Business Development</t>
  </si>
  <si>
    <t>144682-66P</t>
  </si>
  <si>
    <t>Mahesh Rao</t>
  </si>
  <si>
    <t>Mr. Mahesh Rao serves as Senior Wealth Strategist at Wells Fargo.</t>
  </si>
  <si>
    <t>mahesh.rao@wellsfargo.com</t>
  </si>
  <si>
    <t>Senior Wealth Strategist</t>
  </si>
  <si>
    <t>371141-38P</t>
  </si>
  <si>
    <t>Maia Carson JD</t>
  </si>
  <si>
    <t>Ms. Maia Carson serves as Senior Company Counsel at Wells Fargo.</t>
  </si>
  <si>
    <t>maia.carson@wellsfargo.com</t>
  </si>
  <si>
    <t>Senior Company Counsel</t>
  </si>
  <si>
    <t>41455-90P</t>
  </si>
  <si>
    <t>Malcolm Price</t>
  </si>
  <si>
    <t>Mr. Malcolm Price serves as Head Of Financial Sponsors at Wells Fargo. He served as Managing Director of Investment Banking at Credit Suisse. He is responsible for a number of the Bank's industrial and private investment firm clients. His experience with Credit Suisse has included public underwritings of equity and debt offerings, private placements, financial advisory assignments, mergers and acquisitions advice, and financial restructurings.</t>
  </si>
  <si>
    <t>malcolm.price@wellsfargo.com</t>
  </si>
  <si>
    <t>Head Of Financial Sponsors</t>
  </si>
  <si>
    <t>81254-80P</t>
  </si>
  <si>
    <t>Marcus Wong</t>
  </si>
  <si>
    <t>Mr. Marcus Wong serves as Executive Director, Corporate Development at Wells Fargo. Previously, Mr. Wong served as the Finance Manager for the Internet Services Group at Wells Fargo. Mr. Wong holds a BS in Finance and Operations Management from the University of California, Berkeley.</t>
  </si>
  <si>
    <t>mwong@wellsfargo.com</t>
  </si>
  <si>
    <t>Executive Director, Corporate Development</t>
  </si>
  <si>
    <t>127905-85P</t>
  </si>
  <si>
    <t>Mark Hammersmith</t>
  </si>
  <si>
    <t>Hammersmith</t>
  </si>
  <si>
    <t>Mr. Mark Hammersmith serves as Chief Information Officer - Wells Fargo Enterprise Core Services - Application Services at Wells Fargo. He served as Executive Vice President &amp; Chief Information Officer, Brokerage Technology at Wells Fargo Advisors. He is responsible for all aspects of technology support for the Wells Fargo Advisors' line of business. He also sits on the Wells Fargo Advisors Operating Committee. Prior to joining the firm in 2006, Mark was senior vice president and chief information officer of Met Life's Institutional Business. Previously, he worked for The Dun &amp; Bradstreet Corporation as vice president of Management Information Systems for the IMS Health and AC Nielsen Divisions and also as director of Corporate Systems and Global Financial Systems. Mark received a bachelor's degree in applied mathematics from Yale University.</t>
  </si>
  <si>
    <t>mark@wellsfargo.com</t>
  </si>
  <si>
    <t>Chief Information Officer - Wells Fargo Enterprise Core Services - Application Services</t>
  </si>
  <si>
    <t>18171-91P</t>
  </si>
  <si>
    <t>Mark Lanspa</t>
  </si>
  <si>
    <t>Lanspa</t>
  </si>
  <si>
    <t>Mr. Mark Lanspa serves as Managing Director, CRE - Hospitality Finance Group at Wells Fargo. He served as Managing Director at GE Commercial Finance.</t>
  </si>
  <si>
    <t>mark.lanspa@wellsfargo.com</t>
  </si>
  <si>
    <t>Managing Director, CRE - Hospitality Finance Group</t>
  </si>
  <si>
    <t>31117-78P</t>
  </si>
  <si>
    <t>Mark Mountain</t>
  </si>
  <si>
    <t>Mountain</t>
  </si>
  <si>
    <t>Mr. Mark Mountain serves as Managing Director at Wells Fargo.</t>
  </si>
  <si>
    <t>mark.mountain@wellsfargo.com</t>
  </si>
  <si>
    <t>455973-67P</t>
  </si>
  <si>
    <t>Mark Pilja</t>
  </si>
  <si>
    <t>Pilja</t>
  </si>
  <si>
    <t>Mr. Mark Pilja serves as Associate at Wells Fargo.</t>
  </si>
  <si>
    <t>mark.pilja@wellsfargo.com</t>
  </si>
  <si>
    <t>31967-29P</t>
  </si>
  <si>
    <t>Mark Porter</t>
  </si>
  <si>
    <t>Mr. Mark Porter serves as Senior Vice President - Enterprise Access Management at Wells Fargo. Mr. Porter served as Vice President at Wells Fargo &amp; Company.</t>
  </si>
  <si>
    <t>+1 (214) 378-6524</t>
  </si>
  <si>
    <t>mark.porter@wellsfargo.com</t>
  </si>
  <si>
    <t>Plano</t>
  </si>
  <si>
    <t>Plano, TX</t>
  </si>
  <si>
    <t>2400 East Plano Parkway</t>
  </si>
  <si>
    <t>75074</t>
  </si>
  <si>
    <t>+1 (972) 867-7838</t>
  </si>
  <si>
    <t>Senior Vice President - Enterprise Access Management</t>
  </si>
  <si>
    <t>32023-36P</t>
  </si>
  <si>
    <t>Mark Sudac</t>
  </si>
  <si>
    <t>Sudac</t>
  </si>
  <si>
    <t>Mr. Mark Sudac serves as Vice President at Wells Fargo. He served as a Vice President at Wachovia Bank.</t>
  </si>
  <si>
    <t>mark.sudac@wellsfargo.com</t>
  </si>
  <si>
    <t>261727-30P</t>
  </si>
  <si>
    <t>Marla Moskowitz-Hesse</t>
  </si>
  <si>
    <t>Marla</t>
  </si>
  <si>
    <t>Moskowitz-Hesse</t>
  </si>
  <si>
    <t>Ms. Marla Moskowitz-Hesse serves as Senior Vice President &amp; Head of Compliance Program Strategy, Planning, and Governance at Wells Fargo.</t>
  </si>
  <si>
    <t>marla.moskowitz-hesse@wellsfargo.com</t>
  </si>
  <si>
    <t>Senior Vice President &amp; Head of Compliance Program Strategy, Planning, and Governance</t>
  </si>
  <si>
    <t>72379-72P</t>
  </si>
  <si>
    <t>Matt LeSage</t>
  </si>
  <si>
    <t>LeSage</t>
  </si>
  <si>
    <t>Mr. Matt LeSage serves as Chief Commercial Officer, Equipment Finance at GE Capital. Previously, Mr. LeSage served as a VP of Direct Marketing at Genworth Financial.</t>
  </si>
  <si>
    <t>+1 (203) 842-5200</t>
  </si>
  <si>
    <t>lesage@gecapital.com</t>
  </si>
  <si>
    <t>Norwalk</t>
  </si>
  <si>
    <t>Norwalk, CT</t>
  </si>
  <si>
    <t>901 Main Avenue</t>
  </si>
  <si>
    <t>06851</t>
  </si>
  <si>
    <t>Chief Commercial Officer, Equipment Finance</t>
  </si>
  <si>
    <t>GE Capital</t>
  </si>
  <si>
    <t>429401-53P</t>
  </si>
  <si>
    <t>Matt Servatius</t>
  </si>
  <si>
    <t>Servatius</t>
  </si>
  <si>
    <t>Mr. Matt Servatius serves as Market Executive at Wells Fargo.</t>
  </si>
  <si>
    <t>+1 (414) 224-3775</t>
  </si>
  <si>
    <t>matt.servatius@wellsfargo.com</t>
  </si>
  <si>
    <t>Market Executive</t>
  </si>
  <si>
    <t>135181-81P</t>
  </si>
  <si>
    <t>Matthew Beltman</t>
  </si>
  <si>
    <t>Beltman</t>
  </si>
  <si>
    <t>Mr. Matthew Beltman serves as Director, Specialized Industries - Healthcare at Wells Fargo. He served as Vice President at Fidus Investment. Prior to joining Fidus Investment Advisors, LLC in 2015, Mr. Beltman was an analyst in the Leveraged Finance Group at Wells Fargo Securities, LLC where he focused on raising debt capital for leveraged buyouts, acquisitions and recapitalizations of public and private companies across multiple industries. Prior to Wells Fargo Securities, Mr. Beltman was an analyst at Southwest Securities, LLC where he executed middle market M&amp;A transactions. Mr. Beltman earned a bachelor of science degree in business administration from the University of South Carolina and a master of professional accounting degree from the University of Texas at Austin.</t>
  </si>
  <si>
    <t>+1 (704) 334-3963</t>
  </si>
  <si>
    <t>mb@wellsfargo.com</t>
  </si>
  <si>
    <t>Director, Specialized Industries - Healthcare</t>
  </si>
  <si>
    <t>30745-09P</t>
  </si>
  <si>
    <t>Mr. Matthew Brown serves as Vice President of Risk Analytics at Wells Fargo.</t>
  </si>
  <si>
    <t>matthew.brown@wellsfargo.com</t>
  </si>
  <si>
    <t>Vice President of Risk Analytics</t>
  </si>
  <si>
    <t>186538-06P</t>
  </si>
  <si>
    <t>Matthew Oatman</t>
  </si>
  <si>
    <t>Oatman</t>
  </si>
  <si>
    <t>Mr. Matthew Oatman serves as Senior Vice President &amp; Relationship Manager at Wells Fargo.</t>
  </si>
  <si>
    <t>+1 (619) 699-3006</t>
  </si>
  <si>
    <t>matt@wellsfargo.com</t>
  </si>
  <si>
    <t>401 B Street</t>
  </si>
  <si>
    <t>+1 (619) 699-3060</t>
  </si>
  <si>
    <t>Senior Vice President &amp; Relationship Manager</t>
  </si>
  <si>
    <t>360048-52P</t>
  </si>
  <si>
    <t>Maynard Ahner</t>
  </si>
  <si>
    <t>Ahner</t>
  </si>
  <si>
    <t>Associate &amp; Chief Technology Officer</t>
  </si>
  <si>
    <t>Mr. Maynard Ahner serves as Chief Technology Officer, Product Management Group Leader- Commercial Banking Originations at Wells Fargo.</t>
  </si>
  <si>
    <t>maynard.ahner@wellsfargo.com</t>
  </si>
  <si>
    <t>Chief Technology Officer, Product Management Group Leader- Commercial Banking Originations</t>
  </si>
  <si>
    <t>82752-04P</t>
  </si>
  <si>
    <t>Melissa Curry</t>
  </si>
  <si>
    <t>Curry</t>
  </si>
  <si>
    <t>Ms. Melissa Curry serves as Executive Director, South Florida Mid-Corporate and Commercial Banking at Wells Fargo.</t>
  </si>
  <si>
    <t>+1 (954) 765-3900</t>
  </si>
  <si>
    <t>melissa.curry@wellsfargo.com</t>
  </si>
  <si>
    <t>Fort Lauderdale</t>
  </si>
  <si>
    <t>Fort Lauderdale, FL</t>
  </si>
  <si>
    <t>350 East Las Olas Boulevard</t>
  </si>
  <si>
    <t>33301</t>
  </si>
  <si>
    <t>Executive Director, South Florida Mid-Corporate and Commercial Banking</t>
  </si>
  <si>
    <t>447721-75P</t>
  </si>
  <si>
    <t>Melissa Frawley</t>
  </si>
  <si>
    <t>Frawley</t>
  </si>
  <si>
    <t>Ms. Melissa Frawley serves as Managing Director at Wells Fargo.</t>
  </si>
  <si>
    <t>383924-53P</t>
  </si>
  <si>
    <t>Melissa Fulmer</t>
  </si>
  <si>
    <t>Fulmer</t>
  </si>
  <si>
    <t>Mr. Melissa Fulmer serves as Senior Vice President &amp; Regional Sales Manager - LA Metro Market at Wells Fargo.</t>
  </si>
  <si>
    <t>melissa.fulmer@wellsfargo.com</t>
  </si>
  <si>
    <t>Senior Vice President &amp; Regional Sales Manager - LA Metro Market</t>
  </si>
  <si>
    <t>129354-40P</t>
  </si>
  <si>
    <t>Mendel Lay Jr.</t>
  </si>
  <si>
    <t>Mendel</t>
  </si>
  <si>
    <t>Mr. Mendel Lay serves as a Senior Vice President at Wells Fargo.</t>
  </si>
  <si>
    <t>mendel.lay@wellsfargo.com</t>
  </si>
  <si>
    <t>38946-88P</t>
  </si>
  <si>
    <t>Menglin Cao Ph.D</t>
  </si>
  <si>
    <t>Menglin</t>
  </si>
  <si>
    <t>Cao</t>
  </si>
  <si>
    <t>Dr. Menglin Cao serves as Senior Vice President &amp; Head of Commericial Banking Model Development CoE at Wells Fargo.</t>
  </si>
  <si>
    <t>menglin.cao@wellsfargo.com</t>
  </si>
  <si>
    <t>Senior Vice President &amp; Head of Commericial Banking Model Development CoE</t>
  </si>
  <si>
    <t>63063-10P</t>
  </si>
  <si>
    <t>Michael Acratopulo</t>
  </si>
  <si>
    <t>Acratopulo</t>
  </si>
  <si>
    <t>Mr. Michael Acratopulo serves as an Executive Vice President &amp; Senior Credit Officer at Wells Fargo.</t>
  </si>
  <si>
    <t>michael.acratopulo@wellsfargo.com</t>
  </si>
  <si>
    <t>Executive Vice President &amp; Senior Credit Officer, Commercial Real Estate</t>
  </si>
  <si>
    <t>87399-64P</t>
  </si>
  <si>
    <t>Michael Bash</t>
  </si>
  <si>
    <t>Bash</t>
  </si>
  <si>
    <t>Mr. Michael Bash serves as Commercial Banking Market Executive - Tennessee &amp; Kentucky at Wells Fargo.</t>
  </si>
  <si>
    <t>michael.bash@wellsfargo.com</t>
  </si>
  <si>
    <t>Commercial Banking Market Executive - Tennessee &amp; Kentucky</t>
  </si>
  <si>
    <t>173132-11P</t>
  </si>
  <si>
    <t>Michael Bleecher</t>
  </si>
  <si>
    <t>Bleecher</t>
  </si>
  <si>
    <t>Mr. Michael Bleecher serves as Region Portfolio Executive-Central Region at Wells Fargo.</t>
  </si>
  <si>
    <t>michael@wellsfargo.com</t>
  </si>
  <si>
    <t>Region Portfolio Executive-Central Region</t>
  </si>
  <si>
    <t>379590-67P</t>
  </si>
  <si>
    <t>Michael Carmona</t>
  </si>
  <si>
    <t>Mr. Michael Carmona serves as New Financial Advisor at Wells Fargo.</t>
  </si>
  <si>
    <t>m.c@wellsfargo.com</t>
  </si>
  <si>
    <t>New Financial Advisor</t>
  </si>
  <si>
    <t>16188-40P</t>
  </si>
  <si>
    <t>Michael Giaquinto</t>
  </si>
  <si>
    <t>Giaquinto</t>
  </si>
  <si>
    <t>Mr. Michael Giaquinto serves as Managing Director at Wells Fargo. Mr. Giaquinto served as Managing Director at Greenhill. He joined investment bank Greenhill as a Managing Director, with a focus on medical devices. He previously was co-head of the U.S. healthcare group at Citigroup Global Markets. Mr. Giaquinto, 40, spent 18 years covering health care companies as an investment banker, including 10 years at Citigroup (and its predecessors). He also previously worked in the health care group at UBS.</t>
  </si>
  <si>
    <t>michael.g@wellsfargo.com</t>
  </si>
  <si>
    <t>243030-25P</t>
  </si>
  <si>
    <t>Michael Liersch</t>
  </si>
  <si>
    <t>Liersch</t>
  </si>
  <si>
    <t>Mr. Michael Liersch serves as Head of Advice &amp; Planning, Wealth &amp; Investment Management at Wells Fargo.</t>
  </si>
  <si>
    <t>michael.liersch@wellsfargo.com</t>
  </si>
  <si>
    <t>Head of Advice &amp; Planning, Wealth &amp; Investment Management</t>
  </si>
  <si>
    <t>80292-52P</t>
  </si>
  <si>
    <t>Michael Santomassimo</t>
  </si>
  <si>
    <t>Santomassimo</t>
  </si>
  <si>
    <t>Mr. Michael Santomassimo served as Chief Financial Officer, Senior Executive Vice President, and Member of the Operating Committee at Wells Fargo. He served as Chief Financial Officer at BNY Mellon. He served as a member of the board of trustees of The Peck School in Morristown, New Jersey. Mr. Santomassimo served as Chief Financial Officer, Banking &amp; Risk, at Corporate Investment Bank at J.P. Morgan. He was previously working as a Worldwide Chief Financial Officer, Securities Services at JP Morgan. He is responsible for the controller, treasury, investor relations, strategic planning, corporate development, and tax functions, as well as its leasing businesses. He joined BNY Mellon in 2016 as Chief Financial Officer for the company's Investment Services businesses. He has more than 20 years of diverse banking and investment experience with JPMorgan and Smith Barney. Prior to joining BNY Mellon, he was CFO for Banking at JPMorgan, which included investment banking (advisory and equity &amp; debt capital markets), as well as treasury services. His notable accomplishments included improving profitability and leading change in key financial reporting and planning processes. In addition, he has been CFO of JPMorgan's Securities Services &amp; U.S. Private Banking businesses and ran the strategy and finance team for Smith Barney's brokerage division. He earned his bachelor's degree in finance from American University and an executive MBA from New York University.</t>
  </si>
  <si>
    <t>msantomassimo@wellsfargo.com</t>
  </si>
  <si>
    <t>Chief Financial Officer, Senior Executive Vice President, and Member of the Operating Committee</t>
  </si>
  <si>
    <t>171018-55P</t>
  </si>
  <si>
    <t>Michele Riccobono</t>
  </si>
  <si>
    <t>Riccobono</t>
  </si>
  <si>
    <t>Ms. Michele Riccobono serves as Director &amp; Loan Portfolio Manager at Wells Fargo.</t>
  </si>
  <si>
    <t>+1 (617) 854-7246</t>
  </si>
  <si>
    <t>michele.l.riccobono@wellsfargo.com</t>
  </si>
  <si>
    <t>Director &amp; Loan Portfolio Manager</t>
  </si>
  <si>
    <t>33067-63P</t>
  </si>
  <si>
    <t>Michele Shafroth</t>
  </si>
  <si>
    <t>Shafroth</t>
  </si>
  <si>
    <t>Mr. Michele Shafroth serves as Loan Team Manager at Wells Fargo.</t>
  </si>
  <si>
    <t>+1 (805) 777-8372</t>
  </si>
  <si>
    <t>michele.shafroth@wellsfargo.com</t>
  </si>
  <si>
    <t>Loan Team Manager</t>
  </si>
  <si>
    <t>313191-46P</t>
  </si>
  <si>
    <t>Mike Brady</t>
  </si>
  <si>
    <t>Mr. Mike Brady serves as an Executive Vice President of Technology Infrastructure at Wells Fargo.</t>
  </si>
  <si>
    <t>+1 (212) 809-4428</t>
  </si>
  <si>
    <t>mike.brady@wellsfargo.com</t>
  </si>
  <si>
    <t>367672-51P</t>
  </si>
  <si>
    <t>Mira Venkat</t>
  </si>
  <si>
    <t>Ms. Mira Venkat serves as Healthcare Strategic Capital Associate at Wells Fargo.</t>
  </si>
  <si>
    <t>mira.venkat@wellsfargo.com</t>
  </si>
  <si>
    <t>Healthcare Strategic Capital Associate</t>
  </si>
  <si>
    <t>108368-29P</t>
  </si>
  <si>
    <t>Morgan Dipo</t>
  </si>
  <si>
    <t>Dipo</t>
  </si>
  <si>
    <t>Mr. Morgan Dipo serves as Executive Director at Wells Fargo. Mr. Dipo serves as Senior Vice President, Business Development Executive and Global Commercial Banking at BofA Securities.</t>
  </si>
  <si>
    <t>+1 (206) 833-4400</t>
  </si>
  <si>
    <t>morgan.dipo@wellsfargo.com</t>
  </si>
  <si>
    <t>999 Third Avenue</t>
  </si>
  <si>
    <t>180405-55P</t>
  </si>
  <si>
    <t>Muneera Carr</t>
  </si>
  <si>
    <t>Muneera</t>
  </si>
  <si>
    <t>Muneera Carr serves as Executive Vice President, Chief Accounting Officer, and Controller at Wells Fargo. On March 6, 2020, Wells Fargo &amp; Company announced that Muneera Carr, the Company's controller, will succeed as chief accounting officer effective as of March 31, 2020. Ms. Carr, age 51, has served as an executive vice president and the Company's controller since January 2020. She will continue to serve as controller following her appointment as chief accounting officer. Prior to joining the Company, Ms. Carr held the following positions at Comerica Incorporated, a financial services company: executive vice president and chief financial officer from January 2018 to October 2019; executive vice president and chief accounting officer from February 2013 to January 2018; and senior vice president and chief accounting officer from July 2010 to February 2013. Ms. Carr has also worked in the Office of the Chief Accountant at the United States Securities and Exchange Commission and for Bank of America Corporation, SunTrust Banks, Inc., and PricewaterhouseCoopers. She holds a Bachelor of Business Administration from the University of Texas and is a certified public accountant.</t>
  </si>
  <si>
    <t>mc@wellsfargo.com</t>
  </si>
  <si>
    <t>231643-63P</t>
  </si>
  <si>
    <t>Munish Kumar</t>
  </si>
  <si>
    <t>Munish</t>
  </si>
  <si>
    <t>Mr. Munish Kumar serves as Chief Product &amp; Technology Officer, Wealth and Investment Management at Wells Fargo.</t>
  </si>
  <si>
    <t>mkumar@wellsfargo.com</t>
  </si>
  <si>
    <t>Chief Product &amp; Technology Officer, Wealth and Investment Management</t>
  </si>
  <si>
    <t>38140-66P</t>
  </si>
  <si>
    <t>Nancy Smith</t>
  </si>
  <si>
    <t>Ms. Nancy Smith serves as Vice President at Wells Fargo.</t>
  </si>
  <si>
    <t>nancy.smith@wellsfargo.com</t>
  </si>
  <si>
    <t>143207-83P</t>
  </si>
  <si>
    <t>Natasha Mata</t>
  </si>
  <si>
    <t>Mata</t>
  </si>
  <si>
    <t>Ms. Natasha Mata serves as Region Bank President at Wells Fargo.</t>
  </si>
  <si>
    <t>natasha.mata@wellsfargo.com</t>
  </si>
  <si>
    <t>Region Bank President</t>
  </si>
  <si>
    <t>185194-54P</t>
  </si>
  <si>
    <t>Nicole Pick</t>
  </si>
  <si>
    <t>Ms. Nicole Pick serves as Associate, Loan Sales - Debt Capital Markets at Wells Fargo. Previously she served as a Project Director at Kerr &amp; Downs Research.</t>
  </si>
  <si>
    <t>np@wellsfargo.com</t>
  </si>
  <si>
    <t>Associate, Loan Sales - Debt Capital Markets</t>
  </si>
  <si>
    <t>81255-16P</t>
  </si>
  <si>
    <t>Osanna Avanesova</t>
  </si>
  <si>
    <t>Osanna</t>
  </si>
  <si>
    <t>Avanesova</t>
  </si>
  <si>
    <t>Ms. Osanna Avanesova serves as Head of Cross Payments Enablement and Strategy, Consumer Bank and Small Business at Wells Fargo. Prior to Wells Fargo, she served as a Vice President of Global Corporate Strategy at Visa and as a Strategy Consultant at Marakon Associates.</t>
  </si>
  <si>
    <t>oavanesova@wellsfargo.com</t>
  </si>
  <si>
    <t>Head of Cross Payments Enablement and Strategy, Consumer Bank and Small Business</t>
  </si>
  <si>
    <t>314607-25P</t>
  </si>
  <si>
    <t>Paige Nobles</t>
  </si>
  <si>
    <t>Ms. Paige Nobles serves as Administrative Assistant at Wells Fargo.</t>
  </si>
  <si>
    <t>paige.nobles@wellsfargo.com</t>
  </si>
  <si>
    <t>Administrative Assistant</t>
  </si>
  <si>
    <t>33074-02P</t>
  </si>
  <si>
    <t>Patricia Murray</t>
  </si>
  <si>
    <t>Ms. Patricia Murray serves as Senior Vice President at Wells Fargo.</t>
  </si>
  <si>
    <t>+1 (310) 453-7256</t>
  </si>
  <si>
    <t>patricia@wellsfargo.com</t>
  </si>
  <si>
    <t>+1 (626) 844-9063</t>
  </si>
  <si>
    <t>33075-55P</t>
  </si>
  <si>
    <t>Patrick Murphy</t>
  </si>
  <si>
    <t>Mr. Patrick Murphy serves as Senior Vice President &amp; Manager at Wells Fargo.</t>
  </si>
  <si>
    <t>pmurphy@wellsfargo.com</t>
  </si>
  <si>
    <t>Senior Vice President &amp; Manager</t>
  </si>
  <si>
    <t>339305-50P</t>
  </si>
  <si>
    <t>Paul Ricci</t>
  </si>
  <si>
    <t>Mr. Paul Ricci serves as Chief Audit Executive and Senior Executive Vice President at Wells Fargo. He earned his Bachelor's degree in Accounting as well as his Master's degree in Finance and Quantitative Analysis from St. John's University. Paul also holds certificates in Operational Excellence from MIT and Strategy from Columbia Business School.</t>
  </si>
  <si>
    <t>paul.ricci@wellsfargo.com</t>
  </si>
  <si>
    <t>Chief Audit Executive, Senior Executive Vice President</t>
  </si>
  <si>
    <t>156468-43P</t>
  </si>
  <si>
    <t>Paul Wren</t>
  </si>
  <si>
    <t>Wren</t>
  </si>
  <si>
    <t>Mr. Paul Wren serves as Investment Banker at Wells Fargo.</t>
  </si>
  <si>
    <t>paul.wren@wellsfargo.com</t>
  </si>
  <si>
    <t>46493-92P</t>
  </si>
  <si>
    <t>Peter De Guzman</t>
  </si>
  <si>
    <t>De Guzman</t>
  </si>
  <si>
    <t>Mr. Peter De Guzman serves as Executive Director - Head of Currency Transaction Reporting at Wells Fargo. He served as Vice President of Operations at LibertadCard. He is responsible for 24/7 Card's operations in the Philippines and also oversees the Customer Support team. Before joining 24/7 Card, he was Vice President of Operations at PeopleSupport, where he managed more than 1,000 employees across multiple off-shore locations. During his 8 1/2 years at PeopleSupport</t>
  </si>
  <si>
    <t>+1 (678) 795-8101</t>
  </si>
  <si>
    <t>pdeguzman@wellsfargo.com</t>
  </si>
  <si>
    <t>+1 (770) 992-4720</t>
  </si>
  <si>
    <t>Executive Director - Head of Currency Transaction Reporting</t>
  </si>
  <si>
    <t>172894-06P</t>
  </si>
  <si>
    <t>Phillip Smith</t>
  </si>
  <si>
    <t>Mr. Phillip Smith serves as Vice Chairman &amp; Executive Vice President at Wells Fargo.</t>
  </si>
  <si>
    <t>phillip.smith@wellsfargo.com</t>
  </si>
  <si>
    <t>Vice Chairman &amp; Executive Vice President</t>
  </si>
  <si>
    <t>342798-85P</t>
  </si>
  <si>
    <t>Rachel Jinich</t>
  </si>
  <si>
    <t>Jinich</t>
  </si>
  <si>
    <t>Ms. Rachel Jinich serves as Head of Specialty Real Estate Finance &amp; Managing Director at Wells Fargo.</t>
  </si>
  <si>
    <t>rachel.jinich@wellsfargo.com</t>
  </si>
  <si>
    <t>Head of Specialty Real Estate Finance &amp; Managing Director</t>
  </si>
  <si>
    <t>323593-12P</t>
  </si>
  <si>
    <t>Rahul Rajesh</t>
  </si>
  <si>
    <t>Mr. Rahul Rajesh serves as Global Co-Head of Banks &amp; EMEA Head of Financial Institutions Corporate &amp; Investment Banking at Wells Fargo.</t>
  </si>
  <si>
    <t>rahul@wellsfargo.com</t>
  </si>
  <si>
    <t>Global Co-Head of Banks &amp; EMEA Head of Financial Institutions Corporate &amp; Investment Banking</t>
  </si>
  <si>
    <t>140847-94P</t>
  </si>
  <si>
    <t>Rakesh Patel</t>
  </si>
  <si>
    <t>Rakesh</t>
  </si>
  <si>
    <t>Mr. Rakesh Patel serves as Chief Financial Officer, Executive Vice President- Wealth and Investment Management at Wells Fargo. Previously he served as a Market Analyst Intern at Smith Barney.</t>
  </si>
  <si>
    <t>rpatel@wellsfargo.com</t>
  </si>
  <si>
    <t>Chief Financial Officer, Executive Vice President- Wealth and Investment Management</t>
  </si>
  <si>
    <t>209773-00P</t>
  </si>
  <si>
    <t>Ramsay Huntley</t>
  </si>
  <si>
    <t>Huntley</t>
  </si>
  <si>
    <t>Mr. Ramsay Huntley serves as Senior Advisor, Sustainable Finance at Wells Fargo.</t>
  </si>
  <si>
    <t>ramsay.huntley@wellsfargo.com</t>
  </si>
  <si>
    <t>Senior Advisor, Sustainable Finance</t>
  </si>
  <si>
    <t>220151-35P</t>
  </si>
  <si>
    <t>Randy Lynch</t>
  </si>
  <si>
    <t>Mr. Randy Lynch serves as Managing Director at Wells Fargo. Mr. Lynch served as Senior Vice President, Finance, Treasurer, and Corporate Development at Maxar Technologies. Previously, Randy worked at Bank of America Merrill Lynch and Morgan Stanley, serving as Managing Director, Global Head of Aerospace and Defense. In those roles he supported CEOs, CFOs and Boards of Directors, focusing on M&amp;A and strategic finance. Randy has a bachelor's degree in economics from Vanderbilt University and an M.B.A. from the University of Chicago Booth School of Business.</t>
  </si>
  <si>
    <t>rl@wellsfargo.com</t>
  </si>
  <si>
    <t>275526-46P</t>
  </si>
  <si>
    <t>Ranjani Ramachandra</t>
  </si>
  <si>
    <t>Ranjani</t>
  </si>
  <si>
    <t>Ramachandra</t>
  </si>
  <si>
    <t>Ms. Ranjani Ramachandra serves as Managing Director &amp; Head of Equity Linked Products Trading at Wells Fargo.</t>
  </si>
  <si>
    <t>ranjani.ramachandra@wellsfargo.com</t>
  </si>
  <si>
    <t>Managing Director &amp; Head of Equity Linked Products Trading</t>
  </si>
  <si>
    <t>127725-31P</t>
  </si>
  <si>
    <t>Reetika Grewal</t>
  </si>
  <si>
    <t>Ms. Reetika Grewal serves as Executive Vice President &amp; Head of Digital for Commercial and Corporate &amp; Investment Banking at Wells Fargo. She served as Head of Payments Strategy and Solutions at Silicon Valley Bank. Reetika is responsible for SVB's payments strategy and development as well as working collaboratively with clients and partners to help deliver their solutions to the market. She has been recognized by PaymentsSource as one of the Top 20 Most Influential Women in Payments for the past three years and currently serves on the Electronic Transaction Association's Board of Directors. Prior to SVB, Reetika held senior positions at JPMorgan Chase, Clairmail (acquired by Monitise), Wells Fargo, and Sapient.</t>
  </si>
  <si>
    <t>reetika.grewal@wellsfargo.com</t>
  </si>
  <si>
    <t>Executive Vice President &amp; Head of Digital for Commercial and Corporate &amp; Investment Banking</t>
  </si>
  <si>
    <t>33498-46P</t>
  </si>
  <si>
    <t>Richard Dowd</t>
  </si>
  <si>
    <t>Mr. Richard Dowd serves as Vice Chairman and Managing Director, Middle Market Investment Banking at Wells Fargo. Investment Banking and Capital Markets at Wells Fargo. He has more than 25 years of experience and has worked with a broad range of public, private, and private equity clients across a variety of industries. Rick is based in Charlotte, NC.</t>
  </si>
  <si>
    <t>+1 (704) 715-6742</t>
  </si>
  <si>
    <t>rick.dowd@wellsfargo.com</t>
  </si>
  <si>
    <t>+1 (704) 715-6084</t>
  </si>
  <si>
    <t>Vice Chairman and Managing Director, Middle Market Investment Banking</t>
  </si>
  <si>
    <t>31969-81P</t>
  </si>
  <si>
    <t>Robert Gennari</t>
  </si>
  <si>
    <t>Gennari</t>
  </si>
  <si>
    <t>Mr. Robert Gennari serves as Vice President, New Business Development Corporate Trust at Wells Fargo.</t>
  </si>
  <si>
    <t>robert@wellsfargo.com</t>
  </si>
  <si>
    <t>Vice President, New Business Development Corporate Trust</t>
  </si>
  <si>
    <t>82785-07P</t>
  </si>
  <si>
    <t>Robert Lozano</t>
  </si>
  <si>
    <t>Lozano</t>
  </si>
  <si>
    <t>Mr. Robert Lozano serves as Commercial Banking Leader at Wells Fargo. Previously, he served as a Senior Vice President at Wells Fargo Bank.</t>
  </si>
  <si>
    <t>+1 (305) 789-6844</t>
  </si>
  <si>
    <t>robert.lozano@wellsfargo.com</t>
  </si>
  <si>
    <t>100 East Flagler Street</t>
  </si>
  <si>
    <t>Commercial Banking Leader</t>
  </si>
  <si>
    <t>297351-91P</t>
  </si>
  <si>
    <t>Robyn Luhning</t>
  </si>
  <si>
    <t>Robyn</t>
  </si>
  <si>
    <t>Luhning</t>
  </si>
  <si>
    <t>Ms. Robyn Luhning serves as Chief Sustainability Officer at Wells Fargo. Ms. Robyn Luhning serves as Chief Sustainability Officer at Wells Fargo Innovation Incubator.</t>
  </si>
  <si>
    <t>rluhning@wellsfargo.com</t>
  </si>
  <si>
    <t>383699-98P</t>
  </si>
  <si>
    <t>Roger Bynum</t>
  </si>
  <si>
    <t>Bynum</t>
  </si>
  <si>
    <t>Mr. Roger Bynum serves as Executive Director at Wells Fargo.</t>
  </si>
  <si>
    <t>roger.bynum@wellsfargo.com</t>
  </si>
  <si>
    <t>247225-42P</t>
  </si>
  <si>
    <t>Romeo Murcia</t>
  </si>
  <si>
    <t>Romeo</t>
  </si>
  <si>
    <t>Murcia</t>
  </si>
  <si>
    <t>Mr. Romeo Murcia serves as Senior Financial Advisor, First Vice President-Investments at Wells Fargo.</t>
  </si>
  <si>
    <t>romeo.murcia@wellsfargo.com</t>
  </si>
  <si>
    <t>Senior Financial Advisor, First Vice President-Investments</t>
  </si>
  <si>
    <t>378723-25P</t>
  </si>
  <si>
    <t>Rosa Diaz</t>
  </si>
  <si>
    <t>Ms. Rosa Diaz serves as Commercial Banking Business Relationship Support Specialist at Wells Fargo.</t>
  </si>
  <si>
    <t>rosa.diaz@wellsfargo.com</t>
  </si>
  <si>
    <t>Commercial Banking Business Relationship Support Specialist</t>
  </si>
  <si>
    <t>143935-48P</t>
  </si>
  <si>
    <t>Rushabh Sheth</t>
  </si>
  <si>
    <t>Rushabh</t>
  </si>
  <si>
    <t>Mr. Rushabh Sheth serves as an Executive, Financial Institutions Investment Banking at Wells Fargo. Previously he served in Corporate Development and Investor Relations at Axis Capital.</t>
  </si>
  <si>
    <t>rs@wellsfargo.com</t>
  </si>
  <si>
    <t>Executive, Financial Institutions Investment Banking</t>
  </si>
  <si>
    <t>449935-39P</t>
  </si>
  <si>
    <t>Ryan Greene</t>
  </si>
  <si>
    <t>Mr. Ryan Greene serves as Managing Director at Wells Fargo.</t>
  </si>
  <si>
    <t>ryan.greene@wellsfargo.com</t>
  </si>
  <si>
    <t>207880-03P</t>
  </si>
  <si>
    <t>Saul Van Beurden</t>
  </si>
  <si>
    <t>Mr. Saul Van Beurden serves as Senior Executive Vice President and CEO of Consumer, Small &amp; Business Banking at Wells Fargo. He previously served as the head of Technology and led the global team of information technology and security professionals. Under his leadership, the team executed an engineering-led IT strategy, driving the company's transformation efforts to become a leader in risk management and innovation for our customers and clients. He is the executive co-sponsor for Wells Fargo's Disability Connection Employee Resource Network, and in 2020, started the Neurodiversity Hiring program in Technology, which has now been scaled to other functions at the company. He also sits on the Board of the Wells Fargo Foundation, which harnesses the power of philanthropy. Prior to joining Wells Fargo in April 2019, He was chief information officer of Consumer and Community Banking at JPMorgan Chase. He also has served in Technology &amp; Operations leadership roles at Marsh &amp; McLennan, ING Group, and various firms in his native Netherlands. He is a member of the Board of Trustees for the Museum of American Finance in New York.</t>
  </si>
  <si>
    <t>saulvanbeurden@wellsfargo.com</t>
  </si>
  <si>
    <t>Senior Executive Vice President and CEO of Consumer, Small &amp; Business Banking</t>
  </si>
  <si>
    <t>148882-51P</t>
  </si>
  <si>
    <t>Schultz Trisha</t>
  </si>
  <si>
    <t>Trisha</t>
  </si>
  <si>
    <t>Ms. Schultz Trisha serves as Vice President, Senior Advisor Corporate Communications at Wells Fargo. She is the media contact for all Wells Fargo Capital Finance, Asset-Based Lending Group (ABL), Wells Fargo Commercial Distribution Finance (CDF).</t>
  </si>
  <si>
    <t>+1 (314) 875-3863</t>
  </si>
  <si>
    <t>schultz@wellsfargo.com</t>
  </si>
  <si>
    <t>2701 Market Street</t>
  </si>
  <si>
    <t>63103</t>
  </si>
  <si>
    <t>Vice President, Senior Advisor Corporate Communications</t>
  </si>
  <si>
    <t>39020-41P</t>
  </si>
  <si>
    <t>Scott Powell</t>
  </si>
  <si>
    <t>Chief Operating Officer &amp; Senior Executive Vice President</t>
  </si>
  <si>
    <t>Mr. Scott Powell serves as Chief Operating Officer &amp; Senior Executive Vice President at Wells Fargo. since December 2019; Mr. Powell has served, since 2015, in various senior positions with Santander Holdings USA, Inc. (Santander Holdings USA) and certain of its affiliates, including as follows: President and Chief Executive Officer, and a director, of Santander Holdings USA since March 2015; President and Chief Executive Officer of Santander Consumer USA Holdings Inc. (Santander Consumer USA) since August 2017 and a director of Santander Consumer USA since September 2016; Senior Executive Vice President of Santander Bank, National Association (Santander Bank) since his appointment as President and Chief Executive Officer of Santander Consumer USA; President and Chief Executive Officer of Santander Bank from July 2015 until his appointment as President and Chief Executive Officer of Santander Consumer USA; and a director of Santander Bank since July 2015. Santander Holdings USA is a wholly-owned subsidiary of Banco Santander, S.A. Before joining Santander Holdings USA, Mr. Powell was Executive Chairman of StoneRiver National Flood Services Inc. from 2013 until 2014. From 2002 to 2012, Mr. Powell served in several senior positions at JPMorgan Chase &amp; Co. and its predecessor Bank One Corporation. Mr. Powell is a member of the boards of directors of The Clearing House Payments Company L.L.C. and the Boys &amp; Girls Club of Boston as well as Phipps Houses and The END Fund in New York City. He received a B.A. from the University of Minnesota and an M.B.A. from the University of Maryland.</t>
  </si>
  <si>
    <t>scott.powell@wellsfargo.com</t>
  </si>
  <si>
    <t>173417-23P</t>
  </si>
  <si>
    <t>Scott Warrender</t>
  </si>
  <si>
    <t>Warrender</t>
  </si>
  <si>
    <t>Mr. Scott Warrender serves as Head of Investment Banking at Wells Fargo.</t>
  </si>
  <si>
    <t>scott.warrender@wellsfargo.com</t>
  </si>
  <si>
    <t>114731-11P</t>
  </si>
  <si>
    <t>Sesh Raghavan</t>
  </si>
  <si>
    <t>Mr. Sesh Raghavan served as Managing Director/Head - Power, Utilities, and Renewables M&amp;A at Wells Fargo. He serves as Managing Director at Evercore Group. Mr. Raghavan has fourteen years of investment banking experience. Prior to joining Evercore, Mr. Raghavan was a Director at Lexicon Partners and before that, an Executive Director at J.P.Morgan's power &amp; utility team in NY, where he focused on mergers &amp; acquisitions and capital markets. Prior to that, he worked at J.P.Morgan and the investment banking industry in Mumbai for five years focusing on financing in the power sector and capital markets. Mr. Raghavan received an MBA with distinction from the University of Michigan Ross School of Business, a Bachelor of Commerce degree from the University of Mumbai, and a Chartered Accountant.</t>
  </si>
  <si>
    <t>sr@wellsfargo.com</t>
  </si>
  <si>
    <t>Managing Director/Head - Power, Utilities and Renewables M&amp;A</t>
  </si>
  <si>
    <t>332259-85P</t>
  </si>
  <si>
    <t>Shane Easter</t>
  </si>
  <si>
    <t>Easter</t>
  </si>
  <si>
    <t>Mr. Shane Easter serves as Director - Renewable Energy and Environmental Finance at Wells Fargo.</t>
  </si>
  <si>
    <t>shane.easter@wellsfargo.com</t>
  </si>
  <si>
    <t>Director - Renewable Energy and Environmental Finance</t>
  </si>
  <si>
    <t>166601-53P</t>
  </si>
  <si>
    <t>Shawn Hinton</t>
  </si>
  <si>
    <t>Mr. Shawn Hinton serves as Vice President at Wells Fargo.</t>
  </si>
  <si>
    <t>shawn.hinton@wellsfargo.com</t>
  </si>
  <si>
    <t>140 State Capitol</t>
  </si>
  <si>
    <t>160475-41P</t>
  </si>
  <si>
    <t>Stacey Sandler</t>
  </si>
  <si>
    <t>Ms. Stacey Sandler serves as Executive Director and Senior Relationship Manager at Wells Fargo.</t>
  </si>
  <si>
    <t>+1 (201) 788-7319</t>
  </si>
  <si>
    <t>stacey.hamiltonsandler@wellsfargo.com</t>
  </si>
  <si>
    <t>Executive Director &amp; Senior Relationship Manager</t>
  </si>
  <si>
    <t>33067-36P</t>
  </si>
  <si>
    <t>Steve Reinhart JD</t>
  </si>
  <si>
    <t>Mr. Steve Reinhart serves as Senior Vice President at Wells Fargo.</t>
  </si>
  <si>
    <t>+1 (480) 664-4908</t>
  </si>
  <si>
    <t>steven.reinhart@wellsfargo.com</t>
  </si>
  <si>
    <t>+1 (602) 378-6215</t>
  </si>
  <si>
    <t>169456-24P</t>
  </si>
  <si>
    <t>Steve Shafley</t>
  </si>
  <si>
    <t>Shafley</t>
  </si>
  <si>
    <t>Mr. Steve Shafley serves as Director &amp; Senior Relationship Manager at Wells Fargo.</t>
  </si>
  <si>
    <t>+1 (616) 293-6290</t>
  </si>
  <si>
    <t>steve.shafley@wellsfargo.com</t>
  </si>
  <si>
    <t>+1 (616) 458-4722</t>
  </si>
  <si>
    <t>Director &amp; Senior Relationship Manager</t>
  </si>
  <si>
    <t>33077-80P</t>
  </si>
  <si>
    <t>Steven Peters</t>
  </si>
  <si>
    <t>Mr. Steven Peters serves as Managing Director, Fund Investing at Wells Fargo. Previously, he served as a Bank Examiner at Federal Deposit Insurance Corporation. He also served as Member of the Advisory Board at Tecum Capital.</t>
  </si>
  <si>
    <t>speters@wellsfargo.com</t>
  </si>
  <si>
    <t>Managing Director, Fund Investing</t>
  </si>
  <si>
    <t>32045-14P</t>
  </si>
  <si>
    <t>Susan Thorpe</t>
  </si>
  <si>
    <t>Thorpe</t>
  </si>
  <si>
    <t>Ms. Susan Thorpe serves as Vice President at Wells Fargo.</t>
  </si>
  <si>
    <t>+1 (321) 354-6975</t>
  </si>
  <si>
    <t>susan.thorpe@wellsfargo.com</t>
  </si>
  <si>
    <t>131 North Orange Avenue</t>
  </si>
  <si>
    <t>32801</t>
  </si>
  <si>
    <t>393729-31P</t>
  </si>
  <si>
    <t>Suzanne Morgan</t>
  </si>
  <si>
    <t>Ms. Suzanne Morgan serves as Deputy Chief Compliance Officer at Wells Fargo.</t>
  </si>
  <si>
    <t>suzanne.morgan@wellsfargo.com</t>
  </si>
  <si>
    <t>34076-44P</t>
  </si>
  <si>
    <t>Suzanne Morrison</t>
  </si>
  <si>
    <t>Ms. Suzanne Morrison serves as Head of Commercial Banking and Wealth Partnerships at Wells Fargo. She served as Director at Wachovia Bank.</t>
  </si>
  <si>
    <t>smorrison@wellsfargo.com</t>
  </si>
  <si>
    <t>Head of Commercial Banking and Wealth Partnerships</t>
  </si>
  <si>
    <t>33067-90P</t>
  </si>
  <si>
    <t>Talena Hooper</t>
  </si>
  <si>
    <t>Talena</t>
  </si>
  <si>
    <t>Ms. Talena Hooper serves as Division Executive at Wells Fargo. Born into a hard-working family, Hooper began her banking career as an administrative assistant and steadily excelled to head teams of industry-leading bankers who provide credit, treasury management, deposit and other products and services to a diverse set of commercial businesses, including not-for profit and government agencies in local markets. She earned a bachelor's degree in business management from Friends University in Lenexa, KS, and studied mechanical engineering at University of Kansas.</t>
  </si>
  <si>
    <t>+1 (913) 649-9050</t>
  </si>
  <si>
    <t>talena.hooper@wellsfargo.com</t>
  </si>
  <si>
    <t>Division Executive</t>
  </si>
  <si>
    <t>384019-03P</t>
  </si>
  <si>
    <t>Tammy Henke</t>
  </si>
  <si>
    <t>Tammy</t>
  </si>
  <si>
    <t>Henke</t>
  </si>
  <si>
    <t>Mr. Tammy Henke serves as Senior Vice President at Wells Fargo.</t>
  </si>
  <si>
    <t>tammy.r.henke@wellsfargo.com</t>
  </si>
  <si>
    <t>245117-53P</t>
  </si>
  <si>
    <t>Thomas Cappello</t>
  </si>
  <si>
    <t>Cappello</t>
  </si>
  <si>
    <t>Chief Risk Officer &amp; Managing Director</t>
  </si>
  <si>
    <t>Mr. Thomas Cappello serves as Chief Risk Officer &amp; Managing Director, Deposits, Payments &amp; Operations at Wells Fargo. He served as Chief Risk Officer &amp; President at LPL Financial.</t>
  </si>
  <si>
    <t>thomas.c@wellsfargo.com</t>
  </si>
  <si>
    <t>Chief Risk Officer &amp; Managing Director, Deposits, Payments &amp; Operations</t>
  </si>
  <si>
    <t>407075-77P</t>
  </si>
  <si>
    <t>Thomas Cho</t>
  </si>
  <si>
    <t>Mr. Thomas Cho serves as Managing Director &amp; Head of Technology M&amp;A at Wells Fargo. During his 30-year career, Tom has worked with public and private technology corporate clients, as well as financial sponsors and other investors in a variety of M&amp;A advisory and capital markets transactions.</t>
  </si>
  <si>
    <t>tom.c@wellsfargo.com</t>
  </si>
  <si>
    <t>Managing Director &amp; Head of Technology M&amp;A</t>
  </si>
  <si>
    <t>116892-91P</t>
  </si>
  <si>
    <t>Thomas Curran</t>
  </si>
  <si>
    <t>Analyst &amp; Vice President</t>
  </si>
  <si>
    <t>Mr. Thomas Curran serves as Senior Equity Analyst &amp; Vice President at Wells Fargo. Prior to joining Wells Fargo Securities, Curran served as head of the Financial Institutions Debt Capital Markets and Solutions at UBS Investment Bank. In his role, he was responsible for originating and executing capital management initiatives including, debt/hybrid offerings, reserve financings, contingent capital, capital relief and yield enhancement solutions. He also served as a director in Merrill Lynch's Debt Capital Markets Financial Institutions Group. Before joining Merrill, Curran held increasing senior roles at MetLife, both in their Tax Department and Corporate Treasury offices.</t>
  </si>
  <si>
    <t>thomas.curran@wellsfargo.com</t>
  </si>
  <si>
    <t>Senior Equity Analyst &amp; Vice President</t>
  </si>
  <si>
    <t>33073-03P</t>
  </si>
  <si>
    <t>Thomas Horak</t>
  </si>
  <si>
    <t>Horak</t>
  </si>
  <si>
    <t>Mr. Thomas Horak serves as Senior Vice President, Loan Originations at Wells Fargo.</t>
  </si>
  <si>
    <t>+1 (800) 783-8778</t>
  </si>
  <si>
    <t>thomas.j.horak@wellsfargo.com</t>
  </si>
  <si>
    <t>Senior Vice President, Loan Originations</t>
  </si>
  <si>
    <t>169456-06P</t>
  </si>
  <si>
    <t>Thomas Ranville</t>
  </si>
  <si>
    <t>Ranville</t>
  </si>
  <si>
    <t>Mr. Thomas Ranville serves as Senior Vice President at Wells Fargo.</t>
  </si>
  <si>
    <t>tr@wellsfargo.com</t>
  </si>
  <si>
    <t>81254-71P</t>
  </si>
  <si>
    <t>Thomas Schaefer</t>
  </si>
  <si>
    <t>Mr. Thomas Schaefer serves as Head of Product Development, Banking, Lending &amp; Trust at Wells Fargo. He served as Corporate Development Analyst and Associate at Wells Fargo. Mr. Schaefer holds a BBA in Finance from the University of Wisconsin and an MBA from the University of California, Berkeley.</t>
  </si>
  <si>
    <t>thomas.schaefer@wellsfargo.com</t>
  </si>
  <si>
    <t>Head of Product Development, Banking, Lending &amp; Trust</t>
  </si>
  <si>
    <t>384928-84P</t>
  </si>
  <si>
    <t>Thomas Smith</t>
  </si>
  <si>
    <t>Mr. Thomas Smith serves as Managing Director &amp; Senior Portfolio Manager at Wells Fargo.</t>
  </si>
  <si>
    <t>thomas.j.smith@wellsfargo.com</t>
  </si>
  <si>
    <t>171690-67P</t>
  </si>
  <si>
    <t>Tiffany Ormon</t>
  </si>
  <si>
    <t>Ormon</t>
  </si>
  <si>
    <t>Ms. Tiffany Ormon serves as Managing Director at Wells Fargo. She was Vice President, Innovation Banking Group at Cambridge Trust Company.</t>
  </si>
  <si>
    <t>tiffany.n.ormon@wellsfargo.com</t>
  </si>
  <si>
    <t>164519-56P</t>
  </si>
  <si>
    <t>Tim Billerbeck</t>
  </si>
  <si>
    <t>Billerbeck</t>
  </si>
  <si>
    <t>Mr. Tim Billerbeck serves as Executive Vice President at Wells Fargo. He served as the Head of Commercial Banking Central Division at Wells Fargo &amp; Company since February 2009, and also served as its Executive Vice President. He served as Division Manager of Food and Agribusiness Specialty Group at Wells Fargo &amp; Company.</t>
  </si>
  <si>
    <t>tim.billerbeck@wellsfargo.com</t>
  </si>
  <si>
    <t>44940-79P</t>
  </si>
  <si>
    <t>Tim Rafalovich Ph.D</t>
  </si>
  <si>
    <t>Rafalovich</t>
  </si>
  <si>
    <t>Dr. Tim Rafalovich serves as Managing Director and Head of Fund Investing at Wells Fargo Strategic Capital. He also serves as a Financial Advisory Board Member at Patriot Capital. He also served as a Member of the Advisory Board at Tecum Capital. He is an institutional limited partner investor in private equity funds. He is an active LP investor in private equity funds and Small Business Investment Companies (SBICs) in particular. He also invests Wells Fargo Bank balance sheet capital into CRA-qualified investments including post-LIHTC Preservation funds, LMI Venture Capital funds, Community Development Equity, CRA Securities, and public welfare Real Estate funds. Additionally, he was EVP for Crossfield, a small M&amp;A firm. He is an active member of the Small Business Investor Alliance (SBIA), an advocacy group for lower middle-market private equity funds, and a supporter of the SBIC program. He is the current Limited Partner chair for the SBIA, former Western Regional President, and a founding member. He is a Ph.D. candidate, lives in Newport Beach, CA, and sits on large corporate and nonprofit Boards and nearly 20 private equity advisory boards. He also served as an Advisor at Spring Capital Partners.</t>
  </si>
  <si>
    <t>+1 (949) 251-4321</t>
  </si>
  <si>
    <t>tim.rafal@wellsfargo.com</t>
  </si>
  <si>
    <t>+1 (949) 261-1830</t>
  </si>
  <si>
    <t>Managing Director &amp; Head of Fund Investing</t>
  </si>
  <si>
    <t>Wells Fargo Strategic Capital</t>
  </si>
  <si>
    <t>17913-52P</t>
  </si>
  <si>
    <t>Timothy O'Hara</t>
  </si>
  <si>
    <t>Mr. Timothy O'Hara serves as Head of Banking at Wells Fargo. He served as Managing Director &amp; Global Co-Head of Credit Alternative Investors at BlackRock. He is responsible for determining the strategic direction and growth initiatives of the Global Credit platform. He is accountable for business management, product strategy, business development, and alternative credit sourcing. He also serves on BlackRock's Global Operating Committee and BlackRock Alternative Investors Executive Committee. Prior to joining BlackRock, he was a Managing Director of Credit Suisse, A.G., where he held several senior management roles over his career, including CEO of Credit Suisse Holdings (USA), CEO of Global Markets, Member of the Credit Suisse A.G. Executive Board, and Co-Head of Investment Banking. For much of his career, he worked within the bank's Fixed Income Division and held roles including Co-Head of Global Securities, Head of Global Credit Products, Head of Fixed Income (North America), and Global Head of Leveraged Finance. He currently serves on the Board of Directors of the University of Virginia's Investment Management Company (UVIMCO). UVIMCO oversees the endowment for the University of Virginia. He is also a member of the University of Virginia College Foundation Board and Co-Heads the Foundation's New York Council. He serves on the Board of Directors of Project Morry, a year round youth development organization. He is a past member of the board of directors of the Securities Industry and Financial Markets Association (SIFMA), where he was also a member of the Executive Committee of the Board, and he served as a member of the Board of Trustees of the Credit Suisse Americas Foundation and the Credit Suisse A.G. Foundation. He received his B.A., Economics from the University of Virginia and his M.B.A., Finance from the Wharton School at the University of Pennsylvania.</t>
  </si>
  <si>
    <t>timothy_p.o'hara@blackrock.com</t>
  </si>
  <si>
    <t>Managing Director &amp; Global Co-Head of Credit Alternative Investors</t>
  </si>
  <si>
    <t>BlackRock (Former)</t>
  </si>
  <si>
    <t>33071-14P</t>
  </si>
  <si>
    <t>Mr. Timothy Smith serves as Corporate Properties Relationship Manager at Wells Fargo.</t>
  </si>
  <si>
    <t>+1 (908) 542-2069</t>
  </si>
  <si>
    <t>timothy.smith@wellsfargo.com</t>
  </si>
  <si>
    <t>+1 (908) 542-2098</t>
  </si>
  <si>
    <t>Corporate Properties Relationship Manager</t>
  </si>
  <si>
    <t>117611-11P</t>
  </si>
  <si>
    <t>Tom Murphy</t>
  </si>
  <si>
    <t>Mr. Tom Murphy serves as Managing Director &amp; Head of Consumer Asset-Based Lending and Originations at Wells Fargo.</t>
  </si>
  <si>
    <t>t.murphy@wellsfargo.com</t>
  </si>
  <si>
    <t>Managing Director &amp; Head of Consumer Asset-Based Lending and Originations</t>
  </si>
  <si>
    <t>32044-78P</t>
  </si>
  <si>
    <t>Torrance Abell</t>
  </si>
  <si>
    <t>Abell</t>
  </si>
  <si>
    <t>Mr. Torrance Abell serves as Credit Officer - Director at Wells Fargo.</t>
  </si>
  <si>
    <t>+1 (512) 344-7109</t>
  </si>
  <si>
    <t>torrance.abell@wellsfargo.com</t>
  </si>
  <si>
    <t>111 Congress Avenue, Floor 1</t>
  </si>
  <si>
    <t>Credit Officer - Director</t>
  </si>
  <si>
    <t>161153-38P</t>
  </si>
  <si>
    <t>Troy Akagi</t>
  </si>
  <si>
    <t>Akagi</t>
  </si>
  <si>
    <t>Mr. Troy Akagi serves as Senior Vice President &amp; Senior Relationship Manager at Wells Fargo.</t>
  </si>
  <si>
    <t>+1 (385) 415-8122</t>
  </si>
  <si>
    <t>ta@wellsfargo.com</t>
  </si>
  <si>
    <t>245713-15P</t>
  </si>
  <si>
    <t>Tyler Dobson</t>
  </si>
  <si>
    <t>Dobson</t>
  </si>
  <si>
    <t>Mr. Tyler Dobson serves as Senior Vice President at Wells Fargo.</t>
  </si>
  <si>
    <t>tyler.dobson@wellsfargo.com</t>
  </si>
  <si>
    <t>33068-35P</t>
  </si>
  <si>
    <t>Tyler Harvey</t>
  </si>
  <si>
    <t>Mr. Tyler Harvey serves as Regional Team Lead and Senior Vice President at Wells Fargo.</t>
  </si>
  <si>
    <t>+1 (801) 246-1707</t>
  </si>
  <si>
    <t>tyler.harvey@wellsfargo.com</t>
  </si>
  <si>
    <t>+1 (801) 246-1790</t>
  </si>
  <si>
    <t>Regional Team Lead and Senior Vice President</t>
  </si>
  <si>
    <t>384960-16P</t>
  </si>
  <si>
    <t>Tyson Phillips</t>
  </si>
  <si>
    <t>Mr. Tyson Phillips serves as Business Development Officer at Wells Fargo.</t>
  </si>
  <si>
    <t>tyson.phillips@wellsfargo.com</t>
  </si>
  <si>
    <t>372634-84P</t>
  </si>
  <si>
    <t>Uday Odedra</t>
  </si>
  <si>
    <t>Uday</t>
  </si>
  <si>
    <t>Odedra</t>
  </si>
  <si>
    <t>Mr. Uday Odedra serves as Managing Director &amp; Head of India and Philippines at Wells Fargo.</t>
  </si>
  <si>
    <t>uday.odedra@wellsfargo.com</t>
  </si>
  <si>
    <t>Managing Director &amp; Head of India and Philippines</t>
  </si>
  <si>
    <t>183270-79P</t>
  </si>
  <si>
    <t>Vanessa Spiro JD</t>
  </si>
  <si>
    <t>Spiro</t>
  </si>
  <si>
    <t>Ms. Vanessa Spiro serves as Lead Counsel at Wells Fargo. She serves as Partner, Pittsburgh and New York banking and asset finance at K&amp;L Gates.</t>
  </si>
  <si>
    <t>vanessa.spiro@wellsfargo.com</t>
  </si>
  <si>
    <t>Lead Counsel</t>
  </si>
  <si>
    <t>302587-03P</t>
  </si>
  <si>
    <t>Victor Cortes</t>
  </si>
  <si>
    <t>Mr. Victor Cortes serves as Executive Director, Wells Fargo Capital Finance Originations at Wells Fargo. He serves as Board Member at Project Angel Food. For the past seven years, I have spent my energies and given my primary focus to my career. As I have reflected on my professional successes, I have also been reminded of where I come from. Having lived in Rio de Janeiro, Brazil, for several years during his childhood, he saw first-hand that food is medicine, food is love, food nourishes the soul, and most importantly, food is welcoming and gives a sense of community.</t>
  </si>
  <si>
    <t>vcortes@wellsfargo.com</t>
  </si>
  <si>
    <t>Executive Director, Wells Fargo Capital Finance Originations</t>
  </si>
  <si>
    <t>366799-51P</t>
  </si>
  <si>
    <t>Vivek Maheshwari</t>
  </si>
  <si>
    <t>Mr. Vivek Maheshwari serves as Associate, Healthcare VC Investments at Wells Fargo.</t>
  </si>
  <si>
    <t>vivek@wellsfargo.com</t>
  </si>
  <si>
    <t>Associate, Healthcare VC Investments</t>
  </si>
  <si>
    <t>332719-21P</t>
  </si>
  <si>
    <t>Wes Shaw</t>
  </si>
  <si>
    <t>Mr. Wes Shaw serves as Senior Vice President, of ABL Originations at Wells Fargo.</t>
  </si>
  <si>
    <t>wshaw@wellsfargo.com</t>
  </si>
  <si>
    <t>Senior Vice President, ABL Originations</t>
  </si>
  <si>
    <t>184911-13P</t>
  </si>
  <si>
    <t>Whitney Wall</t>
  </si>
  <si>
    <t>Ms. Whitney Wall serves as a Market Executive at Wells Fargo. She joined Wells Fargo in 2001 and has served in a number of roles in Wells Fargo Securities and Wells Fargo Bank in Dallas and San Francisco.</t>
  </si>
  <si>
    <t>whitney.wall@wellsfargo.com</t>
  </si>
  <si>
    <t>360066-25P</t>
  </si>
  <si>
    <t>William Sloyan</t>
  </si>
  <si>
    <t>Sloyan</t>
  </si>
  <si>
    <t>Mr. William Sloyan serves as Syndications Analyst at Wells Fargo.</t>
  </si>
  <si>
    <t>william.sloyan@wellsfargo.com</t>
  </si>
  <si>
    <t>Syndications Analyst</t>
  </si>
  <si>
    <t>385275-97P</t>
  </si>
  <si>
    <t>Yilda Spoor</t>
  </si>
  <si>
    <t>Yilda</t>
  </si>
  <si>
    <t>Spoor</t>
  </si>
  <si>
    <t>Ms. Yilda Spoor serves as Senior Vice President of Commercial and Lending Relationship Manager at Wells Fargo.</t>
  </si>
  <si>
    <t>ys@wellsfargo.com</t>
  </si>
  <si>
    <t>Senior Vice President of Commercial and Lending Relationship Manager</t>
  </si>
  <si>
    <t>371143-63P</t>
  </si>
  <si>
    <t>Yvette McQueen</t>
  </si>
  <si>
    <t>Yvette</t>
  </si>
  <si>
    <t>Mr. Yvette McQueen serves as Executive Director at Wells Fargo.</t>
  </si>
  <si>
    <t>yvette.mcqueen@wellsfargo.com</t>
  </si>
  <si>
    <t>249965-11P</t>
  </si>
  <si>
    <t>Ann Drew</t>
  </si>
  <si>
    <t>WEX</t>
  </si>
  <si>
    <t>Ms. Ann Drew serves as Chief Risk &amp; Compliance Officer at WEX. She joined WEX in 2014, bringing to the company nearly 15 years of experience in business risk strategy and management, regulatory compliance, corporate governance, and mergers and acquisitions. As chief risk &amp; compliance officer (CRCO), Annie is responsible for managing all of WEX's enterprise risk management efforts, which include global oversight of WEX's regulated financial service entities, corporate compliance, credit risk management, insurance, third party risk management and organizational resilience. She previously served as senior vice president, and chief ethics and compliance officer, overseeing WEX's global programs covering ethics and compliance, enterprise risk management and organizational resilience, and the provision of legal support involving Bank governance and regulatory matters, privacy, litigation, human resources and procurement. Prior to joining WEX, Annie was associate general counsel and chief compliance officer for SIG SAUER and IDEXX Laboratories, where she advised on domestic and international legal matters, built compliance and ethics programs, set reporting strategies, and supported the general counsel with corporate governance, board matters and SEC reporting. Annie also worked in private practice at Davis Polk &amp; Wardwell in New York and Sheehan Phinney Bass &amp; Green in New Hampshire and served as a law clerk for Judge Eugene E. Siler Jr. of the Sixth Circuit Court of Appeals. She holds a Juris Doctor from the University of Kentucky College of Law, where she graduated first in her class, and a bachelor's degree from Cornell University. She is active in her community supporting nonprofits with missions that she is passionate about and she holds a seat on the Board of Directors of Olympia Snowe Women's Leadership Institute and the Dempsey Center</t>
  </si>
  <si>
    <t>+1 (207) 773-8171</t>
  </si>
  <si>
    <t>ann.drew@wexinc.com</t>
  </si>
  <si>
    <t>1 Hancock Street</t>
  </si>
  <si>
    <t>Chief Risk Officer &amp; Chief Compliance Officer, Legal</t>
  </si>
  <si>
    <t>294706-45P</t>
  </si>
  <si>
    <t>Carlos Carriedo</t>
  </si>
  <si>
    <t>Carriedo</t>
  </si>
  <si>
    <t>Mr. Carlos Carriedo serves as Chief Operating Officer at WEX. He also serves as an Executive at WEX Venture Capital. Mr. Carlos Carriedo is an Angel Investor. He joined WEX in 2022 as Chief Operating Officer (COO), International, leading WEX's strategic growth outside the U.S., overseeing Europe, the Middle East and Africa (EMEA), and Asia Pacific (APAC) markets. He brings more than two decades of experience driving global business expansion through multinational innovation and digital transformation initiatives. As Chief Operating Officer, International, he focuses on revenue growth, sales and customer strategy. Prior to joining WEX, he worked at American Express as the General Manager of Commercial Services for Europe, and he also served as Chairman of American Express Bank of Russia. During his time at American Express, he held various positions managing commercial services across international markets including Europe, Russia, Canada and Latin America. In addition, he led a global council to integrate best practices across markets, focused on growth, scalability, and productivity enhancements. Prior to that role, he worked as an analyst at Deloitte Consulting. He holds an MBA degree from Stanford University and an undergraduate degree from the Instituto Technológico de Estudios Superiores de Monterrey in Mexico. He is based in London.</t>
  </si>
  <si>
    <t>carlos@wexinc.com</t>
  </si>
  <si>
    <t>377009-74P</t>
  </si>
  <si>
    <t>Christopher Gleason</t>
  </si>
  <si>
    <t>Mr. Christopher Gleason serves as Senior Vice President, Corporate Development at WEX. Previously, he was a Senior VP, Mergers Acquisitions &amp; Integration at WEX and also held positions at Baker Newman Noyes. He received a Bachelor of Business Administration from the University of Maine, Orono.</t>
  </si>
  <si>
    <t>christopher.gleason@wexinc.com</t>
  </si>
  <si>
    <t>377110-00P</t>
  </si>
  <si>
    <t>Gene Currier</t>
  </si>
  <si>
    <t>Gene</t>
  </si>
  <si>
    <t>Currier</t>
  </si>
  <si>
    <t>Mr. Gene Currier serves as Vice President &amp; Business Manager of Major Oil Relationship at WEX.</t>
  </si>
  <si>
    <t>gene.currier@wexinc.com</t>
  </si>
  <si>
    <t>Vice President &amp; Business Manager, Major Oil Relationship</t>
  </si>
  <si>
    <t>43186-78P</t>
  </si>
  <si>
    <t>Hilary Rapkin JD</t>
  </si>
  <si>
    <t>Rapkin</t>
  </si>
  <si>
    <t>Hilary Rapkin has served as our Chief Legal Officer and Corporate Secretary since December 2017. Prior to that she served as the Senior Vice President, General Counsel and Corporate Secretary from February 2005 to November 2017. She also served as the Head of Human Resources from February 2013 until February 2018. From January 1996 to February 2005, Ms. Rapkin held various positions of increasing responsibilities with the Company. Ms. Rapkin is a member of the American Bar Association, the Maine State Bar Association, the Association of Corporate Counsel, the Society of Corporate Secretaries and Governance Professionals, and the New England Legal Foundation.</t>
  </si>
  <si>
    <t>hilary_rapkin@wexinc.com</t>
  </si>
  <si>
    <t>13095-28P</t>
  </si>
  <si>
    <t>Jagtar Narula</t>
  </si>
  <si>
    <t>Jagtar</t>
  </si>
  <si>
    <t>Narula</t>
  </si>
  <si>
    <t>Mr. Jagtar Narula serves as Chief Financial Officer at WEX. On April 25, 2022, the Board of Directors of WEX Inc. appointed Jagtar Narula as the Chief Financial Officer of the Company, effective as of May 25, 2022. Mr. Narula, age 51, is currently the Executive Vice President and Chief Financial Officer of 3D Systems Corporation, a provider of comprehensive 3D printing and digital manufacturing solutions, a position he was appointed to in September 2020. Prior to that, Mr. Narula served as Senior Vice President, Corporate Strategy and Business Development of Blackbaud, Inc., a provider of cloud software solutions, from April 2017 to September 2020, as Vice President, Corporate Strategy and Business Development from March 2016 to April 2017, as Vice President, Investor Relations and Financial Planning from January 2015 to March 2016, and as Vice President, Financial Planning and Investment Strategy from January 2014 to January 20Narula also held finance leadership positions of increasing responsibility at Xerox Corporation, General Electric Company and Core Capital Partners. Prior to joining WEX, Jagtar served as Executive Vice President15. Prior to that, Mr. and Chief Financial Officer of 3D Systems. In this role he led global financial functions including accounting, treasury, and investor relations, among others. He also helped restore the company to profitability, transform its business portfolio and strengthen its balance sheet, resulting in a significant market cap increase during his tenure. Prior to that role, Jagtar served as SVP of Corporate Strategy and Business Development for Blackbaud, Inc. where he also previously led Investor Relations and Financial Planning. Additionally, Jagtar held finance leadership positions of increasing responsibility at Xerox, GE and with private equity.</t>
  </si>
  <si>
    <t>jagtar.narula@wexinc.com</t>
  </si>
  <si>
    <t>109013-95P</t>
  </si>
  <si>
    <t>Jay Collins</t>
  </si>
  <si>
    <t>Mr. Jay Collins serves as Senior Vice President &amp; General Manager, EV &amp; Mobility at WEX. In his prior role as SVP and General Manager of Small Business, Jay led the team that quintupled the growth rate of WEX's Small Business division. He also helmed the company's Fleet entry into Europe as well as Corporate Strategy during his 17-year tenure at WEX. Jay earned a B.A. in Political Science from the University of New Hampshire. He is President of the Maine Cancer Foundation Board and serves on two for-profit boards in the Portland, Maine, business community.</t>
  </si>
  <si>
    <t>jay.collins@wexinc.com</t>
  </si>
  <si>
    <t>Senior Vice President &amp; General Manager, EV &amp; Mobility</t>
  </si>
  <si>
    <t>286973-20P</t>
  </si>
  <si>
    <t>Jennifer Kimball</t>
  </si>
  <si>
    <t>Kimball</t>
  </si>
  <si>
    <t>On January 1, 2022, the Board of Directors of the Company appointed Jennifer Kimball, the Company's current Chief Accounting Officer, as the Interim Chief Financial Officer of the Company, effective immediately. Ms. Kimball, age 47, has served as the Chief Accounting Officer of the Company since August 2020. Prior to that, she served as the Company's Vice President of Finance from April 2019 to July 2020. Prior to joining the Company, Ms. Kimball served as Senior Vice President and Chief Accounting Officer of Syneos Health, a global biopharmaceutical solutions organization (Syneos Health), from August 2017 to March 2019. Prior to the merger of inVentiv Health, a professional services organization (inVentiv), and INC Research, which resulted in the formation of Syneos Health, Ms. Kimball served as the Chief Accounting Officer of inVentiv from November 2016 to August 2017 and as the Vice President, Accounting of inVentiv from July 2011 to November 2016. From 2007 to 2011, Ms. Kimball served as the Director of Corporate Reporting at The Timberland Company, a manufacturer and retailer of outdoor wear. From 2005 to 2007, Ms. Kimball served as the Treasury Controller and Director of Technical Accounting at Thermo Fisher Scientific, a supplier of scientific instrumentation, reagents and consumables, and software services. From 1997 to 2005, Ms. Kimball served in various positions from Staff Accountant to Senior Manager at PricewaterhouseCoopers LLP.</t>
  </si>
  <si>
    <t>jennifer.kimball@wexinc.com</t>
  </si>
  <si>
    <t>Chief Accounting Officer, Accounting</t>
  </si>
  <si>
    <t>217940-32P</t>
  </si>
  <si>
    <t>Joel Dearborn</t>
  </si>
  <si>
    <t>Mr. Joel Dearborn serves as Chief Strategy Officer at WEX. He also serves as an Executive at WEX Venture Capital. Mr. Dearborn joined WEX in January 2016 as Vice President, Strategy. He served as Vice President, Strategy from January 2016 until December 2017. Since December 2017, Mr. Dearborn has served as WEX's President for Corporate Payments and is responsible for WEX's virtual card and other payments solutions. Prior to joining WEX, he was a principal at McKinsey &amp; Company, a management consulting firm, from January 2008 to January 2016, where he helped private and public organizations set their strategic direction, including technology deployment and process redesign to support long-term growth. He holds MBA and BA from University of Pennsylvania (Wharton) and Master's in Law and Diplomacy from Tufts University.</t>
  </si>
  <si>
    <t>jay.dearborn@wexinc.com</t>
  </si>
  <si>
    <t>294705-37P</t>
  </si>
  <si>
    <t>Karen Stroup</t>
  </si>
  <si>
    <t>Stroup</t>
  </si>
  <si>
    <t>Mr. Karen Stroup serves as Chief Digital Officer at WEX. Karen joined WEX in 2022 as Chief Digital Officer, a newly created role. She brings more than 15 years of experience leading product management, digital, and innovation organizations focused on software as a service offerings, primarily in financial services. As Chief Digital Officer, Karen is responsible for expanding digital commerce opportunities by harnessing best-in-class product development, design, and digital transformation capabilities from across the enterprise. In addition to creating a unified strategic vision, she leads a team that executes against digital strategy initiatives and strives to create exceptional customer experiences by delivering new digital tools, platforms and technologies. Prior to WEX, Karen served as the Chief Digital Officer at Thomson Reuters. Prior to her role at Thomson Reuters, Karen served as SVP, Product and Innovation at Capital One Financial Services and VP, Product Management at Intuit. Karen holds an MBA degree from the Tuck School of Business at Dartmouth and a bachelor's degree from the University of Notre Dame. She is based in Dallas, Texas.</t>
  </si>
  <si>
    <t>karen_stroup@wexinc.com</t>
  </si>
  <si>
    <t>51487-93P</t>
  </si>
  <si>
    <t>Lee Carter</t>
  </si>
  <si>
    <t>Mr. Lee Carter serves as Investor at WEX. He served as a Partner at Equal Opportunity Ventures. He served as Board Member at AKUA. Prior to EO, he served as a Venture Partner at Momenta and a Board Member at WasteHero. He is a Venture and startup professional with experience investing in remote connectivity, distributed energy, mobile payments, and blockchain technology. He was most recently Principal at Reflective Ventures where he was responsible for full-lifecycle investing in early-stage companies. He also has a wealth of experience in operational roles. He served as Manager, Finance at Geli. He also served as an Analyst at Invested Development.</t>
  </si>
  <si>
    <t>+1 (540) 539-0999</t>
  </si>
  <si>
    <t>lee.carter@wexinc.com</t>
  </si>
  <si>
    <t>69983-92P</t>
  </si>
  <si>
    <t>Ms. Melissa Smith serves as President, Chief Executive Officer &amp; Chairman at WEX. Mr. Smith is an Angel Investor. She serves as Board Member, Governance Committee and Compensation, Human Resources &amp; Management Succession Committee Member at Equifax. After progressively gaining greater responsibilities and participating in WEX's dramatic growth, she rose to her current position as leader of the global corporate payments company. She is passionate about growing WEX to create challenging and rewarding careers where employees are able to develop, contribute and advance within the company. A finance expert by training, she previously played a pivotal role as WEX's chief financial officer, leading the company through a highly successful initial public offering and focusing on its growth as a public company. Her record of execution, continuous improvement, and increased responsibilities for WEX's business operations led to her appointment as president of the Americas, and ultimately as president and CEO of the entire company. As CEO, he has responsibility for the company's day-to-day global operations and its long-term strategic growth. She also serves as a WEX board member. She is an active member of her community and was named The Girl Scouts of Maine's 2013 Woman of Distinction, and a Mainebiz 2012 Woman to Watch. Recognized as an industry leader, she was named the PYMNTS.com 2014 Most Innovative Woman in Payments and a PaymentsSource 2014 Most Influential Woman in Payments. She serves on the Maine Health Board of Directors and participates in the Executive Women's Forum, which she co-founded to provide a support network for female executives in her local community. She is also a former Director of the Center for Grieving Children's Board. She began her career at Ernst &amp; Young and earned a bachelor's degree in business administration from the University of Maine.</t>
  </si>
  <si>
    <t>msmith@wexinc.com</t>
  </si>
  <si>
    <t>President, Chief Executive Officer &amp; Chairman</t>
  </si>
  <si>
    <t>253387-36P</t>
  </si>
  <si>
    <t>Robert Deshaies</t>
  </si>
  <si>
    <t>Deshaies</t>
  </si>
  <si>
    <t>Mr. Robert Deshaies serves as Chief Operating Officer at WEX. As Chief Operating Officer (COO), Americas, Robert oversees WEX's Fleet, Benefits, Corporate Payments, and Travel businesses, as well as the company's Global Marketing organization. In this role, he is focused on leading WEX's strategic growth initiatives, increasing brand awareness and market share, and meeting corporate revenue and profitability goals. Robert joined WEX in 2014 when the company acquired Evolution1 to expand into the healthcare payments and benefits business. Prior to being appointed COO, Americas, Robert served as the President of WEX's Health and Employee Benefits division. Before joining Evolution1 in 2012, Robert served as global executive vice president and general manager at The Sage Group, plc, where he led several hundred-million-dollar business units. Prior to that role, he held senior leadership positions at Microsoft, developing strategy, leading the management and growth of its ecosystem of more than 300,000 partners, and delivering $12.5 billion in revenue. Robert graduated from Westfield State University. He serves on the boards of Selva Hills Partners in Orange County, California, and Mission Hospital in Mission Viejo, California. He is based in Dana Point, California.</t>
  </si>
  <si>
    <t>robert.deshaies@wexinc.com</t>
  </si>
  <si>
    <t>417212-38P</t>
  </si>
  <si>
    <t>Robin Regan</t>
  </si>
  <si>
    <t>Mr. Robin Regan serves as Principal, Corporate Development at WEX.</t>
  </si>
  <si>
    <t>robin.regan@wexinc.com</t>
  </si>
  <si>
    <t>Principal, Corporate Development</t>
  </si>
  <si>
    <t>289068-49P</t>
  </si>
  <si>
    <t>Sachin Dhawan</t>
  </si>
  <si>
    <t>Dhawan</t>
  </si>
  <si>
    <t>Sachin Dhawan joined WEX as Chief Technology Officer in December 2023. Prior to joining WEX, he served as CTO at Stitch Fix. In this role, he led product and technology for Stitch Fix's consumer personalization products built on deep learning and AI. Before his role at Stitch Fix, he led Visa's global Infrastructure and Operations function. Before joining Visa in 2019, Mr. Dhawan served in leadership roles at Blackhawk Network, where he oversaw consumer and B2B payment products, payment processing, infrastructure, security, and other areas. He also held leadership roles at PayPal and Microsoft.</t>
  </si>
  <si>
    <t>sdhawan@stitchfix.com</t>
  </si>
  <si>
    <t>399993-40P</t>
  </si>
  <si>
    <t>Sara Trickett</t>
  </si>
  <si>
    <t>Trickett</t>
  </si>
  <si>
    <t>Ms. Sara Trickett serves as Chief Legal Officer at WEX.</t>
  </si>
  <si>
    <t>sara.trickett@wexinc.com</t>
  </si>
  <si>
    <t>Executive &amp; Secretary, Administration</t>
  </si>
  <si>
    <t>43186-42P</t>
  </si>
  <si>
    <t>Steve Elder</t>
  </si>
  <si>
    <t>Mr. Steve Elder serves as Senior Vice President, Global Investor Relations at WEX. Since first joining WEX in 1998, Steve Elder has served in a variety of financial leadership roles of increasing responsibility to help the company attain its position as a global leader in corporate payments. Over the years, Steve has led the WEX finance team through two international acquisitions, the restructuring of its credit facility several times and the successful execution of the company's initial public equity and bond offerings. During the launch of WEX's IPO, Steve was charged with oversight of financial modeling for underwriters and maintenance of buy and sell-side analyst relationships. Prior to his current role, Steve served as the company's chief financial officer where he oversaw the company's overall financial activities, including controllership, tax, treasury, financial analysis, investor relations, internal audit and financial operations. Before joining WEX, Steve served as a senior auditor with Baker Newman &amp; Noyes and Ernst &amp; Young. Steve holds a bachelor's degree in business administration from the University of Maine and a master's degree in accounting from the University of Rhode Island's College of Business Administration.</t>
  </si>
  <si>
    <t>+1 (207) 523-7769</t>
  </si>
  <si>
    <t>steve_elder@wexinc.com</t>
  </si>
  <si>
    <t>Senior Vice President, Global Investor Relations</t>
  </si>
  <si>
    <t>161053-93P</t>
  </si>
  <si>
    <t>Chris Smoak</t>
  </si>
  <si>
    <t>Smoak</t>
  </si>
  <si>
    <t>Whoa Ventures</t>
  </si>
  <si>
    <t>Mr. Chris Smoak is a Co-Founder &amp; serves as Partner at Whoa Ventures. Mr. Smoak co-founded and served as Chief Technology Officer of Atrium LTS at Atrium. He has founded multiple companies over the past 13+ years and has been investing in the private sector for almost a decade. He has taken 3 companies through YC and has grown several businesses from 0 to millions in revenue in year 1. He was an early employee at AWS and graduated from Carnegie Mellon University. He is an Angel Investor.</t>
  </si>
  <si>
    <t>chris@whoa.vc</t>
  </si>
  <si>
    <t>321676-39P</t>
  </si>
  <si>
    <t>Lou Dalrymple</t>
  </si>
  <si>
    <t>Dalrymple</t>
  </si>
  <si>
    <t>Mr. Lou Dalrymple is a Co-Founder &amp; serves as Partner at Whoa Ventures. He has spent nearly a decade investing in and helping family offices, funds, and high net worth individuals invest in private technology companies. He was most recently a partner at an investment firm in San Francisco that has facilitated over $600m of investments in &gt;60 companies, including Cloudera, DocuSign, Lyft, MuleSoft, Spotify, Stripe, and Zuora. He graduated from Vanderbilt University.</t>
  </si>
  <si>
    <t>lou@whoa.vc</t>
  </si>
  <si>
    <t>100194-94P</t>
  </si>
  <si>
    <t>Zach Sherman</t>
  </si>
  <si>
    <t>Mr. Zach Sherman is a Co-Founder &amp; serves as a Partner at Whoa Ventures. He is a Co-Founder and serves as Managing Partner at Union Square Labs. He served as a UI Engineer at SeatGeek. He is an experienced technology founder with a primary focus on B2B software, cloud infrastructure, and developer tooling. He has held a number of roles in product, design, and engineering, and his most recent company, Timber, was acquired by Datadog in April of 2021. He loves to dig in deep with early-stage companies, helping mentor founders on hiring, process, product strategy, go-to-market, and more - part of which he does as a partner at early-stage seed firm Whoa Ventures. He holds a BS in Economics from Vanderbilt University in 2014 and a Degree in Nanotechnology from Brown University in 2010.</t>
  </si>
  <si>
    <t>zach@whoa.vc</t>
  </si>
  <si>
    <t>230027-59P</t>
  </si>
  <si>
    <t>Ansuman Satpathy Ph.D</t>
  </si>
  <si>
    <t>Ansuman</t>
  </si>
  <si>
    <t>Wing Venture Capital</t>
  </si>
  <si>
    <t>Dr. Ansuman Satpathy is a Scientific Co-Founder of Immunai. He is also a Co-Founder &amp; serves as Board Member at Cartography. He also serves as a Venture Partner at Catalio Capital Management. He serves as Venture Partner at Wing Venture Capital. He is an Assistant Professor in the Department of Pathology at Stanford University School of Medicine and a Scientific Co-Founder of Immunai. He is an investigator in the Gladstone-UCSF Institute of Genomic Immunology, the Parker Institute for Cancer Immunotherapy, and the Stanford Cancer Institute. He has pioneered the development and use of high-throughput genome sequencing technologies to study cancer immunology. His work has led to fundamental insights into how T cells - the cancer killing immune cell in the body - recognize and respond to cancer antigens and various forms of cancer immunotherapy. His honors include the Pew-Stewart Scholar Award in Cancer Research, the Lloyd J. Old STAR Award from the Cancer Research Institute, the Career Award for Medical Scientists from the Burroughs Wellcome Fund, and the Michelson Prize in Human Immunology. He completed an M.D. and Ph.D. in immunology at Washington University in St. Louis, clinical residency in pathology at Stanford Hospital and Clinics, and postdoctoral training in genetics at Stanford University.</t>
  </si>
  <si>
    <t>+1 (314) 533-2572</t>
  </si>
  <si>
    <t>ansu@immunai.com</t>
  </si>
  <si>
    <t>Scientific Co-Founder</t>
  </si>
  <si>
    <t>Immunai</t>
  </si>
  <si>
    <t>204872-77P</t>
  </si>
  <si>
    <t>Chris Zeoli</t>
  </si>
  <si>
    <t>Zeoli</t>
  </si>
  <si>
    <t>Mr. Chris Zeoli serves as Partner at Wing Venture Capital. Mr. Zeoli served as Principal at Base10 Partners. He previously served as Board Member at OnCall Health. He also served as Vice President at SignalFire. Prior to joining SignalFire, he worked on the investment teams at Insight Venture Partners. He completed a BS (Bachelor of Science) in Economics and Finance at the University of Pennsylvania (Wharton). He is an Angel Investor.</t>
  </si>
  <si>
    <t>+1 (650) 316-8300</t>
  </si>
  <si>
    <t>chris@wing.vc</t>
  </si>
  <si>
    <t>480 Lytton Avenue</t>
  </si>
  <si>
    <t>13958-38P</t>
  </si>
  <si>
    <t>Gaurav Garg</t>
  </si>
  <si>
    <t>Mr. Gaurav Garg is a Co-Founder and serves as Partner at Wing Venture Capital. Mr. Garg serves as Chairman at Cohesity. He serves as Board Member at Findem. He serves as a Board Member at Vevo Therapeutics. He also serves as Board Member at BedRock Systems, Cogniac, and Obsidian Security. He served as Board Member at Avalanche Technology. He also serves as a Board Member at Clear Labs and Expressive. He has led investments in a number of early-stage technology companies and currently serves on the boards of Ruckus Wireless (NYSE: RKUS), FireEye (Nasdaq: FEYE), MobileIron (Nasdaq: MOBL), Jasper, Shape Security, Instart Logic, Apprity, and previously Netscaler (acquired by CTXS). He has helped build Ruckus and FireEye for over 10 years each from incubation into public companies and he incubated Jasper and Instart Logic from the concept stage. He was a partner at Sequoia Capital from 2001 to 2010 and a Special Limited Partner from 2010-2012. He worked extensively with Sequoia Capital's investments in Aruba Networks (Nasdaq: ARUN), Jawbone (aka Aliph), and RingCentral (NYSE: RNG). Prior to joining Sequoia Capital, he founded Redback Networks (Nasdaq: RBAK) in 1996 and served as a board member and Senior Vice President of Product Management. Prior to Redback Networks, he held various engineering positions at SynOptics and Bay Networks. He holds a BS and MS in Electrical Engineering and a BS in Computer Science, all from Washington University in St. Louis. He also serves as a Board Member at Slash Next. He is also an Angel Investor.</t>
  </si>
  <si>
    <t>gaurav@wing.vc</t>
  </si>
  <si>
    <t>12818-53P</t>
  </si>
  <si>
    <t>Hilary Strain</t>
  </si>
  <si>
    <t>Strain</t>
  </si>
  <si>
    <t>Ms. Hilary Strain serves as Chief Financial Officer at Wing Venture Partners. Ms.Strain is the CFO at Alta Partners. As Alta's CFO, Hilary's areas of responsibility include deal structuring and deal execution as well as financial reporting, accounting, legal and human resources and other administrative functions at the firm. Prior to joining Alta, she was a manager with Arthur Andersen's Silicon Valley office, providing audit and business advisory services to public and private companies primarily in the high technology sector. Hilary served as a founding Board Member of the West Coast Chapter of the Private Equity CFO Association and currently serves as a member of the NVCA CFO Task Force. She is a Certified Public Accountant (inactive) and holds a Bachelor of Science in Accounting from Pepperdine University.</t>
  </si>
  <si>
    <t>hilary@wing.vc</t>
  </si>
  <si>
    <t>41320-00P</t>
  </si>
  <si>
    <t>Jacob Flomenberg</t>
  </si>
  <si>
    <t>Flomenberg</t>
  </si>
  <si>
    <t>Mr. Jacob Flomenberg serves as a Partner at Wing Venture Capital. He served as a Partner at Accel. He serves as Board Member at Torii, and SiMa.ai. He served as a Board Member at Truera. He also served as a Board Member at Zoomdata &amp; Noteable . He has over a decade of experience building innovative software products. He focuses on early-stage investments in next-generation infrastructure and data-driven services and is part of the team responsible for Accel's Big Data Fund. He currently sits on the board of Origami Logic, provider of a visual Big Data analytics platform for marketers, Trifacta, creator of radical productivity software for data preparation and analysis, and Sumo Logic, cloud-based log management and analytics solution. Prior to Accel, he was Director of Product Management at Splunk where he was responsible for Splunk's user interface and Big Data strategy. Previously, he worked at Cloudera where he helped the founding team tackle a broad array of sales, marketing, and product issues. Earlier in his career, he was a member of Lockheed Martin's Engineering Leadership Development Program and held several roles ranging from software development to business strategy and M&amp;A. He holds a B.S.E. in Computer Science, Electrical Computer Engineering, and Economics from Duke University, an M.S.E in Systems Engineering from the University of Pennsylvania, and an M.B.A. from Harvard Business School.</t>
  </si>
  <si>
    <t>jake@wing.vc</t>
  </si>
  <si>
    <t>343552-15P</t>
  </si>
  <si>
    <t>Kayleigh Karutis</t>
  </si>
  <si>
    <t>Kayleigh</t>
  </si>
  <si>
    <t>Karutis</t>
  </si>
  <si>
    <t>Ms. Kayleigh Karutis serves as Partner &amp; Head of Marketing at Wing Venture Capital. She joined Wing after several years leading editorial content at Twilio, having gained invaluable experience at tech companies of all sizes in the years prior, including at InVision. Prior to entering the tech space, she worked in agencies as well as a beat reporter for a small daily newspaper, an experience that formed the foundation of her professional approach and ethos today.</t>
  </si>
  <si>
    <t>kayleigh@wing.vc</t>
  </si>
  <si>
    <t>Partner &amp; Head of Marketing</t>
  </si>
  <si>
    <t>15332-32P</t>
  </si>
  <si>
    <t>Peter Wagner</t>
  </si>
  <si>
    <t>Mr. Peter Wagner is a Co-Founder and serves as a Partner of Wing Venture Partners. He serves as Board Member at Wherobots. He serves as a Board Member at Gong. He served as Board Member at BlueJeans and Lumigo. He serves as Board Member at Pinecone, Hydrolix, Upsolver, Juvo, Tigera, Ordr, and StepZen. He serves as a Board Observer at Valtix. He has led investments in dozens of early-stage companies, more than 25 of which have gone on to complete IPOs or successful acquisitions. These companies include Nimble Storage, Fusion-io, Redback Networks, Riverbed, Arrowpoint Communications, Infinera, Peribit, Topspin, Omneon, and most recently, Opower, to name a few. He served as Board Member at Acetti Software and Cumulus. He currently works with a private company portfolio that includes Blue Jeans Network, Qwilt, Jut, Platfora, CloudPhysics, Primary Data, and Moogsoft, among others. Before founding Wing, he helped lead Accel Partners for 15 years as Managing Partner. Prior to joining Accel, he was a line manager at Silicon Graphics, responsible for several generations of digital media and graphics workstation products. He previously worked with McKinsey and Company and began his career as a physicist working in nuclear fusion research and aerospace. He holds an AB in Physics from Harvard College, summa cum laude, and an M.B.A. from Harvard Business School, where he was a Baker Scholar. He served as Board member at Aporeto. He serves as Board Member at AttoTude.</t>
  </si>
  <si>
    <t>peter@wing.vc</t>
  </si>
  <si>
    <t>79665-76P</t>
  </si>
  <si>
    <t>Rajeev Chand</t>
  </si>
  <si>
    <t>Chand</t>
  </si>
  <si>
    <t>Mr. Rajeev Chand serves as Partner &amp; Head of Research at Wing Venture Capital. He served as Managing Director &amp; Head of Research at Rutberg &amp; Company. He co-created Rutberg's summits, including the flagship Wireless Influencers, and hosted and interviewed the most influential leaders in business and technology. Previously, he worked in venture capital, private equity, and strategy consulting. He holds a BS in Economics from the Wharton School at the University of Pennsylvania and completed the Stanford Executive Program at the Graduate School of Business at Stanford University.</t>
  </si>
  <si>
    <t>rajeev@wing.vc</t>
  </si>
  <si>
    <t>Partner &amp; Head of Research</t>
  </si>
  <si>
    <t>128998-09P</t>
  </si>
  <si>
    <t>Sara Choi</t>
  </si>
  <si>
    <t>Ms. Sara Choi serves as Board Member at Cartography Biosciences. Ms. Choi serves as Partner at Wing Venture Capital. She serves as Board Member at OverT Bio. She serves as an Advisor at Orby AI. She serves as Board Observer at MatterWorksMs. Choi Co-Founded Airfox and also served as its Advisor &amp; Chief Operating Officer. Prior to Wing, Sara co-founded and served as COO at Airfox, a platform for wireless carriers to deploy innovative data services before attending Harvard Business School. Ms. Sara Choi serves as Executive Officer and Board Member at Carriereq. Prior to Airfox, Sara served as Head of Product at Ciao Telecom and co-founded a new wireless carrier. Sara began her career at Google where she led teams as YouTube's Media Lead and head of the Google Partners Product Marketing team. Sara co-founded and runs the Harvard Founder Network, an invite-only community of Harvard-affiliated CEOs. Sara holds a BA in Biological Anthropology from Harvard University and an MBA from Harvard Business School.</t>
  </si>
  <si>
    <t>sara@wing.vc</t>
  </si>
  <si>
    <t>50672-89P</t>
  </si>
  <si>
    <t>Sunil Chokshi</t>
  </si>
  <si>
    <t>Chokshi</t>
  </si>
  <si>
    <t>Mr. Sunil Chokshi serves as Partner, Talent at Wing Venture Capital. Sunil Chokshi served as Partner, Executive Talent at Andreessen Horowitz. Prior to joining Andreessen Horowitz, he served as an executive in the investment banking team of Code Advisors. Mr. Chokshi also served as the Strategy and M&amp;A Executive at The Walt Disney Company. He was a Senior Analyst for Investment Banking team at J.P. Morgan and an Analyst with Jefferies &amp; Company. He received his BS degree in Business Administration from University of California, Berkeley - Walter A. Haas School of Business.</t>
  </si>
  <si>
    <t>+1 (510) 813-0410</t>
  </si>
  <si>
    <t>sunil@wing.vc</t>
  </si>
  <si>
    <t>Partner, Talent</t>
  </si>
  <si>
    <t>320962-42P</t>
  </si>
  <si>
    <t>Tanay Jaipuria</t>
  </si>
  <si>
    <t>Tanay</t>
  </si>
  <si>
    <t>Jaipuria</t>
  </si>
  <si>
    <t>Mr. Tanay Jaipuria serves as Partner at Wing Venture Capital. In his product manager role at Meta, he built products to help businesses better reach their prospective customers on Facebook, and to help creators make a living on Instagram. Before that, he was a consultant at McKinsey &amp; Company where he served clients across the healthcare, financial services, and technology industries. He brings a wealth of experiential knowledge to Wing, and shares his thoughts on startups, technology, and business in his popular weekly newsletter. He holds a BS in computer science from Columbia University and an MBA from Harvard Business School, where he graduated as a Baker Scholar.</t>
  </si>
  <si>
    <t>tanay@wing.vc</t>
  </si>
  <si>
    <t>74828-17P</t>
  </si>
  <si>
    <t>Zachary DeWitt</t>
  </si>
  <si>
    <t>Mr. Zachary DeWitt also serves as a Partner at Wing Venture Partners. He serves as Board Member at Tango. He also serves as Board Member at Validere. He also serves as Board Member at Copy.ai. He also serves as Board Member at Deepgram. Previously, he co-founded and served as Chief Executive Officer at Drop, Inc. Prior to that, he worked in the technology, media, and telecommunications groups at both TPG Capital and Goldman Sachs. He holds a BA in Economics from Yale University and an MBA from Harvard Business School. He served as Board Member at Around.</t>
  </si>
  <si>
    <t>zach@wing.vc</t>
  </si>
  <si>
    <t>41283-10P</t>
  </si>
  <si>
    <t>Harsh Patel</t>
  </si>
  <si>
    <t>Wireframe Ventures</t>
  </si>
  <si>
    <t>Mr. Harsh Patel is a Co-Founder and serves as Managing Director at Wireframe Ventures. He serves as Board Member at Enveda and Holberg Financial. He served as General Partner at Claremont Creek Ventures. He brings 20 years of experience to Claremont Creek Ventures in building, operating and investing in technology growth companies. He built a successful investing track record as a General Partner at RRE Ventures and In-Q-Tel, leading a number of early-stage investments including Palantir Technologies, Tendril and Flipswap (now eRecyclingCorps). He has also been an active angel investor and mentor to seed-stage companies including Badgeville and SnappyTV. He is a founding board member of CareMessage and the University of Illinois Silicon Valley Roundtable and a mentor to minority entrepreneurs through the NewME Accelerator. He holds a Bachelor of Science in Engineering from the University of Illinois at Urbana-Champaign and a Master of Business Administration from the Stanford Graduate School of Business. He served as Board Member at NuMedii and Spring.</t>
  </si>
  <si>
    <t>harsh@wireframevc.com</t>
  </si>
  <si>
    <t>203610-79P</t>
  </si>
  <si>
    <t>Lily Bernicker</t>
  </si>
  <si>
    <t>Bernicker</t>
  </si>
  <si>
    <t>Ms. Lily Bernicker serves as Partner at Wireframe Ventures. Ms. Bernicker served as Principal at Collaborative Fund. She also serves as a Board Member at Cloud to Street.</t>
  </si>
  <si>
    <t>lily@wireframevc.com</t>
  </si>
  <si>
    <t>13118-32P</t>
  </si>
  <si>
    <t>Paul Straub</t>
  </si>
  <si>
    <t>Mr. Paul Straub is a Co-Founder &amp; serves as Managing Director at Wireframe Ventures. Mr. Straub serves as Board Member at Trove &amp;Salient. He serves as Board Member at Bedrock Energy, LevelTen Energy, Xtelligent and Near Space Labs. He served as Director at Claremont Creek Ventures. He serves as Board Member at Recurrent. He also serves as Board Member at Span. He served as an Advisor at Electriphi. Previously, He served as a Board Member at Electriphi. He primarily focuses on the firm's energy management and conservation investments. He currently serves on the board of Clean Power Finance and Blue Pillar and as a board observer at Eco factor, Adura Technologies and TargetCast Networks. He served as Board Member at Renew Financial. He also served as a Board Member at Alphabet Energy. Mr. Straub serves as a Director at Project Frog. He also worked actively with the firm's investments in PropertyBridge, sold to MoneyGram (MGI), and Lefora, sold to CrowdGather (CRWG). He also worked in product management at Veritas Software and as a consultant to management at Red Hat Software. He began his career at Montgomery Securities and subsequently joined Thomas Weisel Partners as a member of the mergers &amp; acquisitions investment banking team. He holds an MBA from Duke University's Fuqua School of Business and a BS in Commerce from the University of Virginia's McIntire School of Commerce.</t>
  </si>
  <si>
    <t>+1 (415) 793-3510</t>
  </si>
  <si>
    <t>paul@wireframevc.com</t>
  </si>
  <si>
    <t>39810-07P</t>
  </si>
  <si>
    <t>Gary Griffiths</t>
  </si>
  <si>
    <t>Griffiths</t>
  </si>
  <si>
    <t>Wisdom Venture Capital</t>
  </si>
  <si>
    <t>Mr. Gary Griffiths is a Co-Founder and serves as Managing Director of Wisdom Venture Capital. Mr. Griffiths serves as Board Member at Canvas (Business/Productivity Software). He serves as Advisor at Day View Capital Management. Mr. Griffiths served as Board Member at Janrain. He serves as Venture Partner at Third Culture Capital. He serves as a Board Member at PureWeb. He served as the Chief Executive Officer, President &amp; Board Member at iPass. He co-founded and served as Chief Executive Officerat Everdreams. He served as its Chief Executive Officer from February 2010 to February 2015. Mr. Griffiths is co-founder of Trapit, Inc., a company focused on Internet information discovery, which was founded in 2009, and served as its Chief Executive Officer from February 2010 to February 2015. Mr. Griffiths joined WebEx Communications, Inc., a telecommunications firm specializing in the provision of web-based conferencing solutions, in December 2005 as Vice President of Products, and became President, Products and Operations. Upon the acquisition in May 2007 by Cisco Systems, Inc. of WebEx, Mr. Griffiths became a Vice President at Cisco, where he remained until April 2008. From June 1999 to December 2005, Mr. Griffiths was Chairman, President and Chief Executive Officer at Everdream Corporation, a technology services company. Mr. Griffiths was also the Chief Executive Officer at SegaSoft, Inc. from January 1996 until its acquisition by Sega, Inc. in March of 1999. Mr. Griffiths earned a B.S. from the United States Naval Academy and a MS in Business Administration from the George Washington University. He has held leadership positions at several large and prominent telecommunications companies, and was a vice president in charge of both products and operations at these companies. The Board of Directors believes that his senior management experience across both the technical and operational sides of these businesses allows Mr. Griffiths to provide valuable advice and guidance to iPass' management team and Board of Directors in terms of both product sales and marketing and corporate operations. In addition, Mr. Griffiths has extensive experience with overseeing financial and accounting matters and strategic initiatives at small technology companies. He currently serves on the board of directors of Silicon Graphics International Corp., a publicly traded server, storage systems and data center infrastructure company.</t>
  </si>
  <si>
    <t>+1 (650) 823-5066</t>
  </si>
  <si>
    <t>garygriffiths@wisdomllp.net</t>
  </si>
  <si>
    <t>9 Braddock Park</t>
  </si>
  <si>
    <t>64728-91P</t>
  </si>
  <si>
    <t>Patricia Hume</t>
  </si>
  <si>
    <t>Hume</t>
  </si>
  <si>
    <t>Ms. Patricia Hume is a Co-Founder of Wisdom Venture Capital. She serves as Board Member at Riverbed Technology. She is a Co-Founder and serves as Executive Chairman at Canvas GFX. She also served as Chief Operating Officer at iPass. She serves as Board Member at OriGen.AI. She co-founded and served as President at Trapit. She leads the global teams responsible for customer-facing activities, including sales, marketing, business development, product management, and support across the entire product portfolio. A dynamic and energetic executive with 35 years of technology experience. In addition, She served as chief revenue officer at Convio, acquired by Blackbaud, senior vice president of Global Indirect Channels at SAP AG, group vice president of Avaya's SMB Division, and CEO and president of VerticalNet Markets. She also held numerous senior management positions during her 17-year service with IBM and Lotus until 1999. She holds a Bachelor of Science degree in Economics from the University of Scranton.</t>
  </si>
  <si>
    <t>patricia.hume@wisdomllp.net</t>
  </si>
  <si>
    <t>234899-92P</t>
  </si>
  <si>
    <t>William Hume</t>
  </si>
  <si>
    <t>Mr. William Hume is a Co-Founder of Wisdom Venture Capital. He has been a software engineer in different capacities for over 35 years. Recently he has been a consultant serving software developers and leaders of smaller companies. Just prior he was an executive manager at IBM where he was responsible for the initial Core Technology Team for the commercialization of IBM Watson technology. He completed his Bachelor of Arts in Maths from the University of Scranton.</t>
  </si>
  <si>
    <t>williamhume@wisdomllp.net</t>
  </si>
  <si>
    <t>423132-22P</t>
  </si>
  <si>
    <t>Adam Nancarrow</t>
  </si>
  <si>
    <t>Nancarrow</t>
  </si>
  <si>
    <t>Mr. Adam Nancarrow serves as Senior Advisor at Wollemi Capital. He is a trailblazing investor and developer of renewables, energy and infrastructure assets. In the course of his 25+ year career, He has been instrumental to the development, delivery, acquisition or financing of over US$72 billion of energy and infrastructure assets, 18GW of renewable projects globally and more than 105 assets in total. Previously at Macquarie Group, He was integral to Macquarie's evolution from advisor to investor, to asset buyer and developer, to creator of development businesses. With experience in multiple asset classes across five continents, He was key to the integration of the Green Investment Bank's assets into Macquarie's portfolio and was a member of the Principal Investment Committee responsible for reviewing and approving all of Macquarie Capital's infrastructure and energy projects globally. As one of the global pioneers of institutional investment into a range of renewable asset classes from offshore wind to anaerobic digestion, He brings expertise across all aspects of asset financing and development which is essential to the deployment and scaling of emerging climate solutions.</t>
  </si>
  <si>
    <t>+61 (0)2 7200 1504</t>
  </si>
  <si>
    <t>L7, 143 Macquarie Street</t>
  </si>
  <si>
    <t>383429-35P</t>
  </si>
  <si>
    <t>Alex Kats-Rubin</t>
  </si>
  <si>
    <t>Kats-Rubin</t>
  </si>
  <si>
    <t>Mr. Alex Kats-Rubin serves as a Senior Associate, Investments at Wollemi Capital. He has devoted more than a decade to addressing climate change through startup mentoring, banking, policymaking, nonprofit advising, and cleantech venture capital investing. Most recently, He spent two years as an investment banker at Credit Suisse where he covered renewables, utilities, infrastructure, and cleantech on deals that included the Net Power deSPAC, Enlight Renewables IPO, STEM Energy Storage deSPAC, and billion-dollar utility debt issuances. While earning his MBA at the University of Chicago, He worked at the Clean Energy Venture Fund and Clean Energy Trust (now Evergreen), won the National Energy Finance Competition, and co-chaired both the Energy and Sustainability groups. Previously, He spent six years as a climate scientist and economist at Abt Associates advising on policy and international development. Clients included the EPA's Social Cost of Carbon collaboration, The Gates Foundation, and NYSERDA. He also has worked at Astanor Ventures, the U.S. Green Building Council, Schneider Electric, and Apex Clean Energy. He holds an MBA from the University of Chicago and a BSc in Environmental Science and Economics from Cornell University.</t>
  </si>
  <si>
    <t>L3, 400 University Street</t>
  </si>
  <si>
    <t>369105-31P</t>
  </si>
  <si>
    <t>Alistair Forgan</t>
  </si>
  <si>
    <t>Mr. Alistair Forgan serves as Communications Director at Wollemi Capital.</t>
  </si>
  <si>
    <t>+61 (0)4 0834 5033</t>
  </si>
  <si>
    <t>alistair.forgan@wollemi.com</t>
  </si>
  <si>
    <t>Communications Director</t>
  </si>
  <si>
    <t>369105-49P</t>
  </si>
  <si>
    <t>Antony Kirwan</t>
  </si>
  <si>
    <t>Kirwan</t>
  </si>
  <si>
    <t>Mr. Antony Kirwan serves as Director, Fundraising at Wollemi Capital. He is responsible for Wollemi's capital formation, focusing on equity strategy, new business initiatives, co-investment opportunities, product development, fund formation and capital raising for the firm and the future funds management platform. He has almost 20 years of equity capital markets, M&amp;A advisory and private capital market experience encompassing research, investment advisory, restructuring, acquisition, disposal and management of assets across infrastructure, resources, natural capital and private equity. Prior to joining Wollemi in 2023, He was Managing Director at Macquarie Asset Management where he was responsible for unlisted infrastructure fund raising in Australia and New Zealand and Portfolio Management of the Macquarie Private Infrastructure Fund, an unlisted infrastructure fund catering to Australian wholesale investors. Prior to Macquarie he spent 6 years in North America and the UK with UBS and Natixis. In addition to his roles within the Macquarie Group, He acted as Policy Committee member for the Macquarie Group Staff Superannuation Plan, overseeing more than A$500m worth of assets. He holds a Bachelor of Economics from University of Sydney, majoring in Environmental, Agricultural and Resource Economics.</t>
  </si>
  <si>
    <t>antony.kirwan@wollemi.com</t>
  </si>
  <si>
    <t>Director, Fundraising</t>
  </si>
  <si>
    <t>114774-94P</t>
  </si>
  <si>
    <t>Benedetta Cursi</t>
  </si>
  <si>
    <t>Benedetta</t>
  </si>
  <si>
    <t>Cursi</t>
  </si>
  <si>
    <t>Ms. Benedetta Cursi serves as Associate Director, Investments at Wollemi Capital. Her experience in investment banking and principal investment in the infrastructure and energy space spans Italy, UK and Australia. Prior to Wollemi, she spent 6 years at Macquarie, where she worked on acquisition, development, selldown and debt financing for renewable transactions representing more than 2.0GW installed capacity, including the £2.3bn acquisition of the UK Government's Green Investment Bank in 2017. After relocating to Australia in 2018, she worked on a number of landmark wind farm projects in Victoria. She began her career in Milan as part of Barclays' M&amp;A Italian coverage team, when she was involved in the buyout and delisting of Enel Green Power by the Italian utility Enel in 2016. She holds a Bachelor in Economics &amp; Finance and Master of Science in Finance from Bocconi University.</t>
  </si>
  <si>
    <t>benedetta.cursi@wollemi.com</t>
  </si>
  <si>
    <t>Associate Director, Investments</t>
  </si>
  <si>
    <t>383429-89P</t>
  </si>
  <si>
    <t>Carolin Dittmann</t>
  </si>
  <si>
    <t>Dittmann</t>
  </si>
  <si>
    <t>Ms. Carolin Dittmann serves as Strategy Manager at Wollemi Capital. She brings specialist energy and climate strategy consulting expertise to Wollemi, with experience advising corporate and private equity clients in London and Sydney on developing their climate strategies and transitioning to net zero. Her work focused on the intersection of investing and climate, completing projects on decarbonizing Private Equity portfolios and developing Growth Equity climate investment strategies. She started her career at Bain &amp; Company in London in 2019, working on strategy, transformation, and costoptimizationn projects across multiple sectors, with a focus on Energy. She then moved to the Private Equity practice, completing commercial and operational due diligence and value-creation projects for investment clients. Her experience also includes strategy development for a Berlin-based FinTech. She holds a BSc in Economics from Bocconi University and an MSc in Strategy and Finance from Copenhagen Business School.</t>
  </si>
  <si>
    <t>carolin.dittmann@wollemi.com</t>
  </si>
  <si>
    <t>Strategy Manager</t>
  </si>
  <si>
    <t>330021-46P</t>
  </si>
  <si>
    <t>Catherine Webb</t>
  </si>
  <si>
    <t>Ms. Catherine Webb serves as Chief Financial Officer &amp; Chief Operating Officer at Wollemi Capital. She brings more than 25 years of financial, operational, and risk expertise. Before joining Wollemi, She had a 20-year career at Macquarie Group, most recently as Global CFO and Global COO for Macquarie Capital, which includes the group's principal investing business. In that role, she had global responsibility for financial planning and analysis, capital management, data, systems, non-financial risk,k and marketing, and communications. Before that She performed various roles within Macquarie's Financial Management Group, focusing primarily on supporting Macquarie Capital and what is now the Macquarie Asset Management Real Assets division. She was also the Financial Controller of 2 listed infrastructure funds in Australia. She started her career in audit at PwC and holds a Bachelor of Commerce (Honours) from the University of Sydney. She is a member of Chartered Accountants Australia and New Zealand.</t>
  </si>
  <si>
    <t>300470-14P</t>
  </si>
  <si>
    <t>Cecilia Diemont</t>
  </si>
  <si>
    <t>Diemont</t>
  </si>
  <si>
    <t>Ms. Cecilia Diemont serves as Associate Director, Investments at Wollemi Capital. She brings deep experience across climate tech, corporate strategy and private equity to Wollemi. As part of Wollemi's founding team, she sits in the investment team where she has recently focused on thematics such as circularity, sustainable aviation fuel and alternative proteins. Directly before joining Wollemi, She advised a coalition of global conservation NGOs on a ground-breaking collaboration to accelerate the development of high integrity supply of nature-based solutions. During her time at global strategy consultant Bain &amp; Company, she specialised in private equity and strategy across Bain's Amsterdam, San Francisco and Sydney offices. While there she also conducted the American Chamber of Commerce's annual investment study and built on her passion for social impact through strategy projects with a social impact investor and the UN Refugee Agency. She started her career in the public sector at the global NGO Human Rights Watch. She holds a BA Magna Cum Laude from Leiden University (Netherlands) and McGill University (Canada) and an MA with Distinction in International Peace and Security from King's College London (UK).</t>
  </si>
  <si>
    <t>324180-64P</t>
  </si>
  <si>
    <t>Chris Thomas</t>
  </si>
  <si>
    <t>Mr. Chris Thomas serves as Director, Investments at Wollemi Capital. He has over 15 years of experience as an investor and operator in climate impact, private equity, and venture capital. He has been at the forefront of corporate venture investing in climate solutions. He was a Lead in the team that pioneered the Boston Consulting Group's Green Ventures division having co-founded the firm's first climate-impact venture with the World Wildlife Fund (food traceability platform OpenSC). With BCG, He also helped lead a global agribusiness investment into a corporate GHG measurement platform (Terrascope), supported the development of Singapore's voluntary carbon credit marketplace (Climate Impact Exchange), and launched a sustainable agri-tech platform for smallholder farmers (Jiva). He previously served in an investment, strategy, and impact role at private equity firm Pacific Equity Partners and asa speech writer/policy advisor to the former Deputy Prime Minister of Australia. He holds a Bachelor of Arts from the University of Sydney.</t>
  </si>
  <si>
    <t>300470-86P</t>
  </si>
  <si>
    <t>Christie Devlin</t>
  </si>
  <si>
    <t>Ms. Christie Devlin serves as Associate Director, Investments at Wollemi Capital. She brings global finance, fundraising and operational expertise along with a passion for food and agriculture. She is a member of Wollemi's founding team. Prior to Wollemi, She formed part of the founding team at Jiva, an Olam-backed agriculture technology platform built to provide financing, advise and market access to smallholder farmers across Indonesia and India. She led the research, product strategy and execution for Jiva's farmer advisory service and led over a hundred field trials in Indonesia. Before Jiva, She spent time with the Boston Consulting Group's Digital Ventures unit in Singapore and Sydney, where her clients included a major government-owned energy distributor and a major retail group looking to form a CVC. She began her career on Wall Street as part of the Goldman Sachs Private Placements team, where she structured and executed private capital fundraises for late-stage, high-growth tech companies. She holds a BA in Political Science from Yale University.</t>
  </si>
  <si>
    <t>369107-20P</t>
  </si>
  <si>
    <t>Emma Hendrie</t>
  </si>
  <si>
    <t>Hendrie</t>
  </si>
  <si>
    <t>Ms. Emma Hendrie serves as Team Assistant at Wollemi Capital.</t>
  </si>
  <si>
    <t>emma.hendrie@wollemi.com</t>
  </si>
  <si>
    <t>Team Assistant</t>
  </si>
  <si>
    <t>383430-79P</t>
  </si>
  <si>
    <t>Ethan Medlin</t>
  </si>
  <si>
    <t>Medlin</t>
  </si>
  <si>
    <t>Mr. Ethan Medlin serves as Associate, Investments at Wollemi Capital. He brings project finance and infrastructure advisory experience to the Wollemi team. He started his career at J.P. Morgan, supporting the development of large infrastructure and energy projects, including LNG liquefaction facilities, Lithium Iron Phosphate battery manufacturing plants, wind and solar farms, and green ammonia production facilities. As part of the Infrastructure Finance and Advisory team, He gained exposure to the unique challenges and demands of financing and scaling infrastructure projects, including Port Arthur LNG's ~$14bn liquefaction facility, AES Dominicana's $500m wind farm portfolio, and several green hydrogen and battery manufacturing plants. He holds a BA in Economics from Harvard University. While studying, he analysed the impacts of various US governmental programs through a socioeconomic framework.</t>
  </si>
  <si>
    <t>ethan.medlin@wollemi.com</t>
  </si>
  <si>
    <t>369107-47P</t>
  </si>
  <si>
    <t>Gemma Trebilco</t>
  </si>
  <si>
    <t>Trebilco</t>
  </si>
  <si>
    <t>Ms. Gemma Trebilco serves as Business Operations Manager at Wollemi Capital.</t>
  </si>
  <si>
    <t>gemma.trebilco@wollemi.com</t>
  </si>
  <si>
    <t>Business Operations Manager</t>
  </si>
  <si>
    <t>423133-12P</t>
  </si>
  <si>
    <t>Kavita Prakash-Mani</t>
  </si>
  <si>
    <t>Prakash-Mani</t>
  </si>
  <si>
    <t>Ms. Kavita Prakash-Mani serves as Senior Advisor at Wollemi Capital. She is a conservation and sustainability expert and advisor working at the intersection of nature, climate change and people. She is a Board Member of the Integrity Council for Voluntary Carbon Markets (ICVCM) and was previously WWF's Global Conservation Director. She was the Founder CEO for Mandai Nature, a conservation non-profit organization based in Singapore and working in Southeast Asia to protect threatened species and ecosystems, established by the Mandai Wildlife Group and Temasek. She catalyzed and founded the Southeast Asia Climate and Nature-Based Solutions (SCeNE) Coalition with other NGOs to increase investment in high quality carbon projects that benefit nature and people. She has held leadership positions at WWF including Global Conservation Director, Global Markets Practice Leader and Global Food Practice Leader. She was Executive Director of Grow Asia in Singapore (a World Economic Forum initiative); Global Head, Food Security Agenda at Syngenta International; Executive Director, SustainAbility in London; and Associate with the World Resources Institute in Washington DC. She has been on numerous councils and boards including the Tropical Forest Alliance, Global Commons Alliance, World Economic Forum Global Agenda Council on Food Security and Nutrition, Volans, SustainAbility Inc., and the Institute for Human Rights and Business.</t>
  </si>
  <si>
    <t>369107-83P</t>
  </si>
  <si>
    <t>Lara Burmeister</t>
  </si>
  <si>
    <t>Burmeister</t>
  </si>
  <si>
    <t>Ms. Lara Burmeister serves as Associate Director, Investments at Wollemi Capital. A seasoned operator with over 15 years of experience in energy infrastructure, renewable energy, and sustainable building design and construction, He brings deep energy industry and project development expertise to the Wollemi team. Across her varied career, She has performed roles in operations and finance, including economic modeling, deal execution, accounting, financial statement analysis, corporate financial strategy, and investment strategy. She also brings hands-on operational and leadership experience in navigating a customer-facing business through the COVID-19 pandemic. Her energy experience spans engagements with government and private-sector entities including SunEdison, the Connecticut Department of Energy and Environmental Protection, and the Connecticut Green Bank. While at Pacific Gas &amp; Electric Company, She led a series of grid-edge pilot projects aimed at enhancing California's grid-hosting capacity for distributed energy resources. She also worked on the energy trading floor and spearheaded the divestiture strategy for hydroelectric power assets. She began her career as a sustainable design consultant at WSGreenTechnologies GmbH, a German engineering firm, where she integrated cutting-edge energy systems into building projects across Europe. She holds a BA from Columbia University, an MBA from the Yale School of Management, and a Master in Environmental Management from the Yale School of the Environment.</t>
  </si>
  <si>
    <t>lara.burmeister@wollemi.com</t>
  </si>
  <si>
    <t>423113-95P</t>
  </si>
  <si>
    <t>Lilian Wang</t>
  </si>
  <si>
    <t>Lilian</t>
  </si>
  <si>
    <t>Ms. Lilian Wang serves as Impact Director at Wollemi Capital. She is passionate about accelerating positive change through better understanding and communication of impact. An impact and responsible investment specialist, She brings to Wollemi more than 14 years of experience working with investors and corporates on assessing, managing and reporting environmental and social impacts. She is responsible for our approach to embedding impact considerations into due diligence, investment decisions, and portfolio management. She joins Wollemi from Singapore-based boutique asset manager Arisaig Partners, where she led impact measurement and management as well as ESG integration and engagement with portfolio companies. She sat on the Advisory Council for the Net Zero Asset Managers initiative and various advisory bodies for the UN PRI and the Global Impact Investing Network. Prior to Arisaig, She was a Senior Manager with PwC's Sustainability &amp; Climate Change consulting practice in London. Over a period of more than a decade with this team, she advised a diverse range of clients on impact investing, international development, and sustainability reporting. She holds an MA in Environmental Economics &amp; Climate Change from the London School of Economics and a BA (Hons) in Mathematics from the University of Cambridge. She is also a Chartered Accountant.</t>
  </si>
  <si>
    <t>lilian.wang@wollemi.com</t>
  </si>
  <si>
    <t>327249-37P</t>
  </si>
  <si>
    <t>Matt Kean</t>
  </si>
  <si>
    <t>Kean</t>
  </si>
  <si>
    <t>Mr. Matt Kean serves as Treasurer and Minister for Energy at NSW Generations Fund. He serves as Director, Regulatory Affairs &amp; Strategic Partnerships at Wollemi Capital.</t>
  </si>
  <si>
    <t>+61 (0)2 9228 4567</t>
  </si>
  <si>
    <t>matt.kean@wollemi.com</t>
  </si>
  <si>
    <t>Director, Regulatory Affairs &amp; Strategic Partnerships</t>
  </si>
  <si>
    <t>369108-28P</t>
  </si>
  <si>
    <t>Michael Perak</t>
  </si>
  <si>
    <t>Perak</t>
  </si>
  <si>
    <t>Mr. Michael Perak serves as Director, Investments at Wollemi Capital. He brings more than 11 years of investment banking experience, working across a wide range of engagements including M&amp;A, IPOs, capital raisings, strategy development and capital management. He has primarily covered industrial sectors, with a particular focus on the built environment. He joined Wollemi from Macquarie Capital, where he was a subsector specialist and project lead on a number of marquee transactions. While at Macquarie, He successfully prosecuted more than A$10 billion worth of transactions across 25+ engagements, including multi-billion dollar cross-border acquisitions, the formation of market-leading businesses through joint ventures, providing equity and debt funding to large marquee transactions and floating leading Australian businesses to the Australian Stock Exchange. He holds a Bachelor of Commerce from the University of New South Wales.</t>
  </si>
  <si>
    <t>michael.perak@wollemi.com</t>
  </si>
  <si>
    <t>55881-82P</t>
  </si>
  <si>
    <t>Nick Butcher</t>
  </si>
  <si>
    <t>Mr. Nick Butcher serves as Senior Advisor at Wollemi Capital. He is an experienced investment banker, investor and developer in infrastructure and energy. He spent 25 years at Macquarie Group in Sydney, Melbourne, New York &amp; London offices, holding senior management positions including Global Co-Head of Infrastructure &amp; Energy. He was responsible for Macquarie's global investment banking, balance sheet investing and project development business across infrastructure and energy, including the Green Investment Group renewables development business. He was a member of Macquarie Capital's global Principal Investment Committee and board director on various project companies and portfolio investments. He has advised on over US$50 billion of infrastructure corporate and project financings across a range of sectors including transportation, social infrastructure, and conventional and renewable energy. He is a committed conservationist and adviser to a number of environmental NGOs, and the Board Chair of Australian Wildlife Conservancy, the largest private manager of land for conservation in Australia.</t>
  </si>
  <si>
    <t>300469-33P</t>
  </si>
  <si>
    <t>Noah Walker</t>
  </si>
  <si>
    <t>Mr. Noah Walker serves as Director, Investments at Wollemi Capital. He has spent his career addressing the climate challenge, with experience spanning public, non-profit, consulting, investing and startup roles. Before joining Wollemi, He served as the Head of Carbon Market Development and Director of Product and Business Development at Indigo Ag, one of the leading global agriculture tech companies, focused on sustainability and regenerative agriculture. He led many of the first-ever deals for nature-based carbon offsets from agriculture. At the Boston Consulting Group, He worked across the Consumer, Principal Investors and Private Equity, and Industrial Good practice areas, and for the World Wildlife Fund (WWF) where he played a key role in designing and launching the WWF Nature Pays Hub. In addition, he was on the leadership team of WWF's supply chain transparency company OpenSC. He has also worked for The Nature Conservancy and Double Bottom Line Partners, one of the first at-scale impact VC firms. He began his career as a Legislative staffer in the United States Senate, covering issues relating to the environment, energy, and natural resources. He holds a BA from Middlebury College, an MBA from the Yale School of Management, and a Master's of Environmental Management from the Yale School of the Environment.</t>
  </si>
  <si>
    <t>137139-40P</t>
  </si>
  <si>
    <t>Paul Hunyor</t>
  </si>
  <si>
    <t>Hunyor</t>
  </si>
  <si>
    <t>Mr. Paul Hunyor serves as Co-Founder &amp; Co-Chief Executive Officer at Wollemi Capital. He has over 20 years of experience as an investor and operator in climate impact, private equity, and venture capital. Paul has been at the forefront of corporate venture investing in climate solutions. As the former Head of Asia Pacific and Australia for BCG Digital Ventures, the corporate VC arm of the Boston Consulting Group, He co-founded BCG Green Ventures. He brings unique expertise at the intersection of investing, technology, climate,e and nature. He helped launch Singapore's voluntary carbon credits marketplace, led a global agribusiness investment into a carbon measurement platform for scope 3 emissions, and co-founded the World Wildlife Fund's (WWF) first-ever venture in food traceability. His early career spans from late-stage private equity at Archer Capital to co-founding a venture capital firm at Folklore Ventures Fund 1. He also founded a start-up that became Australia's largest independent energy broker. He is the former Co-Chair of the WEF Committee on Sustainable Consumption. Currently, he serves on the Board of Governors at WWF Australia and the Board of the Investment Committee for Innovation and Science Australia's Entrepreneur's Programme. He is also a member of the Mt Wilson branch of the Rural Fire Service. He has a dual master's (MBA and MPA) from Harvard.</t>
  </si>
  <si>
    <t>403300-99P</t>
  </si>
  <si>
    <t>Penny Wang</t>
  </si>
  <si>
    <t>Penny</t>
  </si>
  <si>
    <t>Ms. Penny Wang serves as Director, Investments at Wollemi Capital. He has over 15 years of investment banking and principal investment experience in renewables, infrastructure and natural resources across Australia, Asia and the UK. Prior to joining Wollemi, He was a Managing Director in the Green Investment Group (GIG), Macquarie Group's specialist green investment and development division. A renewables and energy transition specialist, while at GIG she led projects across the lifecycle from acquisition, development, commercialisation and financing to construction, asset management and divestment. He has been involved in the development of over 900MW of renewables projects including Lal Lal Wind Farms in Australia and Formosa 2 offshore wind farm in Taiwan, and has successfully executed over A$4bn of M&amp;A and financing transactions in the renewables sector, both as principal and adviser. He holds a Bachelor of Commerce and a Bachelor of Engineering from the University of Melbourne.</t>
  </si>
  <si>
    <t>penny.wang@wollemi.com</t>
  </si>
  <si>
    <t>403301-08P</t>
  </si>
  <si>
    <t>Phebe Sleeman</t>
  </si>
  <si>
    <t>Phebe</t>
  </si>
  <si>
    <t>Sleeman</t>
  </si>
  <si>
    <t>Ms. Phebe Sleeman serves as Executive Assistant at Wollemi Capital. She brings 5 years of administration and events experience. She joined Wollemi from EY, where she supported five senior Partners in the Assurance division. Prior to that she worked in events at the Sofitel Sydney Darling Harbor. Before her career as an Executive Assistant, She performed as a professional ballerina for 10 years, performing in productions throughout Australia and overseas.</t>
  </si>
  <si>
    <t>phebe.sleeman@wollemi.com</t>
  </si>
  <si>
    <t>187366-06P</t>
  </si>
  <si>
    <t>Rebecca Watts</t>
  </si>
  <si>
    <t>Ms. Rebecca Watts serves as an Associate, Investments at Wollemi Capital. She is an energy specialist, with more than 7 years of experience across investment banking, venture capital and management consulting. Before joining Wollemi, She was a Founding Principal in investment banking at Barrenjoey. Recruited in 2019 as one of the firm's first employees, She worked across the buy-side and sell-side in energy and infrastructure. She began her career with a year-long placement in Cambodia with Engineers Without Borders, where she led the design and installation of solar home systems in rural communities. The project stemmed from her engineering thesis, for which she was awarded the 2016 ANU Undergraduate Student of the Year. She also received the 2018/19 MECCA / Engineers Without Borders MPower Scholarship, which aimed to increase the representation of women in STEM. She was also previously the Vice Curator (2018-20) for the World Economic Forum Global Shapers Community Sydney Hub. She is a Non-Executive Director at Engineers Without Borders and a Board Director at ATEC. She holds a Bachelor of Engineering (Hons.) / Bachelor of Commerce, majoring in renewable energy systems, from the Australian National University.</t>
  </si>
  <si>
    <t>rebecca.watts@wollemi.com</t>
  </si>
  <si>
    <t>403301-26P</t>
  </si>
  <si>
    <t>Renee Brook</t>
  </si>
  <si>
    <t>Ms. Renee Brook serves as Executive Assistant to Paul Hunyor at Wollemi Capital. She brings more than 20 years of experience in administration and executive support across a range of sectors. Prior to Wollemi, she held senior administrative roles across office management, finance, and executive support within recruitment, media, motor industry, financial services, and technology companies in both Sydney and London.</t>
  </si>
  <si>
    <t>renee.brook@wollemi.com</t>
  </si>
  <si>
    <t>Executive Assistant to Paul Hunyor</t>
  </si>
  <si>
    <t>383431-87P</t>
  </si>
  <si>
    <t>Sanne Schouteten</t>
  </si>
  <si>
    <t>Sanne</t>
  </si>
  <si>
    <t>Schouteten</t>
  </si>
  <si>
    <t>Ms. Sanne Schouteten serves as Strategy Analyst at Wollemi Capital. She combines expertise in strategy consulting and data-driven operations with a passion for creating positive impact for both people and planet. Prior to Wollemi, she focused on strategy and digital operations projects as a Consultant with Boston Consulting Group in Amsterdam and Sydney, and furthered her interest in sustainable and scalable food solutions through her work with World Food Programme and on waste reduction in operations. While at BCG, She worked with a range of NGOs, corporate and retail clients to define their global business strategy and data-driven operations. Prior to BCG, She developed an optimisation algorithm for postal logistics, which drives her passion for using data to optimise climate-related operations. She has also driven multiple social impact projects, including defining a strategy for mental health solutions in logistics in Australia. She holds a Master in Econometrics &amp; Operations Research from Vrije University, Amsterdam and a Bachelor of Industrial Engineering &amp; Management from University of Groningen.</t>
  </si>
  <si>
    <t>sanne.schouteten@wollemi.com</t>
  </si>
  <si>
    <t>Strategy Analyst</t>
  </si>
  <si>
    <t>369108-82P</t>
  </si>
  <si>
    <t>Sean Hogan</t>
  </si>
  <si>
    <t>Mr. Sean Hogan serves as Associate, Investments at Wollemi Capital. He joined Wollemi from Macquarie Capital, where he primarily focused on capital markets. With experience spanning several sectors including Critical Minerals, Digital Infrastructure, Real Estate, Consumer, Financial Services, and Technology, He worked on nearly A$6 billion in acquisition financing, growth equity, IPO, and block trade transactions. Beforeo Macquarie, His experience included Morgan Stanley's Equity Capital Markets team and an operational role at Uber. Hailing from regional New South Wales, He has a keen interest in food and agriculture. He holds a Bachelor of Commerce (Liberal Studies) from the University of Sydney.</t>
  </si>
  <si>
    <t>sean.hogan@wollemi.com</t>
  </si>
  <si>
    <t>369109-27P</t>
  </si>
  <si>
    <t>Steven Zheng</t>
  </si>
  <si>
    <t>Mr. Steven Zheng serves as Associate Director, Investments at Wollemi Capital. He has more than 8 years of experience in investment banking, principal investment and project finance across the telecommunications, technology and digital infrastructure sectors. Most recently, He spent 4 years at Macquarie Capital where he worked on acquisitions, divestments, debt financings, IPOs and capital raises for ~A$20b of public and private M&amp;A transactions across sectors including motor registries, telco towers and data centres. He began his career as part of Telstra's M&amp;A team, where he was involved in ~A$1bn of transactions encompassing technology, real estate, managed services and professional services. He has completed Level 3 of the Chartered Financial Analyst (CFA) program and holds a Bachelor of Commerce from the University of Melbourne.</t>
  </si>
  <si>
    <t>steven.zheng@wollemi.com</t>
  </si>
  <si>
    <t>369109-63P</t>
  </si>
  <si>
    <t>Suzie Cai</t>
  </si>
  <si>
    <t>Suzie</t>
  </si>
  <si>
    <t>Ms. Suzie Cai serves as Associate, Investments at Wollemi Capital. She is passionate about working at the intersection of profit and purpose. She brings M&amp;A and equity capital markets experience across a range of sectors in addition to non-profit expertise. Prior to Wollemi, She was part of Jarden's foundational Sydney-based investment banking team, advising on over $30bn of transactions and assisting with scaling up Jarden's Australian presence. In addition to advising on M&amp;A and ECM transactions for clients including Brambles, Qantas and Spark NZ, She was part of the team building up Jarden's Australian operations, most notably through leading the end-to-end campus recruitment effort across the internship and graduate recruitment processes. She began her banking career in Macquarie Capital's real estate team, raising ~$3.5bn of equity for ASX listed REITs including Vicinity, GPT and Mirvac, and acting as defence advisor to Villa World on its acquisition by AVID Property. Her passion for business and impact started early. While at university she founded a social enterprise start-up with the aim of addressing the issue of food waste. She holds a Bachelor of Commerce (Finance) and Bachelor of Laws from the University of New South Wales, Australia.</t>
  </si>
  <si>
    <t>suzie.cai@wollemi.com</t>
  </si>
  <si>
    <t>439779-25P</t>
  </si>
  <si>
    <t>Taylor Rankin</t>
  </si>
  <si>
    <t>Rankin</t>
  </si>
  <si>
    <t>Mr. Taylor Rankin serves as Executive Assistant at Wollemi Capital.</t>
  </si>
  <si>
    <t>taylor.rankin@wollemi.com</t>
  </si>
  <si>
    <t>31574-26P</t>
  </si>
  <si>
    <t>Tim Bishop</t>
  </si>
  <si>
    <t>Mr. Tim Bishop is a Co-Founder &amp; serves as Co-Chief Executive Officer at Wollemi Capital. He brings over 30 years of investment experience in climate, renewables, infrastructure and technology, with a track record of founding, building and scaling global businesses. Before co-founding Wollemi, from 2012 to 2019 He served as Global Head of Macquarie Capital, the firm's principal investments group, and sat on Macquarie Group's 12-member Executive Committee. He was responsible for the early push into green energy, including offshore wind, solar and battery, culminating in the £2.3b acquisition of the UK government's Green Investment Bank. Under His leadership, Macquarie Capital's profits grew from A$85m to A$1,350m, while its contribution to the Macquarie Group-wide profit increased from 4% in 2012 to almost 25% by 2019. Previous highlights from His 20-year career at Macquarie included four years based in New York as Macquarie Group's Head of the Americas, and serving as Global Head of Macquarie Capital's Industrials and Financial Institutions groups. His diverse global experience has given him a unique ability to identify opportunities, define a strategy and turn ideas into thriving, global, multi-billion-dollar businesses. He brings deep expertise in the financing and delivery of large energy and infrastructure projects to the vital challenge of scaling emerging climate solutions for a more sustainable future. He also serves as a Board Member on the Raise Foundation. He holds a Bachelor of Laws from Queensland University of Technology.</t>
  </si>
  <si>
    <t>285881-86P</t>
  </si>
  <si>
    <t>Tim Luthin</t>
  </si>
  <si>
    <t>Luthin</t>
  </si>
  <si>
    <t>Mr. Tim Luthin serves as Associate Director of Investments at Wollemi Capital. He served as Vice President of Finance at YPE SF Bay Area. He has spent his career focused on renewables, as both an investment banker and an operator scaling a renewable energy infrastructure platform. His most recent role before Wollemi was at 38 Degrees North, a renewable energy infrastructure platform with a focus on community solar. While at 38, He worked across M&amp;A, project finance, corporate finance, development, and asset management as the team scaled from 5 to 20 employees and raised its first outside capital. Before that, He was at Morgan Stanley in the Investment Banking and Equity Research divisions, with a specialist focus on renewable and traditional energy and commodity strategy. He started his career in climate by researching the potential of kelp forests as a carbon sink in Monterey Bay, CA. He holds a BA in Human Biology and an MS in Earth Systems from Stanford University.</t>
  </si>
  <si>
    <t>tim.luthin@wollemi.com</t>
  </si>
  <si>
    <t>383432-14P</t>
  </si>
  <si>
    <t>Zach Falber</t>
  </si>
  <si>
    <t>Falber</t>
  </si>
  <si>
    <t>Mr. Zach Falber serves as an Associate, Investments at Wollemi Capital. He joined Wollemi from Dorilton Capital, a New York-based private investment firm focused on industrials and business services. There he supported M&amp;A execution and post-close value creation across Dorilton's private equity and venture capital portfolio. Prior to Dorilton, He was a strategy consultant at Emerton, working on commercial diligence and growth strategy projects for institutional investors and Fortune 500 companies within energy and environmental services. In both roles, He has focused on enabling investments in emerging infrastructure and technology. His experience ranges across battery recycling, renewables optimization, HPC data centers, and more. He holds a BA in International Relations from the University of Pennsylvania.</t>
  </si>
  <si>
    <t>313766-20P</t>
  </si>
  <si>
    <t>Chad Laurans</t>
  </si>
  <si>
    <t>Laurans</t>
  </si>
  <si>
    <t>Workshop Ventures</t>
  </si>
  <si>
    <t>Mr. Chad Laurans is a Co-Founder and serves as Partner at Workshop Ventures. He serves as Advisor at A-Street, Junction Venture Partners, Monaire. Together, he and Eleanor co-founded SimpliSafe. He was CEO of SimpliSafe until 2020, overseeing all facets of the company's growth, including engineering, product development, supply chain management, contract manufacturing, direct marketing, brand building, operations, and finance. An electrical engineer by training, he also personally developed significant portions of the SimpliSafe product and backend systems. He currently serves as Chairman of the Board.</t>
  </si>
  <si>
    <t>claurans@workshop.dev</t>
  </si>
  <si>
    <t>65628-19P</t>
  </si>
  <si>
    <t>Mr. Chad Laurans is a Co-Founder and serves as Chairman at SimpliSafe. Mr. Laurans is a Founding Partner of Workshop Ventures. He earned an MBA from Harvard Business School in 2006. He completed a BS in Electrical Engineering at Yale University in 2000. He also holds a degree from Deerfield Academy, completed in 1996.</t>
  </si>
  <si>
    <t>+1 (888) 957-4675</t>
  </si>
  <si>
    <t>chad@simplisafe.com</t>
  </si>
  <si>
    <t>100 Summer Street</t>
  </si>
  <si>
    <t>SimpliSafe</t>
  </si>
  <si>
    <t>65629-18P</t>
  </si>
  <si>
    <t>Eleanor Laurans</t>
  </si>
  <si>
    <t>Ms. Eleanor Laurans is a co-founder at SimpliSafe. She also serves as Advisor at A-Street. She is a Co-Founder and serves as Partner at Workshop Ventures. She is a Co-Founder of Timely School. In 2006 Chad and she founded SimpliSafe, a DIY home security company which has grown into one of the country's largest. Today the company proudly protects millions of Americans and employs a thousand team members. After a growth equity investment from Sequoia Capital in 2014, Hellman &amp; Friedman acquired a majority stake in the company in 2018. She led strategy for the company for its first 13 years and continues to serve on its board. In addition, she has worked extensively in education, most recently as the CFO for the Boston Public Schools, where she oversaw the district's $1.4B budget. She also spent eight years in the education practice of the Parthenon Group, working with districts, foundations, investors, and institutions of higher education. She is currently a member of the faculty at Harvard Business School where she teaches strategy to first year students. She has spent over 20 years working in and with school districts. After working in the New York City Department of Education and several years with Parthenon's education practice, she went on to become the Chief Financial Officer of Boston Public Schools.</t>
  </si>
  <si>
    <t>+1 (888) 910-1458</t>
  </si>
  <si>
    <t>eleanor@simplisafe.com</t>
  </si>
  <si>
    <t>182893-60P</t>
  </si>
  <si>
    <t>Alissa Schneideman</t>
  </si>
  <si>
    <t>Alissa</t>
  </si>
  <si>
    <t>Schneideman</t>
  </si>
  <si>
    <t>Woven Capital</t>
  </si>
  <si>
    <t>Ms. Alissa Schneideman serves as Associate at Woven Capital. Ms. Schneideman served as Analyst, Mergers &amp; Acquisitions at BDA Partners.</t>
  </si>
  <si>
    <t>alissa@woven.vc</t>
  </si>
  <si>
    <t>Nihonbashi Muromachi Mitsui Tower</t>
  </si>
  <si>
    <t>3-2-1 Nihonbashimuromachi, Chuo-ku</t>
  </si>
  <si>
    <t>314816-77P</t>
  </si>
  <si>
    <t>Betty Bryant</t>
  </si>
  <si>
    <t>Ms. Betty Bryant serves as Principal at Woven Capital. She serves as Advisor at Compredict. Previously, she served on the investment team at SK Telecom Ventures where she focused on early-stage to late-stage investments in core technologies. Before that, she was CFO of Jerrick Ventures (now Creatd), a digital media and e-commerce startup, where she led the company through a Series A financing round. She also worked at Wolf Popper, a nationally recognized securities law firm, where she covered M&amp;A and researched potential securities fraud class actions. She worked as an analyst at an equity hedge fund and in credit derivatives at UBS Investment Bank. She holds an MBA from the Wharton School at the University of Pennsylvania and a BS in Operations Research &amp; Engineering from Cornell University.</t>
  </si>
  <si>
    <t>betty@woven.vc</t>
  </si>
  <si>
    <t>285270-04P</t>
  </si>
  <si>
    <t>Daniel Yoo</t>
  </si>
  <si>
    <t>Mr. Daniel Yoo serves as a Marketing Partner at Woven Capital. He served as Senior Director of Marketing &amp; Communications for Samsung Electronics, managing strategic communications, with a focus on investments, M&amp;A, and executive communications for the corporate president and chief strategy officer. Prior to Samsung, he was head of corporate communications for Marvell Technology, where he was responsible for global campaigns that led to major industry and global media recognitions by Newsweek, CNN International, and Forbes Magazine. Earlier in his career, he consulted for household brands such as HP, Microsoft, Philips, and Sony at some of the largest PR agencies in the world, including Edelman, Porter Novelli, and Ruder Finn. He holds a Bachelor of Science degree in communications from Boston University and completed graduate work in Digital Marketing at the Harvard Business School.</t>
  </si>
  <si>
    <t>+1 (408) 835-9993</t>
  </si>
  <si>
    <t>daniel@woven.vc</t>
  </si>
  <si>
    <t>900 Arastradero Road</t>
  </si>
  <si>
    <t>Creekside A</t>
  </si>
  <si>
    <t>Marketing Partner</t>
  </si>
  <si>
    <t>347439-07P</t>
  </si>
  <si>
    <t>Don Ochoa</t>
  </si>
  <si>
    <t>Mr. Don Ochoa serves as Head of Portfolio Success at Woven Capital.</t>
  </si>
  <si>
    <t>don@woven.vc</t>
  </si>
  <si>
    <t>Head of Portfolio Success</t>
  </si>
  <si>
    <t>41447-62P</t>
  </si>
  <si>
    <t>George Kellerman JD</t>
  </si>
  <si>
    <t>Kellerman</t>
  </si>
  <si>
    <t>Mr. George Kellerman serves as Founding Managing Director at Woven Capital. He is an Angel Investor. Previously, he served as Board Observer at RoboticsPlus, Managing Partner at Disruption, Chief Executive Officer &amp; Managing Director at Yamaha Motor Ventures &amp; Laboratory Silicon Valley, Board Observer at Veniam, and Managing Partner at Crystal Tech Fund. Before Yamaha, he served as a Managing Partner at 500 Startups, one of the most active early-stage investors in the world, and he also served as the Managing Director of Dell Japan's consumer business, as the VP of International Business Development at Yahoo! JAPAN, and as Corporate Counsel at Yahoo! Inc. He received a Juris Doctor degree from the University of California Berkeley School of Law and a Bachelor of Arts degree in Philosophy from the University of Hawaii at Manoa.</t>
  </si>
  <si>
    <t>+81-80-9022-5176</t>
  </si>
  <si>
    <t>george@woven.vc</t>
  </si>
  <si>
    <t>Founding Managing Director</t>
  </si>
  <si>
    <t>314817-04P</t>
  </si>
  <si>
    <t>Jarek Khoilian</t>
  </si>
  <si>
    <t>Jarek</t>
  </si>
  <si>
    <t>Khoilian</t>
  </si>
  <si>
    <t>Mr. Jarek Khoilian serves as a Senior Associate at Woven Capital. Previously, he was a senior associate on CIBC's Energy, Infrastructure, and Transition team supporting clients on M&amp;A processes across the transportation and digital infrastructure sectors. Additionally, he was previously an analyst at Meridiam Infrastructure, developing and financing large-scale social and transportation infrastructure projects across North America and LATAM. He holds a B.S. in Business Administration with a concentration in Finance and a Minor in International Relations from the University of Southern California.</t>
  </si>
  <si>
    <t>jarek@woven.vc</t>
  </si>
  <si>
    <t>396235-72P</t>
  </si>
  <si>
    <t>Masashi Odawara</t>
  </si>
  <si>
    <t>Masashi</t>
  </si>
  <si>
    <t>Odawara</t>
  </si>
  <si>
    <t>Mr. Masashi Odawara serves as Head of Finance &amp; Operations at Woven Capital. Prior to joining Woven Capital in 2022, he served as Neuberger Berman's Head of Finance, East Asia, working with the East Asia management team to lead and oversee all Finance functions - covering financial planning and analysis, legal entity controlling and finance operations. Before that, he held various positions at Deutsche Bank in Finance and Treasury in Tokyo, New York and Frankfurt. Prior to joining Deutsche Bank in 2012, he was at BlackRock, engaged in business finance, corporate strategy, and business development and project delivery in BlackRock Solutions. He started his career at eAccess, a startup that went public in 2003 and was later acquired by SoftBank. Subsequently, in the information technology industry, he led several IT and business process reengineering projects as project leader at Infosys. He received a bachelor's degree in environmental information from Keio University. He is a CFA charterholder and Certified Public Accountant and is a member of the CFA Institute.</t>
  </si>
  <si>
    <t>masa@woven.vc</t>
  </si>
  <si>
    <t>120392-38P</t>
  </si>
  <si>
    <t>Michiko Kato</t>
  </si>
  <si>
    <t>Michiko</t>
  </si>
  <si>
    <t>Ms. Michiko Kato serves as Partner at Woven Capital (Toyota). She serves as Board Observer at Whill, Ridecell and Nuro. She serves as a Board member at EneCoat Technologies. She serves as an Independent Board Director at Henge and Excite Japan. She started her career with Morgan Stanley, and then worked at the World Bank Group (International Finance Corporation), where she led investment transactions in emerging markets in Asia. She also worked at Unison Capital, a leading private equity firm in Japan. Her experience of working with ABEJA on a digital transformation project at the PE firm led her to join ABEJA. She joined ABEJA in July 2018, and became Director/CFO in June 2019. She received her MBA from Harvard Business School where she was elected Fulbright Scholar. She graduated in Bachelor of Arts in Economics from International Christian University.</t>
  </si>
  <si>
    <t>michiko@woven.vc</t>
  </si>
  <si>
    <t>89672-77P</t>
  </si>
  <si>
    <t>Nicole LeBlanc</t>
  </si>
  <si>
    <t>LeBlanc</t>
  </si>
  <si>
    <t>Ms. Nicole LeBlanc serves as a Partner at Woven Capital. She serves as an Advisory Committee Member at Nàdarra Ventures. She serves as a Board Member at Corvus Energy. She served as an Advisory Board Member at Sandpiper Ventures. She served as Partner, Platform at 2150. She also served as Chairwoman of the Board of Directors at Innovacorp. She served as Director of Investments, and Partnerships at Sidewalk Labs. She served as Director in Strategic Investments at BDC Capital. She has over 15 years of experience as a financial and investment professional, with a focus on early-stage financing opportunities and ecosystem development. A native of New Brunswick, she is the Director of Investments and Partnerships for Sidewalk Labs, an Alphabet company. Before joining Sidewalk, she was a Director at BDC Capital, where she managed the seed stage investments and associated portfolio. She has over 10 years of experience as an investment professional, with a focus on early-stage financing opportunities and ecosystem development. Before joining BDC, she was the Director of Finance at NBIF and held initial finance and operational roles in several early-stage startups. She is on the board of Innovacorp, Propel, and Brilliant Labs, ensuring she stays close to many East Coast organizations. Before joining BDC Capital, she was Director of Finance for the New Brunswick Innovation Foundation (NBIF) where she played a central role in their internal and external reporting, business development, and investment activities. She actively worked with portfolio companies, providing advisory services and support to early-stage companies in a variety of industries. A dynamic member of the Maritime startup community, She also worked as an investment analyst with the First Angel Network and as a contract CFO and COO with many IT and Medtech companies in Nova Scotia. She began her career as a staff accountant and later controller at Ganong Bros. Ltd., where she participated in all aspects of the company's financial and management accounting functions. She holds a Bachelor of Business Administration from the University of New Brunswick and the Chartered Professional Accountant (CPA) designation. She serves as a Board Member at Intuition Robotics.</t>
  </si>
  <si>
    <t>+1 (416) 952-7874</t>
  </si>
  <si>
    <t>nicole@woven.vc</t>
  </si>
  <si>
    <t>314817-58P</t>
  </si>
  <si>
    <t>Prashant Bothra</t>
  </si>
  <si>
    <t>Bothra</t>
  </si>
  <si>
    <t>Mr. Prashant Kumar Bothra serves as Principal at Woven Capital. He serves as a Board Member at LD Carbon. Most recently, he was the founder of Torii Ventures, an investment management consulting firm based in Dubai. He serves as a Board Member at Third Wave Automation. He has also served as Vice President, Technology Venture Capital Investments, at Gulf Islamic Investments, with a focus on enterprise technology, as well as Vice President at Omnia Ventures, focused on Private Equity investments in MENA. Previously, he was one of the founding members of the Technology Strategy Group, Equity Research Division, at Credit Suisse. He worked closely with technology sector research teams across the US, Europe, and Asia, and led the design and successful implementation of one of the largest and most detailed tech industry forecast models, which includes the Credit Suisse Technology Index. He began his career at Goldman Sachs in the Investment Banking Division as a data strategy analyst in the Consumer Retail and Healthcare group. He holds an MBA with a specialization in Finance from the Indian School of Business in Hyderabad and the University of St. Gallen in Switzerland, and a BA in Economics from New York University.</t>
  </si>
  <si>
    <t>prashant@woven.vc</t>
  </si>
  <si>
    <t>175082-95P</t>
  </si>
  <si>
    <t>Will Fung</t>
  </si>
  <si>
    <t>Mr. Will Fung serves as Principal at Woven Capital. Mr. Fung also is an Angel Investor. He leads investments in growth-stage startups developing technologies related to the mobility of people, goods, and data. Previously, he served as Principal at Samsung Catalyst Fund where he lead investments in early- and growth-stage companies in a variety of sectors including Automotive, AI/ML, Data Center Infrastructure, IoT, and deep technologies. Prior to joining Samsung, he was an early employee at Kovio (acquired by Thin Film), a startup that developed a printed silicon electronics platform with applications in the NFC, retail security, and display industries. At Kovio, he held various engineering, product management, and business development roles. He holds an MBA from the Leavey School of Business at Santa Clara University and a B.S. in Electrical Engineering from the University of Toronto.</t>
  </si>
  <si>
    <t>will@woven.vc</t>
  </si>
  <si>
    <t>1121 North East 45th Street</t>
  </si>
  <si>
    <t>436184-74P</t>
  </si>
  <si>
    <t>Denise Miller</t>
  </si>
  <si>
    <t>Ms. Denise Miller serves as a Partner at WovenEarth Ventures. She studied at the University of Michigan - Stephen M. Ross School of Business, the University of Michigan - Rackham Graduate School, and Emmanuel College.</t>
  </si>
  <si>
    <t>+1 (650) 683-1382</t>
  </si>
  <si>
    <t>denise@wovenearth.ventures</t>
  </si>
  <si>
    <t>37659-07P</t>
  </si>
  <si>
    <t>Mauricia Geissler</t>
  </si>
  <si>
    <t>Mauricia</t>
  </si>
  <si>
    <t>Geissler</t>
  </si>
  <si>
    <t>Ms. Mauricia Geissler serves as Founder and Advisor at WovenEarth Ventures. She serves as a Trustee and Chairwoman of the Investment Committee at Community Foundation of Western Massachusetts. She also serves as a Member of the Executive Committee. She serves as an Investment Committee Member at Sarona Asset Management. She served as a Member of the Investment Committee at Five Colleges Endowment. She served as Chief Investment Officer at Amherst College. Previously, she served as Director of Public Market Investments at Lucent Asset Management Company. She holds a Bachelor of Arts degree in finance from the University of Wisconsin-Madison's School of Business.</t>
  </si>
  <si>
    <t>mauricia@wovenearth.ventures</t>
  </si>
  <si>
    <t>Founder and Advisor</t>
  </si>
  <si>
    <t>222429-88P</t>
  </si>
  <si>
    <t>Ben Stuart</t>
  </si>
  <si>
    <t>Xpansiv</t>
  </si>
  <si>
    <t>Executive Officer &amp; President</t>
  </si>
  <si>
    <t>Mr. Ben Stuart serves as Chief Commercial Officer and President of Transaction Services at Xpansiv. He brings more than a decade's experience in environmental markets to his role as Chief Commercial Officer of CBL, which he co-founded in 2009. He designed and implemented the CBL product offering across environmental, energy, and soft commodity products, and was part of the joint government initiative that established the Australian water exchange H2OX. He coordinated the development of the first Australian gas pipeline auctions of storage and physical gas, and oversaw the contract design and implementation for the first exchange-traded differentiated natural gas contracts in 2019. Prior to CBL, he was a broker for Tullett Prebon in London for the EU ETS and the UK Power Markets.</t>
  </si>
  <si>
    <t>+1 (833) 972-6677</t>
  </si>
  <si>
    <t>ben.stuart@xpansiv.com</t>
  </si>
  <si>
    <t>500 5th Avenue</t>
  </si>
  <si>
    <t>55th Floor</t>
  </si>
  <si>
    <t>10110</t>
  </si>
  <si>
    <t>Chief Commercial Officer &amp; President, Transaction Services</t>
  </si>
  <si>
    <t>243122-14P</t>
  </si>
  <si>
    <t>Erika Crandall</t>
  </si>
  <si>
    <t>Crandall</t>
  </si>
  <si>
    <t>Ms. Erika Crandall serves as Chief Risk Officer at Xpansiv. She served as Chief Compliance Officer and Head of Risk at Reserve Trust.</t>
  </si>
  <si>
    <t>ecrandall@xpansiv.com</t>
  </si>
  <si>
    <t>188521-39P</t>
  </si>
  <si>
    <t>Frank McAnally</t>
  </si>
  <si>
    <t>McAnally</t>
  </si>
  <si>
    <t>Mr. Frank McAnally serves as Chief Financial Officer at Xpansiv. Mr. McAnally served as President &amp; Chief Financial Officer at Nymbus.He served as Chief Financial Officer at Relay Network. He served as Chief Financial Officer at InstaMed. Before joining InstaMed, Frank was the Chief Financial Officer of the newly-created Fidelity Information Systems (FIS) Institutional and Wholesale business responsible for over $2 billion in annual revenues. Throughout his tenure, the enterprise value of FIS increased by more than $12 billion. Prior to FIS, Frank was with global FinTech leader SunGard Data Systems for 16 years where he progressed through the finance team to the Global Head of Financial Planning and Analysis. In 2015, Frank helped lead the corporate finance team in a successful liquidity event, concluding with the strategic sale of SunGard to FIS. Frank graduated from Villanova University with a Bachelor of Science in Business Administration in Finance and holds a Masters of Business Administration from Drexel University. Frank is a Certified Public Accountant.</t>
  </si>
  <si>
    <t>fmcanally@xpansiv.com</t>
  </si>
  <si>
    <t>398198-08P</t>
  </si>
  <si>
    <t>Henrik Hasselknippe</t>
  </si>
  <si>
    <t>Hasselknippe</t>
  </si>
  <si>
    <t>Mr. Henrik Hasselknippe serves as Chief Operations Officer at Xpansiv. He leads Xpansiv's commercial operations. With more than two decades of experience in environmental and energy markets, Hasselknippe most recently served as Executive Director for CME Group, leading the company's Corporate Development in EMEA, having previously run CME's international energy business in London. He also served as Managing Director for GreenX, an environmental markets exchange owned by a consortium of leading global investment banks, brokers, and trading companies. He started his career as a researcher and consultant in international climate policy and emissions trading markets, including several years as global head of carbon trading analytics and research for Point Carbon (now part of Refinitiv).</t>
  </si>
  <si>
    <t>hhasselknippe@xpansiv.com</t>
  </si>
  <si>
    <t>415609-30P</t>
  </si>
  <si>
    <t>Janet Mihalyfi</t>
  </si>
  <si>
    <t>Mihalyfi</t>
  </si>
  <si>
    <t>Mr. Janet Mihalyfi serves as President at Xpansiv.</t>
  </si>
  <si>
    <t>jmihalyfi@xpansiv.com</t>
  </si>
  <si>
    <t>51538-96P</t>
  </si>
  <si>
    <t>John Klinck Jr.</t>
  </si>
  <si>
    <t>Klinck</t>
  </si>
  <si>
    <t>Chairman &amp; Vice Chairman</t>
  </si>
  <si>
    <t>Mr. John Klinck serves as a Partner at Hyperplane Venture Capital. He serves as an Advisor at InterPayments. He serves as a Board Member at Marlette Funding. He serves as a Board Member and Chair of the Audit and Mergers &amp;Acquisitions Committees at Xpansiv. He served as an Advisor at Finomial. He serves as a Board Member at Notarize. He served as an Advisor at Sandbox Banking. He served as a Board Member at RoadBotics, Avalon Acquisition, and Allstacks. He serves as a Board Member at Xpansiv CBL Holding Group. He served as an Advisor at Lightkeeper. He served as a Board Member &amp; Advisor at TowerIQ. He served as a Management Committee Member, Director &amp; Executive Vice President at State Street. He is also a Board Member at Cardlytics. He is also a Director at OnCorps. He also serves as an Advisor at InTeahouse. He also served as Chairman at Elsen. In this capacity, he is responsible for State Street's data and analytics business, State Street Global Exchange, the corporate strategic planning process, and managing relationships with State Street's largest global clients. He also oversees the functions that support client acquisition, retention, and development, including the company's cross-organizational sales council, credit services team, marketing, and client data and reporting platforms. He is a member of State Street's Management Committee, the company's most senior strategy, and policy-making team. He joined State Street in 2006 as global head of its Alternative Investment Solutions business, where he led the strategic direction, global sales, and product structuring of State Street's hedge, private equity, and offshore fund servicing capabilities worldwide. Under his leadership, the company made three strategic acquisitions that contributed to the steady growth of its alternative business, including Investors Financial Services Corp. and Palmeri Fund Administrators in 2007. Before joining State Street, he held several senior executive roles at Mellon Financial including vice chairman and president of its Investment Manager Solutions Group and chairman for Mellon Europe. Before joining Mellon in 1997, he held various senior management positions at Signet Banking and American Express. He is a director on the boards of the Boston Symphony Orchestra, the National Association of Corporate Directors, the Boy Scouts of America Boston Minuteman Council, and the Courageous Sailing Center. He served as a Board Member at Michelin Mobility Intelligence.</t>
  </si>
  <si>
    <t>+1 (508) 340-1310</t>
  </si>
  <si>
    <t>jack@hyperplane.vc</t>
  </si>
  <si>
    <t>137 Newbury Street Hyperplane / Vomisa</t>
  </si>
  <si>
    <t>Hyperplane Venture Capital</t>
  </si>
  <si>
    <t>175245-22P</t>
  </si>
  <si>
    <t>John Melby</t>
  </si>
  <si>
    <t>Melby</t>
  </si>
  <si>
    <t>Mr. John Melby serves as Chief Executive Officer &amp; Board Member at Xpansiv. Previously, he served as President, Chief Operating Officer &amp; Board Member at the company. He served as President, Chief Operating Officer &amp; Board Member at Xpansiv Data Systems. Prior to founding The Melby Group, he was the Managing Director of North American Markets for Green Exchange, an international commodities exchange that was purchased by the Chicago Mercantile Exchange. He was also the President and CEO of APX, where he oversaw the company's development as a premier infrastructure platform for all major renewable energy markets in North America, including the development of the Western Renewable Energy Generation Information System (WREGIS), and greenhouse gas markets worldwide. Currently, he leads an international management consultancy, The Melby Group, that advises governmental agencies, major energy companies, financial institutions, and exchanges on energy and environmental markets.</t>
  </si>
  <si>
    <t>jmelby@xpansiv.com</t>
  </si>
  <si>
    <t>61865-02P</t>
  </si>
  <si>
    <t>Joseph Madden</t>
  </si>
  <si>
    <t>Mr. Joseph Madden is a Co-Founder &amp; serves as Board Member at Xpansiv. Mr. Madden served as Chief Executive Officer, Chief Business Development Officer, and Co-Founder of EOS Climate. An experienced entrepreneur in the Clean Economy, he co-founded and established EOS Climate as a recognized leader in the North American GHG marketplace - securing best-in-class partnerships and building an award-winning, world-class team of experts. As Chief Business Development Officer at EOS, he is tasked with innovating new, market-based approaches at the intersection of refrigerants and climate to drive economic and environmental benefits on a global scale. He has been featured in Environmental Finance, ClimateWire, and Triple Pundit, and regularly speaks on whole system approaches to science, policy, and business model innovation in a carbon-constrained world. Before joining EOS, he was a partner in Transgroup Worldwide Logistics San Francisco Division and an integral part of the launch of ATDynamics. He holds an M.B.A. in Sustainable Management from Presidio Graduate School in San Francisco and a B.A. in Economics from the University of Colorado, Boulder.</t>
  </si>
  <si>
    <t>jmadden@xpansiv.com</t>
  </si>
  <si>
    <t>264335-86P</t>
  </si>
  <si>
    <t>Karen Miller</t>
  </si>
  <si>
    <t>Ms. Karen Miller serves as Chief People Officer at Xpansiv. She served as Chief People Officer at Pond5. With more than 25 years of extensive experience in human resources and organization development, including employee engagement, teaming, organizational change, performance improvement, talent management, communication, facilitation, strategy, coaching, cultural transformation, process optimization, and organizational redesign, she brings her expertise to her role at Xpansiv. She joins Xpansiv after her tenure at Pond5, a video content marketplace acquired by Shutterstock in 2002, where she held the position of Chief People Officer. Prior to her role at Pond5, she severed as the Senior Vice President, People at GrubHub, and earlier in her career, she contributed significantly to organization development efforts at EY.</t>
  </si>
  <si>
    <t>kmiller@xpansiv.com</t>
  </si>
  <si>
    <t>191197-45P</t>
  </si>
  <si>
    <t>Kim Raath Ph.D</t>
  </si>
  <si>
    <t>Raath</t>
  </si>
  <si>
    <t>Dr. Kim Raath serves as Chief Technology Officer at Imperative Global. Dr. Kim Raath serves as an Advisory Board Member at Xpansiv. Dr. Kim Raath co-founded and served as a Board Member at Topl. Previously, she served as Chief Executive Officer at Topl. Dr. Raath serves as an Advisor at Xpansiv CBL Holding Group. She grew up in South Africa, before being the first Rice University student to complete both an M.A. in Economics and a Ph.D. in Statistics. Bringing her experience from 18 different developing countries that highlighted the acute need for digital infrastructure in emerging markets, she leads Topl's team, investor development, and the company's overall strategy.</t>
  </si>
  <si>
    <t>kim.raath@imperativeinc.com</t>
  </si>
  <si>
    <t>Number 17-00, AIA Tower</t>
  </si>
  <si>
    <t>1 Robinson Road</t>
  </si>
  <si>
    <t>048542</t>
  </si>
  <si>
    <t>Imperative Global</t>
  </si>
  <si>
    <t>129977-65P</t>
  </si>
  <si>
    <t>Michael Goldstein JD</t>
  </si>
  <si>
    <t>Mr. Michael Goldstein serves as Board Member at Valilly. He is an Angel Investor. He serves as General Counsel at Xpansiv. He served as Chief Legal Officer at Digital Asset.</t>
  </si>
  <si>
    <t>+1 415 915-5124</t>
  </si>
  <si>
    <t>mgoldstein@xpansiv.com</t>
  </si>
  <si>
    <t>222432-13P</t>
  </si>
  <si>
    <t>Nathan Rockliff</t>
  </si>
  <si>
    <t>Rockliff</t>
  </si>
  <si>
    <t>Chief Strategy Officer &amp; Founder</t>
  </si>
  <si>
    <t>Mr. Nathan Rockliff is a Co-Founder &amp; serves as Chief Strategy Officer at Xpansiv. Mr. Rockliff serves as Chief Strategy Officer and Board Member at Xpansiv. At Xpansiv, he has been instrumental in its strategic development and successful expansion into new products and markets. He was responsible for the design of CBL trading rules, clearing and settlement facilities, commercial contracts, and operational systems across multiple environmental, energy, and soft commodity products. He also has extensive experience in corporate finance and M&amp;A. He is a dual-qualified lawyer in Australia and the UK. Prior to CBL, he was a corporate lawyer for firms in Sydney and London.</t>
  </si>
  <si>
    <t>nrockliff@xpansiv.com</t>
  </si>
  <si>
    <t>44539-93P</t>
  </si>
  <si>
    <t>Paul Sestili</t>
  </si>
  <si>
    <t>Sestili</t>
  </si>
  <si>
    <t>Chief Administrative Officer &amp; Chief Operating Officer</t>
  </si>
  <si>
    <t>Mr. Paul Sestili serves as Chief Operating Officer &amp; Chief Administrative Officer at Xpansiv. Mr. Paul Sestili serves as Chief of Staff at Xpansiv. He also served as a Board Member at 4INFO. He served as a General Partner at Rogers Venture Partners. He is a board member at The Beverly Fund, a lung cancer non-profit he co-founded with his wife. He began his career as an engineer in the energy sector, working with operators all over the world to design technologies used in downstream refining. After business school, he joined Chevron to initiate their Corporate Venture Capital program, and spent twenty years as a Venture Capital Investor, both Corporate (Chevron and Rogers) and Financial (APV Technology Partners and Mezzanine Capital Partners). He founded, managed, and successfully exited a wide range of technology start-ups during those years, working as a board member, advisor, and operator. He has an MBA (with honors) from Georgetown University and a BS in Chemical Engineering from Carnegie Mellon University. He serves as Advisor at eTrigue. He served as a Board Member at Immersive.</t>
  </si>
  <si>
    <t>psestili@xpansiv.com</t>
  </si>
  <si>
    <t>Chief Operating Officer &amp; Chief Administrative Officer</t>
  </si>
  <si>
    <t>48321-28P</t>
  </si>
  <si>
    <t>Rich Miller</t>
  </si>
  <si>
    <t>Mr. Rich Miller serves as Chief Executive Officer &amp; Managing Director at Telematica. Mr. Miller is an Angel Investor. He serves as Board Member at Strategic Blue. He serves as Advisor at Jacobi. He serves as Advisor at Xpansiv. He serves as Venture Partner at Shoreline Venture Management. He served as Chief Technology Officer at Hub (Business/Productivity Software). He co-founded Univa. and served as Advisor at Cloudsoft. He co-founded and served as Advisor and Chief Executive Officer at StreetLight Data. He served as Board Member and Chief Financial Officer and Company Secretary at Cloudsoft. He served as Advisor at Metafor Software. He served as Advisor at CoinFlip. He is an advisor and a strategist for both established technology vendors and emerging ventures, he leads the practice areas focused on cloud computing (hybrid/multi-cloud environments), big data &amp; machine learning (data science &amp; data engineering), and distributed computing (edge computing and distributed ledger technology). In 2019, Rich co-founded Provenant Data, a software company providing data management and integration software as a service to the biomedical and healthcare industries. Provenant technology addresses the need for compliance with data privacy regulations and automated data quality. The technology is the result of a side project initiated in early 2018. His career has ranged from the early days of the ARPAnet as a systems architect and implementor of electronic mail, to that of consultant in technology and product strategy for Fortune100 firms. He is a frequent speaker on cloud computing and participates in a number of industry initiatives dedicated to cloud system interoperability. From 2007 through 2009, he served as CEO of Replicate Technologies, a provider of network configuration management software that supports virtual machine environments (VMEs). Prior to Replicate, he co-founded and served as COO of Univa Corporation, which provides high performance ('grid') computing and datacenter management systems. As a venture consultant and product strategist at Telematica, Rapport Communication and Breo Consulting, he has overseen the formation and funding of technology companies that provide security applications, wireless network infrastructure technologies, and service infrastructures for networked services. He served as the executive vice president of General Magic's communication technology business unit and its vice president of business development. A Silicon Valley veteran, he designed and implemented some of the first computer messaging and computer conferencing systems for the ARPAnet and was an active member of the international standards community which established the basis of the modern electronic mail industry. He has founded or been in the initial team of executives of several technology startups, including InfoMedia Corporation, Rapport Communication, General Magic, Telematica Inc., Breo Consulting, and Univa Corporation. Miller has been a lead consultant for both technology and commercial projects that develop new lines of business for AT&amp;T, IBM, Palm Computing, and NeuStar. He graduated with a B.A. in political science and an M.A. in information science and communication research from Stanford University, where he also undertook doctoral studies in information science. He is also a board member at Cloudsoft Corporation.</t>
  </si>
  <si>
    <t>+1 (650) 265-7711</t>
  </si>
  <si>
    <t>rich.miller@telematica.com</t>
  </si>
  <si>
    <t>675 Waverley</t>
  </si>
  <si>
    <t>Telematica.</t>
  </si>
  <si>
    <t>296217-55P</t>
  </si>
  <si>
    <t>Seshadri Sundaram</t>
  </si>
  <si>
    <t>Mr. Seshadri Sundaram serves as Chief Technology Officer at Xpansiv. Seshadri (Sesh) Sundaram has over 25 years' experience in capital markets, and last served as Managing Director, Engineering and Execution at CME Group Inc. Sundaram has extensive experience in engineering trading, clearing and risk management systems, with a background in establishing large and successful global offshoring and outsourcing centers with focus on 24×7 delivery/support. Sundaram leads the Technology team in developing essential product solutions and supporting strategic initiatives across the global Xpansiv groups.</t>
  </si>
  <si>
    <t>ssundaram@xpansiv.com</t>
  </si>
  <si>
    <t>120577-78P</t>
  </si>
  <si>
    <t>Aaron Epstein</t>
  </si>
  <si>
    <t>Epstein</t>
  </si>
  <si>
    <t>Y Combinator</t>
  </si>
  <si>
    <t>Mr. Aaron Epstein serves as Group Partner at Y Combinator. He Co-Founded Creative Market. . He also Founded ColorSchemer.</t>
  </si>
  <si>
    <t>335 Pioneer Way</t>
  </si>
  <si>
    <t>+1 (650) 360-3189</t>
  </si>
  <si>
    <t>Group Partner</t>
  </si>
  <si>
    <t>449595-64P</t>
  </si>
  <si>
    <t>Andrew Miklas</t>
  </si>
  <si>
    <t>Miklas</t>
  </si>
  <si>
    <t>Mr. Andrew Miklas serves as Lead Partner at Y Combinator.</t>
  </si>
  <si>
    <t>Lead Partner</t>
  </si>
  <si>
    <t>214688-35P</t>
  </si>
  <si>
    <t>Brad Flora</t>
  </si>
  <si>
    <t>Flora</t>
  </si>
  <si>
    <t>Mr. Brad Flora serves as Group Partner at Y Combinator. He served as an executive at Marin Software. He was a Co-Founder, President and Chief Executive Officer at NowSpots. Before NowSports he ran local news site, Windy Citizen and contributed to Slate.com and several other publications as a journalist. He earned an MS in Journalism from Northwestern University and a BS in English from Princeton University. He is an Angel Investor.</t>
  </si>
  <si>
    <t>47652-40P</t>
  </si>
  <si>
    <t>Carolynn Levy JD</t>
  </si>
  <si>
    <t>Carolynn</t>
  </si>
  <si>
    <t>Ms. Carolynn Levy is a Co-Founder and serves as Chief Food Officer &amp; Board Member at Tuck-ins. She serves as Managing Director, Legal at Y Combinator. She was previously at Wilson Sonsini Goodrich and Rosati, where she helped hundreds of startups with legal questions. She has a BA in political science from UCLA and a JD from the USF School of Law and is a member of the State Bar of California.</t>
  </si>
  <si>
    <t>+1 (610) 717-2055</t>
  </si>
  <si>
    <t>1352 South Street</t>
  </si>
  <si>
    <t>Unit 409</t>
  </si>
  <si>
    <t>19147</t>
  </si>
  <si>
    <t>Co-Founder, Chief Food Officer &amp; Board Member</t>
  </si>
  <si>
    <t>Tuck-ins</t>
  </si>
  <si>
    <t>35780-95P</t>
  </si>
  <si>
    <t>Dalton Caldwell</t>
  </si>
  <si>
    <t>Mr. Dalton Caldwell serves as Group Partner &amp; Managing Director, Investments at Y Combinator. He is the Founder &amp; serves as Partner at Standard Capital Ventures. He serves as an Advisor at Function of Beauty. He co-founded and served as Chief Executive Officer at App.net. He serves as Group Partner &amp; Managing Director, Architect at Y Combinator. He is also an Angel Investor. He was also the Co-Founder and CEO of imeem (acquired by MySpace in 2009). He has a BS in Symbolic Systems and a BA in Psychology from Stanford University.</t>
  </si>
  <si>
    <t>Group Partner &amp; Managing Director, Investments</t>
  </si>
  <si>
    <t>35754-94P</t>
  </si>
  <si>
    <t>David Lieb</t>
  </si>
  <si>
    <t>Lieb</t>
  </si>
  <si>
    <t>Mr. David Lieb serves as Partner at Y Combinator. Mr Lieb is an Angel Investor. He served as Senior Director, of Google Photos at Alphabet. He was the Chief Executive Officer and a Co-Founder of Bump Technologies. He served as Technology Strategist and Algorithm Engineer at Texas Instruments. He is an Angel Investor. He holds an Electrical Engineering Degree from Princeton University and a Computer Science Degree from Stanford University.</t>
  </si>
  <si>
    <t>david@ycombinator.com</t>
  </si>
  <si>
    <t>149157-46P</t>
  </si>
  <si>
    <t>Diana Hu</t>
  </si>
  <si>
    <t>Ms. Diana Hu serves as a Group Partner at Y Combinator. She Co-Founded Escher Reality and served as its Chief Technology Officer. She was the head of the AR platform. Previously, she led data science at OnCue TV which was sold to Verizon. Originally from Chile, she graduated from Carnegie Mellon University with a BS and MS in Electrical and Computer Engineering with a focus on computer vision and machine learning.</t>
  </si>
  <si>
    <t>192122-56P</t>
  </si>
  <si>
    <t>Eric Levine</t>
  </si>
  <si>
    <t>Mr. Eric Levine serves as Partner at Y Combinator. Mr. Eric Levine co-founded and served as Chief Executive Officer, Tech Lead &amp; Board Member at Berbix. He also serves as Engineering Manager and Software Engineer at Airbnb, and Software Engineer at Google. He holds Bachelor of Science in Computer Science from The University of California, San Diego.</t>
  </si>
  <si>
    <t>35544-25P</t>
  </si>
  <si>
    <t>Garry Tan</t>
  </si>
  <si>
    <t>Mr. Garry Tan is the Founder &amp; serves as a Board Partner at Initialized Capital Management. Mr. Tan serves as President &amp; Chief Executive Officer at Y Combinator. He is an Angel Investor. He served as a Board Member at Truepill and Zeus Living. He serves as a Board Member at Safeheron. He was a Co-Founder and serves as a Partner at Initialized Capital. He serves as a Board Member at TigerEye Labs. He also served as a Board Member at Mezmo. He served as a Board Member at Trunk, Helm, Triplebyte, and Simple Healthkit. He serves as a Board Member at Standard Cognition, Career Karma, Bodyport, and Tagstand. He served as a Partner at Y Combinator. He served as an Advisor at Bitaccess &amp; MixRank. He served as a Board Member at Formic He was part of the board of various startups including Privacy Labs. He also served as a Board Member at Salus Labs and True Link Financial. Previously, he was the Co-Founder of Posterous, which was funded by Y Combinator in 2008 and acquired by Twitter in 2012. He served as an Advisor at Summon (Automotive). Before that, he was employee #10 at Palantir, where he was a founding member of the engineering team for Palantir Finance and also designed Palantir's logo. He also served as Strategic Advisor at UniCareer. He received a Bachelor of Science from Stanford University.</t>
  </si>
  <si>
    <t>garry@initialized.com</t>
  </si>
  <si>
    <t>464 Tehama Street</t>
  </si>
  <si>
    <t>Founder &amp; Board Partner</t>
  </si>
  <si>
    <t>Initialized Capital</t>
  </si>
  <si>
    <t>40784-32P</t>
  </si>
  <si>
    <t>Gustaf Alstromer</t>
  </si>
  <si>
    <t>Gustaf</t>
  </si>
  <si>
    <t>Alstromer</t>
  </si>
  <si>
    <t>Mr. Gustaf Alstromer serves as General Partner at Y Combinator. Mr. Alstromer serves as an Advisor at Statiq (Automotive) and Remora. He serves as an Advisor at Anthrogen. He is also an angel investor. Mr. Alstromer served as Advisor at Tictail. Mr. Alstromer was formerly the product leader of Airbnb's growth team. Mr. Alstromer served as Chief Executive Officer and Co-founder at Heysan.</t>
  </si>
  <si>
    <t>+1 (415) 683-1210</t>
  </si>
  <si>
    <t>gustaf@ycombinator.com</t>
  </si>
  <si>
    <t>35956-81P</t>
  </si>
  <si>
    <t>Harj Taggar</t>
  </si>
  <si>
    <t>Harj</t>
  </si>
  <si>
    <t>Taggar</t>
  </si>
  <si>
    <t>Mr. Harj Taggar serves as Managing Partner at Y Combinator. Mr. Tagger was a Co-Founder and served as Chairman at Triplebyte. Previously, he served as Chief Executive Officer at Triplebyte. He also co-founded and served as Chief Executive Officer at Initialized Capital. He also served as a Partner at Start Fund. He was the first partner brought in at Y-Combinator since its founding. He also co-founded Auctomatic, acquired by Livecurrent Media. He is originally from London. He was previously founder and CEO of Triplebyte (YC S15) and
Automatic (YC W07), which was acquired by Live Current Media in 2008. He first joined YC as a partner in 2010, leaving in 2014 to start Triplebyte and rejoining in 2020. He graduated in 2006 from Oxford, where he studied Jurisprudence.</t>
  </si>
  <si>
    <t>36390-34P</t>
  </si>
  <si>
    <t>Jared Friedman</t>
  </si>
  <si>
    <t>Mr. Jared Friedman serves as Managing Director, Software &amp; Group Partner at Y Combinator. He serves as an Advisor at Casca. He is an Angel Investor. Mr. Friedman serves as Advisor at GEn1E Lifesciences. He serves as Advisor at Cytera CellWorks. He serves as a Board Member at Scribd, which was funded by Y Combinator in 2006 and grew to be one of the top 100 sites on the web. He previously worked at a pioneering AI company. he served as Advisor at Appszoom.</t>
  </si>
  <si>
    <t>Managing Director, Software &amp; Group Partner</t>
  </si>
  <si>
    <t>33554-26P</t>
  </si>
  <si>
    <t>Jessica Livingston</t>
  </si>
  <si>
    <t>Livingston</t>
  </si>
  <si>
    <t>Ms. Jessica Livingston is a Co-Founder of Y Combinator. Ms. Livingston is an Angel Investor. She was previously VP of marketing at investment bank Adams Harkness, where she managed an award-winning rebranding of the company. She is the author of Founders at Work (2007), a book of interviews with startup founders. She has a BA in English from Bucknell.</t>
  </si>
  <si>
    <t>103381-03P</t>
  </si>
  <si>
    <t>Jon Levy JD</t>
  </si>
  <si>
    <t>Mr. Jon Levy serves as a Managing Director, Partnerships at Y Combinator. He previously counseled public and private technology companies as an attorney for Wilson Sonsini Goodrich and Rosati. He also ran ThinkEquity's private placement department and worked as a Managing Director at Merriman Curhan &amp; Ford. Jon earned a J.D. from the University of Michigan Law School, and a B.A. in English Literature and Religious Studies from Wesleyan University.</t>
  </si>
  <si>
    <t>Managing Director, Partnerships</t>
  </si>
  <si>
    <t>452287-54P</t>
  </si>
  <si>
    <t>Jon Xu</t>
  </si>
  <si>
    <t>Mr. Jon Xu serves as Executive at Y Combinator.</t>
  </si>
  <si>
    <t>65057-23P</t>
  </si>
  <si>
    <t>Kat Manalac</t>
  </si>
  <si>
    <t>Manalac</t>
  </si>
  <si>
    <t>Ms. Kat Manalac serves as Managing Outreach Officer at Y Combinator. Prior to that, Kat was at WIRED Magazine where she managed brand and strategy. Kat has a BS in Communications from Northwestern University.</t>
  </si>
  <si>
    <t>+1 (212) 286-5253</t>
  </si>
  <si>
    <t>Managing Outreach Officer</t>
  </si>
  <si>
    <t>47653-03P</t>
  </si>
  <si>
    <t>Kirsty Nathoo</t>
  </si>
  <si>
    <t>Nathoo</t>
  </si>
  <si>
    <t>Ms. Kirsty Nathoo serves as Partner, Legacy Team at Y Combinator. Ms.Nathoo was previously an audit manager at PwC based in Cambridge UK, where she audited tech and biotech companies ranging from startups to public companies. She has an MEng in electrical and information sciences from Cambridge, and qualified as a Chartered Accountant with the Institute of Chartered Accountants in England and Wales.</t>
  </si>
  <si>
    <t>kirsty@ycombinator.com</t>
  </si>
  <si>
    <t>Partner, Legacy Team</t>
  </si>
  <si>
    <t>54477-46P</t>
  </si>
  <si>
    <t>Nicolas Dessaigne Ph.D</t>
  </si>
  <si>
    <t>Dessaigne</t>
  </si>
  <si>
    <t>Dr. Nicolas Dessaigne serves as General Partner at Y Combinator. Dr. Dessaigne co-founded and served as Board Member at Algolia. Dr. Dessaigne served as Advisor at Terality. He serves as an Advisor at Twelve Labs. He serves as an Advisor at Cerrion. He served as an Advisor to Plato. He served as a Board Member at Artifakt. He also served as an executive at SaaStr. He is a promoter of team empowerment and a fervent supporter of innovation, he is building Algolia as a first-class technology company. Before co-founding Algolia, he was in charge of all R&amp;D activities at Exalead, a software company that provides a search platform and search-based applications (SBA) for consumer and business users. His mission was to ensure Exalead products set the standard for innovation and excellence in the SBA market. His career also includes a Chief Technology Officer position at Arisem, a Thales company recognized for the quality and performance of its Text Mining products. He has a strong background in product management and team building and is passionate about lean startups. He holds an M.S. from ESIEA and a Ph.D in Computer Science from Nantes University.</t>
  </si>
  <si>
    <t>35956-72P</t>
  </si>
  <si>
    <t>Paul Buchheit</t>
  </si>
  <si>
    <t>Buchheit</t>
  </si>
  <si>
    <t>Mr. Paul Buchheit serves as Group Partner at Y Combinator. He serves as a Partner at Standard Capital. He previously served as an Advisor at Light Table. He served as Advisor at ZeroDown. While at Google he also built the prototype for AdSense and came up with Google's famous slogan "Don't be evil." In 2007 he was one of the founders of Friendfeed, which in 2009 became Facebook's largest acquisition to date. He has a BS and MS in Computer Science from Case Western Reserve University.</t>
  </si>
  <si>
    <t>392587-21P</t>
  </si>
  <si>
    <t>Pete Koomen</t>
  </si>
  <si>
    <t>Koomen</t>
  </si>
  <si>
    <t>Mr. Pete Koomen serves as a Group Partner at Y Combinator. He co-founded Optimizely (W10) which helps companies run experiments on their websites and apps. He helped Optimizely grow from inception to $100M+ in ARR to, ultimately, its acquisition in 2020. He holds a Master's degree in Computer Science from the University of Illinois at Urbana Champaign.</t>
  </si>
  <si>
    <t>pete@ycombinator.com</t>
  </si>
  <si>
    <t>206988-76P</t>
  </si>
  <si>
    <t>Steven Pham</t>
  </si>
  <si>
    <t>Mr. Steven Pham serves as Head of Media at Y Combinator.</t>
  </si>
  <si>
    <t>steven@ycombinator.com</t>
  </si>
  <si>
    <t>50218-30P</t>
  </si>
  <si>
    <t>Surbhi Sarna</t>
  </si>
  <si>
    <t>Surbhi</t>
  </si>
  <si>
    <t>Sarna</t>
  </si>
  <si>
    <t>Ms. Surbhi Sarna was a Co-Founder and served as Chief Executive Officer and Board Member at nVision Medical. She serves as Group Partner at Y Combinator. She serves as an Advisor at Catalyst Health Ventures. She serves as Board Member at Penumbra &amp; YourChoice Therapeutics. she has led the company from its inception and through its earliest days of product development, funding and initial clinical trials. In April 2018, nVision Medical was acquired by Boston Scientific. She now leads the efforts to commercialize the technology developed by nVision Medical at Boston Scientific. Prior to her founding of nVision, she held a variety of roles in healthcare, including roles at BioCardia and Abbott Vascular. She received a BA from the University of California, Berkeley.</t>
  </si>
  <si>
    <t>+1 (510) 748-3200</t>
  </si>
  <si>
    <t>1310 Harbor Bay Parkway</t>
  </si>
  <si>
    <t>+1 (510) 748-3232</t>
  </si>
  <si>
    <t>Penumbra</t>
  </si>
  <si>
    <t>154258-66P</t>
  </si>
  <si>
    <t>Tatyana Veremyova</t>
  </si>
  <si>
    <t>Tatyana</t>
  </si>
  <si>
    <t>Veremyova</t>
  </si>
  <si>
    <t>Ms. Tatyana Veremyova serves as Director of Payroll &amp; Benefits at Y Combinator.</t>
  </si>
  <si>
    <t>Director of Payroll &amp; Benefits</t>
  </si>
  <si>
    <t>40107-52P</t>
  </si>
  <si>
    <t>Thomas Blomfield</t>
  </si>
  <si>
    <t>Blomfield</t>
  </si>
  <si>
    <t>Mr. Thomas Blomfield is an Investor of Happl. Mr. Blomfield co-founded and served as President at Monzo Bank. Mr. Blomfield serves as Board Member at Urbyo. Previously, he co-founded GoCardless. He serves as Board Member at Generation Home. He holds a B.A. in Law from the University of Oxford, a Degree in European Law from the Université Panthéon Assas (Paris II), and has earned a Master's in Law from the University of Oxford. He serves as General Partner at Y Combinator.</t>
  </si>
  <si>
    <t>+44 (0)20 7663 2785</t>
  </si>
  <si>
    <t>20 New Wharf Road</t>
  </si>
  <si>
    <t>N1 9RR</t>
  </si>
  <si>
    <t>Happl</t>
  </si>
  <si>
    <t>452088-10P</t>
  </si>
  <si>
    <t>Tyler Bosmeny</t>
  </si>
  <si>
    <t>Bosmeny</t>
  </si>
  <si>
    <t>Mr. Tyler Bosmeny serves as Limited Partner at Y Combinator.</t>
  </si>
  <si>
    <t>82802-89P</t>
  </si>
  <si>
    <t>Yamaha Motor Ventures</t>
  </si>
  <si>
    <t>Mr. Anish Patel serves as Board Observer at Veniam. Mr. Patel is also the Partner and serves as Chief Operating Officer and Managing Director at Yamaha Motor Ventures. He also serves as a Board member at RIOS Intelligent Machines. He also serves as a Board Member at Siren Marine. He also serves as a Board Member at Canvass AI. He co-founded and served as a General Partner at Blue Victor Capital. He served as Senior Investment Director at SAIC Capital. He serves as a Board Member of Safari and SDCmaterials. He primarily focuses on technologies related to autonomous vehicles, new business models, financial technology, and big data / artificial intelligence. Before SAIC Capital, he was an Investment Manager at General Motors Ventures for four years. At GM Ventures he led 9 investments and was responsible for 10 portfolio companies. He invested in early and growth-stage companies and startups focused on autonomous vehicles, infotainment, SAAS, automotive software, and cleantech. He joined GM in May 2005 upon graduating from Michigan State University with a bachelor's degree in finance and economics and is currently pursuing his master of business administration. He has held various positions in GM's Corporate Risk Management and Corporate Strategy &amp; Business Development and has worked on several key assignments, most notably Enterprise Risk Management and several corporate restructuring initiatives. He serves as a Board Observer at Exyn Technologies. He served as a Board Member and Strategic Advisor at PrecisionHawk.</t>
  </si>
  <si>
    <t>+1 (650) 656-9170</t>
  </si>
  <si>
    <t>422 Portage Avenue</t>
  </si>
  <si>
    <t>Partner, Chief Operating Officer and Managing Director</t>
  </si>
  <si>
    <t>128328-76P</t>
  </si>
  <si>
    <t>Daniel Barth</t>
  </si>
  <si>
    <t>Mr. Daniel Barth serves as Principal at Yamaha Motor Ventures. He served as Manager, Operations at Robertson Stephens. He was the operational liaison supporting the direct investments group. He and his team were continuing the Robertson Stephens legacy of connecting investors to great growth companies. Prior to joining Robertson Stephens, he was an Associate at ROTH Capital Partners in their Venture Group where he supported the group's operations. He began his career as a financial analyst at Aon Hewitt. He holds a BA in Economics from DePauw University. He is registered with Robertson Stephens Securities LLC.</t>
  </si>
  <si>
    <t>dan@ymvsv.com</t>
  </si>
  <si>
    <t>326633-23P</t>
  </si>
  <si>
    <t>Junko Norman</t>
  </si>
  <si>
    <t>Junko</t>
  </si>
  <si>
    <t>Ms. Junko Norman serves as Chief of Staff at Yamaha Motor Ventures. She brings extensive skills and experience in senior-level executive support and project management in a global environment. Prior to YMVSV, she was an Executive Assistant to the Vice President of the Intermountain Business Unit at Bimbo Bakeries USA in Denver, CO. She studied fine art at Waubonsee Community College and graphic art at Cal State East Bay. She is also experienced in the theatrical industry where she earned apprenticeship training as a backstage crew member at San Francisco Opera and other production companies.</t>
  </si>
  <si>
    <t>junko@ymvsv.com</t>
  </si>
  <si>
    <t>302029-66P</t>
  </si>
  <si>
    <t>Kei Onishi</t>
  </si>
  <si>
    <t>Onishi</t>
  </si>
  <si>
    <t>Mr. Kei Onishi is the Chief Executive Officer and serves as Managing Director at Yamaha Motor Ventures. Prior to that, he led digital transformation initiative for global Yamaha Motor Group, focusing on digital marketing and data analytics, from strategy to execution. He also worked on Yamaha's corporate venture capital activities looking at various strategic areas including AI, Robotics, and Connectivity, along with developing IoT business as a spin-off company from Yamaha Motor. Earlier in his career, he worked as a manufacturing engineer in its motorcycle business at overseas plants mainly in Southeast Asia. He has earned MS in engineering from Nagoya University, and MBA from Massachusetts Institute of Technology.</t>
  </si>
  <si>
    <t>konishi@ymvsv.com</t>
  </si>
  <si>
    <t>159851-98P</t>
  </si>
  <si>
    <t>Nolan Paul</t>
  </si>
  <si>
    <t>Mr. Nolan Paul is a Partner at Yamaha Motor Ventures, where he is responsible for leading global Food and AgTech investment opportunities. He serves as Board Observer at Abundant Robotics. Previously he was Head of R&amp;D Strategy and Emerging Technology for Driscoll's, the global market leader in fresh berries. Prior to that, he was an investment banker for Lehman Brothers and Barclays Capital in the Global Technology Group, where he worked on M&amp;A, equity and debt transactions. He served as Board member at Advanced Farm Technologies &amp; at The Yield. He served as Board Observer at Robotics Plus, Invert Robotics, Strella Biotechnology &amp; Abundant Robotics He graduated summa cum laude from UCLA with a degree in Business Economics.</t>
  </si>
  <si>
    <t>+1 (650) 739-9658</t>
  </si>
  <si>
    <t>nolan@ymvsv.com</t>
  </si>
  <si>
    <t>Partner, AgTech Lead</t>
  </si>
  <si>
    <t>79605-10P</t>
  </si>
  <si>
    <t>Ryan McCrackan</t>
  </si>
  <si>
    <t>McCrackan</t>
  </si>
  <si>
    <t>Mr. Ryan McCrackan serves as Principal at Yamaha Motor Ventures. He had served as a Senior Associate at Prairie Capital Advisors. He completes financial analysis and modeling services, as well as analyzes the business dynamics and trends of publicly traded companies. In addition, he performs merger and acquisition (M&amp;A) research and prepares narrative reports in support of a wide variety of valuation projects, including Employee Stock Ownership Plans (ESOP), leveraged buyouts (LBO), management buyouts (MBO) and other capital structuring projects for clients nationwide. He holds an undergraduate degree specializing in Finance from Miami University and a Master of Science in Finance from DePaul University. He also is a CFA charterholder.</t>
  </si>
  <si>
    <t>+1 (630) 413-5591</t>
  </si>
  <si>
    <t>ryan@ymvsv.com</t>
  </si>
  <si>
    <t>41007-43P</t>
  </si>
  <si>
    <t>Christina Wilke</t>
  </si>
  <si>
    <t>Wilke</t>
  </si>
  <si>
    <t>Zelkova Ventures</t>
  </si>
  <si>
    <t>Ms. Christina Wilke serves as Executive Assistant at Zelkova Ventures. Ms. Wilke holds Degree in Advertising from University of Georgia, Athens in 2007.</t>
  </si>
  <si>
    <t>+1 (212) 750-3156</t>
  </si>
  <si>
    <t>cjuzdan@zelkovavc.com</t>
  </si>
  <si>
    <t>+1 (212) 750-3159</t>
  </si>
  <si>
    <t>39379-96P</t>
  </si>
  <si>
    <t>Jason Levy</t>
  </si>
  <si>
    <t>Mr. Jason Levy is a Co-Founder &amp; serves as Managing Partner at Zelkova Ventures. He co-owned and served as Board Member at Broadlume. He serves as Board Member at Respondology. He serves as a Board Observer at Encoding.com. He is a Co-Founder and serves as Partner at Zelkova Ventures. He launched his entrepreneurial career while in High School with his first web services firm, providing web development services to early-stage companies. After high school, Jay moved to New Jersey to attend Rutgers University, where he studied Finance &amp; Political Science. While at Rutgers he helped to launch UConnections.com an internet portal for college students merging the office campus community with the dorm. While still in college he went to work for Morgan Stanley working on the development of their separately managing account business. After leaving Morgan Stanley, he helped to launch MPI Professionals a New York-based financial service consultancy which was later acquired by a publicly traded multi-national. More recently he was a founding partner of Trueview Services, an online monitoring solution targeted to the small business and residential market. He has been a recipient of Crain's Top 5 Entrepreneurs to Watch in New York and received the 40 under 40 Award from Westchester County. He also serves as Board Member at AdHawk. He served as Board Member at Teckst.</t>
  </si>
  <si>
    <t>jlevy@zelkovavc.com</t>
  </si>
  <si>
    <t>39380-05P</t>
  </si>
  <si>
    <t>Larry Scheinfeld</t>
  </si>
  <si>
    <t>Scheinfeld</t>
  </si>
  <si>
    <t>Mr. Larry Scheinfeld is a Co-Founder and serves as Partner at Zelkova Ventures. Mr. Scheinfeld focuses most of his time in working with the current portfolio companies in determining strategic funding strategies and customer acquisition plans. Prior to Zelkova Larry was a principal and financial advisor for the Quellos Group, a company specializing in hedge, private equity and real asset fund of funds, as well as specialty and hybrid offerings. Larry Scheinfeld founded the New York office of Quellos and was a member of its Board of Directors until the company was sold to Blackrock in October of 2007. Larry currently sits on the Board of Directors for the Starlight Foundation, which provides quality of life programs for seriously and terminally ill children. Larry is on the board of the Forman School and has donated to such nonprofit organizations as the Bachmann-Strauss Dystonia and Parkinsons Foundation, the Eagle Hill School and Cornell University. He holds Degree from University at Albany.</t>
  </si>
  <si>
    <t>lscheinfeld@zelkovavc.com</t>
  </si>
  <si>
    <t>Co-Founder and Partner</t>
  </si>
  <si>
    <t>293157-28P</t>
  </si>
  <si>
    <t>Eloïse Charreyron</t>
  </si>
  <si>
    <t>Eloïse</t>
  </si>
  <si>
    <t>Charreyron</t>
  </si>
  <si>
    <t>Zipdragon Ventures</t>
  </si>
  <si>
    <t>Ms. Eloïse Charreyron serves as Advisor at Zipdragon Ventures. She focuses on corporate venture capital programs and cleantech start-up advisory. She has a background in mgmt. consulting (Oliver Wyman), specialized in transportation &amp; operational improvement. She has completed Bachelor's in Commerce from McGill University.</t>
  </si>
  <si>
    <t>2925 Hillegass Avenue</t>
  </si>
  <si>
    <t>28475-92P</t>
  </si>
  <si>
    <t>Sheeraz Haji</t>
  </si>
  <si>
    <t>Sheeraz</t>
  </si>
  <si>
    <t>Haji</t>
  </si>
  <si>
    <t>Mr. Sheeraz Haji is the Founder &amp; serves as Managing Partner at Zipdragon Ventures. He is an Angel Investor. He serves as Senior Advisor at ENGIE New Ventures. He serves as a Board Member at SiteCapture. He served as a Board Member at Redaptive. He served as the Chief Executive Officer, Board Member &amp; Advisor at Cleantech Group. He also served as a Venture Partner at Rembrandt Venture Partners. He also serves as Senior Advisor at ENGIE New Ventures.</t>
  </si>
  <si>
    <t>sheeraz@zipdragon.com</t>
  </si>
  <si>
    <t>© PitchBook Data, Inc.  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</si>
</sst>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7">
    <font>
      <sz val="10.0"/>
      <color rgb="FF000000"/>
      <name val="Arial"/>
      <scheme val="minor"/>
    </font>
    <font>
      <b/>
      <sz val="8.0"/>
      <color rgb="FFFFFFFF"/>
      <name val="Open Sans"/>
    </font>
    <font>
      <sz val="8.0"/>
      <color rgb="FF000000"/>
      <name val="Open Sans"/>
    </font>
    <font>
      <u/>
      <sz val="8.0"/>
      <color rgb="FF26649E"/>
      <name val="Open Sans"/>
    </font>
    <font>
      <u/>
      <sz val="8.0"/>
      <color rgb="FF26649E"/>
      <name val="Open Sans"/>
    </font>
    <font>
      <u/>
      <sz val="8.0"/>
      <color rgb="FF26649E"/>
      <name val="Open Sans"/>
    </font>
    <font>
      <u/>
      <sz val="8.0"/>
      <color rgb="FF26649E"/>
      <name val="Open Sans"/>
    </font>
  </fonts>
  <fills count="4">
    <fill>
      <patternFill patternType="none"/>
    </fill>
    <fill>
      <patternFill patternType="lightGray"/>
    </fill>
    <fill>
      <patternFill patternType="solid">
        <fgColor rgb="FF051C38"/>
        <bgColor rgb="FF051C38"/>
      </patternFill>
    </fill>
    <fill>
      <patternFill patternType="solid">
        <fgColor rgb="FFF8F5EF"/>
        <bgColor rgb="FFF8F5EF"/>
      </patternFill>
    </fill>
  </fills>
  <borders count="4">
    <border/>
    <border>
      <left/>
      <right/>
      <top/>
      <bottom/>
    </border>
    <border>
      <left/>
      <right style="thin">
        <color rgb="FFD3D3D3"/>
      </right>
      <top/>
      <bottom/>
    </border>
    <border>
      <right style="thin">
        <color rgb="FFD3D3D3"/>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horizontal="left" vertical="center"/>
    </xf>
    <xf borderId="2" fillId="0" fontId="2" numFmtId="164" xfId="0" applyAlignment="1" applyBorder="1" applyFont="1" applyNumberFormat="1">
      <alignment horizontal="right" vertical="center"/>
    </xf>
    <xf borderId="2" fillId="0" fontId="2" numFmtId="0" xfId="0" applyAlignment="1" applyBorder="1" applyFont="1">
      <alignment horizontal="right" vertical="center"/>
    </xf>
    <xf borderId="2" fillId="0" fontId="3" numFmtId="0" xfId="0" applyAlignment="1" applyBorder="1" applyFont="1">
      <alignment horizontal="left" vertical="center"/>
    </xf>
    <xf borderId="3" fillId="3" fontId="2" numFmtId="0" xfId="0" applyAlignment="1" applyBorder="1" applyFill="1" applyFont="1">
      <alignment horizontal="left" vertical="center"/>
    </xf>
    <xf borderId="3" fillId="3" fontId="2" numFmtId="164" xfId="0" applyAlignment="1" applyBorder="1" applyFont="1" applyNumberFormat="1">
      <alignment horizontal="right" vertical="center"/>
    </xf>
    <xf borderId="3" fillId="3" fontId="2" numFmtId="0" xfId="0" applyAlignment="1" applyBorder="1" applyFont="1">
      <alignment horizontal="right" vertical="center"/>
    </xf>
    <xf borderId="3" fillId="3" fontId="4" numFmtId="0" xfId="0" applyAlignment="1" applyBorder="1" applyFont="1">
      <alignment horizontal="left" vertical="center"/>
    </xf>
    <xf borderId="2" fillId="3" fontId="2" numFmtId="0" xfId="0" applyAlignment="1" applyBorder="1" applyFont="1">
      <alignment horizontal="left" vertical="center"/>
    </xf>
    <xf borderId="2" fillId="3" fontId="2" numFmtId="164" xfId="0" applyAlignment="1" applyBorder="1" applyFont="1" applyNumberFormat="1">
      <alignment horizontal="right" vertical="center"/>
    </xf>
    <xf borderId="2" fillId="3" fontId="2" numFmtId="0" xfId="0" applyAlignment="1" applyBorder="1" applyFont="1">
      <alignment horizontal="right" vertical="center"/>
    </xf>
    <xf borderId="2" fillId="3" fontId="5" numFmtId="0" xfId="0" applyAlignment="1" applyBorder="1" applyFont="1">
      <alignment horizontal="left" vertical="center"/>
    </xf>
    <xf borderId="3" fillId="0" fontId="2" numFmtId="0" xfId="0" applyAlignment="1" applyBorder="1" applyFont="1">
      <alignment horizontal="left" vertical="center"/>
    </xf>
    <xf borderId="3" fillId="0" fontId="2" numFmtId="164" xfId="0" applyAlignment="1" applyBorder="1" applyFont="1" applyNumberFormat="1">
      <alignment horizontal="right" vertical="center"/>
    </xf>
    <xf borderId="3" fillId="0" fontId="2" numFmtId="0" xfId="0" applyAlignment="1" applyBorder="1" applyFont="1">
      <alignment horizontal="right" vertical="center"/>
    </xf>
    <xf borderId="3" fillId="0" fontId="6" numFmtId="0" xfId="0" applyAlignment="1" applyBorder="1" applyFont="1">
      <alignment horizontal="left"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9.0"/>
    <col customWidth="1" min="2" max="2" width="38.63"/>
    <col customWidth="1" min="3" max="4" width="17.13"/>
    <col customWidth="1" min="5" max="5" width="25.88"/>
    <col customWidth="1" min="6" max="7" width="32.25"/>
    <col customWidth="1" min="8" max="11" width="20.88"/>
    <col customWidth="1" min="12" max="12" width="13.88"/>
    <col customWidth="1" min="13" max="13" width="24.13"/>
    <col customWidth="1" min="14" max="14" width="15.75"/>
    <col customWidth="1" min="15" max="15" width="31.0"/>
    <col customWidth="1" min="16" max="17" width="23.38"/>
    <col customWidth="1" min="18" max="18" width="21.5"/>
    <col customWidth="1" min="19" max="19" width="14.88"/>
    <col customWidth="1" min="20" max="20" width="24.0"/>
    <col customWidth="1" min="21" max="21" width="13.88"/>
    <col customWidth="1" min="22" max="22" width="32.25"/>
    <col customWidth="1" min="23" max="23" width="25.88"/>
    <col customWidth="1" min="24" max="24" width="16.38"/>
  </cols>
  <sheetData>
    <row r="1" ht="34.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t="s">
        <v>24</v>
      </c>
      <c r="B2" s="2" t="s">
        <v>25</v>
      </c>
      <c r="C2" s="2" t="s">
        <v>26</v>
      </c>
      <c r="D2" s="2" t="s">
        <v>27</v>
      </c>
      <c r="E2" s="2" t="s">
        <v>28</v>
      </c>
      <c r="F2" s="2" t="s">
        <v>29</v>
      </c>
      <c r="G2" s="2" t="s">
        <v>30</v>
      </c>
      <c r="H2" s="3" t="s">
        <v>31</v>
      </c>
      <c r="I2" s="3">
        <v>2.0</v>
      </c>
      <c r="J2" s="3">
        <v>1.0</v>
      </c>
      <c r="K2" s="3" t="s">
        <v>31</v>
      </c>
      <c r="L2" s="4" t="s">
        <v>32</v>
      </c>
      <c r="M2" s="2" t="s">
        <v>33</v>
      </c>
      <c r="N2" s="2" t="s">
        <v>34</v>
      </c>
      <c r="O2" s="4" t="s">
        <v>35</v>
      </c>
      <c r="P2" s="2" t="s">
        <v>36</v>
      </c>
      <c r="Q2" s="2" t="s">
        <v>31</v>
      </c>
      <c r="R2" s="2" t="s">
        <v>31</v>
      </c>
      <c r="S2" s="4" t="s">
        <v>37</v>
      </c>
      <c r="T2" s="2" t="s">
        <v>38</v>
      </c>
      <c r="U2" s="4" t="s">
        <v>31</v>
      </c>
      <c r="V2" s="2" t="s">
        <v>29</v>
      </c>
      <c r="W2" s="2" t="s">
        <v>28</v>
      </c>
      <c r="X2" s="5" t="str">
        <f>HYPERLINK("https://my.pitchbook.com?p=94944-34P","View People Online")</f>
        <v>View People Online</v>
      </c>
    </row>
    <row r="3">
      <c r="A3" s="6" t="s">
        <v>39</v>
      </c>
      <c r="B3" s="6" t="s">
        <v>40</v>
      </c>
      <c r="C3" s="6" t="s">
        <v>41</v>
      </c>
      <c r="D3" s="6" t="s">
        <v>42</v>
      </c>
      <c r="E3" s="6" t="s">
        <v>28</v>
      </c>
      <c r="F3" s="6" t="s">
        <v>43</v>
      </c>
      <c r="G3" s="6" t="s">
        <v>44</v>
      </c>
      <c r="H3" s="7" t="s">
        <v>31</v>
      </c>
      <c r="I3" s="7">
        <v>1.0</v>
      </c>
      <c r="J3" s="7">
        <v>1.0</v>
      </c>
      <c r="K3" s="7" t="s">
        <v>31</v>
      </c>
      <c r="L3" s="8" t="s">
        <v>31</v>
      </c>
      <c r="M3" s="6" t="s">
        <v>45</v>
      </c>
      <c r="N3" s="6" t="s">
        <v>34</v>
      </c>
      <c r="O3" s="8" t="s">
        <v>35</v>
      </c>
      <c r="P3" s="6" t="s">
        <v>36</v>
      </c>
      <c r="Q3" s="6" t="s">
        <v>31</v>
      </c>
      <c r="R3" s="6" t="s">
        <v>31</v>
      </c>
      <c r="S3" s="8" t="s">
        <v>37</v>
      </c>
      <c r="T3" s="6" t="s">
        <v>38</v>
      </c>
      <c r="U3" s="8" t="s">
        <v>31</v>
      </c>
      <c r="V3" s="6" t="s">
        <v>43</v>
      </c>
      <c r="W3" s="6" t="s">
        <v>28</v>
      </c>
      <c r="X3" s="9" t="str">
        <f>HYPERLINK("https://my.pitchbook.com?p=296056-81P","View People Online")</f>
        <v>View People Online</v>
      </c>
    </row>
    <row r="4">
      <c r="A4" s="10" t="s">
        <v>46</v>
      </c>
      <c r="B4" s="10" t="s">
        <v>47</v>
      </c>
      <c r="C4" s="10" t="s">
        <v>48</v>
      </c>
      <c r="D4" s="10" t="s">
        <v>49</v>
      </c>
      <c r="E4" s="10" t="s">
        <v>28</v>
      </c>
      <c r="F4" s="10" t="s">
        <v>43</v>
      </c>
      <c r="G4" s="10" t="s">
        <v>50</v>
      </c>
      <c r="H4" s="11" t="s">
        <v>31</v>
      </c>
      <c r="I4" s="11">
        <v>4.0</v>
      </c>
      <c r="J4" s="11">
        <v>1.0</v>
      </c>
      <c r="K4" s="11">
        <v>2.0</v>
      </c>
      <c r="L4" s="12" t="s">
        <v>31</v>
      </c>
      <c r="M4" s="10" t="s">
        <v>51</v>
      </c>
      <c r="N4" s="10" t="s">
        <v>34</v>
      </c>
      <c r="O4" s="12" t="s">
        <v>35</v>
      </c>
      <c r="P4" s="10" t="s">
        <v>36</v>
      </c>
      <c r="Q4" s="10" t="s">
        <v>31</v>
      </c>
      <c r="R4" s="10" t="s">
        <v>31</v>
      </c>
      <c r="S4" s="12" t="s">
        <v>37</v>
      </c>
      <c r="T4" s="10" t="s">
        <v>38</v>
      </c>
      <c r="U4" s="12" t="s">
        <v>31</v>
      </c>
      <c r="V4" s="10" t="s">
        <v>43</v>
      </c>
      <c r="W4" s="10" t="s">
        <v>28</v>
      </c>
      <c r="X4" s="13" t="str">
        <f>HYPERLINK("https://my.pitchbook.com?p=296058-07P","View People Online")</f>
        <v>View People Online</v>
      </c>
    </row>
    <row r="5">
      <c r="A5" s="14" t="s">
        <v>52</v>
      </c>
      <c r="B5" s="14" t="s">
        <v>53</v>
      </c>
      <c r="C5" s="14" t="s">
        <v>54</v>
      </c>
      <c r="D5" s="14" t="s">
        <v>55</v>
      </c>
      <c r="E5" s="14" t="s">
        <v>56</v>
      </c>
      <c r="F5" s="14" t="s">
        <v>57</v>
      </c>
      <c r="G5" s="14" t="s">
        <v>58</v>
      </c>
      <c r="H5" s="15" t="s">
        <v>31</v>
      </c>
      <c r="I5" s="15">
        <v>12.0</v>
      </c>
      <c r="J5" s="15">
        <v>2.0</v>
      </c>
      <c r="K5" s="15">
        <v>6.0</v>
      </c>
      <c r="L5" s="16" t="s">
        <v>59</v>
      </c>
      <c r="M5" s="14" t="s">
        <v>60</v>
      </c>
      <c r="N5" s="14" t="s">
        <v>61</v>
      </c>
      <c r="O5" s="16" t="s">
        <v>62</v>
      </c>
      <c r="P5" s="14" t="s">
        <v>63</v>
      </c>
      <c r="Q5" s="14" t="s">
        <v>31</v>
      </c>
      <c r="R5" s="14" t="s">
        <v>64</v>
      </c>
      <c r="S5" s="16" t="s">
        <v>65</v>
      </c>
      <c r="T5" s="14" t="s">
        <v>66</v>
      </c>
      <c r="U5" s="16" t="s">
        <v>31</v>
      </c>
      <c r="V5" s="14" t="s">
        <v>57</v>
      </c>
      <c r="W5" s="14" t="s">
        <v>56</v>
      </c>
      <c r="X5" s="17" t="str">
        <f>HYPERLINK("https://my.pitchbook.com?p=81963-01P","View People Online")</f>
        <v>View People Online</v>
      </c>
    </row>
    <row r="6">
      <c r="A6" s="2" t="s">
        <v>67</v>
      </c>
      <c r="B6" s="2" t="s">
        <v>68</v>
      </c>
      <c r="C6" s="2" t="s">
        <v>69</v>
      </c>
      <c r="D6" s="2" t="s">
        <v>70</v>
      </c>
      <c r="E6" s="2" t="s">
        <v>56</v>
      </c>
      <c r="F6" s="2" t="s">
        <v>71</v>
      </c>
      <c r="G6" s="2" t="s">
        <v>72</v>
      </c>
      <c r="H6" s="3" t="s">
        <v>31</v>
      </c>
      <c r="I6" s="3">
        <v>3.0</v>
      </c>
      <c r="J6" s="3">
        <v>2.0</v>
      </c>
      <c r="K6" s="3" t="s">
        <v>31</v>
      </c>
      <c r="L6" s="4" t="s">
        <v>73</v>
      </c>
      <c r="M6" s="2" t="s">
        <v>74</v>
      </c>
      <c r="N6" s="2" t="s">
        <v>75</v>
      </c>
      <c r="O6" s="4" t="s">
        <v>76</v>
      </c>
      <c r="P6" s="2" t="s">
        <v>31</v>
      </c>
      <c r="Q6" s="2" t="s">
        <v>31</v>
      </c>
      <c r="R6" s="2" t="s">
        <v>75</v>
      </c>
      <c r="S6" s="4" t="s">
        <v>77</v>
      </c>
      <c r="T6" s="2" t="s">
        <v>66</v>
      </c>
      <c r="U6" s="4" t="s">
        <v>31</v>
      </c>
      <c r="V6" s="2" t="s">
        <v>78</v>
      </c>
      <c r="W6" s="2" t="s">
        <v>79</v>
      </c>
      <c r="X6" s="5" t="str">
        <f>HYPERLINK("https://my.pitchbook.com?p=314664-49P","View People Online")</f>
        <v>View People Online</v>
      </c>
    </row>
    <row r="7">
      <c r="A7" s="6" t="s">
        <v>52</v>
      </c>
      <c r="B7" s="6" t="s">
        <v>53</v>
      </c>
      <c r="C7" s="6" t="s">
        <v>54</v>
      </c>
      <c r="D7" s="6" t="s">
        <v>55</v>
      </c>
      <c r="E7" s="6" t="s">
        <v>80</v>
      </c>
      <c r="F7" s="6" t="s">
        <v>81</v>
      </c>
      <c r="G7" s="6" t="s">
        <v>58</v>
      </c>
      <c r="H7" s="7" t="s">
        <v>31</v>
      </c>
      <c r="I7" s="7">
        <v>12.0</v>
      </c>
      <c r="J7" s="7">
        <v>2.0</v>
      </c>
      <c r="K7" s="7">
        <v>6.0</v>
      </c>
      <c r="L7" s="8" t="s">
        <v>59</v>
      </c>
      <c r="M7" s="6" t="s">
        <v>60</v>
      </c>
      <c r="N7" s="6" t="s">
        <v>61</v>
      </c>
      <c r="O7" s="8" t="s">
        <v>62</v>
      </c>
      <c r="P7" s="6" t="s">
        <v>63</v>
      </c>
      <c r="Q7" s="6" t="s">
        <v>31</v>
      </c>
      <c r="R7" s="6" t="s">
        <v>64</v>
      </c>
      <c r="S7" s="8" t="s">
        <v>65</v>
      </c>
      <c r="T7" s="6" t="s">
        <v>66</v>
      </c>
      <c r="U7" s="8" t="s">
        <v>31</v>
      </c>
      <c r="V7" s="6" t="s">
        <v>57</v>
      </c>
      <c r="W7" s="6" t="s">
        <v>56</v>
      </c>
      <c r="X7" s="9" t="str">
        <f>HYPERLINK("https://my.pitchbook.com?p=81963-01P","View People Online")</f>
        <v>View People Online</v>
      </c>
    </row>
    <row r="8">
      <c r="A8" s="10" t="s">
        <v>82</v>
      </c>
      <c r="B8" s="10" t="s">
        <v>83</v>
      </c>
      <c r="C8" s="10" t="s">
        <v>84</v>
      </c>
      <c r="D8" s="10" t="s">
        <v>85</v>
      </c>
      <c r="E8" s="10" t="s">
        <v>80</v>
      </c>
      <c r="F8" s="10" t="s">
        <v>86</v>
      </c>
      <c r="G8" s="10" t="s">
        <v>87</v>
      </c>
      <c r="H8" s="11">
        <v>1.0</v>
      </c>
      <c r="I8" s="11">
        <v>19.0</v>
      </c>
      <c r="J8" s="11">
        <v>1.0</v>
      </c>
      <c r="K8" s="11">
        <v>11.0</v>
      </c>
      <c r="L8" s="12" t="s">
        <v>88</v>
      </c>
      <c r="M8" s="10" t="s">
        <v>89</v>
      </c>
      <c r="N8" s="10" t="s">
        <v>90</v>
      </c>
      <c r="O8" s="12" t="s">
        <v>91</v>
      </c>
      <c r="P8" s="10" t="s">
        <v>92</v>
      </c>
      <c r="Q8" s="10" t="s">
        <v>31</v>
      </c>
      <c r="R8" s="10" t="s">
        <v>93</v>
      </c>
      <c r="S8" s="12" t="s">
        <v>94</v>
      </c>
      <c r="T8" s="10" t="s">
        <v>66</v>
      </c>
      <c r="U8" s="12" t="s">
        <v>31</v>
      </c>
      <c r="V8" s="10" t="s">
        <v>95</v>
      </c>
      <c r="W8" s="10" t="s">
        <v>80</v>
      </c>
      <c r="X8" s="13" t="str">
        <f>HYPERLINK("https://my.pitchbook.com?p=131622-49P","View People Online")</f>
        <v>View People Online</v>
      </c>
    </row>
    <row r="9">
      <c r="A9" s="6" t="s">
        <v>96</v>
      </c>
      <c r="B9" s="6" t="s">
        <v>97</v>
      </c>
      <c r="C9" s="6" t="s">
        <v>98</v>
      </c>
      <c r="D9" s="6" t="s">
        <v>99</v>
      </c>
      <c r="E9" s="6" t="s">
        <v>80</v>
      </c>
      <c r="F9" s="6" t="s">
        <v>81</v>
      </c>
      <c r="G9" s="6" t="s">
        <v>100</v>
      </c>
      <c r="H9" s="7" t="s">
        <v>31</v>
      </c>
      <c r="I9" s="7">
        <v>12.0</v>
      </c>
      <c r="J9" s="7">
        <v>1.0</v>
      </c>
      <c r="K9" s="7">
        <v>9.0</v>
      </c>
      <c r="L9" s="8" t="s">
        <v>101</v>
      </c>
      <c r="M9" s="6" t="s">
        <v>102</v>
      </c>
      <c r="N9" s="6" t="s">
        <v>103</v>
      </c>
      <c r="O9" s="8" t="s">
        <v>104</v>
      </c>
      <c r="P9" s="6" t="s">
        <v>105</v>
      </c>
      <c r="Q9" s="6" t="s">
        <v>31</v>
      </c>
      <c r="R9" s="6" t="s">
        <v>106</v>
      </c>
      <c r="S9" s="8" t="s">
        <v>107</v>
      </c>
      <c r="T9" s="6" t="s">
        <v>106</v>
      </c>
      <c r="U9" s="8" t="s">
        <v>31</v>
      </c>
      <c r="V9" s="6" t="s">
        <v>108</v>
      </c>
      <c r="W9" s="6" t="s">
        <v>109</v>
      </c>
      <c r="X9" s="9" t="str">
        <f>HYPERLINK("https://my.pitchbook.com?p=173827-00P","View People Online")</f>
        <v>View People Online</v>
      </c>
    </row>
    <row r="10">
      <c r="A10" s="2" t="s">
        <v>110</v>
      </c>
      <c r="B10" s="2" t="s">
        <v>111</v>
      </c>
      <c r="C10" s="2" t="s">
        <v>112</v>
      </c>
      <c r="D10" s="2" t="s">
        <v>113</v>
      </c>
      <c r="E10" s="2" t="s">
        <v>80</v>
      </c>
      <c r="F10" s="2" t="s">
        <v>114</v>
      </c>
      <c r="G10" s="2" t="s">
        <v>115</v>
      </c>
      <c r="H10" s="3" t="s">
        <v>31</v>
      </c>
      <c r="I10" s="3">
        <v>1.0</v>
      </c>
      <c r="J10" s="3">
        <v>1.0</v>
      </c>
      <c r="K10" s="3" t="s">
        <v>31</v>
      </c>
      <c r="L10" s="4" t="s">
        <v>88</v>
      </c>
      <c r="M10" s="2" t="s">
        <v>31</v>
      </c>
      <c r="N10" s="2" t="s">
        <v>90</v>
      </c>
      <c r="O10" s="4" t="s">
        <v>91</v>
      </c>
      <c r="P10" s="2" t="s">
        <v>92</v>
      </c>
      <c r="Q10" s="2" t="s">
        <v>31</v>
      </c>
      <c r="R10" s="2" t="s">
        <v>93</v>
      </c>
      <c r="S10" s="4" t="s">
        <v>94</v>
      </c>
      <c r="T10" s="2" t="s">
        <v>66</v>
      </c>
      <c r="U10" s="4" t="s">
        <v>31</v>
      </c>
      <c r="V10" s="2" t="s">
        <v>114</v>
      </c>
      <c r="W10" s="2" t="s">
        <v>80</v>
      </c>
      <c r="X10" s="5" t="str">
        <f>HYPERLINK("https://my.pitchbook.com?p=133157-80P","View People Online")</f>
        <v>View People Online</v>
      </c>
    </row>
    <row r="11">
      <c r="A11" s="6" t="s">
        <v>116</v>
      </c>
      <c r="B11" s="6" t="s">
        <v>117</v>
      </c>
      <c r="C11" s="6" t="s">
        <v>118</v>
      </c>
      <c r="D11" s="6" t="s">
        <v>119</v>
      </c>
      <c r="E11" s="6" t="s">
        <v>80</v>
      </c>
      <c r="F11" s="6" t="s">
        <v>120</v>
      </c>
      <c r="G11" s="6" t="s">
        <v>121</v>
      </c>
      <c r="H11" s="7" t="s">
        <v>31</v>
      </c>
      <c r="I11" s="7">
        <v>1.0</v>
      </c>
      <c r="J11" s="7">
        <v>1.0</v>
      </c>
      <c r="K11" s="7" t="s">
        <v>31</v>
      </c>
      <c r="L11" s="8" t="s">
        <v>88</v>
      </c>
      <c r="M11" s="6" t="s">
        <v>122</v>
      </c>
      <c r="N11" s="6" t="s">
        <v>90</v>
      </c>
      <c r="O11" s="8" t="s">
        <v>91</v>
      </c>
      <c r="P11" s="6" t="s">
        <v>92</v>
      </c>
      <c r="Q11" s="6" t="s">
        <v>31</v>
      </c>
      <c r="R11" s="6" t="s">
        <v>93</v>
      </c>
      <c r="S11" s="8" t="s">
        <v>94</v>
      </c>
      <c r="T11" s="6" t="s">
        <v>66</v>
      </c>
      <c r="U11" s="8" t="s">
        <v>31</v>
      </c>
      <c r="V11" s="6" t="s">
        <v>123</v>
      </c>
      <c r="W11" s="6" t="s">
        <v>80</v>
      </c>
      <c r="X11" s="9" t="str">
        <f>HYPERLINK("https://my.pitchbook.com?p=352900-45P","View People Online")</f>
        <v>View People Online</v>
      </c>
    </row>
    <row r="12">
      <c r="A12" s="2" t="s">
        <v>124</v>
      </c>
      <c r="B12" s="2" t="s">
        <v>125</v>
      </c>
      <c r="C12" s="2" t="s">
        <v>126</v>
      </c>
      <c r="D12" s="2" t="s">
        <v>127</v>
      </c>
      <c r="E12" s="2" t="s">
        <v>80</v>
      </c>
      <c r="F12" s="2" t="s">
        <v>86</v>
      </c>
      <c r="G12" s="2" t="s">
        <v>128</v>
      </c>
      <c r="H12" s="3" t="s">
        <v>31</v>
      </c>
      <c r="I12" s="3">
        <v>6.0</v>
      </c>
      <c r="J12" s="3">
        <v>1.0</v>
      </c>
      <c r="K12" s="3">
        <v>2.0</v>
      </c>
      <c r="L12" s="4" t="s">
        <v>88</v>
      </c>
      <c r="M12" s="2" t="s">
        <v>129</v>
      </c>
      <c r="N12" s="2" t="s">
        <v>90</v>
      </c>
      <c r="O12" s="4" t="s">
        <v>91</v>
      </c>
      <c r="P12" s="2" t="s">
        <v>92</v>
      </c>
      <c r="Q12" s="2" t="s">
        <v>31</v>
      </c>
      <c r="R12" s="2" t="s">
        <v>93</v>
      </c>
      <c r="S12" s="4" t="s">
        <v>94</v>
      </c>
      <c r="T12" s="2" t="s">
        <v>66</v>
      </c>
      <c r="U12" s="4" t="s">
        <v>31</v>
      </c>
      <c r="V12" s="2" t="s">
        <v>95</v>
      </c>
      <c r="W12" s="2" t="s">
        <v>80</v>
      </c>
      <c r="X12" s="5" t="str">
        <f>HYPERLINK("https://my.pitchbook.com?p=131622-67P","View People Online")</f>
        <v>View People Online</v>
      </c>
    </row>
    <row r="13">
      <c r="A13" s="6" t="s">
        <v>130</v>
      </c>
      <c r="B13" s="6" t="s">
        <v>131</v>
      </c>
      <c r="C13" s="6" t="s">
        <v>132</v>
      </c>
      <c r="D13" s="6" t="s">
        <v>133</v>
      </c>
      <c r="E13" s="6" t="s">
        <v>80</v>
      </c>
      <c r="F13" s="6" t="s">
        <v>29</v>
      </c>
      <c r="G13" s="6" t="s">
        <v>134</v>
      </c>
      <c r="H13" s="7" t="s">
        <v>31</v>
      </c>
      <c r="I13" s="7">
        <v>1.0</v>
      </c>
      <c r="J13" s="7">
        <v>1.0</v>
      </c>
      <c r="K13" s="7" t="s">
        <v>31</v>
      </c>
      <c r="L13" s="8" t="s">
        <v>88</v>
      </c>
      <c r="M13" s="6" t="s">
        <v>135</v>
      </c>
      <c r="N13" s="6" t="s">
        <v>90</v>
      </c>
      <c r="O13" s="8" t="s">
        <v>91</v>
      </c>
      <c r="P13" s="6" t="s">
        <v>92</v>
      </c>
      <c r="Q13" s="6" t="s">
        <v>31</v>
      </c>
      <c r="R13" s="6" t="s">
        <v>93</v>
      </c>
      <c r="S13" s="8" t="s">
        <v>94</v>
      </c>
      <c r="T13" s="6" t="s">
        <v>66</v>
      </c>
      <c r="U13" s="8" t="s">
        <v>31</v>
      </c>
      <c r="V13" s="6" t="s">
        <v>29</v>
      </c>
      <c r="W13" s="6" t="s">
        <v>80</v>
      </c>
      <c r="X13" s="9" t="str">
        <f>HYPERLINK("https://my.pitchbook.com?p=226620-55P","View People Online")</f>
        <v>View People Online</v>
      </c>
    </row>
    <row r="14">
      <c r="A14" s="2" t="s">
        <v>136</v>
      </c>
      <c r="B14" s="2" t="s">
        <v>137</v>
      </c>
      <c r="C14" s="2" t="s">
        <v>138</v>
      </c>
      <c r="D14" s="2" t="s">
        <v>139</v>
      </c>
      <c r="E14" s="2" t="s">
        <v>80</v>
      </c>
      <c r="F14" s="2" t="s">
        <v>81</v>
      </c>
      <c r="G14" s="2" t="s">
        <v>140</v>
      </c>
      <c r="H14" s="3" t="s">
        <v>31</v>
      </c>
      <c r="I14" s="3">
        <v>2.0</v>
      </c>
      <c r="J14" s="3" t="s">
        <v>31</v>
      </c>
      <c r="K14" s="3" t="s">
        <v>31</v>
      </c>
      <c r="L14" s="4" t="s">
        <v>88</v>
      </c>
      <c r="M14" s="2" t="s">
        <v>31</v>
      </c>
      <c r="N14" s="2" t="s">
        <v>90</v>
      </c>
      <c r="O14" s="4" t="s">
        <v>91</v>
      </c>
      <c r="P14" s="2" t="s">
        <v>92</v>
      </c>
      <c r="Q14" s="2" t="s">
        <v>31</v>
      </c>
      <c r="R14" s="2" t="s">
        <v>93</v>
      </c>
      <c r="S14" s="4" t="s">
        <v>94</v>
      </c>
      <c r="T14" s="2" t="s">
        <v>66</v>
      </c>
      <c r="U14" s="4" t="s">
        <v>31</v>
      </c>
      <c r="V14" s="2" t="s">
        <v>81</v>
      </c>
      <c r="W14" s="2" t="s">
        <v>80</v>
      </c>
      <c r="X14" s="5" t="str">
        <f>HYPERLINK("https://my.pitchbook.com?p=87643-90P","View People Online")</f>
        <v>View People Online</v>
      </c>
    </row>
    <row r="15">
      <c r="A15" s="6" t="s">
        <v>141</v>
      </c>
      <c r="B15" s="6" t="s">
        <v>142</v>
      </c>
      <c r="C15" s="6" t="s">
        <v>143</v>
      </c>
      <c r="D15" s="6" t="s">
        <v>144</v>
      </c>
      <c r="E15" s="6" t="s">
        <v>80</v>
      </c>
      <c r="F15" s="6" t="s">
        <v>29</v>
      </c>
      <c r="G15" s="6" t="s">
        <v>145</v>
      </c>
      <c r="H15" s="7" t="s">
        <v>31</v>
      </c>
      <c r="I15" s="7">
        <v>3.0</v>
      </c>
      <c r="J15" s="7">
        <v>1.0</v>
      </c>
      <c r="K15" s="7">
        <v>2.0</v>
      </c>
      <c r="L15" s="8" t="s">
        <v>88</v>
      </c>
      <c r="M15" s="6" t="s">
        <v>146</v>
      </c>
      <c r="N15" s="6" t="s">
        <v>90</v>
      </c>
      <c r="O15" s="8" t="s">
        <v>91</v>
      </c>
      <c r="P15" s="6" t="s">
        <v>92</v>
      </c>
      <c r="Q15" s="6" t="s">
        <v>31</v>
      </c>
      <c r="R15" s="6" t="s">
        <v>93</v>
      </c>
      <c r="S15" s="8" t="s">
        <v>94</v>
      </c>
      <c r="T15" s="6" t="s">
        <v>66</v>
      </c>
      <c r="U15" s="8" t="s">
        <v>31</v>
      </c>
      <c r="V15" s="6" t="s">
        <v>29</v>
      </c>
      <c r="W15" s="6" t="s">
        <v>80</v>
      </c>
      <c r="X15" s="9" t="str">
        <f>HYPERLINK("https://my.pitchbook.com?p=172530-01P","View People Online")</f>
        <v>View People Online</v>
      </c>
    </row>
    <row r="16">
      <c r="A16" s="2" t="s">
        <v>147</v>
      </c>
      <c r="B16" s="2" t="s">
        <v>148</v>
      </c>
      <c r="C16" s="2" t="s">
        <v>149</v>
      </c>
      <c r="D16" s="2" t="s">
        <v>150</v>
      </c>
      <c r="E16" s="2" t="s">
        <v>151</v>
      </c>
      <c r="F16" s="2" t="s">
        <v>152</v>
      </c>
      <c r="G16" s="2" t="s">
        <v>153</v>
      </c>
      <c r="H16" s="3" t="s">
        <v>31</v>
      </c>
      <c r="I16" s="3">
        <v>1.0</v>
      </c>
      <c r="J16" s="3">
        <v>1.0</v>
      </c>
      <c r="K16" s="3" t="s">
        <v>31</v>
      </c>
      <c r="L16" s="4" t="s">
        <v>31</v>
      </c>
      <c r="M16" s="2" t="s">
        <v>154</v>
      </c>
      <c r="N16" s="2" t="s">
        <v>155</v>
      </c>
      <c r="O16" s="4" t="s">
        <v>156</v>
      </c>
      <c r="P16" s="2" t="s">
        <v>31</v>
      </c>
      <c r="Q16" s="2" t="s">
        <v>31</v>
      </c>
      <c r="R16" s="2" t="s">
        <v>64</v>
      </c>
      <c r="S16" s="4" t="s">
        <v>31</v>
      </c>
      <c r="T16" s="2" t="s">
        <v>66</v>
      </c>
      <c r="U16" s="4" t="s">
        <v>31</v>
      </c>
      <c r="V16" s="2" t="s">
        <v>157</v>
      </c>
      <c r="W16" s="2" t="s">
        <v>151</v>
      </c>
      <c r="X16" s="5" t="str">
        <f>HYPERLINK("https://my.pitchbook.com?p=299172-52P","View People Online")</f>
        <v>View People Online</v>
      </c>
    </row>
    <row r="17">
      <c r="A17" s="6" t="s">
        <v>158</v>
      </c>
      <c r="B17" s="6" t="s">
        <v>159</v>
      </c>
      <c r="C17" s="6" t="s">
        <v>160</v>
      </c>
      <c r="D17" s="6" t="s">
        <v>161</v>
      </c>
      <c r="E17" s="6" t="s">
        <v>151</v>
      </c>
      <c r="F17" s="6" t="s">
        <v>152</v>
      </c>
      <c r="G17" s="6" t="s">
        <v>162</v>
      </c>
      <c r="H17" s="7" t="s">
        <v>31</v>
      </c>
      <c r="I17" s="7">
        <v>14.0</v>
      </c>
      <c r="J17" s="7">
        <v>1.0</v>
      </c>
      <c r="K17" s="7">
        <v>12.0</v>
      </c>
      <c r="L17" s="8" t="s">
        <v>163</v>
      </c>
      <c r="M17" s="6" t="s">
        <v>164</v>
      </c>
      <c r="N17" s="6" t="s">
        <v>155</v>
      </c>
      <c r="O17" s="8" t="s">
        <v>156</v>
      </c>
      <c r="P17" s="6" t="s">
        <v>31</v>
      </c>
      <c r="Q17" s="6" t="s">
        <v>31</v>
      </c>
      <c r="R17" s="6" t="s">
        <v>64</v>
      </c>
      <c r="S17" s="8" t="s">
        <v>31</v>
      </c>
      <c r="T17" s="6" t="s">
        <v>66</v>
      </c>
      <c r="U17" s="8" t="s">
        <v>31</v>
      </c>
      <c r="V17" s="6" t="s">
        <v>157</v>
      </c>
      <c r="W17" s="6" t="s">
        <v>151</v>
      </c>
      <c r="X17" s="9" t="str">
        <f>HYPERLINK("https://my.pitchbook.com?p=102837-70P","View People Online")</f>
        <v>View People Online</v>
      </c>
    </row>
    <row r="18">
      <c r="A18" s="10" t="s">
        <v>165</v>
      </c>
      <c r="B18" s="10" t="s">
        <v>166</v>
      </c>
      <c r="C18" s="10" t="s">
        <v>167</v>
      </c>
      <c r="D18" s="10" t="s">
        <v>168</v>
      </c>
      <c r="E18" s="10" t="s">
        <v>151</v>
      </c>
      <c r="F18" s="10" t="s">
        <v>152</v>
      </c>
      <c r="G18" s="10" t="s">
        <v>169</v>
      </c>
      <c r="H18" s="11" t="s">
        <v>31</v>
      </c>
      <c r="I18" s="11">
        <v>10.0</v>
      </c>
      <c r="J18" s="11">
        <v>1.0</v>
      </c>
      <c r="K18" s="11">
        <v>8.0</v>
      </c>
      <c r="L18" s="12" t="s">
        <v>31</v>
      </c>
      <c r="M18" s="10" t="s">
        <v>170</v>
      </c>
      <c r="N18" s="10" t="s">
        <v>155</v>
      </c>
      <c r="O18" s="12" t="s">
        <v>156</v>
      </c>
      <c r="P18" s="10" t="s">
        <v>31</v>
      </c>
      <c r="Q18" s="10" t="s">
        <v>31</v>
      </c>
      <c r="R18" s="10" t="s">
        <v>64</v>
      </c>
      <c r="S18" s="12" t="s">
        <v>31</v>
      </c>
      <c r="T18" s="10" t="s">
        <v>66</v>
      </c>
      <c r="U18" s="12" t="s">
        <v>31</v>
      </c>
      <c r="V18" s="10" t="s">
        <v>157</v>
      </c>
      <c r="W18" s="10" t="s">
        <v>151</v>
      </c>
      <c r="X18" s="13" t="str">
        <f>HYPERLINK("https://my.pitchbook.com?p=232150-78P","View People Online")</f>
        <v>View People Online</v>
      </c>
    </row>
    <row r="19">
      <c r="A19" s="14" t="s">
        <v>171</v>
      </c>
      <c r="B19" s="14" t="s">
        <v>172</v>
      </c>
      <c r="C19" s="14" t="s">
        <v>173</v>
      </c>
      <c r="D19" s="14" t="s">
        <v>174</v>
      </c>
      <c r="E19" s="14" t="s">
        <v>151</v>
      </c>
      <c r="F19" s="14" t="s">
        <v>152</v>
      </c>
      <c r="G19" s="14" t="s">
        <v>175</v>
      </c>
      <c r="H19" s="15" t="s">
        <v>31</v>
      </c>
      <c r="I19" s="15">
        <v>6.0</v>
      </c>
      <c r="J19" s="15">
        <v>4.0</v>
      </c>
      <c r="K19" s="15" t="s">
        <v>31</v>
      </c>
      <c r="L19" s="16" t="s">
        <v>176</v>
      </c>
      <c r="M19" s="14" t="s">
        <v>31</v>
      </c>
      <c r="N19" s="14" t="s">
        <v>155</v>
      </c>
      <c r="O19" s="16" t="s">
        <v>156</v>
      </c>
      <c r="P19" s="14" t="s">
        <v>31</v>
      </c>
      <c r="Q19" s="14" t="s">
        <v>31</v>
      </c>
      <c r="R19" s="14" t="s">
        <v>64</v>
      </c>
      <c r="S19" s="16" t="s">
        <v>31</v>
      </c>
      <c r="T19" s="14" t="s">
        <v>66</v>
      </c>
      <c r="U19" s="16" t="s">
        <v>31</v>
      </c>
      <c r="V19" s="14" t="s">
        <v>157</v>
      </c>
      <c r="W19" s="14" t="s">
        <v>177</v>
      </c>
      <c r="X19" s="17" t="str">
        <f>HYPERLINK("https://my.pitchbook.com?p=133288-57P","View People Online")</f>
        <v>View People Online</v>
      </c>
    </row>
    <row r="20">
      <c r="A20" s="2" t="s">
        <v>178</v>
      </c>
      <c r="B20" s="2" t="s">
        <v>179</v>
      </c>
      <c r="C20" s="2" t="s">
        <v>180</v>
      </c>
      <c r="D20" s="2" t="s">
        <v>181</v>
      </c>
      <c r="E20" s="2" t="s">
        <v>151</v>
      </c>
      <c r="F20" s="2" t="s">
        <v>152</v>
      </c>
      <c r="G20" s="2" t="s">
        <v>182</v>
      </c>
      <c r="H20" s="3" t="s">
        <v>31</v>
      </c>
      <c r="I20" s="3">
        <v>1.0</v>
      </c>
      <c r="J20" s="3">
        <v>1.0</v>
      </c>
      <c r="K20" s="3" t="s">
        <v>31</v>
      </c>
      <c r="L20" s="4" t="s">
        <v>31</v>
      </c>
      <c r="M20" s="2" t="s">
        <v>183</v>
      </c>
      <c r="N20" s="2" t="s">
        <v>155</v>
      </c>
      <c r="O20" s="4" t="s">
        <v>156</v>
      </c>
      <c r="P20" s="2" t="s">
        <v>31</v>
      </c>
      <c r="Q20" s="2" t="s">
        <v>31</v>
      </c>
      <c r="R20" s="2" t="s">
        <v>64</v>
      </c>
      <c r="S20" s="4" t="s">
        <v>31</v>
      </c>
      <c r="T20" s="2" t="s">
        <v>66</v>
      </c>
      <c r="U20" s="4" t="s">
        <v>31</v>
      </c>
      <c r="V20" s="2" t="s">
        <v>157</v>
      </c>
      <c r="W20" s="2" t="s">
        <v>151</v>
      </c>
      <c r="X20" s="5" t="str">
        <f>HYPERLINK("https://my.pitchbook.com?p=299171-71P","View People Online")</f>
        <v>View People Online</v>
      </c>
    </row>
    <row r="21">
      <c r="A21" s="14" t="s">
        <v>184</v>
      </c>
      <c r="B21" s="14" t="s">
        <v>185</v>
      </c>
      <c r="C21" s="14" t="s">
        <v>186</v>
      </c>
      <c r="D21" s="14" t="s">
        <v>187</v>
      </c>
      <c r="E21" s="14" t="s">
        <v>188</v>
      </c>
      <c r="F21" s="14" t="s">
        <v>189</v>
      </c>
      <c r="G21" s="14" t="s">
        <v>190</v>
      </c>
      <c r="H21" s="15" t="s">
        <v>31</v>
      </c>
      <c r="I21" s="15">
        <v>141.0</v>
      </c>
      <c r="J21" s="15">
        <v>1.0</v>
      </c>
      <c r="K21" s="15">
        <v>127.0</v>
      </c>
      <c r="L21" s="16" t="s">
        <v>191</v>
      </c>
      <c r="M21" s="14" t="s">
        <v>192</v>
      </c>
      <c r="N21" s="14" t="s">
        <v>75</v>
      </c>
      <c r="O21" s="16" t="s">
        <v>76</v>
      </c>
      <c r="P21" s="14" t="s">
        <v>193</v>
      </c>
      <c r="Q21" s="14" t="s">
        <v>194</v>
      </c>
      <c r="R21" s="14" t="s">
        <v>75</v>
      </c>
      <c r="S21" s="16" t="s">
        <v>195</v>
      </c>
      <c r="T21" s="14" t="s">
        <v>66</v>
      </c>
      <c r="U21" s="16" t="s">
        <v>31</v>
      </c>
      <c r="V21" s="14" t="s">
        <v>196</v>
      </c>
      <c r="W21" s="14" t="s">
        <v>188</v>
      </c>
      <c r="X21" s="17" t="str">
        <f>HYPERLINK("https://my.pitchbook.com?p=36369-91P","View People Online")</f>
        <v>View People Online</v>
      </c>
    </row>
    <row r="22">
      <c r="A22" s="10" t="s">
        <v>197</v>
      </c>
      <c r="B22" s="10" t="s">
        <v>198</v>
      </c>
      <c r="C22" s="10" t="s">
        <v>199</v>
      </c>
      <c r="D22" s="10" t="s">
        <v>200</v>
      </c>
      <c r="E22" s="10" t="s">
        <v>188</v>
      </c>
      <c r="F22" s="10" t="s">
        <v>201</v>
      </c>
      <c r="G22" s="10" t="s">
        <v>202</v>
      </c>
      <c r="H22" s="11" t="s">
        <v>31</v>
      </c>
      <c r="I22" s="11">
        <v>2.0</v>
      </c>
      <c r="J22" s="11">
        <v>1.0</v>
      </c>
      <c r="K22" s="11">
        <v>1.0</v>
      </c>
      <c r="L22" s="12" t="s">
        <v>203</v>
      </c>
      <c r="M22" s="10" t="s">
        <v>204</v>
      </c>
      <c r="N22" s="10" t="s">
        <v>205</v>
      </c>
      <c r="O22" s="12" t="s">
        <v>206</v>
      </c>
      <c r="P22" s="10" t="s">
        <v>207</v>
      </c>
      <c r="Q22" s="10" t="s">
        <v>208</v>
      </c>
      <c r="R22" s="10" t="s">
        <v>209</v>
      </c>
      <c r="S22" s="12" t="s">
        <v>210</v>
      </c>
      <c r="T22" s="10" t="s">
        <v>66</v>
      </c>
      <c r="U22" s="12" t="s">
        <v>31</v>
      </c>
      <c r="V22" s="10" t="s">
        <v>201</v>
      </c>
      <c r="W22" s="10" t="s">
        <v>188</v>
      </c>
      <c r="X22" s="13" t="str">
        <f>HYPERLINK("https://my.pitchbook.com?p=314454-07P","View People Online")</f>
        <v>View People Online</v>
      </c>
    </row>
    <row r="23">
      <c r="A23" s="6" t="s">
        <v>211</v>
      </c>
      <c r="B23" s="6" t="s">
        <v>212</v>
      </c>
      <c r="C23" s="6" t="s">
        <v>213</v>
      </c>
      <c r="D23" s="6" t="s">
        <v>214</v>
      </c>
      <c r="E23" s="6" t="s">
        <v>188</v>
      </c>
      <c r="F23" s="6" t="s">
        <v>29</v>
      </c>
      <c r="G23" s="6" t="s">
        <v>215</v>
      </c>
      <c r="H23" s="7">
        <v>1.0</v>
      </c>
      <c r="I23" s="7">
        <v>12.0</v>
      </c>
      <c r="J23" s="7">
        <v>1.0</v>
      </c>
      <c r="K23" s="7">
        <v>10.0</v>
      </c>
      <c r="L23" s="8" t="s">
        <v>191</v>
      </c>
      <c r="M23" s="6" t="s">
        <v>216</v>
      </c>
      <c r="N23" s="6" t="s">
        <v>205</v>
      </c>
      <c r="O23" s="8" t="s">
        <v>206</v>
      </c>
      <c r="P23" s="6" t="s">
        <v>207</v>
      </c>
      <c r="Q23" s="6" t="s">
        <v>208</v>
      </c>
      <c r="R23" s="6" t="s">
        <v>209</v>
      </c>
      <c r="S23" s="8" t="s">
        <v>210</v>
      </c>
      <c r="T23" s="6" t="s">
        <v>66</v>
      </c>
      <c r="U23" s="8" t="s">
        <v>31</v>
      </c>
      <c r="V23" s="6" t="s">
        <v>29</v>
      </c>
      <c r="W23" s="6" t="s">
        <v>188</v>
      </c>
      <c r="X23" s="9" t="str">
        <f>HYPERLINK("https://my.pitchbook.com?p=278272-72P","View People Online")</f>
        <v>View People Online</v>
      </c>
    </row>
    <row r="24">
      <c r="A24" s="10" t="s">
        <v>217</v>
      </c>
      <c r="B24" s="10" t="s">
        <v>218</v>
      </c>
      <c r="C24" s="10" t="s">
        <v>219</v>
      </c>
      <c r="D24" s="10" t="s">
        <v>220</v>
      </c>
      <c r="E24" s="10" t="s">
        <v>188</v>
      </c>
      <c r="F24" s="10" t="s">
        <v>221</v>
      </c>
      <c r="G24" s="10" t="s">
        <v>222</v>
      </c>
      <c r="H24" s="11" t="s">
        <v>31</v>
      </c>
      <c r="I24" s="11">
        <v>1.0</v>
      </c>
      <c r="J24" s="11">
        <v>1.0</v>
      </c>
      <c r="K24" s="11" t="s">
        <v>31</v>
      </c>
      <c r="L24" s="12" t="s">
        <v>191</v>
      </c>
      <c r="M24" s="10" t="s">
        <v>223</v>
      </c>
      <c r="N24" s="10" t="s">
        <v>205</v>
      </c>
      <c r="O24" s="12" t="s">
        <v>206</v>
      </c>
      <c r="P24" s="10" t="s">
        <v>207</v>
      </c>
      <c r="Q24" s="10" t="s">
        <v>208</v>
      </c>
      <c r="R24" s="10" t="s">
        <v>209</v>
      </c>
      <c r="S24" s="12" t="s">
        <v>210</v>
      </c>
      <c r="T24" s="10" t="s">
        <v>66</v>
      </c>
      <c r="U24" s="12" t="s">
        <v>31</v>
      </c>
      <c r="V24" s="10" t="s">
        <v>221</v>
      </c>
      <c r="W24" s="10" t="s">
        <v>188</v>
      </c>
      <c r="X24" s="13" t="str">
        <f>HYPERLINK("https://my.pitchbook.com?p=382948-66P","View People Online")</f>
        <v>View People Online</v>
      </c>
    </row>
    <row r="25">
      <c r="A25" s="14" t="s">
        <v>224</v>
      </c>
      <c r="B25" s="14" t="s">
        <v>225</v>
      </c>
      <c r="C25" s="14" t="s">
        <v>226</v>
      </c>
      <c r="D25" s="14" t="s">
        <v>227</v>
      </c>
      <c r="E25" s="14" t="s">
        <v>188</v>
      </c>
      <c r="F25" s="14" t="s">
        <v>221</v>
      </c>
      <c r="G25" s="14" t="s">
        <v>228</v>
      </c>
      <c r="H25" s="15" t="s">
        <v>31</v>
      </c>
      <c r="I25" s="15">
        <v>1.0</v>
      </c>
      <c r="J25" s="15">
        <v>1.0</v>
      </c>
      <c r="K25" s="15" t="s">
        <v>31</v>
      </c>
      <c r="L25" s="16" t="s">
        <v>203</v>
      </c>
      <c r="M25" s="14" t="s">
        <v>229</v>
      </c>
      <c r="N25" s="14" t="s">
        <v>205</v>
      </c>
      <c r="O25" s="16" t="s">
        <v>206</v>
      </c>
      <c r="P25" s="14" t="s">
        <v>207</v>
      </c>
      <c r="Q25" s="14" t="s">
        <v>208</v>
      </c>
      <c r="R25" s="14" t="s">
        <v>209</v>
      </c>
      <c r="S25" s="16" t="s">
        <v>210</v>
      </c>
      <c r="T25" s="14" t="s">
        <v>66</v>
      </c>
      <c r="U25" s="16" t="s">
        <v>31</v>
      </c>
      <c r="V25" s="14" t="s">
        <v>221</v>
      </c>
      <c r="W25" s="14" t="s">
        <v>188</v>
      </c>
      <c r="X25" s="17" t="str">
        <f>HYPERLINK("https://my.pitchbook.com?p=334168-66P","View People Online")</f>
        <v>View People Online</v>
      </c>
    </row>
    <row r="26">
      <c r="A26" s="10" t="s">
        <v>230</v>
      </c>
      <c r="B26" s="10" t="s">
        <v>231</v>
      </c>
      <c r="C26" s="10" t="s">
        <v>232</v>
      </c>
      <c r="D26" s="10" t="s">
        <v>233</v>
      </c>
      <c r="E26" s="10" t="s">
        <v>188</v>
      </c>
      <c r="F26" s="10" t="s">
        <v>29</v>
      </c>
      <c r="G26" s="10" t="s">
        <v>234</v>
      </c>
      <c r="H26" s="11" t="s">
        <v>31</v>
      </c>
      <c r="I26" s="11">
        <v>16.0</v>
      </c>
      <c r="J26" s="11">
        <v>1.0</v>
      </c>
      <c r="K26" s="11">
        <v>11.0</v>
      </c>
      <c r="L26" s="12" t="s">
        <v>191</v>
      </c>
      <c r="M26" s="10" t="s">
        <v>31</v>
      </c>
      <c r="N26" s="10" t="s">
        <v>205</v>
      </c>
      <c r="O26" s="12" t="s">
        <v>206</v>
      </c>
      <c r="P26" s="10" t="s">
        <v>207</v>
      </c>
      <c r="Q26" s="10" t="s">
        <v>208</v>
      </c>
      <c r="R26" s="10" t="s">
        <v>209</v>
      </c>
      <c r="S26" s="12" t="s">
        <v>210</v>
      </c>
      <c r="T26" s="10" t="s">
        <v>66</v>
      </c>
      <c r="U26" s="12" t="s">
        <v>31</v>
      </c>
      <c r="V26" s="10" t="s">
        <v>29</v>
      </c>
      <c r="W26" s="10" t="s">
        <v>188</v>
      </c>
      <c r="X26" s="13" t="str">
        <f>HYPERLINK("https://my.pitchbook.com?p=206852-86P","View People Online")</f>
        <v>View People Online</v>
      </c>
    </row>
    <row r="27">
      <c r="A27" s="14" t="s">
        <v>235</v>
      </c>
      <c r="B27" s="14" t="s">
        <v>236</v>
      </c>
      <c r="C27" s="14" t="s">
        <v>237</v>
      </c>
      <c r="D27" s="14" t="s">
        <v>238</v>
      </c>
      <c r="E27" s="14" t="s">
        <v>239</v>
      </c>
      <c r="F27" s="14" t="s">
        <v>78</v>
      </c>
      <c r="G27" s="14" t="s">
        <v>240</v>
      </c>
      <c r="H27" s="15" t="s">
        <v>31</v>
      </c>
      <c r="I27" s="15">
        <v>1.0</v>
      </c>
      <c r="J27" s="15">
        <v>1.0</v>
      </c>
      <c r="K27" s="15" t="s">
        <v>31</v>
      </c>
      <c r="L27" s="16" t="s">
        <v>241</v>
      </c>
      <c r="M27" s="14" t="s">
        <v>242</v>
      </c>
      <c r="N27" s="14" t="s">
        <v>243</v>
      </c>
      <c r="O27" s="16" t="s">
        <v>244</v>
      </c>
      <c r="P27" s="14" t="s">
        <v>245</v>
      </c>
      <c r="Q27" s="14" t="s">
        <v>246</v>
      </c>
      <c r="R27" s="14" t="s">
        <v>247</v>
      </c>
      <c r="S27" s="16" t="s">
        <v>248</v>
      </c>
      <c r="T27" s="14" t="s">
        <v>249</v>
      </c>
      <c r="U27" s="16" t="s">
        <v>31</v>
      </c>
      <c r="V27" s="14" t="s">
        <v>78</v>
      </c>
      <c r="W27" s="14" t="s">
        <v>239</v>
      </c>
      <c r="X27" s="17" t="str">
        <f>HYPERLINK("https://my.pitchbook.com?p=249794-38P","View People Online")</f>
        <v>View People Online</v>
      </c>
    </row>
    <row r="28">
      <c r="A28" s="2" t="s">
        <v>250</v>
      </c>
      <c r="B28" s="2" t="s">
        <v>251</v>
      </c>
      <c r="C28" s="2" t="s">
        <v>252</v>
      </c>
      <c r="D28" s="2" t="s">
        <v>253</v>
      </c>
      <c r="E28" s="2" t="s">
        <v>239</v>
      </c>
      <c r="F28" s="2" t="s">
        <v>81</v>
      </c>
      <c r="G28" s="2" t="s">
        <v>254</v>
      </c>
      <c r="H28" s="3" t="s">
        <v>31</v>
      </c>
      <c r="I28" s="3">
        <v>4.0</v>
      </c>
      <c r="J28" s="3">
        <v>1.0</v>
      </c>
      <c r="K28" s="3" t="s">
        <v>31</v>
      </c>
      <c r="L28" s="4" t="s">
        <v>31</v>
      </c>
      <c r="M28" s="2" t="s">
        <v>255</v>
      </c>
      <c r="N28" s="2" t="s">
        <v>75</v>
      </c>
      <c r="O28" s="4" t="s">
        <v>76</v>
      </c>
      <c r="P28" s="2" t="s">
        <v>256</v>
      </c>
      <c r="Q28" s="2" t="s">
        <v>257</v>
      </c>
      <c r="R28" s="2" t="s">
        <v>75</v>
      </c>
      <c r="S28" s="4" t="s">
        <v>258</v>
      </c>
      <c r="T28" s="2" t="s">
        <v>66</v>
      </c>
      <c r="U28" s="4" t="s">
        <v>31</v>
      </c>
      <c r="V28" s="2" t="s">
        <v>259</v>
      </c>
      <c r="W28" s="2" t="s">
        <v>260</v>
      </c>
      <c r="X28" s="5" t="str">
        <f>HYPERLINK("https://my.pitchbook.com?p=230354-11P","View People Online")</f>
        <v>View People Online</v>
      </c>
    </row>
    <row r="29">
      <c r="A29" s="14" t="s">
        <v>261</v>
      </c>
      <c r="B29" s="14" t="s">
        <v>262</v>
      </c>
      <c r="C29" s="14" t="s">
        <v>263</v>
      </c>
      <c r="D29" s="14" t="s">
        <v>264</v>
      </c>
      <c r="E29" s="14" t="s">
        <v>239</v>
      </c>
      <c r="F29" s="14" t="s">
        <v>189</v>
      </c>
      <c r="G29" s="14" t="s">
        <v>265</v>
      </c>
      <c r="H29" s="15">
        <v>3.0</v>
      </c>
      <c r="I29" s="15">
        <v>23.0</v>
      </c>
      <c r="J29" s="15">
        <v>2.0</v>
      </c>
      <c r="K29" s="15">
        <v>15.0</v>
      </c>
      <c r="L29" s="16" t="s">
        <v>31</v>
      </c>
      <c r="M29" s="14" t="s">
        <v>266</v>
      </c>
      <c r="N29" s="14" t="s">
        <v>243</v>
      </c>
      <c r="O29" s="16" t="s">
        <v>244</v>
      </c>
      <c r="P29" s="14" t="s">
        <v>245</v>
      </c>
      <c r="Q29" s="14" t="s">
        <v>246</v>
      </c>
      <c r="R29" s="14" t="s">
        <v>247</v>
      </c>
      <c r="S29" s="16" t="s">
        <v>248</v>
      </c>
      <c r="T29" s="14" t="s">
        <v>249</v>
      </c>
      <c r="U29" s="16" t="s">
        <v>31</v>
      </c>
      <c r="V29" s="14" t="s">
        <v>196</v>
      </c>
      <c r="W29" s="14" t="s">
        <v>239</v>
      </c>
      <c r="X29" s="17" t="str">
        <f>HYPERLINK("https://my.pitchbook.com?p=51464-08P","View People Online")</f>
        <v>View People Online</v>
      </c>
    </row>
    <row r="30">
      <c r="A30" s="10" t="s">
        <v>267</v>
      </c>
      <c r="B30" s="10" t="s">
        <v>268</v>
      </c>
      <c r="C30" s="10" t="s">
        <v>263</v>
      </c>
      <c r="D30" s="10" t="s">
        <v>269</v>
      </c>
      <c r="E30" s="10" t="s">
        <v>239</v>
      </c>
      <c r="F30" s="10" t="s">
        <v>270</v>
      </c>
      <c r="G30" s="10" t="s">
        <v>271</v>
      </c>
      <c r="H30" s="11" t="s">
        <v>31</v>
      </c>
      <c r="I30" s="11">
        <v>1.0</v>
      </c>
      <c r="J30" s="11">
        <v>1.0</v>
      </c>
      <c r="K30" s="11" t="s">
        <v>31</v>
      </c>
      <c r="L30" s="12" t="s">
        <v>31</v>
      </c>
      <c r="M30" s="10" t="s">
        <v>272</v>
      </c>
      <c r="N30" s="10" t="s">
        <v>273</v>
      </c>
      <c r="O30" s="12" t="s">
        <v>274</v>
      </c>
      <c r="P30" s="10" t="s">
        <v>275</v>
      </c>
      <c r="Q30" s="10" t="s">
        <v>31</v>
      </c>
      <c r="R30" s="10" t="s">
        <v>31</v>
      </c>
      <c r="S30" s="12" t="s">
        <v>239</v>
      </c>
      <c r="T30" s="10" t="s">
        <v>276</v>
      </c>
      <c r="U30" s="12" t="s">
        <v>31</v>
      </c>
      <c r="V30" s="10" t="s">
        <v>277</v>
      </c>
      <c r="W30" s="10" t="s">
        <v>239</v>
      </c>
      <c r="X30" s="13" t="str">
        <f>HYPERLINK("https://my.pitchbook.com?p=372669-94P","View People Online")</f>
        <v>View People Online</v>
      </c>
    </row>
    <row r="31">
      <c r="A31" s="6" t="s">
        <v>278</v>
      </c>
      <c r="B31" s="6" t="s">
        <v>279</v>
      </c>
      <c r="C31" s="6" t="s">
        <v>263</v>
      </c>
      <c r="D31" s="6" t="s">
        <v>280</v>
      </c>
      <c r="E31" s="6" t="s">
        <v>239</v>
      </c>
      <c r="F31" s="6" t="s">
        <v>189</v>
      </c>
      <c r="G31" s="6" t="s">
        <v>281</v>
      </c>
      <c r="H31" s="7">
        <v>4.0</v>
      </c>
      <c r="I31" s="7">
        <v>11.0</v>
      </c>
      <c r="J31" s="7">
        <v>1.0</v>
      </c>
      <c r="K31" s="7">
        <v>5.0</v>
      </c>
      <c r="L31" s="8" t="s">
        <v>31</v>
      </c>
      <c r="M31" s="6" t="s">
        <v>282</v>
      </c>
      <c r="N31" s="6" t="s">
        <v>273</v>
      </c>
      <c r="O31" s="8" t="s">
        <v>274</v>
      </c>
      <c r="P31" s="6" t="s">
        <v>275</v>
      </c>
      <c r="Q31" s="6" t="s">
        <v>31</v>
      </c>
      <c r="R31" s="6" t="s">
        <v>31</v>
      </c>
      <c r="S31" s="8" t="s">
        <v>239</v>
      </c>
      <c r="T31" s="6" t="s">
        <v>276</v>
      </c>
      <c r="U31" s="8" t="s">
        <v>31</v>
      </c>
      <c r="V31" s="6" t="s">
        <v>196</v>
      </c>
      <c r="W31" s="6" t="s">
        <v>239</v>
      </c>
      <c r="X31" s="9" t="str">
        <f>HYPERLINK("https://my.pitchbook.com?p=254547-55P","View People Online")</f>
        <v>View People Online</v>
      </c>
    </row>
    <row r="32">
      <c r="A32" s="2" t="s">
        <v>283</v>
      </c>
      <c r="B32" s="2" t="s">
        <v>284</v>
      </c>
      <c r="C32" s="2" t="s">
        <v>285</v>
      </c>
      <c r="D32" s="2" t="s">
        <v>286</v>
      </c>
      <c r="E32" s="2" t="s">
        <v>239</v>
      </c>
      <c r="F32" s="2" t="s">
        <v>114</v>
      </c>
      <c r="G32" s="2" t="s">
        <v>287</v>
      </c>
      <c r="H32" s="3">
        <v>2.0</v>
      </c>
      <c r="I32" s="3">
        <v>12.0</v>
      </c>
      <c r="J32" s="3">
        <v>2.0</v>
      </c>
      <c r="K32" s="3">
        <v>5.0</v>
      </c>
      <c r="L32" s="4" t="s">
        <v>288</v>
      </c>
      <c r="M32" s="2" t="s">
        <v>289</v>
      </c>
      <c r="N32" s="2" t="s">
        <v>290</v>
      </c>
      <c r="O32" s="4" t="s">
        <v>291</v>
      </c>
      <c r="P32" s="2" t="s">
        <v>292</v>
      </c>
      <c r="Q32" s="2" t="s">
        <v>31</v>
      </c>
      <c r="R32" s="2" t="s">
        <v>64</v>
      </c>
      <c r="S32" s="4" t="s">
        <v>293</v>
      </c>
      <c r="T32" s="2" t="s">
        <v>66</v>
      </c>
      <c r="U32" s="4" t="s">
        <v>31</v>
      </c>
      <c r="V32" s="2" t="s">
        <v>294</v>
      </c>
      <c r="W32" s="2" t="s">
        <v>295</v>
      </c>
      <c r="X32" s="5" t="str">
        <f>HYPERLINK("https://my.pitchbook.com?p=172801-63P","View People Online")</f>
        <v>View People Online</v>
      </c>
    </row>
    <row r="33">
      <c r="A33" s="14" t="s">
        <v>296</v>
      </c>
      <c r="B33" s="14" t="s">
        <v>297</v>
      </c>
      <c r="C33" s="14" t="s">
        <v>298</v>
      </c>
      <c r="D33" s="14" t="s">
        <v>299</v>
      </c>
      <c r="E33" s="14" t="s">
        <v>239</v>
      </c>
      <c r="F33" s="14" t="s">
        <v>81</v>
      </c>
      <c r="G33" s="14" t="s">
        <v>300</v>
      </c>
      <c r="H33" s="15" t="s">
        <v>31</v>
      </c>
      <c r="I33" s="15">
        <v>4.0</v>
      </c>
      <c r="J33" s="15" t="s">
        <v>31</v>
      </c>
      <c r="K33" s="15">
        <v>2.0</v>
      </c>
      <c r="L33" s="16" t="s">
        <v>31</v>
      </c>
      <c r="M33" s="14" t="s">
        <v>301</v>
      </c>
      <c r="N33" s="14" t="s">
        <v>243</v>
      </c>
      <c r="O33" s="16" t="s">
        <v>244</v>
      </c>
      <c r="P33" s="14" t="s">
        <v>245</v>
      </c>
      <c r="Q33" s="14" t="s">
        <v>246</v>
      </c>
      <c r="R33" s="14" t="s">
        <v>247</v>
      </c>
      <c r="S33" s="16" t="s">
        <v>248</v>
      </c>
      <c r="T33" s="14" t="s">
        <v>249</v>
      </c>
      <c r="U33" s="16" t="s">
        <v>31</v>
      </c>
      <c r="V33" s="14" t="s">
        <v>302</v>
      </c>
      <c r="W33" s="14" t="s">
        <v>239</v>
      </c>
      <c r="X33" s="17" t="str">
        <f>HYPERLINK("https://my.pitchbook.com?p=219410-38P","View People Online")</f>
        <v>View People Online</v>
      </c>
    </row>
    <row r="34">
      <c r="A34" s="2" t="s">
        <v>303</v>
      </c>
      <c r="B34" s="2" t="s">
        <v>304</v>
      </c>
      <c r="C34" s="2" t="s">
        <v>305</v>
      </c>
      <c r="D34" s="2" t="s">
        <v>306</v>
      </c>
      <c r="E34" s="2" t="s">
        <v>239</v>
      </c>
      <c r="F34" s="2" t="s">
        <v>81</v>
      </c>
      <c r="G34" s="2" t="s">
        <v>307</v>
      </c>
      <c r="H34" s="3">
        <v>2.0</v>
      </c>
      <c r="I34" s="3">
        <v>3.0</v>
      </c>
      <c r="J34" s="3" t="s">
        <v>31</v>
      </c>
      <c r="K34" s="3" t="s">
        <v>31</v>
      </c>
      <c r="L34" s="4" t="s">
        <v>308</v>
      </c>
      <c r="M34" s="2" t="s">
        <v>31</v>
      </c>
      <c r="N34" s="2" t="s">
        <v>273</v>
      </c>
      <c r="O34" s="4" t="s">
        <v>274</v>
      </c>
      <c r="P34" s="2" t="s">
        <v>309</v>
      </c>
      <c r="Q34" s="2" t="s">
        <v>310</v>
      </c>
      <c r="R34" s="2" t="s">
        <v>31</v>
      </c>
      <c r="S34" s="4" t="s">
        <v>311</v>
      </c>
      <c r="T34" s="2" t="s">
        <v>276</v>
      </c>
      <c r="U34" s="4" t="s">
        <v>31</v>
      </c>
      <c r="V34" s="2" t="s">
        <v>312</v>
      </c>
      <c r="W34" s="2" t="s">
        <v>313</v>
      </c>
      <c r="X34" s="5" t="str">
        <f>HYPERLINK("https://my.pitchbook.com?p=164806-48P","View People Online")</f>
        <v>View People Online</v>
      </c>
    </row>
    <row r="35">
      <c r="A35" s="6" t="s">
        <v>314</v>
      </c>
      <c r="B35" s="6" t="s">
        <v>315</v>
      </c>
      <c r="C35" s="6" t="s">
        <v>316</v>
      </c>
      <c r="D35" s="6" t="s">
        <v>317</v>
      </c>
      <c r="E35" s="6" t="s">
        <v>239</v>
      </c>
      <c r="F35" s="6" t="s">
        <v>318</v>
      </c>
      <c r="G35" s="6" t="s">
        <v>319</v>
      </c>
      <c r="H35" s="7" t="s">
        <v>31</v>
      </c>
      <c r="I35" s="7">
        <v>2.0</v>
      </c>
      <c r="J35" s="7">
        <v>2.0</v>
      </c>
      <c r="K35" s="7" t="s">
        <v>31</v>
      </c>
      <c r="L35" s="8" t="s">
        <v>31</v>
      </c>
      <c r="M35" s="6" t="s">
        <v>320</v>
      </c>
      <c r="N35" s="6" t="s">
        <v>243</v>
      </c>
      <c r="O35" s="8" t="s">
        <v>244</v>
      </c>
      <c r="P35" s="6" t="s">
        <v>245</v>
      </c>
      <c r="Q35" s="6" t="s">
        <v>246</v>
      </c>
      <c r="R35" s="6" t="s">
        <v>247</v>
      </c>
      <c r="S35" s="8" t="s">
        <v>248</v>
      </c>
      <c r="T35" s="6" t="s">
        <v>249</v>
      </c>
      <c r="U35" s="8" t="s">
        <v>31</v>
      </c>
      <c r="V35" s="6" t="s">
        <v>318</v>
      </c>
      <c r="W35" s="6" t="s">
        <v>239</v>
      </c>
      <c r="X35" s="9" t="str">
        <f>HYPERLINK("https://my.pitchbook.com?p=232507-36P","View People Online")</f>
        <v>View People Online</v>
      </c>
    </row>
    <row r="36">
      <c r="A36" s="2" t="s">
        <v>321</v>
      </c>
      <c r="B36" s="2" t="s">
        <v>322</v>
      </c>
      <c r="C36" s="2" t="s">
        <v>323</v>
      </c>
      <c r="D36" s="2" t="s">
        <v>324</v>
      </c>
      <c r="E36" s="2" t="s">
        <v>239</v>
      </c>
      <c r="F36" s="2" t="s">
        <v>81</v>
      </c>
      <c r="G36" s="2" t="s">
        <v>325</v>
      </c>
      <c r="H36" s="3">
        <v>5.0</v>
      </c>
      <c r="I36" s="3">
        <v>65.0</v>
      </c>
      <c r="J36" s="3">
        <v>1.0</v>
      </c>
      <c r="K36" s="3">
        <v>49.0</v>
      </c>
      <c r="L36" s="4" t="s">
        <v>326</v>
      </c>
      <c r="M36" s="2" t="s">
        <v>327</v>
      </c>
      <c r="N36" s="2" t="s">
        <v>328</v>
      </c>
      <c r="O36" s="4" t="s">
        <v>329</v>
      </c>
      <c r="P36" s="2" t="s">
        <v>330</v>
      </c>
      <c r="Q36" s="2" t="s">
        <v>31</v>
      </c>
      <c r="R36" s="2" t="s">
        <v>31</v>
      </c>
      <c r="S36" s="4" t="s">
        <v>331</v>
      </c>
      <c r="T36" s="2" t="s">
        <v>332</v>
      </c>
      <c r="U36" s="4" t="s">
        <v>31</v>
      </c>
      <c r="V36" s="2" t="s">
        <v>333</v>
      </c>
      <c r="W36" s="2" t="s">
        <v>334</v>
      </c>
      <c r="X36" s="5" t="str">
        <f>HYPERLINK("https://my.pitchbook.com?p=14180-86P","View People Online")</f>
        <v>View People Online</v>
      </c>
    </row>
    <row r="37">
      <c r="A37" s="6" t="s">
        <v>335</v>
      </c>
      <c r="B37" s="6" t="s">
        <v>336</v>
      </c>
      <c r="C37" s="6" t="s">
        <v>337</v>
      </c>
      <c r="D37" s="6" t="s">
        <v>338</v>
      </c>
      <c r="E37" s="6" t="s">
        <v>239</v>
      </c>
      <c r="F37" s="6" t="s">
        <v>221</v>
      </c>
      <c r="G37" s="6" t="s">
        <v>339</v>
      </c>
      <c r="H37" s="7" t="s">
        <v>31</v>
      </c>
      <c r="I37" s="7">
        <v>1.0</v>
      </c>
      <c r="J37" s="7">
        <v>1.0</v>
      </c>
      <c r="K37" s="7" t="s">
        <v>31</v>
      </c>
      <c r="L37" s="8" t="s">
        <v>31</v>
      </c>
      <c r="M37" s="6" t="s">
        <v>340</v>
      </c>
      <c r="N37" s="6" t="s">
        <v>243</v>
      </c>
      <c r="O37" s="8" t="s">
        <v>244</v>
      </c>
      <c r="P37" s="6" t="s">
        <v>245</v>
      </c>
      <c r="Q37" s="6" t="s">
        <v>246</v>
      </c>
      <c r="R37" s="6" t="s">
        <v>247</v>
      </c>
      <c r="S37" s="8" t="s">
        <v>248</v>
      </c>
      <c r="T37" s="6" t="s">
        <v>249</v>
      </c>
      <c r="U37" s="8" t="s">
        <v>31</v>
      </c>
      <c r="V37" s="6" t="s">
        <v>221</v>
      </c>
      <c r="W37" s="6" t="s">
        <v>239</v>
      </c>
      <c r="X37" s="9" t="str">
        <f>HYPERLINK("https://my.pitchbook.com?p=445225-06P","View People Online")</f>
        <v>View People Online</v>
      </c>
    </row>
    <row r="38">
      <c r="A38" s="10" t="s">
        <v>341</v>
      </c>
      <c r="B38" s="10" t="s">
        <v>342</v>
      </c>
      <c r="C38" s="10" t="s">
        <v>343</v>
      </c>
      <c r="D38" s="10" t="s">
        <v>344</v>
      </c>
      <c r="E38" s="10" t="s">
        <v>239</v>
      </c>
      <c r="F38" s="10" t="s">
        <v>189</v>
      </c>
      <c r="G38" s="10" t="s">
        <v>345</v>
      </c>
      <c r="H38" s="11">
        <v>1.0</v>
      </c>
      <c r="I38" s="11">
        <v>8.0</v>
      </c>
      <c r="J38" s="11">
        <v>1.0</v>
      </c>
      <c r="K38" s="11">
        <v>5.0</v>
      </c>
      <c r="L38" s="12" t="s">
        <v>31</v>
      </c>
      <c r="M38" s="10" t="s">
        <v>346</v>
      </c>
      <c r="N38" s="10" t="s">
        <v>34</v>
      </c>
      <c r="O38" s="12" t="s">
        <v>35</v>
      </c>
      <c r="P38" s="10" t="s">
        <v>347</v>
      </c>
      <c r="Q38" s="10" t="s">
        <v>31</v>
      </c>
      <c r="R38" s="10" t="s">
        <v>31</v>
      </c>
      <c r="S38" s="12" t="s">
        <v>37</v>
      </c>
      <c r="T38" s="10" t="s">
        <v>38</v>
      </c>
      <c r="U38" s="12" t="s">
        <v>31</v>
      </c>
      <c r="V38" s="10" t="s">
        <v>196</v>
      </c>
      <c r="W38" s="10" t="s">
        <v>239</v>
      </c>
      <c r="X38" s="13" t="str">
        <f>HYPERLINK("https://my.pitchbook.com?p=75502-99P","View People Online")</f>
        <v>View People Online</v>
      </c>
    </row>
    <row r="39">
      <c r="A39" s="14" t="s">
        <v>348</v>
      </c>
      <c r="B39" s="14" t="s">
        <v>349</v>
      </c>
      <c r="C39" s="14" t="s">
        <v>350</v>
      </c>
      <c r="D39" s="14" t="s">
        <v>351</v>
      </c>
      <c r="E39" s="14" t="s">
        <v>239</v>
      </c>
      <c r="F39" s="14" t="s">
        <v>81</v>
      </c>
      <c r="G39" s="14" t="s">
        <v>352</v>
      </c>
      <c r="H39" s="15">
        <v>1.0</v>
      </c>
      <c r="I39" s="15">
        <v>11.0</v>
      </c>
      <c r="J39" s="15">
        <v>1.0</v>
      </c>
      <c r="K39" s="15">
        <v>5.0</v>
      </c>
      <c r="L39" s="16" t="s">
        <v>31</v>
      </c>
      <c r="M39" s="14" t="s">
        <v>353</v>
      </c>
      <c r="N39" s="14" t="s">
        <v>243</v>
      </c>
      <c r="O39" s="16" t="s">
        <v>244</v>
      </c>
      <c r="P39" s="14" t="s">
        <v>354</v>
      </c>
      <c r="Q39" s="14" t="s">
        <v>31</v>
      </c>
      <c r="R39" s="14" t="s">
        <v>247</v>
      </c>
      <c r="S39" s="16" t="s">
        <v>355</v>
      </c>
      <c r="T39" s="14" t="s">
        <v>249</v>
      </c>
      <c r="U39" s="16" t="s">
        <v>31</v>
      </c>
      <c r="V39" s="14" t="s">
        <v>356</v>
      </c>
      <c r="W39" s="14" t="s">
        <v>357</v>
      </c>
      <c r="X39" s="17" t="str">
        <f>HYPERLINK("https://my.pitchbook.com?p=155596-42P","View People Online")</f>
        <v>View People Online</v>
      </c>
    </row>
    <row r="40">
      <c r="A40" s="2" t="s">
        <v>358</v>
      </c>
      <c r="B40" s="2" t="s">
        <v>359</v>
      </c>
      <c r="C40" s="2" t="s">
        <v>360</v>
      </c>
      <c r="D40" s="2" t="s">
        <v>361</v>
      </c>
      <c r="E40" s="2" t="s">
        <v>239</v>
      </c>
      <c r="F40" s="2" t="s">
        <v>81</v>
      </c>
      <c r="G40" s="2" t="s">
        <v>362</v>
      </c>
      <c r="H40" s="3" t="s">
        <v>31</v>
      </c>
      <c r="I40" s="3">
        <v>2.0</v>
      </c>
      <c r="J40" s="3">
        <v>1.0</v>
      </c>
      <c r="K40" s="3" t="s">
        <v>31</v>
      </c>
      <c r="L40" s="4" t="s">
        <v>363</v>
      </c>
      <c r="M40" s="2" t="s">
        <v>31</v>
      </c>
      <c r="N40" s="2" t="s">
        <v>205</v>
      </c>
      <c r="O40" s="4" t="s">
        <v>206</v>
      </c>
      <c r="P40" s="2" t="s">
        <v>364</v>
      </c>
      <c r="Q40" s="2" t="s">
        <v>310</v>
      </c>
      <c r="R40" s="2" t="s">
        <v>209</v>
      </c>
      <c r="S40" s="4" t="s">
        <v>365</v>
      </c>
      <c r="T40" s="2" t="s">
        <v>66</v>
      </c>
      <c r="U40" s="4" t="s">
        <v>31</v>
      </c>
      <c r="V40" s="2" t="s">
        <v>157</v>
      </c>
      <c r="W40" s="2" t="s">
        <v>366</v>
      </c>
      <c r="X40" s="5" t="str">
        <f>HYPERLINK("https://my.pitchbook.com?p=63153-28P","View People Online")</f>
        <v>View People Online</v>
      </c>
    </row>
    <row r="41">
      <c r="A41" s="6" t="s">
        <v>367</v>
      </c>
      <c r="B41" s="6" t="s">
        <v>368</v>
      </c>
      <c r="C41" s="6" t="s">
        <v>369</v>
      </c>
      <c r="D41" s="6" t="s">
        <v>370</v>
      </c>
      <c r="E41" s="6" t="s">
        <v>239</v>
      </c>
      <c r="F41" s="6" t="s">
        <v>371</v>
      </c>
      <c r="G41" s="6" t="s">
        <v>372</v>
      </c>
      <c r="H41" s="7" t="s">
        <v>31</v>
      </c>
      <c r="I41" s="7">
        <v>1.0</v>
      </c>
      <c r="J41" s="7">
        <v>1.0</v>
      </c>
      <c r="K41" s="7" t="s">
        <v>31</v>
      </c>
      <c r="L41" s="8" t="s">
        <v>31</v>
      </c>
      <c r="M41" s="6" t="s">
        <v>373</v>
      </c>
      <c r="N41" s="6" t="s">
        <v>243</v>
      </c>
      <c r="O41" s="8" t="s">
        <v>244</v>
      </c>
      <c r="P41" s="6" t="s">
        <v>245</v>
      </c>
      <c r="Q41" s="6" t="s">
        <v>246</v>
      </c>
      <c r="R41" s="6" t="s">
        <v>247</v>
      </c>
      <c r="S41" s="8" t="s">
        <v>248</v>
      </c>
      <c r="T41" s="6" t="s">
        <v>249</v>
      </c>
      <c r="U41" s="8" t="s">
        <v>31</v>
      </c>
      <c r="V41" s="6" t="s">
        <v>371</v>
      </c>
      <c r="W41" s="6" t="s">
        <v>239</v>
      </c>
      <c r="X41" s="9" t="str">
        <f>HYPERLINK("https://my.pitchbook.com?p=311603-59P","View People Online")</f>
        <v>View People Online</v>
      </c>
    </row>
    <row r="42">
      <c r="A42" s="2" t="s">
        <v>374</v>
      </c>
      <c r="B42" s="2" t="s">
        <v>375</v>
      </c>
      <c r="C42" s="2" t="s">
        <v>376</v>
      </c>
      <c r="D42" s="2" t="s">
        <v>377</v>
      </c>
      <c r="E42" s="2" t="s">
        <v>239</v>
      </c>
      <c r="F42" s="2" t="s">
        <v>189</v>
      </c>
      <c r="G42" s="2" t="s">
        <v>378</v>
      </c>
      <c r="H42" s="3">
        <v>1.0</v>
      </c>
      <c r="I42" s="3">
        <v>10.0</v>
      </c>
      <c r="J42" s="3">
        <v>2.0</v>
      </c>
      <c r="K42" s="3">
        <v>6.0</v>
      </c>
      <c r="L42" s="4" t="s">
        <v>379</v>
      </c>
      <c r="M42" s="2" t="s">
        <v>31</v>
      </c>
      <c r="N42" s="2" t="s">
        <v>273</v>
      </c>
      <c r="O42" s="4" t="s">
        <v>274</v>
      </c>
      <c r="P42" s="2" t="s">
        <v>275</v>
      </c>
      <c r="Q42" s="2" t="s">
        <v>31</v>
      </c>
      <c r="R42" s="2" t="s">
        <v>31</v>
      </c>
      <c r="S42" s="4" t="s">
        <v>239</v>
      </c>
      <c r="T42" s="2" t="s">
        <v>276</v>
      </c>
      <c r="U42" s="4" t="s">
        <v>31</v>
      </c>
      <c r="V42" s="2" t="s">
        <v>196</v>
      </c>
      <c r="W42" s="2" t="s">
        <v>239</v>
      </c>
      <c r="X42" s="5" t="str">
        <f>HYPERLINK("https://my.pitchbook.com?p=53004-79P","View People Online")</f>
        <v>View People Online</v>
      </c>
    </row>
    <row r="43">
      <c r="A43" s="14" t="s">
        <v>380</v>
      </c>
      <c r="B43" s="14" t="s">
        <v>381</v>
      </c>
      <c r="C43" s="14" t="s">
        <v>382</v>
      </c>
      <c r="D43" s="14" t="s">
        <v>383</v>
      </c>
      <c r="E43" s="14" t="s">
        <v>239</v>
      </c>
      <c r="F43" s="14" t="s">
        <v>371</v>
      </c>
      <c r="G43" s="14" t="s">
        <v>384</v>
      </c>
      <c r="H43" s="15" t="s">
        <v>31</v>
      </c>
      <c r="I43" s="15">
        <v>1.0</v>
      </c>
      <c r="J43" s="15">
        <v>1.0</v>
      </c>
      <c r="K43" s="15" t="s">
        <v>31</v>
      </c>
      <c r="L43" s="16" t="s">
        <v>31</v>
      </c>
      <c r="M43" s="14" t="s">
        <v>385</v>
      </c>
      <c r="N43" s="14" t="s">
        <v>243</v>
      </c>
      <c r="O43" s="16" t="s">
        <v>244</v>
      </c>
      <c r="P43" s="14" t="s">
        <v>245</v>
      </c>
      <c r="Q43" s="14" t="s">
        <v>246</v>
      </c>
      <c r="R43" s="14" t="s">
        <v>247</v>
      </c>
      <c r="S43" s="16" t="s">
        <v>248</v>
      </c>
      <c r="T43" s="14" t="s">
        <v>249</v>
      </c>
      <c r="U43" s="16" t="s">
        <v>31</v>
      </c>
      <c r="V43" s="14" t="s">
        <v>371</v>
      </c>
      <c r="W43" s="14" t="s">
        <v>239</v>
      </c>
      <c r="X43" s="17" t="str">
        <f>HYPERLINK("https://my.pitchbook.com?p=445226-59P","View People Online")</f>
        <v>View People Online</v>
      </c>
    </row>
    <row r="44">
      <c r="A44" s="2" t="s">
        <v>386</v>
      </c>
      <c r="B44" s="2" t="s">
        <v>387</v>
      </c>
      <c r="C44" s="2" t="s">
        <v>388</v>
      </c>
      <c r="D44" s="2" t="s">
        <v>389</v>
      </c>
      <c r="E44" s="2" t="s">
        <v>239</v>
      </c>
      <c r="F44" s="2" t="s">
        <v>29</v>
      </c>
      <c r="G44" s="2" t="s">
        <v>390</v>
      </c>
      <c r="H44" s="3">
        <v>2.0</v>
      </c>
      <c r="I44" s="3">
        <v>8.0</v>
      </c>
      <c r="J44" s="3">
        <v>1.0</v>
      </c>
      <c r="K44" s="3">
        <v>3.0</v>
      </c>
      <c r="L44" s="4" t="s">
        <v>391</v>
      </c>
      <c r="M44" s="2" t="s">
        <v>392</v>
      </c>
      <c r="N44" s="2" t="s">
        <v>243</v>
      </c>
      <c r="O44" s="4" t="s">
        <v>244</v>
      </c>
      <c r="P44" s="2" t="s">
        <v>245</v>
      </c>
      <c r="Q44" s="2" t="s">
        <v>246</v>
      </c>
      <c r="R44" s="2" t="s">
        <v>247</v>
      </c>
      <c r="S44" s="4" t="s">
        <v>248</v>
      </c>
      <c r="T44" s="2" t="s">
        <v>249</v>
      </c>
      <c r="U44" s="4" t="s">
        <v>31</v>
      </c>
      <c r="V44" s="2" t="s">
        <v>29</v>
      </c>
      <c r="W44" s="2" t="s">
        <v>239</v>
      </c>
      <c r="X44" s="5" t="str">
        <f>HYPERLINK("https://my.pitchbook.com?p=101434-96P","View People Online")</f>
        <v>View People Online</v>
      </c>
    </row>
    <row r="45">
      <c r="A45" s="6" t="s">
        <v>393</v>
      </c>
      <c r="B45" s="6" t="s">
        <v>394</v>
      </c>
      <c r="C45" s="6" t="s">
        <v>395</v>
      </c>
      <c r="D45" s="6" t="s">
        <v>396</v>
      </c>
      <c r="E45" s="6" t="s">
        <v>239</v>
      </c>
      <c r="F45" s="6" t="s">
        <v>81</v>
      </c>
      <c r="G45" s="6" t="s">
        <v>397</v>
      </c>
      <c r="H45" s="7" t="s">
        <v>31</v>
      </c>
      <c r="I45" s="7">
        <v>2.0</v>
      </c>
      <c r="J45" s="7">
        <v>1.0</v>
      </c>
      <c r="K45" s="7" t="s">
        <v>31</v>
      </c>
      <c r="L45" s="8" t="s">
        <v>31</v>
      </c>
      <c r="M45" s="6" t="s">
        <v>398</v>
      </c>
      <c r="N45" s="6" t="s">
        <v>399</v>
      </c>
      <c r="O45" s="8" t="s">
        <v>400</v>
      </c>
      <c r="P45" s="6" t="s">
        <v>401</v>
      </c>
      <c r="Q45" s="6" t="s">
        <v>402</v>
      </c>
      <c r="R45" s="6" t="s">
        <v>396</v>
      </c>
      <c r="S45" s="8" t="s">
        <v>403</v>
      </c>
      <c r="T45" s="6" t="s">
        <v>66</v>
      </c>
      <c r="U45" s="8" t="s">
        <v>31</v>
      </c>
      <c r="V45" s="6" t="s">
        <v>152</v>
      </c>
      <c r="W45" s="6" t="s">
        <v>404</v>
      </c>
      <c r="X45" s="9" t="str">
        <f>HYPERLINK("https://my.pitchbook.com?p=217054-81P","View People Online")</f>
        <v>View People Online</v>
      </c>
    </row>
    <row r="46">
      <c r="A46" s="10" t="s">
        <v>405</v>
      </c>
      <c r="B46" s="10" t="s">
        <v>406</v>
      </c>
      <c r="C46" s="10" t="s">
        <v>407</v>
      </c>
      <c r="D46" s="10" t="s">
        <v>408</v>
      </c>
      <c r="E46" s="10" t="s">
        <v>239</v>
      </c>
      <c r="F46" s="10" t="s">
        <v>221</v>
      </c>
      <c r="G46" s="10" t="s">
        <v>409</v>
      </c>
      <c r="H46" s="11">
        <v>1.0</v>
      </c>
      <c r="I46" s="11">
        <v>2.0</v>
      </c>
      <c r="J46" s="11">
        <v>1.0</v>
      </c>
      <c r="K46" s="11" t="s">
        <v>31</v>
      </c>
      <c r="L46" s="12" t="s">
        <v>31</v>
      </c>
      <c r="M46" s="10" t="s">
        <v>410</v>
      </c>
      <c r="N46" s="10" t="s">
        <v>243</v>
      </c>
      <c r="O46" s="12" t="s">
        <v>244</v>
      </c>
      <c r="P46" s="10" t="s">
        <v>245</v>
      </c>
      <c r="Q46" s="10" t="s">
        <v>246</v>
      </c>
      <c r="R46" s="10" t="s">
        <v>247</v>
      </c>
      <c r="S46" s="12" t="s">
        <v>248</v>
      </c>
      <c r="T46" s="10" t="s">
        <v>249</v>
      </c>
      <c r="U46" s="12" t="s">
        <v>31</v>
      </c>
      <c r="V46" s="10" t="s">
        <v>221</v>
      </c>
      <c r="W46" s="10" t="s">
        <v>239</v>
      </c>
      <c r="X46" s="13" t="str">
        <f>HYPERLINK("https://my.pitchbook.com?p=369276-76P","View People Online")</f>
        <v>View People Online</v>
      </c>
    </row>
    <row r="47">
      <c r="A47" s="6" t="s">
        <v>411</v>
      </c>
      <c r="B47" s="6" t="s">
        <v>412</v>
      </c>
      <c r="C47" s="6" t="s">
        <v>413</v>
      </c>
      <c r="D47" s="6" t="s">
        <v>414</v>
      </c>
      <c r="E47" s="6" t="s">
        <v>415</v>
      </c>
      <c r="F47" s="6" t="s">
        <v>29</v>
      </c>
      <c r="G47" s="6" t="s">
        <v>416</v>
      </c>
      <c r="H47" s="7" t="s">
        <v>31</v>
      </c>
      <c r="I47" s="7">
        <v>6.0</v>
      </c>
      <c r="J47" s="7">
        <v>1.0</v>
      </c>
      <c r="K47" s="7">
        <v>3.0</v>
      </c>
      <c r="L47" s="8" t="s">
        <v>31</v>
      </c>
      <c r="M47" s="6" t="s">
        <v>417</v>
      </c>
      <c r="N47" s="6" t="s">
        <v>418</v>
      </c>
      <c r="O47" s="8" t="s">
        <v>419</v>
      </c>
      <c r="P47" s="6" t="s">
        <v>420</v>
      </c>
      <c r="Q47" s="6" t="s">
        <v>31</v>
      </c>
      <c r="R47" s="6" t="s">
        <v>31</v>
      </c>
      <c r="S47" s="8" t="s">
        <v>421</v>
      </c>
      <c r="T47" s="6" t="s">
        <v>422</v>
      </c>
      <c r="U47" s="8" t="s">
        <v>31</v>
      </c>
      <c r="V47" s="6" t="s">
        <v>29</v>
      </c>
      <c r="W47" s="6" t="s">
        <v>415</v>
      </c>
      <c r="X47" s="9" t="str">
        <f>HYPERLINK("https://my.pitchbook.com?p=345875-05P","View People Online")</f>
        <v>View People Online</v>
      </c>
    </row>
    <row r="48">
      <c r="A48" s="2" t="s">
        <v>423</v>
      </c>
      <c r="B48" s="2" t="s">
        <v>424</v>
      </c>
      <c r="C48" s="2" t="s">
        <v>425</v>
      </c>
      <c r="D48" s="2" t="s">
        <v>426</v>
      </c>
      <c r="E48" s="2" t="s">
        <v>415</v>
      </c>
      <c r="F48" s="2" t="s">
        <v>29</v>
      </c>
      <c r="G48" s="2" t="s">
        <v>427</v>
      </c>
      <c r="H48" s="3">
        <v>2.0</v>
      </c>
      <c r="I48" s="3">
        <v>23.0</v>
      </c>
      <c r="J48" s="3">
        <v>1.0</v>
      </c>
      <c r="K48" s="3">
        <v>12.0</v>
      </c>
      <c r="L48" s="4" t="s">
        <v>31</v>
      </c>
      <c r="M48" s="2" t="s">
        <v>428</v>
      </c>
      <c r="N48" s="2" t="s">
        <v>429</v>
      </c>
      <c r="O48" s="4" t="s">
        <v>430</v>
      </c>
      <c r="P48" s="2" t="s">
        <v>431</v>
      </c>
      <c r="Q48" s="2" t="s">
        <v>31</v>
      </c>
      <c r="R48" s="2" t="s">
        <v>31</v>
      </c>
      <c r="S48" s="4" t="s">
        <v>432</v>
      </c>
      <c r="T48" s="2" t="s">
        <v>433</v>
      </c>
      <c r="U48" s="4" t="s">
        <v>31</v>
      </c>
      <c r="V48" s="2" t="s">
        <v>29</v>
      </c>
      <c r="W48" s="2" t="s">
        <v>415</v>
      </c>
      <c r="X48" s="5" t="str">
        <f>HYPERLINK("https://my.pitchbook.com?p=159778-54P","View People Online")</f>
        <v>View People Online</v>
      </c>
    </row>
    <row r="49">
      <c r="A49" s="14" t="s">
        <v>434</v>
      </c>
      <c r="B49" s="14" t="s">
        <v>435</v>
      </c>
      <c r="C49" s="14" t="s">
        <v>436</v>
      </c>
      <c r="D49" s="14" t="s">
        <v>437</v>
      </c>
      <c r="E49" s="14" t="s">
        <v>415</v>
      </c>
      <c r="F49" s="14" t="s">
        <v>270</v>
      </c>
      <c r="G49" s="14" t="s">
        <v>438</v>
      </c>
      <c r="H49" s="15" t="s">
        <v>31</v>
      </c>
      <c r="I49" s="15">
        <v>2.0</v>
      </c>
      <c r="J49" s="15">
        <v>1.0</v>
      </c>
      <c r="K49" s="15" t="s">
        <v>31</v>
      </c>
      <c r="L49" s="16" t="s">
        <v>31</v>
      </c>
      <c r="M49" s="14" t="s">
        <v>439</v>
      </c>
      <c r="N49" s="14" t="s">
        <v>429</v>
      </c>
      <c r="O49" s="16" t="s">
        <v>430</v>
      </c>
      <c r="P49" s="14" t="s">
        <v>431</v>
      </c>
      <c r="Q49" s="14" t="s">
        <v>31</v>
      </c>
      <c r="R49" s="14" t="s">
        <v>31</v>
      </c>
      <c r="S49" s="16" t="s">
        <v>432</v>
      </c>
      <c r="T49" s="14" t="s">
        <v>433</v>
      </c>
      <c r="U49" s="16" t="s">
        <v>31</v>
      </c>
      <c r="V49" s="14" t="s">
        <v>440</v>
      </c>
      <c r="W49" s="14" t="s">
        <v>415</v>
      </c>
      <c r="X49" s="17" t="str">
        <f>HYPERLINK("https://my.pitchbook.com?p=363152-71P","View People Online")</f>
        <v>View People Online</v>
      </c>
    </row>
    <row r="50">
      <c r="A50" s="10" t="s">
        <v>441</v>
      </c>
      <c r="B50" s="10" t="s">
        <v>442</v>
      </c>
      <c r="C50" s="10" t="s">
        <v>443</v>
      </c>
      <c r="D50" s="10" t="s">
        <v>444</v>
      </c>
      <c r="E50" s="10" t="s">
        <v>415</v>
      </c>
      <c r="F50" s="10" t="s">
        <v>29</v>
      </c>
      <c r="G50" s="10" t="s">
        <v>445</v>
      </c>
      <c r="H50" s="11">
        <v>5.0</v>
      </c>
      <c r="I50" s="11">
        <v>38.0</v>
      </c>
      <c r="J50" s="11">
        <v>2.0</v>
      </c>
      <c r="K50" s="11">
        <v>21.0</v>
      </c>
      <c r="L50" s="12" t="s">
        <v>31</v>
      </c>
      <c r="M50" s="10" t="s">
        <v>446</v>
      </c>
      <c r="N50" s="10" t="s">
        <v>418</v>
      </c>
      <c r="O50" s="12" t="s">
        <v>419</v>
      </c>
      <c r="P50" s="10" t="s">
        <v>420</v>
      </c>
      <c r="Q50" s="10" t="s">
        <v>31</v>
      </c>
      <c r="R50" s="10" t="s">
        <v>31</v>
      </c>
      <c r="S50" s="12" t="s">
        <v>421</v>
      </c>
      <c r="T50" s="10" t="s">
        <v>422</v>
      </c>
      <c r="U50" s="12" t="s">
        <v>31</v>
      </c>
      <c r="V50" s="10" t="s">
        <v>29</v>
      </c>
      <c r="W50" s="10" t="s">
        <v>415</v>
      </c>
      <c r="X50" s="13" t="str">
        <f>HYPERLINK("https://my.pitchbook.com?p=48710-71P","View People Online")</f>
        <v>View People Online</v>
      </c>
    </row>
    <row r="51">
      <c r="A51" s="14" t="s">
        <v>447</v>
      </c>
      <c r="B51" s="14" t="s">
        <v>448</v>
      </c>
      <c r="C51" s="14" t="s">
        <v>449</v>
      </c>
      <c r="D51" s="14" t="s">
        <v>450</v>
      </c>
      <c r="E51" s="14" t="s">
        <v>415</v>
      </c>
      <c r="F51" s="14" t="s">
        <v>81</v>
      </c>
      <c r="G51" s="14" t="s">
        <v>451</v>
      </c>
      <c r="H51" s="15" t="s">
        <v>31</v>
      </c>
      <c r="I51" s="15">
        <v>1.0</v>
      </c>
      <c r="J51" s="15" t="s">
        <v>31</v>
      </c>
      <c r="K51" s="15" t="s">
        <v>31</v>
      </c>
      <c r="L51" s="16" t="s">
        <v>31</v>
      </c>
      <c r="M51" s="14" t="s">
        <v>31</v>
      </c>
      <c r="N51" s="14" t="s">
        <v>429</v>
      </c>
      <c r="O51" s="16" t="s">
        <v>430</v>
      </c>
      <c r="P51" s="14" t="s">
        <v>431</v>
      </c>
      <c r="Q51" s="14" t="s">
        <v>31</v>
      </c>
      <c r="R51" s="14" t="s">
        <v>31</v>
      </c>
      <c r="S51" s="16" t="s">
        <v>432</v>
      </c>
      <c r="T51" s="14" t="s">
        <v>433</v>
      </c>
      <c r="U51" s="16" t="s">
        <v>31</v>
      </c>
      <c r="V51" s="14" t="s">
        <v>81</v>
      </c>
      <c r="W51" s="14" t="s">
        <v>415</v>
      </c>
      <c r="X51" s="17" t="str">
        <f>HYPERLINK("https://my.pitchbook.com?p=317777-68P","View People Online")</f>
        <v>View People Online</v>
      </c>
    </row>
    <row r="52">
      <c r="A52" s="2" t="s">
        <v>452</v>
      </c>
      <c r="B52" s="2" t="s">
        <v>453</v>
      </c>
      <c r="C52" s="2" t="s">
        <v>454</v>
      </c>
      <c r="D52" s="2" t="s">
        <v>455</v>
      </c>
      <c r="E52" s="2" t="s">
        <v>415</v>
      </c>
      <c r="F52" s="2" t="s">
        <v>29</v>
      </c>
      <c r="G52" s="2" t="s">
        <v>456</v>
      </c>
      <c r="H52" s="3" t="s">
        <v>31</v>
      </c>
      <c r="I52" s="3">
        <v>2.0</v>
      </c>
      <c r="J52" s="3">
        <v>1.0</v>
      </c>
      <c r="K52" s="3" t="s">
        <v>31</v>
      </c>
      <c r="L52" s="4" t="s">
        <v>31</v>
      </c>
      <c r="M52" s="2" t="s">
        <v>457</v>
      </c>
      <c r="N52" s="2" t="s">
        <v>429</v>
      </c>
      <c r="O52" s="4" t="s">
        <v>430</v>
      </c>
      <c r="P52" s="2" t="s">
        <v>431</v>
      </c>
      <c r="Q52" s="2" t="s">
        <v>31</v>
      </c>
      <c r="R52" s="2" t="s">
        <v>31</v>
      </c>
      <c r="S52" s="4" t="s">
        <v>432</v>
      </c>
      <c r="T52" s="2" t="s">
        <v>433</v>
      </c>
      <c r="U52" s="4" t="s">
        <v>31</v>
      </c>
      <c r="V52" s="2" t="s">
        <v>29</v>
      </c>
      <c r="W52" s="2" t="s">
        <v>415</v>
      </c>
      <c r="X52" s="5" t="str">
        <f>HYPERLINK("https://my.pitchbook.com?p=301178-53P","View People Online")</f>
        <v>View People Online</v>
      </c>
    </row>
    <row r="53">
      <c r="A53" s="6" t="s">
        <v>458</v>
      </c>
      <c r="B53" s="6" t="s">
        <v>459</v>
      </c>
      <c r="C53" s="6" t="s">
        <v>460</v>
      </c>
      <c r="D53" s="6" t="s">
        <v>461</v>
      </c>
      <c r="E53" s="6" t="s">
        <v>415</v>
      </c>
      <c r="F53" s="6" t="s">
        <v>29</v>
      </c>
      <c r="G53" s="6" t="s">
        <v>462</v>
      </c>
      <c r="H53" s="7">
        <v>2.0</v>
      </c>
      <c r="I53" s="7">
        <v>21.0</v>
      </c>
      <c r="J53" s="7">
        <v>1.0</v>
      </c>
      <c r="K53" s="7">
        <v>9.0</v>
      </c>
      <c r="L53" s="8" t="s">
        <v>463</v>
      </c>
      <c r="M53" s="6" t="s">
        <v>464</v>
      </c>
      <c r="N53" s="6" t="s">
        <v>465</v>
      </c>
      <c r="O53" s="8" t="s">
        <v>466</v>
      </c>
      <c r="P53" s="6" t="s">
        <v>467</v>
      </c>
      <c r="Q53" s="6" t="s">
        <v>31</v>
      </c>
      <c r="R53" s="6" t="s">
        <v>31</v>
      </c>
      <c r="S53" s="8" t="s">
        <v>468</v>
      </c>
      <c r="T53" s="6" t="s">
        <v>422</v>
      </c>
      <c r="U53" s="8" t="s">
        <v>469</v>
      </c>
      <c r="V53" s="6" t="s">
        <v>470</v>
      </c>
      <c r="W53" s="6" t="s">
        <v>471</v>
      </c>
      <c r="X53" s="9" t="str">
        <f>HYPERLINK("https://my.pitchbook.com?p=48708-91P","View People Online")</f>
        <v>View People Online</v>
      </c>
    </row>
    <row r="54">
      <c r="A54" s="2" t="s">
        <v>472</v>
      </c>
      <c r="B54" s="2" t="s">
        <v>473</v>
      </c>
      <c r="C54" s="2" t="s">
        <v>474</v>
      </c>
      <c r="D54" s="2" t="s">
        <v>475</v>
      </c>
      <c r="E54" s="2" t="s">
        <v>415</v>
      </c>
      <c r="F54" s="2" t="s">
        <v>29</v>
      </c>
      <c r="G54" s="2" t="s">
        <v>476</v>
      </c>
      <c r="H54" s="3">
        <v>1.0</v>
      </c>
      <c r="I54" s="3">
        <v>21.0</v>
      </c>
      <c r="J54" s="3">
        <v>1.0</v>
      </c>
      <c r="K54" s="3">
        <v>9.0</v>
      </c>
      <c r="L54" s="4" t="s">
        <v>477</v>
      </c>
      <c r="M54" s="2" t="s">
        <v>478</v>
      </c>
      <c r="N54" s="2" t="s">
        <v>418</v>
      </c>
      <c r="O54" s="4" t="s">
        <v>419</v>
      </c>
      <c r="P54" s="2" t="s">
        <v>420</v>
      </c>
      <c r="Q54" s="2" t="s">
        <v>31</v>
      </c>
      <c r="R54" s="2" t="s">
        <v>31</v>
      </c>
      <c r="S54" s="4" t="s">
        <v>421</v>
      </c>
      <c r="T54" s="2" t="s">
        <v>422</v>
      </c>
      <c r="U54" s="4" t="s">
        <v>31</v>
      </c>
      <c r="V54" s="2" t="s">
        <v>29</v>
      </c>
      <c r="W54" s="2" t="s">
        <v>415</v>
      </c>
      <c r="X54" s="5" t="str">
        <f>HYPERLINK("https://my.pitchbook.com?p=48594-61P","View People Online")</f>
        <v>View People Online</v>
      </c>
    </row>
    <row r="55">
      <c r="A55" s="6" t="s">
        <v>479</v>
      </c>
      <c r="B55" s="6" t="s">
        <v>480</v>
      </c>
      <c r="C55" s="6" t="s">
        <v>481</v>
      </c>
      <c r="D55" s="6" t="s">
        <v>482</v>
      </c>
      <c r="E55" s="6" t="s">
        <v>415</v>
      </c>
      <c r="F55" s="6" t="s">
        <v>29</v>
      </c>
      <c r="G55" s="6" t="s">
        <v>483</v>
      </c>
      <c r="H55" s="7" t="s">
        <v>31</v>
      </c>
      <c r="I55" s="7">
        <v>20.0</v>
      </c>
      <c r="J55" s="7">
        <v>1.0</v>
      </c>
      <c r="K55" s="7">
        <v>11.0</v>
      </c>
      <c r="L55" s="8" t="s">
        <v>31</v>
      </c>
      <c r="M55" s="6" t="s">
        <v>484</v>
      </c>
      <c r="N55" s="6" t="s">
        <v>429</v>
      </c>
      <c r="O55" s="8" t="s">
        <v>430</v>
      </c>
      <c r="P55" s="6" t="s">
        <v>431</v>
      </c>
      <c r="Q55" s="6" t="s">
        <v>31</v>
      </c>
      <c r="R55" s="6" t="s">
        <v>31</v>
      </c>
      <c r="S55" s="8" t="s">
        <v>432</v>
      </c>
      <c r="T55" s="6" t="s">
        <v>433</v>
      </c>
      <c r="U55" s="8" t="s">
        <v>31</v>
      </c>
      <c r="V55" s="6" t="s">
        <v>29</v>
      </c>
      <c r="W55" s="6" t="s">
        <v>415</v>
      </c>
      <c r="X55" s="9" t="str">
        <f>HYPERLINK("https://my.pitchbook.com?p=48712-06P","View People Online")</f>
        <v>View People Online</v>
      </c>
    </row>
    <row r="56">
      <c r="A56" s="2" t="s">
        <v>485</v>
      </c>
      <c r="B56" s="2" t="s">
        <v>486</v>
      </c>
      <c r="C56" s="2" t="s">
        <v>487</v>
      </c>
      <c r="D56" s="2" t="s">
        <v>488</v>
      </c>
      <c r="E56" s="2" t="s">
        <v>415</v>
      </c>
      <c r="F56" s="2" t="s">
        <v>270</v>
      </c>
      <c r="G56" s="2" t="s">
        <v>489</v>
      </c>
      <c r="H56" s="3" t="s">
        <v>31</v>
      </c>
      <c r="I56" s="3">
        <v>1.0</v>
      </c>
      <c r="J56" s="3">
        <v>1.0</v>
      </c>
      <c r="K56" s="3" t="s">
        <v>31</v>
      </c>
      <c r="L56" s="4" t="s">
        <v>31</v>
      </c>
      <c r="M56" s="2" t="s">
        <v>490</v>
      </c>
      <c r="N56" s="2" t="s">
        <v>418</v>
      </c>
      <c r="O56" s="4" t="s">
        <v>419</v>
      </c>
      <c r="P56" s="2" t="s">
        <v>420</v>
      </c>
      <c r="Q56" s="2" t="s">
        <v>31</v>
      </c>
      <c r="R56" s="2" t="s">
        <v>31</v>
      </c>
      <c r="S56" s="4" t="s">
        <v>421</v>
      </c>
      <c r="T56" s="2" t="s">
        <v>422</v>
      </c>
      <c r="U56" s="4" t="s">
        <v>31</v>
      </c>
      <c r="V56" s="2" t="s">
        <v>440</v>
      </c>
      <c r="W56" s="2" t="s">
        <v>415</v>
      </c>
      <c r="X56" s="5" t="str">
        <f>HYPERLINK("https://my.pitchbook.com?p=408396-52P","View People Online")</f>
        <v>View People Online</v>
      </c>
    </row>
    <row r="57">
      <c r="A57" s="6" t="s">
        <v>491</v>
      </c>
      <c r="B57" s="6" t="s">
        <v>492</v>
      </c>
      <c r="C57" s="6" t="s">
        <v>493</v>
      </c>
      <c r="D57" s="6" t="s">
        <v>494</v>
      </c>
      <c r="E57" s="6" t="s">
        <v>415</v>
      </c>
      <c r="F57" s="6" t="s">
        <v>221</v>
      </c>
      <c r="G57" s="6" t="s">
        <v>495</v>
      </c>
      <c r="H57" s="7" t="s">
        <v>31</v>
      </c>
      <c r="I57" s="7">
        <v>1.0</v>
      </c>
      <c r="J57" s="7">
        <v>1.0</v>
      </c>
      <c r="K57" s="7" t="s">
        <v>31</v>
      </c>
      <c r="L57" s="8" t="s">
        <v>31</v>
      </c>
      <c r="M57" s="6" t="s">
        <v>496</v>
      </c>
      <c r="N57" s="6" t="s">
        <v>429</v>
      </c>
      <c r="O57" s="8" t="s">
        <v>430</v>
      </c>
      <c r="P57" s="6" t="s">
        <v>431</v>
      </c>
      <c r="Q57" s="6" t="s">
        <v>31</v>
      </c>
      <c r="R57" s="6" t="s">
        <v>31</v>
      </c>
      <c r="S57" s="8" t="s">
        <v>432</v>
      </c>
      <c r="T57" s="6" t="s">
        <v>433</v>
      </c>
      <c r="U57" s="8" t="s">
        <v>31</v>
      </c>
      <c r="V57" s="6" t="s">
        <v>497</v>
      </c>
      <c r="W57" s="6" t="s">
        <v>415</v>
      </c>
      <c r="X57" s="9" t="str">
        <f>HYPERLINK("https://my.pitchbook.com?p=331958-44P","View People Online")</f>
        <v>View People Online</v>
      </c>
    </row>
    <row r="58">
      <c r="A58" s="2" t="s">
        <v>498</v>
      </c>
      <c r="B58" s="2" t="s">
        <v>499</v>
      </c>
      <c r="C58" s="2" t="s">
        <v>500</v>
      </c>
      <c r="D58" s="2" t="s">
        <v>501</v>
      </c>
      <c r="E58" s="2" t="s">
        <v>415</v>
      </c>
      <c r="F58" s="2" t="s">
        <v>502</v>
      </c>
      <c r="G58" s="2" t="s">
        <v>503</v>
      </c>
      <c r="H58" s="3" t="s">
        <v>31</v>
      </c>
      <c r="I58" s="3">
        <v>1.0</v>
      </c>
      <c r="J58" s="3">
        <v>1.0</v>
      </c>
      <c r="K58" s="3" t="s">
        <v>31</v>
      </c>
      <c r="L58" s="4" t="s">
        <v>31</v>
      </c>
      <c r="M58" s="2" t="s">
        <v>504</v>
      </c>
      <c r="N58" s="2" t="s">
        <v>429</v>
      </c>
      <c r="O58" s="4" t="s">
        <v>430</v>
      </c>
      <c r="P58" s="2" t="s">
        <v>431</v>
      </c>
      <c r="Q58" s="2" t="s">
        <v>31</v>
      </c>
      <c r="R58" s="2" t="s">
        <v>31</v>
      </c>
      <c r="S58" s="4" t="s">
        <v>432</v>
      </c>
      <c r="T58" s="2" t="s">
        <v>433</v>
      </c>
      <c r="U58" s="4" t="s">
        <v>31</v>
      </c>
      <c r="V58" s="2" t="s">
        <v>502</v>
      </c>
      <c r="W58" s="2" t="s">
        <v>415</v>
      </c>
      <c r="X58" s="5" t="str">
        <f>HYPERLINK("https://my.pitchbook.com?p=301179-61P","View People Online")</f>
        <v>View People Online</v>
      </c>
    </row>
    <row r="59">
      <c r="A59" s="14" t="s">
        <v>505</v>
      </c>
      <c r="B59" s="14" t="s">
        <v>506</v>
      </c>
      <c r="C59" s="14" t="s">
        <v>507</v>
      </c>
      <c r="D59" s="14" t="s">
        <v>508</v>
      </c>
      <c r="E59" s="14" t="s">
        <v>415</v>
      </c>
      <c r="F59" s="14" t="s">
        <v>81</v>
      </c>
      <c r="G59" s="14" t="s">
        <v>509</v>
      </c>
      <c r="H59" s="15" t="s">
        <v>31</v>
      </c>
      <c r="I59" s="15">
        <v>1.0</v>
      </c>
      <c r="J59" s="15" t="s">
        <v>31</v>
      </c>
      <c r="K59" s="15" t="s">
        <v>31</v>
      </c>
      <c r="L59" s="16" t="s">
        <v>31</v>
      </c>
      <c r="M59" s="14" t="s">
        <v>31</v>
      </c>
      <c r="N59" s="14" t="s">
        <v>429</v>
      </c>
      <c r="O59" s="16" t="s">
        <v>430</v>
      </c>
      <c r="P59" s="14" t="s">
        <v>431</v>
      </c>
      <c r="Q59" s="14" t="s">
        <v>31</v>
      </c>
      <c r="R59" s="14" t="s">
        <v>31</v>
      </c>
      <c r="S59" s="16" t="s">
        <v>432</v>
      </c>
      <c r="T59" s="14" t="s">
        <v>433</v>
      </c>
      <c r="U59" s="16" t="s">
        <v>31</v>
      </c>
      <c r="V59" s="14" t="s">
        <v>81</v>
      </c>
      <c r="W59" s="14" t="s">
        <v>415</v>
      </c>
      <c r="X59" s="17" t="str">
        <f>HYPERLINK("https://my.pitchbook.com?p=409196-26P","View People Online")</f>
        <v>View People Online</v>
      </c>
    </row>
    <row r="60">
      <c r="A60" s="2" t="s">
        <v>510</v>
      </c>
      <c r="B60" s="2" t="s">
        <v>511</v>
      </c>
      <c r="C60" s="2" t="s">
        <v>512</v>
      </c>
      <c r="D60" s="2" t="s">
        <v>513</v>
      </c>
      <c r="E60" s="2" t="s">
        <v>415</v>
      </c>
      <c r="F60" s="2" t="s">
        <v>29</v>
      </c>
      <c r="G60" s="2" t="s">
        <v>514</v>
      </c>
      <c r="H60" s="3">
        <v>1.0</v>
      </c>
      <c r="I60" s="3">
        <v>10.0</v>
      </c>
      <c r="J60" s="3">
        <v>1.0</v>
      </c>
      <c r="K60" s="3">
        <v>7.0</v>
      </c>
      <c r="L60" s="4" t="s">
        <v>31</v>
      </c>
      <c r="M60" s="2" t="s">
        <v>515</v>
      </c>
      <c r="N60" s="2" t="s">
        <v>418</v>
      </c>
      <c r="O60" s="4" t="s">
        <v>419</v>
      </c>
      <c r="P60" s="2" t="s">
        <v>420</v>
      </c>
      <c r="Q60" s="2" t="s">
        <v>31</v>
      </c>
      <c r="R60" s="2" t="s">
        <v>31</v>
      </c>
      <c r="S60" s="4" t="s">
        <v>421</v>
      </c>
      <c r="T60" s="2" t="s">
        <v>422</v>
      </c>
      <c r="U60" s="4" t="s">
        <v>31</v>
      </c>
      <c r="V60" s="2" t="s">
        <v>29</v>
      </c>
      <c r="W60" s="2" t="s">
        <v>415</v>
      </c>
      <c r="X60" s="5" t="str">
        <f>HYPERLINK("https://my.pitchbook.com?p=247646-35P","View People Online")</f>
        <v>View People Online</v>
      </c>
    </row>
    <row r="61">
      <c r="A61" s="6" t="s">
        <v>516</v>
      </c>
      <c r="B61" s="6" t="s">
        <v>517</v>
      </c>
      <c r="C61" s="6" t="s">
        <v>518</v>
      </c>
      <c r="D61" s="6" t="s">
        <v>519</v>
      </c>
      <c r="E61" s="6" t="s">
        <v>415</v>
      </c>
      <c r="F61" s="6" t="s">
        <v>81</v>
      </c>
      <c r="G61" s="6" t="s">
        <v>520</v>
      </c>
      <c r="H61" s="7">
        <v>2.0</v>
      </c>
      <c r="I61" s="7">
        <v>10.0</v>
      </c>
      <c r="J61" s="7">
        <v>2.0</v>
      </c>
      <c r="K61" s="7">
        <v>6.0</v>
      </c>
      <c r="L61" s="8" t="s">
        <v>521</v>
      </c>
      <c r="M61" s="6" t="s">
        <v>522</v>
      </c>
      <c r="N61" s="6" t="s">
        <v>418</v>
      </c>
      <c r="O61" s="8" t="s">
        <v>419</v>
      </c>
      <c r="P61" s="6" t="s">
        <v>523</v>
      </c>
      <c r="Q61" s="6" t="s">
        <v>31</v>
      </c>
      <c r="R61" s="6" t="s">
        <v>31</v>
      </c>
      <c r="S61" s="8" t="s">
        <v>524</v>
      </c>
      <c r="T61" s="6" t="s">
        <v>422</v>
      </c>
      <c r="U61" s="8" t="s">
        <v>525</v>
      </c>
      <c r="V61" s="6" t="s">
        <v>152</v>
      </c>
      <c r="W61" s="6" t="s">
        <v>526</v>
      </c>
      <c r="X61" s="9" t="str">
        <f>HYPERLINK("https://my.pitchbook.com?p=13675-24P","View People Online")</f>
        <v>View People Online</v>
      </c>
    </row>
    <row r="62">
      <c r="A62" s="2" t="s">
        <v>527</v>
      </c>
      <c r="B62" s="2" t="s">
        <v>528</v>
      </c>
      <c r="C62" s="2" t="s">
        <v>529</v>
      </c>
      <c r="D62" s="2" t="s">
        <v>530</v>
      </c>
      <c r="E62" s="2" t="s">
        <v>415</v>
      </c>
      <c r="F62" s="2" t="s">
        <v>29</v>
      </c>
      <c r="G62" s="2" t="s">
        <v>531</v>
      </c>
      <c r="H62" s="3">
        <v>4.0</v>
      </c>
      <c r="I62" s="3">
        <v>36.0</v>
      </c>
      <c r="J62" s="3">
        <v>2.0</v>
      </c>
      <c r="K62" s="3">
        <v>18.0</v>
      </c>
      <c r="L62" s="4" t="s">
        <v>31</v>
      </c>
      <c r="M62" s="2" t="s">
        <v>532</v>
      </c>
      <c r="N62" s="2" t="s">
        <v>429</v>
      </c>
      <c r="O62" s="4" t="s">
        <v>430</v>
      </c>
      <c r="P62" s="2" t="s">
        <v>431</v>
      </c>
      <c r="Q62" s="2" t="s">
        <v>31</v>
      </c>
      <c r="R62" s="2" t="s">
        <v>31</v>
      </c>
      <c r="S62" s="4" t="s">
        <v>432</v>
      </c>
      <c r="T62" s="2" t="s">
        <v>433</v>
      </c>
      <c r="U62" s="4" t="s">
        <v>31</v>
      </c>
      <c r="V62" s="2" t="s">
        <v>29</v>
      </c>
      <c r="W62" s="2" t="s">
        <v>415</v>
      </c>
      <c r="X62" s="5" t="str">
        <f>HYPERLINK("https://my.pitchbook.com?p=107777-71P","View People Online")</f>
        <v>View People Online</v>
      </c>
    </row>
    <row r="63">
      <c r="A63" s="14" t="s">
        <v>533</v>
      </c>
      <c r="B63" s="14" t="s">
        <v>534</v>
      </c>
      <c r="C63" s="14" t="s">
        <v>535</v>
      </c>
      <c r="D63" s="14" t="s">
        <v>536</v>
      </c>
      <c r="E63" s="14" t="s">
        <v>415</v>
      </c>
      <c r="F63" s="14" t="s">
        <v>270</v>
      </c>
      <c r="G63" s="14" t="s">
        <v>537</v>
      </c>
      <c r="H63" s="15" t="s">
        <v>31</v>
      </c>
      <c r="I63" s="15">
        <v>1.0</v>
      </c>
      <c r="J63" s="15">
        <v>1.0</v>
      </c>
      <c r="K63" s="15" t="s">
        <v>31</v>
      </c>
      <c r="L63" s="16" t="s">
        <v>31</v>
      </c>
      <c r="M63" s="14" t="s">
        <v>538</v>
      </c>
      <c r="N63" s="14" t="s">
        <v>429</v>
      </c>
      <c r="O63" s="16" t="s">
        <v>430</v>
      </c>
      <c r="P63" s="14" t="s">
        <v>431</v>
      </c>
      <c r="Q63" s="14" t="s">
        <v>31</v>
      </c>
      <c r="R63" s="14" t="s">
        <v>31</v>
      </c>
      <c r="S63" s="16" t="s">
        <v>432</v>
      </c>
      <c r="T63" s="14" t="s">
        <v>433</v>
      </c>
      <c r="U63" s="16" t="s">
        <v>31</v>
      </c>
      <c r="V63" s="14" t="s">
        <v>440</v>
      </c>
      <c r="W63" s="14" t="s">
        <v>415</v>
      </c>
      <c r="X63" s="17" t="str">
        <f>HYPERLINK("https://my.pitchbook.com?p=408397-33P","View People Online")</f>
        <v>View People Online</v>
      </c>
    </row>
    <row r="64">
      <c r="A64" s="10" t="s">
        <v>539</v>
      </c>
      <c r="B64" s="10" t="s">
        <v>540</v>
      </c>
      <c r="C64" s="10" t="s">
        <v>541</v>
      </c>
      <c r="D64" s="10" t="s">
        <v>542</v>
      </c>
      <c r="E64" s="10" t="s">
        <v>415</v>
      </c>
      <c r="F64" s="10" t="s">
        <v>81</v>
      </c>
      <c r="G64" s="10" t="s">
        <v>543</v>
      </c>
      <c r="H64" s="11" t="s">
        <v>31</v>
      </c>
      <c r="I64" s="11">
        <v>7.0</v>
      </c>
      <c r="J64" s="11">
        <v>1.0</v>
      </c>
      <c r="K64" s="11">
        <v>2.0</v>
      </c>
      <c r="L64" s="12" t="s">
        <v>544</v>
      </c>
      <c r="M64" s="10" t="s">
        <v>545</v>
      </c>
      <c r="N64" s="10" t="s">
        <v>429</v>
      </c>
      <c r="O64" s="12" t="s">
        <v>430</v>
      </c>
      <c r="P64" s="10" t="s">
        <v>546</v>
      </c>
      <c r="Q64" s="10" t="s">
        <v>31</v>
      </c>
      <c r="R64" s="10" t="s">
        <v>547</v>
      </c>
      <c r="S64" s="12" t="s">
        <v>432</v>
      </c>
      <c r="T64" s="10" t="s">
        <v>433</v>
      </c>
      <c r="U64" s="12" t="s">
        <v>31</v>
      </c>
      <c r="V64" s="10" t="s">
        <v>548</v>
      </c>
      <c r="W64" s="10" t="s">
        <v>549</v>
      </c>
      <c r="X64" s="13" t="str">
        <f>HYPERLINK("https://my.pitchbook.com?p=330642-46P","View People Online")</f>
        <v>View People Online</v>
      </c>
    </row>
    <row r="65">
      <c r="A65" s="14" t="s">
        <v>550</v>
      </c>
      <c r="B65" s="14" t="s">
        <v>551</v>
      </c>
      <c r="C65" s="14" t="s">
        <v>552</v>
      </c>
      <c r="D65" s="14" t="s">
        <v>553</v>
      </c>
      <c r="E65" s="14" t="s">
        <v>415</v>
      </c>
      <c r="F65" s="14" t="s">
        <v>81</v>
      </c>
      <c r="G65" s="14" t="s">
        <v>554</v>
      </c>
      <c r="H65" s="15" t="s">
        <v>31</v>
      </c>
      <c r="I65" s="15">
        <v>3.0</v>
      </c>
      <c r="J65" s="15">
        <v>1.0</v>
      </c>
      <c r="K65" s="15">
        <v>1.0</v>
      </c>
      <c r="L65" s="16" t="s">
        <v>555</v>
      </c>
      <c r="M65" s="14" t="s">
        <v>556</v>
      </c>
      <c r="N65" s="14" t="s">
        <v>418</v>
      </c>
      <c r="O65" s="16" t="s">
        <v>419</v>
      </c>
      <c r="P65" s="14" t="s">
        <v>557</v>
      </c>
      <c r="Q65" s="14" t="s">
        <v>31</v>
      </c>
      <c r="R65" s="14" t="s">
        <v>31</v>
      </c>
      <c r="S65" s="16" t="s">
        <v>524</v>
      </c>
      <c r="T65" s="14" t="s">
        <v>422</v>
      </c>
      <c r="U65" s="16" t="s">
        <v>31</v>
      </c>
      <c r="V65" s="14" t="s">
        <v>558</v>
      </c>
      <c r="W65" s="14" t="s">
        <v>559</v>
      </c>
      <c r="X65" s="17" t="str">
        <f>HYPERLINK("https://my.pitchbook.com?p=274187-98P","View People Online")</f>
        <v>View People Online</v>
      </c>
    </row>
    <row r="66">
      <c r="A66" s="2" t="s">
        <v>560</v>
      </c>
      <c r="B66" s="2" t="s">
        <v>561</v>
      </c>
      <c r="C66" s="2" t="s">
        <v>562</v>
      </c>
      <c r="D66" s="2" t="s">
        <v>563</v>
      </c>
      <c r="E66" s="2" t="s">
        <v>415</v>
      </c>
      <c r="F66" s="2" t="s">
        <v>29</v>
      </c>
      <c r="G66" s="2" t="s">
        <v>564</v>
      </c>
      <c r="H66" s="3">
        <v>4.0</v>
      </c>
      <c r="I66" s="3">
        <v>12.0</v>
      </c>
      <c r="J66" s="3">
        <v>1.0</v>
      </c>
      <c r="K66" s="3">
        <v>5.0</v>
      </c>
      <c r="L66" s="4" t="s">
        <v>31</v>
      </c>
      <c r="M66" s="2" t="s">
        <v>565</v>
      </c>
      <c r="N66" s="2" t="s">
        <v>429</v>
      </c>
      <c r="O66" s="4" t="s">
        <v>430</v>
      </c>
      <c r="P66" s="2" t="s">
        <v>431</v>
      </c>
      <c r="Q66" s="2" t="s">
        <v>31</v>
      </c>
      <c r="R66" s="2" t="s">
        <v>31</v>
      </c>
      <c r="S66" s="4" t="s">
        <v>432</v>
      </c>
      <c r="T66" s="2" t="s">
        <v>433</v>
      </c>
      <c r="U66" s="4" t="s">
        <v>31</v>
      </c>
      <c r="V66" s="2" t="s">
        <v>29</v>
      </c>
      <c r="W66" s="2" t="s">
        <v>415</v>
      </c>
      <c r="X66" s="5" t="str">
        <f>HYPERLINK("https://my.pitchbook.com?p=269564-59P","View People Online")</f>
        <v>View People Online</v>
      </c>
    </row>
    <row r="67">
      <c r="A67" s="14" t="s">
        <v>566</v>
      </c>
      <c r="B67" s="14" t="s">
        <v>567</v>
      </c>
      <c r="C67" s="14" t="s">
        <v>568</v>
      </c>
      <c r="D67" s="14" t="s">
        <v>569</v>
      </c>
      <c r="E67" s="14" t="s">
        <v>570</v>
      </c>
      <c r="F67" s="14" t="s">
        <v>502</v>
      </c>
      <c r="G67" s="14" t="s">
        <v>571</v>
      </c>
      <c r="H67" s="15" t="s">
        <v>31</v>
      </c>
      <c r="I67" s="15">
        <v>2.0</v>
      </c>
      <c r="J67" s="15">
        <v>2.0</v>
      </c>
      <c r="K67" s="15" t="s">
        <v>31</v>
      </c>
      <c r="L67" s="16" t="s">
        <v>572</v>
      </c>
      <c r="M67" s="14" t="s">
        <v>573</v>
      </c>
      <c r="N67" s="14" t="s">
        <v>574</v>
      </c>
      <c r="O67" s="16" t="s">
        <v>575</v>
      </c>
      <c r="P67" s="14" t="s">
        <v>576</v>
      </c>
      <c r="Q67" s="14" t="s">
        <v>577</v>
      </c>
      <c r="R67" s="14" t="s">
        <v>75</v>
      </c>
      <c r="S67" s="16" t="s">
        <v>578</v>
      </c>
      <c r="T67" s="14" t="s">
        <v>66</v>
      </c>
      <c r="U67" s="16" t="s">
        <v>31</v>
      </c>
      <c r="V67" s="14" t="s">
        <v>502</v>
      </c>
      <c r="W67" s="14" t="s">
        <v>570</v>
      </c>
      <c r="X67" s="17" t="str">
        <f>HYPERLINK("https://my.pitchbook.com?p=153049-42P","View People Online")</f>
        <v>View People Online</v>
      </c>
    </row>
    <row r="68">
      <c r="A68" s="2" t="s">
        <v>579</v>
      </c>
      <c r="B68" s="2" t="s">
        <v>580</v>
      </c>
      <c r="C68" s="2" t="s">
        <v>581</v>
      </c>
      <c r="D68" s="2" t="s">
        <v>582</v>
      </c>
      <c r="E68" s="2" t="s">
        <v>570</v>
      </c>
      <c r="F68" s="2" t="s">
        <v>583</v>
      </c>
      <c r="G68" s="2" t="s">
        <v>584</v>
      </c>
      <c r="H68" s="3" t="s">
        <v>31</v>
      </c>
      <c r="I68" s="3">
        <v>3.0</v>
      </c>
      <c r="J68" s="3">
        <v>1.0</v>
      </c>
      <c r="K68" s="3">
        <v>2.0</v>
      </c>
      <c r="L68" s="4" t="s">
        <v>585</v>
      </c>
      <c r="M68" s="2" t="s">
        <v>586</v>
      </c>
      <c r="N68" s="2" t="s">
        <v>574</v>
      </c>
      <c r="O68" s="4" t="s">
        <v>575</v>
      </c>
      <c r="P68" s="2" t="s">
        <v>576</v>
      </c>
      <c r="Q68" s="2" t="s">
        <v>577</v>
      </c>
      <c r="R68" s="2" t="s">
        <v>75</v>
      </c>
      <c r="S68" s="4" t="s">
        <v>578</v>
      </c>
      <c r="T68" s="2" t="s">
        <v>66</v>
      </c>
      <c r="U68" s="4" t="s">
        <v>31</v>
      </c>
      <c r="V68" s="2" t="s">
        <v>583</v>
      </c>
      <c r="W68" s="2" t="s">
        <v>570</v>
      </c>
      <c r="X68" s="5" t="str">
        <f>HYPERLINK("https://my.pitchbook.com?p=129152-35P","View People Online")</f>
        <v>View People Online</v>
      </c>
    </row>
    <row r="69">
      <c r="A69" s="6" t="s">
        <v>587</v>
      </c>
      <c r="B69" s="6" t="s">
        <v>588</v>
      </c>
      <c r="C69" s="6" t="s">
        <v>589</v>
      </c>
      <c r="D69" s="6" t="s">
        <v>590</v>
      </c>
      <c r="E69" s="6" t="s">
        <v>570</v>
      </c>
      <c r="F69" s="6" t="s">
        <v>371</v>
      </c>
      <c r="G69" s="6" t="s">
        <v>591</v>
      </c>
      <c r="H69" s="7" t="s">
        <v>31</v>
      </c>
      <c r="I69" s="7">
        <v>1.0</v>
      </c>
      <c r="J69" s="7">
        <v>1.0</v>
      </c>
      <c r="K69" s="7" t="s">
        <v>31</v>
      </c>
      <c r="L69" s="8" t="s">
        <v>585</v>
      </c>
      <c r="M69" s="6" t="s">
        <v>592</v>
      </c>
      <c r="N69" s="6" t="s">
        <v>574</v>
      </c>
      <c r="O69" s="8" t="s">
        <v>575</v>
      </c>
      <c r="P69" s="6" t="s">
        <v>576</v>
      </c>
      <c r="Q69" s="6" t="s">
        <v>577</v>
      </c>
      <c r="R69" s="6" t="s">
        <v>75</v>
      </c>
      <c r="S69" s="8" t="s">
        <v>578</v>
      </c>
      <c r="T69" s="6" t="s">
        <v>66</v>
      </c>
      <c r="U69" s="8" t="s">
        <v>31</v>
      </c>
      <c r="V69" s="6" t="s">
        <v>593</v>
      </c>
      <c r="W69" s="6" t="s">
        <v>570</v>
      </c>
      <c r="X69" s="9" t="str">
        <f>HYPERLINK("https://my.pitchbook.com?p=167452-30P","View People Online")</f>
        <v>View People Online</v>
      </c>
    </row>
    <row r="70">
      <c r="A70" s="2" t="s">
        <v>594</v>
      </c>
      <c r="B70" s="2" t="s">
        <v>595</v>
      </c>
      <c r="C70" s="2" t="s">
        <v>596</v>
      </c>
      <c r="D70" s="2" t="s">
        <v>597</v>
      </c>
      <c r="E70" s="2" t="s">
        <v>598</v>
      </c>
      <c r="F70" s="2" t="s">
        <v>29</v>
      </c>
      <c r="G70" s="2" t="s">
        <v>599</v>
      </c>
      <c r="H70" s="3">
        <v>1.0</v>
      </c>
      <c r="I70" s="3">
        <v>2.0</v>
      </c>
      <c r="J70" s="3">
        <v>1.0</v>
      </c>
      <c r="K70" s="3" t="s">
        <v>31</v>
      </c>
      <c r="L70" s="4" t="s">
        <v>31</v>
      </c>
      <c r="M70" s="2" t="s">
        <v>600</v>
      </c>
      <c r="N70" s="2" t="s">
        <v>601</v>
      </c>
      <c r="O70" s="4" t="s">
        <v>602</v>
      </c>
      <c r="P70" s="2" t="s">
        <v>31</v>
      </c>
      <c r="Q70" s="2" t="s">
        <v>31</v>
      </c>
      <c r="R70" s="2" t="s">
        <v>31</v>
      </c>
      <c r="S70" s="4" t="s">
        <v>31</v>
      </c>
      <c r="T70" s="2" t="s">
        <v>603</v>
      </c>
      <c r="U70" s="4" t="s">
        <v>31</v>
      </c>
      <c r="V70" s="2" t="s">
        <v>29</v>
      </c>
      <c r="W70" s="2" t="s">
        <v>598</v>
      </c>
      <c r="X70" s="5" t="str">
        <f>HYPERLINK("https://my.pitchbook.com?p=344275-75P","View People Online")</f>
        <v>View People Online</v>
      </c>
    </row>
    <row r="71">
      <c r="A71" s="6" t="s">
        <v>604</v>
      </c>
      <c r="B71" s="6" t="s">
        <v>605</v>
      </c>
      <c r="C71" s="6" t="s">
        <v>606</v>
      </c>
      <c r="D71" s="6" t="s">
        <v>607</v>
      </c>
      <c r="E71" s="6" t="s">
        <v>598</v>
      </c>
      <c r="F71" s="6" t="s">
        <v>608</v>
      </c>
      <c r="G71" s="6" t="s">
        <v>609</v>
      </c>
      <c r="H71" s="7" t="s">
        <v>31</v>
      </c>
      <c r="I71" s="7">
        <v>2.0</v>
      </c>
      <c r="J71" s="7">
        <v>2.0</v>
      </c>
      <c r="K71" s="7" t="s">
        <v>31</v>
      </c>
      <c r="L71" s="8" t="s">
        <v>610</v>
      </c>
      <c r="M71" s="6" t="s">
        <v>611</v>
      </c>
      <c r="N71" s="6" t="s">
        <v>612</v>
      </c>
      <c r="O71" s="8" t="s">
        <v>613</v>
      </c>
      <c r="P71" s="6" t="s">
        <v>614</v>
      </c>
      <c r="Q71" s="6" t="s">
        <v>615</v>
      </c>
      <c r="R71" s="6" t="s">
        <v>616</v>
      </c>
      <c r="S71" s="8" t="s">
        <v>617</v>
      </c>
      <c r="T71" s="6" t="s">
        <v>66</v>
      </c>
      <c r="U71" s="8" t="s">
        <v>618</v>
      </c>
      <c r="V71" s="6" t="s">
        <v>57</v>
      </c>
      <c r="W71" s="6" t="s">
        <v>619</v>
      </c>
      <c r="X71" s="9" t="str">
        <f>HYPERLINK("https://my.pitchbook.com?p=182760-94P","View People Online")</f>
        <v>View People Online</v>
      </c>
    </row>
    <row r="72">
      <c r="A72" s="2" t="s">
        <v>620</v>
      </c>
      <c r="B72" s="2" t="s">
        <v>621</v>
      </c>
      <c r="C72" s="2" t="s">
        <v>622</v>
      </c>
      <c r="D72" s="2" t="s">
        <v>623</v>
      </c>
      <c r="E72" s="2" t="s">
        <v>598</v>
      </c>
      <c r="F72" s="2" t="s">
        <v>201</v>
      </c>
      <c r="G72" s="2" t="s">
        <v>624</v>
      </c>
      <c r="H72" s="3" t="s">
        <v>31</v>
      </c>
      <c r="I72" s="3">
        <v>1.0</v>
      </c>
      <c r="J72" s="3">
        <v>1.0</v>
      </c>
      <c r="K72" s="3" t="s">
        <v>31</v>
      </c>
      <c r="L72" s="4" t="s">
        <v>31</v>
      </c>
      <c r="M72" s="2" t="s">
        <v>625</v>
      </c>
      <c r="N72" s="2" t="s">
        <v>155</v>
      </c>
      <c r="O72" s="4" t="s">
        <v>156</v>
      </c>
      <c r="P72" s="2" t="s">
        <v>626</v>
      </c>
      <c r="Q72" s="2" t="s">
        <v>627</v>
      </c>
      <c r="R72" s="2" t="s">
        <v>64</v>
      </c>
      <c r="S72" s="4" t="s">
        <v>628</v>
      </c>
      <c r="T72" s="2" t="s">
        <v>66</v>
      </c>
      <c r="U72" s="4" t="s">
        <v>31</v>
      </c>
      <c r="V72" s="2" t="s">
        <v>629</v>
      </c>
      <c r="W72" s="2" t="s">
        <v>598</v>
      </c>
      <c r="X72" s="5" t="str">
        <f>HYPERLINK("https://my.pitchbook.com?p=336356-47P","View People Online")</f>
        <v>View People Online</v>
      </c>
    </row>
    <row r="73">
      <c r="A73" s="6" t="s">
        <v>630</v>
      </c>
      <c r="B73" s="6" t="s">
        <v>631</v>
      </c>
      <c r="C73" s="6" t="s">
        <v>632</v>
      </c>
      <c r="D73" s="6" t="s">
        <v>633</v>
      </c>
      <c r="E73" s="6" t="s">
        <v>598</v>
      </c>
      <c r="F73" s="6" t="s">
        <v>634</v>
      </c>
      <c r="G73" s="6" t="s">
        <v>635</v>
      </c>
      <c r="H73" s="7">
        <v>1.0</v>
      </c>
      <c r="I73" s="7">
        <v>36.0</v>
      </c>
      <c r="J73" s="7">
        <v>2.0</v>
      </c>
      <c r="K73" s="7">
        <v>32.0</v>
      </c>
      <c r="L73" s="8" t="s">
        <v>31</v>
      </c>
      <c r="M73" s="6" t="s">
        <v>636</v>
      </c>
      <c r="N73" s="6" t="s">
        <v>637</v>
      </c>
      <c r="O73" s="8" t="s">
        <v>638</v>
      </c>
      <c r="P73" s="6" t="s">
        <v>31</v>
      </c>
      <c r="Q73" s="6" t="s">
        <v>31</v>
      </c>
      <c r="R73" s="6" t="s">
        <v>31</v>
      </c>
      <c r="S73" s="8" t="s">
        <v>31</v>
      </c>
      <c r="T73" s="6" t="s">
        <v>639</v>
      </c>
      <c r="U73" s="8" t="s">
        <v>31</v>
      </c>
      <c r="V73" s="6" t="s">
        <v>640</v>
      </c>
      <c r="W73" s="6" t="s">
        <v>598</v>
      </c>
      <c r="X73" s="9" t="str">
        <f>HYPERLINK("https://my.pitchbook.com?p=262081-63P","View People Online")</f>
        <v>View People Online</v>
      </c>
    </row>
    <row r="74">
      <c r="A74" s="2" t="s">
        <v>641</v>
      </c>
      <c r="B74" s="2" t="s">
        <v>642</v>
      </c>
      <c r="C74" s="2" t="s">
        <v>632</v>
      </c>
      <c r="D74" s="2" t="s">
        <v>643</v>
      </c>
      <c r="E74" s="2" t="s">
        <v>598</v>
      </c>
      <c r="F74" s="2" t="s">
        <v>29</v>
      </c>
      <c r="G74" s="2" t="s">
        <v>644</v>
      </c>
      <c r="H74" s="3" t="s">
        <v>31</v>
      </c>
      <c r="I74" s="3">
        <v>4.0</v>
      </c>
      <c r="J74" s="3">
        <v>1.0</v>
      </c>
      <c r="K74" s="3">
        <v>2.0</v>
      </c>
      <c r="L74" s="4" t="s">
        <v>31</v>
      </c>
      <c r="M74" s="2" t="s">
        <v>645</v>
      </c>
      <c r="N74" s="2" t="s">
        <v>155</v>
      </c>
      <c r="O74" s="4" t="s">
        <v>156</v>
      </c>
      <c r="P74" s="2" t="s">
        <v>626</v>
      </c>
      <c r="Q74" s="2" t="s">
        <v>627</v>
      </c>
      <c r="R74" s="2" t="s">
        <v>64</v>
      </c>
      <c r="S74" s="4" t="s">
        <v>628</v>
      </c>
      <c r="T74" s="2" t="s">
        <v>66</v>
      </c>
      <c r="U74" s="4" t="s">
        <v>31</v>
      </c>
      <c r="V74" s="2" t="s">
        <v>29</v>
      </c>
      <c r="W74" s="2" t="s">
        <v>598</v>
      </c>
      <c r="X74" s="5" t="str">
        <f>HYPERLINK("https://my.pitchbook.com?p=137037-61P","View People Online")</f>
        <v>View People Online</v>
      </c>
    </row>
    <row r="75">
      <c r="A75" s="14" t="s">
        <v>646</v>
      </c>
      <c r="B75" s="14" t="s">
        <v>647</v>
      </c>
      <c r="C75" s="14" t="s">
        <v>648</v>
      </c>
      <c r="D75" s="14" t="s">
        <v>649</v>
      </c>
      <c r="E75" s="14" t="s">
        <v>598</v>
      </c>
      <c r="F75" s="14" t="s">
        <v>57</v>
      </c>
      <c r="G75" s="14" t="s">
        <v>650</v>
      </c>
      <c r="H75" s="15" t="s">
        <v>31</v>
      </c>
      <c r="I75" s="15">
        <v>1.0</v>
      </c>
      <c r="J75" s="15">
        <v>1.0</v>
      </c>
      <c r="K75" s="15" t="s">
        <v>31</v>
      </c>
      <c r="L75" s="16" t="s">
        <v>31</v>
      </c>
      <c r="M75" s="14" t="s">
        <v>651</v>
      </c>
      <c r="N75" s="14" t="s">
        <v>155</v>
      </c>
      <c r="O75" s="16" t="s">
        <v>156</v>
      </c>
      <c r="P75" s="14" t="s">
        <v>626</v>
      </c>
      <c r="Q75" s="14" t="s">
        <v>627</v>
      </c>
      <c r="R75" s="14" t="s">
        <v>64</v>
      </c>
      <c r="S75" s="16" t="s">
        <v>628</v>
      </c>
      <c r="T75" s="14" t="s">
        <v>66</v>
      </c>
      <c r="U75" s="16" t="s">
        <v>31</v>
      </c>
      <c r="V75" s="14" t="s">
        <v>57</v>
      </c>
      <c r="W75" s="14" t="s">
        <v>598</v>
      </c>
      <c r="X75" s="17" t="str">
        <f>HYPERLINK("https://my.pitchbook.com?p=378977-05P","View People Online")</f>
        <v>View People Online</v>
      </c>
    </row>
    <row r="76">
      <c r="A76" s="10" t="s">
        <v>652</v>
      </c>
      <c r="B76" s="10" t="s">
        <v>653</v>
      </c>
      <c r="C76" s="10" t="s">
        <v>654</v>
      </c>
      <c r="D76" s="10" t="s">
        <v>655</v>
      </c>
      <c r="E76" s="10" t="s">
        <v>598</v>
      </c>
      <c r="F76" s="10" t="s">
        <v>270</v>
      </c>
      <c r="G76" s="10" t="s">
        <v>656</v>
      </c>
      <c r="H76" s="11" t="s">
        <v>31</v>
      </c>
      <c r="I76" s="11">
        <v>1.0</v>
      </c>
      <c r="J76" s="11">
        <v>1.0</v>
      </c>
      <c r="K76" s="11" t="s">
        <v>31</v>
      </c>
      <c r="L76" s="12" t="s">
        <v>31</v>
      </c>
      <c r="M76" s="10" t="s">
        <v>657</v>
      </c>
      <c r="N76" s="10" t="s">
        <v>658</v>
      </c>
      <c r="O76" s="12" t="s">
        <v>659</v>
      </c>
      <c r="P76" s="10" t="s">
        <v>31</v>
      </c>
      <c r="Q76" s="10" t="s">
        <v>31</v>
      </c>
      <c r="R76" s="10" t="s">
        <v>31</v>
      </c>
      <c r="S76" s="12" t="s">
        <v>660</v>
      </c>
      <c r="T76" s="10" t="s">
        <v>661</v>
      </c>
      <c r="U76" s="12" t="s">
        <v>31</v>
      </c>
      <c r="V76" s="10" t="s">
        <v>662</v>
      </c>
      <c r="W76" s="10" t="s">
        <v>598</v>
      </c>
      <c r="X76" s="13" t="str">
        <f>HYPERLINK("https://my.pitchbook.com?p=194775-04P","View People Online")</f>
        <v>View People Online</v>
      </c>
    </row>
    <row r="77">
      <c r="A77" s="14" t="s">
        <v>663</v>
      </c>
      <c r="B77" s="14" t="s">
        <v>664</v>
      </c>
      <c r="C77" s="14" t="s">
        <v>665</v>
      </c>
      <c r="D77" s="14" t="s">
        <v>666</v>
      </c>
      <c r="E77" s="14" t="s">
        <v>598</v>
      </c>
      <c r="F77" s="14" t="s">
        <v>667</v>
      </c>
      <c r="G77" s="14" t="s">
        <v>668</v>
      </c>
      <c r="H77" s="15" t="s">
        <v>31</v>
      </c>
      <c r="I77" s="15">
        <v>1.0</v>
      </c>
      <c r="J77" s="15">
        <v>1.0</v>
      </c>
      <c r="K77" s="15" t="s">
        <v>31</v>
      </c>
      <c r="L77" s="16" t="s">
        <v>31</v>
      </c>
      <c r="M77" s="14" t="s">
        <v>669</v>
      </c>
      <c r="N77" s="14" t="s">
        <v>155</v>
      </c>
      <c r="O77" s="16" t="s">
        <v>156</v>
      </c>
      <c r="P77" s="14" t="s">
        <v>626</v>
      </c>
      <c r="Q77" s="14" t="s">
        <v>627</v>
      </c>
      <c r="R77" s="14" t="s">
        <v>64</v>
      </c>
      <c r="S77" s="16" t="s">
        <v>628</v>
      </c>
      <c r="T77" s="14" t="s">
        <v>66</v>
      </c>
      <c r="U77" s="16" t="s">
        <v>31</v>
      </c>
      <c r="V77" s="14" t="s">
        <v>667</v>
      </c>
      <c r="W77" s="14" t="s">
        <v>598</v>
      </c>
      <c r="X77" s="17" t="str">
        <f>HYPERLINK("https://my.pitchbook.com?p=269636-23P","View People Online")</f>
        <v>View People Online</v>
      </c>
    </row>
    <row r="78">
      <c r="A78" s="10" t="s">
        <v>670</v>
      </c>
      <c r="B78" s="10" t="s">
        <v>671</v>
      </c>
      <c r="C78" s="10" t="s">
        <v>672</v>
      </c>
      <c r="D78" s="10" t="s">
        <v>673</v>
      </c>
      <c r="E78" s="10" t="s">
        <v>598</v>
      </c>
      <c r="F78" s="10" t="s">
        <v>674</v>
      </c>
      <c r="G78" s="10" t="s">
        <v>675</v>
      </c>
      <c r="H78" s="11" t="s">
        <v>31</v>
      </c>
      <c r="I78" s="11">
        <v>31.0</v>
      </c>
      <c r="J78" s="11">
        <v>1.0</v>
      </c>
      <c r="K78" s="11">
        <v>22.0</v>
      </c>
      <c r="L78" s="12" t="s">
        <v>31</v>
      </c>
      <c r="M78" s="10" t="s">
        <v>676</v>
      </c>
      <c r="N78" s="10" t="s">
        <v>155</v>
      </c>
      <c r="O78" s="12" t="s">
        <v>156</v>
      </c>
      <c r="P78" s="10" t="s">
        <v>626</v>
      </c>
      <c r="Q78" s="10" t="s">
        <v>627</v>
      </c>
      <c r="R78" s="10" t="s">
        <v>64</v>
      </c>
      <c r="S78" s="12" t="s">
        <v>628</v>
      </c>
      <c r="T78" s="10" t="s">
        <v>66</v>
      </c>
      <c r="U78" s="12" t="s">
        <v>31</v>
      </c>
      <c r="V78" s="10" t="s">
        <v>674</v>
      </c>
      <c r="W78" s="10" t="s">
        <v>598</v>
      </c>
      <c r="X78" s="13" t="str">
        <f>HYPERLINK("https://my.pitchbook.com?p=41447-53P","View People Online")</f>
        <v>View People Online</v>
      </c>
    </row>
    <row r="79">
      <c r="A79" s="6" t="s">
        <v>677</v>
      </c>
      <c r="B79" s="6" t="s">
        <v>678</v>
      </c>
      <c r="C79" s="6" t="s">
        <v>679</v>
      </c>
      <c r="D79" s="6" t="s">
        <v>680</v>
      </c>
      <c r="E79" s="6" t="s">
        <v>598</v>
      </c>
      <c r="F79" s="6" t="s">
        <v>43</v>
      </c>
      <c r="G79" s="6" t="s">
        <v>681</v>
      </c>
      <c r="H79" s="7">
        <v>2.0</v>
      </c>
      <c r="I79" s="7">
        <v>37.0</v>
      </c>
      <c r="J79" s="7">
        <v>2.0</v>
      </c>
      <c r="K79" s="7">
        <v>27.0</v>
      </c>
      <c r="L79" s="8" t="s">
        <v>31</v>
      </c>
      <c r="M79" s="6" t="s">
        <v>682</v>
      </c>
      <c r="N79" s="6" t="s">
        <v>683</v>
      </c>
      <c r="O79" s="8" t="s">
        <v>684</v>
      </c>
      <c r="P79" s="6" t="s">
        <v>685</v>
      </c>
      <c r="Q79" s="6" t="s">
        <v>686</v>
      </c>
      <c r="R79" s="6" t="s">
        <v>31</v>
      </c>
      <c r="S79" s="8" t="s">
        <v>687</v>
      </c>
      <c r="T79" s="6" t="s">
        <v>688</v>
      </c>
      <c r="U79" s="8" t="s">
        <v>31</v>
      </c>
      <c r="V79" s="6" t="s">
        <v>689</v>
      </c>
      <c r="W79" s="6" t="s">
        <v>690</v>
      </c>
      <c r="X79" s="9" t="str">
        <f>HYPERLINK("https://my.pitchbook.com?p=59956-39P","View People Online")</f>
        <v>View People Online</v>
      </c>
    </row>
    <row r="80">
      <c r="A80" s="10" t="s">
        <v>691</v>
      </c>
      <c r="B80" s="10" t="s">
        <v>692</v>
      </c>
      <c r="C80" s="10" t="s">
        <v>693</v>
      </c>
      <c r="D80" s="10" t="s">
        <v>694</v>
      </c>
      <c r="E80" s="10" t="s">
        <v>598</v>
      </c>
      <c r="F80" s="10" t="s">
        <v>695</v>
      </c>
      <c r="G80" s="10" t="s">
        <v>696</v>
      </c>
      <c r="H80" s="11" t="s">
        <v>31</v>
      </c>
      <c r="I80" s="11">
        <v>1.0</v>
      </c>
      <c r="J80" s="11">
        <v>1.0</v>
      </c>
      <c r="K80" s="11" t="s">
        <v>31</v>
      </c>
      <c r="L80" s="12" t="s">
        <v>31</v>
      </c>
      <c r="M80" s="10" t="s">
        <v>697</v>
      </c>
      <c r="N80" s="10" t="s">
        <v>698</v>
      </c>
      <c r="O80" s="12" t="s">
        <v>699</v>
      </c>
      <c r="P80" s="10" t="s">
        <v>31</v>
      </c>
      <c r="Q80" s="10" t="s">
        <v>31</v>
      </c>
      <c r="R80" s="10" t="s">
        <v>31</v>
      </c>
      <c r="S80" s="12" t="s">
        <v>31</v>
      </c>
      <c r="T80" s="10" t="s">
        <v>700</v>
      </c>
      <c r="U80" s="12" t="s">
        <v>31</v>
      </c>
      <c r="V80" s="10" t="s">
        <v>701</v>
      </c>
      <c r="W80" s="10" t="s">
        <v>598</v>
      </c>
      <c r="X80" s="13" t="str">
        <f>HYPERLINK("https://my.pitchbook.com?p=378999-28P","View People Online")</f>
        <v>View People Online</v>
      </c>
    </row>
    <row r="81">
      <c r="A81" s="6" t="s">
        <v>702</v>
      </c>
      <c r="B81" s="6" t="s">
        <v>703</v>
      </c>
      <c r="C81" s="6" t="s">
        <v>704</v>
      </c>
      <c r="D81" s="6" t="s">
        <v>705</v>
      </c>
      <c r="E81" s="6" t="s">
        <v>598</v>
      </c>
      <c r="F81" s="6" t="s">
        <v>667</v>
      </c>
      <c r="G81" s="6" t="s">
        <v>706</v>
      </c>
      <c r="H81" s="7" t="s">
        <v>31</v>
      </c>
      <c r="I81" s="7">
        <v>1.0</v>
      </c>
      <c r="J81" s="7">
        <v>1.0</v>
      </c>
      <c r="K81" s="7" t="s">
        <v>31</v>
      </c>
      <c r="L81" s="8" t="s">
        <v>31</v>
      </c>
      <c r="M81" s="6" t="s">
        <v>707</v>
      </c>
      <c r="N81" s="6" t="s">
        <v>155</v>
      </c>
      <c r="O81" s="8" t="s">
        <v>156</v>
      </c>
      <c r="P81" s="6" t="s">
        <v>626</v>
      </c>
      <c r="Q81" s="6" t="s">
        <v>627</v>
      </c>
      <c r="R81" s="6" t="s">
        <v>64</v>
      </c>
      <c r="S81" s="8" t="s">
        <v>628</v>
      </c>
      <c r="T81" s="6" t="s">
        <v>66</v>
      </c>
      <c r="U81" s="8" t="s">
        <v>31</v>
      </c>
      <c r="V81" s="6" t="s">
        <v>708</v>
      </c>
      <c r="W81" s="6" t="s">
        <v>598</v>
      </c>
      <c r="X81" s="9" t="str">
        <f>HYPERLINK("https://my.pitchbook.com?p=326318-14P","View People Online")</f>
        <v>View People Online</v>
      </c>
    </row>
    <row r="82">
      <c r="A82" s="10" t="s">
        <v>709</v>
      </c>
      <c r="B82" s="10" t="s">
        <v>710</v>
      </c>
      <c r="C82" s="10" t="s">
        <v>711</v>
      </c>
      <c r="D82" s="10" t="s">
        <v>712</v>
      </c>
      <c r="E82" s="10" t="s">
        <v>598</v>
      </c>
      <c r="F82" s="10" t="s">
        <v>713</v>
      </c>
      <c r="G82" s="10" t="s">
        <v>714</v>
      </c>
      <c r="H82" s="11" t="s">
        <v>31</v>
      </c>
      <c r="I82" s="11">
        <v>2.0</v>
      </c>
      <c r="J82" s="11">
        <v>2.0</v>
      </c>
      <c r="K82" s="11" t="s">
        <v>31</v>
      </c>
      <c r="L82" s="12" t="s">
        <v>715</v>
      </c>
      <c r="M82" s="10" t="s">
        <v>716</v>
      </c>
      <c r="N82" s="10" t="s">
        <v>717</v>
      </c>
      <c r="O82" s="12" t="s">
        <v>718</v>
      </c>
      <c r="P82" s="10" t="s">
        <v>719</v>
      </c>
      <c r="Q82" s="10" t="s">
        <v>720</v>
      </c>
      <c r="R82" s="10" t="s">
        <v>64</v>
      </c>
      <c r="S82" s="12" t="s">
        <v>721</v>
      </c>
      <c r="T82" s="10" t="s">
        <v>66</v>
      </c>
      <c r="U82" s="12" t="s">
        <v>31</v>
      </c>
      <c r="V82" s="10" t="s">
        <v>713</v>
      </c>
      <c r="W82" s="10" t="s">
        <v>598</v>
      </c>
      <c r="X82" s="13" t="str">
        <f>HYPERLINK("https://my.pitchbook.com?p=379010-44P","View People Online")</f>
        <v>View People Online</v>
      </c>
    </row>
    <row r="83">
      <c r="A83" s="6" t="s">
        <v>722</v>
      </c>
      <c r="B83" s="6" t="s">
        <v>723</v>
      </c>
      <c r="C83" s="6" t="s">
        <v>724</v>
      </c>
      <c r="D83" s="6" t="s">
        <v>725</v>
      </c>
      <c r="E83" s="6" t="s">
        <v>598</v>
      </c>
      <c r="F83" s="6" t="s">
        <v>548</v>
      </c>
      <c r="G83" s="6" t="s">
        <v>726</v>
      </c>
      <c r="H83" s="7" t="s">
        <v>31</v>
      </c>
      <c r="I83" s="7">
        <v>2.0</v>
      </c>
      <c r="J83" s="7">
        <v>1.0</v>
      </c>
      <c r="K83" s="7">
        <v>1.0</v>
      </c>
      <c r="L83" s="8" t="s">
        <v>31</v>
      </c>
      <c r="M83" s="6" t="s">
        <v>727</v>
      </c>
      <c r="N83" s="6" t="s">
        <v>658</v>
      </c>
      <c r="O83" s="8" t="s">
        <v>659</v>
      </c>
      <c r="P83" s="6" t="s">
        <v>31</v>
      </c>
      <c r="Q83" s="6" t="s">
        <v>31</v>
      </c>
      <c r="R83" s="6" t="s">
        <v>31</v>
      </c>
      <c r="S83" s="8" t="s">
        <v>660</v>
      </c>
      <c r="T83" s="6" t="s">
        <v>661</v>
      </c>
      <c r="U83" s="8" t="s">
        <v>31</v>
      </c>
      <c r="V83" s="6" t="s">
        <v>728</v>
      </c>
      <c r="W83" s="6" t="s">
        <v>598</v>
      </c>
      <c r="X83" s="9" t="str">
        <f>HYPERLINK("https://my.pitchbook.com?p=247898-80P","View People Online")</f>
        <v>View People Online</v>
      </c>
    </row>
    <row r="84">
      <c r="A84" s="2" t="s">
        <v>729</v>
      </c>
      <c r="B84" s="2" t="s">
        <v>730</v>
      </c>
      <c r="C84" s="2" t="s">
        <v>731</v>
      </c>
      <c r="D84" s="2" t="s">
        <v>732</v>
      </c>
      <c r="E84" s="2" t="s">
        <v>598</v>
      </c>
      <c r="F84" s="2" t="s">
        <v>733</v>
      </c>
      <c r="G84" s="2" t="s">
        <v>734</v>
      </c>
      <c r="H84" s="3" t="s">
        <v>31</v>
      </c>
      <c r="I84" s="3">
        <v>192.0</v>
      </c>
      <c r="J84" s="3">
        <v>1.0</v>
      </c>
      <c r="K84" s="3">
        <v>167.0</v>
      </c>
      <c r="L84" s="4" t="s">
        <v>715</v>
      </c>
      <c r="M84" s="2" t="s">
        <v>735</v>
      </c>
      <c r="N84" s="2" t="s">
        <v>717</v>
      </c>
      <c r="O84" s="4" t="s">
        <v>718</v>
      </c>
      <c r="P84" s="2" t="s">
        <v>719</v>
      </c>
      <c r="Q84" s="2" t="s">
        <v>720</v>
      </c>
      <c r="R84" s="2" t="s">
        <v>64</v>
      </c>
      <c r="S84" s="4" t="s">
        <v>721</v>
      </c>
      <c r="T84" s="2" t="s">
        <v>66</v>
      </c>
      <c r="U84" s="4" t="s">
        <v>31</v>
      </c>
      <c r="V84" s="2" t="s">
        <v>736</v>
      </c>
      <c r="W84" s="2" t="s">
        <v>598</v>
      </c>
      <c r="X84" s="5" t="str">
        <f>HYPERLINK("https://my.pitchbook.com?p=39567-43P","View People Online")</f>
        <v>View People Online</v>
      </c>
    </row>
    <row r="85">
      <c r="A85" s="14" t="s">
        <v>737</v>
      </c>
      <c r="B85" s="14" t="s">
        <v>738</v>
      </c>
      <c r="C85" s="14" t="s">
        <v>739</v>
      </c>
      <c r="D85" s="14" t="s">
        <v>740</v>
      </c>
      <c r="E85" s="14" t="s">
        <v>598</v>
      </c>
      <c r="F85" s="14" t="s">
        <v>29</v>
      </c>
      <c r="G85" s="14" t="s">
        <v>741</v>
      </c>
      <c r="H85" s="15">
        <v>1.0</v>
      </c>
      <c r="I85" s="15">
        <v>17.0</v>
      </c>
      <c r="J85" s="15">
        <v>2.0</v>
      </c>
      <c r="K85" s="15">
        <v>10.0</v>
      </c>
      <c r="L85" s="16" t="s">
        <v>31</v>
      </c>
      <c r="M85" s="14" t="s">
        <v>742</v>
      </c>
      <c r="N85" s="14" t="s">
        <v>155</v>
      </c>
      <c r="O85" s="16" t="s">
        <v>156</v>
      </c>
      <c r="P85" s="14" t="s">
        <v>626</v>
      </c>
      <c r="Q85" s="14" t="s">
        <v>627</v>
      </c>
      <c r="R85" s="14" t="s">
        <v>64</v>
      </c>
      <c r="S85" s="16" t="s">
        <v>628</v>
      </c>
      <c r="T85" s="14" t="s">
        <v>66</v>
      </c>
      <c r="U85" s="16" t="s">
        <v>31</v>
      </c>
      <c r="V85" s="14" t="s">
        <v>743</v>
      </c>
      <c r="W85" s="14" t="s">
        <v>598</v>
      </c>
      <c r="X85" s="17" t="str">
        <f>HYPERLINK("https://my.pitchbook.com?p=101245-24P","View People Online")</f>
        <v>View People Online</v>
      </c>
    </row>
    <row r="86">
      <c r="A86" s="10" t="s">
        <v>744</v>
      </c>
      <c r="B86" s="10" t="s">
        <v>745</v>
      </c>
      <c r="C86" s="10" t="s">
        <v>746</v>
      </c>
      <c r="D86" s="10" t="s">
        <v>747</v>
      </c>
      <c r="E86" s="10" t="s">
        <v>598</v>
      </c>
      <c r="F86" s="10" t="s">
        <v>78</v>
      </c>
      <c r="G86" s="10" t="s">
        <v>748</v>
      </c>
      <c r="H86" s="11" t="s">
        <v>31</v>
      </c>
      <c r="I86" s="11">
        <v>13.0</v>
      </c>
      <c r="J86" s="11">
        <v>1.0</v>
      </c>
      <c r="K86" s="11">
        <v>11.0</v>
      </c>
      <c r="L86" s="12" t="s">
        <v>715</v>
      </c>
      <c r="M86" s="10" t="s">
        <v>749</v>
      </c>
      <c r="N86" s="10" t="s">
        <v>717</v>
      </c>
      <c r="O86" s="12" t="s">
        <v>718</v>
      </c>
      <c r="P86" s="10" t="s">
        <v>719</v>
      </c>
      <c r="Q86" s="10" t="s">
        <v>720</v>
      </c>
      <c r="R86" s="10" t="s">
        <v>64</v>
      </c>
      <c r="S86" s="12" t="s">
        <v>721</v>
      </c>
      <c r="T86" s="10" t="s">
        <v>66</v>
      </c>
      <c r="U86" s="12" t="s">
        <v>31</v>
      </c>
      <c r="V86" s="10" t="s">
        <v>78</v>
      </c>
      <c r="W86" s="10" t="s">
        <v>598</v>
      </c>
      <c r="X86" s="13" t="str">
        <f>HYPERLINK("https://my.pitchbook.com?p=59125-06P","View People Online")</f>
        <v>View People Online</v>
      </c>
    </row>
    <row r="87">
      <c r="A87" s="14" t="s">
        <v>750</v>
      </c>
      <c r="B87" s="14" t="s">
        <v>751</v>
      </c>
      <c r="C87" s="14" t="s">
        <v>752</v>
      </c>
      <c r="D87" s="14" t="s">
        <v>753</v>
      </c>
      <c r="E87" s="14" t="s">
        <v>598</v>
      </c>
      <c r="F87" s="14" t="s">
        <v>29</v>
      </c>
      <c r="G87" s="14" t="s">
        <v>754</v>
      </c>
      <c r="H87" s="15" t="s">
        <v>31</v>
      </c>
      <c r="I87" s="15">
        <v>1.0</v>
      </c>
      <c r="J87" s="15">
        <v>1.0</v>
      </c>
      <c r="K87" s="15" t="s">
        <v>31</v>
      </c>
      <c r="L87" s="16" t="s">
        <v>31</v>
      </c>
      <c r="M87" s="14" t="s">
        <v>755</v>
      </c>
      <c r="N87" s="14" t="s">
        <v>658</v>
      </c>
      <c r="O87" s="16" t="s">
        <v>659</v>
      </c>
      <c r="P87" s="14" t="s">
        <v>31</v>
      </c>
      <c r="Q87" s="14" t="s">
        <v>31</v>
      </c>
      <c r="R87" s="14" t="s">
        <v>31</v>
      </c>
      <c r="S87" s="16" t="s">
        <v>660</v>
      </c>
      <c r="T87" s="14" t="s">
        <v>661</v>
      </c>
      <c r="U87" s="16" t="s">
        <v>31</v>
      </c>
      <c r="V87" s="14" t="s">
        <v>29</v>
      </c>
      <c r="W87" s="14" t="s">
        <v>598</v>
      </c>
      <c r="X87" s="17" t="str">
        <f>HYPERLINK("https://my.pitchbook.com?p=152159-23P","View People Online")</f>
        <v>View People Online</v>
      </c>
    </row>
    <row r="88">
      <c r="A88" s="10" t="s">
        <v>756</v>
      </c>
      <c r="B88" s="10" t="s">
        <v>757</v>
      </c>
      <c r="C88" s="10" t="s">
        <v>69</v>
      </c>
      <c r="D88" s="10" t="s">
        <v>758</v>
      </c>
      <c r="E88" s="10" t="s">
        <v>598</v>
      </c>
      <c r="F88" s="10" t="s">
        <v>548</v>
      </c>
      <c r="G88" s="10" t="s">
        <v>759</v>
      </c>
      <c r="H88" s="11" t="s">
        <v>31</v>
      </c>
      <c r="I88" s="11">
        <v>1.0</v>
      </c>
      <c r="J88" s="11">
        <v>1.0</v>
      </c>
      <c r="K88" s="11" t="s">
        <v>31</v>
      </c>
      <c r="L88" s="12" t="s">
        <v>31</v>
      </c>
      <c r="M88" s="10" t="s">
        <v>31</v>
      </c>
      <c r="N88" s="10" t="s">
        <v>155</v>
      </c>
      <c r="O88" s="12" t="s">
        <v>156</v>
      </c>
      <c r="P88" s="10" t="s">
        <v>626</v>
      </c>
      <c r="Q88" s="10" t="s">
        <v>627</v>
      </c>
      <c r="R88" s="10" t="s">
        <v>64</v>
      </c>
      <c r="S88" s="12" t="s">
        <v>628</v>
      </c>
      <c r="T88" s="10" t="s">
        <v>66</v>
      </c>
      <c r="U88" s="12" t="s">
        <v>31</v>
      </c>
      <c r="V88" s="10" t="s">
        <v>760</v>
      </c>
      <c r="W88" s="10" t="s">
        <v>598</v>
      </c>
      <c r="X88" s="13" t="str">
        <f>HYPERLINK("https://my.pitchbook.com?p=336352-15P","View People Online")</f>
        <v>View People Online</v>
      </c>
    </row>
    <row r="89">
      <c r="A89" s="6" t="s">
        <v>761</v>
      </c>
      <c r="B89" s="6" t="s">
        <v>762</v>
      </c>
      <c r="C89" s="6" t="s">
        <v>763</v>
      </c>
      <c r="D89" s="6" t="s">
        <v>764</v>
      </c>
      <c r="E89" s="6" t="s">
        <v>598</v>
      </c>
      <c r="F89" s="6" t="s">
        <v>29</v>
      </c>
      <c r="G89" s="6" t="s">
        <v>765</v>
      </c>
      <c r="H89" s="7" t="s">
        <v>31</v>
      </c>
      <c r="I89" s="7">
        <v>6.0</v>
      </c>
      <c r="J89" s="7">
        <v>2.0</v>
      </c>
      <c r="K89" s="7">
        <v>3.0</v>
      </c>
      <c r="L89" s="8" t="s">
        <v>31</v>
      </c>
      <c r="M89" s="6" t="s">
        <v>766</v>
      </c>
      <c r="N89" s="6" t="s">
        <v>155</v>
      </c>
      <c r="O89" s="8" t="s">
        <v>156</v>
      </c>
      <c r="P89" s="6" t="s">
        <v>626</v>
      </c>
      <c r="Q89" s="6" t="s">
        <v>627</v>
      </c>
      <c r="R89" s="6" t="s">
        <v>64</v>
      </c>
      <c r="S89" s="8" t="s">
        <v>628</v>
      </c>
      <c r="T89" s="6" t="s">
        <v>66</v>
      </c>
      <c r="U89" s="8" t="s">
        <v>31</v>
      </c>
      <c r="V89" s="6" t="s">
        <v>29</v>
      </c>
      <c r="W89" s="6" t="s">
        <v>598</v>
      </c>
      <c r="X89" s="9" t="str">
        <f>HYPERLINK("https://my.pitchbook.com?p=190424-62P","View People Online")</f>
        <v>View People Online</v>
      </c>
    </row>
    <row r="90">
      <c r="A90" s="2" t="s">
        <v>767</v>
      </c>
      <c r="B90" s="2" t="s">
        <v>768</v>
      </c>
      <c r="C90" s="2" t="s">
        <v>769</v>
      </c>
      <c r="D90" s="2" t="s">
        <v>770</v>
      </c>
      <c r="E90" s="2" t="s">
        <v>598</v>
      </c>
      <c r="F90" s="2" t="s">
        <v>771</v>
      </c>
      <c r="G90" s="2" t="s">
        <v>772</v>
      </c>
      <c r="H90" s="3" t="s">
        <v>31</v>
      </c>
      <c r="I90" s="3">
        <v>35.0</v>
      </c>
      <c r="J90" s="3">
        <v>2.0</v>
      </c>
      <c r="K90" s="3">
        <v>26.0</v>
      </c>
      <c r="L90" s="4" t="s">
        <v>773</v>
      </c>
      <c r="M90" s="2" t="s">
        <v>774</v>
      </c>
      <c r="N90" s="2" t="s">
        <v>775</v>
      </c>
      <c r="O90" s="4" t="s">
        <v>776</v>
      </c>
      <c r="P90" s="2" t="s">
        <v>777</v>
      </c>
      <c r="Q90" s="2" t="s">
        <v>778</v>
      </c>
      <c r="R90" s="2" t="s">
        <v>64</v>
      </c>
      <c r="S90" s="4" t="s">
        <v>779</v>
      </c>
      <c r="T90" s="2" t="s">
        <v>66</v>
      </c>
      <c r="U90" s="4" t="s">
        <v>31</v>
      </c>
      <c r="V90" s="2" t="s">
        <v>43</v>
      </c>
      <c r="W90" s="2" t="s">
        <v>780</v>
      </c>
      <c r="X90" s="5" t="str">
        <f>HYPERLINK("https://my.pitchbook.com?p=43992-28P","View People Online")</f>
        <v>View People Online</v>
      </c>
    </row>
    <row r="91">
      <c r="A91" s="6" t="s">
        <v>781</v>
      </c>
      <c r="B91" s="6" t="s">
        <v>782</v>
      </c>
      <c r="C91" s="6" t="s">
        <v>783</v>
      </c>
      <c r="D91" s="6" t="s">
        <v>784</v>
      </c>
      <c r="E91" s="6" t="s">
        <v>598</v>
      </c>
      <c r="F91" s="6" t="s">
        <v>270</v>
      </c>
      <c r="G91" s="6" t="s">
        <v>785</v>
      </c>
      <c r="H91" s="7" t="s">
        <v>31</v>
      </c>
      <c r="I91" s="7">
        <v>1.0</v>
      </c>
      <c r="J91" s="7">
        <v>1.0</v>
      </c>
      <c r="K91" s="7" t="s">
        <v>31</v>
      </c>
      <c r="L91" s="8" t="s">
        <v>31</v>
      </c>
      <c r="M91" s="6" t="s">
        <v>786</v>
      </c>
      <c r="N91" s="6" t="s">
        <v>155</v>
      </c>
      <c r="O91" s="8" t="s">
        <v>156</v>
      </c>
      <c r="P91" s="6" t="s">
        <v>626</v>
      </c>
      <c r="Q91" s="6" t="s">
        <v>627</v>
      </c>
      <c r="R91" s="6" t="s">
        <v>64</v>
      </c>
      <c r="S91" s="8" t="s">
        <v>628</v>
      </c>
      <c r="T91" s="6" t="s">
        <v>66</v>
      </c>
      <c r="U91" s="8" t="s">
        <v>31</v>
      </c>
      <c r="V91" s="6" t="s">
        <v>787</v>
      </c>
      <c r="W91" s="6" t="s">
        <v>598</v>
      </c>
      <c r="X91" s="9" t="str">
        <f>HYPERLINK("https://my.pitchbook.com?p=293366-98P","View People Online")</f>
        <v>View People Online</v>
      </c>
    </row>
    <row r="92">
      <c r="A92" s="10" t="s">
        <v>788</v>
      </c>
      <c r="B92" s="10" t="s">
        <v>789</v>
      </c>
      <c r="C92" s="10" t="s">
        <v>790</v>
      </c>
      <c r="D92" s="10" t="s">
        <v>791</v>
      </c>
      <c r="E92" s="10" t="s">
        <v>598</v>
      </c>
      <c r="F92" s="10" t="s">
        <v>29</v>
      </c>
      <c r="G92" s="10" t="s">
        <v>792</v>
      </c>
      <c r="H92" s="11" t="s">
        <v>31</v>
      </c>
      <c r="I92" s="11">
        <v>23.0</v>
      </c>
      <c r="J92" s="11">
        <v>2.0</v>
      </c>
      <c r="K92" s="11">
        <v>17.0</v>
      </c>
      <c r="L92" s="12" t="s">
        <v>31</v>
      </c>
      <c r="M92" s="10" t="s">
        <v>793</v>
      </c>
      <c r="N92" s="10" t="s">
        <v>794</v>
      </c>
      <c r="O92" s="12" t="s">
        <v>795</v>
      </c>
      <c r="P92" s="10" t="s">
        <v>31</v>
      </c>
      <c r="Q92" s="10" t="s">
        <v>31</v>
      </c>
      <c r="R92" s="10" t="s">
        <v>31</v>
      </c>
      <c r="S92" s="12" t="s">
        <v>31</v>
      </c>
      <c r="T92" s="10" t="s">
        <v>796</v>
      </c>
      <c r="U92" s="12" t="s">
        <v>31</v>
      </c>
      <c r="V92" s="10" t="s">
        <v>43</v>
      </c>
      <c r="W92" s="10" t="s">
        <v>797</v>
      </c>
      <c r="X92" s="13" t="str">
        <f>HYPERLINK("https://my.pitchbook.com?p=175995-37P","View People Online")</f>
        <v>View People Online</v>
      </c>
    </row>
    <row r="93">
      <c r="A93" s="14" t="s">
        <v>798</v>
      </c>
      <c r="B93" s="14" t="s">
        <v>799</v>
      </c>
      <c r="C93" s="14" t="s">
        <v>800</v>
      </c>
      <c r="D93" s="14" t="s">
        <v>801</v>
      </c>
      <c r="E93" s="14" t="s">
        <v>598</v>
      </c>
      <c r="F93" s="14" t="s">
        <v>802</v>
      </c>
      <c r="G93" s="14" t="s">
        <v>803</v>
      </c>
      <c r="H93" s="15" t="s">
        <v>31</v>
      </c>
      <c r="I93" s="15">
        <v>3.0</v>
      </c>
      <c r="J93" s="15">
        <v>1.0</v>
      </c>
      <c r="K93" s="15">
        <v>2.0</v>
      </c>
      <c r="L93" s="16" t="s">
        <v>31</v>
      </c>
      <c r="M93" s="14" t="s">
        <v>804</v>
      </c>
      <c r="N93" s="14" t="s">
        <v>155</v>
      </c>
      <c r="O93" s="16" t="s">
        <v>156</v>
      </c>
      <c r="P93" s="14" t="s">
        <v>626</v>
      </c>
      <c r="Q93" s="14" t="s">
        <v>627</v>
      </c>
      <c r="R93" s="14" t="s">
        <v>64</v>
      </c>
      <c r="S93" s="16" t="s">
        <v>628</v>
      </c>
      <c r="T93" s="14" t="s">
        <v>66</v>
      </c>
      <c r="U93" s="16" t="s">
        <v>31</v>
      </c>
      <c r="V93" s="14" t="s">
        <v>802</v>
      </c>
      <c r="W93" s="14" t="s">
        <v>598</v>
      </c>
      <c r="X93" s="17" t="str">
        <f>HYPERLINK("https://my.pitchbook.com?p=433965-34P","View People Online")</f>
        <v>View People Online</v>
      </c>
    </row>
    <row r="94">
      <c r="A94" s="2" t="s">
        <v>805</v>
      </c>
      <c r="B94" s="2" t="s">
        <v>806</v>
      </c>
      <c r="C94" s="2" t="s">
        <v>807</v>
      </c>
      <c r="D94" s="2" t="s">
        <v>808</v>
      </c>
      <c r="E94" s="2" t="s">
        <v>598</v>
      </c>
      <c r="F94" s="2" t="s">
        <v>270</v>
      </c>
      <c r="G94" s="2" t="s">
        <v>809</v>
      </c>
      <c r="H94" s="3" t="s">
        <v>31</v>
      </c>
      <c r="I94" s="3">
        <v>1.0</v>
      </c>
      <c r="J94" s="3">
        <v>1.0</v>
      </c>
      <c r="K94" s="3" t="s">
        <v>31</v>
      </c>
      <c r="L94" s="4" t="s">
        <v>31</v>
      </c>
      <c r="M94" s="2" t="s">
        <v>810</v>
      </c>
      <c r="N94" s="2" t="s">
        <v>155</v>
      </c>
      <c r="O94" s="4" t="s">
        <v>156</v>
      </c>
      <c r="P94" s="2" t="s">
        <v>626</v>
      </c>
      <c r="Q94" s="2" t="s">
        <v>627</v>
      </c>
      <c r="R94" s="2" t="s">
        <v>64</v>
      </c>
      <c r="S94" s="4" t="s">
        <v>628</v>
      </c>
      <c r="T94" s="2" t="s">
        <v>66</v>
      </c>
      <c r="U94" s="4" t="s">
        <v>31</v>
      </c>
      <c r="V94" s="2" t="s">
        <v>811</v>
      </c>
      <c r="W94" s="2" t="s">
        <v>598</v>
      </c>
      <c r="X94" s="5" t="str">
        <f>HYPERLINK("https://my.pitchbook.com?p=336096-73P","View People Online")</f>
        <v>View People Online</v>
      </c>
    </row>
    <row r="95">
      <c r="A95" s="14" t="s">
        <v>812</v>
      </c>
      <c r="B95" s="14" t="s">
        <v>813</v>
      </c>
      <c r="C95" s="14" t="s">
        <v>814</v>
      </c>
      <c r="D95" s="14" t="s">
        <v>815</v>
      </c>
      <c r="E95" s="14" t="s">
        <v>598</v>
      </c>
      <c r="F95" s="14" t="s">
        <v>270</v>
      </c>
      <c r="G95" s="14" t="s">
        <v>31</v>
      </c>
      <c r="H95" s="15" t="s">
        <v>31</v>
      </c>
      <c r="I95" s="15">
        <v>2.0</v>
      </c>
      <c r="J95" s="15">
        <v>1.0</v>
      </c>
      <c r="K95" s="15">
        <v>1.0</v>
      </c>
      <c r="L95" s="16" t="s">
        <v>31</v>
      </c>
      <c r="M95" s="14" t="s">
        <v>31</v>
      </c>
      <c r="N95" s="14" t="s">
        <v>155</v>
      </c>
      <c r="O95" s="16" t="s">
        <v>156</v>
      </c>
      <c r="P95" s="14" t="s">
        <v>626</v>
      </c>
      <c r="Q95" s="14" t="s">
        <v>627</v>
      </c>
      <c r="R95" s="14" t="s">
        <v>64</v>
      </c>
      <c r="S95" s="16" t="s">
        <v>628</v>
      </c>
      <c r="T95" s="14" t="s">
        <v>66</v>
      </c>
      <c r="U95" s="16" t="s">
        <v>31</v>
      </c>
      <c r="V95" s="14" t="s">
        <v>270</v>
      </c>
      <c r="W95" s="14" t="s">
        <v>598</v>
      </c>
      <c r="X95" s="17" t="str">
        <f>HYPERLINK("https://my.pitchbook.com?p=442815-94P","View People Online")</f>
        <v>View People Online</v>
      </c>
    </row>
    <row r="96">
      <c r="A96" s="2" t="s">
        <v>816</v>
      </c>
      <c r="B96" s="2" t="s">
        <v>817</v>
      </c>
      <c r="C96" s="2" t="s">
        <v>818</v>
      </c>
      <c r="D96" s="2" t="s">
        <v>819</v>
      </c>
      <c r="E96" s="2" t="s">
        <v>598</v>
      </c>
      <c r="F96" s="2" t="s">
        <v>667</v>
      </c>
      <c r="G96" s="2" t="s">
        <v>820</v>
      </c>
      <c r="H96" s="3" t="s">
        <v>31</v>
      </c>
      <c r="I96" s="3">
        <v>3.0</v>
      </c>
      <c r="J96" s="3">
        <v>1.0</v>
      </c>
      <c r="K96" s="3">
        <v>2.0</v>
      </c>
      <c r="L96" s="4" t="s">
        <v>31</v>
      </c>
      <c r="M96" s="2" t="s">
        <v>31</v>
      </c>
      <c r="N96" s="2" t="s">
        <v>155</v>
      </c>
      <c r="O96" s="4" t="s">
        <v>156</v>
      </c>
      <c r="P96" s="2" t="s">
        <v>626</v>
      </c>
      <c r="Q96" s="2" t="s">
        <v>627</v>
      </c>
      <c r="R96" s="2" t="s">
        <v>64</v>
      </c>
      <c r="S96" s="4" t="s">
        <v>628</v>
      </c>
      <c r="T96" s="2" t="s">
        <v>66</v>
      </c>
      <c r="U96" s="4" t="s">
        <v>31</v>
      </c>
      <c r="V96" s="2" t="s">
        <v>695</v>
      </c>
      <c r="W96" s="2" t="s">
        <v>598</v>
      </c>
      <c r="X96" s="5" t="str">
        <f>HYPERLINK("https://my.pitchbook.com?p=391748-50P","View People Online")</f>
        <v>View People Online</v>
      </c>
    </row>
    <row r="97">
      <c r="A97" s="6" t="s">
        <v>821</v>
      </c>
      <c r="B97" s="6" t="s">
        <v>822</v>
      </c>
      <c r="C97" s="6" t="s">
        <v>823</v>
      </c>
      <c r="D97" s="6" t="s">
        <v>824</v>
      </c>
      <c r="E97" s="6" t="s">
        <v>598</v>
      </c>
      <c r="F97" s="6" t="s">
        <v>825</v>
      </c>
      <c r="G97" s="6" t="s">
        <v>826</v>
      </c>
      <c r="H97" s="7" t="s">
        <v>31</v>
      </c>
      <c r="I97" s="7">
        <v>9.0</v>
      </c>
      <c r="J97" s="7">
        <v>2.0</v>
      </c>
      <c r="K97" s="7">
        <v>4.0</v>
      </c>
      <c r="L97" s="8" t="s">
        <v>31</v>
      </c>
      <c r="M97" s="6" t="s">
        <v>827</v>
      </c>
      <c r="N97" s="6" t="s">
        <v>155</v>
      </c>
      <c r="O97" s="8" t="s">
        <v>156</v>
      </c>
      <c r="P97" s="6" t="s">
        <v>626</v>
      </c>
      <c r="Q97" s="6" t="s">
        <v>627</v>
      </c>
      <c r="R97" s="6" t="s">
        <v>64</v>
      </c>
      <c r="S97" s="8" t="s">
        <v>628</v>
      </c>
      <c r="T97" s="6" t="s">
        <v>66</v>
      </c>
      <c r="U97" s="8" t="s">
        <v>31</v>
      </c>
      <c r="V97" s="6" t="s">
        <v>828</v>
      </c>
      <c r="W97" s="6" t="s">
        <v>598</v>
      </c>
      <c r="X97" s="9" t="str">
        <f>HYPERLINK("https://my.pitchbook.com?p=97808-86P","View People Online")</f>
        <v>View People Online</v>
      </c>
    </row>
    <row r="98">
      <c r="A98" s="10" t="s">
        <v>829</v>
      </c>
      <c r="B98" s="10" t="s">
        <v>830</v>
      </c>
      <c r="C98" s="10" t="s">
        <v>823</v>
      </c>
      <c r="D98" s="10" t="s">
        <v>831</v>
      </c>
      <c r="E98" s="10" t="s">
        <v>598</v>
      </c>
      <c r="F98" s="10" t="s">
        <v>548</v>
      </c>
      <c r="G98" s="10" t="s">
        <v>832</v>
      </c>
      <c r="H98" s="11" t="s">
        <v>31</v>
      </c>
      <c r="I98" s="11">
        <v>1.0</v>
      </c>
      <c r="J98" s="11">
        <v>1.0</v>
      </c>
      <c r="K98" s="11" t="s">
        <v>31</v>
      </c>
      <c r="L98" s="12" t="s">
        <v>31</v>
      </c>
      <c r="M98" s="10" t="s">
        <v>833</v>
      </c>
      <c r="N98" s="10" t="s">
        <v>155</v>
      </c>
      <c r="O98" s="12" t="s">
        <v>156</v>
      </c>
      <c r="P98" s="10" t="s">
        <v>626</v>
      </c>
      <c r="Q98" s="10" t="s">
        <v>627</v>
      </c>
      <c r="R98" s="10" t="s">
        <v>64</v>
      </c>
      <c r="S98" s="12" t="s">
        <v>628</v>
      </c>
      <c r="T98" s="10" t="s">
        <v>66</v>
      </c>
      <c r="U98" s="12" t="s">
        <v>31</v>
      </c>
      <c r="V98" s="10" t="s">
        <v>834</v>
      </c>
      <c r="W98" s="10" t="s">
        <v>598</v>
      </c>
      <c r="X98" s="13" t="str">
        <f>HYPERLINK("https://my.pitchbook.com?p=187132-96P","View People Online")</f>
        <v>View People Online</v>
      </c>
    </row>
    <row r="99">
      <c r="A99" s="14" t="s">
        <v>835</v>
      </c>
      <c r="B99" s="14" t="s">
        <v>836</v>
      </c>
      <c r="C99" s="14" t="s">
        <v>837</v>
      </c>
      <c r="D99" s="14" t="s">
        <v>838</v>
      </c>
      <c r="E99" s="14" t="s">
        <v>598</v>
      </c>
      <c r="F99" s="14" t="s">
        <v>667</v>
      </c>
      <c r="G99" s="14" t="s">
        <v>839</v>
      </c>
      <c r="H99" s="15" t="s">
        <v>31</v>
      </c>
      <c r="I99" s="15">
        <v>1.0</v>
      </c>
      <c r="J99" s="15">
        <v>1.0</v>
      </c>
      <c r="K99" s="15" t="s">
        <v>31</v>
      </c>
      <c r="L99" s="16" t="s">
        <v>31</v>
      </c>
      <c r="M99" s="14" t="s">
        <v>840</v>
      </c>
      <c r="N99" s="14" t="s">
        <v>155</v>
      </c>
      <c r="O99" s="16" t="s">
        <v>156</v>
      </c>
      <c r="P99" s="14" t="s">
        <v>626</v>
      </c>
      <c r="Q99" s="14" t="s">
        <v>627</v>
      </c>
      <c r="R99" s="14" t="s">
        <v>64</v>
      </c>
      <c r="S99" s="16" t="s">
        <v>628</v>
      </c>
      <c r="T99" s="14" t="s">
        <v>66</v>
      </c>
      <c r="U99" s="16" t="s">
        <v>31</v>
      </c>
      <c r="V99" s="14" t="s">
        <v>701</v>
      </c>
      <c r="W99" s="14" t="s">
        <v>598</v>
      </c>
      <c r="X99" s="17" t="str">
        <f>HYPERLINK("https://my.pitchbook.com?p=326317-06P","View People Online")</f>
        <v>View People Online</v>
      </c>
    </row>
    <row r="100">
      <c r="A100" s="10" t="s">
        <v>841</v>
      </c>
      <c r="B100" s="10" t="s">
        <v>842</v>
      </c>
      <c r="C100" s="10" t="s">
        <v>843</v>
      </c>
      <c r="D100" s="10" t="s">
        <v>844</v>
      </c>
      <c r="E100" s="10" t="s">
        <v>598</v>
      </c>
      <c r="F100" s="10" t="s">
        <v>221</v>
      </c>
      <c r="G100" s="10" t="s">
        <v>845</v>
      </c>
      <c r="H100" s="11" t="s">
        <v>31</v>
      </c>
      <c r="I100" s="11">
        <v>1.0</v>
      </c>
      <c r="J100" s="11">
        <v>1.0</v>
      </c>
      <c r="K100" s="11" t="s">
        <v>31</v>
      </c>
      <c r="L100" s="12" t="s">
        <v>31</v>
      </c>
      <c r="M100" s="10" t="s">
        <v>846</v>
      </c>
      <c r="N100" s="10" t="s">
        <v>155</v>
      </c>
      <c r="O100" s="12" t="s">
        <v>156</v>
      </c>
      <c r="P100" s="10" t="s">
        <v>626</v>
      </c>
      <c r="Q100" s="10" t="s">
        <v>627</v>
      </c>
      <c r="R100" s="10" t="s">
        <v>64</v>
      </c>
      <c r="S100" s="12" t="s">
        <v>628</v>
      </c>
      <c r="T100" s="10" t="s">
        <v>66</v>
      </c>
      <c r="U100" s="12" t="s">
        <v>31</v>
      </c>
      <c r="V100" s="10" t="s">
        <v>847</v>
      </c>
      <c r="W100" s="10" t="s">
        <v>598</v>
      </c>
      <c r="X100" s="13" t="str">
        <f>HYPERLINK("https://my.pitchbook.com?p=335995-57P","View People Online")</f>
        <v>View People Online</v>
      </c>
    </row>
    <row r="101">
      <c r="A101" s="14" t="s">
        <v>848</v>
      </c>
      <c r="B101" s="14" t="s">
        <v>849</v>
      </c>
      <c r="C101" s="14" t="s">
        <v>850</v>
      </c>
      <c r="D101" s="14" t="s">
        <v>851</v>
      </c>
      <c r="E101" s="14" t="s">
        <v>598</v>
      </c>
      <c r="F101" s="14" t="s">
        <v>667</v>
      </c>
      <c r="G101" s="14" t="s">
        <v>852</v>
      </c>
      <c r="H101" s="15" t="s">
        <v>31</v>
      </c>
      <c r="I101" s="15">
        <v>1.0</v>
      </c>
      <c r="J101" s="15">
        <v>1.0</v>
      </c>
      <c r="K101" s="15" t="s">
        <v>31</v>
      </c>
      <c r="L101" s="16" t="s">
        <v>31</v>
      </c>
      <c r="M101" s="14" t="s">
        <v>853</v>
      </c>
      <c r="N101" s="14" t="s">
        <v>155</v>
      </c>
      <c r="O101" s="16" t="s">
        <v>156</v>
      </c>
      <c r="P101" s="14" t="s">
        <v>626</v>
      </c>
      <c r="Q101" s="14" t="s">
        <v>627</v>
      </c>
      <c r="R101" s="14" t="s">
        <v>64</v>
      </c>
      <c r="S101" s="16" t="s">
        <v>628</v>
      </c>
      <c r="T101" s="14" t="s">
        <v>66</v>
      </c>
      <c r="U101" s="16" t="s">
        <v>31</v>
      </c>
      <c r="V101" s="14" t="s">
        <v>701</v>
      </c>
      <c r="W101" s="14" t="s">
        <v>598</v>
      </c>
      <c r="X101" s="17" t="str">
        <f>HYPERLINK("https://my.pitchbook.com?p=326320-39P","View People Online")</f>
        <v>View People Online</v>
      </c>
    </row>
    <row r="102">
      <c r="A102" s="2" t="s">
        <v>854</v>
      </c>
      <c r="B102" s="2" t="s">
        <v>855</v>
      </c>
      <c r="C102" s="2" t="s">
        <v>856</v>
      </c>
      <c r="D102" s="2" t="s">
        <v>857</v>
      </c>
      <c r="E102" s="2" t="s">
        <v>598</v>
      </c>
      <c r="F102" s="2" t="s">
        <v>57</v>
      </c>
      <c r="G102" s="2" t="s">
        <v>858</v>
      </c>
      <c r="H102" s="3">
        <v>1.0</v>
      </c>
      <c r="I102" s="3">
        <v>61.0</v>
      </c>
      <c r="J102" s="3">
        <v>2.0</v>
      </c>
      <c r="K102" s="3">
        <v>46.0</v>
      </c>
      <c r="L102" s="4" t="s">
        <v>31</v>
      </c>
      <c r="M102" s="2" t="s">
        <v>859</v>
      </c>
      <c r="N102" s="2" t="s">
        <v>698</v>
      </c>
      <c r="O102" s="4" t="s">
        <v>699</v>
      </c>
      <c r="P102" s="2" t="s">
        <v>31</v>
      </c>
      <c r="Q102" s="2" t="s">
        <v>31</v>
      </c>
      <c r="R102" s="2" t="s">
        <v>31</v>
      </c>
      <c r="S102" s="4" t="s">
        <v>31</v>
      </c>
      <c r="T102" s="2" t="s">
        <v>700</v>
      </c>
      <c r="U102" s="4" t="s">
        <v>31</v>
      </c>
      <c r="V102" s="2" t="s">
        <v>57</v>
      </c>
      <c r="W102" s="2" t="s">
        <v>598</v>
      </c>
      <c r="X102" s="5" t="str">
        <f>HYPERLINK("https://my.pitchbook.com?p=55388-71P","View People Online")</f>
        <v>View People Online</v>
      </c>
    </row>
    <row r="103">
      <c r="A103" s="14" t="s">
        <v>860</v>
      </c>
      <c r="B103" s="14" t="s">
        <v>861</v>
      </c>
      <c r="C103" s="14" t="s">
        <v>862</v>
      </c>
      <c r="D103" s="14" t="s">
        <v>863</v>
      </c>
      <c r="E103" s="14" t="s">
        <v>598</v>
      </c>
      <c r="F103" s="14" t="s">
        <v>114</v>
      </c>
      <c r="G103" s="14" t="s">
        <v>864</v>
      </c>
      <c r="H103" s="15" t="s">
        <v>31</v>
      </c>
      <c r="I103" s="15">
        <v>1.0</v>
      </c>
      <c r="J103" s="15">
        <v>1.0</v>
      </c>
      <c r="K103" s="15" t="s">
        <v>31</v>
      </c>
      <c r="L103" s="16" t="s">
        <v>31</v>
      </c>
      <c r="M103" s="14" t="s">
        <v>865</v>
      </c>
      <c r="N103" s="14" t="s">
        <v>155</v>
      </c>
      <c r="O103" s="16" t="s">
        <v>156</v>
      </c>
      <c r="P103" s="14" t="s">
        <v>626</v>
      </c>
      <c r="Q103" s="14" t="s">
        <v>627</v>
      </c>
      <c r="R103" s="14" t="s">
        <v>64</v>
      </c>
      <c r="S103" s="16" t="s">
        <v>628</v>
      </c>
      <c r="T103" s="14" t="s">
        <v>66</v>
      </c>
      <c r="U103" s="16" t="s">
        <v>31</v>
      </c>
      <c r="V103" s="14" t="s">
        <v>114</v>
      </c>
      <c r="W103" s="14" t="s">
        <v>598</v>
      </c>
      <c r="X103" s="17" t="str">
        <f>HYPERLINK("https://my.pitchbook.com?p=247902-49P","View People Online")</f>
        <v>View People Online</v>
      </c>
    </row>
    <row r="104">
      <c r="A104" s="2" t="s">
        <v>866</v>
      </c>
      <c r="B104" s="2" t="s">
        <v>867</v>
      </c>
      <c r="C104" s="2" t="s">
        <v>868</v>
      </c>
      <c r="D104" s="2" t="s">
        <v>666</v>
      </c>
      <c r="E104" s="2" t="s">
        <v>598</v>
      </c>
      <c r="F104" s="2" t="s">
        <v>825</v>
      </c>
      <c r="G104" s="2" t="s">
        <v>869</v>
      </c>
      <c r="H104" s="3" t="s">
        <v>31</v>
      </c>
      <c r="I104" s="3">
        <v>1.0</v>
      </c>
      <c r="J104" s="3">
        <v>1.0</v>
      </c>
      <c r="K104" s="3" t="s">
        <v>31</v>
      </c>
      <c r="L104" s="4" t="s">
        <v>31</v>
      </c>
      <c r="M104" s="2" t="s">
        <v>870</v>
      </c>
      <c r="N104" s="2" t="s">
        <v>155</v>
      </c>
      <c r="O104" s="4" t="s">
        <v>156</v>
      </c>
      <c r="P104" s="2" t="s">
        <v>626</v>
      </c>
      <c r="Q104" s="2" t="s">
        <v>627</v>
      </c>
      <c r="R104" s="2" t="s">
        <v>64</v>
      </c>
      <c r="S104" s="4" t="s">
        <v>628</v>
      </c>
      <c r="T104" s="2" t="s">
        <v>66</v>
      </c>
      <c r="U104" s="4" t="s">
        <v>31</v>
      </c>
      <c r="V104" s="2" t="s">
        <v>871</v>
      </c>
      <c r="W104" s="2" t="s">
        <v>598</v>
      </c>
      <c r="X104" s="5" t="str">
        <f>HYPERLINK("https://my.pitchbook.com?p=106487-47P","View People Online")</f>
        <v>View People Online</v>
      </c>
    </row>
    <row r="105">
      <c r="A105" s="6" t="s">
        <v>872</v>
      </c>
      <c r="B105" s="6" t="s">
        <v>873</v>
      </c>
      <c r="C105" s="6" t="s">
        <v>874</v>
      </c>
      <c r="D105" s="6" t="s">
        <v>875</v>
      </c>
      <c r="E105" s="6" t="s">
        <v>598</v>
      </c>
      <c r="F105" s="6" t="s">
        <v>548</v>
      </c>
      <c r="G105" s="6" t="s">
        <v>876</v>
      </c>
      <c r="H105" s="7" t="s">
        <v>31</v>
      </c>
      <c r="I105" s="7">
        <v>1.0</v>
      </c>
      <c r="J105" s="7">
        <v>1.0</v>
      </c>
      <c r="K105" s="7" t="s">
        <v>31</v>
      </c>
      <c r="L105" s="8" t="s">
        <v>715</v>
      </c>
      <c r="M105" s="6" t="s">
        <v>877</v>
      </c>
      <c r="N105" s="6" t="s">
        <v>717</v>
      </c>
      <c r="O105" s="8" t="s">
        <v>718</v>
      </c>
      <c r="P105" s="6" t="s">
        <v>719</v>
      </c>
      <c r="Q105" s="6" t="s">
        <v>720</v>
      </c>
      <c r="R105" s="6" t="s">
        <v>64</v>
      </c>
      <c r="S105" s="8" t="s">
        <v>721</v>
      </c>
      <c r="T105" s="6" t="s">
        <v>66</v>
      </c>
      <c r="U105" s="8" t="s">
        <v>31</v>
      </c>
      <c r="V105" s="6" t="s">
        <v>878</v>
      </c>
      <c r="W105" s="6" t="s">
        <v>598</v>
      </c>
      <c r="X105" s="9" t="str">
        <f>HYPERLINK("https://my.pitchbook.com?p=379008-73P","View People Online")</f>
        <v>View People Online</v>
      </c>
    </row>
    <row r="106">
      <c r="A106" s="2" t="s">
        <v>879</v>
      </c>
      <c r="B106" s="2" t="s">
        <v>880</v>
      </c>
      <c r="C106" s="2" t="s">
        <v>881</v>
      </c>
      <c r="D106" s="2" t="s">
        <v>882</v>
      </c>
      <c r="E106" s="2" t="s">
        <v>598</v>
      </c>
      <c r="F106" s="2" t="s">
        <v>29</v>
      </c>
      <c r="G106" s="2" t="s">
        <v>883</v>
      </c>
      <c r="H106" s="3" t="s">
        <v>31</v>
      </c>
      <c r="I106" s="3">
        <v>3.0</v>
      </c>
      <c r="J106" s="3">
        <v>1.0</v>
      </c>
      <c r="K106" s="3">
        <v>2.0</v>
      </c>
      <c r="L106" s="4" t="s">
        <v>31</v>
      </c>
      <c r="M106" s="2" t="s">
        <v>884</v>
      </c>
      <c r="N106" s="2" t="s">
        <v>155</v>
      </c>
      <c r="O106" s="4" t="s">
        <v>156</v>
      </c>
      <c r="P106" s="2" t="s">
        <v>626</v>
      </c>
      <c r="Q106" s="2" t="s">
        <v>627</v>
      </c>
      <c r="R106" s="2" t="s">
        <v>64</v>
      </c>
      <c r="S106" s="4" t="s">
        <v>628</v>
      </c>
      <c r="T106" s="2" t="s">
        <v>66</v>
      </c>
      <c r="U106" s="4" t="s">
        <v>31</v>
      </c>
      <c r="V106" s="2" t="s">
        <v>29</v>
      </c>
      <c r="W106" s="2" t="s">
        <v>598</v>
      </c>
      <c r="X106" s="5" t="str">
        <f>HYPERLINK("https://my.pitchbook.com?p=345047-41P","View People Online")</f>
        <v>View People Online</v>
      </c>
    </row>
    <row r="107">
      <c r="A107" s="14" t="s">
        <v>885</v>
      </c>
      <c r="B107" s="14" t="s">
        <v>886</v>
      </c>
      <c r="C107" s="14" t="s">
        <v>887</v>
      </c>
      <c r="D107" s="14" t="s">
        <v>888</v>
      </c>
      <c r="E107" s="14" t="s">
        <v>598</v>
      </c>
      <c r="F107" s="14" t="s">
        <v>29</v>
      </c>
      <c r="G107" s="14" t="s">
        <v>889</v>
      </c>
      <c r="H107" s="15" t="s">
        <v>31</v>
      </c>
      <c r="I107" s="15">
        <v>1.0</v>
      </c>
      <c r="J107" s="15">
        <v>1.0</v>
      </c>
      <c r="K107" s="15" t="s">
        <v>31</v>
      </c>
      <c r="L107" s="16" t="s">
        <v>31</v>
      </c>
      <c r="M107" s="14" t="s">
        <v>890</v>
      </c>
      <c r="N107" s="14" t="s">
        <v>698</v>
      </c>
      <c r="O107" s="16" t="s">
        <v>699</v>
      </c>
      <c r="P107" s="14" t="s">
        <v>31</v>
      </c>
      <c r="Q107" s="14" t="s">
        <v>31</v>
      </c>
      <c r="R107" s="14" t="s">
        <v>31</v>
      </c>
      <c r="S107" s="16" t="s">
        <v>31</v>
      </c>
      <c r="T107" s="14" t="s">
        <v>700</v>
      </c>
      <c r="U107" s="16" t="s">
        <v>31</v>
      </c>
      <c r="V107" s="14" t="s">
        <v>891</v>
      </c>
      <c r="W107" s="14" t="s">
        <v>598</v>
      </c>
      <c r="X107" s="17" t="str">
        <f>HYPERLINK("https://my.pitchbook.com?p=346171-33P","View People Online")</f>
        <v>View People Online</v>
      </c>
    </row>
    <row r="108">
      <c r="A108" s="10" t="s">
        <v>892</v>
      </c>
      <c r="B108" s="10" t="s">
        <v>893</v>
      </c>
      <c r="C108" s="10" t="s">
        <v>894</v>
      </c>
      <c r="D108" s="10" t="s">
        <v>895</v>
      </c>
      <c r="E108" s="10" t="s">
        <v>598</v>
      </c>
      <c r="F108" s="10" t="s">
        <v>896</v>
      </c>
      <c r="G108" s="10" t="s">
        <v>897</v>
      </c>
      <c r="H108" s="11" t="s">
        <v>31</v>
      </c>
      <c r="I108" s="11">
        <v>1.0</v>
      </c>
      <c r="J108" s="11">
        <v>1.0</v>
      </c>
      <c r="K108" s="11" t="s">
        <v>31</v>
      </c>
      <c r="L108" s="12" t="s">
        <v>31</v>
      </c>
      <c r="M108" s="10" t="s">
        <v>898</v>
      </c>
      <c r="N108" s="10" t="s">
        <v>637</v>
      </c>
      <c r="O108" s="12" t="s">
        <v>638</v>
      </c>
      <c r="P108" s="10" t="s">
        <v>31</v>
      </c>
      <c r="Q108" s="10" t="s">
        <v>31</v>
      </c>
      <c r="R108" s="10" t="s">
        <v>31</v>
      </c>
      <c r="S108" s="12" t="s">
        <v>31</v>
      </c>
      <c r="T108" s="10" t="s">
        <v>639</v>
      </c>
      <c r="U108" s="12" t="s">
        <v>31</v>
      </c>
      <c r="V108" s="10" t="s">
        <v>896</v>
      </c>
      <c r="W108" s="10" t="s">
        <v>598</v>
      </c>
      <c r="X108" s="13" t="str">
        <f>HYPERLINK("https://my.pitchbook.com?p=396179-20P","View People Online")</f>
        <v>View People Online</v>
      </c>
    </row>
    <row r="109">
      <c r="A109" s="6" t="s">
        <v>899</v>
      </c>
      <c r="B109" s="6" t="s">
        <v>900</v>
      </c>
      <c r="C109" s="6" t="s">
        <v>901</v>
      </c>
      <c r="D109" s="6" t="s">
        <v>902</v>
      </c>
      <c r="E109" s="6" t="s">
        <v>598</v>
      </c>
      <c r="F109" s="6" t="s">
        <v>189</v>
      </c>
      <c r="G109" s="6" t="s">
        <v>903</v>
      </c>
      <c r="H109" s="7">
        <v>1.0</v>
      </c>
      <c r="I109" s="7">
        <v>28.0</v>
      </c>
      <c r="J109" s="7">
        <v>1.0</v>
      </c>
      <c r="K109" s="7">
        <v>24.0</v>
      </c>
      <c r="L109" s="8" t="s">
        <v>715</v>
      </c>
      <c r="M109" s="6" t="s">
        <v>31</v>
      </c>
      <c r="N109" s="6" t="s">
        <v>717</v>
      </c>
      <c r="O109" s="8" t="s">
        <v>718</v>
      </c>
      <c r="P109" s="6" t="s">
        <v>719</v>
      </c>
      <c r="Q109" s="6" t="s">
        <v>720</v>
      </c>
      <c r="R109" s="6" t="s">
        <v>64</v>
      </c>
      <c r="S109" s="8" t="s">
        <v>721</v>
      </c>
      <c r="T109" s="6" t="s">
        <v>66</v>
      </c>
      <c r="U109" s="8" t="s">
        <v>31</v>
      </c>
      <c r="V109" s="6" t="s">
        <v>904</v>
      </c>
      <c r="W109" s="6" t="s">
        <v>598</v>
      </c>
      <c r="X109" s="9" t="str">
        <f>HYPERLINK("https://my.pitchbook.com?p=66625-93P","View People Online")</f>
        <v>View People Online</v>
      </c>
    </row>
    <row r="110">
      <c r="A110" s="10" t="s">
        <v>905</v>
      </c>
      <c r="B110" s="10" t="s">
        <v>906</v>
      </c>
      <c r="C110" s="10" t="s">
        <v>907</v>
      </c>
      <c r="D110" s="10" t="s">
        <v>908</v>
      </c>
      <c r="E110" s="10" t="s">
        <v>598</v>
      </c>
      <c r="F110" s="10" t="s">
        <v>548</v>
      </c>
      <c r="G110" s="10" t="s">
        <v>909</v>
      </c>
      <c r="H110" s="11" t="s">
        <v>31</v>
      </c>
      <c r="I110" s="11">
        <v>1.0</v>
      </c>
      <c r="J110" s="11">
        <v>1.0</v>
      </c>
      <c r="K110" s="11" t="s">
        <v>31</v>
      </c>
      <c r="L110" s="12" t="s">
        <v>31</v>
      </c>
      <c r="M110" s="10" t="s">
        <v>910</v>
      </c>
      <c r="N110" s="10" t="s">
        <v>155</v>
      </c>
      <c r="O110" s="12" t="s">
        <v>156</v>
      </c>
      <c r="P110" s="10" t="s">
        <v>626</v>
      </c>
      <c r="Q110" s="10" t="s">
        <v>627</v>
      </c>
      <c r="R110" s="10" t="s">
        <v>64</v>
      </c>
      <c r="S110" s="12" t="s">
        <v>628</v>
      </c>
      <c r="T110" s="10" t="s">
        <v>66</v>
      </c>
      <c r="U110" s="12" t="s">
        <v>31</v>
      </c>
      <c r="V110" s="10" t="s">
        <v>911</v>
      </c>
      <c r="W110" s="10" t="s">
        <v>598</v>
      </c>
      <c r="X110" s="13" t="str">
        <f>HYPERLINK("https://my.pitchbook.com?p=269630-74P","View People Online")</f>
        <v>View People Online</v>
      </c>
    </row>
    <row r="111">
      <c r="A111" s="6" t="s">
        <v>912</v>
      </c>
      <c r="B111" s="6" t="s">
        <v>913</v>
      </c>
      <c r="C111" s="6" t="s">
        <v>914</v>
      </c>
      <c r="D111" s="6" t="s">
        <v>915</v>
      </c>
      <c r="E111" s="6" t="s">
        <v>598</v>
      </c>
      <c r="F111" s="6" t="s">
        <v>916</v>
      </c>
      <c r="G111" s="6" t="s">
        <v>917</v>
      </c>
      <c r="H111" s="7" t="s">
        <v>31</v>
      </c>
      <c r="I111" s="7">
        <v>1.0</v>
      </c>
      <c r="J111" s="7">
        <v>1.0</v>
      </c>
      <c r="K111" s="7" t="s">
        <v>31</v>
      </c>
      <c r="L111" s="8" t="s">
        <v>31</v>
      </c>
      <c r="M111" s="6" t="s">
        <v>31</v>
      </c>
      <c r="N111" s="6" t="s">
        <v>155</v>
      </c>
      <c r="O111" s="8" t="s">
        <v>156</v>
      </c>
      <c r="P111" s="6" t="s">
        <v>626</v>
      </c>
      <c r="Q111" s="6" t="s">
        <v>627</v>
      </c>
      <c r="R111" s="6" t="s">
        <v>64</v>
      </c>
      <c r="S111" s="8" t="s">
        <v>628</v>
      </c>
      <c r="T111" s="6" t="s">
        <v>66</v>
      </c>
      <c r="U111" s="8" t="s">
        <v>31</v>
      </c>
      <c r="V111" s="6" t="s">
        <v>918</v>
      </c>
      <c r="W111" s="6" t="s">
        <v>919</v>
      </c>
      <c r="X111" s="9" t="str">
        <f>HYPERLINK("https://my.pitchbook.com?p=77893-12P","View People Online")</f>
        <v>View People Online</v>
      </c>
    </row>
    <row r="112">
      <c r="A112" s="2" t="s">
        <v>920</v>
      </c>
      <c r="B112" s="2" t="s">
        <v>921</v>
      </c>
      <c r="C112" s="2" t="s">
        <v>922</v>
      </c>
      <c r="D112" s="2" t="s">
        <v>923</v>
      </c>
      <c r="E112" s="2" t="s">
        <v>598</v>
      </c>
      <c r="F112" s="2" t="s">
        <v>221</v>
      </c>
      <c r="G112" s="2" t="s">
        <v>924</v>
      </c>
      <c r="H112" s="3" t="s">
        <v>31</v>
      </c>
      <c r="I112" s="3">
        <v>1.0</v>
      </c>
      <c r="J112" s="3">
        <v>1.0</v>
      </c>
      <c r="K112" s="3" t="s">
        <v>31</v>
      </c>
      <c r="L112" s="4" t="s">
        <v>31</v>
      </c>
      <c r="M112" s="2" t="s">
        <v>925</v>
      </c>
      <c r="N112" s="2" t="s">
        <v>155</v>
      </c>
      <c r="O112" s="4" t="s">
        <v>156</v>
      </c>
      <c r="P112" s="2" t="s">
        <v>626</v>
      </c>
      <c r="Q112" s="2" t="s">
        <v>627</v>
      </c>
      <c r="R112" s="2" t="s">
        <v>64</v>
      </c>
      <c r="S112" s="4" t="s">
        <v>628</v>
      </c>
      <c r="T112" s="2" t="s">
        <v>66</v>
      </c>
      <c r="U112" s="4" t="s">
        <v>31</v>
      </c>
      <c r="V112" s="2" t="s">
        <v>221</v>
      </c>
      <c r="W112" s="2" t="s">
        <v>598</v>
      </c>
      <c r="X112" s="5" t="str">
        <f>HYPERLINK("https://my.pitchbook.com?p=342048-88P","View People Online")</f>
        <v>View People Online</v>
      </c>
    </row>
    <row r="113">
      <c r="A113" s="6" t="s">
        <v>926</v>
      </c>
      <c r="B113" s="6" t="s">
        <v>927</v>
      </c>
      <c r="C113" s="6" t="s">
        <v>928</v>
      </c>
      <c r="D113" s="6" t="s">
        <v>929</v>
      </c>
      <c r="E113" s="6" t="s">
        <v>598</v>
      </c>
      <c r="F113" s="6" t="s">
        <v>318</v>
      </c>
      <c r="G113" s="6" t="s">
        <v>930</v>
      </c>
      <c r="H113" s="7" t="s">
        <v>31</v>
      </c>
      <c r="I113" s="7">
        <v>1.0</v>
      </c>
      <c r="J113" s="7">
        <v>1.0</v>
      </c>
      <c r="K113" s="7" t="s">
        <v>31</v>
      </c>
      <c r="L113" s="8" t="s">
        <v>31</v>
      </c>
      <c r="M113" s="6" t="s">
        <v>931</v>
      </c>
      <c r="N113" s="6" t="s">
        <v>658</v>
      </c>
      <c r="O113" s="8" t="s">
        <v>659</v>
      </c>
      <c r="P113" s="6" t="s">
        <v>31</v>
      </c>
      <c r="Q113" s="6" t="s">
        <v>31</v>
      </c>
      <c r="R113" s="6" t="s">
        <v>31</v>
      </c>
      <c r="S113" s="8" t="s">
        <v>660</v>
      </c>
      <c r="T113" s="6" t="s">
        <v>661</v>
      </c>
      <c r="U113" s="8" t="s">
        <v>31</v>
      </c>
      <c r="V113" s="6" t="s">
        <v>318</v>
      </c>
      <c r="W113" s="6" t="s">
        <v>598</v>
      </c>
      <c r="X113" s="9" t="str">
        <f>HYPERLINK("https://my.pitchbook.com?p=396200-89P","View People Online")</f>
        <v>View People Online</v>
      </c>
    </row>
    <row r="114">
      <c r="A114" s="10" t="s">
        <v>932</v>
      </c>
      <c r="B114" s="10" t="s">
        <v>933</v>
      </c>
      <c r="C114" s="10" t="s">
        <v>934</v>
      </c>
      <c r="D114" s="10" t="s">
        <v>935</v>
      </c>
      <c r="E114" s="10" t="s">
        <v>598</v>
      </c>
      <c r="F114" s="10" t="s">
        <v>936</v>
      </c>
      <c r="G114" s="10" t="s">
        <v>937</v>
      </c>
      <c r="H114" s="11" t="s">
        <v>31</v>
      </c>
      <c r="I114" s="11">
        <v>2.0</v>
      </c>
      <c r="J114" s="11">
        <v>1.0</v>
      </c>
      <c r="K114" s="11" t="s">
        <v>31</v>
      </c>
      <c r="L114" s="12" t="s">
        <v>715</v>
      </c>
      <c r="M114" s="10" t="s">
        <v>938</v>
      </c>
      <c r="N114" s="10" t="s">
        <v>717</v>
      </c>
      <c r="O114" s="12" t="s">
        <v>718</v>
      </c>
      <c r="P114" s="10" t="s">
        <v>719</v>
      </c>
      <c r="Q114" s="10" t="s">
        <v>720</v>
      </c>
      <c r="R114" s="10" t="s">
        <v>64</v>
      </c>
      <c r="S114" s="12" t="s">
        <v>721</v>
      </c>
      <c r="T114" s="10" t="s">
        <v>66</v>
      </c>
      <c r="U114" s="12" t="s">
        <v>31</v>
      </c>
      <c r="V114" s="10" t="s">
        <v>936</v>
      </c>
      <c r="W114" s="10" t="s">
        <v>598</v>
      </c>
      <c r="X114" s="13" t="str">
        <f>HYPERLINK("https://my.pitchbook.com?p=103140-91P","View People Online")</f>
        <v>View People Online</v>
      </c>
    </row>
    <row r="115">
      <c r="A115" s="6" t="s">
        <v>939</v>
      </c>
      <c r="B115" s="6" t="s">
        <v>940</v>
      </c>
      <c r="C115" s="6" t="s">
        <v>941</v>
      </c>
      <c r="D115" s="6" t="s">
        <v>942</v>
      </c>
      <c r="E115" s="6" t="s">
        <v>598</v>
      </c>
      <c r="F115" s="6" t="s">
        <v>29</v>
      </c>
      <c r="G115" s="6" t="s">
        <v>943</v>
      </c>
      <c r="H115" s="7" t="s">
        <v>31</v>
      </c>
      <c r="I115" s="7">
        <v>6.0</v>
      </c>
      <c r="J115" s="7">
        <v>2.0</v>
      </c>
      <c r="K115" s="7">
        <v>3.0</v>
      </c>
      <c r="L115" s="8" t="s">
        <v>31</v>
      </c>
      <c r="M115" s="6" t="s">
        <v>944</v>
      </c>
      <c r="N115" s="6" t="s">
        <v>155</v>
      </c>
      <c r="O115" s="8" t="s">
        <v>156</v>
      </c>
      <c r="P115" s="6" t="s">
        <v>626</v>
      </c>
      <c r="Q115" s="6" t="s">
        <v>627</v>
      </c>
      <c r="R115" s="6" t="s">
        <v>64</v>
      </c>
      <c r="S115" s="8" t="s">
        <v>628</v>
      </c>
      <c r="T115" s="6" t="s">
        <v>66</v>
      </c>
      <c r="U115" s="8" t="s">
        <v>31</v>
      </c>
      <c r="V115" s="6" t="s">
        <v>29</v>
      </c>
      <c r="W115" s="6" t="s">
        <v>598</v>
      </c>
      <c r="X115" s="9" t="str">
        <f>HYPERLINK("https://my.pitchbook.com?p=260886-16P","View People Online")</f>
        <v>View People Online</v>
      </c>
    </row>
    <row r="116">
      <c r="A116" s="2" t="s">
        <v>945</v>
      </c>
      <c r="B116" s="2" t="s">
        <v>946</v>
      </c>
      <c r="C116" s="2" t="s">
        <v>541</v>
      </c>
      <c r="D116" s="2" t="s">
        <v>947</v>
      </c>
      <c r="E116" s="2" t="s">
        <v>598</v>
      </c>
      <c r="F116" s="2" t="s">
        <v>825</v>
      </c>
      <c r="G116" s="2" t="s">
        <v>948</v>
      </c>
      <c r="H116" s="3" t="s">
        <v>31</v>
      </c>
      <c r="I116" s="3">
        <v>1.0</v>
      </c>
      <c r="J116" s="3">
        <v>1.0</v>
      </c>
      <c r="K116" s="3" t="s">
        <v>31</v>
      </c>
      <c r="L116" s="4" t="s">
        <v>31</v>
      </c>
      <c r="M116" s="2" t="s">
        <v>949</v>
      </c>
      <c r="N116" s="2" t="s">
        <v>155</v>
      </c>
      <c r="O116" s="4" t="s">
        <v>156</v>
      </c>
      <c r="P116" s="2" t="s">
        <v>626</v>
      </c>
      <c r="Q116" s="2" t="s">
        <v>627</v>
      </c>
      <c r="R116" s="2" t="s">
        <v>64</v>
      </c>
      <c r="S116" s="4" t="s">
        <v>628</v>
      </c>
      <c r="T116" s="2" t="s">
        <v>66</v>
      </c>
      <c r="U116" s="4" t="s">
        <v>31</v>
      </c>
      <c r="V116" s="2" t="s">
        <v>950</v>
      </c>
      <c r="W116" s="2" t="s">
        <v>598</v>
      </c>
      <c r="X116" s="5" t="str">
        <f>HYPERLINK("https://my.pitchbook.com?p=336355-21P","View People Online")</f>
        <v>View People Online</v>
      </c>
    </row>
    <row r="117">
      <c r="A117" s="14" t="s">
        <v>951</v>
      </c>
      <c r="B117" s="14" t="s">
        <v>952</v>
      </c>
      <c r="C117" s="14" t="s">
        <v>953</v>
      </c>
      <c r="D117" s="14" t="s">
        <v>954</v>
      </c>
      <c r="E117" s="14" t="s">
        <v>598</v>
      </c>
      <c r="F117" s="14" t="s">
        <v>221</v>
      </c>
      <c r="G117" s="14" t="s">
        <v>955</v>
      </c>
      <c r="H117" s="15" t="s">
        <v>31</v>
      </c>
      <c r="I117" s="15">
        <v>1.0</v>
      </c>
      <c r="J117" s="15">
        <v>1.0</v>
      </c>
      <c r="K117" s="15" t="s">
        <v>31</v>
      </c>
      <c r="L117" s="16" t="s">
        <v>31</v>
      </c>
      <c r="M117" s="14" t="s">
        <v>956</v>
      </c>
      <c r="N117" s="14" t="s">
        <v>155</v>
      </c>
      <c r="O117" s="16" t="s">
        <v>156</v>
      </c>
      <c r="P117" s="14" t="s">
        <v>626</v>
      </c>
      <c r="Q117" s="14" t="s">
        <v>627</v>
      </c>
      <c r="R117" s="14" t="s">
        <v>64</v>
      </c>
      <c r="S117" s="16" t="s">
        <v>628</v>
      </c>
      <c r="T117" s="14" t="s">
        <v>66</v>
      </c>
      <c r="U117" s="16" t="s">
        <v>31</v>
      </c>
      <c r="V117" s="14" t="s">
        <v>957</v>
      </c>
      <c r="W117" s="14" t="s">
        <v>598</v>
      </c>
      <c r="X117" s="17" t="str">
        <f>HYPERLINK("https://my.pitchbook.com?p=396199-72P","View People Online")</f>
        <v>View People Online</v>
      </c>
    </row>
    <row r="118">
      <c r="A118" s="10" t="s">
        <v>958</v>
      </c>
      <c r="B118" s="10" t="s">
        <v>959</v>
      </c>
      <c r="C118" s="10" t="s">
        <v>960</v>
      </c>
      <c r="D118" s="10" t="s">
        <v>961</v>
      </c>
      <c r="E118" s="10" t="s">
        <v>598</v>
      </c>
      <c r="F118" s="10" t="s">
        <v>29</v>
      </c>
      <c r="G118" s="10" t="s">
        <v>962</v>
      </c>
      <c r="H118" s="11" t="s">
        <v>31</v>
      </c>
      <c r="I118" s="11">
        <v>1.0</v>
      </c>
      <c r="J118" s="11">
        <v>1.0</v>
      </c>
      <c r="K118" s="11" t="s">
        <v>31</v>
      </c>
      <c r="L118" s="12" t="s">
        <v>31</v>
      </c>
      <c r="M118" s="10" t="s">
        <v>963</v>
      </c>
      <c r="N118" s="10" t="s">
        <v>155</v>
      </c>
      <c r="O118" s="12" t="s">
        <v>156</v>
      </c>
      <c r="P118" s="10" t="s">
        <v>626</v>
      </c>
      <c r="Q118" s="10" t="s">
        <v>627</v>
      </c>
      <c r="R118" s="10" t="s">
        <v>64</v>
      </c>
      <c r="S118" s="12" t="s">
        <v>628</v>
      </c>
      <c r="T118" s="10" t="s">
        <v>66</v>
      </c>
      <c r="U118" s="12" t="s">
        <v>31</v>
      </c>
      <c r="V118" s="10" t="s">
        <v>29</v>
      </c>
      <c r="W118" s="10" t="s">
        <v>598</v>
      </c>
      <c r="X118" s="13" t="str">
        <f>HYPERLINK("https://my.pitchbook.com?p=211973-14P","View People Online")</f>
        <v>View People Online</v>
      </c>
    </row>
    <row r="119">
      <c r="A119" s="14" t="s">
        <v>964</v>
      </c>
      <c r="B119" s="14" t="s">
        <v>965</v>
      </c>
      <c r="C119" s="14" t="s">
        <v>966</v>
      </c>
      <c r="D119" s="14" t="s">
        <v>967</v>
      </c>
      <c r="E119" s="14" t="s">
        <v>598</v>
      </c>
      <c r="F119" s="14" t="s">
        <v>29</v>
      </c>
      <c r="G119" s="14" t="s">
        <v>968</v>
      </c>
      <c r="H119" s="15" t="s">
        <v>31</v>
      </c>
      <c r="I119" s="15">
        <v>11.0</v>
      </c>
      <c r="J119" s="15">
        <v>1.0</v>
      </c>
      <c r="K119" s="15">
        <v>8.0</v>
      </c>
      <c r="L119" s="16" t="s">
        <v>31</v>
      </c>
      <c r="M119" s="14" t="s">
        <v>969</v>
      </c>
      <c r="N119" s="14" t="s">
        <v>155</v>
      </c>
      <c r="O119" s="16" t="s">
        <v>156</v>
      </c>
      <c r="P119" s="14" t="s">
        <v>626</v>
      </c>
      <c r="Q119" s="14" t="s">
        <v>627</v>
      </c>
      <c r="R119" s="14" t="s">
        <v>64</v>
      </c>
      <c r="S119" s="16" t="s">
        <v>628</v>
      </c>
      <c r="T119" s="14" t="s">
        <v>66</v>
      </c>
      <c r="U119" s="16" t="s">
        <v>31</v>
      </c>
      <c r="V119" s="14" t="s">
        <v>29</v>
      </c>
      <c r="W119" s="14" t="s">
        <v>598</v>
      </c>
      <c r="X119" s="17" t="str">
        <f>HYPERLINK("https://my.pitchbook.com?p=78683-05P","View People Online")</f>
        <v>View People Online</v>
      </c>
    </row>
    <row r="120">
      <c r="A120" s="2" t="s">
        <v>970</v>
      </c>
      <c r="B120" s="2" t="s">
        <v>971</v>
      </c>
      <c r="C120" s="2" t="s">
        <v>972</v>
      </c>
      <c r="D120" s="2" t="s">
        <v>973</v>
      </c>
      <c r="E120" s="2" t="s">
        <v>598</v>
      </c>
      <c r="F120" s="2" t="s">
        <v>270</v>
      </c>
      <c r="G120" s="2" t="s">
        <v>974</v>
      </c>
      <c r="H120" s="3" t="s">
        <v>31</v>
      </c>
      <c r="I120" s="3">
        <v>3.0</v>
      </c>
      <c r="J120" s="3">
        <v>3.0</v>
      </c>
      <c r="K120" s="3" t="s">
        <v>31</v>
      </c>
      <c r="L120" s="4" t="s">
        <v>31</v>
      </c>
      <c r="M120" s="2" t="s">
        <v>31</v>
      </c>
      <c r="N120" s="2" t="s">
        <v>975</v>
      </c>
      <c r="O120" s="4" t="s">
        <v>976</v>
      </c>
      <c r="P120" s="2" t="s">
        <v>977</v>
      </c>
      <c r="Q120" s="2" t="s">
        <v>31</v>
      </c>
      <c r="R120" s="2" t="s">
        <v>31</v>
      </c>
      <c r="S120" s="4" t="s">
        <v>978</v>
      </c>
      <c r="T120" s="2" t="s">
        <v>796</v>
      </c>
      <c r="U120" s="4" t="s">
        <v>31</v>
      </c>
      <c r="V120" s="2" t="s">
        <v>558</v>
      </c>
      <c r="W120" s="2" t="s">
        <v>979</v>
      </c>
      <c r="X120" s="5" t="str">
        <f>HYPERLINK("https://my.pitchbook.com?p=88775-92P","View People Online")</f>
        <v>View People Online</v>
      </c>
    </row>
    <row r="121">
      <c r="A121" s="6" t="s">
        <v>980</v>
      </c>
      <c r="B121" s="6" t="s">
        <v>981</v>
      </c>
      <c r="C121" s="6" t="s">
        <v>536</v>
      </c>
      <c r="D121" s="6" t="s">
        <v>982</v>
      </c>
      <c r="E121" s="6" t="s">
        <v>598</v>
      </c>
      <c r="F121" s="6" t="s">
        <v>114</v>
      </c>
      <c r="G121" s="6" t="s">
        <v>983</v>
      </c>
      <c r="H121" s="7" t="s">
        <v>31</v>
      </c>
      <c r="I121" s="7">
        <v>10.0</v>
      </c>
      <c r="J121" s="7">
        <v>2.0</v>
      </c>
      <c r="K121" s="7">
        <v>3.0</v>
      </c>
      <c r="L121" s="8" t="s">
        <v>984</v>
      </c>
      <c r="M121" s="6" t="s">
        <v>985</v>
      </c>
      <c r="N121" s="6" t="s">
        <v>986</v>
      </c>
      <c r="O121" s="8" t="s">
        <v>987</v>
      </c>
      <c r="P121" s="6" t="s">
        <v>988</v>
      </c>
      <c r="Q121" s="6" t="s">
        <v>989</v>
      </c>
      <c r="R121" s="6" t="s">
        <v>64</v>
      </c>
      <c r="S121" s="8" t="s">
        <v>990</v>
      </c>
      <c r="T121" s="6" t="s">
        <v>66</v>
      </c>
      <c r="U121" s="8" t="s">
        <v>984</v>
      </c>
      <c r="V121" s="6" t="s">
        <v>991</v>
      </c>
      <c r="W121" s="6" t="s">
        <v>992</v>
      </c>
      <c r="X121" s="9" t="str">
        <f>HYPERLINK("https://my.pitchbook.com?p=119166-67P","View People Online")</f>
        <v>View People Online</v>
      </c>
    </row>
    <row r="122">
      <c r="A122" s="2" t="s">
        <v>993</v>
      </c>
      <c r="B122" s="2" t="s">
        <v>994</v>
      </c>
      <c r="C122" s="2" t="s">
        <v>995</v>
      </c>
      <c r="D122" s="2" t="s">
        <v>996</v>
      </c>
      <c r="E122" s="2" t="s">
        <v>598</v>
      </c>
      <c r="F122" s="2" t="s">
        <v>318</v>
      </c>
      <c r="G122" s="2" t="s">
        <v>997</v>
      </c>
      <c r="H122" s="3" t="s">
        <v>31</v>
      </c>
      <c r="I122" s="3">
        <v>4.0</v>
      </c>
      <c r="J122" s="3">
        <v>1.0</v>
      </c>
      <c r="K122" s="3">
        <v>2.0</v>
      </c>
      <c r="L122" s="4" t="s">
        <v>31</v>
      </c>
      <c r="M122" s="2" t="s">
        <v>998</v>
      </c>
      <c r="N122" s="2" t="s">
        <v>155</v>
      </c>
      <c r="O122" s="4" t="s">
        <v>156</v>
      </c>
      <c r="P122" s="2" t="s">
        <v>626</v>
      </c>
      <c r="Q122" s="2" t="s">
        <v>627</v>
      </c>
      <c r="R122" s="2" t="s">
        <v>64</v>
      </c>
      <c r="S122" s="4" t="s">
        <v>628</v>
      </c>
      <c r="T122" s="2" t="s">
        <v>66</v>
      </c>
      <c r="U122" s="4" t="s">
        <v>31</v>
      </c>
      <c r="V122" s="2" t="s">
        <v>318</v>
      </c>
      <c r="W122" s="2" t="s">
        <v>598</v>
      </c>
      <c r="X122" s="5" t="str">
        <f>HYPERLINK("https://my.pitchbook.com?p=62598-52P","View People Online")</f>
        <v>View People Online</v>
      </c>
    </row>
    <row r="123">
      <c r="A123" s="14" t="s">
        <v>999</v>
      </c>
      <c r="B123" s="14" t="s">
        <v>1000</v>
      </c>
      <c r="C123" s="14" t="s">
        <v>1001</v>
      </c>
      <c r="D123" s="14" t="s">
        <v>1002</v>
      </c>
      <c r="E123" s="14" t="s">
        <v>598</v>
      </c>
      <c r="F123" s="14" t="s">
        <v>802</v>
      </c>
      <c r="G123" s="14" t="s">
        <v>1003</v>
      </c>
      <c r="H123" s="15" t="s">
        <v>31</v>
      </c>
      <c r="I123" s="15">
        <v>1.0</v>
      </c>
      <c r="J123" s="15">
        <v>1.0</v>
      </c>
      <c r="K123" s="15" t="s">
        <v>31</v>
      </c>
      <c r="L123" s="16" t="s">
        <v>31</v>
      </c>
      <c r="M123" s="14" t="s">
        <v>1004</v>
      </c>
      <c r="N123" s="14" t="s">
        <v>1005</v>
      </c>
      <c r="O123" s="16" t="s">
        <v>1006</v>
      </c>
      <c r="P123" s="14" t="s">
        <v>1007</v>
      </c>
      <c r="Q123" s="14" t="s">
        <v>1008</v>
      </c>
      <c r="R123" s="14" t="s">
        <v>31</v>
      </c>
      <c r="S123" s="16" t="s">
        <v>1009</v>
      </c>
      <c r="T123" s="14" t="s">
        <v>1010</v>
      </c>
      <c r="U123" s="16" t="s">
        <v>31</v>
      </c>
      <c r="V123" s="14" t="s">
        <v>802</v>
      </c>
      <c r="W123" s="14" t="s">
        <v>598</v>
      </c>
      <c r="X123" s="17" t="str">
        <f>HYPERLINK("https://my.pitchbook.com?p=396165-70P","View People Online")</f>
        <v>View People Online</v>
      </c>
    </row>
    <row r="124">
      <c r="A124" s="10" t="s">
        <v>1011</v>
      </c>
      <c r="B124" s="10" t="s">
        <v>1012</v>
      </c>
      <c r="C124" s="10" t="s">
        <v>1013</v>
      </c>
      <c r="D124" s="10" t="s">
        <v>1014</v>
      </c>
      <c r="E124" s="10" t="s">
        <v>598</v>
      </c>
      <c r="F124" s="10" t="s">
        <v>29</v>
      </c>
      <c r="G124" s="10" t="s">
        <v>1015</v>
      </c>
      <c r="H124" s="11" t="s">
        <v>31</v>
      </c>
      <c r="I124" s="11">
        <v>19.0</v>
      </c>
      <c r="J124" s="11">
        <v>3.0</v>
      </c>
      <c r="K124" s="11">
        <v>12.0</v>
      </c>
      <c r="L124" s="12" t="s">
        <v>31</v>
      </c>
      <c r="M124" s="10" t="s">
        <v>31</v>
      </c>
      <c r="N124" s="10" t="s">
        <v>1016</v>
      </c>
      <c r="O124" s="12" t="s">
        <v>1017</v>
      </c>
      <c r="P124" s="10" t="s">
        <v>31</v>
      </c>
      <c r="Q124" s="10" t="s">
        <v>31</v>
      </c>
      <c r="R124" s="10" t="s">
        <v>1018</v>
      </c>
      <c r="S124" s="12" t="s">
        <v>31</v>
      </c>
      <c r="T124" s="10" t="s">
        <v>1019</v>
      </c>
      <c r="U124" s="12" t="s">
        <v>31</v>
      </c>
      <c r="V124" s="10" t="s">
        <v>1020</v>
      </c>
      <c r="W124" s="10" t="s">
        <v>1021</v>
      </c>
      <c r="X124" s="13" t="str">
        <f>HYPERLINK("https://my.pitchbook.com?p=114031-45P","View People Online")</f>
        <v>View People Online</v>
      </c>
    </row>
    <row r="125">
      <c r="A125" s="6" t="s">
        <v>1022</v>
      </c>
      <c r="B125" s="6" t="s">
        <v>1023</v>
      </c>
      <c r="C125" s="6" t="s">
        <v>1024</v>
      </c>
      <c r="D125" s="6" t="s">
        <v>1025</v>
      </c>
      <c r="E125" s="6" t="s">
        <v>598</v>
      </c>
      <c r="F125" s="6" t="s">
        <v>57</v>
      </c>
      <c r="G125" s="6" t="s">
        <v>1026</v>
      </c>
      <c r="H125" s="7">
        <v>2.0</v>
      </c>
      <c r="I125" s="7">
        <v>21.0</v>
      </c>
      <c r="J125" s="7">
        <v>1.0</v>
      </c>
      <c r="K125" s="7">
        <v>12.0</v>
      </c>
      <c r="L125" s="8" t="s">
        <v>31</v>
      </c>
      <c r="M125" s="6" t="s">
        <v>1027</v>
      </c>
      <c r="N125" s="6" t="s">
        <v>155</v>
      </c>
      <c r="O125" s="8" t="s">
        <v>156</v>
      </c>
      <c r="P125" s="6" t="s">
        <v>626</v>
      </c>
      <c r="Q125" s="6" t="s">
        <v>627</v>
      </c>
      <c r="R125" s="6" t="s">
        <v>64</v>
      </c>
      <c r="S125" s="8" t="s">
        <v>628</v>
      </c>
      <c r="T125" s="6" t="s">
        <v>66</v>
      </c>
      <c r="U125" s="8" t="s">
        <v>31</v>
      </c>
      <c r="V125" s="6" t="s">
        <v>57</v>
      </c>
      <c r="W125" s="6" t="s">
        <v>598</v>
      </c>
      <c r="X125" s="9" t="str">
        <f>HYPERLINK("https://my.pitchbook.com?p=43080-04P","View People Online")</f>
        <v>View People Online</v>
      </c>
    </row>
    <row r="126">
      <c r="A126" s="2" t="s">
        <v>1028</v>
      </c>
      <c r="B126" s="2" t="s">
        <v>1029</v>
      </c>
      <c r="C126" s="2" t="s">
        <v>1030</v>
      </c>
      <c r="D126" s="2" t="s">
        <v>1031</v>
      </c>
      <c r="E126" s="2" t="s">
        <v>598</v>
      </c>
      <c r="F126" s="2" t="s">
        <v>29</v>
      </c>
      <c r="G126" s="2" t="s">
        <v>1032</v>
      </c>
      <c r="H126" s="3" t="s">
        <v>31</v>
      </c>
      <c r="I126" s="3">
        <v>3.0</v>
      </c>
      <c r="J126" s="3">
        <v>2.0</v>
      </c>
      <c r="K126" s="3" t="s">
        <v>31</v>
      </c>
      <c r="L126" s="4" t="s">
        <v>31</v>
      </c>
      <c r="M126" s="2" t="s">
        <v>1033</v>
      </c>
      <c r="N126" s="2" t="s">
        <v>1034</v>
      </c>
      <c r="O126" s="4" t="s">
        <v>1035</v>
      </c>
      <c r="P126" s="2" t="s">
        <v>1036</v>
      </c>
      <c r="Q126" s="2" t="s">
        <v>1037</v>
      </c>
      <c r="R126" s="2" t="s">
        <v>31</v>
      </c>
      <c r="S126" s="4" t="s">
        <v>1038</v>
      </c>
      <c r="T126" s="2" t="s">
        <v>1034</v>
      </c>
      <c r="U126" s="4" t="s">
        <v>31</v>
      </c>
      <c r="V126" s="2" t="s">
        <v>29</v>
      </c>
      <c r="W126" s="2" t="s">
        <v>1039</v>
      </c>
      <c r="X126" s="5" t="str">
        <f>HYPERLINK("https://my.pitchbook.com?p=130987-18P","View People Online")</f>
        <v>View People Online</v>
      </c>
    </row>
    <row r="127">
      <c r="A127" s="6" t="s">
        <v>1040</v>
      </c>
      <c r="B127" s="6" t="s">
        <v>1041</v>
      </c>
      <c r="C127" s="6" t="s">
        <v>1042</v>
      </c>
      <c r="D127" s="6" t="s">
        <v>1043</v>
      </c>
      <c r="E127" s="6" t="s">
        <v>598</v>
      </c>
      <c r="F127" s="6" t="s">
        <v>318</v>
      </c>
      <c r="G127" s="6" t="s">
        <v>1044</v>
      </c>
      <c r="H127" s="7" t="s">
        <v>31</v>
      </c>
      <c r="I127" s="7">
        <v>3.0</v>
      </c>
      <c r="J127" s="7">
        <v>1.0</v>
      </c>
      <c r="K127" s="7">
        <v>1.0</v>
      </c>
      <c r="L127" s="8" t="s">
        <v>1045</v>
      </c>
      <c r="M127" s="6" t="s">
        <v>1046</v>
      </c>
      <c r="N127" s="6" t="s">
        <v>155</v>
      </c>
      <c r="O127" s="8" t="s">
        <v>156</v>
      </c>
      <c r="P127" s="6" t="s">
        <v>626</v>
      </c>
      <c r="Q127" s="6" t="s">
        <v>627</v>
      </c>
      <c r="R127" s="6" t="s">
        <v>64</v>
      </c>
      <c r="S127" s="8" t="s">
        <v>628</v>
      </c>
      <c r="T127" s="6" t="s">
        <v>66</v>
      </c>
      <c r="U127" s="8" t="s">
        <v>31</v>
      </c>
      <c r="V127" s="6" t="s">
        <v>1047</v>
      </c>
      <c r="W127" s="6" t="s">
        <v>598</v>
      </c>
      <c r="X127" s="9" t="str">
        <f>HYPERLINK("https://my.pitchbook.com?p=269638-57P","View People Online")</f>
        <v>View People Online</v>
      </c>
    </row>
    <row r="128">
      <c r="A128" s="10" t="s">
        <v>1048</v>
      </c>
      <c r="B128" s="10" t="s">
        <v>1049</v>
      </c>
      <c r="C128" s="10" t="s">
        <v>1050</v>
      </c>
      <c r="D128" s="10" t="s">
        <v>1051</v>
      </c>
      <c r="E128" s="10" t="s">
        <v>598</v>
      </c>
      <c r="F128" s="10" t="s">
        <v>695</v>
      </c>
      <c r="G128" s="10" t="s">
        <v>1052</v>
      </c>
      <c r="H128" s="11" t="s">
        <v>31</v>
      </c>
      <c r="I128" s="11">
        <v>1.0</v>
      </c>
      <c r="J128" s="11">
        <v>1.0</v>
      </c>
      <c r="K128" s="11" t="s">
        <v>31</v>
      </c>
      <c r="L128" s="12" t="s">
        <v>715</v>
      </c>
      <c r="M128" s="10" t="s">
        <v>1053</v>
      </c>
      <c r="N128" s="10" t="s">
        <v>717</v>
      </c>
      <c r="O128" s="12" t="s">
        <v>718</v>
      </c>
      <c r="P128" s="10" t="s">
        <v>719</v>
      </c>
      <c r="Q128" s="10" t="s">
        <v>720</v>
      </c>
      <c r="R128" s="10" t="s">
        <v>64</v>
      </c>
      <c r="S128" s="12" t="s">
        <v>721</v>
      </c>
      <c r="T128" s="10" t="s">
        <v>66</v>
      </c>
      <c r="U128" s="12" t="s">
        <v>31</v>
      </c>
      <c r="V128" s="10" t="s">
        <v>701</v>
      </c>
      <c r="W128" s="10" t="s">
        <v>598</v>
      </c>
      <c r="X128" s="13" t="str">
        <f>HYPERLINK("https://my.pitchbook.com?p=378989-29P","View People Online")</f>
        <v>View People Online</v>
      </c>
    </row>
    <row r="129">
      <c r="A129" s="14" t="s">
        <v>1054</v>
      </c>
      <c r="B129" s="14" t="s">
        <v>1055</v>
      </c>
      <c r="C129" s="14" t="s">
        <v>801</v>
      </c>
      <c r="D129" s="14" t="s">
        <v>1056</v>
      </c>
      <c r="E129" s="14" t="s">
        <v>598</v>
      </c>
      <c r="F129" s="14" t="s">
        <v>695</v>
      </c>
      <c r="G129" s="14" t="s">
        <v>1057</v>
      </c>
      <c r="H129" s="15" t="s">
        <v>31</v>
      </c>
      <c r="I129" s="15">
        <v>2.0</v>
      </c>
      <c r="J129" s="15">
        <v>1.0</v>
      </c>
      <c r="K129" s="15">
        <v>1.0</v>
      </c>
      <c r="L129" s="16" t="s">
        <v>31</v>
      </c>
      <c r="M129" s="14" t="s">
        <v>1058</v>
      </c>
      <c r="N129" s="14" t="s">
        <v>155</v>
      </c>
      <c r="O129" s="16" t="s">
        <v>156</v>
      </c>
      <c r="P129" s="14" t="s">
        <v>626</v>
      </c>
      <c r="Q129" s="14" t="s">
        <v>627</v>
      </c>
      <c r="R129" s="14" t="s">
        <v>64</v>
      </c>
      <c r="S129" s="16" t="s">
        <v>628</v>
      </c>
      <c r="T129" s="14" t="s">
        <v>66</v>
      </c>
      <c r="U129" s="16" t="s">
        <v>31</v>
      </c>
      <c r="V129" s="14" t="s">
        <v>695</v>
      </c>
      <c r="W129" s="14" t="s">
        <v>598</v>
      </c>
      <c r="X129" s="17" t="str">
        <f>HYPERLINK("https://my.pitchbook.com?p=423940-69P","View People Online")</f>
        <v>View People Online</v>
      </c>
    </row>
    <row r="130">
      <c r="A130" s="10" t="s">
        <v>1059</v>
      </c>
      <c r="B130" s="10" t="s">
        <v>1060</v>
      </c>
      <c r="C130" s="10" t="s">
        <v>1061</v>
      </c>
      <c r="D130" s="10" t="s">
        <v>1062</v>
      </c>
      <c r="E130" s="10" t="s">
        <v>598</v>
      </c>
      <c r="F130" s="10" t="s">
        <v>81</v>
      </c>
      <c r="G130" s="10" t="s">
        <v>1063</v>
      </c>
      <c r="H130" s="11" t="s">
        <v>31</v>
      </c>
      <c r="I130" s="11">
        <v>3.0</v>
      </c>
      <c r="J130" s="11" t="s">
        <v>31</v>
      </c>
      <c r="K130" s="11" t="s">
        <v>31</v>
      </c>
      <c r="L130" s="12" t="s">
        <v>31</v>
      </c>
      <c r="M130" s="10" t="s">
        <v>31</v>
      </c>
      <c r="N130" s="10" t="s">
        <v>155</v>
      </c>
      <c r="O130" s="12" t="s">
        <v>156</v>
      </c>
      <c r="P130" s="10" t="s">
        <v>626</v>
      </c>
      <c r="Q130" s="10" t="s">
        <v>627</v>
      </c>
      <c r="R130" s="10" t="s">
        <v>64</v>
      </c>
      <c r="S130" s="12" t="s">
        <v>628</v>
      </c>
      <c r="T130" s="10" t="s">
        <v>66</v>
      </c>
      <c r="U130" s="12" t="s">
        <v>31</v>
      </c>
      <c r="V130" s="10" t="s">
        <v>81</v>
      </c>
      <c r="W130" s="10" t="s">
        <v>598</v>
      </c>
      <c r="X130" s="13" t="str">
        <f>HYPERLINK("https://my.pitchbook.com?p=124180-12P","View People Online")</f>
        <v>View People Online</v>
      </c>
    </row>
    <row r="131">
      <c r="A131" s="14" t="s">
        <v>1064</v>
      </c>
      <c r="B131" s="14" t="s">
        <v>1065</v>
      </c>
      <c r="C131" s="14" t="s">
        <v>1066</v>
      </c>
      <c r="D131" s="14" t="s">
        <v>1067</v>
      </c>
      <c r="E131" s="14" t="s">
        <v>598</v>
      </c>
      <c r="F131" s="14" t="s">
        <v>57</v>
      </c>
      <c r="G131" s="14" t="s">
        <v>1068</v>
      </c>
      <c r="H131" s="15">
        <v>1.0</v>
      </c>
      <c r="I131" s="15">
        <v>34.0</v>
      </c>
      <c r="J131" s="15">
        <v>1.0</v>
      </c>
      <c r="K131" s="15">
        <v>26.0</v>
      </c>
      <c r="L131" s="16" t="s">
        <v>31</v>
      </c>
      <c r="M131" s="14" t="s">
        <v>1069</v>
      </c>
      <c r="N131" s="14" t="s">
        <v>155</v>
      </c>
      <c r="O131" s="16" t="s">
        <v>156</v>
      </c>
      <c r="P131" s="14" t="s">
        <v>626</v>
      </c>
      <c r="Q131" s="14" t="s">
        <v>627</v>
      </c>
      <c r="R131" s="14" t="s">
        <v>64</v>
      </c>
      <c r="S131" s="16" t="s">
        <v>628</v>
      </c>
      <c r="T131" s="14" t="s">
        <v>66</v>
      </c>
      <c r="U131" s="16" t="s">
        <v>31</v>
      </c>
      <c r="V131" s="14" t="s">
        <v>57</v>
      </c>
      <c r="W131" s="14" t="s">
        <v>598</v>
      </c>
      <c r="X131" s="17" t="str">
        <f>HYPERLINK("https://my.pitchbook.com?p=41551-48P","View People Online")</f>
        <v>View People Online</v>
      </c>
    </row>
    <row r="132">
      <c r="A132" s="2" t="s">
        <v>1070</v>
      </c>
      <c r="B132" s="2" t="s">
        <v>1071</v>
      </c>
      <c r="C132" s="2" t="s">
        <v>1072</v>
      </c>
      <c r="D132" s="2" t="s">
        <v>1073</v>
      </c>
      <c r="E132" s="2" t="s">
        <v>598</v>
      </c>
      <c r="F132" s="2" t="s">
        <v>57</v>
      </c>
      <c r="G132" s="2" t="s">
        <v>1074</v>
      </c>
      <c r="H132" s="3" t="s">
        <v>31</v>
      </c>
      <c r="I132" s="3">
        <v>10.0</v>
      </c>
      <c r="J132" s="3">
        <v>1.0</v>
      </c>
      <c r="K132" s="3">
        <v>7.0</v>
      </c>
      <c r="L132" s="4" t="s">
        <v>31</v>
      </c>
      <c r="M132" s="2" t="s">
        <v>1075</v>
      </c>
      <c r="N132" s="2" t="s">
        <v>155</v>
      </c>
      <c r="O132" s="4" t="s">
        <v>156</v>
      </c>
      <c r="P132" s="2" t="s">
        <v>626</v>
      </c>
      <c r="Q132" s="2" t="s">
        <v>627</v>
      </c>
      <c r="R132" s="2" t="s">
        <v>64</v>
      </c>
      <c r="S132" s="4" t="s">
        <v>628</v>
      </c>
      <c r="T132" s="2" t="s">
        <v>66</v>
      </c>
      <c r="U132" s="4" t="s">
        <v>31</v>
      </c>
      <c r="V132" s="2" t="s">
        <v>57</v>
      </c>
      <c r="W132" s="2" t="s">
        <v>598</v>
      </c>
      <c r="X132" s="5" t="str">
        <f>HYPERLINK("https://my.pitchbook.com?p=144089-47P","View People Online")</f>
        <v>View People Online</v>
      </c>
    </row>
    <row r="133">
      <c r="A133" s="14" t="s">
        <v>1076</v>
      </c>
      <c r="B133" s="14" t="s">
        <v>1077</v>
      </c>
      <c r="C133" s="14" t="s">
        <v>1078</v>
      </c>
      <c r="D133" s="14" t="s">
        <v>1079</v>
      </c>
      <c r="E133" s="14" t="s">
        <v>598</v>
      </c>
      <c r="F133" s="14" t="s">
        <v>57</v>
      </c>
      <c r="G133" s="14" t="s">
        <v>1080</v>
      </c>
      <c r="H133" s="15" t="s">
        <v>31</v>
      </c>
      <c r="I133" s="15">
        <v>22.0</v>
      </c>
      <c r="J133" s="15">
        <v>3.0</v>
      </c>
      <c r="K133" s="15">
        <v>10.0</v>
      </c>
      <c r="L133" s="16" t="s">
        <v>31</v>
      </c>
      <c r="M133" s="14" t="s">
        <v>1081</v>
      </c>
      <c r="N133" s="14" t="s">
        <v>1034</v>
      </c>
      <c r="O133" s="16" t="s">
        <v>1035</v>
      </c>
      <c r="P133" s="14" t="s">
        <v>1036</v>
      </c>
      <c r="Q133" s="14" t="s">
        <v>1037</v>
      </c>
      <c r="R133" s="14" t="s">
        <v>31</v>
      </c>
      <c r="S133" s="16" t="s">
        <v>1038</v>
      </c>
      <c r="T133" s="14" t="s">
        <v>1034</v>
      </c>
      <c r="U133" s="16" t="s">
        <v>31</v>
      </c>
      <c r="V133" s="14" t="s">
        <v>57</v>
      </c>
      <c r="W133" s="14" t="s">
        <v>1039</v>
      </c>
      <c r="X133" s="17" t="str">
        <f>HYPERLINK("https://my.pitchbook.com?p=124181-92P","View People Online")</f>
        <v>View People Online</v>
      </c>
    </row>
    <row r="134">
      <c r="A134" s="2" t="s">
        <v>1082</v>
      </c>
      <c r="B134" s="2" t="s">
        <v>1083</v>
      </c>
      <c r="C134" s="2" t="s">
        <v>1084</v>
      </c>
      <c r="D134" s="2" t="s">
        <v>1085</v>
      </c>
      <c r="E134" s="2" t="s">
        <v>598</v>
      </c>
      <c r="F134" s="2" t="s">
        <v>1086</v>
      </c>
      <c r="G134" s="2" t="s">
        <v>1087</v>
      </c>
      <c r="H134" s="3" t="s">
        <v>31</v>
      </c>
      <c r="I134" s="3">
        <v>1.0</v>
      </c>
      <c r="J134" s="3">
        <v>1.0</v>
      </c>
      <c r="K134" s="3" t="s">
        <v>31</v>
      </c>
      <c r="L134" s="4" t="s">
        <v>715</v>
      </c>
      <c r="M134" s="2" t="s">
        <v>1088</v>
      </c>
      <c r="N134" s="2" t="s">
        <v>155</v>
      </c>
      <c r="O134" s="4" t="s">
        <v>156</v>
      </c>
      <c r="P134" s="2" t="s">
        <v>626</v>
      </c>
      <c r="Q134" s="2" t="s">
        <v>627</v>
      </c>
      <c r="R134" s="2" t="s">
        <v>64</v>
      </c>
      <c r="S134" s="4" t="s">
        <v>628</v>
      </c>
      <c r="T134" s="2" t="s">
        <v>66</v>
      </c>
      <c r="U134" s="4" t="s">
        <v>31</v>
      </c>
      <c r="V134" s="2" t="s">
        <v>1089</v>
      </c>
      <c r="W134" s="2" t="s">
        <v>598</v>
      </c>
      <c r="X134" s="5" t="str">
        <f>HYPERLINK("https://my.pitchbook.com?p=326318-68P","View People Online")</f>
        <v>View People Online</v>
      </c>
    </row>
    <row r="135">
      <c r="A135" s="14" t="s">
        <v>1090</v>
      </c>
      <c r="B135" s="14" t="s">
        <v>1091</v>
      </c>
      <c r="C135" s="14" t="s">
        <v>1092</v>
      </c>
      <c r="D135" s="14" t="s">
        <v>1093</v>
      </c>
      <c r="E135" s="14" t="s">
        <v>598</v>
      </c>
      <c r="F135" s="14" t="s">
        <v>1094</v>
      </c>
      <c r="G135" s="14" t="s">
        <v>1095</v>
      </c>
      <c r="H135" s="15" t="s">
        <v>31</v>
      </c>
      <c r="I135" s="15">
        <v>9.0</v>
      </c>
      <c r="J135" s="15">
        <v>2.0</v>
      </c>
      <c r="K135" s="15">
        <v>5.0</v>
      </c>
      <c r="L135" s="16" t="s">
        <v>31</v>
      </c>
      <c r="M135" s="14" t="s">
        <v>1096</v>
      </c>
      <c r="N135" s="14" t="s">
        <v>1005</v>
      </c>
      <c r="O135" s="16" t="s">
        <v>1006</v>
      </c>
      <c r="P135" s="14" t="s">
        <v>1097</v>
      </c>
      <c r="Q135" s="14" t="s">
        <v>1098</v>
      </c>
      <c r="R135" s="14" t="s">
        <v>31</v>
      </c>
      <c r="S135" s="16" t="s">
        <v>1099</v>
      </c>
      <c r="T135" s="14" t="s">
        <v>1010</v>
      </c>
      <c r="U135" s="16" t="s">
        <v>31</v>
      </c>
      <c r="V135" s="14" t="s">
        <v>71</v>
      </c>
      <c r="W135" s="14" t="s">
        <v>1100</v>
      </c>
      <c r="X135" s="17" t="str">
        <f>HYPERLINK("https://my.pitchbook.com?p=201903-49P","View People Online")</f>
        <v>View People Online</v>
      </c>
    </row>
    <row r="136">
      <c r="A136" s="10" t="s">
        <v>1101</v>
      </c>
      <c r="B136" s="10" t="s">
        <v>1102</v>
      </c>
      <c r="C136" s="10" t="s">
        <v>1103</v>
      </c>
      <c r="D136" s="10" t="s">
        <v>1104</v>
      </c>
      <c r="E136" s="10" t="s">
        <v>1105</v>
      </c>
      <c r="F136" s="10" t="s">
        <v>1106</v>
      </c>
      <c r="G136" s="10" t="s">
        <v>1107</v>
      </c>
      <c r="H136" s="11">
        <v>1.0</v>
      </c>
      <c r="I136" s="11">
        <v>15.0</v>
      </c>
      <c r="J136" s="11">
        <v>1.0</v>
      </c>
      <c r="K136" s="11">
        <v>9.0</v>
      </c>
      <c r="L136" s="12" t="s">
        <v>31</v>
      </c>
      <c r="M136" s="10" t="s">
        <v>1108</v>
      </c>
      <c r="N136" s="10" t="s">
        <v>1109</v>
      </c>
      <c r="O136" s="12" t="s">
        <v>1110</v>
      </c>
      <c r="P136" s="10" t="s">
        <v>1111</v>
      </c>
      <c r="Q136" s="10" t="s">
        <v>31</v>
      </c>
      <c r="R136" s="10" t="s">
        <v>1112</v>
      </c>
      <c r="S136" s="12" t="s">
        <v>1113</v>
      </c>
      <c r="T136" s="10" t="s">
        <v>66</v>
      </c>
      <c r="U136" s="12" t="s">
        <v>31</v>
      </c>
      <c r="V136" s="10" t="s">
        <v>1114</v>
      </c>
      <c r="W136" s="10" t="s">
        <v>1105</v>
      </c>
      <c r="X136" s="13" t="str">
        <f>HYPERLINK("https://my.pitchbook.com?p=48806-02P","View People Online")</f>
        <v>View People Online</v>
      </c>
    </row>
    <row r="137">
      <c r="A137" s="6" t="s">
        <v>1115</v>
      </c>
      <c r="B137" s="6" t="s">
        <v>1116</v>
      </c>
      <c r="C137" s="6" t="s">
        <v>1117</v>
      </c>
      <c r="D137" s="6" t="s">
        <v>1118</v>
      </c>
      <c r="E137" s="6" t="s">
        <v>1119</v>
      </c>
      <c r="F137" s="6" t="s">
        <v>270</v>
      </c>
      <c r="G137" s="6" t="s">
        <v>1120</v>
      </c>
      <c r="H137" s="7" t="s">
        <v>31</v>
      </c>
      <c r="I137" s="7">
        <v>1.0</v>
      </c>
      <c r="J137" s="7">
        <v>1.0</v>
      </c>
      <c r="K137" s="7" t="s">
        <v>31</v>
      </c>
      <c r="L137" s="8" t="s">
        <v>31</v>
      </c>
      <c r="M137" s="6" t="s">
        <v>31</v>
      </c>
      <c r="N137" s="6" t="s">
        <v>75</v>
      </c>
      <c r="O137" s="8" t="s">
        <v>76</v>
      </c>
      <c r="P137" s="6" t="s">
        <v>1121</v>
      </c>
      <c r="Q137" s="6" t="s">
        <v>31</v>
      </c>
      <c r="R137" s="6" t="s">
        <v>75</v>
      </c>
      <c r="S137" s="8" t="s">
        <v>1122</v>
      </c>
      <c r="T137" s="6" t="s">
        <v>66</v>
      </c>
      <c r="U137" s="8" t="s">
        <v>31</v>
      </c>
      <c r="V137" s="6" t="s">
        <v>440</v>
      </c>
      <c r="W137" s="6" t="s">
        <v>1119</v>
      </c>
      <c r="X137" s="9" t="str">
        <f>HYPERLINK("https://my.pitchbook.com?p=385715-80P","View People Online")</f>
        <v>View People Online</v>
      </c>
    </row>
    <row r="138">
      <c r="A138" s="10" t="s">
        <v>1123</v>
      </c>
      <c r="B138" s="10" t="s">
        <v>1124</v>
      </c>
      <c r="C138" s="10" t="s">
        <v>1125</v>
      </c>
      <c r="D138" s="10" t="s">
        <v>1126</v>
      </c>
      <c r="E138" s="10" t="s">
        <v>1119</v>
      </c>
      <c r="F138" s="10" t="s">
        <v>825</v>
      </c>
      <c r="G138" s="10" t="s">
        <v>1127</v>
      </c>
      <c r="H138" s="11" t="s">
        <v>31</v>
      </c>
      <c r="I138" s="11">
        <v>1.0</v>
      </c>
      <c r="J138" s="11">
        <v>1.0</v>
      </c>
      <c r="K138" s="11" t="s">
        <v>31</v>
      </c>
      <c r="L138" s="12" t="s">
        <v>31</v>
      </c>
      <c r="M138" s="10" t="s">
        <v>1128</v>
      </c>
      <c r="N138" s="10" t="s">
        <v>75</v>
      </c>
      <c r="O138" s="12" t="s">
        <v>76</v>
      </c>
      <c r="P138" s="10" t="s">
        <v>1121</v>
      </c>
      <c r="Q138" s="10" t="s">
        <v>31</v>
      </c>
      <c r="R138" s="10" t="s">
        <v>75</v>
      </c>
      <c r="S138" s="12" t="s">
        <v>1122</v>
      </c>
      <c r="T138" s="10" t="s">
        <v>66</v>
      </c>
      <c r="U138" s="12" t="s">
        <v>31</v>
      </c>
      <c r="V138" s="10" t="s">
        <v>1129</v>
      </c>
      <c r="W138" s="10" t="s">
        <v>1119</v>
      </c>
      <c r="X138" s="13" t="str">
        <f>HYPERLINK("https://my.pitchbook.com?p=348667-66P","View People Online")</f>
        <v>View People Online</v>
      </c>
    </row>
    <row r="139">
      <c r="A139" s="6" t="s">
        <v>1130</v>
      </c>
      <c r="B139" s="6" t="s">
        <v>1131</v>
      </c>
      <c r="C139" s="6" t="s">
        <v>1132</v>
      </c>
      <c r="D139" s="6" t="s">
        <v>1133</v>
      </c>
      <c r="E139" s="6" t="s">
        <v>1119</v>
      </c>
      <c r="F139" s="6" t="s">
        <v>1134</v>
      </c>
      <c r="G139" s="6" t="s">
        <v>1135</v>
      </c>
      <c r="H139" s="7" t="s">
        <v>31</v>
      </c>
      <c r="I139" s="7">
        <v>1.0</v>
      </c>
      <c r="J139" s="7">
        <v>1.0</v>
      </c>
      <c r="K139" s="7" t="s">
        <v>31</v>
      </c>
      <c r="L139" s="8" t="s">
        <v>31</v>
      </c>
      <c r="M139" s="6" t="s">
        <v>1136</v>
      </c>
      <c r="N139" s="6" t="s">
        <v>75</v>
      </c>
      <c r="O139" s="8" t="s">
        <v>76</v>
      </c>
      <c r="P139" s="6" t="s">
        <v>1121</v>
      </c>
      <c r="Q139" s="6" t="s">
        <v>31</v>
      </c>
      <c r="R139" s="6" t="s">
        <v>75</v>
      </c>
      <c r="S139" s="8" t="s">
        <v>1122</v>
      </c>
      <c r="T139" s="6" t="s">
        <v>66</v>
      </c>
      <c r="U139" s="8" t="s">
        <v>31</v>
      </c>
      <c r="V139" s="6" t="s">
        <v>1137</v>
      </c>
      <c r="W139" s="6" t="s">
        <v>1119</v>
      </c>
      <c r="X139" s="9" t="str">
        <f>HYPERLINK("https://my.pitchbook.com?p=318103-93P","View People Online")</f>
        <v>View People Online</v>
      </c>
    </row>
    <row r="140">
      <c r="A140" s="2" t="s">
        <v>1138</v>
      </c>
      <c r="B140" s="2" t="s">
        <v>1139</v>
      </c>
      <c r="C140" s="2" t="s">
        <v>1140</v>
      </c>
      <c r="D140" s="2" t="s">
        <v>1141</v>
      </c>
      <c r="E140" s="2" t="s">
        <v>1119</v>
      </c>
      <c r="F140" s="2" t="s">
        <v>270</v>
      </c>
      <c r="G140" s="2" t="s">
        <v>1142</v>
      </c>
      <c r="H140" s="3" t="s">
        <v>31</v>
      </c>
      <c r="I140" s="3">
        <v>2.0</v>
      </c>
      <c r="J140" s="3">
        <v>1.0</v>
      </c>
      <c r="K140" s="3">
        <v>1.0</v>
      </c>
      <c r="L140" s="4" t="s">
        <v>31</v>
      </c>
      <c r="M140" s="2" t="s">
        <v>1143</v>
      </c>
      <c r="N140" s="2" t="s">
        <v>75</v>
      </c>
      <c r="O140" s="4" t="s">
        <v>76</v>
      </c>
      <c r="P140" s="2" t="s">
        <v>1121</v>
      </c>
      <c r="Q140" s="2" t="s">
        <v>31</v>
      </c>
      <c r="R140" s="2" t="s">
        <v>75</v>
      </c>
      <c r="S140" s="4" t="s">
        <v>1122</v>
      </c>
      <c r="T140" s="2" t="s">
        <v>66</v>
      </c>
      <c r="U140" s="4" t="s">
        <v>31</v>
      </c>
      <c r="V140" s="2" t="s">
        <v>440</v>
      </c>
      <c r="W140" s="2" t="s">
        <v>1119</v>
      </c>
      <c r="X140" s="5" t="str">
        <f>HYPERLINK("https://my.pitchbook.com?p=342346-96P","View People Online")</f>
        <v>View People Online</v>
      </c>
    </row>
    <row r="141">
      <c r="A141" s="6" t="s">
        <v>1144</v>
      </c>
      <c r="B141" s="6" t="s">
        <v>1145</v>
      </c>
      <c r="C141" s="6" t="s">
        <v>1146</v>
      </c>
      <c r="D141" s="6" t="s">
        <v>1147</v>
      </c>
      <c r="E141" s="6" t="s">
        <v>1119</v>
      </c>
      <c r="F141" s="6" t="s">
        <v>318</v>
      </c>
      <c r="G141" s="6" t="s">
        <v>1148</v>
      </c>
      <c r="H141" s="7" t="s">
        <v>31</v>
      </c>
      <c r="I141" s="7">
        <v>1.0</v>
      </c>
      <c r="J141" s="7">
        <v>1.0</v>
      </c>
      <c r="K141" s="7" t="s">
        <v>31</v>
      </c>
      <c r="L141" s="8" t="s">
        <v>1149</v>
      </c>
      <c r="M141" s="6" t="s">
        <v>1150</v>
      </c>
      <c r="N141" s="6" t="s">
        <v>75</v>
      </c>
      <c r="O141" s="8" t="s">
        <v>76</v>
      </c>
      <c r="P141" s="6" t="s">
        <v>1121</v>
      </c>
      <c r="Q141" s="6" t="s">
        <v>31</v>
      </c>
      <c r="R141" s="6" t="s">
        <v>75</v>
      </c>
      <c r="S141" s="8" t="s">
        <v>1122</v>
      </c>
      <c r="T141" s="6" t="s">
        <v>66</v>
      </c>
      <c r="U141" s="8" t="s">
        <v>31</v>
      </c>
      <c r="V141" s="6" t="s">
        <v>318</v>
      </c>
      <c r="W141" s="6" t="s">
        <v>1119</v>
      </c>
      <c r="X141" s="9" t="str">
        <f>HYPERLINK("https://my.pitchbook.com?p=334399-87P","View People Online")</f>
        <v>View People Online</v>
      </c>
    </row>
    <row r="142">
      <c r="A142" s="10" t="s">
        <v>1151</v>
      </c>
      <c r="B142" s="10" t="s">
        <v>1152</v>
      </c>
      <c r="C142" s="10" t="s">
        <v>1153</v>
      </c>
      <c r="D142" s="10" t="s">
        <v>1154</v>
      </c>
      <c r="E142" s="10" t="s">
        <v>1119</v>
      </c>
      <c r="F142" s="10" t="s">
        <v>29</v>
      </c>
      <c r="G142" s="10" t="s">
        <v>1155</v>
      </c>
      <c r="H142" s="11" t="s">
        <v>31</v>
      </c>
      <c r="I142" s="11">
        <v>2.0</v>
      </c>
      <c r="J142" s="11">
        <v>1.0</v>
      </c>
      <c r="K142" s="11" t="s">
        <v>31</v>
      </c>
      <c r="L142" s="12" t="s">
        <v>31</v>
      </c>
      <c r="M142" s="10" t="s">
        <v>1156</v>
      </c>
      <c r="N142" s="10" t="s">
        <v>75</v>
      </c>
      <c r="O142" s="12" t="s">
        <v>76</v>
      </c>
      <c r="P142" s="10" t="s">
        <v>1121</v>
      </c>
      <c r="Q142" s="10" t="s">
        <v>31</v>
      </c>
      <c r="R142" s="10" t="s">
        <v>75</v>
      </c>
      <c r="S142" s="12" t="s">
        <v>1122</v>
      </c>
      <c r="T142" s="10" t="s">
        <v>66</v>
      </c>
      <c r="U142" s="12" t="s">
        <v>31</v>
      </c>
      <c r="V142" s="10" t="s">
        <v>1157</v>
      </c>
      <c r="W142" s="10" t="s">
        <v>1119</v>
      </c>
      <c r="X142" s="13" t="str">
        <f>HYPERLINK("https://my.pitchbook.com?p=308397-07P","View People Online")</f>
        <v>View People Online</v>
      </c>
    </row>
    <row r="143">
      <c r="A143" s="6" t="s">
        <v>1158</v>
      </c>
      <c r="B143" s="6" t="s">
        <v>1159</v>
      </c>
      <c r="C143" s="6" t="s">
        <v>1160</v>
      </c>
      <c r="D143" s="6" t="s">
        <v>1161</v>
      </c>
      <c r="E143" s="6" t="s">
        <v>1119</v>
      </c>
      <c r="F143" s="6" t="s">
        <v>270</v>
      </c>
      <c r="G143" s="6" t="s">
        <v>1162</v>
      </c>
      <c r="H143" s="7" t="s">
        <v>31</v>
      </c>
      <c r="I143" s="7">
        <v>1.0</v>
      </c>
      <c r="J143" s="7">
        <v>1.0</v>
      </c>
      <c r="K143" s="7" t="s">
        <v>31</v>
      </c>
      <c r="L143" s="8" t="s">
        <v>31</v>
      </c>
      <c r="M143" s="6" t="s">
        <v>31</v>
      </c>
      <c r="N143" s="6" t="s">
        <v>75</v>
      </c>
      <c r="O143" s="8" t="s">
        <v>76</v>
      </c>
      <c r="P143" s="6" t="s">
        <v>1121</v>
      </c>
      <c r="Q143" s="6" t="s">
        <v>31</v>
      </c>
      <c r="R143" s="6" t="s">
        <v>75</v>
      </c>
      <c r="S143" s="8" t="s">
        <v>1122</v>
      </c>
      <c r="T143" s="6" t="s">
        <v>66</v>
      </c>
      <c r="U143" s="8" t="s">
        <v>31</v>
      </c>
      <c r="V143" s="6" t="s">
        <v>440</v>
      </c>
      <c r="W143" s="6" t="s">
        <v>1119</v>
      </c>
      <c r="X143" s="9" t="str">
        <f>HYPERLINK("https://my.pitchbook.com?p=385713-73P","View People Online")</f>
        <v>View People Online</v>
      </c>
    </row>
    <row r="144">
      <c r="A144" s="10" t="s">
        <v>1163</v>
      </c>
      <c r="B144" s="10" t="s">
        <v>1164</v>
      </c>
      <c r="C144" s="10" t="s">
        <v>1165</v>
      </c>
      <c r="D144" s="10" t="s">
        <v>1166</v>
      </c>
      <c r="E144" s="10" t="s">
        <v>1119</v>
      </c>
      <c r="F144" s="10" t="s">
        <v>1167</v>
      </c>
      <c r="G144" s="10" t="s">
        <v>1168</v>
      </c>
      <c r="H144" s="11">
        <v>2.0</v>
      </c>
      <c r="I144" s="11">
        <v>13.0</v>
      </c>
      <c r="J144" s="11">
        <v>3.0</v>
      </c>
      <c r="K144" s="11">
        <v>4.0</v>
      </c>
      <c r="L144" s="12" t="s">
        <v>31</v>
      </c>
      <c r="M144" s="10" t="s">
        <v>1169</v>
      </c>
      <c r="N144" s="10" t="s">
        <v>1170</v>
      </c>
      <c r="O144" s="12" t="s">
        <v>1171</v>
      </c>
      <c r="P144" s="10" t="s">
        <v>31</v>
      </c>
      <c r="Q144" s="10" t="s">
        <v>31</v>
      </c>
      <c r="R144" s="10" t="s">
        <v>64</v>
      </c>
      <c r="S144" s="12" t="s">
        <v>31</v>
      </c>
      <c r="T144" s="10" t="s">
        <v>66</v>
      </c>
      <c r="U144" s="12" t="s">
        <v>31</v>
      </c>
      <c r="V144" s="10" t="s">
        <v>1172</v>
      </c>
      <c r="W144" s="10" t="s">
        <v>1173</v>
      </c>
      <c r="X144" s="13" t="str">
        <f>HYPERLINK("https://my.pitchbook.com?p=165942-55P","View People Online")</f>
        <v>View People Online</v>
      </c>
    </row>
    <row r="145">
      <c r="A145" s="14" t="s">
        <v>1174</v>
      </c>
      <c r="B145" s="14" t="s">
        <v>1175</v>
      </c>
      <c r="C145" s="14" t="s">
        <v>1176</v>
      </c>
      <c r="D145" s="14" t="s">
        <v>1177</v>
      </c>
      <c r="E145" s="14" t="s">
        <v>1119</v>
      </c>
      <c r="F145" s="14" t="s">
        <v>86</v>
      </c>
      <c r="G145" s="14" t="s">
        <v>1178</v>
      </c>
      <c r="H145" s="15">
        <v>2.0</v>
      </c>
      <c r="I145" s="15">
        <v>12.0</v>
      </c>
      <c r="J145" s="15">
        <v>3.0</v>
      </c>
      <c r="K145" s="15">
        <v>7.0</v>
      </c>
      <c r="L145" s="16" t="s">
        <v>1179</v>
      </c>
      <c r="M145" s="14" t="s">
        <v>1180</v>
      </c>
      <c r="N145" s="14" t="s">
        <v>1181</v>
      </c>
      <c r="O145" s="16" t="s">
        <v>1182</v>
      </c>
      <c r="P145" s="14" t="s">
        <v>1183</v>
      </c>
      <c r="Q145" s="14" t="s">
        <v>1184</v>
      </c>
      <c r="R145" s="14" t="s">
        <v>1185</v>
      </c>
      <c r="S145" s="16" t="s">
        <v>1186</v>
      </c>
      <c r="T145" s="14" t="s">
        <v>66</v>
      </c>
      <c r="U145" s="16" t="s">
        <v>1187</v>
      </c>
      <c r="V145" s="14" t="s">
        <v>31</v>
      </c>
      <c r="W145" s="14" t="s">
        <v>1188</v>
      </c>
      <c r="X145" s="17" t="str">
        <f>HYPERLINK("https://my.pitchbook.com?p=84560-50P","View People Online")</f>
        <v>View People Online</v>
      </c>
    </row>
    <row r="146">
      <c r="A146" s="10" t="s">
        <v>1189</v>
      </c>
      <c r="B146" s="10" t="s">
        <v>1190</v>
      </c>
      <c r="C146" s="10" t="s">
        <v>1191</v>
      </c>
      <c r="D146" s="10" t="s">
        <v>1192</v>
      </c>
      <c r="E146" s="10" t="s">
        <v>1119</v>
      </c>
      <c r="F146" s="10" t="s">
        <v>57</v>
      </c>
      <c r="G146" s="10" t="s">
        <v>1193</v>
      </c>
      <c r="H146" s="11" t="s">
        <v>31</v>
      </c>
      <c r="I146" s="11">
        <v>1.0</v>
      </c>
      <c r="J146" s="11">
        <v>1.0</v>
      </c>
      <c r="K146" s="11" t="s">
        <v>31</v>
      </c>
      <c r="L146" s="12" t="s">
        <v>31</v>
      </c>
      <c r="M146" s="10" t="s">
        <v>1194</v>
      </c>
      <c r="N146" s="10" t="s">
        <v>75</v>
      </c>
      <c r="O146" s="12" t="s">
        <v>76</v>
      </c>
      <c r="P146" s="10" t="s">
        <v>1121</v>
      </c>
      <c r="Q146" s="10" t="s">
        <v>31</v>
      </c>
      <c r="R146" s="10" t="s">
        <v>75</v>
      </c>
      <c r="S146" s="12" t="s">
        <v>1122</v>
      </c>
      <c r="T146" s="10" t="s">
        <v>66</v>
      </c>
      <c r="U146" s="12" t="s">
        <v>31</v>
      </c>
      <c r="V146" s="10" t="s">
        <v>57</v>
      </c>
      <c r="W146" s="10" t="s">
        <v>1119</v>
      </c>
      <c r="X146" s="13" t="str">
        <f>HYPERLINK("https://my.pitchbook.com?p=199248-94P","View People Online")</f>
        <v>View People Online</v>
      </c>
    </row>
    <row r="147">
      <c r="A147" s="6" t="s">
        <v>1195</v>
      </c>
      <c r="B147" s="6" t="s">
        <v>1196</v>
      </c>
      <c r="C147" s="6" t="s">
        <v>1197</v>
      </c>
      <c r="D147" s="6" t="s">
        <v>113</v>
      </c>
      <c r="E147" s="6" t="s">
        <v>1198</v>
      </c>
      <c r="F147" s="6" t="s">
        <v>1199</v>
      </c>
      <c r="G147" s="6" t="s">
        <v>1200</v>
      </c>
      <c r="H147" s="7" t="s">
        <v>31</v>
      </c>
      <c r="I147" s="7">
        <v>1.0</v>
      </c>
      <c r="J147" s="7">
        <v>1.0</v>
      </c>
      <c r="K147" s="7" t="s">
        <v>31</v>
      </c>
      <c r="L147" s="8" t="s">
        <v>1201</v>
      </c>
      <c r="M147" s="6" t="s">
        <v>1202</v>
      </c>
      <c r="N147" s="6" t="s">
        <v>1203</v>
      </c>
      <c r="O147" s="8" t="s">
        <v>1204</v>
      </c>
      <c r="P147" s="6" t="s">
        <v>1205</v>
      </c>
      <c r="Q147" s="6" t="s">
        <v>1206</v>
      </c>
      <c r="R147" s="6" t="s">
        <v>1207</v>
      </c>
      <c r="S147" s="8" t="s">
        <v>1208</v>
      </c>
      <c r="T147" s="6" t="s">
        <v>1209</v>
      </c>
      <c r="U147" s="8" t="s">
        <v>1210</v>
      </c>
      <c r="V147" s="6" t="s">
        <v>1199</v>
      </c>
      <c r="W147" s="6" t="s">
        <v>1198</v>
      </c>
      <c r="X147" s="9" t="str">
        <f>HYPERLINK("https://my.pitchbook.com?p=436197-52P","View People Online")</f>
        <v>View People Online</v>
      </c>
    </row>
    <row r="148">
      <c r="A148" s="2" t="s">
        <v>1211</v>
      </c>
      <c r="B148" s="2" t="s">
        <v>1212</v>
      </c>
      <c r="C148" s="2" t="s">
        <v>1213</v>
      </c>
      <c r="D148" s="2" t="s">
        <v>1214</v>
      </c>
      <c r="E148" s="2" t="s">
        <v>1198</v>
      </c>
      <c r="F148" s="2" t="s">
        <v>1215</v>
      </c>
      <c r="G148" s="2" t="s">
        <v>1216</v>
      </c>
      <c r="H148" s="3" t="s">
        <v>31</v>
      </c>
      <c r="I148" s="3">
        <v>1.0</v>
      </c>
      <c r="J148" s="3">
        <v>1.0</v>
      </c>
      <c r="K148" s="3" t="s">
        <v>31</v>
      </c>
      <c r="L148" s="4" t="s">
        <v>1217</v>
      </c>
      <c r="M148" s="2" t="s">
        <v>1218</v>
      </c>
      <c r="N148" s="2" t="s">
        <v>1219</v>
      </c>
      <c r="O148" s="4" t="s">
        <v>1220</v>
      </c>
      <c r="P148" s="2" t="s">
        <v>1221</v>
      </c>
      <c r="Q148" s="2" t="s">
        <v>1222</v>
      </c>
      <c r="R148" s="2" t="s">
        <v>1223</v>
      </c>
      <c r="S148" s="4" t="s">
        <v>1224</v>
      </c>
      <c r="T148" s="2" t="s">
        <v>1209</v>
      </c>
      <c r="U148" s="4" t="s">
        <v>31</v>
      </c>
      <c r="V148" s="2" t="s">
        <v>1225</v>
      </c>
      <c r="W148" s="2" t="s">
        <v>1198</v>
      </c>
      <c r="X148" s="5" t="str">
        <f>HYPERLINK("https://my.pitchbook.com?p=324974-71P","View People Online")</f>
        <v>View People Online</v>
      </c>
    </row>
    <row r="149">
      <c r="A149" s="14" t="s">
        <v>1226</v>
      </c>
      <c r="B149" s="14" t="s">
        <v>1227</v>
      </c>
      <c r="C149" s="14" t="s">
        <v>1228</v>
      </c>
      <c r="D149" s="14" t="s">
        <v>1229</v>
      </c>
      <c r="E149" s="14" t="s">
        <v>1198</v>
      </c>
      <c r="F149" s="14" t="s">
        <v>548</v>
      </c>
      <c r="G149" s="14" t="s">
        <v>1230</v>
      </c>
      <c r="H149" s="15">
        <v>1.0</v>
      </c>
      <c r="I149" s="15">
        <v>7.0</v>
      </c>
      <c r="J149" s="15">
        <v>1.0</v>
      </c>
      <c r="K149" s="15">
        <v>2.0</v>
      </c>
      <c r="L149" s="16" t="s">
        <v>1201</v>
      </c>
      <c r="M149" s="14" t="s">
        <v>31</v>
      </c>
      <c r="N149" s="14" t="s">
        <v>1203</v>
      </c>
      <c r="O149" s="16" t="s">
        <v>1204</v>
      </c>
      <c r="P149" s="14" t="s">
        <v>1205</v>
      </c>
      <c r="Q149" s="14" t="s">
        <v>1206</v>
      </c>
      <c r="R149" s="14" t="s">
        <v>1207</v>
      </c>
      <c r="S149" s="16" t="s">
        <v>1208</v>
      </c>
      <c r="T149" s="14" t="s">
        <v>1209</v>
      </c>
      <c r="U149" s="16" t="s">
        <v>1210</v>
      </c>
      <c r="V149" s="14" t="s">
        <v>548</v>
      </c>
      <c r="W149" s="14" t="s">
        <v>1198</v>
      </c>
      <c r="X149" s="17" t="str">
        <f>HYPERLINK("https://my.pitchbook.com?p=100524-34P","View People Online")</f>
        <v>View People Online</v>
      </c>
    </row>
    <row r="150">
      <c r="A150" s="10" t="s">
        <v>1231</v>
      </c>
      <c r="B150" s="10" t="s">
        <v>1232</v>
      </c>
      <c r="C150" s="10" t="s">
        <v>1233</v>
      </c>
      <c r="D150" s="10" t="s">
        <v>1229</v>
      </c>
      <c r="E150" s="10" t="s">
        <v>1198</v>
      </c>
      <c r="F150" s="10" t="s">
        <v>1234</v>
      </c>
      <c r="G150" s="10" t="s">
        <v>1235</v>
      </c>
      <c r="H150" s="11">
        <v>2.0</v>
      </c>
      <c r="I150" s="11">
        <v>3.0</v>
      </c>
      <c r="J150" s="11">
        <v>2.0</v>
      </c>
      <c r="K150" s="11" t="s">
        <v>31</v>
      </c>
      <c r="L150" s="12" t="s">
        <v>1217</v>
      </c>
      <c r="M150" s="10" t="s">
        <v>1236</v>
      </c>
      <c r="N150" s="10" t="s">
        <v>1219</v>
      </c>
      <c r="O150" s="12" t="s">
        <v>1220</v>
      </c>
      <c r="P150" s="10" t="s">
        <v>1221</v>
      </c>
      <c r="Q150" s="10" t="s">
        <v>1222</v>
      </c>
      <c r="R150" s="10" t="s">
        <v>1223</v>
      </c>
      <c r="S150" s="12" t="s">
        <v>1224</v>
      </c>
      <c r="T150" s="10" t="s">
        <v>1209</v>
      </c>
      <c r="U150" s="12" t="s">
        <v>31</v>
      </c>
      <c r="V150" s="10" t="s">
        <v>1237</v>
      </c>
      <c r="W150" s="10" t="s">
        <v>1198</v>
      </c>
      <c r="X150" s="13" t="str">
        <f>HYPERLINK("https://my.pitchbook.com?p=165995-47P","View People Online")</f>
        <v>View People Online</v>
      </c>
    </row>
    <row r="151">
      <c r="A151" s="6" t="s">
        <v>1238</v>
      </c>
      <c r="B151" s="6" t="s">
        <v>1239</v>
      </c>
      <c r="C151" s="6" t="s">
        <v>1240</v>
      </c>
      <c r="D151" s="6" t="s">
        <v>1229</v>
      </c>
      <c r="E151" s="6" t="s">
        <v>1198</v>
      </c>
      <c r="F151" s="6" t="s">
        <v>1241</v>
      </c>
      <c r="G151" s="6" t="s">
        <v>1242</v>
      </c>
      <c r="H151" s="7">
        <v>1.0</v>
      </c>
      <c r="I151" s="7">
        <v>1.0</v>
      </c>
      <c r="J151" s="7">
        <v>1.0</v>
      </c>
      <c r="K151" s="7" t="s">
        <v>31</v>
      </c>
      <c r="L151" s="8" t="s">
        <v>1217</v>
      </c>
      <c r="M151" s="6" t="s">
        <v>1243</v>
      </c>
      <c r="N151" s="6" t="s">
        <v>1219</v>
      </c>
      <c r="O151" s="8" t="s">
        <v>1220</v>
      </c>
      <c r="P151" s="6" t="s">
        <v>1221</v>
      </c>
      <c r="Q151" s="6" t="s">
        <v>1222</v>
      </c>
      <c r="R151" s="6" t="s">
        <v>1223</v>
      </c>
      <c r="S151" s="8" t="s">
        <v>1224</v>
      </c>
      <c r="T151" s="6" t="s">
        <v>1209</v>
      </c>
      <c r="U151" s="8" t="s">
        <v>31</v>
      </c>
      <c r="V151" s="6" t="s">
        <v>1244</v>
      </c>
      <c r="W151" s="6" t="s">
        <v>1198</v>
      </c>
      <c r="X151" s="9" t="str">
        <f>HYPERLINK("https://my.pitchbook.com?p=282416-14P","View People Online")</f>
        <v>View People Online</v>
      </c>
    </row>
    <row r="152">
      <c r="A152" s="2" t="s">
        <v>1245</v>
      </c>
      <c r="B152" s="2" t="s">
        <v>1246</v>
      </c>
      <c r="C152" s="2" t="s">
        <v>1247</v>
      </c>
      <c r="D152" s="2" t="s">
        <v>1248</v>
      </c>
      <c r="E152" s="2" t="s">
        <v>1198</v>
      </c>
      <c r="F152" s="2" t="s">
        <v>1249</v>
      </c>
      <c r="G152" s="2" t="s">
        <v>1250</v>
      </c>
      <c r="H152" s="3">
        <v>1.0</v>
      </c>
      <c r="I152" s="3">
        <v>1.0</v>
      </c>
      <c r="J152" s="3">
        <v>1.0</v>
      </c>
      <c r="K152" s="3" t="s">
        <v>31</v>
      </c>
      <c r="L152" s="4" t="s">
        <v>1201</v>
      </c>
      <c r="M152" s="2" t="s">
        <v>1251</v>
      </c>
      <c r="N152" s="2" t="s">
        <v>1203</v>
      </c>
      <c r="O152" s="4" t="s">
        <v>1204</v>
      </c>
      <c r="P152" s="2" t="s">
        <v>1205</v>
      </c>
      <c r="Q152" s="2" t="s">
        <v>1206</v>
      </c>
      <c r="R152" s="2" t="s">
        <v>1207</v>
      </c>
      <c r="S152" s="4" t="s">
        <v>1208</v>
      </c>
      <c r="T152" s="2" t="s">
        <v>1209</v>
      </c>
      <c r="U152" s="4" t="s">
        <v>1210</v>
      </c>
      <c r="V152" s="2" t="s">
        <v>1252</v>
      </c>
      <c r="W152" s="2" t="s">
        <v>1198</v>
      </c>
      <c r="X152" s="5" t="str">
        <f>HYPERLINK("https://my.pitchbook.com?p=399499-57P","View People Online")</f>
        <v>View People Online</v>
      </c>
    </row>
    <row r="153">
      <c r="A153" s="6" t="s">
        <v>1253</v>
      </c>
      <c r="B153" s="6" t="s">
        <v>1254</v>
      </c>
      <c r="C153" s="6" t="s">
        <v>1255</v>
      </c>
      <c r="D153" s="6" t="s">
        <v>1256</v>
      </c>
      <c r="E153" s="6" t="s">
        <v>1257</v>
      </c>
      <c r="F153" s="6" t="s">
        <v>86</v>
      </c>
      <c r="G153" s="6" t="s">
        <v>1258</v>
      </c>
      <c r="H153" s="7" t="s">
        <v>31</v>
      </c>
      <c r="I153" s="7">
        <v>5.0</v>
      </c>
      <c r="J153" s="7">
        <v>2.0</v>
      </c>
      <c r="K153" s="7">
        <v>1.0</v>
      </c>
      <c r="L153" s="8" t="s">
        <v>1259</v>
      </c>
      <c r="M153" s="6" t="s">
        <v>1260</v>
      </c>
      <c r="N153" s="6" t="s">
        <v>75</v>
      </c>
      <c r="O153" s="8" t="s">
        <v>76</v>
      </c>
      <c r="P153" s="6" t="s">
        <v>1261</v>
      </c>
      <c r="Q153" s="6" t="s">
        <v>1262</v>
      </c>
      <c r="R153" s="6" t="s">
        <v>75</v>
      </c>
      <c r="S153" s="8" t="s">
        <v>1263</v>
      </c>
      <c r="T153" s="6" t="s">
        <v>66</v>
      </c>
      <c r="U153" s="8" t="s">
        <v>31</v>
      </c>
      <c r="V153" s="6" t="s">
        <v>95</v>
      </c>
      <c r="W153" s="6" t="s">
        <v>1257</v>
      </c>
      <c r="X153" s="9" t="str">
        <f>HYPERLINK("https://my.pitchbook.com?p=229060-45P","View People Online")</f>
        <v>View People Online</v>
      </c>
    </row>
    <row r="154">
      <c r="A154" s="2" t="s">
        <v>1264</v>
      </c>
      <c r="B154" s="2" t="s">
        <v>1265</v>
      </c>
      <c r="C154" s="2" t="s">
        <v>1266</v>
      </c>
      <c r="D154" s="2" t="s">
        <v>1267</v>
      </c>
      <c r="E154" s="2" t="s">
        <v>1257</v>
      </c>
      <c r="F154" s="2" t="s">
        <v>152</v>
      </c>
      <c r="G154" s="2" t="s">
        <v>1268</v>
      </c>
      <c r="H154" s="3">
        <v>1.0</v>
      </c>
      <c r="I154" s="3">
        <v>11.0</v>
      </c>
      <c r="J154" s="3">
        <v>2.0</v>
      </c>
      <c r="K154" s="3">
        <v>6.0</v>
      </c>
      <c r="L154" s="4" t="s">
        <v>1259</v>
      </c>
      <c r="M154" s="2" t="s">
        <v>1269</v>
      </c>
      <c r="N154" s="2" t="s">
        <v>75</v>
      </c>
      <c r="O154" s="4" t="s">
        <v>76</v>
      </c>
      <c r="P154" s="2" t="s">
        <v>1261</v>
      </c>
      <c r="Q154" s="2" t="s">
        <v>1262</v>
      </c>
      <c r="R154" s="2" t="s">
        <v>75</v>
      </c>
      <c r="S154" s="4" t="s">
        <v>1263</v>
      </c>
      <c r="T154" s="2" t="s">
        <v>66</v>
      </c>
      <c r="U154" s="4" t="s">
        <v>31</v>
      </c>
      <c r="V154" s="2" t="s">
        <v>157</v>
      </c>
      <c r="W154" s="2" t="s">
        <v>1257</v>
      </c>
      <c r="X154" s="5" t="str">
        <f>HYPERLINK("https://my.pitchbook.com?p=229057-39P","View People Online")</f>
        <v>View People Online</v>
      </c>
    </row>
    <row r="155">
      <c r="A155" s="14" t="s">
        <v>1270</v>
      </c>
      <c r="B155" s="14" t="s">
        <v>1271</v>
      </c>
      <c r="C155" s="14" t="s">
        <v>1191</v>
      </c>
      <c r="D155" s="14" t="s">
        <v>1272</v>
      </c>
      <c r="E155" s="14" t="s">
        <v>1257</v>
      </c>
      <c r="F155" s="14" t="s">
        <v>1273</v>
      </c>
      <c r="G155" s="14" t="s">
        <v>1274</v>
      </c>
      <c r="H155" s="15">
        <v>2.0</v>
      </c>
      <c r="I155" s="15">
        <v>16.0</v>
      </c>
      <c r="J155" s="15">
        <v>2.0</v>
      </c>
      <c r="K155" s="15">
        <v>10.0</v>
      </c>
      <c r="L155" s="16" t="s">
        <v>1275</v>
      </c>
      <c r="M155" s="14" t="s">
        <v>1276</v>
      </c>
      <c r="N155" s="14" t="s">
        <v>1277</v>
      </c>
      <c r="O155" s="16" t="s">
        <v>1278</v>
      </c>
      <c r="P155" s="14" t="s">
        <v>1279</v>
      </c>
      <c r="Q155" s="14" t="s">
        <v>1280</v>
      </c>
      <c r="R155" s="14" t="s">
        <v>1281</v>
      </c>
      <c r="S155" s="16" t="s">
        <v>1282</v>
      </c>
      <c r="T155" s="14" t="s">
        <v>66</v>
      </c>
      <c r="U155" s="16" t="s">
        <v>31</v>
      </c>
      <c r="V155" s="14" t="s">
        <v>1283</v>
      </c>
      <c r="W155" s="14" t="s">
        <v>1284</v>
      </c>
      <c r="X155" s="17" t="str">
        <f>HYPERLINK("https://my.pitchbook.com?p=185469-58P","View People Online")</f>
        <v>View People Online</v>
      </c>
    </row>
    <row r="156">
      <c r="A156" s="10" t="s">
        <v>1285</v>
      </c>
      <c r="B156" s="10" t="s">
        <v>1286</v>
      </c>
      <c r="C156" s="10" t="s">
        <v>316</v>
      </c>
      <c r="D156" s="10" t="s">
        <v>1287</v>
      </c>
      <c r="E156" s="10" t="s">
        <v>1288</v>
      </c>
      <c r="F156" s="10" t="s">
        <v>318</v>
      </c>
      <c r="G156" s="10" t="s">
        <v>1289</v>
      </c>
      <c r="H156" s="11" t="s">
        <v>31</v>
      </c>
      <c r="I156" s="11">
        <v>1.0</v>
      </c>
      <c r="J156" s="11">
        <v>1.0</v>
      </c>
      <c r="K156" s="11" t="s">
        <v>31</v>
      </c>
      <c r="L156" s="12" t="s">
        <v>1290</v>
      </c>
      <c r="M156" s="10" t="s">
        <v>1291</v>
      </c>
      <c r="N156" s="10" t="s">
        <v>1292</v>
      </c>
      <c r="O156" s="12" t="s">
        <v>1293</v>
      </c>
      <c r="P156" s="10" t="s">
        <v>1294</v>
      </c>
      <c r="Q156" s="10" t="s">
        <v>1295</v>
      </c>
      <c r="R156" s="10" t="s">
        <v>64</v>
      </c>
      <c r="S156" s="12" t="s">
        <v>1296</v>
      </c>
      <c r="T156" s="10" t="s">
        <v>66</v>
      </c>
      <c r="U156" s="12" t="s">
        <v>31</v>
      </c>
      <c r="V156" s="10" t="s">
        <v>318</v>
      </c>
      <c r="W156" s="10" t="s">
        <v>1288</v>
      </c>
      <c r="X156" s="13" t="str">
        <f>HYPERLINK("https://my.pitchbook.com?p=186517-45P","View People Online")</f>
        <v>View People Online</v>
      </c>
    </row>
    <row r="157">
      <c r="A157" s="6" t="s">
        <v>1297</v>
      </c>
      <c r="B157" s="6" t="s">
        <v>1298</v>
      </c>
      <c r="C157" s="6" t="s">
        <v>1299</v>
      </c>
      <c r="D157" s="6" t="s">
        <v>1300</v>
      </c>
      <c r="E157" s="6" t="s">
        <v>1288</v>
      </c>
      <c r="F157" s="6" t="s">
        <v>470</v>
      </c>
      <c r="G157" s="6" t="s">
        <v>1301</v>
      </c>
      <c r="H157" s="7" t="s">
        <v>31</v>
      </c>
      <c r="I157" s="7">
        <v>3.0</v>
      </c>
      <c r="J157" s="7">
        <v>1.0</v>
      </c>
      <c r="K157" s="7">
        <v>2.0</v>
      </c>
      <c r="L157" s="8" t="s">
        <v>31</v>
      </c>
      <c r="M157" s="6" t="s">
        <v>1302</v>
      </c>
      <c r="N157" s="6" t="s">
        <v>1292</v>
      </c>
      <c r="O157" s="8" t="s">
        <v>1293</v>
      </c>
      <c r="P157" s="6" t="s">
        <v>1294</v>
      </c>
      <c r="Q157" s="6" t="s">
        <v>1295</v>
      </c>
      <c r="R157" s="6" t="s">
        <v>64</v>
      </c>
      <c r="S157" s="8" t="s">
        <v>1296</v>
      </c>
      <c r="T157" s="6" t="s">
        <v>66</v>
      </c>
      <c r="U157" s="8" t="s">
        <v>31</v>
      </c>
      <c r="V157" s="6" t="s">
        <v>470</v>
      </c>
      <c r="W157" s="6" t="s">
        <v>1288</v>
      </c>
      <c r="X157" s="9" t="str">
        <f>HYPERLINK("https://my.pitchbook.com?p=425080-00P","View People Online")</f>
        <v>View People Online</v>
      </c>
    </row>
    <row r="158">
      <c r="A158" s="2" t="s">
        <v>1303</v>
      </c>
      <c r="B158" s="2" t="s">
        <v>1304</v>
      </c>
      <c r="C158" s="2" t="s">
        <v>1305</v>
      </c>
      <c r="D158" s="2" t="s">
        <v>1306</v>
      </c>
      <c r="E158" s="2" t="s">
        <v>1288</v>
      </c>
      <c r="F158" s="2" t="s">
        <v>548</v>
      </c>
      <c r="G158" s="2" t="s">
        <v>1307</v>
      </c>
      <c r="H158" s="3" t="s">
        <v>31</v>
      </c>
      <c r="I158" s="3">
        <v>1.0</v>
      </c>
      <c r="J158" s="3">
        <v>1.0</v>
      </c>
      <c r="K158" s="3" t="s">
        <v>31</v>
      </c>
      <c r="L158" s="4" t="s">
        <v>31</v>
      </c>
      <c r="M158" s="2" t="s">
        <v>1308</v>
      </c>
      <c r="N158" s="2" t="s">
        <v>1292</v>
      </c>
      <c r="O158" s="4" t="s">
        <v>1293</v>
      </c>
      <c r="P158" s="2" t="s">
        <v>1294</v>
      </c>
      <c r="Q158" s="2" t="s">
        <v>1295</v>
      </c>
      <c r="R158" s="2" t="s">
        <v>64</v>
      </c>
      <c r="S158" s="4" t="s">
        <v>1296</v>
      </c>
      <c r="T158" s="2" t="s">
        <v>66</v>
      </c>
      <c r="U158" s="4" t="s">
        <v>31</v>
      </c>
      <c r="V158" s="2" t="s">
        <v>548</v>
      </c>
      <c r="W158" s="2" t="s">
        <v>1288</v>
      </c>
      <c r="X158" s="5" t="str">
        <f>HYPERLINK("https://my.pitchbook.com?p=378297-10P","View People Online")</f>
        <v>View People Online</v>
      </c>
    </row>
    <row r="159">
      <c r="A159" s="14" t="s">
        <v>1309</v>
      </c>
      <c r="B159" s="14" t="s">
        <v>1310</v>
      </c>
      <c r="C159" s="14" t="s">
        <v>1311</v>
      </c>
      <c r="D159" s="14" t="s">
        <v>1312</v>
      </c>
      <c r="E159" s="14" t="s">
        <v>1288</v>
      </c>
      <c r="F159" s="14" t="s">
        <v>371</v>
      </c>
      <c r="G159" s="14" t="s">
        <v>1313</v>
      </c>
      <c r="H159" s="15" t="s">
        <v>31</v>
      </c>
      <c r="I159" s="15">
        <v>1.0</v>
      </c>
      <c r="J159" s="15">
        <v>1.0</v>
      </c>
      <c r="K159" s="15" t="s">
        <v>31</v>
      </c>
      <c r="L159" s="16" t="s">
        <v>31</v>
      </c>
      <c r="M159" s="14" t="s">
        <v>1314</v>
      </c>
      <c r="N159" s="14" t="s">
        <v>1292</v>
      </c>
      <c r="O159" s="16" t="s">
        <v>1293</v>
      </c>
      <c r="P159" s="14" t="s">
        <v>1294</v>
      </c>
      <c r="Q159" s="14" t="s">
        <v>1295</v>
      </c>
      <c r="R159" s="14" t="s">
        <v>64</v>
      </c>
      <c r="S159" s="16" t="s">
        <v>1296</v>
      </c>
      <c r="T159" s="14" t="s">
        <v>66</v>
      </c>
      <c r="U159" s="16" t="s">
        <v>31</v>
      </c>
      <c r="V159" s="14" t="s">
        <v>371</v>
      </c>
      <c r="W159" s="14" t="s">
        <v>1288</v>
      </c>
      <c r="X159" s="17" t="str">
        <f>HYPERLINK("https://my.pitchbook.com?p=378296-74P","View People Online")</f>
        <v>View People Online</v>
      </c>
    </row>
    <row r="160">
      <c r="A160" s="2" t="s">
        <v>1315</v>
      </c>
      <c r="B160" s="2" t="s">
        <v>1316</v>
      </c>
      <c r="C160" s="2" t="s">
        <v>1317</v>
      </c>
      <c r="D160" s="2" t="s">
        <v>1318</v>
      </c>
      <c r="E160" s="2" t="s">
        <v>1288</v>
      </c>
      <c r="F160" s="2" t="s">
        <v>221</v>
      </c>
      <c r="G160" s="2" t="s">
        <v>1319</v>
      </c>
      <c r="H160" s="3" t="s">
        <v>31</v>
      </c>
      <c r="I160" s="3">
        <v>1.0</v>
      </c>
      <c r="J160" s="3">
        <v>1.0</v>
      </c>
      <c r="K160" s="3" t="s">
        <v>31</v>
      </c>
      <c r="L160" s="4" t="s">
        <v>31</v>
      </c>
      <c r="M160" s="2" t="s">
        <v>1320</v>
      </c>
      <c r="N160" s="2" t="s">
        <v>1292</v>
      </c>
      <c r="O160" s="4" t="s">
        <v>1293</v>
      </c>
      <c r="P160" s="2" t="s">
        <v>1294</v>
      </c>
      <c r="Q160" s="2" t="s">
        <v>1295</v>
      </c>
      <c r="R160" s="2" t="s">
        <v>64</v>
      </c>
      <c r="S160" s="4" t="s">
        <v>1296</v>
      </c>
      <c r="T160" s="2" t="s">
        <v>66</v>
      </c>
      <c r="U160" s="4" t="s">
        <v>31</v>
      </c>
      <c r="V160" s="2" t="s">
        <v>221</v>
      </c>
      <c r="W160" s="2" t="s">
        <v>1288</v>
      </c>
      <c r="X160" s="5" t="str">
        <f>HYPERLINK("https://my.pitchbook.com?p=378297-28P","View People Online")</f>
        <v>View People Online</v>
      </c>
    </row>
    <row r="161">
      <c r="A161" s="6" t="s">
        <v>1321</v>
      </c>
      <c r="B161" s="6" t="s">
        <v>1322</v>
      </c>
      <c r="C161" s="6" t="s">
        <v>1323</v>
      </c>
      <c r="D161" s="6" t="s">
        <v>1324</v>
      </c>
      <c r="E161" s="6" t="s">
        <v>1325</v>
      </c>
      <c r="F161" s="6" t="s">
        <v>1326</v>
      </c>
      <c r="G161" s="6" t="s">
        <v>1327</v>
      </c>
      <c r="H161" s="7" t="s">
        <v>31</v>
      </c>
      <c r="I161" s="7">
        <v>3.0</v>
      </c>
      <c r="J161" s="7">
        <v>1.0</v>
      </c>
      <c r="K161" s="7">
        <v>1.0</v>
      </c>
      <c r="L161" s="8" t="s">
        <v>1328</v>
      </c>
      <c r="M161" s="6" t="s">
        <v>1329</v>
      </c>
      <c r="N161" s="6" t="s">
        <v>1181</v>
      </c>
      <c r="O161" s="8" t="s">
        <v>1182</v>
      </c>
      <c r="P161" s="6" t="s">
        <v>1330</v>
      </c>
      <c r="Q161" s="6" t="s">
        <v>1331</v>
      </c>
      <c r="R161" s="6" t="s">
        <v>1185</v>
      </c>
      <c r="S161" s="8" t="s">
        <v>1332</v>
      </c>
      <c r="T161" s="6" t="s">
        <v>66</v>
      </c>
      <c r="U161" s="8" t="s">
        <v>31</v>
      </c>
      <c r="V161" s="6" t="s">
        <v>1326</v>
      </c>
      <c r="W161" s="6" t="s">
        <v>1325</v>
      </c>
      <c r="X161" s="9" t="str">
        <f>HYPERLINK("https://my.pitchbook.com?p=12936-97P","View People Online")</f>
        <v>View People Online</v>
      </c>
    </row>
    <row r="162">
      <c r="A162" s="10" t="s">
        <v>1333</v>
      </c>
      <c r="B162" s="10" t="s">
        <v>1334</v>
      </c>
      <c r="C162" s="10" t="s">
        <v>26</v>
      </c>
      <c r="D162" s="10" t="s">
        <v>1335</v>
      </c>
      <c r="E162" s="10" t="s">
        <v>1325</v>
      </c>
      <c r="F162" s="10" t="s">
        <v>71</v>
      </c>
      <c r="G162" s="10" t="s">
        <v>1336</v>
      </c>
      <c r="H162" s="11">
        <v>5.0</v>
      </c>
      <c r="I162" s="11">
        <v>130.0</v>
      </c>
      <c r="J162" s="11">
        <v>4.0</v>
      </c>
      <c r="K162" s="11">
        <v>109.0</v>
      </c>
      <c r="L162" s="12" t="s">
        <v>1337</v>
      </c>
      <c r="M162" s="10" t="s">
        <v>31</v>
      </c>
      <c r="N162" s="10" t="s">
        <v>155</v>
      </c>
      <c r="O162" s="12" t="s">
        <v>156</v>
      </c>
      <c r="P162" s="10" t="s">
        <v>1338</v>
      </c>
      <c r="Q162" s="10" t="s">
        <v>31</v>
      </c>
      <c r="R162" s="10" t="s">
        <v>64</v>
      </c>
      <c r="S162" s="12" t="s">
        <v>1339</v>
      </c>
      <c r="T162" s="10" t="s">
        <v>66</v>
      </c>
      <c r="U162" s="12" t="s">
        <v>31</v>
      </c>
      <c r="V162" s="10" t="s">
        <v>157</v>
      </c>
      <c r="W162" s="10" t="s">
        <v>1340</v>
      </c>
      <c r="X162" s="13" t="str">
        <f>HYPERLINK("https://my.pitchbook.com?p=12937-33P","View People Online")</f>
        <v>View People Online</v>
      </c>
    </row>
    <row r="163">
      <c r="A163" s="14" t="s">
        <v>1341</v>
      </c>
      <c r="B163" s="14" t="s">
        <v>1342</v>
      </c>
      <c r="C163" s="14" t="s">
        <v>1343</v>
      </c>
      <c r="D163" s="14" t="s">
        <v>1344</v>
      </c>
      <c r="E163" s="14" t="s">
        <v>1325</v>
      </c>
      <c r="F163" s="14" t="s">
        <v>270</v>
      </c>
      <c r="G163" s="14" t="s">
        <v>1345</v>
      </c>
      <c r="H163" s="15">
        <v>1.0</v>
      </c>
      <c r="I163" s="15">
        <v>17.0</v>
      </c>
      <c r="J163" s="15">
        <v>3.0</v>
      </c>
      <c r="K163" s="15">
        <v>10.0</v>
      </c>
      <c r="L163" s="16" t="s">
        <v>1346</v>
      </c>
      <c r="M163" s="14" t="s">
        <v>1347</v>
      </c>
      <c r="N163" s="14" t="s">
        <v>1348</v>
      </c>
      <c r="O163" s="16" t="s">
        <v>1349</v>
      </c>
      <c r="P163" s="14" t="s">
        <v>1350</v>
      </c>
      <c r="Q163" s="14" t="s">
        <v>1351</v>
      </c>
      <c r="R163" s="14" t="s">
        <v>1018</v>
      </c>
      <c r="S163" s="16" t="s">
        <v>1352</v>
      </c>
      <c r="T163" s="14" t="s">
        <v>1019</v>
      </c>
      <c r="U163" s="16" t="s">
        <v>31</v>
      </c>
      <c r="V163" s="14" t="s">
        <v>583</v>
      </c>
      <c r="W163" s="14" t="s">
        <v>1353</v>
      </c>
      <c r="X163" s="17" t="str">
        <f>HYPERLINK("https://my.pitchbook.com?p=74105-11P","View People Online")</f>
        <v>View People Online</v>
      </c>
    </row>
    <row r="164">
      <c r="A164" s="2" t="s">
        <v>1354</v>
      </c>
      <c r="B164" s="2" t="s">
        <v>1355</v>
      </c>
      <c r="C164" s="2" t="s">
        <v>1356</v>
      </c>
      <c r="D164" s="2" t="s">
        <v>1357</v>
      </c>
      <c r="E164" s="2" t="s">
        <v>1325</v>
      </c>
      <c r="F164" s="2" t="s">
        <v>270</v>
      </c>
      <c r="G164" s="2" t="s">
        <v>1358</v>
      </c>
      <c r="H164" s="3" t="s">
        <v>31</v>
      </c>
      <c r="I164" s="3">
        <v>1.0</v>
      </c>
      <c r="J164" s="3">
        <v>1.0</v>
      </c>
      <c r="K164" s="3" t="s">
        <v>31</v>
      </c>
      <c r="L164" s="4" t="s">
        <v>1359</v>
      </c>
      <c r="M164" s="2" t="s">
        <v>1360</v>
      </c>
      <c r="N164" s="2" t="s">
        <v>1181</v>
      </c>
      <c r="O164" s="4" t="s">
        <v>1182</v>
      </c>
      <c r="P164" s="2" t="s">
        <v>1330</v>
      </c>
      <c r="Q164" s="2" t="s">
        <v>1331</v>
      </c>
      <c r="R164" s="2" t="s">
        <v>1185</v>
      </c>
      <c r="S164" s="4" t="s">
        <v>1332</v>
      </c>
      <c r="T164" s="2" t="s">
        <v>66</v>
      </c>
      <c r="U164" s="4" t="s">
        <v>31</v>
      </c>
      <c r="V164" s="2" t="s">
        <v>1361</v>
      </c>
      <c r="W164" s="2" t="s">
        <v>1325</v>
      </c>
      <c r="X164" s="5" t="str">
        <f>HYPERLINK("https://my.pitchbook.com?p=320452-84P","View People Online")</f>
        <v>View People Online</v>
      </c>
    </row>
    <row r="165">
      <c r="A165" s="6" t="s">
        <v>1362</v>
      </c>
      <c r="B165" s="6" t="s">
        <v>1363</v>
      </c>
      <c r="C165" s="6" t="s">
        <v>972</v>
      </c>
      <c r="D165" s="6" t="s">
        <v>1364</v>
      </c>
      <c r="E165" s="6" t="s">
        <v>1325</v>
      </c>
      <c r="F165" s="6" t="s">
        <v>29</v>
      </c>
      <c r="G165" s="6" t="s">
        <v>1365</v>
      </c>
      <c r="H165" s="7">
        <v>2.0</v>
      </c>
      <c r="I165" s="7">
        <v>7.0</v>
      </c>
      <c r="J165" s="7">
        <v>3.0</v>
      </c>
      <c r="K165" s="7">
        <v>2.0</v>
      </c>
      <c r="L165" s="8" t="s">
        <v>1366</v>
      </c>
      <c r="M165" s="6" t="s">
        <v>1367</v>
      </c>
      <c r="N165" s="6" t="s">
        <v>1368</v>
      </c>
      <c r="O165" s="8" t="s">
        <v>1369</v>
      </c>
      <c r="P165" s="6" t="s">
        <v>1370</v>
      </c>
      <c r="Q165" s="6" t="s">
        <v>1371</v>
      </c>
      <c r="R165" s="6" t="s">
        <v>1185</v>
      </c>
      <c r="S165" s="8" t="s">
        <v>1372</v>
      </c>
      <c r="T165" s="6" t="s">
        <v>66</v>
      </c>
      <c r="U165" s="8" t="s">
        <v>31</v>
      </c>
      <c r="V165" s="6" t="s">
        <v>991</v>
      </c>
      <c r="W165" s="6" t="s">
        <v>1373</v>
      </c>
      <c r="X165" s="9" t="str">
        <f>HYPERLINK("https://my.pitchbook.com?p=64117-54P","View People Online")</f>
        <v>View People Online</v>
      </c>
    </row>
    <row r="166">
      <c r="A166" s="2" t="s">
        <v>1374</v>
      </c>
      <c r="B166" s="2" t="s">
        <v>1375</v>
      </c>
      <c r="C166" s="2" t="s">
        <v>1376</v>
      </c>
      <c r="D166" s="2" t="s">
        <v>1377</v>
      </c>
      <c r="E166" s="2" t="s">
        <v>1325</v>
      </c>
      <c r="F166" s="2" t="s">
        <v>114</v>
      </c>
      <c r="G166" s="2" t="s">
        <v>1378</v>
      </c>
      <c r="H166" s="3">
        <v>2.0</v>
      </c>
      <c r="I166" s="3">
        <v>13.0</v>
      </c>
      <c r="J166" s="3">
        <v>3.0</v>
      </c>
      <c r="K166" s="3">
        <v>7.0</v>
      </c>
      <c r="L166" s="4" t="s">
        <v>1379</v>
      </c>
      <c r="M166" s="2" t="s">
        <v>1380</v>
      </c>
      <c r="N166" s="2" t="s">
        <v>1181</v>
      </c>
      <c r="O166" s="4" t="s">
        <v>1182</v>
      </c>
      <c r="P166" s="2" t="s">
        <v>1381</v>
      </c>
      <c r="Q166" s="2" t="s">
        <v>1382</v>
      </c>
      <c r="R166" s="2" t="s">
        <v>1185</v>
      </c>
      <c r="S166" s="4" t="s">
        <v>1383</v>
      </c>
      <c r="T166" s="2" t="s">
        <v>66</v>
      </c>
      <c r="U166" s="4" t="s">
        <v>31</v>
      </c>
      <c r="V166" s="2" t="s">
        <v>1384</v>
      </c>
      <c r="W166" s="2" t="s">
        <v>1385</v>
      </c>
      <c r="X166" s="5" t="str">
        <f>HYPERLINK("https://my.pitchbook.com?p=40493-98P","View People Online")</f>
        <v>View People Online</v>
      </c>
    </row>
    <row r="167">
      <c r="A167" s="6" t="s">
        <v>1386</v>
      </c>
      <c r="B167" s="6" t="s">
        <v>1387</v>
      </c>
      <c r="C167" s="6" t="s">
        <v>1388</v>
      </c>
      <c r="D167" s="6" t="s">
        <v>1389</v>
      </c>
      <c r="E167" s="6" t="s">
        <v>1325</v>
      </c>
      <c r="F167" s="6" t="s">
        <v>120</v>
      </c>
      <c r="G167" s="6" t="s">
        <v>1390</v>
      </c>
      <c r="H167" s="7">
        <v>1.0</v>
      </c>
      <c r="I167" s="7">
        <v>17.0</v>
      </c>
      <c r="J167" s="7">
        <v>2.0</v>
      </c>
      <c r="K167" s="7">
        <v>12.0</v>
      </c>
      <c r="L167" s="8" t="s">
        <v>1328</v>
      </c>
      <c r="M167" s="6" t="s">
        <v>1391</v>
      </c>
      <c r="N167" s="6" t="s">
        <v>1181</v>
      </c>
      <c r="O167" s="8" t="s">
        <v>1182</v>
      </c>
      <c r="P167" s="6" t="s">
        <v>1330</v>
      </c>
      <c r="Q167" s="6" t="s">
        <v>1331</v>
      </c>
      <c r="R167" s="6" t="s">
        <v>1185</v>
      </c>
      <c r="S167" s="8" t="s">
        <v>1332</v>
      </c>
      <c r="T167" s="6" t="s">
        <v>66</v>
      </c>
      <c r="U167" s="8" t="s">
        <v>31</v>
      </c>
      <c r="V167" s="6" t="s">
        <v>152</v>
      </c>
      <c r="W167" s="6" t="s">
        <v>1392</v>
      </c>
      <c r="X167" s="9" t="str">
        <f>HYPERLINK("https://my.pitchbook.com?p=73863-91P","View People Online")</f>
        <v>View People Online</v>
      </c>
    </row>
    <row r="168">
      <c r="A168" s="2" t="s">
        <v>1393</v>
      </c>
      <c r="B168" s="2" t="s">
        <v>1394</v>
      </c>
      <c r="C168" s="2" t="s">
        <v>1395</v>
      </c>
      <c r="D168" s="2" t="s">
        <v>1396</v>
      </c>
      <c r="E168" s="2" t="s">
        <v>1325</v>
      </c>
      <c r="F168" s="2" t="s">
        <v>502</v>
      </c>
      <c r="G168" s="2" t="s">
        <v>1397</v>
      </c>
      <c r="H168" s="3" t="s">
        <v>31</v>
      </c>
      <c r="I168" s="3">
        <v>1.0</v>
      </c>
      <c r="J168" s="3">
        <v>1.0</v>
      </c>
      <c r="K168" s="3" t="s">
        <v>31</v>
      </c>
      <c r="L168" s="4" t="s">
        <v>1328</v>
      </c>
      <c r="M168" s="2" t="s">
        <v>1398</v>
      </c>
      <c r="N168" s="2" t="s">
        <v>1181</v>
      </c>
      <c r="O168" s="4" t="s">
        <v>1182</v>
      </c>
      <c r="P168" s="2" t="s">
        <v>1330</v>
      </c>
      <c r="Q168" s="2" t="s">
        <v>1331</v>
      </c>
      <c r="R168" s="2" t="s">
        <v>1185</v>
      </c>
      <c r="S168" s="4" t="s">
        <v>1332</v>
      </c>
      <c r="T168" s="2" t="s">
        <v>66</v>
      </c>
      <c r="U168" s="4" t="s">
        <v>31</v>
      </c>
      <c r="V168" s="2" t="s">
        <v>502</v>
      </c>
      <c r="W168" s="2" t="s">
        <v>1325</v>
      </c>
      <c r="X168" s="5" t="str">
        <f>HYPERLINK("https://my.pitchbook.com?p=15354-37P","View People Online")</f>
        <v>View People Online</v>
      </c>
    </row>
    <row r="169">
      <c r="A169" s="14" t="s">
        <v>1399</v>
      </c>
      <c r="B169" s="14" t="s">
        <v>1400</v>
      </c>
      <c r="C169" s="14" t="s">
        <v>1401</v>
      </c>
      <c r="D169" s="14" t="s">
        <v>1402</v>
      </c>
      <c r="E169" s="14" t="s">
        <v>1325</v>
      </c>
      <c r="F169" s="14" t="s">
        <v>1403</v>
      </c>
      <c r="G169" s="14" t="s">
        <v>1404</v>
      </c>
      <c r="H169" s="15" t="s">
        <v>31</v>
      </c>
      <c r="I169" s="15">
        <v>1.0</v>
      </c>
      <c r="J169" s="15">
        <v>1.0</v>
      </c>
      <c r="K169" s="15" t="s">
        <v>31</v>
      </c>
      <c r="L169" s="16" t="s">
        <v>1405</v>
      </c>
      <c r="M169" s="14" t="s">
        <v>1406</v>
      </c>
      <c r="N169" s="14" t="s">
        <v>1181</v>
      </c>
      <c r="O169" s="16" t="s">
        <v>1182</v>
      </c>
      <c r="P169" s="14" t="s">
        <v>1330</v>
      </c>
      <c r="Q169" s="14" t="s">
        <v>1331</v>
      </c>
      <c r="R169" s="14" t="s">
        <v>1185</v>
      </c>
      <c r="S169" s="16" t="s">
        <v>1332</v>
      </c>
      <c r="T169" s="14" t="s">
        <v>66</v>
      </c>
      <c r="U169" s="16" t="s">
        <v>31</v>
      </c>
      <c r="V169" s="14" t="s">
        <v>1407</v>
      </c>
      <c r="W169" s="14" t="s">
        <v>1325</v>
      </c>
      <c r="X169" s="17" t="str">
        <f>HYPERLINK("https://my.pitchbook.com?p=44624-80P","View People Online")</f>
        <v>View People Online</v>
      </c>
    </row>
    <row r="170">
      <c r="A170" s="2" t="s">
        <v>1408</v>
      </c>
      <c r="B170" s="2" t="s">
        <v>1409</v>
      </c>
      <c r="C170" s="2" t="s">
        <v>1410</v>
      </c>
      <c r="D170" s="2" t="s">
        <v>1411</v>
      </c>
      <c r="E170" s="2" t="s">
        <v>1412</v>
      </c>
      <c r="F170" s="2" t="s">
        <v>81</v>
      </c>
      <c r="G170" s="2" t="s">
        <v>1413</v>
      </c>
      <c r="H170" s="3" t="s">
        <v>31</v>
      </c>
      <c r="I170" s="3">
        <v>2.0</v>
      </c>
      <c r="J170" s="3">
        <v>1.0</v>
      </c>
      <c r="K170" s="3" t="s">
        <v>31</v>
      </c>
      <c r="L170" s="4" t="s">
        <v>1414</v>
      </c>
      <c r="M170" s="2" t="s">
        <v>1415</v>
      </c>
      <c r="N170" s="2" t="s">
        <v>1416</v>
      </c>
      <c r="O170" s="4" t="s">
        <v>1417</v>
      </c>
      <c r="P170" s="2" t="s">
        <v>1418</v>
      </c>
      <c r="Q170" s="2" t="s">
        <v>1419</v>
      </c>
      <c r="R170" s="2" t="s">
        <v>1420</v>
      </c>
      <c r="S170" s="4" t="s">
        <v>1421</v>
      </c>
      <c r="T170" s="2" t="s">
        <v>66</v>
      </c>
      <c r="U170" s="4" t="s">
        <v>31</v>
      </c>
      <c r="V170" s="2" t="s">
        <v>1422</v>
      </c>
      <c r="W170" s="2" t="s">
        <v>1423</v>
      </c>
      <c r="X170" s="5" t="str">
        <f>HYPERLINK("https://my.pitchbook.com?p=227570-41P","View People Online")</f>
        <v>View People Online</v>
      </c>
    </row>
    <row r="171">
      <c r="A171" s="14" t="s">
        <v>1424</v>
      </c>
      <c r="B171" s="14" t="s">
        <v>1425</v>
      </c>
      <c r="C171" s="14" t="s">
        <v>1426</v>
      </c>
      <c r="D171" s="14" t="s">
        <v>1427</v>
      </c>
      <c r="E171" s="14" t="s">
        <v>1412</v>
      </c>
      <c r="F171" s="14" t="s">
        <v>114</v>
      </c>
      <c r="G171" s="14" t="s">
        <v>1428</v>
      </c>
      <c r="H171" s="15">
        <v>4.0</v>
      </c>
      <c r="I171" s="15">
        <v>305.0</v>
      </c>
      <c r="J171" s="15">
        <v>2.0</v>
      </c>
      <c r="K171" s="15">
        <v>290.0</v>
      </c>
      <c r="L171" s="16" t="s">
        <v>1429</v>
      </c>
      <c r="M171" s="14" t="s">
        <v>31</v>
      </c>
      <c r="N171" s="14" t="s">
        <v>75</v>
      </c>
      <c r="O171" s="16" t="s">
        <v>76</v>
      </c>
      <c r="P171" s="14" t="s">
        <v>1430</v>
      </c>
      <c r="Q171" s="14" t="s">
        <v>1431</v>
      </c>
      <c r="R171" s="14" t="s">
        <v>75</v>
      </c>
      <c r="S171" s="16" t="s">
        <v>1432</v>
      </c>
      <c r="T171" s="14" t="s">
        <v>66</v>
      </c>
      <c r="U171" s="16" t="s">
        <v>31</v>
      </c>
      <c r="V171" s="14" t="s">
        <v>1433</v>
      </c>
      <c r="W171" s="14" t="s">
        <v>1434</v>
      </c>
      <c r="X171" s="17" t="str">
        <f>HYPERLINK("https://my.pitchbook.com?p=57937-87P","View People Online")</f>
        <v>View People Online</v>
      </c>
    </row>
    <row r="172">
      <c r="A172" s="2" t="s">
        <v>1435</v>
      </c>
      <c r="B172" s="2" t="s">
        <v>1436</v>
      </c>
      <c r="C172" s="2" t="s">
        <v>1437</v>
      </c>
      <c r="D172" s="2" t="s">
        <v>1438</v>
      </c>
      <c r="E172" s="2" t="s">
        <v>1412</v>
      </c>
      <c r="F172" s="2" t="s">
        <v>502</v>
      </c>
      <c r="G172" s="2" t="s">
        <v>1439</v>
      </c>
      <c r="H172" s="3" t="s">
        <v>31</v>
      </c>
      <c r="I172" s="3">
        <v>1.0</v>
      </c>
      <c r="J172" s="3">
        <v>1.0</v>
      </c>
      <c r="K172" s="3" t="s">
        <v>31</v>
      </c>
      <c r="L172" s="4" t="s">
        <v>1440</v>
      </c>
      <c r="M172" s="2" t="s">
        <v>1441</v>
      </c>
      <c r="N172" s="2" t="s">
        <v>1442</v>
      </c>
      <c r="O172" s="4" t="s">
        <v>1443</v>
      </c>
      <c r="P172" s="2" t="s">
        <v>1444</v>
      </c>
      <c r="Q172" s="2" t="s">
        <v>31</v>
      </c>
      <c r="R172" s="2" t="s">
        <v>1277</v>
      </c>
      <c r="S172" s="4" t="s">
        <v>1445</v>
      </c>
      <c r="T172" s="2" t="s">
        <v>66</v>
      </c>
      <c r="U172" s="4" t="s">
        <v>1446</v>
      </c>
      <c r="V172" s="2" t="s">
        <v>502</v>
      </c>
      <c r="W172" s="2" t="s">
        <v>1412</v>
      </c>
      <c r="X172" s="5" t="str">
        <f>HYPERLINK("https://my.pitchbook.com?p=75962-62P","View People Online")</f>
        <v>View People Online</v>
      </c>
    </row>
    <row r="173">
      <c r="A173" s="14" t="s">
        <v>1447</v>
      </c>
      <c r="B173" s="14" t="s">
        <v>1448</v>
      </c>
      <c r="C173" s="14" t="s">
        <v>1449</v>
      </c>
      <c r="D173" s="14" t="s">
        <v>1450</v>
      </c>
      <c r="E173" s="14" t="s">
        <v>1412</v>
      </c>
      <c r="F173" s="14" t="s">
        <v>114</v>
      </c>
      <c r="G173" s="14" t="s">
        <v>1451</v>
      </c>
      <c r="H173" s="15" t="s">
        <v>31</v>
      </c>
      <c r="I173" s="15">
        <v>3.0</v>
      </c>
      <c r="J173" s="15">
        <v>3.0</v>
      </c>
      <c r="K173" s="15" t="s">
        <v>31</v>
      </c>
      <c r="L173" s="16" t="s">
        <v>1452</v>
      </c>
      <c r="M173" s="14" t="s">
        <v>1453</v>
      </c>
      <c r="N173" s="14" t="s">
        <v>1454</v>
      </c>
      <c r="O173" s="16" t="s">
        <v>1455</v>
      </c>
      <c r="P173" s="14" t="s">
        <v>1456</v>
      </c>
      <c r="Q173" s="14" t="s">
        <v>1457</v>
      </c>
      <c r="R173" s="14" t="s">
        <v>93</v>
      </c>
      <c r="S173" s="16" t="s">
        <v>1458</v>
      </c>
      <c r="T173" s="14" t="s">
        <v>66</v>
      </c>
      <c r="U173" s="16" t="s">
        <v>31</v>
      </c>
      <c r="V173" s="14" t="s">
        <v>1459</v>
      </c>
      <c r="W173" s="14" t="s">
        <v>1460</v>
      </c>
      <c r="X173" s="17" t="str">
        <f>HYPERLINK("https://my.pitchbook.com?p=151287-40P","View People Online")</f>
        <v>View People Online</v>
      </c>
    </row>
    <row r="174">
      <c r="A174" s="10" t="s">
        <v>1461</v>
      </c>
      <c r="B174" s="10" t="s">
        <v>1462</v>
      </c>
      <c r="C174" s="10" t="s">
        <v>1463</v>
      </c>
      <c r="D174" s="10" t="s">
        <v>1464</v>
      </c>
      <c r="E174" s="10" t="s">
        <v>1412</v>
      </c>
      <c r="F174" s="10" t="s">
        <v>270</v>
      </c>
      <c r="G174" s="10" t="s">
        <v>1465</v>
      </c>
      <c r="H174" s="11" t="s">
        <v>31</v>
      </c>
      <c r="I174" s="11">
        <v>1.0</v>
      </c>
      <c r="J174" s="11">
        <v>1.0</v>
      </c>
      <c r="K174" s="11" t="s">
        <v>31</v>
      </c>
      <c r="L174" s="12" t="s">
        <v>1466</v>
      </c>
      <c r="M174" s="10" t="s">
        <v>1467</v>
      </c>
      <c r="N174" s="10" t="s">
        <v>1442</v>
      </c>
      <c r="O174" s="12" t="s">
        <v>1443</v>
      </c>
      <c r="P174" s="10" t="s">
        <v>1444</v>
      </c>
      <c r="Q174" s="10" t="s">
        <v>31</v>
      </c>
      <c r="R174" s="10" t="s">
        <v>1277</v>
      </c>
      <c r="S174" s="12" t="s">
        <v>1445</v>
      </c>
      <c r="T174" s="10" t="s">
        <v>66</v>
      </c>
      <c r="U174" s="12" t="s">
        <v>1468</v>
      </c>
      <c r="V174" s="10" t="s">
        <v>662</v>
      </c>
      <c r="W174" s="10" t="s">
        <v>1412</v>
      </c>
      <c r="X174" s="13" t="str">
        <f>HYPERLINK("https://my.pitchbook.com?p=366209-38P","View People Online")</f>
        <v>View People Online</v>
      </c>
    </row>
    <row r="175">
      <c r="A175" s="14" t="s">
        <v>1469</v>
      </c>
      <c r="B175" s="14" t="s">
        <v>1470</v>
      </c>
      <c r="C175" s="14" t="s">
        <v>1471</v>
      </c>
      <c r="D175" s="14" t="s">
        <v>1472</v>
      </c>
      <c r="E175" s="14" t="s">
        <v>1412</v>
      </c>
      <c r="F175" s="14" t="s">
        <v>114</v>
      </c>
      <c r="G175" s="14" t="s">
        <v>1473</v>
      </c>
      <c r="H175" s="15">
        <v>1.0</v>
      </c>
      <c r="I175" s="15">
        <v>15.0</v>
      </c>
      <c r="J175" s="15">
        <v>2.0</v>
      </c>
      <c r="K175" s="15">
        <v>6.0</v>
      </c>
      <c r="L175" s="16" t="s">
        <v>1474</v>
      </c>
      <c r="M175" s="14" t="s">
        <v>1475</v>
      </c>
      <c r="N175" s="14" t="s">
        <v>75</v>
      </c>
      <c r="O175" s="16" t="s">
        <v>76</v>
      </c>
      <c r="P175" s="14" t="s">
        <v>1476</v>
      </c>
      <c r="Q175" s="14" t="s">
        <v>1477</v>
      </c>
      <c r="R175" s="14" t="s">
        <v>75</v>
      </c>
      <c r="S175" s="16" t="s">
        <v>1478</v>
      </c>
      <c r="T175" s="14" t="s">
        <v>66</v>
      </c>
      <c r="U175" s="16" t="s">
        <v>31</v>
      </c>
      <c r="V175" s="14" t="s">
        <v>991</v>
      </c>
      <c r="W175" s="14" t="s">
        <v>1479</v>
      </c>
      <c r="X175" s="17" t="str">
        <f>HYPERLINK("https://my.pitchbook.com?p=248096-98P","View People Online")</f>
        <v>View People Online</v>
      </c>
    </row>
    <row r="176">
      <c r="A176" s="2" t="s">
        <v>1480</v>
      </c>
      <c r="B176" s="2" t="s">
        <v>1481</v>
      </c>
      <c r="C176" s="2" t="s">
        <v>1482</v>
      </c>
      <c r="D176" s="2" t="s">
        <v>1483</v>
      </c>
      <c r="E176" s="2" t="s">
        <v>1412</v>
      </c>
      <c r="F176" s="2" t="s">
        <v>674</v>
      </c>
      <c r="G176" s="2" t="s">
        <v>1484</v>
      </c>
      <c r="H176" s="3">
        <v>2.0</v>
      </c>
      <c r="I176" s="3">
        <v>73.0</v>
      </c>
      <c r="J176" s="3">
        <v>1.0</v>
      </c>
      <c r="K176" s="3">
        <v>60.0</v>
      </c>
      <c r="L176" s="4" t="s">
        <v>1485</v>
      </c>
      <c r="M176" s="2" t="s">
        <v>1486</v>
      </c>
      <c r="N176" s="2" t="s">
        <v>1442</v>
      </c>
      <c r="O176" s="4" t="s">
        <v>1443</v>
      </c>
      <c r="P176" s="2" t="s">
        <v>1444</v>
      </c>
      <c r="Q176" s="2" t="s">
        <v>31</v>
      </c>
      <c r="R176" s="2" t="s">
        <v>1277</v>
      </c>
      <c r="S176" s="4" t="s">
        <v>1445</v>
      </c>
      <c r="T176" s="2" t="s">
        <v>66</v>
      </c>
      <c r="U176" s="4" t="s">
        <v>1468</v>
      </c>
      <c r="V176" s="2" t="s">
        <v>674</v>
      </c>
      <c r="W176" s="2" t="s">
        <v>1412</v>
      </c>
      <c r="X176" s="5" t="str">
        <f>HYPERLINK("https://my.pitchbook.com?p=88632-73P","View People Online")</f>
        <v>View People Online</v>
      </c>
    </row>
    <row r="177">
      <c r="A177" s="14" t="s">
        <v>1487</v>
      </c>
      <c r="B177" s="14" t="s">
        <v>1488</v>
      </c>
      <c r="C177" s="14" t="s">
        <v>1489</v>
      </c>
      <c r="D177" s="14" t="s">
        <v>1490</v>
      </c>
      <c r="E177" s="14" t="s">
        <v>1412</v>
      </c>
      <c r="F177" s="14" t="s">
        <v>114</v>
      </c>
      <c r="G177" s="14" t="s">
        <v>1491</v>
      </c>
      <c r="H177" s="15" t="s">
        <v>31</v>
      </c>
      <c r="I177" s="15">
        <v>1.0</v>
      </c>
      <c r="J177" s="15">
        <v>1.0</v>
      </c>
      <c r="K177" s="15" t="s">
        <v>31</v>
      </c>
      <c r="L177" s="16" t="s">
        <v>1485</v>
      </c>
      <c r="M177" s="14" t="s">
        <v>31</v>
      </c>
      <c r="N177" s="14" t="s">
        <v>1442</v>
      </c>
      <c r="O177" s="16" t="s">
        <v>1443</v>
      </c>
      <c r="P177" s="14" t="s">
        <v>1444</v>
      </c>
      <c r="Q177" s="14" t="s">
        <v>31</v>
      </c>
      <c r="R177" s="14" t="s">
        <v>1277</v>
      </c>
      <c r="S177" s="16" t="s">
        <v>1445</v>
      </c>
      <c r="T177" s="14" t="s">
        <v>66</v>
      </c>
      <c r="U177" s="16" t="s">
        <v>1468</v>
      </c>
      <c r="V177" s="14" t="s">
        <v>1492</v>
      </c>
      <c r="W177" s="14" t="s">
        <v>1412</v>
      </c>
      <c r="X177" s="17" t="str">
        <f>HYPERLINK("https://my.pitchbook.com?p=408328-75P","View People Online")</f>
        <v>View People Online</v>
      </c>
    </row>
    <row r="178">
      <c r="A178" s="10" t="s">
        <v>1493</v>
      </c>
      <c r="B178" s="10" t="s">
        <v>1494</v>
      </c>
      <c r="C178" s="10" t="s">
        <v>1495</v>
      </c>
      <c r="D178" s="10" t="s">
        <v>1496</v>
      </c>
      <c r="E178" s="10" t="s">
        <v>1412</v>
      </c>
      <c r="F178" s="10" t="s">
        <v>43</v>
      </c>
      <c r="G178" s="10" t="s">
        <v>1497</v>
      </c>
      <c r="H178" s="11" t="s">
        <v>31</v>
      </c>
      <c r="I178" s="11">
        <v>10.0</v>
      </c>
      <c r="J178" s="11">
        <v>1.0</v>
      </c>
      <c r="K178" s="11">
        <v>4.0</v>
      </c>
      <c r="L178" s="12" t="s">
        <v>1498</v>
      </c>
      <c r="M178" s="10" t="s">
        <v>1499</v>
      </c>
      <c r="N178" s="10" t="s">
        <v>1442</v>
      </c>
      <c r="O178" s="12" t="s">
        <v>1443</v>
      </c>
      <c r="P178" s="10" t="s">
        <v>1444</v>
      </c>
      <c r="Q178" s="10" t="s">
        <v>31</v>
      </c>
      <c r="R178" s="10" t="s">
        <v>1277</v>
      </c>
      <c r="S178" s="12" t="s">
        <v>1445</v>
      </c>
      <c r="T178" s="10" t="s">
        <v>66</v>
      </c>
      <c r="U178" s="12" t="s">
        <v>1468</v>
      </c>
      <c r="V178" s="10" t="s">
        <v>43</v>
      </c>
      <c r="W178" s="10" t="s">
        <v>1412</v>
      </c>
      <c r="X178" s="13" t="str">
        <f>HYPERLINK("https://my.pitchbook.com?p=166323-52P","View People Online")</f>
        <v>View People Online</v>
      </c>
    </row>
    <row r="179">
      <c r="A179" s="6" t="s">
        <v>1500</v>
      </c>
      <c r="B179" s="6" t="s">
        <v>1501</v>
      </c>
      <c r="C179" s="6" t="s">
        <v>1502</v>
      </c>
      <c r="D179" s="6" t="s">
        <v>1503</v>
      </c>
      <c r="E179" s="6" t="s">
        <v>1412</v>
      </c>
      <c r="F179" s="6" t="s">
        <v>29</v>
      </c>
      <c r="G179" s="6" t="s">
        <v>1504</v>
      </c>
      <c r="H179" s="7" t="s">
        <v>31</v>
      </c>
      <c r="I179" s="7">
        <v>17.0</v>
      </c>
      <c r="J179" s="7">
        <v>1.0</v>
      </c>
      <c r="K179" s="7">
        <v>14.0</v>
      </c>
      <c r="L179" s="8" t="s">
        <v>1485</v>
      </c>
      <c r="M179" s="6" t="s">
        <v>1505</v>
      </c>
      <c r="N179" s="6" t="s">
        <v>1442</v>
      </c>
      <c r="O179" s="8" t="s">
        <v>1443</v>
      </c>
      <c r="P179" s="6" t="s">
        <v>1444</v>
      </c>
      <c r="Q179" s="6" t="s">
        <v>31</v>
      </c>
      <c r="R179" s="6" t="s">
        <v>1277</v>
      </c>
      <c r="S179" s="8" t="s">
        <v>1445</v>
      </c>
      <c r="T179" s="6" t="s">
        <v>66</v>
      </c>
      <c r="U179" s="8" t="s">
        <v>1468</v>
      </c>
      <c r="V179" s="6" t="s">
        <v>1506</v>
      </c>
      <c r="W179" s="6" t="s">
        <v>1412</v>
      </c>
      <c r="X179" s="9" t="str">
        <f>HYPERLINK("https://my.pitchbook.com?p=53805-79P","View People Online")</f>
        <v>View People Online</v>
      </c>
    </row>
    <row r="180">
      <c r="A180" s="2" t="s">
        <v>1507</v>
      </c>
      <c r="B180" s="2" t="s">
        <v>1508</v>
      </c>
      <c r="C180" s="2" t="s">
        <v>126</v>
      </c>
      <c r="D180" s="2" t="s">
        <v>1509</v>
      </c>
      <c r="E180" s="2" t="s">
        <v>1412</v>
      </c>
      <c r="F180" s="2" t="s">
        <v>114</v>
      </c>
      <c r="G180" s="2" t="s">
        <v>1510</v>
      </c>
      <c r="H180" s="3" t="s">
        <v>31</v>
      </c>
      <c r="I180" s="3">
        <v>1.0</v>
      </c>
      <c r="J180" s="3">
        <v>1.0</v>
      </c>
      <c r="K180" s="3" t="s">
        <v>31</v>
      </c>
      <c r="L180" s="4" t="s">
        <v>1485</v>
      </c>
      <c r="M180" s="2" t="s">
        <v>31</v>
      </c>
      <c r="N180" s="2" t="s">
        <v>1442</v>
      </c>
      <c r="O180" s="4" t="s">
        <v>1443</v>
      </c>
      <c r="P180" s="2" t="s">
        <v>1444</v>
      </c>
      <c r="Q180" s="2" t="s">
        <v>31</v>
      </c>
      <c r="R180" s="2" t="s">
        <v>1277</v>
      </c>
      <c r="S180" s="4" t="s">
        <v>1445</v>
      </c>
      <c r="T180" s="2" t="s">
        <v>66</v>
      </c>
      <c r="U180" s="4" t="s">
        <v>1468</v>
      </c>
      <c r="V180" s="2" t="s">
        <v>114</v>
      </c>
      <c r="W180" s="2" t="s">
        <v>1412</v>
      </c>
      <c r="X180" s="5" t="str">
        <f>HYPERLINK("https://my.pitchbook.com?p=71417-80P","View People Online")</f>
        <v>View People Online</v>
      </c>
    </row>
    <row r="181">
      <c r="A181" s="6" t="s">
        <v>1511</v>
      </c>
      <c r="B181" s="6" t="s">
        <v>1512</v>
      </c>
      <c r="C181" s="6" t="s">
        <v>1513</v>
      </c>
      <c r="D181" s="6" t="s">
        <v>1514</v>
      </c>
      <c r="E181" s="6" t="s">
        <v>1412</v>
      </c>
      <c r="F181" s="6" t="s">
        <v>78</v>
      </c>
      <c r="G181" s="6" t="s">
        <v>1515</v>
      </c>
      <c r="H181" s="7" t="s">
        <v>31</v>
      </c>
      <c r="I181" s="7">
        <v>1.0</v>
      </c>
      <c r="J181" s="7">
        <v>1.0</v>
      </c>
      <c r="K181" s="7" t="s">
        <v>31</v>
      </c>
      <c r="L181" s="8" t="s">
        <v>1516</v>
      </c>
      <c r="M181" s="6" t="s">
        <v>1517</v>
      </c>
      <c r="N181" s="6" t="s">
        <v>1442</v>
      </c>
      <c r="O181" s="8" t="s">
        <v>1443</v>
      </c>
      <c r="P181" s="6" t="s">
        <v>1444</v>
      </c>
      <c r="Q181" s="6" t="s">
        <v>31</v>
      </c>
      <c r="R181" s="6" t="s">
        <v>1277</v>
      </c>
      <c r="S181" s="8" t="s">
        <v>1445</v>
      </c>
      <c r="T181" s="6" t="s">
        <v>66</v>
      </c>
      <c r="U181" s="8" t="s">
        <v>1468</v>
      </c>
      <c r="V181" s="6" t="s">
        <v>78</v>
      </c>
      <c r="W181" s="6" t="s">
        <v>1412</v>
      </c>
      <c r="X181" s="9" t="str">
        <f>HYPERLINK("https://my.pitchbook.com?p=200083-87P","View People Online")</f>
        <v>View People Online</v>
      </c>
    </row>
    <row r="182">
      <c r="A182" s="2" t="s">
        <v>1518</v>
      </c>
      <c r="B182" s="2" t="s">
        <v>1519</v>
      </c>
      <c r="C182" s="2" t="s">
        <v>1520</v>
      </c>
      <c r="D182" s="2" t="s">
        <v>1521</v>
      </c>
      <c r="E182" s="2" t="s">
        <v>1412</v>
      </c>
      <c r="F182" s="2" t="s">
        <v>114</v>
      </c>
      <c r="G182" s="2" t="s">
        <v>1522</v>
      </c>
      <c r="H182" s="3" t="s">
        <v>31</v>
      </c>
      <c r="I182" s="3">
        <v>2.0</v>
      </c>
      <c r="J182" s="3">
        <v>2.0</v>
      </c>
      <c r="K182" s="3" t="s">
        <v>31</v>
      </c>
      <c r="L182" s="4" t="s">
        <v>1523</v>
      </c>
      <c r="M182" s="2" t="s">
        <v>1524</v>
      </c>
      <c r="N182" s="2" t="s">
        <v>1525</v>
      </c>
      <c r="O182" s="4" t="s">
        <v>1526</v>
      </c>
      <c r="P182" s="2" t="s">
        <v>1527</v>
      </c>
      <c r="Q182" s="2" t="s">
        <v>31</v>
      </c>
      <c r="R182" s="2" t="s">
        <v>31</v>
      </c>
      <c r="S182" s="4" t="s">
        <v>1528</v>
      </c>
      <c r="T182" s="2" t="s">
        <v>422</v>
      </c>
      <c r="U182" s="4" t="s">
        <v>31</v>
      </c>
      <c r="V182" s="2" t="s">
        <v>1529</v>
      </c>
      <c r="W182" s="2" t="s">
        <v>1530</v>
      </c>
      <c r="X182" s="5" t="str">
        <f>HYPERLINK("https://my.pitchbook.com?p=42094-00P","View People Online")</f>
        <v>View People Online</v>
      </c>
    </row>
    <row r="183">
      <c r="A183" s="6" t="s">
        <v>1531</v>
      </c>
      <c r="B183" s="6" t="s">
        <v>1532</v>
      </c>
      <c r="C183" s="6" t="s">
        <v>1533</v>
      </c>
      <c r="D183" s="6" t="s">
        <v>1534</v>
      </c>
      <c r="E183" s="6" t="s">
        <v>1412</v>
      </c>
      <c r="F183" s="6" t="s">
        <v>29</v>
      </c>
      <c r="G183" s="6" t="s">
        <v>1535</v>
      </c>
      <c r="H183" s="7" t="s">
        <v>31</v>
      </c>
      <c r="I183" s="7">
        <v>4.0</v>
      </c>
      <c r="J183" s="7">
        <v>1.0</v>
      </c>
      <c r="K183" s="7">
        <v>2.0</v>
      </c>
      <c r="L183" s="8" t="s">
        <v>1536</v>
      </c>
      <c r="M183" s="6" t="s">
        <v>1537</v>
      </c>
      <c r="N183" s="6" t="s">
        <v>1442</v>
      </c>
      <c r="O183" s="8" t="s">
        <v>1443</v>
      </c>
      <c r="P183" s="6" t="s">
        <v>1444</v>
      </c>
      <c r="Q183" s="6" t="s">
        <v>31</v>
      </c>
      <c r="R183" s="6" t="s">
        <v>1277</v>
      </c>
      <c r="S183" s="8" t="s">
        <v>1445</v>
      </c>
      <c r="T183" s="6" t="s">
        <v>66</v>
      </c>
      <c r="U183" s="8" t="s">
        <v>1468</v>
      </c>
      <c r="V183" s="6" t="s">
        <v>1538</v>
      </c>
      <c r="W183" s="6" t="s">
        <v>1412</v>
      </c>
      <c r="X183" s="9" t="str">
        <f>HYPERLINK("https://my.pitchbook.com?p=116664-31P","View People Online")</f>
        <v>View People Online</v>
      </c>
    </row>
    <row r="184">
      <c r="A184" s="2" t="s">
        <v>1539</v>
      </c>
      <c r="B184" s="2" t="s">
        <v>1540</v>
      </c>
      <c r="C184" s="2" t="s">
        <v>1541</v>
      </c>
      <c r="D184" s="2" t="s">
        <v>1542</v>
      </c>
      <c r="E184" s="2" t="s">
        <v>1543</v>
      </c>
      <c r="F184" s="2" t="s">
        <v>1544</v>
      </c>
      <c r="G184" s="2" t="s">
        <v>1545</v>
      </c>
      <c r="H184" s="3" t="s">
        <v>31</v>
      </c>
      <c r="I184" s="3">
        <v>2.0</v>
      </c>
      <c r="J184" s="3">
        <v>1.0</v>
      </c>
      <c r="K184" s="3" t="s">
        <v>31</v>
      </c>
      <c r="L184" s="4" t="s">
        <v>31</v>
      </c>
      <c r="M184" s="2" t="s">
        <v>1546</v>
      </c>
      <c r="N184" s="2" t="s">
        <v>155</v>
      </c>
      <c r="O184" s="4" t="s">
        <v>156</v>
      </c>
      <c r="P184" s="2" t="s">
        <v>1547</v>
      </c>
      <c r="Q184" s="2" t="s">
        <v>1548</v>
      </c>
      <c r="R184" s="2" t="s">
        <v>64</v>
      </c>
      <c r="S184" s="4" t="s">
        <v>1549</v>
      </c>
      <c r="T184" s="2" t="s">
        <v>66</v>
      </c>
      <c r="U184" s="4" t="s">
        <v>31</v>
      </c>
      <c r="V184" s="2" t="s">
        <v>1550</v>
      </c>
      <c r="W184" s="2" t="s">
        <v>1543</v>
      </c>
      <c r="X184" s="5" t="str">
        <f>HYPERLINK("https://my.pitchbook.com?p=186641-20P","View People Online")</f>
        <v>View People Online</v>
      </c>
    </row>
    <row r="185">
      <c r="A185" s="6" t="s">
        <v>1551</v>
      </c>
      <c r="B185" s="6" t="s">
        <v>1552</v>
      </c>
      <c r="C185" s="6" t="s">
        <v>1553</v>
      </c>
      <c r="D185" s="6" t="s">
        <v>343</v>
      </c>
      <c r="E185" s="6" t="s">
        <v>1543</v>
      </c>
      <c r="F185" s="6" t="s">
        <v>57</v>
      </c>
      <c r="G185" s="6" t="s">
        <v>1554</v>
      </c>
      <c r="H185" s="7">
        <v>2.0</v>
      </c>
      <c r="I185" s="7">
        <v>23.0</v>
      </c>
      <c r="J185" s="7">
        <v>1.0</v>
      </c>
      <c r="K185" s="7">
        <v>15.0</v>
      </c>
      <c r="L185" s="8" t="s">
        <v>1555</v>
      </c>
      <c r="M185" s="6" t="s">
        <v>1556</v>
      </c>
      <c r="N185" s="6" t="s">
        <v>155</v>
      </c>
      <c r="O185" s="8" t="s">
        <v>156</v>
      </c>
      <c r="P185" s="6" t="s">
        <v>1547</v>
      </c>
      <c r="Q185" s="6" t="s">
        <v>1548</v>
      </c>
      <c r="R185" s="6" t="s">
        <v>64</v>
      </c>
      <c r="S185" s="8" t="s">
        <v>1549</v>
      </c>
      <c r="T185" s="6" t="s">
        <v>66</v>
      </c>
      <c r="U185" s="8" t="s">
        <v>31</v>
      </c>
      <c r="V185" s="6" t="s">
        <v>57</v>
      </c>
      <c r="W185" s="6" t="s">
        <v>1543</v>
      </c>
      <c r="X185" s="9" t="str">
        <f>HYPERLINK("https://my.pitchbook.com?p=36576-55P","View People Online")</f>
        <v>View People Online</v>
      </c>
    </row>
    <row r="186">
      <c r="A186" s="10" t="s">
        <v>1557</v>
      </c>
      <c r="B186" s="10" t="s">
        <v>1558</v>
      </c>
      <c r="C186" s="10" t="s">
        <v>1559</v>
      </c>
      <c r="D186" s="10" t="s">
        <v>1560</v>
      </c>
      <c r="E186" s="10" t="s">
        <v>1543</v>
      </c>
      <c r="F186" s="10" t="s">
        <v>201</v>
      </c>
      <c r="G186" s="10" t="s">
        <v>1561</v>
      </c>
      <c r="H186" s="11" t="s">
        <v>31</v>
      </c>
      <c r="I186" s="11">
        <v>3.0</v>
      </c>
      <c r="J186" s="11">
        <v>1.0</v>
      </c>
      <c r="K186" s="11" t="s">
        <v>31</v>
      </c>
      <c r="L186" s="12" t="s">
        <v>1562</v>
      </c>
      <c r="M186" s="10" t="s">
        <v>1563</v>
      </c>
      <c r="N186" s="10" t="s">
        <v>155</v>
      </c>
      <c r="O186" s="12" t="s">
        <v>156</v>
      </c>
      <c r="P186" s="10" t="s">
        <v>1547</v>
      </c>
      <c r="Q186" s="10" t="s">
        <v>1548</v>
      </c>
      <c r="R186" s="10" t="s">
        <v>64</v>
      </c>
      <c r="S186" s="12" t="s">
        <v>1549</v>
      </c>
      <c r="T186" s="10" t="s">
        <v>66</v>
      </c>
      <c r="U186" s="12" t="s">
        <v>31</v>
      </c>
      <c r="V186" s="10" t="s">
        <v>201</v>
      </c>
      <c r="W186" s="10" t="s">
        <v>1543</v>
      </c>
      <c r="X186" s="13" t="str">
        <f>HYPERLINK("https://my.pitchbook.com?p=293907-97P","View People Online")</f>
        <v>View People Online</v>
      </c>
    </row>
    <row r="187">
      <c r="A187" s="14" t="s">
        <v>1564</v>
      </c>
      <c r="B187" s="14" t="s">
        <v>1565</v>
      </c>
      <c r="C187" s="14" t="s">
        <v>1449</v>
      </c>
      <c r="D187" s="14" t="s">
        <v>1566</v>
      </c>
      <c r="E187" s="14" t="s">
        <v>1543</v>
      </c>
      <c r="F187" s="14" t="s">
        <v>57</v>
      </c>
      <c r="G187" s="14" t="s">
        <v>1567</v>
      </c>
      <c r="H187" s="15">
        <v>4.0</v>
      </c>
      <c r="I187" s="15">
        <v>23.0</v>
      </c>
      <c r="J187" s="15">
        <v>1.0</v>
      </c>
      <c r="K187" s="15">
        <v>13.0</v>
      </c>
      <c r="L187" s="16" t="s">
        <v>31</v>
      </c>
      <c r="M187" s="14" t="s">
        <v>1568</v>
      </c>
      <c r="N187" s="14" t="s">
        <v>155</v>
      </c>
      <c r="O187" s="16" t="s">
        <v>156</v>
      </c>
      <c r="P187" s="14" t="s">
        <v>1547</v>
      </c>
      <c r="Q187" s="14" t="s">
        <v>1548</v>
      </c>
      <c r="R187" s="14" t="s">
        <v>64</v>
      </c>
      <c r="S187" s="16" t="s">
        <v>1549</v>
      </c>
      <c r="T187" s="14" t="s">
        <v>66</v>
      </c>
      <c r="U187" s="16" t="s">
        <v>31</v>
      </c>
      <c r="V187" s="14" t="s">
        <v>57</v>
      </c>
      <c r="W187" s="14" t="s">
        <v>1543</v>
      </c>
      <c r="X187" s="17" t="str">
        <f>HYPERLINK("https://my.pitchbook.com?p=13142-98P","View People Online")</f>
        <v>View People Online</v>
      </c>
    </row>
    <row r="188">
      <c r="A188" s="2" t="s">
        <v>1569</v>
      </c>
      <c r="B188" s="2" t="s">
        <v>1570</v>
      </c>
      <c r="C188" s="2" t="s">
        <v>1125</v>
      </c>
      <c r="D188" s="2" t="s">
        <v>1571</v>
      </c>
      <c r="E188" s="2" t="s">
        <v>1543</v>
      </c>
      <c r="F188" s="2" t="s">
        <v>371</v>
      </c>
      <c r="G188" s="2" t="s">
        <v>1572</v>
      </c>
      <c r="H188" s="3" t="s">
        <v>31</v>
      </c>
      <c r="I188" s="3">
        <v>1.0</v>
      </c>
      <c r="J188" s="3">
        <v>1.0</v>
      </c>
      <c r="K188" s="3" t="s">
        <v>31</v>
      </c>
      <c r="L188" s="4" t="s">
        <v>31</v>
      </c>
      <c r="M188" s="2" t="s">
        <v>1573</v>
      </c>
      <c r="N188" s="2" t="s">
        <v>155</v>
      </c>
      <c r="O188" s="4" t="s">
        <v>156</v>
      </c>
      <c r="P188" s="2" t="s">
        <v>1547</v>
      </c>
      <c r="Q188" s="2" t="s">
        <v>1548</v>
      </c>
      <c r="R188" s="2" t="s">
        <v>64</v>
      </c>
      <c r="S188" s="4" t="s">
        <v>1549</v>
      </c>
      <c r="T188" s="2" t="s">
        <v>66</v>
      </c>
      <c r="U188" s="4" t="s">
        <v>31</v>
      </c>
      <c r="V188" s="2" t="s">
        <v>371</v>
      </c>
      <c r="W188" s="2" t="s">
        <v>1543</v>
      </c>
      <c r="X188" s="5" t="str">
        <f>HYPERLINK("https://my.pitchbook.com?p=305639-83P","View People Online")</f>
        <v>View People Online</v>
      </c>
    </row>
    <row r="189">
      <c r="A189" s="6" t="s">
        <v>1574</v>
      </c>
      <c r="B189" s="6" t="s">
        <v>1575</v>
      </c>
      <c r="C189" s="6" t="s">
        <v>1576</v>
      </c>
      <c r="D189" s="6" t="s">
        <v>1577</v>
      </c>
      <c r="E189" s="6" t="s">
        <v>1543</v>
      </c>
      <c r="F189" s="6" t="s">
        <v>667</v>
      </c>
      <c r="G189" s="6" t="s">
        <v>1578</v>
      </c>
      <c r="H189" s="7" t="s">
        <v>31</v>
      </c>
      <c r="I189" s="7">
        <v>1.0</v>
      </c>
      <c r="J189" s="7">
        <v>1.0</v>
      </c>
      <c r="K189" s="7" t="s">
        <v>31</v>
      </c>
      <c r="L189" s="8" t="s">
        <v>31</v>
      </c>
      <c r="M189" s="6" t="s">
        <v>1579</v>
      </c>
      <c r="N189" s="6" t="s">
        <v>155</v>
      </c>
      <c r="O189" s="8" t="s">
        <v>156</v>
      </c>
      <c r="P189" s="6" t="s">
        <v>1547</v>
      </c>
      <c r="Q189" s="6" t="s">
        <v>1548</v>
      </c>
      <c r="R189" s="6" t="s">
        <v>64</v>
      </c>
      <c r="S189" s="8" t="s">
        <v>1549</v>
      </c>
      <c r="T189" s="6" t="s">
        <v>66</v>
      </c>
      <c r="U189" s="8" t="s">
        <v>31</v>
      </c>
      <c r="V189" s="6" t="s">
        <v>1580</v>
      </c>
      <c r="W189" s="6" t="s">
        <v>1543</v>
      </c>
      <c r="X189" s="9" t="str">
        <f>HYPERLINK("https://my.pitchbook.com?p=445282-93P","View People Online")</f>
        <v>View People Online</v>
      </c>
    </row>
    <row r="190">
      <c r="A190" s="10" t="s">
        <v>1581</v>
      </c>
      <c r="B190" s="10" t="s">
        <v>1582</v>
      </c>
      <c r="C190" s="10" t="s">
        <v>323</v>
      </c>
      <c r="D190" s="10" t="s">
        <v>1583</v>
      </c>
      <c r="E190" s="10" t="s">
        <v>1543</v>
      </c>
      <c r="F190" s="10" t="s">
        <v>29</v>
      </c>
      <c r="G190" s="10" t="s">
        <v>1584</v>
      </c>
      <c r="H190" s="11">
        <v>1.0</v>
      </c>
      <c r="I190" s="11">
        <v>5.0</v>
      </c>
      <c r="J190" s="11">
        <v>1.0</v>
      </c>
      <c r="K190" s="11">
        <v>1.0</v>
      </c>
      <c r="L190" s="12" t="s">
        <v>31</v>
      </c>
      <c r="M190" s="10" t="s">
        <v>1585</v>
      </c>
      <c r="N190" s="10" t="s">
        <v>155</v>
      </c>
      <c r="O190" s="12" t="s">
        <v>156</v>
      </c>
      <c r="P190" s="10" t="s">
        <v>1547</v>
      </c>
      <c r="Q190" s="10" t="s">
        <v>1548</v>
      </c>
      <c r="R190" s="10" t="s">
        <v>64</v>
      </c>
      <c r="S190" s="12" t="s">
        <v>1549</v>
      </c>
      <c r="T190" s="10" t="s">
        <v>66</v>
      </c>
      <c r="U190" s="12" t="s">
        <v>31</v>
      </c>
      <c r="V190" s="10" t="s">
        <v>29</v>
      </c>
      <c r="W190" s="10" t="s">
        <v>1543</v>
      </c>
      <c r="X190" s="13" t="str">
        <f>HYPERLINK("https://my.pitchbook.com?p=207591-76P","View People Online")</f>
        <v>View People Online</v>
      </c>
    </row>
    <row r="191">
      <c r="A191" s="6" t="s">
        <v>1586</v>
      </c>
      <c r="B191" s="6" t="s">
        <v>1587</v>
      </c>
      <c r="C191" s="6" t="s">
        <v>1588</v>
      </c>
      <c r="D191" s="6" t="s">
        <v>1589</v>
      </c>
      <c r="E191" s="6" t="s">
        <v>1543</v>
      </c>
      <c r="F191" s="6" t="s">
        <v>201</v>
      </c>
      <c r="G191" s="6" t="s">
        <v>1590</v>
      </c>
      <c r="H191" s="7" t="s">
        <v>31</v>
      </c>
      <c r="I191" s="7">
        <v>2.0</v>
      </c>
      <c r="J191" s="7">
        <v>1.0</v>
      </c>
      <c r="K191" s="7" t="s">
        <v>31</v>
      </c>
      <c r="L191" s="8" t="s">
        <v>1591</v>
      </c>
      <c r="M191" s="6" t="s">
        <v>1592</v>
      </c>
      <c r="N191" s="6" t="s">
        <v>155</v>
      </c>
      <c r="O191" s="8" t="s">
        <v>156</v>
      </c>
      <c r="P191" s="6" t="s">
        <v>1547</v>
      </c>
      <c r="Q191" s="6" t="s">
        <v>1548</v>
      </c>
      <c r="R191" s="6" t="s">
        <v>64</v>
      </c>
      <c r="S191" s="8" t="s">
        <v>1549</v>
      </c>
      <c r="T191" s="6" t="s">
        <v>66</v>
      </c>
      <c r="U191" s="8" t="s">
        <v>31</v>
      </c>
      <c r="V191" s="6" t="s">
        <v>201</v>
      </c>
      <c r="W191" s="6" t="s">
        <v>1543</v>
      </c>
      <c r="X191" s="9" t="str">
        <f>HYPERLINK("https://my.pitchbook.com?p=301113-55P","View People Online")</f>
        <v>View People Online</v>
      </c>
    </row>
    <row r="192">
      <c r="A192" s="10" t="s">
        <v>1593</v>
      </c>
      <c r="B192" s="10" t="s">
        <v>1594</v>
      </c>
      <c r="C192" s="10" t="s">
        <v>343</v>
      </c>
      <c r="D192" s="10" t="s">
        <v>1595</v>
      </c>
      <c r="E192" s="10" t="s">
        <v>1543</v>
      </c>
      <c r="F192" s="10" t="s">
        <v>81</v>
      </c>
      <c r="G192" s="10" t="s">
        <v>1596</v>
      </c>
      <c r="H192" s="11">
        <v>1.0</v>
      </c>
      <c r="I192" s="11">
        <v>4.0</v>
      </c>
      <c r="J192" s="11">
        <v>2.0</v>
      </c>
      <c r="K192" s="11" t="s">
        <v>31</v>
      </c>
      <c r="L192" s="12" t="s">
        <v>1597</v>
      </c>
      <c r="M192" s="10" t="s">
        <v>1598</v>
      </c>
      <c r="N192" s="10" t="s">
        <v>155</v>
      </c>
      <c r="O192" s="12" t="s">
        <v>156</v>
      </c>
      <c r="P192" s="10" t="s">
        <v>1547</v>
      </c>
      <c r="Q192" s="10" t="s">
        <v>1599</v>
      </c>
      <c r="R192" s="10" t="s">
        <v>64</v>
      </c>
      <c r="S192" s="12" t="s">
        <v>1549</v>
      </c>
      <c r="T192" s="10" t="s">
        <v>66</v>
      </c>
      <c r="U192" s="12" t="s">
        <v>31</v>
      </c>
      <c r="V192" s="10" t="s">
        <v>1600</v>
      </c>
      <c r="W192" s="10" t="s">
        <v>1601</v>
      </c>
      <c r="X192" s="13" t="str">
        <f>HYPERLINK("https://my.pitchbook.com?p=39752-38P","View People Online")</f>
        <v>View People Online</v>
      </c>
    </row>
    <row r="193">
      <c r="A193" s="6" t="s">
        <v>1602</v>
      </c>
      <c r="B193" s="6" t="s">
        <v>1603</v>
      </c>
      <c r="C193" s="6" t="s">
        <v>1343</v>
      </c>
      <c r="D193" s="6" t="s">
        <v>1604</v>
      </c>
      <c r="E193" s="6" t="s">
        <v>1543</v>
      </c>
      <c r="F193" s="6" t="s">
        <v>81</v>
      </c>
      <c r="G193" s="6" t="s">
        <v>1605</v>
      </c>
      <c r="H193" s="7" t="s">
        <v>31</v>
      </c>
      <c r="I193" s="7">
        <v>3.0</v>
      </c>
      <c r="J193" s="7">
        <v>1.0</v>
      </c>
      <c r="K193" s="7">
        <v>1.0</v>
      </c>
      <c r="L193" s="8" t="s">
        <v>1606</v>
      </c>
      <c r="M193" s="6" t="s">
        <v>1607</v>
      </c>
      <c r="N193" s="6" t="s">
        <v>1608</v>
      </c>
      <c r="O193" s="8" t="s">
        <v>1609</v>
      </c>
      <c r="P193" s="6" t="s">
        <v>1610</v>
      </c>
      <c r="Q193" s="6" t="s">
        <v>989</v>
      </c>
      <c r="R193" s="6" t="s">
        <v>64</v>
      </c>
      <c r="S193" s="8" t="s">
        <v>1611</v>
      </c>
      <c r="T193" s="6" t="s">
        <v>66</v>
      </c>
      <c r="U193" s="8" t="s">
        <v>31</v>
      </c>
      <c r="V193" s="6" t="s">
        <v>1612</v>
      </c>
      <c r="W193" s="6" t="s">
        <v>1613</v>
      </c>
      <c r="X193" s="9" t="str">
        <f>HYPERLINK("https://my.pitchbook.com?p=35957-08P","View People Online")</f>
        <v>View People Online</v>
      </c>
    </row>
    <row r="194">
      <c r="A194" s="10" t="s">
        <v>1614</v>
      </c>
      <c r="B194" s="10" t="s">
        <v>1615</v>
      </c>
      <c r="C194" s="10" t="s">
        <v>1616</v>
      </c>
      <c r="D194" s="10" t="s">
        <v>1617</v>
      </c>
      <c r="E194" s="10" t="s">
        <v>1543</v>
      </c>
      <c r="F194" s="10" t="s">
        <v>29</v>
      </c>
      <c r="G194" s="10" t="s">
        <v>1618</v>
      </c>
      <c r="H194" s="11">
        <v>1.0</v>
      </c>
      <c r="I194" s="11">
        <v>5.0</v>
      </c>
      <c r="J194" s="11">
        <v>1.0</v>
      </c>
      <c r="K194" s="11">
        <v>1.0</v>
      </c>
      <c r="L194" s="12" t="s">
        <v>31</v>
      </c>
      <c r="M194" s="10" t="s">
        <v>1619</v>
      </c>
      <c r="N194" s="10" t="s">
        <v>155</v>
      </c>
      <c r="O194" s="12" t="s">
        <v>156</v>
      </c>
      <c r="P194" s="10" t="s">
        <v>1547</v>
      </c>
      <c r="Q194" s="10" t="s">
        <v>1548</v>
      </c>
      <c r="R194" s="10" t="s">
        <v>64</v>
      </c>
      <c r="S194" s="12" t="s">
        <v>1549</v>
      </c>
      <c r="T194" s="10" t="s">
        <v>66</v>
      </c>
      <c r="U194" s="12" t="s">
        <v>31</v>
      </c>
      <c r="V194" s="10" t="s">
        <v>29</v>
      </c>
      <c r="W194" s="10" t="s">
        <v>1543</v>
      </c>
      <c r="X194" s="13" t="str">
        <f>HYPERLINK("https://my.pitchbook.com?p=293908-33P","View People Online")</f>
        <v>View People Online</v>
      </c>
    </row>
    <row r="195">
      <c r="A195" s="14" t="s">
        <v>1620</v>
      </c>
      <c r="B195" s="14" t="s">
        <v>1621</v>
      </c>
      <c r="C195" s="14" t="s">
        <v>1622</v>
      </c>
      <c r="D195" s="14" t="s">
        <v>1623</v>
      </c>
      <c r="E195" s="14" t="s">
        <v>1543</v>
      </c>
      <c r="F195" s="14" t="s">
        <v>1624</v>
      </c>
      <c r="G195" s="14" t="s">
        <v>1625</v>
      </c>
      <c r="H195" s="15" t="s">
        <v>31</v>
      </c>
      <c r="I195" s="15">
        <v>1.0</v>
      </c>
      <c r="J195" s="15">
        <v>1.0</v>
      </c>
      <c r="K195" s="15" t="s">
        <v>31</v>
      </c>
      <c r="L195" s="16" t="s">
        <v>31</v>
      </c>
      <c r="M195" s="14" t="s">
        <v>1626</v>
      </c>
      <c r="N195" s="14" t="s">
        <v>155</v>
      </c>
      <c r="O195" s="16" t="s">
        <v>156</v>
      </c>
      <c r="P195" s="14" t="s">
        <v>1547</v>
      </c>
      <c r="Q195" s="14" t="s">
        <v>1548</v>
      </c>
      <c r="R195" s="14" t="s">
        <v>64</v>
      </c>
      <c r="S195" s="16" t="s">
        <v>1549</v>
      </c>
      <c r="T195" s="14" t="s">
        <v>66</v>
      </c>
      <c r="U195" s="16" t="s">
        <v>31</v>
      </c>
      <c r="V195" s="14" t="s">
        <v>1627</v>
      </c>
      <c r="W195" s="14" t="s">
        <v>1543</v>
      </c>
      <c r="X195" s="17" t="str">
        <f>HYPERLINK("https://my.pitchbook.com?p=318709-36P","View People Online")</f>
        <v>View People Online</v>
      </c>
    </row>
    <row r="196">
      <c r="A196" s="2" t="s">
        <v>1628</v>
      </c>
      <c r="B196" s="2" t="s">
        <v>1629</v>
      </c>
      <c r="C196" s="2" t="s">
        <v>1630</v>
      </c>
      <c r="D196" s="2" t="s">
        <v>1631</v>
      </c>
      <c r="E196" s="2" t="s">
        <v>1543</v>
      </c>
      <c r="F196" s="2" t="s">
        <v>81</v>
      </c>
      <c r="G196" s="2" t="s">
        <v>1632</v>
      </c>
      <c r="H196" s="3" t="s">
        <v>31</v>
      </c>
      <c r="I196" s="3">
        <v>2.0</v>
      </c>
      <c r="J196" s="3">
        <v>1.0</v>
      </c>
      <c r="K196" s="3" t="s">
        <v>31</v>
      </c>
      <c r="L196" s="4" t="s">
        <v>1633</v>
      </c>
      <c r="M196" s="2" t="s">
        <v>1634</v>
      </c>
      <c r="N196" s="2" t="s">
        <v>1635</v>
      </c>
      <c r="O196" s="4" t="s">
        <v>1636</v>
      </c>
      <c r="P196" s="2" t="s">
        <v>1637</v>
      </c>
      <c r="Q196" s="2" t="s">
        <v>31</v>
      </c>
      <c r="R196" s="2" t="s">
        <v>1638</v>
      </c>
      <c r="S196" s="4" t="s">
        <v>1639</v>
      </c>
      <c r="T196" s="2" t="s">
        <v>66</v>
      </c>
      <c r="U196" s="4" t="s">
        <v>31</v>
      </c>
      <c r="V196" s="2" t="s">
        <v>1640</v>
      </c>
      <c r="W196" s="2" t="s">
        <v>1641</v>
      </c>
      <c r="X196" s="5" t="str">
        <f>HYPERLINK("https://my.pitchbook.com?p=161129-35P","View People Online")</f>
        <v>View People Online</v>
      </c>
    </row>
    <row r="197">
      <c r="A197" s="6" t="s">
        <v>1642</v>
      </c>
      <c r="B197" s="6" t="s">
        <v>1643</v>
      </c>
      <c r="C197" s="6" t="s">
        <v>1644</v>
      </c>
      <c r="D197" s="6" t="s">
        <v>1645</v>
      </c>
      <c r="E197" s="6" t="s">
        <v>1543</v>
      </c>
      <c r="F197" s="6" t="s">
        <v>201</v>
      </c>
      <c r="G197" s="6" t="s">
        <v>1646</v>
      </c>
      <c r="H197" s="7" t="s">
        <v>31</v>
      </c>
      <c r="I197" s="7">
        <v>1.0</v>
      </c>
      <c r="J197" s="7">
        <v>1.0</v>
      </c>
      <c r="K197" s="7" t="s">
        <v>31</v>
      </c>
      <c r="L197" s="8" t="s">
        <v>31</v>
      </c>
      <c r="M197" s="6" t="s">
        <v>1647</v>
      </c>
      <c r="N197" s="6" t="s">
        <v>155</v>
      </c>
      <c r="O197" s="8" t="s">
        <v>156</v>
      </c>
      <c r="P197" s="6" t="s">
        <v>1547</v>
      </c>
      <c r="Q197" s="6" t="s">
        <v>1548</v>
      </c>
      <c r="R197" s="6" t="s">
        <v>64</v>
      </c>
      <c r="S197" s="8" t="s">
        <v>1549</v>
      </c>
      <c r="T197" s="6" t="s">
        <v>66</v>
      </c>
      <c r="U197" s="8" t="s">
        <v>31</v>
      </c>
      <c r="V197" s="6" t="s">
        <v>201</v>
      </c>
      <c r="W197" s="6" t="s">
        <v>1543</v>
      </c>
      <c r="X197" s="9" t="str">
        <f>HYPERLINK("https://my.pitchbook.com?p=318709-72P","View People Online")</f>
        <v>View People Online</v>
      </c>
    </row>
    <row r="198">
      <c r="A198" s="10" t="s">
        <v>1648</v>
      </c>
      <c r="B198" s="10" t="s">
        <v>1649</v>
      </c>
      <c r="C198" s="10" t="s">
        <v>1650</v>
      </c>
      <c r="D198" s="10" t="s">
        <v>1651</v>
      </c>
      <c r="E198" s="10" t="s">
        <v>1543</v>
      </c>
      <c r="F198" s="10" t="s">
        <v>548</v>
      </c>
      <c r="G198" s="10" t="s">
        <v>1652</v>
      </c>
      <c r="H198" s="11" t="s">
        <v>31</v>
      </c>
      <c r="I198" s="11">
        <v>1.0</v>
      </c>
      <c r="J198" s="11">
        <v>1.0</v>
      </c>
      <c r="K198" s="11" t="s">
        <v>31</v>
      </c>
      <c r="L198" s="12" t="s">
        <v>31</v>
      </c>
      <c r="M198" s="10" t="s">
        <v>1653</v>
      </c>
      <c r="N198" s="10" t="s">
        <v>155</v>
      </c>
      <c r="O198" s="12" t="s">
        <v>156</v>
      </c>
      <c r="P198" s="10" t="s">
        <v>1547</v>
      </c>
      <c r="Q198" s="10" t="s">
        <v>1548</v>
      </c>
      <c r="R198" s="10" t="s">
        <v>64</v>
      </c>
      <c r="S198" s="12" t="s">
        <v>1549</v>
      </c>
      <c r="T198" s="10" t="s">
        <v>66</v>
      </c>
      <c r="U198" s="12" t="s">
        <v>31</v>
      </c>
      <c r="V198" s="10" t="s">
        <v>1654</v>
      </c>
      <c r="W198" s="10" t="s">
        <v>1543</v>
      </c>
      <c r="X198" s="13" t="str">
        <f>HYPERLINK("https://my.pitchbook.com?p=406087-84P","View People Online")</f>
        <v>View People Online</v>
      </c>
    </row>
    <row r="199">
      <c r="A199" s="6" t="s">
        <v>1655</v>
      </c>
      <c r="B199" s="6" t="s">
        <v>1656</v>
      </c>
      <c r="C199" s="6" t="s">
        <v>1657</v>
      </c>
      <c r="D199" s="6" t="s">
        <v>1658</v>
      </c>
      <c r="E199" s="6" t="s">
        <v>1543</v>
      </c>
      <c r="F199" s="6" t="s">
        <v>1659</v>
      </c>
      <c r="G199" s="6" t="s">
        <v>1660</v>
      </c>
      <c r="H199" s="7" t="s">
        <v>31</v>
      </c>
      <c r="I199" s="7">
        <v>1.0</v>
      </c>
      <c r="J199" s="7">
        <v>1.0</v>
      </c>
      <c r="K199" s="7" t="s">
        <v>31</v>
      </c>
      <c r="L199" s="8" t="s">
        <v>1661</v>
      </c>
      <c r="M199" s="6" t="s">
        <v>1662</v>
      </c>
      <c r="N199" s="6" t="s">
        <v>155</v>
      </c>
      <c r="O199" s="8" t="s">
        <v>156</v>
      </c>
      <c r="P199" s="6" t="s">
        <v>1547</v>
      </c>
      <c r="Q199" s="6" t="s">
        <v>1548</v>
      </c>
      <c r="R199" s="6" t="s">
        <v>64</v>
      </c>
      <c r="S199" s="8" t="s">
        <v>1549</v>
      </c>
      <c r="T199" s="6" t="s">
        <v>66</v>
      </c>
      <c r="U199" s="8" t="s">
        <v>1663</v>
      </c>
      <c r="V199" s="6" t="s">
        <v>1659</v>
      </c>
      <c r="W199" s="6" t="s">
        <v>1543</v>
      </c>
      <c r="X199" s="9" t="str">
        <f>HYPERLINK("https://my.pitchbook.com?p=31402-72P","View People Online")</f>
        <v>View People Online</v>
      </c>
    </row>
    <row r="200">
      <c r="A200" s="2" t="s">
        <v>1664</v>
      </c>
      <c r="B200" s="2" t="s">
        <v>1665</v>
      </c>
      <c r="C200" s="2" t="s">
        <v>934</v>
      </c>
      <c r="D200" s="2" t="s">
        <v>843</v>
      </c>
      <c r="E200" s="2" t="s">
        <v>1543</v>
      </c>
      <c r="F200" s="2" t="s">
        <v>29</v>
      </c>
      <c r="G200" s="2" t="s">
        <v>1666</v>
      </c>
      <c r="H200" s="3" t="s">
        <v>31</v>
      </c>
      <c r="I200" s="3">
        <v>4.0</v>
      </c>
      <c r="J200" s="3">
        <v>1.0</v>
      </c>
      <c r="K200" s="3">
        <v>1.0</v>
      </c>
      <c r="L200" s="4" t="s">
        <v>1667</v>
      </c>
      <c r="M200" s="2" t="s">
        <v>1668</v>
      </c>
      <c r="N200" s="2" t="s">
        <v>155</v>
      </c>
      <c r="O200" s="4" t="s">
        <v>156</v>
      </c>
      <c r="P200" s="2" t="s">
        <v>1547</v>
      </c>
      <c r="Q200" s="2" t="s">
        <v>1548</v>
      </c>
      <c r="R200" s="2" t="s">
        <v>64</v>
      </c>
      <c r="S200" s="4" t="s">
        <v>1549</v>
      </c>
      <c r="T200" s="2" t="s">
        <v>66</v>
      </c>
      <c r="U200" s="4" t="s">
        <v>31</v>
      </c>
      <c r="V200" s="2" t="s">
        <v>29</v>
      </c>
      <c r="W200" s="2" t="s">
        <v>1543</v>
      </c>
      <c r="X200" s="5" t="str">
        <f>HYPERLINK("https://my.pitchbook.com?p=94608-73P","View People Online")</f>
        <v>View People Online</v>
      </c>
    </row>
    <row r="201">
      <c r="A201" s="14" t="s">
        <v>1669</v>
      </c>
      <c r="B201" s="14" t="s">
        <v>1670</v>
      </c>
      <c r="C201" s="14" t="s">
        <v>1671</v>
      </c>
      <c r="D201" s="14" t="s">
        <v>1672</v>
      </c>
      <c r="E201" s="14" t="s">
        <v>1543</v>
      </c>
      <c r="F201" s="14" t="s">
        <v>548</v>
      </c>
      <c r="G201" s="14" t="s">
        <v>1673</v>
      </c>
      <c r="H201" s="15" t="s">
        <v>31</v>
      </c>
      <c r="I201" s="15">
        <v>1.0</v>
      </c>
      <c r="J201" s="15">
        <v>1.0</v>
      </c>
      <c r="K201" s="15" t="s">
        <v>31</v>
      </c>
      <c r="L201" s="16" t="s">
        <v>31</v>
      </c>
      <c r="M201" s="14" t="s">
        <v>1674</v>
      </c>
      <c r="N201" s="14" t="s">
        <v>155</v>
      </c>
      <c r="O201" s="16" t="s">
        <v>156</v>
      </c>
      <c r="P201" s="14" t="s">
        <v>1547</v>
      </c>
      <c r="Q201" s="14" t="s">
        <v>1548</v>
      </c>
      <c r="R201" s="14" t="s">
        <v>64</v>
      </c>
      <c r="S201" s="16" t="s">
        <v>1549</v>
      </c>
      <c r="T201" s="14" t="s">
        <v>66</v>
      </c>
      <c r="U201" s="16" t="s">
        <v>31</v>
      </c>
      <c r="V201" s="14" t="s">
        <v>1654</v>
      </c>
      <c r="W201" s="14" t="s">
        <v>1543</v>
      </c>
      <c r="X201" s="17" t="str">
        <f>HYPERLINK("https://my.pitchbook.com?p=13198-96P","View People Online")</f>
        <v>View People Online</v>
      </c>
    </row>
    <row r="202">
      <c r="A202" s="2" t="s">
        <v>1675</v>
      </c>
      <c r="B202" s="2" t="s">
        <v>1676</v>
      </c>
      <c r="C202" s="2" t="s">
        <v>1677</v>
      </c>
      <c r="D202" s="2" t="s">
        <v>1678</v>
      </c>
      <c r="E202" s="2" t="s">
        <v>1543</v>
      </c>
      <c r="F202" s="2" t="s">
        <v>57</v>
      </c>
      <c r="G202" s="2" t="s">
        <v>1679</v>
      </c>
      <c r="H202" s="3">
        <v>5.0</v>
      </c>
      <c r="I202" s="3">
        <v>28.0</v>
      </c>
      <c r="J202" s="3">
        <v>1.0</v>
      </c>
      <c r="K202" s="3">
        <v>19.0</v>
      </c>
      <c r="L202" s="4" t="s">
        <v>31</v>
      </c>
      <c r="M202" s="2" t="s">
        <v>1680</v>
      </c>
      <c r="N202" s="2" t="s">
        <v>155</v>
      </c>
      <c r="O202" s="4" t="s">
        <v>156</v>
      </c>
      <c r="P202" s="2" t="s">
        <v>1547</v>
      </c>
      <c r="Q202" s="2" t="s">
        <v>1548</v>
      </c>
      <c r="R202" s="2" t="s">
        <v>64</v>
      </c>
      <c r="S202" s="4" t="s">
        <v>1549</v>
      </c>
      <c r="T202" s="2" t="s">
        <v>66</v>
      </c>
      <c r="U202" s="4" t="s">
        <v>31</v>
      </c>
      <c r="V202" s="2" t="s">
        <v>57</v>
      </c>
      <c r="W202" s="2" t="s">
        <v>1543</v>
      </c>
      <c r="X202" s="5" t="str">
        <f>HYPERLINK("https://my.pitchbook.com?p=177837-31P","View People Online")</f>
        <v>View People Online</v>
      </c>
    </row>
    <row r="203">
      <c r="A203" s="6" t="s">
        <v>1681</v>
      </c>
      <c r="B203" s="6" t="s">
        <v>1682</v>
      </c>
      <c r="C203" s="6" t="s">
        <v>1683</v>
      </c>
      <c r="D203" s="6" t="s">
        <v>1684</v>
      </c>
      <c r="E203" s="6" t="s">
        <v>1543</v>
      </c>
      <c r="F203" s="6" t="s">
        <v>825</v>
      </c>
      <c r="G203" s="6" t="s">
        <v>1685</v>
      </c>
      <c r="H203" s="7" t="s">
        <v>31</v>
      </c>
      <c r="I203" s="7">
        <v>2.0</v>
      </c>
      <c r="J203" s="7">
        <v>1.0</v>
      </c>
      <c r="K203" s="7" t="s">
        <v>31</v>
      </c>
      <c r="L203" s="8" t="s">
        <v>1686</v>
      </c>
      <c r="M203" s="6" t="s">
        <v>1687</v>
      </c>
      <c r="N203" s="6" t="s">
        <v>155</v>
      </c>
      <c r="O203" s="8" t="s">
        <v>156</v>
      </c>
      <c r="P203" s="6" t="s">
        <v>1547</v>
      </c>
      <c r="Q203" s="6" t="s">
        <v>1548</v>
      </c>
      <c r="R203" s="6" t="s">
        <v>64</v>
      </c>
      <c r="S203" s="8" t="s">
        <v>1549</v>
      </c>
      <c r="T203" s="6" t="s">
        <v>66</v>
      </c>
      <c r="U203" s="8" t="s">
        <v>31</v>
      </c>
      <c r="V203" s="6" t="s">
        <v>1688</v>
      </c>
      <c r="W203" s="6" t="s">
        <v>1543</v>
      </c>
      <c r="X203" s="9" t="str">
        <f>HYPERLINK("https://my.pitchbook.com?p=229062-25P","View People Online")</f>
        <v>View People Online</v>
      </c>
    </row>
    <row r="204">
      <c r="A204" s="2" t="s">
        <v>1689</v>
      </c>
      <c r="B204" s="2" t="s">
        <v>1690</v>
      </c>
      <c r="C204" s="2" t="s">
        <v>1066</v>
      </c>
      <c r="D204" s="2" t="s">
        <v>1691</v>
      </c>
      <c r="E204" s="2" t="s">
        <v>1543</v>
      </c>
      <c r="F204" s="2" t="s">
        <v>120</v>
      </c>
      <c r="G204" s="2" t="s">
        <v>1692</v>
      </c>
      <c r="H204" s="3">
        <v>2.0</v>
      </c>
      <c r="I204" s="3">
        <v>15.0</v>
      </c>
      <c r="J204" s="3">
        <v>3.0</v>
      </c>
      <c r="K204" s="3">
        <v>9.0</v>
      </c>
      <c r="L204" s="4" t="s">
        <v>1693</v>
      </c>
      <c r="M204" s="2" t="s">
        <v>1694</v>
      </c>
      <c r="N204" s="2" t="s">
        <v>155</v>
      </c>
      <c r="O204" s="4" t="s">
        <v>156</v>
      </c>
      <c r="P204" s="2" t="s">
        <v>1547</v>
      </c>
      <c r="Q204" s="2" t="s">
        <v>1599</v>
      </c>
      <c r="R204" s="2" t="s">
        <v>64</v>
      </c>
      <c r="S204" s="4" t="s">
        <v>1549</v>
      </c>
      <c r="T204" s="2" t="s">
        <v>66</v>
      </c>
      <c r="U204" s="4" t="s">
        <v>31</v>
      </c>
      <c r="V204" s="2" t="s">
        <v>1252</v>
      </c>
      <c r="W204" s="2" t="s">
        <v>1601</v>
      </c>
      <c r="X204" s="5" t="str">
        <f>HYPERLINK("https://my.pitchbook.com?p=39089-35P","View People Online")</f>
        <v>View People Online</v>
      </c>
    </row>
    <row r="205">
      <c r="A205" s="14" t="s">
        <v>1695</v>
      </c>
      <c r="B205" s="14" t="s">
        <v>1696</v>
      </c>
      <c r="C205" s="14" t="s">
        <v>1697</v>
      </c>
      <c r="D205" s="14" t="s">
        <v>1698</v>
      </c>
      <c r="E205" s="14" t="s">
        <v>1543</v>
      </c>
      <c r="F205" s="14" t="s">
        <v>81</v>
      </c>
      <c r="G205" s="14" t="s">
        <v>1699</v>
      </c>
      <c r="H205" s="15" t="s">
        <v>31</v>
      </c>
      <c r="I205" s="15">
        <v>1.0</v>
      </c>
      <c r="J205" s="15" t="s">
        <v>31</v>
      </c>
      <c r="K205" s="15" t="s">
        <v>31</v>
      </c>
      <c r="L205" s="16" t="s">
        <v>31</v>
      </c>
      <c r="M205" s="14" t="s">
        <v>31</v>
      </c>
      <c r="N205" s="14" t="s">
        <v>155</v>
      </c>
      <c r="O205" s="16" t="s">
        <v>156</v>
      </c>
      <c r="P205" s="14" t="s">
        <v>1547</v>
      </c>
      <c r="Q205" s="14" t="s">
        <v>1548</v>
      </c>
      <c r="R205" s="14" t="s">
        <v>64</v>
      </c>
      <c r="S205" s="16" t="s">
        <v>1549</v>
      </c>
      <c r="T205" s="14" t="s">
        <v>66</v>
      </c>
      <c r="U205" s="16" t="s">
        <v>31</v>
      </c>
      <c r="V205" s="14" t="s">
        <v>81</v>
      </c>
      <c r="W205" s="14" t="s">
        <v>1543</v>
      </c>
      <c r="X205" s="17" t="str">
        <f>HYPERLINK("https://my.pitchbook.com?p=301112-74P","View People Online")</f>
        <v>View People Online</v>
      </c>
    </row>
    <row r="206">
      <c r="A206" s="2" t="s">
        <v>1700</v>
      </c>
      <c r="B206" s="2" t="s">
        <v>1701</v>
      </c>
      <c r="C206" s="2" t="s">
        <v>1702</v>
      </c>
      <c r="D206" s="2" t="s">
        <v>1703</v>
      </c>
      <c r="E206" s="2" t="s">
        <v>1704</v>
      </c>
      <c r="F206" s="2" t="s">
        <v>713</v>
      </c>
      <c r="G206" s="2" t="s">
        <v>1705</v>
      </c>
      <c r="H206" s="3" t="s">
        <v>31</v>
      </c>
      <c r="I206" s="3">
        <v>3.0</v>
      </c>
      <c r="J206" s="3">
        <v>1.0</v>
      </c>
      <c r="K206" s="3">
        <v>2.0</v>
      </c>
      <c r="L206" s="4" t="s">
        <v>31</v>
      </c>
      <c r="M206" s="2" t="s">
        <v>1706</v>
      </c>
      <c r="N206" s="2" t="s">
        <v>1181</v>
      </c>
      <c r="O206" s="4" t="s">
        <v>1182</v>
      </c>
      <c r="P206" s="2" t="s">
        <v>1707</v>
      </c>
      <c r="Q206" s="2" t="s">
        <v>1708</v>
      </c>
      <c r="R206" s="2" t="s">
        <v>1185</v>
      </c>
      <c r="S206" s="4" t="s">
        <v>1709</v>
      </c>
      <c r="T206" s="2" t="s">
        <v>66</v>
      </c>
      <c r="U206" s="4" t="s">
        <v>31</v>
      </c>
      <c r="V206" s="2" t="s">
        <v>1710</v>
      </c>
      <c r="W206" s="2" t="s">
        <v>1704</v>
      </c>
      <c r="X206" s="5" t="str">
        <f>HYPERLINK("https://my.pitchbook.com?p=314046-46P","View People Online")</f>
        <v>View People Online</v>
      </c>
    </row>
    <row r="207">
      <c r="A207" s="14" t="s">
        <v>1711</v>
      </c>
      <c r="B207" s="14" t="s">
        <v>1712</v>
      </c>
      <c r="C207" s="14" t="s">
        <v>1713</v>
      </c>
      <c r="D207" s="14" t="s">
        <v>1714</v>
      </c>
      <c r="E207" s="14" t="s">
        <v>1704</v>
      </c>
      <c r="F207" s="14" t="s">
        <v>1283</v>
      </c>
      <c r="G207" s="14" t="s">
        <v>1715</v>
      </c>
      <c r="H207" s="15" t="s">
        <v>31</v>
      </c>
      <c r="I207" s="15">
        <v>1.0</v>
      </c>
      <c r="J207" s="15">
        <v>1.0</v>
      </c>
      <c r="K207" s="15" t="s">
        <v>31</v>
      </c>
      <c r="L207" s="16" t="s">
        <v>31</v>
      </c>
      <c r="M207" s="14" t="s">
        <v>31</v>
      </c>
      <c r="N207" s="14" t="s">
        <v>1716</v>
      </c>
      <c r="O207" s="16" t="s">
        <v>1717</v>
      </c>
      <c r="P207" s="14" t="s">
        <v>1718</v>
      </c>
      <c r="Q207" s="14" t="s">
        <v>1719</v>
      </c>
      <c r="R207" s="14" t="s">
        <v>64</v>
      </c>
      <c r="S207" s="16" t="s">
        <v>1720</v>
      </c>
      <c r="T207" s="14" t="s">
        <v>66</v>
      </c>
      <c r="U207" s="16" t="s">
        <v>31</v>
      </c>
      <c r="V207" s="14" t="s">
        <v>1283</v>
      </c>
      <c r="W207" s="14" t="s">
        <v>1704</v>
      </c>
      <c r="X207" s="17" t="str">
        <f>HYPERLINK("https://my.pitchbook.com?p=436341-97P","View People Online")</f>
        <v>View People Online</v>
      </c>
    </row>
    <row r="208">
      <c r="A208" s="2" t="s">
        <v>1721</v>
      </c>
      <c r="B208" s="2" t="s">
        <v>1722</v>
      </c>
      <c r="C208" s="2" t="s">
        <v>1117</v>
      </c>
      <c r="D208" s="2" t="s">
        <v>1723</v>
      </c>
      <c r="E208" s="2" t="s">
        <v>1704</v>
      </c>
      <c r="F208" s="2" t="s">
        <v>1283</v>
      </c>
      <c r="G208" s="2" t="s">
        <v>1724</v>
      </c>
      <c r="H208" s="3" t="s">
        <v>31</v>
      </c>
      <c r="I208" s="3">
        <v>1.0</v>
      </c>
      <c r="J208" s="3">
        <v>1.0</v>
      </c>
      <c r="K208" s="3" t="s">
        <v>31</v>
      </c>
      <c r="L208" s="4" t="s">
        <v>31</v>
      </c>
      <c r="M208" s="2" t="s">
        <v>1725</v>
      </c>
      <c r="N208" s="2" t="s">
        <v>1716</v>
      </c>
      <c r="O208" s="4" t="s">
        <v>1717</v>
      </c>
      <c r="P208" s="2" t="s">
        <v>1718</v>
      </c>
      <c r="Q208" s="2" t="s">
        <v>1719</v>
      </c>
      <c r="R208" s="2" t="s">
        <v>64</v>
      </c>
      <c r="S208" s="4" t="s">
        <v>1720</v>
      </c>
      <c r="T208" s="2" t="s">
        <v>66</v>
      </c>
      <c r="U208" s="4" t="s">
        <v>31</v>
      </c>
      <c r="V208" s="2" t="s">
        <v>1283</v>
      </c>
      <c r="W208" s="2" t="s">
        <v>1704</v>
      </c>
      <c r="X208" s="5" t="str">
        <f>HYPERLINK("https://my.pitchbook.com?p=40112-74P","View People Online")</f>
        <v>View People Online</v>
      </c>
    </row>
    <row r="209">
      <c r="A209" s="14" t="s">
        <v>1726</v>
      </c>
      <c r="B209" s="14" t="s">
        <v>1727</v>
      </c>
      <c r="C209" s="14" t="s">
        <v>1728</v>
      </c>
      <c r="D209" s="14" t="s">
        <v>1729</v>
      </c>
      <c r="E209" s="14" t="s">
        <v>1704</v>
      </c>
      <c r="F209" s="14" t="s">
        <v>1730</v>
      </c>
      <c r="G209" s="14" t="s">
        <v>1731</v>
      </c>
      <c r="H209" s="15" t="s">
        <v>31</v>
      </c>
      <c r="I209" s="15">
        <v>1.0</v>
      </c>
      <c r="J209" s="15">
        <v>1.0</v>
      </c>
      <c r="K209" s="15" t="s">
        <v>31</v>
      </c>
      <c r="L209" s="16" t="s">
        <v>31</v>
      </c>
      <c r="M209" s="14" t="s">
        <v>1732</v>
      </c>
      <c r="N209" s="14" t="s">
        <v>1716</v>
      </c>
      <c r="O209" s="16" t="s">
        <v>1717</v>
      </c>
      <c r="P209" s="14" t="s">
        <v>1718</v>
      </c>
      <c r="Q209" s="14" t="s">
        <v>1719</v>
      </c>
      <c r="R209" s="14" t="s">
        <v>64</v>
      </c>
      <c r="S209" s="16" t="s">
        <v>1720</v>
      </c>
      <c r="T209" s="14" t="s">
        <v>66</v>
      </c>
      <c r="U209" s="16" t="s">
        <v>31</v>
      </c>
      <c r="V209" s="14" t="s">
        <v>1733</v>
      </c>
      <c r="W209" s="14" t="s">
        <v>1704</v>
      </c>
      <c r="X209" s="17" t="str">
        <f>HYPERLINK("https://my.pitchbook.com?p=314046-73P","View People Online")</f>
        <v>View People Online</v>
      </c>
    </row>
    <row r="210">
      <c r="A210" s="2" t="s">
        <v>1734</v>
      </c>
      <c r="B210" s="2" t="s">
        <v>1735</v>
      </c>
      <c r="C210" s="2" t="s">
        <v>1736</v>
      </c>
      <c r="D210" s="2" t="s">
        <v>1737</v>
      </c>
      <c r="E210" s="2" t="s">
        <v>1704</v>
      </c>
      <c r="F210" s="2" t="s">
        <v>470</v>
      </c>
      <c r="G210" s="2" t="s">
        <v>1738</v>
      </c>
      <c r="H210" s="3" t="s">
        <v>31</v>
      </c>
      <c r="I210" s="3">
        <v>13.0</v>
      </c>
      <c r="J210" s="3">
        <v>1.0</v>
      </c>
      <c r="K210" s="3">
        <v>12.0</v>
      </c>
      <c r="L210" s="4" t="s">
        <v>31</v>
      </c>
      <c r="M210" s="2" t="s">
        <v>1739</v>
      </c>
      <c r="N210" s="2" t="s">
        <v>1716</v>
      </c>
      <c r="O210" s="4" t="s">
        <v>1717</v>
      </c>
      <c r="P210" s="2" t="s">
        <v>1718</v>
      </c>
      <c r="Q210" s="2" t="s">
        <v>1719</v>
      </c>
      <c r="R210" s="2" t="s">
        <v>64</v>
      </c>
      <c r="S210" s="4" t="s">
        <v>1720</v>
      </c>
      <c r="T210" s="2" t="s">
        <v>66</v>
      </c>
      <c r="U210" s="4" t="s">
        <v>31</v>
      </c>
      <c r="V210" s="2" t="s">
        <v>470</v>
      </c>
      <c r="W210" s="2" t="s">
        <v>1704</v>
      </c>
      <c r="X210" s="5" t="str">
        <f>HYPERLINK("https://my.pitchbook.com?p=367231-78P","View People Online")</f>
        <v>View People Online</v>
      </c>
    </row>
    <row r="211">
      <c r="A211" s="6" t="s">
        <v>1740</v>
      </c>
      <c r="B211" s="6" t="s">
        <v>1741</v>
      </c>
      <c r="C211" s="6" t="s">
        <v>69</v>
      </c>
      <c r="D211" s="6" t="s">
        <v>1742</v>
      </c>
      <c r="E211" s="6" t="s">
        <v>1704</v>
      </c>
      <c r="F211" s="6" t="s">
        <v>1283</v>
      </c>
      <c r="G211" s="6" t="s">
        <v>1743</v>
      </c>
      <c r="H211" s="7" t="s">
        <v>31</v>
      </c>
      <c r="I211" s="7">
        <v>1.0</v>
      </c>
      <c r="J211" s="7">
        <v>1.0</v>
      </c>
      <c r="K211" s="7" t="s">
        <v>31</v>
      </c>
      <c r="L211" s="8" t="s">
        <v>31</v>
      </c>
      <c r="M211" s="6" t="s">
        <v>1744</v>
      </c>
      <c r="N211" s="6" t="s">
        <v>1181</v>
      </c>
      <c r="O211" s="8" t="s">
        <v>1182</v>
      </c>
      <c r="P211" s="6" t="s">
        <v>1707</v>
      </c>
      <c r="Q211" s="6" t="s">
        <v>1708</v>
      </c>
      <c r="R211" s="6" t="s">
        <v>1185</v>
      </c>
      <c r="S211" s="8" t="s">
        <v>1709</v>
      </c>
      <c r="T211" s="6" t="s">
        <v>66</v>
      </c>
      <c r="U211" s="8" t="s">
        <v>31</v>
      </c>
      <c r="V211" s="6" t="s">
        <v>1283</v>
      </c>
      <c r="W211" s="6" t="s">
        <v>1704</v>
      </c>
      <c r="X211" s="9" t="str">
        <f>HYPERLINK("https://my.pitchbook.com?p=100603-54P","View People Online")</f>
        <v>View People Online</v>
      </c>
    </row>
    <row r="212">
      <c r="A212" s="2" t="s">
        <v>1745</v>
      </c>
      <c r="B212" s="2" t="s">
        <v>1746</v>
      </c>
      <c r="C212" s="2" t="s">
        <v>350</v>
      </c>
      <c r="D212" s="2" t="s">
        <v>1747</v>
      </c>
      <c r="E212" s="2" t="s">
        <v>1704</v>
      </c>
      <c r="F212" s="2" t="s">
        <v>1283</v>
      </c>
      <c r="G212" s="2" t="s">
        <v>1748</v>
      </c>
      <c r="H212" s="3" t="s">
        <v>31</v>
      </c>
      <c r="I212" s="3">
        <v>1.0</v>
      </c>
      <c r="J212" s="3">
        <v>1.0</v>
      </c>
      <c r="K212" s="3" t="s">
        <v>31</v>
      </c>
      <c r="L212" s="4" t="s">
        <v>31</v>
      </c>
      <c r="M212" s="2" t="s">
        <v>1749</v>
      </c>
      <c r="N212" s="2" t="s">
        <v>1716</v>
      </c>
      <c r="O212" s="4" t="s">
        <v>1717</v>
      </c>
      <c r="P212" s="2" t="s">
        <v>1718</v>
      </c>
      <c r="Q212" s="2" t="s">
        <v>1719</v>
      </c>
      <c r="R212" s="2" t="s">
        <v>64</v>
      </c>
      <c r="S212" s="4" t="s">
        <v>1720</v>
      </c>
      <c r="T212" s="2" t="s">
        <v>66</v>
      </c>
      <c r="U212" s="4" t="s">
        <v>31</v>
      </c>
      <c r="V212" s="2" t="s">
        <v>1283</v>
      </c>
      <c r="W212" s="2" t="s">
        <v>1704</v>
      </c>
      <c r="X212" s="5" t="str">
        <f>HYPERLINK("https://my.pitchbook.com?p=78732-82P","View People Online")</f>
        <v>View People Online</v>
      </c>
    </row>
    <row r="213">
      <c r="A213" s="6" t="s">
        <v>1750</v>
      </c>
      <c r="B213" s="6" t="s">
        <v>1751</v>
      </c>
      <c r="C213" s="6" t="s">
        <v>1752</v>
      </c>
      <c r="D213" s="6" t="s">
        <v>1753</v>
      </c>
      <c r="E213" s="6" t="s">
        <v>1704</v>
      </c>
      <c r="F213" s="6" t="s">
        <v>1283</v>
      </c>
      <c r="G213" s="6" t="s">
        <v>1754</v>
      </c>
      <c r="H213" s="7" t="s">
        <v>31</v>
      </c>
      <c r="I213" s="7">
        <v>1.0</v>
      </c>
      <c r="J213" s="7">
        <v>1.0</v>
      </c>
      <c r="K213" s="7" t="s">
        <v>31</v>
      </c>
      <c r="L213" s="8" t="s">
        <v>31</v>
      </c>
      <c r="M213" s="6" t="s">
        <v>1755</v>
      </c>
      <c r="N213" s="6" t="s">
        <v>1716</v>
      </c>
      <c r="O213" s="8" t="s">
        <v>1717</v>
      </c>
      <c r="P213" s="6" t="s">
        <v>1718</v>
      </c>
      <c r="Q213" s="6" t="s">
        <v>1719</v>
      </c>
      <c r="R213" s="6" t="s">
        <v>64</v>
      </c>
      <c r="S213" s="8" t="s">
        <v>1720</v>
      </c>
      <c r="T213" s="6" t="s">
        <v>66</v>
      </c>
      <c r="U213" s="8" t="s">
        <v>31</v>
      </c>
      <c r="V213" s="6" t="s">
        <v>1283</v>
      </c>
      <c r="W213" s="6" t="s">
        <v>1704</v>
      </c>
      <c r="X213" s="9" t="str">
        <f>HYPERLINK("https://my.pitchbook.com?p=112540-51P","View People Online")</f>
        <v>View People Online</v>
      </c>
    </row>
    <row r="214">
      <c r="A214" s="10" t="s">
        <v>1756</v>
      </c>
      <c r="B214" s="10" t="s">
        <v>1757</v>
      </c>
      <c r="C214" s="10" t="s">
        <v>1758</v>
      </c>
      <c r="D214" s="10" t="s">
        <v>1759</v>
      </c>
      <c r="E214" s="10" t="s">
        <v>1704</v>
      </c>
      <c r="F214" s="10" t="s">
        <v>270</v>
      </c>
      <c r="G214" s="10" t="s">
        <v>1760</v>
      </c>
      <c r="H214" s="11" t="s">
        <v>31</v>
      </c>
      <c r="I214" s="11">
        <v>1.0</v>
      </c>
      <c r="J214" s="11">
        <v>1.0</v>
      </c>
      <c r="K214" s="11" t="s">
        <v>31</v>
      </c>
      <c r="L214" s="12" t="s">
        <v>31</v>
      </c>
      <c r="M214" s="10" t="s">
        <v>1761</v>
      </c>
      <c r="N214" s="10" t="s">
        <v>1716</v>
      </c>
      <c r="O214" s="12" t="s">
        <v>1717</v>
      </c>
      <c r="P214" s="10" t="s">
        <v>1718</v>
      </c>
      <c r="Q214" s="10" t="s">
        <v>1719</v>
      </c>
      <c r="R214" s="10" t="s">
        <v>64</v>
      </c>
      <c r="S214" s="12" t="s">
        <v>1720</v>
      </c>
      <c r="T214" s="10" t="s">
        <v>66</v>
      </c>
      <c r="U214" s="12" t="s">
        <v>31</v>
      </c>
      <c r="V214" s="10" t="s">
        <v>1762</v>
      </c>
      <c r="W214" s="10" t="s">
        <v>1704</v>
      </c>
      <c r="X214" s="13" t="str">
        <f>HYPERLINK("https://my.pitchbook.com?p=264516-94P","View People Online")</f>
        <v>View People Online</v>
      </c>
    </row>
    <row r="215">
      <c r="A215" s="6" t="s">
        <v>1763</v>
      </c>
      <c r="B215" s="6" t="s">
        <v>1764</v>
      </c>
      <c r="C215" s="6" t="s">
        <v>1765</v>
      </c>
      <c r="D215" s="6" t="s">
        <v>1766</v>
      </c>
      <c r="E215" s="6" t="s">
        <v>1704</v>
      </c>
      <c r="F215" s="6" t="s">
        <v>1167</v>
      </c>
      <c r="G215" s="6" t="s">
        <v>1767</v>
      </c>
      <c r="H215" s="7" t="s">
        <v>31</v>
      </c>
      <c r="I215" s="7">
        <v>1.0</v>
      </c>
      <c r="J215" s="7">
        <v>1.0</v>
      </c>
      <c r="K215" s="7" t="s">
        <v>31</v>
      </c>
      <c r="L215" s="8" t="s">
        <v>31</v>
      </c>
      <c r="M215" s="6" t="s">
        <v>31</v>
      </c>
      <c r="N215" s="6" t="s">
        <v>1716</v>
      </c>
      <c r="O215" s="8" t="s">
        <v>1717</v>
      </c>
      <c r="P215" s="6" t="s">
        <v>1718</v>
      </c>
      <c r="Q215" s="6" t="s">
        <v>1719</v>
      </c>
      <c r="R215" s="6" t="s">
        <v>64</v>
      </c>
      <c r="S215" s="8" t="s">
        <v>1720</v>
      </c>
      <c r="T215" s="6" t="s">
        <v>66</v>
      </c>
      <c r="U215" s="8" t="s">
        <v>31</v>
      </c>
      <c r="V215" s="6" t="s">
        <v>991</v>
      </c>
      <c r="W215" s="6" t="s">
        <v>1704</v>
      </c>
      <c r="X215" s="9" t="str">
        <f>HYPERLINK("https://my.pitchbook.com?p=308937-70P","View People Online")</f>
        <v>View People Online</v>
      </c>
    </row>
    <row r="216">
      <c r="A216" s="10" t="s">
        <v>1768</v>
      </c>
      <c r="B216" s="10" t="s">
        <v>1769</v>
      </c>
      <c r="C216" s="10" t="s">
        <v>1770</v>
      </c>
      <c r="D216" s="10" t="s">
        <v>1771</v>
      </c>
      <c r="E216" s="10" t="s">
        <v>1704</v>
      </c>
      <c r="F216" s="10" t="s">
        <v>78</v>
      </c>
      <c r="G216" s="10" t="s">
        <v>1772</v>
      </c>
      <c r="H216" s="11" t="s">
        <v>31</v>
      </c>
      <c r="I216" s="11">
        <v>1.0</v>
      </c>
      <c r="J216" s="11">
        <v>1.0</v>
      </c>
      <c r="K216" s="11" t="s">
        <v>31</v>
      </c>
      <c r="L216" s="12" t="s">
        <v>31</v>
      </c>
      <c r="M216" s="10" t="s">
        <v>1773</v>
      </c>
      <c r="N216" s="10" t="s">
        <v>1716</v>
      </c>
      <c r="O216" s="12" t="s">
        <v>1717</v>
      </c>
      <c r="P216" s="10" t="s">
        <v>1718</v>
      </c>
      <c r="Q216" s="10" t="s">
        <v>1719</v>
      </c>
      <c r="R216" s="10" t="s">
        <v>64</v>
      </c>
      <c r="S216" s="12" t="s">
        <v>1720</v>
      </c>
      <c r="T216" s="10" t="s">
        <v>66</v>
      </c>
      <c r="U216" s="12" t="s">
        <v>31</v>
      </c>
      <c r="V216" s="10" t="s">
        <v>78</v>
      </c>
      <c r="W216" s="10" t="s">
        <v>1704</v>
      </c>
      <c r="X216" s="13" t="str">
        <f>HYPERLINK("https://my.pitchbook.com?p=314047-00P","View People Online")</f>
        <v>View People Online</v>
      </c>
    </row>
    <row r="217">
      <c r="A217" s="6" t="s">
        <v>1774</v>
      </c>
      <c r="B217" s="6" t="s">
        <v>1775</v>
      </c>
      <c r="C217" s="6" t="s">
        <v>1776</v>
      </c>
      <c r="D217" s="6" t="s">
        <v>1777</v>
      </c>
      <c r="E217" s="6" t="s">
        <v>1778</v>
      </c>
      <c r="F217" s="6" t="s">
        <v>371</v>
      </c>
      <c r="G217" s="6" t="s">
        <v>1779</v>
      </c>
      <c r="H217" s="7" t="s">
        <v>31</v>
      </c>
      <c r="I217" s="7">
        <v>1.0</v>
      </c>
      <c r="J217" s="7">
        <v>1.0</v>
      </c>
      <c r="K217" s="7" t="s">
        <v>31</v>
      </c>
      <c r="L217" s="8" t="s">
        <v>1780</v>
      </c>
      <c r="M217" s="6" t="s">
        <v>31</v>
      </c>
      <c r="N217" s="6" t="s">
        <v>1781</v>
      </c>
      <c r="O217" s="8" t="s">
        <v>1782</v>
      </c>
      <c r="P217" s="6" t="s">
        <v>1783</v>
      </c>
      <c r="Q217" s="6" t="s">
        <v>1784</v>
      </c>
      <c r="R217" s="6" t="s">
        <v>1785</v>
      </c>
      <c r="S217" s="8" t="s">
        <v>1786</v>
      </c>
      <c r="T217" s="6" t="s">
        <v>1019</v>
      </c>
      <c r="U217" s="8" t="s">
        <v>31</v>
      </c>
      <c r="V217" s="6" t="s">
        <v>1787</v>
      </c>
      <c r="W217" s="6" t="s">
        <v>1778</v>
      </c>
      <c r="X217" s="9" t="str">
        <f>HYPERLINK("https://my.pitchbook.com?p=260989-93P","View People Online")</f>
        <v>View People Online</v>
      </c>
    </row>
    <row r="218">
      <c r="A218" s="2" t="s">
        <v>1788</v>
      </c>
      <c r="B218" s="2" t="s">
        <v>1789</v>
      </c>
      <c r="C218" s="2" t="s">
        <v>1790</v>
      </c>
      <c r="D218" s="2" t="s">
        <v>1791</v>
      </c>
      <c r="E218" s="2" t="s">
        <v>1778</v>
      </c>
      <c r="F218" s="2" t="s">
        <v>371</v>
      </c>
      <c r="G218" s="2" t="s">
        <v>1792</v>
      </c>
      <c r="H218" s="3" t="s">
        <v>31</v>
      </c>
      <c r="I218" s="3">
        <v>2.0</v>
      </c>
      <c r="J218" s="3">
        <v>2.0</v>
      </c>
      <c r="K218" s="3" t="s">
        <v>31</v>
      </c>
      <c r="L218" s="4" t="s">
        <v>1793</v>
      </c>
      <c r="M218" s="2" t="s">
        <v>31</v>
      </c>
      <c r="N218" s="2" t="s">
        <v>1781</v>
      </c>
      <c r="O218" s="4" t="s">
        <v>1782</v>
      </c>
      <c r="P218" s="2" t="s">
        <v>1794</v>
      </c>
      <c r="Q218" s="2" t="s">
        <v>31</v>
      </c>
      <c r="R218" s="2" t="s">
        <v>1785</v>
      </c>
      <c r="S218" s="4" t="s">
        <v>1795</v>
      </c>
      <c r="T218" s="2" t="s">
        <v>1019</v>
      </c>
      <c r="U218" s="4" t="s">
        <v>31</v>
      </c>
      <c r="V218" s="2" t="s">
        <v>29</v>
      </c>
      <c r="W218" s="2" t="s">
        <v>1796</v>
      </c>
      <c r="X218" s="5" t="str">
        <f>HYPERLINK("https://my.pitchbook.com?p=223594-66P","View People Online")</f>
        <v>View People Online</v>
      </c>
    </row>
    <row r="219">
      <c r="A219" s="14" t="s">
        <v>1797</v>
      </c>
      <c r="B219" s="14" t="s">
        <v>1798</v>
      </c>
      <c r="C219" s="14" t="s">
        <v>1799</v>
      </c>
      <c r="D219" s="14" t="s">
        <v>1800</v>
      </c>
      <c r="E219" s="14" t="s">
        <v>1778</v>
      </c>
      <c r="F219" s="14" t="s">
        <v>1801</v>
      </c>
      <c r="G219" s="14" t="s">
        <v>1802</v>
      </c>
      <c r="H219" s="15" t="s">
        <v>31</v>
      </c>
      <c r="I219" s="15">
        <v>1.0</v>
      </c>
      <c r="J219" s="15">
        <v>1.0</v>
      </c>
      <c r="K219" s="15" t="s">
        <v>31</v>
      </c>
      <c r="L219" s="16" t="s">
        <v>31</v>
      </c>
      <c r="M219" s="14" t="s">
        <v>1803</v>
      </c>
      <c r="N219" s="14" t="s">
        <v>1781</v>
      </c>
      <c r="O219" s="16" t="s">
        <v>1782</v>
      </c>
      <c r="P219" s="14" t="s">
        <v>1783</v>
      </c>
      <c r="Q219" s="14" t="s">
        <v>1784</v>
      </c>
      <c r="R219" s="14" t="s">
        <v>1785</v>
      </c>
      <c r="S219" s="16" t="s">
        <v>1786</v>
      </c>
      <c r="T219" s="14" t="s">
        <v>1019</v>
      </c>
      <c r="U219" s="16" t="s">
        <v>31</v>
      </c>
      <c r="V219" s="14" t="s">
        <v>1804</v>
      </c>
      <c r="W219" s="14" t="s">
        <v>1778</v>
      </c>
      <c r="X219" s="17" t="str">
        <f>HYPERLINK("https://my.pitchbook.com?p=311981-86P","View People Online")</f>
        <v>View People Online</v>
      </c>
    </row>
    <row r="220">
      <c r="A220" s="2" t="s">
        <v>1805</v>
      </c>
      <c r="B220" s="2" t="s">
        <v>1806</v>
      </c>
      <c r="C220" s="2" t="s">
        <v>1807</v>
      </c>
      <c r="D220" s="2" t="s">
        <v>1808</v>
      </c>
      <c r="E220" s="2" t="s">
        <v>1778</v>
      </c>
      <c r="F220" s="2" t="s">
        <v>674</v>
      </c>
      <c r="G220" s="2" t="s">
        <v>1809</v>
      </c>
      <c r="H220" s="3">
        <v>4.0</v>
      </c>
      <c r="I220" s="3">
        <v>25.0</v>
      </c>
      <c r="J220" s="3">
        <v>1.0</v>
      </c>
      <c r="K220" s="3">
        <v>17.0</v>
      </c>
      <c r="L220" s="4" t="s">
        <v>31</v>
      </c>
      <c r="M220" s="2" t="s">
        <v>31</v>
      </c>
      <c r="N220" s="2" t="s">
        <v>1781</v>
      </c>
      <c r="O220" s="4" t="s">
        <v>1782</v>
      </c>
      <c r="P220" s="2" t="s">
        <v>1783</v>
      </c>
      <c r="Q220" s="2" t="s">
        <v>1784</v>
      </c>
      <c r="R220" s="2" t="s">
        <v>1785</v>
      </c>
      <c r="S220" s="4" t="s">
        <v>1786</v>
      </c>
      <c r="T220" s="2" t="s">
        <v>1019</v>
      </c>
      <c r="U220" s="4" t="s">
        <v>31</v>
      </c>
      <c r="V220" s="2" t="s">
        <v>674</v>
      </c>
      <c r="W220" s="2" t="s">
        <v>1778</v>
      </c>
      <c r="X220" s="5" t="str">
        <f>HYPERLINK("https://my.pitchbook.com?p=205760-08P","View People Online")</f>
        <v>View People Online</v>
      </c>
    </row>
    <row r="221">
      <c r="A221" s="6" t="s">
        <v>1810</v>
      </c>
      <c r="B221" s="6" t="s">
        <v>1811</v>
      </c>
      <c r="C221" s="6" t="s">
        <v>1812</v>
      </c>
      <c r="D221" s="6" t="s">
        <v>408</v>
      </c>
      <c r="E221" s="6" t="s">
        <v>1778</v>
      </c>
      <c r="F221" s="6" t="s">
        <v>221</v>
      </c>
      <c r="G221" s="6" t="s">
        <v>1813</v>
      </c>
      <c r="H221" s="7" t="s">
        <v>31</v>
      </c>
      <c r="I221" s="7">
        <v>1.0</v>
      </c>
      <c r="J221" s="7">
        <v>1.0</v>
      </c>
      <c r="K221" s="7" t="s">
        <v>31</v>
      </c>
      <c r="L221" s="8" t="s">
        <v>31</v>
      </c>
      <c r="M221" s="6" t="s">
        <v>31</v>
      </c>
      <c r="N221" s="6" t="s">
        <v>1781</v>
      </c>
      <c r="O221" s="8" t="s">
        <v>1782</v>
      </c>
      <c r="P221" s="6" t="s">
        <v>1783</v>
      </c>
      <c r="Q221" s="6" t="s">
        <v>1784</v>
      </c>
      <c r="R221" s="6" t="s">
        <v>1785</v>
      </c>
      <c r="S221" s="8" t="s">
        <v>1786</v>
      </c>
      <c r="T221" s="6" t="s">
        <v>1019</v>
      </c>
      <c r="U221" s="8" t="s">
        <v>31</v>
      </c>
      <c r="V221" s="6" t="s">
        <v>221</v>
      </c>
      <c r="W221" s="6" t="s">
        <v>1778</v>
      </c>
      <c r="X221" s="9" t="str">
        <f>HYPERLINK("https://my.pitchbook.com?p=209010-52P","View People Online")</f>
        <v>View People Online</v>
      </c>
    </row>
    <row r="222">
      <c r="A222" s="10" t="s">
        <v>1814</v>
      </c>
      <c r="B222" s="10" t="s">
        <v>1815</v>
      </c>
      <c r="C222" s="10" t="s">
        <v>180</v>
      </c>
      <c r="D222" s="10" t="s">
        <v>1816</v>
      </c>
      <c r="E222" s="10" t="s">
        <v>1778</v>
      </c>
      <c r="F222" s="10" t="s">
        <v>29</v>
      </c>
      <c r="G222" s="10" t="s">
        <v>1817</v>
      </c>
      <c r="H222" s="11">
        <v>2.0</v>
      </c>
      <c r="I222" s="11">
        <v>4.0</v>
      </c>
      <c r="J222" s="11">
        <v>1.0</v>
      </c>
      <c r="K222" s="11">
        <v>1.0</v>
      </c>
      <c r="L222" s="12" t="s">
        <v>31</v>
      </c>
      <c r="M222" s="10" t="s">
        <v>31</v>
      </c>
      <c r="N222" s="10" t="s">
        <v>1781</v>
      </c>
      <c r="O222" s="12" t="s">
        <v>1782</v>
      </c>
      <c r="P222" s="10" t="s">
        <v>1783</v>
      </c>
      <c r="Q222" s="10" t="s">
        <v>1784</v>
      </c>
      <c r="R222" s="10" t="s">
        <v>1785</v>
      </c>
      <c r="S222" s="12" t="s">
        <v>1786</v>
      </c>
      <c r="T222" s="10" t="s">
        <v>1019</v>
      </c>
      <c r="U222" s="12" t="s">
        <v>31</v>
      </c>
      <c r="V222" s="10" t="s">
        <v>29</v>
      </c>
      <c r="W222" s="10" t="s">
        <v>1778</v>
      </c>
      <c r="X222" s="13" t="str">
        <f>HYPERLINK("https://my.pitchbook.com?p=259765-39P","View People Online")</f>
        <v>View People Online</v>
      </c>
    </row>
    <row r="223">
      <c r="A223" s="14" t="s">
        <v>1818</v>
      </c>
      <c r="B223" s="14" t="s">
        <v>1819</v>
      </c>
      <c r="C223" s="14" t="s">
        <v>1820</v>
      </c>
      <c r="D223" s="14" t="s">
        <v>408</v>
      </c>
      <c r="E223" s="14" t="s">
        <v>1778</v>
      </c>
      <c r="F223" s="14" t="s">
        <v>318</v>
      </c>
      <c r="G223" s="14" t="s">
        <v>1821</v>
      </c>
      <c r="H223" s="15" t="s">
        <v>31</v>
      </c>
      <c r="I223" s="15">
        <v>1.0</v>
      </c>
      <c r="J223" s="15">
        <v>1.0</v>
      </c>
      <c r="K223" s="15" t="s">
        <v>31</v>
      </c>
      <c r="L223" s="16" t="s">
        <v>31</v>
      </c>
      <c r="M223" s="14" t="s">
        <v>31</v>
      </c>
      <c r="N223" s="14" t="s">
        <v>1781</v>
      </c>
      <c r="O223" s="16" t="s">
        <v>1782</v>
      </c>
      <c r="P223" s="14" t="s">
        <v>1783</v>
      </c>
      <c r="Q223" s="14" t="s">
        <v>1784</v>
      </c>
      <c r="R223" s="14" t="s">
        <v>1785</v>
      </c>
      <c r="S223" s="16" t="s">
        <v>1786</v>
      </c>
      <c r="T223" s="14" t="s">
        <v>1019</v>
      </c>
      <c r="U223" s="16" t="s">
        <v>31</v>
      </c>
      <c r="V223" s="14" t="s">
        <v>318</v>
      </c>
      <c r="W223" s="14" t="s">
        <v>1778</v>
      </c>
      <c r="X223" s="17" t="str">
        <f>HYPERLINK("https://my.pitchbook.com?p=319065-58P","View People Online")</f>
        <v>View People Online</v>
      </c>
    </row>
    <row r="224">
      <c r="A224" s="2" t="s">
        <v>1822</v>
      </c>
      <c r="B224" s="2" t="s">
        <v>1823</v>
      </c>
      <c r="C224" s="2" t="s">
        <v>1824</v>
      </c>
      <c r="D224" s="2" t="s">
        <v>1825</v>
      </c>
      <c r="E224" s="2" t="s">
        <v>1778</v>
      </c>
      <c r="F224" s="2" t="s">
        <v>318</v>
      </c>
      <c r="G224" s="2" t="s">
        <v>1826</v>
      </c>
      <c r="H224" s="3" t="s">
        <v>31</v>
      </c>
      <c r="I224" s="3">
        <v>1.0</v>
      </c>
      <c r="J224" s="3">
        <v>1.0</v>
      </c>
      <c r="K224" s="3" t="s">
        <v>31</v>
      </c>
      <c r="L224" s="4" t="s">
        <v>31</v>
      </c>
      <c r="M224" s="2" t="s">
        <v>1827</v>
      </c>
      <c r="N224" s="2" t="s">
        <v>1781</v>
      </c>
      <c r="O224" s="4" t="s">
        <v>1782</v>
      </c>
      <c r="P224" s="2" t="s">
        <v>1783</v>
      </c>
      <c r="Q224" s="2" t="s">
        <v>1784</v>
      </c>
      <c r="R224" s="2" t="s">
        <v>1785</v>
      </c>
      <c r="S224" s="4" t="s">
        <v>1786</v>
      </c>
      <c r="T224" s="2" t="s">
        <v>1019</v>
      </c>
      <c r="U224" s="4" t="s">
        <v>31</v>
      </c>
      <c r="V224" s="2" t="s">
        <v>318</v>
      </c>
      <c r="W224" s="2" t="s">
        <v>1778</v>
      </c>
      <c r="X224" s="5" t="str">
        <f>HYPERLINK("https://my.pitchbook.com?p=259771-96P","View People Online")</f>
        <v>View People Online</v>
      </c>
    </row>
    <row r="225">
      <c r="A225" s="6" t="s">
        <v>1828</v>
      </c>
      <c r="B225" s="6" t="s">
        <v>1829</v>
      </c>
      <c r="C225" s="6" t="s">
        <v>1830</v>
      </c>
      <c r="D225" s="6" t="s">
        <v>1831</v>
      </c>
      <c r="E225" s="6" t="s">
        <v>1778</v>
      </c>
      <c r="F225" s="6" t="s">
        <v>43</v>
      </c>
      <c r="G225" s="6" t="s">
        <v>1832</v>
      </c>
      <c r="H225" s="7" t="s">
        <v>31</v>
      </c>
      <c r="I225" s="7">
        <v>2.0</v>
      </c>
      <c r="J225" s="7">
        <v>1.0</v>
      </c>
      <c r="K225" s="7" t="s">
        <v>31</v>
      </c>
      <c r="L225" s="8" t="s">
        <v>31</v>
      </c>
      <c r="M225" s="6" t="s">
        <v>31</v>
      </c>
      <c r="N225" s="6" t="s">
        <v>1781</v>
      </c>
      <c r="O225" s="8" t="s">
        <v>1782</v>
      </c>
      <c r="P225" s="6" t="s">
        <v>1783</v>
      </c>
      <c r="Q225" s="6" t="s">
        <v>1784</v>
      </c>
      <c r="R225" s="6" t="s">
        <v>1785</v>
      </c>
      <c r="S225" s="8" t="s">
        <v>1786</v>
      </c>
      <c r="T225" s="6" t="s">
        <v>1019</v>
      </c>
      <c r="U225" s="8" t="s">
        <v>31</v>
      </c>
      <c r="V225" s="6" t="s">
        <v>43</v>
      </c>
      <c r="W225" s="6" t="s">
        <v>1778</v>
      </c>
      <c r="X225" s="9" t="str">
        <f>HYPERLINK("https://my.pitchbook.com?p=259773-22P","View People Online")</f>
        <v>View People Online</v>
      </c>
    </row>
    <row r="226">
      <c r="A226" s="10" t="s">
        <v>1833</v>
      </c>
      <c r="B226" s="10" t="s">
        <v>1834</v>
      </c>
      <c r="C226" s="10" t="s">
        <v>1835</v>
      </c>
      <c r="D226" s="10" t="s">
        <v>1836</v>
      </c>
      <c r="E226" s="10" t="s">
        <v>1837</v>
      </c>
      <c r="F226" s="10" t="s">
        <v>548</v>
      </c>
      <c r="G226" s="10" t="s">
        <v>1838</v>
      </c>
      <c r="H226" s="11" t="s">
        <v>31</v>
      </c>
      <c r="I226" s="11">
        <v>3.0</v>
      </c>
      <c r="J226" s="11">
        <v>1.0</v>
      </c>
      <c r="K226" s="11">
        <v>2.0</v>
      </c>
      <c r="L226" s="12" t="s">
        <v>1839</v>
      </c>
      <c r="M226" s="10" t="s">
        <v>1840</v>
      </c>
      <c r="N226" s="10" t="s">
        <v>1841</v>
      </c>
      <c r="O226" s="12" t="s">
        <v>1842</v>
      </c>
      <c r="P226" s="10" t="s">
        <v>1843</v>
      </c>
      <c r="Q226" s="10" t="s">
        <v>1844</v>
      </c>
      <c r="R226" s="10" t="s">
        <v>31</v>
      </c>
      <c r="S226" s="12" t="s">
        <v>31</v>
      </c>
      <c r="T226" s="10" t="s">
        <v>1845</v>
      </c>
      <c r="U226" s="12" t="s">
        <v>31</v>
      </c>
      <c r="V226" s="10" t="s">
        <v>1846</v>
      </c>
      <c r="W226" s="10" t="s">
        <v>1837</v>
      </c>
      <c r="X226" s="13" t="str">
        <f>HYPERLINK("https://my.pitchbook.com?p=321910-21P","View People Online")</f>
        <v>View People Online</v>
      </c>
    </row>
    <row r="227">
      <c r="A227" s="6" t="s">
        <v>1847</v>
      </c>
      <c r="B227" s="6" t="s">
        <v>1848</v>
      </c>
      <c r="C227" s="6" t="s">
        <v>622</v>
      </c>
      <c r="D227" s="6" t="s">
        <v>1849</v>
      </c>
      <c r="E227" s="6" t="s">
        <v>1837</v>
      </c>
      <c r="F227" s="6" t="s">
        <v>270</v>
      </c>
      <c r="G227" s="6" t="s">
        <v>1850</v>
      </c>
      <c r="H227" s="7" t="s">
        <v>31</v>
      </c>
      <c r="I227" s="7">
        <v>1.0</v>
      </c>
      <c r="J227" s="7">
        <v>1.0</v>
      </c>
      <c r="K227" s="7" t="s">
        <v>31</v>
      </c>
      <c r="L227" s="8" t="s">
        <v>1851</v>
      </c>
      <c r="M227" s="6" t="s">
        <v>1852</v>
      </c>
      <c r="N227" s="6" t="s">
        <v>75</v>
      </c>
      <c r="O227" s="8" t="s">
        <v>76</v>
      </c>
      <c r="P227" s="6" t="s">
        <v>1853</v>
      </c>
      <c r="Q227" s="6" t="s">
        <v>1854</v>
      </c>
      <c r="R227" s="6" t="s">
        <v>75</v>
      </c>
      <c r="S227" s="8" t="s">
        <v>1855</v>
      </c>
      <c r="T227" s="6" t="s">
        <v>66</v>
      </c>
      <c r="U227" s="8" t="s">
        <v>1856</v>
      </c>
      <c r="V227" s="6" t="s">
        <v>1857</v>
      </c>
      <c r="W227" s="6" t="s">
        <v>1837</v>
      </c>
      <c r="X227" s="9" t="str">
        <f>HYPERLINK("https://my.pitchbook.com?p=425518-21P","View People Online")</f>
        <v>View People Online</v>
      </c>
    </row>
    <row r="228">
      <c r="A228" s="10" t="s">
        <v>1858</v>
      </c>
      <c r="B228" s="10" t="s">
        <v>1859</v>
      </c>
      <c r="C228" s="10" t="s">
        <v>233</v>
      </c>
      <c r="D228" s="10" t="s">
        <v>1860</v>
      </c>
      <c r="E228" s="10" t="s">
        <v>1837</v>
      </c>
      <c r="F228" s="10" t="s">
        <v>81</v>
      </c>
      <c r="G228" s="10" t="s">
        <v>1861</v>
      </c>
      <c r="H228" s="11" t="s">
        <v>31</v>
      </c>
      <c r="I228" s="11">
        <v>1.0</v>
      </c>
      <c r="J228" s="11" t="s">
        <v>31</v>
      </c>
      <c r="K228" s="11" t="s">
        <v>31</v>
      </c>
      <c r="L228" s="12" t="s">
        <v>1851</v>
      </c>
      <c r="M228" s="10" t="s">
        <v>1862</v>
      </c>
      <c r="N228" s="10" t="s">
        <v>75</v>
      </c>
      <c r="O228" s="12" t="s">
        <v>76</v>
      </c>
      <c r="P228" s="10" t="s">
        <v>1853</v>
      </c>
      <c r="Q228" s="10" t="s">
        <v>1854</v>
      </c>
      <c r="R228" s="10" t="s">
        <v>75</v>
      </c>
      <c r="S228" s="12" t="s">
        <v>1855</v>
      </c>
      <c r="T228" s="10" t="s">
        <v>66</v>
      </c>
      <c r="U228" s="12" t="s">
        <v>1856</v>
      </c>
      <c r="V228" s="10" t="s">
        <v>81</v>
      </c>
      <c r="W228" s="10" t="s">
        <v>1837</v>
      </c>
      <c r="X228" s="13" t="str">
        <f>HYPERLINK("https://my.pitchbook.com?p=188493-76P","View People Online")</f>
        <v>View People Online</v>
      </c>
    </row>
    <row r="229">
      <c r="A229" s="14" t="s">
        <v>1863</v>
      </c>
      <c r="B229" s="14" t="s">
        <v>1864</v>
      </c>
      <c r="C229" s="14" t="s">
        <v>1865</v>
      </c>
      <c r="D229" s="14" t="s">
        <v>1866</v>
      </c>
      <c r="E229" s="14" t="s">
        <v>1837</v>
      </c>
      <c r="F229" s="14" t="s">
        <v>896</v>
      </c>
      <c r="G229" s="14" t="s">
        <v>1867</v>
      </c>
      <c r="H229" s="15" t="s">
        <v>31</v>
      </c>
      <c r="I229" s="15">
        <v>1.0</v>
      </c>
      <c r="J229" s="15">
        <v>1.0</v>
      </c>
      <c r="K229" s="15" t="s">
        <v>31</v>
      </c>
      <c r="L229" s="16" t="s">
        <v>31</v>
      </c>
      <c r="M229" s="14" t="s">
        <v>1868</v>
      </c>
      <c r="N229" s="14" t="s">
        <v>1203</v>
      </c>
      <c r="O229" s="16" t="s">
        <v>1204</v>
      </c>
      <c r="P229" s="14" t="s">
        <v>1869</v>
      </c>
      <c r="Q229" s="14" t="s">
        <v>1870</v>
      </c>
      <c r="R229" s="14" t="s">
        <v>1207</v>
      </c>
      <c r="S229" s="16" t="s">
        <v>1871</v>
      </c>
      <c r="T229" s="14" t="s">
        <v>1209</v>
      </c>
      <c r="U229" s="16" t="s">
        <v>31</v>
      </c>
      <c r="V229" s="14" t="s">
        <v>1872</v>
      </c>
      <c r="W229" s="14" t="s">
        <v>1837</v>
      </c>
      <c r="X229" s="17" t="str">
        <f>HYPERLINK("https://my.pitchbook.com?p=321910-30P","View People Online")</f>
        <v>View People Online</v>
      </c>
    </row>
    <row r="230">
      <c r="A230" s="10" t="s">
        <v>1873</v>
      </c>
      <c r="B230" s="10" t="s">
        <v>1874</v>
      </c>
      <c r="C230" s="10" t="s">
        <v>1875</v>
      </c>
      <c r="D230" s="10" t="s">
        <v>1876</v>
      </c>
      <c r="E230" s="10" t="s">
        <v>1837</v>
      </c>
      <c r="F230" s="10" t="s">
        <v>270</v>
      </c>
      <c r="G230" s="10" t="s">
        <v>1877</v>
      </c>
      <c r="H230" s="11">
        <v>2.0</v>
      </c>
      <c r="I230" s="11">
        <v>5.0</v>
      </c>
      <c r="J230" s="11">
        <v>1.0</v>
      </c>
      <c r="K230" s="11">
        <v>1.0</v>
      </c>
      <c r="L230" s="12" t="s">
        <v>1878</v>
      </c>
      <c r="M230" s="10" t="s">
        <v>1879</v>
      </c>
      <c r="N230" s="10" t="s">
        <v>75</v>
      </c>
      <c r="O230" s="12" t="s">
        <v>76</v>
      </c>
      <c r="P230" s="10" t="s">
        <v>1853</v>
      </c>
      <c r="Q230" s="10" t="s">
        <v>1854</v>
      </c>
      <c r="R230" s="10" t="s">
        <v>75</v>
      </c>
      <c r="S230" s="12" t="s">
        <v>1855</v>
      </c>
      <c r="T230" s="10" t="s">
        <v>66</v>
      </c>
      <c r="U230" s="12" t="s">
        <v>1856</v>
      </c>
      <c r="V230" s="10" t="s">
        <v>1880</v>
      </c>
      <c r="W230" s="10" t="s">
        <v>1837</v>
      </c>
      <c r="X230" s="13" t="str">
        <f>HYPERLINK("https://my.pitchbook.com?p=78683-86P","View People Online")</f>
        <v>View People Online</v>
      </c>
    </row>
    <row r="231">
      <c r="A231" s="6" t="s">
        <v>1881</v>
      </c>
      <c r="B231" s="6" t="s">
        <v>1882</v>
      </c>
      <c r="C231" s="6" t="s">
        <v>1103</v>
      </c>
      <c r="D231" s="6" t="s">
        <v>1883</v>
      </c>
      <c r="E231" s="6" t="s">
        <v>1837</v>
      </c>
      <c r="F231" s="6" t="s">
        <v>270</v>
      </c>
      <c r="G231" s="6" t="s">
        <v>1884</v>
      </c>
      <c r="H231" s="7" t="s">
        <v>31</v>
      </c>
      <c r="I231" s="7">
        <v>1.0</v>
      </c>
      <c r="J231" s="7">
        <v>1.0</v>
      </c>
      <c r="K231" s="7" t="s">
        <v>31</v>
      </c>
      <c r="L231" s="8" t="s">
        <v>1851</v>
      </c>
      <c r="M231" s="6" t="s">
        <v>1885</v>
      </c>
      <c r="N231" s="6" t="s">
        <v>75</v>
      </c>
      <c r="O231" s="8" t="s">
        <v>76</v>
      </c>
      <c r="P231" s="6" t="s">
        <v>1853</v>
      </c>
      <c r="Q231" s="6" t="s">
        <v>1854</v>
      </c>
      <c r="R231" s="6" t="s">
        <v>75</v>
      </c>
      <c r="S231" s="8" t="s">
        <v>1855</v>
      </c>
      <c r="T231" s="6" t="s">
        <v>66</v>
      </c>
      <c r="U231" s="8" t="s">
        <v>1856</v>
      </c>
      <c r="V231" s="6" t="s">
        <v>1886</v>
      </c>
      <c r="W231" s="6" t="s">
        <v>1837</v>
      </c>
      <c r="X231" s="9" t="str">
        <f>HYPERLINK("https://my.pitchbook.com?p=428039-56P","View People Online")</f>
        <v>View People Online</v>
      </c>
    </row>
    <row r="232">
      <c r="A232" s="10" t="s">
        <v>1887</v>
      </c>
      <c r="B232" s="10" t="s">
        <v>1888</v>
      </c>
      <c r="C232" s="10" t="s">
        <v>1889</v>
      </c>
      <c r="D232" s="10" t="s">
        <v>1890</v>
      </c>
      <c r="E232" s="10" t="s">
        <v>1837</v>
      </c>
      <c r="F232" s="10" t="s">
        <v>81</v>
      </c>
      <c r="G232" s="10" t="s">
        <v>1891</v>
      </c>
      <c r="H232" s="11">
        <v>2.0</v>
      </c>
      <c r="I232" s="11">
        <v>10.0</v>
      </c>
      <c r="J232" s="11">
        <v>1.0</v>
      </c>
      <c r="K232" s="11">
        <v>5.0</v>
      </c>
      <c r="L232" s="12" t="s">
        <v>1892</v>
      </c>
      <c r="M232" s="10" t="s">
        <v>1893</v>
      </c>
      <c r="N232" s="10" t="s">
        <v>75</v>
      </c>
      <c r="O232" s="12" t="s">
        <v>76</v>
      </c>
      <c r="P232" s="10" t="s">
        <v>1894</v>
      </c>
      <c r="Q232" s="10" t="s">
        <v>1895</v>
      </c>
      <c r="R232" s="10" t="s">
        <v>75</v>
      </c>
      <c r="S232" s="12" t="s">
        <v>1896</v>
      </c>
      <c r="T232" s="10" t="s">
        <v>66</v>
      </c>
      <c r="U232" s="12" t="s">
        <v>31</v>
      </c>
      <c r="V232" s="10" t="s">
        <v>558</v>
      </c>
      <c r="W232" s="10" t="s">
        <v>1897</v>
      </c>
      <c r="X232" s="13" t="str">
        <f>HYPERLINK("https://my.pitchbook.com?p=38969-47P","View People Online")</f>
        <v>View People Online</v>
      </c>
    </row>
    <row r="233">
      <c r="A233" s="14" t="s">
        <v>1898</v>
      </c>
      <c r="B233" s="14" t="s">
        <v>1899</v>
      </c>
      <c r="C233" s="14" t="s">
        <v>1900</v>
      </c>
      <c r="D233" s="14" t="s">
        <v>408</v>
      </c>
      <c r="E233" s="14" t="s">
        <v>1837</v>
      </c>
      <c r="F233" s="14" t="s">
        <v>548</v>
      </c>
      <c r="G233" s="14" t="s">
        <v>1901</v>
      </c>
      <c r="H233" s="15">
        <v>1.0</v>
      </c>
      <c r="I233" s="15">
        <v>2.0</v>
      </c>
      <c r="J233" s="15">
        <v>1.0</v>
      </c>
      <c r="K233" s="15" t="s">
        <v>31</v>
      </c>
      <c r="L233" s="16" t="s">
        <v>1851</v>
      </c>
      <c r="M233" s="14" t="s">
        <v>1902</v>
      </c>
      <c r="N233" s="14" t="s">
        <v>75</v>
      </c>
      <c r="O233" s="16" t="s">
        <v>76</v>
      </c>
      <c r="P233" s="14" t="s">
        <v>1853</v>
      </c>
      <c r="Q233" s="14" t="s">
        <v>1854</v>
      </c>
      <c r="R233" s="14" t="s">
        <v>75</v>
      </c>
      <c r="S233" s="16" t="s">
        <v>1855</v>
      </c>
      <c r="T233" s="14" t="s">
        <v>66</v>
      </c>
      <c r="U233" s="16" t="s">
        <v>1856</v>
      </c>
      <c r="V233" s="14" t="s">
        <v>1903</v>
      </c>
      <c r="W233" s="14" t="s">
        <v>1837</v>
      </c>
      <c r="X233" s="17" t="str">
        <f>HYPERLINK("https://my.pitchbook.com?p=153260-74P","View People Online")</f>
        <v>View People Online</v>
      </c>
    </row>
    <row r="234">
      <c r="A234" s="10" t="s">
        <v>1904</v>
      </c>
      <c r="B234" s="10" t="s">
        <v>1905</v>
      </c>
      <c r="C234" s="10" t="s">
        <v>1906</v>
      </c>
      <c r="D234" s="10" t="s">
        <v>1907</v>
      </c>
      <c r="E234" s="10" t="s">
        <v>1837</v>
      </c>
      <c r="F234" s="10" t="s">
        <v>201</v>
      </c>
      <c r="G234" s="10" t="s">
        <v>1908</v>
      </c>
      <c r="H234" s="11" t="s">
        <v>31</v>
      </c>
      <c r="I234" s="11">
        <v>1.0</v>
      </c>
      <c r="J234" s="11">
        <v>1.0</v>
      </c>
      <c r="K234" s="11" t="s">
        <v>31</v>
      </c>
      <c r="L234" s="12" t="s">
        <v>1851</v>
      </c>
      <c r="M234" s="10" t="s">
        <v>1909</v>
      </c>
      <c r="N234" s="10" t="s">
        <v>75</v>
      </c>
      <c r="O234" s="12" t="s">
        <v>76</v>
      </c>
      <c r="P234" s="10" t="s">
        <v>1853</v>
      </c>
      <c r="Q234" s="10" t="s">
        <v>1854</v>
      </c>
      <c r="R234" s="10" t="s">
        <v>75</v>
      </c>
      <c r="S234" s="12" t="s">
        <v>1855</v>
      </c>
      <c r="T234" s="10" t="s">
        <v>66</v>
      </c>
      <c r="U234" s="12" t="s">
        <v>1856</v>
      </c>
      <c r="V234" s="10" t="s">
        <v>1910</v>
      </c>
      <c r="W234" s="10" t="s">
        <v>1837</v>
      </c>
      <c r="X234" s="13" t="str">
        <f>HYPERLINK("https://my.pitchbook.com?p=270033-40P","View People Online")</f>
        <v>View People Online</v>
      </c>
    </row>
    <row r="235">
      <c r="A235" s="14" t="s">
        <v>1911</v>
      </c>
      <c r="B235" s="14" t="s">
        <v>1912</v>
      </c>
      <c r="C235" s="14" t="s">
        <v>1913</v>
      </c>
      <c r="D235" s="14" t="s">
        <v>1914</v>
      </c>
      <c r="E235" s="14" t="s">
        <v>1837</v>
      </c>
      <c r="F235" s="14" t="s">
        <v>548</v>
      </c>
      <c r="G235" s="14" t="s">
        <v>1915</v>
      </c>
      <c r="H235" s="15" t="s">
        <v>31</v>
      </c>
      <c r="I235" s="15">
        <v>2.0</v>
      </c>
      <c r="J235" s="15">
        <v>1.0</v>
      </c>
      <c r="K235" s="15" t="s">
        <v>31</v>
      </c>
      <c r="L235" s="16" t="s">
        <v>1851</v>
      </c>
      <c r="M235" s="14" t="s">
        <v>1916</v>
      </c>
      <c r="N235" s="14" t="s">
        <v>75</v>
      </c>
      <c r="O235" s="16" t="s">
        <v>76</v>
      </c>
      <c r="P235" s="14" t="s">
        <v>1853</v>
      </c>
      <c r="Q235" s="14" t="s">
        <v>1854</v>
      </c>
      <c r="R235" s="14" t="s">
        <v>75</v>
      </c>
      <c r="S235" s="16" t="s">
        <v>1855</v>
      </c>
      <c r="T235" s="14" t="s">
        <v>66</v>
      </c>
      <c r="U235" s="16" t="s">
        <v>1856</v>
      </c>
      <c r="V235" s="14" t="s">
        <v>1917</v>
      </c>
      <c r="W235" s="14" t="s">
        <v>1837</v>
      </c>
      <c r="X235" s="17" t="str">
        <f>HYPERLINK("https://my.pitchbook.com?p=153252-64P","View People Online")</f>
        <v>View People Online</v>
      </c>
    </row>
    <row r="236">
      <c r="A236" s="2" t="s">
        <v>1918</v>
      </c>
      <c r="B236" s="2" t="s">
        <v>1919</v>
      </c>
      <c r="C236" s="2" t="s">
        <v>1920</v>
      </c>
      <c r="D236" s="2" t="s">
        <v>1921</v>
      </c>
      <c r="E236" s="2" t="s">
        <v>1837</v>
      </c>
      <c r="F236" s="2" t="s">
        <v>1922</v>
      </c>
      <c r="G236" s="2" t="s">
        <v>1923</v>
      </c>
      <c r="H236" s="3" t="s">
        <v>31</v>
      </c>
      <c r="I236" s="3">
        <v>1.0</v>
      </c>
      <c r="J236" s="3">
        <v>1.0</v>
      </c>
      <c r="K236" s="3" t="s">
        <v>31</v>
      </c>
      <c r="L236" s="4" t="s">
        <v>1924</v>
      </c>
      <c r="M236" s="2" t="s">
        <v>1925</v>
      </c>
      <c r="N236" s="2" t="s">
        <v>1841</v>
      </c>
      <c r="O236" s="4" t="s">
        <v>1842</v>
      </c>
      <c r="P236" s="2" t="s">
        <v>1843</v>
      </c>
      <c r="Q236" s="2" t="s">
        <v>1844</v>
      </c>
      <c r="R236" s="2" t="s">
        <v>31</v>
      </c>
      <c r="S236" s="4" t="s">
        <v>31</v>
      </c>
      <c r="T236" s="2" t="s">
        <v>1845</v>
      </c>
      <c r="U236" s="4" t="s">
        <v>31</v>
      </c>
      <c r="V236" s="2" t="s">
        <v>1926</v>
      </c>
      <c r="W236" s="2" t="s">
        <v>1837</v>
      </c>
      <c r="X236" s="5" t="str">
        <f>HYPERLINK("https://my.pitchbook.com?p=221979-43P","View People Online")</f>
        <v>View People Online</v>
      </c>
    </row>
    <row r="237">
      <c r="A237" s="6" t="s">
        <v>1927</v>
      </c>
      <c r="B237" s="6" t="s">
        <v>1928</v>
      </c>
      <c r="C237" s="6" t="s">
        <v>1929</v>
      </c>
      <c r="D237" s="6" t="s">
        <v>1930</v>
      </c>
      <c r="E237" s="6" t="s">
        <v>1837</v>
      </c>
      <c r="F237" s="6" t="s">
        <v>896</v>
      </c>
      <c r="G237" s="6" t="s">
        <v>1931</v>
      </c>
      <c r="H237" s="7" t="s">
        <v>31</v>
      </c>
      <c r="I237" s="7">
        <v>1.0</v>
      </c>
      <c r="J237" s="7">
        <v>1.0</v>
      </c>
      <c r="K237" s="7" t="s">
        <v>31</v>
      </c>
      <c r="L237" s="8" t="s">
        <v>1851</v>
      </c>
      <c r="M237" s="6" t="s">
        <v>31</v>
      </c>
      <c r="N237" s="6" t="s">
        <v>75</v>
      </c>
      <c r="O237" s="8" t="s">
        <v>76</v>
      </c>
      <c r="P237" s="6" t="s">
        <v>1853</v>
      </c>
      <c r="Q237" s="6" t="s">
        <v>1854</v>
      </c>
      <c r="R237" s="6" t="s">
        <v>75</v>
      </c>
      <c r="S237" s="8" t="s">
        <v>1855</v>
      </c>
      <c r="T237" s="6" t="s">
        <v>66</v>
      </c>
      <c r="U237" s="8" t="s">
        <v>1856</v>
      </c>
      <c r="V237" s="6" t="s">
        <v>896</v>
      </c>
      <c r="W237" s="6" t="s">
        <v>1837</v>
      </c>
      <c r="X237" s="9" t="str">
        <f>HYPERLINK("https://my.pitchbook.com?p=425519-20P","View People Online")</f>
        <v>View People Online</v>
      </c>
    </row>
    <row r="238">
      <c r="A238" s="2" t="s">
        <v>1932</v>
      </c>
      <c r="B238" s="2" t="s">
        <v>1933</v>
      </c>
      <c r="C238" s="2" t="s">
        <v>1929</v>
      </c>
      <c r="D238" s="2" t="s">
        <v>1934</v>
      </c>
      <c r="E238" s="2" t="s">
        <v>1837</v>
      </c>
      <c r="F238" s="2" t="s">
        <v>81</v>
      </c>
      <c r="G238" s="2" t="s">
        <v>1935</v>
      </c>
      <c r="H238" s="3">
        <v>3.0</v>
      </c>
      <c r="I238" s="3">
        <v>9.0</v>
      </c>
      <c r="J238" s="3">
        <v>1.0</v>
      </c>
      <c r="K238" s="3">
        <v>1.0</v>
      </c>
      <c r="L238" s="4" t="s">
        <v>1936</v>
      </c>
      <c r="M238" s="2" t="s">
        <v>1937</v>
      </c>
      <c r="N238" s="2" t="s">
        <v>243</v>
      </c>
      <c r="O238" s="4" t="s">
        <v>244</v>
      </c>
      <c r="P238" s="2" t="s">
        <v>1938</v>
      </c>
      <c r="Q238" s="2" t="s">
        <v>31</v>
      </c>
      <c r="R238" s="2" t="s">
        <v>247</v>
      </c>
      <c r="S238" s="4" t="s">
        <v>1939</v>
      </c>
      <c r="T238" s="2" t="s">
        <v>249</v>
      </c>
      <c r="U238" s="4" t="s">
        <v>31</v>
      </c>
      <c r="V238" s="2" t="s">
        <v>29</v>
      </c>
      <c r="W238" s="2" t="s">
        <v>1940</v>
      </c>
      <c r="X238" s="5" t="str">
        <f>HYPERLINK("https://my.pitchbook.com?p=50817-61P","View People Online")</f>
        <v>View People Online</v>
      </c>
    </row>
    <row r="239">
      <c r="A239" s="14" t="s">
        <v>1941</v>
      </c>
      <c r="B239" s="14" t="s">
        <v>1942</v>
      </c>
      <c r="C239" s="14" t="s">
        <v>1943</v>
      </c>
      <c r="D239" s="14" t="s">
        <v>1944</v>
      </c>
      <c r="E239" s="14" t="s">
        <v>1837</v>
      </c>
      <c r="F239" s="14" t="s">
        <v>583</v>
      </c>
      <c r="G239" s="14" t="s">
        <v>1945</v>
      </c>
      <c r="H239" s="15">
        <v>3.0</v>
      </c>
      <c r="I239" s="15">
        <v>8.0</v>
      </c>
      <c r="J239" s="15">
        <v>1.0</v>
      </c>
      <c r="K239" s="15">
        <v>4.0</v>
      </c>
      <c r="L239" s="16" t="s">
        <v>1946</v>
      </c>
      <c r="M239" s="14" t="s">
        <v>1947</v>
      </c>
      <c r="N239" s="14" t="s">
        <v>75</v>
      </c>
      <c r="O239" s="16" t="s">
        <v>76</v>
      </c>
      <c r="P239" s="14" t="s">
        <v>1853</v>
      </c>
      <c r="Q239" s="14" t="s">
        <v>1854</v>
      </c>
      <c r="R239" s="14" t="s">
        <v>75</v>
      </c>
      <c r="S239" s="16" t="s">
        <v>1855</v>
      </c>
      <c r="T239" s="14" t="s">
        <v>66</v>
      </c>
      <c r="U239" s="16" t="s">
        <v>1856</v>
      </c>
      <c r="V239" s="14" t="s">
        <v>583</v>
      </c>
      <c r="W239" s="14" t="s">
        <v>1837</v>
      </c>
      <c r="X239" s="17" t="str">
        <f>HYPERLINK("https://my.pitchbook.com?p=11562-76P","View People Online")</f>
        <v>View People Online</v>
      </c>
    </row>
    <row r="240">
      <c r="A240" s="10" t="s">
        <v>1948</v>
      </c>
      <c r="B240" s="10" t="s">
        <v>1949</v>
      </c>
      <c r="C240" s="10" t="s">
        <v>1437</v>
      </c>
      <c r="D240" s="10" t="s">
        <v>1950</v>
      </c>
      <c r="E240" s="10" t="s">
        <v>1837</v>
      </c>
      <c r="F240" s="10" t="s">
        <v>81</v>
      </c>
      <c r="G240" s="10" t="s">
        <v>1951</v>
      </c>
      <c r="H240" s="11" t="s">
        <v>31</v>
      </c>
      <c r="I240" s="11">
        <v>19.0</v>
      </c>
      <c r="J240" s="11">
        <v>2.0</v>
      </c>
      <c r="K240" s="11">
        <v>15.0</v>
      </c>
      <c r="L240" s="12" t="s">
        <v>1952</v>
      </c>
      <c r="M240" s="10" t="s">
        <v>1953</v>
      </c>
      <c r="N240" s="10" t="s">
        <v>75</v>
      </c>
      <c r="O240" s="12" t="s">
        <v>76</v>
      </c>
      <c r="P240" s="10" t="s">
        <v>1954</v>
      </c>
      <c r="Q240" s="10" t="s">
        <v>1955</v>
      </c>
      <c r="R240" s="10" t="s">
        <v>75</v>
      </c>
      <c r="S240" s="12" t="s">
        <v>1855</v>
      </c>
      <c r="T240" s="10" t="s">
        <v>66</v>
      </c>
      <c r="U240" s="12" t="s">
        <v>31</v>
      </c>
      <c r="V240" s="10" t="s">
        <v>1956</v>
      </c>
      <c r="W240" s="10" t="s">
        <v>1957</v>
      </c>
      <c r="X240" s="13" t="str">
        <f>HYPERLINK("https://my.pitchbook.com?p=145874-80P","View People Online")</f>
        <v>View People Online</v>
      </c>
    </row>
    <row r="241">
      <c r="A241" s="6" t="s">
        <v>1958</v>
      </c>
      <c r="B241" s="6" t="s">
        <v>1959</v>
      </c>
      <c r="C241" s="6" t="s">
        <v>1437</v>
      </c>
      <c r="D241" s="6" t="s">
        <v>1960</v>
      </c>
      <c r="E241" s="6" t="s">
        <v>1837</v>
      </c>
      <c r="F241" s="6" t="s">
        <v>548</v>
      </c>
      <c r="G241" s="6" t="s">
        <v>1961</v>
      </c>
      <c r="H241" s="7">
        <v>2.0</v>
      </c>
      <c r="I241" s="7">
        <v>3.0</v>
      </c>
      <c r="J241" s="7">
        <v>1.0</v>
      </c>
      <c r="K241" s="7" t="s">
        <v>31</v>
      </c>
      <c r="L241" s="8" t="s">
        <v>1851</v>
      </c>
      <c r="M241" s="6" t="s">
        <v>1962</v>
      </c>
      <c r="N241" s="6" t="s">
        <v>75</v>
      </c>
      <c r="O241" s="8" t="s">
        <v>76</v>
      </c>
      <c r="P241" s="6" t="s">
        <v>1853</v>
      </c>
      <c r="Q241" s="6" t="s">
        <v>1854</v>
      </c>
      <c r="R241" s="6" t="s">
        <v>75</v>
      </c>
      <c r="S241" s="8" t="s">
        <v>1855</v>
      </c>
      <c r="T241" s="6" t="s">
        <v>66</v>
      </c>
      <c r="U241" s="8" t="s">
        <v>1856</v>
      </c>
      <c r="V241" s="6" t="s">
        <v>1963</v>
      </c>
      <c r="W241" s="6" t="s">
        <v>1837</v>
      </c>
      <c r="X241" s="9" t="str">
        <f>HYPERLINK("https://my.pitchbook.com?p=293964-40P","View People Online")</f>
        <v>View People Online</v>
      </c>
    </row>
    <row r="242">
      <c r="A242" s="2" t="s">
        <v>1964</v>
      </c>
      <c r="B242" s="2" t="s">
        <v>1965</v>
      </c>
      <c r="C242" s="2" t="s">
        <v>285</v>
      </c>
      <c r="D242" s="2" t="s">
        <v>1966</v>
      </c>
      <c r="E242" s="2" t="s">
        <v>1837</v>
      </c>
      <c r="F242" s="2" t="s">
        <v>1922</v>
      </c>
      <c r="G242" s="2" t="s">
        <v>1967</v>
      </c>
      <c r="H242" s="3">
        <v>1.0</v>
      </c>
      <c r="I242" s="3">
        <v>4.0</v>
      </c>
      <c r="J242" s="3">
        <v>1.0</v>
      </c>
      <c r="K242" s="3">
        <v>2.0</v>
      </c>
      <c r="L242" s="4" t="s">
        <v>1968</v>
      </c>
      <c r="M242" s="2" t="s">
        <v>1969</v>
      </c>
      <c r="N242" s="2" t="s">
        <v>243</v>
      </c>
      <c r="O242" s="4" t="s">
        <v>244</v>
      </c>
      <c r="P242" s="2" t="s">
        <v>1970</v>
      </c>
      <c r="Q242" s="2" t="s">
        <v>1971</v>
      </c>
      <c r="R242" s="2" t="s">
        <v>247</v>
      </c>
      <c r="S242" s="4" t="s">
        <v>1972</v>
      </c>
      <c r="T242" s="2" t="s">
        <v>249</v>
      </c>
      <c r="U242" s="4" t="s">
        <v>31</v>
      </c>
      <c r="V242" s="2" t="s">
        <v>1973</v>
      </c>
      <c r="W242" s="2" t="s">
        <v>1837</v>
      </c>
      <c r="X242" s="5" t="str">
        <f>HYPERLINK("https://my.pitchbook.com?p=321912-01P","View People Online")</f>
        <v>View People Online</v>
      </c>
    </row>
    <row r="243">
      <c r="A243" s="6" t="s">
        <v>1974</v>
      </c>
      <c r="B243" s="6" t="s">
        <v>1975</v>
      </c>
      <c r="C243" s="6" t="s">
        <v>285</v>
      </c>
      <c r="D243" s="6" t="s">
        <v>1976</v>
      </c>
      <c r="E243" s="6" t="s">
        <v>1837</v>
      </c>
      <c r="F243" s="6" t="s">
        <v>1922</v>
      </c>
      <c r="G243" s="6" t="s">
        <v>1977</v>
      </c>
      <c r="H243" s="7" t="s">
        <v>31</v>
      </c>
      <c r="I243" s="7">
        <v>2.0</v>
      </c>
      <c r="J243" s="7">
        <v>1.0</v>
      </c>
      <c r="K243" s="7">
        <v>1.0</v>
      </c>
      <c r="L243" s="8" t="s">
        <v>1851</v>
      </c>
      <c r="M243" s="6" t="s">
        <v>1978</v>
      </c>
      <c r="N243" s="6" t="s">
        <v>75</v>
      </c>
      <c r="O243" s="8" t="s">
        <v>76</v>
      </c>
      <c r="P243" s="6" t="s">
        <v>1853</v>
      </c>
      <c r="Q243" s="6" t="s">
        <v>1854</v>
      </c>
      <c r="R243" s="6" t="s">
        <v>75</v>
      </c>
      <c r="S243" s="8" t="s">
        <v>1855</v>
      </c>
      <c r="T243" s="6" t="s">
        <v>66</v>
      </c>
      <c r="U243" s="8" t="s">
        <v>1856</v>
      </c>
      <c r="V243" s="6" t="s">
        <v>1979</v>
      </c>
      <c r="W243" s="6" t="s">
        <v>1837</v>
      </c>
      <c r="X243" s="9" t="str">
        <f>HYPERLINK("https://my.pitchbook.com?p=321913-09P","View People Online")</f>
        <v>View People Online</v>
      </c>
    </row>
    <row r="244">
      <c r="A244" s="10" t="s">
        <v>1980</v>
      </c>
      <c r="B244" s="10" t="s">
        <v>1981</v>
      </c>
      <c r="C244" s="10" t="s">
        <v>1982</v>
      </c>
      <c r="D244" s="10" t="s">
        <v>1983</v>
      </c>
      <c r="E244" s="10" t="s">
        <v>1837</v>
      </c>
      <c r="F244" s="10" t="s">
        <v>81</v>
      </c>
      <c r="G244" s="10" t="s">
        <v>1984</v>
      </c>
      <c r="H244" s="11" t="s">
        <v>31</v>
      </c>
      <c r="I244" s="11">
        <v>1.0</v>
      </c>
      <c r="J244" s="11" t="s">
        <v>31</v>
      </c>
      <c r="K244" s="11" t="s">
        <v>31</v>
      </c>
      <c r="L244" s="12" t="s">
        <v>1851</v>
      </c>
      <c r="M244" s="10" t="s">
        <v>31</v>
      </c>
      <c r="N244" s="10" t="s">
        <v>75</v>
      </c>
      <c r="O244" s="12" t="s">
        <v>76</v>
      </c>
      <c r="P244" s="10" t="s">
        <v>1853</v>
      </c>
      <c r="Q244" s="10" t="s">
        <v>1854</v>
      </c>
      <c r="R244" s="10" t="s">
        <v>75</v>
      </c>
      <c r="S244" s="12" t="s">
        <v>1855</v>
      </c>
      <c r="T244" s="10" t="s">
        <v>66</v>
      </c>
      <c r="U244" s="12" t="s">
        <v>1856</v>
      </c>
      <c r="V244" s="10" t="s">
        <v>81</v>
      </c>
      <c r="W244" s="10" t="s">
        <v>1837</v>
      </c>
      <c r="X244" s="13" t="str">
        <f>HYPERLINK("https://my.pitchbook.com?p=378431-92P","View People Online")</f>
        <v>View People Online</v>
      </c>
    </row>
    <row r="245">
      <c r="A245" s="14" t="s">
        <v>1985</v>
      </c>
      <c r="B245" s="14" t="s">
        <v>1986</v>
      </c>
      <c r="C245" s="14" t="s">
        <v>69</v>
      </c>
      <c r="D245" s="14" t="s">
        <v>1987</v>
      </c>
      <c r="E245" s="14" t="s">
        <v>1837</v>
      </c>
      <c r="F245" s="14" t="s">
        <v>221</v>
      </c>
      <c r="G245" s="14" t="s">
        <v>1988</v>
      </c>
      <c r="H245" s="15" t="s">
        <v>31</v>
      </c>
      <c r="I245" s="15">
        <v>1.0</v>
      </c>
      <c r="J245" s="15">
        <v>1.0</v>
      </c>
      <c r="K245" s="15" t="s">
        <v>31</v>
      </c>
      <c r="L245" s="16" t="s">
        <v>1839</v>
      </c>
      <c r="M245" s="14" t="s">
        <v>1989</v>
      </c>
      <c r="N245" s="14" t="s">
        <v>1841</v>
      </c>
      <c r="O245" s="16" t="s">
        <v>1842</v>
      </c>
      <c r="P245" s="14" t="s">
        <v>1843</v>
      </c>
      <c r="Q245" s="14" t="s">
        <v>1844</v>
      </c>
      <c r="R245" s="14" t="s">
        <v>31</v>
      </c>
      <c r="S245" s="16" t="s">
        <v>31</v>
      </c>
      <c r="T245" s="14" t="s">
        <v>1845</v>
      </c>
      <c r="U245" s="16" t="s">
        <v>31</v>
      </c>
      <c r="V245" s="14" t="s">
        <v>1990</v>
      </c>
      <c r="W245" s="14" t="s">
        <v>1837</v>
      </c>
      <c r="X245" s="17" t="str">
        <f>HYPERLINK("https://my.pitchbook.com?p=378371-26P","View People Online")</f>
        <v>View People Online</v>
      </c>
    </row>
    <row r="246">
      <c r="A246" s="10" t="s">
        <v>1991</v>
      </c>
      <c r="B246" s="10" t="s">
        <v>1992</v>
      </c>
      <c r="C246" s="10" t="s">
        <v>1993</v>
      </c>
      <c r="D246" s="10" t="s">
        <v>1994</v>
      </c>
      <c r="E246" s="10" t="s">
        <v>1837</v>
      </c>
      <c r="F246" s="10" t="s">
        <v>81</v>
      </c>
      <c r="G246" s="10" t="s">
        <v>1995</v>
      </c>
      <c r="H246" s="11" t="s">
        <v>31</v>
      </c>
      <c r="I246" s="11">
        <v>1.0</v>
      </c>
      <c r="J246" s="11" t="s">
        <v>31</v>
      </c>
      <c r="K246" s="11" t="s">
        <v>31</v>
      </c>
      <c r="L246" s="12" t="s">
        <v>1851</v>
      </c>
      <c r="M246" s="10" t="s">
        <v>31</v>
      </c>
      <c r="N246" s="10" t="s">
        <v>75</v>
      </c>
      <c r="O246" s="12" t="s">
        <v>76</v>
      </c>
      <c r="P246" s="10" t="s">
        <v>1853</v>
      </c>
      <c r="Q246" s="10" t="s">
        <v>1854</v>
      </c>
      <c r="R246" s="10" t="s">
        <v>75</v>
      </c>
      <c r="S246" s="12" t="s">
        <v>1855</v>
      </c>
      <c r="T246" s="10" t="s">
        <v>66</v>
      </c>
      <c r="U246" s="12" t="s">
        <v>1856</v>
      </c>
      <c r="V246" s="10" t="s">
        <v>81</v>
      </c>
      <c r="W246" s="10" t="s">
        <v>1837</v>
      </c>
      <c r="X246" s="13" t="str">
        <f>HYPERLINK("https://my.pitchbook.com?p=378432-73P","View People Online")</f>
        <v>View People Online</v>
      </c>
    </row>
    <row r="247">
      <c r="A247" s="14" t="s">
        <v>1996</v>
      </c>
      <c r="B247" s="14" t="s">
        <v>1997</v>
      </c>
      <c r="C247" s="14" t="s">
        <v>1998</v>
      </c>
      <c r="D247" s="14" t="s">
        <v>1999</v>
      </c>
      <c r="E247" s="14" t="s">
        <v>1837</v>
      </c>
      <c r="F247" s="14" t="s">
        <v>81</v>
      </c>
      <c r="G247" s="14" t="s">
        <v>2000</v>
      </c>
      <c r="H247" s="15">
        <v>2.0</v>
      </c>
      <c r="I247" s="15">
        <v>8.0</v>
      </c>
      <c r="J247" s="15" t="s">
        <v>31</v>
      </c>
      <c r="K247" s="15">
        <v>2.0</v>
      </c>
      <c r="L247" s="16" t="s">
        <v>31</v>
      </c>
      <c r="M247" s="14" t="s">
        <v>2001</v>
      </c>
      <c r="N247" s="14" t="s">
        <v>205</v>
      </c>
      <c r="O247" s="16" t="s">
        <v>206</v>
      </c>
      <c r="P247" s="14" t="s">
        <v>2002</v>
      </c>
      <c r="Q247" s="14" t="s">
        <v>2003</v>
      </c>
      <c r="R247" s="14" t="s">
        <v>209</v>
      </c>
      <c r="S247" s="16" t="s">
        <v>210</v>
      </c>
      <c r="T247" s="14" t="s">
        <v>66</v>
      </c>
      <c r="U247" s="16" t="s">
        <v>31</v>
      </c>
      <c r="V247" s="14" t="s">
        <v>2004</v>
      </c>
      <c r="W247" s="14" t="s">
        <v>2005</v>
      </c>
      <c r="X247" s="17" t="str">
        <f>HYPERLINK("https://my.pitchbook.com?p=52512-49P","View People Online")</f>
        <v>View People Online</v>
      </c>
    </row>
    <row r="248">
      <c r="A248" s="2" t="s">
        <v>2006</v>
      </c>
      <c r="B248" s="2" t="s">
        <v>2007</v>
      </c>
      <c r="C248" s="2" t="s">
        <v>1998</v>
      </c>
      <c r="D248" s="2" t="s">
        <v>2008</v>
      </c>
      <c r="E248" s="2" t="s">
        <v>1837</v>
      </c>
      <c r="F248" s="2" t="s">
        <v>270</v>
      </c>
      <c r="G248" s="2" t="s">
        <v>2009</v>
      </c>
      <c r="H248" s="3" t="s">
        <v>31</v>
      </c>
      <c r="I248" s="3">
        <v>16.0</v>
      </c>
      <c r="J248" s="3">
        <v>1.0</v>
      </c>
      <c r="K248" s="3">
        <v>12.0</v>
      </c>
      <c r="L248" s="4" t="s">
        <v>1851</v>
      </c>
      <c r="M248" s="2" t="s">
        <v>2010</v>
      </c>
      <c r="N248" s="2" t="s">
        <v>75</v>
      </c>
      <c r="O248" s="4" t="s">
        <v>76</v>
      </c>
      <c r="P248" s="2" t="s">
        <v>1853</v>
      </c>
      <c r="Q248" s="2" t="s">
        <v>1854</v>
      </c>
      <c r="R248" s="2" t="s">
        <v>75</v>
      </c>
      <c r="S248" s="4" t="s">
        <v>1855</v>
      </c>
      <c r="T248" s="2" t="s">
        <v>66</v>
      </c>
      <c r="U248" s="4" t="s">
        <v>1856</v>
      </c>
      <c r="V248" s="2" t="s">
        <v>1886</v>
      </c>
      <c r="W248" s="2" t="s">
        <v>1837</v>
      </c>
      <c r="X248" s="5" t="str">
        <f>HYPERLINK("https://my.pitchbook.com?p=103174-66P","View People Online")</f>
        <v>View People Online</v>
      </c>
    </row>
    <row r="249">
      <c r="A249" s="14" t="s">
        <v>2011</v>
      </c>
      <c r="B249" s="14" t="s">
        <v>2012</v>
      </c>
      <c r="C249" s="14" t="s">
        <v>2013</v>
      </c>
      <c r="D249" s="14" t="s">
        <v>2014</v>
      </c>
      <c r="E249" s="14" t="s">
        <v>1837</v>
      </c>
      <c r="F249" s="14" t="s">
        <v>896</v>
      </c>
      <c r="G249" s="14" t="s">
        <v>2015</v>
      </c>
      <c r="H249" s="15" t="s">
        <v>31</v>
      </c>
      <c r="I249" s="15">
        <v>1.0</v>
      </c>
      <c r="J249" s="15">
        <v>1.0</v>
      </c>
      <c r="K249" s="15" t="s">
        <v>31</v>
      </c>
      <c r="L249" s="16" t="s">
        <v>31</v>
      </c>
      <c r="M249" s="14" t="s">
        <v>2016</v>
      </c>
      <c r="N249" s="14" t="s">
        <v>2017</v>
      </c>
      <c r="O249" s="16" t="s">
        <v>2018</v>
      </c>
      <c r="P249" s="14" t="s">
        <v>2019</v>
      </c>
      <c r="Q249" s="14" t="s">
        <v>2020</v>
      </c>
      <c r="R249" s="14" t="s">
        <v>31</v>
      </c>
      <c r="S249" s="16" t="s">
        <v>2021</v>
      </c>
      <c r="T249" s="14" t="s">
        <v>2022</v>
      </c>
      <c r="U249" s="16" t="s">
        <v>31</v>
      </c>
      <c r="V249" s="14" t="s">
        <v>2023</v>
      </c>
      <c r="W249" s="14" t="s">
        <v>1837</v>
      </c>
      <c r="X249" s="17" t="str">
        <f>HYPERLINK("https://my.pitchbook.com?p=238465-63P","View People Online")</f>
        <v>View People Online</v>
      </c>
    </row>
    <row r="250">
      <c r="A250" s="2" t="s">
        <v>2024</v>
      </c>
      <c r="B250" s="2" t="s">
        <v>2025</v>
      </c>
      <c r="C250" s="2" t="s">
        <v>323</v>
      </c>
      <c r="D250" s="2" t="s">
        <v>2026</v>
      </c>
      <c r="E250" s="2" t="s">
        <v>1837</v>
      </c>
      <c r="F250" s="2" t="s">
        <v>1801</v>
      </c>
      <c r="G250" s="2" t="s">
        <v>2027</v>
      </c>
      <c r="H250" s="3" t="s">
        <v>31</v>
      </c>
      <c r="I250" s="3">
        <v>1.0</v>
      </c>
      <c r="J250" s="3">
        <v>1.0</v>
      </c>
      <c r="K250" s="3" t="s">
        <v>31</v>
      </c>
      <c r="L250" s="4" t="s">
        <v>1851</v>
      </c>
      <c r="M250" s="2" t="s">
        <v>2028</v>
      </c>
      <c r="N250" s="2" t="s">
        <v>75</v>
      </c>
      <c r="O250" s="4" t="s">
        <v>76</v>
      </c>
      <c r="P250" s="2" t="s">
        <v>1853</v>
      </c>
      <c r="Q250" s="2" t="s">
        <v>1854</v>
      </c>
      <c r="R250" s="2" t="s">
        <v>75</v>
      </c>
      <c r="S250" s="4" t="s">
        <v>1855</v>
      </c>
      <c r="T250" s="2" t="s">
        <v>66</v>
      </c>
      <c r="U250" s="4" t="s">
        <v>1856</v>
      </c>
      <c r="V250" s="2" t="s">
        <v>2029</v>
      </c>
      <c r="W250" s="2" t="s">
        <v>1837</v>
      </c>
      <c r="X250" s="5" t="str">
        <f>HYPERLINK("https://my.pitchbook.com?p=428035-60P","View People Online")</f>
        <v>View People Online</v>
      </c>
    </row>
    <row r="251">
      <c r="A251" s="6" t="s">
        <v>2030</v>
      </c>
      <c r="B251" s="6" t="s">
        <v>2031</v>
      </c>
      <c r="C251" s="6" t="s">
        <v>2032</v>
      </c>
      <c r="D251" s="6" t="s">
        <v>1836</v>
      </c>
      <c r="E251" s="6" t="s">
        <v>1837</v>
      </c>
      <c r="F251" s="6" t="s">
        <v>2033</v>
      </c>
      <c r="G251" s="6" t="s">
        <v>2034</v>
      </c>
      <c r="H251" s="7" t="s">
        <v>31</v>
      </c>
      <c r="I251" s="7">
        <v>1.0</v>
      </c>
      <c r="J251" s="7">
        <v>1.0</v>
      </c>
      <c r="K251" s="7" t="s">
        <v>31</v>
      </c>
      <c r="L251" s="8" t="s">
        <v>1839</v>
      </c>
      <c r="M251" s="6" t="s">
        <v>2035</v>
      </c>
      <c r="N251" s="6" t="s">
        <v>1841</v>
      </c>
      <c r="O251" s="8" t="s">
        <v>1842</v>
      </c>
      <c r="P251" s="6" t="s">
        <v>1843</v>
      </c>
      <c r="Q251" s="6" t="s">
        <v>1844</v>
      </c>
      <c r="R251" s="6" t="s">
        <v>31</v>
      </c>
      <c r="S251" s="8" t="s">
        <v>31</v>
      </c>
      <c r="T251" s="6" t="s">
        <v>1845</v>
      </c>
      <c r="U251" s="8" t="s">
        <v>31</v>
      </c>
      <c r="V251" s="6" t="s">
        <v>2036</v>
      </c>
      <c r="W251" s="6" t="s">
        <v>1837</v>
      </c>
      <c r="X251" s="9" t="str">
        <f>HYPERLINK("https://my.pitchbook.com?p=378374-59P","View People Online")</f>
        <v>View People Online</v>
      </c>
    </row>
    <row r="252">
      <c r="A252" s="2" t="s">
        <v>2037</v>
      </c>
      <c r="B252" s="2" t="s">
        <v>2038</v>
      </c>
      <c r="C252" s="2" t="s">
        <v>2039</v>
      </c>
      <c r="D252" s="2" t="s">
        <v>2040</v>
      </c>
      <c r="E252" s="2" t="s">
        <v>1837</v>
      </c>
      <c r="F252" s="2" t="s">
        <v>1801</v>
      </c>
      <c r="G252" s="2" t="s">
        <v>2041</v>
      </c>
      <c r="H252" s="3" t="s">
        <v>31</v>
      </c>
      <c r="I252" s="3">
        <v>1.0</v>
      </c>
      <c r="J252" s="3">
        <v>1.0</v>
      </c>
      <c r="K252" s="3" t="s">
        <v>31</v>
      </c>
      <c r="L252" s="4" t="s">
        <v>31</v>
      </c>
      <c r="M252" s="2" t="s">
        <v>2042</v>
      </c>
      <c r="N252" s="2" t="s">
        <v>1203</v>
      </c>
      <c r="O252" s="4" t="s">
        <v>1204</v>
      </c>
      <c r="P252" s="2" t="s">
        <v>1869</v>
      </c>
      <c r="Q252" s="2" t="s">
        <v>1870</v>
      </c>
      <c r="R252" s="2" t="s">
        <v>1207</v>
      </c>
      <c r="S252" s="4" t="s">
        <v>1871</v>
      </c>
      <c r="T252" s="2" t="s">
        <v>1209</v>
      </c>
      <c r="U252" s="4" t="s">
        <v>31</v>
      </c>
      <c r="V252" s="2" t="s">
        <v>2043</v>
      </c>
      <c r="W252" s="2" t="s">
        <v>1837</v>
      </c>
      <c r="X252" s="5" t="str">
        <f>HYPERLINK("https://my.pitchbook.com?p=238491-73P","View People Online")</f>
        <v>View People Online</v>
      </c>
    </row>
    <row r="253">
      <c r="A253" s="6" t="s">
        <v>2044</v>
      </c>
      <c r="B253" s="6" t="s">
        <v>2045</v>
      </c>
      <c r="C253" s="6" t="s">
        <v>2046</v>
      </c>
      <c r="D253" s="6" t="s">
        <v>408</v>
      </c>
      <c r="E253" s="6" t="s">
        <v>1837</v>
      </c>
      <c r="F253" s="6" t="s">
        <v>270</v>
      </c>
      <c r="G253" s="6" t="s">
        <v>2047</v>
      </c>
      <c r="H253" s="7" t="s">
        <v>31</v>
      </c>
      <c r="I253" s="7">
        <v>8.0</v>
      </c>
      <c r="J253" s="7">
        <v>2.0</v>
      </c>
      <c r="K253" s="7">
        <v>5.0</v>
      </c>
      <c r="L253" s="8" t="s">
        <v>2048</v>
      </c>
      <c r="M253" s="6" t="s">
        <v>2049</v>
      </c>
      <c r="N253" s="6" t="s">
        <v>2050</v>
      </c>
      <c r="O253" s="8" t="s">
        <v>2051</v>
      </c>
      <c r="P253" s="6" t="s">
        <v>2052</v>
      </c>
      <c r="Q253" s="6" t="s">
        <v>2053</v>
      </c>
      <c r="R253" s="6" t="s">
        <v>31</v>
      </c>
      <c r="S253" s="8" t="s">
        <v>2054</v>
      </c>
      <c r="T253" s="6" t="s">
        <v>2055</v>
      </c>
      <c r="U253" s="8" t="s">
        <v>31</v>
      </c>
      <c r="V253" s="6" t="s">
        <v>502</v>
      </c>
      <c r="W253" s="6" t="s">
        <v>2056</v>
      </c>
      <c r="X253" s="9" t="str">
        <f>HYPERLINK("https://my.pitchbook.com?p=78697-18P","View People Online")</f>
        <v>View People Online</v>
      </c>
    </row>
    <row r="254">
      <c r="A254" s="2" t="s">
        <v>2057</v>
      </c>
      <c r="B254" s="2" t="s">
        <v>2058</v>
      </c>
      <c r="C254" s="2" t="s">
        <v>2059</v>
      </c>
      <c r="D254" s="2" t="s">
        <v>2060</v>
      </c>
      <c r="E254" s="2" t="s">
        <v>1837</v>
      </c>
      <c r="F254" s="2" t="s">
        <v>81</v>
      </c>
      <c r="G254" s="2" t="s">
        <v>2061</v>
      </c>
      <c r="H254" s="3" t="s">
        <v>31</v>
      </c>
      <c r="I254" s="3">
        <v>1.0</v>
      </c>
      <c r="J254" s="3" t="s">
        <v>31</v>
      </c>
      <c r="K254" s="3" t="s">
        <v>31</v>
      </c>
      <c r="L254" s="4" t="s">
        <v>1851</v>
      </c>
      <c r="M254" s="2" t="s">
        <v>2062</v>
      </c>
      <c r="N254" s="2" t="s">
        <v>75</v>
      </c>
      <c r="O254" s="4" t="s">
        <v>76</v>
      </c>
      <c r="P254" s="2" t="s">
        <v>1853</v>
      </c>
      <c r="Q254" s="2" t="s">
        <v>1854</v>
      </c>
      <c r="R254" s="2" t="s">
        <v>75</v>
      </c>
      <c r="S254" s="4" t="s">
        <v>1855</v>
      </c>
      <c r="T254" s="2" t="s">
        <v>66</v>
      </c>
      <c r="U254" s="4" t="s">
        <v>1856</v>
      </c>
      <c r="V254" s="2" t="s">
        <v>470</v>
      </c>
      <c r="W254" s="2" t="s">
        <v>2063</v>
      </c>
      <c r="X254" s="5" t="str">
        <f>HYPERLINK("https://my.pitchbook.com?p=92471-95P","View People Online")</f>
        <v>View People Online</v>
      </c>
    </row>
    <row r="255">
      <c r="A255" s="6" t="s">
        <v>2064</v>
      </c>
      <c r="B255" s="6" t="s">
        <v>2065</v>
      </c>
      <c r="C255" s="6" t="s">
        <v>2066</v>
      </c>
      <c r="D255" s="6" t="s">
        <v>2067</v>
      </c>
      <c r="E255" s="6" t="s">
        <v>1837</v>
      </c>
      <c r="F255" s="6" t="s">
        <v>81</v>
      </c>
      <c r="G255" s="6" t="s">
        <v>2068</v>
      </c>
      <c r="H255" s="7" t="s">
        <v>31</v>
      </c>
      <c r="I255" s="7">
        <v>1.0</v>
      </c>
      <c r="J255" s="7" t="s">
        <v>31</v>
      </c>
      <c r="K255" s="7" t="s">
        <v>31</v>
      </c>
      <c r="L255" s="8" t="s">
        <v>1851</v>
      </c>
      <c r="M255" s="6" t="s">
        <v>31</v>
      </c>
      <c r="N255" s="6" t="s">
        <v>75</v>
      </c>
      <c r="O255" s="8" t="s">
        <v>76</v>
      </c>
      <c r="P255" s="6" t="s">
        <v>1853</v>
      </c>
      <c r="Q255" s="6" t="s">
        <v>1854</v>
      </c>
      <c r="R255" s="6" t="s">
        <v>75</v>
      </c>
      <c r="S255" s="8" t="s">
        <v>1855</v>
      </c>
      <c r="T255" s="6" t="s">
        <v>66</v>
      </c>
      <c r="U255" s="8" t="s">
        <v>1856</v>
      </c>
      <c r="V255" s="6" t="s">
        <v>81</v>
      </c>
      <c r="W255" s="6" t="s">
        <v>1837</v>
      </c>
      <c r="X255" s="9" t="str">
        <f>HYPERLINK("https://my.pitchbook.com?p=378433-27P","View People Online")</f>
        <v>View People Online</v>
      </c>
    </row>
    <row r="256">
      <c r="A256" s="2" t="s">
        <v>2069</v>
      </c>
      <c r="B256" s="2" t="s">
        <v>2070</v>
      </c>
      <c r="C256" s="2" t="s">
        <v>2071</v>
      </c>
      <c r="D256" s="2" t="s">
        <v>2072</v>
      </c>
      <c r="E256" s="2" t="s">
        <v>1837</v>
      </c>
      <c r="F256" s="2" t="s">
        <v>201</v>
      </c>
      <c r="G256" s="2" t="s">
        <v>2073</v>
      </c>
      <c r="H256" s="3" t="s">
        <v>31</v>
      </c>
      <c r="I256" s="3">
        <v>1.0</v>
      </c>
      <c r="J256" s="3">
        <v>1.0</v>
      </c>
      <c r="K256" s="3" t="s">
        <v>31</v>
      </c>
      <c r="L256" s="4" t="s">
        <v>1839</v>
      </c>
      <c r="M256" s="2" t="s">
        <v>2074</v>
      </c>
      <c r="N256" s="2" t="s">
        <v>1841</v>
      </c>
      <c r="O256" s="4" t="s">
        <v>1842</v>
      </c>
      <c r="P256" s="2" t="s">
        <v>1843</v>
      </c>
      <c r="Q256" s="2" t="s">
        <v>1844</v>
      </c>
      <c r="R256" s="2" t="s">
        <v>31</v>
      </c>
      <c r="S256" s="4" t="s">
        <v>31</v>
      </c>
      <c r="T256" s="2" t="s">
        <v>1845</v>
      </c>
      <c r="U256" s="4" t="s">
        <v>31</v>
      </c>
      <c r="V256" s="2" t="s">
        <v>2075</v>
      </c>
      <c r="W256" s="2" t="s">
        <v>1837</v>
      </c>
      <c r="X256" s="5" t="str">
        <f>HYPERLINK("https://my.pitchbook.com?p=348446-08P","View People Online")</f>
        <v>View People Online</v>
      </c>
    </row>
    <row r="257">
      <c r="A257" s="6" t="s">
        <v>2076</v>
      </c>
      <c r="B257" s="6" t="s">
        <v>2077</v>
      </c>
      <c r="C257" s="6" t="s">
        <v>2078</v>
      </c>
      <c r="D257" s="6" t="s">
        <v>2079</v>
      </c>
      <c r="E257" s="6" t="s">
        <v>1837</v>
      </c>
      <c r="F257" s="6" t="s">
        <v>201</v>
      </c>
      <c r="G257" s="6" t="s">
        <v>2080</v>
      </c>
      <c r="H257" s="7" t="s">
        <v>31</v>
      </c>
      <c r="I257" s="7">
        <v>1.0</v>
      </c>
      <c r="J257" s="7">
        <v>1.0</v>
      </c>
      <c r="K257" s="7" t="s">
        <v>31</v>
      </c>
      <c r="L257" s="8" t="s">
        <v>2081</v>
      </c>
      <c r="M257" s="6" t="s">
        <v>2082</v>
      </c>
      <c r="N257" s="6" t="s">
        <v>2083</v>
      </c>
      <c r="O257" s="8" t="s">
        <v>2084</v>
      </c>
      <c r="P257" s="6" t="s">
        <v>2085</v>
      </c>
      <c r="Q257" s="6" t="s">
        <v>2086</v>
      </c>
      <c r="R257" s="6" t="s">
        <v>31</v>
      </c>
      <c r="S257" s="8" t="s">
        <v>2087</v>
      </c>
      <c r="T257" s="6" t="s">
        <v>2088</v>
      </c>
      <c r="U257" s="8" t="s">
        <v>2089</v>
      </c>
      <c r="V257" s="6" t="s">
        <v>2090</v>
      </c>
      <c r="W257" s="6" t="s">
        <v>1837</v>
      </c>
      <c r="X257" s="9" t="str">
        <f>HYPERLINK("https://my.pitchbook.com?p=348455-71P","View People Online")</f>
        <v>View People Online</v>
      </c>
    </row>
    <row r="258">
      <c r="A258" s="2" t="s">
        <v>2091</v>
      </c>
      <c r="B258" s="2" t="s">
        <v>2092</v>
      </c>
      <c r="C258" s="2" t="s">
        <v>2093</v>
      </c>
      <c r="D258" s="2" t="s">
        <v>2094</v>
      </c>
      <c r="E258" s="2" t="s">
        <v>1837</v>
      </c>
      <c r="F258" s="2" t="s">
        <v>201</v>
      </c>
      <c r="G258" s="2" t="s">
        <v>2095</v>
      </c>
      <c r="H258" s="3" t="s">
        <v>31</v>
      </c>
      <c r="I258" s="3">
        <v>1.0</v>
      </c>
      <c r="J258" s="3">
        <v>1.0</v>
      </c>
      <c r="K258" s="3" t="s">
        <v>31</v>
      </c>
      <c r="L258" s="4" t="s">
        <v>31</v>
      </c>
      <c r="M258" s="2" t="s">
        <v>2096</v>
      </c>
      <c r="N258" s="2" t="s">
        <v>2017</v>
      </c>
      <c r="O258" s="4" t="s">
        <v>2018</v>
      </c>
      <c r="P258" s="2" t="s">
        <v>2019</v>
      </c>
      <c r="Q258" s="2" t="s">
        <v>2020</v>
      </c>
      <c r="R258" s="2" t="s">
        <v>31</v>
      </c>
      <c r="S258" s="4" t="s">
        <v>2021</v>
      </c>
      <c r="T258" s="2" t="s">
        <v>2022</v>
      </c>
      <c r="U258" s="4" t="s">
        <v>31</v>
      </c>
      <c r="V258" s="2" t="s">
        <v>2097</v>
      </c>
      <c r="W258" s="2" t="s">
        <v>1837</v>
      </c>
      <c r="X258" s="5" t="str">
        <f>HYPERLINK("https://my.pitchbook.com?p=348449-68P","View People Online")</f>
        <v>View People Online</v>
      </c>
    </row>
    <row r="259">
      <c r="A259" s="14" t="s">
        <v>2098</v>
      </c>
      <c r="B259" s="14" t="s">
        <v>2099</v>
      </c>
      <c r="C259" s="14" t="s">
        <v>2100</v>
      </c>
      <c r="D259" s="14" t="s">
        <v>2101</v>
      </c>
      <c r="E259" s="14" t="s">
        <v>1837</v>
      </c>
      <c r="F259" s="14" t="s">
        <v>81</v>
      </c>
      <c r="G259" s="14" t="s">
        <v>2102</v>
      </c>
      <c r="H259" s="15">
        <v>1.0</v>
      </c>
      <c r="I259" s="15">
        <v>20.0</v>
      </c>
      <c r="J259" s="15">
        <v>6.0</v>
      </c>
      <c r="K259" s="15">
        <v>12.0</v>
      </c>
      <c r="L259" s="16" t="s">
        <v>2103</v>
      </c>
      <c r="M259" s="14" t="s">
        <v>2104</v>
      </c>
      <c r="N259" s="14" t="s">
        <v>75</v>
      </c>
      <c r="O259" s="16" t="s">
        <v>76</v>
      </c>
      <c r="P259" s="14" t="s">
        <v>2105</v>
      </c>
      <c r="Q259" s="14" t="s">
        <v>31</v>
      </c>
      <c r="R259" s="14" t="s">
        <v>75</v>
      </c>
      <c r="S259" s="16" t="s">
        <v>1896</v>
      </c>
      <c r="T259" s="14" t="s">
        <v>66</v>
      </c>
      <c r="U259" s="16" t="s">
        <v>31</v>
      </c>
      <c r="V259" s="14" t="s">
        <v>558</v>
      </c>
      <c r="W259" s="14" t="s">
        <v>2106</v>
      </c>
      <c r="X259" s="17" t="str">
        <f>HYPERLINK("https://my.pitchbook.com?p=63193-42P","View People Online")</f>
        <v>View People Online</v>
      </c>
    </row>
    <row r="260">
      <c r="A260" s="10" t="s">
        <v>2107</v>
      </c>
      <c r="B260" s="10" t="s">
        <v>2108</v>
      </c>
      <c r="C260" s="10" t="s">
        <v>2109</v>
      </c>
      <c r="D260" s="10" t="s">
        <v>2110</v>
      </c>
      <c r="E260" s="10" t="s">
        <v>1837</v>
      </c>
      <c r="F260" s="10" t="s">
        <v>548</v>
      </c>
      <c r="G260" s="10" t="s">
        <v>2111</v>
      </c>
      <c r="H260" s="11" t="s">
        <v>31</v>
      </c>
      <c r="I260" s="11">
        <v>1.0</v>
      </c>
      <c r="J260" s="11">
        <v>1.0</v>
      </c>
      <c r="K260" s="11" t="s">
        <v>31</v>
      </c>
      <c r="L260" s="12" t="s">
        <v>1851</v>
      </c>
      <c r="M260" s="10" t="s">
        <v>2112</v>
      </c>
      <c r="N260" s="10" t="s">
        <v>75</v>
      </c>
      <c r="O260" s="12" t="s">
        <v>76</v>
      </c>
      <c r="P260" s="10" t="s">
        <v>1853</v>
      </c>
      <c r="Q260" s="10" t="s">
        <v>1854</v>
      </c>
      <c r="R260" s="10" t="s">
        <v>75</v>
      </c>
      <c r="S260" s="12" t="s">
        <v>1855</v>
      </c>
      <c r="T260" s="10" t="s">
        <v>66</v>
      </c>
      <c r="U260" s="12" t="s">
        <v>1856</v>
      </c>
      <c r="V260" s="10" t="s">
        <v>2113</v>
      </c>
      <c r="W260" s="10" t="s">
        <v>1837</v>
      </c>
      <c r="X260" s="13" t="str">
        <f>HYPERLINK("https://my.pitchbook.com?p=427967-74P","View People Online")</f>
        <v>View People Online</v>
      </c>
    </row>
    <row r="261">
      <c r="A261" s="6" t="s">
        <v>2114</v>
      </c>
      <c r="B261" s="6" t="s">
        <v>2115</v>
      </c>
      <c r="C261" s="6" t="s">
        <v>2116</v>
      </c>
      <c r="D261" s="6" t="s">
        <v>233</v>
      </c>
      <c r="E261" s="6" t="s">
        <v>1837</v>
      </c>
      <c r="F261" s="6" t="s">
        <v>221</v>
      </c>
      <c r="G261" s="6" t="s">
        <v>2117</v>
      </c>
      <c r="H261" s="7" t="s">
        <v>31</v>
      </c>
      <c r="I261" s="7">
        <v>1.0</v>
      </c>
      <c r="J261" s="7">
        <v>1.0</v>
      </c>
      <c r="K261" s="7" t="s">
        <v>31</v>
      </c>
      <c r="L261" s="8" t="s">
        <v>1851</v>
      </c>
      <c r="M261" s="6" t="s">
        <v>2118</v>
      </c>
      <c r="N261" s="6" t="s">
        <v>75</v>
      </c>
      <c r="O261" s="8" t="s">
        <v>76</v>
      </c>
      <c r="P261" s="6" t="s">
        <v>1853</v>
      </c>
      <c r="Q261" s="6" t="s">
        <v>1854</v>
      </c>
      <c r="R261" s="6" t="s">
        <v>75</v>
      </c>
      <c r="S261" s="8" t="s">
        <v>1855</v>
      </c>
      <c r="T261" s="6" t="s">
        <v>66</v>
      </c>
      <c r="U261" s="8" t="s">
        <v>1856</v>
      </c>
      <c r="V261" s="6" t="s">
        <v>2119</v>
      </c>
      <c r="W261" s="6" t="s">
        <v>1837</v>
      </c>
      <c r="X261" s="9" t="str">
        <f>HYPERLINK("https://my.pitchbook.com?p=271305-73P","View People Online")</f>
        <v>View People Online</v>
      </c>
    </row>
    <row r="262">
      <c r="A262" s="10" t="s">
        <v>2120</v>
      </c>
      <c r="B262" s="10" t="s">
        <v>2121</v>
      </c>
      <c r="C262" s="10" t="s">
        <v>2122</v>
      </c>
      <c r="D262" s="10" t="s">
        <v>2123</v>
      </c>
      <c r="E262" s="10" t="s">
        <v>1837</v>
      </c>
      <c r="F262" s="10" t="s">
        <v>1167</v>
      </c>
      <c r="G262" s="10" t="s">
        <v>2124</v>
      </c>
      <c r="H262" s="11">
        <v>1.0</v>
      </c>
      <c r="I262" s="11">
        <v>18.0</v>
      </c>
      <c r="J262" s="11">
        <v>2.0</v>
      </c>
      <c r="K262" s="11">
        <v>13.0</v>
      </c>
      <c r="L262" s="12" t="s">
        <v>2125</v>
      </c>
      <c r="M262" s="10" t="s">
        <v>2126</v>
      </c>
      <c r="N262" s="10" t="s">
        <v>75</v>
      </c>
      <c r="O262" s="12" t="s">
        <v>76</v>
      </c>
      <c r="P262" s="10" t="s">
        <v>1853</v>
      </c>
      <c r="Q262" s="10" t="s">
        <v>1854</v>
      </c>
      <c r="R262" s="10" t="s">
        <v>75</v>
      </c>
      <c r="S262" s="12" t="s">
        <v>1855</v>
      </c>
      <c r="T262" s="10" t="s">
        <v>66</v>
      </c>
      <c r="U262" s="12" t="s">
        <v>1856</v>
      </c>
      <c r="V262" s="10" t="s">
        <v>2127</v>
      </c>
      <c r="W262" s="10" t="s">
        <v>1837</v>
      </c>
      <c r="X262" s="13" t="str">
        <f>HYPERLINK("https://my.pitchbook.com?p=36817-48P","View People Online")</f>
        <v>View People Online</v>
      </c>
    </row>
    <row r="263">
      <c r="A263" s="6" t="s">
        <v>2128</v>
      </c>
      <c r="B263" s="6" t="s">
        <v>2129</v>
      </c>
      <c r="C263" s="6" t="s">
        <v>2130</v>
      </c>
      <c r="D263" s="6" t="s">
        <v>2131</v>
      </c>
      <c r="E263" s="6" t="s">
        <v>1837</v>
      </c>
      <c r="F263" s="6" t="s">
        <v>81</v>
      </c>
      <c r="G263" s="6" t="s">
        <v>2132</v>
      </c>
      <c r="H263" s="7" t="s">
        <v>31</v>
      </c>
      <c r="I263" s="7">
        <v>1.0</v>
      </c>
      <c r="J263" s="7" t="s">
        <v>31</v>
      </c>
      <c r="K263" s="7" t="s">
        <v>31</v>
      </c>
      <c r="L263" s="8" t="s">
        <v>2133</v>
      </c>
      <c r="M263" s="6" t="s">
        <v>2134</v>
      </c>
      <c r="N263" s="6" t="s">
        <v>2135</v>
      </c>
      <c r="O263" s="8" t="s">
        <v>2136</v>
      </c>
      <c r="P263" s="6" t="s">
        <v>2137</v>
      </c>
      <c r="Q263" s="6" t="s">
        <v>2138</v>
      </c>
      <c r="R263" s="6" t="s">
        <v>31</v>
      </c>
      <c r="S263" s="8" t="s">
        <v>2139</v>
      </c>
      <c r="T263" s="6" t="s">
        <v>2055</v>
      </c>
      <c r="U263" s="8" t="s">
        <v>31</v>
      </c>
      <c r="V263" s="6" t="s">
        <v>558</v>
      </c>
      <c r="W263" s="6" t="s">
        <v>2140</v>
      </c>
      <c r="X263" s="9" t="str">
        <f>HYPERLINK("https://my.pitchbook.com?p=121046-50P","View People Online")</f>
        <v>View People Online</v>
      </c>
    </row>
    <row r="264">
      <c r="A264" s="2" t="s">
        <v>2141</v>
      </c>
      <c r="B264" s="2" t="s">
        <v>2142</v>
      </c>
      <c r="C264" s="2" t="s">
        <v>2143</v>
      </c>
      <c r="D264" s="2" t="s">
        <v>2144</v>
      </c>
      <c r="E264" s="2" t="s">
        <v>1837</v>
      </c>
      <c r="F264" s="2" t="s">
        <v>896</v>
      </c>
      <c r="G264" s="2" t="s">
        <v>2145</v>
      </c>
      <c r="H264" s="3" t="s">
        <v>31</v>
      </c>
      <c r="I264" s="3">
        <v>1.0</v>
      </c>
      <c r="J264" s="3">
        <v>1.0</v>
      </c>
      <c r="K264" s="3" t="s">
        <v>31</v>
      </c>
      <c r="L264" s="4" t="s">
        <v>1851</v>
      </c>
      <c r="M264" s="2" t="s">
        <v>2146</v>
      </c>
      <c r="N264" s="2" t="s">
        <v>75</v>
      </c>
      <c r="O264" s="4" t="s">
        <v>76</v>
      </c>
      <c r="P264" s="2" t="s">
        <v>1853</v>
      </c>
      <c r="Q264" s="2" t="s">
        <v>1854</v>
      </c>
      <c r="R264" s="2" t="s">
        <v>75</v>
      </c>
      <c r="S264" s="4" t="s">
        <v>1855</v>
      </c>
      <c r="T264" s="2" t="s">
        <v>66</v>
      </c>
      <c r="U264" s="4" t="s">
        <v>1856</v>
      </c>
      <c r="V264" s="2" t="s">
        <v>896</v>
      </c>
      <c r="W264" s="2" t="s">
        <v>1837</v>
      </c>
      <c r="X264" s="5" t="str">
        <f>HYPERLINK("https://my.pitchbook.com?p=428033-35P","View People Online")</f>
        <v>View People Online</v>
      </c>
    </row>
    <row r="265">
      <c r="A265" s="6" t="s">
        <v>2147</v>
      </c>
      <c r="B265" s="6" t="s">
        <v>2148</v>
      </c>
      <c r="C265" s="6" t="s">
        <v>2149</v>
      </c>
      <c r="D265" s="6" t="s">
        <v>2150</v>
      </c>
      <c r="E265" s="6" t="s">
        <v>1837</v>
      </c>
      <c r="F265" s="6" t="s">
        <v>81</v>
      </c>
      <c r="G265" s="6" t="s">
        <v>2151</v>
      </c>
      <c r="H265" s="7" t="s">
        <v>31</v>
      </c>
      <c r="I265" s="7">
        <v>1.0</v>
      </c>
      <c r="J265" s="7" t="s">
        <v>31</v>
      </c>
      <c r="K265" s="7" t="s">
        <v>31</v>
      </c>
      <c r="L265" s="8" t="s">
        <v>1851</v>
      </c>
      <c r="M265" s="6" t="s">
        <v>31</v>
      </c>
      <c r="N265" s="6" t="s">
        <v>75</v>
      </c>
      <c r="O265" s="8" t="s">
        <v>76</v>
      </c>
      <c r="P265" s="6" t="s">
        <v>1853</v>
      </c>
      <c r="Q265" s="6" t="s">
        <v>1854</v>
      </c>
      <c r="R265" s="6" t="s">
        <v>75</v>
      </c>
      <c r="S265" s="8" t="s">
        <v>1855</v>
      </c>
      <c r="T265" s="6" t="s">
        <v>66</v>
      </c>
      <c r="U265" s="8" t="s">
        <v>1856</v>
      </c>
      <c r="V265" s="6" t="s">
        <v>81</v>
      </c>
      <c r="W265" s="6" t="s">
        <v>1837</v>
      </c>
      <c r="X265" s="9" t="str">
        <f>HYPERLINK("https://my.pitchbook.com?p=65730-07P","View People Online")</f>
        <v>View People Online</v>
      </c>
    </row>
    <row r="266">
      <c r="A266" s="2" t="s">
        <v>2152</v>
      </c>
      <c r="B266" s="2" t="s">
        <v>2153</v>
      </c>
      <c r="C266" s="2" t="s">
        <v>2154</v>
      </c>
      <c r="D266" s="2" t="s">
        <v>2155</v>
      </c>
      <c r="E266" s="2" t="s">
        <v>1837</v>
      </c>
      <c r="F266" s="2" t="s">
        <v>2156</v>
      </c>
      <c r="G266" s="2" t="s">
        <v>2157</v>
      </c>
      <c r="H266" s="3" t="s">
        <v>31</v>
      </c>
      <c r="I266" s="3">
        <v>1.0</v>
      </c>
      <c r="J266" s="3">
        <v>1.0</v>
      </c>
      <c r="K266" s="3" t="s">
        <v>31</v>
      </c>
      <c r="L266" s="4" t="s">
        <v>1968</v>
      </c>
      <c r="M266" s="2" t="s">
        <v>2158</v>
      </c>
      <c r="N266" s="2" t="s">
        <v>243</v>
      </c>
      <c r="O266" s="4" t="s">
        <v>244</v>
      </c>
      <c r="P266" s="2" t="s">
        <v>1970</v>
      </c>
      <c r="Q266" s="2" t="s">
        <v>1971</v>
      </c>
      <c r="R266" s="2" t="s">
        <v>247</v>
      </c>
      <c r="S266" s="4" t="s">
        <v>1972</v>
      </c>
      <c r="T266" s="2" t="s">
        <v>249</v>
      </c>
      <c r="U266" s="4" t="s">
        <v>31</v>
      </c>
      <c r="V266" s="2" t="s">
        <v>2159</v>
      </c>
      <c r="W266" s="2" t="s">
        <v>1837</v>
      </c>
      <c r="X266" s="5" t="str">
        <f>HYPERLINK("https://my.pitchbook.com?p=378375-67P","View People Online")</f>
        <v>View People Online</v>
      </c>
    </row>
    <row r="267">
      <c r="A267" s="14" t="s">
        <v>2160</v>
      </c>
      <c r="B267" s="14" t="s">
        <v>2161</v>
      </c>
      <c r="C267" s="14" t="s">
        <v>1356</v>
      </c>
      <c r="D267" s="14" t="s">
        <v>2162</v>
      </c>
      <c r="E267" s="14" t="s">
        <v>1837</v>
      </c>
      <c r="F267" s="14" t="s">
        <v>81</v>
      </c>
      <c r="G267" s="14" t="s">
        <v>2163</v>
      </c>
      <c r="H267" s="15">
        <v>1.0</v>
      </c>
      <c r="I267" s="15">
        <v>3.0</v>
      </c>
      <c r="J267" s="15">
        <v>2.0</v>
      </c>
      <c r="K267" s="15" t="s">
        <v>31</v>
      </c>
      <c r="L267" s="16" t="s">
        <v>31</v>
      </c>
      <c r="M267" s="14" t="s">
        <v>2164</v>
      </c>
      <c r="N267" s="14" t="s">
        <v>75</v>
      </c>
      <c r="O267" s="16" t="s">
        <v>76</v>
      </c>
      <c r="P267" s="14" t="s">
        <v>2165</v>
      </c>
      <c r="Q267" s="14" t="s">
        <v>2166</v>
      </c>
      <c r="R267" s="14" t="s">
        <v>75</v>
      </c>
      <c r="S267" s="16" t="s">
        <v>2167</v>
      </c>
      <c r="T267" s="14" t="s">
        <v>66</v>
      </c>
      <c r="U267" s="16" t="s">
        <v>31</v>
      </c>
      <c r="V267" s="14" t="s">
        <v>2168</v>
      </c>
      <c r="W267" s="14" t="s">
        <v>2169</v>
      </c>
      <c r="X267" s="17" t="str">
        <f>HYPERLINK("https://my.pitchbook.com?p=121940-47P","View People Online")</f>
        <v>View People Online</v>
      </c>
    </row>
    <row r="268">
      <c r="A268" s="2" t="s">
        <v>2170</v>
      </c>
      <c r="B268" s="2" t="s">
        <v>2171</v>
      </c>
      <c r="C268" s="2" t="s">
        <v>2172</v>
      </c>
      <c r="D268" s="2" t="s">
        <v>2173</v>
      </c>
      <c r="E268" s="2" t="s">
        <v>1837</v>
      </c>
      <c r="F268" s="2" t="s">
        <v>1922</v>
      </c>
      <c r="G268" s="2" t="s">
        <v>2174</v>
      </c>
      <c r="H268" s="3" t="s">
        <v>31</v>
      </c>
      <c r="I268" s="3">
        <v>3.0</v>
      </c>
      <c r="J268" s="3">
        <v>1.0</v>
      </c>
      <c r="K268" s="3">
        <v>1.0</v>
      </c>
      <c r="L268" s="4" t="s">
        <v>31</v>
      </c>
      <c r="M268" s="2" t="s">
        <v>2175</v>
      </c>
      <c r="N268" s="2" t="s">
        <v>2017</v>
      </c>
      <c r="O268" s="4" t="s">
        <v>2018</v>
      </c>
      <c r="P268" s="2" t="s">
        <v>2019</v>
      </c>
      <c r="Q268" s="2" t="s">
        <v>2020</v>
      </c>
      <c r="R268" s="2" t="s">
        <v>31</v>
      </c>
      <c r="S268" s="4" t="s">
        <v>2021</v>
      </c>
      <c r="T268" s="2" t="s">
        <v>2022</v>
      </c>
      <c r="U268" s="4" t="s">
        <v>31</v>
      </c>
      <c r="V268" s="2" t="s">
        <v>2176</v>
      </c>
      <c r="W268" s="2" t="s">
        <v>1837</v>
      </c>
      <c r="X268" s="5" t="str">
        <f>HYPERLINK("https://my.pitchbook.com?p=238469-77P","View People Online")</f>
        <v>View People Online</v>
      </c>
    </row>
    <row r="269">
      <c r="A269" s="6" t="s">
        <v>2177</v>
      </c>
      <c r="B269" s="6" t="s">
        <v>2178</v>
      </c>
      <c r="C269" s="6" t="s">
        <v>41</v>
      </c>
      <c r="D269" s="6" t="s">
        <v>2179</v>
      </c>
      <c r="E269" s="6" t="s">
        <v>1837</v>
      </c>
      <c r="F269" s="6" t="s">
        <v>1801</v>
      </c>
      <c r="G269" s="6" t="s">
        <v>2180</v>
      </c>
      <c r="H269" s="7" t="s">
        <v>31</v>
      </c>
      <c r="I269" s="7">
        <v>1.0</v>
      </c>
      <c r="J269" s="7">
        <v>1.0</v>
      </c>
      <c r="K269" s="7" t="s">
        <v>31</v>
      </c>
      <c r="L269" s="8" t="s">
        <v>1851</v>
      </c>
      <c r="M269" s="6" t="s">
        <v>2181</v>
      </c>
      <c r="N269" s="6" t="s">
        <v>75</v>
      </c>
      <c r="O269" s="8" t="s">
        <v>76</v>
      </c>
      <c r="P269" s="6" t="s">
        <v>1853</v>
      </c>
      <c r="Q269" s="6" t="s">
        <v>1854</v>
      </c>
      <c r="R269" s="6" t="s">
        <v>75</v>
      </c>
      <c r="S269" s="8" t="s">
        <v>1855</v>
      </c>
      <c r="T269" s="6" t="s">
        <v>66</v>
      </c>
      <c r="U269" s="8" t="s">
        <v>1856</v>
      </c>
      <c r="V269" s="6" t="s">
        <v>2182</v>
      </c>
      <c r="W269" s="6" t="s">
        <v>1837</v>
      </c>
      <c r="X269" s="9" t="str">
        <f>HYPERLINK("https://my.pitchbook.com?p=176060-17P","View People Online")</f>
        <v>View People Online</v>
      </c>
    </row>
    <row r="270">
      <c r="A270" s="10" t="s">
        <v>2183</v>
      </c>
      <c r="B270" s="10" t="s">
        <v>2184</v>
      </c>
      <c r="C270" s="10" t="s">
        <v>2185</v>
      </c>
      <c r="D270" s="10" t="s">
        <v>2186</v>
      </c>
      <c r="E270" s="10" t="s">
        <v>1837</v>
      </c>
      <c r="F270" s="10" t="s">
        <v>81</v>
      </c>
      <c r="G270" s="10" t="s">
        <v>2187</v>
      </c>
      <c r="H270" s="11" t="s">
        <v>31</v>
      </c>
      <c r="I270" s="11">
        <v>1.0</v>
      </c>
      <c r="J270" s="11" t="s">
        <v>31</v>
      </c>
      <c r="K270" s="11" t="s">
        <v>31</v>
      </c>
      <c r="L270" s="12" t="s">
        <v>1851</v>
      </c>
      <c r="M270" s="10" t="s">
        <v>31</v>
      </c>
      <c r="N270" s="10" t="s">
        <v>75</v>
      </c>
      <c r="O270" s="12" t="s">
        <v>76</v>
      </c>
      <c r="P270" s="10" t="s">
        <v>1853</v>
      </c>
      <c r="Q270" s="10" t="s">
        <v>1854</v>
      </c>
      <c r="R270" s="10" t="s">
        <v>75</v>
      </c>
      <c r="S270" s="12" t="s">
        <v>1855</v>
      </c>
      <c r="T270" s="10" t="s">
        <v>66</v>
      </c>
      <c r="U270" s="12" t="s">
        <v>1856</v>
      </c>
      <c r="V270" s="10" t="s">
        <v>81</v>
      </c>
      <c r="W270" s="10" t="s">
        <v>1837</v>
      </c>
      <c r="X270" s="13" t="str">
        <f>HYPERLINK("https://my.pitchbook.com?p=378435-70P","View People Online")</f>
        <v>View People Online</v>
      </c>
    </row>
    <row r="271">
      <c r="A271" s="6" t="s">
        <v>2188</v>
      </c>
      <c r="B271" s="6" t="s">
        <v>2189</v>
      </c>
      <c r="C271" s="6" t="s">
        <v>2190</v>
      </c>
      <c r="D271" s="6" t="s">
        <v>2191</v>
      </c>
      <c r="E271" s="6" t="s">
        <v>1837</v>
      </c>
      <c r="F271" s="6" t="s">
        <v>548</v>
      </c>
      <c r="G271" s="6" t="s">
        <v>2192</v>
      </c>
      <c r="H271" s="7" t="s">
        <v>31</v>
      </c>
      <c r="I271" s="7">
        <v>1.0</v>
      </c>
      <c r="J271" s="7">
        <v>1.0</v>
      </c>
      <c r="K271" s="7" t="s">
        <v>31</v>
      </c>
      <c r="L271" s="8" t="s">
        <v>2081</v>
      </c>
      <c r="M271" s="6" t="s">
        <v>2193</v>
      </c>
      <c r="N271" s="6" t="s">
        <v>2083</v>
      </c>
      <c r="O271" s="8" t="s">
        <v>2084</v>
      </c>
      <c r="P271" s="6" t="s">
        <v>2085</v>
      </c>
      <c r="Q271" s="6" t="s">
        <v>2086</v>
      </c>
      <c r="R271" s="6" t="s">
        <v>31</v>
      </c>
      <c r="S271" s="8" t="s">
        <v>2087</v>
      </c>
      <c r="T271" s="6" t="s">
        <v>2088</v>
      </c>
      <c r="U271" s="8" t="s">
        <v>2089</v>
      </c>
      <c r="V271" s="6" t="s">
        <v>2194</v>
      </c>
      <c r="W271" s="6" t="s">
        <v>1837</v>
      </c>
      <c r="X271" s="9" t="str">
        <f>HYPERLINK("https://my.pitchbook.com?p=79618-78P","View People Online")</f>
        <v>View People Online</v>
      </c>
    </row>
    <row r="272">
      <c r="A272" s="2" t="s">
        <v>2195</v>
      </c>
      <c r="B272" s="2" t="s">
        <v>2196</v>
      </c>
      <c r="C272" s="2" t="s">
        <v>2197</v>
      </c>
      <c r="D272" s="2" t="s">
        <v>2198</v>
      </c>
      <c r="E272" s="2" t="s">
        <v>1837</v>
      </c>
      <c r="F272" s="2" t="s">
        <v>2199</v>
      </c>
      <c r="G272" s="2" t="s">
        <v>2200</v>
      </c>
      <c r="H272" s="3">
        <v>1.0</v>
      </c>
      <c r="I272" s="3">
        <v>1.0</v>
      </c>
      <c r="J272" s="3">
        <v>1.0</v>
      </c>
      <c r="K272" s="3" t="s">
        <v>31</v>
      </c>
      <c r="L272" s="4" t="s">
        <v>1851</v>
      </c>
      <c r="M272" s="2" t="s">
        <v>31</v>
      </c>
      <c r="N272" s="2" t="s">
        <v>75</v>
      </c>
      <c r="O272" s="4" t="s">
        <v>76</v>
      </c>
      <c r="P272" s="2" t="s">
        <v>1853</v>
      </c>
      <c r="Q272" s="2" t="s">
        <v>1854</v>
      </c>
      <c r="R272" s="2" t="s">
        <v>75</v>
      </c>
      <c r="S272" s="4" t="s">
        <v>1855</v>
      </c>
      <c r="T272" s="2" t="s">
        <v>66</v>
      </c>
      <c r="U272" s="4" t="s">
        <v>1856</v>
      </c>
      <c r="V272" s="2" t="s">
        <v>2201</v>
      </c>
      <c r="W272" s="2" t="s">
        <v>1837</v>
      </c>
      <c r="X272" s="5" t="str">
        <f>HYPERLINK("https://my.pitchbook.com?p=378436-87P","View People Online")</f>
        <v>View People Online</v>
      </c>
    </row>
    <row r="273">
      <c r="A273" s="6" t="s">
        <v>2202</v>
      </c>
      <c r="B273" s="6" t="s">
        <v>2203</v>
      </c>
      <c r="C273" s="6" t="s">
        <v>2204</v>
      </c>
      <c r="D273" s="6" t="s">
        <v>2205</v>
      </c>
      <c r="E273" s="6" t="s">
        <v>1837</v>
      </c>
      <c r="F273" s="6" t="s">
        <v>81</v>
      </c>
      <c r="G273" s="6" t="s">
        <v>2206</v>
      </c>
      <c r="H273" s="7" t="s">
        <v>31</v>
      </c>
      <c r="I273" s="7">
        <v>1.0</v>
      </c>
      <c r="J273" s="7" t="s">
        <v>31</v>
      </c>
      <c r="K273" s="7" t="s">
        <v>31</v>
      </c>
      <c r="L273" s="8" t="s">
        <v>1851</v>
      </c>
      <c r="M273" s="6" t="s">
        <v>31</v>
      </c>
      <c r="N273" s="6" t="s">
        <v>75</v>
      </c>
      <c r="O273" s="8" t="s">
        <v>76</v>
      </c>
      <c r="P273" s="6" t="s">
        <v>1853</v>
      </c>
      <c r="Q273" s="6" t="s">
        <v>1854</v>
      </c>
      <c r="R273" s="6" t="s">
        <v>75</v>
      </c>
      <c r="S273" s="8" t="s">
        <v>1855</v>
      </c>
      <c r="T273" s="6" t="s">
        <v>66</v>
      </c>
      <c r="U273" s="8" t="s">
        <v>1856</v>
      </c>
      <c r="V273" s="6" t="s">
        <v>81</v>
      </c>
      <c r="W273" s="6" t="s">
        <v>1837</v>
      </c>
      <c r="X273" s="9" t="str">
        <f>HYPERLINK("https://my.pitchbook.com?p=378438-22P","View People Online")</f>
        <v>View People Online</v>
      </c>
    </row>
    <row r="274">
      <c r="A274" s="10" t="s">
        <v>2207</v>
      </c>
      <c r="B274" s="10" t="s">
        <v>2208</v>
      </c>
      <c r="C274" s="10" t="s">
        <v>2209</v>
      </c>
      <c r="D274" s="10" t="s">
        <v>2210</v>
      </c>
      <c r="E274" s="10" t="s">
        <v>1837</v>
      </c>
      <c r="F274" s="10" t="s">
        <v>270</v>
      </c>
      <c r="G274" s="10" t="s">
        <v>2211</v>
      </c>
      <c r="H274" s="11" t="s">
        <v>31</v>
      </c>
      <c r="I274" s="11">
        <v>1.0</v>
      </c>
      <c r="J274" s="11">
        <v>1.0</v>
      </c>
      <c r="K274" s="11" t="s">
        <v>31</v>
      </c>
      <c r="L274" s="12" t="s">
        <v>1968</v>
      </c>
      <c r="M274" s="10" t="s">
        <v>2212</v>
      </c>
      <c r="N274" s="10" t="s">
        <v>243</v>
      </c>
      <c r="O274" s="12" t="s">
        <v>244</v>
      </c>
      <c r="P274" s="10" t="s">
        <v>1970</v>
      </c>
      <c r="Q274" s="10" t="s">
        <v>1971</v>
      </c>
      <c r="R274" s="10" t="s">
        <v>247</v>
      </c>
      <c r="S274" s="12" t="s">
        <v>1972</v>
      </c>
      <c r="T274" s="10" t="s">
        <v>249</v>
      </c>
      <c r="U274" s="12" t="s">
        <v>31</v>
      </c>
      <c r="V274" s="10" t="s">
        <v>2213</v>
      </c>
      <c r="W274" s="10" t="s">
        <v>1837</v>
      </c>
      <c r="X274" s="13" t="str">
        <f>HYPERLINK("https://my.pitchbook.com?p=153259-66P","View People Online")</f>
        <v>View People Online</v>
      </c>
    </row>
    <row r="275">
      <c r="A275" s="6" t="s">
        <v>2214</v>
      </c>
      <c r="B275" s="6" t="s">
        <v>2215</v>
      </c>
      <c r="C275" s="6" t="s">
        <v>2216</v>
      </c>
      <c r="D275" s="6" t="s">
        <v>2217</v>
      </c>
      <c r="E275" s="6" t="s">
        <v>1837</v>
      </c>
      <c r="F275" s="6" t="s">
        <v>81</v>
      </c>
      <c r="G275" s="6" t="s">
        <v>2218</v>
      </c>
      <c r="H275" s="7" t="s">
        <v>31</v>
      </c>
      <c r="I275" s="7">
        <v>1.0</v>
      </c>
      <c r="J275" s="7" t="s">
        <v>31</v>
      </c>
      <c r="K275" s="7" t="s">
        <v>31</v>
      </c>
      <c r="L275" s="8" t="s">
        <v>1851</v>
      </c>
      <c r="M275" s="6" t="s">
        <v>31</v>
      </c>
      <c r="N275" s="6" t="s">
        <v>75</v>
      </c>
      <c r="O275" s="8" t="s">
        <v>76</v>
      </c>
      <c r="P275" s="6" t="s">
        <v>1853</v>
      </c>
      <c r="Q275" s="6" t="s">
        <v>1854</v>
      </c>
      <c r="R275" s="6" t="s">
        <v>75</v>
      </c>
      <c r="S275" s="8" t="s">
        <v>1855</v>
      </c>
      <c r="T275" s="6" t="s">
        <v>66</v>
      </c>
      <c r="U275" s="8" t="s">
        <v>1856</v>
      </c>
      <c r="V275" s="6" t="s">
        <v>81</v>
      </c>
      <c r="W275" s="6" t="s">
        <v>1837</v>
      </c>
      <c r="X275" s="9" t="str">
        <f>HYPERLINK("https://my.pitchbook.com?p=378438-40P","View People Online")</f>
        <v>View People Online</v>
      </c>
    </row>
    <row r="276">
      <c r="A276" s="10" t="s">
        <v>2219</v>
      </c>
      <c r="B276" s="10" t="s">
        <v>2220</v>
      </c>
      <c r="C276" s="10" t="s">
        <v>2221</v>
      </c>
      <c r="D276" s="10" t="s">
        <v>2222</v>
      </c>
      <c r="E276" s="10" t="s">
        <v>1837</v>
      </c>
      <c r="F276" s="10" t="s">
        <v>201</v>
      </c>
      <c r="G276" s="10" t="s">
        <v>2223</v>
      </c>
      <c r="H276" s="11" t="s">
        <v>31</v>
      </c>
      <c r="I276" s="11">
        <v>1.0</v>
      </c>
      <c r="J276" s="11">
        <v>1.0</v>
      </c>
      <c r="K276" s="11" t="s">
        <v>31</v>
      </c>
      <c r="L276" s="12" t="s">
        <v>31</v>
      </c>
      <c r="M276" s="10" t="s">
        <v>2224</v>
      </c>
      <c r="N276" s="10" t="s">
        <v>2017</v>
      </c>
      <c r="O276" s="12" t="s">
        <v>2018</v>
      </c>
      <c r="P276" s="10" t="s">
        <v>2019</v>
      </c>
      <c r="Q276" s="10" t="s">
        <v>2020</v>
      </c>
      <c r="R276" s="10" t="s">
        <v>31</v>
      </c>
      <c r="S276" s="12" t="s">
        <v>2021</v>
      </c>
      <c r="T276" s="10" t="s">
        <v>2022</v>
      </c>
      <c r="U276" s="12" t="s">
        <v>31</v>
      </c>
      <c r="V276" s="10" t="s">
        <v>2225</v>
      </c>
      <c r="W276" s="10" t="s">
        <v>1837</v>
      </c>
      <c r="X276" s="13" t="str">
        <f>HYPERLINK("https://my.pitchbook.com?p=238479-67P","View People Online")</f>
        <v>View People Online</v>
      </c>
    </row>
    <row r="277">
      <c r="A277" s="14" t="s">
        <v>2226</v>
      </c>
      <c r="B277" s="14" t="s">
        <v>2227</v>
      </c>
      <c r="C277" s="14" t="s">
        <v>2228</v>
      </c>
      <c r="D277" s="14" t="s">
        <v>2229</v>
      </c>
      <c r="E277" s="14" t="s">
        <v>1837</v>
      </c>
      <c r="F277" s="14" t="s">
        <v>1922</v>
      </c>
      <c r="G277" s="14" t="s">
        <v>2230</v>
      </c>
      <c r="H277" s="15" t="s">
        <v>31</v>
      </c>
      <c r="I277" s="15">
        <v>1.0</v>
      </c>
      <c r="J277" s="15">
        <v>1.0</v>
      </c>
      <c r="K277" s="15" t="s">
        <v>31</v>
      </c>
      <c r="L277" s="16" t="s">
        <v>1968</v>
      </c>
      <c r="M277" s="14" t="s">
        <v>31</v>
      </c>
      <c r="N277" s="14" t="s">
        <v>243</v>
      </c>
      <c r="O277" s="16" t="s">
        <v>244</v>
      </c>
      <c r="P277" s="14" t="s">
        <v>1970</v>
      </c>
      <c r="Q277" s="14" t="s">
        <v>1971</v>
      </c>
      <c r="R277" s="14" t="s">
        <v>247</v>
      </c>
      <c r="S277" s="16" t="s">
        <v>1972</v>
      </c>
      <c r="T277" s="14" t="s">
        <v>249</v>
      </c>
      <c r="U277" s="16" t="s">
        <v>31</v>
      </c>
      <c r="V277" s="14" t="s">
        <v>2231</v>
      </c>
      <c r="W277" s="14" t="s">
        <v>1837</v>
      </c>
      <c r="X277" s="17" t="str">
        <f>HYPERLINK("https://my.pitchbook.com?p=271292-14P","View People Online")</f>
        <v>View People Online</v>
      </c>
    </row>
    <row r="278">
      <c r="A278" s="10" t="s">
        <v>2232</v>
      </c>
      <c r="B278" s="10" t="s">
        <v>2233</v>
      </c>
      <c r="C278" s="10" t="s">
        <v>2234</v>
      </c>
      <c r="D278" s="10" t="s">
        <v>2235</v>
      </c>
      <c r="E278" s="10" t="s">
        <v>1837</v>
      </c>
      <c r="F278" s="10" t="s">
        <v>1801</v>
      </c>
      <c r="G278" s="10" t="s">
        <v>2236</v>
      </c>
      <c r="H278" s="11" t="s">
        <v>31</v>
      </c>
      <c r="I278" s="11">
        <v>1.0</v>
      </c>
      <c r="J278" s="11">
        <v>1.0</v>
      </c>
      <c r="K278" s="11" t="s">
        <v>31</v>
      </c>
      <c r="L278" s="12" t="s">
        <v>2081</v>
      </c>
      <c r="M278" s="10" t="s">
        <v>2237</v>
      </c>
      <c r="N278" s="10" t="s">
        <v>2083</v>
      </c>
      <c r="O278" s="12" t="s">
        <v>2084</v>
      </c>
      <c r="P278" s="10" t="s">
        <v>2085</v>
      </c>
      <c r="Q278" s="10" t="s">
        <v>2086</v>
      </c>
      <c r="R278" s="10" t="s">
        <v>31</v>
      </c>
      <c r="S278" s="12" t="s">
        <v>2087</v>
      </c>
      <c r="T278" s="10" t="s">
        <v>2088</v>
      </c>
      <c r="U278" s="12" t="s">
        <v>2089</v>
      </c>
      <c r="V278" s="10" t="s">
        <v>2238</v>
      </c>
      <c r="W278" s="10" t="s">
        <v>1837</v>
      </c>
      <c r="X278" s="13" t="str">
        <f>HYPERLINK("https://my.pitchbook.com?p=153258-13P","View People Online")</f>
        <v>View People Online</v>
      </c>
    </row>
    <row r="279">
      <c r="A279" s="14" t="s">
        <v>2239</v>
      </c>
      <c r="B279" s="14" t="s">
        <v>2240</v>
      </c>
      <c r="C279" s="14" t="s">
        <v>2241</v>
      </c>
      <c r="D279" s="14" t="s">
        <v>2242</v>
      </c>
      <c r="E279" s="14" t="s">
        <v>1837</v>
      </c>
      <c r="F279" s="14" t="s">
        <v>201</v>
      </c>
      <c r="G279" s="14" t="s">
        <v>2243</v>
      </c>
      <c r="H279" s="15" t="s">
        <v>31</v>
      </c>
      <c r="I279" s="15">
        <v>1.0</v>
      </c>
      <c r="J279" s="15">
        <v>1.0</v>
      </c>
      <c r="K279" s="15" t="s">
        <v>31</v>
      </c>
      <c r="L279" s="16" t="s">
        <v>1851</v>
      </c>
      <c r="M279" s="14" t="s">
        <v>2244</v>
      </c>
      <c r="N279" s="14" t="s">
        <v>75</v>
      </c>
      <c r="O279" s="16" t="s">
        <v>76</v>
      </c>
      <c r="P279" s="14" t="s">
        <v>1853</v>
      </c>
      <c r="Q279" s="14" t="s">
        <v>1854</v>
      </c>
      <c r="R279" s="14" t="s">
        <v>75</v>
      </c>
      <c r="S279" s="16" t="s">
        <v>1855</v>
      </c>
      <c r="T279" s="14" t="s">
        <v>66</v>
      </c>
      <c r="U279" s="16" t="s">
        <v>1856</v>
      </c>
      <c r="V279" s="14" t="s">
        <v>2090</v>
      </c>
      <c r="W279" s="14" t="s">
        <v>1837</v>
      </c>
      <c r="X279" s="17" t="str">
        <f>HYPERLINK("https://my.pitchbook.com?p=348457-06P","View People Online")</f>
        <v>View People Online</v>
      </c>
    </row>
    <row r="280">
      <c r="A280" s="10" t="s">
        <v>2245</v>
      </c>
      <c r="B280" s="10" t="s">
        <v>2246</v>
      </c>
      <c r="C280" s="10" t="s">
        <v>360</v>
      </c>
      <c r="D280" s="10" t="s">
        <v>995</v>
      </c>
      <c r="E280" s="10" t="s">
        <v>1837</v>
      </c>
      <c r="F280" s="10" t="s">
        <v>2247</v>
      </c>
      <c r="G280" s="10" t="s">
        <v>2248</v>
      </c>
      <c r="H280" s="11" t="s">
        <v>31</v>
      </c>
      <c r="I280" s="11">
        <v>1.0</v>
      </c>
      <c r="J280" s="11">
        <v>1.0</v>
      </c>
      <c r="K280" s="11" t="s">
        <v>31</v>
      </c>
      <c r="L280" s="12" t="s">
        <v>2249</v>
      </c>
      <c r="M280" s="10" t="s">
        <v>2250</v>
      </c>
      <c r="N280" s="10" t="s">
        <v>75</v>
      </c>
      <c r="O280" s="12" t="s">
        <v>76</v>
      </c>
      <c r="P280" s="10" t="s">
        <v>1853</v>
      </c>
      <c r="Q280" s="10" t="s">
        <v>1854</v>
      </c>
      <c r="R280" s="10" t="s">
        <v>75</v>
      </c>
      <c r="S280" s="12" t="s">
        <v>1855</v>
      </c>
      <c r="T280" s="10" t="s">
        <v>66</v>
      </c>
      <c r="U280" s="12" t="s">
        <v>1856</v>
      </c>
      <c r="V280" s="10" t="s">
        <v>2251</v>
      </c>
      <c r="W280" s="10" t="s">
        <v>1837</v>
      </c>
      <c r="X280" s="13" t="str">
        <f>HYPERLINK("https://my.pitchbook.com?p=100793-62P","View People Online")</f>
        <v>View People Online</v>
      </c>
    </row>
    <row r="281">
      <c r="A281" s="6" t="s">
        <v>2252</v>
      </c>
      <c r="B281" s="6" t="s">
        <v>2253</v>
      </c>
      <c r="C281" s="6" t="s">
        <v>2254</v>
      </c>
      <c r="D281" s="6" t="s">
        <v>2255</v>
      </c>
      <c r="E281" s="6" t="s">
        <v>1837</v>
      </c>
      <c r="F281" s="6" t="s">
        <v>548</v>
      </c>
      <c r="G281" s="6" t="s">
        <v>2256</v>
      </c>
      <c r="H281" s="7">
        <v>1.0</v>
      </c>
      <c r="I281" s="7">
        <v>7.0</v>
      </c>
      <c r="J281" s="7">
        <v>1.0</v>
      </c>
      <c r="K281" s="7">
        <v>5.0</v>
      </c>
      <c r="L281" s="8" t="s">
        <v>31</v>
      </c>
      <c r="M281" s="6" t="s">
        <v>2257</v>
      </c>
      <c r="N281" s="6" t="s">
        <v>1203</v>
      </c>
      <c r="O281" s="8" t="s">
        <v>1204</v>
      </c>
      <c r="P281" s="6" t="s">
        <v>1869</v>
      </c>
      <c r="Q281" s="6" t="s">
        <v>1870</v>
      </c>
      <c r="R281" s="6" t="s">
        <v>1207</v>
      </c>
      <c r="S281" s="8" t="s">
        <v>1871</v>
      </c>
      <c r="T281" s="6" t="s">
        <v>1209</v>
      </c>
      <c r="U281" s="8" t="s">
        <v>31</v>
      </c>
      <c r="V281" s="6" t="s">
        <v>2258</v>
      </c>
      <c r="W281" s="6" t="s">
        <v>1837</v>
      </c>
      <c r="X281" s="9" t="str">
        <f>HYPERLINK("https://my.pitchbook.com?p=71158-06P","View People Online")</f>
        <v>View People Online</v>
      </c>
    </row>
    <row r="282">
      <c r="A282" s="2" t="s">
        <v>2259</v>
      </c>
      <c r="B282" s="2" t="s">
        <v>2260</v>
      </c>
      <c r="C282" s="2" t="s">
        <v>2261</v>
      </c>
      <c r="D282" s="2" t="s">
        <v>237</v>
      </c>
      <c r="E282" s="2" t="s">
        <v>1837</v>
      </c>
      <c r="F282" s="2" t="s">
        <v>2199</v>
      </c>
      <c r="G282" s="2" t="s">
        <v>2262</v>
      </c>
      <c r="H282" s="3">
        <v>1.0</v>
      </c>
      <c r="I282" s="3">
        <v>1.0</v>
      </c>
      <c r="J282" s="3">
        <v>1.0</v>
      </c>
      <c r="K282" s="3" t="s">
        <v>31</v>
      </c>
      <c r="L282" s="4" t="s">
        <v>2263</v>
      </c>
      <c r="M282" s="2" t="s">
        <v>2264</v>
      </c>
      <c r="N282" s="2" t="s">
        <v>75</v>
      </c>
      <c r="O282" s="4" t="s">
        <v>76</v>
      </c>
      <c r="P282" s="2" t="s">
        <v>1853</v>
      </c>
      <c r="Q282" s="2" t="s">
        <v>1854</v>
      </c>
      <c r="R282" s="2" t="s">
        <v>75</v>
      </c>
      <c r="S282" s="4" t="s">
        <v>1855</v>
      </c>
      <c r="T282" s="2" t="s">
        <v>66</v>
      </c>
      <c r="U282" s="4" t="s">
        <v>1856</v>
      </c>
      <c r="V282" s="2" t="s">
        <v>2265</v>
      </c>
      <c r="W282" s="2" t="s">
        <v>1837</v>
      </c>
      <c r="X282" s="5" t="str">
        <f>HYPERLINK("https://my.pitchbook.com?p=123191-74P","View People Online")</f>
        <v>View People Online</v>
      </c>
    </row>
    <row r="283">
      <c r="A283" s="14" t="s">
        <v>2266</v>
      </c>
      <c r="B283" s="14" t="s">
        <v>2267</v>
      </c>
      <c r="C283" s="14" t="s">
        <v>2268</v>
      </c>
      <c r="D283" s="14" t="s">
        <v>2269</v>
      </c>
      <c r="E283" s="14" t="s">
        <v>1837</v>
      </c>
      <c r="F283" s="14" t="s">
        <v>81</v>
      </c>
      <c r="G283" s="14" t="s">
        <v>2270</v>
      </c>
      <c r="H283" s="15" t="s">
        <v>31</v>
      </c>
      <c r="I283" s="15">
        <v>4.0</v>
      </c>
      <c r="J283" s="15">
        <v>1.0</v>
      </c>
      <c r="K283" s="15">
        <v>1.0</v>
      </c>
      <c r="L283" s="16" t="s">
        <v>2271</v>
      </c>
      <c r="M283" s="14" t="s">
        <v>2272</v>
      </c>
      <c r="N283" s="14" t="s">
        <v>2273</v>
      </c>
      <c r="O283" s="16" t="s">
        <v>2274</v>
      </c>
      <c r="P283" s="14" t="s">
        <v>2275</v>
      </c>
      <c r="Q283" s="14" t="s">
        <v>2276</v>
      </c>
      <c r="R283" s="14" t="s">
        <v>2273</v>
      </c>
      <c r="S283" s="16" t="s">
        <v>2277</v>
      </c>
      <c r="T283" s="14" t="s">
        <v>2278</v>
      </c>
      <c r="U283" s="16" t="s">
        <v>31</v>
      </c>
      <c r="V283" s="14" t="s">
        <v>2279</v>
      </c>
      <c r="W283" s="14" t="s">
        <v>2280</v>
      </c>
      <c r="X283" s="17" t="str">
        <f>HYPERLINK("https://my.pitchbook.com?p=294223-33P","View People Online")</f>
        <v>View People Online</v>
      </c>
    </row>
    <row r="284">
      <c r="A284" s="10" t="s">
        <v>2281</v>
      </c>
      <c r="B284" s="10" t="s">
        <v>2282</v>
      </c>
      <c r="C284" s="10" t="s">
        <v>2283</v>
      </c>
      <c r="D284" s="10" t="s">
        <v>2284</v>
      </c>
      <c r="E284" s="10" t="s">
        <v>1837</v>
      </c>
      <c r="F284" s="10" t="s">
        <v>81</v>
      </c>
      <c r="G284" s="10" t="s">
        <v>2285</v>
      </c>
      <c r="H284" s="11" t="s">
        <v>31</v>
      </c>
      <c r="I284" s="11">
        <v>1.0</v>
      </c>
      <c r="J284" s="11" t="s">
        <v>31</v>
      </c>
      <c r="K284" s="11" t="s">
        <v>31</v>
      </c>
      <c r="L284" s="12" t="s">
        <v>1851</v>
      </c>
      <c r="M284" s="10" t="s">
        <v>31</v>
      </c>
      <c r="N284" s="10" t="s">
        <v>75</v>
      </c>
      <c r="O284" s="12" t="s">
        <v>76</v>
      </c>
      <c r="P284" s="10" t="s">
        <v>1853</v>
      </c>
      <c r="Q284" s="10" t="s">
        <v>1854</v>
      </c>
      <c r="R284" s="10" t="s">
        <v>75</v>
      </c>
      <c r="S284" s="12" t="s">
        <v>1855</v>
      </c>
      <c r="T284" s="10" t="s">
        <v>66</v>
      </c>
      <c r="U284" s="12" t="s">
        <v>1856</v>
      </c>
      <c r="V284" s="10" t="s">
        <v>81</v>
      </c>
      <c r="W284" s="10" t="s">
        <v>1837</v>
      </c>
      <c r="X284" s="13" t="str">
        <f>HYPERLINK("https://my.pitchbook.com?p=378439-21P","View People Online")</f>
        <v>View People Online</v>
      </c>
    </row>
    <row r="285">
      <c r="A285" s="14" t="s">
        <v>2286</v>
      </c>
      <c r="B285" s="14" t="s">
        <v>2287</v>
      </c>
      <c r="C285" s="14" t="s">
        <v>2288</v>
      </c>
      <c r="D285" s="14" t="s">
        <v>2289</v>
      </c>
      <c r="E285" s="14" t="s">
        <v>1837</v>
      </c>
      <c r="F285" s="14" t="s">
        <v>81</v>
      </c>
      <c r="G285" s="14" t="s">
        <v>2290</v>
      </c>
      <c r="H285" s="15">
        <v>4.0</v>
      </c>
      <c r="I285" s="15">
        <v>10.0</v>
      </c>
      <c r="J285" s="15" t="s">
        <v>31</v>
      </c>
      <c r="K285" s="15">
        <v>3.0</v>
      </c>
      <c r="L285" s="16" t="s">
        <v>1851</v>
      </c>
      <c r="M285" s="14" t="s">
        <v>2291</v>
      </c>
      <c r="N285" s="14" t="s">
        <v>75</v>
      </c>
      <c r="O285" s="16" t="s">
        <v>76</v>
      </c>
      <c r="P285" s="14" t="s">
        <v>1853</v>
      </c>
      <c r="Q285" s="14" t="s">
        <v>1854</v>
      </c>
      <c r="R285" s="14" t="s">
        <v>75</v>
      </c>
      <c r="S285" s="16" t="s">
        <v>1855</v>
      </c>
      <c r="T285" s="14" t="s">
        <v>66</v>
      </c>
      <c r="U285" s="16" t="s">
        <v>1856</v>
      </c>
      <c r="V285" s="14" t="s">
        <v>2292</v>
      </c>
      <c r="W285" s="14" t="s">
        <v>1837</v>
      </c>
      <c r="X285" s="17" t="str">
        <f>HYPERLINK("https://my.pitchbook.com?p=50038-21P","View People Online")</f>
        <v>View People Online</v>
      </c>
    </row>
    <row r="286">
      <c r="A286" s="2" t="s">
        <v>2293</v>
      </c>
      <c r="B286" s="2" t="s">
        <v>2294</v>
      </c>
      <c r="C286" s="2" t="s">
        <v>2295</v>
      </c>
      <c r="D286" s="2" t="s">
        <v>2296</v>
      </c>
      <c r="E286" s="2" t="s">
        <v>1837</v>
      </c>
      <c r="F286" s="2" t="s">
        <v>802</v>
      </c>
      <c r="G286" s="2" t="s">
        <v>2297</v>
      </c>
      <c r="H286" s="3" t="s">
        <v>31</v>
      </c>
      <c r="I286" s="3">
        <v>1.0</v>
      </c>
      <c r="J286" s="3">
        <v>1.0</v>
      </c>
      <c r="K286" s="3" t="s">
        <v>31</v>
      </c>
      <c r="L286" s="4" t="s">
        <v>1851</v>
      </c>
      <c r="M286" s="2" t="s">
        <v>2298</v>
      </c>
      <c r="N286" s="2" t="s">
        <v>75</v>
      </c>
      <c r="O286" s="4" t="s">
        <v>76</v>
      </c>
      <c r="P286" s="2" t="s">
        <v>1853</v>
      </c>
      <c r="Q286" s="2" t="s">
        <v>1854</v>
      </c>
      <c r="R286" s="2" t="s">
        <v>75</v>
      </c>
      <c r="S286" s="4" t="s">
        <v>1855</v>
      </c>
      <c r="T286" s="2" t="s">
        <v>66</v>
      </c>
      <c r="U286" s="4" t="s">
        <v>1856</v>
      </c>
      <c r="V286" s="2" t="s">
        <v>802</v>
      </c>
      <c r="W286" s="2" t="s">
        <v>1837</v>
      </c>
      <c r="X286" s="5" t="str">
        <f>HYPERLINK("https://my.pitchbook.com?p=428033-71P","View People Online")</f>
        <v>View People Online</v>
      </c>
    </row>
    <row r="287">
      <c r="A287" s="6" t="s">
        <v>2299</v>
      </c>
      <c r="B287" s="6" t="s">
        <v>2300</v>
      </c>
      <c r="C287" s="6" t="s">
        <v>2301</v>
      </c>
      <c r="D287" s="6" t="s">
        <v>2302</v>
      </c>
      <c r="E287" s="6" t="s">
        <v>1837</v>
      </c>
      <c r="F287" s="6" t="s">
        <v>81</v>
      </c>
      <c r="G287" s="6" t="s">
        <v>2303</v>
      </c>
      <c r="H287" s="7">
        <v>1.0</v>
      </c>
      <c r="I287" s="7">
        <v>3.0</v>
      </c>
      <c r="J287" s="7">
        <v>1.0</v>
      </c>
      <c r="K287" s="7" t="s">
        <v>31</v>
      </c>
      <c r="L287" s="8" t="s">
        <v>31</v>
      </c>
      <c r="M287" s="6" t="s">
        <v>2304</v>
      </c>
      <c r="N287" s="6" t="s">
        <v>2083</v>
      </c>
      <c r="O287" s="8" t="s">
        <v>2084</v>
      </c>
      <c r="P287" s="6" t="s">
        <v>31</v>
      </c>
      <c r="Q287" s="6" t="s">
        <v>31</v>
      </c>
      <c r="R287" s="6" t="s">
        <v>31</v>
      </c>
      <c r="S287" s="8" t="s">
        <v>31</v>
      </c>
      <c r="T287" s="6" t="s">
        <v>2088</v>
      </c>
      <c r="U287" s="8" t="s">
        <v>31</v>
      </c>
      <c r="V287" s="6" t="s">
        <v>2305</v>
      </c>
      <c r="W287" s="6" t="s">
        <v>2306</v>
      </c>
      <c r="X287" s="9" t="str">
        <f>HYPERLINK("https://my.pitchbook.com?p=119138-32P","View People Online")</f>
        <v>View People Online</v>
      </c>
    </row>
    <row r="288">
      <c r="A288" s="10" t="s">
        <v>2307</v>
      </c>
      <c r="B288" s="10" t="s">
        <v>2308</v>
      </c>
      <c r="C288" s="10" t="s">
        <v>2309</v>
      </c>
      <c r="D288" s="10" t="s">
        <v>2310</v>
      </c>
      <c r="E288" s="10" t="s">
        <v>1837</v>
      </c>
      <c r="F288" s="10" t="s">
        <v>81</v>
      </c>
      <c r="G288" s="10" t="s">
        <v>2311</v>
      </c>
      <c r="H288" s="11" t="s">
        <v>31</v>
      </c>
      <c r="I288" s="11">
        <v>4.0</v>
      </c>
      <c r="J288" s="11" t="s">
        <v>31</v>
      </c>
      <c r="K288" s="11">
        <v>2.0</v>
      </c>
      <c r="L288" s="12" t="s">
        <v>1851</v>
      </c>
      <c r="M288" s="10" t="s">
        <v>31</v>
      </c>
      <c r="N288" s="10" t="s">
        <v>75</v>
      </c>
      <c r="O288" s="12" t="s">
        <v>76</v>
      </c>
      <c r="P288" s="10" t="s">
        <v>1853</v>
      </c>
      <c r="Q288" s="10" t="s">
        <v>1854</v>
      </c>
      <c r="R288" s="10" t="s">
        <v>75</v>
      </c>
      <c r="S288" s="12" t="s">
        <v>1855</v>
      </c>
      <c r="T288" s="10" t="s">
        <v>66</v>
      </c>
      <c r="U288" s="12" t="s">
        <v>1856</v>
      </c>
      <c r="V288" s="10" t="s">
        <v>2312</v>
      </c>
      <c r="W288" s="10" t="s">
        <v>2308</v>
      </c>
      <c r="X288" s="13" t="str">
        <f>HYPERLINK("https://my.pitchbook.com?p=270688-33P","View People Online")</f>
        <v>View People Online</v>
      </c>
    </row>
    <row r="289">
      <c r="A289" s="6" t="s">
        <v>2313</v>
      </c>
      <c r="B289" s="6" t="s">
        <v>2314</v>
      </c>
      <c r="C289" s="6" t="s">
        <v>2315</v>
      </c>
      <c r="D289" s="6" t="s">
        <v>2316</v>
      </c>
      <c r="E289" s="6" t="s">
        <v>1837</v>
      </c>
      <c r="F289" s="6" t="s">
        <v>81</v>
      </c>
      <c r="G289" s="6" t="s">
        <v>2317</v>
      </c>
      <c r="H289" s="7" t="s">
        <v>31</v>
      </c>
      <c r="I289" s="7">
        <v>4.0</v>
      </c>
      <c r="J289" s="7">
        <v>1.0</v>
      </c>
      <c r="K289" s="7">
        <v>1.0</v>
      </c>
      <c r="L289" s="8" t="s">
        <v>2318</v>
      </c>
      <c r="M289" s="6" t="s">
        <v>2319</v>
      </c>
      <c r="N289" s="6" t="s">
        <v>2320</v>
      </c>
      <c r="O289" s="8" t="s">
        <v>2321</v>
      </c>
      <c r="P289" s="6" t="s">
        <v>2322</v>
      </c>
      <c r="Q289" s="6" t="s">
        <v>2323</v>
      </c>
      <c r="R289" s="6" t="s">
        <v>31</v>
      </c>
      <c r="S289" s="8" t="s">
        <v>2324</v>
      </c>
      <c r="T289" s="6" t="s">
        <v>2055</v>
      </c>
      <c r="U289" s="8" t="s">
        <v>31</v>
      </c>
      <c r="V289" s="6" t="s">
        <v>157</v>
      </c>
      <c r="W289" s="6" t="s">
        <v>2325</v>
      </c>
      <c r="X289" s="9" t="str">
        <f>HYPERLINK("https://my.pitchbook.com?p=87532-12P","View People Online")</f>
        <v>View People Online</v>
      </c>
    </row>
    <row r="290">
      <c r="A290" s="10" t="s">
        <v>2326</v>
      </c>
      <c r="B290" s="10" t="s">
        <v>2327</v>
      </c>
      <c r="C290" s="10" t="s">
        <v>2328</v>
      </c>
      <c r="D290" s="10" t="s">
        <v>2329</v>
      </c>
      <c r="E290" s="10" t="s">
        <v>1837</v>
      </c>
      <c r="F290" s="10" t="s">
        <v>1801</v>
      </c>
      <c r="G290" s="10" t="s">
        <v>2330</v>
      </c>
      <c r="H290" s="11" t="s">
        <v>31</v>
      </c>
      <c r="I290" s="11">
        <v>2.0</v>
      </c>
      <c r="J290" s="11">
        <v>1.0</v>
      </c>
      <c r="K290" s="11">
        <v>1.0</v>
      </c>
      <c r="L290" s="12" t="s">
        <v>31</v>
      </c>
      <c r="M290" s="10" t="s">
        <v>31</v>
      </c>
      <c r="N290" s="10" t="s">
        <v>1203</v>
      </c>
      <c r="O290" s="12" t="s">
        <v>1204</v>
      </c>
      <c r="P290" s="10" t="s">
        <v>1869</v>
      </c>
      <c r="Q290" s="10" t="s">
        <v>1870</v>
      </c>
      <c r="R290" s="10" t="s">
        <v>1207</v>
      </c>
      <c r="S290" s="12" t="s">
        <v>1871</v>
      </c>
      <c r="T290" s="10" t="s">
        <v>1209</v>
      </c>
      <c r="U290" s="12" t="s">
        <v>31</v>
      </c>
      <c r="V290" s="10" t="s">
        <v>2331</v>
      </c>
      <c r="W290" s="10" t="s">
        <v>1837</v>
      </c>
      <c r="X290" s="13" t="str">
        <f>HYPERLINK("https://my.pitchbook.com?p=271288-27P","View People Online")</f>
        <v>View People Online</v>
      </c>
    </row>
    <row r="291">
      <c r="A291" s="14" t="s">
        <v>2332</v>
      </c>
      <c r="B291" s="14" t="s">
        <v>2333</v>
      </c>
      <c r="C291" s="14" t="s">
        <v>2334</v>
      </c>
      <c r="D291" s="14" t="s">
        <v>2335</v>
      </c>
      <c r="E291" s="14" t="s">
        <v>1837</v>
      </c>
      <c r="F291" s="14" t="s">
        <v>81</v>
      </c>
      <c r="G291" s="14" t="s">
        <v>2336</v>
      </c>
      <c r="H291" s="15">
        <v>2.0</v>
      </c>
      <c r="I291" s="15">
        <v>9.0</v>
      </c>
      <c r="J291" s="15">
        <v>2.0</v>
      </c>
      <c r="K291" s="15">
        <v>3.0</v>
      </c>
      <c r="L291" s="16" t="s">
        <v>2337</v>
      </c>
      <c r="M291" s="14" t="s">
        <v>2338</v>
      </c>
      <c r="N291" s="14" t="s">
        <v>75</v>
      </c>
      <c r="O291" s="16" t="s">
        <v>76</v>
      </c>
      <c r="P291" s="14" t="s">
        <v>2339</v>
      </c>
      <c r="Q291" s="14" t="s">
        <v>2340</v>
      </c>
      <c r="R291" s="14" t="s">
        <v>75</v>
      </c>
      <c r="S291" s="16" t="s">
        <v>1122</v>
      </c>
      <c r="T291" s="14" t="s">
        <v>66</v>
      </c>
      <c r="U291" s="16" t="s">
        <v>31</v>
      </c>
      <c r="V291" s="14" t="s">
        <v>152</v>
      </c>
      <c r="W291" s="14" t="s">
        <v>2341</v>
      </c>
      <c r="X291" s="17" t="str">
        <f>HYPERLINK("https://my.pitchbook.com?p=83918-98P","View People Online")</f>
        <v>View People Online</v>
      </c>
    </row>
    <row r="292">
      <c r="A292" s="2" t="s">
        <v>2342</v>
      </c>
      <c r="B292" s="2" t="s">
        <v>2343</v>
      </c>
      <c r="C292" s="2" t="s">
        <v>2344</v>
      </c>
      <c r="D292" s="2" t="s">
        <v>2345</v>
      </c>
      <c r="E292" s="2" t="s">
        <v>1837</v>
      </c>
      <c r="F292" s="2" t="s">
        <v>81</v>
      </c>
      <c r="G292" s="2" t="s">
        <v>2346</v>
      </c>
      <c r="H292" s="3" t="s">
        <v>31</v>
      </c>
      <c r="I292" s="3">
        <v>1.0</v>
      </c>
      <c r="J292" s="3" t="s">
        <v>31</v>
      </c>
      <c r="K292" s="3" t="s">
        <v>31</v>
      </c>
      <c r="L292" s="4" t="s">
        <v>1851</v>
      </c>
      <c r="M292" s="2" t="s">
        <v>31</v>
      </c>
      <c r="N292" s="2" t="s">
        <v>75</v>
      </c>
      <c r="O292" s="4" t="s">
        <v>76</v>
      </c>
      <c r="P292" s="2" t="s">
        <v>1853</v>
      </c>
      <c r="Q292" s="2" t="s">
        <v>1854</v>
      </c>
      <c r="R292" s="2" t="s">
        <v>75</v>
      </c>
      <c r="S292" s="4" t="s">
        <v>1855</v>
      </c>
      <c r="T292" s="2" t="s">
        <v>66</v>
      </c>
      <c r="U292" s="4" t="s">
        <v>1856</v>
      </c>
      <c r="V292" s="2" t="s">
        <v>81</v>
      </c>
      <c r="W292" s="2" t="s">
        <v>1837</v>
      </c>
      <c r="X292" s="5" t="str">
        <f>HYPERLINK("https://my.pitchbook.com?p=378441-73P","View People Online")</f>
        <v>View People Online</v>
      </c>
    </row>
    <row r="293">
      <c r="A293" s="6" t="s">
        <v>2347</v>
      </c>
      <c r="B293" s="6" t="s">
        <v>2348</v>
      </c>
      <c r="C293" s="6" t="s">
        <v>2349</v>
      </c>
      <c r="D293" s="6" t="s">
        <v>2350</v>
      </c>
      <c r="E293" s="6" t="s">
        <v>1837</v>
      </c>
      <c r="F293" s="6" t="s">
        <v>270</v>
      </c>
      <c r="G293" s="6" t="s">
        <v>2351</v>
      </c>
      <c r="H293" s="7">
        <v>3.0</v>
      </c>
      <c r="I293" s="7">
        <v>27.0</v>
      </c>
      <c r="J293" s="7">
        <v>5.0</v>
      </c>
      <c r="K293" s="7">
        <v>11.0</v>
      </c>
      <c r="L293" s="8" t="s">
        <v>2352</v>
      </c>
      <c r="M293" s="6" t="s">
        <v>2353</v>
      </c>
      <c r="N293" s="6" t="s">
        <v>1170</v>
      </c>
      <c r="O293" s="8" t="s">
        <v>1171</v>
      </c>
      <c r="P293" s="6" t="s">
        <v>31</v>
      </c>
      <c r="Q293" s="6" t="s">
        <v>31</v>
      </c>
      <c r="R293" s="6" t="s">
        <v>64</v>
      </c>
      <c r="S293" s="8" t="s">
        <v>31</v>
      </c>
      <c r="T293" s="6" t="s">
        <v>66</v>
      </c>
      <c r="U293" s="8" t="s">
        <v>31</v>
      </c>
      <c r="V293" s="6" t="s">
        <v>95</v>
      </c>
      <c r="W293" s="6" t="s">
        <v>2354</v>
      </c>
      <c r="X293" s="9" t="str">
        <f>HYPERLINK("https://my.pitchbook.com?p=119281-33P","View People Online")</f>
        <v>View People Online</v>
      </c>
    </row>
    <row r="294">
      <c r="A294" s="2" t="s">
        <v>2355</v>
      </c>
      <c r="B294" s="2" t="s">
        <v>2356</v>
      </c>
      <c r="C294" s="2" t="s">
        <v>2357</v>
      </c>
      <c r="D294" s="2" t="s">
        <v>2358</v>
      </c>
      <c r="E294" s="2" t="s">
        <v>1837</v>
      </c>
      <c r="F294" s="2" t="s">
        <v>1801</v>
      </c>
      <c r="G294" s="2" t="s">
        <v>2359</v>
      </c>
      <c r="H294" s="3" t="s">
        <v>31</v>
      </c>
      <c r="I294" s="3">
        <v>1.0</v>
      </c>
      <c r="J294" s="3">
        <v>1.0</v>
      </c>
      <c r="K294" s="3" t="s">
        <v>31</v>
      </c>
      <c r="L294" s="4" t="s">
        <v>1839</v>
      </c>
      <c r="M294" s="2" t="s">
        <v>2360</v>
      </c>
      <c r="N294" s="2" t="s">
        <v>1841</v>
      </c>
      <c r="O294" s="4" t="s">
        <v>1842</v>
      </c>
      <c r="P294" s="2" t="s">
        <v>1843</v>
      </c>
      <c r="Q294" s="2" t="s">
        <v>1844</v>
      </c>
      <c r="R294" s="2" t="s">
        <v>31</v>
      </c>
      <c r="S294" s="4" t="s">
        <v>31</v>
      </c>
      <c r="T294" s="2" t="s">
        <v>1845</v>
      </c>
      <c r="U294" s="4" t="s">
        <v>31</v>
      </c>
      <c r="V294" s="2" t="s">
        <v>2361</v>
      </c>
      <c r="W294" s="2" t="s">
        <v>1837</v>
      </c>
      <c r="X294" s="5" t="str">
        <f>HYPERLINK("https://my.pitchbook.com?p=238518-55P","View People Online")</f>
        <v>View People Online</v>
      </c>
    </row>
    <row r="295">
      <c r="A295" s="14" t="s">
        <v>2362</v>
      </c>
      <c r="B295" s="14" t="s">
        <v>2363</v>
      </c>
      <c r="C295" s="14" t="s">
        <v>2364</v>
      </c>
      <c r="D295" s="14" t="s">
        <v>2365</v>
      </c>
      <c r="E295" s="14" t="s">
        <v>1837</v>
      </c>
      <c r="F295" s="14" t="s">
        <v>2366</v>
      </c>
      <c r="G295" s="14" t="s">
        <v>2367</v>
      </c>
      <c r="H295" s="15">
        <v>1.0</v>
      </c>
      <c r="I295" s="15">
        <v>4.0</v>
      </c>
      <c r="J295" s="15">
        <v>1.0</v>
      </c>
      <c r="K295" s="15">
        <v>2.0</v>
      </c>
      <c r="L295" s="16" t="s">
        <v>31</v>
      </c>
      <c r="M295" s="14" t="s">
        <v>2368</v>
      </c>
      <c r="N295" s="14" t="s">
        <v>1203</v>
      </c>
      <c r="O295" s="16" t="s">
        <v>1204</v>
      </c>
      <c r="P295" s="14" t="s">
        <v>1869</v>
      </c>
      <c r="Q295" s="14" t="s">
        <v>1870</v>
      </c>
      <c r="R295" s="14" t="s">
        <v>1207</v>
      </c>
      <c r="S295" s="16" t="s">
        <v>1871</v>
      </c>
      <c r="T295" s="14" t="s">
        <v>1209</v>
      </c>
      <c r="U295" s="16" t="s">
        <v>31</v>
      </c>
      <c r="V295" s="14" t="s">
        <v>2369</v>
      </c>
      <c r="W295" s="14" t="s">
        <v>1837</v>
      </c>
      <c r="X295" s="17" t="str">
        <f>HYPERLINK("https://my.pitchbook.com?p=195792-85P","View People Online")</f>
        <v>View People Online</v>
      </c>
    </row>
    <row r="296">
      <c r="A296" s="10" t="s">
        <v>2370</v>
      </c>
      <c r="B296" s="10" t="s">
        <v>2371</v>
      </c>
      <c r="C296" s="10" t="s">
        <v>167</v>
      </c>
      <c r="D296" s="10" t="s">
        <v>2372</v>
      </c>
      <c r="E296" s="10" t="s">
        <v>1837</v>
      </c>
      <c r="F296" s="10" t="s">
        <v>81</v>
      </c>
      <c r="G296" s="10" t="s">
        <v>2373</v>
      </c>
      <c r="H296" s="11" t="s">
        <v>31</v>
      </c>
      <c r="I296" s="11">
        <v>1.0</v>
      </c>
      <c r="J296" s="11" t="s">
        <v>31</v>
      </c>
      <c r="K296" s="11" t="s">
        <v>31</v>
      </c>
      <c r="L296" s="12" t="s">
        <v>1851</v>
      </c>
      <c r="M296" s="10" t="s">
        <v>31</v>
      </c>
      <c r="N296" s="10" t="s">
        <v>75</v>
      </c>
      <c r="O296" s="12" t="s">
        <v>76</v>
      </c>
      <c r="P296" s="10" t="s">
        <v>1853</v>
      </c>
      <c r="Q296" s="10" t="s">
        <v>1854</v>
      </c>
      <c r="R296" s="10" t="s">
        <v>75</v>
      </c>
      <c r="S296" s="12" t="s">
        <v>1855</v>
      </c>
      <c r="T296" s="10" t="s">
        <v>66</v>
      </c>
      <c r="U296" s="12" t="s">
        <v>1856</v>
      </c>
      <c r="V296" s="10" t="s">
        <v>81</v>
      </c>
      <c r="W296" s="10" t="s">
        <v>1837</v>
      </c>
      <c r="X296" s="13" t="str">
        <f>HYPERLINK("https://my.pitchbook.com?p=378431-74P","View People Online")</f>
        <v>View People Online</v>
      </c>
    </row>
    <row r="297">
      <c r="A297" s="6" t="s">
        <v>2374</v>
      </c>
      <c r="B297" s="6" t="s">
        <v>2375</v>
      </c>
      <c r="C297" s="6" t="s">
        <v>934</v>
      </c>
      <c r="D297" s="6" t="s">
        <v>2376</v>
      </c>
      <c r="E297" s="6" t="s">
        <v>1837</v>
      </c>
      <c r="F297" s="6" t="s">
        <v>81</v>
      </c>
      <c r="G297" s="6" t="s">
        <v>2377</v>
      </c>
      <c r="H297" s="7">
        <v>2.0</v>
      </c>
      <c r="I297" s="7">
        <v>23.0</v>
      </c>
      <c r="J297" s="7" t="s">
        <v>31</v>
      </c>
      <c r="K297" s="7">
        <v>17.0</v>
      </c>
      <c r="L297" s="8" t="s">
        <v>2378</v>
      </c>
      <c r="M297" s="6" t="s">
        <v>31</v>
      </c>
      <c r="N297" s="6" t="s">
        <v>75</v>
      </c>
      <c r="O297" s="8" t="s">
        <v>76</v>
      </c>
      <c r="P297" s="6" t="s">
        <v>1853</v>
      </c>
      <c r="Q297" s="6" t="s">
        <v>1854</v>
      </c>
      <c r="R297" s="6" t="s">
        <v>75</v>
      </c>
      <c r="S297" s="8" t="s">
        <v>1855</v>
      </c>
      <c r="T297" s="6" t="s">
        <v>66</v>
      </c>
      <c r="U297" s="8" t="s">
        <v>1856</v>
      </c>
      <c r="V297" s="6" t="s">
        <v>2379</v>
      </c>
      <c r="W297" s="6" t="s">
        <v>2380</v>
      </c>
      <c r="X297" s="9" t="str">
        <f>HYPERLINK("https://my.pitchbook.com?p=75535-84P","View People Online")</f>
        <v>View People Online</v>
      </c>
    </row>
    <row r="298">
      <c r="A298" s="2" t="s">
        <v>2381</v>
      </c>
      <c r="B298" s="2" t="s">
        <v>2382</v>
      </c>
      <c r="C298" s="2" t="s">
        <v>2383</v>
      </c>
      <c r="D298" s="2" t="s">
        <v>2384</v>
      </c>
      <c r="E298" s="2" t="s">
        <v>1837</v>
      </c>
      <c r="F298" s="2" t="s">
        <v>81</v>
      </c>
      <c r="G298" s="2" t="s">
        <v>2385</v>
      </c>
      <c r="H298" s="3" t="s">
        <v>31</v>
      </c>
      <c r="I298" s="3">
        <v>1.0</v>
      </c>
      <c r="J298" s="3" t="s">
        <v>31</v>
      </c>
      <c r="K298" s="3" t="s">
        <v>31</v>
      </c>
      <c r="L298" s="4" t="s">
        <v>1851</v>
      </c>
      <c r="M298" s="2" t="s">
        <v>31</v>
      </c>
      <c r="N298" s="2" t="s">
        <v>75</v>
      </c>
      <c r="O298" s="4" t="s">
        <v>76</v>
      </c>
      <c r="P298" s="2" t="s">
        <v>1853</v>
      </c>
      <c r="Q298" s="2" t="s">
        <v>1854</v>
      </c>
      <c r="R298" s="2" t="s">
        <v>75</v>
      </c>
      <c r="S298" s="4" t="s">
        <v>1855</v>
      </c>
      <c r="T298" s="2" t="s">
        <v>66</v>
      </c>
      <c r="U298" s="4" t="s">
        <v>1856</v>
      </c>
      <c r="V298" s="2" t="s">
        <v>81</v>
      </c>
      <c r="W298" s="2" t="s">
        <v>1837</v>
      </c>
      <c r="X298" s="5" t="str">
        <f>HYPERLINK("https://my.pitchbook.com?p=69914-89P","View People Online")</f>
        <v>View People Online</v>
      </c>
    </row>
    <row r="299">
      <c r="A299" s="14" t="s">
        <v>2386</v>
      </c>
      <c r="B299" s="14" t="s">
        <v>2387</v>
      </c>
      <c r="C299" s="14" t="s">
        <v>2388</v>
      </c>
      <c r="D299" s="14" t="s">
        <v>2389</v>
      </c>
      <c r="E299" s="14" t="s">
        <v>1837</v>
      </c>
      <c r="F299" s="14" t="s">
        <v>81</v>
      </c>
      <c r="G299" s="14" t="s">
        <v>2390</v>
      </c>
      <c r="H299" s="15" t="s">
        <v>31</v>
      </c>
      <c r="I299" s="15">
        <v>1.0</v>
      </c>
      <c r="J299" s="15" t="s">
        <v>31</v>
      </c>
      <c r="K299" s="15" t="s">
        <v>31</v>
      </c>
      <c r="L299" s="16" t="s">
        <v>1851</v>
      </c>
      <c r="M299" s="14" t="s">
        <v>2391</v>
      </c>
      <c r="N299" s="14" t="s">
        <v>75</v>
      </c>
      <c r="O299" s="16" t="s">
        <v>76</v>
      </c>
      <c r="P299" s="14" t="s">
        <v>1853</v>
      </c>
      <c r="Q299" s="14" t="s">
        <v>1854</v>
      </c>
      <c r="R299" s="14" t="s">
        <v>75</v>
      </c>
      <c r="S299" s="16" t="s">
        <v>1855</v>
      </c>
      <c r="T299" s="14" t="s">
        <v>66</v>
      </c>
      <c r="U299" s="16" t="s">
        <v>1856</v>
      </c>
      <c r="V299" s="14" t="s">
        <v>81</v>
      </c>
      <c r="W299" s="14" t="s">
        <v>1837</v>
      </c>
      <c r="X299" s="17" t="str">
        <f>HYPERLINK("https://my.pitchbook.com?p=195916-24P","View People Online")</f>
        <v>View People Online</v>
      </c>
    </row>
    <row r="300">
      <c r="A300" s="10" t="s">
        <v>2392</v>
      </c>
      <c r="B300" s="10" t="s">
        <v>2393</v>
      </c>
      <c r="C300" s="10" t="s">
        <v>2388</v>
      </c>
      <c r="D300" s="10" t="s">
        <v>2394</v>
      </c>
      <c r="E300" s="10" t="s">
        <v>1837</v>
      </c>
      <c r="F300" s="10" t="s">
        <v>81</v>
      </c>
      <c r="G300" s="10" t="s">
        <v>2395</v>
      </c>
      <c r="H300" s="11">
        <v>1.0</v>
      </c>
      <c r="I300" s="11">
        <v>2.0</v>
      </c>
      <c r="J300" s="11" t="s">
        <v>31</v>
      </c>
      <c r="K300" s="11" t="s">
        <v>31</v>
      </c>
      <c r="L300" s="12" t="s">
        <v>1851</v>
      </c>
      <c r="M300" s="10" t="s">
        <v>31</v>
      </c>
      <c r="N300" s="10" t="s">
        <v>75</v>
      </c>
      <c r="O300" s="12" t="s">
        <v>76</v>
      </c>
      <c r="P300" s="10" t="s">
        <v>1853</v>
      </c>
      <c r="Q300" s="10" t="s">
        <v>1854</v>
      </c>
      <c r="R300" s="10" t="s">
        <v>75</v>
      </c>
      <c r="S300" s="12" t="s">
        <v>1855</v>
      </c>
      <c r="T300" s="10" t="s">
        <v>66</v>
      </c>
      <c r="U300" s="12" t="s">
        <v>1856</v>
      </c>
      <c r="V300" s="10" t="s">
        <v>81</v>
      </c>
      <c r="W300" s="10" t="s">
        <v>1837</v>
      </c>
      <c r="X300" s="13" t="str">
        <f>HYPERLINK("https://my.pitchbook.com?p=63150-31P","View People Online")</f>
        <v>View People Online</v>
      </c>
    </row>
    <row r="301">
      <c r="A301" s="6" t="s">
        <v>2396</v>
      </c>
      <c r="B301" s="6" t="s">
        <v>2397</v>
      </c>
      <c r="C301" s="6" t="s">
        <v>2398</v>
      </c>
      <c r="D301" s="6" t="s">
        <v>2399</v>
      </c>
      <c r="E301" s="6" t="s">
        <v>1837</v>
      </c>
      <c r="F301" s="6" t="s">
        <v>825</v>
      </c>
      <c r="G301" s="6" t="s">
        <v>2400</v>
      </c>
      <c r="H301" s="7" t="s">
        <v>31</v>
      </c>
      <c r="I301" s="7">
        <v>1.0</v>
      </c>
      <c r="J301" s="7">
        <v>1.0</v>
      </c>
      <c r="K301" s="7" t="s">
        <v>31</v>
      </c>
      <c r="L301" s="8" t="s">
        <v>1851</v>
      </c>
      <c r="M301" s="6" t="s">
        <v>2401</v>
      </c>
      <c r="N301" s="6" t="s">
        <v>155</v>
      </c>
      <c r="O301" s="8" t="s">
        <v>156</v>
      </c>
      <c r="P301" s="6" t="s">
        <v>2402</v>
      </c>
      <c r="Q301" s="6" t="s">
        <v>2403</v>
      </c>
      <c r="R301" s="6" t="s">
        <v>64</v>
      </c>
      <c r="S301" s="8" t="s">
        <v>1339</v>
      </c>
      <c r="T301" s="6" t="s">
        <v>66</v>
      </c>
      <c r="U301" s="8" t="s">
        <v>31</v>
      </c>
      <c r="V301" s="6" t="s">
        <v>2404</v>
      </c>
      <c r="W301" s="6" t="s">
        <v>1837</v>
      </c>
      <c r="X301" s="9" t="str">
        <f>HYPERLINK("https://my.pitchbook.com?p=123178-42P","View People Online")</f>
        <v>View People Online</v>
      </c>
    </row>
    <row r="302">
      <c r="A302" s="2" t="s">
        <v>2405</v>
      </c>
      <c r="B302" s="2" t="s">
        <v>2406</v>
      </c>
      <c r="C302" s="2" t="s">
        <v>2398</v>
      </c>
      <c r="D302" s="2" t="s">
        <v>2407</v>
      </c>
      <c r="E302" s="2" t="s">
        <v>1837</v>
      </c>
      <c r="F302" s="2" t="s">
        <v>221</v>
      </c>
      <c r="G302" s="2" t="s">
        <v>2408</v>
      </c>
      <c r="H302" s="3" t="s">
        <v>31</v>
      </c>
      <c r="I302" s="3">
        <v>1.0</v>
      </c>
      <c r="J302" s="3">
        <v>1.0</v>
      </c>
      <c r="K302" s="3" t="s">
        <v>31</v>
      </c>
      <c r="L302" s="4" t="s">
        <v>31</v>
      </c>
      <c r="M302" s="2" t="s">
        <v>2409</v>
      </c>
      <c r="N302" s="2" t="s">
        <v>1203</v>
      </c>
      <c r="O302" s="4" t="s">
        <v>1204</v>
      </c>
      <c r="P302" s="2" t="s">
        <v>1869</v>
      </c>
      <c r="Q302" s="2" t="s">
        <v>1870</v>
      </c>
      <c r="R302" s="2" t="s">
        <v>1207</v>
      </c>
      <c r="S302" s="4" t="s">
        <v>1871</v>
      </c>
      <c r="T302" s="2" t="s">
        <v>1209</v>
      </c>
      <c r="U302" s="4" t="s">
        <v>31</v>
      </c>
      <c r="V302" s="2" t="s">
        <v>2119</v>
      </c>
      <c r="W302" s="2" t="s">
        <v>1837</v>
      </c>
      <c r="X302" s="5" t="str">
        <f>HYPERLINK("https://my.pitchbook.com?p=348416-29P","View People Online")</f>
        <v>View People Online</v>
      </c>
    </row>
    <row r="303">
      <c r="A303" s="6" t="s">
        <v>2410</v>
      </c>
      <c r="B303" s="6" t="s">
        <v>2411</v>
      </c>
      <c r="C303" s="6" t="s">
        <v>2412</v>
      </c>
      <c r="D303" s="6" t="s">
        <v>2413</v>
      </c>
      <c r="E303" s="6" t="s">
        <v>1837</v>
      </c>
      <c r="F303" s="6" t="s">
        <v>81</v>
      </c>
      <c r="G303" s="6" t="s">
        <v>2414</v>
      </c>
      <c r="H303" s="7">
        <v>1.0</v>
      </c>
      <c r="I303" s="7">
        <v>2.0</v>
      </c>
      <c r="J303" s="7" t="s">
        <v>31</v>
      </c>
      <c r="K303" s="7" t="s">
        <v>31</v>
      </c>
      <c r="L303" s="8" t="s">
        <v>1851</v>
      </c>
      <c r="M303" s="6" t="s">
        <v>31</v>
      </c>
      <c r="N303" s="6" t="s">
        <v>75</v>
      </c>
      <c r="O303" s="8" t="s">
        <v>76</v>
      </c>
      <c r="P303" s="6" t="s">
        <v>1853</v>
      </c>
      <c r="Q303" s="6" t="s">
        <v>1854</v>
      </c>
      <c r="R303" s="6" t="s">
        <v>75</v>
      </c>
      <c r="S303" s="8" t="s">
        <v>1855</v>
      </c>
      <c r="T303" s="6" t="s">
        <v>66</v>
      </c>
      <c r="U303" s="8" t="s">
        <v>1856</v>
      </c>
      <c r="V303" s="6" t="s">
        <v>81</v>
      </c>
      <c r="W303" s="6" t="s">
        <v>1837</v>
      </c>
      <c r="X303" s="9" t="str">
        <f>HYPERLINK("https://my.pitchbook.com?p=289221-76P","View People Online")</f>
        <v>View People Online</v>
      </c>
    </row>
    <row r="304">
      <c r="A304" s="2" t="s">
        <v>2415</v>
      </c>
      <c r="B304" s="2" t="s">
        <v>2416</v>
      </c>
      <c r="C304" s="2" t="s">
        <v>2412</v>
      </c>
      <c r="D304" s="2" t="s">
        <v>2417</v>
      </c>
      <c r="E304" s="2" t="s">
        <v>1837</v>
      </c>
      <c r="F304" s="2" t="s">
        <v>896</v>
      </c>
      <c r="G304" s="2" t="s">
        <v>2418</v>
      </c>
      <c r="H304" s="3" t="s">
        <v>31</v>
      </c>
      <c r="I304" s="3">
        <v>2.0</v>
      </c>
      <c r="J304" s="3">
        <v>2.0</v>
      </c>
      <c r="K304" s="3" t="s">
        <v>31</v>
      </c>
      <c r="L304" s="4" t="s">
        <v>31</v>
      </c>
      <c r="M304" s="2" t="s">
        <v>2419</v>
      </c>
      <c r="N304" s="2" t="s">
        <v>2083</v>
      </c>
      <c r="O304" s="4" t="s">
        <v>2084</v>
      </c>
      <c r="P304" s="2" t="s">
        <v>2420</v>
      </c>
      <c r="Q304" s="2" t="s">
        <v>2421</v>
      </c>
      <c r="R304" s="2" t="s">
        <v>31</v>
      </c>
      <c r="S304" s="4" t="s">
        <v>31</v>
      </c>
      <c r="T304" s="2" t="s">
        <v>2088</v>
      </c>
      <c r="U304" s="4" t="s">
        <v>31</v>
      </c>
      <c r="V304" s="2" t="s">
        <v>2422</v>
      </c>
      <c r="W304" s="2" t="s">
        <v>2423</v>
      </c>
      <c r="X304" s="5" t="str">
        <f>HYPERLINK("https://my.pitchbook.com?p=176066-29P","View People Online")</f>
        <v>View People Online</v>
      </c>
    </row>
    <row r="305">
      <c r="A305" s="14" t="s">
        <v>2424</v>
      </c>
      <c r="B305" s="14" t="s">
        <v>2425</v>
      </c>
      <c r="C305" s="14" t="s">
        <v>2426</v>
      </c>
      <c r="D305" s="14" t="s">
        <v>2427</v>
      </c>
      <c r="E305" s="14" t="s">
        <v>1837</v>
      </c>
      <c r="F305" s="14" t="s">
        <v>896</v>
      </c>
      <c r="G305" s="14" t="s">
        <v>2428</v>
      </c>
      <c r="H305" s="15" t="s">
        <v>31</v>
      </c>
      <c r="I305" s="15">
        <v>1.0</v>
      </c>
      <c r="J305" s="15">
        <v>1.0</v>
      </c>
      <c r="K305" s="15" t="s">
        <v>31</v>
      </c>
      <c r="L305" s="16" t="s">
        <v>1851</v>
      </c>
      <c r="M305" s="14" t="s">
        <v>2429</v>
      </c>
      <c r="N305" s="14" t="s">
        <v>75</v>
      </c>
      <c r="O305" s="16" t="s">
        <v>76</v>
      </c>
      <c r="P305" s="14" t="s">
        <v>1853</v>
      </c>
      <c r="Q305" s="14" t="s">
        <v>1854</v>
      </c>
      <c r="R305" s="14" t="s">
        <v>75</v>
      </c>
      <c r="S305" s="16" t="s">
        <v>1855</v>
      </c>
      <c r="T305" s="14" t="s">
        <v>66</v>
      </c>
      <c r="U305" s="16" t="s">
        <v>1856</v>
      </c>
      <c r="V305" s="14" t="s">
        <v>896</v>
      </c>
      <c r="W305" s="14" t="s">
        <v>1837</v>
      </c>
      <c r="X305" s="17" t="str">
        <f>HYPERLINK("https://my.pitchbook.com?p=243662-59P","View People Online")</f>
        <v>View People Online</v>
      </c>
    </row>
    <row r="306">
      <c r="A306" s="2" t="s">
        <v>2430</v>
      </c>
      <c r="B306" s="2" t="s">
        <v>2431</v>
      </c>
      <c r="C306" s="2" t="s">
        <v>1013</v>
      </c>
      <c r="D306" s="2" t="s">
        <v>2432</v>
      </c>
      <c r="E306" s="2" t="s">
        <v>1837</v>
      </c>
      <c r="F306" s="2" t="s">
        <v>81</v>
      </c>
      <c r="G306" s="2" t="s">
        <v>2433</v>
      </c>
      <c r="H306" s="3">
        <v>1.0</v>
      </c>
      <c r="I306" s="3">
        <v>2.0</v>
      </c>
      <c r="J306" s="3">
        <v>1.0</v>
      </c>
      <c r="K306" s="3" t="s">
        <v>31</v>
      </c>
      <c r="L306" s="4" t="s">
        <v>2434</v>
      </c>
      <c r="M306" s="2" t="s">
        <v>2435</v>
      </c>
      <c r="N306" s="2" t="s">
        <v>2436</v>
      </c>
      <c r="O306" s="4" t="s">
        <v>2437</v>
      </c>
      <c r="P306" s="2" t="s">
        <v>2438</v>
      </c>
      <c r="Q306" s="2" t="s">
        <v>2439</v>
      </c>
      <c r="R306" s="2" t="s">
        <v>31</v>
      </c>
      <c r="S306" s="4" t="s">
        <v>2440</v>
      </c>
      <c r="T306" s="2" t="s">
        <v>1209</v>
      </c>
      <c r="U306" s="4" t="s">
        <v>31</v>
      </c>
      <c r="V306" s="2" t="s">
        <v>2441</v>
      </c>
      <c r="W306" s="2" t="s">
        <v>2442</v>
      </c>
      <c r="X306" s="5" t="str">
        <f>HYPERLINK("https://my.pitchbook.com?p=40396-60P","View People Online")</f>
        <v>View People Online</v>
      </c>
    </row>
    <row r="307">
      <c r="A307" s="6" t="s">
        <v>2443</v>
      </c>
      <c r="B307" s="6" t="s">
        <v>2444</v>
      </c>
      <c r="C307" s="6" t="s">
        <v>1388</v>
      </c>
      <c r="D307" s="6" t="s">
        <v>2445</v>
      </c>
      <c r="E307" s="6" t="s">
        <v>1837</v>
      </c>
      <c r="F307" s="6" t="s">
        <v>548</v>
      </c>
      <c r="G307" s="6" t="s">
        <v>2446</v>
      </c>
      <c r="H307" s="7" t="s">
        <v>31</v>
      </c>
      <c r="I307" s="7">
        <v>1.0</v>
      </c>
      <c r="J307" s="7">
        <v>1.0</v>
      </c>
      <c r="K307" s="7" t="s">
        <v>31</v>
      </c>
      <c r="L307" s="8" t="s">
        <v>1851</v>
      </c>
      <c r="M307" s="6" t="s">
        <v>2447</v>
      </c>
      <c r="N307" s="6" t="s">
        <v>75</v>
      </c>
      <c r="O307" s="8" t="s">
        <v>76</v>
      </c>
      <c r="P307" s="6" t="s">
        <v>1853</v>
      </c>
      <c r="Q307" s="6" t="s">
        <v>1854</v>
      </c>
      <c r="R307" s="6" t="s">
        <v>75</v>
      </c>
      <c r="S307" s="8" t="s">
        <v>1855</v>
      </c>
      <c r="T307" s="6" t="s">
        <v>66</v>
      </c>
      <c r="U307" s="8" t="s">
        <v>1856</v>
      </c>
      <c r="V307" s="6" t="s">
        <v>2448</v>
      </c>
      <c r="W307" s="6" t="s">
        <v>1837</v>
      </c>
      <c r="X307" s="9" t="str">
        <f>HYPERLINK("https://my.pitchbook.com?p=271299-25P","View People Online")</f>
        <v>View People Online</v>
      </c>
    </row>
    <row r="308">
      <c r="A308" s="2" t="s">
        <v>2449</v>
      </c>
      <c r="B308" s="2" t="s">
        <v>2450</v>
      </c>
      <c r="C308" s="2" t="s">
        <v>2451</v>
      </c>
      <c r="D308" s="2" t="s">
        <v>2452</v>
      </c>
      <c r="E308" s="2" t="s">
        <v>1837</v>
      </c>
      <c r="F308" s="2" t="s">
        <v>81</v>
      </c>
      <c r="G308" s="2" t="s">
        <v>2453</v>
      </c>
      <c r="H308" s="3" t="s">
        <v>31</v>
      </c>
      <c r="I308" s="3">
        <v>2.0</v>
      </c>
      <c r="J308" s="3" t="s">
        <v>31</v>
      </c>
      <c r="K308" s="3" t="s">
        <v>31</v>
      </c>
      <c r="L308" s="4" t="s">
        <v>1851</v>
      </c>
      <c r="M308" s="2" t="s">
        <v>31</v>
      </c>
      <c r="N308" s="2" t="s">
        <v>75</v>
      </c>
      <c r="O308" s="4" t="s">
        <v>76</v>
      </c>
      <c r="P308" s="2" t="s">
        <v>1853</v>
      </c>
      <c r="Q308" s="2" t="s">
        <v>1854</v>
      </c>
      <c r="R308" s="2" t="s">
        <v>75</v>
      </c>
      <c r="S308" s="4" t="s">
        <v>1855</v>
      </c>
      <c r="T308" s="2" t="s">
        <v>66</v>
      </c>
      <c r="U308" s="4" t="s">
        <v>1856</v>
      </c>
      <c r="V308" s="2" t="s">
        <v>81</v>
      </c>
      <c r="W308" s="2" t="s">
        <v>1837</v>
      </c>
      <c r="X308" s="5" t="str">
        <f>HYPERLINK("https://my.pitchbook.com?p=118459-90P","View People Online")</f>
        <v>View People Online</v>
      </c>
    </row>
    <row r="309">
      <c r="A309" s="6" t="s">
        <v>2454</v>
      </c>
      <c r="B309" s="6" t="s">
        <v>2455</v>
      </c>
      <c r="C309" s="6" t="s">
        <v>2456</v>
      </c>
      <c r="D309" s="6" t="s">
        <v>2457</v>
      </c>
      <c r="E309" s="6" t="s">
        <v>1837</v>
      </c>
      <c r="F309" s="6" t="s">
        <v>548</v>
      </c>
      <c r="G309" s="6" t="s">
        <v>2458</v>
      </c>
      <c r="H309" s="7">
        <v>4.0</v>
      </c>
      <c r="I309" s="7">
        <v>19.0</v>
      </c>
      <c r="J309" s="7">
        <v>4.0</v>
      </c>
      <c r="K309" s="7">
        <v>11.0</v>
      </c>
      <c r="L309" s="8" t="s">
        <v>2459</v>
      </c>
      <c r="M309" s="6" t="s">
        <v>2460</v>
      </c>
      <c r="N309" s="6" t="s">
        <v>155</v>
      </c>
      <c r="O309" s="8" t="s">
        <v>156</v>
      </c>
      <c r="P309" s="6" t="s">
        <v>2461</v>
      </c>
      <c r="Q309" s="6" t="s">
        <v>2462</v>
      </c>
      <c r="R309" s="6" t="s">
        <v>64</v>
      </c>
      <c r="S309" s="8" t="s">
        <v>2463</v>
      </c>
      <c r="T309" s="6" t="s">
        <v>66</v>
      </c>
      <c r="U309" s="8" t="s">
        <v>31</v>
      </c>
      <c r="V309" s="6" t="s">
        <v>2464</v>
      </c>
      <c r="W309" s="6" t="s">
        <v>2465</v>
      </c>
      <c r="X309" s="9" t="str">
        <f>HYPERLINK("https://my.pitchbook.com?p=13552-57P","View People Online")</f>
        <v>View People Online</v>
      </c>
    </row>
    <row r="310">
      <c r="A310" s="2" t="s">
        <v>2466</v>
      </c>
      <c r="B310" s="2" t="s">
        <v>2467</v>
      </c>
      <c r="C310" s="2" t="s">
        <v>2468</v>
      </c>
      <c r="D310" s="2" t="s">
        <v>2469</v>
      </c>
      <c r="E310" s="2" t="s">
        <v>1837</v>
      </c>
      <c r="F310" s="2" t="s">
        <v>548</v>
      </c>
      <c r="G310" s="2" t="s">
        <v>2470</v>
      </c>
      <c r="H310" s="3" t="s">
        <v>31</v>
      </c>
      <c r="I310" s="3">
        <v>1.0</v>
      </c>
      <c r="J310" s="3">
        <v>1.0</v>
      </c>
      <c r="K310" s="3" t="s">
        <v>31</v>
      </c>
      <c r="L310" s="4" t="s">
        <v>1851</v>
      </c>
      <c r="M310" s="2" t="s">
        <v>31</v>
      </c>
      <c r="N310" s="2" t="s">
        <v>75</v>
      </c>
      <c r="O310" s="4" t="s">
        <v>76</v>
      </c>
      <c r="P310" s="2" t="s">
        <v>1853</v>
      </c>
      <c r="Q310" s="2" t="s">
        <v>1854</v>
      </c>
      <c r="R310" s="2" t="s">
        <v>75</v>
      </c>
      <c r="S310" s="4" t="s">
        <v>1855</v>
      </c>
      <c r="T310" s="2" t="s">
        <v>66</v>
      </c>
      <c r="U310" s="4" t="s">
        <v>1856</v>
      </c>
      <c r="V310" s="2" t="s">
        <v>2471</v>
      </c>
      <c r="W310" s="2" t="s">
        <v>1837</v>
      </c>
      <c r="X310" s="5" t="str">
        <f>HYPERLINK("https://my.pitchbook.com?p=428035-33P","View People Online")</f>
        <v>View People Online</v>
      </c>
    </row>
    <row r="311">
      <c r="A311" s="6" t="s">
        <v>2472</v>
      </c>
      <c r="B311" s="6" t="s">
        <v>2473</v>
      </c>
      <c r="C311" s="6" t="s">
        <v>1683</v>
      </c>
      <c r="D311" s="6" t="s">
        <v>2474</v>
      </c>
      <c r="E311" s="6" t="s">
        <v>1837</v>
      </c>
      <c r="F311" s="6" t="s">
        <v>81</v>
      </c>
      <c r="G311" s="6" t="s">
        <v>2475</v>
      </c>
      <c r="H311" s="7" t="s">
        <v>31</v>
      </c>
      <c r="I311" s="7">
        <v>1.0</v>
      </c>
      <c r="J311" s="7" t="s">
        <v>31</v>
      </c>
      <c r="K311" s="7" t="s">
        <v>31</v>
      </c>
      <c r="L311" s="8" t="s">
        <v>1851</v>
      </c>
      <c r="M311" s="6" t="s">
        <v>31</v>
      </c>
      <c r="N311" s="6" t="s">
        <v>75</v>
      </c>
      <c r="O311" s="8" t="s">
        <v>76</v>
      </c>
      <c r="P311" s="6" t="s">
        <v>1853</v>
      </c>
      <c r="Q311" s="6" t="s">
        <v>1854</v>
      </c>
      <c r="R311" s="6" t="s">
        <v>75</v>
      </c>
      <c r="S311" s="8" t="s">
        <v>1855</v>
      </c>
      <c r="T311" s="6" t="s">
        <v>66</v>
      </c>
      <c r="U311" s="8" t="s">
        <v>1856</v>
      </c>
      <c r="V311" s="6" t="s">
        <v>81</v>
      </c>
      <c r="W311" s="6" t="s">
        <v>1837</v>
      </c>
      <c r="X311" s="9" t="str">
        <f>HYPERLINK("https://my.pitchbook.com?p=378447-49P","View People Online")</f>
        <v>View People Online</v>
      </c>
    </row>
    <row r="312">
      <c r="A312" s="2" t="s">
        <v>2476</v>
      </c>
      <c r="B312" s="2" t="s">
        <v>2477</v>
      </c>
      <c r="C312" s="2" t="s">
        <v>2478</v>
      </c>
      <c r="D312" s="2" t="s">
        <v>562</v>
      </c>
      <c r="E312" s="2" t="s">
        <v>1837</v>
      </c>
      <c r="F312" s="2" t="s">
        <v>270</v>
      </c>
      <c r="G312" s="2" t="s">
        <v>2479</v>
      </c>
      <c r="H312" s="3" t="s">
        <v>31</v>
      </c>
      <c r="I312" s="3">
        <v>2.0</v>
      </c>
      <c r="J312" s="3">
        <v>2.0</v>
      </c>
      <c r="K312" s="3" t="s">
        <v>31</v>
      </c>
      <c r="L312" s="4" t="s">
        <v>1851</v>
      </c>
      <c r="M312" s="2" t="s">
        <v>2480</v>
      </c>
      <c r="N312" s="2" t="s">
        <v>75</v>
      </c>
      <c r="O312" s="4" t="s">
        <v>76</v>
      </c>
      <c r="P312" s="2" t="s">
        <v>1853</v>
      </c>
      <c r="Q312" s="2" t="s">
        <v>1854</v>
      </c>
      <c r="R312" s="2" t="s">
        <v>75</v>
      </c>
      <c r="S312" s="4" t="s">
        <v>1855</v>
      </c>
      <c r="T312" s="2" t="s">
        <v>66</v>
      </c>
      <c r="U312" s="4" t="s">
        <v>1856</v>
      </c>
      <c r="V312" s="2" t="s">
        <v>1886</v>
      </c>
      <c r="W312" s="2" t="s">
        <v>1837</v>
      </c>
      <c r="X312" s="5" t="str">
        <f>HYPERLINK("https://my.pitchbook.com?p=392786-56P","View People Online")</f>
        <v>View People Online</v>
      </c>
    </row>
    <row r="313">
      <c r="A313" s="14" t="s">
        <v>2481</v>
      </c>
      <c r="B313" s="14" t="s">
        <v>2482</v>
      </c>
      <c r="C313" s="14" t="s">
        <v>2483</v>
      </c>
      <c r="D313" s="14" t="s">
        <v>1147</v>
      </c>
      <c r="E313" s="14" t="s">
        <v>1837</v>
      </c>
      <c r="F313" s="14" t="s">
        <v>81</v>
      </c>
      <c r="G313" s="14" t="s">
        <v>2484</v>
      </c>
      <c r="H313" s="15" t="s">
        <v>31</v>
      </c>
      <c r="I313" s="15">
        <v>1.0</v>
      </c>
      <c r="J313" s="15" t="s">
        <v>31</v>
      </c>
      <c r="K313" s="15" t="s">
        <v>31</v>
      </c>
      <c r="L313" s="16" t="s">
        <v>1851</v>
      </c>
      <c r="M313" s="14" t="s">
        <v>31</v>
      </c>
      <c r="N313" s="14" t="s">
        <v>75</v>
      </c>
      <c r="O313" s="16" t="s">
        <v>76</v>
      </c>
      <c r="P313" s="14" t="s">
        <v>1853</v>
      </c>
      <c r="Q313" s="14" t="s">
        <v>1854</v>
      </c>
      <c r="R313" s="14" t="s">
        <v>75</v>
      </c>
      <c r="S313" s="16" t="s">
        <v>1855</v>
      </c>
      <c r="T313" s="14" t="s">
        <v>66</v>
      </c>
      <c r="U313" s="16" t="s">
        <v>1856</v>
      </c>
      <c r="V313" s="14" t="s">
        <v>81</v>
      </c>
      <c r="W313" s="14" t="s">
        <v>1837</v>
      </c>
      <c r="X313" s="17" t="str">
        <f>HYPERLINK("https://my.pitchbook.com?p=378446-86P","View People Online")</f>
        <v>View People Online</v>
      </c>
    </row>
    <row r="314">
      <c r="A314" s="2" t="s">
        <v>2485</v>
      </c>
      <c r="B314" s="2" t="s">
        <v>2486</v>
      </c>
      <c r="C314" s="2" t="s">
        <v>2487</v>
      </c>
      <c r="D314" s="2" t="s">
        <v>2488</v>
      </c>
      <c r="E314" s="2" t="s">
        <v>1837</v>
      </c>
      <c r="F314" s="2" t="s">
        <v>81</v>
      </c>
      <c r="G314" s="2" t="s">
        <v>2489</v>
      </c>
      <c r="H314" s="3" t="s">
        <v>31</v>
      </c>
      <c r="I314" s="3">
        <v>1.0</v>
      </c>
      <c r="J314" s="3" t="s">
        <v>31</v>
      </c>
      <c r="K314" s="3" t="s">
        <v>31</v>
      </c>
      <c r="L314" s="4" t="s">
        <v>1851</v>
      </c>
      <c r="M314" s="2" t="s">
        <v>31</v>
      </c>
      <c r="N314" s="2" t="s">
        <v>75</v>
      </c>
      <c r="O314" s="4" t="s">
        <v>76</v>
      </c>
      <c r="P314" s="2" t="s">
        <v>1853</v>
      </c>
      <c r="Q314" s="2" t="s">
        <v>1854</v>
      </c>
      <c r="R314" s="2" t="s">
        <v>75</v>
      </c>
      <c r="S314" s="4" t="s">
        <v>1855</v>
      </c>
      <c r="T314" s="2" t="s">
        <v>66</v>
      </c>
      <c r="U314" s="4" t="s">
        <v>1856</v>
      </c>
      <c r="V314" s="2" t="s">
        <v>81</v>
      </c>
      <c r="W314" s="2" t="s">
        <v>1837</v>
      </c>
      <c r="X314" s="5" t="str">
        <f>HYPERLINK("https://my.pitchbook.com?p=378446-50P","View People Online")</f>
        <v>View People Online</v>
      </c>
    </row>
    <row r="315">
      <c r="A315" s="6" t="s">
        <v>2490</v>
      </c>
      <c r="B315" s="6" t="s">
        <v>2491</v>
      </c>
      <c r="C315" s="6" t="s">
        <v>2492</v>
      </c>
      <c r="D315" s="6" t="s">
        <v>2493</v>
      </c>
      <c r="E315" s="6" t="s">
        <v>1837</v>
      </c>
      <c r="F315" s="6" t="s">
        <v>1801</v>
      </c>
      <c r="G315" s="6" t="s">
        <v>2494</v>
      </c>
      <c r="H315" s="7" t="s">
        <v>31</v>
      </c>
      <c r="I315" s="7">
        <v>1.0</v>
      </c>
      <c r="J315" s="7">
        <v>1.0</v>
      </c>
      <c r="K315" s="7" t="s">
        <v>31</v>
      </c>
      <c r="L315" s="8" t="s">
        <v>2495</v>
      </c>
      <c r="M315" s="6" t="s">
        <v>2496</v>
      </c>
      <c r="N315" s="6" t="s">
        <v>1203</v>
      </c>
      <c r="O315" s="8" t="s">
        <v>1204</v>
      </c>
      <c r="P315" s="6" t="s">
        <v>1869</v>
      </c>
      <c r="Q315" s="6" t="s">
        <v>1870</v>
      </c>
      <c r="R315" s="6" t="s">
        <v>1207</v>
      </c>
      <c r="S315" s="8" t="s">
        <v>1871</v>
      </c>
      <c r="T315" s="6" t="s">
        <v>1209</v>
      </c>
      <c r="U315" s="8" t="s">
        <v>31</v>
      </c>
      <c r="V315" s="6" t="s">
        <v>2238</v>
      </c>
      <c r="W315" s="6" t="s">
        <v>1837</v>
      </c>
      <c r="X315" s="9" t="str">
        <f>HYPERLINK("https://my.pitchbook.com?p=123170-86P","View People Online")</f>
        <v>View People Online</v>
      </c>
    </row>
    <row r="316">
      <c r="A316" s="10" t="s">
        <v>2497</v>
      </c>
      <c r="B316" s="10" t="s">
        <v>2498</v>
      </c>
      <c r="C316" s="10" t="s">
        <v>2499</v>
      </c>
      <c r="D316" s="10" t="s">
        <v>2500</v>
      </c>
      <c r="E316" s="10" t="s">
        <v>1837</v>
      </c>
      <c r="F316" s="10" t="s">
        <v>81</v>
      </c>
      <c r="G316" s="10" t="s">
        <v>2501</v>
      </c>
      <c r="H316" s="11" t="s">
        <v>31</v>
      </c>
      <c r="I316" s="11">
        <v>1.0</v>
      </c>
      <c r="J316" s="11" t="s">
        <v>31</v>
      </c>
      <c r="K316" s="11" t="s">
        <v>31</v>
      </c>
      <c r="L316" s="12" t="s">
        <v>1851</v>
      </c>
      <c r="M316" s="10" t="s">
        <v>31</v>
      </c>
      <c r="N316" s="10" t="s">
        <v>75</v>
      </c>
      <c r="O316" s="12" t="s">
        <v>76</v>
      </c>
      <c r="P316" s="10" t="s">
        <v>1853</v>
      </c>
      <c r="Q316" s="10" t="s">
        <v>1854</v>
      </c>
      <c r="R316" s="10" t="s">
        <v>75</v>
      </c>
      <c r="S316" s="12" t="s">
        <v>1855</v>
      </c>
      <c r="T316" s="10" t="s">
        <v>66</v>
      </c>
      <c r="U316" s="12" t="s">
        <v>1856</v>
      </c>
      <c r="V316" s="10" t="s">
        <v>81</v>
      </c>
      <c r="W316" s="10" t="s">
        <v>1837</v>
      </c>
      <c r="X316" s="13" t="str">
        <f>HYPERLINK("https://my.pitchbook.com?p=378450-55P","View People Online")</f>
        <v>View People Online</v>
      </c>
    </row>
    <row r="317">
      <c r="A317" s="14" t="s">
        <v>2502</v>
      </c>
      <c r="B317" s="14" t="s">
        <v>2503</v>
      </c>
      <c r="C317" s="14" t="s">
        <v>2504</v>
      </c>
      <c r="D317" s="14" t="s">
        <v>2505</v>
      </c>
      <c r="E317" s="14" t="s">
        <v>1837</v>
      </c>
      <c r="F317" s="14" t="s">
        <v>81</v>
      </c>
      <c r="G317" s="14" t="s">
        <v>2506</v>
      </c>
      <c r="H317" s="15">
        <v>1.0</v>
      </c>
      <c r="I317" s="15">
        <v>2.0</v>
      </c>
      <c r="J317" s="15">
        <v>1.0</v>
      </c>
      <c r="K317" s="15" t="s">
        <v>31</v>
      </c>
      <c r="L317" s="16" t="s">
        <v>2507</v>
      </c>
      <c r="M317" s="14" t="s">
        <v>2508</v>
      </c>
      <c r="N317" s="14" t="s">
        <v>243</v>
      </c>
      <c r="O317" s="16" t="s">
        <v>244</v>
      </c>
      <c r="P317" s="14" t="s">
        <v>2509</v>
      </c>
      <c r="Q317" s="14" t="s">
        <v>31</v>
      </c>
      <c r="R317" s="14" t="s">
        <v>247</v>
      </c>
      <c r="S317" s="16" t="s">
        <v>2510</v>
      </c>
      <c r="T317" s="14" t="s">
        <v>249</v>
      </c>
      <c r="U317" s="16" t="s">
        <v>31</v>
      </c>
      <c r="V317" s="14" t="s">
        <v>1384</v>
      </c>
      <c r="W317" s="14" t="s">
        <v>2511</v>
      </c>
      <c r="X317" s="17" t="str">
        <f>HYPERLINK("https://my.pitchbook.com?p=71719-03P","View People Online")</f>
        <v>View People Online</v>
      </c>
    </row>
    <row r="318">
      <c r="A318" s="2" t="s">
        <v>2512</v>
      </c>
      <c r="B318" s="2" t="s">
        <v>2513</v>
      </c>
      <c r="C318" s="2" t="s">
        <v>2514</v>
      </c>
      <c r="D318" s="2" t="s">
        <v>2515</v>
      </c>
      <c r="E318" s="2" t="s">
        <v>1837</v>
      </c>
      <c r="F318" s="2" t="s">
        <v>548</v>
      </c>
      <c r="G318" s="2" t="s">
        <v>2516</v>
      </c>
      <c r="H318" s="3">
        <v>2.0</v>
      </c>
      <c r="I318" s="3">
        <v>19.0</v>
      </c>
      <c r="J318" s="3">
        <v>2.0</v>
      </c>
      <c r="K318" s="3">
        <v>12.0</v>
      </c>
      <c r="L318" s="4" t="s">
        <v>31</v>
      </c>
      <c r="M318" s="2" t="s">
        <v>2517</v>
      </c>
      <c r="N318" s="2" t="s">
        <v>2017</v>
      </c>
      <c r="O318" s="4" t="s">
        <v>2018</v>
      </c>
      <c r="P318" s="2" t="s">
        <v>2518</v>
      </c>
      <c r="Q318" s="2" t="s">
        <v>2519</v>
      </c>
      <c r="R318" s="2" t="s">
        <v>31</v>
      </c>
      <c r="S318" s="4" t="s">
        <v>31</v>
      </c>
      <c r="T318" s="2" t="s">
        <v>2022</v>
      </c>
      <c r="U318" s="4" t="s">
        <v>31</v>
      </c>
      <c r="V318" s="2" t="s">
        <v>1172</v>
      </c>
      <c r="W318" s="2" t="s">
        <v>2520</v>
      </c>
      <c r="X318" s="5" t="str">
        <f>HYPERLINK("https://my.pitchbook.com?p=123171-85P","View People Online")</f>
        <v>View People Online</v>
      </c>
    </row>
    <row r="319">
      <c r="A319" s="6" t="s">
        <v>2521</v>
      </c>
      <c r="B319" s="6" t="s">
        <v>2522</v>
      </c>
      <c r="C319" s="6" t="s">
        <v>2523</v>
      </c>
      <c r="D319" s="6" t="s">
        <v>2524</v>
      </c>
      <c r="E319" s="6" t="s">
        <v>1837</v>
      </c>
      <c r="F319" s="6" t="s">
        <v>2366</v>
      </c>
      <c r="G319" s="6" t="s">
        <v>2525</v>
      </c>
      <c r="H319" s="7">
        <v>1.0</v>
      </c>
      <c r="I319" s="7">
        <v>3.0</v>
      </c>
      <c r="J319" s="7">
        <v>1.0</v>
      </c>
      <c r="K319" s="7">
        <v>1.0</v>
      </c>
      <c r="L319" s="8" t="s">
        <v>1851</v>
      </c>
      <c r="M319" s="6" t="s">
        <v>2526</v>
      </c>
      <c r="N319" s="6" t="s">
        <v>75</v>
      </c>
      <c r="O319" s="8" t="s">
        <v>76</v>
      </c>
      <c r="P319" s="6" t="s">
        <v>1853</v>
      </c>
      <c r="Q319" s="6" t="s">
        <v>1854</v>
      </c>
      <c r="R319" s="6" t="s">
        <v>75</v>
      </c>
      <c r="S319" s="8" t="s">
        <v>1855</v>
      </c>
      <c r="T319" s="6" t="s">
        <v>66</v>
      </c>
      <c r="U319" s="8" t="s">
        <v>1856</v>
      </c>
      <c r="V319" s="6" t="s">
        <v>2527</v>
      </c>
      <c r="W319" s="6" t="s">
        <v>1837</v>
      </c>
      <c r="X319" s="9" t="str">
        <f>HYPERLINK("https://my.pitchbook.com?p=428034-43P","View People Online")</f>
        <v>View People Online</v>
      </c>
    </row>
    <row r="320">
      <c r="A320" s="2" t="s">
        <v>2528</v>
      </c>
      <c r="B320" s="2" t="s">
        <v>2529</v>
      </c>
      <c r="C320" s="2" t="s">
        <v>2530</v>
      </c>
      <c r="D320" s="2" t="s">
        <v>2531</v>
      </c>
      <c r="E320" s="2" t="s">
        <v>1837</v>
      </c>
      <c r="F320" s="2" t="s">
        <v>2532</v>
      </c>
      <c r="G320" s="2" t="s">
        <v>2533</v>
      </c>
      <c r="H320" s="3" t="s">
        <v>31</v>
      </c>
      <c r="I320" s="3">
        <v>1.0</v>
      </c>
      <c r="J320" s="3">
        <v>1.0</v>
      </c>
      <c r="K320" s="3" t="s">
        <v>31</v>
      </c>
      <c r="L320" s="4" t="s">
        <v>31</v>
      </c>
      <c r="M320" s="2" t="s">
        <v>2534</v>
      </c>
      <c r="N320" s="2" t="s">
        <v>1203</v>
      </c>
      <c r="O320" s="4" t="s">
        <v>1204</v>
      </c>
      <c r="P320" s="2" t="s">
        <v>1869</v>
      </c>
      <c r="Q320" s="2" t="s">
        <v>1870</v>
      </c>
      <c r="R320" s="2" t="s">
        <v>1207</v>
      </c>
      <c r="S320" s="4" t="s">
        <v>1871</v>
      </c>
      <c r="T320" s="2" t="s">
        <v>1209</v>
      </c>
      <c r="U320" s="4" t="s">
        <v>31</v>
      </c>
      <c r="V320" s="2" t="s">
        <v>2535</v>
      </c>
      <c r="W320" s="2" t="s">
        <v>1837</v>
      </c>
      <c r="X320" s="5" t="str">
        <f>HYPERLINK("https://my.pitchbook.com?p=348453-64P","View People Online")</f>
        <v>View People Online</v>
      </c>
    </row>
    <row r="321">
      <c r="A321" s="14" t="s">
        <v>2536</v>
      </c>
      <c r="B321" s="14" t="s">
        <v>2537</v>
      </c>
      <c r="C321" s="14" t="s">
        <v>2538</v>
      </c>
      <c r="D321" s="14" t="s">
        <v>2539</v>
      </c>
      <c r="E321" s="14" t="s">
        <v>1837</v>
      </c>
      <c r="F321" s="14" t="s">
        <v>2540</v>
      </c>
      <c r="G321" s="14" t="s">
        <v>2541</v>
      </c>
      <c r="H321" s="15">
        <v>1.0</v>
      </c>
      <c r="I321" s="15">
        <v>2.0</v>
      </c>
      <c r="J321" s="15">
        <v>1.0</v>
      </c>
      <c r="K321" s="15" t="s">
        <v>31</v>
      </c>
      <c r="L321" s="16" t="s">
        <v>2542</v>
      </c>
      <c r="M321" s="14" t="s">
        <v>2543</v>
      </c>
      <c r="N321" s="14" t="s">
        <v>75</v>
      </c>
      <c r="O321" s="16" t="s">
        <v>76</v>
      </c>
      <c r="P321" s="14" t="s">
        <v>1853</v>
      </c>
      <c r="Q321" s="14" t="s">
        <v>1854</v>
      </c>
      <c r="R321" s="14" t="s">
        <v>75</v>
      </c>
      <c r="S321" s="16" t="s">
        <v>1855</v>
      </c>
      <c r="T321" s="14" t="s">
        <v>66</v>
      </c>
      <c r="U321" s="16" t="s">
        <v>1856</v>
      </c>
      <c r="V321" s="14" t="s">
        <v>2544</v>
      </c>
      <c r="W321" s="14" t="s">
        <v>1837</v>
      </c>
      <c r="X321" s="17" t="str">
        <f>HYPERLINK("https://my.pitchbook.com?p=100796-68P","View People Online")</f>
        <v>View People Online</v>
      </c>
    </row>
    <row r="322">
      <c r="A322" s="2" t="s">
        <v>2545</v>
      </c>
      <c r="B322" s="2" t="s">
        <v>2546</v>
      </c>
      <c r="C322" s="2" t="s">
        <v>2547</v>
      </c>
      <c r="D322" s="2" t="s">
        <v>2548</v>
      </c>
      <c r="E322" s="2" t="s">
        <v>1837</v>
      </c>
      <c r="F322" s="2" t="s">
        <v>270</v>
      </c>
      <c r="G322" s="2" t="s">
        <v>2549</v>
      </c>
      <c r="H322" s="3">
        <v>1.0</v>
      </c>
      <c r="I322" s="3">
        <v>2.0</v>
      </c>
      <c r="J322" s="3">
        <v>1.0</v>
      </c>
      <c r="K322" s="3" t="s">
        <v>31</v>
      </c>
      <c r="L322" s="4" t="s">
        <v>1851</v>
      </c>
      <c r="M322" s="2" t="s">
        <v>31</v>
      </c>
      <c r="N322" s="2" t="s">
        <v>75</v>
      </c>
      <c r="O322" s="4" t="s">
        <v>76</v>
      </c>
      <c r="P322" s="2" t="s">
        <v>1853</v>
      </c>
      <c r="Q322" s="2" t="s">
        <v>1854</v>
      </c>
      <c r="R322" s="2" t="s">
        <v>75</v>
      </c>
      <c r="S322" s="4" t="s">
        <v>1855</v>
      </c>
      <c r="T322" s="2" t="s">
        <v>66</v>
      </c>
      <c r="U322" s="4" t="s">
        <v>1856</v>
      </c>
      <c r="V322" s="2" t="s">
        <v>1886</v>
      </c>
      <c r="W322" s="2" t="s">
        <v>1837</v>
      </c>
      <c r="X322" s="5" t="str">
        <f>HYPERLINK("https://my.pitchbook.com?p=381510-82P","View People Online")</f>
        <v>View People Online</v>
      </c>
    </row>
    <row r="323">
      <c r="A323" s="6" t="s">
        <v>2550</v>
      </c>
      <c r="B323" s="6" t="s">
        <v>2551</v>
      </c>
      <c r="C323" s="6" t="s">
        <v>2552</v>
      </c>
      <c r="D323" s="6" t="s">
        <v>2553</v>
      </c>
      <c r="E323" s="6" t="s">
        <v>1837</v>
      </c>
      <c r="F323" s="6" t="s">
        <v>81</v>
      </c>
      <c r="G323" s="6" t="s">
        <v>2554</v>
      </c>
      <c r="H323" s="7" t="s">
        <v>31</v>
      </c>
      <c r="I323" s="7">
        <v>1.0</v>
      </c>
      <c r="J323" s="7" t="s">
        <v>31</v>
      </c>
      <c r="K323" s="7" t="s">
        <v>31</v>
      </c>
      <c r="L323" s="8" t="s">
        <v>2555</v>
      </c>
      <c r="M323" s="6" t="s">
        <v>2556</v>
      </c>
      <c r="N323" s="6" t="s">
        <v>75</v>
      </c>
      <c r="O323" s="8" t="s">
        <v>76</v>
      </c>
      <c r="P323" s="6" t="s">
        <v>1853</v>
      </c>
      <c r="Q323" s="6" t="s">
        <v>1854</v>
      </c>
      <c r="R323" s="6" t="s">
        <v>75</v>
      </c>
      <c r="S323" s="8" t="s">
        <v>1855</v>
      </c>
      <c r="T323" s="6" t="s">
        <v>66</v>
      </c>
      <c r="U323" s="8" t="s">
        <v>2557</v>
      </c>
      <c r="V323" s="6" t="s">
        <v>2379</v>
      </c>
      <c r="W323" s="6" t="s">
        <v>2558</v>
      </c>
      <c r="X323" s="9" t="str">
        <f>HYPERLINK("https://my.pitchbook.com?p=217498-24P","View People Online")</f>
        <v>View People Online</v>
      </c>
    </row>
    <row r="324">
      <c r="A324" s="2" t="s">
        <v>2559</v>
      </c>
      <c r="B324" s="2" t="s">
        <v>2560</v>
      </c>
      <c r="C324" s="2" t="s">
        <v>2288</v>
      </c>
      <c r="D324" s="2" t="s">
        <v>2561</v>
      </c>
      <c r="E324" s="2" t="s">
        <v>2562</v>
      </c>
      <c r="F324" s="2" t="s">
        <v>57</v>
      </c>
      <c r="G324" s="2" t="s">
        <v>2563</v>
      </c>
      <c r="H324" s="3">
        <v>6.0</v>
      </c>
      <c r="I324" s="3">
        <v>31.0</v>
      </c>
      <c r="J324" s="3">
        <v>5.0</v>
      </c>
      <c r="K324" s="3">
        <v>15.0</v>
      </c>
      <c r="L324" s="4" t="s">
        <v>31</v>
      </c>
      <c r="M324" s="2" t="s">
        <v>2564</v>
      </c>
      <c r="N324" s="2" t="s">
        <v>155</v>
      </c>
      <c r="O324" s="4" t="s">
        <v>156</v>
      </c>
      <c r="P324" s="2" t="s">
        <v>2565</v>
      </c>
      <c r="Q324" s="2" t="s">
        <v>2566</v>
      </c>
      <c r="R324" s="2" t="s">
        <v>64</v>
      </c>
      <c r="S324" s="4" t="s">
        <v>2567</v>
      </c>
      <c r="T324" s="2" t="s">
        <v>66</v>
      </c>
      <c r="U324" s="4" t="s">
        <v>31</v>
      </c>
      <c r="V324" s="2" t="s">
        <v>2568</v>
      </c>
      <c r="W324" s="2" t="s">
        <v>2569</v>
      </c>
      <c r="X324" s="5" t="str">
        <f>HYPERLINK("https://my.pitchbook.com?p=44577-37P","View People Online")</f>
        <v>View People Online</v>
      </c>
    </row>
    <row r="325">
      <c r="A325" s="14" t="s">
        <v>2570</v>
      </c>
      <c r="B325" s="14" t="s">
        <v>2571</v>
      </c>
      <c r="C325" s="14" t="s">
        <v>2572</v>
      </c>
      <c r="D325" s="14" t="s">
        <v>1002</v>
      </c>
      <c r="E325" s="14" t="s">
        <v>2573</v>
      </c>
      <c r="F325" s="14" t="s">
        <v>2574</v>
      </c>
      <c r="G325" s="14" t="s">
        <v>2575</v>
      </c>
      <c r="H325" s="15" t="s">
        <v>31</v>
      </c>
      <c r="I325" s="15">
        <v>3.0</v>
      </c>
      <c r="J325" s="15">
        <v>2.0</v>
      </c>
      <c r="K325" s="15" t="s">
        <v>31</v>
      </c>
      <c r="L325" s="16" t="s">
        <v>2576</v>
      </c>
      <c r="M325" s="14" t="s">
        <v>2577</v>
      </c>
      <c r="N325" s="14" t="s">
        <v>1170</v>
      </c>
      <c r="O325" s="16" t="s">
        <v>1171</v>
      </c>
      <c r="P325" s="14" t="s">
        <v>31</v>
      </c>
      <c r="Q325" s="14" t="s">
        <v>31</v>
      </c>
      <c r="R325" s="14" t="s">
        <v>64</v>
      </c>
      <c r="S325" s="16" t="s">
        <v>31</v>
      </c>
      <c r="T325" s="14" t="s">
        <v>66</v>
      </c>
      <c r="U325" s="16" t="s">
        <v>31</v>
      </c>
      <c r="V325" s="14" t="s">
        <v>2578</v>
      </c>
      <c r="W325" s="14" t="s">
        <v>2573</v>
      </c>
      <c r="X325" s="17" t="str">
        <f>HYPERLINK("https://my.pitchbook.com?p=340725-88P","View People Online")</f>
        <v>View People Online</v>
      </c>
    </row>
    <row r="326">
      <c r="A326" s="2" t="s">
        <v>2579</v>
      </c>
      <c r="B326" s="2" t="s">
        <v>2580</v>
      </c>
      <c r="C326" s="2" t="s">
        <v>2581</v>
      </c>
      <c r="D326" s="2" t="s">
        <v>2582</v>
      </c>
      <c r="E326" s="2" t="s">
        <v>2573</v>
      </c>
      <c r="F326" s="2" t="s">
        <v>81</v>
      </c>
      <c r="G326" s="2" t="s">
        <v>2583</v>
      </c>
      <c r="H326" s="3" t="s">
        <v>31</v>
      </c>
      <c r="I326" s="3">
        <v>2.0</v>
      </c>
      <c r="J326" s="3" t="s">
        <v>31</v>
      </c>
      <c r="K326" s="3" t="s">
        <v>31</v>
      </c>
      <c r="L326" s="4" t="s">
        <v>2584</v>
      </c>
      <c r="M326" s="2" t="s">
        <v>2585</v>
      </c>
      <c r="N326" s="2" t="s">
        <v>1170</v>
      </c>
      <c r="O326" s="4" t="s">
        <v>1171</v>
      </c>
      <c r="P326" s="2" t="s">
        <v>31</v>
      </c>
      <c r="Q326" s="2" t="s">
        <v>31</v>
      </c>
      <c r="R326" s="2" t="s">
        <v>64</v>
      </c>
      <c r="S326" s="4" t="s">
        <v>31</v>
      </c>
      <c r="T326" s="2" t="s">
        <v>66</v>
      </c>
      <c r="U326" s="4" t="s">
        <v>31</v>
      </c>
      <c r="V326" s="2" t="s">
        <v>2586</v>
      </c>
      <c r="W326" s="2" t="s">
        <v>2573</v>
      </c>
      <c r="X326" s="5" t="str">
        <f>HYPERLINK("https://my.pitchbook.com?p=311236-48P","View People Online")</f>
        <v>View People Online</v>
      </c>
    </row>
    <row r="327">
      <c r="A327" s="6" t="s">
        <v>2587</v>
      </c>
      <c r="B327" s="6" t="s">
        <v>2588</v>
      </c>
      <c r="C327" s="6" t="s">
        <v>1449</v>
      </c>
      <c r="D327" s="6" t="s">
        <v>2589</v>
      </c>
      <c r="E327" s="6" t="s">
        <v>2573</v>
      </c>
      <c r="F327" s="6" t="s">
        <v>2590</v>
      </c>
      <c r="G327" s="6" t="s">
        <v>2591</v>
      </c>
      <c r="H327" s="7">
        <v>1.0</v>
      </c>
      <c r="I327" s="7">
        <v>20.0</v>
      </c>
      <c r="J327" s="7">
        <v>1.0</v>
      </c>
      <c r="K327" s="7">
        <v>17.0</v>
      </c>
      <c r="L327" s="8" t="s">
        <v>2584</v>
      </c>
      <c r="M327" s="6" t="s">
        <v>2592</v>
      </c>
      <c r="N327" s="6" t="s">
        <v>1170</v>
      </c>
      <c r="O327" s="8" t="s">
        <v>1171</v>
      </c>
      <c r="P327" s="6" t="s">
        <v>31</v>
      </c>
      <c r="Q327" s="6" t="s">
        <v>31</v>
      </c>
      <c r="R327" s="6" t="s">
        <v>64</v>
      </c>
      <c r="S327" s="8" t="s">
        <v>31</v>
      </c>
      <c r="T327" s="6" t="s">
        <v>66</v>
      </c>
      <c r="U327" s="8" t="s">
        <v>31</v>
      </c>
      <c r="V327" s="6" t="s">
        <v>2593</v>
      </c>
      <c r="W327" s="6" t="s">
        <v>2573</v>
      </c>
      <c r="X327" s="9" t="str">
        <f>HYPERLINK("https://my.pitchbook.com?p=49740-67P","View People Online")</f>
        <v>View People Online</v>
      </c>
    </row>
    <row r="328">
      <c r="A328" s="2" t="s">
        <v>2594</v>
      </c>
      <c r="B328" s="2" t="s">
        <v>2595</v>
      </c>
      <c r="C328" s="2" t="s">
        <v>2596</v>
      </c>
      <c r="D328" s="2" t="s">
        <v>2589</v>
      </c>
      <c r="E328" s="2" t="s">
        <v>2573</v>
      </c>
      <c r="F328" s="2" t="s">
        <v>674</v>
      </c>
      <c r="G328" s="2" t="s">
        <v>2597</v>
      </c>
      <c r="H328" s="3">
        <v>1.0</v>
      </c>
      <c r="I328" s="3">
        <v>6.0</v>
      </c>
      <c r="J328" s="3">
        <v>2.0</v>
      </c>
      <c r="K328" s="3">
        <v>2.0</v>
      </c>
      <c r="L328" s="4" t="s">
        <v>2584</v>
      </c>
      <c r="M328" s="2" t="s">
        <v>2598</v>
      </c>
      <c r="N328" s="2" t="s">
        <v>2599</v>
      </c>
      <c r="O328" s="4" t="s">
        <v>2600</v>
      </c>
      <c r="P328" s="2" t="s">
        <v>31</v>
      </c>
      <c r="Q328" s="2" t="s">
        <v>31</v>
      </c>
      <c r="R328" s="2" t="s">
        <v>396</v>
      </c>
      <c r="S328" s="4" t="s">
        <v>31</v>
      </c>
      <c r="T328" s="2" t="s">
        <v>66</v>
      </c>
      <c r="U328" s="4" t="s">
        <v>31</v>
      </c>
      <c r="V328" s="2" t="s">
        <v>2601</v>
      </c>
      <c r="W328" s="2" t="s">
        <v>2573</v>
      </c>
      <c r="X328" s="5" t="str">
        <f>HYPERLINK("https://my.pitchbook.com?p=275069-80P","View People Online")</f>
        <v>View People Online</v>
      </c>
    </row>
    <row r="329">
      <c r="A329" s="14" t="s">
        <v>2602</v>
      </c>
      <c r="B329" s="14" t="s">
        <v>2603</v>
      </c>
      <c r="C329" s="14" t="s">
        <v>126</v>
      </c>
      <c r="D329" s="14" t="s">
        <v>2604</v>
      </c>
      <c r="E329" s="14" t="s">
        <v>2573</v>
      </c>
      <c r="F329" s="14" t="s">
        <v>81</v>
      </c>
      <c r="G329" s="14" t="s">
        <v>2605</v>
      </c>
      <c r="H329" s="15">
        <v>1.0</v>
      </c>
      <c r="I329" s="15">
        <v>8.0</v>
      </c>
      <c r="J329" s="15">
        <v>1.0</v>
      </c>
      <c r="K329" s="15">
        <v>3.0</v>
      </c>
      <c r="L329" s="16" t="s">
        <v>31</v>
      </c>
      <c r="M329" s="14" t="s">
        <v>2606</v>
      </c>
      <c r="N329" s="14" t="s">
        <v>243</v>
      </c>
      <c r="O329" s="16" t="s">
        <v>244</v>
      </c>
      <c r="P329" s="14" t="s">
        <v>2607</v>
      </c>
      <c r="Q329" s="14" t="s">
        <v>2608</v>
      </c>
      <c r="R329" s="14" t="s">
        <v>247</v>
      </c>
      <c r="S329" s="16" t="s">
        <v>2609</v>
      </c>
      <c r="T329" s="14" t="s">
        <v>249</v>
      </c>
      <c r="U329" s="16" t="s">
        <v>31</v>
      </c>
      <c r="V329" s="14" t="s">
        <v>196</v>
      </c>
      <c r="W329" s="14" t="s">
        <v>2610</v>
      </c>
      <c r="X329" s="17" t="str">
        <f>HYPERLINK("https://my.pitchbook.com?p=33351-40P","View People Online")</f>
        <v>View People Online</v>
      </c>
    </row>
    <row r="330">
      <c r="A330" s="2" t="s">
        <v>2611</v>
      </c>
      <c r="B330" s="2" t="s">
        <v>2612</v>
      </c>
      <c r="C330" s="2" t="s">
        <v>2613</v>
      </c>
      <c r="D330" s="2" t="s">
        <v>2399</v>
      </c>
      <c r="E330" s="2" t="s">
        <v>2614</v>
      </c>
      <c r="F330" s="2" t="s">
        <v>1283</v>
      </c>
      <c r="G330" s="2" t="s">
        <v>2615</v>
      </c>
      <c r="H330" s="3" t="s">
        <v>31</v>
      </c>
      <c r="I330" s="3">
        <v>3.0</v>
      </c>
      <c r="J330" s="3">
        <v>1.0</v>
      </c>
      <c r="K330" s="3">
        <v>2.0</v>
      </c>
      <c r="L330" s="4" t="s">
        <v>31</v>
      </c>
      <c r="M330" s="2" t="s">
        <v>2616</v>
      </c>
      <c r="N330" s="2" t="s">
        <v>75</v>
      </c>
      <c r="O330" s="4" t="s">
        <v>76</v>
      </c>
      <c r="P330" s="2" t="s">
        <v>2617</v>
      </c>
      <c r="Q330" s="2" t="s">
        <v>31</v>
      </c>
      <c r="R330" s="2" t="s">
        <v>75</v>
      </c>
      <c r="S330" s="4" t="s">
        <v>1432</v>
      </c>
      <c r="T330" s="2" t="s">
        <v>66</v>
      </c>
      <c r="U330" s="4" t="s">
        <v>31</v>
      </c>
      <c r="V330" s="2" t="s">
        <v>1283</v>
      </c>
      <c r="W330" s="2" t="s">
        <v>2614</v>
      </c>
      <c r="X330" s="5" t="str">
        <f>HYPERLINK("https://my.pitchbook.com?p=408516-13P","View People Online")</f>
        <v>View People Online</v>
      </c>
    </row>
    <row r="331">
      <c r="A331" s="14" t="s">
        <v>2618</v>
      </c>
      <c r="B331" s="14" t="s">
        <v>2619</v>
      </c>
      <c r="C331" s="14" t="s">
        <v>2620</v>
      </c>
      <c r="D331" s="14" t="s">
        <v>2621</v>
      </c>
      <c r="E331" s="14" t="s">
        <v>2614</v>
      </c>
      <c r="F331" s="14" t="s">
        <v>1283</v>
      </c>
      <c r="G331" s="14" t="s">
        <v>2622</v>
      </c>
      <c r="H331" s="15" t="s">
        <v>31</v>
      </c>
      <c r="I331" s="15">
        <v>5.0</v>
      </c>
      <c r="J331" s="15">
        <v>1.0</v>
      </c>
      <c r="K331" s="15">
        <v>4.0</v>
      </c>
      <c r="L331" s="16" t="s">
        <v>2623</v>
      </c>
      <c r="M331" s="14" t="s">
        <v>2624</v>
      </c>
      <c r="N331" s="14" t="s">
        <v>243</v>
      </c>
      <c r="O331" s="16" t="s">
        <v>244</v>
      </c>
      <c r="P331" s="14" t="s">
        <v>2625</v>
      </c>
      <c r="Q331" s="14" t="s">
        <v>31</v>
      </c>
      <c r="R331" s="14" t="s">
        <v>247</v>
      </c>
      <c r="S331" s="16" t="s">
        <v>2626</v>
      </c>
      <c r="T331" s="14" t="s">
        <v>249</v>
      </c>
      <c r="U331" s="16" t="s">
        <v>31</v>
      </c>
      <c r="V331" s="14" t="s">
        <v>1283</v>
      </c>
      <c r="W331" s="14" t="s">
        <v>2614</v>
      </c>
      <c r="X331" s="17" t="str">
        <f>HYPERLINK("https://my.pitchbook.com?p=209189-35P","View People Online")</f>
        <v>View People Online</v>
      </c>
    </row>
    <row r="332">
      <c r="A332" s="2" t="s">
        <v>2627</v>
      </c>
      <c r="B332" s="2" t="s">
        <v>2628</v>
      </c>
      <c r="C332" s="2" t="s">
        <v>2629</v>
      </c>
      <c r="D332" s="2" t="s">
        <v>2630</v>
      </c>
      <c r="E332" s="2" t="s">
        <v>2614</v>
      </c>
      <c r="F332" s="2" t="s">
        <v>667</v>
      </c>
      <c r="G332" s="2" t="s">
        <v>2631</v>
      </c>
      <c r="H332" s="3" t="s">
        <v>31</v>
      </c>
      <c r="I332" s="3">
        <v>3.0</v>
      </c>
      <c r="J332" s="3">
        <v>1.0</v>
      </c>
      <c r="K332" s="3">
        <v>2.0</v>
      </c>
      <c r="L332" s="4" t="s">
        <v>2632</v>
      </c>
      <c r="M332" s="2" t="s">
        <v>2633</v>
      </c>
      <c r="N332" s="2" t="s">
        <v>2273</v>
      </c>
      <c r="O332" s="4" t="s">
        <v>2274</v>
      </c>
      <c r="P332" s="2" t="s">
        <v>2634</v>
      </c>
      <c r="Q332" s="2" t="s">
        <v>31</v>
      </c>
      <c r="R332" s="2" t="s">
        <v>31</v>
      </c>
      <c r="S332" s="4" t="s">
        <v>2635</v>
      </c>
      <c r="T332" s="2" t="s">
        <v>2278</v>
      </c>
      <c r="U332" s="4" t="s">
        <v>31</v>
      </c>
      <c r="V332" s="2" t="s">
        <v>667</v>
      </c>
      <c r="W332" s="2" t="s">
        <v>2614</v>
      </c>
      <c r="X332" s="5" t="str">
        <f>HYPERLINK("https://my.pitchbook.com?p=160991-56P","View People Online")</f>
        <v>View People Online</v>
      </c>
    </row>
    <row r="333">
      <c r="A333" s="14" t="s">
        <v>2636</v>
      </c>
      <c r="B333" s="14" t="s">
        <v>2637</v>
      </c>
      <c r="C333" s="14" t="s">
        <v>425</v>
      </c>
      <c r="D333" s="14" t="s">
        <v>2638</v>
      </c>
      <c r="E333" s="14" t="s">
        <v>2614</v>
      </c>
      <c r="F333" s="14" t="s">
        <v>371</v>
      </c>
      <c r="G333" s="14" t="s">
        <v>2639</v>
      </c>
      <c r="H333" s="15" t="s">
        <v>31</v>
      </c>
      <c r="I333" s="15">
        <v>1.0</v>
      </c>
      <c r="J333" s="15">
        <v>1.0</v>
      </c>
      <c r="K333" s="15" t="s">
        <v>31</v>
      </c>
      <c r="L333" s="16" t="s">
        <v>2640</v>
      </c>
      <c r="M333" s="14" t="s">
        <v>2641</v>
      </c>
      <c r="N333" s="14" t="s">
        <v>429</v>
      </c>
      <c r="O333" s="16" t="s">
        <v>430</v>
      </c>
      <c r="P333" s="14" t="s">
        <v>2642</v>
      </c>
      <c r="Q333" s="14" t="s">
        <v>31</v>
      </c>
      <c r="R333" s="14" t="s">
        <v>31</v>
      </c>
      <c r="S333" s="16" t="s">
        <v>432</v>
      </c>
      <c r="T333" s="14" t="s">
        <v>433</v>
      </c>
      <c r="U333" s="16" t="s">
        <v>31</v>
      </c>
      <c r="V333" s="14" t="s">
        <v>371</v>
      </c>
      <c r="W333" s="14" t="s">
        <v>2614</v>
      </c>
      <c r="X333" s="17" t="str">
        <f>HYPERLINK("https://my.pitchbook.com?p=438515-11P","View People Online")</f>
        <v>View People Online</v>
      </c>
    </row>
    <row r="334">
      <c r="A334" s="2" t="s">
        <v>2643</v>
      </c>
      <c r="B334" s="2" t="s">
        <v>2644</v>
      </c>
      <c r="C334" s="2" t="s">
        <v>654</v>
      </c>
      <c r="D334" s="2" t="s">
        <v>2645</v>
      </c>
      <c r="E334" s="2" t="s">
        <v>2614</v>
      </c>
      <c r="F334" s="2" t="s">
        <v>120</v>
      </c>
      <c r="G334" s="2" t="s">
        <v>2646</v>
      </c>
      <c r="H334" s="3" t="s">
        <v>31</v>
      </c>
      <c r="I334" s="3">
        <v>1.0</v>
      </c>
      <c r="J334" s="3">
        <v>1.0</v>
      </c>
      <c r="K334" s="3" t="s">
        <v>31</v>
      </c>
      <c r="L334" s="4" t="s">
        <v>2632</v>
      </c>
      <c r="M334" s="2" t="s">
        <v>2647</v>
      </c>
      <c r="N334" s="2" t="s">
        <v>2273</v>
      </c>
      <c r="O334" s="4" t="s">
        <v>2274</v>
      </c>
      <c r="P334" s="2" t="s">
        <v>2634</v>
      </c>
      <c r="Q334" s="2" t="s">
        <v>31</v>
      </c>
      <c r="R334" s="2" t="s">
        <v>31</v>
      </c>
      <c r="S334" s="4" t="s">
        <v>2635</v>
      </c>
      <c r="T334" s="2" t="s">
        <v>2278</v>
      </c>
      <c r="U334" s="4" t="s">
        <v>31</v>
      </c>
      <c r="V334" s="2" t="s">
        <v>120</v>
      </c>
      <c r="W334" s="2" t="s">
        <v>2614</v>
      </c>
      <c r="X334" s="5" t="str">
        <f>HYPERLINK("https://my.pitchbook.com?p=376433-47P","View People Online")</f>
        <v>View People Online</v>
      </c>
    </row>
    <row r="335">
      <c r="A335" s="6" t="s">
        <v>2648</v>
      </c>
      <c r="B335" s="6" t="s">
        <v>2649</v>
      </c>
      <c r="C335" s="6" t="s">
        <v>2650</v>
      </c>
      <c r="D335" s="6" t="s">
        <v>2651</v>
      </c>
      <c r="E335" s="6" t="s">
        <v>2614</v>
      </c>
      <c r="F335" s="6" t="s">
        <v>2652</v>
      </c>
      <c r="G335" s="6" t="s">
        <v>2653</v>
      </c>
      <c r="H335" s="7" t="s">
        <v>31</v>
      </c>
      <c r="I335" s="7">
        <v>8.0</v>
      </c>
      <c r="J335" s="7">
        <v>1.0</v>
      </c>
      <c r="K335" s="7">
        <v>7.0</v>
      </c>
      <c r="L335" s="8" t="s">
        <v>2654</v>
      </c>
      <c r="M335" s="6" t="s">
        <v>31</v>
      </c>
      <c r="N335" s="6" t="s">
        <v>2273</v>
      </c>
      <c r="O335" s="8" t="s">
        <v>2274</v>
      </c>
      <c r="P335" s="6" t="s">
        <v>2634</v>
      </c>
      <c r="Q335" s="6" t="s">
        <v>31</v>
      </c>
      <c r="R335" s="6" t="s">
        <v>31</v>
      </c>
      <c r="S335" s="8" t="s">
        <v>2635</v>
      </c>
      <c r="T335" s="6" t="s">
        <v>2278</v>
      </c>
      <c r="U335" s="8" t="s">
        <v>31</v>
      </c>
      <c r="V335" s="6" t="s">
        <v>2655</v>
      </c>
      <c r="W335" s="6" t="s">
        <v>2614</v>
      </c>
      <c r="X335" s="9" t="str">
        <f>HYPERLINK("https://my.pitchbook.com?p=231499-45P","View People Online")</f>
        <v>View People Online</v>
      </c>
    </row>
    <row r="336">
      <c r="A336" s="10" t="s">
        <v>2656</v>
      </c>
      <c r="B336" s="10" t="s">
        <v>2657</v>
      </c>
      <c r="C336" s="10" t="s">
        <v>2658</v>
      </c>
      <c r="D336" s="10" t="s">
        <v>2659</v>
      </c>
      <c r="E336" s="10" t="s">
        <v>2614</v>
      </c>
      <c r="F336" s="10" t="s">
        <v>2652</v>
      </c>
      <c r="G336" s="10" t="s">
        <v>2660</v>
      </c>
      <c r="H336" s="11" t="s">
        <v>31</v>
      </c>
      <c r="I336" s="11">
        <v>1.0</v>
      </c>
      <c r="J336" s="11">
        <v>1.0</v>
      </c>
      <c r="K336" s="11" t="s">
        <v>31</v>
      </c>
      <c r="L336" s="12" t="s">
        <v>2661</v>
      </c>
      <c r="M336" s="10" t="s">
        <v>2662</v>
      </c>
      <c r="N336" s="10" t="s">
        <v>418</v>
      </c>
      <c r="O336" s="12" t="s">
        <v>419</v>
      </c>
      <c r="P336" s="10" t="s">
        <v>2663</v>
      </c>
      <c r="Q336" s="10" t="s">
        <v>31</v>
      </c>
      <c r="R336" s="10" t="s">
        <v>31</v>
      </c>
      <c r="S336" s="12" t="s">
        <v>2664</v>
      </c>
      <c r="T336" s="10" t="s">
        <v>422</v>
      </c>
      <c r="U336" s="12" t="s">
        <v>31</v>
      </c>
      <c r="V336" s="10" t="s">
        <v>2665</v>
      </c>
      <c r="W336" s="10" t="s">
        <v>2614</v>
      </c>
      <c r="X336" s="13" t="str">
        <f>HYPERLINK("https://my.pitchbook.com?p=408513-16P","View People Online")</f>
        <v>View People Online</v>
      </c>
    </row>
    <row r="337">
      <c r="A337" s="6" t="s">
        <v>2666</v>
      </c>
      <c r="B337" s="6" t="s">
        <v>2667</v>
      </c>
      <c r="C337" s="6" t="s">
        <v>2668</v>
      </c>
      <c r="D337" s="6" t="s">
        <v>2669</v>
      </c>
      <c r="E337" s="6" t="s">
        <v>2614</v>
      </c>
      <c r="F337" s="6" t="s">
        <v>1283</v>
      </c>
      <c r="G337" s="6" t="s">
        <v>2670</v>
      </c>
      <c r="H337" s="7">
        <v>1.0</v>
      </c>
      <c r="I337" s="7">
        <v>8.0</v>
      </c>
      <c r="J337" s="7">
        <v>1.0</v>
      </c>
      <c r="K337" s="7">
        <v>4.0</v>
      </c>
      <c r="L337" s="8" t="s">
        <v>2632</v>
      </c>
      <c r="M337" s="6" t="s">
        <v>2671</v>
      </c>
      <c r="N337" s="6" t="s">
        <v>2273</v>
      </c>
      <c r="O337" s="8" t="s">
        <v>2274</v>
      </c>
      <c r="P337" s="6" t="s">
        <v>2634</v>
      </c>
      <c r="Q337" s="6" t="s">
        <v>31</v>
      </c>
      <c r="R337" s="6" t="s">
        <v>31</v>
      </c>
      <c r="S337" s="8" t="s">
        <v>2635</v>
      </c>
      <c r="T337" s="6" t="s">
        <v>2278</v>
      </c>
      <c r="U337" s="8" t="s">
        <v>31</v>
      </c>
      <c r="V337" s="6" t="s">
        <v>1283</v>
      </c>
      <c r="W337" s="6" t="s">
        <v>2614</v>
      </c>
      <c r="X337" s="9" t="str">
        <f>HYPERLINK("https://my.pitchbook.com?p=71892-01P","View People Online")</f>
        <v>View People Online</v>
      </c>
    </row>
    <row r="338">
      <c r="A338" s="10" t="s">
        <v>2672</v>
      </c>
      <c r="B338" s="10" t="s">
        <v>2673</v>
      </c>
      <c r="C338" s="10" t="s">
        <v>2674</v>
      </c>
      <c r="D338" s="10" t="s">
        <v>2675</v>
      </c>
      <c r="E338" s="10" t="s">
        <v>2614</v>
      </c>
      <c r="F338" s="10" t="s">
        <v>2676</v>
      </c>
      <c r="G338" s="10" t="s">
        <v>2677</v>
      </c>
      <c r="H338" s="11" t="s">
        <v>31</v>
      </c>
      <c r="I338" s="11">
        <v>1.0</v>
      </c>
      <c r="J338" s="11">
        <v>1.0</v>
      </c>
      <c r="K338" s="11" t="s">
        <v>31</v>
      </c>
      <c r="L338" s="12" t="s">
        <v>2632</v>
      </c>
      <c r="M338" s="10" t="s">
        <v>2678</v>
      </c>
      <c r="N338" s="10" t="s">
        <v>2273</v>
      </c>
      <c r="O338" s="12" t="s">
        <v>2274</v>
      </c>
      <c r="P338" s="10" t="s">
        <v>2634</v>
      </c>
      <c r="Q338" s="10" t="s">
        <v>31</v>
      </c>
      <c r="R338" s="10" t="s">
        <v>31</v>
      </c>
      <c r="S338" s="12" t="s">
        <v>2635</v>
      </c>
      <c r="T338" s="10" t="s">
        <v>2278</v>
      </c>
      <c r="U338" s="12" t="s">
        <v>31</v>
      </c>
      <c r="V338" s="10" t="s">
        <v>2679</v>
      </c>
      <c r="W338" s="10" t="s">
        <v>2614</v>
      </c>
      <c r="X338" s="13" t="str">
        <f>HYPERLINK("https://my.pitchbook.com?p=389919-52P","View People Online")</f>
        <v>View People Online</v>
      </c>
    </row>
    <row r="339">
      <c r="A339" s="14" t="s">
        <v>2680</v>
      </c>
      <c r="B339" s="14" t="s">
        <v>2681</v>
      </c>
      <c r="C339" s="14" t="s">
        <v>1541</v>
      </c>
      <c r="D339" s="14" t="s">
        <v>2682</v>
      </c>
      <c r="E339" s="14" t="s">
        <v>2614</v>
      </c>
      <c r="F339" s="14" t="s">
        <v>371</v>
      </c>
      <c r="G339" s="14" t="s">
        <v>2683</v>
      </c>
      <c r="H339" s="15" t="s">
        <v>31</v>
      </c>
      <c r="I339" s="15">
        <v>5.0</v>
      </c>
      <c r="J339" s="15">
        <v>1.0</v>
      </c>
      <c r="K339" s="15">
        <v>4.0</v>
      </c>
      <c r="L339" s="16" t="s">
        <v>2632</v>
      </c>
      <c r="M339" s="14" t="s">
        <v>2684</v>
      </c>
      <c r="N339" s="14" t="s">
        <v>2273</v>
      </c>
      <c r="O339" s="16" t="s">
        <v>2274</v>
      </c>
      <c r="P339" s="14" t="s">
        <v>2634</v>
      </c>
      <c r="Q339" s="14" t="s">
        <v>31</v>
      </c>
      <c r="R339" s="14" t="s">
        <v>31</v>
      </c>
      <c r="S339" s="16" t="s">
        <v>2635</v>
      </c>
      <c r="T339" s="14" t="s">
        <v>2278</v>
      </c>
      <c r="U339" s="16" t="s">
        <v>31</v>
      </c>
      <c r="V339" s="14" t="s">
        <v>2685</v>
      </c>
      <c r="W339" s="14" t="s">
        <v>2614</v>
      </c>
      <c r="X339" s="17" t="str">
        <f>HYPERLINK("https://my.pitchbook.com?p=194444-92P","View People Online")</f>
        <v>View People Online</v>
      </c>
    </row>
    <row r="340">
      <c r="A340" s="2" t="s">
        <v>2686</v>
      </c>
      <c r="B340" s="2" t="s">
        <v>2687</v>
      </c>
      <c r="C340" s="2" t="s">
        <v>2688</v>
      </c>
      <c r="D340" s="2" t="s">
        <v>2689</v>
      </c>
      <c r="E340" s="2" t="s">
        <v>2614</v>
      </c>
      <c r="F340" s="2" t="s">
        <v>270</v>
      </c>
      <c r="G340" s="2" t="s">
        <v>2690</v>
      </c>
      <c r="H340" s="3" t="s">
        <v>31</v>
      </c>
      <c r="I340" s="3">
        <v>4.0</v>
      </c>
      <c r="J340" s="3">
        <v>1.0</v>
      </c>
      <c r="K340" s="3">
        <v>3.0</v>
      </c>
      <c r="L340" s="4" t="s">
        <v>2640</v>
      </c>
      <c r="M340" s="2" t="s">
        <v>2691</v>
      </c>
      <c r="N340" s="2" t="s">
        <v>429</v>
      </c>
      <c r="O340" s="4" t="s">
        <v>430</v>
      </c>
      <c r="P340" s="2" t="s">
        <v>2642</v>
      </c>
      <c r="Q340" s="2" t="s">
        <v>31</v>
      </c>
      <c r="R340" s="2" t="s">
        <v>31</v>
      </c>
      <c r="S340" s="4" t="s">
        <v>432</v>
      </c>
      <c r="T340" s="2" t="s">
        <v>433</v>
      </c>
      <c r="U340" s="4" t="s">
        <v>31</v>
      </c>
      <c r="V340" s="2" t="s">
        <v>2692</v>
      </c>
      <c r="W340" s="2" t="s">
        <v>2614</v>
      </c>
      <c r="X340" s="5" t="str">
        <f>HYPERLINK("https://my.pitchbook.com?p=145853-74P","View People Online")</f>
        <v>View People Online</v>
      </c>
    </row>
    <row r="341">
      <c r="A341" s="14" t="s">
        <v>2693</v>
      </c>
      <c r="B341" s="14" t="s">
        <v>2694</v>
      </c>
      <c r="C341" s="14" t="s">
        <v>2695</v>
      </c>
      <c r="D341" s="14" t="s">
        <v>2696</v>
      </c>
      <c r="E341" s="14" t="s">
        <v>2614</v>
      </c>
      <c r="F341" s="14" t="s">
        <v>57</v>
      </c>
      <c r="G341" s="14" t="s">
        <v>2697</v>
      </c>
      <c r="H341" s="15" t="s">
        <v>31</v>
      </c>
      <c r="I341" s="15">
        <v>3.0</v>
      </c>
      <c r="J341" s="15">
        <v>1.0</v>
      </c>
      <c r="K341" s="15">
        <v>1.0</v>
      </c>
      <c r="L341" s="16" t="s">
        <v>2640</v>
      </c>
      <c r="M341" s="14" t="s">
        <v>2698</v>
      </c>
      <c r="N341" s="14" t="s">
        <v>429</v>
      </c>
      <c r="O341" s="16" t="s">
        <v>430</v>
      </c>
      <c r="P341" s="14" t="s">
        <v>2642</v>
      </c>
      <c r="Q341" s="14" t="s">
        <v>31</v>
      </c>
      <c r="R341" s="14" t="s">
        <v>31</v>
      </c>
      <c r="S341" s="16" t="s">
        <v>432</v>
      </c>
      <c r="T341" s="14" t="s">
        <v>433</v>
      </c>
      <c r="U341" s="16" t="s">
        <v>31</v>
      </c>
      <c r="V341" s="14" t="s">
        <v>57</v>
      </c>
      <c r="W341" s="14" t="s">
        <v>2614</v>
      </c>
      <c r="X341" s="17" t="str">
        <f>HYPERLINK("https://my.pitchbook.com?p=408070-18P","View People Online")</f>
        <v>View People Online</v>
      </c>
    </row>
    <row r="342">
      <c r="A342" s="2" t="s">
        <v>2699</v>
      </c>
      <c r="B342" s="2" t="s">
        <v>2700</v>
      </c>
      <c r="C342" s="2" t="s">
        <v>2701</v>
      </c>
      <c r="D342" s="2" t="s">
        <v>2702</v>
      </c>
      <c r="E342" s="2" t="s">
        <v>2614</v>
      </c>
      <c r="F342" s="2" t="s">
        <v>1283</v>
      </c>
      <c r="G342" s="2" t="s">
        <v>2703</v>
      </c>
      <c r="H342" s="3" t="s">
        <v>31</v>
      </c>
      <c r="I342" s="3">
        <v>14.0</v>
      </c>
      <c r="J342" s="3">
        <v>1.0</v>
      </c>
      <c r="K342" s="3">
        <v>13.0</v>
      </c>
      <c r="L342" s="4" t="s">
        <v>2623</v>
      </c>
      <c r="M342" s="2" t="s">
        <v>2704</v>
      </c>
      <c r="N342" s="2" t="s">
        <v>243</v>
      </c>
      <c r="O342" s="4" t="s">
        <v>244</v>
      </c>
      <c r="P342" s="2" t="s">
        <v>2625</v>
      </c>
      <c r="Q342" s="2" t="s">
        <v>31</v>
      </c>
      <c r="R342" s="2" t="s">
        <v>247</v>
      </c>
      <c r="S342" s="4" t="s">
        <v>2626</v>
      </c>
      <c r="T342" s="2" t="s">
        <v>249</v>
      </c>
      <c r="U342" s="4" t="s">
        <v>31</v>
      </c>
      <c r="V342" s="2" t="s">
        <v>1283</v>
      </c>
      <c r="W342" s="2" t="s">
        <v>2614</v>
      </c>
      <c r="X342" s="5" t="str">
        <f>HYPERLINK("https://my.pitchbook.com?p=68929-21P","View People Online")</f>
        <v>View People Online</v>
      </c>
    </row>
    <row r="343">
      <c r="A343" s="6" t="s">
        <v>2705</v>
      </c>
      <c r="B343" s="6" t="s">
        <v>2706</v>
      </c>
      <c r="C343" s="6" t="s">
        <v>2707</v>
      </c>
      <c r="D343" s="6" t="s">
        <v>2708</v>
      </c>
      <c r="E343" s="6" t="s">
        <v>2614</v>
      </c>
      <c r="F343" s="6" t="s">
        <v>29</v>
      </c>
      <c r="G343" s="6" t="s">
        <v>2709</v>
      </c>
      <c r="H343" s="7">
        <v>1.0</v>
      </c>
      <c r="I343" s="7">
        <v>8.0</v>
      </c>
      <c r="J343" s="7">
        <v>1.0</v>
      </c>
      <c r="K343" s="7">
        <v>5.0</v>
      </c>
      <c r="L343" s="8" t="s">
        <v>2632</v>
      </c>
      <c r="M343" s="6" t="s">
        <v>2710</v>
      </c>
      <c r="N343" s="6" t="s">
        <v>2273</v>
      </c>
      <c r="O343" s="8" t="s">
        <v>2274</v>
      </c>
      <c r="P343" s="6" t="s">
        <v>2634</v>
      </c>
      <c r="Q343" s="6" t="s">
        <v>31</v>
      </c>
      <c r="R343" s="6" t="s">
        <v>31</v>
      </c>
      <c r="S343" s="8" t="s">
        <v>2635</v>
      </c>
      <c r="T343" s="6" t="s">
        <v>2278</v>
      </c>
      <c r="U343" s="8" t="s">
        <v>31</v>
      </c>
      <c r="V343" s="6" t="s">
        <v>29</v>
      </c>
      <c r="W343" s="6" t="s">
        <v>2614</v>
      </c>
      <c r="X343" s="9" t="str">
        <f>HYPERLINK("https://my.pitchbook.com?p=71889-40P","View People Online")</f>
        <v>View People Online</v>
      </c>
    </row>
    <row r="344">
      <c r="A344" s="2" t="s">
        <v>2711</v>
      </c>
      <c r="B344" s="2" t="s">
        <v>2712</v>
      </c>
      <c r="C344" s="2" t="s">
        <v>2713</v>
      </c>
      <c r="D344" s="2" t="s">
        <v>2714</v>
      </c>
      <c r="E344" s="2" t="s">
        <v>2614</v>
      </c>
      <c r="F344" s="2" t="s">
        <v>29</v>
      </c>
      <c r="G344" s="2" t="s">
        <v>2715</v>
      </c>
      <c r="H344" s="3" t="s">
        <v>31</v>
      </c>
      <c r="I344" s="3">
        <v>9.0</v>
      </c>
      <c r="J344" s="3">
        <v>2.0</v>
      </c>
      <c r="K344" s="3">
        <v>7.0</v>
      </c>
      <c r="L344" s="4" t="s">
        <v>2716</v>
      </c>
      <c r="M344" s="2" t="s">
        <v>2717</v>
      </c>
      <c r="N344" s="2" t="s">
        <v>1024</v>
      </c>
      <c r="O344" s="4" t="s">
        <v>2718</v>
      </c>
      <c r="P344" s="2" t="s">
        <v>2719</v>
      </c>
      <c r="Q344" s="2" t="s">
        <v>2720</v>
      </c>
      <c r="R344" s="2" t="s">
        <v>31</v>
      </c>
      <c r="S344" s="4" t="s">
        <v>31</v>
      </c>
      <c r="T344" s="2" t="s">
        <v>2721</v>
      </c>
      <c r="U344" s="4" t="s">
        <v>31</v>
      </c>
      <c r="V344" s="2" t="s">
        <v>29</v>
      </c>
      <c r="W344" s="2" t="s">
        <v>2722</v>
      </c>
      <c r="X344" s="5" t="str">
        <f>HYPERLINK("https://my.pitchbook.com?p=173530-72P","View People Online")</f>
        <v>View People Online</v>
      </c>
    </row>
    <row r="345">
      <c r="A345" s="6" t="s">
        <v>2723</v>
      </c>
      <c r="B345" s="6" t="s">
        <v>2724</v>
      </c>
      <c r="C345" s="6" t="s">
        <v>2713</v>
      </c>
      <c r="D345" s="6" t="s">
        <v>2725</v>
      </c>
      <c r="E345" s="6" t="s">
        <v>2614</v>
      </c>
      <c r="F345" s="6" t="s">
        <v>29</v>
      </c>
      <c r="G345" s="6" t="s">
        <v>2726</v>
      </c>
      <c r="H345" s="7" t="s">
        <v>31</v>
      </c>
      <c r="I345" s="7">
        <v>3.0</v>
      </c>
      <c r="J345" s="7">
        <v>1.0</v>
      </c>
      <c r="K345" s="7">
        <v>2.0</v>
      </c>
      <c r="L345" s="8" t="s">
        <v>2632</v>
      </c>
      <c r="M345" s="6" t="s">
        <v>31</v>
      </c>
      <c r="N345" s="6" t="s">
        <v>2273</v>
      </c>
      <c r="O345" s="8" t="s">
        <v>2274</v>
      </c>
      <c r="P345" s="6" t="s">
        <v>2634</v>
      </c>
      <c r="Q345" s="6" t="s">
        <v>31</v>
      </c>
      <c r="R345" s="6" t="s">
        <v>31</v>
      </c>
      <c r="S345" s="8" t="s">
        <v>2635</v>
      </c>
      <c r="T345" s="6" t="s">
        <v>2278</v>
      </c>
      <c r="U345" s="8" t="s">
        <v>31</v>
      </c>
      <c r="V345" s="6" t="s">
        <v>29</v>
      </c>
      <c r="W345" s="6" t="s">
        <v>2614</v>
      </c>
      <c r="X345" s="9" t="str">
        <f>HYPERLINK("https://my.pitchbook.com?p=146122-93P","View People Online")</f>
        <v>View People Online</v>
      </c>
    </row>
    <row r="346">
      <c r="A346" s="10" t="s">
        <v>2727</v>
      </c>
      <c r="B346" s="10" t="s">
        <v>2728</v>
      </c>
      <c r="C346" s="10" t="s">
        <v>2729</v>
      </c>
      <c r="D346" s="10" t="s">
        <v>2730</v>
      </c>
      <c r="E346" s="10" t="s">
        <v>2614</v>
      </c>
      <c r="F346" s="10" t="s">
        <v>2731</v>
      </c>
      <c r="G346" s="10" t="s">
        <v>2732</v>
      </c>
      <c r="H346" s="11" t="s">
        <v>31</v>
      </c>
      <c r="I346" s="11">
        <v>3.0</v>
      </c>
      <c r="J346" s="11" t="s">
        <v>31</v>
      </c>
      <c r="K346" s="11">
        <v>2.0</v>
      </c>
      <c r="L346" s="12" t="s">
        <v>2632</v>
      </c>
      <c r="M346" s="10" t="s">
        <v>31</v>
      </c>
      <c r="N346" s="10" t="s">
        <v>2273</v>
      </c>
      <c r="O346" s="12" t="s">
        <v>2274</v>
      </c>
      <c r="P346" s="10" t="s">
        <v>2634</v>
      </c>
      <c r="Q346" s="10" t="s">
        <v>31</v>
      </c>
      <c r="R346" s="10" t="s">
        <v>31</v>
      </c>
      <c r="S346" s="12" t="s">
        <v>2635</v>
      </c>
      <c r="T346" s="10" t="s">
        <v>2278</v>
      </c>
      <c r="U346" s="12" t="s">
        <v>31</v>
      </c>
      <c r="V346" s="10" t="s">
        <v>2731</v>
      </c>
      <c r="W346" s="10" t="s">
        <v>2614</v>
      </c>
      <c r="X346" s="13" t="str">
        <f>HYPERLINK("https://my.pitchbook.com?p=253170-10P","View People Online")</f>
        <v>View People Online</v>
      </c>
    </row>
    <row r="347">
      <c r="A347" s="6" t="s">
        <v>2733</v>
      </c>
      <c r="B347" s="6" t="s">
        <v>2734</v>
      </c>
      <c r="C347" s="6" t="s">
        <v>1426</v>
      </c>
      <c r="D347" s="6" t="s">
        <v>2735</v>
      </c>
      <c r="E347" s="6" t="s">
        <v>2614</v>
      </c>
      <c r="F347" s="6" t="s">
        <v>1283</v>
      </c>
      <c r="G347" s="6" t="s">
        <v>2736</v>
      </c>
      <c r="H347" s="7" t="s">
        <v>31</v>
      </c>
      <c r="I347" s="7">
        <v>10.0</v>
      </c>
      <c r="J347" s="7">
        <v>1.0</v>
      </c>
      <c r="K347" s="7">
        <v>9.0</v>
      </c>
      <c r="L347" s="8" t="s">
        <v>2623</v>
      </c>
      <c r="M347" s="6" t="s">
        <v>2737</v>
      </c>
      <c r="N347" s="6" t="s">
        <v>243</v>
      </c>
      <c r="O347" s="8" t="s">
        <v>244</v>
      </c>
      <c r="P347" s="6" t="s">
        <v>2625</v>
      </c>
      <c r="Q347" s="6" t="s">
        <v>31</v>
      </c>
      <c r="R347" s="6" t="s">
        <v>247</v>
      </c>
      <c r="S347" s="8" t="s">
        <v>2626</v>
      </c>
      <c r="T347" s="6" t="s">
        <v>249</v>
      </c>
      <c r="U347" s="8" t="s">
        <v>31</v>
      </c>
      <c r="V347" s="6" t="s">
        <v>1283</v>
      </c>
      <c r="W347" s="6" t="s">
        <v>2614</v>
      </c>
      <c r="X347" s="9" t="str">
        <f>HYPERLINK("https://my.pitchbook.com?p=279162-10P","View People Online")</f>
        <v>View People Online</v>
      </c>
    </row>
    <row r="348">
      <c r="A348" s="10" t="s">
        <v>2738</v>
      </c>
      <c r="B348" s="10" t="s">
        <v>2739</v>
      </c>
      <c r="C348" s="10" t="s">
        <v>263</v>
      </c>
      <c r="D348" s="10" t="s">
        <v>2740</v>
      </c>
      <c r="E348" s="10" t="s">
        <v>2614</v>
      </c>
      <c r="F348" s="10" t="s">
        <v>548</v>
      </c>
      <c r="G348" s="10" t="s">
        <v>2741</v>
      </c>
      <c r="H348" s="11" t="s">
        <v>31</v>
      </c>
      <c r="I348" s="11">
        <v>2.0</v>
      </c>
      <c r="J348" s="11">
        <v>1.0</v>
      </c>
      <c r="K348" s="11">
        <v>1.0</v>
      </c>
      <c r="L348" s="12" t="s">
        <v>31</v>
      </c>
      <c r="M348" s="10" t="s">
        <v>2742</v>
      </c>
      <c r="N348" s="10" t="s">
        <v>75</v>
      </c>
      <c r="O348" s="12" t="s">
        <v>76</v>
      </c>
      <c r="P348" s="10" t="s">
        <v>2617</v>
      </c>
      <c r="Q348" s="10" t="s">
        <v>31</v>
      </c>
      <c r="R348" s="10" t="s">
        <v>75</v>
      </c>
      <c r="S348" s="12" t="s">
        <v>1432</v>
      </c>
      <c r="T348" s="10" t="s">
        <v>66</v>
      </c>
      <c r="U348" s="12" t="s">
        <v>31</v>
      </c>
      <c r="V348" s="10" t="s">
        <v>548</v>
      </c>
      <c r="W348" s="10" t="s">
        <v>2614</v>
      </c>
      <c r="X348" s="13" t="str">
        <f>HYPERLINK("https://my.pitchbook.com?p=72260-47P","View People Online")</f>
        <v>View People Online</v>
      </c>
    </row>
    <row r="349">
      <c r="A349" s="14" t="s">
        <v>2743</v>
      </c>
      <c r="B349" s="14" t="s">
        <v>2744</v>
      </c>
      <c r="C349" s="14" t="s">
        <v>285</v>
      </c>
      <c r="D349" s="14" t="s">
        <v>2745</v>
      </c>
      <c r="E349" s="14" t="s">
        <v>2614</v>
      </c>
      <c r="F349" s="14" t="s">
        <v>1283</v>
      </c>
      <c r="G349" s="14" t="s">
        <v>2746</v>
      </c>
      <c r="H349" s="15" t="s">
        <v>31</v>
      </c>
      <c r="I349" s="15">
        <v>1.0</v>
      </c>
      <c r="J349" s="15">
        <v>1.0</v>
      </c>
      <c r="K349" s="15" t="s">
        <v>31</v>
      </c>
      <c r="L349" s="16" t="s">
        <v>2623</v>
      </c>
      <c r="M349" s="14" t="s">
        <v>2747</v>
      </c>
      <c r="N349" s="14" t="s">
        <v>243</v>
      </c>
      <c r="O349" s="16" t="s">
        <v>244</v>
      </c>
      <c r="P349" s="14" t="s">
        <v>2625</v>
      </c>
      <c r="Q349" s="14" t="s">
        <v>31</v>
      </c>
      <c r="R349" s="14" t="s">
        <v>247</v>
      </c>
      <c r="S349" s="16" t="s">
        <v>2626</v>
      </c>
      <c r="T349" s="14" t="s">
        <v>249</v>
      </c>
      <c r="U349" s="16" t="s">
        <v>31</v>
      </c>
      <c r="V349" s="14" t="s">
        <v>1283</v>
      </c>
      <c r="W349" s="14" t="s">
        <v>2614</v>
      </c>
      <c r="X349" s="17" t="str">
        <f>HYPERLINK("https://my.pitchbook.com?p=408504-16P","View People Online")</f>
        <v>View People Online</v>
      </c>
    </row>
    <row r="350">
      <c r="A350" s="10" t="s">
        <v>2748</v>
      </c>
      <c r="B350" s="10" t="s">
        <v>2749</v>
      </c>
      <c r="C350" s="10" t="s">
        <v>285</v>
      </c>
      <c r="D350" s="10" t="s">
        <v>2750</v>
      </c>
      <c r="E350" s="10" t="s">
        <v>2614</v>
      </c>
      <c r="F350" s="10" t="s">
        <v>29</v>
      </c>
      <c r="G350" s="10" t="s">
        <v>2751</v>
      </c>
      <c r="H350" s="11" t="s">
        <v>31</v>
      </c>
      <c r="I350" s="11">
        <v>11.0</v>
      </c>
      <c r="J350" s="11">
        <v>1.0</v>
      </c>
      <c r="K350" s="11">
        <v>10.0</v>
      </c>
      <c r="L350" s="12" t="s">
        <v>2752</v>
      </c>
      <c r="M350" s="10" t="s">
        <v>2753</v>
      </c>
      <c r="N350" s="10" t="s">
        <v>2754</v>
      </c>
      <c r="O350" s="12" t="s">
        <v>2755</v>
      </c>
      <c r="P350" s="10" t="s">
        <v>2756</v>
      </c>
      <c r="Q350" s="10" t="s">
        <v>31</v>
      </c>
      <c r="R350" s="10" t="s">
        <v>31</v>
      </c>
      <c r="S350" s="12" t="s">
        <v>2757</v>
      </c>
      <c r="T350" s="10" t="s">
        <v>38</v>
      </c>
      <c r="U350" s="12" t="s">
        <v>31</v>
      </c>
      <c r="V350" s="10" t="s">
        <v>29</v>
      </c>
      <c r="W350" s="10" t="s">
        <v>2614</v>
      </c>
      <c r="X350" s="13" t="str">
        <f>HYPERLINK("https://my.pitchbook.com?p=236755-09P","View People Online")</f>
        <v>View People Online</v>
      </c>
    </row>
    <row r="351">
      <c r="A351" s="14" t="s">
        <v>2758</v>
      </c>
      <c r="B351" s="14" t="s">
        <v>2759</v>
      </c>
      <c r="C351" s="14" t="s">
        <v>69</v>
      </c>
      <c r="D351" s="14" t="s">
        <v>2760</v>
      </c>
      <c r="E351" s="14" t="s">
        <v>2614</v>
      </c>
      <c r="F351" s="14" t="s">
        <v>29</v>
      </c>
      <c r="G351" s="14" t="s">
        <v>2761</v>
      </c>
      <c r="H351" s="15" t="s">
        <v>31</v>
      </c>
      <c r="I351" s="15">
        <v>5.0</v>
      </c>
      <c r="J351" s="15">
        <v>1.0</v>
      </c>
      <c r="K351" s="15">
        <v>4.0</v>
      </c>
      <c r="L351" s="16" t="s">
        <v>2762</v>
      </c>
      <c r="M351" s="14" t="s">
        <v>2763</v>
      </c>
      <c r="N351" s="14" t="s">
        <v>2764</v>
      </c>
      <c r="O351" s="16" t="s">
        <v>2765</v>
      </c>
      <c r="P351" s="14" t="s">
        <v>2766</v>
      </c>
      <c r="Q351" s="14" t="s">
        <v>31</v>
      </c>
      <c r="R351" s="14" t="s">
        <v>31</v>
      </c>
      <c r="S351" s="16" t="s">
        <v>2767</v>
      </c>
      <c r="T351" s="14" t="s">
        <v>2768</v>
      </c>
      <c r="U351" s="16" t="s">
        <v>31</v>
      </c>
      <c r="V351" s="14" t="s">
        <v>29</v>
      </c>
      <c r="W351" s="14" t="s">
        <v>2614</v>
      </c>
      <c r="X351" s="17" t="str">
        <f>HYPERLINK("https://my.pitchbook.com?p=73230-49P","View People Online")</f>
        <v>View People Online</v>
      </c>
    </row>
    <row r="352">
      <c r="A352" s="10" t="s">
        <v>2769</v>
      </c>
      <c r="B352" s="10" t="s">
        <v>2770</v>
      </c>
      <c r="C352" s="10" t="s">
        <v>1449</v>
      </c>
      <c r="D352" s="10" t="s">
        <v>2771</v>
      </c>
      <c r="E352" s="10" t="s">
        <v>2614</v>
      </c>
      <c r="F352" s="10" t="s">
        <v>1283</v>
      </c>
      <c r="G352" s="10" t="s">
        <v>2772</v>
      </c>
      <c r="H352" s="11" t="s">
        <v>31</v>
      </c>
      <c r="I352" s="11">
        <v>5.0</v>
      </c>
      <c r="J352" s="11">
        <v>1.0</v>
      </c>
      <c r="K352" s="11">
        <v>4.0</v>
      </c>
      <c r="L352" s="12" t="s">
        <v>2632</v>
      </c>
      <c r="M352" s="10" t="s">
        <v>2773</v>
      </c>
      <c r="N352" s="10" t="s">
        <v>2273</v>
      </c>
      <c r="O352" s="12" t="s">
        <v>2274</v>
      </c>
      <c r="P352" s="10" t="s">
        <v>2634</v>
      </c>
      <c r="Q352" s="10" t="s">
        <v>31</v>
      </c>
      <c r="R352" s="10" t="s">
        <v>31</v>
      </c>
      <c r="S352" s="12" t="s">
        <v>2635</v>
      </c>
      <c r="T352" s="10" t="s">
        <v>2278</v>
      </c>
      <c r="U352" s="12" t="s">
        <v>31</v>
      </c>
      <c r="V352" s="10" t="s">
        <v>1283</v>
      </c>
      <c r="W352" s="10" t="s">
        <v>2614</v>
      </c>
      <c r="X352" s="13" t="str">
        <f>HYPERLINK("https://my.pitchbook.com?p=35306-56P","View People Online")</f>
        <v>View People Online</v>
      </c>
    </row>
    <row r="353">
      <c r="A353" s="6" t="s">
        <v>2774</v>
      </c>
      <c r="B353" s="6" t="s">
        <v>2775</v>
      </c>
      <c r="C353" s="6" t="s">
        <v>2776</v>
      </c>
      <c r="D353" s="6" t="s">
        <v>2777</v>
      </c>
      <c r="E353" s="6" t="s">
        <v>2614</v>
      </c>
      <c r="F353" s="6" t="s">
        <v>1283</v>
      </c>
      <c r="G353" s="6" t="s">
        <v>2778</v>
      </c>
      <c r="H353" s="7" t="s">
        <v>31</v>
      </c>
      <c r="I353" s="7">
        <v>1.0</v>
      </c>
      <c r="J353" s="7">
        <v>1.0</v>
      </c>
      <c r="K353" s="7" t="s">
        <v>31</v>
      </c>
      <c r="L353" s="8" t="s">
        <v>2632</v>
      </c>
      <c r="M353" s="6" t="s">
        <v>2779</v>
      </c>
      <c r="N353" s="6" t="s">
        <v>2273</v>
      </c>
      <c r="O353" s="8" t="s">
        <v>2274</v>
      </c>
      <c r="P353" s="6" t="s">
        <v>2634</v>
      </c>
      <c r="Q353" s="6" t="s">
        <v>31</v>
      </c>
      <c r="R353" s="6" t="s">
        <v>31</v>
      </c>
      <c r="S353" s="8" t="s">
        <v>2635</v>
      </c>
      <c r="T353" s="6" t="s">
        <v>2278</v>
      </c>
      <c r="U353" s="8" t="s">
        <v>31</v>
      </c>
      <c r="V353" s="6" t="s">
        <v>1283</v>
      </c>
      <c r="W353" s="6" t="s">
        <v>2614</v>
      </c>
      <c r="X353" s="9" t="str">
        <f>HYPERLINK("https://my.pitchbook.com?p=349990-84P","View People Online")</f>
        <v>View People Online</v>
      </c>
    </row>
    <row r="354">
      <c r="A354" s="2" t="s">
        <v>2780</v>
      </c>
      <c r="B354" s="2" t="s">
        <v>2781</v>
      </c>
      <c r="C354" s="2" t="s">
        <v>2782</v>
      </c>
      <c r="D354" s="2" t="s">
        <v>2783</v>
      </c>
      <c r="E354" s="2" t="s">
        <v>2614</v>
      </c>
      <c r="F354" s="2" t="s">
        <v>1283</v>
      </c>
      <c r="G354" s="2" t="s">
        <v>2784</v>
      </c>
      <c r="H354" s="3" t="s">
        <v>31</v>
      </c>
      <c r="I354" s="3">
        <v>2.0</v>
      </c>
      <c r="J354" s="3">
        <v>1.0</v>
      </c>
      <c r="K354" s="3">
        <v>1.0</v>
      </c>
      <c r="L354" s="4" t="s">
        <v>2632</v>
      </c>
      <c r="M354" s="2" t="s">
        <v>2785</v>
      </c>
      <c r="N354" s="2" t="s">
        <v>2273</v>
      </c>
      <c r="O354" s="4" t="s">
        <v>2274</v>
      </c>
      <c r="P354" s="2" t="s">
        <v>2634</v>
      </c>
      <c r="Q354" s="2" t="s">
        <v>31</v>
      </c>
      <c r="R354" s="2" t="s">
        <v>31</v>
      </c>
      <c r="S354" s="4" t="s">
        <v>2635</v>
      </c>
      <c r="T354" s="2" t="s">
        <v>2278</v>
      </c>
      <c r="U354" s="4" t="s">
        <v>31</v>
      </c>
      <c r="V354" s="2" t="s">
        <v>1283</v>
      </c>
      <c r="W354" s="2" t="s">
        <v>2614</v>
      </c>
      <c r="X354" s="5" t="str">
        <f>HYPERLINK("https://my.pitchbook.com?p=84435-67P","View People Online")</f>
        <v>View People Online</v>
      </c>
    </row>
    <row r="355">
      <c r="A355" s="14" t="s">
        <v>2786</v>
      </c>
      <c r="B355" s="14" t="s">
        <v>2787</v>
      </c>
      <c r="C355" s="14" t="s">
        <v>2788</v>
      </c>
      <c r="D355" s="14" t="s">
        <v>2789</v>
      </c>
      <c r="E355" s="14" t="s">
        <v>2614</v>
      </c>
      <c r="F355" s="14" t="s">
        <v>57</v>
      </c>
      <c r="G355" s="14" t="s">
        <v>2790</v>
      </c>
      <c r="H355" s="15" t="s">
        <v>31</v>
      </c>
      <c r="I355" s="15">
        <v>17.0</v>
      </c>
      <c r="J355" s="15">
        <v>2.0</v>
      </c>
      <c r="K355" s="15">
        <v>15.0</v>
      </c>
      <c r="L355" s="16" t="s">
        <v>2640</v>
      </c>
      <c r="M355" s="14" t="s">
        <v>2791</v>
      </c>
      <c r="N355" s="14" t="s">
        <v>429</v>
      </c>
      <c r="O355" s="16" t="s">
        <v>430</v>
      </c>
      <c r="P355" s="14" t="s">
        <v>2642</v>
      </c>
      <c r="Q355" s="14" t="s">
        <v>31</v>
      </c>
      <c r="R355" s="14" t="s">
        <v>31</v>
      </c>
      <c r="S355" s="16" t="s">
        <v>432</v>
      </c>
      <c r="T355" s="14" t="s">
        <v>433</v>
      </c>
      <c r="U355" s="16" t="s">
        <v>31</v>
      </c>
      <c r="V355" s="14" t="s">
        <v>57</v>
      </c>
      <c r="W355" s="14" t="s">
        <v>2614</v>
      </c>
      <c r="X355" s="17" t="str">
        <f>HYPERLINK("https://my.pitchbook.com?p=80408-62P","View People Online")</f>
        <v>View People Online</v>
      </c>
    </row>
    <row r="356">
      <c r="A356" s="10" t="s">
        <v>2792</v>
      </c>
      <c r="B356" s="10" t="s">
        <v>2793</v>
      </c>
      <c r="C356" s="10" t="s">
        <v>2794</v>
      </c>
      <c r="D356" s="10" t="s">
        <v>2795</v>
      </c>
      <c r="E356" s="10" t="s">
        <v>2614</v>
      </c>
      <c r="F356" s="10" t="s">
        <v>1283</v>
      </c>
      <c r="G356" s="10" t="s">
        <v>2796</v>
      </c>
      <c r="H356" s="11" t="s">
        <v>31</v>
      </c>
      <c r="I356" s="11">
        <v>1.0</v>
      </c>
      <c r="J356" s="11">
        <v>1.0</v>
      </c>
      <c r="K356" s="11" t="s">
        <v>31</v>
      </c>
      <c r="L356" s="12" t="s">
        <v>2623</v>
      </c>
      <c r="M356" s="10" t="s">
        <v>2797</v>
      </c>
      <c r="N356" s="10" t="s">
        <v>243</v>
      </c>
      <c r="O356" s="12" t="s">
        <v>244</v>
      </c>
      <c r="P356" s="10" t="s">
        <v>2625</v>
      </c>
      <c r="Q356" s="10" t="s">
        <v>31</v>
      </c>
      <c r="R356" s="10" t="s">
        <v>247</v>
      </c>
      <c r="S356" s="12" t="s">
        <v>2626</v>
      </c>
      <c r="T356" s="10" t="s">
        <v>249</v>
      </c>
      <c r="U356" s="12" t="s">
        <v>31</v>
      </c>
      <c r="V356" s="10" t="s">
        <v>1283</v>
      </c>
      <c r="W356" s="10" t="s">
        <v>2614</v>
      </c>
      <c r="X356" s="13" t="str">
        <f>HYPERLINK("https://my.pitchbook.com?p=408512-80P","View People Online")</f>
        <v>View People Online</v>
      </c>
    </row>
    <row r="357">
      <c r="A357" s="6" t="s">
        <v>2798</v>
      </c>
      <c r="B357" s="6" t="s">
        <v>2799</v>
      </c>
      <c r="C357" s="6" t="s">
        <v>2800</v>
      </c>
      <c r="D357" s="6" t="s">
        <v>2801</v>
      </c>
      <c r="E357" s="6" t="s">
        <v>2614</v>
      </c>
      <c r="F357" s="6" t="s">
        <v>29</v>
      </c>
      <c r="G357" s="6" t="s">
        <v>2802</v>
      </c>
      <c r="H357" s="7" t="s">
        <v>31</v>
      </c>
      <c r="I357" s="7">
        <v>1.0</v>
      </c>
      <c r="J357" s="7">
        <v>1.0</v>
      </c>
      <c r="K357" s="7" t="s">
        <v>31</v>
      </c>
      <c r="L357" s="8" t="s">
        <v>2632</v>
      </c>
      <c r="M357" s="6" t="s">
        <v>2803</v>
      </c>
      <c r="N357" s="6" t="s">
        <v>2273</v>
      </c>
      <c r="O357" s="8" t="s">
        <v>2274</v>
      </c>
      <c r="P357" s="6" t="s">
        <v>2634</v>
      </c>
      <c r="Q357" s="6" t="s">
        <v>31</v>
      </c>
      <c r="R357" s="6" t="s">
        <v>31</v>
      </c>
      <c r="S357" s="8" t="s">
        <v>2635</v>
      </c>
      <c r="T357" s="6" t="s">
        <v>2278</v>
      </c>
      <c r="U357" s="8" t="s">
        <v>31</v>
      </c>
      <c r="V357" s="6" t="s">
        <v>29</v>
      </c>
      <c r="W357" s="6" t="s">
        <v>2614</v>
      </c>
      <c r="X357" s="9" t="str">
        <f>HYPERLINK("https://my.pitchbook.com?p=146124-28P","View People Online")</f>
        <v>View People Online</v>
      </c>
    </row>
    <row r="358">
      <c r="A358" s="10" t="s">
        <v>2804</v>
      </c>
      <c r="B358" s="10" t="s">
        <v>2805</v>
      </c>
      <c r="C358" s="10" t="s">
        <v>2806</v>
      </c>
      <c r="D358" s="10" t="s">
        <v>2807</v>
      </c>
      <c r="E358" s="10" t="s">
        <v>2614</v>
      </c>
      <c r="F358" s="10" t="s">
        <v>29</v>
      </c>
      <c r="G358" s="10" t="s">
        <v>2808</v>
      </c>
      <c r="H358" s="11" t="s">
        <v>31</v>
      </c>
      <c r="I358" s="11">
        <v>3.0</v>
      </c>
      <c r="J358" s="11">
        <v>1.0</v>
      </c>
      <c r="K358" s="11">
        <v>2.0</v>
      </c>
      <c r="L358" s="12" t="s">
        <v>2632</v>
      </c>
      <c r="M358" s="10" t="s">
        <v>2809</v>
      </c>
      <c r="N358" s="10" t="s">
        <v>2273</v>
      </c>
      <c r="O358" s="12" t="s">
        <v>2274</v>
      </c>
      <c r="P358" s="10" t="s">
        <v>2634</v>
      </c>
      <c r="Q358" s="10" t="s">
        <v>31</v>
      </c>
      <c r="R358" s="10" t="s">
        <v>31</v>
      </c>
      <c r="S358" s="12" t="s">
        <v>2635</v>
      </c>
      <c r="T358" s="10" t="s">
        <v>2278</v>
      </c>
      <c r="U358" s="12" t="s">
        <v>31</v>
      </c>
      <c r="V358" s="10" t="s">
        <v>29</v>
      </c>
      <c r="W358" s="10" t="s">
        <v>2614</v>
      </c>
      <c r="X358" s="13" t="str">
        <f>HYPERLINK("https://my.pitchbook.com?p=421265-26P","View People Online")</f>
        <v>View People Online</v>
      </c>
    </row>
    <row r="359">
      <c r="A359" s="6" t="s">
        <v>2810</v>
      </c>
      <c r="B359" s="6" t="s">
        <v>2811</v>
      </c>
      <c r="C359" s="6" t="s">
        <v>98</v>
      </c>
      <c r="D359" s="6" t="s">
        <v>2812</v>
      </c>
      <c r="E359" s="6" t="s">
        <v>2614</v>
      </c>
      <c r="F359" s="6" t="s">
        <v>1283</v>
      </c>
      <c r="G359" s="6" t="s">
        <v>2813</v>
      </c>
      <c r="H359" s="7" t="s">
        <v>31</v>
      </c>
      <c r="I359" s="7">
        <v>1.0</v>
      </c>
      <c r="J359" s="7">
        <v>1.0</v>
      </c>
      <c r="K359" s="7" t="s">
        <v>31</v>
      </c>
      <c r="L359" s="8" t="s">
        <v>2632</v>
      </c>
      <c r="M359" s="6" t="s">
        <v>2814</v>
      </c>
      <c r="N359" s="6" t="s">
        <v>2273</v>
      </c>
      <c r="O359" s="8" t="s">
        <v>2274</v>
      </c>
      <c r="P359" s="6" t="s">
        <v>2634</v>
      </c>
      <c r="Q359" s="6" t="s">
        <v>31</v>
      </c>
      <c r="R359" s="6" t="s">
        <v>31</v>
      </c>
      <c r="S359" s="8" t="s">
        <v>2635</v>
      </c>
      <c r="T359" s="6" t="s">
        <v>2278</v>
      </c>
      <c r="U359" s="8" t="s">
        <v>31</v>
      </c>
      <c r="V359" s="6" t="s">
        <v>1283</v>
      </c>
      <c r="W359" s="6" t="s">
        <v>2614</v>
      </c>
      <c r="X359" s="9" t="str">
        <f>HYPERLINK("https://my.pitchbook.com?p=408503-44P","View People Online")</f>
        <v>View People Online</v>
      </c>
    </row>
    <row r="360">
      <c r="A360" s="2" t="s">
        <v>2815</v>
      </c>
      <c r="B360" s="2" t="s">
        <v>2816</v>
      </c>
      <c r="C360" s="2" t="s">
        <v>98</v>
      </c>
      <c r="D360" s="2" t="s">
        <v>2817</v>
      </c>
      <c r="E360" s="2" t="s">
        <v>2614</v>
      </c>
      <c r="F360" s="2" t="s">
        <v>57</v>
      </c>
      <c r="G360" s="2" t="s">
        <v>2818</v>
      </c>
      <c r="H360" s="3" t="s">
        <v>31</v>
      </c>
      <c r="I360" s="3">
        <v>1.0</v>
      </c>
      <c r="J360" s="3">
        <v>1.0</v>
      </c>
      <c r="K360" s="3" t="s">
        <v>31</v>
      </c>
      <c r="L360" s="4" t="s">
        <v>2632</v>
      </c>
      <c r="M360" s="2" t="s">
        <v>2819</v>
      </c>
      <c r="N360" s="2" t="s">
        <v>2273</v>
      </c>
      <c r="O360" s="4" t="s">
        <v>2274</v>
      </c>
      <c r="P360" s="2" t="s">
        <v>2634</v>
      </c>
      <c r="Q360" s="2" t="s">
        <v>31</v>
      </c>
      <c r="R360" s="2" t="s">
        <v>31</v>
      </c>
      <c r="S360" s="4" t="s">
        <v>2635</v>
      </c>
      <c r="T360" s="2" t="s">
        <v>2278</v>
      </c>
      <c r="U360" s="4" t="s">
        <v>31</v>
      </c>
      <c r="V360" s="2" t="s">
        <v>57</v>
      </c>
      <c r="W360" s="2" t="s">
        <v>2614</v>
      </c>
      <c r="X360" s="5" t="str">
        <f>HYPERLINK("https://my.pitchbook.com?p=408516-49P","View People Online")</f>
        <v>View People Online</v>
      </c>
    </row>
    <row r="361">
      <c r="A361" s="14" t="s">
        <v>2820</v>
      </c>
      <c r="B361" s="14" t="s">
        <v>2821</v>
      </c>
      <c r="C361" s="14" t="s">
        <v>98</v>
      </c>
      <c r="D361" s="14" t="s">
        <v>2822</v>
      </c>
      <c r="E361" s="14" t="s">
        <v>2614</v>
      </c>
      <c r="F361" s="14" t="s">
        <v>1283</v>
      </c>
      <c r="G361" s="14" t="s">
        <v>2823</v>
      </c>
      <c r="H361" s="15">
        <v>1.0</v>
      </c>
      <c r="I361" s="15">
        <v>4.0</v>
      </c>
      <c r="J361" s="15">
        <v>1.0</v>
      </c>
      <c r="K361" s="15">
        <v>1.0</v>
      </c>
      <c r="L361" s="16" t="s">
        <v>2632</v>
      </c>
      <c r="M361" s="14" t="s">
        <v>2824</v>
      </c>
      <c r="N361" s="14" t="s">
        <v>2273</v>
      </c>
      <c r="O361" s="16" t="s">
        <v>2274</v>
      </c>
      <c r="P361" s="14" t="s">
        <v>2634</v>
      </c>
      <c r="Q361" s="14" t="s">
        <v>31</v>
      </c>
      <c r="R361" s="14" t="s">
        <v>31</v>
      </c>
      <c r="S361" s="16" t="s">
        <v>2635</v>
      </c>
      <c r="T361" s="14" t="s">
        <v>2278</v>
      </c>
      <c r="U361" s="16" t="s">
        <v>31</v>
      </c>
      <c r="V361" s="14" t="s">
        <v>1283</v>
      </c>
      <c r="W361" s="14" t="s">
        <v>2614</v>
      </c>
      <c r="X361" s="17" t="str">
        <f>HYPERLINK("https://my.pitchbook.com?p=52989-04P","View People Online")</f>
        <v>View People Online</v>
      </c>
    </row>
    <row r="362">
      <c r="A362" s="2" t="s">
        <v>2825</v>
      </c>
      <c r="B362" s="2" t="s">
        <v>2826</v>
      </c>
      <c r="C362" s="2" t="s">
        <v>2827</v>
      </c>
      <c r="D362" s="2" t="s">
        <v>2828</v>
      </c>
      <c r="E362" s="2" t="s">
        <v>2614</v>
      </c>
      <c r="F362" s="2" t="s">
        <v>29</v>
      </c>
      <c r="G362" s="2" t="s">
        <v>2829</v>
      </c>
      <c r="H362" s="3" t="s">
        <v>31</v>
      </c>
      <c r="I362" s="3">
        <v>4.0</v>
      </c>
      <c r="J362" s="3">
        <v>1.0</v>
      </c>
      <c r="K362" s="3">
        <v>3.0</v>
      </c>
      <c r="L362" s="4" t="s">
        <v>2632</v>
      </c>
      <c r="M362" s="2" t="s">
        <v>2830</v>
      </c>
      <c r="N362" s="2" t="s">
        <v>2273</v>
      </c>
      <c r="O362" s="4" t="s">
        <v>2274</v>
      </c>
      <c r="P362" s="2" t="s">
        <v>2634</v>
      </c>
      <c r="Q362" s="2" t="s">
        <v>31</v>
      </c>
      <c r="R362" s="2" t="s">
        <v>31</v>
      </c>
      <c r="S362" s="4" t="s">
        <v>2635</v>
      </c>
      <c r="T362" s="2" t="s">
        <v>2278</v>
      </c>
      <c r="U362" s="4" t="s">
        <v>31</v>
      </c>
      <c r="V362" s="2" t="s">
        <v>29</v>
      </c>
      <c r="W362" s="2" t="s">
        <v>2614</v>
      </c>
      <c r="X362" s="5" t="str">
        <f>HYPERLINK("https://my.pitchbook.com?p=72527-77P","View People Online")</f>
        <v>View People Online</v>
      </c>
    </row>
    <row r="363">
      <c r="A363" s="6" t="s">
        <v>2831</v>
      </c>
      <c r="B363" s="6" t="s">
        <v>2832</v>
      </c>
      <c r="C363" s="6" t="s">
        <v>2833</v>
      </c>
      <c r="D363" s="6" t="s">
        <v>2834</v>
      </c>
      <c r="E363" s="6" t="s">
        <v>2614</v>
      </c>
      <c r="F363" s="6" t="s">
        <v>2835</v>
      </c>
      <c r="G363" s="6" t="s">
        <v>2836</v>
      </c>
      <c r="H363" s="7" t="s">
        <v>31</v>
      </c>
      <c r="I363" s="7">
        <v>2.0</v>
      </c>
      <c r="J363" s="7">
        <v>2.0</v>
      </c>
      <c r="K363" s="7" t="s">
        <v>31</v>
      </c>
      <c r="L363" s="8" t="s">
        <v>2632</v>
      </c>
      <c r="M363" s="6" t="s">
        <v>2837</v>
      </c>
      <c r="N363" s="6" t="s">
        <v>2273</v>
      </c>
      <c r="O363" s="8" t="s">
        <v>2274</v>
      </c>
      <c r="P363" s="6" t="s">
        <v>2838</v>
      </c>
      <c r="Q363" s="6" t="s">
        <v>2839</v>
      </c>
      <c r="R363" s="6" t="s">
        <v>31</v>
      </c>
      <c r="S363" s="8" t="s">
        <v>2635</v>
      </c>
      <c r="T363" s="6" t="s">
        <v>2278</v>
      </c>
      <c r="U363" s="8" t="s">
        <v>31</v>
      </c>
      <c r="V363" s="6" t="s">
        <v>548</v>
      </c>
      <c r="W363" s="6" t="s">
        <v>2840</v>
      </c>
      <c r="X363" s="9" t="str">
        <f>HYPERLINK("https://my.pitchbook.com?p=296614-36P","View People Online")</f>
        <v>View People Online</v>
      </c>
    </row>
    <row r="364">
      <c r="A364" s="2" t="s">
        <v>2841</v>
      </c>
      <c r="B364" s="2" t="s">
        <v>2842</v>
      </c>
      <c r="C364" s="2" t="s">
        <v>2833</v>
      </c>
      <c r="D364" s="2" t="s">
        <v>2843</v>
      </c>
      <c r="E364" s="2" t="s">
        <v>2614</v>
      </c>
      <c r="F364" s="2" t="s">
        <v>57</v>
      </c>
      <c r="G364" s="2" t="s">
        <v>2844</v>
      </c>
      <c r="H364" s="3" t="s">
        <v>31</v>
      </c>
      <c r="I364" s="3">
        <v>2.0</v>
      </c>
      <c r="J364" s="3">
        <v>2.0</v>
      </c>
      <c r="K364" s="3" t="s">
        <v>31</v>
      </c>
      <c r="L364" s="4" t="s">
        <v>2632</v>
      </c>
      <c r="M364" s="2" t="s">
        <v>2845</v>
      </c>
      <c r="N364" s="2" t="s">
        <v>2273</v>
      </c>
      <c r="O364" s="4" t="s">
        <v>2274</v>
      </c>
      <c r="P364" s="2" t="s">
        <v>2634</v>
      </c>
      <c r="Q364" s="2" t="s">
        <v>31</v>
      </c>
      <c r="R364" s="2" t="s">
        <v>31</v>
      </c>
      <c r="S364" s="4" t="s">
        <v>2635</v>
      </c>
      <c r="T364" s="2" t="s">
        <v>2278</v>
      </c>
      <c r="U364" s="4" t="s">
        <v>31</v>
      </c>
      <c r="V364" s="2" t="s">
        <v>57</v>
      </c>
      <c r="W364" s="2" t="s">
        <v>2614</v>
      </c>
      <c r="X364" s="5" t="str">
        <f>HYPERLINK("https://my.pitchbook.com?p=160898-32P","View People Online")</f>
        <v>View People Online</v>
      </c>
    </row>
    <row r="365">
      <c r="A365" s="14" t="s">
        <v>2846</v>
      </c>
      <c r="B365" s="14" t="s">
        <v>2847</v>
      </c>
      <c r="C365" s="14" t="s">
        <v>2833</v>
      </c>
      <c r="D365" s="14" t="s">
        <v>2848</v>
      </c>
      <c r="E365" s="14" t="s">
        <v>2614</v>
      </c>
      <c r="F365" s="14" t="s">
        <v>1134</v>
      </c>
      <c r="G365" s="14" t="s">
        <v>2849</v>
      </c>
      <c r="H365" s="15" t="s">
        <v>31</v>
      </c>
      <c r="I365" s="15">
        <v>1.0</v>
      </c>
      <c r="J365" s="15">
        <v>1.0</v>
      </c>
      <c r="K365" s="15" t="s">
        <v>31</v>
      </c>
      <c r="L365" s="16" t="s">
        <v>2632</v>
      </c>
      <c r="M365" s="14" t="s">
        <v>2850</v>
      </c>
      <c r="N365" s="14" t="s">
        <v>2273</v>
      </c>
      <c r="O365" s="16" t="s">
        <v>2274</v>
      </c>
      <c r="P365" s="14" t="s">
        <v>2634</v>
      </c>
      <c r="Q365" s="14" t="s">
        <v>31</v>
      </c>
      <c r="R365" s="14" t="s">
        <v>31</v>
      </c>
      <c r="S365" s="16" t="s">
        <v>2635</v>
      </c>
      <c r="T365" s="14" t="s">
        <v>2278</v>
      </c>
      <c r="U365" s="16" t="s">
        <v>31</v>
      </c>
      <c r="V365" s="14" t="s">
        <v>2851</v>
      </c>
      <c r="W365" s="14" t="s">
        <v>2614</v>
      </c>
      <c r="X365" s="17" t="str">
        <f>HYPERLINK("https://my.pitchbook.com?p=408505-78P","View People Online")</f>
        <v>View People Online</v>
      </c>
    </row>
    <row r="366">
      <c r="A366" s="2" t="s">
        <v>2852</v>
      </c>
      <c r="B366" s="2" t="s">
        <v>2853</v>
      </c>
      <c r="C366" s="2" t="s">
        <v>2854</v>
      </c>
      <c r="D366" s="2" t="s">
        <v>2855</v>
      </c>
      <c r="E366" s="2" t="s">
        <v>2614</v>
      </c>
      <c r="F366" s="2" t="s">
        <v>57</v>
      </c>
      <c r="G366" s="2" t="s">
        <v>2856</v>
      </c>
      <c r="H366" s="3" t="s">
        <v>31</v>
      </c>
      <c r="I366" s="3">
        <v>13.0</v>
      </c>
      <c r="J366" s="3">
        <v>1.0</v>
      </c>
      <c r="K366" s="3">
        <v>12.0</v>
      </c>
      <c r="L366" s="4" t="s">
        <v>2640</v>
      </c>
      <c r="M366" s="2" t="s">
        <v>2857</v>
      </c>
      <c r="N366" s="2" t="s">
        <v>429</v>
      </c>
      <c r="O366" s="4" t="s">
        <v>430</v>
      </c>
      <c r="P366" s="2" t="s">
        <v>2642</v>
      </c>
      <c r="Q366" s="2" t="s">
        <v>31</v>
      </c>
      <c r="R366" s="2" t="s">
        <v>31</v>
      </c>
      <c r="S366" s="4" t="s">
        <v>432</v>
      </c>
      <c r="T366" s="2" t="s">
        <v>433</v>
      </c>
      <c r="U366" s="4" t="s">
        <v>31</v>
      </c>
      <c r="V366" s="2" t="s">
        <v>57</v>
      </c>
      <c r="W366" s="2" t="s">
        <v>2614</v>
      </c>
      <c r="X366" s="5" t="str">
        <f>HYPERLINK("https://my.pitchbook.com?p=136689-22P","View People Online")</f>
        <v>View People Online</v>
      </c>
    </row>
    <row r="367">
      <c r="A367" s="6" t="s">
        <v>2858</v>
      </c>
      <c r="B367" s="6" t="s">
        <v>2859</v>
      </c>
      <c r="C367" s="6" t="s">
        <v>2854</v>
      </c>
      <c r="D367" s="6" t="s">
        <v>2860</v>
      </c>
      <c r="E367" s="6" t="s">
        <v>2614</v>
      </c>
      <c r="F367" s="6" t="s">
        <v>29</v>
      </c>
      <c r="G367" s="6" t="s">
        <v>2861</v>
      </c>
      <c r="H367" s="7" t="s">
        <v>31</v>
      </c>
      <c r="I367" s="7">
        <v>14.0</v>
      </c>
      <c r="J367" s="7">
        <v>1.0</v>
      </c>
      <c r="K367" s="7">
        <v>13.0</v>
      </c>
      <c r="L367" s="8" t="s">
        <v>2640</v>
      </c>
      <c r="M367" s="6" t="s">
        <v>2862</v>
      </c>
      <c r="N367" s="6" t="s">
        <v>429</v>
      </c>
      <c r="O367" s="8" t="s">
        <v>430</v>
      </c>
      <c r="P367" s="6" t="s">
        <v>2642</v>
      </c>
      <c r="Q367" s="6" t="s">
        <v>31</v>
      </c>
      <c r="R367" s="6" t="s">
        <v>31</v>
      </c>
      <c r="S367" s="8" t="s">
        <v>432</v>
      </c>
      <c r="T367" s="6" t="s">
        <v>433</v>
      </c>
      <c r="U367" s="8" t="s">
        <v>31</v>
      </c>
      <c r="V367" s="6" t="s">
        <v>29</v>
      </c>
      <c r="W367" s="6" t="s">
        <v>2614</v>
      </c>
      <c r="X367" s="9" t="str">
        <f>HYPERLINK("https://my.pitchbook.com?p=115461-10P","View People Online")</f>
        <v>View People Online</v>
      </c>
    </row>
    <row r="368">
      <c r="A368" s="2" t="s">
        <v>2863</v>
      </c>
      <c r="B368" s="2" t="s">
        <v>2864</v>
      </c>
      <c r="C368" s="2" t="s">
        <v>2865</v>
      </c>
      <c r="D368" s="2" t="s">
        <v>2866</v>
      </c>
      <c r="E368" s="2" t="s">
        <v>2614</v>
      </c>
      <c r="F368" s="2" t="s">
        <v>1283</v>
      </c>
      <c r="G368" s="2" t="s">
        <v>2867</v>
      </c>
      <c r="H368" s="3" t="s">
        <v>31</v>
      </c>
      <c r="I368" s="3">
        <v>3.0</v>
      </c>
      <c r="J368" s="3">
        <v>1.0</v>
      </c>
      <c r="K368" s="3">
        <v>2.0</v>
      </c>
      <c r="L368" s="4" t="s">
        <v>31</v>
      </c>
      <c r="M368" s="2" t="s">
        <v>2868</v>
      </c>
      <c r="N368" s="2" t="s">
        <v>75</v>
      </c>
      <c r="O368" s="4" t="s">
        <v>76</v>
      </c>
      <c r="P368" s="2" t="s">
        <v>2617</v>
      </c>
      <c r="Q368" s="2" t="s">
        <v>31</v>
      </c>
      <c r="R368" s="2" t="s">
        <v>75</v>
      </c>
      <c r="S368" s="4" t="s">
        <v>1432</v>
      </c>
      <c r="T368" s="2" t="s">
        <v>66</v>
      </c>
      <c r="U368" s="4" t="s">
        <v>31</v>
      </c>
      <c r="V368" s="2" t="s">
        <v>1283</v>
      </c>
      <c r="W368" s="2" t="s">
        <v>2614</v>
      </c>
      <c r="X368" s="5" t="str">
        <f>HYPERLINK("https://my.pitchbook.com?p=408490-75P","View People Online")</f>
        <v>View People Online</v>
      </c>
    </row>
    <row r="369">
      <c r="A369" s="14" t="s">
        <v>2869</v>
      </c>
      <c r="B369" s="14" t="s">
        <v>2870</v>
      </c>
      <c r="C369" s="14" t="s">
        <v>2871</v>
      </c>
      <c r="D369" s="14" t="s">
        <v>2872</v>
      </c>
      <c r="E369" s="14" t="s">
        <v>2614</v>
      </c>
      <c r="F369" s="14" t="s">
        <v>57</v>
      </c>
      <c r="G369" s="14" t="s">
        <v>2873</v>
      </c>
      <c r="H369" s="15" t="s">
        <v>31</v>
      </c>
      <c r="I369" s="15">
        <v>2.0</v>
      </c>
      <c r="J369" s="15">
        <v>1.0</v>
      </c>
      <c r="K369" s="15">
        <v>1.0</v>
      </c>
      <c r="L369" s="16" t="s">
        <v>2874</v>
      </c>
      <c r="M369" s="14" t="s">
        <v>2875</v>
      </c>
      <c r="N369" s="14" t="s">
        <v>2876</v>
      </c>
      <c r="O369" s="16" t="s">
        <v>2877</v>
      </c>
      <c r="P369" s="14" t="s">
        <v>2878</v>
      </c>
      <c r="Q369" s="14" t="s">
        <v>31</v>
      </c>
      <c r="R369" s="14" t="s">
        <v>31</v>
      </c>
      <c r="S369" s="16" t="s">
        <v>2879</v>
      </c>
      <c r="T369" s="14" t="s">
        <v>2880</v>
      </c>
      <c r="U369" s="16" t="s">
        <v>31</v>
      </c>
      <c r="V369" s="14" t="s">
        <v>57</v>
      </c>
      <c r="W369" s="14" t="s">
        <v>2614</v>
      </c>
      <c r="X369" s="17" t="str">
        <f>HYPERLINK("https://my.pitchbook.com?p=302527-90P","View People Online")</f>
        <v>View People Online</v>
      </c>
    </row>
    <row r="370">
      <c r="A370" s="10" t="s">
        <v>2881</v>
      </c>
      <c r="B370" s="10" t="s">
        <v>2882</v>
      </c>
      <c r="C370" s="10" t="s">
        <v>2883</v>
      </c>
      <c r="D370" s="10" t="s">
        <v>2884</v>
      </c>
      <c r="E370" s="10" t="s">
        <v>2614</v>
      </c>
      <c r="F370" s="10" t="s">
        <v>29</v>
      </c>
      <c r="G370" s="10" t="s">
        <v>2885</v>
      </c>
      <c r="H370" s="11" t="s">
        <v>31</v>
      </c>
      <c r="I370" s="11">
        <v>10.0</v>
      </c>
      <c r="J370" s="11">
        <v>2.0</v>
      </c>
      <c r="K370" s="11">
        <v>8.0</v>
      </c>
      <c r="L370" s="12" t="s">
        <v>2716</v>
      </c>
      <c r="M370" s="10" t="s">
        <v>2886</v>
      </c>
      <c r="N370" s="10" t="s">
        <v>1024</v>
      </c>
      <c r="O370" s="12" t="s">
        <v>2718</v>
      </c>
      <c r="P370" s="10" t="s">
        <v>2719</v>
      </c>
      <c r="Q370" s="10" t="s">
        <v>2720</v>
      </c>
      <c r="R370" s="10" t="s">
        <v>31</v>
      </c>
      <c r="S370" s="12" t="s">
        <v>31</v>
      </c>
      <c r="T370" s="10" t="s">
        <v>2721</v>
      </c>
      <c r="U370" s="12" t="s">
        <v>31</v>
      </c>
      <c r="V370" s="10" t="s">
        <v>29</v>
      </c>
      <c r="W370" s="10" t="s">
        <v>2722</v>
      </c>
      <c r="X370" s="13" t="str">
        <f>HYPERLINK("https://my.pitchbook.com?p=113887-72P","View People Online")</f>
        <v>View People Online</v>
      </c>
    </row>
    <row r="371">
      <c r="A371" s="14" t="s">
        <v>2887</v>
      </c>
      <c r="B371" s="14" t="s">
        <v>2888</v>
      </c>
      <c r="C371" s="14" t="s">
        <v>2889</v>
      </c>
      <c r="D371" s="14" t="s">
        <v>2890</v>
      </c>
      <c r="E371" s="14" t="s">
        <v>2614</v>
      </c>
      <c r="F371" s="14" t="s">
        <v>57</v>
      </c>
      <c r="G371" s="14" t="s">
        <v>2891</v>
      </c>
      <c r="H371" s="15" t="s">
        <v>31</v>
      </c>
      <c r="I371" s="15">
        <v>9.0</v>
      </c>
      <c r="J371" s="15">
        <v>1.0</v>
      </c>
      <c r="K371" s="15">
        <v>6.0</v>
      </c>
      <c r="L371" s="16" t="s">
        <v>2632</v>
      </c>
      <c r="M371" s="14" t="s">
        <v>2892</v>
      </c>
      <c r="N371" s="14" t="s">
        <v>2273</v>
      </c>
      <c r="O371" s="16" t="s">
        <v>2274</v>
      </c>
      <c r="P371" s="14" t="s">
        <v>2634</v>
      </c>
      <c r="Q371" s="14" t="s">
        <v>31</v>
      </c>
      <c r="R371" s="14" t="s">
        <v>31</v>
      </c>
      <c r="S371" s="16" t="s">
        <v>2635</v>
      </c>
      <c r="T371" s="14" t="s">
        <v>2278</v>
      </c>
      <c r="U371" s="16" t="s">
        <v>31</v>
      </c>
      <c r="V371" s="14" t="s">
        <v>57</v>
      </c>
      <c r="W371" s="14" t="s">
        <v>2614</v>
      </c>
      <c r="X371" s="17" t="str">
        <f>HYPERLINK("https://my.pitchbook.com?p=48840-67P","View People Online")</f>
        <v>View People Online</v>
      </c>
    </row>
    <row r="372">
      <c r="A372" s="10" t="s">
        <v>2893</v>
      </c>
      <c r="B372" s="10" t="s">
        <v>2894</v>
      </c>
      <c r="C372" s="10" t="s">
        <v>2895</v>
      </c>
      <c r="D372" s="10" t="s">
        <v>2896</v>
      </c>
      <c r="E372" s="10" t="s">
        <v>2614</v>
      </c>
      <c r="F372" s="10" t="s">
        <v>57</v>
      </c>
      <c r="G372" s="10" t="s">
        <v>2897</v>
      </c>
      <c r="H372" s="11" t="s">
        <v>31</v>
      </c>
      <c r="I372" s="11">
        <v>2.0</v>
      </c>
      <c r="J372" s="11">
        <v>1.0</v>
      </c>
      <c r="K372" s="11">
        <v>1.0</v>
      </c>
      <c r="L372" s="12" t="s">
        <v>2632</v>
      </c>
      <c r="M372" s="10" t="s">
        <v>2898</v>
      </c>
      <c r="N372" s="10" t="s">
        <v>2273</v>
      </c>
      <c r="O372" s="12" t="s">
        <v>2274</v>
      </c>
      <c r="P372" s="10" t="s">
        <v>2634</v>
      </c>
      <c r="Q372" s="10" t="s">
        <v>31</v>
      </c>
      <c r="R372" s="10" t="s">
        <v>31</v>
      </c>
      <c r="S372" s="12" t="s">
        <v>2635</v>
      </c>
      <c r="T372" s="10" t="s">
        <v>2278</v>
      </c>
      <c r="U372" s="12" t="s">
        <v>31</v>
      </c>
      <c r="V372" s="10" t="s">
        <v>57</v>
      </c>
      <c r="W372" s="10" t="s">
        <v>2614</v>
      </c>
      <c r="X372" s="13" t="str">
        <f>HYPERLINK("https://my.pitchbook.com?p=146119-78P","View People Online")</f>
        <v>View People Online</v>
      </c>
    </row>
    <row r="373">
      <c r="A373" s="14" t="s">
        <v>2899</v>
      </c>
      <c r="B373" s="14" t="s">
        <v>2900</v>
      </c>
      <c r="C373" s="14" t="s">
        <v>2895</v>
      </c>
      <c r="D373" s="14" t="s">
        <v>2901</v>
      </c>
      <c r="E373" s="14" t="s">
        <v>2614</v>
      </c>
      <c r="F373" s="14" t="s">
        <v>29</v>
      </c>
      <c r="G373" s="14" t="s">
        <v>2902</v>
      </c>
      <c r="H373" s="15" t="s">
        <v>31</v>
      </c>
      <c r="I373" s="15">
        <v>3.0</v>
      </c>
      <c r="J373" s="15">
        <v>2.0</v>
      </c>
      <c r="K373" s="15">
        <v>1.0</v>
      </c>
      <c r="L373" s="16" t="s">
        <v>2716</v>
      </c>
      <c r="M373" s="14" t="s">
        <v>2903</v>
      </c>
      <c r="N373" s="14" t="s">
        <v>1024</v>
      </c>
      <c r="O373" s="16" t="s">
        <v>2718</v>
      </c>
      <c r="P373" s="14" t="s">
        <v>2904</v>
      </c>
      <c r="Q373" s="14" t="s">
        <v>2905</v>
      </c>
      <c r="R373" s="14" t="s">
        <v>31</v>
      </c>
      <c r="S373" s="16" t="s">
        <v>31</v>
      </c>
      <c r="T373" s="14" t="s">
        <v>2721</v>
      </c>
      <c r="U373" s="16" t="s">
        <v>31</v>
      </c>
      <c r="V373" s="14" t="s">
        <v>29</v>
      </c>
      <c r="W373" s="14" t="s">
        <v>2614</v>
      </c>
      <c r="X373" s="17" t="str">
        <f>HYPERLINK("https://my.pitchbook.com?p=160898-05P","View People Online")</f>
        <v>View People Online</v>
      </c>
    </row>
    <row r="374">
      <c r="A374" s="10" t="s">
        <v>2906</v>
      </c>
      <c r="B374" s="10" t="s">
        <v>2907</v>
      </c>
      <c r="C374" s="10" t="s">
        <v>2908</v>
      </c>
      <c r="D374" s="10" t="s">
        <v>2909</v>
      </c>
      <c r="E374" s="10" t="s">
        <v>2614</v>
      </c>
      <c r="F374" s="10" t="s">
        <v>1134</v>
      </c>
      <c r="G374" s="10" t="s">
        <v>2910</v>
      </c>
      <c r="H374" s="11" t="s">
        <v>31</v>
      </c>
      <c r="I374" s="11">
        <v>8.0</v>
      </c>
      <c r="J374" s="11">
        <v>2.0</v>
      </c>
      <c r="K374" s="11">
        <v>6.0</v>
      </c>
      <c r="L374" s="12" t="s">
        <v>2911</v>
      </c>
      <c r="M374" s="10" t="s">
        <v>2912</v>
      </c>
      <c r="N374" s="10" t="s">
        <v>2913</v>
      </c>
      <c r="O374" s="12" t="s">
        <v>2914</v>
      </c>
      <c r="P374" s="10" t="s">
        <v>2915</v>
      </c>
      <c r="Q374" s="10" t="s">
        <v>2916</v>
      </c>
      <c r="R374" s="10" t="s">
        <v>31</v>
      </c>
      <c r="S374" s="12" t="s">
        <v>31</v>
      </c>
      <c r="T374" s="10" t="s">
        <v>2917</v>
      </c>
      <c r="U374" s="12" t="s">
        <v>31</v>
      </c>
      <c r="V374" s="10" t="s">
        <v>2918</v>
      </c>
      <c r="W374" s="10" t="s">
        <v>2614</v>
      </c>
      <c r="X374" s="13" t="str">
        <f>HYPERLINK("https://my.pitchbook.com?p=160897-33P","View People Online")</f>
        <v>View People Online</v>
      </c>
    </row>
    <row r="375">
      <c r="A375" s="14" t="s">
        <v>2919</v>
      </c>
      <c r="B375" s="14" t="s">
        <v>2920</v>
      </c>
      <c r="C375" s="14" t="s">
        <v>2921</v>
      </c>
      <c r="D375" s="14" t="s">
        <v>2922</v>
      </c>
      <c r="E375" s="14" t="s">
        <v>2614</v>
      </c>
      <c r="F375" s="14" t="s">
        <v>1283</v>
      </c>
      <c r="G375" s="14" t="s">
        <v>2923</v>
      </c>
      <c r="H375" s="15" t="s">
        <v>31</v>
      </c>
      <c r="I375" s="15">
        <v>1.0</v>
      </c>
      <c r="J375" s="15">
        <v>1.0</v>
      </c>
      <c r="K375" s="15" t="s">
        <v>31</v>
      </c>
      <c r="L375" s="16" t="s">
        <v>2623</v>
      </c>
      <c r="M375" s="14" t="s">
        <v>2924</v>
      </c>
      <c r="N375" s="14" t="s">
        <v>243</v>
      </c>
      <c r="O375" s="16" t="s">
        <v>244</v>
      </c>
      <c r="P375" s="14" t="s">
        <v>2625</v>
      </c>
      <c r="Q375" s="14" t="s">
        <v>31</v>
      </c>
      <c r="R375" s="14" t="s">
        <v>247</v>
      </c>
      <c r="S375" s="16" t="s">
        <v>2626</v>
      </c>
      <c r="T375" s="14" t="s">
        <v>249</v>
      </c>
      <c r="U375" s="16" t="s">
        <v>31</v>
      </c>
      <c r="V375" s="14" t="s">
        <v>1283</v>
      </c>
      <c r="W375" s="14" t="s">
        <v>2614</v>
      </c>
      <c r="X375" s="17" t="str">
        <f>HYPERLINK("https://my.pitchbook.com?p=408508-57P","View People Online")</f>
        <v>View People Online</v>
      </c>
    </row>
    <row r="376">
      <c r="A376" s="10" t="s">
        <v>2925</v>
      </c>
      <c r="B376" s="10" t="s">
        <v>2926</v>
      </c>
      <c r="C376" s="10" t="s">
        <v>2927</v>
      </c>
      <c r="D376" s="10" t="s">
        <v>2928</v>
      </c>
      <c r="E376" s="10" t="s">
        <v>2614</v>
      </c>
      <c r="F376" s="10" t="s">
        <v>1283</v>
      </c>
      <c r="G376" s="10" t="s">
        <v>2929</v>
      </c>
      <c r="H376" s="11" t="s">
        <v>31</v>
      </c>
      <c r="I376" s="11">
        <v>1.0</v>
      </c>
      <c r="J376" s="11">
        <v>1.0</v>
      </c>
      <c r="K376" s="11" t="s">
        <v>31</v>
      </c>
      <c r="L376" s="12" t="s">
        <v>2632</v>
      </c>
      <c r="M376" s="10" t="s">
        <v>2930</v>
      </c>
      <c r="N376" s="10" t="s">
        <v>2273</v>
      </c>
      <c r="O376" s="12" t="s">
        <v>2274</v>
      </c>
      <c r="P376" s="10" t="s">
        <v>2634</v>
      </c>
      <c r="Q376" s="10" t="s">
        <v>31</v>
      </c>
      <c r="R376" s="10" t="s">
        <v>31</v>
      </c>
      <c r="S376" s="12" t="s">
        <v>2635</v>
      </c>
      <c r="T376" s="10" t="s">
        <v>2278</v>
      </c>
      <c r="U376" s="12" t="s">
        <v>31</v>
      </c>
      <c r="V376" s="10" t="s">
        <v>1283</v>
      </c>
      <c r="W376" s="10" t="s">
        <v>2614</v>
      </c>
      <c r="X376" s="13" t="str">
        <f>HYPERLINK("https://my.pitchbook.com?p=389466-10P","View People Online")</f>
        <v>View People Online</v>
      </c>
    </row>
    <row r="377">
      <c r="A377" s="14" t="s">
        <v>2931</v>
      </c>
      <c r="B377" s="14" t="s">
        <v>2932</v>
      </c>
      <c r="C377" s="14" t="s">
        <v>2933</v>
      </c>
      <c r="D377" s="14" t="s">
        <v>2934</v>
      </c>
      <c r="E377" s="14" t="s">
        <v>2614</v>
      </c>
      <c r="F377" s="14" t="s">
        <v>1249</v>
      </c>
      <c r="G377" s="14" t="s">
        <v>2935</v>
      </c>
      <c r="H377" s="15">
        <v>1.0</v>
      </c>
      <c r="I377" s="15">
        <v>2.0</v>
      </c>
      <c r="J377" s="15">
        <v>1.0</v>
      </c>
      <c r="K377" s="15">
        <v>1.0</v>
      </c>
      <c r="L377" s="16" t="s">
        <v>2632</v>
      </c>
      <c r="M377" s="14" t="s">
        <v>2936</v>
      </c>
      <c r="N377" s="14" t="s">
        <v>2273</v>
      </c>
      <c r="O377" s="16" t="s">
        <v>2274</v>
      </c>
      <c r="P377" s="14" t="s">
        <v>2634</v>
      </c>
      <c r="Q377" s="14" t="s">
        <v>31</v>
      </c>
      <c r="R377" s="14" t="s">
        <v>31</v>
      </c>
      <c r="S377" s="16" t="s">
        <v>2635</v>
      </c>
      <c r="T377" s="14" t="s">
        <v>2278</v>
      </c>
      <c r="U377" s="16" t="s">
        <v>31</v>
      </c>
      <c r="V377" s="14" t="s">
        <v>2937</v>
      </c>
      <c r="W377" s="14" t="s">
        <v>2614</v>
      </c>
      <c r="X377" s="17" t="str">
        <f>HYPERLINK("https://my.pitchbook.com?p=160895-89P","View People Online")</f>
        <v>View People Online</v>
      </c>
    </row>
    <row r="378">
      <c r="A378" s="10" t="s">
        <v>2938</v>
      </c>
      <c r="B378" s="10" t="s">
        <v>2939</v>
      </c>
      <c r="C378" s="10" t="s">
        <v>2933</v>
      </c>
      <c r="D378" s="10" t="s">
        <v>2940</v>
      </c>
      <c r="E378" s="10" t="s">
        <v>2614</v>
      </c>
      <c r="F378" s="10" t="s">
        <v>1283</v>
      </c>
      <c r="G378" s="10" t="s">
        <v>2941</v>
      </c>
      <c r="H378" s="11">
        <v>1.0</v>
      </c>
      <c r="I378" s="11">
        <v>5.0</v>
      </c>
      <c r="J378" s="11">
        <v>1.0</v>
      </c>
      <c r="K378" s="11">
        <v>2.0</v>
      </c>
      <c r="L378" s="12" t="s">
        <v>2632</v>
      </c>
      <c r="M378" s="10" t="s">
        <v>2942</v>
      </c>
      <c r="N378" s="10" t="s">
        <v>2273</v>
      </c>
      <c r="O378" s="12" t="s">
        <v>2274</v>
      </c>
      <c r="P378" s="10" t="s">
        <v>2634</v>
      </c>
      <c r="Q378" s="10" t="s">
        <v>31</v>
      </c>
      <c r="R378" s="10" t="s">
        <v>31</v>
      </c>
      <c r="S378" s="12" t="s">
        <v>2635</v>
      </c>
      <c r="T378" s="10" t="s">
        <v>2278</v>
      </c>
      <c r="U378" s="12" t="s">
        <v>31</v>
      </c>
      <c r="V378" s="10" t="s">
        <v>1283</v>
      </c>
      <c r="W378" s="10" t="s">
        <v>2614</v>
      </c>
      <c r="X378" s="13" t="str">
        <f>HYPERLINK("https://my.pitchbook.com?p=303448-06P","View People Online")</f>
        <v>View People Online</v>
      </c>
    </row>
    <row r="379">
      <c r="A379" s="14" t="s">
        <v>2943</v>
      </c>
      <c r="B379" s="14" t="s">
        <v>2944</v>
      </c>
      <c r="C379" s="14" t="s">
        <v>2933</v>
      </c>
      <c r="D379" s="14" t="s">
        <v>2945</v>
      </c>
      <c r="E379" s="14" t="s">
        <v>2614</v>
      </c>
      <c r="F379" s="14" t="s">
        <v>29</v>
      </c>
      <c r="G379" s="14" t="s">
        <v>2946</v>
      </c>
      <c r="H379" s="15" t="s">
        <v>31</v>
      </c>
      <c r="I379" s="15">
        <v>3.0</v>
      </c>
      <c r="J379" s="15">
        <v>1.0</v>
      </c>
      <c r="K379" s="15">
        <v>2.0</v>
      </c>
      <c r="L379" s="16" t="s">
        <v>2632</v>
      </c>
      <c r="M379" s="14" t="s">
        <v>2947</v>
      </c>
      <c r="N379" s="14" t="s">
        <v>2273</v>
      </c>
      <c r="O379" s="16" t="s">
        <v>2274</v>
      </c>
      <c r="P379" s="14" t="s">
        <v>2634</v>
      </c>
      <c r="Q379" s="14" t="s">
        <v>31</v>
      </c>
      <c r="R379" s="14" t="s">
        <v>31</v>
      </c>
      <c r="S379" s="16" t="s">
        <v>2635</v>
      </c>
      <c r="T379" s="14" t="s">
        <v>2278</v>
      </c>
      <c r="U379" s="16" t="s">
        <v>31</v>
      </c>
      <c r="V379" s="14" t="s">
        <v>29</v>
      </c>
      <c r="W379" s="14" t="s">
        <v>2614</v>
      </c>
      <c r="X379" s="17" t="str">
        <f>HYPERLINK("https://my.pitchbook.com?p=193468-15P","View People Online")</f>
        <v>View People Online</v>
      </c>
    </row>
    <row r="380">
      <c r="A380" s="10" t="s">
        <v>2948</v>
      </c>
      <c r="B380" s="10" t="s">
        <v>2949</v>
      </c>
      <c r="C380" s="10" t="s">
        <v>2950</v>
      </c>
      <c r="D380" s="10" t="s">
        <v>2951</v>
      </c>
      <c r="E380" s="10" t="s">
        <v>2614</v>
      </c>
      <c r="F380" s="10" t="s">
        <v>667</v>
      </c>
      <c r="G380" s="10" t="s">
        <v>2952</v>
      </c>
      <c r="H380" s="11" t="s">
        <v>31</v>
      </c>
      <c r="I380" s="11">
        <v>1.0</v>
      </c>
      <c r="J380" s="11">
        <v>1.0</v>
      </c>
      <c r="K380" s="11" t="s">
        <v>31</v>
      </c>
      <c r="L380" s="12" t="s">
        <v>2632</v>
      </c>
      <c r="M380" s="10" t="s">
        <v>2953</v>
      </c>
      <c r="N380" s="10" t="s">
        <v>2273</v>
      </c>
      <c r="O380" s="12" t="s">
        <v>2274</v>
      </c>
      <c r="P380" s="10" t="s">
        <v>2634</v>
      </c>
      <c r="Q380" s="10" t="s">
        <v>31</v>
      </c>
      <c r="R380" s="10" t="s">
        <v>31</v>
      </c>
      <c r="S380" s="12" t="s">
        <v>2635</v>
      </c>
      <c r="T380" s="10" t="s">
        <v>2278</v>
      </c>
      <c r="U380" s="12" t="s">
        <v>31</v>
      </c>
      <c r="V380" s="10" t="s">
        <v>2954</v>
      </c>
      <c r="W380" s="10" t="s">
        <v>2614</v>
      </c>
      <c r="X380" s="13" t="str">
        <f>HYPERLINK("https://my.pitchbook.com?p=354059-38P","View People Online")</f>
        <v>View People Online</v>
      </c>
    </row>
    <row r="381">
      <c r="A381" s="14" t="s">
        <v>2955</v>
      </c>
      <c r="B381" s="14" t="s">
        <v>2956</v>
      </c>
      <c r="C381" s="14" t="s">
        <v>2957</v>
      </c>
      <c r="D381" s="14" t="s">
        <v>2958</v>
      </c>
      <c r="E381" s="14" t="s">
        <v>2614</v>
      </c>
      <c r="F381" s="14" t="s">
        <v>2199</v>
      </c>
      <c r="G381" s="14" t="s">
        <v>2959</v>
      </c>
      <c r="H381" s="15">
        <v>1.0</v>
      </c>
      <c r="I381" s="15">
        <v>8.0</v>
      </c>
      <c r="J381" s="15">
        <v>1.0</v>
      </c>
      <c r="K381" s="15">
        <v>3.0</v>
      </c>
      <c r="L381" s="16" t="s">
        <v>2632</v>
      </c>
      <c r="M381" s="14" t="s">
        <v>2960</v>
      </c>
      <c r="N381" s="14" t="s">
        <v>2273</v>
      </c>
      <c r="O381" s="16" t="s">
        <v>2274</v>
      </c>
      <c r="P381" s="14" t="s">
        <v>2634</v>
      </c>
      <c r="Q381" s="14" t="s">
        <v>31</v>
      </c>
      <c r="R381" s="14" t="s">
        <v>31</v>
      </c>
      <c r="S381" s="16" t="s">
        <v>2635</v>
      </c>
      <c r="T381" s="14" t="s">
        <v>2278</v>
      </c>
      <c r="U381" s="16" t="s">
        <v>31</v>
      </c>
      <c r="V381" s="14" t="s">
        <v>2961</v>
      </c>
      <c r="W381" s="14" t="s">
        <v>2614</v>
      </c>
      <c r="X381" s="17" t="str">
        <f>HYPERLINK("https://my.pitchbook.com?p=146101-78P","View People Online")</f>
        <v>View People Online</v>
      </c>
    </row>
    <row r="382">
      <c r="A382" s="10" t="s">
        <v>2962</v>
      </c>
      <c r="B382" s="10" t="s">
        <v>2963</v>
      </c>
      <c r="C382" s="10" t="s">
        <v>2964</v>
      </c>
      <c r="D382" s="10" t="s">
        <v>2965</v>
      </c>
      <c r="E382" s="10" t="s">
        <v>2614</v>
      </c>
      <c r="F382" s="10" t="s">
        <v>470</v>
      </c>
      <c r="G382" s="10" t="s">
        <v>2966</v>
      </c>
      <c r="H382" s="11" t="s">
        <v>31</v>
      </c>
      <c r="I382" s="11">
        <v>3.0</v>
      </c>
      <c r="J382" s="11">
        <v>1.0</v>
      </c>
      <c r="K382" s="11">
        <v>2.0</v>
      </c>
      <c r="L382" s="12" t="s">
        <v>2632</v>
      </c>
      <c r="M382" s="10" t="s">
        <v>2967</v>
      </c>
      <c r="N382" s="10" t="s">
        <v>2273</v>
      </c>
      <c r="O382" s="12" t="s">
        <v>2274</v>
      </c>
      <c r="P382" s="10" t="s">
        <v>2634</v>
      </c>
      <c r="Q382" s="10" t="s">
        <v>31</v>
      </c>
      <c r="R382" s="10" t="s">
        <v>31</v>
      </c>
      <c r="S382" s="12" t="s">
        <v>2635</v>
      </c>
      <c r="T382" s="10" t="s">
        <v>2278</v>
      </c>
      <c r="U382" s="12" t="s">
        <v>31</v>
      </c>
      <c r="V382" s="10" t="s">
        <v>2968</v>
      </c>
      <c r="W382" s="10" t="s">
        <v>2614</v>
      </c>
      <c r="X382" s="13" t="str">
        <f>HYPERLINK("https://my.pitchbook.com?p=145946-98P","View People Online")</f>
        <v>View People Online</v>
      </c>
    </row>
    <row r="383">
      <c r="A383" s="6" t="s">
        <v>2969</v>
      </c>
      <c r="B383" s="6" t="s">
        <v>2970</v>
      </c>
      <c r="C383" s="6" t="s">
        <v>2964</v>
      </c>
      <c r="D383" s="6" t="s">
        <v>2971</v>
      </c>
      <c r="E383" s="6" t="s">
        <v>2614</v>
      </c>
      <c r="F383" s="6" t="s">
        <v>371</v>
      </c>
      <c r="G383" s="6" t="s">
        <v>2972</v>
      </c>
      <c r="H383" s="7" t="s">
        <v>31</v>
      </c>
      <c r="I383" s="7">
        <v>1.0</v>
      </c>
      <c r="J383" s="7">
        <v>1.0</v>
      </c>
      <c r="K383" s="7" t="s">
        <v>31</v>
      </c>
      <c r="L383" s="8" t="s">
        <v>31</v>
      </c>
      <c r="M383" s="6" t="s">
        <v>2973</v>
      </c>
      <c r="N383" s="6" t="s">
        <v>75</v>
      </c>
      <c r="O383" s="8" t="s">
        <v>76</v>
      </c>
      <c r="P383" s="6" t="s">
        <v>2617</v>
      </c>
      <c r="Q383" s="6" t="s">
        <v>31</v>
      </c>
      <c r="R383" s="6" t="s">
        <v>75</v>
      </c>
      <c r="S383" s="8" t="s">
        <v>1432</v>
      </c>
      <c r="T383" s="6" t="s">
        <v>66</v>
      </c>
      <c r="U383" s="8" t="s">
        <v>31</v>
      </c>
      <c r="V383" s="6" t="s">
        <v>2974</v>
      </c>
      <c r="W383" s="6" t="s">
        <v>2614</v>
      </c>
      <c r="X383" s="9" t="str">
        <f>HYPERLINK("https://my.pitchbook.com?p=130050-64P","View People Online")</f>
        <v>View People Online</v>
      </c>
    </row>
    <row r="384">
      <c r="A384" s="2" t="s">
        <v>2975</v>
      </c>
      <c r="B384" s="2" t="s">
        <v>2976</v>
      </c>
      <c r="C384" s="2" t="s">
        <v>26</v>
      </c>
      <c r="D384" s="2" t="s">
        <v>2977</v>
      </c>
      <c r="E384" s="2" t="s">
        <v>2614</v>
      </c>
      <c r="F384" s="2" t="s">
        <v>1283</v>
      </c>
      <c r="G384" s="2" t="s">
        <v>2978</v>
      </c>
      <c r="H384" s="3" t="s">
        <v>31</v>
      </c>
      <c r="I384" s="3">
        <v>16.0</v>
      </c>
      <c r="J384" s="3">
        <v>1.0</v>
      </c>
      <c r="K384" s="3">
        <v>15.0</v>
      </c>
      <c r="L384" s="4" t="s">
        <v>31</v>
      </c>
      <c r="M384" s="2" t="s">
        <v>2979</v>
      </c>
      <c r="N384" s="2" t="s">
        <v>75</v>
      </c>
      <c r="O384" s="4" t="s">
        <v>76</v>
      </c>
      <c r="P384" s="2" t="s">
        <v>2617</v>
      </c>
      <c r="Q384" s="2" t="s">
        <v>31</v>
      </c>
      <c r="R384" s="2" t="s">
        <v>75</v>
      </c>
      <c r="S384" s="4" t="s">
        <v>1432</v>
      </c>
      <c r="T384" s="2" t="s">
        <v>66</v>
      </c>
      <c r="U384" s="4" t="s">
        <v>31</v>
      </c>
      <c r="V384" s="2" t="s">
        <v>1283</v>
      </c>
      <c r="W384" s="2" t="s">
        <v>2614</v>
      </c>
      <c r="X384" s="5" t="str">
        <f>HYPERLINK("https://my.pitchbook.com?p=30522-97P","View People Online")</f>
        <v>View People Online</v>
      </c>
    </row>
    <row r="385">
      <c r="A385" s="14" t="s">
        <v>2980</v>
      </c>
      <c r="B385" s="14" t="s">
        <v>2981</v>
      </c>
      <c r="C385" s="14" t="s">
        <v>2982</v>
      </c>
      <c r="D385" s="14" t="s">
        <v>2983</v>
      </c>
      <c r="E385" s="14" t="s">
        <v>2614</v>
      </c>
      <c r="F385" s="14" t="s">
        <v>29</v>
      </c>
      <c r="G385" s="14" t="s">
        <v>2984</v>
      </c>
      <c r="H385" s="15" t="s">
        <v>31</v>
      </c>
      <c r="I385" s="15">
        <v>1.0</v>
      </c>
      <c r="J385" s="15">
        <v>1.0</v>
      </c>
      <c r="K385" s="15" t="s">
        <v>31</v>
      </c>
      <c r="L385" s="16" t="s">
        <v>2640</v>
      </c>
      <c r="M385" s="14" t="s">
        <v>2985</v>
      </c>
      <c r="N385" s="14" t="s">
        <v>429</v>
      </c>
      <c r="O385" s="16" t="s">
        <v>430</v>
      </c>
      <c r="P385" s="14" t="s">
        <v>2642</v>
      </c>
      <c r="Q385" s="14" t="s">
        <v>31</v>
      </c>
      <c r="R385" s="14" t="s">
        <v>31</v>
      </c>
      <c r="S385" s="16" t="s">
        <v>432</v>
      </c>
      <c r="T385" s="14" t="s">
        <v>433</v>
      </c>
      <c r="U385" s="16" t="s">
        <v>31</v>
      </c>
      <c r="V385" s="14" t="s">
        <v>29</v>
      </c>
      <c r="W385" s="14" t="s">
        <v>2614</v>
      </c>
      <c r="X385" s="17" t="str">
        <f>HYPERLINK("https://my.pitchbook.com?p=408517-84P","View People Online")</f>
        <v>View People Online</v>
      </c>
    </row>
    <row r="386">
      <c r="A386" s="2" t="s">
        <v>2986</v>
      </c>
      <c r="B386" s="2" t="s">
        <v>2987</v>
      </c>
      <c r="C386" s="2" t="s">
        <v>350</v>
      </c>
      <c r="D386" s="2" t="s">
        <v>2988</v>
      </c>
      <c r="E386" s="2" t="s">
        <v>2614</v>
      </c>
      <c r="F386" s="2" t="s">
        <v>2731</v>
      </c>
      <c r="G386" s="2" t="s">
        <v>2989</v>
      </c>
      <c r="H386" s="3" t="s">
        <v>31</v>
      </c>
      <c r="I386" s="3">
        <v>1.0</v>
      </c>
      <c r="J386" s="3" t="s">
        <v>31</v>
      </c>
      <c r="K386" s="3" t="s">
        <v>31</v>
      </c>
      <c r="L386" s="4" t="s">
        <v>2623</v>
      </c>
      <c r="M386" s="2" t="s">
        <v>31</v>
      </c>
      <c r="N386" s="2" t="s">
        <v>243</v>
      </c>
      <c r="O386" s="4" t="s">
        <v>244</v>
      </c>
      <c r="P386" s="2" t="s">
        <v>2625</v>
      </c>
      <c r="Q386" s="2" t="s">
        <v>31</v>
      </c>
      <c r="R386" s="2" t="s">
        <v>247</v>
      </c>
      <c r="S386" s="4" t="s">
        <v>2626</v>
      </c>
      <c r="T386" s="2" t="s">
        <v>249</v>
      </c>
      <c r="U386" s="4" t="s">
        <v>31</v>
      </c>
      <c r="V386" s="2" t="s">
        <v>2731</v>
      </c>
      <c r="W386" s="2" t="s">
        <v>2614</v>
      </c>
      <c r="X386" s="5" t="str">
        <f>HYPERLINK("https://my.pitchbook.com?p=415552-96P","View People Online")</f>
        <v>View People Online</v>
      </c>
    </row>
    <row r="387">
      <c r="A387" s="6" t="s">
        <v>2990</v>
      </c>
      <c r="B387" s="6" t="s">
        <v>2991</v>
      </c>
      <c r="C387" s="6" t="s">
        <v>2992</v>
      </c>
      <c r="D387" s="6" t="s">
        <v>2993</v>
      </c>
      <c r="E387" s="6" t="s">
        <v>2614</v>
      </c>
      <c r="F387" s="6" t="s">
        <v>2994</v>
      </c>
      <c r="G387" s="6" t="s">
        <v>2995</v>
      </c>
      <c r="H387" s="7">
        <v>1.0</v>
      </c>
      <c r="I387" s="7">
        <v>6.0</v>
      </c>
      <c r="J387" s="7">
        <v>1.0</v>
      </c>
      <c r="K387" s="7">
        <v>4.0</v>
      </c>
      <c r="L387" s="8" t="s">
        <v>2632</v>
      </c>
      <c r="M387" s="6" t="s">
        <v>2996</v>
      </c>
      <c r="N387" s="6" t="s">
        <v>2273</v>
      </c>
      <c r="O387" s="8" t="s">
        <v>2274</v>
      </c>
      <c r="P387" s="6" t="s">
        <v>2634</v>
      </c>
      <c r="Q387" s="6" t="s">
        <v>31</v>
      </c>
      <c r="R387" s="6" t="s">
        <v>31</v>
      </c>
      <c r="S387" s="8" t="s">
        <v>2635</v>
      </c>
      <c r="T387" s="6" t="s">
        <v>2278</v>
      </c>
      <c r="U387" s="8" t="s">
        <v>31</v>
      </c>
      <c r="V387" s="6" t="s">
        <v>2997</v>
      </c>
      <c r="W387" s="6" t="s">
        <v>2614</v>
      </c>
      <c r="X387" s="9" t="str">
        <f>HYPERLINK("https://my.pitchbook.com?p=146120-59P","View People Online")</f>
        <v>View People Online</v>
      </c>
    </row>
    <row r="388">
      <c r="A388" s="2" t="s">
        <v>2998</v>
      </c>
      <c r="B388" s="2" t="s">
        <v>2999</v>
      </c>
      <c r="C388" s="2" t="s">
        <v>1616</v>
      </c>
      <c r="D388" s="2" t="s">
        <v>3000</v>
      </c>
      <c r="E388" s="2" t="s">
        <v>2614</v>
      </c>
      <c r="F388" s="2" t="s">
        <v>548</v>
      </c>
      <c r="G388" s="2" t="s">
        <v>3001</v>
      </c>
      <c r="H388" s="3" t="s">
        <v>31</v>
      </c>
      <c r="I388" s="3">
        <v>2.0</v>
      </c>
      <c r="J388" s="3">
        <v>1.0</v>
      </c>
      <c r="K388" s="3">
        <v>1.0</v>
      </c>
      <c r="L388" s="4" t="s">
        <v>31</v>
      </c>
      <c r="M388" s="2" t="s">
        <v>3002</v>
      </c>
      <c r="N388" s="2" t="s">
        <v>75</v>
      </c>
      <c r="O388" s="4" t="s">
        <v>76</v>
      </c>
      <c r="P388" s="2" t="s">
        <v>2617</v>
      </c>
      <c r="Q388" s="2" t="s">
        <v>31</v>
      </c>
      <c r="R388" s="2" t="s">
        <v>75</v>
      </c>
      <c r="S388" s="4" t="s">
        <v>1432</v>
      </c>
      <c r="T388" s="2" t="s">
        <v>66</v>
      </c>
      <c r="U388" s="4" t="s">
        <v>31</v>
      </c>
      <c r="V388" s="2" t="s">
        <v>548</v>
      </c>
      <c r="W388" s="2" t="s">
        <v>2614</v>
      </c>
      <c r="X388" s="5" t="str">
        <f>HYPERLINK("https://my.pitchbook.com?p=428198-77P","View People Online")</f>
        <v>View People Online</v>
      </c>
    </row>
    <row r="389">
      <c r="A389" s="6" t="s">
        <v>3003</v>
      </c>
      <c r="B389" s="6" t="s">
        <v>3004</v>
      </c>
      <c r="C389" s="6" t="s">
        <v>3005</v>
      </c>
      <c r="D389" s="6" t="s">
        <v>3006</v>
      </c>
      <c r="E389" s="6" t="s">
        <v>2614</v>
      </c>
      <c r="F389" s="6" t="s">
        <v>57</v>
      </c>
      <c r="G389" s="6" t="s">
        <v>3007</v>
      </c>
      <c r="H389" s="7" t="s">
        <v>31</v>
      </c>
      <c r="I389" s="7">
        <v>8.0</v>
      </c>
      <c r="J389" s="7">
        <v>1.0</v>
      </c>
      <c r="K389" s="7">
        <v>7.0</v>
      </c>
      <c r="L389" s="8" t="s">
        <v>2762</v>
      </c>
      <c r="M389" s="6" t="s">
        <v>3008</v>
      </c>
      <c r="N389" s="6" t="s">
        <v>2764</v>
      </c>
      <c r="O389" s="8" t="s">
        <v>2765</v>
      </c>
      <c r="P389" s="6" t="s">
        <v>2766</v>
      </c>
      <c r="Q389" s="6" t="s">
        <v>31</v>
      </c>
      <c r="R389" s="6" t="s">
        <v>31</v>
      </c>
      <c r="S389" s="8" t="s">
        <v>2767</v>
      </c>
      <c r="T389" s="6" t="s">
        <v>2768</v>
      </c>
      <c r="U389" s="8" t="s">
        <v>31</v>
      </c>
      <c r="V389" s="6" t="s">
        <v>57</v>
      </c>
      <c r="W389" s="6" t="s">
        <v>2614</v>
      </c>
      <c r="X389" s="9" t="str">
        <f>HYPERLINK("https://my.pitchbook.com?p=279172-99P","View People Online")</f>
        <v>View People Online</v>
      </c>
    </row>
    <row r="390">
      <c r="A390" s="10" t="s">
        <v>3009</v>
      </c>
      <c r="B390" s="10" t="s">
        <v>3010</v>
      </c>
      <c r="C390" s="10" t="s">
        <v>1356</v>
      </c>
      <c r="D390" s="10" t="s">
        <v>3011</v>
      </c>
      <c r="E390" s="10" t="s">
        <v>2614</v>
      </c>
      <c r="F390" s="10" t="s">
        <v>548</v>
      </c>
      <c r="G390" s="10" t="s">
        <v>3012</v>
      </c>
      <c r="H390" s="11" t="s">
        <v>31</v>
      </c>
      <c r="I390" s="11">
        <v>3.0</v>
      </c>
      <c r="J390" s="11">
        <v>1.0</v>
      </c>
      <c r="K390" s="11">
        <v>2.0</v>
      </c>
      <c r="L390" s="12" t="s">
        <v>2654</v>
      </c>
      <c r="M390" s="10" t="s">
        <v>3013</v>
      </c>
      <c r="N390" s="10" t="s">
        <v>1181</v>
      </c>
      <c r="O390" s="12" t="s">
        <v>1182</v>
      </c>
      <c r="P390" s="10" t="s">
        <v>3014</v>
      </c>
      <c r="Q390" s="10" t="s">
        <v>3015</v>
      </c>
      <c r="R390" s="10" t="s">
        <v>1185</v>
      </c>
      <c r="S390" s="12" t="s">
        <v>1186</v>
      </c>
      <c r="T390" s="10" t="s">
        <v>66</v>
      </c>
      <c r="U390" s="12" t="s">
        <v>31</v>
      </c>
      <c r="V390" s="10" t="s">
        <v>548</v>
      </c>
      <c r="W390" s="10" t="s">
        <v>2614</v>
      </c>
      <c r="X390" s="13" t="str">
        <f>HYPERLINK("https://my.pitchbook.com?p=202723-30P","View People Online")</f>
        <v>View People Online</v>
      </c>
    </row>
    <row r="391">
      <c r="A391" s="6" t="s">
        <v>3016</v>
      </c>
      <c r="B391" s="6" t="s">
        <v>3017</v>
      </c>
      <c r="C391" s="6" t="s">
        <v>2172</v>
      </c>
      <c r="D391" s="6" t="s">
        <v>3018</v>
      </c>
      <c r="E391" s="6" t="s">
        <v>2614</v>
      </c>
      <c r="F391" s="6" t="s">
        <v>1283</v>
      </c>
      <c r="G391" s="6" t="s">
        <v>3019</v>
      </c>
      <c r="H391" s="7" t="s">
        <v>31</v>
      </c>
      <c r="I391" s="7">
        <v>1.0</v>
      </c>
      <c r="J391" s="7">
        <v>1.0</v>
      </c>
      <c r="K391" s="7" t="s">
        <v>31</v>
      </c>
      <c r="L391" s="8" t="s">
        <v>2632</v>
      </c>
      <c r="M391" s="6" t="s">
        <v>3020</v>
      </c>
      <c r="N391" s="6" t="s">
        <v>2273</v>
      </c>
      <c r="O391" s="8" t="s">
        <v>2274</v>
      </c>
      <c r="P391" s="6" t="s">
        <v>2634</v>
      </c>
      <c r="Q391" s="6" t="s">
        <v>31</v>
      </c>
      <c r="R391" s="6" t="s">
        <v>31</v>
      </c>
      <c r="S391" s="8" t="s">
        <v>2635</v>
      </c>
      <c r="T391" s="6" t="s">
        <v>2278</v>
      </c>
      <c r="U391" s="8" t="s">
        <v>31</v>
      </c>
      <c r="V391" s="6" t="s">
        <v>1283</v>
      </c>
      <c r="W391" s="6" t="s">
        <v>2614</v>
      </c>
      <c r="X391" s="9" t="str">
        <f>HYPERLINK("https://my.pitchbook.com?p=408506-41P","View People Online")</f>
        <v>View People Online</v>
      </c>
    </row>
    <row r="392">
      <c r="A392" s="2" t="s">
        <v>3021</v>
      </c>
      <c r="B392" s="2" t="s">
        <v>3022</v>
      </c>
      <c r="C392" s="2" t="s">
        <v>3023</v>
      </c>
      <c r="D392" s="2" t="s">
        <v>3024</v>
      </c>
      <c r="E392" s="2" t="s">
        <v>2614</v>
      </c>
      <c r="F392" s="2" t="s">
        <v>3025</v>
      </c>
      <c r="G392" s="2" t="s">
        <v>3026</v>
      </c>
      <c r="H392" s="3">
        <v>1.0</v>
      </c>
      <c r="I392" s="3">
        <v>1.0</v>
      </c>
      <c r="J392" s="3">
        <v>1.0</v>
      </c>
      <c r="K392" s="3" t="s">
        <v>31</v>
      </c>
      <c r="L392" s="4" t="s">
        <v>2632</v>
      </c>
      <c r="M392" s="2" t="s">
        <v>3027</v>
      </c>
      <c r="N392" s="2" t="s">
        <v>2273</v>
      </c>
      <c r="O392" s="4" t="s">
        <v>2274</v>
      </c>
      <c r="P392" s="2" t="s">
        <v>2634</v>
      </c>
      <c r="Q392" s="2" t="s">
        <v>31</v>
      </c>
      <c r="R392" s="2" t="s">
        <v>31</v>
      </c>
      <c r="S392" s="4" t="s">
        <v>2635</v>
      </c>
      <c r="T392" s="2" t="s">
        <v>2278</v>
      </c>
      <c r="U392" s="4" t="s">
        <v>31</v>
      </c>
      <c r="V392" s="2" t="s">
        <v>3025</v>
      </c>
      <c r="W392" s="2" t="s">
        <v>2614</v>
      </c>
      <c r="X392" s="5" t="str">
        <f>HYPERLINK("https://my.pitchbook.com?p=160895-35P","View People Online")</f>
        <v>View People Online</v>
      </c>
    </row>
    <row r="393">
      <c r="A393" s="14" t="s">
        <v>3028</v>
      </c>
      <c r="B393" s="14" t="s">
        <v>3029</v>
      </c>
      <c r="C393" s="14" t="s">
        <v>3030</v>
      </c>
      <c r="D393" s="14" t="s">
        <v>3031</v>
      </c>
      <c r="E393" s="14" t="s">
        <v>2614</v>
      </c>
      <c r="F393" s="14" t="s">
        <v>1283</v>
      </c>
      <c r="G393" s="14" t="s">
        <v>3032</v>
      </c>
      <c r="H393" s="15" t="s">
        <v>31</v>
      </c>
      <c r="I393" s="15">
        <v>1.0</v>
      </c>
      <c r="J393" s="15">
        <v>1.0</v>
      </c>
      <c r="K393" s="15" t="s">
        <v>31</v>
      </c>
      <c r="L393" s="16" t="s">
        <v>2632</v>
      </c>
      <c r="M393" s="14" t="s">
        <v>3033</v>
      </c>
      <c r="N393" s="14" t="s">
        <v>2273</v>
      </c>
      <c r="O393" s="16" t="s">
        <v>2274</v>
      </c>
      <c r="P393" s="14" t="s">
        <v>2634</v>
      </c>
      <c r="Q393" s="14" t="s">
        <v>31</v>
      </c>
      <c r="R393" s="14" t="s">
        <v>31</v>
      </c>
      <c r="S393" s="16" t="s">
        <v>2635</v>
      </c>
      <c r="T393" s="14" t="s">
        <v>2278</v>
      </c>
      <c r="U393" s="16" t="s">
        <v>31</v>
      </c>
      <c r="V393" s="14" t="s">
        <v>1283</v>
      </c>
      <c r="W393" s="14" t="s">
        <v>2614</v>
      </c>
      <c r="X393" s="17" t="str">
        <f>HYPERLINK("https://my.pitchbook.com?p=52989-40P","View People Online")</f>
        <v>View People Online</v>
      </c>
    </row>
    <row r="394">
      <c r="A394" s="2" t="s">
        <v>3034</v>
      </c>
      <c r="B394" s="2" t="s">
        <v>3035</v>
      </c>
      <c r="C394" s="2" t="s">
        <v>3023</v>
      </c>
      <c r="D394" s="2" t="s">
        <v>3036</v>
      </c>
      <c r="E394" s="2" t="s">
        <v>2614</v>
      </c>
      <c r="F394" s="2" t="s">
        <v>1283</v>
      </c>
      <c r="G394" s="2" t="s">
        <v>3037</v>
      </c>
      <c r="H394" s="3" t="s">
        <v>31</v>
      </c>
      <c r="I394" s="3">
        <v>1.0</v>
      </c>
      <c r="J394" s="3">
        <v>1.0</v>
      </c>
      <c r="K394" s="3" t="s">
        <v>31</v>
      </c>
      <c r="L394" s="4" t="s">
        <v>2632</v>
      </c>
      <c r="M394" s="2" t="s">
        <v>31</v>
      </c>
      <c r="N394" s="2" t="s">
        <v>2273</v>
      </c>
      <c r="O394" s="4" t="s">
        <v>2274</v>
      </c>
      <c r="P394" s="2" t="s">
        <v>2634</v>
      </c>
      <c r="Q394" s="2" t="s">
        <v>31</v>
      </c>
      <c r="R394" s="2" t="s">
        <v>31</v>
      </c>
      <c r="S394" s="4" t="s">
        <v>2635</v>
      </c>
      <c r="T394" s="2" t="s">
        <v>2278</v>
      </c>
      <c r="U394" s="4" t="s">
        <v>31</v>
      </c>
      <c r="V394" s="2" t="s">
        <v>1283</v>
      </c>
      <c r="W394" s="2" t="s">
        <v>2614</v>
      </c>
      <c r="X394" s="5" t="str">
        <f>HYPERLINK("https://my.pitchbook.com?p=356319-01P","View People Online")</f>
        <v>View People Online</v>
      </c>
    </row>
    <row r="395">
      <c r="A395" s="14" t="s">
        <v>3038</v>
      </c>
      <c r="B395" s="14" t="s">
        <v>3039</v>
      </c>
      <c r="C395" s="14" t="s">
        <v>3040</v>
      </c>
      <c r="D395" s="14" t="s">
        <v>3041</v>
      </c>
      <c r="E395" s="14" t="s">
        <v>2614</v>
      </c>
      <c r="F395" s="14" t="s">
        <v>57</v>
      </c>
      <c r="G395" s="14" t="s">
        <v>3042</v>
      </c>
      <c r="H395" s="15" t="s">
        <v>31</v>
      </c>
      <c r="I395" s="15">
        <v>13.0</v>
      </c>
      <c r="J395" s="15">
        <v>1.0</v>
      </c>
      <c r="K395" s="15">
        <v>12.0</v>
      </c>
      <c r="L395" s="16" t="s">
        <v>2716</v>
      </c>
      <c r="M395" s="14" t="s">
        <v>3043</v>
      </c>
      <c r="N395" s="14" t="s">
        <v>1024</v>
      </c>
      <c r="O395" s="16" t="s">
        <v>2718</v>
      </c>
      <c r="P395" s="14" t="s">
        <v>2904</v>
      </c>
      <c r="Q395" s="14" t="s">
        <v>2905</v>
      </c>
      <c r="R395" s="14" t="s">
        <v>31</v>
      </c>
      <c r="S395" s="16" t="s">
        <v>31</v>
      </c>
      <c r="T395" s="14" t="s">
        <v>2721</v>
      </c>
      <c r="U395" s="16" t="s">
        <v>31</v>
      </c>
      <c r="V395" s="14" t="s">
        <v>57</v>
      </c>
      <c r="W395" s="14" t="s">
        <v>2614</v>
      </c>
      <c r="X395" s="17" t="str">
        <f>HYPERLINK("https://my.pitchbook.com?p=30522-16P","View People Online")</f>
        <v>View People Online</v>
      </c>
    </row>
    <row r="396">
      <c r="A396" s="10" t="s">
        <v>3044</v>
      </c>
      <c r="B396" s="10" t="s">
        <v>3045</v>
      </c>
      <c r="C396" s="10" t="s">
        <v>3040</v>
      </c>
      <c r="D396" s="10" t="s">
        <v>3046</v>
      </c>
      <c r="E396" s="10" t="s">
        <v>2614</v>
      </c>
      <c r="F396" s="10" t="s">
        <v>371</v>
      </c>
      <c r="G396" s="10" t="s">
        <v>3047</v>
      </c>
      <c r="H396" s="11" t="s">
        <v>31</v>
      </c>
      <c r="I396" s="11">
        <v>1.0</v>
      </c>
      <c r="J396" s="11">
        <v>1.0</v>
      </c>
      <c r="K396" s="11" t="s">
        <v>31</v>
      </c>
      <c r="L396" s="12" t="s">
        <v>2640</v>
      </c>
      <c r="M396" s="10" t="s">
        <v>3048</v>
      </c>
      <c r="N396" s="10" t="s">
        <v>429</v>
      </c>
      <c r="O396" s="12" t="s">
        <v>430</v>
      </c>
      <c r="P396" s="10" t="s">
        <v>2642</v>
      </c>
      <c r="Q396" s="10" t="s">
        <v>31</v>
      </c>
      <c r="R396" s="10" t="s">
        <v>31</v>
      </c>
      <c r="S396" s="12" t="s">
        <v>432</v>
      </c>
      <c r="T396" s="10" t="s">
        <v>433</v>
      </c>
      <c r="U396" s="12" t="s">
        <v>31</v>
      </c>
      <c r="V396" s="10" t="s">
        <v>3049</v>
      </c>
      <c r="W396" s="10" t="s">
        <v>2614</v>
      </c>
      <c r="X396" s="13" t="str">
        <f>HYPERLINK("https://my.pitchbook.com?p=186268-42P","View People Online")</f>
        <v>View People Online</v>
      </c>
    </row>
    <row r="397">
      <c r="A397" s="14" t="s">
        <v>3050</v>
      </c>
      <c r="B397" s="14" t="s">
        <v>3051</v>
      </c>
      <c r="C397" s="14" t="s">
        <v>3052</v>
      </c>
      <c r="D397" s="14" t="s">
        <v>3053</v>
      </c>
      <c r="E397" s="14" t="s">
        <v>2614</v>
      </c>
      <c r="F397" s="14" t="s">
        <v>1283</v>
      </c>
      <c r="G397" s="14" t="s">
        <v>3054</v>
      </c>
      <c r="H397" s="15" t="s">
        <v>31</v>
      </c>
      <c r="I397" s="15">
        <v>6.0</v>
      </c>
      <c r="J397" s="15">
        <v>1.0</v>
      </c>
      <c r="K397" s="15">
        <v>5.0</v>
      </c>
      <c r="L397" s="16" t="s">
        <v>2654</v>
      </c>
      <c r="M397" s="14" t="s">
        <v>3055</v>
      </c>
      <c r="N397" s="14" t="s">
        <v>1181</v>
      </c>
      <c r="O397" s="16" t="s">
        <v>1182</v>
      </c>
      <c r="P397" s="14" t="s">
        <v>3014</v>
      </c>
      <c r="Q397" s="14" t="s">
        <v>3015</v>
      </c>
      <c r="R397" s="14" t="s">
        <v>1185</v>
      </c>
      <c r="S397" s="16" t="s">
        <v>1186</v>
      </c>
      <c r="T397" s="14" t="s">
        <v>66</v>
      </c>
      <c r="U397" s="16" t="s">
        <v>31</v>
      </c>
      <c r="V397" s="14" t="s">
        <v>1283</v>
      </c>
      <c r="W397" s="14" t="s">
        <v>2614</v>
      </c>
      <c r="X397" s="17" t="str">
        <f>HYPERLINK("https://my.pitchbook.com?p=55789-57P","View People Online")</f>
        <v>View People Online</v>
      </c>
    </row>
    <row r="398">
      <c r="A398" s="2" t="s">
        <v>3056</v>
      </c>
      <c r="B398" s="2" t="s">
        <v>3057</v>
      </c>
      <c r="C398" s="2" t="s">
        <v>3058</v>
      </c>
      <c r="D398" s="2" t="s">
        <v>3059</v>
      </c>
      <c r="E398" s="2" t="s">
        <v>2614</v>
      </c>
      <c r="F398" s="2" t="s">
        <v>120</v>
      </c>
      <c r="G398" s="2" t="s">
        <v>3060</v>
      </c>
      <c r="H398" s="3" t="s">
        <v>31</v>
      </c>
      <c r="I398" s="3">
        <v>1.0</v>
      </c>
      <c r="J398" s="3">
        <v>1.0</v>
      </c>
      <c r="K398" s="3" t="s">
        <v>31</v>
      </c>
      <c r="L398" s="4" t="s">
        <v>2632</v>
      </c>
      <c r="M398" s="2" t="s">
        <v>3061</v>
      </c>
      <c r="N398" s="2" t="s">
        <v>2273</v>
      </c>
      <c r="O398" s="4" t="s">
        <v>2274</v>
      </c>
      <c r="P398" s="2" t="s">
        <v>2634</v>
      </c>
      <c r="Q398" s="2" t="s">
        <v>31</v>
      </c>
      <c r="R398" s="2" t="s">
        <v>31</v>
      </c>
      <c r="S398" s="4" t="s">
        <v>2635</v>
      </c>
      <c r="T398" s="2" t="s">
        <v>2278</v>
      </c>
      <c r="U398" s="4" t="s">
        <v>31</v>
      </c>
      <c r="V398" s="2" t="s">
        <v>120</v>
      </c>
      <c r="W398" s="2" t="s">
        <v>2614</v>
      </c>
      <c r="X398" s="5" t="str">
        <f>HYPERLINK("https://my.pitchbook.com?p=376433-65P","View People Online")</f>
        <v>View People Online</v>
      </c>
    </row>
    <row r="399">
      <c r="A399" s="14" t="s">
        <v>3062</v>
      </c>
      <c r="B399" s="14" t="s">
        <v>3063</v>
      </c>
      <c r="C399" s="14" t="s">
        <v>3058</v>
      </c>
      <c r="D399" s="14" t="s">
        <v>3064</v>
      </c>
      <c r="E399" s="14" t="s">
        <v>2614</v>
      </c>
      <c r="F399" s="14" t="s">
        <v>1283</v>
      </c>
      <c r="G399" s="14" t="s">
        <v>3065</v>
      </c>
      <c r="H399" s="15" t="s">
        <v>31</v>
      </c>
      <c r="I399" s="15">
        <v>1.0</v>
      </c>
      <c r="J399" s="15">
        <v>1.0</v>
      </c>
      <c r="K399" s="15" t="s">
        <v>31</v>
      </c>
      <c r="L399" s="16" t="s">
        <v>2632</v>
      </c>
      <c r="M399" s="14" t="s">
        <v>3066</v>
      </c>
      <c r="N399" s="14" t="s">
        <v>2273</v>
      </c>
      <c r="O399" s="16" t="s">
        <v>2274</v>
      </c>
      <c r="P399" s="14" t="s">
        <v>2634</v>
      </c>
      <c r="Q399" s="14" t="s">
        <v>31</v>
      </c>
      <c r="R399" s="14" t="s">
        <v>31</v>
      </c>
      <c r="S399" s="16" t="s">
        <v>2635</v>
      </c>
      <c r="T399" s="14" t="s">
        <v>2278</v>
      </c>
      <c r="U399" s="16" t="s">
        <v>31</v>
      </c>
      <c r="V399" s="14" t="s">
        <v>1283</v>
      </c>
      <c r="W399" s="14" t="s">
        <v>2614</v>
      </c>
      <c r="X399" s="17" t="str">
        <f>HYPERLINK("https://my.pitchbook.com?p=52990-12P","View People Online")</f>
        <v>View People Online</v>
      </c>
    </row>
    <row r="400">
      <c r="A400" s="10" t="s">
        <v>3067</v>
      </c>
      <c r="B400" s="10" t="s">
        <v>3068</v>
      </c>
      <c r="C400" s="10" t="s">
        <v>41</v>
      </c>
      <c r="D400" s="10" t="s">
        <v>3069</v>
      </c>
      <c r="E400" s="10" t="s">
        <v>2614</v>
      </c>
      <c r="F400" s="10" t="s">
        <v>3070</v>
      </c>
      <c r="G400" s="10" t="s">
        <v>3071</v>
      </c>
      <c r="H400" s="11" t="s">
        <v>31</v>
      </c>
      <c r="I400" s="11">
        <v>5.0</v>
      </c>
      <c r="J400" s="11">
        <v>2.0</v>
      </c>
      <c r="K400" s="11">
        <v>3.0</v>
      </c>
      <c r="L400" s="12" t="s">
        <v>2632</v>
      </c>
      <c r="M400" s="10" t="s">
        <v>3072</v>
      </c>
      <c r="N400" s="10" t="s">
        <v>2273</v>
      </c>
      <c r="O400" s="12" t="s">
        <v>2274</v>
      </c>
      <c r="P400" s="10" t="s">
        <v>2634</v>
      </c>
      <c r="Q400" s="10" t="s">
        <v>31</v>
      </c>
      <c r="R400" s="10" t="s">
        <v>31</v>
      </c>
      <c r="S400" s="12" t="s">
        <v>2635</v>
      </c>
      <c r="T400" s="10" t="s">
        <v>2278</v>
      </c>
      <c r="U400" s="12" t="s">
        <v>31</v>
      </c>
      <c r="V400" s="10" t="s">
        <v>3073</v>
      </c>
      <c r="W400" s="10" t="s">
        <v>2614</v>
      </c>
      <c r="X400" s="13" t="str">
        <f>HYPERLINK("https://my.pitchbook.com?p=160898-23P","View People Online")</f>
        <v>View People Online</v>
      </c>
    </row>
    <row r="401">
      <c r="A401" s="14" t="s">
        <v>3074</v>
      </c>
      <c r="B401" s="14" t="s">
        <v>3075</v>
      </c>
      <c r="C401" s="14" t="s">
        <v>3076</v>
      </c>
      <c r="D401" s="14" t="s">
        <v>3077</v>
      </c>
      <c r="E401" s="14" t="s">
        <v>2614</v>
      </c>
      <c r="F401" s="14" t="s">
        <v>57</v>
      </c>
      <c r="G401" s="14" t="s">
        <v>3078</v>
      </c>
      <c r="H401" s="15" t="s">
        <v>31</v>
      </c>
      <c r="I401" s="15">
        <v>4.0</v>
      </c>
      <c r="J401" s="15">
        <v>2.0</v>
      </c>
      <c r="K401" s="15">
        <v>2.0</v>
      </c>
      <c r="L401" s="16" t="s">
        <v>2716</v>
      </c>
      <c r="M401" s="14" t="s">
        <v>3079</v>
      </c>
      <c r="N401" s="14" t="s">
        <v>1024</v>
      </c>
      <c r="O401" s="16" t="s">
        <v>2718</v>
      </c>
      <c r="P401" s="14" t="s">
        <v>2904</v>
      </c>
      <c r="Q401" s="14" t="s">
        <v>2905</v>
      </c>
      <c r="R401" s="14" t="s">
        <v>31</v>
      </c>
      <c r="S401" s="16" t="s">
        <v>31</v>
      </c>
      <c r="T401" s="14" t="s">
        <v>2721</v>
      </c>
      <c r="U401" s="16" t="s">
        <v>31</v>
      </c>
      <c r="V401" s="14" t="s">
        <v>57</v>
      </c>
      <c r="W401" s="14" t="s">
        <v>2614</v>
      </c>
      <c r="X401" s="17" t="str">
        <f>HYPERLINK("https://my.pitchbook.com?p=148635-55P","View People Online")</f>
        <v>View People Online</v>
      </c>
    </row>
    <row r="402">
      <c r="A402" s="2" t="s">
        <v>3080</v>
      </c>
      <c r="B402" s="2" t="s">
        <v>3081</v>
      </c>
      <c r="C402" s="2" t="s">
        <v>3082</v>
      </c>
      <c r="D402" s="2" t="s">
        <v>3083</v>
      </c>
      <c r="E402" s="2" t="s">
        <v>2614</v>
      </c>
      <c r="F402" s="2" t="s">
        <v>2652</v>
      </c>
      <c r="G402" s="2" t="s">
        <v>3084</v>
      </c>
      <c r="H402" s="3" t="s">
        <v>31</v>
      </c>
      <c r="I402" s="3">
        <v>20.0</v>
      </c>
      <c r="J402" s="3">
        <v>1.0</v>
      </c>
      <c r="K402" s="3">
        <v>18.0</v>
      </c>
      <c r="L402" s="4" t="s">
        <v>2623</v>
      </c>
      <c r="M402" s="2" t="s">
        <v>3085</v>
      </c>
      <c r="N402" s="2" t="s">
        <v>243</v>
      </c>
      <c r="O402" s="4" t="s">
        <v>244</v>
      </c>
      <c r="P402" s="2" t="s">
        <v>2625</v>
      </c>
      <c r="Q402" s="2" t="s">
        <v>31</v>
      </c>
      <c r="R402" s="2" t="s">
        <v>247</v>
      </c>
      <c r="S402" s="4" t="s">
        <v>2626</v>
      </c>
      <c r="T402" s="2" t="s">
        <v>249</v>
      </c>
      <c r="U402" s="4" t="s">
        <v>31</v>
      </c>
      <c r="V402" s="2" t="s">
        <v>3086</v>
      </c>
      <c r="W402" s="2" t="s">
        <v>2614</v>
      </c>
      <c r="X402" s="5" t="str">
        <f>HYPERLINK("https://my.pitchbook.com?p=48880-90P","View People Online")</f>
        <v>View People Online</v>
      </c>
    </row>
    <row r="403">
      <c r="A403" s="14" t="s">
        <v>3087</v>
      </c>
      <c r="B403" s="14" t="s">
        <v>3088</v>
      </c>
      <c r="C403" s="14" t="s">
        <v>3089</v>
      </c>
      <c r="D403" s="14" t="s">
        <v>3090</v>
      </c>
      <c r="E403" s="14" t="s">
        <v>2614</v>
      </c>
      <c r="F403" s="14" t="s">
        <v>29</v>
      </c>
      <c r="G403" s="14" t="s">
        <v>3091</v>
      </c>
      <c r="H403" s="15" t="s">
        <v>31</v>
      </c>
      <c r="I403" s="15">
        <v>20.0</v>
      </c>
      <c r="J403" s="15">
        <v>1.0</v>
      </c>
      <c r="K403" s="15">
        <v>19.0</v>
      </c>
      <c r="L403" s="16" t="s">
        <v>3092</v>
      </c>
      <c r="M403" s="14" t="s">
        <v>3093</v>
      </c>
      <c r="N403" s="14" t="s">
        <v>243</v>
      </c>
      <c r="O403" s="16" t="s">
        <v>244</v>
      </c>
      <c r="P403" s="14" t="s">
        <v>2625</v>
      </c>
      <c r="Q403" s="14" t="s">
        <v>31</v>
      </c>
      <c r="R403" s="14" t="s">
        <v>247</v>
      </c>
      <c r="S403" s="16" t="s">
        <v>2626</v>
      </c>
      <c r="T403" s="14" t="s">
        <v>249</v>
      </c>
      <c r="U403" s="16" t="s">
        <v>31</v>
      </c>
      <c r="V403" s="14" t="s">
        <v>29</v>
      </c>
      <c r="W403" s="14" t="s">
        <v>2614</v>
      </c>
      <c r="X403" s="17" t="str">
        <f>HYPERLINK("https://my.pitchbook.com?p=48883-87P","View People Online")</f>
        <v>View People Online</v>
      </c>
    </row>
    <row r="404">
      <c r="A404" s="2" t="s">
        <v>3094</v>
      </c>
      <c r="B404" s="2" t="s">
        <v>3095</v>
      </c>
      <c r="C404" s="2" t="s">
        <v>3096</v>
      </c>
      <c r="D404" s="2" t="s">
        <v>3097</v>
      </c>
      <c r="E404" s="2" t="s">
        <v>2614</v>
      </c>
      <c r="F404" s="2" t="s">
        <v>2731</v>
      </c>
      <c r="G404" s="2" t="s">
        <v>3098</v>
      </c>
      <c r="H404" s="3" t="s">
        <v>31</v>
      </c>
      <c r="I404" s="3">
        <v>5.0</v>
      </c>
      <c r="J404" s="3" t="s">
        <v>31</v>
      </c>
      <c r="K404" s="3">
        <v>4.0</v>
      </c>
      <c r="L404" s="4" t="s">
        <v>3099</v>
      </c>
      <c r="M404" s="2" t="s">
        <v>31</v>
      </c>
      <c r="N404" s="2" t="s">
        <v>3100</v>
      </c>
      <c r="O404" s="4" t="s">
        <v>3101</v>
      </c>
      <c r="P404" s="2" t="s">
        <v>3102</v>
      </c>
      <c r="Q404" s="2" t="s">
        <v>31</v>
      </c>
      <c r="R404" s="2" t="s">
        <v>31</v>
      </c>
      <c r="S404" s="4" t="s">
        <v>3103</v>
      </c>
      <c r="T404" s="2" t="s">
        <v>3104</v>
      </c>
      <c r="U404" s="4" t="s">
        <v>31</v>
      </c>
      <c r="V404" s="2" t="s">
        <v>2731</v>
      </c>
      <c r="W404" s="2" t="s">
        <v>2614</v>
      </c>
      <c r="X404" s="5" t="str">
        <f>HYPERLINK("https://my.pitchbook.com?p=146127-07P","View People Online")</f>
        <v>View People Online</v>
      </c>
    </row>
    <row r="405">
      <c r="A405" s="14" t="s">
        <v>3105</v>
      </c>
      <c r="B405" s="14" t="s">
        <v>3106</v>
      </c>
      <c r="C405" s="14" t="s">
        <v>3107</v>
      </c>
      <c r="D405" s="14" t="s">
        <v>3108</v>
      </c>
      <c r="E405" s="14" t="s">
        <v>2614</v>
      </c>
      <c r="F405" s="14" t="s">
        <v>1283</v>
      </c>
      <c r="G405" s="14" t="s">
        <v>3109</v>
      </c>
      <c r="H405" s="15" t="s">
        <v>31</v>
      </c>
      <c r="I405" s="15">
        <v>4.0</v>
      </c>
      <c r="J405" s="15">
        <v>1.0</v>
      </c>
      <c r="K405" s="15">
        <v>3.0</v>
      </c>
      <c r="L405" s="16" t="s">
        <v>2632</v>
      </c>
      <c r="M405" s="14" t="s">
        <v>3110</v>
      </c>
      <c r="N405" s="14" t="s">
        <v>2273</v>
      </c>
      <c r="O405" s="16" t="s">
        <v>2274</v>
      </c>
      <c r="P405" s="14" t="s">
        <v>2634</v>
      </c>
      <c r="Q405" s="14" t="s">
        <v>31</v>
      </c>
      <c r="R405" s="14" t="s">
        <v>31</v>
      </c>
      <c r="S405" s="16" t="s">
        <v>2635</v>
      </c>
      <c r="T405" s="14" t="s">
        <v>2278</v>
      </c>
      <c r="U405" s="16" t="s">
        <v>31</v>
      </c>
      <c r="V405" s="14" t="s">
        <v>1283</v>
      </c>
      <c r="W405" s="14" t="s">
        <v>2614</v>
      </c>
      <c r="X405" s="17" t="str">
        <f>HYPERLINK("https://my.pitchbook.com?p=65642-41P","View People Online")</f>
        <v>View People Online</v>
      </c>
    </row>
    <row r="406">
      <c r="A406" s="2" t="s">
        <v>3111</v>
      </c>
      <c r="B406" s="2" t="s">
        <v>3112</v>
      </c>
      <c r="C406" s="2" t="s">
        <v>3113</v>
      </c>
      <c r="D406" s="2" t="s">
        <v>3114</v>
      </c>
      <c r="E406" s="2" t="s">
        <v>2614</v>
      </c>
      <c r="F406" s="2" t="s">
        <v>825</v>
      </c>
      <c r="G406" s="2" t="s">
        <v>3115</v>
      </c>
      <c r="H406" s="3" t="s">
        <v>31</v>
      </c>
      <c r="I406" s="3">
        <v>1.0</v>
      </c>
      <c r="J406" s="3">
        <v>1.0</v>
      </c>
      <c r="K406" s="3" t="s">
        <v>31</v>
      </c>
      <c r="L406" s="4" t="s">
        <v>2661</v>
      </c>
      <c r="M406" s="2" t="s">
        <v>3116</v>
      </c>
      <c r="N406" s="2" t="s">
        <v>418</v>
      </c>
      <c r="O406" s="4" t="s">
        <v>419</v>
      </c>
      <c r="P406" s="2" t="s">
        <v>2663</v>
      </c>
      <c r="Q406" s="2" t="s">
        <v>31</v>
      </c>
      <c r="R406" s="2" t="s">
        <v>31</v>
      </c>
      <c r="S406" s="4" t="s">
        <v>2664</v>
      </c>
      <c r="T406" s="2" t="s">
        <v>422</v>
      </c>
      <c r="U406" s="4" t="s">
        <v>31</v>
      </c>
      <c r="V406" s="2" t="s">
        <v>3117</v>
      </c>
      <c r="W406" s="2" t="s">
        <v>2614</v>
      </c>
      <c r="X406" s="5" t="str">
        <f>HYPERLINK("https://my.pitchbook.com?p=408507-76P","View People Online")</f>
        <v>View People Online</v>
      </c>
    </row>
    <row r="407">
      <c r="A407" s="6" t="s">
        <v>3118</v>
      </c>
      <c r="B407" s="6" t="s">
        <v>3119</v>
      </c>
      <c r="C407" s="6" t="s">
        <v>3120</v>
      </c>
      <c r="D407" s="6" t="s">
        <v>3121</v>
      </c>
      <c r="E407" s="6" t="s">
        <v>2614</v>
      </c>
      <c r="F407" s="6" t="s">
        <v>57</v>
      </c>
      <c r="G407" s="6" t="s">
        <v>3122</v>
      </c>
      <c r="H407" s="7" t="s">
        <v>31</v>
      </c>
      <c r="I407" s="7">
        <v>9.0</v>
      </c>
      <c r="J407" s="7">
        <v>1.0</v>
      </c>
      <c r="K407" s="7">
        <v>5.0</v>
      </c>
      <c r="L407" s="8" t="s">
        <v>2632</v>
      </c>
      <c r="M407" s="6" t="s">
        <v>3123</v>
      </c>
      <c r="N407" s="6" t="s">
        <v>2273</v>
      </c>
      <c r="O407" s="8" t="s">
        <v>2274</v>
      </c>
      <c r="P407" s="6" t="s">
        <v>2634</v>
      </c>
      <c r="Q407" s="6" t="s">
        <v>31</v>
      </c>
      <c r="R407" s="6" t="s">
        <v>31</v>
      </c>
      <c r="S407" s="8" t="s">
        <v>2635</v>
      </c>
      <c r="T407" s="6" t="s">
        <v>2278</v>
      </c>
      <c r="U407" s="8" t="s">
        <v>31</v>
      </c>
      <c r="V407" s="6" t="s">
        <v>57</v>
      </c>
      <c r="W407" s="6" t="s">
        <v>2614</v>
      </c>
      <c r="X407" s="9" t="str">
        <f>HYPERLINK("https://my.pitchbook.com?p=140697-10P","View People Online")</f>
        <v>View People Online</v>
      </c>
    </row>
    <row r="408">
      <c r="A408" s="2" t="s">
        <v>3124</v>
      </c>
      <c r="B408" s="2" t="s">
        <v>3125</v>
      </c>
      <c r="C408" s="2" t="s">
        <v>3126</v>
      </c>
      <c r="D408" s="2" t="s">
        <v>3127</v>
      </c>
      <c r="E408" s="2" t="s">
        <v>2614</v>
      </c>
      <c r="F408" s="2" t="s">
        <v>57</v>
      </c>
      <c r="G408" s="2" t="s">
        <v>3128</v>
      </c>
      <c r="H408" s="3" t="s">
        <v>31</v>
      </c>
      <c r="I408" s="3">
        <v>2.0</v>
      </c>
      <c r="J408" s="3">
        <v>1.0</v>
      </c>
      <c r="K408" s="3">
        <v>1.0</v>
      </c>
      <c r="L408" s="4" t="s">
        <v>2632</v>
      </c>
      <c r="M408" s="2" t="s">
        <v>3129</v>
      </c>
      <c r="N408" s="2" t="s">
        <v>2273</v>
      </c>
      <c r="O408" s="4" t="s">
        <v>2274</v>
      </c>
      <c r="P408" s="2" t="s">
        <v>2634</v>
      </c>
      <c r="Q408" s="2" t="s">
        <v>31</v>
      </c>
      <c r="R408" s="2" t="s">
        <v>31</v>
      </c>
      <c r="S408" s="4" t="s">
        <v>2635</v>
      </c>
      <c r="T408" s="2" t="s">
        <v>2278</v>
      </c>
      <c r="U408" s="4" t="s">
        <v>31</v>
      </c>
      <c r="V408" s="2" t="s">
        <v>57</v>
      </c>
      <c r="W408" s="2" t="s">
        <v>2614</v>
      </c>
      <c r="X408" s="5" t="str">
        <f>HYPERLINK("https://my.pitchbook.com?p=59080-78P","View People Online")</f>
        <v>View People Online</v>
      </c>
    </row>
    <row r="409">
      <c r="A409" s="6" t="s">
        <v>3130</v>
      </c>
      <c r="B409" s="6" t="s">
        <v>3131</v>
      </c>
      <c r="C409" s="6" t="s">
        <v>3132</v>
      </c>
      <c r="D409" s="6" t="s">
        <v>3133</v>
      </c>
      <c r="E409" s="6" t="s">
        <v>2614</v>
      </c>
      <c r="F409" s="6" t="s">
        <v>1283</v>
      </c>
      <c r="G409" s="6" t="s">
        <v>3134</v>
      </c>
      <c r="H409" s="7">
        <v>3.0</v>
      </c>
      <c r="I409" s="7">
        <v>10.0</v>
      </c>
      <c r="J409" s="7">
        <v>1.0</v>
      </c>
      <c r="K409" s="7">
        <v>5.0</v>
      </c>
      <c r="L409" s="8" t="s">
        <v>2632</v>
      </c>
      <c r="M409" s="6" t="s">
        <v>3135</v>
      </c>
      <c r="N409" s="6" t="s">
        <v>2273</v>
      </c>
      <c r="O409" s="8" t="s">
        <v>2274</v>
      </c>
      <c r="P409" s="6" t="s">
        <v>2634</v>
      </c>
      <c r="Q409" s="6" t="s">
        <v>31</v>
      </c>
      <c r="R409" s="6" t="s">
        <v>31</v>
      </c>
      <c r="S409" s="8" t="s">
        <v>2635</v>
      </c>
      <c r="T409" s="6" t="s">
        <v>2278</v>
      </c>
      <c r="U409" s="8" t="s">
        <v>31</v>
      </c>
      <c r="V409" s="6" t="s">
        <v>1283</v>
      </c>
      <c r="W409" s="6" t="s">
        <v>2614</v>
      </c>
      <c r="X409" s="9" t="str">
        <f>HYPERLINK("https://my.pitchbook.com?p=52989-76P","View People Online")</f>
        <v>View People Online</v>
      </c>
    </row>
    <row r="410">
      <c r="A410" s="2" t="s">
        <v>3136</v>
      </c>
      <c r="B410" s="2" t="s">
        <v>3137</v>
      </c>
      <c r="C410" s="2" t="s">
        <v>3132</v>
      </c>
      <c r="D410" s="2" t="s">
        <v>2801</v>
      </c>
      <c r="E410" s="2" t="s">
        <v>2614</v>
      </c>
      <c r="F410" s="2" t="s">
        <v>1283</v>
      </c>
      <c r="G410" s="2" t="s">
        <v>3138</v>
      </c>
      <c r="H410" s="3" t="s">
        <v>31</v>
      </c>
      <c r="I410" s="3">
        <v>3.0</v>
      </c>
      <c r="J410" s="3">
        <v>1.0</v>
      </c>
      <c r="K410" s="3">
        <v>2.0</v>
      </c>
      <c r="L410" s="4" t="s">
        <v>2632</v>
      </c>
      <c r="M410" s="2" t="s">
        <v>3139</v>
      </c>
      <c r="N410" s="2" t="s">
        <v>2273</v>
      </c>
      <c r="O410" s="4" t="s">
        <v>2274</v>
      </c>
      <c r="P410" s="2" t="s">
        <v>2634</v>
      </c>
      <c r="Q410" s="2" t="s">
        <v>31</v>
      </c>
      <c r="R410" s="2" t="s">
        <v>31</v>
      </c>
      <c r="S410" s="4" t="s">
        <v>2635</v>
      </c>
      <c r="T410" s="2" t="s">
        <v>2278</v>
      </c>
      <c r="U410" s="4" t="s">
        <v>31</v>
      </c>
      <c r="V410" s="2" t="s">
        <v>1283</v>
      </c>
      <c r="W410" s="2" t="s">
        <v>2614</v>
      </c>
      <c r="X410" s="5" t="str">
        <f>HYPERLINK("https://my.pitchbook.com?p=395766-82P","View People Online")</f>
        <v>View People Online</v>
      </c>
    </row>
    <row r="411">
      <c r="A411" s="6" t="s">
        <v>3140</v>
      </c>
      <c r="B411" s="6" t="s">
        <v>3141</v>
      </c>
      <c r="C411" s="6" t="s">
        <v>3142</v>
      </c>
      <c r="D411" s="6" t="s">
        <v>3143</v>
      </c>
      <c r="E411" s="6" t="s">
        <v>2614</v>
      </c>
      <c r="F411" s="6" t="s">
        <v>3144</v>
      </c>
      <c r="G411" s="6" t="s">
        <v>3145</v>
      </c>
      <c r="H411" s="7" t="s">
        <v>31</v>
      </c>
      <c r="I411" s="7">
        <v>1.0</v>
      </c>
      <c r="J411" s="7">
        <v>1.0</v>
      </c>
      <c r="K411" s="7" t="s">
        <v>31</v>
      </c>
      <c r="L411" s="8" t="s">
        <v>2632</v>
      </c>
      <c r="M411" s="6" t="s">
        <v>31</v>
      </c>
      <c r="N411" s="6" t="s">
        <v>2273</v>
      </c>
      <c r="O411" s="8" t="s">
        <v>2274</v>
      </c>
      <c r="P411" s="6" t="s">
        <v>2634</v>
      </c>
      <c r="Q411" s="6" t="s">
        <v>31</v>
      </c>
      <c r="R411" s="6" t="s">
        <v>31</v>
      </c>
      <c r="S411" s="8" t="s">
        <v>2635</v>
      </c>
      <c r="T411" s="6" t="s">
        <v>2278</v>
      </c>
      <c r="U411" s="8" t="s">
        <v>31</v>
      </c>
      <c r="V411" s="6" t="s">
        <v>3146</v>
      </c>
      <c r="W411" s="6" t="s">
        <v>2614</v>
      </c>
      <c r="X411" s="9" t="str">
        <f>HYPERLINK("https://my.pitchbook.com?p=419465-44P","View People Online")</f>
        <v>View People Online</v>
      </c>
    </row>
    <row r="412">
      <c r="A412" s="10" t="s">
        <v>3147</v>
      </c>
      <c r="B412" s="10" t="s">
        <v>3148</v>
      </c>
      <c r="C412" s="10" t="s">
        <v>3149</v>
      </c>
      <c r="D412" s="10" t="s">
        <v>3150</v>
      </c>
      <c r="E412" s="10" t="s">
        <v>2614</v>
      </c>
      <c r="F412" s="10" t="s">
        <v>29</v>
      </c>
      <c r="G412" s="10" t="s">
        <v>3151</v>
      </c>
      <c r="H412" s="11" t="s">
        <v>31</v>
      </c>
      <c r="I412" s="11">
        <v>6.0</v>
      </c>
      <c r="J412" s="11">
        <v>1.0</v>
      </c>
      <c r="K412" s="11">
        <v>4.0</v>
      </c>
      <c r="L412" s="12" t="s">
        <v>2632</v>
      </c>
      <c r="M412" s="10" t="s">
        <v>3152</v>
      </c>
      <c r="N412" s="10" t="s">
        <v>2273</v>
      </c>
      <c r="O412" s="12" t="s">
        <v>2274</v>
      </c>
      <c r="P412" s="10" t="s">
        <v>2634</v>
      </c>
      <c r="Q412" s="10" t="s">
        <v>31</v>
      </c>
      <c r="R412" s="10" t="s">
        <v>31</v>
      </c>
      <c r="S412" s="12" t="s">
        <v>2635</v>
      </c>
      <c r="T412" s="10" t="s">
        <v>2278</v>
      </c>
      <c r="U412" s="12" t="s">
        <v>31</v>
      </c>
      <c r="V412" s="10" t="s">
        <v>29</v>
      </c>
      <c r="W412" s="10" t="s">
        <v>2614</v>
      </c>
      <c r="X412" s="13" t="str">
        <f>HYPERLINK("https://my.pitchbook.com?p=15314-23P","View People Online")</f>
        <v>View People Online</v>
      </c>
    </row>
    <row r="413">
      <c r="A413" s="14" t="s">
        <v>3153</v>
      </c>
      <c r="B413" s="14" t="s">
        <v>3154</v>
      </c>
      <c r="C413" s="14" t="s">
        <v>1645</v>
      </c>
      <c r="D413" s="14" t="s">
        <v>3155</v>
      </c>
      <c r="E413" s="14" t="s">
        <v>2614</v>
      </c>
      <c r="F413" s="14" t="s">
        <v>1283</v>
      </c>
      <c r="G413" s="14" t="s">
        <v>3156</v>
      </c>
      <c r="H413" s="15" t="s">
        <v>31</v>
      </c>
      <c r="I413" s="15">
        <v>1.0</v>
      </c>
      <c r="J413" s="15">
        <v>1.0</v>
      </c>
      <c r="K413" s="15" t="s">
        <v>31</v>
      </c>
      <c r="L413" s="16" t="s">
        <v>3099</v>
      </c>
      <c r="M413" s="14" t="s">
        <v>3157</v>
      </c>
      <c r="N413" s="14" t="s">
        <v>3100</v>
      </c>
      <c r="O413" s="16" t="s">
        <v>3101</v>
      </c>
      <c r="P413" s="14" t="s">
        <v>3102</v>
      </c>
      <c r="Q413" s="14" t="s">
        <v>31</v>
      </c>
      <c r="R413" s="14" t="s">
        <v>31</v>
      </c>
      <c r="S413" s="16" t="s">
        <v>3103</v>
      </c>
      <c r="T413" s="14" t="s">
        <v>3104</v>
      </c>
      <c r="U413" s="16" t="s">
        <v>31</v>
      </c>
      <c r="V413" s="14" t="s">
        <v>1283</v>
      </c>
      <c r="W413" s="14" t="s">
        <v>2614</v>
      </c>
      <c r="X413" s="17" t="str">
        <f>HYPERLINK("https://my.pitchbook.com?p=349399-09P","View People Online")</f>
        <v>View People Online</v>
      </c>
    </row>
    <row r="414">
      <c r="A414" s="10" t="s">
        <v>3158</v>
      </c>
      <c r="B414" s="10" t="s">
        <v>3159</v>
      </c>
      <c r="C414" s="10" t="s">
        <v>1645</v>
      </c>
      <c r="D414" s="10" t="s">
        <v>3160</v>
      </c>
      <c r="E414" s="10" t="s">
        <v>2614</v>
      </c>
      <c r="F414" s="10" t="s">
        <v>2731</v>
      </c>
      <c r="G414" s="10" t="s">
        <v>3161</v>
      </c>
      <c r="H414" s="11" t="s">
        <v>31</v>
      </c>
      <c r="I414" s="11">
        <v>5.0</v>
      </c>
      <c r="J414" s="11" t="s">
        <v>31</v>
      </c>
      <c r="K414" s="11">
        <v>4.0</v>
      </c>
      <c r="L414" s="12" t="s">
        <v>3099</v>
      </c>
      <c r="M414" s="10" t="s">
        <v>31</v>
      </c>
      <c r="N414" s="10" t="s">
        <v>3100</v>
      </c>
      <c r="O414" s="12" t="s">
        <v>3101</v>
      </c>
      <c r="P414" s="10" t="s">
        <v>3102</v>
      </c>
      <c r="Q414" s="10" t="s">
        <v>31</v>
      </c>
      <c r="R414" s="10" t="s">
        <v>31</v>
      </c>
      <c r="S414" s="12" t="s">
        <v>3103</v>
      </c>
      <c r="T414" s="10" t="s">
        <v>3104</v>
      </c>
      <c r="U414" s="12" t="s">
        <v>31</v>
      </c>
      <c r="V414" s="10" t="s">
        <v>2731</v>
      </c>
      <c r="W414" s="10" t="s">
        <v>2614</v>
      </c>
      <c r="X414" s="13" t="str">
        <f>HYPERLINK("https://my.pitchbook.com?p=146126-35P","View People Online")</f>
        <v>View People Online</v>
      </c>
    </row>
    <row r="415">
      <c r="A415" s="6" t="s">
        <v>3162</v>
      </c>
      <c r="B415" s="6" t="s">
        <v>3163</v>
      </c>
      <c r="C415" s="6" t="s">
        <v>3164</v>
      </c>
      <c r="D415" s="6" t="s">
        <v>3165</v>
      </c>
      <c r="E415" s="6" t="s">
        <v>2614</v>
      </c>
      <c r="F415" s="6" t="s">
        <v>1283</v>
      </c>
      <c r="G415" s="6" t="s">
        <v>3166</v>
      </c>
      <c r="H415" s="7" t="s">
        <v>31</v>
      </c>
      <c r="I415" s="7">
        <v>1.0</v>
      </c>
      <c r="J415" s="7">
        <v>1.0</v>
      </c>
      <c r="K415" s="7" t="s">
        <v>31</v>
      </c>
      <c r="L415" s="8" t="s">
        <v>2661</v>
      </c>
      <c r="M415" s="6" t="s">
        <v>3167</v>
      </c>
      <c r="N415" s="6" t="s">
        <v>418</v>
      </c>
      <c r="O415" s="8" t="s">
        <v>419</v>
      </c>
      <c r="P415" s="6" t="s">
        <v>2663</v>
      </c>
      <c r="Q415" s="6" t="s">
        <v>31</v>
      </c>
      <c r="R415" s="6" t="s">
        <v>31</v>
      </c>
      <c r="S415" s="8" t="s">
        <v>2664</v>
      </c>
      <c r="T415" s="6" t="s">
        <v>422</v>
      </c>
      <c r="U415" s="8" t="s">
        <v>31</v>
      </c>
      <c r="V415" s="6" t="s">
        <v>1283</v>
      </c>
      <c r="W415" s="6" t="s">
        <v>2614</v>
      </c>
      <c r="X415" s="9" t="str">
        <f>HYPERLINK("https://my.pitchbook.com?p=185031-55P","View People Online")</f>
        <v>View People Online</v>
      </c>
    </row>
    <row r="416">
      <c r="A416" s="10" t="s">
        <v>3168</v>
      </c>
      <c r="B416" s="10" t="s">
        <v>3169</v>
      </c>
      <c r="C416" s="10" t="s">
        <v>160</v>
      </c>
      <c r="D416" s="10" t="s">
        <v>3170</v>
      </c>
      <c r="E416" s="10" t="s">
        <v>2614</v>
      </c>
      <c r="F416" s="10" t="s">
        <v>29</v>
      </c>
      <c r="G416" s="10" t="s">
        <v>3171</v>
      </c>
      <c r="H416" s="11" t="s">
        <v>31</v>
      </c>
      <c r="I416" s="11">
        <v>12.0</v>
      </c>
      <c r="J416" s="11">
        <v>1.0</v>
      </c>
      <c r="K416" s="11">
        <v>11.0</v>
      </c>
      <c r="L416" s="12" t="s">
        <v>2623</v>
      </c>
      <c r="M416" s="10" t="s">
        <v>3172</v>
      </c>
      <c r="N416" s="10" t="s">
        <v>243</v>
      </c>
      <c r="O416" s="12" t="s">
        <v>244</v>
      </c>
      <c r="P416" s="10" t="s">
        <v>2625</v>
      </c>
      <c r="Q416" s="10" t="s">
        <v>31</v>
      </c>
      <c r="R416" s="10" t="s">
        <v>247</v>
      </c>
      <c r="S416" s="12" t="s">
        <v>2626</v>
      </c>
      <c r="T416" s="10" t="s">
        <v>249</v>
      </c>
      <c r="U416" s="12" t="s">
        <v>31</v>
      </c>
      <c r="V416" s="10" t="s">
        <v>29</v>
      </c>
      <c r="W416" s="10" t="s">
        <v>2614</v>
      </c>
      <c r="X416" s="13" t="str">
        <f>HYPERLINK("https://my.pitchbook.com?p=165160-72P","View People Online")</f>
        <v>View People Online</v>
      </c>
    </row>
    <row r="417">
      <c r="A417" s="6" t="s">
        <v>3173</v>
      </c>
      <c r="B417" s="6" t="s">
        <v>3174</v>
      </c>
      <c r="C417" s="6" t="s">
        <v>126</v>
      </c>
      <c r="D417" s="6" t="s">
        <v>3175</v>
      </c>
      <c r="E417" s="6" t="s">
        <v>2614</v>
      </c>
      <c r="F417" s="6" t="s">
        <v>29</v>
      </c>
      <c r="G417" s="6" t="s">
        <v>3176</v>
      </c>
      <c r="H417" s="7" t="s">
        <v>31</v>
      </c>
      <c r="I417" s="7">
        <v>6.0</v>
      </c>
      <c r="J417" s="7">
        <v>1.0</v>
      </c>
      <c r="K417" s="7">
        <v>5.0</v>
      </c>
      <c r="L417" s="8" t="s">
        <v>3177</v>
      </c>
      <c r="M417" s="6" t="s">
        <v>3178</v>
      </c>
      <c r="N417" s="6" t="s">
        <v>75</v>
      </c>
      <c r="O417" s="8" t="s">
        <v>76</v>
      </c>
      <c r="P417" s="6" t="s">
        <v>2617</v>
      </c>
      <c r="Q417" s="6" t="s">
        <v>31</v>
      </c>
      <c r="R417" s="6" t="s">
        <v>75</v>
      </c>
      <c r="S417" s="8" t="s">
        <v>1432</v>
      </c>
      <c r="T417" s="6" t="s">
        <v>66</v>
      </c>
      <c r="U417" s="8" t="s">
        <v>31</v>
      </c>
      <c r="V417" s="6" t="s">
        <v>29</v>
      </c>
      <c r="W417" s="6" t="s">
        <v>2614</v>
      </c>
      <c r="X417" s="9" t="str">
        <f>HYPERLINK("https://my.pitchbook.com?p=78929-83P","View People Online")</f>
        <v>View People Online</v>
      </c>
    </row>
    <row r="418">
      <c r="A418" s="2" t="s">
        <v>3179</v>
      </c>
      <c r="B418" s="2" t="s">
        <v>3180</v>
      </c>
      <c r="C418" s="2" t="s">
        <v>126</v>
      </c>
      <c r="D418" s="2" t="s">
        <v>3181</v>
      </c>
      <c r="E418" s="2" t="s">
        <v>2614</v>
      </c>
      <c r="F418" s="2" t="s">
        <v>57</v>
      </c>
      <c r="G418" s="2" t="s">
        <v>3182</v>
      </c>
      <c r="H418" s="3" t="s">
        <v>31</v>
      </c>
      <c r="I418" s="3">
        <v>3.0</v>
      </c>
      <c r="J418" s="3">
        <v>1.0</v>
      </c>
      <c r="K418" s="3">
        <v>2.0</v>
      </c>
      <c r="L418" s="4" t="s">
        <v>3099</v>
      </c>
      <c r="M418" s="2" t="s">
        <v>3183</v>
      </c>
      <c r="N418" s="2" t="s">
        <v>3100</v>
      </c>
      <c r="O418" s="4" t="s">
        <v>3101</v>
      </c>
      <c r="P418" s="2" t="s">
        <v>3102</v>
      </c>
      <c r="Q418" s="2" t="s">
        <v>31</v>
      </c>
      <c r="R418" s="2" t="s">
        <v>31</v>
      </c>
      <c r="S418" s="4" t="s">
        <v>3103</v>
      </c>
      <c r="T418" s="2" t="s">
        <v>3104</v>
      </c>
      <c r="U418" s="4" t="s">
        <v>31</v>
      </c>
      <c r="V418" s="2" t="s">
        <v>57</v>
      </c>
      <c r="W418" s="2" t="s">
        <v>2614</v>
      </c>
      <c r="X418" s="5" t="str">
        <f>HYPERLINK("https://my.pitchbook.com?p=349397-47P","View People Online")</f>
        <v>View People Online</v>
      </c>
    </row>
    <row r="419">
      <c r="A419" s="6" t="s">
        <v>3184</v>
      </c>
      <c r="B419" s="6" t="s">
        <v>3185</v>
      </c>
      <c r="C419" s="6" t="s">
        <v>126</v>
      </c>
      <c r="D419" s="6" t="s">
        <v>3186</v>
      </c>
      <c r="E419" s="6" t="s">
        <v>2614</v>
      </c>
      <c r="F419" s="6" t="s">
        <v>1283</v>
      </c>
      <c r="G419" s="6" t="s">
        <v>3187</v>
      </c>
      <c r="H419" s="7" t="s">
        <v>31</v>
      </c>
      <c r="I419" s="7">
        <v>1.0</v>
      </c>
      <c r="J419" s="7">
        <v>1.0</v>
      </c>
      <c r="K419" s="7" t="s">
        <v>31</v>
      </c>
      <c r="L419" s="8" t="s">
        <v>3188</v>
      </c>
      <c r="M419" s="6" t="s">
        <v>3189</v>
      </c>
      <c r="N419" s="6" t="s">
        <v>3190</v>
      </c>
      <c r="O419" s="8" t="s">
        <v>3191</v>
      </c>
      <c r="P419" s="6" t="s">
        <v>3192</v>
      </c>
      <c r="Q419" s="6" t="s">
        <v>3193</v>
      </c>
      <c r="R419" s="6" t="s">
        <v>31</v>
      </c>
      <c r="S419" s="8" t="s">
        <v>31</v>
      </c>
      <c r="T419" s="6" t="s">
        <v>3194</v>
      </c>
      <c r="U419" s="8" t="s">
        <v>31</v>
      </c>
      <c r="V419" s="6" t="s">
        <v>1283</v>
      </c>
      <c r="W419" s="6" t="s">
        <v>2614</v>
      </c>
      <c r="X419" s="9" t="str">
        <f>HYPERLINK("https://my.pitchbook.com?p=408507-31P","View People Online")</f>
        <v>View People Online</v>
      </c>
    </row>
    <row r="420">
      <c r="A420" s="10" t="s">
        <v>3195</v>
      </c>
      <c r="B420" s="10" t="s">
        <v>3196</v>
      </c>
      <c r="C420" s="10" t="s">
        <v>126</v>
      </c>
      <c r="D420" s="10" t="s">
        <v>3197</v>
      </c>
      <c r="E420" s="10" t="s">
        <v>2614</v>
      </c>
      <c r="F420" s="10" t="s">
        <v>29</v>
      </c>
      <c r="G420" s="10" t="s">
        <v>3198</v>
      </c>
      <c r="H420" s="11" t="s">
        <v>31</v>
      </c>
      <c r="I420" s="11">
        <v>3.0</v>
      </c>
      <c r="J420" s="11">
        <v>1.0</v>
      </c>
      <c r="K420" s="11">
        <v>2.0</v>
      </c>
      <c r="L420" s="12" t="s">
        <v>31</v>
      </c>
      <c r="M420" s="10" t="s">
        <v>3199</v>
      </c>
      <c r="N420" s="10" t="s">
        <v>75</v>
      </c>
      <c r="O420" s="12" t="s">
        <v>76</v>
      </c>
      <c r="P420" s="10" t="s">
        <v>2617</v>
      </c>
      <c r="Q420" s="10" t="s">
        <v>31</v>
      </c>
      <c r="R420" s="10" t="s">
        <v>75</v>
      </c>
      <c r="S420" s="12" t="s">
        <v>1432</v>
      </c>
      <c r="T420" s="10" t="s">
        <v>66</v>
      </c>
      <c r="U420" s="12" t="s">
        <v>31</v>
      </c>
      <c r="V420" s="10" t="s">
        <v>29</v>
      </c>
      <c r="W420" s="10" t="s">
        <v>2614</v>
      </c>
      <c r="X420" s="13" t="str">
        <f>HYPERLINK("https://my.pitchbook.com?p=182158-03P","View People Online")</f>
        <v>View People Online</v>
      </c>
    </row>
    <row r="421">
      <c r="A421" s="14" t="s">
        <v>3200</v>
      </c>
      <c r="B421" s="14" t="s">
        <v>3201</v>
      </c>
      <c r="C421" s="14" t="s">
        <v>3202</v>
      </c>
      <c r="D421" s="14" t="s">
        <v>3203</v>
      </c>
      <c r="E421" s="14" t="s">
        <v>2614</v>
      </c>
      <c r="F421" s="14" t="s">
        <v>2994</v>
      </c>
      <c r="G421" s="14" t="s">
        <v>3204</v>
      </c>
      <c r="H421" s="15">
        <v>1.0</v>
      </c>
      <c r="I421" s="15">
        <v>1.0</v>
      </c>
      <c r="J421" s="15">
        <v>1.0</v>
      </c>
      <c r="K421" s="15" t="s">
        <v>31</v>
      </c>
      <c r="L421" s="16" t="s">
        <v>2623</v>
      </c>
      <c r="M421" s="14" t="s">
        <v>3205</v>
      </c>
      <c r="N421" s="14" t="s">
        <v>243</v>
      </c>
      <c r="O421" s="16" t="s">
        <v>244</v>
      </c>
      <c r="P421" s="14" t="s">
        <v>2625</v>
      </c>
      <c r="Q421" s="14" t="s">
        <v>31</v>
      </c>
      <c r="R421" s="14" t="s">
        <v>247</v>
      </c>
      <c r="S421" s="16" t="s">
        <v>2626</v>
      </c>
      <c r="T421" s="14" t="s">
        <v>249</v>
      </c>
      <c r="U421" s="16" t="s">
        <v>31</v>
      </c>
      <c r="V421" s="14" t="s">
        <v>3206</v>
      </c>
      <c r="W421" s="14" t="s">
        <v>3207</v>
      </c>
      <c r="X421" s="17" t="str">
        <f>HYPERLINK("https://my.pitchbook.com?p=146118-79P","View People Online")</f>
        <v>View People Online</v>
      </c>
    </row>
    <row r="422">
      <c r="A422" s="10" t="s">
        <v>3208</v>
      </c>
      <c r="B422" s="10" t="s">
        <v>3209</v>
      </c>
      <c r="C422" s="10" t="s">
        <v>907</v>
      </c>
      <c r="D422" s="10" t="s">
        <v>3210</v>
      </c>
      <c r="E422" s="10" t="s">
        <v>2614</v>
      </c>
      <c r="F422" s="10" t="s">
        <v>57</v>
      </c>
      <c r="G422" s="10" t="s">
        <v>3211</v>
      </c>
      <c r="H422" s="11" t="s">
        <v>31</v>
      </c>
      <c r="I422" s="11">
        <v>5.0</v>
      </c>
      <c r="J422" s="11">
        <v>1.0</v>
      </c>
      <c r="K422" s="11">
        <v>4.0</v>
      </c>
      <c r="L422" s="12" t="s">
        <v>2623</v>
      </c>
      <c r="M422" s="10" t="s">
        <v>3212</v>
      </c>
      <c r="N422" s="10" t="s">
        <v>243</v>
      </c>
      <c r="O422" s="12" t="s">
        <v>244</v>
      </c>
      <c r="P422" s="10" t="s">
        <v>2625</v>
      </c>
      <c r="Q422" s="10" t="s">
        <v>31</v>
      </c>
      <c r="R422" s="10" t="s">
        <v>247</v>
      </c>
      <c r="S422" s="12" t="s">
        <v>2626</v>
      </c>
      <c r="T422" s="10" t="s">
        <v>249</v>
      </c>
      <c r="U422" s="12" t="s">
        <v>31</v>
      </c>
      <c r="V422" s="10" t="s">
        <v>57</v>
      </c>
      <c r="W422" s="10" t="s">
        <v>2614</v>
      </c>
      <c r="X422" s="13" t="str">
        <f>HYPERLINK("https://my.pitchbook.com?p=250250-95P","View People Online")</f>
        <v>View People Online</v>
      </c>
    </row>
    <row r="423">
      <c r="A423" s="14" t="s">
        <v>3213</v>
      </c>
      <c r="B423" s="14" t="s">
        <v>3214</v>
      </c>
      <c r="C423" s="14" t="s">
        <v>3215</v>
      </c>
      <c r="D423" s="14" t="s">
        <v>3216</v>
      </c>
      <c r="E423" s="14" t="s">
        <v>2614</v>
      </c>
      <c r="F423" s="14" t="s">
        <v>1283</v>
      </c>
      <c r="G423" s="14" t="s">
        <v>3217</v>
      </c>
      <c r="H423" s="15" t="s">
        <v>31</v>
      </c>
      <c r="I423" s="15">
        <v>3.0</v>
      </c>
      <c r="J423" s="15">
        <v>1.0</v>
      </c>
      <c r="K423" s="15">
        <v>2.0</v>
      </c>
      <c r="L423" s="16" t="s">
        <v>2640</v>
      </c>
      <c r="M423" s="14" t="s">
        <v>3218</v>
      </c>
      <c r="N423" s="14" t="s">
        <v>429</v>
      </c>
      <c r="O423" s="16" t="s">
        <v>430</v>
      </c>
      <c r="P423" s="14" t="s">
        <v>2642</v>
      </c>
      <c r="Q423" s="14" t="s">
        <v>31</v>
      </c>
      <c r="R423" s="14" t="s">
        <v>31</v>
      </c>
      <c r="S423" s="16" t="s">
        <v>432</v>
      </c>
      <c r="T423" s="14" t="s">
        <v>433</v>
      </c>
      <c r="U423" s="16" t="s">
        <v>31</v>
      </c>
      <c r="V423" s="14" t="s">
        <v>1283</v>
      </c>
      <c r="W423" s="14" t="s">
        <v>2614</v>
      </c>
      <c r="X423" s="17" t="str">
        <f>HYPERLINK("https://my.pitchbook.com?p=169494-76P","View People Online")</f>
        <v>View People Online</v>
      </c>
    </row>
    <row r="424">
      <c r="A424" s="2" t="s">
        <v>3219</v>
      </c>
      <c r="B424" s="2" t="s">
        <v>3220</v>
      </c>
      <c r="C424" s="2" t="s">
        <v>3221</v>
      </c>
      <c r="D424" s="2" t="s">
        <v>3222</v>
      </c>
      <c r="E424" s="2" t="s">
        <v>2614</v>
      </c>
      <c r="F424" s="2" t="s">
        <v>548</v>
      </c>
      <c r="G424" s="2" t="s">
        <v>3223</v>
      </c>
      <c r="H424" s="3" t="s">
        <v>31</v>
      </c>
      <c r="I424" s="3">
        <v>1.0</v>
      </c>
      <c r="J424" s="3">
        <v>1.0</v>
      </c>
      <c r="K424" s="3" t="s">
        <v>31</v>
      </c>
      <c r="L424" s="4" t="s">
        <v>3224</v>
      </c>
      <c r="M424" s="2" t="s">
        <v>3225</v>
      </c>
      <c r="N424" s="2" t="s">
        <v>243</v>
      </c>
      <c r="O424" s="4" t="s">
        <v>244</v>
      </c>
      <c r="P424" s="2" t="s">
        <v>2625</v>
      </c>
      <c r="Q424" s="2" t="s">
        <v>31</v>
      </c>
      <c r="R424" s="2" t="s">
        <v>247</v>
      </c>
      <c r="S424" s="4" t="s">
        <v>2626</v>
      </c>
      <c r="T424" s="2" t="s">
        <v>249</v>
      </c>
      <c r="U424" s="4" t="s">
        <v>31</v>
      </c>
      <c r="V424" s="2" t="s">
        <v>548</v>
      </c>
      <c r="W424" s="2" t="s">
        <v>2614</v>
      </c>
      <c r="X424" s="5" t="str">
        <f>HYPERLINK("https://my.pitchbook.com?p=246380-59P","View People Online")</f>
        <v>View People Online</v>
      </c>
    </row>
    <row r="425">
      <c r="A425" s="6" t="s">
        <v>3226</v>
      </c>
      <c r="B425" s="6" t="s">
        <v>3227</v>
      </c>
      <c r="C425" s="6" t="s">
        <v>3221</v>
      </c>
      <c r="D425" s="6" t="s">
        <v>3228</v>
      </c>
      <c r="E425" s="6" t="s">
        <v>2614</v>
      </c>
      <c r="F425" s="6" t="s">
        <v>29</v>
      </c>
      <c r="G425" s="6" t="s">
        <v>3229</v>
      </c>
      <c r="H425" s="7" t="s">
        <v>31</v>
      </c>
      <c r="I425" s="7">
        <v>15.0</v>
      </c>
      <c r="J425" s="7">
        <v>1.0</v>
      </c>
      <c r="K425" s="7">
        <v>14.0</v>
      </c>
      <c r="L425" s="8" t="s">
        <v>2623</v>
      </c>
      <c r="M425" s="6" t="s">
        <v>3230</v>
      </c>
      <c r="N425" s="6" t="s">
        <v>243</v>
      </c>
      <c r="O425" s="8" t="s">
        <v>244</v>
      </c>
      <c r="P425" s="6" t="s">
        <v>2625</v>
      </c>
      <c r="Q425" s="6" t="s">
        <v>31</v>
      </c>
      <c r="R425" s="6" t="s">
        <v>247</v>
      </c>
      <c r="S425" s="8" t="s">
        <v>2626</v>
      </c>
      <c r="T425" s="6" t="s">
        <v>249</v>
      </c>
      <c r="U425" s="8" t="s">
        <v>31</v>
      </c>
      <c r="V425" s="6" t="s">
        <v>29</v>
      </c>
      <c r="W425" s="6" t="s">
        <v>2614</v>
      </c>
      <c r="X425" s="9" t="str">
        <f>HYPERLINK("https://my.pitchbook.com?p=261842-86P","View People Online")</f>
        <v>View People Online</v>
      </c>
    </row>
    <row r="426">
      <c r="A426" s="2" t="s">
        <v>3231</v>
      </c>
      <c r="B426" s="2" t="s">
        <v>3232</v>
      </c>
      <c r="C426" s="2" t="s">
        <v>3233</v>
      </c>
      <c r="D426" s="2" t="s">
        <v>3234</v>
      </c>
      <c r="E426" s="2" t="s">
        <v>2614</v>
      </c>
      <c r="F426" s="2" t="s">
        <v>57</v>
      </c>
      <c r="G426" s="2" t="s">
        <v>3235</v>
      </c>
      <c r="H426" s="3" t="s">
        <v>31</v>
      </c>
      <c r="I426" s="3">
        <v>8.0</v>
      </c>
      <c r="J426" s="3">
        <v>1.0</v>
      </c>
      <c r="K426" s="3">
        <v>7.0</v>
      </c>
      <c r="L426" s="4" t="s">
        <v>2640</v>
      </c>
      <c r="M426" s="2" t="s">
        <v>3236</v>
      </c>
      <c r="N426" s="2" t="s">
        <v>429</v>
      </c>
      <c r="O426" s="4" t="s">
        <v>430</v>
      </c>
      <c r="P426" s="2" t="s">
        <v>2642</v>
      </c>
      <c r="Q426" s="2" t="s">
        <v>31</v>
      </c>
      <c r="R426" s="2" t="s">
        <v>31</v>
      </c>
      <c r="S426" s="4" t="s">
        <v>432</v>
      </c>
      <c r="T426" s="2" t="s">
        <v>433</v>
      </c>
      <c r="U426" s="4" t="s">
        <v>31</v>
      </c>
      <c r="V426" s="2" t="s">
        <v>57</v>
      </c>
      <c r="W426" s="2" t="s">
        <v>2614</v>
      </c>
      <c r="X426" s="5" t="str">
        <f>HYPERLINK("https://my.pitchbook.com?p=115462-18P","View People Online")</f>
        <v>View People Online</v>
      </c>
    </row>
    <row r="427">
      <c r="A427" s="6" t="s">
        <v>3237</v>
      </c>
      <c r="B427" s="6" t="s">
        <v>3238</v>
      </c>
      <c r="C427" s="6" t="s">
        <v>3239</v>
      </c>
      <c r="D427" s="6" t="s">
        <v>3240</v>
      </c>
      <c r="E427" s="6" t="s">
        <v>2614</v>
      </c>
      <c r="F427" s="6" t="s">
        <v>57</v>
      </c>
      <c r="G427" s="6" t="s">
        <v>3241</v>
      </c>
      <c r="H427" s="7" t="s">
        <v>31</v>
      </c>
      <c r="I427" s="7">
        <v>10.0</v>
      </c>
      <c r="J427" s="7">
        <v>1.0</v>
      </c>
      <c r="K427" s="7">
        <v>9.0</v>
      </c>
      <c r="L427" s="8" t="s">
        <v>2640</v>
      </c>
      <c r="M427" s="6" t="s">
        <v>3242</v>
      </c>
      <c r="N427" s="6" t="s">
        <v>429</v>
      </c>
      <c r="O427" s="8" t="s">
        <v>430</v>
      </c>
      <c r="P427" s="6" t="s">
        <v>2642</v>
      </c>
      <c r="Q427" s="6" t="s">
        <v>31</v>
      </c>
      <c r="R427" s="6" t="s">
        <v>31</v>
      </c>
      <c r="S427" s="8" t="s">
        <v>432</v>
      </c>
      <c r="T427" s="6" t="s">
        <v>433</v>
      </c>
      <c r="U427" s="8" t="s">
        <v>31</v>
      </c>
      <c r="V427" s="6" t="s">
        <v>57</v>
      </c>
      <c r="W427" s="6" t="s">
        <v>2614</v>
      </c>
      <c r="X427" s="9" t="str">
        <f>HYPERLINK("https://my.pitchbook.com?p=82976-32P","View People Online")</f>
        <v>View People Online</v>
      </c>
    </row>
    <row r="428">
      <c r="A428" s="10" t="s">
        <v>3243</v>
      </c>
      <c r="B428" s="10" t="s">
        <v>3244</v>
      </c>
      <c r="C428" s="10" t="s">
        <v>3245</v>
      </c>
      <c r="D428" s="10" t="s">
        <v>3246</v>
      </c>
      <c r="E428" s="10" t="s">
        <v>2614</v>
      </c>
      <c r="F428" s="10" t="s">
        <v>29</v>
      </c>
      <c r="G428" s="10" t="s">
        <v>3247</v>
      </c>
      <c r="H428" s="11" t="s">
        <v>31</v>
      </c>
      <c r="I428" s="11">
        <v>8.0</v>
      </c>
      <c r="J428" s="11">
        <v>2.0</v>
      </c>
      <c r="K428" s="11">
        <v>6.0</v>
      </c>
      <c r="L428" s="12" t="s">
        <v>2716</v>
      </c>
      <c r="M428" s="10" t="s">
        <v>3248</v>
      </c>
      <c r="N428" s="10" t="s">
        <v>1024</v>
      </c>
      <c r="O428" s="12" t="s">
        <v>2718</v>
      </c>
      <c r="P428" s="10" t="s">
        <v>2904</v>
      </c>
      <c r="Q428" s="10" t="s">
        <v>2905</v>
      </c>
      <c r="R428" s="10" t="s">
        <v>31</v>
      </c>
      <c r="S428" s="12" t="s">
        <v>31</v>
      </c>
      <c r="T428" s="10" t="s">
        <v>2721</v>
      </c>
      <c r="U428" s="12" t="s">
        <v>31</v>
      </c>
      <c r="V428" s="10" t="s">
        <v>29</v>
      </c>
      <c r="W428" s="10" t="s">
        <v>2614</v>
      </c>
      <c r="X428" s="13" t="str">
        <f>HYPERLINK("https://my.pitchbook.com?p=160897-24P","View People Online")</f>
        <v>View People Online</v>
      </c>
    </row>
    <row r="429">
      <c r="A429" s="14" t="s">
        <v>3249</v>
      </c>
      <c r="B429" s="14" t="s">
        <v>3250</v>
      </c>
      <c r="C429" s="14" t="s">
        <v>928</v>
      </c>
      <c r="D429" s="14" t="s">
        <v>3251</v>
      </c>
      <c r="E429" s="14" t="s">
        <v>2614</v>
      </c>
      <c r="F429" s="14" t="s">
        <v>3252</v>
      </c>
      <c r="G429" s="14" t="s">
        <v>3253</v>
      </c>
      <c r="H429" s="15" t="s">
        <v>31</v>
      </c>
      <c r="I429" s="15">
        <v>2.0</v>
      </c>
      <c r="J429" s="15">
        <v>1.0</v>
      </c>
      <c r="K429" s="15">
        <v>1.0</v>
      </c>
      <c r="L429" s="16" t="s">
        <v>2632</v>
      </c>
      <c r="M429" s="14" t="s">
        <v>3254</v>
      </c>
      <c r="N429" s="14" t="s">
        <v>2273</v>
      </c>
      <c r="O429" s="16" t="s">
        <v>2274</v>
      </c>
      <c r="P429" s="14" t="s">
        <v>2634</v>
      </c>
      <c r="Q429" s="14" t="s">
        <v>31</v>
      </c>
      <c r="R429" s="14" t="s">
        <v>31</v>
      </c>
      <c r="S429" s="16" t="s">
        <v>2635</v>
      </c>
      <c r="T429" s="14" t="s">
        <v>2278</v>
      </c>
      <c r="U429" s="16" t="s">
        <v>31</v>
      </c>
      <c r="V429" s="14" t="s">
        <v>3255</v>
      </c>
      <c r="W429" s="14" t="s">
        <v>2614</v>
      </c>
      <c r="X429" s="17" t="str">
        <f>HYPERLINK("https://my.pitchbook.com?p=142209-64P","View People Online")</f>
        <v>View People Online</v>
      </c>
    </row>
    <row r="430">
      <c r="A430" s="2" t="s">
        <v>3256</v>
      </c>
      <c r="B430" s="2" t="s">
        <v>3257</v>
      </c>
      <c r="C430" s="2" t="s">
        <v>167</v>
      </c>
      <c r="D430" s="2" t="s">
        <v>3258</v>
      </c>
      <c r="E430" s="2" t="s">
        <v>2614</v>
      </c>
      <c r="F430" s="2" t="s">
        <v>1283</v>
      </c>
      <c r="G430" s="2" t="s">
        <v>3259</v>
      </c>
      <c r="H430" s="3" t="s">
        <v>31</v>
      </c>
      <c r="I430" s="3">
        <v>6.0</v>
      </c>
      <c r="J430" s="3">
        <v>2.0</v>
      </c>
      <c r="K430" s="3">
        <v>3.0</v>
      </c>
      <c r="L430" s="4" t="s">
        <v>2623</v>
      </c>
      <c r="M430" s="2" t="s">
        <v>3260</v>
      </c>
      <c r="N430" s="2" t="s">
        <v>243</v>
      </c>
      <c r="O430" s="4" t="s">
        <v>244</v>
      </c>
      <c r="P430" s="2" t="s">
        <v>2625</v>
      </c>
      <c r="Q430" s="2" t="s">
        <v>31</v>
      </c>
      <c r="R430" s="2" t="s">
        <v>247</v>
      </c>
      <c r="S430" s="4" t="s">
        <v>2626</v>
      </c>
      <c r="T430" s="2" t="s">
        <v>249</v>
      </c>
      <c r="U430" s="4" t="s">
        <v>31</v>
      </c>
      <c r="V430" s="2" t="s">
        <v>1283</v>
      </c>
      <c r="W430" s="2" t="s">
        <v>2614</v>
      </c>
      <c r="X430" s="5" t="str">
        <f>HYPERLINK("https://my.pitchbook.com?p=295006-87P","View People Online")</f>
        <v>View People Online</v>
      </c>
    </row>
    <row r="431">
      <c r="A431" s="6" t="s">
        <v>3261</v>
      </c>
      <c r="B431" s="6" t="s">
        <v>3262</v>
      </c>
      <c r="C431" s="6" t="s">
        <v>3263</v>
      </c>
      <c r="D431" s="6" t="s">
        <v>3264</v>
      </c>
      <c r="E431" s="6" t="s">
        <v>2614</v>
      </c>
      <c r="F431" s="6" t="s">
        <v>1283</v>
      </c>
      <c r="G431" s="6" t="s">
        <v>3265</v>
      </c>
      <c r="H431" s="7" t="s">
        <v>31</v>
      </c>
      <c r="I431" s="7">
        <v>1.0</v>
      </c>
      <c r="J431" s="7">
        <v>1.0</v>
      </c>
      <c r="K431" s="7" t="s">
        <v>31</v>
      </c>
      <c r="L431" s="8" t="s">
        <v>2661</v>
      </c>
      <c r="M431" s="6" t="s">
        <v>3266</v>
      </c>
      <c r="N431" s="6" t="s">
        <v>418</v>
      </c>
      <c r="O431" s="8" t="s">
        <v>419</v>
      </c>
      <c r="P431" s="6" t="s">
        <v>2663</v>
      </c>
      <c r="Q431" s="6" t="s">
        <v>31</v>
      </c>
      <c r="R431" s="6" t="s">
        <v>31</v>
      </c>
      <c r="S431" s="8" t="s">
        <v>2664</v>
      </c>
      <c r="T431" s="6" t="s">
        <v>422</v>
      </c>
      <c r="U431" s="8" t="s">
        <v>31</v>
      </c>
      <c r="V431" s="6" t="s">
        <v>1283</v>
      </c>
      <c r="W431" s="6" t="s">
        <v>2614</v>
      </c>
      <c r="X431" s="9" t="str">
        <f>HYPERLINK("https://my.pitchbook.com?p=112861-99P","View People Online")</f>
        <v>View People Online</v>
      </c>
    </row>
    <row r="432">
      <c r="A432" s="10" t="s">
        <v>3267</v>
      </c>
      <c r="B432" s="10" t="s">
        <v>3268</v>
      </c>
      <c r="C432" s="10" t="s">
        <v>941</v>
      </c>
      <c r="D432" s="10" t="s">
        <v>3269</v>
      </c>
      <c r="E432" s="10" t="s">
        <v>2614</v>
      </c>
      <c r="F432" s="10" t="s">
        <v>57</v>
      </c>
      <c r="G432" s="10" t="s">
        <v>3270</v>
      </c>
      <c r="H432" s="11" t="s">
        <v>31</v>
      </c>
      <c r="I432" s="11">
        <v>2.0</v>
      </c>
      <c r="J432" s="11">
        <v>1.0</v>
      </c>
      <c r="K432" s="11">
        <v>1.0</v>
      </c>
      <c r="L432" s="12" t="s">
        <v>2632</v>
      </c>
      <c r="M432" s="10" t="s">
        <v>3271</v>
      </c>
      <c r="N432" s="10" t="s">
        <v>2273</v>
      </c>
      <c r="O432" s="12" t="s">
        <v>2274</v>
      </c>
      <c r="P432" s="10" t="s">
        <v>2634</v>
      </c>
      <c r="Q432" s="10" t="s">
        <v>31</v>
      </c>
      <c r="R432" s="10" t="s">
        <v>31</v>
      </c>
      <c r="S432" s="12" t="s">
        <v>2635</v>
      </c>
      <c r="T432" s="10" t="s">
        <v>2278</v>
      </c>
      <c r="U432" s="12" t="s">
        <v>31</v>
      </c>
      <c r="V432" s="10" t="s">
        <v>57</v>
      </c>
      <c r="W432" s="10" t="s">
        <v>2614</v>
      </c>
      <c r="X432" s="13" t="str">
        <f>HYPERLINK("https://my.pitchbook.com?p=408517-03P","View People Online")</f>
        <v>View People Online</v>
      </c>
    </row>
    <row r="433">
      <c r="A433" s="6" t="s">
        <v>3272</v>
      </c>
      <c r="B433" s="6" t="s">
        <v>3273</v>
      </c>
      <c r="C433" s="6" t="s">
        <v>3274</v>
      </c>
      <c r="D433" s="6" t="s">
        <v>3275</v>
      </c>
      <c r="E433" s="6" t="s">
        <v>2614</v>
      </c>
      <c r="F433" s="6" t="s">
        <v>81</v>
      </c>
      <c r="G433" s="6" t="s">
        <v>3276</v>
      </c>
      <c r="H433" s="7" t="s">
        <v>31</v>
      </c>
      <c r="I433" s="7">
        <v>3.0</v>
      </c>
      <c r="J433" s="7" t="s">
        <v>31</v>
      </c>
      <c r="K433" s="7">
        <v>2.0</v>
      </c>
      <c r="L433" s="8" t="s">
        <v>3188</v>
      </c>
      <c r="M433" s="6" t="s">
        <v>31</v>
      </c>
      <c r="N433" s="6" t="s">
        <v>3190</v>
      </c>
      <c r="O433" s="8" t="s">
        <v>3191</v>
      </c>
      <c r="P433" s="6" t="s">
        <v>3192</v>
      </c>
      <c r="Q433" s="6" t="s">
        <v>3193</v>
      </c>
      <c r="R433" s="6" t="s">
        <v>31</v>
      </c>
      <c r="S433" s="8" t="s">
        <v>31</v>
      </c>
      <c r="T433" s="6" t="s">
        <v>3194</v>
      </c>
      <c r="U433" s="8" t="s">
        <v>31</v>
      </c>
      <c r="V433" s="6" t="s">
        <v>81</v>
      </c>
      <c r="W433" s="6" t="s">
        <v>2614</v>
      </c>
      <c r="X433" s="9" t="str">
        <f>HYPERLINK("https://my.pitchbook.com?p=30525-67P","View People Online")</f>
        <v>View People Online</v>
      </c>
    </row>
    <row r="434">
      <c r="A434" s="10" t="s">
        <v>3277</v>
      </c>
      <c r="B434" s="10" t="s">
        <v>3278</v>
      </c>
      <c r="C434" s="10" t="s">
        <v>3279</v>
      </c>
      <c r="D434" s="10" t="s">
        <v>3280</v>
      </c>
      <c r="E434" s="10" t="s">
        <v>2614</v>
      </c>
      <c r="F434" s="10" t="s">
        <v>3252</v>
      </c>
      <c r="G434" s="10" t="s">
        <v>3281</v>
      </c>
      <c r="H434" s="11" t="s">
        <v>31</v>
      </c>
      <c r="I434" s="11">
        <v>1.0</v>
      </c>
      <c r="J434" s="11">
        <v>1.0</v>
      </c>
      <c r="K434" s="11" t="s">
        <v>31</v>
      </c>
      <c r="L434" s="12" t="s">
        <v>31</v>
      </c>
      <c r="M434" s="10" t="s">
        <v>3282</v>
      </c>
      <c r="N434" s="10" t="s">
        <v>75</v>
      </c>
      <c r="O434" s="12" t="s">
        <v>76</v>
      </c>
      <c r="P434" s="10" t="s">
        <v>2617</v>
      </c>
      <c r="Q434" s="10" t="s">
        <v>31</v>
      </c>
      <c r="R434" s="10" t="s">
        <v>75</v>
      </c>
      <c r="S434" s="12" t="s">
        <v>1432</v>
      </c>
      <c r="T434" s="10" t="s">
        <v>66</v>
      </c>
      <c r="U434" s="12" t="s">
        <v>31</v>
      </c>
      <c r="V434" s="10" t="s">
        <v>3283</v>
      </c>
      <c r="W434" s="10" t="s">
        <v>2614</v>
      </c>
      <c r="X434" s="13" t="str">
        <f>HYPERLINK("https://my.pitchbook.com?p=104858-56P","View People Online")</f>
        <v>View People Online</v>
      </c>
    </row>
    <row r="435">
      <c r="A435" s="6" t="s">
        <v>3284</v>
      </c>
      <c r="B435" s="6" t="s">
        <v>3285</v>
      </c>
      <c r="C435" s="6" t="s">
        <v>3286</v>
      </c>
      <c r="D435" s="6" t="s">
        <v>3287</v>
      </c>
      <c r="E435" s="6" t="s">
        <v>2614</v>
      </c>
      <c r="F435" s="6" t="s">
        <v>3288</v>
      </c>
      <c r="G435" s="6" t="s">
        <v>3289</v>
      </c>
      <c r="H435" s="7" t="s">
        <v>31</v>
      </c>
      <c r="I435" s="7">
        <v>4.0</v>
      </c>
      <c r="J435" s="7">
        <v>1.0</v>
      </c>
      <c r="K435" s="7">
        <v>3.0</v>
      </c>
      <c r="L435" s="8" t="s">
        <v>2640</v>
      </c>
      <c r="M435" s="6" t="s">
        <v>3290</v>
      </c>
      <c r="N435" s="6" t="s">
        <v>429</v>
      </c>
      <c r="O435" s="8" t="s">
        <v>430</v>
      </c>
      <c r="P435" s="6" t="s">
        <v>2642</v>
      </c>
      <c r="Q435" s="6" t="s">
        <v>31</v>
      </c>
      <c r="R435" s="6" t="s">
        <v>31</v>
      </c>
      <c r="S435" s="8" t="s">
        <v>432</v>
      </c>
      <c r="T435" s="6" t="s">
        <v>433</v>
      </c>
      <c r="U435" s="8" t="s">
        <v>31</v>
      </c>
      <c r="V435" s="6" t="s">
        <v>3291</v>
      </c>
      <c r="W435" s="6" t="s">
        <v>2614</v>
      </c>
      <c r="X435" s="9" t="str">
        <f>HYPERLINK("https://my.pitchbook.com?p=358977-43P","View People Online")</f>
        <v>View People Online</v>
      </c>
    </row>
    <row r="436">
      <c r="A436" s="10" t="s">
        <v>3292</v>
      </c>
      <c r="B436" s="10" t="s">
        <v>3293</v>
      </c>
      <c r="C436" s="10" t="s">
        <v>3294</v>
      </c>
      <c r="D436" s="10" t="s">
        <v>3295</v>
      </c>
      <c r="E436" s="10" t="s">
        <v>2614</v>
      </c>
      <c r="F436" s="10" t="s">
        <v>1283</v>
      </c>
      <c r="G436" s="10" t="s">
        <v>3296</v>
      </c>
      <c r="H436" s="11" t="s">
        <v>31</v>
      </c>
      <c r="I436" s="11">
        <v>1.0</v>
      </c>
      <c r="J436" s="11">
        <v>1.0</v>
      </c>
      <c r="K436" s="11" t="s">
        <v>31</v>
      </c>
      <c r="L436" s="12" t="s">
        <v>31</v>
      </c>
      <c r="M436" s="10" t="s">
        <v>3297</v>
      </c>
      <c r="N436" s="10" t="s">
        <v>75</v>
      </c>
      <c r="O436" s="12" t="s">
        <v>76</v>
      </c>
      <c r="P436" s="10" t="s">
        <v>2617</v>
      </c>
      <c r="Q436" s="10" t="s">
        <v>31</v>
      </c>
      <c r="R436" s="10" t="s">
        <v>75</v>
      </c>
      <c r="S436" s="12" t="s">
        <v>1432</v>
      </c>
      <c r="T436" s="10" t="s">
        <v>66</v>
      </c>
      <c r="U436" s="12" t="s">
        <v>31</v>
      </c>
      <c r="V436" s="10" t="s">
        <v>1283</v>
      </c>
      <c r="W436" s="10" t="s">
        <v>2614</v>
      </c>
      <c r="X436" s="13" t="str">
        <f>HYPERLINK("https://my.pitchbook.com?p=381128-68P","View People Online")</f>
        <v>View People Online</v>
      </c>
    </row>
    <row r="437">
      <c r="A437" s="14" t="s">
        <v>3298</v>
      </c>
      <c r="B437" s="14" t="s">
        <v>3299</v>
      </c>
      <c r="C437" s="14" t="s">
        <v>3300</v>
      </c>
      <c r="D437" s="14" t="s">
        <v>3301</v>
      </c>
      <c r="E437" s="14" t="s">
        <v>2614</v>
      </c>
      <c r="F437" s="14" t="s">
        <v>1283</v>
      </c>
      <c r="G437" s="14" t="s">
        <v>3302</v>
      </c>
      <c r="H437" s="15" t="s">
        <v>31</v>
      </c>
      <c r="I437" s="15">
        <v>2.0</v>
      </c>
      <c r="J437" s="15">
        <v>1.0</v>
      </c>
      <c r="K437" s="15">
        <v>1.0</v>
      </c>
      <c r="L437" s="16" t="s">
        <v>3303</v>
      </c>
      <c r="M437" s="14" t="s">
        <v>3304</v>
      </c>
      <c r="N437" s="14" t="s">
        <v>418</v>
      </c>
      <c r="O437" s="16" t="s">
        <v>419</v>
      </c>
      <c r="P437" s="14" t="s">
        <v>2663</v>
      </c>
      <c r="Q437" s="14" t="s">
        <v>31</v>
      </c>
      <c r="R437" s="14" t="s">
        <v>31</v>
      </c>
      <c r="S437" s="16" t="s">
        <v>2664</v>
      </c>
      <c r="T437" s="14" t="s">
        <v>422</v>
      </c>
      <c r="U437" s="16" t="s">
        <v>31</v>
      </c>
      <c r="V437" s="14" t="s">
        <v>1283</v>
      </c>
      <c r="W437" s="14" t="s">
        <v>2614</v>
      </c>
      <c r="X437" s="17" t="str">
        <f>HYPERLINK("https://my.pitchbook.com?p=351704-71P","View People Online")</f>
        <v>View People Online</v>
      </c>
    </row>
    <row r="438">
      <c r="A438" s="10" t="s">
        <v>3305</v>
      </c>
      <c r="B438" s="10" t="s">
        <v>3306</v>
      </c>
      <c r="C438" s="10" t="s">
        <v>3307</v>
      </c>
      <c r="D438" s="10" t="s">
        <v>3308</v>
      </c>
      <c r="E438" s="10" t="s">
        <v>2614</v>
      </c>
      <c r="F438" s="10" t="s">
        <v>29</v>
      </c>
      <c r="G438" s="10" t="s">
        <v>3309</v>
      </c>
      <c r="H438" s="11" t="s">
        <v>31</v>
      </c>
      <c r="I438" s="11">
        <v>8.0</v>
      </c>
      <c r="J438" s="11">
        <v>1.0</v>
      </c>
      <c r="K438" s="11">
        <v>7.0</v>
      </c>
      <c r="L438" s="12" t="s">
        <v>31</v>
      </c>
      <c r="M438" s="10" t="s">
        <v>3310</v>
      </c>
      <c r="N438" s="10" t="s">
        <v>75</v>
      </c>
      <c r="O438" s="12" t="s">
        <v>76</v>
      </c>
      <c r="P438" s="10" t="s">
        <v>2617</v>
      </c>
      <c r="Q438" s="10" t="s">
        <v>31</v>
      </c>
      <c r="R438" s="10" t="s">
        <v>75</v>
      </c>
      <c r="S438" s="12" t="s">
        <v>1432</v>
      </c>
      <c r="T438" s="10" t="s">
        <v>66</v>
      </c>
      <c r="U438" s="12" t="s">
        <v>31</v>
      </c>
      <c r="V438" s="10" t="s">
        <v>29</v>
      </c>
      <c r="W438" s="10" t="s">
        <v>2614</v>
      </c>
      <c r="X438" s="13" t="str">
        <f>HYPERLINK("https://my.pitchbook.com?p=67832-65P","View People Online")</f>
        <v>View People Online</v>
      </c>
    </row>
    <row r="439">
      <c r="A439" s="6" t="s">
        <v>3311</v>
      </c>
      <c r="B439" s="6" t="s">
        <v>3312</v>
      </c>
      <c r="C439" s="6" t="s">
        <v>395</v>
      </c>
      <c r="D439" s="6" t="s">
        <v>3313</v>
      </c>
      <c r="E439" s="6" t="s">
        <v>2614</v>
      </c>
      <c r="F439" s="6" t="s">
        <v>548</v>
      </c>
      <c r="G439" s="6" t="s">
        <v>3314</v>
      </c>
      <c r="H439" s="7" t="s">
        <v>31</v>
      </c>
      <c r="I439" s="7">
        <v>4.0</v>
      </c>
      <c r="J439" s="7">
        <v>2.0</v>
      </c>
      <c r="K439" s="7">
        <v>2.0</v>
      </c>
      <c r="L439" s="8" t="s">
        <v>3315</v>
      </c>
      <c r="M439" s="6" t="s">
        <v>3316</v>
      </c>
      <c r="N439" s="6" t="s">
        <v>243</v>
      </c>
      <c r="O439" s="8" t="s">
        <v>244</v>
      </c>
      <c r="P439" s="6" t="s">
        <v>2625</v>
      </c>
      <c r="Q439" s="6" t="s">
        <v>31</v>
      </c>
      <c r="R439" s="6" t="s">
        <v>247</v>
      </c>
      <c r="S439" s="8" t="s">
        <v>2626</v>
      </c>
      <c r="T439" s="6" t="s">
        <v>249</v>
      </c>
      <c r="U439" s="8" t="s">
        <v>31</v>
      </c>
      <c r="V439" s="6" t="s">
        <v>548</v>
      </c>
      <c r="W439" s="6" t="s">
        <v>2614</v>
      </c>
      <c r="X439" s="9" t="str">
        <f>HYPERLINK("https://my.pitchbook.com?p=68927-68P","View People Online")</f>
        <v>View People Online</v>
      </c>
    </row>
    <row r="440">
      <c r="A440" s="10" t="s">
        <v>3317</v>
      </c>
      <c r="B440" s="10" t="s">
        <v>3318</v>
      </c>
      <c r="C440" s="10" t="s">
        <v>395</v>
      </c>
      <c r="D440" s="10" t="s">
        <v>3319</v>
      </c>
      <c r="E440" s="10" t="s">
        <v>2614</v>
      </c>
      <c r="F440" s="10" t="s">
        <v>29</v>
      </c>
      <c r="G440" s="10" t="s">
        <v>3320</v>
      </c>
      <c r="H440" s="11" t="s">
        <v>31</v>
      </c>
      <c r="I440" s="11">
        <v>1.0</v>
      </c>
      <c r="J440" s="11">
        <v>1.0</v>
      </c>
      <c r="K440" s="11" t="s">
        <v>31</v>
      </c>
      <c r="L440" s="12" t="s">
        <v>2640</v>
      </c>
      <c r="M440" s="10" t="s">
        <v>3321</v>
      </c>
      <c r="N440" s="10" t="s">
        <v>429</v>
      </c>
      <c r="O440" s="12" t="s">
        <v>430</v>
      </c>
      <c r="P440" s="10" t="s">
        <v>2642</v>
      </c>
      <c r="Q440" s="10" t="s">
        <v>31</v>
      </c>
      <c r="R440" s="10" t="s">
        <v>31</v>
      </c>
      <c r="S440" s="12" t="s">
        <v>432</v>
      </c>
      <c r="T440" s="10" t="s">
        <v>433</v>
      </c>
      <c r="U440" s="12" t="s">
        <v>31</v>
      </c>
      <c r="V440" s="10" t="s">
        <v>29</v>
      </c>
      <c r="W440" s="10" t="s">
        <v>2614</v>
      </c>
      <c r="X440" s="13" t="str">
        <f>HYPERLINK("https://my.pitchbook.com?p=408509-47P","View People Online")</f>
        <v>View People Online</v>
      </c>
    </row>
    <row r="441">
      <c r="A441" s="6" t="s">
        <v>3322</v>
      </c>
      <c r="B441" s="6" t="s">
        <v>3323</v>
      </c>
      <c r="C441" s="6" t="s">
        <v>395</v>
      </c>
      <c r="D441" s="6" t="s">
        <v>3324</v>
      </c>
      <c r="E441" s="6" t="s">
        <v>2614</v>
      </c>
      <c r="F441" s="6" t="s">
        <v>29</v>
      </c>
      <c r="G441" s="6" t="s">
        <v>3325</v>
      </c>
      <c r="H441" s="7" t="s">
        <v>31</v>
      </c>
      <c r="I441" s="7">
        <v>21.0</v>
      </c>
      <c r="J441" s="7">
        <v>1.0</v>
      </c>
      <c r="K441" s="7">
        <v>20.0</v>
      </c>
      <c r="L441" s="8" t="s">
        <v>3326</v>
      </c>
      <c r="M441" s="6" t="s">
        <v>3327</v>
      </c>
      <c r="N441" s="6" t="s">
        <v>243</v>
      </c>
      <c r="O441" s="8" t="s">
        <v>244</v>
      </c>
      <c r="P441" s="6" t="s">
        <v>2625</v>
      </c>
      <c r="Q441" s="6" t="s">
        <v>31</v>
      </c>
      <c r="R441" s="6" t="s">
        <v>247</v>
      </c>
      <c r="S441" s="8" t="s">
        <v>2626</v>
      </c>
      <c r="T441" s="6" t="s">
        <v>249</v>
      </c>
      <c r="U441" s="8" t="s">
        <v>31</v>
      </c>
      <c r="V441" s="6" t="s">
        <v>29</v>
      </c>
      <c r="W441" s="6" t="s">
        <v>2614</v>
      </c>
      <c r="X441" s="9" t="str">
        <f>HYPERLINK("https://my.pitchbook.com?p=67801-24P","View People Online")</f>
        <v>View People Online</v>
      </c>
    </row>
    <row r="442">
      <c r="A442" s="2" t="s">
        <v>3328</v>
      </c>
      <c r="B442" s="2" t="s">
        <v>3329</v>
      </c>
      <c r="C442" s="2" t="s">
        <v>395</v>
      </c>
      <c r="D442" s="2" t="s">
        <v>3330</v>
      </c>
      <c r="E442" s="2" t="s">
        <v>2614</v>
      </c>
      <c r="F442" s="2" t="s">
        <v>2652</v>
      </c>
      <c r="G442" s="2" t="s">
        <v>3331</v>
      </c>
      <c r="H442" s="3" t="s">
        <v>31</v>
      </c>
      <c r="I442" s="3">
        <v>2.0</v>
      </c>
      <c r="J442" s="3">
        <v>1.0</v>
      </c>
      <c r="K442" s="3">
        <v>1.0</v>
      </c>
      <c r="L442" s="4" t="s">
        <v>3332</v>
      </c>
      <c r="M442" s="2" t="s">
        <v>3333</v>
      </c>
      <c r="N442" s="2" t="s">
        <v>3334</v>
      </c>
      <c r="O442" s="4" t="s">
        <v>3335</v>
      </c>
      <c r="P442" s="2" t="s">
        <v>3336</v>
      </c>
      <c r="Q442" s="2" t="s">
        <v>3337</v>
      </c>
      <c r="R442" s="2" t="s">
        <v>31</v>
      </c>
      <c r="S442" s="4" t="s">
        <v>3338</v>
      </c>
      <c r="T442" s="2" t="s">
        <v>3339</v>
      </c>
      <c r="U442" s="4" t="s">
        <v>31</v>
      </c>
      <c r="V442" s="2" t="s">
        <v>3340</v>
      </c>
      <c r="W442" s="2" t="s">
        <v>2614</v>
      </c>
      <c r="X442" s="5" t="str">
        <f>HYPERLINK("https://my.pitchbook.com?p=185380-84P","View People Online")</f>
        <v>View People Online</v>
      </c>
    </row>
    <row r="443">
      <c r="A443" s="14" t="s">
        <v>3341</v>
      </c>
      <c r="B443" s="14" t="s">
        <v>3342</v>
      </c>
      <c r="C443" s="14" t="s">
        <v>536</v>
      </c>
      <c r="D443" s="14" t="s">
        <v>3343</v>
      </c>
      <c r="E443" s="14" t="s">
        <v>2614</v>
      </c>
      <c r="F443" s="14" t="s">
        <v>548</v>
      </c>
      <c r="G443" s="14" t="s">
        <v>3344</v>
      </c>
      <c r="H443" s="15" t="s">
        <v>31</v>
      </c>
      <c r="I443" s="15">
        <v>1.0</v>
      </c>
      <c r="J443" s="15">
        <v>1.0</v>
      </c>
      <c r="K443" s="15" t="s">
        <v>31</v>
      </c>
      <c r="L443" s="16" t="s">
        <v>31</v>
      </c>
      <c r="M443" s="14" t="s">
        <v>3345</v>
      </c>
      <c r="N443" s="14" t="s">
        <v>75</v>
      </c>
      <c r="O443" s="16" t="s">
        <v>76</v>
      </c>
      <c r="P443" s="14" t="s">
        <v>2617</v>
      </c>
      <c r="Q443" s="14" t="s">
        <v>31</v>
      </c>
      <c r="R443" s="14" t="s">
        <v>75</v>
      </c>
      <c r="S443" s="16" t="s">
        <v>1432</v>
      </c>
      <c r="T443" s="14" t="s">
        <v>66</v>
      </c>
      <c r="U443" s="16" t="s">
        <v>31</v>
      </c>
      <c r="V443" s="14" t="s">
        <v>3346</v>
      </c>
      <c r="W443" s="14" t="s">
        <v>2614</v>
      </c>
      <c r="X443" s="17" t="str">
        <f>HYPERLINK("https://my.pitchbook.com?p=262525-78P","View People Online")</f>
        <v>View People Online</v>
      </c>
    </row>
    <row r="444">
      <c r="A444" s="10" t="s">
        <v>3347</v>
      </c>
      <c r="B444" s="10" t="s">
        <v>3348</v>
      </c>
      <c r="C444" s="10" t="s">
        <v>536</v>
      </c>
      <c r="D444" s="10" t="s">
        <v>3349</v>
      </c>
      <c r="E444" s="10" t="s">
        <v>2614</v>
      </c>
      <c r="F444" s="10" t="s">
        <v>548</v>
      </c>
      <c r="G444" s="10" t="s">
        <v>3350</v>
      </c>
      <c r="H444" s="11" t="s">
        <v>31</v>
      </c>
      <c r="I444" s="11">
        <v>4.0</v>
      </c>
      <c r="J444" s="11">
        <v>1.0</v>
      </c>
      <c r="K444" s="11">
        <v>3.0</v>
      </c>
      <c r="L444" s="12" t="s">
        <v>2623</v>
      </c>
      <c r="M444" s="10" t="s">
        <v>3351</v>
      </c>
      <c r="N444" s="10" t="s">
        <v>243</v>
      </c>
      <c r="O444" s="12" t="s">
        <v>244</v>
      </c>
      <c r="P444" s="10" t="s">
        <v>2625</v>
      </c>
      <c r="Q444" s="10" t="s">
        <v>31</v>
      </c>
      <c r="R444" s="10" t="s">
        <v>247</v>
      </c>
      <c r="S444" s="12" t="s">
        <v>2626</v>
      </c>
      <c r="T444" s="10" t="s">
        <v>249</v>
      </c>
      <c r="U444" s="12" t="s">
        <v>31</v>
      </c>
      <c r="V444" s="10" t="s">
        <v>548</v>
      </c>
      <c r="W444" s="10" t="s">
        <v>2614</v>
      </c>
      <c r="X444" s="13" t="str">
        <f>HYPERLINK("https://my.pitchbook.com?p=395769-16P","View People Online")</f>
        <v>View People Online</v>
      </c>
    </row>
    <row r="445">
      <c r="A445" s="14" t="s">
        <v>3352</v>
      </c>
      <c r="B445" s="14" t="s">
        <v>3353</v>
      </c>
      <c r="C445" s="14" t="s">
        <v>536</v>
      </c>
      <c r="D445" s="14" t="s">
        <v>3354</v>
      </c>
      <c r="E445" s="14" t="s">
        <v>2614</v>
      </c>
      <c r="F445" s="14" t="s">
        <v>548</v>
      </c>
      <c r="G445" s="14" t="s">
        <v>3355</v>
      </c>
      <c r="H445" s="15" t="s">
        <v>31</v>
      </c>
      <c r="I445" s="15">
        <v>8.0</v>
      </c>
      <c r="J445" s="15">
        <v>1.0</v>
      </c>
      <c r="K445" s="15">
        <v>7.0</v>
      </c>
      <c r="L445" s="16" t="s">
        <v>2623</v>
      </c>
      <c r="M445" s="14" t="s">
        <v>3356</v>
      </c>
      <c r="N445" s="14" t="s">
        <v>243</v>
      </c>
      <c r="O445" s="16" t="s">
        <v>244</v>
      </c>
      <c r="P445" s="14" t="s">
        <v>2625</v>
      </c>
      <c r="Q445" s="14" t="s">
        <v>31</v>
      </c>
      <c r="R445" s="14" t="s">
        <v>247</v>
      </c>
      <c r="S445" s="16" t="s">
        <v>2626</v>
      </c>
      <c r="T445" s="14" t="s">
        <v>249</v>
      </c>
      <c r="U445" s="16" t="s">
        <v>31</v>
      </c>
      <c r="V445" s="14" t="s">
        <v>548</v>
      </c>
      <c r="W445" s="14" t="s">
        <v>2614</v>
      </c>
      <c r="X445" s="17" t="str">
        <f>HYPERLINK("https://my.pitchbook.com?p=68934-16P","View People Online")</f>
        <v>View People Online</v>
      </c>
    </row>
    <row r="446">
      <c r="A446" s="10" t="s">
        <v>3357</v>
      </c>
      <c r="B446" s="10" t="s">
        <v>3358</v>
      </c>
      <c r="C446" s="10" t="s">
        <v>3359</v>
      </c>
      <c r="D446" s="10" t="s">
        <v>3360</v>
      </c>
      <c r="E446" s="10" t="s">
        <v>2614</v>
      </c>
      <c r="F446" s="10" t="s">
        <v>57</v>
      </c>
      <c r="G446" s="10" t="s">
        <v>3361</v>
      </c>
      <c r="H446" s="11" t="s">
        <v>31</v>
      </c>
      <c r="I446" s="11">
        <v>4.0</v>
      </c>
      <c r="J446" s="11">
        <v>1.0</v>
      </c>
      <c r="K446" s="11">
        <v>3.0</v>
      </c>
      <c r="L446" s="12" t="s">
        <v>2632</v>
      </c>
      <c r="M446" s="10" t="s">
        <v>3362</v>
      </c>
      <c r="N446" s="10" t="s">
        <v>2273</v>
      </c>
      <c r="O446" s="12" t="s">
        <v>2274</v>
      </c>
      <c r="P446" s="10" t="s">
        <v>2634</v>
      </c>
      <c r="Q446" s="10" t="s">
        <v>31</v>
      </c>
      <c r="R446" s="10" t="s">
        <v>31</v>
      </c>
      <c r="S446" s="12" t="s">
        <v>2635</v>
      </c>
      <c r="T446" s="10" t="s">
        <v>2278</v>
      </c>
      <c r="U446" s="12" t="s">
        <v>31</v>
      </c>
      <c r="V446" s="10" t="s">
        <v>57</v>
      </c>
      <c r="W446" s="10" t="s">
        <v>2614</v>
      </c>
      <c r="X446" s="13" t="str">
        <f>HYPERLINK("https://my.pitchbook.com?p=160896-79P","View People Online")</f>
        <v>View People Online</v>
      </c>
    </row>
    <row r="447">
      <c r="A447" s="14" t="s">
        <v>3363</v>
      </c>
      <c r="B447" s="14" t="s">
        <v>3364</v>
      </c>
      <c r="C447" s="14" t="s">
        <v>3359</v>
      </c>
      <c r="D447" s="14" t="s">
        <v>3365</v>
      </c>
      <c r="E447" s="14" t="s">
        <v>2614</v>
      </c>
      <c r="F447" s="14" t="s">
        <v>1283</v>
      </c>
      <c r="G447" s="14" t="s">
        <v>3366</v>
      </c>
      <c r="H447" s="15" t="s">
        <v>31</v>
      </c>
      <c r="I447" s="15">
        <v>1.0</v>
      </c>
      <c r="J447" s="15">
        <v>1.0</v>
      </c>
      <c r="K447" s="15" t="s">
        <v>31</v>
      </c>
      <c r="L447" s="16" t="s">
        <v>2623</v>
      </c>
      <c r="M447" s="14" t="s">
        <v>3367</v>
      </c>
      <c r="N447" s="14" t="s">
        <v>243</v>
      </c>
      <c r="O447" s="16" t="s">
        <v>244</v>
      </c>
      <c r="P447" s="14" t="s">
        <v>2625</v>
      </c>
      <c r="Q447" s="14" t="s">
        <v>31</v>
      </c>
      <c r="R447" s="14" t="s">
        <v>247</v>
      </c>
      <c r="S447" s="16" t="s">
        <v>2626</v>
      </c>
      <c r="T447" s="14" t="s">
        <v>249</v>
      </c>
      <c r="U447" s="16" t="s">
        <v>31</v>
      </c>
      <c r="V447" s="14" t="s">
        <v>1283</v>
      </c>
      <c r="W447" s="14" t="s">
        <v>2614</v>
      </c>
      <c r="X447" s="17" t="str">
        <f>HYPERLINK("https://my.pitchbook.com?p=408508-03P","View People Online")</f>
        <v>View People Online</v>
      </c>
    </row>
    <row r="448">
      <c r="A448" s="10" t="s">
        <v>3368</v>
      </c>
      <c r="B448" s="10" t="s">
        <v>3369</v>
      </c>
      <c r="C448" s="10" t="s">
        <v>3370</v>
      </c>
      <c r="D448" s="10" t="s">
        <v>3371</v>
      </c>
      <c r="E448" s="10" t="s">
        <v>2614</v>
      </c>
      <c r="F448" s="10" t="s">
        <v>1283</v>
      </c>
      <c r="G448" s="10" t="s">
        <v>3372</v>
      </c>
      <c r="H448" s="11" t="s">
        <v>31</v>
      </c>
      <c r="I448" s="11">
        <v>1.0</v>
      </c>
      <c r="J448" s="11">
        <v>1.0</v>
      </c>
      <c r="K448" s="11" t="s">
        <v>31</v>
      </c>
      <c r="L448" s="12" t="s">
        <v>2623</v>
      </c>
      <c r="M448" s="10" t="s">
        <v>3373</v>
      </c>
      <c r="N448" s="10" t="s">
        <v>243</v>
      </c>
      <c r="O448" s="12" t="s">
        <v>244</v>
      </c>
      <c r="P448" s="10" t="s">
        <v>2625</v>
      </c>
      <c r="Q448" s="10" t="s">
        <v>31</v>
      </c>
      <c r="R448" s="10" t="s">
        <v>247</v>
      </c>
      <c r="S448" s="12" t="s">
        <v>2626</v>
      </c>
      <c r="T448" s="10" t="s">
        <v>249</v>
      </c>
      <c r="U448" s="12" t="s">
        <v>31</v>
      </c>
      <c r="V448" s="10" t="s">
        <v>1283</v>
      </c>
      <c r="W448" s="10" t="s">
        <v>2614</v>
      </c>
      <c r="X448" s="13" t="str">
        <f>HYPERLINK("https://my.pitchbook.com?p=408506-59P","View People Online")</f>
        <v>View People Online</v>
      </c>
    </row>
    <row r="449">
      <c r="A449" s="14" t="s">
        <v>3374</v>
      </c>
      <c r="B449" s="14" t="s">
        <v>3375</v>
      </c>
      <c r="C449" s="14" t="s">
        <v>3376</v>
      </c>
      <c r="D449" s="14" t="s">
        <v>3377</v>
      </c>
      <c r="E449" s="14" t="s">
        <v>2614</v>
      </c>
      <c r="F449" s="14" t="s">
        <v>3288</v>
      </c>
      <c r="G449" s="14" t="s">
        <v>3378</v>
      </c>
      <c r="H449" s="15" t="s">
        <v>31</v>
      </c>
      <c r="I449" s="15">
        <v>4.0</v>
      </c>
      <c r="J449" s="15">
        <v>1.0</v>
      </c>
      <c r="K449" s="15">
        <v>3.0</v>
      </c>
      <c r="L449" s="16" t="s">
        <v>31</v>
      </c>
      <c r="M449" s="14" t="s">
        <v>3379</v>
      </c>
      <c r="N449" s="14" t="s">
        <v>75</v>
      </c>
      <c r="O449" s="16" t="s">
        <v>76</v>
      </c>
      <c r="P449" s="14" t="s">
        <v>2617</v>
      </c>
      <c r="Q449" s="14" t="s">
        <v>31</v>
      </c>
      <c r="R449" s="14" t="s">
        <v>75</v>
      </c>
      <c r="S449" s="16" t="s">
        <v>1432</v>
      </c>
      <c r="T449" s="14" t="s">
        <v>66</v>
      </c>
      <c r="U449" s="16" t="s">
        <v>31</v>
      </c>
      <c r="V449" s="14" t="s">
        <v>3380</v>
      </c>
      <c r="W449" s="14" t="s">
        <v>2614</v>
      </c>
      <c r="X449" s="17" t="str">
        <f>HYPERLINK("https://my.pitchbook.com?p=39378-25P","View People Online")</f>
        <v>View People Online</v>
      </c>
    </row>
    <row r="450">
      <c r="A450" s="2" t="s">
        <v>3381</v>
      </c>
      <c r="B450" s="2" t="s">
        <v>3382</v>
      </c>
      <c r="C450" s="2" t="s">
        <v>3383</v>
      </c>
      <c r="D450" s="2" t="s">
        <v>3384</v>
      </c>
      <c r="E450" s="2" t="s">
        <v>2614</v>
      </c>
      <c r="F450" s="2" t="s">
        <v>57</v>
      </c>
      <c r="G450" s="2" t="s">
        <v>3385</v>
      </c>
      <c r="H450" s="3" t="s">
        <v>31</v>
      </c>
      <c r="I450" s="3">
        <v>3.0</v>
      </c>
      <c r="J450" s="3">
        <v>1.0</v>
      </c>
      <c r="K450" s="3">
        <v>2.0</v>
      </c>
      <c r="L450" s="4" t="s">
        <v>2632</v>
      </c>
      <c r="M450" s="2" t="s">
        <v>3386</v>
      </c>
      <c r="N450" s="2" t="s">
        <v>2273</v>
      </c>
      <c r="O450" s="4" t="s">
        <v>2274</v>
      </c>
      <c r="P450" s="2" t="s">
        <v>2634</v>
      </c>
      <c r="Q450" s="2" t="s">
        <v>31</v>
      </c>
      <c r="R450" s="2" t="s">
        <v>31</v>
      </c>
      <c r="S450" s="4" t="s">
        <v>2635</v>
      </c>
      <c r="T450" s="2" t="s">
        <v>2278</v>
      </c>
      <c r="U450" s="4" t="s">
        <v>31</v>
      </c>
      <c r="V450" s="2" t="s">
        <v>57</v>
      </c>
      <c r="W450" s="2" t="s">
        <v>2614</v>
      </c>
      <c r="X450" s="5" t="str">
        <f>HYPERLINK("https://my.pitchbook.com?p=35659-45P","View People Online")</f>
        <v>View People Online</v>
      </c>
    </row>
    <row r="451">
      <c r="A451" s="14" t="s">
        <v>3387</v>
      </c>
      <c r="B451" s="14" t="s">
        <v>3388</v>
      </c>
      <c r="C451" s="14" t="s">
        <v>1024</v>
      </c>
      <c r="D451" s="14" t="s">
        <v>3389</v>
      </c>
      <c r="E451" s="14" t="s">
        <v>2614</v>
      </c>
      <c r="F451" s="14" t="s">
        <v>3390</v>
      </c>
      <c r="G451" s="14" t="s">
        <v>3391</v>
      </c>
      <c r="H451" s="15" t="s">
        <v>31</v>
      </c>
      <c r="I451" s="15">
        <v>9.0</v>
      </c>
      <c r="J451" s="15">
        <v>1.0</v>
      </c>
      <c r="K451" s="15">
        <v>7.0</v>
      </c>
      <c r="L451" s="16" t="s">
        <v>2632</v>
      </c>
      <c r="M451" s="14" t="s">
        <v>3392</v>
      </c>
      <c r="N451" s="14" t="s">
        <v>2273</v>
      </c>
      <c r="O451" s="16" t="s">
        <v>2274</v>
      </c>
      <c r="P451" s="14" t="s">
        <v>2634</v>
      </c>
      <c r="Q451" s="14" t="s">
        <v>31</v>
      </c>
      <c r="R451" s="14" t="s">
        <v>31</v>
      </c>
      <c r="S451" s="16" t="s">
        <v>2635</v>
      </c>
      <c r="T451" s="14" t="s">
        <v>2278</v>
      </c>
      <c r="U451" s="16" t="s">
        <v>31</v>
      </c>
      <c r="V451" s="14" t="s">
        <v>3393</v>
      </c>
      <c r="W451" s="14" t="s">
        <v>2614</v>
      </c>
      <c r="X451" s="17" t="str">
        <f>HYPERLINK("https://my.pitchbook.com?p=52986-70P","View People Online")</f>
        <v>View People Online</v>
      </c>
    </row>
    <row r="452">
      <c r="A452" s="10" t="s">
        <v>3394</v>
      </c>
      <c r="B452" s="10" t="s">
        <v>3395</v>
      </c>
      <c r="C452" s="10" t="s">
        <v>1388</v>
      </c>
      <c r="D452" s="10" t="s">
        <v>3396</v>
      </c>
      <c r="E452" s="10" t="s">
        <v>2614</v>
      </c>
      <c r="F452" s="10" t="s">
        <v>1544</v>
      </c>
      <c r="G452" s="10" t="s">
        <v>3397</v>
      </c>
      <c r="H452" s="11" t="s">
        <v>31</v>
      </c>
      <c r="I452" s="11">
        <v>1.0</v>
      </c>
      <c r="J452" s="11">
        <v>1.0</v>
      </c>
      <c r="K452" s="11" t="s">
        <v>31</v>
      </c>
      <c r="L452" s="12" t="s">
        <v>2623</v>
      </c>
      <c r="M452" s="10" t="s">
        <v>3398</v>
      </c>
      <c r="N452" s="10" t="s">
        <v>243</v>
      </c>
      <c r="O452" s="12" t="s">
        <v>244</v>
      </c>
      <c r="P452" s="10" t="s">
        <v>2625</v>
      </c>
      <c r="Q452" s="10" t="s">
        <v>31</v>
      </c>
      <c r="R452" s="10" t="s">
        <v>247</v>
      </c>
      <c r="S452" s="12" t="s">
        <v>2626</v>
      </c>
      <c r="T452" s="10" t="s">
        <v>249</v>
      </c>
      <c r="U452" s="12" t="s">
        <v>31</v>
      </c>
      <c r="V452" s="10" t="s">
        <v>3399</v>
      </c>
      <c r="W452" s="10" t="s">
        <v>2614</v>
      </c>
      <c r="X452" s="13" t="str">
        <f>HYPERLINK("https://my.pitchbook.com?p=414058-06P","View People Online")</f>
        <v>View People Online</v>
      </c>
    </row>
    <row r="453">
      <c r="A453" s="14" t="s">
        <v>3400</v>
      </c>
      <c r="B453" s="14" t="s">
        <v>3401</v>
      </c>
      <c r="C453" s="14" t="s">
        <v>3402</v>
      </c>
      <c r="D453" s="14" t="s">
        <v>3403</v>
      </c>
      <c r="E453" s="14" t="s">
        <v>2614</v>
      </c>
      <c r="F453" s="14" t="s">
        <v>1283</v>
      </c>
      <c r="G453" s="14" t="s">
        <v>3404</v>
      </c>
      <c r="H453" s="15" t="s">
        <v>31</v>
      </c>
      <c r="I453" s="15">
        <v>2.0</v>
      </c>
      <c r="J453" s="15">
        <v>1.0</v>
      </c>
      <c r="K453" s="15">
        <v>1.0</v>
      </c>
      <c r="L453" s="16" t="s">
        <v>2632</v>
      </c>
      <c r="M453" s="14" t="s">
        <v>3405</v>
      </c>
      <c r="N453" s="14" t="s">
        <v>2273</v>
      </c>
      <c r="O453" s="16" t="s">
        <v>2274</v>
      </c>
      <c r="P453" s="14" t="s">
        <v>2634</v>
      </c>
      <c r="Q453" s="14" t="s">
        <v>31</v>
      </c>
      <c r="R453" s="14" t="s">
        <v>31</v>
      </c>
      <c r="S453" s="16" t="s">
        <v>2635</v>
      </c>
      <c r="T453" s="14" t="s">
        <v>2278</v>
      </c>
      <c r="U453" s="16" t="s">
        <v>31</v>
      </c>
      <c r="V453" s="14" t="s">
        <v>3406</v>
      </c>
      <c r="W453" s="14" t="s">
        <v>2614</v>
      </c>
      <c r="X453" s="17" t="str">
        <f>HYPERLINK("https://my.pitchbook.com?p=104860-27P","View People Online")</f>
        <v>View People Online</v>
      </c>
    </row>
    <row r="454">
      <c r="A454" s="10" t="s">
        <v>3407</v>
      </c>
      <c r="B454" s="10" t="s">
        <v>3408</v>
      </c>
      <c r="C454" s="10" t="s">
        <v>3409</v>
      </c>
      <c r="D454" s="10" t="s">
        <v>3410</v>
      </c>
      <c r="E454" s="10" t="s">
        <v>2614</v>
      </c>
      <c r="F454" s="10" t="s">
        <v>3411</v>
      </c>
      <c r="G454" s="10" t="s">
        <v>3412</v>
      </c>
      <c r="H454" s="11" t="s">
        <v>31</v>
      </c>
      <c r="I454" s="11">
        <v>16.0</v>
      </c>
      <c r="J454" s="11">
        <v>1.0</v>
      </c>
      <c r="K454" s="11">
        <v>15.0</v>
      </c>
      <c r="L454" s="12" t="s">
        <v>3413</v>
      </c>
      <c r="M454" s="10" t="s">
        <v>3414</v>
      </c>
      <c r="N454" s="10" t="s">
        <v>418</v>
      </c>
      <c r="O454" s="12" t="s">
        <v>419</v>
      </c>
      <c r="P454" s="10" t="s">
        <v>2663</v>
      </c>
      <c r="Q454" s="10" t="s">
        <v>31</v>
      </c>
      <c r="R454" s="10" t="s">
        <v>31</v>
      </c>
      <c r="S454" s="12" t="s">
        <v>2664</v>
      </c>
      <c r="T454" s="10" t="s">
        <v>422</v>
      </c>
      <c r="U454" s="12" t="s">
        <v>3415</v>
      </c>
      <c r="V454" s="10" t="s">
        <v>3416</v>
      </c>
      <c r="W454" s="10" t="s">
        <v>2614</v>
      </c>
      <c r="X454" s="13" t="str">
        <f>HYPERLINK("https://my.pitchbook.com?p=55721-08P","View People Online")</f>
        <v>View People Online</v>
      </c>
    </row>
    <row r="455">
      <c r="A455" s="6" t="s">
        <v>3417</v>
      </c>
      <c r="B455" s="6" t="s">
        <v>3418</v>
      </c>
      <c r="C455" s="6" t="s">
        <v>3419</v>
      </c>
      <c r="D455" s="6" t="s">
        <v>3420</v>
      </c>
      <c r="E455" s="6" t="s">
        <v>2614</v>
      </c>
      <c r="F455" s="6" t="s">
        <v>2994</v>
      </c>
      <c r="G455" s="6" t="s">
        <v>3421</v>
      </c>
      <c r="H455" s="7">
        <v>1.0</v>
      </c>
      <c r="I455" s="7">
        <v>14.0</v>
      </c>
      <c r="J455" s="7">
        <v>1.0</v>
      </c>
      <c r="K455" s="7">
        <v>13.0</v>
      </c>
      <c r="L455" s="8" t="s">
        <v>2654</v>
      </c>
      <c r="M455" s="6" t="s">
        <v>3422</v>
      </c>
      <c r="N455" s="6" t="s">
        <v>75</v>
      </c>
      <c r="O455" s="8" t="s">
        <v>76</v>
      </c>
      <c r="P455" s="6" t="s">
        <v>2617</v>
      </c>
      <c r="Q455" s="6" t="s">
        <v>31</v>
      </c>
      <c r="R455" s="6" t="s">
        <v>75</v>
      </c>
      <c r="S455" s="8" t="s">
        <v>1432</v>
      </c>
      <c r="T455" s="6" t="s">
        <v>66</v>
      </c>
      <c r="U455" s="8" t="s">
        <v>3423</v>
      </c>
      <c r="V455" s="6" t="s">
        <v>3424</v>
      </c>
      <c r="W455" s="6" t="s">
        <v>2614</v>
      </c>
      <c r="X455" s="9" t="str">
        <f>HYPERLINK("https://my.pitchbook.com?p=30121-93P","View People Online")</f>
        <v>View People Online</v>
      </c>
    </row>
    <row r="456">
      <c r="A456" s="2" t="s">
        <v>3425</v>
      </c>
      <c r="B456" s="2" t="s">
        <v>3426</v>
      </c>
      <c r="C456" s="2" t="s">
        <v>3427</v>
      </c>
      <c r="D456" s="2" t="s">
        <v>3428</v>
      </c>
      <c r="E456" s="2" t="s">
        <v>2614</v>
      </c>
      <c r="F456" s="2" t="s">
        <v>3429</v>
      </c>
      <c r="G456" s="2" t="s">
        <v>3430</v>
      </c>
      <c r="H456" s="3" t="s">
        <v>31</v>
      </c>
      <c r="I456" s="3">
        <v>1.0</v>
      </c>
      <c r="J456" s="3">
        <v>1.0</v>
      </c>
      <c r="K456" s="3" t="s">
        <v>31</v>
      </c>
      <c r="L456" s="4" t="s">
        <v>2632</v>
      </c>
      <c r="M456" s="2" t="s">
        <v>3431</v>
      </c>
      <c r="N456" s="2" t="s">
        <v>2273</v>
      </c>
      <c r="O456" s="4" t="s">
        <v>2274</v>
      </c>
      <c r="P456" s="2" t="s">
        <v>2634</v>
      </c>
      <c r="Q456" s="2" t="s">
        <v>31</v>
      </c>
      <c r="R456" s="2" t="s">
        <v>31</v>
      </c>
      <c r="S456" s="4" t="s">
        <v>2635</v>
      </c>
      <c r="T456" s="2" t="s">
        <v>2278</v>
      </c>
      <c r="U456" s="4" t="s">
        <v>31</v>
      </c>
      <c r="V456" s="2" t="s">
        <v>3432</v>
      </c>
      <c r="W456" s="2" t="s">
        <v>2614</v>
      </c>
      <c r="X456" s="5" t="str">
        <f>HYPERLINK("https://my.pitchbook.com?p=119861-11P","View People Online")</f>
        <v>View People Online</v>
      </c>
    </row>
    <row r="457">
      <c r="A457" s="6" t="s">
        <v>3433</v>
      </c>
      <c r="B457" s="6" t="s">
        <v>3434</v>
      </c>
      <c r="C457" s="6" t="s">
        <v>3435</v>
      </c>
      <c r="D457" s="6" t="s">
        <v>3436</v>
      </c>
      <c r="E457" s="6" t="s">
        <v>2614</v>
      </c>
      <c r="F457" s="6" t="s">
        <v>825</v>
      </c>
      <c r="G457" s="6" t="s">
        <v>3437</v>
      </c>
      <c r="H457" s="7" t="s">
        <v>31</v>
      </c>
      <c r="I457" s="7">
        <v>12.0</v>
      </c>
      <c r="J457" s="7">
        <v>1.0</v>
      </c>
      <c r="K457" s="7">
        <v>11.0</v>
      </c>
      <c r="L457" s="8" t="s">
        <v>2632</v>
      </c>
      <c r="M457" s="6" t="s">
        <v>3438</v>
      </c>
      <c r="N457" s="6" t="s">
        <v>2273</v>
      </c>
      <c r="O457" s="8" t="s">
        <v>2274</v>
      </c>
      <c r="P457" s="6" t="s">
        <v>2634</v>
      </c>
      <c r="Q457" s="6" t="s">
        <v>31</v>
      </c>
      <c r="R457" s="6" t="s">
        <v>31</v>
      </c>
      <c r="S457" s="8" t="s">
        <v>2635</v>
      </c>
      <c r="T457" s="6" t="s">
        <v>2278</v>
      </c>
      <c r="U457" s="8" t="s">
        <v>31</v>
      </c>
      <c r="V457" s="6" t="s">
        <v>3439</v>
      </c>
      <c r="W457" s="6" t="s">
        <v>2614</v>
      </c>
      <c r="X457" s="9" t="str">
        <f>HYPERLINK("https://my.pitchbook.com?p=158489-83P","View People Online")</f>
        <v>View People Online</v>
      </c>
    </row>
    <row r="458">
      <c r="A458" s="2" t="s">
        <v>3440</v>
      </c>
      <c r="B458" s="2" t="s">
        <v>3441</v>
      </c>
      <c r="C458" s="2" t="s">
        <v>3442</v>
      </c>
      <c r="D458" s="2" t="s">
        <v>3443</v>
      </c>
      <c r="E458" s="2" t="s">
        <v>2614</v>
      </c>
      <c r="F458" s="2" t="s">
        <v>29</v>
      </c>
      <c r="G458" s="2" t="s">
        <v>3444</v>
      </c>
      <c r="H458" s="3" t="s">
        <v>31</v>
      </c>
      <c r="I458" s="3">
        <v>1.0</v>
      </c>
      <c r="J458" s="3">
        <v>1.0</v>
      </c>
      <c r="K458" s="3" t="s">
        <v>31</v>
      </c>
      <c r="L458" s="4" t="s">
        <v>2640</v>
      </c>
      <c r="M458" s="2" t="s">
        <v>3445</v>
      </c>
      <c r="N458" s="2" t="s">
        <v>429</v>
      </c>
      <c r="O458" s="4" t="s">
        <v>430</v>
      </c>
      <c r="P458" s="2" t="s">
        <v>2642</v>
      </c>
      <c r="Q458" s="2" t="s">
        <v>31</v>
      </c>
      <c r="R458" s="2" t="s">
        <v>31</v>
      </c>
      <c r="S458" s="4" t="s">
        <v>432</v>
      </c>
      <c r="T458" s="2" t="s">
        <v>433</v>
      </c>
      <c r="U458" s="4" t="s">
        <v>31</v>
      </c>
      <c r="V458" s="2" t="s">
        <v>29</v>
      </c>
      <c r="W458" s="2" t="s">
        <v>2614</v>
      </c>
      <c r="X458" s="5" t="str">
        <f>HYPERLINK("https://my.pitchbook.com?p=408517-39P","View People Online")</f>
        <v>View People Online</v>
      </c>
    </row>
    <row r="459">
      <c r="A459" s="14" t="s">
        <v>3446</v>
      </c>
      <c r="B459" s="14" t="s">
        <v>3447</v>
      </c>
      <c r="C459" s="14" t="s">
        <v>3448</v>
      </c>
      <c r="D459" s="14" t="s">
        <v>3449</v>
      </c>
      <c r="E459" s="14" t="s">
        <v>3450</v>
      </c>
      <c r="F459" s="14" t="s">
        <v>548</v>
      </c>
      <c r="G459" s="14" t="s">
        <v>3451</v>
      </c>
      <c r="H459" s="15" t="s">
        <v>31</v>
      </c>
      <c r="I459" s="15">
        <v>1.0</v>
      </c>
      <c r="J459" s="15">
        <v>1.0</v>
      </c>
      <c r="K459" s="15" t="s">
        <v>31</v>
      </c>
      <c r="L459" s="16" t="s">
        <v>31</v>
      </c>
      <c r="M459" s="14" t="s">
        <v>3452</v>
      </c>
      <c r="N459" s="14" t="s">
        <v>155</v>
      </c>
      <c r="O459" s="16" t="s">
        <v>156</v>
      </c>
      <c r="P459" s="14" t="s">
        <v>3453</v>
      </c>
      <c r="Q459" s="14" t="s">
        <v>2839</v>
      </c>
      <c r="R459" s="14" t="s">
        <v>64</v>
      </c>
      <c r="S459" s="16" t="s">
        <v>3454</v>
      </c>
      <c r="T459" s="14" t="s">
        <v>66</v>
      </c>
      <c r="U459" s="16" t="s">
        <v>31</v>
      </c>
      <c r="V459" s="14" t="s">
        <v>3455</v>
      </c>
      <c r="W459" s="14" t="s">
        <v>3450</v>
      </c>
      <c r="X459" s="17" t="str">
        <f>HYPERLINK("https://my.pitchbook.com?p=398187-73P","View People Online")</f>
        <v>View People Online</v>
      </c>
    </row>
    <row r="460">
      <c r="A460" s="2" t="s">
        <v>3456</v>
      </c>
      <c r="B460" s="2" t="s">
        <v>3457</v>
      </c>
      <c r="C460" s="2" t="s">
        <v>1553</v>
      </c>
      <c r="D460" s="2" t="s">
        <v>3458</v>
      </c>
      <c r="E460" s="2" t="s">
        <v>3450</v>
      </c>
      <c r="F460" s="2" t="s">
        <v>270</v>
      </c>
      <c r="G460" s="2" t="s">
        <v>3459</v>
      </c>
      <c r="H460" s="3" t="s">
        <v>31</v>
      </c>
      <c r="I460" s="3">
        <v>2.0</v>
      </c>
      <c r="J460" s="3">
        <v>2.0</v>
      </c>
      <c r="K460" s="3" t="s">
        <v>31</v>
      </c>
      <c r="L460" s="4" t="s">
        <v>3460</v>
      </c>
      <c r="M460" s="2" t="s">
        <v>3461</v>
      </c>
      <c r="N460" s="2" t="s">
        <v>3462</v>
      </c>
      <c r="O460" s="4" t="s">
        <v>3463</v>
      </c>
      <c r="P460" s="2" t="s">
        <v>3464</v>
      </c>
      <c r="Q460" s="2" t="s">
        <v>3465</v>
      </c>
      <c r="R460" s="2" t="s">
        <v>64</v>
      </c>
      <c r="S460" s="4" t="s">
        <v>3466</v>
      </c>
      <c r="T460" s="2" t="s">
        <v>66</v>
      </c>
      <c r="U460" s="4" t="s">
        <v>31</v>
      </c>
      <c r="V460" s="2" t="s">
        <v>991</v>
      </c>
      <c r="W460" s="2" t="s">
        <v>3467</v>
      </c>
      <c r="X460" s="5" t="str">
        <f>HYPERLINK("https://my.pitchbook.com?p=100709-11P","View People Online")</f>
        <v>View People Online</v>
      </c>
    </row>
    <row r="461">
      <c r="A461" s="14" t="s">
        <v>3468</v>
      </c>
      <c r="B461" s="14" t="s">
        <v>3469</v>
      </c>
      <c r="C461" s="14" t="s">
        <v>3470</v>
      </c>
      <c r="D461" s="14" t="s">
        <v>3471</v>
      </c>
      <c r="E461" s="14" t="s">
        <v>3450</v>
      </c>
      <c r="F461" s="14" t="s">
        <v>3472</v>
      </c>
      <c r="G461" s="14" t="s">
        <v>3473</v>
      </c>
      <c r="H461" s="15" t="s">
        <v>31</v>
      </c>
      <c r="I461" s="15">
        <v>2.0</v>
      </c>
      <c r="J461" s="15">
        <v>1.0</v>
      </c>
      <c r="K461" s="15" t="s">
        <v>31</v>
      </c>
      <c r="L461" s="16" t="s">
        <v>3474</v>
      </c>
      <c r="M461" s="14" t="s">
        <v>3475</v>
      </c>
      <c r="N461" s="14" t="s">
        <v>1716</v>
      </c>
      <c r="O461" s="16" t="s">
        <v>1717</v>
      </c>
      <c r="P461" s="14" t="s">
        <v>31</v>
      </c>
      <c r="Q461" s="14" t="s">
        <v>31</v>
      </c>
      <c r="R461" s="14" t="s">
        <v>64</v>
      </c>
      <c r="S461" s="16" t="s">
        <v>3476</v>
      </c>
      <c r="T461" s="14" t="s">
        <v>66</v>
      </c>
      <c r="U461" s="16" t="s">
        <v>31</v>
      </c>
      <c r="V461" s="14" t="s">
        <v>3477</v>
      </c>
      <c r="W461" s="14" t="s">
        <v>3478</v>
      </c>
      <c r="X461" s="17" t="str">
        <f>HYPERLINK("https://my.pitchbook.com?p=240713-11P","View People Online")</f>
        <v>View People Online</v>
      </c>
    </row>
    <row r="462">
      <c r="A462" s="2" t="s">
        <v>3479</v>
      </c>
      <c r="B462" s="2" t="s">
        <v>3480</v>
      </c>
      <c r="C462" s="2" t="s">
        <v>3481</v>
      </c>
      <c r="D462" s="2" t="s">
        <v>119</v>
      </c>
      <c r="E462" s="2" t="s">
        <v>3450</v>
      </c>
      <c r="F462" s="2" t="s">
        <v>81</v>
      </c>
      <c r="G462" s="2" t="s">
        <v>3482</v>
      </c>
      <c r="H462" s="3" t="s">
        <v>31</v>
      </c>
      <c r="I462" s="3">
        <v>3.0</v>
      </c>
      <c r="J462" s="3">
        <v>2.0</v>
      </c>
      <c r="K462" s="3" t="s">
        <v>31</v>
      </c>
      <c r="L462" s="4" t="s">
        <v>3483</v>
      </c>
      <c r="M462" s="2" t="s">
        <v>3484</v>
      </c>
      <c r="N462" s="2" t="s">
        <v>155</v>
      </c>
      <c r="O462" s="4" t="s">
        <v>156</v>
      </c>
      <c r="P462" s="2" t="s">
        <v>3485</v>
      </c>
      <c r="Q462" s="2" t="s">
        <v>3486</v>
      </c>
      <c r="R462" s="2" t="s">
        <v>64</v>
      </c>
      <c r="S462" s="4" t="s">
        <v>3487</v>
      </c>
      <c r="T462" s="2" t="s">
        <v>66</v>
      </c>
      <c r="U462" s="4" t="s">
        <v>31</v>
      </c>
      <c r="V462" s="2" t="s">
        <v>3488</v>
      </c>
      <c r="W462" s="2" t="s">
        <v>3489</v>
      </c>
      <c r="X462" s="5" t="str">
        <f>HYPERLINK("https://my.pitchbook.com?p=88229-17P","View People Online")</f>
        <v>View People Online</v>
      </c>
    </row>
    <row r="463">
      <c r="A463" s="14" t="s">
        <v>3490</v>
      </c>
      <c r="B463" s="14" t="s">
        <v>3491</v>
      </c>
      <c r="C463" s="14" t="s">
        <v>3492</v>
      </c>
      <c r="D463" s="14" t="s">
        <v>3493</v>
      </c>
      <c r="E463" s="14" t="s">
        <v>3450</v>
      </c>
      <c r="F463" s="14" t="s">
        <v>270</v>
      </c>
      <c r="G463" s="14" t="s">
        <v>3494</v>
      </c>
      <c r="H463" s="15" t="s">
        <v>31</v>
      </c>
      <c r="I463" s="15">
        <v>4.0</v>
      </c>
      <c r="J463" s="15">
        <v>3.0</v>
      </c>
      <c r="K463" s="15" t="s">
        <v>31</v>
      </c>
      <c r="L463" s="16" t="s">
        <v>31</v>
      </c>
      <c r="M463" s="14" t="s">
        <v>3495</v>
      </c>
      <c r="N463" s="14" t="s">
        <v>243</v>
      </c>
      <c r="O463" s="16" t="s">
        <v>244</v>
      </c>
      <c r="P463" s="14" t="s">
        <v>31</v>
      </c>
      <c r="Q463" s="14" t="s">
        <v>31</v>
      </c>
      <c r="R463" s="14" t="s">
        <v>247</v>
      </c>
      <c r="S463" s="16" t="s">
        <v>31</v>
      </c>
      <c r="T463" s="14" t="s">
        <v>249</v>
      </c>
      <c r="U463" s="16" t="s">
        <v>31</v>
      </c>
      <c r="V463" s="14" t="s">
        <v>114</v>
      </c>
      <c r="W463" s="14" t="s">
        <v>3496</v>
      </c>
      <c r="X463" s="17" t="str">
        <f>HYPERLINK("https://my.pitchbook.com?p=240923-17P","View People Online")</f>
        <v>View People Online</v>
      </c>
    </row>
    <row r="464">
      <c r="A464" s="10" t="s">
        <v>3497</v>
      </c>
      <c r="B464" s="10" t="s">
        <v>3498</v>
      </c>
      <c r="C464" s="10" t="s">
        <v>3499</v>
      </c>
      <c r="D464" s="10" t="s">
        <v>3500</v>
      </c>
      <c r="E464" s="10" t="s">
        <v>3450</v>
      </c>
      <c r="F464" s="10" t="s">
        <v>81</v>
      </c>
      <c r="G464" s="10" t="s">
        <v>3501</v>
      </c>
      <c r="H464" s="11" t="s">
        <v>31</v>
      </c>
      <c r="I464" s="11">
        <v>2.0</v>
      </c>
      <c r="J464" s="11">
        <v>1.0</v>
      </c>
      <c r="K464" s="11" t="s">
        <v>31</v>
      </c>
      <c r="L464" s="12" t="s">
        <v>3502</v>
      </c>
      <c r="M464" s="10" t="s">
        <v>3503</v>
      </c>
      <c r="N464" s="10" t="s">
        <v>1292</v>
      </c>
      <c r="O464" s="12" t="s">
        <v>1293</v>
      </c>
      <c r="P464" s="10" t="s">
        <v>3504</v>
      </c>
      <c r="Q464" s="10" t="s">
        <v>3505</v>
      </c>
      <c r="R464" s="10" t="s">
        <v>64</v>
      </c>
      <c r="S464" s="12" t="s">
        <v>1296</v>
      </c>
      <c r="T464" s="10" t="s">
        <v>66</v>
      </c>
      <c r="U464" s="12" t="s">
        <v>31</v>
      </c>
      <c r="V464" s="10" t="s">
        <v>3506</v>
      </c>
      <c r="W464" s="10" t="s">
        <v>3507</v>
      </c>
      <c r="X464" s="13" t="str">
        <f>HYPERLINK("https://my.pitchbook.com?p=125114-68P","View People Online")</f>
        <v>View People Online</v>
      </c>
    </row>
    <row r="465">
      <c r="A465" s="6" t="s">
        <v>3508</v>
      </c>
      <c r="B465" s="6" t="s">
        <v>3509</v>
      </c>
      <c r="C465" s="6" t="s">
        <v>3510</v>
      </c>
      <c r="D465" s="6" t="s">
        <v>3511</v>
      </c>
      <c r="E465" s="6" t="s">
        <v>3450</v>
      </c>
      <c r="F465" s="6" t="s">
        <v>3472</v>
      </c>
      <c r="G465" s="6" t="s">
        <v>3512</v>
      </c>
      <c r="H465" s="7" t="s">
        <v>31</v>
      </c>
      <c r="I465" s="7">
        <v>2.0</v>
      </c>
      <c r="J465" s="7" t="s">
        <v>31</v>
      </c>
      <c r="K465" s="7" t="s">
        <v>31</v>
      </c>
      <c r="L465" s="8" t="s">
        <v>3513</v>
      </c>
      <c r="M465" s="6" t="s">
        <v>31</v>
      </c>
      <c r="N465" s="6" t="s">
        <v>3514</v>
      </c>
      <c r="O465" s="8" t="s">
        <v>3515</v>
      </c>
      <c r="P465" s="6" t="s">
        <v>3516</v>
      </c>
      <c r="Q465" s="6" t="s">
        <v>31</v>
      </c>
      <c r="R465" s="6" t="s">
        <v>64</v>
      </c>
      <c r="S465" s="8" t="s">
        <v>3517</v>
      </c>
      <c r="T465" s="6" t="s">
        <v>66</v>
      </c>
      <c r="U465" s="8" t="s">
        <v>31</v>
      </c>
      <c r="V465" s="6" t="s">
        <v>3518</v>
      </c>
      <c r="W465" s="6" t="s">
        <v>3450</v>
      </c>
      <c r="X465" s="9" t="str">
        <f>HYPERLINK("https://my.pitchbook.com?p=46862-92P","View People Online")</f>
        <v>View People Online</v>
      </c>
    </row>
    <row r="466">
      <c r="A466" s="2" t="s">
        <v>3519</v>
      </c>
      <c r="B466" s="2" t="s">
        <v>3520</v>
      </c>
      <c r="C466" s="2" t="s">
        <v>3521</v>
      </c>
      <c r="D466" s="2" t="s">
        <v>3522</v>
      </c>
      <c r="E466" s="2" t="s">
        <v>3450</v>
      </c>
      <c r="F466" s="2" t="s">
        <v>3523</v>
      </c>
      <c r="G466" s="2" t="s">
        <v>3524</v>
      </c>
      <c r="H466" s="3" t="s">
        <v>31</v>
      </c>
      <c r="I466" s="3">
        <v>1.0</v>
      </c>
      <c r="J466" s="3">
        <v>1.0</v>
      </c>
      <c r="K466" s="3" t="s">
        <v>31</v>
      </c>
      <c r="L466" s="4" t="s">
        <v>3513</v>
      </c>
      <c r="M466" s="2" t="s">
        <v>3525</v>
      </c>
      <c r="N466" s="2" t="s">
        <v>3514</v>
      </c>
      <c r="O466" s="4" t="s">
        <v>3515</v>
      </c>
      <c r="P466" s="2" t="s">
        <v>3516</v>
      </c>
      <c r="Q466" s="2" t="s">
        <v>31</v>
      </c>
      <c r="R466" s="2" t="s">
        <v>64</v>
      </c>
      <c r="S466" s="4" t="s">
        <v>3517</v>
      </c>
      <c r="T466" s="2" t="s">
        <v>66</v>
      </c>
      <c r="U466" s="4" t="s">
        <v>31</v>
      </c>
      <c r="V466" s="2" t="s">
        <v>3526</v>
      </c>
      <c r="W466" s="2" t="s">
        <v>3450</v>
      </c>
      <c r="X466" s="5" t="str">
        <f>HYPERLINK("https://my.pitchbook.com?p=351765-64P","View People Online")</f>
        <v>View People Online</v>
      </c>
    </row>
    <row r="467">
      <c r="A467" s="14" t="s">
        <v>3527</v>
      </c>
      <c r="B467" s="14" t="s">
        <v>3528</v>
      </c>
      <c r="C467" s="14" t="s">
        <v>3529</v>
      </c>
      <c r="D467" s="14" t="s">
        <v>3530</v>
      </c>
      <c r="E467" s="14" t="s">
        <v>3450</v>
      </c>
      <c r="F467" s="14" t="s">
        <v>270</v>
      </c>
      <c r="G467" s="14" t="s">
        <v>3531</v>
      </c>
      <c r="H467" s="15" t="s">
        <v>31</v>
      </c>
      <c r="I467" s="15">
        <v>8.0</v>
      </c>
      <c r="J467" s="15">
        <v>2.0</v>
      </c>
      <c r="K467" s="15">
        <v>5.0</v>
      </c>
      <c r="L467" s="16" t="s">
        <v>31</v>
      </c>
      <c r="M467" s="14" t="s">
        <v>3532</v>
      </c>
      <c r="N467" s="14" t="s">
        <v>3533</v>
      </c>
      <c r="O467" s="16" t="s">
        <v>3534</v>
      </c>
      <c r="P467" s="14" t="s">
        <v>3535</v>
      </c>
      <c r="Q467" s="14" t="s">
        <v>3536</v>
      </c>
      <c r="R467" s="14" t="s">
        <v>31</v>
      </c>
      <c r="S467" s="16" t="s">
        <v>3537</v>
      </c>
      <c r="T467" s="14" t="s">
        <v>3538</v>
      </c>
      <c r="U467" s="16" t="s">
        <v>31</v>
      </c>
      <c r="V467" s="14" t="s">
        <v>674</v>
      </c>
      <c r="W467" s="14" t="s">
        <v>3539</v>
      </c>
      <c r="X467" s="17" t="str">
        <f>HYPERLINK("https://my.pitchbook.com?p=181984-69P","View People Online")</f>
        <v>View People Online</v>
      </c>
    </row>
    <row r="468">
      <c r="A468" s="10" t="s">
        <v>3540</v>
      </c>
      <c r="B468" s="10" t="s">
        <v>3541</v>
      </c>
      <c r="C468" s="10" t="s">
        <v>3082</v>
      </c>
      <c r="D468" s="10" t="s">
        <v>3542</v>
      </c>
      <c r="E468" s="10" t="s">
        <v>3450</v>
      </c>
      <c r="F468" s="10" t="s">
        <v>825</v>
      </c>
      <c r="G468" s="10" t="s">
        <v>3543</v>
      </c>
      <c r="H468" s="11" t="s">
        <v>31</v>
      </c>
      <c r="I468" s="11">
        <v>1.0</v>
      </c>
      <c r="J468" s="11">
        <v>1.0</v>
      </c>
      <c r="K468" s="11" t="s">
        <v>31</v>
      </c>
      <c r="L468" s="12" t="s">
        <v>3544</v>
      </c>
      <c r="M468" s="10" t="s">
        <v>3545</v>
      </c>
      <c r="N468" s="10" t="s">
        <v>3514</v>
      </c>
      <c r="O468" s="12" t="s">
        <v>3515</v>
      </c>
      <c r="P468" s="10" t="s">
        <v>3516</v>
      </c>
      <c r="Q468" s="10" t="s">
        <v>31</v>
      </c>
      <c r="R468" s="10" t="s">
        <v>64</v>
      </c>
      <c r="S468" s="12" t="s">
        <v>3517</v>
      </c>
      <c r="T468" s="10" t="s">
        <v>66</v>
      </c>
      <c r="U468" s="12" t="s">
        <v>31</v>
      </c>
      <c r="V468" s="10" t="s">
        <v>2305</v>
      </c>
      <c r="W468" s="10" t="s">
        <v>3450</v>
      </c>
      <c r="X468" s="13" t="str">
        <f>HYPERLINK("https://my.pitchbook.com?p=348260-23P","View People Online")</f>
        <v>View People Online</v>
      </c>
    </row>
    <row r="469">
      <c r="A469" s="6" t="s">
        <v>3546</v>
      </c>
      <c r="B469" s="6" t="s">
        <v>3547</v>
      </c>
      <c r="C469" s="6" t="s">
        <v>3548</v>
      </c>
      <c r="D469" s="6" t="s">
        <v>3549</v>
      </c>
      <c r="E469" s="6" t="s">
        <v>3450</v>
      </c>
      <c r="F469" s="6" t="s">
        <v>81</v>
      </c>
      <c r="G469" s="6" t="s">
        <v>3550</v>
      </c>
      <c r="H469" s="7" t="s">
        <v>31</v>
      </c>
      <c r="I469" s="7">
        <v>4.0</v>
      </c>
      <c r="J469" s="7" t="s">
        <v>31</v>
      </c>
      <c r="K469" s="7">
        <v>1.0</v>
      </c>
      <c r="L469" s="8" t="s">
        <v>3513</v>
      </c>
      <c r="M469" s="6" t="s">
        <v>31</v>
      </c>
      <c r="N469" s="6" t="s">
        <v>3514</v>
      </c>
      <c r="O469" s="8" t="s">
        <v>3515</v>
      </c>
      <c r="P469" s="6" t="s">
        <v>3516</v>
      </c>
      <c r="Q469" s="6" t="s">
        <v>31</v>
      </c>
      <c r="R469" s="6" t="s">
        <v>64</v>
      </c>
      <c r="S469" s="8" t="s">
        <v>3517</v>
      </c>
      <c r="T469" s="6" t="s">
        <v>66</v>
      </c>
      <c r="U469" s="8" t="s">
        <v>31</v>
      </c>
      <c r="V469" s="6" t="s">
        <v>3551</v>
      </c>
      <c r="W469" s="6" t="s">
        <v>3450</v>
      </c>
      <c r="X469" s="9" t="str">
        <f>HYPERLINK("https://my.pitchbook.com?p=36721-54P","View People Online")</f>
        <v>View People Online</v>
      </c>
    </row>
    <row r="470">
      <c r="A470" s="2" t="s">
        <v>3552</v>
      </c>
      <c r="B470" s="2" t="s">
        <v>3553</v>
      </c>
      <c r="C470" s="2" t="s">
        <v>3554</v>
      </c>
      <c r="D470" s="2" t="s">
        <v>3555</v>
      </c>
      <c r="E470" s="2" t="s">
        <v>3450</v>
      </c>
      <c r="F470" s="2" t="s">
        <v>81</v>
      </c>
      <c r="G470" s="2" t="s">
        <v>3556</v>
      </c>
      <c r="H470" s="3" t="s">
        <v>31</v>
      </c>
      <c r="I470" s="3">
        <v>6.0</v>
      </c>
      <c r="J470" s="3">
        <v>1.0</v>
      </c>
      <c r="K470" s="3">
        <v>3.0</v>
      </c>
      <c r="L470" s="4" t="s">
        <v>3557</v>
      </c>
      <c r="M470" s="2" t="s">
        <v>3558</v>
      </c>
      <c r="N470" s="2" t="s">
        <v>155</v>
      </c>
      <c r="O470" s="4" t="s">
        <v>156</v>
      </c>
      <c r="P470" s="2" t="s">
        <v>3559</v>
      </c>
      <c r="Q470" s="2" t="s">
        <v>31</v>
      </c>
      <c r="R470" s="2" t="s">
        <v>64</v>
      </c>
      <c r="S470" s="4" t="s">
        <v>3560</v>
      </c>
      <c r="T470" s="2" t="s">
        <v>66</v>
      </c>
      <c r="U470" s="4" t="s">
        <v>31</v>
      </c>
      <c r="V470" s="2" t="s">
        <v>1172</v>
      </c>
      <c r="W470" s="2" t="s">
        <v>3561</v>
      </c>
      <c r="X470" s="5" t="str">
        <f>HYPERLINK("https://my.pitchbook.com?p=89851-42P","View People Online")</f>
        <v>View People Online</v>
      </c>
    </row>
    <row r="471">
      <c r="A471" s="6" t="s">
        <v>3562</v>
      </c>
      <c r="B471" s="6" t="s">
        <v>3563</v>
      </c>
      <c r="C471" s="6" t="s">
        <v>3564</v>
      </c>
      <c r="D471" s="6" t="s">
        <v>3511</v>
      </c>
      <c r="E471" s="6" t="s">
        <v>3450</v>
      </c>
      <c r="F471" s="6" t="s">
        <v>1167</v>
      </c>
      <c r="G471" s="6" t="s">
        <v>3565</v>
      </c>
      <c r="H471" s="7">
        <v>2.0</v>
      </c>
      <c r="I471" s="7">
        <v>276.0</v>
      </c>
      <c r="J471" s="7">
        <v>1.0</v>
      </c>
      <c r="K471" s="7">
        <v>257.0</v>
      </c>
      <c r="L471" s="8" t="s">
        <v>3513</v>
      </c>
      <c r="M471" s="6" t="s">
        <v>3566</v>
      </c>
      <c r="N471" s="6" t="s">
        <v>3514</v>
      </c>
      <c r="O471" s="8" t="s">
        <v>3515</v>
      </c>
      <c r="P471" s="6" t="s">
        <v>3516</v>
      </c>
      <c r="Q471" s="6" t="s">
        <v>31</v>
      </c>
      <c r="R471" s="6" t="s">
        <v>64</v>
      </c>
      <c r="S471" s="8" t="s">
        <v>3517</v>
      </c>
      <c r="T471" s="6" t="s">
        <v>66</v>
      </c>
      <c r="U471" s="8" t="s">
        <v>31</v>
      </c>
      <c r="V471" s="6" t="s">
        <v>991</v>
      </c>
      <c r="W471" s="6" t="s">
        <v>3450</v>
      </c>
      <c r="X471" s="9" t="str">
        <f>HYPERLINK("https://my.pitchbook.com?p=35907-85P","View People Online")</f>
        <v>View People Online</v>
      </c>
    </row>
    <row r="472">
      <c r="A472" s="2" t="s">
        <v>3567</v>
      </c>
      <c r="B472" s="2" t="s">
        <v>3568</v>
      </c>
      <c r="C472" s="2" t="s">
        <v>3569</v>
      </c>
      <c r="D472" s="2" t="s">
        <v>3570</v>
      </c>
      <c r="E472" s="2" t="s">
        <v>3450</v>
      </c>
      <c r="F472" s="2" t="s">
        <v>270</v>
      </c>
      <c r="G472" s="2" t="s">
        <v>3571</v>
      </c>
      <c r="H472" s="3" t="s">
        <v>31</v>
      </c>
      <c r="I472" s="3">
        <v>1.0</v>
      </c>
      <c r="J472" s="3">
        <v>1.0</v>
      </c>
      <c r="K472" s="3" t="s">
        <v>31</v>
      </c>
      <c r="L472" s="4" t="s">
        <v>3513</v>
      </c>
      <c r="M472" s="2" t="s">
        <v>31</v>
      </c>
      <c r="N472" s="2" t="s">
        <v>3514</v>
      </c>
      <c r="O472" s="4" t="s">
        <v>3515</v>
      </c>
      <c r="P472" s="2" t="s">
        <v>3516</v>
      </c>
      <c r="Q472" s="2" t="s">
        <v>31</v>
      </c>
      <c r="R472" s="2" t="s">
        <v>64</v>
      </c>
      <c r="S472" s="4" t="s">
        <v>3517</v>
      </c>
      <c r="T472" s="2" t="s">
        <v>66</v>
      </c>
      <c r="U472" s="4" t="s">
        <v>31</v>
      </c>
      <c r="V472" s="2" t="s">
        <v>3572</v>
      </c>
      <c r="W472" s="2" t="s">
        <v>3450</v>
      </c>
      <c r="X472" s="5" t="str">
        <f>HYPERLINK("https://my.pitchbook.com?p=64201-24P","View People Online")</f>
        <v>View People Online</v>
      </c>
    </row>
    <row r="473">
      <c r="A473" s="6" t="s">
        <v>3573</v>
      </c>
      <c r="B473" s="6" t="s">
        <v>3574</v>
      </c>
      <c r="C473" s="6" t="s">
        <v>3575</v>
      </c>
      <c r="D473" s="6" t="s">
        <v>3576</v>
      </c>
      <c r="E473" s="6" t="s">
        <v>3450</v>
      </c>
      <c r="F473" s="6" t="s">
        <v>270</v>
      </c>
      <c r="G473" s="6" t="s">
        <v>3577</v>
      </c>
      <c r="H473" s="7">
        <v>10.0</v>
      </c>
      <c r="I473" s="7">
        <v>355.0</v>
      </c>
      <c r="J473" s="7">
        <v>5.0</v>
      </c>
      <c r="K473" s="7">
        <v>312.0</v>
      </c>
      <c r="L473" s="8" t="s">
        <v>3578</v>
      </c>
      <c r="M473" s="6" t="s">
        <v>3579</v>
      </c>
      <c r="N473" s="6" t="s">
        <v>1292</v>
      </c>
      <c r="O473" s="8" t="s">
        <v>1293</v>
      </c>
      <c r="P473" s="6" t="s">
        <v>3580</v>
      </c>
      <c r="Q473" s="6" t="s">
        <v>31</v>
      </c>
      <c r="R473" s="6" t="s">
        <v>64</v>
      </c>
      <c r="S473" s="8" t="s">
        <v>1296</v>
      </c>
      <c r="T473" s="6" t="s">
        <v>66</v>
      </c>
      <c r="U473" s="8" t="s">
        <v>3581</v>
      </c>
      <c r="V473" s="6" t="s">
        <v>1106</v>
      </c>
      <c r="W473" s="6" t="s">
        <v>3582</v>
      </c>
      <c r="X473" s="9" t="str">
        <f>HYPERLINK("https://my.pitchbook.com?p=13531-60P","View People Online")</f>
        <v>View People Online</v>
      </c>
    </row>
    <row r="474">
      <c r="A474" s="2" t="s">
        <v>3583</v>
      </c>
      <c r="B474" s="2" t="s">
        <v>3584</v>
      </c>
      <c r="C474" s="2" t="s">
        <v>3585</v>
      </c>
      <c r="D474" s="2" t="s">
        <v>3586</v>
      </c>
      <c r="E474" s="2" t="s">
        <v>3450</v>
      </c>
      <c r="F474" s="2" t="s">
        <v>270</v>
      </c>
      <c r="G474" s="2" t="s">
        <v>3587</v>
      </c>
      <c r="H474" s="3" t="s">
        <v>31</v>
      </c>
      <c r="I474" s="3">
        <v>22.0</v>
      </c>
      <c r="J474" s="3">
        <v>3.0</v>
      </c>
      <c r="K474" s="3">
        <v>19.0</v>
      </c>
      <c r="L474" s="4" t="s">
        <v>3588</v>
      </c>
      <c r="M474" s="2" t="s">
        <v>3589</v>
      </c>
      <c r="N474" s="2" t="s">
        <v>2599</v>
      </c>
      <c r="O474" s="4" t="s">
        <v>2600</v>
      </c>
      <c r="P474" s="2" t="s">
        <v>3590</v>
      </c>
      <c r="Q474" s="2" t="s">
        <v>3591</v>
      </c>
      <c r="R474" s="2" t="s">
        <v>396</v>
      </c>
      <c r="S474" s="4" t="s">
        <v>3592</v>
      </c>
      <c r="T474" s="2" t="s">
        <v>66</v>
      </c>
      <c r="U474" s="4" t="s">
        <v>31</v>
      </c>
      <c r="V474" s="2" t="s">
        <v>3593</v>
      </c>
      <c r="W474" s="2" t="s">
        <v>3594</v>
      </c>
      <c r="X474" s="5" t="str">
        <f>HYPERLINK("https://my.pitchbook.com?p=207415-27P","View People Online")</f>
        <v>View People Online</v>
      </c>
    </row>
    <row r="475">
      <c r="A475" s="14" t="s">
        <v>3595</v>
      </c>
      <c r="B475" s="14" t="s">
        <v>3596</v>
      </c>
      <c r="C475" s="14" t="s">
        <v>3597</v>
      </c>
      <c r="D475" s="14" t="s">
        <v>3598</v>
      </c>
      <c r="E475" s="14" t="s">
        <v>3599</v>
      </c>
      <c r="F475" s="14" t="s">
        <v>3600</v>
      </c>
      <c r="G475" s="14" t="s">
        <v>3601</v>
      </c>
      <c r="H475" s="15" t="s">
        <v>31</v>
      </c>
      <c r="I475" s="15">
        <v>8.0</v>
      </c>
      <c r="J475" s="15">
        <v>2.0</v>
      </c>
      <c r="K475" s="15">
        <v>6.0</v>
      </c>
      <c r="L475" s="16" t="s">
        <v>31</v>
      </c>
      <c r="M475" s="14" t="s">
        <v>3602</v>
      </c>
      <c r="N475" s="14" t="s">
        <v>3603</v>
      </c>
      <c r="O475" s="16" t="s">
        <v>3604</v>
      </c>
      <c r="P475" s="14" t="s">
        <v>3605</v>
      </c>
      <c r="Q475" s="14" t="s">
        <v>3606</v>
      </c>
      <c r="R475" s="14" t="s">
        <v>31</v>
      </c>
      <c r="S475" s="16" t="s">
        <v>31</v>
      </c>
      <c r="T475" s="14" t="s">
        <v>3603</v>
      </c>
      <c r="U475" s="16" t="s">
        <v>31</v>
      </c>
      <c r="V475" s="14" t="s">
        <v>713</v>
      </c>
      <c r="W475" s="14" t="s">
        <v>3607</v>
      </c>
      <c r="X475" s="17" t="str">
        <f>HYPERLINK("https://my.pitchbook.com?p=146964-52P","View People Online")</f>
        <v>View People Online</v>
      </c>
    </row>
    <row r="476">
      <c r="A476" s="10" t="s">
        <v>3608</v>
      </c>
      <c r="B476" s="10" t="s">
        <v>3609</v>
      </c>
      <c r="C476" s="10" t="s">
        <v>3610</v>
      </c>
      <c r="D476" s="10" t="s">
        <v>3611</v>
      </c>
      <c r="E476" s="10" t="s">
        <v>3599</v>
      </c>
      <c r="F476" s="10" t="s">
        <v>270</v>
      </c>
      <c r="G476" s="10" t="s">
        <v>3612</v>
      </c>
      <c r="H476" s="11" t="s">
        <v>31</v>
      </c>
      <c r="I476" s="11">
        <v>1.0</v>
      </c>
      <c r="J476" s="11">
        <v>1.0</v>
      </c>
      <c r="K476" s="11" t="s">
        <v>31</v>
      </c>
      <c r="L476" s="12" t="s">
        <v>3613</v>
      </c>
      <c r="M476" s="10" t="s">
        <v>3614</v>
      </c>
      <c r="N476" s="10" t="s">
        <v>3615</v>
      </c>
      <c r="O476" s="12" t="s">
        <v>3616</v>
      </c>
      <c r="P476" s="10" t="s">
        <v>3617</v>
      </c>
      <c r="Q476" s="10" t="s">
        <v>3618</v>
      </c>
      <c r="R476" s="10" t="s">
        <v>3619</v>
      </c>
      <c r="S476" s="12" t="s">
        <v>3620</v>
      </c>
      <c r="T476" s="10" t="s">
        <v>3339</v>
      </c>
      <c r="U476" s="12" t="s">
        <v>3621</v>
      </c>
      <c r="V476" s="10" t="s">
        <v>3622</v>
      </c>
      <c r="W476" s="10" t="s">
        <v>3599</v>
      </c>
      <c r="X476" s="13" t="str">
        <f>HYPERLINK("https://my.pitchbook.com?p=295044-49P","View People Online")</f>
        <v>View People Online</v>
      </c>
    </row>
    <row r="477">
      <c r="A477" s="14" t="s">
        <v>3623</v>
      </c>
      <c r="B477" s="14" t="s">
        <v>3624</v>
      </c>
      <c r="C477" s="14" t="s">
        <v>3625</v>
      </c>
      <c r="D477" s="14" t="s">
        <v>3626</v>
      </c>
      <c r="E477" s="14" t="s">
        <v>3599</v>
      </c>
      <c r="F477" s="14" t="s">
        <v>152</v>
      </c>
      <c r="G477" s="14" t="s">
        <v>3627</v>
      </c>
      <c r="H477" s="15" t="s">
        <v>31</v>
      </c>
      <c r="I477" s="15">
        <v>2.0</v>
      </c>
      <c r="J477" s="15">
        <v>2.0</v>
      </c>
      <c r="K477" s="15" t="s">
        <v>31</v>
      </c>
      <c r="L477" s="16" t="s">
        <v>3628</v>
      </c>
      <c r="M477" s="14" t="s">
        <v>3629</v>
      </c>
      <c r="N477" s="14" t="s">
        <v>1034</v>
      </c>
      <c r="O477" s="16" t="s">
        <v>1035</v>
      </c>
      <c r="P477" s="14" t="s">
        <v>3630</v>
      </c>
      <c r="Q477" s="14" t="s">
        <v>3631</v>
      </c>
      <c r="R477" s="14" t="s">
        <v>31</v>
      </c>
      <c r="S477" s="16" t="s">
        <v>3632</v>
      </c>
      <c r="T477" s="14" t="s">
        <v>1034</v>
      </c>
      <c r="U477" s="16" t="s">
        <v>31</v>
      </c>
      <c r="V477" s="14" t="s">
        <v>3633</v>
      </c>
      <c r="W477" s="14" t="s">
        <v>3634</v>
      </c>
      <c r="X477" s="17" t="str">
        <f>HYPERLINK("https://my.pitchbook.com?p=148546-09P","View People Online")</f>
        <v>View People Online</v>
      </c>
    </row>
    <row r="478">
      <c r="A478" s="2" t="s">
        <v>3635</v>
      </c>
      <c r="B478" s="2" t="s">
        <v>3636</v>
      </c>
      <c r="C478" s="2" t="s">
        <v>3637</v>
      </c>
      <c r="D478" s="2" t="s">
        <v>3638</v>
      </c>
      <c r="E478" s="2" t="s">
        <v>3599</v>
      </c>
      <c r="F478" s="2" t="s">
        <v>1459</v>
      </c>
      <c r="G478" s="2" t="s">
        <v>3639</v>
      </c>
      <c r="H478" s="3" t="s">
        <v>31</v>
      </c>
      <c r="I478" s="3">
        <v>3.0</v>
      </c>
      <c r="J478" s="3">
        <v>2.0</v>
      </c>
      <c r="K478" s="3">
        <v>1.0</v>
      </c>
      <c r="L478" s="4" t="s">
        <v>3613</v>
      </c>
      <c r="M478" s="2" t="s">
        <v>3640</v>
      </c>
      <c r="N478" s="2" t="s">
        <v>3615</v>
      </c>
      <c r="O478" s="4" t="s">
        <v>3616</v>
      </c>
      <c r="P478" s="2" t="s">
        <v>3617</v>
      </c>
      <c r="Q478" s="2" t="s">
        <v>3618</v>
      </c>
      <c r="R478" s="2" t="s">
        <v>3619</v>
      </c>
      <c r="S478" s="4" t="s">
        <v>3620</v>
      </c>
      <c r="T478" s="2" t="s">
        <v>3339</v>
      </c>
      <c r="U478" s="4" t="s">
        <v>3621</v>
      </c>
      <c r="V478" s="2" t="s">
        <v>3600</v>
      </c>
      <c r="W478" s="2" t="s">
        <v>3599</v>
      </c>
      <c r="X478" s="5" t="str">
        <f>HYPERLINK("https://my.pitchbook.com?p=77084-29P","View People Online")</f>
        <v>View People Online</v>
      </c>
    </row>
    <row r="479">
      <c r="A479" s="14" t="s">
        <v>3641</v>
      </c>
      <c r="B479" s="14" t="s">
        <v>3642</v>
      </c>
      <c r="C479" s="14" t="s">
        <v>3643</v>
      </c>
      <c r="D479" s="14" t="s">
        <v>3644</v>
      </c>
      <c r="E479" s="14" t="s">
        <v>3599</v>
      </c>
      <c r="F479" s="14" t="s">
        <v>3645</v>
      </c>
      <c r="G479" s="14" t="s">
        <v>3646</v>
      </c>
      <c r="H479" s="15" t="s">
        <v>31</v>
      </c>
      <c r="I479" s="15">
        <v>1.0</v>
      </c>
      <c r="J479" s="15">
        <v>1.0</v>
      </c>
      <c r="K479" s="15" t="s">
        <v>31</v>
      </c>
      <c r="L479" s="16" t="s">
        <v>3613</v>
      </c>
      <c r="M479" s="14" t="s">
        <v>3647</v>
      </c>
      <c r="N479" s="14" t="s">
        <v>3615</v>
      </c>
      <c r="O479" s="16" t="s">
        <v>3616</v>
      </c>
      <c r="P479" s="14" t="s">
        <v>3617</v>
      </c>
      <c r="Q479" s="14" t="s">
        <v>3618</v>
      </c>
      <c r="R479" s="14" t="s">
        <v>3619</v>
      </c>
      <c r="S479" s="16" t="s">
        <v>3620</v>
      </c>
      <c r="T479" s="14" t="s">
        <v>3339</v>
      </c>
      <c r="U479" s="16" t="s">
        <v>3621</v>
      </c>
      <c r="V479" s="14" t="s">
        <v>502</v>
      </c>
      <c r="W479" s="14" t="s">
        <v>3599</v>
      </c>
      <c r="X479" s="17" t="str">
        <f>HYPERLINK("https://my.pitchbook.com?p=284651-47P","View People Online")</f>
        <v>View People Online</v>
      </c>
    </row>
    <row r="480">
      <c r="A480" s="10" t="s">
        <v>3648</v>
      </c>
      <c r="B480" s="10" t="s">
        <v>3649</v>
      </c>
      <c r="C480" s="10" t="s">
        <v>3650</v>
      </c>
      <c r="D480" s="10" t="s">
        <v>3651</v>
      </c>
      <c r="E480" s="10" t="s">
        <v>3599</v>
      </c>
      <c r="F480" s="10" t="s">
        <v>3652</v>
      </c>
      <c r="G480" s="10" t="s">
        <v>3653</v>
      </c>
      <c r="H480" s="11">
        <v>2.0</v>
      </c>
      <c r="I480" s="11">
        <v>9.0</v>
      </c>
      <c r="J480" s="11">
        <v>1.0</v>
      </c>
      <c r="K480" s="11">
        <v>7.0</v>
      </c>
      <c r="L480" s="12" t="s">
        <v>3613</v>
      </c>
      <c r="M480" s="10" t="s">
        <v>3654</v>
      </c>
      <c r="N480" s="10" t="s">
        <v>3615</v>
      </c>
      <c r="O480" s="12" t="s">
        <v>3616</v>
      </c>
      <c r="P480" s="10" t="s">
        <v>3617</v>
      </c>
      <c r="Q480" s="10" t="s">
        <v>3618</v>
      </c>
      <c r="R480" s="10" t="s">
        <v>3619</v>
      </c>
      <c r="S480" s="12" t="s">
        <v>3620</v>
      </c>
      <c r="T480" s="10" t="s">
        <v>3339</v>
      </c>
      <c r="U480" s="12" t="s">
        <v>3621</v>
      </c>
      <c r="V480" s="10" t="s">
        <v>3655</v>
      </c>
      <c r="W480" s="10" t="s">
        <v>3599</v>
      </c>
      <c r="X480" s="13" t="str">
        <f>HYPERLINK("https://my.pitchbook.com?p=91952-56P","View People Online")</f>
        <v>View People Online</v>
      </c>
    </row>
    <row r="481">
      <c r="A481" s="6" t="s">
        <v>3656</v>
      </c>
      <c r="B481" s="6" t="s">
        <v>3657</v>
      </c>
      <c r="C481" s="6" t="s">
        <v>3658</v>
      </c>
      <c r="D481" s="6" t="s">
        <v>3638</v>
      </c>
      <c r="E481" s="6" t="s">
        <v>3599</v>
      </c>
      <c r="F481" s="6" t="s">
        <v>3659</v>
      </c>
      <c r="G481" s="6" t="s">
        <v>3660</v>
      </c>
      <c r="H481" s="7" t="s">
        <v>31</v>
      </c>
      <c r="I481" s="7">
        <v>1.0</v>
      </c>
      <c r="J481" s="7">
        <v>1.0</v>
      </c>
      <c r="K481" s="7" t="s">
        <v>31</v>
      </c>
      <c r="L481" s="8" t="s">
        <v>3613</v>
      </c>
      <c r="M481" s="6" t="s">
        <v>3661</v>
      </c>
      <c r="N481" s="6" t="s">
        <v>3615</v>
      </c>
      <c r="O481" s="8" t="s">
        <v>3616</v>
      </c>
      <c r="P481" s="6" t="s">
        <v>3617</v>
      </c>
      <c r="Q481" s="6" t="s">
        <v>3618</v>
      </c>
      <c r="R481" s="6" t="s">
        <v>3619</v>
      </c>
      <c r="S481" s="8" t="s">
        <v>3620</v>
      </c>
      <c r="T481" s="6" t="s">
        <v>3339</v>
      </c>
      <c r="U481" s="8" t="s">
        <v>3621</v>
      </c>
      <c r="V481" s="6" t="s">
        <v>3662</v>
      </c>
      <c r="W481" s="6" t="s">
        <v>3599</v>
      </c>
      <c r="X481" s="9" t="str">
        <f>HYPERLINK("https://my.pitchbook.com?p=329521-06P","View People Online")</f>
        <v>View People Online</v>
      </c>
    </row>
    <row r="482">
      <c r="A482" s="10" t="s">
        <v>3663</v>
      </c>
      <c r="B482" s="10" t="s">
        <v>3664</v>
      </c>
      <c r="C482" s="10" t="s">
        <v>3529</v>
      </c>
      <c r="D482" s="10" t="s">
        <v>831</v>
      </c>
      <c r="E482" s="10" t="s">
        <v>3599</v>
      </c>
      <c r="F482" s="10" t="s">
        <v>3665</v>
      </c>
      <c r="G482" s="10" t="s">
        <v>3666</v>
      </c>
      <c r="H482" s="11">
        <v>1.0</v>
      </c>
      <c r="I482" s="11">
        <v>19.0</v>
      </c>
      <c r="J482" s="11">
        <v>1.0</v>
      </c>
      <c r="K482" s="11">
        <v>14.0</v>
      </c>
      <c r="L482" s="12" t="s">
        <v>3613</v>
      </c>
      <c r="M482" s="10" t="s">
        <v>3667</v>
      </c>
      <c r="N482" s="10" t="s">
        <v>3615</v>
      </c>
      <c r="O482" s="12" t="s">
        <v>3616</v>
      </c>
      <c r="P482" s="10" t="s">
        <v>3617</v>
      </c>
      <c r="Q482" s="10" t="s">
        <v>3618</v>
      </c>
      <c r="R482" s="10" t="s">
        <v>3619</v>
      </c>
      <c r="S482" s="12" t="s">
        <v>3620</v>
      </c>
      <c r="T482" s="10" t="s">
        <v>3339</v>
      </c>
      <c r="U482" s="12" t="s">
        <v>3621</v>
      </c>
      <c r="V482" s="10" t="s">
        <v>3665</v>
      </c>
      <c r="W482" s="10" t="s">
        <v>3599</v>
      </c>
      <c r="X482" s="13" t="str">
        <f>HYPERLINK("https://my.pitchbook.com?p=67857-94P","View People Online")</f>
        <v>View People Online</v>
      </c>
    </row>
    <row r="483">
      <c r="A483" s="14" t="s">
        <v>3668</v>
      </c>
      <c r="B483" s="14" t="s">
        <v>3669</v>
      </c>
      <c r="C483" s="14" t="s">
        <v>3670</v>
      </c>
      <c r="D483" s="14" t="s">
        <v>3671</v>
      </c>
      <c r="E483" s="14" t="s">
        <v>3599</v>
      </c>
      <c r="F483" s="14" t="s">
        <v>270</v>
      </c>
      <c r="G483" s="14" t="s">
        <v>3672</v>
      </c>
      <c r="H483" s="15" t="s">
        <v>31</v>
      </c>
      <c r="I483" s="15">
        <v>2.0</v>
      </c>
      <c r="J483" s="15">
        <v>2.0</v>
      </c>
      <c r="K483" s="15" t="s">
        <v>31</v>
      </c>
      <c r="L483" s="16" t="s">
        <v>3613</v>
      </c>
      <c r="M483" s="14" t="s">
        <v>3673</v>
      </c>
      <c r="N483" s="14" t="s">
        <v>3615</v>
      </c>
      <c r="O483" s="16" t="s">
        <v>3616</v>
      </c>
      <c r="P483" s="14" t="s">
        <v>3617</v>
      </c>
      <c r="Q483" s="14" t="s">
        <v>3618</v>
      </c>
      <c r="R483" s="14" t="s">
        <v>3619</v>
      </c>
      <c r="S483" s="16" t="s">
        <v>3620</v>
      </c>
      <c r="T483" s="14" t="s">
        <v>3339</v>
      </c>
      <c r="U483" s="16" t="s">
        <v>3621</v>
      </c>
      <c r="V483" s="14" t="s">
        <v>270</v>
      </c>
      <c r="W483" s="14" t="s">
        <v>3599</v>
      </c>
      <c r="X483" s="17" t="str">
        <f>HYPERLINK("https://my.pitchbook.com?p=152040-25P","View People Online")</f>
        <v>View People Online</v>
      </c>
    </row>
    <row r="484">
      <c r="A484" s="2" t="s">
        <v>3674</v>
      </c>
      <c r="B484" s="2" t="s">
        <v>3675</v>
      </c>
      <c r="C484" s="2" t="s">
        <v>3676</v>
      </c>
      <c r="D484" s="2" t="s">
        <v>3677</v>
      </c>
      <c r="E484" s="2" t="s">
        <v>3599</v>
      </c>
      <c r="F484" s="2" t="s">
        <v>3678</v>
      </c>
      <c r="G484" s="2" t="s">
        <v>3679</v>
      </c>
      <c r="H484" s="3" t="s">
        <v>31</v>
      </c>
      <c r="I484" s="3">
        <v>3.0</v>
      </c>
      <c r="J484" s="3">
        <v>2.0</v>
      </c>
      <c r="K484" s="3">
        <v>1.0</v>
      </c>
      <c r="L484" s="4" t="s">
        <v>3613</v>
      </c>
      <c r="M484" s="2" t="s">
        <v>3680</v>
      </c>
      <c r="N484" s="2" t="s">
        <v>3615</v>
      </c>
      <c r="O484" s="4" t="s">
        <v>3616</v>
      </c>
      <c r="P484" s="2" t="s">
        <v>3617</v>
      </c>
      <c r="Q484" s="2" t="s">
        <v>3618</v>
      </c>
      <c r="R484" s="2" t="s">
        <v>3619</v>
      </c>
      <c r="S484" s="4" t="s">
        <v>3620</v>
      </c>
      <c r="T484" s="2" t="s">
        <v>3339</v>
      </c>
      <c r="U484" s="4" t="s">
        <v>3621</v>
      </c>
      <c r="V484" s="2" t="s">
        <v>3681</v>
      </c>
      <c r="W484" s="2" t="s">
        <v>3599</v>
      </c>
      <c r="X484" s="5" t="str">
        <f>HYPERLINK("https://my.pitchbook.com?p=139749-04P","View People Online")</f>
        <v>View People Online</v>
      </c>
    </row>
    <row r="485">
      <c r="A485" s="6" t="s">
        <v>3682</v>
      </c>
      <c r="B485" s="6" t="s">
        <v>3683</v>
      </c>
      <c r="C485" s="6" t="s">
        <v>3684</v>
      </c>
      <c r="D485" s="6" t="s">
        <v>3671</v>
      </c>
      <c r="E485" s="6" t="s">
        <v>3599</v>
      </c>
      <c r="F485" s="6" t="s">
        <v>2835</v>
      </c>
      <c r="G485" s="6" t="s">
        <v>3685</v>
      </c>
      <c r="H485" s="7" t="s">
        <v>31</v>
      </c>
      <c r="I485" s="7">
        <v>1.0</v>
      </c>
      <c r="J485" s="7">
        <v>1.0</v>
      </c>
      <c r="K485" s="7" t="s">
        <v>31</v>
      </c>
      <c r="L485" s="8" t="s">
        <v>3686</v>
      </c>
      <c r="M485" s="6" t="s">
        <v>3687</v>
      </c>
      <c r="N485" s="6" t="s">
        <v>3603</v>
      </c>
      <c r="O485" s="8" t="s">
        <v>3604</v>
      </c>
      <c r="P485" s="6" t="s">
        <v>3605</v>
      </c>
      <c r="Q485" s="6" t="s">
        <v>3606</v>
      </c>
      <c r="R485" s="6" t="s">
        <v>31</v>
      </c>
      <c r="S485" s="8" t="s">
        <v>31</v>
      </c>
      <c r="T485" s="6" t="s">
        <v>3603</v>
      </c>
      <c r="U485" s="8" t="s">
        <v>3688</v>
      </c>
      <c r="V485" s="6" t="s">
        <v>3689</v>
      </c>
      <c r="W485" s="6" t="s">
        <v>3599</v>
      </c>
      <c r="X485" s="9" t="str">
        <f>HYPERLINK("https://my.pitchbook.com?p=324130-24P","View People Online")</f>
        <v>View People Online</v>
      </c>
    </row>
    <row r="486">
      <c r="A486" s="10" t="s">
        <v>3690</v>
      </c>
      <c r="B486" s="10" t="s">
        <v>3691</v>
      </c>
      <c r="C486" s="10" t="s">
        <v>3692</v>
      </c>
      <c r="D486" s="10" t="s">
        <v>851</v>
      </c>
      <c r="E486" s="10" t="s">
        <v>3599</v>
      </c>
      <c r="F486" s="10" t="s">
        <v>270</v>
      </c>
      <c r="G486" s="10" t="s">
        <v>3693</v>
      </c>
      <c r="H486" s="11" t="s">
        <v>31</v>
      </c>
      <c r="I486" s="11">
        <v>4.0</v>
      </c>
      <c r="J486" s="11">
        <v>1.0</v>
      </c>
      <c r="K486" s="11">
        <v>2.0</v>
      </c>
      <c r="L486" s="12" t="s">
        <v>3613</v>
      </c>
      <c r="M486" s="10" t="s">
        <v>31</v>
      </c>
      <c r="N486" s="10" t="s">
        <v>3615</v>
      </c>
      <c r="O486" s="12" t="s">
        <v>3616</v>
      </c>
      <c r="P486" s="10" t="s">
        <v>3617</v>
      </c>
      <c r="Q486" s="10" t="s">
        <v>3618</v>
      </c>
      <c r="R486" s="10" t="s">
        <v>3619</v>
      </c>
      <c r="S486" s="12" t="s">
        <v>3620</v>
      </c>
      <c r="T486" s="10" t="s">
        <v>3339</v>
      </c>
      <c r="U486" s="12" t="s">
        <v>3621</v>
      </c>
      <c r="V486" s="10" t="s">
        <v>270</v>
      </c>
      <c r="W486" s="10" t="s">
        <v>3599</v>
      </c>
      <c r="X486" s="13" t="str">
        <f>HYPERLINK("https://my.pitchbook.com?p=169461-28P","View People Online")</f>
        <v>View People Online</v>
      </c>
    </row>
    <row r="487">
      <c r="A487" s="6" t="s">
        <v>3694</v>
      </c>
      <c r="B487" s="6" t="s">
        <v>3695</v>
      </c>
      <c r="C487" s="6" t="s">
        <v>3696</v>
      </c>
      <c r="D487" s="6" t="s">
        <v>3697</v>
      </c>
      <c r="E487" s="6" t="s">
        <v>3599</v>
      </c>
      <c r="F487" s="6" t="s">
        <v>502</v>
      </c>
      <c r="G487" s="6" t="s">
        <v>3698</v>
      </c>
      <c r="H487" s="7" t="s">
        <v>31</v>
      </c>
      <c r="I487" s="7">
        <v>1.0</v>
      </c>
      <c r="J487" s="7">
        <v>1.0</v>
      </c>
      <c r="K487" s="7" t="s">
        <v>31</v>
      </c>
      <c r="L487" s="8" t="s">
        <v>3686</v>
      </c>
      <c r="M487" s="6" t="s">
        <v>3699</v>
      </c>
      <c r="N487" s="6" t="s">
        <v>3603</v>
      </c>
      <c r="O487" s="8" t="s">
        <v>3604</v>
      </c>
      <c r="P487" s="6" t="s">
        <v>3605</v>
      </c>
      <c r="Q487" s="6" t="s">
        <v>3606</v>
      </c>
      <c r="R487" s="6" t="s">
        <v>31</v>
      </c>
      <c r="S487" s="8" t="s">
        <v>31</v>
      </c>
      <c r="T487" s="6" t="s">
        <v>3603</v>
      </c>
      <c r="U487" s="8" t="s">
        <v>3688</v>
      </c>
      <c r="V487" s="6" t="s">
        <v>3700</v>
      </c>
      <c r="W487" s="6" t="s">
        <v>3599</v>
      </c>
      <c r="X487" s="9" t="str">
        <f>HYPERLINK("https://my.pitchbook.com?p=151231-96P","View People Online")</f>
        <v>View People Online</v>
      </c>
    </row>
    <row r="488">
      <c r="A488" s="2" t="s">
        <v>3701</v>
      </c>
      <c r="B488" s="2" t="s">
        <v>3702</v>
      </c>
      <c r="C488" s="2" t="s">
        <v>3703</v>
      </c>
      <c r="D488" s="2" t="s">
        <v>3637</v>
      </c>
      <c r="E488" s="2" t="s">
        <v>3599</v>
      </c>
      <c r="F488" s="2" t="s">
        <v>470</v>
      </c>
      <c r="G488" s="2" t="s">
        <v>3704</v>
      </c>
      <c r="H488" s="3">
        <v>1.0</v>
      </c>
      <c r="I488" s="3">
        <v>2.0</v>
      </c>
      <c r="J488" s="3">
        <v>2.0</v>
      </c>
      <c r="K488" s="3" t="s">
        <v>31</v>
      </c>
      <c r="L488" s="4" t="s">
        <v>3613</v>
      </c>
      <c r="M488" s="2" t="s">
        <v>3705</v>
      </c>
      <c r="N488" s="2" t="s">
        <v>3615</v>
      </c>
      <c r="O488" s="4" t="s">
        <v>3616</v>
      </c>
      <c r="P488" s="2" t="s">
        <v>3617</v>
      </c>
      <c r="Q488" s="2" t="s">
        <v>3618</v>
      </c>
      <c r="R488" s="2" t="s">
        <v>3619</v>
      </c>
      <c r="S488" s="4" t="s">
        <v>3620</v>
      </c>
      <c r="T488" s="2" t="s">
        <v>3339</v>
      </c>
      <c r="U488" s="4" t="s">
        <v>3621</v>
      </c>
      <c r="V488" s="2" t="s">
        <v>3706</v>
      </c>
      <c r="W488" s="2" t="s">
        <v>3599</v>
      </c>
      <c r="X488" s="5" t="str">
        <f>HYPERLINK("https://my.pitchbook.com?p=226378-90P","View People Online")</f>
        <v>View People Online</v>
      </c>
    </row>
    <row r="489">
      <c r="A489" s="14" t="s">
        <v>3707</v>
      </c>
      <c r="B489" s="14" t="s">
        <v>3708</v>
      </c>
      <c r="C489" s="14" t="s">
        <v>3709</v>
      </c>
      <c r="D489" s="14" t="s">
        <v>1317</v>
      </c>
      <c r="E489" s="14" t="s">
        <v>3599</v>
      </c>
      <c r="F489" s="14" t="s">
        <v>3710</v>
      </c>
      <c r="G489" s="14" t="s">
        <v>3711</v>
      </c>
      <c r="H489" s="15" t="s">
        <v>31</v>
      </c>
      <c r="I489" s="15">
        <v>1.0</v>
      </c>
      <c r="J489" s="15">
        <v>1.0</v>
      </c>
      <c r="K489" s="15" t="s">
        <v>31</v>
      </c>
      <c r="L489" s="16" t="s">
        <v>3613</v>
      </c>
      <c r="M489" s="14" t="s">
        <v>3712</v>
      </c>
      <c r="N489" s="14" t="s">
        <v>3615</v>
      </c>
      <c r="O489" s="16" t="s">
        <v>3616</v>
      </c>
      <c r="P489" s="14" t="s">
        <v>3617</v>
      </c>
      <c r="Q489" s="14" t="s">
        <v>3618</v>
      </c>
      <c r="R489" s="14" t="s">
        <v>3619</v>
      </c>
      <c r="S489" s="16" t="s">
        <v>3620</v>
      </c>
      <c r="T489" s="14" t="s">
        <v>3339</v>
      </c>
      <c r="U489" s="16" t="s">
        <v>3621</v>
      </c>
      <c r="V489" s="14" t="s">
        <v>3713</v>
      </c>
      <c r="W489" s="14" t="s">
        <v>3599</v>
      </c>
      <c r="X489" s="17" t="str">
        <f>HYPERLINK("https://my.pitchbook.com?p=277158-52P","View People Online")</f>
        <v>View People Online</v>
      </c>
    </row>
    <row r="490">
      <c r="A490" s="2" t="s">
        <v>3714</v>
      </c>
      <c r="B490" s="2" t="s">
        <v>3715</v>
      </c>
      <c r="C490" s="2" t="s">
        <v>3716</v>
      </c>
      <c r="D490" s="2" t="s">
        <v>673</v>
      </c>
      <c r="E490" s="2" t="s">
        <v>3599</v>
      </c>
      <c r="F490" s="2" t="s">
        <v>825</v>
      </c>
      <c r="G490" s="2" t="s">
        <v>3717</v>
      </c>
      <c r="H490" s="3" t="s">
        <v>31</v>
      </c>
      <c r="I490" s="3">
        <v>1.0</v>
      </c>
      <c r="J490" s="3">
        <v>1.0</v>
      </c>
      <c r="K490" s="3" t="s">
        <v>31</v>
      </c>
      <c r="L490" s="4" t="s">
        <v>3613</v>
      </c>
      <c r="M490" s="2" t="s">
        <v>3718</v>
      </c>
      <c r="N490" s="2" t="s">
        <v>3615</v>
      </c>
      <c r="O490" s="4" t="s">
        <v>3616</v>
      </c>
      <c r="P490" s="2" t="s">
        <v>3617</v>
      </c>
      <c r="Q490" s="2" t="s">
        <v>3618</v>
      </c>
      <c r="R490" s="2" t="s">
        <v>3619</v>
      </c>
      <c r="S490" s="4" t="s">
        <v>3620</v>
      </c>
      <c r="T490" s="2" t="s">
        <v>3339</v>
      </c>
      <c r="U490" s="4" t="s">
        <v>3621</v>
      </c>
      <c r="V490" s="2" t="s">
        <v>3719</v>
      </c>
      <c r="W490" s="2" t="s">
        <v>3599</v>
      </c>
      <c r="X490" s="5" t="str">
        <f>HYPERLINK("https://my.pitchbook.com?p=444779-29P","View People Online")</f>
        <v>View People Online</v>
      </c>
    </row>
    <row r="491">
      <c r="A491" s="6" t="s">
        <v>3720</v>
      </c>
      <c r="B491" s="6" t="s">
        <v>3721</v>
      </c>
      <c r="C491" s="6" t="s">
        <v>3722</v>
      </c>
      <c r="D491" s="6" t="s">
        <v>3723</v>
      </c>
      <c r="E491" s="6" t="s">
        <v>3599</v>
      </c>
      <c r="F491" s="6" t="s">
        <v>583</v>
      </c>
      <c r="G491" s="6" t="s">
        <v>3724</v>
      </c>
      <c r="H491" s="7" t="s">
        <v>31</v>
      </c>
      <c r="I491" s="7">
        <v>2.0</v>
      </c>
      <c r="J491" s="7">
        <v>1.0</v>
      </c>
      <c r="K491" s="7">
        <v>1.0</v>
      </c>
      <c r="L491" s="8" t="s">
        <v>3613</v>
      </c>
      <c r="M491" s="6" t="s">
        <v>31</v>
      </c>
      <c r="N491" s="6" t="s">
        <v>3615</v>
      </c>
      <c r="O491" s="8" t="s">
        <v>3616</v>
      </c>
      <c r="P491" s="6" t="s">
        <v>3617</v>
      </c>
      <c r="Q491" s="6" t="s">
        <v>3618</v>
      </c>
      <c r="R491" s="6" t="s">
        <v>3619</v>
      </c>
      <c r="S491" s="8" t="s">
        <v>3620</v>
      </c>
      <c r="T491" s="6" t="s">
        <v>3339</v>
      </c>
      <c r="U491" s="8" t="s">
        <v>3621</v>
      </c>
      <c r="V491" s="6" t="s">
        <v>3725</v>
      </c>
      <c r="W491" s="6" t="s">
        <v>3599</v>
      </c>
      <c r="X491" s="9" t="str">
        <f>HYPERLINK("https://my.pitchbook.com?p=450032-05P","View People Online")</f>
        <v>View People Online</v>
      </c>
    </row>
    <row r="492">
      <c r="A492" s="2" t="s">
        <v>3726</v>
      </c>
      <c r="B492" s="2" t="s">
        <v>3727</v>
      </c>
      <c r="C492" s="2" t="s">
        <v>3728</v>
      </c>
      <c r="D492" s="2" t="s">
        <v>3729</v>
      </c>
      <c r="E492" s="2" t="s">
        <v>3599</v>
      </c>
      <c r="F492" s="2" t="s">
        <v>2422</v>
      </c>
      <c r="G492" s="2" t="s">
        <v>3730</v>
      </c>
      <c r="H492" s="3" t="s">
        <v>31</v>
      </c>
      <c r="I492" s="3">
        <v>1.0</v>
      </c>
      <c r="J492" s="3">
        <v>1.0</v>
      </c>
      <c r="K492" s="3" t="s">
        <v>31</v>
      </c>
      <c r="L492" s="4" t="s">
        <v>3613</v>
      </c>
      <c r="M492" s="2" t="s">
        <v>31</v>
      </c>
      <c r="N492" s="2" t="s">
        <v>3615</v>
      </c>
      <c r="O492" s="4" t="s">
        <v>3616</v>
      </c>
      <c r="P492" s="2" t="s">
        <v>3617</v>
      </c>
      <c r="Q492" s="2" t="s">
        <v>3618</v>
      </c>
      <c r="R492" s="2" t="s">
        <v>3619</v>
      </c>
      <c r="S492" s="4" t="s">
        <v>3620</v>
      </c>
      <c r="T492" s="2" t="s">
        <v>3339</v>
      </c>
      <c r="U492" s="4" t="s">
        <v>3621</v>
      </c>
      <c r="V492" s="2" t="s">
        <v>2422</v>
      </c>
      <c r="W492" s="2" t="s">
        <v>3599</v>
      </c>
      <c r="X492" s="5" t="str">
        <f>HYPERLINK("https://my.pitchbook.com?p=106321-24P","View People Online")</f>
        <v>View People Online</v>
      </c>
    </row>
    <row r="493">
      <c r="A493" s="14" t="s">
        <v>3731</v>
      </c>
      <c r="B493" s="14" t="s">
        <v>3732</v>
      </c>
      <c r="C493" s="14" t="s">
        <v>831</v>
      </c>
      <c r="D493" s="14" t="s">
        <v>3733</v>
      </c>
      <c r="E493" s="14" t="s">
        <v>3599</v>
      </c>
      <c r="F493" s="14" t="s">
        <v>3665</v>
      </c>
      <c r="G493" s="14" t="s">
        <v>3734</v>
      </c>
      <c r="H493" s="15">
        <v>1.0</v>
      </c>
      <c r="I493" s="15">
        <v>2.0</v>
      </c>
      <c r="J493" s="15">
        <v>2.0</v>
      </c>
      <c r="K493" s="15" t="s">
        <v>31</v>
      </c>
      <c r="L493" s="16" t="s">
        <v>3613</v>
      </c>
      <c r="M493" s="14" t="s">
        <v>3735</v>
      </c>
      <c r="N493" s="14" t="s">
        <v>3615</v>
      </c>
      <c r="O493" s="16" t="s">
        <v>3616</v>
      </c>
      <c r="P493" s="14" t="s">
        <v>3617</v>
      </c>
      <c r="Q493" s="14" t="s">
        <v>3618</v>
      </c>
      <c r="R493" s="14" t="s">
        <v>3619</v>
      </c>
      <c r="S493" s="16" t="s">
        <v>3620</v>
      </c>
      <c r="T493" s="14" t="s">
        <v>3339</v>
      </c>
      <c r="U493" s="16" t="s">
        <v>3621</v>
      </c>
      <c r="V493" s="14" t="s">
        <v>3665</v>
      </c>
      <c r="W493" s="14" t="s">
        <v>3599</v>
      </c>
      <c r="X493" s="17" t="str">
        <f>HYPERLINK("https://my.pitchbook.com?p=329520-79P","View People Online")</f>
        <v>View People Online</v>
      </c>
    </row>
    <row r="494">
      <c r="A494" s="10" t="s">
        <v>3736</v>
      </c>
      <c r="B494" s="10" t="s">
        <v>3737</v>
      </c>
      <c r="C494" s="10" t="s">
        <v>3738</v>
      </c>
      <c r="D494" s="10" t="s">
        <v>3739</v>
      </c>
      <c r="E494" s="10" t="s">
        <v>3599</v>
      </c>
      <c r="F494" s="10" t="s">
        <v>3740</v>
      </c>
      <c r="G494" s="10" t="s">
        <v>3741</v>
      </c>
      <c r="H494" s="11" t="s">
        <v>31</v>
      </c>
      <c r="I494" s="11">
        <v>1.0</v>
      </c>
      <c r="J494" s="11">
        <v>1.0</v>
      </c>
      <c r="K494" s="11" t="s">
        <v>31</v>
      </c>
      <c r="L494" s="12" t="s">
        <v>3613</v>
      </c>
      <c r="M494" s="10" t="s">
        <v>31</v>
      </c>
      <c r="N494" s="10" t="s">
        <v>3615</v>
      </c>
      <c r="O494" s="12" t="s">
        <v>3616</v>
      </c>
      <c r="P494" s="10" t="s">
        <v>3617</v>
      </c>
      <c r="Q494" s="10" t="s">
        <v>3618</v>
      </c>
      <c r="R494" s="10" t="s">
        <v>3619</v>
      </c>
      <c r="S494" s="12" t="s">
        <v>3620</v>
      </c>
      <c r="T494" s="10" t="s">
        <v>3339</v>
      </c>
      <c r="U494" s="12" t="s">
        <v>3621</v>
      </c>
      <c r="V494" s="10" t="s">
        <v>3740</v>
      </c>
      <c r="W494" s="10" t="s">
        <v>3599</v>
      </c>
      <c r="X494" s="13" t="str">
        <f>HYPERLINK("https://my.pitchbook.com?p=44130-52P","View People Online")</f>
        <v>View People Online</v>
      </c>
    </row>
    <row r="495">
      <c r="A495" s="6" t="s">
        <v>3742</v>
      </c>
      <c r="B495" s="6" t="s">
        <v>3743</v>
      </c>
      <c r="C495" s="6" t="s">
        <v>3744</v>
      </c>
      <c r="D495" s="6" t="s">
        <v>3745</v>
      </c>
      <c r="E495" s="6" t="s">
        <v>3599</v>
      </c>
      <c r="F495" s="6" t="s">
        <v>470</v>
      </c>
      <c r="G495" s="6" t="s">
        <v>3746</v>
      </c>
      <c r="H495" s="7" t="s">
        <v>31</v>
      </c>
      <c r="I495" s="7">
        <v>1.0</v>
      </c>
      <c r="J495" s="7">
        <v>1.0</v>
      </c>
      <c r="K495" s="7" t="s">
        <v>31</v>
      </c>
      <c r="L495" s="8" t="s">
        <v>3613</v>
      </c>
      <c r="M495" s="6" t="s">
        <v>31</v>
      </c>
      <c r="N495" s="6" t="s">
        <v>3615</v>
      </c>
      <c r="O495" s="8" t="s">
        <v>3616</v>
      </c>
      <c r="P495" s="6" t="s">
        <v>3617</v>
      </c>
      <c r="Q495" s="6" t="s">
        <v>3618</v>
      </c>
      <c r="R495" s="6" t="s">
        <v>3619</v>
      </c>
      <c r="S495" s="8" t="s">
        <v>3620</v>
      </c>
      <c r="T495" s="6" t="s">
        <v>3339</v>
      </c>
      <c r="U495" s="8" t="s">
        <v>3621</v>
      </c>
      <c r="V495" s="6" t="s">
        <v>470</v>
      </c>
      <c r="W495" s="6" t="s">
        <v>3599</v>
      </c>
      <c r="X495" s="9" t="str">
        <f>HYPERLINK("https://my.pitchbook.com?p=443397-70P","View People Online")</f>
        <v>View People Online</v>
      </c>
    </row>
    <row r="496">
      <c r="A496" s="2" t="s">
        <v>3747</v>
      </c>
      <c r="B496" s="2" t="s">
        <v>3748</v>
      </c>
      <c r="C496" s="2" t="s">
        <v>3749</v>
      </c>
      <c r="D496" s="2" t="s">
        <v>831</v>
      </c>
      <c r="E496" s="2" t="s">
        <v>3599</v>
      </c>
      <c r="F496" s="2" t="s">
        <v>3750</v>
      </c>
      <c r="G496" s="2" t="s">
        <v>3751</v>
      </c>
      <c r="H496" s="3">
        <v>1.0</v>
      </c>
      <c r="I496" s="3">
        <v>18.0</v>
      </c>
      <c r="J496" s="3">
        <v>2.0</v>
      </c>
      <c r="K496" s="3">
        <v>11.0</v>
      </c>
      <c r="L496" s="4" t="s">
        <v>31</v>
      </c>
      <c r="M496" s="2" t="s">
        <v>3752</v>
      </c>
      <c r="N496" s="2" t="s">
        <v>3753</v>
      </c>
      <c r="O496" s="4" t="s">
        <v>3754</v>
      </c>
      <c r="P496" s="2" t="s">
        <v>3755</v>
      </c>
      <c r="Q496" s="2" t="s">
        <v>3756</v>
      </c>
      <c r="R496" s="2" t="s">
        <v>31</v>
      </c>
      <c r="S496" s="4" t="s">
        <v>3757</v>
      </c>
      <c r="T496" s="2" t="s">
        <v>3339</v>
      </c>
      <c r="U496" s="4" t="s">
        <v>3758</v>
      </c>
      <c r="V496" s="2" t="s">
        <v>3759</v>
      </c>
      <c r="W496" s="2" t="s">
        <v>3760</v>
      </c>
      <c r="X496" s="5" t="str">
        <f>HYPERLINK("https://my.pitchbook.com?p=127202-77P","View People Online")</f>
        <v>View People Online</v>
      </c>
    </row>
    <row r="497">
      <c r="A497" s="6" t="s">
        <v>3761</v>
      </c>
      <c r="B497" s="6" t="s">
        <v>3762</v>
      </c>
      <c r="C497" s="6" t="s">
        <v>3763</v>
      </c>
      <c r="D497" s="6" t="s">
        <v>3637</v>
      </c>
      <c r="E497" s="6" t="s">
        <v>3599</v>
      </c>
      <c r="F497" s="6" t="s">
        <v>270</v>
      </c>
      <c r="G497" s="6" t="s">
        <v>3764</v>
      </c>
      <c r="H497" s="7" t="s">
        <v>31</v>
      </c>
      <c r="I497" s="7">
        <v>1.0</v>
      </c>
      <c r="J497" s="7">
        <v>1.0</v>
      </c>
      <c r="K497" s="7" t="s">
        <v>31</v>
      </c>
      <c r="L497" s="8" t="s">
        <v>3765</v>
      </c>
      <c r="M497" s="6" t="s">
        <v>31</v>
      </c>
      <c r="N497" s="6" t="s">
        <v>3766</v>
      </c>
      <c r="O497" s="8" t="s">
        <v>3767</v>
      </c>
      <c r="P497" s="6" t="s">
        <v>3768</v>
      </c>
      <c r="Q497" s="6" t="s">
        <v>1280</v>
      </c>
      <c r="R497" s="6" t="s">
        <v>64</v>
      </c>
      <c r="S497" s="8" t="s">
        <v>3769</v>
      </c>
      <c r="T497" s="6" t="s">
        <v>66</v>
      </c>
      <c r="U497" s="8" t="s">
        <v>3770</v>
      </c>
      <c r="V497" s="6" t="s">
        <v>3771</v>
      </c>
      <c r="W497" s="6" t="s">
        <v>3599</v>
      </c>
      <c r="X497" s="9" t="str">
        <f>HYPERLINK("https://my.pitchbook.com?p=46402-75P","View People Online")</f>
        <v>View People Online</v>
      </c>
    </row>
    <row r="498">
      <c r="A498" s="10" t="s">
        <v>3772</v>
      </c>
      <c r="B498" s="10" t="s">
        <v>3773</v>
      </c>
      <c r="C498" s="10" t="s">
        <v>3774</v>
      </c>
      <c r="D498" s="10" t="s">
        <v>3775</v>
      </c>
      <c r="E498" s="10" t="s">
        <v>3599</v>
      </c>
      <c r="F498" s="10" t="s">
        <v>270</v>
      </c>
      <c r="G498" s="10" t="s">
        <v>3776</v>
      </c>
      <c r="H498" s="11" t="s">
        <v>31</v>
      </c>
      <c r="I498" s="11">
        <v>1.0</v>
      </c>
      <c r="J498" s="11">
        <v>1.0</v>
      </c>
      <c r="K498" s="11" t="s">
        <v>31</v>
      </c>
      <c r="L498" s="12" t="s">
        <v>3613</v>
      </c>
      <c r="M498" s="10" t="s">
        <v>31</v>
      </c>
      <c r="N498" s="10" t="s">
        <v>3615</v>
      </c>
      <c r="O498" s="12" t="s">
        <v>3616</v>
      </c>
      <c r="P498" s="10" t="s">
        <v>3617</v>
      </c>
      <c r="Q498" s="10" t="s">
        <v>3618</v>
      </c>
      <c r="R498" s="10" t="s">
        <v>3619</v>
      </c>
      <c r="S498" s="12" t="s">
        <v>3620</v>
      </c>
      <c r="T498" s="10" t="s">
        <v>3339</v>
      </c>
      <c r="U498" s="12" t="s">
        <v>3621</v>
      </c>
      <c r="V498" s="10" t="s">
        <v>270</v>
      </c>
      <c r="W498" s="10" t="s">
        <v>3599</v>
      </c>
      <c r="X498" s="13" t="str">
        <f>HYPERLINK("https://my.pitchbook.com?p=102478-78P","View People Online")</f>
        <v>View People Online</v>
      </c>
    </row>
    <row r="499">
      <c r="A499" s="6" t="s">
        <v>3777</v>
      </c>
      <c r="B499" s="6" t="s">
        <v>3778</v>
      </c>
      <c r="C499" s="6" t="s">
        <v>3779</v>
      </c>
      <c r="D499" s="6" t="s">
        <v>1571</v>
      </c>
      <c r="E499" s="6" t="s">
        <v>3780</v>
      </c>
      <c r="F499" s="6" t="s">
        <v>78</v>
      </c>
      <c r="G499" s="6" t="s">
        <v>3781</v>
      </c>
      <c r="H499" s="7">
        <v>2.0</v>
      </c>
      <c r="I499" s="7">
        <v>10.0</v>
      </c>
      <c r="J499" s="7">
        <v>1.0</v>
      </c>
      <c r="K499" s="7">
        <v>4.0</v>
      </c>
      <c r="L499" s="8" t="s">
        <v>31</v>
      </c>
      <c r="M499" s="6" t="s">
        <v>3782</v>
      </c>
      <c r="N499" s="6" t="s">
        <v>1170</v>
      </c>
      <c r="O499" s="8" t="s">
        <v>1171</v>
      </c>
      <c r="P499" s="6" t="s">
        <v>3783</v>
      </c>
      <c r="Q499" s="6" t="s">
        <v>3784</v>
      </c>
      <c r="R499" s="6" t="s">
        <v>64</v>
      </c>
      <c r="S499" s="8" t="s">
        <v>3785</v>
      </c>
      <c r="T499" s="6" t="s">
        <v>66</v>
      </c>
      <c r="U499" s="8" t="s">
        <v>31</v>
      </c>
      <c r="V499" s="6" t="s">
        <v>78</v>
      </c>
      <c r="W499" s="6" t="s">
        <v>3780</v>
      </c>
      <c r="X499" s="9" t="str">
        <f>HYPERLINK("https://my.pitchbook.com?p=242386-30P","View People Online")</f>
        <v>View People Online</v>
      </c>
    </row>
    <row r="500">
      <c r="A500" s="10" t="s">
        <v>3786</v>
      </c>
      <c r="B500" s="10" t="s">
        <v>3787</v>
      </c>
      <c r="C500" s="10" t="s">
        <v>3788</v>
      </c>
      <c r="D500" s="10" t="s">
        <v>3789</v>
      </c>
      <c r="E500" s="10" t="s">
        <v>3780</v>
      </c>
      <c r="F500" s="10" t="s">
        <v>312</v>
      </c>
      <c r="G500" s="10" t="s">
        <v>3790</v>
      </c>
      <c r="H500" s="11" t="s">
        <v>31</v>
      </c>
      <c r="I500" s="11">
        <v>1.0</v>
      </c>
      <c r="J500" s="11">
        <v>1.0</v>
      </c>
      <c r="K500" s="11" t="s">
        <v>31</v>
      </c>
      <c r="L500" s="12" t="s">
        <v>3791</v>
      </c>
      <c r="M500" s="10" t="s">
        <v>3792</v>
      </c>
      <c r="N500" s="10" t="s">
        <v>75</v>
      </c>
      <c r="O500" s="12" t="s">
        <v>76</v>
      </c>
      <c r="P500" s="10" t="s">
        <v>3793</v>
      </c>
      <c r="Q500" s="10" t="s">
        <v>3794</v>
      </c>
      <c r="R500" s="10" t="s">
        <v>75</v>
      </c>
      <c r="S500" s="12" t="s">
        <v>3795</v>
      </c>
      <c r="T500" s="10" t="s">
        <v>66</v>
      </c>
      <c r="U500" s="12" t="s">
        <v>31</v>
      </c>
      <c r="V500" s="10" t="s">
        <v>3796</v>
      </c>
      <c r="W500" s="10" t="s">
        <v>3780</v>
      </c>
      <c r="X500" s="13" t="str">
        <f>HYPERLINK("https://my.pitchbook.com?p=337066-03P","View People Online")</f>
        <v>View People Online</v>
      </c>
    </row>
    <row r="501">
      <c r="A501" s="6" t="s">
        <v>3797</v>
      </c>
      <c r="B501" s="6" t="s">
        <v>3798</v>
      </c>
      <c r="C501" s="6" t="s">
        <v>323</v>
      </c>
      <c r="D501" s="6" t="s">
        <v>666</v>
      </c>
      <c r="E501" s="6" t="s">
        <v>3780</v>
      </c>
      <c r="F501" s="6" t="s">
        <v>312</v>
      </c>
      <c r="G501" s="6" t="s">
        <v>3799</v>
      </c>
      <c r="H501" s="7" t="s">
        <v>31</v>
      </c>
      <c r="I501" s="7">
        <v>1.0</v>
      </c>
      <c r="J501" s="7">
        <v>1.0</v>
      </c>
      <c r="K501" s="7" t="s">
        <v>31</v>
      </c>
      <c r="L501" s="8" t="s">
        <v>31</v>
      </c>
      <c r="M501" s="6" t="s">
        <v>3800</v>
      </c>
      <c r="N501" s="6" t="s">
        <v>1170</v>
      </c>
      <c r="O501" s="8" t="s">
        <v>1171</v>
      </c>
      <c r="P501" s="6" t="s">
        <v>3783</v>
      </c>
      <c r="Q501" s="6" t="s">
        <v>3784</v>
      </c>
      <c r="R501" s="6" t="s">
        <v>64</v>
      </c>
      <c r="S501" s="8" t="s">
        <v>3785</v>
      </c>
      <c r="T501" s="6" t="s">
        <v>66</v>
      </c>
      <c r="U501" s="8" t="s">
        <v>31</v>
      </c>
      <c r="V501" s="6" t="s">
        <v>3801</v>
      </c>
      <c r="W501" s="6" t="s">
        <v>3780</v>
      </c>
      <c r="X501" s="9" t="str">
        <f>HYPERLINK("https://my.pitchbook.com?p=297366-22P","View People Online")</f>
        <v>View People Online</v>
      </c>
    </row>
    <row r="502">
      <c r="A502" s="2" t="s">
        <v>3802</v>
      </c>
      <c r="B502" s="2" t="s">
        <v>3803</v>
      </c>
      <c r="C502" s="2" t="s">
        <v>3804</v>
      </c>
      <c r="D502" s="2" t="s">
        <v>801</v>
      </c>
      <c r="E502" s="2" t="s">
        <v>3780</v>
      </c>
      <c r="F502" s="2" t="s">
        <v>371</v>
      </c>
      <c r="G502" s="2" t="s">
        <v>3805</v>
      </c>
      <c r="H502" s="3" t="s">
        <v>31</v>
      </c>
      <c r="I502" s="3">
        <v>1.0</v>
      </c>
      <c r="J502" s="3">
        <v>1.0</v>
      </c>
      <c r="K502" s="3" t="s">
        <v>31</v>
      </c>
      <c r="L502" s="4" t="s">
        <v>3806</v>
      </c>
      <c r="M502" s="2" t="s">
        <v>3807</v>
      </c>
      <c r="N502" s="2" t="s">
        <v>75</v>
      </c>
      <c r="O502" s="4" t="s">
        <v>76</v>
      </c>
      <c r="P502" s="2" t="s">
        <v>3793</v>
      </c>
      <c r="Q502" s="2" t="s">
        <v>3794</v>
      </c>
      <c r="R502" s="2" t="s">
        <v>75</v>
      </c>
      <c r="S502" s="4" t="s">
        <v>3795</v>
      </c>
      <c r="T502" s="2" t="s">
        <v>66</v>
      </c>
      <c r="U502" s="4" t="s">
        <v>31</v>
      </c>
      <c r="V502" s="2" t="s">
        <v>3808</v>
      </c>
      <c r="W502" s="2" t="s">
        <v>3780</v>
      </c>
      <c r="X502" s="5" t="str">
        <f>HYPERLINK("https://my.pitchbook.com?p=300308-32P","View People Online")</f>
        <v>View People Online</v>
      </c>
    </row>
    <row r="503">
      <c r="A503" s="6" t="s">
        <v>3809</v>
      </c>
      <c r="B503" s="6" t="s">
        <v>3810</v>
      </c>
      <c r="C503" s="6" t="s">
        <v>3811</v>
      </c>
      <c r="D503" s="6" t="s">
        <v>3812</v>
      </c>
      <c r="E503" s="6" t="s">
        <v>3780</v>
      </c>
      <c r="F503" s="6" t="s">
        <v>371</v>
      </c>
      <c r="G503" s="6" t="s">
        <v>3813</v>
      </c>
      <c r="H503" s="7" t="s">
        <v>31</v>
      </c>
      <c r="I503" s="7">
        <v>1.0</v>
      </c>
      <c r="J503" s="7">
        <v>1.0</v>
      </c>
      <c r="K503" s="7" t="s">
        <v>31</v>
      </c>
      <c r="L503" s="8" t="s">
        <v>3814</v>
      </c>
      <c r="M503" s="6" t="s">
        <v>31</v>
      </c>
      <c r="N503" s="6" t="s">
        <v>75</v>
      </c>
      <c r="O503" s="8" t="s">
        <v>76</v>
      </c>
      <c r="P503" s="6" t="s">
        <v>3793</v>
      </c>
      <c r="Q503" s="6" t="s">
        <v>3794</v>
      </c>
      <c r="R503" s="6" t="s">
        <v>75</v>
      </c>
      <c r="S503" s="8" t="s">
        <v>3795</v>
      </c>
      <c r="T503" s="6" t="s">
        <v>66</v>
      </c>
      <c r="U503" s="8" t="s">
        <v>31</v>
      </c>
      <c r="V503" s="6" t="s">
        <v>371</v>
      </c>
      <c r="W503" s="6" t="s">
        <v>3780</v>
      </c>
      <c r="X503" s="9" t="str">
        <f>HYPERLINK("https://my.pitchbook.com?p=284241-07P","View People Online")</f>
        <v>View People Online</v>
      </c>
    </row>
    <row r="504">
      <c r="A504" s="2" t="s">
        <v>3815</v>
      </c>
      <c r="B504" s="2" t="s">
        <v>3816</v>
      </c>
      <c r="C504" s="2" t="s">
        <v>3817</v>
      </c>
      <c r="D504" s="2" t="s">
        <v>3818</v>
      </c>
      <c r="E504" s="2" t="s">
        <v>3780</v>
      </c>
      <c r="F504" s="2" t="s">
        <v>81</v>
      </c>
      <c r="G504" s="2" t="s">
        <v>3819</v>
      </c>
      <c r="H504" s="3" t="s">
        <v>31</v>
      </c>
      <c r="I504" s="3">
        <v>1.0</v>
      </c>
      <c r="J504" s="3" t="s">
        <v>31</v>
      </c>
      <c r="K504" s="3" t="s">
        <v>31</v>
      </c>
      <c r="L504" s="4" t="s">
        <v>3806</v>
      </c>
      <c r="M504" s="2" t="s">
        <v>31</v>
      </c>
      <c r="N504" s="2" t="s">
        <v>75</v>
      </c>
      <c r="O504" s="4" t="s">
        <v>76</v>
      </c>
      <c r="P504" s="2" t="s">
        <v>3793</v>
      </c>
      <c r="Q504" s="2" t="s">
        <v>3794</v>
      </c>
      <c r="R504" s="2" t="s">
        <v>75</v>
      </c>
      <c r="S504" s="4" t="s">
        <v>3795</v>
      </c>
      <c r="T504" s="2" t="s">
        <v>66</v>
      </c>
      <c r="U504" s="4" t="s">
        <v>31</v>
      </c>
      <c r="V504" s="2" t="s">
        <v>81</v>
      </c>
      <c r="W504" s="2" t="s">
        <v>3780</v>
      </c>
      <c r="X504" s="5" t="str">
        <f>HYPERLINK("https://my.pitchbook.com?p=199900-18P","View People Online")</f>
        <v>View People Online</v>
      </c>
    </row>
    <row r="505">
      <c r="A505" s="6" t="s">
        <v>3820</v>
      </c>
      <c r="B505" s="6" t="s">
        <v>3821</v>
      </c>
      <c r="C505" s="6" t="s">
        <v>823</v>
      </c>
      <c r="D505" s="6" t="s">
        <v>3822</v>
      </c>
      <c r="E505" s="6" t="s">
        <v>3780</v>
      </c>
      <c r="F505" s="6" t="s">
        <v>3823</v>
      </c>
      <c r="G505" s="6" t="s">
        <v>3824</v>
      </c>
      <c r="H505" s="7">
        <v>3.0</v>
      </c>
      <c r="I505" s="7">
        <v>9.0</v>
      </c>
      <c r="J505" s="7">
        <v>1.0</v>
      </c>
      <c r="K505" s="7">
        <v>2.0</v>
      </c>
      <c r="L505" s="8" t="s">
        <v>3806</v>
      </c>
      <c r="M505" s="6" t="s">
        <v>3825</v>
      </c>
      <c r="N505" s="6" t="s">
        <v>75</v>
      </c>
      <c r="O505" s="8" t="s">
        <v>76</v>
      </c>
      <c r="P505" s="6" t="s">
        <v>3793</v>
      </c>
      <c r="Q505" s="6" t="s">
        <v>3794</v>
      </c>
      <c r="R505" s="6" t="s">
        <v>75</v>
      </c>
      <c r="S505" s="8" t="s">
        <v>3795</v>
      </c>
      <c r="T505" s="6" t="s">
        <v>66</v>
      </c>
      <c r="U505" s="8" t="s">
        <v>31</v>
      </c>
      <c r="V505" s="6" t="s">
        <v>3823</v>
      </c>
      <c r="W505" s="6" t="s">
        <v>3780</v>
      </c>
      <c r="X505" s="9" t="str">
        <f>HYPERLINK("https://my.pitchbook.com?p=209401-66P","View People Online")</f>
        <v>View People Online</v>
      </c>
    </row>
    <row r="506">
      <c r="A506" s="10" t="s">
        <v>3826</v>
      </c>
      <c r="B506" s="10" t="s">
        <v>3827</v>
      </c>
      <c r="C506" s="10" t="s">
        <v>3828</v>
      </c>
      <c r="D506" s="10" t="s">
        <v>3829</v>
      </c>
      <c r="E506" s="10" t="s">
        <v>3780</v>
      </c>
      <c r="F506" s="10" t="s">
        <v>371</v>
      </c>
      <c r="G506" s="10" t="s">
        <v>3830</v>
      </c>
      <c r="H506" s="11" t="s">
        <v>31</v>
      </c>
      <c r="I506" s="11">
        <v>1.0</v>
      </c>
      <c r="J506" s="11">
        <v>1.0</v>
      </c>
      <c r="K506" s="11" t="s">
        <v>31</v>
      </c>
      <c r="L506" s="12" t="s">
        <v>3806</v>
      </c>
      <c r="M506" s="10" t="s">
        <v>3831</v>
      </c>
      <c r="N506" s="10" t="s">
        <v>75</v>
      </c>
      <c r="O506" s="12" t="s">
        <v>76</v>
      </c>
      <c r="P506" s="10" t="s">
        <v>3793</v>
      </c>
      <c r="Q506" s="10" t="s">
        <v>3794</v>
      </c>
      <c r="R506" s="10" t="s">
        <v>75</v>
      </c>
      <c r="S506" s="12" t="s">
        <v>3795</v>
      </c>
      <c r="T506" s="10" t="s">
        <v>66</v>
      </c>
      <c r="U506" s="12" t="s">
        <v>31</v>
      </c>
      <c r="V506" s="10" t="s">
        <v>3832</v>
      </c>
      <c r="W506" s="10" t="s">
        <v>3780</v>
      </c>
      <c r="X506" s="13" t="str">
        <f>HYPERLINK("https://my.pitchbook.com?p=449213-50P","View People Online")</f>
        <v>View People Online</v>
      </c>
    </row>
    <row r="507">
      <c r="A507" s="6" t="s">
        <v>3833</v>
      </c>
      <c r="B507" s="6" t="s">
        <v>3834</v>
      </c>
      <c r="C507" s="6" t="s">
        <v>507</v>
      </c>
      <c r="D507" s="6" t="s">
        <v>3835</v>
      </c>
      <c r="E507" s="6" t="s">
        <v>3780</v>
      </c>
      <c r="F507" s="6" t="s">
        <v>221</v>
      </c>
      <c r="G507" s="6" t="s">
        <v>3836</v>
      </c>
      <c r="H507" s="7" t="s">
        <v>31</v>
      </c>
      <c r="I507" s="7">
        <v>1.0</v>
      </c>
      <c r="J507" s="7">
        <v>1.0</v>
      </c>
      <c r="K507" s="7" t="s">
        <v>31</v>
      </c>
      <c r="L507" s="8" t="s">
        <v>3806</v>
      </c>
      <c r="M507" s="6" t="s">
        <v>3837</v>
      </c>
      <c r="N507" s="6" t="s">
        <v>75</v>
      </c>
      <c r="O507" s="8" t="s">
        <v>76</v>
      </c>
      <c r="P507" s="6" t="s">
        <v>3793</v>
      </c>
      <c r="Q507" s="6" t="s">
        <v>3794</v>
      </c>
      <c r="R507" s="6" t="s">
        <v>75</v>
      </c>
      <c r="S507" s="8" t="s">
        <v>3795</v>
      </c>
      <c r="T507" s="6" t="s">
        <v>66</v>
      </c>
      <c r="U507" s="8" t="s">
        <v>31</v>
      </c>
      <c r="V507" s="6" t="s">
        <v>3838</v>
      </c>
      <c r="W507" s="6" t="s">
        <v>3780</v>
      </c>
      <c r="X507" s="9" t="str">
        <f>HYPERLINK("https://my.pitchbook.com?p=449215-30P","View People Online")</f>
        <v>View People Online</v>
      </c>
    </row>
    <row r="508">
      <c r="A508" s="10" t="s">
        <v>3839</v>
      </c>
      <c r="B508" s="10" t="s">
        <v>3840</v>
      </c>
      <c r="C508" s="10" t="s">
        <v>3841</v>
      </c>
      <c r="D508" s="10" t="s">
        <v>3842</v>
      </c>
      <c r="E508" s="10" t="s">
        <v>3780</v>
      </c>
      <c r="F508" s="10" t="s">
        <v>548</v>
      </c>
      <c r="G508" s="10" t="s">
        <v>3843</v>
      </c>
      <c r="H508" s="11" t="s">
        <v>31</v>
      </c>
      <c r="I508" s="11">
        <v>1.0</v>
      </c>
      <c r="J508" s="11">
        <v>1.0</v>
      </c>
      <c r="K508" s="11" t="s">
        <v>31</v>
      </c>
      <c r="L508" s="12" t="s">
        <v>3806</v>
      </c>
      <c r="M508" s="10" t="s">
        <v>31</v>
      </c>
      <c r="N508" s="10" t="s">
        <v>75</v>
      </c>
      <c r="O508" s="12" t="s">
        <v>76</v>
      </c>
      <c r="P508" s="10" t="s">
        <v>3793</v>
      </c>
      <c r="Q508" s="10" t="s">
        <v>3794</v>
      </c>
      <c r="R508" s="10" t="s">
        <v>75</v>
      </c>
      <c r="S508" s="12" t="s">
        <v>3795</v>
      </c>
      <c r="T508" s="10" t="s">
        <v>66</v>
      </c>
      <c r="U508" s="12" t="s">
        <v>31</v>
      </c>
      <c r="V508" s="10" t="s">
        <v>3455</v>
      </c>
      <c r="W508" s="10" t="s">
        <v>3780</v>
      </c>
      <c r="X508" s="13" t="str">
        <f>HYPERLINK("https://my.pitchbook.com?p=301793-41P","View People Online")</f>
        <v>View People Online</v>
      </c>
    </row>
    <row r="509">
      <c r="A509" s="6" t="s">
        <v>3844</v>
      </c>
      <c r="B509" s="6" t="s">
        <v>3845</v>
      </c>
      <c r="C509" s="6" t="s">
        <v>3846</v>
      </c>
      <c r="D509" s="6" t="s">
        <v>3847</v>
      </c>
      <c r="E509" s="6" t="s">
        <v>3780</v>
      </c>
      <c r="F509" s="6" t="s">
        <v>371</v>
      </c>
      <c r="G509" s="6" t="s">
        <v>3848</v>
      </c>
      <c r="H509" s="7" t="s">
        <v>31</v>
      </c>
      <c r="I509" s="7">
        <v>1.0</v>
      </c>
      <c r="J509" s="7">
        <v>1.0</v>
      </c>
      <c r="K509" s="7" t="s">
        <v>31</v>
      </c>
      <c r="L509" s="8" t="s">
        <v>3806</v>
      </c>
      <c r="M509" s="6" t="s">
        <v>3849</v>
      </c>
      <c r="N509" s="6" t="s">
        <v>75</v>
      </c>
      <c r="O509" s="8" t="s">
        <v>76</v>
      </c>
      <c r="P509" s="6" t="s">
        <v>3793</v>
      </c>
      <c r="Q509" s="6" t="s">
        <v>3794</v>
      </c>
      <c r="R509" s="6" t="s">
        <v>75</v>
      </c>
      <c r="S509" s="8" t="s">
        <v>3795</v>
      </c>
      <c r="T509" s="6" t="s">
        <v>66</v>
      </c>
      <c r="U509" s="8" t="s">
        <v>31</v>
      </c>
      <c r="V509" s="6" t="s">
        <v>371</v>
      </c>
      <c r="W509" s="6" t="s">
        <v>3780</v>
      </c>
      <c r="X509" s="9" t="str">
        <f>HYPERLINK("https://my.pitchbook.com?p=302061-79P","View People Online")</f>
        <v>View People Online</v>
      </c>
    </row>
    <row r="510">
      <c r="A510" s="10" t="s">
        <v>3850</v>
      </c>
      <c r="B510" s="10" t="s">
        <v>3851</v>
      </c>
      <c r="C510" s="10" t="s">
        <v>3852</v>
      </c>
      <c r="D510" s="10" t="s">
        <v>3853</v>
      </c>
      <c r="E510" s="10" t="s">
        <v>3780</v>
      </c>
      <c r="F510" s="10" t="s">
        <v>548</v>
      </c>
      <c r="G510" s="10" t="s">
        <v>3854</v>
      </c>
      <c r="H510" s="11" t="s">
        <v>31</v>
      </c>
      <c r="I510" s="11">
        <v>2.0</v>
      </c>
      <c r="J510" s="11">
        <v>2.0</v>
      </c>
      <c r="K510" s="11" t="s">
        <v>31</v>
      </c>
      <c r="L510" s="12" t="s">
        <v>3855</v>
      </c>
      <c r="M510" s="10" t="s">
        <v>3856</v>
      </c>
      <c r="N510" s="10" t="s">
        <v>665</v>
      </c>
      <c r="O510" s="12" t="s">
        <v>3857</v>
      </c>
      <c r="P510" s="10" t="s">
        <v>3858</v>
      </c>
      <c r="Q510" s="10" t="s">
        <v>3859</v>
      </c>
      <c r="R510" s="10" t="s">
        <v>1420</v>
      </c>
      <c r="S510" s="12" t="s">
        <v>3860</v>
      </c>
      <c r="T510" s="10" t="s">
        <v>66</v>
      </c>
      <c r="U510" s="12" t="s">
        <v>31</v>
      </c>
      <c r="V510" s="10" t="s">
        <v>3861</v>
      </c>
      <c r="W510" s="10" t="s">
        <v>3862</v>
      </c>
      <c r="X510" s="13" t="str">
        <f>HYPERLINK("https://my.pitchbook.com?p=281230-84P","View People Online")</f>
        <v>View People Online</v>
      </c>
    </row>
    <row r="511">
      <c r="A511" s="6" t="s">
        <v>3863</v>
      </c>
      <c r="B511" s="6" t="s">
        <v>3864</v>
      </c>
      <c r="C511" s="6" t="s">
        <v>3865</v>
      </c>
      <c r="D511" s="6" t="s">
        <v>3866</v>
      </c>
      <c r="E511" s="6" t="s">
        <v>3780</v>
      </c>
      <c r="F511" s="6" t="s">
        <v>318</v>
      </c>
      <c r="G511" s="6" t="s">
        <v>3867</v>
      </c>
      <c r="H511" s="7">
        <v>5.0</v>
      </c>
      <c r="I511" s="7">
        <v>10.0</v>
      </c>
      <c r="J511" s="7">
        <v>1.0</v>
      </c>
      <c r="K511" s="7">
        <v>3.0</v>
      </c>
      <c r="L511" s="8" t="s">
        <v>31</v>
      </c>
      <c r="M511" s="6" t="s">
        <v>3868</v>
      </c>
      <c r="N511" s="6" t="s">
        <v>1170</v>
      </c>
      <c r="O511" s="8" t="s">
        <v>1171</v>
      </c>
      <c r="P511" s="6" t="s">
        <v>3783</v>
      </c>
      <c r="Q511" s="6" t="s">
        <v>3784</v>
      </c>
      <c r="R511" s="6" t="s">
        <v>64</v>
      </c>
      <c r="S511" s="8" t="s">
        <v>3785</v>
      </c>
      <c r="T511" s="6" t="s">
        <v>66</v>
      </c>
      <c r="U511" s="8" t="s">
        <v>31</v>
      </c>
      <c r="V511" s="6" t="s">
        <v>318</v>
      </c>
      <c r="W511" s="6" t="s">
        <v>3780</v>
      </c>
      <c r="X511" s="9" t="str">
        <f>HYPERLINK("https://my.pitchbook.com?p=245550-88P","View People Online")</f>
        <v>View People Online</v>
      </c>
    </row>
    <row r="512">
      <c r="A512" s="2" t="s">
        <v>3869</v>
      </c>
      <c r="B512" s="2" t="s">
        <v>3870</v>
      </c>
      <c r="C512" s="2" t="s">
        <v>2388</v>
      </c>
      <c r="D512" s="2" t="s">
        <v>2457</v>
      </c>
      <c r="E512" s="2" t="s">
        <v>3780</v>
      </c>
      <c r="F512" s="2" t="s">
        <v>470</v>
      </c>
      <c r="G512" s="2" t="s">
        <v>3871</v>
      </c>
      <c r="H512" s="3">
        <v>2.0</v>
      </c>
      <c r="I512" s="3">
        <v>16.0</v>
      </c>
      <c r="J512" s="3">
        <v>1.0</v>
      </c>
      <c r="K512" s="3">
        <v>9.0</v>
      </c>
      <c r="L512" s="4" t="s">
        <v>3806</v>
      </c>
      <c r="M512" s="2" t="s">
        <v>3872</v>
      </c>
      <c r="N512" s="2" t="s">
        <v>75</v>
      </c>
      <c r="O512" s="4" t="s">
        <v>76</v>
      </c>
      <c r="P512" s="2" t="s">
        <v>3793</v>
      </c>
      <c r="Q512" s="2" t="s">
        <v>3794</v>
      </c>
      <c r="R512" s="2" t="s">
        <v>75</v>
      </c>
      <c r="S512" s="4" t="s">
        <v>3795</v>
      </c>
      <c r="T512" s="2" t="s">
        <v>66</v>
      </c>
      <c r="U512" s="4" t="s">
        <v>31</v>
      </c>
      <c r="V512" s="2" t="s">
        <v>470</v>
      </c>
      <c r="W512" s="2" t="s">
        <v>3780</v>
      </c>
      <c r="X512" s="5" t="str">
        <f>HYPERLINK("https://my.pitchbook.com?p=119243-80P","View People Online")</f>
        <v>View People Online</v>
      </c>
    </row>
    <row r="513">
      <c r="A513" s="6" t="s">
        <v>3873</v>
      </c>
      <c r="B513" s="6" t="s">
        <v>3874</v>
      </c>
      <c r="C513" s="6" t="s">
        <v>3875</v>
      </c>
      <c r="D513" s="6" t="s">
        <v>3876</v>
      </c>
      <c r="E513" s="6" t="s">
        <v>3780</v>
      </c>
      <c r="F513" s="6" t="s">
        <v>3877</v>
      </c>
      <c r="G513" s="6" t="s">
        <v>3878</v>
      </c>
      <c r="H513" s="7" t="s">
        <v>31</v>
      </c>
      <c r="I513" s="7">
        <v>1.0</v>
      </c>
      <c r="J513" s="7">
        <v>1.0</v>
      </c>
      <c r="K513" s="7" t="s">
        <v>31</v>
      </c>
      <c r="L513" s="8" t="s">
        <v>3806</v>
      </c>
      <c r="M513" s="6" t="s">
        <v>3879</v>
      </c>
      <c r="N513" s="6" t="s">
        <v>75</v>
      </c>
      <c r="O513" s="8" t="s">
        <v>76</v>
      </c>
      <c r="P513" s="6" t="s">
        <v>3793</v>
      </c>
      <c r="Q513" s="6" t="s">
        <v>3794</v>
      </c>
      <c r="R513" s="6" t="s">
        <v>75</v>
      </c>
      <c r="S513" s="8" t="s">
        <v>3795</v>
      </c>
      <c r="T513" s="6" t="s">
        <v>66</v>
      </c>
      <c r="U513" s="8" t="s">
        <v>31</v>
      </c>
      <c r="V513" s="6" t="s">
        <v>3880</v>
      </c>
      <c r="W513" s="6" t="s">
        <v>3780</v>
      </c>
      <c r="X513" s="9" t="str">
        <f>HYPERLINK("https://my.pitchbook.com?p=449224-66P","View People Online")</f>
        <v>View People Online</v>
      </c>
    </row>
    <row r="514">
      <c r="A514" s="2" t="s">
        <v>3881</v>
      </c>
      <c r="B514" s="2" t="s">
        <v>3882</v>
      </c>
      <c r="C514" s="2" t="s">
        <v>3883</v>
      </c>
      <c r="D514" s="2" t="s">
        <v>408</v>
      </c>
      <c r="E514" s="2" t="s">
        <v>3780</v>
      </c>
      <c r="F514" s="2" t="s">
        <v>1624</v>
      </c>
      <c r="G514" s="2" t="s">
        <v>3884</v>
      </c>
      <c r="H514" s="3" t="s">
        <v>31</v>
      </c>
      <c r="I514" s="3">
        <v>1.0</v>
      </c>
      <c r="J514" s="3">
        <v>1.0</v>
      </c>
      <c r="K514" s="3" t="s">
        <v>31</v>
      </c>
      <c r="L514" s="4" t="s">
        <v>3806</v>
      </c>
      <c r="M514" s="2" t="s">
        <v>3885</v>
      </c>
      <c r="N514" s="2" t="s">
        <v>75</v>
      </c>
      <c r="O514" s="4" t="s">
        <v>76</v>
      </c>
      <c r="P514" s="2" t="s">
        <v>3793</v>
      </c>
      <c r="Q514" s="2" t="s">
        <v>3794</v>
      </c>
      <c r="R514" s="2" t="s">
        <v>75</v>
      </c>
      <c r="S514" s="4" t="s">
        <v>3795</v>
      </c>
      <c r="T514" s="2" t="s">
        <v>66</v>
      </c>
      <c r="U514" s="4" t="s">
        <v>31</v>
      </c>
      <c r="V514" s="2" t="s">
        <v>1624</v>
      </c>
      <c r="W514" s="2" t="s">
        <v>3780</v>
      </c>
      <c r="X514" s="5" t="str">
        <f>HYPERLINK("https://my.pitchbook.com?p=449225-65P","View People Online")</f>
        <v>View People Online</v>
      </c>
    </row>
    <row r="515">
      <c r="A515" s="14" t="s">
        <v>3886</v>
      </c>
      <c r="B515" s="14" t="s">
        <v>3887</v>
      </c>
      <c r="C515" s="14" t="s">
        <v>3888</v>
      </c>
      <c r="D515" s="14" t="s">
        <v>3889</v>
      </c>
      <c r="E515" s="14" t="s">
        <v>3780</v>
      </c>
      <c r="F515" s="14" t="s">
        <v>667</v>
      </c>
      <c r="G515" s="14" t="s">
        <v>3890</v>
      </c>
      <c r="H515" s="15" t="s">
        <v>31</v>
      </c>
      <c r="I515" s="15">
        <v>1.0</v>
      </c>
      <c r="J515" s="15">
        <v>1.0</v>
      </c>
      <c r="K515" s="15" t="s">
        <v>31</v>
      </c>
      <c r="L515" s="16" t="s">
        <v>3806</v>
      </c>
      <c r="M515" s="14" t="s">
        <v>3891</v>
      </c>
      <c r="N515" s="14" t="s">
        <v>75</v>
      </c>
      <c r="O515" s="16" t="s">
        <v>76</v>
      </c>
      <c r="P515" s="14" t="s">
        <v>3793</v>
      </c>
      <c r="Q515" s="14" t="s">
        <v>3794</v>
      </c>
      <c r="R515" s="14" t="s">
        <v>75</v>
      </c>
      <c r="S515" s="16" t="s">
        <v>3795</v>
      </c>
      <c r="T515" s="14" t="s">
        <v>66</v>
      </c>
      <c r="U515" s="16" t="s">
        <v>31</v>
      </c>
      <c r="V515" s="14" t="s">
        <v>3892</v>
      </c>
      <c r="W515" s="14" t="s">
        <v>3780</v>
      </c>
      <c r="X515" s="17" t="str">
        <f>HYPERLINK("https://my.pitchbook.com?p=449226-28P","View People Online")</f>
        <v>View People Online</v>
      </c>
    </row>
    <row r="516">
      <c r="A516" s="2" t="s">
        <v>3893</v>
      </c>
      <c r="B516" s="2" t="s">
        <v>3894</v>
      </c>
      <c r="C516" s="2" t="s">
        <v>3895</v>
      </c>
      <c r="D516" s="2" t="s">
        <v>3896</v>
      </c>
      <c r="E516" s="2" t="s">
        <v>3780</v>
      </c>
      <c r="F516" s="2" t="s">
        <v>221</v>
      </c>
      <c r="G516" s="2" t="s">
        <v>3897</v>
      </c>
      <c r="H516" s="3" t="s">
        <v>31</v>
      </c>
      <c r="I516" s="3">
        <v>1.0</v>
      </c>
      <c r="J516" s="3">
        <v>1.0</v>
      </c>
      <c r="K516" s="3" t="s">
        <v>31</v>
      </c>
      <c r="L516" s="4" t="s">
        <v>3806</v>
      </c>
      <c r="M516" s="2" t="s">
        <v>3898</v>
      </c>
      <c r="N516" s="2" t="s">
        <v>75</v>
      </c>
      <c r="O516" s="4" t="s">
        <v>76</v>
      </c>
      <c r="P516" s="2" t="s">
        <v>3793</v>
      </c>
      <c r="Q516" s="2" t="s">
        <v>3794</v>
      </c>
      <c r="R516" s="2" t="s">
        <v>75</v>
      </c>
      <c r="S516" s="4" t="s">
        <v>3795</v>
      </c>
      <c r="T516" s="2" t="s">
        <v>66</v>
      </c>
      <c r="U516" s="4" t="s">
        <v>31</v>
      </c>
      <c r="V516" s="2" t="s">
        <v>201</v>
      </c>
      <c r="W516" s="2" t="s">
        <v>3780</v>
      </c>
      <c r="X516" s="5" t="str">
        <f>HYPERLINK("https://my.pitchbook.com?p=302062-24P","View People Online")</f>
        <v>View People Online</v>
      </c>
    </row>
    <row r="517">
      <c r="A517" s="6" t="s">
        <v>3899</v>
      </c>
      <c r="B517" s="6" t="s">
        <v>3900</v>
      </c>
      <c r="C517" s="6" t="s">
        <v>226</v>
      </c>
      <c r="D517" s="6" t="s">
        <v>3901</v>
      </c>
      <c r="E517" s="6" t="s">
        <v>3780</v>
      </c>
      <c r="F517" s="6" t="s">
        <v>371</v>
      </c>
      <c r="G517" s="6" t="s">
        <v>3902</v>
      </c>
      <c r="H517" s="7" t="s">
        <v>31</v>
      </c>
      <c r="I517" s="7">
        <v>1.0</v>
      </c>
      <c r="J517" s="7">
        <v>1.0</v>
      </c>
      <c r="K517" s="7" t="s">
        <v>31</v>
      </c>
      <c r="L517" s="8" t="s">
        <v>3903</v>
      </c>
      <c r="M517" s="6" t="s">
        <v>3904</v>
      </c>
      <c r="N517" s="6" t="s">
        <v>75</v>
      </c>
      <c r="O517" s="8" t="s">
        <v>76</v>
      </c>
      <c r="P517" s="6" t="s">
        <v>3793</v>
      </c>
      <c r="Q517" s="6" t="s">
        <v>3794</v>
      </c>
      <c r="R517" s="6" t="s">
        <v>75</v>
      </c>
      <c r="S517" s="8" t="s">
        <v>3795</v>
      </c>
      <c r="T517" s="6" t="s">
        <v>66</v>
      </c>
      <c r="U517" s="8" t="s">
        <v>31</v>
      </c>
      <c r="V517" s="6" t="s">
        <v>3832</v>
      </c>
      <c r="W517" s="6" t="s">
        <v>3780</v>
      </c>
      <c r="X517" s="9" t="str">
        <f>HYPERLINK("https://my.pitchbook.com?p=297380-89P","View People Online")</f>
        <v>View People Online</v>
      </c>
    </row>
    <row r="518">
      <c r="A518" s="10" t="s">
        <v>3905</v>
      </c>
      <c r="B518" s="10" t="s">
        <v>3906</v>
      </c>
      <c r="C518" s="10" t="s">
        <v>3907</v>
      </c>
      <c r="D518" s="10" t="s">
        <v>3908</v>
      </c>
      <c r="E518" s="10" t="s">
        <v>3909</v>
      </c>
      <c r="F518" s="10" t="s">
        <v>43</v>
      </c>
      <c r="G518" s="10" t="s">
        <v>3910</v>
      </c>
      <c r="H518" s="11">
        <v>3.0</v>
      </c>
      <c r="I518" s="11">
        <v>15.0</v>
      </c>
      <c r="J518" s="11">
        <v>2.0</v>
      </c>
      <c r="K518" s="11">
        <v>8.0</v>
      </c>
      <c r="L518" s="12" t="s">
        <v>31</v>
      </c>
      <c r="M518" s="10" t="s">
        <v>3911</v>
      </c>
      <c r="N518" s="10" t="s">
        <v>1181</v>
      </c>
      <c r="O518" s="12" t="s">
        <v>1182</v>
      </c>
      <c r="P518" s="10" t="s">
        <v>31</v>
      </c>
      <c r="Q518" s="10" t="s">
        <v>31</v>
      </c>
      <c r="R518" s="10" t="s">
        <v>1185</v>
      </c>
      <c r="S518" s="12" t="s">
        <v>3912</v>
      </c>
      <c r="T518" s="10" t="s">
        <v>66</v>
      </c>
      <c r="U518" s="12" t="s">
        <v>31</v>
      </c>
      <c r="V518" s="10" t="s">
        <v>3913</v>
      </c>
      <c r="W518" s="10" t="s">
        <v>3914</v>
      </c>
      <c r="X518" s="13" t="str">
        <f>HYPERLINK("https://my.pitchbook.com?p=313469-92P","View People Online")</f>
        <v>View People Online</v>
      </c>
    </row>
    <row r="519">
      <c r="A519" s="14" t="s">
        <v>3915</v>
      </c>
      <c r="B519" s="14" t="s">
        <v>3916</v>
      </c>
      <c r="C519" s="14" t="s">
        <v>186</v>
      </c>
      <c r="D519" s="14" t="s">
        <v>1645</v>
      </c>
      <c r="E519" s="14" t="s">
        <v>3909</v>
      </c>
      <c r="F519" s="14" t="s">
        <v>270</v>
      </c>
      <c r="G519" s="14" t="s">
        <v>3917</v>
      </c>
      <c r="H519" s="15" t="s">
        <v>31</v>
      </c>
      <c r="I519" s="15">
        <v>1.0</v>
      </c>
      <c r="J519" s="15">
        <v>1.0</v>
      </c>
      <c r="K519" s="15" t="s">
        <v>31</v>
      </c>
      <c r="L519" s="16" t="s">
        <v>3918</v>
      </c>
      <c r="M519" s="14" t="s">
        <v>31</v>
      </c>
      <c r="N519" s="14" t="s">
        <v>75</v>
      </c>
      <c r="O519" s="16" t="s">
        <v>76</v>
      </c>
      <c r="P519" s="14" t="s">
        <v>3919</v>
      </c>
      <c r="Q519" s="14" t="s">
        <v>3920</v>
      </c>
      <c r="R519" s="14" t="s">
        <v>75</v>
      </c>
      <c r="S519" s="16" t="s">
        <v>195</v>
      </c>
      <c r="T519" s="14" t="s">
        <v>66</v>
      </c>
      <c r="U519" s="16" t="s">
        <v>31</v>
      </c>
      <c r="V519" s="14" t="s">
        <v>440</v>
      </c>
      <c r="W519" s="14" t="s">
        <v>3909</v>
      </c>
      <c r="X519" s="17" t="str">
        <f>HYPERLINK("https://my.pitchbook.com?p=420711-13P","View People Online")</f>
        <v>View People Online</v>
      </c>
    </row>
    <row r="520">
      <c r="A520" s="10" t="s">
        <v>3921</v>
      </c>
      <c r="B520" s="10" t="s">
        <v>3922</v>
      </c>
      <c r="C520" s="10" t="s">
        <v>237</v>
      </c>
      <c r="D520" s="10" t="s">
        <v>3923</v>
      </c>
      <c r="E520" s="10" t="s">
        <v>3909</v>
      </c>
      <c r="F520" s="10" t="s">
        <v>43</v>
      </c>
      <c r="G520" s="10" t="s">
        <v>3924</v>
      </c>
      <c r="H520" s="11">
        <v>1.0</v>
      </c>
      <c r="I520" s="11">
        <v>4.0</v>
      </c>
      <c r="J520" s="11">
        <v>2.0</v>
      </c>
      <c r="K520" s="11">
        <v>2.0</v>
      </c>
      <c r="L520" s="12" t="s">
        <v>3925</v>
      </c>
      <c r="M520" s="10" t="s">
        <v>3926</v>
      </c>
      <c r="N520" s="10" t="s">
        <v>75</v>
      </c>
      <c r="O520" s="12" t="s">
        <v>76</v>
      </c>
      <c r="P520" s="10" t="s">
        <v>3927</v>
      </c>
      <c r="Q520" s="10" t="s">
        <v>3928</v>
      </c>
      <c r="R520" s="10" t="s">
        <v>75</v>
      </c>
      <c r="S520" s="12" t="s">
        <v>3929</v>
      </c>
      <c r="T520" s="10" t="s">
        <v>66</v>
      </c>
      <c r="U520" s="12" t="s">
        <v>31</v>
      </c>
      <c r="V520" s="10" t="s">
        <v>3930</v>
      </c>
      <c r="W520" s="10" t="s">
        <v>3931</v>
      </c>
      <c r="X520" s="13" t="str">
        <f>HYPERLINK("https://my.pitchbook.com?p=141052-69P","View People Online")</f>
        <v>View People Online</v>
      </c>
    </row>
    <row r="521">
      <c r="A521" s="6" t="s">
        <v>3932</v>
      </c>
      <c r="B521" s="6" t="s">
        <v>3933</v>
      </c>
      <c r="C521" s="6" t="s">
        <v>3934</v>
      </c>
      <c r="D521" s="6" t="s">
        <v>3935</v>
      </c>
      <c r="E521" s="6" t="s">
        <v>3909</v>
      </c>
      <c r="F521" s="6" t="s">
        <v>270</v>
      </c>
      <c r="G521" s="6" t="s">
        <v>3936</v>
      </c>
      <c r="H521" s="7" t="s">
        <v>31</v>
      </c>
      <c r="I521" s="7">
        <v>1.0</v>
      </c>
      <c r="J521" s="7">
        <v>1.0</v>
      </c>
      <c r="K521" s="7" t="s">
        <v>31</v>
      </c>
      <c r="L521" s="8" t="s">
        <v>3918</v>
      </c>
      <c r="M521" s="6" t="s">
        <v>3937</v>
      </c>
      <c r="N521" s="6" t="s">
        <v>75</v>
      </c>
      <c r="O521" s="8" t="s">
        <v>76</v>
      </c>
      <c r="P521" s="6" t="s">
        <v>3919</v>
      </c>
      <c r="Q521" s="6" t="s">
        <v>3920</v>
      </c>
      <c r="R521" s="6" t="s">
        <v>75</v>
      </c>
      <c r="S521" s="8" t="s">
        <v>195</v>
      </c>
      <c r="T521" s="6" t="s">
        <v>66</v>
      </c>
      <c r="U521" s="8" t="s">
        <v>31</v>
      </c>
      <c r="V521" s="6" t="s">
        <v>662</v>
      </c>
      <c r="W521" s="6" t="s">
        <v>3909</v>
      </c>
      <c r="X521" s="9" t="str">
        <f>HYPERLINK("https://my.pitchbook.com?p=241840-81P","View People Online")</f>
        <v>View People Online</v>
      </c>
    </row>
    <row r="522">
      <c r="A522" s="10" t="s">
        <v>3938</v>
      </c>
      <c r="B522" s="10" t="s">
        <v>3939</v>
      </c>
      <c r="C522" s="10" t="s">
        <v>3940</v>
      </c>
      <c r="D522" s="10" t="s">
        <v>3941</v>
      </c>
      <c r="E522" s="10" t="s">
        <v>3909</v>
      </c>
      <c r="F522" s="10" t="s">
        <v>270</v>
      </c>
      <c r="G522" s="10" t="s">
        <v>3942</v>
      </c>
      <c r="H522" s="11" t="s">
        <v>31</v>
      </c>
      <c r="I522" s="11">
        <v>3.0</v>
      </c>
      <c r="J522" s="11">
        <v>2.0</v>
      </c>
      <c r="K522" s="11">
        <v>1.0</v>
      </c>
      <c r="L522" s="12" t="s">
        <v>31</v>
      </c>
      <c r="M522" s="10" t="s">
        <v>3943</v>
      </c>
      <c r="N522" s="10" t="s">
        <v>1181</v>
      </c>
      <c r="O522" s="12" t="s">
        <v>1182</v>
      </c>
      <c r="P522" s="10" t="s">
        <v>31</v>
      </c>
      <c r="Q522" s="10" t="s">
        <v>31</v>
      </c>
      <c r="R522" s="10" t="s">
        <v>1185</v>
      </c>
      <c r="S522" s="12" t="s">
        <v>3912</v>
      </c>
      <c r="T522" s="10" t="s">
        <v>66</v>
      </c>
      <c r="U522" s="12" t="s">
        <v>31</v>
      </c>
      <c r="V522" s="10" t="s">
        <v>221</v>
      </c>
      <c r="W522" s="10" t="s">
        <v>3914</v>
      </c>
      <c r="X522" s="13" t="str">
        <f>HYPERLINK("https://my.pitchbook.com?p=338817-52P","View People Online")</f>
        <v>View People Online</v>
      </c>
    </row>
    <row r="523">
      <c r="A523" s="14" t="s">
        <v>3944</v>
      </c>
      <c r="B523" s="14" t="s">
        <v>3945</v>
      </c>
      <c r="C523" s="14" t="s">
        <v>3946</v>
      </c>
      <c r="D523" s="14" t="s">
        <v>3947</v>
      </c>
      <c r="E523" s="14" t="s">
        <v>3909</v>
      </c>
      <c r="F523" s="14" t="s">
        <v>548</v>
      </c>
      <c r="G523" s="14" t="s">
        <v>3948</v>
      </c>
      <c r="H523" s="15" t="s">
        <v>31</v>
      </c>
      <c r="I523" s="15">
        <v>1.0</v>
      </c>
      <c r="J523" s="15">
        <v>1.0</v>
      </c>
      <c r="K523" s="15" t="s">
        <v>31</v>
      </c>
      <c r="L523" s="16" t="s">
        <v>3918</v>
      </c>
      <c r="M523" s="14" t="s">
        <v>3949</v>
      </c>
      <c r="N523" s="14" t="s">
        <v>75</v>
      </c>
      <c r="O523" s="16" t="s">
        <v>76</v>
      </c>
      <c r="P523" s="14" t="s">
        <v>3919</v>
      </c>
      <c r="Q523" s="14" t="s">
        <v>3920</v>
      </c>
      <c r="R523" s="14" t="s">
        <v>75</v>
      </c>
      <c r="S523" s="16" t="s">
        <v>195</v>
      </c>
      <c r="T523" s="14" t="s">
        <v>66</v>
      </c>
      <c r="U523" s="16" t="s">
        <v>31</v>
      </c>
      <c r="V523" s="14" t="s">
        <v>3950</v>
      </c>
      <c r="W523" s="14" t="s">
        <v>3909</v>
      </c>
      <c r="X523" s="17" t="str">
        <f>HYPERLINK("https://my.pitchbook.com?p=337573-27P","View People Online")</f>
        <v>View People Online</v>
      </c>
    </row>
    <row r="524">
      <c r="A524" s="2" t="s">
        <v>3951</v>
      </c>
      <c r="B524" s="2" t="s">
        <v>3952</v>
      </c>
      <c r="C524" s="2" t="s">
        <v>3953</v>
      </c>
      <c r="D524" s="2" t="s">
        <v>3954</v>
      </c>
      <c r="E524" s="2" t="s">
        <v>3909</v>
      </c>
      <c r="F524" s="2" t="s">
        <v>114</v>
      </c>
      <c r="G524" s="2" t="s">
        <v>3955</v>
      </c>
      <c r="H524" s="3">
        <v>5.0</v>
      </c>
      <c r="I524" s="3">
        <v>8.0</v>
      </c>
      <c r="J524" s="3">
        <v>2.0</v>
      </c>
      <c r="K524" s="3">
        <v>1.0</v>
      </c>
      <c r="L524" s="4" t="s">
        <v>3956</v>
      </c>
      <c r="M524" s="2" t="s">
        <v>3957</v>
      </c>
      <c r="N524" s="2" t="s">
        <v>3958</v>
      </c>
      <c r="O524" s="4" t="s">
        <v>3959</v>
      </c>
      <c r="P524" s="2" t="s">
        <v>31</v>
      </c>
      <c r="Q524" s="2" t="s">
        <v>31</v>
      </c>
      <c r="R524" s="2" t="s">
        <v>3960</v>
      </c>
      <c r="S524" s="4" t="s">
        <v>31</v>
      </c>
      <c r="T524" s="2" t="s">
        <v>66</v>
      </c>
      <c r="U524" s="4" t="s">
        <v>31</v>
      </c>
      <c r="V524" s="2" t="s">
        <v>3930</v>
      </c>
      <c r="W524" s="2" t="s">
        <v>3961</v>
      </c>
      <c r="X524" s="5" t="str">
        <f>HYPERLINK("https://my.pitchbook.com?p=87108-13P","View People Online")</f>
        <v>View People Online</v>
      </c>
    </row>
    <row r="525">
      <c r="A525" s="6" t="s">
        <v>3962</v>
      </c>
      <c r="B525" s="6" t="s">
        <v>3963</v>
      </c>
      <c r="C525" s="6" t="s">
        <v>3964</v>
      </c>
      <c r="D525" s="6" t="s">
        <v>3965</v>
      </c>
      <c r="E525" s="6" t="s">
        <v>3909</v>
      </c>
      <c r="F525" s="6" t="s">
        <v>3966</v>
      </c>
      <c r="G525" s="6" t="s">
        <v>3967</v>
      </c>
      <c r="H525" s="7" t="s">
        <v>31</v>
      </c>
      <c r="I525" s="7">
        <v>1.0</v>
      </c>
      <c r="J525" s="7">
        <v>1.0</v>
      </c>
      <c r="K525" s="7" t="s">
        <v>31</v>
      </c>
      <c r="L525" s="8" t="s">
        <v>3918</v>
      </c>
      <c r="M525" s="6" t="s">
        <v>3968</v>
      </c>
      <c r="N525" s="6" t="s">
        <v>75</v>
      </c>
      <c r="O525" s="8" t="s">
        <v>76</v>
      </c>
      <c r="P525" s="6" t="s">
        <v>3919</v>
      </c>
      <c r="Q525" s="6" t="s">
        <v>3920</v>
      </c>
      <c r="R525" s="6" t="s">
        <v>75</v>
      </c>
      <c r="S525" s="8" t="s">
        <v>195</v>
      </c>
      <c r="T525" s="6" t="s">
        <v>66</v>
      </c>
      <c r="U525" s="8" t="s">
        <v>31</v>
      </c>
      <c r="V525" s="6" t="s">
        <v>3969</v>
      </c>
      <c r="W525" s="6" t="s">
        <v>3909</v>
      </c>
      <c r="X525" s="9" t="str">
        <f>HYPERLINK("https://my.pitchbook.com?p=255933-46P","View People Online")</f>
        <v>View People Online</v>
      </c>
    </row>
    <row r="526">
      <c r="A526" s="2" t="s">
        <v>3970</v>
      </c>
      <c r="B526" s="2" t="s">
        <v>3971</v>
      </c>
      <c r="C526" s="2" t="s">
        <v>3658</v>
      </c>
      <c r="D526" s="2" t="s">
        <v>3972</v>
      </c>
      <c r="E526" s="2" t="s">
        <v>3909</v>
      </c>
      <c r="F526" s="2" t="s">
        <v>318</v>
      </c>
      <c r="G526" s="2" t="s">
        <v>3973</v>
      </c>
      <c r="H526" s="3">
        <v>1.0</v>
      </c>
      <c r="I526" s="3">
        <v>2.0</v>
      </c>
      <c r="J526" s="3">
        <v>1.0</v>
      </c>
      <c r="K526" s="3" t="s">
        <v>31</v>
      </c>
      <c r="L526" s="4" t="s">
        <v>3918</v>
      </c>
      <c r="M526" s="2" t="s">
        <v>3974</v>
      </c>
      <c r="N526" s="2" t="s">
        <v>75</v>
      </c>
      <c r="O526" s="4" t="s">
        <v>76</v>
      </c>
      <c r="P526" s="2" t="s">
        <v>3919</v>
      </c>
      <c r="Q526" s="2" t="s">
        <v>3920</v>
      </c>
      <c r="R526" s="2" t="s">
        <v>75</v>
      </c>
      <c r="S526" s="4" t="s">
        <v>195</v>
      </c>
      <c r="T526" s="2" t="s">
        <v>66</v>
      </c>
      <c r="U526" s="4" t="s">
        <v>31</v>
      </c>
      <c r="V526" s="2" t="s">
        <v>318</v>
      </c>
      <c r="W526" s="2" t="s">
        <v>3909</v>
      </c>
      <c r="X526" s="5" t="str">
        <f>HYPERLINK("https://my.pitchbook.com?p=277113-25P","View People Online")</f>
        <v>View People Online</v>
      </c>
    </row>
    <row r="527">
      <c r="A527" s="6" t="s">
        <v>3975</v>
      </c>
      <c r="B527" s="6" t="s">
        <v>3976</v>
      </c>
      <c r="C527" s="6" t="s">
        <v>3977</v>
      </c>
      <c r="D527" s="6" t="s">
        <v>3978</v>
      </c>
      <c r="E527" s="6" t="s">
        <v>3909</v>
      </c>
      <c r="F527" s="6" t="s">
        <v>3979</v>
      </c>
      <c r="G527" s="6" t="s">
        <v>3980</v>
      </c>
      <c r="H527" s="7">
        <v>3.0</v>
      </c>
      <c r="I527" s="7">
        <v>10.0</v>
      </c>
      <c r="J527" s="7">
        <v>1.0</v>
      </c>
      <c r="K527" s="7">
        <v>3.0</v>
      </c>
      <c r="L527" s="8" t="s">
        <v>3918</v>
      </c>
      <c r="M527" s="6" t="s">
        <v>3981</v>
      </c>
      <c r="N527" s="6" t="s">
        <v>75</v>
      </c>
      <c r="O527" s="8" t="s">
        <v>76</v>
      </c>
      <c r="P527" s="6" t="s">
        <v>3919</v>
      </c>
      <c r="Q527" s="6" t="s">
        <v>3920</v>
      </c>
      <c r="R527" s="6" t="s">
        <v>75</v>
      </c>
      <c r="S527" s="8" t="s">
        <v>195</v>
      </c>
      <c r="T527" s="6" t="s">
        <v>66</v>
      </c>
      <c r="U527" s="8" t="s">
        <v>31</v>
      </c>
      <c r="V527" s="6" t="s">
        <v>3979</v>
      </c>
      <c r="W527" s="6" t="s">
        <v>3909</v>
      </c>
      <c r="X527" s="9" t="str">
        <f>HYPERLINK("https://my.pitchbook.com?p=39882-70P","View People Online")</f>
        <v>View People Online</v>
      </c>
    </row>
    <row r="528">
      <c r="A528" s="10" t="s">
        <v>3982</v>
      </c>
      <c r="B528" s="10" t="s">
        <v>3983</v>
      </c>
      <c r="C528" s="10" t="s">
        <v>3984</v>
      </c>
      <c r="D528" s="10" t="s">
        <v>3985</v>
      </c>
      <c r="E528" s="10" t="s">
        <v>3909</v>
      </c>
      <c r="F528" s="10" t="s">
        <v>916</v>
      </c>
      <c r="G528" s="10" t="s">
        <v>3986</v>
      </c>
      <c r="H528" s="11">
        <v>7.0</v>
      </c>
      <c r="I528" s="11">
        <v>13.0</v>
      </c>
      <c r="J528" s="11">
        <v>7.0</v>
      </c>
      <c r="K528" s="11">
        <v>4.0</v>
      </c>
      <c r="L528" s="12" t="s">
        <v>3987</v>
      </c>
      <c r="M528" s="10" t="s">
        <v>31</v>
      </c>
      <c r="N528" s="10" t="s">
        <v>3988</v>
      </c>
      <c r="O528" s="12" t="s">
        <v>3989</v>
      </c>
      <c r="P528" s="10" t="s">
        <v>3990</v>
      </c>
      <c r="Q528" s="10" t="s">
        <v>2403</v>
      </c>
      <c r="R528" s="10" t="s">
        <v>616</v>
      </c>
      <c r="S528" s="12" t="s">
        <v>3991</v>
      </c>
      <c r="T528" s="10" t="s">
        <v>66</v>
      </c>
      <c r="U528" s="12" t="s">
        <v>31</v>
      </c>
      <c r="V528" s="10" t="s">
        <v>3992</v>
      </c>
      <c r="W528" s="10" t="s">
        <v>3993</v>
      </c>
      <c r="X528" s="13" t="str">
        <f>HYPERLINK("https://my.pitchbook.com?p=259238-26P","View People Online")</f>
        <v>View People Online</v>
      </c>
    </row>
    <row r="529">
      <c r="A529" s="14" t="s">
        <v>3994</v>
      </c>
      <c r="B529" s="14" t="s">
        <v>3995</v>
      </c>
      <c r="C529" s="14" t="s">
        <v>3030</v>
      </c>
      <c r="D529" s="14" t="s">
        <v>3996</v>
      </c>
      <c r="E529" s="14" t="s">
        <v>3909</v>
      </c>
      <c r="F529" s="14" t="s">
        <v>3997</v>
      </c>
      <c r="G529" s="14" t="s">
        <v>3998</v>
      </c>
      <c r="H529" s="15" t="s">
        <v>31</v>
      </c>
      <c r="I529" s="15">
        <v>1.0</v>
      </c>
      <c r="J529" s="15">
        <v>1.0</v>
      </c>
      <c r="K529" s="15" t="s">
        <v>31</v>
      </c>
      <c r="L529" s="16" t="s">
        <v>3918</v>
      </c>
      <c r="M529" s="14" t="s">
        <v>31</v>
      </c>
      <c r="N529" s="14" t="s">
        <v>75</v>
      </c>
      <c r="O529" s="16" t="s">
        <v>76</v>
      </c>
      <c r="P529" s="14" t="s">
        <v>3919</v>
      </c>
      <c r="Q529" s="14" t="s">
        <v>3920</v>
      </c>
      <c r="R529" s="14" t="s">
        <v>75</v>
      </c>
      <c r="S529" s="16" t="s">
        <v>195</v>
      </c>
      <c r="T529" s="14" t="s">
        <v>66</v>
      </c>
      <c r="U529" s="16" t="s">
        <v>31</v>
      </c>
      <c r="V529" s="14" t="s">
        <v>3999</v>
      </c>
      <c r="W529" s="14" t="s">
        <v>3909</v>
      </c>
      <c r="X529" s="17" t="str">
        <f>HYPERLINK("https://my.pitchbook.com?p=395482-69P","View People Online")</f>
        <v>View People Online</v>
      </c>
    </row>
    <row r="530">
      <c r="A530" s="2" t="s">
        <v>4000</v>
      </c>
      <c r="B530" s="2" t="s">
        <v>4001</v>
      </c>
      <c r="C530" s="2" t="s">
        <v>3040</v>
      </c>
      <c r="D530" s="2" t="s">
        <v>4002</v>
      </c>
      <c r="E530" s="2" t="s">
        <v>3909</v>
      </c>
      <c r="F530" s="2" t="s">
        <v>81</v>
      </c>
      <c r="G530" s="2" t="s">
        <v>4003</v>
      </c>
      <c r="H530" s="3">
        <v>2.0</v>
      </c>
      <c r="I530" s="3">
        <v>6.0</v>
      </c>
      <c r="J530" s="3">
        <v>1.0</v>
      </c>
      <c r="K530" s="3">
        <v>2.0</v>
      </c>
      <c r="L530" s="4" t="s">
        <v>4004</v>
      </c>
      <c r="M530" s="2" t="s">
        <v>31</v>
      </c>
      <c r="N530" s="2" t="s">
        <v>75</v>
      </c>
      <c r="O530" s="4" t="s">
        <v>76</v>
      </c>
      <c r="P530" s="2" t="s">
        <v>4005</v>
      </c>
      <c r="Q530" s="2" t="s">
        <v>31</v>
      </c>
      <c r="R530" s="2" t="s">
        <v>75</v>
      </c>
      <c r="S530" s="4" t="s">
        <v>2167</v>
      </c>
      <c r="T530" s="2" t="s">
        <v>66</v>
      </c>
      <c r="U530" s="4" t="s">
        <v>31</v>
      </c>
      <c r="V530" s="2" t="s">
        <v>1384</v>
      </c>
      <c r="W530" s="2" t="s">
        <v>4006</v>
      </c>
      <c r="X530" s="5" t="str">
        <f>HYPERLINK("https://my.pitchbook.com?p=313473-61P","View People Online")</f>
        <v>View People Online</v>
      </c>
    </row>
    <row r="531">
      <c r="A531" s="14" t="s">
        <v>4007</v>
      </c>
      <c r="B531" s="14" t="s">
        <v>4008</v>
      </c>
      <c r="C531" s="14" t="s">
        <v>4009</v>
      </c>
      <c r="D531" s="14" t="s">
        <v>4010</v>
      </c>
      <c r="E531" s="14" t="s">
        <v>3909</v>
      </c>
      <c r="F531" s="14" t="s">
        <v>29</v>
      </c>
      <c r="G531" s="14" t="s">
        <v>4011</v>
      </c>
      <c r="H531" s="15" t="s">
        <v>31</v>
      </c>
      <c r="I531" s="15">
        <v>7.0</v>
      </c>
      <c r="J531" s="15">
        <v>1.0</v>
      </c>
      <c r="K531" s="15">
        <v>5.0</v>
      </c>
      <c r="L531" s="16" t="s">
        <v>3918</v>
      </c>
      <c r="M531" s="14" t="s">
        <v>4012</v>
      </c>
      <c r="N531" s="14" t="s">
        <v>75</v>
      </c>
      <c r="O531" s="16" t="s">
        <v>76</v>
      </c>
      <c r="P531" s="14" t="s">
        <v>3919</v>
      </c>
      <c r="Q531" s="14" t="s">
        <v>3920</v>
      </c>
      <c r="R531" s="14" t="s">
        <v>75</v>
      </c>
      <c r="S531" s="16" t="s">
        <v>195</v>
      </c>
      <c r="T531" s="14" t="s">
        <v>66</v>
      </c>
      <c r="U531" s="16" t="s">
        <v>31</v>
      </c>
      <c r="V531" s="14" t="s">
        <v>29</v>
      </c>
      <c r="W531" s="14" t="s">
        <v>3909</v>
      </c>
      <c r="X531" s="17" t="str">
        <f>HYPERLINK("https://my.pitchbook.com?p=275462-74P","View People Online")</f>
        <v>View People Online</v>
      </c>
    </row>
    <row r="532">
      <c r="A532" s="2" t="s">
        <v>4013</v>
      </c>
      <c r="B532" s="2" t="s">
        <v>4014</v>
      </c>
      <c r="C532" s="2" t="s">
        <v>1489</v>
      </c>
      <c r="D532" s="2" t="s">
        <v>4015</v>
      </c>
      <c r="E532" s="2" t="s">
        <v>3909</v>
      </c>
      <c r="F532" s="2" t="s">
        <v>1167</v>
      </c>
      <c r="G532" s="2" t="s">
        <v>4016</v>
      </c>
      <c r="H532" s="3">
        <v>20.0</v>
      </c>
      <c r="I532" s="3">
        <v>98.0</v>
      </c>
      <c r="J532" s="3">
        <v>10.0</v>
      </c>
      <c r="K532" s="3">
        <v>72.0</v>
      </c>
      <c r="L532" s="4" t="s">
        <v>4017</v>
      </c>
      <c r="M532" s="2" t="s">
        <v>4018</v>
      </c>
      <c r="N532" s="2" t="s">
        <v>75</v>
      </c>
      <c r="O532" s="4" t="s">
        <v>76</v>
      </c>
      <c r="P532" s="2" t="s">
        <v>3919</v>
      </c>
      <c r="Q532" s="2" t="s">
        <v>3920</v>
      </c>
      <c r="R532" s="2" t="s">
        <v>75</v>
      </c>
      <c r="S532" s="4" t="s">
        <v>195</v>
      </c>
      <c r="T532" s="2" t="s">
        <v>66</v>
      </c>
      <c r="U532" s="4" t="s">
        <v>31</v>
      </c>
      <c r="V532" s="2" t="s">
        <v>558</v>
      </c>
      <c r="W532" s="2" t="s">
        <v>3909</v>
      </c>
      <c r="X532" s="5" t="str">
        <f>HYPERLINK("https://my.pitchbook.com?p=32522-86P","View People Online")</f>
        <v>View People Online</v>
      </c>
    </row>
    <row r="533">
      <c r="A533" s="6" t="s">
        <v>4019</v>
      </c>
      <c r="B533" s="6" t="s">
        <v>4020</v>
      </c>
      <c r="C533" s="6" t="s">
        <v>4021</v>
      </c>
      <c r="D533" s="6" t="s">
        <v>4022</v>
      </c>
      <c r="E533" s="6" t="s">
        <v>3909</v>
      </c>
      <c r="F533" s="6" t="s">
        <v>270</v>
      </c>
      <c r="G533" s="6" t="s">
        <v>4023</v>
      </c>
      <c r="H533" s="7">
        <v>1.0</v>
      </c>
      <c r="I533" s="7">
        <v>3.0</v>
      </c>
      <c r="J533" s="7">
        <v>1.0</v>
      </c>
      <c r="K533" s="7" t="s">
        <v>31</v>
      </c>
      <c r="L533" s="8" t="s">
        <v>31</v>
      </c>
      <c r="M533" s="6" t="s">
        <v>31</v>
      </c>
      <c r="N533" s="6" t="s">
        <v>775</v>
      </c>
      <c r="O533" s="8" t="s">
        <v>776</v>
      </c>
      <c r="P533" s="6" t="s">
        <v>31</v>
      </c>
      <c r="Q533" s="6" t="s">
        <v>31</v>
      </c>
      <c r="R533" s="6" t="s">
        <v>64</v>
      </c>
      <c r="S533" s="8" t="s">
        <v>31</v>
      </c>
      <c r="T533" s="6" t="s">
        <v>66</v>
      </c>
      <c r="U533" s="8" t="s">
        <v>31</v>
      </c>
      <c r="V533" s="6" t="s">
        <v>81</v>
      </c>
      <c r="W533" s="6" t="s">
        <v>4024</v>
      </c>
      <c r="X533" s="9" t="str">
        <f>HYPERLINK("https://my.pitchbook.com?p=336602-44P","View People Online")</f>
        <v>View People Online</v>
      </c>
    </row>
    <row r="534">
      <c r="A534" s="2" t="s">
        <v>4025</v>
      </c>
      <c r="B534" s="2" t="s">
        <v>4026</v>
      </c>
      <c r="C534" s="2" t="s">
        <v>4027</v>
      </c>
      <c r="D534" s="2" t="s">
        <v>4028</v>
      </c>
      <c r="E534" s="2" t="s">
        <v>3909</v>
      </c>
      <c r="F534" s="2" t="s">
        <v>43</v>
      </c>
      <c r="G534" s="2" t="s">
        <v>4029</v>
      </c>
      <c r="H534" s="3">
        <v>1.0</v>
      </c>
      <c r="I534" s="3">
        <v>3.0</v>
      </c>
      <c r="J534" s="3">
        <v>1.0</v>
      </c>
      <c r="K534" s="3">
        <v>1.0</v>
      </c>
      <c r="L534" s="4" t="s">
        <v>3918</v>
      </c>
      <c r="M534" s="2" t="s">
        <v>4030</v>
      </c>
      <c r="N534" s="2" t="s">
        <v>75</v>
      </c>
      <c r="O534" s="4" t="s">
        <v>76</v>
      </c>
      <c r="P534" s="2" t="s">
        <v>3919</v>
      </c>
      <c r="Q534" s="2" t="s">
        <v>3920</v>
      </c>
      <c r="R534" s="2" t="s">
        <v>75</v>
      </c>
      <c r="S534" s="4" t="s">
        <v>195</v>
      </c>
      <c r="T534" s="2" t="s">
        <v>66</v>
      </c>
      <c r="U534" s="4" t="s">
        <v>31</v>
      </c>
      <c r="V534" s="2" t="s">
        <v>43</v>
      </c>
      <c r="W534" s="2" t="s">
        <v>3909</v>
      </c>
      <c r="X534" s="5" t="str">
        <f>HYPERLINK("https://my.pitchbook.com?p=122822-83P","View People Online")</f>
        <v>View People Online</v>
      </c>
    </row>
    <row r="535">
      <c r="A535" s="14" t="s">
        <v>4031</v>
      </c>
      <c r="B535" s="14" t="s">
        <v>4032</v>
      </c>
      <c r="C535" s="14" t="s">
        <v>4033</v>
      </c>
      <c r="D535" s="14" t="s">
        <v>4034</v>
      </c>
      <c r="E535" s="14" t="s">
        <v>3909</v>
      </c>
      <c r="F535" s="14" t="s">
        <v>29</v>
      </c>
      <c r="G535" s="14" t="s">
        <v>4035</v>
      </c>
      <c r="H535" s="15" t="s">
        <v>31</v>
      </c>
      <c r="I535" s="15">
        <v>2.0</v>
      </c>
      <c r="J535" s="15">
        <v>1.0</v>
      </c>
      <c r="K535" s="15" t="s">
        <v>31</v>
      </c>
      <c r="L535" s="16" t="s">
        <v>3918</v>
      </c>
      <c r="M535" s="14" t="s">
        <v>4036</v>
      </c>
      <c r="N535" s="14" t="s">
        <v>75</v>
      </c>
      <c r="O535" s="16" t="s">
        <v>76</v>
      </c>
      <c r="P535" s="14" t="s">
        <v>3919</v>
      </c>
      <c r="Q535" s="14" t="s">
        <v>3920</v>
      </c>
      <c r="R535" s="14" t="s">
        <v>75</v>
      </c>
      <c r="S535" s="16" t="s">
        <v>195</v>
      </c>
      <c r="T535" s="14" t="s">
        <v>66</v>
      </c>
      <c r="U535" s="16" t="s">
        <v>31</v>
      </c>
      <c r="V535" s="14" t="s">
        <v>29</v>
      </c>
      <c r="W535" s="14" t="s">
        <v>3909</v>
      </c>
      <c r="X535" s="17" t="str">
        <f>HYPERLINK("https://my.pitchbook.com?p=140597-56P","View People Online")</f>
        <v>View People Online</v>
      </c>
    </row>
    <row r="536">
      <c r="A536" s="10" t="s">
        <v>4037</v>
      </c>
      <c r="B536" s="10" t="s">
        <v>4038</v>
      </c>
      <c r="C536" s="10" t="s">
        <v>4039</v>
      </c>
      <c r="D536" s="10" t="s">
        <v>4040</v>
      </c>
      <c r="E536" s="10" t="s">
        <v>3909</v>
      </c>
      <c r="F536" s="10" t="s">
        <v>318</v>
      </c>
      <c r="G536" s="10" t="s">
        <v>4041</v>
      </c>
      <c r="H536" s="11">
        <v>1.0</v>
      </c>
      <c r="I536" s="11">
        <v>3.0</v>
      </c>
      <c r="J536" s="11">
        <v>2.0</v>
      </c>
      <c r="K536" s="11" t="s">
        <v>31</v>
      </c>
      <c r="L536" s="12" t="s">
        <v>31</v>
      </c>
      <c r="M536" s="10" t="s">
        <v>4042</v>
      </c>
      <c r="N536" s="10" t="s">
        <v>75</v>
      </c>
      <c r="O536" s="12" t="s">
        <v>76</v>
      </c>
      <c r="P536" s="10" t="s">
        <v>4043</v>
      </c>
      <c r="Q536" s="10" t="s">
        <v>31</v>
      </c>
      <c r="R536" s="10" t="s">
        <v>75</v>
      </c>
      <c r="S536" s="12" t="s">
        <v>4044</v>
      </c>
      <c r="T536" s="10" t="s">
        <v>66</v>
      </c>
      <c r="U536" s="12" t="s">
        <v>31</v>
      </c>
      <c r="V536" s="10" t="s">
        <v>157</v>
      </c>
      <c r="W536" s="10" t="s">
        <v>4045</v>
      </c>
      <c r="X536" s="13" t="str">
        <f>HYPERLINK("https://my.pitchbook.com?p=277112-08P","View People Online")</f>
        <v>View People Online</v>
      </c>
    </row>
    <row r="537">
      <c r="A537" s="14" t="s">
        <v>4046</v>
      </c>
      <c r="B537" s="14" t="s">
        <v>4047</v>
      </c>
      <c r="C537" s="14" t="s">
        <v>4048</v>
      </c>
      <c r="D537" s="14" t="s">
        <v>4049</v>
      </c>
      <c r="E537" s="14" t="s">
        <v>3909</v>
      </c>
      <c r="F537" s="14" t="s">
        <v>29</v>
      </c>
      <c r="G537" s="14" t="s">
        <v>4050</v>
      </c>
      <c r="H537" s="15" t="s">
        <v>31</v>
      </c>
      <c r="I537" s="15">
        <v>1.0</v>
      </c>
      <c r="J537" s="15">
        <v>1.0</v>
      </c>
      <c r="K537" s="15" t="s">
        <v>31</v>
      </c>
      <c r="L537" s="16" t="s">
        <v>3918</v>
      </c>
      <c r="M537" s="14" t="s">
        <v>4051</v>
      </c>
      <c r="N537" s="14" t="s">
        <v>75</v>
      </c>
      <c r="O537" s="16" t="s">
        <v>76</v>
      </c>
      <c r="P537" s="14" t="s">
        <v>3919</v>
      </c>
      <c r="Q537" s="14" t="s">
        <v>3920</v>
      </c>
      <c r="R537" s="14" t="s">
        <v>75</v>
      </c>
      <c r="S537" s="16" t="s">
        <v>195</v>
      </c>
      <c r="T537" s="14" t="s">
        <v>66</v>
      </c>
      <c r="U537" s="16" t="s">
        <v>31</v>
      </c>
      <c r="V537" s="14" t="s">
        <v>4052</v>
      </c>
      <c r="W537" s="14" t="s">
        <v>3909</v>
      </c>
      <c r="X537" s="17" t="str">
        <f>HYPERLINK("https://my.pitchbook.com?p=420709-42P","View People Online")</f>
        <v>View People Online</v>
      </c>
    </row>
    <row r="538">
      <c r="A538" s="2" t="s">
        <v>4053</v>
      </c>
      <c r="B538" s="2" t="s">
        <v>4054</v>
      </c>
      <c r="C538" s="2" t="s">
        <v>4055</v>
      </c>
      <c r="D538" s="2" t="s">
        <v>4056</v>
      </c>
      <c r="E538" s="2" t="s">
        <v>3909</v>
      </c>
      <c r="F538" s="2" t="s">
        <v>29</v>
      </c>
      <c r="G538" s="2" t="s">
        <v>4057</v>
      </c>
      <c r="H538" s="3" t="s">
        <v>31</v>
      </c>
      <c r="I538" s="3">
        <v>5.0</v>
      </c>
      <c r="J538" s="3">
        <v>1.0</v>
      </c>
      <c r="K538" s="3">
        <v>2.0</v>
      </c>
      <c r="L538" s="4" t="s">
        <v>3918</v>
      </c>
      <c r="M538" s="2" t="s">
        <v>4058</v>
      </c>
      <c r="N538" s="2" t="s">
        <v>75</v>
      </c>
      <c r="O538" s="4" t="s">
        <v>76</v>
      </c>
      <c r="P538" s="2" t="s">
        <v>3919</v>
      </c>
      <c r="Q538" s="2" t="s">
        <v>3920</v>
      </c>
      <c r="R538" s="2" t="s">
        <v>75</v>
      </c>
      <c r="S538" s="4" t="s">
        <v>195</v>
      </c>
      <c r="T538" s="2" t="s">
        <v>66</v>
      </c>
      <c r="U538" s="4" t="s">
        <v>31</v>
      </c>
      <c r="V538" s="2" t="s">
        <v>29</v>
      </c>
      <c r="W538" s="2" t="s">
        <v>3909</v>
      </c>
      <c r="X538" s="5" t="str">
        <f>HYPERLINK("https://my.pitchbook.com?p=227033-29P","View People Online")</f>
        <v>View People Online</v>
      </c>
    </row>
    <row r="539">
      <c r="A539" s="14" t="s">
        <v>4059</v>
      </c>
      <c r="B539" s="14" t="s">
        <v>4060</v>
      </c>
      <c r="C539" s="14" t="s">
        <v>4061</v>
      </c>
      <c r="D539" s="14" t="s">
        <v>4062</v>
      </c>
      <c r="E539" s="14" t="s">
        <v>3909</v>
      </c>
      <c r="F539" s="14" t="s">
        <v>43</v>
      </c>
      <c r="G539" s="14" t="s">
        <v>4063</v>
      </c>
      <c r="H539" s="15">
        <v>2.0</v>
      </c>
      <c r="I539" s="15">
        <v>7.0</v>
      </c>
      <c r="J539" s="15">
        <v>1.0</v>
      </c>
      <c r="K539" s="15">
        <v>3.0</v>
      </c>
      <c r="L539" s="16" t="s">
        <v>3918</v>
      </c>
      <c r="M539" s="14" t="s">
        <v>4064</v>
      </c>
      <c r="N539" s="14" t="s">
        <v>75</v>
      </c>
      <c r="O539" s="16" t="s">
        <v>76</v>
      </c>
      <c r="P539" s="14" t="s">
        <v>3919</v>
      </c>
      <c r="Q539" s="14" t="s">
        <v>3920</v>
      </c>
      <c r="R539" s="14" t="s">
        <v>75</v>
      </c>
      <c r="S539" s="16" t="s">
        <v>195</v>
      </c>
      <c r="T539" s="14" t="s">
        <v>66</v>
      </c>
      <c r="U539" s="16" t="s">
        <v>31</v>
      </c>
      <c r="V539" s="14" t="s">
        <v>43</v>
      </c>
      <c r="W539" s="14" t="s">
        <v>3909</v>
      </c>
      <c r="X539" s="17" t="str">
        <f>HYPERLINK("https://my.pitchbook.com?p=342919-09P","View People Online")</f>
        <v>View People Online</v>
      </c>
    </row>
    <row r="540">
      <c r="A540" s="2" t="s">
        <v>4065</v>
      </c>
      <c r="B540" s="2" t="s">
        <v>4066</v>
      </c>
      <c r="C540" s="2" t="s">
        <v>1697</v>
      </c>
      <c r="D540" s="2" t="s">
        <v>4067</v>
      </c>
      <c r="E540" s="2" t="s">
        <v>3909</v>
      </c>
      <c r="F540" s="2" t="s">
        <v>4068</v>
      </c>
      <c r="G540" s="2" t="s">
        <v>4069</v>
      </c>
      <c r="H540" s="3">
        <v>1.0</v>
      </c>
      <c r="I540" s="3">
        <v>3.0</v>
      </c>
      <c r="J540" s="3">
        <v>1.0</v>
      </c>
      <c r="K540" s="3">
        <v>1.0</v>
      </c>
      <c r="L540" s="4" t="s">
        <v>4070</v>
      </c>
      <c r="M540" s="2" t="s">
        <v>4071</v>
      </c>
      <c r="N540" s="2" t="s">
        <v>75</v>
      </c>
      <c r="O540" s="4" t="s">
        <v>76</v>
      </c>
      <c r="P540" s="2" t="s">
        <v>3919</v>
      </c>
      <c r="Q540" s="2" t="s">
        <v>3920</v>
      </c>
      <c r="R540" s="2" t="s">
        <v>75</v>
      </c>
      <c r="S540" s="4" t="s">
        <v>195</v>
      </c>
      <c r="T540" s="2" t="s">
        <v>66</v>
      </c>
      <c r="U540" s="4" t="s">
        <v>31</v>
      </c>
      <c r="V540" s="2" t="s">
        <v>4072</v>
      </c>
      <c r="W540" s="2" t="s">
        <v>3909</v>
      </c>
      <c r="X540" s="5" t="str">
        <f>HYPERLINK("https://my.pitchbook.com?p=238015-09P","View People Online")</f>
        <v>View People Online</v>
      </c>
    </row>
    <row r="541">
      <c r="A541" s="6" t="s">
        <v>4073</v>
      </c>
      <c r="B541" s="6" t="s">
        <v>4074</v>
      </c>
      <c r="C541" s="6" t="s">
        <v>4075</v>
      </c>
      <c r="D541" s="6" t="s">
        <v>4076</v>
      </c>
      <c r="E541" s="6" t="s">
        <v>3909</v>
      </c>
      <c r="F541" s="6" t="s">
        <v>270</v>
      </c>
      <c r="G541" s="6" t="s">
        <v>4077</v>
      </c>
      <c r="H541" s="7" t="s">
        <v>31</v>
      </c>
      <c r="I541" s="7">
        <v>1.0</v>
      </c>
      <c r="J541" s="7">
        <v>1.0</v>
      </c>
      <c r="K541" s="7" t="s">
        <v>31</v>
      </c>
      <c r="L541" s="8" t="s">
        <v>4078</v>
      </c>
      <c r="M541" s="6" t="s">
        <v>4079</v>
      </c>
      <c r="N541" s="6" t="s">
        <v>75</v>
      </c>
      <c r="O541" s="8" t="s">
        <v>76</v>
      </c>
      <c r="P541" s="6" t="s">
        <v>3919</v>
      </c>
      <c r="Q541" s="6" t="s">
        <v>3920</v>
      </c>
      <c r="R541" s="6" t="s">
        <v>75</v>
      </c>
      <c r="S541" s="8" t="s">
        <v>195</v>
      </c>
      <c r="T541" s="6" t="s">
        <v>66</v>
      </c>
      <c r="U541" s="8" t="s">
        <v>31</v>
      </c>
      <c r="V541" s="6" t="s">
        <v>440</v>
      </c>
      <c r="W541" s="6" t="s">
        <v>3909</v>
      </c>
      <c r="X541" s="9" t="str">
        <f>HYPERLINK("https://my.pitchbook.com?p=371435-86P","View People Online")</f>
        <v>View People Online</v>
      </c>
    </row>
    <row r="542">
      <c r="A542" s="2" t="s">
        <v>4080</v>
      </c>
      <c r="B542" s="2" t="s">
        <v>4081</v>
      </c>
      <c r="C542" s="2" t="s">
        <v>4082</v>
      </c>
      <c r="D542" s="2" t="s">
        <v>4083</v>
      </c>
      <c r="E542" s="2" t="s">
        <v>4084</v>
      </c>
      <c r="F542" s="2" t="s">
        <v>270</v>
      </c>
      <c r="G542" s="2" t="s">
        <v>4085</v>
      </c>
      <c r="H542" s="3" t="s">
        <v>31</v>
      </c>
      <c r="I542" s="3">
        <v>1.0</v>
      </c>
      <c r="J542" s="3">
        <v>1.0</v>
      </c>
      <c r="K542" s="3" t="s">
        <v>31</v>
      </c>
      <c r="L542" s="4" t="s">
        <v>4086</v>
      </c>
      <c r="M542" s="2" t="s">
        <v>4087</v>
      </c>
      <c r="N542" s="2" t="s">
        <v>4088</v>
      </c>
      <c r="O542" s="4" t="s">
        <v>4089</v>
      </c>
      <c r="P542" s="2" t="s">
        <v>4090</v>
      </c>
      <c r="Q542" s="2" t="s">
        <v>4091</v>
      </c>
      <c r="R542" s="2" t="s">
        <v>4092</v>
      </c>
      <c r="S542" s="4" t="s">
        <v>4093</v>
      </c>
      <c r="T542" s="2" t="s">
        <v>66</v>
      </c>
      <c r="U542" s="4" t="s">
        <v>31</v>
      </c>
      <c r="V542" s="2" t="s">
        <v>4094</v>
      </c>
      <c r="W542" s="2" t="s">
        <v>4084</v>
      </c>
      <c r="X542" s="5" t="str">
        <f>HYPERLINK("https://my.pitchbook.com?p=343239-94P","View People Online")</f>
        <v>View People Online</v>
      </c>
    </row>
    <row r="543">
      <c r="A543" s="14" t="s">
        <v>4095</v>
      </c>
      <c r="B543" s="14" t="s">
        <v>4096</v>
      </c>
      <c r="C543" s="14" t="s">
        <v>4097</v>
      </c>
      <c r="D543" s="14" t="s">
        <v>4098</v>
      </c>
      <c r="E543" s="14" t="s">
        <v>4084</v>
      </c>
      <c r="F543" s="14" t="s">
        <v>371</v>
      </c>
      <c r="G543" s="14" t="s">
        <v>4099</v>
      </c>
      <c r="H543" s="15" t="s">
        <v>31</v>
      </c>
      <c r="I543" s="15">
        <v>1.0</v>
      </c>
      <c r="J543" s="15">
        <v>1.0</v>
      </c>
      <c r="K543" s="15" t="s">
        <v>31</v>
      </c>
      <c r="L543" s="16" t="s">
        <v>4086</v>
      </c>
      <c r="M543" s="14" t="s">
        <v>4100</v>
      </c>
      <c r="N543" s="14" t="s">
        <v>4088</v>
      </c>
      <c r="O543" s="16" t="s">
        <v>4089</v>
      </c>
      <c r="P543" s="14" t="s">
        <v>4090</v>
      </c>
      <c r="Q543" s="14" t="s">
        <v>4091</v>
      </c>
      <c r="R543" s="14" t="s">
        <v>4092</v>
      </c>
      <c r="S543" s="16" t="s">
        <v>4093</v>
      </c>
      <c r="T543" s="14" t="s">
        <v>66</v>
      </c>
      <c r="U543" s="16" t="s">
        <v>31</v>
      </c>
      <c r="V543" s="14" t="s">
        <v>4101</v>
      </c>
      <c r="W543" s="14" t="s">
        <v>4084</v>
      </c>
      <c r="X543" s="17" t="str">
        <f>HYPERLINK("https://my.pitchbook.com?p=356347-45P","View People Online")</f>
        <v>View People Online</v>
      </c>
    </row>
    <row r="544">
      <c r="A544" s="2" t="s">
        <v>4102</v>
      </c>
      <c r="B544" s="2" t="s">
        <v>4103</v>
      </c>
      <c r="C544" s="2" t="s">
        <v>4104</v>
      </c>
      <c r="D544" s="2" t="s">
        <v>4105</v>
      </c>
      <c r="E544" s="2" t="s">
        <v>4084</v>
      </c>
      <c r="F544" s="2" t="s">
        <v>201</v>
      </c>
      <c r="G544" s="2" t="s">
        <v>4106</v>
      </c>
      <c r="H544" s="3" t="s">
        <v>31</v>
      </c>
      <c r="I544" s="3">
        <v>1.0</v>
      </c>
      <c r="J544" s="3">
        <v>1.0</v>
      </c>
      <c r="K544" s="3" t="s">
        <v>31</v>
      </c>
      <c r="L544" s="4" t="s">
        <v>4086</v>
      </c>
      <c r="M544" s="2" t="s">
        <v>4107</v>
      </c>
      <c r="N544" s="2" t="s">
        <v>4088</v>
      </c>
      <c r="O544" s="4" t="s">
        <v>4089</v>
      </c>
      <c r="P544" s="2" t="s">
        <v>4090</v>
      </c>
      <c r="Q544" s="2" t="s">
        <v>4091</v>
      </c>
      <c r="R544" s="2" t="s">
        <v>4092</v>
      </c>
      <c r="S544" s="4" t="s">
        <v>4093</v>
      </c>
      <c r="T544" s="2" t="s">
        <v>66</v>
      </c>
      <c r="U544" s="4" t="s">
        <v>31</v>
      </c>
      <c r="V544" s="2" t="s">
        <v>4108</v>
      </c>
      <c r="W544" s="2" t="s">
        <v>4084</v>
      </c>
      <c r="X544" s="5" t="str">
        <f>HYPERLINK("https://my.pitchbook.com?p=430617-79P","View People Online")</f>
        <v>View People Online</v>
      </c>
    </row>
    <row r="545">
      <c r="A545" s="14" t="s">
        <v>4109</v>
      </c>
      <c r="B545" s="14" t="s">
        <v>4110</v>
      </c>
      <c r="C545" s="14" t="s">
        <v>186</v>
      </c>
      <c r="D545" s="14" t="s">
        <v>4111</v>
      </c>
      <c r="E545" s="14" t="s">
        <v>4084</v>
      </c>
      <c r="F545" s="14" t="s">
        <v>270</v>
      </c>
      <c r="G545" s="14" t="s">
        <v>4112</v>
      </c>
      <c r="H545" s="15" t="s">
        <v>31</v>
      </c>
      <c r="I545" s="15">
        <v>1.0</v>
      </c>
      <c r="J545" s="15">
        <v>1.0</v>
      </c>
      <c r="K545" s="15" t="s">
        <v>31</v>
      </c>
      <c r="L545" s="16" t="s">
        <v>4086</v>
      </c>
      <c r="M545" s="14" t="s">
        <v>31</v>
      </c>
      <c r="N545" s="14" t="s">
        <v>4088</v>
      </c>
      <c r="O545" s="16" t="s">
        <v>4089</v>
      </c>
      <c r="P545" s="14" t="s">
        <v>4090</v>
      </c>
      <c r="Q545" s="14" t="s">
        <v>4091</v>
      </c>
      <c r="R545" s="14" t="s">
        <v>4092</v>
      </c>
      <c r="S545" s="16" t="s">
        <v>4093</v>
      </c>
      <c r="T545" s="14" t="s">
        <v>66</v>
      </c>
      <c r="U545" s="16" t="s">
        <v>31</v>
      </c>
      <c r="V545" s="14" t="s">
        <v>4113</v>
      </c>
      <c r="W545" s="14" t="s">
        <v>4084</v>
      </c>
      <c r="X545" s="17" t="str">
        <f>HYPERLINK("https://my.pitchbook.com?p=326638-54P","View People Online")</f>
        <v>View People Online</v>
      </c>
    </row>
    <row r="546">
      <c r="A546" s="2" t="s">
        <v>4114</v>
      </c>
      <c r="B546" s="2" t="s">
        <v>4115</v>
      </c>
      <c r="C546" s="2" t="s">
        <v>237</v>
      </c>
      <c r="D546" s="2" t="s">
        <v>4116</v>
      </c>
      <c r="E546" s="2" t="s">
        <v>4084</v>
      </c>
      <c r="F546" s="2" t="s">
        <v>1801</v>
      </c>
      <c r="G546" s="2" t="s">
        <v>4117</v>
      </c>
      <c r="H546" s="3" t="s">
        <v>31</v>
      </c>
      <c r="I546" s="3">
        <v>1.0</v>
      </c>
      <c r="J546" s="3">
        <v>1.0</v>
      </c>
      <c r="K546" s="3" t="s">
        <v>31</v>
      </c>
      <c r="L546" s="4" t="s">
        <v>4086</v>
      </c>
      <c r="M546" s="2" t="s">
        <v>31</v>
      </c>
      <c r="N546" s="2" t="s">
        <v>4088</v>
      </c>
      <c r="O546" s="4" t="s">
        <v>4089</v>
      </c>
      <c r="P546" s="2" t="s">
        <v>4090</v>
      </c>
      <c r="Q546" s="2" t="s">
        <v>4091</v>
      </c>
      <c r="R546" s="2" t="s">
        <v>4092</v>
      </c>
      <c r="S546" s="4" t="s">
        <v>4093</v>
      </c>
      <c r="T546" s="2" t="s">
        <v>66</v>
      </c>
      <c r="U546" s="4" t="s">
        <v>31</v>
      </c>
      <c r="V546" s="2" t="s">
        <v>4118</v>
      </c>
      <c r="W546" s="2" t="s">
        <v>4084</v>
      </c>
      <c r="X546" s="5" t="str">
        <f>HYPERLINK("https://my.pitchbook.com?p=277781-14P","View People Online")</f>
        <v>View People Online</v>
      </c>
    </row>
    <row r="547">
      <c r="A547" s="14" t="s">
        <v>4119</v>
      </c>
      <c r="B547" s="14" t="s">
        <v>4120</v>
      </c>
      <c r="C547" s="14" t="s">
        <v>4121</v>
      </c>
      <c r="D547" s="14" t="s">
        <v>4122</v>
      </c>
      <c r="E547" s="14" t="s">
        <v>4084</v>
      </c>
      <c r="F547" s="14" t="s">
        <v>29</v>
      </c>
      <c r="G547" s="14" t="s">
        <v>4123</v>
      </c>
      <c r="H547" s="15" t="s">
        <v>31</v>
      </c>
      <c r="I547" s="15">
        <v>1.0</v>
      </c>
      <c r="J547" s="15">
        <v>1.0</v>
      </c>
      <c r="K547" s="15" t="s">
        <v>31</v>
      </c>
      <c r="L547" s="16" t="s">
        <v>4086</v>
      </c>
      <c r="M547" s="14" t="s">
        <v>4124</v>
      </c>
      <c r="N547" s="14" t="s">
        <v>4088</v>
      </c>
      <c r="O547" s="16" t="s">
        <v>4089</v>
      </c>
      <c r="P547" s="14" t="s">
        <v>4090</v>
      </c>
      <c r="Q547" s="14" t="s">
        <v>4091</v>
      </c>
      <c r="R547" s="14" t="s">
        <v>4092</v>
      </c>
      <c r="S547" s="16" t="s">
        <v>4093</v>
      </c>
      <c r="T547" s="14" t="s">
        <v>66</v>
      </c>
      <c r="U547" s="16" t="s">
        <v>31</v>
      </c>
      <c r="V547" s="14" t="s">
        <v>4125</v>
      </c>
      <c r="W547" s="14" t="s">
        <v>4084</v>
      </c>
      <c r="X547" s="17" t="str">
        <f>HYPERLINK("https://my.pitchbook.com?p=170992-45P","View People Online")</f>
        <v>View People Online</v>
      </c>
    </row>
    <row r="548">
      <c r="A548" s="2" t="s">
        <v>4126</v>
      </c>
      <c r="B548" s="2" t="s">
        <v>4127</v>
      </c>
      <c r="C548" s="2" t="s">
        <v>4128</v>
      </c>
      <c r="D548" s="2" t="s">
        <v>4129</v>
      </c>
      <c r="E548" s="2" t="s">
        <v>4084</v>
      </c>
      <c r="F548" s="2" t="s">
        <v>1801</v>
      </c>
      <c r="G548" s="2" t="s">
        <v>4130</v>
      </c>
      <c r="H548" s="3" t="s">
        <v>31</v>
      </c>
      <c r="I548" s="3">
        <v>1.0</v>
      </c>
      <c r="J548" s="3">
        <v>1.0</v>
      </c>
      <c r="K548" s="3" t="s">
        <v>31</v>
      </c>
      <c r="L548" s="4" t="s">
        <v>4086</v>
      </c>
      <c r="M548" s="2" t="s">
        <v>4131</v>
      </c>
      <c r="N548" s="2" t="s">
        <v>4088</v>
      </c>
      <c r="O548" s="4" t="s">
        <v>4089</v>
      </c>
      <c r="P548" s="2" t="s">
        <v>4090</v>
      </c>
      <c r="Q548" s="2" t="s">
        <v>4091</v>
      </c>
      <c r="R548" s="2" t="s">
        <v>4092</v>
      </c>
      <c r="S548" s="4" t="s">
        <v>4093</v>
      </c>
      <c r="T548" s="2" t="s">
        <v>66</v>
      </c>
      <c r="U548" s="4" t="s">
        <v>31</v>
      </c>
      <c r="V548" s="2" t="s">
        <v>4132</v>
      </c>
      <c r="W548" s="2" t="s">
        <v>4084</v>
      </c>
      <c r="X548" s="5" t="str">
        <f>HYPERLINK("https://my.pitchbook.com?p=356347-72P","View People Online")</f>
        <v>View People Online</v>
      </c>
    </row>
    <row r="549">
      <c r="A549" s="6" t="s">
        <v>4133</v>
      </c>
      <c r="B549" s="6" t="s">
        <v>4134</v>
      </c>
      <c r="C549" s="6" t="s">
        <v>1117</v>
      </c>
      <c r="D549" s="6" t="s">
        <v>4135</v>
      </c>
      <c r="E549" s="6" t="s">
        <v>4084</v>
      </c>
      <c r="F549" s="6" t="s">
        <v>371</v>
      </c>
      <c r="G549" s="6" t="s">
        <v>4136</v>
      </c>
      <c r="H549" s="7" t="s">
        <v>31</v>
      </c>
      <c r="I549" s="7">
        <v>1.0</v>
      </c>
      <c r="J549" s="7">
        <v>1.0</v>
      </c>
      <c r="K549" s="7" t="s">
        <v>31</v>
      </c>
      <c r="L549" s="8" t="s">
        <v>4086</v>
      </c>
      <c r="M549" s="6" t="s">
        <v>4137</v>
      </c>
      <c r="N549" s="6" t="s">
        <v>4088</v>
      </c>
      <c r="O549" s="8" t="s">
        <v>4089</v>
      </c>
      <c r="P549" s="6" t="s">
        <v>4090</v>
      </c>
      <c r="Q549" s="6" t="s">
        <v>4091</v>
      </c>
      <c r="R549" s="6" t="s">
        <v>4092</v>
      </c>
      <c r="S549" s="8" t="s">
        <v>4093</v>
      </c>
      <c r="T549" s="6" t="s">
        <v>66</v>
      </c>
      <c r="U549" s="8" t="s">
        <v>31</v>
      </c>
      <c r="V549" s="6" t="s">
        <v>4138</v>
      </c>
      <c r="W549" s="6" t="s">
        <v>4084</v>
      </c>
      <c r="X549" s="9" t="str">
        <f>HYPERLINK("https://my.pitchbook.com?p=309026-17P","View People Online")</f>
        <v>View People Online</v>
      </c>
    </row>
    <row r="550">
      <c r="A550" s="10" t="s">
        <v>4139</v>
      </c>
      <c r="B550" s="10" t="s">
        <v>4140</v>
      </c>
      <c r="C550" s="10" t="s">
        <v>1117</v>
      </c>
      <c r="D550" s="10" t="s">
        <v>4141</v>
      </c>
      <c r="E550" s="10" t="s">
        <v>4084</v>
      </c>
      <c r="F550" s="10" t="s">
        <v>3823</v>
      </c>
      <c r="G550" s="10" t="s">
        <v>4142</v>
      </c>
      <c r="H550" s="11" t="s">
        <v>31</v>
      </c>
      <c r="I550" s="11">
        <v>9.0</v>
      </c>
      <c r="J550" s="11">
        <v>2.0</v>
      </c>
      <c r="K550" s="11">
        <v>6.0</v>
      </c>
      <c r="L550" s="12" t="s">
        <v>4143</v>
      </c>
      <c r="M550" s="10" t="s">
        <v>4144</v>
      </c>
      <c r="N550" s="10" t="s">
        <v>4088</v>
      </c>
      <c r="O550" s="12" t="s">
        <v>4089</v>
      </c>
      <c r="P550" s="10" t="s">
        <v>4090</v>
      </c>
      <c r="Q550" s="10" t="s">
        <v>4091</v>
      </c>
      <c r="R550" s="10" t="s">
        <v>4092</v>
      </c>
      <c r="S550" s="12" t="s">
        <v>4093</v>
      </c>
      <c r="T550" s="10" t="s">
        <v>66</v>
      </c>
      <c r="U550" s="12" t="s">
        <v>31</v>
      </c>
      <c r="V550" s="10" t="s">
        <v>4145</v>
      </c>
      <c r="W550" s="10" t="s">
        <v>4084</v>
      </c>
      <c r="X550" s="13" t="str">
        <f>HYPERLINK("https://my.pitchbook.com?p=42792-49P","View People Online")</f>
        <v>View People Online</v>
      </c>
    </row>
    <row r="551">
      <c r="A551" s="6" t="s">
        <v>4146</v>
      </c>
      <c r="B551" s="6" t="s">
        <v>4147</v>
      </c>
      <c r="C551" s="6" t="s">
        <v>1117</v>
      </c>
      <c r="D551" s="6" t="s">
        <v>4148</v>
      </c>
      <c r="E551" s="6" t="s">
        <v>4084</v>
      </c>
      <c r="F551" s="6" t="s">
        <v>29</v>
      </c>
      <c r="G551" s="6" t="s">
        <v>4149</v>
      </c>
      <c r="H551" s="7" t="s">
        <v>31</v>
      </c>
      <c r="I551" s="7">
        <v>1.0</v>
      </c>
      <c r="J551" s="7">
        <v>1.0</v>
      </c>
      <c r="K551" s="7" t="s">
        <v>31</v>
      </c>
      <c r="L551" s="8" t="s">
        <v>4086</v>
      </c>
      <c r="M551" s="6" t="s">
        <v>4150</v>
      </c>
      <c r="N551" s="6" t="s">
        <v>75</v>
      </c>
      <c r="O551" s="8" t="s">
        <v>76</v>
      </c>
      <c r="P551" s="6" t="s">
        <v>4151</v>
      </c>
      <c r="Q551" s="6" t="s">
        <v>4152</v>
      </c>
      <c r="R551" s="6" t="s">
        <v>75</v>
      </c>
      <c r="S551" s="8" t="s">
        <v>2167</v>
      </c>
      <c r="T551" s="6" t="s">
        <v>66</v>
      </c>
      <c r="U551" s="8" t="s">
        <v>31</v>
      </c>
      <c r="V551" s="6" t="s">
        <v>4153</v>
      </c>
      <c r="W551" s="6" t="s">
        <v>4084</v>
      </c>
      <c r="X551" s="9" t="str">
        <f>HYPERLINK("https://my.pitchbook.com?p=129905-56P","View People Online")</f>
        <v>View People Online</v>
      </c>
    </row>
    <row r="552">
      <c r="A552" s="2" t="s">
        <v>4154</v>
      </c>
      <c r="B552" s="2" t="s">
        <v>4155</v>
      </c>
      <c r="C552" s="2" t="s">
        <v>1117</v>
      </c>
      <c r="D552" s="2" t="s">
        <v>4156</v>
      </c>
      <c r="E552" s="2" t="s">
        <v>4084</v>
      </c>
      <c r="F552" s="2" t="s">
        <v>3665</v>
      </c>
      <c r="G552" s="2" t="s">
        <v>4157</v>
      </c>
      <c r="H552" s="3" t="s">
        <v>31</v>
      </c>
      <c r="I552" s="3">
        <v>1.0</v>
      </c>
      <c r="J552" s="3">
        <v>1.0</v>
      </c>
      <c r="K552" s="3" t="s">
        <v>31</v>
      </c>
      <c r="L552" s="4" t="s">
        <v>4086</v>
      </c>
      <c r="M552" s="2" t="s">
        <v>4158</v>
      </c>
      <c r="N552" s="2" t="s">
        <v>4088</v>
      </c>
      <c r="O552" s="4" t="s">
        <v>4089</v>
      </c>
      <c r="P552" s="2" t="s">
        <v>4090</v>
      </c>
      <c r="Q552" s="2" t="s">
        <v>4091</v>
      </c>
      <c r="R552" s="2" t="s">
        <v>4092</v>
      </c>
      <c r="S552" s="4" t="s">
        <v>4093</v>
      </c>
      <c r="T552" s="2" t="s">
        <v>66</v>
      </c>
      <c r="U552" s="4" t="s">
        <v>31</v>
      </c>
      <c r="V552" s="2" t="s">
        <v>3665</v>
      </c>
      <c r="W552" s="2" t="s">
        <v>4084</v>
      </c>
      <c r="X552" s="5" t="str">
        <f>HYPERLINK("https://my.pitchbook.com?p=64386-10P","View People Online")</f>
        <v>View People Online</v>
      </c>
    </row>
    <row r="553">
      <c r="A553" s="6" t="s">
        <v>4159</v>
      </c>
      <c r="B553" s="6" t="s">
        <v>4160</v>
      </c>
      <c r="C553" s="6" t="s">
        <v>4161</v>
      </c>
      <c r="D553" s="6" t="s">
        <v>4162</v>
      </c>
      <c r="E553" s="6" t="s">
        <v>4084</v>
      </c>
      <c r="F553" s="6" t="s">
        <v>4163</v>
      </c>
      <c r="G553" s="6" t="s">
        <v>4164</v>
      </c>
      <c r="H553" s="7" t="s">
        <v>31</v>
      </c>
      <c r="I553" s="7">
        <v>2.0</v>
      </c>
      <c r="J553" s="7">
        <v>1.0</v>
      </c>
      <c r="K553" s="7" t="s">
        <v>31</v>
      </c>
      <c r="L553" s="8" t="s">
        <v>4086</v>
      </c>
      <c r="M553" s="6" t="s">
        <v>4165</v>
      </c>
      <c r="N553" s="6" t="s">
        <v>4088</v>
      </c>
      <c r="O553" s="8" t="s">
        <v>4089</v>
      </c>
      <c r="P553" s="6" t="s">
        <v>4090</v>
      </c>
      <c r="Q553" s="6" t="s">
        <v>4091</v>
      </c>
      <c r="R553" s="6" t="s">
        <v>4092</v>
      </c>
      <c r="S553" s="8" t="s">
        <v>4093</v>
      </c>
      <c r="T553" s="6" t="s">
        <v>66</v>
      </c>
      <c r="U553" s="8" t="s">
        <v>31</v>
      </c>
      <c r="V553" s="6" t="s">
        <v>4166</v>
      </c>
      <c r="W553" s="6" t="s">
        <v>4084</v>
      </c>
      <c r="X553" s="9" t="str">
        <f>HYPERLINK("https://my.pitchbook.com?p=55473-40P","View People Online")</f>
        <v>View People Online</v>
      </c>
    </row>
    <row r="554">
      <c r="A554" s="2" t="s">
        <v>4167</v>
      </c>
      <c r="B554" s="2" t="s">
        <v>4168</v>
      </c>
      <c r="C554" s="2" t="s">
        <v>4169</v>
      </c>
      <c r="D554" s="2" t="s">
        <v>4170</v>
      </c>
      <c r="E554" s="2" t="s">
        <v>4084</v>
      </c>
      <c r="F554" s="2" t="s">
        <v>1801</v>
      </c>
      <c r="G554" s="2" t="s">
        <v>4171</v>
      </c>
      <c r="H554" s="3" t="s">
        <v>31</v>
      </c>
      <c r="I554" s="3">
        <v>1.0</v>
      </c>
      <c r="J554" s="3">
        <v>1.0</v>
      </c>
      <c r="K554" s="3" t="s">
        <v>31</v>
      </c>
      <c r="L554" s="4" t="s">
        <v>4086</v>
      </c>
      <c r="M554" s="2" t="s">
        <v>4172</v>
      </c>
      <c r="N554" s="2" t="s">
        <v>4088</v>
      </c>
      <c r="O554" s="4" t="s">
        <v>4089</v>
      </c>
      <c r="P554" s="2" t="s">
        <v>4090</v>
      </c>
      <c r="Q554" s="2" t="s">
        <v>4091</v>
      </c>
      <c r="R554" s="2" t="s">
        <v>4092</v>
      </c>
      <c r="S554" s="4" t="s">
        <v>4093</v>
      </c>
      <c r="T554" s="2" t="s">
        <v>66</v>
      </c>
      <c r="U554" s="4" t="s">
        <v>31</v>
      </c>
      <c r="V554" s="2" t="s">
        <v>4173</v>
      </c>
      <c r="W554" s="2" t="s">
        <v>4084</v>
      </c>
      <c r="X554" s="5" t="str">
        <f>HYPERLINK("https://my.pitchbook.com?p=297015-94P","View People Online")</f>
        <v>View People Online</v>
      </c>
    </row>
    <row r="555">
      <c r="A555" s="6" t="s">
        <v>4174</v>
      </c>
      <c r="B555" s="6" t="s">
        <v>4175</v>
      </c>
      <c r="C555" s="6" t="s">
        <v>4169</v>
      </c>
      <c r="D555" s="6" t="s">
        <v>4176</v>
      </c>
      <c r="E555" s="6" t="s">
        <v>4084</v>
      </c>
      <c r="F555" s="6" t="s">
        <v>318</v>
      </c>
      <c r="G555" s="6" t="s">
        <v>4177</v>
      </c>
      <c r="H555" s="7" t="s">
        <v>31</v>
      </c>
      <c r="I555" s="7">
        <v>1.0</v>
      </c>
      <c r="J555" s="7">
        <v>1.0</v>
      </c>
      <c r="K555" s="7" t="s">
        <v>31</v>
      </c>
      <c r="L555" s="8" t="s">
        <v>4086</v>
      </c>
      <c r="M555" s="6" t="s">
        <v>4178</v>
      </c>
      <c r="N555" s="6" t="s">
        <v>4088</v>
      </c>
      <c r="O555" s="8" t="s">
        <v>4089</v>
      </c>
      <c r="P555" s="6" t="s">
        <v>4090</v>
      </c>
      <c r="Q555" s="6" t="s">
        <v>4091</v>
      </c>
      <c r="R555" s="6" t="s">
        <v>4092</v>
      </c>
      <c r="S555" s="8" t="s">
        <v>4093</v>
      </c>
      <c r="T555" s="6" t="s">
        <v>66</v>
      </c>
      <c r="U555" s="8" t="s">
        <v>31</v>
      </c>
      <c r="V555" s="6" t="s">
        <v>4179</v>
      </c>
      <c r="W555" s="6" t="s">
        <v>4084</v>
      </c>
      <c r="X555" s="9" t="str">
        <f>HYPERLINK("https://my.pitchbook.com?p=277754-23P","View People Online")</f>
        <v>View People Online</v>
      </c>
    </row>
    <row r="556">
      <c r="A556" s="10" t="s">
        <v>4180</v>
      </c>
      <c r="B556" s="10" t="s">
        <v>4181</v>
      </c>
      <c r="C556" s="10" t="s">
        <v>1929</v>
      </c>
      <c r="D556" s="10" t="s">
        <v>4182</v>
      </c>
      <c r="E556" s="10" t="s">
        <v>4084</v>
      </c>
      <c r="F556" s="10" t="s">
        <v>57</v>
      </c>
      <c r="G556" s="10" t="s">
        <v>4183</v>
      </c>
      <c r="H556" s="11" t="s">
        <v>31</v>
      </c>
      <c r="I556" s="11">
        <v>107.0</v>
      </c>
      <c r="J556" s="11">
        <v>2.0</v>
      </c>
      <c r="K556" s="11">
        <v>73.0</v>
      </c>
      <c r="L556" s="12" t="s">
        <v>4184</v>
      </c>
      <c r="M556" s="10" t="s">
        <v>4185</v>
      </c>
      <c r="N556" s="10" t="s">
        <v>1181</v>
      </c>
      <c r="O556" s="12" t="s">
        <v>1182</v>
      </c>
      <c r="P556" s="10" t="s">
        <v>4186</v>
      </c>
      <c r="Q556" s="10" t="s">
        <v>1895</v>
      </c>
      <c r="R556" s="10" t="s">
        <v>1185</v>
      </c>
      <c r="S556" s="12" t="s">
        <v>1186</v>
      </c>
      <c r="T556" s="10" t="s">
        <v>66</v>
      </c>
      <c r="U556" s="12" t="s">
        <v>31</v>
      </c>
      <c r="V556" s="10" t="s">
        <v>4187</v>
      </c>
      <c r="W556" s="10" t="s">
        <v>4084</v>
      </c>
      <c r="X556" s="13" t="str">
        <f>HYPERLINK("https://my.pitchbook.com?p=192725-74P","View People Online")</f>
        <v>View People Online</v>
      </c>
    </row>
    <row r="557">
      <c r="A557" s="14" t="s">
        <v>4188</v>
      </c>
      <c r="B557" s="14" t="s">
        <v>4189</v>
      </c>
      <c r="C557" s="14" t="s">
        <v>4190</v>
      </c>
      <c r="D557" s="14" t="s">
        <v>4191</v>
      </c>
      <c r="E557" s="14" t="s">
        <v>4084</v>
      </c>
      <c r="F557" s="14" t="s">
        <v>4192</v>
      </c>
      <c r="G557" s="14" t="s">
        <v>4193</v>
      </c>
      <c r="H557" s="15" t="s">
        <v>31</v>
      </c>
      <c r="I557" s="15">
        <v>5.0</v>
      </c>
      <c r="J557" s="15">
        <v>1.0</v>
      </c>
      <c r="K557" s="15">
        <v>2.0</v>
      </c>
      <c r="L557" s="16" t="s">
        <v>4086</v>
      </c>
      <c r="M557" s="14" t="s">
        <v>4194</v>
      </c>
      <c r="N557" s="14" t="s">
        <v>4088</v>
      </c>
      <c r="O557" s="16" t="s">
        <v>4089</v>
      </c>
      <c r="P557" s="14" t="s">
        <v>4090</v>
      </c>
      <c r="Q557" s="14" t="s">
        <v>4091</v>
      </c>
      <c r="R557" s="14" t="s">
        <v>4092</v>
      </c>
      <c r="S557" s="16" t="s">
        <v>4093</v>
      </c>
      <c r="T557" s="14" t="s">
        <v>66</v>
      </c>
      <c r="U557" s="16" t="s">
        <v>31</v>
      </c>
      <c r="V557" s="14" t="s">
        <v>4195</v>
      </c>
      <c r="W557" s="14" t="s">
        <v>4084</v>
      </c>
      <c r="X557" s="17" t="str">
        <f>HYPERLINK("https://my.pitchbook.com?p=216729-64P","View People Online")</f>
        <v>View People Online</v>
      </c>
    </row>
    <row r="558">
      <c r="A558" s="2" t="s">
        <v>4196</v>
      </c>
      <c r="B558" s="2" t="s">
        <v>4197</v>
      </c>
      <c r="C558" s="2" t="s">
        <v>740</v>
      </c>
      <c r="D558" s="2" t="s">
        <v>3775</v>
      </c>
      <c r="E558" s="2" t="s">
        <v>4084</v>
      </c>
      <c r="F558" s="2" t="s">
        <v>201</v>
      </c>
      <c r="G558" s="2" t="s">
        <v>4198</v>
      </c>
      <c r="H558" s="3" t="s">
        <v>31</v>
      </c>
      <c r="I558" s="3">
        <v>1.0</v>
      </c>
      <c r="J558" s="3">
        <v>1.0</v>
      </c>
      <c r="K558" s="3" t="s">
        <v>31</v>
      </c>
      <c r="L558" s="4" t="s">
        <v>4086</v>
      </c>
      <c r="M558" s="2" t="s">
        <v>4199</v>
      </c>
      <c r="N558" s="2" t="s">
        <v>4088</v>
      </c>
      <c r="O558" s="4" t="s">
        <v>4089</v>
      </c>
      <c r="P558" s="2" t="s">
        <v>4090</v>
      </c>
      <c r="Q558" s="2" t="s">
        <v>4091</v>
      </c>
      <c r="R558" s="2" t="s">
        <v>4092</v>
      </c>
      <c r="S558" s="4" t="s">
        <v>4093</v>
      </c>
      <c r="T558" s="2" t="s">
        <v>66</v>
      </c>
      <c r="U558" s="4" t="s">
        <v>31</v>
      </c>
      <c r="V558" s="2" t="s">
        <v>4200</v>
      </c>
      <c r="W558" s="2" t="s">
        <v>4084</v>
      </c>
      <c r="X558" s="5" t="str">
        <f>HYPERLINK("https://my.pitchbook.com?p=430618-69P","View People Online")</f>
        <v>View People Online</v>
      </c>
    </row>
    <row r="559">
      <c r="A559" s="6" t="s">
        <v>4201</v>
      </c>
      <c r="B559" s="6" t="s">
        <v>4202</v>
      </c>
      <c r="C559" s="6" t="s">
        <v>4203</v>
      </c>
      <c r="D559" s="6" t="s">
        <v>4204</v>
      </c>
      <c r="E559" s="6" t="s">
        <v>4084</v>
      </c>
      <c r="F559" s="6" t="s">
        <v>221</v>
      </c>
      <c r="G559" s="6" t="s">
        <v>4205</v>
      </c>
      <c r="H559" s="7" t="s">
        <v>31</v>
      </c>
      <c r="I559" s="7">
        <v>1.0</v>
      </c>
      <c r="J559" s="7">
        <v>1.0</v>
      </c>
      <c r="K559" s="7" t="s">
        <v>31</v>
      </c>
      <c r="L559" s="8" t="s">
        <v>4086</v>
      </c>
      <c r="M559" s="6" t="s">
        <v>4206</v>
      </c>
      <c r="N559" s="6" t="s">
        <v>4088</v>
      </c>
      <c r="O559" s="8" t="s">
        <v>4089</v>
      </c>
      <c r="P559" s="6" t="s">
        <v>4090</v>
      </c>
      <c r="Q559" s="6" t="s">
        <v>4091</v>
      </c>
      <c r="R559" s="6" t="s">
        <v>4092</v>
      </c>
      <c r="S559" s="8" t="s">
        <v>4093</v>
      </c>
      <c r="T559" s="6" t="s">
        <v>66</v>
      </c>
      <c r="U559" s="8" t="s">
        <v>31</v>
      </c>
      <c r="V559" s="6" t="s">
        <v>4207</v>
      </c>
      <c r="W559" s="6" t="s">
        <v>4084</v>
      </c>
      <c r="X559" s="9" t="str">
        <f>HYPERLINK("https://my.pitchbook.com?p=417691-45P","View People Online")</f>
        <v>View People Online</v>
      </c>
    </row>
    <row r="560">
      <c r="A560" s="10" t="s">
        <v>4208</v>
      </c>
      <c r="B560" s="10" t="s">
        <v>4209</v>
      </c>
      <c r="C560" s="10" t="s">
        <v>4210</v>
      </c>
      <c r="D560" s="10" t="s">
        <v>2155</v>
      </c>
      <c r="E560" s="10" t="s">
        <v>4084</v>
      </c>
      <c r="F560" s="10" t="s">
        <v>29</v>
      </c>
      <c r="G560" s="10" t="s">
        <v>4211</v>
      </c>
      <c r="H560" s="11" t="s">
        <v>31</v>
      </c>
      <c r="I560" s="11">
        <v>1.0</v>
      </c>
      <c r="J560" s="11">
        <v>1.0</v>
      </c>
      <c r="K560" s="11" t="s">
        <v>31</v>
      </c>
      <c r="L560" s="12" t="s">
        <v>4086</v>
      </c>
      <c r="M560" s="10" t="s">
        <v>4212</v>
      </c>
      <c r="N560" s="10" t="s">
        <v>4088</v>
      </c>
      <c r="O560" s="12" t="s">
        <v>4089</v>
      </c>
      <c r="P560" s="10" t="s">
        <v>4090</v>
      </c>
      <c r="Q560" s="10" t="s">
        <v>4091</v>
      </c>
      <c r="R560" s="10" t="s">
        <v>4092</v>
      </c>
      <c r="S560" s="12" t="s">
        <v>4093</v>
      </c>
      <c r="T560" s="10" t="s">
        <v>66</v>
      </c>
      <c r="U560" s="12" t="s">
        <v>31</v>
      </c>
      <c r="V560" s="10" t="s">
        <v>4213</v>
      </c>
      <c r="W560" s="10" t="s">
        <v>4084</v>
      </c>
      <c r="X560" s="13" t="str">
        <f>HYPERLINK("https://my.pitchbook.com?p=139725-73P","View People Online")</f>
        <v>View People Online</v>
      </c>
    </row>
    <row r="561">
      <c r="A561" s="14" t="s">
        <v>4214</v>
      </c>
      <c r="B561" s="14" t="s">
        <v>4215</v>
      </c>
      <c r="C561" s="14" t="s">
        <v>1437</v>
      </c>
      <c r="D561" s="14" t="s">
        <v>4216</v>
      </c>
      <c r="E561" s="14" t="s">
        <v>4084</v>
      </c>
      <c r="F561" s="14" t="s">
        <v>548</v>
      </c>
      <c r="G561" s="14" t="s">
        <v>4217</v>
      </c>
      <c r="H561" s="15" t="s">
        <v>31</v>
      </c>
      <c r="I561" s="15">
        <v>11.0</v>
      </c>
      <c r="J561" s="15">
        <v>1.0</v>
      </c>
      <c r="K561" s="15">
        <v>5.0</v>
      </c>
      <c r="L561" s="16" t="s">
        <v>4086</v>
      </c>
      <c r="M561" s="14" t="s">
        <v>4218</v>
      </c>
      <c r="N561" s="14" t="s">
        <v>4088</v>
      </c>
      <c r="O561" s="16" t="s">
        <v>4089</v>
      </c>
      <c r="P561" s="14" t="s">
        <v>4090</v>
      </c>
      <c r="Q561" s="14" t="s">
        <v>4091</v>
      </c>
      <c r="R561" s="14" t="s">
        <v>4092</v>
      </c>
      <c r="S561" s="16" t="s">
        <v>4093</v>
      </c>
      <c r="T561" s="14" t="s">
        <v>66</v>
      </c>
      <c r="U561" s="16" t="s">
        <v>31</v>
      </c>
      <c r="V561" s="14" t="s">
        <v>760</v>
      </c>
      <c r="W561" s="14" t="s">
        <v>4084</v>
      </c>
      <c r="X561" s="17" t="str">
        <f>HYPERLINK("https://my.pitchbook.com?p=190270-99P","View People Online")</f>
        <v>View People Online</v>
      </c>
    </row>
    <row r="562">
      <c r="A562" s="2" t="s">
        <v>4219</v>
      </c>
      <c r="B562" s="2" t="s">
        <v>4220</v>
      </c>
      <c r="C562" s="2" t="s">
        <v>1437</v>
      </c>
      <c r="D562" s="2" t="s">
        <v>4221</v>
      </c>
      <c r="E562" s="2" t="s">
        <v>4084</v>
      </c>
      <c r="F562" s="2" t="s">
        <v>57</v>
      </c>
      <c r="G562" s="2" t="s">
        <v>4222</v>
      </c>
      <c r="H562" s="3" t="s">
        <v>31</v>
      </c>
      <c r="I562" s="3">
        <v>125.0</v>
      </c>
      <c r="J562" s="3">
        <v>1.0</v>
      </c>
      <c r="K562" s="3">
        <v>95.0</v>
      </c>
      <c r="L562" s="4" t="s">
        <v>4223</v>
      </c>
      <c r="M562" s="2" t="s">
        <v>4224</v>
      </c>
      <c r="N562" s="2" t="s">
        <v>4088</v>
      </c>
      <c r="O562" s="4" t="s">
        <v>4089</v>
      </c>
      <c r="P562" s="2" t="s">
        <v>4090</v>
      </c>
      <c r="Q562" s="2" t="s">
        <v>4091</v>
      </c>
      <c r="R562" s="2" t="s">
        <v>4092</v>
      </c>
      <c r="S562" s="4" t="s">
        <v>4093</v>
      </c>
      <c r="T562" s="2" t="s">
        <v>66</v>
      </c>
      <c r="U562" s="4" t="s">
        <v>31</v>
      </c>
      <c r="V562" s="2" t="s">
        <v>4225</v>
      </c>
      <c r="W562" s="2" t="s">
        <v>4084</v>
      </c>
      <c r="X562" s="5" t="str">
        <f>HYPERLINK("https://my.pitchbook.com?p=15395-68P","View People Online")</f>
        <v>View People Online</v>
      </c>
    </row>
    <row r="563">
      <c r="A563" s="14" t="s">
        <v>4226</v>
      </c>
      <c r="B563" s="14" t="s">
        <v>4227</v>
      </c>
      <c r="C563" s="14" t="s">
        <v>4228</v>
      </c>
      <c r="D563" s="14" t="s">
        <v>4229</v>
      </c>
      <c r="E563" s="14" t="s">
        <v>4084</v>
      </c>
      <c r="F563" s="14" t="s">
        <v>201</v>
      </c>
      <c r="G563" s="14" t="s">
        <v>4230</v>
      </c>
      <c r="H563" s="15" t="s">
        <v>31</v>
      </c>
      <c r="I563" s="15">
        <v>1.0</v>
      </c>
      <c r="J563" s="15">
        <v>1.0</v>
      </c>
      <c r="K563" s="15" t="s">
        <v>31</v>
      </c>
      <c r="L563" s="16" t="s">
        <v>4086</v>
      </c>
      <c r="M563" s="14" t="s">
        <v>4231</v>
      </c>
      <c r="N563" s="14" t="s">
        <v>4232</v>
      </c>
      <c r="O563" s="16" t="s">
        <v>4233</v>
      </c>
      <c r="P563" s="14" t="s">
        <v>4234</v>
      </c>
      <c r="Q563" s="14" t="s">
        <v>4235</v>
      </c>
      <c r="R563" s="14" t="s">
        <v>4236</v>
      </c>
      <c r="S563" s="16" t="s">
        <v>4237</v>
      </c>
      <c r="T563" s="14" t="s">
        <v>66</v>
      </c>
      <c r="U563" s="16" t="s">
        <v>31</v>
      </c>
      <c r="V563" s="14" t="s">
        <v>4238</v>
      </c>
      <c r="W563" s="14" t="s">
        <v>4084</v>
      </c>
      <c r="X563" s="17" t="str">
        <f>HYPERLINK("https://my.pitchbook.com?p=452442-97P","View People Online")</f>
        <v>View People Online</v>
      </c>
    </row>
    <row r="564">
      <c r="A564" s="10" t="s">
        <v>4239</v>
      </c>
      <c r="B564" s="10" t="s">
        <v>4240</v>
      </c>
      <c r="C564" s="10" t="s">
        <v>4241</v>
      </c>
      <c r="D564" s="10" t="s">
        <v>4242</v>
      </c>
      <c r="E564" s="10" t="s">
        <v>4084</v>
      </c>
      <c r="F564" s="10" t="s">
        <v>1801</v>
      </c>
      <c r="G564" s="10" t="s">
        <v>4243</v>
      </c>
      <c r="H564" s="11" t="s">
        <v>31</v>
      </c>
      <c r="I564" s="11">
        <v>1.0</v>
      </c>
      <c r="J564" s="11">
        <v>1.0</v>
      </c>
      <c r="K564" s="11" t="s">
        <v>31</v>
      </c>
      <c r="L564" s="12" t="s">
        <v>4086</v>
      </c>
      <c r="M564" s="10" t="s">
        <v>4244</v>
      </c>
      <c r="N564" s="10" t="s">
        <v>4088</v>
      </c>
      <c r="O564" s="12" t="s">
        <v>4089</v>
      </c>
      <c r="P564" s="10" t="s">
        <v>4090</v>
      </c>
      <c r="Q564" s="10" t="s">
        <v>4091</v>
      </c>
      <c r="R564" s="10" t="s">
        <v>4092</v>
      </c>
      <c r="S564" s="12" t="s">
        <v>4093</v>
      </c>
      <c r="T564" s="10" t="s">
        <v>66</v>
      </c>
      <c r="U564" s="12" t="s">
        <v>31</v>
      </c>
      <c r="V564" s="10" t="s">
        <v>4245</v>
      </c>
      <c r="W564" s="10" t="s">
        <v>4084</v>
      </c>
      <c r="X564" s="13" t="str">
        <f>HYPERLINK("https://my.pitchbook.com?p=241737-58P","View People Online")</f>
        <v>View People Online</v>
      </c>
    </row>
    <row r="565">
      <c r="A565" s="14" t="s">
        <v>4246</v>
      </c>
      <c r="B565" s="14" t="s">
        <v>4247</v>
      </c>
      <c r="C565" s="14" t="s">
        <v>4248</v>
      </c>
      <c r="D565" s="14" t="s">
        <v>4249</v>
      </c>
      <c r="E565" s="14" t="s">
        <v>4084</v>
      </c>
      <c r="F565" s="14" t="s">
        <v>270</v>
      </c>
      <c r="G565" s="14" t="s">
        <v>4250</v>
      </c>
      <c r="H565" s="15" t="s">
        <v>31</v>
      </c>
      <c r="I565" s="15">
        <v>1.0</v>
      </c>
      <c r="J565" s="15">
        <v>1.0</v>
      </c>
      <c r="K565" s="15" t="s">
        <v>31</v>
      </c>
      <c r="L565" s="16" t="s">
        <v>4086</v>
      </c>
      <c r="M565" s="14" t="s">
        <v>4251</v>
      </c>
      <c r="N565" s="14" t="s">
        <v>4088</v>
      </c>
      <c r="O565" s="16" t="s">
        <v>4089</v>
      </c>
      <c r="P565" s="14" t="s">
        <v>4090</v>
      </c>
      <c r="Q565" s="14" t="s">
        <v>4091</v>
      </c>
      <c r="R565" s="14" t="s">
        <v>4092</v>
      </c>
      <c r="S565" s="16" t="s">
        <v>4093</v>
      </c>
      <c r="T565" s="14" t="s">
        <v>66</v>
      </c>
      <c r="U565" s="16" t="s">
        <v>31</v>
      </c>
      <c r="V565" s="14" t="s">
        <v>4252</v>
      </c>
      <c r="W565" s="14" t="s">
        <v>4084</v>
      </c>
      <c r="X565" s="17" t="str">
        <f>HYPERLINK("https://my.pitchbook.com?p=227242-36P","View People Online")</f>
        <v>View People Online</v>
      </c>
    </row>
    <row r="566">
      <c r="A566" s="2" t="s">
        <v>4253</v>
      </c>
      <c r="B566" s="2" t="s">
        <v>4254</v>
      </c>
      <c r="C566" s="2" t="s">
        <v>69</v>
      </c>
      <c r="D566" s="2" t="s">
        <v>4255</v>
      </c>
      <c r="E566" s="2" t="s">
        <v>4084</v>
      </c>
      <c r="F566" s="2" t="s">
        <v>4256</v>
      </c>
      <c r="G566" s="2" t="s">
        <v>4257</v>
      </c>
      <c r="H566" s="3" t="s">
        <v>31</v>
      </c>
      <c r="I566" s="3">
        <v>1.0</v>
      </c>
      <c r="J566" s="3">
        <v>1.0</v>
      </c>
      <c r="K566" s="3" t="s">
        <v>31</v>
      </c>
      <c r="L566" s="4" t="s">
        <v>4086</v>
      </c>
      <c r="M566" s="2" t="s">
        <v>4258</v>
      </c>
      <c r="N566" s="2" t="s">
        <v>1181</v>
      </c>
      <c r="O566" s="4" t="s">
        <v>1182</v>
      </c>
      <c r="P566" s="2" t="s">
        <v>4186</v>
      </c>
      <c r="Q566" s="2" t="s">
        <v>1895</v>
      </c>
      <c r="R566" s="2" t="s">
        <v>1185</v>
      </c>
      <c r="S566" s="4" t="s">
        <v>1186</v>
      </c>
      <c r="T566" s="2" t="s">
        <v>66</v>
      </c>
      <c r="U566" s="4" t="s">
        <v>31</v>
      </c>
      <c r="V566" s="2" t="s">
        <v>4256</v>
      </c>
      <c r="W566" s="2" t="s">
        <v>4084</v>
      </c>
      <c r="X566" s="5" t="str">
        <f>HYPERLINK("https://my.pitchbook.com?p=233197-84P","View People Online")</f>
        <v>View People Online</v>
      </c>
    </row>
    <row r="567">
      <c r="A567" s="6" t="s">
        <v>4259</v>
      </c>
      <c r="B567" s="6" t="s">
        <v>4260</v>
      </c>
      <c r="C567" s="6" t="s">
        <v>4261</v>
      </c>
      <c r="D567" s="6" t="s">
        <v>4262</v>
      </c>
      <c r="E567" s="6" t="s">
        <v>4084</v>
      </c>
      <c r="F567" s="6" t="s">
        <v>4256</v>
      </c>
      <c r="G567" s="6" t="s">
        <v>4263</v>
      </c>
      <c r="H567" s="7" t="s">
        <v>31</v>
      </c>
      <c r="I567" s="7">
        <v>2.0</v>
      </c>
      <c r="J567" s="7">
        <v>2.0</v>
      </c>
      <c r="K567" s="7" t="s">
        <v>31</v>
      </c>
      <c r="L567" s="8" t="s">
        <v>4086</v>
      </c>
      <c r="M567" s="6" t="s">
        <v>4264</v>
      </c>
      <c r="N567" s="6" t="s">
        <v>1181</v>
      </c>
      <c r="O567" s="8" t="s">
        <v>1182</v>
      </c>
      <c r="P567" s="6" t="s">
        <v>4186</v>
      </c>
      <c r="Q567" s="6" t="s">
        <v>1895</v>
      </c>
      <c r="R567" s="6" t="s">
        <v>1185</v>
      </c>
      <c r="S567" s="8" t="s">
        <v>1186</v>
      </c>
      <c r="T567" s="6" t="s">
        <v>66</v>
      </c>
      <c r="U567" s="8" t="s">
        <v>31</v>
      </c>
      <c r="V567" s="6" t="s">
        <v>4256</v>
      </c>
      <c r="W567" s="6" t="s">
        <v>4084</v>
      </c>
      <c r="X567" s="9" t="str">
        <f>HYPERLINK("https://my.pitchbook.com?p=235200-16P","View People Online")</f>
        <v>View People Online</v>
      </c>
    </row>
    <row r="568">
      <c r="A568" s="10" t="s">
        <v>4265</v>
      </c>
      <c r="B568" s="10" t="s">
        <v>4266</v>
      </c>
      <c r="C568" s="10" t="s">
        <v>1449</v>
      </c>
      <c r="D568" s="10" t="s">
        <v>4267</v>
      </c>
      <c r="E568" s="10" t="s">
        <v>4084</v>
      </c>
      <c r="F568" s="10" t="s">
        <v>57</v>
      </c>
      <c r="G568" s="10" t="s">
        <v>4268</v>
      </c>
      <c r="H568" s="11" t="s">
        <v>31</v>
      </c>
      <c r="I568" s="11">
        <v>148.0</v>
      </c>
      <c r="J568" s="11">
        <v>1.0</v>
      </c>
      <c r="K568" s="11">
        <v>117.0</v>
      </c>
      <c r="L568" s="12" t="s">
        <v>4269</v>
      </c>
      <c r="M568" s="10" t="s">
        <v>4270</v>
      </c>
      <c r="N568" s="10" t="s">
        <v>4232</v>
      </c>
      <c r="O568" s="12" t="s">
        <v>4233</v>
      </c>
      <c r="P568" s="10" t="s">
        <v>4234</v>
      </c>
      <c r="Q568" s="10" t="s">
        <v>4235</v>
      </c>
      <c r="R568" s="10" t="s">
        <v>4236</v>
      </c>
      <c r="S568" s="12" t="s">
        <v>4237</v>
      </c>
      <c r="T568" s="10" t="s">
        <v>66</v>
      </c>
      <c r="U568" s="12" t="s">
        <v>31</v>
      </c>
      <c r="V568" s="10" t="s">
        <v>4271</v>
      </c>
      <c r="W568" s="10" t="s">
        <v>4084</v>
      </c>
      <c r="X568" s="13" t="str">
        <f>HYPERLINK("https://my.pitchbook.com?p=159458-59P","View People Online")</f>
        <v>View People Online</v>
      </c>
    </row>
    <row r="569">
      <c r="A569" s="14" t="s">
        <v>4272</v>
      </c>
      <c r="B569" s="14" t="s">
        <v>4273</v>
      </c>
      <c r="C569" s="14" t="s">
        <v>1449</v>
      </c>
      <c r="D569" s="14" t="s">
        <v>4274</v>
      </c>
      <c r="E569" s="14" t="s">
        <v>4084</v>
      </c>
      <c r="F569" s="14" t="s">
        <v>1801</v>
      </c>
      <c r="G569" s="14" t="s">
        <v>4275</v>
      </c>
      <c r="H569" s="15" t="s">
        <v>31</v>
      </c>
      <c r="I569" s="15">
        <v>1.0</v>
      </c>
      <c r="J569" s="15">
        <v>1.0</v>
      </c>
      <c r="K569" s="15" t="s">
        <v>31</v>
      </c>
      <c r="L569" s="16" t="s">
        <v>4086</v>
      </c>
      <c r="M569" s="14" t="s">
        <v>4276</v>
      </c>
      <c r="N569" s="14" t="s">
        <v>4088</v>
      </c>
      <c r="O569" s="16" t="s">
        <v>4089</v>
      </c>
      <c r="P569" s="14" t="s">
        <v>4090</v>
      </c>
      <c r="Q569" s="14" t="s">
        <v>4091</v>
      </c>
      <c r="R569" s="14" t="s">
        <v>4092</v>
      </c>
      <c r="S569" s="16" t="s">
        <v>4093</v>
      </c>
      <c r="T569" s="14" t="s">
        <v>66</v>
      </c>
      <c r="U569" s="16" t="s">
        <v>31</v>
      </c>
      <c r="V569" s="14" t="s">
        <v>4277</v>
      </c>
      <c r="W569" s="14" t="s">
        <v>4084</v>
      </c>
      <c r="X569" s="17" t="str">
        <f>HYPERLINK("https://my.pitchbook.com?p=241770-34P","View People Online")</f>
        <v>View People Online</v>
      </c>
    </row>
    <row r="570">
      <c r="A570" s="10" t="s">
        <v>4278</v>
      </c>
      <c r="B570" s="10" t="s">
        <v>4279</v>
      </c>
      <c r="C570" s="10" t="s">
        <v>1449</v>
      </c>
      <c r="D570" s="10" t="s">
        <v>4280</v>
      </c>
      <c r="E570" s="10" t="s">
        <v>4084</v>
      </c>
      <c r="F570" s="10" t="s">
        <v>502</v>
      </c>
      <c r="G570" s="10" t="s">
        <v>4281</v>
      </c>
      <c r="H570" s="11" t="s">
        <v>31</v>
      </c>
      <c r="I570" s="11">
        <v>1.0</v>
      </c>
      <c r="J570" s="11">
        <v>1.0</v>
      </c>
      <c r="K570" s="11" t="s">
        <v>31</v>
      </c>
      <c r="L570" s="12" t="s">
        <v>4086</v>
      </c>
      <c r="M570" s="10" t="s">
        <v>4282</v>
      </c>
      <c r="N570" s="10" t="s">
        <v>4088</v>
      </c>
      <c r="O570" s="12" t="s">
        <v>4089</v>
      </c>
      <c r="P570" s="10" t="s">
        <v>4090</v>
      </c>
      <c r="Q570" s="10" t="s">
        <v>4091</v>
      </c>
      <c r="R570" s="10" t="s">
        <v>4092</v>
      </c>
      <c r="S570" s="12" t="s">
        <v>4093</v>
      </c>
      <c r="T570" s="10" t="s">
        <v>66</v>
      </c>
      <c r="U570" s="12" t="s">
        <v>31</v>
      </c>
      <c r="V570" s="10" t="s">
        <v>502</v>
      </c>
      <c r="W570" s="10" t="s">
        <v>4084</v>
      </c>
      <c r="X570" s="13" t="str">
        <f>HYPERLINK("https://my.pitchbook.com?p=252947-89P","View People Online")</f>
        <v>View People Online</v>
      </c>
    </row>
    <row r="571">
      <c r="A571" s="6" t="s">
        <v>4283</v>
      </c>
      <c r="B571" s="6" t="s">
        <v>4284</v>
      </c>
      <c r="C571" s="6" t="s">
        <v>1449</v>
      </c>
      <c r="D571" s="6" t="s">
        <v>4285</v>
      </c>
      <c r="E571" s="6" t="s">
        <v>4084</v>
      </c>
      <c r="F571" s="6" t="s">
        <v>4286</v>
      </c>
      <c r="G571" s="6" t="s">
        <v>4287</v>
      </c>
      <c r="H571" s="7">
        <v>1.0</v>
      </c>
      <c r="I571" s="7">
        <v>185.0</v>
      </c>
      <c r="J571" s="7">
        <v>1.0</v>
      </c>
      <c r="K571" s="7">
        <v>146.0</v>
      </c>
      <c r="L571" s="8" t="s">
        <v>4086</v>
      </c>
      <c r="M571" s="6" t="s">
        <v>4288</v>
      </c>
      <c r="N571" s="6" t="s">
        <v>4088</v>
      </c>
      <c r="O571" s="8" t="s">
        <v>4089</v>
      </c>
      <c r="P571" s="6" t="s">
        <v>4090</v>
      </c>
      <c r="Q571" s="6" t="s">
        <v>4091</v>
      </c>
      <c r="R571" s="6" t="s">
        <v>4092</v>
      </c>
      <c r="S571" s="8" t="s">
        <v>4093</v>
      </c>
      <c r="T571" s="6" t="s">
        <v>66</v>
      </c>
      <c r="U571" s="8" t="s">
        <v>31</v>
      </c>
      <c r="V571" s="6" t="s">
        <v>4289</v>
      </c>
      <c r="W571" s="6" t="s">
        <v>4084</v>
      </c>
      <c r="X571" s="9" t="str">
        <f>HYPERLINK("https://my.pitchbook.com?p=126173-08P","View People Online")</f>
        <v>View People Online</v>
      </c>
    </row>
    <row r="572">
      <c r="A572" s="10" t="s">
        <v>4290</v>
      </c>
      <c r="B572" s="10" t="s">
        <v>4291</v>
      </c>
      <c r="C572" s="10" t="s">
        <v>4292</v>
      </c>
      <c r="D572" s="10" t="s">
        <v>4293</v>
      </c>
      <c r="E572" s="10" t="s">
        <v>4084</v>
      </c>
      <c r="F572" s="10" t="s">
        <v>548</v>
      </c>
      <c r="G572" s="10" t="s">
        <v>4294</v>
      </c>
      <c r="H572" s="11" t="s">
        <v>31</v>
      </c>
      <c r="I572" s="11">
        <v>1.0</v>
      </c>
      <c r="J572" s="11">
        <v>1.0</v>
      </c>
      <c r="K572" s="11" t="s">
        <v>31</v>
      </c>
      <c r="L572" s="12" t="s">
        <v>4086</v>
      </c>
      <c r="M572" s="10" t="s">
        <v>4295</v>
      </c>
      <c r="N572" s="10" t="s">
        <v>1181</v>
      </c>
      <c r="O572" s="12" t="s">
        <v>1182</v>
      </c>
      <c r="P572" s="10" t="s">
        <v>4186</v>
      </c>
      <c r="Q572" s="10" t="s">
        <v>1895</v>
      </c>
      <c r="R572" s="10" t="s">
        <v>1185</v>
      </c>
      <c r="S572" s="12" t="s">
        <v>1186</v>
      </c>
      <c r="T572" s="10" t="s">
        <v>66</v>
      </c>
      <c r="U572" s="12" t="s">
        <v>31</v>
      </c>
      <c r="V572" s="10" t="s">
        <v>4296</v>
      </c>
      <c r="W572" s="10" t="s">
        <v>4084</v>
      </c>
      <c r="X572" s="13" t="str">
        <f>HYPERLINK("https://my.pitchbook.com?p=297004-51P","View People Online")</f>
        <v>View People Online</v>
      </c>
    </row>
    <row r="573">
      <c r="A573" s="6" t="s">
        <v>4297</v>
      </c>
      <c r="B573" s="6" t="s">
        <v>4298</v>
      </c>
      <c r="C573" s="6" t="s">
        <v>4299</v>
      </c>
      <c r="D573" s="6" t="s">
        <v>4300</v>
      </c>
      <c r="E573" s="6" t="s">
        <v>4084</v>
      </c>
      <c r="F573" s="6" t="s">
        <v>201</v>
      </c>
      <c r="G573" s="6" t="s">
        <v>4301</v>
      </c>
      <c r="H573" s="7" t="s">
        <v>31</v>
      </c>
      <c r="I573" s="7">
        <v>1.0</v>
      </c>
      <c r="J573" s="7">
        <v>1.0</v>
      </c>
      <c r="K573" s="7" t="s">
        <v>31</v>
      </c>
      <c r="L573" s="8" t="s">
        <v>4086</v>
      </c>
      <c r="M573" s="6" t="s">
        <v>4302</v>
      </c>
      <c r="N573" s="6" t="s">
        <v>4232</v>
      </c>
      <c r="O573" s="8" t="s">
        <v>4233</v>
      </c>
      <c r="P573" s="6" t="s">
        <v>4234</v>
      </c>
      <c r="Q573" s="6" t="s">
        <v>4235</v>
      </c>
      <c r="R573" s="6" t="s">
        <v>4236</v>
      </c>
      <c r="S573" s="8" t="s">
        <v>4237</v>
      </c>
      <c r="T573" s="6" t="s">
        <v>66</v>
      </c>
      <c r="U573" s="8" t="s">
        <v>31</v>
      </c>
      <c r="V573" s="6" t="s">
        <v>4303</v>
      </c>
      <c r="W573" s="6" t="s">
        <v>4084</v>
      </c>
      <c r="X573" s="9" t="str">
        <f>HYPERLINK("https://my.pitchbook.com?p=212356-27P","View People Online")</f>
        <v>View People Online</v>
      </c>
    </row>
    <row r="574">
      <c r="A574" s="10" t="s">
        <v>4304</v>
      </c>
      <c r="B574" s="10" t="s">
        <v>4305</v>
      </c>
      <c r="C574" s="10" t="s">
        <v>4306</v>
      </c>
      <c r="D574" s="10" t="s">
        <v>4307</v>
      </c>
      <c r="E574" s="10" t="s">
        <v>4084</v>
      </c>
      <c r="F574" s="10" t="s">
        <v>548</v>
      </c>
      <c r="G574" s="10" t="s">
        <v>4308</v>
      </c>
      <c r="H574" s="11" t="s">
        <v>31</v>
      </c>
      <c r="I574" s="11">
        <v>1.0</v>
      </c>
      <c r="J574" s="11">
        <v>1.0</v>
      </c>
      <c r="K574" s="11" t="s">
        <v>31</v>
      </c>
      <c r="L574" s="12" t="s">
        <v>4086</v>
      </c>
      <c r="M574" s="10" t="s">
        <v>4309</v>
      </c>
      <c r="N574" s="10" t="s">
        <v>4088</v>
      </c>
      <c r="O574" s="12" t="s">
        <v>4089</v>
      </c>
      <c r="P574" s="10" t="s">
        <v>4090</v>
      </c>
      <c r="Q574" s="10" t="s">
        <v>4091</v>
      </c>
      <c r="R574" s="10" t="s">
        <v>4092</v>
      </c>
      <c r="S574" s="12" t="s">
        <v>4093</v>
      </c>
      <c r="T574" s="10" t="s">
        <v>66</v>
      </c>
      <c r="U574" s="12" t="s">
        <v>31</v>
      </c>
      <c r="V574" s="10" t="s">
        <v>4310</v>
      </c>
      <c r="W574" s="10" t="s">
        <v>4084</v>
      </c>
      <c r="X574" s="13" t="str">
        <f>HYPERLINK("https://my.pitchbook.com?p=225624-79P","View People Online")</f>
        <v>View People Online</v>
      </c>
    </row>
    <row r="575">
      <c r="A575" s="14" t="s">
        <v>4311</v>
      </c>
      <c r="B575" s="14" t="s">
        <v>4312</v>
      </c>
      <c r="C575" s="14" t="s">
        <v>4313</v>
      </c>
      <c r="D575" s="14" t="s">
        <v>4314</v>
      </c>
      <c r="E575" s="14" t="s">
        <v>4084</v>
      </c>
      <c r="F575" s="14" t="s">
        <v>318</v>
      </c>
      <c r="G575" s="14" t="s">
        <v>4315</v>
      </c>
      <c r="H575" s="15" t="s">
        <v>31</v>
      </c>
      <c r="I575" s="15">
        <v>1.0</v>
      </c>
      <c r="J575" s="15">
        <v>1.0</v>
      </c>
      <c r="K575" s="15" t="s">
        <v>31</v>
      </c>
      <c r="L575" s="16" t="s">
        <v>4086</v>
      </c>
      <c r="M575" s="14" t="s">
        <v>4316</v>
      </c>
      <c r="N575" s="14" t="s">
        <v>4088</v>
      </c>
      <c r="O575" s="16" t="s">
        <v>4089</v>
      </c>
      <c r="P575" s="14" t="s">
        <v>4090</v>
      </c>
      <c r="Q575" s="14" t="s">
        <v>4091</v>
      </c>
      <c r="R575" s="14" t="s">
        <v>4092</v>
      </c>
      <c r="S575" s="16" t="s">
        <v>4093</v>
      </c>
      <c r="T575" s="14" t="s">
        <v>66</v>
      </c>
      <c r="U575" s="16" t="s">
        <v>31</v>
      </c>
      <c r="V575" s="14" t="s">
        <v>4317</v>
      </c>
      <c r="W575" s="14" t="s">
        <v>4084</v>
      </c>
      <c r="X575" s="17" t="str">
        <f>HYPERLINK("https://my.pitchbook.com?p=152749-99P","View People Online")</f>
        <v>View People Online</v>
      </c>
    </row>
    <row r="576">
      <c r="A576" s="10" t="s">
        <v>4318</v>
      </c>
      <c r="B576" s="10" t="s">
        <v>4319</v>
      </c>
      <c r="C576" s="10" t="s">
        <v>4320</v>
      </c>
      <c r="D576" s="10" t="s">
        <v>4321</v>
      </c>
      <c r="E576" s="10" t="s">
        <v>4084</v>
      </c>
      <c r="F576" s="10" t="s">
        <v>270</v>
      </c>
      <c r="G576" s="10" t="s">
        <v>4322</v>
      </c>
      <c r="H576" s="11" t="s">
        <v>31</v>
      </c>
      <c r="I576" s="11">
        <v>1.0</v>
      </c>
      <c r="J576" s="11">
        <v>1.0</v>
      </c>
      <c r="K576" s="11" t="s">
        <v>31</v>
      </c>
      <c r="L576" s="12" t="s">
        <v>4086</v>
      </c>
      <c r="M576" s="10" t="s">
        <v>4323</v>
      </c>
      <c r="N576" s="10" t="s">
        <v>4088</v>
      </c>
      <c r="O576" s="12" t="s">
        <v>4089</v>
      </c>
      <c r="P576" s="10" t="s">
        <v>4090</v>
      </c>
      <c r="Q576" s="10" t="s">
        <v>4091</v>
      </c>
      <c r="R576" s="10" t="s">
        <v>4092</v>
      </c>
      <c r="S576" s="12" t="s">
        <v>4093</v>
      </c>
      <c r="T576" s="10" t="s">
        <v>66</v>
      </c>
      <c r="U576" s="12" t="s">
        <v>31</v>
      </c>
      <c r="V576" s="10" t="s">
        <v>4324</v>
      </c>
      <c r="W576" s="10" t="s">
        <v>4084</v>
      </c>
      <c r="X576" s="13" t="str">
        <f>HYPERLINK("https://my.pitchbook.com?p=319035-88P","View People Online")</f>
        <v>View People Online</v>
      </c>
    </row>
    <row r="577">
      <c r="A577" s="6" t="s">
        <v>4325</v>
      </c>
      <c r="B577" s="6" t="s">
        <v>4326</v>
      </c>
      <c r="C577" s="6" t="s">
        <v>1849</v>
      </c>
      <c r="D577" s="6" t="s">
        <v>4327</v>
      </c>
      <c r="E577" s="6" t="s">
        <v>4084</v>
      </c>
      <c r="F577" s="6" t="s">
        <v>1801</v>
      </c>
      <c r="G577" s="6" t="s">
        <v>4328</v>
      </c>
      <c r="H577" s="7" t="s">
        <v>31</v>
      </c>
      <c r="I577" s="7">
        <v>1.0</v>
      </c>
      <c r="J577" s="7">
        <v>1.0</v>
      </c>
      <c r="K577" s="7" t="s">
        <v>31</v>
      </c>
      <c r="L577" s="8" t="s">
        <v>4086</v>
      </c>
      <c r="M577" s="6" t="s">
        <v>4329</v>
      </c>
      <c r="N577" s="6" t="s">
        <v>4088</v>
      </c>
      <c r="O577" s="8" t="s">
        <v>4089</v>
      </c>
      <c r="P577" s="6" t="s">
        <v>4090</v>
      </c>
      <c r="Q577" s="6" t="s">
        <v>4091</v>
      </c>
      <c r="R577" s="6" t="s">
        <v>4092</v>
      </c>
      <c r="S577" s="8" t="s">
        <v>4093</v>
      </c>
      <c r="T577" s="6" t="s">
        <v>66</v>
      </c>
      <c r="U577" s="8" t="s">
        <v>31</v>
      </c>
      <c r="V577" s="6" t="s">
        <v>1801</v>
      </c>
      <c r="W577" s="6" t="s">
        <v>4084</v>
      </c>
      <c r="X577" s="9" t="str">
        <f>HYPERLINK("https://my.pitchbook.com?p=277758-01P","View People Online")</f>
        <v>View People Online</v>
      </c>
    </row>
    <row r="578">
      <c r="A578" s="2" t="s">
        <v>4330</v>
      </c>
      <c r="B578" s="2" t="s">
        <v>4331</v>
      </c>
      <c r="C578" s="2" t="s">
        <v>4332</v>
      </c>
      <c r="D578" s="2" t="s">
        <v>4333</v>
      </c>
      <c r="E578" s="2" t="s">
        <v>4084</v>
      </c>
      <c r="F578" s="2" t="s">
        <v>1801</v>
      </c>
      <c r="G578" s="2" t="s">
        <v>4334</v>
      </c>
      <c r="H578" s="3" t="s">
        <v>31</v>
      </c>
      <c r="I578" s="3">
        <v>1.0</v>
      </c>
      <c r="J578" s="3">
        <v>1.0</v>
      </c>
      <c r="K578" s="3" t="s">
        <v>31</v>
      </c>
      <c r="L578" s="4" t="s">
        <v>4086</v>
      </c>
      <c r="M578" s="2" t="s">
        <v>4335</v>
      </c>
      <c r="N578" s="2" t="s">
        <v>4088</v>
      </c>
      <c r="O578" s="4" t="s">
        <v>4089</v>
      </c>
      <c r="P578" s="2" t="s">
        <v>4090</v>
      </c>
      <c r="Q578" s="2" t="s">
        <v>4091</v>
      </c>
      <c r="R578" s="2" t="s">
        <v>4092</v>
      </c>
      <c r="S578" s="4" t="s">
        <v>4093</v>
      </c>
      <c r="T578" s="2" t="s">
        <v>66</v>
      </c>
      <c r="U578" s="4" t="s">
        <v>31</v>
      </c>
      <c r="V578" s="2" t="s">
        <v>4118</v>
      </c>
      <c r="W578" s="2" t="s">
        <v>4084</v>
      </c>
      <c r="X578" s="5" t="str">
        <f>HYPERLINK("https://my.pitchbook.com?p=332082-01P","View People Online")</f>
        <v>View People Online</v>
      </c>
    </row>
    <row r="579">
      <c r="A579" s="14" t="s">
        <v>4336</v>
      </c>
      <c r="B579" s="14" t="s">
        <v>4337</v>
      </c>
      <c r="C579" s="14" t="s">
        <v>1471</v>
      </c>
      <c r="D579" s="14" t="s">
        <v>4338</v>
      </c>
      <c r="E579" s="14" t="s">
        <v>4084</v>
      </c>
      <c r="F579" s="14" t="s">
        <v>57</v>
      </c>
      <c r="G579" s="14" t="s">
        <v>4339</v>
      </c>
      <c r="H579" s="15" t="s">
        <v>31</v>
      </c>
      <c r="I579" s="15">
        <v>122.0</v>
      </c>
      <c r="J579" s="15">
        <v>2.0</v>
      </c>
      <c r="K579" s="15">
        <v>94.0</v>
      </c>
      <c r="L579" s="16" t="s">
        <v>4340</v>
      </c>
      <c r="M579" s="14" t="s">
        <v>4341</v>
      </c>
      <c r="N579" s="14" t="s">
        <v>4232</v>
      </c>
      <c r="O579" s="16" t="s">
        <v>4233</v>
      </c>
      <c r="P579" s="14" t="s">
        <v>4234</v>
      </c>
      <c r="Q579" s="14" t="s">
        <v>4235</v>
      </c>
      <c r="R579" s="14" t="s">
        <v>4236</v>
      </c>
      <c r="S579" s="16" t="s">
        <v>4237</v>
      </c>
      <c r="T579" s="14" t="s">
        <v>66</v>
      </c>
      <c r="U579" s="16" t="s">
        <v>31</v>
      </c>
      <c r="V579" s="14" t="s">
        <v>4342</v>
      </c>
      <c r="W579" s="14" t="s">
        <v>4084</v>
      </c>
      <c r="X579" s="17" t="str">
        <f>HYPERLINK("https://my.pitchbook.com?p=115691-14P","View People Online")</f>
        <v>View People Online</v>
      </c>
    </row>
    <row r="580">
      <c r="A580" s="2" t="s">
        <v>4343</v>
      </c>
      <c r="B580" s="2" t="s">
        <v>4344</v>
      </c>
      <c r="C580" s="2" t="s">
        <v>4345</v>
      </c>
      <c r="D580" s="2" t="s">
        <v>4346</v>
      </c>
      <c r="E580" s="2" t="s">
        <v>4084</v>
      </c>
      <c r="F580" s="2" t="s">
        <v>1801</v>
      </c>
      <c r="G580" s="2" t="s">
        <v>4347</v>
      </c>
      <c r="H580" s="3" t="s">
        <v>31</v>
      </c>
      <c r="I580" s="3">
        <v>1.0</v>
      </c>
      <c r="J580" s="3">
        <v>1.0</v>
      </c>
      <c r="K580" s="3" t="s">
        <v>31</v>
      </c>
      <c r="L580" s="4" t="s">
        <v>4086</v>
      </c>
      <c r="M580" s="2" t="s">
        <v>4348</v>
      </c>
      <c r="N580" s="2" t="s">
        <v>4088</v>
      </c>
      <c r="O580" s="4" t="s">
        <v>4089</v>
      </c>
      <c r="P580" s="2" t="s">
        <v>4090</v>
      </c>
      <c r="Q580" s="2" t="s">
        <v>4091</v>
      </c>
      <c r="R580" s="2" t="s">
        <v>4092</v>
      </c>
      <c r="S580" s="4" t="s">
        <v>4093</v>
      </c>
      <c r="T580" s="2" t="s">
        <v>66</v>
      </c>
      <c r="U580" s="4" t="s">
        <v>31</v>
      </c>
      <c r="V580" s="2" t="s">
        <v>4132</v>
      </c>
      <c r="W580" s="2" t="s">
        <v>4084</v>
      </c>
      <c r="X580" s="5" t="str">
        <f>HYPERLINK("https://my.pitchbook.com?p=356349-16P","View People Online")</f>
        <v>View People Online</v>
      </c>
    </row>
    <row r="581">
      <c r="A581" s="14" t="s">
        <v>4349</v>
      </c>
      <c r="B581" s="14" t="s">
        <v>4350</v>
      </c>
      <c r="C581" s="14" t="s">
        <v>4351</v>
      </c>
      <c r="D581" s="14" t="s">
        <v>4352</v>
      </c>
      <c r="E581" s="14" t="s">
        <v>4084</v>
      </c>
      <c r="F581" s="14" t="s">
        <v>312</v>
      </c>
      <c r="G581" s="14" t="s">
        <v>4353</v>
      </c>
      <c r="H581" s="15" t="s">
        <v>31</v>
      </c>
      <c r="I581" s="15">
        <v>195.0</v>
      </c>
      <c r="J581" s="15">
        <v>1.0</v>
      </c>
      <c r="K581" s="15" t="s">
        <v>31</v>
      </c>
      <c r="L581" s="16" t="s">
        <v>4086</v>
      </c>
      <c r="M581" s="14" t="s">
        <v>4354</v>
      </c>
      <c r="N581" s="14" t="s">
        <v>1181</v>
      </c>
      <c r="O581" s="16" t="s">
        <v>1182</v>
      </c>
      <c r="P581" s="14" t="s">
        <v>4186</v>
      </c>
      <c r="Q581" s="14" t="s">
        <v>1895</v>
      </c>
      <c r="R581" s="14" t="s">
        <v>1185</v>
      </c>
      <c r="S581" s="16" t="s">
        <v>1186</v>
      </c>
      <c r="T581" s="14" t="s">
        <v>66</v>
      </c>
      <c r="U581" s="16" t="s">
        <v>31</v>
      </c>
      <c r="V581" s="14" t="s">
        <v>4355</v>
      </c>
      <c r="W581" s="14" t="s">
        <v>4084</v>
      </c>
      <c r="X581" s="17" t="str">
        <f>HYPERLINK("https://my.pitchbook.com?p=209407-33P","View People Online")</f>
        <v>View People Online</v>
      </c>
    </row>
    <row r="582">
      <c r="A582" s="10" t="s">
        <v>4356</v>
      </c>
      <c r="B582" s="10" t="s">
        <v>4357</v>
      </c>
      <c r="C582" s="10" t="s">
        <v>4358</v>
      </c>
      <c r="D582" s="10" t="s">
        <v>4359</v>
      </c>
      <c r="E582" s="10" t="s">
        <v>4084</v>
      </c>
      <c r="F582" s="10" t="s">
        <v>2540</v>
      </c>
      <c r="G582" s="10" t="s">
        <v>4360</v>
      </c>
      <c r="H582" s="11" t="s">
        <v>31</v>
      </c>
      <c r="I582" s="11">
        <v>1.0</v>
      </c>
      <c r="J582" s="11">
        <v>1.0</v>
      </c>
      <c r="K582" s="11" t="s">
        <v>31</v>
      </c>
      <c r="L582" s="12" t="s">
        <v>4086</v>
      </c>
      <c r="M582" s="10" t="s">
        <v>4361</v>
      </c>
      <c r="N582" s="10" t="s">
        <v>4088</v>
      </c>
      <c r="O582" s="12" t="s">
        <v>4089</v>
      </c>
      <c r="P582" s="10" t="s">
        <v>4090</v>
      </c>
      <c r="Q582" s="10" t="s">
        <v>4091</v>
      </c>
      <c r="R582" s="10" t="s">
        <v>4092</v>
      </c>
      <c r="S582" s="12" t="s">
        <v>4093</v>
      </c>
      <c r="T582" s="10" t="s">
        <v>66</v>
      </c>
      <c r="U582" s="12" t="s">
        <v>31</v>
      </c>
      <c r="V582" s="10" t="s">
        <v>4362</v>
      </c>
      <c r="W582" s="10" t="s">
        <v>4084</v>
      </c>
      <c r="X582" s="13" t="str">
        <f>HYPERLINK("https://my.pitchbook.com?p=381608-74P","View People Online")</f>
        <v>View People Online</v>
      </c>
    </row>
    <row r="583">
      <c r="A583" s="6" t="s">
        <v>4363</v>
      </c>
      <c r="B583" s="6" t="s">
        <v>4364</v>
      </c>
      <c r="C583" s="6" t="s">
        <v>4358</v>
      </c>
      <c r="D583" s="6" t="s">
        <v>4365</v>
      </c>
      <c r="E583" s="6" t="s">
        <v>4084</v>
      </c>
      <c r="F583" s="6" t="s">
        <v>29</v>
      </c>
      <c r="G583" s="6" t="s">
        <v>4366</v>
      </c>
      <c r="H583" s="7" t="s">
        <v>31</v>
      </c>
      <c r="I583" s="7">
        <v>4.0</v>
      </c>
      <c r="J583" s="7">
        <v>1.0</v>
      </c>
      <c r="K583" s="7">
        <v>2.0</v>
      </c>
      <c r="L583" s="8" t="s">
        <v>4367</v>
      </c>
      <c r="M583" s="6" t="s">
        <v>4368</v>
      </c>
      <c r="N583" s="6" t="s">
        <v>4232</v>
      </c>
      <c r="O583" s="8" t="s">
        <v>4233</v>
      </c>
      <c r="P583" s="6" t="s">
        <v>4234</v>
      </c>
      <c r="Q583" s="6" t="s">
        <v>4235</v>
      </c>
      <c r="R583" s="6" t="s">
        <v>4236</v>
      </c>
      <c r="S583" s="8" t="s">
        <v>4237</v>
      </c>
      <c r="T583" s="6" t="s">
        <v>66</v>
      </c>
      <c r="U583" s="8" t="s">
        <v>31</v>
      </c>
      <c r="V583" s="6" t="s">
        <v>4369</v>
      </c>
      <c r="W583" s="6" t="s">
        <v>4084</v>
      </c>
      <c r="X583" s="9" t="str">
        <f>HYPERLINK("https://my.pitchbook.com?p=118782-64P","View People Online")</f>
        <v>View People Online</v>
      </c>
    </row>
    <row r="584">
      <c r="A584" s="2" t="s">
        <v>4370</v>
      </c>
      <c r="B584" s="2" t="s">
        <v>4371</v>
      </c>
      <c r="C584" s="2" t="s">
        <v>4372</v>
      </c>
      <c r="D584" s="2" t="s">
        <v>4373</v>
      </c>
      <c r="E584" s="2" t="s">
        <v>4084</v>
      </c>
      <c r="F584" s="2" t="s">
        <v>270</v>
      </c>
      <c r="G584" s="2" t="s">
        <v>4374</v>
      </c>
      <c r="H584" s="3" t="s">
        <v>31</v>
      </c>
      <c r="I584" s="3">
        <v>1.0</v>
      </c>
      <c r="J584" s="3">
        <v>1.0</v>
      </c>
      <c r="K584" s="3" t="s">
        <v>31</v>
      </c>
      <c r="L584" s="4" t="s">
        <v>4086</v>
      </c>
      <c r="M584" s="2" t="s">
        <v>31</v>
      </c>
      <c r="N584" s="2" t="s">
        <v>4088</v>
      </c>
      <c r="O584" s="4" t="s">
        <v>4089</v>
      </c>
      <c r="P584" s="2" t="s">
        <v>4090</v>
      </c>
      <c r="Q584" s="2" t="s">
        <v>4091</v>
      </c>
      <c r="R584" s="2" t="s">
        <v>4092</v>
      </c>
      <c r="S584" s="4" t="s">
        <v>4093</v>
      </c>
      <c r="T584" s="2" t="s">
        <v>66</v>
      </c>
      <c r="U584" s="4" t="s">
        <v>31</v>
      </c>
      <c r="V584" s="2" t="s">
        <v>4113</v>
      </c>
      <c r="W584" s="2" t="s">
        <v>4084</v>
      </c>
      <c r="X584" s="5" t="str">
        <f>HYPERLINK("https://my.pitchbook.com?p=326637-28P","View People Online")</f>
        <v>View People Online</v>
      </c>
    </row>
    <row r="585">
      <c r="A585" s="14" t="s">
        <v>4375</v>
      </c>
      <c r="B585" s="14" t="s">
        <v>4376</v>
      </c>
      <c r="C585" s="14" t="s">
        <v>823</v>
      </c>
      <c r="D585" s="14" t="s">
        <v>4377</v>
      </c>
      <c r="E585" s="14" t="s">
        <v>4084</v>
      </c>
      <c r="F585" s="14" t="s">
        <v>4378</v>
      </c>
      <c r="G585" s="14" t="s">
        <v>4379</v>
      </c>
      <c r="H585" s="15" t="s">
        <v>31</v>
      </c>
      <c r="I585" s="15">
        <v>3.0</v>
      </c>
      <c r="J585" s="15">
        <v>2.0</v>
      </c>
      <c r="K585" s="15" t="s">
        <v>31</v>
      </c>
      <c r="L585" s="16" t="s">
        <v>4086</v>
      </c>
      <c r="M585" s="14" t="s">
        <v>4380</v>
      </c>
      <c r="N585" s="14" t="s">
        <v>4088</v>
      </c>
      <c r="O585" s="16" t="s">
        <v>4089</v>
      </c>
      <c r="P585" s="14" t="s">
        <v>4090</v>
      </c>
      <c r="Q585" s="14" t="s">
        <v>4091</v>
      </c>
      <c r="R585" s="14" t="s">
        <v>4092</v>
      </c>
      <c r="S585" s="16" t="s">
        <v>4093</v>
      </c>
      <c r="T585" s="14" t="s">
        <v>66</v>
      </c>
      <c r="U585" s="16" t="s">
        <v>31</v>
      </c>
      <c r="V585" s="14" t="s">
        <v>4381</v>
      </c>
      <c r="W585" s="14" t="s">
        <v>4084</v>
      </c>
      <c r="X585" s="17" t="str">
        <f>HYPERLINK("https://my.pitchbook.com?p=55473-76P","View People Online")</f>
        <v>View People Online</v>
      </c>
    </row>
    <row r="586">
      <c r="A586" s="2" t="s">
        <v>4382</v>
      </c>
      <c r="B586" s="2" t="s">
        <v>4383</v>
      </c>
      <c r="C586" s="2" t="s">
        <v>3529</v>
      </c>
      <c r="D586" s="2" t="s">
        <v>4384</v>
      </c>
      <c r="E586" s="2" t="s">
        <v>4084</v>
      </c>
      <c r="F586" s="2" t="s">
        <v>221</v>
      </c>
      <c r="G586" s="2" t="s">
        <v>4385</v>
      </c>
      <c r="H586" s="3" t="s">
        <v>31</v>
      </c>
      <c r="I586" s="3">
        <v>1.0</v>
      </c>
      <c r="J586" s="3">
        <v>1.0</v>
      </c>
      <c r="K586" s="3" t="s">
        <v>31</v>
      </c>
      <c r="L586" s="4" t="s">
        <v>4086</v>
      </c>
      <c r="M586" s="2" t="s">
        <v>4386</v>
      </c>
      <c r="N586" s="2" t="s">
        <v>1181</v>
      </c>
      <c r="O586" s="4" t="s">
        <v>1182</v>
      </c>
      <c r="P586" s="2" t="s">
        <v>4186</v>
      </c>
      <c r="Q586" s="2" t="s">
        <v>1895</v>
      </c>
      <c r="R586" s="2" t="s">
        <v>1185</v>
      </c>
      <c r="S586" s="4" t="s">
        <v>1186</v>
      </c>
      <c r="T586" s="2" t="s">
        <v>66</v>
      </c>
      <c r="U586" s="4" t="s">
        <v>31</v>
      </c>
      <c r="V586" s="2" t="s">
        <v>4387</v>
      </c>
      <c r="W586" s="2" t="s">
        <v>4084</v>
      </c>
      <c r="X586" s="5" t="str">
        <f>HYPERLINK("https://my.pitchbook.com?p=297016-66P","View People Online")</f>
        <v>View People Online</v>
      </c>
    </row>
    <row r="587">
      <c r="A587" s="6" t="s">
        <v>4388</v>
      </c>
      <c r="B587" s="6" t="s">
        <v>4389</v>
      </c>
      <c r="C587" s="6" t="s">
        <v>4390</v>
      </c>
      <c r="D587" s="6" t="s">
        <v>4391</v>
      </c>
      <c r="E587" s="6" t="s">
        <v>4084</v>
      </c>
      <c r="F587" s="6" t="s">
        <v>312</v>
      </c>
      <c r="G587" s="6" t="s">
        <v>4392</v>
      </c>
      <c r="H587" s="7" t="s">
        <v>31</v>
      </c>
      <c r="I587" s="7">
        <v>1.0</v>
      </c>
      <c r="J587" s="7">
        <v>1.0</v>
      </c>
      <c r="K587" s="7" t="s">
        <v>31</v>
      </c>
      <c r="L587" s="8" t="s">
        <v>4086</v>
      </c>
      <c r="M587" s="6" t="s">
        <v>4393</v>
      </c>
      <c r="N587" s="6" t="s">
        <v>1181</v>
      </c>
      <c r="O587" s="8" t="s">
        <v>1182</v>
      </c>
      <c r="P587" s="6" t="s">
        <v>4186</v>
      </c>
      <c r="Q587" s="6" t="s">
        <v>1895</v>
      </c>
      <c r="R587" s="6" t="s">
        <v>1185</v>
      </c>
      <c r="S587" s="8" t="s">
        <v>1186</v>
      </c>
      <c r="T587" s="6" t="s">
        <v>66</v>
      </c>
      <c r="U587" s="8" t="s">
        <v>31</v>
      </c>
      <c r="V587" s="6" t="s">
        <v>4394</v>
      </c>
      <c r="W587" s="6" t="s">
        <v>4084</v>
      </c>
      <c r="X587" s="9" t="str">
        <f>HYPERLINK("https://my.pitchbook.com?p=235179-28P","View People Online")</f>
        <v>View People Online</v>
      </c>
    </row>
    <row r="588">
      <c r="A588" s="10" t="s">
        <v>4395</v>
      </c>
      <c r="B588" s="10" t="s">
        <v>4396</v>
      </c>
      <c r="C588" s="10" t="s">
        <v>4397</v>
      </c>
      <c r="D588" s="10" t="s">
        <v>4398</v>
      </c>
      <c r="E588" s="10" t="s">
        <v>4084</v>
      </c>
      <c r="F588" s="10" t="s">
        <v>548</v>
      </c>
      <c r="G588" s="10" t="s">
        <v>4399</v>
      </c>
      <c r="H588" s="11" t="s">
        <v>31</v>
      </c>
      <c r="I588" s="11">
        <v>1.0</v>
      </c>
      <c r="J588" s="11">
        <v>1.0</v>
      </c>
      <c r="K588" s="11" t="s">
        <v>31</v>
      </c>
      <c r="L588" s="12" t="s">
        <v>4086</v>
      </c>
      <c r="M588" s="10" t="s">
        <v>4400</v>
      </c>
      <c r="N588" s="10" t="s">
        <v>4088</v>
      </c>
      <c r="O588" s="12" t="s">
        <v>4089</v>
      </c>
      <c r="P588" s="10" t="s">
        <v>4090</v>
      </c>
      <c r="Q588" s="10" t="s">
        <v>4091</v>
      </c>
      <c r="R588" s="10" t="s">
        <v>4092</v>
      </c>
      <c r="S588" s="12" t="s">
        <v>4093</v>
      </c>
      <c r="T588" s="10" t="s">
        <v>66</v>
      </c>
      <c r="U588" s="12" t="s">
        <v>31</v>
      </c>
      <c r="V588" s="10" t="s">
        <v>4401</v>
      </c>
      <c r="W588" s="10" t="s">
        <v>4084</v>
      </c>
      <c r="X588" s="13" t="str">
        <f>HYPERLINK("https://my.pitchbook.com?p=213370-84P","View People Online")</f>
        <v>View People Online</v>
      </c>
    </row>
    <row r="589">
      <c r="A589" s="6" t="s">
        <v>4402</v>
      </c>
      <c r="B589" s="6" t="s">
        <v>4403</v>
      </c>
      <c r="C589" s="6" t="s">
        <v>4404</v>
      </c>
      <c r="D589" s="6" t="s">
        <v>4405</v>
      </c>
      <c r="E589" s="6" t="s">
        <v>4084</v>
      </c>
      <c r="F589" s="6" t="s">
        <v>4406</v>
      </c>
      <c r="G589" s="6" t="s">
        <v>4407</v>
      </c>
      <c r="H589" s="7" t="s">
        <v>31</v>
      </c>
      <c r="I589" s="7">
        <v>1.0</v>
      </c>
      <c r="J589" s="7">
        <v>1.0</v>
      </c>
      <c r="K589" s="7" t="s">
        <v>31</v>
      </c>
      <c r="L589" s="8" t="s">
        <v>4086</v>
      </c>
      <c r="M589" s="6" t="s">
        <v>4408</v>
      </c>
      <c r="N589" s="6" t="s">
        <v>4088</v>
      </c>
      <c r="O589" s="8" t="s">
        <v>4089</v>
      </c>
      <c r="P589" s="6" t="s">
        <v>4090</v>
      </c>
      <c r="Q589" s="6" t="s">
        <v>4091</v>
      </c>
      <c r="R589" s="6" t="s">
        <v>4092</v>
      </c>
      <c r="S589" s="8" t="s">
        <v>4093</v>
      </c>
      <c r="T589" s="6" t="s">
        <v>66</v>
      </c>
      <c r="U589" s="8" t="s">
        <v>31</v>
      </c>
      <c r="V589" s="6" t="s">
        <v>4406</v>
      </c>
      <c r="W589" s="6" t="s">
        <v>4084</v>
      </c>
      <c r="X589" s="9" t="str">
        <f>HYPERLINK("https://my.pitchbook.com?p=443393-65P","View People Online")</f>
        <v>View People Online</v>
      </c>
    </row>
    <row r="590">
      <c r="A590" s="10" t="s">
        <v>4409</v>
      </c>
      <c r="B590" s="10" t="s">
        <v>4410</v>
      </c>
      <c r="C590" s="10" t="s">
        <v>837</v>
      </c>
      <c r="D590" s="10" t="s">
        <v>2469</v>
      </c>
      <c r="E590" s="10" t="s">
        <v>4084</v>
      </c>
      <c r="F590" s="10" t="s">
        <v>312</v>
      </c>
      <c r="G590" s="10" t="s">
        <v>4411</v>
      </c>
      <c r="H590" s="11" t="s">
        <v>31</v>
      </c>
      <c r="I590" s="11">
        <v>1.0</v>
      </c>
      <c r="J590" s="11">
        <v>1.0</v>
      </c>
      <c r="K590" s="11" t="s">
        <v>31</v>
      </c>
      <c r="L590" s="12" t="s">
        <v>4086</v>
      </c>
      <c r="M590" s="10" t="s">
        <v>4412</v>
      </c>
      <c r="N590" s="10" t="s">
        <v>4088</v>
      </c>
      <c r="O590" s="12" t="s">
        <v>4089</v>
      </c>
      <c r="P590" s="10" t="s">
        <v>4090</v>
      </c>
      <c r="Q590" s="10" t="s">
        <v>4091</v>
      </c>
      <c r="R590" s="10" t="s">
        <v>4092</v>
      </c>
      <c r="S590" s="12" t="s">
        <v>4093</v>
      </c>
      <c r="T590" s="10" t="s">
        <v>66</v>
      </c>
      <c r="U590" s="12" t="s">
        <v>31</v>
      </c>
      <c r="V590" s="10" t="s">
        <v>4413</v>
      </c>
      <c r="W590" s="10" t="s">
        <v>4084</v>
      </c>
      <c r="X590" s="13" t="str">
        <f>HYPERLINK("https://my.pitchbook.com?p=246008-98P","View People Online")</f>
        <v>View People Online</v>
      </c>
    </row>
    <row r="591">
      <c r="A591" s="6" t="s">
        <v>4414</v>
      </c>
      <c r="B591" s="6" t="s">
        <v>4415</v>
      </c>
      <c r="C591" s="6" t="s">
        <v>1343</v>
      </c>
      <c r="D591" s="6" t="s">
        <v>4416</v>
      </c>
      <c r="E591" s="6" t="s">
        <v>4084</v>
      </c>
      <c r="F591" s="6" t="s">
        <v>270</v>
      </c>
      <c r="G591" s="6" t="s">
        <v>4417</v>
      </c>
      <c r="H591" s="7" t="s">
        <v>31</v>
      </c>
      <c r="I591" s="7">
        <v>1.0</v>
      </c>
      <c r="J591" s="7">
        <v>1.0</v>
      </c>
      <c r="K591" s="7" t="s">
        <v>31</v>
      </c>
      <c r="L591" s="8" t="s">
        <v>4086</v>
      </c>
      <c r="M591" s="6" t="s">
        <v>31</v>
      </c>
      <c r="N591" s="6" t="s">
        <v>4088</v>
      </c>
      <c r="O591" s="8" t="s">
        <v>4089</v>
      </c>
      <c r="P591" s="6" t="s">
        <v>4090</v>
      </c>
      <c r="Q591" s="6" t="s">
        <v>4091</v>
      </c>
      <c r="R591" s="6" t="s">
        <v>4092</v>
      </c>
      <c r="S591" s="8" t="s">
        <v>4093</v>
      </c>
      <c r="T591" s="6" t="s">
        <v>66</v>
      </c>
      <c r="U591" s="8" t="s">
        <v>31</v>
      </c>
      <c r="V591" s="6" t="s">
        <v>4113</v>
      </c>
      <c r="W591" s="6" t="s">
        <v>4084</v>
      </c>
      <c r="X591" s="9" t="str">
        <f>HYPERLINK("https://my.pitchbook.com?p=78771-70P","View People Online")</f>
        <v>View People Online</v>
      </c>
    </row>
    <row r="592">
      <c r="A592" s="10" t="s">
        <v>4418</v>
      </c>
      <c r="B592" s="10" t="s">
        <v>4419</v>
      </c>
      <c r="C592" s="10" t="s">
        <v>4420</v>
      </c>
      <c r="D592" s="10" t="s">
        <v>4421</v>
      </c>
      <c r="E592" s="10" t="s">
        <v>4084</v>
      </c>
      <c r="F592" s="10" t="s">
        <v>4192</v>
      </c>
      <c r="G592" s="10" t="s">
        <v>4422</v>
      </c>
      <c r="H592" s="11" t="s">
        <v>31</v>
      </c>
      <c r="I592" s="11">
        <v>2.0</v>
      </c>
      <c r="J592" s="11">
        <v>1.0</v>
      </c>
      <c r="K592" s="11" t="s">
        <v>31</v>
      </c>
      <c r="L592" s="12" t="s">
        <v>4086</v>
      </c>
      <c r="M592" s="10" t="s">
        <v>4423</v>
      </c>
      <c r="N592" s="10" t="s">
        <v>4088</v>
      </c>
      <c r="O592" s="12" t="s">
        <v>4089</v>
      </c>
      <c r="P592" s="10" t="s">
        <v>4090</v>
      </c>
      <c r="Q592" s="10" t="s">
        <v>4091</v>
      </c>
      <c r="R592" s="10" t="s">
        <v>4092</v>
      </c>
      <c r="S592" s="12" t="s">
        <v>4093</v>
      </c>
      <c r="T592" s="10" t="s">
        <v>66</v>
      </c>
      <c r="U592" s="12" t="s">
        <v>31</v>
      </c>
      <c r="V592" s="10" t="s">
        <v>4424</v>
      </c>
      <c r="W592" s="10" t="s">
        <v>4084</v>
      </c>
      <c r="X592" s="13" t="str">
        <f>HYPERLINK("https://my.pitchbook.com?p=251577-37P","View People Online")</f>
        <v>View People Online</v>
      </c>
    </row>
    <row r="593">
      <c r="A593" s="6" t="s">
        <v>4425</v>
      </c>
      <c r="B593" s="6" t="s">
        <v>4426</v>
      </c>
      <c r="C593" s="6" t="s">
        <v>4427</v>
      </c>
      <c r="D593" s="6" t="s">
        <v>1950</v>
      </c>
      <c r="E593" s="6" t="s">
        <v>4084</v>
      </c>
      <c r="F593" s="6" t="s">
        <v>270</v>
      </c>
      <c r="G593" s="6" t="s">
        <v>4428</v>
      </c>
      <c r="H593" s="7" t="s">
        <v>31</v>
      </c>
      <c r="I593" s="7">
        <v>1.0</v>
      </c>
      <c r="J593" s="7">
        <v>1.0</v>
      </c>
      <c r="K593" s="7" t="s">
        <v>31</v>
      </c>
      <c r="L593" s="8" t="s">
        <v>4086</v>
      </c>
      <c r="M593" s="6" t="s">
        <v>4429</v>
      </c>
      <c r="N593" s="6" t="s">
        <v>4088</v>
      </c>
      <c r="O593" s="8" t="s">
        <v>4089</v>
      </c>
      <c r="P593" s="6" t="s">
        <v>4090</v>
      </c>
      <c r="Q593" s="6" t="s">
        <v>4091</v>
      </c>
      <c r="R593" s="6" t="s">
        <v>4092</v>
      </c>
      <c r="S593" s="8" t="s">
        <v>4093</v>
      </c>
      <c r="T593" s="6" t="s">
        <v>66</v>
      </c>
      <c r="U593" s="8" t="s">
        <v>31</v>
      </c>
      <c r="V593" s="6" t="s">
        <v>4430</v>
      </c>
      <c r="W593" s="6" t="s">
        <v>4084</v>
      </c>
      <c r="X593" s="9" t="str">
        <f>HYPERLINK("https://my.pitchbook.com?p=309039-49P","View People Online")</f>
        <v>View People Online</v>
      </c>
    </row>
    <row r="594">
      <c r="A594" s="2" t="s">
        <v>4431</v>
      </c>
      <c r="B594" s="2" t="s">
        <v>4432</v>
      </c>
      <c r="C594" s="2" t="s">
        <v>4009</v>
      </c>
      <c r="D594" s="2" t="s">
        <v>4433</v>
      </c>
      <c r="E594" s="2" t="s">
        <v>4084</v>
      </c>
      <c r="F594" s="2" t="s">
        <v>270</v>
      </c>
      <c r="G594" s="2" t="s">
        <v>4434</v>
      </c>
      <c r="H594" s="3" t="s">
        <v>31</v>
      </c>
      <c r="I594" s="3">
        <v>2.0</v>
      </c>
      <c r="J594" s="3">
        <v>2.0</v>
      </c>
      <c r="K594" s="3" t="s">
        <v>31</v>
      </c>
      <c r="L594" s="4" t="s">
        <v>4435</v>
      </c>
      <c r="M594" s="2" t="s">
        <v>4436</v>
      </c>
      <c r="N594" s="2" t="s">
        <v>1181</v>
      </c>
      <c r="O594" s="4" t="s">
        <v>1182</v>
      </c>
      <c r="P594" s="2" t="s">
        <v>4437</v>
      </c>
      <c r="Q594" s="2" t="s">
        <v>31</v>
      </c>
      <c r="R594" s="2" t="s">
        <v>1185</v>
      </c>
      <c r="S594" s="4" t="s">
        <v>4438</v>
      </c>
      <c r="T594" s="2" t="s">
        <v>66</v>
      </c>
      <c r="U594" s="4" t="s">
        <v>4439</v>
      </c>
      <c r="V594" s="2" t="s">
        <v>4440</v>
      </c>
      <c r="W594" s="2" t="s">
        <v>4441</v>
      </c>
      <c r="X594" s="5" t="str">
        <f>HYPERLINK("https://my.pitchbook.com?p=37702-27P","View People Online")</f>
        <v>View People Online</v>
      </c>
    </row>
    <row r="595">
      <c r="A595" s="14" t="s">
        <v>4442</v>
      </c>
      <c r="B595" s="14" t="s">
        <v>4443</v>
      </c>
      <c r="C595" s="14" t="s">
        <v>4444</v>
      </c>
      <c r="D595" s="14" t="s">
        <v>4445</v>
      </c>
      <c r="E595" s="14" t="s">
        <v>4084</v>
      </c>
      <c r="F595" s="14" t="s">
        <v>1801</v>
      </c>
      <c r="G595" s="14" t="s">
        <v>4446</v>
      </c>
      <c r="H595" s="15" t="s">
        <v>31</v>
      </c>
      <c r="I595" s="15">
        <v>1.0</v>
      </c>
      <c r="J595" s="15">
        <v>1.0</v>
      </c>
      <c r="K595" s="15" t="s">
        <v>31</v>
      </c>
      <c r="L595" s="16" t="s">
        <v>4086</v>
      </c>
      <c r="M595" s="14" t="s">
        <v>4447</v>
      </c>
      <c r="N595" s="14" t="s">
        <v>4088</v>
      </c>
      <c r="O595" s="16" t="s">
        <v>4089</v>
      </c>
      <c r="P595" s="14" t="s">
        <v>4090</v>
      </c>
      <c r="Q595" s="14" t="s">
        <v>4091</v>
      </c>
      <c r="R595" s="14" t="s">
        <v>4092</v>
      </c>
      <c r="S595" s="16" t="s">
        <v>4093</v>
      </c>
      <c r="T595" s="14" t="s">
        <v>66</v>
      </c>
      <c r="U595" s="16" t="s">
        <v>31</v>
      </c>
      <c r="V595" s="14" t="s">
        <v>4448</v>
      </c>
      <c r="W595" s="14" t="s">
        <v>4084</v>
      </c>
      <c r="X595" s="17" t="str">
        <f>HYPERLINK("https://my.pitchbook.com?p=332077-96P","View People Online")</f>
        <v>View People Online</v>
      </c>
    </row>
    <row r="596">
      <c r="A596" s="10" t="s">
        <v>4449</v>
      </c>
      <c r="B596" s="10" t="s">
        <v>4450</v>
      </c>
      <c r="C596" s="10" t="s">
        <v>2221</v>
      </c>
      <c r="D596" s="10" t="s">
        <v>4451</v>
      </c>
      <c r="E596" s="10" t="s">
        <v>4084</v>
      </c>
      <c r="F596" s="10" t="s">
        <v>4286</v>
      </c>
      <c r="G596" s="10" t="s">
        <v>4452</v>
      </c>
      <c r="H596" s="11">
        <v>1.0</v>
      </c>
      <c r="I596" s="11">
        <v>161.0</v>
      </c>
      <c r="J596" s="11">
        <v>1.0</v>
      </c>
      <c r="K596" s="11">
        <v>129.0</v>
      </c>
      <c r="L596" s="12" t="s">
        <v>4086</v>
      </c>
      <c r="M596" s="10" t="s">
        <v>4453</v>
      </c>
      <c r="N596" s="10" t="s">
        <v>4088</v>
      </c>
      <c r="O596" s="12" t="s">
        <v>4089</v>
      </c>
      <c r="P596" s="10" t="s">
        <v>4090</v>
      </c>
      <c r="Q596" s="10" t="s">
        <v>4091</v>
      </c>
      <c r="R596" s="10" t="s">
        <v>4092</v>
      </c>
      <c r="S596" s="12" t="s">
        <v>4093</v>
      </c>
      <c r="T596" s="10" t="s">
        <v>66</v>
      </c>
      <c r="U596" s="12" t="s">
        <v>31</v>
      </c>
      <c r="V596" s="10" t="s">
        <v>4454</v>
      </c>
      <c r="W596" s="10" t="s">
        <v>4084</v>
      </c>
      <c r="X596" s="13" t="str">
        <f>HYPERLINK("https://my.pitchbook.com?p=52469-02P","View People Online")</f>
        <v>View People Online</v>
      </c>
    </row>
    <row r="597">
      <c r="A597" s="6" t="s">
        <v>4455</v>
      </c>
      <c r="B597" s="6" t="s">
        <v>4456</v>
      </c>
      <c r="C597" s="6" t="s">
        <v>4457</v>
      </c>
      <c r="D597" s="6" t="s">
        <v>4458</v>
      </c>
      <c r="E597" s="6" t="s">
        <v>4084</v>
      </c>
      <c r="F597" s="6" t="s">
        <v>371</v>
      </c>
      <c r="G597" s="6" t="s">
        <v>4459</v>
      </c>
      <c r="H597" s="7" t="s">
        <v>31</v>
      </c>
      <c r="I597" s="7">
        <v>1.0</v>
      </c>
      <c r="J597" s="7">
        <v>1.0</v>
      </c>
      <c r="K597" s="7" t="s">
        <v>31</v>
      </c>
      <c r="L597" s="8" t="s">
        <v>4460</v>
      </c>
      <c r="M597" s="6" t="s">
        <v>4461</v>
      </c>
      <c r="N597" s="6" t="s">
        <v>4088</v>
      </c>
      <c r="O597" s="8" t="s">
        <v>4089</v>
      </c>
      <c r="P597" s="6" t="s">
        <v>4090</v>
      </c>
      <c r="Q597" s="6" t="s">
        <v>4091</v>
      </c>
      <c r="R597" s="6" t="s">
        <v>4092</v>
      </c>
      <c r="S597" s="8" t="s">
        <v>4093</v>
      </c>
      <c r="T597" s="6" t="s">
        <v>66</v>
      </c>
      <c r="U597" s="8" t="s">
        <v>31</v>
      </c>
      <c r="V597" s="6" t="s">
        <v>4462</v>
      </c>
      <c r="W597" s="6" t="s">
        <v>4084</v>
      </c>
      <c r="X597" s="9" t="str">
        <f>HYPERLINK("https://my.pitchbook.com?p=369193-78P","View People Online")</f>
        <v>View People Online</v>
      </c>
    </row>
    <row r="598">
      <c r="A598" s="10" t="s">
        <v>4463</v>
      </c>
      <c r="B598" s="10" t="s">
        <v>4464</v>
      </c>
      <c r="C598" s="10" t="s">
        <v>4465</v>
      </c>
      <c r="D598" s="10" t="s">
        <v>4466</v>
      </c>
      <c r="E598" s="10" t="s">
        <v>4084</v>
      </c>
      <c r="F598" s="10" t="s">
        <v>4192</v>
      </c>
      <c r="G598" s="10" t="s">
        <v>4467</v>
      </c>
      <c r="H598" s="11" t="s">
        <v>31</v>
      </c>
      <c r="I598" s="11">
        <v>2.0</v>
      </c>
      <c r="J598" s="11">
        <v>1.0</v>
      </c>
      <c r="K598" s="11" t="s">
        <v>31</v>
      </c>
      <c r="L598" s="12" t="s">
        <v>4086</v>
      </c>
      <c r="M598" s="10" t="s">
        <v>4468</v>
      </c>
      <c r="N598" s="10" t="s">
        <v>4232</v>
      </c>
      <c r="O598" s="12" t="s">
        <v>4233</v>
      </c>
      <c r="P598" s="10" t="s">
        <v>4234</v>
      </c>
      <c r="Q598" s="10" t="s">
        <v>4235</v>
      </c>
      <c r="R598" s="10" t="s">
        <v>4236</v>
      </c>
      <c r="S598" s="12" t="s">
        <v>4237</v>
      </c>
      <c r="T598" s="10" t="s">
        <v>66</v>
      </c>
      <c r="U598" s="12" t="s">
        <v>31</v>
      </c>
      <c r="V598" s="10" t="s">
        <v>4469</v>
      </c>
      <c r="W598" s="10" t="s">
        <v>4084</v>
      </c>
      <c r="X598" s="13" t="str">
        <f>HYPERLINK("https://my.pitchbook.com?p=350020-45P","View People Online")</f>
        <v>View People Online</v>
      </c>
    </row>
    <row r="599">
      <c r="A599" s="14" t="s">
        <v>4470</v>
      </c>
      <c r="B599" s="14" t="s">
        <v>4471</v>
      </c>
      <c r="C599" s="14" t="s">
        <v>4472</v>
      </c>
      <c r="D599" s="14" t="s">
        <v>4473</v>
      </c>
      <c r="E599" s="14" t="s">
        <v>4084</v>
      </c>
      <c r="F599" s="14" t="s">
        <v>3411</v>
      </c>
      <c r="G599" s="14" t="s">
        <v>4474</v>
      </c>
      <c r="H599" s="15">
        <v>2.0</v>
      </c>
      <c r="I599" s="15">
        <v>110.0</v>
      </c>
      <c r="J599" s="15">
        <v>1.0</v>
      </c>
      <c r="K599" s="15">
        <v>77.0</v>
      </c>
      <c r="L599" s="16" t="s">
        <v>4475</v>
      </c>
      <c r="M599" s="14" t="s">
        <v>4476</v>
      </c>
      <c r="N599" s="14" t="s">
        <v>75</v>
      </c>
      <c r="O599" s="16" t="s">
        <v>76</v>
      </c>
      <c r="P599" s="14" t="s">
        <v>4151</v>
      </c>
      <c r="Q599" s="14" t="s">
        <v>4152</v>
      </c>
      <c r="R599" s="14" t="s">
        <v>75</v>
      </c>
      <c r="S599" s="16" t="s">
        <v>2167</v>
      </c>
      <c r="T599" s="14" t="s">
        <v>66</v>
      </c>
      <c r="U599" s="16" t="s">
        <v>31</v>
      </c>
      <c r="V599" s="14" t="s">
        <v>4477</v>
      </c>
      <c r="W599" s="14" t="s">
        <v>4084</v>
      </c>
      <c r="X599" s="17" t="str">
        <f>HYPERLINK("https://my.pitchbook.com?p=109168-39P","View People Online")</f>
        <v>View People Online</v>
      </c>
    </row>
    <row r="600">
      <c r="A600" s="2" t="s">
        <v>4478</v>
      </c>
      <c r="B600" s="2" t="s">
        <v>4479</v>
      </c>
      <c r="C600" s="2" t="s">
        <v>4480</v>
      </c>
      <c r="D600" s="2" t="s">
        <v>4481</v>
      </c>
      <c r="E600" s="2" t="s">
        <v>4084</v>
      </c>
      <c r="F600" s="2" t="s">
        <v>4378</v>
      </c>
      <c r="G600" s="2" t="s">
        <v>4482</v>
      </c>
      <c r="H600" s="3" t="s">
        <v>31</v>
      </c>
      <c r="I600" s="3">
        <v>1.0</v>
      </c>
      <c r="J600" s="3">
        <v>1.0</v>
      </c>
      <c r="K600" s="3" t="s">
        <v>31</v>
      </c>
      <c r="L600" s="4" t="s">
        <v>4086</v>
      </c>
      <c r="M600" s="2" t="s">
        <v>4483</v>
      </c>
      <c r="N600" s="2" t="s">
        <v>1181</v>
      </c>
      <c r="O600" s="4" t="s">
        <v>1182</v>
      </c>
      <c r="P600" s="2" t="s">
        <v>4186</v>
      </c>
      <c r="Q600" s="2" t="s">
        <v>1895</v>
      </c>
      <c r="R600" s="2" t="s">
        <v>1185</v>
      </c>
      <c r="S600" s="4" t="s">
        <v>1186</v>
      </c>
      <c r="T600" s="2" t="s">
        <v>66</v>
      </c>
      <c r="U600" s="4" t="s">
        <v>31</v>
      </c>
      <c r="V600" s="2" t="s">
        <v>4484</v>
      </c>
      <c r="W600" s="2" t="s">
        <v>4084</v>
      </c>
      <c r="X600" s="5" t="str">
        <f>HYPERLINK("https://my.pitchbook.com?p=235163-26P","View People Online")</f>
        <v>View People Online</v>
      </c>
    </row>
    <row r="601">
      <c r="A601" s="6" t="s">
        <v>4485</v>
      </c>
      <c r="B601" s="6" t="s">
        <v>4486</v>
      </c>
      <c r="C601" s="6" t="s">
        <v>4487</v>
      </c>
      <c r="D601" s="6" t="s">
        <v>4488</v>
      </c>
      <c r="E601" s="6" t="s">
        <v>4084</v>
      </c>
      <c r="F601" s="6" t="s">
        <v>270</v>
      </c>
      <c r="G601" s="6" t="s">
        <v>4489</v>
      </c>
      <c r="H601" s="7" t="s">
        <v>31</v>
      </c>
      <c r="I601" s="7">
        <v>1.0</v>
      </c>
      <c r="J601" s="7">
        <v>1.0</v>
      </c>
      <c r="K601" s="7" t="s">
        <v>31</v>
      </c>
      <c r="L601" s="8" t="s">
        <v>4086</v>
      </c>
      <c r="M601" s="6" t="s">
        <v>4490</v>
      </c>
      <c r="N601" s="6" t="s">
        <v>4088</v>
      </c>
      <c r="O601" s="8" t="s">
        <v>4089</v>
      </c>
      <c r="P601" s="6" t="s">
        <v>4090</v>
      </c>
      <c r="Q601" s="6" t="s">
        <v>4091</v>
      </c>
      <c r="R601" s="6" t="s">
        <v>4092</v>
      </c>
      <c r="S601" s="8" t="s">
        <v>4093</v>
      </c>
      <c r="T601" s="6" t="s">
        <v>66</v>
      </c>
      <c r="U601" s="8" t="s">
        <v>31</v>
      </c>
      <c r="V601" s="6" t="s">
        <v>4491</v>
      </c>
      <c r="W601" s="6" t="s">
        <v>4084</v>
      </c>
      <c r="X601" s="9" t="str">
        <f>HYPERLINK("https://my.pitchbook.com?p=343238-32P","View People Online")</f>
        <v>View People Online</v>
      </c>
    </row>
    <row r="602">
      <c r="A602" s="2" t="s">
        <v>4492</v>
      </c>
      <c r="B602" s="2" t="s">
        <v>4493</v>
      </c>
      <c r="C602" s="2" t="s">
        <v>2288</v>
      </c>
      <c r="D602" s="2" t="s">
        <v>4494</v>
      </c>
      <c r="E602" s="2" t="s">
        <v>4084</v>
      </c>
      <c r="F602" s="2" t="s">
        <v>3823</v>
      </c>
      <c r="G602" s="2" t="s">
        <v>4495</v>
      </c>
      <c r="H602" s="3" t="s">
        <v>31</v>
      </c>
      <c r="I602" s="3">
        <v>2.0</v>
      </c>
      <c r="J602" s="3">
        <v>1.0</v>
      </c>
      <c r="K602" s="3" t="s">
        <v>31</v>
      </c>
      <c r="L602" s="4" t="s">
        <v>4086</v>
      </c>
      <c r="M602" s="2" t="s">
        <v>4496</v>
      </c>
      <c r="N602" s="2" t="s">
        <v>75</v>
      </c>
      <c r="O602" s="4" t="s">
        <v>76</v>
      </c>
      <c r="P602" s="2" t="s">
        <v>4151</v>
      </c>
      <c r="Q602" s="2" t="s">
        <v>4152</v>
      </c>
      <c r="R602" s="2" t="s">
        <v>75</v>
      </c>
      <c r="S602" s="4" t="s">
        <v>2167</v>
      </c>
      <c r="T602" s="2" t="s">
        <v>66</v>
      </c>
      <c r="U602" s="4" t="s">
        <v>31</v>
      </c>
      <c r="V602" s="2" t="s">
        <v>4497</v>
      </c>
      <c r="W602" s="2" t="s">
        <v>4084</v>
      </c>
      <c r="X602" s="5" t="str">
        <f>HYPERLINK("https://my.pitchbook.com?p=11598-22P","View People Online")</f>
        <v>View People Online</v>
      </c>
    </row>
    <row r="603">
      <c r="A603" s="14" t="s">
        <v>4498</v>
      </c>
      <c r="B603" s="14" t="s">
        <v>4499</v>
      </c>
      <c r="C603" s="14" t="s">
        <v>3846</v>
      </c>
      <c r="D603" s="14" t="s">
        <v>4500</v>
      </c>
      <c r="E603" s="14" t="s">
        <v>4084</v>
      </c>
      <c r="F603" s="14" t="s">
        <v>270</v>
      </c>
      <c r="G603" s="14" t="s">
        <v>4501</v>
      </c>
      <c r="H603" s="15" t="s">
        <v>31</v>
      </c>
      <c r="I603" s="15">
        <v>1.0</v>
      </c>
      <c r="J603" s="15">
        <v>1.0</v>
      </c>
      <c r="K603" s="15" t="s">
        <v>31</v>
      </c>
      <c r="L603" s="16" t="s">
        <v>4086</v>
      </c>
      <c r="M603" s="14" t="s">
        <v>4502</v>
      </c>
      <c r="N603" s="14" t="s">
        <v>4088</v>
      </c>
      <c r="O603" s="16" t="s">
        <v>4089</v>
      </c>
      <c r="P603" s="14" t="s">
        <v>4090</v>
      </c>
      <c r="Q603" s="14" t="s">
        <v>4091</v>
      </c>
      <c r="R603" s="14" t="s">
        <v>4092</v>
      </c>
      <c r="S603" s="16" t="s">
        <v>4093</v>
      </c>
      <c r="T603" s="14" t="s">
        <v>66</v>
      </c>
      <c r="U603" s="16" t="s">
        <v>31</v>
      </c>
      <c r="V603" s="14" t="s">
        <v>4113</v>
      </c>
      <c r="W603" s="14" t="s">
        <v>4084</v>
      </c>
      <c r="X603" s="17" t="str">
        <f>HYPERLINK("https://my.pitchbook.com?p=326630-17P","View People Online")</f>
        <v>View People Online</v>
      </c>
    </row>
    <row r="604">
      <c r="A604" s="10" t="s">
        <v>4503</v>
      </c>
      <c r="B604" s="10" t="s">
        <v>4504</v>
      </c>
      <c r="C604" s="10" t="s">
        <v>4505</v>
      </c>
      <c r="D604" s="10" t="s">
        <v>4506</v>
      </c>
      <c r="E604" s="10" t="s">
        <v>4084</v>
      </c>
      <c r="F604" s="10" t="s">
        <v>201</v>
      </c>
      <c r="G604" s="10" t="s">
        <v>4507</v>
      </c>
      <c r="H604" s="11" t="s">
        <v>31</v>
      </c>
      <c r="I604" s="11">
        <v>2.0</v>
      </c>
      <c r="J604" s="11">
        <v>2.0</v>
      </c>
      <c r="K604" s="11" t="s">
        <v>31</v>
      </c>
      <c r="L604" s="12" t="s">
        <v>4086</v>
      </c>
      <c r="M604" s="10" t="s">
        <v>4508</v>
      </c>
      <c r="N604" s="10" t="s">
        <v>4088</v>
      </c>
      <c r="O604" s="12" t="s">
        <v>4089</v>
      </c>
      <c r="P604" s="10" t="s">
        <v>4090</v>
      </c>
      <c r="Q604" s="10" t="s">
        <v>4091</v>
      </c>
      <c r="R604" s="10" t="s">
        <v>4092</v>
      </c>
      <c r="S604" s="12" t="s">
        <v>4093</v>
      </c>
      <c r="T604" s="10" t="s">
        <v>66</v>
      </c>
      <c r="U604" s="12" t="s">
        <v>31</v>
      </c>
      <c r="V604" s="10" t="s">
        <v>4509</v>
      </c>
      <c r="W604" s="10" t="s">
        <v>4084</v>
      </c>
      <c r="X604" s="13" t="str">
        <f>HYPERLINK("https://my.pitchbook.com?p=379327-87P","View People Online")</f>
        <v>View People Online</v>
      </c>
    </row>
    <row r="605">
      <c r="A605" s="6" t="s">
        <v>4510</v>
      </c>
      <c r="B605" s="6" t="s">
        <v>4511</v>
      </c>
      <c r="C605" s="6" t="s">
        <v>160</v>
      </c>
      <c r="D605" s="6" t="s">
        <v>4512</v>
      </c>
      <c r="E605" s="6" t="s">
        <v>4084</v>
      </c>
      <c r="F605" s="6" t="s">
        <v>57</v>
      </c>
      <c r="G605" s="6" t="s">
        <v>4513</v>
      </c>
      <c r="H605" s="7" t="s">
        <v>31</v>
      </c>
      <c r="I605" s="7">
        <v>80.0</v>
      </c>
      <c r="J605" s="7">
        <v>1.0</v>
      </c>
      <c r="K605" s="7">
        <v>64.0</v>
      </c>
      <c r="L605" s="8" t="s">
        <v>4514</v>
      </c>
      <c r="M605" s="6" t="s">
        <v>4515</v>
      </c>
      <c r="N605" s="6" t="s">
        <v>4088</v>
      </c>
      <c r="O605" s="8" t="s">
        <v>4089</v>
      </c>
      <c r="P605" s="6" t="s">
        <v>4090</v>
      </c>
      <c r="Q605" s="6" t="s">
        <v>4091</v>
      </c>
      <c r="R605" s="6" t="s">
        <v>4092</v>
      </c>
      <c r="S605" s="8" t="s">
        <v>4093</v>
      </c>
      <c r="T605" s="6" t="s">
        <v>66</v>
      </c>
      <c r="U605" s="8" t="s">
        <v>31</v>
      </c>
      <c r="V605" s="6" t="s">
        <v>4516</v>
      </c>
      <c r="W605" s="6" t="s">
        <v>4084</v>
      </c>
      <c r="X605" s="9" t="str">
        <f>HYPERLINK("https://my.pitchbook.com?p=83769-04P","View People Online")</f>
        <v>View People Online</v>
      </c>
    </row>
    <row r="606">
      <c r="A606" s="2" t="s">
        <v>4517</v>
      </c>
      <c r="B606" s="2" t="s">
        <v>4518</v>
      </c>
      <c r="C606" s="2" t="s">
        <v>4519</v>
      </c>
      <c r="D606" s="2" t="s">
        <v>4520</v>
      </c>
      <c r="E606" s="2" t="s">
        <v>4084</v>
      </c>
      <c r="F606" s="2" t="s">
        <v>29</v>
      </c>
      <c r="G606" s="2" t="s">
        <v>4521</v>
      </c>
      <c r="H606" s="3" t="s">
        <v>31</v>
      </c>
      <c r="I606" s="3">
        <v>4.0</v>
      </c>
      <c r="J606" s="3">
        <v>1.0</v>
      </c>
      <c r="K606" s="3">
        <v>1.0</v>
      </c>
      <c r="L606" s="4" t="s">
        <v>4086</v>
      </c>
      <c r="M606" s="2" t="s">
        <v>4522</v>
      </c>
      <c r="N606" s="2" t="s">
        <v>4088</v>
      </c>
      <c r="O606" s="4" t="s">
        <v>4089</v>
      </c>
      <c r="P606" s="2" t="s">
        <v>4090</v>
      </c>
      <c r="Q606" s="2" t="s">
        <v>4091</v>
      </c>
      <c r="R606" s="2" t="s">
        <v>4092</v>
      </c>
      <c r="S606" s="4" t="s">
        <v>4093</v>
      </c>
      <c r="T606" s="2" t="s">
        <v>66</v>
      </c>
      <c r="U606" s="4" t="s">
        <v>31</v>
      </c>
      <c r="V606" s="2" t="s">
        <v>4523</v>
      </c>
      <c r="W606" s="2" t="s">
        <v>4084</v>
      </c>
      <c r="X606" s="5" t="str">
        <f>HYPERLINK("https://my.pitchbook.com?p=241842-70P","View People Online")</f>
        <v>View People Online</v>
      </c>
    </row>
    <row r="607">
      <c r="A607" s="6" t="s">
        <v>4524</v>
      </c>
      <c r="B607" s="6" t="s">
        <v>4525</v>
      </c>
      <c r="C607" s="6" t="s">
        <v>126</v>
      </c>
      <c r="D607" s="6" t="s">
        <v>4526</v>
      </c>
      <c r="E607" s="6" t="s">
        <v>4084</v>
      </c>
      <c r="F607" s="6" t="s">
        <v>4527</v>
      </c>
      <c r="G607" s="6" t="s">
        <v>4528</v>
      </c>
      <c r="H607" s="7">
        <v>1.0</v>
      </c>
      <c r="I607" s="7">
        <v>258.0</v>
      </c>
      <c r="J607" s="7">
        <v>1.0</v>
      </c>
      <c r="K607" s="7">
        <v>43.0</v>
      </c>
      <c r="L607" s="8" t="s">
        <v>4086</v>
      </c>
      <c r="M607" s="6" t="s">
        <v>4529</v>
      </c>
      <c r="N607" s="6" t="s">
        <v>4088</v>
      </c>
      <c r="O607" s="8" t="s">
        <v>4089</v>
      </c>
      <c r="P607" s="6" t="s">
        <v>4090</v>
      </c>
      <c r="Q607" s="6" t="s">
        <v>4091</v>
      </c>
      <c r="R607" s="6" t="s">
        <v>4092</v>
      </c>
      <c r="S607" s="8" t="s">
        <v>4093</v>
      </c>
      <c r="T607" s="6" t="s">
        <v>66</v>
      </c>
      <c r="U607" s="8" t="s">
        <v>31</v>
      </c>
      <c r="V607" s="6" t="s">
        <v>4530</v>
      </c>
      <c r="W607" s="6" t="s">
        <v>4084</v>
      </c>
      <c r="X607" s="9" t="str">
        <f>HYPERLINK("https://my.pitchbook.com?p=55472-95P","View People Online")</f>
        <v>View People Online</v>
      </c>
    </row>
    <row r="608">
      <c r="A608" s="2" t="s">
        <v>4531</v>
      </c>
      <c r="B608" s="2" t="s">
        <v>4532</v>
      </c>
      <c r="C608" s="2" t="s">
        <v>126</v>
      </c>
      <c r="D608" s="2" t="s">
        <v>4533</v>
      </c>
      <c r="E608" s="2" t="s">
        <v>4084</v>
      </c>
      <c r="F608" s="2" t="s">
        <v>270</v>
      </c>
      <c r="G608" s="2" t="s">
        <v>4534</v>
      </c>
      <c r="H608" s="3" t="s">
        <v>31</v>
      </c>
      <c r="I608" s="3">
        <v>4.0</v>
      </c>
      <c r="J608" s="3">
        <v>2.0</v>
      </c>
      <c r="K608" s="3">
        <v>1.0</v>
      </c>
      <c r="L608" s="4" t="s">
        <v>4086</v>
      </c>
      <c r="M608" s="2" t="s">
        <v>31</v>
      </c>
      <c r="N608" s="2" t="s">
        <v>4088</v>
      </c>
      <c r="O608" s="4" t="s">
        <v>4089</v>
      </c>
      <c r="P608" s="2" t="s">
        <v>4090</v>
      </c>
      <c r="Q608" s="2" t="s">
        <v>4091</v>
      </c>
      <c r="R608" s="2" t="s">
        <v>4092</v>
      </c>
      <c r="S608" s="4" t="s">
        <v>4093</v>
      </c>
      <c r="T608" s="2" t="s">
        <v>66</v>
      </c>
      <c r="U608" s="4" t="s">
        <v>31</v>
      </c>
      <c r="V608" s="2" t="s">
        <v>157</v>
      </c>
      <c r="W608" s="2" t="s">
        <v>4535</v>
      </c>
      <c r="X608" s="5" t="str">
        <f>HYPERLINK("https://my.pitchbook.com?p=204129-64P","View People Online")</f>
        <v>View People Online</v>
      </c>
    </row>
    <row r="609">
      <c r="A609" s="14" t="s">
        <v>4536</v>
      </c>
      <c r="B609" s="14" t="s">
        <v>4537</v>
      </c>
      <c r="C609" s="14" t="s">
        <v>126</v>
      </c>
      <c r="D609" s="14" t="s">
        <v>4538</v>
      </c>
      <c r="E609" s="14" t="s">
        <v>4084</v>
      </c>
      <c r="F609" s="14" t="s">
        <v>57</v>
      </c>
      <c r="G609" s="14" t="s">
        <v>4539</v>
      </c>
      <c r="H609" s="15" t="s">
        <v>31</v>
      </c>
      <c r="I609" s="15">
        <v>2.0</v>
      </c>
      <c r="J609" s="15">
        <v>1.0</v>
      </c>
      <c r="K609" s="15" t="s">
        <v>31</v>
      </c>
      <c r="L609" s="16" t="s">
        <v>4086</v>
      </c>
      <c r="M609" s="14" t="s">
        <v>4540</v>
      </c>
      <c r="N609" s="14" t="s">
        <v>4088</v>
      </c>
      <c r="O609" s="16" t="s">
        <v>4089</v>
      </c>
      <c r="P609" s="14" t="s">
        <v>4090</v>
      </c>
      <c r="Q609" s="14" t="s">
        <v>4091</v>
      </c>
      <c r="R609" s="14" t="s">
        <v>4092</v>
      </c>
      <c r="S609" s="16" t="s">
        <v>4093</v>
      </c>
      <c r="T609" s="14" t="s">
        <v>66</v>
      </c>
      <c r="U609" s="16" t="s">
        <v>31</v>
      </c>
      <c r="V609" s="14" t="s">
        <v>4541</v>
      </c>
      <c r="W609" s="14" t="s">
        <v>4084</v>
      </c>
      <c r="X609" s="17" t="str">
        <f>HYPERLINK("https://my.pitchbook.com?p=379338-22P","View People Online")</f>
        <v>View People Online</v>
      </c>
    </row>
    <row r="610">
      <c r="A610" s="10" t="s">
        <v>4542</v>
      </c>
      <c r="B610" s="10" t="s">
        <v>4543</v>
      </c>
      <c r="C610" s="10" t="s">
        <v>126</v>
      </c>
      <c r="D610" s="10" t="s">
        <v>4544</v>
      </c>
      <c r="E610" s="10" t="s">
        <v>4084</v>
      </c>
      <c r="F610" s="10" t="s">
        <v>548</v>
      </c>
      <c r="G610" s="10" t="s">
        <v>4545</v>
      </c>
      <c r="H610" s="11" t="s">
        <v>31</v>
      </c>
      <c r="I610" s="11">
        <v>1.0</v>
      </c>
      <c r="J610" s="11">
        <v>1.0</v>
      </c>
      <c r="K610" s="11" t="s">
        <v>31</v>
      </c>
      <c r="L610" s="12" t="s">
        <v>4086</v>
      </c>
      <c r="M610" s="10" t="s">
        <v>4546</v>
      </c>
      <c r="N610" s="10" t="s">
        <v>4088</v>
      </c>
      <c r="O610" s="12" t="s">
        <v>4089</v>
      </c>
      <c r="P610" s="10" t="s">
        <v>4090</v>
      </c>
      <c r="Q610" s="10" t="s">
        <v>4091</v>
      </c>
      <c r="R610" s="10" t="s">
        <v>4092</v>
      </c>
      <c r="S610" s="12" t="s">
        <v>4093</v>
      </c>
      <c r="T610" s="10" t="s">
        <v>66</v>
      </c>
      <c r="U610" s="12" t="s">
        <v>31</v>
      </c>
      <c r="V610" s="10" t="s">
        <v>4547</v>
      </c>
      <c r="W610" s="10" t="s">
        <v>4084</v>
      </c>
      <c r="X610" s="13" t="str">
        <f>HYPERLINK("https://my.pitchbook.com?p=277759-18P","View People Online")</f>
        <v>View People Online</v>
      </c>
    </row>
    <row r="611">
      <c r="A611" s="14" t="s">
        <v>4548</v>
      </c>
      <c r="B611" s="14" t="s">
        <v>4549</v>
      </c>
      <c r="C611" s="14" t="s">
        <v>126</v>
      </c>
      <c r="D611" s="14" t="s">
        <v>4550</v>
      </c>
      <c r="E611" s="14" t="s">
        <v>4084</v>
      </c>
      <c r="F611" s="14" t="s">
        <v>4551</v>
      </c>
      <c r="G611" s="14" t="s">
        <v>4552</v>
      </c>
      <c r="H611" s="15" t="s">
        <v>31</v>
      </c>
      <c r="I611" s="15">
        <v>1.0</v>
      </c>
      <c r="J611" s="15">
        <v>1.0</v>
      </c>
      <c r="K611" s="15" t="s">
        <v>31</v>
      </c>
      <c r="L611" s="16" t="s">
        <v>4086</v>
      </c>
      <c r="M611" s="14" t="s">
        <v>4553</v>
      </c>
      <c r="N611" s="14" t="s">
        <v>4088</v>
      </c>
      <c r="O611" s="16" t="s">
        <v>4089</v>
      </c>
      <c r="P611" s="14" t="s">
        <v>4090</v>
      </c>
      <c r="Q611" s="14" t="s">
        <v>4091</v>
      </c>
      <c r="R611" s="14" t="s">
        <v>4092</v>
      </c>
      <c r="S611" s="16" t="s">
        <v>4093</v>
      </c>
      <c r="T611" s="14" t="s">
        <v>66</v>
      </c>
      <c r="U611" s="16" t="s">
        <v>31</v>
      </c>
      <c r="V611" s="14" t="s">
        <v>4554</v>
      </c>
      <c r="W611" s="14" t="s">
        <v>4084</v>
      </c>
      <c r="X611" s="17" t="str">
        <f>HYPERLINK("https://my.pitchbook.com?p=235182-70P","View People Online")</f>
        <v>View People Online</v>
      </c>
    </row>
    <row r="612">
      <c r="A612" s="2" t="s">
        <v>4555</v>
      </c>
      <c r="B612" s="2" t="s">
        <v>4556</v>
      </c>
      <c r="C612" s="2" t="s">
        <v>1807</v>
      </c>
      <c r="D612" s="2" t="s">
        <v>4557</v>
      </c>
      <c r="E612" s="2" t="s">
        <v>4084</v>
      </c>
      <c r="F612" s="2" t="s">
        <v>270</v>
      </c>
      <c r="G612" s="2" t="s">
        <v>4558</v>
      </c>
      <c r="H612" s="3" t="s">
        <v>31</v>
      </c>
      <c r="I612" s="3">
        <v>2.0</v>
      </c>
      <c r="J612" s="3">
        <v>1.0</v>
      </c>
      <c r="K612" s="3" t="s">
        <v>31</v>
      </c>
      <c r="L612" s="4" t="s">
        <v>4559</v>
      </c>
      <c r="M612" s="2" t="s">
        <v>31</v>
      </c>
      <c r="N612" s="2" t="s">
        <v>4560</v>
      </c>
      <c r="O612" s="4" t="s">
        <v>4561</v>
      </c>
      <c r="P612" s="2" t="s">
        <v>4562</v>
      </c>
      <c r="Q612" s="2" t="s">
        <v>4563</v>
      </c>
      <c r="R612" s="2" t="s">
        <v>1638</v>
      </c>
      <c r="S612" s="4" t="s">
        <v>4564</v>
      </c>
      <c r="T612" s="2" t="s">
        <v>66</v>
      </c>
      <c r="U612" s="4" t="s">
        <v>31</v>
      </c>
      <c r="V612" s="2" t="s">
        <v>81</v>
      </c>
      <c r="W612" s="2" t="s">
        <v>4565</v>
      </c>
      <c r="X612" s="5" t="str">
        <f>HYPERLINK("https://my.pitchbook.com?p=203142-61P","View People Online")</f>
        <v>View People Online</v>
      </c>
    </row>
    <row r="613">
      <c r="A613" s="6" t="s">
        <v>4566</v>
      </c>
      <c r="B613" s="6" t="s">
        <v>4567</v>
      </c>
      <c r="C613" s="6" t="s">
        <v>4568</v>
      </c>
      <c r="D613" s="6" t="s">
        <v>4569</v>
      </c>
      <c r="E613" s="6" t="s">
        <v>4084</v>
      </c>
      <c r="F613" s="6" t="s">
        <v>4192</v>
      </c>
      <c r="G613" s="6" t="s">
        <v>4570</v>
      </c>
      <c r="H613" s="7" t="s">
        <v>31</v>
      </c>
      <c r="I613" s="7">
        <v>1.0</v>
      </c>
      <c r="J613" s="7">
        <v>1.0</v>
      </c>
      <c r="K613" s="7" t="s">
        <v>31</v>
      </c>
      <c r="L613" s="8" t="s">
        <v>4086</v>
      </c>
      <c r="M613" s="6" t="s">
        <v>4571</v>
      </c>
      <c r="N613" s="6" t="s">
        <v>4088</v>
      </c>
      <c r="O613" s="8" t="s">
        <v>4089</v>
      </c>
      <c r="P613" s="6" t="s">
        <v>4090</v>
      </c>
      <c r="Q613" s="6" t="s">
        <v>4091</v>
      </c>
      <c r="R613" s="6" t="s">
        <v>4092</v>
      </c>
      <c r="S613" s="8" t="s">
        <v>4093</v>
      </c>
      <c r="T613" s="6" t="s">
        <v>66</v>
      </c>
      <c r="U613" s="8" t="s">
        <v>31</v>
      </c>
      <c r="V613" s="6" t="s">
        <v>4572</v>
      </c>
      <c r="W613" s="6" t="s">
        <v>4084</v>
      </c>
      <c r="X613" s="9" t="str">
        <f>HYPERLINK("https://my.pitchbook.com?p=297016-48P","View People Online")</f>
        <v>View People Online</v>
      </c>
    </row>
    <row r="614">
      <c r="A614" s="2" t="s">
        <v>4573</v>
      </c>
      <c r="B614" s="2" t="s">
        <v>4574</v>
      </c>
      <c r="C614" s="2" t="s">
        <v>4575</v>
      </c>
      <c r="D614" s="2" t="s">
        <v>4576</v>
      </c>
      <c r="E614" s="2" t="s">
        <v>4084</v>
      </c>
      <c r="F614" s="2" t="s">
        <v>270</v>
      </c>
      <c r="G614" s="2" t="s">
        <v>4577</v>
      </c>
      <c r="H614" s="3" t="s">
        <v>31</v>
      </c>
      <c r="I614" s="3">
        <v>3.0</v>
      </c>
      <c r="J614" s="3">
        <v>3.0</v>
      </c>
      <c r="K614" s="3" t="s">
        <v>31</v>
      </c>
      <c r="L614" s="4" t="s">
        <v>31</v>
      </c>
      <c r="M614" s="2" t="s">
        <v>4578</v>
      </c>
      <c r="N614" s="2" t="s">
        <v>75</v>
      </c>
      <c r="O614" s="4" t="s">
        <v>76</v>
      </c>
      <c r="P614" s="2" t="s">
        <v>4579</v>
      </c>
      <c r="Q614" s="2" t="s">
        <v>4580</v>
      </c>
      <c r="R614" s="2" t="s">
        <v>75</v>
      </c>
      <c r="S614" s="4" t="s">
        <v>4581</v>
      </c>
      <c r="T614" s="2" t="s">
        <v>66</v>
      </c>
      <c r="U614" s="4" t="s">
        <v>31</v>
      </c>
      <c r="V614" s="2" t="s">
        <v>152</v>
      </c>
      <c r="W614" s="2" t="s">
        <v>4582</v>
      </c>
      <c r="X614" s="5" t="str">
        <f>HYPERLINK("https://my.pitchbook.com?p=155189-80P","View People Online")</f>
        <v>View People Online</v>
      </c>
    </row>
    <row r="615">
      <c r="A615" s="14" t="s">
        <v>4583</v>
      </c>
      <c r="B615" s="14" t="s">
        <v>4584</v>
      </c>
      <c r="C615" s="14" t="s">
        <v>4585</v>
      </c>
      <c r="D615" s="14" t="s">
        <v>4586</v>
      </c>
      <c r="E615" s="14" t="s">
        <v>4084</v>
      </c>
      <c r="F615" s="14" t="s">
        <v>2312</v>
      </c>
      <c r="G615" s="14" t="s">
        <v>4587</v>
      </c>
      <c r="H615" s="15" t="s">
        <v>31</v>
      </c>
      <c r="I615" s="15">
        <v>42.0</v>
      </c>
      <c r="J615" s="15">
        <v>1.0</v>
      </c>
      <c r="K615" s="15">
        <v>39.0</v>
      </c>
      <c r="L615" s="16" t="s">
        <v>4086</v>
      </c>
      <c r="M615" s="14" t="s">
        <v>31</v>
      </c>
      <c r="N615" s="14" t="s">
        <v>4088</v>
      </c>
      <c r="O615" s="16" t="s">
        <v>4089</v>
      </c>
      <c r="P615" s="14" t="s">
        <v>4090</v>
      </c>
      <c r="Q615" s="14" t="s">
        <v>4091</v>
      </c>
      <c r="R615" s="14" t="s">
        <v>4092</v>
      </c>
      <c r="S615" s="16" t="s">
        <v>4093</v>
      </c>
      <c r="T615" s="14" t="s">
        <v>66</v>
      </c>
      <c r="U615" s="16" t="s">
        <v>31</v>
      </c>
      <c r="V615" s="14" t="s">
        <v>2312</v>
      </c>
      <c r="W615" s="14" t="s">
        <v>4084</v>
      </c>
      <c r="X615" s="17" t="str">
        <f>HYPERLINK("https://my.pitchbook.com?p=123592-51P","View People Online")</f>
        <v>View People Online</v>
      </c>
    </row>
    <row r="616">
      <c r="A616" s="2" t="s">
        <v>4588</v>
      </c>
      <c r="B616" s="2" t="s">
        <v>4589</v>
      </c>
      <c r="C616" s="2" t="s">
        <v>4590</v>
      </c>
      <c r="D616" s="2" t="s">
        <v>4591</v>
      </c>
      <c r="E616" s="2" t="s">
        <v>4084</v>
      </c>
      <c r="F616" s="2" t="s">
        <v>4592</v>
      </c>
      <c r="G616" s="2" t="s">
        <v>4593</v>
      </c>
      <c r="H616" s="3">
        <v>1.0</v>
      </c>
      <c r="I616" s="3">
        <v>1.0</v>
      </c>
      <c r="J616" s="3">
        <v>1.0</v>
      </c>
      <c r="K616" s="3" t="s">
        <v>31</v>
      </c>
      <c r="L616" s="4" t="s">
        <v>4594</v>
      </c>
      <c r="M616" s="2" t="s">
        <v>4595</v>
      </c>
      <c r="N616" s="2" t="s">
        <v>4088</v>
      </c>
      <c r="O616" s="4" t="s">
        <v>4089</v>
      </c>
      <c r="P616" s="2" t="s">
        <v>4090</v>
      </c>
      <c r="Q616" s="2" t="s">
        <v>4091</v>
      </c>
      <c r="R616" s="2" t="s">
        <v>4092</v>
      </c>
      <c r="S616" s="4" t="s">
        <v>4093</v>
      </c>
      <c r="T616" s="2" t="s">
        <v>66</v>
      </c>
      <c r="U616" s="4" t="s">
        <v>31</v>
      </c>
      <c r="V616" s="2" t="s">
        <v>4596</v>
      </c>
      <c r="W616" s="2" t="s">
        <v>4084</v>
      </c>
      <c r="X616" s="5" t="str">
        <f>HYPERLINK("https://my.pitchbook.com?p=297012-52P","View People Online")</f>
        <v>View People Online</v>
      </c>
    </row>
    <row r="617">
      <c r="A617" s="14" t="s">
        <v>4597</v>
      </c>
      <c r="B617" s="14" t="s">
        <v>4598</v>
      </c>
      <c r="C617" s="14" t="s">
        <v>2388</v>
      </c>
      <c r="D617" s="14" t="s">
        <v>4599</v>
      </c>
      <c r="E617" s="14" t="s">
        <v>4084</v>
      </c>
      <c r="F617" s="14" t="s">
        <v>4600</v>
      </c>
      <c r="G617" s="14" t="s">
        <v>4601</v>
      </c>
      <c r="H617" s="15" t="s">
        <v>31</v>
      </c>
      <c r="I617" s="15">
        <v>1.0</v>
      </c>
      <c r="J617" s="15">
        <v>1.0</v>
      </c>
      <c r="K617" s="15" t="s">
        <v>31</v>
      </c>
      <c r="L617" s="16" t="s">
        <v>4086</v>
      </c>
      <c r="M617" s="14" t="s">
        <v>4602</v>
      </c>
      <c r="N617" s="14" t="s">
        <v>4088</v>
      </c>
      <c r="O617" s="16" t="s">
        <v>4089</v>
      </c>
      <c r="P617" s="14" t="s">
        <v>4090</v>
      </c>
      <c r="Q617" s="14" t="s">
        <v>4091</v>
      </c>
      <c r="R617" s="14" t="s">
        <v>4092</v>
      </c>
      <c r="S617" s="16" t="s">
        <v>4093</v>
      </c>
      <c r="T617" s="14" t="s">
        <v>66</v>
      </c>
      <c r="U617" s="16" t="s">
        <v>31</v>
      </c>
      <c r="V617" s="14" t="s">
        <v>4603</v>
      </c>
      <c r="W617" s="14" t="s">
        <v>4084</v>
      </c>
      <c r="X617" s="17" t="str">
        <f>HYPERLINK("https://my.pitchbook.com?p=188459-47P","View People Online")</f>
        <v>View People Online</v>
      </c>
    </row>
    <row r="618">
      <c r="A618" s="10" t="s">
        <v>4604</v>
      </c>
      <c r="B618" s="10" t="s">
        <v>4605</v>
      </c>
      <c r="C618" s="10" t="s">
        <v>3377</v>
      </c>
      <c r="D618" s="10" t="s">
        <v>831</v>
      </c>
      <c r="E618" s="10" t="s">
        <v>4084</v>
      </c>
      <c r="F618" s="10" t="s">
        <v>57</v>
      </c>
      <c r="G618" s="10" t="s">
        <v>4606</v>
      </c>
      <c r="H618" s="11" t="s">
        <v>31</v>
      </c>
      <c r="I618" s="11">
        <v>53.0</v>
      </c>
      <c r="J618" s="11">
        <v>1.0</v>
      </c>
      <c r="K618" s="11">
        <v>43.0</v>
      </c>
      <c r="L618" s="12" t="s">
        <v>4086</v>
      </c>
      <c r="M618" s="10" t="s">
        <v>4607</v>
      </c>
      <c r="N618" s="10" t="s">
        <v>4232</v>
      </c>
      <c r="O618" s="12" t="s">
        <v>4233</v>
      </c>
      <c r="P618" s="10" t="s">
        <v>4234</v>
      </c>
      <c r="Q618" s="10" t="s">
        <v>4235</v>
      </c>
      <c r="R618" s="10" t="s">
        <v>4236</v>
      </c>
      <c r="S618" s="12" t="s">
        <v>4237</v>
      </c>
      <c r="T618" s="10" t="s">
        <v>66</v>
      </c>
      <c r="U618" s="12" t="s">
        <v>31</v>
      </c>
      <c r="V618" s="10" t="s">
        <v>4608</v>
      </c>
      <c r="W618" s="10" t="s">
        <v>4084</v>
      </c>
      <c r="X618" s="13" t="str">
        <f>HYPERLINK("https://my.pitchbook.com?p=162425-35P","View People Online")</f>
        <v>View People Online</v>
      </c>
    </row>
    <row r="619">
      <c r="A619" s="14" t="s">
        <v>4609</v>
      </c>
      <c r="B619" s="14" t="s">
        <v>4610</v>
      </c>
      <c r="C619" s="14" t="s">
        <v>4611</v>
      </c>
      <c r="D619" s="14" t="s">
        <v>4612</v>
      </c>
      <c r="E619" s="14" t="s">
        <v>4084</v>
      </c>
      <c r="F619" s="14" t="s">
        <v>57</v>
      </c>
      <c r="G619" s="14" t="s">
        <v>4613</v>
      </c>
      <c r="H619" s="15" t="s">
        <v>31</v>
      </c>
      <c r="I619" s="15">
        <v>164.0</v>
      </c>
      <c r="J619" s="15">
        <v>1.0</v>
      </c>
      <c r="K619" s="15">
        <v>150.0</v>
      </c>
      <c r="L619" s="16" t="s">
        <v>4086</v>
      </c>
      <c r="M619" s="14" t="s">
        <v>4614</v>
      </c>
      <c r="N619" s="14" t="s">
        <v>1181</v>
      </c>
      <c r="O619" s="16" t="s">
        <v>1182</v>
      </c>
      <c r="P619" s="14" t="s">
        <v>4186</v>
      </c>
      <c r="Q619" s="14" t="s">
        <v>1895</v>
      </c>
      <c r="R619" s="14" t="s">
        <v>1185</v>
      </c>
      <c r="S619" s="16" t="s">
        <v>1186</v>
      </c>
      <c r="T619" s="14" t="s">
        <v>66</v>
      </c>
      <c r="U619" s="16" t="s">
        <v>31</v>
      </c>
      <c r="V619" s="14" t="s">
        <v>4615</v>
      </c>
      <c r="W619" s="14" t="s">
        <v>4084</v>
      </c>
      <c r="X619" s="17" t="str">
        <f>HYPERLINK("https://my.pitchbook.com?p=130672-72P","View People Online")</f>
        <v>View People Online</v>
      </c>
    </row>
    <row r="620">
      <c r="A620" s="10" t="s">
        <v>4616</v>
      </c>
      <c r="B620" s="10" t="s">
        <v>4617</v>
      </c>
      <c r="C620" s="10" t="s">
        <v>4618</v>
      </c>
      <c r="D620" s="10" t="s">
        <v>4619</v>
      </c>
      <c r="E620" s="10" t="s">
        <v>4084</v>
      </c>
      <c r="F620" s="10" t="s">
        <v>318</v>
      </c>
      <c r="G620" s="10" t="s">
        <v>4620</v>
      </c>
      <c r="H620" s="11" t="s">
        <v>31</v>
      </c>
      <c r="I620" s="11">
        <v>1.0</v>
      </c>
      <c r="J620" s="11">
        <v>1.0</v>
      </c>
      <c r="K620" s="11" t="s">
        <v>31</v>
      </c>
      <c r="L620" s="12" t="s">
        <v>4086</v>
      </c>
      <c r="M620" s="10" t="s">
        <v>4621</v>
      </c>
      <c r="N620" s="10" t="s">
        <v>4088</v>
      </c>
      <c r="O620" s="12" t="s">
        <v>4089</v>
      </c>
      <c r="P620" s="10" t="s">
        <v>4090</v>
      </c>
      <c r="Q620" s="10" t="s">
        <v>4091</v>
      </c>
      <c r="R620" s="10" t="s">
        <v>4092</v>
      </c>
      <c r="S620" s="12" t="s">
        <v>4093</v>
      </c>
      <c r="T620" s="10" t="s">
        <v>66</v>
      </c>
      <c r="U620" s="12" t="s">
        <v>31</v>
      </c>
      <c r="V620" s="10" t="s">
        <v>4622</v>
      </c>
      <c r="W620" s="10" t="s">
        <v>4084</v>
      </c>
      <c r="X620" s="13" t="str">
        <f>HYPERLINK("https://my.pitchbook.com?p=430618-24P","View People Online")</f>
        <v>View People Online</v>
      </c>
    </row>
    <row r="621">
      <c r="A621" s="6" t="s">
        <v>4623</v>
      </c>
      <c r="B621" s="6" t="s">
        <v>4624</v>
      </c>
      <c r="C621" s="6" t="s">
        <v>4015</v>
      </c>
      <c r="D621" s="6" t="s">
        <v>4625</v>
      </c>
      <c r="E621" s="6" t="s">
        <v>4084</v>
      </c>
      <c r="F621" s="6" t="s">
        <v>201</v>
      </c>
      <c r="G621" s="6" t="s">
        <v>4626</v>
      </c>
      <c r="H621" s="7" t="s">
        <v>31</v>
      </c>
      <c r="I621" s="7">
        <v>1.0</v>
      </c>
      <c r="J621" s="7">
        <v>1.0</v>
      </c>
      <c r="K621" s="7" t="s">
        <v>31</v>
      </c>
      <c r="L621" s="8" t="s">
        <v>4086</v>
      </c>
      <c r="M621" s="6" t="s">
        <v>4627</v>
      </c>
      <c r="N621" s="6" t="s">
        <v>75</v>
      </c>
      <c r="O621" s="8" t="s">
        <v>76</v>
      </c>
      <c r="P621" s="6" t="s">
        <v>4151</v>
      </c>
      <c r="Q621" s="6" t="s">
        <v>4152</v>
      </c>
      <c r="R621" s="6" t="s">
        <v>75</v>
      </c>
      <c r="S621" s="8" t="s">
        <v>2167</v>
      </c>
      <c r="T621" s="6" t="s">
        <v>66</v>
      </c>
      <c r="U621" s="8" t="s">
        <v>31</v>
      </c>
      <c r="V621" s="6" t="s">
        <v>4628</v>
      </c>
      <c r="W621" s="6" t="s">
        <v>4084</v>
      </c>
      <c r="X621" s="9" t="str">
        <f>HYPERLINK("https://my.pitchbook.com?p=305241-76P","View People Online")</f>
        <v>View People Online</v>
      </c>
    </row>
    <row r="622">
      <c r="A622" s="10" t="s">
        <v>4629</v>
      </c>
      <c r="B622" s="10" t="s">
        <v>4630</v>
      </c>
      <c r="C622" s="10" t="s">
        <v>3383</v>
      </c>
      <c r="D622" s="10" t="s">
        <v>4631</v>
      </c>
      <c r="E622" s="10" t="s">
        <v>4084</v>
      </c>
      <c r="F622" s="10" t="s">
        <v>548</v>
      </c>
      <c r="G622" s="10" t="s">
        <v>4632</v>
      </c>
      <c r="H622" s="11" t="s">
        <v>31</v>
      </c>
      <c r="I622" s="11">
        <v>1.0</v>
      </c>
      <c r="J622" s="11">
        <v>1.0</v>
      </c>
      <c r="K622" s="11" t="s">
        <v>31</v>
      </c>
      <c r="L622" s="12" t="s">
        <v>4086</v>
      </c>
      <c r="M622" s="10" t="s">
        <v>4633</v>
      </c>
      <c r="N622" s="10" t="s">
        <v>4088</v>
      </c>
      <c r="O622" s="12" t="s">
        <v>4089</v>
      </c>
      <c r="P622" s="10" t="s">
        <v>4090</v>
      </c>
      <c r="Q622" s="10" t="s">
        <v>4091</v>
      </c>
      <c r="R622" s="10" t="s">
        <v>4092</v>
      </c>
      <c r="S622" s="12" t="s">
        <v>4093</v>
      </c>
      <c r="T622" s="10" t="s">
        <v>66</v>
      </c>
      <c r="U622" s="12" t="s">
        <v>31</v>
      </c>
      <c r="V622" s="10" t="s">
        <v>548</v>
      </c>
      <c r="W622" s="10" t="s">
        <v>4084</v>
      </c>
      <c r="X622" s="13" t="str">
        <f>HYPERLINK("https://my.pitchbook.com?p=381608-92P","View People Online")</f>
        <v>View People Online</v>
      </c>
    </row>
    <row r="623">
      <c r="A623" s="6" t="s">
        <v>4634</v>
      </c>
      <c r="B623" s="6" t="s">
        <v>4635</v>
      </c>
      <c r="C623" s="6" t="s">
        <v>4636</v>
      </c>
      <c r="D623" s="6" t="s">
        <v>4637</v>
      </c>
      <c r="E623" s="6" t="s">
        <v>4084</v>
      </c>
      <c r="F623" s="6" t="s">
        <v>270</v>
      </c>
      <c r="G623" s="6" t="s">
        <v>4638</v>
      </c>
      <c r="H623" s="7" t="s">
        <v>31</v>
      </c>
      <c r="I623" s="7">
        <v>1.0</v>
      </c>
      <c r="J623" s="7">
        <v>1.0</v>
      </c>
      <c r="K623" s="7" t="s">
        <v>31</v>
      </c>
      <c r="L623" s="8" t="s">
        <v>4086</v>
      </c>
      <c r="M623" s="6" t="s">
        <v>4639</v>
      </c>
      <c r="N623" s="6" t="s">
        <v>4088</v>
      </c>
      <c r="O623" s="8" t="s">
        <v>4089</v>
      </c>
      <c r="P623" s="6" t="s">
        <v>4090</v>
      </c>
      <c r="Q623" s="6" t="s">
        <v>4091</v>
      </c>
      <c r="R623" s="6" t="s">
        <v>4092</v>
      </c>
      <c r="S623" s="8" t="s">
        <v>4093</v>
      </c>
      <c r="T623" s="6" t="s">
        <v>66</v>
      </c>
      <c r="U623" s="8" t="s">
        <v>31</v>
      </c>
      <c r="V623" s="6" t="s">
        <v>4640</v>
      </c>
      <c r="W623" s="6" t="s">
        <v>4084</v>
      </c>
      <c r="X623" s="9" t="str">
        <f>HYPERLINK("https://my.pitchbook.com?p=309025-45P","View People Online")</f>
        <v>View People Online</v>
      </c>
    </row>
    <row r="624">
      <c r="A624" s="2" t="s">
        <v>4641</v>
      </c>
      <c r="B624" s="2" t="s">
        <v>4642</v>
      </c>
      <c r="C624" s="2" t="s">
        <v>2451</v>
      </c>
      <c r="D624" s="2" t="s">
        <v>4643</v>
      </c>
      <c r="E624" s="2" t="s">
        <v>4084</v>
      </c>
      <c r="F624" s="2" t="s">
        <v>1624</v>
      </c>
      <c r="G624" s="2" t="s">
        <v>4644</v>
      </c>
      <c r="H624" s="3" t="s">
        <v>31</v>
      </c>
      <c r="I624" s="3">
        <v>1.0</v>
      </c>
      <c r="J624" s="3">
        <v>1.0</v>
      </c>
      <c r="K624" s="3" t="s">
        <v>31</v>
      </c>
      <c r="L624" s="4" t="s">
        <v>4086</v>
      </c>
      <c r="M624" s="2" t="s">
        <v>4645</v>
      </c>
      <c r="N624" s="2" t="s">
        <v>4088</v>
      </c>
      <c r="O624" s="4" t="s">
        <v>4089</v>
      </c>
      <c r="P624" s="2" t="s">
        <v>4090</v>
      </c>
      <c r="Q624" s="2" t="s">
        <v>4091</v>
      </c>
      <c r="R624" s="2" t="s">
        <v>4092</v>
      </c>
      <c r="S624" s="4" t="s">
        <v>4093</v>
      </c>
      <c r="T624" s="2" t="s">
        <v>66</v>
      </c>
      <c r="U624" s="4" t="s">
        <v>31</v>
      </c>
      <c r="V624" s="2" t="s">
        <v>4646</v>
      </c>
      <c r="W624" s="2" t="s">
        <v>4084</v>
      </c>
      <c r="X624" s="5" t="str">
        <f>HYPERLINK("https://my.pitchbook.com?p=417691-00P","View People Online")</f>
        <v>View People Online</v>
      </c>
    </row>
    <row r="625">
      <c r="A625" s="6" t="s">
        <v>4647</v>
      </c>
      <c r="B625" s="6" t="s">
        <v>4648</v>
      </c>
      <c r="C625" s="6" t="s">
        <v>4649</v>
      </c>
      <c r="D625" s="6" t="s">
        <v>4650</v>
      </c>
      <c r="E625" s="6" t="s">
        <v>4084</v>
      </c>
      <c r="F625" s="6" t="s">
        <v>1801</v>
      </c>
      <c r="G625" s="6" t="s">
        <v>4651</v>
      </c>
      <c r="H625" s="7" t="s">
        <v>31</v>
      </c>
      <c r="I625" s="7">
        <v>1.0</v>
      </c>
      <c r="J625" s="7">
        <v>1.0</v>
      </c>
      <c r="K625" s="7" t="s">
        <v>31</v>
      </c>
      <c r="L625" s="8" t="s">
        <v>4086</v>
      </c>
      <c r="M625" s="6" t="s">
        <v>4652</v>
      </c>
      <c r="N625" s="6" t="s">
        <v>75</v>
      </c>
      <c r="O625" s="8" t="s">
        <v>76</v>
      </c>
      <c r="P625" s="6" t="s">
        <v>4151</v>
      </c>
      <c r="Q625" s="6" t="s">
        <v>4152</v>
      </c>
      <c r="R625" s="6" t="s">
        <v>75</v>
      </c>
      <c r="S625" s="8" t="s">
        <v>2167</v>
      </c>
      <c r="T625" s="6" t="s">
        <v>66</v>
      </c>
      <c r="U625" s="8" t="s">
        <v>31</v>
      </c>
      <c r="V625" s="6" t="s">
        <v>4653</v>
      </c>
      <c r="W625" s="6" t="s">
        <v>4084</v>
      </c>
      <c r="X625" s="9" t="str">
        <f>HYPERLINK("https://my.pitchbook.com?p=319037-05P","View People Online")</f>
        <v>View People Online</v>
      </c>
    </row>
    <row r="626">
      <c r="A626" s="2" t="s">
        <v>4654</v>
      </c>
      <c r="B626" s="2" t="s">
        <v>4655</v>
      </c>
      <c r="C626" s="2" t="s">
        <v>4656</v>
      </c>
      <c r="D626" s="2" t="s">
        <v>1866</v>
      </c>
      <c r="E626" s="2" t="s">
        <v>4084</v>
      </c>
      <c r="F626" s="2" t="s">
        <v>201</v>
      </c>
      <c r="G626" s="2" t="s">
        <v>4657</v>
      </c>
      <c r="H626" s="3" t="s">
        <v>31</v>
      </c>
      <c r="I626" s="3">
        <v>1.0</v>
      </c>
      <c r="J626" s="3">
        <v>1.0</v>
      </c>
      <c r="K626" s="3" t="s">
        <v>31</v>
      </c>
      <c r="L626" s="4" t="s">
        <v>4086</v>
      </c>
      <c r="M626" s="2" t="s">
        <v>4658</v>
      </c>
      <c r="N626" s="2" t="s">
        <v>4088</v>
      </c>
      <c r="O626" s="4" t="s">
        <v>4089</v>
      </c>
      <c r="P626" s="2" t="s">
        <v>4090</v>
      </c>
      <c r="Q626" s="2" t="s">
        <v>4091</v>
      </c>
      <c r="R626" s="2" t="s">
        <v>4092</v>
      </c>
      <c r="S626" s="4" t="s">
        <v>4093</v>
      </c>
      <c r="T626" s="2" t="s">
        <v>66</v>
      </c>
      <c r="U626" s="4" t="s">
        <v>31</v>
      </c>
      <c r="V626" s="2" t="s">
        <v>4659</v>
      </c>
      <c r="W626" s="2" t="s">
        <v>4084</v>
      </c>
      <c r="X626" s="5" t="str">
        <f>HYPERLINK("https://my.pitchbook.com?p=417690-73P","View People Online")</f>
        <v>View People Online</v>
      </c>
    </row>
    <row r="627">
      <c r="A627" s="14" t="s">
        <v>4660</v>
      </c>
      <c r="B627" s="14" t="s">
        <v>4661</v>
      </c>
      <c r="C627" s="14" t="s">
        <v>1820</v>
      </c>
      <c r="D627" s="14" t="s">
        <v>4662</v>
      </c>
      <c r="E627" s="14" t="s">
        <v>4084</v>
      </c>
      <c r="F627" s="14" t="s">
        <v>29</v>
      </c>
      <c r="G627" s="14" t="s">
        <v>4663</v>
      </c>
      <c r="H627" s="15" t="s">
        <v>31</v>
      </c>
      <c r="I627" s="15">
        <v>2.0</v>
      </c>
      <c r="J627" s="15">
        <v>1.0</v>
      </c>
      <c r="K627" s="15" t="s">
        <v>31</v>
      </c>
      <c r="L627" s="16" t="s">
        <v>4086</v>
      </c>
      <c r="M627" s="14" t="s">
        <v>4664</v>
      </c>
      <c r="N627" s="14" t="s">
        <v>4088</v>
      </c>
      <c r="O627" s="16" t="s">
        <v>4089</v>
      </c>
      <c r="P627" s="14" t="s">
        <v>4090</v>
      </c>
      <c r="Q627" s="14" t="s">
        <v>4091</v>
      </c>
      <c r="R627" s="14" t="s">
        <v>4092</v>
      </c>
      <c r="S627" s="16" t="s">
        <v>4093</v>
      </c>
      <c r="T627" s="14" t="s">
        <v>66</v>
      </c>
      <c r="U627" s="16" t="s">
        <v>31</v>
      </c>
      <c r="V627" s="14" t="s">
        <v>4665</v>
      </c>
      <c r="W627" s="14" t="s">
        <v>4084</v>
      </c>
      <c r="X627" s="17" t="str">
        <f>HYPERLINK("https://my.pitchbook.com?p=271798-84P","View People Online")</f>
        <v>View People Online</v>
      </c>
    </row>
    <row r="628">
      <c r="A628" s="10" t="s">
        <v>4666</v>
      </c>
      <c r="B628" s="10" t="s">
        <v>4667</v>
      </c>
      <c r="C628" s="10" t="s">
        <v>4668</v>
      </c>
      <c r="D628" s="10" t="s">
        <v>732</v>
      </c>
      <c r="E628" s="10" t="s">
        <v>4084</v>
      </c>
      <c r="F628" s="10" t="s">
        <v>4256</v>
      </c>
      <c r="G628" s="10" t="s">
        <v>4669</v>
      </c>
      <c r="H628" s="11" t="s">
        <v>31</v>
      </c>
      <c r="I628" s="11">
        <v>2.0</v>
      </c>
      <c r="J628" s="11">
        <v>2.0</v>
      </c>
      <c r="K628" s="11" t="s">
        <v>31</v>
      </c>
      <c r="L628" s="12" t="s">
        <v>4086</v>
      </c>
      <c r="M628" s="10" t="s">
        <v>4670</v>
      </c>
      <c r="N628" s="10" t="s">
        <v>4088</v>
      </c>
      <c r="O628" s="12" t="s">
        <v>4089</v>
      </c>
      <c r="P628" s="10" t="s">
        <v>4090</v>
      </c>
      <c r="Q628" s="10" t="s">
        <v>4091</v>
      </c>
      <c r="R628" s="10" t="s">
        <v>4092</v>
      </c>
      <c r="S628" s="12" t="s">
        <v>4093</v>
      </c>
      <c r="T628" s="10" t="s">
        <v>66</v>
      </c>
      <c r="U628" s="12" t="s">
        <v>31</v>
      </c>
      <c r="V628" s="10" t="s">
        <v>4256</v>
      </c>
      <c r="W628" s="10" t="s">
        <v>4084</v>
      </c>
      <c r="X628" s="13" t="str">
        <f>HYPERLINK("https://my.pitchbook.com?p=258493-15P","View People Online")</f>
        <v>View People Online</v>
      </c>
    </row>
    <row r="629">
      <c r="A629" s="6" t="s">
        <v>4671</v>
      </c>
      <c r="B629" s="6" t="s">
        <v>4672</v>
      </c>
      <c r="C629" s="6" t="s">
        <v>4673</v>
      </c>
      <c r="D629" s="6" t="s">
        <v>3847</v>
      </c>
      <c r="E629" s="6" t="s">
        <v>4084</v>
      </c>
      <c r="F629" s="6" t="s">
        <v>312</v>
      </c>
      <c r="G629" s="6" t="s">
        <v>4674</v>
      </c>
      <c r="H629" s="7" t="s">
        <v>31</v>
      </c>
      <c r="I629" s="7">
        <v>1.0</v>
      </c>
      <c r="J629" s="7">
        <v>1.0</v>
      </c>
      <c r="K629" s="7" t="s">
        <v>31</v>
      </c>
      <c r="L629" s="8" t="s">
        <v>4086</v>
      </c>
      <c r="M629" s="6" t="s">
        <v>4675</v>
      </c>
      <c r="N629" s="6" t="s">
        <v>4088</v>
      </c>
      <c r="O629" s="8" t="s">
        <v>4089</v>
      </c>
      <c r="P629" s="6" t="s">
        <v>4090</v>
      </c>
      <c r="Q629" s="6" t="s">
        <v>4091</v>
      </c>
      <c r="R629" s="6" t="s">
        <v>4092</v>
      </c>
      <c r="S629" s="8" t="s">
        <v>4093</v>
      </c>
      <c r="T629" s="6" t="s">
        <v>66</v>
      </c>
      <c r="U629" s="8" t="s">
        <v>31</v>
      </c>
      <c r="V629" s="6" t="s">
        <v>4676</v>
      </c>
      <c r="W629" s="6" t="s">
        <v>4084</v>
      </c>
      <c r="X629" s="9" t="str">
        <f>HYPERLINK("https://my.pitchbook.com?p=238880-98P","View People Online")</f>
        <v>View People Online</v>
      </c>
    </row>
    <row r="630">
      <c r="A630" s="2" t="s">
        <v>4677</v>
      </c>
      <c r="B630" s="2" t="s">
        <v>4678</v>
      </c>
      <c r="C630" s="2" t="s">
        <v>4679</v>
      </c>
      <c r="D630" s="2" t="s">
        <v>4680</v>
      </c>
      <c r="E630" s="2" t="s">
        <v>4084</v>
      </c>
      <c r="F630" s="2" t="s">
        <v>270</v>
      </c>
      <c r="G630" s="2" t="s">
        <v>4681</v>
      </c>
      <c r="H630" s="3">
        <v>3.0</v>
      </c>
      <c r="I630" s="3">
        <v>18.0</v>
      </c>
      <c r="J630" s="3">
        <v>2.0</v>
      </c>
      <c r="K630" s="3">
        <v>10.0</v>
      </c>
      <c r="L630" s="4" t="s">
        <v>4682</v>
      </c>
      <c r="M630" s="2" t="s">
        <v>4683</v>
      </c>
      <c r="N630" s="2" t="s">
        <v>4684</v>
      </c>
      <c r="O630" s="4" t="s">
        <v>4685</v>
      </c>
      <c r="P630" s="2" t="s">
        <v>4686</v>
      </c>
      <c r="Q630" s="2" t="s">
        <v>31</v>
      </c>
      <c r="R630" s="2" t="s">
        <v>209</v>
      </c>
      <c r="S630" s="4" t="s">
        <v>4687</v>
      </c>
      <c r="T630" s="2" t="s">
        <v>66</v>
      </c>
      <c r="U630" s="4" t="s">
        <v>31</v>
      </c>
      <c r="V630" s="2" t="s">
        <v>4688</v>
      </c>
      <c r="W630" s="2" t="s">
        <v>4689</v>
      </c>
      <c r="X630" s="5" t="str">
        <f>HYPERLINK("https://my.pitchbook.com?p=203724-19P","View People Online")</f>
        <v>View People Online</v>
      </c>
    </row>
    <row r="631">
      <c r="A631" s="14" t="s">
        <v>4690</v>
      </c>
      <c r="B631" s="14" t="s">
        <v>4691</v>
      </c>
      <c r="C631" s="14" t="s">
        <v>4692</v>
      </c>
      <c r="D631" s="14" t="s">
        <v>4693</v>
      </c>
      <c r="E631" s="14" t="s">
        <v>4084</v>
      </c>
      <c r="F631" s="14" t="s">
        <v>548</v>
      </c>
      <c r="G631" s="14" t="s">
        <v>4694</v>
      </c>
      <c r="H631" s="15" t="s">
        <v>31</v>
      </c>
      <c r="I631" s="15">
        <v>1.0</v>
      </c>
      <c r="J631" s="15">
        <v>1.0</v>
      </c>
      <c r="K631" s="15" t="s">
        <v>31</v>
      </c>
      <c r="L631" s="16" t="s">
        <v>4086</v>
      </c>
      <c r="M631" s="14" t="s">
        <v>4695</v>
      </c>
      <c r="N631" s="14" t="s">
        <v>4088</v>
      </c>
      <c r="O631" s="16" t="s">
        <v>4089</v>
      </c>
      <c r="P631" s="14" t="s">
        <v>4090</v>
      </c>
      <c r="Q631" s="14" t="s">
        <v>4091</v>
      </c>
      <c r="R631" s="14" t="s">
        <v>4092</v>
      </c>
      <c r="S631" s="16" t="s">
        <v>4093</v>
      </c>
      <c r="T631" s="14" t="s">
        <v>66</v>
      </c>
      <c r="U631" s="16" t="s">
        <v>31</v>
      </c>
      <c r="V631" s="14" t="s">
        <v>4696</v>
      </c>
      <c r="W631" s="14" t="s">
        <v>4084</v>
      </c>
      <c r="X631" s="17" t="str">
        <f>HYPERLINK("https://my.pitchbook.com?p=213371-83P","View People Online")</f>
        <v>View People Online</v>
      </c>
    </row>
    <row r="632">
      <c r="A632" s="2" t="s">
        <v>4697</v>
      </c>
      <c r="B632" s="2" t="s">
        <v>4698</v>
      </c>
      <c r="C632" s="2" t="s">
        <v>4699</v>
      </c>
      <c r="D632" s="2" t="s">
        <v>4700</v>
      </c>
      <c r="E632" s="2" t="s">
        <v>4084</v>
      </c>
      <c r="F632" s="2" t="s">
        <v>270</v>
      </c>
      <c r="G632" s="2" t="s">
        <v>4701</v>
      </c>
      <c r="H632" s="3" t="s">
        <v>31</v>
      </c>
      <c r="I632" s="3">
        <v>5.0</v>
      </c>
      <c r="J632" s="3">
        <v>2.0</v>
      </c>
      <c r="K632" s="3">
        <v>2.0</v>
      </c>
      <c r="L632" s="4" t="s">
        <v>4702</v>
      </c>
      <c r="M632" s="2" t="s">
        <v>4703</v>
      </c>
      <c r="N632" s="2" t="s">
        <v>75</v>
      </c>
      <c r="O632" s="4" t="s">
        <v>76</v>
      </c>
      <c r="P632" s="2" t="s">
        <v>4704</v>
      </c>
      <c r="Q632" s="2" t="s">
        <v>31</v>
      </c>
      <c r="R632" s="2" t="s">
        <v>75</v>
      </c>
      <c r="S632" s="4" t="s">
        <v>4705</v>
      </c>
      <c r="T632" s="2" t="s">
        <v>66</v>
      </c>
      <c r="U632" s="4" t="s">
        <v>4706</v>
      </c>
      <c r="V632" s="2" t="s">
        <v>4707</v>
      </c>
      <c r="W632" s="2" t="s">
        <v>4708</v>
      </c>
      <c r="X632" s="5" t="str">
        <f>HYPERLINK("https://my.pitchbook.com?p=29980-36P","View People Online")</f>
        <v>View People Online</v>
      </c>
    </row>
    <row r="633">
      <c r="A633" s="14" t="s">
        <v>4709</v>
      </c>
      <c r="B633" s="14" t="s">
        <v>4710</v>
      </c>
      <c r="C633" s="14" t="s">
        <v>1533</v>
      </c>
      <c r="D633" s="14" t="s">
        <v>4711</v>
      </c>
      <c r="E633" s="14" t="s">
        <v>4084</v>
      </c>
      <c r="F633" s="14" t="s">
        <v>57</v>
      </c>
      <c r="G633" s="14" t="s">
        <v>4712</v>
      </c>
      <c r="H633" s="15" t="s">
        <v>31</v>
      </c>
      <c r="I633" s="15">
        <v>88.0</v>
      </c>
      <c r="J633" s="15">
        <v>1.0</v>
      </c>
      <c r="K633" s="15">
        <v>71.0</v>
      </c>
      <c r="L633" s="16" t="s">
        <v>4086</v>
      </c>
      <c r="M633" s="14" t="s">
        <v>4713</v>
      </c>
      <c r="N633" s="14" t="s">
        <v>4088</v>
      </c>
      <c r="O633" s="16" t="s">
        <v>4089</v>
      </c>
      <c r="P633" s="14" t="s">
        <v>4090</v>
      </c>
      <c r="Q633" s="14" t="s">
        <v>4091</v>
      </c>
      <c r="R633" s="14" t="s">
        <v>4092</v>
      </c>
      <c r="S633" s="16" t="s">
        <v>4093</v>
      </c>
      <c r="T633" s="14" t="s">
        <v>66</v>
      </c>
      <c r="U633" s="16" t="s">
        <v>31</v>
      </c>
      <c r="V633" s="14" t="s">
        <v>4714</v>
      </c>
      <c r="W633" s="14" t="s">
        <v>4084</v>
      </c>
      <c r="X633" s="17" t="str">
        <f>HYPERLINK("https://my.pitchbook.com?p=125021-98P","View People Online")</f>
        <v>View People Online</v>
      </c>
    </row>
    <row r="634">
      <c r="A634" s="10" t="s">
        <v>4715</v>
      </c>
      <c r="B634" s="10" t="s">
        <v>4716</v>
      </c>
      <c r="C634" s="10" t="s">
        <v>4717</v>
      </c>
      <c r="D634" s="10" t="s">
        <v>4718</v>
      </c>
      <c r="E634" s="10" t="s">
        <v>4084</v>
      </c>
      <c r="F634" s="10" t="s">
        <v>29</v>
      </c>
      <c r="G634" s="10" t="s">
        <v>4719</v>
      </c>
      <c r="H634" s="11" t="s">
        <v>31</v>
      </c>
      <c r="I634" s="11">
        <v>25.0</v>
      </c>
      <c r="J634" s="11">
        <v>2.0</v>
      </c>
      <c r="K634" s="11">
        <v>18.0</v>
      </c>
      <c r="L634" s="12" t="s">
        <v>4086</v>
      </c>
      <c r="M634" s="10" t="s">
        <v>4720</v>
      </c>
      <c r="N634" s="10" t="s">
        <v>1181</v>
      </c>
      <c r="O634" s="12" t="s">
        <v>1182</v>
      </c>
      <c r="P634" s="10" t="s">
        <v>4186</v>
      </c>
      <c r="Q634" s="10" t="s">
        <v>1895</v>
      </c>
      <c r="R634" s="10" t="s">
        <v>1185</v>
      </c>
      <c r="S634" s="12" t="s">
        <v>1186</v>
      </c>
      <c r="T634" s="10" t="s">
        <v>66</v>
      </c>
      <c r="U634" s="12" t="s">
        <v>31</v>
      </c>
      <c r="V634" s="10" t="s">
        <v>4721</v>
      </c>
      <c r="W634" s="10" t="s">
        <v>4084</v>
      </c>
      <c r="X634" s="13" t="str">
        <f>HYPERLINK("https://my.pitchbook.com?p=206113-33P","View People Online")</f>
        <v>View People Online</v>
      </c>
    </row>
    <row r="635">
      <c r="A635" s="6" t="s">
        <v>4722</v>
      </c>
      <c r="B635" s="6" t="s">
        <v>4723</v>
      </c>
      <c r="C635" s="6" t="s">
        <v>4724</v>
      </c>
      <c r="D635" s="6" t="s">
        <v>4725</v>
      </c>
      <c r="E635" s="6" t="s">
        <v>4084</v>
      </c>
      <c r="F635" s="6" t="s">
        <v>29</v>
      </c>
      <c r="G635" s="6" t="s">
        <v>4726</v>
      </c>
      <c r="H635" s="7" t="s">
        <v>31</v>
      </c>
      <c r="I635" s="7">
        <v>3.0</v>
      </c>
      <c r="J635" s="7">
        <v>1.0</v>
      </c>
      <c r="K635" s="7" t="s">
        <v>31</v>
      </c>
      <c r="L635" s="8" t="s">
        <v>4727</v>
      </c>
      <c r="M635" s="6" t="s">
        <v>4728</v>
      </c>
      <c r="N635" s="6" t="s">
        <v>75</v>
      </c>
      <c r="O635" s="8" t="s">
        <v>76</v>
      </c>
      <c r="P635" s="6" t="s">
        <v>4151</v>
      </c>
      <c r="Q635" s="6" t="s">
        <v>4152</v>
      </c>
      <c r="R635" s="6" t="s">
        <v>75</v>
      </c>
      <c r="S635" s="8" t="s">
        <v>2167</v>
      </c>
      <c r="T635" s="6" t="s">
        <v>66</v>
      </c>
      <c r="U635" s="8" t="s">
        <v>31</v>
      </c>
      <c r="V635" s="6" t="s">
        <v>29</v>
      </c>
      <c r="W635" s="6" t="s">
        <v>4084</v>
      </c>
      <c r="X635" s="9" t="str">
        <f>HYPERLINK("https://my.pitchbook.com?p=297011-08P","View People Online")</f>
        <v>View People Online</v>
      </c>
    </row>
    <row r="636">
      <c r="A636" s="10" t="s">
        <v>4729</v>
      </c>
      <c r="B636" s="10" t="s">
        <v>4730</v>
      </c>
      <c r="C636" s="10" t="s">
        <v>4731</v>
      </c>
      <c r="D636" s="10" t="s">
        <v>4732</v>
      </c>
      <c r="E636" s="10" t="s">
        <v>4733</v>
      </c>
      <c r="F636" s="10" t="s">
        <v>81</v>
      </c>
      <c r="G636" s="10" t="s">
        <v>4734</v>
      </c>
      <c r="H636" s="11" t="s">
        <v>31</v>
      </c>
      <c r="I636" s="11">
        <v>6.0</v>
      </c>
      <c r="J636" s="11">
        <v>1.0</v>
      </c>
      <c r="K636" s="11">
        <v>4.0</v>
      </c>
      <c r="L636" s="12" t="s">
        <v>31</v>
      </c>
      <c r="M636" s="10" t="s">
        <v>4735</v>
      </c>
      <c r="N636" s="10" t="s">
        <v>75</v>
      </c>
      <c r="O636" s="12" t="s">
        <v>76</v>
      </c>
      <c r="P636" s="10" t="s">
        <v>31</v>
      </c>
      <c r="Q636" s="10" t="s">
        <v>31</v>
      </c>
      <c r="R636" s="10" t="s">
        <v>75</v>
      </c>
      <c r="S636" s="12" t="s">
        <v>31</v>
      </c>
      <c r="T636" s="10" t="s">
        <v>66</v>
      </c>
      <c r="U636" s="12" t="s">
        <v>31</v>
      </c>
      <c r="V636" s="10" t="s">
        <v>1283</v>
      </c>
      <c r="W636" s="10" t="s">
        <v>4736</v>
      </c>
      <c r="X636" s="13" t="str">
        <f>HYPERLINK("https://my.pitchbook.com?p=186801-85P","View People Online")</f>
        <v>View People Online</v>
      </c>
    </row>
    <row r="637">
      <c r="A637" s="14" t="s">
        <v>4737</v>
      </c>
      <c r="B637" s="14" t="s">
        <v>4738</v>
      </c>
      <c r="C637" s="14" t="s">
        <v>4739</v>
      </c>
      <c r="D637" s="14" t="s">
        <v>746</v>
      </c>
      <c r="E637" s="14" t="s">
        <v>4733</v>
      </c>
      <c r="F637" s="14" t="s">
        <v>86</v>
      </c>
      <c r="G637" s="14" t="s">
        <v>4740</v>
      </c>
      <c r="H637" s="15" t="s">
        <v>31</v>
      </c>
      <c r="I637" s="15">
        <v>3.0</v>
      </c>
      <c r="J637" s="15">
        <v>1.0</v>
      </c>
      <c r="K637" s="15">
        <v>1.0</v>
      </c>
      <c r="L637" s="16" t="s">
        <v>4741</v>
      </c>
      <c r="M637" s="14" t="s">
        <v>4742</v>
      </c>
      <c r="N637" s="14" t="s">
        <v>4743</v>
      </c>
      <c r="O637" s="16" t="s">
        <v>4744</v>
      </c>
      <c r="P637" s="14" t="s">
        <v>4745</v>
      </c>
      <c r="Q637" s="14" t="s">
        <v>31</v>
      </c>
      <c r="R637" s="14" t="s">
        <v>396</v>
      </c>
      <c r="S637" s="16" t="s">
        <v>4746</v>
      </c>
      <c r="T637" s="14" t="s">
        <v>66</v>
      </c>
      <c r="U637" s="16" t="s">
        <v>31</v>
      </c>
      <c r="V637" s="14" t="s">
        <v>4747</v>
      </c>
      <c r="W637" s="14" t="s">
        <v>4733</v>
      </c>
      <c r="X637" s="17" t="str">
        <f>HYPERLINK("https://my.pitchbook.com?p=237852-46P","View People Online")</f>
        <v>View People Online</v>
      </c>
    </row>
    <row r="638">
      <c r="A638" s="2" t="s">
        <v>4748</v>
      </c>
      <c r="B638" s="2" t="s">
        <v>4749</v>
      </c>
      <c r="C638" s="2" t="s">
        <v>1343</v>
      </c>
      <c r="D638" s="2" t="s">
        <v>4750</v>
      </c>
      <c r="E638" s="2" t="s">
        <v>4733</v>
      </c>
      <c r="F638" s="2" t="s">
        <v>81</v>
      </c>
      <c r="G638" s="2" t="s">
        <v>4751</v>
      </c>
      <c r="H638" s="3" t="s">
        <v>31</v>
      </c>
      <c r="I638" s="3">
        <v>2.0</v>
      </c>
      <c r="J638" s="3">
        <v>1.0</v>
      </c>
      <c r="K638" s="3" t="s">
        <v>31</v>
      </c>
      <c r="L638" s="4" t="s">
        <v>4741</v>
      </c>
      <c r="M638" s="2" t="s">
        <v>31</v>
      </c>
      <c r="N638" s="2" t="s">
        <v>4743</v>
      </c>
      <c r="O638" s="4" t="s">
        <v>4744</v>
      </c>
      <c r="P638" s="2" t="s">
        <v>4745</v>
      </c>
      <c r="Q638" s="2" t="s">
        <v>31</v>
      </c>
      <c r="R638" s="2" t="s">
        <v>396</v>
      </c>
      <c r="S638" s="4" t="s">
        <v>4746</v>
      </c>
      <c r="T638" s="2" t="s">
        <v>66</v>
      </c>
      <c r="U638" s="4" t="s">
        <v>31</v>
      </c>
      <c r="V638" s="2" t="s">
        <v>81</v>
      </c>
      <c r="W638" s="2" t="s">
        <v>4733</v>
      </c>
      <c r="X638" s="5" t="str">
        <f>HYPERLINK("https://my.pitchbook.com?p=231800-05P","View People Online")</f>
        <v>View People Online</v>
      </c>
    </row>
    <row r="639">
      <c r="A639" s="6" t="s">
        <v>4752</v>
      </c>
      <c r="B639" s="6" t="s">
        <v>4753</v>
      </c>
      <c r="C639" s="6" t="s">
        <v>2221</v>
      </c>
      <c r="D639" s="6" t="s">
        <v>4754</v>
      </c>
      <c r="E639" s="6" t="s">
        <v>4733</v>
      </c>
      <c r="F639" s="6" t="s">
        <v>81</v>
      </c>
      <c r="G639" s="6" t="s">
        <v>4755</v>
      </c>
      <c r="H639" s="7" t="s">
        <v>31</v>
      </c>
      <c r="I639" s="7">
        <v>2.0</v>
      </c>
      <c r="J639" s="7">
        <v>1.0</v>
      </c>
      <c r="K639" s="7" t="s">
        <v>31</v>
      </c>
      <c r="L639" s="8" t="s">
        <v>31</v>
      </c>
      <c r="M639" s="6" t="s">
        <v>31</v>
      </c>
      <c r="N639" s="6" t="s">
        <v>4756</v>
      </c>
      <c r="O639" s="8" t="s">
        <v>4757</v>
      </c>
      <c r="P639" s="6" t="s">
        <v>4758</v>
      </c>
      <c r="Q639" s="6" t="s">
        <v>31</v>
      </c>
      <c r="R639" s="6" t="s">
        <v>31</v>
      </c>
      <c r="S639" s="8" t="s">
        <v>31</v>
      </c>
      <c r="T639" s="6" t="s">
        <v>796</v>
      </c>
      <c r="U639" s="8" t="s">
        <v>31</v>
      </c>
      <c r="V639" s="6" t="s">
        <v>3600</v>
      </c>
      <c r="W639" s="6" t="s">
        <v>4759</v>
      </c>
      <c r="X639" s="9" t="str">
        <f>HYPERLINK("https://my.pitchbook.com?p=99415-36P","View People Online")</f>
        <v>View People Online</v>
      </c>
    </row>
    <row r="640">
      <c r="A640" s="2" t="s">
        <v>4760</v>
      </c>
      <c r="B640" s="2" t="s">
        <v>4761</v>
      </c>
      <c r="C640" s="2" t="s">
        <v>536</v>
      </c>
      <c r="D640" s="2" t="s">
        <v>4762</v>
      </c>
      <c r="E640" s="2" t="s">
        <v>4733</v>
      </c>
      <c r="F640" s="2" t="s">
        <v>43</v>
      </c>
      <c r="G640" s="2" t="s">
        <v>4763</v>
      </c>
      <c r="H640" s="3" t="s">
        <v>31</v>
      </c>
      <c r="I640" s="3">
        <v>1.0</v>
      </c>
      <c r="J640" s="3">
        <v>1.0</v>
      </c>
      <c r="K640" s="3" t="s">
        <v>31</v>
      </c>
      <c r="L640" s="4" t="s">
        <v>4741</v>
      </c>
      <c r="M640" s="2" t="s">
        <v>4764</v>
      </c>
      <c r="N640" s="2" t="s">
        <v>4743</v>
      </c>
      <c r="O640" s="4" t="s">
        <v>4744</v>
      </c>
      <c r="P640" s="2" t="s">
        <v>4745</v>
      </c>
      <c r="Q640" s="2" t="s">
        <v>31</v>
      </c>
      <c r="R640" s="2" t="s">
        <v>396</v>
      </c>
      <c r="S640" s="4" t="s">
        <v>4746</v>
      </c>
      <c r="T640" s="2" t="s">
        <v>66</v>
      </c>
      <c r="U640" s="4" t="s">
        <v>31</v>
      </c>
      <c r="V640" s="2" t="s">
        <v>43</v>
      </c>
      <c r="W640" s="2" t="s">
        <v>4733</v>
      </c>
      <c r="X640" s="5" t="str">
        <f>HYPERLINK("https://my.pitchbook.com?p=298755-19P","View People Online")</f>
        <v>View People Online</v>
      </c>
    </row>
    <row r="641">
      <c r="A641" s="6" t="s">
        <v>4765</v>
      </c>
      <c r="B641" s="6" t="s">
        <v>4766</v>
      </c>
      <c r="C641" s="6" t="s">
        <v>4767</v>
      </c>
      <c r="D641" s="6" t="s">
        <v>4768</v>
      </c>
      <c r="E641" s="6" t="s">
        <v>4733</v>
      </c>
      <c r="F641" s="6" t="s">
        <v>81</v>
      </c>
      <c r="G641" s="6" t="s">
        <v>4769</v>
      </c>
      <c r="H641" s="7" t="s">
        <v>31</v>
      </c>
      <c r="I641" s="7">
        <v>6.0</v>
      </c>
      <c r="J641" s="7">
        <v>2.0</v>
      </c>
      <c r="K641" s="7">
        <v>1.0</v>
      </c>
      <c r="L641" s="8" t="s">
        <v>31</v>
      </c>
      <c r="M641" s="6" t="s">
        <v>31</v>
      </c>
      <c r="N641" s="6" t="s">
        <v>3603</v>
      </c>
      <c r="O641" s="8" t="s">
        <v>3604</v>
      </c>
      <c r="P641" s="6" t="s">
        <v>4770</v>
      </c>
      <c r="Q641" s="6" t="s">
        <v>4771</v>
      </c>
      <c r="R641" s="6" t="s">
        <v>31</v>
      </c>
      <c r="S641" s="8" t="s">
        <v>31</v>
      </c>
      <c r="T641" s="6" t="s">
        <v>3603</v>
      </c>
      <c r="U641" s="8" t="s">
        <v>31</v>
      </c>
      <c r="V641" s="6" t="s">
        <v>991</v>
      </c>
      <c r="W641" s="6" t="s">
        <v>4772</v>
      </c>
      <c r="X641" s="9" t="str">
        <f>HYPERLINK("https://my.pitchbook.com?p=273510-73P","View People Online")</f>
        <v>View People Online</v>
      </c>
    </row>
    <row r="642">
      <c r="A642" s="10" t="s">
        <v>4773</v>
      </c>
      <c r="B642" s="10" t="s">
        <v>4774</v>
      </c>
      <c r="C642" s="10" t="s">
        <v>2572</v>
      </c>
      <c r="D642" s="10" t="s">
        <v>1645</v>
      </c>
      <c r="E642" s="10" t="s">
        <v>4775</v>
      </c>
      <c r="F642" s="10" t="s">
        <v>371</v>
      </c>
      <c r="G642" s="10" t="s">
        <v>4776</v>
      </c>
      <c r="H642" s="11" t="s">
        <v>31</v>
      </c>
      <c r="I642" s="11">
        <v>2.0</v>
      </c>
      <c r="J642" s="11">
        <v>1.0</v>
      </c>
      <c r="K642" s="11">
        <v>1.0</v>
      </c>
      <c r="L642" s="12" t="s">
        <v>4777</v>
      </c>
      <c r="M642" s="10" t="s">
        <v>4778</v>
      </c>
      <c r="N642" s="10" t="s">
        <v>1442</v>
      </c>
      <c r="O642" s="12" t="s">
        <v>1443</v>
      </c>
      <c r="P642" s="10" t="s">
        <v>4779</v>
      </c>
      <c r="Q642" s="10" t="s">
        <v>31</v>
      </c>
      <c r="R642" s="10" t="s">
        <v>1277</v>
      </c>
      <c r="S642" s="12" t="s">
        <v>4780</v>
      </c>
      <c r="T642" s="10" t="s">
        <v>66</v>
      </c>
      <c r="U642" s="12" t="s">
        <v>31</v>
      </c>
      <c r="V642" s="10" t="s">
        <v>4781</v>
      </c>
      <c r="W642" s="10" t="s">
        <v>4775</v>
      </c>
      <c r="X642" s="13" t="str">
        <f>HYPERLINK("https://my.pitchbook.com?p=366866-11P","View People Online")</f>
        <v>View People Online</v>
      </c>
    </row>
    <row r="643">
      <c r="A643" s="14" t="s">
        <v>4782</v>
      </c>
      <c r="B643" s="14" t="s">
        <v>4783</v>
      </c>
      <c r="C643" s="14" t="s">
        <v>4784</v>
      </c>
      <c r="D643" s="14" t="s">
        <v>4785</v>
      </c>
      <c r="E643" s="14" t="s">
        <v>4775</v>
      </c>
      <c r="F643" s="14" t="s">
        <v>548</v>
      </c>
      <c r="G643" s="14" t="s">
        <v>4786</v>
      </c>
      <c r="H643" s="15" t="s">
        <v>31</v>
      </c>
      <c r="I643" s="15">
        <v>1.0</v>
      </c>
      <c r="J643" s="15">
        <v>1.0</v>
      </c>
      <c r="K643" s="15" t="s">
        <v>31</v>
      </c>
      <c r="L643" s="16" t="s">
        <v>4777</v>
      </c>
      <c r="M643" s="14" t="s">
        <v>4787</v>
      </c>
      <c r="N643" s="14" t="s">
        <v>1442</v>
      </c>
      <c r="O643" s="16" t="s">
        <v>1443</v>
      </c>
      <c r="P643" s="14" t="s">
        <v>4779</v>
      </c>
      <c r="Q643" s="14" t="s">
        <v>31</v>
      </c>
      <c r="R643" s="14" t="s">
        <v>1277</v>
      </c>
      <c r="S643" s="16" t="s">
        <v>4780</v>
      </c>
      <c r="T643" s="14" t="s">
        <v>66</v>
      </c>
      <c r="U643" s="16" t="s">
        <v>31</v>
      </c>
      <c r="V643" s="14" t="s">
        <v>4788</v>
      </c>
      <c r="W643" s="14" t="s">
        <v>4775</v>
      </c>
      <c r="X643" s="17" t="str">
        <f>HYPERLINK("https://my.pitchbook.com?p=339952-06P","View People Online")</f>
        <v>View People Online</v>
      </c>
    </row>
    <row r="644">
      <c r="A644" s="10" t="s">
        <v>4789</v>
      </c>
      <c r="B644" s="10" t="s">
        <v>4790</v>
      </c>
      <c r="C644" s="10" t="s">
        <v>4791</v>
      </c>
      <c r="D644" s="10" t="s">
        <v>4792</v>
      </c>
      <c r="E644" s="10" t="s">
        <v>4775</v>
      </c>
      <c r="F644" s="10" t="s">
        <v>318</v>
      </c>
      <c r="G644" s="10" t="s">
        <v>4793</v>
      </c>
      <c r="H644" s="11" t="s">
        <v>31</v>
      </c>
      <c r="I644" s="11">
        <v>1.0</v>
      </c>
      <c r="J644" s="11">
        <v>1.0</v>
      </c>
      <c r="K644" s="11" t="s">
        <v>31</v>
      </c>
      <c r="L644" s="12" t="s">
        <v>4777</v>
      </c>
      <c r="M644" s="10" t="s">
        <v>4794</v>
      </c>
      <c r="N644" s="10" t="s">
        <v>1442</v>
      </c>
      <c r="O644" s="12" t="s">
        <v>1443</v>
      </c>
      <c r="P644" s="10" t="s">
        <v>4779</v>
      </c>
      <c r="Q644" s="10" t="s">
        <v>31</v>
      </c>
      <c r="R644" s="10" t="s">
        <v>1277</v>
      </c>
      <c r="S644" s="12" t="s">
        <v>4780</v>
      </c>
      <c r="T644" s="10" t="s">
        <v>66</v>
      </c>
      <c r="U644" s="12" t="s">
        <v>31</v>
      </c>
      <c r="V644" s="10" t="s">
        <v>4795</v>
      </c>
      <c r="W644" s="10" t="s">
        <v>4775</v>
      </c>
      <c r="X644" s="13" t="str">
        <f>HYPERLINK("https://my.pitchbook.com?p=339991-48P","View People Online")</f>
        <v>View People Online</v>
      </c>
    </row>
    <row r="645">
      <c r="A645" s="6" t="s">
        <v>4796</v>
      </c>
      <c r="B645" s="6" t="s">
        <v>4797</v>
      </c>
      <c r="C645" s="6" t="s">
        <v>4798</v>
      </c>
      <c r="D645" s="6" t="s">
        <v>4799</v>
      </c>
      <c r="E645" s="6" t="s">
        <v>4775</v>
      </c>
      <c r="F645" s="6" t="s">
        <v>4800</v>
      </c>
      <c r="G645" s="6" t="s">
        <v>4801</v>
      </c>
      <c r="H645" s="7" t="s">
        <v>31</v>
      </c>
      <c r="I645" s="7">
        <v>6.0</v>
      </c>
      <c r="J645" s="7">
        <v>1.0</v>
      </c>
      <c r="K645" s="7">
        <v>4.0</v>
      </c>
      <c r="L645" s="8" t="s">
        <v>4777</v>
      </c>
      <c r="M645" s="6" t="s">
        <v>4802</v>
      </c>
      <c r="N645" s="6" t="s">
        <v>1442</v>
      </c>
      <c r="O645" s="8" t="s">
        <v>1443</v>
      </c>
      <c r="P645" s="6" t="s">
        <v>4779</v>
      </c>
      <c r="Q645" s="6" t="s">
        <v>31</v>
      </c>
      <c r="R645" s="6" t="s">
        <v>1277</v>
      </c>
      <c r="S645" s="8" t="s">
        <v>4780</v>
      </c>
      <c r="T645" s="6" t="s">
        <v>66</v>
      </c>
      <c r="U645" s="8" t="s">
        <v>31</v>
      </c>
      <c r="V645" s="6" t="s">
        <v>4803</v>
      </c>
      <c r="W645" s="6" t="s">
        <v>4775</v>
      </c>
      <c r="X645" s="9" t="str">
        <f>HYPERLINK("https://my.pitchbook.com?p=88122-79P","View People Online")</f>
        <v>View People Online</v>
      </c>
    </row>
    <row r="646">
      <c r="A646" s="2" t="s">
        <v>4804</v>
      </c>
      <c r="B646" s="2" t="s">
        <v>4805</v>
      </c>
      <c r="C646" s="2" t="s">
        <v>1117</v>
      </c>
      <c r="D646" s="2" t="s">
        <v>4806</v>
      </c>
      <c r="E646" s="2" t="s">
        <v>4775</v>
      </c>
      <c r="F646" s="2" t="s">
        <v>1249</v>
      </c>
      <c r="G646" s="2" t="s">
        <v>4807</v>
      </c>
      <c r="H646" s="3">
        <v>1.0</v>
      </c>
      <c r="I646" s="3">
        <v>5.0</v>
      </c>
      <c r="J646" s="3">
        <v>1.0</v>
      </c>
      <c r="K646" s="3">
        <v>4.0</v>
      </c>
      <c r="L646" s="4" t="s">
        <v>4777</v>
      </c>
      <c r="M646" s="2" t="s">
        <v>4808</v>
      </c>
      <c r="N646" s="2" t="s">
        <v>1442</v>
      </c>
      <c r="O646" s="4" t="s">
        <v>1443</v>
      </c>
      <c r="P646" s="2" t="s">
        <v>4779</v>
      </c>
      <c r="Q646" s="2" t="s">
        <v>31</v>
      </c>
      <c r="R646" s="2" t="s">
        <v>1277</v>
      </c>
      <c r="S646" s="4" t="s">
        <v>4780</v>
      </c>
      <c r="T646" s="2" t="s">
        <v>66</v>
      </c>
      <c r="U646" s="4" t="s">
        <v>31</v>
      </c>
      <c r="V646" s="2" t="s">
        <v>4809</v>
      </c>
      <c r="W646" s="2" t="s">
        <v>4775</v>
      </c>
      <c r="X646" s="5" t="str">
        <f>HYPERLINK("https://my.pitchbook.com?p=95008-69P","View People Online")</f>
        <v>View People Online</v>
      </c>
    </row>
    <row r="647">
      <c r="A647" s="14" t="s">
        <v>4810</v>
      </c>
      <c r="B647" s="14" t="s">
        <v>4811</v>
      </c>
      <c r="C647" s="14" t="s">
        <v>1117</v>
      </c>
      <c r="D647" s="14" t="s">
        <v>4812</v>
      </c>
      <c r="E647" s="14" t="s">
        <v>4775</v>
      </c>
      <c r="F647" s="14" t="s">
        <v>270</v>
      </c>
      <c r="G647" s="14" t="s">
        <v>4813</v>
      </c>
      <c r="H647" s="15" t="s">
        <v>31</v>
      </c>
      <c r="I647" s="15">
        <v>1.0</v>
      </c>
      <c r="J647" s="15">
        <v>1.0</v>
      </c>
      <c r="K647" s="15" t="s">
        <v>31</v>
      </c>
      <c r="L647" s="16" t="s">
        <v>4777</v>
      </c>
      <c r="M647" s="14" t="s">
        <v>4814</v>
      </c>
      <c r="N647" s="14" t="s">
        <v>1442</v>
      </c>
      <c r="O647" s="16" t="s">
        <v>1443</v>
      </c>
      <c r="P647" s="14" t="s">
        <v>4779</v>
      </c>
      <c r="Q647" s="14" t="s">
        <v>31</v>
      </c>
      <c r="R647" s="14" t="s">
        <v>1277</v>
      </c>
      <c r="S647" s="16" t="s">
        <v>4780</v>
      </c>
      <c r="T647" s="14" t="s">
        <v>66</v>
      </c>
      <c r="U647" s="16" t="s">
        <v>31</v>
      </c>
      <c r="V647" s="14" t="s">
        <v>4815</v>
      </c>
      <c r="W647" s="14" t="s">
        <v>4775</v>
      </c>
      <c r="X647" s="17" t="str">
        <f>HYPERLINK("https://my.pitchbook.com?p=81405-01P","View People Online")</f>
        <v>View People Online</v>
      </c>
    </row>
    <row r="648">
      <c r="A648" s="10" t="s">
        <v>4816</v>
      </c>
      <c r="B648" s="10" t="s">
        <v>4817</v>
      </c>
      <c r="C648" s="10" t="s">
        <v>4818</v>
      </c>
      <c r="D648" s="10" t="s">
        <v>4819</v>
      </c>
      <c r="E648" s="10" t="s">
        <v>4775</v>
      </c>
      <c r="F648" s="10" t="s">
        <v>548</v>
      </c>
      <c r="G648" s="10" t="s">
        <v>4820</v>
      </c>
      <c r="H648" s="11" t="s">
        <v>31</v>
      </c>
      <c r="I648" s="11">
        <v>1.0</v>
      </c>
      <c r="J648" s="11">
        <v>1.0</v>
      </c>
      <c r="K648" s="11" t="s">
        <v>31</v>
      </c>
      <c r="L648" s="12" t="s">
        <v>4777</v>
      </c>
      <c r="M648" s="10" t="s">
        <v>4821</v>
      </c>
      <c r="N648" s="10" t="s">
        <v>1442</v>
      </c>
      <c r="O648" s="12" t="s">
        <v>1443</v>
      </c>
      <c r="P648" s="10" t="s">
        <v>4779</v>
      </c>
      <c r="Q648" s="10" t="s">
        <v>31</v>
      </c>
      <c r="R648" s="10" t="s">
        <v>1277</v>
      </c>
      <c r="S648" s="12" t="s">
        <v>4780</v>
      </c>
      <c r="T648" s="10" t="s">
        <v>66</v>
      </c>
      <c r="U648" s="12" t="s">
        <v>31</v>
      </c>
      <c r="V648" s="10" t="s">
        <v>4822</v>
      </c>
      <c r="W648" s="10" t="s">
        <v>4775</v>
      </c>
      <c r="X648" s="13" t="str">
        <f>HYPERLINK("https://my.pitchbook.com?p=144603-55P","View People Online")</f>
        <v>View People Online</v>
      </c>
    </row>
    <row r="649">
      <c r="A649" s="6" t="s">
        <v>4823</v>
      </c>
      <c r="B649" s="6" t="s">
        <v>4824</v>
      </c>
      <c r="C649" s="6" t="s">
        <v>54</v>
      </c>
      <c r="D649" s="6" t="s">
        <v>4825</v>
      </c>
      <c r="E649" s="6" t="s">
        <v>4775</v>
      </c>
      <c r="F649" s="6" t="s">
        <v>3710</v>
      </c>
      <c r="G649" s="6" t="s">
        <v>4826</v>
      </c>
      <c r="H649" s="7" t="s">
        <v>31</v>
      </c>
      <c r="I649" s="7">
        <v>1.0</v>
      </c>
      <c r="J649" s="7">
        <v>1.0</v>
      </c>
      <c r="K649" s="7" t="s">
        <v>31</v>
      </c>
      <c r="L649" s="8" t="s">
        <v>4777</v>
      </c>
      <c r="M649" s="6" t="s">
        <v>4827</v>
      </c>
      <c r="N649" s="6" t="s">
        <v>1442</v>
      </c>
      <c r="O649" s="8" t="s">
        <v>1443</v>
      </c>
      <c r="P649" s="6" t="s">
        <v>4779</v>
      </c>
      <c r="Q649" s="6" t="s">
        <v>31</v>
      </c>
      <c r="R649" s="6" t="s">
        <v>1277</v>
      </c>
      <c r="S649" s="8" t="s">
        <v>4780</v>
      </c>
      <c r="T649" s="6" t="s">
        <v>66</v>
      </c>
      <c r="U649" s="8" t="s">
        <v>31</v>
      </c>
      <c r="V649" s="6" t="s">
        <v>4828</v>
      </c>
      <c r="W649" s="6" t="s">
        <v>4775</v>
      </c>
      <c r="X649" s="9" t="str">
        <f>HYPERLINK("https://my.pitchbook.com?p=37140-49P","View People Online")</f>
        <v>View People Online</v>
      </c>
    </row>
    <row r="650">
      <c r="A650" s="2" t="s">
        <v>4829</v>
      </c>
      <c r="B650" s="2" t="s">
        <v>4830</v>
      </c>
      <c r="C650" s="2" t="s">
        <v>4161</v>
      </c>
      <c r="D650" s="2" t="s">
        <v>4831</v>
      </c>
      <c r="E650" s="2" t="s">
        <v>4775</v>
      </c>
      <c r="F650" s="2" t="s">
        <v>312</v>
      </c>
      <c r="G650" s="2" t="s">
        <v>4832</v>
      </c>
      <c r="H650" s="3">
        <v>1.0</v>
      </c>
      <c r="I650" s="3">
        <v>3.0</v>
      </c>
      <c r="J650" s="3">
        <v>1.0</v>
      </c>
      <c r="K650" s="3">
        <v>1.0</v>
      </c>
      <c r="L650" s="4" t="s">
        <v>4777</v>
      </c>
      <c r="M650" s="2" t="s">
        <v>4833</v>
      </c>
      <c r="N650" s="2" t="s">
        <v>1442</v>
      </c>
      <c r="O650" s="4" t="s">
        <v>1443</v>
      </c>
      <c r="P650" s="2" t="s">
        <v>4779</v>
      </c>
      <c r="Q650" s="2" t="s">
        <v>31</v>
      </c>
      <c r="R650" s="2" t="s">
        <v>1277</v>
      </c>
      <c r="S650" s="4" t="s">
        <v>4780</v>
      </c>
      <c r="T650" s="2" t="s">
        <v>66</v>
      </c>
      <c r="U650" s="4" t="s">
        <v>31</v>
      </c>
      <c r="V650" s="2" t="s">
        <v>4834</v>
      </c>
      <c r="W650" s="2" t="s">
        <v>4775</v>
      </c>
      <c r="X650" s="5" t="str">
        <f>HYPERLINK("https://my.pitchbook.com?p=241122-25P","View People Online")</f>
        <v>View People Online</v>
      </c>
    </row>
    <row r="651">
      <c r="A651" s="14" t="s">
        <v>4835</v>
      </c>
      <c r="B651" s="14" t="s">
        <v>4836</v>
      </c>
      <c r="C651" s="14" t="s">
        <v>4837</v>
      </c>
      <c r="D651" s="14" t="s">
        <v>4838</v>
      </c>
      <c r="E651" s="14" t="s">
        <v>4775</v>
      </c>
      <c r="F651" s="14" t="s">
        <v>548</v>
      </c>
      <c r="G651" s="14" t="s">
        <v>4839</v>
      </c>
      <c r="H651" s="15" t="s">
        <v>31</v>
      </c>
      <c r="I651" s="15">
        <v>3.0</v>
      </c>
      <c r="J651" s="15">
        <v>1.0</v>
      </c>
      <c r="K651" s="15">
        <v>1.0</v>
      </c>
      <c r="L651" s="16" t="s">
        <v>4777</v>
      </c>
      <c r="M651" s="14" t="s">
        <v>4840</v>
      </c>
      <c r="N651" s="14" t="s">
        <v>1442</v>
      </c>
      <c r="O651" s="16" t="s">
        <v>1443</v>
      </c>
      <c r="P651" s="14" t="s">
        <v>4779</v>
      </c>
      <c r="Q651" s="14" t="s">
        <v>31</v>
      </c>
      <c r="R651" s="14" t="s">
        <v>1277</v>
      </c>
      <c r="S651" s="16" t="s">
        <v>4780</v>
      </c>
      <c r="T651" s="14" t="s">
        <v>66</v>
      </c>
      <c r="U651" s="16" t="s">
        <v>31</v>
      </c>
      <c r="V651" s="14" t="s">
        <v>4841</v>
      </c>
      <c r="W651" s="14" t="s">
        <v>4775</v>
      </c>
      <c r="X651" s="17" t="str">
        <f>HYPERLINK("https://my.pitchbook.com?p=256661-02P","View People Online")</f>
        <v>View People Online</v>
      </c>
    </row>
    <row r="652">
      <c r="A652" s="10" t="s">
        <v>4842</v>
      </c>
      <c r="B652" s="10" t="s">
        <v>4843</v>
      </c>
      <c r="C652" s="10" t="s">
        <v>4844</v>
      </c>
      <c r="D652" s="10" t="s">
        <v>4845</v>
      </c>
      <c r="E652" s="10" t="s">
        <v>4775</v>
      </c>
      <c r="F652" s="10" t="s">
        <v>825</v>
      </c>
      <c r="G652" s="10" t="s">
        <v>4846</v>
      </c>
      <c r="H652" s="11" t="s">
        <v>31</v>
      </c>
      <c r="I652" s="11">
        <v>1.0</v>
      </c>
      <c r="J652" s="11">
        <v>1.0</v>
      </c>
      <c r="K652" s="11" t="s">
        <v>31</v>
      </c>
      <c r="L652" s="12" t="s">
        <v>4777</v>
      </c>
      <c r="M652" s="10" t="s">
        <v>4847</v>
      </c>
      <c r="N652" s="10" t="s">
        <v>1442</v>
      </c>
      <c r="O652" s="12" t="s">
        <v>1443</v>
      </c>
      <c r="P652" s="10" t="s">
        <v>4779</v>
      </c>
      <c r="Q652" s="10" t="s">
        <v>31</v>
      </c>
      <c r="R652" s="10" t="s">
        <v>1277</v>
      </c>
      <c r="S652" s="12" t="s">
        <v>4780</v>
      </c>
      <c r="T652" s="10" t="s">
        <v>66</v>
      </c>
      <c r="U652" s="12" t="s">
        <v>31</v>
      </c>
      <c r="V652" s="10" t="s">
        <v>4848</v>
      </c>
      <c r="W652" s="10" t="s">
        <v>4775</v>
      </c>
      <c r="X652" s="13" t="str">
        <f>HYPERLINK("https://my.pitchbook.com?p=162076-96P","View People Online")</f>
        <v>View People Online</v>
      </c>
    </row>
    <row r="653">
      <c r="A653" s="6" t="s">
        <v>4849</v>
      </c>
      <c r="B653" s="6" t="s">
        <v>4850</v>
      </c>
      <c r="C653" s="6" t="s">
        <v>4851</v>
      </c>
      <c r="D653" s="6" t="s">
        <v>4852</v>
      </c>
      <c r="E653" s="6" t="s">
        <v>4775</v>
      </c>
      <c r="F653" s="6" t="s">
        <v>825</v>
      </c>
      <c r="G653" s="6" t="s">
        <v>4853</v>
      </c>
      <c r="H653" s="7" t="s">
        <v>31</v>
      </c>
      <c r="I653" s="7">
        <v>1.0</v>
      </c>
      <c r="J653" s="7">
        <v>1.0</v>
      </c>
      <c r="K653" s="7" t="s">
        <v>31</v>
      </c>
      <c r="L653" s="8" t="s">
        <v>4777</v>
      </c>
      <c r="M653" s="6" t="s">
        <v>4854</v>
      </c>
      <c r="N653" s="6" t="s">
        <v>1442</v>
      </c>
      <c r="O653" s="8" t="s">
        <v>1443</v>
      </c>
      <c r="P653" s="6" t="s">
        <v>4779</v>
      </c>
      <c r="Q653" s="6" t="s">
        <v>31</v>
      </c>
      <c r="R653" s="6" t="s">
        <v>1277</v>
      </c>
      <c r="S653" s="8" t="s">
        <v>4780</v>
      </c>
      <c r="T653" s="6" t="s">
        <v>66</v>
      </c>
      <c r="U653" s="8" t="s">
        <v>31</v>
      </c>
      <c r="V653" s="6" t="s">
        <v>4855</v>
      </c>
      <c r="W653" s="6" t="s">
        <v>4775</v>
      </c>
      <c r="X653" s="9" t="str">
        <f>HYPERLINK("https://my.pitchbook.com?p=87922-54P","View People Online")</f>
        <v>View People Online</v>
      </c>
    </row>
    <row r="654">
      <c r="A654" s="10" t="s">
        <v>4856</v>
      </c>
      <c r="B654" s="10" t="s">
        <v>4857</v>
      </c>
      <c r="C654" s="10" t="s">
        <v>4858</v>
      </c>
      <c r="D654" s="10" t="s">
        <v>4859</v>
      </c>
      <c r="E654" s="10" t="s">
        <v>4775</v>
      </c>
      <c r="F654" s="10" t="s">
        <v>4860</v>
      </c>
      <c r="G654" s="10" t="s">
        <v>4861</v>
      </c>
      <c r="H654" s="11" t="s">
        <v>31</v>
      </c>
      <c r="I654" s="11">
        <v>1.0</v>
      </c>
      <c r="J654" s="11">
        <v>1.0</v>
      </c>
      <c r="K654" s="11" t="s">
        <v>31</v>
      </c>
      <c r="L654" s="12" t="s">
        <v>4862</v>
      </c>
      <c r="M654" s="10" t="s">
        <v>4863</v>
      </c>
      <c r="N654" s="10" t="s">
        <v>1442</v>
      </c>
      <c r="O654" s="12" t="s">
        <v>1443</v>
      </c>
      <c r="P654" s="10" t="s">
        <v>4779</v>
      </c>
      <c r="Q654" s="10" t="s">
        <v>31</v>
      </c>
      <c r="R654" s="10" t="s">
        <v>1277</v>
      </c>
      <c r="S654" s="12" t="s">
        <v>4780</v>
      </c>
      <c r="T654" s="10" t="s">
        <v>66</v>
      </c>
      <c r="U654" s="12" t="s">
        <v>31</v>
      </c>
      <c r="V654" s="10" t="s">
        <v>4864</v>
      </c>
      <c r="W654" s="10" t="s">
        <v>4775</v>
      </c>
      <c r="X654" s="13" t="str">
        <f>HYPERLINK("https://my.pitchbook.com?p=143361-37P","View People Online")</f>
        <v>View People Online</v>
      </c>
    </row>
    <row r="655">
      <c r="A655" s="14" t="s">
        <v>4865</v>
      </c>
      <c r="B655" s="14" t="s">
        <v>4866</v>
      </c>
      <c r="C655" s="14" t="s">
        <v>1929</v>
      </c>
      <c r="D655" s="14" t="s">
        <v>4867</v>
      </c>
      <c r="E655" s="14" t="s">
        <v>4775</v>
      </c>
      <c r="F655" s="14" t="s">
        <v>4868</v>
      </c>
      <c r="G655" s="14" t="s">
        <v>4869</v>
      </c>
      <c r="H655" s="15" t="s">
        <v>31</v>
      </c>
      <c r="I655" s="15">
        <v>1.0</v>
      </c>
      <c r="J655" s="15">
        <v>1.0</v>
      </c>
      <c r="K655" s="15" t="s">
        <v>31</v>
      </c>
      <c r="L655" s="16" t="s">
        <v>4777</v>
      </c>
      <c r="M655" s="14" t="s">
        <v>31</v>
      </c>
      <c r="N655" s="14" t="s">
        <v>1442</v>
      </c>
      <c r="O655" s="16" t="s">
        <v>1443</v>
      </c>
      <c r="P655" s="14" t="s">
        <v>4779</v>
      </c>
      <c r="Q655" s="14" t="s">
        <v>31</v>
      </c>
      <c r="R655" s="14" t="s">
        <v>1277</v>
      </c>
      <c r="S655" s="16" t="s">
        <v>4780</v>
      </c>
      <c r="T655" s="14" t="s">
        <v>66</v>
      </c>
      <c r="U655" s="16" t="s">
        <v>31</v>
      </c>
      <c r="V655" s="14" t="s">
        <v>4868</v>
      </c>
      <c r="W655" s="14" t="s">
        <v>4775</v>
      </c>
      <c r="X655" s="17" t="str">
        <f>HYPERLINK("https://my.pitchbook.com?p=77939-65P","View People Online")</f>
        <v>View People Online</v>
      </c>
    </row>
    <row r="656">
      <c r="A656" s="10" t="s">
        <v>4870</v>
      </c>
      <c r="B656" s="10" t="s">
        <v>4871</v>
      </c>
      <c r="C656" s="10" t="s">
        <v>4872</v>
      </c>
      <c r="D656" s="10" t="s">
        <v>4873</v>
      </c>
      <c r="E656" s="10" t="s">
        <v>4775</v>
      </c>
      <c r="F656" s="10" t="s">
        <v>548</v>
      </c>
      <c r="G656" s="10" t="s">
        <v>4874</v>
      </c>
      <c r="H656" s="11" t="s">
        <v>31</v>
      </c>
      <c r="I656" s="11">
        <v>1.0</v>
      </c>
      <c r="J656" s="11">
        <v>1.0</v>
      </c>
      <c r="K656" s="11" t="s">
        <v>31</v>
      </c>
      <c r="L656" s="12" t="s">
        <v>4777</v>
      </c>
      <c r="M656" s="10" t="s">
        <v>4875</v>
      </c>
      <c r="N656" s="10" t="s">
        <v>1442</v>
      </c>
      <c r="O656" s="12" t="s">
        <v>1443</v>
      </c>
      <c r="P656" s="10" t="s">
        <v>4779</v>
      </c>
      <c r="Q656" s="10" t="s">
        <v>31</v>
      </c>
      <c r="R656" s="10" t="s">
        <v>1277</v>
      </c>
      <c r="S656" s="12" t="s">
        <v>4780</v>
      </c>
      <c r="T656" s="10" t="s">
        <v>66</v>
      </c>
      <c r="U656" s="12" t="s">
        <v>31</v>
      </c>
      <c r="V656" s="10" t="s">
        <v>4876</v>
      </c>
      <c r="W656" s="10" t="s">
        <v>4775</v>
      </c>
      <c r="X656" s="13" t="str">
        <f>HYPERLINK("https://my.pitchbook.com?p=34785-19P","View People Online")</f>
        <v>View People Online</v>
      </c>
    </row>
    <row r="657">
      <c r="A657" s="14" t="s">
        <v>4877</v>
      </c>
      <c r="B657" s="14" t="s">
        <v>4878</v>
      </c>
      <c r="C657" s="14" t="s">
        <v>4879</v>
      </c>
      <c r="D657" s="14" t="s">
        <v>4880</v>
      </c>
      <c r="E657" s="14" t="s">
        <v>4775</v>
      </c>
      <c r="F657" s="14" t="s">
        <v>1801</v>
      </c>
      <c r="G657" s="14" t="s">
        <v>4881</v>
      </c>
      <c r="H657" s="15" t="s">
        <v>31</v>
      </c>
      <c r="I657" s="15">
        <v>2.0</v>
      </c>
      <c r="J657" s="15">
        <v>1.0</v>
      </c>
      <c r="K657" s="15">
        <v>1.0</v>
      </c>
      <c r="L657" s="16" t="s">
        <v>4777</v>
      </c>
      <c r="M657" s="14" t="s">
        <v>4882</v>
      </c>
      <c r="N657" s="14" t="s">
        <v>1442</v>
      </c>
      <c r="O657" s="16" t="s">
        <v>1443</v>
      </c>
      <c r="P657" s="14" t="s">
        <v>4779</v>
      </c>
      <c r="Q657" s="14" t="s">
        <v>31</v>
      </c>
      <c r="R657" s="14" t="s">
        <v>1277</v>
      </c>
      <c r="S657" s="16" t="s">
        <v>4780</v>
      </c>
      <c r="T657" s="14" t="s">
        <v>66</v>
      </c>
      <c r="U657" s="16" t="s">
        <v>31</v>
      </c>
      <c r="V657" s="14" t="s">
        <v>4883</v>
      </c>
      <c r="W657" s="14" t="s">
        <v>4775</v>
      </c>
      <c r="X657" s="17" t="str">
        <f>HYPERLINK("https://my.pitchbook.com?p=278768-71P","View People Online")</f>
        <v>View People Online</v>
      </c>
    </row>
    <row r="658">
      <c r="A658" s="10" t="s">
        <v>4884</v>
      </c>
      <c r="B658" s="10" t="s">
        <v>4885</v>
      </c>
      <c r="C658" s="10" t="s">
        <v>4886</v>
      </c>
      <c r="D658" s="10" t="s">
        <v>4887</v>
      </c>
      <c r="E658" s="10" t="s">
        <v>4775</v>
      </c>
      <c r="F658" s="10" t="s">
        <v>371</v>
      </c>
      <c r="G658" s="10" t="s">
        <v>4888</v>
      </c>
      <c r="H658" s="11" t="s">
        <v>31</v>
      </c>
      <c r="I658" s="11">
        <v>1.0</v>
      </c>
      <c r="J658" s="11">
        <v>1.0</v>
      </c>
      <c r="K658" s="11" t="s">
        <v>31</v>
      </c>
      <c r="L658" s="12" t="s">
        <v>4777</v>
      </c>
      <c r="M658" s="10" t="s">
        <v>4889</v>
      </c>
      <c r="N658" s="10" t="s">
        <v>1442</v>
      </c>
      <c r="O658" s="12" t="s">
        <v>1443</v>
      </c>
      <c r="P658" s="10" t="s">
        <v>4779</v>
      </c>
      <c r="Q658" s="10" t="s">
        <v>31</v>
      </c>
      <c r="R658" s="10" t="s">
        <v>1277</v>
      </c>
      <c r="S658" s="12" t="s">
        <v>4780</v>
      </c>
      <c r="T658" s="10" t="s">
        <v>66</v>
      </c>
      <c r="U658" s="12" t="s">
        <v>31</v>
      </c>
      <c r="V658" s="10" t="s">
        <v>4890</v>
      </c>
      <c r="W658" s="10" t="s">
        <v>4775</v>
      </c>
      <c r="X658" s="13" t="str">
        <f>HYPERLINK("https://my.pitchbook.com?p=81404-74P","View People Online")</f>
        <v>View People Online</v>
      </c>
    </row>
    <row r="659">
      <c r="A659" s="6" t="s">
        <v>4891</v>
      </c>
      <c r="B659" s="6" t="s">
        <v>4892</v>
      </c>
      <c r="C659" s="6" t="s">
        <v>4893</v>
      </c>
      <c r="D659" s="6" t="s">
        <v>4894</v>
      </c>
      <c r="E659" s="6" t="s">
        <v>4775</v>
      </c>
      <c r="F659" s="6" t="s">
        <v>371</v>
      </c>
      <c r="G659" s="6" t="s">
        <v>4895</v>
      </c>
      <c r="H659" s="7" t="s">
        <v>31</v>
      </c>
      <c r="I659" s="7">
        <v>4.0</v>
      </c>
      <c r="J659" s="7">
        <v>1.0</v>
      </c>
      <c r="K659" s="7">
        <v>2.0</v>
      </c>
      <c r="L659" s="8" t="s">
        <v>4777</v>
      </c>
      <c r="M659" s="6" t="s">
        <v>4896</v>
      </c>
      <c r="N659" s="6" t="s">
        <v>1442</v>
      </c>
      <c r="O659" s="8" t="s">
        <v>1443</v>
      </c>
      <c r="P659" s="6" t="s">
        <v>4779</v>
      </c>
      <c r="Q659" s="6" t="s">
        <v>31</v>
      </c>
      <c r="R659" s="6" t="s">
        <v>1277</v>
      </c>
      <c r="S659" s="8" t="s">
        <v>4780</v>
      </c>
      <c r="T659" s="6" t="s">
        <v>66</v>
      </c>
      <c r="U659" s="8" t="s">
        <v>31</v>
      </c>
      <c r="V659" s="6" t="s">
        <v>4890</v>
      </c>
      <c r="W659" s="6" t="s">
        <v>4775</v>
      </c>
      <c r="X659" s="9" t="str">
        <f>HYPERLINK("https://my.pitchbook.com?p=345981-43P","View People Online")</f>
        <v>View People Online</v>
      </c>
    </row>
    <row r="660">
      <c r="A660" s="10" t="s">
        <v>4897</v>
      </c>
      <c r="B660" s="10" t="s">
        <v>4898</v>
      </c>
      <c r="C660" s="10" t="s">
        <v>4899</v>
      </c>
      <c r="D660" s="10" t="s">
        <v>4900</v>
      </c>
      <c r="E660" s="10" t="s">
        <v>4775</v>
      </c>
      <c r="F660" s="10" t="s">
        <v>548</v>
      </c>
      <c r="G660" s="10" t="s">
        <v>4901</v>
      </c>
      <c r="H660" s="11" t="s">
        <v>31</v>
      </c>
      <c r="I660" s="11">
        <v>3.0</v>
      </c>
      <c r="J660" s="11">
        <v>1.0</v>
      </c>
      <c r="K660" s="11">
        <v>1.0</v>
      </c>
      <c r="L660" s="12" t="s">
        <v>4777</v>
      </c>
      <c r="M660" s="10" t="s">
        <v>4902</v>
      </c>
      <c r="N660" s="10" t="s">
        <v>1442</v>
      </c>
      <c r="O660" s="12" t="s">
        <v>1443</v>
      </c>
      <c r="P660" s="10" t="s">
        <v>4779</v>
      </c>
      <c r="Q660" s="10" t="s">
        <v>31</v>
      </c>
      <c r="R660" s="10" t="s">
        <v>1277</v>
      </c>
      <c r="S660" s="12" t="s">
        <v>4780</v>
      </c>
      <c r="T660" s="10" t="s">
        <v>66</v>
      </c>
      <c r="U660" s="12" t="s">
        <v>31</v>
      </c>
      <c r="V660" s="10" t="s">
        <v>4903</v>
      </c>
      <c r="W660" s="10" t="s">
        <v>4775</v>
      </c>
      <c r="X660" s="13" t="str">
        <f>HYPERLINK("https://my.pitchbook.com?p=140042-80P","View People Online")</f>
        <v>View People Online</v>
      </c>
    </row>
    <row r="661">
      <c r="A661" s="6" t="s">
        <v>4904</v>
      </c>
      <c r="B661" s="6" t="s">
        <v>4905</v>
      </c>
      <c r="C661" s="6" t="s">
        <v>1426</v>
      </c>
      <c r="D661" s="6" t="s">
        <v>2469</v>
      </c>
      <c r="E661" s="6" t="s">
        <v>4775</v>
      </c>
      <c r="F661" s="6" t="s">
        <v>1801</v>
      </c>
      <c r="G661" s="6" t="s">
        <v>4906</v>
      </c>
      <c r="H661" s="7" t="s">
        <v>31</v>
      </c>
      <c r="I661" s="7">
        <v>1.0</v>
      </c>
      <c r="J661" s="7">
        <v>1.0</v>
      </c>
      <c r="K661" s="7" t="s">
        <v>31</v>
      </c>
      <c r="L661" s="8" t="s">
        <v>4777</v>
      </c>
      <c r="M661" s="6" t="s">
        <v>4907</v>
      </c>
      <c r="N661" s="6" t="s">
        <v>1442</v>
      </c>
      <c r="O661" s="8" t="s">
        <v>1443</v>
      </c>
      <c r="P661" s="6" t="s">
        <v>4779</v>
      </c>
      <c r="Q661" s="6" t="s">
        <v>31</v>
      </c>
      <c r="R661" s="6" t="s">
        <v>1277</v>
      </c>
      <c r="S661" s="8" t="s">
        <v>4780</v>
      </c>
      <c r="T661" s="6" t="s">
        <v>66</v>
      </c>
      <c r="U661" s="8" t="s">
        <v>31</v>
      </c>
      <c r="V661" s="6" t="s">
        <v>4908</v>
      </c>
      <c r="W661" s="6" t="s">
        <v>4775</v>
      </c>
      <c r="X661" s="9" t="str">
        <f>HYPERLINK("https://my.pitchbook.com?p=366889-15P","View People Online")</f>
        <v>View People Online</v>
      </c>
    </row>
    <row r="662">
      <c r="A662" s="10" t="s">
        <v>4909</v>
      </c>
      <c r="B662" s="10" t="s">
        <v>4910</v>
      </c>
      <c r="C662" s="10" t="s">
        <v>4911</v>
      </c>
      <c r="D662" s="10" t="s">
        <v>666</v>
      </c>
      <c r="E662" s="10" t="s">
        <v>4775</v>
      </c>
      <c r="F662" s="10" t="s">
        <v>371</v>
      </c>
      <c r="G662" s="10" t="s">
        <v>4912</v>
      </c>
      <c r="H662" s="11" t="s">
        <v>31</v>
      </c>
      <c r="I662" s="11">
        <v>1.0</v>
      </c>
      <c r="J662" s="11">
        <v>1.0</v>
      </c>
      <c r="K662" s="11" t="s">
        <v>31</v>
      </c>
      <c r="L662" s="12" t="s">
        <v>4913</v>
      </c>
      <c r="M662" s="10" t="s">
        <v>4914</v>
      </c>
      <c r="N662" s="10" t="s">
        <v>1442</v>
      </c>
      <c r="O662" s="12" t="s">
        <v>1443</v>
      </c>
      <c r="P662" s="10" t="s">
        <v>4779</v>
      </c>
      <c r="Q662" s="10" t="s">
        <v>31</v>
      </c>
      <c r="R662" s="10" t="s">
        <v>1277</v>
      </c>
      <c r="S662" s="12" t="s">
        <v>4780</v>
      </c>
      <c r="T662" s="10" t="s">
        <v>66</v>
      </c>
      <c r="U662" s="12" t="s">
        <v>31</v>
      </c>
      <c r="V662" s="10" t="s">
        <v>4915</v>
      </c>
      <c r="W662" s="10" t="s">
        <v>4775</v>
      </c>
      <c r="X662" s="13" t="str">
        <f>HYPERLINK("https://my.pitchbook.com?p=36961-75P","View People Online")</f>
        <v>View People Online</v>
      </c>
    </row>
    <row r="663">
      <c r="A663" s="14" t="s">
        <v>4916</v>
      </c>
      <c r="B663" s="14" t="s">
        <v>4917</v>
      </c>
      <c r="C663" s="14" t="s">
        <v>4911</v>
      </c>
      <c r="D663" s="14" t="s">
        <v>3275</v>
      </c>
      <c r="E663" s="14" t="s">
        <v>4775</v>
      </c>
      <c r="F663" s="14" t="s">
        <v>1801</v>
      </c>
      <c r="G663" s="14" t="s">
        <v>4918</v>
      </c>
      <c r="H663" s="15" t="s">
        <v>31</v>
      </c>
      <c r="I663" s="15">
        <v>1.0</v>
      </c>
      <c r="J663" s="15">
        <v>1.0</v>
      </c>
      <c r="K663" s="15" t="s">
        <v>31</v>
      </c>
      <c r="L663" s="16" t="s">
        <v>4777</v>
      </c>
      <c r="M663" s="14" t="s">
        <v>4919</v>
      </c>
      <c r="N663" s="14" t="s">
        <v>1442</v>
      </c>
      <c r="O663" s="16" t="s">
        <v>1443</v>
      </c>
      <c r="P663" s="14" t="s">
        <v>4779</v>
      </c>
      <c r="Q663" s="14" t="s">
        <v>31</v>
      </c>
      <c r="R663" s="14" t="s">
        <v>1277</v>
      </c>
      <c r="S663" s="16" t="s">
        <v>4780</v>
      </c>
      <c r="T663" s="14" t="s">
        <v>66</v>
      </c>
      <c r="U663" s="16" t="s">
        <v>31</v>
      </c>
      <c r="V663" s="14" t="s">
        <v>4920</v>
      </c>
      <c r="W663" s="14" t="s">
        <v>4775</v>
      </c>
      <c r="X663" s="17" t="str">
        <f>HYPERLINK("https://my.pitchbook.com?p=367468-30P","View People Online")</f>
        <v>View People Online</v>
      </c>
    </row>
    <row r="664">
      <c r="A664" s="2" t="s">
        <v>4921</v>
      </c>
      <c r="B664" s="2" t="s">
        <v>4922</v>
      </c>
      <c r="C664" s="2" t="s">
        <v>4923</v>
      </c>
      <c r="D664" s="2" t="s">
        <v>4924</v>
      </c>
      <c r="E664" s="2" t="s">
        <v>4775</v>
      </c>
      <c r="F664" s="2" t="s">
        <v>548</v>
      </c>
      <c r="G664" s="2" t="s">
        <v>4925</v>
      </c>
      <c r="H664" s="3" t="s">
        <v>31</v>
      </c>
      <c r="I664" s="3">
        <v>1.0</v>
      </c>
      <c r="J664" s="3">
        <v>1.0</v>
      </c>
      <c r="K664" s="3" t="s">
        <v>31</v>
      </c>
      <c r="L664" s="4" t="s">
        <v>4777</v>
      </c>
      <c r="M664" s="2" t="s">
        <v>4926</v>
      </c>
      <c r="N664" s="2" t="s">
        <v>1442</v>
      </c>
      <c r="O664" s="4" t="s">
        <v>1443</v>
      </c>
      <c r="P664" s="2" t="s">
        <v>4779</v>
      </c>
      <c r="Q664" s="2" t="s">
        <v>31</v>
      </c>
      <c r="R664" s="2" t="s">
        <v>1277</v>
      </c>
      <c r="S664" s="4" t="s">
        <v>4780</v>
      </c>
      <c r="T664" s="2" t="s">
        <v>66</v>
      </c>
      <c r="U664" s="4" t="s">
        <v>31</v>
      </c>
      <c r="V664" s="2" t="s">
        <v>4927</v>
      </c>
      <c r="W664" s="2" t="s">
        <v>4775</v>
      </c>
      <c r="X664" s="5" t="str">
        <f>HYPERLINK("https://my.pitchbook.com?p=110289-34P","View People Online")</f>
        <v>View People Online</v>
      </c>
    </row>
    <row r="665">
      <c r="A665" s="14" t="s">
        <v>4928</v>
      </c>
      <c r="B665" s="14" t="s">
        <v>4929</v>
      </c>
      <c r="C665" s="14" t="s">
        <v>4923</v>
      </c>
      <c r="D665" s="14" t="s">
        <v>4930</v>
      </c>
      <c r="E665" s="14" t="s">
        <v>4775</v>
      </c>
      <c r="F665" s="14" t="s">
        <v>4931</v>
      </c>
      <c r="G665" s="14" t="s">
        <v>4932</v>
      </c>
      <c r="H665" s="15" t="s">
        <v>31</v>
      </c>
      <c r="I665" s="15">
        <v>1.0</v>
      </c>
      <c r="J665" s="15">
        <v>1.0</v>
      </c>
      <c r="K665" s="15" t="s">
        <v>31</v>
      </c>
      <c r="L665" s="16" t="s">
        <v>4777</v>
      </c>
      <c r="M665" s="14" t="s">
        <v>4933</v>
      </c>
      <c r="N665" s="14" t="s">
        <v>1442</v>
      </c>
      <c r="O665" s="16" t="s">
        <v>1443</v>
      </c>
      <c r="P665" s="14" t="s">
        <v>4779</v>
      </c>
      <c r="Q665" s="14" t="s">
        <v>31</v>
      </c>
      <c r="R665" s="14" t="s">
        <v>1277</v>
      </c>
      <c r="S665" s="16" t="s">
        <v>4780</v>
      </c>
      <c r="T665" s="14" t="s">
        <v>66</v>
      </c>
      <c r="U665" s="16" t="s">
        <v>31</v>
      </c>
      <c r="V665" s="14" t="s">
        <v>4934</v>
      </c>
      <c r="W665" s="14" t="s">
        <v>4775</v>
      </c>
      <c r="X665" s="17" t="str">
        <f>HYPERLINK("https://my.pitchbook.com?p=367451-29P","View People Online")</f>
        <v>View People Online</v>
      </c>
    </row>
    <row r="666">
      <c r="A666" s="10" t="s">
        <v>4935</v>
      </c>
      <c r="B666" s="10" t="s">
        <v>4936</v>
      </c>
      <c r="C666" s="10" t="s">
        <v>1982</v>
      </c>
      <c r="D666" s="10" t="s">
        <v>4937</v>
      </c>
      <c r="E666" s="10" t="s">
        <v>4775</v>
      </c>
      <c r="F666" s="10" t="s">
        <v>825</v>
      </c>
      <c r="G666" s="10" t="s">
        <v>4938</v>
      </c>
      <c r="H666" s="11" t="s">
        <v>31</v>
      </c>
      <c r="I666" s="11">
        <v>1.0</v>
      </c>
      <c r="J666" s="11">
        <v>1.0</v>
      </c>
      <c r="K666" s="11" t="s">
        <v>31</v>
      </c>
      <c r="L666" s="12" t="s">
        <v>4777</v>
      </c>
      <c r="M666" s="10" t="s">
        <v>4939</v>
      </c>
      <c r="N666" s="10" t="s">
        <v>1442</v>
      </c>
      <c r="O666" s="12" t="s">
        <v>1443</v>
      </c>
      <c r="P666" s="10" t="s">
        <v>4779</v>
      </c>
      <c r="Q666" s="10" t="s">
        <v>31</v>
      </c>
      <c r="R666" s="10" t="s">
        <v>1277</v>
      </c>
      <c r="S666" s="12" t="s">
        <v>4780</v>
      </c>
      <c r="T666" s="10" t="s">
        <v>66</v>
      </c>
      <c r="U666" s="12" t="s">
        <v>31</v>
      </c>
      <c r="V666" s="10" t="s">
        <v>4940</v>
      </c>
      <c r="W666" s="10" t="s">
        <v>4775</v>
      </c>
      <c r="X666" s="13" t="str">
        <f>HYPERLINK("https://my.pitchbook.com?p=366576-49P","View People Online")</f>
        <v>View People Online</v>
      </c>
    </row>
    <row r="667">
      <c r="A667" s="6" t="s">
        <v>4941</v>
      </c>
      <c r="B667" s="6" t="s">
        <v>4942</v>
      </c>
      <c r="C667" s="6" t="s">
        <v>4943</v>
      </c>
      <c r="D667" s="6" t="s">
        <v>4944</v>
      </c>
      <c r="E667" s="6" t="s">
        <v>4775</v>
      </c>
      <c r="F667" s="6" t="s">
        <v>371</v>
      </c>
      <c r="G667" s="6" t="s">
        <v>4945</v>
      </c>
      <c r="H667" s="7" t="s">
        <v>31</v>
      </c>
      <c r="I667" s="7">
        <v>1.0</v>
      </c>
      <c r="J667" s="7">
        <v>1.0</v>
      </c>
      <c r="K667" s="7" t="s">
        <v>31</v>
      </c>
      <c r="L667" s="8" t="s">
        <v>4777</v>
      </c>
      <c r="M667" s="6" t="s">
        <v>4946</v>
      </c>
      <c r="N667" s="6" t="s">
        <v>1442</v>
      </c>
      <c r="O667" s="8" t="s">
        <v>1443</v>
      </c>
      <c r="P667" s="6" t="s">
        <v>4779</v>
      </c>
      <c r="Q667" s="6" t="s">
        <v>31</v>
      </c>
      <c r="R667" s="6" t="s">
        <v>1277</v>
      </c>
      <c r="S667" s="8" t="s">
        <v>4780</v>
      </c>
      <c r="T667" s="6" t="s">
        <v>66</v>
      </c>
      <c r="U667" s="8" t="s">
        <v>31</v>
      </c>
      <c r="V667" s="6" t="s">
        <v>4947</v>
      </c>
      <c r="W667" s="6" t="s">
        <v>4775</v>
      </c>
      <c r="X667" s="9" t="str">
        <f>HYPERLINK("https://my.pitchbook.com?p=81404-56P","View People Online")</f>
        <v>View People Online</v>
      </c>
    </row>
    <row r="668">
      <c r="A668" s="10" t="s">
        <v>4948</v>
      </c>
      <c r="B668" s="10" t="s">
        <v>4949</v>
      </c>
      <c r="C668" s="10" t="s">
        <v>1449</v>
      </c>
      <c r="D668" s="10" t="s">
        <v>4950</v>
      </c>
      <c r="E668" s="10" t="s">
        <v>4775</v>
      </c>
      <c r="F668" s="10" t="s">
        <v>4951</v>
      </c>
      <c r="G668" s="10" t="s">
        <v>4952</v>
      </c>
      <c r="H668" s="11" t="s">
        <v>31</v>
      </c>
      <c r="I668" s="11">
        <v>1.0</v>
      </c>
      <c r="J668" s="11">
        <v>1.0</v>
      </c>
      <c r="K668" s="11" t="s">
        <v>31</v>
      </c>
      <c r="L668" s="12" t="s">
        <v>4777</v>
      </c>
      <c r="M668" s="10" t="s">
        <v>4953</v>
      </c>
      <c r="N668" s="10" t="s">
        <v>1442</v>
      </c>
      <c r="O668" s="12" t="s">
        <v>1443</v>
      </c>
      <c r="P668" s="10" t="s">
        <v>4779</v>
      </c>
      <c r="Q668" s="10" t="s">
        <v>31</v>
      </c>
      <c r="R668" s="10" t="s">
        <v>1277</v>
      </c>
      <c r="S668" s="12" t="s">
        <v>4780</v>
      </c>
      <c r="T668" s="10" t="s">
        <v>66</v>
      </c>
      <c r="U668" s="12" t="s">
        <v>31</v>
      </c>
      <c r="V668" s="10" t="s">
        <v>4954</v>
      </c>
      <c r="W668" s="10" t="s">
        <v>4775</v>
      </c>
      <c r="X668" s="13" t="str">
        <f>HYPERLINK("https://my.pitchbook.com?p=241184-80P","View People Online")</f>
        <v>View People Online</v>
      </c>
    </row>
    <row r="669">
      <c r="A669" s="14" t="s">
        <v>4955</v>
      </c>
      <c r="B669" s="14" t="s">
        <v>4956</v>
      </c>
      <c r="C669" s="14" t="s">
        <v>1449</v>
      </c>
      <c r="D669" s="14" t="s">
        <v>4957</v>
      </c>
      <c r="E669" s="14" t="s">
        <v>4775</v>
      </c>
      <c r="F669" s="14" t="s">
        <v>371</v>
      </c>
      <c r="G669" s="14" t="s">
        <v>4958</v>
      </c>
      <c r="H669" s="15" t="s">
        <v>31</v>
      </c>
      <c r="I669" s="15">
        <v>2.0</v>
      </c>
      <c r="J669" s="15">
        <v>1.0</v>
      </c>
      <c r="K669" s="15">
        <v>1.0</v>
      </c>
      <c r="L669" s="16" t="s">
        <v>4777</v>
      </c>
      <c r="M669" s="14" t="s">
        <v>4959</v>
      </c>
      <c r="N669" s="14" t="s">
        <v>1442</v>
      </c>
      <c r="O669" s="16" t="s">
        <v>1443</v>
      </c>
      <c r="P669" s="14" t="s">
        <v>4779</v>
      </c>
      <c r="Q669" s="14" t="s">
        <v>31</v>
      </c>
      <c r="R669" s="14" t="s">
        <v>1277</v>
      </c>
      <c r="S669" s="16" t="s">
        <v>4780</v>
      </c>
      <c r="T669" s="14" t="s">
        <v>66</v>
      </c>
      <c r="U669" s="16" t="s">
        <v>31</v>
      </c>
      <c r="V669" s="14" t="s">
        <v>4960</v>
      </c>
      <c r="W669" s="14" t="s">
        <v>4775</v>
      </c>
      <c r="X669" s="17" t="str">
        <f>HYPERLINK("https://my.pitchbook.com?p=44176-42P","View People Online")</f>
        <v>View People Online</v>
      </c>
    </row>
    <row r="670">
      <c r="A670" s="10" t="s">
        <v>4961</v>
      </c>
      <c r="B670" s="10" t="s">
        <v>4962</v>
      </c>
      <c r="C670" s="10" t="s">
        <v>1449</v>
      </c>
      <c r="D670" s="10" t="s">
        <v>4963</v>
      </c>
      <c r="E670" s="10" t="s">
        <v>4775</v>
      </c>
      <c r="F670" s="10" t="s">
        <v>4964</v>
      </c>
      <c r="G670" s="10" t="s">
        <v>4965</v>
      </c>
      <c r="H670" s="11" t="s">
        <v>31</v>
      </c>
      <c r="I670" s="11">
        <v>1.0</v>
      </c>
      <c r="J670" s="11">
        <v>1.0</v>
      </c>
      <c r="K670" s="11" t="s">
        <v>31</v>
      </c>
      <c r="L670" s="12" t="s">
        <v>4777</v>
      </c>
      <c r="M670" s="10" t="s">
        <v>4966</v>
      </c>
      <c r="N670" s="10" t="s">
        <v>1442</v>
      </c>
      <c r="O670" s="12" t="s">
        <v>1443</v>
      </c>
      <c r="P670" s="10" t="s">
        <v>4779</v>
      </c>
      <c r="Q670" s="10" t="s">
        <v>31</v>
      </c>
      <c r="R670" s="10" t="s">
        <v>1277</v>
      </c>
      <c r="S670" s="12" t="s">
        <v>4780</v>
      </c>
      <c r="T670" s="10" t="s">
        <v>66</v>
      </c>
      <c r="U670" s="12" t="s">
        <v>31</v>
      </c>
      <c r="V670" s="10" t="s">
        <v>4967</v>
      </c>
      <c r="W670" s="10" t="s">
        <v>4775</v>
      </c>
      <c r="X670" s="13" t="str">
        <f>HYPERLINK("https://my.pitchbook.com?p=148984-12P","View People Online")</f>
        <v>View People Online</v>
      </c>
    </row>
    <row r="671">
      <c r="A671" s="14" t="s">
        <v>4968</v>
      </c>
      <c r="B671" s="14" t="s">
        <v>4969</v>
      </c>
      <c r="C671" s="14" t="s">
        <v>4970</v>
      </c>
      <c r="D671" s="14" t="s">
        <v>4971</v>
      </c>
      <c r="E671" s="14" t="s">
        <v>4775</v>
      </c>
      <c r="F671" s="14" t="s">
        <v>1801</v>
      </c>
      <c r="G671" s="14" t="s">
        <v>4972</v>
      </c>
      <c r="H671" s="15" t="s">
        <v>31</v>
      </c>
      <c r="I671" s="15">
        <v>1.0</v>
      </c>
      <c r="J671" s="15">
        <v>1.0</v>
      </c>
      <c r="K671" s="15" t="s">
        <v>31</v>
      </c>
      <c r="L671" s="16" t="s">
        <v>4777</v>
      </c>
      <c r="M671" s="14" t="s">
        <v>4973</v>
      </c>
      <c r="N671" s="14" t="s">
        <v>1442</v>
      </c>
      <c r="O671" s="16" t="s">
        <v>1443</v>
      </c>
      <c r="P671" s="14" t="s">
        <v>4779</v>
      </c>
      <c r="Q671" s="14" t="s">
        <v>31</v>
      </c>
      <c r="R671" s="14" t="s">
        <v>1277</v>
      </c>
      <c r="S671" s="16" t="s">
        <v>4780</v>
      </c>
      <c r="T671" s="14" t="s">
        <v>66</v>
      </c>
      <c r="U671" s="16" t="s">
        <v>31</v>
      </c>
      <c r="V671" s="14" t="s">
        <v>4974</v>
      </c>
      <c r="W671" s="14" t="s">
        <v>4775</v>
      </c>
      <c r="X671" s="17" t="str">
        <f>HYPERLINK("https://my.pitchbook.com?p=162109-00P","View People Online")</f>
        <v>View People Online</v>
      </c>
    </row>
    <row r="672">
      <c r="A672" s="2" t="s">
        <v>4975</v>
      </c>
      <c r="B672" s="2" t="s">
        <v>4976</v>
      </c>
      <c r="C672" s="2" t="s">
        <v>3953</v>
      </c>
      <c r="D672" s="2" t="s">
        <v>4977</v>
      </c>
      <c r="E672" s="2" t="s">
        <v>4775</v>
      </c>
      <c r="F672" s="2" t="s">
        <v>1801</v>
      </c>
      <c r="G672" s="2" t="s">
        <v>4978</v>
      </c>
      <c r="H672" s="3">
        <v>2.0</v>
      </c>
      <c r="I672" s="3">
        <v>4.0</v>
      </c>
      <c r="J672" s="3">
        <v>1.0</v>
      </c>
      <c r="K672" s="3">
        <v>1.0</v>
      </c>
      <c r="L672" s="4" t="s">
        <v>4777</v>
      </c>
      <c r="M672" s="2" t="s">
        <v>4979</v>
      </c>
      <c r="N672" s="2" t="s">
        <v>1442</v>
      </c>
      <c r="O672" s="4" t="s">
        <v>1443</v>
      </c>
      <c r="P672" s="2" t="s">
        <v>4779</v>
      </c>
      <c r="Q672" s="2" t="s">
        <v>31</v>
      </c>
      <c r="R672" s="2" t="s">
        <v>1277</v>
      </c>
      <c r="S672" s="4" t="s">
        <v>4780</v>
      </c>
      <c r="T672" s="2" t="s">
        <v>66</v>
      </c>
      <c r="U672" s="4" t="s">
        <v>31</v>
      </c>
      <c r="V672" s="2" t="s">
        <v>4980</v>
      </c>
      <c r="W672" s="2" t="s">
        <v>4775</v>
      </c>
      <c r="X672" s="5" t="str">
        <f>HYPERLINK("https://my.pitchbook.com?p=115415-92P","View People Online")</f>
        <v>View People Online</v>
      </c>
    </row>
    <row r="673">
      <c r="A673" s="6" t="s">
        <v>4981</v>
      </c>
      <c r="B673" s="6" t="s">
        <v>4982</v>
      </c>
      <c r="C673" s="6" t="s">
        <v>3953</v>
      </c>
      <c r="D673" s="6" t="s">
        <v>4983</v>
      </c>
      <c r="E673" s="6" t="s">
        <v>4775</v>
      </c>
      <c r="F673" s="6" t="s">
        <v>470</v>
      </c>
      <c r="G673" s="6" t="s">
        <v>4984</v>
      </c>
      <c r="H673" s="7" t="s">
        <v>31</v>
      </c>
      <c r="I673" s="7">
        <v>1.0</v>
      </c>
      <c r="J673" s="7">
        <v>1.0</v>
      </c>
      <c r="K673" s="7" t="s">
        <v>31</v>
      </c>
      <c r="L673" s="8" t="s">
        <v>4985</v>
      </c>
      <c r="M673" s="6" t="s">
        <v>4986</v>
      </c>
      <c r="N673" s="6" t="s">
        <v>1442</v>
      </c>
      <c r="O673" s="8" t="s">
        <v>1443</v>
      </c>
      <c r="P673" s="6" t="s">
        <v>4779</v>
      </c>
      <c r="Q673" s="6" t="s">
        <v>31</v>
      </c>
      <c r="R673" s="6" t="s">
        <v>1277</v>
      </c>
      <c r="S673" s="8" t="s">
        <v>4780</v>
      </c>
      <c r="T673" s="6" t="s">
        <v>66</v>
      </c>
      <c r="U673" s="8" t="s">
        <v>31</v>
      </c>
      <c r="V673" s="6" t="s">
        <v>4987</v>
      </c>
      <c r="W673" s="6" t="s">
        <v>4775</v>
      </c>
      <c r="X673" s="9" t="str">
        <f>HYPERLINK("https://my.pitchbook.com?p=305870-77P","View People Online")</f>
        <v>View People Online</v>
      </c>
    </row>
    <row r="674">
      <c r="A674" s="2" t="s">
        <v>4988</v>
      </c>
      <c r="B674" s="2" t="s">
        <v>4989</v>
      </c>
      <c r="C674" s="2" t="s">
        <v>3953</v>
      </c>
      <c r="D674" s="2" t="s">
        <v>4990</v>
      </c>
      <c r="E674" s="2" t="s">
        <v>4775</v>
      </c>
      <c r="F674" s="2" t="s">
        <v>1801</v>
      </c>
      <c r="G674" s="2" t="s">
        <v>4991</v>
      </c>
      <c r="H674" s="3" t="s">
        <v>31</v>
      </c>
      <c r="I674" s="3">
        <v>1.0</v>
      </c>
      <c r="J674" s="3">
        <v>1.0</v>
      </c>
      <c r="K674" s="3" t="s">
        <v>31</v>
      </c>
      <c r="L674" s="4" t="s">
        <v>4777</v>
      </c>
      <c r="M674" s="2" t="s">
        <v>4992</v>
      </c>
      <c r="N674" s="2" t="s">
        <v>1442</v>
      </c>
      <c r="O674" s="4" t="s">
        <v>1443</v>
      </c>
      <c r="P674" s="2" t="s">
        <v>4779</v>
      </c>
      <c r="Q674" s="2" t="s">
        <v>31</v>
      </c>
      <c r="R674" s="2" t="s">
        <v>1277</v>
      </c>
      <c r="S674" s="4" t="s">
        <v>4780</v>
      </c>
      <c r="T674" s="2" t="s">
        <v>66</v>
      </c>
      <c r="U674" s="4" t="s">
        <v>31</v>
      </c>
      <c r="V674" s="2" t="s">
        <v>4993</v>
      </c>
      <c r="W674" s="2" t="s">
        <v>4775</v>
      </c>
      <c r="X674" s="5" t="str">
        <f>HYPERLINK("https://my.pitchbook.com?p=121132-27P","View People Online")</f>
        <v>View People Online</v>
      </c>
    </row>
    <row r="675">
      <c r="A675" s="6" t="s">
        <v>4994</v>
      </c>
      <c r="B675" s="6" t="s">
        <v>4995</v>
      </c>
      <c r="C675" s="6" t="s">
        <v>2865</v>
      </c>
      <c r="D675" s="6" t="s">
        <v>4996</v>
      </c>
      <c r="E675" s="6" t="s">
        <v>4775</v>
      </c>
      <c r="F675" s="6" t="s">
        <v>4997</v>
      </c>
      <c r="G675" s="6" t="s">
        <v>4998</v>
      </c>
      <c r="H675" s="7" t="s">
        <v>31</v>
      </c>
      <c r="I675" s="7">
        <v>1.0</v>
      </c>
      <c r="J675" s="7">
        <v>1.0</v>
      </c>
      <c r="K675" s="7" t="s">
        <v>31</v>
      </c>
      <c r="L675" s="8" t="s">
        <v>4777</v>
      </c>
      <c r="M675" s="6" t="s">
        <v>4999</v>
      </c>
      <c r="N675" s="6" t="s">
        <v>1442</v>
      </c>
      <c r="O675" s="8" t="s">
        <v>1443</v>
      </c>
      <c r="P675" s="6" t="s">
        <v>4779</v>
      </c>
      <c r="Q675" s="6" t="s">
        <v>31</v>
      </c>
      <c r="R675" s="6" t="s">
        <v>1277</v>
      </c>
      <c r="S675" s="8" t="s">
        <v>4780</v>
      </c>
      <c r="T675" s="6" t="s">
        <v>66</v>
      </c>
      <c r="U675" s="8" t="s">
        <v>31</v>
      </c>
      <c r="V675" s="6" t="s">
        <v>5000</v>
      </c>
      <c r="W675" s="6" t="s">
        <v>4775</v>
      </c>
      <c r="X675" s="9" t="str">
        <f>HYPERLINK("https://my.pitchbook.com?p=182458-27P","View People Online")</f>
        <v>View People Online</v>
      </c>
    </row>
    <row r="676">
      <c r="A676" s="10" t="s">
        <v>5001</v>
      </c>
      <c r="B676" s="10" t="s">
        <v>5002</v>
      </c>
      <c r="C676" s="10" t="s">
        <v>5003</v>
      </c>
      <c r="D676" s="10" t="s">
        <v>5004</v>
      </c>
      <c r="E676" s="10" t="s">
        <v>4775</v>
      </c>
      <c r="F676" s="10" t="s">
        <v>548</v>
      </c>
      <c r="G676" s="10" t="s">
        <v>5005</v>
      </c>
      <c r="H676" s="11" t="s">
        <v>31</v>
      </c>
      <c r="I676" s="11">
        <v>1.0</v>
      </c>
      <c r="J676" s="11">
        <v>1.0</v>
      </c>
      <c r="K676" s="11" t="s">
        <v>31</v>
      </c>
      <c r="L676" s="12" t="s">
        <v>4777</v>
      </c>
      <c r="M676" s="10" t="s">
        <v>5006</v>
      </c>
      <c r="N676" s="10" t="s">
        <v>1442</v>
      </c>
      <c r="O676" s="12" t="s">
        <v>1443</v>
      </c>
      <c r="P676" s="10" t="s">
        <v>4779</v>
      </c>
      <c r="Q676" s="10" t="s">
        <v>31</v>
      </c>
      <c r="R676" s="10" t="s">
        <v>1277</v>
      </c>
      <c r="S676" s="12" t="s">
        <v>4780</v>
      </c>
      <c r="T676" s="10" t="s">
        <v>66</v>
      </c>
      <c r="U676" s="12" t="s">
        <v>31</v>
      </c>
      <c r="V676" s="10" t="s">
        <v>5007</v>
      </c>
      <c r="W676" s="10" t="s">
        <v>4775</v>
      </c>
      <c r="X676" s="13" t="str">
        <f>HYPERLINK("https://my.pitchbook.com?p=351280-90P","View People Online")</f>
        <v>View People Online</v>
      </c>
    </row>
    <row r="677">
      <c r="A677" s="6" t="s">
        <v>5008</v>
      </c>
      <c r="B677" s="6" t="s">
        <v>5009</v>
      </c>
      <c r="C677" s="6" t="s">
        <v>5010</v>
      </c>
      <c r="D677" s="6" t="s">
        <v>5011</v>
      </c>
      <c r="E677" s="6" t="s">
        <v>4775</v>
      </c>
      <c r="F677" s="6" t="s">
        <v>5012</v>
      </c>
      <c r="G677" s="6" t="s">
        <v>5013</v>
      </c>
      <c r="H677" s="7" t="s">
        <v>31</v>
      </c>
      <c r="I677" s="7">
        <v>1.0</v>
      </c>
      <c r="J677" s="7">
        <v>1.0</v>
      </c>
      <c r="K677" s="7" t="s">
        <v>31</v>
      </c>
      <c r="L677" s="8" t="s">
        <v>4777</v>
      </c>
      <c r="M677" s="6" t="s">
        <v>5014</v>
      </c>
      <c r="N677" s="6" t="s">
        <v>1442</v>
      </c>
      <c r="O677" s="8" t="s">
        <v>1443</v>
      </c>
      <c r="P677" s="6" t="s">
        <v>4779</v>
      </c>
      <c r="Q677" s="6" t="s">
        <v>31</v>
      </c>
      <c r="R677" s="6" t="s">
        <v>1277</v>
      </c>
      <c r="S677" s="8" t="s">
        <v>4780</v>
      </c>
      <c r="T677" s="6" t="s">
        <v>66</v>
      </c>
      <c r="U677" s="8" t="s">
        <v>31</v>
      </c>
      <c r="V677" s="6" t="s">
        <v>5015</v>
      </c>
      <c r="W677" s="6" t="s">
        <v>4775</v>
      </c>
      <c r="X677" s="9" t="str">
        <f>HYPERLINK("https://my.pitchbook.com?p=67986-64P","View People Online")</f>
        <v>View People Online</v>
      </c>
    </row>
    <row r="678">
      <c r="A678" s="2" t="s">
        <v>5016</v>
      </c>
      <c r="B678" s="2" t="s">
        <v>5017</v>
      </c>
      <c r="C678" s="2" t="s">
        <v>1146</v>
      </c>
      <c r="D678" s="2" t="s">
        <v>5018</v>
      </c>
      <c r="E678" s="2" t="s">
        <v>4775</v>
      </c>
      <c r="F678" s="2" t="s">
        <v>825</v>
      </c>
      <c r="G678" s="2" t="s">
        <v>5019</v>
      </c>
      <c r="H678" s="3" t="s">
        <v>31</v>
      </c>
      <c r="I678" s="3">
        <v>1.0</v>
      </c>
      <c r="J678" s="3">
        <v>1.0</v>
      </c>
      <c r="K678" s="3" t="s">
        <v>31</v>
      </c>
      <c r="L678" s="4" t="s">
        <v>4777</v>
      </c>
      <c r="M678" s="2" t="s">
        <v>5020</v>
      </c>
      <c r="N678" s="2" t="s">
        <v>1442</v>
      </c>
      <c r="O678" s="4" t="s">
        <v>1443</v>
      </c>
      <c r="P678" s="2" t="s">
        <v>4779</v>
      </c>
      <c r="Q678" s="2" t="s">
        <v>31</v>
      </c>
      <c r="R678" s="2" t="s">
        <v>1277</v>
      </c>
      <c r="S678" s="4" t="s">
        <v>4780</v>
      </c>
      <c r="T678" s="2" t="s">
        <v>66</v>
      </c>
      <c r="U678" s="4" t="s">
        <v>31</v>
      </c>
      <c r="V678" s="2" t="s">
        <v>5021</v>
      </c>
      <c r="W678" s="2" t="s">
        <v>4775</v>
      </c>
      <c r="X678" s="5" t="str">
        <f>HYPERLINK("https://my.pitchbook.com?p=366869-08P","View People Online")</f>
        <v>View People Online</v>
      </c>
    </row>
    <row r="679">
      <c r="A679" s="14" t="s">
        <v>5022</v>
      </c>
      <c r="B679" s="14" t="s">
        <v>5023</v>
      </c>
      <c r="C679" s="14" t="s">
        <v>4358</v>
      </c>
      <c r="D679" s="14" t="s">
        <v>5024</v>
      </c>
      <c r="E679" s="14" t="s">
        <v>4775</v>
      </c>
      <c r="F679" s="14" t="s">
        <v>548</v>
      </c>
      <c r="G679" s="14" t="s">
        <v>5025</v>
      </c>
      <c r="H679" s="15" t="s">
        <v>31</v>
      </c>
      <c r="I679" s="15">
        <v>1.0</v>
      </c>
      <c r="J679" s="15">
        <v>1.0</v>
      </c>
      <c r="K679" s="15" t="s">
        <v>31</v>
      </c>
      <c r="L679" s="16" t="s">
        <v>4777</v>
      </c>
      <c r="M679" s="14" t="s">
        <v>5026</v>
      </c>
      <c r="N679" s="14" t="s">
        <v>1442</v>
      </c>
      <c r="O679" s="16" t="s">
        <v>1443</v>
      </c>
      <c r="P679" s="14" t="s">
        <v>4779</v>
      </c>
      <c r="Q679" s="14" t="s">
        <v>31</v>
      </c>
      <c r="R679" s="14" t="s">
        <v>1277</v>
      </c>
      <c r="S679" s="16" t="s">
        <v>4780</v>
      </c>
      <c r="T679" s="14" t="s">
        <v>66</v>
      </c>
      <c r="U679" s="16" t="s">
        <v>31</v>
      </c>
      <c r="V679" s="14" t="s">
        <v>5027</v>
      </c>
      <c r="W679" s="14" t="s">
        <v>4775</v>
      </c>
      <c r="X679" s="17" t="str">
        <f>HYPERLINK("https://my.pitchbook.com?p=35848-18P","View People Online")</f>
        <v>View People Online</v>
      </c>
    </row>
    <row r="680">
      <c r="A680" s="10" t="s">
        <v>5028</v>
      </c>
      <c r="B680" s="10" t="s">
        <v>5029</v>
      </c>
      <c r="C680" s="10" t="s">
        <v>823</v>
      </c>
      <c r="D680" s="10" t="s">
        <v>5030</v>
      </c>
      <c r="E680" s="10" t="s">
        <v>4775</v>
      </c>
      <c r="F680" s="10" t="s">
        <v>5031</v>
      </c>
      <c r="G680" s="10" t="s">
        <v>5032</v>
      </c>
      <c r="H680" s="11" t="s">
        <v>31</v>
      </c>
      <c r="I680" s="11">
        <v>1.0</v>
      </c>
      <c r="J680" s="11">
        <v>1.0</v>
      </c>
      <c r="K680" s="11" t="s">
        <v>31</v>
      </c>
      <c r="L680" s="12" t="s">
        <v>4777</v>
      </c>
      <c r="M680" s="10" t="s">
        <v>5033</v>
      </c>
      <c r="N680" s="10" t="s">
        <v>1442</v>
      </c>
      <c r="O680" s="12" t="s">
        <v>1443</v>
      </c>
      <c r="P680" s="10" t="s">
        <v>4779</v>
      </c>
      <c r="Q680" s="10" t="s">
        <v>31</v>
      </c>
      <c r="R680" s="10" t="s">
        <v>1277</v>
      </c>
      <c r="S680" s="12" t="s">
        <v>4780</v>
      </c>
      <c r="T680" s="10" t="s">
        <v>66</v>
      </c>
      <c r="U680" s="12" t="s">
        <v>31</v>
      </c>
      <c r="V680" s="10" t="s">
        <v>5034</v>
      </c>
      <c r="W680" s="10" t="s">
        <v>4775</v>
      </c>
      <c r="X680" s="13" t="str">
        <f>HYPERLINK("https://my.pitchbook.com?p=381705-04P","View People Online")</f>
        <v>View People Online</v>
      </c>
    </row>
    <row r="681">
      <c r="A681" s="14" t="s">
        <v>5035</v>
      </c>
      <c r="B681" s="14" t="s">
        <v>5036</v>
      </c>
      <c r="C681" s="14" t="s">
        <v>5037</v>
      </c>
      <c r="D681" s="14" t="s">
        <v>5038</v>
      </c>
      <c r="E681" s="14" t="s">
        <v>4775</v>
      </c>
      <c r="F681" s="14" t="s">
        <v>825</v>
      </c>
      <c r="G681" s="14" t="s">
        <v>5039</v>
      </c>
      <c r="H681" s="15" t="s">
        <v>31</v>
      </c>
      <c r="I681" s="15">
        <v>1.0</v>
      </c>
      <c r="J681" s="15">
        <v>1.0</v>
      </c>
      <c r="K681" s="15" t="s">
        <v>31</v>
      </c>
      <c r="L681" s="16" t="s">
        <v>4777</v>
      </c>
      <c r="M681" s="14" t="s">
        <v>5040</v>
      </c>
      <c r="N681" s="14" t="s">
        <v>1442</v>
      </c>
      <c r="O681" s="16" t="s">
        <v>1443</v>
      </c>
      <c r="P681" s="14" t="s">
        <v>4779</v>
      </c>
      <c r="Q681" s="14" t="s">
        <v>31</v>
      </c>
      <c r="R681" s="14" t="s">
        <v>1277</v>
      </c>
      <c r="S681" s="16" t="s">
        <v>4780</v>
      </c>
      <c r="T681" s="14" t="s">
        <v>66</v>
      </c>
      <c r="U681" s="16" t="s">
        <v>31</v>
      </c>
      <c r="V681" s="14" t="s">
        <v>5041</v>
      </c>
      <c r="W681" s="14" t="s">
        <v>4775</v>
      </c>
      <c r="X681" s="17" t="str">
        <f>HYPERLINK("https://my.pitchbook.com?p=404859-52P","View People Online")</f>
        <v>View People Online</v>
      </c>
    </row>
    <row r="682">
      <c r="A682" s="2" t="s">
        <v>5042</v>
      </c>
      <c r="B682" s="2" t="s">
        <v>5043</v>
      </c>
      <c r="C682" s="2" t="s">
        <v>5044</v>
      </c>
      <c r="D682" s="2" t="s">
        <v>5045</v>
      </c>
      <c r="E682" s="2" t="s">
        <v>4775</v>
      </c>
      <c r="F682" s="2" t="s">
        <v>371</v>
      </c>
      <c r="G682" s="2" t="s">
        <v>5046</v>
      </c>
      <c r="H682" s="3" t="s">
        <v>31</v>
      </c>
      <c r="I682" s="3">
        <v>1.0</v>
      </c>
      <c r="J682" s="3">
        <v>1.0</v>
      </c>
      <c r="K682" s="3" t="s">
        <v>31</v>
      </c>
      <c r="L682" s="4" t="s">
        <v>4777</v>
      </c>
      <c r="M682" s="2" t="s">
        <v>5047</v>
      </c>
      <c r="N682" s="2" t="s">
        <v>1442</v>
      </c>
      <c r="O682" s="4" t="s">
        <v>1443</v>
      </c>
      <c r="P682" s="2" t="s">
        <v>4779</v>
      </c>
      <c r="Q682" s="2" t="s">
        <v>31</v>
      </c>
      <c r="R682" s="2" t="s">
        <v>1277</v>
      </c>
      <c r="S682" s="4" t="s">
        <v>4780</v>
      </c>
      <c r="T682" s="2" t="s">
        <v>66</v>
      </c>
      <c r="U682" s="4" t="s">
        <v>31</v>
      </c>
      <c r="V682" s="2" t="s">
        <v>5048</v>
      </c>
      <c r="W682" s="2" t="s">
        <v>4775</v>
      </c>
      <c r="X682" s="5" t="str">
        <f>HYPERLINK("https://my.pitchbook.com?p=159000-76P","View People Online")</f>
        <v>View People Online</v>
      </c>
    </row>
    <row r="683">
      <c r="A683" s="14" t="s">
        <v>5049</v>
      </c>
      <c r="B683" s="14" t="s">
        <v>5050</v>
      </c>
      <c r="C683" s="14" t="s">
        <v>4404</v>
      </c>
      <c r="D683" s="14" t="s">
        <v>5051</v>
      </c>
      <c r="E683" s="14" t="s">
        <v>4775</v>
      </c>
      <c r="F683" s="14" t="s">
        <v>5052</v>
      </c>
      <c r="G683" s="14" t="s">
        <v>5053</v>
      </c>
      <c r="H683" s="15" t="s">
        <v>31</v>
      </c>
      <c r="I683" s="15">
        <v>2.0</v>
      </c>
      <c r="J683" s="15">
        <v>1.0</v>
      </c>
      <c r="K683" s="15">
        <v>1.0</v>
      </c>
      <c r="L683" s="16" t="s">
        <v>4777</v>
      </c>
      <c r="M683" s="14" t="s">
        <v>5054</v>
      </c>
      <c r="N683" s="14" t="s">
        <v>1442</v>
      </c>
      <c r="O683" s="16" t="s">
        <v>1443</v>
      </c>
      <c r="P683" s="14" t="s">
        <v>4779</v>
      </c>
      <c r="Q683" s="14" t="s">
        <v>31</v>
      </c>
      <c r="R683" s="14" t="s">
        <v>1277</v>
      </c>
      <c r="S683" s="16" t="s">
        <v>4780</v>
      </c>
      <c r="T683" s="14" t="s">
        <v>66</v>
      </c>
      <c r="U683" s="16" t="s">
        <v>31</v>
      </c>
      <c r="V683" s="14" t="s">
        <v>5055</v>
      </c>
      <c r="W683" s="14" t="s">
        <v>4775</v>
      </c>
      <c r="X683" s="17" t="str">
        <f>HYPERLINK("https://my.pitchbook.com?p=351281-71P","View People Online")</f>
        <v>View People Online</v>
      </c>
    </row>
    <row r="684">
      <c r="A684" s="10" t="s">
        <v>5056</v>
      </c>
      <c r="B684" s="10" t="s">
        <v>5057</v>
      </c>
      <c r="C684" s="10" t="s">
        <v>4404</v>
      </c>
      <c r="D684" s="10" t="s">
        <v>5058</v>
      </c>
      <c r="E684" s="10" t="s">
        <v>4775</v>
      </c>
      <c r="F684" s="10" t="s">
        <v>270</v>
      </c>
      <c r="G684" s="10" t="s">
        <v>5059</v>
      </c>
      <c r="H684" s="11" t="s">
        <v>31</v>
      </c>
      <c r="I684" s="11">
        <v>1.0</v>
      </c>
      <c r="J684" s="11">
        <v>1.0</v>
      </c>
      <c r="K684" s="11" t="s">
        <v>31</v>
      </c>
      <c r="L684" s="12" t="s">
        <v>4777</v>
      </c>
      <c r="M684" s="10" t="s">
        <v>5060</v>
      </c>
      <c r="N684" s="10" t="s">
        <v>1442</v>
      </c>
      <c r="O684" s="12" t="s">
        <v>1443</v>
      </c>
      <c r="P684" s="10" t="s">
        <v>4779</v>
      </c>
      <c r="Q684" s="10" t="s">
        <v>31</v>
      </c>
      <c r="R684" s="10" t="s">
        <v>1277</v>
      </c>
      <c r="S684" s="12" t="s">
        <v>4780</v>
      </c>
      <c r="T684" s="10" t="s">
        <v>66</v>
      </c>
      <c r="U684" s="12" t="s">
        <v>31</v>
      </c>
      <c r="V684" s="10" t="s">
        <v>5061</v>
      </c>
      <c r="W684" s="10" t="s">
        <v>4775</v>
      </c>
      <c r="X684" s="13" t="str">
        <f>HYPERLINK("https://my.pitchbook.com?p=366901-21P","View People Online")</f>
        <v>View People Online</v>
      </c>
    </row>
    <row r="685">
      <c r="A685" s="6" t="s">
        <v>5062</v>
      </c>
      <c r="B685" s="6" t="s">
        <v>5063</v>
      </c>
      <c r="C685" s="6" t="s">
        <v>4404</v>
      </c>
      <c r="D685" s="6" t="s">
        <v>5064</v>
      </c>
      <c r="E685" s="6" t="s">
        <v>4775</v>
      </c>
      <c r="F685" s="6" t="s">
        <v>5065</v>
      </c>
      <c r="G685" s="6" t="s">
        <v>5066</v>
      </c>
      <c r="H685" s="7" t="s">
        <v>31</v>
      </c>
      <c r="I685" s="7">
        <v>1.0</v>
      </c>
      <c r="J685" s="7">
        <v>1.0</v>
      </c>
      <c r="K685" s="7" t="s">
        <v>31</v>
      </c>
      <c r="L685" s="8" t="s">
        <v>4777</v>
      </c>
      <c r="M685" s="6" t="s">
        <v>5067</v>
      </c>
      <c r="N685" s="6" t="s">
        <v>1442</v>
      </c>
      <c r="O685" s="8" t="s">
        <v>1443</v>
      </c>
      <c r="P685" s="6" t="s">
        <v>4779</v>
      </c>
      <c r="Q685" s="6" t="s">
        <v>31</v>
      </c>
      <c r="R685" s="6" t="s">
        <v>1277</v>
      </c>
      <c r="S685" s="8" t="s">
        <v>4780</v>
      </c>
      <c r="T685" s="6" t="s">
        <v>66</v>
      </c>
      <c r="U685" s="8" t="s">
        <v>31</v>
      </c>
      <c r="V685" s="6" t="s">
        <v>5068</v>
      </c>
      <c r="W685" s="6" t="s">
        <v>4775</v>
      </c>
      <c r="X685" s="9" t="str">
        <f>HYPERLINK("https://my.pitchbook.com?p=179595-91P","View People Online")</f>
        <v>View People Online</v>
      </c>
    </row>
    <row r="686">
      <c r="A686" s="2" t="s">
        <v>5069</v>
      </c>
      <c r="B686" s="2" t="s">
        <v>5070</v>
      </c>
      <c r="C686" s="2" t="s">
        <v>5071</v>
      </c>
      <c r="D686" s="2" t="s">
        <v>5072</v>
      </c>
      <c r="E686" s="2" t="s">
        <v>4775</v>
      </c>
      <c r="F686" s="2" t="s">
        <v>1801</v>
      </c>
      <c r="G686" s="2" t="s">
        <v>5073</v>
      </c>
      <c r="H686" s="3" t="s">
        <v>31</v>
      </c>
      <c r="I686" s="3">
        <v>1.0</v>
      </c>
      <c r="J686" s="3">
        <v>1.0</v>
      </c>
      <c r="K686" s="3" t="s">
        <v>31</v>
      </c>
      <c r="L686" s="4" t="s">
        <v>4777</v>
      </c>
      <c r="M686" s="2" t="s">
        <v>5074</v>
      </c>
      <c r="N686" s="2" t="s">
        <v>1442</v>
      </c>
      <c r="O686" s="4" t="s">
        <v>1443</v>
      </c>
      <c r="P686" s="2" t="s">
        <v>4779</v>
      </c>
      <c r="Q686" s="2" t="s">
        <v>31</v>
      </c>
      <c r="R686" s="2" t="s">
        <v>1277</v>
      </c>
      <c r="S686" s="4" t="s">
        <v>4780</v>
      </c>
      <c r="T686" s="2" t="s">
        <v>66</v>
      </c>
      <c r="U686" s="4" t="s">
        <v>31</v>
      </c>
      <c r="V686" s="2" t="s">
        <v>5075</v>
      </c>
      <c r="W686" s="2" t="s">
        <v>4775</v>
      </c>
      <c r="X686" s="5" t="str">
        <f>HYPERLINK("https://my.pitchbook.com?p=367442-29P","View People Online")</f>
        <v>View People Online</v>
      </c>
    </row>
    <row r="687">
      <c r="A687" s="14" t="s">
        <v>5076</v>
      </c>
      <c r="B687" s="14" t="s">
        <v>5077</v>
      </c>
      <c r="C687" s="14" t="s">
        <v>3082</v>
      </c>
      <c r="D687" s="14" t="s">
        <v>5078</v>
      </c>
      <c r="E687" s="14" t="s">
        <v>4775</v>
      </c>
      <c r="F687" s="14" t="s">
        <v>825</v>
      </c>
      <c r="G687" s="14" t="s">
        <v>5079</v>
      </c>
      <c r="H687" s="15" t="s">
        <v>31</v>
      </c>
      <c r="I687" s="15">
        <v>1.0</v>
      </c>
      <c r="J687" s="15">
        <v>1.0</v>
      </c>
      <c r="K687" s="15" t="s">
        <v>31</v>
      </c>
      <c r="L687" s="16" t="s">
        <v>4777</v>
      </c>
      <c r="M687" s="14" t="s">
        <v>5080</v>
      </c>
      <c r="N687" s="14" t="s">
        <v>1442</v>
      </c>
      <c r="O687" s="16" t="s">
        <v>1443</v>
      </c>
      <c r="P687" s="14" t="s">
        <v>4779</v>
      </c>
      <c r="Q687" s="14" t="s">
        <v>31</v>
      </c>
      <c r="R687" s="14" t="s">
        <v>1277</v>
      </c>
      <c r="S687" s="16" t="s">
        <v>4780</v>
      </c>
      <c r="T687" s="14" t="s">
        <v>66</v>
      </c>
      <c r="U687" s="16" t="s">
        <v>31</v>
      </c>
      <c r="V687" s="14" t="s">
        <v>5081</v>
      </c>
      <c r="W687" s="14" t="s">
        <v>4775</v>
      </c>
      <c r="X687" s="17" t="str">
        <f>HYPERLINK("https://my.pitchbook.com?p=134469-73P","View People Online")</f>
        <v>View People Online</v>
      </c>
    </row>
    <row r="688">
      <c r="A688" s="2" t="s">
        <v>5082</v>
      </c>
      <c r="B688" s="2" t="s">
        <v>5083</v>
      </c>
      <c r="C688" s="2" t="s">
        <v>5084</v>
      </c>
      <c r="D688" s="2" t="s">
        <v>5085</v>
      </c>
      <c r="E688" s="2" t="s">
        <v>4775</v>
      </c>
      <c r="F688" s="2" t="s">
        <v>5086</v>
      </c>
      <c r="G688" s="2" t="s">
        <v>5087</v>
      </c>
      <c r="H688" s="3" t="s">
        <v>31</v>
      </c>
      <c r="I688" s="3">
        <v>2.0</v>
      </c>
      <c r="J688" s="3">
        <v>1.0</v>
      </c>
      <c r="K688" s="3">
        <v>1.0</v>
      </c>
      <c r="L688" s="4" t="s">
        <v>4777</v>
      </c>
      <c r="M688" s="2" t="s">
        <v>5088</v>
      </c>
      <c r="N688" s="2" t="s">
        <v>1442</v>
      </c>
      <c r="O688" s="4" t="s">
        <v>1443</v>
      </c>
      <c r="P688" s="2" t="s">
        <v>4779</v>
      </c>
      <c r="Q688" s="2" t="s">
        <v>31</v>
      </c>
      <c r="R688" s="2" t="s">
        <v>1277</v>
      </c>
      <c r="S688" s="4" t="s">
        <v>4780</v>
      </c>
      <c r="T688" s="2" t="s">
        <v>66</v>
      </c>
      <c r="U688" s="4" t="s">
        <v>31</v>
      </c>
      <c r="V688" s="2" t="s">
        <v>5089</v>
      </c>
      <c r="W688" s="2" t="s">
        <v>4775</v>
      </c>
      <c r="X688" s="5" t="str">
        <f>HYPERLINK("https://my.pitchbook.com?p=251661-79P","View People Online")</f>
        <v>View People Online</v>
      </c>
    </row>
    <row r="689">
      <c r="A689" s="14" t="s">
        <v>5090</v>
      </c>
      <c r="B689" s="14" t="s">
        <v>5091</v>
      </c>
      <c r="C689" s="14" t="s">
        <v>5092</v>
      </c>
      <c r="D689" s="14" t="s">
        <v>5093</v>
      </c>
      <c r="E689" s="14" t="s">
        <v>4775</v>
      </c>
      <c r="F689" s="14" t="s">
        <v>1801</v>
      </c>
      <c r="G689" s="14" t="s">
        <v>5094</v>
      </c>
      <c r="H689" s="15" t="s">
        <v>31</v>
      </c>
      <c r="I689" s="15">
        <v>2.0</v>
      </c>
      <c r="J689" s="15">
        <v>1.0</v>
      </c>
      <c r="K689" s="15">
        <v>1.0</v>
      </c>
      <c r="L689" s="16" t="s">
        <v>4777</v>
      </c>
      <c r="M689" s="14" t="s">
        <v>5095</v>
      </c>
      <c r="N689" s="14" t="s">
        <v>1442</v>
      </c>
      <c r="O689" s="16" t="s">
        <v>1443</v>
      </c>
      <c r="P689" s="14" t="s">
        <v>4779</v>
      </c>
      <c r="Q689" s="14" t="s">
        <v>31</v>
      </c>
      <c r="R689" s="14" t="s">
        <v>1277</v>
      </c>
      <c r="S689" s="16" t="s">
        <v>4780</v>
      </c>
      <c r="T689" s="14" t="s">
        <v>66</v>
      </c>
      <c r="U689" s="16" t="s">
        <v>31</v>
      </c>
      <c r="V689" s="14" t="s">
        <v>5096</v>
      </c>
      <c r="W689" s="14" t="s">
        <v>4775</v>
      </c>
      <c r="X689" s="17" t="str">
        <f>HYPERLINK("https://my.pitchbook.com?p=140034-97P","View People Online")</f>
        <v>View People Online</v>
      </c>
    </row>
    <row r="690">
      <c r="A690" s="2" t="s">
        <v>5097</v>
      </c>
      <c r="B690" s="2" t="s">
        <v>5098</v>
      </c>
      <c r="C690" s="2" t="s">
        <v>5099</v>
      </c>
      <c r="D690" s="2" t="s">
        <v>5100</v>
      </c>
      <c r="E690" s="2" t="s">
        <v>4775</v>
      </c>
      <c r="F690" s="2" t="s">
        <v>1801</v>
      </c>
      <c r="G690" s="2" t="s">
        <v>5101</v>
      </c>
      <c r="H690" s="3" t="s">
        <v>31</v>
      </c>
      <c r="I690" s="3">
        <v>1.0</v>
      </c>
      <c r="J690" s="3">
        <v>1.0</v>
      </c>
      <c r="K690" s="3" t="s">
        <v>31</v>
      </c>
      <c r="L690" s="4" t="s">
        <v>4777</v>
      </c>
      <c r="M690" s="2" t="s">
        <v>5102</v>
      </c>
      <c r="N690" s="2" t="s">
        <v>1442</v>
      </c>
      <c r="O690" s="4" t="s">
        <v>1443</v>
      </c>
      <c r="P690" s="2" t="s">
        <v>4779</v>
      </c>
      <c r="Q690" s="2" t="s">
        <v>31</v>
      </c>
      <c r="R690" s="2" t="s">
        <v>1277</v>
      </c>
      <c r="S690" s="4" t="s">
        <v>4780</v>
      </c>
      <c r="T690" s="2" t="s">
        <v>66</v>
      </c>
      <c r="U690" s="4" t="s">
        <v>31</v>
      </c>
      <c r="V690" s="2" t="s">
        <v>5103</v>
      </c>
      <c r="W690" s="2" t="s">
        <v>4775</v>
      </c>
      <c r="X690" s="5" t="str">
        <f>HYPERLINK("https://my.pitchbook.com?p=290295-37P","View People Online")</f>
        <v>View People Online</v>
      </c>
    </row>
    <row r="691">
      <c r="A691" s="6" t="s">
        <v>5104</v>
      </c>
      <c r="B691" s="6" t="s">
        <v>5105</v>
      </c>
      <c r="C691" s="6" t="s">
        <v>5106</v>
      </c>
      <c r="D691" s="6" t="s">
        <v>5107</v>
      </c>
      <c r="E691" s="6" t="s">
        <v>4775</v>
      </c>
      <c r="F691" s="6" t="s">
        <v>548</v>
      </c>
      <c r="G691" s="6" t="s">
        <v>5108</v>
      </c>
      <c r="H691" s="7" t="s">
        <v>31</v>
      </c>
      <c r="I691" s="7">
        <v>1.0</v>
      </c>
      <c r="J691" s="7">
        <v>1.0</v>
      </c>
      <c r="K691" s="7" t="s">
        <v>31</v>
      </c>
      <c r="L691" s="8" t="s">
        <v>4777</v>
      </c>
      <c r="M691" s="6" t="s">
        <v>5109</v>
      </c>
      <c r="N691" s="6" t="s">
        <v>1442</v>
      </c>
      <c r="O691" s="8" t="s">
        <v>1443</v>
      </c>
      <c r="P691" s="6" t="s">
        <v>4779</v>
      </c>
      <c r="Q691" s="6" t="s">
        <v>31</v>
      </c>
      <c r="R691" s="6" t="s">
        <v>1277</v>
      </c>
      <c r="S691" s="8" t="s">
        <v>4780</v>
      </c>
      <c r="T691" s="6" t="s">
        <v>66</v>
      </c>
      <c r="U691" s="8" t="s">
        <v>31</v>
      </c>
      <c r="V691" s="6" t="s">
        <v>5110</v>
      </c>
      <c r="W691" s="6" t="s">
        <v>4775</v>
      </c>
      <c r="X691" s="9" t="str">
        <f>HYPERLINK("https://my.pitchbook.com?p=351280-63P","View People Online")</f>
        <v>View People Online</v>
      </c>
    </row>
    <row r="692">
      <c r="A692" s="10" t="s">
        <v>5111</v>
      </c>
      <c r="B692" s="10" t="s">
        <v>5112</v>
      </c>
      <c r="C692" s="10" t="s">
        <v>5113</v>
      </c>
      <c r="D692" s="10" t="s">
        <v>5114</v>
      </c>
      <c r="E692" s="10" t="s">
        <v>4775</v>
      </c>
      <c r="F692" s="10" t="s">
        <v>825</v>
      </c>
      <c r="G692" s="10" t="s">
        <v>5115</v>
      </c>
      <c r="H692" s="11" t="s">
        <v>31</v>
      </c>
      <c r="I692" s="11">
        <v>1.0</v>
      </c>
      <c r="J692" s="11">
        <v>1.0</v>
      </c>
      <c r="K692" s="11" t="s">
        <v>31</v>
      </c>
      <c r="L692" s="12" t="s">
        <v>4777</v>
      </c>
      <c r="M692" s="10" t="s">
        <v>5116</v>
      </c>
      <c r="N692" s="10" t="s">
        <v>1442</v>
      </c>
      <c r="O692" s="12" t="s">
        <v>1443</v>
      </c>
      <c r="P692" s="10" t="s">
        <v>4779</v>
      </c>
      <c r="Q692" s="10" t="s">
        <v>31</v>
      </c>
      <c r="R692" s="10" t="s">
        <v>1277</v>
      </c>
      <c r="S692" s="12" t="s">
        <v>4780</v>
      </c>
      <c r="T692" s="10" t="s">
        <v>66</v>
      </c>
      <c r="U692" s="12" t="s">
        <v>31</v>
      </c>
      <c r="V692" s="10" t="s">
        <v>5117</v>
      </c>
      <c r="W692" s="10" t="s">
        <v>4775</v>
      </c>
      <c r="X692" s="13" t="str">
        <f>HYPERLINK("https://my.pitchbook.com?p=287193-43P","View People Online")</f>
        <v>View People Online</v>
      </c>
    </row>
    <row r="693">
      <c r="A693" s="14" t="s">
        <v>5118</v>
      </c>
      <c r="B693" s="14" t="s">
        <v>5119</v>
      </c>
      <c r="C693" s="14" t="s">
        <v>5120</v>
      </c>
      <c r="D693" s="14" t="s">
        <v>673</v>
      </c>
      <c r="E693" s="14" t="s">
        <v>4775</v>
      </c>
      <c r="F693" s="14" t="s">
        <v>1801</v>
      </c>
      <c r="G693" s="14" t="s">
        <v>5121</v>
      </c>
      <c r="H693" s="15" t="s">
        <v>31</v>
      </c>
      <c r="I693" s="15">
        <v>1.0</v>
      </c>
      <c r="J693" s="15">
        <v>1.0</v>
      </c>
      <c r="K693" s="15" t="s">
        <v>31</v>
      </c>
      <c r="L693" s="16" t="s">
        <v>4777</v>
      </c>
      <c r="M693" s="14" t="s">
        <v>5122</v>
      </c>
      <c r="N693" s="14" t="s">
        <v>1442</v>
      </c>
      <c r="O693" s="16" t="s">
        <v>1443</v>
      </c>
      <c r="P693" s="14" t="s">
        <v>4779</v>
      </c>
      <c r="Q693" s="14" t="s">
        <v>31</v>
      </c>
      <c r="R693" s="14" t="s">
        <v>1277</v>
      </c>
      <c r="S693" s="16" t="s">
        <v>4780</v>
      </c>
      <c r="T693" s="14" t="s">
        <v>66</v>
      </c>
      <c r="U693" s="16" t="s">
        <v>31</v>
      </c>
      <c r="V693" s="14" t="s">
        <v>5123</v>
      </c>
      <c r="W693" s="14" t="s">
        <v>4775</v>
      </c>
      <c r="X693" s="17" t="str">
        <f>HYPERLINK("https://my.pitchbook.com?p=367450-39P","View People Online")</f>
        <v>View People Online</v>
      </c>
    </row>
    <row r="694">
      <c r="A694" s="2" t="s">
        <v>5124</v>
      </c>
      <c r="B694" s="2" t="s">
        <v>5125</v>
      </c>
      <c r="C694" s="2" t="s">
        <v>5126</v>
      </c>
      <c r="D694" s="2" t="s">
        <v>5127</v>
      </c>
      <c r="E694" s="2" t="s">
        <v>4775</v>
      </c>
      <c r="F694" s="2" t="s">
        <v>548</v>
      </c>
      <c r="G694" s="2" t="s">
        <v>5128</v>
      </c>
      <c r="H694" s="3" t="s">
        <v>31</v>
      </c>
      <c r="I694" s="3">
        <v>1.0</v>
      </c>
      <c r="J694" s="3">
        <v>1.0</v>
      </c>
      <c r="K694" s="3" t="s">
        <v>31</v>
      </c>
      <c r="L694" s="4" t="s">
        <v>4777</v>
      </c>
      <c r="M694" s="2" t="s">
        <v>5129</v>
      </c>
      <c r="N694" s="2" t="s">
        <v>1442</v>
      </c>
      <c r="O694" s="4" t="s">
        <v>1443</v>
      </c>
      <c r="P694" s="2" t="s">
        <v>4779</v>
      </c>
      <c r="Q694" s="2" t="s">
        <v>31</v>
      </c>
      <c r="R694" s="2" t="s">
        <v>1277</v>
      </c>
      <c r="S694" s="4" t="s">
        <v>4780</v>
      </c>
      <c r="T694" s="2" t="s">
        <v>66</v>
      </c>
      <c r="U694" s="4" t="s">
        <v>31</v>
      </c>
      <c r="V694" s="2" t="s">
        <v>5130</v>
      </c>
      <c r="W694" s="2" t="s">
        <v>4775</v>
      </c>
      <c r="X694" s="5" t="str">
        <f>HYPERLINK("https://my.pitchbook.com?p=340224-22P","View People Online")</f>
        <v>View People Online</v>
      </c>
    </row>
    <row r="695">
      <c r="A695" s="14" t="s">
        <v>5131</v>
      </c>
      <c r="B695" s="14" t="s">
        <v>5132</v>
      </c>
      <c r="C695" s="14" t="s">
        <v>5133</v>
      </c>
      <c r="D695" s="14" t="s">
        <v>5134</v>
      </c>
      <c r="E695" s="14" t="s">
        <v>4775</v>
      </c>
      <c r="F695" s="14" t="s">
        <v>371</v>
      </c>
      <c r="G695" s="14" t="s">
        <v>5135</v>
      </c>
      <c r="H695" s="15" t="s">
        <v>31</v>
      </c>
      <c r="I695" s="15">
        <v>1.0</v>
      </c>
      <c r="J695" s="15">
        <v>1.0</v>
      </c>
      <c r="K695" s="15" t="s">
        <v>31</v>
      </c>
      <c r="L695" s="16" t="s">
        <v>4777</v>
      </c>
      <c r="M695" s="14" t="s">
        <v>5136</v>
      </c>
      <c r="N695" s="14" t="s">
        <v>1442</v>
      </c>
      <c r="O695" s="16" t="s">
        <v>1443</v>
      </c>
      <c r="P695" s="14" t="s">
        <v>4779</v>
      </c>
      <c r="Q695" s="14" t="s">
        <v>31</v>
      </c>
      <c r="R695" s="14" t="s">
        <v>1277</v>
      </c>
      <c r="S695" s="16" t="s">
        <v>4780</v>
      </c>
      <c r="T695" s="14" t="s">
        <v>66</v>
      </c>
      <c r="U695" s="16" t="s">
        <v>31</v>
      </c>
      <c r="V695" s="14" t="s">
        <v>5137</v>
      </c>
      <c r="W695" s="14" t="s">
        <v>4775</v>
      </c>
      <c r="X695" s="17" t="str">
        <f>HYPERLINK("https://my.pitchbook.com?p=297637-48P","View People Online")</f>
        <v>View People Online</v>
      </c>
    </row>
    <row r="696">
      <c r="A696" s="10" t="s">
        <v>5138</v>
      </c>
      <c r="B696" s="10" t="s">
        <v>5139</v>
      </c>
      <c r="C696" s="10" t="s">
        <v>2288</v>
      </c>
      <c r="D696" s="10" t="s">
        <v>5140</v>
      </c>
      <c r="E696" s="10" t="s">
        <v>4775</v>
      </c>
      <c r="F696" s="10" t="s">
        <v>5141</v>
      </c>
      <c r="G696" s="10" t="s">
        <v>5142</v>
      </c>
      <c r="H696" s="11" t="s">
        <v>31</v>
      </c>
      <c r="I696" s="11">
        <v>1.0</v>
      </c>
      <c r="J696" s="11">
        <v>1.0</v>
      </c>
      <c r="K696" s="11" t="s">
        <v>31</v>
      </c>
      <c r="L696" s="12" t="s">
        <v>5143</v>
      </c>
      <c r="M696" s="10" t="s">
        <v>5144</v>
      </c>
      <c r="N696" s="10" t="s">
        <v>1442</v>
      </c>
      <c r="O696" s="12" t="s">
        <v>1443</v>
      </c>
      <c r="P696" s="10" t="s">
        <v>4779</v>
      </c>
      <c r="Q696" s="10" t="s">
        <v>31</v>
      </c>
      <c r="R696" s="10" t="s">
        <v>1277</v>
      </c>
      <c r="S696" s="12" t="s">
        <v>4780</v>
      </c>
      <c r="T696" s="10" t="s">
        <v>66</v>
      </c>
      <c r="U696" s="12" t="s">
        <v>5145</v>
      </c>
      <c r="V696" s="10" t="s">
        <v>5146</v>
      </c>
      <c r="W696" s="10" t="s">
        <v>4775</v>
      </c>
      <c r="X696" s="13" t="str">
        <f>HYPERLINK("https://my.pitchbook.com?p=87920-38P","View People Online")</f>
        <v>View People Online</v>
      </c>
    </row>
    <row r="697">
      <c r="A697" s="14" t="s">
        <v>5147</v>
      </c>
      <c r="B697" s="14" t="s">
        <v>5148</v>
      </c>
      <c r="C697" s="14" t="s">
        <v>3554</v>
      </c>
      <c r="D697" s="14" t="s">
        <v>200</v>
      </c>
      <c r="E697" s="14" t="s">
        <v>4775</v>
      </c>
      <c r="F697" s="14" t="s">
        <v>5149</v>
      </c>
      <c r="G697" s="14" t="s">
        <v>5150</v>
      </c>
      <c r="H697" s="15" t="s">
        <v>31</v>
      </c>
      <c r="I697" s="15">
        <v>1.0</v>
      </c>
      <c r="J697" s="15">
        <v>1.0</v>
      </c>
      <c r="K697" s="15" t="s">
        <v>31</v>
      </c>
      <c r="L697" s="16" t="s">
        <v>4777</v>
      </c>
      <c r="M697" s="14" t="s">
        <v>5151</v>
      </c>
      <c r="N697" s="14" t="s">
        <v>1442</v>
      </c>
      <c r="O697" s="16" t="s">
        <v>1443</v>
      </c>
      <c r="P697" s="14" t="s">
        <v>4779</v>
      </c>
      <c r="Q697" s="14" t="s">
        <v>31</v>
      </c>
      <c r="R697" s="14" t="s">
        <v>1277</v>
      </c>
      <c r="S697" s="16" t="s">
        <v>4780</v>
      </c>
      <c r="T697" s="14" t="s">
        <v>66</v>
      </c>
      <c r="U697" s="16" t="s">
        <v>31</v>
      </c>
      <c r="V697" s="14" t="s">
        <v>5152</v>
      </c>
      <c r="W697" s="14" t="s">
        <v>4775</v>
      </c>
      <c r="X697" s="17" t="str">
        <f>HYPERLINK("https://my.pitchbook.com?p=145011-52P","View People Online")</f>
        <v>View People Online</v>
      </c>
    </row>
    <row r="698">
      <c r="A698" s="2" t="s">
        <v>5153</v>
      </c>
      <c r="B698" s="2" t="s">
        <v>5154</v>
      </c>
      <c r="C698" s="2" t="s">
        <v>160</v>
      </c>
      <c r="D698" s="2" t="s">
        <v>5155</v>
      </c>
      <c r="E698" s="2" t="s">
        <v>4775</v>
      </c>
      <c r="F698" s="2" t="s">
        <v>548</v>
      </c>
      <c r="G698" s="2" t="s">
        <v>5156</v>
      </c>
      <c r="H698" s="3" t="s">
        <v>31</v>
      </c>
      <c r="I698" s="3">
        <v>6.0</v>
      </c>
      <c r="J698" s="3">
        <v>2.0</v>
      </c>
      <c r="K698" s="3">
        <v>3.0</v>
      </c>
      <c r="L698" s="4" t="s">
        <v>4777</v>
      </c>
      <c r="M698" s="2" t="s">
        <v>5157</v>
      </c>
      <c r="N698" s="2" t="s">
        <v>1442</v>
      </c>
      <c r="O698" s="4" t="s">
        <v>1443</v>
      </c>
      <c r="P698" s="2" t="s">
        <v>4779</v>
      </c>
      <c r="Q698" s="2" t="s">
        <v>31</v>
      </c>
      <c r="R698" s="2" t="s">
        <v>1277</v>
      </c>
      <c r="S698" s="4" t="s">
        <v>4780</v>
      </c>
      <c r="T698" s="2" t="s">
        <v>66</v>
      </c>
      <c r="U698" s="4" t="s">
        <v>31</v>
      </c>
      <c r="V698" s="2" t="s">
        <v>5158</v>
      </c>
      <c r="W698" s="2" t="s">
        <v>4775</v>
      </c>
      <c r="X698" s="5" t="str">
        <f>HYPERLINK("https://my.pitchbook.com?p=81404-20P","View People Online")</f>
        <v>View People Online</v>
      </c>
    </row>
    <row r="699">
      <c r="A699" s="6" t="s">
        <v>5159</v>
      </c>
      <c r="B699" s="6" t="s">
        <v>5160</v>
      </c>
      <c r="C699" s="6" t="s">
        <v>160</v>
      </c>
      <c r="D699" s="6" t="s">
        <v>3822</v>
      </c>
      <c r="E699" s="6" t="s">
        <v>4775</v>
      </c>
      <c r="F699" s="6" t="s">
        <v>270</v>
      </c>
      <c r="G699" s="6" t="s">
        <v>5161</v>
      </c>
      <c r="H699" s="7" t="s">
        <v>31</v>
      </c>
      <c r="I699" s="7">
        <v>1.0</v>
      </c>
      <c r="J699" s="7">
        <v>1.0</v>
      </c>
      <c r="K699" s="7" t="s">
        <v>31</v>
      </c>
      <c r="L699" s="8" t="s">
        <v>4777</v>
      </c>
      <c r="M699" s="6" t="s">
        <v>5162</v>
      </c>
      <c r="N699" s="6" t="s">
        <v>1442</v>
      </c>
      <c r="O699" s="8" t="s">
        <v>1443</v>
      </c>
      <c r="P699" s="6" t="s">
        <v>4779</v>
      </c>
      <c r="Q699" s="6" t="s">
        <v>31</v>
      </c>
      <c r="R699" s="6" t="s">
        <v>1277</v>
      </c>
      <c r="S699" s="8" t="s">
        <v>4780</v>
      </c>
      <c r="T699" s="6" t="s">
        <v>66</v>
      </c>
      <c r="U699" s="8" t="s">
        <v>31</v>
      </c>
      <c r="V699" s="6" t="s">
        <v>5163</v>
      </c>
      <c r="W699" s="6" t="s">
        <v>4775</v>
      </c>
      <c r="X699" s="9" t="str">
        <f>HYPERLINK("https://my.pitchbook.com?p=367144-03P","View People Online")</f>
        <v>View People Online</v>
      </c>
    </row>
    <row r="700">
      <c r="A700" s="10" t="s">
        <v>5164</v>
      </c>
      <c r="B700" s="10" t="s">
        <v>5165</v>
      </c>
      <c r="C700" s="10" t="s">
        <v>160</v>
      </c>
      <c r="D700" s="10" t="s">
        <v>5166</v>
      </c>
      <c r="E700" s="10" t="s">
        <v>4775</v>
      </c>
      <c r="F700" s="10" t="s">
        <v>825</v>
      </c>
      <c r="G700" s="10" t="s">
        <v>5167</v>
      </c>
      <c r="H700" s="11" t="s">
        <v>31</v>
      </c>
      <c r="I700" s="11">
        <v>1.0</v>
      </c>
      <c r="J700" s="11">
        <v>1.0</v>
      </c>
      <c r="K700" s="11" t="s">
        <v>31</v>
      </c>
      <c r="L700" s="12" t="s">
        <v>4777</v>
      </c>
      <c r="M700" s="10" t="s">
        <v>5168</v>
      </c>
      <c r="N700" s="10" t="s">
        <v>1442</v>
      </c>
      <c r="O700" s="12" t="s">
        <v>1443</v>
      </c>
      <c r="P700" s="10" t="s">
        <v>4779</v>
      </c>
      <c r="Q700" s="10" t="s">
        <v>31</v>
      </c>
      <c r="R700" s="10" t="s">
        <v>1277</v>
      </c>
      <c r="S700" s="12" t="s">
        <v>4780</v>
      </c>
      <c r="T700" s="10" t="s">
        <v>66</v>
      </c>
      <c r="U700" s="12" t="s">
        <v>31</v>
      </c>
      <c r="V700" s="10" t="s">
        <v>5169</v>
      </c>
      <c r="W700" s="10" t="s">
        <v>4775</v>
      </c>
      <c r="X700" s="13" t="str">
        <f>HYPERLINK("https://my.pitchbook.com?p=43754-05P","View People Online")</f>
        <v>View People Online</v>
      </c>
    </row>
    <row r="701">
      <c r="A701" s="6" t="s">
        <v>5170</v>
      </c>
      <c r="B701" s="6" t="s">
        <v>5171</v>
      </c>
      <c r="C701" s="6" t="s">
        <v>126</v>
      </c>
      <c r="D701" s="6" t="s">
        <v>5172</v>
      </c>
      <c r="E701" s="6" t="s">
        <v>4775</v>
      </c>
      <c r="F701" s="6" t="s">
        <v>825</v>
      </c>
      <c r="G701" s="6" t="s">
        <v>5173</v>
      </c>
      <c r="H701" s="7" t="s">
        <v>31</v>
      </c>
      <c r="I701" s="7">
        <v>1.0</v>
      </c>
      <c r="J701" s="7">
        <v>1.0</v>
      </c>
      <c r="K701" s="7" t="s">
        <v>31</v>
      </c>
      <c r="L701" s="8" t="s">
        <v>4777</v>
      </c>
      <c r="M701" s="6" t="s">
        <v>5174</v>
      </c>
      <c r="N701" s="6" t="s">
        <v>1442</v>
      </c>
      <c r="O701" s="8" t="s">
        <v>1443</v>
      </c>
      <c r="P701" s="6" t="s">
        <v>4779</v>
      </c>
      <c r="Q701" s="6" t="s">
        <v>31</v>
      </c>
      <c r="R701" s="6" t="s">
        <v>1277</v>
      </c>
      <c r="S701" s="8" t="s">
        <v>4780</v>
      </c>
      <c r="T701" s="6" t="s">
        <v>66</v>
      </c>
      <c r="U701" s="8" t="s">
        <v>31</v>
      </c>
      <c r="V701" s="6" t="s">
        <v>5175</v>
      </c>
      <c r="W701" s="6" t="s">
        <v>4775</v>
      </c>
      <c r="X701" s="9" t="str">
        <f>HYPERLINK("https://my.pitchbook.com?p=77994-73P","View People Online")</f>
        <v>View People Online</v>
      </c>
    </row>
    <row r="702">
      <c r="A702" s="10" t="s">
        <v>5176</v>
      </c>
      <c r="B702" s="10" t="s">
        <v>5177</v>
      </c>
      <c r="C702" s="10" t="s">
        <v>5178</v>
      </c>
      <c r="D702" s="10" t="s">
        <v>5179</v>
      </c>
      <c r="E702" s="10" t="s">
        <v>4775</v>
      </c>
      <c r="F702" s="10" t="s">
        <v>1801</v>
      </c>
      <c r="G702" s="10" t="s">
        <v>5180</v>
      </c>
      <c r="H702" s="11" t="s">
        <v>31</v>
      </c>
      <c r="I702" s="11">
        <v>1.0</v>
      </c>
      <c r="J702" s="11">
        <v>1.0</v>
      </c>
      <c r="K702" s="11" t="s">
        <v>31</v>
      </c>
      <c r="L702" s="12" t="s">
        <v>4777</v>
      </c>
      <c r="M702" s="10" t="s">
        <v>5181</v>
      </c>
      <c r="N702" s="10" t="s">
        <v>1442</v>
      </c>
      <c r="O702" s="12" t="s">
        <v>1443</v>
      </c>
      <c r="P702" s="10" t="s">
        <v>4779</v>
      </c>
      <c r="Q702" s="10" t="s">
        <v>31</v>
      </c>
      <c r="R702" s="10" t="s">
        <v>1277</v>
      </c>
      <c r="S702" s="12" t="s">
        <v>4780</v>
      </c>
      <c r="T702" s="10" t="s">
        <v>66</v>
      </c>
      <c r="U702" s="12" t="s">
        <v>31</v>
      </c>
      <c r="V702" s="10" t="s">
        <v>5182</v>
      </c>
      <c r="W702" s="10" t="s">
        <v>4775</v>
      </c>
      <c r="X702" s="13" t="str">
        <f>HYPERLINK("https://my.pitchbook.com?p=245440-00P","View People Online")</f>
        <v>View People Online</v>
      </c>
    </row>
    <row r="703">
      <c r="A703" s="6" t="s">
        <v>5183</v>
      </c>
      <c r="B703" s="6" t="s">
        <v>5184</v>
      </c>
      <c r="C703" s="6" t="s">
        <v>5185</v>
      </c>
      <c r="D703" s="6" t="s">
        <v>5186</v>
      </c>
      <c r="E703" s="6" t="s">
        <v>4775</v>
      </c>
      <c r="F703" s="6" t="s">
        <v>312</v>
      </c>
      <c r="G703" s="6" t="s">
        <v>5187</v>
      </c>
      <c r="H703" s="7" t="s">
        <v>31</v>
      </c>
      <c r="I703" s="7">
        <v>2.0</v>
      </c>
      <c r="J703" s="7">
        <v>1.0</v>
      </c>
      <c r="K703" s="7">
        <v>1.0</v>
      </c>
      <c r="L703" s="8" t="s">
        <v>5188</v>
      </c>
      <c r="M703" s="6" t="s">
        <v>5189</v>
      </c>
      <c r="N703" s="6" t="s">
        <v>1442</v>
      </c>
      <c r="O703" s="8" t="s">
        <v>1443</v>
      </c>
      <c r="P703" s="6" t="s">
        <v>4779</v>
      </c>
      <c r="Q703" s="6" t="s">
        <v>31</v>
      </c>
      <c r="R703" s="6" t="s">
        <v>1277</v>
      </c>
      <c r="S703" s="8" t="s">
        <v>4780</v>
      </c>
      <c r="T703" s="6" t="s">
        <v>66</v>
      </c>
      <c r="U703" s="8" t="s">
        <v>31</v>
      </c>
      <c r="V703" s="6" t="s">
        <v>5190</v>
      </c>
      <c r="W703" s="6" t="s">
        <v>4775</v>
      </c>
      <c r="X703" s="9" t="str">
        <f>HYPERLINK("https://my.pitchbook.com?p=309734-92P","View People Online")</f>
        <v>View People Online</v>
      </c>
    </row>
    <row r="704">
      <c r="A704" s="10" t="s">
        <v>5191</v>
      </c>
      <c r="B704" s="10" t="s">
        <v>5192</v>
      </c>
      <c r="C704" s="10" t="s">
        <v>132</v>
      </c>
      <c r="D704" s="10" t="s">
        <v>5193</v>
      </c>
      <c r="E704" s="10" t="s">
        <v>4775</v>
      </c>
      <c r="F704" s="10" t="s">
        <v>371</v>
      </c>
      <c r="G704" s="10" t="s">
        <v>5194</v>
      </c>
      <c r="H704" s="11" t="s">
        <v>31</v>
      </c>
      <c r="I704" s="11">
        <v>1.0</v>
      </c>
      <c r="J704" s="11">
        <v>1.0</v>
      </c>
      <c r="K704" s="11" t="s">
        <v>31</v>
      </c>
      <c r="L704" s="12" t="s">
        <v>5188</v>
      </c>
      <c r="M704" s="10" t="s">
        <v>5195</v>
      </c>
      <c r="N704" s="10" t="s">
        <v>1442</v>
      </c>
      <c r="O704" s="12" t="s">
        <v>1443</v>
      </c>
      <c r="P704" s="10" t="s">
        <v>4779</v>
      </c>
      <c r="Q704" s="10" t="s">
        <v>31</v>
      </c>
      <c r="R704" s="10" t="s">
        <v>1277</v>
      </c>
      <c r="S704" s="12" t="s">
        <v>4780</v>
      </c>
      <c r="T704" s="10" t="s">
        <v>66</v>
      </c>
      <c r="U704" s="12" t="s">
        <v>31</v>
      </c>
      <c r="V704" s="10" t="s">
        <v>4890</v>
      </c>
      <c r="W704" s="10" t="s">
        <v>4775</v>
      </c>
      <c r="X704" s="13" t="str">
        <f>HYPERLINK("https://my.pitchbook.com?p=81404-02P","View People Online")</f>
        <v>View People Online</v>
      </c>
    </row>
    <row r="705">
      <c r="A705" s="14" t="s">
        <v>5196</v>
      </c>
      <c r="B705" s="14" t="s">
        <v>5197</v>
      </c>
      <c r="C705" s="14" t="s">
        <v>3221</v>
      </c>
      <c r="D705" s="14" t="s">
        <v>5198</v>
      </c>
      <c r="E705" s="14" t="s">
        <v>4775</v>
      </c>
      <c r="F705" s="14" t="s">
        <v>5199</v>
      </c>
      <c r="G705" s="14" t="s">
        <v>5200</v>
      </c>
      <c r="H705" s="15" t="s">
        <v>31</v>
      </c>
      <c r="I705" s="15">
        <v>1.0</v>
      </c>
      <c r="J705" s="15">
        <v>1.0</v>
      </c>
      <c r="K705" s="15" t="s">
        <v>31</v>
      </c>
      <c r="L705" s="16" t="s">
        <v>4777</v>
      </c>
      <c r="M705" s="14" t="s">
        <v>5201</v>
      </c>
      <c r="N705" s="14" t="s">
        <v>1442</v>
      </c>
      <c r="O705" s="16" t="s">
        <v>1443</v>
      </c>
      <c r="P705" s="14" t="s">
        <v>4779</v>
      </c>
      <c r="Q705" s="14" t="s">
        <v>31</v>
      </c>
      <c r="R705" s="14" t="s">
        <v>1277</v>
      </c>
      <c r="S705" s="16" t="s">
        <v>4780</v>
      </c>
      <c r="T705" s="14" t="s">
        <v>66</v>
      </c>
      <c r="U705" s="16" t="s">
        <v>31</v>
      </c>
      <c r="V705" s="14" t="s">
        <v>5202</v>
      </c>
      <c r="W705" s="14" t="s">
        <v>4775</v>
      </c>
      <c r="X705" s="17" t="str">
        <f>HYPERLINK("https://my.pitchbook.com?p=144300-16P","View People Online")</f>
        <v>View People Online</v>
      </c>
    </row>
    <row r="706">
      <c r="A706" s="10" t="s">
        <v>5203</v>
      </c>
      <c r="B706" s="10" t="s">
        <v>5204</v>
      </c>
      <c r="C706" s="10" t="s">
        <v>934</v>
      </c>
      <c r="D706" s="10" t="s">
        <v>5205</v>
      </c>
      <c r="E706" s="10" t="s">
        <v>4775</v>
      </c>
      <c r="F706" s="10" t="s">
        <v>5206</v>
      </c>
      <c r="G706" s="10" t="s">
        <v>5207</v>
      </c>
      <c r="H706" s="11" t="s">
        <v>31</v>
      </c>
      <c r="I706" s="11">
        <v>41.0</v>
      </c>
      <c r="J706" s="11">
        <v>2.0</v>
      </c>
      <c r="K706" s="11">
        <v>36.0</v>
      </c>
      <c r="L706" s="12" t="s">
        <v>31</v>
      </c>
      <c r="M706" s="10" t="s">
        <v>31</v>
      </c>
      <c r="N706" s="10" t="s">
        <v>1442</v>
      </c>
      <c r="O706" s="12" t="s">
        <v>1443</v>
      </c>
      <c r="P706" s="10" t="s">
        <v>31</v>
      </c>
      <c r="Q706" s="10" t="s">
        <v>31</v>
      </c>
      <c r="R706" s="10" t="s">
        <v>1277</v>
      </c>
      <c r="S706" s="12" t="s">
        <v>5208</v>
      </c>
      <c r="T706" s="10" t="s">
        <v>66</v>
      </c>
      <c r="U706" s="12" t="s">
        <v>31</v>
      </c>
      <c r="V706" s="10" t="s">
        <v>5209</v>
      </c>
      <c r="W706" s="10" t="s">
        <v>5210</v>
      </c>
      <c r="X706" s="13" t="str">
        <f>HYPERLINK("https://my.pitchbook.com?p=81404-83P","View People Online")</f>
        <v>View People Online</v>
      </c>
    </row>
    <row r="707">
      <c r="A707" s="6" t="s">
        <v>5211</v>
      </c>
      <c r="B707" s="6" t="s">
        <v>5212</v>
      </c>
      <c r="C707" s="6" t="s">
        <v>2388</v>
      </c>
      <c r="D707" s="6" t="s">
        <v>5213</v>
      </c>
      <c r="E707" s="6" t="s">
        <v>4775</v>
      </c>
      <c r="F707" s="6" t="s">
        <v>312</v>
      </c>
      <c r="G707" s="6" t="s">
        <v>5214</v>
      </c>
      <c r="H707" s="7" t="s">
        <v>31</v>
      </c>
      <c r="I707" s="7">
        <v>1.0</v>
      </c>
      <c r="J707" s="7">
        <v>1.0</v>
      </c>
      <c r="K707" s="7" t="s">
        <v>31</v>
      </c>
      <c r="L707" s="8" t="s">
        <v>4777</v>
      </c>
      <c r="M707" s="6" t="s">
        <v>5215</v>
      </c>
      <c r="N707" s="6" t="s">
        <v>1442</v>
      </c>
      <c r="O707" s="8" t="s">
        <v>1443</v>
      </c>
      <c r="P707" s="6" t="s">
        <v>4779</v>
      </c>
      <c r="Q707" s="6" t="s">
        <v>31</v>
      </c>
      <c r="R707" s="6" t="s">
        <v>1277</v>
      </c>
      <c r="S707" s="8" t="s">
        <v>4780</v>
      </c>
      <c r="T707" s="6" t="s">
        <v>66</v>
      </c>
      <c r="U707" s="8" t="s">
        <v>31</v>
      </c>
      <c r="V707" s="6" t="s">
        <v>5216</v>
      </c>
      <c r="W707" s="6" t="s">
        <v>4775</v>
      </c>
      <c r="X707" s="9" t="str">
        <f>HYPERLINK("https://my.pitchbook.com?p=81405-10P","View People Online")</f>
        <v>View People Online</v>
      </c>
    </row>
    <row r="708">
      <c r="A708" s="10" t="s">
        <v>5217</v>
      </c>
      <c r="B708" s="10" t="s">
        <v>5218</v>
      </c>
      <c r="C708" s="10" t="s">
        <v>5219</v>
      </c>
      <c r="D708" s="10" t="s">
        <v>5220</v>
      </c>
      <c r="E708" s="10" t="s">
        <v>4775</v>
      </c>
      <c r="F708" s="10" t="s">
        <v>548</v>
      </c>
      <c r="G708" s="10" t="s">
        <v>5221</v>
      </c>
      <c r="H708" s="11" t="s">
        <v>31</v>
      </c>
      <c r="I708" s="11">
        <v>1.0</v>
      </c>
      <c r="J708" s="11">
        <v>1.0</v>
      </c>
      <c r="K708" s="11" t="s">
        <v>31</v>
      </c>
      <c r="L708" s="12" t="s">
        <v>4777</v>
      </c>
      <c r="M708" s="10" t="s">
        <v>5222</v>
      </c>
      <c r="N708" s="10" t="s">
        <v>1442</v>
      </c>
      <c r="O708" s="12" t="s">
        <v>1443</v>
      </c>
      <c r="P708" s="10" t="s">
        <v>4779</v>
      </c>
      <c r="Q708" s="10" t="s">
        <v>31</v>
      </c>
      <c r="R708" s="10" t="s">
        <v>1277</v>
      </c>
      <c r="S708" s="12" t="s">
        <v>4780</v>
      </c>
      <c r="T708" s="10" t="s">
        <v>66</v>
      </c>
      <c r="U708" s="12" t="s">
        <v>31</v>
      </c>
      <c r="V708" s="10" t="s">
        <v>5223</v>
      </c>
      <c r="W708" s="10" t="s">
        <v>4775</v>
      </c>
      <c r="X708" s="13" t="str">
        <f>HYPERLINK("https://my.pitchbook.com?p=120097-09P","View People Online")</f>
        <v>View People Online</v>
      </c>
    </row>
    <row r="709">
      <c r="A709" s="14" t="s">
        <v>5224</v>
      </c>
      <c r="B709" s="14" t="s">
        <v>5225</v>
      </c>
      <c r="C709" s="14" t="s">
        <v>5226</v>
      </c>
      <c r="D709" s="14" t="s">
        <v>5227</v>
      </c>
      <c r="E709" s="14" t="s">
        <v>4775</v>
      </c>
      <c r="F709" s="14" t="s">
        <v>270</v>
      </c>
      <c r="G709" s="14" t="s">
        <v>5228</v>
      </c>
      <c r="H709" s="15" t="s">
        <v>31</v>
      </c>
      <c r="I709" s="15">
        <v>2.0</v>
      </c>
      <c r="J709" s="15">
        <v>2.0</v>
      </c>
      <c r="K709" s="15" t="s">
        <v>31</v>
      </c>
      <c r="L709" s="16" t="s">
        <v>4777</v>
      </c>
      <c r="M709" s="14" t="s">
        <v>5229</v>
      </c>
      <c r="N709" s="14" t="s">
        <v>1442</v>
      </c>
      <c r="O709" s="16" t="s">
        <v>1443</v>
      </c>
      <c r="P709" s="14" t="s">
        <v>4779</v>
      </c>
      <c r="Q709" s="14" t="s">
        <v>31</v>
      </c>
      <c r="R709" s="14" t="s">
        <v>1277</v>
      </c>
      <c r="S709" s="16" t="s">
        <v>4780</v>
      </c>
      <c r="T709" s="14" t="s">
        <v>66</v>
      </c>
      <c r="U709" s="16" t="s">
        <v>31</v>
      </c>
      <c r="V709" s="14" t="s">
        <v>5230</v>
      </c>
      <c r="W709" s="14" t="s">
        <v>4775</v>
      </c>
      <c r="X709" s="17" t="str">
        <f>HYPERLINK("https://my.pitchbook.com?p=142360-48P","View People Online")</f>
        <v>View People Online</v>
      </c>
    </row>
    <row r="710">
      <c r="A710" s="10" t="s">
        <v>5231</v>
      </c>
      <c r="B710" s="10" t="s">
        <v>5232</v>
      </c>
      <c r="C710" s="10" t="s">
        <v>3875</v>
      </c>
      <c r="D710" s="10" t="s">
        <v>5233</v>
      </c>
      <c r="E710" s="10" t="s">
        <v>4775</v>
      </c>
      <c r="F710" s="10" t="s">
        <v>5234</v>
      </c>
      <c r="G710" s="10" t="s">
        <v>5235</v>
      </c>
      <c r="H710" s="11" t="s">
        <v>31</v>
      </c>
      <c r="I710" s="11">
        <v>1.0</v>
      </c>
      <c r="J710" s="11">
        <v>1.0</v>
      </c>
      <c r="K710" s="11" t="s">
        <v>31</v>
      </c>
      <c r="L710" s="12" t="s">
        <v>4777</v>
      </c>
      <c r="M710" s="10" t="s">
        <v>5236</v>
      </c>
      <c r="N710" s="10" t="s">
        <v>1442</v>
      </c>
      <c r="O710" s="12" t="s">
        <v>1443</v>
      </c>
      <c r="P710" s="10" t="s">
        <v>4779</v>
      </c>
      <c r="Q710" s="10" t="s">
        <v>31</v>
      </c>
      <c r="R710" s="10" t="s">
        <v>1277</v>
      </c>
      <c r="S710" s="12" t="s">
        <v>4780</v>
      </c>
      <c r="T710" s="10" t="s">
        <v>66</v>
      </c>
      <c r="U710" s="12" t="s">
        <v>31</v>
      </c>
      <c r="V710" s="10" t="s">
        <v>5237</v>
      </c>
      <c r="W710" s="10" t="s">
        <v>4775</v>
      </c>
      <c r="X710" s="13" t="str">
        <f>HYPERLINK("https://my.pitchbook.com?p=366816-25P","View People Online")</f>
        <v>View People Online</v>
      </c>
    </row>
    <row r="711">
      <c r="A711" s="14" t="s">
        <v>5238</v>
      </c>
      <c r="B711" s="14" t="s">
        <v>5239</v>
      </c>
      <c r="C711" s="14" t="s">
        <v>5240</v>
      </c>
      <c r="D711" s="14" t="s">
        <v>5241</v>
      </c>
      <c r="E711" s="14" t="s">
        <v>4775</v>
      </c>
      <c r="F711" s="14" t="s">
        <v>312</v>
      </c>
      <c r="G711" s="14" t="s">
        <v>5242</v>
      </c>
      <c r="H711" s="15" t="s">
        <v>31</v>
      </c>
      <c r="I711" s="15">
        <v>2.0</v>
      </c>
      <c r="J711" s="15">
        <v>1.0</v>
      </c>
      <c r="K711" s="15">
        <v>1.0</v>
      </c>
      <c r="L711" s="16" t="s">
        <v>5188</v>
      </c>
      <c r="M711" s="14" t="s">
        <v>5243</v>
      </c>
      <c r="N711" s="14" t="s">
        <v>1442</v>
      </c>
      <c r="O711" s="16" t="s">
        <v>1443</v>
      </c>
      <c r="P711" s="14" t="s">
        <v>4779</v>
      </c>
      <c r="Q711" s="14" t="s">
        <v>31</v>
      </c>
      <c r="R711" s="14" t="s">
        <v>1277</v>
      </c>
      <c r="S711" s="16" t="s">
        <v>4780</v>
      </c>
      <c r="T711" s="14" t="s">
        <v>66</v>
      </c>
      <c r="U711" s="16" t="s">
        <v>31</v>
      </c>
      <c r="V711" s="14" t="s">
        <v>5244</v>
      </c>
      <c r="W711" s="14" t="s">
        <v>4775</v>
      </c>
      <c r="X711" s="17" t="str">
        <f>HYPERLINK("https://my.pitchbook.com?p=132758-11P","View People Online")</f>
        <v>View People Online</v>
      </c>
    </row>
    <row r="712">
      <c r="A712" s="2" t="s">
        <v>5245</v>
      </c>
      <c r="B712" s="2" t="s">
        <v>5246</v>
      </c>
      <c r="C712" s="2" t="s">
        <v>5247</v>
      </c>
      <c r="D712" s="2" t="s">
        <v>5248</v>
      </c>
      <c r="E712" s="2" t="s">
        <v>4775</v>
      </c>
      <c r="F712" s="2" t="s">
        <v>270</v>
      </c>
      <c r="G712" s="2" t="s">
        <v>5249</v>
      </c>
      <c r="H712" s="3" t="s">
        <v>31</v>
      </c>
      <c r="I712" s="3">
        <v>1.0</v>
      </c>
      <c r="J712" s="3">
        <v>1.0</v>
      </c>
      <c r="K712" s="3" t="s">
        <v>31</v>
      </c>
      <c r="L712" s="4" t="s">
        <v>5250</v>
      </c>
      <c r="M712" s="2" t="s">
        <v>5251</v>
      </c>
      <c r="N712" s="2" t="s">
        <v>243</v>
      </c>
      <c r="O712" s="4" t="s">
        <v>244</v>
      </c>
      <c r="P712" s="2" t="s">
        <v>5252</v>
      </c>
      <c r="Q712" s="2" t="s">
        <v>31</v>
      </c>
      <c r="R712" s="2" t="s">
        <v>247</v>
      </c>
      <c r="S712" s="4" t="s">
        <v>5253</v>
      </c>
      <c r="T712" s="2" t="s">
        <v>249</v>
      </c>
      <c r="U712" s="4" t="s">
        <v>31</v>
      </c>
      <c r="V712" s="2" t="s">
        <v>5254</v>
      </c>
      <c r="W712" s="2" t="s">
        <v>4775</v>
      </c>
      <c r="X712" s="5" t="str">
        <f>HYPERLINK("https://my.pitchbook.com?p=89855-92P","View People Online")</f>
        <v>View People Online</v>
      </c>
    </row>
    <row r="713">
      <c r="A713" s="14" t="s">
        <v>5255</v>
      </c>
      <c r="B713" s="14" t="s">
        <v>5256</v>
      </c>
      <c r="C713" s="14" t="s">
        <v>5257</v>
      </c>
      <c r="D713" s="14" t="s">
        <v>5258</v>
      </c>
      <c r="E713" s="14" t="s">
        <v>4775</v>
      </c>
      <c r="F713" s="14" t="s">
        <v>270</v>
      </c>
      <c r="G713" s="14" t="s">
        <v>5259</v>
      </c>
      <c r="H713" s="15" t="s">
        <v>31</v>
      </c>
      <c r="I713" s="15">
        <v>1.0</v>
      </c>
      <c r="J713" s="15">
        <v>1.0</v>
      </c>
      <c r="K713" s="15" t="s">
        <v>31</v>
      </c>
      <c r="L713" s="16" t="s">
        <v>4777</v>
      </c>
      <c r="M713" s="14" t="s">
        <v>5260</v>
      </c>
      <c r="N713" s="14" t="s">
        <v>1442</v>
      </c>
      <c r="O713" s="16" t="s">
        <v>1443</v>
      </c>
      <c r="P713" s="14" t="s">
        <v>4779</v>
      </c>
      <c r="Q713" s="14" t="s">
        <v>31</v>
      </c>
      <c r="R713" s="14" t="s">
        <v>1277</v>
      </c>
      <c r="S713" s="16" t="s">
        <v>4780</v>
      </c>
      <c r="T713" s="14" t="s">
        <v>66</v>
      </c>
      <c r="U713" s="16" t="s">
        <v>31</v>
      </c>
      <c r="V713" s="14" t="s">
        <v>5261</v>
      </c>
      <c r="W713" s="14" t="s">
        <v>4775</v>
      </c>
      <c r="X713" s="17" t="str">
        <f>HYPERLINK("https://my.pitchbook.com?p=351281-35P","View People Online")</f>
        <v>View People Online</v>
      </c>
    </row>
    <row r="714">
      <c r="A714" s="2" t="s">
        <v>5262</v>
      </c>
      <c r="B714" s="2" t="s">
        <v>5263</v>
      </c>
      <c r="C714" s="2" t="s">
        <v>5264</v>
      </c>
      <c r="D714" s="2" t="s">
        <v>5265</v>
      </c>
      <c r="E714" s="2" t="s">
        <v>4775</v>
      </c>
      <c r="F714" s="2" t="s">
        <v>1801</v>
      </c>
      <c r="G714" s="2" t="s">
        <v>5266</v>
      </c>
      <c r="H714" s="3" t="s">
        <v>31</v>
      </c>
      <c r="I714" s="3">
        <v>1.0</v>
      </c>
      <c r="J714" s="3">
        <v>1.0</v>
      </c>
      <c r="K714" s="3" t="s">
        <v>31</v>
      </c>
      <c r="L714" s="4" t="s">
        <v>4777</v>
      </c>
      <c r="M714" s="2" t="s">
        <v>5267</v>
      </c>
      <c r="N714" s="2" t="s">
        <v>1442</v>
      </c>
      <c r="O714" s="4" t="s">
        <v>1443</v>
      </c>
      <c r="P714" s="2" t="s">
        <v>4779</v>
      </c>
      <c r="Q714" s="2" t="s">
        <v>31</v>
      </c>
      <c r="R714" s="2" t="s">
        <v>1277</v>
      </c>
      <c r="S714" s="4" t="s">
        <v>4780</v>
      </c>
      <c r="T714" s="2" t="s">
        <v>66</v>
      </c>
      <c r="U714" s="4" t="s">
        <v>31</v>
      </c>
      <c r="V714" s="2" t="s">
        <v>5268</v>
      </c>
      <c r="W714" s="2" t="s">
        <v>4775</v>
      </c>
      <c r="X714" s="5" t="str">
        <f>HYPERLINK("https://my.pitchbook.com?p=366559-03P","View People Online")</f>
        <v>View People Online</v>
      </c>
    </row>
    <row r="715">
      <c r="A715" s="6" t="s">
        <v>5269</v>
      </c>
      <c r="B715" s="6" t="s">
        <v>5270</v>
      </c>
      <c r="C715" s="6" t="s">
        <v>5271</v>
      </c>
      <c r="D715" s="6" t="s">
        <v>5272</v>
      </c>
      <c r="E715" s="6" t="s">
        <v>4775</v>
      </c>
      <c r="F715" s="6" t="s">
        <v>318</v>
      </c>
      <c r="G715" s="6" t="s">
        <v>5273</v>
      </c>
      <c r="H715" s="7" t="s">
        <v>31</v>
      </c>
      <c r="I715" s="7">
        <v>1.0</v>
      </c>
      <c r="J715" s="7">
        <v>1.0</v>
      </c>
      <c r="K715" s="7" t="s">
        <v>31</v>
      </c>
      <c r="L715" s="8" t="s">
        <v>4777</v>
      </c>
      <c r="M715" s="6" t="s">
        <v>5274</v>
      </c>
      <c r="N715" s="6" t="s">
        <v>1442</v>
      </c>
      <c r="O715" s="8" t="s">
        <v>1443</v>
      </c>
      <c r="P715" s="6" t="s">
        <v>4779</v>
      </c>
      <c r="Q715" s="6" t="s">
        <v>31</v>
      </c>
      <c r="R715" s="6" t="s">
        <v>1277</v>
      </c>
      <c r="S715" s="8" t="s">
        <v>4780</v>
      </c>
      <c r="T715" s="6" t="s">
        <v>66</v>
      </c>
      <c r="U715" s="8" t="s">
        <v>31</v>
      </c>
      <c r="V715" s="6" t="s">
        <v>5275</v>
      </c>
      <c r="W715" s="6" t="s">
        <v>4775</v>
      </c>
      <c r="X715" s="9" t="str">
        <f>HYPERLINK("https://my.pitchbook.com?p=366887-80P","View People Online")</f>
        <v>View People Online</v>
      </c>
    </row>
    <row r="716">
      <c r="A716" s="10" t="s">
        <v>5276</v>
      </c>
      <c r="B716" s="10" t="s">
        <v>5277</v>
      </c>
      <c r="C716" s="10" t="s">
        <v>5278</v>
      </c>
      <c r="D716" s="10" t="s">
        <v>3354</v>
      </c>
      <c r="E716" s="10" t="s">
        <v>4775</v>
      </c>
      <c r="F716" s="10" t="s">
        <v>1801</v>
      </c>
      <c r="G716" s="10" t="s">
        <v>5279</v>
      </c>
      <c r="H716" s="11" t="s">
        <v>31</v>
      </c>
      <c r="I716" s="11">
        <v>1.0</v>
      </c>
      <c r="J716" s="11">
        <v>1.0</v>
      </c>
      <c r="K716" s="11" t="s">
        <v>31</v>
      </c>
      <c r="L716" s="12" t="s">
        <v>5280</v>
      </c>
      <c r="M716" s="10" t="s">
        <v>5281</v>
      </c>
      <c r="N716" s="10" t="s">
        <v>1442</v>
      </c>
      <c r="O716" s="12" t="s">
        <v>1443</v>
      </c>
      <c r="P716" s="10" t="s">
        <v>4779</v>
      </c>
      <c r="Q716" s="10" t="s">
        <v>31</v>
      </c>
      <c r="R716" s="10" t="s">
        <v>1277</v>
      </c>
      <c r="S716" s="12" t="s">
        <v>4780</v>
      </c>
      <c r="T716" s="10" t="s">
        <v>66</v>
      </c>
      <c r="U716" s="12" t="s">
        <v>31</v>
      </c>
      <c r="V716" s="10" t="s">
        <v>5282</v>
      </c>
      <c r="W716" s="10" t="s">
        <v>4775</v>
      </c>
      <c r="X716" s="13" t="str">
        <f>HYPERLINK("https://my.pitchbook.com?p=143770-60P","View People Online")</f>
        <v>View People Online</v>
      </c>
    </row>
    <row r="717">
      <c r="A717" s="14" t="s">
        <v>5283</v>
      </c>
      <c r="B717" s="14" t="s">
        <v>5284</v>
      </c>
      <c r="C717" s="14" t="s">
        <v>5285</v>
      </c>
      <c r="D717" s="14" t="s">
        <v>5286</v>
      </c>
      <c r="E717" s="14" t="s">
        <v>4775</v>
      </c>
      <c r="F717" s="14" t="s">
        <v>5287</v>
      </c>
      <c r="G717" s="14" t="s">
        <v>5288</v>
      </c>
      <c r="H717" s="15" t="s">
        <v>31</v>
      </c>
      <c r="I717" s="15">
        <v>1.0</v>
      </c>
      <c r="J717" s="15">
        <v>1.0</v>
      </c>
      <c r="K717" s="15" t="s">
        <v>31</v>
      </c>
      <c r="L717" s="16" t="s">
        <v>4777</v>
      </c>
      <c r="M717" s="14" t="s">
        <v>5289</v>
      </c>
      <c r="N717" s="14" t="s">
        <v>1442</v>
      </c>
      <c r="O717" s="16" t="s">
        <v>1443</v>
      </c>
      <c r="P717" s="14" t="s">
        <v>4779</v>
      </c>
      <c r="Q717" s="14" t="s">
        <v>31</v>
      </c>
      <c r="R717" s="14" t="s">
        <v>1277</v>
      </c>
      <c r="S717" s="16" t="s">
        <v>4780</v>
      </c>
      <c r="T717" s="14" t="s">
        <v>66</v>
      </c>
      <c r="U717" s="16" t="s">
        <v>31</v>
      </c>
      <c r="V717" s="14" t="s">
        <v>5290</v>
      </c>
      <c r="W717" s="14" t="s">
        <v>4775</v>
      </c>
      <c r="X717" s="17" t="str">
        <f>HYPERLINK("https://my.pitchbook.com?p=95975-47P","View People Online")</f>
        <v>View People Online</v>
      </c>
    </row>
    <row r="718">
      <c r="A718" s="2" t="s">
        <v>5291</v>
      </c>
      <c r="B718" s="2" t="s">
        <v>5292</v>
      </c>
      <c r="C718" s="2" t="s">
        <v>5293</v>
      </c>
      <c r="D718" s="2" t="s">
        <v>5294</v>
      </c>
      <c r="E718" s="2" t="s">
        <v>4775</v>
      </c>
      <c r="F718" s="2" t="s">
        <v>5295</v>
      </c>
      <c r="G718" s="2" t="s">
        <v>5296</v>
      </c>
      <c r="H718" s="3" t="s">
        <v>31</v>
      </c>
      <c r="I718" s="3">
        <v>1.0</v>
      </c>
      <c r="J718" s="3">
        <v>1.0</v>
      </c>
      <c r="K718" s="3" t="s">
        <v>31</v>
      </c>
      <c r="L718" s="4" t="s">
        <v>4777</v>
      </c>
      <c r="M718" s="2" t="s">
        <v>5297</v>
      </c>
      <c r="N718" s="2" t="s">
        <v>1442</v>
      </c>
      <c r="O718" s="4" t="s">
        <v>1443</v>
      </c>
      <c r="P718" s="2" t="s">
        <v>4779</v>
      </c>
      <c r="Q718" s="2" t="s">
        <v>31</v>
      </c>
      <c r="R718" s="2" t="s">
        <v>1277</v>
      </c>
      <c r="S718" s="4" t="s">
        <v>4780</v>
      </c>
      <c r="T718" s="2" t="s">
        <v>66</v>
      </c>
      <c r="U718" s="4" t="s">
        <v>31</v>
      </c>
      <c r="V718" s="2" t="s">
        <v>5298</v>
      </c>
      <c r="W718" s="2" t="s">
        <v>4775</v>
      </c>
      <c r="X718" s="5" t="str">
        <f>HYPERLINK("https://my.pitchbook.com?p=366917-05P","View People Online")</f>
        <v>View People Online</v>
      </c>
    </row>
    <row r="719">
      <c r="A719" s="6" t="s">
        <v>5299</v>
      </c>
      <c r="B719" s="6" t="s">
        <v>5300</v>
      </c>
      <c r="C719" s="6" t="s">
        <v>5301</v>
      </c>
      <c r="D719" s="6" t="s">
        <v>5302</v>
      </c>
      <c r="E719" s="6" t="s">
        <v>4775</v>
      </c>
      <c r="F719" s="6" t="s">
        <v>5012</v>
      </c>
      <c r="G719" s="6" t="s">
        <v>5303</v>
      </c>
      <c r="H719" s="7" t="s">
        <v>31</v>
      </c>
      <c r="I719" s="7">
        <v>2.0</v>
      </c>
      <c r="J719" s="7">
        <v>1.0</v>
      </c>
      <c r="K719" s="7" t="s">
        <v>31</v>
      </c>
      <c r="L719" s="8" t="s">
        <v>4777</v>
      </c>
      <c r="M719" s="6" t="s">
        <v>5304</v>
      </c>
      <c r="N719" s="6" t="s">
        <v>1442</v>
      </c>
      <c r="O719" s="8" t="s">
        <v>1443</v>
      </c>
      <c r="P719" s="6" t="s">
        <v>4779</v>
      </c>
      <c r="Q719" s="6" t="s">
        <v>31</v>
      </c>
      <c r="R719" s="6" t="s">
        <v>1277</v>
      </c>
      <c r="S719" s="8" t="s">
        <v>4780</v>
      </c>
      <c r="T719" s="6" t="s">
        <v>66</v>
      </c>
      <c r="U719" s="8" t="s">
        <v>31</v>
      </c>
      <c r="V719" s="6" t="s">
        <v>5305</v>
      </c>
      <c r="W719" s="6" t="s">
        <v>4775</v>
      </c>
      <c r="X719" s="9" t="str">
        <f>HYPERLINK("https://my.pitchbook.com?p=367211-62P","View People Online")</f>
        <v>View People Online</v>
      </c>
    </row>
    <row r="720">
      <c r="A720" s="10" t="s">
        <v>5306</v>
      </c>
      <c r="B720" s="10" t="s">
        <v>5307</v>
      </c>
      <c r="C720" s="10" t="s">
        <v>1830</v>
      </c>
      <c r="D720" s="10" t="s">
        <v>5308</v>
      </c>
      <c r="E720" s="10" t="s">
        <v>4775</v>
      </c>
      <c r="F720" s="10" t="s">
        <v>548</v>
      </c>
      <c r="G720" s="10" t="s">
        <v>5309</v>
      </c>
      <c r="H720" s="11" t="s">
        <v>31</v>
      </c>
      <c r="I720" s="11">
        <v>1.0</v>
      </c>
      <c r="J720" s="11">
        <v>1.0</v>
      </c>
      <c r="K720" s="11" t="s">
        <v>31</v>
      </c>
      <c r="L720" s="12" t="s">
        <v>4777</v>
      </c>
      <c r="M720" s="10" t="s">
        <v>5310</v>
      </c>
      <c r="N720" s="10" t="s">
        <v>1442</v>
      </c>
      <c r="O720" s="12" t="s">
        <v>1443</v>
      </c>
      <c r="P720" s="10" t="s">
        <v>4779</v>
      </c>
      <c r="Q720" s="10" t="s">
        <v>31</v>
      </c>
      <c r="R720" s="10" t="s">
        <v>1277</v>
      </c>
      <c r="S720" s="12" t="s">
        <v>4780</v>
      </c>
      <c r="T720" s="10" t="s">
        <v>66</v>
      </c>
      <c r="U720" s="12" t="s">
        <v>31</v>
      </c>
      <c r="V720" s="10" t="s">
        <v>5311</v>
      </c>
      <c r="W720" s="10" t="s">
        <v>4775</v>
      </c>
      <c r="X720" s="13" t="str">
        <f>HYPERLINK("https://my.pitchbook.com?p=87920-74P","View People Online")</f>
        <v>View People Online</v>
      </c>
    </row>
    <row r="721">
      <c r="A721" s="6" t="s">
        <v>5312</v>
      </c>
      <c r="B721" s="6" t="s">
        <v>5313</v>
      </c>
      <c r="C721" s="6" t="s">
        <v>5314</v>
      </c>
      <c r="D721" s="6" t="s">
        <v>5315</v>
      </c>
      <c r="E721" s="6" t="s">
        <v>4775</v>
      </c>
      <c r="F721" s="6" t="s">
        <v>5086</v>
      </c>
      <c r="G721" s="6" t="s">
        <v>5316</v>
      </c>
      <c r="H721" s="7" t="s">
        <v>31</v>
      </c>
      <c r="I721" s="7">
        <v>1.0</v>
      </c>
      <c r="J721" s="7">
        <v>1.0</v>
      </c>
      <c r="K721" s="7" t="s">
        <v>31</v>
      </c>
      <c r="L721" s="8" t="s">
        <v>4777</v>
      </c>
      <c r="M721" s="6" t="s">
        <v>5317</v>
      </c>
      <c r="N721" s="6" t="s">
        <v>1442</v>
      </c>
      <c r="O721" s="8" t="s">
        <v>1443</v>
      </c>
      <c r="P721" s="6" t="s">
        <v>4779</v>
      </c>
      <c r="Q721" s="6" t="s">
        <v>31</v>
      </c>
      <c r="R721" s="6" t="s">
        <v>1277</v>
      </c>
      <c r="S721" s="8" t="s">
        <v>4780</v>
      </c>
      <c r="T721" s="6" t="s">
        <v>66</v>
      </c>
      <c r="U721" s="8" t="s">
        <v>31</v>
      </c>
      <c r="V721" s="6" t="s">
        <v>5318</v>
      </c>
      <c r="W721" s="6" t="s">
        <v>4775</v>
      </c>
      <c r="X721" s="9" t="str">
        <f>HYPERLINK("https://my.pitchbook.com?p=340452-91P","View People Online")</f>
        <v>View People Online</v>
      </c>
    </row>
    <row r="722">
      <c r="A722" s="2" t="s">
        <v>5319</v>
      </c>
      <c r="B722" s="2" t="s">
        <v>5320</v>
      </c>
      <c r="C722" s="2" t="s">
        <v>5321</v>
      </c>
      <c r="D722" s="2" t="s">
        <v>3908</v>
      </c>
      <c r="E722" s="2" t="s">
        <v>4775</v>
      </c>
      <c r="F722" s="2" t="s">
        <v>270</v>
      </c>
      <c r="G722" s="2" t="s">
        <v>5322</v>
      </c>
      <c r="H722" s="3" t="s">
        <v>31</v>
      </c>
      <c r="I722" s="3">
        <v>1.0</v>
      </c>
      <c r="J722" s="3">
        <v>1.0</v>
      </c>
      <c r="K722" s="3" t="s">
        <v>31</v>
      </c>
      <c r="L722" s="4" t="s">
        <v>4777</v>
      </c>
      <c r="M722" s="2" t="s">
        <v>5323</v>
      </c>
      <c r="N722" s="2" t="s">
        <v>1442</v>
      </c>
      <c r="O722" s="4" t="s">
        <v>1443</v>
      </c>
      <c r="P722" s="2" t="s">
        <v>4779</v>
      </c>
      <c r="Q722" s="2" t="s">
        <v>31</v>
      </c>
      <c r="R722" s="2" t="s">
        <v>1277</v>
      </c>
      <c r="S722" s="4" t="s">
        <v>4780</v>
      </c>
      <c r="T722" s="2" t="s">
        <v>66</v>
      </c>
      <c r="U722" s="4" t="s">
        <v>31</v>
      </c>
      <c r="V722" s="2" t="s">
        <v>5324</v>
      </c>
      <c r="W722" s="2" t="s">
        <v>4775</v>
      </c>
      <c r="X722" s="5" t="str">
        <f>HYPERLINK("https://my.pitchbook.com?p=366660-46P","View People Online")</f>
        <v>View People Online</v>
      </c>
    </row>
    <row r="723">
      <c r="A723" s="6" t="s">
        <v>5325</v>
      </c>
      <c r="B723" s="6" t="s">
        <v>5326</v>
      </c>
      <c r="C723" s="6" t="s">
        <v>5327</v>
      </c>
      <c r="D723" s="6" t="s">
        <v>5328</v>
      </c>
      <c r="E723" s="6" t="s">
        <v>4775</v>
      </c>
      <c r="F723" s="6" t="s">
        <v>3665</v>
      </c>
      <c r="G723" s="6" t="s">
        <v>5329</v>
      </c>
      <c r="H723" s="7" t="s">
        <v>31</v>
      </c>
      <c r="I723" s="7">
        <v>10.0</v>
      </c>
      <c r="J723" s="7">
        <v>2.0</v>
      </c>
      <c r="K723" s="7">
        <v>7.0</v>
      </c>
      <c r="L723" s="8" t="s">
        <v>4777</v>
      </c>
      <c r="M723" s="6" t="s">
        <v>5330</v>
      </c>
      <c r="N723" s="6" t="s">
        <v>1442</v>
      </c>
      <c r="O723" s="8" t="s">
        <v>1443</v>
      </c>
      <c r="P723" s="6" t="s">
        <v>4779</v>
      </c>
      <c r="Q723" s="6" t="s">
        <v>31</v>
      </c>
      <c r="R723" s="6" t="s">
        <v>1277</v>
      </c>
      <c r="S723" s="8" t="s">
        <v>4780</v>
      </c>
      <c r="T723" s="6" t="s">
        <v>66</v>
      </c>
      <c r="U723" s="8" t="s">
        <v>31</v>
      </c>
      <c r="V723" s="6" t="s">
        <v>3665</v>
      </c>
      <c r="W723" s="6" t="s">
        <v>4775</v>
      </c>
      <c r="X723" s="9" t="str">
        <f>HYPERLINK("https://my.pitchbook.com?p=84690-19P","View People Online")</f>
        <v>View People Online</v>
      </c>
    </row>
    <row r="724">
      <c r="A724" s="2" t="s">
        <v>5331</v>
      </c>
      <c r="B724" s="2" t="s">
        <v>5332</v>
      </c>
      <c r="C724" s="2" t="s">
        <v>143</v>
      </c>
      <c r="D724" s="2" t="s">
        <v>5333</v>
      </c>
      <c r="E724" s="2" t="s">
        <v>4775</v>
      </c>
      <c r="F724" s="2" t="s">
        <v>548</v>
      </c>
      <c r="G724" s="2" t="s">
        <v>5334</v>
      </c>
      <c r="H724" s="3" t="s">
        <v>31</v>
      </c>
      <c r="I724" s="3">
        <v>1.0</v>
      </c>
      <c r="J724" s="3">
        <v>1.0</v>
      </c>
      <c r="K724" s="3" t="s">
        <v>31</v>
      </c>
      <c r="L724" s="4" t="s">
        <v>4777</v>
      </c>
      <c r="M724" s="2" t="s">
        <v>5335</v>
      </c>
      <c r="N724" s="2" t="s">
        <v>1442</v>
      </c>
      <c r="O724" s="4" t="s">
        <v>1443</v>
      </c>
      <c r="P724" s="2" t="s">
        <v>4779</v>
      </c>
      <c r="Q724" s="2" t="s">
        <v>31</v>
      </c>
      <c r="R724" s="2" t="s">
        <v>1277</v>
      </c>
      <c r="S724" s="4" t="s">
        <v>4780</v>
      </c>
      <c r="T724" s="2" t="s">
        <v>66</v>
      </c>
      <c r="U724" s="4" t="s">
        <v>31</v>
      </c>
      <c r="V724" s="2" t="s">
        <v>5336</v>
      </c>
      <c r="W724" s="2" t="s">
        <v>4775</v>
      </c>
      <c r="X724" s="5" t="str">
        <f>HYPERLINK("https://my.pitchbook.com?p=399376-99P","View People Online")</f>
        <v>View People Online</v>
      </c>
    </row>
    <row r="725">
      <c r="A725" s="14" t="s">
        <v>5337</v>
      </c>
      <c r="B725" s="14" t="s">
        <v>5338</v>
      </c>
      <c r="C725" s="14" t="s">
        <v>5339</v>
      </c>
      <c r="D725" s="14" t="s">
        <v>1723</v>
      </c>
      <c r="E725" s="14" t="s">
        <v>5340</v>
      </c>
      <c r="F725" s="14" t="s">
        <v>5341</v>
      </c>
      <c r="G725" s="14" t="s">
        <v>5342</v>
      </c>
      <c r="H725" s="15" t="s">
        <v>31</v>
      </c>
      <c r="I725" s="15">
        <v>1.0</v>
      </c>
      <c r="J725" s="15">
        <v>1.0</v>
      </c>
      <c r="K725" s="15" t="s">
        <v>31</v>
      </c>
      <c r="L725" s="16" t="s">
        <v>5343</v>
      </c>
      <c r="M725" s="14" t="s">
        <v>5344</v>
      </c>
      <c r="N725" s="14" t="s">
        <v>5345</v>
      </c>
      <c r="O725" s="16" t="s">
        <v>5346</v>
      </c>
      <c r="P725" s="14" t="s">
        <v>5347</v>
      </c>
      <c r="Q725" s="14" t="s">
        <v>31</v>
      </c>
      <c r="R725" s="14" t="s">
        <v>5348</v>
      </c>
      <c r="S725" s="16" t="s">
        <v>5349</v>
      </c>
      <c r="T725" s="14" t="s">
        <v>66</v>
      </c>
      <c r="U725" s="16" t="s">
        <v>31</v>
      </c>
      <c r="V725" s="14" t="s">
        <v>5350</v>
      </c>
      <c r="W725" s="14" t="s">
        <v>5340</v>
      </c>
      <c r="X725" s="17" t="str">
        <f>HYPERLINK("https://my.pitchbook.com?p=100858-60P","View People Online")</f>
        <v>View People Online</v>
      </c>
    </row>
    <row r="726">
      <c r="A726" s="2" t="s">
        <v>5351</v>
      </c>
      <c r="B726" s="2" t="s">
        <v>5352</v>
      </c>
      <c r="C726" s="2" t="s">
        <v>343</v>
      </c>
      <c r="D726" s="2" t="s">
        <v>5353</v>
      </c>
      <c r="E726" s="2" t="s">
        <v>5340</v>
      </c>
      <c r="F726" s="2" t="s">
        <v>29</v>
      </c>
      <c r="G726" s="2" t="s">
        <v>5354</v>
      </c>
      <c r="H726" s="3">
        <v>1.0</v>
      </c>
      <c r="I726" s="3">
        <v>5.0</v>
      </c>
      <c r="J726" s="3">
        <v>1.0</v>
      </c>
      <c r="K726" s="3">
        <v>2.0</v>
      </c>
      <c r="L726" s="4" t="s">
        <v>5343</v>
      </c>
      <c r="M726" s="2" t="s">
        <v>5355</v>
      </c>
      <c r="N726" s="2" t="s">
        <v>5345</v>
      </c>
      <c r="O726" s="4" t="s">
        <v>5346</v>
      </c>
      <c r="P726" s="2" t="s">
        <v>5347</v>
      </c>
      <c r="Q726" s="2" t="s">
        <v>31</v>
      </c>
      <c r="R726" s="2" t="s">
        <v>5348</v>
      </c>
      <c r="S726" s="4" t="s">
        <v>5349</v>
      </c>
      <c r="T726" s="2" t="s">
        <v>66</v>
      </c>
      <c r="U726" s="4" t="s">
        <v>31</v>
      </c>
      <c r="V726" s="2" t="s">
        <v>29</v>
      </c>
      <c r="W726" s="2" t="s">
        <v>5340</v>
      </c>
      <c r="X726" s="5" t="str">
        <f>HYPERLINK("https://my.pitchbook.com?p=191479-06P","View People Online")</f>
        <v>View People Online</v>
      </c>
    </row>
    <row r="727">
      <c r="A727" s="14" t="s">
        <v>5356</v>
      </c>
      <c r="B727" s="14" t="s">
        <v>5357</v>
      </c>
      <c r="C727" s="14" t="s">
        <v>5358</v>
      </c>
      <c r="D727" s="14" t="s">
        <v>5302</v>
      </c>
      <c r="E727" s="14" t="s">
        <v>5340</v>
      </c>
      <c r="F727" s="14" t="s">
        <v>3665</v>
      </c>
      <c r="G727" s="14" t="s">
        <v>5359</v>
      </c>
      <c r="H727" s="15" t="s">
        <v>31</v>
      </c>
      <c r="I727" s="15">
        <v>1.0</v>
      </c>
      <c r="J727" s="15">
        <v>1.0</v>
      </c>
      <c r="K727" s="15" t="s">
        <v>31</v>
      </c>
      <c r="L727" s="16" t="s">
        <v>5343</v>
      </c>
      <c r="M727" s="14" t="s">
        <v>5360</v>
      </c>
      <c r="N727" s="14" t="s">
        <v>5345</v>
      </c>
      <c r="O727" s="16" t="s">
        <v>5346</v>
      </c>
      <c r="P727" s="14" t="s">
        <v>5347</v>
      </c>
      <c r="Q727" s="14" t="s">
        <v>31</v>
      </c>
      <c r="R727" s="14" t="s">
        <v>5348</v>
      </c>
      <c r="S727" s="16" t="s">
        <v>5349</v>
      </c>
      <c r="T727" s="14" t="s">
        <v>66</v>
      </c>
      <c r="U727" s="16" t="s">
        <v>31</v>
      </c>
      <c r="V727" s="14" t="s">
        <v>3665</v>
      </c>
      <c r="W727" s="14" t="s">
        <v>5340</v>
      </c>
      <c r="X727" s="17" t="str">
        <f>HYPERLINK("https://my.pitchbook.com?p=358119-19P","View People Online")</f>
        <v>View People Online</v>
      </c>
    </row>
    <row r="728">
      <c r="A728" s="2" t="s">
        <v>5361</v>
      </c>
      <c r="B728" s="2" t="s">
        <v>5362</v>
      </c>
      <c r="C728" s="2" t="s">
        <v>5363</v>
      </c>
      <c r="D728" s="2" t="s">
        <v>5364</v>
      </c>
      <c r="E728" s="2" t="s">
        <v>5340</v>
      </c>
      <c r="F728" s="2" t="s">
        <v>5365</v>
      </c>
      <c r="G728" s="2" t="s">
        <v>5366</v>
      </c>
      <c r="H728" s="3" t="s">
        <v>31</v>
      </c>
      <c r="I728" s="3">
        <v>1.0</v>
      </c>
      <c r="J728" s="3">
        <v>1.0</v>
      </c>
      <c r="K728" s="3" t="s">
        <v>31</v>
      </c>
      <c r="L728" s="4" t="s">
        <v>5343</v>
      </c>
      <c r="M728" s="2" t="s">
        <v>5367</v>
      </c>
      <c r="N728" s="2" t="s">
        <v>5345</v>
      </c>
      <c r="O728" s="4" t="s">
        <v>5346</v>
      </c>
      <c r="P728" s="2" t="s">
        <v>5347</v>
      </c>
      <c r="Q728" s="2" t="s">
        <v>31</v>
      </c>
      <c r="R728" s="2" t="s">
        <v>5348</v>
      </c>
      <c r="S728" s="4" t="s">
        <v>5349</v>
      </c>
      <c r="T728" s="2" t="s">
        <v>66</v>
      </c>
      <c r="U728" s="4" t="s">
        <v>31</v>
      </c>
      <c r="V728" s="2" t="s">
        <v>5368</v>
      </c>
      <c r="W728" s="2" t="s">
        <v>5340</v>
      </c>
      <c r="X728" s="5" t="str">
        <f>HYPERLINK("https://my.pitchbook.com?p=229266-64P","View People Online")</f>
        <v>View People Online</v>
      </c>
    </row>
    <row r="729">
      <c r="A729" s="14" t="s">
        <v>5369</v>
      </c>
      <c r="B729" s="14" t="s">
        <v>5370</v>
      </c>
      <c r="C729" s="14" t="s">
        <v>1343</v>
      </c>
      <c r="D729" s="14" t="s">
        <v>5371</v>
      </c>
      <c r="E729" s="14" t="s">
        <v>5340</v>
      </c>
      <c r="F729" s="14" t="s">
        <v>4964</v>
      </c>
      <c r="G729" s="14" t="s">
        <v>5372</v>
      </c>
      <c r="H729" s="15" t="s">
        <v>31</v>
      </c>
      <c r="I729" s="15">
        <v>1.0</v>
      </c>
      <c r="J729" s="15">
        <v>1.0</v>
      </c>
      <c r="K729" s="15" t="s">
        <v>31</v>
      </c>
      <c r="L729" s="16" t="s">
        <v>31</v>
      </c>
      <c r="M729" s="14" t="s">
        <v>5373</v>
      </c>
      <c r="N729" s="14" t="s">
        <v>75</v>
      </c>
      <c r="O729" s="16" t="s">
        <v>76</v>
      </c>
      <c r="P729" s="14" t="s">
        <v>31</v>
      </c>
      <c r="Q729" s="14" t="s">
        <v>31</v>
      </c>
      <c r="R729" s="14" t="s">
        <v>75</v>
      </c>
      <c r="S729" s="16" t="s">
        <v>31</v>
      </c>
      <c r="T729" s="14" t="s">
        <v>66</v>
      </c>
      <c r="U729" s="16" t="s">
        <v>31</v>
      </c>
      <c r="V729" s="14" t="s">
        <v>5374</v>
      </c>
      <c r="W729" s="14" t="s">
        <v>5340</v>
      </c>
      <c r="X729" s="17" t="str">
        <f>HYPERLINK("https://my.pitchbook.com?p=88032-07P","View People Online")</f>
        <v>View People Online</v>
      </c>
    </row>
    <row r="730">
      <c r="A730" s="2" t="s">
        <v>5375</v>
      </c>
      <c r="B730" s="2" t="s">
        <v>5376</v>
      </c>
      <c r="C730" s="2" t="s">
        <v>1356</v>
      </c>
      <c r="D730" s="2" t="s">
        <v>562</v>
      </c>
      <c r="E730" s="2" t="s">
        <v>5340</v>
      </c>
      <c r="F730" s="2" t="s">
        <v>1459</v>
      </c>
      <c r="G730" s="2" t="s">
        <v>5377</v>
      </c>
      <c r="H730" s="3" t="s">
        <v>31</v>
      </c>
      <c r="I730" s="3">
        <v>1.0</v>
      </c>
      <c r="J730" s="3">
        <v>1.0</v>
      </c>
      <c r="K730" s="3" t="s">
        <v>31</v>
      </c>
      <c r="L730" s="4" t="s">
        <v>5343</v>
      </c>
      <c r="M730" s="2" t="s">
        <v>5378</v>
      </c>
      <c r="N730" s="2" t="s">
        <v>5345</v>
      </c>
      <c r="O730" s="4" t="s">
        <v>5346</v>
      </c>
      <c r="P730" s="2" t="s">
        <v>5347</v>
      </c>
      <c r="Q730" s="2" t="s">
        <v>31</v>
      </c>
      <c r="R730" s="2" t="s">
        <v>5348</v>
      </c>
      <c r="S730" s="4" t="s">
        <v>5349</v>
      </c>
      <c r="T730" s="2" t="s">
        <v>66</v>
      </c>
      <c r="U730" s="4" t="s">
        <v>31</v>
      </c>
      <c r="V730" s="2" t="s">
        <v>1459</v>
      </c>
      <c r="W730" s="2" t="s">
        <v>5340</v>
      </c>
      <c r="X730" s="5" t="str">
        <f>HYPERLINK("https://my.pitchbook.com?p=51258-70P","View People Online")</f>
        <v>View People Online</v>
      </c>
    </row>
    <row r="731">
      <c r="A731" s="14" t="s">
        <v>5379</v>
      </c>
      <c r="B731" s="14" t="s">
        <v>5380</v>
      </c>
      <c r="C731" s="14" t="s">
        <v>3040</v>
      </c>
      <c r="D731" s="14" t="s">
        <v>5381</v>
      </c>
      <c r="E731" s="14" t="s">
        <v>5340</v>
      </c>
      <c r="F731" s="14" t="s">
        <v>57</v>
      </c>
      <c r="G731" s="14" t="s">
        <v>5382</v>
      </c>
      <c r="H731" s="15">
        <v>4.0</v>
      </c>
      <c r="I731" s="15">
        <v>19.0</v>
      </c>
      <c r="J731" s="15">
        <v>1.0</v>
      </c>
      <c r="K731" s="15">
        <v>10.0</v>
      </c>
      <c r="L731" s="16" t="s">
        <v>5343</v>
      </c>
      <c r="M731" s="14" t="s">
        <v>5383</v>
      </c>
      <c r="N731" s="14" t="s">
        <v>5345</v>
      </c>
      <c r="O731" s="16" t="s">
        <v>5346</v>
      </c>
      <c r="P731" s="14" t="s">
        <v>5347</v>
      </c>
      <c r="Q731" s="14" t="s">
        <v>31</v>
      </c>
      <c r="R731" s="14" t="s">
        <v>5348</v>
      </c>
      <c r="S731" s="16" t="s">
        <v>5349</v>
      </c>
      <c r="T731" s="14" t="s">
        <v>66</v>
      </c>
      <c r="U731" s="16" t="s">
        <v>31</v>
      </c>
      <c r="V731" s="14" t="s">
        <v>57</v>
      </c>
      <c r="W731" s="14" t="s">
        <v>5340</v>
      </c>
      <c r="X731" s="17" t="str">
        <f>HYPERLINK("https://my.pitchbook.com?p=13805-47P","View People Online")</f>
        <v>View People Online</v>
      </c>
    </row>
    <row r="732">
      <c r="A732" s="2" t="s">
        <v>5384</v>
      </c>
      <c r="B732" s="2" t="s">
        <v>5385</v>
      </c>
      <c r="C732" s="2" t="s">
        <v>3554</v>
      </c>
      <c r="D732" s="2" t="s">
        <v>5386</v>
      </c>
      <c r="E732" s="2" t="s">
        <v>5340</v>
      </c>
      <c r="F732" s="2" t="s">
        <v>1215</v>
      </c>
      <c r="G732" s="2" t="s">
        <v>5387</v>
      </c>
      <c r="H732" s="3" t="s">
        <v>31</v>
      </c>
      <c r="I732" s="3">
        <v>1.0</v>
      </c>
      <c r="J732" s="3">
        <v>1.0</v>
      </c>
      <c r="K732" s="3" t="s">
        <v>31</v>
      </c>
      <c r="L732" s="4" t="s">
        <v>5343</v>
      </c>
      <c r="M732" s="2" t="s">
        <v>5388</v>
      </c>
      <c r="N732" s="2" t="s">
        <v>5345</v>
      </c>
      <c r="O732" s="4" t="s">
        <v>5346</v>
      </c>
      <c r="P732" s="2" t="s">
        <v>5347</v>
      </c>
      <c r="Q732" s="2" t="s">
        <v>31</v>
      </c>
      <c r="R732" s="2" t="s">
        <v>5348</v>
      </c>
      <c r="S732" s="4" t="s">
        <v>5349</v>
      </c>
      <c r="T732" s="2" t="s">
        <v>66</v>
      </c>
      <c r="U732" s="4" t="s">
        <v>31</v>
      </c>
      <c r="V732" s="2" t="s">
        <v>5389</v>
      </c>
      <c r="W732" s="2" t="s">
        <v>5340</v>
      </c>
      <c r="X732" s="5" t="str">
        <f>HYPERLINK("https://my.pitchbook.com?p=175464-46P","View People Online")</f>
        <v>View People Online</v>
      </c>
    </row>
    <row r="733">
      <c r="A733" s="6" t="s">
        <v>5390</v>
      </c>
      <c r="B733" s="6" t="s">
        <v>5391</v>
      </c>
      <c r="C733" s="6" t="s">
        <v>3202</v>
      </c>
      <c r="D733" s="6" t="s">
        <v>5392</v>
      </c>
      <c r="E733" s="6" t="s">
        <v>5340</v>
      </c>
      <c r="F733" s="6" t="s">
        <v>5393</v>
      </c>
      <c r="G733" s="6" t="s">
        <v>5394</v>
      </c>
      <c r="H733" s="7" t="s">
        <v>31</v>
      </c>
      <c r="I733" s="7">
        <v>1.0</v>
      </c>
      <c r="J733" s="7">
        <v>1.0</v>
      </c>
      <c r="K733" s="7" t="s">
        <v>31</v>
      </c>
      <c r="L733" s="8" t="s">
        <v>5343</v>
      </c>
      <c r="M733" s="6" t="s">
        <v>5395</v>
      </c>
      <c r="N733" s="6" t="s">
        <v>5345</v>
      </c>
      <c r="O733" s="8" t="s">
        <v>5346</v>
      </c>
      <c r="P733" s="6" t="s">
        <v>5347</v>
      </c>
      <c r="Q733" s="6" t="s">
        <v>31</v>
      </c>
      <c r="R733" s="6" t="s">
        <v>5348</v>
      </c>
      <c r="S733" s="8" t="s">
        <v>5349</v>
      </c>
      <c r="T733" s="6" t="s">
        <v>66</v>
      </c>
      <c r="U733" s="8" t="s">
        <v>31</v>
      </c>
      <c r="V733" s="6" t="s">
        <v>5393</v>
      </c>
      <c r="W733" s="6" t="s">
        <v>5340</v>
      </c>
      <c r="X733" s="9" t="str">
        <f>HYPERLINK("https://my.pitchbook.com?p=62241-22P","View People Online")</f>
        <v>View People Online</v>
      </c>
    </row>
    <row r="734">
      <c r="A734" s="10" t="s">
        <v>5396</v>
      </c>
      <c r="B734" s="10" t="s">
        <v>5397</v>
      </c>
      <c r="C734" s="10" t="s">
        <v>5398</v>
      </c>
      <c r="D734" s="10" t="s">
        <v>5399</v>
      </c>
      <c r="E734" s="10" t="s">
        <v>5340</v>
      </c>
      <c r="F734" s="10" t="s">
        <v>5393</v>
      </c>
      <c r="G734" s="10" t="s">
        <v>5400</v>
      </c>
      <c r="H734" s="11" t="s">
        <v>31</v>
      </c>
      <c r="I734" s="11">
        <v>1.0</v>
      </c>
      <c r="J734" s="11">
        <v>1.0</v>
      </c>
      <c r="K734" s="11" t="s">
        <v>31</v>
      </c>
      <c r="L734" s="12" t="s">
        <v>5343</v>
      </c>
      <c r="M734" s="10" t="s">
        <v>5401</v>
      </c>
      <c r="N734" s="10" t="s">
        <v>5345</v>
      </c>
      <c r="O734" s="12" t="s">
        <v>5346</v>
      </c>
      <c r="P734" s="10" t="s">
        <v>5347</v>
      </c>
      <c r="Q734" s="10" t="s">
        <v>31</v>
      </c>
      <c r="R734" s="10" t="s">
        <v>5348</v>
      </c>
      <c r="S734" s="12" t="s">
        <v>5349</v>
      </c>
      <c r="T734" s="10" t="s">
        <v>66</v>
      </c>
      <c r="U734" s="12" t="s">
        <v>31</v>
      </c>
      <c r="V734" s="10" t="s">
        <v>5393</v>
      </c>
      <c r="W734" s="10" t="s">
        <v>5340</v>
      </c>
      <c r="X734" s="13" t="str">
        <f>HYPERLINK("https://my.pitchbook.com?p=126841-78P","View People Online")</f>
        <v>View People Online</v>
      </c>
    </row>
    <row r="735">
      <c r="A735" s="14" t="s">
        <v>5402</v>
      </c>
      <c r="B735" s="14" t="s">
        <v>5403</v>
      </c>
      <c r="C735" s="14" t="s">
        <v>907</v>
      </c>
      <c r="D735" s="14" t="s">
        <v>5404</v>
      </c>
      <c r="E735" s="14" t="s">
        <v>5340</v>
      </c>
      <c r="F735" s="14" t="s">
        <v>57</v>
      </c>
      <c r="G735" s="14" t="s">
        <v>5405</v>
      </c>
      <c r="H735" s="15">
        <v>6.0</v>
      </c>
      <c r="I735" s="15">
        <v>29.0</v>
      </c>
      <c r="J735" s="15">
        <v>1.0</v>
      </c>
      <c r="K735" s="15">
        <v>14.0</v>
      </c>
      <c r="L735" s="16" t="s">
        <v>5406</v>
      </c>
      <c r="M735" s="14" t="s">
        <v>5407</v>
      </c>
      <c r="N735" s="14" t="s">
        <v>5345</v>
      </c>
      <c r="O735" s="16" t="s">
        <v>5346</v>
      </c>
      <c r="P735" s="14" t="s">
        <v>5347</v>
      </c>
      <c r="Q735" s="14" t="s">
        <v>31</v>
      </c>
      <c r="R735" s="14" t="s">
        <v>5348</v>
      </c>
      <c r="S735" s="16" t="s">
        <v>5349</v>
      </c>
      <c r="T735" s="14" t="s">
        <v>66</v>
      </c>
      <c r="U735" s="16" t="s">
        <v>31</v>
      </c>
      <c r="V735" s="14" t="s">
        <v>57</v>
      </c>
      <c r="W735" s="14" t="s">
        <v>5340</v>
      </c>
      <c r="X735" s="17" t="str">
        <f>HYPERLINK("https://my.pitchbook.com?p=55581-31P","View People Online")</f>
        <v>View People Online</v>
      </c>
    </row>
    <row r="736">
      <c r="A736" s="10" t="s">
        <v>5408</v>
      </c>
      <c r="B736" s="10" t="s">
        <v>5409</v>
      </c>
      <c r="C736" s="10" t="s">
        <v>928</v>
      </c>
      <c r="D736" s="10" t="s">
        <v>5410</v>
      </c>
      <c r="E736" s="10" t="s">
        <v>5340</v>
      </c>
      <c r="F736" s="10" t="s">
        <v>5411</v>
      </c>
      <c r="G736" s="10" t="s">
        <v>5412</v>
      </c>
      <c r="H736" s="11" t="s">
        <v>31</v>
      </c>
      <c r="I736" s="11">
        <v>1.0</v>
      </c>
      <c r="J736" s="11">
        <v>1.0</v>
      </c>
      <c r="K736" s="11" t="s">
        <v>31</v>
      </c>
      <c r="L736" s="12" t="s">
        <v>5343</v>
      </c>
      <c r="M736" s="10" t="s">
        <v>5413</v>
      </c>
      <c r="N736" s="10" t="s">
        <v>5345</v>
      </c>
      <c r="O736" s="12" t="s">
        <v>5346</v>
      </c>
      <c r="P736" s="10" t="s">
        <v>5347</v>
      </c>
      <c r="Q736" s="10" t="s">
        <v>31</v>
      </c>
      <c r="R736" s="10" t="s">
        <v>5348</v>
      </c>
      <c r="S736" s="12" t="s">
        <v>5349</v>
      </c>
      <c r="T736" s="10" t="s">
        <v>66</v>
      </c>
      <c r="U736" s="12" t="s">
        <v>31</v>
      </c>
      <c r="V736" s="10" t="s">
        <v>5414</v>
      </c>
      <c r="W736" s="10" t="s">
        <v>5340</v>
      </c>
      <c r="X736" s="13" t="str">
        <f>HYPERLINK("https://my.pitchbook.com?p=337125-79P","View People Online")</f>
        <v>View People Online</v>
      </c>
    </row>
    <row r="737">
      <c r="A737" s="6" t="s">
        <v>5415</v>
      </c>
      <c r="B737" s="6" t="s">
        <v>5416</v>
      </c>
      <c r="C737" s="6" t="s">
        <v>167</v>
      </c>
      <c r="D737" s="6" t="s">
        <v>5417</v>
      </c>
      <c r="E737" s="6" t="s">
        <v>5340</v>
      </c>
      <c r="F737" s="6" t="s">
        <v>5418</v>
      </c>
      <c r="G737" s="6" t="s">
        <v>5419</v>
      </c>
      <c r="H737" s="7" t="s">
        <v>31</v>
      </c>
      <c r="I737" s="7">
        <v>1.0</v>
      </c>
      <c r="J737" s="7">
        <v>1.0</v>
      </c>
      <c r="K737" s="7" t="s">
        <v>31</v>
      </c>
      <c r="L737" s="8" t="s">
        <v>5343</v>
      </c>
      <c r="M737" s="6" t="s">
        <v>5420</v>
      </c>
      <c r="N737" s="6" t="s">
        <v>5345</v>
      </c>
      <c r="O737" s="8" t="s">
        <v>5346</v>
      </c>
      <c r="P737" s="6" t="s">
        <v>5347</v>
      </c>
      <c r="Q737" s="6" t="s">
        <v>31</v>
      </c>
      <c r="R737" s="6" t="s">
        <v>5348</v>
      </c>
      <c r="S737" s="8" t="s">
        <v>5349</v>
      </c>
      <c r="T737" s="6" t="s">
        <v>66</v>
      </c>
      <c r="U737" s="8" t="s">
        <v>31</v>
      </c>
      <c r="V737" s="6" t="s">
        <v>5421</v>
      </c>
      <c r="W737" s="6" t="s">
        <v>5340</v>
      </c>
      <c r="X737" s="9" t="str">
        <f>HYPERLINK("https://my.pitchbook.com?p=46050-85P","View People Online")</f>
        <v>View People Online</v>
      </c>
    </row>
    <row r="738">
      <c r="A738" s="2" t="s">
        <v>5422</v>
      </c>
      <c r="B738" s="2" t="s">
        <v>5423</v>
      </c>
      <c r="C738" s="2" t="s">
        <v>5424</v>
      </c>
      <c r="D738" s="2" t="s">
        <v>5425</v>
      </c>
      <c r="E738" s="2" t="s">
        <v>5340</v>
      </c>
      <c r="F738" s="2" t="s">
        <v>201</v>
      </c>
      <c r="G738" s="2" t="s">
        <v>5426</v>
      </c>
      <c r="H738" s="3" t="s">
        <v>31</v>
      </c>
      <c r="I738" s="3">
        <v>2.0</v>
      </c>
      <c r="J738" s="3">
        <v>1.0</v>
      </c>
      <c r="K738" s="3" t="s">
        <v>31</v>
      </c>
      <c r="L738" s="4" t="s">
        <v>5343</v>
      </c>
      <c r="M738" s="2" t="s">
        <v>5427</v>
      </c>
      <c r="N738" s="2" t="s">
        <v>5345</v>
      </c>
      <c r="O738" s="4" t="s">
        <v>5346</v>
      </c>
      <c r="P738" s="2" t="s">
        <v>5347</v>
      </c>
      <c r="Q738" s="2" t="s">
        <v>31</v>
      </c>
      <c r="R738" s="2" t="s">
        <v>5348</v>
      </c>
      <c r="S738" s="4" t="s">
        <v>5349</v>
      </c>
      <c r="T738" s="2" t="s">
        <v>66</v>
      </c>
      <c r="U738" s="4" t="s">
        <v>31</v>
      </c>
      <c r="V738" s="2" t="s">
        <v>5428</v>
      </c>
      <c r="W738" s="2" t="s">
        <v>5340</v>
      </c>
      <c r="X738" s="5" t="str">
        <f>HYPERLINK("https://my.pitchbook.com?p=378535-96P","View People Online")</f>
        <v>View People Online</v>
      </c>
    </row>
    <row r="739">
      <c r="A739" s="14" t="s">
        <v>5429</v>
      </c>
      <c r="B739" s="14" t="s">
        <v>5430</v>
      </c>
      <c r="C739" s="14" t="s">
        <v>395</v>
      </c>
      <c r="D739" s="14" t="s">
        <v>5431</v>
      </c>
      <c r="E739" s="14" t="s">
        <v>5340</v>
      </c>
      <c r="F739" s="14" t="s">
        <v>5411</v>
      </c>
      <c r="G739" s="14" t="s">
        <v>5432</v>
      </c>
      <c r="H739" s="15" t="s">
        <v>31</v>
      </c>
      <c r="I739" s="15">
        <v>1.0</v>
      </c>
      <c r="J739" s="15">
        <v>1.0</v>
      </c>
      <c r="K739" s="15" t="s">
        <v>31</v>
      </c>
      <c r="L739" s="16" t="s">
        <v>31</v>
      </c>
      <c r="M739" s="14" t="s">
        <v>5433</v>
      </c>
      <c r="N739" s="14" t="s">
        <v>75</v>
      </c>
      <c r="O739" s="16" t="s">
        <v>76</v>
      </c>
      <c r="P739" s="14" t="s">
        <v>31</v>
      </c>
      <c r="Q739" s="14" t="s">
        <v>31</v>
      </c>
      <c r="R739" s="14" t="s">
        <v>75</v>
      </c>
      <c r="S739" s="16" t="s">
        <v>31</v>
      </c>
      <c r="T739" s="14" t="s">
        <v>66</v>
      </c>
      <c r="U739" s="16" t="s">
        <v>31</v>
      </c>
      <c r="V739" s="14" t="s">
        <v>5434</v>
      </c>
      <c r="W739" s="14" t="s">
        <v>5340</v>
      </c>
      <c r="X739" s="17" t="str">
        <f>HYPERLINK("https://my.pitchbook.com?p=126696-16P","View People Online")</f>
        <v>View People Online</v>
      </c>
    </row>
    <row r="740">
      <c r="A740" s="10" t="s">
        <v>5435</v>
      </c>
      <c r="B740" s="10" t="s">
        <v>5436</v>
      </c>
      <c r="C740" s="10" t="s">
        <v>972</v>
      </c>
      <c r="D740" s="10" t="s">
        <v>5437</v>
      </c>
      <c r="E740" s="10" t="s">
        <v>5340</v>
      </c>
      <c r="F740" s="10" t="s">
        <v>667</v>
      </c>
      <c r="G740" s="10" t="s">
        <v>5438</v>
      </c>
      <c r="H740" s="11" t="s">
        <v>31</v>
      </c>
      <c r="I740" s="11">
        <v>1.0</v>
      </c>
      <c r="J740" s="11">
        <v>1.0</v>
      </c>
      <c r="K740" s="11" t="s">
        <v>31</v>
      </c>
      <c r="L740" s="12" t="s">
        <v>5343</v>
      </c>
      <c r="M740" s="10" t="s">
        <v>5439</v>
      </c>
      <c r="N740" s="10" t="s">
        <v>5345</v>
      </c>
      <c r="O740" s="12" t="s">
        <v>5346</v>
      </c>
      <c r="P740" s="10" t="s">
        <v>5347</v>
      </c>
      <c r="Q740" s="10" t="s">
        <v>31</v>
      </c>
      <c r="R740" s="10" t="s">
        <v>5348</v>
      </c>
      <c r="S740" s="12" t="s">
        <v>5349</v>
      </c>
      <c r="T740" s="10" t="s">
        <v>66</v>
      </c>
      <c r="U740" s="12" t="s">
        <v>31</v>
      </c>
      <c r="V740" s="10" t="s">
        <v>5440</v>
      </c>
      <c r="W740" s="10" t="s">
        <v>5340</v>
      </c>
      <c r="X740" s="13" t="str">
        <f>HYPERLINK("https://my.pitchbook.com?p=130935-43P","View People Online")</f>
        <v>View People Online</v>
      </c>
    </row>
    <row r="741">
      <c r="A741" s="14" t="s">
        <v>5441</v>
      </c>
      <c r="B741" s="14" t="s">
        <v>5442</v>
      </c>
      <c r="C741" s="14" t="s">
        <v>1388</v>
      </c>
      <c r="D741" s="14" t="s">
        <v>5443</v>
      </c>
      <c r="E741" s="14" t="s">
        <v>5340</v>
      </c>
      <c r="F741" s="14" t="s">
        <v>5365</v>
      </c>
      <c r="G741" s="14" t="s">
        <v>5444</v>
      </c>
      <c r="H741" s="15" t="s">
        <v>31</v>
      </c>
      <c r="I741" s="15">
        <v>1.0</v>
      </c>
      <c r="J741" s="15">
        <v>1.0</v>
      </c>
      <c r="K741" s="15" t="s">
        <v>31</v>
      </c>
      <c r="L741" s="16" t="s">
        <v>5343</v>
      </c>
      <c r="M741" s="14" t="s">
        <v>5445</v>
      </c>
      <c r="N741" s="14" t="s">
        <v>5345</v>
      </c>
      <c r="O741" s="16" t="s">
        <v>5346</v>
      </c>
      <c r="P741" s="14" t="s">
        <v>5347</v>
      </c>
      <c r="Q741" s="14" t="s">
        <v>31</v>
      </c>
      <c r="R741" s="14" t="s">
        <v>5348</v>
      </c>
      <c r="S741" s="16" t="s">
        <v>5349</v>
      </c>
      <c r="T741" s="14" t="s">
        <v>66</v>
      </c>
      <c r="U741" s="16" t="s">
        <v>31</v>
      </c>
      <c r="V741" s="14" t="s">
        <v>5446</v>
      </c>
      <c r="W741" s="14" t="s">
        <v>5340</v>
      </c>
      <c r="X741" s="17" t="str">
        <f>HYPERLINK("https://my.pitchbook.com?p=309633-13P","View People Online")</f>
        <v>View People Online</v>
      </c>
    </row>
    <row r="742">
      <c r="A742" s="10" t="s">
        <v>5447</v>
      </c>
      <c r="B742" s="10" t="s">
        <v>5448</v>
      </c>
      <c r="C742" s="10" t="s">
        <v>5449</v>
      </c>
      <c r="D742" s="10" t="s">
        <v>5450</v>
      </c>
      <c r="E742" s="10" t="s">
        <v>5340</v>
      </c>
      <c r="F742" s="10" t="s">
        <v>5393</v>
      </c>
      <c r="G742" s="10" t="s">
        <v>5451</v>
      </c>
      <c r="H742" s="11" t="s">
        <v>31</v>
      </c>
      <c r="I742" s="11">
        <v>1.0</v>
      </c>
      <c r="J742" s="11">
        <v>1.0</v>
      </c>
      <c r="K742" s="11" t="s">
        <v>31</v>
      </c>
      <c r="L742" s="12" t="s">
        <v>5343</v>
      </c>
      <c r="M742" s="10" t="s">
        <v>5452</v>
      </c>
      <c r="N742" s="10" t="s">
        <v>5345</v>
      </c>
      <c r="O742" s="12" t="s">
        <v>5346</v>
      </c>
      <c r="P742" s="10" t="s">
        <v>5347</v>
      </c>
      <c r="Q742" s="10" t="s">
        <v>31</v>
      </c>
      <c r="R742" s="10" t="s">
        <v>5348</v>
      </c>
      <c r="S742" s="12" t="s">
        <v>5349</v>
      </c>
      <c r="T742" s="10" t="s">
        <v>66</v>
      </c>
      <c r="U742" s="12" t="s">
        <v>31</v>
      </c>
      <c r="V742" s="10" t="s">
        <v>5453</v>
      </c>
      <c r="W742" s="10" t="s">
        <v>5340</v>
      </c>
      <c r="X742" s="13" t="str">
        <f>HYPERLINK("https://my.pitchbook.com?p=130933-99P","View People Online")</f>
        <v>View People Online</v>
      </c>
    </row>
    <row r="743">
      <c r="A743" s="6" t="s">
        <v>5454</v>
      </c>
      <c r="B743" s="6" t="s">
        <v>5455</v>
      </c>
      <c r="C743" s="6" t="s">
        <v>4679</v>
      </c>
      <c r="D743" s="6" t="s">
        <v>5456</v>
      </c>
      <c r="E743" s="6" t="s">
        <v>5340</v>
      </c>
      <c r="F743" s="6" t="s">
        <v>371</v>
      </c>
      <c r="G743" s="6" t="s">
        <v>5457</v>
      </c>
      <c r="H743" s="7" t="s">
        <v>31</v>
      </c>
      <c r="I743" s="7">
        <v>1.0</v>
      </c>
      <c r="J743" s="7">
        <v>1.0</v>
      </c>
      <c r="K743" s="7" t="s">
        <v>31</v>
      </c>
      <c r="L743" s="8" t="s">
        <v>5458</v>
      </c>
      <c r="M743" s="6" t="s">
        <v>5459</v>
      </c>
      <c r="N743" s="6" t="s">
        <v>5345</v>
      </c>
      <c r="O743" s="8" t="s">
        <v>5346</v>
      </c>
      <c r="P743" s="6" t="s">
        <v>5347</v>
      </c>
      <c r="Q743" s="6" t="s">
        <v>31</v>
      </c>
      <c r="R743" s="6" t="s">
        <v>5348</v>
      </c>
      <c r="S743" s="8" t="s">
        <v>5349</v>
      </c>
      <c r="T743" s="6" t="s">
        <v>66</v>
      </c>
      <c r="U743" s="8" t="s">
        <v>31</v>
      </c>
      <c r="V743" s="6" t="s">
        <v>5460</v>
      </c>
      <c r="W743" s="6" t="s">
        <v>5340</v>
      </c>
      <c r="X743" s="9" t="str">
        <f>HYPERLINK("https://my.pitchbook.com?p=93984-58P","View People Online")</f>
        <v>View People Online</v>
      </c>
    </row>
    <row r="744">
      <c r="A744" s="2" t="s">
        <v>5461</v>
      </c>
      <c r="B744" s="2" t="s">
        <v>5462</v>
      </c>
      <c r="C744" s="2" t="s">
        <v>3728</v>
      </c>
      <c r="D744" s="2" t="s">
        <v>3671</v>
      </c>
      <c r="E744" s="2" t="s">
        <v>5340</v>
      </c>
      <c r="F744" s="2" t="s">
        <v>5411</v>
      </c>
      <c r="G744" s="2" t="s">
        <v>5463</v>
      </c>
      <c r="H744" s="3" t="s">
        <v>31</v>
      </c>
      <c r="I744" s="3">
        <v>2.0</v>
      </c>
      <c r="J744" s="3">
        <v>1.0</v>
      </c>
      <c r="K744" s="3">
        <v>1.0</v>
      </c>
      <c r="L744" s="4" t="s">
        <v>5343</v>
      </c>
      <c r="M744" s="2" t="s">
        <v>5464</v>
      </c>
      <c r="N744" s="2" t="s">
        <v>5345</v>
      </c>
      <c r="O744" s="4" t="s">
        <v>5346</v>
      </c>
      <c r="P744" s="2" t="s">
        <v>5347</v>
      </c>
      <c r="Q744" s="2" t="s">
        <v>31</v>
      </c>
      <c r="R744" s="2" t="s">
        <v>5348</v>
      </c>
      <c r="S744" s="4" t="s">
        <v>5349</v>
      </c>
      <c r="T744" s="2" t="s">
        <v>66</v>
      </c>
      <c r="U744" s="4" t="s">
        <v>31</v>
      </c>
      <c r="V744" s="2" t="s">
        <v>5411</v>
      </c>
      <c r="W744" s="2" t="s">
        <v>5340</v>
      </c>
      <c r="X744" s="5" t="str">
        <f>HYPERLINK("https://my.pitchbook.com?p=50758-30P","View People Online")</f>
        <v>View People Online</v>
      </c>
    </row>
    <row r="745">
      <c r="A745" s="14" t="s">
        <v>5465</v>
      </c>
      <c r="B745" s="14" t="s">
        <v>5466</v>
      </c>
      <c r="C745" s="14" t="s">
        <v>3934</v>
      </c>
      <c r="D745" s="14" t="s">
        <v>5467</v>
      </c>
      <c r="E745" s="14" t="s">
        <v>5468</v>
      </c>
      <c r="F745" s="14" t="s">
        <v>548</v>
      </c>
      <c r="G745" s="14" t="s">
        <v>5469</v>
      </c>
      <c r="H745" s="15" t="s">
        <v>31</v>
      </c>
      <c r="I745" s="15">
        <v>2.0</v>
      </c>
      <c r="J745" s="15">
        <v>1.0</v>
      </c>
      <c r="K745" s="15">
        <v>1.0</v>
      </c>
      <c r="L745" s="16" t="s">
        <v>5470</v>
      </c>
      <c r="M745" s="14" t="s">
        <v>31</v>
      </c>
      <c r="N745" s="14" t="s">
        <v>243</v>
      </c>
      <c r="O745" s="16" t="s">
        <v>244</v>
      </c>
      <c r="P745" s="14" t="s">
        <v>5471</v>
      </c>
      <c r="Q745" s="14" t="s">
        <v>31</v>
      </c>
      <c r="R745" s="14" t="s">
        <v>247</v>
      </c>
      <c r="S745" s="16" t="s">
        <v>5472</v>
      </c>
      <c r="T745" s="14" t="s">
        <v>249</v>
      </c>
      <c r="U745" s="16" t="s">
        <v>31</v>
      </c>
      <c r="V745" s="14" t="s">
        <v>5473</v>
      </c>
      <c r="W745" s="14" t="s">
        <v>5468</v>
      </c>
      <c r="X745" s="17" t="str">
        <f>HYPERLINK("https://my.pitchbook.com?p=433221-40P","View People Online")</f>
        <v>View People Online</v>
      </c>
    </row>
    <row r="746">
      <c r="A746" s="2" t="s">
        <v>5474</v>
      </c>
      <c r="B746" s="2" t="s">
        <v>5475</v>
      </c>
      <c r="C746" s="2" t="s">
        <v>2713</v>
      </c>
      <c r="D746" s="2" t="s">
        <v>5476</v>
      </c>
      <c r="E746" s="2" t="s">
        <v>5468</v>
      </c>
      <c r="F746" s="2" t="s">
        <v>4931</v>
      </c>
      <c r="G746" s="2" t="s">
        <v>5477</v>
      </c>
      <c r="H746" s="3" t="s">
        <v>31</v>
      </c>
      <c r="I746" s="3">
        <v>2.0</v>
      </c>
      <c r="J746" s="3">
        <v>1.0</v>
      </c>
      <c r="K746" s="3">
        <v>1.0</v>
      </c>
      <c r="L746" s="4" t="s">
        <v>5478</v>
      </c>
      <c r="M746" s="2" t="s">
        <v>31</v>
      </c>
      <c r="N746" s="2" t="s">
        <v>5479</v>
      </c>
      <c r="O746" s="4" t="s">
        <v>5480</v>
      </c>
      <c r="P746" s="2" t="s">
        <v>5481</v>
      </c>
      <c r="Q746" s="2" t="s">
        <v>31</v>
      </c>
      <c r="R746" s="2" t="s">
        <v>5482</v>
      </c>
      <c r="S746" s="4" t="s">
        <v>5483</v>
      </c>
      <c r="T746" s="2" t="s">
        <v>5484</v>
      </c>
      <c r="U746" s="4" t="s">
        <v>31</v>
      </c>
      <c r="V746" s="2" t="s">
        <v>5485</v>
      </c>
      <c r="W746" s="2" t="s">
        <v>5468</v>
      </c>
      <c r="X746" s="5" t="str">
        <f>HYPERLINK("https://my.pitchbook.com?p=132741-55P","View People Online")</f>
        <v>View People Online</v>
      </c>
    </row>
    <row r="747">
      <c r="A747" s="6" t="s">
        <v>5486</v>
      </c>
      <c r="B747" s="6" t="s">
        <v>5487</v>
      </c>
      <c r="C747" s="6" t="s">
        <v>5488</v>
      </c>
      <c r="D747" s="6" t="s">
        <v>5489</v>
      </c>
      <c r="E747" s="6" t="s">
        <v>5468</v>
      </c>
      <c r="F747" s="6" t="s">
        <v>270</v>
      </c>
      <c r="G747" s="6" t="s">
        <v>5490</v>
      </c>
      <c r="H747" s="7" t="s">
        <v>31</v>
      </c>
      <c r="I747" s="7">
        <v>1.0</v>
      </c>
      <c r="J747" s="7">
        <v>1.0</v>
      </c>
      <c r="K747" s="7" t="s">
        <v>31</v>
      </c>
      <c r="L747" s="8" t="s">
        <v>5470</v>
      </c>
      <c r="M747" s="6" t="s">
        <v>5491</v>
      </c>
      <c r="N747" s="6" t="s">
        <v>243</v>
      </c>
      <c r="O747" s="8" t="s">
        <v>244</v>
      </c>
      <c r="P747" s="6" t="s">
        <v>5471</v>
      </c>
      <c r="Q747" s="6" t="s">
        <v>31</v>
      </c>
      <c r="R747" s="6" t="s">
        <v>247</v>
      </c>
      <c r="S747" s="8" t="s">
        <v>5472</v>
      </c>
      <c r="T747" s="6" t="s">
        <v>249</v>
      </c>
      <c r="U747" s="8" t="s">
        <v>31</v>
      </c>
      <c r="V747" s="6" t="s">
        <v>5492</v>
      </c>
      <c r="W747" s="6" t="s">
        <v>5468</v>
      </c>
      <c r="X747" s="9" t="str">
        <f>HYPERLINK("https://my.pitchbook.com?p=386066-98P","View People Online")</f>
        <v>View People Online</v>
      </c>
    </row>
    <row r="748">
      <c r="A748" s="10" t="s">
        <v>5493</v>
      </c>
      <c r="B748" s="10" t="s">
        <v>5494</v>
      </c>
      <c r="C748" s="10" t="s">
        <v>5495</v>
      </c>
      <c r="D748" s="10" t="s">
        <v>5496</v>
      </c>
      <c r="E748" s="10" t="s">
        <v>5468</v>
      </c>
      <c r="F748" s="10" t="s">
        <v>1249</v>
      </c>
      <c r="G748" s="10" t="s">
        <v>5497</v>
      </c>
      <c r="H748" s="11">
        <v>1.0</v>
      </c>
      <c r="I748" s="11">
        <v>2.0</v>
      </c>
      <c r="J748" s="11">
        <v>1.0</v>
      </c>
      <c r="K748" s="11">
        <v>1.0</v>
      </c>
      <c r="L748" s="12" t="s">
        <v>5470</v>
      </c>
      <c r="M748" s="10" t="s">
        <v>5498</v>
      </c>
      <c r="N748" s="10" t="s">
        <v>243</v>
      </c>
      <c r="O748" s="12" t="s">
        <v>244</v>
      </c>
      <c r="P748" s="10" t="s">
        <v>5471</v>
      </c>
      <c r="Q748" s="10" t="s">
        <v>31</v>
      </c>
      <c r="R748" s="10" t="s">
        <v>247</v>
      </c>
      <c r="S748" s="12" t="s">
        <v>5472</v>
      </c>
      <c r="T748" s="10" t="s">
        <v>249</v>
      </c>
      <c r="U748" s="12" t="s">
        <v>31</v>
      </c>
      <c r="V748" s="10" t="s">
        <v>1252</v>
      </c>
      <c r="W748" s="10" t="s">
        <v>5468</v>
      </c>
      <c r="X748" s="13" t="str">
        <f>HYPERLINK("https://my.pitchbook.com?p=84187-54P","View People Online")</f>
        <v>View People Online</v>
      </c>
    </row>
    <row r="749">
      <c r="A749" s="6" t="s">
        <v>5499</v>
      </c>
      <c r="B749" s="6" t="s">
        <v>5500</v>
      </c>
      <c r="C749" s="6" t="s">
        <v>1125</v>
      </c>
      <c r="D749" s="6" t="s">
        <v>5501</v>
      </c>
      <c r="E749" s="6" t="s">
        <v>5468</v>
      </c>
      <c r="F749" s="6" t="s">
        <v>1801</v>
      </c>
      <c r="G749" s="6" t="s">
        <v>5502</v>
      </c>
      <c r="H749" s="7" t="s">
        <v>31</v>
      </c>
      <c r="I749" s="7">
        <v>1.0</v>
      </c>
      <c r="J749" s="7">
        <v>1.0</v>
      </c>
      <c r="K749" s="7" t="s">
        <v>31</v>
      </c>
      <c r="L749" s="8" t="s">
        <v>5503</v>
      </c>
      <c r="M749" s="6" t="s">
        <v>5504</v>
      </c>
      <c r="N749" s="6" t="s">
        <v>243</v>
      </c>
      <c r="O749" s="8" t="s">
        <v>244</v>
      </c>
      <c r="P749" s="6" t="s">
        <v>5471</v>
      </c>
      <c r="Q749" s="6" t="s">
        <v>31</v>
      </c>
      <c r="R749" s="6" t="s">
        <v>247</v>
      </c>
      <c r="S749" s="8" t="s">
        <v>5472</v>
      </c>
      <c r="T749" s="6" t="s">
        <v>249</v>
      </c>
      <c r="U749" s="8" t="s">
        <v>31</v>
      </c>
      <c r="V749" s="6" t="s">
        <v>4118</v>
      </c>
      <c r="W749" s="6" t="s">
        <v>5468</v>
      </c>
      <c r="X749" s="9" t="str">
        <f>HYPERLINK("https://my.pitchbook.com?p=296424-82P","View People Online")</f>
        <v>View People Online</v>
      </c>
    </row>
    <row r="750">
      <c r="A750" s="2" t="s">
        <v>5505</v>
      </c>
      <c r="B750" s="2" t="s">
        <v>5506</v>
      </c>
      <c r="C750" s="2" t="s">
        <v>5507</v>
      </c>
      <c r="D750" s="2" t="s">
        <v>5508</v>
      </c>
      <c r="E750" s="2" t="s">
        <v>5468</v>
      </c>
      <c r="F750" s="2" t="s">
        <v>548</v>
      </c>
      <c r="G750" s="2" t="s">
        <v>5509</v>
      </c>
      <c r="H750" s="3" t="s">
        <v>31</v>
      </c>
      <c r="I750" s="3">
        <v>1.0</v>
      </c>
      <c r="J750" s="3">
        <v>1.0</v>
      </c>
      <c r="K750" s="3" t="s">
        <v>31</v>
      </c>
      <c r="L750" s="4" t="s">
        <v>5470</v>
      </c>
      <c r="M750" s="2" t="s">
        <v>5510</v>
      </c>
      <c r="N750" s="2" t="s">
        <v>243</v>
      </c>
      <c r="O750" s="4" t="s">
        <v>244</v>
      </c>
      <c r="P750" s="2" t="s">
        <v>5471</v>
      </c>
      <c r="Q750" s="2" t="s">
        <v>31</v>
      </c>
      <c r="R750" s="2" t="s">
        <v>247</v>
      </c>
      <c r="S750" s="4" t="s">
        <v>5472</v>
      </c>
      <c r="T750" s="2" t="s">
        <v>249</v>
      </c>
      <c r="U750" s="4" t="s">
        <v>31</v>
      </c>
      <c r="V750" s="2" t="s">
        <v>5511</v>
      </c>
      <c r="W750" s="2" t="s">
        <v>5468</v>
      </c>
      <c r="X750" s="5" t="str">
        <f>HYPERLINK("https://my.pitchbook.com?p=262876-96P","View People Online")</f>
        <v>View People Online</v>
      </c>
    </row>
    <row r="751">
      <c r="A751" s="14" t="s">
        <v>5512</v>
      </c>
      <c r="B751" s="14" t="s">
        <v>5513</v>
      </c>
      <c r="C751" s="14" t="s">
        <v>1343</v>
      </c>
      <c r="D751" s="14" t="s">
        <v>5514</v>
      </c>
      <c r="E751" s="14" t="s">
        <v>5468</v>
      </c>
      <c r="F751" s="14" t="s">
        <v>5515</v>
      </c>
      <c r="G751" s="14" t="s">
        <v>5516</v>
      </c>
      <c r="H751" s="15">
        <v>1.0</v>
      </c>
      <c r="I751" s="15">
        <v>1.0</v>
      </c>
      <c r="J751" s="15">
        <v>1.0</v>
      </c>
      <c r="K751" s="15" t="s">
        <v>31</v>
      </c>
      <c r="L751" s="16" t="s">
        <v>5470</v>
      </c>
      <c r="M751" s="14" t="s">
        <v>5517</v>
      </c>
      <c r="N751" s="14" t="s">
        <v>243</v>
      </c>
      <c r="O751" s="16" t="s">
        <v>244</v>
      </c>
      <c r="P751" s="14" t="s">
        <v>5471</v>
      </c>
      <c r="Q751" s="14" t="s">
        <v>31</v>
      </c>
      <c r="R751" s="14" t="s">
        <v>247</v>
      </c>
      <c r="S751" s="16" t="s">
        <v>5472</v>
      </c>
      <c r="T751" s="14" t="s">
        <v>249</v>
      </c>
      <c r="U751" s="16" t="s">
        <v>31</v>
      </c>
      <c r="V751" s="14" t="s">
        <v>5518</v>
      </c>
      <c r="W751" s="14" t="s">
        <v>5468</v>
      </c>
      <c r="X751" s="17" t="str">
        <f>HYPERLINK("https://my.pitchbook.com?p=156108-43P","View People Online")</f>
        <v>View People Online</v>
      </c>
    </row>
    <row r="752">
      <c r="A752" s="10" t="s">
        <v>5519</v>
      </c>
      <c r="B752" s="10" t="s">
        <v>5520</v>
      </c>
      <c r="C752" s="10" t="s">
        <v>5521</v>
      </c>
      <c r="D752" s="10" t="s">
        <v>5522</v>
      </c>
      <c r="E752" s="10" t="s">
        <v>5468</v>
      </c>
      <c r="F752" s="10" t="s">
        <v>318</v>
      </c>
      <c r="G752" s="10" t="s">
        <v>5523</v>
      </c>
      <c r="H752" s="11" t="s">
        <v>31</v>
      </c>
      <c r="I752" s="11">
        <v>1.0</v>
      </c>
      <c r="J752" s="11">
        <v>1.0</v>
      </c>
      <c r="K752" s="11" t="s">
        <v>31</v>
      </c>
      <c r="L752" s="12" t="s">
        <v>5524</v>
      </c>
      <c r="M752" s="10" t="s">
        <v>5525</v>
      </c>
      <c r="N752" s="10" t="s">
        <v>243</v>
      </c>
      <c r="O752" s="12" t="s">
        <v>244</v>
      </c>
      <c r="P752" s="10" t="s">
        <v>5471</v>
      </c>
      <c r="Q752" s="10" t="s">
        <v>31</v>
      </c>
      <c r="R752" s="10" t="s">
        <v>247</v>
      </c>
      <c r="S752" s="12" t="s">
        <v>5472</v>
      </c>
      <c r="T752" s="10" t="s">
        <v>249</v>
      </c>
      <c r="U752" s="12" t="s">
        <v>31</v>
      </c>
      <c r="V752" s="10" t="s">
        <v>5526</v>
      </c>
      <c r="W752" s="10" t="s">
        <v>5468</v>
      </c>
      <c r="X752" s="13" t="str">
        <f>HYPERLINK("https://my.pitchbook.com?p=296425-99P","View People Online")</f>
        <v>View People Online</v>
      </c>
    </row>
    <row r="753">
      <c r="A753" s="6" t="s">
        <v>5527</v>
      </c>
      <c r="B753" s="6" t="s">
        <v>5528</v>
      </c>
      <c r="C753" s="6" t="s">
        <v>4033</v>
      </c>
      <c r="D753" s="6" t="s">
        <v>5529</v>
      </c>
      <c r="E753" s="6" t="s">
        <v>5468</v>
      </c>
      <c r="F753" s="6" t="s">
        <v>318</v>
      </c>
      <c r="G753" s="6" t="s">
        <v>5530</v>
      </c>
      <c r="H753" s="7" t="s">
        <v>31</v>
      </c>
      <c r="I753" s="7">
        <v>1.0</v>
      </c>
      <c r="J753" s="7">
        <v>1.0</v>
      </c>
      <c r="K753" s="7" t="s">
        <v>31</v>
      </c>
      <c r="L753" s="8" t="s">
        <v>5531</v>
      </c>
      <c r="M753" s="6" t="s">
        <v>5532</v>
      </c>
      <c r="N753" s="6" t="s">
        <v>243</v>
      </c>
      <c r="O753" s="8" t="s">
        <v>244</v>
      </c>
      <c r="P753" s="6" t="s">
        <v>5471</v>
      </c>
      <c r="Q753" s="6" t="s">
        <v>31</v>
      </c>
      <c r="R753" s="6" t="s">
        <v>247</v>
      </c>
      <c r="S753" s="8" t="s">
        <v>5472</v>
      </c>
      <c r="T753" s="6" t="s">
        <v>249</v>
      </c>
      <c r="U753" s="8" t="s">
        <v>31</v>
      </c>
      <c r="V753" s="6" t="s">
        <v>5533</v>
      </c>
      <c r="W753" s="6" t="s">
        <v>5468</v>
      </c>
      <c r="X753" s="9" t="str">
        <f>HYPERLINK("https://my.pitchbook.com?p=296437-51P","View People Online")</f>
        <v>View People Online</v>
      </c>
    </row>
    <row r="754">
      <c r="A754" s="2" t="s">
        <v>5534</v>
      </c>
      <c r="B754" s="2" t="s">
        <v>5535</v>
      </c>
      <c r="C754" s="2" t="s">
        <v>5536</v>
      </c>
      <c r="D754" s="2" t="s">
        <v>5537</v>
      </c>
      <c r="E754" s="2" t="s">
        <v>5468</v>
      </c>
      <c r="F754" s="2" t="s">
        <v>5538</v>
      </c>
      <c r="G754" s="2" t="s">
        <v>5539</v>
      </c>
      <c r="H754" s="3" t="s">
        <v>31</v>
      </c>
      <c r="I754" s="3">
        <v>1.0</v>
      </c>
      <c r="J754" s="3">
        <v>1.0</v>
      </c>
      <c r="K754" s="3" t="s">
        <v>31</v>
      </c>
      <c r="L754" s="4" t="s">
        <v>5470</v>
      </c>
      <c r="M754" s="2" t="s">
        <v>5540</v>
      </c>
      <c r="N754" s="2" t="s">
        <v>243</v>
      </c>
      <c r="O754" s="4" t="s">
        <v>244</v>
      </c>
      <c r="P754" s="2" t="s">
        <v>5471</v>
      </c>
      <c r="Q754" s="2" t="s">
        <v>31</v>
      </c>
      <c r="R754" s="2" t="s">
        <v>247</v>
      </c>
      <c r="S754" s="4" t="s">
        <v>5472</v>
      </c>
      <c r="T754" s="2" t="s">
        <v>249</v>
      </c>
      <c r="U754" s="4" t="s">
        <v>31</v>
      </c>
      <c r="V754" s="2" t="s">
        <v>5541</v>
      </c>
      <c r="W754" s="2" t="s">
        <v>5468</v>
      </c>
      <c r="X754" s="5" t="str">
        <f>HYPERLINK("https://my.pitchbook.com?p=296438-59P","View People Online")</f>
        <v>View People Online</v>
      </c>
    </row>
    <row r="755">
      <c r="A755" s="6" t="s">
        <v>5542</v>
      </c>
      <c r="B755" s="6" t="s">
        <v>5543</v>
      </c>
      <c r="C755" s="6" t="s">
        <v>907</v>
      </c>
      <c r="D755" s="6" t="s">
        <v>843</v>
      </c>
      <c r="E755" s="6" t="s">
        <v>5468</v>
      </c>
      <c r="F755" s="6" t="s">
        <v>2835</v>
      </c>
      <c r="G755" s="6" t="s">
        <v>5544</v>
      </c>
      <c r="H755" s="7" t="s">
        <v>31</v>
      </c>
      <c r="I755" s="7">
        <v>1.0</v>
      </c>
      <c r="J755" s="7">
        <v>1.0</v>
      </c>
      <c r="K755" s="7" t="s">
        <v>31</v>
      </c>
      <c r="L755" s="8" t="s">
        <v>5470</v>
      </c>
      <c r="M755" s="6" t="s">
        <v>5545</v>
      </c>
      <c r="N755" s="6" t="s">
        <v>243</v>
      </c>
      <c r="O755" s="8" t="s">
        <v>244</v>
      </c>
      <c r="P755" s="6" t="s">
        <v>5471</v>
      </c>
      <c r="Q755" s="6" t="s">
        <v>31</v>
      </c>
      <c r="R755" s="6" t="s">
        <v>247</v>
      </c>
      <c r="S755" s="8" t="s">
        <v>5472</v>
      </c>
      <c r="T755" s="6" t="s">
        <v>249</v>
      </c>
      <c r="U755" s="8" t="s">
        <v>31</v>
      </c>
      <c r="V755" s="6" t="s">
        <v>5546</v>
      </c>
      <c r="W755" s="6" t="s">
        <v>5468</v>
      </c>
      <c r="X755" s="9" t="str">
        <f>HYPERLINK("https://my.pitchbook.com?p=159410-71P","View People Online")</f>
        <v>View People Online</v>
      </c>
    </row>
    <row r="756">
      <c r="A756" s="2" t="s">
        <v>5547</v>
      </c>
      <c r="B756" s="2" t="s">
        <v>5548</v>
      </c>
      <c r="C756" s="2" t="s">
        <v>934</v>
      </c>
      <c r="D756" s="2" t="s">
        <v>5549</v>
      </c>
      <c r="E756" s="2" t="s">
        <v>5468</v>
      </c>
      <c r="F756" s="2" t="s">
        <v>825</v>
      </c>
      <c r="G756" s="2" t="s">
        <v>5550</v>
      </c>
      <c r="H756" s="3" t="s">
        <v>31</v>
      </c>
      <c r="I756" s="3">
        <v>1.0</v>
      </c>
      <c r="J756" s="3">
        <v>1.0</v>
      </c>
      <c r="K756" s="3" t="s">
        <v>31</v>
      </c>
      <c r="L756" s="4" t="s">
        <v>5551</v>
      </c>
      <c r="M756" s="2" t="s">
        <v>5552</v>
      </c>
      <c r="N756" s="2" t="s">
        <v>243</v>
      </c>
      <c r="O756" s="4" t="s">
        <v>244</v>
      </c>
      <c r="P756" s="2" t="s">
        <v>5471</v>
      </c>
      <c r="Q756" s="2" t="s">
        <v>31</v>
      </c>
      <c r="R756" s="2" t="s">
        <v>247</v>
      </c>
      <c r="S756" s="4" t="s">
        <v>5472</v>
      </c>
      <c r="T756" s="2" t="s">
        <v>249</v>
      </c>
      <c r="U756" s="4" t="s">
        <v>31</v>
      </c>
      <c r="V756" s="2" t="s">
        <v>950</v>
      </c>
      <c r="W756" s="2" t="s">
        <v>5468</v>
      </c>
      <c r="X756" s="5" t="str">
        <f>HYPERLINK("https://my.pitchbook.com?p=296424-46P","View People Online")</f>
        <v>View People Online</v>
      </c>
    </row>
    <row r="757">
      <c r="A757" s="6" t="s">
        <v>5553</v>
      </c>
      <c r="B757" s="6" t="s">
        <v>5554</v>
      </c>
      <c r="C757" s="6" t="s">
        <v>395</v>
      </c>
      <c r="D757" s="6" t="s">
        <v>5555</v>
      </c>
      <c r="E757" s="6" t="s">
        <v>5468</v>
      </c>
      <c r="F757" s="6" t="s">
        <v>2835</v>
      </c>
      <c r="G757" s="6" t="s">
        <v>5556</v>
      </c>
      <c r="H757" s="7" t="s">
        <v>31</v>
      </c>
      <c r="I757" s="7">
        <v>1.0</v>
      </c>
      <c r="J757" s="7">
        <v>1.0</v>
      </c>
      <c r="K757" s="7" t="s">
        <v>31</v>
      </c>
      <c r="L757" s="8" t="s">
        <v>5470</v>
      </c>
      <c r="M757" s="6" t="s">
        <v>5557</v>
      </c>
      <c r="N757" s="6" t="s">
        <v>243</v>
      </c>
      <c r="O757" s="8" t="s">
        <v>244</v>
      </c>
      <c r="P757" s="6" t="s">
        <v>5471</v>
      </c>
      <c r="Q757" s="6" t="s">
        <v>31</v>
      </c>
      <c r="R757" s="6" t="s">
        <v>247</v>
      </c>
      <c r="S757" s="8" t="s">
        <v>5472</v>
      </c>
      <c r="T757" s="6" t="s">
        <v>249</v>
      </c>
      <c r="U757" s="8" t="s">
        <v>31</v>
      </c>
      <c r="V757" s="6" t="s">
        <v>5558</v>
      </c>
      <c r="W757" s="6" t="s">
        <v>5468</v>
      </c>
      <c r="X757" s="9" t="str">
        <f>HYPERLINK("https://my.pitchbook.com?p=272493-19P","View People Online")</f>
        <v>View People Online</v>
      </c>
    </row>
    <row r="758">
      <c r="A758" s="10" t="s">
        <v>5559</v>
      </c>
      <c r="B758" s="10" t="s">
        <v>5560</v>
      </c>
      <c r="C758" s="10" t="s">
        <v>5561</v>
      </c>
      <c r="D758" s="10" t="s">
        <v>5562</v>
      </c>
      <c r="E758" s="10" t="s">
        <v>5468</v>
      </c>
      <c r="F758" s="10" t="s">
        <v>825</v>
      </c>
      <c r="G758" s="10" t="s">
        <v>5563</v>
      </c>
      <c r="H758" s="11" t="s">
        <v>31</v>
      </c>
      <c r="I758" s="11">
        <v>1.0</v>
      </c>
      <c r="J758" s="11">
        <v>1.0</v>
      </c>
      <c r="K758" s="11" t="s">
        <v>31</v>
      </c>
      <c r="L758" s="12" t="s">
        <v>5470</v>
      </c>
      <c r="M758" s="10" t="s">
        <v>31</v>
      </c>
      <c r="N758" s="10" t="s">
        <v>243</v>
      </c>
      <c r="O758" s="12" t="s">
        <v>244</v>
      </c>
      <c r="P758" s="10" t="s">
        <v>5471</v>
      </c>
      <c r="Q758" s="10" t="s">
        <v>31</v>
      </c>
      <c r="R758" s="10" t="s">
        <v>247</v>
      </c>
      <c r="S758" s="12" t="s">
        <v>5472</v>
      </c>
      <c r="T758" s="10" t="s">
        <v>249</v>
      </c>
      <c r="U758" s="12" t="s">
        <v>31</v>
      </c>
      <c r="V758" s="10" t="s">
        <v>5564</v>
      </c>
      <c r="W758" s="10" t="s">
        <v>5468</v>
      </c>
      <c r="X758" s="13" t="str">
        <f>HYPERLINK("https://my.pitchbook.com?p=132741-28P","View People Online")</f>
        <v>View People Online</v>
      </c>
    </row>
    <row r="759">
      <c r="A759" s="14" t="s">
        <v>5565</v>
      </c>
      <c r="B759" s="14" t="s">
        <v>5566</v>
      </c>
      <c r="C759" s="14" t="s">
        <v>562</v>
      </c>
      <c r="D759" s="14" t="s">
        <v>5567</v>
      </c>
      <c r="E759" s="14" t="s">
        <v>5468</v>
      </c>
      <c r="F759" s="14" t="s">
        <v>5568</v>
      </c>
      <c r="G759" s="14" t="s">
        <v>5569</v>
      </c>
      <c r="H759" s="15">
        <v>1.0</v>
      </c>
      <c r="I759" s="15">
        <v>2.0</v>
      </c>
      <c r="J759" s="15">
        <v>2.0</v>
      </c>
      <c r="K759" s="15" t="s">
        <v>31</v>
      </c>
      <c r="L759" s="16" t="s">
        <v>5470</v>
      </c>
      <c r="M759" s="14" t="s">
        <v>5570</v>
      </c>
      <c r="N759" s="14" t="s">
        <v>243</v>
      </c>
      <c r="O759" s="16" t="s">
        <v>244</v>
      </c>
      <c r="P759" s="14" t="s">
        <v>5471</v>
      </c>
      <c r="Q759" s="14" t="s">
        <v>31</v>
      </c>
      <c r="R759" s="14" t="s">
        <v>247</v>
      </c>
      <c r="S759" s="16" t="s">
        <v>5472</v>
      </c>
      <c r="T759" s="14" t="s">
        <v>249</v>
      </c>
      <c r="U759" s="16" t="s">
        <v>31</v>
      </c>
      <c r="V759" s="14" t="s">
        <v>5571</v>
      </c>
      <c r="W759" s="14" t="s">
        <v>5468</v>
      </c>
      <c r="X759" s="17" t="str">
        <f>HYPERLINK("https://my.pitchbook.com?p=393510-34P","View People Online")</f>
        <v>View People Online</v>
      </c>
    </row>
    <row r="760">
      <c r="A760" s="2" t="s">
        <v>5572</v>
      </c>
      <c r="B760" s="2" t="s">
        <v>5573</v>
      </c>
      <c r="C760" s="2" t="s">
        <v>5574</v>
      </c>
      <c r="D760" s="2" t="s">
        <v>5575</v>
      </c>
      <c r="E760" s="2" t="s">
        <v>5468</v>
      </c>
      <c r="F760" s="2" t="s">
        <v>825</v>
      </c>
      <c r="G760" s="2" t="s">
        <v>5576</v>
      </c>
      <c r="H760" s="3" t="s">
        <v>31</v>
      </c>
      <c r="I760" s="3">
        <v>1.0</v>
      </c>
      <c r="J760" s="3">
        <v>1.0</v>
      </c>
      <c r="K760" s="3" t="s">
        <v>31</v>
      </c>
      <c r="L760" s="4" t="s">
        <v>5577</v>
      </c>
      <c r="M760" s="2" t="s">
        <v>5578</v>
      </c>
      <c r="N760" s="2" t="s">
        <v>243</v>
      </c>
      <c r="O760" s="4" t="s">
        <v>244</v>
      </c>
      <c r="P760" s="2" t="s">
        <v>5471</v>
      </c>
      <c r="Q760" s="2" t="s">
        <v>31</v>
      </c>
      <c r="R760" s="2" t="s">
        <v>247</v>
      </c>
      <c r="S760" s="4" t="s">
        <v>5472</v>
      </c>
      <c r="T760" s="2" t="s">
        <v>249</v>
      </c>
      <c r="U760" s="4" t="s">
        <v>31</v>
      </c>
      <c r="V760" s="2" t="s">
        <v>5579</v>
      </c>
      <c r="W760" s="2" t="s">
        <v>5468</v>
      </c>
      <c r="X760" s="5" t="str">
        <f>HYPERLINK("https://my.pitchbook.com?p=401410-00P","View People Online")</f>
        <v>View People Online</v>
      </c>
    </row>
    <row r="761">
      <c r="A761" s="6" t="s">
        <v>5580</v>
      </c>
      <c r="B761" s="6" t="s">
        <v>5581</v>
      </c>
      <c r="C761" s="6" t="s">
        <v>3811</v>
      </c>
      <c r="D761" s="6" t="s">
        <v>5582</v>
      </c>
      <c r="E761" s="6" t="s">
        <v>5583</v>
      </c>
      <c r="F761" s="6" t="s">
        <v>674</v>
      </c>
      <c r="G761" s="6" t="s">
        <v>5584</v>
      </c>
      <c r="H761" s="7">
        <v>1.0</v>
      </c>
      <c r="I761" s="7">
        <v>41.0</v>
      </c>
      <c r="J761" s="7">
        <v>1.0</v>
      </c>
      <c r="K761" s="7">
        <v>33.0</v>
      </c>
      <c r="L761" s="8" t="s">
        <v>5585</v>
      </c>
      <c r="M761" s="6" t="s">
        <v>5586</v>
      </c>
      <c r="N761" s="6" t="s">
        <v>155</v>
      </c>
      <c r="O761" s="8" t="s">
        <v>156</v>
      </c>
      <c r="P761" s="6" t="s">
        <v>5587</v>
      </c>
      <c r="Q761" s="6" t="s">
        <v>31</v>
      </c>
      <c r="R761" s="6" t="s">
        <v>64</v>
      </c>
      <c r="S761" s="8" t="s">
        <v>5588</v>
      </c>
      <c r="T761" s="6" t="s">
        <v>66</v>
      </c>
      <c r="U761" s="8" t="s">
        <v>31</v>
      </c>
      <c r="V761" s="6" t="s">
        <v>1172</v>
      </c>
      <c r="W761" s="6" t="s">
        <v>5583</v>
      </c>
      <c r="X761" s="9" t="str">
        <f>HYPERLINK("https://my.pitchbook.com?p=122116-24P","View People Online")</f>
        <v>View People Online</v>
      </c>
    </row>
    <row r="762">
      <c r="A762" s="10" t="s">
        <v>5589</v>
      </c>
      <c r="B762" s="10" t="s">
        <v>5590</v>
      </c>
      <c r="C762" s="10" t="s">
        <v>5591</v>
      </c>
      <c r="D762" s="10" t="s">
        <v>5592</v>
      </c>
      <c r="E762" s="10" t="s">
        <v>5593</v>
      </c>
      <c r="F762" s="10" t="s">
        <v>57</v>
      </c>
      <c r="G762" s="10" t="s">
        <v>5594</v>
      </c>
      <c r="H762" s="11" t="s">
        <v>31</v>
      </c>
      <c r="I762" s="11">
        <v>2.0</v>
      </c>
      <c r="J762" s="11">
        <v>1.0</v>
      </c>
      <c r="K762" s="11" t="s">
        <v>31</v>
      </c>
      <c r="L762" s="12" t="s">
        <v>5595</v>
      </c>
      <c r="M762" s="10" t="s">
        <v>5596</v>
      </c>
      <c r="N762" s="10" t="s">
        <v>155</v>
      </c>
      <c r="O762" s="12" t="s">
        <v>156</v>
      </c>
      <c r="P762" s="10" t="s">
        <v>5597</v>
      </c>
      <c r="Q762" s="10" t="s">
        <v>5598</v>
      </c>
      <c r="R762" s="10" t="s">
        <v>64</v>
      </c>
      <c r="S762" s="12" t="s">
        <v>5599</v>
      </c>
      <c r="T762" s="10" t="s">
        <v>66</v>
      </c>
      <c r="U762" s="12" t="s">
        <v>31</v>
      </c>
      <c r="V762" s="10" t="s">
        <v>57</v>
      </c>
      <c r="W762" s="10" t="s">
        <v>5593</v>
      </c>
      <c r="X762" s="13" t="str">
        <f>HYPERLINK("https://my.pitchbook.com?p=351339-58P","View People Online")</f>
        <v>View People Online</v>
      </c>
    </row>
    <row r="763">
      <c r="A763" s="14" t="s">
        <v>5600</v>
      </c>
      <c r="B763" s="14" t="s">
        <v>5601</v>
      </c>
      <c r="C763" s="14" t="s">
        <v>5602</v>
      </c>
      <c r="D763" s="14" t="s">
        <v>5603</v>
      </c>
      <c r="E763" s="14" t="s">
        <v>5593</v>
      </c>
      <c r="F763" s="14" t="s">
        <v>2731</v>
      </c>
      <c r="G763" s="14" t="s">
        <v>5604</v>
      </c>
      <c r="H763" s="15" t="s">
        <v>31</v>
      </c>
      <c r="I763" s="15">
        <v>1.0</v>
      </c>
      <c r="J763" s="15" t="s">
        <v>31</v>
      </c>
      <c r="K763" s="15" t="s">
        <v>31</v>
      </c>
      <c r="L763" s="16" t="s">
        <v>5595</v>
      </c>
      <c r="M763" s="14" t="s">
        <v>31</v>
      </c>
      <c r="N763" s="14" t="s">
        <v>155</v>
      </c>
      <c r="O763" s="16" t="s">
        <v>156</v>
      </c>
      <c r="P763" s="14" t="s">
        <v>5597</v>
      </c>
      <c r="Q763" s="14" t="s">
        <v>5598</v>
      </c>
      <c r="R763" s="14" t="s">
        <v>64</v>
      </c>
      <c r="S763" s="16" t="s">
        <v>5599</v>
      </c>
      <c r="T763" s="14" t="s">
        <v>66</v>
      </c>
      <c r="U763" s="16" t="s">
        <v>31</v>
      </c>
      <c r="V763" s="14" t="s">
        <v>2731</v>
      </c>
      <c r="W763" s="14" t="s">
        <v>5593</v>
      </c>
      <c r="X763" s="17" t="str">
        <f>HYPERLINK("https://my.pitchbook.com?p=44704-63P","View People Online")</f>
        <v>View People Online</v>
      </c>
    </row>
    <row r="764">
      <c r="A764" s="10" t="s">
        <v>5605</v>
      </c>
      <c r="B764" s="10" t="s">
        <v>5606</v>
      </c>
      <c r="C764" s="10" t="s">
        <v>5607</v>
      </c>
      <c r="D764" s="10" t="s">
        <v>5608</v>
      </c>
      <c r="E764" s="10" t="s">
        <v>5593</v>
      </c>
      <c r="F764" s="10" t="s">
        <v>114</v>
      </c>
      <c r="G764" s="10" t="s">
        <v>5609</v>
      </c>
      <c r="H764" s="11" t="s">
        <v>31</v>
      </c>
      <c r="I764" s="11">
        <v>1.0</v>
      </c>
      <c r="J764" s="11">
        <v>1.0</v>
      </c>
      <c r="K764" s="11" t="s">
        <v>31</v>
      </c>
      <c r="L764" s="12" t="s">
        <v>5595</v>
      </c>
      <c r="M764" s="10" t="s">
        <v>31</v>
      </c>
      <c r="N764" s="10" t="s">
        <v>155</v>
      </c>
      <c r="O764" s="12" t="s">
        <v>156</v>
      </c>
      <c r="P764" s="10" t="s">
        <v>5597</v>
      </c>
      <c r="Q764" s="10" t="s">
        <v>5598</v>
      </c>
      <c r="R764" s="10" t="s">
        <v>64</v>
      </c>
      <c r="S764" s="12" t="s">
        <v>5599</v>
      </c>
      <c r="T764" s="10" t="s">
        <v>66</v>
      </c>
      <c r="U764" s="12" t="s">
        <v>31</v>
      </c>
      <c r="V764" s="10" t="s">
        <v>114</v>
      </c>
      <c r="W764" s="10" t="s">
        <v>5593</v>
      </c>
      <c r="X764" s="13" t="str">
        <f>HYPERLINK("https://my.pitchbook.com?p=205661-71P","View People Online")</f>
        <v>View People Online</v>
      </c>
    </row>
    <row r="765">
      <c r="A765" s="6" t="s">
        <v>5610</v>
      </c>
      <c r="B765" s="6" t="s">
        <v>5611</v>
      </c>
      <c r="C765" s="6" t="s">
        <v>69</v>
      </c>
      <c r="D765" s="6" t="s">
        <v>5612</v>
      </c>
      <c r="E765" s="6" t="s">
        <v>5593</v>
      </c>
      <c r="F765" s="6" t="s">
        <v>114</v>
      </c>
      <c r="G765" s="6" t="s">
        <v>5613</v>
      </c>
      <c r="H765" s="7" t="s">
        <v>31</v>
      </c>
      <c r="I765" s="7">
        <v>3.0</v>
      </c>
      <c r="J765" s="7">
        <v>2.0</v>
      </c>
      <c r="K765" s="7" t="s">
        <v>31</v>
      </c>
      <c r="L765" s="8" t="s">
        <v>5595</v>
      </c>
      <c r="M765" s="6" t="s">
        <v>5614</v>
      </c>
      <c r="N765" s="6" t="s">
        <v>155</v>
      </c>
      <c r="O765" s="8" t="s">
        <v>156</v>
      </c>
      <c r="P765" s="6" t="s">
        <v>5597</v>
      </c>
      <c r="Q765" s="6" t="s">
        <v>5598</v>
      </c>
      <c r="R765" s="6" t="s">
        <v>64</v>
      </c>
      <c r="S765" s="8" t="s">
        <v>5599</v>
      </c>
      <c r="T765" s="6" t="s">
        <v>66</v>
      </c>
      <c r="U765" s="8" t="s">
        <v>31</v>
      </c>
      <c r="V765" s="6" t="s">
        <v>114</v>
      </c>
      <c r="W765" s="6" t="s">
        <v>5593</v>
      </c>
      <c r="X765" s="9" t="str">
        <f>HYPERLINK("https://my.pitchbook.com?p=299073-34P","View People Online")</f>
        <v>View People Online</v>
      </c>
    </row>
    <row r="766">
      <c r="A766" s="2" t="s">
        <v>5615</v>
      </c>
      <c r="B766" s="2" t="s">
        <v>5616</v>
      </c>
      <c r="C766" s="2" t="s">
        <v>343</v>
      </c>
      <c r="D766" s="2" t="s">
        <v>5617</v>
      </c>
      <c r="E766" s="2" t="s">
        <v>5593</v>
      </c>
      <c r="F766" s="2" t="s">
        <v>81</v>
      </c>
      <c r="G766" s="2" t="s">
        <v>5618</v>
      </c>
      <c r="H766" s="3" t="s">
        <v>31</v>
      </c>
      <c r="I766" s="3">
        <v>1.0</v>
      </c>
      <c r="J766" s="3" t="s">
        <v>31</v>
      </c>
      <c r="K766" s="3" t="s">
        <v>31</v>
      </c>
      <c r="L766" s="4" t="s">
        <v>5595</v>
      </c>
      <c r="M766" s="2" t="s">
        <v>31</v>
      </c>
      <c r="N766" s="2" t="s">
        <v>155</v>
      </c>
      <c r="O766" s="4" t="s">
        <v>156</v>
      </c>
      <c r="P766" s="2" t="s">
        <v>5597</v>
      </c>
      <c r="Q766" s="2" t="s">
        <v>5598</v>
      </c>
      <c r="R766" s="2" t="s">
        <v>64</v>
      </c>
      <c r="S766" s="4" t="s">
        <v>5599</v>
      </c>
      <c r="T766" s="2" t="s">
        <v>66</v>
      </c>
      <c r="U766" s="4" t="s">
        <v>31</v>
      </c>
      <c r="V766" s="2" t="s">
        <v>5619</v>
      </c>
      <c r="W766" s="2" t="s">
        <v>5593</v>
      </c>
      <c r="X766" s="5" t="str">
        <f>HYPERLINK("https://my.pitchbook.com?p=59003-38P","View People Online")</f>
        <v>View People Online</v>
      </c>
    </row>
    <row r="767">
      <c r="A767" s="6" t="s">
        <v>5620</v>
      </c>
      <c r="B767" s="6" t="s">
        <v>5621</v>
      </c>
      <c r="C767" s="6" t="s">
        <v>823</v>
      </c>
      <c r="D767" s="6" t="s">
        <v>5622</v>
      </c>
      <c r="E767" s="6" t="s">
        <v>5593</v>
      </c>
      <c r="F767" s="6" t="s">
        <v>674</v>
      </c>
      <c r="G767" s="6" t="s">
        <v>5623</v>
      </c>
      <c r="H767" s="7">
        <v>4.0</v>
      </c>
      <c r="I767" s="7">
        <v>23.0</v>
      </c>
      <c r="J767" s="7">
        <v>4.0</v>
      </c>
      <c r="K767" s="7">
        <v>12.0</v>
      </c>
      <c r="L767" s="8" t="s">
        <v>31</v>
      </c>
      <c r="M767" s="6" t="s">
        <v>5624</v>
      </c>
      <c r="N767" s="6" t="s">
        <v>775</v>
      </c>
      <c r="O767" s="8" t="s">
        <v>776</v>
      </c>
      <c r="P767" s="6" t="s">
        <v>5625</v>
      </c>
      <c r="Q767" s="6" t="s">
        <v>5626</v>
      </c>
      <c r="R767" s="6" t="s">
        <v>64</v>
      </c>
      <c r="S767" s="8" t="s">
        <v>779</v>
      </c>
      <c r="T767" s="6" t="s">
        <v>66</v>
      </c>
      <c r="U767" s="8" t="s">
        <v>31</v>
      </c>
      <c r="V767" s="6" t="s">
        <v>157</v>
      </c>
      <c r="W767" s="6" t="s">
        <v>5627</v>
      </c>
      <c r="X767" s="9" t="str">
        <f>HYPERLINK("https://my.pitchbook.com?p=13049-20P","View People Online")</f>
        <v>View People Online</v>
      </c>
    </row>
    <row r="768">
      <c r="A768" s="2" t="s">
        <v>5628</v>
      </c>
      <c r="B768" s="2" t="s">
        <v>5629</v>
      </c>
      <c r="C768" s="2" t="s">
        <v>3658</v>
      </c>
      <c r="D768" s="2" t="s">
        <v>5630</v>
      </c>
      <c r="E768" s="2" t="s">
        <v>5593</v>
      </c>
      <c r="F768" s="2" t="s">
        <v>2731</v>
      </c>
      <c r="G768" s="2" t="s">
        <v>5631</v>
      </c>
      <c r="H768" s="3">
        <v>1.0</v>
      </c>
      <c r="I768" s="3">
        <v>14.0</v>
      </c>
      <c r="J768" s="3">
        <v>3.0</v>
      </c>
      <c r="K768" s="3">
        <v>3.0</v>
      </c>
      <c r="L768" s="4" t="s">
        <v>5632</v>
      </c>
      <c r="M768" s="2" t="s">
        <v>5633</v>
      </c>
      <c r="N768" s="2" t="s">
        <v>775</v>
      </c>
      <c r="O768" s="4" t="s">
        <v>776</v>
      </c>
      <c r="P768" s="2" t="s">
        <v>5634</v>
      </c>
      <c r="Q768" s="2" t="s">
        <v>2566</v>
      </c>
      <c r="R768" s="2" t="s">
        <v>64</v>
      </c>
      <c r="S768" s="4" t="s">
        <v>5635</v>
      </c>
      <c r="T768" s="2" t="s">
        <v>66</v>
      </c>
      <c r="U768" s="4" t="s">
        <v>31</v>
      </c>
      <c r="V768" s="2" t="s">
        <v>674</v>
      </c>
      <c r="W768" s="2" t="s">
        <v>5636</v>
      </c>
      <c r="X768" s="5" t="str">
        <f>HYPERLINK("https://my.pitchbook.com?p=280631-44P","View People Online")</f>
        <v>View People Online</v>
      </c>
    </row>
    <row r="769">
      <c r="A769" s="6" t="s">
        <v>5637</v>
      </c>
      <c r="B769" s="6" t="s">
        <v>5638</v>
      </c>
      <c r="C769" s="6" t="s">
        <v>160</v>
      </c>
      <c r="D769" s="6" t="s">
        <v>5639</v>
      </c>
      <c r="E769" s="6" t="s">
        <v>5593</v>
      </c>
      <c r="F769" s="6" t="s">
        <v>674</v>
      </c>
      <c r="G769" s="6" t="s">
        <v>5640</v>
      </c>
      <c r="H769" s="7" t="s">
        <v>31</v>
      </c>
      <c r="I769" s="7">
        <v>4.0</v>
      </c>
      <c r="J769" s="7">
        <v>1.0</v>
      </c>
      <c r="K769" s="7">
        <v>1.0</v>
      </c>
      <c r="L769" s="8" t="s">
        <v>5595</v>
      </c>
      <c r="M769" s="6" t="s">
        <v>5641</v>
      </c>
      <c r="N769" s="6" t="s">
        <v>155</v>
      </c>
      <c r="O769" s="8" t="s">
        <v>156</v>
      </c>
      <c r="P769" s="6" t="s">
        <v>5597</v>
      </c>
      <c r="Q769" s="6" t="s">
        <v>5598</v>
      </c>
      <c r="R769" s="6" t="s">
        <v>64</v>
      </c>
      <c r="S769" s="8" t="s">
        <v>5599</v>
      </c>
      <c r="T769" s="6" t="s">
        <v>66</v>
      </c>
      <c r="U769" s="8" t="s">
        <v>31</v>
      </c>
      <c r="V769" s="6" t="s">
        <v>1172</v>
      </c>
      <c r="W769" s="6" t="s">
        <v>5593</v>
      </c>
      <c r="X769" s="9" t="str">
        <f>HYPERLINK("https://my.pitchbook.com?p=286624-18P","View People Online")</f>
        <v>View People Online</v>
      </c>
    </row>
    <row r="770">
      <c r="A770" s="10" t="s">
        <v>5642</v>
      </c>
      <c r="B770" s="10" t="s">
        <v>5643</v>
      </c>
      <c r="C770" s="10" t="s">
        <v>5644</v>
      </c>
      <c r="D770" s="10" t="s">
        <v>5645</v>
      </c>
      <c r="E770" s="10" t="s">
        <v>5646</v>
      </c>
      <c r="F770" s="10" t="s">
        <v>152</v>
      </c>
      <c r="G770" s="10" t="s">
        <v>5647</v>
      </c>
      <c r="H770" s="11" t="s">
        <v>31</v>
      </c>
      <c r="I770" s="11">
        <v>1.0</v>
      </c>
      <c r="J770" s="11">
        <v>1.0</v>
      </c>
      <c r="K770" s="11" t="s">
        <v>31</v>
      </c>
      <c r="L770" s="12" t="s">
        <v>5648</v>
      </c>
      <c r="M770" s="10" t="s">
        <v>5649</v>
      </c>
      <c r="N770" s="10" t="s">
        <v>5650</v>
      </c>
      <c r="O770" s="12" t="s">
        <v>5651</v>
      </c>
      <c r="P770" s="10" t="s">
        <v>5652</v>
      </c>
      <c r="Q770" s="10" t="s">
        <v>31</v>
      </c>
      <c r="R770" s="10" t="s">
        <v>64</v>
      </c>
      <c r="S770" s="12" t="s">
        <v>5653</v>
      </c>
      <c r="T770" s="10" t="s">
        <v>66</v>
      </c>
      <c r="U770" s="12" t="s">
        <v>31</v>
      </c>
      <c r="V770" s="10" t="s">
        <v>5654</v>
      </c>
      <c r="W770" s="10" t="s">
        <v>5646</v>
      </c>
      <c r="X770" s="13" t="str">
        <f>HYPERLINK("https://my.pitchbook.com?p=371426-41P","View People Online")</f>
        <v>View People Online</v>
      </c>
    </row>
    <row r="771">
      <c r="A771" s="14" t="s">
        <v>5655</v>
      </c>
      <c r="B771" s="14" t="s">
        <v>5656</v>
      </c>
      <c r="C771" s="14" t="s">
        <v>568</v>
      </c>
      <c r="D771" s="14" t="s">
        <v>5657</v>
      </c>
      <c r="E771" s="14" t="s">
        <v>5646</v>
      </c>
      <c r="F771" s="14" t="s">
        <v>1801</v>
      </c>
      <c r="G771" s="14" t="s">
        <v>5658</v>
      </c>
      <c r="H771" s="15" t="s">
        <v>31</v>
      </c>
      <c r="I771" s="15">
        <v>3.0</v>
      </c>
      <c r="J771" s="15">
        <v>1.0</v>
      </c>
      <c r="K771" s="15">
        <v>1.0</v>
      </c>
      <c r="L771" s="16" t="s">
        <v>5659</v>
      </c>
      <c r="M771" s="14" t="s">
        <v>5660</v>
      </c>
      <c r="N771" s="14" t="s">
        <v>5650</v>
      </c>
      <c r="O771" s="16" t="s">
        <v>5651</v>
      </c>
      <c r="P771" s="14" t="s">
        <v>5652</v>
      </c>
      <c r="Q771" s="14" t="s">
        <v>31</v>
      </c>
      <c r="R771" s="14" t="s">
        <v>64</v>
      </c>
      <c r="S771" s="16" t="s">
        <v>5653</v>
      </c>
      <c r="T771" s="14" t="s">
        <v>66</v>
      </c>
      <c r="U771" s="16" t="s">
        <v>31</v>
      </c>
      <c r="V771" s="14" t="s">
        <v>5661</v>
      </c>
      <c r="W771" s="14" t="s">
        <v>5646</v>
      </c>
      <c r="X771" s="17" t="str">
        <f>HYPERLINK("https://my.pitchbook.com?p=63342-01P","View People Online")</f>
        <v>View People Online</v>
      </c>
    </row>
    <row r="772">
      <c r="A772" s="2" t="s">
        <v>5662</v>
      </c>
      <c r="B772" s="2" t="s">
        <v>5663</v>
      </c>
      <c r="C772" s="2" t="s">
        <v>5664</v>
      </c>
      <c r="D772" s="2" t="s">
        <v>5665</v>
      </c>
      <c r="E772" s="2" t="s">
        <v>5646</v>
      </c>
      <c r="F772" s="2" t="s">
        <v>3600</v>
      </c>
      <c r="G772" s="2" t="s">
        <v>5666</v>
      </c>
      <c r="H772" s="3" t="s">
        <v>31</v>
      </c>
      <c r="I772" s="3">
        <v>1.0</v>
      </c>
      <c r="J772" s="3">
        <v>1.0</v>
      </c>
      <c r="K772" s="3" t="s">
        <v>31</v>
      </c>
      <c r="L772" s="4" t="s">
        <v>5659</v>
      </c>
      <c r="M772" s="2" t="s">
        <v>5667</v>
      </c>
      <c r="N772" s="2" t="s">
        <v>5650</v>
      </c>
      <c r="O772" s="4" t="s">
        <v>5651</v>
      </c>
      <c r="P772" s="2" t="s">
        <v>5652</v>
      </c>
      <c r="Q772" s="2" t="s">
        <v>31</v>
      </c>
      <c r="R772" s="2" t="s">
        <v>64</v>
      </c>
      <c r="S772" s="4" t="s">
        <v>5653</v>
      </c>
      <c r="T772" s="2" t="s">
        <v>66</v>
      </c>
      <c r="U772" s="4" t="s">
        <v>31</v>
      </c>
      <c r="V772" s="2" t="s">
        <v>5668</v>
      </c>
      <c r="W772" s="2" t="s">
        <v>5646</v>
      </c>
      <c r="X772" s="5" t="str">
        <f>HYPERLINK("https://my.pitchbook.com?p=248340-25P","View People Online")</f>
        <v>View People Online</v>
      </c>
    </row>
    <row r="773">
      <c r="A773" s="6" t="s">
        <v>5669</v>
      </c>
      <c r="B773" s="6" t="s">
        <v>5670</v>
      </c>
      <c r="C773" s="6" t="s">
        <v>5671</v>
      </c>
      <c r="D773" s="6" t="s">
        <v>5672</v>
      </c>
      <c r="E773" s="6" t="s">
        <v>5646</v>
      </c>
      <c r="F773" s="6" t="s">
        <v>270</v>
      </c>
      <c r="G773" s="6" t="s">
        <v>5673</v>
      </c>
      <c r="H773" s="7" t="s">
        <v>31</v>
      </c>
      <c r="I773" s="7">
        <v>1.0</v>
      </c>
      <c r="J773" s="7">
        <v>1.0</v>
      </c>
      <c r="K773" s="7" t="s">
        <v>31</v>
      </c>
      <c r="L773" s="8" t="s">
        <v>5659</v>
      </c>
      <c r="M773" s="6" t="s">
        <v>5674</v>
      </c>
      <c r="N773" s="6" t="s">
        <v>5650</v>
      </c>
      <c r="O773" s="8" t="s">
        <v>5651</v>
      </c>
      <c r="P773" s="6" t="s">
        <v>5652</v>
      </c>
      <c r="Q773" s="6" t="s">
        <v>31</v>
      </c>
      <c r="R773" s="6" t="s">
        <v>64</v>
      </c>
      <c r="S773" s="8" t="s">
        <v>5653</v>
      </c>
      <c r="T773" s="6" t="s">
        <v>66</v>
      </c>
      <c r="U773" s="8" t="s">
        <v>31</v>
      </c>
      <c r="V773" s="6" t="s">
        <v>5675</v>
      </c>
      <c r="W773" s="6" t="s">
        <v>5646</v>
      </c>
      <c r="X773" s="9" t="str">
        <f>HYPERLINK("https://my.pitchbook.com?p=77646-88P","View People Online")</f>
        <v>View People Online</v>
      </c>
    </row>
    <row r="774">
      <c r="A774" s="10" t="s">
        <v>5676</v>
      </c>
      <c r="B774" s="10" t="s">
        <v>5677</v>
      </c>
      <c r="C774" s="10" t="s">
        <v>4784</v>
      </c>
      <c r="D774" s="10" t="s">
        <v>5678</v>
      </c>
      <c r="E774" s="10" t="s">
        <v>5646</v>
      </c>
      <c r="F774" s="10" t="s">
        <v>1801</v>
      </c>
      <c r="G774" s="10" t="s">
        <v>5679</v>
      </c>
      <c r="H774" s="11" t="s">
        <v>31</v>
      </c>
      <c r="I774" s="11">
        <v>1.0</v>
      </c>
      <c r="J774" s="11">
        <v>1.0</v>
      </c>
      <c r="K774" s="11" t="s">
        <v>31</v>
      </c>
      <c r="L774" s="12" t="s">
        <v>5659</v>
      </c>
      <c r="M774" s="10" t="s">
        <v>5680</v>
      </c>
      <c r="N774" s="10" t="s">
        <v>5650</v>
      </c>
      <c r="O774" s="12" t="s">
        <v>5651</v>
      </c>
      <c r="P774" s="10" t="s">
        <v>5652</v>
      </c>
      <c r="Q774" s="10" t="s">
        <v>31</v>
      </c>
      <c r="R774" s="10" t="s">
        <v>64</v>
      </c>
      <c r="S774" s="12" t="s">
        <v>5653</v>
      </c>
      <c r="T774" s="10" t="s">
        <v>66</v>
      </c>
      <c r="U774" s="12" t="s">
        <v>31</v>
      </c>
      <c r="V774" s="10" t="s">
        <v>5681</v>
      </c>
      <c r="W774" s="10" t="s">
        <v>5646</v>
      </c>
      <c r="X774" s="13" t="str">
        <f>HYPERLINK("https://my.pitchbook.com?p=339944-32P","View People Online")</f>
        <v>View People Online</v>
      </c>
    </row>
    <row r="775">
      <c r="A775" s="14" t="s">
        <v>5682</v>
      </c>
      <c r="B775" s="14" t="s">
        <v>5683</v>
      </c>
      <c r="C775" s="14" t="s">
        <v>5684</v>
      </c>
      <c r="D775" s="14" t="s">
        <v>5685</v>
      </c>
      <c r="E775" s="14" t="s">
        <v>5646</v>
      </c>
      <c r="F775" s="14" t="s">
        <v>371</v>
      </c>
      <c r="G775" s="14" t="s">
        <v>5686</v>
      </c>
      <c r="H775" s="15" t="s">
        <v>31</v>
      </c>
      <c r="I775" s="15">
        <v>1.0</v>
      </c>
      <c r="J775" s="15">
        <v>1.0</v>
      </c>
      <c r="K775" s="15" t="s">
        <v>31</v>
      </c>
      <c r="L775" s="16" t="s">
        <v>31</v>
      </c>
      <c r="M775" s="14" t="s">
        <v>5687</v>
      </c>
      <c r="N775" s="14" t="s">
        <v>75</v>
      </c>
      <c r="O775" s="16" t="s">
        <v>76</v>
      </c>
      <c r="P775" s="14" t="s">
        <v>5688</v>
      </c>
      <c r="Q775" s="14" t="s">
        <v>31</v>
      </c>
      <c r="R775" s="14" t="s">
        <v>75</v>
      </c>
      <c r="S775" s="16" t="s">
        <v>5689</v>
      </c>
      <c r="T775" s="14" t="s">
        <v>66</v>
      </c>
      <c r="U775" s="16" t="s">
        <v>31</v>
      </c>
      <c r="V775" s="14" t="s">
        <v>4890</v>
      </c>
      <c r="W775" s="14" t="s">
        <v>5646</v>
      </c>
      <c r="X775" s="17" t="str">
        <f>HYPERLINK("https://my.pitchbook.com?p=148099-15P","View People Online")</f>
        <v>View People Online</v>
      </c>
    </row>
    <row r="776">
      <c r="A776" s="10" t="s">
        <v>5690</v>
      </c>
      <c r="B776" s="10" t="s">
        <v>5691</v>
      </c>
      <c r="C776" s="10" t="s">
        <v>237</v>
      </c>
      <c r="D776" s="10" t="s">
        <v>5692</v>
      </c>
      <c r="E776" s="10" t="s">
        <v>5646</v>
      </c>
      <c r="F776" s="10" t="s">
        <v>548</v>
      </c>
      <c r="G776" s="10" t="s">
        <v>5693</v>
      </c>
      <c r="H776" s="11" t="s">
        <v>31</v>
      </c>
      <c r="I776" s="11">
        <v>1.0</v>
      </c>
      <c r="J776" s="11">
        <v>1.0</v>
      </c>
      <c r="K776" s="11" t="s">
        <v>31</v>
      </c>
      <c r="L776" s="12" t="s">
        <v>5659</v>
      </c>
      <c r="M776" s="10" t="s">
        <v>5694</v>
      </c>
      <c r="N776" s="10" t="s">
        <v>5650</v>
      </c>
      <c r="O776" s="12" t="s">
        <v>5651</v>
      </c>
      <c r="P776" s="10" t="s">
        <v>5652</v>
      </c>
      <c r="Q776" s="10" t="s">
        <v>31</v>
      </c>
      <c r="R776" s="10" t="s">
        <v>64</v>
      </c>
      <c r="S776" s="12" t="s">
        <v>5653</v>
      </c>
      <c r="T776" s="10" t="s">
        <v>66</v>
      </c>
      <c r="U776" s="12" t="s">
        <v>31</v>
      </c>
      <c r="V776" s="10" t="s">
        <v>5695</v>
      </c>
      <c r="W776" s="10" t="s">
        <v>5646</v>
      </c>
      <c r="X776" s="13" t="str">
        <f>HYPERLINK("https://my.pitchbook.com?p=167207-32P","View People Online")</f>
        <v>View People Online</v>
      </c>
    </row>
    <row r="777">
      <c r="A777" s="6" t="s">
        <v>5696</v>
      </c>
      <c r="B777" s="6" t="s">
        <v>5697</v>
      </c>
      <c r="C777" s="6" t="s">
        <v>5698</v>
      </c>
      <c r="D777" s="6" t="s">
        <v>5699</v>
      </c>
      <c r="E777" s="6" t="s">
        <v>5646</v>
      </c>
      <c r="F777" s="6" t="s">
        <v>5700</v>
      </c>
      <c r="G777" s="6" t="s">
        <v>5701</v>
      </c>
      <c r="H777" s="7" t="s">
        <v>31</v>
      </c>
      <c r="I777" s="7">
        <v>2.0</v>
      </c>
      <c r="J777" s="7">
        <v>1.0</v>
      </c>
      <c r="K777" s="7" t="s">
        <v>31</v>
      </c>
      <c r="L777" s="8" t="s">
        <v>5702</v>
      </c>
      <c r="M777" s="6" t="s">
        <v>5703</v>
      </c>
      <c r="N777" s="6" t="s">
        <v>5650</v>
      </c>
      <c r="O777" s="8" t="s">
        <v>5651</v>
      </c>
      <c r="P777" s="6" t="s">
        <v>5652</v>
      </c>
      <c r="Q777" s="6" t="s">
        <v>31</v>
      </c>
      <c r="R777" s="6" t="s">
        <v>64</v>
      </c>
      <c r="S777" s="8" t="s">
        <v>5653</v>
      </c>
      <c r="T777" s="6" t="s">
        <v>66</v>
      </c>
      <c r="U777" s="8" t="s">
        <v>31</v>
      </c>
      <c r="V777" s="6" t="s">
        <v>5704</v>
      </c>
      <c r="W777" s="6" t="s">
        <v>5646</v>
      </c>
      <c r="X777" s="9" t="str">
        <f>HYPERLINK("https://my.pitchbook.com?p=17433-28P","View People Online")</f>
        <v>View People Online</v>
      </c>
    </row>
    <row r="778">
      <c r="A778" s="10" t="s">
        <v>5705</v>
      </c>
      <c r="B778" s="10" t="s">
        <v>5706</v>
      </c>
      <c r="C778" s="10" t="s">
        <v>5707</v>
      </c>
      <c r="D778" s="10" t="s">
        <v>5302</v>
      </c>
      <c r="E778" s="10" t="s">
        <v>5646</v>
      </c>
      <c r="F778" s="10" t="s">
        <v>5708</v>
      </c>
      <c r="G778" s="10" t="s">
        <v>5709</v>
      </c>
      <c r="H778" s="11" t="s">
        <v>31</v>
      </c>
      <c r="I778" s="11">
        <v>1.0</v>
      </c>
      <c r="J778" s="11">
        <v>1.0</v>
      </c>
      <c r="K778" s="11" t="s">
        <v>31</v>
      </c>
      <c r="L778" s="12" t="s">
        <v>5659</v>
      </c>
      <c r="M778" s="10" t="s">
        <v>5710</v>
      </c>
      <c r="N778" s="10" t="s">
        <v>5650</v>
      </c>
      <c r="O778" s="12" t="s">
        <v>5651</v>
      </c>
      <c r="P778" s="10" t="s">
        <v>5652</v>
      </c>
      <c r="Q778" s="10" t="s">
        <v>31</v>
      </c>
      <c r="R778" s="10" t="s">
        <v>64</v>
      </c>
      <c r="S778" s="12" t="s">
        <v>5653</v>
      </c>
      <c r="T778" s="10" t="s">
        <v>66</v>
      </c>
      <c r="U778" s="12" t="s">
        <v>31</v>
      </c>
      <c r="V778" s="10" t="s">
        <v>5711</v>
      </c>
      <c r="W778" s="10" t="s">
        <v>5646</v>
      </c>
      <c r="X778" s="13" t="str">
        <f>HYPERLINK("https://my.pitchbook.com?p=33772-06P","View People Online")</f>
        <v>View People Online</v>
      </c>
    </row>
    <row r="779">
      <c r="A779" s="6" t="s">
        <v>5712</v>
      </c>
      <c r="B779" s="6" t="s">
        <v>5713</v>
      </c>
      <c r="C779" s="6" t="s">
        <v>5714</v>
      </c>
      <c r="D779" s="6" t="s">
        <v>5715</v>
      </c>
      <c r="E779" s="6" t="s">
        <v>5646</v>
      </c>
      <c r="F779" s="6" t="s">
        <v>270</v>
      </c>
      <c r="G779" s="6" t="s">
        <v>5716</v>
      </c>
      <c r="H779" s="7" t="s">
        <v>31</v>
      </c>
      <c r="I779" s="7">
        <v>1.0</v>
      </c>
      <c r="J779" s="7">
        <v>1.0</v>
      </c>
      <c r="K779" s="7" t="s">
        <v>31</v>
      </c>
      <c r="L779" s="8" t="s">
        <v>5659</v>
      </c>
      <c r="M779" s="6" t="s">
        <v>5717</v>
      </c>
      <c r="N779" s="6" t="s">
        <v>5650</v>
      </c>
      <c r="O779" s="8" t="s">
        <v>5651</v>
      </c>
      <c r="P779" s="6" t="s">
        <v>5652</v>
      </c>
      <c r="Q779" s="6" t="s">
        <v>31</v>
      </c>
      <c r="R779" s="6" t="s">
        <v>64</v>
      </c>
      <c r="S779" s="8" t="s">
        <v>5653</v>
      </c>
      <c r="T779" s="6" t="s">
        <v>66</v>
      </c>
      <c r="U779" s="8" t="s">
        <v>31</v>
      </c>
      <c r="V779" s="6" t="s">
        <v>5718</v>
      </c>
      <c r="W779" s="6" t="s">
        <v>5646</v>
      </c>
      <c r="X779" s="9" t="str">
        <f>HYPERLINK("https://my.pitchbook.com?p=116834-50P","View People Online")</f>
        <v>View People Online</v>
      </c>
    </row>
    <row r="780">
      <c r="A780" s="10" t="s">
        <v>5719</v>
      </c>
      <c r="B780" s="10" t="s">
        <v>5720</v>
      </c>
      <c r="C780" s="10" t="s">
        <v>5721</v>
      </c>
      <c r="D780" s="10" t="s">
        <v>5722</v>
      </c>
      <c r="E780" s="10" t="s">
        <v>5646</v>
      </c>
      <c r="F780" s="10" t="s">
        <v>312</v>
      </c>
      <c r="G780" s="10" t="s">
        <v>5723</v>
      </c>
      <c r="H780" s="11">
        <v>3.0</v>
      </c>
      <c r="I780" s="11">
        <v>5.0</v>
      </c>
      <c r="J780" s="11">
        <v>1.0</v>
      </c>
      <c r="K780" s="11" t="s">
        <v>31</v>
      </c>
      <c r="L780" s="12" t="s">
        <v>31</v>
      </c>
      <c r="M780" s="10" t="s">
        <v>31</v>
      </c>
      <c r="N780" s="10" t="s">
        <v>155</v>
      </c>
      <c r="O780" s="12" t="s">
        <v>156</v>
      </c>
      <c r="P780" s="10" t="s">
        <v>31</v>
      </c>
      <c r="Q780" s="10" t="s">
        <v>31</v>
      </c>
      <c r="R780" s="10" t="s">
        <v>64</v>
      </c>
      <c r="S780" s="12" t="s">
        <v>31</v>
      </c>
      <c r="T780" s="10" t="s">
        <v>66</v>
      </c>
      <c r="U780" s="12" t="s">
        <v>31</v>
      </c>
      <c r="V780" s="10" t="s">
        <v>5724</v>
      </c>
      <c r="W780" s="10" t="s">
        <v>5646</v>
      </c>
      <c r="X780" s="13" t="str">
        <f>HYPERLINK("https://my.pitchbook.com?p=35501-32P","View People Online")</f>
        <v>View People Online</v>
      </c>
    </row>
    <row r="781">
      <c r="A781" s="14" t="s">
        <v>5725</v>
      </c>
      <c r="B781" s="14" t="s">
        <v>5726</v>
      </c>
      <c r="C781" s="14" t="s">
        <v>4858</v>
      </c>
      <c r="D781" s="14" t="s">
        <v>5727</v>
      </c>
      <c r="E781" s="14" t="s">
        <v>5646</v>
      </c>
      <c r="F781" s="14" t="s">
        <v>1801</v>
      </c>
      <c r="G781" s="14" t="s">
        <v>5728</v>
      </c>
      <c r="H781" s="15" t="s">
        <v>31</v>
      </c>
      <c r="I781" s="15">
        <v>1.0</v>
      </c>
      <c r="J781" s="15">
        <v>1.0</v>
      </c>
      <c r="K781" s="15" t="s">
        <v>31</v>
      </c>
      <c r="L781" s="16" t="s">
        <v>5659</v>
      </c>
      <c r="M781" s="14" t="s">
        <v>5729</v>
      </c>
      <c r="N781" s="14" t="s">
        <v>5650</v>
      </c>
      <c r="O781" s="16" t="s">
        <v>5651</v>
      </c>
      <c r="P781" s="14" t="s">
        <v>5652</v>
      </c>
      <c r="Q781" s="14" t="s">
        <v>31</v>
      </c>
      <c r="R781" s="14" t="s">
        <v>64</v>
      </c>
      <c r="S781" s="16" t="s">
        <v>5653</v>
      </c>
      <c r="T781" s="14" t="s">
        <v>66</v>
      </c>
      <c r="U781" s="16" t="s">
        <v>31</v>
      </c>
      <c r="V781" s="14" t="s">
        <v>5730</v>
      </c>
      <c r="W781" s="14" t="s">
        <v>5646</v>
      </c>
      <c r="X781" s="17" t="str">
        <f>HYPERLINK("https://my.pitchbook.com?p=84677-23P","View People Online")</f>
        <v>View People Online</v>
      </c>
    </row>
    <row r="782">
      <c r="A782" s="10" t="s">
        <v>5731</v>
      </c>
      <c r="B782" s="10" t="s">
        <v>5732</v>
      </c>
      <c r="C782" s="10" t="s">
        <v>4886</v>
      </c>
      <c r="D782" s="10" t="s">
        <v>5733</v>
      </c>
      <c r="E782" s="10" t="s">
        <v>5646</v>
      </c>
      <c r="F782" s="10" t="s">
        <v>548</v>
      </c>
      <c r="G782" s="10" t="s">
        <v>5734</v>
      </c>
      <c r="H782" s="11" t="s">
        <v>31</v>
      </c>
      <c r="I782" s="11">
        <v>1.0</v>
      </c>
      <c r="J782" s="11">
        <v>1.0</v>
      </c>
      <c r="K782" s="11" t="s">
        <v>31</v>
      </c>
      <c r="L782" s="12" t="s">
        <v>31</v>
      </c>
      <c r="M782" s="10" t="s">
        <v>5735</v>
      </c>
      <c r="N782" s="10" t="s">
        <v>155</v>
      </c>
      <c r="O782" s="12" t="s">
        <v>156</v>
      </c>
      <c r="P782" s="10" t="s">
        <v>31</v>
      </c>
      <c r="Q782" s="10" t="s">
        <v>31</v>
      </c>
      <c r="R782" s="10" t="s">
        <v>64</v>
      </c>
      <c r="S782" s="12" t="s">
        <v>31</v>
      </c>
      <c r="T782" s="10" t="s">
        <v>66</v>
      </c>
      <c r="U782" s="12" t="s">
        <v>31</v>
      </c>
      <c r="V782" s="10" t="s">
        <v>5736</v>
      </c>
      <c r="W782" s="10" t="s">
        <v>5646</v>
      </c>
      <c r="X782" s="13" t="str">
        <f>HYPERLINK("https://my.pitchbook.com?p=60532-57P","View People Online")</f>
        <v>View People Online</v>
      </c>
    </row>
    <row r="783">
      <c r="A783" s="6" t="s">
        <v>5737</v>
      </c>
      <c r="B783" s="6" t="s">
        <v>5738</v>
      </c>
      <c r="C783" s="6" t="s">
        <v>5739</v>
      </c>
      <c r="D783" s="6" t="s">
        <v>5740</v>
      </c>
      <c r="E783" s="6" t="s">
        <v>5646</v>
      </c>
      <c r="F783" s="6" t="s">
        <v>548</v>
      </c>
      <c r="G783" s="6" t="s">
        <v>5741</v>
      </c>
      <c r="H783" s="7" t="s">
        <v>31</v>
      </c>
      <c r="I783" s="7">
        <v>1.0</v>
      </c>
      <c r="J783" s="7">
        <v>1.0</v>
      </c>
      <c r="K783" s="7" t="s">
        <v>31</v>
      </c>
      <c r="L783" s="8" t="s">
        <v>31</v>
      </c>
      <c r="M783" s="6" t="s">
        <v>5742</v>
      </c>
      <c r="N783" s="6" t="s">
        <v>155</v>
      </c>
      <c r="O783" s="8" t="s">
        <v>156</v>
      </c>
      <c r="P783" s="6" t="s">
        <v>31</v>
      </c>
      <c r="Q783" s="6" t="s">
        <v>31</v>
      </c>
      <c r="R783" s="6" t="s">
        <v>64</v>
      </c>
      <c r="S783" s="8" t="s">
        <v>31</v>
      </c>
      <c r="T783" s="6" t="s">
        <v>66</v>
      </c>
      <c r="U783" s="8" t="s">
        <v>31</v>
      </c>
      <c r="V783" s="6" t="s">
        <v>5743</v>
      </c>
      <c r="W783" s="6" t="s">
        <v>5646</v>
      </c>
      <c r="X783" s="9" t="str">
        <f>HYPERLINK("https://my.pitchbook.com?p=65297-26P","View People Online")</f>
        <v>View People Online</v>
      </c>
    </row>
    <row r="784">
      <c r="A784" s="10" t="s">
        <v>5744</v>
      </c>
      <c r="B784" s="10" t="s">
        <v>5745</v>
      </c>
      <c r="C784" s="10" t="s">
        <v>5746</v>
      </c>
      <c r="D784" s="10" t="s">
        <v>1073</v>
      </c>
      <c r="E784" s="10" t="s">
        <v>5646</v>
      </c>
      <c r="F784" s="10" t="s">
        <v>1801</v>
      </c>
      <c r="G784" s="10" t="s">
        <v>5747</v>
      </c>
      <c r="H784" s="11" t="s">
        <v>31</v>
      </c>
      <c r="I784" s="11">
        <v>1.0</v>
      </c>
      <c r="J784" s="11">
        <v>1.0</v>
      </c>
      <c r="K784" s="11" t="s">
        <v>31</v>
      </c>
      <c r="L784" s="12" t="s">
        <v>5659</v>
      </c>
      <c r="M784" s="10" t="s">
        <v>5748</v>
      </c>
      <c r="N784" s="10" t="s">
        <v>5650</v>
      </c>
      <c r="O784" s="12" t="s">
        <v>5651</v>
      </c>
      <c r="P784" s="10" t="s">
        <v>5652</v>
      </c>
      <c r="Q784" s="10" t="s">
        <v>31</v>
      </c>
      <c r="R784" s="10" t="s">
        <v>64</v>
      </c>
      <c r="S784" s="12" t="s">
        <v>5653</v>
      </c>
      <c r="T784" s="10" t="s">
        <v>66</v>
      </c>
      <c r="U784" s="12" t="s">
        <v>31</v>
      </c>
      <c r="V784" s="10" t="s">
        <v>5749</v>
      </c>
      <c r="W784" s="10" t="s">
        <v>5646</v>
      </c>
      <c r="X784" s="13" t="str">
        <f>HYPERLINK("https://my.pitchbook.com?p=86662-18P","View People Online")</f>
        <v>View People Online</v>
      </c>
    </row>
    <row r="785">
      <c r="A785" s="14" t="s">
        <v>5750</v>
      </c>
      <c r="B785" s="14" t="s">
        <v>5751</v>
      </c>
      <c r="C785" s="14" t="s">
        <v>5752</v>
      </c>
      <c r="D785" s="14" t="s">
        <v>5753</v>
      </c>
      <c r="E785" s="14" t="s">
        <v>5646</v>
      </c>
      <c r="F785" s="14" t="s">
        <v>270</v>
      </c>
      <c r="G785" s="14" t="s">
        <v>5754</v>
      </c>
      <c r="H785" s="15" t="s">
        <v>31</v>
      </c>
      <c r="I785" s="15">
        <v>1.0</v>
      </c>
      <c r="J785" s="15">
        <v>1.0</v>
      </c>
      <c r="K785" s="15" t="s">
        <v>31</v>
      </c>
      <c r="L785" s="16" t="s">
        <v>5659</v>
      </c>
      <c r="M785" s="14" t="s">
        <v>5755</v>
      </c>
      <c r="N785" s="14" t="s">
        <v>5650</v>
      </c>
      <c r="O785" s="16" t="s">
        <v>5651</v>
      </c>
      <c r="P785" s="14" t="s">
        <v>5652</v>
      </c>
      <c r="Q785" s="14" t="s">
        <v>31</v>
      </c>
      <c r="R785" s="14" t="s">
        <v>64</v>
      </c>
      <c r="S785" s="16" t="s">
        <v>5653</v>
      </c>
      <c r="T785" s="14" t="s">
        <v>66</v>
      </c>
      <c r="U785" s="16" t="s">
        <v>31</v>
      </c>
      <c r="V785" s="14" t="s">
        <v>5756</v>
      </c>
      <c r="W785" s="14" t="s">
        <v>5646</v>
      </c>
      <c r="X785" s="17" t="str">
        <f>HYPERLINK("https://my.pitchbook.com?p=35155-27P","View People Online")</f>
        <v>View People Online</v>
      </c>
    </row>
    <row r="786">
      <c r="A786" s="2" t="s">
        <v>5757</v>
      </c>
      <c r="B786" s="2" t="s">
        <v>5758</v>
      </c>
      <c r="C786" s="2" t="s">
        <v>1437</v>
      </c>
      <c r="D786" s="2" t="s">
        <v>5759</v>
      </c>
      <c r="E786" s="2" t="s">
        <v>5646</v>
      </c>
      <c r="F786" s="2" t="s">
        <v>5760</v>
      </c>
      <c r="G786" s="2" t="s">
        <v>5761</v>
      </c>
      <c r="H786" s="3" t="s">
        <v>31</v>
      </c>
      <c r="I786" s="3">
        <v>1.0</v>
      </c>
      <c r="J786" s="3">
        <v>1.0</v>
      </c>
      <c r="K786" s="3" t="s">
        <v>31</v>
      </c>
      <c r="L786" s="4" t="s">
        <v>5659</v>
      </c>
      <c r="M786" s="2" t="s">
        <v>5762</v>
      </c>
      <c r="N786" s="2" t="s">
        <v>5650</v>
      </c>
      <c r="O786" s="4" t="s">
        <v>5651</v>
      </c>
      <c r="P786" s="2" t="s">
        <v>5652</v>
      </c>
      <c r="Q786" s="2" t="s">
        <v>31</v>
      </c>
      <c r="R786" s="2" t="s">
        <v>64</v>
      </c>
      <c r="S786" s="4" t="s">
        <v>5653</v>
      </c>
      <c r="T786" s="2" t="s">
        <v>66</v>
      </c>
      <c r="U786" s="4" t="s">
        <v>31</v>
      </c>
      <c r="V786" s="2" t="s">
        <v>3600</v>
      </c>
      <c r="W786" s="2" t="s">
        <v>5646</v>
      </c>
      <c r="X786" s="5" t="str">
        <f>HYPERLINK("https://my.pitchbook.com?p=225825-13P","View People Online")</f>
        <v>View People Online</v>
      </c>
    </row>
    <row r="787">
      <c r="A787" s="6" t="s">
        <v>5763</v>
      </c>
      <c r="B787" s="6" t="s">
        <v>5764</v>
      </c>
      <c r="C787" s="6" t="s">
        <v>5765</v>
      </c>
      <c r="D787" s="6" t="s">
        <v>5766</v>
      </c>
      <c r="E787" s="6" t="s">
        <v>5646</v>
      </c>
      <c r="F787" s="6" t="s">
        <v>1801</v>
      </c>
      <c r="G787" s="6" t="s">
        <v>5767</v>
      </c>
      <c r="H787" s="7" t="s">
        <v>31</v>
      </c>
      <c r="I787" s="7">
        <v>1.0</v>
      </c>
      <c r="J787" s="7">
        <v>1.0</v>
      </c>
      <c r="K787" s="7" t="s">
        <v>31</v>
      </c>
      <c r="L787" s="8" t="s">
        <v>31</v>
      </c>
      <c r="M787" s="6" t="s">
        <v>5768</v>
      </c>
      <c r="N787" s="6" t="s">
        <v>155</v>
      </c>
      <c r="O787" s="8" t="s">
        <v>156</v>
      </c>
      <c r="P787" s="6" t="s">
        <v>31</v>
      </c>
      <c r="Q787" s="6" t="s">
        <v>31</v>
      </c>
      <c r="R787" s="6" t="s">
        <v>64</v>
      </c>
      <c r="S787" s="8" t="s">
        <v>31</v>
      </c>
      <c r="T787" s="6" t="s">
        <v>66</v>
      </c>
      <c r="U787" s="8" t="s">
        <v>31</v>
      </c>
      <c r="V787" s="6" t="s">
        <v>5769</v>
      </c>
      <c r="W787" s="6" t="s">
        <v>5646</v>
      </c>
      <c r="X787" s="9" t="str">
        <f>HYPERLINK("https://my.pitchbook.com?p=255556-72P","View People Online")</f>
        <v>View People Online</v>
      </c>
    </row>
    <row r="788">
      <c r="A788" s="2" t="s">
        <v>5770</v>
      </c>
      <c r="B788" s="2" t="s">
        <v>5771</v>
      </c>
      <c r="C788" s="2" t="s">
        <v>1449</v>
      </c>
      <c r="D788" s="2" t="s">
        <v>5772</v>
      </c>
      <c r="E788" s="2" t="s">
        <v>5646</v>
      </c>
      <c r="F788" s="2" t="s">
        <v>1801</v>
      </c>
      <c r="G788" s="2" t="s">
        <v>5773</v>
      </c>
      <c r="H788" s="3" t="s">
        <v>31</v>
      </c>
      <c r="I788" s="3">
        <v>1.0</v>
      </c>
      <c r="J788" s="3">
        <v>1.0</v>
      </c>
      <c r="K788" s="3" t="s">
        <v>31</v>
      </c>
      <c r="L788" s="4" t="s">
        <v>5659</v>
      </c>
      <c r="M788" s="2" t="s">
        <v>5774</v>
      </c>
      <c r="N788" s="2" t="s">
        <v>5650</v>
      </c>
      <c r="O788" s="4" t="s">
        <v>5651</v>
      </c>
      <c r="P788" s="2" t="s">
        <v>5652</v>
      </c>
      <c r="Q788" s="2" t="s">
        <v>31</v>
      </c>
      <c r="R788" s="2" t="s">
        <v>64</v>
      </c>
      <c r="S788" s="4" t="s">
        <v>5653</v>
      </c>
      <c r="T788" s="2" t="s">
        <v>66</v>
      </c>
      <c r="U788" s="4" t="s">
        <v>31</v>
      </c>
      <c r="V788" s="2" t="s">
        <v>5775</v>
      </c>
      <c r="W788" s="2" t="s">
        <v>5646</v>
      </c>
      <c r="X788" s="5" t="str">
        <f>HYPERLINK("https://my.pitchbook.com?p=86212-90P","View People Online")</f>
        <v>View People Online</v>
      </c>
    </row>
    <row r="789">
      <c r="A789" s="6" t="s">
        <v>5776</v>
      </c>
      <c r="B789" s="6" t="s">
        <v>5777</v>
      </c>
      <c r="C789" s="6" t="s">
        <v>5778</v>
      </c>
      <c r="D789" s="6" t="s">
        <v>5779</v>
      </c>
      <c r="E789" s="6" t="s">
        <v>5646</v>
      </c>
      <c r="F789" s="6" t="s">
        <v>312</v>
      </c>
      <c r="G789" s="6" t="s">
        <v>5780</v>
      </c>
      <c r="H789" s="7" t="s">
        <v>31</v>
      </c>
      <c r="I789" s="7">
        <v>1.0</v>
      </c>
      <c r="J789" s="7">
        <v>1.0</v>
      </c>
      <c r="K789" s="7" t="s">
        <v>31</v>
      </c>
      <c r="L789" s="8" t="s">
        <v>5659</v>
      </c>
      <c r="M789" s="6" t="s">
        <v>5781</v>
      </c>
      <c r="N789" s="6" t="s">
        <v>5650</v>
      </c>
      <c r="O789" s="8" t="s">
        <v>5651</v>
      </c>
      <c r="P789" s="6" t="s">
        <v>5652</v>
      </c>
      <c r="Q789" s="6" t="s">
        <v>31</v>
      </c>
      <c r="R789" s="6" t="s">
        <v>64</v>
      </c>
      <c r="S789" s="8" t="s">
        <v>5653</v>
      </c>
      <c r="T789" s="6" t="s">
        <v>66</v>
      </c>
      <c r="U789" s="8" t="s">
        <v>31</v>
      </c>
      <c r="V789" s="6" t="s">
        <v>5782</v>
      </c>
      <c r="W789" s="6" t="s">
        <v>5646</v>
      </c>
      <c r="X789" s="9" t="str">
        <f>HYPERLINK("https://my.pitchbook.com?p=217862-56P","View People Online")</f>
        <v>View People Online</v>
      </c>
    </row>
    <row r="790">
      <c r="A790" s="10" t="s">
        <v>5783</v>
      </c>
      <c r="B790" s="10" t="s">
        <v>5784</v>
      </c>
      <c r="C790" s="10" t="s">
        <v>5785</v>
      </c>
      <c r="D790" s="10" t="s">
        <v>5786</v>
      </c>
      <c r="E790" s="10" t="s">
        <v>5646</v>
      </c>
      <c r="F790" s="10" t="s">
        <v>5787</v>
      </c>
      <c r="G790" s="10" t="s">
        <v>5788</v>
      </c>
      <c r="H790" s="11" t="s">
        <v>31</v>
      </c>
      <c r="I790" s="11">
        <v>1.0</v>
      </c>
      <c r="J790" s="11">
        <v>1.0</v>
      </c>
      <c r="K790" s="11" t="s">
        <v>31</v>
      </c>
      <c r="L790" s="12" t="s">
        <v>5659</v>
      </c>
      <c r="M790" s="10" t="s">
        <v>5789</v>
      </c>
      <c r="N790" s="10" t="s">
        <v>5650</v>
      </c>
      <c r="O790" s="12" t="s">
        <v>5651</v>
      </c>
      <c r="P790" s="10" t="s">
        <v>5652</v>
      </c>
      <c r="Q790" s="10" t="s">
        <v>31</v>
      </c>
      <c r="R790" s="10" t="s">
        <v>64</v>
      </c>
      <c r="S790" s="12" t="s">
        <v>5653</v>
      </c>
      <c r="T790" s="10" t="s">
        <v>66</v>
      </c>
      <c r="U790" s="12" t="s">
        <v>31</v>
      </c>
      <c r="V790" s="10" t="s">
        <v>5790</v>
      </c>
      <c r="W790" s="10" t="s">
        <v>5646</v>
      </c>
      <c r="X790" s="13" t="str">
        <f>HYPERLINK("https://my.pitchbook.com?p=168129-73P","View People Online")</f>
        <v>View People Online</v>
      </c>
    </row>
    <row r="791">
      <c r="A791" s="14" t="s">
        <v>5791</v>
      </c>
      <c r="B791" s="14" t="s">
        <v>5792</v>
      </c>
      <c r="C791" s="14" t="s">
        <v>5793</v>
      </c>
      <c r="D791" s="14" t="s">
        <v>5794</v>
      </c>
      <c r="E791" s="14" t="s">
        <v>5646</v>
      </c>
      <c r="F791" s="14" t="s">
        <v>312</v>
      </c>
      <c r="G791" s="14" t="s">
        <v>5795</v>
      </c>
      <c r="H791" s="15">
        <v>1.0</v>
      </c>
      <c r="I791" s="15">
        <v>4.0</v>
      </c>
      <c r="J791" s="15">
        <v>1.0</v>
      </c>
      <c r="K791" s="15">
        <v>2.0</v>
      </c>
      <c r="L791" s="16" t="s">
        <v>5659</v>
      </c>
      <c r="M791" s="14" t="s">
        <v>5796</v>
      </c>
      <c r="N791" s="14" t="s">
        <v>5650</v>
      </c>
      <c r="O791" s="16" t="s">
        <v>5651</v>
      </c>
      <c r="P791" s="14" t="s">
        <v>5652</v>
      </c>
      <c r="Q791" s="14" t="s">
        <v>31</v>
      </c>
      <c r="R791" s="14" t="s">
        <v>64</v>
      </c>
      <c r="S791" s="16" t="s">
        <v>5653</v>
      </c>
      <c r="T791" s="14" t="s">
        <v>66</v>
      </c>
      <c r="U791" s="16" t="s">
        <v>31</v>
      </c>
      <c r="V791" s="14" t="s">
        <v>5797</v>
      </c>
      <c r="W791" s="14" t="s">
        <v>5646</v>
      </c>
      <c r="X791" s="17" t="str">
        <f>HYPERLINK("https://my.pitchbook.com?p=43303-15P","View People Online")</f>
        <v>View People Online</v>
      </c>
    </row>
    <row r="792">
      <c r="A792" s="10" t="s">
        <v>5798</v>
      </c>
      <c r="B792" s="10" t="s">
        <v>5799</v>
      </c>
      <c r="C792" s="10" t="s">
        <v>5800</v>
      </c>
      <c r="D792" s="10" t="s">
        <v>3638</v>
      </c>
      <c r="E792" s="10" t="s">
        <v>5646</v>
      </c>
      <c r="F792" s="10" t="s">
        <v>548</v>
      </c>
      <c r="G792" s="10" t="s">
        <v>5801</v>
      </c>
      <c r="H792" s="11" t="s">
        <v>31</v>
      </c>
      <c r="I792" s="11">
        <v>1.0</v>
      </c>
      <c r="J792" s="11">
        <v>1.0</v>
      </c>
      <c r="K792" s="11" t="s">
        <v>31</v>
      </c>
      <c r="L792" s="12" t="s">
        <v>5802</v>
      </c>
      <c r="M792" s="10" t="s">
        <v>5803</v>
      </c>
      <c r="N792" s="10" t="s">
        <v>5650</v>
      </c>
      <c r="O792" s="12" t="s">
        <v>5651</v>
      </c>
      <c r="P792" s="10" t="s">
        <v>5652</v>
      </c>
      <c r="Q792" s="10" t="s">
        <v>31</v>
      </c>
      <c r="R792" s="10" t="s">
        <v>64</v>
      </c>
      <c r="S792" s="12" t="s">
        <v>5653</v>
      </c>
      <c r="T792" s="10" t="s">
        <v>66</v>
      </c>
      <c r="U792" s="12" t="s">
        <v>31</v>
      </c>
      <c r="V792" s="10" t="s">
        <v>4876</v>
      </c>
      <c r="W792" s="10" t="s">
        <v>5646</v>
      </c>
      <c r="X792" s="13" t="str">
        <f>HYPERLINK("https://my.pitchbook.com?p=83224-54P","View People Online")</f>
        <v>View People Online</v>
      </c>
    </row>
    <row r="793">
      <c r="A793" s="14" t="s">
        <v>5804</v>
      </c>
      <c r="B793" s="14" t="s">
        <v>5805</v>
      </c>
      <c r="C793" s="14" t="s">
        <v>5806</v>
      </c>
      <c r="D793" s="14" t="s">
        <v>5807</v>
      </c>
      <c r="E793" s="14" t="s">
        <v>5646</v>
      </c>
      <c r="F793" s="14" t="s">
        <v>1801</v>
      </c>
      <c r="G793" s="14" t="s">
        <v>5808</v>
      </c>
      <c r="H793" s="15" t="s">
        <v>31</v>
      </c>
      <c r="I793" s="15">
        <v>1.0</v>
      </c>
      <c r="J793" s="15">
        <v>1.0</v>
      </c>
      <c r="K793" s="15" t="s">
        <v>31</v>
      </c>
      <c r="L793" s="16" t="s">
        <v>5659</v>
      </c>
      <c r="M793" s="14" t="s">
        <v>5809</v>
      </c>
      <c r="N793" s="14" t="s">
        <v>5650</v>
      </c>
      <c r="O793" s="16" t="s">
        <v>5651</v>
      </c>
      <c r="P793" s="14" t="s">
        <v>5652</v>
      </c>
      <c r="Q793" s="14" t="s">
        <v>31</v>
      </c>
      <c r="R793" s="14" t="s">
        <v>64</v>
      </c>
      <c r="S793" s="16" t="s">
        <v>5653</v>
      </c>
      <c r="T793" s="14" t="s">
        <v>66</v>
      </c>
      <c r="U793" s="16" t="s">
        <v>31</v>
      </c>
      <c r="V793" s="14" t="s">
        <v>5810</v>
      </c>
      <c r="W793" s="14" t="s">
        <v>5646</v>
      </c>
      <c r="X793" s="17" t="str">
        <f>HYPERLINK("https://my.pitchbook.com?p=391084-57P","View People Online")</f>
        <v>View People Online</v>
      </c>
    </row>
    <row r="794">
      <c r="A794" s="2" t="s">
        <v>5811</v>
      </c>
      <c r="B794" s="2" t="s">
        <v>5812</v>
      </c>
      <c r="C794" s="2" t="s">
        <v>323</v>
      </c>
      <c r="D794" s="2" t="s">
        <v>5813</v>
      </c>
      <c r="E794" s="2" t="s">
        <v>5646</v>
      </c>
      <c r="F794" s="2" t="s">
        <v>270</v>
      </c>
      <c r="G794" s="2" t="s">
        <v>5814</v>
      </c>
      <c r="H794" s="3" t="s">
        <v>31</v>
      </c>
      <c r="I794" s="3">
        <v>1.0</v>
      </c>
      <c r="J794" s="3">
        <v>1.0</v>
      </c>
      <c r="K794" s="3" t="s">
        <v>31</v>
      </c>
      <c r="L794" s="4" t="s">
        <v>5659</v>
      </c>
      <c r="M794" s="2" t="s">
        <v>5815</v>
      </c>
      <c r="N794" s="2" t="s">
        <v>5650</v>
      </c>
      <c r="O794" s="4" t="s">
        <v>5651</v>
      </c>
      <c r="P794" s="2" t="s">
        <v>5652</v>
      </c>
      <c r="Q794" s="2" t="s">
        <v>31</v>
      </c>
      <c r="R794" s="2" t="s">
        <v>64</v>
      </c>
      <c r="S794" s="4" t="s">
        <v>5653</v>
      </c>
      <c r="T794" s="2" t="s">
        <v>66</v>
      </c>
      <c r="U794" s="4" t="s">
        <v>31</v>
      </c>
      <c r="V794" s="2" t="s">
        <v>5816</v>
      </c>
      <c r="W794" s="2" t="s">
        <v>5646</v>
      </c>
      <c r="X794" s="5" t="str">
        <f>HYPERLINK("https://my.pitchbook.com?p=63794-44P","View People Online")</f>
        <v>View People Online</v>
      </c>
    </row>
    <row r="795">
      <c r="A795" s="14" t="s">
        <v>5817</v>
      </c>
      <c r="B795" s="14" t="s">
        <v>5818</v>
      </c>
      <c r="C795" s="14" t="s">
        <v>5819</v>
      </c>
      <c r="D795" s="14" t="s">
        <v>5820</v>
      </c>
      <c r="E795" s="14" t="s">
        <v>5646</v>
      </c>
      <c r="F795" s="14" t="s">
        <v>270</v>
      </c>
      <c r="G795" s="14" t="s">
        <v>5821</v>
      </c>
      <c r="H795" s="15" t="s">
        <v>31</v>
      </c>
      <c r="I795" s="15">
        <v>1.0</v>
      </c>
      <c r="J795" s="15">
        <v>1.0</v>
      </c>
      <c r="K795" s="15" t="s">
        <v>31</v>
      </c>
      <c r="L795" s="16" t="s">
        <v>31</v>
      </c>
      <c r="M795" s="14" t="s">
        <v>5822</v>
      </c>
      <c r="N795" s="14" t="s">
        <v>75</v>
      </c>
      <c r="O795" s="16" t="s">
        <v>76</v>
      </c>
      <c r="P795" s="14" t="s">
        <v>5688</v>
      </c>
      <c r="Q795" s="14" t="s">
        <v>31</v>
      </c>
      <c r="R795" s="14" t="s">
        <v>75</v>
      </c>
      <c r="S795" s="16" t="s">
        <v>5689</v>
      </c>
      <c r="T795" s="14" t="s">
        <v>66</v>
      </c>
      <c r="U795" s="16" t="s">
        <v>31</v>
      </c>
      <c r="V795" s="14" t="s">
        <v>5823</v>
      </c>
      <c r="W795" s="14" t="s">
        <v>5646</v>
      </c>
      <c r="X795" s="17" t="str">
        <f>HYPERLINK("https://my.pitchbook.com?p=168785-47P","View People Online")</f>
        <v>View People Online</v>
      </c>
    </row>
    <row r="796">
      <c r="A796" s="10" t="s">
        <v>5824</v>
      </c>
      <c r="B796" s="10" t="s">
        <v>5825</v>
      </c>
      <c r="C796" s="10" t="s">
        <v>2788</v>
      </c>
      <c r="D796" s="10" t="s">
        <v>5826</v>
      </c>
      <c r="E796" s="10" t="s">
        <v>5646</v>
      </c>
      <c r="F796" s="10" t="s">
        <v>1801</v>
      </c>
      <c r="G796" s="10" t="s">
        <v>5827</v>
      </c>
      <c r="H796" s="11" t="s">
        <v>31</v>
      </c>
      <c r="I796" s="11">
        <v>1.0</v>
      </c>
      <c r="J796" s="11">
        <v>1.0</v>
      </c>
      <c r="K796" s="11" t="s">
        <v>31</v>
      </c>
      <c r="L796" s="12" t="s">
        <v>5659</v>
      </c>
      <c r="M796" s="10" t="s">
        <v>5828</v>
      </c>
      <c r="N796" s="10" t="s">
        <v>5650</v>
      </c>
      <c r="O796" s="12" t="s">
        <v>5651</v>
      </c>
      <c r="P796" s="10" t="s">
        <v>5652</v>
      </c>
      <c r="Q796" s="10" t="s">
        <v>31</v>
      </c>
      <c r="R796" s="10" t="s">
        <v>64</v>
      </c>
      <c r="S796" s="12" t="s">
        <v>5653</v>
      </c>
      <c r="T796" s="10" t="s">
        <v>66</v>
      </c>
      <c r="U796" s="12" t="s">
        <v>31</v>
      </c>
      <c r="V796" s="10" t="s">
        <v>5829</v>
      </c>
      <c r="W796" s="10" t="s">
        <v>5646</v>
      </c>
      <c r="X796" s="13" t="str">
        <f>HYPERLINK("https://my.pitchbook.com?p=84410-11P","View People Online")</f>
        <v>View People Online</v>
      </c>
    </row>
    <row r="797">
      <c r="A797" s="14" t="s">
        <v>5830</v>
      </c>
      <c r="B797" s="14" t="s">
        <v>5831</v>
      </c>
      <c r="C797" s="14" t="s">
        <v>5832</v>
      </c>
      <c r="D797" s="14" t="s">
        <v>5833</v>
      </c>
      <c r="E797" s="14" t="s">
        <v>5646</v>
      </c>
      <c r="F797" s="14" t="s">
        <v>1801</v>
      </c>
      <c r="G797" s="14" t="s">
        <v>5834</v>
      </c>
      <c r="H797" s="15" t="s">
        <v>31</v>
      </c>
      <c r="I797" s="15">
        <v>1.0</v>
      </c>
      <c r="J797" s="15">
        <v>1.0</v>
      </c>
      <c r="K797" s="15" t="s">
        <v>31</v>
      </c>
      <c r="L797" s="16" t="s">
        <v>5659</v>
      </c>
      <c r="M797" s="14" t="s">
        <v>5835</v>
      </c>
      <c r="N797" s="14" t="s">
        <v>5650</v>
      </c>
      <c r="O797" s="16" t="s">
        <v>5651</v>
      </c>
      <c r="P797" s="14" t="s">
        <v>5652</v>
      </c>
      <c r="Q797" s="14" t="s">
        <v>31</v>
      </c>
      <c r="R797" s="14" t="s">
        <v>64</v>
      </c>
      <c r="S797" s="16" t="s">
        <v>5653</v>
      </c>
      <c r="T797" s="14" t="s">
        <v>66</v>
      </c>
      <c r="U797" s="16" t="s">
        <v>31</v>
      </c>
      <c r="V797" s="14" t="s">
        <v>5836</v>
      </c>
      <c r="W797" s="14" t="s">
        <v>5646</v>
      </c>
      <c r="X797" s="17" t="str">
        <f>HYPERLINK("https://my.pitchbook.com?p=78174-10P","View People Online")</f>
        <v>View People Online</v>
      </c>
    </row>
    <row r="798">
      <c r="A798" s="10" t="s">
        <v>5837</v>
      </c>
      <c r="B798" s="10" t="s">
        <v>5838</v>
      </c>
      <c r="C798" s="10" t="s">
        <v>2865</v>
      </c>
      <c r="D798" s="10" t="s">
        <v>5839</v>
      </c>
      <c r="E798" s="10" t="s">
        <v>5646</v>
      </c>
      <c r="F798" s="10" t="s">
        <v>270</v>
      </c>
      <c r="G798" s="10" t="s">
        <v>5840</v>
      </c>
      <c r="H798" s="11" t="s">
        <v>31</v>
      </c>
      <c r="I798" s="11">
        <v>1.0</v>
      </c>
      <c r="J798" s="11">
        <v>1.0</v>
      </c>
      <c r="K798" s="11" t="s">
        <v>31</v>
      </c>
      <c r="L798" s="12" t="s">
        <v>5659</v>
      </c>
      <c r="M798" s="10" t="s">
        <v>5841</v>
      </c>
      <c r="N798" s="10" t="s">
        <v>5650</v>
      </c>
      <c r="O798" s="12" t="s">
        <v>5651</v>
      </c>
      <c r="P798" s="10" t="s">
        <v>5652</v>
      </c>
      <c r="Q798" s="10" t="s">
        <v>31</v>
      </c>
      <c r="R798" s="10" t="s">
        <v>64</v>
      </c>
      <c r="S798" s="12" t="s">
        <v>5653</v>
      </c>
      <c r="T798" s="10" t="s">
        <v>66</v>
      </c>
      <c r="U798" s="12" t="s">
        <v>31</v>
      </c>
      <c r="V798" s="10" t="s">
        <v>270</v>
      </c>
      <c r="W798" s="10" t="s">
        <v>5646</v>
      </c>
      <c r="X798" s="13" t="str">
        <f>HYPERLINK("https://my.pitchbook.com?p=130873-87P","View People Online")</f>
        <v>View People Online</v>
      </c>
    </row>
    <row r="799">
      <c r="A799" s="6" t="s">
        <v>5842</v>
      </c>
      <c r="B799" s="6" t="s">
        <v>5843</v>
      </c>
      <c r="C799" s="6" t="s">
        <v>5844</v>
      </c>
      <c r="D799" s="6" t="s">
        <v>5845</v>
      </c>
      <c r="E799" s="6" t="s">
        <v>5646</v>
      </c>
      <c r="F799" s="6" t="s">
        <v>1801</v>
      </c>
      <c r="G799" s="6" t="s">
        <v>5846</v>
      </c>
      <c r="H799" s="7" t="s">
        <v>31</v>
      </c>
      <c r="I799" s="7">
        <v>1.0</v>
      </c>
      <c r="J799" s="7">
        <v>1.0</v>
      </c>
      <c r="K799" s="7" t="s">
        <v>31</v>
      </c>
      <c r="L799" s="8" t="s">
        <v>5659</v>
      </c>
      <c r="M799" s="6" t="s">
        <v>5847</v>
      </c>
      <c r="N799" s="6" t="s">
        <v>5650</v>
      </c>
      <c r="O799" s="8" t="s">
        <v>5651</v>
      </c>
      <c r="P799" s="6" t="s">
        <v>5652</v>
      </c>
      <c r="Q799" s="6" t="s">
        <v>31</v>
      </c>
      <c r="R799" s="6" t="s">
        <v>64</v>
      </c>
      <c r="S799" s="8" t="s">
        <v>5653</v>
      </c>
      <c r="T799" s="6" t="s">
        <v>66</v>
      </c>
      <c r="U799" s="8" t="s">
        <v>31</v>
      </c>
      <c r="V799" s="6" t="s">
        <v>5848</v>
      </c>
      <c r="W799" s="6" t="s">
        <v>5646</v>
      </c>
      <c r="X799" s="9" t="str">
        <f>HYPERLINK("https://my.pitchbook.com?p=58649-86P","View People Online")</f>
        <v>View People Online</v>
      </c>
    </row>
    <row r="800">
      <c r="A800" s="10" t="s">
        <v>5849</v>
      </c>
      <c r="B800" s="10" t="s">
        <v>5850</v>
      </c>
      <c r="C800" s="10" t="s">
        <v>5851</v>
      </c>
      <c r="D800" s="10" t="s">
        <v>5852</v>
      </c>
      <c r="E800" s="10" t="s">
        <v>5646</v>
      </c>
      <c r="F800" s="10" t="s">
        <v>3600</v>
      </c>
      <c r="G800" s="10" t="s">
        <v>5853</v>
      </c>
      <c r="H800" s="11" t="s">
        <v>31</v>
      </c>
      <c r="I800" s="11">
        <v>1.0</v>
      </c>
      <c r="J800" s="11">
        <v>1.0</v>
      </c>
      <c r="K800" s="11" t="s">
        <v>31</v>
      </c>
      <c r="L800" s="12" t="s">
        <v>5659</v>
      </c>
      <c r="M800" s="10" t="s">
        <v>5854</v>
      </c>
      <c r="N800" s="10" t="s">
        <v>5650</v>
      </c>
      <c r="O800" s="12" t="s">
        <v>5651</v>
      </c>
      <c r="P800" s="10" t="s">
        <v>5652</v>
      </c>
      <c r="Q800" s="10" t="s">
        <v>31</v>
      </c>
      <c r="R800" s="10" t="s">
        <v>64</v>
      </c>
      <c r="S800" s="12" t="s">
        <v>5653</v>
      </c>
      <c r="T800" s="10" t="s">
        <v>66</v>
      </c>
      <c r="U800" s="12" t="s">
        <v>31</v>
      </c>
      <c r="V800" s="10" t="s">
        <v>5855</v>
      </c>
      <c r="W800" s="10" t="s">
        <v>5646</v>
      </c>
      <c r="X800" s="13" t="str">
        <f>HYPERLINK("https://my.pitchbook.com?p=104468-59P","View People Online")</f>
        <v>View People Online</v>
      </c>
    </row>
    <row r="801">
      <c r="A801" s="6" t="s">
        <v>5856</v>
      </c>
      <c r="B801" s="6" t="s">
        <v>5857</v>
      </c>
      <c r="C801" s="6" t="s">
        <v>4332</v>
      </c>
      <c r="D801" s="6" t="s">
        <v>5858</v>
      </c>
      <c r="E801" s="6" t="s">
        <v>5646</v>
      </c>
      <c r="F801" s="6" t="s">
        <v>371</v>
      </c>
      <c r="G801" s="6" t="s">
        <v>5859</v>
      </c>
      <c r="H801" s="7" t="s">
        <v>31</v>
      </c>
      <c r="I801" s="7">
        <v>1.0</v>
      </c>
      <c r="J801" s="7">
        <v>1.0</v>
      </c>
      <c r="K801" s="7" t="s">
        <v>31</v>
      </c>
      <c r="L801" s="8" t="s">
        <v>5659</v>
      </c>
      <c r="M801" s="6" t="s">
        <v>5860</v>
      </c>
      <c r="N801" s="6" t="s">
        <v>5650</v>
      </c>
      <c r="O801" s="8" t="s">
        <v>5651</v>
      </c>
      <c r="P801" s="6" t="s">
        <v>5652</v>
      </c>
      <c r="Q801" s="6" t="s">
        <v>31</v>
      </c>
      <c r="R801" s="6" t="s">
        <v>64</v>
      </c>
      <c r="S801" s="8" t="s">
        <v>5653</v>
      </c>
      <c r="T801" s="6" t="s">
        <v>66</v>
      </c>
      <c r="U801" s="8" t="s">
        <v>31</v>
      </c>
      <c r="V801" s="6" t="s">
        <v>5861</v>
      </c>
      <c r="W801" s="6" t="s">
        <v>5646</v>
      </c>
      <c r="X801" s="9" t="str">
        <f>HYPERLINK("https://my.pitchbook.com?p=123351-13P","View People Online")</f>
        <v>View People Online</v>
      </c>
    </row>
    <row r="802">
      <c r="A802" s="10" t="s">
        <v>5862</v>
      </c>
      <c r="B802" s="10" t="s">
        <v>5863</v>
      </c>
      <c r="C802" s="10" t="s">
        <v>3811</v>
      </c>
      <c r="D802" s="10" t="s">
        <v>5864</v>
      </c>
      <c r="E802" s="10" t="s">
        <v>5646</v>
      </c>
      <c r="F802" s="10" t="s">
        <v>312</v>
      </c>
      <c r="G802" s="10" t="s">
        <v>5865</v>
      </c>
      <c r="H802" s="11" t="s">
        <v>31</v>
      </c>
      <c r="I802" s="11">
        <v>1.0</v>
      </c>
      <c r="J802" s="11">
        <v>1.0</v>
      </c>
      <c r="K802" s="11" t="s">
        <v>31</v>
      </c>
      <c r="L802" s="12" t="s">
        <v>5659</v>
      </c>
      <c r="M802" s="10" t="s">
        <v>5866</v>
      </c>
      <c r="N802" s="10" t="s">
        <v>5650</v>
      </c>
      <c r="O802" s="12" t="s">
        <v>5651</v>
      </c>
      <c r="P802" s="10" t="s">
        <v>5652</v>
      </c>
      <c r="Q802" s="10" t="s">
        <v>31</v>
      </c>
      <c r="R802" s="10" t="s">
        <v>64</v>
      </c>
      <c r="S802" s="12" t="s">
        <v>5653</v>
      </c>
      <c r="T802" s="10" t="s">
        <v>66</v>
      </c>
      <c r="U802" s="12" t="s">
        <v>31</v>
      </c>
      <c r="V802" s="10" t="s">
        <v>5867</v>
      </c>
      <c r="W802" s="10" t="s">
        <v>5646</v>
      </c>
      <c r="X802" s="13" t="str">
        <f>HYPERLINK("https://my.pitchbook.com?p=243375-04P","View People Online")</f>
        <v>View People Online</v>
      </c>
    </row>
    <row r="803">
      <c r="A803" s="14" t="s">
        <v>5868</v>
      </c>
      <c r="B803" s="14" t="s">
        <v>5869</v>
      </c>
      <c r="C803" s="14" t="s">
        <v>5608</v>
      </c>
      <c r="D803" s="14" t="s">
        <v>5870</v>
      </c>
      <c r="E803" s="14" t="s">
        <v>5646</v>
      </c>
      <c r="F803" s="14" t="s">
        <v>270</v>
      </c>
      <c r="G803" s="14" t="s">
        <v>5871</v>
      </c>
      <c r="H803" s="15" t="s">
        <v>31</v>
      </c>
      <c r="I803" s="15">
        <v>1.0</v>
      </c>
      <c r="J803" s="15">
        <v>1.0</v>
      </c>
      <c r="K803" s="15" t="s">
        <v>31</v>
      </c>
      <c r="L803" s="16" t="s">
        <v>31</v>
      </c>
      <c r="M803" s="14" t="s">
        <v>5872</v>
      </c>
      <c r="N803" s="14" t="s">
        <v>75</v>
      </c>
      <c r="O803" s="16" t="s">
        <v>76</v>
      </c>
      <c r="P803" s="14" t="s">
        <v>5688</v>
      </c>
      <c r="Q803" s="14" t="s">
        <v>31</v>
      </c>
      <c r="R803" s="14" t="s">
        <v>75</v>
      </c>
      <c r="S803" s="16" t="s">
        <v>5689</v>
      </c>
      <c r="T803" s="14" t="s">
        <v>66</v>
      </c>
      <c r="U803" s="16" t="s">
        <v>31</v>
      </c>
      <c r="V803" s="14" t="s">
        <v>5873</v>
      </c>
      <c r="W803" s="14" t="s">
        <v>5646</v>
      </c>
      <c r="X803" s="17" t="str">
        <f>HYPERLINK("https://my.pitchbook.com?p=123346-00P","View People Online")</f>
        <v>View People Online</v>
      </c>
    </row>
    <row r="804">
      <c r="A804" s="10" t="s">
        <v>5874</v>
      </c>
      <c r="B804" s="10" t="s">
        <v>5875</v>
      </c>
      <c r="C804" s="10" t="s">
        <v>5876</v>
      </c>
      <c r="D804" s="10" t="s">
        <v>5877</v>
      </c>
      <c r="E804" s="10" t="s">
        <v>5646</v>
      </c>
      <c r="F804" s="10" t="s">
        <v>270</v>
      </c>
      <c r="G804" s="10" t="s">
        <v>5878</v>
      </c>
      <c r="H804" s="11" t="s">
        <v>31</v>
      </c>
      <c r="I804" s="11">
        <v>1.0</v>
      </c>
      <c r="J804" s="11">
        <v>1.0</v>
      </c>
      <c r="K804" s="11" t="s">
        <v>31</v>
      </c>
      <c r="L804" s="12" t="s">
        <v>5659</v>
      </c>
      <c r="M804" s="10" t="s">
        <v>5879</v>
      </c>
      <c r="N804" s="10" t="s">
        <v>5650</v>
      </c>
      <c r="O804" s="12" t="s">
        <v>5651</v>
      </c>
      <c r="P804" s="10" t="s">
        <v>5652</v>
      </c>
      <c r="Q804" s="10" t="s">
        <v>31</v>
      </c>
      <c r="R804" s="10" t="s">
        <v>64</v>
      </c>
      <c r="S804" s="12" t="s">
        <v>5653</v>
      </c>
      <c r="T804" s="10" t="s">
        <v>66</v>
      </c>
      <c r="U804" s="12" t="s">
        <v>31</v>
      </c>
      <c r="V804" s="10" t="s">
        <v>5880</v>
      </c>
      <c r="W804" s="10" t="s">
        <v>5646</v>
      </c>
      <c r="X804" s="13" t="str">
        <f>HYPERLINK("https://my.pitchbook.com?p=84102-76P","View People Online")</f>
        <v>View People Online</v>
      </c>
    </row>
    <row r="805">
      <c r="A805" s="6" t="s">
        <v>5881</v>
      </c>
      <c r="B805" s="6" t="s">
        <v>5882</v>
      </c>
      <c r="C805" s="6" t="s">
        <v>2950</v>
      </c>
      <c r="D805" s="6" t="s">
        <v>5883</v>
      </c>
      <c r="E805" s="6" t="s">
        <v>5646</v>
      </c>
      <c r="F805" s="6" t="s">
        <v>5884</v>
      </c>
      <c r="G805" s="6" t="s">
        <v>5885</v>
      </c>
      <c r="H805" s="7" t="s">
        <v>31</v>
      </c>
      <c r="I805" s="7">
        <v>1.0</v>
      </c>
      <c r="J805" s="7">
        <v>1.0</v>
      </c>
      <c r="K805" s="7" t="s">
        <v>31</v>
      </c>
      <c r="L805" s="8" t="s">
        <v>5659</v>
      </c>
      <c r="M805" s="6" t="s">
        <v>5886</v>
      </c>
      <c r="N805" s="6" t="s">
        <v>5650</v>
      </c>
      <c r="O805" s="8" t="s">
        <v>5651</v>
      </c>
      <c r="P805" s="6" t="s">
        <v>5652</v>
      </c>
      <c r="Q805" s="6" t="s">
        <v>31</v>
      </c>
      <c r="R805" s="6" t="s">
        <v>64</v>
      </c>
      <c r="S805" s="8" t="s">
        <v>5653</v>
      </c>
      <c r="T805" s="6" t="s">
        <v>66</v>
      </c>
      <c r="U805" s="8" t="s">
        <v>31</v>
      </c>
      <c r="V805" s="6" t="s">
        <v>2379</v>
      </c>
      <c r="W805" s="6" t="s">
        <v>5887</v>
      </c>
      <c r="X805" s="9" t="str">
        <f>HYPERLINK("https://my.pitchbook.com?p=212140-27P","View People Online")</f>
        <v>View People Online</v>
      </c>
    </row>
    <row r="806">
      <c r="A806" s="2" t="s">
        <v>5888</v>
      </c>
      <c r="B806" s="2" t="s">
        <v>5889</v>
      </c>
      <c r="C806" s="2" t="s">
        <v>823</v>
      </c>
      <c r="D806" s="2" t="s">
        <v>5890</v>
      </c>
      <c r="E806" s="2" t="s">
        <v>5646</v>
      </c>
      <c r="F806" s="2" t="s">
        <v>1801</v>
      </c>
      <c r="G806" s="2" t="s">
        <v>5891</v>
      </c>
      <c r="H806" s="3" t="s">
        <v>31</v>
      </c>
      <c r="I806" s="3">
        <v>1.0</v>
      </c>
      <c r="J806" s="3">
        <v>1.0</v>
      </c>
      <c r="K806" s="3" t="s">
        <v>31</v>
      </c>
      <c r="L806" s="4" t="s">
        <v>5659</v>
      </c>
      <c r="M806" s="2" t="s">
        <v>5892</v>
      </c>
      <c r="N806" s="2" t="s">
        <v>5650</v>
      </c>
      <c r="O806" s="4" t="s">
        <v>5651</v>
      </c>
      <c r="P806" s="2" t="s">
        <v>5652</v>
      </c>
      <c r="Q806" s="2" t="s">
        <v>31</v>
      </c>
      <c r="R806" s="2" t="s">
        <v>64</v>
      </c>
      <c r="S806" s="4" t="s">
        <v>5653</v>
      </c>
      <c r="T806" s="2" t="s">
        <v>66</v>
      </c>
      <c r="U806" s="4" t="s">
        <v>31</v>
      </c>
      <c r="V806" s="2" t="s">
        <v>5893</v>
      </c>
      <c r="W806" s="2" t="s">
        <v>5646</v>
      </c>
      <c r="X806" s="5" t="str">
        <f>HYPERLINK("https://my.pitchbook.com?p=319087-00P","View People Online")</f>
        <v>View People Online</v>
      </c>
    </row>
    <row r="807">
      <c r="A807" s="14" t="s">
        <v>5894</v>
      </c>
      <c r="B807" s="14" t="s">
        <v>5895</v>
      </c>
      <c r="C807" s="14" t="s">
        <v>5358</v>
      </c>
      <c r="D807" s="14" t="s">
        <v>5896</v>
      </c>
      <c r="E807" s="14" t="s">
        <v>5646</v>
      </c>
      <c r="F807" s="14" t="s">
        <v>825</v>
      </c>
      <c r="G807" s="14" t="s">
        <v>5897</v>
      </c>
      <c r="H807" s="15" t="s">
        <v>31</v>
      </c>
      <c r="I807" s="15">
        <v>1.0</v>
      </c>
      <c r="J807" s="15">
        <v>1.0</v>
      </c>
      <c r="K807" s="15" t="s">
        <v>31</v>
      </c>
      <c r="L807" s="16" t="s">
        <v>5659</v>
      </c>
      <c r="M807" s="14" t="s">
        <v>5898</v>
      </c>
      <c r="N807" s="14" t="s">
        <v>5650</v>
      </c>
      <c r="O807" s="16" t="s">
        <v>5651</v>
      </c>
      <c r="P807" s="14" t="s">
        <v>5652</v>
      </c>
      <c r="Q807" s="14" t="s">
        <v>31</v>
      </c>
      <c r="R807" s="14" t="s">
        <v>64</v>
      </c>
      <c r="S807" s="16" t="s">
        <v>5653</v>
      </c>
      <c r="T807" s="14" t="s">
        <v>66</v>
      </c>
      <c r="U807" s="16" t="s">
        <v>31</v>
      </c>
      <c r="V807" s="14" t="s">
        <v>5899</v>
      </c>
      <c r="W807" s="14" t="s">
        <v>5646</v>
      </c>
      <c r="X807" s="17" t="str">
        <f>HYPERLINK("https://my.pitchbook.com?p=173020-33P","View People Online")</f>
        <v>View People Online</v>
      </c>
    </row>
    <row r="808">
      <c r="A808" s="2" t="s">
        <v>5900</v>
      </c>
      <c r="B808" s="2" t="s">
        <v>5901</v>
      </c>
      <c r="C808" s="2" t="s">
        <v>3984</v>
      </c>
      <c r="D808" s="2" t="s">
        <v>1267</v>
      </c>
      <c r="E808" s="2" t="s">
        <v>5646</v>
      </c>
      <c r="F808" s="2" t="s">
        <v>78</v>
      </c>
      <c r="G808" s="2" t="s">
        <v>5902</v>
      </c>
      <c r="H808" s="3" t="s">
        <v>31</v>
      </c>
      <c r="I808" s="3">
        <v>4.0</v>
      </c>
      <c r="J808" s="3">
        <v>1.0</v>
      </c>
      <c r="K808" s="3">
        <v>1.0</v>
      </c>
      <c r="L808" s="4" t="s">
        <v>5659</v>
      </c>
      <c r="M808" s="2" t="s">
        <v>5903</v>
      </c>
      <c r="N808" s="2" t="s">
        <v>5650</v>
      </c>
      <c r="O808" s="4" t="s">
        <v>5651</v>
      </c>
      <c r="P808" s="2" t="s">
        <v>5652</v>
      </c>
      <c r="Q808" s="2" t="s">
        <v>31</v>
      </c>
      <c r="R808" s="2" t="s">
        <v>64</v>
      </c>
      <c r="S808" s="4" t="s">
        <v>5653</v>
      </c>
      <c r="T808" s="2" t="s">
        <v>66</v>
      </c>
      <c r="U808" s="4" t="s">
        <v>31</v>
      </c>
      <c r="V808" s="2" t="s">
        <v>78</v>
      </c>
      <c r="W808" s="2" t="s">
        <v>5646</v>
      </c>
      <c r="X808" s="5" t="str">
        <f>HYPERLINK("https://my.pitchbook.com?p=43303-96P","View People Online")</f>
        <v>View People Online</v>
      </c>
    </row>
    <row r="809">
      <c r="A809" s="14" t="s">
        <v>5904</v>
      </c>
      <c r="B809" s="14" t="s">
        <v>5905</v>
      </c>
      <c r="C809" s="14" t="s">
        <v>4404</v>
      </c>
      <c r="D809" s="14" t="s">
        <v>5906</v>
      </c>
      <c r="E809" s="14" t="s">
        <v>5646</v>
      </c>
      <c r="F809" s="14" t="s">
        <v>371</v>
      </c>
      <c r="G809" s="14" t="s">
        <v>5907</v>
      </c>
      <c r="H809" s="15">
        <v>2.0</v>
      </c>
      <c r="I809" s="15">
        <v>3.0</v>
      </c>
      <c r="J809" s="15">
        <v>2.0</v>
      </c>
      <c r="K809" s="15" t="s">
        <v>31</v>
      </c>
      <c r="L809" s="16" t="s">
        <v>5908</v>
      </c>
      <c r="M809" s="14" t="s">
        <v>31</v>
      </c>
      <c r="N809" s="14" t="s">
        <v>5909</v>
      </c>
      <c r="O809" s="16" t="s">
        <v>5910</v>
      </c>
      <c r="P809" s="14" t="s">
        <v>5911</v>
      </c>
      <c r="Q809" s="14" t="s">
        <v>31</v>
      </c>
      <c r="R809" s="14" t="s">
        <v>75</v>
      </c>
      <c r="S809" s="16" t="s">
        <v>5912</v>
      </c>
      <c r="T809" s="14" t="s">
        <v>66</v>
      </c>
      <c r="U809" s="16" t="s">
        <v>31</v>
      </c>
      <c r="V809" s="14" t="s">
        <v>5913</v>
      </c>
      <c r="W809" s="14" t="s">
        <v>5914</v>
      </c>
      <c r="X809" s="17" t="str">
        <f>HYPERLINK("https://my.pitchbook.com?p=395795-35P","View People Online")</f>
        <v>View People Online</v>
      </c>
    </row>
    <row r="810">
      <c r="A810" s="2" t="s">
        <v>5915</v>
      </c>
      <c r="B810" s="2" t="s">
        <v>5916</v>
      </c>
      <c r="C810" s="2" t="s">
        <v>5071</v>
      </c>
      <c r="D810" s="2" t="s">
        <v>5917</v>
      </c>
      <c r="E810" s="2" t="s">
        <v>5646</v>
      </c>
      <c r="F810" s="2" t="s">
        <v>3710</v>
      </c>
      <c r="G810" s="2" t="s">
        <v>5918</v>
      </c>
      <c r="H810" s="3" t="s">
        <v>31</v>
      </c>
      <c r="I810" s="3">
        <v>1.0</v>
      </c>
      <c r="J810" s="3">
        <v>1.0</v>
      </c>
      <c r="K810" s="3" t="s">
        <v>31</v>
      </c>
      <c r="L810" s="4" t="s">
        <v>5659</v>
      </c>
      <c r="M810" s="2" t="s">
        <v>5919</v>
      </c>
      <c r="N810" s="2" t="s">
        <v>5650</v>
      </c>
      <c r="O810" s="4" t="s">
        <v>5651</v>
      </c>
      <c r="P810" s="2" t="s">
        <v>5652</v>
      </c>
      <c r="Q810" s="2" t="s">
        <v>31</v>
      </c>
      <c r="R810" s="2" t="s">
        <v>64</v>
      </c>
      <c r="S810" s="4" t="s">
        <v>5653</v>
      </c>
      <c r="T810" s="2" t="s">
        <v>66</v>
      </c>
      <c r="U810" s="4" t="s">
        <v>31</v>
      </c>
      <c r="V810" s="2" t="s">
        <v>5920</v>
      </c>
      <c r="W810" s="2" t="s">
        <v>5646</v>
      </c>
      <c r="X810" s="5" t="str">
        <f>HYPERLINK("https://my.pitchbook.com?p=18092-80P","View People Online")</f>
        <v>View People Online</v>
      </c>
    </row>
    <row r="811">
      <c r="A811" s="6" t="s">
        <v>5921</v>
      </c>
      <c r="B811" s="6" t="s">
        <v>5922</v>
      </c>
      <c r="C811" s="6" t="s">
        <v>5363</v>
      </c>
      <c r="D811" s="6" t="s">
        <v>5923</v>
      </c>
      <c r="E811" s="6" t="s">
        <v>5646</v>
      </c>
      <c r="F811" s="6" t="s">
        <v>270</v>
      </c>
      <c r="G811" s="6" t="s">
        <v>5924</v>
      </c>
      <c r="H811" s="7" t="s">
        <v>31</v>
      </c>
      <c r="I811" s="7">
        <v>1.0</v>
      </c>
      <c r="J811" s="7">
        <v>1.0</v>
      </c>
      <c r="K811" s="7" t="s">
        <v>31</v>
      </c>
      <c r="L811" s="8" t="s">
        <v>5659</v>
      </c>
      <c r="M811" s="6" t="s">
        <v>5925</v>
      </c>
      <c r="N811" s="6" t="s">
        <v>5650</v>
      </c>
      <c r="O811" s="8" t="s">
        <v>5651</v>
      </c>
      <c r="P811" s="6" t="s">
        <v>5652</v>
      </c>
      <c r="Q811" s="6" t="s">
        <v>31</v>
      </c>
      <c r="R811" s="6" t="s">
        <v>64</v>
      </c>
      <c r="S811" s="8" t="s">
        <v>5653</v>
      </c>
      <c r="T811" s="6" t="s">
        <v>66</v>
      </c>
      <c r="U811" s="8" t="s">
        <v>31</v>
      </c>
      <c r="V811" s="6" t="s">
        <v>5926</v>
      </c>
      <c r="W811" s="6" t="s">
        <v>5646</v>
      </c>
      <c r="X811" s="9" t="str">
        <f>HYPERLINK("https://my.pitchbook.com?p=63033-94P","View People Online")</f>
        <v>View People Online</v>
      </c>
    </row>
    <row r="812">
      <c r="A812" s="10" t="s">
        <v>5927</v>
      </c>
      <c r="B812" s="10" t="s">
        <v>5928</v>
      </c>
      <c r="C812" s="10" t="s">
        <v>1343</v>
      </c>
      <c r="D812" s="10" t="s">
        <v>5929</v>
      </c>
      <c r="E812" s="10" t="s">
        <v>5646</v>
      </c>
      <c r="F812" s="10" t="s">
        <v>270</v>
      </c>
      <c r="G812" s="10" t="s">
        <v>5930</v>
      </c>
      <c r="H812" s="11" t="s">
        <v>31</v>
      </c>
      <c r="I812" s="11">
        <v>1.0</v>
      </c>
      <c r="J812" s="11">
        <v>1.0</v>
      </c>
      <c r="K812" s="11" t="s">
        <v>31</v>
      </c>
      <c r="L812" s="12" t="s">
        <v>5659</v>
      </c>
      <c r="M812" s="10" t="s">
        <v>5931</v>
      </c>
      <c r="N812" s="10" t="s">
        <v>5650</v>
      </c>
      <c r="O812" s="12" t="s">
        <v>5651</v>
      </c>
      <c r="P812" s="10" t="s">
        <v>5652</v>
      </c>
      <c r="Q812" s="10" t="s">
        <v>31</v>
      </c>
      <c r="R812" s="10" t="s">
        <v>64</v>
      </c>
      <c r="S812" s="12" t="s">
        <v>5653</v>
      </c>
      <c r="T812" s="10" t="s">
        <v>66</v>
      </c>
      <c r="U812" s="12" t="s">
        <v>31</v>
      </c>
      <c r="V812" s="10" t="s">
        <v>5932</v>
      </c>
      <c r="W812" s="10" t="s">
        <v>5646</v>
      </c>
      <c r="X812" s="13" t="str">
        <f>HYPERLINK("https://my.pitchbook.com?p=77806-18P","View People Online")</f>
        <v>View People Online</v>
      </c>
    </row>
    <row r="813">
      <c r="A813" s="6" t="s">
        <v>5933</v>
      </c>
      <c r="B813" s="6" t="s">
        <v>5934</v>
      </c>
      <c r="C813" s="6" t="s">
        <v>1343</v>
      </c>
      <c r="D813" s="6" t="s">
        <v>5935</v>
      </c>
      <c r="E813" s="6" t="s">
        <v>5646</v>
      </c>
      <c r="F813" s="6" t="s">
        <v>312</v>
      </c>
      <c r="G813" s="6" t="s">
        <v>5936</v>
      </c>
      <c r="H813" s="7" t="s">
        <v>31</v>
      </c>
      <c r="I813" s="7">
        <v>3.0</v>
      </c>
      <c r="J813" s="7">
        <v>1.0</v>
      </c>
      <c r="K813" s="7">
        <v>2.0</v>
      </c>
      <c r="L813" s="8" t="s">
        <v>5659</v>
      </c>
      <c r="M813" s="6" t="s">
        <v>5937</v>
      </c>
      <c r="N813" s="6" t="s">
        <v>5650</v>
      </c>
      <c r="O813" s="8" t="s">
        <v>5651</v>
      </c>
      <c r="P813" s="6" t="s">
        <v>5652</v>
      </c>
      <c r="Q813" s="6" t="s">
        <v>31</v>
      </c>
      <c r="R813" s="6" t="s">
        <v>64</v>
      </c>
      <c r="S813" s="8" t="s">
        <v>5653</v>
      </c>
      <c r="T813" s="6" t="s">
        <v>66</v>
      </c>
      <c r="U813" s="8" t="s">
        <v>31</v>
      </c>
      <c r="V813" s="6" t="s">
        <v>5938</v>
      </c>
      <c r="W813" s="6" t="s">
        <v>5646</v>
      </c>
      <c r="X813" s="9" t="str">
        <f>HYPERLINK("https://my.pitchbook.com?p=35711-11P","View People Online")</f>
        <v>View People Online</v>
      </c>
    </row>
    <row r="814">
      <c r="A814" s="10" t="s">
        <v>5939</v>
      </c>
      <c r="B814" s="10" t="s">
        <v>5940</v>
      </c>
      <c r="C814" s="10" t="s">
        <v>1343</v>
      </c>
      <c r="D814" s="10" t="s">
        <v>5941</v>
      </c>
      <c r="E814" s="10" t="s">
        <v>5646</v>
      </c>
      <c r="F814" s="10" t="s">
        <v>270</v>
      </c>
      <c r="G814" s="10" t="s">
        <v>5942</v>
      </c>
      <c r="H814" s="11">
        <v>2.0</v>
      </c>
      <c r="I814" s="11">
        <v>21.0</v>
      </c>
      <c r="J814" s="11">
        <v>2.0</v>
      </c>
      <c r="K814" s="11">
        <v>18.0</v>
      </c>
      <c r="L814" s="12" t="s">
        <v>5659</v>
      </c>
      <c r="M814" s="10" t="s">
        <v>5943</v>
      </c>
      <c r="N814" s="10" t="s">
        <v>5650</v>
      </c>
      <c r="O814" s="12" t="s">
        <v>5651</v>
      </c>
      <c r="P814" s="10" t="s">
        <v>5652</v>
      </c>
      <c r="Q814" s="10" t="s">
        <v>31</v>
      </c>
      <c r="R814" s="10" t="s">
        <v>64</v>
      </c>
      <c r="S814" s="12" t="s">
        <v>5653</v>
      </c>
      <c r="T814" s="10" t="s">
        <v>66</v>
      </c>
      <c r="U814" s="12" t="s">
        <v>31</v>
      </c>
      <c r="V814" s="10" t="s">
        <v>270</v>
      </c>
      <c r="W814" s="10" t="s">
        <v>5646</v>
      </c>
      <c r="X814" s="13" t="str">
        <f>HYPERLINK("https://my.pitchbook.com?p=58687-30P","View People Online")</f>
        <v>View People Online</v>
      </c>
    </row>
    <row r="815">
      <c r="A815" s="6" t="s">
        <v>5944</v>
      </c>
      <c r="B815" s="6" t="s">
        <v>5945</v>
      </c>
      <c r="C815" s="6" t="s">
        <v>1343</v>
      </c>
      <c r="D815" s="6" t="s">
        <v>5946</v>
      </c>
      <c r="E815" s="6" t="s">
        <v>5646</v>
      </c>
      <c r="F815" s="6" t="s">
        <v>312</v>
      </c>
      <c r="G815" s="6" t="s">
        <v>5947</v>
      </c>
      <c r="H815" s="7" t="s">
        <v>31</v>
      </c>
      <c r="I815" s="7">
        <v>1.0</v>
      </c>
      <c r="J815" s="7">
        <v>1.0</v>
      </c>
      <c r="K815" s="7" t="s">
        <v>31</v>
      </c>
      <c r="L815" s="8" t="s">
        <v>5659</v>
      </c>
      <c r="M815" s="6" t="s">
        <v>5948</v>
      </c>
      <c r="N815" s="6" t="s">
        <v>5650</v>
      </c>
      <c r="O815" s="8" t="s">
        <v>5651</v>
      </c>
      <c r="P815" s="6" t="s">
        <v>5652</v>
      </c>
      <c r="Q815" s="6" t="s">
        <v>31</v>
      </c>
      <c r="R815" s="6" t="s">
        <v>64</v>
      </c>
      <c r="S815" s="8" t="s">
        <v>5653</v>
      </c>
      <c r="T815" s="6" t="s">
        <v>66</v>
      </c>
      <c r="U815" s="8" t="s">
        <v>31</v>
      </c>
      <c r="V815" s="6" t="s">
        <v>5949</v>
      </c>
      <c r="W815" s="6" t="s">
        <v>5646</v>
      </c>
      <c r="X815" s="9" t="str">
        <f>HYPERLINK("https://my.pitchbook.com?p=260823-52P","View People Online")</f>
        <v>View People Online</v>
      </c>
    </row>
    <row r="816">
      <c r="A816" s="2" t="s">
        <v>5950</v>
      </c>
      <c r="B816" s="2" t="s">
        <v>5951</v>
      </c>
      <c r="C816" s="2" t="s">
        <v>5952</v>
      </c>
      <c r="D816" s="2" t="s">
        <v>5953</v>
      </c>
      <c r="E816" s="2" t="s">
        <v>5646</v>
      </c>
      <c r="F816" s="2" t="s">
        <v>312</v>
      </c>
      <c r="G816" s="2" t="s">
        <v>5954</v>
      </c>
      <c r="H816" s="3" t="s">
        <v>31</v>
      </c>
      <c r="I816" s="3">
        <v>2.0</v>
      </c>
      <c r="J816" s="3">
        <v>1.0</v>
      </c>
      <c r="K816" s="3">
        <v>1.0</v>
      </c>
      <c r="L816" s="4" t="s">
        <v>5659</v>
      </c>
      <c r="M816" s="2" t="s">
        <v>5955</v>
      </c>
      <c r="N816" s="2" t="s">
        <v>5650</v>
      </c>
      <c r="O816" s="4" t="s">
        <v>5651</v>
      </c>
      <c r="P816" s="2" t="s">
        <v>5652</v>
      </c>
      <c r="Q816" s="2" t="s">
        <v>31</v>
      </c>
      <c r="R816" s="2" t="s">
        <v>64</v>
      </c>
      <c r="S816" s="4" t="s">
        <v>5653</v>
      </c>
      <c r="T816" s="2" t="s">
        <v>66</v>
      </c>
      <c r="U816" s="4" t="s">
        <v>31</v>
      </c>
      <c r="V816" s="2" t="s">
        <v>5956</v>
      </c>
      <c r="W816" s="2" t="s">
        <v>5646</v>
      </c>
      <c r="X816" s="5" t="str">
        <f>HYPERLINK("https://my.pitchbook.com?p=104189-95P","View People Online")</f>
        <v>View People Online</v>
      </c>
    </row>
    <row r="817">
      <c r="A817" s="6" t="s">
        <v>5957</v>
      </c>
      <c r="B817" s="6" t="s">
        <v>5958</v>
      </c>
      <c r="C817" s="6" t="s">
        <v>3040</v>
      </c>
      <c r="D817" s="6" t="s">
        <v>5959</v>
      </c>
      <c r="E817" s="6" t="s">
        <v>5646</v>
      </c>
      <c r="F817" s="6" t="s">
        <v>270</v>
      </c>
      <c r="G817" s="6" t="s">
        <v>5960</v>
      </c>
      <c r="H817" s="7" t="s">
        <v>31</v>
      </c>
      <c r="I817" s="7">
        <v>1.0</v>
      </c>
      <c r="J817" s="7">
        <v>1.0</v>
      </c>
      <c r="K817" s="7" t="s">
        <v>31</v>
      </c>
      <c r="L817" s="8" t="s">
        <v>5659</v>
      </c>
      <c r="M817" s="6" t="s">
        <v>5961</v>
      </c>
      <c r="N817" s="6" t="s">
        <v>5650</v>
      </c>
      <c r="O817" s="8" t="s">
        <v>5651</v>
      </c>
      <c r="P817" s="6" t="s">
        <v>5652</v>
      </c>
      <c r="Q817" s="6" t="s">
        <v>31</v>
      </c>
      <c r="R817" s="6" t="s">
        <v>64</v>
      </c>
      <c r="S817" s="8" t="s">
        <v>5653</v>
      </c>
      <c r="T817" s="6" t="s">
        <v>66</v>
      </c>
      <c r="U817" s="8" t="s">
        <v>31</v>
      </c>
      <c r="V817" s="6" t="s">
        <v>5962</v>
      </c>
      <c r="W817" s="6" t="s">
        <v>5646</v>
      </c>
      <c r="X817" s="9" t="str">
        <f>HYPERLINK("https://my.pitchbook.com?p=42201-37P","View People Online")</f>
        <v>View People Online</v>
      </c>
    </row>
    <row r="818">
      <c r="A818" s="10" t="s">
        <v>5963</v>
      </c>
      <c r="B818" s="10" t="s">
        <v>5964</v>
      </c>
      <c r="C818" s="10" t="s">
        <v>3052</v>
      </c>
      <c r="D818" s="10" t="s">
        <v>5965</v>
      </c>
      <c r="E818" s="10" t="s">
        <v>5646</v>
      </c>
      <c r="F818" s="10" t="s">
        <v>5787</v>
      </c>
      <c r="G818" s="10" t="s">
        <v>5966</v>
      </c>
      <c r="H818" s="11" t="s">
        <v>31</v>
      </c>
      <c r="I818" s="11">
        <v>1.0</v>
      </c>
      <c r="J818" s="11">
        <v>1.0</v>
      </c>
      <c r="K818" s="11" t="s">
        <v>31</v>
      </c>
      <c r="L818" s="12" t="s">
        <v>31</v>
      </c>
      <c r="M818" s="10" t="s">
        <v>5967</v>
      </c>
      <c r="N818" s="10" t="s">
        <v>75</v>
      </c>
      <c r="O818" s="12" t="s">
        <v>76</v>
      </c>
      <c r="P818" s="10" t="s">
        <v>5688</v>
      </c>
      <c r="Q818" s="10" t="s">
        <v>31</v>
      </c>
      <c r="R818" s="10" t="s">
        <v>75</v>
      </c>
      <c r="S818" s="12" t="s">
        <v>5689</v>
      </c>
      <c r="T818" s="10" t="s">
        <v>66</v>
      </c>
      <c r="U818" s="12" t="s">
        <v>31</v>
      </c>
      <c r="V818" s="10" t="s">
        <v>5968</v>
      </c>
      <c r="W818" s="10" t="s">
        <v>5646</v>
      </c>
      <c r="X818" s="13" t="str">
        <f>HYPERLINK("https://my.pitchbook.com?p=61732-00P","View People Online")</f>
        <v>View People Online</v>
      </c>
    </row>
    <row r="819">
      <c r="A819" s="14" t="s">
        <v>5969</v>
      </c>
      <c r="B819" s="14" t="s">
        <v>5970</v>
      </c>
      <c r="C819" s="14" t="s">
        <v>5971</v>
      </c>
      <c r="D819" s="14" t="s">
        <v>5972</v>
      </c>
      <c r="E819" s="14" t="s">
        <v>5646</v>
      </c>
      <c r="F819" s="14" t="s">
        <v>371</v>
      </c>
      <c r="G819" s="14" t="s">
        <v>5973</v>
      </c>
      <c r="H819" s="15" t="s">
        <v>31</v>
      </c>
      <c r="I819" s="15">
        <v>1.0</v>
      </c>
      <c r="J819" s="15">
        <v>1.0</v>
      </c>
      <c r="K819" s="15" t="s">
        <v>31</v>
      </c>
      <c r="L819" s="16" t="s">
        <v>5659</v>
      </c>
      <c r="M819" s="14" t="s">
        <v>5974</v>
      </c>
      <c r="N819" s="14" t="s">
        <v>5650</v>
      </c>
      <c r="O819" s="16" t="s">
        <v>5651</v>
      </c>
      <c r="P819" s="14" t="s">
        <v>5652</v>
      </c>
      <c r="Q819" s="14" t="s">
        <v>31</v>
      </c>
      <c r="R819" s="14" t="s">
        <v>64</v>
      </c>
      <c r="S819" s="16" t="s">
        <v>5653</v>
      </c>
      <c r="T819" s="14" t="s">
        <v>66</v>
      </c>
      <c r="U819" s="16" t="s">
        <v>31</v>
      </c>
      <c r="V819" s="14" t="s">
        <v>5975</v>
      </c>
      <c r="W819" s="14" t="s">
        <v>5646</v>
      </c>
      <c r="X819" s="17" t="str">
        <f>HYPERLINK("https://my.pitchbook.com?p=240844-33P","View People Online")</f>
        <v>View People Online</v>
      </c>
    </row>
    <row r="820">
      <c r="A820" s="2" t="s">
        <v>5976</v>
      </c>
      <c r="B820" s="2" t="s">
        <v>5977</v>
      </c>
      <c r="C820" s="2" t="s">
        <v>2197</v>
      </c>
      <c r="D820" s="2" t="s">
        <v>5978</v>
      </c>
      <c r="E820" s="2" t="s">
        <v>5646</v>
      </c>
      <c r="F820" s="2" t="s">
        <v>5979</v>
      </c>
      <c r="G820" s="2" t="s">
        <v>5980</v>
      </c>
      <c r="H820" s="3" t="s">
        <v>31</v>
      </c>
      <c r="I820" s="3">
        <v>1.0</v>
      </c>
      <c r="J820" s="3">
        <v>1.0</v>
      </c>
      <c r="K820" s="3" t="s">
        <v>31</v>
      </c>
      <c r="L820" s="4" t="s">
        <v>5659</v>
      </c>
      <c r="M820" s="2" t="s">
        <v>5981</v>
      </c>
      <c r="N820" s="2" t="s">
        <v>5650</v>
      </c>
      <c r="O820" s="4" t="s">
        <v>5651</v>
      </c>
      <c r="P820" s="2" t="s">
        <v>5652</v>
      </c>
      <c r="Q820" s="2" t="s">
        <v>31</v>
      </c>
      <c r="R820" s="2" t="s">
        <v>64</v>
      </c>
      <c r="S820" s="4" t="s">
        <v>5653</v>
      </c>
      <c r="T820" s="2" t="s">
        <v>66</v>
      </c>
      <c r="U820" s="4" t="s">
        <v>31</v>
      </c>
      <c r="V820" s="2" t="s">
        <v>5982</v>
      </c>
      <c r="W820" s="2" t="s">
        <v>5646</v>
      </c>
      <c r="X820" s="5" t="str">
        <f>HYPERLINK("https://my.pitchbook.com?p=53363-17P","View People Online")</f>
        <v>View People Online</v>
      </c>
    </row>
    <row r="821">
      <c r="A821" s="14" t="s">
        <v>5983</v>
      </c>
      <c r="B821" s="14" t="s">
        <v>5984</v>
      </c>
      <c r="C821" s="14" t="s">
        <v>5985</v>
      </c>
      <c r="D821" s="14" t="s">
        <v>5986</v>
      </c>
      <c r="E821" s="14" t="s">
        <v>5646</v>
      </c>
      <c r="F821" s="14" t="s">
        <v>548</v>
      </c>
      <c r="G821" s="14" t="s">
        <v>5987</v>
      </c>
      <c r="H821" s="15" t="s">
        <v>31</v>
      </c>
      <c r="I821" s="15">
        <v>1.0</v>
      </c>
      <c r="J821" s="15">
        <v>1.0</v>
      </c>
      <c r="K821" s="15" t="s">
        <v>31</v>
      </c>
      <c r="L821" s="16" t="s">
        <v>5659</v>
      </c>
      <c r="M821" s="14" t="s">
        <v>5988</v>
      </c>
      <c r="N821" s="14" t="s">
        <v>5650</v>
      </c>
      <c r="O821" s="16" t="s">
        <v>5651</v>
      </c>
      <c r="P821" s="14" t="s">
        <v>5652</v>
      </c>
      <c r="Q821" s="14" t="s">
        <v>31</v>
      </c>
      <c r="R821" s="14" t="s">
        <v>64</v>
      </c>
      <c r="S821" s="16" t="s">
        <v>5653</v>
      </c>
      <c r="T821" s="14" t="s">
        <v>66</v>
      </c>
      <c r="U821" s="16" t="s">
        <v>31</v>
      </c>
      <c r="V821" s="14" t="s">
        <v>5989</v>
      </c>
      <c r="W821" s="14" t="s">
        <v>5646</v>
      </c>
      <c r="X821" s="17" t="str">
        <f>HYPERLINK("https://my.pitchbook.com?p=194126-95P","View People Online")</f>
        <v>View People Online</v>
      </c>
    </row>
    <row r="822">
      <c r="A822" s="10" t="s">
        <v>5990</v>
      </c>
      <c r="B822" s="10" t="s">
        <v>5991</v>
      </c>
      <c r="C822" s="10" t="s">
        <v>5992</v>
      </c>
      <c r="D822" s="10" t="s">
        <v>389</v>
      </c>
      <c r="E822" s="10" t="s">
        <v>5646</v>
      </c>
      <c r="F822" s="10" t="s">
        <v>4868</v>
      </c>
      <c r="G822" s="10" t="s">
        <v>5993</v>
      </c>
      <c r="H822" s="11" t="s">
        <v>31</v>
      </c>
      <c r="I822" s="11">
        <v>1.0</v>
      </c>
      <c r="J822" s="11">
        <v>1.0</v>
      </c>
      <c r="K822" s="11" t="s">
        <v>31</v>
      </c>
      <c r="L822" s="12" t="s">
        <v>5659</v>
      </c>
      <c r="M822" s="10" t="s">
        <v>5994</v>
      </c>
      <c r="N822" s="10" t="s">
        <v>5650</v>
      </c>
      <c r="O822" s="12" t="s">
        <v>5651</v>
      </c>
      <c r="P822" s="10" t="s">
        <v>5652</v>
      </c>
      <c r="Q822" s="10" t="s">
        <v>31</v>
      </c>
      <c r="R822" s="10" t="s">
        <v>64</v>
      </c>
      <c r="S822" s="12" t="s">
        <v>5653</v>
      </c>
      <c r="T822" s="10" t="s">
        <v>66</v>
      </c>
      <c r="U822" s="12" t="s">
        <v>31</v>
      </c>
      <c r="V822" s="10" t="s">
        <v>5995</v>
      </c>
      <c r="W822" s="10" t="s">
        <v>5646</v>
      </c>
      <c r="X822" s="13" t="str">
        <f>HYPERLINK("https://my.pitchbook.com?p=426997-36P","View People Online")</f>
        <v>View People Online</v>
      </c>
    </row>
    <row r="823">
      <c r="A823" s="14" t="s">
        <v>5996</v>
      </c>
      <c r="B823" s="14" t="s">
        <v>5997</v>
      </c>
      <c r="C823" s="14" t="s">
        <v>1489</v>
      </c>
      <c r="D823" s="14" t="s">
        <v>5998</v>
      </c>
      <c r="E823" s="14" t="s">
        <v>5646</v>
      </c>
      <c r="F823" s="14" t="s">
        <v>270</v>
      </c>
      <c r="G823" s="14" t="s">
        <v>5999</v>
      </c>
      <c r="H823" s="15" t="s">
        <v>31</v>
      </c>
      <c r="I823" s="15">
        <v>1.0</v>
      </c>
      <c r="J823" s="15">
        <v>1.0</v>
      </c>
      <c r="K823" s="15" t="s">
        <v>31</v>
      </c>
      <c r="L823" s="16" t="s">
        <v>5659</v>
      </c>
      <c r="M823" s="14" t="s">
        <v>6000</v>
      </c>
      <c r="N823" s="14" t="s">
        <v>5650</v>
      </c>
      <c r="O823" s="16" t="s">
        <v>5651</v>
      </c>
      <c r="P823" s="14" t="s">
        <v>5652</v>
      </c>
      <c r="Q823" s="14" t="s">
        <v>31</v>
      </c>
      <c r="R823" s="14" t="s">
        <v>64</v>
      </c>
      <c r="S823" s="16" t="s">
        <v>5653</v>
      </c>
      <c r="T823" s="14" t="s">
        <v>66</v>
      </c>
      <c r="U823" s="16" t="s">
        <v>31</v>
      </c>
      <c r="V823" s="14" t="s">
        <v>6001</v>
      </c>
      <c r="W823" s="14" t="s">
        <v>5646</v>
      </c>
      <c r="X823" s="17" t="str">
        <f>HYPERLINK("https://my.pitchbook.com?p=68052-70P","View People Online")</f>
        <v>View People Online</v>
      </c>
    </row>
    <row r="824">
      <c r="A824" s="2" t="s">
        <v>6002</v>
      </c>
      <c r="B824" s="2" t="s">
        <v>6003</v>
      </c>
      <c r="C824" s="2" t="s">
        <v>1489</v>
      </c>
      <c r="D824" s="2" t="s">
        <v>6004</v>
      </c>
      <c r="E824" s="2" t="s">
        <v>5646</v>
      </c>
      <c r="F824" s="2" t="s">
        <v>371</v>
      </c>
      <c r="G824" s="2" t="s">
        <v>6005</v>
      </c>
      <c r="H824" s="3" t="s">
        <v>31</v>
      </c>
      <c r="I824" s="3">
        <v>1.0</v>
      </c>
      <c r="J824" s="3">
        <v>1.0</v>
      </c>
      <c r="K824" s="3" t="s">
        <v>31</v>
      </c>
      <c r="L824" s="4" t="s">
        <v>5659</v>
      </c>
      <c r="M824" s="2" t="s">
        <v>6006</v>
      </c>
      <c r="N824" s="2" t="s">
        <v>5650</v>
      </c>
      <c r="O824" s="4" t="s">
        <v>5651</v>
      </c>
      <c r="P824" s="2" t="s">
        <v>5652</v>
      </c>
      <c r="Q824" s="2" t="s">
        <v>31</v>
      </c>
      <c r="R824" s="2" t="s">
        <v>64</v>
      </c>
      <c r="S824" s="4" t="s">
        <v>5653</v>
      </c>
      <c r="T824" s="2" t="s">
        <v>66</v>
      </c>
      <c r="U824" s="4" t="s">
        <v>31</v>
      </c>
      <c r="V824" s="2" t="s">
        <v>6007</v>
      </c>
      <c r="W824" s="2" t="s">
        <v>5646</v>
      </c>
      <c r="X824" s="5" t="str">
        <f>HYPERLINK("https://my.pitchbook.com?p=55477-36P","View People Online")</f>
        <v>View People Online</v>
      </c>
    </row>
    <row r="825">
      <c r="A825" s="6" t="s">
        <v>6008</v>
      </c>
      <c r="B825" s="6" t="s">
        <v>6009</v>
      </c>
      <c r="C825" s="6" t="s">
        <v>6010</v>
      </c>
      <c r="D825" s="6" t="s">
        <v>6011</v>
      </c>
      <c r="E825" s="6" t="s">
        <v>5646</v>
      </c>
      <c r="F825" s="6" t="s">
        <v>371</v>
      </c>
      <c r="G825" s="6" t="s">
        <v>6012</v>
      </c>
      <c r="H825" s="7" t="s">
        <v>31</v>
      </c>
      <c r="I825" s="7">
        <v>2.0</v>
      </c>
      <c r="J825" s="7">
        <v>1.0</v>
      </c>
      <c r="K825" s="7">
        <v>1.0</v>
      </c>
      <c r="L825" s="8" t="s">
        <v>5659</v>
      </c>
      <c r="M825" s="6" t="s">
        <v>6013</v>
      </c>
      <c r="N825" s="6" t="s">
        <v>5650</v>
      </c>
      <c r="O825" s="8" t="s">
        <v>5651</v>
      </c>
      <c r="P825" s="6" t="s">
        <v>5652</v>
      </c>
      <c r="Q825" s="6" t="s">
        <v>31</v>
      </c>
      <c r="R825" s="6" t="s">
        <v>64</v>
      </c>
      <c r="S825" s="8" t="s">
        <v>5653</v>
      </c>
      <c r="T825" s="6" t="s">
        <v>66</v>
      </c>
      <c r="U825" s="8" t="s">
        <v>31</v>
      </c>
      <c r="V825" s="6" t="s">
        <v>6014</v>
      </c>
      <c r="W825" s="6" t="s">
        <v>5646</v>
      </c>
      <c r="X825" s="9" t="str">
        <f>HYPERLINK("https://my.pitchbook.com?p=56944-81P","View People Online")</f>
        <v>View People Online</v>
      </c>
    </row>
    <row r="826">
      <c r="A826" s="10" t="s">
        <v>6015</v>
      </c>
      <c r="B826" s="10" t="s">
        <v>6016</v>
      </c>
      <c r="C826" s="10" t="s">
        <v>6017</v>
      </c>
      <c r="D826" s="10" t="s">
        <v>6018</v>
      </c>
      <c r="E826" s="10" t="s">
        <v>5646</v>
      </c>
      <c r="F826" s="10" t="s">
        <v>371</v>
      </c>
      <c r="G826" s="10" t="s">
        <v>6019</v>
      </c>
      <c r="H826" s="11" t="s">
        <v>31</v>
      </c>
      <c r="I826" s="11">
        <v>2.0</v>
      </c>
      <c r="J826" s="11">
        <v>1.0</v>
      </c>
      <c r="K826" s="11">
        <v>1.0</v>
      </c>
      <c r="L826" s="12" t="s">
        <v>5659</v>
      </c>
      <c r="M826" s="10" t="s">
        <v>6020</v>
      </c>
      <c r="N826" s="10" t="s">
        <v>5650</v>
      </c>
      <c r="O826" s="12" t="s">
        <v>5651</v>
      </c>
      <c r="P826" s="10" t="s">
        <v>5652</v>
      </c>
      <c r="Q826" s="10" t="s">
        <v>31</v>
      </c>
      <c r="R826" s="10" t="s">
        <v>64</v>
      </c>
      <c r="S826" s="12" t="s">
        <v>5653</v>
      </c>
      <c r="T826" s="10" t="s">
        <v>66</v>
      </c>
      <c r="U826" s="12" t="s">
        <v>31</v>
      </c>
      <c r="V826" s="10" t="s">
        <v>371</v>
      </c>
      <c r="W826" s="10" t="s">
        <v>5646</v>
      </c>
      <c r="X826" s="13" t="str">
        <f>HYPERLINK("https://my.pitchbook.com?p=453005-29P","View People Online")</f>
        <v>View People Online</v>
      </c>
    </row>
    <row r="827">
      <c r="A827" s="14" t="s">
        <v>6021</v>
      </c>
      <c r="B827" s="14" t="s">
        <v>6022</v>
      </c>
      <c r="C827" s="14" t="s">
        <v>6023</v>
      </c>
      <c r="D827" s="14" t="s">
        <v>6024</v>
      </c>
      <c r="E827" s="14" t="s">
        <v>5646</v>
      </c>
      <c r="F827" s="14" t="s">
        <v>1801</v>
      </c>
      <c r="G827" s="14" t="s">
        <v>6025</v>
      </c>
      <c r="H827" s="15" t="s">
        <v>31</v>
      </c>
      <c r="I827" s="15">
        <v>1.0</v>
      </c>
      <c r="J827" s="15">
        <v>1.0</v>
      </c>
      <c r="K827" s="15" t="s">
        <v>31</v>
      </c>
      <c r="L827" s="16" t="s">
        <v>5659</v>
      </c>
      <c r="M827" s="14" t="s">
        <v>6026</v>
      </c>
      <c r="N827" s="14" t="s">
        <v>5650</v>
      </c>
      <c r="O827" s="16" t="s">
        <v>5651</v>
      </c>
      <c r="P827" s="14" t="s">
        <v>5652</v>
      </c>
      <c r="Q827" s="14" t="s">
        <v>31</v>
      </c>
      <c r="R827" s="14" t="s">
        <v>64</v>
      </c>
      <c r="S827" s="16" t="s">
        <v>5653</v>
      </c>
      <c r="T827" s="14" t="s">
        <v>66</v>
      </c>
      <c r="U827" s="16" t="s">
        <v>31</v>
      </c>
      <c r="V827" s="14" t="s">
        <v>6027</v>
      </c>
      <c r="W827" s="14" t="s">
        <v>5646</v>
      </c>
      <c r="X827" s="17" t="str">
        <f>HYPERLINK("https://my.pitchbook.com?p=84483-91P","View People Online")</f>
        <v>View People Online</v>
      </c>
    </row>
    <row r="828">
      <c r="A828" s="10" t="s">
        <v>6028</v>
      </c>
      <c r="B828" s="10" t="s">
        <v>6029</v>
      </c>
      <c r="C828" s="10" t="s">
        <v>5113</v>
      </c>
      <c r="D828" s="10" t="s">
        <v>6030</v>
      </c>
      <c r="E828" s="10" t="s">
        <v>5646</v>
      </c>
      <c r="F828" s="10" t="s">
        <v>371</v>
      </c>
      <c r="G828" s="10" t="s">
        <v>6031</v>
      </c>
      <c r="H828" s="11" t="s">
        <v>31</v>
      </c>
      <c r="I828" s="11">
        <v>20.0</v>
      </c>
      <c r="J828" s="11">
        <v>2.0</v>
      </c>
      <c r="K828" s="11">
        <v>17.0</v>
      </c>
      <c r="L828" s="12" t="s">
        <v>5659</v>
      </c>
      <c r="M828" s="10" t="s">
        <v>6032</v>
      </c>
      <c r="N828" s="10" t="s">
        <v>5650</v>
      </c>
      <c r="O828" s="12" t="s">
        <v>5651</v>
      </c>
      <c r="P828" s="10" t="s">
        <v>5652</v>
      </c>
      <c r="Q828" s="10" t="s">
        <v>31</v>
      </c>
      <c r="R828" s="10" t="s">
        <v>64</v>
      </c>
      <c r="S828" s="12" t="s">
        <v>5653</v>
      </c>
      <c r="T828" s="10" t="s">
        <v>66</v>
      </c>
      <c r="U828" s="12" t="s">
        <v>31</v>
      </c>
      <c r="V828" s="10" t="s">
        <v>6033</v>
      </c>
      <c r="W828" s="10" t="s">
        <v>5646</v>
      </c>
      <c r="X828" s="13" t="str">
        <f>HYPERLINK("https://my.pitchbook.com?p=104182-03P","View People Online")</f>
        <v>View People Online</v>
      </c>
    </row>
    <row r="829">
      <c r="A829" s="6" t="s">
        <v>6034</v>
      </c>
      <c r="B829" s="6" t="s">
        <v>6035</v>
      </c>
      <c r="C829" s="6" t="s">
        <v>6036</v>
      </c>
      <c r="D829" s="6" t="s">
        <v>6037</v>
      </c>
      <c r="E829" s="6" t="s">
        <v>5646</v>
      </c>
      <c r="F829" s="6" t="s">
        <v>270</v>
      </c>
      <c r="G829" s="6" t="s">
        <v>6038</v>
      </c>
      <c r="H829" s="7" t="s">
        <v>31</v>
      </c>
      <c r="I829" s="7">
        <v>1.0</v>
      </c>
      <c r="J829" s="7">
        <v>1.0</v>
      </c>
      <c r="K829" s="7" t="s">
        <v>31</v>
      </c>
      <c r="L829" s="8" t="s">
        <v>5659</v>
      </c>
      <c r="M829" s="6" t="s">
        <v>6039</v>
      </c>
      <c r="N829" s="6" t="s">
        <v>5650</v>
      </c>
      <c r="O829" s="8" t="s">
        <v>5651</v>
      </c>
      <c r="P829" s="6" t="s">
        <v>5652</v>
      </c>
      <c r="Q829" s="6" t="s">
        <v>31</v>
      </c>
      <c r="R829" s="6" t="s">
        <v>64</v>
      </c>
      <c r="S829" s="8" t="s">
        <v>5653</v>
      </c>
      <c r="T829" s="6" t="s">
        <v>66</v>
      </c>
      <c r="U829" s="8" t="s">
        <v>31</v>
      </c>
      <c r="V829" s="6" t="s">
        <v>6040</v>
      </c>
      <c r="W829" s="6" t="s">
        <v>5646</v>
      </c>
      <c r="X829" s="9" t="str">
        <f>HYPERLINK("https://my.pitchbook.com?p=319087-81P","View People Online")</f>
        <v>View People Online</v>
      </c>
    </row>
    <row r="830">
      <c r="A830" s="2" t="s">
        <v>6041</v>
      </c>
      <c r="B830" s="2" t="s">
        <v>6042</v>
      </c>
      <c r="C830" s="2" t="s">
        <v>6043</v>
      </c>
      <c r="D830" s="2" t="s">
        <v>6044</v>
      </c>
      <c r="E830" s="2" t="s">
        <v>5646</v>
      </c>
      <c r="F830" s="2" t="s">
        <v>270</v>
      </c>
      <c r="G830" s="2" t="s">
        <v>6045</v>
      </c>
      <c r="H830" s="3" t="s">
        <v>31</v>
      </c>
      <c r="I830" s="3">
        <v>1.0</v>
      </c>
      <c r="J830" s="3">
        <v>1.0</v>
      </c>
      <c r="K830" s="3" t="s">
        <v>31</v>
      </c>
      <c r="L830" s="4" t="s">
        <v>5659</v>
      </c>
      <c r="M830" s="2" t="s">
        <v>6046</v>
      </c>
      <c r="N830" s="2" t="s">
        <v>5650</v>
      </c>
      <c r="O830" s="4" t="s">
        <v>5651</v>
      </c>
      <c r="P830" s="2" t="s">
        <v>5652</v>
      </c>
      <c r="Q830" s="2" t="s">
        <v>31</v>
      </c>
      <c r="R830" s="2" t="s">
        <v>64</v>
      </c>
      <c r="S830" s="4" t="s">
        <v>5653</v>
      </c>
      <c r="T830" s="2" t="s">
        <v>66</v>
      </c>
      <c r="U830" s="4" t="s">
        <v>31</v>
      </c>
      <c r="V830" s="2" t="s">
        <v>6047</v>
      </c>
      <c r="W830" s="2" t="s">
        <v>5646</v>
      </c>
      <c r="X830" s="5" t="str">
        <f>HYPERLINK("https://my.pitchbook.com?p=43005-88P","View People Online")</f>
        <v>View People Online</v>
      </c>
    </row>
    <row r="831">
      <c r="A831" s="14" t="s">
        <v>6048</v>
      </c>
      <c r="B831" s="14" t="s">
        <v>6049</v>
      </c>
      <c r="C831" s="14" t="s">
        <v>6050</v>
      </c>
      <c r="D831" s="14" t="s">
        <v>6051</v>
      </c>
      <c r="E831" s="14" t="s">
        <v>5646</v>
      </c>
      <c r="F831" s="14" t="s">
        <v>548</v>
      </c>
      <c r="G831" s="14" t="s">
        <v>6052</v>
      </c>
      <c r="H831" s="15" t="s">
        <v>31</v>
      </c>
      <c r="I831" s="15">
        <v>1.0</v>
      </c>
      <c r="J831" s="15">
        <v>1.0</v>
      </c>
      <c r="K831" s="15" t="s">
        <v>31</v>
      </c>
      <c r="L831" s="16" t="s">
        <v>5659</v>
      </c>
      <c r="M831" s="14" t="s">
        <v>6053</v>
      </c>
      <c r="N831" s="14" t="s">
        <v>5650</v>
      </c>
      <c r="O831" s="16" t="s">
        <v>5651</v>
      </c>
      <c r="P831" s="14" t="s">
        <v>5652</v>
      </c>
      <c r="Q831" s="14" t="s">
        <v>31</v>
      </c>
      <c r="R831" s="14" t="s">
        <v>64</v>
      </c>
      <c r="S831" s="16" t="s">
        <v>5653</v>
      </c>
      <c r="T831" s="14" t="s">
        <v>66</v>
      </c>
      <c r="U831" s="16" t="s">
        <v>31</v>
      </c>
      <c r="V831" s="14" t="s">
        <v>6054</v>
      </c>
      <c r="W831" s="14" t="s">
        <v>5646</v>
      </c>
      <c r="X831" s="17" t="str">
        <f>HYPERLINK("https://my.pitchbook.com?p=319107-25P","View People Online")</f>
        <v>View People Online</v>
      </c>
    </row>
    <row r="832">
      <c r="A832" s="2" t="s">
        <v>6055</v>
      </c>
      <c r="B832" s="2" t="s">
        <v>6056</v>
      </c>
      <c r="C832" s="2" t="s">
        <v>6057</v>
      </c>
      <c r="D832" s="2" t="s">
        <v>6058</v>
      </c>
      <c r="E832" s="2" t="s">
        <v>5646</v>
      </c>
      <c r="F832" s="2" t="s">
        <v>548</v>
      </c>
      <c r="G832" s="2" t="s">
        <v>6059</v>
      </c>
      <c r="H832" s="3" t="s">
        <v>31</v>
      </c>
      <c r="I832" s="3">
        <v>1.0</v>
      </c>
      <c r="J832" s="3">
        <v>1.0</v>
      </c>
      <c r="K832" s="3" t="s">
        <v>31</v>
      </c>
      <c r="L832" s="4" t="s">
        <v>5659</v>
      </c>
      <c r="M832" s="2" t="s">
        <v>6060</v>
      </c>
      <c r="N832" s="2" t="s">
        <v>5650</v>
      </c>
      <c r="O832" s="4" t="s">
        <v>5651</v>
      </c>
      <c r="P832" s="2" t="s">
        <v>5652</v>
      </c>
      <c r="Q832" s="2" t="s">
        <v>31</v>
      </c>
      <c r="R832" s="2" t="s">
        <v>64</v>
      </c>
      <c r="S832" s="4" t="s">
        <v>5653</v>
      </c>
      <c r="T832" s="2" t="s">
        <v>66</v>
      </c>
      <c r="U832" s="4" t="s">
        <v>31</v>
      </c>
      <c r="V832" s="2" t="s">
        <v>6061</v>
      </c>
      <c r="W832" s="2" t="s">
        <v>5646</v>
      </c>
      <c r="X832" s="5" t="str">
        <f>HYPERLINK("https://my.pitchbook.com?p=108891-37P","View People Online")</f>
        <v>View People Online</v>
      </c>
    </row>
    <row r="833">
      <c r="A833" s="14" t="s">
        <v>6062</v>
      </c>
      <c r="B833" s="14" t="s">
        <v>6063</v>
      </c>
      <c r="C833" s="14" t="s">
        <v>1645</v>
      </c>
      <c r="D833" s="14" t="s">
        <v>6064</v>
      </c>
      <c r="E833" s="14" t="s">
        <v>5646</v>
      </c>
      <c r="F833" s="14" t="s">
        <v>1801</v>
      </c>
      <c r="G833" s="14" t="s">
        <v>6065</v>
      </c>
      <c r="H833" s="15" t="s">
        <v>31</v>
      </c>
      <c r="I833" s="15">
        <v>1.0</v>
      </c>
      <c r="J833" s="15">
        <v>1.0</v>
      </c>
      <c r="K833" s="15" t="s">
        <v>31</v>
      </c>
      <c r="L833" s="16" t="s">
        <v>5659</v>
      </c>
      <c r="M833" s="14" t="s">
        <v>6066</v>
      </c>
      <c r="N833" s="14" t="s">
        <v>5650</v>
      </c>
      <c r="O833" s="16" t="s">
        <v>5651</v>
      </c>
      <c r="P833" s="14" t="s">
        <v>5652</v>
      </c>
      <c r="Q833" s="14" t="s">
        <v>31</v>
      </c>
      <c r="R833" s="14" t="s">
        <v>64</v>
      </c>
      <c r="S833" s="16" t="s">
        <v>5653</v>
      </c>
      <c r="T833" s="14" t="s">
        <v>66</v>
      </c>
      <c r="U833" s="16" t="s">
        <v>31</v>
      </c>
      <c r="V833" s="14" t="s">
        <v>5829</v>
      </c>
      <c r="W833" s="14" t="s">
        <v>5646</v>
      </c>
      <c r="X833" s="17" t="str">
        <f>HYPERLINK("https://my.pitchbook.com?p=66987-64P","View People Online")</f>
        <v>View People Online</v>
      </c>
    </row>
    <row r="834">
      <c r="A834" s="2" t="s">
        <v>6067</v>
      </c>
      <c r="B834" s="2" t="s">
        <v>6068</v>
      </c>
      <c r="C834" s="2" t="s">
        <v>3554</v>
      </c>
      <c r="D834" s="2" t="s">
        <v>6069</v>
      </c>
      <c r="E834" s="2" t="s">
        <v>5646</v>
      </c>
      <c r="F834" s="2" t="s">
        <v>270</v>
      </c>
      <c r="G834" s="2" t="s">
        <v>6070</v>
      </c>
      <c r="H834" s="3" t="s">
        <v>31</v>
      </c>
      <c r="I834" s="3">
        <v>1.0</v>
      </c>
      <c r="J834" s="3">
        <v>1.0</v>
      </c>
      <c r="K834" s="3" t="s">
        <v>31</v>
      </c>
      <c r="L834" s="4" t="s">
        <v>5659</v>
      </c>
      <c r="M834" s="2" t="s">
        <v>6071</v>
      </c>
      <c r="N834" s="2" t="s">
        <v>5650</v>
      </c>
      <c r="O834" s="4" t="s">
        <v>5651</v>
      </c>
      <c r="P834" s="2" t="s">
        <v>5652</v>
      </c>
      <c r="Q834" s="2" t="s">
        <v>31</v>
      </c>
      <c r="R834" s="2" t="s">
        <v>64</v>
      </c>
      <c r="S834" s="4" t="s">
        <v>5653</v>
      </c>
      <c r="T834" s="2" t="s">
        <v>66</v>
      </c>
      <c r="U834" s="4" t="s">
        <v>31</v>
      </c>
      <c r="V834" s="2" t="s">
        <v>6072</v>
      </c>
      <c r="W834" s="2" t="s">
        <v>5646</v>
      </c>
      <c r="X834" s="5" t="str">
        <f>HYPERLINK("https://my.pitchbook.com?p=46427-41P","View People Online")</f>
        <v>View People Online</v>
      </c>
    </row>
    <row r="835">
      <c r="A835" s="6" t="s">
        <v>6073</v>
      </c>
      <c r="B835" s="6" t="s">
        <v>6074</v>
      </c>
      <c r="C835" s="6" t="s">
        <v>160</v>
      </c>
      <c r="D835" s="6" t="s">
        <v>4228</v>
      </c>
      <c r="E835" s="6" t="s">
        <v>5646</v>
      </c>
      <c r="F835" s="6" t="s">
        <v>270</v>
      </c>
      <c r="G835" s="6" t="s">
        <v>6075</v>
      </c>
      <c r="H835" s="7" t="s">
        <v>31</v>
      </c>
      <c r="I835" s="7">
        <v>1.0</v>
      </c>
      <c r="J835" s="7">
        <v>1.0</v>
      </c>
      <c r="K835" s="7" t="s">
        <v>31</v>
      </c>
      <c r="L835" s="8" t="s">
        <v>5659</v>
      </c>
      <c r="M835" s="6" t="s">
        <v>6076</v>
      </c>
      <c r="N835" s="6" t="s">
        <v>5650</v>
      </c>
      <c r="O835" s="8" t="s">
        <v>5651</v>
      </c>
      <c r="P835" s="6" t="s">
        <v>5652</v>
      </c>
      <c r="Q835" s="6" t="s">
        <v>31</v>
      </c>
      <c r="R835" s="6" t="s">
        <v>64</v>
      </c>
      <c r="S835" s="8" t="s">
        <v>5653</v>
      </c>
      <c r="T835" s="6" t="s">
        <v>66</v>
      </c>
      <c r="U835" s="8" t="s">
        <v>31</v>
      </c>
      <c r="V835" s="6" t="s">
        <v>6077</v>
      </c>
      <c r="W835" s="6" t="s">
        <v>5646</v>
      </c>
      <c r="X835" s="9" t="str">
        <f>HYPERLINK("https://my.pitchbook.com?p=142351-57P","View People Online")</f>
        <v>View People Online</v>
      </c>
    </row>
    <row r="836">
      <c r="A836" s="2" t="s">
        <v>6078</v>
      </c>
      <c r="B836" s="2" t="s">
        <v>6079</v>
      </c>
      <c r="C836" s="2" t="s">
        <v>126</v>
      </c>
      <c r="D836" s="2" t="s">
        <v>6080</v>
      </c>
      <c r="E836" s="2" t="s">
        <v>5646</v>
      </c>
      <c r="F836" s="2" t="s">
        <v>270</v>
      </c>
      <c r="G836" s="2" t="s">
        <v>6081</v>
      </c>
      <c r="H836" s="3" t="s">
        <v>31</v>
      </c>
      <c r="I836" s="3">
        <v>1.0</v>
      </c>
      <c r="J836" s="3">
        <v>1.0</v>
      </c>
      <c r="K836" s="3" t="s">
        <v>31</v>
      </c>
      <c r="L836" s="4" t="s">
        <v>5659</v>
      </c>
      <c r="M836" s="2" t="s">
        <v>6082</v>
      </c>
      <c r="N836" s="2" t="s">
        <v>5650</v>
      </c>
      <c r="O836" s="4" t="s">
        <v>5651</v>
      </c>
      <c r="P836" s="2" t="s">
        <v>5652</v>
      </c>
      <c r="Q836" s="2" t="s">
        <v>31</v>
      </c>
      <c r="R836" s="2" t="s">
        <v>64</v>
      </c>
      <c r="S836" s="4" t="s">
        <v>5653</v>
      </c>
      <c r="T836" s="2" t="s">
        <v>66</v>
      </c>
      <c r="U836" s="4" t="s">
        <v>31</v>
      </c>
      <c r="V836" s="2" t="s">
        <v>6083</v>
      </c>
      <c r="W836" s="2" t="s">
        <v>5646</v>
      </c>
      <c r="X836" s="5" t="str">
        <f>HYPERLINK("https://my.pitchbook.com?p=139007-08P","View People Online")</f>
        <v>View People Online</v>
      </c>
    </row>
    <row r="837">
      <c r="A837" s="14" t="s">
        <v>6084</v>
      </c>
      <c r="B837" s="14" t="s">
        <v>6085</v>
      </c>
      <c r="C837" s="14" t="s">
        <v>126</v>
      </c>
      <c r="D837" s="14" t="s">
        <v>6086</v>
      </c>
      <c r="E837" s="14" t="s">
        <v>5646</v>
      </c>
      <c r="F837" s="14" t="s">
        <v>1801</v>
      </c>
      <c r="G837" s="14" t="s">
        <v>6087</v>
      </c>
      <c r="H837" s="15" t="s">
        <v>31</v>
      </c>
      <c r="I837" s="15">
        <v>1.0</v>
      </c>
      <c r="J837" s="15">
        <v>1.0</v>
      </c>
      <c r="K837" s="15" t="s">
        <v>31</v>
      </c>
      <c r="L837" s="16" t="s">
        <v>5659</v>
      </c>
      <c r="M837" s="14" t="s">
        <v>6088</v>
      </c>
      <c r="N837" s="14" t="s">
        <v>5650</v>
      </c>
      <c r="O837" s="16" t="s">
        <v>5651</v>
      </c>
      <c r="P837" s="14" t="s">
        <v>5652</v>
      </c>
      <c r="Q837" s="14" t="s">
        <v>31</v>
      </c>
      <c r="R837" s="14" t="s">
        <v>64</v>
      </c>
      <c r="S837" s="16" t="s">
        <v>5653</v>
      </c>
      <c r="T837" s="14" t="s">
        <v>66</v>
      </c>
      <c r="U837" s="16" t="s">
        <v>31</v>
      </c>
      <c r="V837" s="14" t="s">
        <v>6089</v>
      </c>
      <c r="W837" s="14" t="s">
        <v>5646</v>
      </c>
      <c r="X837" s="17" t="str">
        <f>HYPERLINK("https://my.pitchbook.com?p=90737-20P","View People Online")</f>
        <v>View People Online</v>
      </c>
    </row>
    <row r="838">
      <c r="A838" s="2" t="s">
        <v>6090</v>
      </c>
      <c r="B838" s="2" t="s">
        <v>6091</v>
      </c>
      <c r="C838" s="2" t="s">
        <v>1807</v>
      </c>
      <c r="D838" s="2" t="s">
        <v>6092</v>
      </c>
      <c r="E838" s="2" t="s">
        <v>5646</v>
      </c>
      <c r="F838" s="2" t="s">
        <v>371</v>
      </c>
      <c r="G838" s="2" t="s">
        <v>6093</v>
      </c>
      <c r="H838" s="3" t="s">
        <v>31</v>
      </c>
      <c r="I838" s="3">
        <v>1.0</v>
      </c>
      <c r="J838" s="3">
        <v>1.0</v>
      </c>
      <c r="K838" s="3" t="s">
        <v>31</v>
      </c>
      <c r="L838" s="4" t="s">
        <v>5659</v>
      </c>
      <c r="M838" s="2" t="s">
        <v>6094</v>
      </c>
      <c r="N838" s="2" t="s">
        <v>5650</v>
      </c>
      <c r="O838" s="4" t="s">
        <v>5651</v>
      </c>
      <c r="P838" s="2" t="s">
        <v>5652</v>
      </c>
      <c r="Q838" s="2" t="s">
        <v>31</v>
      </c>
      <c r="R838" s="2" t="s">
        <v>64</v>
      </c>
      <c r="S838" s="4" t="s">
        <v>5653</v>
      </c>
      <c r="T838" s="2" t="s">
        <v>66</v>
      </c>
      <c r="U838" s="4" t="s">
        <v>31</v>
      </c>
      <c r="V838" s="2" t="s">
        <v>6095</v>
      </c>
      <c r="W838" s="2" t="s">
        <v>5646</v>
      </c>
      <c r="X838" s="5" t="str">
        <f>HYPERLINK("https://my.pitchbook.com?p=450904-51P","View People Online")</f>
        <v>View People Online</v>
      </c>
    </row>
    <row r="839">
      <c r="A839" s="6" t="s">
        <v>6096</v>
      </c>
      <c r="B839" s="6" t="s">
        <v>6097</v>
      </c>
      <c r="C839" s="6" t="s">
        <v>6098</v>
      </c>
      <c r="D839" s="6" t="s">
        <v>6099</v>
      </c>
      <c r="E839" s="6" t="s">
        <v>5646</v>
      </c>
      <c r="F839" s="6" t="s">
        <v>270</v>
      </c>
      <c r="G839" s="6" t="s">
        <v>6100</v>
      </c>
      <c r="H839" s="7" t="s">
        <v>31</v>
      </c>
      <c r="I839" s="7">
        <v>1.0</v>
      </c>
      <c r="J839" s="7">
        <v>1.0</v>
      </c>
      <c r="K839" s="7" t="s">
        <v>31</v>
      </c>
      <c r="L839" s="8" t="s">
        <v>5659</v>
      </c>
      <c r="M839" s="6" t="s">
        <v>6101</v>
      </c>
      <c r="N839" s="6" t="s">
        <v>5650</v>
      </c>
      <c r="O839" s="8" t="s">
        <v>5651</v>
      </c>
      <c r="P839" s="6" t="s">
        <v>5652</v>
      </c>
      <c r="Q839" s="6" t="s">
        <v>31</v>
      </c>
      <c r="R839" s="6" t="s">
        <v>64</v>
      </c>
      <c r="S839" s="8" t="s">
        <v>5653</v>
      </c>
      <c r="T839" s="6" t="s">
        <v>66</v>
      </c>
      <c r="U839" s="8" t="s">
        <v>31</v>
      </c>
      <c r="V839" s="6" t="s">
        <v>6102</v>
      </c>
      <c r="W839" s="6" t="s">
        <v>5646</v>
      </c>
      <c r="X839" s="9" t="str">
        <f>HYPERLINK("https://my.pitchbook.com?p=61212-79P","View People Online")</f>
        <v>View People Online</v>
      </c>
    </row>
    <row r="840">
      <c r="A840" s="2" t="s">
        <v>6103</v>
      </c>
      <c r="B840" s="2" t="s">
        <v>6104</v>
      </c>
      <c r="C840" s="2" t="s">
        <v>907</v>
      </c>
      <c r="D840" s="2" t="s">
        <v>6105</v>
      </c>
      <c r="E840" s="2" t="s">
        <v>5646</v>
      </c>
      <c r="F840" s="2" t="s">
        <v>825</v>
      </c>
      <c r="G840" s="2" t="s">
        <v>6106</v>
      </c>
      <c r="H840" s="3" t="s">
        <v>31</v>
      </c>
      <c r="I840" s="3">
        <v>1.0</v>
      </c>
      <c r="J840" s="3">
        <v>1.0</v>
      </c>
      <c r="K840" s="3" t="s">
        <v>31</v>
      </c>
      <c r="L840" s="4" t="s">
        <v>31</v>
      </c>
      <c r="M840" s="2" t="s">
        <v>6107</v>
      </c>
      <c r="N840" s="2" t="s">
        <v>75</v>
      </c>
      <c r="O840" s="4" t="s">
        <v>76</v>
      </c>
      <c r="P840" s="2" t="s">
        <v>5688</v>
      </c>
      <c r="Q840" s="2" t="s">
        <v>31</v>
      </c>
      <c r="R840" s="2" t="s">
        <v>75</v>
      </c>
      <c r="S840" s="4" t="s">
        <v>5689</v>
      </c>
      <c r="T840" s="2" t="s">
        <v>66</v>
      </c>
      <c r="U840" s="4" t="s">
        <v>31</v>
      </c>
      <c r="V840" s="2" t="s">
        <v>6108</v>
      </c>
      <c r="W840" s="2" t="s">
        <v>5646</v>
      </c>
      <c r="X840" s="5" t="str">
        <f>HYPERLINK("https://my.pitchbook.com?p=44952-85P","View People Online")</f>
        <v>View People Online</v>
      </c>
    </row>
    <row r="841">
      <c r="A841" s="6" t="s">
        <v>6109</v>
      </c>
      <c r="B841" s="6" t="s">
        <v>6110</v>
      </c>
      <c r="C841" s="6" t="s">
        <v>6111</v>
      </c>
      <c r="D841" s="6" t="s">
        <v>6112</v>
      </c>
      <c r="E841" s="6" t="s">
        <v>5646</v>
      </c>
      <c r="F841" s="6" t="s">
        <v>1801</v>
      </c>
      <c r="G841" s="6" t="s">
        <v>6113</v>
      </c>
      <c r="H841" s="7" t="s">
        <v>31</v>
      </c>
      <c r="I841" s="7">
        <v>1.0</v>
      </c>
      <c r="J841" s="7">
        <v>1.0</v>
      </c>
      <c r="K841" s="7" t="s">
        <v>31</v>
      </c>
      <c r="L841" s="8" t="s">
        <v>5659</v>
      </c>
      <c r="M841" s="6" t="s">
        <v>6114</v>
      </c>
      <c r="N841" s="6" t="s">
        <v>5650</v>
      </c>
      <c r="O841" s="8" t="s">
        <v>5651</v>
      </c>
      <c r="P841" s="6" t="s">
        <v>5652</v>
      </c>
      <c r="Q841" s="6" t="s">
        <v>31</v>
      </c>
      <c r="R841" s="6" t="s">
        <v>64</v>
      </c>
      <c r="S841" s="8" t="s">
        <v>5653</v>
      </c>
      <c r="T841" s="6" t="s">
        <v>66</v>
      </c>
      <c r="U841" s="8" t="s">
        <v>31</v>
      </c>
      <c r="V841" s="6" t="s">
        <v>5829</v>
      </c>
      <c r="W841" s="6" t="s">
        <v>5646</v>
      </c>
      <c r="X841" s="9" t="str">
        <f>HYPERLINK("https://my.pitchbook.com?p=62277-49P","View People Online")</f>
        <v>View People Online</v>
      </c>
    </row>
    <row r="842">
      <c r="A842" s="2" t="s">
        <v>6115</v>
      </c>
      <c r="B842" s="2" t="s">
        <v>6116</v>
      </c>
      <c r="C842" s="2" t="s">
        <v>6117</v>
      </c>
      <c r="D842" s="2" t="s">
        <v>6118</v>
      </c>
      <c r="E842" s="2" t="s">
        <v>5646</v>
      </c>
      <c r="F842" s="2" t="s">
        <v>5234</v>
      </c>
      <c r="G842" s="2" t="s">
        <v>6119</v>
      </c>
      <c r="H842" s="3" t="s">
        <v>31</v>
      </c>
      <c r="I842" s="3">
        <v>1.0</v>
      </c>
      <c r="J842" s="3">
        <v>1.0</v>
      </c>
      <c r="K842" s="3" t="s">
        <v>31</v>
      </c>
      <c r="L842" s="4" t="s">
        <v>5659</v>
      </c>
      <c r="M842" s="2" t="s">
        <v>6120</v>
      </c>
      <c r="N842" s="2" t="s">
        <v>5650</v>
      </c>
      <c r="O842" s="4" t="s">
        <v>5651</v>
      </c>
      <c r="P842" s="2" t="s">
        <v>5652</v>
      </c>
      <c r="Q842" s="2" t="s">
        <v>31</v>
      </c>
      <c r="R842" s="2" t="s">
        <v>64</v>
      </c>
      <c r="S842" s="4" t="s">
        <v>5653</v>
      </c>
      <c r="T842" s="2" t="s">
        <v>66</v>
      </c>
      <c r="U842" s="4" t="s">
        <v>31</v>
      </c>
      <c r="V842" s="2" t="s">
        <v>5234</v>
      </c>
      <c r="W842" s="2" t="s">
        <v>5646</v>
      </c>
      <c r="X842" s="5" t="str">
        <f>HYPERLINK("https://my.pitchbook.com?p=391081-96P","View People Online")</f>
        <v>View People Online</v>
      </c>
    </row>
    <row r="843">
      <c r="A843" s="6" t="s">
        <v>6121</v>
      </c>
      <c r="B843" s="6" t="s">
        <v>6122</v>
      </c>
      <c r="C843" s="6" t="s">
        <v>3221</v>
      </c>
      <c r="D843" s="6" t="s">
        <v>6123</v>
      </c>
      <c r="E843" s="6" t="s">
        <v>5646</v>
      </c>
      <c r="F843" s="6" t="s">
        <v>371</v>
      </c>
      <c r="G843" s="6" t="s">
        <v>6124</v>
      </c>
      <c r="H843" s="7" t="s">
        <v>31</v>
      </c>
      <c r="I843" s="7">
        <v>4.0</v>
      </c>
      <c r="J843" s="7">
        <v>2.0</v>
      </c>
      <c r="K843" s="7">
        <v>2.0</v>
      </c>
      <c r="L843" s="8" t="s">
        <v>5659</v>
      </c>
      <c r="M843" s="6" t="s">
        <v>6125</v>
      </c>
      <c r="N843" s="6" t="s">
        <v>5650</v>
      </c>
      <c r="O843" s="8" t="s">
        <v>5651</v>
      </c>
      <c r="P843" s="6" t="s">
        <v>5652</v>
      </c>
      <c r="Q843" s="6" t="s">
        <v>31</v>
      </c>
      <c r="R843" s="6" t="s">
        <v>64</v>
      </c>
      <c r="S843" s="8" t="s">
        <v>5653</v>
      </c>
      <c r="T843" s="6" t="s">
        <v>66</v>
      </c>
      <c r="U843" s="8" t="s">
        <v>31</v>
      </c>
      <c r="V843" s="6" t="s">
        <v>6126</v>
      </c>
      <c r="W843" s="6" t="s">
        <v>5646</v>
      </c>
      <c r="X843" s="9" t="str">
        <f>HYPERLINK("https://my.pitchbook.com?p=194398-48P","View People Online")</f>
        <v>View People Online</v>
      </c>
    </row>
    <row r="844">
      <c r="A844" s="10" t="s">
        <v>6127</v>
      </c>
      <c r="B844" s="10" t="s">
        <v>6128</v>
      </c>
      <c r="C844" s="10" t="s">
        <v>6129</v>
      </c>
      <c r="D844" s="10" t="s">
        <v>6130</v>
      </c>
      <c r="E844" s="10" t="s">
        <v>5646</v>
      </c>
      <c r="F844" s="10" t="s">
        <v>318</v>
      </c>
      <c r="G844" s="10" t="s">
        <v>6131</v>
      </c>
      <c r="H844" s="11" t="s">
        <v>31</v>
      </c>
      <c r="I844" s="11">
        <v>1.0</v>
      </c>
      <c r="J844" s="11">
        <v>1.0</v>
      </c>
      <c r="K844" s="11" t="s">
        <v>31</v>
      </c>
      <c r="L844" s="12" t="s">
        <v>5659</v>
      </c>
      <c r="M844" s="10" t="s">
        <v>6132</v>
      </c>
      <c r="N844" s="10" t="s">
        <v>5650</v>
      </c>
      <c r="O844" s="12" t="s">
        <v>5651</v>
      </c>
      <c r="P844" s="10" t="s">
        <v>5652</v>
      </c>
      <c r="Q844" s="10" t="s">
        <v>31</v>
      </c>
      <c r="R844" s="10" t="s">
        <v>64</v>
      </c>
      <c r="S844" s="12" t="s">
        <v>5653</v>
      </c>
      <c r="T844" s="10" t="s">
        <v>66</v>
      </c>
      <c r="U844" s="12" t="s">
        <v>31</v>
      </c>
      <c r="V844" s="10" t="s">
        <v>6133</v>
      </c>
      <c r="W844" s="10" t="s">
        <v>5646</v>
      </c>
      <c r="X844" s="13" t="str">
        <f>HYPERLINK("https://my.pitchbook.com?p=340285-60P","View People Online")</f>
        <v>View People Online</v>
      </c>
    </row>
    <row r="845">
      <c r="A845" s="14" t="s">
        <v>6134</v>
      </c>
      <c r="B845" s="14" t="s">
        <v>6135</v>
      </c>
      <c r="C845" s="14" t="s">
        <v>972</v>
      </c>
      <c r="D845" s="14" t="s">
        <v>6136</v>
      </c>
      <c r="E845" s="14" t="s">
        <v>5646</v>
      </c>
      <c r="F845" s="14" t="s">
        <v>270</v>
      </c>
      <c r="G845" s="14" t="s">
        <v>6137</v>
      </c>
      <c r="H845" s="15" t="s">
        <v>31</v>
      </c>
      <c r="I845" s="15">
        <v>1.0</v>
      </c>
      <c r="J845" s="15">
        <v>1.0</v>
      </c>
      <c r="K845" s="15" t="s">
        <v>31</v>
      </c>
      <c r="L845" s="16" t="s">
        <v>5659</v>
      </c>
      <c r="M845" s="14" t="s">
        <v>6138</v>
      </c>
      <c r="N845" s="14" t="s">
        <v>5650</v>
      </c>
      <c r="O845" s="16" t="s">
        <v>5651</v>
      </c>
      <c r="P845" s="14" t="s">
        <v>5652</v>
      </c>
      <c r="Q845" s="14" t="s">
        <v>31</v>
      </c>
      <c r="R845" s="14" t="s">
        <v>64</v>
      </c>
      <c r="S845" s="16" t="s">
        <v>5653</v>
      </c>
      <c r="T845" s="14" t="s">
        <v>66</v>
      </c>
      <c r="U845" s="16" t="s">
        <v>31</v>
      </c>
      <c r="V845" s="14" t="s">
        <v>6139</v>
      </c>
      <c r="W845" s="14" t="s">
        <v>5646</v>
      </c>
      <c r="X845" s="17" t="str">
        <f>HYPERLINK("https://my.pitchbook.com?p=82481-50P","View People Online")</f>
        <v>View People Online</v>
      </c>
    </row>
    <row r="846">
      <c r="A846" s="2" t="s">
        <v>6140</v>
      </c>
      <c r="B846" s="2" t="s">
        <v>6141</v>
      </c>
      <c r="C846" s="2" t="s">
        <v>536</v>
      </c>
      <c r="D846" s="2" t="s">
        <v>6142</v>
      </c>
      <c r="E846" s="2" t="s">
        <v>5646</v>
      </c>
      <c r="F846" s="2" t="s">
        <v>1801</v>
      </c>
      <c r="G846" s="2" t="s">
        <v>6143</v>
      </c>
      <c r="H846" s="3" t="s">
        <v>31</v>
      </c>
      <c r="I846" s="3">
        <v>1.0</v>
      </c>
      <c r="J846" s="3">
        <v>1.0</v>
      </c>
      <c r="K846" s="3" t="s">
        <v>31</v>
      </c>
      <c r="L846" s="4" t="s">
        <v>5659</v>
      </c>
      <c r="M846" s="2" t="s">
        <v>6144</v>
      </c>
      <c r="N846" s="2" t="s">
        <v>5650</v>
      </c>
      <c r="O846" s="4" t="s">
        <v>5651</v>
      </c>
      <c r="P846" s="2" t="s">
        <v>5652</v>
      </c>
      <c r="Q846" s="2" t="s">
        <v>31</v>
      </c>
      <c r="R846" s="2" t="s">
        <v>64</v>
      </c>
      <c r="S846" s="4" t="s">
        <v>5653</v>
      </c>
      <c r="T846" s="2" t="s">
        <v>66</v>
      </c>
      <c r="U846" s="4" t="s">
        <v>31</v>
      </c>
      <c r="V846" s="2" t="s">
        <v>6145</v>
      </c>
      <c r="W846" s="2" t="s">
        <v>5646</v>
      </c>
      <c r="X846" s="5" t="str">
        <f>HYPERLINK("https://my.pitchbook.com?p=136955-89P","View People Online")</f>
        <v>View People Online</v>
      </c>
    </row>
    <row r="847">
      <c r="A847" s="14" t="s">
        <v>6146</v>
      </c>
      <c r="B847" s="14" t="s">
        <v>6147</v>
      </c>
      <c r="C847" s="14" t="s">
        <v>6148</v>
      </c>
      <c r="D847" s="14" t="s">
        <v>6149</v>
      </c>
      <c r="E847" s="14" t="s">
        <v>5646</v>
      </c>
      <c r="F847" s="14" t="s">
        <v>371</v>
      </c>
      <c r="G847" s="14" t="s">
        <v>6150</v>
      </c>
      <c r="H847" s="15" t="s">
        <v>31</v>
      </c>
      <c r="I847" s="15">
        <v>1.0</v>
      </c>
      <c r="J847" s="15">
        <v>1.0</v>
      </c>
      <c r="K847" s="15" t="s">
        <v>31</v>
      </c>
      <c r="L847" s="16" t="s">
        <v>5659</v>
      </c>
      <c r="M847" s="14" t="s">
        <v>6151</v>
      </c>
      <c r="N847" s="14" t="s">
        <v>5650</v>
      </c>
      <c r="O847" s="16" t="s">
        <v>5651</v>
      </c>
      <c r="P847" s="14" t="s">
        <v>5652</v>
      </c>
      <c r="Q847" s="14" t="s">
        <v>31</v>
      </c>
      <c r="R847" s="14" t="s">
        <v>64</v>
      </c>
      <c r="S847" s="16" t="s">
        <v>5653</v>
      </c>
      <c r="T847" s="14" t="s">
        <v>66</v>
      </c>
      <c r="U847" s="16" t="s">
        <v>31</v>
      </c>
      <c r="V847" s="14" t="s">
        <v>6152</v>
      </c>
      <c r="W847" s="14" t="s">
        <v>5646</v>
      </c>
      <c r="X847" s="17" t="str">
        <f>HYPERLINK("https://my.pitchbook.com?p=104328-01P","View People Online")</f>
        <v>View People Online</v>
      </c>
    </row>
    <row r="848">
      <c r="A848" s="10" t="s">
        <v>6153</v>
      </c>
      <c r="B848" s="10" t="s">
        <v>6154</v>
      </c>
      <c r="C848" s="10" t="s">
        <v>6155</v>
      </c>
      <c r="D848" s="10" t="s">
        <v>408</v>
      </c>
      <c r="E848" s="10" t="s">
        <v>5646</v>
      </c>
      <c r="F848" s="10" t="s">
        <v>312</v>
      </c>
      <c r="G848" s="10" t="s">
        <v>6156</v>
      </c>
      <c r="H848" s="11" t="s">
        <v>31</v>
      </c>
      <c r="I848" s="11">
        <v>1.0</v>
      </c>
      <c r="J848" s="11">
        <v>1.0</v>
      </c>
      <c r="K848" s="11" t="s">
        <v>31</v>
      </c>
      <c r="L848" s="12" t="s">
        <v>31</v>
      </c>
      <c r="M848" s="10" t="s">
        <v>6157</v>
      </c>
      <c r="N848" s="10" t="s">
        <v>155</v>
      </c>
      <c r="O848" s="12" t="s">
        <v>156</v>
      </c>
      <c r="P848" s="10" t="s">
        <v>31</v>
      </c>
      <c r="Q848" s="10" t="s">
        <v>31</v>
      </c>
      <c r="R848" s="10" t="s">
        <v>64</v>
      </c>
      <c r="S848" s="12" t="s">
        <v>31</v>
      </c>
      <c r="T848" s="10" t="s">
        <v>66</v>
      </c>
      <c r="U848" s="12" t="s">
        <v>31</v>
      </c>
      <c r="V848" s="10" t="s">
        <v>312</v>
      </c>
      <c r="W848" s="10" t="s">
        <v>5646</v>
      </c>
      <c r="X848" s="13" t="str">
        <f>HYPERLINK("https://my.pitchbook.com?p=411734-44P","View People Online")</f>
        <v>View People Online</v>
      </c>
    </row>
    <row r="849">
      <c r="A849" s="6" t="s">
        <v>6158</v>
      </c>
      <c r="B849" s="6" t="s">
        <v>6159</v>
      </c>
      <c r="C849" s="6" t="s">
        <v>180</v>
      </c>
      <c r="D849" s="6" t="s">
        <v>6160</v>
      </c>
      <c r="E849" s="6" t="s">
        <v>5646</v>
      </c>
      <c r="F849" s="6" t="s">
        <v>1801</v>
      </c>
      <c r="G849" s="6" t="s">
        <v>6161</v>
      </c>
      <c r="H849" s="7" t="s">
        <v>31</v>
      </c>
      <c r="I849" s="7">
        <v>1.0</v>
      </c>
      <c r="J849" s="7">
        <v>1.0</v>
      </c>
      <c r="K849" s="7" t="s">
        <v>31</v>
      </c>
      <c r="L849" s="8" t="s">
        <v>5659</v>
      </c>
      <c r="M849" s="6" t="s">
        <v>6162</v>
      </c>
      <c r="N849" s="6" t="s">
        <v>5650</v>
      </c>
      <c r="O849" s="8" t="s">
        <v>5651</v>
      </c>
      <c r="P849" s="6" t="s">
        <v>5652</v>
      </c>
      <c r="Q849" s="6" t="s">
        <v>31</v>
      </c>
      <c r="R849" s="6" t="s">
        <v>64</v>
      </c>
      <c r="S849" s="8" t="s">
        <v>5653</v>
      </c>
      <c r="T849" s="6" t="s">
        <v>66</v>
      </c>
      <c r="U849" s="8" t="s">
        <v>31</v>
      </c>
      <c r="V849" s="6" t="s">
        <v>6163</v>
      </c>
      <c r="W849" s="6" t="s">
        <v>5646</v>
      </c>
      <c r="X849" s="9" t="str">
        <f>HYPERLINK("https://my.pitchbook.com?p=70221-16P","View People Online")</f>
        <v>View People Online</v>
      </c>
    </row>
    <row r="850">
      <c r="A850" s="10" t="s">
        <v>6164</v>
      </c>
      <c r="B850" s="10" t="s">
        <v>6165</v>
      </c>
      <c r="C850" s="10" t="s">
        <v>1376</v>
      </c>
      <c r="D850" s="10" t="s">
        <v>6166</v>
      </c>
      <c r="E850" s="10" t="s">
        <v>5646</v>
      </c>
      <c r="F850" s="10" t="s">
        <v>3600</v>
      </c>
      <c r="G850" s="10" t="s">
        <v>6167</v>
      </c>
      <c r="H850" s="11" t="s">
        <v>31</v>
      </c>
      <c r="I850" s="11">
        <v>1.0</v>
      </c>
      <c r="J850" s="11">
        <v>1.0</v>
      </c>
      <c r="K850" s="11" t="s">
        <v>31</v>
      </c>
      <c r="L850" s="12" t="s">
        <v>6168</v>
      </c>
      <c r="M850" s="10" t="s">
        <v>6169</v>
      </c>
      <c r="N850" s="10" t="s">
        <v>5650</v>
      </c>
      <c r="O850" s="12" t="s">
        <v>5651</v>
      </c>
      <c r="P850" s="10" t="s">
        <v>5652</v>
      </c>
      <c r="Q850" s="10" t="s">
        <v>31</v>
      </c>
      <c r="R850" s="10" t="s">
        <v>64</v>
      </c>
      <c r="S850" s="12" t="s">
        <v>5653</v>
      </c>
      <c r="T850" s="10" t="s">
        <v>66</v>
      </c>
      <c r="U850" s="12" t="s">
        <v>31</v>
      </c>
      <c r="V850" s="10" t="s">
        <v>6170</v>
      </c>
      <c r="W850" s="10" t="s">
        <v>5646</v>
      </c>
      <c r="X850" s="13" t="str">
        <f>HYPERLINK("https://my.pitchbook.com?p=30040-12P","View People Online")</f>
        <v>View People Online</v>
      </c>
    </row>
    <row r="851">
      <c r="A851" s="6" t="s">
        <v>6171</v>
      </c>
      <c r="B851" s="6" t="s">
        <v>6172</v>
      </c>
      <c r="C851" s="6" t="s">
        <v>3716</v>
      </c>
      <c r="D851" s="6" t="s">
        <v>6173</v>
      </c>
      <c r="E851" s="6" t="s">
        <v>5646</v>
      </c>
      <c r="F851" s="6" t="s">
        <v>270</v>
      </c>
      <c r="G851" s="6" t="s">
        <v>6174</v>
      </c>
      <c r="H851" s="7" t="s">
        <v>31</v>
      </c>
      <c r="I851" s="7">
        <v>1.0</v>
      </c>
      <c r="J851" s="7">
        <v>1.0</v>
      </c>
      <c r="K851" s="7" t="s">
        <v>31</v>
      </c>
      <c r="L851" s="8" t="s">
        <v>5659</v>
      </c>
      <c r="M851" s="6" t="s">
        <v>6175</v>
      </c>
      <c r="N851" s="6" t="s">
        <v>5650</v>
      </c>
      <c r="O851" s="8" t="s">
        <v>5651</v>
      </c>
      <c r="P851" s="6" t="s">
        <v>5652</v>
      </c>
      <c r="Q851" s="6" t="s">
        <v>31</v>
      </c>
      <c r="R851" s="6" t="s">
        <v>64</v>
      </c>
      <c r="S851" s="8" t="s">
        <v>5653</v>
      </c>
      <c r="T851" s="6" t="s">
        <v>66</v>
      </c>
      <c r="U851" s="8" t="s">
        <v>31</v>
      </c>
      <c r="V851" s="6" t="s">
        <v>6176</v>
      </c>
      <c r="W851" s="6" t="s">
        <v>5646</v>
      </c>
      <c r="X851" s="9" t="str">
        <f>HYPERLINK("https://my.pitchbook.com?p=51968-80P","View People Online")</f>
        <v>View People Online</v>
      </c>
    </row>
    <row r="852">
      <c r="A852" s="10" t="s">
        <v>6177</v>
      </c>
      <c r="B852" s="10" t="s">
        <v>6178</v>
      </c>
      <c r="C852" s="10" t="s">
        <v>6179</v>
      </c>
      <c r="D852" s="10" t="s">
        <v>894</v>
      </c>
      <c r="E852" s="10" t="s">
        <v>5646</v>
      </c>
      <c r="F852" s="10" t="s">
        <v>270</v>
      </c>
      <c r="G852" s="10" t="s">
        <v>6180</v>
      </c>
      <c r="H852" s="11" t="s">
        <v>31</v>
      </c>
      <c r="I852" s="11">
        <v>1.0</v>
      </c>
      <c r="J852" s="11">
        <v>1.0</v>
      </c>
      <c r="K852" s="11" t="s">
        <v>31</v>
      </c>
      <c r="L852" s="12" t="s">
        <v>5659</v>
      </c>
      <c r="M852" s="10" t="s">
        <v>6181</v>
      </c>
      <c r="N852" s="10" t="s">
        <v>5650</v>
      </c>
      <c r="O852" s="12" t="s">
        <v>5651</v>
      </c>
      <c r="P852" s="10" t="s">
        <v>5652</v>
      </c>
      <c r="Q852" s="10" t="s">
        <v>31</v>
      </c>
      <c r="R852" s="10" t="s">
        <v>64</v>
      </c>
      <c r="S852" s="12" t="s">
        <v>5653</v>
      </c>
      <c r="T852" s="10" t="s">
        <v>66</v>
      </c>
      <c r="U852" s="12" t="s">
        <v>31</v>
      </c>
      <c r="V852" s="10" t="s">
        <v>6182</v>
      </c>
      <c r="W852" s="10" t="s">
        <v>5646</v>
      </c>
      <c r="X852" s="13" t="str">
        <f>HYPERLINK("https://my.pitchbook.com?p=271472-14P","View People Online")</f>
        <v>View People Online</v>
      </c>
    </row>
    <row r="853">
      <c r="A853" s="14" t="s">
        <v>6183</v>
      </c>
      <c r="B853" s="14" t="s">
        <v>6184</v>
      </c>
      <c r="C853" s="14" t="s">
        <v>6185</v>
      </c>
      <c r="D853" s="14" t="s">
        <v>6186</v>
      </c>
      <c r="E853" s="14" t="s">
        <v>5646</v>
      </c>
      <c r="F853" s="14" t="s">
        <v>270</v>
      </c>
      <c r="G853" s="14" t="s">
        <v>6187</v>
      </c>
      <c r="H853" s="15" t="s">
        <v>31</v>
      </c>
      <c r="I853" s="15">
        <v>1.0</v>
      </c>
      <c r="J853" s="15">
        <v>1.0</v>
      </c>
      <c r="K853" s="15" t="s">
        <v>31</v>
      </c>
      <c r="L853" s="16" t="s">
        <v>5659</v>
      </c>
      <c r="M853" s="14" t="s">
        <v>6188</v>
      </c>
      <c r="N853" s="14" t="s">
        <v>5650</v>
      </c>
      <c r="O853" s="16" t="s">
        <v>5651</v>
      </c>
      <c r="P853" s="14" t="s">
        <v>5652</v>
      </c>
      <c r="Q853" s="14" t="s">
        <v>31</v>
      </c>
      <c r="R853" s="14" t="s">
        <v>64</v>
      </c>
      <c r="S853" s="16" t="s">
        <v>5653</v>
      </c>
      <c r="T853" s="14" t="s">
        <v>66</v>
      </c>
      <c r="U853" s="16" t="s">
        <v>31</v>
      </c>
      <c r="V853" s="14" t="s">
        <v>6189</v>
      </c>
      <c r="W853" s="14" t="s">
        <v>5646</v>
      </c>
      <c r="X853" s="17" t="str">
        <f>HYPERLINK("https://my.pitchbook.com?p=100154-71P","View People Online")</f>
        <v>View People Online</v>
      </c>
    </row>
    <row r="854">
      <c r="A854" s="10" t="s">
        <v>6190</v>
      </c>
      <c r="B854" s="10" t="s">
        <v>6191</v>
      </c>
      <c r="C854" s="10" t="s">
        <v>6192</v>
      </c>
      <c r="D854" s="10" t="s">
        <v>6193</v>
      </c>
      <c r="E854" s="10" t="s">
        <v>5646</v>
      </c>
      <c r="F854" s="10" t="s">
        <v>1801</v>
      </c>
      <c r="G854" s="10" t="s">
        <v>6194</v>
      </c>
      <c r="H854" s="11" t="s">
        <v>31</v>
      </c>
      <c r="I854" s="11">
        <v>1.0</v>
      </c>
      <c r="J854" s="11">
        <v>1.0</v>
      </c>
      <c r="K854" s="11" t="s">
        <v>31</v>
      </c>
      <c r="L854" s="12" t="s">
        <v>5659</v>
      </c>
      <c r="M854" s="10" t="s">
        <v>6195</v>
      </c>
      <c r="N854" s="10" t="s">
        <v>5650</v>
      </c>
      <c r="O854" s="12" t="s">
        <v>5651</v>
      </c>
      <c r="P854" s="10" t="s">
        <v>5652</v>
      </c>
      <c r="Q854" s="10" t="s">
        <v>31</v>
      </c>
      <c r="R854" s="10" t="s">
        <v>64</v>
      </c>
      <c r="S854" s="12" t="s">
        <v>5653</v>
      </c>
      <c r="T854" s="10" t="s">
        <v>66</v>
      </c>
      <c r="U854" s="12" t="s">
        <v>31</v>
      </c>
      <c r="V854" s="10" t="s">
        <v>6196</v>
      </c>
      <c r="W854" s="10" t="s">
        <v>5646</v>
      </c>
      <c r="X854" s="13" t="str">
        <f>HYPERLINK("https://my.pitchbook.com?p=89723-62P","View People Online")</f>
        <v>View People Online</v>
      </c>
    </row>
    <row r="855">
      <c r="A855" s="6" t="s">
        <v>6197</v>
      </c>
      <c r="B855" s="6" t="s">
        <v>6198</v>
      </c>
      <c r="C855" s="6" t="s">
        <v>6199</v>
      </c>
      <c r="D855" s="6" t="s">
        <v>3275</v>
      </c>
      <c r="E855" s="6" t="s">
        <v>5646</v>
      </c>
      <c r="F855" s="6" t="s">
        <v>3600</v>
      </c>
      <c r="G855" s="6" t="s">
        <v>6200</v>
      </c>
      <c r="H855" s="7" t="s">
        <v>31</v>
      </c>
      <c r="I855" s="7">
        <v>1.0</v>
      </c>
      <c r="J855" s="7">
        <v>1.0</v>
      </c>
      <c r="K855" s="7" t="s">
        <v>31</v>
      </c>
      <c r="L855" s="8" t="s">
        <v>5659</v>
      </c>
      <c r="M855" s="6" t="s">
        <v>6201</v>
      </c>
      <c r="N855" s="6" t="s">
        <v>5650</v>
      </c>
      <c r="O855" s="8" t="s">
        <v>5651</v>
      </c>
      <c r="P855" s="6" t="s">
        <v>5652</v>
      </c>
      <c r="Q855" s="6" t="s">
        <v>31</v>
      </c>
      <c r="R855" s="6" t="s">
        <v>64</v>
      </c>
      <c r="S855" s="8" t="s">
        <v>5653</v>
      </c>
      <c r="T855" s="6" t="s">
        <v>66</v>
      </c>
      <c r="U855" s="8" t="s">
        <v>31</v>
      </c>
      <c r="V855" s="6" t="s">
        <v>6202</v>
      </c>
      <c r="W855" s="6" t="s">
        <v>5646</v>
      </c>
      <c r="X855" s="9" t="str">
        <f>HYPERLINK("https://my.pitchbook.com?p=144661-15P","View People Online")</f>
        <v>View People Online</v>
      </c>
    </row>
    <row r="856">
      <c r="A856" s="2" t="s">
        <v>6203</v>
      </c>
      <c r="B856" s="2" t="s">
        <v>6204</v>
      </c>
      <c r="C856" s="2" t="s">
        <v>6205</v>
      </c>
      <c r="D856" s="2" t="s">
        <v>6206</v>
      </c>
      <c r="E856" s="2" t="s">
        <v>5646</v>
      </c>
      <c r="F856" s="2" t="s">
        <v>270</v>
      </c>
      <c r="G856" s="2" t="s">
        <v>6207</v>
      </c>
      <c r="H856" s="3" t="s">
        <v>31</v>
      </c>
      <c r="I856" s="3">
        <v>1.0</v>
      </c>
      <c r="J856" s="3">
        <v>1.0</v>
      </c>
      <c r="K856" s="3" t="s">
        <v>31</v>
      </c>
      <c r="L856" s="4" t="s">
        <v>5659</v>
      </c>
      <c r="M856" s="2" t="s">
        <v>6208</v>
      </c>
      <c r="N856" s="2" t="s">
        <v>5650</v>
      </c>
      <c r="O856" s="4" t="s">
        <v>5651</v>
      </c>
      <c r="P856" s="2" t="s">
        <v>5652</v>
      </c>
      <c r="Q856" s="2" t="s">
        <v>31</v>
      </c>
      <c r="R856" s="2" t="s">
        <v>64</v>
      </c>
      <c r="S856" s="4" t="s">
        <v>5653</v>
      </c>
      <c r="T856" s="2" t="s">
        <v>66</v>
      </c>
      <c r="U856" s="4" t="s">
        <v>31</v>
      </c>
      <c r="V856" s="2" t="s">
        <v>6209</v>
      </c>
      <c r="W856" s="2" t="s">
        <v>5646</v>
      </c>
      <c r="X856" s="5" t="str">
        <f>HYPERLINK("https://my.pitchbook.com?p=154788-04P","View People Online")</f>
        <v>View People Online</v>
      </c>
    </row>
    <row r="857">
      <c r="A857" s="6" t="s">
        <v>6210</v>
      </c>
      <c r="B857" s="6" t="s">
        <v>6211</v>
      </c>
      <c r="C857" s="6" t="s">
        <v>2483</v>
      </c>
      <c r="D857" s="6" t="s">
        <v>6212</v>
      </c>
      <c r="E857" s="6" t="s">
        <v>5646</v>
      </c>
      <c r="F857" s="6" t="s">
        <v>270</v>
      </c>
      <c r="G857" s="6" t="s">
        <v>6213</v>
      </c>
      <c r="H857" s="7" t="s">
        <v>31</v>
      </c>
      <c r="I857" s="7">
        <v>1.0</v>
      </c>
      <c r="J857" s="7">
        <v>1.0</v>
      </c>
      <c r="K857" s="7" t="s">
        <v>31</v>
      </c>
      <c r="L857" s="8" t="s">
        <v>5659</v>
      </c>
      <c r="M857" s="6" t="s">
        <v>6214</v>
      </c>
      <c r="N857" s="6" t="s">
        <v>5650</v>
      </c>
      <c r="O857" s="8" t="s">
        <v>5651</v>
      </c>
      <c r="P857" s="6" t="s">
        <v>5652</v>
      </c>
      <c r="Q857" s="6" t="s">
        <v>31</v>
      </c>
      <c r="R857" s="6" t="s">
        <v>64</v>
      </c>
      <c r="S857" s="8" t="s">
        <v>5653</v>
      </c>
      <c r="T857" s="6" t="s">
        <v>66</v>
      </c>
      <c r="U857" s="8" t="s">
        <v>31</v>
      </c>
      <c r="V857" s="6" t="s">
        <v>6215</v>
      </c>
      <c r="W857" s="6" t="s">
        <v>5646</v>
      </c>
      <c r="X857" s="9" t="str">
        <f>HYPERLINK("https://my.pitchbook.com?p=61141-06P","View People Online")</f>
        <v>View People Online</v>
      </c>
    </row>
    <row r="858">
      <c r="A858" s="2" t="s">
        <v>6216</v>
      </c>
      <c r="B858" s="2" t="s">
        <v>6217</v>
      </c>
      <c r="C858" s="2" t="s">
        <v>1066</v>
      </c>
      <c r="D858" s="2" t="s">
        <v>6218</v>
      </c>
      <c r="E858" s="2" t="s">
        <v>5646</v>
      </c>
      <c r="F858" s="2" t="s">
        <v>1249</v>
      </c>
      <c r="G858" s="2" t="s">
        <v>6219</v>
      </c>
      <c r="H858" s="3">
        <v>2.0</v>
      </c>
      <c r="I858" s="3">
        <v>26.0</v>
      </c>
      <c r="J858" s="3">
        <v>1.0</v>
      </c>
      <c r="K858" s="3">
        <v>21.0</v>
      </c>
      <c r="L858" s="4" t="s">
        <v>5659</v>
      </c>
      <c r="M858" s="2" t="s">
        <v>6220</v>
      </c>
      <c r="N858" s="2" t="s">
        <v>5650</v>
      </c>
      <c r="O858" s="4" t="s">
        <v>5651</v>
      </c>
      <c r="P858" s="2" t="s">
        <v>5652</v>
      </c>
      <c r="Q858" s="2" t="s">
        <v>31</v>
      </c>
      <c r="R858" s="2" t="s">
        <v>64</v>
      </c>
      <c r="S858" s="4" t="s">
        <v>5653</v>
      </c>
      <c r="T858" s="2" t="s">
        <v>66</v>
      </c>
      <c r="U858" s="4" t="s">
        <v>31</v>
      </c>
      <c r="V858" s="2" t="s">
        <v>1252</v>
      </c>
      <c r="W858" s="2" t="s">
        <v>5646</v>
      </c>
      <c r="X858" s="5" t="str">
        <f>HYPERLINK("https://my.pitchbook.com?p=43302-97P","View People Online")</f>
        <v>View People Online</v>
      </c>
    </row>
    <row r="859">
      <c r="A859" s="14" t="s">
        <v>6221</v>
      </c>
      <c r="B859" s="14" t="s">
        <v>6222</v>
      </c>
      <c r="C859" s="14" t="s">
        <v>6223</v>
      </c>
      <c r="D859" s="14" t="s">
        <v>6224</v>
      </c>
      <c r="E859" s="14" t="s">
        <v>5646</v>
      </c>
      <c r="F859" s="14" t="s">
        <v>1801</v>
      </c>
      <c r="G859" s="14" t="s">
        <v>6225</v>
      </c>
      <c r="H859" s="15" t="s">
        <v>31</v>
      </c>
      <c r="I859" s="15">
        <v>1.0</v>
      </c>
      <c r="J859" s="15">
        <v>1.0</v>
      </c>
      <c r="K859" s="15" t="s">
        <v>31</v>
      </c>
      <c r="L859" s="16" t="s">
        <v>5659</v>
      </c>
      <c r="M859" s="14" t="s">
        <v>6226</v>
      </c>
      <c r="N859" s="14" t="s">
        <v>5650</v>
      </c>
      <c r="O859" s="16" t="s">
        <v>5651</v>
      </c>
      <c r="P859" s="14" t="s">
        <v>5652</v>
      </c>
      <c r="Q859" s="14" t="s">
        <v>31</v>
      </c>
      <c r="R859" s="14" t="s">
        <v>64</v>
      </c>
      <c r="S859" s="16" t="s">
        <v>5653</v>
      </c>
      <c r="T859" s="14" t="s">
        <v>66</v>
      </c>
      <c r="U859" s="16" t="s">
        <v>31</v>
      </c>
      <c r="V859" s="14" t="s">
        <v>6227</v>
      </c>
      <c r="W859" s="14" t="s">
        <v>5646</v>
      </c>
      <c r="X859" s="17" t="str">
        <f>HYPERLINK("https://my.pitchbook.com?p=45185-32P","View People Online")</f>
        <v>View People Online</v>
      </c>
    </row>
    <row r="860">
      <c r="A860" s="2" t="s">
        <v>6228</v>
      </c>
      <c r="B860" s="2" t="s">
        <v>6229</v>
      </c>
      <c r="C860" s="2" t="s">
        <v>1830</v>
      </c>
      <c r="D860" s="2" t="s">
        <v>6230</v>
      </c>
      <c r="E860" s="2" t="s">
        <v>5646</v>
      </c>
      <c r="F860" s="2" t="s">
        <v>270</v>
      </c>
      <c r="G860" s="2" t="s">
        <v>6231</v>
      </c>
      <c r="H860" s="3" t="s">
        <v>31</v>
      </c>
      <c r="I860" s="3">
        <v>1.0</v>
      </c>
      <c r="J860" s="3">
        <v>1.0</v>
      </c>
      <c r="K860" s="3" t="s">
        <v>31</v>
      </c>
      <c r="L860" s="4" t="s">
        <v>6232</v>
      </c>
      <c r="M860" s="2" t="s">
        <v>6233</v>
      </c>
      <c r="N860" s="2" t="s">
        <v>5650</v>
      </c>
      <c r="O860" s="4" t="s">
        <v>5651</v>
      </c>
      <c r="P860" s="2" t="s">
        <v>5652</v>
      </c>
      <c r="Q860" s="2" t="s">
        <v>31</v>
      </c>
      <c r="R860" s="2" t="s">
        <v>64</v>
      </c>
      <c r="S860" s="4" t="s">
        <v>5653</v>
      </c>
      <c r="T860" s="2" t="s">
        <v>66</v>
      </c>
      <c r="U860" s="4" t="s">
        <v>31</v>
      </c>
      <c r="V860" s="2" t="s">
        <v>6234</v>
      </c>
      <c r="W860" s="2" t="s">
        <v>5646</v>
      </c>
      <c r="X860" s="5" t="str">
        <f>HYPERLINK("https://my.pitchbook.com?p=181379-17P","View People Online")</f>
        <v>View People Online</v>
      </c>
    </row>
    <row r="861">
      <c r="A861" s="6" t="s">
        <v>6235</v>
      </c>
      <c r="B861" s="6" t="s">
        <v>6236</v>
      </c>
      <c r="C861" s="6" t="s">
        <v>6237</v>
      </c>
      <c r="D861" s="6" t="s">
        <v>6238</v>
      </c>
      <c r="E861" s="6" t="s">
        <v>5646</v>
      </c>
      <c r="F861" s="6" t="s">
        <v>371</v>
      </c>
      <c r="G861" s="6" t="s">
        <v>6239</v>
      </c>
      <c r="H861" s="7" t="s">
        <v>31</v>
      </c>
      <c r="I861" s="7">
        <v>1.0</v>
      </c>
      <c r="J861" s="7">
        <v>1.0</v>
      </c>
      <c r="K861" s="7" t="s">
        <v>31</v>
      </c>
      <c r="L861" s="8" t="s">
        <v>5659</v>
      </c>
      <c r="M861" s="6" t="s">
        <v>6240</v>
      </c>
      <c r="N861" s="6" t="s">
        <v>5650</v>
      </c>
      <c r="O861" s="8" t="s">
        <v>5651</v>
      </c>
      <c r="P861" s="6" t="s">
        <v>5652</v>
      </c>
      <c r="Q861" s="6" t="s">
        <v>31</v>
      </c>
      <c r="R861" s="6" t="s">
        <v>64</v>
      </c>
      <c r="S861" s="8" t="s">
        <v>5653</v>
      </c>
      <c r="T861" s="6" t="s">
        <v>66</v>
      </c>
      <c r="U861" s="8" t="s">
        <v>31</v>
      </c>
      <c r="V861" s="6" t="s">
        <v>6241</v>
      </c>
      <c r="W861" s="6" t="s">
        <v>5646</v>
      </c>
      <c r="X861" s="9" t="str">
        <f>HYPERLINK("https://my.pitchbook.com?p=123258-34P","View People Online")</f>
        <v>View People Online</v>
      </c>
    </row>
    <row r="862">
      <c r="A862" s="2" t="s">
        <v>6242</v>
      </c>
      <c r="B862" s="2" t="s">
        <v>6243</v>
      </c>
      <c r="C862" s="2" t="s">
        <v>6244</v>
      </c>
      <c r="D862" s="2" t="s">
        <v>6245</v>
      </c>
      <c r="E862" s="2" t="s">
        <v>5646</v>
      </c>
      <c r="F862" s="2" t="s">
        <v>270</v>
      </c>
      <c r="G862" s="2" t="s">
        <v>6246</v>
      </c>
      <c r="H862" s="3" t="s">
        <v>31</v>
      </c>
      <c r="I862" s="3">
        <v>1.0</v>
      </c>
      <c r="J862" s="3">
        <v>1.0</v>
      </c>
      <c r="K862" s="3" t="s">
        <v>31</v>
      </c>
      <c r="L862" s="4" t="s">
        <v>5659</v>
      </c>
      <c r="M862" s="2" t="s">
        <v>6247</v>
      </c>
      <c r="N862" s="2" t="s">
        <v>5650</v>
      </c>
      <c r="O862" s="4" t="s">
        <v>5651</v>
      </c>
      <c r="P862" s="2" t="s">
        <v>5652</v>
      </c>
      <c r="Q862" s="2" t="s">
        <v>31</v>
      </c>
      <c r="R862" s="2" t="s">
        <v>64</v>
      </c>
      <c r="S862" s="4" t="s">
        <v>5653</v>
      </c>
      <c r="T862" s="2" t="s">
        <v>66</v>
      </c>
      <c r="U862" s="4" t="s">
        <v>31</v>
      </c>
      <c r="V862" s="2" t="s">
        <v>6248</v>
      </c>
      <c r="W862" s="2" t="s">
        <v>5646</v>
      </c>
      <c r="X862" s="5" t="str">
        <f>HYPERLINK("https://my.pitchbook.com?p=129634-30P","View People Online")</f>
        <v>View People Online</v>
      </c>
    </row>
    <row r="863">
      <c r="A863" s="6" t="s">
        <v>6249</v>
      </c>
      <c r="B863" s="6" t="s">
        <v>6250</v>
      </c>
      <c r="C863" s="6" t="s">
        <v>6251</v>
      </c>
      <c r="D863" s="6" t="s">
        <v>6252</v>
      </c>
      <c r="E863" s="6" t="s">
        <v>5646</v>
      </c>
      <c r="F863" s="6" t="s">
        <v>548</v>
      </c>
      <c r="G863" s="6" t="s">
        <v>6253</v>
      </c>
      <c r="H863" s="7" t="s">
        <v>31</v>
      </c>
      <c r="I863" s="7">
        <v>2.0</v>
      </c>
      <c r="J863" s="7">
        <v>2.0</v>
      </c>
      <c r="K863" s="7" t="s">
        <v>31</v>
      </c>
      <c r="L863" s="8" t="s">
        <v>5659</v>
      </c>
      <c r="M863" s="6" t="s">
        <v>6254</v>
      </c>
      <c r="N863" s="6" t="s">
        <v>5650</v>
      </c>
      <c r="O863" s="8" t="s">
        <v>5651</v>
      </c>
      <c r="P863" s="6" t="s">
        <v>5652</v>
      </c>
      <c r="Q863" s="6" t="s">
        <v>31</v>
      </c>
      <c r="R863" s="6" t="s">
        <v>64</v>
      </c>
      <c r="S863" s="8" t="s">
        <v>5653</v>
      </c>
      <c r="T863" s="6" t="s">
        <v>66</v>
      </c>
      <c r="U863" s="8" t="s">
        <v>31</v>
      </c>
      <c r="V863" s="6" t="s">
        <v>548</v>
      </c>
      <c r="W863" s="6" t="s">
        <v>5646</v>
      </c>
      <c r="X863" s="9" t="str">
        <f>HYPERLINK("https://my.pitchbook.com?p=75672-55P","View People Online")</f>
        <v>View People Online</v>
      </c>
    </row>
    <row r="864">
      <c r="A864" s="2" t="s">
        <v>6255</v>
      </c>
      <c r="B864" s="2" t="s">
        <v>6256</v>
      </c>
      <c r="C864" s="2" t="s">
        <v>1697</v>
      </c>
      <c r="D864" s="2" t="s">
        <v>6257</v>
      </c>
      <c r="E864" s="2" t="s">
        <v>5646</v>
      </c>
      <c r="F864" s="2" t="s">
        <v>1801</v>
      </c>
      <c r="G864" s="2" t="s">
        <v>6258</v>
      </c>
      <c r="H864" s="3" t="s">
        <v>31</v>
      </c>
      <c r="I864" s="3">
        <v>1.0</v>
      </c>
      <c r="J864" s="3">
        <v>1.0</v>
      </c>
      <c r="K864" s="3" t="s">
        <v>31</v>
      </c>
      <c r="L864" s="4" t="s">
        <v>5659</v>
      </c>
      <c r="M864" s="2" t="s">
        <v>6259</v>
      </c>
      <c r="N864" s="2" t="s">
        <v>5650</v>
      </c>
      <c r="O864" s="4" t="s">
        <v>5651</v>
      </c>
      <c r="P864" s="2" t="s">
        <v>5652</v>
      </c>
      <c r="Q864" s="2" t="s">
        <v>31</v>
      </c>
      <c r="R864" s="2" t="s">
        <v>64</v>
      </c>
      <c r="S864" s="4" t="s">
        <v>5653</v>
      </c>
      <c r="T864" s="2" t="s">
        <v>66</v>
      </c>
      <c r="U864" s="4" t="s">
        <v>31</v>
      </c>
      <c r="V864" s="2" t="s">
        <v>6260</v>
      </c>
      <c r="W864" s="2" t="s">
        <v>5646</v>
      </c>
      <c r="X864" s="5" t="str">
        <f>HYPERLINK("https://my.pitchbook.com?p=84674-62P","View People Online")</f>
        <v>View People Online</v>
      </c>
    </row>
    <row r="865">
      <c r="A865" s="6" t="s">
        <v>6261</v>
      </c>
      <c r="B865" s="6" t="s">
        <v>6262</v>
      </c>
      <c r="C865" s="6" t="s">
        <v>6263</v>
      </c>
      <c r="D865" s="6" t="s">
        <v>6264</v>
      </c>
      <c r="E865" s="6" t="s">
        <v>5646</v>
      </c>
      <c r="F865" s="6" t="s">
        <v>270</v>
      </c>
      <c r="G865" s="6" t="s">
        <v>6265</v>
      </c>
      <c r="H865" s="7" t="s">
        <v>31</v>
      </c>
      <c r="I865" s="7">
        <v>1.0</v>
      </c>
      <c r="J865" s="7">
        <v>1.0</v>
      </c>
      <c r="K865" s="7" t="s">
        <v>31</v>
      </c>
      <c r="L865" s="8" t="s">
        <v>5659</v>
      </c>
      <c r="M865" s="6" t="s">
        <v>6266</v>
      </c>
      <c r="N865" s="6" t="s">
        <v>5650</v>
      </c>
      <c r="O865" s="8" t="s">
        <v>5651</v>
      </c>
      <c r="P865" s="6" t="s">
        <v>5652</v>
      </c>
      <c r="Q865" s="6" t="s">
        <v>31</v>
      </c>
      <c r="R865" s="6" t="s">
        <v>64</v>
      </c>
      <c r="S865" s="8" t="s">
        <v>5653</v>
      </c>
      <c r="T865" s="6" t="s">
        <v>66</v>
      </c>
      <c r="U865" s="8" t="s">
        <v>31</v>
      </c>
      <c r="V865" s="6" t="s">
        <v>6267</v>
      </c>
      <c r="W865" s="6" t="s">
        <v>5646</v>
      </c>
      <c r="X865" s="9" t="str">
        <f>HYPERLINK("https://my.pitchbook.com?p=102482-92P","View People Online")</f>
        <v>View People Online</v>
      </c>
    </row>
    <row r="866">
      <c r="A866" s="10" t="s">
        <v>6268</v>
      </c>
      <c r="B866" s="10" t="s">
        <v>6269</v>
      </c>
      <c r="C866" s="10" t="s">
        <v>6270</v>
      </c>
      <c r="D866" s="10" t="s">
        <v>6271</v>
      </c>
      <c r="E866" s="10" t="s">
        <v>5646</v>
      </c>
      <c r="F866" s="10" t="s">
        <v>5065</v>
      </c>
      <c r="G866" s="10" t="s">
        <v>6272</v>
      </c>
      <c r="H866" s="11" t="s">
        <v>31</v>
      </c>
      <c r="I866" s="11">
        <v>1.0</v>
      </c>
      <c r="J866" s="11">
        <v>1.0</v>
      </c>
      <c r="K866" s="11" t="s">
        <v>31</v>
      </c>
      <c r="L866" s="12" t="s">
        <v>5659</v>
      </c>
      <c r="M866" s="10" t="s">
        <v>6273</v>
      </c>
      <c r="N866" s="10" t="s">
        <v>5650</v>
      </c>
      <c r="O866" s="12" t="s">
        <v>5651</v>
      </c>
      <c r="P866" s="10" t="s">
        <v>5652</v>
      </c>
      <c r="Q866" s="10" t="s">
        <v>31</v>
      </c>
      <c r="R866" s="10" t="s">
        <v>64</v>
      </c>
      <c r="S866" s="12" t="s">
        <v>5653</v>
      </c>
      <c r="T866" s="10" t="s">
        <v>66</v>
      </c>
      <c r="U866" s="12" t="s">
        <v>31</v>
      </c>
      <c r="V866" s="10" t="s">
        <v>6274</v>
      </c>
      <c r="W866" s="10" t="s">
        <v>5646</v>
      </c>
      <c r="X866" s="13" t="str">
        <f>HYPERLINK("https://my.pitchbook.com?p=173020-78P","View People Online")</f>
        <v>View People Online</v>
      </c>
    </row>
    <row r="867">
      <c r="A867" s="6" t="s">
        <v>6275</v>
      </c>
      <c r="B867" s="6" t="s">
        <v>6276</v>
      </c>
      <c r="C867" s="6" t="s">
        <v>6277</v>
      </c>
      <c r="D867" s="6" t="s">
        <v>6278</v>
      </c>
      <c r="E867" s="6" t="s">
        <v>6279</v>
      </c>
      <c r="F867" s="6" t="s">
        <v>78</v>
      </c>
      <c r="G867" s="6" t="s">
        <v>6280</v>
      </c>
      <c r="H867" s="7" t="s">
        <v>31</v>
      </c>
      <c r="I867" s="7">
        <v>1.0</v>
      </c>
      <c r="J867" s="7">
        <v>1.0</v>
      </c>
      <c r="K867" s="7" t="s">
        <v>31</v>
      </c>
      <c r="L867" s="8" t="s">
        <v>31</v>
      </c>
      <c r="M867" s="6" t="s">
        <v>6281</v>
      </c>
      <c r="N867" s="6" t="s">
        <v>6282</v>
      </c>
      <c r="O867" s="8" t="s">
        <v>6283</v>
      </c>
      <c r="P867" s="6" t="s">
        <v>6284</v>
      </c>
      <c r="Q867" s="6" t="s">
        <v>6285</v>
      </c>
      <c r="R867" s="6" t="s">
        <v>31</v>
      </c>
      <c r="S867" s="8" t="s">
        <v>6286</v>
      </c>
      <c r="T867" s="6" t="s">
        <v>639</v>
      </c>
      <c r="U867" s="8" t="s">
        <v>31</v>
      </c>
      <c r="V867" s="6" t="s">
        <v>6287</v>
      </c>
      <c r="W867" s="6" t="s">
        <v>6279</v>
      </c>
      <c r="X867" s="9" t="str">
        <f>HYPERLINK("https://my.pitchbook.com?p=374754-16P","View People Online")</f>
        <v>View People Online</v>
      </c>
    </row>
    <row r="868">
      <c r="A868" s="10" t="s">
        <v>6288</v>
      </c>
      <c r="B868" s="10" t="s">
        <v>6289</v>
      </c>
      <c r="C868" s="10" t="s">
        <v>233</v>
      </c>
      <c r="D868" s="10" t="s">
        <v>6290</v>
      </c>
      <c r="E868" s="10" t="s">
        <v>6279</v>
      </c>
      <c r="F868" s="10" t="s">
        <v>270</v>
      </c>
      <c r="G868" s="10" t="s">
        <v>6291</v>
      </c>
      <c r="H868" s="11" t="s">
        <v>31</v>
      </c>
      <c r="I868" s="11">
        <v>1.0</v>
      </c>
      <c r="J868" s="11">
        <v>1.0</v>
      </c>
      <c r="K868" s="11" t="s">
        <v>31</v>
      </c>
      <c r="L868" s="12" t="s">
        <v>31</v>
      </c>
      <c r="M868" s="10" t="s">
        <v>6292</v>
      </c>
      <c r="N868" s="10" t="s">
        <v>6282</v>
      </c>
      <c r="O868" s="12" t="s">
        <v>6283</v>
      </c>
      <c r="P868" s="10" t="s">
        <v>6284</v>
      </c>
      <c r="Q868" s="10" t="s">
        <v>6285</v>
      </c>
      <c r="R868" s="10" t="s">
        <v>31</v>
      </c>
      <c r="S868" s="12" t="s">
        <v>6286</v>
      </c>
      <c r="T868" s="10" t="s">
        <v>639</v>
      </c>
      <c r="U868" s="12" t="s">
        <v>31</v>
      </c>
      <c r="V868" s="10" t="s">
        <v>6293</v>
      </c>
      <c r="W868" s="10" t="s">
        <v>6279</v>
      </c>
      <c r="X868" s="13" t="str">
        <f>HYPERLINK("https://my.pitchbook.com?p=405253-09P","View People Online")</f>
        <v>View People Online</v>
      </c>
    </row>
    <row r="869">
      <c r="A869" s="6" t="s">
        <v>6294</v>
      </c>
      <c r="B869" s="6" t="s">
        <v>6295</v>
      </c>
      <c r="C869" s="6" t="s">
        <v>6296</v>
      </c>
      <c r="D869" s="6" t="s">
        <v>1866</v>
      </c>
      <c r="E869" s="6" t="s">
        <v>6279</v>
      </c>
      <c r="F869" s="6" t="s">
        <v>3600</v>
      </c>
      <c r="G869" s="6" t="s">
        <v>6297</v>
      </c>
      <c r="H869" s="7">
        <v>2.0</v>
      </c>
      <c r="I869" s="7">
        <v>10.0</v>
      </c>
      <c r="J869" s="7">
        <v>2.0</v>
      </c>
      <c r="K869" s="7">
        <v>5.0</v>
      </c>
      <c r="L869" s="8" t="s">
        <v>6298</v>
      </c>
      <c r="M869" s="6" t="s">
        <v>6299</v>
      </c>
      <c r="N869" s="6" t="s">
        <v>1416</v>
      </c>
      <c r="O869" s="8" t="s">
        <v>1417</v>
      </c>
      <c r="P869" s="6" t="s">
        <v>6300</v>
      </c>
      <c r="Q869" s="6" t="s">
        <v>6301</v>
      </c>
      <c r="R869" s="6" t="s">
        <v>1420</v>
      </c>
      <c r="S869" s="8" t="s">
        <v>6302</v>
      </c>
      <c r="T869" s="6" t="s">
        <v>66</v>
      </c>
      <c r="U869" s="8" t="s">
        <v>31</v>
      </c>
      <c r="V869" s="6" t="s">
        <v>6303</v>
      </c>
      <c r="W869" s="6" t="s">
        <v>6279</v>
      </c>
      <c r="X869" s="9" t="str">
        <f>HYPERLINK("https://my.pitchbook.com?p=78955-84P","View People Online")</f>
        <v>View People Online</v>
      </c>
    </row>
    <row r="870">
      <c r="A870" s="2" t="s">
        <v>6304</v>
      </c>
      <c r="B870" s="2" t="s">
        <v>6305</v>
      </c>
      <c r="C870" s="2" t="s">
        <v>6306</v>
      </c>
      <c r="D870" s="2" t="s">
        <v>6307</v>
      </c>
      <c r="E870" s="2" t="s">
        <v>6279</v>
      </c>
      <c r="F870" s="2" t="s">
        <v>3600</v>
      </c>
      <c r="G870" s="2" t="s">
        <v>6308</v>
      </c>
      <c r="H870" s="3">
        <v>3.0</v>
      </c>
      <c r="I870" s="3">
        <v>10.0</v>
      </c>
      <c r="J870" s="3">
        <v>1.0</v>
      </c>
      <c r="K870" s="3">
        <v>6.0</v>
      </c>
      <c r="L870" s="4" t="s">
        <v>6309</v>
      </c>
      <c r="M870" s="2" t="s">
        <v>6310</v>
      </c>
      <c r="N870" s="2" t="s">
        <v>6311</v>
      </c>
      <c r="O870" s="4" t="s">
        <v>6312</v>
      </c>
      <c r="P870" s="2" t="s">
        <v>6313</v>
      </c>
      <c r="Q870" s="2" t="s">
        <v>31</v>
      </c>
      <c r="R870" s="2" t="s">
        <v>31</v>
      </c>
      <c r="S870" s="4" t="s">
        <v>6314</v>
      </c>
      <c r="T870" s="2" t="s">
        <v>6315</v>
      </c>
      <c r="U870" s="4" t="s">
        <v>31</v>
      </c>
      <c r="V870" s="2" t="s">
        <v>6316</v>
      </c>
      <c r="W870" s="2" t="s">
        <v>6279</v>
      </c>
      <c r="X870" s="5" t="str">
        <f>HYPERLINK("https://my.pitchbook.com?p=204438-61P","View People Online")</f>
        <v>View People Online</v>
      </c>
    </row>
    <row r="871">
      <c r="A871" s="14" t="s">
        <v>6317</v>
      </c>
      <c r="B871" s="14" t="s">
        <v>6318</v>
      </c>
      <c r="C871" s="14" t="s">
        <v>6319</v>
      </c>
      <c r="D871" s="14" t="s">
        <v>6320</v>
      </c>
      <c r="E871" s="14" t="s">
        <v>6279</v>
      </c>
      <c r="F871" s="14" t="s">
        <v>1283</v>
      </c>
      <c r="G871" s="14" t="s">
        <v>6321</v>
      </c>
      <c r="H871" s="15" t="s">
        <v>31</v>
      </c>
      <c r="I871" s="15">
        <v>3.0</v>
      </c>
      <c r="J871" s="15">
        <v>1.0</v>
      </c>
      <c r="K871" s="15">
        <v>1.0</v>
      </c>
      <c r="L871" s="16" t="s">
        <v>31</v>
      </c>
      <c r="M871" s="14" t="s">
        <v>6322</v>
      </c>
      <c r="N871" s="14" t="s">
        <v>6282</v>
      </c>
      <c r="O871" s="16" t="s">
        <v>6283</v>
      </c>
      <c r="P871" s="14" t="s">
        <v>6284</v>
      </c>
      <c r="Q871" s="14" t="s">
        <v>6285</v>
      </c>
      <c r="R871" s="14" t="s">
        <v>31</v>
      </c>
      <c r="S871" s="16" t="s">
        <v>6286</v>
      </c>
      <c r="T871" s="14" t="s">
        <v>639</v>
      </c>
      <c r="U871" s="16" t="s">
        <v>31</v>
      </c>
      <c r="V871" s="14" t="s">
        <v>6323</v>
      </c>
      <c r="W871" s="14" t="s">
        <v>6279</v>
      </c>
      <c r="X871" s="17" t="str">
        <f>HYPERLINK("https://my.pitchbook.com?p=334672-93P","View People Online")</f>
        <v>View People Online</v>
      </c>
    </row>
    <row r="872">
      <c r="A872" s="10" t="s">
        <v>6324</v>
      </c>
      <c r="B872" s="10" t="s">
        <v>6325</v>
      </c>
      <c r="C872" s="10" t="s">
        <v>6326</v>
      </c>
      <c r="D872" s="10" t="s">
        <v>6327</v>
      </c>
      <c r="E872" s="10" t="s">
        <v>6279</v>
      </c>
      <c r="F872" s="10" t="s">
        <v>1283</v>
      </c>
      <c r="G872" s="10" t="s">
        <v>6328</v>
      </c>
      <c r="H872" s="11">
        <v>1.0</v>
      </c>
      <c r="I872" s="11">
        <v>15.0</v>
      </c>
      <c r="J872" s="11">
        <v>1.0</v>
      </c>
      <c r="K872" s="11">
        <v>13.0</v>
      </c>
      <c r="L872" s="12" t="s">
        <v>31</v>
      </c>
      <c r="M872" s="10" t="s">
        <v>6329</v>
      </c>
      <c r="N872" s="10" t="s">
        <v>6282</v>
      </c>
      <c r="O872" s="12" t="s">
        <v>6283</v>
      </c>
      <c r="P872" s="10" t="s">
        <v>6284</v>
      </c>
      <c r="Q872" s="10" t="s">
        <v>6285</v>
      </c>
      <c r="R872" s="10" t="s">
        <v>31</v>
      </c>
      <c r="S872" s="12" t="s">
        <v>6286</v>
      </c>
      <c r="T872" s="10" t="s">
        <v>639</v>
      </c>
      <c r="U872" s="12" t="s">
        <v>31</v>
      </c>
      <c r="V872" s="10" t="s">
        <v>6330</v>
      </c>
      <c r="W872" s="10" t="s">
        <v>6279</v>
      </c>
      <c r="X872" s="13" t="str">
        <f>HYPERLINK("https://my.pitchbook.com?p=53636-50P","View People Online")</f>
        <v>View People Online</v>
      </c>
    </row>
    <row r="873">
      <c r="A873" s="6" t="s">
        <v>6331</v>
      </c>
      <c r="B873" s="6" t="s">
        <v>6332</v>
      </c>
      <c r="C873" s="6" t="s">
        <v>69</v>
      </c>
      <c r="D873" s="6" t="s">
        <v>6333</v>
      </c>
      <c r="E873" s="6" t="s">
        <v>6279</v>
      </c>
      <c r="F873" s="6" t="s">
        <v>1283</v>
      </c>
      <c r="G873" s="6" t="s">
        <v>6334</v>
      </c>
      <c r="H873" s="7">
        <v>2.0</v>
      </c>
      <c r="I873" s="7">
        <v>21.0</v>
      </c>
      <c r="J873" s="7">
        <v>2.0</v>
      </c>
      <c r="K873" s="7">
        <v>15.0</v>
      </c>
      <c r="L873" s="8" t="s">
        <v>31</v>
      </c>
      <c r="M873" s="6" t="s">
        <v>6335</v>
      </c>
      <c r="N873" s="6" t="s">
        <v>775</v>
      </c>
      <c r="O873" s="8" t="s">
        <v>776</v>
      </c>
      <c r="P873" s="6" t="s">
        <v>6336</v>
      </c>
      <c r="Q873" s="6" t="s">
        <v>31</v>
      </c>
      <c r="R873" s="6" t="s">
        <v>64</v>
      </c>
      <c r="S873" s="8" t="s">
        <v>779</v>
      </c>
      <c r="T873" s="6" t="s">
        <v>66</v>
      </c>
      <c r="U873" s="8" t="s">
        <v>31</v>
      </c>
      <c r="V873" s="6" t="s">
        <v>6303</v>
      </c>
      <c r="W873" s="6" t="s">
        <v>6337</v>
      </c>
      <c r="X873" s="9" t="str">
        <f>HYPERLINK("https://my.pitchbook.com?p=13089-25P","View People Online")</f>
        <v>View People Online</v>
      </c>
    </row>
    <row r="874">
      <c r="A874" s="2" t="s">
        <v>6338</v>
      </c>
      <c r="B874" s="2" t="s">
        <v>6339</v>
      </c>
      <c r="C874" s="2" t="s">
        <v>6340</v>
      </c>
      <c r="D874" s="2" t="s">
        <v>6341</v>
      </c>
      <c r="E874" s="2" t="s">
        <v>6279</v>
      </c>
      <c r="F874" s="2" t="s">
        <v>221</v>
      </c>
      <c r="G874" s="2" t="s">
        <v>6342</v>
      </c>
      <c r="H874" s="3" t="s">
        <v>31</v>
      </c>
      <c r="I874" s="3">
        <v>1.0</v>
      </c>
      <c r="J874" s="3">
        <v>1.0</v>
      </c>
      <c r="K874" s="3" t="s">
        <v>31</v>
      </c>
      <c r="L874" s="4" t="s">
        <v>31</v>
      </c>
      <c r="M874" s="2" t="s">
        <v>6343</v>
      </c>
      <c r="N874" s="2" t="s">
        <v>6282</v>
      </c>
      <c r="O874" s="4" t="s">
        <v>6283</v>
      </c>
      <c r="P874" s="2" t="s">
        <v>6284</v>
      </c>
      <c r="Q874" s="2" t="s">
        <v>6285</v>
      </c>
      <c r="R874" s="2" t="s">
        <v>31</v>
      </c>
      <c r="S874" s="4" t="s">
        <v>6286</v>
      </c>
      <c r="T874" s="2" t="s">
        <v>639</v>
      </c>
      <c r="U874" s="4" t="s">
        <v>31</v>
      </c>
      <c r="V874" s="2" t="s">
        <v>957</v>
      </c>
      <c r="W874" s="2" t="s">
        <v>6279</v>
      </c>
      <c r="X874" s="5" t="str">
        <f>HYPERLINK("https://my.pitchbook.com?p=425629-72P","View People Online")</f>
        <v>View People Online</v>
      </c>
    </row>
    <row r="875">
      <c r="A875" s="6" t="s">
        <v>6344</v>
      </c>
      <c r="B875" s="6" t="s">
        <v>6345</v>
      </c>
      <c r="C875" s="6" t="s">
        <v>6346</v>
      </c>
      <c r="D875" s="6" t="s">
        <v>6347</v>
      </c>
      <c r="E875" s="6" t="s">
        <v>6279</v>
      </c>
      <c r="F875" s="6" t="s">
        <v>2422</v>
      </c>
      <c r="G875" s="6" t="s">
        <v>6348</v>
      </c>
      <c r="H875" s="7">
        <v>2.0</v>
      </c>
      <c r="I875" s="7">
        <v>9.0</v>
      </c>
      <c r="J875" s="7">
        <v>2.0</v>
      </c>
      <c r="K875" s="7">
        <v>5.0</v>
      </c>
      <c r="L875" s="8" t="s">
        <v>31</v>
      </c>
      <c r="M875" s="6" t="s">
        <v>6349</v>
      </c>
      <c r="N875" s="6" t="s">
        <v>243</v>
      </c>
      <c r="O875" s="8" t="s">
        <v>244</v>
      </c>
      <c r="P875" s="6" t="s">
        <v>6350</v>
      </c>
      <c r="Q875" s="6" t="s">
        <v>6351</v>
      </c>
      <c r="R875" s="6" t="s">
        <v>247</v>
      </c>
      <c r="S875" s="8" t="s">
        <v>6352</v>
      </c>
      <c r="T875" s="6" t="s">
        <v>249</v>
      </c>
      <c r="U875" s="8" t="s">
        <v>31</v>
      </c>
      <c r="V875" s="6" t="s">
        <v>6353</v>
      </c>
      <c r="W875" s="6" t="s">
        <v>6279</v>
      </c>
      <c r="X875" s="9" t="str">
        <f>HYPERLINK("https://my.pitchbook.com?p=295241-23P","View People Online")</f>
        <v>View People Online</v>
      </c>
    </row>
    <row r="876">
      <c r="A876" s="2" t="s">
        <v>6354</v>
      </c>
      <c r="B876" s="2" t="s">
        <v>6355</v>
      </c>
      <c r="C876" s="2" t="s">
        <v>1323</v>
      </c>
      <c r="D876" s="2" t="s">
        <v>6356</v>
      </c>
      <c r="E876" s="2" t="s">
        <v>6279</v>
      </c>
      <c r="F876" s="2" t="s">
        <v>3600</v>
      </c>
      <c r="G876" s="2" t="s">
        <v>6357</v>
      </c>
      <c r="H876" s="3" t="s">
        <v>31</v>
      </c>
      <c r="I876" s="3">
        <v>7.0</v>
      </c>
      <c r="J876" s="3">
        <v>1.0</v>
      </c>
      <c r="K876" s="3">
        <v>5.0</v>
      </c>
      <c r="L876" s="4" t="s">
        <v>31</v>
      </c>
      <c r="M876" s="2" t="s">
        <v>6358</v>
      </c>
      <c r="N876" s="2" t="s">
        <v>6282</v>
      </c>
      <c r="O876" s="4" t="s">
        <v>6283</v>
      </c>
      <c r="P876" s="2" t="s">
        <v>6284</v>
      </c>
      <c r="Q876" s="2" t="s">
        <v>6285</v>
      </c>
      <c r="R876" s="2" t="s">
        <v>31</v>
      </c>
      <c r="S876" s="4" t="s">
        <v>6286</v>
      </c>
      <c r="T876" s="2" t="s">
        <v>639</v>
      </c>
      <c r="U876" s="4" t="s">
        <v>31</v>
      </c>
      <c r="V876" s="2" t="s">
        <v>6359</v>
      </c>
      <c r="W876" s="2" t="s">
        <v>6279</v>
      </c>
      <c r="X876" s="5" t="str">
        <f>HYPERLINK("https://my.pitchbook.com?p=13151-80P","View People Online")</f>
        <v>View People Online</v>
      </c>
    </row>
    <row r="877">
      <c r="A877" s="6" t="s">
        <v>6360</v>
      </c>
      <c r="B877" s="6" t="s">
        <v>6361</v>
      </c>
      <c r="C877" s="6" t="s">
        <v>1849</v>
      </c>
      <c r="D877" s="6" t="s">
        <v>6362</v>
      </c>
      <c r="E877" s="6" t="s">
        <v>6279</v>
      </c>
      <c r="F877" s="6" t="s">
        <v>695</v>
      </c>
      <c r="G877" s="6" t="s">
        <v>6363</v>
      </c>
      <c r="H877" s="7" t="s">
        <v>31</v>
      </c>
      <c r="I877" s="7">
        <v>1.0</v>
      </c>
      <c r="J877" s="7">
        <v>1.0</v>
      </c>
      <c r="K877" s="7" t="s">
        <v>31</v>
      </c>
      <c r="L877" s="8" t="s">
        <v>31</v>
      </c>
      <c r="M877" s="6" t="s">
        <v>6364</v>
      </c>
      <c r="N877" s="6" t="s">
        <v>243</v>
      </c>
      <c r="O877" s="8" t="s">
        <v>244</v>
      </c>
      <c r="P877" s="6" t="s">
        <v>6350</v>
      </c>
      <c r="Q877" s="6" t="s">
        <v>6351</v>
      </c>
      <c r="R877" s="6" t="s">
        <v>247</v>
      </c>
      <c r="S877" s="8" t="s">
        <v>6352</v>
      </c>
      <c r="T877" s="6" t="s">
        <v>249</v>
      </c>
      <c r="U877" s="8" t="s">
        <v>31</v>
      </c>
      <c r="V877" s="6" t="s">
        <v>6365</v>
      </c>
      <c r="W877" s="6" t="s">
        <v>6279</v>
      </c>
      <c r="X877" s="9" t="str">
        <f>HYPERLINK("https://my.pitchbook.com?p=271631-08P","View People Online")</f>
        <v>View People Online</v>
      </c>
    </row>
    <row r="878">
      <c r="A878" s="10" t="s">
        <v>6366</v>
      </c>
      <c r="B878" s="10" t="s">
        <v>6367</v>
      </c>
      <c r="C878" s="10" t="s">
        <v>6368</v>
      </c>
      <c r="D878" s="10" t="s">
        <v>6369</v>
      </c>
      <c r="E878" s="10" t="s">
        <v>6279</v>
      </c>
      <c r="F878" s="10" t="s">
        <v>825</v>
      </c>
      <c r="G878" s="10" t="s">
        <v>6370</v>
      </c>
      <c r="H878" s="11" t="s">
        <v>31</v>
      </c>
      <c r="I878" s="11">
        <v>1.0</v>
      </c>
      <c r="J878" s="11">
        <v>1.0</v>
      </c>
      <c r="K878" s="11" t="s">
        <v>31</v>
      </c>
      <c r="L878" s="12" t="s">
        <v>31</v>
      </c>
      <c r="M878" s="10" t="s">
        <v>6371</v>
      </c>
      <c r="N878" s="10" t="s">
        <v>6282</v>
      </c>
      <c r="O878" s="12" t="s">
        <v>6283</v>
      </c>
      <c r="P878" s="10" t="s">
        <v>6284</v>
      </c>
      <c r="Q878" s="10" t="s">
        <v>6285</v>
      </c>
      <c r="R878" s="10" t="s">
        <v>31</v>
      </c>
      <c r="S878" s="12" t="s">
        <v>6286</v>
      </c>
      <c r="T878" s="10" t="s">
        <v>639</v>
      </c>
      <c r="U878" s="12" t="s">
        <v>31</v>
      </c>
      <c r="V878" s="10" t="s">
        <v>6372</v>
      </c>
      <c r="W878" s="10" t="s">
        <v>6279</v>
      </c>
      <c r="X878" s="13" t="str">
        <f>HYPERLINK("https://my.pitchbook.com?p=374763-34P","View People Online")</f>
        <v>View People Online</v>
      </c>
    </row>
    <row r="879">
      <c r="A879" s="14" t="s">
        <v>6373</v>
      </c>
      <c r="B879" s="14" t="s">
        <v>6374</v>
      </c>
      <c r="C879" s="14" t="s">
        <v>6375</v>
      </c>
      <c r="D879" s="14" t="s">
        <v>3677</v>
      </c>
      <c r="E879" s="14" t="s">
        <v>6279</v>
      </c>
      <c r="F879" s="14" t="s">
        <v>318</v>
      </c>
      <c r="G879" s="14" t="s">
        <v>6376</v>
      </c>
      <c r="H879" s="15" t="s">
        <v>31</v>
      </c>
      <c r="I879" s="15">
        <v>1.0</v>
      </c>
      <c r="J879" s="15">
        <v>1.0</v>
      </c>
      <c r="K879" s="15" t="s">
        <v>31</v>
      </c>
      <c r="L879" s="16" t="s">
        <v>31</v>
      </c>
      <c r="M879" s="14" t="s">
        <v>6377</v>
      </c>
      <c r="N879" s="14" t="s">
        <v>3334</v>
      </c>
      <c r="O879" s="16" t="s">
        <v>3335</v>
      </c>
      <c r="P879" s="14" t="s">
        <v>6378</v>
      </c>
      <c r="Q879" s="14" t="s">
        <v>6379</v>
      </c>
      <c r="R879" s="14" t="s">
        <v>31</v>
      </c>
      <c r="S879" s="16" t="s">
        <v>31</v>
      </c>
      <c r="T879" s="14" t="s">
        <v>3339</v>
      </c>
      <c r="U879" s="16" t="s">
        <v>31</v>
      </c>
      <c r="V879" s="14" t="s">
        <v>6380</v>
      </c>
      <c r="W879" s="14" t="s">
        <v>6279</v>
      </c>
      <c r="X879" s="17" t="str">
        <f>HYPERLINK("https://my.pitchbook.com?p=425640-25P","View People Online")</f>
        <v>View People Online</v>
      </c>
    </row>
    <row r="880">
      <c r="A880" s="2" t="s">
        <v>6381</v>
      </c>
      <c r="B880" s="2" t="s">
        <v>6382</v>
      </c>
      <c r="C880" s="2" t="s">
        <v>6383</v>
      </c>
      <c r="D880" s="2" t="s">
        <v>6384</v>
      </c>
      <c r="E880" s="2" t="s">
        <v>6279</v>
      </c>
      <c r="F880" s="2" t="s">
        <v>1283</v>
      </c>
      <c r="G880" s="2" t="s">
        <v>6385</v>
      </c>
      <c r="H880" s="3">
        <v>2.0</v>
      </c>
      <c r="I880" s="3">
        <v>5.0</v>
      </c>
      <c r="J880" s="3">
        <v>1.0</v>
      </c>
      <c r="K880" s="3">
        <v>2.0</v>
      </c>
      <c r="L880" s="4" t="s">
        <v>31</v>
      </c>
      <c r="M880" s="2" t="s">
        <v>6386</v>
      </c>
      <c r="N880" s="2" t="s">
        <v>6311</v>
      </c>
      <c r="O880" s="4" t="s">
        <v>6312</v>
      </c>
      <c r="P880" s="2" t="s">
        <v>6313</v>
      </c>
      <c r="Q880" s="2" t="s">
        <v>31</v>
      </c>
      <c r="R880" s="2" t="s">
        <v>31</v>
      </c>
      <c r="S880" s="4" t="s">
        <v>6314</v>
      </c>
      <c r="T880" s="2" t="s">
        <v>6315</v>
      </c>
      <c r="U880" s="4" t="s">
        <v>31</v>
      </c>
      <c r="V880" s="2" t="s">
        <v>294</v>
      </c>
      <c r="W880" s="2" t="s">
        <v>6279</v>
      </c>
      <c r="X880" s="5" t="str">
        <f>HYPERLINK("https://my.pitchbook.com?p=52885-81P","View People Online")</f>
        <v>View People Online</v>
      </c>
    </row>
    <row r="881">
      <c r="A881" s="6" t="s">
        <v>6387</v>
      </c>
      <c r="B881" s="6" t="s">
        <v>6388</v>
      </c>
      <c r="C881" s="6" t="s">
        <v>6389</v>
      </c>
      <c r="D881" s="6" t="s">
        <v>6390</v>
      </c>
      <c r="E881" s="6" t="s">
        <v>6279</v>
      </c>
      <c r="F881" s="6" t="s">
        <v>2422</v>
      </c>
      <c r="G881" s="6" t="s">
        <v>6391</v>
      </c>
      <c r="H881" s="7" t="s">
        <v>31</v>
      </c>
      <c r="I881" s="7">
        <v>4.0</v>
      </c>
      <c r="J881" s="7">
        <v>1.0</v>
      </c>
      <c r="K881" s="7">
        <v>3.0</v>
      </c>
      <c r="L881" s="8" t="s">
        <v>31</v>
      </c>
      <c r="M881" s="6" t="s">
        <v>6392</v>
      </c>
      <c r="N881" s="6" t="s">
        <v>6282</v>
      </c>
      <c r="O881" s="8" t="s">
        <v>6283</v>
      </c>
      <c r="P881" s="6" t="s">
        <v>6284</v>
      </c>
      <c r="Q881" s="6" t="s">
        <v>6285</v>
      </c>
      <c r="R881" s="6" t="s">
        <v>31</v>
      </c>
      <c r="S881" s="8" t="s">
        <v>6286</v>
      </c>
      <c r="T881" s="6" t="s">
        <v>639</v>
      </c>
      <c r="U881" s="8" t="s">
        <v>31</v>
      </c>
      <c r="V881" s="6" t="s">
        <v>2422</v>
      </c>
      <c r="W881" s="6" t="s">
        <v>6279</v>
      </c>
      <c r="X881" s="9" t="str">
        <f>HYPERLINK("https://my.pitchbook.com?p=161187-13P","View People Online")</f>
        <v>View People Online</v>
      </c>
    </row>
    <row r="882">
      <c r="A882" s="2" t="s">
        <v>6393</v>
      </c>
      <c r="B882" s="2" t="s">
        <v>6394</v>
      </c>
      <c r="C882" s="2" t="s">
        <v>6395</v>
      </c>
      <c r="D882" s="2" t="s">
        <v>831</v>
      </c>
      <c r="E882" s="2" t="s">
        <v>6279</v>
      </c>
      <c r="F882" s="2" t="s">
        <v>221</v>
      </c>
      <c r="G882" s="2" t="s">
        <v>6396</v>
      </c>
      <c r="H882" s="3" t="s">
        <v>31</v>
      </c>
      <c r="I882" s="3">
        <v>1.0</v>
      </c>
      <c r="J882" s="3">
        <v>1.0</v>
      </c>
      <c r="K882" s="3" t="s">
        <v>31</v>
      </c>
      <c r="L882" s="4" t="s">
        <v>31</v>
      </c>
      <c r="M882" s="2" t="s">
        <v>6397</v>
      </c>
      <c r="N882" s="2" t="s">
        <v>1368</v>
      </c>
      <c r="O882" s="4" t="s">
        <v>1369</v>
      </c>
      <c r="P882" s="2" t="s">
        <v>6398</v>
      </c>
      <c r="Q882" s="2" t="s">
        <v>6399</v>
      </c>
      <c r="R882" s="2" t="s">
        <v>1185</v>
      </c>
      <c r="S882" s="4" t="s">
        <v>1372</v>
      </c>
      <c r="T882" s="2" t="s">
        <v>66</v>
      </c>
      <c r="U882" s="4" t="s">
        <v>31</v>
      </c>
      <c r="V882" s="2" t="s">
        <v>6400</v>
      </c>
      <c r="W882" s="2" t="s">
        <v>6279</v>
      </c>
      <c r="X882" s="5" t="str">
        <f>HYPERLINK("https://my.pitchbook.com?p=334677-61P","View People Online")</f>
        <v>View People Online</v>
      </c>
    </row>
    <row r="883">
      <c r="A883" s="6" t="s">
        <v>6401</v>
      </c>
      <c r="B883" s="6" t="s">
        <v>6402</v>
      </c>
      <c r="C883" s="6" t="s">
        <v>3529</v>
      </c>
      <c r="D883" s="6" t="s">
        <v>6403</v>
      </c>
      <c r="E883" s="6" t="s">
        <v>6279</v>
      </c>
      <c r="F883" s="6" t="s">
        <v>2422</v>
      </c>
      <c r="G883" s="6" t="s">
        <v>6404</v>
      </c>
      <c r="H883" s="7">
        <v>1.0</v>
      </c>
      <c r="I883" s="7">
        <v>4.0</v>
      </c>
      <c r="J883" s="7">
        <v>2.0</v>
      </c>
      <c r="K883" s="7">
        <v>1.0</v>
      </c>
      <c r="L883" s="8" t="s">
        <v>31</v>
      </c>
      <c r="M883" s="6" t="s">
        <v>6405</v>
      </c>
      <c r="N883" s="6" t="s">
        <v>6406</v>
      </c>
      <c r="O883" s="8" t="s">
        <v>6407</v>
      </c>
      <c r="P883" s="6" t="s">
        <v>6408</v>
      </c>
      <c r="Q883" s="6" t="s">
        <v>6409</v>
      </c>
      <c r="R883" s="6" t="s">
        <v>64</v>
      </c>
      <c r="S883" s="8" t="s">
        <v>6410</v>
      </c>
      <c r="T883" s="6" t="s">
        <v>66</v>
      </c>
      <c r="U883" s="8" t="s">
        <v>31</v>
      </c>
      <c r="V883" s="6" t="s">
        <v>991</v>
      </c>
      <c r="W883" s="6" t="s">
        <v>6411</v>
      </c>
      <c r="X883" s="9" t="str">
        <f>HYPERLINK("https://my.pitchbook.com?p=69057-46P","View People Online")</f>
        <v>View People Online</v>
      </c>
    </row>
    <row r="884">
      <c r="A884" s="10" t="s">
        <v>6412</v>
      </c>
      <c r="B884" s="10" t="s">
        <v>6413</v>
      </c>
      <c r="C884" s="10" t="s">
        <v>6414</v>
      </c>
      <c r="D884" s="10" t="s">
        <v>6415</v>
      </c>
      <c r="E884" s="10" t="s">
        <v>6279</v>
      </c>
      <c r="F884" s="10" t="s">
        <v>1283</v>
      </c>
      <c r="G884" s="10" t="s">
        <v>6416</v>
      </c>
      <c r="H884" s="11">
        <v>4.0</v>
      </c>
      <c r="I884" s="11">
        <v>24.0</v>
      </c>
      <c r="J884" s="11">
        <v>1.0</v>
      </c>
      <c r="K884" s="11">
        <v>14.0</v>
      </c>
      <c r="L884" s="12" t="s">
        <v>6298</v>
      </c>
      <c r="M884" s="10" t="s">
        <v>6417</v>
      </c>
      <c r="N884" s="10" t="s">
        <v>1416</v>
      </c>
      <c r="O884" s="12" t="s">
        <v>1417</v>
      </c>
      <c r="P884" s="10" t="s">
        <v>6300</v>
      </c>
      <c r="Q884" s="10" t="s">
        <v>6301</v>
      </c>
      <c r="R884" s="10" t="s">
        <v>1420</v>
      </c>
      <c r="S884" s="12" t="s">
        <v>6302</v>
      </c>
      <c r="T884" s="10" t="s">
        <v>66</v>
      </c>
      <c r="U884" s="12" t="s">
        <v>31</v>
      </c>
      <c r="V884" s="10" t="s">
        <v>6418</v>
      </c>
      <c r="W884" s="10" t="s">
        <v>6279</v>
      </c>
      <c r="X884" s="13" t="str">
        <f>HYPERLINK("https://my.pitchbook.com?p=37131-49P","View People Online")</f>
        <v>View People Online</v>
      </c>
    </row>
    <row r="885">
      <c r="A885" s="14" t="s">
        <v>6419</v>
      </c>
      <c r="B885" s="14" t="s">
        <v>6420</v>
      </c>
      <c r="C885" s="14" t="s">
        <v>6421</v>
      </c>
      <c r="D885" s="14" t="s">
        <v>6422</v>
      </c>
      <c r="E885" s="14" t="s">
        <v>6279</v>
      </c>
      <c r="F885" s="14" t="s">
        <v>802</v>
      </c>
      <c r="G885" s="14" t="s">
        <v>6423</v>
      </c>
      <c r="H885" s="15" t="s">
        <v>31</v>
      </c>
      <c r="I885" s="15">
        <v>1.0</v>
      </c>
      <c r="J885" s="15">
        <v>1.0</v>
      </c>
      <c r="K885" s="15" t="s">
        <v>31</v>
      </c>
      <c r="L885" s="16" t="s">
        <v>6298</v>
      </c>
      <c r="M885" s="14" t="s">
        <v>6424</v>
      </c>
      <c r="N885" s="14" t="s">
        <v>1416</v>
      </c>
      <c r="O885" s="16" t="s">
        <v>1417</v>
      </c>
      <c r="P885" s="14" t="s">
        <v>6300</v>
      </c>
      <c r="Q885" s="14" t="s">
        <v>6301</v>
      </c>
      <c r="R885" s="14" t="s">
        <v>1420</v>
      </c>
      <c r="S885" s="16" t="s">
        <v>6302</v>
      </c>
      <c r="T885" s="14" t="s">
        <v>66</v>
      </c>
      <c r="U885" s="16" t="s">
        <v>31</v>
      </c>
      <c r="V885" s="14" t="s">
        <v>6425</v>
      </c>
      <c r="W885" s="14" t="s">
        <v>6279</v>
      </c>
      <c r="X885" s="17" t="str">
        <f>HYPERLINK("https://my.pitchbook.com?p=216111-97P","View People Online")</f>
        <v>View People Online</v>
      </c>
    </row>
    <row r="886">
      <c r="A886" s="2" t="s">
        <v>6426</v>
      </c>
      <c r="B886" s="2" t="s">
        <v>6427</v>
      </c>
      <c r="C886" s="2" t="s">
        <v>6428</v>
      </c>
      <c r="D886" s="2" t="s">
        <v>6429</v>
      </c>
      <c r="E886" s="2" t="s">
        <v>6279</v>
      </c>
      <c r="F886" s="2" t="s">
        <v>825</v>
      </c>
      <c r="G886" s="2" t="s">
        <v>6430</v>
      </c>
      <c r="H886" s="3" t="s">
        <v>31</v>
      </c>
      <c r="I886" s="3">
        <v>1.0</v>
      </c>
      <c r="J886" s="3">
        <v>1.0</v>
      </c>
      <c r="K886" s="3" t="s">
        <v>31</v>
      </c>
      <c r="L886" s="4" t="s">
        <v>31</v>
      </c>
      <c r="M886" s="2" t="s">
        <v>6431</v>
      </c>
      <c r="N886" s="2" t="s">
        <v>6282</v>
      </c>
      <c r="O886" s="4" t="s">
        <v>6283</v>
      </c>
      <c r="P886" s="2" t="s">
        <v>6284</v>
      </c>
      <c r="Q886" s="2" t="s">
        <v>6285</v>
      </c>
      <c r="R886" s="2" t="s">
        <v>31</v>
      </c>
      <c r="S886" s="4" t="s">
        <v>6286</v>
      </c>
      <c r="T886" s="2" t="s">
        <v>639</v>
      </c>
      <c r="U886" s="4" t="s">
        <v>31</v>
      </c>
      <c r="V886" s="2" t="s">
        <v>6432</v>
      </c>
      <c r="W886" s="2" t="s">
        <v>6279</v>
      </c>
      <c r="X886" s="5" t="str">
        <f>HYPERLINK("https://my.pitchbook.com?p=271629-28P","View People Online")</f>
        <v>View People Online</v>
      </c>
    </row>
    <row r="887">
      <c r="A887" s="14" t="s">
        <v>6433</v>
      </c>
      <c r="B887" s="14" t="s">
        <v>6434</v>
      </c>
      <c r="C887" s="14" t="s">
        <v>6435</v>
      </c>
      <c r="D887" s="14" t="s">
        <v>6436</v>
      </c>
      <c r="E887" s="14" t="s">
        <v>6279</v>
      </c>
      <c r="F887" s="14" t="s">
        <v>221</v>
      </c>
      <c r="G887" s="14" t="s">
        <v>6437</v>
      </c>
      <c r="H887" s="15">
        <v>1.0</v>
      </c>
      <c r="I887" s="15">
        <v>2.0</v>
      </c>
      <c r="J887" s="15">
        <v>1.0</v>
      </c>
      <c r="K887" s="15" t="s">
        <v>31</v>
      </c>
      <c r="L887" s="16" t="s">
        <v>6298</v>
      </c>
      <c r="M887" s="14" t="s">
        <v>6438</v>
      </c>
      <c r="N887" s="14" t="s">
        <v>1416</v>
      </c>
      <c r="O887" s="16" t="s">
        <v>1417</v>
      </c>
      <c r="P887" s="14" t="s">
        <v>6300</v>
      </c>
      <c r="Q887" s="14" t="s">
        <v>6301</v>
      </c>
      <c r="R887" s="14" t="s">
        <v>1420</v>
      </c>
      <c r="S887" s="16" t="s">
        <v>6302</v>
      </c>
      <c r="T887" s="14" t="s">
        <v>66</v>
      </c>
      <c r="U887" s="16" t="s">
        <v>31</v>
      </c>
      <c r="V887" s="14" t="s">
        <v>957</v>
      </c>
      <c r="W887" s="14" t="s">
        <v>6279</v>
      </c>
      <c r="X887" s="17" t="str">
        <f>HYPERLINK("https://my.pitchbook.com?p=334678-24P","View People Online")</f>
        <v>View People Online</v>
      </c>
    </row>
    <row r="888">
      <c r="A888" s="10" t="s">
        <v>6439</v>
      </c>
      <c r="B888" s="10" t="s">
        <v>6440</v>
      </c>
      <c r="C888" s="10" t="s">
        <v>6441</v>
      </c>
      <c r="D888" s="10" t="s">
        <v>6442</v>
      </c>
      <c r="E888" s="10" t="s">
        <v>6279</v>
      </c>
      <c r="F888" s="10" t="s">
        <v>221</v>
      </c>
      <c r="G888" s="10" t="s">
        <v>6443</v>
      </c>
      <c r="H888" s="11" t="s">
        <v>31</v>
      </c>
      <c r="I888" s="11">
        <v>1.0</v>
      </c>
      <c r="J888" s="11">
        <v>1.0</v>
      </c>
      <c r="K888" s="11" t="s">
        <v>31</v>
      </c>
      <c r="L888" s="12" t="s">
        <v>31</v>
      </c>
      <c r="M888" s="10" t="s">
        <v>6444</v>
      </c>
      <c r="N888" s="10" t="s">
        <v>243</v>
      </c>
      <c r="O888" s="12" t="s">
        <v>244</v>
      </c>
      <c r="P888" s="10" t="s">
        <v>6350</v>
      </c>
      <c r="Q888" s="10" t="s">
        <v>6351</v>
      </c>
      <c r="R888" s="10" t="s">
        <v>247</v>
      </c>
      <c r="S888" s="12" t="s">
        <v>6352</v>
      </c>
      <c r="T888" s="10" t="s">
        <v>249</v>
      </c>
      <c r="U888" s="12" t="s">
        <v>31</v>
      </c>
      <c r="V888" s="10" t="s">
        <v>957</v>
      </c>
      <c r="W888" s="10" t="s">
        <v>6279</v>
      </c>
      <c r="X888" s="13" t="str">
        <f>HYPERLINK("https://my.pitchbook.com?p=425632-51P","View People Online")</f>
        <v>View People Online</v>
      </c>
    </row>
    <row r="889">
      <c r="A889" s="14" t="s">
        <v>6445</v>
      </c>
      <c r="B889" s="14" t="s">
        <v>6446</v>
      </c>
      <c r="C889" s="14" t="s">
        <v>5113</v>
      </c>
      <c r="D889" s="14" t="s">
        <v>6447</v>
      </c>
      <c r="E889" s="14" t="s">
        <v>6279</v>
      </c>
      <c r="F889" s="14" t="s">
        <v>221</v>
      </c>
      <c r="G889" s="14" t="s">
        <v>6448</v>
      </c>
      <c r="H889" s="15">
        <v>1.0</v>
      </c>
      <c r="I889" s="15">
        <v>2.0</v>
      </c>
      <c r="J889" s="15">
        <v>1.0</v>
      </c>
      <c r="K889" s="15" t="s">
        <v>31</v>
      </c>
      <c r="L889" s="16" t="s">
        <v>31</v>
      </c>
      <c r="M889" s="14" t="s">
        <v>6449</v>
      </c>
      <c r="N889" s="14" t="s">
        <v>243</v>
      </c>
      <c r="O889" s="16" t="s">
        <v>244</v>
      </c>
      <c r="P889" s="14" t="s">
        <v>6350</v>
      </c>
      <c r="Q889" s="14" t="s">
        <v>6351</v>
      </c>
      <c r="R889" s="14" t="s">
        <v>247</v>
      </c>
      <c r="S889" s="16" t="s">
        <v>6352</v>
      </c>
      <c r="T889" s="14" t="s">
        <v>249</v>
      </c>
      <c r="U889" s="16" t="s">
        <v>31</v>
      </c>
      <c r="V889" s="14" t="s">
        <v>6450</v>
      </c>
      <c r="W889" s="14" t="s">
        <v>6279</v>
      </c>
      <c r="X889" s="17" t="str">
        <f>HYPERLINK("https://my.pitchbook.com?p=352908-91P","View People Online")</f>
        <v>View People Online</v>
      </c>
    </row>
    <row r="890">
      <c r="A890" s="2" t="s">
        <v>6451</v>
      </c>
      <c r="B890" s="2" t="s">
        <v>6452</v>
      </c>
      <c r="C890" s="2" t="s">
        <v>6453</v>
      </c>
      <c r="D890" s="2" t="s">
        <v>6454</v>
      </c>
      <c r="E890" s="2" t="s">
        <v>6279</v>
      </c>
      <c r="F890" s="2" t="s">
        <v>2422</v>
      </c>
      <c r="G890" s="2" t="s">
        <v>6455</v>
      </c>
      <c r="H890" s="3" t="s">
        <v>31</v>
      </c>
      <c r="I890" s="3">
        <v>1.0</v>
      </c>
      <c r="J890" s="3">
        <v>1.0</v>
      </c>
      <c r="K890" s="3" t="s">
        <v>31</v>
      </c>
      <c r="L890" s="4" t="s">
        <v>6456</v>
      </c>
      <c r="M890" s="2" t="s">
        <v>6457</v>
      </c>
      <c r="N890" s="2" t="s">
        <v>6282</v>
      </c>
      <c r="O890" s="4" t="s">
        <v>6283</v>
      </c>
      <c r="P890" s="2" t="s">
        <v>6284</v>
      </c>
      <c r="Q890" s="2" t="s">
        <v>6285</v>
      </c>
      <c r="R890" s="2" t="s">
        <v>31</v>
      </c>
      <c r="S890" s="4" t="s">
        <v>6286</v>
      </c>
      <c r="T890" s="2" t="s">
        <v>639</v>
      </c>
      <c r="U890" s="4" t="s">
        <v>31</v>
      </c>
      <c r="V890" s="2" t="s">
        <v>2422</v>
      </c>
      <c r="W890" s="2" t="s">
        <v>6279</v>
      </c>
      <c r="X890" s="5" t="str">
        <f>HYPERLINK("https://my.pitchbook.com?p=189201-88P","View People Online")</f>
        <v>View People Online</v>
      </c>
    </row>
    <row r="891">
      <c r="A891" s="14" t="s">
        <v>6458</v>
      </c>
      <c r="B891" s="14" t="s">
        <v>6459</v>
      </c>
      <c r="C891" s="14" t="s">
        <v>6460</v>
      </c>
      <c r="D891" s="14" t="s">
        <v>6461</v>
      </c>
      <c r="E891" s="14" t="s">
        <v>6279</v>
      </c>
      <c r="F891" s="14" t="s">
        <v>221</v>
      </c>
      <c r="G891" s="14" t="s">
        <v>6462</v>
      </c>
      <c r="H891" s="15" t="s">
        <v>31</v>
      </c>
      <c r="I891" s="15">
        <v>1.0</v>
      </c>
      <c r="J891" s="15">
        <v>1.0</v>
      </c>
      <c r="K891" s="15" t="s">
        <v>31</v>
      </c>
      <c r="L891" s="16" t="s">
        <v>6298</v>
      </c>
      <c r="M891" s="14" t="s">
        <v>6463</v>
      </c>
      <c r="N891" s="14" t="s">
        <v>1416</v>
      </c>
      <c r="O891" s="16" t="s">
        <v>1417</v>
      </c>
      <c r="P891" s="14" t="s">
        <v>6300</v>
      </c>
      <c r="Q891" s="14" t="s">
        <v>6301</v>
      </c>
      <c r="R891" s="14" t="s">
        <v>1420</v>
      </c>
      <c r="S891" s="16" t="s">
        <v>6302</v>
      </c>
      <c r="T891" s="14" t="s">
        <v>66</v>
      </c>
      <c r="U891" s="16" t="s">
        <v>31</v>
      </c>
      <c r="V891" s="14" t="s">
        <v>957</v>
      </c>
      <c r="W891" s="14" t="s">
        <v>6279</v>
      </c>
      <c r="X891" s="17" t="str">
        <f>HYPERLINK("https://my.pitchbook.com?p=425628-10P","View People Online")</f>
        <v>View People Online</v>
      </c>
    </row>
    <row r="892">
      <c r="A892" s="10" t="s">
        <v>6464</v>
      </c>
      <c r="B892" s="10" t="s">
        <v>6465</v>
      </c>
      <c r="C892" s="10" t="s">
        <v>6466</v>
      </c>
      <c r="D892" s="10" t="s">
        <v>6467</v>
      </c>
      <c r="E892" s="10" t="s">
        <v>6279</v>
      </c>
      <c r="F892" s="10" t="s">
        <v>470</v>
      </c>
      <c r="G892" s="10" t="s">
        <v>6468</v>
      </c>
      <c r="H892" s="11" t="s">
        <v>31</v>
      </c>
      <c r="I892" s="11">
        <v>4.0</v>
      </c>
      <c r="J892" s="11">
        <v>1.0</v>
      </c>
      <c r="K892" s="11">
        <v>3.0</v>
      </c>
      <c r="L892" s="12" t="s">
        <v>31</v>
      </c>
      <c r="M892" s="10" t="s">
        <v>6469</v>
      </c>
      <c r="N892" s="10" t="s">
        <v>6282</v>
      </c>
      <c r="O892" s="12" t="s">
        <v>6283</v>
      </c>
      <c r="P892" s="10" t="s">
        <v>6284</v>
      </c>
      <c r="Q892" s="10" t="s">
        <v>6285</v>
      </c>
      <c r="R892" s="10" t="s">
        <v>31</v>
      </c>
      <c r="S892" s="12" t="s">
        <v>6286</v>
      </c>
      <c r="T892" s="10" t="s">
        <v>639</v>
      </c>
      <c r="U892" s="12" t="s">
        <v>31</v>
      </c>
      <c r="V892" s="10" t="s">
        <v>470</v>
      </c>
      <c r="W892" s="10" t="s">
        <v>6279</v>
      </c>
      <c r="X892" s="13" t="str">
        <f>HYPERLINK("https://my.pitchbook.com?p=239469-04P","View People Online")</f>
        <v>View People Online</v>
      </c>
    </row>
    <row r="893">
      <c r="A893" s="14" t="s">
        <v>6470</v>
      </c>
      <c r="B893" s="14" t="s">
        <v>6471</v>
      </c>
      <c r="C893" s="14" t="s">
        <v>126</v>
      </c>
      <c r="D893" s="14" t="s">
        <v>3935</v>
      </c>
      <c r="E893" s="14" t="s">
        <v>6279</v>
      </c>
      <c r="F893" s="14" t="s">
        <v>3600</v>
      </c>
      <c r="G893" s="14" t="s">
        <v>6472</v>
      </c>
      <c r="H893" s="15">
        <v>2.0</v>
      </c>
      <c r="I893" s="15">
        <v>11.0</v>
      </c>
      <c r="J893" s="15">
        <v>1.0</v>
      </c>
      <c r="K893" s="15">
        <v>7.0</v>
      </c>
      <c r="L893" s="16" t="s">
        <v>6473</v>
      </c>
      <c r="M893" s="14" t="s">
        <v>6474</v>
      </c>
      <c r="N893" s="14" t="s">
        <v>6475</v>
      </c>
      <c r="O893" s="16" t="s">
        <v>6476</v>
      </c>
      <c r="P893" s="14" t="s">
        <v>6477</v>
      </c>
      <c r="Q893" s="14" t="s">
        <v>6478</v>
      </c>
      <c r="R893" s="14" t="s">
        <v>6479</v>
      </c>
      <c r="S893" s="16" t="s">
        <v>6480</v>
      </c>
      <c r="T893" s="14" t="s">
        <v>249</v>
      </c>
      <c r="U893" s="16" t="s">
        <v>31</v>
      </c>
      <c r="V893" s="14" t="s">
        <v>6316</v>
      </c>
      <c r="W893" s="14" t="s">
        <v>6279</v>
      </c>
      <c r="X893" s="17" t="str">
        <f>HYPERLINK("https://my.pitchbook.com?p=200876-86P","View People Online")</f>
        <v>View People Online</v>
      </c>
    </row>
    <row r="894">
      <c r="A894" s="2" t="s">
        <v>6481</v>
      </c>
      <c r="B894" s="2" t="s">
        <v>6482</v>
      </c>
      <c r="C894" s="2" t="s">
        <v>6483</v>
      </c>
      <c r="D894" s="2" t="s">
        <v>6484</v>
      </c>
      <c r="E894" s="2" t="s">
        <v>6279</v>
      </c>
      <c r="F894" s="2" t="s">
        <v>825</v>
      </c>
      <c r="G894" s="2" t="s">
        <v>6485</v>
      </c>
      <c r="H894" s="3" t="s">
        <v>31</v>
      </c>
      <c r="I894" s="3">
        <v>1.0</v>
      </c>
      <c r="J894" s="3">
        <v>1.0</v>
      </c>
      <c r="K894" s="3" t="s">
        <v>31</v>
      </c>
      <c r="L894" s="4" t="s">
        <v>31</v>
      </c>
      <c r="M894" s="2" t="s">
        <v>6486</v>
      </c>
      <c r="N894" s="2" t="s">
        <v>6282</v>
      </c>
      <c r="O894" s="4" t="s">
        <v>6283</v>
      </c>
      <c r="P894" s="2" t="s">
        <v>6284</v>
      </c>
      <c r="Q894" s="2" t="s">
        <v>6285</v>
      </c>
      <c r="R894" s="2" t="s">
        <v>31</v>
      </c>
      <c r="S894" s="4" t="s">
        <v>6286</v>
      </c>
      <c r="T894" s="2" t="s">
        <v>639</v>
      </c>
      <c r="U894" s="4" t="s">
        <v>31</v>
      </c>
      <c r="V894" s="2" t="s">
        <v>6487</v>
      </c>
      <c r="W894" s="2" t="s">
        <v>6279</v>
      </c>
      <c r="X894" s="5" t="str">
        <f>HYPERLINK("https://my.pitchbook.com?p=422343-19P","View People Online")</f>
        <v>View People Online</v>
      </c>
    </row>
    <row r="895">
      <c r="A895" s="14" t="s">
        <v>6488</v>
      </c>
      <c r="B895" s="14" t="s">
        <v>6489</v>
      </c>
      <c r="C895" s="14" t="s">
        <v>395</v>
      </c>
      <c r="D895" s="14" t="s">
        <v>6490</v>
      </c>
      <c r="E895" s="14" t="s">
        <v>6279</v>
      </c>
      <c r="F895" s="14" t="s">
        <v>2422</v>
      </c>
      <c r="G895" s="14" t="s">
        <v>6491</v>
      </c>
      <c r="H895" s="15">
        <v>3.0</v>
      </c>
      <c r="I895" s="15">
        <v>13.0</v>
      </c>
      <c r="J895" s="15">
        <v>1.0</v>
      </c>
      <c r="K895" s="15">
        <v>9.0</v>
      </c>
      <c r="L895" s="16" t="s">
        <v>31</v>
      </c>
      <c r="M895" s="14" t="s">
        <v>6492</v>
      </c>
      <c r="N895" s="14" t="s">
        <v>6475</v>
      </c>
      <c r="O895" s="16" t="s">
        <v>6476</v>
      </c>
      <c r="P895" s="14" t="s">
        <v>6477</v>
      </c>
      <c r="Q895" s="14" t="s">
        <v>6478</v>
      </c>
      <c r="R895" s="14" t="s">
        <v>6479</v>
      </c>
      <c r="S895" s="16" t="s">
        <v>6480</v>
      </c>
      <c r="T895" s="14" t="s">
        <v>249</v>
      </c>
      <c r="U895" s="16" t="s">
        <v>31</v>
      </c>
      <c r="V895" s="14" t="s">
        <v>6353</v>
      </c>
      <c r="W895" s="14" t="s">
        <v>6279</v>
      </c>
      <c r="X895" s="17" t="str">
        <f>HYPERLINK("https://my.pitchbook.com?p=43288-21P","View People Online")</f>
        <v>View People Online</v>
      </c>
    </row>
    <row r="896">
      <c r="A896" s="10" t="s">
        <v>6493</v>
      </c>
      <c r="B896" s="10" t="s">
        <v>6494</v>
      </c>
      <c r="C896" s="10" t="s">
        <v>6495</v>
      </c>
      <c r="D896" s="10" t="s">
        <v>6496</v>
      </c>
      <c r="E896" s="10" t="s">
        <v>6279</v>
      </c>
      <c r="F896" s="10" t="s">
        <v>825</v>
      </c>
      <c r="G896" s="10" t="s">
        <v>6497</v>
      </c>
      <c r="H896" s="11" t="s">
        <v>31</v>
      </c>
      <c r="I896" s="11">
        <v>1.0</v>
      </c>
      <c r="J896" s="11">
        <v>1.0</v>
      </c>
      <c r="K896" s="11" t="s">
        <v>31</v>
      </c>
      <c r="L896" s="12" t="s">
        <v>31</v>
      </c>
      <c r="M896" s="10" t="s">
        <v>6498</v>
      </c>
      <c r="N896" s="10" t="s">
        <v>3334</v>
      </c>
      <c r="O896" s="12" t="s">
        <v>3335</v>
      </c>
      <c r="P896" s="10" t="s">
        <v>6378</v>
      </c>
      <c r="Q896" s="10" t="s">
        <v>6379</v>
      </c>
      <c r="R896" s="10" t="s">
        <v>31</v>
      </c>
      <c r="S896" s="12" t="s">
        <v>31</v>
      </c>
      <c r="T896" s="10" t="s">
        <v>3339</v>
      </c>
      <c r="U896" s="12" t="s">
        <v>31</v>
      </c>
      <c r="V896" s="10" t="s">
        <v>6499</v>
      </c>
      <c r="W896" s="10" t="s">
        <v>6279</v>
      </c>
      <c r="X896" s="13" t="str">
        <f>HYPERLINK("https://my.pitchbook.com?p=425639-17P","View People Online")</f>
        <v>View People Online</v>
      </c>
    </row>
    <row r="897">
      <c r="A897" s="6" t="s">
        <v>6500</v>
      </c>
      <c r="B897" s="6" t="s">
        <v>6501</v>
      </c>
      <c r="C897" s="6" t="s">
        <v>6502</v>
      </c>
      <c r="D897" s="6" t="s">
        <v>6503</v>
      </c>
      <c r="E897" s="6" t="s">
        <v>6279</v>
      </c>
      <c r="F897" s="6" t="s">
        <v>502</v>
      </c>
      <c r="G897" s="6" t="s">
        <v>6504</v>
      </c>
      <c r="H897" s="7" t="s">
        <v>31</v>
      </c>
      <c r="I897" s="7">
        <v>1.0</v>
      </c>
      <c r="J897" s="7">
        <v>1.0</v>
      </c>
      <c r="K897" s="7" t="s">
        <v>31</v>
      </c>
      <c r="L897" s="8" t="s">
        <v>6505</v>
      </c>
      <c r="M897" s="6" t="s">
        <v>6506</v>
      </c>
      <c r="N897" s="6" t="s">
        <v>6282</v>
      </c>
      <c r="O897" s="8" t="s">
        <v>6283</v>
      </c>
      <c r="P897" s="6" t="s">
        <v>6284</v>
      </c>
      <c r="Q897" s="6" t="s">
        <v>6285</v>
      </c>
      <c r="R897" s="6" t="s">
        <v>31</v>
      </c>
      <c r="S897" s="8" t="s">
        <v>6286</v>
      </c>
      <c r="T897" s="6" t="s">
        <v>639</v>
      </c>
      <c r="U897" s="8" t="s">
        <v>31</v>
      </c>
      <c r="V897" s="6" t="s">
        <v>502</v>
      </c>
      <c r="W897" s="6" t="s">
        <v>6279</v>
      </c>
      <c r="X897" s="9" t="str">
        <f>HYPERLINK("https://my.pitchbook.com?p=200875-42P","View People Online")</f>
        <v>View People Online</v>
      </c>
    </row>
    <row r="898">
      <c r="A898" s="2" t="s">
        <v>6507</v>
      </c>
      <c r="B898" s="2" t="s">
        <v>6508</v>
      </c>
      <c r="C898" s="2" t="s">
        <v>6509</v>
      </c>
      <c r="D898" s="2" t="s">
        <v>6510</v>
      </c>
      <c r="E898" s="2" t="s">
        <v>6279</v>
      </c>
      <c r="F898" s="2" t="s">
        <v>896</v>
      </c>
      <c r="G898" s="2" t="s">
        <v>6511</v>
      </c>
      <c r="H898" s="3" t="s">
        <v>31</v>
      </c>
      <c r="I898" s="3">
        <v>1.0</v>
      </c>
      <c r="J898" s="3">
        <v>1.0</v>
      </c>
      <c r="K898" s="3" t="s">
        <v>31</v>
      </c>
      <c r="L898" s="4" t="s">
        <v>31</v>
      </c>
      <c r="M898" s="2" t="s">
        <v>6512</v>
      </c>
      <c r="N898" s="2" t="s">
        <v>6282</v>
      </c>
      <c r="O898" s="4" t="s">
        <v>6283</v>
      </c>
      <c r="P898" s="2" t="s">
        <v>6284</v>
      </c>
      <c r="Q898" s="2" t="s">
        <v>6285</v>
      </c>
      <c r="R898" s="2" t="s">
        <v>31</v>
      </c>
      <c r="S898" s="4" t="s">
        <v>6286</v>
      </c>
      <c r="T898" s="2" t="s">
        <v>639</v>
      </c>
      <c r="U898" s="4" t="s">
        <v>31</v>
      </c>
      <c r="V898" s="2" t="s">
        <v>6513</v>
      </c>
      <c r="W898" s="2" t="s">
        <v>6279</v>
      </c>
      <c r="X898" s="5" t="str">
        <f>HYPERLINK("https://my.pitchbook.com?p=199769-95P","View People Online")</f>
        <v>View People Online</v>
      </c>
    </row>
    <row r="899">
      <c r="A899" s="6" t="s">
        <v>6514</v>
      </c>
      <c r="B899" s="6" t="s">
        <v>6515</v>
      </c>
      <c r="C899" s="6" t="s">
        <v>6516</v>
      </c>
      <c r="D899" s="6" t="s">
        <v>6517</v>
      </c>
      <c r="E899" s="6" t="s">
        <v>6279</v>
      </c>
      <c r="F899" s="6" t="s">
        <v>2532</v>
      </c>
      <c r="G899" s="6" t="s">
        <v>6518</v>
      </c>
      <c r="H899" s="7" t="s">
        <v>31</v>
      </c>
      <c r="I899" s="7">
        <v>1.0</v>
      </c>
      <c r="J899" s="7">
        <v>1.0</v>
      </c>
      <c r="K899" s="7" t="s">
        <v>31</v>
      </c>
      <c r="L899" s="8" t="s">
        <v>31</v>
      </c>
      <c r="M899" s="6" t="s">
        <v>6519</v>
      </c>
      <c r="N899" s="6" t="s">
        <v>6282</v>
      </c>
      <c r="O899" s="8" t="s">
        <v>6283</v>
      </c>
      <c r="P899" s="6" t="s">
        <v>6284</v>
      </c>
      <c r="Q899" s="6" t="s">
        <v>6285</v>
      </c>
      <c r="R899" s="6" t="s">
        <v>31</v>
      </c>
      <c r="S899" s="8" t="s">
        <v>6286</v>
      </c>
      <c r="T899" s="6" t="s">
        <v>639</v>
      </c>
      <c r="U899" s="8" t="s">
        <v>31</v>
      </c>
      <c r="V899" s="6" t="s">
        <v>6520</v>
      </c>
      <c r="W899" s="6" t="s">
        <v>6279</v>
      </c>
      <c r="X899" s="9" t="str">
        <f>HYPERLINK("https://my.pitchbook.com?p=334673-29P","View People Online")</f>
        <v>View People Online</v>
      </c>
    </row>
    <row r="900">
      <c r="A900" s="2" t="s">
        <v>6521</v>
      </c>
      <c r="B900" s="2" t="s">
        <v>6522</v>
      </c>
      <c r="C900" s="2" t="s">
        <v>6523</v>
      </c>
      <c r="D900" s="2" t="s">
        <v>6524</v>
      </c>
      <c r="E900" s="2" t="s">
        <v>6279</v>
      </c>
      <c r="F900" s="2" t="s">
        <v>6525</v>
      </c>
      <c r="G900" s="2" t="s">
        <v>6526</v>
      </c>
      <c r="H900" s="3" t="s">
        <v>31</v>
      </c>
      <c r="I900" s="3">
        <v>1.0</v>
      </c>
      <c r="J900" s="3">
        <v>1.0</v>
      </c>
      <c r="K900" s="3" t="s">
        <v>31</v>
      </c>
      <c r="L900" s="4" t="s">
        <v>31</v>
      </c>
      <c r="M900" s="2" t="s">
        <v>6527</v>
      </c>
      <c r="N900" s="2" t="s">
        <v>6282</v>
      </c>
      <c r="O900" s="4" t="s">
        <v>6283</v>
      </c>
      <c r="P900" s="2" t="s">
        <v>6284</v>
      </c>
      <c r="Q900" s="2" t="s">
        <v>6285</v>
      </c>
      <c r="R900" s="2" t="s">
        <v>31</v>
      </c>
      <c r="S900" s="4" t="s">
        <v>6286</v>
      </c>
      <c r="T900" s="2" t="s">
        <v>639</v>
      </c>
      <c r="U900" s="4" t="s">
        <v>31</v>
      </c>
      <c r="V900" s="2" t="s">
        <v>6525</v>
      </c>
      <c r="W900" s="2" t="s">
        <v>6279</v>
      </c>
      <c r="X900" s="5" t="str">
        <f>HYPERLINK("https://my.pitchbook.com?p=422344-36P","View People Online")</f>
        <v>View People Online</v>
      </c>
    </row>
    <row r="901">
      <c r="A901" s="14" t="s">
        <v>6528</v>
      </c>
      <c r="B901" s="14" t="s">
        <v>6529</v>
      </c>
      <c r="C901" s="14" t="s">
        <v>6530</v>
      </c>
      <c r="D901" s="14" t="s">
        <v>6531</v>
      </c>
      <c r="E901" s="14" t="s">
        <v>6279</v>
      </c>
      <c r="F901" s="14" t="s">
        <v>695</v>
      </c>
      <c r="G901" s="14" t="s">
        <v>6532</v>
      </c>
      <c r="H901" s="15" t="s">
        <v>31</v>
      </c>
      <c r="I901" s="15">
        <v>1.0</v>
      </c>
      <c r="J901" s="15">
        <v>1.0</v>
      </c>
      <c r="K901" s="15" t="s">
        <v>31</v>
      </c>
      <c r="L901" s="16" t="s">
        <v>6298</v>
      </c>
      <c r="M901" s="14" t="s">
        <v>6533</v>
      </c>
      <c r="N901" s="14" t="s">
        <v>1416</v>
      </c>
      <c r="O901" s="16" t="s">
        <v>1417</v>
      </c>
      <c r="P901" s="14" t="s">
        <v>6300</v>
      </c>
      <c r="Q901" s="14" t="s">
        <v>6301</v>
      </c>
      <c r="R901" s="14" t="s">
        <v>1420</v>
      </c>
      <c r="S901" s="16" t="s">
        <v>6302</v>
      </c>
      <c r="T901" s="14" t="s">
        <v>66</v>
      </c>
      <c r="U901" s="16" t="s">
        <v>31</v>
      </c>
      <c r="V901" s="14" t="s">
        <v>695</v>
      </c>
      <c r="W901" s="14" t="s">
        <v>6279</v>
      </c>
      <c r="X901" s="17" t="str">
        <f>HYPERLINK("https://my.pitchbook.com?p=405247-87P","View People Online")</f>
        <v>View People Online</v>
      </c>
    </row>
    <row r="902">
      <c r="A902" s="2" t="s">
        <v>6534</v>
      </c>
      <c r="B902" s="2" t="s">
        <v>6535</v>
      </c>
      <c r="C902" s="2" t="s">
        <v>6536</v>
      </c>
      <c r="D902" s="2" t="s">
        <v>607</v>
      </c>
      <c r="E902" s="2" t="s">
        <v>6279</v>
      </c>
      <c r="F902" s="2" t="s">
        <v>825</v>
      </c>
      <c r="G902" s="2" t="s">
        <v>6537</v>
      </c>
      <c r="H902" s="3" t="s">
        <v>31</v>
      </c>
      <c r="I902" s="3">
        <v>1.0</v>
      </c>
      <c r="J902" s="3">
        <v>1.0</v>
      </c>
      <c r="K902" s="3" t="s">
        <v>31</v>
      </c>
      <c r="L902" s="4" t="s">
        <v>31</v>
      </c>
      <c r="M902" s="2" t="s">
        <v>6538</v>
      </c>
      <c r="N902" s="2" t="s">
        <v>6282</v>
      </c>
      <c r="O902" s="4" t="s">
        <v>6283</v>
      </c>
      <c r="P902" s="2" t="s">
        <v>6284</v>
      </c>
      <c r="Q902" s="2" t="s">
        <v>6285</v>
      </c>
      <c r="R902" s="2" t="s">
        <v>31</v>
      </c>
      <c r="S902" s="4" t="s">
        <v>6286</v>
      </c>
      <c r="T902" s="2" t="s">
        <v>639</v>
      </c>
      <c r="U902" s="4" t="s">
        <v>31</v>
      </c>
      <c r="V902" s="2" t="s">
        <v>6539</v>
      </c>
      <c r="W902" s="2" t="s">
        <v>6279</v>
      </c>
      <c r="X902" s="5" t="str">
        <f>HYPERLINK("https://my.pitchbook.com?p=361689-94P","View People Online")</f>
        <v>View People Online</v>
      </c>
    </row>
    <row r="903">
      <c r="A903" s="14" t="s">
        <v>6540</v>
      </c>
      <c r="B903" s="14" t="s">
        <v>6541</v>
      </c>
      <c r="C903" s="14" t="s">
        <v>6542</v>
      </c>
      <c r="D903" s="14" t="s">
        <v>6543</v>
      </c>
      <c r="E903" s="14" t="s">
        <v>6279</v>
      </c>
      <c r="F903" s="14" t="s">
        <v>2422</v>
      </c>
      <c r="G903" s="14" t="s">
        <v>6544</v>
      </c>
      <c r="H903" s="15">
        <v>3.0</v>
      </c>
      <c r="I903" s="15">
        <v>8.0</v>
      </c>
      <c r="J903" s="15">
        <v>1.0</v>
      </c>
      <c r="K903" s="15">
        <v>2.0</v>
      </c>
      <c r="L903" s="16" t="s">
        <v>6545</v>
      </c>
      <c r="M903" s="14" t="s">
        <v>6546</v>
      </c>
      <c r="N903" s="14" t="s">
        <v>1368</v>
      </c>
      <c r="O903" s="16" t="s">
        <v>1369</v>
      </c>
      <c r="P903" s="14" t="s">
        <v>6398</v>
      </c>
      <c r="Q903" s="14" t="s">
        <v>6399</v>
      </c>
      <c r="R903" s="14" t="s">
        <v>1185</v>
      </c>
      <c r="S903" s="16" t="s">
        <v>1372</v>
      </c>
      <c r="T903" s="14" t="s">
        <v>66</v>
      </c>
      <c r="U903" s="16" t="s">
        <v>31</v>
      </c>
      <c r="V903" s="14" t="s">
        <v>6547</v>
      </c>
      <c r="W903" s="14" t="s">
        <v>6279</v>
      </c>
      <c r="X903" s="17" t="str">
        <f>HYPERLINK("https://my.pitchbook.com?p=32125-42P","View People Online")</f>
        <v>View People Online</v>
      </c>
    </row>
    <row r="904">
      <c r="A904" s="10" t="s">
        <v>6548</v>
      </c>
      <c r="B904" s="10" t="s">
        <v>6549</v>
      </c>
      <c r="C904" s="10" t="s">
        <v>6550</v>
      </c>
      <c r="D904" s="10" t="s">
        <v>6551</v>
      </c>
      <c r="E904" s="10" t="s">
        <v>6279</v>
      </c>
      <c r="F904" s="10" t="s">
        <v>6552</v>
      </c>
      <c r="G904" s="10" t="s">
        <v>6553</v>
      </c>
      <c r="H904" s="11" t="s">
        <v>31</v>
      </c>
      <c r="I904" s="11">
        <v>1.0</v>
      </c>
      <c r="J904" s="11">
        <v>1.0</v>
      </c>
      <c r="K904" s="11" t="s">
        <v>31</v>
      </c>
      <c r="L904" s="12" t="s">
        <v>31</v>
      </c>
      <c r="M904" s="10" t="s">
        <v>6554</v>
      </c>
      <c r="N904" s="10" t="s">
        <v>6282</v>
      </c>
      <c r="O904" s="12" t="s">
        <v>6283</v>
      </c>
      <c r="P904" s="10" t="s">
        <v>6284</v>
      </c>
      <c r="Q904" s="10" t="s">
        <v>6285</v>
      </c>
      <c r="R904" s="10" t="s">
        <v>31</v>
      </c>
      <c r="S904" s="12" t="s">
        <v>6286</v>
      </c>
      <c r="T904" s="10" t="s">
        <v>639</v>
      </c>
      <c r="U904" s="12" t="s">
        <v>31</v>
      </c>
      <c r="V904" s="10" t="s">
        <v>6552</v>
      </c>
      <c r="W904" s="10" t="s">
        <v>6279</v>
      </c>
      <c r="X904" s="13" t="str">
        <f>HYPERLINK("https://my.pitchbook.com?p=405251-74P","View People Online")</f>
        <v>View People Online</v>
      </c>
    </row>
    <row r="905">
      <c r="A905" s="6" t="s">
        <v>6555</v>
      </c>
      <c r="B905" s="6" t="s">
        <v>6556</v>
      </c>
      <c r="C905" s="6" t="s">
        <v>6557</v>
      </c>
      <c r="D905" s="6" t="s">
        <v>6558</v>
      </c>
      <c r="E905" s="6" t="s">
        <v>6279</v>
      </c>
      <c r="F905" s="6" t="s">
        <v>318</v>
      </c>
      <c r="G905" s="6" t="s">
        <v>6559</v>
      </c>
      <c r="H905" s="7" t="s">
        <v>31</v>
      </c>
      <c r="I905" s="7">
        <v>2.0</v>
      </c>
      <c r="J905" s="7">
        <v>2.0</v>
      </c>
      <c r="K905" s="7" t="s">
        <v>31</v>
      </c>
      <c r="L905" s="8" t="s">
        <v>31</v>
      </c>
      <c r="M905" s="6" t="s">
        <v>6560</v>
      </c>
      <c r="N905" s="6" t="s">
        <v>3753</v>
      </c>
      <c r="O905" s="8" t="s">
        <v>3754</v>
      </c>
      <c r="P905" s="6" t="s">
        <v>6561</v>
      </c>
      <c r="Q905" s="6" t="s">
        <v>6562</v>
      </c>
      <c r="R905" s="6" t="s">
        <v>31</v>
      </c>
      <c r="S905" s="8" t="s">
        <v>31</v>
      </c>
      <c r="T905" s="6" t="s">
        <v>3339</v>
      </c>
      <c r="U905" s="8" t="s">
        <v>31</v>
      </c>
      <c r="V905" s="6" t="s">
        <v>6380</v>
      </c>
      <c r="W905" s="6" t="s">
        <v>6279</v>
      </c>
      <c r="X905" s="9" t="str">
        <f>HYPERLINK("https://my.pitchbook.com?p=415368-19P","View People Online")</f>
        <v>View People Online</v>
      </c>
    </row>
    <row r="906">
      <c r="A906" s="10" t="s">
        <v>6563</v>
      </c>
      <c r="B906" s="10" t="s">
        <v>6564</v>
      </c>
      <c r="C906" s="10" t="s">
        <v>6565</v>
      </c>
      <c r="D906" s="10" t="s">
        <v>6566</v>
      </c>
      <c r="E906" s="10" t="s">
        <v>6279</v>
      </c>
      <c r="F906" s="10" t="s">
        <v>6567</v>
      </c>
      <c r="G906" s="10" t="s">
        <v>6568</v>
      </c>
      <c r="H906" s="11" t="s">
        <v>31</v>
      </c>
      <c r="I906" s="11">
        <v>1.0</v>
      </c>
      <c r="J906" s="11">
        <v>1.0</v>
      </c>
      <c r="K906" s="11" t="s">
        <v>31</v>
      </c>
      <c r="L906" s="12" t="s">
        <v>31</v>
      </c>
      <c r="M906" s="10" t="s">
        <v>6569</v>
      </c>
      <c r="N906" s="10" t="s">
        <v>6282</v>
      </c>
      <c r="O906" s="12" t="s">
        <v>6283</v>
      </c>
      <c r="P906" s="10" t="s">
        <v>6284</v>
      </c>
      <c r="Q906" s="10" t="s">
        <v>6285</v>
      </c>
      <c r="R906" s="10" t="s">
        <v>31</v>
      </c>
      <c r="S906" s="12" t="s">
        <v>6286</v>
      </c>
      <c r="T906" s="10" t="s">
        <v>639</v>
      </c>
      <c r="U906" s="12" t="s">
        <v>31</v>
      </c>
      <c r="V906" s="10" t="s">
        <v>6567</v>
      </c>
      <c r="W906" s="10" t="s">
        <v>6279</v>
      </c>
      <c r="X906" s="13" t="str">
        <f>HYPERLINK("https://my.pitchbook.com?p=422343-82P","View People Online")</f>
        <v>View People Online</v>
      </c>
    </row>
    <row r="907">
      <c r="A907" s="6" t="s">
        <v>6570</v>
      </c>
      <c r="B907" s="6" t="s">
        <v>6571</v>
      </c>
      <c r="C907" s="6" t="s">
        <v>6572</v>
      </c>
      <c r="D907" s="6" t="s">
        <v>6573</v>
      </c>
      <c r="E907" s="6" t="s">
        <v>6574</v>
      </c>
      <c r="F907" s="6" t="s">
        <v>29</v>
      </c>
      <c r="G907" s="6" t="s">
        <v>6575</v>
      </c>
      <c r="H907" s="7">
        <v>4.0</v>
      </c>
      <c r="I907" s="7">
        <v>9.0</v>
      </c>
      <c r="J907" s="7">
        <v>4.0</v>
      </c>
      <c r="K907" s="7">
        <v>2.0</v>
      </c>
      <c r="L907" s="8" t="s">
        <v>6576</v>
      </c>
      <c r="M907" s="6" t="s">
        <v>6577</v>
      </c>
      <c r="N907" s="6" t="s">
        <v>155</v>
      </c>
      <c r="O907" s="8" t="s">
        <v>156</v>
      </c>
      <c r="P907" s="6" t="s">
        <v>6578</v>
      </c>
      <c r="Q907" s="6" t="s">
        <v>6579</v>
      </c>
      <c r="R907" s="6" t="s">
        <v>64</v>
      </c>
      <c r="S907" s="8" t="s">
        <v>6580</v>
      </c>
      <c r="T907" s="6" t="s">
        <v>66</v>
      </c>
      <c r="U907" s="8" t="s">
        <v>31</v>
      </c>
      <c r="V907" s="6" t="s">
        <v>29</v>
      </c>
      <c r="W907" s="6" t="s">
        <v>6581</v>
      </c>
      <c r="X907" s="9" t="str">
        <f>HYPERLINK("https://my.pitchbook.com?p=151651-72P","View People Online")</f>
        <v>View People Online</v>
      </c>
    </row>
    <row r="908">
      <c r="A908" s="10" t="s">
        <v>6582</v>
      </c>
      <c r="B908" s="10" t="s">
        <v>6583</v>
      </c>
      <c r="C908" s="10" t="s">
        <v>6584</v>
      </c>
      <c r="D908" s="10" t="s">
        <v>6585</v>
      </c>
      <c r="E908" s="10" t="s">
        <v>6574</v>
      </c>
      <c r="F908" s="10" t="s">
        <v>114</v>
      </c>
      <c r="G908" s="10" t="s">
        <v>6586</v>
      </c>
      <c r="H908" s="11" t="s">
        <v>31</v>
      </c>
      <c r="I908" s="11">
        <v>2.0</v>
      </c>
      <c r="J908" s="11">
        <v>2.0</v>
      </c>
      <c r="K908" s="11" t="s">
        <v>31</v>
      </c>
      <c r="L908" s="12" t="s">
        <v>31</v>
      </c>
      <c r="M908" s="10" t="s">
        <v>6587</v>
      </c>
      <c r="N908" s="10" t="s">
        <v>6588</v>
      </c>
      <c r="O908" s="12" t="s">
        <v>6589</v>
      </c>
      <c r="P908" s="10" t="s">
        <v>6590</v>
      </c>
      <c r="Q908" s="10" t="s">
        <v>6591</v>
      </c>
      <c r="R908" s="10" t="s">
        <v>93</v>
      </c>
      <c r="S908" s="12" t="s">
        <v>6592</v>
      </c>
      <c r="T908" s="10" t="s">
        <v>66</v>
      </c>
      <c r="U908" s="12" t="s">
        <v>31</v>
      </c>
      <c r="V908" s="10" t="s">
        <v>6593</v>
      </c>
      <c r="W908" s="10" t="s">
        <v>6594</v>
      </c>
      <c r="X908" s="13" t="str">
        <f>HYPERLINK("https://my.pitchbook.com?p=60354-82P","View People Online")</f>
        <v>View People Online</v>
      </c>
    </row>
    <row r="909">
      <c r="A909" s="14" t="s">
        <v>6595</v>
      </c>
      <c r="B909" s="14" t="s">
        <v>6596</v>
      </c>
      <c r="C909" s="14" t="s">
        <v>1929</v>
      </c>
      <c r="D909" s="14" t="s">
        <v>6597</v>
      </c>
      <c r="E909" s="14" t="s">
        <v>6574</v>
      </c>
      <c r="F909" s="14" t="s">
        <v>29</v>
      </c>
      <c r="G909" s="14" t="s">
        <v>6598</v>
      </c>
      <c r="H909" s="15" t="s">
        <v>31</v>
      </c>
      <c r="I909" s="15">
        <v>50.0</v>
      </c>
      <c r="J909" s="15">
        <v>2.0</v>
      </c>
      <c r="K909" s="15">
        <v>48.0</v>
      </c>
      <c r="L909" s="16" t="s">
        <v>31</v>
      </c>
      <c r="M909" s="14" t="s">
        <v>31</v>
      </c>
      <c r="N909" s="14" t="s">
        <v>6599</v>
      </c>
      <c r="O909" s="16" t="s">
        <v>6600</v>
      </c>
      <c r="P909" s="14" t="s">
        <v>31</v>
      </c>
      <c r="Q909" s="14" t="s">
        <v>31</v>
      </c>
      <c r="R909" s="14" t="s">
        <v>64</v>
      </c>
      <c r="S909" s="16" t="s">
        <v>6601</v>
      </c>
      <c r="T909" s="14" t="s">
        <v>66</v>
      </c>
      <c r="U909" s="16" t="s">
        <v>31</v>
      </c>
      <c r="V909" s="14" t="s">
        <v>6602</v>
      </c>
      <c r="W909" s="14" t="s">
        <v>6603</v>
      </c>
      <c r="X909" s="17" t="str">
        <f>HYPERLINK("https://my.pitchbook.com?p=29881-90P","View People Online")</f>
        <v>View People Online</v>
      </c>
    </row>
    <row r="910">
      <c r="A910" s="2" t="s">
        <v>6604</v>
      </c>
      <c r="B910" s="2" t="s">
        <v>6605</v>
      </c>
      <c r="C910" s="2" t="s">
        <v>6606</v>
      </c>
      <c r="D910" s="2" t="s">
        <v>3972</v>
      </c>
      <c r="E910" s="2" t="s">
        <v>6574</v>
      </c>
      <c r="F910" s="2" t="s">
        <v>29</v>
      </c>
      <c r="G910" s="2" t="s">
        <v>6607</v>
      </c>
      <c r="H910" s="3">
        <v>3.0</v>
      </c>
      <c r="I910" s="3">
        <v>9.0</v>
      </c>
      <c r="J910" s="3">
        <v>3.0</v>
      </c>
      <c r="K910" s="3">
        <v>4.0</v>
      </c>
      <c r="L910" s="4" t="s">
        <v>6608</v>
      </c>
      <c r="M910" s="2" t="s">
        <v>6609</v>
      </c>
      <c r="N910" s="2" t="s">
        <v>155</v>
      </c>
      <c r="O910" s="4" t="s">
        <v>156</v>
      </c>
      <c r="P910" s="2" t="s">
        <v>6610</v>
      </c>
      <c r="Q910" s="2" t="s">
        <v>6611</v>
      </c>
      <c r="R910" s="2" t="s">
        <v>64</v>
      </c>
      <c r="S910" s="4" t="s">
        <v>6612</v>
      </c>
      <c r="T910" s="2" t="s">
        <v>66</v>
      </c>
      <c r="U910" s="4" t="s">
        <v>31</v>
      </c>
      <c r="V910" s="2" t="s">
        <v>29</v>
      </c>
      <c r="W910" s="2" t="s">
        <v>6574</v>
      </c>
      <c r="X910" s="5" t="str">
        <f>HYPERLINK("https://my.pitchbook.com?p=198407-44P","View People Online")</f>
        <v>View People Online</v>
      </c>
    </row>
    <row r="911">
      <c r="A911" s="6" t="s">
        <v>6613</v>
      </c>
      <c r="B911" s="6" t="s">
        <v>6614</v>
      </c>
      <c r="C911" s="6" t="s">
        <v>6615</v>
      </c>
      <c r="D911" s="6" t="s">
        <v>6616</v>
      </c>
      <c r="E911" s="6" t="s">
        <v>6574</v>
      </c>
      <c r="F911" s="6" t="s">
        <v>152</v>
      </c>
      <c r="G911" s="6" t="s">
        <v>6617</v>
      </c>
      <c r="H911" s="7">
        <v>4.0</v>
      </c>
      <c r="I911" s="7">
        <v>58.0</v>
      </c>
      <c r="J911" s="7">
        <v>1.0</v>
      </c>
      <c r="K911" s="7">
        <v>44.0</v>
      </c>
      <c r="L911" s="8" t="s">
        <v>6618</v>
      </c>
      <c r="M911" s="6" t="s">
        <v>6619</v>
      </c>
      <c r="N911" s="6" t="s">
        <v>4232</v>
      </c>
      <c r="O911" s="8" t="s">
        <v>4233</v>
      </c>
      <c r="P911" s="6" t="s">
        <v>6620</v>
      </c>
      <c r="Q911" s="6" t="s">
        <v>6621</v>
      </c>
      <c r="R911" s="6" t="s">
        <v>4236</v>
      </c>
      <c r="S911" s="8" t="s">
        <v>6622</v>
      </c>
      <c r="T911" s="6" t="s">
        <v>66</v>
      </c>
      <c r="U911" s="8" t="s">
        <v>6623</v>
      </c>
      <c r="V911" s="6" t="s">
        <v>157</v>
      </c>
      <c r="W911" s="6" t="s">
        <v>6574</v>
      </c>
      <c r="X911" s="9" t="str">
        <f>HYPERLINK("https://my.pitchbook.com?p=12804-22P","View People Online")</f>
        <v>View People Online</v>
      </c>
    </row>
    <row r="912">
      <c r="A912" s="10" t="s">
        <v>6624</v>
      </c>
      <c r="B912" s="10" t="s">
        <v>6625</v>
      </c>
      <c r="C912" s="10" t="s">
        <v>6626</v>
      </c>
      <c r="D912" s="10" t="s">
        <v>6627</v>
      </c>
      <c r="E912" s="10" t="s">
        <v>6574</v>
      </c>
      <c r="F912" s="10" t="s">
        <v>29</v>
      </c>
      <c r="G912" s="10" t="s">
        <v>6628</v>
      </c>
      <c r="H912" s="11">
        <v>3.0</v>
      </c>
      <c r="I912" s="11">
        <v>9.0</v>
      </c>
      <c r="J912" s="11">
        <v>1.0</v>
      </c>
      <c r="K912" s="11">
        <v>4.0</v>
      </c>
      <c r="L912" s="12" t="s">
        <v>6618</v>
      </c>
      <c r="M912" s="10" t="s">
        <v>6629</v>
      </c>
      <c r="N912" s="10" t="s">
        <v>4232</v>
      </c>
      <c r="O912" s="12" t="s">
        <v>4233</v>
      </c>
      <c r="P912" s="10" t="s">
        <v>6620</v>
      </c>
      <c r="Q912" s="10" t="s">
        <v>6621</v>
      </c>
      <c r="R912" s="10" t="s">
        <v>4236</v>
      </c>
      <c r="S912" s="12" t="s">
        <v>6622</v>
      </c>
      <c r="T912" s="10" t="s">
        <v>66</v>
      </c>
      <c r="U912" s="12" t="s">
        <v>6623</v>
      </c>
      <c r="V912" s="10" t="s">
        <v>29</v>
      </c>
      <c r="W912" s="10" t="s">
        <v>6574</v>
      </c>
      <c r="X912" s="13" t="str">
        <f>HYPERLINK("https://my.pitchbook.com?p=189366-04P","View People Online")</f>
        <v>View People Online</v>
      </c>
    </row>
    <row r="913">
      <c r="A913" s="6" t="s">
        <v>6630</v>
      </c>
      <c r="B913" s="6" t="s">
        <v>6631</v>
      </c>
      <c r="C913" s="6" t="s">
        <v>2871</v>
      </c>
      <c r="D913" s="6" t="s">
        <v>6632</v>
      </c>
      <c r="E913" s="6" t="s">
        <v>6574</v>
      </c>
      <c r="F913" s="6" t="s">
        <v>114</v>
      </c>
      <c r="G913" s="6" t="s">
        <v>6633</v>
      </c>
      <c r="H913" s="7" t="s">
        <v>31</v>
      </c>
      <c r="I913" s="7">
        <v>1.0</v>
      </c>
      <c r="J913" s="7">
        <v>1.0</v>
      </c>
      <c r="K913" s="7" t="s">
        <v>31</v>
      </c>
      <c r="L913" s="8" t="s">
        <v>6618</v>
      </c>
      <c r="M913" s="6" t="s">
        <v>31</v>
      </c>
      <c r="N913" s="6" t="s">
        <v>4232</v>
      </c>
      <c r="O913" s="8" t="s">
        <v>4233</v>
      </c>
      <c r="P913" s="6" t="s">
        <v>6620</v>
      </c>
      <c r="Q913" s="6" t="s">
        <v>6621</v>
      </c>
      <c r="R913" s="6" t="s">
        <v>4236</v>
      </c>
      <c r="S913" s="8" t="s">
        <v>6622</v>
      </c>
      <c r="T913" s="6" t="s">
        <v>66</v>
      </c>
      <c r="U913" s="8" t="s">
        <v>6623</v>
      </c>
      <c r="V913" s="6" t="s">
        <v>114</v>
      </c>
      <c r="W913" s="6" t="s">
        <v>6574</v>
      </c>
      <c r="X913" s="9" t="str">
        <f>HYPERLINK("https://my.pitchbook.com?p=390829-15P","View People Online")</f>
        <v>View People Online</v>
      </c>
    </row>
    <row r="914">
      <c r="A914" s="2" t="s">
        <v>6634</v>
      </c>
      <c r="B914" s="2" t="s">
        <v>6635</v>
      </c>
      <c r="C914" s="2" t="s">
        <v>6636</v>
      </c>
      <c r="D914" s="2" t="s">
        <v>6637</v>
      </c>
      <c r="E914" s="2" t="s">
        <v>6574</v>
      </c>
      <c r="F914" s="2" t="s">
        <v>114</v>
      </c>
      <c r="G914" s="2" t="s">
        <v>6638</v>
      </c>
      <c r="H914" s="3">
        <v>1.0</v>
      </c>
      <c r="I914" s="3">
        <v>4.0</v>
      </c>
      <c r="J914" s="3">
        <v>3.0</v>
      </c>
      <c r="K914" s="3">
        <v>1.0</v>
      </c>
      <c r="L914" s="4" t="s">
        <v>6639</v>
      </c>
      <c r="M914" s="2" t="s">
        <v>6640</v>
      </c>
      <c r="N914" s="2" t="s">
        <v>1442</v>
      </c>
      <c r="O914" s="4" t="s">
        <v>1443</v>
      </c>
      <c r="P914" s="2" t="s">
        <v>6641</v>
      </c>
      <c r="Q914" s="2" t="s">
        <v>6642</v>
      </c>
      <c r="R914" s="2" t="s">
        <v>1277</v>
      </c>
      <c r="S914" s="4" t="s">
        <v>6643</v>
      </c>
      <c r="T914" s="2" t="s">
        <v>66</v>
      </c>
      <c r="U914" s="4" t="s">
        <v>31</v>
      </c>
      <c r="V914" s="2" t="s">
        <v>6644</v>
      </c>
      <c r="W914" s="2" t="s">
        <v>6645</v>
      </c>
      <c r="X914" s="5" t="str">
        <f>HYPERLINK("https://my.pitchbook.com?p=271100-89P","View People Online")</f>
        <v>View People Online</v>
      </c>
    </row>
    <row r="915">
      <c r="A915" s="6" t="s">
        <v>6646</v>
      </c>
      <c r="B915" s="6" t="s">
        <v>6647</v>
      </c>
      <c r="C915" s="6" t="s">
        <v>343</v>
      </c>
      <c r="D915" s="6" t="s">
        <v>6648</v>
      </c>
      <c r="E915" s="6" t="s">
        <v>6574</v>
      </c>
      <c r="F915" s="6" t="s">
        <v>114</v>
      </c>
      <c r="G915" s="6" t="s">
        <v>6649</v>
      </c>
      <c r="H915" s="7">
        <v>4.0</v>
      </c>
      <c r="I915" s="7">
        <v>6.0</v>
      </c>
      <c r="J915" s="7">
        <v>2.0</v>
      </c>
      <c r="K915" s="7" t="s">
        <v>31</v>
      </c>
      <c r="L915" s="8" t="s">
        <v>31</v>
      </c>
      <c r="M915" s="6" t="s">
        <v>6650</v>
      </c>
      <c r="N915" s="6" t="s">
        <v>6651</v>
      </c>
      <c r="O915" s="8" t="s">
        <v>6652</v>
      </c>
      <c r="P915" s="6" t="s">
        <v>6653</v>
      </c>
      <c r="Q915" s="6" t="s">
        <v>6654</v>
      </c>
      <c r="R915" s="6" t="s">
        <v>64</v>
      </c>
      <c r="S915" s="8" t="s">
        <v>6655</v>
      </c>
      <c r="T915" s="6" t="s">
        <v>66</v>
      </c>
      <c r="U915" s="8" t="s">
        <v>31</v>
      </c>
      <c r="V915" s="6" t="s">
        <v>114</v>
      </c>
      <c r="W915" s="6" t="s">
        <v>6656</v>
      </c>
      <c r="X915" s="9" t="str">
        <f>HYPERLINK("https://my.pitchbook.com?p=35358-85P","View People Online")</f>
        <v>View People Online</v>
      </c>
    </row>
    <row r="916">
      <c r="A916" s="2" t="s">
        <v>6657</v>
      </c>
      <c r="B916" s="2" t="s">
        <v>6658</v>
      </c>
      <c r="C916" s="2" t="s">
        <v>3529</v>
      </c>
      <c r="D916" s="2" t="s">
        <v>6659</v>
      </c>
      <c r="E916" s="2" t="s">
        <v>6574</v>
      </c>
      <c r="F916" s="2" t="s">
        <v>3710</v>
      </c>
      <c r="G916" s="2" t="s">
        <v>6660</v>
      </c>
      <c r="H916" s="3" t="s">
        <v>31</v>
      </c>
      <c r="I916" s="3">
        <v>4.0</v>
      </c>
      <c r="J916" s="3">
        <v>1.0</v>
      </c>
      <c r="K916" s="3" t="s">
        <v>31</v>
      </c>
      <c r="L916" s="4" t="s">
        <v>6661</v>
      </c>
      <c r="M916" s="2" t="s">
        <v>6662</v>
      </c>
      <c r="N916" s="2" t="s">
        <v>155</v>
      </c>
      <c r="O916" s="4" t="s">
        <v>156</v>
      </c>
      <c r="P916" s="2" t="s">
        <v>6610</v>
      </c>
      <c r="Q916" s="2" t="s">
        <v>6611</v>
      </c>
      <c r="R916" s="2" t="s">
        <v>64</v>
      </c>
      <c r="S916" s="4" t="s">
        <v>6612</v>
      </c>
      <c r="T916" s="2" t="s">
        <v>66</v>
      </c>
      <c r="U916" s="4" t="s">
        <v>31</v>
      </c>
      <c r="V916" s="2" t="s">
        <v>3710</v>
      </c>
      <c r="W916" s="2" t="s">
        <v>6574</v>
      </c>
      <c r="X916" s="5" t="str">
        <f>HYPERLINK("https://my.pitchbook.com?p=30341-53P","View People Online")</f>
        <v>View People Online</v>
      </c>
    </row>
    <row r="917">
      <c r="A917" s="6" t="s">
        <v>6663</v>
      </c>
      <c r="B917" s="6" t="s">
        <v>6664</v>
      </c>
      <c r="C917" s="6" t="s">
        <v>3977</v>
      </c>
      <c r="D917" s="6" t="s">
        <v>6665</v>
      </c>
      <c r="E917" s="6" t="s">
        <v>6574</v>
      </c>
      <c r="F917" s="6" t="s">
        <v>114</v>
      </c>
      <c r="G917" s="6" t="s">
        <v>6666</v>
      </c>
      <c r="H917" s="7">
        <v>2.0</v>
      </c>
      <c r="I917" s="7">
        <v>5.0</v>
      </c>
      <c r="J917" s="7">
        <v>2.0</v>
      </c>
      <c r="K917" s="7" t="s">
        <v>31</v>
      </c>
      <c r="L917" s="8" t="s">
        <v>6667</v>
      </c>
      <c r="M917" s="6" t="s">
        <v>6668</v>
      </c>
      <c r="N917" s="6" t="s">
        <v>6669</v>
      </c>
      <c r="O917" s="8" t="s">
        <v>6670</v>
      </c>
      <c r="P917" s="6" t="s">
        <v>6671</v>
      </c>
      <c r="Q917" s="6" t="s">
        <v>31</v>
      </c>
      <c r="R917" s="6" t="s">
        <v>1185</v>
      </c>
      <c r="S917" s="8" t="s">
        <v>6672</v>
      </c>
      <c r="T917" s="6" t="s">
        <v>66</v>
      </c>
      <c r="U917" s="8" t="s">
        <v>31</v>
      </c>
      <c r="V917" s="6" t="s">
        <v>470</v>
      </c>
      <c r="W917" s="6" t="s">
        <v>6673</v>
      </c>
      <c r="X917" s="9" t="str">
        <f>HYPERLINK("https://my.pitchbook.com?p=252137-08P","View People Online")</f>
        <v>View People Online</v>
      </c>
    </row>
    <row r="918">
      <c r="A918" s="10" t="s">
        <v>6674</v>
      </c>
      <c r="B918" s="10" t="s">
        <v>6675</v>
      </c>
      <c r="C918" s="10" t="s">
        <v>3977</v>
      </c>
      <c r="D918" s="10" t="s">
        <v>6676</v>
      </c>
      <c r="E918" s="10" t="s">
        <v>6574</v>
      </c>
      <c r="F918" s="10" t="s">
        <v>114</v>
      </c>
      <c r="G918" s="10" t="s">
        <v>6677</v>
      </c>
      <c r="H918" s="11">
        <v>3.0</v>
      </c>
      <c r="I918" s="11">
        <v>7.0</v>
      </c>
      <c r="J918" s="11">
        <v>3.0</v>
      </c>
      <c r="K918" s="11">
        <v>2.0</v>
      </c>
      <c r="L918" s="12" t="s">
        <v>6608</v>
      </c>
      <c r="M918" s="10" t="s">
        <v>6678</v>
      </c>
      <c r="N918" s="10" t="s">
        <v>155</v>
      </c>
      <c r="O918" s="12" t="s">
        <v>156</v>
      </c>
      <c r="P918" s="10" t="s">
        <v>6610</v>
      </c>
      <c r="Q918" s="10" t="s">
        <v>6611</v>
      </c>
      <c r="R918" s="10" t="s">
        <v>64</v>
      </c>
      <c r="S918" s="12" t="s">
        <v>6612</v>
      </c>
      <c r="T918" s="10" t="s">
        <v>66</v>
      </c>
      <c r="U918" s="12" t="s">
        <v>31</v>
      </c>
      <c r="V918" s="10" t="s">
        <v>6679</v>
      </c>
      <c r="W918" s="10" t="s">
        <v>6680</v>
      </c>
      <c r="X918" s="13" t="str">
        <f>HYPERLINK("https://my.pitchbook.com?p=41980-60P","View People Online")</f>
        <v>View People Online</v>
      </c>
    </row>
    <row r="919">
      <c r="A919" s="6" t="s">
        <v>6681</v>
      </c>
      <c r="B919" s="6" t="s">
        <v>6682</v>
      </c>
      <c r="C919" s="6" t="s">
        <v>1343</v>
      </c>
      <c r="D919" s="6" t="s">
        <v>6683</v>
      </c>
      <c r="E919" s="6" t="s">
        <v>6574</v>
      </c>
      <c r="F919" s="6" t="s">
        <v>114</v>
      </c>
      <c r="G919" s="6" t="s">
        <v>6684</v>
      </c>
      <c r="H919" s="7">
        <v>15.0</v>
      </c>
      <c r="I919" s="7">
        <v>29.0</v>
      </c>
      <c r="J919" s="7">
        <v>3.0</v>
      </c>
      <c r="K919" s="7">
        <v>8.0</v>
      </c>
      <c r="L919" s="8" t="s">
        <v>31</v>
      </c>
      <c r="M919" s="6" t="s">
        <v>6685</v>
      </c>
      <c r="N919" s="6" t="s">
        <v>6669</v>
      </c>
      <c r="O919" s="8" t="s">
        <v>6670</v>
      </c>
      <c r="P919" s="6" t="s">
        <v>6686</v>
      </c>
      <c r="Q919" s="6" t="s">
        <v>2403</v>
      </c>
      <c r="R919" s="6" t="s">
        <v>1185</v>
      </c>
      <c r="S919" s="8" t="s">
        <v>1709</v>
      </c>
      <c r="T919" s="6" t="s">
        <v>66</v>
      </c>
      <c r="U919" s="8" t="s">
        <v>31</v>
      </c>
      <c r="V919" s="6" t="s">
        <v>2168</v>
      </c>
      <c r="W919" s="6" t="s">
        <v>6687</v>
      </c>
      <c r="X919" s="9" t="str">
        <f>HYPERLINK("https://my.pitchbook.com?p=38893-60P","View People Online")</f>
        <v>View People Online</v>
      </c>
    </row>
    <row r="920">
      <c r="A920" s="2" t="s">
        <v>6688</v>
      </c>
      <c r="B920" s="2" t="s">
        <v>6689</v>
      </c>
      <c r="C920" s="2" t="s">
        <v>1356</v>
      </c>
      <c r="D920" s="2" t="s">
        <v>784</v>
      </c>
      <c r="E920" s="2" t="s">
        <v>6574</v>
      </c>
      <c r="F920" s="2" t="s">
        <v>114</v>
      </c>
      <c r="G920" s="2" t="s">
        <v>6690</v>
      </c>
      <c r="H920" s="3">
        <v>3.0</v>
      </c>
      <c r="I920" s="3">
        <v>18.0</v>
      </c>
      <c r="J920" s="3">
        <v>3.0</v>
      </c>
      <c r="K920" s="3">
        <v>11.0</v>
      </c>
      <c r="L920" s="4" t="s">
        <v>6691</v>
      </c>
      <c r="M920" s="2" t="s">
        <v>31</v>
      </c>
      <c r="N920" s="2" t="s">
        <v>6692</v>
      </c>
      <c r="O920" s="4" t="s">
        <v>6693</v>
      </c>
      <c r="P920" s="2" t="s">
        <v>6694</v>
      </c>
      <c r="Q920" s="2" t="s">
        <v>6695</v>
      </c>
      <c r="R920" s="2" t="s">
        <v>64</v>
      </c>
      <c r="S920" s="4" t="s">
        <v>6696</v>
      </c>
      <c r="T920" s="2" t="s">
        <v>66</v>
      </c>
      <c r="U920" s="4" t="s">
        <v>6697</v>
      </c>
      <c r="V920" s="2" t="s">
        <v>674</v>
      </c>
      <c r="W920" s="2" t="s">
        <v>6698</v>
      </c>
      <c r="X920" s="5" t="str">
        <f>HYPERLINK("https://my.pitchbook.com?p=38769-13P","View People Online")</f>
        <v>View People Online</v>
      </c>
    </row>
    <row r="921">
      <c r="A921" s="14" t="s">
        <v>6699</v>
      </c>
      <c r="B921" s="14" t="s">
        <v>6700</v>
      </c>
      <c r="C921" s="14" t="s">
        <v>3040</v>
      </c>
      <c r="D921" s="14" t="s">
        <v>6701</v>
      </c>
      <c r="E921" s="14" t="s">
        <v>6574</v>
      </c>
      <c r="F921" s="14" t="s">
        <v>114</v>
      </c>
      <c r="G921" s="14" t="s">
        <v>6702</v>
      </c>
      <c r="H921" s="15">
        <v>1.0</v>
      </c>
      <c r="I921" s="15">
        <v>4.0</v>
      </c>
      <c r="J921" s="15">
        <v>2.0</v>
      </c>
      <c r="K921" s="15">
        <v>1.0</v>
      </c>
      <c r="L921" s="16" t="s">
        <v>6703</v>
      </c>
      <c r="M921" s="14" t="s">
        <v>6704</v>
      </c>
      <c r="N921" s="14" t="s">
        <v>4232</v>
      </c>
      <c r="O921" s="16" t="s">
        <v>4233</v>
      </c>
      <c r="P921" s="14" t="s">
        <v>6620</v>
      </c>
      <c r="Q921" s="14" t="s">
        <v>6621</v>
      </c>
      <c r="R921" s="14" t="s">
        <v>4236</v>
      </c>
      <c r="S921" s="16" t="s">
        <v>6622</v>
      </c>
      <c r="T921" s="14" t="s">
        <v>66</v>
      </c>
      <c r="U921" s="16" t="s">
        <v>6623</v>
      </c>
      <c r="V921" s="14" t="s">
        <v>114</v>
      </c>
      <c r="W921" s="14" t="s">
        <v>6574</v>
      </c>
      <c r="X921" s="17" t="str">
        <f>HYPERLINK("https://my.pitchbook.com?p=41965-57P","View People Online")</f>
        <v>View People Online</v>
      </c>
    </row>
    <row r="922">
      <c r="A922" s="10" t="s">
        <v>6705</v>
      </c>
      <c r="B922" s="10" t="s">
        <v>6706</v>
      </c>
      <c r="C922" s="10" t="s">
        <v>6707</v>
      </c>
      <c r="D922" s="10" t="s">
        <v>5959</v>
      </c>
      <c r="E922" s="10" t="s">
        <v>6574</v>
      </c>
      <c r="F922" s="10" t="s">
        <v>114</v>
      </c>
      <c r="G922" s="10" t="s">
        <v>6708</v>
      </c>
      <c r="H922" s="11">
        <v>3.0</v>
      </c>
      <c r="I922" s="11">
        <v>6.0</v>
      </c>
      <c r="J922" s="11">
        <v>1.0</v>
      </c>
      <c r="K922" s="11">
        <v>2.0</v>
      </c>
      <c r="L922" s="12" t="s">
        <v>6709</v>
      </c>
      <c r="M922" s="10" t="s">
        <v>6710</v>
      </c>
      <c r="N922" s="10" t="s">
        <v>6669</v>
      </c>
      <c r="O922" s="12" t="s">
        <v>6670</v>
      </c>
      <c r="P922" s="10" t="s">
        <v>6711</v>
      </c>
      <c r="Q922" s="10" t="s">
        <v>31</v>
      </c>
      <c r="R922" s="10" t="s">
        <v>1185</v>
      </c>
      <c r="S922" s="12" t="s">
        <v>6712</v>
      </c>
      <c r="T922" s="10" t="s">
        <v>66</v>
      </c>
      <c r="U922" s="12" t="s">
        <v>31</v>
      </c>
      <c r="V922" s="10" t="s">
        <v>2379</v>
      </c>
      <c r="W922" s="10" t="s">
        <v>6713</v>
      </c>
      <c r="X922" s="13" t="str">
        <f>HYPERLINK("https://my.pitchbook.com?p=166144-06P","View People Online")</f>
        <v>View People Online</v>
      </c>
    </row>
    <row r="923">
      <c r="A923" s="6" t="s">
        <v>6714</v>
      </c>
      <c r="B923" s="6" t="s">
        <v>6715</v>
      </c>
      <c r="C923" s="6" t="s">
        <v>3089</v>
      </c>
      <c r="D923" s="6" t="s">
        <v>6716</v>
      </c>
      <c r="E923" s="6" t="s">
        <v>6574</v>
      </c>
      <c r="F923" s="6" t="s">
        <v>1106</v>
      </c>
      <c r="G923" s="6" t="s">
        <v>6717</v>
      </c>
      <c r="H923" s="7">
        <v>12.0</v>
      </c>
      <c r="I923" s="7">
        <v>73.0</v>
      </c>
      <c r="J923" s="7">
        <v>1.0</v>
      </c>
      <c r="K923" s="7">
        <v>47.0</v>
      </c>
      <c r="L923" s="8" t="s">
        <v>6618</v>
      </c>
      <c r="M923" s="6" t="s">
        <v>6718</v>
      </c>
      <c r="N923" s="6" t="s">
        <v>4232</v>
      </c>
      <c r="O923" s="8" t="s">
        <v>4233</v>
      </c>
      <c r="P923" s="6" t="s">
        <v>6620</v>
      </c>
      <c r="Q923" s="6" t="s">
        <v>6621</v>
      </c>
      <c r="R923" s="6" t="s">
        <v>4236</v>
      </c>
      <c r="S923" s="8" t="s">
        <v>6622</v>
      </c>
      <c r="T923" s="6" t="s">
        <v>66</v>
      </c>
      <c r="U923" s="8" t="s">
        <v>6623</v>
      </c>
      <c r="V923" s="6" t="s">
        <v>1114</v>
      </c>
      <c r="W923" s="6" t="s">
        <v>6574</v>
      </c>
      <c r="X923" s="9" t="str">
        <f>HYPERLINK("https://my.pitchbook.com?p=12803-32P","View People Online")</f>
        <v>View People Online</v>
      </c>
    </row>
    <row r="924">
      <c r="A924" s="10" t="s">
        <v>6719</v>
      </c>
      <c r="B924" s="10" t="s">
        <v>6720</v>
      </c>
      <c r="C924" s="10" t="s">
        <v>3089</v>
      </c>
      <c r="D924" s="10" t="s">
        <v>6721</v>
      </c>
      <c r="E924" s="10" t="s">
        <v>6574</v>
      </c>
      <c r="F924" s="10" t="s">
        <v>114</v>
      </c>
      <c r="G924" s="10" t="s">
        <v>6722</v>
      </c>
      <c r="H924" s="11">
        <v>1.0</v>
      </c>
      <c r="I924" s="11">
        <v>4.0</v>
      </c>
      <c r="J924" s="11">
        <v>3.0</v>
      </c>
      <c r="K924" s="11" t="s">
        <v>31</v>
      </c>
      <c r="L924" s="12" t="s">
        <v>6723</v>
      </c>
      <c r="M924" s="10" t="s">
        <v>6724</v>
      </c>
      <c r="N924" s="10" t="s">
        <v>6725</v>
      </c>
      <c r="O924" s="12" t="s">
        <v>6726</v>
      </c>
      <c r="P924" s="10" t="s">
        <v>6727</v>
      </c>
      <c r="Q924" s="10" t="s">
        <v>6728</v>
      </c>
      <c r="R924" s="10" t="s">
        <v>1185</v>
      </c>
      <c r="S924" s="12" t="s">
        <v>6729</v>
      </c>
      <c r="T924" s="10" t="s">
        <v>66</v>
      </c>
      <c r="U924" s="12" t="s">
        <v>31</v>
      </c>
      <c r="V924" s="10" t="s">
        <v>3750</v>
      </c>
      <c r="W924" s="10" t="s">
        <v>6730</v>
      </c>
      <c r="X924" s="13" t="str">
        <f>HYPERLINK("https://my.pitchbook.com?p=61528-69P","View People Online")</f>
        <v>View People Online</v>
      </c>
    </row>
    <row r="925">
      <c r="A925" s="6" t="s">
        <v>6731</v>
      </c>
      <c r="B925" s="6" t="s">
        <v>6732</v>
      </c>
      <c r="C925" s="6" t="s">
        <v>6733</v>
      </c>
      <c r="D925" s="6" t="s">
        <v>6734</v>
      </c>
      <c r="E925" s="6" t="s">
        <v>6574</v>
      </c>
      <c r="F925" s="6" t="s">
        <v>114</v>
      </c>
      <c r="G925" s="6" t="s">
        <v>6735</v>
      </c>
      <c r="H925" s="7" t="s">
        <v>31</v>
      </c>
      <c r="I925" s="7">
        <v>2.0</v>
      </c>
      <c r="J925" s="7">
        <v>2.0</v>
      </c>
      <c r="K925" s="7" t="s">
        <v>31</v>
      </c>
      <c r="L925" s="8" t="s">
        <v>6736</v>
      </c>
      <c r="M925" s="6" t="s">
        <v>6737</v>
      </c>
      <c r="N925" s="6" t="s">
        <v>1181</v>
      </c>
      <c r="O925" s="8" t="s">
        <v>1182</v>
      </c>
      <c r="P925" s="6" t="s">
        <v>6738</v>
      </c>
      <c r="Q925" s="6" t="s">
        <v>194</v>
      </c>
      <c r="R925" s="6" t="s">
        <v>1185</v>
      </c>
      <c r="S925" s="8" t="s">
        <v>6739</v>
      </c>
      <c r="T925" s="6" t="s">
        <v>66</v>
      </c>
      <c r="U925" s="8" t="s">
        <v>31</v>
      </c>
      <c r="V925" s="6" t="s">
        <v>470</v>
      </c>
      <c r="W925" s="6" t="s">
        <v>6740</v>
      </c>
      <c r="X925" s="9" t="str">
        <f>HYPERLINK("https://my.pitchbook.com?p=356556-61P","View People Online")</f>
        <v>View People Online</v>
      </c>
    </row>
    <row r="926">
      <c r="A926" s="2" t="s">
        <v>6741</v>
      </c>
      <c r="B926" s="2" t="s">
        <v>6742</v>
      </c>
      <c r="C926" s="2" t="s">
        <v>1489</v>
      </c>
      <c r="D926" s="2" t="s">
        <v>6743</v>
      </c>
      <c r="E926" s="2" t="s">
        <v>6574</v>
      </c>
      <c r="F926" s="2" t="s">
        <v>114</v>
      </c>
      <c r="G926" s="2" t="s">
        <v>6744</v>
      </c>
      <c r="H926" s="3" t="s">
        <v>31</v>
      </c>
      <c r="I926" s="3">
        <v>1.0</v>
      </c>
      <c r="J926" s="3">
        <v>1.0</v>
      </c>
      <c r="K926" s="3" t="s">
        <v>31</v>
      </c>
      <c r="L926" s="4" t="s">
        <v>6618</v>
      </c>
      <c r="M926" s="2" t="s">
        <v>6745</v>
      </c>
      <c r="N926" s="2" t="s">
        <v>4232</v>
      </c>
      <c r="O926" s="4" t="s">
        <v>4233</v>
      </c>
      <c r="P926" s="2" t="s">
        <v>6620</v>
      </c>
      <c r="Q926" s="2" t="s">
        <v>6621</v>
      </c>
      <c r="R926" s="2" t="s">
        <v>4236</v>
      </c>
      <c r="S926" s="4" t="s">
        <v>6622</v>
      </c>
      <c r="T926" s="2" t="s">
        <v>66</v>
      </c>
      <c r="U926" s="4" t="s">
        <v>6623</v>
      </c>
      <c r="V926" s="2" t="s">
        <v>114</v>
      </c>
      <c r="W926" s="2" t="s">
        <v>6574</v>
      </c>
      <c r="X926" s="5" t="str">
        <f>HYPERLINK("https://my.pitchbook.com?p=349020-91P","View People Online")</f>
        <v>View People Online</v>
      </c>
    </row>
    <row r="927">
      <c r="A927" s="14" t="s">
        <v>6746</v>
      </c>
      <c r="B927" s="14" t="s">
        <v>6747</v>
      </c>
      <c r="C927" s="14" t="s">
        <v>6017</v>
      </c>
      <c r="D927" s="14" t="s">
        <v>6748</v>
      </c>
      <c r="E927" s="14" t="s">
        <v>6574</v>
      </c>
      <c r="F927" s="14" t="s">
        <v>1283</v>
      </c>
      <c r="G927" s="14" t="s">
        <v>6749</v>
      </c>
      <c r="H927" s="15">
        <v>17.0</v>
      </c>
      <c r="I927" s="15">
        <v>72.0</v>
      </c>
      <c r="J927" s="15">
        <v>2.0</v>
      </c>
      <c r="K927" s="15">
        <v>44.0</v>
      </c>
      <c r="L927" s="16" t="s">
        <v>6608</v>
      </c>
      <c r="M927" s="14" t="s">
        <v>6750</v>
      </c>
      <c r="N927" s="14" t="s">
        <v>155</v>
      </c>
      <c r="O927" s="16" t="s">
        <v>156</v>
      </c>
      <c r="P927" s="14" t="s">
        <v>6610</v>
      </c>
      <c r="Q927" s="14" t="s">
        <v>6611</v>
      </c>
      <c r="R927" s="14" t="s">
        <v>64</v>
      </c>
      <c r="S927" s="16" t="s">
        <v>6612</v>
      </c>
      <c r="T927" s="14" t="s">
        <v>66</v>
      </c>
      <c r="U927" s="16" t="s">
        <v>31</v>
      </c>
      <c r="V927" s="14" t="s">
        <v>1283</v>
      </c>
      <c r="W927" s="14" t="s">
        <v>6574</v>
      </c>
      <c r="X927" s="17" t="str">
        <f>HYPERLINK("https://my.pitchbook.com?p=12803-23P","View People Online")</f>
        <v>View People Online</v>
      </c>
    </row>
    <row r="928">
      <c r="A928" s="2" t="s">
        <v>6751</v>
      </c>
      <c r="B928" s="2" t="s">
        <v>6752</v>
      </c>
      <c r="C928" s="2" t="s">
        <v>6753</v>
      </c>
      <c r="D928" s="2" t="s">
        <v>6754</v>
      </c>
      <c r="E928" s="2" t="s">
        <v>6574</v>
      </c>
      <c r="F928" s="2" t="s">
        <v>114</v>
      </c>
      <c r="G928" s="2" t="s">
        <v>6755</v>
      </c>
      <c r="H928" s="3">
        <v>3.0</v>
      </c>
      <c r="I928" s="3">
        <v>5.0</v>
      </c>
      <c r="J928" s="3">
        <v>1.0</v>
      </c>
      <c r="K928" s="3" t="s">
        <v>31</v>
      </c>
      <c r="L928" s="4" t="s">
        <v>6756</v>
      </c>
      <c r="M928" s="2" t="s">
        <v>31</v>
      </c>
      <c r="N928" s="2" t="s">
        <v>6757</v>
      </c>
      <c r="O928" s="4" t="s">
        <v>6758</v>
      </c>
      <c r="P928" s="2" t="s">
        <v>6759</v>
      </c>
      <c r="Q928" s="2" t="s">
        <v>31</v>
      </c>
      <c r="R928" s="2" t="s">
        <v>1185</v>
      </c>
      <c r="S928" s="4" t="s">
        <v>6760</v>
      </c>
      <c r="T928" s="2" t="s">
        <v>66</v>
      </c>
      <c r="U928" s="4" t="s">
        <v>6761</v>
      </c>
      <c r="V928" s="2" t="s">
        <v>2379</v>
      </c>
      <c r="W928" s="2" t="s">
        <v>6762</v>
      </c>
      <c r="X928" s="5" t="str">
        <f>HYPERLINK("https://my.pitchbook.com?p=279112-33P","View People Online")</f>
        <v>View People Online</v>
      </c>
    </row>
    <row r="929">
      <c r="A929" s="14" t="s">
        <v>6763</v>
      </c>
      <c r="B929" s="14" t="s">
        <v>6764</v>
      </c>
      <c r="C929" s="14" t="s">
        <v>2288</v>
      </c>
      <c r="D929" s="14" t="s">
        <v>6765</v>
      </c>
      <c r="E929" s="14" t="s">
        <v>6574</v>
      </c>
      <c r="F929" s="14" t="s">
        <v>6766</v>
      </c>
      <c r="G929" s="14" t="s">
        <v>6767</v>
      </c>
      <c r="H929" s="15" t="s">
        <v>31</v>
      </c>
      <c r="I929" s="15">
        <v>17.0</v>
      </c>
      <c r="J929" s="15">
        <v>1.0</v>
      </c>
      <c r="K929" s="15">
        <v>5.0</v>
      </c>
      <c r="L929" s="16" t="s">
        <v>6618</v>
      </c>
      <c r="M929" s="14" t="s">
        <v>6768</v>
      </c>
      <c r="N929" s="14" t="s">
        <v>4232</v>
      </c>
      <c r="O929" s="16" t="s">
        <v>4233</v>
      </c>
      <c r="P929" s="14" t="s">
        <v>6620</v>
      </c>
      <c r="Q929" s="14" t="s">
        <v>6621</v>
      </c>
      <c r="R929" s="14" t="s">
        <v>4236</v>
      </c>
      <c r="S929" s="16" t="s">
        <v>6622</v>
      </c>
      <c r="T929" s="14" t="s">
        <v>66</v>
      </c>
      <c r="U929" s="16" t="s">
        <v>6623</v>
      </c>
      <c r="V929" s="14" t="s">
        <v>6769</v>
      </c>
      <c r="W929" s="14" t="s">
        <v>6574</v>
      </c>
      <c r="X929" s="17" t="str">
        <f>HYPERLINK("https://my.pitchbook.com?p=12803-77P","View People Online")</f>
        <v>View People Online</v>
      </c>
    </row>
    <row r="930">
      <c r="A930" s="2" t="s">
        <v>6770</v>
      </c>
      <c r="B930" s="2" t="s">
        <v>6771</v>
      </c>
      <c r="C930" s="2" t="s">
        <v>6772</v>
      </c>
      <c r="D930" s="2" t="s">
        <v>6773</v>
      </c>
      <c r="E930" s="2" t="s">
        <v>6574</v>
      </c>
      <c r="F930" s="2" t="s">
        <v>114</v>
      </c>
      <c r="G930" s="2" t="s">
        <v>6774</v>
      </c>
      <c r="H930" s="3">
        <v>2.0</v>
      </c>
      <c r="I930" s="3">
        <v>6.0</v>
      </c>
      <c r="J930" s="3">
        <v>1.0</v>
      </c>
      <c r="K930" s="3">
        <v>2.0</v>
      </c>
      <c r="L930" s="4" t="s">
        <v>6775</v>
      </c>
      <c r="M930" s="2" t="s">
        <v>31</v>
      </c>
      <c r="N930" s="2" t="s">
        <v>6776</v>
      </c>
      <c r="O930" s="4" t="s">
        <v>6777</v>
      </c>
      <c r="P930" s="2" t="s">
        <v>6778</v>
      </c>
      <c r="Q930" s="2" t="s">
        <v>6779</v>
      </c>
      <c r="R930" s="2" t="s">
        <v>31</v>
      </c>
      <c r="S930" s="4" t="s">
        <v>6780</v>
      </c>
      <c r="T930" s="2" t="s">
        <v>1010</v>
      </c>
      <c r="U930" s="4" t="s">
        <v>6781</v>
      </c>
      <c r="V930" s="2" t="s">
        <v>2379</v>
      </c>
      <c r="W930" s="2" t="s">
        <v>6782</v>
      </c>
      <c r="X930" s="5" t="str">
        <f>HYPERLINK("https://my.pitchbook.com?p=259341-94P","View People Online")</f>
        <v>View People Online</v>
      </c>
    </row>
    <row r="931">
      <c r="A931" s="14" t="s">
        <v>6783</v>
      </c>
      <c r="B931" s="14" t="s">
        <v>6784</v>
      </c>
      <c r="C931" s="14" t="s">
        <v>6785</v>
      </c>
      <c r="D931" s="14" t="s">
        <v>6786</v>
      </c>
      <c r="E931" s="14" t="s">
        <v>6574</v>
      </c>
      <c r="F931" s="14" t="s">
        <v>318</v>
      </c>
      <c r="G931" s="14" t="s">
        <v>6787</v>
      </c>
      <c r="H931" s="15">
        <v>1.0</v>
      </c>
      <c r="I931" s="15">
        <v>3.0</v>
      </c>
      <c r="J931" s="15">
        <v>2.0</v>
      </c>
      <c r="K931" s="15">
        <v>1.0</v>
      </c>
      <c r="L931" s="16" t="s">
        <v>6618</v>
      </c>
      <c r="M931" s="14" t="s">
        <v>6788</v>
      </c>
      <c r="N931" s="14" t="s">
        <v>4232</v>
      </c>
      <c r="O931" s="16" t="s">
        <v>4233</v>
      </c>
      <c r="P931" s="14" t="s">
        <v>6620</v>
      </c>
      <c r="Q931" s="14" t="s">
        <v>6621</v>
      </c>
      <c r="R931" s="14" t="s">
        <v>4236</v>
      </c>
      <c r="S931" s="16" t="s">
        <v>6622</v>
      </c>
      <c r="T931" s="14" t="s">
        <v>66</v>
      </c>
      <c r="U931" s="16" t="s">
        <v>6623</v>
      </c>
      <c r="V931" s="14" t="s">
        <v>318</v>
      </c>
      <c r="W931" s="14" t="s">
        <v>6574</v>
      </c>
      <c r="X931" s="17" t="str">
        <f>HYPERLINK("https://my.pitchbook.com?p=189367-30P","View People Online")</f>
        <v>View People Online</v>
      </c>
    </row>
    <row r="932">
      <c r="A932" s="10" t="s">
        <v>6789</v>
      </c>
      <c r="B932" s="10" t="s">
        <v>6790</v>
      </c>
      <c r="C932" s="10" t="s">
        <v>6791</v>
      </c>
      <c r="D932" s="10" t="s">
        <v>6792</v>
      </c>
      <c r="E932" s="10" t="s">
        <v>6574</v>
      </c>
      <c r="F932" s="10" t="s">
        <v>6793</v>
      </c>
      <c r="G932" s="10" t="s">
        <v>6794</v>
      </c>
      <c r="H932" s="11">
        <v>1.0</v>
      </c>
      <c r="I932" s="11">
        <v>4.0</v>
      </c>
      <c r="J932" s="11">
        <v>1.0</v>
      </c>
      <c r="K932" s="11" t="s">
        <v>31</v>
      </c>
      <c r="L932" s="12" t="s">
        <v>6618</v>
      </c>
      <c r="M932" s="10" t="s">
        <v>6795</v>
      </c>
      <c r="N932" s="10" t="s">
        <v>1442</v>
      </c>
      <c r="O932" s="12" t="s">
        <v>1443</v>
      </c>
      <c r="P932" s="10" t="s">
        <v>6796</v>
      </c>
      <c r="Q932" s="10" t="s">
        <v>6797</v>
      </c>
      <c r="R932" s="10" t="s">
        <v>1277</v>
      </c>
      <c r="S932" s="12" t="s">
        <v>6798</v>
      </c>
      <c r="T932" s="10" t="s">
        <v>66</v>
      </c>
      <c r="U932" s="12" t="s">
        <v>31</v>
      </c>
      <c r="V932" s="10" t="s">
        <v>157</v>
      </c>
      <c r="W932" s="10" t="s">
        <v>6799</v>
      </c>
      <c r="X932" s="13" t="str">
        <f>HYPERLINK("https://my.pitchbook.com?p=305062-84P","View People Online")</f>
        <v>View People Online</v>
      </c>
    </row>
    <row r="933">
      <c r="A933" s="14" t="s">
        <v>6800</v>
      </c>
      <c r="B933" s="14" t="s">
        <v>6801</v>
      </c>
      <c r="C933" s="14" t="s">
        <v>167</v>
      </c>
      <c r="D933" s="14" t="s">
        <v>5431</v>
      </c>
      <c r="E933" s="14" t="s">
        <v>6574</v>
      </c>
      <c r="F933" s="14" t="s">
        <v>114</v>
      </c>
      <c r="G933" s="14" t="s">
        <v>6802</v>
      </c>
      <c r="H933" s="15">
        <v>3.0</v>
      </c>
      <c r="I933" s="15">
        <v>5.0</v>
      </c>
      <c r="J933" s="15">
        <v>2.0</v>
      </c>
      <c r="K933" s="15">
        <v>1.0</v>
      </c>
      <c r="L933" s="16" t="s">
        <v>6618</v>
      </c>
      <c r="M933" s="14" t="s">
        <v>31</v>
      </c>
      <c r="N933" s="14" t="s">
        <v>4232</v>
      </c>
      <c r="O933" s="16" t="s">
        <v>4233</v>
      </c>
      <c r="P933" s="14" t="s">
        <v>6620</v>
      </c>
      <c r="Q933" s="14" t="s">
        <v>6621</v>
      </c>
      <c r="R933" s="14" t="s">
        <v>4236</v>
      </c>
      <c r="S933" s="16" t="s">
        <v>6622</v>
      </c>
      <c r="T933" s="14" t="s">
        <v>66</v>
      </c>
      <c r="U933" s="16" t="s">
        <v>6623</v>
      </c>
      <c r="V933" s="14" t="s">
        <v>2586</v>
      </c>
      <c r="W933" s="14" t="s">
        <v>6803</v>
      </c>
      <c r="X933" s="17" t="str">
        <f>HYPERLINK("https://my.pitchbook.com?p=102679-21P","View People Online")</f>
        <v>View People Online</v>
      </c>
    </row>
    <row r="934">
      <c r="A934" s="10" t="s">
        <v>6804</v>
      </c>
      <c r="B934" s="10" t="s">
        <v>6805</v>
      </c>
      <c r="C934" s="10" t="s">
        <v>934</v>
      </c>
      <c r="D934" s="10" t="s">
        <v>6806</v>
      </c>
      <c r="E934" s="10" t="s">
        <v>6574</v>
      </c>
      <c r="F934" s="10" t="s">
        <v>1283</v>
      </c>
      <c r="G934" s="10" t="s">
        <v>6807</v>
      </c>
      <c r="H934" s="11">
        <v>6.0</v>
      </c>
      <c r="I934" s="11">
        <v>17.0</v>
      </c>
      <c r="J934" s="11">
        <v>2.0</v>
      </c>
      <c r="K934" s="11">
        <v>7.0</v>
      </c>
      <c r="L934" s="12" t="s">
        <v>6808</v>
      </c>
      <c r="M934" s="10" t="s">
        <v>6809</v>
      </c>
      <c r="N934" s="10" t="s">
        <v>6725</v>
      </c>
      <c r="O934" s="12" t="s">
        <v>6726</v>
      </c>
      <c r="P934" s="10" t="s">
        <v>6810</v>
      </c>
      <c r="Q934" s="10" t="s">
        <v>6654</v>
      </c>
      <c r="R934" s="10" t="s">
        <v>1185</v>
      </c>
      <c r="S934" s="12" t="s">
        <v>6729</v>
      </c>
      <c r="T934" s="10" t="s">
        <v>66</v>
      </c>
      <c r="U934" s="12" t="s">
        <v>31</v>
      </c>
      <c r="V934" s="10" t="s">
        <v>6811</v>
      </c>
      <c r="W934" s="10" t="s">
        <v>6812</v>
      </c>
      <c r="X934" s="13" t="str">
        <f>HYPERLINK("https://my.pitchbook.com?p=16466-50P","View People Online")</f>
        <v>View People Online</v>
      </c>
    </row>
    <row r="935">
      <c r="A935" s="6" t="s">
        <v>6813</v>
      </c>
      <c r="B935" s="6" t="s">
        <v>6814</v>
      </c>
      <c r="C935" s="6" t="s">
        <v>2388</v>
      </c>
      <c r="D935" s="6" t="s">
        <v>6815</v>
      </c>
      <c r="E935" s="6" t="s">
        <v>6574</v>
      </c>
      <c r="F935" s="6" t="s">
        <v>221</v>
      </c>
      <c r="G935" s="6" t="s">
        <v>6816</v>
      </c>
      <c r="H935" s="7" t="s">
        <v>31</v>
      </c>
      <c r="I935" s="7">
        <v>1.0</v>
      </c>
      <c r="J935" s="7">
        <v>1.0</v>
      </c>
      <c r="K935" s="7" t="s">
        <v>31</v>
      </c>
      <c r="L935" s="8" t="s">
        <v>6618</v>
      </c>
      <c r="M935" s="6" t="s">
        <v>6817</v>
      </c>
      <c r="N935" s="6" t="s">
        <v>4232</v>
      </c>
      <c r="O935" s="8" t="s">
        <v>4233</v>
      </c>
      <c r="P935" s="6" t="s">
        <v>6620</v>
      </c>
      <c r="Q935" s="6" t="s">
        <v>6621</v>
      </c>
      <c r="R935" s="6" t="s">
        <v>4236</v>
      </c>
      <c r="S935" s="8" t="s">
        <v>6622</v>
      </c>
      <c r="T935" s="6" t="s">
        <v>66</v>
      </c>
      <c r="U935" s="8" t="s">
        <v>6623</v>
      </c>
      <c r="V935" s="6" t="s">
        <v>221</v>
      </c>
      <c r="W935" s="6" t="s">
        <v>6574</v>
      </c>
      <c r="X935" s="9" t="str">
        <f>HYPERLINK("https://my.pitchbook.com?p=367384-51P","View People Online")</f>
        <v>View People Online</v>
      </c>
    </row>
    <row r="936">
      <c r="A936" s="10" t="s">
        <v>6818</v>
      </c>
      <c r="B936" s="10" t="s">
        <v>6819</v>
      </c>
      <c r="C936" s="10" t="s">
        <v>6820</v>
      </c>
      <c r="D936" s="10" t="s">
        <v>6821</v>
      </c>
      <c r="E936" s="10" t="s">
        <v>6574</v>
      </c>
      <c r="F936" s="10" t="s">
        <v>201</v>
      </c>
      <c r="G936" s="10" t="s">
        <v>6822</v>
      </c>
      <c r="H936" s="11">
        <v>2.0</v>
      </c>
      <c r="I936" s="11">
        <v>4.0</v>
      </c>
      <c r="J936" s="11">
        <v>1.0</v>
      </c>
      <c r="K936" s="11">
        <v>1.0</v>
      </c>
      <c r="L936" s="12" t="s">
        <v>6618</v>
      </c>
      <c r="M936" s="10" t="s">
        <v>6823</v>
      </c>
      <c r="N936" s="10" t="s">
        <v>4232</v>
      </c>
      <c r="O936" s="12" t="s">
        <v>4233</v>
      </c>
      <c r="P936" s="10" t="s">
        <v>6620</v>
      </c>
      <c r="Q936" s="10" t="s">
        <v>6621</v>
      </c>
      <c r="R936" s="10" t="s">
        <v>4236</v>
      </c>
      <c r="S936" s="12" t="s">
        <v>6622</v>
      </c>
      <c r="T936" s="10" t="s">
        <v>66</v>
      </c>
      <c r="U936" s="12" t="s">
        <v>6623</v>
      </c>
      <c r="V936" s="10" t="s">
        <v>201</v>
      </c>
      <c r="W936" s="10" t="s">
        <v>6574</v>
      </c>
      <c r="X936" s="13" t="str">
        <f>HYPERLINK("https://my.pitchbook.com?p=241454-89P","View People Online")</f>
        <v>View People Online</v>
      </c>
    </row>
    <row r="937">
      <c r="A937" s="14" t="s">
        <v>6824</v>
      </c>
      <c r="B937" s="14" t="s">
        <v>6825</v>
      </c>
      <c r="C937" s="14" t="s">
        <v>395</v>
      </c>
      <c r="D937" s="14" t="s">
        <v>6826</v>
      </c>
      <c r="E937" s="14" t="s">
        <v>6574</v>
      </c>
      <c r="F937" s="14" t="s">
        <v>114</v>
      </c>
      <c r="G937" s="14" t="s">
        <v>6827</v>
      </c>
      <c r="H937" s="15">
        <v>7.0</v>
      </c>
      <c r="I937" s="15">
        <v>8.0</v>
      </c>
      <c r="J937" s="15">
        <v>4.0</v>
      </c>
      <c r="K937" s="15" t="s">
        <v>31</v>
      </c>
      <c r="L937" s="16" t="s">
        <v>6828</v>
      </c>
      <c r="M937" s="14" t="s">
        <v>6829</v>
      </c>
      <c r="N937" s="14" t="s">
        <v>6599</v>
      </c>
      <c r="O937" s="16" t="s">
        <v>6600</v>
      </c>
      <c r="P937" s="14" t="s">
        <v>6830</v>
      </c>
      <c r="Q937" s="14" t="s">
        <v>6831</v>
      </c>
      <c r="R937" s="14" t="s">
        <v>64</v>
      </c>
      <c r="S937" s="16" t="s">
        <v>6601</v>
      </c>
      <c r="T937" s="14" t="s">
        <v>66</v>
      </c>
      <c r="U937" s="16" t="s">
        <v>31</v>
      </c>
      <c r="V937" s="14" t="s">
        <v>6832</v>
      </c>
      <c r="W937" s="14" t="s">
        <v>6833</v>
      </c>
      <c r="X937" s="17" t="str">
        <f>HYPERLINK("https://my.pitchbook.com?p=35659-63P","View People Online")</f>
        <v>View People Online</v>
      </c>
    </row>
    <row r="938">
      <c r="A938" s="2" t="s">
        <v>6834</v>
      </c>
      <c r="B938" s="2" t="s">
        <v>6835</v>
      </c>
      <c r="C938" s="2" t="s">
        <v>536</v>
      </c>
      <c r="D938" s="2" t="s">
        <v>6836</v>
      </c>
      <c r="E938" s="2" t="s">
        <v>6574</v>
      </c>
      <c r="F938" s="2" t="s">
        <v>1106</v>
      </c>
      <c r="G938" s="2" t="s">
        <v>6837</v>
      </c>
      <c r="H938" s="3">
        <v>18.0</v>
      </c>
      <c r="I938" s="3">
        <v>85.0</v>
      </c>
      <c r="J938" s="3">
        <v>5.0</v>
      </c>
      <c r="K938" s="3">
        <v>50.0</v>
      </c>
      <c r="L938" s="4" t="s">
        <v>6838</v>
      </c>
      <c r="M938" s="2" t="s">
        <v>6839</v>
      </c>
      <c r="N938" s="2" t="s">
        <v>1442</v>
      </c>
      <c r="O938" s="4" t="s">
        <v>1443</v>
      </c>
      <c r="P938" s="2" t="s">
        <v>6840</v>
      </c>
      <c r="Q938" s="2" t="s">
        <v>6841</v>
      </c>
      <c r="R938" s="2" t="s">
        <v>1277</v>
      </c>
      <c r="S938" s="4" t="s">
        <v>6842</v>
      </c>
      <c r="T938" s="2" t="s">
        <v>66</v>
      </c>
      <c r="U938" s="4" t="s">
        <v>6843</v>
      </c>
      <c r="V938" s="2" t="s">
        <v>6844</v>
      </c>
      <c r="W938" s="2" t="s">
        <v>6574</v>
      </c>
      <c r="X938" s="5" t="str">
        <f>HYPERLINK("https://my.pitchbook.com?p=12803-95P","View People Online")</f>
        <v>View People Online</v>
      </c>
    </row>
    <row r="939">
      <c r="A939" s="6" t="s">
        <v>6845</v>
      </c>
      <c r="B939" s="6" t="s">
        <v>6846</v>
      </c>
      <c r="C939" s="6" t="s">
        <v>6847</v>
      </c>
      <c r="D939" s="6" t="s">
        <v>6848</v>
      </c>
      <c r="E939" s="6" t="s">
        <v>6574</v>
      </c>
      <c r="F939" s="6" t="s">
        <v>29</v>
      </c>
      <c r="G939" s="6" t="s">
        <v>6849</v>
      </c>
      <c r="H939" s="7">
        <v>1.0</v>
      </c>
      <c r="I939" s="7">
        <v>2.0</v>
      </c>
      <c r="J939" s="7">
        <v>2.0</v>
      </c>
      <c r="K939" s="7" t="s">
        <v>31</v>
      </c>
      <c r="L939" s="8" t="s">
        <v>6850</v>
      </c>
      <c r="M939" s="6" t="s">
        <v>6851</v>
      </c>
      <c r="N939" s="6" t="s">
        <v>155</v>
      </c>
      <c r="O939" s="8" t="s">
        <v>156</v>
      </c>
      <c r="P939" s="6" t="s">
        <v>6610</v>
      </c>
      <c r="Q939" s="6" t="s">
        <v>6611</v>
      </c>
      <c r="R939" s="6" t="s">
        <v>64</v>
      </c>
      <c r="S939" s="8" t="s">
        <v>6612</v>
      </c>
      <c r="T939" s="6" t="s">
        <v>66</v>
      </c>
      <c r="U939" s="8" t="s">
        <v>31</v>
      </c>
      <c r="V939" s="6" t="s">
        <v>270</v>
      </c>
      <c r="W939" s="6" t="s">
        <v>6852</v>
      </c>
      <c r="X939" s="9" t="str">
        <f>HYPERLINK("https://my.pitchbook.com?p=84468-25P","View People Online")</f>
        <v>View People Online</v>
      </c>
    </row>
    <row r="940">
      <c r="A940" s="10" t="s">
        <v>6853</v>
      </c>
      <c r="B940" s="10" t="s">
        <v>6854</v>
      </c>
      <c r="C940" s="10" t="s">
        <v>6855</v>
      </c>
      <c r="D940" s="10" t="s">
        <v>6856</v>
      </c>
      <c r="E940" s="10" t="s">
        <v>6574</v>
      </c>
      <c r="F940" s="10" t="s">
        <v>29</v>
      </c>
      <c r="G940" s="10" t="s">
        <v>6857</v>
      </c>
      <c r="H940" s="11">
        <v>4.0</v>
      </c>
      <c r="I940" s="11">
        <v>7.0</v>
      </c>
      <c r="J940" s="11">
        <v>1.0</v>
      </c>
      <c r="K940" s="11">
        <v>2.0</v>
      </c>
      <c r="L940" s="12" t="s">
        <v>6618</v>
      </c>
      <c r="M940" s="10" t="s">
        <v>6858</v>
      </c>
      <c r="N940" s="10" t="s">
        <v>4232</v>
      </c>
      <c r="O940" s="12" t="s">
        <v>4233</v>
      </c>
      <c r="P940" s="10" t="s">
        <v>6620</v>
      </c>
      <c r="Q940" s="10" t="s">
        <v>6621</v>
      </c>
      <c r="R940" s="10" t="s">
        <v>4236</v>
      </c>
      <c r="S940" s="12" t="s">
        <v>6622</v>
      </c>
      <c r="T940" s="10" t="s">
        <v>66</v>
      </c>
      <c r="U940" s="12" t="s">
        <v>6623</v>
      </c>
      <c r="V940" s="10" t="s">
        <v>6859</v>
      </c>
      <c r="W940" s="10" t="s">
        <v>6574</v>
      </c>
      <c r="X940" s="13" t="str">
        <f>HYPERLINK("https://my.pitchbook.com?p=151650-82P","View People Online")</f>
        <v>View People Online</v>
      </c>
    </row>
    <row r="941">
      <c r="A941" s="6" t="s">
        <v>6860</v>
      </c>
      <c r="B941" s="6" t="s">
        <v>6861</v>
      </c>
      <c r="C941" s="6" t="s">
        <v>4679</v>
      </c>
      <c r="D941" s="6" t="s">
        <v>6862</v>
      </c>
      <c r="E941" s="6" t="s">
        <v>6574</v>
      </c>
      <c r="F941" s="6" t="s">
        <v>1283</v>
      </c>
      <c r="G941" s="6" t="s">
        <v>6863</v>
      </c>
      <c r="H941" s="7">
        <v>17.0</v>
      </c>
      <c r="I941" s="7">
        <v>109.0</v>
      </c>
      <c r="J941" s="7">
        <v>7.0</v>
      </c>
      <c r="K941" s="7">
        <v>74.0</v>
      </c>
      <c r="L941" s="8" t="s">
        <v>6838</v>
      </c>
      <c r="M941" s="6" t="s">
        <v>6864</v>
      </c>
      <c r="N941" s="6" t="s">
        <v>1442</v>
      </c>
      <c r="O941" s="8" t="s">
        <v>1443</v>
      </c>
      <c r="P941" s="6" t="s">
        <v>6840</v>
      </c>
      <c r="Q941" s="6" t="s">
        <v>6841</v>
      </c>
      <c r="R941" s="6" t="s">
        <v>1277</v>
      </c>
      <c r="S941" s="8" t="s">
        <v>6842</v>
      </c>
      <c r="T941" s="6" t="s">
        <v>66</v>
      </c>
      <c r="U941" s="8" t="s">
        <v>6843</v>
      </c>
      <c r="V941" s="6" t="s">
        <v>1283</v>
      </c>
      <c r="W941" s="6" t="s">
        <v>6574</v>
      </c>
      <c r="X941" s="9" t="str">
        <f>HYPERLINK("https://my.pitchbook.com?p=12803-50P","View People Online")</f>
        <v>View People Online</v>
      </c>
    </row>
    <row r="942">
      <c r="A942" s="2" t="s">
        <v>6865</v>
      </c>
      <c r="B942" s="2" t="s">
        <v>6866</v>
      </c>
      <c r="C942" s="2" t="s">
        <v>6867</v>
      </c>
      <c r="D942" s="2" t="s">
        <v>6868</v>
      </c>
      <c r="E942" s="2" t="s">
        <v>6574</v>
      </c>
      <c r="F942" s="2" t="s">
        <v>114</v>
      </c>
      <c r="G942" s="2" t="s">
        <v>6869</v>
      </c>
      <c r="H942" s="3">
        <v>7.0</v>
      </c>
      <c r="I942" s="3">
        <v>11.0</v>
      </c>
      <c r="J942" s="3">
        <v>2.0</v>
      </c>
      <c r="K942" s="3" t="s">
        <v>31</v>
      </c>
      <c r="L942" s="4" t="s">
        <v>6870</v>
      </c>
      <c r="M942" s="2" t="s">
        <v>31</v>
      </c>
      <c r="N942" s="2" t="s">
        <v>155</v>
      </c>
      <c r="O942" s="4" t="s">
        <v>156</v>
      </c>
      <c r="P942" s="2" t="s">
        <v>6871</v>
      </c>
      <c r="Q942" s="2" t="s">
        <v>6872</v>
      </c>
      <c r="R942" s="2" t="s">
        <v>64</v>
      </c>
      <c r="S942" s="4" t="s">
        <v>6612</v>
      </c>
      <c r="T942" s="2" t="s">
        <v>66</v>
      </c>
      <c r="U942" s="4" t="s">
        <v>31</v>
      </c>
      <c r="V942" s="2" t="s">
        <v>6873</v>
      </c>
      <c r="W942" s="2" t="s">
        <v>6874</v>
      </c>
      <c r="X942" s="5" t="str">
        <f>HYPERLINK("https://my.pitchbook.com?p=38726-83P","View People Online")</f>
        <v>View People Online</v>
      </c>
    </row>
    <row r="943">
      <c r="A943" s="6" t="s">
        <v>6875</v>
      </c>
      <c r="B943" s="6" t="s">
        <v>6876</v>
      </c>
      <c r="C943" s="6" t="s">
        <v>4858</v>
      </c>
      <c r="D943" s="6" t="s">
        <v>3644</v>
      </c>
      <c r="E943" s="6" t="s">
        <v>6877</v>
      </c>
      <c r="F943" s="6" t="s">
        <v>114</v>
      </c>
      <c r="G943" s="6" t="s">
        <v>6878</v>
      </c>
      <c r="H943" s="7" t="s">
        <v>31</v>
      </c>
      <c r="I943" s="7">
        <v>2.0</v>
      </c>
      <c r="J943" s="7">
        <v>2.0</v>
      </c>
      <c r="K943" s="7" t="s">
        <v>31</v>
      </c>
      <c r="L943" s="8" t="s">
        <v>31</v>
      </c>
      <c r="M943" s="6" t="s">
        <v>6879</v>
      </c>
      <c r="N943" s="6" t="s">
        <v>75</v>
      </c>
      <c r="O943" s="8" t="s">
        <v>76</v>
      </c>
      <c r="P943" s="6" t="s">
        <v>31</v>
      </c>
      <c r="Q943" s="6" t="s">
        <v>31</v>
      </c>
      <c r="R943" s="6" t="s">
        <v>75</v>
      </c>
      <c r="S943" s="8" t="s">
        <v>31</v>
      </c>
      <c r="T943" s="6" t="s">
        <v>66</v>
      </c>
      <c r="U943" s="8" t="s">
        <v>31</v>
      </c>
      <c r="V943" s="6" t="s">
        <v>6880</v>
      </c>
      <c r="W943" s="6" t="s">
        <v>6881</v>
      </c>
      <c r="X943" s="9" t="str">
        <f>HYPERLINK("https://my.pitchbook.com?p=265918-87P","View People Online")</f>
        <v>View People Online</v>
      </c>
    </row>
    <row r="944">
      <c r="A944" s="2" t="s">
        <v>6882</v>
      </c>
      <c r="B944" s="2" t="s">
        <v>6883</v>
      </c>
      <c r="C944" s="2" t="s">
        <v>6333</v>
      </c>
      <c r="D944" s="2" t="s">
        <v>2457</v>
      </c>
      <c r="E944" s="2" t="s">
        <v>6877</v>
      </c>
      <c r="F944" s="2" t="s">
        <v>120</v>
      </c>
      <c r="G944" s="2" t="s">
        <v>6884</v>
      </c>
      <c r="H944" s="3" t="s">
        <v>31</v>
      </c>
      <c r="I944" s="3">
        <v>1.0</v>
      </c>
      <c r="J944" s="3">
        <v>1.0</v>
      </c>
      <c r="K944" s="3" t="s">
        <v>31</v>
      </c>
      <c r="L944" s="4" t="s">
        <v>6885</v>
      </c>
      <c r="M944" s="2" t="s">
        <v>31</v>
      </c>
      <c r="N944" s="2" t="s">
        <v>1442</v>
      </c>
      <c r="O944" s="4" t="s">
        <v>1443</v>
      </c>
      <c r="P944" s="2" t="s">
        <v>6886</v>
      </c>
      <c r="Q944" s="2" t="s">
        <v>6887</v>
      </c>
      <c r="R944" s="2" t="s">
        <v>1277</v>
      </c>
      <c r="S944" s="4" t="s">
        <v>6888</v>
      </c>
      <c r="T944" s="2" t="s">
        <v>66</v>
      </c>
      <c r="U944" s="4" t="s">
        <v>31</v>
      </c>
      <c r="V944" s="2" t="s">
        <v>6889</v>
      </c>
      <c r="W944" s="2" t="s">
        <v>6877</v>
      </c>
      <c r="X944" s="5" t="str">
        <f>HYPERLINK("https://my.pitchbook.com?p=174922-84P","View People Online")</f>
        <v>View People Online</v>
      </c>
    </row>
    <row r="945">
      <c r="A945" s="14" t="s">
        <v>6890</v>
      </c>
      <c r="B945" s="14" t="s">
        <v>6891</v>
      </c>
      <c r="C945" s="14" t="s">
        <v>6892</v>
      </c>
      <c r="D945" s="14" t="s">
        <v>6893</v>
      </c>
      <c r="E945" s="14" t="s">
        <v>6877</v>
      </c>
      <c r="F945" s="14" t="s">
        <v>189</v>
      </c>
      <c r="G945" s="14" t="s">
        <v>6894</v>
      </c>
      <c r="H945" s="15" t="s">
        <v>31</v>
      </c>
      <c r="I945" s="15">
        <v>1.0</v>
      </c>
      <c r="J945" s="15">
        <v>1.0</v>
      </c>
      <c r="K945" s="15" t="s">
        <v>31</v>
      </c>
      <c r="L945" s="16" t="s">
        <v>6885</v>
      </c>
      <c r="M945" s="14" t="s">
        <v>6895</v>
      </c>
      <c r="N945" s="14" t="s">
        <v>1442</v>
      </c>
      <c r="O945" s="16" t="s">
        <v>1443</v>
      </c>
      <c r="P945" s="14" t="s">
        <v>6886</v>
      </c>
      <c r="Q945" s="14" t="s">
        <v>6887</v>
      </c>
      <c r="R945" s="14" t="s">
        <v>1277</v>
      </c>
      <c r="S945" s="16" t="s">
        <v>6888</v>
      </c>
      <c r="T945" s="14" t="s">
        <v>66</v>
      </c>
      <c r="U945" s="16" t="s">
        <v>31</v>
      </c>
      <c r="V945" s="14" t="s">
        <v>6896</v>
      </c>
      <c r="W945" s="14" t="s">
        <v>6877</v>
      </c>
      <c r="X945" s="17" t="str">
        <f>HYPERLINK("https://my.pitchbook.com?p=331507-54P","View People Online")</f>
        <v>View People Online</v>
      </c>
    </row>
    <row r="946">
      <c r="A946" s="2" t="s">
        <v>6897</v>
      </c>
      <c r="B946" s="2" t="s">
        <v>6898</v>
      </c>
      <c r="C946" s="2" t="s">
        <v>6899</v>
      </c>
      <c r="D946" s="2" t="s">
        <v>6900</v>
      </c>
      <c r="E946" s="2" t="s">
        <v>6877</v>
      </c>
      <c r="F946" s="2" t="s">
        <v>6901</v>
      </c>
      <c r="G946" s="2" t="s">
        <v>6902</v>
      </c>
      <c r="H946" s="3" t="s">
        <v>31</v>
      </c>
      <c r="I946" s="3">
        <v>1.0</v>
      </c>
      <c r="J946" s="3">
        <v>1.0</v>
      </c>
      <c r="K946" s="3" t="s">
        <v>31</v>
      </c>
      <c r="L946" s="4" t="s">
        <v>6885</v>
      </c>
      <c r="M946" s="2" t="s">
        <v>6903</v>
      </c>
      <c r="N946" s="2" t="s">
        <v>1442</v>
      </c>
      <c r="O946" s="4" t="s">
        <v>1443</v>
      </c>
      <c r="P946" s="2" t="s">
        <v>6886</v>
      </c>
      <c r="Q946" s="2" t="s">
        <v>6887</v>
      </c>
      <c r="R946" s="2" t="s">
        <v>1277</v>
      </c>
      <c r="S946" s="4" t="s">
        <v>6888</v>
      </c>
      <c r="T946" s="2" t="s">
        <v>66</v>
      </c>
      <c r="U946" s="4" t="s">
        <v>31</v>
      </c>
      <c r="V946" s="2" t="s">
        <v>6904</v>
      </c>
      <c r="W946" s="2" t="s">
        <v>6877</v>
      </c>
      <c r="X946" s="5" t="str">
        <f>HYPERLINK("https://my.pitchbook.com?p=287227-81P","View People Online")</f>
        <v>View People Online</v>
      </c>
    </row>
    <row r="947">
      <c r="A947" s="6" t="s">
        <v>6905</v>
      </c>
      <c r="B947" s="6" t="s">
        <v>6906</v>
      </c>
      <c r="C947" s="6" t="s">
        <v>285</v>
      </c>
      <c r="D947" s="6" t="s">
        <v>6907</v>
      </c>
      <c r="E947" s="6" t="s">
        <v>6877</v>
      </c>
      <c r="F947" s="6" t="s">
        <v>120</v>
      </c>
      <c r="G947" s="6" t="s">
        <v>6908</v>
      </c>
      <c r="H947" s="7" t="s">
        <v>31</v>
      </c>
      <c r="I947" s="7">
        <v>3.0</v>
      </c>
      <c r="J947" s="7">
        <v>2.0</v>
      </c>
      <c r="K947" s="7" t="s">
        <v>31</v>
      </c>
      <c r="L947" s="8" t="s">
        <v>31</v>
      </c>
      <c r="M947" s="6" t="s">
        <v>6909</v>
      </c>
      <c r="N947" s="6" t="s">
        <v>1277</v>
      </c>
      <c r="O947" s="8" t="s">
        <v>1278</v>
      </c>
      <c r="P947" s="6" t="s">
        <v>31</v>
      </c>
      <c r="Q947" s="6" t="s">
        <v>31</v>
      </c>
      <c r="R947" s="6" t="s">
        <v>1281</v>
      </c>
      <c r="S947" s="8" t="s">
        <v>31</v>
      </c>
      <c r="T947" s="6" t="s">
        <v>66</v>
      </c>
      <c r="U947" s="8" t="s">
        <v>31</v>
      </c>
      <c r="V947" s="6" t="s">
        <v>57</v>
      </c>
      <c r="W947" s="6" t="s">
        <v>6910</v>
      </c>
      <c r="X947" s="9" t="str">
        <f>HYPERLINK("https://my.pitchbook.com?p=210579-22P","View People Online")</f>
        <v>View People Online</v>
      </c>
    </row>
    <row r="948">
      <c r="A948" s="10" t="s">
        <v>6911</v>
      </c>
      <c r="B948" s="10" t="s">
        <v>6912</v>
      </c>
      <c r="C948" s="10" t="s">
        <v>6913</v>
      </c>
      <c r="D948" s="10" t="s">
        <v>3775</v>
      </c>
      <c r="E948" s="10" t="s">
        <v>6877</v>
      </c>
      <c r="F948" s="10" t="s">
        <v>71</v>
      </c>
      <c r="G948" s="10" t="s">
        <v>6914</v>
      </c>
      <c r="H948" s="11" t="s">
        <v>31</v>
      </c>
      <c r="I948" s="11">
        <v>9.0</v>
      </c>
      <c r="J948" s="11">
        <v>1.0</v>
      </c>
      <c r="K948" s="11">
        <v>1.0</v>
      </c>
      <c r="L948" s="12" t="s">
        <v>6885</v>
      </c>
      <c r="M948" s="10" t="s">
        <v>6915</v>
      </c>
      <c r="N948" s="10" t="s">
        <v>1442</v>
      </c>
      <c r="O948" s="12" t="s">
        <v>1443</v>
      </c>
      <c r="P948" s="10" t="s">
        <v>6886</v>
      </c>
      <c r="Q948" s="10" t="s">
        <v>6887</v>
      </c>
      <c r="R948" s="10" t="s">
        <v>1277</v>
      </c>
      <c r="S948" s="12" t="s">
        <v>6888</v>
      </c>
      <c r="T948" s="10" t="s">
        <v>66</v>
      </c>
      <c r="U948" s="12" t="s">
        <v>31</v>
      </c>
      <c r="V948" s="10" t="s">
        <v>71</v>
      </c>
      <c r="W948" s="10" t="s">
        <v>6877</v>
      </c>
      <c r="X948" s="13" t="str">
        <f>HYPERLINK("https://my.pitchbook.com?p=173929-51P","View People Online")</f>
        <v>View People Online</v>
      </c>
    </row>
    <row r="949">
      <c r="A949" s="14" t="s">
        <v>6916</v>
      </c>
      <c r="B949" s="14" t="s">
        <v>6917</v>
      </c>
      <c r="C949" s="14" t="s">
        <v>823</v>
      </c>
      <c r="D949" s="14" t="s">
        <v>6918</v>
      </c>
      <c r="E949" s="14" t="s">
        <v>6877</v>
      </c>
      <c r="F949" s="14" t="s">
        <v>114</v>
      </c>
      <c r="G949" s="14" t="s">
        <v>6919</v>
      </c>
      <c r="H949" s="15">
        <v>1.0</v>
      </c>
      <c r="I949" s="15">
        <v>6.0</v>
      </c>
      <c r="J949" s="15">
        <v>3.0</v>
      </c>
      <c r="K949" s="15">
        <v>1.0</v>
      </c>
      <c r="L949" s="16" t="s">
        <v>6920</v>
      </c>
      <c r="M949" s="14" t="s">
        <v>6921</v>
      </c>
      <c r="N949" s="14" t="s">
        <v>6922</v>
      </c>
      <c r="O949" s="16" t="s">
        <v>6923</v>
      </c>
      <c r="P949" s="14" t="s">
        <v>6924</v>
      </c>
      <c r="Q949" s="14" t="s">
        <v>6925</v>
      </c>
      <c r="R949" s="14" t="s">
        <v>6926</v>
      </c>
      <c r="S949" s="16" t="s">
        <v>6927</v>
      </c>
      <c r="T949" s="14" t="s">
        <v>66</v>
      </c>
      <c r="U949" s="16" t="s">
        <v>31</v>
      </c>
      <c r="V949" s="14" t="s">
        <v>196</v>
      </c>
      <c r="W949" s="14" t="s">
        <v>6928</v>
      </c>
      <c r="X949" s="17" t="str">
        <f>HYPERLINK("https://my.pitchbook.com?p=262882-00P","View People Online")</f>
        <v>View People Online</v>
      </c>
    </row>
    <row r="950">
      <c r="A950" s="2" t="s">
        <v>6929</v>
      </c>
      <c r="B950" s="2" t="s">
        <v>6930</v>
      </c>
      <c r="C950" s="2" t="s">
        <v>6931</v>
      </c>
      <c r="D950" s="2" t="s">
        <v>6932</v>
      </c>
      <c r="E950" s="2" t="s">
        <v>6877</v>
      </c>
      <c r="F950" s="2" t="s">
        <v>114</v>
      </c>
      <c r="G950" s="2" t="s">
        <v>6933</v>
      </c>
      <c r="H950" s="3">
        <v>1.0</v>
      </c>
      <c r="I950" s="3">
        <v>12.0</v>
      </c>
      <c r="J950" s="3">
        <v>3.0</v>
      </c>
      <c r="K950" s="3">
        <v>6.0</v>
      </c>
      <c r="L950" s="4" t="s">
        <v>31</v>
      </c>
      <c r="M950" s="2" t="s">
        <v>6934</v>
      </c>
      <c r="N950" s="2" t="s">
        <v>243</v>
      </c>
      <c r="O950" s="4" t="s">
        <v>244</v>
      </c>
      <c r="P950" s="2" t="s">
        <v>31</v>
      </c>
      <c r="Q950" s="2" t="s">
        <v>31</v>
      </c>
      <c r="R950" s="2" t="s">
        <v>247</v>
      </c>
      <c r="S950" s="4" t="s">
        <v>31</v>
      </c>
      <c r="T950" s="2" t="s">
        <v>249</v>
      </c>
      <c r="U950" s="4" t="s">
        <v>31</v>
      </c>
      <c r="V950" s="2" t="s">
        <v>1172</v>
      </c>
      <c r="W950" s="2" t="s">
        <v>6935</v>
      </c>
      <c r="X950" s="5" t="str">
        <f>HYPERLINK("https://my.pitchbook.com?p=88009-66P","View People Online")</f>
        <v>View People Online</v>
      </c>
    </row>
    <row r="951">
      <c r="A951" s="6" t="s">
        <v>6936</v>
      </c>
      <c r="B951" s="6" t="s">
        <v>6937</v>
      </c>
      <c r="C951" s="6" t="s">
        <v>4465</v>
      </c>
      <c r="D951" s="6" t="s">
        <v>6938</v>
      </c>
      <c r="E951" s="6" t="s">
        <v>6877</v>
      </c>
      <c r="F951" s="6" t="s">
        <v>114</v>
      </c>
      <c r="G951" s="6" t="s">
        <v>6939</v>
      </c>
      <c r="H951" s="7">
        <v>1.0</v>
      </c>
      <c r="I951" s="7">
        <v>2.0</v>
      </c>
      <c r="J951" s="7">
        <v>2.0</v>
      </c>
      <c r="K951" s="7" t="s">
        <v>31</v>
      </c>
      <c r="L951" s="8" t="s">
        <v>6940</v>
      </c>
      <c r="M951" s="6" t="s">
        <v>6941</v>
      </c>
      <c r="N951" s="6" t="s">
        <v>1442</v>
      </c>
      <c r="O951" s="8" t="s">
        <v>1443</v>
      </c>
      <c r="P951" s="6" t="s">
        <v>6942</v>
      </c>
      <c r="Q951" s="6" t="s">
        <v>6943</v>
      </c>
      <c r="R951" s="6" t="s">
        <v>1277</v>
      </c>
      <c r="S951" s="8" t="s">
        <v>5208</v>
      </c>
      <c r="T951" s="6" t="s">
        <v>66</v>
      </c>
      <c r="U951" s="8" t="s">
        <v>31</v>
      </c>
      <c r="V951" s="6" t="s">
        <v>1384</v>
      </c>
      <c r="W951" s="6" t="s">
        <v>6944</v>
      </c>
      <c r="X951" s="9" t="str">
        <f>HYPERLINK("https://my.pitchbook.com?p=100610-47P","View People Online")</f>
        <v>View People Online</v>
      </c>
    </row>
    <row r="952">
      <c r="A952" s="10" t="s">
        <v>6945</v>
      </c>
      <c r="B952" s="10" t="s">
        <v>6946</v>
      </c>
      <c r="C952" s="10" t="s">
        <v>2288</v>
      </c>
      <c r="D952" s="10" t="s">
        <v>6947</v>
      </c>
      <c r="E952" s="10" t="s">
        <v>6877</v>
      </c>
      <c r="F952" s="10" t="s">
        <v>120</v>
      </c>
      <c r="G952" s="10" t="s">
        <v>6948</v>
      </c>
      <c r="H952" s="11" t="s">
        <v>31</v>
      </c>
      <c r="I952" s="11">
        <v>2.0</v>
      </c>
      <c r="J952" s="11">
        <v>1.0</v>
      </c>
      <c r="K952" s="11">
        <v>1.0</v>
      </c>
      <c r="L952" s="12" t="s">
        <v>6949</v>
      </c>
      <c r="M952" s="10" t="s">
        <v>6950</v>
      </c>
      <c r="N952" s="10" t="s">
        <v>1442</v>
      </c>
      <c r="O952" s="12" t="s">
        <v>1443</v>
      </c>
      <c r="P952" s="10" t="s">
        <v>6886</v>
      </c>
      <c r="Q952" s="10" t="s">
        <v>6887</v>
      </c>
      <c r="R952" s="10" t="s">
        <v>1277</v>
      </c>
      <c r="S952" s="12" t="s">
        <v>6888</v>
      </c>
      <c r="T952" s="10" t="s">
        <v>66</v>
      </c>
      <c r="U952" s="12" t="s">
        <v>31</v>
      </c>
      <c r="V952" s="10" t="s">
        <v>120</v>
      </c>
      <c r="W952" s="10" t="s">
        <v>6877</v>
      </c>
      <c r="X952" s="13" t="str">
        <f>HYPERLINK("https://my.pitchbook.com?p=43683-13P","View People Online")</f>
        <v>View People Online</v>
      </c>
    </row>
    <row r="953">
      <c r="A953" s="14" t="s">
        <v>6951</v>
      </c>
      <c r="B953" s="14" t="s">
        <v>6952</v>
      </c>
      <c r="C953" s="14" t="s">
        <v>126</v>
      </c>
      <c r="D953" s="14" t="s">
        <v>6953</v>
      </c>
      <c r="E953" s="14" t="s">
        <v>6877</v>
      </c>
      <c r="F953" s="14" t="s">
        <v>29</v>
      </c>
      <c r="G953" s="14" t="s">
        <v>6954</v>
      </c>
      <c r="H953" s="15" t="s">
        <v>31</v>
      </c>
      <c r="I953" s="15">
        <v>2.0</v>
      </c>
      <c r="J953" s="15">
        <v>1.0</v>
      </c>
      <c r="K953" s="15" t="s">
        <v>31</v>
      </c>
      <c r="L953" s="16" t="s">
        <v>6885</v>
      </c>
      <c r="M953" s="14" t="s">
        <v>31</v>
      </c>
      <c r="N953" s="14" t="s">
        <v>1442</v>
      </c>
      <c r="O953" s="16" t="s">
        <v>1443</v>
      </c>
      <c r="P953" s="14" t="s">
        <v>6886</v>
      </c>
      <c r="Q953" s="14" t="s">
        <v>6887</v>
      </c>
      <c r="R953" s="14" t="s">
        <v>1277</v>
      </c>
      <c r="S953" s="16" t="s">
        <v>6888</v>
      </c>
      <c r="T953" s="14" t="s">
        <v>66</v>
      </c>
      <c r="U953" s="16" t="s">
        <v>31</v>
      </c>
      <c r="V953" s="14" t="s">
        <v>6955</v>
      </c>
      <c r="W953" s="14" t="s">
        <v>6877</v>
      </c>
      <c r="X953" s="17" t="str">
        <f>HYPERLINK("https://my.pitchbook.com?p=422226-19P","View People Online")</f>
        <v>View People Online</v>
      </c>
    </row>
    <row r="954">
      <c r="A954" s="2" t="s">
        <v>6956</v>
      </c>
      <c r="B954" s="2" t="s">
        <v>6957</v>
      </c>
      <c r="C954" s="2" t="s">
        <v>5178</v>
      </c>
      <c r="D954" s="2" t="s">
        <v>2469</v>
      </c>
      <c r="E954" s="2" t="s">
        <v>6877</v>
      </c>
      <c r="F954" s="2" t="s">
        <v>674</v>
      </c>
      <c r="G954" s="2" t="s">
        <v>6958</v>
      </c>
      <c r="H954" s="3" t="s">
        <v>31</v>
      </c>
      <c r="I954" s="3">
        <v>1.0</v>
      </c>
      <c r="J954" s="3">
        <v>1.0</v>
      </c>
      <c r="K954" s="3" t="s">
        <v>31</v>
      </c>
      <c r="L954" s="4" t="s">
        <v>31</v>
      </c>
      <c r="M954" s="2" t="s">
        <v>6959</v>
      </c>
      <c r="N954" s="2" t="s">
        <v>6960</v>
      </c>
      <c r="O954" s="4" t="s">
        <v>6961</v>
      </c>
      <c r="P954" s="2" t="s">
        <v>31</v>
      </c>
      <c r="Q954" s="2" t="s">
        <v>31</v>
      </c>
      <c r="R954" s="2" t="s">
        <v>31</v>
      </c>
      <c r="S954" s="4" t="s">
        <v>31</v>
      </c>
      <c r="T954" s="2" t="s">
        <v>6962</v>
      </c>
      <c r="U954" s="4" t="s">
        <v>31</v>
      </c>
      <c r="V954" s="2" t="s">
        <v>6963</v>
      </c>
      <c r="W954" s="2" t="s">
        <v>6877</v>
      </c>
      <c r="X954" s="5" t="str">
        <f>HYPERLINK("https://my.pitchbook.com?p=121884-76P","View People Online")</f>
        <v>View People Online</v>
      </c>
    </row>
    <row r="955">
      <c r="A955" s="14" t="s">
        <v>6964</v>
      </c>
      <c r="B955" s="14" t="s">
        <v>6965</v>
      </c>
      <c r="C955" s="14" t="s">
        <v>6966</v>
      </c>
      <c r="D955" s="14" t="s">
        <v>6967</v>
      </c>
      <c r="E955" s="14" t="s">
        <v>6877</v>
      </c>
      <c r="F955" s="14" t="s">
        <v>114</v>
      </c>
      <c r="G955" s="14" t="s">
        <v>6968</v>
      </c>
      <c r="H955" s="15" t="s">
        <v>31</v>
      </c>
      <c r="I955" s="15">
        <v>2.0</v>
      </c>
      <c r="J955" s="15">
        <v>2.0</v>
      </c>
      <c r="K955" s="15" t="s">
        <v>31</v>
      </c>
      <c r="L955" s="16" t="s">
        <v>31</v>
      </c>
      <c r="M955" s="14" t="s">
        <v>6969</v>
      </c>
      <c r="N955" s="14" t="s">
        <v>75</v>
      </c>
      <c r="O955" s="16" t="s">
        <v>76</v>
      </c>
      <c r="P955" s="14" t="s">
        <v>31</v>
      </c>
      <c r="Q955" s="14" t="s">
        <v>31</v>
      </c>
      <c r="R955" s="14" t="s">
        <v>75</v>
      </c>
      <c r="S955" s="16" t="s">
        <v>31</v>
      </c>
      <c r="T955" s="14" t="s">
        <v>66</v>
      </c>
      <c r="U955" s="16" t="s">
        <v>31</v>
      </c>
      <c r="V955" s="14" t="s">
        <v>6970</v>
      </c>
      <c r="W955" s="14" t="s">
        <v>6881</v>
      </c>
      <c r="X955" s="17" t="str">
        <f>HYPERLINK("https://my.pitchbook.com?p=323801-02P","View People Online")</f>
        <v>View People Online</v>
      </c>
    </row>
    <row r="956">
      <c r="A956" s="2" t="s">
        <v>6971</v>
      </c>
      <c r="B956" s="2" t="s">
        <v>6972</v>
      </c>
      <c r="C956" s="2" t="s">
        <v>6973</v>
      </c>
      <c r="D956" s="2" t="s">
        <v>6974</v>
      </c>
      <c r="E956" s="2" t="s">
        <v>6877</v>
      </c>
      <c r="F956" s="2" t="s">
        <v>1544</v>
      </c>
      <c r="G956" s="2" t="s">
        <v>6975</v>
      </c>
      <c r="H956" s="3" t="s">
        <v>31</v>
      </c>
      <c r="I956" s="3">
        <v>2.0</v>
      </c>
      <c r="J956" s="3">
        <v>1.0</v>
      </c>
      <c r="K956" s="3" t="s">
        <v>31</v>
      </c>
      <c r="L956" s="4" t="s">
        <v>6885</v>
      </c>
      <c r="M956" s="2" t="s">
        <v>6976</v>
      </c>
      <c r="N956" s="2" t="s">
        <v>1442</v>
      </c>
      <c r="O956" s="4" t="s">
        <v>1443</v>
      </c>
      <c r="P956" s="2" t="s">
        <v>6886</v>
      </c>
      <c r="Q956" s="2" t="s">
        <v>6887</v>
      </c>
      <c r="R956" s="2" t="s">
        <v>1277</v>
      </c>
      <c r="S956" s="4" t="s">
        <v>6888</v>
      </c>
      <c r="T956" s="2" t="s">
        <v>66</v>
      </c>
      <c r="U956" s="4" t="s">
        <v>31</v>
      </c>
      <c r="V956" s="2" t="s">
        <v>6977</v>
      </c>
      <c r="W956" s="2" t="s">
        <v>6877</v>
      </c>
      <c r="X956" s="5" t="str">
        <f>HYPERLINK("https://my.pitchbook.com?p=331504-39P","View People Online")</f>
        <v>View People Online</v>
      </c>
    </row>
    <row r="957">
      <c r="A957" s="6" t="s">
        <v>6978</v>
      </c>
      <c r="B957" s="6" t="s">
        <v>6979</v>
      </c>
      <c r="C957" s="6" t="s">
        <v>6199</v>
      </c>
      <c r="D957" s="6" t="s">
        <v>6980</v>
      </c>
      <c r="E957" s="6" t="s">
        <v>6877</v>
      </c>
      <c r="F957" s="6" t="s">
        <v>114</v>
      </c>
      <c r="G957" s="6" t="s">
        <v>6981</v>
      </c>
      <c r="H957" s="7" t="s">
        <v>31</v>
      </c>
      <c r="I957" s="7">
        <v>1.0</v>
      </c>
      <c r="J957" s="7">
        <v>1.0</v>
      </c>
      <c r="K957" s="7" t="s">
        <v>31</v>
      </c>
      <c r="L957" s="8" t="s">
        <v>6885</v>
      </c>
      <c r="M957" s="6" t="s">
        <v>31</v>
      </c>
      <c r="N957" s="6" t="s">
        <v>1442</v>
      </c>
      <c r="O957" s="8" t="s">
        <v>1443</v>
      </c>
      <c r="P957" s="6" t="s">
        <v>6886</v>
      </c>
      <c r="Q957" s="6" t="s">
        <v>6887</v>
      </c>
      <c r="R957" s="6" t="s">
        <v>1277</v>
      </c>
      <c r="S957" s="8" t="s">
        <v>6888</v>
      </c>
      <c r="T957" s="6" t="s">
        <v>66</v>
      </c>
      <c r="U957" s="8" t="s">
        <v>31</v>
      </c>
      <c r="V957" s="6" t="s">
        <v>6982</v>
      </c>
      <c r="W957" s="6" t="s">
        <v>6877</v>
      </c>
      <c r="X957" s="9" t="str">
        <f>HYPERLINK("https://my.pitchbook.com?p=331516-81P","View People Online")</f>
        <v>View People Online</v>
      </c>
    </row>
    <row r="958">
      <c r="A958" s="10" t="s">
        <v>6983</v>
      </c>
      <c r="B958" s="10" t="s">
        <v>6984</v>
      </c>
      <c r="C958" s="10" t="s">
        <v>6985</v>
      </c>
      <c r="D958" s="10" t="s">
        <v>6986</v>
      </c>
      <c r="E958" s="10" t="s">
        <v>6877</v>
      </c>
      <c r="F958" s="10" t="s">
        <v>674</v>
      </c>
      <c r="G958" s="10" t="s">
        <v>6987</v>
      </c>
      <c r="H958" s="11">
        <v>2.0</v>
      </c>
      <c r="I958" s="11">
        <v>18.0</v>
      </c>
      <c r="J958" s="11">
        <v>1.0</v>
      </c>
      <c r="K958" s="11">
        <v>6.0</v>
      </c>
      <c r="L958" s="12" t="s">
        <v>6885</v>
      </c>
      <c r="M958" s="10" t="s">
        <v>6988</v>
      </c>
      <c r="N958" s="10" t="s">
        <v>1442</v>
      </c>
      <c r="O958" s="12" t="s">
        <v>1443</v>
      </c>
      <c r="P958" s="10" t="s">
        <v>6886</v>
      </c>
      <c r="Q958" s="10" t="s">
        <v>6887</v>
      </c>
      <c r="R958" s="10" t="s">
        <v>1277</v>
      </c>
      <c r="S958" s="12" t="s">
        <v>6888</v>
      </c>
      <c r="T958" s="10" t="s">
        <v>66</v>
      </c>
      <c r="U958" s="12" t="s">
        <v>31</v>
      </c>
      <c r="V958" s="10" t="s">
        <v>674</v>
      </c>
      <c r="W958" s="10" t="s">
        <v>6877</v>
      </c>
      <c r="X958" s="13" t="str">
        <f>HYPERLINK("https://my.pitchbook.com?p=138527-74P","View People Online")</f>
        <v>View People Online</v>
      </c>
    </row>
    <row r="959">
      <c r="A959" s="6" t="s">
        <v>6989</v>
      </c>
      <c r="B959" s="6" t="s">
        <v>6990</v>
      </c>
      <c r="C959" s="6" t="s">
        <v>1697</v>
      </c>
      <c r="D959" s="6" t="s">
        <v>6991</v>
      </c>
      <c r="E959" s="6" t="s">
        <v>6877</v>
      </c>
      <c r="F959" s="6" t="s">
        <v>1283</v>
      </c>
      <c r="G959" s="6" t="s">
        <v>6992</v>
      </c>
      <c r="H959" s="7" t="s">
        <v>31</v>
      </c>
      <c r="I959" s="7">
        <v>2.0</v>
      </c>
      <c r="J959" s="7">
        <v>2.0</v>
      </c>
      <c r="K959" s="7" t="s">
        <v>31</v>
      </c>
      <c r="L959" s="8" t="s">
        <v>6885</v>
      </c>
      <c r="M959" s="6" t="s">
        <v>31</v>
      </c>
      <c r="N959" s="6" t="s">
        <v>1442</v>
      </c>
      <c r="O959" s="8" t="s">
        <v>1443</v>
      </c>
      <c r="P959" s="6" t="s">
        <v>6886</v>
      </c>
      <c r="Q959" s="6" t="s">
        <v>6887</v>
      </c>
      <c r="R959" s="6" t="s">
        <v>1277</v>
      </c>
      <c r="S959" s="8" t="s">
        <v>6888</v>
      </c>
      <c r="T959" s="6" t="s">
        <v>66</v>
      </c>
      <c r="U959" s="8" t="s">
        <v>31</v>
      </c>
      <c r="V959" s="6" t="s">
        <v>6993</v>
      </c>
      <c r="W959" s="6" t="s">
        <v>6877</v>
      </c>
      <c r="X959" s="9" t="str">
        <f>HYPERLINK("https://my.pitchbook.com?p=133470-28P","View People Online")</f>
        <v>View People Online</v>
      </c>
    </row>
    <row r="960">
      <c r="A960" s="2" t="s">
        <v>6994</v>
      </c>
      <c r="B960" s="2" t="s">
        <v>6995</v>
      </c>
      <c r="C960" s="2" t="s">
        <v>1437</v>
      </c>
      <c r="D960" s="2" t="s">
        <v>6913</v>
      </c>
      <c r="E960" s="2" t="s">
        <v>6996</v>
      </c>
      <c r="F960" s="2" t="s">
        <v>6997</v>
      </c>
      <c r="G960" s="2" t="s">
        <v>6998</v>
      </c>
      <c r="H960" s="3" t="s">
        <v>31</v>
      </c>
      <c r="I960" s="3">
        <v>2.0</v>
      </c>
      <c r="J960" s="3">
        <v>1.0</v>
      </c>
      <c r="K960" s="3" t="s">
        <v>31</v>
      </c>
      <c r="L960" s="4" t="s">
        <v>6999</v>
      </c>
      <c r="M960" s="2" t="s">
        <v>7000</v>
      </c>
      <c r="N960" s="2" t="s">
        <v>7001</v>
      </c>
      <c r="O960" s="4" t="s">
        <v>7002</v>
      </c>
      <c r="P960" s="2" t="s">
        <v>7003</v>
      </c>
      <c r="Q960" s="2" t="s">
        <v>31</v>
      </c>
      <c r="R960" s="2" t="s">
        <v>7004</v>
      </c>
      <c r="S960" s="4" t="s">
        <v>7005</v>
      </c>
      <c r="T960" s="2" t="s">
        <v>66</v>
      </c>
      <c r="U960" s="4" t="s">
        <v>31</v>
      </c>
      <c r="V960" s="2" t="s">
        <v>7006</v>
      </c>
      <c r="W960" s="2" t="s">
        <v>6996</v>
      </c>
      <c r="X960" s="5" t="str">
        <f>HYPERLINK("https://my.pitchbook.com?p=179914-78P","View People Online")</f>
        <v>View People Online</v>
      </c>
    </row>
    <row r="961">
      <c r="A961" s="6" t="s">
        <v>7007</v>
      </c>
      <c r="B961" s="6" t="s">
        <v>7008</v>
      </c>
      <c r="C961" s="6" t="s">
        <v>1449</v>
      </c>
      <c r="D961" s="6" t="s">
        <v>7009</v>
      </c>
      <c r="E961" s="6" t="s">
        <v>6996</v>
      </c>
      <c r="F961" s="6" t="s">
        <v>371</v>
      </c>
      <c r="G961" s="6" t="s">
        <v>7010</v>
      </c>
      <c r="H961" s="7" t="s">
        <v>31</v>
      </c>
      <c r="I961" s="7">
        <v>1.0</v>
      </c>
      <c r="J961" s="7">
        <v>1.0</v>
      </c>
      <c r="K961" s="7" t="s">
        <v>31</v>
      </c>
      <c r="L961" s="8" t="s">
        <v>6999</v>
      </c>
      <c r="M961" s="6" t="s">
        <v>7011</v>
      </c>
      <c r="N961" s="6" t="s">
        <v>7001</v>
      </c>
      <c r="O961" s="8" t="s">
        <v>7002</v>
      </c>
      <c r="P961" s="6" t="s">
        <v>7003</v>
      </c>
      <c r="Q961" s="6" t="s">
        <v>31</v>
      </c>
      <c r="R961" s="6" t="s">
        <v>7004</v>
      </c>
      <c r="S961" s="8" t="s">
        <v>7005</v>
      </c>
      <c r="T961" s="6" t="s">
        <v>66</v>
      </c>
      <c r="U961" s="8" t="s">
        <v>31</v>
      </c>
      <c r="V961" s="6" t="s">
        <v>7012</v>
      </c>
      <c r="W961" s="6" t="s">
        <v>6996</v>
      </c>
      <c r="X961" s="9" t="str">
        <f>HYPERLINK("https://my.pitchbook.com?p=367185-52P","View People Online")</f>
        <v>View People Online</v>
      </c>
    </row>
    <row r="962">
      <c r="A962" s="10" t="s">
        <v>7013</v>
      </c>
      <c r="B962" s="10" t="s">
        <v>7014</v>
      </c>
      <c r="C962" s="10" t="s">
        <v>126</v>
      </c>
      <c r="D962" s="10" t="s">
        <v>7015</v>
      </c>
      <c r="E962" s="10" t="s">
        <v>6996</v>
      </c>
      <c r="F962" s="10" t="s">
        <v>1459</v>
      </c>
      <c r="G962" s="10" t="s">
        <v>7016</v>
      </c>
      <c r="H962" s="11">
        <v>1.0</v>
      </c>
      <c r="I962" s="11">
        <v>4.0</v>
      </c>
      <c r="J962" s="11">
        <v>2.0</v>
      </c>
      <c r="K962" s="11" t="s">
        <v>31</v>
      </c>
      <c r="L962" s="12" t="s">
        <v>7017</v>
      </c>
      <c r="M962" s="10" t="s">
        <v>7018</v>
      </c>
      <c r="N962" s="10" t="s">
        <v>7001</v>
      </c>
      <c r="O962" s="12" t="s">
        <v>7002</v>
      </c>
      <c r="P962" s="10" t="s">
        <v>7003</v>
      </c>
      <c r="Q962" s="10" t="s">
        <v>31</v>
      </c>
      <c r="R962" s="10" t="s">
        <v>7004</v>
      </c>
      <c r="S962" s="12" t="s">
        <v>7005</v>
      </c>
      <c r="T962" s="10" t="s">
        <v>66</v>
      </c>
      <c r="U962" s="12" t="s">
        <v>31</v>
      </c>
      <c r="V962" s="10" t="s">
        <v>1612</v>
      </c>
      <c r="W962" s="10" t="s">
        <v>6996</v>
      </c>
      <c r="X962" s="13" t="str">
        <f>HYPERLINK("https://my.pitchbook.com?p=128242-45P","View People Online")</f>
        <v>View People Online</v>
      </c>
    </row>
    <row r="963">
      <c r="A963" s="14" t="s">
        <v>7019</v>
      </c>
      <c r="B963" s="14" t="s">
        <v>7020</v>
      </c>
      <c r="C963" s="14" t="s">
        <v>126</v>
      </c>
      <c r="D963" s="14" t="s">
        <v>7021</v>
      </c>
      <c r="E963" s="14" t="s">
        <v>6996</v>
      </c>
      <c r="F963" s="14" t="s">
        <v>270</v>
      </c>
      <c r="G963" s="14" t="s">
        <v>7022</v>
      </c>
      <c r="H963" s="15" t="s">
        <v>31</v>
      </c>
      <c r="I963" s="15">
        <v>1.0</v>
      </c>
      <c r="J963" s="15">
        <v>1.0</v>
      </c>
      <c r="K963" s="15" t="s">
        <v>31</v>
      </c>
      <c r="L963" s="16" t="s">
        <v>7023</v>
      </c>
      <c r="M963" s="14" t="s">
        <v>7024</v>
      </c>
      <c r="N963" s="14" t="s">
        <v>7001</v>
      </c>
      <c r="O963" s="16" t="s">
        <v>7002</v>
      </c>
      <c r="P963" s="14" t="s">
        <v>7003</v>
      </c>
      <c r="Q963" s="14" t="s">
        <v>31</v>
      </c>
      <c r="R963" s="14" t="s">
        <v>7004</v>
      </c>
      <c r="S963" s="16" t="s">
        <v>7005</v>
      </c>
      <c r="T963" s="14" t="s">
        <v>66</v>
      </c>
      <c r="U963" s="16" t="s">
        <v>31</v>
      </c>
      <c r="V963" s="14" t="s">
        <v>7025</v>
      </c>
      <c r="W963" s="14" t="s">
        <v>6996</v>
      </c>
      <c r="X963" s="17" t="str">
        <f>HYPERLINK("https://my.pitchbook.com?p=62663-05P","View People Online")</f>
        <v>View People Online</v>
      </c>
    </row>
    <row r="964">
      <c r="A964" s="10" t="s">
        <v>7026</v>
      </c>
      <c r="B964" s="10" t="s">
        <v>7027</v>
      </c>
      <c r="C964" s="10" t="s">
        <v>7028</v>
      </c>
      <c r="D964" s="10" t="s">
        <v>7029</v>
      </c>
      <c r="E964" s="10" t="s">
        <v>6996</v>
      </c>
      <c r="F964" s="10" t="s">
        <v>7030</v>
      </c>
      <c r="G964" s="10" t="s">
        <v>7031</v>
      </c>
      <c r="H964" s="11" t="s">
        <v>31</v>
      </c>
      <c r="I964" s="11">
        <v>1.0</v>
      </c>
      <c r="J964" s="11">
        <v>1.0</v>
      </c>
      <c r="K964" s="11" t="s">
        <v>31</v>
      </c>
      <c r="L964" s="12" t="s">
        <v>7032</v>
      </c>
      <c r="M964" s="10" t="s">
        <v>7033</v>
      </c>
      <c r="N964" s="10" t="s">
        <v>7001</v>
      </c>
      <c r="O964" s="12" t="s">
        <v>7002</v>
      </c>
      <c r="P964" s="10" t="s">
        <v>7003</v>
      </c>
      <c r="Q964" s="10" t="s">
        <v>31</v>
      </c>
      <c r="R964" s="10" t="s">
        <v>7004</v>
      </c>
      <c r="S964" s="12" t="s">
        <v>7005</v>
      </c>
      <c r="T964" s="10" t="s">
        <v>66</v>
      </c>
      <c r="U964" s="12" t="s">
        <v>31</v>
      </c>
      <c r="V964" s="10" t="s">
        <v>7034</v>
      </c>
      <c r="W964" s="10" t="s">
        <v>6996</v>
      </c>
      <c r="X964" s="13" t="str">
        <f>HYPERLINK("https://my.pitchbook.com?p=59830-39P","View People Online")</f>
        <v>View People Online</v>
      </c>
    </row>
    <row r="965">
      <c r="A965" s="14" t="s">
        <v>7035</v>
      </c>
      <c r="B965" s="14" t="s">
        <v>7036</v>
      </c>
      <c r="C965" s="14" t="s">
        <v>5257</v>
      </c>
      <c r="D965" s="14" t="s">
        <v>7037</v>
      </c>
      <c r="E965" s="14" t="s">
        <v>6996</v>
      </c>
      <c r="F965" s="14" t="s">
        <v>3740</v>
      </c>
      <c r="G965" s="14" t="s">
        <v>7038</v>
      </c>
      <c r="H965" s="15" t="s">
        <v>31</v>
      </c>
      <c r="I965" s="15">
        <v>1.0</v>
      </c>
      <c r="J965" s="15">
        <v>1.0</v>
      </c>
      <c r="K965" s="15" t="s">
        <v>31</v>
      </c>
      <c r="L965" s="16" t="s">
        <v>7039</v>
      </c>
      <c r="M965" s="14" t="s">
        <v>7040</v>
      </c>
      <c r="N965" s="14" t="s">
        <v>7001</v>
      </c>
      <c r="O965" s="16" t="s">
        <v>7002</v>
      </c>
      <c r="P965" s="14" t="s">
        <v>7003</v>
      </c>
      <c r="Q965" s="14" t="s">
        <v>31</v>
      </c>
      <c r="R965" s="14" t="s">
        <v>7004</v>
      </c>
      <c r="S965" s="16" t="s">
        <v>7005</v>
      </c>
      <c r="T965" s="14" t="s">
        <v>66</v>
      </c>
      <c r="U965" s="16" t="s">
        <v>31</v>
      </c>
      <c r="V965" s="14" t="s">
        <v>3740</v>
      </c>
      <c r="W965" s="14" t="s">
        <v>6996</v>
      </c>
      <c r="X965" s="17" t="str">
        <f>HYPERLINK("https://my.pitchbook.com?p=296437-15P","View People Online")</f>
        <v>View People Online</v>
      </c>
    </row>
    <row r="966">
      <c r="A966" s="10" t="s">
        <v>7041</v>
      </c>
      <c r="B966" s="10" t="s">
        <v>7042</v>
      </c>
      <c r="C966" s="10" t="s">
        <v>149</v>
      </c>
      <c r="D966" s="10" t="s">
        <v>3040</v>
      </c>
      <c r="E966" s="10" t="s">
        <v>7043</v>
      </c>
      <c r="F966" s="10" t="s">
        <v>7044</v>
      </c>
      <c r="G966" s="10" t="s">
        <v>7045</v>
      </c>
      <c r="H966" s="11" t="s">
        <v>31</v>
      </c>
      <c r="I966" s="11">
        <v>1.0</v>
      </c>
      <c r="J966" s="11">
        <v>1.0</v>
      </c>
      <c r="K966" s="11" t="s">
        <v>31</v>
      </c>
      <c r="L966" s="12" t="s">
        <v>7046</v>
      </c>
      <c r="M966" s="10" t="s">
        <v>7047</v>
      </c>
      <c r="N966" s="10" t="s">
        <v>75</v>
      </c>
      <c r="O966" s="12" t="s">
        <v>76</v>
      </c>
      <c r="P966" s="10" t="s">
        <v>7048</v>
      </c>
      <c r="Q966" s="10" t="s">
        <v>7049</v>
      </c>
      <c r="R966" s="10" t="s">
        <v>75</v>
      </c>
      <c r="S966" s="12" t="s">
        <v>195</v>
      </c>
      <c r="T966" s="10" t="s">
        <v>66</v>
      </c>
      <c r="U966" s="12" t="s">
        <v>7050</v>
      </c>
      <c r="V966" s="10" t="s">
        <v>7051</v>
      </c>
      <c r="W966" s="10" t="s">
        <v>7043</v>
      </c>
      <c r="X966" s="13" t="str">
        <f>HYPERLINK("https://my.pitchbook.com?p=249756-67P","View People Online")</f>
        <v>View People Online</v>
      </c>
    </row>
    <row r="967">
      <c r="A967" s="14" t="s">
        <v>7052</v>
      </c>
      <c r="B967" s="14" t="s">
        <v>7053</v>
      </c>
      <c r="C967" s="14" t="s">
        <v>7054</v>
      </c>
      <c r="D967" s="14" t="s">
        <v>5302</v>
      </c>
      <c r="E967" s="14" t="s">
        <v>7043</v>
      </c>
      <c r="F967" s="14" t="s">
        <v>7055</v>
      </c>
      <c r="G967" s="14" t="s">
        <v>7056</v>
      </c>
      <c r="H967" s="15" t="s">
        <v>31</v>
      </c>
      <c r="I967" s="15">
        <v>1.0</v>
      </c>
      <c r="J967" s="15">
        <v>1.0</v>
      </c>
      <c r="K967" s="15" t="s">
        <v>31</v>
      </c>
      <c r="L967" s="16" t="s">
        <v>7046</v>
      </c>
      <c r="M967" s="14" t="s">
        <v>7057</v>
      </c>
      <c r="N967" s="14" t="s">
        <v>75</v>
      </c>
      <c r="O967" s="16" t="s">
        <v>76</v>
      </c>
      <c r="P967" s="14" t="s">
        <v>7048</v>
      </c>
      <c r="Q967" s="14" t="s">
        <v>7049</v>
      </c>
      <c r="R967" s="14" t="s">
        <v>75</v>
      </c>
      <c r="S967" s="16" t="s">
        <v>195</v>
      </c>
      <c r="T967" s="14" t="s">
        <v>66</v>
      </c>
      <c r="U967" s="16" t="s">
        <v>7050</v>
      </c>
      <c r="V967" s="14" t="s">
        <v>7058</v>
      </c>
      <c r="W967" s="14" t="s">
        <v>7043</v>
      </c>
      <c r="X967" s="17" t="str">
        <f>HYPERLINK("https://my.pitchbook.com?p=249758-02P","View People Online")</f>
        <v>View People Online</v>
      </c>
    </row>
    <row r="968">
      <c r="A968" s="10" t="s">
        <v>7059</v>
      </c>
      <c r="B968" s="10" t="s">
        <v>7060</v>
      </c>
      <c r="C968" s="10" t="s">
        <v>69</v>
      </c>
      <c r="D968" s="10" t="s">
        <v>7061</v>
      </c>
      <c r="E968" s="10" t="s">
        <v>7043</v>
      </c>
      <c r="F968" s="10" t="s">
        <v>7062</v>
      </c>
      <c r="G968" s="10" t="s">
        <v>7063</v>
      </c>
      <c r="H968" s="11" t="s">
        <v>31</v>
      </c>
      <c r="I968" s="11">
        <v>1.0</v>
      </c>
      <c r="J968" s="11">
        <v>1.0</v>
      </c>
      <c r="K968" s="11" t="s">
        <v>31</v>
      </c>
      <c r="L968" s="12" t="s">
        <v>7046</v>
      </c>
      <c r="M968" s="10" t="s">
        <v>7064</v>
      </c>
      <c r="N968" s="10" t="s">
        <v>75</v>
      </c>
      <c r="O968" s="12" t="s">
        <v>76</v>
      </c>
      <c r="P968" s="10" t="s">
        <v>7048</v>
      </c>
      <c r="Q968" s="10" t="s">
        <v>7049</v>
      </c>
      <c r="R968" s="10" t="s">
        <v>75</v>
      </c>
      <c r="S968" s="12" t="s">
        <v>195</v>
      </c>
      <c r="T968" s="10" t="s">
        <v>66</v>
      </c>
      <c r="U968" s="12" t="s">
        <v>7050</v>
      </c>
      <c r="V968" s="10" t="s">
        <v>7065</v>
      </c>
      <c r="W968" s="10" t="s">
        <v>7043</v>
      </c>
      <c r="X968" s="13" t="str">
        <f>HYPERLINK("https://my.pitchbook.com?p=316379-89P","View People Online")</f>
        <v>View People Online</v>
      </c>
    </row>
    <row r="969">
      <c r="A969" s="14" t="s">
        <v>7066</v>
      </c>
      <c r="B969" s="14" t="s">
        <v>7067</v>
      </c>
      <c r="C969" s="14" t="s">
        <v>1449</v>
      </c>
      <c r="D969" s="14" t="s">
        <v>7068</v>
      </c>
      <c r="E969" s="14" t="s">
        <v>7043</v>
      </c>
      <c r="F969" s="14" t="s">
        <v>825</v>
      </c>
      <c r="G969" s="14" t="s">
        <v>7069</v>
      </c>
      <c r="H969" s="15" t="s">
        <v>31</v>
      </c>
      <c r="I969" s="15">
        <v>1.0</v>
      </c>
      <c r="J969" s="15">
        <v>1.0</v>
      </c>
      <c r="K969" s="15" t="s">
        <v>31</v>
      </c>
      <c r="L969" s="16" t="s">
        <v>7046</v>
      </c>
      <c r="M969" s="14" t="s">
        <v>7070</v>
      </c>
      <c r="N969" s="14" t="s">
        <v>75</v>
      </c>
      <c r="O969" s="16" t="s">
        <v>76</v>
      </c>
      <c r="P969" s="14" t="s">
        <v>7048</v>
      </c>
      <c r="Q969" s="14" t="s">
        <v>7049</v>
      </c>
      <c r="R969" s="14" t="s">
        <v>75</v>
      </c>
      <c r="S969" s="16" t="s">
        <v>195</v>
      </c>
      <c r="T969" s="14" t="s">
        <v>66</v>
      </c>
      <c r="U969" s="16" t="s">
        <v>7050</v>
      </c>
      <c r="V969" s="14" t="s">
        <v>7071</v>
      </c>
      <c r="W969" s="14" t="s">
        <v>7043</v>
      </c>
      <c r="X969" s="17" t="str">
        <f>HYPERLINK("https://my.pitchbook.com?p=249757-66P","View People Online")</f>
        <v>View People Online</v>
      </c>
    </row>
    <row r="970">
      <c r="A970" s="2" t="s">
        <v>7072</v>
      </c>
      <c r="B970" s="2" t="s">
        <v>7073</v>
      </c>
      <c r="C970" s="2" t="s">
        <v>3529</v>
      </c>
      <c r="D970" s="2" t="s">
        <v>7074</v>
      </c>
      <c r="E970" s="2" t="s">
        <v>7043</v>
      </c>
      <c r="F970" s="2" t="s">
        <v>7075</v>
      </c>
      <c r="G970" s="2" t="s">
        <v>7076</v>
      </c>
      <c r="H970" s="3" t="s">
        <v>31</v>
      </c>
      <c r="I970" s="3">
        <v>1.0</v>
      </c>
      <c r="J970" s="3">
        <v>1.0</v>
      </c>
      <c r="K970" s="3" t="s">
        <v>31</v>
      </c>
      <c r="L970" s="4" t="s">
        <v>7077</v>
      </c>
      <c r="M970" s="2" t="s">
        <v>7078</v>
      </c>
      <c r="N970" s="2" t="s">
        <v>75</v>
      </c>
      <c r="O970" s="4" t="s">
        <v>76</v>
      </c>
      <c r="P970" s="2" t="s">
        <v>7048</v>
      </c>
      <c r="Q970" s="2" t="s">
        <v>7049</v>
      </c>
      <c r="R970" s="2" t="s">
        <v>75</v>
      </c>
      <c r="S970" s="4" t="s">
        <v>195</v>
      </c>
      <c r="T970" s="2" t="s">
        <v>66</v>
      </c>
      <c r="U970" s="4" t="s">
        <v>7050</v>
      </c>
      <c r="V970" s="2" t="s">
        <v>7079</v>
      </c>
      <c r="W970" s="2" t="s">
        <v>7043</v>
      </c>
      <c r="X970" s="5" t="str">
        <f>HYPERLINK("https://my.pitchbook.com?p=249758-65P","View People Online")</f>
        <v>View People Online</v>
      </c>
    </row>
    <row r="971">
      <c r="A971" s="6" t="s">
        <v>7080</v>
      </c>
      <c r="B971" s="6" t="s">
        <v>7081</v>
      </c>
      <c r="C971" s="6" t="s">
        <v>7082</v>
      </c>
      <c r="D971" s="6" t="s">
        <v>7083</v>
      </c>
      <c r="E971" s="6" t="s">
        <v>7043</v>
      </c>
      <c r="F971" s="6" t="s">
        <v>548</v>
      </c>
      <c r="G971" s="6" t="s">
        <v>7084</v>
      </c>
      <c r="H971" s="7">
        <v>1.0</v>
      </c>
      <c r="I971" s="7">
        <v>4.0</v>
      </c>
      <c r="J971" s="7">
        <v>1.0</v>
      </c>
      <c r="K971" s="7">
        <v>2.0</v>
      </c>
      <c r="L971" s="8" t="s">
        <v>7085</v>
      </c>
      <c r="M971" s="6" t="s">
        <v>7086</v>
      </c>
      <c r="N971" s="6" t="s">
        <v>75</v>
      </c>
      <c r="O971" s="8" t="s">
        <v>76</v>
      </c>
      <c r="P971" s="6" t="s">
        <v>7048</v>
      </c>
      <c r="Q971" s="6" t="s">
        <v>7049</v>
      </c>
      <c r="R971" s="6" t="s">
        <v>75</v>
      </c>
      <c r="S971" s="8" t="s">
        <v>195</v>
      </c>
      <c r="T971" s="6" t="s">
        <v>66</v>
      </c>
      <c r="U971" s="8" t="s">
        <v>7050</v>
      </c>
      <c r="V971" s="6" t="s">
        <v>548</v>
      </c>
      <c r="W971" s="6" t="s">
        <v>7043</v>
      </c>
      <c r="X971" s="9" t="str">
        <f>HYPERLINK("https://my.pitchbook.com?p=126725-41P","View People Online")</f>
        <v>View People Online</v>
      </c>
    </row>
    <row r="972">
      <c r="A972" s="2" t="s">
        <v>7087</v>
      </c>
      <c r="B972" s="2" t="s">
        <v>7088</v>
      </c>
      <c r="C972" s="2" t="s">
        <v>7089</v>
      </c>
      <c r="D972" s="2" t="s">
        <v>7090</v>
      </c>
      <c r="E972" s="2" t="s">
        <v>7043</v>
      </c>
      <c r="F972" s="2" t="s">
        <v>502</v>
      </c>
      <c r="G972" s="2" t="s">
        <v>7091</v>
      </c>
      <c r="H972" s="3" t="s">
        <v>31</v>
      </c>
      <c r="I972" s="3">
        <v>1.0</v>
      </c>
      <c r="J972" s="3">
        <v>1.0</v>
      </c>
      <c r="K972" s="3" t="s">
        <v>31</v>
      </c>
      <c r="L972" s="4" t="s">
        <v>7046</v>
      </c>
      <c r="M972" s="2" t="s">
        <v>7092</v>
      </c>
      <c r="N972" s="2" t="s">
        <v>399</v>
      </c>
      <c r="O972" s="4" t="s">
        <v>400</v>
      </c>
      <c r="P972" s="2" t="s">
        <v>7093</v>
      </c>
      <c r="Q972" s="2" t="s">
        <v>7094</v>
      </c>
      <c r="R972" s="2" t="s">
        <v>396</v>
      </c>
      <c r="S972" s="4" t="s">
        <v>7095</v>
      </c>
      <c r="T972" s="2" t="s">
        <v>66</v>
      </c>
      <c r="U972" s="4" t="s">
        <v>31</v>
      </c>
      <c r="V972" s="2" t="s">
        <v>502</v>
      </c>
      <c r="W972" s="2" t="s">
        <v>7043</v>
      </c>
      <c r="X972" s="5" t="str">
        <f>HYPERLINK("https://my.pitchbook.com?p=223324-75P","View People Online")</f>
        <v>View People Online</v>
      </c>
    </row>
    <row r="973">
      <c r="A973" s="14" t="s">
        <v>7096</v>
      </c>
      <c r="B973" s="14" t="s">
        <v>7097</v>
      </c>
      <c r="C973" s="14" t="s">
        <v>2388</v>
      </c>
      <c r="D973" s="14" t="s">
        <v>7098</v>
      </c>
      <c r="E973" s="14" t="s">
        <v>7043</v>
      </c>
      <c r="F973" s="14" t="s">
        <v>1283</v>
      </c>
      <c r="G973" s="14" t="s">
        <v>7099</v>
      </c>
      <c r="H973" s="15">
        <v>2.0</v>
      </c>
      <c r="I973" s="15">
        <v>6.0</v>
      </c>
      <c r="J973" s="15">
        <v>1.0</v>
      </c>
      <c r="K973" s="15">
        <v>2.0</v>
      </c>
      <c r="L973" s="16" t="s">
        <v>7046</v>
      </c>
      <c r="M973" s="14" t="s">
        <v>7100</v>
      </c>
      <c r="N973" s="14" t="s">
        <v>75</v>
      </c>
      <c r="O973" s="16" t="s">
        <v>76</v>
      </c>
      <c r="P973" s="14" t="s">
        <v>7048</v>
      </c>
      <c r="Q973" s="14" t="s">
        <v>7049</v>
      </c>
      <c r="R973" s="14" t="s">
        <v>75</v>
      </c>
      <c r="S973" s="16" t="s">
        <v>195</v>
      </c>
      <c r="T973" s="14" t="s">
        <v>66</v>
      </c>
      <c r="U973" s="16" t="s">
        <v>7050</v>
      </c>
      <c r="V973" s="14" t="s">
        <v>7101</v>
      </c>
      <c r="W973" s="14" t="s">
        <v>7043</v>
      </c>
      <c r="X973" s="17" t="str">
        <f>HYPERLINK("https://my.pitchbook.com?p=249758-38P","View People Online")</f>
        <v>View People Online</v>
      </c>
    </row>
    <row r="974">
      <c r="A974" s="10" t="s">
        <v>7102</v>
      </c>
      <c r="B974" s="10" t="s">
        <v>7103</v>
      </c>
      <c r="C974" s="10" t="s">
        <v>4015</v>
      </c>
      <c r="D974" s="10" t="s">
        <v>7104</v>
      </c>
      <c r="E974" s="10" t="s">
        <v>7043</v>
      </c>
      <c r="F974" s="10" t="s">
        <v>667</v>
      </c>
      <c r="G974" s="10" t="s">
        <v>7105</v>
      </c>
      <c r="H974" s="11" t="s">
        <v>31</v>
      </c>
      <c r="I974" s="11">
        <v>1.0</v>
      </c>
      <c r="J974" s="11">
        <v>1.0</v>
      </c>
      <c r="K974" s="11" t="s">
        <v>31</v>
      </c>
      <c r="L974" s="12" t="s">
        <v>7046</v>
      </c>
      <c r="M974" s="10" t="s">
        <v>7106</v>
      </c>
      <c r="N974" s="10" t="s">
        <v>75</v>
      </c>
      <c r="O974" s="12" t="s">
        <v>76</v>
      </c>
      <c r="P974" s="10" t="s">
        <v>7048</v>
      </c>
      <c r="Q974" s="10" t="s">
        <v>7049</v>
      </c>
      <c r="R974" s="10" t="s">
        <v>75</v>
      </c>
      <c r="S974" s="12" t="s">
        <v>195</v>
      </c>
      <c r="T974" s="10" t="s">
        <v>66</v>
      </c>
      <c r="U974" s="12" t="s">
        <v>7050</v>
      </c>
      <c r="V974" s="10" t="s">
        <v>667</v>
      </c>
      <c r="W974" s="10" t="s">
        <v>7043</v>
      </c>
      <c r="X974" s="13" t="str">
        <f>HYPERLINK("https://my.pitchbook.com?p=356263-21P","View People Online")</f>
        <v>View People Online</v>
      </c>
    </row>
    <row r="975">
      <c r="A975" s="14" t="s">
        <v>7107</v>
      </c>
      <c r="B975" s="14" t="s">
        <v>7108</v>
      </c>
      <c r="C975" s="14" t="s">
        <v>7109</v>
      </c>
      <c r="D975" s="14" t="s">
        <v>7110</v>
      </c>
      <c r="E975" s="14" t="s">
        <v>7043</v>
      </c>
      <c r="F975" s="14" t="s">
        <v>1167</v>
      </c>
      <c r="G975" s="14" t="s">
        <v>7111</v>
      </c>
      <c r="H975" s="15" t="s">
        <v>31</v>
      </c>
      <c r="I975" s="15">
        <v>9.0</v>
      </c>
      <c r="J975" s="15">
        <v>1.0</v>
      </c>
      <c r="K975" s="15">
        <v>5.0</v>
      </c>
      <c r="L975" s="16" t="s">
        <v>7046</v>
      </c>
      <c r="M975" s="14" t="s">
        <v>7112</v>
      </c>
      <c r="N975" s="14" t="s">
        <v>75</v>
      </c>
      <c r="O975" s="16" t="s">
        <v>76</v>
      </c>
      <c r="P975" s="14" t="s">
        <v>7048</v>
      </c>
      <c r="Q975" s="14" t="s">
        <v>7049</v>
      </c>
      <c r="R975" s="14" t="s">
        <v>75</v>
      </c>
      <c r="S975" s="16" t="s">
        <v>195</v>
      </c>
      <c r="T975" s="14" t="s">
        <v>66</v>
      </c>
      <c r="U975" s="16" t="s">
        <v>7050</v>
      </c>
      <c r="V975" s="14" t="s">
        <v>7113</v>
      </c>
      <c r="W975" s="14" t="s">
        <v>7043</v>
      </c>
      <c r="X975" s="17" t="str">
        <f>HYPERLINK("https://my.pitchbook.com?p=197782-03P","View People Online")</f>
        <v>View People Online</v>
      </c>
    </row>
    <row r="976">
      <c r="A976" s="2" t="s">
        <v>7114</v>
      </c>
      <c r="B976" s="2" t="s">
        <v>7115</v>
      </c>
      <c r="C976" s="2" t="s">
        <v>7116</v>
      </c>
      <c r="D976" s="2" t="s">
        <v>7117</v>
      </c>
      <c r="E976" s="2" t="s">
        <v>7118</v>
      </c>
      <c r="F976" s="2" t="s">
        <v>81</v>
      </c>
      <c r="G976" s="2" t="s">
        <v>7119</v>
      </c>
      <c r="H976" s="3" t="s">
        <v>31</v>
      </c>
      <c r="I976" s="3">
        <v>1.0</v>
      </c>
      <c r="J976" s="3" t="s">
        <v>31</v>
      </c>
      <c r="K976" s="3" t="s">
        <v>31</v>
      </c>
      <c r="L976" s="4" t="s">
        <v>7120</v>
      </c>
      <c r="M976" s="2" t="s">
        <v>31</v>
      </c>
      <c r="N976" s="2" t="s">
        <v>7121</v>
      </c>
      <c r="O976" s="4" t="s">
        <v>7122</v>
      </c>
      <c r="P976" s="2" t="s">
        <v>7123</v>
      </c>
      <c r="Q976" s="2" t="s">
        <v>7124</v>
      </c>
      <c r="R976" s="2" t="s">
        <v>5348</v>
      </c>
      <c r="S976" s="4" t="s">
        <v>7125</v>
      </c>
      <c r="T976" s="2" t="s">
        <v>66</v>
      </c>
      <c r="U976" s="4" t="s">
        <v>31</v>
      </c>
      <c r="V976" s="2" t="s">
        <v>81</v>
      </c>
      <c r="W976" s="2" t="s">
        <v>7118</v>
      </c>
      <c r="X976" s="5" t="str">
        <f>HYPERLINK("https://my.pitchbook.com?p=276015-97P","View People Online")</f>
        <v>View People Online</v>
      </c>
    </row>
    <row r="977">
      <c r="A977" s="14" t="s">
        <v>7126</v>
      </c>
      <c r="B977" s="14" t="s">
        <v>7127</v>
      </c>
      <c r="C977" s="14" t="s">
        <v>285</v>
      </c>
      <c r="D977" s="14" t="s">
        <v>7117</v>
      </c>
      <c r="E977" s="14" t="s">
        <v>7118</v>
      </c>
      <c r="F977" s="14" t="s">
        <v>78</v>
      </c>
      <c r="G977" s="14" t="s">
        <v>7128</v>
      </c>
      <c r="H977" s="15" t="s">
        <v>31</v>
      </c>
      <c r="I977" s="15">
        <v>1.0</v>
      </c>
      <c r="J977" s="15">
        <v>1.0</v>
      </c>
      <c r="K977" s="15" t="s">
        <v>31</v>
      </c>
      <c r="L977" s="16" t="s">
        <v>31</v>
      </c>
      <c r="M977" s="14" t="s">
        <v>31</v>
      </c>
      <c r="N977" s="14" t="s">
        <v>7121</v>
      </c>
      <c r="O977" s="16" t="s">
        <v>7122</v>
      </c>
      <c r="P977" s="14" t="s">
        <v>7123</v>
      </c>
      <c r="Q977" s="14" t="s">
        <v>7124</v>
      </c>
      <c r="R977" s="14" t="s">
        <v>5348</v>
      </c>
      <c r="S977" s="16" t="s">
        <v>7125</v>
      </c>
      <c r="T977" s="14" t="s">
        <v>66</v>
      </c>
      <c r="U977" s="16" t="s">
        <v>31</v>
      </c>
      <c r="V977" s="14" t="s">
        <v>7129</v>
      </c>
      <c r="W977" s="14" t="s">
        <v>7118</v>
      </c>
      <c r="X977" s="17" t="str">
        <f>HYPERLINK("https://my.pitchbook.com?p=406265-05P","View People Online")</f>
        <v>View People Online</v>
      </c>
    </row>
    <row r="978">
      <c r="A978" s="10" t="s">
        <v>7130</v>
      </c>
      <c r="B978" s="10" t="s">
        <v>7131</v>
      </c>
      <c r="C978" s="10" t="s">
        <v>4943</v>
      </c>
      <c r="D978" s="10" t="s">
        <v>7132</v>
      </c>
      <c r="E978" s="10" t="s">
        <v>7118</v>
      </c>
      <c r="F978" s="10" t="s">
        <v>86</v>
      </c>
      <c r="G978" s="10" t="s">
        <v>7133</v>
      </c>
      <c r="H978" s="11" t="s">
        <v>31</v>
      </c>
      <c r="I978" s="11">
        <v>16.0</v>
      </c>
      <c r="J978" s="11">
        <v>1.0</v>
      </c>
      <c r="K978" s="11">
        <v>12.0</v>
      </c>
      <c r="L978" s="12" t="s">
        <v>31</v>
      </c>
      <c r="M978" s="10" t="s">
        <v>7134</v>
      </c>
      <c r="N978" s="10" t="s">
        <v>7121</v>
      </c>
      <c r="O978" s="12" t="s">
        <v>7122</v>
      </c>
      <c r="P978" s="10" t="s">
        <v>7123</v>
      </c>
      <c r="Q978" s="10" t="s">
        <v>7124</v>
      </c>
      <c r="R978" s="10" t="s">
        <v>5348</v>
      </c>
      <c r="S978" s="12" t="s">
        <v>7125</v>
      </c>
      <c r="T978" s="10" t="s">
        <v>66</v>
      </c>
      <c r="U978" s="12" t="s">
        <v>31</v>
      </c>
      <c r="V978" s="10" t="s">
        <v>7135</v>
      </c>
      <c r="W978" s="10" t="s">
        <v>7118</v>
      </c>
      <c r="X978" s="13" t="str">
        <f>HYPERLINK("https://my.pitchbook.com?p=197973-55P","View People Online")</f>
        <v>View People Online</v>
      </c>
    </row>
    <row r="979">
      <c r="A979" s="6" t="s">
        <v>7136</v>
      </c>
      <c r="B979" s="6" t="s">
        <v>7137</v>
      </c>
      <c r="C979" s="6" t="s">
        <v>7138</v>
      </c>
      <c r="D979" s="6" t="s">
        <v>1589</v>
      </c>
      <c r="E979" s="6" t="s">
        <v>7118</v>
      </c>
      <c r="F979" s="6" t="s">
        <v>81</v>
      </c>
      <c r="G979" s="6" t="s">
        <v>7139</v>
      </c>
      <c r="H979" s="7" t="s">
        <v>31</v>
      </c>
      <c r="I979" s="7">
        <v>5.0</v>
      </c>
      <c r="J979" s="7">
        <v>1.0</v>
      </c>
      <c r="K979" s="7">
        <v>2.0</v>
      </c>
      <c r="L979" s="8" t="s">
        <v>7140</v>
      </c>
      <c r="M979" s="6" t="s">
        <v>7141</v>
      </c>
      <c r="N979" s="6" t="s">
        <v>7121</v>
      </c>
      <c r="O979" s="8" t="s">
        <v>7122</v>
      </c>
      <c r="P979" s="6" t="s">
        <v>7142</v>
      </c>
      <c r="Q979" s="6" t="s">
        <v>2839</v>
      </c>
      <c r="R979" s="6" t="s">
        <v>5348</v>
      </c>
      <c r="S979" s="8" t="s">
        <v>7143</v>
      </c>
      <c r="T979" s="6" t="s">
        <v>66</v>
      </c>
      <c r="U979" s="8" t="s">
        <v>31</v>
      </c>
      <c r="V979" s="6" t="s">
        <v>991</v>
      </c>
      <c r="W979" s="6" t="s">
        <v>7144</v>
      </c>
      <c r="X979" s="9" t="str">
        <f>HYPERLINK("https://my.pitchbook.com?p=133673-41P","View People Online")</f>
        <v>View People Online</v>
      </c>
    </row>
    <row r="980">
      <c r="A980" s="2" t="s">
        <v>7145</v>
      </c>
      <c r="B980" s="2" t="s">
        <v>7146</v>
      </c>
      <c r="C980" s="2" t="s">
        <v>7147</v>
      </c>
      <c r="D980" s="2" t="s">
        <v>7148</v>
      </c>
      <c r="E980" s="2" t="s">
        <v>7118</v>
      </c>
      <c r="F980" s="2" t="s">
        <v>114</v>
      </c>
      <c r="G980" s="2" t="s">
        <v>7149</v>
      </c>
      <c r="H980" s="3" t="s">
        <v>31</v>
      </c>
      <c r="I980" s="3">
        <v>1.0</v>
      </c>
      <c r="J980" s="3">
        <v>1.0</v>
      </c>
      <c r="K980" s="3" t="s">
        <v>31</v>
      </c>
      <c r="L980" s="4" t="s">
        <v>31</v>
      </c>
      <c r="M980" s="2" t="s">
        <v>31</v>
      </c>
      <c r="N980" s="2" t="s">
        <v>7121</v>
      </c>
      <c r="O980" s="4" t="s">
        <v>7122</v>
      </c>
      <c r="P980" s="2" t="s">
        <v>7123</v>
      </c>
      <c r="Q980" s="2" t="s">
        <v>7124</v>
      </c>
      <c r="R980" s="2" t="s">
        <v>5348</v>
      </c>
      <c r="S980" s="4" t="s">
        <v>7125</v>
      </c>
      <c r="T980" s="2" t="s">
        <v>66</v>
      </c>
      <c r="U980" s="4" t="s">
        <v>31</v>
      </c>
      <c r="V980" s="2" t="s">
        <v>114</v>
      </c>
      <c r="W980" s="2" t="s">
        <v>7118</v>
      </c>
      <c r="X980" s="5" t="str">
        <f>HYPERLINK("https://my.pitchbook.com?p=311580-64P","View People Online")</f>
        <v>View People Online</v>
      </c>
    </row>
    <row r="981">
      <c r="A981" s="6" t="s">
        <v>7150</v>
      </c>
      <c r="B981" s="6" t="s">
        <v>7151</v>
      </c>
      <c r="C981" s="6" t="s">
        <v>4404</v>
      </c>
      <c r="D981" s="6" t="s">
        <v>7152</v>
      </c>
      <c r="E981" s="6" t="s">
        <v>7153</v>
      </c>
      <c r="F981" s="6" t="s">
        <v>674</v>
      </c>
      <c r="G981" s="6" t="s">
        <v>7154</v>
      </c>
      <c r="H981" s="7">
        <v>7.0</v>
      </c>
      <c r="I981" s="7">
        <v>64.0</v>
      </c>
      <c r="J981" s="7">
        <v>3.0</v>
      </c>
      <c r="K981" s="7">
        <v>43.0</v>
      </c>
      <c r="L981" s="8" t="s">
        <v>7155</v>
      </c>
      <c r="M981" s="6" t="s">
        <v>7156</v>
      </c>
      <c r="N981" s="6" t="s">
        <v>775</v>
      </c>
      <c r="O981" s="8" t="s">
        <v>776</v>
      </c>
      <c r="P981" s="6" t="s">
        <v>7157</v>
      </c>
      <c r="Q981" s="6" t="s">
        <v>7158</v>
      </c>
      <c r="R981" s="6" t="s">
        <v>64</v>
      </c>
      <c r="S981" s="8" t="s">
        <v>779</v>
      </c>
      <c r="T981" s="6" t="s">
        <v>66</v>
      </c>
      <c r="U981" s="8" t="s">
        <v>31</v>
      </c>
      <c r="V981" s="6" t="s">
        <v>1172</v>
      </c>
      <c r="W981" s="6" t="s">
        <v>7153</v>
      </c>
      <c r="X981" s="9" t="str">
        <f>HYPERLINK("https://my.pitchbook.com?p=13142-44P","View People Online")</f>
        <v>View People Online</v>
      </c>
    </row>
    <row r="982">
      <c r="A982" s="10" t="s">
        <v>7159</v>
      </c>
      <c r="B982" s="10" t="s">
        <v>7160</v>
      </c>
      <c r="C982" s="10" t="s">
        <v>2288</v>
      </c>
      <c r="D982" s="10" t="s">
        <v>7161</v>
      </c>
      <c r="E982" s="10" t="s">
        <v>7153</v>
      </c>
      <c r="F982" s="10" t="s">
        <v>270</v>
      </c>
      <c r="G982" s="10" t="s">
        <v>7162</v>
      </c>
      <c r="H982" s="11">
        <v>3.0</v>
      </c>
      <c r="I982" s="11">
        <v>36.0</v>
      </c>
      <c r="J982" s="11">
        <v>2.0</v>
      </c>
      <c r="K982" s="11">
        <v>25.0</v>
      </c>
      <c r="L982" s="12" t="s">
        <v>7163</v>
      </c>
      <c r="M982" s="10" t="s">
        <v>7164</v>
      </c>
      <c r="N982" s="10" t="s">
        <v>155</v>
      </c>
      <c r="O982" s="12" t="s">
        <v>156</v>
      </c>
      <c r="P982" s="10" t="s">
        <v>7165</v>
      </c>
      <c r="Q982" s="10" t="s">
        <v>2839</v>
      </c>
      <c r="R982" s="10" t="s">
        <v>64</v>
      </c>
      <c r="S982" s="12" t="s">
        <v>1549</v>
      </c>
      <c r="T982" s="10" t="s">
        <v>66</v>
      </c>
      <c r="U982" s="12" t="s">
        <v>31</v>
      </c>
      <c r="V982" s="10" t="s">
        <v>196</v>
      </c>
      <c r="W982" s="10" t="s">
        <v>7166</v>
      </c>
      <c r="X982" s="13" t="str">
        <f>HYPERLINK("https://my.pitchbook.com?p=59900-05P","View People Online")</f>
        <v>View People Online</v>
      </c>
    </row>
    <row r="983">
      <c r="A983" s="6" t="s">
        <v>7167</v>
      </c>
      <c r="B983" s="6" t="s">
        <v>7168</v>
      </c>
      <c r="C983" s="6" t="s">
        <v>7169</v>
      </c>
      <c r="D983" s="6" t="s">
        <v>7170</v>
      </c>
      <c r="E983" s="6" t="s">
        <v>7171</v>
      </c>
      <c r="F983" s="6" t="s">
        <v>6793</v>
      </c>
      <c r="G983" s="6" t="s">
        <v>7172</v>
      </c>
      <c r="H983" s="7">
        <v>1.0</v>
      </c>
      <c r="I983" s="7">
        <v>2.0</v>
      </c>
      <c r="J983" s="7" t="s">
        <v>31</v>
      </c>
      <c r="K983" s="7" t="s">
        <v>31</v>
      </c>
      <c r="L983" s="8" t="s">
        <v>7173</v>
      </c>
      <c r="M983" s="6" t="s">
        <v>7174</v>
      </c>
      <c r="N983" s="6" t="s">
        <v>429</v>
      </c>
      <c r="O983" s="8" t="s">
        <v>430</v>
      </c>
      <c r="P983" s="6" t="s">
        <v>7175</v>
      </c>
      <c r="Q983" s="6" t="s">
        <v>31</v>
      </c>
      <c r="R983" s="6" t="s">
        <v>31</v>
      </c>
      <c r="S983" s="8" t="s">
        <v>7176</v>
      </c>
      <c r="T983" s="6" t="s">
        <v>433</v>
      </c>
      <c r="U983" s="8" t="s">
        <v>31</v>
      </c>
      <c r="V983" s="6" t="s">
        <v>7177</v>
      </c>
      <c r="W983" s="6" t="s">
        <v>7171</v>
      </c>
      <c r="X983" s="9" t="str">
        <f>HYPERLINK("https://my.pitchbook.com?p=358273-36P","View People Online")</f>
        <v>View People Online</v>
      </c>
    </row>
    <row r="984">
      <c r="A984" s="10" t="s">
        <v>7178</v>
      </c>
      <c r="B984" s="10" t="s">
        <v>7179</v>
      </c>
      <c r="C984" s="10" t="s">
        <v>7180</v>
      </c>
      <c r="D984" s="10" t="s">
        <v>7181</v>
      </c>
      <c r="E984" s="10" t="s">
        <v>7171</v>
      </c>
      <c r="F984" s="10" t="s">
        <v>7182</v>
      </c>
      <c r="G984" s="10" t="s">
        <v>7183</v>
      </c>
      <c r="H984" s="11" t="s">
        <v>31</v>
      </c>
      <c r="I984" s="11">
        <v>1.0</v>
      </c>
      <c r="J984" s="11">
        <v>1.0</v>
      </c>
      <c r="K984" s="11" t="s">
        <v>31</v>
      </c>
      <c r="L984" s="12" t="s">
        <v>7173</v>
      </c>
      <c r="M984" s="10" t="s">
        <v>7184</v>
      </c>
      <c r="N984" s="10" t="s">
        <v>429</v>
      </c>
      <c r="O984" s="12" t="s">
        <v>430</v>
      </c>
      <c r="P984" s="10" t="s">
        <v>7175</v>
      </c>
      <c r="Q984" s="10" t="s">
        <v>31</v>
      </c>
      <c r="R984" s="10" t="s">
        <v>31</v>
      </c>
      <c r="S984" s="12" t="s">
        <v>7176</v>
      </c>
      <c r="T984" s="10" t="s">
        <v>433</v>
      </c>
      <c r="U984" s="12" t="s">
        <v>31</v>
      </c>
      <c r="V984" s="10" t="s">
        <v>7182</v>
      </c>
      <c r="W984" s="10" t="s">
        <v>7171</v>
      </c>
      <c r="X984" s="13" t="str">
        <f>HYPERLINK("https://my.pitchbook.com?p=42814-36P","View People Online")</f>
        <v>View People Online</v>
      </c>
    </row>
    <row r="985">
      <c r="A985" s="14" t="s">
        <v>7185</v>
      </c>
      <c r="B985" s="14" t="s">
        <v>7186</v>
      </c>
      <c r="C985" s="14" t="s">
        <v>7187</v>
      </c>
      <c r="D985" s="14" t="s">
        <v>7188</v>
      </c>
      <c r="E985" s="14" t="s">
        <v>7171</v>
      </c>
      <c r="F985" s="14" t="s">
        <v>825</v>
      </c>
      <c r="G985" s="14" t="s">
        <v>7189</v>
      </c>
      <c r="H985" s="15" t="s">
        <v>31</v>
      </c>
      <c r="I985" s="15">
        <v>1.0</v>
      </c>
      <c r="J985" s="15">
        <v>1.0</v>
      </c>
      <c r="K985" s="15" t="s">
        <v>31</v>
      </c>
      <c r="L985" s="16" t="s">
        <v>7173</v>
      </c>
      <c r="M985" s="14" t="s">
        <v>7190</v>
      </c>
      <c r="N985" s="14" t="s">
        <v>429</v>
      </c>
      <c r="O985" s="16" t="s">
        <v>430</v>
      </c>
      <c r="P985" s="14" t="s">
        <v>7175</v>
      </c>
      <c r="Q985" s="14" t="s">
        <v>31</v>
      </c>
      <c r="R985" s="14" t="s">
        <v>31</v>
      </c>
      <c r="S985" s="16" t="s">
        <v>7176</v>
      </c>
      <c r="T985" s="14" t="s">
        <v>433</v>
      </c>
      <c r="U985" s="16" t="s">
        <v>31</v>
      </c>
      <c r="V985" s="14" t="s">
        <v>7191</v>
      </c>
      <c r="W985" s="14" t="s">
        <v>7171</v>
      </c>
      <c r="X985" s="17" t="str">
        <f>HYPERLINK("https://my.pitchbook.com?p=175547-26P","View People Online")</f>
        <v>View People Online</v>
      </c>
    </row>
    <row r="986">
      <c r="A986" s="10" t="s">
        <v>7192</v>
      </c>
      <c r="B986" s="10" t="s">
        <v>7193</v>
      </c>
      <c r="C986" s="10" t="s">
        <v>7194</v>
      </c>
      <c r="D986" s="10" t="s">
        <v>7195</v>
      </c>
      <c r="E986" s="10" t="s">
        <v>7171</v>
      </c>
      <c r="F986" s="10" t="s">
        <v>29</v>
      </c>
      <c r="G986" s="10" t="s">
        <v>7196</v>
      </c>
      <c r="H986" s="11">
        <v>4.0</v>
      </c>
      <c r="I986" s="11">
        <v>24.0</v>
      </c>
      <c r="J986" s="11">
        <v>1.0</v>
      </c>
      <c r="K986" s="11">
        <v>15.0</v>
      </c>
      <c r="L986" s="12" t="s">
        <v>7197</v>
      </c>
      <c r="M986" s="10" t="s">
        <v>7198</v>
      </c>
      <c r="N986" s="10" t="s">
        <v>429</v>
      </c>
      <c r="O986" s="12" t="s">
        <v>430</v>
      </c>
      <c r="P986" s="10" t="s">
        <v>7175</v>
      </c>
      <c r="Q986" s="10" t="s">
        <v>31</v>
      </c>
      <c r="R986" s="10" t="s">
        <v>31</v>
      </c>
      <c r="S986" s="12" t="s">
        <v>7176</v>
      </c>
      <c r="T986" s="10" t="s">
        <v>433</v>
      </c>
      <c r="U986" s="12" t="s">
        <v>31</v>
      </c>
      <c r="V986" s="10" t="s">
        <v>29</v>
      </c>
      <c r="W986" s="10" t="s">
        <v>7171</v>
      </c>
      <c r="X986" s="13" t="str">
        <f>HYPERLINK("https://my.pitchbook.com?p=42812-20P","View People Online")</f>
        <v>View People Online</v>
      </c>
    </row>
    <row r="987">
      <c r="A987" s="14" t="s">
        <v>7199</v>
      </c>
      <c r="B987" s="14" t="s">
        <v>7200</v>
      </c>
      <c r="C987" s="14" t="s">
        <v>7201</v>
      </c>
      <c r="D987" s="14" t="s">
        <v>7202</v>
      </c>
      <c r="E987" s="14" t="s">
        <v>7171</v>
      </c>
      <c r="F987" s="14" t="s">
        <v>57</v>
      </c>
      <c r="G987" s="14" t="s">
        <v>7203</v>
      </c>
      <c r="H987" s="15">
        <v>5.0</v>
      </c>
      <c r="I987" s="15">
        <v>41.0</v>
      </c>
      <c r="J987" s="15">
        <v>1.0</v>
      </c>
      <c r="K987" s="15">
        <v>29.0</v>
      </c>
      <c r="L987" s="16" t="s">
        <v>7173</v>
      </c>
      <c r="M987" s="14" t="s">
        <v>7204</v>
      </c>
      <c r="N987" s="14" t="s">
        <v>429</v>
      </c>
      <c r="O987" s="16" t="s">
        <v>430</v>
      </c>
      <c r="P987" s="14" t="s">
        <v>7175</v>
      </c>
      <c r="Q987" s="14" t="s">
        <v>31</v>
      </c>
      <c r="R987" s="14" t="s">
        <v>31</v>
      </c>
      <c r="S987" s="16" t="s">
        <v>7176</v>
      </c>
      <c r="T987" s="14" t="s">
        <v>433</v>
      </c>
      <c r="U987" s="16" t="s">
        <v>31</v>
      </c>
      <c r="V987" s="14" t="s">
        <v>57</v>
      </c>
      <c r="W987" s="14" t="s">
        <v>7171</v>
      </c>
      <c r="X987" s="17" t="str">
        <f>HYPERLINK("https://my.pitchbook.com?p=13895-92P","View People Online")</f>
        <v>View People Online</v>
      </c>
    </row>
    <row r="988">
      <c r="A988" s="10" t="s">
        <v>7205</v>
      </c>
      <c r="B988" s="10" t="s">
        <v>7206</v>
      </c>
      <c r="C988" s="10" t="s">
        <v>7207</v>
      </c>
      <c r="D988" s="10" t="s">
        <v>7208</v>
      </c>
      <c r="E988" s="10" t="s">
        <v>7171</v>
      </c>
      <c r="F988" s="10" t="s">
        <v>114</v>
      </c>
      <c r="G988" s="10" t="s">
        <v>7209</v>
      </c>
      <c r="H988" s="11">
        <v>1.0</v>
      </c>
      <c r="I988" s="11">
        <v>2.0</v>
      </c>
      <c r="J988" s="11">
        <v>1.0</v>
      </c>
      <c r="K988" s="11" t="s">
        <v>31</v>
      </c>
      <c r="L988" s="12" t="s">
        <v>7173</v>
      </c>
      <c r="M988" s="10" t="s">
        <v>7210</v>
      </c>
      <c r="N988" s="10" t="s">
        <v>429</v>
      </c>
      <c r="O988" s="12" t="s">
        <v>430</v>
      </c>
      <c r="P988" s="10" t="s">
        <v>7175</v>
      </c>
      <c r="Q988" s="10" t="s">
        <v>31</v>
      </c>
      <c r="R988" s="10" t="s">
        <v>31</v>
      </c>
      <c r="S988" s="12" t="s">
        <v>7176</v>
      </c>
      <c r="T988" s="10" t="s">
        <v>433</v>
      </c>
      <c r="U988" s="12" t="s">
        <v>31</v>
      </c>
      <c r="V988" s="10" t="s">
        <v>114</v>
      </c>
      <c r="W988" s="10" t="s">
        <v>7171</v>
      </c>
      <c r="X988" s="13" t="str">
        <f>HYPERLINK("https://my.pitchbook.com?p=347699-62P","View People Online")</f>
        <v>View People Online</v>
      </c>
    </row>
    <row r="989">
      <c r="A989" s="6" t="s">
        <v>7211</v>
      </c>
      <c r="B989" s="6" t="s">
        <v>7212</v>
      </c>
      <c r="C989" s="6" t="s">
        <v>69</v>
      </c>
      <c r="D989" s="6" t="s">
        <v>7213</v>
      </c>
      <c r="E989" s="6" t="s">
        <v>7214</v>
      </c>
      <c r="F989" s="6" t="s">
        <v>114</v>
      </c>
      <c r="G989" s="6" t="s">
        <v>7215</v>
      </c>
      <c r="H989" s="7" t="s">
        <v>31</v>
      </c>
      <c r="I989" s="7">
        <v>3.0</v>
      </c>
      <c r="J989" s="7">
        <v>1.0</v>
      </c>
      <c r="K989" s="7">
        <v>1.0</v>
      </c>
      <c r="L989" s="8" t="s">
        <v>31</v>
      </c>
      <c r="M989" s="6" t="s">
        <v>31</v>
      </c>
      <c r="N989" s="6" t="s">
        <v>155</v>
      </c>
      <c r="O989" s="8" t="s">
        <v>156</v>
      </c>
      <c r="P989" s="6" t="s">
        <v>31</v>
      </c>
      <c r="Q989" s="6" t="s">
        <v>31</v>
      </c>
      <c r="R989" s="6" t="s">
        <v>64</v>
      </c>
      <c r="S989" s="8" t="s">
        <v>31</v>
      </c>
      <c r="T989" s="6" t="s">
        <v>66</v>
      </c>
      <c r="U989" s="8" t="s">
        <v>31</v>
      </c>
      <c r="V989" s="6" t="s">
        <v>114</v>
      </c>
      <c r="W989" s="6" t="s">
        <v>7214</v>
      </c>
      <c r="X989" s="9" t="str">
        <f>HYPERLINK("https://my.pitchbook.com?p=318794-05P","View People Online")</f>
        <v>View People Online</v>
      </c>
    </row>
    <row r="990">
      <c r="A990" s="10" t="s">
        <v>7216</v>
      </c>
      <c r="B990" s="10" t="s">
        <v>7217</v>
      </c>
      <c r="C990" s="10" t="s">
        <v>536</v>
      </c>
      <c r="D990" s="10" t="s">
        <v>7218</v>
      </c>
      <c r="E990" s="10" t="s">
        <v>7214</v>
      </c>
      <c r="F990" s="10" t="s">
        <v>43</v>
      </c>
      <c r="G990" s="10" t="s">
        <v>7219</v>
      </c>
      <c r="H990" s="11" t="s">
        <v>31</v>
      </c>
      <c r="I990" s="11">
        <v>14.0</v>
      </c>
      <c r="J990" s="11">
        <v>1.0</v>
      </c>
      <c r="K990" s="11">
        <v>11.0</v>
      </c>
      <c r="L990" s="12" t="s">
        <v>7220</v>
      </c>
      <c r="M990" s="10" t="s">
        <v>7221</v>
      </c>
      <c r="N990" s="10" t="s">
        <v>155</v>
      </c>
      <c r="O990" s="12" t="s">
        <v>156</v>
      </c>
      <c r="P990" s="10" t="s">
        <v>31</v>
      </c>
      <c r="Q990" s="10" t="s">
        <v>31</v>
      </c>
      <c r="R990" s="10" t="s">
        <v>64</v>
      </c>
      <c r="S990" s="12" t="s">
        <v>31</v>
      </c>
      <c r="T990" s="10" t="s">
        <v>66</v>
      </c>
      <c r="U990" s="12" t="s">
        <v>31</v>
      </c>
      <c r="V990" s="10" t="s">
        <v>43</v>
      </c>
      <c r="W990" s="10" t="s">
        <v>7214</v>
      </c>
      <c r="X990" s="13" t="str">
        <f>HYPERLINK("https://my.pitchbook.com?p=251781-13P","View People Online")</f>
        <v>View People Online</v>
      </c>
    </row>
    <row r="991">
      <c r="A991" s="6" t="s">
        <v>7222</v>
      </c>
      <c r="B991" s="6" t="s">
        <v>7223</v>
      </c>
      <c r="C991" s="6" t="s">
        <v>7224</v>
      </c>
      <c r="D991" s="6" t="s">
        <v>7225</v>
      </c>
      <c r="E991" s="6" t="s">
        <v>7226</v>
      </c>
      <c r="F991" s="6" t="s">
        <v>5206</v>
      </c>
      <c r="G991" s="6" t="s">
        <v>7227</v>
      </c>
      <c r="H991" s="7" t="s">
        <v>31</v>
      </c>
      <c r="I991" s="7">
        <v>1.0</v>
      </c>
      <c r="J991" s="7">
        <v>1.0</v>
      </c>
      <c r="K991" s="7" t="s">
        <v>31</v>
      </c>
      <c r="L991" s="8" t="s">
        <v>7228</v>
      </c>
      <c r="M991" s="6" t="s">
        <v>7229</v>
      </c>
      <c r="N991" s="6" t="s">
        <v>665</v>
      </c>
      <c r="O991" s="8" t="s">
        <v>3857</v>
      </c>
      <c r="P991" s="6" t="s">
        <v>7230</v>
      </c>
      <c r="Q991" s="6" t="s">
        <v>31</v>
      </c>
      <c r="R991" s="6" t="s">
        <v>1420</v>
      </c>
      <c r="S991" s="8" t="s">
        <v>3860</v>
      </c>
      <c r="T991" s="6" t="s">
        <v>66</v>
      </c>
      <c r="U991" s="8" t="s">
        <v>31</v>
      </c>
      <c r="V991" s="6" t="s">
        <v>7231</v>
      </c>
      <c r="W991" s="6" t="s">
        <v>7226</v>
      </c>
      <c r="X991" s="9" t="str">
        <f>HYPERLINK("https://my.pitchbook.com?p=327484-36P","View People Online")</f>
        <v>View People Online</v>
      </c>
    </row>
    <row r="992">
      <c r="A992" s="2" t="s">
        <v>7232</v>
      </c>
      <c r="B992" s="2" t="s">
        <v>7233</v>
      </c>
      <c r="C992" s="2" t="s">
        <v>2412</v>
      </c>
      <c r="D992" s="2" t="s">
        <v>4692</v>
      </c>
      <c r="E992" s="2" t="s">
        <v>7226</v>
      </c>
      <c r="F992" s="2" t="s">
        <v>270</v>
      </c>
      <c r="G992" s="2" t="s">
        <v>7234</v>
      </c>
      <c r="H992" s="3" t="s">
        <v>31</v>
      </c>
      <c r="I992" s="3">
        <v>1.0</v>
      </c>
      <c r="J992" s="3">
        <v>1.0</v>
      </c>
      <c r="K992" s="3" t="s">
        <v>31</v>
      </c>
      <c r="L992" s="4" t="s">
        <v>31</v>
      </c>
      <c r="M992" s="2" t="s">
        <v>7235</v>
      </c>
      <c r="N992" s="2" t="s">
        <v>665</v>
      </c>
      <c r="O992" s="4" t="s">
        <v>3857</v>
      </c>
      <c r="P992" s="2" t="s">
        <v>7230</v>
      </c>
      <c r="Q992" s="2" t="s">
        <v>31</v>
      </c>
      <c r="R992" s="2" t="s">
        <v>1420</v>
      </c>
      <c r="S992" s="4" t="s">
        <v>3860</v>
      </c>
      <c r="T992" s="2" t="s">
        <v>66</v>
      </c>
      <c r="U992" s="4" t="s">
        <v>31</v>
      </c>
      <c r="V992" s="2" t="s">
        <v>4252</v>
      </c>
      <c r="W992" s="2" t="s">
        <v>7226</v>
      </c>
      <c r="X992" s="5" t="str">
        <f>HYPERLINK("https://my.pitchbook.com?p=374929-66P","View People Online")</f>
        <v>View People Online</v>
      </c>
    </row>
    <row r="993">
      <c r="A993" s="14" t="s">
        <v>7236</v>
      </c>
      <c r="B993" s="14" t="s">
        <v>7237</v>
      </c>
      <c r="C993" s="14" t="s">
        <v>395</v>
      </c>
      <c r="D993" s="14" t="s">
        <v>7238</v>
      </c>
      <c r="E993" s="14" t="s">
        <v>7226</v>
      </c>
      <c r="F993" s="14" t="s">
        <v>7239</v>
      </c>
      <c r="G993" s="14" t="s">
        <v>7240</v>
      </c>
      <c r="H993" s="15">
        <v>1.0</v>
      </c>
      <c r="I993" s="15">
        <v>4.0</v>
      </c>
      <c r="J993" s="15">
        <v>1.0</v>
      </c>
      <c r="K993" s="15">
        <v>2.0</v>
      </c>
      <c r="L993" s="16" t="s">
        <v>7241</v>
      </c>
      <c r="M993" s="14" t="s">
        <v>7242</v>
      </c>
      <c r="N993" s="14" t="s">
        <v>665</v>
      </c>
      <c r="O993" s="16" t="s">
        <v>3857</v>
      </c>
      <c r="P993" s="14" t="s">
        <v>7230</v>
      </c>
      <c r="Q993" s="14" t="s">
        <v>31</v>
      </c>
      <c r="R993" s="14" t="s">
        <v>1420</v>
      </c>
      <c r="S993" s="16" t="s">
        <v>3860</v>
      </c>
      <c r="T993" s="14" t="s">
        <v>66</v>
      </c>
      <c r="U993" s="16" t="s">
        <v>31</v>
      </c>
      <c r="V993" s="14" t="s">
        <v>7243</v>
      </c>
      <c r="W993" s="14" t="s">
        <v>7226</v>
      </c>
      <c r="X993" s="17" t="str">
        <f>HYPERLINK("https://my.pitchbook.com?p=172736-92P","View People Online")</f>
        <v>View People Online</v>
      </c>
    </row>
    <row r="994">
      <c r="A994" s="10" t="s">
        <v>7244</v>
      </c>
      <c r="B994" s="10" t="s">
        <v>7245</v>
      </c>
      <c r="C994" s="10" t="s">
        <v>4679</v>
      </c>
      <c r="D994" s="10" t="s">
        <v>7246</v>
      </c>
      <c r="E994" s="10" t="s">
        <v>7226</v>
      </c>
      <c r="F994" s="10" t="s">
        <v>5052</v>
      </c>
      <c r="G994" s="10" t="s">
        <v>7247</v>
      </c>
      <c r="H994" s="11" t="s">
        <v>31</v>
      </c>
      <c r="I994" s="11">
        <v>1.0</v>
      </c>
      <c r="J994" s="11">
        <v>1.0</v>
      </c>
      <c r="K994" s="11" t="s">
        <v>31</v>
      </c>
      <c r="L994" s="12" t="s">
        <v>31</v>
      </c>
      <c r="M994" s="10" t="s">
        <v>7248</v>
      </c>
      <c r="N994" s="10" t="s">
        <v>665</v>
      </c>
      <c r="O994" s="12" t="s">
        <v>3857</v>
      </c>
      <c r="P994" s="10" t="s">
        <v>7230</v>
      </c>
      <c r="Q994" s="10" t="s">
        <v>31</v>
      </c>
      <c r="R994" s="10" t="s">
        <v>1420</v>
      </c>
      <c r="S994" s="12" t="s">
        <v>3860</v>
      </c>
      <c r="T994" s="10" t="s">
        <v>66</v>
      </c>
      <c r="U994" s="12" t="s">
        <v>31</v>
      </c>
      <c r="V994" s="10" t="s">
        <v>7249</v>
      </c>
      <c r="W994" s="10" t="s">
        <v>7226</v>
      </c>
      <c r="X994" s="13" t="str">
        <f>HYPERLINK("https://my.pitchbook.com?p=432819-46P","View People Online")</f>
        <v>View People Online</v>
      </c>
    </row>
    <row r="995">
      <c r="A995" s="14" t="s">
        <v>7250</v>
      </c>
      <c r="B995" s="14" t="s">
        <v>7251</v>
      </c>
      <c r="C995" s="14" t="s">
        <v>7252</v>
      </c>
      <c r="D995" s="14" t="s">
        <v>7253</v>
      </c>
      <c r="E995" s="14" t="s">
        <v>7254</v>
      </c>
      <c r="F995" s="14" t="s">
        <v>3823</v>
      </c>
      <c r="G995" s="14" t="s">
        <v>7255</v>
      </c>
      <c r="H995" s="15">
        <v>1.0</v>
      </c>
      <c r="I995" s="15">
        <v>4.0</v>
      </c>
      <c r="J995" s="15">
        <v>2.0</v>
      </c>
      <c r="K995" s="15">
        <v>1.0</v>
      </c>
      <c r="L995" s="16" t="s">
        <v>7256</v>
      </c>
      <c r="M995" s="14" t="s">
        <v>7257</v>
      </c>
      <c r="N995" s="14" t="s">
        <v>7258</v>
      </c>
      <c r="O995" s="16" t="s">
        <v>7259</v>
      </c>
      <c r="P995" s="14" t="s">
        <v>7260</v>
      </c>
      <c r="Q995" s="14" t="s">
        <v>7261</v>
      </c>
      <c r="R995" s="14" t="s">
        <v>7262</v>
      </c>
      <c r="S995" s="16" t="s">
        <v>7263</v>
      </c>
      <c r="T995" s="14" t="s">
        <v>5484</v>
      </c>
      <c r="U995" s="16" t="s">
        <v>7264</v>
      </c>
      <c r="V995" s="14" t="s">
        <v>3823</v>
      </c>
      <c r="W995" s="14" t="s">
        <v>7254</v>
      </c>
      <c r="X995" s="17" t="str">
        <f>HYPERLINK("https://my.pitchbook.com?p=286496-65P","View People Online")</f>
        <v>View People Online</v>
      </c>
    </row>
    <row r="996">
      <c r="A996" s="10" t="s">
        <v>7265</v>
      </c>
      <c r="B996" s="10" t="s">
        <v>7266</v>
      </c>
      <c r="C996" s="10" t="s">
        <v>7267</v>
      </c>
      <c r="D996" s="10" t="s">
        <v>5555</v>
      </c>
      <c r="E996" s="10" t="s">
        <v>7254</v>
      </c>
      <c r="F996" s="10" t="s">
        <v>7268</v>
      </c>
      <c r="G996" s="10" t="s">
        <v>7269</v>
      </c>
      <c r="H996" s="11" t="s">
        <v>31</v>
      </c>
      <c r="I996" s="11">
        <v>3.0</v>
      </c>
      <c r="J996" s="11">
        <v>1.0</v>
      </c>
      <c r="K996" s="11">
        <v>2.0</v>
      </c>
      <c r="L996" s="12" t="s">
        <v>7256</v>
      </c>
      <c r="M996" s="10" t="s">
        <v>7270</v>
      </c>
      <c r="N996" s="10" t="s">
        <v>7258</v>
      </c>
      <c r="O996" s="12" t="s">
        <v>7259</v>
      </c>
      <c r="P996" s="10" t="s">
        <v>7260</v>
      </c>
      <c r="Q996" s="10" t="s">
        <v>7261</v>
      </c>
      <c r="R996" s="10" t="s">
        <v>7262</v>
      </c>
      <c r="S996" s="12" t="s">
        <v>7263</v>
      </c>
      <c r="T996" s="10" t="s">
        <v>5484</v>
      </c>
      <c r="U996" s="12" t="s">
        <v>7264</v>
      </c>
      <c r="V996" s="10" t="s">
        <v>7271</v>
      </c>
      <c r="W996" s="10" t="s">
        <v>7254</v>
      </c>
      <c r="X996" s="13" t="str">
        <f>HYPERLINK("https://my.pitchbook.com?p=61225-21P","View People Online")</f>
        <v>View People Online</v>
      </c>
    </row>
    <row r="997">
      <c r="A997" s="6" t="s">
        <v>7272</v>
      </c>
      <c r="B997" s="6" t="s">
        <v>7273</v>
      </c>
      <c r="C997" s="6" t="s">
        <v>1982</v>
      </c>
      <c r="D997" s="6" t="s">
        <v>7274</v>
      </c>
      <c r="E997" s="6" t="s">
        <v>7254</v>
      </c>
      <c r="F997" s="6" t="s">
        <v>548</v>
      </c>
      <c r="G997" s="6" t="s">
        <v>7275</v>
      </c>
      <c r="H997" s="7" t="s">
        <v>31</v>
      </c>
      <c r="I997" s="7">
        <v>1.0</v>
      </c>
      <c r="J997" s="7">
        <v>1.0</v>
      </c>
      <c r="K997" s="7" t="s">
        <v>31</v>
      </c>
      <c r="L997" s="8" t="s">
        <v>7256</v>
      </c>
      <c r="M997" s="6" t="s">
        <v>7276</v>
      </c>
      <c r="N997" s="6" t="s">
        <v>7258</v>
      </c>
      <c r="O997" s="8" t="s">
        <v>7259</v>
      </c>
      <c r="P997" s="6" t="s">
        <v>7260</v>
      </c>
      <c r="Q997" s="6" t="s">
        <v>7261</v>
      </c>
      <c r="R997" s="6" t="s">
        <v>7262</v>
      </c>
      <c r="S997" s="8" t="s">
        <v>7263</v>
      </c>
      <c r="T997" s="6" t="s">
        <v>5484</v>
      </c>
      <c r="U997" s="8" t="s">
        <v>7264</v>
      </c>
      <c r="V997" s="6" t="s">
        <v>7277</v>
      </c>
      <c r="W997" s="6" t="s">
        <v>7254</v>
      </c>
      <c r="X997" s="9" t="str">
        <f>HYPERLINK("https://my.pitchbook.com?p=94162-33P","View People Online")</f>
        <v>View People Online</v>
      </c>
    </row>
    <row r="998">
      <c r="A998" s="10" t="s">
        <v>7278</v>
      </c>
      <c r="B998" s="10" t="s">
        <v>7279</v>
      </c>
      <c r="C998" s="10" t="s">
        <v>1449</v>
      </c>
      <c r="D998" s="10" t="s">
        <v>7280</v>
      </c>
      <c r="E998" s="10" t="s">
        <v>7254</v>
      </c>
      <c r="F998" s="10" t="s">
        <v>825</v>
      </c>
      <c r="G998" s="10" t="s">
        <v>7281</v>
      </c>
      <c r="H998" s="11" t="s">
        <v>31</v>
      </c>
      <c r="I998" s="11">
        <v>11.0</v>
      </c>
      <c r="J998" s="11">
        <v>1.0</v>
      </c>
      <c r="K998" s="11">
        <v>8.0</v>
      </c>
      <c r="L998" s="12" t="s">
        <v>7256</v>
      </c>
      <c r="M998" s="10" t="s">
        <v>7282</v>
      </c>
      <c r="N998" s="10" t="s">
        <v>7258</v>
      </c>
      <c r="O998" s="12" t="s">
        <v>7259</v>
      </c>
      <c r="P998" s="10" t="s">
        <v>7260</v>
      </c>
      <c r="Q998" s="10" t="s">
        <v>7261</v>
      </c>
      <c r="R998" s="10" t="s">
        <v>7262</v>
      </c>
      <c r="S998" s="12" t="s">
        <v>7263</v>
      </c>
      <c r="T998" s="10" t="s">
        <v>5484</v>
      </c>
      <c r="U998" s="12" t="s">
        <v>7264</v>
      </c>
      <c r="V998" s="10" t="s">
        <v>7283</v>
      </c>
      <c r="W998" s="10" t="s">
        <v>7254</v>
      </c>
      <c r="X998" s="13" t="str">
        <f>HYPERLINK("https://my.pitchbook.com?p=34482-25P","View People Online")</f>
        <v>View People Online</v>
      </c>
    </row>
    <row r="999">
      <c r="A999" s="14" t="s">
        <v>7284</v>
      </c>
      <c r="B999" s="14" t="s">
        <v>7285</v>
      </c>
      <c r="C999" s="14" t="s">
        <v>7286</v>
      </c>
      <c r="D999" s="14" t="s">
        <v>7287</v>
      </c>
      <c r="E999" s="14" t="s">
        <v>7254</v>
      </c>
      <c r="F999" s="14" t="s">
        <v>221</v>
      </c>
      <c r="G999" s="14" t="s">
        <v>7288</v>
      </c>
      <c r="H999" s="15" t="s">
        <v>31</v>
      </c>
      <c r="I999" s="15">
        <v>1.0</v>
      </c>
      <c r="J999" s="15">
        <v>1.0</v>
      </c>
      <c r="K999" s="15" t="s">
        <v>31</v>
      </c>
      <c r="L999" s="16" t="s">
        <v>7256</v>
      </c>
      <c r="M999" s="14" t="s">
        <v>7289</v>
      </c>
      <c r="N999" s="14" t="s">
        <v>7258</v>
      </c>
      <c r="O999" s="16" t="s">
        <v>7259</v>
      </c>
      <c r="P999" s="14" t="s">
        <v>7260</v>
      </c>
      <c r="Q999" s="14" t="s">
        <v>7261</v>
      </c>
      <c r="R999" s="14" t="s">
        <v>7262</v>
      </c>
      <c r="S999" s="16" t="s">
        <v>7263</v>
      </c>
      <c r="T999" s="14" t="s">
        <v>5484</v>
      </c>
      <c r="U999" s="16" t="s">
        <v>7264</v>
      </c>
      <c r="V999" s="14" t="s">
        <v>7290</v>
      </c>
      <c r="W999" s="14" t="s">
        <v>7254</v>
      </c>
      <c r="X999" s="17" t="str">
        <f>HYPERLINK("https://my.pitchbook.com?p=395368-57P","View People Online")</f>
        <v>View People Online</v>
      </c>
    </row>
    <row r="1000">
      <c r="A1000" s="10" t="s">
        <v>7291</v>
      </c>
      <c r="B1000" s="10" t="s">
        <v>7292</v>
      </c>
      <c r="C1000" s="10" t="s">
        <v>7293</v>
      </c>
      <c r="D1000" s="10" t="s">
        <v>3908</v>
      </c>
      <c r="E1000" s="10" t="s">
        <v>7254</v>
      </c>
      <c r="F1000" s="10" t="s">
        <v>1283</v>
      </c>
      <c r="G1000" s="10" t="s">
        <v>7294</v>
      </c>
      <c r="H1000" s="11" t="s">
        <v>31</v>
      </c>
      <c r="I1000" s="11">
        <v>1.0</v>
      </c>
      <c r="J1000" s="11">
        <v>1.0</v>
      </c>
      <c r="K1000" s="11" t="s">
        <v>31</v>
      </c>
      <c r="L1000" s="12" t="s">
        <v>7256</v>
      </c>
      <c r="M1000" s="10" t="s">
        <v>7295</v>
      </c>
      <c r="N1000" s="10" t="s">
        <v>7258</v>
      </c>
      <c r="O1000" s="12" t="s">
        <v>7259</v>
      </c>
      <c r="P1000" s="10" t="s">
        <v>7260</v>
      </c>
      <c r="Q1000" s="10" t="s">
        <v>7261</v>
      </c>
      <c r="R1000" s="10" t="s">
        <v>7262</v>
      </c>
      <c r="S1000" s="12" t="s">
        <v>7263</v>
      </c>
      <c r="T1000" s="10" t="s">
        <v>5484</v>
      </c>
      <c r="U1000" s="12" t="s">
        <v>7264</v>
      </c>
      <c r="V1000" s="10" t="s">
        <v>7296</v>
      </c>
      <c r="W1000" s="10" t="s">
        <v>7254</v>
      </c>
      <c r="X1000" s="13" t="str">
        <f>HYPERLINK("https://my.pitchbook.com?p=418007-17P","View People Online")</f>
        <v>View People Online</v>
      </c>
    </row>
    <row r="1001">
      <c r="A1001" s="6" t="s">
        <v>7297</v>
      </c>
      <c r="B1001" s="6" t="s">
        <v>7298</v>
      </c>
      <c r="C1001" s="6" t="s">
        <v>1849</v>
      </c>
      <c r="D1001" s="6" t="s">
        <v>7299</v>
      </c>
      <c r="E1001" s="6" t="s">
        <v>7254</v>
      </c>
      <c r="F1001" s="6" t="s">
        <v>78</v>
      </c>
      <c r="G1001" s="6" t="s">
        <v>7300</v>
      </c>
      <c r="H1001" s="7" t="s">
        <v>31</v>
      </c>
      <c r="I1001" s="7">
        <v>1.0</v>
      </c>
      <c r="J1001" s="7">
        <v>1.0</v>
      </c>
      <c r="K1001" s="7" t="s">
        <v>31</v>
      </c>
      <c r="L1001" s="8" t="s">
        <v>7256</v>
      </c>
      <c r="M1001" s="6" t="s">
        <v>7301</v>
      </c>
      <c r="N1001" s="6" t="s">
        <v>7258</v>
      </c>
      <c r="O1001" s="8" t="s">
        <v>7259</v>
      </c>
      <c r="P1001" s="6" t="s">
        <v>7260</v>
      </c>
      <c r="Q1001" s="6" t="s">
        <v>7261</v>
      </c>
      <c r="R1001" s="6" t="s">
        <v>7262</v>
      </c>
      <c r="S1001" s="8" t="s">
        <v>7263</v>
      </c>
      <c r="T1001" s="6" t="s">
        <v>5484</v>
      </c>
      <c r="U1001" s="8" t="s">
        <v>7264</v>
      </c>
      <c r="V1001" s="6" t="s">
        <v>78</v>
      </c>
      <c r="W1001" s="6" t="s">
        <v>7254</v>
      </c>
      <c r="X1001" s="9" t="str">
        <f>HYPERLINK("https://my.pitchbook.com?p=121793-14P","View People Online")</f>
        <v>View People Online</v>
      </c>
    </row>
    <row r="1002">
      <c r="A1002" s="10" t="s">
        <v>7302</v>
      </c>
      <c r="B1002" s="10" t="s">
        <v>7303</v>
      </c>
      <c r="C1002" s="10" t="s">
        <v>7304</v>
      </c>
      <c r="D1002" s="10" t="s">
        <v>3908</v>
      </c>
      <c r="E1002" s="10" t="s">
        <v>7254</v>
      </c>
      <c r="F1002" s="10" t="s">
        <v>7305</v>
      </c>
      <c r="G1002" s="10" t="s">
        <v>7306</v>
      </c>
      <c r="H1002" s="11" t="s">
        <v>31</v>
      </c>
      <c r="I1002" s="11">
        <v>1.0</v>
      </c>
      <c r="J1002" s="11">
        <v>1.0</v>
      </c>
      <c r="K1002" s="11" t="s">
        <v>31</v>
      </c>
      <c r="L1002" s="12" t="s">
        <v>7256</v>
      </c>
      <c r="M1002" s="10" t="s">
        <v>7307</v>
      </c>
      <c r="N1002" s="10" t="s">
        <v>7258</v>
      </c>
      <c r="O1002" s="12" t="s">
        <v>7259</v>
      </c>
      <c r="P1002" s="10" t="s">
        <v>7260</v>
      </c>
      <c r="Q1002" s="10" t="s">
        <v>7261</v>
      </c>
      <c r="R1002" s="10" t="s">
        <v>7262</v>
      </c>
      <c r="S1002" s="12" t="s">
        <v>7263</v>
      </c>
      <c r="T1002" s="10" t="s">
        <v>5484</v>
      </c>
      <c r="U1002" s="12" t="s">
        <v>7264</v>
      </c>
      <c r="V1002" s="10" t="s">
        <v>7308</v>
      </c>
      <c r="W1002" s="10" t="s">
        <v>7254</v>
      </c>
      <c r="X1002" s="13" t="str">
        <f>HYPERLINK("https://my.pitchbook.com?p=186368-77P","View People Online")</f>
        <v>View People Online</v>
      </c>
    </row>
    <row r="1003">
      <c r="A1003" s="6" t="s">
        <v>7309</v>
      </c>
      <c r="B1003" s="6" t="s">
        <v>7310</v>
      </c>
      <c r="C1003" s="6" t="s">
        <v>823</v>
      </c>
      <c r="D1003" s="6" t="s">
        <v>4346</v>
      </c>
      <c r="E1003" s="6" t="s">
        <v>7254</v>
      </c>
      <c r="F1003" s="6" t="s">
        <v>548</v>
      </c>
      <c r="G1003" s="6" t="s">
        <v>7311</v>
      </c>
      <c r="H1003" s="7" t="s">
        <v>31</v>
      </c>
      <c r="I1003" s="7">
        <v>2.0</v>
      </c>
      <c r="J1003" s="7">
        <v>1.0</v>
      </c>
      <c r="K1003" s="7">
        <v>1.0</v>
      </c>
      <c r="L1003" s="8" t="s">
        <v>7256</v>
      </c>
      <c r="M1003" s="6" t="s">
        <v>31</v>
      </c>
      <c r="N1003" s="6" t="s">
        <v>7258</v>
      </c>
      <c r="O1003" s="8" t="s">
        <v>7259</v>
      </c>
      <c r="P1003" s="6" t="s">
        <v>7260</v>
      </c>
      <c r="Q1003" s="6" t="s">
        <v>7261</v>
      </c>
      <c r="R1003" s="6" t="s">
        <v>7262</v>
      </c>
      <c r="S1003" s="8" t="s">
        <v>7263</v>
      </c>
      <c r="T1003" s="6" t="s">
        <v>5484</v>
      </c>
      <c r="U1003" s="8" t="s">
        <v>7264</v>
      </c>
      <c r="V1003" s="6" t="s">
        <v>548</v>
      </c>
      <c r="W1003" s="6" t="s">
        <v>7254</v>
      </c>
      <c r="X1003" s="9" t="str">
        <f>HYPERLINK("https://my.pitchbook.com?p=434332-72P","View People Online")</f>
        <v>View People Online</v>
      </c>
    </row>
    <row r="1004">
      <c r="A1004" s="10" t="s">
        <v>7312</v>
      </c>
      <c r="B1004" s="10" t="s">
        <v>7313</v>
      </c>
      <c r="C1004" s="10" t="s">
        <v>7314</v>
      </c>
      <c r="D1004" s="10" t="s">
        <v>1085</v>
      </c>
      <c r="E1004" s="10" t="s">
        <v>7254</v>
      </c>
      <c r="F1004" s="10" t="s">
        <v>201</v>
      </c>
      <c r="G1004" s="10" t="s">
        <v>7315</v>
      </c>
      <c r="H1004" s="11" t="s">
        <v>31</v>
      </c>
      <c r="I1004" s="11">
        <v>1.0</v>
      </c>
      <c r="J1004" s="11">
        <v>1.0</v>
      </c>
      <c r="K1004" s="11" t="s">
        <v>31</v>
      </c>
      <c r="L1004" s="12" t="s">
        <v>7256</v>
      </c>
      <c r="M1004" s="10" t="s">
        <v>7316</v>
      </c>
      <c r="N1004" s="10" t="s">
        <v>7258</v>
      </c>
      <c r="O1004" s="12" t="s">
        <v>7259</v>
      </c>
      <c r="P1004" s="10" t="s">
        <v>7260</v>
      </c>
      <c r="Q1004" s="10" t="s">
        <v>7261</v>
      </c>
      <c r="R1004" s="10" t="s">
        <v>7262</v>
      </c>
      <c r="S1004" s="12" t="s">
        <v>7263</v>
      </c>
      <c r="T1004" s="10" t="s">
        <v>5484</v>
      </c>
      <c r="U1004" s="12" t="s">
        <v>7264</v>
      </c>
      <c r="V1004" s="10" t="s">
        <v>201</v>
      </c>
      <c r="W1004" s="10" t="s">
        <v>7254</v>
      </c>
      <c r="X1004" s="13" t="str">
        <f>HYPERLINK("https://my.pitchbook.com?p=415044-10P","View People Online")</f>
        <v>View People Online</v>
      </c>
    </row>
    <row r="1005">
      <c r="A1005" s="14" t="s">
        <v>7317</v>
      </c>
      <c r="B1005" s="14" t="s">
        <v>7318</v>
      </c>
      <c r="C1005" s="14" t="s">
        <v>7319</v>
      </c>
      <c r="D1005" s="14" t="s">
        <v>7320</v>
      </c>
      <c r="E1005" s="14" t="s">
        <v>7254</v>
      </c>
      <c r="F1005" s="14" t="s">
        <v>548</v>
      </c>
      <c r="G1005" s="14" t="s">
        <v>7321</v>
      </c>
      <c r="H1005" s="15" t="s">
        <v>31</v>
      </c>
      <c r="I1005" s="15">
        <v>1.0</v>
      </c>
      <c r="J1005" s="15">
        <v>1.0</v>
      </c>
      <c r="K1005" s="15" t="s">
        <v>31</v>
      </c>
      <c r="L1005" s="16" t="s">
        <v>7256</v>
      </c>
      <c r="M1005" s="14" t="s">
        <v>7322</v>
      </c>
      <c r="N1005" s="14" t="s">
        <v>7258</v>
      </c>
      <c r="O1005" s="16" t="s">
        <v>7259</v>
      </c>
      <c r="P1005" s="14" t="s">
        <v>7260</v>
      </c>
      <c r="Q1005" s="14" t="s">
        <v>7261</v>
      </c>
      <c r="R1005" s="14" t="s">
        <v>7262</v>
      </c>
      <c r="S1005" s="16" t="s">
        <v>7263</v>
      </c>
      <c r="T1005" s="14" t="s">
        <v>5484</v>
      </c>
      <c r="U1005" s="16" t="s">
        <v>7264</v>
      </c>
      <c r="V1005" s="14" t="s">
        <v>7323</v>
      </c>
      <c r="W1005" s="14" t="s">
        <v>7254</v>
      </c>
      <c r="X1005" s="17" t="str">
        <f>HYPERLINK("https://my.pitchbook.com?p=351103-51P","View People Online")</f>
        <v>View People Online</v>
      </c>
    </row>
    <row r="1006">
      <c r="A1006" s="2" t="s">
        <v>7324</v>
      </c>
      <c r="B1006" s="2" t="s">
        <v>7325</v>
      </c>
      <c r="C1006" s="2" t="s">
        <v>7089</v>
      </c>
      <c r="D1006" s="2" t="s">
        <v>4526</v>
      </c>
      <c r="E1006" s="2" t="s">
        <v>7254</v>
      </c>
      <c r="F1006" s="2" t="s">
        <v>1199</v>
      </c>
      <c r="G1006" s="2" t="s">
        <v>7326</v>
      </c>
      <c r="H1006" s="3" t="s">
        <v>31</v>
      </c>
      <c r="I1006" s="3">
        <v>1.0</v>
      </c>
      <c r="J1006" s="3">
        <v>1.0</v>
      </c>
      <c r="K1006" s="3" t="s">
        <v>31</v>
      </c>
      <c r="L1006" s="4" t="s">
        <v>7256</v>
      </c>
      <c r="M1006" s="2" t="s">
        <v>7327</v>
      </c>
      <c r="N1006" s="2" t="s">
        <v>7258</v>
      </c>
      <c r="O1006" s="4" t="s">
        <v>7259</v>
      </c>
      <c r="P1006" s="2" t="s">
        <v>7260</v>
      </c>
      <c r="Q1006" s="2" t="s">
        <v>7261</v>
      </c>
      <c r="R1006" s="2" t="s">
        <v>7262</v>
      </c>
      <c r="S1006" s="4" t="s">
        <v>7263</v>
      </c>
      <c r="T1006" s="2" t="s">
        <v>5484</v>
      </c>
      <c r="U1006" s="4" t="s">
        <v>7264</v>
      </c>
      <c r="V1006" s="2" t="s">
        <v>1199</v>
      </c>
      <c r="W1006" s="2" t="s">
        <v>7254</v>
      </c>
      <c r="X1006" s="5" t="str">
        <f>HYPERLINK("https://my.pitchbook.com?p=446986-00P","View People Online")</f>
        <v>View People Online</v>
      </c>
    </row>
    <row r="1007">
      <c r="A1007" s="6" t="s">
        <v>7328</v>
      </c>
      <c r="B1007" s="6" t="s">
        <v>7329</v>
      </c>
      <c r="C1007" s="6" t="s">
        <v>167</v>
      </c>
      <c r="D1007" s="6" t="s">
        <v>1645</v>
      </c>
      <c r="E1007" s="6" t="s">
        <v>7254</v>
      </c>
      <c r="F1007" s="6" t="s">
        <v>1801</v>
      </c>
      <c r="G1007" s="6" t="s">
        <v>7330</v>
      </c>
      <c r="H1007" s="7" t="s">
        <v>31</v>
      </c>
      <c r="I1007" s="7">
        <v>1.0</v>
      </c>
      <c r="J1007" s="7">
        <v>1.0</v>
      </c>
      <c r="K1007" s="7" t="s">
        <v>31</v>
      </c>
      <c r="L1007" s="8" t="s">
        <v>7256</v>
      </c>
      <c r="M1007" s="6" t="s">
        <v>7331</v>
      </c>
      <c r="N1007" s="6" t="s">
        <v>2478</v>
      </c>
      <c r="O1007" s="8" t="s">
        <v>7332</v>
      </c>
      <c r="P1007" s="6" t="s">
        <v>7333</v>
      </c>
      <c r="Q1007" s="6" t="s">
        <v>7334</v>
      </c>
      <c r="R1007" s="6" t="s">
        <v>7335</v>
      </c>
      <c r="S1007" s="8" t="s">
        <v>7336</v>
      </c>
      <c r="T1007" s="6" t="s">
        <v>5484</v>
      </c>
      <c r="U1007" s="8" t="s">
        <v>31</v>
      </c>
      <c r="V1007" s="6" t="s">
        <v>7337</v>
      </c>
      <c r="W1007" s="6" t="s">
        <v>7254</v>
      </c>
      <c r="X1007" s="9" t="str">
        <f>HYPERLINK("https://my.pitchbook.com?p=444557-17P","View People Online")</f>
        <v>View People Online</v>
      </c>
    </row>
    <row r="1008">
      <c r="A1008" s="10" t="s">
        <v>7338</v>
      </c>
      <c r="B1008" s="10" t="s">
        <v>7339</v>
      </c>
      <c r="C1008" s="10" t="s">
        <v>7340</v>
      </c>
      <c r="D1008" s="10" t="s">
        <v>7341</v>
      </c>
      <c r="E1008" s="10" t="s">
        <v>7254</v>
      </c>
      <c r="F1008" s="10" t="s">
        <v>470</v>
      </c>
      <c r="G1008" s="10" t="s">
        <v>7342</v>
      </c>
      <c r="H1008" s="11">
        <v>1.0</v>
      </c>
      <c r="I1008" s="11">
        <v>3.0</v>
      </c>
      <c r="J1008" s="11">
        <v>1.0</v>
      </c>
      <c r="K1008" s="11">
        <v>1.0</v>
      </c>
      <c r="L1008" s="12" t="s">
        <v>7256</v>
      </c>
      <c r="M1008" s="10" t="s">
        <v>7343</v>
      </c>
      <c r="N1008" s="10" t="s">
        <v>7258</v>
      </c>
      <c r="O1008" s="12" t="s">
        <v>7259</v>
      </c>
      <c r="P1008" s="10" t="s">
        <v>7260</v>
      </c>
      <c r="Q1008" s="10" t="s">
        <v>7261</v>
      </c>
      <c r="R1008" s="10" t="s">
        <v>7262</v>
      </c>
      <c r="S1008" s="12" t="s">
        <v>7263</v>
      </c>
      <c r="T1008" s="10" t="s">
        <v>5484</v>
      </c>
      <c r="U1008" s="12" t="s">
        <v>7264</v>
      </c>
      <c r="V1008" s="10" t="s">
        <v>470</v>
      </c>
      <c r="W1008" s="10" t="s">
        <v>7254</v>
      </c>
      <c r="X1008" s="13" t="str">
        <f>HYPERLINK("https://my.pitchbook.com?p=77603-50P","View People Online")</f>
        <v>View People Online</v>
      </c>
    </row>
    <row r="1009">
      <c r="A1009" s="6" t="s">
        <v>7344</v>
      </c>
      <c r="B1009" s="6" t="s">
        <v>7345</v>
      </c>
      <c r="C1009" s="6" t="s">
        <v>1388</v>
      </c>
      <c r="D1009" s="6" t="s">
        <v>7346</v>
      </c>
      <c r="E1009" s="6" t="s">
        <v>7254</v>
      </c>
      <c r="F1009" s="6" t="s">
        <v>1433</v>
      </c>
      <c r="G1009" s="6" t="s">
        <v>7347</v>
      </c>
      <c r="H1009" s="7" t="s">
        <v>31</v>
      </c>
      <c r="I1009" s="7">
        <v>1.0</v>
      </c>
      <c r="J1009" s="7">
        <v>1.0</v>
      </c>
      <c r="K1009" s="7" t="s">
        <v>31</v>
      </c>
      <c r="L1009" s="8" t="s">
        <v>7256</v>
      </c>
      <c r="M1009" s="6" t="s">
        <v>7348</v>
      </c>
      <c r="N1009" s="6" t="s">
        <v>7258</v>
      </c>
      <c r="O1009" s="8" t="s">
        <v>7259</v>
      </c>
      <c r="P1009" s="6" t="s">
        <v>7260</v>
      </c>
      <c r="Q1009" s="6" t="s">
        <v>7261</v>
      </c>
      <c r="R1009" s="6" t="s">
        <v>7262</v>
      </c>
      <c r="S1009" s="8" t="s">
        <v>7263</v>
      </c>
      <c r="T1009" s="6" t="s">
        <v>5484</v>
      </c>
      <c r="U1009" s="8" t="s">
        <v>7264</v>
      </c>
      <c r="V1009" s="6" t="s">
        <v>7349</v>
      </c>
      <c r="W1009" s="6" t="s">
        <v>7254</v>
      </c>
      <c r="X1009" s="9" t="str">
        <f>HYPERLINK("https://my.pitchbook.com?p=87421-24P","View People Online")</f>
        <v>View People Online</v>
      </c>
    </row>
    <row r="1010">
      <c r="A1010" s="2" t="s">
        <v>7350</v>
      </c>
      <c r="B1010" s="2" t="s">
        <v>7351</v>
      </c>
      <c r="C1010" s="2" t="s">
        <v>7352</v>
      </c>
      <c r="D1010" s="2" t="s">
        <v>2432</v>
      </c>
      <c r="E1010" s="2" t="s">
        <v>7254</v>
      </c>
      <c r="F1010" s="2" t="s">
        <v>2422</v>
      </c>
      <c r="G1010" s="2" t="s">
        <v>7353</v>
      </c>
      <c r="H1010" s="3" t="s">
        <v>31</v>
      </c>
      <c r="I1010" s="3">
        <v>1.0</v>
      </c>
      <c r="J1010" s="3">
        <v>1.0</v>
      </c>
      <c r="K1010" s="3" t="s">
        <v>31</v>
      </c>
      <c r="L1010" s="4" t="s">
        <v>7256</v>
      </c>
      <c r="M1010" s="2" t="s">
        <v>7354</v>
      </c>
      <c r="N1010" s="2" t="s">
        <v>7258</v>
      </c>
      <c r="O1010" s="4" t="s">
        <v>7259</v>
      </c>
      <c r="P1010" s="2" t="s">
        <v>7260</v>
      </c>
      <c r="Q1010" s="2" t="s">
        <v>7261</v>
      </c>
      <c r="R1010" s="2" t="s">
        <v>7262</v>
      </c>
      <c r="S1010" s="4" t="s">
        <v>7263</v>
      </c>
      <c r="T1010" s="2" t="s">
        <v>5484</v>
      </c>
      <c r="U1010" s="4" t="s">
        <v>7264</v>
      </c>
      <c r="V1010" s="2" t="s">
        <v>7355</v>
      </c>
      <c r="W1010" s="2" t="s">
        <v>7254</v>
      </c>
      <c r="X1010" s="5" t="str">
        <f>HYPERLINK("https://my.pitchbook.com?p=94161-61P","View People Online")</f>
        <v>View People Online</v>
      </c>
    </row>
    <row r="1011">
      <c r="A1011" s="14" t="s">
        <v>7356</v>
      </c>
      <c r="B1011" s="14" t="s">
        <v>7357</v>
      </c>
      <c r="C1011" s="14" t="s">
        <v>6192</v>
      </c>
      <c r="D1011" s="14" t="s">
        <v>7358</v>
      </c>
      <c r="E1011" s="14" t="s">
        <v>7254</v>
      </c>
      <c r="F1011" s="14" t="s">
        <v>270</v>
      </c>
      <c r="G1011" s="14" t="s">
        <v>7359</v>
      </c>
      <c r="H1011" s="15" t="s">
        <v>31</v>
      </c>
      <c r="I1011" s="15">
        <v>1.0</v>
      </c>
      <c r="J1011" s="15">
        <v>1.0</v>
      </c>
      <c r="K1011" s="15" t="s">
        <v>31</v>
      </c>
      <c r="L1011" s="16" t="s">
        <v>7360</v>
      </c>
      <c r="M1011" s="14" t="s">
        <v>7361</v>
      </c>
      <c r="N1011" s="14" t="s">
        <v>7258</v>
      </c>
      <c r="O1011" s="16" t="s">
        <v>7259</v>
      </c>
      <c r="P1011" s="14" t="s">
        <v>7260</v>
      </c>
      <c r="Q1011" s="14" t="s">
        <v>7261</v>
      </c>
      <c r="R1011" s="14" t="s">
        <v>7262</v>
      </c>
      <c r="S1011" s="16" t="s">
        <v>7263</v>
      </c>
      <c r="T1011" s="14" t="s">
        <v>5484</v>
      </c>
      <c r="U1011" s="16" t="s">
        <v>7362</v>
      </c>
      <c r="V1011" s="14" t="s">
        <v>7363</v>
      </c>
      <c r="W1011" s="14" t="s">
        <v>7254</v>
      </c>
      <c r="X1011" s="17" t="str">
        <f>HYPERLINK("https://my.pitchbook.com?p=420599-80P","View People Online")</f>
        <v>View People Online</v>
      </c>
    </row>
    <row r="1012">
      <c r="A1012" s="10" t="s">
        <v>7364</v>
      </c>
      <c r="B1012" s="10" t="s">
        <v>7365</v>
      </c>
      <c r="C1012" s="10" t="s">
        <v>7366</v>
      </c>
      <c r="D1012" s="10" t="s">
        <v>408</v>
      </c>
      <c r="E1012" s="10" t="s">
        <v>7254</v>
      </c>
      <c r="F1012" s="10" t="s">
        <v>270</v>
      </c>
      <c r="G1012" s="10" t="s">
        <v>7367</v>
      </c>
      <c r="H1012" s="11" t="s">
        <v>31</v>
      </c>
      <c r="I1012" s="11">
        <v>1.0</v>
      </c>
      <c r="J1012" s="11">
        <v>1.0</v>
      </c>
      <c r="K1012" s="11" t="s">
        <v>31</v>
      </c>
      <c r="L1012" s="12" t="s">
        <v>7256</v>
      </c>
      <c r="M1012" s="10" t="s">
        <v>7368</v>
      </c>
      <c r="N1012" s="10" t="s">
        <v>7258</v>
      </c>
      <c r="O1012" s="12" t="s">
        <v>7259</v>
      </c>
      <c r="P1012" s="10" t="s">
        <v>7260</v>
      </c>
      <c r="Q1012" s="10" t="s">
        <v>7261</v>
      </c>
      <c r="R1012" s="10" t="s">
        <v>7262</v>
      </c>
      <c r="S1012" s="12" t="s">
        <v>7263</v>
      </c>
      <c r="T1012" s="10" t="s">
        <v>5484</v>
      </c>
      <c r="U1012" s="12" t="s">
        <v>7264</v>
      </c>
      <c r="V1012" s="10" t="s">
        <v>7369</v>
      </c>
      <c r="W1012" s="10" t="s">
        <v>7254</v>
      </c>
      <c r="X1012" s="13" t="str">
        <f>HYPERLINK("https://my.pitchbook.com?p=270374-68P","View People Online")</f>
        <v>View People Online</v>
      </c>
    </row>
    <row r="1013">
      <c r="A1013" s="14" t="s">
        <v>7370</v>
      </c>
      <c r="B1013" s="14" t="s">
        <v>7371</v>
      </c>
      <c r="C1013" s="14" t="s">
        <v>7372</v>
      </c>
      <c r="D1013" s="14" t="s">
        <v>7373</v>
      </c>
      <c r="E1013" s="14" t="s">
        <v>7254</v>
      </c>
      <c r="F1013" s="14" t="s">
        <v>270</v>
      </c>
      <c r="G1013" s="14" t="s">
        <v>7374</v>
      </c>
      <c r="H1013" s="15" t="s">
        <v>31</v>
      </c>
      <c r="I1013" s="15">
        <v>1.0</v>
      </c>
      <c r="J1013" s="15">
        <v>1.0</v>
      </c>
      <c r="K1013" s="15" t="s">
        <v>31</v>
      </c>
      <c r="L1013" s="16" t="s">
        <v>7256</v>
      </c>
      <c r="M1013" s="14" t="s">
        <v>7375</v>
      </c>
      <c r="N1013" s="14" t="s">
        <v>7258</v>
      </c>
      <c r="O1013" s="16" t="s">
        <v>7259</v>
      </c>
      <c r="P1013" s="14" t="s">
        <v>7260</v>
      </c>
      <c r="Q1013" s="14" t="s">
        <v>7261</v>
      </c>
      <c r="R1013" s="14" t="s">
        <v>7262</v>
      </c>
      <c r="S1013" s="16" t="s">
        <v>7263</v>
      </c>
      <c r="T1013" s="14" t="s">
        <v>5484</v>
      </c>
      <c r="U1013" s="16" t="s">
        <v>7264</v>
      </c>
      <c r="V1013" s="14" t="s">
        <v>7376</v>
      </c>
      <c r="W1013" s="14" t="s">
        <v>7254</v>
      </c>
      <c r="X1013" s="17" t="str">
        <f>HYPERLINK("https://my.pitchbook.com?p=54349-66P","View People Online")</f>
        <v>View People Online</v>
      </c>
    </row>
    <row r="1014">
      <c r="A1014" s="10" t="s">
        <v>7377</v>
      </c>
      <c r="B1014" s="10" t="s">
        <v>7378</v>
      </c>
      <c r="C1014" s="10" t="s">
        <v>2572</v>
      </c>
      <c r="D1014" s="10" t="s">
        <v>7379</v>
      </c>
      <c r="E1014" s="10" t="s">
        <v>7380</v>
      </c>
      <c r="F1014" s="10" t="s">
        <v>7381</v>
      </c>
      <c r="G1014" s="10" t="s">
        <v>7382</v>
      </c>
      <c r="H1014" s="11" t="s">
        <v>31</v>
      </c>
      <c r="I1014" s="11">
        <v>1.0</v>
      </c>
      <c r="J1014" s="11">
        <v>1.0</v>
      </c>
      <c r="K1014" s="11" t="s">
        <v>31</v>
      </c>
      <c r="L1014" s="12" t="s">
        <v>7383</v>
      </c>
      <c r="M1014" s="10" t="s">
        <v>7384</v>
      </c>
      <c r="N1014" s="10" t="s">
        <v>155</v>
      </c>
      <c r="O1014" s="12" t="s">
        <v>156</v>
      </c>
      <c r="P1014" s="10" t="s">
        <v>7385</v>
      </c>
      <c r="Q1014" s="10" t="s">
        <v>1280</v>
      </c>
      <c r="R1014" s="10" t="s">
        <v>64</v>
      </c>
      <c r="S1014" s="12" t="s">
        <v>3487</v>
      </c>
      <c r="T1014" s="10" t="s">
        <v>66</v>
      </c>
      <c r="U1014" s="12" t="s">
        <v>31</v>
      </c>
      <c r="V1014" s="10" t="s">
        <v>7386</v>
      </c>
      <c r="W1014" s="10" t="s">
        <v>7380</v>
      </c>
      <c r="X1014" s="13" t="str">
        <f>HYPERLINK("https://my.pitchbook.com?p=419069-80P","View People Online")</f>
        <v>View People Online</v>
      </c>
    </row>
    <row r="1015">
      <c r="A1015" s="14" t="s">
        <v>7387</v>
      </c>
      <c r="B1015" s="14" t="s">
        <v>7388</v>
      </c>
      <c r="C1015" s="14" t="s">
        <v>568</v>
      </c>
      <c r="D1015" s="14" t="s">
        <v>7389</v>
      </c>
      <c r="E1015" s="14" t="s">
        <v>7380</v>
      </c>
      <c r="F1015" s="14" t="s">
        <v>7390</v>
      </c>
      <c r="G1015" s="14" t="s">
        <v>7391</v>
      </c>
      <c r="H1015" s="15" t="s">
        <v>31</v>
      </c>
      <c r="I1015" s="15">
        <v>2.0</v>
      </c>
      <c r="J1015" s="15">
        <v>1.0</v>
      </c>
      <c r="K1015" s="15">
        <v>1.0</v>
      </c>
      <c r="L1015" s="16" t="s">
        <v>31</v>
      </c>
      <c r="M1015" s="14" t="s">
        <v>7392</v>
      </c>
      <c r="N1015" s="14" t="s">
        <v>243</v>
      </c>
      <c r="O1015" s="16" t="s">
        <v>244</v>
      </c>
      <c r="P1015" s="14" t="s">
        <v>31</v>
      </c>
      <c r="Q1015" s="14" t="s">
        <v>31</v>
      </c>
      <c r="R1015" s="14" t="s">
        <v>247</v>
      </c>
      <c r="S1015" s="16" t="s">
        <v>31</v>
      </c>
      <c r="T1015" s="14" t="s">
        <v>249</v>
      </c>
      <c r="U1015" s="16" t="s">
        <v>31</v>
      </c>
      <c r="V1015" s="14" t="s">
        <v>7393</v>
      </c>
      <c r="W1015" s="14" t="s">
        <v>7380</v>
      </c>
      <c r="X1015" s="17" t="str">
        <f>HYPERLINK("https://my.pitchbook.com?p=135383-50P","View People Online")</f>
        <v>View People Online</v>
      </c>
    </row>
    <row r="1016">
      <c r="A1016" s="10" t="s">
        <v>7394</v>
      </c>
      <c r="B1016" s="10" t="s">
        <v>7395</v>
      </c>
      <c r="C1016" s="10" t="s">
        <v>4731</v>
      </c>
      <c r="D1016" s="10" t="s">
        <v>7396</v>
      </c>
      <c r="E1016" s="10" t="s">
        <v>7380</v>
      </c>
      <c r="F1016" s="10" t="s">
        <v>3740</v>
      </c>
      <c r="G1016" s="10" t="s">
        <v>7397</v>
      </c>
      <c r="H1016" s="11" t="s">
        <v>31</v>
      </c>
      <c r="I1016" s="11">
        <v>2.0</v>
      </c>
      <c r="J1016" s="11">
        <v>1.0</v>
      </c>
      <c r="K1016" s="11">
        <v>1.0</v>
      </c>
      <c r="L1016" s="12" t="s">
        <v>7383</v>
      </c>
      <c r="M1016" s="10" t="s">
        <v>7398</v>
      </c>
      <c r="N1016" s="10" t="s">
        <v>155</v>
      </c>
      <c r="O1016" s="12" t="s">
        <v>156</v>
      </c>
      <c r="P1016" s="10" t="s">
        <v>7385</v>
      </c>
      <c r="Q1016" s="10" t="s">
        <v>1280</v>
      </c>
      <c r="R1016" s="10" t="s">
        <v>64</v>
      </c>
      <c r="S1016" s="12" t="s">
        <v>3487</v>
      </c>
      <c r="T1016" s="10" t="s">
        <v>66</v>
      </c>
      <c r="U1016" s="12" t="s">
        <v>31</v>
      </c>
      <c r="V1016" s="10" t="s">
        <v>7399</v>
      </c>
      <c r="W1016" s="10" t="s">
        <v>7380</v>
      </c>
      <c r="X1016" s="13" t="str">
        <f>HYPERLINK("https://my.pitchbook.com?p=381527-74P","View People Online")</f>
        <v>View People Online</v>
      </c>
    </row>
    <row r="1017">
      <c r="A1017" s="14" t="s">
        <v>7400</v>
      </c>
      <c r="B1017" s="14" t="s">
        <v>7401</v>
      </c>
      <c r="C1017" s="14" t="s">
        <v>1117</v>
      </c>
      <c r="D1017" s="14" t="s">
        <v>7402</v>
      </c>
      <c r="E1017" s="14" t="s">
        <v>7380</v>
      </c>
      <c r="F1017" s="14" t="s">
        <v>1249</v>
      </c>
      <c r="G1017" s="14" t="s">
        <v>7403</v>
      </c>
      <c r="H1017" s="15">
        <v>3.0</v>
      </c>
      <c r="I1017" s="15">
        <v>16.0</v>
      </c>
      <c r="J1017" s="15">
        <v>1.0</v>
      </c>
      <c r="K1017" s="15">
        <v>11.0</v>
      </c>
      <c r="L1017" s="16" t="s">
        <v>7383</v>
      </c>
      <c r="M1017" s="14" t="s">
        <v>31</v>
      </c>
      <c r="N1017" s="14" t="s">
        <v>155</v>
      </c>
      <c r="O1017" s="16" t="s">
        <v>156</v>
      </c>
      <c r="P1017" s="14" t="s">
        <v>7385</v>
      </c>
      <c r="Q1017" s="14" t="s">
        <v>1280</v>
      </c>
      <c r="R1017" s="14" t="s">
        <v>64</v>
      </c>
      <c r="S1017" s="16" t="s">
        <v>3487</v>
      </c>
      <c r="T1017" s="14" t="s">
        <v>66</v>
      </c>
      <c r="U1017" s="16" t="s">
        <v>31</v>
      </c>
      <c r="V1017" s="14" t="s">
        <v>7404</v>
      </c>
      <c r="W1017" s="14" t="s">
        <v>7380</v>
      </c>
      <c r="X1017" s="17" t="str">
        <f>HYPERLINK("https://my.pitchbook.com?p=84497-86P","View People Online")</f>
        <v>View People Online</v>
      </c>
    </row>
    <row r="1018">
      <c r="A1018" s="2" t="s">
        <v>7405</v>
      </c>
      <c r="B1018" s="2" t="s">
        <v>7406</v>
      </c>
      <c r="C1018" s="2" t="s">
        <v>1117</v>
      </c>
      <c r="D1018" s="2" t="s">
        <v>7407</v>
      </c>
      <c r="E1018" s="2" t="s">
        <v>7380</v>
      </c>
      <c r="F1018" s="2" t="s">
        <v>371</v>
      </c>
      <c r="G1018" s="2" t="s">
        <v>7408</v>
      </c>
      <c r="H1018" s="3" t="s">
        <v>31</v>
      </c>
      <c r="I1018" s="3">
        <v>6.0</v>
      </c>
      <c r="J1018" s="3">
        <v>1.0</v>
      </c>
      <c r="K1018" s="3">
        <v>4.0</v>
      </c>
      <c r="L1018" s="4" t="s">
        <v>7383</v>
      </c>
      <c r="M1018" s="2" t="s">
        <v>7409</v>
      </c>
      <c r="N1018" s="2" t="s">
        <v>155</v>
      </c>
      <c r="O1018" s="4" t="s">
        <v>156</v>
      </c>
      <c r="P1018" s="2" t="s">
        <v>7385</v>
      </c>
      <c r="Q1018" s="2" t="s">
        <v>1280</v>
      </c>
      <c r="R1018" s="2" t="s">
        <v>64</v>
      </c>
      <c r="S1018" s="4" t="s">
        <v>3487</v>
      </c>
      <c r="T1018" s="2" t="s">
        <v>66</v>
      </c>
      <c r="U1018" s="4" t="s">
        <v>31</v>
      </c>
      <c r="V1018" s="2" t="s">
        <v>7410</v>
      </c>
      <c r="W1018" s="2" t="s">
        <v>7380</v>
      </c>
      <c r="X1018" s="5" t="str">
        <f>HYPERLINK("https://my.pitchbook.com?p=24619-24P","View People Online")</f>
        <v>View People Online</v>
      </c>
    </row>
    <row r="1019">
      <c r="A1019" s="14" t="s">
        <v>7411</v>
      </c>
      <c r="B1019" s="14" t="s">
        <v>7412</v>
      </c>
      <c r="C1019" s="14" t="s">
        <v>7413</v>
      </c>
      <c r="D1019" s="14" t="s">
        <v>7414</v>
      </c>
      <c r="E1019" s="14" t="s">
        <v>7380</v>
      </c>
      <c r="F1019" s="14" t="s">
        <v>7415</v>
      </c>
      <c r="G1019" s="14" t="s">
        <v>7416</v>
      </c>
      <c r="H1019" s="15" t="s">
        <v>31</v>
      </c>
      <c r="I1019" s="15">
        <v>2.0</v>
      </c>
      <c r="J1019" s="15">
        <v>1.0</v>
      </c>
      <c r="K1019" s="15" t="s">
        <v>31</v>
      </c>
      <c r="L1019" s="16" t="s">
        <v>7383</v>
      </c>
      <c r="M1019" s="14" t="s">
        <v>7417</v>
      </c>
      <c r="N1019" s="14" t="s">
        <v>155</v>
      </c>
      <c r="O1019" s="16" t="s">
        <v>156</v>
      </c>
      <c r="P1019" s="14" t="s">
        <v>7385</v>
      </c>
      <c r="Q1019" s="14" t="s">
        <v>1280</v>
      </c>
      <c r="R1019" s="14" t="s">
        <v>64</v>
      </c>
      <c r="S1019" s="16" t="s">
        <v>3487</v>
      </c>
      <c r="T1019" s="14" t="s">
        <v>66</v>
      </c>
      <c r="U1019" s="16" t="s">
        <v>31</v>
      </c>
      <c r="V1019" s="14" t="s">
        <v>7415</v>
      </c>
      <c r="W1019" s="14" t="s">
        <v>7380</v>
      </c>
      <c r="X1019" s="17" t="str">
        <f>HYPERLINK("https://my.pitchbook.com?p=446336-56P","View People Online")</f>
        <v>View People Online</v>
      </c>
    </row>
    <row r="1020">
      <c r="A1020" s="2" t="s">
        <v>7418</v>
      </c>
      <c r="B1020" s="2" t="s">
        <v>7419</v>
      </c>
      <c r="C1020" s="2" t="s">
        <v>1103</v>
      </c>
      <c r="D1020" s="2" t="s">
        <v>7420</v>
      </c>
      <c r="E1020" s="2" t="s">
        <v>7380</v>
      </c>
      <c r="F1020" s="2" t="s">
        <v>3600</v>
      </c>
      <c r="G1020" s="2" t="s">
        <v>7421</v>
      </c>
      <c r="H1020" s="3" t="s">
        <v>31</v>
      </c>
      <c r="I1020" s="3">
        <v>1.0</v>
      </c>
      <c r="J1020" s="3">
        <v>1.0</v>
      </c>
      <c r="K1020" s="3" t="s">
        <v>31</v>
      </c>
      <c r="L1020" s="4" t="s">
        <v>31</v>
      </c>
      <c r="M1020" s="2" t="s">
        <v>7422</v>
      </c>
      <c r="N1020" s="2" t="s">
        <v>243</v>
      </c>
      <c r="O1020" s="4" t="s">
        <v>244</v>
      </c>
      <c r="P1020" s="2" t="s">
        <v>31</v>
      </c>
      <c r="Q1020" s="2" t="s">
        <v>31</v>
      </c>
      <c r="R1020" s="2" t="s">
        <v>247</v>
      </c>
      <c r="S1020" s="4" t="s">
        <v>31</v>
      </c>
      <c r="T1020" s="2" t="s">
        <v>249</v>
      </c>
      <c r="U1020" s="4" t="s">
        <v>31</v>
      </c>
      <c r="V1020" s="2" t="s">
        <v>7423</v>
      </c>
      <c r="W1020" s="2" t="s">
        <v>7380</v>
      </c>
      <c r="X1020" s="5" t="str">
        <f>HYPERLINK("https://my.pitchbook.com?p=89264-71P","View People Online")</f>
        <v>View People Online</v>
      </c>
    </row>
    <row r="1021">
      <c r="A1021" s="6" t="s">
        <v>7424</v>
      </c>
      <c r="B1021" s="6" t="s">
        <v>7425</v>
      </c>
      <c r="C1021" s="6" t="s">
        <v>4210</v>
      </c>
      <c r="D1021" s="6" t="s">
        <v>4346</v>
      </c>
      <c r="E1021" s="6" t="s">
        <v>7380</v>
      </c>
      <c r="F1021" s="6" t="s">
        <v>7426</v>
      </c>
      <c r="G1021" s="6" t="s">
        <v>7427</v>
      </c>
      <c r="H1021" s="7" t="s">
        <v>31</v>
      </c>
      <c r="I1021" s="7">
        <v>1.0</v>
      </c>
      <c r="J1021" s="7">
        <v>1.0</v>
      </c>
      <c r="K1021" s="7" t="s">
        <v>31</v>
      </c>
      <c r="L1021" s="8" t="s">
        <v>7383</v>
      </c>
      <c r="M1021" s="6" t="s">
        <v>7428</v>
      </c>
      <c r="N1021" s="6" t="s">
        <v>155</v>
      </c>
      <c r="O1021" s="8" t="s">
        <v>156</v>
      </c>
      <c r="P1021" s="6" t="s">
        <v>7385</v>
      </c>
      <c r="Q1021" s="6" t="s">
        <v>1280</v>
      </c>
      <c r="R1021" s="6" t="s">
        <v>64</v>
      </c>
      <c r="S1021" s="8" t="s">
        <v>3487</v>
      </c>
      <c r="T1021" s="6" t="s">
        <v>66</v>
      </c>
      <c r="U1021" s="8" t="s">
        <v>31</v>
      </c>
      <c r="V1021" s="6" t="s">
        <v>7429</v>
      </c>
      <c r="W1021" s="6" t="s">
        <v>7380</v>
      </c>
      <c r="X1021" s="9" t="str">
        <f>HYPERLINK("https://my.pitchbook.com?p=433810-09P","View People Online")</f>
        <v>View People Online</v>
      </c>
    </row>
    <row r="1022">
      <c r="A1022" s="2" t="s">
        <v>7430</v>
      </c>
      <c r="B1022" s="2" t="s">
        <v>7431</v>
      </c>
      <c r="C1022" s="2" t="s">
        <v>3946</v>
      </c>
      <c r="D1022" s="2" t="s">
        <v>7432</v>
      </c>
      <c r="E1022" s="2" t="s">
        <v>7380</v>
      </c>
      <c r="F1022" s="2" t="s">
        <v>548</v>
      </c>
      <c r="G1022" s="2" t="s">
        <v>7433</v>
      </c>
      <c r="H1022" s="3" t="s">
        <v>31</v>
      </c>
      <c r="I1022" s="3">
        <v>1.0</v>
      </c>
      <c r="J1022" s="3">
        <v>1.0</v>
      </c>
      <c r="K1022" s="3" t="s">
        <v>31</v>
      </c>
      <c r="L1022" s="4" t="s">
        <v>7383</v>
      </c>
      <c r="M1022" s="2" t="s">
        <v>7434</v>
      </c>
      <c r="N1022" s="2" t="s">
        <v>155</v>
      </c>
      <c r="O1022" s="4" t="s">
        <v>156</v>
      </c>
      <c r="P1022" s="2" t="s">
        <v>7385</v>
      </c>
      <c r="Q1022" s="2" t="s">
        <v>1280</v>
      </c>
      <c r="R1022" s="2" t="s">
        <v>64</v>
      </c>
      <c r="S1022" s="4" t="s">
        <v>3487</v>
      </c>
      <c r="T1022" s="2" t="s">
        <v>66</v>
      </c>
      <c r="U1022" s="4" t="s">
        <v>31</v>
      </c>
      <c r="V1022" s="2" t="s">
        <v>7435</v>
      </c>
      <c r="W1022" s="2" t="s">
        <v>7380</v>
      </c>
      <c r="X1022" s="5" t="str">
        <f>HYPERLINK("https://my.pitchbook.com?p=86199-22P","View People Online")</f>
        <v>View People Online</v>
      </c>
    </row>
    <row r="1023">
      <c r="A1023" s="14" t="s">
        <v>7436</v>
      </c>
      <c r="B1023" s="14" t="s">
        <v>7437</v>
      </c>
      <c r="C1023" s="14" t="s">
        <v>7438</v>
      </c>
      <c r="D1023" s="14" t="s">
        <v>7439</v>
      </c>
      <c r="E1023" s="14" t="s">
        <v>7380</v>
      </c>
      <c r="F1023" s="14" t="s">
        <v>1801</v>
      </c>
      <c r="G1023" s="14" t="s">
        <v>7440</v>
      </c>
      <c r="H1023" s="15" t="s">
        <v>31</v>
      </c>
      <c r="I1023" s="15">
        <v>1.0</v>
      </c>
      <c r="J1023" s="15">
        <v>1.0</v>
      </c>
      <c r="K1023" s="15" t="s">
        <v>31</v>
      </c>
      <c r="L1023" s="16" t="s">
        <v>7383</v>
      </c>
      <c r="M1023" s="14" t="s">
        <v>7441</v>
      </c>
      <c r="N1023" s="14" t="s">
        <v>155</v>
      </c>
      <c r="O1023" s="16" t="s">
        <v>156</v>
      </c>
      <c r="P1023" s="14" t="s">
        <v>7385</v>
      </c>
      <c r="Q1023" s="14" t="s">
        <v>1280</v>
      </c>
      <c r="R1023" s="14" t="s">
        <v>64</v>
      </c>
      <c r="S1023" s="16" t="s">
        <v>3487</v>
      </c>
      <c r="T1023" s="14" t="s">
        <v>66</v>
      </c>
      <c r="U1023" s="16" t="s">
        <v>31</v>
      </c>
      <c r="V1023" s="14" t="s">
        <v>7442</v>
      </c>
      <c r="W1023" s="14" t="s">
        <v>7380</v>
      </c>
      <c r="X1023" s="17" t="str">
        <f>HYPERLINK("https://my.pitchbook.com?p=86205-16P","View People Online")</f>
        <v>View People Online</v>
      </c>
    </row>
    <row r="1024">
      <c r="A1024" s="2" t="s">
        <v>7443</v>
      </c>
      <c r="B1024" s="2" t="s">
        <v>7444</v>
      </c>
      <c r="C1024" s="2" t="s">
        <v>4228</v>
      </c>
      <c r="D1024" s="2" t="s">
        <v>7445</v>
      </c>
      <c r="E1024" s="2" t="s">
        <v>7380</v>
      </c>
      <c r="F1024" s="2" t="s">
        <v>5206</v>
      </c>
      <c r="G1024" s="2" t="s">
        <v>7446</v>
      </c>
      <c r="H1024" s="3" t="s">
        <v>31</v>
      </c>
      <c r="I1024" s="3">
        <v>1.0</v>
      </c>
      <c r="J1024" s="3">
        <v>1.0</v>
      </c>
      <c r="K1024" s="3" t="s">
        <v>31</v>
      </c>
      <c r="L1024" s="4" t="s">
        <v>7383</v>
      </c>
      <c r="M1024" s="2" t="s">
        <v>7447</v>
      </c>
      <c r="N1024" s="2" t="s">
        <v>155</v>
      </c>
      <c r="O1024" s="4" t="s">
        <v>156</v>
      </c>
      <c r="P1024" s="2" t="s">
        <v>7385</v>
      </c>
      <c r="Q1024" s="2" t="s">
        <v>1280</v>
      </c>
      <c r="R1024" s="2" t="s">
        <v>64</v>
      </c>
      <c r="S1024" s="4" t="s">
        <v>3487</v>
      </c>
      <c r="T1024" s="2" t="s">
        <v>66</v>
      </c>
      <c r="U1024" s="4" t="s">
        <v>31</v>
      </c>
      <c r="V1024" s="2" t="s">
        <v>7448</v>
      </c>
      <c r="W1024" s="2" t="s">
        <v>7380</v>
      </c>
      <c r="X1024" s="5" t="str">
        <f>HYPERLINK("https://my.pitchbook.com?p=266585-77P","View People Online")</f>
        <v>View People Online</v>
      </c>
    </row>
    <row r="1025">
      <c r="A1025" s="14" t="s">
        <v>7449</v>
      </c>
      <c r="B1025" s="14" t="s">
        <v>7450</v>
      </c>
      <c r="C1025" s="14" t="s">
        <v>7451</v>
      </c>
      <c r="D1025" s="14" t="s">
        <v>7452</v>
      </c>
      <c r="E1025" s="14" t="s">
        <v>7380</v>
      </c>
      <c r="F1025" s="14" t="s">
        <v>5234</v>
      </c>
      <c r="G1025" s="14" t="s">
        <v>7453</v>
      </c>
      <c r="H1025" s="15">
        <v>1.0</v>
      </c>
      <c r="I1025" s="15">
        <v>6.0</v>
      </c>
      <c r="J1025" s="15">
        <v>1.0</v>
      </c>
      <c r="K1025" s="15">
        <v>3.0</v>
      </c>
      <c r="L1025" s="16" t="s">
        <v>7383</v>
      </c>
      <c r="M1025" s="14" t="s">
        <v>7454</v>
      </c>
      <c r="N1025" s="14" t="s">
        <v>155</v>
      </c>
      <c r="O1025" s="16" t="s">
        <v>156</v>
      </c>
      <c r="P1025" s="14" t="s">
        <v>7385</v>
      </c>
      <c r="Q1025" s="14" t="s">
        <v>1280</v>
      </c>
      <c r="R1025" s="14" t="s">
        <v>64</v>
      </c>
      <c r="S1025" s="16" t="s">
        <v>3487</v>
      </c>
      <c r="T1025" s="14" t="s">
        <v>66</v>
      </c>
      <c r="U1025" s="16" t="s">
        <v>31</v>
      </c>
      <c r="V1025" s="14" t="s">
        <v>5234</v>
      </c>
      <c r="W1025" s="14" t="s">
        <v>7380</v>
      </c>
      <c r="X1025" s="17" t="str">
        <f>HYPERLINK("https://my.pitchbook.com?p=184705-93P","View People Online")</f>
        <v>View People Online</v>
      </c>
    </row>
    <row r="1026">
      <c r="A1026" s="2" t="s">
        <v>7455</v>
      </c>
      <c r="B1026" s="2" t="s">
        <v>7456</v>
      </c>
      <c r="C1026" s="2" t="s">
        <v>1449</v>
      </c>
      <c r="D1026" s="2" t="s">
        <v>7457</v>
      </c>
      <c r="E1026" s="2" t="s">
        <v>7380</v>
      </c>
      <c r="F1026" s="2" t="s">
        <v>7458</v>
      </c>
      <c r="G1026" s="2" t="s">
        <v>7459</v>
      </c>
      <c r="H1026" s="3" t="s">
        <v>31</v>
      </c>
      <c r="I1026" s="3">
        <v>2.0</v>
      </c>
      <c r="J1026" s="3">
        <v>1.0</v>
      </c>
      <c r="K1026" s="3">
        <v>1.0</v>
      </c>
      <c r="L1026" s="4" t="s">
        <v>7383</v>
      </c>
      <c r="M1026" s="2" t="s">
        <v>7460</v>
      </c>
      <c r="N1026" s="2" t="s">
        <v>155</v>
      </c>
      <c r="O1026" s="4" t="s">
        <v>156</v>
      </c>
      <c r="P1026" s="2" t="s">
        <v>7385</v>
      </c>
      <c r="Q1026" s="2" t="s">
        <v>1280</v>
      </c>
      <c r="R1026" s="2" t="s">
        <v>64</v>
      </c>
      <c r="S1026" s="4" t="s">
        <v>3487</v>
      </c>
      <c r="T1026" s="2" t="s">
        <v>66</v>
      </c>
      <c r="U1026" s="4" t="s">
        <v>31</v>
      </c>
      <c r="V1026" s="2" t="s">
        <v>7461</v>
      </c>
      <c r="W1026" s="2" t="s">
        <v>7380</v>
      </c>
      <c r="X1026" s="5" t="str">
        <f>HYPERLINK("https://my.pitchbook.com?p=59793-67P","View People Online")</f>
        <v>View People Online</v>
      </c>
    </row>
    <row r="1027">
      <c r="A1027" s="6" t="s">
        <v>7462</v>
      </c>
      <c r="B1027" s="6" t="s">
        <v>7463</v>
      </c>
      <c r="C1027" s="6" t="s">
        <v>7464</v>
      </c>
      <c r="D1027" s="6" t="s">
        <v>7465</v>
      </c>
      <c r="E1027" s="6" t="s">
        <v>7380</v>
      </c>
      <c r="F1027" s="6" t="s">
        <v>2156</v>
      </c>
      <c r="G1027" s="6" t="s">
        <v>7466</v>
      </c>
      <c r="H1027" s="7">
        <v>2.0</v>
      </c>
      <c r="I1027" s="7">
        <v>3.0</v>
      </c>
      <c r="J1027" s="7">
        <v>1.0</v>
      </c>
      <c r="K1027" s="7" t="s">
        <v>31</v>
      </c>
      <c r="L1027" s="8" t="s">
        <v>7383</v>
      </c>
      <c r="M1027" s="6" t="s">
        <v>31</v>
      </c>
      <c r="N1027" s="6" t="s">
        <v>155</v>
      </c>
      <c r="O1027" s="8" t="s">
        <v>156</v>
      </c>
      <c r="P1027" s="6" t="s">
        <v>7385</v>
      </c>
      <c r="Q1027" s="6" t="s">
        <v>1280</v>
      </c>
      <c r="R1027" s="6" t="s">
        <v>64</v>
      </c>
      <c r="S1027" s="8" t="s">
        <v>3487</v>
      </c>
      <c r="T1027" s="6" t="s">
        <v>66</v>
      </c>
      <c r="U1027" s="8" t="s">
        <v>31</v>
      </c>
      <c r="V1027" s="6" t="s">
        <v>7467</v>
      </c>
      <c r="W1027" s="6" t="s">
        <v>7380</v>
      </c>
      <c r="X1027" s="9" t="str">
        <f>HYPERLINK("https://my.pitchbook.com?p=217826-92P","View People Online")</f>
        <v>View People Online</v>
      </c>
    </row>
    <row r="1028">
      <c r="A1028" s="10" t="s">
        <v>7468</v>
      </c>
      <c r="B1028" s="10" t="s">
        <v>7469</v>
      </c>
      <c r="C1028" s="10" t="s">
        <v>1993</v>
      </c>
      <c r="D1028" s="10" t="s">
        <v>7470</v>
      </c>
      <c r="E1028" s="10" t="s">
        <v>7380</v>
      </c>
      <c r="F1028" s="10" t="s">
        <v>312</v>
      </c>
      <c r="G1028" s="10" t="s">
        <v>7471</v>
      </c>
      <c r="H1028" s="11" t="s">
        <v>31</v>
      </c>
      <c r="I1028" s="11">
        <v>2.0</v>
      </c>
      <c r="J1028" s="11">
        <v>1.0</v>
      </c>
      <c r="K1028" s="11">
        <v>1.0</v>
      </c>
      <c r="L1028" s="12" t="s">
        <v>7383</v>
      </c>
      <c r="M1028" s="10" t="s">
        <v>7472</v>
      </c>
      <c r="N1028" s="10" t="s">
        <v>155</v>
      </c>
      <c r="O1028" s="12" t="s">
        <v>156</v>
      </c>
      <c r="P1028" s="10" t="s">
        <v>7385</v>
      </c>
      <c r="Q1028" s="10" t="s">
        <v>1280</v>
      </c>
      <c r="R1028" s="10" t="s">
        <v>64</v>
      </c>
      <c r="S1028" s="12" t="s">
        <v>3487</v>
      </c>
      <c r="T1028" s="10" t="s">
        <v>66</v>
      </c>
      <c r="U1028" s="12" t="s">
        <v>31</v>
      </c>
      <c r="V1028" s="10" t="s">
        <v>7473</v>
      </c>
      <c r="W1028" s="10" t="s">
        <v>7380</v>
      </c>
      <c r="X1028" s="13" t="str">
        <f>HYPERLINK("https://my.pitchbook.com?p=288541-72P","View People Online")</f>
        <v>View People Online</v>
      </c>
    </row>
    <row r="1029">
      <c r="A1029" s="14" t="s">
        <v>7474</v>
      </c>
      <c r="B1029" s="14" t="s">
        <v>7475</v>
      </c>
      <c r="C1029" s="14" t="s">
        <v>7476</v>
      </c>
      <c r="D1029" s="14" t="s">
        <v>7477</v>
      </c>
      <c r="E1029" s="14" t="s">
        <v>7380</v>
      </c>
      <c r="F1029" s="14" t="s">
        <v>7478</v>
      </c>
      <c r="G1029" s="14" t="s">
        <v>7479</v>
      </c>
      <c r="H1029" s="15" t="s">
        <v>31</v>
      </c>
      <c r="I1029" s="15">
        <v>1.0</v>
      </c>
      <c r="J1029" s="15">
        <v>1.0</v>
      </c>
      <c r="K1029" s="15" t="s">
        <v>31</v>
      </c>
      <c r="L1029" s="16" t="s">
        <v>7383</v>
      </c>
      <c r="M1029" s="14" t="s">
        <v>7480</v>
      </c>
      <c r="N1029" s="14" t="s">
        <v>155</v>
      </c>
      <c r="O1029" s="16" t="s">
        <v>156</v>
      </c>
      <c r="P1029" s="14" t="s">
        <v>7385</v>
      </c>
      <c r="Q1029" s="14" t="s">
        <v>1280</v>
      </c>
      <c r="R1029" s="14" t="s">
        <v>64</v>
      </c>
      <c r="S1029" s="16" t="s">
        <v>3487</v>
      </c>
      <c r="T1029" s="14" t="s">
        <v>66</v>
      </c>
      <c r="U1029" s="16" t="s">
        <v>31</v>
      </c>
      <c r="V1029" s="14" t="s">
        <v>7478</v>
      </c>
      <c r="W1029" s="14" t="s">
        <v>7380</v>
      </c>
      <c r="X1029" s="17" t="str">
        <f>HYPERLINK("https://my.pitchbook.com?p=201023-29P","View People Online")</f>
        <v>View People Online</v>
      </c>
    </row>
    <row r="1030">
      <c r="A1030" s="10" t="s">
        <v>7481</v>
      </c>
      <c r="B1030" s="10" t="s">
        <v>7482</v>
      </c>
      <c r="C1030" s="10" t="s">
        <v>7483</v>
      </c>
      <c r="D1030" s="10" t="s">
        <v>7484</v>
      </c>
      <c r="E1030" s="10" t="s">
        <v>7380</v>
      </c>
      <c r="F1030" s="10" t="s">
        <v>5538</v>
      </c>
      <c r="G1030" s="10" t="s">
        <v>7485</v>
      </c>
      <c r="H1030" s="11" t="s">
        <v>31</v>
      </c>
      <c r="I1030" s="11">
        <v>1.0</v>
      </c>
      <c r="J1030" s="11">
        <v>1.0</v>
      </c>
      <c r="K1030" s="11" t="s">
        <v>31</v>
      </c>
      <c r="L1030" s="12" t="s">
        <v>7486</v>
      </c>
      <c r="M1030" s="10" t="s">
        <v>7487</v>
      </c>
      <c r="N1030" s="10" t="s">
        <v>155</v>
      </c>
      <c r="O1030" s="12" t="s">
        <v>156</v>
      </c>
      <c r="P1030" s="10" t="s">
        <v>7385</v>
      </c>
      <c r="Q1030" s="10" t="s">
        <v>1280</v>
      </c>
      <c r="R1030" s="10" t="s">
        <v>64</v>
      </c>
      <c r="S1030" s="12" t="s">
        <v>3487</v>
      </c>
      <c r="T1030" s="10" t="s">
        <v>66</v>
      </c>
      <c r="U1030" s="12" t="s">
        <v>31</v>
      </c>
      <c r="V1030" s="10" t="s">
        <v>5541</v>
      </c>
      <c r="W1030" s="10" t="s">
        <v>7380</v>
      </c>
      <c r="X1030" s="13" t="str">
        <f>HYPERLINK("https://my.pitchbook.com?p=271389-07P","View People Online")</f>
        <v>View People Online</v>
      </c>
    </row>
    <row r="1031">
      <c r="A1031" s="14" t="s">
        <v>7488</v>
      </c>
      <c r="B1031" s="14" t="s">
        <v>7489</v>
      </c>
      <c r="C1031" s="14" t="s">
        <v>7490</v>
      </c>
      <c r="D1031" s="14" t="s">
        <v>7491</v>
      </c>
      <c r="E1031" s="14" t="s">
        <v>7380</v>
      </c>
      <c r="F1031" s="14" t="s">
        <v>548</v>
      </c>
      <c r="G1031" s="14" t="s">
        <v>7492</v>
      </c>
      <c r="H1031" s="15" t="s">
        <v>31</v>
      </c>
      <c r="I1031" s="15">
        <v>1.0</v>
      </c>
      <c r="J1031" s="15">
        <v>1.0</v>
      </c>
      <c r="K1031" s="15" t="s">
        <v>31</v>
      </c>
      <c r="L1031" s="16" t="s">
        <v>7383</v>
      </c>
      <c r="M1031" s="14" t="s">
        <v>7493</v>
      </c>
      <c r="N1031" s="14" t="s">
        <v>155</v>
      </c>
      <c r="O1031" s="16" t="s">
        <v>156</v>
      </c>
      <c r="P1031" s="14" t="s">
        <v>7385</v>
      </c>
      <c r="Q1031" s="14" t="s">
        <v>1280</v>
      </c>
      <c r="R1031" s="14" t="s">
        <v>64</v>
      </c>
      <c r="S1031" s="16" t="s">
        <v>3487</v>
      </c>
      <c r="T1031" s="14" t="s">
        <v>66</v>
      </c>
      <c r="U1031" s="16" t="s">
        <v>31</v>
      </c>
      <c r="V1031" s="14" t="s">
        <v>7494</v>
      </c>
      <c r="W1031" s="14" t="s">
        <v>7380</v>
      </c>
      <c r="X1031" s="17" t="str">
        <f>HYPERLINK("https://my.pitchbook.com?p=79119-55P","View People Online")</f>
        <v>View People Online</v>
      </c>
    </row>
    <row r="1032">
      <c r="A1032" s="10" t="s">
        <v>7495</v>
      </c>
      <c r="B1032" s="10" t="s">
        <v>7496</v>
      </c>
      <c r="C1032" s="10" t="s">
        <v>3529</v>
      </c>
      <c r="D1032" s="10" t="s">
        <v>7497</v>
      </c>
      <c r="E1032" s="10" t="s">
        <v>7380</v>
      </c>
      <c r="F1032" s="10" t="s">
        <v>270</v>
      </c>
      <c r="G1032" s="10" t="s">
        <v>7498</v>
      </c>
      <c r="H1032" s="11" t="s">
        <v>31</v>
      </c>
      <c r="I1032" s="11">
        <v>1.0</v>
      </c>
      <c r="J1032" s="11">
        <v>1.0</v>
      </c>
      <c r="K1032" s="11" t="s">
        <v>31</v>
      </c>
      <c r="L1032" s="12" t="s">
        <v>7383</v>
      </c>
      <c r="M1032" s="10" t="s">
        <v>7499</v>
      </c>
      <c r="N1032" s="10" t="s">
        <v>155</v>
      </c>
      <c r="O1032" s="12" t="s">
        <v>156</v>
      </c>
      <c r="P1032" s="10" t="s">
        <v>7385</v>
      </c>
      <c r="Q1032" s="10" t="s">
        <v>1280</v>
      </c>
      <c r="R1032" s="10" t="s">
        <v>64</v>
      </c>
      <c r="S1032" s="12" t="s">
        <v>3487</v>
      </c>
      <c r="T1032" s="10" t="s">
        <v>66</v>
      </c>
      <c r="U1032" s="12" t="s">
        <v>31</v>
      </c>
      <c r="V1032" s="10" t="s">
        <v>7500</v>
      </c>
      <c r="W1032" s="10" t="s">
        <v>7380</v>
      </c>
      <c r="X1032" s="13" t="str">
        <f>HYPERLINK("https://my.pitchbook.com?p=128401-39P","View People Online")</f>
        <v>View People Online</v>
      </c>
    </row>
    <row r="1033">
      <c r="A1033" s="14" t="s">
        <v>7501</v>
      </c>
      <c r="B1033" s="14" t="s">
        <v>7502</v>
      </c>
      <c r="C1033" s="14" t="s">
        <v>7503</v>
      </c>
      <c r="D1033" s="14" t="s">
        <v>7504</v>
      </c>
      <c r="E1033" s="14" t="s">
        <v>7380</v>
      </c>
      <c r="F1033" s="14" t="s">
        <v>1283</v>
      </c>
      <c r="G1033" s="14" t="s">
        <v>7505</v>
      </c>
      <c r="H1033" s="15" t="s">
        <v>31</v>
      </c>
      <c r="I1033" s="15">
        <v>2.0</v>
      </c>
      <c r="J1033" s="15">
        <v>2.0</v>
      </c>
      <c r="K1033" s="15" t="s">
        <v>31</v>
      </c>
      <c r="L1033" s="16" t="s">
        <v>7383</v>
      </c>
      <c r="M1033" s="14" t="s">
        <v>31</v>
      </c>
      <c r="N1033" s="14" t="s">
        <v>155</v>
      </c>
      <c r="O1033" s="16" t="s">
        <v>156</v>
      </c>
      <c r="P1033" s="14" t="s">
        <v>7385</v>
      </c>
      <c r="Q1033" s="14" t="s">
        <v>1280</v>
      </c>
      <c r="R1033" s="14" t="s">
        <v>64</v>
      </c>
      <c r="S1033" s="16" t="s">
        <v>3487</v>
      </c>
      <c r="T1033" s="14" t="s">
        <v>66</v>
      </c>
      <c r="U1033" s="16" t="s">
        <v>31</v>
      </c>
      <c r="V1033" s="14" t="s">
        <v>7506</v>
      </c>
      <c r="W1033" s="14" t="s">
        <v>7380</v>
      </c>
      <c r="X1033" s="17" t="str">
        <f>HYPERLINK("https://my.pitchbook.com?p=55261-45P","View People Online")</f>
        <v>View People Online</v>
      </c>
    </row>
    <row r="1034">
      <c r="A1034" s="10" t="s">
        <v>7507</v>
      </c>
      <c r="B1034" s="10" t="s">
        <v>7508</v>
      </c>
      <c r="C1034" s="10" t="s">
        <v>4404</v>
      </c>
      <c r="D1034" s="10" t="s">
        <v>7509</v>
      </c>
      <c r="E1034" s="10" t="s">
        <v>7380</v>
      </c>
      <c r="F1034" s="10" t="s">
        <v>1801</v>
      </c>
      <c r="G1034" s="10" t="s">
        <v>7510</v>
      </c>
      <c r="H1034" s="11" t="s">
        <v>31</v>
      </c>
      <c r="I1034" s="11">
        <v>1.0</v>
      </c>
      <c r="J1034" s="11">
        <v>1.0</v>
      </c>
      <c r="K1034" s="11" t="s">
        <v>31</v>
      </c>
      <c r="L1034" s="12" t="s">
        <v>7383</v>
      </c>
      <c r="M1034" s="10" t="s">
        <v>7511</v>
      </c>
      <c r="N1034" s="10" t="s">
        <v>155</v>
      </c>
      <c r="O1034" s="12" t="s">
        <v>156</v>
      </c>
      <c r="P1034" s="10" t="s">
        <v>7385</v>
      </c>
      <c r="Q1034" s="10" t="s">
        <v>1280</v>
      </c>
      <c r="R1034" s="10" t="s">
        <v>64</v>
      </c>
      <c r="S1034" s="12" t="s">
        <v>3487</v>
      </c>
      <c r="T1034" s="10" t="s">
        <v>66</v>
      </c>
      <c r="U1034" s="12" t="s">
        <v>31</v>
      </c>
      <c r="V1034" s="10" t="s">
        <v>7512</v>
      </c>
      <c r="W1034" s="10" t="s">
        <v>7380</v>
      </c>
      <c r="X1034" s="13" t="str">
        <f>HYPERLINK("https://my.pitchbook.com?p=86199-67P","View People Online")</f>
        <v>View People Online</v>
      </c>
    </row>
    <row r="1035">
      <c r="A1035" s="14" t="s">
        <v>7513</v>
      </c>
      <c r="B1035" s="14" t="s">
        <v>7514</v>
      </c>
      <c r="C1035" s="14" t="s">
        <v>350</v>
      </c>
      <c r="D1035" s="14" t="s">
        <v>6333</v>
      </c>
      <c r="E1035" s="14" t="s">
        <v>7380</v>
      </c>
      <c r="F1035" s="14" t="s">
        <v>270</v>
      </c>
      <c r="G1035" s="14" t="s">
        <v>7515</v>
      </c>
      <c r="H1035" s="15" t="s">
        <v>31</v>
      </c>
      <c r="I1035" s="15">
        <v>1.0</v>
      </c>
      <c r="J1035" s="15">
        <v>1.0</v>
      </c>
      <c r="K1035" s="15" t="s">
        <v>31</v>
      </c>
      <c r="L1035" s="16" t="s">
        <v>31</v>
      </c>
      <c r="M1035" s="14" t="s">
        <v>7516</v>
      </c>
      <c r="N1035" s="14" t="s">
        <v>243</v>
      </c>
      <c r="O1035" s="16" t="s">
        <v>244</v>
      </c>
      <c r="P1035" s="14" t="s">
        <v>31</v>
      </c>
      <c r="Q1035" s="14" t="s">
        <v>31</v>
      </c>
      <c r="R1035" s="14" t="s">
        <v>247</v>
      </c>
      <c r="S1035" s="16" t="s">
        <v>31</v>
      </c>
      <c r="T1035" s="14" t="s">
        <v>249</v>
      </c>
      <c r="U1035" s="16" t="s">
        <v>31</v>
      </c>
      <c r="V1035" s="14" t="s">
        <v>7517</v>
      </c>
      <c r="W1035" s="14" t="s">
        <v>7380</v>
      </c>
      <c r="X1035" s="17" t="str">
        <f>HYPERLINK("https://my.pitchbook.com?p=79085-80P","View People Online")</f>
        <v>View People Online</v>
      </c>
    </row>
    <row r="1036">
      <c r="A1036" s="2" t="s">
        <v>7518</v>
      </c>
      <c r="B1036" s="2" t="s">
        <v>7519</v>
      </c>
      <c r="C1036" s="2" t="s">
        <v>7520</v>
      </c>
      <c r="D1036" s="2" t="s">
        <v>7521</v>
      </c>
      <c r="E1036" s="2" t="s">
        <v>7380</v>
      </c>
      <c r="F1036" s="2" t="s">
        <v>270</v>
      </c>
      <c r="G1036" s="2" t="s">
        <v>7522</v>
      </c>
      <c r="H1036" s="3" t="s">
        <v>31</v>
      </c>
      <c r="I1036" s="3">
        <v>1.0</v>
      </c>
      <c r="J1036" s="3">
        <v>1.0</v>
      </c>
      <c r="K1036" s="3" t="s">
        <v>31</v>
      </c>
      <c r="L1036" s="4" t="s">
        <v>7383</v>
      </c>
      <c r="M1036" s="2" t="s">
        <v>7523</v>
      </c>
      <c r="N1036" s="2" t="s">
        <v>155</v>
      </c>
      <c r="O1036" s="4" t="s">
        <v>156</v>
      </c>
      <c r="P1036" s="2" t="s">
        <v>7385</v>
      </c>
      <c r="Q1036" s="2" t="s">
        <v>1280</v>
      </c>
      <c r="R1036" s="2" t="s">
        <v>64</v>
      </c>
      <c r="S1036" s="4" t="s">
        <v>3487</v>
      </c>
      <c r="T1036" s="2" t="s">
        <v>66</v>
      </c>
      <c r="U1036" s="4" t="s">
        <v>31</v>
      </c>
      <c r="V1036" s="2" t="s">
        <v>7524</v>
      </c>
      <c r="W1036" s="2" t="s">
        <v>7380</v>
      </c>
      <c r="X1036" s="5" t="str">
        <f>HYPERLINK("https://my.pitchbook.com?p=86200-84P","View People Online")</f>
        <v>View People Online</v>
      </c>
    </row>
    <row r="1037">
      <c r="A1037" s="6" t="s">
        <v>7525</v>
      </c>
      <c r="B1037" s="6" t="s">
        <v>7526</v>
      </c>
      <c r="C1037" s="6" t="s">
        <v>6414</v>
      </c>
      <c r="D1037" s="6" t="s">
        <v>7527</v>
      </c>
      <c r="E1037" s="6" t="s">
        <v>7380</v>
      </c>
      <c r="F1037" s="6" t="s">
        <v>548</v>
      </c>
      <c r="G1037" s="6" t="s">
        <v>7528</v>
      </c>
      <c r="H1037" s="7" t="s">
        <v>31</v>
      </c>
      <c r="I1037" s="7">
        <v>1.0</v>
      </c>
      <c r="J1037" s="7">
        <v>1.0</v>
      </c>
      <c r="K1037" s="7" t="s">
        <v>31</v>
      </c>
      <c r="L1037" s="8" t="s">
        <v>31</v>
      </c>
      <c r="M1037" s="6" t="s">
        <v>7529</v>
      </c>
      <c r="N1037" s="6" t="s">
        <v>243</v>
      </c>
      <c r="O1037" s="8" t="s">
        <v>244</v>
      </c>
      <c r="P1037" s="6" t="s">
        <v>31</v>
      </c>
      <c r="Q1037" s="6" t="s">
        <v>31</v>
      </c>
      <c r="R1037" s="6" t="s">
        <v>247</v>
      </c>
      <c r="S1037" s="8" t="s">
        <v>31</v>
      </c>
      <c r="T1037" s="6" t="s">
        <v>249</v>
      </c>
      <c r="U1037" s="8" t="s">
        <v>31</v>
      </c>
      <c r="V1037" s="6" t="s">
        <v>7530</v>
      </c>
      <c r="W1037" s="6" t="s">
        <v>7380</v>
      </c>
      <c r="X1037" s="9" t="str">
        <f>HYPERLINK("https://my.pitchbook.com?p=54082-54P","View People Online")</f>
        <v>View People Online</v>
      </c>
    </row>
    <row r="1038">
      <c r="A1038" s="10" t="s">
        <v>7531</v>
      </c>
      <c r="B1038" s="10" t="s">
        <v>7532</v>
      </c>
      <c r="C1038" s="10" t="s">
        <v>5363</v>
      </c>
      <c r="D1038" s="10" t="s">
        <v>7533</v>
      </c>
      <c r="E1038" s="10" t="s">
        <v>7380</v>
      </c>
      <c r="F1038" s="10" t="s">
        <v>270</v>
      </c>
      <c r="G1038" s="10" t="s">
        <v>7534</v>
      </c>
      <c r="H1038" s="11" t="s">
        <v>31</v>
      </c>
      <c r="I1038" s="11">
        <v>2.0</v>
      </c>
      <c r="J1038" s="11">
        <v>2.0</v>
      </c>
      <c r="K1038" s="11" t="s">
        <v>31</v>
      </c>
      <c r="L1038" s="12" t="s">
        <v>7383</v>
      </c>
      <c r="M1038" s="10" t="s">
        <v>31</v>
      </c>
      <c r="N1038" s="10" t="s">
        <v>155</v>
      </c>
      <c r="O1038" s="12" t="s">
        <v>156</v>
      </c>
      <c r="P1038" s="10" t="s">
        <v>7385</v>
      </c>
      <c r="Q1038" s="10" t="s">
        <v>1280</v>
      </c>
      <c r="R1038" s="10" t="s">
        <v>64</v>
      </c>
      <c r="S1038" s="12" t="s">
        <v>3487</v>
      </c>
      <c r="T1038" s="10" t="s">
        <v>66</v>
      </c>
      <c r="U1038" s="12" t="s">
        <v>31</v>
      </c>
      <c r="V1038" s="10" t="s">
        <v>7535</v>
      </c>
      <c r="W1038" s="10" t="s">
        <v>7380</v>
      </c>
      <c r="X1038" s="13" t="str">
        <f>HYPERLINK("https://my.pitchbook.com?p=375843-79P","View People Online")</f>
        <v>View People Online</v>
      </c>
    </row>
    <row r="1039">
      <c r="A1039" s="6" t="s">
        <v>7536</v>
      </c>
      <c r="B1039" s="6" t="s">
        <v>7537</v>
      </c>
      <c r="C1039" s="6" t="s">
        <v>7538</v>
      </c>
      <c r="D1039" s="6" t="s">
        <v>7539</v>
      </c>
      <c r="E1039" s="6" t="s">
        <v>7380</v>
      </c>
      <c r="F1039" s="6" t="s">
        <v>371</v>
      </c>
      <c r="G1039" s="6" t="s">
        <v>7540</v>
      </c>
      <c r="H1039" s="7" t="s">
        <v>31</v>
      </c>
      <c r="I1039" s="7">
        <v>2.0</v>
      </c>
      <c r="J1039" s="7">
        <v>1.0</v>
      </c>
      <c r="K1039" s="7" t="s">
        <v>31</v>
      </c>
      <c r="L1039" s="8" t="s">
        <v>7383</v>
      </c>
      <c r="M1039" s="6" t="s">
        <v>7541</v>
      </c>
      <c r="N1039" s="6" t="s">
        <v>155</v>
      </c>
      <c r="O1039" s="8" t="s">
        <v>156</v>
      </c>
      <c r="P1039" s="6" t="s">
        <v>7385</v>
      </c>
      <c r="Q1039" s="6" t="s">
        <v>1280</v>
      </c>
      <c r="R1039" s="6" t="s">
        <v>64</v>
      </c>
      <c r="S1039" s="8" t="s">
        <v>3487</v>
      </c>
      <c r="T1039" s="6" t="s">
        <v>66</v>
      </c>
      <c r="U1039" s="8" t="s">
        <v>31</v>
      </c>
      <c r="V1039" s="6" t="s">
        <v>7542</v>
      </c>
      <c r="W1039" s="6" t="s">
        <v>7380</v>
      </c>
      <c r="X1039" s="9" t="str">
        <f>HYPERLINK("https://my.pitchbook.com?p=59584-69P","View People Online")</f>
        <v>View People Online</v>
      </c>
    </row>
    <row r="1040">
      <c r="A1040" s="2" t="s">
        <v>7543</v>
      </c>
      <c r="B1040" s="2" t="s">
        <v>7544</v>
      </c>
      <c r="C1040" s="2" t="s">
        <v>3554</v>
      </c>
      <c r="D1040" s="2" t="s">
        <v>7545</v>
      </c>
      <c r="E1040" s="2" t="s">
        <v>7380</v>
      </c>
      <c r="F1040" s="2" t="s">
        <v>3600</v>
      </c>
      <c r="G1040" s="2" t="s">
        <v>7546</v>
      </c>
      <c r="H1040" s="3" t="s">
        <v>31</v>
      </c>
      <c r="I1040" s="3">
        <v>1.0</v>
      </c>
      <c r="J1040" s="3">
        <v>1.0</v>
      </c>
      <c r="K1040" s="3" t="s">
        <v>31</v>
      </c>
      <c r="L1040" s="4" t="s">
        <v>7383</v>
      </c>
      <c r="M1040" s="2" t="s">
        <v>7547</v>
      </c>
      <c r="N1040" s="2" t="s">
        <v>155</v>
      </c>
      <c r="O1040" s="4" t="s">
        <v>156</v>
      </c>
      <c r="P1040" s="2" t="s">
        <v>7385</v>
      </c>
      <c r="Q1040" s="2" t="s">
        <v>1280</v>
      </c>
      <c r="R1040" s="2" t="s">
        <v>64</v>
      </c>
      <c r="S1040" s="4" t="s">
        <v>3487</v>
      </c>
      <c r="T1040" s="2" t="s">
        <v>66</v>
      </c>
      <c r="U1040" s="4" t="s">
        <v>31</v>
      </c>
      <c r="V1040" s="2" t="s">
        <v>7548</v>
      </c>
      <c r="W1040" s="2" t="s">
        <v>7380</v>
      </c>
      <c r="X1040" s="5" t="str">
        <f>HYPERLINK("https://my.pitchbook.com?p=130585-15P","View People Online")</f>
        <v>View People Online</v>
      </c>
    </row>
    <row r="1041">
      <c r="A1041" s="6" t="s">
        <v>7549</v>
      </c>
      <c r="B1041" s="6" t="s">
        <v>7550</v>
      </c>
      <c r="C1041" s="6" t="s">
        <v>7551</v>
      </c>
      <c r="D1041" s="6" t="s">
        <v>7552</v>
      </c>
      <c r="E1041" s="6" t="s">
        <v>7380</v>
      </c>
      <c r="F1041" s="6" t="s">
        <v>371</v>
      </c>
      <c r="G1041" s="6" t="s">
        <v>7553</v>
      </c>
      <c r="H1041" s="7" t="s">
        <v>31</v>
      </c>
      <c r="I1041" s="7">
        <v>1.0</v>
      </c>
      <c r="J1041" s="7">
        <v>1.0</v>
      </c>
      <c r="K1041" s="7" t="s">
        <v>31</v>
      </c>
      <c r="L1041" s="8" t="s">
        <v>7383</v>
      </c>
      <c r="M1041" s="6" t="s">
        <v>7554</v>
      </c>
      <c r="N1041" s="6" t="s">
        <v>155</v>
      </c>
      <c r="O1041" s="8" t="s">
        <v>156</v>
      </c>
      <c r="P1041" s="6" t="s">
        <v>7385</v>
      </c>
      <c r="Q1041" s="6" t="s">
        <v>1280</v>
      </c>
      <c r="R1041" s="6" t="s">
        <v>64</v>
      </c>
      <c r="S1041" s="8" t="s">
        <v>3487</v>
      </c>
      <c r="T1041" s="6" t="s">
        <v>66</v>
      </c>
      <c r="U1041" s="8" t="s">
        <v>31</v>
      </c>
      <c r="V1041" s="6" t="s">
        <v>7555</v>
      </c>
      <c r="W1041" s="6" t="s">
        <v>7380</v>
      </c>
      <c r="X1041" s="9" t="str">
        <f>HYPERLINK("https://my.pitchbook.com?p=73734-58P","View People Online")</f>
        <v>View People Online</v>
      </c>
    </row>
    <row r="1042">
      <c r="A1042" s="2" t="s">
        <v>7556</v>
      </c>
      <c r="B1042" s="2" t="s">
        <v>7557</v>
      </c>
      <c r="C1042" s="2" t="s">
        <v>7558</v>
      </c>
      <c r="D1042" s="2" t="s">
        <v>7559</v>
      </c>
      <c r="E1042" s="2" t="s">
        <v>7380</v>
      </c>
      <c r="F1042" s="2" t="s">
        <v>1801</v>
      </c>
      <c r="G1042" s="2" t="s">
        <v>7560</v>
      </c>
      <c r="H1042" s="3" t="s">
        <v>31</v>
      </c>
      <c r="I1042" s="3">
        <v>1.0</v>
      </c>
      <c r="J1042" s="3">
        <v>1.0</v>
      </c>
      <c r="K1042" s="3" t="s">
        <v>31</v>
      </c>
      <c r="L1042" s="4" t="s">
        <v>7383</v>
      </c>
      <c r="M1042" s="2" t="s">
        <v>7561</v>
      </c>
      <c r="N1042" s="2" t="s">
        <v>155</v>
      </c>
      <c r="O1042" s="4" t="s">
        <v>156</v>
      </c>
      <c r="P1042" s="2" t="s">
        <v>7385</v>
      </c>
      <c r="Q1042" s="2" t="s">
        <v>1280</v>
      </c>
      <c r="R1042" s="2" t="s">
        <v>64</v>
      </c>
      <c r="S1042" s="4" t="s">
        <v>3487</v>
      </c>
      <c r="T1042" s="2" t="s">
        <v>66</v>
      </c>
      <c r="U1042" s="4" t="s">
        <v>31</v>
      </c>
      <c r="V1042" s="2" t="s">
        <v>7562</v>
      </c>
      <c r="W1042" s="2" t="s">
        <v>7380</v>
      </c>
      <c r="X1042" s="5" t="str">
        <f>HYPERLINK("https://my.pitchbook.com?p=86204-80P","View People Online")</f>
        <v>View People Online</v>
      </c>
    </row>
    <row r="1043">
      <c r="A1043" s="14" t="s">
        <v>7563</v>
      </c>
      <c r="B1043" s="14" t="s">
        <v>7564</v>
      </c>
      <c r="C1043" s="14" t="s">
        <v>907</v>
      </c>
      <c r="D1043" s="14" t="s">
        <v>7565</v>
      </c>
      <c r="E1043" s="14" t="s">
        <v>7380</v>
      </c>
      <c r="F1043" s="14" t="s">
        <v>7566</v>
      </c>
      <c r="G1043" s="14" t="s">
        <v>7567</v>
      </c>
      <c r="H1043" s="15" t="s">
        <v>31</v>
      </c>
      <c r="I1043" s="15">
        <v>1.0</v>
      </c>
      <c r="J1043" s="15">
        <v>1.0</v>
      </c>
      <c r="K1043" s="15" t="s">
        <v>31</v>
      </c>
      <c r="L1043" s="16" t="s">
        <v>31</v>
      </c>
      <c r="M1043" s="14" t="s">
        <v>7568</v>
      </c>
      <c r="N1043" s="14" t="s">
        <v>243</v>
      </c>
      <c r="O1043" s="16" t="s">
        <v>244</v>
      </c>
      <c r="P1043" s="14" t="s">
        <v>31</v>
      </c>
      <c r="Q1043" s="14" t="s">
        <v>31</v>
      </c>
      <c r="R1043" s="14" t="s">
        <v>247</v>
      </c>
      <c r="S1043" s="16" t="s">
        <v>31</v>
      </c>
      <c r="T1043" s="14" t="s">
        <v>249</v>
      </c>
      <c r="U1043" s="16" t="s">
        <v>31</v>
      </c>
      <c r="V1043" s="14" t="s">
        <v>7569</v>
      </c>
      <c r="W1043" s="14" t="s">
        <v>7380</v>
      </c>
      <c r="X1043" s="17" t="str">
        <f>HYPERLINK("https://my.pitchbook.com?p=135383-32P","View People Online")</f>
        <v>View People Online</v>
      </c>
    </row>
    <row r="1044">
      <c r="A1044" s="10" t="s">
        <v>7570</v>
      </c>
      <c r="B1044" s="10" t="s">
        <v>7571</v>
      </c>
      <c r="C1044" s="10" t="s">
        <v>3215</v>
      </c>
      <c r="D1044" s="10" t="s">
        <v>7572</v>
      </c>
      <c r="E1044" s="10" t="s">
        <v>7380</v>
      </c>
      <c r="F1044" s="10" t="s">
        <v>371</v>
      </c>
      <c r="G1044" s="10" t="s">
        <v>7573</v>
      </c>
      <c r="H1044" s="11" t="s">
        <v>31</v>
      </c>
      <c r="I1044" s="11">
        <v>5.0</v>
      </c>
      <c r="J1044" s="11">
        <v>1.0</v>
      </c>
      <c r="K1044" s="11">
        <v>3.0</v>
      </c>
      <c r="L1044" s="12" t="s">
        <v>7383</v>
      </c>
      <c r="M1044" s="10" t="s">
        <v>7574</v>
      </c>
      <c r="N1044" s="10" t="s">
        <v>155</v>
      </c>
      <c r="O1044" s="12" t="s">
        <v>156</v>
      </c>
      <c r="P1044" s="10" t="s">
        <v>7385</v>
      </c>
      <c r="Q1044" s="10" t="s">
        <v>1280</v>
      </c>
      <c r="R1044" s="10" t="s">
        <v>64</v>
      </c>
      <c r="S1044" s="12" t="s">
        <v>3487</v>
      </c>
      <c r="T1044" s="10" t="s">
        <v>66</v>
      </c>
      <c r="U1044" s="12" t="s">
        <v>31</v>
      </c>
      <c r="V1044" s="10" t="s">
        <v>7575</v>
      </c>
      <c r="W1044" s="10" t="s">
        <v>7380</v>
      </c>
      <c r="X1044" s="13" t="str">
        <f>HYPERLINK("https://my.pitchbook.com?p=175787-02P","View People Online")</f>
        <v>View People Online</v>
      </c>
    </row>
    <row r="1045">
      <c r="A1045" s="6" t="s">
        <v>7576</v>
      </c>
      <c r="B1045" s="6" t="s">
        <v>7577</v>
      </c>
      <c r="C1045" s="6" t="s">
        <v>1305</v>
      </c>
      <c r="D1045" s="6" t="s">
        <v>7578</v>
      </c>
      <c r="E1045" s="6" t="s">
        <v>7380</v>
      </c>
      <c r="F1045" s="6" t="s">
        <v>4192</v>
      </c>
      <c r="G1045" s="6" t="s">
        <v>7579</v>
      </c>
      <c r="H1045" s="7" t="s">
        <v>31</v>
      </c>
      <c r="I1045" s="7">
        <v>1.0</v>
      </c>
      <c r="J1045" s="7">
        <v>1.0</v>
      </c>
      <c r="K1045" s="7" t="s">
        <v>31</v>
      </c>
      <c r="L1045" s="8" t="s">
        <v>7383</v>
      </c>
      <c r="M1045" s="6" t="s">
        <v>7580</v>
      </c>
      <c r="N1045" s="6" t="s">
        <v>155</v>
      </c>
      <c r="O1045" s="8" t="s">
        <v>156</v>
      </c>
      <c r="P1045" s="6" t="s">
        <v>7385</v>
      </c>
      <c r="Q1045" s="6" t="s">
        <v>1280</v>
      </c>
      <c r="R1045" s="6" t="s">
        <v>64</v>
      </c>
      <c r="S1045" s="8" t="s">
        <v>3487</v>
      </c>
      <c r="T1045" s="6" t="s">
        <v>66</v>
      </c>
      <c r="U1045" s="8" t="s">
        <v>31</v>
      </c>
      <c r="V1045" s="6" t="s">
        <v>7581</v>
      </c>
      <c r="W1045" s="6" t="s">
        <v>7380</v>
      </c>
      <c r="X1045" s="9" t="str">
        <f>HYPERLINK("https://my.pitchbook.com?p=79285-69P","View People Online")</f>
        <v>View People Online</v>
      </c>
    </row>
    <row r="1046">
      <c r="A1046" s="2" t="s">
        <v>7582</v>
      </c>
      <c r="B1046" s="2" t="s">
        <v>7583</v>
      </c>
      <c r="C1046" s="2" t="s">
        <v>7584</v>
      </c>
      <c r="D1046" s="2" t="s">
        <v>7585</v>
      </c>
      <c r="E1046" s="2" t="s">
        <v>7380</v>
      </c>
      <c r="F1046" s="2" t="s">
        <v>7586</v>
      </c>
      <c r="G1046" s="2" t="s">
        <v>7587</v>
      </c>
      <c r="H1046" s="3" t="s">
        <v>31</v>
      </c>
      <c r="I1046" s="3">
        <v>1.0</v>
      </c>
      <c r="J1046" s="3">
        <v>1.0</v>
      </c>
      <c r="K1046" s="3" t="s">
        <v>31</v>
      </c>
      <c r="L1046" s="4" t="s">
        <v>7383</v>
      </c>
      <c r="M1046" s="2" t="s">
        <v>31</v>
      </c>
      <c r="N1046" s="2" t="s">
        <v>155</v>
      </c>
      <c r="O1046" s="4" t="s">
        <v>156</v>
      </c>
      <c r="P1046" s="2" t="s">
        <v>7385</v>
      </c>
      <c r="Q1046" s="2" t="s">
        <v>1280</v>
      </c>
      <c r="R1046" s="2" t="s">
        <v>64</v>
      </c>
      <c r="S1046" s="4" t="s">
        <v>3487</v>
      </c>
      <c r="T1046" s="2" t="s">
        <v>66</v>
      </c>
      <c r="U1046" s="4" t="s">
        <v>31</v>
      </c>
      <c r="V1046" s="2" t="s">
        <v>7588</v>
      </c>
      <c r="W1046" s="2" t="s">
        <v>7380</v>
      </c>
      <c r="X1046" s="5" t="str">
        <f>HYPERLINK("https://my.pitchbook.com?p=86083-03P","View People Online")</f>
        <v>View People Online</v>
      </c>
    </row>
    <row r="1047">
      <c r="A1047" s="14" t="s">
        <v>7589</v>
      </c>
      <c r="B1047" s="14" t="s">
        <v>7590</v>
      </c>
      <c r="C1047" s="14" t="s">
        <v>934</v>
      </c>
      <c r="D1047" s="14" t="s">
        <v>7591</v>
      </c>
      <c r="E1047" s="14" t="s">
        <v>7380</v>
      </c>
      <c r="F1047" s="14" t="s">
        <v>371</v>
      </c>
      <c r="G1047" s="14" t="s">
        <v>7592</v>
      </c>
      <c r="H1047" s="15" t="s">
        <v>31</v>
      </c>
      <c r="I1047" s="15">
        <v>1.0</v>
      </c>
      <c r="J1047" s="15">
        <v>1.0</v>
      </c>
      <c r="K1047" s="15" t="s">
        <v>31</v>
      </c>
      <c r="L1047" s="16" t="s">
        <v>7383</v>
      </c>
      <c r="M1047" s="14" t="s">
        <v>7593</v>
      </c>
      <c r="N1047" s="14" t="s">
        <v>155</v>
      </c>
      <c r="O1047" s="16" t="s">
        <v>156</v>
      </c>
      <c r="P1047" s="14" t="s">
        <v>7385</v>
      </c>
      <c r="Q1047" s="14" t="s">
        <v>1280</v>
      </c>
      <c r="R1047" s="14" t="s">
        <v>64</v>
      </c>
      <c r="S1047" s="16" t="s">
        <v>3487</v>
      </c>
      <c r="T1047" s="14" t="s">
        <v>66</v>
      </c>
      <c r="U1047" s="16" t="s">
        <v>31</v>
      </c>
      <c r="V1047" s="14" t="s">
        <v>7594</v>
      </c>
      <c r="W1047" s="14" t="s">
        <v>7380</v>
      </c>
      <c r="X1047" s="17" t="str">
        <f>HYPERLINK("https://my.pitchbook.com?p=212707-00P","View People Online")</f>
        <v>View People Online</v>
      </c>
    </row>
    <row r="1048">
      <c r="A1048" s="2" t="s">
        <v>7595</v>
      </c>
      <c r="B1048" s="2" t="s">
        <v>7596</v>
      </c>
      <c r="C1048" s="2" t="s">
        <v>934</v>
      </c>
      <c r="D1048" s="2" t="s">
        <v>7597</v>
      </c>
      <c r="E1048" s="2" t="s">
        <v>7380</v>
      </c>
      <c r="F1048" s="2" t="s">
        <v>548</v>
      </c>
      <c r="G1048" s="2" t="s">
        <v>7598</v>
      </c>
      <c r="H1048" s="3" t="s">
        <v>31</v>
      </c>
      <c r="I1048" s="3">
        <v>1.0</v>
      </c>
      <c r="J1048" s="3">
        <v>1.0</v>
      </c>
      <c r="K1048" s="3" t="s">
        <v>31</v>
      </c>
      <c r="L1048" s="4" t="s">
        <v>7383</v>
      </c>
      <c r="M1048" s="2" t="s">
        <v>31</v>
      </c>
      <c r="N1048" s="2" t="s">
        <v>155</v>
      </c>
      <c r="O1048" s="4" t="s">
        <v>156</v>
      </c>
      <c r="P1048" s="2" t="s">
        <v>7385</v>
      </c>
      <c r="Q1048" s="2" t="s">
        <v>1280</v>
      </c>
      <c r="R1048" s="2" t="s">
        <v>64</v>
      </c>
      <c r="S1048" s="4" t="s">
        <v>3487</v>
      </c>
      <c r="T1048" s="2" t="s">
        <v>66</v>
      </c>
      <c r="U1048" s="4" t="s">
        <v>31</v>
      </c>
      <c r="V1048" s="2" t="s">
        <v>4876</v>
      </c>
      <c r="W1048" s="2" t="s">
        <v>7380</v>
      </c>
      <c r="X1048" s="5" t="str">
        <f>HYPERLINK("https://my.pitchbook.com?p=130583-98P","View People Online")</f>
        <v>View People Online</v>
      </c>
    </row>
    <row r="1049">
      <c r="A1049" s="14" t="s">
        <v>7599</v>
      </c>
      <c r="B1049" s="14" t="s">
        <v>7600</v>
      </c>
      <c r="C1049" s="14" t="s">
        <v>7601</v>
      </c>
      <c r="D1049" s="14" t="s">
        <v>7602</v>
      </c>
      <c r="E1049" s="14" t="s">
        <v>7380</v>
      </c>
      <c r="F1049" s="14" t="s">
        <v>7603</v>
      </c>
      <c r="G1049" s="14" t="s">
        <v>7604</v>
      </c>
      <c r="H1049" s="15" t="s">
        <v>31</v>
      </c>
      <c r="I1049" s="15">
        <v>1.0</v>
      </c>
      <c r="J1049" s="15">
        <v>1.0</v>
      </c>
      <c r="K1049" s="15" t="s">
        <v>31</v>
      </c>
      <c r="L1049" s="16" t="s">
        <v>7383</v>
      </c>
      <c r="M1049" s="14" t="s">
        <v>7605</v>
      </c>
      <c r="N1049" s="14" t="s">
        <v>155</v>
      </c>
      <c r="O1049" s="16" t="s">
        <v>156</v>
      </c>
      <c r="P1049" s="14" t="s">
        <v>7385</v>
      </c>
      <c r="Q1049" s="14" t="s">
        <v>1280</v>
      </c>
      <c r="R1049" s="14" t="s">
        <v>64</v>
      </c>
      <c r="S1049" s="16" t="s">
        <v>3487</v>
      </c>
      <c r="T1049" s="14" t="s">
        <v>66</v>
      </c>
      <c r="U1049" s="16" t="s">
        <v>31</v>
      </c>
      <c r="V1049" s="14" t="s">
        <v>7603</v>
      </c>
      <c r="W1049" s="14" t="s">
        <v>7380</v>
      </c>
      <c r="X1049" s="17" t="str">
        <f>HYPERLINK("https://my.pitchbook.com?p=260584-12P","View People Online")</f>
        <v>View People Online</v>
      </c>
    </row>
    <row r="1050">
      <c r="A1050" s="2" t="s">
        <v>7606</v>
      </c>
      <c r="B1050" s="2" t="s">
        <v>7607</v>
      </c>
      <c r="C1050" s="2" t="s">
        <v>2412</v>
      </c>
      <c r="D1050" s="2" t="s">
        <v>3349</v>
      </c>
      <c r="E1050" s="2" t="s">
        <v>7380</v>
      </c>
      <c r="F1050" s="2" t="s">
        <v>7608</v>
      </c>
      <c r="G1050" s="2" t="s">
        <v>7609</v>
      </c>
      <c r="H1050" s="3">
        <v>1.0</v>
      </c>
      <c r="I1050" s="3">
        <v>2.0</v>
      </c>
      <c r="J1050" s="3">
        <v>1.0</v>
      </c>
      <c r="K1050" s="3" t="s">
        <v>31</v>
      </c>
      <c r="L1050" s="4" t="s">
        <v>7383</v>
      </c>
      <c r="M1050" s="2" t="s">
        <v>31</v>
      </c>
      <c r="N1050" s="2" t="s">
        <v>155</v>
      </c>
      <c r="O1050" s="4" t="s">
        <v>156</v>
      </c>
      <c r="P1050" s="2" t="s">
        <v>7385</v>
      </c>
      <c r="Q1050" s="2" t="s">
        <v>1280</v>
      </c>
      <c r="R1050" s="2" t="s">
        <v>64</v>
      </c>
      <c r="S1050" s="4" t="s">
        <v>3487</v>
      </c>
      <c r="T1050" s="2" t="s">
        <v>66</v>
      </c>
      <c r="U1050" s="4" t="s">
        <v>31</v>
      </c>
      <c r="V1050" s="2" t="s">
        <v>7610</v>
      </c>
      <c r="W1050" s="2" t="s">
        <v>7380</v>
      </c>
      <c r="X1050" s="5" t="str">
        <f>HYPERLINK("https://my.pitchbook.com?p=287387-11P","View People Online")</f>
        <v>View People Online</v>
      </c>
    </row>
    <row r="1051">
      <c r="A1051" s="14" t="s">
        <v>7611</v>
      </c>
      <c r="B1051" s="14" t="s">
        <v>7612</v>
      </c>
      <c r="C1051" s="14" t="s">
        <v>2426</v>
      </c>
      <c r="D1051" s="14" t="s">
        <v>7613</v>
      </c>
      <c r="E1051" s="14" t="s">
        <v>7380</v>
      </c>
      <c r="F1051" s="14" t="s">
        <v>7586</v>
      </c>
      <c r="G1051" s="14" t="s">
        <v>7614</v>
      </c>
      <c r="H1051" s="15">
        <v>1.0</v>
      </c>
      <c r="I1051" s="15">
        <v>2.0</v>
      </c>
      <c r="J1051" s="15">
        <v>1.0</v>
      </c>
      <c r="K1051" s="15" t="s">
        <v>31</v>
      </c>
      <c r="L1051" s="16" t="s">
        <v>7383</v>
      </c>
      <c r="M1051" s="14" t="s">
        <v>31</v>
      </c>
      <c r="N1051" s="14" t="s">
        <v>155</v>
      </c>
      <c r="O1051" s="16" t="s">
        <v>156</v>
      </c>
      <c r="P1051" s="14" t="s">
        <v>7385</v>
      </c>
      <c r="Q1051" s="14" t="s">
        <v>1280</v>
      </c>
      <c r="R1051" s="14" t="s">
        <v>64</v>
      </c>
      <c r="S1051" s="16" t="s">
        <v>3487</v>
      </c>
      <c r="T1051" s="14" t="s">
        <v>66</v>
      </c>
      <c r="U1051" s="16" t="s">
        <v>31</v>
      </c>
      <c r="V1051" s="14" t="s">
        <v>7588</v>
      </c>
      <c r="W1051" s="14" t="s">
        <v>7380</v>
      </c>
      <c r="X1051" s="17" t="str">
        <f>HYPERLINK("https://my.pitchbook.com?p=238961-89P","View People Online")</f>
        <v>View People Online</v>
      </c>
    </row>
    <row r="1052">
      <c r="A1052" s="2" t="s">
        <v>7615</v>
      </c>
      <c r="B1052" s="2" t="s">
        <v>7616</v>
      </c>
      <c r="C1052" s="2" t="s">
        <v>4015</v>
      </c>
      <c r="D1052" s="2" t="s">
        <v>7617</v>
      </c>
      <c r="E1052" s="2" t="s">
        <v>7380</v>
      </c>
      <c r="F1052" s="2" t="s">
        <v>548</v>
      </c>
      <c r="G1052" s="2" t="s">
        <v>7618</v>
      </c>
      <c r="H1052" s="3" t="s">
        <v>31</v>
      </c>
      <c r="I1052" s="3">
        <v>1.0</v>
      </c>
      <c r="J1052" s="3">
        <v>1.0</v>
      </c>
      <c r="K1052" s="3" t="s">
        <v>31</v>
      </c>
      <c r="L1052" s="4" t="s">
        <v>7383</v>
      </c>
      <c r="M1052" s="2" t="s">
        <v>7619</v>
      </c>
      <c r="N1052" s="2" t="s">
        <v>155</v>
      </c>
      <c r="O1052" s="4" t="s">
        <v>156</v>
      </c>
      <c r="P1052" s="2" t="s">
        <v>7385</v>
      </c>
      <c r="Q1052" s="2" t="s">
        <v>1280</v>
      </c>
      <c r="R1052" s="2" t="s">
        <v>64</v>
      </c>
      <c r="S1052" s="4" t="s">
        <v>3487</v>
      </c>
      <c r="T1052" s="2" t="s">
        <v>66</v>
      </c>
      <c r="U1052" s="4" t="s">
        <v>31</v>
      </c>
      <c r="V1052" s="2" t="s">
        <v>7620</v>
      </c>
      <c r="W1052" s="2" t="s">
        <v>7380</v>
      </c>
      <c r="X1052" s="5" t="str">
        <f>HYPERLINK("https://my.pitchbook.com?p=180888-58P","View People Online")</f>
        <v>View People Online</v>
      </c>
    </row>
    <row r="1053">
      <c r="A1053" s="6" t="s">
        <v>7621</v>
      </c>
      <c r="B1053" s="6" t="s">
        <v>7622</v>
      </c>
      <c r="C1053" s="6" t="s">
        <v>4015</v>
      </c>
      <c r="D1053" s="6" t="s">
        <v>7623</v>
      </c>
      <c r="E1053" s="6" t="s">
        <v>7380</v>
      </c>
      <c r="F1053" s="6" t="s">
        <v>7624</v>
      </c>
      <c r="G1053" s="6" t="s">
        <v>7625</v>
      </c>
      <c r="H1053" s="7" t="s">
        <v>31</v>
      </c>
      <c r="I1053" s="7">
        <v>2.0</v>
      </c>
      <c r="J1053" s="7">
        <v>1.0</v>
      </c>
      <c r="K1053" s="7">
        <v>1.0</v>
      </c>
      <c r="L1053" s="8" t="s">
        <v>7383</v>
      </c>
      <c r="M1053" s="6" t="s">
        <v>7626</v>
      </c>
      <c r="N1053" s="6" t="s">
        <v>155</v>
      </c>
      <c r="O1053" s="8" t="s">
        <v>156</v>
      </c>
      <c r="P1053" s="6" t="s">
        <v>7385</v>
      </c>
      <c r="Q1053" s="6" t="s">
        <v>1280</v>
      </c>
      <c r="R1053" s="6" t="s">
        <v>64</v>
      </c>
      <c r="S1053" s="8" t="s">
        <v>3487</v>
      </c>
      <c r="T1053" s="6" t="s">
        <v>66</v>
      </c>
      <c r="U1053" s="8" t="s">
        <v>31</v>
      </c>
      <c r="V1053" s="6" t="s">
        <v>7627</v>
      </c>
      <c r="W1053" s="6" t="s">
        <v>7380</v>
      </c>
      <c r="X1053" s="9" t="str">
        <f>HYPERLINK("https://my.pitchbook.com?p=380783-98P","View People Online")</f>
        <v>View People Online</v>
      </c>
    </row>
    <row r="1054">
      <c r="A1054" s="10" t="s">
        <v>7628</v>
      </c>
      <c r="B1054" s="10" t="s">
        <v>7629</v>
      </c>
      <c r="C1054" s="10" t="s">
        <v>3888</v>
      </c>
      <c r="D1054" s="10" t="s">
        <v>7630</v>
      </c>
      <c r="E1054" s="10" t="s">
        <v>7380</v>
      </c>
      <c r="F1054" s="10" t="s">
        <v>270</v>
      </c>
      <c r="G1054" s="10" t="s">
        <v>7631</v>
      </c>
      <c r="H1054" s="11" t="s">
        <v>31</v>
      </c>
      <c r="I1054" s="11">
        <v>5.0</v>
      </c>
      <c r="J1054" s="11">
        <v>1.0</v>
      </c>
      <c r="K1054" s="11">
        <v>1.0</v>
      </c>
      <c r="L1054" s="12" t="s">
        <v>7383</v>
      </c>
      <c r="M1054" s="10" t="s">
        <v>7632</v>
      </c>
      <c r="N1054" s="10" t="s">
        <v>155</v>
      </c>
      <c r="O1054" s="12" t="s">
        <v>156</v>
      </c>
      <c r="P1054" s="10" t="s">
        <v>7385</v>
      </c>
      <c r="Q1054" s="10" t="s">
        <v>1280</v>
      </c>
      <c r="R1054" s="10" t="s">
        <v>64</v>
      </c>
      <c r="S1054" s="12" t="s">
        <v>3487</v>
      </c>
      <c r="T1054" s="10" t="s">
        <v>66</v>
      </c>
      <c r="U1054" s="12" t="s">
        <v>31</v>
      </c>
      <c r="V1054" s="10" t="s">
        <v>7633</v>
      </c>
      <c r="W1054" s="10" t="s">
        <v>7380</v>
      </c>
      <c r="X1054" s="13" t="str">
        <f>HYPERLINK("https://my.pitchbook.com?p=288363-43P","View People Online")</f>
        <v>View People Online</v>
      </c>
    </row>
    <row r="1055">
      <c r="A1055" s="6" t="s">
        <v>7634</v>
      </c>
      <c r="B1055" s="6" t="s">
        <v>7635</v>
      </c>
      <c r="C1055" s="6" t="s">
        <v>7636</v>
      </c>
      <c r="D1055" s="6" t="s">
        <v>7637</v>
      </c>
      <c r="E1055" s="6" t="s">
        <v>7380</v>
      </c>
      <c r="F1055" s="6" t="s">
        <v>1215</v>
      </c>
      <c r="G1055" s="6" t="s">
        <v>7638</v>
      </c>
      <c r="H1055" s="7" t="s">
        <v>31</v>
      </c>
      <c r="I1055" s="7">
        <v>2.0</v>
      </c>
      <c r="J1055" s="7">
        <v>1.0</v>
      </c>
      <c r="K1055" s="7">
        <v>1.0</v>
      </c>
      <c r="L1055" s="8" t="s">
        <v>7383</v>
      </c>
      <c r="M1055" s="6" t="s">
        <v>7639</v>
      </c>
      <c r="N1055" s="6" t="s">
        <v>155</v>
      </c>
      <c r="O1055" s="8" t="s">
        <v>156</v>
      </c>
      <c r="P1055" s="6" t="s">
        <v>7385</v>
      </c>
      <c r="Q1055" s="6" t="s">
        <v>1280</v>
      </c>
      <c r="R1055" s="6" t="s">
        <v>64</v>
      </c>
      <c r="S1055" s="8" t="s">
        <v>3487</v>
      </c>
      <c r="T1055" s="6" t="s">
        <v>66</v>
      </c>
      <c r="U1055" s="8" t="s">
        <v>31</v>
      </c>
      <c r="V1055" s="6" t="s">
        <v>7640</v>
      </c>
      <c r="W1055" s="6" t="s">
        <v>7380</v>
      </c>
      <c r="X1055" s="9" t="str">
        <f>HYPERLINK("https://my.pitchbook.com?p=94972-33P","View People Online")</f>
        <v>View People Online</v>
      </c>
    </row>
    <row r="1056">
      <c r="A1056" s="10" t="s">
        <v>7641</v>
      </c>
      <c r="B1056" s="10" t="s">
        <v>7642</v>
      </c>
      <c r="C1056" s="10" t="s">
        <v>4668</v>
      </c>
      <c r="D1056" s="10" t="s">
        <v>7643</v>
      </c>
      <c r="E1056" s="10" t="s">
        <v>7380</v>
      </c>
      <c r="F1056" s="10" t="s">
        <v>1801</v>
      </c>
      <c r="G1056" s="10" t="s">
        <v>7644</v>
      </c>
      <c r="H1056" s="11" t="s">
        <v>31</v>
      </c>
      <c r="I1056" s="11">
        <v>1.0</v>
      </c>
      <c r="J1056" s="11">
        <v>1.0</v>
      </c>
      <c r="K1056" s="11" t="s">
        <v>31</v>
      </c>
      <c r="L1056" s="12" t="s">
        <v>7383</v>
      </c>
      <c r="M1056" s="10" t="s">
        <v>7645</v>
      </c>
      <c r="N1056" s="10" t="s">
        <v>155</v>
      </c>
      <c r="O1056" s="12" t="s">
        <v>156</v>
      </c>
      <c r="P1056" s="10" t="s">
        <v>7385</v>
      </c>
      <c r="Q1056" s="10" t="s">
        <v>1280</v>
      </c>
      <c r="R1056" s="10" t="s">
        <v>64</v>
      </c>
      <c r="S1056" s="12" t="s">
        <v>3487</v>
      </c>
      <c r="T1056" s="10" t="s">
        <v>66</v>
      </c>
      <c r="U1056" s="12" t="s">
        <v>31</v>
      </c>
      <c r="V1056" s="10" t="s">
        <v>7646</v>
      </c>
      <c r="W1056" s="10" t="s">
        <v>7380</v>
      </c>
      <c r="X1056" s="13" t="str">
        <f>HYPERLINK("https://my.pitchbook.com?p=86199-85P","View People Online")</f>
        <v>View People Online</v>
      </c>
    </row>
    <row r="1057">
      <c r="A1057" s="14" t="s">
        <v>7647</v>
      </c>
      <c r="B1057" s="14" t="s">
        <v>7648</v>
      </c>
      <c r="C1057" s="14" t="s">
        <v>3722</v>
      </c>
      <c r="D1057" s="14" t="s">
        <v>1534</v>
      </c>
      <c r="E1057" s="14" t="s">
        <v>7380</v>
      </c>
      <c r="F1057" s="14" t="s">
        <v>4951</v>
      </c>
      <c r="G1057" s="14" t="s">
        <v>7649</v>
      </c>
      <c r="H1057" s="15">
        <v>1.0</v>
      </c>
      <c r="I1057" s="15">
        <v>5.0</v>
      </c>
      <c r="J1057" s="15">
        <v>1.0</v>
      </c>
      <c r="K1057" s="15">
        <v>2.0</v>
      </c>
      <c r="L1057" s="16" t="s">
        <v>7383</v>
      </c>
      <c r="M1057" s="14" t="s">
        <v>7650</v>
      </c>
      <c r="N1057" s="14" t="s">
        <v>155</v>
      </c>
      <c r="O1057" s="16" t="s">
        <v>156</v>
      </c>
      <c r="P1057" s="14" t="s">
        <v>7385</v>
      </c>
      <c r="Q1057" s="14" t="s">
        <v>1280</v>
      </c>
      <c r="R1057" s="14" t="s">
        <v>64</v>
      </c>
      <c r="S1057" s="16" t="s">
        <v>3487</v>
      </c>
      <c r="T1057" s="14" t="s">
        <v>66</v>
      </c>
      <c r="U1057" s="16" t="s">
        <v>31</v>
      </c>
      <c r="V1057" s="14" t="s">
        <v>7651</v>
      </c>
      <c r="W1057" s="14" t="s">
        <v>7380</v>
      </c>
      <c r="X1057" s="17" t="str">
        <f>HYPERLINK("https://my.pitchbook.com?p=210796-03P","View People Online")</f>
        <v>View People Online</v>
      </c>
    </row>
    <row r="1058">
      <c r="A1058" s="10" t="s">
        <v>7652</v>
      </c>
      <c r="B1058" s="10" t="s">
        <v>7653</v>
      </c>
      <c r="C1058" s="10" t="s">
        <v>3722</v>
      </c>
      <c r="D1058" s="10" t="s">
        <v>7654</v>
      </c>
      <c r="E1058" s="10" t="s">
        <v>7380</v>
      </c>
      <c r="F1058" s="10" t="s">
        <v>7655</v>
      </c>
      <c r="G1058" s="10" t="s">
        <v>7656</v>
      </c>
      <c r="H1058" s="11" t="s">
        <v>31</v>
      </c>
      <c r="I1058" s="11">
        <v>1.0</v>
      </c>
      <c r="J1058" s="11">
        <v>1.0</v>
      </c>
      <c r="K1058" s="11" t="s">
        <v>31</v>
      </c>
      <c r="L1058" s="12" t="s">
        <v>7383</v>
      </c>
      <c r="M1058" s="10" t="s">
        <v>7657</v>
      </c>
      <c r="N1058" s="10" t="s">
        <v>155</v>
      </c>
      <c r="O1058" s="12" t="s">
        <v>156</v>
      </c>
      <c r="P1058" s="10" t="s">
        <v>7385</v>
      </c>
      <c r="Q1058" s="10" t="s">
        <v>1280</v>
      </c>
      <c r="R1058" s="10" t="s">
        <v>64</v>
      </c>
      <c r="S1058" s="12" t="s">
        <v>3487</v>
      </c>
      <c r="T1058" s="10" t="s">
        <v>66</v>
      </c>
      <c r="U1058" s="12" t="s">
        <v>31</v>
      </c>
      <c r="V1058" s="10" t="s">
        <v>7658</v>
      </c>
      <c r="W1058" s="10" t="s">
        <v>7380</v>
      </c>
      <c r="X1058" s="13" t="str">
        <f>HYPERLINK("https://my.pitchbook.com?p=264674-44P","View People Online")</f>
        <v>View People Online</v>
      </c>
    </row>
    <row r="1059">
      <c r="A1059" s="14" t="s">
        <v>7659</v>
      </c>
      <c r="B1059" s="14" t="s">
        <v>7660</v>
      </c>
      <c r="C1059" s="14" t="s">
        <v>4679</v>
      </c>
      <c r="D1059" s="14" t="s">
        <v>7661</v>
      </c>
      <c r="E1059" s="14" t="s">
        <v>7380</v>
      </c>
      <c r="F1059" s="14" t="s">
        <v>6997</v>
      </c>
      <c r="G1059" s="14" t="s">
        <v>7662</v>
      </c>
      <c r="H1059" s="15">
        <v>1.0</v>
      </c>
      <c r="I1059" s="15">
        <v>2.0</v>
      </c>
      <c r="J1059" s="15">
        <v>1.0</v>
      </c>
      <c r="K1059" s="15" t="s">
        <v>31</v>
      </c>
      <c r="L1059" s="16" t="s">
        <v>7383</v>
      </c>
      <c r="M1059" s="14" t="s">
        <v>31</v>
      </c>
      <c r="N1059" s="14" t="s">
        <v>155</v>
      </c>
      <c r="O1059" s="16" t="s">
        <v>156</v>
      </c>
      <c r="P1059" s="14" t="s">
        <v>7385</v>
      </c>
      <c r="Q1059" s="14" t="s">
        <v>1280</v>
      </c>
      <c r="R1059" s="14" t="s">
        <v>64</v>
      </c>
      <c r="S1059" s="16" t="s">
        <v>3487</v>
      </c>
      <c r="T1059" s="14" t="s">
        <v>66</v>
      </c>
      <c r="U1059" s="16" t="s">
        <v>31</v>
      </c>
      <c r="V1059" s="14" t="s">
        <v>7663</v>
      </c>
      <c r="W1059" s="14" t="s">
        <v>7380</v>
      </c>
      <c r="X1059" s="17" t="str">
        <f>HYPERLINK("https://my.pitchbook.com?p=84497-95P","View People Online")</f>
        <v>View People Online</v>
      </c>
    </row>
    <row r="1060">
      <c r="A1060" s="2" t="s">
        <v>7664</v>
      </c>
      <c r="B1060" s="2" t="s">
        <v>7665</v>
      </c>
      <c r="C1060" s="2" t="s">
        <v>7666</v>
      </c>
      <c r="D1060" s="2" t="s">
        <v>7667</v>
      </c>
      <c r="E1060" s="2" t="s">
        <v>7380</v>
      </c>
      <c r="F1060" s="2" t="s">
        <v>371</v>
      </c>
      <c r="G1060" s="2" t="s">
        <v>7668</v>
      </c>
      <c r="H1060" s="3" t="s">
        <v>31</v>
      </c>
      <c r="I1060" s="3">
        <v>2.0</v>
      </c>
      <c r="J1060" s="3">
        <v>1.0</v>
      </c>
      <c r="K1060" s="3">
        <v>1.0</v>
      </c>
      <c r="L1060" s="4" t="s">
        <v>7383</v>
      </c>
      <c r="M1060" s="2" t="s">
        <v>7669</v>
      </c>
      <c r="N1060" s="2" t="s">
        <v>155</v>
      </c>
      <c r="O1060" s="4" t="s">
        <v>156</v>
      </c>
      <c r="P1060" s="2" t="s">
        <v>7385</v>
      </c>
      <c r="Q1060" s="2" t="s">
        <v>1280</v>
      </c>
      <c r="R1060" s="2" t="s">
        <v>64</v>
      </c>
      <c r="S1060" s="4" t="s">
        <v>3487</v>
      </c>
      <c r="T1060" s="2" t="s">
        <v>66</v>
      </c>
      <c r="U1060" s="4" t="s">
        <v>31</v>
      </c>
      <c r="V1060" s="2" t="s">
        <v>7670</v>
      </c>
      <c r="W1060" s="2" t="s">
        <v>7380</v>
      </c>
      <c r="X1060" s="5" t="str">
        <f>HYPERLINK("https://my.pitchbook.com?p=358503-22P","View People Online")</f>
        <v>View People Online</v>
      </c>
    </row>
    <row r="1061">
      <c r="A1061" s="14" t="s">
        <v>7671</v>
      </c>
      <c r="B1061" s="14" t="s">
        <v>7672</v>
      </c>
      <c r="C1061" s="14" t="s">
        <v>7673</v>
      </c>
      <c r="D1061" s="14" t="s">
        <v>7674</v>
      </c>
      <c r="E1061" s="14" t="s">
        <v>7380</v>
      </c>
      <c r="F1061" s="14" t="s">
        <v>270</v>
      </c>
      <c r="G1061" s="14" t="s">
        <v>7675</v>
      </c>
      <c r="H1061" s="15" t="s">
        <v>31</v>
      </c>
      <c r="I1061" s="15">
        <v>1.0</v>
      </c>
      <c r="J1061" s="15">
        <v>1.0</v>
      </c>
      <c r="K1061" s="15" t="s">
        <v>31</v>
      </c>
      <c r="L1061" s="16" t="s">
        <v>7383</v>
      </c>
      <c r="M1061" s="14" t="s">
        <v>7676</v>
      </c>
      <c r="N1061" s="14" t="s">
        <v>155</v>
      </c>
      <c r="O1061" s="16" t="s">
        <v>156</v>
      </c>
      <c r="P1061" s="14" t="s">
        <v>7385</v>
      </c>
      <c r="Q1061" s="14" t="s">
        <v>1280</v>
      </c>
      <c r="R1061" s="14" t="s">
        <v>64</v>
      </c>
      <c r="S1061" s="16" t="s">
        <v>3487</v>
      </c>
      <c r="T1061" s="14" t="s">
        <v>66</v>
      </c>
      <c r="U1061" s="16" t="s">
        <v>31</v>
      </c>
      <c r="V1061" s="14" t="s">
        <v>7677</v>
      </c>
      <c r="W1061" s="14" t="s">
        <v>7380</v>
      </c>
      <c r="X1061" s="17" t="str">
        <f>HYPERLINK("https://my.pitchbook.com?p=83687-50P","View People Online")</f>
        <v>View People Online</v>
      </c>
    </row>
    <row r="1062">
      <c r="A1062" s="2" t="s">
        <v>7678</v>
      </c>
      <c r="B1062" s="2" t="s">
        <v>7679</v>
      </c>
      <c r="C1062" s="2" t="s">
        <v>7207</v>
      </c>
      <c r="D1062" s="2" t="s">
        <v>7680</v>
      </c>
      <c r="E1062" s="2" t="s">
        <v>7380</v>
      </c>
      <c r="F1062" s="2" t="s">
        <v>1801</v>
      </c>
      <c r="G1062" s="2" t="s">
        <v>7681</v>
      </c>
      <c r="H1062" s="3" t="s">
        <v>31</v>
      </c>
      <c r="I1062" s="3">
        <v>1.0</v>
      </c>
      <c r="J1062" s="3">
        <v>1.0</v>
      </c>
      <c r="K1062" s="3" t="s">
        <v>31</v>
      </c>
      <c r="L1062" s="4" t="s">
        <v>7383</v>
      </c>
      <c r="M1062" s="2" t="s">
        <v>7682</v>
      </c>
      <c r="N1062" s="2" t="s">
        <v>155</v>
      </c>
      <c r="O1062" s="4" t="s">
        <v>156</v>
      </c>
      <c r="P1062" s="2" t="s">
        <v>7385</v>
      </c>
      <c r="Q1062" s="2" t="s">
        <v>1280</v>
      </c>
      <c r="R1062" s="2" t="s">
        <v>64</v>
      </c>
      <c r="S1062" s="4" t="s">
        <v>3487</v>
      </c>
      <c r="T1062" s="2" t="s">
        <v>66</v>
      </c>
      <c r="U1062" s="4" t="s">
        <v>31</v>
      </c>
      <c r="V1062" s="2" t="s">
        <v>7683</v>
      </c>
      <c r="W1062" s="2" t="s">
        <v>7380</v>
      </c>
      <c r="X1062" s="5" t="str">
        <f>HYPERLINK("https://my.pitchbook.com?p=83342-26P","View People Online")</f>
        <v>View People Online</v>
      </c>
    </row>
    <row r="1063">
      <c r="A1063" s="14" t="s">
        <v>7684</v>
      </c>
      <c r="B1063" s="14" t="s">
        <v>7685</v>
      </c>
      <c r="C1063" s="14" t="s">
        <v>1117</v>
      </c>
      <c r="D1063" s="14" t="s">
        <v>1849</v>
      </c>
      <c r="E1063" s="14" t="s">
        <v>7686</v>
      </c>
      <c r="F1063" s="14" t="s">
        <v>825</v>
      </c>
      <c r="G1063" s="14" t="s">
        <v>7687</v>
      </c>
      <c r="H1063" s="15" t="s">
        <v>31</v>
      </c>
      <c r="I1063" s="15">
        <v>1.0</v>
      </c>
      <c r="J1063" s="15">
        <v>1.0</v>
      </c>
      <c r="K1063" s="15" t="s">
        <v>31</v>
      </c>
      <c r="L1063" s="16" t="s">
        <v>7688</v>
      </c>
      <c r="M1063" s="14" t="s">
        <v>7689</v>
      </c>
      <c r="N1063" s="14" t="s">
        <v>7690</v>
      </c>
      <c r="O1063" s="16" t="s">
        <v>7691</v>
      </c>
      <c r="P1063" s="14" t="s">
        <v>7692</v>
      </c>
      <c r="Q1063" s="14" t="s">
        <v>31</v>
      </c>
      <c r="R1063" s="14" t="s">
        <v>7693</v>
      </c>
      <c r="S1063" s="16" t="s">
        <v>7694</v>
      </c>
      <c r="T1063" s="14" t="s">
        <v>66</v>
      </c>
      <c r="U1063" s="16" t="s">
        <v>31</v>
      </c>
      <c r="V1063" s="14" t="s">
        <v>7695</v>
      </c>
      <c r="W1063" s="14" t="s">
        <v>7686</v>
      </c>
      <c r="X1063" s="17" t="str">
        <f>HYPERLINK("https://my.pitchbook.com?p=296346-34P","View People Online")</f>
        <v>View People Online</v>
      </c>
    </row>
    <row r="1064">
      <c r="A1064" s="2" t="s">
        <v>7696</v>
      </c>
      <c r="B1064" s="2" t="s">
        <v>7697</v>
      </c>
      <c r="C1064" s="2" t="s">
        <v>1929</v>
      </c>
      <c r="D1064" s="2" t="s">
        <v>7698</v>
      </c>
      <c r="E1064" s="2" t="s">
        <v>7686</v>
      </c>
      <c r="F1064" s="2" t="s">
        <v>120</v>
      </c>
      <c r="G1064" s="2" t="s">
        <v>7699</v>
      </c>
      <c r="H1064" s="3">
        <v>1.0</v>
      </c>
      <c r="I1064" s="3">
        <v>2.0</v>
      </c>
      <c r="J1064" s="3">
        <v>1.0</v>
      </c>
      <c r="K1064" s="3" t="s">
        <v>31</v>
      </c>
      <c r="L1064" s="4" t="s">
        <v>7700</v>
      </c>
      <c r="M1064" s="2" t="s">
        <v>7701</v>
      </c>
      <c r="N1064" s="2" t="s">
        <v>7690</v>
      </c>
      <c r="O1064" s="4" t="s">
        <v>7691</v>
      </c>
      <c r="P1064" s="2" t="s">
        <v>7692</v>
      </c>
      <c r="Q1064" s="2" t="s">
        <v>31</v>
      </c>
      <c r="R1064" s="2" t="s">
        <v>7693</v>
      </c>
      <c r="S1064" s="4" t="s">
        <v>7694</v>
      </c>
      <c r="T1064" s="2" t="s">
        <v>66</v>
      </c>
      <c r="U1064" s="4" t="s">
        <v>31</v>
      </c>
      <c r="V1064" s="2" t="s">
        <v>120</v>
      </c>
      <c r="W1064" s="2" t="s">
        <v>7686</v>
      </c>
      <c r="X1064" s="5" t="str">
        <f>HYPERLINK("https://my.pitchbook.com?p=107286-31P","View People Online")</f>
        <v>View People Online</v>
      </c>
    </row>
    <row r="1065">
      <c r="A1065" s="14" t="s">
        <v>7702</v>
      </c>
      <c r="B1065" s="14" t="s">
        <v>7703</v>
      </c>
      <c r="C1065" s="14" t="s">
        <v>7704</v>
      </c>
      <c r="D1065" s="14" t="s">
        <v>4544</v>
      </c>
      <c r="E1065" s="14" t="s">
        <v>7686</v>
      </c>
      <c r="F1065" s="14" t="s">
        <v>120</v>
      </c>
      <c r="G1065" s="14" t="s">
        <v>7705</v>
      </c>
      <c r="H1065" s="15" t="s">
        <v>31</v>
      </c>
      <c r="I1065" s="15">
        <v>2.0</v>
      </c>
      <c r="J1065" s="15">
        <v>2.0</v>
      </c>
      <c r="K1065" s="15" t="s">
        <v>31</v>
      </c>
      <c r="L1065" s="16" t="s">
        <v>7706</v>
      </c>
      <c r="M1065" s="14" t="s">
        <v>31</v>
      </c>
      <c r="N1065" s="14" t="s">
        <v>2599</v>
      </c>
      <c r="O1065" s="16" t="s">
        <v>2600</v>
      </c>
      <c r="P1065" s="14" t="s">
        <v>7707</v>
      </c>
      <c r="Q1065" s="14" t="s">
        <v>31</v>
      </c>
      <c r="R1065" s="14" t="s">
        <v>396</v>
      </c>
      <c r="S1065" s="16" t="s">
        <v>7708</v>
      </c>
      <c r="T1065" s="14" t="s">
        <v>66</v>
      </c>
      <c r="U1065" s="16" t="s">
        <v>31</v>
      </c>
      <c r="V1065" s="14" t="s">
        <v>470</v>
      </c>
      <c r="W1065" s="14" t="s">
        <v>7709</v>
      </c>
      <c r="X1065" s="17" t="str">
        <f>HYPERLINK("https://my.pitchbook.com?p=296346-52P","View People Online")</f>
        <v>View People Online</v>
      </c>
    </row>
    <row r="1066">
      <c r="A1066" s="2" t="s">
        <v>7710</v>
      </c>
      <c r="B1066" s="2" t="s">
        <v>7711</v>
      </c>
      <c r="C1066" s="2" t="s">
        <v>7712</v>
      </c>
      <c r="D1066" s="2" t="s">
        <v>666</v>
      </c>
      <c r="E1066" s="2" t="s">
        <v>7686</v>
      </c>
      <c r="F1066" s="2" t="s">
        <v>695</v>
      </c>
      <c r="G1066" s="2" t="s">
        <v>7713</v>
      </c>
      <c r="H1066" s="3" t="s">
        <v>31</v>
      </c>
      <c r="I1066" s="3">
        <v>1.0</v>
      </c>
      <c r="J1066" s="3">
        <v>1.0</v>
      </c>
      <c r="K1066" s="3" t="s">
        <v>31</v>
      </c>
      <c r="L1066" s="4" t="s">
        <v>7688</v>
      </c>
      <c r="M1066" s="2" t="s">
        <v>7714</v>
      </c>
      <c r="N1066" s="2" t="s">
        <v>7690</v>
      </c>
      <c r="O1066" s="4" t="s">
        <v>7691</v>
      </c>
      <c r="P1066" s="2" t="s">
        <v>7692</v>
      </c>
      <c r="Q1066" s="2" t="s">
        <v>31</v>
      </c>
      <c r="R1066" s="2" t="s">
        <v>7693</v>
      </c>
      <c r="S1066" s="4" t="s">
        <v>7694</v>
      </c>
      <c r="T1066" s="2" t="s">
        <v>66</v>
      </c>
      <c r="U1066" s="4" t="s">
        <v>31</v>
      </c>
      <c r="V1066" s="2" t="s">
        <v>695</v>
      </c>
      <c r="W1066" s="2" t="s">
        <v>7686</v>
      </c>
      <c r="X1066" s="5" t="str">
        <f>HYPERLINK("https://my.pitchbook.com?p=440634-97P","View People Online")</f>
        <v>View People Online</v>
      </c>
    </row>
    <row r="1067">
      <c r="A1067" s="6" t="s">
        <v>7715</v>
      </c>
      <c r="B1067" s="6" t="s">
        <v>7716</v>
      </c>
      <c r="C1067" s="6" t="s">
        <v>3082</v>
      </c>
      <c r="D1067" s="6" t="s">
        <v>7717</v>
      </c>
      <c r="E1067" s="6" t="s">
        <v>7686</v>
      </c>
      <c r="F1067" s="6" t="s">
        <v>318</v>
      </c>
      <c r="G1067" s="6" t="s">
        <v>7718</v>
      </c>
      <c r="H1067" s="7" t="s">
        <v>31</v>
      </c>
      <c r="I1067" s="7">
        <v>4.0</v>
      </c>
      <c r="J1067" s="7">
        <v>1.0</v>
      </c>
      <c r="K1067" s="7" t="s">
        <v>31</v>
      </c>
      <c r="L1067" s="8" t="s">
        <v>7688</v>
      </c>
      <c r="M1067" s="6" t="s">
        <v>7719</v>
      </c>
      <c r="N1067" s="6" t="s">
        <v>7690</v>
      </c>
      <c r="O1067" s="8" t="s">
        <v>7691</v>
      </c>
      <c r="P1067" s="6" t="s">
        <v>7692</v>
      </c>
      <c r="Q1067" s="6" t="s">
        <v>31</v>
      </c>
      <c r="R1067" s="6" t="s">
        <v>7693</v>
      </c>
      <c r="S1067" s="8" t="s">
        <v>7694</v>
      </c>
      <c r="T1067" s="6" t="s">
        <v>66</v>
      </c>
      <c r="U1067" s="8" t="s">
        <v>31</v>
      </c>
      <c r="V1067" s="6" t="s">
        <v>7720</v>
      </c>
      <c r="W1067" s="6" t="s">
        <v>7686</v>
      </c>
      <c r="X1067" s="9" t="str">
        <f>HYPERLINK("https://my.pitchbook.com?p=296343-46P","View People Online")</f>
        <v>View People Online</v>
      </c>
    </row>
    <row r="1068">
      <c r="A1068" s="2" t="s">
        <v>7721</v>
      </c>
      <c r="B1068" s="2" t="s">
        <v>7722</v>
      </c>
      <c r="C1068" s="2" t="s">
        <v>934</v>
      </c>
      <c r="D1068" s="2" t="s">
        <v>7723</v>
      </c>
      <c r="E1068" s="2" t="s">
        <v>7686</v>
      </c>
      <c r="F1068" s="2" t="s">
        <v>120</v>
      </c>
      <c r="G1068" s="2" t="s">
        <v>7724</v>
      </c>
      <c r="H1068" s="3" t="s">
        <v>31</v>
      </c>
      <c r="I1068" s="3">
        <v>2.0</v>
      </c>
      <c r="J1068" s="3">
        <v>2.0</v>
      </c>
      <c r="K1068" s="3" t="s">
        <v>31</v>
      </c>
      <c r="L1068" s="4" t="s">
        <v>7725</v>
      </c>
      <c r="M1068" s="2" t="s">
        <v>7726</v>
      </c>
      <c r="N1068" s="2" t="s">
        <v>7121</v>
      </c>
      <c r="O1068" s="4" t="s">
        <v>7122</v>
      </c>
      <c r="P1068" s="2" t="s">
        <v>7727</v>
      </c>
      <c r="Q1068" s="2" t="s">
        <v>31</v>
      </c>
      <c r="R1068" s="2" t="s">
        <v>5348</v>
      </c>
      <c r="S1068" s="4" t="s">
        <v>7143</v>
      </c>
      <c r="T1068" s="2" t="s">
        <v>66</v>
      </c>
      <c r="U1068" s="4" t="s">
        <v>31</v>
      </c>
      <c r="V1068" s="2" t="s">
        <v>2156</v>
      </c>
      <c r="W1068" s="2" t="s">
        <v>7728</v>
      </c>
      <c r="X1068" s="5" t="str">
        <f>HYPERLINK("https://my.pitchbook.com?p=126344-89P","View People Online")</f>
        <v>View People Online</v>
      </c>
    </row>
    <row r="1069">
      <c r="A1069" s="14" t="s">
        <v>7729</v>
      </c>
      <c r="B1069" s="14" t="s">
        <v>7730</v>
      </c>
      <c r="C1069" s="14" t="s">
        <v>6199</v>
      </c>
      <c r="D1069" s="14" t="s">
        <v>7731</v>
      </c>
      <c r="E1069" s="14" t="s">
        <v>7686</v>
      </c>
      <c r="F1069" s="14" t="s">
        <v>7732</v>
      </c>
      <c r="G1069" s="14" t="s">
        <v>7733</v>
      </c>
      <c r="H1069" s="15">
        <v>4.0</v>
      </c>
      <c r="I1069" s="15">
        <v>18.0</v>
      </c>
      <c r="J1069" s="15">
        <v>2.0</v>
      </c>
      <c r="K1069" s="15">
        <v>8.0</v>
      </c>
      <c r="L1069" s="16" t="s">
        <v>7725</v>
      </c>
      <c r="M1069" s="14" t="s">
        <v>7734</v>
      </c>
      <c r="N1069" s="14" t="s">
        <v>7690</v>
      </c>
      <c r="O1069" s="16" t="s">
        <v>7691</v>
      </c>
      <c r="P1069" s="14" t="s">
        <v>7692</v>
      </c>
      <c r="Q1069" s="14" t="s">
        <v>31</v>
      </c>
      <c r="R1069" s="14" t="s">
        <v>7693</v>
      </c>
      <c r="S1069" s="16" t="s">
        <v>7694</v>
      </c>
      <c r="T1069" s="14" t="s">
        <v>66</v>
      </c>
      <c r="U1069" s="16" t="s">
        <v>31</v>
      </c>
      <c r="V1069" s="14" t="s">
        <v>7732</v>
      </c>
      <c r="W1069" s="14" t="s">
        <v>7686</v>
      </c>
      <c r="X1069" s="17" t="str">
        <f>HYPERLINK("https://my.pitchbook.com?p=103191-04P","View People Online")</f>
        <v>View People Online</v>
      </c>
    </row>
    <row r="1070">
      <c r="A1070" s="10" t="s">
        <v>7735</v>
      </c>
      <c r="B1070" s="10" t="s">
        <v>7736</v>
      </c>
      <c r="C1070" s="10" t="s">
        <v>1410</v>
      </c>
      <c r="D1070" s="10" t="s">
        <v>7737</v>
      </c>
      <c r="E1070" s="10" t="s">
        <v>7738</v>
      </c>
      <c r="F1070" s="10" t="s">
        <v>81</v>
      </c>
      <c r="G1070" s="10" t="s">
        <v>7739</v>
      </c>
      <c r="H1070" s="11" t="s">
        <v>31</v>
      </c>
      <c r="I1070" s="11">
        <v>1.0</v>
      </c>
      <c r="J1070" s="11" t="s">
        <v>31</v>
      </c>
      <c r="K1070" s="11" t="s">
        <v>31</v>
      </c>
      <c r="L1070" s="12" t="s">
        <v>7740</v>
      </c>
      <c r="M1070" s="10" t="s">
        <v>31</v>
      </c>
      <c r="N1070" s="10" t="s">
        <v>1292</v>
      </c>
      <c r="O1070" s="12" t="s">
        <v>1293</v>
      </c>
      <c r="P1070" s="10" t="s">
        <v>7741</v>
      </c>
      <c r="Q1070" s="10" t="s">
        <v>7742</v>
      </c>
      <c r="R1070" s="10" t="s">
        <v>64</v>
      </c>
      <c r="S1070" s="12" t="s">
        <v>1296</v>
      </c>
      <c r="T1070" s="10" t="s">
        <v>66</v>
      </c>
      <c r="U1070" s="12" t="s">
        <v>31</v>
      </c>
      <c r="V1070" s="10" t="s">
        <v>81</v>
      </c>
      <c r="W1070" s="10" t="s">
        <v>7738</v>
      </c>
      <c r="X1070" s="13" t="str">
        <f>HYPERLINK("https://my.pitchbook.com?p=58575-79P","View People Online")</f>
        <v>View People Online</v>
      </c>
    </row>
    <row r="1071">
      <c r="A1071" s="14" t="s">
        <v>7743</v>
      </c>
      <c r="B1071" s="14" t="s">
        <v>7744</v>
      </c>
      <c r="C1071" s="14" t="s">
        <v>7745</v>
      </c>
      <c r="D1071" s="14" t="s">
        <v>7746</v>
      </c>
      <c r="E1071" s="14" t="s">
        <v>7738</v>
      </c>
      <c r="F1071" s="14" t="s">
        <v>1106</v>
      </c>
      <c r="G1071" s="14" t="s">
        <v>7747</v>
      </c>
      <c r="H1071" s="15">
        <v>7.0</v>
      </c>
      <c r="I1071" s="15">
        <v>63.0</v>
      </c>
      <c r="J1071" s="15">
        <v>1.0</v>
      </c>
      <c r="K1071" s="15">
        <v>49.0</v>
      </c>
      <c r="L1071" s="16" t="s">
        <v>7748</v>
      </c>
      <c r="M1071" s="14" t="s">
        <v>7749</v>
      </c>
      <c r="N1071" s="14" t="s">
        <v>7750</v>
      </c>
      <c r="O1071" s="16" t="s">
        <v>7751</v>
      </c>
      <c r="P1071" s="14" t="s">
        <v>7752</v>
      </c>
      <c r="Q1071" s="14" t="s">
        <v>31</v>
      </c>
      <c r="R1071" s="14" t="s">
        <v>64</v>
      </c>
      <c r="S1071" s="16" t="s">
        <v>7753</v>
      </c>
      <c r="T1071" s="14" t="s">
        <v>66</v>
      </c>
      <c r="U1071" s="16" t="s">
        <v>31</v>
      </c>
      <c r="V1071" s="14" t="s">
        <v>7754</v>
      </c>
      <c r="W1071" s="14" t="s">
        <v>7755</v>
      </c>
      <c r="X1071" s="17" t="str">
        <f>HYPERLINK("https://my.pitchbook.com?p=13394-53P","View People Online")</f>
        <v>View People Online</v>
      </c>
    </row>
    <row r="1072">
      <c r="A1072" s="2" t="s">
        <v>7756</v>
      </c>
      <c r="B1072" s="2" t="s">
        <v>7757</v>
      </c>
      <c r="C1072" s="2" t="s">
        <v>1103</v>
      </c>
      <c r="D1072" s="2" t="s">
        <v>7758</v>
      </c>
      <c r="E1072" s="2" t="s">
        <v>7738</v>
      </c>
      <c r="F1072" s="2" t="s">
        <v>81</v>
      </c>
      <c r="G1072" s="2" t="s">
        <v>7759</v>
      </c>
      <c r="H1072" s="3">
        <v>5.0</v>
      </c>
      <c r="I1072" s="3">
        <v>9.0</v>
      </c>
      <c r="J1072" s="3" t="s">
        <v>31</v>
      </c>
      <c r="K1072" s="3">
        <v>1.0</v>
      </c>
      <c r="L1072" s="4" t="s">
        <v>7760</v>
      </c>
      <c r="M1072" s="2" t="s">
        <v>31</v>
      </c>
      <c r="N1072" s="2" t="s">
        <v>7761</v>
      </c>
      <c r="O1072" s="4" t="s">
        <v>7762</v>
      </c>
      <c r="P1072" s="2" t="s">
        <v>7763</v>
      </c>
      <c r="Q1072" s="2" t="s">
        <v>31</v>
      </c>
      <c r="R1072" s="2" t="s">
        <v>31</v>
      </c>
      <c r="S1072" s="4" t="s">
        <v>7764</v>
      </c>
      <c r="T1072" s="2" t="s">
        <v>796</v>
      </c>
      <c r="U1072" s="4" t="s">
        <v>31</v>
      </c>
      <c r="V1072" s="2" t="s">
        <v>7765</v>
      </c>
      <c r="W1072" s="2" t="s">
        <v>7766</v>
      </c>
      <c r="X1072" s="5" t="str">
        <f>HYPERLINK("https://my.pitchbook.com?p=190986-22P","View People Online")</f>
        <v>View People Online</v>
      </c>
    </row>
    <row r="1073">
      <c r="A1073" s="14" t="s">
        <v>7767</v>
      </c>
      <c r="B1073" s="14" t="s">
        <v>7768</v>
      </c>
      <c r="C1073" s="14" t="s">
        <v>7769</v>
      </c>
      <c r="D1073" s="14" t="s">
        <v>7770</v>
      </c>
      <c r="E1073" s="14" t="s">
        <v>7738</v>
      </c>
      <c r="F1073" s="14" t="s">
        <v>29</v>
      </c>
      <c r="G1073" s="14" t="s">
        <v>7771</v>
      </c>
      <c r="H1073" s="15">
        <v>2.0</v>
      </c>
      <c r="I1073" s="15">
        <v>15.0</v>
      </c>
      <c r="J1073" s="15">
        <v>1.0</v>
      </c>
      <c r="K1073" s="15">
        <v>9.0</v>
      </c>
      <c r="L1073" s="16" t="s">
        <v>31</v>
      </c>
      <c r="M1073" s="14" t="s">
        <v>7772</v>
      </c>
      <c r="N1073" s="14" t="s">
        <v>1292</v>
      </c>
      <c r="O1073" s="16" t="s">
        <v>1293</v>
      </c>
      <c r="P1073" s="14" t="s">
        <v>7741</v>
      </c>
      <c r="Q1073" s="14" t="s">
        <v>7742</v>
      </c>
      <c r="R1073" s="14" t="s">
        <v>64</v>
      </c>
      <c r="S1073" s="16" t="s">
        <v>1296</v>
      </c>
      <c r="T1073" s="14" t="s">
        <v>66</v>
      </c>
      <c r="U1073" s="16" t="s">
        <v>31</v>
      </c>
      <c r="V1073" s="14" t="s">
        <v>29</v>
      </c>
      <c r="W1073" s="14" t="s">
        <v>7738</v>
      </c>
      <c r="X1073" s="17" t="str">
        <f>HYPERLINK("https://my.pitchbook.com?p=138386-08P","View People Online")</f>
        <v>View People Online</v>
      </c>
    </row>
    <row r="1074">
      <c r="A1074" s="10" t="s">
        <v>7773</v>
      </c>
      <c r="B1074" s="10" t="s">
        <v>7774</v>
      </c>
      <c r="C1074" s="10" t="s">
        <v>7775</v>
      </c>
      <c r="D1074" s="10" t="s">
        <v>7776</v>
      </c>
      <c r="E1074" s="10" t="s">
        <v>7738</v>
      </c>
      <c r="F1074" s="10" t="s">
        <v>81</v>
      </c>
      <c r="G1074" s="10" t="s">
        <v>7777</v>
      </c>
      <c r="H1074" s="11" t="s">
        <v>31</v>
      </c>
      <c r="I1074" s="11">
        <v>2.0</v>
      </c>
      <c r="J1074" s="11" t="s">
        <v>31</v>
      </c>
      <c r="K1074" s="11" t="s">
        <v>31</v>
      </c>
      <c r="L1074" s="12" t="s">
        <v>7778</v>
      </c>
      <c r="M1074" s="10" t="s">
        <v>31</v>
      </c>
      <c r="N1074" s="10" t="s">
        <v>155</v>
      </c>
      <c r="O1074" s="12" t="s">
        <v>156</v>
      </c>
      <c r="P1074" s="10" t="s">
        <v>7779</v>
      </c>
      <c r="Q1074" s="10" t="s">
        <v>31</v>
      </c>
      <c r="R1074" s="10" t="s">
        <v>64</v>
      </c>
      <c r="S1074" s="12" t="s">
        <v>7780</v>
      </c>
      <c r="T1074" s="10" t="s">
        <v>66</v>
      </c>
      <c r="U1074" s="12" t="s">
        <v>31</v>
      </c>
      <c r="V1074" s="10" t="s">
        <v>2379</v>
      </c>
      <c r="W1074" s="10" t="s">
        <v>7781</v>
      </c>
      <c r="X1074" s="13" t="str">
        <f>HYPERLINK("https://my.pitchbook.com?p=11676-61P","View People Online")</f>
        <v>View People Online</v>
      </c>
    </row>
    <row r="1075">
      <c r="A1075" s="14" t="s">
        <v>7782</v>
      </c>
      <c r="B1075" s="14" t="s">
        <v>7783</v>
      </c>
      <c r="C1075" s="14" t="s">
        <v>7784</v>
      </c>
      <c r="D1075" s="14" t="s">
        <v>7785</v>
      </c>
      <c r="E1075" s="14" t="s">
        <v>7738</v>
      </c>
      <c r="F1075" s="14" t="s">
        <v>221</v>
      </c>
      <c r="G1075" s="14" t="s">
        <v>7786</v>
      </c>
      <c r="H1075" s="15" t="s">
        <v>31</v>
      </c>
      <c r="I1075" s="15">
        <v>1.0</v>
      </c>
      <c r="J1075" s="15">
        <v>1.0</v>
      </c>
      <c r="K1075" s="15" t="s">
        <v>31</v>
      </c>
      <c r="L1075" s="16" t="s">
        <v>31</v>
      </c>
      <c r="M1075" s="14" t="s">
        <v>7787</v>
      </c>
      <c r="N1075" s="14" t="s">
        <v>1292</v>
      </c>
      <c r="O1075" s="16" t="s">
        <v>1293</v>
      </c>
      <c r="P1075" s="14" t="s">
        <v>7741</v>
      </c>
      <c r="Q1075" s="14" t="s">
        <v>7742</v>
      </c>
      <c r="R1075" s="14" t="s">
        <v>64</v>
      </c>
      <c r="S1075" s="16" t="s">
        <v>1296</v>
      </c>
      <c r="T1075" s="14" t="s">
        <v>66</v>
      </c>
      <c r="U1075" s="16" t="s">
        <v>31</v>
      </c>
      <c r="V1075" s="14" t="s">
        <v>221</v>
      </c>
      <c r="W1075" s="14" t="s">
        <v>7738</v>
      </c>
      <c r="X1075" s="17" t="str">
        <f>HYPERLINK("https://my.pitchbook.com?p=417743-56P","View People Online")</f>
        <v>View People Online</v>
      </c>
    </row>
    <row r="1076">
      <c r="A1076" s="2" t="s">
        <v>7788</v>
      </c>
      <c r="B1076" s="2" t="s">
        <v>7789</v>
      </c>
      <c r="C1076" s="2" t="s">
        <v>7790</v>
      </c>
      <c r="D1076" s="2" t="s">
        <v>7791</v>
      </c>
      <c r="E1076" s="2" t="s">
        <v>7738</v>
      </c>
      <c r="F1076" s="2" t="s">
        <v>318</v>
      </c>
      <c r="G1076" s="2" t="s">
        <v>7792</v>
      </c>
      <c r="H1076" s="3" t="s">
        <v>31</v>
      </c>
      <c r="I1076" s="3">
        <v>6.0</v>
      </c>
      <c r="J1076" s="3">
        <v>1.0</v>
      </c>
      <c r="K1076" s="3">
        <v>3.0</v>
      </c>
      <c r="L1076" s="4" t="s">
        <v>31</v>
      </c>
      <c r="M1076" s="2" t="s">
        <v>7793</v>
      </c>
      <c r="N1076" s="2" t="s">
        <v>1292</v>
      </c>
      <c r="O1076" s="4" t="s">
        <v>1293</v>
      </c>
      <c r="P1076" s="2" t="s">
        <v>7741</v>
      </c>
      <c r="Q1076" s="2" t="s">
        <v>7742</v>
      </c>
      <c r="R1076" s="2" t="s">
        <v>64</v>
      </c>
      <c r="S1076" s="4" t="s">
        <v>1296</v>
      </c>
      <c r="T1076" s="2" t="s">
        <v>66</v>
      </c>
      <c r="U1076" s="4" t="s">
        <v>31</v>
      </c>
      <c r="V1076" s="2" t="s">
        <v>318</v>
      </c>
      <c r="W1076" s="2" t="s">
        <v>7738</v>
      </c>
      <c r="X1076" s="5" t="str">
        <f>HYPERLINK("https://my.pitchbook.com?p=154312-93P","View People Online")</f>
        <v>View People Online</v>
      </c>
    </row>
    <row r="1077">
      <c r="A1077" s="14" t="s">
        <v>7794</v>
      </c>
      <c r="B1077" s="14" t="s">
        <v>7795</v>
      </c>
      <c r="C1077" s="14" t="s">
        <v>2190</v>
      </c>
      <c r="D1077" s="14" t="s">
        <v>7796</v>
      </c>
      <c r="E1077" s="14" t="s">
        <v>7738</v>
      </c>
      <c r="F1077" s="14" t="s">
        <v>6567</v>
      </c>
      <c r="G1077" s="14" t="s">
        <v>7797</v>
      </c>
      <c r="H1077" s="15" t="s">
        <v>31</v>
      </c>
      <c r="I1077" s="15">
        <v>5.0</v>
      </c>
      <c r="J1077" s="15">
        <v>5.0</v>
      </c>
      <c r="K1077" s="15" t="s">
        <v>31</v>
      </c>
      <c r="L1077" s="16" t="s">
        <v>7798</v>
      </c>
      <c r="M1077" s="14" t="s">
        <v>7799</v>
      </c>
      <c r="N1077" s="14" t="s">
        <v>3766</v>
      </c>
      <c r="O1077" s="16" t="s">
        <v>3767</v>
      </c>
      <c r="P1077" s="14" t="s">
        <v>7800</v>
      </c>
      <c r="Q1077" s="14" t="s">
        <v>6654</v>
      </c>
      <c r="R1077" s="14" t="s">
        <v>64</v>
      </c>
      <c r="S1077" s="16" t="s">
        <v>7801</v>
      </c>
      <c r="T1077" s="14" t="s">
        <v>66</v>
      </c>
      <c r="U1077" s="16" t="s">
        <v>31</v>
      </c>
      <c r="V1077" s="14" t="s">
        <v>157</v>
      </c>
      <c r="W1077" s="14" t="s">
        <v>7802</v>
      </c>
      <c r="X1077" s="17" t="str">
        <f>HYPERLINK("https://my.pitchbook.com?p=41619-34P","View People Online")</f>
        <v>View People Online</v>
      </c>
    </row>
    <row r="1078">
      <c r="A1078" s="2" t="s">
        <v>7803</v>
      </c>
      <c r="B1078" s="2" t="s">
        <v>7804</v>
      </c>
      <c r="C1078" s="2" t="s">
        <v>5890</v>
      </c>
      <c r="D1078" s="2" t="s">
        <v>7805</v>
      </c>
      <c r="E1078" s="2" t="s">
        <v>7738</v>
      </c>
      <c r="F1078" s="2" t="s">
        <v>114</v>
      </c>
      <c r="G1078" s="2" t="s">
        <v>7806</v>
      </c>
      <c r="H1078" s="3">
        <v>2.0</v>
      </c>
      <c r="I1078" s="3">
        <v>12.0</v>
      </c>
      <c r="J1078" s="3">
        <v>2.0</v>
      </c>
      <c r="K1078" s="3">
        <v>7.0</v>
      </c>
      <c r="L1078" s="4" t="s">
        <v>7807</v>
      </c>
      <c r="M1078" s="2" t="s">
        <v>7808</v>
      </c>
      <c r="N1078" s="2" t="s">
        <v>155</v>
      </c>
      <c r="O1078" s="4" t="s">
        <v>156</v>
      </c>
      <c r="P1078" s="2" t="s">
        <v>7809</v>
      </c>
      <c r="Q1078" s="2" t="s">
        <v>1280</v>
      </c>
      <c r="R1078" s="2" t="s">
        <v>64</v>
      </c>
      <c r="S1078" s="4" t="s">
        <v>7810</v>
      </c>
      <c r="T1078" s="2" t="s">
        <v>66</v>
      </c>
      <c r="U1078" s="4" t="s">
        <v>31</v>
      </c>
      <c r="V1078" s="2" t="s">
        <v>2168</v>
      </c>
      <c r="W1078" s="2" t="s">
        <v>7811</v>
      </c>
      <c r="X1078" s="5" t="str">
        <f>HYPERLINK("https://my.pitchbook.com?p=35992-09P","View People Online")</f>
        <v>View People Online</v>
      </c>
    </row>
    <row r="1079">
      <c r="A1079" s="6" t="s">
        <v>7812</v>
      </c>
      <c r="B1079" s="6" t="s">
        <v>7813</v>
      </c>
      <c r="C1079" s="6" t="s">
        <v>7814</v>
      </c>
      <c r="D1079" s="6" t="s">
        <v>7815</v>
      </c>
      <c r="E1079" s="6" t="s">
        <v>7738</v>
      </c>
      <c r="F1079" s="6" t="s">
        <v>1106</v>
      </c>
      <c r="G1079" s="6" t="s">
        <v>7816</v>
      </c>
      <c r="H1079" s="7" t="s">
        <v>31</v>
      </c>
      <c r="I1079" s="7">
        <v>6.0</v>
      </c>
      <c r="J1079" s="7">
        <v>1.0</v>
      </c>
      <c r="K1079" s="7">
        <v>1.0</v>
      </c>
      <c r="L1079" s="8" t="s">
        <v>31</v>
      </c>
      <c r="M1079" s="6" t="s">
        <v>7817</v>
      </c>
      <c r="N1079" s="6" t="s">
        <v>1292</v>
      </c>
      <c r="O1079" s="8" t="s">
        <v>1293</v>
      </c>
      <c r="P1079" s="6" t="s">
        <v>7741</v>
      </c>
      <c r="Q1079" s="6" t="s">
        <v>7742</v>
      </c>
      <c r="R1079" s="6" t="s">
        <v>64</v>
      </c>
      <c r="S1079" s="8" t="s">
        <v>1296</v>
      </c>
      <c r="T1079" s="6" t="s">
        <v>66</v>
      </c>
      <c r="U1079" s="8" t="s">
        <v>31</v>
      </c>
      <c r="V1079" s="6" t="s">
        <v>1114</v>
      </c>
      <c r="W1079" s="6" t="s">
        <v>7738</v>
      </c>
      <c r="X1079" s="9" t="str">
        <f>HYPERLINK("https://my.pitchbook.com?p=107691-76P","View People Online")</f>
        <v>View People Online</v>
      </c>
    </row>
    <row r="1080">
      <c r="A1080" s="10" t="s">
        <v>7818</v>
      </c>
      <c r="B1080" s="10" t="s">
        <v>7819</v>
      </c>
      <c r="C1080" s="10" t="s">
        <v>1072</v>
      </c>
      <c r="D1080" s="10" t="s">
        <v>7820</v>
      </c>
      <c r="E1080" s="10" t="s">
        <v>7738</v>
      </c>
      <c r="F1080" s="10" t="s">
        <v>502</v>
      </c>
      <c r="G1080" s="10" t="s">
        <v>7821</v>
      </c>
      <c r="H1080" s="11" t="s">
        <v>31</v>
      </c>
      <c r="I1080" s="11">
        <v>8.0</v>
      </c>
      <c r="J1080" s="11">
        <v>2.0</v>
      </c>
      <c r="K1080" s="11">
        <v>3.0</v>
      </c>
      <c r="L1080" s="12" t="s">
        <v>31</v>
      </c>
      <c r="M1080" s="10" t="s">
        <v>31</v>
      </c>
      <c r="N1080" s="10" t="s">
        <v>1292</v>
      </c>
      <c r="O1080" s="12" t="s">
        <v>1293</v>
      </c>
      <c r="P1080" s="10" t="s">
        <v>7741</v>
      </c>
      <c r="Q1080" s="10" t="s">
        <v>7742</v>
      </c>
      <c r="R1080" s="10" t="s">
        <v>64</v>
      </c>
      <c r="S1080" s="12" t="s">
        <v>1296</v>
      </c>
      <c r="T1080" s="10" t="s">
        <v>66</v>
      </c>
      <c r="U1080" s="12" t="s">
        <v>31</v>
      </c>
      <c r="V1080" s="10" t="s">
        <v>502</v>
      </c>
      <c r="W1080" s="10" t="s">
        <v>7738</v>
      </c>
      <c r="X1080" s="13" t="str">
        <f>HYPERLINK("https://my.pitchbook.com?p=12876-04P","View People Online")</f>
        <v>View People Online</v>
      </c>
    </row>
    <row r="1081">
      <c r="A1081" s="14" t="s">
        <v>7822</v>
      </c>
      <c r="B1081" s="14" t="s">
        <v>7823</v>
      </c>
      <c r="C1081" s="14" t="s">
        <v>1072</v>
      </c>
      <c r="D1081" s="14" t="s">
        <v>7824</v>
      </c>
      <c r="E1081" s="14" t="s">
        <v>7738</v>
      </c>
      <c r="F1081" s="14" t="s">
        <v>114</v>
      </c>
      <c r="G1081" s="14" t="s">
        <v>7825</v>
      </c>
      <c r="H1081" s="15">
        <v>2.0</v>
      </c>
      <c r="I1081" s="15">
        <v>14.0</v>
      </c>
      <c r="J1081" s="15">
        <v>1.0</v>
      </c>
      <c r="K1081" s="15">
        <v>9.0</v>
      </c>
      <c r="L1081" s="16" t="s">
        <v>31</v>
      </c>
      <c r="M1081" s="14" t="s">
        <v>7826</v>
      </c>
      <c r="N1081" s="14" t="s">
        <v>1292</v>
      </c>
      <c r="O1081" s="16" t="s">
        <v>1293</v>
      </c>
      <c r="P1081" s="14" t="s">
        <v>7741</v>
      </c>
      <c r="Q1081" s="14" t="s">
        <v>7742</v>
      </c>
      <c r="R1081" s="14" t="s">
        <v>64</v>
      </c>
      <c r="S1081" s="16" t="s">
        <v>1296</v>
      </c>
      <c r="T1081" s="14" t="s">
        <v>66</v>
      </c>
      <c r="U1081" s="16" t="s">
        <v>31</v>
      </c>
      <c r="V1081" s="14" t="s">
        <v>114</v>
      </c>
      <c r="W1081" s="14" t="s">
        <v>7738</v>
      </c>
      <c r="X1081" s="17" t="str">
        <f>HYPERLINK("https://my.pitchbook.com?p=47989-45P","View People Online")</f>
        <v>View People Online</v>
      </c>
    </row>
    <row r="1082">
      <c r="A1082" s="2" t="s">
        <v>7827</v>
      </c>
      <c r="B1082" s="2" t="s">
        <v>7828</v>
      </c>
      <c r="C1082" s="2" t="s">
        <v>7829</v>
      </c>
      <c r="D1082" s="2" t="s">
        <v>7830</v>
      </c>
      <c r="E1082" s="2" t="s">
        <v>7831</v>
      </c>
      <c r="F1082" s="2" t="s">
        <v>318</v>
      </c>
      <c r="G1082" s="2" t="s">
        <v>7832</v>
      </c>
      <c r="H1082" s="3" t="s">
        <v>31</v>
      </c>
      <c r="I1082" s="3">
        <v>1.0</v>
      </c>
      <c r="J1082" s="3">
        <v>1.0</v>
      </c>
      <c r="K1082" s="3" t="s">
        <v>31</v>
      </c>
      <c r="L1082" s="4" t="s">
        <v>31</v>
      </c>
      <c r="M1082" s="2" t="s">
        <v>7833</v>
      </c>
      <c r="N1082" s="2" t="s">
        <v>1454</v>
      </c>
      <c r="O1082" s="4" t="s">
        <v>1455</v>
      </c>
      <c r="P1082" s="2" t="s">
        <v>7834</v>
      </c>
      <c r="Q1082" s="2" t="s">
        <v>1719</v>
      </c>
      <c r="R1082" s="2" t="s">
        <v>93</v>
      </c>
      <c r="S1082" s="4" t="s">
        <v>7835</v>
      </c>
      <c r="T1082" s="2" t="s">
        <v>66</v>
      </c>
      <c r="U1082" s="4" t="s">
        <v>31</v>
      </c>
      <c r="V1082" s="2" t="s">
        <v>318</v>
      </c>
      <c r="W1082" s="2" t="s">
        <v>7831</v>
      </c>
      <c r="X1082" s="5" t="str">
        <f>HYPERLINK("https://my.pitchbook.com?p=390819-52P","View People Online")</f>
        <v>View People Online</v>
      </c>
    </row>
    <row r="1083">
      <c r="A1083" s="6" t="s">
        <v>7836</v>
      </c>
      <c r="B1083" s="6" t="s">
        <v>7837</v>
      </c>
      <c r="C1083" s="6" t="s">
        <v>7838</v>
      </c>
      <c r="D1083" s="6" t="s">
        <v>7839</v>
      </c>
      <c r="E1083" s="6" t="s">
        <v>7831</v>
      </c>
      <c r="F1083" s="6" t="s">
        <v>674</v>
      </c>
      <c r="G1083" s="6" t="s">
        <v>7840</v>
      </c>
      <c r="H1083" s="7">
        <v>1.0</v>
      </c>
      <c r="I1083" s="7">
        <v>2.0</v>
      </c>
      <c r="J1083" s="7">
        <v>1.0</v>
      </c>
      <c r="K1083" s="7" t="s">
        <v>31</v>
      </c>
      <c r="L1083" s="8" t="s">
        <v>31</v>
      </c>
      <c r="M1083" s="6" t="s">
        <v>7841</v>
      </c>
      <c r="N1083" s="6" t="s">
        <v>1454</v>
      </c>
      <c r="O1083" s="8" t="s">
        <v>1455</v>
      </c>
      <c r="P1083" s="6" t="s">
        <v>7834</v>
      </c>
      <c r="Q1083" s="6" t="s">
        <v>1719</v>
      </c>
      <c r="R1083" s="6" t="s">
        <v>93</v>
      </c>
      <c r="S1083" s="8" t="s">
        <v>7835</v>
      </c>
      <c r="T1083" s="6" t="s">
        <v>66</v>
      </c>
      <c r="U1083" s="8" t="s">
        <v>31</v>
      </c>
      <c r="V1083" s="6" t="s">
        <v>674</v>
      </c>
      <c r="W1083" s="6" t="s">
        <v>7831</v>
      </c>
      <c r="X1083" s="9" t="str">
        <f>HYPERLINK("https://my.pitchbook.com?p=12437-92P","View People Online")</f>
        <v>View People Online</v>
      </c>
    </row>
    <row r="1084">
      <c r="A1084" s="2" t="s">
        <v>2454</v>
      </c>
      <c r="B1084" s="2" t="s">
        <v>2455</v>
      </c>
      <c r="C1084" s="2" t="s">
        <v>2456</v>
      </c>
      <c r="D1084" s="2" t="s">
        <v>2457</v>
      </c>
      <c r="E1084" s="2" t="s">
        <v>7831</v>
      </c>
      <c r="F1084" s="2" t="s">
        <v>3025</v>
      </c>
      <c r="G1084" s="2" t="s">
        <v>2458</v>
      </c>
      <c r="H1084" s="3">
        <v>4.0</v>
      </c>
      <c r="I1084" s="3">
        <v>19.0</v>
      </c>
      <c r="J1084" s="3">
        <v>4.0</v>
      </c>
      <c r="K1084" s="3">
        <v>11.0</v>
      </c>
      <c r="L1084" s="4" t="s">
        <v>2459</v>
      </c>
      <c r="M1084" s="2" t="s">
        <v>2460</v>
      </c>
      <c r="N1084" s="2" t="s">
        <v>155</v>
      </c>
      <c r="O1084" s="4" t="s">
        <v>156</v>
      </c>
      <c r="P1084" s="2" t="s">
        <v>2461</v>
      </c>
      <c r="Q1084" s="2" t="s">
        <v>2462</v>
      </c>
      <c r="R1084" s="2" t="s">
        <v>64</v>
      </c>
      <c r="S1084" s="4" t="s">
        <v>2463</v>
      </c>
      <c r="T1084" s="2" t="s">
        <v>66</v>
      </c>
      <c r="U1084" s="4" t="s">
        <v>31</v>
      </c>
      <c r="V1084" s="2" t="s">
        <v>2464</v>
      </c>
      <c r="W1084" s="2" t="s">
        <v>2465</v>
      </c>
      <c r="X1084" s="5" t="str">
        <f>HYPERLINK("https://my.pitchbook.com?p=13552-57P","View People Online")</f>
        <v>View People Online</v>
      </c>
    </row>
    <row r="1085">
      <c r="A1085" s="14" t="s">
        <v>7842</v>
      </c>
      <c r="B1085" s="14" t="s">
        <v>7843</v>
      </c>
      <c r="C1085" s="14" t="s">
        <v>1401</v>
      </c>
      <c r="D1085" s="14" t="s">
        <v>7844</v>
      </c>
      <c r="E1085" s="14" t="s">
        <v>7831</v>
      </c>
      <c r="F1085" s="14" t="s">
        <v>318</v>
      </c>
      <c r="G1085" s="14" t="s">
        <v>7845</v>
      </c>
      <c r="H1085" s="15" t="s">
        <v>31</v>
      </c>
      <c r="I1085" s="15">
        <v>1.0</v>
      </c>
      <c r="J1085" s="15">
        <v>1.0</v>
      </c>
      <c r="K1085" s="15" t="s">
        <v>31</v>
      </c>
      <c r="L1085" s="16" t="s">
        <v>31</v>
      </c>
      <c r="M1085" s="14" t="s">
        <v>7846</v>
      </c>
      <c r="N1085" s="14" t="s">
        <v>1454</v>
      </c>
      <c r="O1085" s="16" t="s">
        <v>1455</v>
      </c>
      <c r="P1085" s="14" t="s">
        <v>7834</v>
      </c>
      <c r="Q1085" s="14" t="s">
        <v>1719</v>
      </c>
      <c r="R1085" s="14" t="s">
        <v>93</v>
      </c>
      <c r="S1085" s="16" t="s">
        <v>7835</v>
      </c>
      <c r="T1085" s="14" t="s">
        <v>66</v>
      </c>
      <c r="U1085" s="16" t="s">
        <v>31</v>
      </c>
      <c r="V1085" s="14" t="s">
        <v>318</v>
      </c>
      <c r="W1085" s="14" t="s">
        <v>7831</v>
      </c>
      <c r="X1085" s="17" t="str">
        <f>HYPERLINK("https://my.pitchbook.com?p=291225-25P","View People Online")</f>
        <v>View People Online</v>
      </c>
    </row>
    <row r="1086">
      <c r="A1086" s="2" t="s">
        <v>7847</v>
      </c>
      <c r="B1086" s="2" t="s">
        <v>7848</v>
      </c>
      <c r="C1086" s="2" t="s">
        <v>740</v>
      </c>
      <c r="D1086" s="2" t="s">
        <v>7849</v>
      </c>
      <c r="E1086" s="2" t="s">
        <v>7850</v>
      </c>
      <c r="F1086" s="2" t="s">
        <v>5365</v>
      </c>
      <c r="G1086" s="2" t="s">
        <v>7851</v>
      </c>
      <c r="H1086" s="3" t="s">
        <v>31</v>
      </c>
      <c r="I1086" s="3">
        <v>1.0</v>
      </c>
      <c r="J1086" s="3">
        <v>1.0</v>
      </c>
      <c r="K1086" s="3" t="s">
        <v>31</v>
      </c>
      <c r="L1086" s="4" t="s">
        <v>7852</v>
      </c>
      <c r="M1086" s="2" t="s">
        <v>7853</v>
      </c>
      <c r="N1086" s="2" t="s">
        <v>7854</v>
      </c>
      <c r="O1086" s="4" t="s">
        <v>7855</v>
      </c>
      <c r="P1086" s="2" t="s">
        <v>7856</v>
      </c>
      <c r="Q1086" s="2" t="s">
        <v>31</v>
      </c>
      <c r="R1086" s="2" t="s">
        <v>1277</v>
      </c>
      <c r="S1086" s="4" t="s">
        <v>7857</v>
      </c>
      <c r="T1086" s="2" t="s">
        <v>66</v>
      </c>
      <c r="U1086" s="4" t="s">
        <v>31</v>
      </c>
      <c r="V1086" s="2" t="s">
        <v>7858</v>
      </c>
      <c r="W1086" s="2" t="s">
        <v>7850</v>
      </c>
      <c r="X1086" s="5" t="str">
        <f>HYPERLINK("https://my.pitchbook.com?p=265096-72P","View People Online")</f>
        <v>View People Online</v>
      </c>
    </row>
    <row r="1087">
      <c r="A1087" s="6" t="s">
        <v>7859</v>
      </c>
      <c r="B1087" s="6" t="s">
        <v>7860</v>
      </c>
      <c r="C1087" s="6" t="s">
        <v>69</v>
      </c>
      <c r="D1087" s="6" t="s">
        <v>7861</v>
      </c>
      <c r="E1087" s="6" t="s">
        <v>7850</v>
      </c>
      <c r="F1087" s="6" t="s">
        <v>548</v>
      </c>
      <c r="G1087" s="6" t="s">
        <v>7862</v>
      </c>
      <c r="H1087" s="7">
        <v>1.0</v>
      </c>
      <c r="I1087" s="7">
        <v>2.0</v>
      </c>
      <c r="J1087" s="7">
        <v>1.0</v>
      </c>
      <c r="K1087" s="7" t="s">
        <v>31</v>
      </c>
      <c r="L1087" s="8" t="s">
        <v>7852</v>
      </c>
      <c r="M1087" s="6" t="s">
        <v>31</v>
      </c>
      <c r="N1087" s="6" t="s">
        <v>7854</v>
      </c>
      <c r="O1087" s="8" t="s">
        <v>7855</v>
      </c>
      <c r="P1087" s="6" t="s">
        <v>7856</v>
      </c>
      <c r="Q1087" s="6" t="s">
        <v>31</v>
      </c>
      <c r="R1087" s="6" t="s">
        <v>1277</v>
      </c>
      <c r="S1087" s="8" t="s">
        <v>7857</v>
      </c>
      <c r="T1087" s="6" t="s">
        <v>66</v>
      </c>
      <c r="U1087" s="8" t="s">
        <v>31</v>
      </c>
      <c r="V1087" s="6" t="s">
        <v>7863</v>
      </c>
      <c r="W1087" s="6" t="s">
        <v>7850</v>
      </c>
      <c r="X1087" s="9" t="str">
        <f>HYPERLINK("https://my.pitchbook.com?p=276688-99P","View People Online")</f>
        <v>View People Online</v>
      </c>
    </row>
    <row r="1088">
      <c r="A1088" s="10" t="s">
        <v>7864</v>
      </c>
      <c r="B1088" s="10" t="s">
        <v>7865</v>
      </c>
      <c r="C1088" s="10" t="s">
        <v>1449</v>
      </c>
      <c r="D1088" s="10" t="s">
        <v>1583</v>
      </c>
      <c r="E1088" s="10" t="s">
        <v>7850</v>
      </c>
      <c r="F1088" s="10" t="s">
        <v>5086</v>
      </c>
      <c r="G1088" s="10" t="s">
        <v>7866</v>
      </c>
      <c r="H1088" s="11" t="s">
        <v>31</v>
      </c>
      <c r="I1088" s="11">
        <v>1.0</v>
      </c>
      <c r="J1088" s="11">
        <v>1.0</v>
      </c>
      <c r="K1088" s="11" t="s">
        <v>31</v>
      </c>
      <c r="L1088" s="12" t="s">
        <v>7852</v>
      </c>
      <c r="M1088" s="10" t="s">
        <v>7867</v>
      </c>
      <c r="N1088" s="10" t="s">
        <v>7854</v>
      </c>
      <c r="O1088" s="12" t="s">
        <v>7855</v>
      </c>
      <c r="P1088" s="10" t="s">
        <v>7856</v>
      </c>
      <c r="Q1088" s="10" t="s">
        <v>31</v>
      </c>
      <c r="R1088" s="10" t="s">
        <v>1277</v>
      </c>
      <c r="S1088" s="12" t="s">
        <v>7857</v>
      </c>
      <c r="T1088" s="10" t="s">
        <v>66</v>
      </c>
      <c r="U1088" s="12" t="s">
        <v>31</v>
      </c>
      <c r="V1088" s="10" t="s">
        <v>5086</v>
      </c>
      <c r="W1088" s="10" t="s">
        <v>7850</v>
      </c>
      <c r="X1088" s="13" t="str">
        <f>HYPERLINK("https://my.pitchbook.com?p=78718-69P","View People Online")</f>
        <v>View People Online</v>
      </c>
    </row>
    <row r="1089">
      <c r="A1089" s="6" t="s">
        <v>7868</v>
      </c>
      <c r="B1089" s="6" t="s">
        <v>7869</v>
      </c>
      <c r="C1089" s="6" t="s">
        <v>1471</v>
      </c>
      <c r="D1089" s="6" t="s">
        <v>7870</v>
      </c>
      <c r="E1089" s="6" t="s">
        <v>7850</v>
      </c>
      <c r="F1089" s="6" t="s">
        <v>7268</v>
      </c>
      <c r="G1089" s="6" t="s">
        <v>7871</v>
      </c>
      <c r="H1089" s="7" t="s">
        <v>31</v>
      </c>
      <c r="I1089" s="7">
        <v>1.0</v>
      </c>
      <c r="J1089" s="7">
        <v>1.0</v>
      </c>
      <c r="K1089" s="7" t="s">
        <v>31</v>
      </c>
      <c r="L1089" s="8" t="s">
        <v>7852</v>
      </c>
      <c r="M1089" s="6" t="s">
        <v>7872</v>
      </c>
      <c r="N1089" s="6" t="s">
        <v>7854</v>
      </c>
      <c r="O1089" s="8" t="s">
        <v>7855</v>
      </c>
      <c r="P1089" s="6" t="s">
        <v>7856</v>
      </c>
      <c r="Q1089" s="6" t="s">
        <v>31</v>
      </c>
      <c r="R1089" s="6" t="s">
        <v>1277</v>
      </c>
      <c r="S1089" s="8" t="s">
        <v>7857</v>
      </c>
      <c r="T1089" s="6" t="s">
        <v>66</v>
      </c>
      <c r="U1089" s="8" t="s">
        <v>31</v>
      </c>
      <c r="V1089" s="6" t="s">
        <v>7873</v>
      </c>
      <c r="W1089" s="6" t="s">
        <v>7850</v>
      </c>
      <c r="X1089" s="9" t="str">
        <f>HYPERLINK("https://my.pitchbook.com?p=265101-76P","View People Online")</f>
        <v>View People Online</v>
      </c>
    </row>
    <row r="1090">
      <c r="A1090" s="2" t="s">
        <v>7874</v>
      </c>
      <c r="B1090" s="2" t="s">
        <v>7875</v>
      </c>
      <c r="C1090" s="2" t="s">
        <v>4739</v>
      </c>
      <c r="D1090" s="2" t="s">
        <v>7876</v>
      </c>
      <c r="E1090" s="2" t="s">
        <v>7850</v>
      </c>
      <c r="F1090" s="2" t="s">
        <v>1249</v>
      </c>
      <c r="G1090" s="2" t="s">
        <v>7877</v>
      </c>
      <c r="H1090" s="3">
        <v>1.0</v>
      </c>
      <c r="I1090" s="3">
        <v>1.0</v>
      </c>
      <c r="J1090" s="3">
        <v>1.0</v>
      </c>
      <c r="K1090" s="3" t="s">
        <v>31</v>
      </c>
      <c r="L1090" s="4" t="s">
        <v>7852</v>
      </c>
      <c r="M1090" s="2" t="s">
        <v>7878</v>
      </c>
      <c r="N1090" s="2" t="s">
        <v>7854</v>
      </c>
      <c r="O1090" s="4" t="s">
        <v>7855</v>
      </c>
      <c r="P1090" s="2" t="s">
        <v>7856</v>
      </c>
      <c r="Q1090" s="2" t="s">
        <v>31</v>
      </c>
      <c r="R1090" s="2" t="s">
        <v>1277</v>
      </c>
      <c r="S1090" s="4" t="s">
        <v>7857</v>
      </c>
      <c r="T1090" s="2" t="s">
        <v>66</v>
      </c>
      <c r="U1090" s="4" t="s">
        <v>31</v>
      </c>
      <c r="V1090" s="2" t="s">
        <v>7404</v>
      </c>
      <c r="W1090" s="2" t="s">
        <v>7850</v>
      </c>
      <c r="X1090" s="5" t="str">
        <f>HYPERLINK("https://my.pitchbook.com?p=217906-75P","View People Online")</f>
        <v>View People Online</v>
      </c>
    </row>
    <row r="1091">
      <c r="A1091" s="14" t="s">
        <v>7879</v>
      </c>
      <c r="B1091" s="14" t="s">
        <v>7880</v>
      </c>
      <c r="C1091" s="14" t="s">
        <v>3529</v>
      </c>
      <c r="D1091" s="14" t="s">
        <v>7881</v>
      </c>
      <c r="E1091" s="14" t="s">
        <v>7850</v>
      </c>
      <c r="F1091" s="14" t="s">
        <v>7882</v>
      </c>
      <c r="G1091" s="14" t="s">
        <v>7883</v>
      </c>
      <c r="H1091" s="15">
        <v>1.0</v>
      </c>
      <c r="I1091" s="15">
        <v>2.0</v>
      </c>
      <c r="J1091" s="15">
        <v>1.0</v>
      </c>
      <c r="K1091" s="15" t="s">
        <v>31</v>
      </c>
      <c r="L1091" s="16" t="s">
        <v>7852</v>
      </c>
      <c r="M1091" s="14" t="s">
        <v>7884</v>
      </c>
      <c r="N1091" s="14" t="s">
        <v>7854</v>
      </c>
      <c r="O1091" s="16" t="s">
        <v>7855</v>
      </c>
      <c r="P1091" s="14" t="s">
        <v>7856</v>
      </c>
      <c r="Q1091" s="14" t="s">
        <v>31</v>
      </c>
      <c r="R1091" s="14" t="s">
        <v>1277</v>
      </c>
      <c r="S1091" s="16" t="s">
        <v>7857</v>
      </c>
      <c r="T1091" s="14" t="s">
        <v>66</v>
      </c>
      <c r="U1091" s="16" t="s">
        <v>31</v>
      </c>
      <c r="V1091" s="14" t="s">
        <v>7885</v>
      </c>
      <c r="W1091" s="14" t="s">
        <v>7850</v>
      </c>
      <c r="X1091" s="17" t="str">
        <f>HYPERLINK("https://my.pitchbook.com?p=78720-94P","View People Online")</f>
        <v>View People Online</v>
      </c>
    </row>
    <row r="1092">
      <c r="A1092" s="2" t="s">
        <v>7886</v>
      </c>
      <c r="B1092" s="2" t="s">
        <v>7887</v>
      </c>
      <c r="C1092" s="2" t="s">
        <v>1343</v>
      </c>
      <c r="D1092" s="2" t="s">
        <v>127</v>
      </c>
      <c r="E1092" s="2" t="s">
        <v>7850</v>
      </c>
      <c r="F1092" s="2" t="s">
        <v>270</v>
      </c>
      <c r="G1092" s="2" t="s">
        <v>7888</v>
      </c>
      <c r="H1092" s="3">
        <v>1.0</v>
      </c>
      <c r="I1092" s="3">
        <v>2.0</v>
      </c>
      <c r="J1092" s="3">
        <v>1.0</v>
      </c>
      <c r="K1092" s="3" t="s">
        <v>31</v>
      </c>
      <c r="L1092" s="4" t="s">
        <v>7852</v>
      </c>
      <c r="M1092" s="2" t="s">
        <v>31</v>
      </c>
      <c r="N1092" s="2" t="s">
        <v>7854</v>
      </c>
      <c r="O1092" s="4" t="s">
        <v>7855</v>
      </c>
      <c r="P1092" s="2" t="s">
        <v>7856</v>
      </c>
      <c r="Q1092" s="2" t="s">
        <v>31</v>
      </c>
      <c r="R1092" s="2" t="s">
        <v>1277</v>
      </c>
      <c r="S1092" s="4" t="s">
        <v>7857</v>
      </c>
      <c r="T1092" s="2" t="s">
        <v>66</v>
      </c>
      <c r="U1092" s="4" t="s">
        <v>31</v>
      </c>
      <c r="V1092" s="2" t="s">
        <v>7889</v>
      </c>
      <c r="W1092" s="2" t="s">
        <v>7850</v>
      </c>
      <c r="X1092" s="5" t="str">
        <f>HYPERLINK("https://my.pitchbook.com?p=403894-45P","View People Online")</f>
        <v>View People Online</v>
      </c>
    </row>
    <row r="1093">
      <c r="A1093" s="6" t="s">
        <v>7890</v>
      </c>
      <c r="B1093" s="6" t="s">
        <v>7891</v>
      </c>
      <c r="C1093" s="6" t="s">
        <v>1343</v>
      </c>
      <c r="D1093" s="6" t="s">
        <v>7892</v>
      </c>
      <c r="E1093" s="6" t="s">
        <v>7850</v>
      </c>
      <c r="F1093" s="6" t="s">
        <v>548</v>
      </c>
      <c r="G1093" s="6" t="s">
        <v>7893</v>
      </c>
      <c r="H1093" s="7" t="s">
        <v>31</v>
      </c>
      <c r="I1093" s="7">
        <v>2.0</v>
      </c>
      <c r="J1093" s="7">
        <v>2.0</v>
      </c>
      <c r="K1093" s="7" t="s">
        <v>31</v>
      </c>
      <c r="L1093" s="8" t="s">
        <v>7852</v>
      </c>
      <c r="M1093" s="6" t="s">
        <v>31</v>
      </c>
      <c r="N1093" s="6" t="s">
        <v>7854</v>
      </c>
      <c r="O1093" s="8" t="s">
        <v>7855</v>
      </c>
      <c r="P1093" s="6" t="s">
        <v>7856</v>
      </c>
      <c r="Q1093" s="6" t="s">
        <v>31</v>
      </c>
      <c r="R1093" s="6" t="s">
        <v>1277</v>
      </c>
      <c r="S1093" s="8" t="s">
        <v>7857</v>
      </c>
      <c r="T1093" s="6" t="s">
        <v>66</v>
      </c>
      <c r="U1093" s="8" t="s">
        <v>31</v>
      </c>
      <c r="V1093" s="6" t="s">
        <v>7894</v>
      </c>
      <c r="W1093" s="6" t="s">
        <v>7850</v>
      </c>
      <c r="X1093" s="9" t="str">
        <f>HYPERLINK("https://my.pitchbook.com?p=216285-67P","View People Online")</f>
        <v>View People Online</v>
      </c>
    </row>
    <row r="1094">
      <c r="A1094" s="10" t="s">
        <v>7895</v>
      </c>
      <c r="B1094" s="10" t="s">
        <v>7896</v>
      </c>
      <c r="C1094" s="10" t="s">
        <v>3052</v>
      </c>
      <c r="D1094" s="10" t="s">
        <v>7897</v>
      </c>
      <c r="E1094" s="10" t="s">
        <v>7850</v>
      </c>
      <c r="F1094" s="10" t="s">
        <v>371</v>
      </c>
      <c r="G1094" s="10" t="s">
        <v>7898</v>
      </c>
      <c r="H1094" s="11" t="s">
        <v>31</v>
      </c>
      <c r="I1094" s="11">
        <v>1.0</v>
      </c>
      <c r="J1094" s="11">
        <v>1.0</v>
      </c>
      <c r="K1094" s="11" t="s">
        <v>31</v>
      </c>
      <c r="L1094" s="12" t="s">
        <v>7852</v>
      </c>
      <c r="M1094" s="10" t="s">
        <v>31</v>
      </c>
      <c r="N1094" s="10" t="s">
        <v>7854</v>
      </c>
      <c r="O1094" s="12" t="s">
        <v>7855</v>
      </c>
      <c r="P1094" s="10" t="s">
        <v>7856</v>
      </c>
      <c r="Q1094" s="10" t="s">
        <v>31</v>
      </c>
      <c r="R1094" s="10" t="s">
        <v>1277</v>
      </c>
      <c r="S1094" s="12" t="s">
        <v>7857</v>
      </c>
      <c r="T1094" s="10" t="s">
        <v>66</v>
      </c>
      <c r="U1094" s="12" t="s">
        <v>31</v>
      </c>
      <c r="V1094" s="10" t="s">
        <v>371</v>
      </c>
      <c r="W1094" s="10" t="s">
        <v>7850</v>
      </c>
      <c r="X1094" s="13" t="str">
        <f>HYPERLINK("https://my.pitchbook.com?p=312317-92P","View People Online")</f>
        <v>View People Online</v>
      </c>
    </row>
    <row r="1095">
      <c r="A1095" s="14" t="s">
        <v>7899</v>
      </c>
      <c r="B1095" s="14" t="s">
        <v>7900</v>
      </c>
      <c r="C1095" s="14" t="s">
        <v>1489</v>
      </c>
      <c r="D1095" s="14" t="s">
        <v>7901</v>
      </c>
      <c r="E1095" s="14" t="s">
        <v>7850</v>
      </c>
      <c r="F1095" s="14" t="s">
        <v>7902</v>
      </c>
      <c r="G1095" s="14" t="s">
        <v>7903</v>
      </c>
      <c r="H1095" s="15" t="s">
        <v>31</v>
      </c>
      <c r="I1095" s="15">
        <v>2.0</v>
      </c>
      <c r="J1095" s="15">
        <v>2.0</v>
      </c>
      <c r="K1095" s="15" t="s">
        <v>31</v>
      </c>
      <c r="L1095" s="16" t="s">
        <v>7904</v>
      </c>
      <c r="M1095" s="14" t="s">
        <v>7905</v>
      </c>
      <c r="N1095" s="14" t="s">
        <v>7854</v>
      </c>
      <c r="O1095" s="16" t="s">
        <v>7855</v>
      </c>
      <c r="P1095" s="14" t="s">
        <v>7856</v>
      </c>
      <c r="Q1095" s="14" t="s">
        <v>31</v>
      </c>
      <c r="R1095" s="14" t="s">
        <v>1277</v>
      </c>
      <c r="S1095" s="16" t="s">
        <v>7857</v>
      </c>
      <c r="T1095" s="14" t="s">
        <v>66</v>
      </c>
      <c r="U1095" s="16" t="s">
        <v>31</v>
      </c>
      <c r="V1095" s="14" t="s">
        <v>7906</v>
      </c>
      <c r="W1095" s="14" t="s">
        <v>7850</v>
      </c>
      <c r="X1095" s="17" t="str">
        <f>HYPERLINK("https://my.pitchbook.com?p=265094-02P","View People Online")</f>
        <v>View People Online</v>
      </c>
    </row>
    <row r="1096">
      <c r="A1096" s="10" t="s">
        <v>7907</v>
      </c>
      <c r="B1096" s="10" t="s">
        <v>7908</v>
      </c>
      <c r="C1096" s="10" t="s">
        <v>7909</v>
      </c>
      <c r="D1096" s="10" t="s">
        <v>3935</v>
      </c>
      <c r="E1096" s="10" t="s">
        <v>7850</v>
      </c>
      <c r="F1096" s="10" t="s">
        <v>371</v>
      </c>
      <c r="G1096" s="10" t="s">
        <v>7910</v>
      </c>
      <c r="H1096" s="11" t="s">
        <v>31</v>
      </c>
      <c r="I1096" s="11">
        <v>1.0</v>
      </c>
      <c r="J1096" s="11">
        <v>1.0</v>
      </c>
      <c r="K1096" s="11" t="s">
        <v>31</v>
      </c>
      <c r="L1096" s="12" t="s">
        <v>7852</v>
      </c>
      <c r="M1096" s="10" t="s">
        <v>7911</v>
      </c>
      <c r="N1096" s="10" t="s">
        <v>7854</v>
      </c>
      <c r="O1096" s="12" t="s">
        <v>7855</v>
      </c>
      <c r="P1096" s="10" t="s">
        <v>7856</v>
      </c>
      <c r="Q1096" s="10" t="s">
        <v>31</v>
      </c>
      <c r="R1096" s="10" t="s">
        <v>1277</v>
      </c>
      <c r="S1096" s="12" t="s">
        <v>7857</v>
      </c>
      <c r="T1096" s="10" t="s">
        <v>66</v>
      </c>
      <c r="U1096" s="12" t="s">
        <v>31</v>
      </c>
      <c r="V1096" s="10" t="s">
        <v>7912</v>
      </c>
      <c r="W1096" s="10" t="s">
        <v>7850</v>
      </c>
      <c r="X1096" s="13" t="str">
        <f>HYPERLINK("https://my.pitchbook.com?p=265102-66P","View People Online")</f>
        <v>View People Online</v>
      </c>
    </row>
    <row r="1097">
      <c r="A1097" s="6" t="s">
        <v>7913</v>
      </c>
      <c r="B1097" s="6" t="s">
        <v>7914</v>
      </c>
      <c r="C1097" s="6" t="s">
        <v>7915</v>
      </c>
      <c r="D1097" s="6" t="s">
        <v>7916</v>
      </c>
      <c r="E1097" s="6" t="s">
        <v>7850</v>
      </c>
      <c r="F1097" s="6" t="s">
        <v>7917</v>
      </c>
      <c r="G1097" s="6" t="s">
        <v>7918</v>
      </c>
      <c r="H1097" s="7" t="s">
        <v>31</v>
      </c>
      <c r="I1097" s="7">
        <v>1.0</v>
      </c>
      <c r="J1097" s="7">
        <v>1.0</v>
      </c>
      <c r="K1097" s="7" t="s">
        <v>31</v>
      </c>
      <c r="L1097" s="8" t="s">
        <v>7852</v>
      </c>
      <c r="M1097" s="6" t="s">
        <v>31</v>
      </c>
      <c r="N1097" s="6" t="s">
        <v>7854</v>
      </c>
      <c r="O1097" s="8" t="s">
        <v>7855</v>
      </c>
      <c r="P1097" s="6" t="s">
        <v>7856</v>
      </c>
      <c r="Q1097" s="6" t="s">
        <v>31</v>
      </c>
      <c r="R1097" s="6" t="s">
        <v>1277</v>
      </c>
      <c r="S1097" s="8" t="s">
        <v>7857</v>
      </c>
      <c r="T1097" s="6" t="s">
        <v>66</v>
      </c>
      <c r="U1097" s="8" t="s">
        <v>31</v>
      </c>
      <c r="V1097" s="6" t="s">
        <v>7919</v>
      </c>
      <c r="W1097" s="6" t="s">
        <v>7850</v>
      </c>
      <c r="X1097" s="9" t="str">
        <f>HYPERLINK("https://my.pitchbook.com?p=58820-50P","View People Online")</f>
        <v>View People Online</v>
      </c>
    </row>
    <row r="1098">
      <c r="A1098" s="2" t="s">
        <v>7920</v>
      </c>
      <c r="B1098" s="2" t="s">
        <v>7921</v>
      </c>
      <c r="C1098" s="2" t="s">
        <v>2288</v>
      </c>
      <c r="D1098" s="2" t="s">
        <v>7922</v>
      </c>
      <c r="E1098" s="2" t="s">
        <v>7850</v>
      </c>
      <c r="F1098" s="2" t="s">
        <v>548</v>
      </c>
      <c r="G1098" s="2" t="s">
        <v>7923</v>
      </c>
      <c r="H1098" s="3">
        <v>4.0</v>
      </c>
      <c r="I1098" s="3">
        <v>13.0</v>
      </c>
      <c r="J1098" s="3">
        <v>3.0</v>
      </c>
      <c r="K1098" s="3">
        <v>6.0</v>
      </c>
      <c r="L1098" s="4" t="s">
        <v>7924</v>
      </c>
      <c r="M1098" s="2" t="s">
        <v>7925</v>
      </c>
      <c r="N1098" s="2" t="s">
        <v>7854</v>
      </c>
      <c r="O1098" s="4" t="s">
        <v>7855</v>
      </c>
      <c r="P1098" s="2" t="s">
        <v>7856</v>
      </c>
      <c r="Q1098" s="2" t="s">
        <v>31</v>
      </c>
      <c r="R1098" s="2" t="s">
        <v>1277</v>
      </c>
      <c r="S1098" s="4" t="s">
        <v>7857</v>
      </c>
      <c r="T1098" s="2" t="s">
        <v>66</v>
      </c>
      <c r="U1098" s="4" t="s">
        <v>31</v>
      </c>
      <c r="V1098" s="2" t="s">
        <v>7926</v>
      </c>
      <c r="W1098" s="2" t="s">
        <v>7850</v>
      </c>
      <c r="X1098" s="5" t="str">
        <f>HYPERLINK("https://my.pitchbook.com?p=170350-21P","View People Online")</f>
        <v>View People Online</v>
      </c>
    </row>
    <row r="1099">
      <c r="A1099" s="14" t="s">
        <v>7927</v>
      </c>
      <c r="B1099" s="14" t="s">
        <v>7928</v>
      </c>
      <c r="C1099" s="14" t="s">
        <v>4015</v>
      </c>
      <c r="D1099" s="14" t="s">
        <v>7929</v>
      </c>
      <c r="E1099" s="14" t="s">
        <v>7850</v>
      </c>
      <c r="F1099" s="14" t="s">
        <v>7930</v>
      </c>
      <c r="G1099" s="14" t="s">
        <v>7931</v>
      </c>
      <c r="H1099" s="15" t="s">
        <v>31</v>
      </c>
      <c r="I1099" s="15">
        <v>1.0</v>
      </c>
      <c r="J1099" s="15">
        <v>1.0</v>
      </c>
      <c r="K1099" s="15" t="s">
        <v>31</v>
      </c>
      <c r="L1099" s="16" t="s">
        <v>7852</v>
      </c>
      <c r="M1099" s="14" t="s">
        <v>7932</v>
      </c>
      <c r="N1099" s="14" t="s">
        <v>7854</v>
      </c>
      <c r="O1099" s="16" t="s">
        <v>7855</v>
      </c>
      <c r="P1099" s="14" t="s">
        <v>7856</v>
      </c>
      <c r="Q1099" s="14" t="s">
        <v>31</v>
      </c>
      <c r="R1099" s="14" t="s">
        <v>1277</v>
      </c>
      <c r="S1099" s="16" t="s">
        <v>7857</v>
      </c>
      <c r="T1099" s="14" t="s">
        <v>66</v>
      </c>
      <c r="U1099" s="16" t="s">
        <v>31</v>
      </c>
      <c r="V1099" s="14" t="s">
        <v>7933</v>
      </c>
      <c r="W1099" s="14" t="s">
        <v>7850</v>
      </c>
      <c r="X1099" s="17" t="str">
        <f>HYPERLINK("https://my.pitchbook.com?p=90191-35P","View People Online")</f>
        <v>View People Online</v>
      </c>
    </row>
    <row r="1100">
      <c r="A1100" s="10" t="s">
        <v>7934</v>
      </c>
      <c r="B1100" s="10" t="s">
        <v>7935</v>
      </c>
      <c r="C1100" s="10" t="s">
        <v>3716</v>
      </c>
      <c r="D1100" s="10" t="s">
        <v>7936</v>
      </c>
      <c r="E1100" s="10" t="s">
        <v>7850</v>
      </c>
      <c r="F1100" s="10" t="s">
        <v>371</v>
      </c>
      <c r="G1100" s="10" t="s">
        <v>7937</v>
      </c>
      <c r="H1100" s="11" t="s">
        <v>31</v>
      </c>
      <c r="I1100" s="11">
        <v>1.0</v>
      </c>
      <c r="J1100" s="11">
        <v>1.0</v>
      </c>
      <c r="K1100" s="11" t="s">
        <v>31</v>
      </c>
      <c r="L1100" s="12" t="s">
        <v>7852</v>
      </c>
      <c r="M1100" s="10" t="s">
        <v>7938</v>
      </c>
      <c r="N1100" s="10" t="s">
        <v>7854</v>
      </c>
      <c r="O1100" s="12" t="s">
        <v>7855</v>
      </c>
      <c r="P1100" s="10" t="s">
        <v>7856</v>
      </c>
      <c r="Q1100" s="10" t="s">
        <v>31</v>
      </c>
      <c r="R1100" s="10" t="s">
        <v>1277</v>
      </c>
      <c r="S1100" s="12" t="s">
        <v>7857</v>
      </c>
      <c r="T1100" s="10" t="s">
        <v>66</v>
      </c>
      <c r="U1100" s="12" t="s">
        <v>31</v>
      </c>
      <c r="V1100" s="10" t="s">
        <v>371</v>
      </c>
      <c r="W1100" s="10" t="s">
        <v>7850</v>
      </c>
      <c r="X1100" s="13" t="str">
        <f>HYPERLINK("https://my.pitchbook.com?p=414013-24P","View People Online")</f>
        <v>View People Online</v>
      </c>
    </row>
    <row r="1101">
      <c r="A1101" s="14" t="s">
        <v>7939</v>
      </c>
      <c r="B1101" s="14" t="s">
        <v>7940</v>
      </c>
      <c r="C1101" s="14" t="s">
        <v>4668</v>
      </c>
      <c r="D1101" s="14" t="s">
        <v>7941</v>
      </c>
      <c r="E1101" s="14" t="s">
        <v>7850</v>
      </c>
      <c r="F1101" s="14" t="s">
        <v>1801</v>
      </c>
      <c r="G1101" s="14" t="s">
        <v>7942</v>
      </c>
      <c r="H1101" s="15" t="s">
        <v>31</v>
      </c>
      <c r="I1101" s="15">
        <v>1.0</v>
      </c>
      <c r="J1101" s="15">
        <v>1.0</v>
      </c>
      <c r="K1101" s="15" t="s">
        <v>31</v>
      </c>
      <c r="L1101" s="16" t="s">
        <v>7943</v>
      </c>
      <c r="M1101" s="14" t="s">
        <v>7944</v>
      </c>
      <c r="N1101" s="14" t="s">
        <v>7854</v>
      </c>
      <c r="O1101" s="16" t="s">
        <v>7855</v>
      </c>
      <c r="P1101" s="14" t="s">
        <v>7856</v>
      </c>
      <c r="Q1101" s="14" t="s">
        <v>31</v>
      </c>
      <c r="R1101" s="14" t="s">
        <v>1277</v>
      </c>
      <c r="S1101" s="16" t="s">
        <v>7857</v>
      </c>
      <c r="T1101" s="14" t="s">
        <v>66</v>
      </c>
      <c r="U1101" s="16" t="s">
        <v>31</v>
      </c>
      <c r="V1101" s="14" t="s">
        <v>7945</v>
      </c>
      <c r="W1101" s="14" t="s">
        <v>7850</v>
      </c>
      <c r="X1101" s="17" t="str">
        <f>HYPERLINK("https://my.pitchbook.com?p=303700-42P","View People Online")</f>
        <v>View People Online</v>
      </c>
    </row>
    <row r="1102">
      <c r="A1102" s="10" t="s">
        <v>7946</v>
      </c>
      <c r="B1102" s="10" t="s">
        <v>7947</v>
      </c>
      <c r="C1102" s="10" t="s">
        <v>1976</v>
      </c>
      <c r="D1102" s="10" t="s">
        <v>3132</v>
      </c>
      <c r="E1102" s="10" t="s">
        <v>7850</v>
      </c>
      <c r="F1102" s="10" t="s">
        <v>7948</v>
      </c>
      <c r="G1102" s="10" t="s">
        <v>7949</v>
      </c>
      <c r="H1102" s="11" t="s">
        <v>31</v>
      </c>
      <c r="I1102" s="11">
        <v>1.0</v>
      </c>
      <c r="J1102" s="11">
        <v>1.0</v>
      </c>
      <c r="K1102" s="11" t="s">
        <v>31</v>
      </c>
      <c r="L1102" s="12" t="s">
        <v>7852</v>
      </c>
      <c r="M1102" s="10" t="s">
        <v>7950</v>
      </c>
      <c r="N1102" s="10" t="s">
        <v>7854</v>
      </c>
      <c r="O1102" s="12" t="s">
        <v>7855</v>
      </c>
      <c r="P1102" s="10" t="s">
        <v>7856</v>
      </c>
      <c r="Q1102" s="10" t="s">
        <v>31</v>
      </c>
      <c r="R1102" s="10" t="s">
        <v>1277</v>
      </c>
      <c r="S1102" s="12" t="s">
        <v>7857</v>
      </c>
      <c r="T1102" s="10" t="s">
        <v>66</v>
      </c>
      <c r="U1102" s="12" t="s">
        <v>31</v>
      </c>
      <c r="V1102" s="10" t="s">
        <v>7948</v>
      </c>
      <c r="W1102" s="10" t="s">
        <v>7850</v>
      </c>
      <c r="X1102" s="13" t="str">
        <f>HYPERLINK("https://my.pitchbook.com?p=400750-39P","View People Online")</f>
        <v>View People Online</v>
      </c>
    </row>
    <row r="1103">
      <c r="A1103" s="6" t="s">
        <v>7951</v>
      </c>
      <c r="B1103" s="6" t="s">
        <v>7952</v>
      </c>
      <c r="C1103" s="6" t="s">
        <v>568</v>
      </c>
      <c r="D1103" s="6" t="s">
        <v>7953</v>
      </c>
      <c r="E1103" s="6" t="s">
        <v>7954</v>
      </c>
      <c r="F1103" s="6" t="s">
        <v>270</v>
      </c>
      <c r="G1103" s="6" t="s">
        <v>7955</v>
      </c>
      <c r="H1103" s="7" t="s">
        <v>31</v>
      </c>
      <c r="I1103" s="7">
        <v>1.0</v>
      </c>
      <c r="J1103" s="7">
        <v>1.0</v>
      </c>
      <c r="K1103" s="7" t="s">
        <v>31</v>
      </c>
      <c r="L1103" s="8" t="s">
        <v>7956</v>
      </c>
      <c r="M1103" s="6" t="s">
        <v>31</v>
      </c>
      <c r="N1103" s="6" t="s">
        <v>7957</v>
      </c>
      <c r="O1103" s="8" t="s">
        <v>7958</v>
      </c>
      <c r="P1103" s="6" t="s">
        <v>7959</v>
      </c>
      <c r="Q1103" s="6" t="s">
        <v>31</v>
      </c>
      <c r="R1103" s="6" t="s">
        <v>7004</v>
      </c>
      <c r="S1103" s="8" t="s">
        <v>7960</v>
      </c>
      <c r="T1103" s="6" t="s">
        <v>66</v>
      </c>
      <c r="U1103" s="8" t="s">
        <v>7961</v>
      </c>
      <c r="V1103" s="6" t="s">
        <v>7962</v>
      </c>
      <c r="W1103" s="6" t="s">
        <v>7954</v>
      </c>
      <c r="X1103" s="9" t="str">
        <f>HYPERLINK("https://my.pitchbook.com?p=436898-98P","View People Online")</f>
        <v>View People Online</v>
      </c>
    </row>
    <row r="1104">
      <c r="A1104" s="2" t="s">
        <v>7963</v>
      </c>
      <c r="B1104" s="2" t="s">
        <v>7964</v>
      </c>
      <c r="C1104" s="2" t="s">
        <v>7965</v>
      </c>
      <c r="D1104" s="2" t="s">
        <v>7966</v>
      </c>
      <c r="E1104" s="2" t="s">
        <v>7954</v>
      </c>
      <c r="F1104" s="2" t="s">
        <v>1215</v>
      </c>
      <c r="G1104" s="2" t="s">
        <v>7967</v>
      </c>
      <c r="H1104" s="3" t="s">
        <v>31</v>
      </c>
      <c r="I1104" s="3">
        <v>1.0</v>
      </c>
      <c r="J1104" s="3">
        <v>1.0</v>
      </c>
      <c r="K1104" s="3" t="s">
        <v>31</v>
      </c>
      <c r="L1104" s="4" t="s">
        <v>7956</v>
      </c>
      <c r="M1104" s="2" t="s">
        <v>7968</v>
      </c>
      <c r="N1104" s="2" t="s">
        <v>7957</v>
      </c>
      <c r="O1104" s="4" t="s">
        <v>7958</v>
      </c>
      <c r="P1104" s="2" t="s">
        <v>7959</v>
      </c>
      <c r="Q1104" s="2" t="s">
        <v>31</v>
      </c>
      <c r="R1104" s="2" t="s">
        <v>7004</v>
      </c>
      <c r="S1104" s="4" t="s">
        <v>7960</v>
      </c>
      <c r="T1104" s="2" t="s">
        <v>66</v>
      </c>
      <c r="U1104" s="4" t="s">
        <v>7961</v>
      </c>
      <c r="V1104" s="2" t="s">
        <v>7969</v>
      </c>
      <c r="W1104" s="2" t="s">
        <v>7954</v>
      </c>
      <c r="X1104" s="5" t="str">
        <f>HYPERLINK("https://my.pitchbook.com?p=321756-13P","View People Online")</f>
        <v>View People Online</v>
      </c>
    </row>
    <row r="1105">
      <c r="A1105" s="6" t="s">
        <v>7970</v>
      </c>
      <c r="B1105" s="6" t="s">
        <v>7971</v>
      </c>
      <c r="C1105" s="6" t="s">
        <v>4923</v>
      </c>
      <c r="D1105" s="6" t="s">
        <v>7972</v>
      </c>
      <c r="E1105" s="6" t="s">
        <v>7954</v>
      </c>
      <c r="F1105" s="6" t="s">
        <v>371</v>
      </c>
      <c r="G1105" s="6" t="s">
        <v>7973</v>
      </c>
      <c r="H1105" s="7" t="s">
        <v>31</v>
      </c>
      <c r="I1105" s="7">
        <v>1.0</v>
      </c>
      <c r="J1105" s="7">
        <v>1.0</v>
      </c>
      <c r="K1105" s="7" t="s">
        <v>31</v>
      </c>
      <c r="L1105" s="8" t="s">
        <v>7956</v>
      </c>
      <c r="M1105" s="6" t="s">
        <v>7974</v>
      </c>
      <c r="N1105" s="6" t="s">
        <v>7957</v>
      </c>
      <c r="O1105" s="8" t="s">
        <v>7958</v>
      </c>
      <c r="P1105" s="6" t="s">
        <v>7959</v>
      </c>
      <c r="Q1105" s="6" t="s">
        <v>31</v>
      </c>
      <c r="R1105" s="6" t="s">
        <v>7004</v>
      </c>
      <c r="S1105" s="8" t="s">
        <v>7960</v>
      </c>
      <c r="T1105" s="6" t="s">
        <v>66</v>
      </c>
      <c r="U1105" s="8" t="s">
        <v>7961</v>
      </c>
      <c r="V1105" s="6" t="s">
        <v>7975</v>
      </c>
      <c r="W1105" s="6" t="s">
        <v>7954</v>
      </c>
      <c r="X1105" s="9" t="str">
        <f>HYPERLINK("https://my.pitchbook.com?p=304639-12P","View People Online")</f>
        <v>View People Online</v>
      </c>
    </row>
    <row r="1106">
      <c r="A1106" s="2" t="s">
        <v>7976</v>
      </c>
      <c r="B1106" s="2" t="s">
        <v>7977</v>
      </c>
      <c r="C1106" s="2" t="s">
        <v>7978</v>
      </c>
      <c r="D1106" s="2" t="s">
        <v>7979</v>
      </c>
      <c r="E1106" s="2" t="s">
        <v>7954</v>
      </c>
      <c r="F1106" s="2" t="s">
        <v>270</v>
      </c>
      <c r="G1106" s="2" t="s">
        <v>7980</v>
      </c>
      <c r="H1106" s="3" t="s">
        <v>31</v>
      </c>
      <c r="I1106" s="3">
        <v>1.0</v>
      </c>
      <c r="J1106" s="3">
        <v>1.0</v>
      </c>
      <c r="K1106" s="3" t="s">
        <v>31</v>
      </c>
      <c r="L1106" s="4" t="s">
        <v>7956</v>
      </c>
      <c r="M1106" s="2" t="s">
        <v>7981</v>
      </c>
      <c r="N1106" s="2" t="s">
        <v>7957</v>
      </c>
      <c r="O1106" s="4" t="s">
        <v>7958</v>
      </c>
      <c r="P1106" s="2" t="s">
        <v>7959</v>
      </c>
      <c r="Q1106" s="2" t="s">
        <v>31</v>
      </c>
      <c r="R1106" s="2" t="s">
        <v>7004</v>
      </c>
      <c r="S1106" s="4" t="s">
        <v>7960</v>
      </c>
      <c r="T1106" s="2" t="s">
        <v>66</v>
      </c>
      <c r="U1106" s="4" t="s">
        <v>7961</v>
      </c>
      <c r="V1106" s="2" t="s">
        <v>7982</v>
      </c>
      <c r="W1106" s="2" t="s">
        <v>7954</v>
      </c>
      <c r="X1106" s="5" t="str">
        <f>HYPERLINK("https://my.pitchbook.com?p=417999-88P","View People Online")</f>
        <v>View People Online</v>
      </c>
    </row>
    <row r="1107">
      <c r="A1107" s="6" t="s">
        <v>7983</v>
      </c>
      <c r="B1107" s="6" t="s">
        <v>7984</v>
      </c>
      <c r="C1107" s="6" t="s">
        <v>1998</v>
      </c>
      <c r="D1107" s="6" t="s">
        <v>7985</v>
      </c>
      <c r="E1107" s="6" t="s">
        <v>7954</v>
      </c>
      <c r="F1107" s="6" t="s">
        <v>312</v>
      </c>
      <c r="G1107" s="6" t="s">
        <v>7986</v>
      </c>
      <c r="H1107" s="7" t="s">
        <v>31</v>
      </c>
      <c r="I1107" s="7">
        <v>1.0</v>
      </c>
      <c r="J1107" s="7">
        <v>1.0</v>
      </c>
      <c r="K1107" s="7" t="s">
        <v>31</v>
      </c>
      <c r="L1107" s="8" t="s">
        <v>7956</v>
      </c>
      <c r="M1107" s="6" t="s">
        <v>7987</v>
      </c>
      <c r="N1107" s="6" t="s">
        <v>7957</v>
      </c>
      <c r="O1107" s="8" t="s">
        <v>7958</v>
      </c>
      <c r="P1107" s="6" t="s">
        <v>7959</v>
      </c>
      <c r="Q1107" s="6" t="s">
        <v>31</v>
      </c>
      <c r="R1107" s="6" t="s">
        <v>7004</v>
      </c>
      <c r="S1107" s="8" t="s">
        <v>7960</v>
      </c>
      <c r="T1107" s="6" t="s">
        <v>66</v>
      </c>
      <c r="U1107" s="8" t="s">
        <v>7961</v>
      </c>
      <c r="V1107" s="6" t="s">
        <v>312</v>
      </c>
      <c r="W1107" s="6" t="s">
        <v>7954</v>
      </c>
      <c r="X1107" s="9" t="str">
        <f>HYPERLINK("https://my.pitchbook.com?p=278081-29P","View People Online")</f>
        <v>View People Online</v>
      </c>
    </row>
    <row r="1108">
      <c r="A1108" s="10" t="s">
        <v>7988</v>
      </c>
      <c r="B1108" s="10" t="s">
        <v>7989</v>
      </c>
      <c r="C1108" s="10" t="s">
        <v>3811</v>
      </c>
      <c r="D1108" s="10" t="s">
        <v>7990</v>
      </c>
      <c r="E1108" s="10" t="s">
        <v>7954</v>
      </c>
      <c r="F1108" s="10" t="s">
        <v>312</v>
      </c>
      <c r="G1108" s="10" t="s">
        <v>7991</v>
      </c>
      <c r="H1108" s="11" t="s">
        <v>31</v>
      </c>
      <c r="I1108" s="11">
        <v>1.0</v>
      </c>
      <c r="J1108" s="11">
        <v>1.0</v>
      </c>
      <c r="K1108" s="11" t="s">
        <v>31</v>
      </c>
      <c r="L1108" s="12" t="s">
        <v>7956</v>
      </c>
      <c r="M1108" s="10" t="s">
        <v>7992</v>
      </c>
      <c r="N1108" s="10" t="s">
        <v>7957</v>
      </c>
      <c r="O1108" s="12" t="s">
        <v>7958</v>
      </c>
      <c r="P1108" s="10" t="s">
        <v>7959</v>
      </c>
      <c r="Q1108" s="10" t="s">
        <v>31</v>
      </c>
      <c r="R1108" s="10" t="s">
        <v>7004</v>
      </c>
      <c r="S1108" s="12" t="s">
        <v>7960</v>
      </c>
      <c r="T1108" s="10" t="s">
        <v>66</v>
      </c>
      <c r="U1108" s="12" t="s">
        <v>7993</v>
      </c>
      <c r="V1108" s="10" t="s">
        <v>7994</v>
      </c>
      <c r="W1108" s="10" t="s">
        <v>7954</v>
      </c>
      <c r="X1108" s="13" t="str">
        <f>HYPERLINK("https://my.pitchbook.com?p=144439-93P","View People Online")</f>
        <v>View People Online</v>
      </c>
    </row>
    <row r="1109">
      <c r="A1109" s="6" t="s">
        <v>7995</v>
      </c>
      <c r="B1109" s="6" t="s">
        <v>7996</v>
      </c>
      <c r="C1109" s="6" t="s">
        <v>1343</v>
      </c>
      <c r="D1109" s="6" t="s">
        <v>7997</v>
      </c>
      <c r="E1109" s="6" t="s">
        <v>7954</v>
      </c>
      <c r="F1109" s="6" t="s">
        <v>4951</v>
      </c>
      <c r="G1109" s="6" t="s">
        <v>7998</v>
      </c>
      <c r="H1109" s="7" t="s">
        <v>31</v>
      </c>
      <c r="I1109" s="7">
        <v>1.0</v>
      </c>
      <c r="J1109" s="7">
        <v>1.0</v>
      </c>
      <c r="K1109" s="7" t="s">
        <v>31</v>
      </c>
      <c r="L1109" s="8" t="s">
        <v>7956</v>
      </c>
      <c r="M1109" s="6" t="s">
        <v>7999</v>
      </c>
      <c r="N1109" s="6" t="s">
        <v>7957</v>
      </c>
      <c r="O1109" s="8" t="s">
        <v>7958</v>
      </c>
      <c r="P1109" s="6" t="s">
        <v>7959</v>
      </c>
      <c r="Q1109" s="6" t="s">
        <v>31</v>
      </c>
      <c r="R1109" s="6" t="s">
        <v>7004</v>
      </c>
      <c r="S1109" s="8" t="s">
        <v>7960</v>
      </c>
      <c r="T1109" s="6" t="s">
        <v>66</v>
      </c>
      <c r="U1109" s="8" t="s">
        <v>7961</v>
      </c>
      <c r="V1109" s="6" t="s">
        <v>8000</v>
      </c>
      <c r="W1109" s="6" t="s">
        <v>7954</v>
      </c>
      <c r="X1109" s="9" t="str">
        <f>HYPERLINK("https://my.pitchbook.com?p=54716-32P","View People Online")</f>
        <v>View People Online</v>
      </c>
    </row>
    <row r="1110">
      <c r="A1110" s="2" t="s">
        <v>8001</v>
      </c>
      <c r="B1110" s="2" t="s">
        <v>8002</v>
      </c>
      <c r="C1110" s="2" t="s">
        <v>7538</v>
      </c>
      <c r="D1110" s="2" t="s">
        <v>8003</v>
      </c>
      <c r="E1110" s="2" t="s">
        <v>7954</v>
      </c>
      <c r="F1110" s="2" t="s">
        <v>5365</v>
      </c>
      <c r="G1110" s="2" t="s">
        <v>8004</v>
      </c>
      <c r="H1110" s="3" t="s">
        <v>31</v>
      </c>
      <c r="I1110" s="3">
        <v>1.0</v>
      </c>
      <c r="J1110" s="3">
        <v>1.0</v>
      </c>
      <c r="K1110" s="3" t="s">
        <v>31</v>
      </c>
      <c r="L1110" s="4" t="s">
        <v>7956</v>
      </c>
      <c r="M1110" s="2" t="s">
        <v>8005</v>
      </c>
      <c r="N1110" s="2" t="s">
        <v>7957</v>
      </c>
      <c r="O1110" s="4" t="s">
        <v>7958</v>
      </c>
      <c r="P1110" s="2" t="s">
        <v>7959</v>
      </c>
      <c r="Q1110" s="2" t="s">
        <v>31</v>
      </c>
      <c r="R1110" s="2" t="s">
        <v>7004</v>
      </c>
      <c r="S1110" s="4" t="s">
        <v>7960</v>
      </c>
      <c r="T1110" s="2" t="s">
        <v>66</v>
      </c>
      <c r="U1110" s="4" t="s">
        <v>7961</v>
      </c>
      <c r="V1110" s="2" t="s">
        <v>8006</v>
      </c>
      <c r="W1110" s="2" t="s">
        <v>7954</v>
      </c>
      <c r="X1110" s="5" t="str">
        <f>HYPERLINK("https://my.pitchbook.com?p=226299-88P","View People Online")</f>
        <v>View People Online</v>
      </c>
    </row>
    <row r="1111">
      <c r="A1111" s="6" t="s">
        <v>8007</v>
      </c>
      <c r="B1111" s="6" t="s">
        <v>8008</v>
      </c>
      <c r="C1111" s="6" t="s">
        <v>4009</v>
      </c>
      <c r="D1111" s="6" t="s">
        <v>8009</v>
      </c>
      <c r="E1111" s="6" t="s">
        <v>7954</v>
      </c>
      <c r="F1111" s="6" t="s">
        <v>3645</v>
      </c>
      <c r="G1111" s="6" t="s">
        <v>8010</v>
      </c>
      <c r="H1111" s="7" t="s">
        <v>31</v>
      </c>
      <c r="I1111" s="7">
        <v>1.0</v>
      </c>
      <c r="J1111" s="7">
        <v>1.0</v>
      </c>
      <c r="K1111" s="7" t="s">
        <v>31</v>
      </c>
      <c r="L1111" s="8" t="s">
        <v>8011</v>
      </c>
      <c r="M1111" s="6" t="s">
        <v>8012</v>
      </c>
      <c r="N1111" s="6" t="s">
        <v>7957</v>
      </c>
      <c r="O1111" s="8" t="s">
        <v>7958</v>
      </c>
      <c r="P1111" s="6" t="s">
        <v>7959</v>
      </c>
      <c r="Q1111" s="6" t="s">
        <v>31</v>
      </c>
      <c r="R1111" s="6" t="s">
        <v>7004</v>
      </c>
      <c r="S1111" s="8" t="s">
        <v>7960</v>
      </c>
      <c r="T1111" s="6" t="s">
        <v>66</v>
      </c>
      <c r="U1111" s="8" t="s">
        <v>7961</v>
      </c>
      <c r="V1111" s="6" t="s">
        <v>502</v>
      </c>
      <c r="W1111" s="6" t="s">
        <v>7954</v>
      </c>
      <c r="X1111" s="9" t="str">
        <f>HYPERLINK("https://my.pitchbook.com?p=226106-56P","View People Online")</f>
        <v>View People Online</v>
      </c>
    </row>
    <row r="1112">
      <c r="A1112" s="10" t="s">
        <v>8013</v>
      </c>
      <c r="B1112" s="10" t="s">
        <v>8014</v>
      </c>
      <c r="C1112" s="10" t="s">
        <v>8015</v>
      </c>
      <c r="D1112" s="10" t="s">
        <v>8016</v>
      </c>
      <c r="E1112" s="10" t="s">
        <v>7954</v>
      </c>
      <c r="F1112" s="10" t="s">
        <v>7426</v>
      </c>
      <c r="G1112" s="10" t="s">
        <v>8017</v>
      </c>
      <c r="H1112" s="11" t="s">
        <v>31</v>
      </c>
      <c r="I1112" s="11">
        <v>1.0</v>
      </c>
      <c r="J1112" s="11">
        <v>1.0</v>
      </c>
      <c r="K1112" s="11" t="s">
        <v>31</v>
      </c>
      <c r="L1112" s="12" t="s">
        <v>7956</v>
      </c>
      <c r="M1112" s="10" t="s">
        <v>8018</v>
      </c>
      <c r="N1112" s="10" t="s">
        <v>7957</v>
      </c>
      <c r="O1112" s="12" t="s">
        <v>7958</v>
      </c>
      <c r="P1112" s="10" t="s">
        <v>7959</v>
      </c>
      <c r="Q1112" s="10" t="s">
        <v>31</v>
      </c>
      <c r="R1112" s="10" t="s">
        <v>7004</v>
      </c>
      <c r="S1112" s="12" t="s">
        <v>7960</v>
      </c>
      <c r="T1112" s="10" t="s">
        <v>66</v>
      </c>
      <c r="U1112" s="12" t="s">
        <v>7961</v>
      </c>
      <c r="V1112" s="10" t="s">
        <v>7426</v>
      </c>
      <c r="W1112" s="10" t="s">
        <v>7954</v>
      </c>
      <c r="X1112" s="13" t="str">
        <f>HYPERLINK("https://my.pitchbook.com?p=278081-11P","View People Online")</f>
        <v>View People Online</v>
      </c>
    </row>
    <row r="1113">
      <c r="A1113" s="14" t="s">
        <v>8019</v>
      </c>
      <c r="B1113" s="14" t="s">
        <v>8020</v>
      </c>
      <c r="C1113" s="14" t="s">
        <v>369</v>
      </c>
      <c r="D1113" s="14" t="s">
        <v>8016</v>
      </c>
      <c r="E1113" s="14" t="s">
        <v>7954</v>
      </c>
      <c r="F1113" s="14" t="s">
        <v>8021</v>
      </c>
      <c r="G1113" s="14" t="s">
        <v>8022</v>
      </c>
      <c r="H1113" s="15" t="s">
        <v>31</v>
      </c>
      <c r="I1113" s="15">
        <v>1.0</v>
      </c>
      <c r="J1113" s="15">
        <v>1.0</v>
      </c>
      <c r="K1113" s="15" t="s">
        <v>31</v>
      </c>
      <c r="L1113" s="16" t="s">
        <v>7956</v>
      </c>
      <c r="M1113" s="14" t="s">
        <v>8023</v>
      </c>
      <c r="N1113" s="14" t="s">
        <v>7957</v>
      </c>
      <c r="O1113" s="16" t="s">
        <v>7958</v>
      </c>
      <c r="P1113" s="14" t="s">
        <v>7959</v>
      </c>
      <c r="Q1113" s="14" t="s">
        <v>31</v>
      </c>
      <c r="R1113" s="14" t="s">
        <v>7004</v>
      </c>
      <c r="S1113" s="16" t="s">
        <v>7960</v>
      </c>
      <c r="T1113" s="14" t="s">
        <v>66</v>
      </c>
      <c r="U1113" s="16" t="s">
        <v>7961</v>
      </c>
      <c r="V1113" s="14" t="s">
        <v>8021</v>
      </c>
      <c r="W1113" s="14" t="s">
        <v>7954</v>
      </c>
      <c r="X1113" s="17" t="str">
        <f>HYPERLINK("https://my.pitchbook.com?p=213958-27P","View People Online")</f>
        <v>View People Online</v>
      </c>
    </row>
    <row r="1114">
      <c r="A1114" s="2" t="s">
        <v>8024</v>
      </c>
      <c r="B1114" s="2" t="s">
        <v>8025</v>
      </c>
      <c r="C1114" s="2" t="s">
        <v>126</v>
      </c>
      <c r="D1114" s="2" t="s">
        <v>8026</v>
      </c>
      <c r="E1114" s="2" t="s">
        <v>7954</v>
      </c>
      <c r="F1114" s="2" t="s">
        <v>4964</v>
      </c>
      <c r="G1114" s="2" t="s">
        <v>8027</v>
      </c>
      <c r="H1114" s="3" t="s">
        <v>31</v>
      </c>
      <c r="I1114" s="3">
        <v>1.0</v>
      </c>
      <c r="J1114" s="3">
        <v>1.0</v>
      </c>
      <c r="K1114" s="3" t="s">
        <v>31</v>
      </c>
      <c r="L1114" s="4" t="s">
        <v>7956</v>
      </c>
      <c r="M1114" s="2" t="s">
        <v>8028</v>
      </c>
      <c r="N1114" s="2" t="s">
        <v>7957</v>
      </c>
      <c r="O1114" s="4" t="s">
        <v>7958</v>
      </c>
      <c r="P1114" s="2" t="s">
        <v>7959</v>
      </c>
      <c r="Q1114" s="2" t="s">
        <v>31</v>
      </c>
      <c r="R1114" s="2" t="s">
        <v>7004</v>
      </c>
      <c r="S1114" s="4" t="s">
        <v>7960</v>
      </c>
      <c r="T1114" s="2" t="s">
        <v>66</v>
      </c>
      <c r="U1114" s="4" t="s">
        <v>7961</v>
      </c>
      <c r="V1114" s="2" t="s">
        <v>8029</v>
      </c>
      <c r="W1114" s="2" t="s">
        <v>7954</v>
      </c>
      <c r="X1114" s="5" t="str">
        <f>HYPERLINK("https://my.pitchbook.com?p=228363-58P","View People Online")</f>
        <v>View People Online</v>
      </c>
    </row>
    <row r="1115">
      <c r="A1115" s="14" t="s">
        <v>8030</v>
      </c>
      <c r="B1115" s="14" t="s">
        <v>8031</v>
      </c>
      <c r="C1115" s="14" t="s">
        <v>126</v>
      </c>
      <c r="D1115" s="14" t="s">
        <v>8032</v>
      </c>
      <c r="E1115" s="14" t="s">
        <v>7954</v>
      </c>
      <c r="F1115" s="14" t="s">
        <v>4964</v>
      </c>
      <c r="G1115" s="14" t="s">
        <v>8033</v>
      </c>
      <c r="H1115" s="15" t="s">
        <v>31</v>
      </c>
      <c r="I1115" s="15">
        <v>1.0</v>
      </c>
      <c r="J1115" s="15">
        <v>1.0</v>
      </c>
      <c r="K1115" s="15" t="s">
        <v>31</v>
      </c>
      <c r="L1115" s="16" t="s">
        <v>7956</v>
      </c>
      <c r="M1115" s="14" t="s">
        <v>31</v>
      </c>
      <c r="N1115" s="14" t="s">
        <v>7957</v>
      </c>
      <c r="O1115" s="16" t="s">
        <v>7958</v>
      </c>
      <c r="P1115" s="14" t="s">
        <v>7959</v>
      </c>
      <c r="Q1115" s="14" t="s">
        <v>31</v>
      </c>
      <c r="R1115" s="14" t="s">
        <v>7004</v>
      </c>
      <c r="S1115" s="16" t="s">
        <v>7960</v>
      </c>
      <c r="T1115" s="14" t="s">
        <v>66</v>
      </c>
      <c r="U1115" s="16" t="s">
        <v>7961</v>
      </c>
      <c r="V1115" s="14" t="s">
        <v>8034</v>
      </c>
      <c r="W1115" s="14" t="s">
        <v>7954</v>
      </c>
      <c r="X1115" s="17" t="str">
        <f>HYPERLINK("https://my.pitchbook.com?p=190284-49P","View People Online")</f>
        <v>View People Online</v>
      </c>
    </row>
    <row r="1116">
      <c r="A1116" s="2" t="s">
        <v>8035</v>
      </c>
      <c r="B1116" s="2" t="s">
        <v>8036</v>
      </c>
      <c r="C1116" s="2" t="s">
        <v>3274</v>
      </c>
      <c r="D1116" s="2" t="s">
        <v>8037</v>
      </c>
      <c r="E1116" s="2" t="s">
        <v>7954</v>
      </c>
      <c r="F1116" s="2" t="s">
        <v>1249</v>
      </c>
      <c r="G1116" s="2" t="s">
        <v>8038</v>
      </c>
      <c r="H1116" s="3">
        <v>1.0</v>
      </c>
      <c r="I1116" s="3">
        <v>7.0</v>
      </c>
      <c r="J1116" s="3">
        <v>1.0</v>
      </c>
      <c r="K1116" s="3">
        <v>6.0</v>
      </c>
      <c r="L1116" s="4" t="s">
        <v>8039</v>
      </c>
      <c r="M1116" s="2" t="s">
        <v>31</v>
      </c>
      <c r="N1116" s="2" t="s">
        <v>7957</v>
      </c>
      <c r="O1116" s="4" t="s">
        <v>7958</v>
      </c>
      <c r="P1116" s="2" t="s">
        <v>7959</v>
      </c>
      <c r="Q1116" s="2" t="s">
        <v>31</v>
      </c>
      <c r="R1116" s="2" t="s">
        <v>7004</v>
      </c>
      <c r="S1116" s="4" t="s">
        <v>7960</v>
      </c>
      <c r="T1116" s="2" t="s">
        <v>66</v>
      </c>
      <c r="U1116" s="4" t="s">
        <v>7961</v>
      </c>
      <c r="V1116" s="2" t="s">
        <v>1252</v>
      </c>
      <c r="W1116" s="2" t="s">
        <v>7954</v>
      </c>
      <c r="X1116" s="5" t="str">
        <f>HYPERLINK("https://my.pitchbook.com?p=94453-75P","View People Online")</f>
        <v>View People Online</v>
      </c>
    </row>
    <row r="1117">
      <c r="A1117" s="14" t="s">
        <v>8040</v>
      </c>
      <c r="B1117" s="14" t="s">
        <v>8041</v>
      </c>
      <c r="C1117" s="14" t="s">
        <v>8042</v>
      </c>
      <c r="D1117" s="14" t="s">
        <v>8043</v>
      </c>
      <c r="E1117" s="14" t="s">
        <v>7954</v>
      </c>
      <c r="F1117" s="14" t="s">
        <v>312</v>
      </c>
      <c r="G1117" s="14" t="s">
        <v>8044</v>
      </c>
      <c r="H1117" s="15" t="s">
        <v>31</v>
      </c>
      <c r="I1117" s="15">
        <v>1.0</v>
      </c>
      <c r="J1117" s="15">
        <v>1.0</v>
      </c>
      <c r="K1117" s="15" t="s">
        <v>31</v>
      </c>
      <c r="L1117" s="16" t="s">
        <v>7956</v>
      </c>
      <c r="M1117" s="14" t="s">
        <v>8045</v>
      </c>
      <c r="N1117" s="14" t="s">
        <v>7957</v>
      </c>
      <c r="O1117" s="16" t="s">
        <v>7958</v>
      </c>
      <c r="P1117" s="14" t="s">
        <v>7959</v>
      </c>
      <c r="Q1117" s="14" t="s">
        <v>31</v>
      </c>
      <c r="R1117" s="14" t="s">
        <v>7004</v>
      </c>
      <c r="S1117" s="16" t="s">
        <v>7960</v>
      </c>
      <c r="T1117" s="14" t="s">
        <v>66</v>
      </c>
      <c r="U1117" s="16" t="s">
        <v>7961</v>
      </c>
      <c r="V1117" s="14" t="s">
        <v>8046</v>
      </c>
      <c r="W1117" s="14" t="s">
        <v>7954</v>
      </c>
      <c r="X1117" s="17" t="str">
        <f>HYPERLINK("https://my.pitchbook.com?p=82345-60P","View People Online")</f>
        <v>View People Online</v>
      </c>
    </row>
    <row r="1118">
      <c r="A1118" s="10" t="s">
        <v>8047</v>
      </c>
      <c r="B1118" s="10" t="s">
        <v>8048</v>
      </c>
      <c r="C1118" s="10" t="s">
        <v>1449</v>
      </c>
      <c r="D1118" s="10" t="s">
        <v>8049</v>
      </c>
      <c r="E1118" s="10" t="s">
        <v>8050</v>
      </c>
      <c r="F1118" s="10" t="s">
        <v>502</v>
      </c>
      <c r="G1118" s="10" t="s">
        <v>8051</v>
      </c>
      <c r="H1118" s="11" t="s">
        <v>31</v>
      </c>
      <c r="I1118" s="11">
        <v>2.0</v>
      </c>
      <c r="J1118" s="11">
        <v>2.0</v>
      </c>
      <c r="K1118" s="11" t="s">
        <v>31</v>
      </c>
      <c r="L1118" s="12" t="s">
        <v>8052</v>
      </c>
      <c r="M1118" s="10" t="s">
        <v>8053</v>
      </c>
      <c r="N1118" s="10" t="s">
        <v>8054</v>
      </c>
      <c r="O1118" s="12" t="s">
        <v>8055</v>
      </c>
      <c r="P1118" s="10" t="s">
        <v>8056</v>
      </c>
      <c r="Q1118" s="10" t="s">
        <v>31</v>
      </c>
      <c r="R1118" s="10" t="s">
        <v>7335</v>
      </c>
      <c r="S1118" s="12" t="s">
        <v>8057</v>
      </c>
      <c r="T1118" s="10" t="s">
        <v>5484</v>
      </c>
      <c r="U1118" s="12" t="s">
        <v>31</v>
      </c>
      <c r="V1118" s="10" t="s">
        <v>8058</v>
      </c>
      <c r="W1118" s="10" t="s">
        <v>8059</v>
      </c>
      <c r="X1118" s="13" t="str">
        <f>HYPERLINK("https://my.pitchbook.com?p=296757-64P","View People Online")</f>
        <v>View People Online</v>
      </c>
    </row>
    <row r="1119">
      <c r="A1119" s="14" t="s">
        <v>8060</v>
      </c>
      <c r="B1119" s="14" t="s">
        <v>8061</v>
      </c>
      <c r="C1119" s="14" t="s">
        <v>2992</v>
      </c>
      <c r="D1119" s="14" t="s">
        <v>8062</v>
      </c>
      <c r="E1119" s="14" t="s">
        <v>8050</v>
      </c>
      <c r="F1119" s="14" t="s">
        <v>548</v>
      </c>
      <c r="G1119" s="14" t="s">
        <v>8063</v>
      </c>
      <c r="H1119" s="15" t="s">
        <v>31</v>
      </c>
      <c r="I1119" s="15">
        <v>1.0</v>
      </c>
      <c r="J1119" s="15">
        <v>1.0</v>
      </c>
      <c r="K1119" s="15" t="s">
        <v>31</v>
      </c>
      <c r="L1119" s="16" t="s">
        <v>31</v>
      </c>
      <c r="M1119" s="14" t="s">
        <v>8064</v>
      </c>
      <c r="N1119" s="14" t="s">
        <v>5479</v>
      </c>
      <c r="O1119" s="16" t="s">
        <v>5480</v>
      </c>
      <c r="P1119" s="14" t="s">
        <v>8065</v>
      </c>
      <c r="Q1119" s="14" t="s">
        <v>8066</v>
      </c>
      <c r="R1119" s="14" t="s">
        <v>7335</v>
      </c>
      <c r="S1119" s="16" t="s">
        <v>5483</v>
      </c>
      <c r="T1119" s="14" t="s">
        <v>5484</v>
      </c>
      <c r="U1119" s="16" t="s">
        <v>31</v>
      </c>
      <c r="V1119" s="14" t="s">
        <v>8067</v>
      </c>
      <c r="W1119" s="14" t="s">
        <v>8050</v>
      </c>
      <c r="X1119" s="17" t="str">
        <f>HYPERLINK("https://my.pitchbook.com?p=451498-33P","View People Online")</f>
        <v>View People Online</v>
      </c>
    </row>
    <row r="1120">
      <c r="A1120" s="10" t="s">
        <v>8068</v>
      </c>
      <c r="B1120" s="10" t="s">
        <v>8069</v>
      </c>
      <c r="C1120" s="10" t="s">
        <v>1489</v>
      </c>
      <c r="D1120" s="10" t="s">
        <v>8070</v>
      </c>
      <c r="E1120" s="10" t="s">
        <v>8050</v>
      </c>
      <c r="F1120" s="10" t="s">
        <v>1167</v>
      </c>
      <c r="G1120" s="10" t="s">
        <v>8071</v>
      </c>
      <c r="H1120" s="11">
        <v>1.0</v>
      </c>
      <c r="I1120" s="11">
        <v>8.0</v>
      </c>
      <c r="J1120" s="11">
        <v>6.0</v>
      </c>
      <c r="K1120" s="11">
        <v>2.0</v>
      </c>
      <c r="L1120" s="12" t="s">
        <v>31</v>
      </c>
      <c r="M1120" s="10" t="s">
        <v>8072</v>
      </c>
      <c r="N1120" s="10" t="s">
        <v>5479</v>
      </c>
      <c r="O1120" s="12" t="s">
        <v>5480</v>
      </c>
      <c r="P1120" s="10" t="s">
        <v>8065</v>
      </c>
      <c r="Q1120" s="10" t="s">
        <v>8066</v>
      </c>
      <c r="R1120" s="10" t="s">
        <v>7335</v>
      </c>
      <c r="S1120" s="12" t="s">
        <v>5483</v>
      </c>
      <c r="T1120" s="10" t="s">
        <v>5484</v>
      </c>
      <c r="U1120" s="12" t="s">
        <v>31</v>
      </c>
      <c r="V1120" s="10" t="s">
        <v>8073</v>
      </c>
      <c r="W1120" s="10" t="s">
        <v>8050</v>
      </c>
      <c r="X1120" s="13" t="str">
        <f>HYPERLINK("https://my.pitchbook.com?p=153391-06P","View People Online")</f>
        <v>View People Online</v>
      </c>
    </row>
    <row r="1121">
      <c r="A1121" s="6" t="s">
        <v>8074</v>
      </c>
      <c r="B1121" s="6" t="s">
        <v>8075</v>
      </c>
      <c r="C1121" s="6" t="s">
        <v>8076</v>
      </c>
      <c r="D1121" s="6" t="s">
        <v>3203</v>
      </c>
      <c r="E1121" s="6" t="s">
        <v>8077</v>
      </c>
      <c r="F1121" s="6" t="s">
        <v>318</v>
      </c>
      <c r="G1121" s="6" t="s">
        <v>8078</v>
      </c>
      <c r="H1121" s="7" t="s">
        <v>31</v>
      </c>
      <c r="I1121" s="7">
        <v>1.0</v>
      </c>
      <c r="J1121" s="7">
        <v>1.0</v>
      </c>
      <c r="K1121" s="7" t="s">
        <v>31</v>
      </c>
      <c r="L1121" s="8" t="s">
        <v>31</v>
      </c>
      <c r="M1121" s="6" t="s">
        <v>8079</v>
      </c>
      <c r="N1121" s="6" t="s">
        <v>6669</v>
      </c>
      <c r="O1121" s="8" t="s">
        <v>6670</v>
      </c>
      <c r="P1121" s="6" t="s">
        <v>8080</v>
      </c>
      <c r="Q1121" s="6" t="s">
        <v>6831</v>
      </c>
      <c r="R1121" s="6" t="s">
        <v>1185</v>
      </c>
      <c r="S1121" s="8" t="s">
        <v>6712</v>
      </c>
      <c r="T1121" s="6" t="s">
        <v>66</v>
      </c>
      <c r="U1121" s="8" t="s">
        <v>31</v>
      </c>
      <c r="V1121" s="6" t="s">
        <v>318</v>
      </c>
      <c r="W1121" s="6" t="s">
        <v>8077</v>
      </c>
      <c r="X1121" s="9" t="str">
        <f>HYPERLINK("https://my.pitchbook.com?p=230905-27P","View People Online")</f>
        <v>View People Online</v>
      </c>
    </row>
    <row r="1122">
      <c r="A1122" s="10" t="s">
        <v>8081</v>
      </c>
      <c r="B1122" s="10" t="s">
        <v>8082</v>
      </c>
      <c r="C1122" s="10" t="s">
        <v>8083</v>
      </c>
      <c r="D1122" s="10" t="s">
        <v>8084</v>
      </c>
      <c r="E1122" s="10" t="s">
        <v>8077</v>
      </c>
      <c r="F1122" s="10" t="s">
        <v>825</v>
      </c>
      <c r="G1122" s="10" t="s">
        <v>8085</v>
      </c>
      <c r="H1122" s="11" t="s">
        <v>31</v>
      </c>
      <c r="I1122" s="11">
        <v>1.0</v>
      </c>
      <c r="J1122" s="11">
        <v>1.0</v>
      </c>
      <c r="K1122" s="11" t="s">
        <v>31</v>
      </c>
      <c r="L1122" s="12" t="s">
        <v>31</v>
      </c>
      <c r="M1122" s="10" t="s">
        <v>8086</v>
      </c>
      <c r="N1122" s="10" t="s">
        <v>6669</v>
      </c>
      <c r="O1122" s="12" t="s">
        <v>6670</v>
      </c>
      <c r="P1122" s="10" t="s">
        <v>8080</v>
      </c>
      <c r="Q1122" s="10" t="s">
        <v>6831</v>
      </c>
      <c r="R1122" s="10" t="s">
        <v>1185</v>
      </c>
      <c r="S1122" s="12" t="s">
        <v>6712</v>
      </c>
      <c r="T1122" s="10" t="s">
        <v>66</v>
      </c>
      <c r="U1122" s="12" t="s">
        <v>31</v>
      </c>
      <c r="V1122" s="10" t="s">
        <v>8087</v>
      </c>
      <c r="W1122" s="10" t="s">
        <v>8077</v>
      </c>
      <c r="X1122" s="13" t="str">
        <f>HYPERLINK("https://my.pitchbook.com?p=370966-06P","View People Online")</f>
        <v>View People Online</v>
      </c>
    </row>
    <row r="1123">
      <c r="A1123" s="14" t="s">
        <v>8088</v>
      </c>
      <c r="B1123" s="14" t="s">
        <v>8089</v>
      </c>
      <c r="C1123" s="14" t="s">
        <v>4731</v>
      </c>
      <c r="D1123" s="14" t="s">
        <v>8090</v>
      </c>
      <c r="E1123" s="14" t="s">
        <v>8077</v>
      </c>
      <c r="F1123" s="14" t="s">
        <v>86</v>
      </c>
      <c r="G1123" s="14" t="s">
        <v>8091</v>
      </c>
      <c r="H1123" s="15">
        <v>3.0</v>
      </c>
      <c r="I1123" s="15">
        <v>15.0</v>
      </c>
      <c r="J1123" s="15">
        <v>2.0</v>
      </c>
      <c r="K1123" s="15">
        <v>7.0</v>
      </c>
      <c r="L1123" s="16" t="s">
        <v>31</v>
      </c>
      <c r="M1123" s="14" t="s">
        <v>8092</v>
      </c>
      <c r="N1123" s="14" t="s">
        <v>6669</v>
      </c>
      <c r="O1123" s="16" t="s">
        <v>6670</v>
      </c>
      <c r="P1123" s="14" t="s">
        <v>8080</v>
      </c>
      <c r="Q1123" s="14" t="s">
        <v>6831</v>
      </c>
      <c r="R1123" s="14" t="s">
        <v>1185</v>
      </c>
      <c r="S1123" s="16" t="s">
        <v>6712</v>
      </c>
      <c r="T1123" s="14" t="s">
        <v>66</v>
      </c>
      <c r="U1123" s="16" t="s">
        <v>31</v>
      </c>
      <c r="V1123" s="14" t="s">
        <v>95</v>
      </c>
      <c r="W1123" s="14" t="s">
        <v>8077</v>
      </c>
      <c r="X1123" s="17" t="str">
        <f>HYPERLINK("https://my.pitchbook.com?p=227959-12P","View People Online")</f>
        <v>View People Online</v>
      </c>
    </row>
    <row r="1124">
      <c r="A1124" s="10" t="s">
        <v>8093</v>
      </c>
      <c r="B1124" s="10" t="s">
        <v>8094</v>
      </c>
      <c r="C1124" s="10" t="s">
        <v>8095</v>
      </c>
      <c r="D1124" s="10" t="s">
        <v>8096</v>
      </c>
      <c r="E1124" s="10" t="s">
        <v>8077</v>
      </c>
      <c r="F1124" s="10" t="s">
        <v>221</v>
      </c>
      <c r="G1124" s="10" t="s">
        <v>8097</v>
      </c>
      <c r="H1124" s="11" t="s">
        <v>31</v>
      </c>
      <c r="I1124" s="11">
        <v>2.0</v>
      </c>
      <c r="J1124" s="11">
        <v>2.0</v>
      </c>
      <c r="K1124" s="11" t="s">
        <v>31</v>
      </c>
      <c r="L1124" s="12" t="s">
        <v>31</v>
      </c>
      <c r="M1124" s="10" t="s">
        <v>8098</v>
      </c>
      <c r="N1124" s="10" t="s">
        <v>6669</v>
      </c>
      <c r="O1124" s="12" t="s">
        <v>6670</v>
      </c>
      <c r="P1124" s="10" t="s">
        <v>8080</v>
      </c>
      <c r="Q1124" s="10" t="s">
        <v>6831</v>
      </c>
      <c r="R1124" s="10" t="s">
        <v>1185</v>
      </c>
      <c r="S1124" s="12" t="s">
        <v>6712</v>
      </c>
      <c r="T1124" s="10" t="s">
        <v>66</v>
      </c>
      <c r="U1124" s="12" t="s">
        <v>31</v>
      </c>
      <c r="V1124" s="10" t="s">
        <v>957</v>
      </c>
      <c r="W1124" s="10" t="s">
        <v>8077</v>
      </c>
      <c r="X1124" s="13" t="str">
        <f>HYPERLINK("https://my.pitchbook.com?p=329376-52P","View People Online")</f>
        <v>View People Online</v>
      </c>
    </row>
    <row r="1125">
      <c r="A1125" s="14" t="s">
        <v>8099</v>
      </c>
      <c r="B1125" s="14" t="s">
        <v>8100</v>
      </c>
      <c r="C1125" s="14" t="s">
        <v>323</v>
      </c>
      <c r="D1125" s="14" t="s">
        <v>8101</v>
      </c>
      <c r="E1125" s="14" t="s">
        <v>8077</v>
      </c>
      <c r="F1125" s="14" t="s">
        <v>695</v>
      </c>
      <c r="G1125" s="14" t="s">
        <v>8102</v>
      </c>
      <c r="H1125" s="15" t="s">
        <v>31</v>
      </c>
      <c r="I1125" s="15">
        <v>1.0</v>
      </c>
      <c r="J1125" s="15">
        <v>1.0</v>
      </c>
      <c r="K1125" s="15" t="s">
        <v>31</v>
      </c>
      <c r="L1125" s="16" t="s">
        <v>31</v>
      </c>
      <c r="M1125" s="14" t="s">
        <v>8103</v>
      </c>
      <c r="N1125" s="14" t="s">
        <v>6669</v>
      </c>
      <c r="O1125" s="16" t="s">
        <v>6670</v>
      </c>
      <c r="P1125" s="14" t="s">
        <v>8080</v>
      </c>
      <c r="Q1125" s="14" t="s">
        <v>6831</v>
      </c>
      <c r="R1125" s="14" t="s">
        <v>1185</v>
      </c>
      <c r="S1125" s="16" t="s">
        <v>6712</v>
      </c>
      <c r="T1125" s="14" t="s">
        <v>66</v>
      </c>
      <c r="U1125" s="16" t="s">
        <v>31</v>
      </c>
      <c r="V1125" s="14" t="s">
        <v>695</v>
      </c>
      <c r="W1125" s="14" t="s">
        <v>8077</v>
      </c>
      <c r="X1125" s="17" t="str">
        <f>HYPERLINK("https://my.pitchbook.com?p=400984-12P","View People Online")</f>
        <v>View People Online</v>
      </c>
    </row>
    <row r="1126">
      <c r="A1126" s="10" t="s">
        <v>8104</v>
      </c>
      <c r="B1126" s="10" t="s">
        <v>8105</v>
      </c>
      <c r="C1126" s="10" t="s">
        <v>8106</v>
      </c>
      <c r="D1126" s="10" t="s">
        <v>8107</v>
      </c>
      <c r="E1126" s="10" t="s">
        <v>8077</v>
      </c>
      <c r="F1126" s="10" t="s">
        <v>221</v>
      </c>
      <c r="G1126" s="10" t="s">
        <v>8108</v>
      </c>
      <c r="H1126" s="11" t="s">
        <v>31</v>
      </c>
      <c r="I1126" s="11">
        <v>1.0</v>
      </c>
      <c r="J1126" s="11">
        <v>1.0</v>
      </c>
      <c r="K1126" s="11" t="s">
        <v>31</v>
      </c>
      <c r="L1126" s="12" t="s">
        <v>31</v>
      </c>
      <c r="M1126" s="10" t="s">
        <v>8109</v>
      </c>
      <c r="N1126" s="10" t="s">
        <v>6669</v>
      </c>
      <c r="O1126" s="12" t="s">
        <v>6670</v>
      </c>
      <c r="P1126" s="10" t="s">
        <v>8080</v>
      </c>
      <c r="Q1126" s="10" t="s">
        <v>6831</v>
      </c>
      <c r="R1126" s="10" t="s">
        <v>1185</v>
      </c>
      <c r="S1126" s="12" t="s">
        <v>6712</v>
      </c>
      <c r="T1126" s="10" t="s">
        <v>66</v>
      </c>
      <c r="U1126" s="12" t="s">
        <v>31</v>
      </c>
      <c r="V1126" s="10" t="s">
        <v>957</v>
      </c>
      <c r="W1126" s="10" t="s">
        <v>8077</v>
      </c>
      <c r="X1126" s="13" t="str">
        <f>HYPERLINK("https://my.pitchbook.com?p=446101-84P","View People Online")</f>
        <v>View People Online</v>
      </c>
    </row>
    <row r="1127">
      <c r="A1127" s="6" t="s">
        <v>8110</v>
      </c>
      <c r="B1127" s="6" t="s">
        <v>8111</v>
      </c>
      <c r="C1127" s="6" t="s">
        <v>8112</v>
      </c>
      <c r="D1127" s="6" t="s">
        <v>6892</v>
      </c>
      <c r="E1127" s="6" t="s">
        <v>8077</v>
      </c>
      <c r="F1127" s="6" t="s">
        <v>318</v>
      </c>
      <c r="G1127" s="6" t="s">
        <v>8113</v>
      </c>
      <c r="H1127" s="7" t="s">
        <v>31</v>
      </c>
      <c r="I1127" s="7">
        <v>1.0</v>
      </c>
      <c r="J1127" s="7">
        <v>1.0</v>
      </c>
      <c r="K1127" s="7" t="s">
        <v>31</v>
      </c>
      <c r="L1127" s="8" t="s">
        <v>31</v>
      </c>
      <c r="M1127" s="6" t="s">
        <v>8114</v>
      </c>
      <c r="N1127" s="6" t="s">
        <v>6669</v>
      </c>
      <c r="O1127" s="8" t="s">
        <v>6670</v>
      </c>
      <c r="P1127" s="6" t="s">
        <v>8080</v>
      </c>
      <c r="Q1127" s="6" t="s">
        <v>6831</v>
      </c>
      <c r="R1127" s="6" t="s">
        <v>1185</v>
      </c>
      <c r="S1127" s="8" t="s">
        <v>6712</v>
      </c>
      <c r="T1127" s="6" t="s">
        <v>66</v>
      </c>
      <c r="U1127" s="8" t="s">
        <v>31</v>
      </c>
      <c r="V1127" s="6" t="s">
        <v>318</v>
      </c>
      <c r="W1127" s="6" t="s">
        <v>8077</v>
      </c>
      <c r="X1127" s="9" t="str">
        <f>HYPERLINK("https://my.pitchbook.com?p=400981-15P","View People Online")</f>
        <v>View People Online</v>
      </c>
    </row>
    <row r="1128">
      <c r="A1128" s="10" t="s">
        <v>8115</v>
      </c>
      <c r="B1128" s="10" t="s">
        <v>8116</v>
      </c>
      <c r="C1128" s="10" t="s">
        <v>8117</v>
      </c>
      <c r="D1128" s="10" t="s">
        <v>8118</v>
      </c>
      <c r="E1128" s="10" t="s">
        <v>8077</v>
      </c>
      <c r="F1128" s="10" t="s">
        <v>86</v>
      </c>
      <c r="G1128" s="10" t="s">
        <v>8119</v>
      </c>
      <c r="H1128" s="11">
        <v>8.0</v>
      </c>
      <c r="I1128" s="11">
        <v>24.0</v>
      </c>
      <c r="J1128" s="11">
        <v>2.0</v>
      </c>
      <c r="K1128" s="11">
        <v>11.0</v>
      </c>
      <c r="L1128" s="12" t="s">
        <v>31</v>
      </c>
      <c r="M1128" s="10" t="s">
        <v>8120</v>
      </c>
      <c r="N1128" s="10" t="s">
        <v>6669</v>
      </c>
      <c r="O1128" s="12" t="s">
        <v>6670</v>
      </c>
      <c r="P1128" s="10" t="s">
        <v>8080</v>
      </c>
      <c r="Q1128" s="10" t="s">
        <v>6831</v>
      </c>
      <c r="R1128" s="10" t="s">
        <v>1185</v>
      </c>
      <c r="S1128" s="12" t="s">
        <v>6712</v>
      </c>
      <c r="T1128" s="10" t="s">
        <v>66</v>
      </c>
      <c r="U1128" s="12" t="s">
        <v>31</v>
      </c>
      <c r="V1128" s="10" t="s">
        <v>95</v>
      </c>
      <c r="W1128" s="10" t="s">
        <v>8077</v>
      </c>
      <c r="X1128" s="13" t="str">
        <f>HYPERLINK("https://my.pitchbook.com?p=203259-88P","View People Online")</f>
        <v>View People Online</v>
      </c>
    </row>
    <row r="1129">
      <c r="A1129" s="14" t="s">
        <v>8121</v>
      </c>
      <c r="B1129" s="14" t="s">
        <v>8122</v>
      </c>
      <c r="C1129" s="14" t="s">
        <v>8123</v>
      </c>
      <c r="D1129" s="14" t="s">
        <v>8124</v>
      </c>
      <c r="E1129" s="14" t="s">
        <v>8077</v>
      </c>
      <c r="F1129" s="14" t="s">
        <v>695</v>
      </c>
      <c r="G1129" s="14" t="s">
        <v>8125</v>
      </c>
      <c r="H1129" s="15" t="s">
        <v>31</v>
      </c>
      <c r="I1129" s="15">
        <v>1.0</v>
      </c>
      <c r="J1129" s="15">
        <v>1.0</v>
      </c>
      <c r="K1129" s="15" t="s">
        <v>31</v>
      </c>
      <c r="L1129" s="16" t="s">
        <v>31</v>
      </c>
      <c r="M1129" s="14" t="s">
        <v>8126</v>
      </c>
      <c r="N1129" s="14" t="s">
        <v>6669</v>
      </c>
      <c r="O1129" s="16" t="s">
        <v>6670</v>
      </c>
      <c r="P1129" s="14" t="s">
        <v>8080</v>
      </c>
      <c r="Q1129" s="14" t="s">
        <v>6831</v>
      </c>
      <c r="R1129" s="14" t="s">
        <v>1185</v>
      </c>
      <c r="S1129" s="16" t="s">
        <v>6712</v>
      </c>
      <c r="T1129" s="14" t="s">
        <v>66</v>
      </c>
      <c r="U1129" s="16" t="s">
        <v>31</v>
      </c>
      <c r="V1129" s="14" t="s">
        <v>695</v>
      </c>
      <c r="W1129" s="14" t="s">
        <v>8077</v>
      </c>
      <c r="X1129" s="17" t="str">
        <f>HYPERLINK("https://my.pitchbook.com?p=400982-86P","View People Online")</f>
        <v>View People Online</v>
      </c>
    </row>
    <row r="1130">
      <c r="A1130" s="10" t="s">
        <v>8127</v>
      </c>
      <c r="B1130" s="10" t="s">
        <v>8128</v>
      </c>
      <c r="C1130" s="10" t="s">
        <v>160</v>
      </c>
      <c r="D1130" s="10" t="s">
        <v>8129</v>
      </c>
      <c r="E1130" s="10" t="s">
        <v>8077</v>
      </c>
      <c r="F1130" s="10" t="s">
        <v>86</v>
      </c>
      <c r="G1130" s="10" t="s">
        <v>8130</v>
      </c>
      <c r="H1130" s="11">
        <v>10.0</v>
      </c>
      <c r="I1130" s="11">
        <v>34.0</v>
      </c>
      <c r="J1130" s="11">
        <v>4.0</v>
      </c>
      <c r="K1130" s="11">
        <v>17.0</v>
      </c>
      <c r="L1130" s="12" t="s">
        <v>8131</v>
      </c>
      <c r="M1130" s="10" t="s">
        <v>31</v>
      </c>
      <c r="N1130" s="10" t="s">
        <v>8132</v>
      </c>
      <c r="O1130" s="12" t="s">
        <v>8133</v>
      </c>
      <c r="P1130" s="10" t="s">
        <v>8134</v>
      </c>
      <c r="Q1130" s="10" t="s">
        <v>8135</v>
      </c>
      <c r="R1130" s="10" t="s">
        <v>64</v>
      </c>
      <c r="S1130" s="12" t="s">
        <v>8136</v>
      </c>
      <c r="T1130" s="10" t="s">
        <v>66</v>
      </c>
      <c r="U1130" s="12" t="s">
        <v>31</v>
      </c>
      <c r="V1130" s="10" t="s">
        <v>2379</v>
      </c>
      <c r="W1130" s="10" t="s">
        <v>8137</v>
      </c>
      <c r="X1130" s="13" t="str">
        <f>HYPERLINK("https://my.pitchbook.com?p=31448-35P","View People Online")</f>
        <v>View People Online</v>
      </c>
    </row>
    <row r="1131">
      <c r="A1131" s="14" t="s">
        <v>8138</v>
      </c>
      <c r="B1131" s="14" t="s">
        <v>8139</v>
      </c>
      <c r="C1131" s="14" t="s">
        <v>8140</v>
      </c>
      <c r="D1131" s="14" t="s">
        <v>8141</v>
      </c>
      <c r="E1131" s="14" t="s">
        <v>8077</v>
      </c>
      <c r="F1131" s="14" t="s">
        <v>825</v>
      </c>
      <c r="G1131" s="14" t="s">
        <v>8142</v>
      </c>
      <c r="H1131" s="15" t="s">
        <v>31</v>
      </c>
      <c r="I1131" s="15">
        <v>1.0</v>
      </c>
      <c r="J1131" s="15">
        <v>1.0</v>
      </c>
      <c r="K1131" s="15" t="s">
        <v>31</v>
      </c>
      <c r="L1131" s="16" t="s">
        <v>8143</v>
      </c>
      <c r="M1131" s="14" t="s">
        <v>8144</v>
      </c>
      <c r="N1131" s="14" t="s">
        <v>6669</v>
      </c>
      <c r="O1131" s="16" t="s">
        <v>6670</v>
      </c>
      <c r="P1131" s="14" t="s">
        <v>8080</v>
      </c>
      <c r="Q1131" s="14" t="s">
        <v>6831</v>
      </c>
      <c r="R1131" s="14" t="s">
        <v>1185</v>
      </c>
      <c r="S1131" s="16" t="s">
        <v>6712</v>
      </c>
      <c r="T1131" s="14" t="s">
        <v>66</v>
      </c>
      <c r="U1131" s="16" t="s">
        <v>31</v>
      </c>
      <c r="V1131" s="14" t="s">
        <v>8145</v>
      </c>
      <c r="W1131" s="14" t="s">
        <v>8077</v>
      </c>
      <c r="X1131" s="17" t="str">
        <f>HYPERLINK("https://my.pitchbook.com?p=307805-50P","View People Online")</f>
        <v>View People Online</v>
      </c>
    </row>
    <row r="1132">
      <c r="A1132" s="10" t="s">
        <v>8146</v>
      </c>
      <c r="B1132" s="10" t="s">
        <v>8147</v>
      </c>
      <c r="C1132" s="10" t="s">
        <v>8148</v>
      </c>
      <c r="D1132" s="10" t="s">
        <v>8149</v>
      </c>
      <c r="E1132" s="10" t="s">
        <v>8077</v>
      </c>
      <c r="F1132" s="10" t="s">
        <v>667</v>
      </c>
      <c r="G1132" s="10" t="s">
        <v>8150</v>
      </c>
      <c r="H1132" s="11" t="s">
        <v>31</v>
      </c>
      <c r="I1132" s="11">
        <v>1.0</v>
      </c>
      <c r="J1132" s="11">
        <v>1.0</v>
      </c>
      <c r="K1132" s="11" t="s">
        <v>31</v>
      </c>
      <c r="L1132" s="12" t="s">
        <v>31</v>
      </c>
      <c r="M1132" s="10" t="s">
        <v>8151</v>
      </c>
      <c r="N1132" s="10" t="s">
        <v>6669</v>
      </c>
      <c r="O1132" s="12" t="s">
        <v>6670</v>
      </c>
      <c r="P1132" s="10" t="s">
        <v>8080</v>
      </c>
      <c r="Q1132" s="10" t="s">
        <v>6831</v>
      </c>
      <c r="R1132" s="10" t="s">
        <v>1185</v>
      </c>
      <c r="S1132" s="12" t="s">
        <v>6712</v>
      </c>
      <c r="T1132" s="10" t="s">
        <v>66</v>
      </c>
      <c r="U1132" s="12" t="s">
        <v>31</v>
      </c>
      <c r="V1132" s="10" t="s">
        <v>8152</v>
      </c>
      <c r="W1132" s="10" t="s">
        <v>8077</v>
      </c>
      <c r="X1132" s="13" t="str">
        <f>HYPERLINK("https://my.pitchbook.com?p=412180-21P","View People Online")</f>
        <v>View People Online</v>
      </c>
    </row>
    <row r="1133">
      <c r="A1133" s="6" t="s">
        <v>8153</v>
      </c>
      <c r="B1133" s="6" t="s">
        <v>8154</v>
      </c>
      <c r="C1133" s="6" t="s">
        <v>8155</v>
      </c>
      <c r="D1133" s="6" t="s">
        <v>8156</v>
      </c>
      <c r="E1133" s="6" t="s">
        <v>8157</v>
      </c>
      <c r="F1133" s="6" t="s">
        <v>114</v>
      </c>
      <c r="G1133" s="6" t="s">
        <v>8158</v>
      </c>
      <c r="H1133" s="7" t="s">
        <v>31</v>
      </c>
      <c r="I1133" s="7">
        <v>1.0</v>
      </c>
      <c r="J1133" s="7">
        <v>1.0</v>
      </c>
      <c r="K1133" s="7" t="s">
        <v>31</v>
      </c>
      <c r="L1133" s="8" t="s">
        <v>31</v>
      </c>
      <c r="M1133" s="6" t="s">
        <v>31</v>
      </c>
      <c r="N1133" s="6" t="s">
        <v>3100</v>
      </c>
      <c r="O1133" s="8" t="s">
        <v>3101</v>
      </c>
      <c r="P1133" s="6" t="s">
        <v>8159</v>
      </c>
      <c r="Q1133" s="6" t="s">
        <v>31</v>
      </c>
      <c r="R1133" s="6" t="s">
        <v>3100</v>
      </c>
      <c r="S1133" s="8" t="s">
        <v>8160</v>
      </c>
      <c r="T1133" s="6" t="s">
        <v>3104</v>
      </c>
      <c r="U1133" s="8" t="s">
        <v>31</v>
      </c>
      <c r="V1133" s="6" t="s">
        <v>114</v>
      </c>
      <c r="W1133" s="6" t="s">
        <v>8157</v>
      </c>
      <c r="X1133" s="9" t="str">
        <f>HYPERLINK("https://my.pitchbook.com?p=161974-54P","View People Online")</f>
        <v>View People Online</v>
      </c>
    </row>
    <row r="1134">
      <c r="A1134" s="10" t="s">
        <v>8161</v>
      </c>
      <c r="B1134" s="10" t="s">
        <v>8162</v>
      </c>
      <c r="C1134" s="10" t="s">
        <v>8163</v>
      </c>
      <c r="D1134" s="10" t="s">
        <v>8164</v>
      </c>
      <c r="E1134" s="10" t="s">
        <v>8157</v>
      </c>
      <c r="F1134" s="10" t="s">
        <v>29</v>
      </c>
      <c r="G1134" s="10" t="s">
        <v>8165</v>
      </c>
      <c r="H1134" s="11">
        <v>2.0</v>
      </c>
      <c r="I1134" s="11">
        <v>9.0</v>
      </c>
      <c r="J1134" s="11">
        <v>1.0</v>
      </c>
      <c r="K1134" s="11">
        <v>5.0</v>
      </c>
      <c r="L1134" s="12" t="s">
        <v>31</v>
      </c>
      <c r="M1134" s="10" t="s">
        <v>31</v>
      </c>
      <c r="N1134" s="10" t="s">
        <v>3100</v>
      </c>
      <c r="O1134" s="12" t="s">
        <v>3101</v>
      </c>
      <c r="P1134" s="10" t="s">
        <v>8159</v>
      </c>
      <c r="Q1134" s="10" t="s">
        <v>31</v>
      </c>
      <c r="R1134" s="10" t="s">
        <v>3100</v>
      </c>
      <c r="S1134" s="12" t="s">
        <v>8160</v>
      </c>
      <c r="T1134" s="10" t="s">
        <v>3104</v>
      </c>
      <c r="U1134" s="12" t="s">
        <v>31</v>
      </c>
      <c r="V1134" s="10" t="s">
        <v>29</v>
      </c>
      <c r="W1134" s="10" t="s">
        <v>8157</v>
      </c>
      <c r="X1134" s="13" t="str">
        <f>HYPERLINK("https://my.pitchbook.com?p=216019-63P","View People Online")</f>
        <v>View People Online</v>
      </c>
    </row>
    <row r="1135">
      <c r="A1135" s="6" t="s">
        <v>8166</v>
      </c>
      <c r="B1135" s="6" t="s">
        <v>8167</v>
      </c>
      <c r="C1135" s="6" t="s">
        <v>2992</v>
      </c>
      <c r="D1135" s="6" t="s">
        <v>8168</v>
      </c>
      <c r="E1135" s="6" t="s">
        <v>8157</v>
      </c>
      <c r="F1135" s="6" t="s">
        <v>114</v>
      </c>
      <c r="G1135" s="6" t="s">
        <v>8169</v>
      </c>
      <c r="H1135" s="7" t="s">
        <v>31</v>
      </c>
      <c r="I1135" s="7">
        <v>2.0</v>
      </c>
      <c r="J1135" s="7">
        <v>2.0</v>
      </c>
      <c r="K1135" s="7" t="s">
        <v>31</v>
      </c>
      <c r="L1135" s="8" t="s">
        <v>8170</v>
      </c>
      <c r="M1135" s="6" t="s">
        <v>8171</v>
      </c>
      <c r="N1135" s="6" t="s">
        <v>3100</v>
      </c>
      <c r="O1135" s="8" t="s">
        <v>3101</v>
      </c>
      <c r="P1135" s="6" t="s">
        <v>8172</v>
      </c>
      <c r="Q1135" s="6" t="s">
        <v>31</v>
      </c>
      <c r="R1135" s="6" t="s">
        <v>31</v>
      </c>
      <c r="S1135" s="8" t="s">
        <v>8173</v>
      </c>
      <c r="T1135" s="6" t="s">
        <v>3104</v>
      </c>
      <c r="U1135" s="8" t="s">
        <v>31</v>
      </c>
      <c r="V1135" s="6" t="s">
        <v>8174</v>
      </c>
      <c r="W1135" s="6" t="s">
        <v>8175</v>
      </c>
      <c r="X1135" s="9" t="str">
        <f>HYPERLINK("https://my.pitchbook.com?p=228610-45P","View People Online")</f>
        <v>View People Online</v>
      </c>
    </row>
    <row r="1136">
      <c r="A1136" s="2" t="s">
        <v>8176</v>
      </c>
      <c r="B1136" s="2" t="s">
        <v>8177</v>
      </c>
      <c r="C1136" s="2" t="s">
        <v>6453</v>
      </c>
      <c r="D1136" s="2" t="s">
        <v>8178</v>
      </c>
      <c r="E1136" s="2" t="s">
        <v>8157</v>
      </c>
      <c r="F1136" s="2" t="s">
        <v>825</v>
      </c>
      <c r="G1136" s="2" t="s">
        <v>8179</v>
      </c>
      <c r="H1136" s="3" t="s">
        <v>31</v>
      </c>
      <c r="I1136" s="3">
        <v>2.0</v>
      </c>
      <c r="J1136" s="3">
        <v>1.0</v>
      </c>
      <c r="K1136" s="3" t="s">
        <v>31</v>
      </c>
      <c r="L1136" s="4" t="s">
        <v>31</v>
      </c>
      <c r="M1136" s="2" t="s">
        <v>8180</v>
      </c>
      <c r="N1136" s="2" t="s">
        <v>3100</v>
      </c>
      <c r="O1136" s="4" t="s">
        <v>3101</v>
      </c>
      <c r="P1136" s="2" t="s">
        <v>8159</v>
      </c>
      <c r="Q1136" s="2" t="s">
        <v>31</v>
      </c>
      <c r="R1136" s="2" t="s">
        <v>3100</v>
      </c>
      <c r="S1136" s="4" t="s">
        <v>8160</v>
      </c>
      <c r="T1136" s="2" t="s">
        <v>3104</v>
      </c>
      <c r="U1136" s="4" t="s">
        <v>31</v>
      </c>
      <c r="V1136" s="2" t="s">
        <v>8181</v>
      </c>
      <c r="W1136" s="2" t="s">
        <v>8157</v>
      </c>
      <c r="X1136" s="5" t="str">
        <f>HYPERLINK("https://my.pitchbook.com?p=249184-36P","View People Online")</f>
        <v>View People Online</v>
      </c>
    </row>
    <row r="1137">
      <c r="A1137" s="14" t="s">
        <v>8182</v>
      </c>
      <c r="B1137" s="14" t="s">
        <v>8183</v>
      </c>
      <c r="C1137" s="14" t="s">
        <v>8184</v>
      </c>
      <c r="D1137" s="14" t="s">
        <v>8185</v>
      </c>
      <c r="E1137" s="14" t="s">
        <v>8157</v>
      </c>
      <c r="F1137" s="14" t="s">
        <v>114</v>
      </c>
      <c r="G1137" s="14" t="s">
        <v>8186</v>
      </c>
      <c r="H1137" s="15">
        <v>1.0</v>
      </c>
      <c r="I1137" s="15">
        <v>2.0</v>
      </c>
      <c r="J1137" s="15">
        <v>1.0</v>
      </c>
      <c r="K1137" s="15" t="s">
        <v>31</v>
      </c>
      <c r="L1137" s="16" t="s">
        <v>8187</v>
      </c>
      <c r="M1137" s="14" t="s">
        <v>31</v>
      </c>
      <c r="N1137" s="14" t="s">
        <v>8188</v>
      </c>
      <c r="O1137" s="16" t="s">
        <v>8189</v>
      </c>
      <c r="P1137" s="14" t="s">
        <v>8190</v>
      </c>
      <c r="Q1137" s="14" t="s">
        <v>8191</v>
      </c>
      <c r="R1137" s="14" t="s">
        <v>31</v>
      </c>
      <c r="S1137" s="16" t="s">
        <v>8192</v>
      </c>
      <c r="T1137" s="14" t="s">
        <v>3104</v>
      </c>
      <c r="U1137" s="16" t="s">
        <v>31</v>
      </c>
      <c r="V1137" s="14" t="s">
        <v>2379</v>
      </c>
      <c r="W1137" s="14" t="s">
        <v>8193</v>
      </c>
      <c r="X1137" s="17" t="str">
        <f>HYPERLINK("https://my.pitchbook.com?p=326874-16P","View People Online")</f>
        <v>View People Online</v>
      </c>
    </row>
    <row r="1138">
      <c r="A1138" s="2" t="s">
        <v>8194</v>
      </c>
      <c r="B1138" s="2" t="s">
        <v>8195</v>
      </c>
      <c r="C1138" s="2" t="s">
        <v>8196</v>
      </c>
      <c r="D1138" s="2" t="s">
        <v>8197</v>
      </c>
      <c r="E1138" s="2" t="s">
        <v>8157</v>
      </c>
      <c r="F1138" s="2" t="s">
        <v>8198</v>
      </c>
      <c r="G1138" s="2" t="s">
        <v>8199</v>
      </c>
      <c r="H1138" s="3">
        <v>3.0</v>
      </c>
      <c r="I1138" s="3">
        <v>9.0</v>
      </c>
      <c r="J1138" s="3">
        <v>1.0</v>
      </c>
      <c r="K1138" s="3">
        <v>4.0</v>
      </c>
      <c r="L1138" s="4" t="s">
        <v>31</v>
      </c>
      <c r="M1138" s="2" t="s">
        <v>8200</v>
      </c>
      <c r="N1138" s="2" t="s">
        <v>3100</v>
      </c>
      <c r="O1138" s="4" t="s">
        <v>3101</v>
      </c>
      <c r="P1138" s="2" t="s">
        <v>8159</v>
      </c>
      <c r="Q1138" s="2" t="s">
        <v>31</v>
      </c>
      <c r="R1138" s="2" t="s">
        <v>3100</v>
      </c>
      <c r="S1138" s="4" t="s">
        <v>8160</v>
      </c>
      <c r="T1138" s="2" t="s">
        <v>3104</v>
      </c>
      <c r="U1138" s="4" t="s">
        <v>31</v>
      </c>
      <c r="V1138" s="2" t="s">
        <v>8201</v>
      </c>
      <c r="W1138" s="2" t="s">
        <v>8157</v>
      </c>
      <c r="X1138" s="5" t="str">
        <f>HYPERLINK("https://my.pitchbook.com?p=211599-46P","View People Online")</f>
        <v>View People Online</v>
      </c>
    </row>
    <row r="1139">
      <c r="A1139" s="6" t="s">
        <v>8202</v>
      </c>
      <c r="B1139" s="6" t="s">
        <v>8203</v>
      </c>
      <c r="C1139" s="6" t="s">
        <v>541</v>
      </c>
      <c r="D1139" s="6" t="s">
        <v>8204</v>
      </c>
      <c r="E1139" s="6" t="s">
        <v>8157</v>
      </c>
      <c r="F1139" s="6" t="s">
        <v>71</v>
      </c>
      <c r="G1139" s="6" t="s">
        <v>8205</v>
      </c>
      <c r="H1139" s="7" t="s">
        <v>31</v>
      </c>
      <c r="I1139" s="7">
        <v>4.0</v>
      </c>
      <c r="J1139" s="7">
        <v>1.0</v>
      </c>
      <c r="K1139" s="7">
        <v>2.0</v>
      </c>
      <c r="L1139" s="8" t="s">
        <v>31</v>
      </c>
      <c r="M1139" s="6" t="s">
        <v>31</v>
      </c>
      <c r="N1139" s="6" t="s">
        <v>3100</v>
      </c>
      <c r="O1139" s="8" t="s">
        <v>3101</v>
      </c>
      <c r="P1139" s="6" t="s">
        <v>8159</v>
      </c>
      <c r="Q1139" s="6" t="s">
        <v>31</v>
      </c>
      <c r="R1139" s="6" t="s">
        <v>3100</v>
      </c>
      <c r="S1139" s="8" t="s">
        <v>8160</v>
      </c>
      <c r="T1139" s="6" t="s">
        <v>3104</v>
      </c>
      <c r="U1139" s="8" t="s">
        <v>31</v>
      </c>
      <c r="V1139" s="6" t="s">
        <v>8206</v>
      </c>
      <c r="W1139" s="6" t="s">
        <v>8157</v>
      </c>
      <c r="X1139" s="9" t="str">
        <f>HYPERLINK("https://my.pitchbook.com?p=229979-98P","View People Online")</f>
        <v>View People Online</v>
      </c>
    </row>
    <row r="1140">
      <c r="A1140" s="10" t="s">
        <v>8207</v>
      </c>
      <c r="B1140" s="10" t="s">
        <v>8208</v>
      </c>
      <c r="C1140" s="10" t="s">
        <v>8209</v>
      </c>
      <c r="D1140" s="10" t="s">
        <v>8210</v>
      </c>
      <c r="E1140" s="10" t="s">
        <v>8157</v>
      </c>
      <c r="F1140" s="10" t="s">
        <v>114</v>
      </c>
      <c r="G1140" s="10" t="s">
        <v>8211</v>
      </c>
      <c r="H1140" s="11" t="s">
        <v>31</v>
      </c>
      <c r="I1140" s="11">
        <v>1.0</v>
      </c>
      <c r="J1140" s="11">
        <v>1.0</v>
      </c>
      <c r="K1140" s="11" t="s">
        <v>31</v>
      </c>
      <c r="L1140" s="12" t="s">
        <v>31</v>
      </c>
      <c r="M1140" s="10" t="s">
        <v>31</v>
      </c>
      <c r="N1140" s="10" t="s">
        <v>3100</v>
      </c>
      <c r="O1140" s="12" t="s">
        <v>3101</v>
      </c>
      <c r="P1140" s="10" t="s">
        <v>8159</v>
      </c>
      <c r="Q1140" s="10" t="s">
        <v>31</v>
      </c>
      <c r="R1140" s="10" t="s">
        <v>3100</v>
      </c>
      <c r="S1140" s="12" t="s">
        <v>8160</v>
      </c>
      <c r="T1140" s="10" t="s">
        <v>3104</v>
      </c>
      <c r="U1140" s="12" t="s">
        <v>31</v>
      </c>
      <c r="V1140" s="10" t="s">
        <v>114</v>
      </c>
      <c r="W1140" s="10" t="s">
        <v>8157</v>
      </c>
      <c r="X1140" s="13" t="str">
        <f>HYPERLINK("https://my.pitchbook.com?p=423110-71P","View People Online")</f>
        <v>View People Online</v>
      </c>
    </row>
    <row r="1141">
      <c r="A1141" s="6" t="s">
        <v>8212</v>
      </c>
      <c r="B1141" s="6" t="s">
        <v>8213</v>
      </c>
      <c r="C1141" s="6" t="s">
        <v>8214</v>
      </c>
      <c r="D1141" s="6" t="s">
        <v>8215</v>
      </c>
      <c r="E1141" s="6" t="s">
        <v>8216</v>
      </c>
      <c r="F1141" s="6" t="s">
        <v>8217</v>
      </c>
      <c r="G1141" s="6" t="s">
        <v>8218</v>
      </c>
      <c r="H1141" s="7" t="s">
        <v>31</v>
      </c>
      <c r="I1141" s="7">
        <v>1.0</v>
      </c>
      <c r="J1141" s="7">
        <v>1.0</v>
      </c>
      <c r="K1141" s="7" t="s">
        <v>31</v>
      </c>
      <c r="L1141" s="8" t="s">
        <v>31</v>
      </c>
      <c r="M1141" s="6" t="s">
        <v>8219</v>
      </c>
      <c r="N1141" s="6" t="s">
        <v>243</v>
      </c>
      <c r="O1141" s="8" t="s">
        <v>244</v>
      </c>
      <c r="P1141" s="6" t="s">
        <v>8220</v>
      </c>
      <c r="Q1141" s="6" t="s">
        <v>31</v>
      </c>
      <c r="R1141" s="6" t="s">
        <v>247</v>
      </c>
      <c r="S1141" s="8" t="s">
        <v>8221</v>
      </c>
      <c r="T1141" s="6" t="s">
        <v>249</v>
      </c>
      <c r="U1141" s="8" t="s">
        <v>31</v>
      </c>
      <c r="V1141" s="6" t="s">
        <v>8217</v>
      </c>
      <c r="W1141" s="6" t="s">
        <v>8216</v>
      </c>
      <c r="X1141" s="9" t="str">
        <f>HYPERLINK("https://my.pitchbook.com?p=286715-35P","View People Online")</f>
        <v>View People Online</v>
      </c>
    </row>
    <row r="1142">
      <c r="A1142" s="2" t="s">
        <v>8222</v>
      </c>
      <c r="B1142" s="2" t="s">
        <v>8223</v>
      </c>
      <c r="C1142" s="2" t="s">
        <v>237</v>
      </c>
      <c r="D1142" s="2" t="s">
        <v>8224</v>
      </c>
      <c r="E1142" s="2" t="s">
        <v>8216</v>
      </c>
      <c r="F1142" s="2" t="s">
        <v>189</v>
      </c>
      <c r="G1142" s="2" t="s">
        <v>8225</v>
      </c>
      <c r="H1142" s="3">
        <v>8.0</v>
      </c>
      <c r="I1142" s="3">
        <v>50.0</v>
      </c>
      <c r="J1142" s="3">
        <v>1.0</v>
      </c>
      <c r="K1142" s="3">
        <v>36.0</v>
      </c>
      <c r="L1142" s="4" t="s">
        <v>31</v>
      </c>
      <c r="M1142" s="2" t="s">
        <v>8226</v>
      </c>
      <c r="N1142" s="2" t="s">
        <v>243</v>
      </c>
      <c r="O1142" s="4" t="s">
        <v>244</v>
      </c>
      <c r="P1142" s="2" t="s">
        <v>8220</v>
      </c>
      <c r="Q1142" s="2" t="s">
        <v>31</v>
      </c>
      <c r="R1142" s="2" t="s">
        <v>247</v>
      </c>
      <c r="S1142" s="4" t="s">
        <v>8221</v>
      </c>
      <c r="T1142" s="2" t="s">
        <v>249</v>
      </c>
      <c r="U1142" s="4" t="s">
        <v>31</v>
      </c>
      <c r="V1142" s="2" t="s">
        <v>196</v>
      </c>
      <c r="W1142" s="2" t="s">
        <v>8216</v>
      </c>
      <c r="X1142" s="5" t="str">
        <f>HYPERLINK("https://my.pitchbook.com?p=133580-80P","View People Online")</f>
        <v>View People Online</v>
      </c>
    </row>
    <row r="1143">
      <c r="A1143" s="6" t="s">
        <v>8227</v>
      </c>
      <c r="B1143" s="6" t="s">
        <v>8228</v>
      </c>
      <c r="C1143" s="6" t="s">
        <v>2650</v>
      </c>
      <c r="D1143" s="6" t="s">
        <v>8229</v>
      </c>
      <c r="E1143" s="6" t="s">
        <v>8216</v>
      </c>
      <c r="F1143" s="6" t="s">
        <v>674</v>
      </c>
      <c r="G1143" s="6" t="s">
        <v>8230</v>
      </c>
      <c r="H1143" s="7">
        <v>2.0</v>
      </c>
      <c r="I1143" s="7">
        <v>23.0</v>
      </c>
      <c r="J1143" s="7">
        <v>1.0</v>
      </c>
      <c r="K1143" s="7">
        <v>16.0</v>
      </c>
      <c r="L1143" s="8" t="s">
        <v>31</v>
      </c>
      <c r="M1143" s="6" t="s">
        <v>8231</v>
      </c>
      <c r="N1143" s="6" t="s">
        <v>243</v>
      </c>
      <c r="O1143" s="8" t="s">
        <v>244</v>
      </c>
      <c r="P1143" s="6" t="s">
        <v>8220</v>
      </c>
      <c r="Q1143" s="6" t="s">
        <v>31</v>
      </c>
      <c r="R1143" s="6" t="s">
        <v>247</v>
      </c>
      <c r="S1143" s="8" t="s">
        <v>8221</v>
      </c>
      <c r="T1143" s="6" t="s">
        <v>249</v>
      </c>
      <c r="U1143" s="8" t="s">
        <v>31</v>
      </c>
      <c r="V1143" s="6" t="s">
        <v>1172</v>
      </c>
      <c r="W1143" s="6" t="s">
        <v>8216</v>
      </c>
      <c r="X1143" s="9" t="str">
        <f>HYPERLINK("https://my.pitchbook.com?p=301667-23P","View People Online")</f>
        <v>View People Online</v>
      </c>
    </row>
    <row r="1144">
      <c r="A1144" s="10" t="s">
        <v>8232</v>
      </c>
      <c r="B1144" s="10" t="s">
        <v>8233</v>
      </c>
      <c r="C1144" s="10" t="s">
        <v>4228</v>
      </c>
      <c r="D1144" s="10" t="s">
        <v>8234</v>
      </c>
      <c r="E1144" s="10" t="s">
        <v>8216</v>
      </c>
      <c r="F1144" s="10" t="s">
        <v>825</v>
      </c>
      <c r="G1144" s="10" t="s">
        <v>8235</v>
      </c>
      <c r="H1144" s="11" t="s">
        <v>31</v>
      </c>
      <c r="I1144" s="11">
        <v>1.0</v>
      </c>
      <c r="J1144" s="11">
        <v>1.0</v>
      </c>
      <c r="K1144" s="11" t="s">
        <v>31</v>
      </c>
      <c r="L1144" s="12" t="s">
        <v>31</v>
      </c>
      <c r="M1144" s="10" t="s">
        <v>8236</v>
      </c>
      <c r="N1144" s="10" t="s">
        <v>243</v>
      </c>
      <c r="O1144" s="12" t="s">
        <v>244</v>
      </c>
      <c r="P1144" s="10" t="s">
        <v>8220</v>
      </c>
      <c r="Q1144" s="10" t="s">
        <v>31</v>
      </c>
      <c r="R1144" s="10" t="s">
        <v>247</v>
      </c>
      <c r="S1144" s="12" t="s">
        <v>8221</v>
      </c>
      <c r="T1144" s="10" t="s">
        <v>249</v>
      </c>
      <c r="U1144" s="12" t="s">
        <v>31</v>
      </c>
      <c r="V1144" s="10" t="s">
        <v>8237</v>
      </c>
      <c r="W1144" s="10" t="s">
        <v>8216</v>
      </c>
      <c r="X1144" s="13" t="str">
        <f>HYPERLINK("https://my.pitchbook.com?p=375561-73P","View People Online")</f>
        <v>View People Online</v>
      </c>
    </row>
    <row r="1145">
      <c r="A1145" s="6" t="s">
        <v>8238</v>
      </c>
      <c r="B1145" s="6" t="s">
        <v>8239</v>
      </c>
      <c r="C1145" s="6" t="s">
        <v>1449</v>
      </c>
      <c r="D1145" s="6" t="s">
        <v>8240</v>
      </c>
      <c r="E1145" s="6" t="s">
        <v>8216</v>
      </c>
      <c r="F1145" s="6" t="s">
        <v>221</v>
      </c>
      <c r="G1145" s="6" t="s">
        <v>8241</v>
      </c>
      <c r="H1145" s="7" t="s">
        <v>31</v>
      </c>
      <c r="I1145" s="7">
        <v>1.0</v>
      </c>
      <c r="J1145" s="7">
        <v>1.0</v>
      </c>
      <c r="K1145" s="7" t="s">
        <v>31</v>
      </c>
      <c r="L1145" s="8" t="s">
        <v>31</v>
      </c>
      <c r="M1145" s="6" t="s">
        <v>8242</v>
      </c>
      <c r="N1145" s="6" t="s">
        <v>243</v>
      </c>
      <c r="O1145" s="8" t="s">
        <v>244</v>
      </c>
      <c r="P1145" s="6" t="s">
        <v>8220</v>
      </c>
      <c r="Q1145" s="6" t="s">
        <v>31</v>
      </c>
      <c r="R1145" s="6" t="s">
        <v>247</v>
      </c>
      <c r="S1145" s="8" t="s">
        <v>8221</v>
      </c>
      <c r="T1145" s="6" t="s">
        <v>249</v>
      </c>
      <c r="U1145" s="8" t="s">
        <v>31</v>
      </c>
      <c r="V1145" s="6" t="s">
        <v>8243</v>
      </c>
      <c r="W1145" s="6" t="s">
        <v>8216</v>
      </c>
      <c r="X1145" s="9" t="str">
        <f>HYPERLINK("https://my.pitchbook.com?p=294339-97P","View People Online")</f>
        <v>View People Online</v>
      </c>
    </row>
    <row r="1146">
      <c r="A1146" s="2" t="s">
        <v>8244</v>
      </c>
      <c r="B1146" s="2" t="s">
        <v>8245</v>
      </c>
      <c r="C1146" s="2" t="s">
        <v>589</v>
      </c>
      <c r="D1146" s="2" t="s">
        <v>8246</v>
      </c>
      <c r="E1146" s="2" t="s">
        <v>8216</v>
      </c>
      <c r="F1146" s="2" t="s">
        <v>1801</v>
      </c>
      <c r="G1146" s="2" t="s">
        <v>8247</v>
      </c>
      <c r="H1146" s="3" t="s">
        <v>31</v>
      </c>
      <c r="I1146" s="3">
        <v>1.0</v>
      </c>
      <c r="J1146" s="3">
        <v>1.0</v>
      </c>
      <c r="K1146" s="3" t="s">
        <v>31</v>
      </c>
      <c r="L1146" s="4" t="s">
        <v>31</v>
      </c>
      <c r="M1146" s="2" t="s">
        <v>8248</v>
      </c>
      <c r="N1146" s="2" t="s">
        <v>243</v>
      </c>
      <c r="O1146" s="4" t="s">
        <v>244</v>
      </c>
      <c r="P1146" s="2" t="s">
        <v>8220</v>
      </c>
      <c r="Q1146" s="2" t="s">
        <v>31</v>
      </c>
      <c r="R1146" s="2" t="s">
        <v>247</v>
      </c>
      <c r="S1146" s="4" t="s">
        <v>8221</v>
      </c>
      <c r="T1146" s="2" t="s">
        <v>249</v>
      </c>
      <c r="U1146" s="4" t="s">
        <v>31</v>
      </c>
      <c r="V1146" s="2" t="s">
        <v>8249</v>
      </c>
      <c r="W1146" s="2" t="s">
        <v>8216</v>
      </c>
      <c r="X1146" s="5" t="str">
        <f>HYPERLINK("https://my.pitchbook.com?p=374161-78P","View People Online")</f>
        <v>View People Online</v>
      </c>
    </row>
    <row r="1147">
      <c r="A1147" s="6" t="s">
        <v>8250</v>
      </c>
      <c r="B1147" s="6" t="s">
        <v>8251</v>
      </c>
      <c r="C1147" s="6" t="s">
        <v>4345</v>
      </c>
      <c r="D1147" s="6" t="s">
        <v>8252</v>
      </c>
      <c r="E1147" s="6" t="s">
        <v>8216</v>
      </c>
      <c r="F1147" s="6" t="s">
        <v>270</v>
      </c>
      <c r="G1147" s="6" t="s">
        <v>8253</v>
      </c>
      <c r="H1147" s="7" t="s">
        <v>31</v>
      </c>
      <c r="I1147" s="7">
        <v>1.0</v>
      </c>
      <c r="J1147" s="7">
        <v>1.0</v>
      </c>
      <c r="K1147" s="7" t="s">
        <v>31</v>
      </c>
      <c r="L1147" s="8" t="s">
        <v>31</v>
      </c>
      <c r="M1147" s="6" t="s">
        <v>31</v>
      </c>
      <c r="N1147" s="6" t="s">
        <v>243</v>
      </c>
      <c r="O1147" s="8" t="s">
        <v>244</v>
      </c>
      <c r="P1147" s="6" t="s">
        <v>8220</v>
      </c>
      <c r="Q1147" s="6" t="s">
        <v>31</v>
      </c>
      <c r="R1147" s="6" t="s">
        <v>247</v>
      </c>
      <c r="S1147" s="8" t="s">
        <v>8221</v>
      </c>
      <c r="T1147" s="6" t="s">
        <v>249</v>
      </c>
      <c r="U1147" s="8" t="s">
        <v>31</v>
      </c>
      <c r="V1147" s="6" t="s">
        <v>440</v>
      </c>
      <c r="W1147" s="6" t="s">
        <v>8216</v>
      </c>
      <c r="X1147" s="9" t="str">
        <f>HYPERLINK("https://my.pitchbook.com?p=383186-71P","View People Online")</f>
        <v>View People Online</v>
      </c>
    </row>
    <row r="1148">
      <c r="A1148" s="10" t="s">
        <v>8254</v>
      </c>
      <c r="B1148" s="10" t="s">
        <v>8255</v>
      </c>
      <c r="C1148" s="10" t="s">
        <v>1830</v>
      </c>
      <c r="D1148" s="10" t="s">
        <v>8256</v>
      </c>
      <c r="E1148" s="10" t="s">
        <v>8216</v>
      </c>
      <c r="F1148" s="10" t="s">
        <v>78</v>
      </c>
      <c r="G1148" s="10" t="s">
        <v>8257</v>
      </c>
      <c r="H1148" s="11" t="s">
        <v>31</v>
      </c>
      <c r="I1148" s="11">
        <v>1.0</v>
      </c>
      <c r="J1148" s="11">
        <v>1.0</v>
      </c>
      <c r="K1148" s="11" t="s">
        <v>31</v>
      </c>
      <c r="L1148" s="12" t="s">
        <v>31</v>
      </c>
      <c r="M1148" s="10" t="s">
        <v>8258</v>
      </c>
      <c r="N1148" s="10" t="s">
        <v>243</v>
      </c>
      <c r="O1148" s="12" t="s">
        <v>244</v>
      </c>
      <c r="P1148" s="10" t="s">
        <v>8220</v>
      </c>
      <c r="Q1148" s="10" t="s">
        <v>31</v>
      </c>
      <c r="R1148" s="10" t="s">
        <v>247</v>
      </c>
      <c r="S1148" s="12" t="s">
        <v>8221</v>
      </c>
      <c r="T1148" s="10" t="s">
        <v>249</v>
      </c>
      <c r="U1148" s="12" t="s">
        <v>31</v>
      </c>
      <c r="V1148" s="10" t="s">
        <v>78</v>
      </c>
      <c r="W1148" s="10" t="s">
        <v>8216</v>
      </c>
      <c r="X1148" s="13" t="str">
        <f>HYPERLINK("https://my.pitchbook.com?p=158907-79P","View People Online")</f>
        <v>View People Online</v>
      </c>
    </row>
    <row r="1149">
      <c r="A1149" s="14" t="s">
        <v>8259</v>
      </c>
      <c r="B1149" s="14" t="s">
        <v>8260</v>
      </c>
      <c r="C1149" s="14" t="s">
        <v>2504</v>
      </c>
      <c r="D1149" s="14" t="s">
        <v>8261</v>
      </c>
      <c r="E1149" s="14" t="s">
        <v>8216</v>
      </c>
      <c r="F1149" s="14" t="s">
        <v>825</v>
      </c>
      <c r="G1149" s="14" t="s">
        <v>8262</v>
      </c>
      <c r="H1149" s="15" t="s">
        <v>31</v>
      </c>
      <c r="I1149" s="15">
        <v>1.0</v>
      </c>
      <c r="J1149" s="15">
        <v>1.0</v>
      </c>
      <c r="K1149" s="15" t="s">
        <v>31</v>
      </c>
      <c r="L1149" s="16" t="s">
        <v>31</v>
      </c>
      <c r="M1149" s="14" t="s">
        <v>8263</v>
      </c>
      <c r="N1149" s="14" t="s">
        <v>243</v>
      </c>
      <c r="O1149" s="16" t="s">
        <v>244</v>
      </c>
      <c r="P1149" s="14" t="s">
        <v>8220</v>
      </c>
      <c r="Q1149" s="14" t="s">
        <v>31</v>
      </c>
      <c r="R1149" s="14" t="s">
        <v>247</v>
      </c>
      <c r="S1149" s="16" t="s">
        <v>8221</v>
      </c>
      <c r="T1149" s="14" t="s">
        <v>249</v>
      </c>
      <c r="U1149" s="16" t="s">
        <v>31</v>
      </c>
      <c r="V1149" s="14" t="s">
        <v>8264</v>
      </c>
      <c r="W1149" s="14" t="s">
        <v>8216</v>
      </c>
      <c r="X1149" s="17" t="str">
        <f>HYPERLINK("https://my.pitchbook.com?p=375560-20P","View People Online")</f>
        <v>View People Online</v>
      </c>
    </row>
    <row r="1150">
      <c r="A1150" s="10" t="s">
        <v>8265</v>
      </c>
      <c r="B1150" s="10" t="s">
        <v>8266</v>
      </c>
      <c r="C1150" s="10" t="s">
        <v>8267</v>
      </c>
      <c r="D1150" s="10" t="s">
        <v>8268</v>
      </c>
      <c r="E1150" s="10" t="s">
        <v>8216</v>
      </c>
      <c r="F1150" s="10" t="s">
        <v>270</v>
      </c>
      <c r="G1150" s="10" t="s">
        <v>8269</v>
      </c>
      <c r="H1150" s="11" t="s">
        <v>31</v>
      </c>
      <c r="I1150" s="11">
        <v>1.0</v>
      </c>
      <c r="J1150" s="11">
        <v>1.0</v>
      </c>
      <c r="K1150" s="11" t="s">
        <v>31</v>
      </c>
      <c r="L1150" s="12" t="s">
        <v>31</v>
      </c>
      <c r="M1150" s="10" t="s">
        <v>8270</v>
      </c>
      <c r="N1150" s="10" t="s">
        <v>243</v>
      </c>
      <c r="O1150" s="12" t="s">
        <v>244</v>
      </c>
      <c r="P1150" s="10" t="s">
        <v>8220</v>
      </c>
      <c r="Q1150" s="10" t="s">
        <v>31</v>
      </c>
      <c r="R1150" s="10" t="s">
        <v>247</v>
      </c>
      <c r="S1150" s="12" t="s">
        <v>8221</v>
      </c>
      <c r="T1150" s="10" t="s">
        <v>249</v>
      </c>
      <c r="U1150" s="12" t="s">
        <v>31</v>
      </c>
      <c r="V1150" s="10" t="s">
        <v>440</v>
      </c>
      <c r="W1150" s="10" t="s">
        <v>8216</v>
      </c>
      <c r="X1150" s="13" t="str">
        <f>HYPERLINK("https://my.pitchbook.com?p=357417-73P","View People Online")</f>
        <v>View People Online</v>
      </c>
    </row>
    <row r="1151">
      <c r="A1151" s="14" t="s">
        <v>8271</v>
      </c>
      <c r="B1151" s="14" t="s">
        <v>8272</v>
      </c>
      <c r="C1151" s="14" t="s">
        <v>1437</v>
      </c>
      <c r="D1151" s="14" t="s">
        <v>8273</v>
      </c>
      <c r="E1151" s="14" t="s">
        <v>8274</v>
      </c>
      <c r="F1151" s="14" t="s">
        <v>152</v>
      </c>
      <c r="G1151" s="14" t="s">
        <v>8275</v>
      </c>
      <c r="H1151" s="15" t="s">
        <v>31</v>
      </c>
      <c r="I1151" s="15">
        <v>45.0</v>
      </c>
      <c r="J1151" s="15">
        <v>2.0</v>
      </c>
      <c r="K1151" s="15">
        <v>41.0</v>
      </c>
      <c r="L1151" s="16" t="s">
        <v>31</v>
      </c>
      <c r="M1151" s="14" t="s">
        <v>8276</v>
      </c>
      <c r="N1151" s="14" t="s">
        <v>75</v>
      </c>
      <c r="O1151" s="16" t="s">
        <v>76</v>
      </c>
      <c r="P1151" s="14" t="s">
        <v>31</v>
      </c>
      <c r="Q1151" s="14" t="s">
        <v>31</v>
      </c>
      <c r="R1151" s="14" t="s">
        <v>75</v>
      </c>
      <c r="S1151" s="16" t="s">
        <v>31</v>
      </c>
      <c r="T1151" s="14" t="s">
        <v>66</v>
      </c>
      <c r="U1151" s="16" t="s">
        <v>31</v>
      </c>
      <c r="V1151" s="14" t="s">
        <v>152</v>
      </c>
      <c r="W1151" s="14" t="s">
        <v>8274</v>
      </c>
      <c r="X1151" s="17" t="str">
        <f>HYPERLINK("https://my.pitchbook.com?p=327905-38P","View People Online")</f>
        <v>View People Online</v>
      </c>
    </row>
    <row r="1152">
      <c r="A1152" s="10" t="s">
        <v>8277</v>
      </c>
      <c r="B1152" s="10" t="s">
        <v>8278</v>
      </c>
      <c r="C1152" s="10" t="s">
        <v>1998</v>
      </c>
      <c r="D1152" s="10" t="s">
        <v>8279</v>
      </c>
      <c r="E1152" s="10" t="s">
        <v>8274</v>
      </c>
      <c r="F1152" s="10" t="s">
        <v>270</v>
      </c>
      <c r="G1152" s="10" t="s">
        <v>8280</v>
      </c>
      <c r="H1152" s="11" t="s">
        <v>31</v>
      </c>
      <c r="I1152" s="11">
        <v>2.0</v>
      </c>
      <c r="J1152" s="11">
        <v>1.0</v>
      </c>
      <c r="K1152" s="11" t="s">
        <v>31</v>
      </c>
      <c r="L1152" s="12" t="s">
        <v>31</v>
      </c>
      <c r="M1152" s="10" t="s">
        <v>8281</v>
      </c>
      <c r="N1152" s="10" t="s">
        <v>75</v>
      </c>
      <c r="O1152" s="12" t="s">
        <v>76</v>
      </c>
      <c r="P1152" s="10" t="s">
        <v>31</v>
      </c>
      <c r="Q1152" s="10" t="s">
        <v>31</v>
      </c>
      <c r="R1152" s="10" t="s">
        <v>75</v>
      </c>
      <c r="S1152" s="12" t="s">
        <v>31</v>
      </c>
      <c r="T1152" s="10" t="s">
        <v>66</v>
      </c>
      <c r="U1152" s="12" t="s">
        <v>31</v>
      </c>
      <c r="V1152" s="10" t="s">
        <v>8282</v>
      </c>
      <c r="W1152" s="10" t="s">
        <v>8274</v>
      </c>
      <c r="X1152" s="13" t="str">
        <f>HYPERLINK("https://my.pitchbook.com?p=351475-75P","View People Online")</f>
        <v>View People Online</v>
      </c>
    </row>
    <row r="1153">
      <c r="A1153" s="14" t="s">
        <v>8283</v>
      </c>
      <c r="B1153" s="14" t="s">
        <v>8284</v>
      </c>
      <c r="C1153" s="14" t="s">
        <v>1449</v>
      </c>
      <c r="D1153" s="14" t="s">
        <v>8285</v>
      </c>
      <c r="E1153" s="14" t="s">
        <v>8286</v>
      </c>
      <c r="F1153" s="14" t="s">
        <v>120</v>
      </c>
      <c r="G1153" s="14" t="s">
        <v>8287</v>
      </c>
      <c r="H1153" s="15">
        <v>1.0</v>
      </c>
      <c r="I1153" s="15">
        <v>2.0</v>
      </c>
      <c r="J1153" s="15">
        <v>1.0</v>
      </c>
      <c r="K1153" s="15" t="s">
        <v>31</v>
      </c>
      <c r="L1153" s="16" t="s">
        <v>8288</v>
      </c>
      <c r="M1153" s="14" t="s">
        <v>8289</v>
      </c>
      <c r="N1153" s="14" t="s">
        <v>2478</v>
      </c>
      <c r="O1153" s="16" t="s">
        <v>7332</v>
      </c>
      <c r="P1153" s="14" t="s">
        <v>8290</v>
      </c>
      <c r="Q1153" s="14" t="s">
        <v>8291</v>
      </c>
      <c r="R1153" s="14" t="s">
        <v>7335</v>
      </c>
      <c r="S1153" s="16" t="s">
        <v>7336</v>
      </c>
      <c r="T1153" s="14" t="s">
        <v>5484</v>
      </c>
      <c r="U1153" s="16" t="s">
        <v>31</v>
      </c>
      <c r="V1153" s="14" t="s">
        <v>120</v>
      </c>
      <c r="W1153" s="14" t="s">
        <v>8286</v>
      </c>
      <c r="X1153" s="17" t="str">
        <f>HYPERLINK("https://my.pitchbook.com?p=179715-61P","View People Online")</f>
        <v>View People Online</v>
      </c>
    </row>
    <row r="1154">
      <c r="A1154" s="2" t="s">
        <v>8292</v>
      </c>
      <c r="B1154" s="2" t="s">
        <v>8293</v>
      </c>
      <c r="C1154" s="2" t="s">
        <v>8294</v>
      </c>
      <c r="D1154" s="2" t="s">
        <v>8295</v>
      </c>
      <c r="E1154" s="2" t="s">
        <v>8286</v>
      </c>
      <c r="F1154" s="2" t="s">
        <v>4286</v>
      </c>
      <c r="G1154" s="2" t="s">
        <v>8296</v>
      </c>
      <c r="H1154" s="3">
        <v>2.0</v>
      </c>
      <c r="I1154" s="3">
        <v>10.0</v>
      </c>
      <c r="J1154" s="3">
        <v>1.0</v>
      </c>
      <c r="K1154" s="3">
        <v>8.0</v>
      </c>
      <c r="L1154" s="4" t="s">
        <v>8297</v>
      </c>
      <c r="M1154" s="2" t="s">
        <v>8298</v>
      </c>
      <c r="N1154" s="2" t="s">
        <v>665</v>
      </c>
      <c r="O1154" s="4" t="s">
        <v>3857</v>
      </c>
      <c r="P1154" s="2" t="s">
        <v>8299</v>
      </c>
      <c r="Q1154" s="2" t="s">
        <v>31</v>
      </c>
      <c r="R1154" s="2" t="s">
        <v>1420</v>
      </c>
      <c r="S1154" s="4" t="s">
        <v>8300</v>
      </c>
      <c r="T1154" s="2" t="s">
        <v>66</v>
      </c>
      <c r="U1154" s="4" t="s">
        <v>31</v>
      </c>
      <c r="V1154" s="2" t="s">
        <v>4289</v>
      </c>
      <c r="W1154" s="2" t="s">
        <v>8286</v>
      </c>
      <c r="X1154" s="5" t="str">
        <f>HYPERLINK("https://my.pitchbook.com?p=167337-64P","View People Online")</f>
        <v>View People Online</v>
      </c>
    </row>
    <row r="1155">
      <c r="A1155" s="14" t="s">
        <v>8301</v>
      </c>
      <c r="B1155" s="14" t="s">
        <v>8302</v>
      </c>
      <c r="C1155" s="14" t="s">
        <v>350</v>
      </c>
      <c r="D1155" s="14" t="s">
        <v>8303</v>
      </c>
      <c r="E1155" s="14" t="s">
        <v>8286</v>
      </c>
      <c r="F1155" s="14" t="s">
        <v>57</v>
      </c>
      <c r="G1155" s="14" t="s">
        <v>8304</v>
      </c>
      <c r="H1155" s="15">
        <v>1.0</v>
      </c>
      <c r="I1155" s="15">
        <v>4.0</v>
      </c>
      <c r="J1155" s="15">
        <v>1.0</v>
      </c>
      <c r="K1155" s="15">
        <v>2.0</v>
      </c>
      <c r="L1155" s="16" t="s">
        <v>31</v>
      </c>
      <c r="M1155" s="14" t="s">
        <v>8305</v>
      </c>
      <c r="N1155" s="14" t="s">
        <v>2478</v>
      </c>
      <c r="O1155" s="16" t="s">
        <v>7332</v>
      </c>
      <c r="P1155" s="14" t="s">
        <v>8290</v>
      </c>
      <c r="Q1155" s="14" t="s">
        <v>8291</v>
      </c>
      <c r="R1155" s="14" t="s">
        <v>7335</v>
      </c>
      <c r="S1155" s="16" t="s">
        <v>7336</v>
      </c>
      <c r="T1155" s="14" t="s">
        <v>5484</v>
      </c>
      <c r="U1155" s="16" t="s">
        <v>31</v>
      </c>
      <c r="V1155" s="14" t="s">
        <v>57</v>
      </c>
      <c r="W1155" s="14" t="s">
        <v>8286</v>
      </c>
      <c r="X1155" s="17" t="str">
        <f>HYPERLINK("https://my.pitchbook.com?p=211146-31P","View People Online")</f>
        <v>View People Online</v>
      </c>
    </row>
    <row r="1156">
      <c r="A1156" s="2" t="s">
        <v>8306</v>
      </c>
      <c r="B1156" s="2" t="s">
        <v>8307</v>
      </c>
      <c r="C1156" s="2" t="s">
        <v>8308</v>
      </c>
      <c r="D1156" s="2" t="s">
        <v>408</v>
      </c>
      <c r="E1156" s="2" t="s">
        <v>8309</v>
      </c>
      <c r="F1156" s="2" t="s">
        <v>1283</v>
      </c>
      <c r="G1156" s="2" t="s">
        <v>8310</v>
      </c>
      <c r="H1156" s="3" t="s">
        <v>31</v>
      </c>
      <c r="I1156" s="3">
        <v>6.0</v>
      </c>
      <c r="J1156" s="3">
        <v>1.0</v>
      </c>
      <c r="K1156" s="3">
        <v>5.0</v>
      </c>
      <c r="L1156" s="4" t="s">
        <v>8311</v>
      </c>
      <c r="M1156" s="2" t="s">
        <v>8312</v>
      </c>
      <c r="N1156" s="2" t="s">
        <v>243</v>
      </c>
      <c r="O1156" s="4" t="s">
        <v>244</v>
      </c>
      <c r="P1156" s="2" t="s">
        <v>8313</v>
      </c>
      <c r="Q1156" s="2" t="s">
        <v>8314</v>
      </c>
      <c r="R1156" s="2" t="s">
        <v>247</v>
      </c>
      <c r="S1156" s="4" t="s">
        <v>8315</v>
      </c>
      <c r="T1156" s="2" t="s">
        <v>249</v>
      </c>
      <c r="U1156" s="4" t="s">
        <v>31</v>
      </c>
      <c r="V1156" s="2" t="s">
        <v>8316</v>
      </c>
      <c r="W1156" s="2" t="s">
        <v>8309</v>
      </c>
      <c r="X1156" s="5" t="str">
        <f>HYPERLINK("https://my.pitchbook.com?p=73932-58P","View People Online")</f>
        <v>View People Online</v>
      </c>
    </row>
    <row r="1157">
      <c r="A1157" s="14" t="s">
        <v>8317</v>
      </c>
      <c r="B1157" s="14" t="s">
        <v>8318</v>
      </c>
      <c r="C1157" s="14" t="s">
        <v>8319</v>
      </c>
      <c r="D1157" s="14" t="s">
        <v>1014</v>
      </c>
      <c r="E1157" s="14" t="s">
        <v>8309</v>
      </c>
      <c r="F1157" s="14" t="s">
        <v>1283</v>
      </c>
      <c r="G1157" s="14" t="s">
        <v>8320</v>
      </c>
      <c r="H1157" s="15" t="s">
        <v>31</v>
      </c>
      <c r="I1157" s="15">
        <v>1.0</v>
      </c>
      <c r="J1157" s="15">
        <v>1.0</v>
      </c>
      <c r="K1157" s="15" t="s">
        <v>31</v>
      </c>
      <c r="L1157" s="16" t="s">
        <v>8311</v>
      </c>
      <c r="M1157" s="14" t="s">
        <v>8321</v>
      </c>
      <c r="N1157" s="14" t="s">
        <v>243</v>
      </c>
      <c r="O1157" s="16" t="s">
        <v>244</v>
      </c>
      <c r="P1157" s="14" t="s">
        <v>8313</v>
      </c>
      <c r="Q1157" s="14" t="s">
        <v>8314</v>
      </c>
      <c r="R1157" s="14" t="s">
        <v>247</v>
      </c>
      <c r="S1157" s="16" t="s">
        <v>8315</v>
      </c>
      <c r="T1157" s="14" t="s">
        <v>249</v>
      </c>
      <c r="U1157" s="16" t="s">
        <v>31</v>
      </c>
      <c r="V1157" s="14" t="s">
        <v>8322</v>
      </c>
      <c r="W1157" s="14" t="s">
        <v>8309</v>
      </c>
      <c r="X1157" s="17" t="str">
        <f>HYPERLINK("https://my.pitchbook.com?p=154931-23P","View People Online")</f>
        <v>View People Online</v>
      </c>
    </row>
    <row r="1158">
      <c r="A1158" s="2" t="s">
        <v>8323</v>
      </c>
      <c r="B1158" s="2" t="s">
        <v>8324</v>
      </c>
      <c r="C1158" s="2" t="s">
        <v>568</v>
      </c>
      <c r="D1158" s="2" t="s">
        <v>4494</v>
      </c>
      <c r="E1158" s="2" t="s">
        <v>8309</v>
      </c>
      <c r="F1158" s="2" t="s">
        <v>548</v>
      </c>
      <c r="G1158" s="2" t="s">
        <v>8325</v>
      </c>
      <c r="H1158" s="3" t="s">
        <v>31</v>
      </c>
      <c r="I1158" s="3">
        <v>2.0</v>
      </c>
      <c r="J1158" s="3">
        <v>1.0</v>
      </c>
      <c r="K1158" s="3">
        <v>1.0</v>
      </c>
      <c r="L1158" s="4" t="s">
        <v>8311</v>
      </c>
      <c r="M1158" s="2" t="s">
        <v>8326</v>
      </c>
      <c r="N1158" s="2" t="s">
        <v>243</v>
      </c>
      <c r="O1158" s="4" t="s">
        <v>244</v>
      </c>
      <c r="P1158" s="2" t="s">
        <v>8313</v>
      </c>
      <c r="Q1158" s="2" t="s">
        <v>8314</v>
      </c>
      <c r="R1158" s="2" t="s">
        <v>247</v>
      </c>
      <c r="S1158" s="4" t="s">
        <v>8315</v>
      </c>
      <c r="T1158" s="2" t="s">
        <v>249</v>
      </c>
      <c r="U1158" s="4" t="s">
        <v>31</v>
      </c>
      <c r="V1158" s="2" t="s">
        <v>8327</v>
      </c>
      <c r="W1158" s="2" t="s">
        <v>8309</v>
      </c>
      <c r="X1158" s="5" t="str">
        <f>HYPERLINK("https://my.pitchbook.com?p=138278-80P","View People Online")</f>
        <v>View People Online</v>
      </c>
    </row>
    <row r="1159">
      <c r="A1159" s="14" t="s">
        <v>8328</v>
      </c>
      <c r="B1159" s="14" t="s">
        <v>8329</v>
      </c>
      <c r="C1159" s="14" t="s">
        <v>568</v>
      </c>
      <c r="D1159" s="14" t="s">
        <v>8330</v>
      </c>
      <c r="E1159" s="14" t="s">
        <v>8309</v>
      </c>
      <c r="F1159" s="14" t="s">
        <v>548</v>
      </c>
      <c r="G1159" s="14" t="s">
        <v>8331</v>
      </c>
      <c r="H1159" s="15" t="s">
        <v>31</v>
      </c>
      <c r="I1159" s="15">
        <v>2.0</v>
      </c>
      <c r="J1159" s="15">
        <v>1.0</v>
      </c>
      <c r="K1159" s="15">
        <v>1.0</v>
      </c>
      <c r="L1159" s="16" t="s">
        <v>8311</v>
      </c>
      <c r="M1159" s="14" t="s">
        <v>8332</v>
      </c>
      <c r="N1159" s="14" t="s">
        <v>243</v>
      </c>
      <c r="O1159" s="16" t="s">
        <v>244</v>
      </c>
      <c r="P1159" s="14" t="s">
        <v>8313</v>
      </c>
      <c r="Q1159" s="14" t="s">
        <v>8314</v>
      </c>
      <c r="R1159" s="14" t="s">
        <v>247</v>
      </c>
      <c r="S1159" s="16" t="s">
        <v>8315</v>
      </c>
      <c r="T1159" s="14" t="s">
        <v>249</v>
      </c>
      <c r="U1159" s="16" t="s">
        <v>31</v>
      </c>
      <c r="V1159" s="14" t="s">
        <v>8333</v>
      </c>
      <c r="W1159" s="14" t="s">
        <v>8309</v>
      </c>
      <c r="X1159" s="17" t="str">
        <f>HYPERLINK("https://my.pitchbook.com?p=132659-38P","View People Online")</f>
        <v>View People Online</v>
      </c>
    </row>
    <row r="1160">
      <c r="A1160" s="10" t="s">
        <v>8334</v>
      </c>
      <c r="B1160" s="10" t="s">
        <v>8335</v>
      </c>
      <c r="C1160" s="10" t="s">
        <v>8336</v>
      </c>
      <c r="D1160" s="10" t="s">
        <v>408</v>
      </c>
      <c r="E1160" s="10" t="s">
        <v>8309</v>
      </c>
      <c r="F1160" s="10" t="s">
        <v>825</v>
      </c>
      <c r="G1160" s="10" t="s">
        <v>8337</v>
      </c>
      <c r="H1160" s="11" t="s">
        <v>31</v>
      </c>
      <c r="I1160" s="11">
        <v>2.0</v>
      </c>
      <c r="J1160" s="11">
        <v>1.0</v>
      </c>
      <c r="K1160" s="11">
        <v>1.0</v>
      </c>
      <c r="L1160" s="12" t="s">
        <v>8311</v>
      </c>
      <c r="M1160" s="10" t="s">
        <v>8338</v>
      </c>
      <c r="N1160" s="10" t="s">
        <v>243</v>
      </c>
      <c r="O1160" s="12" t="s">
        <v>244</v>
      </c>
      <c r="P1160" s="10" t="s">
        <v>8313</v>
      </c>
      <c r="Q1160" s="10" t="s">
        <v>8314</v>
      </c>
      <c r="R1160" s="10" t="s">
        <v>247</v>
      </c>
      <c r="S1160" s="12" t="s">
        <v>8315</v>
      </c>
      <c r="T1160" s="10" t="s">
        <v>249</v>
      </c>
      <c r="U1160" s="12" t="s">
        <v>31</v>
      </c>
      <c r="V1160" s="10" t="s">
        <v>8339</v>
      </c>
      <c r="W1160" s="10" t="s">
        <v>8309</v>
      </c>
      <c r="X1160" s="13" t="str">
        <f>HYPERLINK("https://my.pitchbook.com?p=336289-96P","View People Online")</f>
        <v>View People Online</v>
      </c>
    </row>
    <row r="1161">
      <c r="A1161" s="6" t="s">
        <v>8340</v>
      </c>
      <c r="B1161" s="6" t="s">
        <v>8341</v>
      </c>
      <c r="C1161" s="6" t="s">
        <v>5684</v>
      </c>
      <c r="D1161" s="6" t="s">
        <v>8342</v>
      </c>
      <c r="E1161" s="6" t="s">
        <v>8309</v>
      </c>
      <c r="F1161" s="6" t="s">
        <v>825</v>
      </c>
      <c r="G1161" s="6" t="s">
        <v>8343</v>
      </c>
      <c r="H1161" s="7" t="s">
        <v>31</v>
      </c>
      <c r="I1161" s="7">
        <v>3.0</v>
      </c>
      <c r="J1161" s="7">
        <v>1.0</v>
      </c>
      <c r="K1161" s="7">
        <v>2.0</v>
      </c>
      <c r="L1161" s="8" t="s">
        <v>8311</v>
      </c>
      <c r="M1161" s="6" t="s">
        <v>8344</v>
      </c>
      <c r="N1161" s="6" t="s">
        <v>243</v>
      </c>
      <c r="O1161" s="8" t="s">
        <v>244</v>
      </c>
      <c r="P1161" s="6" t="s">
        <v>8313</v>
      </c>
      <c r="Q1161" s="6" t="s">
        <v>8314</v>
      </c>
      <c r="R1161" s="6" t="s">
        <v>247</v>
      </c>
      <c r="S1161" s="8" t="s">
        <v>8315</v>
      </c>
      <c r="T1161" s="6" t="s">
        <v>249</v>
      </c>
      <c r="U1161" s="8" t="s">
        <v>31</v>
      </c>
      <c r="V1161" s="6" t="s">
        <v>8345</v>
      </c>
      <c r="W1161" s="6" t="s">
        <v>8309</v>
      </c>
      <c r="X1161" s="9" t="str">
        <f>HYPERLINK("https://my.pitchbook.com?p=312824-53P","View People Online")</f>
        <v>View People Online</v>
      </c>
    </row>
    <row r="1162">
      <c r="A1162" s="10" t="s">
        <v>8346</v>
      </c>
      <c r="B1162" s="10" t="s">
        <v>8347</v>
      </c>
      <c r="C1162" s="10" t="s">
        <v>8348</v>
      </c>
      <c r="D1162" s="10" t="s">
        <v>8349</v>
      </c>
      <c r="E1162" s="10" t="s">
        <v>8309</v>
      </c>
      <c r="F1162" s="10" t="s">
        <v>270</v>
      </c>
      <c r="G1162" s="10" t="s">
        <v>8350</v>
      </c>
      <c r="H1162" s="11" t="s">
        <v>31</v>
      </c>
      <c r="I1162" s="11">
        <v>1.0</v>
      </c>
      <c r="J1162" s="11">
        <v>1.0</v>
      </c>
      <c r="K1162" s="11" t="s">
        <v>31</v>
      </c>
      <c r="L1162" s="12" t="s">
        <v>8311</v>
      </c>
      <c r="M1162" s="10" t="s">
        <v>8351</v>
      </c>
      <c r="N1162" s="10" t="s">
        <v>243</v>
      </c>
      <c r="O1162" s="12" t="s">
        <v>244</v>
      </c>
      <c r="P1162" s="10" t="s">
        <v>8313</v>
      </c>
      <c r="Q1162" s="10" t="s">
        <v>8314</v>
      </c>
      <c r="R1162" s="10" t="s">
        <v>247</v>
      </c>
      <c r="S1162" s="12" t="s">
        <v>8315</v>
      </c>
      <c r="T1162" s="10" t="s">
        <v>249</v>
      </c>
      <c r="U1162" s="12" t="s">
        <v>31</v>
      </c>
      <c r="V1162" s="10" t="s">
        <v>8352</v>
      </c>
      <c r="W1162" s="10" t="s">
        <v>8309</v>
      </c>
      <c r="X1162" s="13" t="str">
        <f>HYPERLINK("https://my.pitchbook.com?p=203090-32P","View People Online")</f>
        <v>View People Online</v>
      </c>
    </row>
    <row r="1163">
      <c r="A1163" s="14" t="s">
        <v>8353</v>
      </c>
      <c r="B1163" s="14" t="s">
        <v>8354</v>
      </c>
      <c r="C1163" s="14" t="s">
        <v>8355</v>
      </c>
      <c r="D1163" s="14" t="s">
        <v>8356</v>
      </c>
      <c r="E1163" s="14" t="s">
        <v>8309</v>
      </c>
      <c r="F1163" s="14" t="s">
        <v>825</v>
      </c>
      <c r="G1163" s="14" t="s">
        <v>8357</v>
      </c>
      <c r="H1163" s="15" t="s">
        <v>31</v>
      </c>
      <c r="I1163" s="15">
        <v>1.0</v>
      </c>
      <c r="J1163" s="15">
        <v>1.0</v>
      </c>
      <c r="K1163" s="15" t="s">
        <v>31</v>
      </c>
      <c r="L1163" s="16" t="s">
        <v>8311</v>
      </c>
      <c r="M1163" s="14" t="s">
        <v>8358</v>
      </c>
      <c r="N1163" s="14" t="s">
        <v>243</v>
      </c>
      <c r="O1163" s="16" t="s">
        <v>244</v>
      </c>
      <c r="P1163" s="14" t="s">
        <v>8313</v>
      </c>
      <c r="Q1163" s="14" t="s">
        <v>8314</v>
      </c>
      <c r="R1163" s="14" t="s">
        <v>247</v>
      </c>
      <c r="S1163" s="16" t="s">
        <v>8315</v>
      </c>
      <c r="T1163" s="14" t="s">
        <v>249</v>
      </c>
      <c r="U1163" s="16" t="s">
        <v>31</v>
      </c>
      <c r="V1163" s="14" t="s">
        <v>8359</v>
      </c>
      <c r="W1163" s="14" t="s">
        <v>8309</v>
      </c>
      <c r="X1163" s="17" t="str">
        <f>HYPERLINK("https://my.pitchbook.com?p=383583-07P","View People Online")</f>
        <v>View People Online</v>
      </c>
    </row>
    <row r="1164">
      <c r="A1164" s="2" t="s">
        <v>8360</v>
      </c>
      <c r="B1164" s="2" t="s">
        <v>8361</v>
      </c>
      <c r="C1164" s="2" t="s">
        <v>1410</v>
      </c>
      <c r="D1164" s="2" t="s">
        <v>8362</v>
      </c>
      <c r="E1164" s="2" t="s">
        <v>8309</v>
      </c>
      <c r="F1164" s="2" t="s">
        <v>371</v>
      </c>
      <c r="G1164" s="2" t="s">
        <v>8363</v>
      </c>
      <c r="H1164" s="3" t="s">
        <v>31</v>
      </c>
      <c r="I1164" s="3">
        <v>1.0</v>
      </c>
      <c r="J1164" s="3">
        <v>1.0</v>
      </c>
      <c r="K1164" s="3" t="s">
        <v>31</v>
      </c>
      <c r="L1164" s="4" t="s">
        <v>8311</v>
      </c>
      <c r="M1164" s="2" t="s">
        <v>8364</v>
      </c>
      <c r="N1164" s="2" t="s">
        <v>243</v>
      </c>
      <c r="O1164" s="4" t="s">
        <v>244</v>
      </c>
      <c r="P1164" s="2" t="s">
        <v>8313</v>
      </c>
      <c r="Q1164" s="2" t="s">
        <v>8314</v>
      </c>
      <c r="R1164" s="2" t="s">
        <v>247</v>
      </c>
      <c r="S1164" s="4" t="s">
        <v>8315</v>
      </c>
      <c r="T1164" s="2" t="s">
        <v>249</v>
      </c>
      <c r="U1164" s="4" t="s">
        <v>31</v>
      </c>
      <c r="V1164" s="2" t="s">
        <v>8365</v>
      </c>
      <c r="W1164" s="2" t="s">
        <v>8309</v>
      </c>
      <c r="X1164" s="5" t="str">
        <f>HYPERLINK("https://my.pitchbook.com?p=420510-16P","View People Online")</f>
        <v>View People Online</v>
      </c>
    </row>
    <row r="1165">
      <c r="A1165" s="6" t="s">
        <v>8366</v>
      </c>
      <c r="B1165" s="6" t="s">
        <v>8367</v>
      </c>
      <c r="C1165" s="6" t="s">
        <v>2620</v>
      </c>
      <c r="D1165" s="6" t="s">
        <v>8368</v>
      </c>
      <c r="E1165" s="6" t="s">
        <v>8309</v>
      </c>
      <c r="F1165" s="6" t="s">
        <v>1283</v>
      </c>
      <c r="G1165" s="6" t="s">
        <v>8369</v>
      </c>
      <c r="H1165" s="7" t="s">
        <v>31</v>
      </c>
      <c r="I1165" s="7">
        <v>1.0</v>
      </c>
      <c r="J1165" s="7">
        <v>1.0</v>
      </c>
      <c r="K1165" s="7" t="s">
        <v>31</v>
      </c>
      <c r="L1165" s="8" t="s">
        <v>8311</v>
      </c>
      <c r="M1165" s="6" t="s">
        <v>8370</v>
      </c>
      <c r="N1165" s="6" t="s">
        <v>243</v>
      </c>
      <c r="O1165" s="8" t="s">
        <v>244</v>
      </c>
      <c r="P1165" s="6" t="s">
        <v>8313</v>
      </c>
      <c r="Q1165" s="6" t="s">
        <v>8314</v>
      </c>
      <c r="R1165" s="6" t="s">
        <v>247</v>
      </c>
      <c r="S1165" s="8" t="s">
        <v>8315</v>
      </c>
      <c r="T1165" s="6" t="s">
        <v>249</v>
      </c>
      <c r="U1165" s="8" t="s">
        <v>31</v>
      </c>
      <c r="V1165" s="6" t="s">
        <v>1283</v>
      </c>
      <c r="W1165" s="6" t="s">
        <v>8309</v>
      </c>
      <c r="X1165" s="9" t="str">
        <f>HYPERLINK("https://my.pitchbook.com?p=421051-60P","View People Online")</f>
        <v>View People Online</v>
      </c>
    </row>
    <row r="1166">
      <c r="A1166" s="10" t="s">
        <v>8371</v>
      </c>
      <c r="B1166" s="10" t="s">
        <v>8372</v>
      </c>
      <c r="C1166" s="10" t="s">
        <v>237</v>
      </c>
      <c r="D1166" s="10" t="s">
        <v>8373</v>
      </c>
      <c r="E1166" s="10" t="s">
        <v>8309</v>
      </c>
      <c r="F1166" s="10" t="s">
        <v>2652</v>
      </c>
      <c r="G1166" s="10" t="s">
        <v>8374</v>
      </c>
      <c r="H1166" s="11" t="s">
        <v>31</v>
      </c>
      <c r="I1166" s="11">
        <v>1.0</v>
      </c>
      <c r="J1166" s="11">
        <v>1.0</v>
      </c>
      <c r="K1166" s="11" t="s">
        <v>31</v>
      </c>
      <c r="L1166" s="12" t="s">
        <v>8311</v>
      </c>
      <c r="M1166" s="10" t="s">
        <v>8375</v>
      </c>
      <c r="N1166" s="10" t="s">
        <v>243</v>
      </c>
      <c r="O1166" s="12" t="s">
        <v>244</v>
      </c>
      <c r="P1166" s="10" t="s">
        <v>8313</v>
      </c>
      <c r="Q1166" s="10" t="s">
        <v>8314</v>
      </c>
      <c r="R1166" s="10" t="s">
        <v>247</v>
      </c>
      <c r="S1166" s="12" t="s">
        <v>8315</v>
      </c>
      <c r="T1166" s="10" t="s">
        <v>249</v>
      </c>
      <c r="U1166" s="12" t="s">
        <v>31</v>
      </c>
      <c r="V1166" s="10" t="s">
        <v>8376</v>
      </c>
      <c r="W1166" s="10" t="s">
        <v>8309</v>
      </c>
      <c r="X1166" s="13" t="str">
        <f>HYPERLINK("https://my.pitchbook.com?p=399873-88P","View People Online")</f>
        <v>View People Online</v>
      </c>
    </row>
    <row r="1167">
      <c r="A1167" s="6" t="s">
        <v>8377</v>
      </c>
      <c r="B1167" s="6" t="s">
        <v>8378</v>
      </c>
      <c r="C1167" s="6" t="s">
        <v>237</v>
      </c>
      <c r="D1167" s="6" t="s">
        <v>8379</v>
      </c>
      <c r="E1167" s="6" t="s">
        <v>8309</v>
      </c>
      <c r="F1167" s="6" t="s">
        <v>2652</v>
      </c>
      <c r="G1167" s="6" t="s">
        <v>8380</v>
      </c>
      <c r="H1167" s="7">
        <v>1.0</v>
      </c>
      <c r="I1167" s="7">
        <v>2.0</v>
      </c>
      <c r="J1167" s="7">
        <v>1.0</v>
      </c>
      <c r="K1167" s="7" t="s">
        <v>31</v>
      </c>
      <c r="L1167" s="8" t="s">
        <v>8311</v>
      </c>
      <c r="M1167" s="6" t="s">
        <v>8381</v>
      </c>
      <c r="N1167" s="6" t="s">
        <v>243</v>
      </c>
      <c r="O1167" s="8" t="s">
        <v>244</v>
      </c>
      <c r="P1167" s="6" t="s">
        <v>8313</v>
      </c>
      <c r="Q1167" s="6" t="s">
        <v>8314</v>
      </c>
      <c r="R1167" s="6" t="s">
        <v>247</v>
      </c>
      <c r="S1167" s="8" t="s">
        <v>8315</v>
      </c>
      <c r="T1167" s="6" t="s">
        <v>249</v>
      </c>
      <c r="U1167" s="8" t="s">
        <v>31</v>
      </c>
      <c r="V1167" s="6" t="s">
        <v>8382</v>
      </c>
      <c r="W1167" s="6" t="s">
        <v>8309</v>
      </c>
      <c r="X1167" s="9" t="str">
        <f>HYPERLINK("https://my.pitchbook.com?p=360100-72P","View People Online")</f>
        <v>View People Online</v>
      </c>
    </row>
    <row r="1168">
      <c r="A1168" s="10" t="s">
        <v>8383</v>
      </c>
      <c r="B1168" s="10" t="s">
        <v>8384</v>
      </c>
      <c r="C1168" s="10" t="s">
        <v>8385</v>
      </c>
      <c r="D1168" s="10" t="s">
        <v>233</v>
      </c>
      <c r="E1168" s="10" t="s">
        <v>8309</v>
      </c>
      <c r="F1168" s="10" t="s">
        <v>2652</v>
      </c>
      <c r="G1168" s="10" t="s">
        <v>8386</v>
      </c>
      <c r="H1168" s="11" t="s">
        <v>31</v>
      </c>
      <c r="I1168" s="11">
        <v>1.0</v>
      </c>
      <c r="J1168" s="11">
        <v>1.0</v>
      </c>
      <c r="K1168" s="11" t="s">
        <v>31</v>
      </c>
      <c r="L1168" s="12" t="s">
        <v>8311</v>
      </c>
      <c r="M1168" s="10" t="s">
        <v>8387</v>
      </c>
      <c r="N1168" s="10" t="s">
        <v>243</v>
      </c>
      <c r="O1168" s="12" t="s">
        <v>244</v>
      </c>
      <c r="P1168" s="10" t="s">
        <v>8313</v>
      </c>
      <c r="Q1168" s="10" t="s">
        <v>8314</v>
      </c>
      <c r="R1168" s="10" t="s">
        <v>247</v>
      </c>
      <c r="S1168" s="12" t="s">
        <v>8315</v>
      </c>
      <c r="T1168" s="10" t="s">
        <v>249</v>
      </c>
      <c r="U1168" s="12" t="s">
        <v>31</v>
      </c>
      <c r="V1168" s="10" t="s">
        <v>8388</v>
      </c>
      <c r="W1168" s="10" t="s">
        <v>8309</v>
      </c>
      <c r="X1168" s="13" t="str">
        <f>HYPERLINK("https://my.pitchbook.com?p=376653-25P","View People Online")</f>
        <v>View People Online</v>
      </c>
    </row>
    <row r="1169">
      <c r="A1169" s="6" t="s">
        <v>8389</v>
      </c>
      <c r="B1169" s="6" t="s">
        <v>8390</v>
      </c>
      <c r="C1169" s="6" t="s">
        <v>3934</v>
      </c>
      <c r="D1169" s="6" t="s">
        <v>8391</v>
      </c>
      <c r="E1169" s="6" t="s">
        <v>8309</v>
      </c>
      <c r="F1169" s="6" t="s">
        <v>1801</v>
      </c>
      <c r="G1169" s="6" t="s">
        <v>8392</v>
      </c>
      <c r="H1169" s="7" t="s">
        <v>31</v>
      </c>
      <c r="I1169" s="7">
        <v>2.0</v>
      </c>
      <c r="J1169" s="7">
        <v>1.0</v>
      </c>
      <c r="K1169" s="7">
        <v>1.0</v>
      </c>
      <c r="L1169" s="8" t="s">
        <v>8311</v>
      </c>
      <c r="M1169" s="6" t="s">
        <v>8393</v>
      </c>
      <c r="N1169" s="6" t="s">
        <v>243</v>
      </c>
      <c r="O1169" s="8" t="s">
        <v>244</v>
      </c>
      <c r="P1169" s="6" t="s">
        <v>8313</v>
      </c>
      <c r="Q1169" s="6" t="s">
        <v>8314</v>
      </c>
      <c r="R1169" s="6" t="s">
        <v>247</v>
      </c>
      <c r="S1169" s="8" t="s">
        <v>8315</v>
      </c>
      <c r="T1169" s="6" t="s">
        <v>249</v>
      </c>
      <c r="U1169" s="8" t="s">
        <v>31</v>
      </c>
      <c r="V1169" s="6" t="s">
        <v>8394</v>
      </c>
      <c r="W1169" s="6" t="s">
        <v>8309</v>
      </c>
      <c r="X1169" s="9" t="str">
        <f>HYPERLINK("https://my.pitchbook.com?p=280709-38P","View People Online")</f>
        <v>View People Online</v>
      </c>
    </row>
    <row r="1170">
      <c r="A1170" s="2" t="s">
        <v>8395</v>
      </c>
      <c r="B1170" s="2" t="s">
        <v>8396</v>
      </c>
      <c r="C1170" s="2" t="s">
        <v>8397</v>
      </c>
      <c r="D1170" s="2" t="s">
        <v>8398</v>
      </c>
      <c r="E1170" s="2" t="s">
        <v>8309</v>
      </c>
      <c r="F1170" s="2" t="s">
        <v>8399</v>
      </c>
      <c r="G1170" s="2" t="s">
        <v>8400</v>
      </c>
      <c r="H1170" s="3" t="s">
        <v>31</v>
      </c>
      <c r="I1170" s="3">
        <v>2.0</v>
      </c>
      <c r="J1170" s="3">
        <v>1.0</v>
      </c>
      <c r="K1170" s="3">
        <v>1.0</v>
      </c>
      <c r="L1170" s="4" t="s">
        <v>8311</v>
      </c>
      <c r="M1170" s="2" t="s">
        <v>8401</v>
      </c>
      <c r="N1170" s="2" t="s">
        <v>243</v>
      </c>
      <c r="O1170" s="4" t="s">
        <v>244</v>
      </c>
      <c r="P1170" s="2" t="s">
        <v>8313</v>
      </c>
      <c r="Q1170" s="2" t="s">
        <v>8314</v>
      </c>
      <c r="R1170" s="2" t="s">
        <v>247</v>
      </c>
      <c r="S1170" s="4" t="s">
        <v>8315</v>
      </c>
      <c r="T1170" s="2" t="s">
        <v>249</v>
      </c>
      <c r="U1170" s="4" t="s">
        <v>31</v>
      </c>
      <c r="V1170" s="2" t="s">
        <v>8402</v>
      </c>
      <c r="W1170" s="2" t="s">
        <v>8309</v>
      </c>
      <c r="X1170" s="5" t="str">
        <f>HYPERLINK("https://my.pitchbook.com?p=203130-01P","View People Online")</f>
        <v>View People Online</v>
      </c>
    </row>
    <row r="1171">
      <c r="A1171" s="14" t="s">
        <v>8403</v>
      </c>
      <c r="B1171" s="14" t="s">
        <v>8404</v>
      </c>
      <c r="C1171" s="14" t="s">
        <v>8405</v>
      </c>
      <c r="D1171" s="14" t="s">
        <v>408</v>
      </c>
      <c r="E1171" s="14" t="s">
        <v>8309</v>
      </c>
      <c r="F1171" s="14" t="s">
        <v>8406</v>
      </c>
      <c r="G1171" s="14" t="s">
        <v>8407</v>
      </c>
      <c r="H1171" s="15" t="s">
        <v>31</v>
      </c>
      <c r="I1171" s="15">
        <v>1.0</v>
      </c>
      <c r="J1171" s="15">
        <v>1.0</v>
      </c>
      <c r="K1171" s="15" t="s">
        <v>31</v>
      </c>
      <c r="L1171" s="16" t="s">
        <v>8311</v>
      </c>
      <c r="M1171" s="14" t="s">
        <v>8408</v>
      </c>
      <c r="N1171" s="14" t="s">
        <v>243</v>
      </c>
      <c r="O1171" s="16" t="s">
        <v>244</v>
      </c>
      <c r="P1171" s="14" t="s">
        <v>8313</v>
      </c>
      <c r="Q1171" s="14" t="s">
        <v>8314</v>
      </c>
      <c r="R1171" s="14" t="s">
        <v>247</v>
      </c>
      <c r="S1171" s="16" t="s">
        <v>8315</v>
      </c>
      <c r="T1171" s="14" t="s">
        <v>249</v>
      </c>
      <c r="U1171" s="16" t="s">
        <v>31</v>
      </c>
      <c r="V1171" s="14" t="s">
        <v>8409</v>
      </c>
      <c r="W1171" s="14" t="s">
        <v>8309</v>
      </c>
      <c r="X1171" s="17" t="str">
        <f>HYPERLINK("https://my.pitchbook.com?p=434385-55P","View People Online")</f>
        <v>View People Online</v>
      </c>
    </row>
    <row r="1172">
      <c r="A1172" s="10" t="s">
        <v>8410</v>
      </c>
      <c r="B1172" s="10" t="s">
        <v>8411</v>
      </c>
      <c r="C1172" s="10" t="s">
        <v>4798</v>
      </c>
      <c r="D1172" s="10" t="s">
        <v>8412</v>
      </c>
      <c r="E1172" s="10" t="s">
        <v>8309</v>
      </c>
      <c r="F1172" s="10" t="s">
        <v>825</v>
      </c>
      <c r="G1172" s="10" t="s">
        <v>8413</v>
      </c>
      <c r="H1172" s="11" t="s">
        <v>31</v>
      </c>
      <c r="I1172" s="11">
        <v>2.0</v>
      </c>
      <c r="J1172" s="11">
        <v>1.0</v>
      </c>
      <c r="K1172" s="11">
        <v>1.0</v>
      </c>
      <c r="L1172" s="12" t="s">
        <v>8311</v>
      </c>
      <c r="M1172" s="10" t="s">
        <v>8414</v>
      </c>
      <c r="N1172" s="10" t="s">
        <v>243</v>
      </c>
      <c r="O1172" s="12" t="s">
        <v>244</v>
      </c>
      <c r="P1172" s="10" t="s">
        <v>8313</v>
      </c>
      <c r="Q1172" s="10" t="s">
        <v>8314</v>
      </c>
      <c r="R1172" s="10" t="s">
        <v>247</v>
      </c>
      <c r="S1172" s="12" t="s">
        <v>8315</v>
      </c>
      <c r="T1172" s="10" t="s">
        <v>249</v>
      </c>
      <c r="U1172" s="12" t="s">
        <v>31</v>
      </c>
      <c r="V1172" s="10" t="s">
        <v>8415</v>
      </c>
      <c r="W1172" s="10" t="s">
        <v>8309</v>
      </c>
      <c r="X1172" s="13" t="str">
        <f>HYPERLINK("https://my.pitchbook.com?p=416187-91P","View People Online")</f>
        <v>View People Online</v>
      </c>
    </row>
    <row r="1173">
      <c r="A1173" s="14" t="s">
        <v>8416</v>
      </c>
      <c r="B1173" s="14" t="s">
        <v>8417</v>
      </c>
      <c r="C1173" s="14" t="s">
        <v>4798</v>
      </c>
      <c r="D1173" s="14" t="s">
        <v>8418</v>
      </c>
      <c r="E1173" s="14" t="s">
        <v>8309</v>
      </c>
      <c r="F1173" s="14" t="s">
        <v>1283</v>
      </c>
      <c r="G1173" s="14" t="s">
        <v>8419</v>
      </c>
      <c r="H1173" s="15" t="s">
        <v>31</v>
      </c>
      <c r="I1173" s="15">
        <v>1.0</v>
      </c>
      <c r="J1173" s="15">
        <v>1.0</v>
      </c>
      <c r="K1173" s="15" t="s">
        <v>31</v>
      </c>
      <c r="L1173" s="16" t="s">
        <v>8311</v>
      </c>
      <c r="M1173" s="14" t="s">
        <v>8420</v>
      </c>
      <c r="N1173" s="14" t="s">
        <v>243</v>
      </c>
      <c r="O1173" s="16" t="s">
        <v>244</v>
      </c>
      <c r="P1173" s="14" t="s">
        <v>8313</v>
      </c>
      <c r="Q1173" s="14" t="s">
        <v>8314</v>
      </c>
      <c r="R1173" s="14" t="s">
        <v>247</v>
      </c>
      <c r="S1173" s="16" t="s">
        <v>8315</v>
      </c>
      <c r="T1173" s="14" t="s">
        <v>249</v>
      </c>
      <c r="U1173" s="16" t="s">
        <v>31</v>
      </c>
      <c r="V1173" s="14" t="s">
        <v>8421</v>
      </c>
      <c r="W1173" s="14" t="s">
        <v>8309</v>
      </c>
      <c r="X1173" s="17" t="str">
        <f>HYPERLINK("https://my.pitchbook.com?p=275629-78P","View People Online")</f>
        <v>View People Online</v>
      </c>
    </row>
    <row r="1174">
      <c r="A1174" s="10" t="s">
        <v>8422</v>
      </c>
      <c r="B1174" s="10" t="s">
        <v>8423</v>
      </c>
      <c r="C1174" s="10" t="s">
        <v>4731</v>
      </c>
      <c r="D1174" s="10" t="s">
        <v>5240</v>
      </c>
      <c r="E1174" s="10" t="s">
        <v>8309</v>
      </c>
      <c r="F1174" s="10" t="s">
        <v>312</v>
      </c>
      <c r="G1174" s="10" t="s">
        <v>8424</v>
      </c>
      <c r="H1174" s="11" t="s">
        <v>31</v>
      </c>
      <c r="I1174" s="11">
        <v>2.0</v>
      </c>
      <c r="J1174" s="11">
        <v>1.0</v>
      </c>
      <c r="K1174" s="11">
        <v>1.0</v>
      </c>
      <c r="L1174" s="12" t="s">
        <v>8311</v>
      </c>
      <c r="M1174" s="10" t="s">
        <v>8425</v>
      </c>
      <c r="N1174" s="10" t="s">
        <v>243</v>
      </c>
      <c r="O1174" s="12" t="s">
        <v>244</v>
      </c>
      <c r="P1174" s="10" t="s">
        <v>8313</v>
      </c>
      <c r="Q1174" s="10" t="s">
        <v>8314</v>
      </c>
      <c r="R1174" s="10" t="s">
        <v>247</v>
      </c>
      <c r="S1174" s="12" t="s">
        <v>8315</v>
      </c>
      <c r="T1174" s="10" t="s">
        <v>249</v>
      </c>
      <c r="U1174" s="12" t="s">
        <v>31</v>
      </c>
      <c r="V1174" s="10" t="s">
        <v>8426</v>
      </c>
      <c r="W1174" s="10" t="s">
        <v>8309</v>
      </c>
      <c r="X1174" s="13" t="str">
        <f>HYPERLINK("https://my.pitchbook.com?p=88274-35P","View People Online")</f>
        <v>View People Online</v>
      </c>
    </row>
    <row r="1175">
      <c r="A1175" s="14" t="s">
        <v>8427</v>
      </c>
      <c r="B1175" s="14" t="s">
        <v>8428</v>
      </c>
      <c r="C1175" s="14" t="s">
        <v>4731</v>
      </c>
      <c r="D1175" s="14" t="s">
        <v>8429</v>
      </c>
      <c r="E1175" s="14" t="s">
        <v>8309</v>
      </c>
      <c r="F1175" s="14" t="s">
        <v>548</v>
      </c>
      <c r="G1175" s="14" t="s">
        <v>8430</v>
      </c>
      <c r="H1175" s="15" t="s">
        <v>31</v>
      </c>
      <c r="I1175" s="15">
        <v>2.0</v>
      </c>
      <c r="J1175" s="15">
        <v>1.0</v>
      </c>
      <c r="K1175" s="15">
        <v>1.0</v>
      </c>
      <c r="L1175" s="16" t="s">
        <v>8311</v>
      </c>
      <c r="M1175" s="14" t="s">
        <v>8431</v>
      </c>
      <c r="N1175" s="14" t="s">
        <v>243</v>
      </c>
      <c r="O1175" s="16" t="s">
        <v>244</v>
      </c>
      <c r="P1175" s="14" t="s">
        <v>8313</v>
      </c>
      <c r="Q1175" s="14" t="s">
        <v>8314</v>
      </c>
      <c r="R1175" s="14" t="s">
        <v>247</v>
      </c>
      <c r="S1175" s="16" t="s">
        <v>8315</v>
      </c>
      <c r="T1175" s="14" t="s">
        <v>249</v>
      </c>
      <c r="U1175" s="16" t="s">
        <v>31</v>
      </c>
      <c r="V1175" s="14" t="s">
        <v>8432</v>
      </c>
      <c r="W1175" s="14" t="s">
        <v>8309</v>
      </c>
      <c r="X1175" s="17" t="str">
        <f>HYPERLINK("https://my.pitchbook.com?p=270949-06P","View People Online")</f>
        <v>View People Online</v>
      </c>
    </row>
    <row r="1176">
      <c r="A1176" s="2" t="s">
        <v>8433</v>
      </c>
      <c r="B1176" s="2" t="s">
        <v>8434</v>
      </c>
      <c r="C1176" s="2" t="s">
        <v>8435</v>
      </c>
      <c r="D1176" s="2" t="s">
        <v>8436</v>
      </c>
      <c r="E1176" s="2" t="s">
        <v>8309</v>
      </c>
      <c r="F1176" s="2" t="s">
        <v>548</v>
      </c>
      <c r="G1176" s="2" t="s">
        <v>8437</v>
      </c>
      <c r="H1176" s="3" t="s">
        <v>31</v>
      </c>
      <c r="I1176" s="3">
        <v>1.0</v>
      </c>
      <c r="J1176" s="3">
        <v>1.0</v>
      </c>
      <c r="K1176" s="3" t="s">
        <v>31</v>
      </c>
      <c r="L1176" s="4" t="s">
        <v>8311</v>
      </c>
      <c r="M1176" s="2" t="s">
        <v>8438</v>
      </c>
      <c r="N1176" s="2" t="s">
        <v>243</v>
      </c>
      <c r="O1176" s="4" t="s">
        <v>244</v>
      </c>
      <c r="P1176" s="2" t="s">
        <v>8313</v>
      </c>
      <c r="Q1176" s="2" t="s">
        <v>8314</v>
      </c>
      <c r="R1176" s="2" t="s">
        <v>247</v>
      </c>
      <c r="S1176" s="4" t="s">
        <v>8315</v>
      </c>
      <c r="T1176" s="2" t="s">
        <v>249</v>
      </c>
      <c r="U1176" s="4" t="s">
        <v>31</v>
      </c>
      <c r="V1176" s="2" t="s">
        <v>8439</v>
      </c>
      <c r="W1176" s="2" t="s">
        <v>8309</v>
      </c>
      <c r="X1176" s="5" t="str">
        <f>HYPERLINK("https://my.pitchbook.com?p=354257-65P","View People Online")</f>
        <v>View People Online</v>
      </c>
    </row>
    <row r="1177">
      <c r="A1177" s="6" t="s">
        <v>8440</v>
      </c>
      <c r="B1177" s="6" t="s">
        <v>8441</v>
      </c>
      <c r="C1177" s="6" t="s">
        <v>1117</v>
      </c>
      <c r="D1177" s="6" t="s">
        <v>8442</v>
      </c>
      <c r="E1177" s="6" t="s">
        <v>8309</v>
      </c>
      <c r="F1177" s="6" t="s">
        <v>2652</v>
      </c>
      <c r="G1177" s="6" t="s">
        <v>8443</v>
      </c>
      <c r="H1177" s="7" t="s">
        <v>31</v>
      </c>
      <c r="I1177" s="7">
        <v>2.0</v>
      </c>
      <c r="J1177" s="7">
        <v>1.0</v>
      </c>
      <c r="K1177" s="7">
        <v>1.0</v>
      </c>
      <c r="L1177" s="8" t="s">
        <v>8311</v>
      </c>
      <c r="M1177" s="6" t="s">
        <v>8444</v>
      </c>
      <c r="N1177" s="6" t="s">
        <v>243</v>
      </c>
      <c r="O1177" s="8" t="s">
        <v>244</v>
      </c>
      <c r="P1177" s="6" t="s">
        <v>8313</v>
      </c>
      <c r="Q1177" s="6" t="s">
        <v>8314</v>
      </c>
      <c r="R1177" s="6" t="s">
        <v>247</v>
      </c>
      <c r="S1177" s="8" t="s">
        <v>8315</v>
      </c>
      <c r="T1177" s="6" t="s">
        <v>249</v>
      </c>
      <c r="U1177" s="8" t="s">
        <v>31</v>
      </c>
      <c r="V1177" s="6" t="s">
        <v>8445</v>
      </c>
      <c r="W1177" s="6" t="s">
        <v>8309</v>
      </c>
      <c r="X1177" s="9" t="str">
        <f>HYPERLINK("https://my.pitchbook.com?p=154577-62P","View People Online")</f>
        <v>View People Online</v>
      </c>
    </row>
    <row r="1178">
      <c r="A1178" s="10" t="s">
        <v>8446</v>
      </c>
      <c r="B1178" s="10" t="s">
        <v>8447</v>
      </c>
      <c r="C1178" s="10" t="s">
        <v>1117</v>
      </c>
      <c r="D1178" s="10" t="s">
        <v>8448</v>
      </c>
      <c r="E1178" s="10" t="s">
        <v>8309</v>
      </c>
      <c r="F1178" s="10" t="s">
        <v>2652</v>
      </c>
      <c r="G1178" s="10" t="s">
        <v>8449</v>
      </c>
      <c r="H1178" s="11">
        <v>4.0</v>
      </c>
      <c r="I1178" s="11">
        <v>16.0</v>
      </c>
      <c r="J1178" s="11">
        <v>2.0</v>
      </c>
      <c r="K1178" s="11">
        <v>8.0</v>
      </c>
      <c r="L1178" s="12" t="s">
        <v>8311</v>
      </c>
      <c r="M1178" s="10" t="s">
        <v>8450</v>
      </c>
      <c r="N1178" s="10" t="s">
        <v>243</v>
      </c>
      <c r="O1178" s="12" t="s">
        <v>244</v>
      </c>
      <c r="P1178" s="10" t="s">
        <v>8313</v>
      </c>
      <c r="Q1178" s="10" t="s">
        <v>8314</v>
      </c>
      <c r="R1178" s="10" t="s">
        <v>247</v>
      </c>
      <c r="S1178" s="12" t="s">
        <v>8315</v>
      </c>
      <c r="T1178" s="10" t="s">
        <v>249</v>
      </c>
      <c r="U1178" s="12" t="s">
        <v>31</v>
      </c>
      <c r="V1178" s="10" t="s">
        <v>8451</v>
      </c>
      <c r="W1178" s="10" t="s">
        <v>8309</v>
      </c>
      <c r="X1178" s="13" t="str">
        <f>HYPERLINK("https://my.pitchbook.com?p=203455-81P","View People Online")</f>
        <v>View People Online</v>
      </c>
    </row>
    <row r="1179">
      <c r="A1179" s="14" t="s">
        <v>8452</v>
      </c>
      <c r="B1179" s="14" t="s">
        <v>8453</v>
      </c>
      <c r="C1179" s="14" t="s">
        <v>1117</v>
      </c>
      <c r="D1179" s="14" t="s">
        <v>8454</v>
      </c>
      <c r="E1179" s="14" t="s">
        <v>8309</v>
      </c>
      <c r="F1179" s="14" t="s">
        <v>548</v>
      </c>
      <c r="G1179" s="14" t="s">
        <v>8455</v>
      </c>
      <c r="H1179" s="15" t="s">
        <v>31</v>
      </c>
      <c r="I1179" s="15">
        <v>2.0</v>
      </c>
      <c r="J1179" s="15">
        <v>1.0</v>
      </c>
      <c r="K1179" s="15">
        <v>1.0</v>
      </c>
      <c r="L1179" s="16" t="s">
        <v>8311</v>
      </c>
      <c r="M1179" s="14" t="s">
        <v>8456</v>
      </c>
      <c r="N1179" s="14" t="s">
        <v>243</v>
      </c>
      <c r="O1179" s="16" t="s">
        <v>244</v>
      </c>
      <c r="P1179" s="14" t="s">
        <v>8313</v>
      </c>
      <c r="Q1179" s="14" t="s">
        <v>8314</v>
      </c>
      <c r="R1179" s="14" t="s">
        <v>247</v>
      </c>
      <c r="S1179" s="16" t="s">
        <v>8315</v>
      </c>
      <c r="T1179" s="14" t="s">
        <v>249</v>
      </c>
      <c r="U1179" s="16" t="s">
        <v>31</v>
      </c>
      <c r="V1179" s="14" t="s">
        <v>8457</v>
      </c>
      <c r="W1179" s="14" t="s">
        <v>8309</v>
      </c>
      <c r="X1179" s="17" t="str">
        <f>HYPERLINK("https://my.pitchbook.com?p=214376-05P","View People Online")</f>
        <v>View People Online</v>
      </c>
    </row>
    <row r="1180">
      <c r="A1180" s="2" t="s">
        <v>8458</v>
      </c>
      <c r="B1180" s="2" t="s">
        <v>8459</v>
      </c>
      <c r="C1180" s="2" t="s">
        <v>1117</v>
      </c>
      <c r="D1180" s="2" t="s">
        <v>8460</v>
      </c>
      <c r="E1180" s="2" t="s">
        <v>8309</v>
      </c>
      <c r="F1180" s="2" t="s">
        <v>825</v>
      </c>
      <c r="G1180" s="2" t="s">
        <v>8461</v>
      </c>
      <c r="H1180" s="3">
        <v>1.0</v>
      </c>
      <c r="I1180" s="3">
        <v>4.0</v>
      </c>
      <c r="J1180" s="3">
        <v>2.0</v>
      </c>
      <c r="K1180" s="3">
        <v>1.0</v>
      </c>
      <c r="L1180" s="4" t="s">
        <v>8311</v>
      </c>
      <c r="M1180" s="2" t="s">
        <v>8462</v>
      </c>
      <c r="N1180" s="2" t="s">
        <v>243</v>
      </c>
      <c r="O1180" s="4" t="s">
        <v>244</v>
      </c>
      <c r="P1180" s="2" t="s">
        <v>8313</v>
      </c>
      <c r="Q1180" s="2" t="s">
        <v>8314</v>
      </c>
      <c r="R1180" s="2" t="s">
        <v>247</v>
      </c>
      <c r="S1180" s="4" t="s">
        <v>8315</v>
      </c>
      <c r="T1180" s="2" t="s">
        <v>249</v>
      </c>
      <c r="U1180" s="4" t="s">
        <v>31</v>
      </c>
      <c r="V1180" s="2" t="s">
        <v>8463</v>
      </c>
      <c r="W1180" s="2" t="s">
        <v>8309</v>
      </c>
      <c r="X1180" s="5" t="str">
        <f>HYPERLINK("https://my.pitchbook.com?p=80888-77P","View People Online")</f>
        <v>View People Online</v>
      </c>
    </row>
    <row r="1181">
      <c r="A1181" s="6" t="s">
        <v>8464</v>
      </c>
      <c r="B1181" s="6" t="s">
        <v>8465</v>
      </c>
      <c r="C1181" s="6" t="s">
        <v>7413</v>
      </c>
      <c r="D1181" s="6" t="s">
        <v>8466</v>
      </c>
      <c r="E1181" s="6" t="s">
        <v>8309</v>
      </c>
      <c r="F1181" s="6" t="s">
        <v>825</v>
      </c>
      <c r="G1181" s="6" t="s">
        <v>8467</v>
      </c>
      <c r="H1181" s="7" t="s">
        <v>31</v>
      </c>
      <c r="I1181" s="7">
        <v>4.0</v>
      </c>
      <c r="J1181" s="7">
        <v>1.0</v>
      </c>
      <c r="K1181" s="7">
        <v>3.0</v>
      </c>
      <c r="L1181" s="8" t="s">
        <v>8311</v>
      </c>
      <c r="M1181" s="6" t="s">
        <v>8468</v>
      </c>
      <c r="N1181" s="6" t="s">
        <v>243</v>
      </c>
      <c r="O1181" s="8" t="s">
        <v>244</v>
      </c>
      <c r="P1181" s="6" t="s">
        <v>8313</v>
      </c>
      <c r="Q1181" s="6" t="s">
        <v>8314</v>
      </c>
      <c r="R1181" s="6" t="s">
        <v>247</v>
      </c>
      <c r="S1181" s="8" t="s">
        <v>8315</v>
      </c>
      <c r="T1181" s="6" t="s">
        <v>249</v>
      </c>
      <c r="U1181" s="8" t="s">
        <v>31</v>
      </c>
      <c r="V1181" s="6" t="s">
        <v>8469</v>
      </c>
      <c r="W1181" s="6" t="s">
        <v>8309</v>
      </c>
      <c r="X1181" s="9" t="str">
        <f>HYPERLINK("https://my.pitchbook.com?p=233647-48P","View People Online")</f>
        <v>View People Online</v>
      </c>
    </row>
    <row r="1182">
      <c r="A1182" s="10" t="s">
        <v>8470</v>
      </c>
      <c r="B1182" s="10" t="s">
        <v>8471</v>
      </c>
      <c r="C1182" s="10" t="s">
        <v>7413</v>
      </c>
      <c r="D1182" s="10" t="s">
        <v>8472</v>
      </c>
      <c r="E1182" s="10" t="s">
        <v>8309</v>
      </c>
      <c r="F1182" s="10" t="s">
        <v>548</v>
      </c>
      <c r="G1182" s="10" t="s">
        <v>8473</v>
      </c>
      <c r="H1182" s="11" t="s">
        <v>31</v>
      </c>
      <c r="I1182" s="11">
        <v>2.0</v>
      </c>
      <c r="J1182" s="11">
        <v>1.0</v>
      </c>
      <c r="K1182" s="11">
        <v>1.0</v>
      </c>
      <c r="L1182" s="12" t="s">
        <v>8311</v>
      </c>
      <c r="M1182" s="10" t="s">
        <v>8474</v>
      </c>
      <c r="N1182" s="10" t="s">
        <v>243</v>
      </c>
      <c r="O1182" s="12" t="s">
        <v>244</v>
      </c>
      <c r="P1182" s="10" t="s">
        <v>8313</v>
      </c>
      <c r="Q1182" s="10" t="s">
        <v>8314</v>
      </c>
      <c r="R1182" s="10" t="s">
        <v>247</v>
      </c>
      <c r="S1182" s="12" t="s">
        <v>8315</v>
      </c>
      <c r="T1182" s="10" t="s">
        <v>249</v>
      </c>
      <c r="U1182" s="12" t="s">
        <v>31</v>
      </c>
      <c r="V1182" s="10" t="s">
        <v>8457</v>
      </c>
      <c r="W1182" s="10" t="s">
        <v>8309</v>
      </c>
      <c r="X1182" s="13" t="str">
        <f>HYPERLINK("https://my.pitchbook.com?p=266558-32P","View People Online")</f>
        <v>View People Online</v>
      </c>
    </row>
    <row r="1183">
      <c r="A1183" s="6" t="s">
        <v>8475</v>
      </c>
      <c r="B1183" s="6" t="s">
        <v>8476</v>
      </c>
      <c r="C1183" s="6" t="s">
        <v>1541</v>
      </c>
      <c r="D1183" s="6" t="s">
        <v>8477</v>
      </c>
      <c r="E1183" s="6" t="s">
        <v>8309</v>
      </c>
      <c r="F1183" s="6" t="s">
        <v>5515</v>
      </c>
      <c r="G1183" s="6" t="s">
        <v>8478</v>
      </c>
      <c r="H1183" s="7">
        <v>3.0</v>
      </c>
      <c r="I1183" s="7">
        <v>3.0</v>
      </c>
      <c r="J1183" s="7">
        <v>3.0</v>
      </c>
      <c r="K1183" s="7" t="s">
        <v>31</v>
      </c>
      <c r="L1183" s="8" t="s">
        <v>8311</v>
      </c>
      <c r="M1183" s="6" t="s">
        <v>8479</v>
      </c>
      <c r="N1183" s="6" t="s">
        <v>243</v>
      </c>
      <c r="O1183" s="8" t="s">
        <v>244</v>
      </c>
      <c r="P1183" s="6" t="s">
        <v>8313</v>
      </c>
      <c r="Q1183" s="6" t="s">
        <v>8314</v>
      </c>
      <c r="R1183" s="6" t="s">
        <v>247</v>
      </c>
      <c r="S1183" s="8" t="s">
        <v>8315</v>
      </c>
      <c r="T1183" s="6" t="s">
        <v>249</v>
      </c>
      <c r="U1183" s="8" t="s">
        <v>31</v>
      </c>
      <c r="V1183" s="6" t="s">
        <v>8480</v>
      </c>
      <c r="W1183" s="6" t="s">
        <v>8309</v>
      </c>
      <c r="X1183" s="9" t="str">
        <f>HYPERLINK("https://my.pitchbook.com?p=175453-12P","View People Online")</f>
        <v>View People Online</v>
      </c>
    </row>
    <row r="1184">
      <c r="A1184" s="10" t="s">
        <v>8481</v>
      </c>
      <c r="B1184" s="10" t="s">
        <v>8482</v>
      </c>
      <c r="C1184" s="10" t="s">
        <v>8483</v>
      </c>
      <c r="D1184" s="10" t="s">
        <v>8484</v>
      </c>
      <c r="E1184" s="10" t="s">
        <v>8309</v>
      </c>
      <c r="F1184" s="10" t="s">
        <v>825</v>
      </c>
      <c r="G1184" s="10" t="s">
        <v>8485</v>
      </c>
      <c r="H1184" s="11" t="s">
        <v>31</v>
      </c>
      <c r="I1184" s="11">
        <v>5.0</v>
      </c>
      <c r="J1184" s="11">
        <v>1.0</v>
      </c>
      <c r="K1184" s="11">
        <v>4.0</v>
      </c>
      <c r="L1184" s="12" t="s">
        <v>8311</v>
      </c>
      <c r="M1184" s="10" t="s">
        <v>8486</v>
      </c>
      <c r="N1184" s="10" t="s">
        <v>243</v>
      </c>
      <c r="O1184" s="12" t="s">
        <v>244</v>
      </c>
      <c r="P1184" s="10" t="s">
        <v>8313</v>
      </c>
      <c r="Q1184" s="10" t="s">
        <v>8314</v>
      </c>
      <c r="R1184" s="10" t="s">
        <v>247</v>
      </c>
      <c r="S1184" s="12" t="s">
        <v>8315</v>
      </c>
      <c r="T1184" s="10" t="s">
        <v>249</v>
      </c>
      <c r="U1184" s="12" t="s">
        <v>31</v>
      </c>
      <c r="V1184" s="10" t="s">
        <v>8487</v>
      </c>
      <c r="W1184" s="10" t="s">
        <v>8309</v>
      </c>
      <c r="X1184" s="13" t="str">
        <f>HYPERLINK("https://my.pitchbook.com?p=95544-37P","View People Online")</f>
        <v>View People Online</v>
      </c>
    </row>
    <row r="1185">
      <c r="A1185" s="6" t="s">
        <v>8488</v>
      </c>
      <c r="B1185" s="6" t="s">
        <v>8489</v>
      </c>
      <c r="C1185" s="6" t="s">
        <v>8490</v>
      </c>
      <c r="D1185" s="6" t="s">
        <v>8491</v>
      </c>
      <c r="E1185" s="6" t="s">
        <v>8309</v>
      </c>
      <c r="F1185" s="6" t="s">
        <v>825</v>
      </c>
      <c r="G1185" s="6" t="s">
        <v>8492</v>
      </c>
      <c r="H1185" s="7" t="s">
        <v>31</v>
      </c>
      <c r="I1185" s="7">
        <v>3.0</v>
      </c>
      <c r="J1185" s="7">
        <v>1.0</v>
      </c>
      <c r="K1185" s="7">
        <v>2.0</v>
      </c>
      <c r="L1185" s="8" t="s">
        <v>8311</v>
      </c>
      <c r="M1185" s="6" t="s">
        <v>8493</v>
      </c>
      <c r="N1185" s="6" t="s">
        <v>243</v>
      </c>
      <c r="O1185" s="8" t="s">
        <v>244</v>
      </c>
      <c r="P1185" s="6" t="s">
        <v>8313</v>
      </c>
      <c r="Q1185" s="6" t="s">
        <v>8314</v>
      </c>
      <c r="R1185" s="6" t="s">
        <v>247</v>
      </c>
      <c r="S1185" s="8" t="s">
        <v>8315</v>
      </c>
      <c r="T1185" s="6" t="s">
        <v>249</v>
      </c>
      <c r="U1185" s="8" t="s">
        <v>31</v>
      </c>
      <c r="V1185" s="6" t="s">
        <v>8494</v>
      </c>
      <c r="W1185" s="6" t="s">
        <v>8309</v>
      </c>
      <c r="X1185" s="9" t="str">
        <f>HYPERLINK("https://my.pitchbook.com?p=133315-03P","View People Online")</f>
        <v>View People Online</v>
      </c>
    </row>
    <row r="1186">
      <c r="A1186" s="2" t="s">
        <v>8495</v>
      </c>
      <c r="B1186" s="2" t="s">
        <v>8496</v>
      </c>
      <c r="C1186" s="2" t="s">
        <v>2688</v>
      </c>
      <c r="D1186" s="2" t="s">
        <v>8497</v>
      </c>
      <c r="E1186" s="2" t="s">
        <v>8309</v>
      </c>
      <c r="F1186" s="2" t="s">
        <v>548</v>
      </c>
      <c r="G1186" s="2" t="s">
        <v>8498</v>
      </c>
      <c r="H1186" s="3" t="s">
        <v>31</v>
      </c>
      <c r="I1186" s="3">
        <v>2.0</v>
      </c>
      <c r="J1186" s="3">
        <v>1.0</v>
      </c>
      <c r="K1186" s="3">
        <v>1.0</v>
      </c>
      <c r="L1186" s="4" t="s">
        <v>8311</v>
      </c>
      <c r="M1186" s="2" t="s">
        <v>8499</v>
      </c>
      <c r="N1186" s="2" t="s">
        <v>243</v>
      </c>
      <c r="O1186" s="4" t="s">
        <v>244</v>
      </c>
      <c r="P1186" s="2" t="s">
        <v>8313</v>
      </c>
      <c r="Q1186" s="2" t="s">
        <v>8314</v>
      </c>
      <c r="R1186" s="2" t="s">
        <v>247</v>
      </c>
      <c r="S1186" s="4" t="s">
        <v>8315</v>
      </c>
      <c r="T1186" s="2" t="s">
        <v>249</v>
      </c>
      <c r="U1186" s="4" t="s">
        <v>31</v>
      </c>
      <c r="V1186" s="2" t="s">
        <v>8500</v>
      </c>
      <c r="W1186" s="2" t="s">
        <v>8309</v>
      </c>
      <c r="X1186" s="5" t="str">
        <f>HYPERLINK("https://my.pitchbook.com?p=240643-18P","View People Online")</f>
        <v>View People Online</v>
      </c>
    </row>
    <row r="1187">
      <c r="A1187" s="6" t="s">
        <v>8501</v>
      </c>
      <c r="B1187" s="6" t="s">
        <v>8502</v>
      </c>
      <c r="C1187" s="6" t="s">
        <v>8503</v>
      </c>
      <c r="D1187" s="6" t="s">
        <v>8504</v>
      </c>
      <c r="E1187" s="6" t="s">
        <v>8309</v>
      </c>
      <c r="F1187" s="6" t="s">
        <v>825</v>
      </c>
      <c r="G1187" s="6" t="s">
        <v>8505</v>
      </c>
      <c r="H1187" s="7" t="s">
        <v>31</v>
      </c>
      <c r="I1187" s="7">
        <v>1.0</v>
      </c>
      <c r="J1187" s="7">
        <v>1.0</v>
      </c>
      <c r="K1187" s="7" t="s">
        <v>31</v>
      </c>
      <c r="L1187" s="8" t="s">
        <v>8311</v>
      </c>
      <c r="M1187" s="6" t="s">
        <v>8506</v>
      </c>
      <c r="N1187" s="6" t="s">
        <v>243</v>
      </c>
      <c r="O1187" s="8" t="s">
        <v>244</v>
      </c>
      <c r="P1187" s="6" t="s">
        <v>8313</v>
      </c>
      <c r="Q1187" s="6" t="s">
        <v>8314</v>
      </c>
      <c r="R1187" s="6" t="s">
        <v>247</v>
      </c>
      <c r="S1187" s="8" t="s">
        <v>8315</v>
      </c>
      <c r="T1187" s="6" t="s">
        <v>249</v>
      </c>
      <c r="U1187" s="8" t="s">
        <v>31</v>
      </c>
      <c r="V1187" s="6" t="s">
        <v>8507</v>
      </c>
      <c r="W1187" s="6" t="s">
        <v>8309</v>
      </c>
      <c r="X1187" s="9" t="str">
        <f>HYPERLINK("https://my.pitchbook.com?p=453919-24P","View People Online")</f>
        <v>View People Online</v>
      </c>
    </row>
    <row r="1188">
      <c r="A1188" s="2" t="s">
        <v>8508</v>
      </c>
      <c r="B1188" s="2" t="s">
        <v>8509</v>
      </c>
      <c r="C1188" s="2" t="s">
        <v>8510</v>
      </c>
      <c r="D1188" s="2" t="s">
        <v>607</v>
      </c>
      <c r="E1188" s="2" t="s">
        <v>8309</v>
      </c>
      <c r="F1188" s="2" t="s">
        <v>2652</v>
      </c>
      <c r="G1188" s="2" t="s">
        <v>8511</v>
      </c>
      <c r="H1188" s="3" t="s">
        <v>31</v>
      </c>
      <c r="I1188" s="3">
        <v>1.0</v>
      </c>
      <c r="J1188" s="3">
        <v>1.0</v>
      </c>
      <c r="K1188" s="3" t="s">
        <v>31</v>
      </c>
      <c r="L1188" s="4" t="s">
        <v>8311</v>
      </c>
      <c r="M1188" s="2" t="s">
        <v>8512</v>
      </c>
      <c r="N1188" s="2" t="s">
        <v>243</v>
      </c>
      <c r="O1188" s="4" t="s">
        <v>244</v>
      </c>
      <c r="P1188" s="2" t="s">
        <v>8313</v>
      </c>
      <c r="Q1188" s="2" t="s">
        <v>8314</v>
      </c>
      <c r="R1188" s="2" t="s">
        <v>247</v>
      </c>
      <c r="S1188" s="4" t="s">
        <v>8315</v>
      </c>
      <c r="T1188" s="2" t="s">
        <v>249</v>
      </c>
      <c r="U1188" s="4" t="s">
        <v>31</v>
      </c>
      <c r="V1188" s="2" t="s">
        <v>8513</v>
      </c>
      <c r="W1188" s="2" t="s">
        <v>8309</v>
      </c>
      <c r="X1188" s="5" t="str">
        <f>HYPERLINK("https://my.pitchbook.com?p=395439-85P","View People Online")</f>
        <v>View People Online</v>
      </c>
    </row>
    <row r="1189">
      <c r="A1189" s="6" t="s">
        <v>8514</v>
      </c>
      <c r="B1189" s="6" t="s">
        <v>8515</v>
      </c>
      <c r="C1189" s="6" t="s">
        <v>8516</v>
      </c>
      <c r="D1189" s="6" t="s">
        <v>8517</v>
      </c>
      <c r="E1189" s="6" t="s">
        <v>8309</v>
      </c>
      <c r="F1189" s="6" t="s">
        <v>371</v>
      </c>
      <c r="G1189" s="6" t="s">
        <v>8518</v>
      </c>
      <c r="H1189" s="7" t="s">
        <v>31</v>
      </c>
      <c r="I1189" s="7">
        <v>1.0</v>
      </c>
      <c r="J1189" s="7">
        <v>1.0</v>
      </c>
      <c r="K1189" s="7" t="s">
        <v>31</v>
      </c>
      <c r="L1189" s="8" t="s">
        <v>8311</v>
      </c>
      <c r="M1189" s="6" t="s">
        <v>8519</v>
      </c>
      <c r="N1189" s="6" t="s">
        <v>243</v>
      </c>
      <c r="O1189" s="8" t="s">
        <v>244</v>
      </c>
      <c r="P1189" s="6" t="s">
        <v>8313</v>
      </c>
      <c r="Q1189" s="6" t="s">
        <v>8314</v>
      </c>
      <c r="R1189" s="6" t="s">
        <v>247</v>
      </c>
      <c r="S1189" s="8" t="s">
        <v>8315</v>
      </c>
      <c r="T1189" s="6" t="s">
        <v>249</v>
      </c>
      <c r="U1189" s="8" t="s">
        <v>31</v>
      </c>
      <c r="V1189" s="6" t="s">
        <v>371</v>
      </c>
      <c r="W1189" s="6" t="s">
        <v>8309</v>
      </c>
      <c r="X1189" s="9" t="str">
        <f>HYPERLINK("https://my.pitchbook.com?p=114712-30P","View People Online")</f>
        <v>View People Online</v>
      </c>
    </row>
    <row r="1190">
      <c r="A1190" s="10" t="s">
        <v>8520</v>
      </c>
      <c r="B1190" s="10" t="s">
        <v>8521</v>
      </c>
      <c r="C1190" s="10" t="s">
        <v>8522</v>
      </c>
      <c r="D1190" s="10" t="s">
        <v>8523</v>
      </c>
      <c r="E1190" s="10" t="s">
        <v>8309</v>
      </c>
      <c r="F1190" s="10" t="s">
        <v>270</v>
      </c>
      <c r="G1190" s="10" t="s">
        <v>8524</v>
      </c>
      <c r="H1190" s="11" t="s">
        <v>31</v>
      </c>
      <c r="I1190" s="11">
        <v>1.0</v>
      </c>
      <c r="J1190" s="11">
        <v>1.0</v>
      </c>
      <c r="K1190" s="11" t="s">
        <v>31</v>
      </c>
      <c r="L1190" s="12" t="s">
        <v>8311</v>
      </c>
      <c r="M1190" s="10" t="s">
        <v>8525</v>
      </c>
      <c r="N1190" s="10" t="s">
        <v>243</v>
      </c>
      <c r="O1190" s="12" t="s">
        <v>244</v>
      </c>
      <c r="P1190" s="10" t="s">
        <v>8313</v>
      </c>
      <c r="Q1190" s="10" t="s">
        <v>8314</v>
      </c>
      <c r="R1190" s="10" t="s">
        <v>247</v>
      </c>
      <c r="S1190" s="12" t="s">
        <v>8315</v>
      </c>
      <c r="T1190" s="10" t="s">
        <v>249</v>
      </c>
      <c r="U1190" s="12" t="s">
        <v>31</v>
      </c>
      <c r="V1190" s="10" t="s">
        <v>8526</v>
      </c>
      <c r="W1190" s="10" t="s">
        <v>8309</v>
      </c>
      <c r="X1190" s="13" t="str">
        <f>HYPERLINK("https://my.pitchbook.com?p=88048-72P","View People Online")</f>
        <v>View People Online</v>
      </c>
    </row>
    <row r="1191">
      <c r="A1191" s="14" t="s">
        <v>8527</v>
      </c>
      <c r="B1191" s="14" t="s">
        <v>8528</v>
      </c>
      <c r="C1191" s="14" t="s">
        <v>4851</v>
      </c>
      <c r="D1191" s="14" t="s">
        <v>8529</v>
      </c>
      <c r="E1191" s="14" t="s">
        <v>8309</v>
      </c>
      <c r="F1191" s="14" t="s">
        <v>4931</v>
      </c>
      <c r="G1191" s="14" t="s">
        <v>8530</v>
      </c>
      <c r="H1191" s="15" t="s">
        <v>31</v>
      </c>
      <c r="I1191" s="15">
        <v>1.0</v>
      </c>
      <c r="J1191" s="15">
        <v>1.0</v>
      </c>
      <c r="K1191" s="15" t="s">
        <v>31</v>
      </c>
      <c r="L1191" s="16" t="s">
        <v>8311</v>
      </c>
      <c r="M1191" s="14" t="s">
        <v>8531</v>
      </c>
      <c r="N1191" s="14" t="s">
        <v>243</v>
      </c>
      <c r="O1191" s="16" t="s">
        <v>244</v>
      </c>
      <c r="P1191" s="14" t="s">
        <v>8313</v>
      </c>
      <c r="Q1191" s="14" t="s">
        <v>8314</v>
      </c>
      <c r="R1191" s="14" t="s">
        <v>247</v>
      </c>
      <c r="S1191" s="16" t="s">
        <v>8315</v>
      </c>
      <c r="T1191" s="14" t="s">
        <v>249</v>
      </c>
      <c r="U1191" s="16" t="s">
        <v>31</v>
      </c>
      <c r="V1191" s="14" t="s">
        <v>8532</v>
      </c>
      <c r="W1191" s="14" t="s">
        <v>8309</v>
      </c>
      <c r="X1191" s="17" t="str">
        <f>HYPERLINK("https://my.pitchbook.com?p=360099-19P","View People Online")</f>
        <v>View People Online</v>
      </c>
    </row>
    <row r="1192">
      <c r="A1192" s="2" t="s">
        <v>8533</v>
      </c>
      <c r="B1192" s="2" t="s">
        <v>8534</v>
      </c>
      <c r="C1192" s="2" t="s">
        <v>8535</v>
      </c>
      <c r="D1192" s="2" t="s">
        <v>8536</v>
      </c>
      <c r="E1192" s="2" t="s">
        <v>8309</v>
      </c>
      <c r="F1192" s="2" t="s">
        <v>825</v>
      </c>
      <c r="G1192" s="2" t="s">
        <v>8537</v>
      </c>
      <c r="H1192" s="3" t="s">
        <v>31</v>
      </c>
      <c r="I1192" s="3">
        <v>1.0</v>
      </c>
      <c r="J1192" s="3">
        <v>1.0</v>
      </c>
      <c r="K1192" s="3" t="s">
        <v>31</v>
      </c>
      <c r="L1192" s="4" t="s">
        <v>8311</v>
      </c>
      <c r="M1192" s="2" t="s">
        <v>8538</v>
      </c>
      <c r="N1192" s="2" t="s">
        <v>243</v>
      </c>
      <c r="O1192" s="4" t="s">
        <v>244</v>
      </c>
      <c r="P1192" s="2" t="s">
        <v>8313</v>
      </c>
      <c r="Q1192" s="2" t="s">
        <v>8314</v>
      </c>
      <c r="R1192" s="2" t="s">
        <v>247</v>
      </c>
      <c r="S1192" s="4" t="s">
        <v>8315</v>
      </c>
      <c r="T1192" s="2" t="s">
        <v>249</v>
      </c>
      <c r="U1192" s="4" t="s">
        <v>31</v>
      </c>
      <c r="V1192" s="2" t="s">
        <v>8539</v>
      </c>
      <c r="W1192" s="2" t="s">
        <v>8309</v>
      </c>
      <c r="X1192" s="5" t="str">
        <f>HYPERLINK("https://my.pitchbook.com?p=360102-07P","View People Online")</f>
        <v>View People Online</v>
      </c>
    </row>
    <row r="1193">
      <c r="A1193" s="6" t="s">
        <v>8540</v>
      </c>
      <c r="B1193" s="6" t="s">
        <v>8541</v>
      </c>
      <c r="C1193" s="6" t="s">
        <v>8542</v>
      </c>
      <c r="D1193" s="6" t="s">
        <v>8543</v>
      </c>
      <c r="E1193" s="6" t="s">
        <v>8309</v>
      </c>
      <c r="F1193" s="6" t="s">
        <v>1249</v>
      </c>
      <c r="G1193" s="6" t="s">
        <v>8544</v>
      </c>
      <c r="H1193" s="7">
        <v>1.0</v>
      </c>
      <c r="I1193" s="7">
        <v>2.0</v>
      </c>
      <c r="J1193" s="7">
        <v>1.0</v>
      </c>
      <c r="K1193" s="7">
        <v>1.0</v>
      </c>
      <c r="L1193" s="8" t="s">
        <v>8311</v>
      </c>
      <c r="M1193" s="6" t="s">
        <v>8545</v>
      </c>
      <c r="N1193" s="6" t="s">
        <v>243</v>
      </c>
      <c r="O1193" s="8" t="s">
        <v>244</v>
      </c>
      <c r="P1193" s="6" t="s">
        <v>8313</v>
      </c>
      <c r="Q1193" s="6" t="s">
        <v>8314</v>
      </c>
      <c r="R1193" s="6" t="s">
        <v>247</v>
      </c>
      <c r="S1193" s="8" t="s">
        <v>8315</v>
      </c>
      <c r="T1193" s="6" t="s">
        <v>249</v>
      </c>
      <c r="U1193" s="8" t="s">
        <v>31</v>
      </c>
      <c r="V1193" s="6" t="s">
        <v>8546</v>
      </c>
      <c r="W1193" s="6" t="s">
        <v>8309</v>
      </c>
      <c r="X1193" s="9" t="str">
        <f>HYPERLINK("https://my.pitchbook.com?p=280470-79P","View People Online")</f>
        <v>View People Online</v>
      </c>
    </row>
    <row r="1194">
      <c r="A1194" s="10" t="s">
        <v>8547</v>
      </c>
      <c r="B1194" s="10" t="s">
        <v>8548</v>
      </c>
      <c r="C1194" s="10" t="s">
        <v>704</v>
      </c>
      <c r="D1194" s="10" t="s">
        <v>8016</v>
      </c>
      <c r="E1194" s="10" t="s">
        <v>8309</v>
      </c>
      <c r="F1194" s="10" t="s">
        <v>1283</v>
      </c>
      <c r="G1194" s="10" t="s">
        <v>8549</v>
      </c>
      <c r="H1194" s="11" t="s">
        <v>31</v>
      </c>
      <c r="I1194" s="11">
        <v>1.0</v>
      </c>
      <c r="J1194" s="11">
        <v>1.0</v>
      </c>
      <c r="K1194" s="11" t="s">
        <v>31</v>
      </c>
      <c r="L1194" s="12" t="s">
        <v>8311</v>
      </c>
      <c r="M1194" s="10" t="s">
        <v>8550</v>
      </c>
      <c r="N1194" s="10" t="s">
        <v>243</v>
      </c>
      <c r="O1194" s="12" t="s">
        <v>244</v>
      </c>
      <c r="P1194" s="10" t="s">
        <v>8313</v>
      </c>
      <c r="Q1194" s="10" t="s">
        <v>8314</v>
      </c>
      <c r="R1194" s="10" t="s">
        <v>247</v>
      </c>
      <c r="S1194" s="12" t="s">
        <v>8315</v>
      </c>
      <c r="T1194" s="10" t="s">
        <v>249</v>
      </c>
      <c r="U1194" s="12" t="s">
        <v>31</v>
      </c>
      <c r="V1194" s="10" t="s">
        <v>8551</v>
      </c>
      <c r="W1194" s="10" t="s">
        <v>8309</v>
      </c>
      <c r="X1194" s="13" t="str">
        <f>HYPERLINK("https://my.pitchbook.com?p=362016-46P","View People Online")</f>
        <v>View People Online</v>
      </c>
    </row>
    <row r="1195">
      <c r="A1195" s="6" t="s">
        <v>8552</v>
      </c>
      <c r="B1195" s="6" t="s">
        <v>8553</v>
      </c>
      <c r="C1195" s="6" t="s">
        <v>8554</v>
      </c>
      <c r="D1195" s="6" t="s">
        <v>8555</v>
      </c>
      <c r="E1195" s="6" t="s">
        <v>8309</v>
      </c>
      <c r="F1195" s="6" t="s">
        <v>825</v>
      </c>
      <c r="G1195" s="6" t="s">
        <v>8556</v>
      </c>
      <c r="H1195" s="7" t="s">
        <v>31</v>
      </c>
      <c r="I1195" s="7">
        <v>1.0</v>
      </c>
      <c r="J1195" s="7">
        <v>1.0</v>
      </c>
      <c r="K1195" s="7" t="s">
        <v>31</v>
      </c>
      <c r="L1195" s="8" t="s">
        <v>8311</v>
      </c>
      <c r="M1195" s="6" t="s">
        <v>8557</v>
      </c>
      <c r="N1195" s="6" t="s">
        <v>243</v>
      </c>
      <c r="O1195" s="8" t="s">
        <v>244</v>
      </c>
      <c r="P1195" s="6" t="s">
        <v>8313</v>
      </c>
      <c r="Q1195" s="6" t="s">
        <v>8314</v>
      </c>
      <c r="R1195" s="6" t="s">
        <v>247</v>
      </c>
      <c r="S1195" s="8" t="s">
        <v>8315</v>
      </c>
      <c r="T1195" s="6" t="s">
        <v>249</v>
      </c>
      <c r="U1195" s="8" t="s">
        <v>31</v>
      </c>
      <c r="V1195" s="6" t="s">
        <v>8558</v>
      </c>
      <c r="W1195" s="6" t="s">
        <v>8309</v>
      </c>
      <c r="X1195" s="9" t="str">
        <f>HYPERLINK("https://my.pitchbook.com?p=268796-80P","View People Online")</f>
        <v>View People Online</v>
      </c>
    </row>
    <row r="1196">
      <c r="A1196" s="10" t="s">
        <v>8559</v>
      </c>
      <c r="B1196" s="10" t="s">
        <v>8560</v>
      </c>
      <c r="C1196" s="10" t="s">
        <v>8561</v>
      </c>
      <c r="D1196" s="10" t="s">
        <v>5692</v>
      </c>
      <c r="E1196" s="10" t="s">
        <v>8309</v>
      </c>
      <c r="F1196" s="10" t="s">
        <v>548</v>
      </c>
      <c r="G1196" s="10" t="s">
        <v>8562</v>
      </c>
      <c r="H1196" s="11" t="s">
        <v>31</v>
      </c>
      <c r="I1196" s="11">
        <v>2.0</v>
      </c>
      <c r="J1196" s="11">
        <v>2.0</v>
      </c>
      <c r="K1196" s="11" t="s">
        <v>31</v>
      </c>
      <c r="L1196" s="12" t="s">
        <v>8311</v>
      </c>
      <c r="M1196" s="10" t="s">
        <v>8563</v>
      </c>
      <c r="N1196" s="10" t="s">
        <v>243</v>
      </c>
      <c r="O1196" s="12" t="s">
        <v>244</v>
      </c>
      <c r="P1196" s="10" t="s">
        <v>8313</v>
      </c>
      <c r="Q1196" s="10" t="s">
        <v>8314</v>
      </c>
      <c r="R1196" s="10" t="s">
        <v>247</v>
      </c>
      <c r="S1196" s="12" t="s">
        <v>8315</v>
      </c>
      <c r="T1196" s="10" t="s">
        <v>249</v>
      </c>
      <c r="U1196" s="12" t="s">
        <v>31</v>
      </c>
      <c r="V1196" s="10" t="s">
        <v>2422</v>
      </c>
      <c r="W1196" s="10" t="s">
        <v>8309</v>
      </c>
      <c r="X1196" s="13" t="str">
        <f>HYPERLINK("https://my.pitchbook.com?p=310103-65P","View People Online")</f>
        <v>View People Online</v>
      </c>
    </row>
    <row r="1197">
      <c r="A1197" s="14" t="s">
        <v>8564</v>
      </c>
      <c r="B1197" s="14" t="s">
        <v>8565</v>
      </c>
      <c r="C1197" s="14" t="s">
        <v>8566</v>
      </c>
      <c r="D1197" s="14" t="s">
        <v>8567</v>
      </c>
      <c r="E1197" s="14" t="s">
        <v>8309</v>
      </c>
      <c r="F1197" s="14" t="s">
        <v>825</v>
      </c>
      <c r="G1197" s="14" t="s">
        <v>8568</v>
      </c>
      <c r="H1197" s="15">
        <v>1.0</v>
      </c>
      <c r="I1197" s="15">
        <v>4.0</v>
      </c>
      <c r="J1197" s="15">
        <v>1.0</v>
      </c>
      <c r="K1197" s="15">
        <v>2.0</v>
      </c>
      <c r="L1197" s="16" t="s">
        <v>8569</v>
      </c>
      <c r="M1197" s="14" t="s">
        <v>8570</v>
      </c>
      <c r="N1197" s="14" t="s">
        <v>243</v>
      </c>
      <c r="O1197" s="16" t="s">
        <v>244</v>
      </c>
      <c r="P1197" s="14" t="s">
        <v>8313</v>
      </c>
      <c r="Q1197" s="14" t="s">
        <v>8314</v>
      </c>
      <c r="R1197" s="14" t="s">
        <v>247</v>
      </c>
      <c r="S1197" s="16" t="s">
        <v>8315</v>
      </c>
      <c r="T1197" s="14" t="s">
        <v>249</v>
      </c>
      <c r="U1197" s="16" t="s">
        <v>31</v>
      </c>
      <c r="V1197" s="14" t="s">
        <v>8571</v>
      </c>
      <c r="W1197" s="14" t="s">
        <v>8309</v>
      </c>
      <c r="X1197" s="17" t="str">
        <f>HYPERLINK("https://my.pitchbook.com?p=14909-05P","View People Online")</f>
        <v>View People Online</v>
      </c>
    </row>
    <row r="1198">
      <c r="A1198" s="10" t="s">
        <v>8572</v>
      </c>
      <c r="B1198" s="10" t="s">
        <v>8573</v>
      </c>
      <c r="C1198" s="10" t="s">
        <v>8574</v>
      </c>
      <c r="D1198" s="10" t="s">
        <v>8575</v>
      </c>
      <c r="E1198" s="10" t="s">
        <v>8309</v>
      </c>
      <c r="F1198" s="10" t="s">
        <v>548</v>
      </c>
      <c r="G1198" s="10" t="s">
        <v>8576</v>
      </c>
      <c r="H1198" s="11" t="s">
        <v>31</v>
      </c>
      <c r="I1198" s="11">
        <v>1.0</v>
      </c>
      <c r="J1198" s="11">
        <v>1.0</v>
      </c>
      <c r="K1198" s="11" t="s">
        <v>31</v>
      </c>
      <c r="L1198" s="12" t="s">
        <v>8311</v>
      </c>
      <c r="M1198" s="10" t="s">
        <v>8577</v>
      </c>
      <c r="N1198" s="10" t="s">
        <v>243</v>
      </c>
      <c r="O1198" s="12" t="s">
        <v>244</v>
      </c>
      <c r="P1198" s="10" t="s">
        <v>8313</v>
      </c>
      <c r="Q1198" s="10" t="s">
        <v>8314</v>
      </c>
      <c r="R1198" s="10" t="s">
        <v>247</v>
      </c>
      <c r="S1198" s="12" t="s">
        <v>8315</v>
      </c>
      <c r="T1198" s="10" t="s">
        <v>249</v>
      </c>
      <c r="U1198" s="12" t="s">
        <v>31</v>
      </c>
      <c r="V1198" s="10" t="s">
        <v>548</v>
      </c>
      <c r="W1198" s="10" t="s">
        <v>8309</v>
      </c>
      <c r="X1198" s="13" t="str">
        <f>HYPERLINK("https://my.pitchbook.com?p=360672-31P","View People Online")</f>
        <v>View People Online</v>
      </c>
    </row>
    <row r="1199">
      <c r="A1199" s="14" t="s">
        <v>8578</v>
      </c>
      <c r="B1199" s="14" t="s">
        <v>8579</v>
      </c>
      <c r="C1199" s="14" t="s">
        <v>1437</v>
      </c>
      <c r="D1199" s="14" t="s">
        <v>8580</v>
      </c>
      <c r="E1199" s="14" t="s">
        <v>8309</v>
      </c>
      <c r="F1199" s="14" t="s">
        <v>8581</v>
      </c>
      <c r="G1199" s="14" t="s">
        <v>8582</v>
      </c>
      <c r="H1199" s="15" t="s">
        <v>31</v>
      </c>
      <c r="I1199" s="15">
        <v>1.0</v>
      </c>
      <c r="J1199" s="15">
        <v>1.0</v>
      </c>
      <c r="K1199" s="15" t="s">
        <v>31</v>
      </c>
      <c r="L1199" s="16" t="s">
        <v>8583</v>
      </c>
      <c r="M1199" s="14" t="s">
        <v>8584</v>
      </c>
      <c r="N1199" s="14" t="s">
        <v>243</v>
      </c>
      <c r="O1199" s="16" t="s">
        <v>244</v>
      </c>
      <c r="P1199" s="14" t="s">
        <v>8313</v>
      </c>
      <c r="Q1199" s="14" t="s">
        <v>8314</v>
      </c>
      <c r="R1199" s="14" t="s">
        <v>247</v>
      </c>
      <c r="S1199" s="16" t="s">
        <v>8315</v>
      </c>
      <c r="T1199" s="14" t="s">
        <v>249</v>
      </c>
      <c r="U1199" s="16" t="s">
        <v>31</v>
      </c>
      <c r="V1199" s="14" t="s">
        <v>8585</v>
      </c>
      <c r="W1199" s="14" t="s">
        <v>8309</v>
      </c>
      <c r="X1199" s="17" t="str">
        <f>HYPERLINK("https://my.pitchbook.com?p=262859-41P","View People Online")</f>
        <v>View People Online</v>
      </c>
    </row>
    <row r="1200">
      <c r="A1200" s="10" t="s">
        <v>8586</v>
      </c>
      <c r="B1200" s="10" t="s">
        <v>8587</v>
      </c>
      <c r="C1200" s="10" t="s">
        <v>263</v>
      </c>
      <c r="D1200" s="10" t="s">
        <v>8588</v>
      </c>
      <c r="E1200" s="10" t="s">
        <v>8309</v>
      </c>
      <c r="F1200" s="10" t="s">
        <v>825</v>
      </c>
      <c r="G1200" s="10" t="s">
        <v>8589</v>
      </c>
      <c r="H1200" s="11" t="s">
        <v>31</v>
      </c>
      <c r="I1200" s="11">
        <v>1.0</v>
      </c>
      <c r="J1200" s="11">
        <v>1.0</v>
      </c>
      <c r="K1200" s="11" t="s">
        <v>31</v>
      </c>
      <c r="L1200" s="12" t="s">
        <v>8311</v>
      </c>
      <c r="M1200" s="10" t="s">
        <v>8590</v>
      </c>
      <c r="N1200" s="10" t="s">
        <v>243</v>
      </c>
      <c r="O1200" s="12" t="s">
        <v>244</v>
      </c>
      <c r="P1200" s="10" t="s">
        <v>8313</v>
      </c>
      <c r="Q1200" s="10" t="s">
        <v>8314</v>
      </c>
      <c r="R1200" s="10" t="s">
        <v>247</v>
      </c>
      <c r="S1200" s="12" t="s">
        <v>8315</v>
      </c>
      <c r="T1200" s="10" t="s">
        <v>249</v>
      </c>
      <c r="U1200" s="12" t="s">
        <v>31</v>
      </c>
      <c r="V1200" s="10" t="s">
        <v>8591</v>
      </c>
      <c r="W1200" s="10" t="s">
        <v>8309</v>
      </c>
      <c r="X1200" s="13" t="str">
        <f>HYPERLINK("https://my.pitchbook.com?p=364865-14P","View People Online")</f>
        <v>View People Online</v>
      </c>
    </row>
    <row r="1201">
      <c r="A1201" s="6" t="s">
        <v>8592</v>
      </c>
      <c r="B1201" s="6" t="s">
        <v>8593</v>
      </c>
      <c r="C1201" s="6" t="s">
        <v>263</v>
      </c>
      <c r="D1201" s="6" t="s">
        <v>8594</v>
      </c>
      <c r="E1201" s="6" t="s">
        <v>8309</v>
      </c>
      <c r="F1201" s="6" t="s">
        <v>825</v>
      </c>
      <c r="G1201" s="6" t="s">
        <v>8595</v>
      </c>
      <c r="H1201" s="7" t="s">
        <v>31</v>
      </c>
      <c r="I1201" s="7">
        <v>1.0</v>
      </c>
      <c r="J1201" s="7">
        <v>1.0</v>
      </c>
      <c r="K1201" s="7" t="s">
        <v>31</v>
      </c>
      <c r="L1201" s="8" t="s">
        <v>8311</v>
      </c>
      <c r="M1201" s="6" t="s">
        <v>8596</v>
      </c>
      <c r="N1201" s="6" t="s">
        <v>243</v>
      </c>
      <c r="O1201" s="8" t="s">
        <v>244</v>
      </c>
      <c r="P1201" s="6" t="s">
        <v>8313</v>
      </c>
      <c r="Q1201" s="6" t="s">
        <v>8314</v>
      </c>
      <c r="R1201" s="6" t="s">
        <v>247</v>
      </c>
      <c r="S1201" s="8" t="s">
        <v>8315</v>
      </c>
      <c r="T1201" s="6" t="s">
        <v>249</v>
      </c>
      <c r="U1201" s="8" t="s">
        <v>31</v>
      </c>
      <c r="V1201" s="6" t="s">
        <v>8597</v>
      </c>
      <c r="W1201" s="6" t="s">
        <v>8309</v>
      </c>
      <c r="X1201" s="9" t="str">
        <f>HYPERLINK("https://my.pitchbook.com?p=400391-29P","View People Online")</f>
        <v>View People Online</v>
      </c>
    </row>
    <row r="1202">
      <c r="A1202" s="10" t="s">
        <v>8598</v>
      </c>
      <c r="B1202" s="10" t="s">
        <v>8599</v>
      </c>
      <c r="C1202" s="10" t="s">
        <v>731</v>
      </c>
      <c r="D1202" s="10" t="s">
        <v>6893</v>
      </c>
      <c r="E1202" s="10" t="s">
        <v>8309</v>
      </c>
      <c r="F1202" s="10" t="s">
        <v>1283</v>
      </c>
      <c r="G1202" s="10" t="s">
        <v>8600</v>
      </c>
      <c r="H1202" s="11" t="s">
        <v>31</v>
      </c>
      <c r="I1202" s="11">
        <v>1.0</v>
      </c>
      <c r="J1202" s="11">
        <v>1.0</v>
      </c>
      <c r="K1202" s="11" t="s">
        <v>31</v>
      </c>
      <c r="L1202" s="12" t="s">
        <v>8311</v>
      </c>
      <c r="M1202" s="10" t="s">
        <v>8601</v>
      </c>
      <c r="N1202" s="10" t="s">
        <v>243</v>
      </c>
      <c r="O1202" s="12" t="s">
        <v>244</v>
      </c>
      <c r="P1202" s="10" t="s">
        <v>8313</v>
      </c>
      <c r="Q1202" s="10" t="s">
        <v>8314</v>
      </c>
      <c r="R1202" s="10" t="s">
        <v>247</v>
      </c>
      <c r="S1202" s="12" t="s">
        <v>8315</v>
      </c>
      <c r="T1202" s="10" t="s">
        <v>249</v>
      </c>
      <c r="U1202" s="12" t="s">
        <v>31</v>
      </c>
      <c r="V1202" s="10" t="s">
        <v>1283</v>
      </c>
      <c r="W1202" s="10" t="s">
        <v>8309</v>
      </c>
      <c r="X1202" s="13" t="str">
        <f>HYPERLINK("https://my.pitchbook.com?p=169735-96P","View People Online")</f>
        <v>View People Online</v>
      </c>
    </row>
    <row r="1203">
      <c r="A1203" s="6" t="s">
        <v>8602</v>
      </c>
      <c r="B1203" s="6" t="s">
        <v>8603</v>
      </c>
      <c r="C1203" s="6" t="s">
        <v>285</v>
      </c>
      <c r="D1203" s="6" t="s">
        <v>8604</v>
      </c>
      <c r="E1203" s="6" t="s">
        <v>8309</v>
      </c>
      <c r="F1203" s="6" t="s">
        <v>548</v>
      </c>
      <c r="G1203" s="6" t="s">
        <v>8605</v>
      </c>
      <c r="H1203" s="7" t="s">
        <v>31</v>
      </c>
      <c r="I1203" s="7">
        <v>1.0</v>
      </c>
      <c r="J1203" s="7">
        <v>1.0</v>
      </c>
      <c r="K1203" s="7" t="s">
        <v>31</v>
      </c>
      <c r="L1203" s="8" t="s">
        <v>8311</v>
      </c>
      <c r="M1203" s="6" t="s">
        <v>8606</v>
      </c>
      <c r="N1203" s="6" t="s">
        <v>243</v>
      </c>
      <c r="O1203" s="8" t="s">
        <v>244</v>
      </c>
      <c r="P1203" s="6" t="s">
        <v>8313</v>
      </c>
      <c r="Q1203" s="6" t="s">
        <v>8314</v>
      </c>
      <c r="R1203" s="6" t="s">
        <v>247</v>
      </c>
      <c r="S1203" s="8" t="s">
        <v>8315</v>
      </c>
      <c r="T1203" s="6" t="s">
        <v>249</v>
      </c>
      <c r="U1203" s="8" t="s">
        <v>31</v>
      </c>
      <c r="V1203" s="6" t="s">
        <v>548</v>
      </c>
      <c r="W1203" s="6" t="s">
        <v>8309</v>
      </c>
      <c r="X1203" s="9" t="str">
        <f>HYPERLINK("https://my.pitchbook.com?p=114780-88P","View People Online")</f>
        <v>View People Online</v>
      </c>
    </row>
    <row r="1204">
      <c r="A1204" s="10" t="s">
        <v>8607</v>
      </c>
      <c r="B1204" s="10" t="s">
        <v>8608</v>
      </c>
      <c r="C1204" s="10" t="s">
        <v>4228</v>
      </c>
      <c r="D1204" s="10" t="s">
        <v>8609</v>
      </c>
      <c r="E1204" s="10" t="s">
        <v>8309</v>
      </c>
      <c r="F1204" s="10" t="s">
        <v>221</v>
      </c>
      <c r="G1204" s="10" t="s">
        <v>8610</v>
      </c>
      <c r="H1204" s="11" t="s">
        <v>31</v>
      </c>
      <c r="I1204" s="11">
        <v>1.0</v>
      </c>
      <c r="J1204" s="11">
        <v>1.0</v>
      </c>
      <c r="K1204" s="11" t="s">
        <v>31</v>
      </c>
      <c r="L1204" s="12" t="s">
        <v>8311</v>
      </c>
      <c r="M1204" s="10" t="s">
        <v>8611</v>
      </c>
      <c r="N1204" s="10" t="s">
        <v>243</v>
      </c>
      <c r="O1204" s="12" t="s">
        <v>244</v>
      </c>
      <c r="P1204" s="10" t="s">
        <v>8313</v>
      </c>
      <c r="Q1204" s="10" t="s">
        <v>8314</v>
      </c>
      <c r="R1204" s="10" t="s">
        <v>247</v>
      </c>
      <c r="S1204" s="12" t="s">
        <v>8315</v>
      </c>
      <c r="T1204" s="10" t="s">
        <v>249</v>
      </c>
      <c r="U1204" s="12" t="s">
        <v>31</v>
      </c>
      <c r="V1204" s="10" t="s">
        <v>8612</v>
      </c>
      <c r="W1204" s="10" t="s">
        <v>8309</v>
      </c>
      <c r="X1204" s="13" t="str">
        <f>HYPERLINK("https://my.pitchbook.com?p=409423-87P","View People Online")</f>
        <v>View People Online</v>
      </c>
    </row>
    <row r="1205">
      <c r="A1205" s="14" t="s">
        <v>8613</v>
      </c>
      <c r="B1205" s="14" t="s">
        <v>8614</v>
      </c>
      <c r="C1205" s="14" t="s">
        <v>8615</v>
      </c>
      <c r="D1205" s="14" t="s">
        <v>7578</v>
      </c>
      <c r="E1205" s="14" t="s">
        <v>8309</v>
      </c>
      <c r="F1205" s="14" t="s">
        <v>371</v>
      </c>
      <c r="G1205" s="14" t="s">
        <v>8616</v>
      </c>
      <c r="H1205" s="15" t="s">
        <v>31</v>
      </c>
      <c r="I1205" s="15">
        <v>1.0</v>
      </c>
      <c r="J1205" s="15">
        <v>1.0</v>
      </c>
      <c r="K1205" s="15" t="s">
        <v>31</v>
      </c>
      <c r="L1205" s="16" t="s">
        <v>8311</v>
      </c>
      <c r="M1205" s="14" t="s">
        <v>8617</v>
      </c>
      <c r="N1205" s="14" t="s">
        <v>243</v>
      </c>
      <c r="O1205" s="16" t="s">
        <v>244</v>
      </c>
      <c r="P1205" s="14" t="s">
        <v>8313</v>
      </c>
      <c r="Q1205" s="14" t="s">
        <v>8314</v>
      </c>
      <c r="R1205" s="14" t="s">
        <v>247</v>
      </c>
      <c r="S1205" s="16" t="s">
        <v>8315</v>
      </c>
      <c r="T1205" s="14" t="s">
        <v>249</v>
      </c>
      <c r="U1205" s="16" t="s">
        <v>31</v>
      </c>
      <c r="V1205" s="14" t="s">
        <v>8618</v>
      </c>
      <c r="W1205" s="14" t="s">
        <v>8309</v>
      </c>
      <c r="X1205" s="17" t="str">
        <f>HYPERLINK("https://my.pitchbook.com?p=368722-72P","View People Online")</f>
        <v>View People Online</v>
      </c>
    </row>
    <row r="1206">
      <c r="A1206" s="2" t="s">
        <v>8619</v>
      </c>
      <c r="B1206" s="2" t="s">
        <v>8620</v>
      </c>
      <c r="C1206" s="2" t="s">
        <v>1982</v>
      </c>
      <c r="D1206" s="2" t="s">
        <v>8621</v>
      </c>
      <c r="E1206" s="2" t="s">
        <v>8309</v>
      </c>
      <c r="F1206" s="2" t="s">
        <v>8622</v>
      </c>
      <c r="G1206" s="2" t="s">
        <v>8623</v>
      </c>
      <c r="H1206" s="3">
        <v>2.0</v>
      </c>
      <c r="I1206" s="3">
        <v>2.0</v>
      </c>
      <c r="J1206" s="3">
        <v>1.0</v>
      </c>
      <c r="K1206" s="3" t="s">
        <v>31</v>
      </c>
      <c r="L1206" s="4" t="s">
        <v>8311</v>
      </c>
      <c r="M1206" s="2" t="s">
        <v>8624</v>
      </c>
      <c r="N1206" s="2" t="s">
        <v>243</v>
      </c>
      <c r="O1206" s="4" t="s">
        <v>244</v>
      </c>
      <c r="P1206" s="2" t="s">
        <v>8313</v>
      </c>
      <c r="Q1206" s="2" t="s">
        <v>8314</v>
      </c>
      <c r="R1206" s="2" t="s">
        <v>247</v>
      </c>
      <c r="S1206" s="4" t="s">
        <v>8315</v>
      </c>
      <c r="T1206" s="2" t="s">
        <v>249</v>
      </c>
      <c r="U1206" s="4" t="s">
        <v>31</v>
      </c>
      <c r="V1206" s="2" t="s">
        <v>8625</v>
      </c>
      <c r="W1206" s="2" t="s">
        <v>8309</v>
      </c>
      <c r="X1206" s="5" t="str">
        <f>HYPERLINK("https://my.pitchbook.com?p=35529-76P","View People Online")</f>
        <v>View People Online</v>
      </c>
    </row>
    <row r="1207">
      <c r="A1207" s="14" t="s">
        <v>8626</v>
      </c>
      <c r="B1207" s="14" t="s">
        <v>8627</v>
      </c>
      <c r="C1207" s="14" t="s">
        <v>4943</v>
      </c>
      <c r="D1207" s="14" t="s">
        <v>8628</v>
      </c>
      <c r="E1207" s="14" t="s">
        <v>8309</v>
      </c>
      <c r="F1207" s="14" t="s">
        <v>825</v>
      </c>
      <c r="G1207" s="14" t="s">
        <v>8629</v>
      </c>
      <c r="H1207" s="15" t="s">
        <v>31</v>
      </c>
      <c r="I1207" s="15">
        <v>1.0</v>
      </c>
      <c r="J1207" s="15">
        <v>1.0</v>
      </c>
      <c r="K1207" s="15" t="s">
        <v>31</v>
      </c>
      <c r="L1207" s="16" t="s">
        <v>8630</v>
      </c>
      <c r="M1207" s="14" t="s">
        <v>8631</v>
      </c>
      <c r="N1207" s="14" t="s">
        <v>243</v>
      </c>
      <c r="O1207" s="16" t="s">
        <v>244</v>
      </c>
      <c r="P1207" s="14" t="s">
        <v>8313</v>
      </c>
      <c r="Q1207" s="14" t="s">
        <v>8314</v>
      </c>
      <c r="R1207" s="14" t="s">
        <v>247</v>
      </c>
      <c r="S1207" s="16" t="s">
        <v>8315</v>
      </c>
      <c r="T1207" s="14" t="s">
        <v>249</v>
      </c>
      <c r="U1207" s="16" t="s">
        <v>31</v>
      </c>
      <c r="V1207" s="14" t="s">
        <v>8632</v>
      </c>
      <c r="W1207" s="14" t="s">
        <v>8309</v>
      </c>
      <c r="X1207" s="17" t="str">
        <f>HYPERLINK("https://my.pitchbook.com?p=250205-77P","View People Online")</f>
        <v>View People Online</v>
      </c>
    </row>
    <row r="1208">
      <c r="A1208" s="10" t="s">
        <v>8633</v>
      </c>
      <c r="B1208" s="10" t="s">
        <v>8634</v>
      </c>
      <c r="C1208" s="10" t="s">
        <v>69</v>
      </c>
      <c r="D1208" s="10" t="s">
        <v>8635</v>
      </c>
      <c r="E1208" s="10" t="s">
        <v>8309</v>
      </c>
      <c r="F1208" s="10" t="s">
        <v>270</v>
      </c>
      <c r="G1208" s="10" t="s">
        <v>8636</v>
      </c>
      <c r="H1208" s="11" t="s">
        <v>31</v>
      </c>
      <c r="I1208" s="11">
        <v>1.0</v>
      </c>
      <c r="J1208" s="11">
        <v>1.0</v>
      </c>
      <c r="K1208" s="11" t="s">
        <v>31</v>
      </c>
      <c r="L1208" s="12" t="s">
        <v>8637</v>
      </c>
      <c r="M1208" s="10" t="s">
        <v>8638</v>
      </c>
      <c r="N1208" s="10" t="s">
        <v>243</v>
      </c>
      <c r="O1208" s="12" t="s">
        <v>244</v>
      </c>
      <c r="P1208" s="10" t="s">
        <v>8313</v>
      </c>
      <c r="Q1208" s="10" t="s">
        <v>8314</v>
      </c>
      <c r="R1208" s="10" t="s">
        <v>247</v>
      </c>
      <c r="S1208" s="12" t="s">
        <v>8315</v>
      </c>
      <c r="T1208" s="10" t="s">
        <v>249</v>
      </c>
      <c r="U1208" s="12" t="s">
        <v>31</v>
      </c>
      <c r="V1208" s="10" t="s">
        <v>8639</v>
      </c>
      <c r="W1208" s="10" t="s">
        <v>8309</v>
      </c>
      <c r="X1208" s="13" t="str">
        <f>HYPERLINK("https://my.pitchbook.com?p=262860-58P","View People Online")</f>
        <v>View People Online</v>
      </c>
    </row>
    <row r="1209">
      <c r="A1209" s="6" t="s">
        <v>8640</v>
      </c>
      <c r="B1209" s="6" t="s">
        <v>8641</v>
      </c>
      <c r="C1209" s="6" t="s">
        <v>69</v>
      </c>
      <c r="D1209" s="6" t="s">
        <v>8642</v>
      </c>
      <c r="E1209" s="6" t="s">
        <v>8309</v>
      </c>
      <c r="F1209" s="6" t="s">
        <v>825</v>
      </c>
      <c r="G1209" s="6" t="s">
        <v>8643</v>
      </c>
      <c r="H1209" s="7" t="s">
        <v>31</v>
      </c>
      <c r="I1209" s="7">
        <v>1.0</v>
      </c>
      <c r="J1209" s="7">
        <v>1.0</v>
      </c>
      <c r="K1209" s="7" t="s">
        <v>31</v>
      </c>
      <c r="L1209" s="8" t="s">
        <v>8311</v>
      </c>
      <c r="M1209" s="6" t="s">
        <v>8644</v>
      </c>
      <c r="N1209" s="6" t="s">
        <v>243</v>
      </c>
      <c r="O1209" s="8" t="s">
        <v>244</v>
      </c>
      <c r="P1209" s="6" t="s">
        <v>8313</v>
      </c>
      <c r="Q1209" s="6" t="s">
        <v>8314</v>
      </c>
      <c r="R1209" s="6" t="s">
        <v>247</v>
      </c>
      <c r="S1209" s="8" t="s">
        <v>8315</v>
      </c>
      <c r="T1209" s="6" t="s">
        <v>249</v>
      </c>
      <c r="U1209" s="8" t="s">
        <v>31</v>
      </c>
      <c r="V1209" s="6" t="s">
        <v>8645</v>
      </c>
      <c r="W1209" s="6" t="s">
        <v>8309</v>
      </c>
      <c r="X1209" s="9" t="str">
        <f>HYPERLINK("https://my.pitchbook.com?p=315499-96P","View People Online")</f>
        <v>View People Online</v>
      </c>
    </row>
    <row r="1210">
      <c r="A1210" s="10" t="s">
        <v>8646</v>
      </c>
      <c r="B1210" s="10" t="s">
        <v>8647</v>
      </c>
      <c r="C1210" s="10" t="s">
        <v>7978</v>
      </c>
      <c r="D1210" s="10" t="s">
        <v>8648</v>
      </c>
      <c r="E1210" s="10" t="s">
        <v>8309</v>
      </c>
      <c r="F1210" s="10" t="s">
        <v>825</v>
      </c>
      <c r="G1210" s="10" t="s">
        <v>8649</v>
      </c>
      <c r="H1210" s="11" t="s">
        <v>31</v>
      </c>
      <c r="I1210" s="11">
        <v>1.0</v>
      </c>
      <c r="J1210" s="11">
        <v>1.0</v>
      </c>
      <c r="K1210" s="11" t="s">
        <v>31</v>
      </c>
      <c r="L1210" s="12" t="s">
        <v>8311</v>
      </c>
      <c r="M1210" s="10" t="s">
        <v>8650</v>
      </c>
      <c r="N1210" s="10" t="s">
        <v>243</v>
      </c>
      <c r="O1210" s="12" t="s">
        <v>244</v>
      </c>
      <c r="P1210" s="10" t="s">
        <v>8313</v>
      </c>
      <c r="Q1210" s="10" t="s">
        <v>8314</v>
      </c>
      <c r="R1210" s="10" t="s">
        <v>247</v>
      </c>
      <c r="S1210" s="12" t="s">
        <v>8315</v>
      </c>
      <c r="T1210" s="10" t="s">
        <v>249</v>
      </c>
      <c r="U1210" s="12" t="s">
        <v>31</v>
      </c>
      <c r="V1210" s="10" t="s">
        <v>8651</v>
      </c>
      <c r="W1210" s="10" t="s">
        <v>8309</v>
      </c>
      <c r="X1210" s="13" t="str">
        <f>HYPERLINK("https://my.pitchbook.com?p=304973-11P","View People Online")</f>
        <v>View People Online</v>
      </c>
    </row>
    <row r="1211">
      <c r="A1211" s="14" t="s">
        <v>8652</v>
      </c>
      <c r="B1211" s="14" t="s">
        <v>8653</v>
      </c>
      <c r="C1211" s="14" t="s">
        <v>1449</v>
      </c>
      <c r="D1211" s="14" t="s">
        <v>4526</v>
      </c>
      <c r="E1211" s="14" t="s">
        <v>8309</v>
      </c>
      <c r="F1211" s="14" t="s">
        <v>548</v>
      </c>
      <c r="G1211" s="14" t="s">
        <v>8654</v>
      </c>
      <c r="H1211" s="15" t="s">
        <v>31</v>
      </c>
      <c r="I1211" s="15">
        <v>2.0</v>
      </c>
      <c r="J1211" s="15">
        <v>1.0</v>
      </c>
      <c r="K1211" s="15">
        <v>1.0</v>
      </c>
      <c r="L1211" s="16" t="s">
        <v>8311</v>
      </c>
      <c r="M1211" s="14" t="s">
        <v>8655</v>
      </c>
      <c r="N1211" s="14" t="s">
        <v>243</v>
      </c>
      <c r="O1211" s="16" t="s">
        <v>244</v>
      </c>
      <c r="P1211" s="14" t="s">
        <v>8313</v>
      </c>
      <c r="Q1211" s="14" t="s">
        <v>8314</v>
      </c>
      <c r="R1211" s="14" t="s">
        <v>247</v>
      </c>
      <c r="S1211" s="16" t="s">
        <v>8315</v>
      </c>
      <c r="T1211" s="14" t="s">
        <v>249</v>
      </c>
      <c r="U1211" s="16" t="s">
        <v>31</v>
      </c>
      <c r="V1211" s="14" t="s">
        <v>8656</v>
      </c>
      <c r="W1211" s="14" t="s">
        <v>8309</v>
      </c>
      <c r="X1211" s="17" t="str">
        <f>HYPERLINK("https://my.pitchbook.com?p=105866-29P","View People Online")</f>
        <v>View People Online</v>
      </c>
    </row>
    <row r="1212">
      <c r="A1212" s="10" t="s">
        <v>8657</v>
      </c>
      <c r="B1212" s="10" t="s">
        <v>8658</v>
      </c>
      <c r="C1212" s="10" t="s">
        <v>1449</v>
      </c>
      <c r="D1212" s="10" t="s">
        <v>8659</v>
      </c>
      <c r="E1212" s="10" t="s">
        <v>8309</v>
      </c>
      <c r="F1212" s="10" t="s">
        <v>8581</v>
      </c>
      <c r="G1212" s="10" t="s">
        <v>8660</v>
      </c>
      <c r="H1212" s="11" t="s">
        <v>31</v>
      </c>
      <c r="I1212" s="11">
        <v>2.0</v>
      </c>
      <c r="J1212" s="11">
        <v>1.0</v>
      </c>
      <c r="K1212" s="11">
        <v>1.0</v>
      </c>
      <c r="L1212" s="12" t="s">
        <v>8311</v>
      </c>
      <c r="M1212" s="10" t="s">
        <v>8661</v>
      </c>
      <c r="N1212" s="10" t="s">
        <v>243</v>
      </c>
      <c r="O1212" s="12" t="s">
        <v>244</v>
      </c>
      <c r="P1212" s="10" t="s">
        <v>8313</v>
      </c>
      <c r="Q1212" s="10" t="s">
        <v>8314</v>
      </c>
      <c r="R1212" s="10" t="s">
        <v>247</v>
      </c>
      <c r="S1212" s="12" t="s">
        <v>8315</v>
      </c>
      <c r="T1212" s="10" t="s">
        <v>249</v>
      </c>
      <c r="U1212" s="12" t="s">
        <v>31</v>
      </c>
      <c r="V1212" s="10" t="s">
        <v>8662</v>
      </c>
      <c r="W1212" s="10" t="s">
        <v>8309</v>
      </c>
      <c r="X1212" s="13" t="str">
        <f>HYPERLINK("https://my.pitchbook.com?p=391592-62P","View People Online")</f>
        <v>View People Online</v>
      </c>
    </row>
    <row r="1213">
      <c r="A1213" s="6" t="s">
        <v>8663</v>
      </c>
      <c r="B1213" s="6" t="s">
        <v>8664</v>
      </c>
      <c r="C1213" s="6" t="s">
        <v>1449</v>
      </c>
      <c r="D1213" s="6" t="s">
        <v>3847</v>
      </c>
      <c r="E1213" s="6" t="s">
        <v>8309</v>
      </c>
      <c r="F1213" s="6" t="s">
        <v>825</v>
      </c>
      <c r="G1213" s="6" t="s">
        <v>8665</v>
      </c>
      <c r="H1213" s="7" t="s">
        <v>31</v>
      </c>
      <c r="I1213" s="7">
        <v>3.0</v>
      </c>
      <c r="J1213" s="7">
        <v>1.0</v>
      </c>
      <c r="K1213" s="7">
        <v>2.0</v>
      </c>
      <c r="L1213" s="8" t="s">
        <v>8311</v>
      </c>
      <c r="M1213" s="6" t="s">
        <v>8666</v>
      </c>
      <c r="N1213" s="6" t="s">
        <v>243</v>
      </c>
      <c r="O1213" s="8" t="s">
        <v>244</v>
      </c>
      <c r="P1213" s="6" t="s">
        <v>8313</v>
      </c>
      <c r="Q1213" s="6" t="s">
        <v>8314</v>
      </c>
      <c r="R1213" s="6" t="s">
        <v>247</v>
      </c>
      <c r="S1213" s="8" t="s">
        <v>8315</v>
      </c>
      <c r="T1213" s="6" t="s">
        <v>249</v>
      </c>
      <c r="U1213" s="8" t="s">
        <v>31</v>
      </c>
      <c r="V1213" s="6" t="s">
        <v>8667</v>
      </c>
      <c r="W1213" s="6" t="s">
        <v>8309</v>
      </c>
      <c r="X1213" s="9" t="str">
        <f>HYPERLINK("https://my.pitchbook.com?p=30308-14P","View People Online")</f>
        <v>View People Online</v>
      </c>
    </row>
    <row r="1214">
      <c r="A1214" s="10" t="s">
        <v>8668</v>
      </c>
      <c r="B1214" s="10" t="s">
        <v>8669</v>
      </c>
      <c r="C1214" s="10" t="s">
        <v>1449</v>
      </c>
      <c r="D1214" s="10" t="s">
        <v>8670</v>
      </c>
      <c r="E1214" s="10" t="s">
        <v>8309</v>
      </c>
      <c r="F1214" s="10" t="s">
        <v>2652</v>
      </c>
      <c r="G1214" s="10" t="s">
        <v>8671</v>
      </c>
      <c r="H1214" s="11" t="s">
        <v>31</v>
      </c>
      <c r="I1214" s="11">
        <v>1.0</v>
      </c>
      <c r="J1214" s="11">
        <v>1.0</v>
      </c>
      <c r="K1214" s="11" t="s">
        <v>31</v>
      </c>
      <c r="L1214" s="12" t="s">
        <v>8311</v>
      </c>
      <c r="M1214" s="10" t="s">
        <v>8672</v>
      </c>
      <c r="N1214" s="10" t="s">
        <v>243</v>
      </c>
      <c r="O1214" s="12" t="s">
        <v>244</v>
      </c>
      <c r="P1214" s="10" t="s">
        <v>8313</v>
      </c>
      <c r="Q1214" s="10" t="s">
        <v>8314</v>
      </c>
      <c r="R1214" s="10" t="s">
        <v>247</v>
      </c>
      <c r="S1214" s="12" t="s">
        <v>8315</v>
      </c>
      <c r="T1214" s="10" t="s">
        <v>249</v>
      </c>
      <c r="U1214" s="12" t="s">
        <v>31</v>
      </c>
      <c r="V1214" s="10" t="s">
        <v>8673</v>
      </c>
      <c r="W1214" s="10" t="s">
        <v>8309</v>
      </c>
      <c r="X1214" s="13" t="str">
        <f>HYPERLINK("https://my.pitchbook.com?p=263098-18P","View People Online")</f>
        <v>View People Online</v>
      </c>
    </row>
    <row r="1215">
      <c r="A1215" s="14" t="s">
        <v>8674</v>
      </c>
      <c r="B1215" s="14" t="s">
        <v>8675</v>
      </c>
      <c r="C1215" s="14" t="s">
        <v>1449</v>
      </c>
      <c r="D1215" s="14" t="s">
        <v>8676</v>
      </c>
      <c r="E1215" s="14" t="s">
        <v>8309</v>
      </c>
      <c r="F1215" s="14" t="s">
        <v>548</v>
      </c>
      <c r="G1215" s="14" t="s">
        <v>8677</v>
      </c>
      <c r="H1215" s="15" t="s">
        <v>31</v>
      </c>
      <c r="I1215" s="15">
        <v>1.0</v>
      </c>
      <c r="J1215" s="15">
        <v>1.0</v>
      </c>
      <c r="K1215" s="15" t="s">
        <v>31</v>
      </c>
      <c r="L1215" s="16" t="s">
        <v>8311</v>
      </c>
      <c r="M1215" s="14" t="s">
        <v>8678</v>
      </c>
      <c r="N1215" s="14" t="s">
        <v>243</v>
      </c>
      <c r="O1215" s="16" t="s">
        <v>244</v>
      </c>
      <c r="P1215" s="14" t="s">
        <v>8313</v>
      </c>
      <c r="Q1215" s="14" t="s">
        <v>8314</v>
      </c>
      <c r="R1215" s="14" t="s">
        <v>247</v>
      </c>
      <c r="S1215" s="16" t="s">
        <v>8315</v>
      </c>
      <c r="T1215" s="14" t="s">
        <v>249</v>
      </c>
      <c r="U1215" s="16" t="s">
        <v>31</v>
      </c>
      <c r="V1215" s="14" t="s">
        <v>548</v>
      </c>
      <c r="W1215" s="14" t="s">
        <v>8309</v>
      </c>
      <c r="X1215" s="17" t="str">
        <f>HYPERLINK("https://my.pitchbook.com?p=409424-23P","View People Online")</f>
        <v>View People Online</v>
      </c>
    </row>
    <row r="1216">
      <c r="A1216" s="2" t="s">
        <v>8679</v>
      </c>
      <c r="B1216" s="2" t="s">
        <v>8680</v>
      </c>
      <c r="C1216" s="2" t="s">
        <v>8681</v>
      </c>
      <c r="D1216" s="2" t="s">
        <v>8682</v>
      </c>
      <c r="E1216" s="2" t="s">
        <v>8309</v>
      </c>
      <c r="F1216" s="2" t="s">
        <v>1283</v>
      </c>
      <c r="G1216" s="2" t="s">
        <v>8683</v>
      </c>
      <c r="H1216" s="3" t="s">
        <v>31</v>
      </c>
      <c r="I1216" s="3">
        <v>1.0</v>
      </c>
      <c r="J1216" s="3">
        <v>1.0</v>
      </c>
      <c r="K1216" s="3" t="s">
        <v>31</v>
      </c>
      <c r="L1216" s="4" t="s">
        <v>8311</v>
      </c>
      <c r="M1216" s="2" t="s">
        <v>8684</v>
      </c>
      <c r="N1216" s="2" t="s">
        <v>243</v>
      </c>
      <c r="O1216" s="4" t="s">
        <v>244</v>
      </c>
      <c r="P1216" s="2" t="s">
        <v>8313</v>
      </c>
      <c r="Q1216" s="2" t="s">
        <v>8314</v>
      </c>
      <c r="R1216" s="2" t="s">
        <v>247</v>
      </c>
      <c r="S1216" s="4" t="s">
        <v>8315</v>
      </c>
      <c r="T1216" s="2" t="s">
        <v>249</v>
      </c>
      <c r="U1216" s="4" t="s">
        <v>31</v>
      </c>
      <c r="V1216" s="2" t="s">
        <v>8685</v>
      </c>
      <c r="W1216" s="2" t="s">
        <v>8309</v>
      </c>
      <c r="X1216" s="5" t="str">
        <f>HYPERLINK("https://my.pitchbook.com?p=275628-52P","View People Online")</f>
        <v>View People Online</v>
      </c>
    </row>
    <row r="1217">
      <c r="A1217" s="6" t="s">
        <v>8686</v>
      </c>
      <c r="B1217" s="6" t="s">
        <v>8687</v>
      </c>
      <c r="C1217" s="6" t="s">
        <v>8681</v>
      </c>
      <c r="D1217" s="6" t="s">
        <v>8688</v>
      </c>
      <c r="E1217" s="6" t="s">
        <v>8309</v>
      </c>
      <c r="F1217" s="6" t="s">
        <v>548</v>
      </c>
      <c r="G1217" s="6" t="s">
        <v>8689</v>
      </c>
      <c r="H1217" s="7" t="s">
        <v>31</v>
      </c>
      <c r="I1217" s="7">
        <v>1.0</v>
      </c>
      <c r="J1217" s="7">
        <v>1.0</v>
      </c>
      <c r="K1217" s="7" t="s">
        <v>31</v>
      </c>
      <c r="L1217" s="8" t="s">
        <v>8311</v>
      </c>
      <c r="M1217" s="6" t="s">
        <v>8690</v>
      </c>
      <c r="N1217" s="6" t="s">
        <v>243</v>
      </c>
      <c r="O1217" s="8" t="s">
        <v>244</v>
      </c>
      <c r="P1217" s="6" t="s">
        <v>8313</v>
      </c>
      <c r="Q1217" s="6" t="s">
        <v>8314</v>
      </c>
      <c r="R1217" s="6" t="s">
        <v>247</v>
      </c>
      <c r="S1217" s="8" t="s">
        <v>8315</v>
      </c>
      <c r="T1217" s="6" t="s">
        <v>249</v>
      </c>
      <c r="U1217" s="8" t="s">
        <v>31</v>
      </c>
      <c r="V1217" s="6" t="s">
        <v>548</v>
      </c>
      <c r="W1217" s="6" t="s">
        <v>8309</v>
      </c>
      <c r="X1217" s="9" t="str">
        <f>HYPERLINK("https://my.pitchbook.com?p=114784-66P","View People Online")</f>
        <v>View People Online</v>
      </c>
    </row>
    <row r="1218">
      <c r="A1218" s="10" t="s">
        <v>8691</v>
      </c>
      <c r="B1218" s="10" t="s">
        <v>8692</v>
      </c>
      <c r="C1218" s="10" t="s">
        <v>5785</v>
      </c>
      <c r="D1218" s="10" t="s">
        <v>8693</v>
      </c>
      <c r="E1218" s="10" t="s">
        <v>8309</v>
      </c>
      <c r="F1218" s="10" t="s">
        <v>1283</v>
      </c>
      <c r="G1218" s="10" t="s">
        <v>8694</v>
      </c>
      <c r="H1218" s="11" t="s">
        <v>31</v>
      </c>
      <c r="I1218" s="11">
        <v>1.0</v>
      </c>
      <c r="J1218" s="11">
        <v>1.0</v>
      </c>
      <c r="K1218" s="11" t="s">
        <v>31</v>
      </c>
      <c r="L1218" s="12" t="s">
        <v>8311</v>
      </c>
      <c r="M1218" s="10" t="s">
        <v>8695</v>
      </c>
      <c r="N1218" s="10" t="s">
        <v>243</v>
      </c>
      <c r="O1218" s="12" t="s">
        <v>244</v>
      </c>
      <c r="P1218" s="10" t="s">
        <v>8313</v>
      </c>
      <c r="Q1218" s="10" t="s">
        <v>8314</v>
      </c>
      <c r="R1218" s="10" t="s">
        <v>247</v>
      </c>
      <c r="S1218" s="12" t="s">
        <v>8315</v>
      </c>
      <c r="T1218" s="10" t="s">
        <v>249</v>
      </c>
      <c r="U1218" s="12" t="s">
        <v>31</v>
      </c>
      <c r="V1218" s="10" t="s">
        <v>1283</v>
      </c>
      <c r="W1218" s="10" t="s">
        <v>8309</v>
      </c>
      <c r="X1218" s="13" t="str">
        <f>HYPERLINK("https://my.pitchbook.com?p=114781-24P","View People Online")</f>
        <v>View People Online</v>
      </c>
    </row>
    <row r="1219">
      <c r="A1219" s="6" t="s">
        <v>8696</v>
      </c>
      <c r="B1219" s="6" t="s">
        <v>8697</v>
      </c>
      <c r="C1219" s="6" t="s">
        <v>8698</v>
      </c>
      <c r="D1219" s="6" t="s">
        <v>8699</v>
      </c>
      <c r="E1219" s="6" t="s">
        <v>8309</v>
      </c>
      <c r="F1219" s="6" t="s">
        <v>825</v>
      </c>
      <c r="G1219" s="6" t="s">
        <v>8700</v>
      </c>
      <c r="H1219" s="7" t="s">
        <v>31</v>
      </c>
      <c r="I1219" s="7">
        <v>1.0</v>
      </c>
      <c r="J1219" s="7">
        <v>1.0</v>
      </c>
      <c r="K1219" s="7" t="s">
        <v>31</v>
      </c>
      <c r="L1219" s="8" t="s">
        <v>8311</v>
      </c>
      <c r="M1219" s="6" t="s">
        <v>8701</v>
      </c>
      <c r="N1219" s="6" t="s">
        <v>243</v>
      </c>
      <c r="O1219" s="8" t="s">
        <v>244</v>
      </c>
      <c r="P1219" s="6" t="s">
        <v>8313</v>
      </c>
      <c r="Q1219" s="6" t="s">
        <v>8314</v>
      </c>
      <c r="R1219" s="6" t="s">
        <v>247</v>
      </c>
      <c r="S1219" s="8" t="s">
        <v>8315</v>
      </c>
      <c r="T1219" s="6" t="s">
        <v>249</v>
      </c>
      <c r="U1219" s="8" t="s">
        <v>31</v>
      </c>
      <c r="V1219" s="6" t="s">
        <v>8702</v>
      </c>
      <c r="W1219" s="6" t="s">
        <v>8309</v>
      </c>
      <c r="X1219" s="9" t="str">
        <f>HYPERLINK("https://my.pitchbook.com?p=417200-68P","View People Online")</f>
        <v>View People Online</v>
      </c>
    </row>
    <row r="1220">
      <c r="A1220" s="10" t="s">
        <v>8703</v>
      </c>
      <c r="B1220" s="10" t="s">
        <v>8704</v>
      </c>
      <c r="C1220" s="10" t="s">
        <v>8698</v>
      </c>
      <c r="D1220" s="10" t="s">
        <v>5692</v>
      </c>
      <c r="E1220" s="10" t="s">
        <v>8309</v>
      </c>
      <c r="F1220" s="10" t="s">
        <v>825</v>
      </c>
      <c r="G1220" s="10" t="s">
        <v>8705</v>
      </c>
      <c r="H1220" s="11" t="s">
        <v>31</v>
      </c>
      <c r="I1220" s="11">
        <v>2.0</v>
      </c>
      <c r="J1220" s="11">
        <v>2.0</v>
      </c>
      <c r="K1220" s="11" t="s">
        <v>31</v>
      </c>
      <c r="L1220" s="12" t="s">
        <v>8311</v>
      </c>
      <c r="M1220" s="10" t="s">
        <v>8706</v>
      </c>
      <c r="N1220" s="10" t="s">
        <v>243</v>
      </c>
      <c r="O1220" s="12" t="s">
        <v>244</v>
      </c>
      <c r="P1220" s="10" t="s">
        <v>8313</v>
      </c>
      <c r="Q1220" s="10" t="s">
        <v>8314</v>
      </c>
      <c r="R1220" s="10" t="s">
        <v>247</v>
      </c>
      <c r="S1220" s="12" t="s">
        <v>8315</v>
      </c>
      <c r="T1220" s="10" t="s">
        <v>249</v>
      </c>
      <c r="U1220" s="12" t="s">
        <v>31</v>
      </c>
      <c r="V1220" s="10" t="s">
        <v>8707</v>
      </c>
      <c r="W1220" s="10" t="s">
        <v>8309</v>
      </c>
      <c r="X1220" s="13" t="str">
        <f>HYPERLINK("https://my.pitchbook.com?p=262764-91P","View People Online")</f>
        <v>View People Online</v>
      </c>
    </row>
    <row r="1221">
      <c r="A1221" s="6" t="s">
        <v>8708</v>
      </c>
      <c r="B1221" s="6" t="s">
        <v>8709</v>
      </c>
      <c r="C1221" s="6" t="s">
        <v>8710</v>
      </c>
      <c r="D1221" s="6" t="s">
        <v>8711</v>
      </c>
      <c r="E1221" s="6" t="s">
        <v>8309</v>
      </c>
      <c r="F1221" s="6" t="s">
        <v>470</v>
      </c>
      <c r="G1221" s="6" t="s">
        <v>8712</v>
      </c>
      <c r="H1221" s="7" t="s">
        <v>31</v>
      </c>
      <c r="I1221" s="7">
        <v>1.0</v>
      </c>
      <c r="J1221" s="7">
        <v>1.0</v>
      </c>
      <c r="K1221" s="7" t="s">
        <v>31</v>
      </c>
      <c r="L1221" s="8" t="s">
        <v>8311</v>
      </c>
      <c r="M1221" s="6" t="s">
        <v>8713</v>
      </c>
      <c r="N1221" s="6" t="s">
        <v>243</v>
      </c>
      <c r="O1221" s="8" t="s">
        <v>244</v>
      </c>
      <c r="P1221" s="6" t="s">
        <v>8313</v>
      </c>
      <c r="Q1221" s="6" t="s">
        <v>8314</v>
      </c>
      <c r="R1221" s="6" t="s">
        <v>247</v>
      </c>
      <c r="S1221" s="8" t="s">
        <v>8315</v>
      </c>
      <c r="T1221" s="6" t="s">
        <v>249</v>
      </c>
      <c r="U1221" s="8" t="s">
        <v>31</v>
      </c>
      <c r="V1221" s="6" t="s">
        <v>8714</v>
      </c>
      <c r="W1221" s="6" t="s">
        <v>8309</v>
      </c>
      <c r="X1221" s="9" t="str">
        <f>HYPERLINK("https://my.pitchbook.com?p=446711-32P","View People Online")</f>
        <v>View People Online</v>
      </c>
    </row>
    <row r="1222">
      <c r="A1222" s="10" t="s">
        <v>8715</v>
      </c>
      <c r="B1222" s="10" t="s">
        <v>8716</v>
      </c>
      <c r="C1222" s="10" t="s">
        <v>316</v>
      </c>
      <c r="D1222" s="10" t="s">
        <v>2457</v>
      </c>
      <c r="E1222" s="10" t="s">
        <v>8309</v>
      </c>
      <c r="F1222" s="10" t="s">
        <v>1283</v>
      </c>
      <c r="G1222" s="10" t="s">
        <v>8717</v>
      </c>
      <c r="H1222" s="11" t="s">
        <v>31</v>
      </c>
      <c r="I1222" s="11">
        <v>1.0</v>
      </c>
      <c r="J1222" s="11">
        <v>1.0</v>
      </c>
      <c r="K1222" s="11" t="s">
        <v>31</v>
      </c>
      <c r="L1222" s="12" t="s">
        <v>8311</v>
      </c>
      <c r="M1222" s="10" t="s">
        <v>8718</v>
      </c>
      <c r="N1222" s="10" t="s">
        <v>243</v>
      </c>
      <c r="O1222" s="12" t="s">
        <v>244</v>
      </c>
      <c r="P1222" s="10" t="s">
        <v>8313</v>
      </c>
      <c r="Q1222" s="10" t="s">
        <v>8314</v>
      </c>
      <c r="R1222" s="10" t="s">
        <v>247</v>
      </c>
      <c r="S1222" s="12" t="s">
        <v>8315</v>
      </c>
      <c r="T1222" s="10" t="s">
        <v>249</v>
      </c>
      <c r="U1222" s="12" t="s">
        <v>31</v>
      </c>
      <c r="V1222" s="10" t="s">
        <v>1283</v>
      </c>
      <c r="W1222" s="10" t="s">
        <v>8309</v>
      </c>
      <c r="X1222" s="13" t="str">
        <f>HYPERLINK("https://my.pitchbook.com?p=413493-22P","View People Online")</f>
        <v>View People Online</v>
      </c>
    </row>
    <row r="1223">
      <c r="A1223" s="14" t="s">
        <v>8719</v>
      </c>
      <c r="B1223" s="14" t="s">
        <v>8720</v>
      </c>
      <c r="C1223" s="14" t="s">
        <v>1463</v>
      </c>
      <c r="D1223" s="14" t="s">
        <v>3458</v>
      </c>
      <c r="E1223" s="14" t="s">
        <v>8309</v>
      </c>
      <c r="F1223" s="14" t="s">
        <v>371</v>
      </c>
      <c r="G1223" s="14" t="s">
        <v>8721</v>
      </c>
      <c r="H1223" s="15" t="s">
        <v>31</v>
      </c>
      <c r="I1223" s="15">
        <v>1.0</v>
      </c>
      <c r="J1223" s="15">
        <v>1.0</v>
      </c>
      <c r="K1223" s="15" t="s">
        <v>31</v>
      </c>
      <c r="L1223" s="16" t="s">
        <v>8311</v>
      </c>
      <c r="M1223" s="14" t="s">
        <v>8722</v>
      </c>
      <c r="N1223" s="14" t="s">
        <v>243</v>
      </c>
      <c r="O1223" s="16" t="s">
        <v>244</v>
      </c>
      <c r="P1223" s="14" t="s">
        <v>8313</v>
      </c>
      <c r="Q1223" s="14" t="s">
        <v>8314</v>
      </c>
      <c r="R1223" s="14" t="s">
        <v>247</v>
      </c>
      <c r="S1223" s="16" t="s">
        <v>8315</v>
      </c>
      <c r="T1223" s="14" t="s">
        <v>249</v>
      </c>
      <c r="U1223" s="16" t="s">
        <v>31</v>
      </c>
      <c r="V1223" s="14" t="s">
        <v>8723</v>
      </c>
      <c r="W1223" s="14" t="s">
        <v>8309</v>
      </c>
      <c r="X1223" s="17" t="str">
        <f>HYPERLINK("https://my.pitchbook.com?p=333232-66P","View People Online")</f>
        <v>View People Online</v>
      </c>
    </row>
    <row r="1224">
      <c r="A1224" s="10" t="s">
        <v>8724</v>
      </c>
      <c r="B1224" s="10" t="s">
        <v>8725</v>
      </c>
      <c r="C1224" s="10" t="s">
        <v>5495</v>
      </c>
      <c r="D1224" s="10" t="s">
        <v>8726</v>
      </c>
      <c r="E1224" s="10" t="s">
        <v>8309</v>
      </c>
      <c r="F1224" s="10" t="s">
        <v>1283</v>
      </c>
      <c r="G1224" s="10" t="s">
        <v>8727</v>
      </c>
      <c r="H1224" s="11" t="s">
        <v>31</v>
      </c>
      <c r="I1224" s="11">
        <v>1.0</v>
      </c>
      <c r="J1224" s="11">
        <v>1.0</v>
      </c>
      <c r="K1224" s="11" t="s">
        <v>31</v>
      </c>
      <c r="L1224" s="12" t="s">
        <v>8728</v>
      </c>
      <c r="M1224" s="10" t="s">
        <v>8729</v>
      </c>
      <c r="N1224" s="10" t="s">
        <v>243</v>
      </c>
      <c r="O1224" s="12" t="s">
        <v>244</v>
      </c>
      <c r="P1224" s="10" t="s">
        <v>8313</v>
      </c>
      <c r="Q1224" s="10" t="s">
        <v>8314</v>
      </c>
      <c r="R1224" s="10" t="s">
        <v>247</v>
      </c>
      <c r="S1224" s="12" t="s">
        <v>8315</v>
      </c>
      <c r="T1224" s="10" t="s">
        <v>249</v>
      </c>
      <c r="U1224" s="12" t="s">
        <v>31</v>
      </c>
      <c r="V1224" s="10" t="s">
        <v>8730</v>
      </c>
      <c r="W1224" s="10" t="s">
        <v>8309</v>
      </c>
      <c r="X1224" s="13" t="str">
        <f>HYPERLINK("https://my.pitchbook.com?p=288804-34P","View People Online")</f>
        <v>View People Online</v>
      </c>
    </row>
    <row r="1225">
      <c r="A1225" s="14" t="s">
        <v>8731</v>
      </c>
      <c r="B1225" s="14" t="s">
        <v>8732</v>
      </c>
      <c r="C1225" s="14" t="s">
        <v>5495</v>
      </c>
      <c r="D1225" s="14" t="s">
        <v>8733</v>
      </c>
      <c r="E1225" s="14" t="s">
        <v>8309</v>
      </c>
      <c r="F1225" s="14" t="s">
        <v>1283</v>
      </c>
      <c r="G1225" s="14" t="s">
        <v>8734</v>
      </c>
      <c r="H1225" s="15" t="s">
        <v>31</v>
      </c>
      <c r="I1225" s="15">
        <v>1.0</v>
      </c>
      <c r="J1225" s="15">
        <v>1.0</v>
      </c>
      <c r="K1225" s="15" t="s">
        <v>31</v>
      </c>
      <c r="L1225" s="16" t="s">
        <v>8735</v>
      </c>
      <c r="M1225" s="14" t="s">
        <v>8736</v>
      </c>
      <c r="N1225" s="14" t="s">
        <v>243</v>
      </c>
      <c r="O1225" s="16" t="s">
        <v>244</v>
      </c>
      <c r="P1225" s="14" t="s">
        <v>8313</v>
      </c>
      <c r="Q1225" s="14" t="s">
        <v>8314</v>
      </c>
      <c r="R1225" s="14" t="s">
        <v>247</v>
      </c>
      <c r="S1225" s="16" t="s">
        <v>8315</v>
      </c>
      <c r="T1225" s="14" t="s">
        <v>249</v>
      </c>
      <c r="U1225" s="16" t="s">
        <v>31</v>
      </c>
      <c r="V1225" s="14" t="s">
        <v>8730</v>
      </c>
      <c r="W1225" s="14" t="s">
        <v>8309</v>
      </c>
      <c r="X1225" s="17" t="str">
        <f>HYPERLINK("https://my.pitchbook.com?p=288805-51P","View People Online")</f>
        <v>View People Online</v>
      </c>
    </row>
    <row r="1226">
      <c r="A1226" s="10" t="s">
        <v>8737</v>
      </c>
      <c r="B1226" s="10" t="s">
        <v>8738</v>
      </c>
      <c r="C1226" s="10" t="s">
        <v>8739</v>
      </c>
      <c r="D1226" s="10" t="s">
        <v>3570</v>
      </c>
      <c r="E1226" s="10" t="s">
        <v>8309</v>
      </c>
      <c r="F1226" s="10" t="s">
        <v>548</v>
      </c>
      <c r="G1226" s="10" t="s">
        <v>8740</v>
      </c>
      <c r="H1226" s="11" t="s">
        <v>31</v>
      </c>
      <c r="I1226" s="11">
        <v>1.0</v>
      </c>
      <c r="J1226" s="11">
        <v>1.0</v>
      </c>
      <c r="K1226" s="11" t="s">
        <v>31</v>
      </c>
      <c r="L1226" s="12" t="s">
        <v>8311</v>
      </c>
      <c r="M1226" s="10" t="s">
        <v>8741</v>
      </c>
      <c r="N1226" s="10" t="s">
        <v>243</v>
      </c>
      <c r="O1226" s="12" t="s">
        <v>244</v>
      </c>
      <c r="P1226" s="10" t="s">
        <v>8313</v>
      </c>
      <c r="Q1226" s="10" t="s">
        <v>8314</v>
      </c>
      <c r="R1226" s="10" t="s">
        <v>247</v>
      </c>
      <c r="S1226" s="12" t="s">
        <v>8315</v>
      </c>
      <c r="T1226" s="10" t="s">
        <v>249</v>
      </c>
      <c r="U1226" s="12" t="s">
        <v>31</v>
      </c>
      <c r="V1226" s="10" t="s">
        <v>8742</v>
      </c>
      <c r="W1226" s="10" t="s">
        <v>8309</v>
      </c>
      <c r="X1226" s="13" t="str">
        <f>HYPERLINK("https://my.pitchbook.com?p=88075-99P","View People Online")</f>
        <v>View People Online</v>
      </c>
    </row>
    <row r="1227">
      <c r="A1227" s="14" t="s">
        <v>8743</v>
      </c>
      <c r="B1227" s="14" t="s">
        <v>8744</v>
      </c>
      <c r="C1227" s="14" t="s">
        <v>783</v>
      </c>
      <c r="D1227" s="14" t="s">
        <v>8745</v>
      </c>
      <c r="E1227" s="14" t="s">
        <v>8309</v>
      </c>
      <c r="F1227" s="14" t="s">
        <v>825</v>
      </c>
      <c r="G1227" s="14" t="s">
        <v>8746</v>
      </c>
      <c r="H1227" s="15" t="s">
        <v>31</v>
      </c>
      <c r="I1227" s="15">
        <v>1.0</v>
      </c>
      <c r="J1227" s="15">
        <v>1.0</v>
      </c>
      <c r="K1227" s="15" t="s">
        <v>31</v>
      </c>
      <c r="L1227" s="16" t="s">
        <v>8311</v>
      </c>
      <c r="M1227" s="14" t="s">
        <v>8747</v>
      </c>
      <c r="N1227" s="14" t="s">
        <v>243</v>
      </c>
      <c r="O1227" s="16" t="s">
        <v>244</v>
      </c>
      <c r="P1227" s="14" t="s">
        <v>8313</v>
      </c>
      <c r="Q1227" s="14" t="s">
        <v>8314</v>
      </c>
      <c r="R1227" s="14" t="s">
        <v>247</v>
      </c>
      <c r="S1227" s="16" t="s">
        <v>8315</v>
      </c>
      <c r="T1227" s="14" t="s">
        <v>249</v>
      </c>
      <c r="U1227" s="16" t="s">
        <v>31</v>
      </c>
      <c r="V1227" s="14" t="s">
        <v>825</v>
      </c>
      <c r="W1227" s="14" t="s">
        <v>8309</v>
      </c>
      <c r="X1227" s="17" t="str">
        <f>HYPERLINK("https://my.pitchbook.com?p=269319-88P","View People Online")</f>
        <v>View People Online</v>
      </c>
    </row>
    <row r="1228">
      <c r="A1228" s="10" t="s">
        <v>8748</v>
      </c>
      <c r="B1228" s="10" t="s">
        <v>8749</v>
      </c>
      <c r="C1228" s="10" t="s">
        <v>8750</v>
      </c>
      <c r="D1228" s="10" t="s">
        <v>8751</v>
      </c>
      <c r="E1228" s="10" t="s">
        <v>8309</v>
      </c>
      <c r="F1228" s="10" t="s">
        <v>371</v>
      </c>
      <c r="G1228" s="10" t="s">
        <v>8752</v>
      </c>
      <c r="H1228" s="11" t="s">
        <v>31</v>
      </c>
      <c r="I1228" s="11">
        <v>1.0</v>
      </c>
      <c r="J1228" s="11">
        <v>1.0</v>
      </c>
      <c r="K1228" s="11" t="s">
        <v>31</v>
      </c>
      <c r="L1228" s="12" t="s">
        <v>8311</v>
      </c>
      <c r="M1228" s="10" t="s">
        <v>8753</v>
      </c>
      <c r="N1228" s="10" t="s">
        <v>243</v>
      </c>
      <c r="O1228" s="12" t="s">
        <v>244</v>
      </c>
      <c r="P1228" s="10" t="s">
        <v>8313</v>
      </c>
      <c r="Q1228" s="10" t="s">
        <v>8314</v>
      </c>
      <c r="R1228" s="10" t="s">
        <v>247</v>
      </c>
      <c r="S1228" s="12" t="s">
        <v>8315</v>
      </c>
      <c r="T1228" s="10" t="s">
        <v>249</v>
      </c>
      <c r="U1228" s="12" t="s">
        <v>31</v>
      </c>
      <c r="V1228" s="10" t="s">
        <v>8754</v>
      </c>
      <c r="W1228" s="10" t="s">
        <v>8309</v>
      </c>
      <c r="X1228" s="13" t="str">
        <f>HYPERLINK("https://my.pitchbook.com?p=114719-32P","View People Online")</f>
        <v>View People Online</v>
      </c>
    </row>
    <row r="1229">
      <c r="A1229" s="6" t="s">
        <v>8755</v>
      </c>
      <c r="B1229" s="6" t="s">
        <v>8756</v>
      </c>
      <c r="C1229" s="6" t="s">
        <v>1255</v>
      </c>
      <c r="D1229" s="6" t="s">
        <v>6333</v>
      </c>
      <c r="E1229" s="6" t="s">
        <v>8309</v>
      </c>
      <c r="F1229" s="6" t="s">
        <v>371</v>
      </c>
      <c r="G1229" s="6" t="s">
        <v>8757</v>
      </c>
      <c r="H1229" s="7" t="s">
        <v>31</v>
      </c>
      <c r="I1229" s="7">
        <v>1.0</v>
      </c>
      <c r="J1229" s="7">
        <v>1.0</v>
      </c>
      <c r="K1229" s="7" t="s">
        <v>31</v>
      </c>
      <c r="L1229" s="8" t="s">
        <v>8311</v>
      </c>
      <c r="M1229" s="6" t="s">
        <v>8758</v>
      </c>
      <c r="N1229" s="6" t="s">
        <v>243</v>
      </c>
      <c r="O1229" s="8" t="s">
        <v>244</v>
      </c>
      <c r="P1229" s="6" t="s">
        <v>8313</v>
      </c>
      <c r="Q1229" s="6" t="s">
        <v>8314</v>
      </c>
      <c r="R1229" s="6" t="s">
        <v>247</v>
      </c>
      <c r="S1229" s="8" t="s">
        <v>8315</v>
      </c>
      <c r="T1229" s="6" t="s">
        <v>249</v>
      </c>
      <c r="U1229" s="8" t="s">
        <v>31</v>
      </c>
      <c r="V1229" s="6" t="s">
        <v>8759</v>
      </c>
      <c r="W1229" s="6" t="s">
        <v>8309</v>
      </c>
      <c r="X1229" s="9" t="str">
        <f>HYPERLINK("https://my.pitchbook.com?p=129938-32P","View People Online")</f>
        <v>View People Online</v>
      </c>
    </row>
    <row r="1230">
      <c r="A1230" s="2" t="s">
        <v>8760</v>
      </c>
      <c r="B1230" s="2" t="s">
        <v>8761</v>
      </c>
      <c r="C1230" s="2" t="s">
        <v>1125</v>
      </c>
      <c r="D1230" s="2" t="s">
        <v>4692</v>
      </c>
      <c r="E1230" s="2" t="s">
        <v>8309</v>
      </c>
      <c r="F1230" s="2" t="s">
        <v>825</v>
      </c>
      <c r="G1230" s="2" t="s">
        <v>8762</v>
      </c>
      <c r="H1230" s="3" t="s">
        <v>31</v>
      </c>
      <c r="I1230" s="3">
        <v>1.0</v>
      </c>
      <c r="J1230" s="3">
        <v>1.0</v>
      </c>
      <c r="K1230" s="3" t="s">
        <v>31</v>
      </c>
      <c r="L1230" s="4" t="s">
        <v>8311</v>
      </c>
      <c r="M1230" s="2" t="s">
        <v>8763</v>
      </c>
      <c r="N1230" s="2" t="s">
        <v>243</v>
      </c>
      <c r="O1230" s="4" t="s">
        <v>244</v>
      </c>
      <c r="P1230" s="2" t="s">
        <v>8313</v>
      </c>
      <c r="Q1230" s="2" t="s">
        <v>8314</v>
      </c>
      <c r="R1230" s="2" t="s">
        <v>247</v>
      </c>
      <c r="S1230" s="4" t="s">
        <v>8315</v>
      </c>
      <c r="T1230" s="2" t="s">
        <v>249</v>
      </c>
      <c r="U1230" s="4" t="s">
        <v>31</v>
      </c>
      <c r="V1230" s="2" t="s">
        <v>8764</v>
      </c>
      <c r="W1230" s="2" t="s">
        <v>8309</v>
      </c>
      <c r="X1230" s="5" t="str">
        <f>HYPERLINK("https://my.pitchbook.com?p=362015-38P","View People Online")</f>
        <v>View People Online</v>
      </c>
    </row>
    <row r="1231">
      <c r="A1231" s="14" t="s">
        <v>8765</v>
      </c>
      <c r="B1231" s="14" t="s">
        <v>8766</v>
      </c>
      <c r="C1231" s="14" t="s">
        <v>8767</v>
      </c>
      <c r="D1231" s="14" t="s">
        <v>8768</v>
      </c>
      <c r="E1231" s="14" t="s">
        <v>8309</v>
      </c>
      <c r="F1231" s="14" t="s">
        <v>825</v>
      </c>
      <c r="G1231" s="14" t="s">
        <v>8769</v>
      </c>
      <c r="H1231" s="15" t="s">
        <v>31</v>
      </c>
      <c r="I1231" s="15">
        <v>1.0</v>
      </c>
      <c r="J1231" s="15">
        <v>1.0</v>
      </c>
      <c r="K1231" s="15" t="s">
        <v>31</v>
      </c>
      <c r="L1231" s="16" t="s">
        <v>8311</v>
      </c>
      <c r="M1231" s="14" t="s">
        <v>8770</v>
      </c>
      <c r="N1231" s="14" t="s">
        <v>243</v>
      </c>
      <c r="O1231" s="16" t="s">
        <v>244</v>
      </c>
      <c r="P1231" s="14" t="s">
        <v>8313</v>
      </c>
      <c r="Q1231" s="14" t="s">
        <v>8314</v>
      </c>
      <c r="R1231" s="14" t="s">
        <v>247</v>
      </c>
      <c r="S1231" s="16" t="s">
        <v>8315</v>
      </c>
      <c r="T1231" s="14" t="s">
        <v>249</v>
      </c>
      <c r="U1231" s="16" t="s">
        <v>31</v>
      </c>
      <c r="V1231" s="14" t="s">
        <v>8771</v>
      </c>
      <c r="W1231" s="14" t="s">
        <v>8309</v>
      </c>
      <c r="X1231" s="17" t="str">
        <f>HYPERLINK("https://my.pitchbook.com?p=79953-13P","View People Online")</f>
        <v>View People Online</v>
      </c>
    </row>
    <row r="1232">
      <c r="A1232" s="2" t="s">
        <v>8772</v>
      </c>
      <c r="B1232" s="2" t="s">
        <v>8773</v>
      </c>
      <c r="C1232" s="2" t="s">
        <v>323</v>
      </c>
      <c r="D1232" s="2" t="s">
        <v>8774</v>
      </c>
      <c r="E1232" s="2" t="s">
        <v>8309</v>
      </c>
      <c r="F1232" s="2" t="s">
        <v>2652</v>
      </c>
      <c r="G1232" s="2" t="s">
        <v>8775</v>
      </c>
      <c r="H1232" s="3" t="s">
        <v>31</v>
      </c>
      <c r="I1232" s="3">
        <v>1.0</v>
      </c>
      <c r="J1232" s="3">
        <v>1.0</v>
      </c>
      <c r="K1232" s="3" t="s">
        <v>31</v>
      </c>
      <c r="L1232" s="4" t="s">
        <v>8311</v>
      </c>
      <c r="M1232" s="2" t="s">
        <v>8776</v>
      </c>
      <c r="N1232" s="2" t="s">
        <v>243</v>
      </c>
      <c r="O1232" s="4" t="s">
        <v>244</v>
      </c>
      <c r="P1232" s="2" t="s">
        <v>8313</v>
      </c>
      <c r="Q1232" s="2" t="s">
        <v>8314</v>
      </c>
      <c r="R1232" s="2" t="s">
        <v>247</v>
      </c>
      <c r="S1232" s="4" t="s">
        <v>8315</v>
      </c>
      <c r="T1232" s="2" t="s">
        <v>249</v>
      </c>
      <c r="U1232" s="4" t="s">
        <v>31</v>
      </c>
      <c r="V1232" s="2" t="s">
        <v>8777</v>
      </c>
      <c r="W1232" s="2" t="s">
        <v>8309</v>
      </c>
      <c r="X1232" s="5" t="str">
        <f>HYPERLINK("https://my.pitchbook.com?p=399058-39P","View People Online")</f>
        <v>View People Online</v>
      </c>
    </row>
    <row r="1233">
      <c r="A1233" s="6" t="s">
        <v>8778</v>
      </c>
      <c r="B1233" s="6" t="s">
        <v>8779</v>
      </c>
      <c r="C1233" s="6" t="s">
        <v>8780</v>
      </c>
      <c r="D1233" s="6" t="s">
        <v>1085</v>
      </c>
      <c r="E1233" s="6" t="s">
        <v>8309</v>
      </c>
      <c r="F1233" s="6" t="s">
        <v>2652</v>
      </c>
      <c r="G1233" s="6" t="s">
        <v>8781</v>
      </c>
      <c r="H1233" s="7" t="s">
        <v>31</v>
      </c>
      <c r="I1233" s="7">
        <v>1.0</v>
      </c>
      <c r="J1233" s="7">
        <v>1.0</v>
      </c>
      <c r="K1233" s="7" t="s">
        <v>31</v>
      </c>
      <c r="L1233" s="8" t="s">
        <v>8311</v>
      </c>
      <c r="M1233" s="6" t="s">
        <v>8782</v>
      </c>
      <c r="N1233" s="6" t="s">
        <v>243</v>
      </c>
      <c r="O1233" s="8" t="s">
        <v>244</v>
      </c>
      <c r="P1233" s="6" t="s">
        <v>8313</v>
      </c>
      <c r="Q1233" s="6" t="s">
        <v>8314</v>
      </c>
      <c r="R1233" s="6" t="s">
        <v>247</v>
      </c>
      <c r="S1233" s="8" t="s">
        <v>8315</v>
      </c>
      <c r="T1233" s="6" t="s">
        <v>249</v>
      </c>
      <c r="U1233" s="8" t="s">
        <v>31</v>
      </c>
      <c r="V1233" s="6" t="s">
        <v>8783</v>
      </c>
      <c r="W1233" s="6" t="s">
        <v>8309</v>
      </c>
      <c r="X1233" s="9" t="str">
        <f>HYPERLINK("https://my.pitchbook.com?p=269052-40P","View People Online")</f>
        <v>View People Online</v>
      </c>
    </row>
    <row r="1234">
      <c r="A1234" s="10" t="s">
        <v>8784</v>
      </c>
      <c r="B1234" s="10" t="s">
        <v>8785</v>
      </c>
      <c r="C1234" s="10" t="s">
        <v>8786</v>
      </c>
      <c r="D1234" s="10" t="s">
        <v>8787</v>
      </c>
      <c r="E1234" s="10" t="s">
        <v>8309</v>
      </c>
      <c r="F1234" s="10" t="s">
        <v>667</v>
      </c>
      <c r="G1234" s="10" t="s">
        <v>8788</v>
      </c>
      <c r="H1234" s="11" t="s">
        <v>31</v>
      </c>
      <c r="I1234" s="11">
        <v>1.0</v>
      </c>
      <c r="J1234" s="11">
        <v>1.0</v>
      </c>
      <c r="K1234" s="11" t="s">
        <v>31</v>
      </c>
      <c r="L1234" s="12" t="s">
        <v>8311</v>
      </c>
      <c r="M1234" s="10" t="s">
        <v>8789</v>
      </c>
      <c r="N1234" s="10" t="s">
        <v>243</v>
      </c>
      <c r="O1234" s="12" t="s">
        <v>244</v>
      </c>
      <c r="P1234" s="10" t="s">
        <v>8313</v>
      </c>
      <c r="Q1234" s="10" t="s">
        <v>8314</v>
      </c>
      <c r="R1234" s="10" t="s">
        <v>247</v>
      </c>
      <c r="S1234" s="12" t="s">
        <v>8315</v>
      </c>
      <c r="T1234" s="10" t="s">
        <v>249</v>
      </c>
      <c r="U1234" s="12" t="s">
        <v>31</v>
      </c>
      <c r="V1234" s="10" t="s">
        <v>8790</v>
      </c>
      <c r="W1234" s="10" t="s">
        <v>8309</v>
      </c>
      <c r="X1234" s="13" t="str">
        <f>HYPERLINK("https://my.pitchbook.com?p=409426-75P","View People Online")</f>
        <v>View People Online</v>
      </c>
    </row>
    <row r="1235">
      <c r="A1235" s="14" t="s">
        <v>8791</v>
      </c>
      <c r="B1235" s="14" t="s">
        <v>8792</v>
      </c>
      <c r="C1235" s="14" t="s">
        <v>8793</v>
      </c>
      <c r="D1235" s="14" t="s">
        <v>8794</v>
      </c>
      <c r="E1235" s="14" t="s">
        <v>8309</v>
      </c>
      <c r="F1235" s="14" t="s">
        <v>548</v>
      </c>
      <c r="G1235" s="14" t="s">
        <v>8795</v>
      </c>
      <c r="H1235" s="15" t="s">
        <v>31</v>
      </c>
      <c r="I1235" s="15">
        <v>1.0</v>
      </c>
      <c r="J1235" s="15">
        <v>1.0</v>
      </c>
      <c r="K1235" s="15" t="s">
        <v>31</v>
      </c>
      <c r="L1235" s="16" t="s">
        <v>8311</v>
      </c>
      <c r="M1235" s="14" t="s">
        <v>8796</v>
      </c>
      <c r="N1235" s="14" t="s">
        <v>243</v>
      </c>
      <c r="O1235" s="16" t="s">
        <v>244</v>
      </c>
      <c r="P1235" s="14" t="s">
        <v>8313</v>
      </c>
      <c r="Q1235" s="14" t="s">
        <v>8314</v>
      </c>
      <c r="R1235" s="14" t="s">
        <v>247</v>
      </c>
      <c r="S1235" s="16" t="s">
        <v>8315</v>
      </c>
      <c r="T1235" s="14" t="s">
        <v>249</v>
      </c>
      <c r="U1235" s="16" t="s">
        <v>31</v>
      </c>
      <c r="V1235" s="14" t="s">
        <v>8797</v>
      </c>
      <c r="W1235" s="14" t="s">
        <v>8309</v>
      </c>
      <c r="X1235" s="17" t="str">
        <f>HYPERLINK("https://my.pitchbook.com?p=314567-74P","View People Online")</f>
        <v>View People Online</v>
      </c>
    </row>
    <row r="1236">
      <c r="A1236" s="2" t="s">
        <v>8798</v>
      </c>
      <c r="B1236" s="2" t="s">
        <v>8799</v>
      </c>
      <c r="C1236" s="2" t="s">
        <v>8800</v>
      </c>
      <c r="D1236" s="2" t="s">
        <v>8801</v>
      </c>
      <c r="E1236" s="2" t="s">
        <v>8309</v>
      </c>
      <c r="F1236" s="2" t="s">
        <v>825</v>
      </c>
      <c r="G1236" s="2" t="s">
        <v>8802</v>
      </c>
      <c r="H1236" s="3" t="s">
        <v>31</v>
      </c>
      <c r="I1236" s="3">
        <v>1.0</v>
      </c>
      <c r="J1236" s="3">
        <v>1.0</v>
      </c>
      <c r="K1236" s="3" t="s">
        <v>31</v>
      </c>
      <c r="L1236" s="4" t="s">
        <v>8311</v>
      </c>
      <c r="M1236" s="2" t="s">
        <v>8803</v>
      </c>
      <c r="N1236" s="2" t="s">
        <v>243</v>
      </c>
      <c r="O1236" s="4" t="s">
        <v>244</v>
      </c>
      <c r="P1236" s="2" t="s">
        <v>8313</v>
      </c>
      <c r="Q1236" s="2" t="s">
        <v>8314</v>
      </c>
      <c r="R1236" s="2" t="s">
        <v>247</v>
      </c>
      <c r="S1236" s="4" t="s">
        <v>8315</v>
      </c>
      <c r="T1236" s="2" t="s">
        <v>249</v>
      </c>
      <c r="U1236" s="4" t="s">
        <v>31</v>
      </c>
      <c r="V1236" s="2" t="s">
        <v>8804</v>
      </c>
      <c r="W1236" s="2" t="s">
        <v>8309</v>
      </c>
      <c r="X1236" s="5" t="str">
        <f>HYPERLINK("https://my.pitchbook.com?p=453418-30P","View People Online")</f>
        <v>View People Online</v>
      </c>
    </row>
    <row r="1237">
      <c r="A1237" s="6" t="s">
        <v>8805</v>
      </c>
      <c r="B1237" s="6" t="s">
        <v>8806</v>
      </c>
      <c r="C1237" s="6" t="s">
        <v>8807</v>
      </c>
      <c r="D1237" s="6" t="s">
        <v>8808</v>
      </c>
      <c r="E1237" s="6" t="s">
        <v>8309</v>
      </c>
      <c r="F1237" s="6" t="s">
        <v>825</v>
      </c>
      <c r="G1237" s="6" t="s">
        <v>8809</v>
      </c>
      <c r="H1237" s="7" t="s">
        <v>31</v>
      </c>
      <c r="I1237" s="7">
        <v>1.0</v>
      </c>
      <c r="J1237" s="7">
        <v>1.0</v>
      </c>
      <c r="K1237" s="7" t="s">
        <v>31</v>
      </c>
      <c r="L1237" s="8" t="s">
        <v>8311</v>
      </c>
      <c r="M1237" s="6" t="s">
        <v>8810</v>
      </c>
      <c r="N1237" s="6" t="s">
        <v>243</v>
      </c>
      <c r="O1237" s="8" t="s">
        <v>244</v>
      </c>
      <c r="P1237" s="6" t="s">
        <v>8313</v>
      </c>
      <c r="Q1237" s="6" t="s">
        <v>8314</v>
      </c>
      <c r="R1237" s="6" t="s">
        <v>247</v>
      </c>
      <c r="S1237" s="8" t="s">
        <v>8315</v>
      </c>
      <c r="T1237" s="6" t="s">
        <v>249</v>
      </c>
      <c r="U1237" s="8" t="s">
        <v>31</v>
      </c>
      <c r="V1237" s="6" t="s">
        <v>8811</v>
      </c>
      <c r="W1237" s="6" t="s">
        <v>8309</v>
      </c>
      <c r="X1237" s="9" t="str">
        <f>HYPERLINK("https://my.pitchbook.com?p=372578-50P","View People Online")</f>
        <v>View People Online</v>
      </c>
    </row>
    <row r="1238">
      <c r="A1238" s="10" t="s">
        <v>8812</v>
      </c>
      <c r="B1238" s="10" t="s">
        <v>8813</v>
      </c>
      <c r="C1238" s="10" t="s">
        <v>8814</v>
      </c>
      <c r="D1238" s="10" t="s">
        <v>8815</v>
      </c>
      <c r="E1238" s="10" t="s">
        <v>8309</v>
      </c>
      <c r="F1238" s="10" t="s">
        <v>270</v>
      </c>
      <c r="G1238" s="10" t="s">
        <v>8816</v>
      </c>
      <c r="H1238" s="11" t="s">
        <v>31</v>
      </c>
      <c r="I1238" s="11">
        <v>2.0</v>
      </c>
      <c r="J1238" s="11">
        <v>1.0</v>
      </c>
      <c r="K1238" s="11">
        <v>1.0</v>
      </c>
      <c r="L1238" s="12" t="s">
        <v>8311</v>
      </c>
      <c r="M1238" s="10" t="s">
        <v>8817</v>
      </c>
      <c r="N1238" s="10" t="s">
        <v>243</v>
      </c>
      <c r="O1238" s="12" t="s">
        <v>244</v>
      </c>
      <c r="P1238" s="10" t="s">
        <v>8313</v>
      </c>
      <c r="Q1238" s="10" t="s">
        <v>8314</v>
      </c>
      <c r="R1238" s="10" t="s">
        <v>247</v>
      </c>
      <c r="S1238" s="12" t="s">
        <v>8315</v>
      </c>
      <c r="T1238" s="10" t="s">
        <v>249</v>
      </c>
      <c r="U1238" s="12" t="s">
        <v>31</v>
      </c>
      <c r="V1238" s="10" t="s">
        <v>8457</v>
      </c>
      <c r="W1238" s="10" t="s">
        <v>8309</v>
      </c>
      <c r="X1238" s="13" t="str">
        <f>HYPERLINK("https://my.pitchbook.com?p=451672-93P","View People Online")</f>
        <v>View People Online</v>
      </c>
    </row>
    <row r="1239">
      <c r="A1239" s="14" t="s">
        <v>8818</v>
      </c>
      <c r="B1239" s="14" t="s">
        <v>8819</v>
      </c>
      <c r="C1239" s="14" t="s">
        <v>8820</v>
      </c>
      <c r="D1239" s="14" t="s">
        <v>8821</v>
      </c>
      <c r="E1239" s="14" t="s">
        <v>8309</v>
      </c>
      <c r="F1239" s="14" t="s">
        <v>825</v>
      </c>
      <c r="G1239" s="14" t="s">
        <v>8822</v>
      </c>
      <c r="H1239" s="15" t="s">
        <v>31</v>
      </c>
      <c r="I1239" s="15">
        <v>1.0</v>
      </c>
      <c r="J1239" s="15">
        <v>1.0</v>
      </c>
      <c r="K1239" s="15" t="s">
        <v>31</v>
      </c>
      <c r="L1239" s="16" t="s">
        <v>8311</v>
      </c>
      <c r="M1239" s="14" t="s">
        <v>8823</v>
      </c>
      <c r="N1239" s="14" t="s">
        <v>243</v>
      </c>
      <c r="O1239" s="16" t="s">
        <v>244</v>
      </c>
      <c r="P1239" s="14" t="s">
        <v>8313</v>
      </c>
      <c r="Q1239" s="14" t="s">
        <v>8314</v>
      </c>
      <c r="R1239" s="14" t="s">
        <v>247</v>
      </c>
      <c r="S1239" s="16" t="s">
        <v>8315</v>
      </c>
      <c r="T1239" s="14" t="s">
        <v>249</v>
      </c>
      <c r="U1239" s="16" t="s">
        <v>31</v>
      </c>
      <c r="V1239" s="14" t="s">
        <v>8824</v>
      </c>
      <c r="W1239" s="14" t="s">
        <v>8309</v>
      </c>
      <c r="X1239" s="17" t="str">
        <f>HYPERLINK("https://my.pitchbook.com?p=245651-14P","View People Online")</f>
        <v>View People Online</v>
      </c>
    </row>
    <row r="1240">
      <c r="A1240" s="2" t="s">
        <v>8825</v>
      </c>
      <c r="B1240" s="2" t="s">
        <v>8826</v>
      </c>
      <c r="C1240" s="2" t="s">
        <v>8827</v>
      </c>
      <c r="D1240" s="2" t="s">
        <v>8828</v>
      </c>
      <c r="E1240" s="2" t="s">
        <v>8309</v>
      </c>
      <c r="F1240" s="2" t="s">
        <v>470</v>
      </c>
      <c r="G1240" s="2" t="s">
        <v>8829</v>
      </c>
      <c r="H1240" s="3" t="s">
        <v>31</v>
      </c>
      <c r="I1240" s="3">
        <v>1.0</v>
      </c>
      <c r="J1240" s="3">
        <v>1.0</v>
      </c>
      <c r="K1240" s="3" t="s">
        <v>31</v>
      </c>
      <c r="L1240" s="4" t="s">
        <v>8311</v>
      </c>
      <c r="M1240" s="2" t="s">
        <v>8830</v>
      </c>
      <c r="N1240" s="2" t="s">
        <v>243</v>
      </c>
      <c r="O1240" s="4" t="s">
        <v>244</v>
      </c>
      <c r="P1240" s="2" t="s">
        <v>8313</v>
      </c>
      <c r="Q1240" s="2" t="s">
        <v>8314</v>
      </c>
      <c r="R1240" s="2" t="s">
        <v>247</v>
      </c>
      <c r="S1240" s="4" t="s">
        <v>8315</v>
      </c>
      <c r="T1240" s="2" t="s">
        <v>249</v>
      </c>
      <c r="U1240" s="4" t="s">
        <v>31</v>
      </c>
      <c r="V1240" s="2" t="s">
        <v>8831</v>
      </c>
      <c r="W1240" s="2" t="s">
        <v>8309</v>
      </c>
      <c r="X1240" s="5" t="str">
        <f>HYPERLINK("https://my.pitchbook.com?p=118415-53P","View People Online")</f>
        <v>View People Online</v>
      </c>
    </row>
    <row r="1241">
      <c r="A1241" s="6" t="s">
        <v>8832</v>
      </c>
      <c r="B1241" s="6" t="s">
        <v>8833</v>
      </c>
      <c r="C1241" s="6" t="s">
        <v>8834</v>
      </c>
      <c r="D1241" s="6" t="s">
        <v>5467</v>
      </c>
      <c r="E1241" s="6" t="s">
        <v>8309</v>
      </c>
      <c r="F1241" s="6" t="s">
        <v>270</v>
      </c>
      <c r="G1241" s="6" t="s">
        <v>8835</v>
      </c>
      <c r="H1241" s="7" t="s">
        <v>31</v>
      </c>
      <c r="I1241" s="7">
        <v>1.0</v>
      </c>
      <c r="J1241" s="7">
        <v>1.0</v>
      </c>
      <c r="K1241" s="7" t="s">
        <v>31</v>
      </c>
      <c r="L1241" s="8" t="s">
        <v>8311</v>
      </c>
      <c r="M1241" s="6" t="s">
        <v>8836</v>
      </c>
      <c r="N1241" s="6" t="s">
        <v>243</v>
      </c>
      <c r="O1241" s="8" t="s">
        <v>244</v>
      </c>
      <c r="P1241" s="6" t="s">
        <v>8313</v>
      </c>
      <c r="Q1241" s="6" t="s">
        <v>8314</v>
      </c>
      <c r="R1241" s="6" t="s">
        <v>247</v>
      </c>
      <c r="S1241" s="8" t="s">
        <v>8315</v>
      </c>
      <c r="T1241" s="6" t="s">
        <v>249</v>
      </c>
      <c r="U1241" s="8" t="s">
        <v>31</v>
      </c>
      <c r="V1241" s="6" t="s">
        <v>8837</v>
      </c>
      <c r="W1241" s="6" t="s">
        <v>8309</v>
      </c>
      <c r="X1241" s="9" t="str">
        <f>HYPERLINK("https://my.pitchbook.com?p=165260-35P","View People Online")</f>
        <v>View People Online</v>
      </c>
    </row>
    <row r="1242">
      <c r="A1242" s="10" t="s">
        <v>8838</v>
      </c>
      <c r="B1242" s="10" t="s">
        <v>8839</v>
      </c>
      <c r="C1242" s="10" t="s">
        <v>8840</v>
      </c>
      <c r="D1242" s="10" t="s">
        <v>8841</v>
      </c>
      <c r="E1242" s="10" t="s">
        <v>8309</v>
      </c>
      <c r="F1242" s="10" t="s">
        <v>825</v>
      </c>
      <c r="G1242" s="10" t="s">
        <v>8842</v>
      </c>
      <c r="H1242" s="11" t="s">
        <v>31</v>
      </c>
      <c r="I1242" s="11">
        <v>1.0</v>
      </c>
      <c r="J1242" s="11">
        <v>1.0</v>
      </c>
      <c r="K1242" s="11" t="s">
        <v>31</v>
      </c>
      <c r="L1242" s="12" t="s">
        <v>8311</v>
      </c>
      <c r="M1242" s="10" t="s">
        <v>8843</v>
      </c>
      <c r="N1242" s="10" t="s">
        <v>243</v>
      </c>
      <c r="O1242" s="12" t="s">
        <v>244</v>
      </c>
      <c r="P1242" s="10" t="s">
        <v>8313</v>
      </c>
      <c r="Q1242" s="10" t="s">
        <v>8314</v>
      </c>
      <c r="R1242" s="10" t="s">
        <v>247</v>
      </c>
      <c r="S1242" s="12" t="s">
        <v>8315</v>
      </c>
      <c r="T1242" s="10" t="s">
        <v>249</v>
      </c>
      <c r="U1242" s="12" t="s">
        <v>31</v>
      </c>
      <c r="V1242" s="10" t="s">
        <v>8844</v>
      </c>
      <c r="W1242" s="10" t="s">
        <v>8309</v>
      </c>
      <c r="X1242" s="13" t="str">
        <f>HYPERLINK("https://my.pitchbook.com?p=246108-07P","View People Online")</f>
        <v>View People Online</v>
      </c>
    </row>
    <row r="1243">
      <c r="A1243" s="14" t="s">
        <v>8845</v>
      </c>
      <c r="B1243" s="14" t="s">
        <v>8846</v>
      </c>
      <c r="C1243" s="14" t="s">
        <v>8847</v>
      </c>
      <c r="D1243" s="14" t="s">
        <v>8848</v>
      </c>
      <c r="E1243" s="14" t="s">
        <v>8309</v>
      </c>
      <c r="F1243" s="14" t="s">
        <v>4527</v>
      </c>
      <c r="G1243" s="14" t="s">
        <v>8849</v>
      </c>
      <c r="H1243" s="15">
        <v>2.0</v>
      </c>
      <c r="I1243" s="15">
        <v>4.0</v>
      </c>
      <c r="J1243" s="15">
        <v>1.0</v>
      </c>
      <c r="K1243" s="15">
        <v>2.0</v>
      </c>
      <c r="L1243" s="16" t="s">
        <v>8850</v>
      </c>
      <c r="M1243" s="14" t="s">
        <v>8851</v>
      </c>
      <c r="N1243" s="14" t="s">
        <v>243</v>
      </c>
      <c r="O1243" s="16" t="s">
        <v>244</v>
      </c>
      <c r="P1243" s="14" t="s">
        <v>8313</v>
      </c>
      <c r="Q1243" s="14" t="s">
        <v>8314</v>
      </c>
      <c r="R1243" s="14" t="s">
        <v>247</v>
      </c>
      <c r="S1243" s="16" t="s">
        <v>8315</v>
      </c>
      <c r="T1243" s="14" t="s">
        <v>249</v>
      </c>
      <c r="U1243" s="16" t="s">
        <v>31</v>
      </c>
      <c r="V1243" s="14" t="s">
        <v>8852</v>
      </c>
      <c r="W1243" s="14" t="s">
        <v>8853</v>
      </c>
      <c r="X1243" s="17" t="str">
        <f>HYPERLINK("https://my.pitchbook.com?p=33495-04P","View People Online")</f>
        <v>View People Online</v>
      </c>
    </row>
    <row r="1244">
      <c r="A1244" s="2" t="s">
        <v>8854</v>
      </c>
      <c r="B1244" s="2" t="s">
        <v>8855</v>
      </c>
      <c r="C1244" s="2" t="s">
        <v>7693</v>
      </c>
      <c r="D1244" s="2" t="s">
        <v>8856</v>
      </c>
      <c r="E1244" s="2" t="s">
        <v>8309</v>
      </c>
      <c r="F1244" s="2" t="s">
        <v>8857</v>
      </c>
      <c r="G1244" s="2" t="s">
        <v>8858</v>
      </c>
      <c r="H1244" s="3" t="s">
        <v>31</v>
      </c>
      <c r="I1244" s="3">
        <v>1.0</v>
      </c>
      <c r="J1244" s="3">
        <v>1.0</v>
      </c>
      <c r="K1244" s="3" t="s">
        <v>31</v>
      </c>
      <c r="L1244" s="4" t="s">
        <v>8311</v>
      </c>
      <c r="M1244" s="2" t="s">
        <v>8859</v>
      </c>
      <c r="N1244" s="2" t="s">
        <v>243</v>
      </c>
      <c r="O1244" s="4" t="s">
        <v>244</v>
      </c>
      <c r="P1244" s="2" t="s">
        <v>8313</v>
      </c>
      <c r="Q1244" s="2" t="s">
        <v>8314</v>
      </c>
      <c r="R1244" s="2" t="s">
        <v>247</v>
      </c>
      <c r="S1244" s="4" t="s">
        <v>8315</v>
      </c>
      <c r="T1244" s="2" t="s">
        <v>249</v>
      </c>
      <c r="U1244" s="4" t="s">
        <v>31</v>
      </c>
      <c r="V1244" s="2" t="s">
        <v>8860</v>
      </c>
      <c r="W1244" s="2" t="s">
        <v>8309</v>
      </c>
      <c r="X1244" s="5" t="str">
        <f>HYPERLINK("https://my.pitchbook.com?p=409477-06P","View People Online")</f>
        <v>View People Online</v>
      </c>
    </row>
    <row r="1245">
      <c r="A1245" s="6" t="s">
        <v>8861</v>
      </c>
      <c r="B1245" s="6" t="s">
        <v>8862</v>
      </c>
      <c r="C1245" s="6" t="s">
        <v>1849</v>
      </c>
      <c r="D1245" s="6" t="s">
        <v>8863</v>
      </c>
      <c r="E1245" s="6" t="s">
        <v>8309</v>
      </c>
      <c r="F1245" s="6" t="s">
        <v>1283</v>
      </c>
      <c r="G1245" s="6" t="s">
        <v>8864</v>
      </c>
      <c r="H1245" s="7" t="s">
        <v>31</v>
      </c>
      <c r="I1245" s="7">
        <v>5.0</v>
      </c>
      <c r="J1245" s="7">
        <v>1.0</v>
      </c>
      <c r="K1245" s="7">
        <v>4.0</v>
      </c>
      <c r="L1245" s="8" t="s">
        <v>8311</v>
      </c>
      <c r="M1245" s="6" t="s">
        <v>8865</v>
      </c>
      <c r="N1245" s="6" t="s">
        <v>243</v>
      </c>
      <c r="O1245" s="8" t="s">
        <v>244</v>
      </c>
      <c r="P1245" s="6" t="s">
        <v>8313</v>
      </c>
      <c r="Q1245" s="6" t="s">
        <v>8314</v>
      </c>
      <c r="R1245" s="6" t="s">
        <v>247</v>
      </c>
      <c r="S1245" s="8" t="s">
        <v>8315</v>
      </c>
      <c r="T1245" s="6" t="s">
        <v>249</v>
      </c>
      <c r="U1245" s="8" t="s">
        <v>31</v>
      </c>
      <c r="V1245" s="6" t="s">
        <v>1283</v>
      </c>
      <c r="W1245" s="6" t="s">
        <v>8309</v>
      </c>
      <c r="X1245" s="9" t="str">
        <f>HYPERLINK("https://my.pitchbook.com?p=326695-87P","View People Online")</f>
        <v>View People Online</v>
      </c>
    </row>
    <row r="1246">
      <c r="A1246" s="2" t="s">
        <v>8866</v>
      </c>
      <c r="B1246" s="2" t="s">
        <v>8867</v>
      </c>
      <c r="C1246" s="2" t="s">
        <v>1849</v>
      </c>
      <c r="D1246" s="2" t="s">
        <v>3716</v>
      </c>
      <c r="E1246" s="2" t="s">
        <v>8309</v>
      </c>
      <c r="F1246" s="2" t="s">
        <v>825</v>
      </c>
      <c r="G1246" s="2" t="s">
        <v>8868</v>
      </c>
      <c r="H1246" s="3" t="s">
        <v>31</v>
      </c>
      <c r="I1246" s="3">
        <v>1.0</v>
      </c>
      <c r="J1246" s="3">
        <v>1.0</v>
      </c>
      <c r="K1246" s="3" t="s">
        <v>31</v>
      </c>
      <c r="L1246" s="4" t="s">
        <v>8311</v>
      </c>
      <c r="M1246" s="2" t="s">
        <v>8869</v>
      </c>
      <c r="N1246" s="2" t="s">
        <v>243</v>
      </c>
      <c r="O1246" s="4" t="s">
        <v>244</v>
      </c>
      <c r="P1246" s="2" t="s">
        <v>8313</v>
      </c>
      <c r="Q1246" s="2" t="s">
        <v>8314</v>
      </c>
      <c r="R1246" s="2" t="s">
        <v>247</v>
      </c>
      <c r="S1246" s="4" t="s">
        <v>8315</v>
      </c>
      <c r="T1246" s="2" t="s">
        <v>249</v>
      </c>
      <c r="U1246" s="4" t="s">
        <v>31</v>
      </c>
      <c r="V1246" s="2" t="s">
        <v>8870</v>
      </c>
      <c r="W1246" s="2" t="s">
        <v>8309</v>
      </c>
      <c r="X1246" s="5" t="str">
        <f>HYPERLINK("https://my.pitchbook.com?p=451881-82P","View People Online")</f>
        <v>View People Online</v>
      </c>
    </row>
    <row r="1247">
      <c r="A1247" s="14" t="s">
        <v>8871</v>
      </c>
      <c r="B1247" s="14" t="s">
        <v>8872</v>
      </c>
      <c r="C1247" s="14" t="s">
        <v>8873</v>
      </c>
      <c r="D1247" s="14" t="s">
        <v>8874</v>
      </c>
      <c r="E1247" s="14" t="s">
        <v>8309</v>
      </c>
      <c r="F1247" s="14" t="s">
        <v>548</v>
      </c>
      <c r="G1247" s="14" t="s">
        <v>8875</v>
      </c>
      <c r="H1247" s="15" t="s">
        <v>31</v>
      </c>
      <c r="I1247" s="15">
        <v>2.0</v>
      </c>
      <c r="J1247" s="15">
        <v>1.0</v>
      </c>
      <c r="K1247" s="15">
        <v>1.0</v>
      </c>
      <c r="L1247" s="16" t="s">
        <v>8311</v>
      </c>
      <c r="M1247" s="14" t="s">
        <v>8876</v>
      </c>
      <c r="N1247" s="14" t="s">
        <v>243</v>
      </c>
      <c r="O1247" s="16" t="s">
        <v>244</v>
      </c>
      <c r="P1247" s="14" t="s">
        <v>8313</v>
      </c>
      <c r="Q1247" s="14" t="s">
        <v>8314</v>
      </c>
      <c r="R1247" s="14" t="s">
        <v>247</v>
      </c>
      <c r="S1247" s="16" t="s">
        <v>8315</v>
      </c>
      <c r="T1247" s="14" t="s">
        <v>249</v>
      </c>
      <c r="U1247" s="16" t="s">
        <v>31</v>
      </c>
      <c r="V1247" s="14" t="s">
        <v>8457</v>
      </c>
      <c r="W1247" s="14" t="s">
        <v>8309</v>
      </c>
      <c r="X1247" s="17" t="str">
        <f>HYPERLINK("https://my.pitchbook.com?p=269468-29P","View People Online")</f>
        <v>View People Online</v>
      </c>
    </row>
    <row r="1248">
      <c r="A1248" s="2" t="s">
        <v>8877</v>
      </c>
      <c r="B1248" s="2" t="s">
        <v>8878</v>
      </c>
      <c r="C1248" s="2" t="s">
        <v>4332</v>
      </c>
      <c r="D1248" s="2" t="s">
        <v>5665</v>
      </c>
      <c r="E1248" s="2" t="s">
        <v>8309</v>
      </c>
      <c r="F1248" s="2" t="s">
        <v>825</v>
      </c>
      <c r="G1248" s="2" t="s">
        <v>8879</v>
      </c>
      <c r="H1248" s="3" t="s">
        <v>31</v>
      </c>
      <c r="I1248" s="3">
        <v>1.0</v>
      </c>
      <c r="J1248" s="3">
        <v>1.0</v>
      </c>
      <c r="K1248" s="3" t="s">
        <v>31</v>
      </c>
      <c r="L1248" s="4" t="s">
        <v>8311</v>
      </c>
      <c r="M1248" s="2" t="s">
        <v>8880</v>
      </c>
      <c r="N1248" s="2" t="s">
        <v>243</v>
      </c>
      <c r="O1248" s="4" t="s">
        <v>244</v>
      </c>
      <c r="P1248" s="2" t="s">
        <v>8313</v>
      </c>
      <c r="Q1248" s="2" t="s">
        <v>8314</v>
      </c>
      <c r="R1248" s="2" t="s">
        <v>247</v>
      </c>
      <c r="S1248" s="4" t="s">
        <v>8315</v>
      </c>
      <c r="T1248" s="2" t="s">
        <v>249</v>
      </c>
      <c r="U1248" s="4" t="s">
        <v>31</v>
      </c>
      <c r="V1248" s="2" t="s">
        <v>8881</v>
      </c>
      <c r="W1248" s="2" t="s">
        <v>8309</v>
      </c>
      <c r="X1248" s="5" t="str">
        <f>HYPERLINK("https://my.pitchbook.com?p=349219-90P","View People Online")</f>
        <v>View People Online</v>
      </c>
    </row>
    <row r="1249">
      <c r="A1249" s="14" t="s">
        <v>8882</v>
      </c>
      <c r="B1249" s="14" t="s">
        <v>8883</v>
      </c>
      <c r="C1249" s="14" t="s">
        <v>8884</v>
      </c>
      <c r="D1249" s="14" t="s">
        <v>1534</v>
      </c>
      <c r="E1249" s="14" t="s">
        <v>8309</v>
      </c>
      <c r="F1249" s="14" t="s">
        <v>825</v>
      </c>
      <c r="G1249" s="14" t="s">
        <v>8885</v>
      </c>
      <c r="H1249" s="15" t="s">
        <v>31</v>
      </c>
      <c r="I1249" s="15">
        <v>2.0</v>
      </c>
      <c r="J1249" s="15">
        <v>1.0</v>
      </c>
      <c r="K1249" s="15">
        <v>1.0</v>
      </c>
      <c r="L1249" s="16" t="s">
        <v>8311</v>
      </c>
      <c r="M1249" s="14" t="s">
        <v>8886</v>
      </c>
      <c r="N1249" s="14" t="s">
        <v>243</v>
      </c>
      <c r="O1249" s="16" t="s">
        <v>244</v>
      </c>
      <c r="P1249" s="14" t="s">
        <v>8313</v>
      </c>
      <c r="Q1249" s="14" t="s">
        <v>8314</v>
      </c>
      <c r="R1249" s="14" t="s">
        <v>247</v>
      </c>
      <c r="S1249" s="16" t="s">
        <v>8315</v>
      </c>
      <c r="T1249" s="14" t="s">
        <v>249</v>
      </c>
      <c r="U1249" s="16" t="s">
        <v>31</v>
      </c>
      <c r="V1249" s="14" t="s">
        <v>8887</v>
      </c>
      <c r="W1249" s="14" t="s">
        <v>8309</v>
      </c>
      <c r="X1249" s="17" t="str">
        <f>HYPERLINK("https://my.pitchbook.com?p=346555-63P","View People Online")</f>
        <v>View People Online</v>
      </c>
    </row>
    <row r="1250">
      <c r="A1250" s="10" t="s">
        <v>8888</v>
      </c>
      <c r="B1250" s="10" t="s">
        <v>8889</v>
      </c>
      <c r="C1250" s="10" t="s">
        <v>3811</v>
      </c>
      <c r="D1250" s="10" t="s">
        <v>8890</v>
      </c>
      <c r="E1250" s="10" t="s">
        <v>8309</v>
      </c>
      <c r="F1250" s="10" t="s">
        <v>270</v>
      </c>
      <c r="G1250" s="10" t="s">
        <v>8891</v>
      </c>
      <c r="H1250" s="11" t="s">
        <v>31</v>
      </c>
      <c r="I1250" s="11">
        <v>1.0</v>
      </c>
      <c r="J1250" s="11">
        <v>1.0</v>
      </c>
      <c r="K1250" s="11" t="s">
        <v>31</v>
      </c>
      <c r="L1250" s="12" t="s">
        <v>8892</v>
      </c>
      <c r="M1250" s="10" t="s">
        <v>8893</v>
      </c>
      <c r="N1250" s="10" t="s">
        <v>243</v>
      </c>
      <c r="O1250" s="12" t="s">
        <v>244</v>
      </c>
      <c r="P1250" s="10" t="s">
        <v>8313</v>
      </c>
      <c r="Q1250" s="10" t="s">
        <v>8314</v>
      </c>
      <c r="R1250" s="10" t="s">
        <v>247</v>
      </c>
      <c r="S1250" s="12" t="s">
        <v>8315</v>
      </c>
      <c r="T1250" s="10" t="s">
        <v>249</v>
      </c>
      <c r="U1250" s="12" t="s">
        <v>31</v>
      </c>
      <c r="V1250" s="10" t="s">
        <v>8894</v>
      </c>
      <c r="W1250" s="10" t="s">
        <v>8309</v>
      </c>
      <c r="X1250" s="13" t="str">
        <f>HYPERLINK("https://my.pitchbook.com?p=334947-16P","View People Online")</f>
        <v>View People Online</v>
      </c>
    </row>
    <row r="1251">
      <c r="A1251" s="6" t="s">
        <v>8895</v>
      </c>
      <c r="B1251" s="6" t="s">
        <v>8896</v>
      </c>
      <c r="C1251" s="6" t="s">
        <v>2109</v>
      </c>
      <c r="D1251" s="6" t="s">
        <v>5205</v>
      </c>
      <c r="E1251" s="6" t="s">
        <v>8309</v>
      </c>
      <c r="F1251" s="6" t="s">
        <v>825</v>
      </c>
      <c r="G1251" s="6" t="s">
        <v>8897</v>
      </c>
      <c r="H1251" s="7">
        <v>1.0</v>
      </c>
      <c r="I1251" s="7">
        <v>4.0</v>
      </c>
      <c r="J1251" s="7">
        <v>2.0</v>
      </c>
      <c r="K1251" s="7">
        <v>1.0</v>
      </c>
      <c r="L1251" s="8" t="s">
        <v>31</v>
      </c>
      <c r="M1251" s="6" t="s">
        <v>8898</v>
      </c>
      <c r="N1251" s="6" t="s">
        <v>243</v>
      </c>
      <c r="O1251" s="8" t="s">
        <v>244</v>
      </c>
      <c r="P1251" s="6" t="s">
        <v>31</v>
      </c>
      <c r="Q1251" s="6" t="s">
        <v>31</v>
      </c>
      <c r="R1251" s="6" t="s">
        <v>247</v>
      </c>
      <c r="S1251" s="8" t="s">
        <v>31</v>
      </c>
      <c r="T1251" s="6" t="s">
        <v>249</v>
      </c>
      <c r="U1251" s="8" t="s">
        <v>31</v>
      </c>
      <c r="V1251" s="6" t="s">
        <v>8899</v>
      </c>
      <c r="W1251" s="6" t="s">
        <v>8900</v>
      </c>
      <c r="X1251" s="9" t="str">
        <f>HYPERLINK("https://my.pitchbook.com?p=58335-40P","View People Online")</f>
        <v>View People Online</v>
      </c>
    </row>
    <row r="1252">
      <c r="A1252" s="10" t="s">
        <v>8901</v>
      </c>
      <c r="B1252" s="10" t="s">
        <v>8902</v>
      </c>
      <c r="C1252" s="10" t="s">
        <v>8903</v>
      </c>
      <c r="D1252" s="10" t="s">
        <v>8904</v>
      </c>
      <c r="E1252" s="10" t="s">
        <v>8309</v>
      </c>
      <c r="F1252" s="10" t="s">
        <v>2652</v>
      </c>
      <c r="G1252" s="10" t="s">
        <v>8905</v>
      </c>
      <c r="H1252" s="11" t="s">
        <v>31</v>
      </c>
      <c r="I1252" s="11">
        <v>1.0</v>
      </c>
      <c r="J1252" s="11">
        <v>1.0</v>
      </c>
      <c r="K1252" s="11" t="s">
        <v>31</v>
      </c>
      <c r="L1252" s="12" t="s">
        <v>8311</v>
      </c>
      <c r="M1252" s="10" t="s">
        <v>8906</v>
      </c>
      <c r="N1252" s="10" t="s">
        <v>243</v>
      </c>
      <c r="O1252" s="12" t="s">
        <v>244</v>
      </c>
      <c r="P1252" s="10" t="s">
        <v>8313</v>
      </c>
      <c r="Q1252" s="10" t="s">
        <v>8314</v>
      </c>
      <c r="R1252" s="10" t="s">
        <v>247</v>
      </c>
      <c r="S1252" s="12" t="s">
        <v>8315</v>
      </c>
      <c r="T1252" s="10" t="s">
        <v>249</v>
      </c>
      <c r="U1252" s="12" t="s">
        <v>31</v>
      </c>
      <c r="V1252" s="10" t="s">
        <v>8907</v>
      </c>
      <c r="W1252" s="10" t="s">
        <v>8309</v>
      </c>
      <c r="X1252" s="13" t="str">
        <f>HYPERLINK("https://my.pitchbook.com?p=296797-51P","View People Online")</f>
        <v>View People Online</v>
      </c>
    </row>
    <row r="1253">
      <c r="A1253" s="6" t="s">
        <v>8908</v>
      </c>
      <c r="B1253" s="6" t="s">
        <v>8909</v>
      </c>
      <c r="C1253" s="6" t="s">
        <v>4345</v>
      </c>
      <c r="D1253" s="6" t="s">
        <v>8910</v>
      </c>
      <c r="E1253" s="6" t="s">
        <v>8309</v>
      </c>
      <c r="F1253" s="6" t="s">
        <v>825</v>
      </c>
      <c r="G1253" s="6" t="s">
        <v>8911</v>
      </c>
      <c r="H1253" s="7" t="s">
        <v>31</v>
      </c>
      <c r="I1253" s="7">
        <v>2.0</v>
      </c>
      <c r="J1253" s="7">
        <v>1.0</v>
      </c>
      <c r="K1253" s="7">
        <v>1.0</v>
      </c>
      <c r="L1253" s="8" t="s">
        <v>8311</v>
      </c>
      <c r="M1253" s="6" t="s">
        <v>8912</v>
      </c>
      <c r="N1253" s="6" t="s">
        <v>243</v>
      </c>
      <c r="O1253" s="8" t="s">
        <v>244</v>
      </c>
      <c r="P1253" s="6" t="s">
        <v>8313</v>
      </c>
      <c r="Q1253" s="6" t="s">
        <v>8314</v>
      </c>
      <c r="R1253" s="6" t="s">
        <v>247</v>
      </c>
      <c r="S1253" s="8" t="s">
        <v>8315</v>
      </c>
      <c r="T1253" s="6" t="s">
        <v>249</v>
      </c>
      <c r="U1253" s="8" t="s">
        <v>31</v>
      </c>
      <c r="V1253" s="6" t="s">
        <v>8913</v>
      </c>
      <c r="W1253" s="6" t="s">
        <v>8309</v>
      </c>
      <c r="X1253" s="9" t="str">
        <f>HYPERLINK("https://my.pitchbook.com?p=96561-46P","View People Online")</f>
        <v>View People Online</v>
      </c>
    </row>
    <row r="1254">
      <c r="A1254" s="10" t="s">
        <v>8914</v>
      </c>
      <c r="B1254" s="10" t="s">
        <v>8915</v>
      </c>
      <c r="C1254" s="10" t="s">
        <v>8916</v>
      </c>
      <c r="D1254" s="10" t="s">
        <v>8917</v>
      </c>
      <c r="E1254" s="10" t="s">
        <v>8309</v>
      </c>
      <c r="F1254" s="10" t="s">
        <v>825</v>
      </c>
      <c r="G1254" s="10" t="s">
        <v>8918</v>
      </c>
      <c r="H1254" s="11" t="s">
        <v>31</v>
      </c>
      <c r="I1254" s="11">
        <v>1.0</v>
      </c>
      <c r="J1254" s="11">
        <v>1.0</v>
      </c>
      <c r="K1254" s="11" t="s">
        <v>31</v>
      </c>
      <c r="L1254" s="12" t="s">
        <v>8311</v>
      </c>
      <c r="M1254" s="10" t="s">
        <v>8919</v>
      </c>
      <c r="N1254" s="10" t="s">
        <v>243</v>
      </c>
      <c r="O1254" s="12" t="s">
        <v>244</v>
      </c>
      <c r="P1254" s="10" t="s">
        <v>8313</v>
      </c>
      <c r="Q1254" s="10" t="s">
        <v>8314</v>
      </c>
      <c r="R1254" s="10" t="s">
        <v>247</v>
      </c>
      <c r="S1254" s="12" t="s">
        <v>8315</v>
      </c>
      <c r="T1254" s="10" t="s">
        <v>249</v>
      </c>
      <c r="U1254" s="12" t="s">
        <v>31</v>
      </c>
      <c r="V1254" s="10" t="s">
        <v>8920</v>
      </c>
      <c r="W1254" s="10" t="s">
        <v>8309</v>
      </c>
      <c r="X1254" s="13" t="str">
        <f>HYPERLINK("https://my.pitchbook.com?p=349641-91P","View People Online")</f>
        <v>View People Online</v>
      </c>
    </row>
    <row r="1255">
      <c r="A1255" s="14" t="s">
        <v>8921</v>
      </c>
      <c r="B1255" s="14" t="s">
        <v>8922</v>
      </c>
      <c r="C1255" s="14" t="s">
        <v>8923</v>
      </c>
      <c r="D1255" s="14" t="s">
        <v>8924</v>
      </c>
      <c r="E1255" s="14" t="s">
        <v>8309</v>
      </c>
      <c r="F1255" s="14" t="s">
        <v>2652</v>
      </c>
      <c r="G1255" s="14" t="s">
        <v>8925</v>
      </c>
      <c r="H1255" s="15" t="s">
        <v>31</v>
      </c>
      <c r="I1255" s="15">
        <v>1.0</v>
      </c>
      <c r="J1255" s="15">
        <v>1.0</v>
      </c>
      <c r="K1255" s="15" t="s">
        <v>31</v>
      </c>
      <c r="L1255" s="16" t="s">
        <v>8311</v>
      </c>
      <c r="M1255" s="14" t="s">
        <v>8926</v>
      </c>
      <c r="N1255" s="14" t="s">
        <v>243</v>
      </c>
      <c r="O1255" s="16" t="s">
        <v>244</v>
      </c>
      <c r="P1255" s="14" t="s">
        <v>8313</v>
      </c>
      <c r="Q1255" s="14" t="s">
        <v>8314</v>
      </c>
      <c r="R1255" s="14" t="s">
        <v>247</v>
      </c>
      <c r="S1255" s="16" t="s">
        <v>8315</v>
      </c>
      <c r="T1255" s="14" t="s">
        <v>249</v>
      </c>
      <c r="U1255" s="16" t="s">
        <v>31</v>
      </c>
      <c r="V1255" s="14" t="s">
        <v>8927</v>
      </c>
      <c r="W1255" s="14" t="s">
        <v>8309</v>
      </c>
      <c r="X1255" s="17" t="str">
        <f>HYPERLINK("https://my.pitchbook.com?p=358710-76P","View People Online")</f>
        <v>View People Online</v>
      </c>
    </row>
    <row r="1256">
      <c r="A1256" s="2" t="s">
        <v>8928</v>
      </c>
      <c r="B1256" s="2" t="s">
        <v>8929</v>
      </c>
      <c r="C1256" s="2" t="s">
        <v>607</v>
      </c>
      <c r="D1256" s="2" t="s">
        <v>8930</v>
      </c>
      <c r="E1256" s="2" t="s">
        <v>8309</v>
      </c>
      <c r="F1256" s="2" t="s">
        <v>2652</v>
      </c>
      <c r="G1256" s="2" t="s">
        <v>8931</v>
      </c>
      <c r="H1256" s="3" t="s">
        <v>31</v>
      </c>
      <c r="I1256" s="3">
        <v>1.0</v>
      </c>
      <c r="J1256" s="3">
        <v>1.0</v>
      </c>
      <c r="K1256" s="3" t="s">
        <v>31</v>
      </c>
      <c r="L1256" s="4" t="s">
        <v>8311</v>
      </c>
      <c r="M1256" s="2" t="s">
        <v>8932</v>
      </c>
      <c r="N1256" s="2" t="s">
        <v>243</v>
      </c>
      <c r="O1256" s="4" t="s">
        <v>244</v>
      </c>
      <c r="P1256" s="2" t="s">
        <v>8313</v>
      </c>
      <c r="Q1256" s="2" t="s">
        <v>8314</v>
      </c>
      <c r="R1256" s="2" t="s">
        <v>247</v>
      </c>
      <c r="S1256" s="4" t="s">
        <v>8315</v>
      </c>
      <c r="T1256" s="2" t="s">
        <v>249</v>
      </c>
      <c r="U1256" s="4" t="s">
        <v>31</v>
      </c>
      <c r="V1256" s="2" t="s">
        <v>8933</v>
      </c>
      <c r="W1256" s="2" t="s">
        <v>8309</v>
      </c>
      <c r="X1256" s="5" t="str">
        <f>HYPERLINK("https://my.pitchbook.com?p=404495-02P","View People Online")</f>
        <v>View People Online</v>
      </c>
    </row>
    <row r="1257">
      <c r="A1257" s="6" t="s">
        <v>8934</v>
      </c>
      <c r="B1257" s="6" t="s">
        <v>8935</v>
      </c>
      <c r="C1257" s="6" t="s">
        <v>8936</v>
      </c>
      <c r="D1257" s="6" t="s">
        <v>8362</v>
      </c>
      <c r="E1257" s="6" t="s">
        <v>8309</v>
      </c>
      <c r="F1257" s="6" t="s">
        <v>548</v>
      </c>
      <c r="G1257" s="6" t="s">
        <v>8937</v>
      </c>
      <c r="H1257" s="7" t="s">
        <v>31</v>
      </c>
      <c r="I1257" s="7">
        <v>1.0</v>
      </c>
      <c r="J1257" s="7">
        <v>1.0</v>
      </c>
      <c r="K1257" s="7" t="s">
        <v>31</v>
      </c>
      <c r="L1257" s="8" t="s">
        <v>8311</v>
      </c>
      <c r="M1257" s="6" t="s">
        <v>8938</v>
      </c>
      <c r="N1257" s="6" t="s">
        <v>243</v>
      </c>
      <c r="O1257" s="8" t="s">
        <v>244</v>
      </c>
      <c r="P1257" s="6" t="s">
        <v>8313</v>
      </c>
      <c r="Q1257" s="6" t="s">
        <v>8314</v>
      </c>
      <c r="R1257" s="6" t="s">
        <v>247</v>
      </c>
      <c r="S1257" s="8" t="s">
        <v>8315</v>
      </c>
      <c r="T1257" s="6" t="s">
        <v>249</v>
      </c>
      <c r="U1257" s="8" t="s">
        <v>31</v>
      </c>
      <c r="V1257" s="6" t="s">
        <v>8939</v>
      </c>
      <c r="W1257" s="6" t="s">
        <v>8309</v>
      </c>
      <c r="X1257" s="9" t="str">
        <f>HYPERLINK("https://my.pitchbook.com?p=141037-66P","View People Online")</f>
        <v>View People Online</v>
      </c>
    </row>
    <row r="1258">
      <c r="A1258" s="2" t="s">
        <v>8940</v>
      </c>
      <c r="B1258" s="2" t="s">
        <v>8941</v>
      </c>
      <c r="C1258" s="2" t="s">
        <v>8936</v>
      </c>
      <c r="D1258" s="2" t="s">
        <v>8942</v>
      </c>
      <c r="E1258" s="2" t="s">
        <v>8309</v>
      </c>
      <c r="F1258" s="2" t="s">
        <v>270</v>
      </c>
      <c r="G1258" s="2" t="s">
        <v>8943</v>
      </c>
      <c r="H1258" s="3" t="s">
        <v>31</v>
      </c>
      <c r="I1258" s="3">
        <v>5.0</v>
      </c>
      <c r="J1258" s="3">
        <v>2.0</v>
      </c>
      <c r="K1258" s="3">
        <v>3.0</v>
      </c>
      <c r="L1258" s="4" t="s">
        <v>8311</v>
      </c>
      <c r="M1258" s="2" t="s">
        <v>8944</v>
      </c>
      <c r="N1258" s="2" t="s">
        <v>243</v>
      </c>
      <c r="O1258" s="4" t="s">
        <v>244</v>
      </c>
      <c r="P1258" s="2" t="s">
        <v>8313</v>
      </c>
      <c r="Q1258" s="2" t="s">
        <v>8314</v>
      </c>
      <c r="R1258" s="2" t="s">
        <v>247</v>
      </c>
      <c r="S1258" s="4" t="s">
        <v>8315</v>
      </c>
      <c r="T1258" s="2" t="s">
        <v>249</v>
      </c>
      <c r="U1258" s="4" t="s">
        <v>31</v>
      </c>
      <c r="V1258" s="2" t="s">
        <v>8945</v>
      </c>
      <c r="W1258" s="2" t="s">
        <v>8309</v>
      </c>
      <c r="X1258" s="5" t="str">
        <f>HYPERLINK("https://my.pitchbook.com?p=35744-95P","View People Online")</f>
        <v>View People Online</v>
      </c>
    </row>
    <row r="1259">
      <c r="A1259" s="14" t="s">
        <v>8946</v>
      </c>
      <c r="B1259" s="14" t="s">
        <v>8947</v>
      </c>
      <c r="C1259" s="14" t="s">
        <v>8948</v>
      </c>
      <c r="D1259" s="14" t="s">
        <v>8949</v>
      </c>
      <c r="E1259" s="14" t="s">
        <v>8309</v>
      </c>
      <c r="F1259" s="14" t="s">
        <v>8950</v>
      </c>
      <c r="G1259" s="14" t="s">
        <v>8951</v>
      </c>
      <c r="H1259" s="15" t="s">
        <v>31</v>
      </c>
      <c r="I1259" s="15">
        <v>1.0</v>
      </c>
      <c r="J1259" s="15">
        <v>1.0</v>
      </c>
      <c r="K1259" s="15" t="s">
        <v>31</v>
      </c>
      <c r="L1259" s="16" t="s">
        <v>8311</v>
      </c>
      <c r="M1259" s="14" t="s">
        <v>8952</v>
      </c>
      <c r="N1259" s="14" t="s">
        <v>243</v>
      </c>
      <c r="O1259" s="16" t="s">
        <v>244</v>
      </c>
      <c r="P1259" s="14" t="s">
        <v>8313</v>
      </c>
      <c r="Q1259" s="14" t="s">
        <v>8314</v>
      </c>
      <c r="R1259" s="14" t="s">
        <v>247</v>
      </c>
      <c r="S1259" s="16" t="s">
        <v>8315</v>
      </c>
      <c r="T1259" s="14" t="s">
        <v>249</v>
      </c>
      <c r="U1259" s="16" t="s">
        <v>31</v>
      </c>
      <c r="V1259" s="14" t="s">
        <v>8953</v>
      </c>
      <c r="W1259" s="14" t="s">
        <v>8309</v>
      </c>
      <c r="X1259" s="17" t="str">
        <f>HYPERLINK("https://my.pitchbook.com?p=96323-59P","View People Online")</f>
        <v>View People Online</v>
      </c>
    </row>
    <row r="1260">
      <c r="A1260" s="10" t="s">
        <v>8954</v>
      </c>
      <c r="B1260" s="10" t="s">
        <v>8955</v>
      </c>
      <c r="C1260" s="10" t="s">
        <v>8956</v>
      </c>
      <c r="D1260" s="10" t="s">
        <v>8957</v>
      </c>
      <c r="E1260" s="10" t="s">
        <v>8309</v>
      </c>
      <c r="F1260" s="10" t="s">
        <v>548</v>
      </c>
      <c r="G1260" s="10" t="s">
        <v>8958</v>
      </c>
      <c r="H1260" s="11" t="s">
        <v>31</v>
      </c>
      <c r="I1260" s="11">
        <v>2.0</v>
      </c>
      <c r="J1260" s="11">
        <v>1.0</v>
      </c>
      <c r="K1260" s="11">
        <v>1.0</v>
      </c>
      <c r="L1260" s="12" t="s">
        <v>8311</v>
      </c>
      <c r="M1260" s="10" t="s">
        <v>8959</v>
      </c>
      <c r="N1260" s="10" t="s">
        <v>243</v>
      </c>
      <c r="O1260" s="12" t="s">
        <v>244</v>
      </c>
      <c r="P1260" s="10" t="s">
        <v>8313</v>
      </c>
      <c r="Q1260" s="10" t="s">
        <v>8314</v>
      </c>
      <c r="R1260" s="10" t="s">
        <v>247</v>
      </c>
      <c r="S1260" s="12" t="s">
        <v>8315</v>
      </c>
      <c r="T1260" s="10" t="s">
        <v>249</v>
      </c>
      <c r="U1260" s="12" t="s">
        <v>31</v>
      </c>
      <c r="V1260" s="10" t="s">
        <v>8960</v>
      </c>
      <c r="W1260" s="10" t="s">
        <v>8309</v>
      </c>
      <c r="X1260" s="13" t="str">
        <f>HYPERLINK("https://my.pitchbook.com?p=151714-36P","View People Online")</f>
        <v>View People Online</v>
      </c>
    </row>
    <row r="1261">
      <c r="A1261" s="14" t="s">
        <v>8961</v>
      </c>
      <c r="B1261" s="14" t="s">
        <v>8962</v>
      </c>
      <c r="C1261" s="14" t="s">
        <v>823</v>
      </c>
      <c r="D1261" s="14" t="s">
        <v>8963</v>
      </c>
      <c r="E1261" s="14" t="s">
        <v>8309</v>
      </c>
      <c r="F1261" s="14" t="s">
        <v>5065</v>
      </c>
      <c r="G1261" s="14" t="s">
        <v>8964</v>
      </c>
      <c r="H1261" s="15" t="s">
        <v>31</v>
      </c>
      <c r="I1261" s="15">
        <v>1.0</v>
      </c>
      <c r="J1261" s="15">
        <v>1.0</v>
      </c>
      <c r="K1261" s="15" t="s">
        <v>31</v>
      </c>
      <c r="L1261" s="16" t="s">
        <v>8311</v>
      </c>
      <c r="M1261" s="14" t="s">
        <v>8965</v>
      </c>
      <c r="N1261" s="14" t="s">
        <v>243</v>
      </c>
      <c r="O1261" s="16" t="s">
        <v>244</v>
      </c>
      <c r="P1261" s="14" t="s">
        <v>8313</v>
      </c>
      <c r="Q1261" s="14" t="s">
        <v>8314</v>
      </c>
      <c r="R1261" s="14" t="s">
        <v>247</v>
      </c>
      <c r="S1261" s="16" t="s">
        <v>8315</v>
      </c>
      <c r="T1261" s="14" t="s">
        <v>249</v>
      </c>
      <c r="U1261" s="16" t="s">
        <v>31</v>
      </c>
      <c r="V1261" s="14" t="s">
        <v>8966</v>
      </c>
      <c r="W1261" s="14" t="s">
        <v>8309</v>
      </c>
      <c r="X1261" s="17" t="str">
        <f>HYPERLINK("https://my.pitchbook.com?p=61184-89P","View People Online")</f>
        <v>View People Online</v>
      </c>
    </row>
    <row r="1262">
      <c r="A1262" s="2" t="s">
        <v>8967</v>
      </c>
      <c r="B1262" s="2" t="s">
        <v>8968</v>
      </c>
      <c r="C1262" s="2" t="s">
        <v>823</v>
      </c>
      <c r="D1262" s="2" t="s">
        <v>8969</v>
      </c>
      <c r="E1262" s="2" t="s">
        <v>8309</v>
      </c>
      <c r="F1262" s="2" t="s">
        <v>825</v>
      </c>
      <c r="G1262" s="2" t="s">
        <v>8970</v>
      </c>
      <c r="H1262" s="3" t="s">
        <v>31</v>
      </c>
      <c r="I1262" s="3">
        <v>3.0</v>
      </c>
      <c r="J1262" s="3">
        <v>1.0</v>
      </c>
      <c r="K1262" s="3">
        <v>2.0</v>
      </c>
      <c r="L1262" s="4" t="s">
        <v>8311</v>
      </c>
      <c r="M1262" s="2" t="s">
        <v>8971</v>
      </c>
      <c r="N1262" s="2" t="s">
        <v>243</v>
      </c>
      <c r="O1262" s="4" t="s">
        <v>244</v>
      </c>
      <c r="P1262" s="2" t="s">
        <v>8313</v>
      </c>
      <c r="Q1262" s="2" t="s">
        <v>8314</v>
      </c>
      <c r="R1262" s="2" t="s">
        <v>247</v>
      </c>
      <c r="S1262" s="4" t="s">
        <v>8315</v>
      </c>
      <c r="T1262" s="2" t="s">
        <v>249</v>
      </c>
      <c r="U1262" s="4" t="s">
        <v>31</v>
      </c>
      <c r="V1262" s="2" t="s">
        <v>8972</v>
      </c>
      <c r="W1262" s="2" t="s">
        <v>8309</v>
      </c>
      <c r="X1262" s="5" t="str">
        <f>HYPERLINK("https://my.pitchbook.com?p=359720-74P","View People Online")</f>
        <v>View People Online</v>
      </c>
    </row>
    <row r="1263">
      <c r="A1263" s="6" t="s">
        <v>8973</v>
      </c>
      <c r="B1263" s="6" t="s">
        <v>8974</v>
      </c>
      <c r="C1263" s="6" t="s">
        <v>823</v>
      </c>
      <c r="D1263" s="6" t="s">
        <v>8975</v>
      </c>
      <c r="E1263" s="6" t="s">
        <v>8309</v>
      </c>
      <c r="F1263" s="6" t="s">
        <v>548</v>
      </c>
      <c r="G1263" s="6" t="s">
        <v>8976</v>
      </c>
      <c r="H1263" s="7">
        <v>4.0</v>
      </c>
      <c r="I1263" s="7">
        <v>22.0</v>
      </c>
      <c r="J1263" s="7">
        <v>2.0</v>
      </c>
      <c r="K1263" s="7">
        <v>14.0</v>
      </c>
      <c r="L1263" s="8" t="s">
        <v>8311</v>
      </c>
      <c r="M1263" s="6" t="s">
        <v>8977</v>
      </c>
      <c r="N1263" s="6" t="s">
        <v>243</v>
      </c>
      <c r="O1263" s="8" t="s">
        <v>244</v>
      </c>
      <c r="P1263" s="6" t="s">
        <v>8313</v>
      </c>
      <c r="Q1263" s="6" t="s">
        <v>31</v>
      </c>
      <c r="R1263" s="6" t="s">
        <v>247</v>
      </c>
      <c r="S1263" s="8" t="s">
        <v>8315</v>
      </c>
      <c r="T1263" s="6" t="s">
        <v>249</v>
      </c>
      <c r="U1263" s="8" t="s">
        <v>31</v>
      </c>
      <c r="V1263" s="6" t="s">
        <v>548</v>
      </c>
      <c r="W1263" s="6" t="s">
        <v>8978</v>
      </c>
      <c r="X1263" s="9" t="str">
        <f>HYPERLINK("https://my.pitchbook.com?p=184084-66P","View People Online")</f>
        <v>View People Online</v>
      </c>
    </row>
    <row r="1264">
      <c r="A1264" s="10" t="s">
        <v>8979</v>
      </c>
      <c r="B1264" s="10" t="s">
        <v>8980</v>
      </c>
      <c r="C1264" s="10" t="s">
        <v>823</v>
      </c>
      <c r="D1264" s="10" t="s">
        <v>119</v>
      </c>
      <c r="E1264" s="10" t="s">
        <v>8309</v>
      </c>
      <c r="F1264" s="10" t="s">
        <v>548</v>
      </c>
      <c r="G1264" s="10" t="s">
        <v>8981</v>
      </c>
      <c r="H1264" s="11" t="s">
        <v>31</v>
      </c>
      <c r="I1264" s="11">
        <v>1.0</v>
      </c>
      <c r="J1264" s="11">
        <v>1.0</v>
      </c>
      <c r="K1264" s="11" t="s">
        <v>31</v>
      </c>
      <c r="L1264" s="12" t="s">
        <v>8982</v>
      </c>
      <c r="M1264" s="10" t="s">
        <v>8983</v>
      </c>
      <c r="N1264" s="10" t="s">
        <v>243</v>
      </c>
      <c r="O1264" s="12" t="s">
        <v>244</v>
      </c>
      <c r="P1264" s="10" t="s">
        <v>8313</v>
      </c>
      <c r="Q1264" s="10" t="s">
        <v>8314</v>
      </c>
      <c r="R1264" s="10" t="s">
        <v>247</v>
      </c>
      <c r="S1264" s="12" t="s">
        <v>8315</v>
      </c>
      <c r="T1264" s="10" t="s">
        <v>249</v>
      </c>
      <c r="U1264" s="12" t="s">
        <v>31</v>
      </c>
      <c r="V1264" s="10" t="s">
        <v>760</v>
      </c>
      <c r="W1264" s="10" t="s">
        <v>8309</v>
      </c>
      <c r="X1264" s="13" t="str">
        <f>HYPERLINK("https://my.pitchbook.com?p=262860-31P","View People Online")</f>
        <v>View People Online</v>
      </c>
    </row>
    <row r="1265">
      <c r="A1265" s="14" t="s">
        <v>8984</v>
      </c>
      <c r="B1265" s="14" t="s">
        <v>8985</v>
      </c>
      <c r="C1265" s="14" t="s">
        <v>823</v>
      </c>
      <c r="D1265" s="14" t="s">
        <v>843</v>
      </c>
      <c r="E1265" s="14" t="s">
        <v>8309</v>
      </c>
      <c r="F1265" s="14" t="s">
        <v>825</v>
      </c>
      <c r="G1265" s="14" t="s">
        <v>8986</v>
      </c>
      <c r="H1265" s="15" t="s">
        <v>31</v>
      </c>
      <c r="I1265" s="15">
        <v>2.0</v>
      </c>
      <c r="J1265" s="15">
        <v>1.0</v>
      </c>
      <c r="K1265" s="15">
        <v>1.0</v>
      </c>
      <c r="L1265" s="16" t="s">
        <v>8311</v>
      </c>
      <c r="M1265" s="14" t="s">
        <v>8987</v>
      </c>
      <c r="N1265" s="14" t="s">
        <v>243</v>
      </c>
      <c r="O1265" s="16" t="s">
        <v>244</v>
      </c>
      <c r="P1265" s="14" t="s">
        <v>8313</v>
      </c>
      <c r="Q1265" s="14" t="s">
        <v>8314</v>
      </c>
      <c r="R1265" s="14" t="s">
        <v>247</v>
      </c>
      <c r="S1265" s="16" t="s">
        <v>8315</v>
      </c>
      <c r="T1265" s="14" t="s">
        <v>249</v>
      </c>
      <c r="U1265" s="16" t="s">
        <v>31</v>
      </c>
      <c r="V1265" s="14" t="s">
        <v>8988</v>
      </c>
      <c r="W1265" s="14" t="s">
        <v>8309</v>
      </c>
      <c r="X1265" s="17" t="str">
        <f>HYPERLINK("https://my.pitchbook.com?p=188078-68P","View People Online")</f>
        <v>View People Online</v>
      </c>
    </row>
    <row r="1266">
      <c r="A1266" s="2" t="s">
        <v>8989</v>
      </c>
      <c r="B1266" s="2" t="s">
        <v>8990</v>
      </c>
      <c r="C1266" s="2" t="s">
        <v>823</v>
      </c>
      <c r="D1266" s="2" t="s">
        <v>8991</v>
      </c>
      <c r="E1266" s="2" t="s">
        <v>8309</v>
      </c>
      <c r="F1266" s="2" t="s">
        <v>825</v>
      </c>
      <c r="G1266" s="2" t="s">
        <v>8992</v>
      </c>
      <c r="H1266" s="3">
        <v>1.0</v>
      </c>
      <c r="I1266" s="3">
        <v>2.0</v>
      </c>
      <c r="J1266" s="3">
        <v>1.0</v>
      </c>
      <c r="K1266" s="3" t="s">
        <v>31</v>
      </c>
      <c r="L1266" s="4" t="s">
        <v>8311</v>
      </c>
      <c r="M1266" s="2" t="s">
        <v>8993</v>
      </c>
      <c r="N1266" s="2" t="s">
        <v>243</v>
      </c>
      <c r="O1266" s="4" t="s">
        <v>244</v>
      </c>
      <c r="P1266" s="2" t="s">
        <v>8313</v>
      </c>
      <c r="Q1266" s="2" t="s">
        <v>8314</v>
      </c>
      <c r="R1266" s="2" t="s">
        <v>247</v>
      </c>
      <c r="S1266" s="4" t="s">
        <v>8315</v>
      </c>
      <c r="T1266" s="2" t="s">
        <v>249</v>
      </c>
      <c r="U1266" s="4" t="s">
        <v>31</v>
      </c>
      <c r="V1266" s="2" t="s">
        <v>8994</v>
      </c>
      <c r="W1266" s="2" t="s">
        <v>8309</v>
      </c>
      <c r="X1266" s="5" t="str">
        <f>HYPERLINK("https://my.pitchbook.com?p=160145-11P","View People Online")</f>
        <v>View People Online</v>
      </c>
    </row>
    <row r="1267">
      <c r="A1267" s="14" t="s">
        <v>8995</v>
      </c>
      <c r="B1267" s="14" t="s">
        <v>8996</v>
      </c>
      <c r="C1267" s="14" t="s">
        <v>823</v>
      </c>
      <c r="D1267" s="14" t="s">
        <v>8997</v>
      </c>
      <c r="E1267" s="14" t="s">
        <v>8309</v>
      </c>
      <c r="F1267" s="14" t="s">
        <v>1283</v>
      </c>
      <c r="G1267" s="14" t="s">
        <v>8998</v>
      </c>
      <c r="H1267" s="15" t="s">
        <v>31</v>
      </c>
      <c r="I1267" s="15">
        <v>1.0</v>
      </c>
      <c r="J1267" s="15">
        <v>1.0</v>
      </c>
      <c r="K1267" s="15" t="s">
        <v>31</v>
      </c>
      <c r="L1267" s="16" t="s">
        <v>8311</v>
      </c>
      <c r="M1267" s="14" t="s">
        <v>8999</v>
      </c>
      <c r="N1267" s="14" t="s">
        <v>243</v>
      </c>
      <c r="O1267" s="16" t="s">
        <v>244</v>
      </c>
      <c r="P1267" s="14" t="s">
        <v>8313</v>
      </c>
      <c r="Q1267" s="14" t="s">
        <v>8314</v>
      </c>
      <c r="R1267" s="14" t="s">
        <v>247</v>
      </c>
      <c r="S1267" s="16" t="s">
        <v>8315</v>
      </c>
      <c r="T1267" s="14" t="s">
        <v>249</v>
      </c>
      <c r="U1267" s="16" t="s">
        <v>31</v>
      </c>
      <c r="V1267" s="14" t="s">
        <v>9000</v>
      </c>
      <c r="W1267" s="14" t="s">
        <v>8309</v>
      </c>
      <c r="X1267" s="17" t="str">
        <f>HYPERLINK("https://my.pitchbook.com?p=450458-92P","View People Online")</f>
        <v>View People Online</v>
      </c>
    </row>
    <row r="1268">
      <c r="A1268" s="10" t="s">
        <v>9001</v>
      </c>
      <c r="B1268" s="10" t="s">
        <v>9002</v>
      </c>
      <c r="C1268" s="10" t="s">
        <v>5358</v>
      </c>
      <c r="D1268" s="10" t="s">
        <v>1146</v>
      </c>
      <c r="E1268" s="10" t="s">
        <v>8309</v>
      </c>
      <c r="F1268" s="10" t="s">
        <v>825</v>
      </c>
      <c r="G1268" s="10" t="s">
        <v>9003</v>
      </c>
      <c r="H1268" s="11" t="s">
        <v>31</v>
      </c>
      <c r="I1268" s="11">
        <v>6.0</v>
      </c>
      <c r="J1268" s="11">
        <v>2.0</v>
      </c>
      <c r="K1268" s="11">
        <v>4.0</v>
      </c>
      <c r="L1268" s="12" t="s">
        <v>8311</v>
      </c>
      <c r="M1268" s="10" t="s">
        <v>9004</v>
      </c>
      <c r="N1268" s="10" t="s">
        <v>243</v>
      </c>
      <c r="O1268" s="12" t="s">
        <v>244</v>
      </c>
      <c r="P1268" s="10" t="s">
        <v>8313</v>
      </c>
      <c r="Q1268" s="10" t="s">
        <v>8314</v>
      </c>
      <c r="R1268" s="10" t="s">
        <v>247</v>
      </c>
      <c r="S1268" s="12" t="s">
        <v>8315</v>
      </c>
      <c r="T1268" s="10" t="s">
        <v>249</v>
      </c>
      <c r="U1268" s="12" t="s">
        <v>31</v>
      </c>
      <c r="V1268" s="10" t="s">
        <v>9005</v>
      </c>
      <c r="W1268" s="10" t="s">
        <v>8309</v>
      </c>
      <c r="X1268" s="13" t="str">
        <f>HYPERLINK("https://my.pitchbook.com?p=45488-08P","View People Online")</f>
        <v>View People Online</v>
      </c>
    </row>
    <row r="1269">
      <c r="A1269" s="14" t="s">
        <v>9006</v>
      </c>
      <c r="B1269" s="14" t="s">
        <v>9007</v>
      </c>
      <c r="C1269" s="14" t="s">
        <v>3529</v>
      </c>
      <c r="D1269" s="14" t="s">
        <v>9008</v>
      </c>
      <c r="E1269" s="14" t="s">
        <v>8309</v>
      </c>
      <c r="F1269" s="14" t="s">
        <v>548</v>
      </c>
      <c r="G1269" s="14" t="s">
        <v>9009</v>
      </c>
      <c r="H1269" s="15" t="s">
        <v>31</v>
      </c>
      <c r="I1269" s="15">
        <v>3.0</v>
      </c>
      <c r="J1269" s="15">
        <v>1.0</v>
      </c>
      <c r="K1269" s="15">
        <v>2.0</v>
      </c>
      <c r="L1269" s="16" t="s">
        <v>8311</v>
      </c>
      <c r="M1269" s="14" t="s">
        <v>9010</v>
      </c>
      <c r="N1269" s="14" t="s">
        <v>243</v>
      </c>
      <c r="O1269" s="16" t="s">
        <v>244</v>
      </c>
      <c r="P1269" s="14" t="s">
        <v>8313</v>
      </c>
      <c r="Q1269" s="14" t="s">
        <v>8314</v>
      </c>
      <c r="R1269" s="14" t="s">
        <v>247</v>
      </c>
      <c r="S1269" s="16" t="s">
        <v>8315</v>
      </c>
      <c r="T1269" s="14" t="s">
        <v>249</v>
      </c>
      <c r="U1269" s="16" t="s">
        <v>31</v>
      </c>
      <c r="V1269" s="14" t="s">
        <v>8457</v>
      </c>
      <c r="W1269" s="14" t="s">
        <v>8309</v>
      </c>
      <c r="X1269" s="17" t="str">
        <f>HYPERLINK("https://my.pitchbook.com?p=269398-63P","View People Online")</f>
        <v>View People Online</v>
      </c>
    </row>
    <row r="1270">
      <c r="A1270" s="10" t="s">
        <v>9011</v>
      </c>
      <c r="B1270" s="10" t="s">
        <v>9012</v>
      </c>
      <c r="C1270" s="10" t="s">
        <v>3529</v>
      </c>
      <c r="D1270" s="10" t="s">
        <v>9013</v>
      </c>
      <c r="E1270" s="10" t="s">
        <v>8309</v>
      </c>
      <c r="F1270" s="10" t="s">
        <v>1283</v>
      </c>
      <c r="G1270" s="10" t="s">
        <v>9014</v>
      </c>
      <c r="H1270" s="11" t="s">
        <v>31</v>
      </c>
      <c r="I1270" s="11">
        <v>1.0</v>
      </c>
      <c r="J1270" s="11">
        <v>1.0</v>
      </c>
      <c r="K1270" s="11" t="s">
        <v>31</v>
      </c>
      <c r="L1270" s="12" t="s">
        <v>8311</v>
      </c>
      <c r="M1270" s="10" t="s">
        <v>9015</v>
      </c>
      <c r="N1270" s="10" t="s">
        <v>243</v>
      </c>
      <c r="O1270" s="12" t="s">
        <v>244</v>
      </c>
      <c r="P1270" s="10" t="s">
        <v>8313</v>
      </c>
      <c r="Q1270" s="10" t="s">
        <v>8314</v>
      </c>
      <c r="R1270" s="10" t="s">
        <v>247</v>
      </c>
      <c r="S1270" s="12" t="s">
        <v>8315</v>
      </c>
      <c r="T1270" s="10" t="s">
        <v>249</v>
      </c>
      <c r="U1270" s="12" t="s">
        <v>31</v>
      </c>
      <c r="V1270" s="10" t="s">
        <v>9016</v>
      </c>
      <c r="W1270" s="10" t="s">
        <v>8309</v>
      </c>
      <c r="X1270" s="13" t="str">
        <f>HYPERLINK("https://my.pitchbook.com?p=441495-73P","View People Online")</f>
        <v>View People Online</v>
      </c>
    </row>
    <row r="1271">
      <c r="A1271" s="6" t="s">
        <v>9017</v>
      </c>
      <c r="B1271" s="6" t="s">
        <v>9018</v>
      </c>
      <c r="C1271" s="6" t="s">
        <v>9019</v>
      </c>
      <c r="D1271" s="6" t="s">
        <v>5302</v>
      </c>
      <c r="E1271" s="6" t="s">
        <v>8309</v>
      </c>
      <c r="F1271" s="6" t="s">
        <v>825</v>
      </c>
      <c r="G1271" s="6" t="s">
        <v>9020</v>
      </c>
      <c r="H1271" s="7" t="s">
        <v>31</v>
      </c>
      <c r="I1271" s="7">
        <v>1.0</v>
      </c>
      <c r="J1271" s="7">
        <v>1.0</v>
      </c>
      <c r="K1271" s="7" t="s">
        <v>31</v>
      </c>
      <c r="L1271" s="8" t="s">
        <v>8311</v>
      </c>
      <c r="M1271" s="6" t="s">
        <v>9021</v>
      </c>
      <c r="N1271" s="6" t="s">
        <v>243</v>
      </c>
      <c r="O1271" s="8" t="s">
        <v>244</v>
      </c>
      <c r="P1271" s="6" t="s">
        <v>8313</v>
      </c>
      <c r="Q1271" s="6" t="s">
        <v>8314</v>
      </c>
      <c r="R1271" s="6" t="s">
        <v>247</v>
      </c>
      <c r="S1271" s="8" t="s">
        <v>8315</v>
      </c>
      <c r="T1271" s="6" t="s">
        <v>249</v>
      </c>
      <c r="U1271" s="8" t="s">
        <v>31</v>
      </c>
      <c r="V1271" s="6" t="s">
        <v>9022</v>
      </c>
      <c r="W1271" s="6" t="s">
        <v>8309</v>
      </c>
      <c r="X1271" s="9" t="str">
        <f>HYPERLINK("https://my.pitchbook.com?p=76298-95P","View People Online")</f>
        <v>View People Online</v>
      </c>
    </row>
    <row r="1272">
      <c r="A1272" s="10" t="s">
        <v>9023</v>
      </c>
      <c r="B1272" s="10" t="s">
        <v>9024</v>
      </c>
      <c r="C1272" s="10" t="s">
        <v>7503</v>
      </c>
      <c r="D1272" s="10" t="s">
        <v>9025</v>
      </c>
      <c r="E1272" s="10" t="s">
        <v>8309</v>
      </c>
      <c r="F1272" s="10" t="s">
        <v>825</v>
      </c>
      <c r="G1272" s="10" t="s">
        <v>9026</v>
      </c>
      <c r="H1272" s="11" t="s">
        <v>31</v>
      </c>
      <c r="I1272" s="11">
        <v>1.0</v>
      </c>
      <c r="J1272" s="11">
        <v>1.0</v>
      </c>
      <c r="K1272" s="11" t="s">
        <v>31</v>
      </c>
      <c r="L1272" s="12" t="s">
        <v>8311</v>
      </c>
      <c r="M1272" s="10" t="s">
        <v>9027</v>
      </c>
      <c r="N1272" s="10" t="s">
        <v>243</v>
      </c>
      <c r="O1272" s="12" t="s">
        <v>244</v>
      </c>
      <c r="P1272" s="10" t="s">
        <v>8313</v>
      </c>
      <c r="Q1272" s="10" t="s">
        <v>8314</v>
      </c>
      <c r="R1272" s="10" t="s">
        <v>247</v>
      </c>
      <c r="S1272" s="12" t="s">
        <v>8315</v>
      </c>
      <c r="T1272" s="10" t="s">
        <v>249</v>
      </c>
      <c r="U1272" s="12" t="s">
        <v>31</v>
      </c>
      <c r="V1272" s="10" t="s">
        <v>9028</v>
      </c>
      <c r="W1272" s="10" t="s">
        <v>8309</v>
      </c>
      <c r="X1272" s="13" t="str">
        <f>HYPERLINK("https://my.pitchbook.com?p=375080-86P","View People Online")</f>
        <v>View People Online</v>
      </c>
    </row>
    <row r="1273">
      <c r="A1273" s="6" t="s">
        <v>9029</v>
      </c>
      <c r="B1273" s="6" t="s">
        <v>9030</v>
      </c>
      <c r="C1273" s="6" t="s">
        <v>9031</v>
      </c>
      <c r="D1273" s="6" t="s">
        <v>9032</v>
      </c>
      <c r="E1273" s="6" t="s">
        <v>8309</v>
      </c>
      <c r="F1273" s="6" t="s">
        <v>2652</v>
      </c>
      <c r="G1273" s="6" t="s">
        <v>9033</v>
      </c>
      <c r="H1273" s="7" t="s">
        <v>31</v>
      </c>
      <c r="I1273" s="7">
        <v>1.0</v>
      </c>
      <c r="J1273" s="7">
        <v>1.0</v>
      </c>
      <c r="K1273" s="7" t="s">
        <v>31</v>
      </c>
      <c r="L1273" s="8" t="s">
        <v>8311</v>
      </c>
      <c r="M1273" s="6" t="s">
        <v>9034</v>
      </c>
      <c r="N1273" s="6" t="s">
        <v>243</v>
      </c>
      <c r="O1273" s="8" t="s">
        <v>244</v>
      </c>
      <c r="P1273" s="6" t="s">
        <v>8313</v>
      </c>
      <c r="Q1273" s="6" t="s">
        <v>8314</v>
      </c>
      <c r="R1273" s="6" t="s">
        <v>247</v>
      </c>
      <c r="S1273" s="8" t="s">
        <v>8315</v>
      </c>
      <c r="T1273" s="6" t="s">
        <v>249</v>
      </c>
      <c r="U1273" s="8" t="s">
        <v>31</v>
      </c>
      <c r="V1273" s="6" t="s">
        <v>9035</v>
      </c>
      <c r="W1273" s="6" t="s">
        <v>8309</v>
      </c>
      <c r="X1273" s="9" t="str">
        <f>HYPERLINK("https://my.pitchbook.com?p=395325-46P","View People Online")</f>
        <v>View People Online</v>
      </c>
    </row>
    <row r="1274">
      <c r="A1274" s="10" t="s">
        <v>9036</v>
      </c>
      <c r="B1274" s="10" t="s">
        <v>9037</v>
      </c>
      <c r="C1274" s="10" t="s">
        <v>4404</v>
      </c>
      <c r="D1274" s="10" t="s">
        <v>9038</v>
      </c>
      <c r="E1274" s="10" t="s">
        <v>8309</v>
      </c>
      <c r="F1274" s="10" t="s">
        <v>548</v>
      </c>
      <c r="G1274" s="10" t="s">
        <v>9039</v>
      </c>
      <c r="H1274" s="11" t="s">
        <v>31</v>
      </c>
      <c r="I1274" s="11">
        <v>1.0</v>
      </c>
      <c r="J1274" s="11">
        <v>1.0</v>
      </c>
      <c r="K1274" s="11" t="s">
        <v>31</v>
      </c>
      <c r="L1274" s="12" t="s">
        <v>8311</v>
      </c>
      <c r="M1274" s="10" t="s">
        <v>9040</v>
      </c>
      <c r="N1274" s="10" t="s">
        <v>243</v>
      </c>
      <c r="O1274" s="12" t="s">
        <v>244</v>
      </c>
      <c r="P1274" s="10" t="s">
        <v>8313</v>
      </c>
      <c r="Q1274" s="10" t="s">
        <v>8314</v>
      </c>
      <c r="R1274" s="10" t="s">
        <v>247</v>
      </c>
      <c r="S1274" s="12" t="s">
        <v>8315</v>
      </c>
      <c r="T1274" s="10" t="s">
        <v>249</v>
      </c>
      <c r="U1274" s="12" t="s">
        <v>31</v>
      </c>
      <c r="V1274" s="10" t="s">
        <v>9041</v>
      </c>
      <c r="W1274" s="10" t="s">
        <v>8309</v>
      </c>
      <c r="X1274" s="13" t="str">
        <f>HYPERLINK("https://my.pitchbook.com?p=360099-91P","View People Online")</f>
        <v>View People Online</v>
      </c>
    </row>
    <row r="1275">
      <c r="A1275" s="14" t="s">
        <v>9042</v>
      </c>
      <c r="B1275" s="14" t="s">
        <v>9043</v>
      </c>
      <c r="C1275" s="14" t="s">
        <v>4404</v>
      </c>
      <c r="D1275" s="14" t="s">
        <v>9044</v>
      </c>
      <c r="E1275" s="14" t="s">
        <v>8309</v>
      </c>
      <c r="F1275" s="14" t="s">
        <v>270</v>
      </c>
      <c r="G1275" s="14" t="s">
        <v>9045</v>
      </c>
      <c r="H1275" s="15" t="s">
        <v>31</v>
      </c>
      <c r="I1275" s="15">
        <v>1.0</v>
      </c>
      <c r="J1275" s="15">
        <v>1.0</v>
      </c>
      <c r="K1275" s="15" t="s">
        <v>31</v>
      </c>
      <c r="L1275" s="16" t="s">
        <v>8311</v>
      </c>
      <c r="M1275" s="14" t="s">
        <v>9046</v>
      </c>
      <c r="N1275" s="14" t="s">
        <v>243</v>
      </c>
      <c r="O1275" s="16" t="s">
        <v>244</v>
      </c>
      <c r="P1275" s="14" t="s">
        <v>8313</v>
      </c>
      <c r="Q1275" s="14" t="s">
        <v>8314</v>
      </c>
      <c r="R1275" s="14" t="s">
        <v>247</v>
      </c>
      <c r="S1275" s="16" t="s">
        <v>8315</v>
      </c>
      <c r="T1275" s="14" t="s">
        <v>249</v>
      </c>
      <c r="U1275" s="16" t="s">
        <v>31</v>
      </c>
      <c r="V1275" s="14" t="s">
        <v>270</v>
      </c>
      <c r="W1275" s="14" t="s">
        <v>8309</v>
      </c>
      <c r="X1275" s="17" t="str">
        <f>HYPERLINK("https://my.pitchbook.com?p=265519-36P","View People Online")</f>
        <v>View People Online</v>
      </c>
    </row>
    <row r="1276">
      <c r="A1276" s="10" t="s">
        <v>9047</v>
      </c>
      <c r="B1276" s="10" t="s">
        <v>9048</v>
      </c>
      <c r="C1276" s="10" t="s">
        <v>9049</v>
      </c>
      <c r="D1276" s="10" t="s">
        <v>9050</v>
      </c>
      <c r="E1276" s="10" t="s">
        <v>8309</v>
      </c>
      <c r="F1276" s="10" t="s">
        <v>825</v>
      </c>
      <c r="G1276" s="10" t="s">
        <v>9051</v>
      </c>
      <c r="H1276" s="11" t="s">
        <v>31</v>
      </c>
      <c r="I1276" s="11">
        <v>1.0</v>
      </c>
      <c r="J1276" s="11">
        <v>1.0</v>
      </c>
      <c r="K1276" s="11" t="s">
        <v>31</v>
      </c>
      <c r="L1276" s="12" t="s">
        <v>8311</v>
      </c>
      <c r="M1276" s="10" t="s">
        <v>9052</v>
      </c>
      <c r="N1276" s="10" t="s">
        <v>243</v>
      </c>
      <c r="O1276" s="12" t="s">
        <v>244</v>
      </c>
      <c r="P1276" s="10" t="s">
        <v>8313</v>
      </c>
      <c r="Q1276" s="10" t="s">
        <v>8314</v>
      </c>
      <c r="R1276" s="10" t="s">
        <v>247</v>
      </c>
      <c r="S1276" s="12" t="s">
        <v>8315</v>
      </c>
      <c r="T1276" s="10" t="s">
        <v>249</v>
      </c>
      <c r="U1276" s="12" t="s">
        <v>31</v>
      </c>
      <c r="V1276" s="10" t="s">
        <v>9053</v>
      </c>
      <c r="W1276" s="10" t="s">
        <v>8309</v>
      </c>
      <c r="X1276" s="13" t="str">
        <f>HYPERLINK("https://my.pitchbook.com?p=353410-03P","View People Online")</f>
        <v>View People Online</v>
      </c>
    </row>
    <row r="1277">
      <c r="A1277" s="6" t="s">
        <v>9054</v>
      </c>
      <c r="B1277" s="6" t="s">
        <v>9055</v>
      </c>
      <c r="C1277" s="6" t="s">
        <v>9056</v>
      </c>
      <c r="D1277" s="6" t="s">
        <v>9057</v>
      </c>
      <c r="E1277" s="6" t="s">
        <v>8309</v>
      </c>
      <c r="F1277" s="6" t="s">
        <v>9058</v>
      </c>
      <c r="G1277" s="6" t="s">
        <v>9059</v>
      </c>
      <c r="H1277" s="7" t="s">
        <v>31</v>
      </c>
      <c r="I1277" s="7">
        <v>2.0</v>
      </c>
      <c r="J1277" s="7">
        <v>2.0</v>
      </c>
      <c r="K1277" s="7" t="s">
        <v>31</v>
      </c>
      <c r="L1277" s="8" t="s">
        <v>8311</v>
      </c>
      <c r="M1277" s="6" t="s">
        <v>9060</v>
      </c>
      <c r="N1277" s="6" t="s">
        <v>243</v>
      </c>
      <c r="O1277" s="8" t="s">
        <v>244</v>
      </c>
      <c r="P1277" s="6" t="s">
        <v>8313</v>
      </c>
      <c r="Q1277" s="6" t="s">
        <v>8314</v>
      </c>
      <c r="R1277" s="6" t="s">
        <v>247</v>
      </c>
      <c r="S1277" s="8" t="s">
        <v>8315</v>
      </c>
      <c r="T1277" s="6" t="s">
        <v>249</v>
      </c>
      <c r="U1277" s="8" t="s">
        <v>31</v>
      </c>
      <c r="V1277" s="6" t="s">
        <v>9061</v>
      </c>
      <c r="W1277" s="6" t="s">
        <v>8309</v>
      </c>
      <c r="X1277" s="9" t="str">
        <f>HYPERLINK("https://my.pitchbook.com?p=368712-37P","View People Online")</f>
        <v>View People Online</v>
      </c>
    </row>
    <row r="1278">
      <c r="A1278" s="2" t="s">
        <v>9062</v>
      </c>
      <c r="B1278" s="2" t="s">
        <v>9063</v>
      </c>
      <c r="C1278" s="2" t="s">
        <v>5363</v>
      </c>
      <c r="D1278" s="2" t="s">
        <v>1672</v>
      </c>
      <c r="E1278" s="2" t="s">
        <v>8309</v>
      </c>
      <c r="F1278" s="2" t="s">
        <v>548</v>
      </c>
      <c r="G1278" s="2" t="s">
        <v>9064</v>
      </c>
      <c r="H1278" s="3" t="s">
        <v>31</v>
      </c>
      <c r="I1278" s="3">
        <v>2.0</v>
      </c>
      <c r="J1278" s="3">
        <v>1.0</v>
      </c>
      <c r="K1278" s="3">
        <v>1.0</v>
      </c>
      <c r="L1278" s="4" t="s">
        <v>8311</v>
      </c>
      <c r="M1278" s="2" t="s">
        <v>9065</v>
      </c>
      <c r="N1278" s="2" t="s">
        <v>243</v>
      </c>
      <c r="O1278" s="4" t="s">
        <v>244</v>
      </c>
      <c r="P1278" s="2" t="s">
        <v>8313</v>
      </c>
      <c r="Q1278" s="2" t="s">
        <v>8314</v>
      </c>
      <c r="R1278" s="2" t="s">
        <v>247</v>
      </c>
      <c r="S1278" s="4" t="s">
        <v>8315</v>
      </c>
      <c r="T1278" s="2" t="s">
        <v>249</v>
      </c>
      <c r="U1278" s="4" t="s">
        <v>31</v>
      </c>
      <c r="V1278" s="2" t="s">
        <v>9066</v>
      </c>
      <c r="W1278" s="2" t="s">
        <v>8309</v>
      </c>
      <c r="X1278" s="5" t="str">
        <f>HYPERLINK("https://my.pitchbook.com?p=310388-86P","View People Online")</f>
        <v>View People Online</v>
      </c>
    </row>
    <row r="1279">
      <c r="A1279" s="14" t="s">
        <v>9067</v>
      </c>
      <c r="B1279" s="14" t="s">
        <v>9068</v>
      </c>
      <c r="C1279" s="14" t="s">
        <v>2992</v>
      </c>
      <c r="D1279" s="14" t="s">
        <v>9069</v>
      </c>
      <c r="E1279" s="14" t="s">
        <v>8309</v>
      </c>
      <c r="F1279" s="14" t="s">
        <v>825</v>
      </c>
      <c r="G1279" s="14" t="s">
        <v>9070</v>
      </c>
      <c r="H1279" s="15" t="s">
        <v>31</v>
      </c>
      <c r="I1279" s="15">
        <v>1.0</v>
      </c>
      <c r="J1279" s="15">
        <v>1.0</v>
      </c>
      <c r="K1279" s="15" t="s">
        <v>31</v>
      </c>
      <c r="L1279" s="16" t="s">
        <v>8311</v>
      </c>
      <c r="M1279" s="14" t="s">
        <v>9071</v>
      </c>
      <c r="N1279" s="14" t="s">
        <v>243</v>
      </c>
      <c r="O1279" s="16" t="s">
        <v>244</v>
      </c>
      <c r="P1279" s="14" t="s">
        <v>8313</v>
      </c>
      <c r="Q1279" s="14" t="s">
        <v>8314</v>
      </c>
      <c r="R1279" s="14" t="s">
        <v>247</v>
      </c>
      <c r="S1279" s="16" t="s">
        <v>8315</v>
      </c>
      <c r="T1279" s="14" t="s">
        <v>249</v>
      </c>
      <c r="U1279" s="16" t="s">
        <v>31</v>
      </c>
      <c r="V1279" s="14" t="s">
        <v>9072</v>
      </c>
      <c r="W1279" s="14" t="s">
        <v>8309</v>
      </c>
      <c r="X1279" s="17" t="str">
        <f>HYPERLINK("https://my.pitchbook.com?p=135151-21P","View People Online")</f>
        <v>View People Online</v>
      </c>
    </row>
    <row r="1280">
      <c r="A1280" s="2" t="s">
        <v>9073</v>
      </c>
      <c r="B1280" s="2" t="s">
        <v>9074</v>
      </c>
      <c r="C1280" s="2" t="s">
        <v>1343</v>
      </c>
      <c r="D1280" s="2" t="s">
        <v>8234</v>
      </c>
      <c r="E1280" s="2" t="s">
        <v>8309</v>
      </c>
      <c r="F1280" s="2" t="s">
        <v>270</v>
      </c>
      <c r="G1280" s="2" t="s">
        <v>9075</v>
      </c>
      <c r="H1280" s="3" t="s">
        <v>31</v>
      </c>
      <c r="I1280" s="3">
        <v>1.0</v>
      </c>
      <c r="J1280" s="3">
        <v>1.0</v>
      </c>
      <c r="K1280" s="3" t="s">
        <v>31</v>
      </c>
      <c r="L1280" s="4" t="s">
        <v>8311</v>
      </c>
      <c r="M1280" s="2" t="s">
        <v>9076</v>
      </c>
      <c r="N1280" s="2" t="s">
        <v>243</v>
      </c>
      <c r="O1280" s="4" t="s">
        <v>244</v>
      </c>
      <c r="P1280" s="2" t="s">
        <v>8313</v>
      </c>
      <c r="Q1280" s="2" t="s">
        <v>8314</v>
      </c>
      <c r="R1280" s="2" t="s">
        <v>247</v>
      </c>
      <c r="S1280" s="4" t="s">
        <v>8315</v>
      </c>
      <c r="T1280" s="2" t="s">
        <v>249</v>
      </c>
      <c r="U1280" s="4" t="s">
        <v>31</v>
      </c>
      <c r="V1280" s="2" t="s">
        <v>9077</v>
      </c>
      <c r="W1280" s="2" t="s">
        <v>8309</v>
      </c>
      <c r="X1280" s="5" t="str">
        <f>HYPERLINK("https://my.pitchbook.com?p=316421-65P","View People Online")</f>
        <v>View People Online</v>
      </c>
    </row>
    <row r="1281">
      <c r="A1281" s="6" t="s">
        <v>9078</v>
      </c>
      <c r="B1281" s="6" t="s">
        <v>9079</v>
      </c>
      <c r="C1281" s="6" t="s">
        <v>1343</v>
      </c>
      <c r="D1281" s="6" t="s">
        <v>9080</v>
      </c>
      <c r="E1281" s="6" t="s">
        <v>8309</v>
      </c>
      <c r="F1281" s="6" t="s">
        <v>825</v>
      </c>
      <c r="G1281" s="6" t="s">
        <v>9081</v>
      </c>
      <c r="H1281" s="7" t="s">
        <v>31</v>
      </c>
      <c r="I1281" s="7">
        <v>1.0</v>
      </c>
      <c r="J1281" s="7">
        <v>1.0</v>
      </c>
      <c r="K1281" s="7" t="s">
        <v>31</v>
      </c>
      <c r="L1281" s="8" t="s">
        <v>8311</v>
      </c>
      <c r="M1281" s="6" t="s">
        <v>9082</v>
      </c>
      <c r="N1281" s="6" t="s">
        <v>243</v>
      </c>
      <c r="O1281" s="8" t="s">
        <v>244</v>
      </c>
      <c r="P1281" s="6" t="s">
        <v>8313</v>
      </c>
      <c r="Q1281" s="6" t="s">
        <v>8314</v>
      </c>
      <c r="R1281" s="6" t="s">
        <v>247</v>
      </c>
      <c r="S1281" s="8" t="s">
        <v>8315</v>
      </c>
      <c r="T1281" s="6" t="s">
        <v>249</v>
      </c>
      <c r="U1281" s="8" t="s">
        <v>31</v>
      </c>
      <c r="V1281" s="6" t="s">
        <v>9083</v>
      </c>
      <c r="W1281" s="6" t="s">
        <v>8309</v>
      </c>
      <c r="X1281" s="9" t="str">
        <f>HYPERLINK("https://my.pitchbook.com?p=437797-99P","View People Online")</f>
        <v>View People Online</v>
      </c>
    </row>
    <row r="1282">
      <c r="A1282" s="10" t="s">
        <v>9084</v>
      </c>
      <c r="B1282" s="10" t="s">
        <v>9085</v>
      </c>
      <c r="C1282" s="10" t="s">
        <v>1343</v>
      </c>
      <c r="D1282" s="10" t="s">
        <v>9086</v>
      </c>
      <c r="E1282" s="10" t="s">
        <v>8309</v>
      </c>
      <c r="F1282" s="10" t="s">
        <v>825</v>
      </c>
      <c r="G1282" s="10" t="s">
        <v>9087</v>
      </c>
      <c r="H1282" s="11" t="s">
        <v>31</v>
      </c>
      <c r="I1282" s="11">
        <v>2.0</v>
      </c>
      <c r="J1282" s="11">
        <v>1.0</v>
      </c>
      <c r="K1282" s="11">
        <v>1.0</v>
      </c>
      <c r="L1282" s="12" t="s">
        <v>8311</v>
      </c>
      <c r="M1282" s="10" t="s">
        <v>9088</v>
      </c>
      <c r="N1282" s="10" t="s">
        <v>243</v>
      </c>
      <c r="O1282" s="12" t="s">
        <v>244</v>
      </c>
      <c r="P1282" s="10" t="s">
        <v>8313</v>
      </c>
      <c r="Q1282" s="10" t="s">
        <v>8314</v>
      </c>
      <c r="R1282" s="10" t="s">
        <v>247</v>
      </c>
      <c r="S1282" s="12" t="s">
        <v>8315</v>
      </c>
      <c r="T1282" s="10" t="s">
        <v>249</v>
      </c>
      <c r="U1282" s="12" t="s">
        <v>31</v>
      </c>
      <c r="V1282" s="10" t="s">
        <v>9089</v>
      </c>
      <c r="W1282" s="10" t="s">
        <v>8309</v>
      </c>
      <c r="X1282" s="13" t="str">
        <f>HYPERLINK("https://my.pitchbook.com?p=89096-23P","View People Online")</f>
        <v>View People Online</v>
      </c>
    </row>
    <row r="1283">
      <c r="A1283" s="14" t="s">
        <v>9090</v>
      </c>
      <c r="B1283" s="14" t="s">
        <v>9091</v>
      </c>
      <c r="C1283" s="14" t="s">
        <v>1343</v>
      </c>
      <c r="D1283" s="14" t="s">
        <v>9092</v>
      </c>
      <c r="E1283" s="14" t="s">
        <v>8309</v>
      </c>
      <c r="F1283" s="14" t="s">
        <v>825</v>
      </c>
      <c r="G1283" s="14" t="s">
        <v>9093</v>
      </c>
      <c r="H1283" s="15" t="s">
        <v>31</v>
      </c>
      <c r="I1283" s="15">
        <v>1.0</v>
      </c>
      <c r="J1283" s="15">
        <v>1.0</v>
      </c>
      <c r="K1283" s="15" t="s">
        <v>31</v>
      </c>
      <c r="L1283" s="16" t="s">
        <v>8311</v>
      </c>
      <c r="M1283" s="14" t="s">
        <v>9094</v>
      </c>
      <c r="N1283" s="14" t="s">
        <v>243</v>
      </c>
      <c r="O1283" s="16" t="s">
        <v>244</v>
      </c>
      <c r="P1283" s="14" t="s">
        <v>8313</v>
      </c>
      <c r="Q1283" s="14" t="s">
        <v>8314</v>
      </c>
      <c r="R1283" s="14" t="s">
        <v>247</v>
      </c>
      <c r="S1283" s="16" t="s">
        <v>8315</v>
      </c>
      <c r="T1283" s="14" t="s">
        <v>249</v>
      </c>
      <c r="U1283" s="16" t="s">
        <v>31</v>
      </c>
      <c r="V1283" s="14" t="s">
        <v>9095</v>
      </c>
      <c r="W1283" s="14" t="s">
        <v>8309</v>
      </c>
      <c r="X1283" s="17" t="str">
        <f>HYPERLINK("https://my.pitchbook.com?p=186303-16P","View People Online")</f>
        <v>View People Online</v>
      </c>
    </row>
    <row r="1284">
      <c r="A1284" s="2" t="s">
        <v>9096</v>
      </c>
      <c r="B1284" s="2" t="s">
        <v>9097</v>
      </c>
      <c r="C1284" s="2" t="s">
        <v>1616</v>
      </c>
      <c r="D1284" s="2" t="s">
        <v>9098</v>
      </c>
      <c r="E1284" s="2" t="s">
        <v>8309</v>
      </c>
      <c r="F1284" s="2" t="s">
        <v>371</v>
      </c>
      <c r="G1284" s="2" t="s">
        <v>9099</v>
      </c>
      <c r="H1284" s="3" t="s">
        <v>31</v>
      </c>
      <c r="I1284" s="3">
        <v>2.0</v>
      </c>
      <c r="J1284" s="3">
        <v>1.0</v>
      </c>
      <c r="K1284" s="3">
        <v>1.0</v>
      </c>
      <c r="L1284" s="4" t="s">
        <v>8311</v>
      </c>
      <c r="M1284" s="2" t="s">
        <v>9100</v>
      </c>
      <c r="N1284" s="2" t="s">
        <v>243</v>
      </c>
      <c r="O1284" s="4" t="s">
        <v>244</v>
      </c>
      <c r="P1284" s="2" t="s">
        <v>8313</v>
      </c>
      <c r="Q1284" s="2" t="s">
        <v>8314</v>
      </c>
      <c r="R1284" s="2" t="s">
        <v>247</v>
      </c>
      <c r="S1284" s="4" t="s">
        <v>8315</v>
      </c>
      <c r="T1284" s="2" t="s">
        <v>249</v>
      </c>
      <c r="U1284" s="4" t="s">
        <v>31</v>
      </c>
      <c r="V1284" s="2" t="s">
        <v>9101</v>
      </c>
      <c r="W1284" s="2" t="s">
        <v>8309</v>
      </c>
      <c r="X1284" s="5" t="str">
        <f>HYPERLINK("https://my.pitchbook.com?p=88097-41P","View People Online")</f>
        <v>View People Online</v>
      </c>
    </row>
    <row r="1285">
      <c r="A1285" s="14" t="s">
        <v>9102</v>
      </c>
      <c r="B1285" s="14" t="s">
        <v>9103</v>
      </c>
      <c r="C1285" s="14" t="s">
        <v>9104</v>
      </c>
      <c r="D1285" s="14" t="s">
        <v>9105</v>
      </c>
      <c r="E1285" s="14" t="s">
        <v>8309</v>
      </c>
      <c r="F1285" s="14" t="s">
        <v>825</v>
      </c>
      <c r="G1285" s="14" t="s">
        <v>9106</v>
      </c>
      <c r="H1285" s="15" t="s">
        <v>31</v>
      </c>
      <c r="I1285" s="15">
        <v>1.0</v>
      </c>
      <c r="J1285" s="15">
        <v>1.0</v>
      </c>
      <c r="K1285" s="15" t="s">
        <v>31</v>
      </c>
      <c r="L1285" s="16" t="s">
        <v>8311</v>
      </c>
      <c r="M1285" s="14" t="s">
        <v>9107</v>
      </c>
      <c r="N1285" s="14" t="s">
        <v>243</v>
      </c>
      <c r="O1285" s="16" t="s">
        <v>244</v>
      </c>
      <c r="P1285" s="14" t="s">
        <v>8313</v>
      </c>
      <c r="Q1285" s="14" t="s">
        <v>8314</v>
      </c>
      <c r="R1285" s="14" t="s">
        <v>247</v>
      </c>
      <c r="S1285" s="16" t="s">
        <v>8315</v>
      </c>
      <c r="T1285" s="14" t="s">
        <v>249</v>
      </c>
      <c r="U1285" s="16" t="s">
        <v>31</v>
      </c>
      <c r="V1285" s="14" t="s">
        <v>9108</v>
      </c>
      <c r="W1285" s="14" t="s">
        <v>8309</v>
      </c>
      <c r="X1285" s="17" t="str">
        <f>HYPERLINK("https://my.pitchbook.com?p=407635-75P","View People Online")</f>
        <v>View People Online</v>
      </c>
    </row>
    <row r="1286">
      <c r="A1286" s="10" t="s">
        <v>9109</v>
      </c>
      <c r="B1286" s="10" t="s">
        <v>9110</v>
      </c>
      <c r="C1286" s="10" t="s">
        <v>3040</v>
      </c>
      <c r="D1286" s="10" t="s">
        <v>9111</v>
      </c>
      <c r="E1286" s="10" t="s">
        <v>8309</v>
      </c>
      <c r="F1286" s="10" t="s">
        <v>9112</v>
      </c>
      <c r="G1286" s="10" t="s">
        <v>9113</v>
      </c>
      <c r="H1286" s="11" t="s">
        <v>31</v>
      </c>
      <c r="I1286" s="11">
        <v>1.0</v>
      </c>
      <c r="J1286" s="11">
        <v>1.0</v>
      </c>
      <c r="K1286" s="11" t="s">
        <v>31</v>
      </c>
      <c r="L1286" s="12" t="s">
        <v>8311</v>
      </c>
      <c r="M1286" s="10" t="s">
        <v>9114</v>
      </c>
      <c r="N1286" s="10" t="s">
        <v>243</v>
      </c>
      <c r="O1286" s="12" t="s">
        <v>244</v>
      </c>
      <c r="P1286" s="10" t="s">
        <v>8313</v>
      </c>
      <c r="Q1286" s="10" t="s">
        <v>8314</v>
      </c>
      <c r="R1286" s="10" t="s">
        <v>247</v>
      </c>
      <c r="S1286" s="12" t="s">
        <v>8315</v>
      </c>
      <c r="T1286" s="10" t="s">
        <v>249</v>
      </c>
      <c r="U1286" s="12" t="s">
        <v>31</v>
      </c>
      <c r="V1286" s="10" t="s">
        <v>9115</v>
      </c>
      <c r="W1286" s="10" t="s">
        <v>8309</v>
      </c>
      <c r="X1286" s="13" t="str">
        <f>HYPERLINK("https://my.pitchbook.com?p=212563-36P","View People Online")</f>
        <v>View People Online</v>
      </c>
    </row>
    <row r="1287">
      <c r="A1287" s="6" t="s">
        <v>9116</v>
      </c>
      <c r="B1287" s="6" t="s">
        <v>9117</v>
      </c>
      <c r="C1287" s="6" t="s">
        <v>3040</v>
      </c>
      <c r="D1287" s="6" t="s">
        <v>9118</v>
      </c>
      <c r="E1287" s="6" t="s">
        <v>8309</v>
      </c>
      <c r="F1287" s="6" t="s">
        <v>1283</v>
      </c>
      <c r="G1287" s="6" t="s">
        <v>9119</v>
      </c>
      <c r="H1287" s="7" t="s">
        <v>31</v>
      </c>
      <c r="I1287" s="7">
        <v>1.0</v>
      </c>
      <c r="J1287" s="7">
        <v>1.0</v>
      </c>
      <c r="K1287" s="7" t="s">
        <v>31</v>
      </c>
      <c r="L1287" s="8" t="s">
        <v>8311</v>
      </c>
      <c r="M1287" s="6" t="s">
        <v>9120</v>
      </c>
      <c r="N1287" s="6" t="s">
        <v>243</v>
      </c>
      <c r="O1287" s="8" t="s">
        <v>244</v>
      </c>
      <c r="P1287" s="6" t="s">
        <v>8313</v>
      </c>
      <c r="Q1287" s="6" t="s">
        <v>8314</v>
      </c>
      <c r="R1287" s="6" t="s">
        <v>247</v>
      </c>
      <c r="S1287" s="8" t="s">
        <v>8315</v>
      </c>
      <c r="T1287" s="6" t="s">
        <v>249</v>
      </c>
      <c r="U1287" s="8" t="s">
        <v>31</v>
      </c>
      <c r="V1287" s="6" t="s">
        <v>1283</v>
      </c>
      <c r="W1287" s="6" t="s">
        <v>8309</v>
      </c>
      <c r="X1287" s="9" t="str">
        <f>HYPERLINK("https://my.pitchbook.com?p=115053-22P","View People Online")</f>
        <v>View People Online</v>
      </c>
    </row>
    <row r="1288">
      <c r="A1288" s="2" t="s">
        <v>9121</v>
      </c>
      <c r="B1288" s="2" t="s">
        <v>9122</v>
      </c>
      <c r="C1288" s="2" t="s">
        <v>9123</v>
      </c>
      <c r="D1288" s="2" t="s">
        <v>2040</v>
      </c>
      <c r="E1288" s="2" t="s">
        <v>8309</v>
      </c>
      <c r="F1288" s="2" t="s">
        <v>825</v>
      </c>
      <c r="G1288" s="2" t="s">
        <v>9124</v>
      </c>
      <c r="H1288" s="3" t="s">
        <v>31</v>
      </c>
      <c r="I1288" s="3">
        <v>1.0</v>
      </c>
      <c r="J1288" s="3">
        <v>1.0</v>
      </c>
      <c r="K1288" s="3" t="s">
        <v>31</v>
      </c>
      <c r="L1288" s="4" t="s">
        <v>8311</v>
      </c>
      <c r="M1288" s="2" t="s">
        <v>9125</v>
      </c>
      <c r="N1288" s="2" t="s">
        <v>243</v>
      </c>
      <c r="O1288" s="4" t="s">
        <v>244</v>
      </c>
      <c r="P1288" s="2" t="s">
        <v>8313</v>
      </c>
      <c r="Q1288" s="2" t="s">
        <v>8314</v>
      </c>
      <c r="R1288" s="2" t="s">
        <v>247</v>
      </c>
      <c r="S1288" s="4" t="s">
        <v>8315</v>
      </c>
      <c r="T1288" s="2" t="s">
        <v>249</v>
      </c>
      <c r="U1288" s="4" t="s">
        <v>31</v>
      </c>
      <c r="V1288" s="2" t="s">
        <v>9126</v>
      </c>
      <c r="W1288" s="2" t="s">
        <v>8309</v>
      </c>
      <c r="X1288" s="5" t="str">
        <f>HYPERLINK("https://my.pitchbook.com?p=120155-32P","View People Online")</f>
        <v>View People Online</v>
      </c>
    </row>
    <row r="1289">
      <c r="A1289" s="14" t="s">
        <v>9127</v>
      </c>
      <c r="B1289" s="14" t="s">
        <v>9128</v>
      </c>
      <c r="C1289" s="14" t="s">
        <v>9129</v>
      </c>
      <c r="D1289" s="14" t="s">
        <v>9130</v>
      </c>
      <c r="E1289" s="14" t="s">
        <v>8309</v>
      </c>
      <c r="F1289" s="14" t="s">
        <v>548</v>
      </c>
      <c r="G1289" s="14" t="s">
        <v>9131</v>
      </c>
      <c r="H1289" s="15" t="s">
        <v>31</v>
      </c>
      <c r="I1289" s="15">
        <v>2.0</v>
      </c>
      <c r="J1289" s="15">
        <v>1.0</v>
      </c>
      <c r="K1289" s="15">
        <v>1.0</v>
      </c>
      <c r="L1289" s="16" t="s">
        <v>8311</v>
      </c>
      <c r="M1289" s="14" t="s">
        <v>9132</v>
      </c>
      <c r="N1289" s="14" t="s">
        <v>243</v>
      </c>
      <c r="O1289" s="16" t="s">
        <v>244</v>
      </c>
      <c r="P1289" s="14" t="s">
        <v>8313</v>
      </c>
      <c r="Q1289" s="14" t="s">
        <v>8314</v>
      </c>
      <c r="R1289" s="14" t="s">
        <v>247</v>
      </c>
      <c r="S1289" s="16" t="s">
        <v>8315</v>
      </c>
      <c r="T1289" s="14" t="s">
        <v>249</v>
      </c>
      <c r="U1289" s="16" t="s">
        <v>31</v>
      </c>
      <c r="V1289" s="14" t="s">
        <v>8457</v>
      </c>
      <c r="W1289" s="14" t="s">
        <v>8309</v>
      </c>
      <c r="X1289" s="17" t="str">
        <f>HYPERLINK("https://my.pitchbook.com?p=80323-84P","View People Online")</f>
        <v>View People Online</v>
      </c>
    </row>
    <row r="1290">
      <c r="A1290" s="10" t="s">
        <v>9133</v>
      </c>
      <c r="B1290" s="10" t="s">
        <v>9134</v>
      </c>
      <c r="C1290" s="10" t="s">
        <v>9135</v>
      </c>
      <c r="D1290" s="10" t="s">
        <v>9136</v>
      </c>
      <c r="E1290" s="10" t="s">
        <v>8309</v>
      </c>
      <c r="F1290" s="10" t="s">
        <v>270</v>
      </c>
      <c r="G1290" s="10" t="s">
        <v>9137</v>
      </c>
      <c r="H1290" s="11" t="s">
        <v>31</v>
      </c>
      <c r="I1290" s="11">
        <v>1.0</v>
      </c>
      <c r="J1290" s="11">
        <v>1.0</v>
      </c>
      <c r="K1290" s="11" t="s">
        <v>31</v>
      </c>
      <c r="L1290" s="12" t="s">
        <v>8311</v>
      </c>
      <c r="M1290" s="10" t="s">
        <v>9138</v>
      </c>
      <c r="N1290" s="10" t="s">
        <v>243</v>
      </c>
      <c r="O1290" s="12" t="s">
        <v>244</v>
      </c>
      <c r="P1290" s="10" t="s">
        <v>8313</v>
      </c>
      <c r="Q1290" s="10" t="s">
        <v>8314</v>
      </c>
      <c r="R1290" s="10" t="s">
        <v>247</v>
      </c>
      <c r="S1290" s="12" t="s">
        <v>8315</v>
      </c>
      <c r="T1290" s="10" t="s">
        <v>249</v>
      </c>
      <c r="U1290" s="12" t="s">
        <v>31</v>
      </c>
      <c r="V1290" s="10" t="s">
        <v>270</v>
      </c>
      <c r="W1290" s="10" t="s">
        <v>8309</v>
      </c>
      <c r="X1290" s="13" t="str">
        <f>HYPERLINK("https://my.pitchbook.com?p=194948-74P","View People Online")</f>
        <v>View People Online</v>
      </c>
    </row>
    <row r="1291">
      <c r="A1291" s="6" t="s">
        <v>9139</v>
      </c>
      <c r="B1291" s="6" t="s">
        <v>9140</v>
      </c>
      <c r="C1291" s="6" t="s">
        <v>3089</v>
      </c>
      <c r="D1291" s="6" t="s">
        <v>9141</v>
      </c>
      <c r="E1291" s="6" t="s">
        <v>8309</v>
      </c>
      <c r="F1291" s="6" t="s">
        <v>548</v>
      </c>
      <c r="G1291" s="6" t="s">
        <v>9142</v>
      </c>
      <c r="H1291" s="7" t="s">
        <v>31</v>
      </c>
      <c r="I1291" s="7">
        <v>1.0</v>
      </c>
      <c r="J1291" s="7">
        <v>1.0</v>
      </c>
      <c r="K1291" s="7" t="s">
        <v>31</v>
      </c>
      <c r="L1291" s="8" t="s">
        <v>8311</v>
      </c>
      <c r="M1291" s="6" t="s">
        <v>9143</v>
      </c>
      <c r="N1291" s="6" t="s">
        <v>243</v>
      </c>
      <c r="O1291" s="8" t="s">
        <v>244</v>
      </c>
      <c r="P1291" s="6" t="s">
        <v>8313</v>
      </c>
      <c r="Q1291" s="6" t="s">
        <v>8314</v>
      </c>
      <c r="R1291" s="6" t="s">
        <v>247</v>
      </c>
      <c r="S1291" s="8" t="s">
        <v>8315</v>
      </c>
      <c r="T1291" s="6" t="s">
        <v>249</v>
      </c>
      <c r="U1291" s="8" t="s">
        <v>31</v>
      </c>
      <c r="V1291" s="6" t="s">
        <v>4876</v>
      </c>
      <c r="W1291" s="6" t="s">
        <v>8309</v>
      </c>
      <c r="X1291" s="9" t="str">
        <f>HYPERLINK("https://my.pitchbook.com?p=58798-54P","View People Online")</f>
        <v>View People Online</v>
      </c>
    </row>
    <row r="1292">
      <c r="A1292" s="10" t="s">
        <v>9144</v>
      </c>
      <c r="B1292" s="10" t="s">
        <v>9145</v>
      </c>
      <c r="C1292" s="10" t="s">
        <v>9146</v>
      </c>
      <c r="D1292" s="10" t="s">
        <v>9147</v>
      </c>
      <c r="E1292" s="10" t="s">
        <v>8309</v>
      </c>
      <c r="F1292" s="10" t="s">
        <v>4931</v>
      </c>
      <c r="G1292" s="10" t="s">
        <v>9148</v>
      </c>
      <c r="H1292" s="11">
        <v>1.0</v>
      </c>
      <c r="I1292" s="11">
        <v>11.0</v>
      </c>
      <c r="J1292" s="11">
        <v>1.0</v>
      </c>
      <c r="K1292" s="11">
        <v>8.0</v>
      </c>
      <c r="L1292" s="12" t="s">
        <v>8311</v>
      </c>
      <c r="M1292" s="10" t="s">
        <v>9149</v>
      </c>
      <c r="N1292" s="10" t="s">
        <v>243</v>
      </c>
      <c r="O1292" s="12" t="s">
        <v>244</v>
      </c>
      <c r="P1292" s="10" t="s">
        <v>8313</v>
      </c>
      <c r="Q1292" s="10" t="s">
        <v>8314</v>
      </c>
      <c r="R1292" s="10" t="s">
        <v>247</v>
      </c>
      <c r="S1292" s="12" t="s">
        <v>8315</v>
      </c>
      <c r="T1292" s="10" t="s">
        <v>249</v>
      </c>
      <c r="U1292" s="12" t="s">
        <v>31</v>
      </c>
      <c r="V1292" s="10" t="s">
        <v>9150</v>
      </c>
      <c r="W1292" s="10" t="s">
        <v>8309</v>
      </c>
      <c r="X1292" s="13" t="str">
        <f>HYPERLINK("https://my.pitchbook.com?p=186121-72P","View People Online")</f>
        <v>View People Online</v>
      </c>
    </row>
    <row r="1293">
      <c r="A1293" s="6" t="s">
        <v>9151</v>
      </c>
      <c r="B1293" s="6" t="s">
        <v>9152</v>
      </c>
      <c r="C1293" s="6" t="s">
        <v>1489</v>
      </c>
      <c r="D1293" s="6" t="s">
        <v>784</v>
      </c>
      <c r="E1293" s="6" t="s">
        <v>8309</v>
      </c>
      <c r="F1293" s="6" t="s">
        <v>825</v>
      </c>
      <c r="G1293" s="6" t="s">
        <v>9153</v>
      </c>
      <c r="H1293" s="7" t="s">
        <v>31</v>
      </c>
      <c r="I1293" s="7">
        <v>1.0</v>
      </c>
      <c r="J1293" s="7">
        <v>1.0</v>
      </c>
      <c r="K1293" s="7" t="s">
        <v>31</v>
      </c>
      <c r="L1293" s="8" t="s">
        <v>8311</v>
      </c>
      <c r="M1293" s="6" t="s">
        <v>9154</v>
      </c>
      <c r="N1293" s="6" t="s">
        <v>243</v>
      </c>
      <c r="O1293" s="8" t="s">
        <v>244</v>
      </c>
      <c r="P1293" s="6" t="s">
        <v>8313</v>
      </c>
      <c r="Q1293" s="6" t="s">
        <v>8314</v>
      </c>
      <c r="R1293" s="6" t="s">
        <v>247</v>
      </c>
      <c r="S1293" s="8" t="s">
        <v>8315</v>
      </c>
      <c r="T1293" s="6" t="s">
        <v>249</v>
      </c>
      <c r="U1293" s="8" t="s">
        <v>31</v>
      </c>
      <c r="V1293" s="6" t="s">
        <v>9155</v>
      </c>
      <c r="W1293" s="6" t="s">
        <v>8309</v>
      </c>
      <c r="X1293" s="9" t="str">
        <f>HYPERLINK("https://my.pitchbook.com?p=373388-41P","View People Online")</f>
        <v>View People Online</v>
      </c>
    </row>
    <row r="1294">
      <c r="A1294" s="10" t="s">
        <v>9156</v>
      </c>
      <c r="B1294" s="10" t="s">
        <v>9157</v>
      </c>
      <c r="C1294" s="10" t="s">
        <v>9158</v>
      </c>
      <c r="D1294" s="10" t="s">
        <v>9159</v>
      </c>
      <c r="E1294" s="10" t="s">
        <v>8309</v>
      </c>
      <c r="F1294" s="10" t="s">
        <v>825</v>
      </c>
      <c r="G1294" s="10" t="s">
        <v>9160</v>
      </c>
      <c r="H1294" s="11" t="s">
        <v>31</v>
      </c>
      <c r="I1294" s="11">
        <v>1.0</v>
      </c>
      <c r="J1294" s="11">
        <v>1.0</v>
      </c>
      <c r="K1294" s="11" t="s">
        <v>31</v>
      </c>
      <c r="L1294" s="12" t="s">
        <v>8311</v>
      </c>
      <c r="M1294" s="10" t="s">
        <v>9161</v>
      </c>
      <c r="N1294" s="10" t="s">
        <v>243</v>
      </c>
      <c r="O1294" s="12" t="s">
        <v>244</v>
      </c>
      <c r="P1294" s="10" t="s">
        <v>8313</v>
      </c>
      <c r="Q1294" s="10" t="s">
        <v>8314</v>
      </c>
      <c r="R1294" s="10" t="s">
        <v>247</v>
      </c>
      <c r="S1294" s="12" t="s">
        <v>8315</v>
      </c>
      <c r="T1294" s="10" t="s">
        <v>249</v>
      </c>
      <c r="U1294" s="12" t="s">
        <v>31</v>
      </c>
      <c r="V1294" s="10" t="s">
        <v>9162</v>
      </c>
      <c r="W1294" s="10" t="s">
        <v>8309</v>
      </c>
      <c r="X1294" s="13" t="str">
        <f>HYPERLINK("https://my.pitchbook.com?p=441170-47P","View People Online")</f>
        <v>View People Online</v>
      </c>
    </row>
    <row r="1295">
      <c r="A1295" s="6" t="s">
        <v>9163</v>
      </c>
      <c r="B1295" s="6" t="s">
        <v>9164</v>
      </c>
      <c r="C1295" s="6" t="s">
        <v>9165</v>
      </c>
      <c r="D1295" s="6" t="s">
        <v>9166</v>
      </c>
      <c r="E1295" s="6" t="s">
        <v>8309</v>
      </c>
      <c r="F1295" s="6" t="s">
        <v>9167</v>
      </c>
      <c r="G1295" s="6" t="s">
        <v>9168</v>
      </c>
      <c r="H1295" s="7" t="s">
        <v>31</v>
      </c>
      <c r="I1295" s="7">
        <v>1.0</v>
      </c>
      <c r="J1295" s="7">
        <v>1.0</v>
      </c>
      <c r="K1295" s="7" t="s">
        <v>31</v>
      </c>
      <c r="L1295" s="8" t="s">
        <v>8311</v>
      </c>
      <c r="M1295" s="6" t="s">
        <v>9169</v>
      </c>
      <c r="N1295" s="6" t="s">
        <v>243</v>
      </c>
      <c r="O1295" s="8" t="s">
        <v>244</v>
      </c>
      <c r="P1295" s="6" t="s">
        <v>8313</v>
      </c>
      <c r="Q1295" s="6" t="s">
        <v>8314</v>
      </c>
      <c r="R1295" s="6" t="s">
        <v>247</v>
      </c>
      <c r="S1295" s="8" t="s">
        <v>8315</v>
      </c>
      <c r="T1295" s="6" t="s">
        <v>249</v>
      </c>
      <c r="U1295" s="8" t="s">
        <v>31</v>
      </c>
      <c r="V1295" s="6" t="s">
        <v>9170</v>
      </c>
      <c r="W1295" s="6" t="s">
        <v>8309</v>
      </c>
      <c r="X1295" s="9" t="str">
        <f>HYPERLINK("https://my.pitchbook.com?p=345261-25P","View People Online")</f>
        <v>View People Online</v>
      </c>
    </row>
    <row r="1296">
      <c r="A1296" s="2" t="s">
        <v>9171</v>
      </c>
      <c r="B1296" s="2" t="s">
        <v>9172</v>
      </c>
      <c r="C1296" s="2" t="s">
        <v>2221</v>
      </c>
      <c r="D1296" s="2" t="s">
        <v>9173</v>
      </c>
      <c r="E1296" s="2" t="s">
        <v>8309</v>
      </c>
      <c r="F1296" s="2" t="s">
        <v>1801</v>
      </c>
      <c r="G1296" s="2" t="s">
        <v>9174</v>
      </c>
      <c r="H1296" s="3" t="s">
        <v>31</v>
      </c>
      <c r="I1296" s="3">
        <v>1.0</v>
      </c>
      <c r="J1296" s="3">
        <v>1.0</v>
      </c>
      <c r="K1296" s="3" t="s">
        <v>31</v>
      </c>
      <c r="L1296" s="4" t="s">
        <v>8311</v>
      </c>
      <c r="M1296" s="2" t="s">
        <v>9175</v>
      </c>
      <c r="N1296" s="2" t="s">
        <v>243</v>
      </c>
      <c r="O1296" s="4" t="s">
        <v>244</v>
      </c>
      <c r="P1296" s="2" t="s">
        <v>8313</v>
      </c>
      <c r="Q1296" s="2" t="s">
        <v>8314</v>
      </c>
      <c r="R1296" s="2" t="s">
        <v>247</v>
      </c>
      <c r="S1296" s="4" t="s">
        <v>8315</v>
      </c>
      <c r="T1296" s="2" t="s">
        <v>249</v>
      </c>
      <c r="U1296" s="4" t="s">
        <v>31</v>
      </c>
      <c r="V1296" s="2" t="s">
        <v>9176</v>
      </c>
      <c r="W1296" s="2" t="s">
        <v>8309</v>
      </c>
      <c r="X1296" s="5" t="str">
        <f>HYPERLINK("https://my.pitchbook.com?p=88259-77P","View People Online")</f>
        <v>View People Online</v>
      </c>
    </row>
    <row r="1297">
      <c r="A1297" s="14" t="s">
        <v>9177</v>
      </c>
      <c r="B1297" s="14" t="s">
        <v>9178</v>
      </c>
      <c r="C1297" s="14" t="s">
        <v>666</v>
      </c>
      <c r="D1297" s="14" t="s">
        <v>9179</v>
      </c>
      <c r="E1297" s="14" t="s">
        <v>8309</v>
      </c>
      <c r="F1297" s="14" t="s">
        <v>1283</v>
      </c>
      <c r="G1297" s="14" t="s">
        <v>9180</v>
      </c>
      <c r="H1297" s="15" t="s">
        <v>31</v>
      </c>
      <c r="I1297" s="15">
        <v>3.0</v>
      </c>
      <c r="J1297" s="15">
        <v>1.0</v>
      </c>
      <c r="K1297" s="15">
        <v>2.0</v>
      </c>
      <c r="L1297" s="16" t="s">
        <v>8311</v>
      </c>
      <c r="M1297" s="14" t="s">
        <v>9181</v>
      </c>
      <c r="N1297" s="14" t="s">
        <v>243</v>
      </c>
      <c r="O1297" s="16" t="s">
        <v>244</v>
      </c>
      <c r="P1297" s="14" t="s">
        <v>8313</v>
      </c>
      <c r="Q1297" s="14" t="s">
        <v>8314</v>
      </c>
      <c r="R1297" s="14" t="s">
        <v>247</v>
      </c>
      <c r="S1297" s="16" t="s">
        <v>8315</v>
      </c>
      <c r="T1297" s="14" t="s">
        <v>249</v>
      </c>
      <c r="U1297" s="16" t="s">
        <v>31</v>
      </c>
      <c r="V1297" s="14" t="s">
        <v>9182</v>
      </c>
      <c r="W1297" s="14" t="s">
        <v>8309</v>
      </c>
      <c r="X1297" s="17" t="str">
        <f>HYPERLINK("https://my.pitchbook.com?p=85934-53P","View People Online")</f>
        <v>View People Online</v>
      </c>
    </row>
    <row r="1298">
      <c r="A1298" s="2" t="s">
        <v>9183</v>
      </c>
      <c r="B1298" s="2" t="s">
        <v>9184</v>
      </c>
      <c r="C1298" s="2" t="s">
        <v>9185</v>
      </c>
      <c r="D1298" s="2" t="s">
        <v>9186</v>
      </c>
      <c r="E1298" s="2" t="s">
        <v>8309</v>
      </c>
      <c r="F1298" s="2" t="s">
        <v>548</v>
      </c>
      <c r="G1298" s="2" t="s">
        <v>9187</v>
      </c>
      <c r="H1298" s="3" t="s">
        <v>31</v>
      </c>
      <c r="I1298" s="3">
        <v>1.0</v>
      </c>
      <c r="J1298" s="3">
        <v>1.0</v>
      </c>
      <c r="K1298" s="3" t="s">
        <v>31</v>
      </c>
      <c r="L1298" s="4" t="s">
        <v>8311</v>
      </c>
      <c r="M1298" s="2" t="s">
        <v>9188</v>
      </c>
      <c r="N1298" s="2" t="s">
        <v>243</v>
      </c>
      <c r="O1298" s="4" t="s">
        <v>244</v>
      </c>
      <c r="P1298" s="2" t="s">
        <v>8313</v>
      </c>
      <c r="Q1298" s="2" t="s">
        <v>8314</v>
      </c>
      <c r="R1298" s="2" t="s">
        <v>247</v>
      </c>
      <c r="S1298" s="4" t="s">
        <v>8315</v>
      </c>
      <c r="T1298" s="2" t="s">
        <v>249</v>
      </c>
      <c r="U1298" s="4" t="s">
        <v>31</v>
      </c>
      <c r="V1298" s="2" t="s">
        <v>8939</v>
      </c>
      <c r="W1298" s="2" t="s">
        <v>8309</v>
      </c>
      <c r="X1298" s="5" t="str">
        <f>HYPERLINK("https://my.pitchbook.com?p=88050-88P","View People Online")</f>
        <v>View People Online</v>
      </c>
    </row>
    <row r="1299">
      <c r="A1299" s="14" t="s">
        <v>9189</v>
      </c>
      <c r="B1299" s="14" t="s">
        <v>9190</v>
      </c>
      <c r="C1299" s="14" t="s">
        <v>9191</v>
      </c>
      <c r="D1299" s="14" t="s">
        <v>9192</v>
      </c>
      <c r="E1299" s="14" t="s">
        <v>8309</v>
      </c>
      <c r="F1299" s="14" t="s">
        <v>9193</v>
      </c>
      <c r="G1299" s="14" t="s">
        <v>9194</v>
      </c>
      <c r="H1299" s="15" t="s">
        <v>31</v>
      </c>
      <c r="I1299" s="15">
        <v>1.0</v>
      </c>
      <c r="J1299" s="15">
        <v>1.0</v>
      </c>
      <c r="K1299" s="15" t="s">
        <v>31</v>
      </c>
      <c r="L1299" s="16" t="s">
        <v>8311</v>
      </c>
      <c r="M1299" s="14" t="s">
        <v>9195</v>
      </c>
      <c r="N1299" s="14" t="s">
        <v>243</v>
      </c>
      <c r="O1299" s="16" t="s">
        <v>244</v>
      </c>
      <c r="P1299" s="14" t="s">
        <v>8313</v>
      </c>
      <c r="Q1299" s="14" t="s">
        <v>8314</v>
      </c>
      <c r="R1299" s="14" t="s">
        <v>247</v>
      </c>
      <c r="S1299" s="16" t="s">
        <v>8315</v>
      </c>
      <c r="T1299" s="14" t="s">
        <v>249</v>
      </c>
      <c r="U1299" s="16" t="s">
        <v>31</v>
      </c>
      <c r="V1299" s="14" t="s">
        <v>9196</v>
      </c>
      <c r="W1299" s="14" t="s">
        <v>8309</v>
      </c>
      <c r="X1299" s="17" t="str">
        <f>HYPERLINK("https://my.pitchbook.com?p=368839-18P","View People Online")</f>
        <v>View People Online</v>
      </c>
    </row>
    <row r="1300">
      <c r="A1300" s="2" t="s">
        <v>9197</v>
      </c>
      <c r="B1300" s="2" t="s">
        <v>9198</v>
      </c>
      <c r="C1300" s="2" t="s">
        <v>5113</v>
      </c>
      <c r="D1300" s="2" t="s">
        <v>9199</v>
      </c>
      <c r="E1300" s="2" t="s">
        <v>8309</v>
      </c>
      <c r="F1300" s="2" t="s">
        <v>1801</v>
      </c>
      <c r="G1300" s="2" t="s">
        <v>9200</v>
      </c>
      <c r="H1300" s="3" t="s">
        <v>31</v>
      </c>
      <c r="I1300" s="3">
        <v>1.0</v>
      </c>
      <c r="J1300" s="3">
        <v>1.0</v>
      </c>
      <c r="K1300" s="3" t="s">
        <v>31</v>
      </c>
      <c r="L1300" s="4" t="s">
        <v>8311</v>
      </c>
      <c r="M1300" s="2" t="s">
        <v>9201</v>
      </c>
      <c r="N1300" s="2" t="s">
        <v>243</v>
      </c>
      <c r="O1300" s="4" t="s">
        <v>244</v>
      </c>
      <c r="P1300" s="2" t="s">
        <v>8313</v>
      </c>
      <c r="Q1300" s="2" t="s">
        <v>8314</v>
      </c>
      <c r="R1300" s="2" t="s">
        <v>247</v>
      </c>
      <c r="S1300" s="4" t="s">
        <v>8315</v>
      </c>
      <c r="T1300" s="2" t="s">
        <v>249</v>
      </c>
      <c r="U1300" s="4" t="s">
        <v>31</v>
      </c>
      <c r="V1300" s="2" t="s">
        <v>1801</v>
      </c>
      <c r="W1300" s="2" t="s">
        <v>8309</v>
      </c>
      <c r="X1300" s="5" t="str">
        <f>HYPERLINK("https://my.pitchbook.com?p=366339-52P","View People Online")</f>
        <v>View People Online</v>
      </c>
    </row>
    <row r="1301">
      <c r="A1301" s="6" t="s">
        <v>9202</v>
      </c>
      <c r="B1301" s="6" t="s">
        <v>9203</v>
      </c>
      <c r="C1301" s="6" t="s">
        <v>6043</v>
      </c>
      <c r="D1301" s="6" t="s">
        <v>9204</v>
      </c>
      <c r="E1301" s="6" t="s">
        <v>8309</v>
      </c>
      <c r="F1301" s="6" t="s">
        <v>548</v>
      </c>
      <c r="G1301" s="6" t="s">
        <v>9205</v>
      </c>
      <c r="H1301" s="7" t="s">
        <v>31</v>
      </c>
      <c r="I1301" s="7">
        <v>2.0</v>
      </c>
      <c r="J1301" s="7">
        <v>1.0</v>
      </c>
      <c r="K1301" s="7">
        <v>1.0</v>
      </c>
      <c r="L1301" s="8" t="s">
        <v>8311</v>
      </c>
      <c r="M1301" s="6" t="s">
        <v>9206</v>
      </c>
      <c r="N1301" s="6" t="s">
        <v>243</v>
      </c>
      <c r="O1301" s="8" t="s">
        <v>244</v>
      </c>
      <c r="P1301" s="6" t="s">
        <v>8313</v>
      </c>
      <c r="Q1301" s="6" t="s">
        <v>8314</v>
      </c>
      <c r="R1301" s="6" t="s">
        <v>247</v>
      </c>
      <c r="S1301" s="8" t="s">
        <v>8315</v>
      </c>
      <c r="T1301" s="6" t="s">
        <v>249</v>
      </c>
      <c r="U1301" s="8" t="s">
        <v>31</v>
      </c>
      <c r="V1301" s="6" t="s">
        <v>8939</v>
      </c>
      <c r="W1301" s="6" t="s">
        <v>8309</v>
      </c>
      <c r="X1301" s="9" t="str">
        <f>HYPERLINK("https://my.pitchbook.com?p=88052-50P","View People Online")</f>
        <v>View People Online</v>
      </c>
    </row>
    <row r="1302">
      <c r="A1302" s="10" t="s">
        <v>9207</v>
      </c>
      <c r="B1302" s="10" t="s">
        <v>9208</v>
      </c>
      <c r="C1302" s="10" t="s">
        <v>9209</v>
      </c>
      <c r="D1302" s="10" t="s">
        <v>9210</v>
      </c>
      <c r="E1302" s="10" t="s">
        <v>8309</v>
      </c>
      <c r="F1302" s="10" t="s">
        <v>1801</v>
      </c>
      <c r="G1302" s="10" t="s">
        <v>9211</v>
      </c>
      <c r="H1302" s="11" t="s">
        <v>31</v>
      </c>
      <c r="I1302" s="11">
        <v>1.0</v>
      </c>
      <c r="J1302" s="11">
        <v>1.0</v>
      </c>
      <c r="K1302" s="11" t="s">
        <v>31</v>
      </c>
      <c r="L1302" s="12" t="s">
        <v>8311</v>
      </c>
      <c r="M1302" s="10" t="s">
        <v>9212</v>
      </c>
      <c r="N1302" s="10" t="s">
        <v>243</v>
      </c>
      <c r="O1302" s="12" t="s">
        <v>244</v>
      </c>
      <c r="P1302" s="10" t="s">
        <v>8313</v>
      </c>
      <c r="Q1302" s="10" t="s">
        <v>8314</v>
      </c>
      <c r="R1302" s="10" t="s">
        <v>247</v>
      </c>
      <c r="S1302" s="12" t="s">
        <v>8315</v>
      </c>
      <c r="T1302" s="10" t="s">
        <v>249</v>
      </c>
      <c r="U1302" s="12" t="s">
        <v>31</v>
      </c>
      <c r="V1302" s="10" t="s">
        <v>9213</v>
      </c>
      <c r="W1302" s="10" t="s">
        <v>8309</v>
      </c>
      <c r="X1302" s="13" t="str">
        <f>HYPERLINK("https://my.pitchbook.com?p=250584-67P","View People Online")</f>
        <v>View People Online</v>
      </c>
    </row>
    <row r="1303">
      <c r="A1303" s="6" t="s">
        <v>9214</v>
      </c>
      <c r="B1303" s="6" t="s">
        <v>9215</v>
      </c>
      <c r="C1303" s="6" t="s">
        <v>9216</v>
      </c>
      <c r="D1303" s="6" t="s">
        <v>3040</v>
      </c>
      <c r="E1303" s="6" t="s">
        <v>8309</v>
      </c>
      <c r="F1303" s="6" t="s">
        <v>1283</v>
      </c>
      <c r="G1303" s="6" t="s">
        <v>9217</v>
      </c>
      <c r="H1303" s="7" t="s">
        <v>31</v>
      </c>
      <c r="I1303" s="7">
        <v>1.0</v>
      </c>
      <c r="J1303" s="7">
        <v>1.0</v>
      </c>
      <c r="K1303" s="7" t="s">
        <v>31</v>
      </c>
      <c r="L1303" s="8" t="s">
        <v>8311</v>
      </c>
      <c r="M1303" s="6" t="s">
        <v>9218</v>
      </c>
      <c r="N1303" s="6" t="s">
        <v>243</v>
      </c>
      <c r="O1303" s="8" t="s">
        <v>244</v>
      </c>
      <c r="P1303" s="6" t="s">
        <v>8313</v>
      </c>
      <c r="Q1303" s="6" t="s">
        <v>8314</v>
      </c>
      <c r="R1303" s="6" t="s">
        <v>247</v>
      </c>
      <c r="S1303" s="8" t="s">
        <v>8315</v>
      </c>
      <c r="T1303" s="6" t="s">
        <v>249</v>
      </c>
      <c r="U1303" s="8" t="s">
        <v>31</v>
      </c>
      <c r="V1303" s="6" t="s">
        <v>1283</v>
      </c>
      <c r="W1303" s="6" t="s">
        <v>8309</v>
      </c>
      <c r="X1303" s="9" t="str">
        <f>HYPERLINK("https://my.pitchbook.com?p=272265-49P","View People Online")</f>
        <v>View People Online</v>
      </c>
    </row>
    <row r="1304">
      <c r="A1304" s="2" t="s">
        <v>9219</v>
      </c>
      <c r="B1304" s="2" t="s">
        <v>9220</v>
      </c>
      <c r="C1304" s="2" t="s">
        <v>9221</v>
      </c>
      <c r="D1304" s="2" t="s">
        <v>9222</v>
      </c>
      <c r="E1304" s="2" t="s">
        <v>8309</v>
      </c>
      <c r="F1304" s="2" t="s">
        <v>1283</v>
      </c>
      <c r="G1304" s="2" t="s">
        <v>9223</v>
      </c>
      <c r="H1304" s="3" t="s">
        <v>31</v>
      </c>
      <c r="I1304" s="3">
        <v>1.0</v>
      </c>
      <c r="J1304" s="3">
        <v>1.0</v>
      </c>
      <c r="K1304" s="3" t="s">
        <v>31</v>
      </c>
      <c r="L1304" s="4" t="s">
        <v>8311</v>
      </c>
      <c r="M1304" s="2" t="s">
        <v>9224</v>
      </c>
      <c r="N1304" s="2" t="s">
        <v>243</v>
      </c>
      <c r="O1304" s="4" t="s">
        <v>244</v>
      </c>
      <c r="P1304" s="2" t="s">
        <v>8313</v>
      </c>
      <c r="Q1304" s="2" t="s">
        <v>8314</v>
      </c>
      <c r="R1304" s="2" t="s">
        <v>247</v>
      </c>
      <c r="S1304" s="4" t="s">
        <v>8315</v>
      </c>
      <c r="T1304" s="2" t="s">
        <v>249</v>
      </c>
      <c r="U1304" s="4" t="s">
        <v>31</v>
      </c>
      <c r="V1304" s="2" t="s">
        <v>1283</v>
      </c>
      <c r="W1304" s="2" t="s">
        <v>8309</v>
      </c>
      <c r="X1304" s="5" t="str">
        <f>HYPERLINK("https://my.pitchbook.com?p=412126-03P","View People Online")</f>
        <v>View People Online</v>
      </c>
    </row>
    <row r="1305">
      <c r="A1305" s="14" t="s">
        <v>9225</v>
      </c>
      <c r="B1305" s="14" t="s">
        <v>9226</v>
      </c>
      <c r="C1305" s="14" t="s">
        <v>1502</v>
      </c>
      <c r="D1305" s="14" t="s">
        <v>9227</v>
      </c>
      <c r="E1305" s="14" t="s">
        <v>8309</v>
      </c>
      <c r="F1305" s="14" t="s">
        <v>8581</v>
      </c>
      <c r="G1305" s="14" t="s">
        <v>9228</v>
      </c>
      <c r="H1305" s="15" t="s">
        <v>31</v>
      </c>
      <c r="I1305" s="15">
        <v>1.0</v>
      </c>
      <c r="J1305" s="15">
        <v>1.0</v>
      </c>
      <c r="K1305" s="15" t="s">
        <v>31</v>
      </c>
      <c r="L1305" s="16" t="s">
        <v>8311</v>
      </c>
      <c r="M1305" s="14" t="s">
        <v>9229</v>
      </c>
      <c r="N1305" s="14" t="s">
        <v>243</v>
      </c>
      <c r="O1305" s="16" t="s">
        <v>244</v>
      </c>
      <c r="P1305" s="14" t="s">
        <v>8313</v>
      </c>
      <c r="Q1305" s="14" t="s">
        <v>8314</v>
      </c>
      <c r="R1305" s="14" t="s">
        <v>247</v>
      </c>
      <c r="S1305" s="16" t="s">
        <v>8315</v>
      </c>
      <c r="T1305" s="14" t="s">
        <v>249</v>
      </c>
      <c r="U1305" s="16" t="s">
        <v>31</v>
      </c>
      <c r="V1305" s="14" t="s">
        <v>9230</v>
      </c>
      <c r="W1305" s="14" t="s">
        <v>8309</v>
      </c>
      <c r="X1305" s="17" t="str">
        <f>HYPERLINK("https://my.pitchbook.com?p=315221-95P","View People Online")</f>
        <v>View People Online</v>
      </c>
    </row>
    <row r="1306">
      <c r="A1306" s="10" t="s">
        <v>9231</v>
      </c>
      <c r="B1306" s="10" t="s">
        <v>9232</v>
      </c>
      <c r="C1306" s="10" t="s">
        <v>1502</v>
      </c>
      <c r="D1306" s="10" t="s">
        <v>9233</v>
      </c>
      <c r="E1306" s="10" t="s">
        <v>8309</v>
      </c>
      <c r="F1306" s="10" t="s">
        <v>825</v>
      </c>
      <c r="G1306" s="10" t="s">
        <v>9234</v>
      </c>
      <c r="H1306" s="11" t="s">
        <v>31</v>
      </c>
      <c r="I1306" s="11">
        <v>1.0</v>
      </c>
      <c r="J1306" s="11">
        <v>1.0</v>
      </c>
      <c r="K1306" s="11" t="s">
        <v>31</v>
      </c>
      <c r="L1306" s="12" t="s">
        <v>8311</v>
      </c>
      <c r="M1306" s="10" t="s">
        <v>9235</v>
      </c>
      <c r="N1306" s="10" t="s">
        <v>243</v>
      </c>
      <c r="O1306" s="12" t="s">
        <v>244</v>
      </c>
      <c r="P1306" s="10" t="s">
        <v>8313</v>
      </c>
      <c r="Q1306" s="10" t="s">
        <v>8314</v>
      </c>
      <c r="R1306" s="10" t="s">
        <v>247</v>
      </c>
      <c r="S1306" s="12" t="s">
        <v>8315</v>
      </c>
      <c r="T1306" s="10" t="s">
        <v>249</v>
      </c>
      <c r="U1306" s="12" t="s">
        <v>31</v>
      </c>
      <c r="V1306" s="10" t="s">
        <v>9236</v>
      </c>
      <c r="W1306" s="10" t="s">
        <v>8309</v>
      </c>
      <c r="X1306" s="13" t="str">
        <f>HYPERLINK("https://my.pitchbook.com?p=447608-71P","View People Online")</f>
        <v>View People Online</v>
      </c>
    </row>
    <row r="1307">
      <c r="A1307" s="14" t="s">
        <v>9237</v>
      </c>
      <c r="B1307" s="14" t="s">
        <v>9238</v>
      </c>
      <c r="C1307" s="14" t="s">
        <v>9239</v>
      </c>
      <c r="D1307" s="14" t="s">
        <v>9240</v>
      </c>
      <c r="E1307" s="14" t="s">
        <v>8309</v>
      </c>
      <c r="F1307" s="14" t="s">
        <v>825</v>
      </c>
      <c r="G1307" s="14" t="s">
        <v>9241</v>
      </c>
      <c r="H1307" s="15" t="s">
        <v>31</v>
      </c>
      <c r="I1307" s="15">
        <v>1.0</v>
      </c>
      <c r="J1307" s="15">
        <v>1.0</v>
      </c>
      <c r="K1307" s="15" t="s">
        <v>31</v>
      </c>
      <c r="L1307" s="16" t="s">
        <v>8311</v>
      </c>
      <c r="M1307" s="14" t="s">
        <v>9242</v>
      </c>
      <c r="N1307" s="14" t="s">
        <v>243</v>
      </c>
      <c r="O1307" s="16" t="s">
        <v>244</v>
      </c>
      <c r="P1307" s="14" t="s">
        <v>8313</v>
      </c>
      <c r="Q1307" s="14" t="s">
        <v>8314</v>
      </c>
      <c r="R1307" s="14" t="s">
        <v>247</v>
      </c>
      <c r="S1307" s="16" t="s">
        <v>8315</v>
      </c>
      <c r="T1307" s="14" t="s">
        <v>249</v>
      </c>
      <c r="U1307" s="16" t="s">
        <v>31</v>
      </c>
      <c r="V1307" s="14" t="s">
        <v>9243</v>
      </c>
      <c r="W1307" s="14" t="s">
        <v>8309</v>
      </c>
      <c r="X1307" s="17" t="str">
        <f>HYPERLINK("https://my.pitchbook.com?p=142117-57P","View People Online")</f>
        <v>View People Online</v>
      </c>
    </row>
    <row r="1308">
      <c r="A1308" s="2" t="s">
        <v>9244</v>
      </c>
      <c r="B1308" s="2" t="s">
        <v>9245</v>
      </c>
      <c r="C1308" s="2" t="s">
        <v>9246</v>
      </c>
      <c r="D1308" s="2" t="s">
        <v>9247</v>
      </c>
      <c r="E1308" s="2" t="s">
        <v>8309</v>
      </c>
      <c r="F1308" s="2" t="s">
        <v>825</v>
      </c>
      <c r="G1308" s="2" t="s">
        <v>9248</v>
      </c>
      <c r="H1308" s="3" t="s">
        <v>31</v>
      </c>
      <c r="I1308" s="3">
        <v>1.0</v>
      </c>
      <c r="J1308" s="3">
        <v>1.0</v>
      </c>
      <c r="K1308" s="3" t="s">
        <v>31</v>
      </c>
      <c r="L1308" s="4" t="s">
        <v>8311</v>
      </c>
      <c r="M1308" s="2" t="s">
        <v>9249</v>
      </c>
      <c r="N1308" s="2" t="s">
        <v>243</v>
      </c>
      <c r="O1308" s="4" t="s">
        <v>244</v>
      </c>
      <c r="P1308" s="2" t="s">
        <v>8313</v>
      </c>
      <c r="Q1308" s="2" t="s">
        <v>8314</v>
      </c>
      <c r="R1308" s="2" t="s">
        <v>247</v>
      </c>
      <c r="S1308" s="4" t="s">
        <v>8315</v>
      </c>
      <c r="T1308" s="2" t="s">
        <v>249</v>
      </c>
      <c r="U1308" s="4" t="s">
        <v>31</v>
      </c>
      <c r="V1308" s="2" t="s">
        <v>9250</v>
      </c>
      <c r="W1308" s="2" t="s">
        <v>8309</v>
      </c>
      <c r="X1308" s="5" t="str">
        <f>HYPERLINK("https://my.pitchbook.com?p=328016-80P","View People Online")</f>
        <v>View People Online</v>
      </c>
    </row>
    <row r="1309">
      <c r="A1309" s="6" t="s">
        <v>9251</v>
      </c>
      <c r="B1309" s="6" t="s">
        <v>9252</v>
      </c>
      <c r="C1309" s="6" t="s">
        <v>2288</v>
      </c>
      <c r="D1309" s="6" t="s">
        <v>8787</v>
      </c>
      <c r="E1309" s="6" t="s">
        <v>8309</v>
      </c>
      <c r="F1309" s="6" t="s">
        <v>825</v>
      </c>
      <c r="G1309" s="6" t="s">
        <v>9253</v>
      </c>
      <c r="H1309" s="7" t="s">
        <v>31</v>
      </c>
      <c r="I1309" s="7">
        <v>1.0</v>
      </c>
      <c r="J1309" s="7">
        <v>1.0</v>
      </c>
      <c r="K1309" s="7" t="s">
        <v>31</v>
      </c>
      <c r="L1309" s="8" t="s">
        <v>8311</v>
      </c>
      <c r="M1309" s="6" t="s">
        <v>9254</v>
      </c>
      <c r="N1309" s="6" t="s">
        <v>243</v>
      </c>
      <c r="O1309" s="8" t="s">
        <v>244</v>
      </c>
      <c r="P1309" s="6" t="s">
        <v>8313</v>
      </c>
      <c r="Q1309" s="6" t="s">
        <v>8314</v>
      </c>
      <c r="R1309" s="6" t="s">
        <v>247</v>
      </c>
      <c r="S1309" s="8" t="s">
        <v>8315</v>
      </c>
      <c r="T1309" s="6" t="s">
        <v>249</v>
      </c>
      <c r="U1309" s="8" t="s">
        <v>31</v>
      </c>
      <c r="V1309" s="6" t="s">
        <v>9255</v>
      </c>
      <c r="W1309" s="6" t="s">
        <v>8309</v>
      </c>
      <c r="X1309" s="9" t="str">
        <f>HYPERLINK("https://my.pitchbook.com?p=389850-85P","View People Online")</f>
        <v>View People Online</v>
      </c>
    </row>
    <row r="1310">
      <c r="A1310" s="10" t="s">
        <v>9256</v>
      </c>
      <c r="B1310" s="10" t="s">
        <v>9257</v>
      </c>
      <c r="C1310" s="10" t="s">
        <v>1645</v>
      </c>
      <c r="D1310" s="10" t="s">
        <v>1147</v>
      </c>
      <c r="E1310" s="10" t="s">
        <v>8309</v>
      </c>
      <c r="F1310" s="10" t="s">
        <v>548</v>
      </c>
      <c r="G1310" s="10" t="s">
        <v>9258</v>
      </c>
      <c r="H1310" s="11" t="s">
        <v>31</v>
      </c>
      <c r="I1310" s="11">
        <v>2.0</v>
      </c>
      <c r="J1310" s="11">
        <v>1.0</v>
      </c>
      <c r="K1310" s="11">
        <v>1.0</v>
      </c>
      <c r="L1310" s="12" t="s">
        <v>8311</v>
      </c>
      <c r="M1310" s="10" t="s">
        <v>9259</v>
      </c>
      <c r="N1310" s="10" t="s">
        <v>243</v>
      </c>
      <c r="O1310" s="12" t="s">
        <v>244</v>
      </c>
      <c r="P1310" s="10" t="s">
        <v>8313</v>
      </c>
      <c r="Q1310" s="10" t="s">
        <v>8314</v>
      </c>
      <c r="R1310" s="10" t="s">
        <v>247</v>
      </c>
      <c r="S1310" s="12" t="s">
        <v>8315</v>
      </c>
      <c r="T1310" s="10" t="s">
        <v>249</v>
      </c>
      <c r="U1310" s="12" t="s">
        <v>31</v>
      </c>
      <c r="V1310" s="10" t="s">
        <v>8457</v>
      </c>
      <c r="W1310" s="10" t="s">
        <v>8309</v>
      </c>
      <c r="X1310" s="13" t="str">
        <f>HYPERLINK("https://my.pitchbook.com?p=241975-18P","View People Online")</f>
        <v>View People Online</v>
      </c>
    </row>
    <row r="1311">
      <c r="A1311" s="6" t="s">
        <v>9260</v>
      </c>
      <c r="B1311" s="6" t="s">
        <v>9261</v>
      </c>
      <c r="C1311" s="6" t="s">
        <v>1645</v>
      </c>
      <c r="D1311" s="6" t="s">
        <v>9262</v>
      </c>
      <c r="E1311" s="6" t="s">
        <v>8309</v>
      </c>
      <c r="F1311" s="6" t="s">
        <v>548</v>
      </c>
      <c r="G1311" s="6" t="s">
        <v>9263</v>
      </c>
      <c r="H1311" s="7" t="s">
        <v>31</v>
      </c>
      <c r="I1311" s="7">
        <v>2.0</v>
      </c>
      <c r="J1311" s="7">
        <v>1.0</v>
      </c>
      <c r="K1311" s="7">
        <v>1.0</v>
      </c>
      <c r="L1311" s="8" t="s">
        <v>8311</v>
      </c>
      <c r="M1311" s="6" t="s">
        <v>9264</v>
      </c>
      <c r="N1311" s="6" t="s">
        <v>243</v>
      </c>
      <c r="O1311" s="8" t="s">
        <v>244</v>
      </c>
      <c r="P1311" s="6" t="s">
        <v>8313</v>
      </c>
      <c r="Q1311" s="6" t="s">
        <v>8314</v>
      </c>
      <c r="R1311" s="6" t="s">
        <v>247</v>
      </c>
      <c r="S1311" s="8" t="s">
        <v>8315</v>
      </c>
      <c r="T1311" s="6" t="s">
        <v>249</v>
      </c>
      <c r="U1311" s="8" t="s">
        <v>31</v>
      </c>
      <c r="V1311" s="6" t="s">
        <v>8457</v>
      </c>
      <c r="W1311" s="6" t="s">
        <v>8309</v>
      </c>
      <c r="X1311" s="9" t="str">
        <f>HYPERLINK("https://my.pitchbook.com?p=190947-07P","View People Online")</f>
        <v>View People Online</v>
      </c>
    </row>
    <row r="1312">
      <c r="A1312" s="10" t="s">
        <v>9265</v>
      </c>
      <c r="B1312" s="10" t="s">
        <v>9266</v>
      </c>
      <c r="C1312" s="10" t="s">
        <v>1645</v>
      </c>
      <c r="D1312" s="10" t="s">
        <v>9267</v>
      </c>
      <c r="E1312" s="10" t="s">
        <v>8309</v>
      </c>
      <c r="F1312" s="10" t="s">
        <v>825</v>
      </c>
      <c r="G1312" s="10" t="s">
        <v>9268</v>
      </c>
      <c r="H1312" s="11" t="s">
        <v>31</v>
      </c>
      <c r="I1312" s="11">
        <v>1.0</v>
      </c>
      <c r="J1312" s="11">
        <v>1.0</v>
      </c>
      <c r="K1312" s="11" t="s">
        <v>31</v>
      </c>
      <c r="L1312" s="12" t="s">
        <v>8311</v>
      </c>
      <c r="M1312" s="10" t="s">
        <v>9269</v>
      </c>
      <c r="N1312" s="10" t="s">
        <v>243</v>
      </c>
      <c r="O1312" s="12" t="s">
        <v>244</v>
      </c>
      <c r="P1312" s="10" t="s">
        <v>8313</v>
      </c>
      <c r="Q1312" s="10" t="s">
        <v>8314</v>
      </c>
      <c r="R1312" s="10" t="s">
        <v>247</v>
      </c>
      <c r="S1312" s="12" t="s">
        <v>8315</v>
      </c>
      <c r="T1312" s="10" t="s">
        <v>249</v>
      </c>
      <c r="U1312" s="12" t="s">
        <v>31</v>
      </c>
      <c r="V1312" s="10" t="s">
        <v>9270</v>
      </c>
      <c r="W1312" s="10" t="s">
        <v>8309</v>
      </c>
      <c r="X1312" s="13" t="str">
        <f>HYPERLINK("https://my.pitchbook.com?p=410822-38P","View People Online")</f>
        <v>View People Online</v>
      </c>
    </row>
    <row r="1313">
      <c r="A1313" s="14" t="s">
        <v>9271</v>
      </c>
      <c r="B1313" s="14" t="s">
        <v>9272</v>
      </c>
      <c r="C1313" s="14" t="s">
        <v>1645</v>
      </c>
      <c r="D1313" s="14" t="s">
        <v>4544</v>
      </c>
      <c r="E1313" s="14" t="s">
        <v>8309</v>
      </c>
      <c r="F1313" s="14" t="s">
        <v>548</v>
      </c>
      <c r="G1313" s="14" t="s">
        <v>9273</v>
      </c>
      <c r="H1313" s="15" t="s">
        <v>31</v>
      </c>
      <c r="I1313" s="15">
        <v>1.0</v>
      </c>
      <c r="J1313" s="15">
        <v>1.0</v>
      </c>
      <c r="K1313" s="15" t="s">
        <v>31</v>
      </c>
      <c r="L1313" s="16" t="s">
        <v>8311</v>
      </c>
      <c r="M1313" s="14" t="s">
        <v>9274</v>
      </c>
      <c r="N1313" s="14" t="s">
        <v>243</v>
      </c>
      <c r="O1313" s="16" t="s">
        <v>244</v>
      </c>
      <c r="P1313" s="14" t="s">
        <v>8313</v>
      </c>
      <c r="Q1313" s="14" t="s">
        <v>8314</v>
      </c>
      <c r="R1313" s="14" t="s">
        <v>247</v>
      </c>
      <c r="S1313" s="16" t="s">
        <v>8315</v>
      </c>
      <c r="T1313" s="14" t="s">
        <v>249</v>
      </c>
      <c r="U1313" s="16" t="s">
        <v>31</v>
      </c>
      <c r="V1313" s="14" t="s">
        <v>548</v>
      </c>
      <c r="W1313" s="14" t="s">
        <v>8309</v>
      </c>
      <c r="X1313" s="17" t="str">
        <f>HYPERLINK("https://my.pitchbook.com?p=130318-84P","View People Online")</f>
        <v>View People Online</v>
      </c>
    </row>
    <row r="1314">
      <c r="A1314" s="10" t="s">
        <v>9275</v>
      </c>
      <c r="B1314" s="10" t="s">
        <v>9276</v>
      </c>
      <c r="C1314" s="10" t="s">
        <v>4591</v>
      </c>
      <c r="D1314" s="10" t="s">
        <v>5198</v>
      </c>
      <c r="E1314" s="10" t="s">
        <v>8309</v>
      </c>
      <c r="F1314" s="10" t="s">
        <v>7305</v>
      </c>
      <c r="G1314" s="10" t="s">
        <v>9277</v>
      </c>
      <c r="H1314" s="11" t="s">
        <v>31</v>
      </c>
      <c r="I1314" s="11">
        <v>1.0</v>
      </c>
      <c r="J1314" s="11">
        <v>1.0</v>
      </c>
      <c r="K1314" s="11" t="s">
        <v>31</v>
      </c>
      <c r="L1314" s="12" t="s">
        <v>8311</v>
      </c>
      <c r="M1314" s="10" t="s">
        <v>9278</v>
      </c>
      <c r="N1314" s="10" t="s">
        <v>243</v>
      </c>
      <c r="O1314" s="12" t="s">
        <v>244</v>
      </c>
      <c r="P1314" s="10" t="s">
        <v>8313</v>
      </c>
      <c r="Q1314" s="10" t="s">
        <v>8314</v>
      </c>
      <c r="R1314" s="10" t="s">
        <v>247</v>
      </c>
      <c r="S1314" s="12" t="s">
        <v>8315</v>
      </c>
      <c r="T1314" s="10" t="s">
        <v>249</v>
      </c>
      <c r="U1314" s="12" t="s">
        <v>31</v>
      </c>
      <c r="V1314" s="10" t="s">
        <v>9279</v>
      </c>
      <c r="W1314" s="10" t="s">
        <v>8309</v>
      </c>
      <c r="X1314" s="13" t="str">
        <f>HYPERLINK("https://my.pitchbook.com?p=421839-73P","View People Online")</f>
        <v>View People Online</v>
      </c>
    </row>
    <row r="1315">
      <c r="A1315" s="6" t="s">
        <v>9280</v>
      </c>
      <c r="B1315" s="6" t="s">
        <v>9281</v>
      </c>
      <c r="C1315" s="6" t="s">
        <v>3554</v>
      </c>
      <c r="D1315" s="6" t="s">
        <v>9282</v>
      </c>
      <c r="E1315" s="6" t="s">
        <v>8309</v>
      </c>
      <c r="F1315" s="6" t="s">
        <v>270</v>
      </c>
      <c r="G1315" s="6" t="s">
        <v>9283</v>
      </c>
      <c r="H1315" s="7" t="s">
        <v>31</v>
      </c>
      <c r="I1315" s="7">
        <v>2.0</v>
      </c>
      <c r="J1315" s="7">
        <v>2.0</v>
      </c>
      <c r="K1315" s="7" t="s">
        <v>31</v>
      </c>
      <c r="L1315" s="8" t="s">
        <v>8311</v>
      </c>
      <c r="M1315" s="6" t="s">
        <v>9284</v>
      </c>
      <c r="N1315" s="6" t="s">
        <v>243</v>
      </c>
      <c r="O1315" s="8" t="s">
        <v>244</v>
      </c>
      <c r="P1315" s="6" t="s">
        <v>8313</v>
      </c>
      <c r="Q1315" s="6" t="s">
        <v>8314</v>
      </c>
      <c r="R1315" s="6" t="s">
        <v>247</v>
      </c>
      <c r="S1315" s="8" t="s">
        <v>8315</v>
      </c>
      <c r="T1315" s="6" t="s">
        <v>249</v>
      </c>
      <c r="U1315" s="8" t="s">
        <v>31</v>
      </c>
      <c r="V1315" s="6" t="s">
        <v>9170</v>
      </c>
      <c r="W1315" s="6" t="s">
        <v>8309</v>
      </c>
      <c r="X1315" s="9" t="str">
        <f>HYPERLINK("https://my.pitchbook.com?p=336069-19P","View People Online")</f>
        <v>View People Online</v>
      </c>
    </row>
    <row r="1316">
      <c r="A1316" s="2" t="s">
        <v>9285</v>
      </c>
      <c r="B1316" s="2" t="s">
        <v>9286</v>
      </c>
      <c r="C1316" s="2" t="s">
        <v>3554</v>
      </c>
      <c r="D1316" s="2" t="s">
        <v>9287</v>
      </c>
      <c r="E1316" s="2" t="s">
        <v>8309</v>
      </c>
      <c r="F1316" s="2" t="s">
        <v>470</v>
      </c>
      <c r="G1316" s="2" t="s">
        <v>9288</v>
      </c>
      <c r="H1316" s="3" t="s">
        <v>31</v>
      </c>
      <c r="I1316" s="3">
        <v>3.0</v>
      </c>
      <c r="J1316" s="3">
        <v>1.0</v>
      </c>
      <c r="K1316" s="3">
        <v>2.0</v>
      </c>
      <c r="L1316" s="4" t="s">
        <v>8311</v>
      </c>
      <c r="M1316" s="2" t="s">
        <v>9289</v>
      </c>
      <c r="N1316" s="2" t="s">
        <v>243</v>
      </c>
      <c r="O1316" s="4" t="s">
        <v>244</v>
      </c>
      <c r="P1316" s="2" t="s">
        <v>8313</v>
      </c>
      <c r="Q1316" s="2" t="s">
        <v>8314</v>
      </c>
      <c r="R1316" s="2" t="s">
        <v>247</v>
      </c>
      <c r="S1316" s="4" t="s">
        <v>8315</v>
      </c>
      <c r="T1316" s="2" t="s">
        <v>249</v>
      </c>
      <c r="U1316" s="4" t="s">
        <v>31</v>
      </c>
      <c r="V1316" s="2" t="s">
        <v>9290</v>
      </c>
      <c r="W1316" s="2" t="s">
        <v>8309</v>
      </c>
      <c r="X1316" s="5" t="str">
        <f>HYPERLINK("https://my.pitchbook.com?p=211577-86P","View People Online")</f>
        <v>View People Online</v>
      </c>
    </row>
    <row r="1317">
      <c r="A1317" s="14" t="s">
        <v>9291</v>
      </c>
      <c r="B1317" s="14" t="s">
        <v>9292</v>
      </c>
      <c r="C1317" s="14" t="s">
        <v>160</v>
      </c>
      <c r="D1317" s="14" t="s">
        <v>9293</v>
      </c>
      <c r="E1317" s="14" t="s">
        <v>8309</v>
      </c>
      <c r="F1317" s="14" t="s">
        <v>9294</v>
      </c>
      <c r="G1317" s="14" t="s">
        <v>9295</v>
      </c>
      <c r="H1317" s="15">
        <v>2.0</v>
      </c>
      <c r="I1317" s="15">
        <v>4.0</v>
      </c>
      <c r="J1317" s="15">
        <v>2.0</v>
      </c>
      <c r="K1317" s="15" t="s">
        <v>31</v>
      </c>
      <c r="L1317" s="16" t="s">
        <v>8311</v>
      </c>
      <c r="M1317" s="14" t="s">
        <v>9296</v>
      </c>
      <c r="N1317" s="14" t="s">
        <v>243</v>
      </c>
      <c r="O1317" s="16" t="s">
        <v>244</v>
      </c>
      <c r="P1317" s="14" t="s">
        <v>8313</v>
      </c>
      <c r="Q1317" s="14" t="s">
        <v>8314</v>
      </c>
      <c r="R1317" s="14" t="s">
        <v>247</v>
      </c>
      <c r="S1317" s="16" t="s">
        <v>8315</v>
      </c>
      <c r="T1317" s="14" t="s">
        <v>249</v>
      </c>
      <c r="U1317" s="16" t="s">
        <v>31</v>
      </c>
      <c r="V1317" s="14" t="s">
        <v>9297</v>
      </c>
      <c r="W1317" s="14" t="s">
        <v>8309</v>
      </c>
      <c r="X1317" s="17" t="str">
        <f>HYPERLINK("https://my.pitchbook.com?p=231908-32P","View People Online")</f>
        <v>View People Online</v>
      </c>
    </row>
    <row r="1318">
      <c r="A1318" s="2" t="s">
        <v>9298</v>
      </c>
      <c r="B1318" s="2" t="s">
        <v>9299</v>
      </c>
      <c r="C1318" s="2" t="s">
        <v>160</v>
      </c>
      <c r="D1318" s="2" t="s">
        <v>9300</v>
      </c>
      <c r="E1318" s="2" t="s">
        <v>8309</v>
      </c>
      <c r="F1318" s="2" t="s">
        <v>548</v>
      </c>
      <c r="G1318" s="2" t="s">
        <v>9301</v>
      </c>
      <c r="H1318" s="3" t="s">
        <v>31</v>
      </c>
      <c r="I1318" s="3">
        <v>3.0</v>
      </c>
      <c r="J1318" s="3">
        <v>1.0</v>
      </c>
      <c r="K1318" s="3">
        <v>2.0</v>
      </c>
      <c r="L1318" s="4" t="s">
        <v>8311</v>
      </c>
      <c r="M1318" s="2" t="s">
        <v>9302</v>
      </c>
      <c r="N1318" s="2" t="s">
        <v>243</v>
      </c>
      <c r="O1318" s="4" t="s">
        <v>244</v>
      </c>
      <c r="P1318" s="2" t="s">
        <v>8313</v>
      </c>
      <c r="Q1318" s="2" t="s">
        <v>8314</v>
      </c>
      <c r="R1318" s="2" t="s">
        <v>247</v>
      </c>
      <c r="S1318" s="4" t="s">
        <v>8315</v>
      </c>
      <c r="T1318" s="2" t="s">
        <v>249</v>
      </c>
      <c r="U1318" s="4" t="s">
        <v>31</v>
      </c>
      <c r="V1318" s="2" t="s">
        <v>8457</v>
      </c>
      <c r="W1318" s="2" t="s">
        <v>8309</v>
      </c>
      <c r="X1318" s="5" t="str">
        <f>HYPERLINK("https://my.pitchbook.com?p=216440-29P","View People Online")</f>
        <v>View People Online</v>
      </c>
    </row>
    <row r="1319">
      <c r="A1319" s="6" t="s">
        <v>9303</v>
      </c>
      <c r="B1319" s="6" t="s">
        <v>9299</v>
      </c>
      <c r="C1319" s="6" t="s">
        <v>160</v>
      </c>
      <c r="D1319" s="6" t="s">
        <v>9300</v>
      </c>
      <c r="E1319" s="6" t="s">
        <v>8309</v>
      </c>
      <c r="F1319" s="6" t="s">
        <v>548</v>
      </c>
      <c r="G1319" s="6" t="s">
        <v>9304</v>
      </c>
      <c r="H1319" s="7" t="s">
        <v>31</v>
      </c>
      <c r="I1319" s="7">
        <v>1.0</v>
      </c>
      <c r="J1319" s="7">
        <v>1.0</v>
      </c>
      <c r="K1319" s="7" t="s">
        <v>31</v>
      </c>
      <c r="L1319" s="8" t="s">
        <v>8311</v>
      </c>
      <c r="M1319" s="6" t="s">
        <v>9305</v>
      </c>
      <c r="N1319" s="6" t="s">
        <v>243</v>
      </c>
      <c r="O1319" s="8" t="s">
        <v>244</v>
      </c>
      <c r="P1319" s="6" t="s">
        <v>8313</v>
      </c>
      <c r="Q1319" s="6" t="s">
        <v>8314</v>
      </c>
      <c r="R1319" s="6" t="s">
        <v>247</v>
      </c>
      <c r="S1319" s="8" t="s">
        <v>8315</v>
      </c>
      <c r="T1319" s="6" t="s">
        <v>249</v>
      </c>
      <c r="U1319" s="8" t="s">
        <v>31</v>
      </c>
      <c r="V1319" s="6" t="s">
        <v>8327</v>
      </c>
      <c r="W1319" s="6" t="s">
        <v>8309</v>
      </c>
      <c r="X1319" s="9" t="str">
        <f>HYPERLINK("https://my.pitchbook.com?p=125499-16P","View People Online")</f>
        <v>View People Online</v>
      </c>
    </row>
    <row r="1320">
      <c r="A1320" s="2" t="s">
        <v>9306</v>
      </c>
      <c r="B1320" s="2" t="s">
        <v>9307</v>
      </c>
      <c r="C1320" s="2" t="s">
        <v>9308</v>
      </c>
      <c r="D1320" s="2" t="s">
        <v>9309</v>
      </c>
      <c r="E1320" s="2" t="s">
        <v>8309</v>
      </c>
      <c r="F1320" s="2" t="s">
        <v>9310</v>
      </c>
      <c r="G1320" s="2" t="s">
        <v>9311</v>
      </c>
      <c r="H1320" s="3" t="s">
        <v>31</v>
      </c>
      <c r="I1320" s="3">
        <v>1.0</v>
      </c>
      <c r="J1320" s="3">
        <v>1.0</v>
      </c>
      <c r="K1320" s="3" t="s">
        <v>31</v>
      </c>
      <c r="L1320" s="4" t="s">
        <v>8311</v>
      </c>
      <c r="M1320" s="2" t="s">
        <v>9312</v>
      </c>
      <c r="N1320" s="2" t="s">
        <v>243</v>
      </c>
      <c r="O1320" s="4" t="s">
        <v>244</v>
      </c>
      <c r="P1320" s="2" t="s">
        <v>8313</v>
      </c>
      <c r="Q1320" s="2" t="s">
        <v>8314</v>
      </c>
      <c r="R1320" s="2" t="s">
        <v>247</v>
      </c>
      <c r="S1320" s="4" t="s">
        <v>8315</v>
      </c>
      <c r="T1320" s="2" t="s">
        <v>249</v>
      </c>
      <c r="U1320" s="4" t="s">
        <v>31</v>
      </c>
      <c r="V1320" s="2" t="s">
        <v>9313</v>
      </c>
      <c r="W1320" s="2" t="s">
        <v>8309</v>
      </c>
      <c r="X1320" s="5" t="str">
        <f>HYPERLINK("https://my.pitchbook.com?p=368734-96P","View People Online")</f>
        <v>View People Online</v>
      </c>
    </row>
    <row r="1321">
      <c r="A1321" s="6" t="s">
        <v>9314</v>
      </c>
      <c r="B1321" s="6" t="s">
        <v>9315</v>
      </c>
      <c r="C1321" s="6" t="s">
        <v>126</v>
      </c>
      <c r="D1321" s="6" t="s">
        <v>9316</v>
      </c>
      <c r="E1321" s="6" t="s">
        <v>8309</v>
      </c>
      <c r="F1321" s="6" t="s">
        <v>270</v>
      </c>
      <c r="G1321" s="6" t="s">
        <v>9317</v>
      </c>
      <c r="H1321" s="7" t="s">
        <v>31</v>
      </c>
      <c r="I1321" s="7">
        <v>1.0</v>
      </c>
      <c r="J1321" s="7">
        <v>1.0</v>
      </c>
      <c r="K1321" s="7" t="s">
        <v>31</v>
      </c>
      <c r="L1321" s="8" t="s">
        <v>8311</v>
      </c>
      <c r="M1321" s="6" t="s">
        <v>9318</v>
      </c>
      <c r="N1321" s="6" t="s">
        <v>243</v>
      </c>
      <c r="O1321" s="8" t="s">
        <v>244</v>
      </c>
      <c r="P1321" s="6" t="s">
        <v>8313</v>
      </c>
      <c r="Q1321" s="6" t="s">
        <v>8314</v>
      </c>
      <c r="R1321" s="6" t="s">
        <v>247</v>
      </c>
      <c r="S1321" s="8" t="s">
        <v>8315</v>
      </c>
      <c r="T1321" s="6" t="s">
        <v>249</v>
      </c>
      <c r="U1321" s="8" t="s">
        <v>31</v>
      </c>
      <c r="V1321" s="6" t="s">
        <v>9319</v>
      </c>
      <c r="W1321" s="6" t="s">
        <v>8309</v>
      </c>
      <c r="X1321" s="9" t="str">
        <f>HYPERLINK("https://my.pitchbook.com?p=370399-06P","View People Online")</f>
        <v>View People Online</v>
      </c>
    </row>
    <row r="1322">
      <c r="A1322" s="10" t="s">
        <v>9320</v>
      </c>
      <c r="B1322" s="10" t="s">
        <v>9321</v>
      </c>
      <c r="C1322" s="10" t="s">
        <v>126</v>
      </c>
      <c r="D1322" s="10" t="s">
        <v>9322</v>
      </c>
      <c r="E1322" s="10" t="s">
        <v>8309</v>
      </c>
      <c r="F1322" s="10" t="s">
        <v>371</v>
      </c>
      <c r="G1322" s="10" t="s">
        <v>9323</v>
      </c>
      <c r="H1322" s="11" t="s">
        <v>31</v>
      </c>
      <c r="I1322" s="11">
        <v>1.0</v>
      </c>
      <c r="J1322" s="11">
        <v>1.0</v>
      </c>
      <c r="K1322" s="11" t="s">
        <v>31</v>
      </c>
      <c r="L1322" s="12" t="s">
        <v>8311</v>
      </c>
      <c r="M1322" s="10" t="s">
        <v>9324</v>
      </c>
      <c r="N1322" s="10" t="s">
        <v>243</v>
      </c>
      <c r="O1322" s="12" t="s">
        <v>244</v>
      </c>
      <c r="P1322" s="10" t="s">
        <v>8313</v>
      </c>
      <c r="Q1322" s="10" t="s">
        <v>8314</v>
      </c>
      <c r="R1322" s="10" t="s">
        <v>247</v>
      </c>
      <c r="S1322" s="12" t="s">
        <v>8315</v>
      </c>
      <c r="T1322" s="10" t="s">
        <v>249</v>
      </c>
      <c r="U1322" s="12" t="s">
        <v>31</v>
      </c>
      <c r="V1322" s="10" t="s">
        <v>9325</v>
      </c>
      <c r="W1322" s="10" t="s">
        <v>8309</v>
      </c>
      <c r="X1322" s="13" t="str">
        <f>HYPERLINK("https://my.pitchbook.com?p=169560-73P","View People Online")</f>
        <v>View People Online</v>
      </c>
    </row>
    <row r="1323">
      <c r="A1323" s="14" t="s">
        <v>9326</v>
      </c>
      <c r="B1323" s="14" t="s">
        <v>9327</v>
      </c>
      <c r="C1323" s="14" t="s">
        <v>126</v>
      </c>
      <c r="D1323" s="14" t="s">
        <v>9328</v>
      </c>
      <c r="E1323" s="14" t="s">
        <v>8309</v>
      </c>
      <c r="F1323" s="14" t="s">
        <v>825</v>
      </c>
      <c r="G1323" s="14" t="s">
        <v>9329</v>
      </c>
      <c r="H1323" s="15" t="s">
        <v>31</v>
      </c>
      <c r="I1323" s="15">
        <v>1.0</v>
      </c>
      <c r="J1323" s="15">
        <v>1.0</v>
      </c>
      <c r="K1323" s="15" t="s">
        <v>31</v>
      </c>
      <c r="L1323" s="16" t="s">
        <v>8311</v>
      </c>
      <c r="M1323" s="14" t="s">
        <v>9330</v>
      </c>
      <c r="N1323" s="14" t="s">
        <v>243</v>
      </c>
      <c r="O1323" s="16" t="s">
        <v>244</v>
      </c>
      <c r="P1323" s="14" t="s">
        <v>8313</v>
      </c>
      <c r="Q1323" s="14" t="s">
        <v>8314</v>
      </c>
      <c r="R1323" s="14" t="s">
        <v>247</v>
      </c>
      <c r="S1323" s="16" t="s">
        <v>8315</v>
      </c>
      <c r="T1323" s="14" t="s">
        <v>249</v>
      </c>
      <c r="U1323" s="16" t="s">
        <v>31</v>
      </c>
      <c r="V1323" s="14" t="s">
        <v>9331</v>
      </c>
      <c r="W1323" s="14" t="s">
        <v>8309</v>
      </c>
      <c r="X1323" s="17" t="str">
        <f>HYPERLINK("https://my.pitchbook.com?p=426616-21P","View People Online")</f>
        <v>View People Online</v>
      </c>
    </row>
    <row r="1324">
      <c r="A1324" s="10" t="s">
        <v>9332</v>
      </c>
      <c r="B1324" s="10" t="s">
        <v>9333</v>
      </c>
      <c r="C1324" s="10" t="s">
        <v>126</v>
      </c>
      <c r="D1324" s="10" t="s">
        <v>4391</v>
      </c>
      <c r="E1324" s="10" t="s">
        <v>8309</v>
      </c>
      <c r="F1324" s="10" t="s">
        <v>1283</v>
      </c>
      <c r="G1324" s="10" t="s">
        <v>9334</v>
      </c>
      <c r="H1324" s="11" t="s">
        <v>31</v>
      </c>
      <c r="I1324" s="11">
        <v>2.0</v>
      </c>
      <c r="J1324" s="11">
        <v>1.0</v>
      </c>
      <c r="K1324" s="11">
        <v>1.0</v>
      </c>
      <c r="L1324" s="12" t="s">
        <v>8311</v>
      </c>
      <c r="M1324" s="10" t="s">
        <v>9335</v>
      </c>
      <c r="N1324" s="10" t="s">
        <v>243</v>
      </c>
      <c r="O1324" s="12" t="s">
        <v>244</v>
      </c>
      <c r="P1324" s="10" t="s">
        <v>8313</v>
      </c>
      <c r="Q1324" s="10" t="s">
        <v>8314</v>
      </c>
      <c r="R1324" s="10" t="s">
        <v>247</v>
      </c>
      <c r="S1324" s="12" t="s">
        <v>8315</v>
      </c>
      <c r="T1324" s="10" t="s">
        <v>249</v>
      </c>
      <c r="U1324" s="12" t="s">
        <v>31</v>
      </c>
      <c r="V1324" s="10" t="s">
        <v>1283</v>
      </c>
      <c r="W1324" s="10" t="s">
        <v>8309</v>
      </c>
      <c r="X1324" s="13" t="str">
        <f>HYPERLINK("https://my.pitchbook.com?p=241497-55P","View People Online")</f>
        <v>View People Online</v>
      </c>
    </row>
    <row r="1325">
      <c r="A1325" s="6" t="s">
        <v>9336</v>
      </c>
      <c r="B1325" s="6" t="s">
        <v>9337</v>
      </c>
      <c r="C1325" s="6" t="s">
        <v>126</v>
      </c>
      <c r="D1325" s="6" t="s">
        <v>9338</v>
      </c>
      <c r="E1325" s="6" t="s">
        <v>8309</v>
      </c>
      <c r="F1325" s="6" t="s">
        <v>1283</v>
      </c>
      <c r="G1325" s="6" t="s">
        <v>9339</v>
      </c>
      <c r="H1325" s="7" t="s">
        <v>31</v>
      </c>
      <c r="I1325" s="7">
        <v>2.0</v>
      </c>
      <c r="J1325" s="7">
        <v>1.0</v>
      </c>
      <c r="K1325" s="7">
        <v>1.0</v>
      </c>
      <c r="L1325" s="8" t="s">
        <v>8311</v>
      </c>
      <c r="M1325" s="6" t="s">
        <v>9340</v>
      </c>
      <c r="N1325" s="6" t="s">
        <v>243</v>
      </c>
      <c r="O1325" s="8" t="s">
        <v>244</v>
      </c>
      <c r="P1325" s="6" t="s">
        <v>8313</v>
      </c>
      <c r="Q1325" s="6" t="s">
        <v>8314</v>
      </c>
      <c r="R1325" s="6" t="s">
        <v>247</v>
      </c>
      <c r="S1325" s="8" t="s">
        <v>8315</v>
      </c>
      <c r="T1325" s="6" t="s">
        <v>249</v>
      </c>
      <c r="U1325" s="8" t="s">
        <v>31</v>
      </c>
      <c r="V1325" s="6" t="s">
        <v>1283</v>
      </c>
      <c r="W1325" s="6" t="s">
        <v>8309</v>
      </c>
      <c r="X1325" s="9" t="str">
        <f>HYPERLINK("https://my.pitchbook.com?p=400423-51P","View People Online")</f>
        <v>View People Online</v>
      </c>
    </row>
    <row r="1326">
      <c r="A1326" s="2" t="s">
        <v>9341</v>
      </c>
      <c r="B1326" s="2" t="s">
        <v>9342</v>
      </c>
      <c r="C1326" s="2" t="s">
        <v>126</v>
      </c>
      <c r="D1326" s="2" t="s">
        <v>747</v>
      </c>
      <c r="E1326" s="2" t="s">
        <v>8309</v>
      </c>
      <c r="F1326" s="2" t="s">
        <v>2652</v>
      </c>
      <c r="G1326" s="2" t="s">
        <v>9343</v>
      </c>
      <c r="H1326" s="3" t="s">
        <v>31</v>
      </c>
      <c r="I1326" s="3">
        <v>4.0</v>
      </c>
      <c r="J1326" s="3">
        <v>1.0</v>
      </c>
      <c r="K1326" s="3">
        <v>3.0</v>
      </c>
      <c r="L1326" s="4" t="s">
        <v>8311</v>
      </c>
      <c r="M1326" s="2" t="s">
        <v>9344</v>
      </c>
      <c r="N1326" s="2" t="s">
        <v>243</v>
      </c>
      <c r="O1326" s="4" t="s">
        <v>244</v>
      </c>
      <c r="P1326" s="2" t="s">
        <v>8313</v>
      </c>
      <c r="Q1326" s="2" t="s">
        <v>8314</v>
      </c>
      <c r="R1326" s="2" t="s">
        <v>247</v>
      </c>
      <c r="S1326" s="4" t="s">
        <v>8315</v>
      </c>
      <c r="T1326" s="2" t="s">
        <v>249</v>
      </c>
      <c r="U1326" s="4" t="s">
        <v>31</v>
      </c>
      <c r="V1326" s="2" t="s">
        <v>9345</v>
      </c>
      <c r="W1326" s="2" t="s">
        <v>8309</v>
      </c>
      <c r="X1326" s="5" t="str">
        <f>HYPERLINK("https://my.pitchbook.com?p=242661-07P","View People Online")</f>
        <v>View People Online</v>
      </c>
    </row>
    <row r="1327">
      <c r="A1327" s="14" t="s">
        <v>9346</v>
      </c>
      <c r="B1327" s="14" t="s">
        <v>9347</v>
      </c>
      <c r="C1327" s="14" t="s">
        <v>126</v>
      </c>
      <c r="D1327" s="14" t="s">
        <v>9348</v>
      </c>
      <c r="E1327" s="14" t="s">
        <v>8309</v>
      </c>
      <c r="F1327" s="14" t="s">
        <v>548</v>
      </c>
      <c r="G1327" s="14" t="s">
        <v>9349</v>
      </c>
      <c r="H1327" s="15" t="s">
        <v>31</v>
      </c>
      <c r="I1327" s="15">
        <v>2.0</v>
      </c>
      <c r="J1327" s="15">
        <v>1.0</v>
      </c>
      <c r="K1327" s="15">
        <v>1.0</v>
      </c>
      <c r="L1327" s="16" t="s">
        <v>8311</v>
      </c>
      <c r="M1327" s="14" t="s">
        <v>9350</v>
      </c>
      <c r="N1327" s="14" t="s">
        <v>243</v>
      </c>
      <c r="O1327" s="16" t="s">
        <v>244</v>
      </c>
      <c r="P1327" s="14" t="s">
        <v>8313</v>
      </c>
      <c r="Q1327" s="14" t="s">
        <v>8314</v>
      </c>
      <c r="R1327" s="14" t="s">
        <v>247</v>
      </c>
      <c r="S1327" s="16" t="s">
        <v>8315</v>
      </c>
      <c r="T1327" s="14" t="s">
        <v>249</v>
      </c>
      <c r="U1327" s="16" t="s">
        <v>31</v>
      </c>
      <c r="V1327" s="14" t="s">
        <v>9351</v>
      </c>
      <c r="W1327" s="14" t="s">
        <v>8309</v>
      </c>
      <c r="X1327" s="17" t="str">
        <f>HYPERLINK("https://my.pitchbook.com?p=176938-39P","View People Online")</f>
        <v>View People Online</v>
      </c>
    </row>
    <row r="1328">
      <c r="A1328" s="2" t="s">
        <v>9352</v>
      </c>
      <c r="B1328" s="2" t="s">
        <v>9353</v>
      </c>
      <c r="C1328" s="2" t="s">
        <v>1807</v>
      </c>
      <c r="D1328" s="2" t="s">
        <v>9354</v>
      </c>
      <c r="E1328" s="2" t="s">
        <v>8309</v>
      </c>
      <c r="F1328" s="2" t="s">
        <v>825</v>
      </c>
      <c r="G1328" s="2" t="s">
        <v>9355</v>
      </c>
      <c r="H1328" s="3" t="s">
        <v>31</v>
      </c>
      <c r="I1328" s="3">
        <v>1.0</v>
      </c>
      <c r="J1328" s="3">
        <v>1.0</v>
      </c>
      <c r="K1328" s="3" t="s">
        <v>31</v>
      </c>
      <c r="L1328" s="4" t="s">
        <v>8311</v>
      </c>
      <c r="M1328" s="2" t="s">
        <v>9356</v>
      </c>
      <c r="N1328" s="2" t="s">
        <v>243</v>
      </c>
      <c r="O1328" s="4" t="s">
        <v>244</v>
      </c>
      <c r="P1328" s="2" t="s">
        <v>8313</v>
      </c>
      <c r="Q1328" s="2" t="s">
        <v>8314</v>
      </c>
      <c r="R1328" s="2" t="s">
        <v>247</v>
      </c>
      <c r="S1328" s="4" t="s">
        <v>8315</v>
      </c>
      <c r="T1328" s="2" t="s">
        <v>249</v>
      </c>
      <c r="U1328" s="4" t="s">
        <v>31</v>
      </c>
      <c r="V1328" s="2" t="s">
        <v>9357</v>
      </c>
      <c r="W1328" s="2" t="s">
        <v>8309</v>
      </c>
      <c r="X1328" s="5" t="str">
        <f>HYPERLINK("https://my.pitchbook.com?p=380316-52P","View People Online")</f>
        <v>View People Online</v>
      </c>
    </row>
    <row r="1329">
      <c r="A1329" s="14" t="s">
        <v>9358</v>
      </c>
      <c r="B1329" s="14" t="s">
        <v>9359</v>
      </c>
      <c r="C1329" s="14" t="s">
        <v>1807</v>
      </c>
      <c r="D1329" s="14" t="s">
        <v>9360</v>
      </c>
      <c r="E1329" s="14" t="s">
        <v>8309</v>
      </c>
      <c r="F1329" s="14" t="s">
        <v>548</v>
      </c>
      <c r="G1329" s="14" t="s">
        <v>9361</v>
      </c>
      <c r="H1329" s="15" t="s">
        <v>31</v>
      </c>
      <c r="I1329" s="15">
        <v>2.0</v>
      </c>
      <c r="J1329" s="15">
        <v>1.0</v>
      </c>
      <c r="K1329" s="15">
        <v>1.0</v>
      </c>
      <c r="L1329" s="16" t="s">
        <v>9362</v>
      </c>
      <c r="M1329" s="14" t="s">
        <v>9363</v>
      </c>
      <c r="N1329" s="14" t="s">
        <v>243</v>
      </c>
      <c r="O1329" s="16" t="s">
        <v>244</v>
      </c>
      <c r="P1329" s="14" t="s">
        <v>8313</v>
      </c>
      <c r="Q1329" s="14" t="s">
        <v>8314</v>
      </c>
      <c r="R1329" s="14" t="s">
        <v>247</v>
      </c>
      <c r="S1329" s="16" t="s">
        <v>8315</v>
      </c>
      <c r="T1329" s="14" t="s">
        <v>249</v>
      </c>
      <c r="U1329" s="16" t="s">
        <v>31</v>
      </c>
      <c r="V1329" s="14" t="s">
        <v>548</v>
      </c>
      <c r="W1329" s="14" t="s">
        <v>8309</v>
      </c>
      <c r="X1329" s="17" t="str">
        <f>HYPERLINK("https://my.pitchbook.com?p=199727-74P","View People Online")</f>
        <v>View People Online</v>
      </c>
    </row>
    <row r="1330">
      <c r="A1330" s="2" t="s">
        <v>9364</v>
      </c>
      <c r="B1330" s="2" t="s">
        <v>9365</v>
      </c>
      <c r="C1330" s="2" t="s">
        <v>1807</v>
      </c>
      <c r="D1330" s="2" t="s">
        <v>9366</v>
      </c>
      <c r="E1330" s="2" t="s">
        <v>8309</v>
      </c>
      <c r="F1330" s="2" t="s">
        <v>825</v>
      </c>
      <c r="G1330" s="2" t="s">
        <v>9367</v>
      </c>
      <c r="H1330" s="3" t="s">
        <v>31</v>
      </c>
      <c r="I1330" s="3">
        <v>2.0</v>
      </c>
      <c r="J1330" s="3">
        <v>1.0</v>
      </c>
      <c r="K1330" s="3">
        <v>1.0</v>
      </c>
      <c r="L1330" s="4" t="s">
        <v>8311</v>
      </c>
      <c r="M1330" s="2" t="s">
        <v>9368</v>
      </c>
      <c r="N1330" s="2" t="s">
        <v>243</v>
      </c>
      <c r="O1330" s="4" t="s">
        <v>244</v>
      </c>
      <c r="P1330" s="2" t="s">
        <v>8313</v>
      </c>
      <c r="Q1330" s="2" t="s">
        <v>8314</v>
      </c>
      <c r="R1330" s="2" t="s">
        <v>247</v>
      </c>
      <c r="S1330" s="4" t="s">
        <v>8315</v>
      </c>
      <c r="T1330" s="2" t="s">
        <v>249</v>
      </c>
      <c r="U1330" s="4" t="s">
        <v>31</v>
      </c>
      <c r="V1330" s="2" t="s">
        <v>9369</v>
      </c>
      <c r="W1330" s="2" t="s">
        <v>8309</v>
      </c>
      <c r="X1330" s="5" t="str">
        <f>HYPERLINK("https://my.pitchbook.com?p=233283-16P","View People Online")</f>
        <v>View People Online</v>
      </c>
    </row>
    <row r="1331">
      <c r="A1331" s="14" t="s">
        <v>9370</v>
      </c>
      <c r="B1331" s="14" t="s">
        <v>9371</v>
      </c>
      <c r="C1331" s="14" t="s">
        <v>9372</v>
      </c>
      <c r="D1331" s="14" t="s">
        <v>9373</v>
      </c>
      <c r="E1331" s="14" t="s">
        <v>8309</v>
      </c>
      <c r="F1331" s="14" t="s">
        <v>825</v>
      </c>
      <c r="G1331" s="14" t="s">
        <v>9374</v>
      </c>
      <c r="H1331" s="15" t="s">
        <v>31</v>
      </c>
      <c r="I1331" s="15">
        <v>1.0</v>
      </c>
      <c r="J1331" s="15">
        <v>1.0</v>
      </c>
      <c r="K1331" s="15" t="s">
        <v>31</v>
      </c>
      <c r="L1331" s="16" t="s">
        <v>8311</v>
      </c>
      <c r="M1331" s="14" t="s">
        <v>9375</v>
      </c>
      <c r="N1331" s="14" t="s">
        <v>243</v>
      </c>
      <c r="O1331" s="16" t="s">
        <v>244</v>
      </c>
      <c r="P1331" s="14" t="s">
        <v>8313</v>
      </c>
      <c r="Q1331" s="14" t="s">
        <v>8314</v>
      </c>
      <c r="R1331" s="14" t="s">
        <v>247</v>
      </c>
      <c r="S1331" s="16" t="s">
        <v>8315</v>
      </c>
      <c r="T1331" s="14" t="s">
        <v>249</v>
      </c>
      <c r="U1331" s="16" t="s">
        <v>31</v>
      </c>
      <c r="V1331" s="14" t="s">
        <v>9376</v>
      </c>
      <c r="W1331" s="14" t="s">
        <v>8309</v>
      </c>
      <c r="X1331" s="17" t="str">
        <f>HYPERLINK("https://my.pitchbook.com?p=384341-05P","View People Online")</f>
        <v>View People Online</v>
      </c>
    </row>
    <row r="1332">
      <c r="A1332" s="2" t="s">
        <v>9377</v>
      </c>
      <c r="B1332" s="2" t="s">
        <v>9378</v>
      </c>
      <c r="C1332" s="2" t="s">
        <v>9379</v>
      </c>
      <c r="D1332" s="2" t="s">
        <v>9380</v>
      </c>
      <c r="E1332" s="2" t="s">
        <v>8309</v>
      </c>
      <c r="F1332" s="2" t="s">
        <v>5065</v>
      </c>
      <c r="G1332" s="2" t="s">
        <v>9381</v>
      </c>
      <c r="H1332" s="3" t="s">
        <v>31</v>
      </c>
      <c r="I1332" s="3">
        <v>1.0</v>
      </c>
      <c r="J1332" s="3">
        <v>1.0</v>
      </c>
      <c r="K1332" s="3" t="s">
        <v>31</v>
      </c>
      <c r="L1332" s="4" t="s">
        <v>8311</v>
      </c>
      <c r="M1332" s="2" t="s">
        <v>9382</v>
      </c>
      <c r="N1332" s="2" t="s">
        <v>243</v>
      </c>
      <c r="O1332" s="4" t="s">
        <v>244</v>
      </c>
      <c r="P1332" s="2" t="s">
        <v>8313</v>
      </c>
      <c r="Q1332" s="2" t="s">
        <v>8314</v>
      </c>
      <c r="R1332" s="2" t="s">
        <v>247</v>
      </c>
      <c r="S1332" s="4" t="s">
        <v>8315</v>
      </c>
      <c r="T1332" s="2" t="s">
        <v>249</v>
      </c>
      <c r="U1332" s="4" t="s">
        <v>31</v>
      </c>
      <c r="V1332" s="2" t="s">
        <v>9383</v>
      </c>
      <c r="W1332" s="2" t="s">
        <v>8309</v>
      </c>
      <c r="X1332" s="5" t="str">
        <f>HYPERLINK("https://my.pitchbook.com?p=379666-00P","View People Online")</f>
        <v>View People Online</v>
      </c>
    </row>
    <row r="1333">
      <c r="A1333" s="14" t="s">
        <v>9384</v>
      </c>
      <c r="B1333" s="14" t="s">
        <v>9385</v>
      </c>
      <c r="C1333" s="14" t="s">
        <v>5185</v>
      </c>
      <c r="D1333" s="14" t="s">
        <v>9386</v>
      </c>
      <c r="E1333" s="14" t="s">
        <v>8309</v>
      </c>
      <c r="F1333" s="14" t="s">
        <v>548</v>
      </c>
      <c r="G1333" s="14" t="s">
        <v>9387</v>
      </c>
      <c r="H1333" s="15" t="s">
        <v>31</v>
      </c>
      <c r="I1333" s="15">
        <v>3.0</v>
      </c>
      <c r="J1333" s="15">
        <v>1.0</v>
      </c>
      <c r="K1333" s="15">
        <v>2.0</v>
      </c>
      <c r="L1333" s="16" t="s">
        <v>8311</v>
      </c>
      <c r="M1333" s="14" t="s">
        <v>9388</v>
      </c>
      <c r="N1333" s="14" t="s">
        <v>243</v>
      </c>
      <c r="O1333" s="16" t="s">
        <v>244</v>
      </c>
      <c r="P1333" s="14" t="s">
        <v>8313</v>
      </c>
      <c r="Q1333" s="14" t="s">
        <v>8314</v>
      </c>
      <c r="R1333" s="14" t="s">
        <v>247</v>
      </c>
      <c r="S1333" s="16" t="s">
        <v>8315</v>
      </c>
      <c r="T1333" s="14" t="s">
        <v>249</v>
      </c>
      <c r="U1333" s="16" t="s">
        <v>31</v>
      </c>
      <c r="V1333" s="14" t="s">
        <v>8327</v>
      </c>
      <c r="W1333" s="14" t="s">
        <v>8309</v>
      </c>
      <c r="X1333" s="17" t="str">
        <f>HYPERLINK("https://my.pitchbook.com?p=141519-16P","View People Online")</f>
        <v>View People Online</v>
      </c>
    </row>
    <row r="1334">
      <c r="A1334" s="2" t="s">
        <v>9389</v>
      </c>
      <c r="B1334" s="2" t="s">
        <v>9390</v>
      </c>
      <c r="C1334" s="2" t="s">
        <v>5185</v>
      </c>
      <c r="D1334" s="2" t="s">
        <v>9391</v>
      </c>
      <c r="E1334" s="2" t="s">
        <v>8309</v>
      </c>
      <c r="F1334" s="2" t="s">
        <v>548</v>
      </c>
      <c r="G1334" s="2" t="s">
        <v>9392</v>
      </c>
      <c r="H1334" s="3" t="s">
        <v>31</v>
      </c>
      <c r="I1334" s="3">
        <v>3.0</v>
      </c>
      <c r="J1334" s="3">
        <v>1.0</v>
      </c>
      <c r="K1334" s="3">
        <v>2.0</v>
      </c>
      <c r="L1334" s="4" t="s">
        <v>8311</v>
      </c>
      <c r="M1334" s="2" t="s">
        <v>9393</v>
      </c>
      <c r="N1334" s="2" t="s">
        <v>243</v>
      </c>
      <c r="O1334" s="4" t="s">
        <v>244</v>
      </c>
      <c r="P1334" s="2" t="s">
        <v>8313</v>
      </c>
      <c r="Q1334" s="2" t="s">
        <v>8314</v>
      </c>
      <c r="R1334" s="2" t="s">
        <v>247</v>
      </c>
      <c r="S1334" s="4" t="s">
        <v>8315</v>
      </c>
      <c r="T1334" s="2" t="s">
        <v>249</v>
      </c>
      <c r="U1334" s="4" t="s">
        <v>31</v>
      </c>
      <c r="V1334" s="2" t="s">
        <v>9394</v>
      </c>
      <c r="W1334" s="2" t="s">
        <v>8309</v>
      </c>
      <c r="X1334" s="5" t="str">
        <f>HYPERLINK("https://my.pitchbook.com?p=73509-76P","View People Online")</f>
        <v>View People Online</v>
      </c>
    </row>
    <row r="1335">
      <c r="A1335" s="6" t="s">
        <v>9395</v>
      </c>
      <c r="B1335" s="6" t="s">
        <v>9396</v>
      </c>
      <c r="C1335" s="6" t="s">
        <v>9397</v>
      </c>
      <c r="D1335" s="6" t="s">
        <v>9398</v>
      </c>
      <c r="E1335" s="6" t="s">
        <v>8309</v>
      </c>
      <c r="F1335" s="6" t="s">
        <v>9193</v>
      </c>
      <c r="G1335" s="6" t="s">
        <v>9399</v>
      </c>
      <c r="H1335" s="7" t="s">
        <v>31</v>
      </c>
      <c r="I1335" s="7">
        <v>1.0</v>
      </c>
      <c r="J1335" s="7">
        <v>1.0</v>
      </c>
      <c r="K1335" s="7" t="s">
        <v>31</v>
      </c>
      <c r="L1335" s="8" t="s">
        <v>8311</v>
      </c>
      <c r="M1335" s="6" t="s">
        <v>9400</v>
      </c>
      <c r="N1335" s="6" t="s">
        <v>243</v>
      </c>
      <c r="O1335" s="8" t="s">
        <v>244</v>
      </c>
      <c r="P1335" s="6" t="s">
        <v>8313</v>
      </c>
      <c r="Q1335" s="6" t="s">
        <v>8314</v>
      </c>
      <c r="R1335" s="6" t="s">
        <v>247</v>
      </c>
      <c r="S1335" s="8" t="s">
        <v>8315</v>
      </c>
      <c r="T1335" s="6" t="s">
        <v>249</v>
      </c>
      <c r="U1335" s="8" t="s">
        <v>31</v>
      </c>
      <c r="V1335" s="6" t="s">
        <v>9401</v>
      </c>
      <c r="W1335" s="6" t="s">
        <v>8309</v>
      </c>
      <c r="X1335" s="9" t="str">
        <f>HYPERLINK("https://my.pitchbook.com?p=354174-40P","View People Online")</f>
        <v>View People Online</v>
      </c>
    </row>
    <row r="1336">
      <c r="A1336" s="10" t="s">
        <v>9402</v>
      </c>
      <c r="B1336" s="10" t="s">
        <v>9403</v>
      </c>
      <c r="C1336" s="10" t="s">
        <v>9404</v>
      </c>
      <c r="D1336" s="10" t="s">
        <v>9405</v>
      </c>
      <c r="E1336" s="10" t="s">
        <v>8309</v>
      </c>
      <c r="F1336" s="10" t="s">
        <v>1283</v>
      </c>
      <c r="G1336" s="10" t="s">
        <v>9406</v>
      </c>
      <c r="H1336" s="11" t="s">
        <v>31</v>
      </c>
      <c r="I1336" s="11">
        <v>3.0</v>
      </c>
      <c r="J1336" s="11">
        <v>1.0</v>
      </c>
      <c r="K1336" s="11">
        <v>2.0</v>
      </c>
      <c r="L1336" s="12" t="s">
        <v>8311</v>
      </c>
      <c r="M1336" s="10" t="s">
        <v>9407</v>
      </c>
      <c r="N1336" s="10" t="s">
        <v>243</v>
      </c>
      <c r="O1336" s="12" t="s">
        <v>244</v>
      </c>
      <c r="P1336" s="10" t="s">
        <v>8313</v>
      </c>
      <c r="Q1336" s="10" t="s">
        <v>8314</v>
      </c>
      <c r="R1336" s="10" t="s">
        <v>247</v>
      </c>
      <c r="S1336" s="12" t="s">
        <v>8315</v>
      </c>
      <c r="T1336" s="10" t="s">
        <v>249</v>
      </c>
      <c r="U1336" s="12" t="s">
        <v>31</v>
      </c>
      <c r="V1336" s="10" t="s">
        <v>9408</v>
      </c>
      <c r="W1336" s="10" t="s">
        <v>8309</v>
      </c>
      <c r="X1336" s="13" t="str">
        <f>HYPERLINK("https://my.pitchbook.com?p=187421-32P","View People Online")</f>
        <v>View People Online</v>
      </c>
    </row>
    <row r="1337">
      <c r="A1337" s="6" t="s">
        <v>9409</v>
      </c>
      <c r="B1337" s="6" t="s">
        <v>9410</v>
      </c>
      <c r="C1337" s="6" t="s">
        <v>4039</v>
      </c>
      <c r="D1337" s="6" t="s">
        <v>9411</v>
      </c>
      <c r="E1337" s="6" t="s">
        <v>8309</v>
      </c>
      <c r="F1337" s="6" t="s">
        <v>825</v>
      </c>
      <c r="G1337" s="6" t="s">
        <v>9412</v>
      </c>
      <c r="H1337" s="7" t="s">
        <v>31</v>
      </c>
      <c r="I1337" s="7">
        <v>4.0</v>
      </c>
      <c r="J1337" s="7">
        <v>1.0</v>
      </c>
      <c r="K1337" s="7">
        <v>3.0</v>
      </c>
      <c r="L1337" s="8" t="s">
        <v>8311</v>
      </c>
      <c r="M1337" s="6" t="s">
        <v>9413</v>
      </c>
      <c r="N1337" s="6" t="s">
        <v>243</v>
      </c>
      <c r="O1337" s="8" t="s">
        <v>244</v>
      </c>
      <c r="P1337" s="6" t="s">
        <v>8313</v>
      </c>
      <c r="Q1337" s="6" t="s">
        <v>8314</v>
      </c>
      <c r="R1337" s="6" t="s">
        <v>247</v>
      </c>
      <c r="S1337" s="8" t="s">
        <v>8315</v>
      </c>
      <c r="T1337" s="6" t="s">
        <v>249</v>
      </c>
      <c r="U1337" s="8" t="s">
        <v>31</v>
      </c>
      <c r="V1337" s="6" t="s">
        <v>9414</v>
      </c>
      <c r="W1337" s="6" t="s">
        <v>8309</v>
      </c>
      <c r="X1337" s="9" t="str">
        <f>HYPERLINK("https://my.pitchbook.com?p=106183-63P","View People Online")</f>
        <v>View People Online</v>
      </c>
    </row>
    <row r="1338">
      <c r="A1338" s="2" t="s">
        <v>9415</v>
      </c>
      <c r="B1338" s="2" t="s">
        <v>9416</v>
      </c>
      <c r="C1338" s="2" t="s">
        <v>9417</v>
      </c>
      <c r="D1338" s="2" t="s">
        <v>3114</v>
      </c>
      <c r="E1338" s="2" t="s">
        <v>8309</v>
      </c>
      <c r="F1338" s="2" t="s">
        <v>1283</v>
      </c>
      <c r="G1338" s="2" t="s">
        <v>9418</v>
      </c>
      <c r="H1338" s="3" t="s">
        <v>31</v>
      </c>
      <c r="I1338" s="3">
        <v>1.0</v>
      </c>
      <c r="J1338" s="3">
        <v>1.0</v>
      </c>
      <c r="K1338" s="3" t="s">
        <v>31</v>
      </c>
      <c r="L1338" s="4" t="s">
        <v>8311</v>
      </c>
      <c r="M1338" s="2" t="s">
        <v>9419</v>
      </c>
      <c r="N1338" s="2" t="s">
        <v>243</v>
      </c>
      <c r="O1338" s="4" t="s">
        <v>244</v>
      </c>
      <c r="P1338" s="2" t="s">
        <v>8313</v>
      </c>
      <c r="Q1338" s="2" t="s">
        <v>8314</v>
      </c>
      <c r="R1338" s="2" t="s">
        <v>247</v>
      </c>
      <c r="S1338" s="4" t="s">
        <v>8315</v>
      </c>
      <c r="T1338" s="2" t="s">
        <v>249</v>
      </c>
      <c r="U1338" s="4" t="s">
        <v>31</v>
      </c>
      <c r="V1338" s="2" t="s">
        <v>9420</v>
      </c>
      <c r="W1338" s="2" t="s">
        <v>8309</v>
      </c>
      <c r="X1338" s="5" t="str">
        <f>HYPERLINK("https://my.pitchbook.com?p=377474-59P","View People Online")</f>
        <v>View People Online</v>
      </c>
    </row>
    <row r="1339">
      <c r="A1339" s="6" t="s">
        <v>9421</v>
      </c>
      <c r="B1339" s="6" t="s">
        <v>9422</v>
      </c>
      <c r="C1339" s="6" t="s">
        <v>7584</v>
      </c>
      <c r="D1339" s="6" t="s">
        <v>1645</v>
      </c>
      <c r="E1339" s="6" t="s">
        <v>8309</v>
      </c>
      <c r="F1339" s="6" t="s">
        <v>825</v>
      </c>
      <c r="G1339" s="6" t="s">
        <v>9423</v>
      </c>
      <c r="H1339" s="7" t="s">
        <v>31</v>
      </c>
      <c r="I1339" s="7">
        <v>1.0</v>
      </c>
      <c r="J1339" s="7">
        <v>1.0</v>
      </c>
      <c r="K1339" s="7" t="s">
        <v>31</v>
      </c>
      <c r="L1339" s="8" t="s">
        <v>8311</v>
      </c>
      <c r="M1339" s="6" t="s">
        <v>9424</v>
      </c>
      <c r="N1339" s="6" t="s">
        <v>243</v>
      </c>
      <c r="O1339" s="8" t="s">
        <v>244</v>
      </c>
      <c r="P1339" s="6" t="s">
        <v>8313</v>
      </c>
      <c r="Q1339" s="6" t="s">
        <v>8314</v>
      </c>
      <c r="R1339" s="6" t="s">
        <v>247</v>
      </c>
      <c r="S1339" s="8" t="s">
        <v>8315</v>
      </c>
      <c r="T1339" s="6" t="s">
        <v>249</v>
      </c>
      <c r="U1339" s="8" t="s">
        <v>31</v>
      </c>
      <c r="V1339" s="6" t="s">
        <v>9425</v>
      </c>
      <c r="W1339" s="6" t="s">
        <v>8309</v>
      </c>
      <c r="X1339" s="9" t="str">
        <f>HYPERLINK("https://my.pitchbook.com?p=330632-65P","View People Online")</f>
        <v>View People Online</v>
      </c>
    </row>
    <row r="1340">
      <c r="A1340" s="10" t="s">
        <v>9426</v>
      </c>
      <c r="B1340" s="10" t="s">
        <v>9427</v>
      </c>
      <c r="C1340" s="10" t="s">
        <v>934</v>
      </c>
      <c r="D1340" s="10" t="s">
        <v>9428</v>
      </c>
      <c r="E1340" s="10" t="s">
        <v>8309</v>
      </c>
      <c r="F1340" s="10" t="s">
        <v>371</v>
      </c>
      <c r="G1340" s="10" t="s">
        <v>9429</v>
      </c>
      <c r="H1340" s="11" t="s">
        <v>31</v>
      </c>
      <c r="I1340" s="11">
        <v>1.0</v>
      </c>
      <c r="J1340" s="11">
        <v>1.0</v>
      </c>
      <c r="K1340" s="11" t="s">
        <v>31</v>
      </c>
      <c r="L1340" s="12" t="s">
        <v>8311</v>
      </c>
      <c r="M1340" s="10" t="s">
        <v>9430</v>
      </c>
      <c r="N1340" s="10" t="s">
        <v>243</v>
      </c>
      <c r="O1340" s="12" t="s">
        <v>244</v>
      </c>
      <c r="P1340" s="10" t="s">
        <v>8313</v>
      </c>
      <c r="Q1340" s="10" t="s">
        <v>8314</v>
      </c>
      <c r="R1340" s="10" t="s">
        <v>247</v>
      </c>
      <c r="S1340" s="12" t="s">
        <v>8315</v>
      </c>
      <c r="T1340" s="10" t="s">
        <v>249</v>
      </c>
      <c r="U1340" s="12" t="s">
        <v>31</v>
      </c>
      <c r="V1340" s="10" t="s">
        <v>9431</v>
      </c>
      <c r="W1340" s="10" t="s">
        <v>8309</v>
      </c>
      <c r="X1340" s="13" t="str">
        <f>HYPERLINK("https://my.pitchbook.com?p=344688-13P","View People Online")</f>
        <v>View People Online</v>
      </c>
    </row>
    <row r="1341">
      <c r="A1341" s="6" t="s">
        <v>9432</v>
      </c>
      <c r="B1341" s="6" t="s">
        <v>9433</v>
      </c>
      <c r="C1341" s="6" t="s">
        <v>934</v>
      </c>
      <c r="D1341" s="6" t="s">
        <v>9434</v>
      </c>
      <c r="E1341" s="6" t="s">
        <v>8309</v>
      </c>
      <c r="F1341" s="6" t="s">
        <v>548</v>
      </c>
      <c r="G1341" s="6" t="s">
        <v>9435</v>
      </c>
      <c r="H1341" s="7" t="s">
        <v>31</v>
      </c>
      <c r="I1341" s="7">
        <v>1.0</v>
      </c>
      <c r="J1341" s="7">
        <v>1.0</v>
      </c>
      <c r="K1341" s="7" t="s">
        <v>31</v>
      </c>
      <c r="L1341" s="8" t="s">
        <v>8311</v>
      </c>
      <c r="M1341" s="6" t="s">
        <v>9436</v>
      </c>
      <c r="N1341" s="6" t="s">
        <v>243</v>
      </c>
      <c r="O1341" s="8" t="s">
        <v>244</v>
      </c>
      <c r="P1341" s="6" t="s">
        <v>8313</v>
      </c>
      <c r="Q1341" s="6" t="s">
        <v>8314</v>
      </c>
      <c r="R1341" s="6" t="s">
        <v>247</v>
      </c>
      <c r="S1341" s="8" t="s">
        <v>8315</v>
      </c>
      <c r="T1341" s="6" t="s">
        <v>249</v>
      </c>
      <c r="U1341" s="8" t="s">
        <v>31</v>
      </c>
      <c r="V1341" s="6" t="s">
        <v>9437</v>
      </c>
      <c r="W1341" s="6" t="s">
        <v>8309</v>
      </c>
      <c r="X1341" s="9" t="str">
        <f>HYPERLINK("https://my.pitchbook.com?p=187243-93P","View People Online")</f>
        <v>View People Online</v>
      </c>
    </row>
    <row r="1342">
      <c r="A1342" s="10" t="s">
        <v>9438</v>
      </c>
      <c r="B1342" s="10" t="s">
        <v>9439</v>
      </c>
      <c r="C1342" s="10" t="s">
        <v>934</v>
      </c>
      <c r="D1342" s="10" t="s">
        <v>119</v>
      </c>
      <c r="E1342" s="10" t="s">
        <v>8309</v>
      </c>
      <c r="F1342" s="10" t="s">
        <v>825</v>
      </c>
      <c r="G1342" s="10" t="s">
        <v>9440</v>
      </c>
      <c r="H1342" s="11" t="s">
        <v>31</v>
      </c>
      <c r="I1342" s="11">
        <v>1.0</v>
      </c>
      <c r="J1342" s="11">
        <v>1.0</v>
      </c>
      <c r="K1342" s="11" t="s">
        <v>31</v>
      </c>
      <c r="L1342" s="12" t="s">
        <v>8311</v>
      </c>
      <c r="M1342" s="10" t="s">
        <v>9441</v>
      </c>
      <c r="N1342" s="10" t="s">
        <v>243</v>
      </c>
      <c r="O1342" s="12" t="s">
        <v>244</v>
      </c>
      <c r="P1342" s="10" t="s">
        <v>8313</v>
      </c>
      <c r="Q1342" s="10" t="s">
        <v>8314</v>
      </c>
      <c r="R1342" s="10" t="s">
        <v>247</v>
      </c>
      <c r="S1342" s="12" t="s">
        <v>8315</v>
      </c>
      <c r="T1342" s="10" t="s">
        <v>249</v>
      </c>
      <c r="U1342" s="12" t="s">
        <v>31</v>
      </c>
      <c r="V1342" s="10" t="s">
        <v>9442</v>
      </c>
      <c r="W1342" s="10" t="s">
        <v>8309</v>
      </c>
      <c r="X1342" s="13" t="str">
        <f>HYPERLINK("https://my.pitchbook.com?p=430296-40P","View People Online")</f>
        <v>View People Online</v>
      </c>
    </row>
    <row r="1343">
      <c r="A1343" s="14" t="s">
        <v>9443</v>
      </c>
      <c r="B1343" s="14" t="s">
        <v>9444</v>
      </c>
      <c r="C1343" s="14" t="s">
        <v>9445</v>
      </c>
      <c r="D1343" s="14" t="s">
        <v>9446</v>
      </c>
      <c r="E1343" s="14" t="s">
        <v>8309</v>
      </c>
      <c r="F1343" s="14" t="s">
        <v>548</v>
      </c>
      <c r="G1343" s="14" t="s">
        <v>9447</v>
      </c>
      <c r="H1343" s="15" t="s">
        <v>31</v>
      </c>
      <c r="I1343" s="15">
        <v>1.0</v>
      </c>
      <c r="J1343" s="15">
        <v>1.0</v>
      </c>
      <c r="K1343" s="15" t="s">
        <v>31</v>
      </c>
      <c r="L1343" s="16" t="s">
        <v>8311</v>
      </c>
      <c r="M1343" s="14" t="s">
        <v>9448</v>
      </c>
      <c r="N1343" s="14" t="s">
        <v>243</v>
      </c>
      <c r="O1343" s="16" t="s">
        <v>244</v>
      </c>
      <c r="P1343" s="14" t="s">
        <v>8313</v>
      </c>
      <c r="Q1343" s="14" t="s">
        <v>8314</v>
      </c>
      <c r="R1343" s="14" t="s">
        <v>247</v>
      </c>
      <c r="S1343" s="16" t="s">
        <v>8315</v>
      </c>
      <c r="T1343" s="14" t="s">
        <v>249</v>
      </c>
      <c r="U1343" s="16" t="s">
        <v>31</v>
      </c>
      <c r="V1343" s="14" t="s">
        <v>548</v>
      </c>
      <c r="W1343" s="14" t="s">
        <v>8309</v>
      </c>
      <c r="X1343" s="17" t="str">
        <f>HYPERLINK("https://my.pitchbook.com?p=114795-01P","View People Online")</f>
        <v>View People Online</v>
      </c>
    </row>
    <row r="1344">
      <c r="A1344" s="10" t="s">
        <v>9449</v>
      </c>
      <c r="B1344" s="10" t="s">
        <v>9450</v>
      </c>
      <c r="C1344" s="10" t="s">
        <v>4590</v>
      </c>
      <c r="D1344" s="10" t="s">
        <v>9451</v>
      </c>
      <c r="E1344" s="10" t="s">
        <v>8309</v>
      </c>
      <c r="F1344" s="10" t="s">
        <v>4997</v>
      </c>
      <c r="G1344" s="10" t="s">
        <v>9452</v>
      </c>
      <c r="H1344" s="11" t="s">
        <v>31</v>
      </c>
      <c r="I1344" s="11">
        <v>1.0</v>
      </c>
      <c r="J1344" s="11">
        <v>1.0</v>
      </c>
      <c r="K1344" s="11" t="s">
        <v>31</v>
      </c>
      <c r="L1344" s="12" t="s">
        <v>8311</v>
      </c>
      <c r="M1344" s="10" t="s">
        <v>9453</v>
      </c>
      <c r="N1344" s="10" t="s">
        <v>243</v>
      </c>
      <c r="O1344" s="12" t="s">
        <v>244</v>
      </c>
      <c r="P1344" s="10" t="s">
        <v>8313</v>
      </c>
      <c r="Q1344" s="10" t="s">
        <v>8314</v>
      </c>
      <c r="R1344" s="10" t="s">
        <v>247</v>
      </c>
      <c r="S1344" s="12" t="s">
        <v>8315</v>
      </c>
      <c r="T1344" s="10" t="s">
        <v>249</v>
      </c>
      <c r="U1344" s="12" t="s">
        <v>31</v>
      </c>
      <c r="V1344" s="10" t="s">
        <v>9454</v>
      </c>
      <c r="W1344" s="10" t="s">
        <v>8309</v>
      </c>
      <c r="X1344" s="13" t="str">
        <f>HYPERLINK("https://my.pitchbook.com?p=141060-52P","View People Online")</f>
        <v>View People Online</v>
      </c>
    </row>
    <row r="1345">
      <c r="A1345" s="14" t="s">
        <v>9455</v>
      </c>
      <c r="B1345" s="14" t="s">
        <v>9456</v>
      </c>
      <c r="C1345" s="14" t="s">
        <v>3274</v>
      </c>
      <c r="D1345" s="14" t="s">
        <v>9457</v>
      </c>
      <c r="E1345" s="14" t="s">
        <v>8309</v>
      </c>
      <c r="F1345" s="14" t="s">
        <v>548</v>
      </c>
      <c r="G1345" s="14" t="s">
        <v>9458</v>
      </c>
      <c r="H1345" s="15" t="s">
        <v>31</v>
      </c>
      <c r="I1345" s="15">
        <v>2.0</v>
      </c>
      <c r="J1345" s="15">
        <v>1.0</v>
      </c>
      <c r="K1345" s="15">
        <v>1.0</v>
      </c>
      <c r="L1345" s="16" t="s">
        <v>8311</v>
      </c>
      <c r="M1345" s="14" t="s">
        <v>9459</v>
      </c>
      <c r="N1345" s="14" t="s">
        <v>243</v>
      </c>
      <c r="O1345" s="16" t="s">
        <v>244</v>
      </c>
      <c r="P1345" s="14" t="s">
        <v>8313</v>
      </c>
      <c r="Q1345" s="14" t="s">
        <v>8314</v>
      </c>
      <c r="R1345" s="14" t="s">
        <v>247</v>
      </c>
      <c r="S1345" s="16" t="s">
        <v>8315</v>
      </c>
      <c r="T1345" s="14" t="s">
        <v>249</v>
      </c>
      <c r="U1345" s="16" t="s">
        <v>31</v>
      </c>
      <c r="V1345" s="14" t="s">
        <v>9460</v>
      </c>
      <c r="W1345" s="14" t="s">
        <v>8309</v>
      </c>
      <c r="X1345" s="17" t="str">
        <f>HYPERLINK("https://my.pitchbook.com?p=392539-78P","View People Online")</f>
        <v>View People Online</v>
      </c>
    </row>
    <row r="1346">
      <c r="A1346" s="10" t="s">
        <v>9461</v>
      </c>
      <c r="B1346" s="10" t="s">
        <v>9462</v>
      </c>
      <c r="C1346" s="10" t="s">
        <v>9463</v>
      </c>
      <c r="D1346" s="10" t="s">
        <v>9464</v>
      </c>
      <c r="E1346" s="10" t="s">
        <v>8309</v>
      </c>
      <c r="F1346" s="10" t="s">
        <v>9193</v>
      </c>
      <c r="G1346" s="10" t="s">
        <v>9465</v>
      </c>
      <c r="H1346" s="11" t="s">
        <v>31</v>
      </c>
      <c r="I1346" s="11">
        <v>1.0</v>
      </c>
      <c r="J1346" s="11">
        <v>1.0</v>
      </c>
      <c r="K1346" s="11" t="s">
        <v>31</v>
      </c>
      <c r="L1346" s="12" t="s">
        <v>8311</v>
      </c>
      <c r="M1346" s="10" t="s">
        <v>9466</v>
      </c>
      <c r="N1346" s="10" t="s">
        <v>243</v>
      </c>
      <c r="O1346" s="12" t="s">
        <v>244</v>
      </c>
      <c r="P1346" s="10" t="s">
        <v>8313</v>
      </c>
      <c r="Q1346" s="10" t="s">
        <v>8314</v>
      </c>
      <c r="R1346" s="10" t="s">
        <v>247</v>
      </c>
      <c r="S1346" s="12" t="s">
        <v>8315</v>
      </c>
      <c r="T1346" s="10" t="s">
        <v>249</v>
      </c>
      <c r="U1346" s="12" t="s">
        <v>31</v>
      </c>
      <c r="V1346" s="10" t="s">
        <v>9193</v>
      </c>
      <c r="W1346" s="10" t="s">
        <v>8309</v>
      </c>
      <c r="X1346" s="13" t="str">
        <f>HYPERLINK("https://my.pitchbook.com?p=368780-14P","View People Online")</f>
        <v>View People Online</v>
      </c>
    </row>
    <row r="1347">
      <c r="A1347" s="6" t="s">
        <v>9467</v>
      </c>
      <c r="B1347" s="6" t="s">
        <v>9468</v>
      </c>
      <c r="C1347" s="6" t="s">
        <v>9469</v>
      </c>
      <c r="D1347" s="6" t="s">
        <v>9470</v>
      </c>
      <c r="E1347" s="6" t="s">
        <v>8309</v>
      </c>
      <c r="F1347" s="6" t="s">
        <v>548</v>
      </c>
      <c r="G1347" s="6" t="s">
        <v>9471</v>
      </c>
      <c r="H1347" s="7" t="s">
        <v>31</v>
      </c>
      <c r="I1347" s="7">
        <v>3.0</v>
      </c>
      <c r="J1347" s="7">
        <v>1.0</v>
      </c>
      <c r="K1347" s="7">
        <v>2.0</v>
      </c>
      <c r="L1347" s="8" t="s">
        <v>8311</v>
      </c>
      <c r="M1347" s="6" t="s">
        <v>9472</v>
      </c>
      <c r="N1347" s="6" t="s">
        <v>243</v>
      </c>
      <c r="O1347" s="8" t="s">
        <v>244</v>
      </c>
      <c r="P1347" s="6" t="s">
        <v>8313</v>
      </c>
      <c r="Q1347" s="6" t="s">
        <v>8314</v>
      </c>
      <c r="R1347" s="6" t="s">
        <v>247</v>
      </c>
      <c r="S1347" s="8" t="s">
        <v>8315</v>
      </c>
      <c r="T1347" s="6" t="s">
        <v>249</v>
      </c>
      <c r="U1347" s="8" t="s">
        <v>31</v>
      </c>
      <c r="V1347" s="6" t="s">
        <v>9473</v>
      </c>
      <c r="W1347" s="6" t="s">
        <v>8309</v>
      </c>
      <c r="X1347" s="9" t="str">
        <f>HYPERLINK("https://my.pitchbook.com?p=55279-72P","View People Online")</f>
        <v>View People Online</v>
      </c>
    </row>
    <row r="1348">
      <c r="A1348" s="10" t="s">
        <v>9474</v>
      </c>
      <c r="B1348" s="10" t="s">
        <v>9475</v>
      </c>
      <c r="C1348" s="10" t="s">
        <v>9476</v>
      </c>
      <c r="D1348" s="10" t="s">
        <v>9477</v>
      </c>
      <c r="E1348" s="10" t="s">
        <v>8309</v>
      </c>
      <c r="F1348" s="10" t="s">
        <v>548</v>
      </c>
      <c r="G1348" s="10" t="s">
        <v>9478</v>
      </c>
      <c r="H1348" s="11" t="s">
        <v>31</v>
      </c>
      <c r="I1348" s="11">
        <v>1.0</v>
      </c>
      <c r="J1348" s="11">
        <v>1.0</v>
      </c>
      <c r="K1348" s="11" t="s">
        <v>31</v>
      </c>
      <c r="L1348" s="12" t="s">
        <v>8311</v>
      </c>
      <c r="M1348" s="10" t="s">
        <v>9479</v>
      </c>
      <c r="N1348" s="10" t="s">
        <v>243</v>
      </c>
      <c r="O1348" s="12" t="s">
        <v>244</v>
      </c>
      <c r="P1348" s="10" t="s">
        <v>8313</v>
      </c>
      <c r="Q1348" s="10" t="s">
        <v>8314</v>
      </c>
      <c r="R1348" s="10" t="s">
        <v>247</v>
      </c>
      <c r="S1348" s="12" t="s">
        <v>8315</v>
      </c>
      <c r="T1348" s="10" t="s">
        <v>249</v>
      </c>
      <c r="U1348" s="12" t="s">
        <v>31</v>
      </c>
      <c r="V1348" s="10" t="s">
        <v>9480</v>
      </c>
      <c r="W1348" s="10" t="s">
        <v>8309</v>
      </c>
      <c r="X1348" s="13" t="str">
        <f>HYPERLINK("https://my.pitchbook.com?p=415476-55P","View People Online")</f>
        <v>View People Online</v>
      </c>
    </row>
    <row r="1349">
      <c r="A1349" s="6" t="s">
        <v>9481</v>
      </c>
      <c r="B1349" s="6" t="s">
        <v>9482</v>
      </c>
      <c r="C1349" s="6" t="s">
        <v>9483</v>
      </c>
      <c r="D1349" s="6" t="s">
        <v>9484</v>
      </c>
      <c r="E1349" s="6" t="s">
        <v>8309</v>
      </c>
      <c r="F1349" s="6" t="s">
        <v>667</v>
      </c>
      <c r="G1349" s="6" t="s">
        <v>9485</v>
      </c>
      <c r="H1349" s="7" t="s">
        <v>31</v>
      </c>
      <c r="I1349" s="7">
        <v>2.0</v>
      </c>
      <c r="J1349" s="7">
        <v>1.0</v>
      </c>
      <c r="K1349" s="7">
        <v>1.0</v>
      </c>
      <c r="L1349" s="8" t="s">
        <v>8311</v>
      </c>
      <c r="M1349" s="6" t="s">
        <v>9486</v>
      </c>
      <c r="N1349" s="6" t="s">
        <v>243</v>
      </c>
      <c r="O1349" s="8" t="s">
        <v>244</v>
      </c>
      <c r="P1349" s="6" t="s">
        <v>8313</v>
      </c>
      <c r="Q1349" s="6" t="s">
        <v>8314</v>
      </c>
      <c r="R1349" s="6" t="s">
        <v>247</v>
      </c>
      <c r="S1349" s="8" t="s">
        <v>8315</v>
      </c>
      <c r="T1349" s="6" t="s">
        <v>249</v>
      </c>
      <c r="U1349" s="8" t="s">
        <v>31</v>
      </c>
      <c r="V1349" s="6" t="s">
        <v>9487</v>
      </c>
      <c r="W1349" s="6" t="s">
        <v>8309</v>
      </c>
      <c r="X1349" s="9" t="str">
        <f>HYPERLINK("https://my.pitchbook.com?p=354168-64P","View People Online")</f>
        <v>View People Online</v>
      </c>
    </row>
    <row r="1350">
      <c r="A1350" s="2" t="s">
        <v>9488</v>
      </c>
      <c r="B1350" s="2" t="s">
        <v>9489</v>
      </c>
      <c r="C1350" s="2" t="s">
        <v>9490</v>
      </c>
      <c r="D1350" s="2" t="s">
        <v>9491</v>
      </c>
      <c r="E1350" s="2" t="s">
        <v>8309</v>
      </c>
      <c r="F1350" s="2" t="s">
        <v>9492</v>
      </c>
      <c r="G1350" s="2" t="s">
        <v>9493</v>
      </c>
      <c r="H1350" s="3" t="s">
        <v>31</v>
      </c>
      <c r="I1350" s="3">
        <v>1.0</v>
      </c>
      <c r="J1350" s="3">
        <v>1.0</v>
      </c>
      <c r="K1350" s="3" t="s">
        <v>31</v>
      </c>
      <c r="L1350" s="4" t="s">
        <v>8311</v>
      </c>
      <c r="M1350" s="2" t="s">
        <v>9494</v>
      </c>
      <c r="N1350" s="2" t="s">
        <v>243</v>
      </c>
      <c r="O1350" s="4" t="s">
        <v>244</v>
      </c>
      <c r="P1350" s="2" t="s">
        <v>8313</v>
      </c>
      <c r="Q1350" s="2" t="s">
        <v>8314</v>
      </c>
      <c r="R1350" s="2" t="s">
        <v>247</v>
      </c>
      <c r="S1350" s="4" t="s">
        <v>8315</v>
      </c>
      <c r="T1350" s="2" t="s">
        <v>249</v>
      </c>
      <c r="U1350" s="4" t="s">
        <v>31</v>
      </c>
      <c r="V1350" s="2" t="s">
        <v>9495</v>
      </c>
      <c r="W1350" s="2" t="s">
        <v>8309</v>
      </c>
      <c r="X1350" s="5" t="str">
        <f>HYPERLINK("https://my.pitchbook.com?p=261390-25P","View People Online")</f>
        <v>View People Online</v>
      </c>
    </row>
    <row r="1351">
      <c r="A1351" s="6" t="s">
        <v>9496</v>
      </c>
      <c r="B1351" s="6" t="s">
        <v>9497</v>
      </c>
      <c r="C1351" s="6" t="s">
        <v>3564</v>
      </c>
      <c r="D1351" s="6" t="s">
        <v>9498</v>
      </c>
      <c r="E1351" s="6" t="s">
        <v>8309</v>
      </c>
      <c r="F1351" s="6" t="s">
        <v>548</v>
      </c>
      <c r="G1351" s="6" t="s">
        <v>9499</v>
      </c>
      <c r="H1351" s="7" t="s">
        <v>31</v>
      </c>
      <c r="I1351" s="7">
        <v>1.0</v>
      </c>
      <c r="J1351" s="7">
        <v>1.0</v>
      </c>
      <c r="K1351" s="7" t="s">
        <v>31</v>
      </c>
      <c r="L1351" s="8" t="s">
        <v>9500</v>
      </c>
      <c r="M1351" s="6" t="s">
        <v>9501</v>
      </c>
      <c r="N1351" s="6" t="s">
        <v>243</v>
      </c>
      <c r="O1351" s="8" t="s">
        <v>244</v>
      </c>
      <c r="P1351" s="6" t="s">
        <v>8313</v>
      </c>
      <c r="Q1351" s="6" t="s">
        <v>8314</v>
      </c>
      <c r="R1351" s="6" t="s">
        <v>247</v>
      </c>
      <c r="S1351" s="8" t="s">
        <v>8315</v>
      </c>
      <c r="T1351" s="6" t="s">
        <v>249</v>
      </c>
      <c r="U1351" s="8" t="s">
        <v>31</v>
      </c>
      <c r="V1351" s="6" t="s">
        <v>548</v>
      </c>
      <c r="W1351" s="6" t="s">
        <v>8309</v>
      </c>
      <c r="X1351" s="9" t="str">
        <f>HYPERLINK("https://my.pitchbook.com?p=317088-37P","View People Online")</f>
        <v>View People Online</v>
      </c>
    </row>
    <row r="1352">
      <c r="A1352" s="10" t="s">
        <v>9502</v>
      </c>
      <c r="B1352" s="10" t="s">
        <v>9503</v>
      </c>
      <c r="C1352" s="10" t="s">
        <v>9504</v>
      </c>
      <c r="D1352" s="10" t="s">
        <v>9505</v>
      </c>
      <c r="E1352" s="10" t="s">
        <v>8309</v>
      </c>
      <c r="F1352" s="10" t="s">
        <v>2652</v>
      </c>
      <c r="G1352" s="10" t="s">
        <v>9506</v>
      </c>
      <c r="H1352" s="11" t="s">
        <v>31</v>
      </c>
      <c r="I1352" s="11">
        <v>1.0</v>
      </c>
      <c r="J1352" s="11">
        <v>1.0</v>
      </c>
      <c r="K1352" s="11" t="s">
        <v>31</v>
      </c>
      <c r="L1352" s="12" t="s">
        <v>8311</v>
      </c>
      <c r="M1352" s="10" t="s">
        <v>9507</v>
      </c>
      <c r="N1352" s="10" t="s">
        <v>243</v>
      </c>
      <c r="O1352" s="12" t="s">
        <v>244</v>
      </c>
      <c r="P1352" s="10" t="s">
        <v>8313</v>
      </c>
      <c r="Q1352" s="10" t="s">
        <v>8314</v>
      </c>
      <c r="R1352" s="10" t="s">
        <v>247</v>
      </c>
      <c r="S1352" s="12" t="s">
        <v>8315</v>
      </c>
      <c r="T1352" s="10" t="s">
        <v>249</v>
      </c>
      <c r="U1352" s="12" t="s">
        <v>31</v>
      </c>
      <c r="V1352" s="10" t="s">
        <v>9508</v>
      </c>
      <c r="W1352" s="10" t="s">
        <v>8309</v>
      </c>
      <c r="X1352" s="13" t="str">
        <f>HYPERLINK("https://my.pitchbook.com?p=114743-08P","View People Online")</f>
        <v>View People Online</v>
      </c>
    </row>
    <row r="1353">
      <c r="A1353" s="6" t="s">
        <v>9509</v>
      </c>
      <c r="B1353" s="6" t="s">
        <v>9510</v>
      </c>
      <c r="C1353" s="6" t="s">
        <v>9511</v>
      </c>
      <c r="D1353" s="6" t="s">
        <v>2801</v>
      </c>
      <c r="E1353" s="6" t="s">
        <v>8309</v>
      </c>
      <c r="F1353" s="6" t="s">
        <v>825</v>
      </c>
      <c r="G1353" s="6" t="s">
        <v>9512</v>
      </c>
      <c r="H1353" s="7" t="s">
        <v>31</v>
      </c>
      <c r="I1353" s="7">
        <v>1.0</v>
      </c>
      <c r="J1353" s="7">
        <v>1.0</v>
      </c>
      <c r="K1353" s="7" t="s">
        <v>31</v>
      </c>
      <c r="L1353" s="8" t="s">
        <v>8311</v>
      </c>
      <c r="M1353" s="6" t="s">
        <v>9513</v>
      </c>
      <c r="N1353" s="6" t="s">
        <v>243</v>
      </c>
      <c r="O1353" s="8" t="s">
        <v>244</v>
      </c>
      <c r="P1353" s="6" t="s">
        <v>8313</v>
      </c>
      <c r="Q1353" s="6" t="s">
        <v>8314</v>
      </c>
      <c r="R1353" s="6" t="s">
        <v>247</v>
      </c>
      <c r="S1353" s="8" t="s">
        <v>8315</v>
      </c>
      <c r="T1353" s="6" t="s">
        <v>249</v>
      </c>
      <c r="U1353" s="8" t="s">
        <v>31</v>
      </c>
      <c r="V1353" s="6" t="s">
        <v>9514</v>
      </c>
      <c r="W1353" s="6" t="s">
        <v>8309</v>
      </c>
      <c r="X1353" s="9" t="str">
        <f>HYPERLINK("https://my.pitchbook.com?p=357291-19P","View People Online")</f>
        <v>View People Online</v>
      </c>
    </row>
    <row r="1354">
      <c r="A1354" s="2" t="s">
        <v>9515</v>
      </c>
      <c r="B1354" s="2" t="s">
        <v>9516</v>
      </c>
      <c r="C1354" s="2" t="s">
        <v>9517</v>
      </c>
      <c r="D1354" s="2" t="s">
        <v>9518</v>
      </c>
      <c r="E1354" s="2" t="s">
        <v>8309</v>
      </c>
      <c r="F1354" s="2" t="s">
        <v>270</v>
      </c>
      <c r="G1354" s="2" t="s">
        <v>9519</v>
      </c>
      <c r="H1354" s="3" t="s">
        <v>31</v>
      </c>
      <c r="I1354" s="3">
        <v>1.0</v>
      </c>
      <c r="J1354" s="3">
        <v>1.0</v>
      </c>
      <c r="K1354" s="3" t="s">
        <v>31</v>
      </c>
      <c r="L1354" s="4" t="s">
        <v>8311</v>
      </c>
      <c r="M1354" s="2" t="s">
        <v>9520</v>
      </c>
      <c r="N1354" s="2" t="s">
        <v>243</v>
      </c>
      <c r="O1354" s="4" t="s">
        <v>244</v>
      </c>
      <c r="P1354" s="2" t="s">
        <v>8313</v>
      </c>
      <c r="Q1354" s="2" t="s">
        <v>8314</v>
      </c>
      <c r="R1354" s="2" t="s">
        <v>247</v>
      </c>
      <c r="S1354" s="4" t="s">
        <v>8315</v>
      </c>
      <c r="T1354" s="2" t="s">
        <v>249</v>
      </c>
      <c r="U1354" s="4" t="s">
        <v>31</v>
      </c>
      <c r="V1354" s="2" t="s">
        <v>9521</v>
      </c>
      <c r="W1354" s="2" t="s">
        <v>8309</v>
      </c>
      <c r="X1354" s="5" t="str">
        <f>HYPERLINK("https://my.pitchbook.com?p=368803-63P","View People Online")</f>
        <v>View People Online</v>
      </c>
    </row>
    <row r="1355">
      <c r="A1355" s="6" t="s">
        <v>9522</v>
      </c>
      <c r="B1355" s="6" t="s">
        <v>9523</v>
      </c>
      <c r="C1355" s="6" t="s">
        <v>9524</v>
      </c>
      <c r="D1355" s="6" t="s">
        <v>4098</v>
      </c>
      <c r="E1355" s="6" t="s">
        <v>8309</v>
      </c>
      <c r="F1355" s="6" t="s">
        <v>825</v>
      </c>
      <c r="G1355" s="6" t="s">
        <v>9525</v>
      </c>
      <c r="H1355" s="7" t="s">
        <v>31</v>
      </c>
      <c r="I1355" s="7">
        <v>2.0</v>
      </c>
      <c r="J1355" s="7">
        <v>1.0</v>
      </c>
      <c r="K1355" s="7">
        <v>1.0</v>
      </c>
      <c r="L1355" s="8" t="s">
        <v>8311</v>
      </c>
      <c r="M1355" s="6" t="s">
        <v>31</v>
      </c>
      <c r="N1355" s="6" t="s">
        <v>243</v>
      </c>
      <c r="O1355" s="8" t="s">
        <v>244</v>
      </c>
      <c r="P1355" s="6" t="s">
        <v>8313</v>
      </c>
      <c r="Q1355" s="6" t="s">
        <v>8314</v>
      </c>
      <c r="R1355" s="6" t="s">
        <v>247</v>
      </c>
      <c r="S1355" s="8" t="s">
        <v>8315</v>
      </c>
      <c r="T1355" s="6" t="s">
        <v>249</v>
      </c>
      <c r="U1355" s="8" t="s">
        <v>31</v>
      </c>
      <c r="V1355" s="6" t="s">
        <v>9526</v>
      </c>
      <c r="W1355" s="6" t="s">
        <v>8309</v>
      </c>
      <c r="X1355" s="9" t="str">
        <f>HYPERLINK("https://my.pitchbook.com?p=450352-99P","View People Online")</f>
        <v>View People Online</v>
      </c>
    </row>
    <row r="1356">
      <c r="A1356" s="10" t="s">
        <v>9527</v>
      </c>
      <c r="B1356" s="10" t="s">
        <v>9528</v>
      </c>
      <c r="C1356" s="10" t="s">
        <v>395</v>
      </c>
      <c r="D1356" s="10" t="s">
        <v>9529</v>
      </c>
      <c r="E1356" s="10" t="s">
        <v>8309</v>
      </c>
      <c r="F1356" s="10" t="s">
        <v>825</v>
      </c>
      <c r="G1356" s="10" t="s">
        <v>9530</v>
      </c>
      <c r="H1356" s="11" t="s">
        <v>31</v>
      </c>
      <c r="I1356" s="11">
        <v>1.0</v>
      </c>
      <c r="J1356" s="11">
        <v>1.0</v>
      </c>
      <c r="K1356" s="11" t="s">
        <v>31</v>
      </c>
      <c r="L1356" s="12" t="s">
        <v>8311</v>
      </c>
      <c r="M1356" s="10" t="s">
        <v>9531</v>
      </c>
      <c r="N1356" s="10" t="s">
        <v>243</v>
      </c>
      <c r="O1356" s="12" t="s">
        <v>244</v>
      </c>
      <c r="P1356" s="10" t="s">
        <v>8313</v>
      </c>
      <c r="Q1356" s="10" t="s">
        <v>8314</v>
      </c>
      <c r="R1356" s="10" t="s">
        <v>247</v>
      </c>
      <c r="S1356" s="12" t="s">
        <v>8315</v>
      </c>
      <c r="T1356" s="10" t="s">
        <v>249</v>
      </c>
      <c r="U1356" s="12" t="s">
        <v>31</v>
      </c>
      <c r="V1356" s="10" t="s">
        <v>9532</v>
      </c>
      <c r="W1356" s="10" t="s">
        <v>8309</v>
      </c>
      <c r="X1356" s="13" t="str">
        <f>HYPERLINK("https://my.pitchbook.com?p=453918-61P","View People Online")</f>
        <v>View People Online</v>
      </c>
    </row>
    <row r="1357">
      <c r="A1357" s="6" t="s">
        <v>9533</v>
      </c>
      <c r="B1357" s="6" t="s">
        <v>9534</v>
      </c>
      <c r="C1357" s="6" t="s">
        <v>972</v>
      </c>
      <c r="D1357" s="6" t="s">
        <v>55</v>
      </c>
      <c r="E1357" s="6" t="s">
        <v>8309</v>
      </c>
      <c r="F1357" s="6" t="s">
        <v>825</v>
      </c>
      <c r="G1357" s="6" t="s">
        <v>9535</v>
      </c>
      <c r="H1357" s="7" t="s">
        <v>31</v>
      </c>
      <c r="I1357" s="7">
        <v>1.0</v>
      </c>
      <c r="J1357" s="7">
        <v>1.0</v>
      </c>
      <c r="K1357" s="7" t="s">
        <v>31</v>
      </c>
      <c r="L1357" s="8" t="s">
        <v>8311</v>
      </c>
      <c r="M1357" s="6" t="s">
        <v>9536</v>
      </c>
      <c r="N1357" s="6" t="s">
        <v>243</v>
      </c>
      <c r="O1357" s="8" t="s">
        <v>244</v>
      </c>
      <c r="P1357" s="6" t="s">
        <v>8313</v>
      </c>
      <c r="Q1357" s="6" t="s">
        <v>8314</v>
      </c>
      <c r="R1357" s="6" t="s">
        <v>247</v>
      </c>
      <c r="S1357" s="8" t="s">
        <v>8315</v>
      </c>
      <c r="T1357" s="6" t="s">
        <v>249</v>
      </c>
      <c r="U1357" s="8" t="s">
        <v>31</v>
      </c>
      <c r="V1357" s="6" t="s">
        <v>9537</v>
      </c>
      <c r="W1357" s="6" t="s">
        <v>8309</v>
      </c>
      <c r="X1357" s="9" t="str">
        <f>HYPERLINK("https://my.pitchbook.com?p=413177-14P","View People Online")</f>
        <v>View People Online</v>
      </c>
    </row>
    <row r="1358">
      <c r="A1358" s="10" t="s">
        <v>9538</v>
      </c>
      <c r="B1358" s="10" t="s">
        <v>9539</v>
      </c>
      <c r="C1358" s="10" t="s">
        <v>536</v>
      </c>
      <c r="D1358" s="10" t="s">
        <v>9540</v>
      </c>
      <c r="E1358" s="10" t="s">
        <v>8309</v>
      </c>
      <c r="F1358" s="10" t="s">
        <v>1801</v>
      </c>
      <c r="G1358" s="10" t="s">
        <v>9541</v>
      </c>
      <c r="H1358" s="11" t="s">
        <v>31</v>
      </c>
      <c r="I1358" s="11">
        <v>2.0</v>
      </c>
      <c r="J1358" s="11">
        <v>1.0</v>
      </c>
      <c r="K1358" s="11">
        <v>1.0</v>
      </c>
      <c r="L1358" s="12" t="s">
        <v>8311</v>
      </c>
      <c r="M1358" s="10" t="s">
        <v>9542</v>
      </c>
      <c r="N1358" s="10" t="s">
        <v>243</v>
      </c>
      <c r="O1358" s="12" t="s">
        <v>244</v>
      </c>
      <c r="P1358" s="10" t="s">
        <v>8313</v>
      </c>
      <c r="Q1358" s="10" t="s">
        <v>8314</v>
      </c>
      <c r="R1358" s="10" t="s">
        <v>247</v>
      </c>
      <c r="S1358" s="12" t="s">
        <v>8315</v>
      </c>
      <c r="T1358" s="10" t="s">
        <v>249</v>
      </c>
      <c r="U1358" s="12" t="s">
        <v>31</v>
      </c>
      <c r="V1358" s="10" t="s">
        <v>9543</v>
      </c>
      <c r="W1358" s="10" t="s">
        <v>8309</v>
      </c>
      <c r="X1358" s="13" t="str">
        <f>HYPERLINK("https://my.pitchbook.com?p=229820-59P","View People Online")</f>
        <v>View People Online</v>
      </c>
    </row>
    <row r="1359">
      <c r="A1359" s="6" t="s">
        <v>9544</v>
      </c>
      <c r="B1359" s="6" t="s">
        <v>9545</v>
      </c>
      <c r="C1359" s="6" t="s">
        <v>9546</v>
      </c>
      <c r="D1359" s="6" t="s">
        <v>9547</v>
      </c>
      <c r="E1359" s="6" t="s">
        <v>8309</v>
      </c>
      <c r="F1359" s="6" t="s">
        <v>548</v>
      </c>
      <c r="G1359" s="6" t="s">
        <v>9548</v>
      </c>
      <c r="H1359" s="7" t="s">
        <v>31</v>
      </c>
      <c r="I1359" s="7">
        <v>2.0</v>
      </c>
      <c r="J1359" s="7">
        <v>1.0</v>
      </c>
      <c r="K1359" s="7">
        <v>1.0</v>
      </c>
      <c r="L1359" s="8" t="s">
        <v>8311</v>
      </c>
      <c r="M1359" s="6" t="s">
        <v>9549</v>
      </c>
      <c r="N1359" s="6" t="s">
        <v>243</v>
      </c>
      <c r="O1359" s="8" t="s">
        <v>244</v>
      </c>
      <c r="P1359" s="6" t="s">
        <v>8313</v>
      </c>
      <c r="Q1359" s="6" t="s">
        <v>8314</v>
      </c>
      <c r="R1359" s="6" t="s">
        <v>247</v>
      </c>
      <c r="S1359" s="8" t="s">
        <v>8315</v>
      </c>
      <c r="T1359" s="6" t="s">
        <v>249</v>
      </c>
      <c r="U1359" s="8" t="s">
        <v>31</v>
      </c>
      <c r="V1359" s="6" t="s">
        <v>9550</v>
      </c>
      <c r="W1359" s="6" t="s">
        <v>8309</v>
      </c>
      <c r="X1359" s="9" t="str">
        <f>HYPERLINK("https://my.pitchbook.com?p=384316-75P","View People Online")</f>
        <v>View People Online</v>
      </c>
    </row>
    <row r="1360">
      <c r="A1360" s="2" t="s">
        <v>9551</v>
      </c>
      <c r="B1360" s="2" t="s">
        <v>9552</v>
      </c>
      <c r="C1360" s="2" t="s">
        <v>4015</v>
      </c>
      <c r="D1360" s="2" t="s">
        <v>9553</v>
      </c>
      <c r="E1360" s="2" t="s">
        <v>8309</v>
      </c>
      <c r="F1360" s="2" t="s">
        <v>825</v>
      </c>
      <c r="G1360" s="2" t="s">
        <v>9554</v>
      </c>
      <c r="H1360" s="3">
        <v>3.0</v>
      </c>
      <c r="I1360" s="3">
        <v>12.0</v>
      </c>
      <c r="J1360" s="3">
        <v>1.0</v>
      </c>
      <c r="K1360" s="3">
        <v>6.0</v>
      </c>
      <c r="L1360" s="4" t="s">
        <v>8311</v>
      </c>
      <c r="M1360" s="2" t="s">
        <v>9555</v>
      </c>
      <c r="N1360" s="2" t="s">
        <v>243</v>
      </c>
      <c r="O1360" s="4" t="s">
        <v>244</v>
      </c>
      <c r="P1360" s="2" t="s">
        <v>8313</v>
      </c>
      <c r="Q1360" s="2" t="s">
        <v>8314</v>
      </c>
      <c r="R1360" s="2" t="s">
        <v>247</v>
      </c>
      <c r="S1360" s="4" t="s">
        <v>8315</v>
      </c>
      <c r="T1360" s="2" t="s">
        <v>249</v>
      </c>
      <c r="U1360" s="4" t="s">
        <v>31</v>
      </c>
      <c r="V1360" s="2" t="s">
        <v>9556</v>
      </c>
      <c r="W1360" s="2" t="s">
        <v>8309</v>
      </c>
      <c r="X1360" s="5" t="str">
        <f>HYPERLINK("https://my.pitchbook.com?p=88071-94P","View People Online")</f>
        <v>View People Online</v>
      </c>
    </row>
    <row r="1361">
      <c r="A1361" s="6" t="s">
        <v>9557</v>
      </c>
      <c r="B1361" s="6" t="s">
        <v>9558</v>
      </c>
      <c r="C1361" s="6" t="s">
        <v>4015</v>
      </c>
      <c r="D1361" s="6" t="s">
        <v>9559</v>
      </c>
      <c r="E1361" s="6" t="s">
        <v>8309</v>
      </c>
      <c r="F1361" s="6" t="s">
        <v>825</v>
      </c>
      <c r="G1361" s="6" t="s">
        <v>9560</v>
      </c>
      <c r="H1361" s="7" t="s">
        <v>31</v>
      </c>
      <c r="I1361" s="7">
        <v>5.0</v>
      </c>
      <c r="J1361" s="7">
        <v>1.0</v>
      </c>
      <c r="K1361" s="7">
        <v>4.0</v>
      </c>
      <c r="L1361" s="8" t="s">
        <v>8311</v>
      </c>
      <c r="M1361" s="6" t="s">
        <v>9561</v>
      </c>
      <c r="N1361" s="6" t="s">
        <v>243</v>
      </c>
      <c r="O1361" s="8" t="s">
        <v>244</v>
      </c>
      <c r="P1361" s="6" t="s">
        <v>8313</v>
      </c>
      <c r="Q1361" s="6" t="s">
        <v>8314</v>
      </c>
      <c r="R1361" s="6" t="s">
        <v>247</v>
      </c>
      <c r="S1361" s="8" t="s">
        <v>8315</v>
      </c>
      <c r="T1361" s="6" t="s">
        <v>249</v>
      </c>
      <c r="U1361" s="8" t="s">
        <v>31</v>
      </c>
      <c r="V1361" s="6" t="s">
        <v>9562</v>
      </c>
      <c r="W1361" s="6" t="s">
        <v>8309</v>
      </c>
      <c r="X1361" s="9" t="str">
        <f>HYPERLINK("https://my.pitchbook.com?p=96305-32P","View People Online")</f>
        <v>View People Online</v>
      </c>
    </row>
    <row r="1362">
      <c r="A1362" s="2" t="s">
        <v>9563</v>
      </c>
      <c r="B1362" s="2" t="s">
        <v>9564</v>
      </c>
      <c r="C1362" s="2" t="s">
        <v>5257</v>
      </c>
      <c r="D1362" s="2" t="s">
        <v>1994</v>
      </c>
      <c r="E1362" s="2" t="s">
        <v>8309</v>
      </c>
      <c r="F1362" s="2" t="s">
        <v>9565</v>
      </c>
      <c r="G1362" s="2" t="s">
        <v>9566</v>
      </c>
      <c r="H1362" s="3" t="s">
        <v>31</v>
      </c>
      <c r="I1362" s="3">
        <v>1.0</v>
      </c>
      <c r="J1362" s="3">
        <v>1.0</v>
      </c>
      <c r="K1362" s="3" t="s">
        <v>31</v>
      </c>
      <c r="L1362" s="4" t="s">
        <v>8311</v>
      </c>
      <c r="M1362" s="2" t="s">
        <v>9567</v>
      </c>
      <c r="N1362" s="2" t="s">
        <v>243</v>
      </c>
      <c r="O1362" s="4" t="s">
        <v>244</v>
      </c>
      <c r="P1362" s="2" t="s">
        <v>8313</v>
      </c>
      <c r="Q1362" s="2" t="s">
        <v>8314</v>
      </c>
      <c r="R1362" s="2" t="s">
        <v>247</v>
      </c>
      <c r="S1362" s="4" t="s">
        <v>8315</v>
      </c>
      <c r="T1362" s="2" t="s">
        <v>249</v>
      </c>
      <c r="U1362" s="4" t="s">
        <v>31</v>
      </c>
      <c r="V1362" s="2" t="s">
        <v>9568</v>
      </c>
      <c r="W1362" s="2" t="s">
        <v>8309</v>
      </c>
      <c r="X1362" s="5" t="str">
        <f>HYPERLINK("https://my.pitchbook.com?p=368704-36P","View People Online")</f>
        <v>View People Online</v>
      </c>
    </row>
    <row r="1363">
      <c r="A1363" s="14" t="s">
        <v>9569</v>
      </c>
      <c r="B1363" s="14" t="s">
        <v>9570</v>
      </c>
      <c r="C1363" s="14" t="s">
        <v>5264</v>
      </c>
      <c r="D1363" s="14" t="s">
        <v>9571</v>
      </c>
      <c r="E1363" s="14" t="s">
        <v>8309</v>
      </c>
      <c r="F1363" s="14" t="s">
        <v>548</v>
      </c>
      <c r="G1363" s="14" t="s">
        <v>9572</v>
      </c>
      <c r="H1363" s="15" t="s">
        <v>31</v>
      </c>
      <c r="I1363" s="15">
        <v>2.0</v>
      </c>
      <c r="J1363" s="15">
        <v>1.0</v>
      </c>
      <c r="K1363" s="15">
        <v>1.0</v>
      </c>
      <c r="L1363" s="16" t="s">
        <v>8311</v>
      </c>
      <c r="M1363" s="14" t="s">
        <v>9573</v>
      </c>
      <c r="N1363" s="14" t="s">
        <v>243</v>
      </c>
      <c r="O1363" s="16" t="s">
        <v>244</v>
      </c>
      <c r="P1363" s="14" t="s">
        <v>8313</v>
      </c>
      <c r="Q1363" s="14" t="s">
        <v>8314</v>
      </c>
      <c r="R1363" s="14" t="s">
        <v>247</v>
      </c>
      <c r="S1363" s="16" t="s">
        <v>8315</v>
      </c>
      <c r="T1363" s="14" t="s">
        <v>249</v>
      </c>
      <c r="U1363" s="16" t="s">
        <v>31</v>
      </c>
      <c r="V1363" s="14" t="s">
        <v>548</v>
      </c>
      <c r="W1363" s="14" t="s">
        <v>8309</v>
      </c>
      <c r="X1363" s="17" t="str">
        <f>HYPERLINK("https://my.pitchbook.com?p=352151-92P","View People Online")</f>
        <v>View People Online</v>
      </c>
    </row>
    <row r="1364">
      <c r="A1364" s="10" t="s">
        <v>9574</v>
      </c>
      <c r="B1364" s="10" t="s">
        <v>9575</v>
      </c>
      <c r="C1364" s="10" t="s">
        <v>1024</v>
      </c>
      <c r="D1364" s="10" t="s">
        <v>9576</v>
      </c>
      <c r="E1364" s="10" t="s">
        <v>8309</v>
      </c>
      <c r="F1364" s="10" t="s">
        <v>1283</v>
      </c>
      <c r="G1364" s="10" t="s">
        <v>9577</v>
      </c>
      <c r="H1364" s="11" t="s">
        <v>31</v>
      </c>
      <c r="I1364" s="11">
        <v>1.0</v>
      </c>
      <c r="J1364" s="11">
        <v>1.0</v>
      </c>
      <c r="K1364" s="11" t="s">
        <v>31</v>
      </c>
      <c r="L1364" s="12" t="s">
        <v>8311</v>
      </c>
      <c r="M1364" s="10" t="s">
        <v>9578</v>
      </c>
      <c r="N1364" s="10" t="s">
        <v>243</v>
      </c>
      <c r="O1364" s="12" t="s">
        <v>244</v>
      </c>
      <c r="P1364" s="10" t="s">
        <v>8313</v>
      </c>
      <c r="Q1364" s="10" t="s">
        <v>8314</v>
      </c>
      <c r="R1364" s="10" t="s">
        <v>247</v>
      </c>
      <c r="S1364" s="12" t="s">
        <v>8315</v>
      </c>
      <c r="T1364" s="10" t="s">
        <v>249</v>
      </c>
      <c r="U1364" s="12" t="s">
        <v>31</v>
      </c>
      <c r="V1364" s="10" t="s">
        <v>1283</v>
      </c>
      <c r="W1364" s="10" t="s">
        <v>8309</v>
      </c>
      <c r="X1364" s="13" t="str">
        <f>HYPERLINK("https://my.pitchbook.com?p=88149-88P","View People Online")</f>
        <v>View People Online</v>
      </c>
    </row>
    <row r="1365">
      <c r="A1365" s="14" t="s">
        <v>9579</v>
      </c>
      <c r="B1365" s="14" t="s">
        <v>9580</v>
      </c>
      <c r="C1365" s="14" t="s">
        <v>9581</v>
      </c>
      <c r="D1365" s="14" t="s">
        <v>9582</v>
      </c>
      <c r="E1365" s="14" t="s">
        <v>8309</v>
      </c>
      <c r="F1365" s="14" t="s">
        <v>470</v>
      </c>
      <c r="G1365" s="14" t="s">
        <v>9583</v>
      </c>
      <c r="H1365" s="15" t="s">
        <v>31</v>
      </c>
      <c r="I1365" s="15">
        <v>2.0</v>
      </c>
      <c r="J1365" s="15">
        <v>1.0</v>
      </c>
      <c r="K1365" s="15">
        <v>1.0</v>
      </c>
      <c r="L1365" s="16" t="s">
        <v>8311</v>
      </c>
      <c r="M1365" s="14" t="s">
        <v>9584</v>
      </c>
      <c r="N1365" s="14" t="s">
        <v>243</v>
      </c>
      <c r="O1365" s="16" t="s">
        <v>244</v>
      </c>
      <c r="P1365" s="14" t="s">
        <v>8313</v>
      </c>
      <c r="Q1365" s="14" t="s">
        <v>8314</v>
      </c>
      <c r="R1365" s="14" t="s">
        <v>247</v>
      </c>
      <c r="S1365" s="16" t="s">
        <v>8315</v>
      </c>
      <c r="T1365" s="14" t="s">
        <v>249</v>
      </c>
      <c r="U1365" s="16" t="s">
        <v>31</v>
      </c>
      <c r="V1365" s="14" t="s">
        <v>9585</v>
      </c>
      <c r="W1365" s="14" t="s">
        <v>8309</v>
      </c>
      <c r="X1365" s="17" t="str">
        <f>HYPERLINK("https://my.pitchbook.com?p=166961-62P","View People Online")</f>
        <v>View People Online</v>
      </c>
    </row>
    <row r="1366">
      <c r="A1366" s="10" t="s">
        <v>9586</v>
      </c>
      <c r="B1366" s="10" t="s">
        <v>9587</v>
      </c>
      <c r="C1366" s="10" t="s">
        <v>3716</v>
      </c>
      <c r="D1366" s="10" t="s">
        <v>9588</v>
      </c>
      <c r="E1366" s="10" t="s">
        <v>8309</v>
      </c>
      <c r="F1366" s="10" t="s">
        <v>825</v>
      </c>
      <c r="G1366" s="10" t="s">
        <v>9589</v>
      </c>
      <c r="H1366" s="11" t="s">
        <v>31</v>
      </c>
      <c r="I1366" s="11">
        <v>1.0</v>
      </c>
      <c r="J1366" s="11">
        <v>1.0</v>
      </c>
      <c r="K1366" s="11" t="s">
        <v>31</v>
      </c>
      <c r="L1366" s="12" t="s">
        <v>8311</v>
      </c>
      <c r="M1366" s="10" t="s">
        <v>9590</v>
      </c>
      <c r="N1366" s="10" t="s">
        <v>243</v>
      </c>
      <c r="O1366" s="12" t="s">
        <v>244</v>
      </c>
      <c r="P1366" s="10" t="s">
        <v>8313</v>
      </c>
      <c r="Q1366" s="10" t="s">
        <v>8314</v>
      </c>
      <c r="R1366" s="10" t="s">
        <v>247</v>
      </c>
      <c r="S1366" s="12" t="s">
        <v>8315</v>
      </c>
      <c r="T1366" s="10" t="s">
        <v>249</v>
      </c>
      <c r="U1366" s="12" t="s">
        <v>31</v>
      </c>
      <c r="V1366" s="10" t="s">
        <v>9591</v>
      </c>
      <c r="W1366" s="10" t="s">
        <v>8309</v>
      </c>
      <c r="X1366" s="13" t="str">
        <f>HYPERLINK("https://my.pitchbook.com?p=356768-65P","View People Online")</f>
        <v>View People Online</v>
      </c>
    </row>
    <row r="1367">
      <c r="A1367" s="6" t="s">
        <v>9592</v>
      </c>
      <c r="B1367" s="6" t="s">
        <v>9593</v>
      </c>
      <c r="C1367" s="6" t="s">
        <v>6855</v>
      </c>
      <c r="D1367" s="6" t="s">
        <v>4346</v>
      </c>
      <c r="E1367" s="6" t="s">
        <v>8309</v>
      </c>
      <c r="F1367" s="6" t="s">
        <v>1283</v>
      </c>
      <c r="G1367" s="6" t="s">
        <v>9594</v>
      </c>
      <c r="H1367" s="7" t="s">
        <v>31</v>
      </c>
      <c r="I1367" s="7">
        <v>2.0</v>
      </c>
      <c r="J1367" s="7">
        <v>1.0</v>
      </c>
      <c r="K1367" s="7">
        <v>1.0</v>
      </c>
      <c r="L1367" s="8" t="s">
        <v>8311</v>
      </c>
      <c r="M1367" s="6" t="s">
        <v>9595</v>
      </c>
      <c r="N1367" s="6" t="s">
        <v>243</v>
      </c>
      <c r="O1367" s="8" t="s">
        <v>244</v>
      </c>
      <c r="P1367" s="6" t="s">
        <v>8313</v>
      </c>
      <c r="Q1367" s="6" t="s">
        <v>8314</v>
      </c>
      <c r="R1367" s="6" t="s">
        <v>247</v>
      </c>
      <c r="S1367" s="8" t="s">
        <v>8315</v>
      </c>
      <c r="T1367" s="6" t="s">
        <v>249</v>
      </c>
      <c r="U1367" s="8" t="s">
        <v>31</v>
      </c>
      <c r="V1367" s="6" t="s">
        <v>1283</v>
      </c>
      <c r="W1367" s="6" t="s">
        <v>8309</v>
      </c>
      <c r="X1367" s="9" t="str">
        <f>HYPERLINK("https://my.pitchbook.com?p=334960-39P","View People Online")</f>
        <v>View People Online</v>
      </c>
    </row>
    <row r="1368">
      <c r="A1368" s="10" t="s">
        <v>9596</v>
      </c>
      <c r="B1368" s="10" t="s">
        <v>9597</v>
      </c>
      <c r="C1368" s="10" t="s">
        <v>9598</v>
      </c>
      <c r="D1368" s="10" t="s">
        <v>2040</v>
      </c>
      <c r="E1368" s="10" t="s">
        <v>8309</v>
      </c>
      <c r="F1368" s="10" t="s">
        <v>825</v>
      </c>
      <c r="G1368" s="10" t="s">
        <v>9599</v>
      </c>
      <c r="H1368" s="11" t="s">
        <v>31</v>
      </c>
      <c r="I1368" s="11">
        <v>1.0</v>
      </c>
      <c r="J1368" s="11">
        <v>1.0</v>
      </c>
      <c r="K1368" s="11" t="s">
        <v>31</v>
      </c>
      <c r="L1368" s="12" t="s">
        <v>8311</v>
      </c>
      <c r="M1368" s="10" t="s">
        <v>9600</v>
      </c>
      <c r="N1368" s="10" t="s">
        <v>243</v>
      </c>
      <c r="O1368" s="12" t="s">
        <v>244</v>
      </c>
      <c r="P1368" s="10" t="s">
        <v>8313</v>
      </c>
      <c r="Q1368" s="10" t="s">
        <v>8314</v>
      </c>
      <c r="R1368" s="10" t="s">
        <v>247</v>
      </c>
      <c r="S1368" s="12" t="s">
        <v>8315</v>
      </c>
      <c r="T1368" s="10" t="s">
        <v>249</v>
      </c>
      <c r="U1368" s="12" t="s">
        <v>31</v>
      </c>
      <c r="V1368" s="10" t="s">
        <v>9601</v>
      </c>
      <c r="W1368" s="10" t="s">
        <v>8309</v>
      </c>
      <c r="X1368" s="13" t="str">
        <f>HYPERLINK("https://my.pitchbook.com?p=358703-74P","View People Online")</f>
        <v>View People Online</v>
      </c>
    </row>
    <row r="1369">
      <c r="A1369" s="6" t="s">
        <v>9602</v>
      </c>
      <c r="B1369" s="6" t="s">
        <v>9603</v>
      </c>
      <c r="C1369" s="6" t="s">
        <v>9604</v>
      </c>
      <c r="D1369" s="6" t="s">
        <v>9057</v>
      </c>
      <c r="E1369" s="6" t="s">
        <v>8309</v>
      </c>
      <c r="F1369" s="6" t="s">
        <v>270</v>
      </c>
      <c r="G1369" s="6" t="s">
        <v>9605</v>
      </c>
      <c r="H1369" s="7" t="s">
        <v>31</v>
      </c>
      <c r="I1369" s="7">
        <v>1.0</v>
      </c>
      <c r="J1369" s="7">
        <v>1.0</v>
      </c>
      <c r="K1369" s="7" t="s">
        <v>31</v>
      </c>
      <c r="L1369" s="8" t="s">
        <v>8311</v>
      </c>
      <c r="M1369" s="6" t="s">
        <v>9606</v>
      </c>
      <c r="N1369" s="6" t="s">
        <v>243</v>
      </c>
      <c r="O1369" s="8" t="s">
        <v>244</v>
      </c>
      <c r="P1369" s="6" t="s">
        <v>8313</v>
      </c>
      <c r="Q1369" s="6" t="s">
        <v>8314</v>
      </c>
      <c r="R1369" s="6" t="s">
        <v>247</v>
      </c>
      <c r="S1369" s="8" t="s">
        <v>8315</v>
      </c>
      <c r="T1369" s="6" t="s">
        <v>249</v>
      </c>
      <c r="U1369" s="8" t="s">
        <v>31</v>
      </c>
      <c r="V1369" s="6" t="s">
        <v>8894</v>
      </c>
      <c r="W1369" s="6" t="s">
        <v>8309</v>
      </c>
      <c r="X1369" s="9" t="str">
        <f>HYPERLINK("https://my.pitchbook.com?p=368717-95P","View People Online")</f>
        <v>View People Online</v>
      </c>
    </row>
    <row r="1370">
      <c r="A1370" s="2" t="s">
        <v>9607</v>
      </c>
      <c r="B1370" s="2" t="s">
        <v>9608</v>
      </c>
      <c r="C1370" s="2" t="s">
        <v>1411</v>
      </c>
      <c r="D1370" s="2" t="s">
        <v>9609</v>
      </c>
      <c r="E1370" s="2" t="s">
        <v>8309</v>
      </c>
      <c r="F1370" s="2" t="s">
        <v>1283</v>
      </c>
      <c r="G1370" s="2" t="s">
        <v>9610</v>
      </c>
      <c r="H1370" s="3" t="s">
        <v>31</v>
      </c>
      <c r="I1370" s="3">
        <v>1.0</v>
      </c>
      <c r="J1370" s="3">
        <v>1.0</v>
      </c>
      <c r="K1370" s="3" t="s">
        <v>31</v>
      </c>
      <c r="L1370" s="4" t="s">
        <v>8311</v>
      </c>
      <c r="M1370" s="2" t="s">
        <v>9611</v>
      </c>
      <c r="N1370" s="2" t="s">
        <v>243</v>
      </c>
      <c r="O1370" s="4" t="s">
        <v>244</v>
      </c>
      <c r="P1370" s="2" t="s">
        <v>8313</v>
      </c>
      <c r="Q1370" s="2" t="s">
        <v>8314</v>
      </c>
      <c r="R1370" s="2" t="s">
        <v>247</v>
      </c>
      <c r="S1370" s="4" t="s">
        <v>8315</v>
      </c>
      <c r="T1370" s="2" t="s">
        <v>249</v>
      </c>
      <c r="U1370" s="4" t="s">
        <v>31</v>
      </c>
      <c r="V1370" s="2" t="s">
        <v>9612</v>
      </c>
      <c r="W1370" s="2" t="s">
        <v>8309</v>
      </c>
      <c r="X1370" s="5" t="str">
        <f>HYPERLINK("https://my.pitchbook.com?p=100320-31P","View People Online")</f>
        <v>View People Online</v>
      </c>
    </row>
    <row r="1371">
      <c r="A1371" s="14" t="s">
        <v>9613</v>
      </c>
      <c r="B1371" s="14" t="s">
        <v>9614</v>
      </c>
      <c r="C1371" s="14" t="s">
        <v>1411</v>
      </c>
      <c r="D1371" s="14" t="s">
        <v>9615</v>
      </c>
      <c r="E1371" s="14" t="s">
        <v>8309</v>
      </c>
      <c r="F1371" s="14" t="s">
        <v>1283</v>
      </c>
      <c r="G1371" s="14" t="s">
        <v>9616</v>
      </c>
      <c r="H1371" s="15" t="s">
        <v>31</v>
      </c>
      <c r="I1371" s="15">
        <v>1.0</v>
      </c>
      <c r="J1371" s="15">
        <v>1.0</v>
      </c>
      <c r="K1371" s="15" t="s">
        <v>31</v>
      </c>
      <c r="L1371" s="16" t="s">
        <v>8311</v>
      </c>
      <c r="M1371" s="14" t="s">
        <v>9617</v>
      </c>
      <c r="N1371" s="14" t="s">
        <v>243</v>
      </c>
      <c r="O1371" s="16" t="s">
        <v>244</v>
      </c>
      <c r="P1371" s="14" t="s">
        <v>8313</v>
      </c>
      <c r="Q1371" s="14" t="s">
        <v>8314</v>
      </c>
      <c r="R1371" s="14" t="s">
        <v>247</v>
      </c>
      <c r="S1371" s="16" t="s">
        <v>8315</v>
      </c>
      <c r="T1371" s="14" t="s">
        <v>249</v>
      </c>
      <c r="U1371" s="16" t="s">
        <v>31</v>
      </c>
      <c r="V1371" s="14" t="s">
        <v>1283</v>
      </c>
      <c r="W1371" s="14" t="s">
        <v>8309</v>
      </c>
      <c r="X1371" s="17" t="str">
        <f>HYPERLINK("https://my.pitchbook.com?p=412179-49P","View People Online")</f>
        <v>View People Online</v>
      </c>
    </row>
    <row r="1372">
      <c r="A1372" s="10" t="s">
        <v>9618</v>
      </c>
      <c r="B1372" s="10" t="s">
        <v>9619</v>
      </c>
      <c r="C1372" s="10" t="s">
        <v>1411</v>
      </c>
      <c r="D1372" s="10" t="s">
        <v>9620</v>
      </c>
      <c r="E1372" s="10" t="s">
        <v>8309</v>
      </c>
      <c r="F1372" s="10" t="s">
        <v>548</v>
      </c>
      <c r="G1372" s="10" t="s">
        <v>9621</v>
      </c>
      <c r="H1372" s="11" t="s">
        <v>31</v>
      </c>
      <c r="I1372" s="11">
        <v>2.0</v>
      </c>
      <c r="J1372" s="11">
        <v>1.0</v>
      </c>
      <c r="K1372" s="11">
        <v>1.0</v>
      </c>
      <c r="L1372" s="12" t="s">
        <v>8311</v>
      </c>
      <c r="M1372" s="10" t="s">
        <v>9622</v>
      </c>
      <c r="N1372" s="10" t="s">
        <v>243</v>
      </c>
      <c r="O1372" s="12" t="s">
        <v>244</v>
      </c>
      <c r="P1372" s="10" t="s">
        <v>8313</v>
      </c>
      <c r="Q1372" s="10" t="s">
        <v>8314</v>
      </c>
      <c r="R1372" s="10" t="s">
        <v>247</v>
      </c>
      <c r="S1372" s="12" t="s">
        <v>8315</v>
      </c>
      <c r="T1372" s="10" t="s">
        <v>249</v>
      </c>
      <c r="U1372" s="12" t="s">
        <v>31</v>
      </c>
      <c r="V1372" s="10" t="s">
        <v>9623</v>
      </c>
      <c r="W1372" s="10" t="s">
        <v>8309</v>
      </c>
      <c r="X1372" s="13" t="str">
        <f>HYPERLINK("https://my.pitchbook.com?p=418013-29P","View People Online")</f>
        <v>View People Online</v>
      </c>
    </row>
    <row r="1373">
      <c r="A1373" s="14" t="s">
        <v>9624</v>
      </c>
      <c r="B1373" s="14" t="s">
        <v>9625</v>
      </c>
      <c r="C1373" s="14" t="s">
        <v>9626</v>
      </c>
      <c r="D1373" s="14" t="s">
        <v>6947</v>
      </c>
      <c r="E1373" s="14" t="s">
        <v>8309</v>
      </c>
      <c r="F1373" s="14" t="s">
        <v>548</v>
      </c>
      <c r="G1373" s="14" t="s">
        <v>9627</v>
      </c>
      <c r="H1373" s="15" t="s">
        <v>31</v>
      </c>
      <c r="I1373" s="15">
        <v>2.0</v>
      </c>
      <c r="J1373" s="15">
        <v>1.0</v>
      </c>
      <c r="K1373" s="15">
        <v>1.0</v>
      </c>
      <c r="L1373" s="16" t="s">
        <v>8311</v>
      </c>
      <c r="M1373" s="14" t="s">
        <v>9628</v>
      </c>
      <c r="N1373" s="14" t="s">
        <v>243</v>
      </c>
      <c r="O1373" s="16" t="s">
        <v>244</v>
      </c>
      <c r="P1373" s="14" t="s">
        <v>8313</v>
      </c>
      <c r="Q1373" s="14" t="s">
        <v>8314</v>
      </c>
      <c r="R1373" s="14" t="s">
        <v>247</v>
      </c>
      <c r="S1373" s="16" t="s">
        <v>8315</v>
      </c>
      <c r="T1373" s="14" t="s">
        <v>249</v>
      </c>
      <c r="U1373" s="16" t="s">
        <v>31</v>
      </c>
      <c r="V1373" s="14" t="s">
        <v>9629</v>
      </c>
      <c r="W1373" s="14" t="s">
        <v>8309</v>
      </c>
      <c r="X1373" s="17" t="str">
        <f>HYPERLINK("https://my.pitchbook.com?p=268166-98P","View People Online")</f>
        <v>View People Online</v>
      </c>
    </row>
    <row r="1374">
      <c r="A1374" s="10" t="s">
        <v>9630</v>
      </c>
      <c r="B1374" s="10" t="s">
        <v>9631</v>
      </c>
      <c r="C1374" s="10" t="s">
        <v>9632</v>
      </c>
      <c r="D1374" s="10" t="s">
        <v>9633</v>
      </c>
      <c r="E1374" s="10" t="s">
        <v>8309</v>
      </c>
      <c r="F1374" s="10" t="s">
        <v>825</v>
      </c>
      <c r="G1374" s="10" t="s">
        <v>9634</v>
      </c>
      <c r="H1374" s="11" t="s">
        <v>31</v>
      </c>
      <c r="I1374" s="11">
        <v>5.0</v>
      </c>
      <c r="J1374" s="11">
        <v>1.0</v>
      </c>
      <c r="K1374" s="11">
        <v>4.0</v>
      </c>
      <c r="L1374" s="12" t="s">
        <v>8311</v>
      </c>
      <c r="M1374" s="10" t="s">
        <v>9635</v>
      </c>
      <c r="N1374" s="10" t="s">
        <v>243</v>
      </c>
      <c r="O1374" s="12" t="s">
        <v>244</v>
      </c>
      <c r="P1374" s="10" t="s">
        <v>8313</v>
      </c>
      <c r="Q1374" s="10" t="s">
        <v>8314</v>
      </c>
      <c r="R1374" s="10" t="s">
        <v>247</v>
      </c>
      <c r="S1374" s="12" t="s">
        <v>8315</v>
      </c>
      <c r="T1374" s="10" t="s">
        <v>249</v>
      </c>
      <c r="U1374" s="12" t="s">
        <v>31</v>
      </c>
      <c r="V1374" s="10" t="s">
        <v>9636</v>
      </c>
      <c r="W1374" s="10" t="s">
        <v>8309</v>
      </c>
      <c r="X1374" s="13" t="str">
        <f>HYPERLINK("https://my.pitchbook.com?p=106459-30P","View People Online")</f>
        <v>View People Online</v>
      </c>
    </row>
    <row r="1375">
      <c r="A1375" s="14" t="s">
        <v>9637</v>
      </c>
      <c r="B1375" s="14" t="s">
        <v>9638</v>
      </c>
      <c r="C1375" s="14" t="s">
        <v>9639</v>
      </c>
      <c r="D1375" s="14" t="s">
        <v>9640</v>
      </c>
      <c r="E1375" s="14" t="s">
        <v>8309</v>
      </c>
      <c r="F1375" s="14" t="s">
        <v>1283</v>
      </c>
      <c r="G1375" s="14" t="s">
        <v>9641</v>
      </c>
      <c r="H1375" s="15" t="s">
        <v>31</v>
      </c>
      <c r="I1375" s="15">
        <v>1.0</v>
      </c>
      <c r="J1375" s="15">
        <v>1.0</v>
      </c>
      <c r="K1375" s="15" t="s">
        <v>31</v>
      </c>
      <c r="L1375" s="16" t="s">
        <v>8311</v>
      </c>
      <c r="M1375" s="14" t="s">
        <v>9642</v>
      </c>
      <c r="N1375" s="14" t="s">
        <v>243</v>
      </c>
      <c r="O1375" s="16" t="s">
        <v>244</v>
      </c>
      <c r="P1375" s="14" t="s">
        <v>8313</v>
      </c>
      <c r="Q1375" s="14" t="s">
        <v>8314</v>
      </c>
      <c r="R1375" s="14" t="s">
        <v>247</v>
      </c>
      <c r="S1375" s="16" t="s">
        <v>8315</v>
      </c>
      <c r="T1375" s="14" t="s">
        <v>249</v>
      </c>
      <c r="U1375" s="16" t="s">
        <v>31</v>
      </c>
      <c r="V1375" s="14" t="s">
        <v>1283</v>
      </c>
      <c r="W1375" s="14" t="s">
        <v>8309</v>
      </c>
      <c r="X1375" s="17" t="str">
        <f>HYPERLINK("https://my.pitchbook.com?p=387055-27P","View People Online")</f>
        <v>View People Online</v>
      </c>
    </row>
    <row r="1376">
      <c r="A1376" s="2" t="s">
        <v>9643</v>
      </c>
      <c r="B1376" s="2" t="s">
        <v>9644</v>
      </c>
      <c r="C1376" s="2" t="s">
        <v>9645</v>
      </c>
      <c r="D1376" s="2" t="s">
        <v>9646</v>
      </c>
      <c r="E1376" s="2" t="s">
        <v>8309</v>
      </c>
      <c r="F1376" s="2" t="s">
        <v>825</v>
      </c>
      <c r="G1376" s="2" t="s">
        <v>9647</v>
      </c>
      <c r="H1376" s="3" t="s">
        <v>31</v>
      </c>
      <c r="I1376" s="3">
        <v>1.0</v>
      </c>
      <c r="J1376" s="3">
        <v>1.0</v>
      </c>
      <c r="K1376" s="3" t="s">
        <v>31</v>
      </c>
      <c r="L1376" s="4" t="s">
        <v>8311</v>
      </c>
      <c r="M1376" s="2" t="s">
        <v>9648</v>
      </c>
      <c r="N1376" s="2" t="s">
        <v>243</v>
      </c>
      <c r="O1376" s="4" t="s">
        <v>244</v>
      </c>
      <c r="P1376" s="2" t="s">
        <v>8313</v>
      </c>
      <c r="Q1376" s="2" t="s">
        <v>8314</v>
      </c>
      <c r="R1376" s="2" t="s">
        <v>247</v>
      </c>
      <c r="S1376" s="4" t="s">
        <v>8315</v>
      </c>
      <c r="T1376" s="2" t="s">
        <v>249</v>
      </c>
      <c r="U1376" s="4" t="s">
        <v>31</v>
      </c>
      <c r="V1376" s="2" t="s">
        <v>9649</v>
      </c>
      <c r="W1376" s="2" t="s">
        <v>8309</v>
      </c>
      <c r="X1376" s="5" t="str">
        <f>HYPERLINK("https://my.pitchbook.com?p=282774-79P","View People Online")</f>
        <v>View People Online</v>
      </c>
    </row>
    <row r="1377">
      <c r="A1377" s="6" t="s">
        <v>9650</v>
      </c>
      <c r="B1377" s="6" t="s">
        <v>9651</v>
      </c>
      <c r="C1377" s="6" t="s">
        <v>3722</v>
      </c>
      <c r="D1377" s="6" t="s">
        <v>9652</v>
      </c>
      <c r="E1377" s="6" t="s">
        <v>8309</v>
      </c>
      <c r="F1377" s="6" t="s">
        <v>9653</v>
      </c>
      <c r="G1377" s="6" t="s">
        <v>9654</v>
      </c>
      <c r="H1377" s="7" t="s">
        <v>31</v>
      </c>
      <c r="I1377" s="7">
        <v>1.0</v>
      </c>
      <c r="J1377" s="7">
        <v>1.0</v>
      </c>
      <c r="K1377" s="7" t="s">
        <v>31</v>
      </c>
      <c r="L1377" s="8" t="s">
        <v>8311</v>
      </c>
      <c r="M1377" s="6" t="s">
        <v>9655</v>
      </c>
      <c r="N1377" s="6" t="s">
        <v>243</v>
      </c>
      <c r="O1377" s="8" t="s">
        <v>244</v>
      </c>
      <c r="P1377" s="6" t="s">
        <v>8313</v>
      </c>
      <c r="Q1377" s="6" t="s">
        <v>8314</v>
      </c>
      <c r="R1377" s="6" t="s">
        <v>247</v>
      </c>
      <c r="S1377" s="8" t="s">
        <v>8315</v>
      </c>
      <c r="T1377" s="6" t="s">
        <v>249</v>
      </c>
      <c r="U1377" s="8" t="s">
        <v>31</v>
      </c>
      <c r="V1377" s="6" t="s">
        <v>9656</v>
      </c>
      <c r="W1377" s="6" t="s">
        <v>8309</v>
      </c>
      <c r="X1377" s="9" t="str">
        <f>HYPERLINK("https://my.pitchbook.com?p=170323-84P","View People Online")</f>
        <v>View People Online</v>
      </c>
    </row>
    <row r="1378">
      <c r="A1378" s="10" t="s">
        <v>9657</v>
      </c>
      <c r="B1378" s="10" t="s">
        <v>9658</v>
      </c>
      <c r="C1378" s="10" t="s">
        <v>3722</v>
      </c>
      <c r="D1378" s="10" t="s">
        <v>3651</v>
      </c>
      <c r="E1378" s="10" t="s">
        <v>8309</v>
      </c>
      <c r="F1378" s="10" t="s">
        <v>270</v>
      </c>
      <c r="G1378" s="10" t="s">
        <v>9659</v>
      </c>
      <c r="H1378" s="11" t="s">
        <v>31</v>
      </c>
      <c r="I1378" s="11">
        <v>1.0</v>
      </c>
      <c r="J1378" s="11">
        <v>1.0</v>
      </c>
      <c r="K1378" s="11" t="s">
        <v>31</v>
      </c>
      <c r="L1378" s="12" t="s">
        <v>8311</v>
      </c>
      <c r="M1378" s="10" t="s">
        <v>9660</v>
      </c>
      <c r="N1378" s="10" t="s">
        <v>243</v>
      </c>
      <c r="O1378" s="12" t="s">
        <v>244</v>
      </c>
      <c r="P1378" s="10" t="s">
        <v>8313</v>
      </c>
      <c r="Q1378" s="10" t="s">
        <v>8314</v>
      </c>
      <c r="R1378" s="10" t="s">
        <v>247</v>
      </c>
      <c r="S1378" s="12" t="s">
        <v>8315</v>
      </c>
      <c r="T1378" s="10" t="s">
        <v>249</v>
      </c>
      <c r="U1378" s="12" t="s">
        <v>31</v>
      </c>
      <c r="V1378" s="10" t="s">
        <v>9661</v>
      </c>
      <c r="W1378" s="10" t="s">
        <v>8309</v>
      </c>
      <c r="X1378" s="13" t="str">
        <f>HYPERLINK("https://my.pitchbook.com?p=345866-77P","View People Online")</f>
        <v>View People Online</v>
      </c>
    </row>
    <row r="1379">
      <c r="A1379" s="6" t="s">
        <v>9662</v>
      </c>
      <c r="B1379" s="6" t="s">
        <v>9663</v>
      </c>
      <c r="C1379" s="6" t="s">
        <v>3722</v>
      </c>
      <c r="D1379" s="6" t="s">
        <v>9664</v>
      </c>
      <c r="E1379" s="6" t="s">
        <v>8309</v>
      </c>
      <c r="F1379" s="6" t="s">
        <v>825</v>
      </c>
      <c r="G1379" s="6" t="s">
        <v>9665</v>
      </c>
      <c r="H1379" s="7" t="s">
        <v>31</v>
      </c>
      <c r="I1379" s="7">
        <v>1.0</v>
      </c>
      <c r="J1379" s="7">
        <v>1.0</v>
      </c>
      <c r="K1379" s="7" t="s">
        <v>31</v>
      </c>
      <c r="L1379" s="8" t="s">
        <v>8311</v>
      </c>
      <c r="M1379" s="6" t="s">
        <v>9666</v>
      </c>
      <c r="N1379" s="6" t="s">
        <v>243</v>
      </c>
      <c r="O1379" s="8" t="s">
        <v>244</v>
      </c>
      <c r="P1379" s="6" t="s">
        <v>8313</v>
      </c>
      <c r="Q1379" s="6" t="s">
        <v>8314</v>
      </c>
      <c r="R1379" s="6" t="s">
        <v>247</v>
      </c>
      <c r="S1379" s="8" t="s">
        <v>8315</v>
      </c>
      <c r="T1379" s="6" t="s">
        <v>249</v>
      </c>
      <c r="U1379" s="8" t="s">
        <v>31</v>
      </c>
      <c r="V1379" s="6" t="s">
        <v>9667</v>
      </c>
      <c r="W1379" s="6" t="s">
        <v>8309</v>
      </c>
      <c r="X1379" s="9" t="str">
        <f>HYPERLINK("https://my.pitchbook.com?p=399165-22P","View People Online")</f>
        <v>View People Online</v>
      </c>
    </row>
    <row r="1380">
      <c r="A1380" s="2" t="s">
        <v>9668</v>
      </c>
      <c r="B1380" s="2" t="s">
        <v>9669</v>
      </c>
      <c r="C1380" s="2" t="s">
        <v>3722</v>
      </c>
      <c r="D1380" s="2" t="s">
        <v>4285</v>
      </c>
      <c r="E1380" s="2" t="s">
        <v>8309</v>
      </c>
      <c r="F1380" s="2" t="s">
        <v>2835</v>
      </c>
      <c r="G1380" s="2" t="s">
        <v>9670</v>
      </c>
      <c r="H1380" s="3" t="s">
        <v>31</v>
      </c>
      <c r="I1380" s="3">
        <v>1.0</v>
      </c>
      <c r="J1380" s="3">
        <v>1.0</v>
      </c>
      <c r="K1380" s="3" t="s">
        <v>31</v>
      </c>
      <c r="L1380" s="4" t="s">
        <v>8311</v>
      </c>
      <c r="M1380" s="2" t="s">
        <v>9671</v>
      </c>
      <c r="N1380" s="2" t="s">
        <v>243</v>
      </c>
      <c r="O1380" s="4" t="s">
        <v>244</v>
      </c>
      <c r="P1380" s="2" t="s">
        <v>8313</v>
      </c>
      <c r="Q1380" s="2" t="s">
        <v>8314</v>
      </c>
      <c r="R1380" s="2" t="s">
        <v>247</v>
      </c>
      <c r="S1380" s="4" t="s">
        <v>8315</v>
      </c>
      <c r="T1380" s="2" t="s">
        <v>249</v>
      </c>
      <c r="U1380" s="4" t="s">
        <v>31</v>
      </c>
      <c r="V1380" s="2" t="s">
        <v>9672</v>
      </c>
      <c r="W1380" s="2" t="s">
        <v>8309</v>
      </c>
      <c r="X1380" s="5" t="str">
        <f>HYPERLINK("https://my.pitchbook.com?p=225694-99P","View People Online")</f>
        <v>View People Online</v>
      </c>
    </row>
    <row r="1381">
      <c r="A1381" s="14" t="s">
        <v>9673</v>
      </c>
      <c r="B1381" s="14" t="s">
        <v>9674</v>
      </c>
      <c r="C1381" s="14" t="s">
        <v>3722</v>
      </c>
      <c r="D1381" s="14" t="s">
        <v>9675</v>
      </c>
      <c r="E1381" s="14" t="s">
        <v>8309</v>
      </c>
      <c r="F1381" s="14" t="s">
        <v>825</v>
      </c>
      <c r="G1381" s="14" t="s">
        <v>9676</v>
      </c>
      <c r="H1381" s="15" t="s">
        <v>31</v>
      </c>
      <c r="I1381" s="15">
        <v>1.0</v>
      </c>
      <c r="J1381" s="15">
        <v>1.0</v>
      </c>
      <c r="K1381" s="15" t="s">
        <v>31</v>
      </c>
      <c r="L1381" s="16" t="s">
        <v>8311</v>
      </c>
      <c r="M1381" s="14" t="s">
        <v>9677</v>
      </c>
      <c r="N1381" s="14" t="s">
        <v>243</v>
      </c>
      <c r="O1381" s="16" t="s">
        <v>244</v>
      </c>
      <c r="P1381" s="14" t="s">
        <v>8313</v>
      </c>
      <c r="Q1381" s="14" t="s">
        <v>8314</v>
      </c>
      <c r="R1381" s="14" t="s">
        <v>247</v>
      </c>
      <c r="S1381" s="16" t="s">
        <v>8315</v>
      </c>
      <c r="T1381" s="14" t="s">
        <v>249</v>
      </c>
      <c r="U1381" s="16" t="s">
        <v>31</v>
      </c>
      <c r="V1381" s="14" t="s">
        <v>9678</v>
      </c>
      <c r="W1381" s="14" t="s">
        <v>8309</v>
      </c>
      <c r="X1381" s="17" t="str">
        <f>HYPERLINK("https://my.pitchbook.com?p=408636-55P","View People Online")</f>
        <v>View People Online</v>
      </c>
    </row>
    <row r="1382">
      <c r="A1382" s="2" t="s">
        <v>9679</v>
      </c>
      <c r="B1382" s="2" t="s">
        <v>9680</v>
      </c>
      <c r="C1382" s="2" t="s">
        <v>6199</v>
      </c>
      <c r="D1382" s="2" t="s">
        <v>9681</v>
      </c>
      <c r="E1382" s="2" t="s">
        <v>8309</v>
      </c>
      <c r="F1382" s="2" t="s">
        <v>548</v>
      </c>
      <c r="G1382" s="2" t="s">
        <v>9682</v>
      </c>
      <c r="H1382" s="3" t="s">
        <v>31</v>
      </c>
      <c r="I1382" s="3">
        <v>2.0</v>
      </c>
      <c r="J1382" s="3">
        <v>1.0</v>
      </c>
      <c r="K1382" s="3">
        <v>1.0</v>
      </c>
      <c r="L1382" s="4" t="s">
        <v>8311</v>
      </c>
      <c r="M1382" s="2" t="s">
        <v>9683</v>
      </c>
      <c r="N1382" s="2" t="s">
        <v>243</v>
      </c>
      <c r="O1382" s="4" t="s">
        <v>244</v>
      </c>
      <c r="P1382" s="2" t="s">
        <v>8313</v>
      </c>
      <c r="Q1382" s="2" t="s">
        <v>8314</v>
      </c>
      <c r="R1382" s="2" t="s">
        <v>247</v>
      </c>
      <c r="S1382" s="4" t="s">
        <v>8315</v>
      </c>
      <c r="T1382" s="2" t="s">
        <v>249</v>
      </c>
      <c r="U1382" s="4" t="s">
        <v>31</v>
      </c>
      <c r="V1382" s="2" t="s">
        <v>8457</v>
      </c>
      <c r="W1382" s="2" t="s">
        <v>8309</v>
      </c>
      <c r="X1382" s="5" t="str">
        <f>HYPERLINK("https://my.pitchbook.com?p=278346-16P","View People Online")</f>
        <v>View People Online</v>
      </c>
    </row>
    <row r="1383">
      <c r="A1383" s="14" t="s">
        <v>9684</v>
      </c>
      <c r="B1383" s="14" t="s">
        <v>9685</v>
      </c>
      <c r="C1383" s="14" t="s">
        <v>6199</v>
      </c>
      <c r="D1383" s="14" t="s">
        <v>9686</v>
      </c>
      <c r="E1383" s="14" t="s">
        <v>8309</v>
      </c>
      <c r="F1383" s="14" t="s">
        <v>548</v>
      </c>
      <c r="G1383" s="14" t="s">
        <v>9687</v>
      </c>
      <c r="H1383" s="15" t="s">
        <v>31</v>
      </c>
      <c r="I1383" s="15">
        <v>2.0</v>
      </c>
      <c r="J1383" s="15">
        <v>1.0</v>
      </c>
      <c r="K1383" s="15">
        <v>1.0</v>
      </c>
      <c r="L1383" s="16" t="s">
        <v>8311</v>
      </c>
      <c r="M1383" s="14" t="s">
        <v>9688</v>
      </c>
      <c r="N1383" s="14" t="s">
        <v>243</v>
      </c>
      <c r="O1383" s="16" t="s">
        <v>244</v>
      </c>
      <c r="P1383" s="14" t="s">
        <v>8313</v>
      </c>
      <c r="Q1383" s="14" t="s">
        <v>8314</v>
      </c>
      <c r="R1383" s="14" t="s">
        <v>247</v>
      </c>
      <c r="S1383" s="16" t="s">
        <v>8315</v>
      </c>
      <c r="T1383" s="14" t="s">
        <v>249</v>
      </c>
      <c r="U1383" s="16" t="s">
        <v>31</v>
      </c>
      <c r="V1383" s="14" t="s">
        <v>8457</v>
      </c>
      <c r="W1383" s="14" t="s">
        <v>8309</v>
      </c>
      <c r="X1383" s="17" t="str">
        <f>HYPERLINK("https://my.pitchbook.com?p=253707-49P","View People Online")</f>
        <v>View People Online</v>
      </c>
    </row>
    <row r="1384">
      <c r="A1384" s="2" t="s">
        <v>9689</v>
      </c>
      <c r="B1384" s="2" t="s">
        <v>9690</v>
      </c>
      <c r="C1384" s="2" t="s">
        <v>4679</v>
      </c>
      <c r="D1384" s="2" t="s">
        <v>9691</v>
      </c>
      <c r="E1384" s="2" t="s">
        <v>8309</v>
      </c>
      <c r="F1384" s="2" t="s">
        <v>9692</v>
      </c>
      <c r="G1384" s="2" t="s">
        <v>9693</v>
      </c>
      <c r="H1384" s="3" t="s">
        <v>31</v>
      </c>
      <c r="I1384" s="3">
        <v>1.0</v>
      </c>
      <c r="J1384" s="3">
        <v>1.0</v>
      </c>
      <c r="K1384" s="3" t="s">
        <v>31</v>
      </c>
      <c r="L1384" s="4" t="s">
        <v>8311</v>
      </c>
      <c r="M1384" s="2" t="s">
        <v>9694</v>
      </c>
      <c r="N1384" s="2" t="s">
        <v>243</v>
      </c>
      <c r="O1384" s="4" t="s">
        <v>244</v>
      </c>
      <c r="P1384" s="2" t="s">
        <v>8313</v>
      </c>
      <c r="Q1384" s="2" t="s">
        <v>8314</v>
      </c>
      <c r="R1384" s="2" t="s">
        <v>247</v>
      </c>
      <c r="S1384" s="4" t="s">
        <v>8315</v>
      </c>
      <c r="T1384" s="2" t="s">
        <v>249</v>
      </c>
      <c r="U1384" s="4" t="s">
        <v>31</v>
      </c>
      <c r="V1384" s="2" t="s">
        <v>9695</v>
      </c>
      <c r="W1384" s="2" t="s">
        <v>8309</v>
      </c>
      <c r="X1384" s="5" t="str">
        <f>HYPERLINK("https://my.pitchbook.com?p=184435-75P","View People Online")</f>
        <v>View People Online</v>
      </c>
    </row>
    <row r="1385">
      <c r="A1385" s="14" t="s">
        <v>9696</v>
      </c>
      <c r="B1385" s="14" t="s">
        <v>9697</v>
      </c>
      <c r="C1385" s="14" t="s">
        <v>4679</v>
      </c>
      <c r="D1385" s="14" t="s">
        <v>9698</v>
      </c>
      <c r="E1385" s="14" t="s">
        <v>8309</v>
      </c>
      <c r="F1385" s="14" t="s">
        <v>825</v>
      </c>
      <c r="G1385" s="14" t="s">
        <v>9699</v>
      </c>
      <c r="H1385" s="15">
        <v>5.0</v>
      </c>
      <c r="I1385" s="15">
        <v>20.0</v>
      </c>
      <c r="J1385" s="15">
        <v>2.0</v>
      </c>
      <c r="K1385" s="15">
        <v>11.0</v>
      </c>
      <c r="L1385" s="16" t="s">
        <v>8311</v>
      </c>
      <c r="M1385" s="14" t="s">
        <v>9700</v>
      </c>
      <c r="N1385" s="14" t="s">
        <v>243</v>
      </c>
      <c r="O1385" s="16" t="s">
        <v>244</v>
      </c>
      <c r="P1385" s="14" t="s">
        <v>8313</v>
      </c>
      <c r="Q1385" s="14" t="s">
        <v>8314</v>
      </c>
      <c r="R1385" s="14" t="s">
        <v>247</v>
      </c>
      <c r="S1385" s="16" t="s">
        <v>8315</v>
      </c>
      <c r="T1385" s="14" t="s">
        <v>249</v>
      </c>
      <c r="U1385" s="16" t="s">
        <v>31</v>
      </c>
      <c r="V1385" s="14" t="s">
        <v>9701</v>
      </c>
      <c r="W1385" s="14" t="s">
        <v>8309</v>
      </c>
      <c r="X1385" s="17" t="str">
        <f>HYPERLINK("https://my.pitchbook.com?p=231906-97P","View People Online")</f>
        <v>View People Online</v>
      </c>
    </row>
    <row r="1386">
      <c r="A1386" s="10" t="s">
        <v>9702</v>
      </c>
      <c r="B1386" s="10" t="s">
        <v>9703</v>
      </c>
      <c r="C1386" s="10" t="s">
        <v>2456</v>
      </c>
      <c r="D1386" s="10" t="s">
        <v>9704</v>
      </c>
      <c r="E1386" s="10" t="s">
        <v>8309</v>
      </c>
      <c r="F1386" s="10" t="s">
        <v>548</v>
      </c>
      <c r="G1386" s="10" t="s">
        <v>9705</v>
      </c>
      <c r="H1386" s="11" t="s">
        <v>31</v>
      </c>
      <c r="I1386" s="11">
        <v>2.0</v>
      </c>
      <c r="J1386" s="11">
        <v>1.0</v>
      </c>
      <c r="K1386" s="11">
        <v>1.0</v>
      </c>
      <c r="L1386" s="12" t="s">
        <v>8311</v>
      </c>
      <c r="M1386" s="10" t="s">
        <v>9706</v>
      </c>
      <c r="N1386" s="10" t="s">
        <v>243</v>
      </c>
      <c r="O1386" s="12" t="s">
        <v>244</v>
      </c>
      <c r="P1386" s="10" t="s">
        <v>8313</v>
      </c>
      <c r="Q1386" s="10" t="s">
        <v>8314</v>
      </c>
      <c r="R1386" s="10" t="s">
        <v>247</v>
      </c>
      <c r="S1386" s="12" t="s">
        <v>8315</v>
      </c>
      <c r="T1386" s="10" t="s">
        <v>249</v>
      </c>
      <c r="U1386" s="12" t="s">
        <v>31</v>
      </c>
      <c r="V1386" s="10" t="s">
        <v>8457</v>
      </c>
      <c r="W1386" s="10" t="s">
        <v>8309</v>
      </c>
      <c r="X1386" s="13" t="str">
        <f>HYPERLINK("https://my.pitchbook.com?p=235438-57P","View People Online")</f>
        <v>View People Online</v>
      </c>
    </row>
    <row r="1387">
      <c r="A1387" s="6" t="s">
        <v>9707</v>
      </c>
      <c r="B1387" s="6" t="s">
        <v>9708</v>
      </c>
      <c r="C1387" s="6" t="s">
        <v>2456</v>
      </c>
      <c r="D1387" s="6" t="s">
        <v>9709</v>
      </c>
      <c r="E1387" s="6" t="s">
        <v>8309</v>
      </c>
      <c r="F1387" s="6" t="s">
        <v>548</v>
      </c>
      <c r="G1387" s="6" t="s">
        <v>9710</v>
      </c>
      <c r="H1387" s="7" t="s">
        <v>31</v>
      </c>
      <c r="I1387" s="7">
        <v>1.0</v>
      </c>
      <c r="J1387" s="7">
        <v>1.0</v>
      </c>
      <c r="K1387" s="7" t="s">
        <v>31</v>
      </c>
      <c r="L1387" s="8" t="s">
        <v>8311</v>
      </c>
      <c r="M1387" s="6" t="s">
        <v>9711</v>
      </c>
      <c r="N1387" s="6" t="s">
        <v>243</v>
      </c>
      <c r="O1387" s="8" t="s">
        <v>244</v>
      </c>
      <c r="P1387" s="6" t="s">
        <v>8313</v>
      </c>
      <c r="Q1387" s="6" t="s">
        <v>8314</v>
      </c>
      <c r="R1387" s="6" t="s">
        <v>247</v>
      </c>
      <c r="S1387" s="8" t="s">
        <v>8315</v>
      </c>
      <c r="T1387" s="6" t="s">
        <v>249</v>
      </c>
      <c r="U1387" s="8" t="s">
        <v>31</v>
      </c>
      <c r="V1387" s="6" t="s">
        <v>8457</v>
      </c>
      <c r="W1387" s="6" t="s">
        <v>8309</v>
      </c>
      <c r="X1387" s="9" t="str">
        <f>HYPERLINK("https://my.pitchbook.com?p=244112-77P","View People Online")</f>
        <v>View People Online</v>
      </c>
    </row>
    <row r="1388">
      <c r="A1388" s="10" t="s">
        <v>9712</v>
      </c>
      <c r="B1388" s="10" t="s">
        <v>9713</v>
      </c>
      <c r="C1388" s="10" t="s">
        <v>6536</v>
      </c>
      <c r="D1388" s="10" t="s">
        <v>233</v>
      </c>
      <c r="E1388" s="10" t="s">
        <v>8309</v>
      </c>
      <c r="F1388" s="10" t="s">
        <v>2652</v>
      </c>
      <c r="G1388" s="10" t="s">
        <v>9714</v>
      </c>
      <c r="H1388" s="11" t="s">
        <v>31</v>
      </c>
      <c r="I1388" s="11">
        <v>1.0</v>
      </c>
      <c r="J1388" s="11">
        <v>1.0</v>
      </c>
      <c r="K1388" s="11" t="s">
        <v>31</v>
      </c>
      <c r="L1388" s="12" t="s">
        <v>8311</v>
      </c>
      <c r="M1388" s="10" t="s">
        <v>9715</v>
      </c>
      <c r="N1388" s="10" t="s">
        <v>243</v>
      </c>
      <c r="O1388" s="12" t="s">
        <v>244</v>
      </c>
      <c r="P1388" s="10" t="s">
        <v>8313</v>
      </c>
      <c r="Q1388" s="10" t="s">
        <v>8314</v>
      </c>
      <c r="R1388" s="10" t="s">
        <v>247</v>
      </c>
      <c r="S1388" s="12" t="s">
        <v>8315</v>
      </c>
      <c r="T1388" s="10" t="s">
        <v>249</v>
      </c>
      <c r="U1388" s="12" t="s">
        <v>31</v>
      </c>
      <c r="V1388" s="10" t="s">
        <v>9716</v>
      </c>
      <c r="W1388" s="10" t="s">
        <v>8309</v>
      </c>
      <c r="X1388" s="13" t="str">
        <f>HYPERLINK("https://my.pitchbook.com?p=81742-24P","View People Online")</f>
        <v>View People Online</v>
      </c>
    </row>
    <row r="1389">
      <c r="A1389" s="14" t="s">
        <v>9717</v>
      </c>
      <c r="B1389" s="14" t="s">
        <v>9718</v>
      </c>
      <c r="C1389" s="14" t="s">
        <v>9719</v>
      </c>
      <c r="D1389" s="14" t="s">
        <v>9720</v>
      </c>
      <c r="E1389" s="14" t="s">
        <v>8309</v>
      </c>
      <c r="F1389" s="14" t="s">
        <v>9721</v>
      </c>
      <c r="G1389" s="14" t="s">
        <v>9722</v>
      </c>
      <c r="H1389" s="15" t="s">
        <v>31</v>
      </c>
      <c r="I1389" s="15">
        <v>1.0</v>
      </c>
      <c r="J1389" s="15">
        <v>1.0</v>
      </c>
      <c r="K1389" s="15" t="s">
        <v>31</v>
      </c>
      <c r="L1389" s="16" t="s">
        <v>8311</v>
      </c>
      <c r="M1389" s="14" t="s">
        <v>9723</v>
      </c>
      <c r="N1389" s="14" t="s">
        <v>243</v>
      </c>
      <c r="O1389" s="16" t="s">
        <v>244</v>
      </c>
      <c r="P1389" s="14" t="s">
        <v>8313</v>
      </c>
      <c r="Q1389" s="14" t="s">
        <v>8314</v>
      </c>
      <c r="R1389" s="14" t="s">
        <v>247</v>
      </c>
      <c r="S1389" s="16" t="s">
        <v>8315</v>
      </c>
      <c r="T1389" s="14" t="s">
        <v>249</v>
      </c>
      <c r="U1389" s="16" t="s">
        <v>31</v>
      </c>
      <c r="V1389" s="14" t="s">
        <v>9724</v>
      </c>
      <c r="W1389" s="14" t="s">
        <v>8309</v>
      </c>
      <c r="X1389" s="17" t="str">
        <f>HYPERLINK("https://my.pitchbook.com?p=244595-62P","View People Online")</f>
        <v>View People Online</v>
      </c>
    </row>
    <row r="1390">
      <c r="A1390" s="10" t="s">
        <v>9725</v>
      </c>
      <c r="B1390" s="10" t="s">
        <v>9726</v>
      </c>
      <c r="C1390" s="10" t="s">
        <v>4692</v>
      </c>
      <c r="D1390" s="10" t="s">
        <v>9727</v>
      </c>
      <c r="E1390" s="10" t="s">
        <v>8309</v>
      </c>
      <c r="F1390" s="10" t="s">
        <v>825</v>
      </c>
      <c r="G1390" s="10" t="s">
        <v>9728</v>
      </c>
      <c r="H1390" s="11" t="s">
        <v>31</v>
      </c>
      <c r="I1390" s="11">
        <v>1.0</v>
      </c>
      <c r="J1390" s="11">
        <v>1.0</v>
      </c>
      <c r="K1390" s="11" t="s">
        <v>31</v>
      </c>
      <c r="L1390" s="12" t="s">
        <v>8311</v>
      </c>
      <c r="M1390" s="10" t="s">
        <v>9729</v>
      </c>
      <c r="N1390" s="10" t="s">
        <v>243</v>
      </c>
      <c r="O1390" s="12" t="s">
        <v>244</v>
      </c>
      <c r="P1390" s="10" t="s">
        <v>8313</v>
      </c>
      <c r="Q1390" s="10" t="s">
        <v>8314</v>
      </c>
      <c r="R1390" s="10" t="s">
        <v>247</v>
      </c>
      <c r="S1390" s="12" t="s">
        <v>8315</v>
      </c>
      <c r="T1390" s="10" t="s">
        <v>249</v>
      </c>
      <c r="U1390" s="12" t="s">
        <v>31</v>
      </c>
      <c r="V1390" s="10" t="s">
        <v>8558</v>
      </c>
      <c r="W1390" s="10" t="s">
        <v>8309</v>
      </c>
      <c r="X1390" s="13" t="str">
        <f>HYPERLINK("https://my.pitchbook.com?p=370151-20P","View People Online")</f>
        <v>View People Online</v>
      </c>
    </row>
    <row r="1391">
      <c r="A1391" s="14" t="s">
        <v>9730</v>
      </c>
      <c r="B1391" s="14" t="s">
        <v>9731</v>
      </c>
      <c r="C1391" s="14" t="s">
        <v>562</v>
      </c>
      <c r="D1391" s="14" t="s">
        <v>9732</v>
      </c>
      <c r="E1391" s="14" t="s">
        <v>8309</v>
      </c>
      <c r="F1391" s="14" t="s">
        <v>2652</v>
      </c>
      <c r="G1391" s="14" t="s">
        <v>9733</v>
      </c>
      <c r="H1391" s="15" t="s">
        <v>31</v>
      </c>
      <c r="I1391" s="15">
        <v>1.0</v>
      </c>
      <c r="J1391" s="15">
        <v>1.0</v>
      </c>
      <c r="K1391" s="15" t="s">
        <v>31</v>
      </c>
      <c r="L1391" s="16" t="s">
        <v>8311</v>
      </c>
      <c r="M1391" s="14" t="s">
        <v>9734</v>
      </c>
      <c r="N1391" s="14" t="s">
        <v>243</v>
      </c>
      <c r="O1391" s="16" t="s">
        <v>244</v>
      </c>
      <c r="P1391" s="14" t="s">
        <v>8313</v>
      </c>
      <c r="Q1391" s="14" t="s">
        <v>8314</v>
      </c>
      <c r="R1391" s="14" t="s">
        <v>247</v>
      </c>
      <c r="S1391" s="16" t="s">
        <v>8315</v>
      </c>
      <c r="T1391" s="14" t="s">
        <v>249</v>
      </c>
      <c r="U1391" s="16" t="s">
        <v>31</v>
      </c>
      <c r="V1391" s="14" t="s">
        <v>9735</v>
      </c>
      <c r="W1391" s="14" t="s">
        <v>8309</v>
      </c>
      <c r="X1391" s="17" t="str">
        <f>HYPERLINK("https://my.pitchbook.com?p=115059-34P","View People Online")</f>
        <v>View People Online</v>
      </c>
    </row>
    <row r="1392">
      <c r="A1392" s="10" t="s">
        <v>9736</v>
      </c>
      <c r="B1392" s="10" t="s">
        <v>9737</v>
      </c>
      <c r="C1392" s="10" t="s">
        <v>562</v>
      </c>
      <c r="D1392" s="10" t="s">
        <v>9738</v>
      </c>
      <c r="E1392" s="10" t="s">
        <v>8309</v>
      </c>
      <c r="F1392" s="10" t="s">
        <v>1283</v>
      </c>
      <c r="G1392" s="10" t="s">
        <v>9739</v>
      </c>
      <c r="H1392" s="11" t="s">
        <v>31</v>
      </c>
      <c r="I1392" s="11">
        <v>1.0</v>
      </c>
      <c r="J1392" s="11">
        <v>1.0</v>
      </c>
      <c r="K1392" s="11" t="s">
        <v>31</v>
      </c>
      <c r="L1392" s="12" t="s">
        <v>8311</v>
      </c>
      <c r="M1392" s="10" t="s">
        <v>9740</v>
      </c>
      <c r="N1392" s="10" t="s">
        <v>243</v>
      </c>
      <c r="O1392" s="12" t="s">
        <v>244</v>
      </c>
      <c r="P1392" s="10" t="s">
        <v>8313</v>
      </c>
      <c r="Q1392" s="10" t="s">
        <v>8314</v>
      </c>
      <c r="R1392" s="10" t="s">
        <v>247</v>
      </c>
      <c r="S1392" s="12" t="s">
        <v>8315</v>
      </c>
      <c r="T1392" s="10" t="s">
        <v>249</v>
      </c>
      <c r="U1392" s="12" t="s">
        <v>31</v>
      </c>
      <c r="V1392" s="10" t="s">
        <v>1283</v>
      </c>
      <c r="W1392" s="10" t="s">
        <v>8309</v>
      </c>
      <c r="X1392" s="13" t="str">
        <f>HYPERLINK("https://my.pitchbook.com?p=300996-64P","View People Online")</f>
        <v>View People Online</v>
      </c>
    </row>
    <row r="1393">
      <c r="A1393" s="6" t="s">
        <v>9741</v>
      </c>
      <c r="B1393" s="6" t="s">
        <v>9742</v>
      </c>
      <c r="C1393" s="6" t="s">
        <v>2483</v>
      </c>
      <c r="D1393" s="6" t="s">
        <v>9743</v>
      </c>
      <c r="E1393" s="6" t="s">
        <v>8309</v>
      </c>
      <c r="F1393" s="6" t="s">
        <v>2652</v>
      </c>
      <c r="G1393" s="6" t="s">
        <v>9744</v>
      </c>
      <c r="H1393" s="7" t="s">
        <v>31</v>
      </c>
      <c r="I1393" s="7">
        <v>1.0</v>
      </c>
      <c r="J1393" s="7">
        <v>1.0</v>
      </c>
      <c r="K1393" s="7" t="s">
        <v>31</v>
      </c>
      <c r="L1393" s="8" t="s">
        <v>8311</v>
      </c>
      <c r="M1393" s="6" t="s">
        <v>9745</v>
      </c>
      <c r="N1393" s="6" t="s">
        <v>243</v>
      </c>
      <c r="O1393" s="8" t="s">
        <v>244</v>
      </c>
      <c r="P1393" s="6" t="s">
        <v>8313</v>
      </c>
      <c r="Q1393" s="6" t="s">
        <v>8314</v>
      </c>
      <c r="R1393" s="6" t="s">
        <v>247</v>
      </c>
      <c r="S1393" s="8" t="s">
        <v>8315</v>
      </c>
      <c r="T1393" s="6" t="s">
        <v>249</v>
      </c>
      <c r="U1393" s="8" t="s">
        <v>31</v>
      </c>
      <c r="V1393" s="6" t="s">
        <v>9746</v>
      </c>
      <c r="W1393" s="6" t="s">
        <v>8309</v>
      </c>
      <c r="X1393" s="9" t="str">
        <f>HYPERLINK("https://my.pitchbook.com?p=298267-75P","View People Online")</f>
        <v>View People Online</v>
      </c>
    </row>
    <row r="1394">
      <c r="A1394" s="2" t="s">
        <v>9747</v>
      </c>
      <c r="B1394" s="2" t="s">
        <v>9748</v>
      </c>
      <c r="C1394" s="2" t="s">
        <v>2483</v>
      </c>
      <c r="D1394" s="2" t="s">
        <v>9749</v>
      </c>
      <c r="E1394" s="2" t="s">
        <v>8309</v>
      </c>
      <c r="F1394" s="2" t="s">
        <v>825</v>
      </c>
      <c r="G1394" s="2" t="s">
        <v>9750</v>
      </c>
      <c r="H1394" s="3" t="s">
        <v>31</v>
      </c>
      <c r="I1394" s="3">
        <v>2.0</v>
      </c>
      <c r="J1394" s="3">
        <v>1.0</v>
      </c>
      <c r="K1394" s="3">
        <v>1.0</v>
      </c>
      <c r="L1394" s="4" t="s">
        <v>8311</v>
      </c>
      <c r="M1394" s="2" t="s">
        <v>9751</v>
      </c>
      <c r="N1394" s="2" t="s">
        <v>243</v>
      </c>
      <c r="O1394" s="4" t="s">
        <v>244</v>
      </c>
      <c r="P1394" s="2" t="s">
        <v>8313</v>
      </c>
      <c r="Q1394" s="2" t="s">
        <v>8314</v>
      </c>
      <c r="R1394" s="2" t="s">
        <v>247</v>
      </c>
      <c r="S1394" s="4" t="s">
        <v>8315</v>
      </c>
      <c r="T1394" s="2" t="s">
        <v>249</v>
      </c>
      <c r="U1394" s="4" t="s">
        <v>31</v>
      </c>
      <c r="V1394" s="2" t="s">
        <v>9752</v>
      </c>
      <c r="W1394" s="2" t="s">
        <v>8309</v>
      </c>
      <c r="X1394" s="5" t="str">
        <f>HYPERLINK("https://my.pitchbook.com?p=412287-22P","View People Online")</f>
        <v>View People Online</v>
      </c>
    </row>
    <row r="1395">
      <c r="A1395" s="14" t="s">
        <v>9753</v>
      </c>
      <c r="B1395" s="14" t="s">
        <v>9754</v>
      </c>
      <c r="C1395" s="14" t="s">
        <v>2483</v>
      </c>
      <c r="D1395" s="14" t="s">
        <v>9755</v>
      </c>
      <c r="E1395" s="14" t="s">
        <v>8309</v>
      </c>
      <c r="F1395" s="14" t="s">
        <v>825</v>
      </c>
      <c r="G1395" s="14" t="s">
        <v>9756</v>
      </c>
      <c r="H1395" s="15" t="s">
        <v>31</v>
      </c>
      <c r="I1395" s="15">
        <v>1.0</v>
      </c>
      <c r="J1395" s="15">
        <v>1.0</v>
      </c>
      <c r="K1395" s="15" t="s">
        <v>31</v>
      </c>
      <c r="L1395" s="16" t="s">
        <v>8311</v>
      </c>
      <c r="M1395" s="14" t="s">
        <v>9757</v>
      </c>
      <c r="N1395" s="14" t="s">
        <v>243</v>
      </c>
      <c r="O1395" s="16" t="s">
        <v>244</v>
      </c>
      <c r="P1395" s="14" t="s">
        <v>8313</v>
      </c>
      <c r="Q1395" s="14" t="s">
        <v>8314</v>
      </c>
      <c r="R1395" s="14" t="s">
        <v>247</v>
      </c>
      <c r="S1395" s="16" t="s">
        <v>8315</v>
      </c>
      <c r="T1395" s="14" t="s">
        <v>249</v>
      </c>
      <c r="U1395" s="16" t="s">
        <v>31</v>
      </c>
      <c r="V1395" s="14" t="s">
        <v>9758</v>
      </c>
      <c r="W1395" s="14" t="s">
        <v>8309</v>
      </c>
      <c r="X1395" s="17" t="str">
        <f>HYPERLINK("https://my.pitchbook.com?p=38863-63P","View People Online")</f>
        <v>View People Online</v>
      </c>
    </row>
    <row r="1396">
      <c r="A1396" s="2" t="s">
        <v>9759</v>
      </c>
      <c r="B1396" s="2" t="s">
        <v>9760</v>
      </c>
      <c r="C1396" s="2" t="s">
        <v>2483</v>
      </c>
      <c r="D1396" s="2" t="s">
        <v>9761</v>
      </c>
      <c r="E1396" s="2" t="s">
        <v>8309</v>
      </c>
      <c r="F1396" s="2" t="s">
        <v>825</v>
      </c>
      <c r="G1396" s="2" t="s">
        <v>9762</v>
      </c>
      <c r="H1396" s="3" t="s">
        <v>31</v>
      </c>
      <c r="I1396" s="3">
        <v>5.0</v>
      </c>
      <c r="J1396" s="3">
        <v>1.0</v>
      </c>
      <c r="K1396" s="3">
        <v>4.0</v>
      </c>
      <c r="L1396" s="4" t="s">
        <v>8311</v>
      </c>
      <c r="M1396" s="2" t="s">
        <v>9763</v>
      </c>
      <c r="N1396" s="2" t="s">
        <v>243</v>
      </c>
      <c r="O1396" s="4" t="s">
        <v>244</v>
      </c>
      <c r="P1396" s="2" t="s">
        <v>8313</v>
      </c>
      <c r="Q1396" s="2" t="s">
        <v>8314</v>
      </c>
      <c r="R1396" s="2" t="s">
        <v>247</v>
      </c>
      <c r="S1396" s="4" t="s">
        <v>8315</v>
      </c>
      <c r="T1396" s="2" t="s">
        <v>249</v>
      </c>
      <c r="U1396" s="4" t="s">
        <v>31</v>
      </c>
      <c r="V1396" s="2" t="s">
        <v>9764</v>
      </c>
      <c r="W1396" s="2" t="s">
        <v>8309</v>
      </c>
      <c r="X1396" s="5" t="str">
        <f>HYPERLINK("https://my.pitchbook.com?p=96220-09P","View People Online")</f>
        <v>View People Online</v>
      </c>
    </row>
    <row r="1397">
      <c r="A1397" s="14" t="s">
        <v>9765</v>
      </c>
      <c r="B1397" s="14" t="s">
        <v>9766</v>
      </c>
      <c r="C1397" s="14" t="s">
        <v>1830</v>
      </c>
      <c r="D1397" s="14" t="s">
        <v>9767</v>
      </c>
      <c r="E1397" s="14" t="s">
        <v>8309</v>
      </c>
      <c r="F1397" s="14" t="s">
        <v>2652</v>
      </c>
      <c r="G1397" s="14" t="s">
        <v>9768</v>
      </c>
      <c r="H1397" s="15" t="s">
        <v>31</v>
      </c>
      <c r="I1397" s="15">
        <v>2.0</v>
      </c>
      <c r="J1397" s="15">
        <v>1.0</v>
      </c>
      <c r="K1397" s="15">
        <v>1.0</v>
      </c>
      <c r="L1397" s="16" t="s">
        <v>8311</v>
      </c>
      <c r="M1397" s="14" t="s">
        <v>9769</v>
      </c>
      <c r="N1397" s="14" t="s">
        <v>243</v>
      </c>
      <c r="O1397" s="16" t="s">
        <v>244</v>
      </c>
      <c r="P1397" s="14" t="s">
        <v>8313</v>
      </c>
      <c r="Q1397" s="14" t="s">
        <v>8314</v>
      </c>
      <c r="R1397" s="14" t="s">
        <v>247</v>
      </c>
      <c r="S1397" s="16" t="s">
        <v>8315</v>
      </c>
      <c r="T1397" s="14" t="s">
        <v>249</v>
      </c>
      <c r="U1397" s="16" t="s">
        <v>31</v>
      </c>
      <c r="V1397" s="14" t="s">
        <v>9770</v>
      </c>
      <c r="W1397" s="14" t="s">
        <v>8309</v>
      </c>
      <c r="X1397" s="17" t="str">
        <f>HYPERLINK("https://my.pitchbook.com?p=300375-73P","View People Online")</f>
        <v>View People Online</v>
      </c>
    </row>
    <row r="1398">
      <c r="A1398" s="10" t="s">
        <v>9771</v>
      </c>
      <c r="B1398" s="10" t="s">
        <v>9772</v>
      </c>
      <c r="C1398" s="10" t="s">
        <v>1830</v>
      </c>
      <c r="D1398" s="10" t="s">
        <v>119</v>
      </c>
      <c r="E1398" s="10" t="s">
        <v>8309</v>
      </c>
      <c r="F1398" s="10" t="s">
        <v>825</v>
      </c>
      <c r="G1398" s="10" t="s">
        <v>9773</v>
      </c>
      <c r="H1398" s="11" t="s">
        <v>31</v>
      </c>
      <c r="I1398" s="11">
        <v>1.0</v>
      </c>
      <c r="J1398" s="11">
        <v>1.0</v>
      </c>
      <c r="K1398" s="11" t="s">
        <v>31</v>
      </c>
      <c r="L1398" s="12" t="s">
        <v>8311</v>
      </c>
      <c r="M1398" s="10" t="s">
        <v>9774</v>
      </c>
      <c r="N1398" s="10" t="s">
        <v>243</v>
      </c>
      <c r="O1398" s="12" t="s">
        <v>244</v>
      </c>
      <c r="P1398" s="10" t="s">
        <v>8313</v>
      </c>
      <c r="Q1398" s="10" t="s">
        <v>8314</v>
      </c>
      <c r="R1398" s="10" t="s">
        <v>247</v>
      </c>
      <c r="S1398" s="12" t="s">
        <v>8315</v>
      </c>
      <c r="T1398" s="10" t="s">
        <v>249</v>
      </c>
      <c r="U1398" s="12" t="s">
        <v>31</v>
      </c>
      <c r="V1398" s="10" t="s">
        <v>9236</v>
      </c>
      <c r="W1398" s="10" t="s">
        <v>8309</v>
      </c>
      <c r="X1398" s="13" t="str">
        <f>HYPERLINK("https://my.pitchbook.com?p=447609-16P","View People Online")</f>
        <v>View People Online</v>
      </c>
    </row>
    <row r="1399">
      <c r="A1399" s="6" t="s">
        <v>9775</v>
      </c>
      <c r="B1399" s="6" t="s">
        <v>9776</v>
      </c>
      <c r="C1399" s="6" t="s">
        <v>1395</v>
      </c>
      <c r="D1399" s="6" t="s">
        <v>9386</v>
      </c>
      <c r="E1399" s="6" t="s">
        <v>8309</v>
      </c>
      <c r="F1399" s="6" t="s">
        <v>825</v>
      </c>
      <c r="G1399" s="6" t="s">
        <v>9777</v>
      </c>
      <c r="H1399" s="7">
        <v>1.0</v>
      </c>
      <c r="I1399" s="7">
        <v>2.0</v>
      </c>
      <c r="J1399" s="7">
        <v>1.0</v>
      </c>
      <c r="K1399" s="7" t="s">
        <v>31</v>
      </c>
      <c r="L1399" s="8" t="s">
        <v>8311</v>
      </c>
      <c r="M1399" s="6" t="s">
        <v>9778</v>
      </c>
      <c r="N1399" s="6" t="s">
        <v>243</v>
      </c>
      <c r="O1399" s="8" t="s">
        <v>244</v>
      </c>
      <c r="P1399" s="6" t="s">
        <v>8313</v>
      </c>
      <c r="Q1399" s="6" t="s">
        <v>8314</v>
      </c>
      <c r="R1399" s="6" t="s">
        <v>247</v>
      </c>
      <c r="S1399" s="8" t="s">
        <v>8315</v>
      </c>
      <c r="T1399" s="6" t="s">
        <v>249</v>
      </c>
      <c r="U1399" s="8" t="s">
        <v>31</v>
      </c>
      <c r="V1399" s="6" t="s">
        <v>9236</v>
      </c>
      <c r="W1399" s="6" t="s">
        <v>8309</v>
      </c>
      <c r="X1399" s="9" t="str">
        <f>HYPERLINK("https://my.pitchbook.com?p=270446-77P","View People Online")</f>
        <v>View People Online</v>
      </c>
    </row>
    <row r="1400">
      <c r="A1400" s="2" t="s">
        <v>9779</v>
      </c>
      <c r="B1400" s="2" t="s">
        <v>9780</v>
      </c>
      <c r="C1400" s="2" t="s">
        <v>9781</v>
      </c>
      <c r="D1400" s="2" t="s">
        <v>9782</v>
      </c>
      <c r="E1400" s="2" t="s">
        <v>8309</v>
      </c>
      <c r="F1400" s="2" t="s">
        <v>548</v>
      </c>
      <c r="G1400" s="2" t="s">
        <v>9783</v>
      </c>
      <c r="H1400" s="3" t="s">
        <v>31</v>
      </c>
      <c r="I1400" s="3">
        <v>1.0</v>
      </c>
      <c r="J1400" s="3">
        <v>1.0</v>
      </c>
      <c r="K1400" s="3" t="s">
        <v>31</v>
      </c>
      <c r="L1400" s="4" t="s">
        <v>8311</v>
      </c>
      <c r="M1400" s="2" t="s">
        <v>9784</v>
      </c>
      <c r="N1400" s="2" t="s">
        <v>243</v>
      </c>
      <c r="O1400" s="4" t="s">
        <v>244</v>
      </c>
      <c r="P1400" s="2" t="s">
        <v>8313</v>
      </c>
      <c r="Q1400" s="2" t="s">
        <v>8314</v>
      </c>
      <c r="R1400" s="2" t="s">
        <v>247</v>
      </c>
      <c r="S1400" s="4" t="s">
        <v>8315</v>
      </c>
      <c r="T1400" s="2" t="s">
        <v>249</v>
      </c>
      <c r="U1400" s="4" t="s">
        <v>31</v>
      </c>
      <c r="V1400" s="2" t="s">
        <v>9785</v>
      </c>
      <c r="W1400" s="2" t="s">
        <v>8309</v>
      </c>
      <c r="X1400" s="5" t="str">
        <f>HYPERLINK("https://my.pitchbook.com?p=211579-03P","View People Online")</f>
        <v>View People Online</v>
      </c>
    </row>
    <row r="1401">
      <c r="A1401" s="6" t="s">
        <v>9786</v>
      </c>
      <c r="B1401" s="6" t="s">
        <v>9787</v>
      </c>
      <c r="C1401" s="6" t="s">
        <v>9788</v>
      </c>
      <c r="D1401" s="6" t="s">
        <v>9789</v>
      </c>
      <c r="E1401" s="6" t="s">
        <v>8309</v>
      </c>
      <c r="F1401" s="6" t="s">
        <v>2652</v>
      </c>
      <c r="G1401" s="6" t="s">
        <v>9790</v>
      </c>
      <c r="H1401" s="7" t="s">
        <v>31</v>
      </c>
      <c r="I1401" s="7">
        <v>1.0</v>
      </c>
      <c r="J1401" s="7">
        <v>1.0</v>
      </c>
      <c r="K1401" s="7" t="s">
        <v>31</v>
      </c>
      <c r="L1401" s="8" t="s">
        <v>8311</v>
      </c>
      <c r="M1401" s="6" t="s">
        <v>9791</v>
      </c>
      <c r="N1401" s="6" t="s">
        <v>243</v>
      </c>
      <c r="O1401" s="8" t="s">
        <v>244</v>
      </c>
      <c r="P1401" s="6" t="s">
        <v>8313</v>
      </c>
      <c r="Q1401" s="6" t="s">
        <v>8314</v>
      </c>
      <c r="R1401" s="6" t="s">
        <v>247</v>
      </c>
      <c r="S1401" s="8" t="s">
        <v>8315</v>
      </c>
      <c r="T1401" s="6" t="s">
        <v>249</v>
      </c>
      <c r="U1401" s="8" t="s">
        <v>31</v>
      </c>
      <c r="V1401" s="6" t="s">
        <v>9792</v>
      </c>
      <c r="W1401" s="6" t="s">
        <v>8309</v>
      </c>
      <c r="X1401" s="9" t="str">
        <f>HYPERLINK("https://my.pitchbook.com?p=360671-23P","View People Online")</f>
        <v>View People Online</v>
      </c>
    </row>
    <row r="1402">
      <c r="A1402" s="2" t="s">
        <v>9793</v>
      </c>
      <c r="B1402" s="2" t="s">
        <v>9794</v>
      </c>
      <c r="C1402" s="2" t="s">
        <v>9788</v>
      </c>
      <c r="D1402" s="2" t="s">
        <v>9795</v>
      </c>
      <c r="E1402" s="2" t="s">
        <v>8309</v>
      </c>
      <c r="F1402" s="2" t="s">
        <v>2652</v>
      </c>
      <c r="G1402" s="2" t="s">
        <v>9796</v>
      </c>
      <c r="H1402" s="3" t="s">
        <v>31</v>
      </c>
      <c r="I1402" s="3">
        <v>1.0</v>
      </c>
      <c r="J1402" s="3">
        <v>1.0</v>
      </c>
      <c r="K1402" s="3" t="s">
        <v>31</v>
      </c>
      <c r="L1402" s="4" t="s">
        <v>8311</v>
      </c>
      <c r="M1402" s="2" t="s">
        <v>9797</v>
      </c>
      <c r="N1402" s="2" t="s">
        <v>243</v>
      </c>
      <c r="O1402" s="4" t="s">
        <v>244</v>
      </c>
      <c r="P1402" s="2" t="s">
        <v>8313</v>
      </c>
      <c r="Q1402" s="2" t="s">
        <v>8314</v>
      </c>
      <c r="R1402" s="2" t="s">
        <v>247</v>
      </c>
      <c r="S1402" s="4" t="s">
        <v>8315</v>
      </c>
      <c r="T1402" s="2" t="s">
        <v>249</v>
      </c>
      <c r="U1402" s="4" t="s">
        <v>31</v>
      </c>
      <c r="V1402" s="2" t="s">
        <v>9798</v>
      </c>
      <c r="W1402" s="2" t="s">
        <v>8309</v>
      </c>
      <c r="X1402" s="5" t="str">
        <f>HYPERLINK("https://my.pitchbook.com?p=434387-26P","View People Online")</f>
        <v>View People Online</v>
      </c>
    </row>
    <row r="1403">
      <c r="A1403" s="6" t="s">
        <v>9799</v>
      </c>
      <c r="B1403" s="6" t="s">
        <v>9800</v>
      </c>
      <c r="C1403" s="6" t="s">
        <v>9801</v>
      </c>
      <c r="D1403" s="6" t="s">
        <v>9802</v>
      </c>
      <c r="E1403" s="6" t="s">
        <v>8309</v>
      </c>
      <c r="F1403" s="6" t="s">
        <v>470</v>
      </c>
      <c r="G1403" s="6" t="s">
        <v>9803</v>
      </c>
      <c r="H1403" s="7" t="s">
        <v>31</v>
      </c>
      <c r="I1403" s="7">
        <v>2.0</v>
      </c>
      <c r="J1403" s="7">
        <v>2.0</v>
      </c>
      <c r="K1403" s="7" t="s">
        <v>31</v>
      </c>
      <c r="L1403" s="8" t="s">
        <v>8311</v>
      </c>
      <c r="M1403" s="6" t="s">
        <v>9804</v>
      </c>
      <c r="N1403" s="6" t="s">
        <v>243</v>
      </c>
      <c r="O1403" s="8" t="s">
        <v>244</v>
      </c>
      <c r="P1403" s="6" t="s">
        <v>8313</v>
      </c>
      <c r="Q1403" s="6" t="s">
        <v>8314</v>
      </c>
      <c r="R1403" s="6" t="s">
        <v>247</v>
      </c>
      <c r="S1403" s="8" t="s">
        <v>8315</v>
      </c>
      <c r="T1403" s="6" t="s">
        <v>249</v>
      </c>
      <c r="U1403" s="8" t="s">
        <v>31</v>
      </c>
      <c r="V1403" s="6" t="s">
        <v>470</v>
      </c>
      <c r="W1403" s="6" t="s">
        <v>8309</v>
      </c>
      <c r="X1403" s="9" t="str">
        <f>HYPERLINK("https://my.pitchbook.com?p=386300-80P","View People Online")</f>
        <v>View People Online</v>
      </c>
    </row>
    <row r="1404">
      <c r="A1404" s="10" t="s">
        <v>9805</v>
      </c>
      <c r="B1404" s="10" t="s">
        <v>9806</v>
      </c>
      <c r="C1404" s="10" t="s">
        <v>2514</v>
      </c>
      <c r="D1404" s="10" t="s">
        <v>9807</v>
      </c>
      <c r="E1404" s="10" t="s">
        <v>8309</v>
      </c>
      <c r="F1404" s="10" t="s">
        <v>9808</v>
      </c>
      <c r="G1404" s="10" t="s">
        <v>9809</v>
      </c>
      <c r="H1404" s="11" t="s">
        <v>31</v>
      </c>
      <c r="I1404" s="11">
        <v>1.0</v>
      </c>
      <c r="J1404" s="11">
        <v>1.0</v>
      </c>
      <c r="K1404" s="11" t="s">
        <v>31</v>
      </c>
      <c r="L1404" s="12" t="s">
        <v>8311</v>
      </c>
      <c r="M1404" s="10" t="s">
        <v>9810</v>
      </c>
      <c r="N1404" s="10" t="s">
        <v>243</v>
      </c>
      <c r="O1404" s="12" t="s">
        <v>244</v>
      </c>
      <c r="P1404" s="10" t="s">
        <v>8313</v>
      </c>
      <c r="Q1404" s="10" t="s">
        <v>8314</v>
      </c>
      <c r="R1404" s="10" t="s">
        <v>247</v>
      </c>
      <c r="S1404" s="12" t="s">
        <v>8315</v>
      </c>
      <c r="T1404" s="10" t="s">
        <v>249</v>
      </c>
      <c r="U1404" s="12" t="s">
        <v>31</v>
      </c>
      <c r="V1404" s="10" t="s">
        <v>9811</v>
      </c>
      <c r="W1404" s="10" t="s">
        <v>8309</v>
      </c>
      <c r="X1404" s="13" t="str">
        <f>HYPERLINK("https://my.pitchbook.com?p=88258-33P","View People Online")</f>
        <v>View People Online</v>
      </c>
    </row>
    <row r="1405">
      <c r="A1405" s="14" t="s">
        <v>9812</v>
      </c>
      <c r="B1405" s="14" t="s">
        <v>9813</v>
      </c>
      <c r="C1405" s="14" t="s">
        <v>9814</v>
      </c>
      <c r="D1405" s="14" t="s">
        <v>9815</v>
      </c>
      <c r="E1405" s="14" t="s">
        <v>8309</v>
      </c>
      <c r="F1405" s="14" t="s">
        <v>1283</v>
      </c>
      <c r="G1405" s="14" t="s">
        <v>9816</v>
      </c>
      <c r="H1405" s="15" t="s">
        <v>31</v>
      </c>
      <c r="I1405" s="15">
        <v>1.0</v>
      </c>
      <c r="J1405" s="15">
        <v>1.0</v>
      </c>
      <c r="K1405" s="15" t="s">
        <v>31</v>
      </c>
      <c r="L1405" s="16" t="s">
        <v>8311</v>
      </c>
      <c r="M1405" s="14" t="s">
        <v>9817</v>
      </c>
      <c r="N1405" s="14" t="s">
        <v>243</v>
      </c>
      <c r="O1405" s="16" t="s">
        <v>244</v>
      </c>
      <c r="P1405" s="14" t="s">
        <v>8313</v>
      </c>
      <c r="Q1405" s="14" t="s">
        <v>8314</v>
      </c>
      <c r="R1405" s="14" t="s">
        <v>247</v>
      </c>
      <c r="S1405" s="16" t="s">
        <v>8315</v>
      </c>
      <c r="T1405" s="14" t="s">
        <v>249</v>
      </c>
      <c r="U1405" s="16" t="s">
        <v>31</v>
      </c>
      <c r="V1405" s="14" t="s">
        <v>9818</v>
      </c>
      <c r="W1405" s="14" t="s">
        <v>8309</v>
      </c>
      <c r="X1405" s="17" t="str">
        <f>HYPERLINK("https://my.pitchbook.com?p=334146-52P","View People Online")</f>
        <v>View People Online</v>
      </c>
    </row>
    <row r="1406">
      <c r="A1406" s="2" t="s">
        <v>9819</v>
      </c>
      <c r="B1406" s="2" t="s">
        <v>9820</v>
      </c>
      <c r="C1406" s="2" t="s">
        <v>9821</v>
      </c>
      <c r="D1406" s="2" t="s">
        <v>9822</v>
      </c>
      <c r="E1406" s="2" t="s">
        <v>8309</v>
      </c>
      <c r="F1406" s="2" t="s">
        <v>825</v>
      </c>
      <c r="G1406" s="2" t="s">
        <v>9823</v>
      </c>
      <c r="H1406" s="3" t="s">
        <v>31</v>
      </c>
      <c r="I1406" s="3">
        <v>1.0</v>
      </c>
      <c r="J1406" s="3">
        <v>1.0</v>
      </c>
      <c r="K1406" s="3" t="s">
        <v>31</v>
      </c>
      <c r="L1406" s="4" t="s">
        <v>8311</v>
      </c>
      <c r="M1406" s="2" t="s">
        <v>9824</v>
      </c>
      <c r="N1406" s="2" t="s">
        <v>243</v>
      </c>
      <c r="O1406" s="4" t="s">
        <v>244</v>
      </c>
      <c r="P1406" s="2" t="s">
        <v>8313</v>
      </c>
      <c r="Q1406" s="2" t="s">
        <v>8314</v>
      </c>
      <c r="R1406" s="2" t="s">
        <v>247</v>
      </c>
      <c r="S1406" s="4" t="s">
        <v>8315</v>
      </c>
      <c r="T1406" s="2" t="s">
        <v>249</v>
      </c>
      <c r="U1406" s="4" t="s">
        <v>31</v>
      </c>
      <c r="V1406" s="2" t="s">
        <v>9825</v>
      </c>
      <c r="W1406" s="2" t="s">
        <v>8309</v>
      </c>
      <c r="X1406" s="5" t="str">
        <f>HYPERLINK("https://my.pitchbook.com?p=88090-66P","View People Online")</f>
        <v>View People Online</v>
      </c>
    </row>
    <row r="1407">
      <c r="A1407" s="14" t="s">
        <v>9826</v>
      </c>
      <c r="B1407" s="14" t="s">
        <v>9827</v>
      </c>
      <c r="C1407" s="14" t="s">
        <v>9828</v>
      </c>
      <c r="D1407" s="14" t="s">
        <v>9829</v>
      </c>
      <c r="E1407" s="14" t="s">
        <v>8309</v>
      </c>
      <c r="F1407" s="14" t="s">
        <v>371</v>
      </c>
      <c r="G1407" s="14" t="s">
        <v>9830</v>
      </c>
      <c r="H1407" s="15" t="s">
        <v>31</v>
      </c>
      <c r="I1407" s="15">
        <v>1.0</v>
      </c>
      <c r="J1407" s="15">
        <v>1.0</v>
      </c>
      <c r="K1407" s="15" t="s">
        <v>31</v>
      </c>
      <c r="L1407" s="16" t="s">
        <v>8311</v>
      </c>
      <c r="M1407" s="14" t="s">
        <v>9831</v>
      </c>
      <c r="N1407" s="14" t="s">
        <v>243</v>
      </c>
      <c r="O1407" s="16" t="s">
        <v>244</v>
      </c>
      <c r="P1407" s="14" t="s">
        <v>8313</v>
      </c>
      <c r="Q1407" s="14" t="s">
        <v>8314</v>
      </c>
      <c r="R1407" s="14" t="s">
        <v>247</v>
      </c>
      <c r="S1407" s="16" t="s">
        <v>8315</v>
      </c>
      <c r="T1407" s="14" t="s">
        <v>249</v>
      </c>
      <c r="U1407" s="16" t="s">
        <v>31</v>
      </c>
      <c r="V1407" s="14" t="s">
        <v>9832</v>
      </c>
      <c r="W1407" s="14" t="s">
        <v>8309</v>
      </c>
      <c r="X1407" s="17" t="str">
        <f>HYPERLINK("https://my.pitchbook.com?p=56640-25P","View People Online")</f>
        <v>View People Online</v>
      </c>
    </row>
    <row r="1408">
      <c r="A1408" s="2" t="s">
        <v>9833</v>
      </c>
      <c r="B1408" s="2" t="s">
        <v>9834</v>
      </c>
      <c r="C1408" s="2" t="s">
        <v>9835</v>
      </c>
      <c r="D1408" s="2" t="s">
        <v>9836</v>
      </c>
      <c r="E1408" s="2" t="s">
        <v>8309</v>
      </c>
      <c r="F1408" s="2" t="s">
        <v>825</v>
      </c>
      <c r="G1408" s="2" t="s">
        <v>9837</v>
      </c>
      <c r="H1408" s="3" t="s">
        <v>31</v>
      </c>
      <c r="I1408" s="3">
        <v>1.0</v>
      </c>
      <c r="J1408" s="3">
        <v>1.0</v>
      </c>
      <c r="K1408" s="3" t="s">
        <v>31</v>
      </c>
      <c r="L1408" s="4" t="s">
        <v>8311</v>
      </c>
      <c r="M1408" s="2" t="s">
        <v>9838</v>
      </c>
      <c r="N1408" s="2" t="s">
        <v>243</v>
      </c>
      <c r="O1408" s="4" t="s">
        <v>244</v>
      </c>
      <c r="P1408" s="2" t="s">
        <v>8313</v>
      </c>
      <c r="Q1408" s="2" t="s">
        <v>8314</v>
      </c>
      <c r="R1408" s="2" t="s">
        <v>247</v>
      </c>
      <c r="S1408" s="4" t="s">
        <v>8315</v>
      </c>
      <c r="T1408" s="2" t="s">
        <v>249</v>
      </c>
      <c r="U1408" s="4" t="s">
        <v>31</v>
      </c>
      <c r="V1408" s="2" t="s">
        <v>9839</v>
      </c>
      <c r="W1408" s="2" t="s">
        <v>8309</v>
      </c>
      <c r="X1408" s="5" t="str">
        <f>HYPERLINK("https://my.pitchbook.com?p=434413-45P","View People Online")</f>
        <v>View People Online</v>
      </c>
    </row>
    <row r="1409">
      <c r="A1409" s="14" t="s">
        <v>9840</v>
      </c>
      <c r="B1409" s="14" t="s">
        <v>9841</v>
      </c>
      <c r="C1409" s="14" t="s">
        <v>3354</v>
      </c>
      <c r="D1409" s="14" t="s">
        <v>9842</v>
      </c>
      <c r="E1409" s="14" t="s">
        <v>8309</v>
      </c>
      <c r="F1409" s="14" t="s">
        <v>1283</v>
      </c>
      <c r="G1409" s="14" t="s">
        <v>9843</v>
      </c>
      <c r="H1409" s="15" t="s">
        <v>31</v>
      </c>
      <c r="I1409" s="15">
        <v>1.0</v>
      </c>
      <c r="J1409" s="15">
        <v>1.0</v>
      </c>
      <c r="K1409" s="15" t="s">
        <v>31</v>
      </c>
      <c r="L1409" s="16" t="s">
        <v>8311</v>
      </c>
      <c r="M1409" s="14" t="s">
        <v>9844</v>
      </c>
      <c r="N1409" s="14" t="s">
        <v>243</v>
      </c>
      <c r="O1409" s="16" t="s">
        <v>244</v>
      </c>
      <c r="P1409" s="14" t="s">
        <v>8313</v>
      </c>
      <c r="Q1409" s="14" t="s">
        <v>8314</v>
      </c>
      <c r="R1409" s="14" t="s">
        <v>247</v>
      </c>
      <c r="S1409" s="16" t="s">
        <v>8315</v>
      </c>
      <c r="T1409" s="14" t="s">
        <v>249</v>
      </c>
      <c r="U1409" s="16" t="s">
        <v>31</v>
      </c>
      <c r="V1409" s="14" t="s">
        <v>1283</v>
      </c>
      <c r="W1409" s="14" t="s">
        <v>8309</v>
      </c>
      <c r="X1409" s="17" t="str">
        <f>HYPERLINK("https://my.pitchbook.com?p=88136-74P","View People Online")</f>
        <v>View People Online</v>
      </c>
    </row>
    <row r="1410">
      <c r="A1410" s="10" t="s">
        <v>9845</v>
      </c>
      <c r="B1410" s="10" t="s">
        <v>9846</v>
      </c>
      <c r="C1410" s="10" t="s">
        <v>9847</v>
      </c>
      <c r="D1410" s="10" t="s">
        <v>3671</v>
      </c>
      <c r="E1410" s="10" t="s">
        <v>8309</v>
      </c>
      <c r="F1410" s="10" t="s">
        <v>825</v>
      </c>
      <c r="G1410" s="10" t="s">
        <v>9848</v>
      </c>
      <c r="H1410" s="11" t="s">
        <v>31</v>
      </c>
      <c r="I1410" s="11">
        <v>1.0</v>
      </c>
      <c r="J1410" s="11">
        <v>1.0</v>
      </c>
      <c r="K1410" s="11" t="s">
        <v>31</v>
      </c>
      <c r="L1410" s="12" t="s">
        <v>8311</v>
      </c>
      <c r="M1410" s="10" t="s">
        <v>9849</v>
      </c>
      <c r="N1410" s="10" t="s">
        <v>243</v>
      </c>
      <c r="O1410" s="12" t="s">
        <v>244</v>
      </c>
      <c r="P1410" s="10" t="s">
        <v>8313</v>
      </c>
      <c r="Q1410" s="10" t="s">
        <v>8314</v>
      </c>
      <c r="R1410" s="10" t="s">
        <v>247</v>
      </c>
      <c r="S1410" s="12" t="s">
        <v>8315</v>
      </c>
      <c r="T1410" s="10" t="s">
        <v>249</v>
      </c>
      <c r="U1410" s="12" t="s">
        <v>31</v>
      </c>
      <c r="V1410" s="10" t="s">
        <v>9850</v>
      </c>
      <c r="W1410" s="10" t="s">
        <v>8309</v>
      </c>
      <c r="X1410" s="13" t="str">
        <f>HYPERLINK("https://my.pitchbook.com?p=346543-30P","View People Online")</f>
        <v>View People Online</v>
      </c>
    </row>
    <row r="1411">
      <c r="A1411" s="14" t="s">
        <v>9851</v>
      </c>
      <c r="B1411" s="14" t="s">
        <v>9852</v>
      </c>
      <c r="C1411" s="14" t="s">
        <v>9853</v>
      </c>
      <c r="D1411" s="14" t="s">
        <v>9854</v>
      </c>
      <c r="E1411" s="14" t="s">
        <v>8309</v>
      </c>
      <c r="F1411" s="14" t="s">
        <v>1283</v>
      </c>
      <c r="G1411" s="14" t="s">
        <v>9855</v>
      </c>
      <c r="H1411" s="15" t="s">
        <v>31</v>
      </c>
      <c r="I1411" s="15">
        <v>2.0</v>
      </c>
      <c r="J1411" s="15">
        <v>1.0</v>
      </c>
      <c r="K1411" s="15">
        <v>1.0</v>
      </c>
      <c r="L1411" s="16" t="s">
        <v>8311</v>
      </c>
      <c r="M1411" s="14" t="s">
        <v>9856</v>
      </c>
      <c r="N1411" s="14" t="s">
        <v>243</v>
      </c>
      <c r="O1411" s="16" t="s">
        <v>244</v>
      </c>
      <c r="P1411" s="14" t="s">
        <v>8313</v>
      </c>
      <c r="Q1411" s="14" t="s">
        <v>8314</v>
      </c>
      <c r="R1411" s="14" t="s">
        <v>247</v>
      </c>
      <c r="S1411" s="16" t="s">
        <v>8315</v>
      </c>
      <c r="T1411" s="14" t="s">
        <v>249</v>
      </c>
      <c r="U1411" s="16" t="s">
        <v>31</v>
      </c>
      <c r="V1411" s="14" t="s">
        <v>9857</v>
      </c>
      <c r="W1411" s="14" t="s">
        <v>8309</v>
      </c>
      <c r="X1411" s="17" t="str">
        <f>HYPERLINK("https://my.pitchbook.com?p=352087-93P","View People Online")</f>
        <v>View People Online</v>
      </c>
    </row>
    <row r="1412">
      <c r="A1412" s="2" t="s">
        <v>9858</v>
      </c>
      <c r="B1412" s="2" t="s">
        <v>9859</v>
      </c>
      <c r="C1412" s="2" t="s">
        <v>568</v>
      </c>
      <c r="D1412" s="2" t="s">
        <v>9860</v>
      </c>
      <c r="E1412" s="2" t="s">
        <v>9861</v>
      </c>
      <c r="F1412" s="2" t="s">
        <v>371</v>
      </c>
      <c r="G1412" s="2" t="s">
        <v>9862</v>
      </c>
      <c r="H1412" s="3" t="s">
        <v>31</v>
      </c>
      <c r="I1412" s="3">
        <v>1.0</v>
      </c>
      <c r="J1412" s="3">
        <v>1.0</v>
      </c>
      <c r="K1412" s="3" t="s">
        <v>31</v>
      </c>
      <c r="L1412" s="4" t="s">
        <v>9863</v>
      </c>
      <c r="M1412" s="2" t="s">
        <v>9864</v>
      </c>
      <c r="N1412" s="2" t="s">
        <v>9865</v>
      </c>
      <c r="O1412" s="4" t="s">
        <v>9866</v>
      </c>
      <c r="P1412" s="2" t="s">
        <v>9867</v>
      </c>
      <c r="Q1412" s="2" t="s">
        <v>31</v>
      </c>
      <c r="R1412" s="2" t="s">
        <v>31</v>
      </c>
      <c r="S1412" s="4" t="s">
        <v>9868</v>
      </c>
      <c r="T1412" s="2" t="s">
        <v>38</v>
      </c>
      <c r="U1412" s="4" t="s">
        <v>9869</v>
      </c>
      <c r="V1412" s="2" t="s">
        <v>9870</v>
      </c>
      <c r="W1412" s="2" t="s">
        <v>9861</v>
      </c>
      <c r="X1412" s="5" t="str">
        <f>HYPERLINK("https://my.pitchbook.com?p=352461-52P","View People Online")</f>
        <v>View People Online</v>
      </c>
    </row>
    <row r="1413">
      <c r="A1413" s="6" t="s">
        <v>9871</v>
      </c>
      <c r="B1413" s="6" t="s">
        <v>9872</v>
      </c>
      <c r="C1413" s="6" t="s">
        <v>237</v>
      </c>
      <c r="D1413" s="6" t="s">
        <v>9873</v>
      </c>
      <c r="E1413" s="6" t="s">
        <v>9861</v>
      </c>
      <c r="F1413" s="6" t="s">
        <v>8021</v>
      </c>
      <c r="G1413" s="6" t="s">
        <v>9874</v>
      </c>
      <c r="H1413" s="7" t="s">
        <v>31</v>
      </c>
      <c r="I1413" s="7">
        <v>3.0</v>
      </c>
      <c r="J1413" s="7">
        <v>1.0</v>
      </c>
      <c r="K1413" s="7">
        <v>2.0</v>
      </c>
      <c r="L1413" s="8" t="s">
        <v>9875</v>
      </c>
      <c r="M1413" s="6" t="s">
        <v>9876</v>
      </c>
      <c r="N1413" s="6" t="s">
        <v>9865</v>
      </c>
      <c r="O1413" s="8" t="s">
        <v>9866</v>
      </c>
      <c r="P1413" s="6" t="s">
        <v>9867</v>
      </c>
      <c r="Q1413" s="6" t="s">
        <v>31</v>
      </c>
      <c r="R1413" s="6" t="s">
        <v>31</v>
      </c>
      <c r="S1413" s="8" t="s">
        <v>9868</v>
      </c>
      <c r="T1413" s="6" t="s">
        <v>38</v>
      </c>
      <c r="U1413" s="8" t="s">
        <v>9869</v>
      </c>
      <c r="V1413" s="6" t="s">
        <v>9877</v>
      </c>
      <c r="W1413" s="6" t="s">
        <v>9861</v>
      </c>
      <c r="X1413" s="9" t="str">
        <f>HYPERLINK("https://my.pitchbook.com?p=387969-22P","View People Online")</f>
        <v>View People Online</v>
      </c>
    </row>
    <row r="1414">
      <c r="A1414" s="2" t="s">
        <v>9878</v>
      </c>
      <c r="B1414" s="2" t="s">
        <v>9879</v>
      </c>
      <c r="C1414" s="2" t="s">
        <v>237</v>
      </c>
      <c r="D1414" s="2" t="s">
        <v>9880</v>
      </c>
      <c r="E1414" s="2" t="s">
        <v>9861</v>
      </c>
      <c r="F1414" s="2" t="s">
        <v>371</v>
      </c>
      <c r="G1414" s="2" t="s">
        <v>9881</v>
      </c>
      <c r="H1414" s="3" t="s">
        <v>31</v>
      </c>
      <c r="I1414" s="3">
        <v>1.0</v>
      </c>
      <c r="J1414" s="3">
        <v>1.0</v>
      </c>
      <c r="K1414" s="3" t="s">
        <v>31</v>
      </c>
      <c r="L1414" s="4" t="s">
        <v>9875</v>
      </c>
      <c r="M1414" s="2" t="s">
        <v>9882</v>
      </c>
      <c r="N1414" s="2" t="s">
        <v>9865</v>
      </c>
      <c r="O1414" s="4" t="s">
        <v>9866</v>
      </c>
      <c r="P1414" s="2" t="s">
        <v>9867</v>
      </c>
      <c r="Q1414" s="2" t="s">
        <v>31</v>
      </c>
      <c r="R1414" s="2" t="s">
        <v>31</v>
      </c>
      <c r="S1414" s="4" t="s">
        <v>9868</v>
      </c>
      <c r="T1414" s="2" t="s">
        <v>38</v>
      </c>
      <c r="U1414" s="4" t="s">
        <v>9869</v>
      </c>
      <c r="V1414" s="2" t="s">
        <v>9883</v>
      </c>
      <c r="W1414" s="2" t="s">
        <v>9861</v>
      </c>
      <c r="X1414" s="5" t="str">
        <f>HYPERLINK("https://my.pitchbook.com?p=380823-40P","View People Online")</f>
        <v>View People Online</v>
      </c>
    </row>
    <row r="1415">
      <c r="A1415" s="14" t="s">
        <v>9884</v>
      </c>
      <c r="B1415" s="14" t="s">
        <v>9885</v>
      </c>
      <c r="C1415" s="14" t="s">
        <v>8155</v>
      </c>
      <c r="D1415" s="14" t="s">
        <v>9886</v>
      </c>
      <c r="E1415" s="14" t="s">
        <v>9861</v>
      </c>
      <c r="F1415" s="14" t="s">
        <v>270</v>
      </c>
      <c r="G1415" s="14" t="s">
        <v>9887</v>
      </c>
      <c r="H1415" s="15" t="s">
        <v>31</v>
      </c>
      <c r="I1415" s="15">
        <v>1.0</v>
      </c>
      <c r="J1415" s="15">
        <v>1.0</v>
      </c>
      <c r="K1415" s="15" t="s">
        <v>31</v>
      </c>
      <c r="L1415" s="16" t="s">
        <v>9888</v>
      </c>
      <c r="M1415" s="14" t="s">
        <v>31</v>
      </c>
      <c r="N1415" s="14" t="s">
        <v>9865</v>
      </c>
      <c r="O1415" s="16" t="s">
        <v>9866</v>
      </c>
      <c r="P1415" s="14" t="s">
        <v>9867</v>
      </c>
      <c r="Q1415" s="14" t="s">
        <v>31</v>
      </c>
      <c r="R1415" s="14" t="s">
        <v>31</v>
      </c>
      <c r="S1415" s="16" t="s">
        <v>9868</v>
      </c>
      <c r="T1415" s="14" t="s">
        <v>38</v>
      </c>
      <c r="U1415" s="16" t="s">
        <v>9869</v>
      </c>
      <c r="V1415" s="14" t="s">
        <v>9889</v>
      </c>
      <c r="W1415" s="14" t="s">
        <v>9861</v>
      </c>
      <c r="X1415" s="17" t="str">
        <f>HYPERLINK("https://my.pitchbook.com?p=290659-42P","View People Online")</f>
        <v>View People Online</v>
      </c>
    </row>
    <row r="1416">
      <c r="A1416" s="10" t="s">
        <v>9890</v>
      </c>
      <c r="B1416" s="10" t="s">
        <v>9891</v>
      </c>
      <c r="C1416" s="10" t="s">
        <v>1541</v>
      </c>
      <c r="D1416" s="10" t="s">
        <v>9892</v>
      </c>
      <c r="E1416" s="10" t="s">
        <v>9861</v>
      </c>
      <c r="F1416" s="10" t="s">
        <v>270</v>
      </c>
      <c r="G1416" s="10" t="s">
        <v>9893</v>
      </c>
      <c r="H1416" s="11" t="s">
        <v>31</v>
      </c>
      <c r="I1416" s="11">
        <v>1.0</v>
      </c>
      <c r="J1416" s="11">
        <v>1.0</v>
      </c>
      <c r="K1416" s="11" t="s">
        <v>31</v>
      </c>
      <c r="L1416" s="12" t="s">
        <v>9875</v>
      </c>
      <c r="M1416" s="10" t="s">
        <v>9894</v>
      </c>
      <c r="N1416" s="10" t="s">
        <v>9865</v>
      </c>
      <c r="O1416" s="12" t="s">
        <v>9866</v>
      </c>
      <c r="P1416" s="10" t="s">
        <v>9867</v>
      </c>
      <c r="Q1416" s="10" t="s">
        <v>31</v>
      </c>
      <c r="R1416" s="10" t="s">
        <v>31</v>
      </c>
      <c r="S1416" s="12" t="s">
        <v>9868</v>
      </c>
      <c r="T1416" s="10" t="s">
        <v>38</v>
      </c>
      <c r="U1416" s="12" t="s">
        <v>9869</v>
      </c>
      <c r="V1416" s="10" t="s">
        <v>9895</v>
      </c>
      <c r="W1416" s="10" t="s">
        <v>9861</v>
      </c>
      <c r="X1416" s="13" t="str">
        <f>HYPERLINK("https://my.pitchbook.com?p=289971-46P","View People Online")</f>
        <v>View People Online</v>
      </c>
    </row>
    <row r="1417">
      <c r="A1417" s="6" t="s">
        <v>9896</v>
      </c>
      <c r="B1417" s="6" t="s">
        <v>9897</v>
      </c>
      <c r="C1417" s="6" t="s">
        <v>9898</v>
      </c>
      <c r="D1417" s="6" t="s">
        <v>9899</v>
      </c>
      <c r="E1417" s="6" t="s">
        <v>9861</v>
      </c>
      <c r="F1417" s="6" t="s">
        <v>825</v>
      </c>
      <c r="G1417" s="6" t="s">
        <v>9900</v>
      </c>
      <c r="H1417" s="7" t="s">
        <v>31</v>
      </c>
      <c r="I1417" s="7">
        <v>2.0</v>
      </c>
      <c r="J1417" s="7">
        <v>1.0</v>
      </c>
      <c r="K1417" s="7">
        <v>1.0</v>
      </c>
      <c r="L1417" s="8" t="s">
        <v>9875</v>
      </c>
      <c r="M1417" s="6" t="s">
        <v>9901</v>
      </c>
      <c r="N1417" s="6" t="s">
        <v>9865</v>
      </c>
      <c r="O1417" s="8" t="s">
        <v>9866</v>
      </c>
      <c r="P1417" s="6" t="s">
        <v>9867</v>
      </c>
      <c r="Q1417" s="6" t="s">
        <v>31</v>
      </c>
      <c r="R1417" s="6" t="s">
        <v>31</v>
      </c>
      <c r="S1417" s="8" t="s">
        <v>9868</v>
      </c>
      <c r="T1417" s="6" t="s">
        <v>38</v>
      </c>
      <c r="U1417" s="8" t="s">
        <v>9869</v>
      </c>
      <c r="V1417" s="6" t="s">
        <v>825</v>
      </c>
      <c r="W1417" s="6" t="s">
        <v>9861</v>
      </c>
      <c r="X1417" s="9" t="str">
        <f>HYPERLINK("https://my.pitchbook.com?p=91695-97P","View People Online")</f>
        <v>View People Online</v>
      </c>
    </row>
    <row r="1418">
      <c r="A1418" s="2" t="s">
        <v>9902</v>
      </c>
      <c r="B1418" s="2" t="s">
        <v>9903</v>
      </c>
      <c r="C1418" s="2" t="s">
        <v>9904</v>
      </c>
      <c r="D1418" s="2" t="s">
        <v>9905</v>
      </c>
      <c r="E1418" s="2" t="s">
        <v>9861</v>
      </c>
      <c r="F1418" s="2" t="s">
        <v>5787</v>
      </c>
      <c r="G1418" s="2" t="s">
        <v>9906</v>
      </c>
      <c r="H1418" s="3" t="s">
        <v>31</v>
      </c>
      <c r="I1418" s="3">
        <v>1.0</v>
      </c>
      <c r="J1418" s="3">
        <v>1.0</v>
      </c>
      <c r="K1418" s="3" t="s">
        <v>31</v>
      </c>
      <c r="L1418" s="4" t="s">
        <v>9907</v>
      </c>
      <c r="M1418" s="2" t="s">
        <v>31</v>
      </c>
      <c r="N1418" s="2" t="s">
        <v>9865</v>
      </c>
      <c r="O1418" s="4" t="s">
        <v>9866</v>
      </c>
      <c r="P1418" s="2" t="s">
        <v>9867</v>
      </c>
      <c r="Q1418" s="2" t="s">
        <v>31</v>
      </c>
      <c r="R1418" s="2" t="s">
        <v>31</v>
      </c>
      <c r="S1418" s="4" t="s">
        <v>9868</v>
      </c>
      <c r="T1418" s="2" t="s">
        <v>38</v>
      </c>
      <c r="U1418" s="4" t="s">
        <v>9869</v>
      </c>
      <c r="V1418" s="2" t="s">
        <v>9908</v>
      </c>
      <c r="W1418" s="2" t="s">
        <v>9861</v>
      </c>
      <c r="X1418" s="5" t="str">
        <f>HYPERLINK("https://my.pitchbook.com?p=352462-60P","View People Online")</f>
        <v>View People Online</v>
      </c>
    </row>
    <row r="1419">
      <c r="A1419" s="6" t="s">
        <v>9909</v>
      </c>
      <c r="B1419" s="6" t="s">
        <v>9910</v>
      </c>
      <c r="C1419" s="6" t="s">
        <v>9911</v>
      </c>
      <c r="D1419" s="6" t="s">
        <v>9912</v>
      </c>
      <c r="E1419" s="6" t="s">
        <v>9861</v>
      </c>
      <c r="F1419" s="6" t="s">
        <v>270</v>
      </c>
      <c r="G1419" s="6" t="s">
        <v>9913</v>
      </c>
      <c r="H1419" s="7" t="s">
        <v>31</v>
      </c>
      <c r="I1419" s="7">
        <v>1.0</v>
      </c>
      <c r="J1419" s="7">
        <v>1.0</v>
      </c>
      <c r="K1419" s="7" t="s">
        <v>31</v>
      </c>
      <c r="L1419" s="8" t="s">
        <v>9914</v>
      </c>
      <c r="M1419" s="6" t="s">
        <v>9915</v>
      </c>
      <c r="N1419" s="6" t="s">
        <v>9865</v>
      </c>
      <c r="O1419" s="8" t="s">
        <v>9866</v>
      </c>
      <c r="P1419" s="6" t="s">
        <v>9867</v>
      </c>
      <c r="Q1419" s="6" t="s">
        <v>31</v>
      </c>
      <c r="R1419" s="6" t="s">
        <v>31</v>
      </c>
      <c r="S1419" s="8" t="s">
        <v>9868</v>
      </c>
      <c r="T1419" s="6" t="s">
        <v>38</v>
      </c>
      <c r="U1419" s="8" t="s">
        <v>9869</v>
      </c>
      <c r="V1419" s="6" t="s">
        <v>9916</v>
      </c>
      <c r="W1419" s="6" t="s">
        <v>9861</v>
      </c>
      <c r="X1419" s="9" t="str">
        <f>HYPERLINK("https://my.pitchbook.com?p=290657-71P","View People Online")</f>
        <v>View People Online</v>
      </c>
    </row>
    <row r="1420">
      <c r="A1420" s="10" t="s">
        <v>9917</v>
      </c>
      <c r="B1420" s="10" t="s">
        <v>9918</v>
      </c>
      <c r="C1420" s="10" t="s">
        <v>3828</v>
      </c>
      <c r="D1420" s="10" t="s">
        <v>4002</v>
      </c>
      <c r="E1420" s="10" t="s">
        <v>9861</v>
      </c>
      <c r="F1420" s="10" t="s">
        <v>5787</v>
      </c>
      <c r="G1420" s="10" t="s">
        <v>9919</v>
      </c>
      <c r="H1420" s="11" t="s">
        <v>31</v>
      </c>
      <c r="I1420" s="11">
        <v>1.0</v>
      </c>
      <c r="J1420" s="11">
        <v>1.0</v>
      </c>
      <c r="K1420" s="11" t="s">
        <v>31</v>
      </c>
      <c r="L1420" s="12" t="s">
        <v>9920</v>
      </c>
      <c r="M1420" s="10" t="s">
        <v>9921</v>
      </c>
      <c r="N1420" s="10" t="s">
        <v>9865</v>
      </c>
      <c r="O1420" s="12" t="s">
        <v>9866</v>
      </c>
      <c r="P1420" s="10" t="s">
        <v>9867</v>
      </c>
      <c r="Q1420" s="10" t="s">
        <v>31</v>
      </c>
      <c r="R1420" s="10" t="s">
        <v>31</v>
      </c>
      <c r="S1420" s="12" t="s">
        <v>9868</v>
      </c>
      <c r="T1420" s="10" t="s">
        <v>38</v>
      </c>
      <c r="U1420" s="12" t="s">
        <v>9869</v>
      </c>
      <c r="V1420" s="10" t="s">
        <v>9922</v>
      </c>
      <c r="W1420" s="10" t="s">
        <v>9861</v>
      </c>
      <c r="X1420" s="13" t="str">
        <f>HYPERLINK("https://my.pitchbook.com?p=352466-29P","View People Online")</f>
        <v>View People Online</v>
      </c>
    </row>
    <row r="1421">
      <c r="A1421" s="6" t="s">
        <v>9923</v>
      </c>
      <c r="B1421" s="6" t="s">
        <v>9924</v>
      </c>
      <c r="C1421" s="6" t="s">
        <v>5113</v>
      </c>
      <c r="D1421" s="6" t="s">
        <v>9925</v>
      </c>
      <c r="E1421" s="6" t="s">
        <v>9861</v>
      </c>
      <c r="F1421" s="6" t="s">
        <v>1801</v>
      </c>
      <c r="G1421" s="6" t="s">
        <v>9926</v>
      </c>
      <c r="H1421" s="7" t="s">
        <v>31</v>
      </c>
      <c r="I1421" s="7">
        <v>1.0</v>
      </c>
      <c r="J1421" s="7">
        <v>1.0</v>
      </c>
      <c r="K1421" s="7" t="s">
        <v>31</v>
      </c>
      <c r="L1421" s="8" t="s">
        <v>9875</v>
      </c>
      <c r="M1421" s="6" t="s">
        <v>9927</v>
      </c>
      <c r="N1421" s="6" t="s">
        <v>9865</v>
      </c>
      <c r="O1421" s="8" t="s">
        <v>9866</v>
      </c>
      <c r="P1421" s="6" t="s">
        <v>9867</v>
      </c>
      <c r="Q1421" s="6" t="s">
        <v>31</v>
      </c>
      <c r="R1421" s="6" t="s">
        <v>31</v>
      </c>
      <c r="S1421" s="8" t="s">
        <v>9868</v>
      </c>
      <c r="T1421" s="6" t="s">
        <v>38</v>
      </c>
      <c r="U1421" s="8" t="s">
        <v>9869</v>
      </c>
      <c r="V1421" s="6" t="s">
        <v>4118</v>
      </c>
      <c r="W1421" s="6" t="s">
        <v>9861</v>
      </c>
      <c r="X1421" s="9" t="str">
        <f>HYPERLINK("https://my.pitchbook.com?p=380820-43P","View People Online")</f>
        <v>View People Online</v>
      </c>
    </row>
    <row r="1422">
      <c r="A1422" s="10" t="s">
        <v>9928</v>
      </c>
      <c r="B1422" s="10" t="s">
        <v>9929</v>
      </c>
      <c r="C1422" s="10" t="s">
        <v>9930</v>
      </c>
      <c r="D1422" s="10" t="s">
        <v>9931</v>
      </c>
      <c r="E1422" s="10" t="s">
        <v>9861</v>
      </c>
      <c r="F1422" s="10" t="s">
        <v>825</v>
      </c>
      <c r="G1422" s="10" t="s">
        <v>9932</v>
      </c>
      <c r="H1422" s="11" t="s">
        <v>31</v>
      </c>
      <c r="I1422" s="11">
        <v>1.0</v>
      </c>
      <c r="J1422" s="11">
        <v>1.0</v>
      </c>
      <c r="K1422" s="11" t="s">
        <v>31</v>
      </c>
      <c r="L1422" s="12" t="s">
        <v>9933</v>
      </c>
      <c r="M1422" s="10" t="s">
        <v>9934</v>
      </c>
      <c r="N1422" s="10" t="s">
        <v>9865</v>
      </c>
      <c r="O1422" s="12" t="s">
        <v>9866</v>
      </c>
      <c r="P1422" s="10" t="s">
        <v>9867</v>
      </c>
      <c r="Q1422" s="10" t="s">
        <v>31</v>
      </c>
      <c r="R1422" s="10" t="s">
        <v>31</v>
      </c>
      <c r="S1422" s="12" t="s">
        <v>9868</v>
      </c>
      <c r="T1422" s="10" t="s">
        <v>38</v>
      </c>
      <c r="U1422" s="12" t="s">
        <v>9869</v>
      </c>
      <c r="V1422" s="10" t="s">
        <v>9935</v>
      </c>
      <c r="W1422" s="10" t="s">
        <v>9861</v>
      </c>
      <c r="X1422" s="13" t="str">
        <f>HYPERLINK("https://my.pitchbook.com?p=290660-23P","View People Online")</f>
        <v>View People Online</v>
      </c>
    </row>
    <row r="1423">
      <c r="A1423" s="6" t="s">
        <v>9936</v>
      </c>
      <c r="B1423" s="6" t="s">
        <v>9937</v>
      </c>
      <c r="C1423" s="6" t="s">
        <v>9938</v>
      </c>
      <c r="D1423" s="6" t="s">
        <v>9939</v>
      </c>
      <c r="E1423" s="6" t="s">
        <v>9861</v>
      </c>
      <c r="F1423" s="6" t="s">
        <v>270</v>
      </c>
      <c r="G1423" s="6" t="s">
        <v>9940</v>
      </c>
      <c r="H1423" s="7" t="s">
        <v>31</v>
      </c>
      <c r="I1423" s="7">
        <v>1.0</v>
      </c>
      <c r="J1423" s="7">
        <v>1.0</v>
      </c>
      <c r="K1423" s="7" t="s">
        <v>31</v>
      </c>
      <c r="L1423" s="8" t="s">
        <v>9875</v>
      </c>
      <c r="M1423" s="6" t="s">
        <v>9941</v>
      </c>
      <c r="N1423" s="6" t="s">
        <v>9865</v>
      </c>
      <c r="O1423" s="8" t="s">
        <v>9866</v>
      </c>
      <c r="P1423" s="6" t="s">
        <v>9867</v>
      </c>
      <c r="Q1423" s="6" t="s">
        <v>31</v>
      </c>
      <c r="R1423" s="6" t="s">
        <v>31</v>
      </c>
      <c r="S1423" s="8" t="s">
        <v>9868</v>
      </c>
      <c r="T1423" s="6" t="s">
        <v>38</v>
      </c>
      <c r="U1423" s="8" t="s">
        <v>9869</v>
      </c>
      <c r="V1423" s="6" t="s">
        <v>9942</v>
      </c>
      <c r="W1423" s="6" t="s">
        <v>9861</v>
      </c>
      <c r="X1423" s="9" t="str">
        <f>HYPERLINK("https://my.pitchbook.com?p=451795-33P","View People Online")</f>
        <v>View People Online</v>
      </c>
    </row>
    <row r="1424">
      <c r="A1424" s="10" t="s">
        <v>9943</v>
      </c>
      <c r="B1424" s="10" t="s">
        <v>9944</v>
      </c>
      <c r="C1424" s="10" t="s">
        <v>3221</v>
      </c>
      <c r="D1424" s="10" t="s">
        <v>9945</v>
      </c>
      <c r="E1424" s="10" t="s">
        <v>9861</v>
      </c>
      <c r="F1424" s="10" t="s">
        <v>4527</v>
      </c>
      <c r="G1424" s="10" t="s">
        <v>9946</v>
      </c>
      <c r="H1424" s="11">
        <v>1.0</v>
      </c>
      <c r="I1424" s="11">
        <v>2.0</v>
      </c>
      <c r="J1424" s="11">
        <v>1.0</v>
      </c>
      <c r="K1424" s="11">
        <v>1.0</v>
      </c>
      <c r="L1424" s="12" t="s">
        <v>9875</v>
      </c>
      <c r="M1424" s="10" t="s">
        <v>9947</v>
      </c>
      <c r="N1424" s="10" t="s">
        <v>9865</v>
      </c>
      <c r="O1424" s="12" t="s">
        <v>9866</v>
      </c>
      <c r="P1424" s="10" t="s">
        <v>9867</v>
      </c>
      <c r="Q1424" s="10" t="s">
        <v>31</v>
      </c>
      <c r="R1424" s="10" t="s">
        <v>31</v>
      </c>
      <c r="S1424" s="12" t="s">
        <v>9868</v>
      </c>
      <c r="T1424" s="10" t="s">
        <v>38</v>
      </c>
      <c r="U1424" s="12" t="s">
        <v>9869</v>
      </c>
      <c r="V1424" s="10" t="s">
        <v>9948</v>
      </c>
      <c r="W1424" s="10" t="s">
        <v>9861</v>
      </c>
      <c r="X1424" s="13" t="str">
        <f>HYPERLINK("https://my.pitchbook.com?p=209315-08P","View People Online")</f>
        <v>View People Online</v>
      </c>
    </row>
    <row r="1425">
      <c r="A1425" s="14" t="s">
        <v>9949</v>
      </c>
      <c r="B1425" s="14" t="s">
        <v>9950</v>
      </c>
      <c r="C1425" s="14" t="s">
        <v>167</v>
      </c>
      <c r="D1425" s="14" t="s">
        <v>9951</v>
      </c>
      <c r="E1425" s="14" t="s">
        <v>9861</v>
      </c>
      <c r="F1425" s="14" t="s">
        <v>9952</v>
      </c>
      <c r="G1425" s="14" t="s">
        <v>9953</v>
      </c>
      <c r="H1425" s="15" t="s">
        <v>31</v>
      </c>
      <c r="I1425" s="15">
        <v>1.0</v>
      </c>
      <c r="J1425" s="15">
        <v>1.0</v>
      </c>
      <c r="K1425" s="15" t="s">
        <v>31</v>
      </c>
      <c r="L1425" s="16" t="s">
        <v>9954</v>
      </c>
      <c r="M1425" s="14" t="s">
        <v>9955</v>
      </c>
      <c r="N1425" s="14" t="s">
        <v>9865</v>
      </c>
      <c r="O1425" s="16" t="s">
        <v>9866</v>
      </c>
      <c r="P1425" s="14" t="s">
        <v>9867</v>
      </c>
      <c r="Q1425" s="14" t="s">
        <v>31</v>
      </c>
      <c r="R1425" s="14" t="s">
        <v>31</v>
      </c>
      <c r="S1425" s="16" t="s">
        <v>9868</v>
      </c>
      <c r="T1425" s="14" t="s">
        <v>38</v>
      </c>
      <c r="U1425" s="16" t="s">
        <v>9869</v>
      </c>
      <c r="V1425" s="14" t="s">
        <v>9956</v>
      </c>
      <c r="W1425" s="14" t="s">
        <v>9861</v>
      </c>
      <c r="X1425" s="17" t="str">
        <f>HYPERLINK("https://my.pitchbook.com?p=290656-90P","View People Online")</f>
        <v>View People Online</v>
      </c>
    </row>
    <row r="1426">
      <c r="A1426" s="2" t="s">
        <v>9957</v>
      </c>
      <c r="B1426" s="2" t="s">
        <v>9958</v>
      </c>
      <c r="C1426" s="2" t="s">
        <v>9959</v>
      </c>
      <c r="D1426" s="2" t="s">
        <v>9960</v>
      </c>
      <c r="E1426" s="2" t="s">
        <v>9861</v>
      </c>
      <c r="F1426" s="2" t="s">
        <v>5538</v>
      </c>
      <c r="G1426" s="2" t="s">
        <v>9961</v>
      </c>
      <c r="H1426" s="3" t="s">
        <v>31</v>
      </c>
      <c r="I1426" s="3">
        <v>1.0</v>
      </c>
      <c r="J1426" s="3">
        <v>1.0</v>
      </c>
      <c r="K1426" s="3" t="s">
        <v>31</v>
      </c>
      <c r="L1426" s="4" t="s">
        <v>9962</v>
      </c>
      <c r="M1426" s="2" t="s">
        <v>9963</v>
      </c>
      <c r="N1426" s="2" t="s">
        <v>9865</v>
      </c>
      <c r="O1426" s="4" t="s">
        <v>9866</v>
      </c>
      <c r="P1426" s="2" t="s">
        <v>9867</v>
      </c>
      <c r="Q1426" s="2" t="s">
        <v>31</v>
      </c>
      <c r="R1426" s="2" t="s">
        <v>31</v>
      </c>
      <c r="S1426" s="4" t="s">
        <v>9868</v>
      </c>
      <c r="T1426" s="2" t="s">
        <v>38</v>
      </c>
      <c r="U1426" s="4" t="s">
        <v>9869</v>
      </c>
      <c r="V1426" s="2" t="s">
        <v>9964</v>
      </c>
      <c r="W1426" s="2" t="s">
        <v>9861</v>
      </c>
      <c r="X1426" s="5" t="str">
        <f>HYPERLINK("https://my.pitchbook.com?p=290652-31P","View People Online")</f>
        <v>View People Online</v>
      </c>
    </row>
    <row r="1427">
      <c r="A1427" s="14" t="s">
        <v>9965</v>
      </c>
      <c r="B1427" s="14" t="s">
        <v>9966</v>
      </c>
      <c r="C1427" s="14" t="s">
        <v>9967</v>
      </c>
      <c r="D1427" s="14" t="s">
        <v>9968</v>
      </c>
      <c r="E1427" s="14" t="s">
        <v>9861</v>
      </c>
      <c r="F1427" s="14" t="s">
        <v>6525</v>
      </c>
      <c r="G1427" s="14" t="s">
        <v>9969</v>
      </c>
      <c r="H1427" s="15" t="s">
        <v>31</v>
      </c>
      <c r="I1427" s="15">
        <v>1.0</v>
      </c>
      <c r="J1427" s="15">
        <v>1.0</v>
      </c>
      <c r="K1427" s="15" t="s">
        <v>31</v>
      </c>
      <c r="L1427" s="16" t="s">
        <v>9875</v>
      </c>
      <c r="M1427" s="14" t="s">
        <v>31</v>
      </c>
      <c r="N1427" s="14" t="s">
        <v>9865</v>
      </c>
      <c r="O1427" s="16" t="s">
        <v>9866</v>
      </c>
      <c r="P1427" s="14" t="s">
        <v>9867</v>
      </c>
      <c r="Q1427" s="14" t="s">
        <v>31</v>
      </c>
      <c r="R1427" s="14" t="s">
        <v>31</v>
      </c>
      <c r="S1427" s="16" t="s">
        <v>9868</v>
      </c>
      <c r="T1427" s="14" t="s">
        <v>38</v>
      </c>
      <c r="U1427" s="16" t="s">
        <v>9869</v>
      </c>
      <c r="V1427" s="14" t="s">
        <v>6525</v>
      </c>
      <c r="W1427" s="14" t="s">
        <v>9861</v>
      </c>
      <c r="X1427" s="17" t="str">
        <f>HYPERLINK("https://my.pitchbook.com?p=442120-42P","View People Online")</f>
        <v>View People Online</v>
      </c>
    </row>
    <row r="1428">
      <c r="A1428" s="2" t="s">
        <v>9970</v>
      </c>
      <c r="B1428" s="2" t="s">
        <v>9971</v>
      </c>
      <c r="C1428" s="2" t="s">
        <v>9972</v>
      </c>
      <c r="D1428" s="2" t="s">
        <v>9973</v>
      </c>
      <c r="E1428" s="2" t="s">
        <v>9861</v>
      </c>
      <c r="F1428" s="2" t="s">
        <v>270</v>
      </c>
      <c r="G1428" s="2" t="s">
        <v>9974</v>
      </c>
      <c r="H1428" s="3" t="s">
        <v>31</v>
      </c>
      <c r="I1428" s="3">
        <v>1.0</v>
      </c>
      <c r="J1428" s="3">
        <v>1.0</v>
      </c>
      <c r="K1428" s="3" t="s">
        <v>31</v>
      </c>
      <c r="L1428" s="4" t="s">
        <v>9975</v>
      </c>
      <c r="M1428" s="2" t="s">
        <v>9976</v>
      </c>
      <c r="N1428" s="2" t="s">
        <v>9865</v>
      </c>
      <c r="O1428" s="4" t="s">
        <v>9866</v>
      </c>
      <c r="P1428" s="2" t="s">
        <v>9867</v>
      </c>
      <c r="Q1428" s="2" t="s">
        <v>31</v>
      </c>
      <c r="R1428" s="2" t="s">
        <v>31</v>
      </c>
      <c r="S1428" s="4" t="s">
        <v>9868</v>
      </c>
      <c r="T1428" s="2" t="s">
        <v>38</v>
      </c>
      <c r="U1428" s="4" t="s">
        <v>9869</v>
      </c>
      <c r="V1428" s="2" t="s">
        <v>9977</v>
      </c>
      <c r="W1428" s="2" t="s">
        <v>9861</v>
      </c>
      <c r="X1428" s="5" t="str">
        <f>HYPERLINK("https://my.pitchbook.com?p=451794-07P","View People Online")</f>
        <v>View People Online</v>
      </c>
    </row>
    <row r="1429">
      <c r="A1429" s="6" t="s">
        <v>9978</v>
      </c>
      <c r="B1429" s="6" t="s">
        <v>9979</v>
      </c>
      <c r="C1429" s="6" t="s">
        <v>9980</v>
      </c>
      <c r="D1429" s="6" t="s">
        <v>9981</v>
      </c>
      <c r="E1429" s="6" t="s">
        <v>9861</v>
      </c>
      <c r="F1429" s="6" t="s">
        <v>825</v>
      </c>
      <c r="G1429" s="6" t="s">
        <v>9982</v>
      </c>
      <c r="H1429" s="7" t="s">
        <v>31</v>
      </c>
      <c r="I1429" s="7">
        <v>1.0</v>
      </c>
      <c r="J1429" s="7">
        <v>1.0</v>
      </c>
      <c r="K1429" s="7" t="s">
        <v>31</v>
      </c>
      <c r="L1429" s="8" t="s">
        <v>9863</v>
      </c>
      <c r="M1429" s="6" t="s">
        <v>9983</v>
      </c>
      <c r="N1429" s="6" t="s">
        <v>9865</v>
      </c>
      <c r="O1429" s="8" t="s">
        <v>9866</v>
      </c>
      <c r="P1429" s="6" t="s">
        <v>9867</v>
      </c>
      <c r="Q1429" s="6" t="s">
        <v>31</v>
      </c>
      <c r="R1429" s="6" t="s">
        <v>31</v>
      </c>
      <c r="S1429" s="8" t="s">
        <v>9868</v>
      </c>
      <c r="T1429" s="6" t="s">
        <v>38</v>
      </c>
      <c r="U1429" s="8" t="s">
        <v>9869</v>
      </c>
      <c r="V1429" s="6" t="s">
        <v>9984</v>
      </c>
      <c r="W1429" s="6" t="s">
        <v>9861</v>
      </c>
      <c r="X1429" s="9" t="str">
        <f>HYPERLINK("https://my.pitchbook.com?p=290650-78P","View People Online")</f>
        <v>View People Online</v>
      </c>
    </row>
    <row r="1430">
      <c r="A1430" s="10" t="s">
        <v>9985</v>
      </c>
      <c r="B1430" s="10" t="s">
        <v>9986</v>
      </c>
      <c r="C1430" s="10" t="s">
        <v>9987</v>
      </c>
      <c r="D1430" s="10" t="s">
        <v>9988</v>
      </c>
      <c r="E1430" s="10" t="s">
        <v>9861</v>
      </c>
      <c r="F1430" s="10" t="s">
        <v>5515</v>
      </c>
      <c r="G1430" s="10" t="s">
        <v>9989</v>
      </c>
      <c r="H1430" s="11">
        <v>1.0</v>
      </c>
      <c r="I1430" s="11">
        <v>1.0</v>
      </c>
      <c r="J1430" s="11">
        <v>1.0</v>
      </c>
      <c r="K1430" s="11" t="s">
        <v>31</v>
      </c>
      <c r="L1430" s="12" t="s">
        <v>9875</v>
      </c>
      <c r="M1430" s="10" t="s">
        <v>9990</v>
      </c>
      <c r="N1430" s="10" t="s">
        <v>9865</v>
      </c>
      <c r="O1430" s="12" t="s">
        <v>9866</v>
      </c>
      <c r="P1430" s="10" t="s">
        <v>9867</v>
      </c>
      <c r="Q1430" s="10" t="s">
        <v>31</v>
      </c>
      <c r="R1430" s="10" t="s">
        <v>31</v>
      </c>
      <c r="S1430" s="12" t="s">
        <v>9868</v>
      </c>
      <c r="T1430" s="10" t="s">
        <v>38</v>
      </c>
      <c r="U1430" s="12" t="s">
        <v>9869</v>
      </c>
      <c r="V1430" s="10" t="s">
        <v>9991</v>
      </c>
      <c r="W1430" s="10" t="s">
        <v>9861</v>
      </c>
      <c r="X1430" s="13" t="str">
        <f>HYPERLINK("https://my.pitchbook.com?p=352458-73P","View People Online")</f>
        <v>View People Online</v>
      </c>
    </row>
    <row r="1431">
      <c r="A1431" s="6" t="s">
        <v>9992</v>
      </c>
      <c r="B1431" s="6" t="s">
        <v>9993</v>
      </c>
      <c r="C1431" s="6" t="s">
        <v>237</v>
      </c>
      <c r="D1431" s="6" t="s">
        <v>1147</v>
      </c>
      <c r="E1431" s="6" t="s">
        <v>9994</v>
      </c>
      <c r="F1431" s="6" t="s">
        <v>43</v>
      </c>
      <c r="G1431" s="6" t="s">
        <v>9995</v>
      </c>
      <c r="H1431" s="7" t="s">
        <v>31</v>
      </c>
      <c r="I1431" s="7">
        <v>3.0</v>
      </c>
      <c r="J1431" s="7">
        <v>2.0</v>
      </c>
      <c r="K1431" s="7">
        <v>1.0</v>
      </c>
      <c r="L1431" s="8" t="s">
        <v>9996</v>
      </c>
      <c r="M1431" s="6" t="s">
        <v>9997</v>
      </c>
      <c r="N1431" s="6" t="s">
        <v>1181</v>
      </c>
      <c r="O1431" s="8" t="s">
        <v>1182</v>
      </c>
      <c r="P1431" s="6" t="s">
        <v>9998</v>
      </c>
      <c r="Q1431" s="6" t="s">
        <v>31</v>
      </c>
      <c r="R1431" s="6" t="s">
        <v>1185</v>
      </c>
      <c r="S1431" s="8" t="s">
        <v>9999</v>
      </c>
      <c r="T1431" s="6" t="s">
        <v>66</v>
      </c>
      <c r="U1431" s="8" t="s">
        <v>31</v>
      </c>
      <c r="V1431" s="6" t="s">
        <v>43</v>
      </c>
      <c r="W1431" s="6" t="s">
        <v>9994</v>
      </c>
      <c r="X1431" s="9" t="str">
        <f>HYPERLINK("https://my.pitchbook.com?p=38537-11P","View People Online")</f>
        <v>View People Online</v>
      </c>
    </row>
    <row r="1432">
      <c r="A1432" s="10" t="s">
        <v>10000</v>
      </c>
      <c r="B1432" s="10" t="s">
        <v>10001</v>
      </c>
      <c r="C1432" s="10" t="s">
        <v>10002</v>
      </c>
      <c r="D1432" s="10" t="s">
        <v>10003</v>
      </c>
      <c r="E1432" s="10" t="s">
        <v>9994</v>
      </c>
      <c r="F1432" s="10" t="s">
        <v>43</v>
      </c>
      <c r="G1432" s="10" t="s">
        <v>10004</v>
      </c>
      <c r="H1432" s="11" t="s">
        <v>31</v>
      </c>
      <c r="I1432" s="11">
        <v>5.0</v>
      </c>
      <c r="J1432" s="11">
        <v>2.0</v>
      </c>
      <c r="K1432" s="11">
        <v>2.0</v>
      </c>
      <c r="L1432" s="12" t="s">
        <v>9996</v>
      </c>
      <c r="M1432" s="10" t="s">
        <v>10005</v>
      </c>
      <c r="N1432" s="10" t="s">
        <v>1181</v>
      </c>
      <c r="O1432" s="12" t="s">
        <v>1182</v>
      </c>
      <c r="P1432" s="10" t="s">
        <v>9998</v>
      </c>
      <c r="Q1432" s="10" t="s">
        <v>31</v>
      </c>
      <c r="R1432" s="10" t="s">
        <v>1185</v>
      </c>
      <c r="S1432" s="12" t="s">
        <v>9999</v>
      </c>
      <c r="T1432" s="10" t="s">
        <v>66</v>
      </c>
      <c r="U1432" s="12" t="s">
        <v>31</v>
      </c>
      <c r="V1432" s="10" t="s">
        <v>43</v>
      </c>
      <c r="W1432" s="10" t="s">
        <v>9994</v>
      </c>
      <c r="X1432" s="13" t="str">
        <f>HYPERLINK("https://my.pitchbook.com?p=259653-97P","View People Online")</f>
        <v>View People Online</v>
      </c>
    </row>
    <row r="1433">
      <c r="A1433" s="14" t="s">
        <v>10006</v>
      </c>
      <c r="B1433" s="14" t="s">
        <v>10007</v>
      </c>
      <c r="C1433" s="14" t="s">
        <v>10008</v>
      </c>
      <c r="D1433" s="14" t="s">
        <v>10009</v>
      </c>
      <c r="E1433" s="14" t="s">
        <v>10010</v>
      </c>
      <c r="F1433" s="14" t="s">
        <v>548</v>
      </c>
      <c r="G1433" s="14" t="s">
        <v>10011</v>
      </c>
      <c r="H1433" s="15" t="s">
        <v>31</v>
      </c>
      <c r="I1433" s="15">
        <v>3.0</v>
      </c>
      <c r="J1433" s="15">
        <v>1.0</v>
      </c>
      <c r="K1433" s="15">
        <v>2.0</v>
      </c>
      <c r="L1433" s="16" t="s">
        <v>10012</v>
      </c>
      <c r="M1433" s="14" t="s">
        <v>10013</v>
      </c>
      <c r="N1433" s="14" t="s">
        <v>10014</v>
      </c>
      <c r="O1433" s="16" t="s">
        <v>10015</v>
      </c>
      <c r="P1433" s="14" t="s">
        <v>10016</v>
      </c>
      <c r="Q1433" s="14" t="s">
        <v>2003</v>
      </c>
      <c r="R1433" s="14" t="s">
        <v>10017</v>
      </c>
      <c r="S1433" s="16" t="s">
        <v>10018</v>
      </c>
      <c r="T1433" s="14" t="s">
        <v>66</v>
      </c>
      <c r="U1433" s="16" t="s">
        <v>31</v>
      </c>
      <c r="V1433" s="14" t="s">
        <v>10019</v>
      </c>
      <c r="W1433" s="14" t="s">
        <v>10010</v>
      </c>
      <c r="X1433" s="17" t="str">
        <f>HYPERLINK("https://my.pitchbook.com?p=394452-64P","View People Online")</f>
        <v>View People Online</v>
      </c>
    </row>
    <row r="1434">
      <c r="A1434" s="10" t="s">
        <v>10020</v>
      </c>
      <c r="B1434" s="10" t="s">
        <v>10021</v>
      </c>
      <c r="C1434" s="10" t="s">
        <v>1929</v>
      </c>
      <c r="D1434" s="10" t="s">
        <v>10022</v>
      </c>
      <c r="E1434" s="10" t="s">
        <v>10010</v>
      </c>
      <c r="F1434" s="10" t="s">
        <v>10023</v>
      </c>
      <c r="G1434" s="10" t="s">
        <v>10024</v>
      </c>
      <c r="H1434" s="11" t="s">
        <v>31</v>
      </c>
      <c r="I1434" s="11">
        <v>7.0</v>
      </c>
      <c r="J1434" s="11">
        <v>2.0</v>
      </c>
      <c r="K1434" s="11">
        <v>4.0</v>
      </c>
      <c r="L1434" s="12" t="s">
        <v>10025</v>
      </c>
      <c r="M1434" s="10" t="s">
        <v>10026</v>
      </c>
      <c r="N1434" s="10" t="s">
        <v>10027</v>
      </c>
      <c r="O1434" s="12" t="s">
        <v>10028</v>
      </c>
      <c r="P1434" s="10" t="s">
        <v>10029</v>
      </c>
      <c r="Q1434" s="10" t="s">
        <v>31</v>
      </c>
      <c r="R1434" s="10" t="s">
        <v>10017</v>
      </c>
      <c r="S1434" s="12" t="s">
        <v>10030</v>
      </c>
      <c r="T1434" s="10" t="s">
        <v>66</v>
      </c>
      <c r="U1434" s="12" t="s">
        <v>31</v>
      </c>
      <c r="V1434" s="10" t="s">
        <v>10031</v>
      </c>
      <c r="W1434" s="10" t="s">
        <v>10010</v>
      </c>
      <c r="X1434" s="13" t="str">
        <f>HYPERLINK("https://my.pitchbook.com?p=44286-67P","View People Online")</f>
        <v>View People Online</v>
      </c>
    </row>
    <row r="1435">
      <c r="A1435" s="14" t="s">
        <v>10032</v>
      </c>
      <c r="B1435" s="14" t="s">
        <v>10033</v>
      </c>
      <c r="C1435" s="14" t="s">
        <v>1343</v>
      </c>
      <c r="D1435" s="14" t="s">
        <v>10034</v>
      </c>
      <c r="E1435" s="14" t="s">
        <v>10010</v>
      </c>
      <c r="F1435" s="14" t="s">
        <v>371</v>
      </c>
      <c r="G1435" s="14" t="s">
        <v>10035</v>
      </c>
      <c r="H1435" s="15" t="s">
        <v>31</v>
      </c>
      <c r="I1435" s="15">
        <v>5.0</v>
      </c>
      <c r="J1435" s="15">
        <v>1.0</v>
      </c>
      <c r="K1435" s="15">
        <v>3.0</v>
      </c>
      <c r="L1435" s="16" t="s">
        <v>10036</v>
      </c>
      <c r="M1435" s="14" t="s">
        <v>10037</v>
      </c>
      <c r="N1435" s="14" t="s">
        <v>10038</v>
      </c>
      <c r="O1435" s="16" t="s">
        <v>10039</v>
      </c>
      <c r="P1435" s="14" t="s">
        <v>10040</v>
      </c>
      <c r="Q1435" s="14" t="s">
        <v>7124</v>
      </c>
      <c r="R1435" s="14" t="s">
        <v>10017</v>
      </c>
      <c r="S1435" s="16" t="s">
        <v>10041</v>
      </c>
      <c r="T1435" s="14" t="s">
        <v>66</v>
      </c>
      <c r="U1435" s="16" t="s">
        <v>31</v>
      </c>
      <c r="V1435" s="14" t="s">
        <v>2974</v>
      </c>
      <c r="W1435" s="14" t="s">
        <v>10010</v>
      </c>
      <c r="X1435" s="17" t="str">
        <f>HYPERLINK("https://my.pitchbook.com?p=131459-23P","View People Online")</f>
        <v>View People Online</v>
      </c>
    </row>
    <row r="1436">
      <c r="A1436" s="2" t="s">
        <v>10042</v>
      </c>
      <c r="B1436" s="2" t="s">
        <v>10043</v>
      </c>
      <c r="C1436" s="2" t="s">
        <v>1343</v>
      </c>
      <c r="D1436" s="2" t="s">
        <v>10044</v>
      </c>
      <c r="E1436" s="2" t="s">
        <v>10010</v>
      </c>
      <c r="F1436" s="2" t="s">
        <v>896</v>
      </c>
      <c r="G1436" s="2" t="s">
        <v>10045</v>
      </c>
      <c r="H1436" s="3" t="s">
        <v>31</v>
      </c>
      <c r="I1436" s="3">
        <v>1.0</v>
      </c>
      <c r="J1436" s="3">
        <v>1.0</v>
      </c>
      <c r="K1436" s="3" t="s">
        <v>31</v>
      </c>
      <c r="L1436" s="4" t="s">
        <v>10012</v>
      </c>
      <c r="M1436" s="2" t="s">
        <v>10046</v>
      </c>
      <c r="N1436" s="2" t="s">
        <v>10014</v>
      </c>
      <c r="O1436" s="4" t="s">
        <v>10015</v>
      </c>
      <c r="P1436" s="2" t="s">
        <v>10016</v>
      </c>
      <c r="Q1436" s="2" t="s">
        <v>2003</v>
      </c>
      <c r="R1436" s="2" t="s">
        <v>10017</v>
      </c>
      <c r="S1436" s="4" t="s">
        <v>10018</v>
      </c>
      <c r="T1436" s="2" t="s">
        <v>66</v>
      </c>
      <c r="U1436" s="4" t="s">
        <v>31</v>
      </c>
      <c r="V1436" s="2" t="s">
        <v>10047</v>
      </c>
      <c r="W1436" s="2" t="s">
        <v>10010</v>
      </c>
      <c r="X1436" s="5" t="str">
        <f>HYPERLINK("https://my.pitchbook.com?p=146523-88P","View People Online")</f>
        <v>View People Online</v>
      </c>
    </row>
    <row r="1437">
      <c r="A1437" s="6" t="s">
        <v>10048</v>
      </c>
      <c r="B1437" s="6" t="s">
        <v>10049</v>
      </c>
      <c r="C1437" s="6" t="s">
        <v>3040</v>
      </c>
      <c r="D1437" s="6" t="s">
        <v>10050</v>
      </c>
      <c r="E1437" s="6" t="s">
        <v>10010</v>
      </c>
      <c r="F1437" s="6" t="s">
        <v>896</v>
      </c>
      <c r="G1437" s="6" t="s">
        <v>10051</v>
      </c>
      <c r="H1437" s="7" t="s">
        <v>31</v>
      </c>
      <c r="I1437" s="7">
        <v>4.0</v>
      </c>
      <c r="J1437" s="7">
        <v>2.0</v>
      </c>
      <c r="K1437" s="7">
        <v>2.0</v>
      </c>
      <c r="L1437" s="8" t="s">
        <v>10052</v>
      </c>
      <c r="M1437" s="6" t="s">
        <v>10053</v>
      </c>
      <c r="N1437" s="6" t="s">
        <v>10054</v>
      </c>
      <c r="O1437" s="8" t="s">
        <v>10055</v>
      </c>
      <c r="P1437" s="6" t="s">
        <v>10056</v>
      </c>
      <c r="Q1437" s="6" t="s">
        <v>31</v>
      </c>
      <c r="R1437" s="6" t="s">
        <v>10017</v>
      </c>
      <c r="S1437" s="8" t="s">
        <v>10057</v>
      </c>
      <c r="T1437" s="6" t="s">
        <v>66</v>
      </c>
      <c r="U1437" s="8" t="s">
        <v>31</v>
      </c>
      <c r="V1437" s="6" t="s">
        <v>78</v>
      </c>
      <c r="W1437" s="6" t="s">
        <v>10058</v>
      </c>
      <c r="X1437" s="9" t="str">
        <f>HYPERLINK("https://my.pitchbook.com?p=146048-05P","View People Online")</f>
        <v>View People Online</v>
      </c>
    </row>
    <row r="1438">
      <c r="A1438" s="10" t="s">
        <v>10059</v>
      </c>
      <c r="B1438" s="10" t="s">
        <v>10060</v>
      </c>
      <c r="C1438" s="10" t="s">
        <v>126</v>
      </c>
      <c r="D1438" s="10" t="s">
        <v>10061</v>
      </c>
      <c r="E1438" s="10" t="s">
        <v>10010</v>
      </c>
      <c r="F1438" s="10" t="s">
        <v>270</v>
      </c>
      <c r="G1438" s="10" t="s">
        <v>10062</v>
      </c>
      <c r="H1438" s="11" t="s">
        <v>31</v>
      </c>
      <c r="I1438" s="11">
        <v>1.0</v>
      </c>
      <c r="J1438" s="11">
        <v>1.0</v>
      </c>
      <c r="K1438" s="11" t="s">
        <v>31</v>
      </c>
      <c r="L1438" s="12" t="s">
        <v>31</v>
      </c>
      <c r="M1438" s="10" t="s">
        <v>31</v>
      </c>
      <c r="N1438" s="10" t="s">
        <v>10063</v>
      </c>
      <c r="O1438" s="12" t="s">
        <v>10064</v>
      </c>
      <c r="P1438" s="10" t="s">
        <v>31</v>
      </c>
      <c r="Q1438" s="10" t="s">
        <v>31</v>
      </c>
      <c r="R1438" s="10" t="s">
        <v>10017</v>
      </c>
      <c r="S1438" s="12" t="s">
        <v>31</v>
      </c>
      <c r="T1438" s="10" t="s">
        <v>66</v>
      </c>
      <c r="U1438" s="12" t="s">
        <v>31</v>
      </c>
      <c r="V1438" s="10" t="s">
        <v>10065</v>
      </c>
      <c r="W1438" s="10" t="s">
        <v>10010</v>
      </c>
      <c r="X1438" s="13" t="str">
        <f>HYPERLINK("https://my.pitchbook.com?p=146217-88P","View People Online")</f>
        <v>View People Online</v>
      </c>
    </row>
    <row r="1439">
      <c r="A1439" s="6" t="s">
        <v>10066</v>
      </c>
      <c r="B1439" s="6" t="s">
        <v>10067</v>
      </c>
      <c r="C1439" s="6" t="s">
        <v>10068</v>
      </c>
      <c r="D1439" s="6" t="s">
        <v>2457</v>
      </c>
      <c r="E1439" s="6" t="s">
        <v>10010</v>
      </c>
      <c r="F1439" s="6" t="s">
        <v>548</v>
      </c>
      <c r="G1439" s="6" t="s">
        <v>10069</v>
      </c>
      <c r="H1439" s="7" t="s">
        <v>31</v>
      </c>
      <c r="I1439" s="7">
        <v>1.0</v>
      </c>
      <c r="J1439" s="7">
        <v>1.0</v>
      </c>
      <c r="K1439" s="7" t="s">
        <v>31</v>
      </c>
      <c r="L1439" s="8" t="s">
        <v>10012</v>
      </c>
      <c r="M1439" s="6" t="s">
        <v>10070</v>
      </c>
      <c r="N1439" s="6" t="s">
        <v>10014</v>
      </c>
      <c r="O1439" s="8" t="s">
        <v>10015</v>
      </c>
      <c r="P1439" s="6" t="s">
        <v>10016</v>
      </c>
      <c r="Q1439" s="6" t="s">
        <v>2003</v>
      </c>
      <c r="R1439" s="6" t="s">
        <v>10017</v>
      </c>
      <c r="S1439" s="8" t="s">
        <v>10018</v>
      </c>
      <c r="T1439" s="6" t="s">
        <v>66</v>
      </c>
      <c r="U1439" s="8" t="s">
        <v>31</v>
      </c>
      <c r="V1439" s="6" t="s">
        <v>3455</v>
      </c>
      <c r="W1439" s="6" t="s">
        <v>10010</v>
      </c>
      <c r="X1439" s="9" t="str">
        <f>HYPERLINK("https://my.pitchbook.com?p=311191-93P","View People Online")</f>
        <v>View People Online</v>
      </c>
    </row>
    <row r="1440">
      <c r="A1440" s="10" t="s">
        <v>10071</v>
      </c>
      <c r="B1440" s="10" t="s">
        <v>10072</v>
      </c>
      <c r="C1440" s="10" t="s">
        <v>3722</v>
      </c>
      <c r="D1440" s="10" t="s">
        <v>10073</v>
      </c>
      <c r="E1440" s="10" t="s">
        <v>10010</v>
      </c>
      <c r="F1440" s="10" t="s">
        <v>1459</v>
      </c>
      <c r="G1440" s="10" t="s">
        <v>10074</v>
      </c>
      <c r="H1440" s="11" t="s">
        <v>31</v>
      </c>
      <c r="I1440" s="11">
        <v>11.0</v>
      </c>
      <c r="J1440" s="11">
        <v>1.0</v>
      </c>
      <c r="K1440" s="11">
        <v>9.0</v>
      </c>
      <c r="L1440" s="12" t="s">
        <v>10075</v>
      </c>
      <c r="M1440" s="10" t="s">
        <v>10076</v>
      </c>
      <c r="N1440" s="10" t="s">
        <v>10014</v>
      </c>
      <c r="O1440" s="12" t="s">
        <v>10015</v>
      </c>
      <c r="P1440" s="10" t="s">
        <v>10016</v>
      </c>
      <c r="Q1440" s="10" t="s">
        <v>2003</v>
      </c>
      <c r="R1440" s="10" t="s">
        <v>10017</v>
      </c>
      <c r="S1440" s="12" t="s">
        <v>10018</v>
      </c>
      <c r="T1440" s="10" t="s">
        <v>66</v>
      </c>
      <c r="U1440" s="12" t="s">
        <v>31</v>
      </c>
      <c r="V1440" s="10" t="s">
        <v>4809</v>
      </c>
      <c r="W1440" s="10" t="s">
        <v>10010</v>
      </c>
      <c r="X1440" s="13" t="str">
        <f>HYPERLINK("https://my.pitchbook.com?p=40128-76P","View People Online")</f>
        <v>View People Online</v>
      </c>
    </row>
    <row r="1441">
      <c r="A1441" s="14" t="s">
        <v>10077</v>
      </c>
      <c r="B1441" s="14" t="s">
        <v>10078</v>
      </c>
      <c r="C1441" s="14" t="s">
        <v>1533</v>
      </c>
      <c r="D1441" s="14" t="s">
        <v>10079</v>
      </c>
      <c r="E1441" s="14" t="s">
        <v>10010</v>
      </c>
      <c r="F1441" s="14" t="s">
        <v>548</v>
      </c>
      <c r="G1441" s="14" t="s">
        <v>10080</v>
      </c>
      <c r="H1441" s="15">
        <v>1.0</v>
      </c>
      <c r="I1441" s="15">
        <v>2.0</v>
      </c>
      <c r="J1441" s="15">
        <v>2.0</v>
      </c>
      <c r="K1441" s="15" t="s">
        <v>31</v>
      </c>
      <c r="L1441" s="16" t="s">
        <v>10081</v>
      </c>
      <c r="M1441" s="14" t="s">
        <v>10082</v>
      </c>
      <c r="N1441" s="14" t="s">
        <v>10014</v>
      </c>
      <c r="O1441" s="16" t="s">
        <v>10015</v>
      </c>
      <c r="P1441" s="14" t="s">
        <v>10083</v>
      </c>
      <c r="Q1441" s="14" t="s">
        <v>31</v>
      </c>
      <c r="R1441" s="14" t="s">
        <v>10017</v>
      </c>
      <c r="S1441" s="16" t="s">
        <v>10018</v>
      </c>
      <c r="T1441" s="14" t="s">
        <v>66</v>
      </c>
      <c r="U1441" s="16" t="s">
        <v>31</v>
      </c>
      <c r="V1441" s="14" t="s">
        <v>10084</v>
      </c>
      <c r="W1441" s="14" t="s">
        <v>10085</v>
      </c>
      <c r="X1441" s="17" t="str">
        <f>HYPERLINK("https://my.pitchbook.com?p=42274-36P","View People Online")</f>
        <v>View People Online</v>
      </c>
    </row>
    <row r="1442">
      <c r="A1442" s="10" t="s">
        <v>10086</v>
      </c>
      <c r="B1442" s="10" t="s">
        <v>10087</v>
      </c>
      <c r="C1442" s="10" t="s">
        <v>4731</v>
      </c>
      <c r="D1442" s="10" t="s">
        <v>1742</v>
      </c>
      <c r="E1442" s="10" t="s">
        <v>10088</v>
      </c>
      <c r="F1442" s="10" t="s">
        <v>1801</v>
      </c>
      <c r="G1442" s="10" t="s">
        <v>10089</v>
      </c>
      <c r="H1442" s="11" t="s">
        <v>31</v>
      </c>
      <c r="I1442" s="11">
        <v>1.0</v>
      </c>
      <c r="J1442" s="11">
        <v>1.0</v>
      </c>
      <c r="K1442" s="11" t="s">
        <v>31</v>
      </c>
      <c r="L1442" s="12" t="s">
        <v>31</v>
      </c>
      <c r="M1442" s="10" t="s">
        <v>10090</v>
      </c>
      <c r="N1442" s="10" t="s">
        <v>10091</v>
      </c>
      <c r="O1442" s="12" t="s">
        <v>10092</v>
      </c>
      <c r="P1442" s="10" t="s">
        <v>31</v>
      </c>
      <c r="Q1442" s="10" t="s">
        <v>31</v>
      </c>
      <c r="R1442" s="10" t="s">
        <v>396</v>
      </c>
      <c r="S1442" s="12" t="s">
        <v>10093</v>
      </c>
      <c r="T1442" s="10" t="s">
        <v>66</v>
      </c>
      <c r="U1442" s="12" t="s">
        <v>31</v>
      </c>
      <c r="V1442" s="10" t="s">
        <v>1801</v>
      </c>
      <c r="W1442" s="10" t="s">
        <v>10088</v>
      </c>
      <c r="X1442" s="13" t="str">
        <f>HYPERLINK("https://my.pitchbook.com?p=221652-01P","View People Online")</f>
        <v>View People Online</v>
      </c>
    </row>
    <row r="1443">
      <c r="A1443" s="6" t="s">
        <v>10094</v>
      </c>
      <c r="B1443" s="6" t="s">
        <v>10095</v>
      </c>
      <c r="C1443" s="6" t="s">
        <v>1449</v>
      </c>
      <c r="D1443" s="6" t="s">
        <v>10096</v>
      </c>
      <c r="E1443" s="6" t="s">
        <v>10088</v>
      </c>
      <c r="F1443" s="6" t="s">
        <v>29</v>
      </c>
      <c r="G1443" s="6" t="s">
        <v>10097</v>
      </c>
      <c r="H1443" s="7" t="s">
        <v>31</v>
      </c>
      <c r="I1443" s="7">
        <v>1.0</v>
      </c>
      <c r="J1443" s="7">
        <v>1.0</v>
      </c>
      <c r="K1443" s="7" t="s">
        <v>31</v>
      </c>
      <c r="L1443" s="8" t="s">
        <v>31</v>
      </c>
      <c r="M1443" s="6" t="s">
        <v>10098</v>
      </c>
      <c r="N1443" s="6" t="s">
        <v>10091</v>
      </c>
      <c r="O1443" s="8" t="s">
        <v>10092</v>
      </c>
      <c r="P1443" s="6" t="s">
        <v>31</v>
      </c>
      <c r="Q1443" s="6" t="s">
        <v>31</v>
      </c>
      <c r="R1443" s="6" t="s">
        <v>396</v>
      </c>
      <c r="S1443" s="8" t="s">
        <v>10093</v>
      </c>
      <c r="T1443" s="6" t="s">
        <v>66</v>
      </c>
      <c r="U1443" s="8" t="s">
        <v>31</v>
      </c>
      <c r="V1443" s="6" t="s">
        <v>29</v>
      </c>
      <c r="W1443" s="6" t="s">
        <v>10088</v>
      </c>
      <c r="X1443" s="9" t="str">
        <f>HYPERLINK("https://my.pitchbook.com?p=221649-67P","View People Online")</f>
        <v>View People Online</v>
      </c>
    </row>
    <row r="1444">
      <c r="A1444" s="10" t="s">
        <v>10099</v>
      </c>
      <c r="B1444" s="10" t="s">
        <v>10100</v>
      </c>
      <c r="C1444" s="10" t="s">
        <v>6414</v>
      </c>
      <c r="D1444" s="10" t="s">
        <v>10101</v>
      </c>
      <c r="E1444" s="10" t="s">
        <v>10088</v>
      </c>
      <c r="F1444" s="10" t="s">
        <v>10102</v>
      </c>
      <c r="G1444" s="10" t="s">
        <v>10103</v>
      </c>
      <c r="H1444" s="11" t="s">
        <v>31</v>
      </c>
      <c r="I1444" s="11">
        <v>1.0</v>
      </c>
      <c r="J1444" s="11">
        <v>1.0</v>
      </c>
      <c r="K1444" s="11" t="s">
        <v>31</v>
      </c>
      <c r="L1444" s="12" t="s">
        <v>31</v>
      </c>
      <c r="M1444" s="10" t="s">
        <v>10104</v>
      </c>
      <c r="N1444" s="10" t="s">
        <v>10091</v>
      </c>
      <c r="O1444" s="12" t="s">
        <v>10092</v>
      </c>
      <c r="P1444" s="10" t="s">
        <v>31</v>
      </c>
      <c r="Q1444" s="10" t="s">
        <v>31</v>
      </c>
      <c r="R1444" s="10" t="s">
        <v>396</v>
      </c>
      <c r="S1444" s="12" t="s">
        <v>10093</v>
      </c>
      <c r="T1444" s="10" t="s">
        <v>66</v>
      </c>
      <c r="U1444" s="12" t="s">
        <v>31</v>
      </c>
      <c r="V1444" s="10" t="s">
        <v>10105</v>
      </c>
      <c r="W1444" s="10" t="s">
        <v>10088</v>
      </c>
      <c r="X1444" s="13" t="str">
        <f>HYPERLINK("https://my.pitchbook.com?p=221643-28P","View People Online")</f>
        <v>View People Online</v>
      </c>
    </row>
    <row r="1445">
      <c r="A1445" s="6" t="s">
        <v>10106</v>
      </c>
      <c r="B1445" s="6" t="s">
        <v>10107</v>
      </c>
      <c r="C1445" s="6" t="s">
        <v>6414</v>
      </c>
      <c r="D1445" s="6" t="s">
        <v>10108</v>
      </c>
      <c r="E1445" s="6" t="s">
        <v>10088</v>
      </c>
      <c r="F1445" s="6" t="s">
        <v>152</v>
      </c>
      <c r="G1445" s="6" t="s">
        <v>10109</v>
      </c>
      <c r="H1445" s="7" t="s">
        <v>31</v>
      </c>
      <c r="I1445" s="7">
        <v>20.0</v>
      </c>
      <c r="J1445" s="7">
        <v>2.0</v>
      </c>
      <c r="K1445" s="7">
        <v>16.0</v>
      </c>
      <c r="L1445" s="8" t="s">
        <v>31</v>
      </c>
      <c r="M1445" s="6" t="s">
        <v>10110</v>
      </c>
      <c r="N1445" s="6" t="s">
        <v>10091</v>
      </c>
      <c r="O1445" s="8" t="s">
        <v>10092</v>
      </c>
      <c r="P1445" s="6" t="s">
        <v>31</v>
      </c>
      <c r="Q1445" s="6" t="s">
        <v>31</v>
      </c>
      <c r="R1445" s="6" t="s">
        <v>396</v>
      </c>
      <c r="S1445" s="8" t="s">
        <v>10093</v>
      </c>
      <c r="T1445" s="6" t="s">
        <v>66</v>
      </c>
      <c r="U1445" s="8" t="s">
        <v>31</v>
      </c>
      <c r="V1445" s="6" t="s">
        <v>152</v>
      </c>
      <c r="W1445" s="6" t="s">
        <v>10088</v>
      </c>
      <c r="X1445" s="9" t="str">
        <f>HYPERLINK("https://my.pitchbook.com?p=205950-25P","View People Online")</f>
        <v>View People Online</v>
      </c>
    </row>
    <row r="1446">
      <c r="A1446" s="2" t="s">
        <v>10111</v>
      </c>
      <c r="B1446" s="2" t="s">
        <v>10112</v>
      </c>
      <c r="C1446" s="2" t="s">
        <v>10113</v>
      </c>
      <c r="D1446" s="2" t="s">
        <v>10114</v>
      </c>
      <c r="E1446" s="2" t="s">
        <v>10088</v>
      </c>
      <c r="F1446" s="2" t="s">
        <v>10102</v>
      </c>
      <c r="G1446" s="2" t="s">
        <v>10115</v>
      </c>
      <c r="H1446" s="3">
        <v>1.0</v>
      </c>
      <c r="I1446" s="3">
        <v>3.0</v>
      </c>
      <c r="J1446" s="3">
        <v>2.0</v>
      </c>
      <c r="K1446" s="3" t="s">
        <v>31</v>
      </c>
      <c r="L1446" s="4" t="s">
        <v>31</v>
      </c>
      <c r="M1446" s="2" t="s">
        <v>31</v>
      </c>
      <c r="N1446" s="2" t="s">
        <v>10091</v>
      </c>
      <c r="O1446" s="4" t="s">
        <v>10092</v>
      </c>
      <c r="P1446" s="2" t="s">
        <v>31</v>
      </c>
      <c r="Q1446" s="2" t="s">
        <v>31</v>
      </c>
      <c r="R1446" s="2" t="s">
        <v>396</v>
      </c>
      <c r="S1446" s="4" t="s">
        <v>10093</v>
      </c>
      <c r="T1446" s="2" t="s">
        <v>66</v>
      </c>
      <c r="U1446" s="4" t="s">
        <v>31</v>
      </c>
      <c r="V1446" s="2" t="s">
        <v>10102</v>
      </c>
      <c r="W1446" s="2" t="s">
        <v>10088</v>
      </c>
      <c r="X1446" s="5" t="str">
        <f>HYPERLINK("https://my.pitchbook.com?p=237430-90P","View People Online")</f>
        <v>View People Online</v>
      </c>
    </row>
    <row r="1447">
      <c r="A1447" s="14" t="s">
        <v>10116</v>
      </c>
      <c r="B1447" s="14" t="s">
        <v>10117</v>
      </c>
      <c r="C1447" s="14" t="s">
        <v>3716</v>
      </c>
      <c r="D1447" s="14" t="s">
        <v>10118</v>
      </c>
      <c r="E1447" s="14" t="s">
        <v>10088</v>
      </c>
      <c r="F1447" s="14" t="s">
        <v>270</v>
      </c>
      <c r="G1447" s="14" t="s">
        <v>10119</v>
      </c>
      <c r="H1447" s="15" t="s">
        <v>31</v>
      </c>
      <c r="I1447" s="15">
        <v>6.0</v>
      </c>
      <c r="J1447" s="15">
        <v>1.0</v>
      </c>
      <c r="K1447" s="15">
        <v>4.0</v>
      </c>
      <c r="L1447" s="16" t="s">
        <v>10120</v>
      </c>
      <c r="M1447" s="14" t="s">
        <v>10121</v>
      </c>
      <c r="N1447" s="14" t="s">
        <v>10091</v>
      </c>
      <c r="O1447" s="16" t="s">
        <v>10092</v>
      </c>
      <c r="P1447" s="14" t="s">
        <v>31</v>
      </c>
      <c r="Q1447" s="14" t="s">
        <v>31</v>
      </c>
      <c r="R1447" s="14" t="s">
        <v>396</v>
      </c>
      <c r="S1447" s="16" t="s">
        <v>10093</v>
      </c>
      <c r="T1447" s="14" t="s">
        <v>66</v>
      </c>
      <c r="U1447" s="16" t="s">
        <v>31</v>
      </c>
      <c r="V1447" s="14" t="s">
        <v>270</v>
      </c>
      <c r="W1447" s="14" t="s">
        <v>10088</v>
      </c>
      <c r="X1447" s="17" t="str">
        <f>HYPERLINK("https://my.pitchbook.com?p=186556-78P","View People Online")</f>
        <v>View People Online</v>
      </c>
    </row>
    <row r="1448">
      <c r="A1448" s="2" t="s">
        <v>10122</v>
      </c>
      <c r="B1448" s="2" t="s">
        <v>10123</v>
      </c>
      <c r="C1448" s="2" t="s">
        <v>10124</v>
      </c>
      <c r="D1448" s="2" t="s">
        <v>7286</v>
      </c>
      <c r="E1448" s="2" t="s">
        <v>10088</v>
      </c>
      <c r="F1448" s="2" t="s">
        <v>1801</v>
      </c>
      <c r="G1448" s="2" t="s">
        <v>10125</v>
      </c>
      <c r="H1448" s="3" t="s">
        <v>31</v>
      </c>
      <c r="I1448" s="3">
        <v>2.0</v>
      </c>
      <c r="J1448" s="3">
        <v>2.0</v>
      </c>
      <c r="K1448" s="3" t="s">
        <v>31</v>
      </c>
      <c r="L1448" s="4" t="s">
        <v>31</v>
      </c>
      <c r="M1448" s="2" t="s">
        <v>10126</v>
      </c>
      <c r="N1448" s="2" t="s">
        <v>10091</v>
      </c>
      <c r="O1448" s="4" t="s">
        <v>10092</v>
      </c>
      <c r="P1448" s="2" t="s">
        <v>31</v>
      </c>
      <c r="Q1448" s="2" t="s">
        <v>31</v>
      </c>
      <c r="R1448" s="2" t="s">
        <v>396</v>
      </c>
      <c r="S1448" s="4" t="s">
        <v>10093</v>
      </c>
      <c r="T1448" s="2" t="s">
        <v>66</v>
      </c>
      <c r="U1448" s="4" t="s">
        <v>31</v>
      </c>
      <c r="V1448" s="2" t="s">
        <v>1801</v>
      </c>
      <c r="W1448" s="2" t="s">
        <v>10088</v>
      </c>
      <c r="X1448" s="5" t="str">
        <f>HYPERLINK("https://my.pitchbook.com?p=221644-18P","View People Online")</f>
        <v>View People Online</v>
      </c>
    </row>
    <row r="1449">
      <c r="A1449" s="14" t="s">
        <v>10127</v>
      </c>
      <c r="B1449" s="14" t="s">
        <v>10128</v>
      </c>
      <c r="C1449" s="14" t="s">
        <v>323</v>
      </c>
      <c r="D1449" s="14" t="s">
        <v>10129</v>
      </c>
      <c r="E1449" s="14" t="s">
        <v>10130</v>
      </c>
      <c r="F1449" s="14" t="s">
        <v>81</v>
      </c>
      <c r="G1449" s="14" t="s">
        <v>10131</v>
      </c>
      <c r="H1449" s="15" t="s">
        <v>31</v>
      </c>
      <c r="I1449" s="15">
        <v>12.0</v>
      </c>
      <c r="J1449" s="15">
        <v>2.0</v>
      </c>
      <c r="K1449" s="15">
        <v>4.0</v>
      </c>
      <c r="L1449" s="16" t="s">
        <v>10132</v>
      </c>
      <c r="M1449" s="14" t="s">
        <v>10133</v>
      </c>
      <c r="N1449" s="14" t="s">
        <v>155</v>
      </c>
      <c r="O1449" s="16" t="s">
        <v>156</v>
      </c>
      <c r="P1449" s="14" t="s">
        <v>10134</v>
      </c>
      <c r="Q1449" s="14" t="s">
        <v>10135</v>
      </c>
      <c r="R1449" s="14" t="s">
        <v>64</v>
      </c>
      <c r="S1449" s="16" t="s">
        <v>1549</v>
      </c>
      <c r="T1449" s="14" t="s">
        <v>66</v>
      </c>
      <c r="U1449" s="16" t="s">
        <v>31</v>
      </c>
      <c r="V1449" s="14" t="s">
        <v>29</v>
      </c>
      <c r="W1449" s="14" t="s">
        <v>10136</v>
      </c>
      <c r="X1449" s="17" t="str">
        <f>HYPERLINK("https://my.pitchbook.com?p=54553-42P","View People Online")</f>
        <v>View People Online</v>
      </c>
    </row>
    <row r="1450">
      <c r="A1450" s="2" t="s">
        <v>10137</v>
      </c>
      <c r="B1450" s="2" t="s">
        <v>10138</v>
      </c>
      <c r="C1450" s="2" t="s">
        <v>10139</v>
      </c>
      <c r="D1450" s="2" t="s">
        <v>10140</v>
      </c>
      <c r="E1450" s="2" t="s">
        <v>10130</v>
      </c>
      <c r="F1450" s="2" t="s">
        <v>29</v>
      </c>
      <c r="G1450" s="2" t="s">
        <v>10141</v>
      </c>
      <c r="H1450" s="3">
        <v>2.0</v>
      </c>
      <c r="I1450" s="3">
        <v>9.0</v>
      </c>
      <c r="J1450" s="3">
        <v>2.0</v>
      </c>
      <c r="K1450" s="3">
        <v>4.0</v>
      </c>
      <c r="L1450" s="4" t="s">
        <v>10142</v>
      </c>
      <c r="M1450" s="2" t="s">
        <v>10143</v>
      </c>
      <c r="N1450" s="2" t="s">
        <v>10144</v>
      </c>
      <c r="O1450" s="4" t="s">
        <v>10145</v>
      </c>
      <c r="P1450" s="2" t="s">
        <v>10146</v>
      </c>
      <c r="Q1450" s="2" t="s">
        <v>31</v>
      </c>
      <c r="R1450" s="2" t="s">
        <v>64</v>
      </c>
      <c r="S1450" s="4" t="s">
        <v>10147</v>
      </c>
      <c r="T1450" s="2" t="s">
        <v>66</v>
      </c>
      <c r="U1450" s="4" t="s">
        <v>31</v>
      </c>
      <c r="V1450" s="2" t="s">
        <v>29</v>
      </c>
      <c r="W1450" s="2" t="s">
        <v>10130</v>
      </c>
      <c r="X1450" s="5" t="str">
        <f>HYPERLINK("https://my.pitchbook.com?p=212070-43P","View People Online")</f>
        <v>View People Online</v>
      </c>
    </row>
    <row r="1451">
      <c r="A1451" s="14" t="s">
        <v>10148</v>
      </c>
      <c r="B1451" s="14" t="s">
        <v>10149</v>
      </c>
      <c r="C1451" s="14" t="s">
        <v>395</v>
      </c>
      <c r="D1451" s="14" t="s">
        <v>10150</v>
      </c>
      <c r="E1451" s="14" t="s">
        <v>10130</v>
      </c>
      <c r="F1451" s="14" t="s">
        <v>71</v>
      </c>
      <c r="G1451" s="14" t="s">
        <v>10151</v>
      </c>
      <c r="H1451" s="15">
        <v>1.0</v>
      </c>
      <c r="I1451" s="15">
        <v>15.0</v>
      </c>
      <c r="J1451" s="15">
        <v>1.0</v>
      </c>
      <c r="K1451" s="15">
        <v>9.0</v>
      </c>
      <c r="L1451" s="16" t="s">
        <v>10142</v>
      </c>
      <c r="M1451" s="14" t="s">
        <v>10152</v>
      </c>
      <c r="N1451" s="14" t="s">
        <v>10144</v>
      </c>
      <c r="O1451" s="16" t="s">
        <v>10145</v>
      </c>
      <c r="P1451" s="14" t="s">
        <v>10146</v>
      </c>
      <c r="Q1451" s="14" t="s">
        <v>31</v>
      </c>
      <c r="R1451" s="14" t="s">
        <v>64</v>
      </c>
      <c r="S1451" s="16" t="s">
        <v>10147</v>
      </c>
      <c r="T1451" s="14" t="s">
        <v>66</v>
      </c>
      <c r="U1451" s="16" t="s">
        <v>31</v>
      </c>
      <c r="V1451" s="14" t="s">
        <v>71</v>
      </c>
      <c r="W1451" s="14" t="s">
        <v>10130</v>
      </c>
      <c r="X1451" s="17" t="str">
        <f>HYPERLINK("https://my.pitchbook.com?p=42045-58P","View People Online")</f>
        <v>View People Online</v>
      </c>
    </row>
    <row r="1452">
      <c r="A1452" s="10" t="s">
        <v>10153</v>
      </c>
      <c r="B1452" s="10" t="s">
        <v>10154</v>
      </c>
      <c r="C1452" s="10" t="s">
        <v>4717</v>
      </c>
      <c r="D1452" s="10" t="s">
        <v>10155</v>
      </c>
      <c r="E1452" s="10" t="s">
        <v>10130</v>
      </c>
      <c r="F1452" s="10" t="s">
        <v>10156</v>
      </c>
      <c r="G1452" s="10" t="s">
        <v>10157</v>
      </c>
      <c r="H1452" s="11">
        <v>2.0</v>
      </c>
      <c r="I1452" s="11">
        <v>17.0</v>
      </c>
      <c r="J1452" s="11">
        <v>1.0</v>
      </c>
      <c r="K1452" s="11">
        <v>8.0</v>
      </c>
      <c r="L1452" s="12" t="s">
        <v>10142</v>
      </c>
      <c r="M1452" s="10" t="s">
        <v>10158</v>
      </c>
      <c r="N1452" s="10" t="s">
        <v>10144</v>
      </c>
      <c r="O1452" s="12" t="s">
        <v>10145</v>
      </c>
      <c r="P1452" s="10" t="s">
        <v>10146</v>
      </c>
      <c r="Q1452" s="10" t="s">
        <v>31</v>
      </c>
      <c r="R1452" s="10" t="s">
        <v>64</v>
      </c>
      <c r="S1452" s="12" t="s">
        <v>10147</v>
      </c>
      <c r="T1452" s="10" t="s">
        <v>66</v>
      </c>
      <c r="U1452" s="12" t="s">
        <v>31</v>
      </c>
      <c r="V1452" s="10" t="s">
        <v>10159</v>
      </c>
      <c r="W1452" s="10" t="s">
        <v>10130</v>
      </c>
      <c r="X1452" s="13" t="str">
        <f>HYPERLINK("https://my.pitchbook.com?p=42756-13P","View People Online")</f>
        <v>View People Online</v>
      </c>
    </row>
    <row r="1453">
      <c r="A1453" s="6" t="s">
        <v>10160</v>
      </c>
      <c r="B1453" s="6" t="s">
        <v>10161</v>
      </c>
      <c r="C1453" s="6" t="s">
        <v>10162</v>
      </c>
      <c r="D1453" s="6" t="s">
        <v>10163</v>
      </c>
      <c r="E1453" s="6" t="s">
        <v>10164</v>
      </c>
      <c r="F1453" s="6" t="s">
        <v>371</v>
      </c>
      <c r="G1453" s="6" t="s">
        <v>10165</v>
      </c>
      <c r="H1453" s="7" t="s">
        <v>31</v>
      </c>
      <c r="I1453" s="7">
        <v>1.0</v>
      </c>
      <c r="J1453" s="7">
        <v>1.0</v>
      </c>
      <c r="K1453" s="7" t="s">
        <v>31</v>
      </c>
      <c r="L1453" s="8" t="s">
        <v>10166</v>
      </c>
      <c r="M1453" s="6" t="s">
        <v>10167</v>
      </c>
      <c r="N1453" s="6" t="s">
        <v>7258</v>
      </c>
      <c r="O1453" s="8" t="s">
        <v>7259</v>
      </c>
      <c r="P1453" s="6" t="s">
        <v>10168</v>
      </c>
      <c r="Q1453" s="6" t="s">
        <v>31</v>
      </c>
      <c r="R1453" s="6" t="s">
        <v>7262</v>
      </c>
      <c r="S1453" s="8" t="s">
        <v>7263</v>
      </c>
      <c r="T1453" s="6" t="s">
        <v>5484</v>
      </c>
      <c r="U1453" s="8" t="s">
        <v>10169</v>
      </c>
      <c r="V1453" s="6" t="s">
        <v>10170</v>
      </c>
      <c r="W1453" s="6" t="s">
        <v>10164</v>
      </c>
      <c r="X1453" s="9" t="str">
        <f>HYPERLINK("https://my.pitchbook.com?p=380794-78P","View People Online")</f>
        <v>View People Online</v>
      </c>
    </row>
    <row r="1454">
      <c r="A1454" s="2" t="s">
        <v>10171</v>
      </c>
      <c r="B1454" s="2" t="s">
        <v>10172</v>
      </c>
      <c r="C1454" s="2" t="s">
        <v>1559</v>
      </c>
      <c r="D1454" s="2" t="s">
        <v>7849</v>
      </c>
      <c r="E1454" s="2" t="s">
        <v>10164</v>
      </c>
      <c r="F1454" s="2" t="s">
        <v>10173</v>
      </c>
      <c r="G1454" s="2" t="s">
        <v>10174</v>
      </c>
      <c r="H1454" s="3" t="s">
        <v>31</v>
      </c>
      <c r="I1454" s="3">
        <v>1.0</v>
      </c>
      <c r="J1454" s="3">
        <v>1.0</v>
      </c>
      <c r="K1454" s="3" t="s">
        <v>31</v>
      </c>
      <c r="L1454" s="4" t="s">
        <v>10166</v>
      </c>
      <c r="M1454" s="2" t="s">
        <v>10175</v>
      </c>
      <c r="N1454" s="2" t="s">
        <v>7258</v>
      </c>
      <c r="O1454" s="4" t="s">
        <v>7259</v>
      </c>
      <c r="P1454" s="2" t="s">
        <v>10168</v>
      </c>
      <c r="Q1454" s="2" t="s">
        <v>31</v>
      </c>
      <c r="R1454" s="2" t="s">
        <v>7262</v>
      </c>
      <c r="S1454" s="4" t="s">
        <v>7263</v>
      </c>
      <c r="T1454" s="2" t="s">
        <v>5484</v>
      </c>
      <c r="U1454" s="4" t="s">
        <v>10169</v>
      </c>
      <c r="V1454" s="2" t="s">
        <v>10176</v>
      </c>
      <c r="W1454" s="2" t="s">
        <v>10164</v>
      </c>
      <c r="X1454" s="5" t="str">
        <f>HYPERLINK("https://my.pitchbook.com?p=226371-16P","View People Online")</f>
        <v>View People Online</v>
      </c>
    </row>
    <row r="1455">
      <c r="A1455" s="6" t="s">
        <v>10177</v>
      </c>
      <c r="B1455" s="6" t="s">
        <v>10178</v>
      </c>
      <c r="C1455" s="6" t="s">
        <v>3946</v>
      </c>
      <c r="D1455" s="6" t="s">
        <v>10179</v>
      </c>
      <c r="E1455" s="6" t="s">
        <v>10164</v>
      </c>
      <c r="F1455" s="6" t="s">
        <v>2540</v>
      </c>
      <c r="G1455" s="6" t="s">
        <v>10180</v>
      </c>
      <c r="H1455" s="7" t="s">
        <v>31</v>
      </c>
      <c r="I1455" s="7">
        <v>2.0</v>
      </c>
      <c r="J1455" s="7">
        <v>1.0</v>
      </c>
      <c r="K1455" s="7">
        <v>1.0</v>
      </c>
      <c r="L1455" s="8" t="s">
        <v>10181</v>
      </c>
      <c r="M1455" s="6" t="s">
        <v>10182</v>
      </c>
      <c r="N1455" s="6" t="s">
        <v>7258</v>
      </c>
      <c r="O1455" s="8" t="s">
        <v>7259</v>
      </c>
      <c r="P1455" s="6" t="s">
        <v>10168</v>
      </c>
      <c r="Q1455" s="6" t="s">
        <v>31</v>
      </c>
      <c r="R1455" s="6" t="s">
        <v>7262</v>
      </c>
      <c r="S1455" s="8" t="s">
        <v>7263</v>
      </c>
      <c r="T1455" s="6" t="s">
        <v>5484</v>
      </c>
      <c r="U1455" s="8" t="s">
        <v>10169</v>
      </c>
      <c r="V1455" s="6" t="s">
        <v>2540</v>
      </c>
      <c r="W1455" s="6" t="s">
        <v>10164</v>
      </c>
      <c r="X1455" s="9" t="str">
        <f>HYPERLINK("https://my.pitchbook.com?p=306593-11P","View People Online")</f>
        <v>View People Online</v>
      </c>
    </row>
    <row r="1456">
      <c r="A1456" s="2" t="s">
        <v>10183</v>
      </c>
      <c r="B1456" s="2" t="s">
        <v>10178</v>
      </c>
      <c r="C1456" s="2" t="s">
        <v>3946</v>
      </c>
      <c r="D1456" s="2" t="s">
        <v>10179</v>
      </c>
      <c r="E1456" s="2" t="s">
        <v>10164</v>
      </c>
      <c r="F1456" s="2" t="s">
        <v>270</v>
      </c>
      <c r="G1456" s="2" t="s">
        <v>10184</v>
      </c>
      <c r="H1456" s="3">
        <v>2.0</v>
      </c>
      <c r="I1456" s="3">
        <v>4.0</v>
      </c>
      <c r="J1456" s="3">
        <v>1.0</v>
      </c>
      <c r="K1456" s="3">
        <v>1.0</v>
      </c>
      <c r="L1456" s="4" t="s">
        <v>10166</v>
      </c>
      <c r="M1456" s="2" t="s">
        <v>31</v>
      </c>
      <c r="N1456" s="2" t="s">
        <v>7258</v>
      </c>
      <c r="O1456" s="4" t="s">
        <v>7259</v>
      </c>
      <c r="P1456" s="2" t="s">
        <v>10168</v>
      </c>
      <c r="Q1456" s="2" t="s">
        <v>31</v>
      </c>
      <c r="R1456" s="2" t="s">
        <v>7262</v>
      </c>
      <c r="S1456" s="4" t="s">
        <v>7263</v>
      </c>
      <c r="T1456" s="2" t="s">
        <v>5484</v>
      </c>
      <c r="U1456" s="4" t="s">
        <v>10169</v>
      </c>
      <c r="V1456" s="2" t="s">
        <v>2540</v>
      </c>
      <c r="W1456" s="2" t="s">
        <v>10164</v>
      </c>
      <c r="X1456" s="5" t="str">
        <f>HYPERLINK("https://my.pitchbook.com?p=142096-24P","View People Online")</f>
        <v>View People Online</v>
      </c>
    </row>
    <row r="1457">
      <c r="A1457" s="6" t="s">
        <v>10185</v>
      </c>
      <c r="B1457" s="6" t="s">
        <v>10186</v>
      </c>
      <c r="C1457" s="6" t="s">
        <v>10187</v>
      </c>
      <c r="D1457" s="6" t="s">
        <v>119</v>
      </c>
      <c r="E1457" s="6" t="s">
        <v>10164</v>
      </c>
      <c r="F1457" s="6" t="s">
        <v>825</v>
      </c>
      <c r="G1457" s="6" t="s">
        <v>10188</v>
      </c>
      <c r="H1457" s="7" t="s">
        <v>31</v>
      </c>
      <c r="I1457" s="7">
        <v>1.0</v>
      </c>
      <c r="J1457" s="7">
        <v>1.0</v>
      </c>
      <c r="K1457" s="7" t="s">
        <v>31</v>
      </c>
      <c r="L1457" s="8" t="s">
        <v>10166</v>
      </c>
      <c r="M1457" s="6" t="s">
        <v>10189</v>
      </c>
      <c r="N1457" s="6" t="s">
        <v>7258</v>
      </c>
      <c r="O1457" s="8" t="s">
        <v>7259</v>
      </c>
      <c r="P1457" s="6" t="s">
        <v>10168</v>
      </c>
      <c r="Q1457" s="6" t="s">
        <v>31</v>
      </c>
      <c r="R1457" s="6" t="s">
        <v>7262</v>
      </c>
      <c r="S1457" s="8" t="s">
        <v>7263</v>
      </c>
      <c r="T1457" s="6" t="s">
        <v>5484</v>
      </c>
      <c r="U1457" s="8" t="s">
        <v>10169</v>
      </c>
      <c r="V1457" s="6" t="s">
        <v>10190</v>
      </c>
      <c r="W1457" s="6" t="s">
        <v>10164</v>
      </c>
      <c r="X1457" s="9" t="str">
        <f>HYPERLINK("https://my.pitchbook.com?p=381669-58P","View People Online")</f>
        <v>View People Online</v>
      </c>
    </row>
    <row r="1458">
      <c r="A1458" s="2" t="s">
        <v>10191</v>
      </c>
      <c r="B1458" s="2" t="s">
        <v>10192</v>
      </c>
      <c r="C1458" s="2" t="s">
        <v>10193</v>
      </c>
      <c r="D1458" s="2" t="s">
        <v>10194</v>
      </c>
      <c r="E1458" s="2" t="s">
        <v>10164</v>
      </c>
      <c r="F1458" s="2" t="s">
        <v>78</v>
      </c>
      <c r="G1458" s="2" t="s">
        <v>10195</v>
      </c>
      <c r="H1458" s="3" t="s">
        <v>31</v>
      </c>
      <c r="I1458" s="3">
        <v>1.0</v>
      </c>
      <c r="J1458" s="3">
        <v>1.0</v>
      </c>
      <c r="K1458" s="3" t="s">
        <v>31</v>
      </c>
      <c r="L1458" s="4" t="s">
        <v>10166</v>
      </c>
      <c r="M1458" s="2" t="s">
        <v>10196</v>
      </c>
      <c r="N1458" s="2" t="s">
        <v>7258</v>
      </c>
      <c r="O1458" s="4" t="s">
        <v>7259</v>
      </c>
      <c r="P1458" s="2" t="s">
        <v>10168</v>
      </c>
      <c r="Q1458" s="2" t="s">
        <v>31</v>
      </c>
      <c r="R1458" s="2" t="s">
        <v>7262</v>
      </c>
      <c r="S1458" s="4" t="s">
        <v>7263</v>
      </c>
      <c r="T1458" s="2" t="s">
        <v>5484</v>
      </c>
      <c r="U1458" s="4" t="s">
        <v>10169</v>
      </c>
      <c r="V1458" s="2" t="s">
        <v>10197</v>
      </c>
      <c r="W1458" s="2" t="s">
        <v>10164</v>
      </c>
      <c r="X1458" s="5" t="str">
        <f>HYPERLINK("https://my.pitchbook.com?p=254728-45P","View People Online")</f>
        <v>View People Online</v>
      </c>
    </row>
    <row r="1459">
      <c r="A1459" s="14" t="s">
        <v>10198</v>
      </c>
      <c r="B1459" s="14" t="s">
        <v>10199</v>
      </c>
      <c r="C1459" s="14" t="s">
        <v>10200</v>
      </c>
      <c r="D1459" s="14" t="s">
        <v>10201</v>
      </c>
      <c r="E1459" s="14" t="s">
        <v>10164</v>
      </c>
      <c r="F1459" s="14" t="s">
        <v>270</v>
      </c>
      <c r="G1459" s="14" t="s">
        <v>10202</v>
      </c>
      <c r="H1459" s="15" t="s">
        <v>31</v>
      </c>
      <c r="I1459" s="15">
        <v>1.0</v>
      </c>
      <c r="J1459" s="15">
        <v>1.0</v>
      </c>
      <c r="K1459" s="15" t="s">
        <v>31</v>
      </c>
      <c r="L1459" s="16" t="s">
        <v>10166</v>
      </c>
      <c r="M1459" s="14" t="s">
        <v>10203</v>
      </c>
      <c r="N1459" s="14" t="s">
        <v>7258</v>
      </c>
      <c r="O1459" s="16" t="s">
        <v>7259</v>
      </c>
      <c r="P1459" s="14" t="s">
        <v>10168</v>
      </c>
      <c r="Q1459" s="14" t="s">
        <v>31</v>
      </c>
      <c r="R1459" s="14" t="s">
        <v>7262</v>
      </c>
      <c r="S1459" s="16" t="s">
        <v>7263</v>
      </c>
      <c r="T1459" s="14" t="s">
        <v>5484</v>
      </c>
      <c r="U1459" s="16" t="s">
        <v>10169</v>
      </c>
      <c r="V1459" s="14" t="s">
        <v>10204</v>
      </c>
      <c r="W1459" s="14" t="s">
        <v>10164</v>
      </c>
      <c r="X1459" s="17" t="str">
        <f>HYPERLINK("https://my.pitchbook.com?p=308666-26P","View People Online")</f>
        <v>View People Online</v>
      </c>
    </row>
    <row r="1460">
      <c r="A1460" s="2" t="s">
        <v>10205</v>
      </c>
      <c r="B1460" s="2" t="s">
        <v>10206</v>
      </c>
      <c r="C1460" s="2" t="s">
        <v>8814</v>
      </c>
      <c r="D1460" s="2" t="s">
        <v>10207</v>
      </c>
      <c r="E1460" s="2" t="s">
        <v>10164</v>
      </c>
      <c r="F1460" s="2" t="s">
        <v>270</v>
      </c>
      <c r="G1460" s="2" t="s">
        <v>10208</v>
      </c>
      <c r="H1460" s="3" t="s">
        <v>31</v>
      </c>
      <c r="I1460" s="3">
        <v>1.0</v>
      </c>
      <c r="J1460" s="3">
        <v>1.0</v>
      </c>
      <c r="K1460" s="3" t="s">
        <v>31</v>
      </c>
      <c r="L1460" s="4" t="s">
        <v>10209</v>
      </c>
      <c r="M1460" s="2" t="s">
        <v>10210</v>
      </c>
      <c r="N1460" s="2" t="s">
        <v>7258</v>
      </c>
      <c r="O1460" s="4" t="s">
        <v>7259</v>
      </c>
      <c r="P1460" s="2" t="s">
        <v>10168</v>
      </c>
      <c r="Q1460" s="2" t="s">
        <v>31</v>
      </c>
      <c r="R1460" s="2" t="s">
        <v>7262</v>
      </c>
      <c r="S1460" s="4" t="s">
        <v>7263</v>
      </c>
      <c r="T1460" s="2" t="s">
        <v>5484</v>
      </c>
      <c r="U1460" s="4" t="s">
        <v>10169</v>
      </c>
      <c r="V1460" s="2" t="s">
        <v>10211</v>
      </c>
      <c r="W1460" s="2" t="s">
        <v>10164</v>
      </c>
      <c r="X1460" s="5" t="str">
        <f>HYPERLINK("https://my.pitchbook.com?p=227489-59P","View People Online")</f>
        <v>View People Online</v>
      </c>
    </row>
    <row r="1461">
      <c r="A1461" s="14" t="s">
        <v>10212</v>
      </c>
      <c r="B1461" s="14" t="s">
        <v>10213</v>
      </c>
      <c r="C1461" s="14" t="s">
        <v>10214</v>
      </c>
      <c r="D1461" s="14" t="s">
        <v>10215</v>
      </c>
      <c r="E1461" s="14" t="s">
        <v>10164</v>
      </c>
      <c r="F1461" s="14" t="s">
        <v>583</v>
      </c>
      <c r="G1461" s="14" t="s">
        <v>10216</v>
      </c>
      <c r="H1461" s="15" t="s">
        <v>31</v>
      </c>
      <c r="I1461" s="15">
        <v>2.0</v>
      </c>
      <c r="J1461" s="15">
        <v>1.0</v>
      </c>
      <c r="K1461" s="15">
        <v>1.0</v>
      </c>
      <c r="L1461" s="16" t="s">
        <v>10166</v>
      </c>
      <c r="M1461" s="14" t="s">
        <v>10217</v>
      </c>
      <c r="N1461" s="14" t="s">
        <v>7258</v>
      </c>
      <c r="O1461" s="16" t="s">
        <v>7259</v>
      </c>
      <c r="P1461" s="14" t="s">
        <v>10168</v>
      </c>
      <c r="Q1461" s="14" t="s">
        <v>31</v>
      </c>
      <c r="R1461" s="14" t="s">
        <v>7262</v>
      </c>
      <c r="S1461" s="16" t="s">
        <v>7263</v>
      </c>
      <c r="T1461" s="14" t="s">
        <v>5484</v>
      </c>
      <c r="U1461" s="16" t="s">
        <v>10169</v>
      </c>
      <c r="V1461" s="14" t="s">
        <v>10218</v>
      </c>
      <c r="W1461" s="14" t="s">
        <v>10164</v>
      </c>
      <c r="X1461" s="17" t="str">
        <f>HYPERLINK("https://my.pitchbook.com?p=226433-80P","View People Online")</f>
        <v>View People Online</v>
      </c>
    </row>
    <row r="1462">
      <c r="A1462" s="2" t="s">
        <v>10219</v>
      </c>
      <c r="B1462" s="2" t="s">
        <v>10220</v>
      </c>
      <c r="C1462" s="2" t="s">
        <v>10221</v>
      </c>
      <c r="D1462" s="2" t="s">
        <v>10222</v>
      </c>
      <c r="E1462" s="2" t="s">
        <v>10164</v>
      </c>
      <c r="F1462" s="2" t="s">
        <v>270</v>
      </c>
      <c r="G1462" s="2" t="s">
        <v>10223</v>
      </c>
      <c r="H1462" s="3" t="s">
        <v>31</v>
      </c>
      <c r="I1462" s="3">
        <v>1.0</v>
      </c>
      <c r="J1462" s="3">
        <v>1.0</v>
      </c>
      <c r="K1462" s="3" t="s">
        <v>31</v>
      </c>
      <c r="L1462" s="4" t="s">
        <v>10166</v>
      </c>
      <c r="M1462" s="2" t="s">
        <v>10224</v>
      </c>
      <c r="N1462" s="2" t="s">
        <v>7258</v>
      </c>
      <c r="O1462" s="4" t="s">
        <v>7259</v>
      </c>
      <c r="P1462" s="2" t="s">
        <v>10168</v>
      </c>
      <c r="Q1462" s="2" t="s">
        <v>31</v>
      </c>
      <c r="R1462" s="2" t="s">
        <v>7262</v>
      </c>
      <c r="S1462" s="4" t="s">
        <v>7263</v>
      </c>
      <c r="T1462" s="2" t="s">
        <v>5484</v>
      </c>
      <c r="U1462" s="4" t="s">
        <v>10169</v>
      </c>
      <c r="V1462" s="2" t="s">
        <v>270</v>
      </c>
      <c r="W1462" s="2" t="s">
        <v>10164</v>
      </c>
      <c r="X1462" s="5" t="str">
        <f>HYPERLINK("https://my.pitchbook.com?p=312837-85P","View People Online")</f>
        <v>View People Online</v>
      </c>
    </row>
    <row r="1463">
      <c r="A1463" s="6" t="s">
        <v>10225</v>
      </c>
      <c r="B1463" s="6" t="s">
        <v>10226</v>
      </c>
      <c r="C1463" s="6" t="s">
        <v>10227</v>
      </c>
      <c r="D1463" s="6" t="s">
        <v>10228</v>
      </c>
      <c r="E1463" s="6" t="s">
        <v>10164</v>
      </c>
      <c r="F1463" s="6" t="s">
        <v>3665</v>
      </c>
      <c r="G1463" s="6" t="s">
        <v>10229</v>
      </c>
      <c r="H1463" s="7" t="s">
        <v>31</v>
      </c>
      <c r="I1463" s="7">
        <v>2.0</v>
      </c>
      <c r="J1463" s="7">
        <v>1.0</v>
      </c>
      <c r="K1463" s="7">
        <v>1.0</v>
      </c>
      <c r="L1463" s="8" t="s">
        <v>10166</v>
      </c>
      <c r="M1463" s="6" t="s">
        <v>10230</v>
      </c>
      <c r="N1463" s="6" t="s">
        <v>7258</v>
      </c>
      <c r="O1463" s="8" t="s">
        <v>7259</v>
      </c>
      <c r="P1463" s="6" t="s">
        <v>10168</v>
      </c>
      <c r="Q1463" s="6" t="s">
        <v>31</v>
      </c>
      <c r="R1463" s="6" t="s">
        <v>7262</v>
      </c>
      <c r="S1463" s="8" t="s">
        <v>7263</v>
      </c>
      <c r="T1463" s="6" t="s">
        <v>5484</v>
      </c>
      <c r="U1463" s="8" t="s">
        <v>10169</v>
      </c>
      <c r="V1463" s="6" t="s">
        <v>2540</v>
      </c>
      <c r="W1463" s="6" t="s">
        <v>10164</v>
      </c>
      <c r="X1463" s="9" t="str">
        <f>HYPERLINK("https://my.pitchbook.com?p=20772-01P","View People Online")</f>
        <v>View People Online</v>
      </c>
    </row>
    <row r="1464">
      <c r="A1464" s="2" t="s">
        <v>10231</v>
      </c>
      <c r="B1464" s="2" t="s">
        <v>10232</v>
      </c>
      <c r="C1464" s="2" t="s">
        <v>10233</v>
      </c>
      <c r="D1464" s="2" t="s">
        <v>1085</v>
      </c>
      <c r="E1464" s="2" t="s">
        <v>10164</v>
      </c>
      <c r="F1464" s="2" t="s">
        <v>371</v>
      </c>
      <c r="G1464" s="2" t="s">
        <v>10234</v>
      </c>
      <c r="H1464" s="3" t="s">
        <v>31</v>
      </c>
      <c r="I1464" s="3">
        <v>1.0</v>
      </c>
      <c r="J1464" s="3">
        <v>1.0</v>
      </c>
      <c r="K1464" s="3" t="s">
        <v>31</v>
      </c>
      <c r="L1464" s="4" t="s">
        <v>10166</v>
      </c>
      <c r="M1464" s="2" t="s">
        <v>10235</v>
      </c>
      <c r="N1464" s="2" t="s">
        <v>7258</v>
      </c>
      <c r="O1464" s="4" t="s">
        <v>7259</v>
      </c>
      <c r="P1464" s="2" t="s">
        <v>10168</v>
      </c>
      <c r="Q1464" s="2" t="s">
        <v>31</v>
      </c>
      <c r="R1464" s="2" t="s">
        <v>7262</v>
      </c>
      <c r="S1464" s="4" t="s">
        <v>7263</v>
      </c>
      <c r="T1464" s="2" t="s">
        <v>5484</v>
      </c>
      <c r="U1464" s="4" t="s">
        <v>10169</v>
      </c>
      <c r="V1464" s="2" t="s">
        <v>10236</v>
      </c>
      <c r="W1464" s="2" t="s">
        <v>10164</v>
      </c>
      <c r="X1464" s="5" t="str">
        <f>HYPERLINK("https://my.pitchbook.com?p=130296-16P","View People Online")</f>
        <v>View People Online</v>
      </c>
    </row>
    <row r="1465">
      <c r="A1465" s="14" t="s">
        <v>10237</v>
      </c>
      <c r="B1465" s="14" t="s">
        <v>10238</v>
      </c>
      <c r="C1465" s="14" t="s">
        <v>3852</v>
      </c>
      <c r="D1465" s="14" t="s">
        <v>10239</v>
      </c>
      <c r="E1465" s="14" t="s">
        <v>10164</v>
      </c>
      <c r="F1465" s="14" t="s">
        <v>371</v>
      </c>
      <c r="G1465" s="14" t="s">
        <v>10240</v>
      </c>
      <c r="H1465" s="15" t="s">
        <v>31</v>
      </c>
      <c r="I1465" s="15">
        <v>1.0</v>
      </c>
      <c r="J1465" s="15">
        <v>1.0</v>
      </c>
      <c r="K1465" s="15" t="s">
        <v>31</v>
      </c>
      <c r="L1465" s="16" t="s">
        <v>10166</v>
      </c>
      <c r="M1465" s="14" t="s">
        <v>10241</v>
      </c>
      <c r="N1465" s="14" t="s">
        <v>7258</v>
      </c>
      <c r="O1465" s="16" t="s">
        <v>7259</v>
      </c>
      <c r="P1465" s="14" t="s">
        <v>10168</v>
      </c>
      <c r="Q1465" s="14" t="s">
        <v>31</v>
      </c>
      <c r="R1465" s="14" t="s">
        <v>7262</v>
      </c>
      <c r="S1465" s="16" t="s">
        <v>7263</v>
      </c>
      <c r="T1465" s="14" t="s">
        <v>5484</v>
      </c>
      <c r="U1465" s="16" t="s">
        <v>10169</v>
      </c>
      <c r="V1465" s="14" t="s">
        <v>10242</v>
      </c>
      <c r="W1465" s="14" t="s">
        <v>10164</v>
      </c>
      <c r="X1465" s="17" t="str">
        <f>HYPERLINK("https://my.pitchbook.com?p=142842-07P","View People Online")</f>
        <v>View People Online</v>
      </c>
    </row>
    <row r="1466">
      <c r="A1466" s="2" t="s">
        <v>10243</v>
      </c>
      <c r="B1466" s="2" t="s">
        <v>10244</v>
      </c>
      <c r="C1466" s="2" t="s">
        <v>126</v>
      </c>
      <c r="D1466" s="2" t="s">
        <v>4345</v>
      </c>
      <c r="E1466" s="2" t="s">
        <v>10164</v>
      </c>
      <c r="F1466" s="2" t="s">
        <v>1249</v>
      </c>
      <c r="G1466" s="2" t="s">
        <v>10245</v>
      </c>
      <c r="H1466" s="3">
        <v>1.0</v>
      </c>
      <c r="I1466" s="3">
        <v>3.0</v>
      </c>
      <c r="J1466" s="3">
        <v>1.0</v>
      </c>
      <c r="K1466" s="3">
        <v>2.0</v>
      </c>
      <c r="L1466" s="4" t="s">
        <v>10166</v>
      </c>
      <c r="M1466" s="2" t="s">
        <v>10246</v>
      </c>
      <c r="N1466" s="2" t="s">
        <v>7258</v>
      </c>
      <c r="O1466" s="4" t="s">
        <v>7259</v>
      </c>
      <c r="P1466" s="2" t="s">
        <v>10168</v>
      </c>
      <c r="Q1466" s="2" t="s">
        <v>31</v>
      </c>
      <c r="R1466" s="2" t="s">
        <v>7262</v>
      </c>
      <c r="S1466" s="4" t="s">
        <v>7263</v>
      </c>
      <c r="T1466" s="2" t="s">
        <v>5484</v>
      </c>
      <c r="U1466" s="4" t="s">
        <v>10169</v>
      </c>
      <c r="V1466" s="2" t="s">
        <v>1252</v>
      </c>
      <c r="W1466" s="2" t="s">
        <v>10164</v>
      </c>
      <c r="X1466" s="5" t="str">
        <f>HYPERLINK("https://my.pitchbook.com?p=220654-81P","View People Online")</f>
        <v>View People Online</v>
      </c>
    </row>
    <row r="1467">
      <c r="A1467" s="6" t="s">
        <v>10247</v>
      </c>
      <c r="B1467" s="6" t="s">
        <v>10248</v>
      </c>
      <c r="C1467" s="6" t="s">
        <v>10249</v>
      </c>
      <c r="D1467" s="6" t="s">
        <v>10250</v>
      </c>
      <c r="E1467" s="6" t="s">
        <v>10164</v>
      </c>
      <c r="F1467" s="6" t="s">
        <v>270</v>
      </c>
      <c r="G1467" s="6" t="s">
        <v>10251</v>
      </c>
      <c r="H1467" s="7" t="s">
        <v>31</v>
      </c>
      <c r="I1467" s="7">
        <v>2.0</v>
      </c>
      <c r="J1467" s="7">
        <v>1.0</v>
      </c>
      <c r="K1467" s="7">
        <v>1.0</v>
      </c>
      <c r="L1467" s="8" t="s">
        <v>10166</v>
      </c>
      <c r="M1467" s="6" t="s">
        <v>10252</v>
      </c>
      <c r="N1467" s="6" t="s">
        <v>7258</v>
      </c>
      <c r="O1467" s="8" t="s">
        <v>7259</v>
      </c>
      <c r="P1467" s="6" t="s">
        <v>10168</v>
      </c>
      <c r="Q1467" s="6" t="s">
        <v>31</v>
      </c>
      <c r="R1467" s="6" t="s">
        <v>7262</v>
      </c>
      <c r="S1467" s="8" t="s">
        <v>7263</v>
      </c>
      <c r="T1467" s="6" t="s">
        <v>5484</v>
      </c>
      <c r="U1467" s="8" t="s">
        <v>10169</v>
      </c>
      <c r="V1467" s="6" t="s">
        <v>270</v>
      </c>
      <c r="W1467" s="6" t="s">
        <v>10164</v>
      </c>
      <c r="X1467" s="9" t="str">
        <f>HYPERLINK("https://my.pitchbook.com?p=276261-85P","View People Online")</f>
        <v>View People Online</v>
      </c>
    </row>
    <row r="1468">
      <c r="A1468" s="10" t="s">
        <v>10253</v>
      </c>
      <c r="B1468" s="10" t="s">
        <v>10254</v>
      </c>
      <c r="C1468" s="10" t="s">
        <v>10255</v>
      </c>
      <c r="D1468" s="10" t="s">
        <v>10256</v>
      </c>
      <c r="E1468" s="10" t="s">
        <v>10164</v>
      </c>
      <c r="F1468" s="10" t="s">
        <v>371</v>
      </c>
      <c r="G1468" s="10" t="s">
        <v>10257</v>
      </c>
      <c r="H1468" s="11">
        <v>1.0</v>
      </c>
      <c r="I1468" s="11">
        <v>3.0</v>
      </c>
      <c r="J1468" s="11">
        <v>1.0</v>
      </c>
      <c r="K1468" s="11">
        <v>1.0</v>
      </c>
      <c r="L1468" s="12" t="s">
        <v>10166</v>
      </c>
      <c r="M1468" s="10" t="s">
        <v>10258</v>
      </c>
      <c r="N1468" s="10" t="s">
        <v>7258</v>
      </c>
      <c r="O1468" s="12" t="s">
        <v>7259</v>
      </c>
      <c r="P1468" s="10" t="s">
        <v>10168</v>
      </c>
      <c r="Q1468" s="10" t="s">
        <v>31</v>
      </c>
      <c r="R1468" s="10" t="s">
        <v>7262</v>
      </c>
      <c r="S1468" s="12" t="s">
        <v>7263</v>
      </c>
      <c r="T1468" s="10" t="s">
        <v>5484</v>
      </c>
      <c r="U1468" s="12" t="s">
        <v>10169</v>
      </c>
      <c r="V1468" s="10" t="s">
        <v>10259</v>
      </c>
      <c r="W1468" s="10" t="s">
        <v>10164</v>
      </c>
      <c r="X1468" s="13" t="str">
        <f>HYPERLINK("https://my.pitchbook.com?p=390899-98P","View People Online")</f>
        <v>View People Online</v>
      </c>
    </row>
    <row r="1469">
      <c r="A1469" s="6" t="s">
        <v>10260</v>
      </c>
      <c r="B1469" s="6" t="s">
        <v>10261</v>
      </c>
      <c r="C1469" s="6" t="s">
        <v>4611</v>
      </c>
      <c r="D1469" s="6" t="s">
        <v>10262</v>
      </c>
      <c r="E1469" s="6" t="s">
        <v>10164</v>
      </c>
      <c r="F1469" s="6" t="s">
        <v>713</v>
      </c>
      <c r="G1469" s="6" t="s">
        <v>10263</v>
      </c>
      <c r="H1469" s="7" t="s">
        <v>31</v>
      </c>
      <c r="I1469" s="7">
        <v>2.0</v>
      </c>
      <c r="J1469" s="7">
        <v>1.0</v>
      </c>
      <c r="K1469" s="7">
        <v>1.0</v>
      </c>
      <c r="L1469" s="8" t="s">
        <v>10166</v>
      </c>
      <c r="M1469" s="6" t="s">
        <v>10264</v>
      </c>
      <c r="N1469" s="6" t="s">
        <v>7258</v>
      </c>
      <c r="O1469" s="8" t="s">
        <v>7259</v>
      </c>
      <c r="P1469" s="6" t="s">
        <v>10168</v>
      </c>
      <c r="Q1469" s="6" t="s">
        <v>31</v>
      </c>
      <c r="R1469" s="6" t="s">
        <v>7262</v>
      </c>
      <c r="S1469" s="8" t="s">
        <v>7263</v>
      </c>
      <c r="T1469" s="6" t="s">
        <v>5484</v>
      </c>
      <c r="U1469" s="8" t="s">
        <v>10169</v>
      </c>
      <c r="V1469" s="6" t="s">
        <v>10265</v>
      </c>
      <c r="W1469" s="6" t="s">
        <v>10164</v>
      </c>
      <c r="X1469" s="9" t="str">
        <f>HYPERLINK("https://my.pitchbook.com?p=305646-31P","View People Online")</f>
        <v>View People Online</v>
      </c>
    </row>
    <row r="1470">
      <c r="A1470" s="2" t="s">
        <v>10266</v>
      </c>
      <c r="B1470" s="2" t="s">
        <v>10267</v>
      </c>
      <c r="C1470" s="2" t="s">
        <v>9639</v>
      </c>
      <c r="D1470" s="2" t="s">
        <v>10268</v>
      </c>
      <c r="E1470" s="2" t="s">
        <v>10164</v>
      </c>
      <c r="F1470" s="2" t="s">
        <v>5979</v>
      </c>
      <c r="G1470" s="2" t="s">
        <v>10269</v>
      </c>
      <c r="H1470" s="3" t="s">
        <v>31</v>
      </c>
      <c r="I1470" s="3">
        <v>1.0</v>
      </c>
      <c r="J1470" s="3">
        <v>1.0</v>
      </c>
      <c r="K1470" s="3" t="s">
        <v>31</v>
      </c>
      <c r="L1470" s="4" t="s">
        <v>10166</v>
      </c>
      <c r="M1470" s="2" t="s">
        <v>10270</v>
      </c>
      <c r="N1470" s="2" t="s">
        <v>7258</v>
      </c>
      <c r="O1470" s="4" t="s">
        <v>7259</v>
      </c>
      <c r="P1470" s="2" t="s">
        <v>10168</v>
      </c>
      <c r="Q1470" s="2" t="s">
        <v>31</v>
      </c>
      <c r="R1470" s="2" t="s">
        <v>7262</v>
      </c>
      <c r="S1470" s="4" t="s">
        <v>7263</v>
      </c>
      <c r="T1470" s="2" t="s">
        <v>5484</v>
      </c>
      <c r="U1470" s="4" t="s">
        <v>10169</v>
      </c>
      <c r="V1470" s="2" t="s">
        <v>10271</v>
      </c>
      <c r="W1470" s="2" t="s">
        <v>10164</v>
      </c>
      <c r="X1470" s="5" t="str">
        <f>HYPERLINK("https://my.pitchbook.com?p=271839-16P","View People Online")</f>
        <v>View People Online</v>
      </c>
    </row>
    <row r="1471">
      <c r="A1471" s="6" t="s">
        <v>10272</v>
      </c>
      <c r="B1471" s="6" t="s">
        <v>10273</v>
      </c>
      <c r="C1471" s="6" t="s">
        <v>2483</v>
      </c>
      <c r="D1471" s="6" t="s">
        <v>7090</v>
      </c>
      <c r="E1471" s="6" t="s">
        <v>10164</v>
      </c>
      <c r="F1471" s="6" t="s">
        <v>270</v>
      </c>
      <c r="G1471" s="6" t="s">
        <v>10274</v>
      </c>
      <c r="H1471" s="7" t="s">
        <v>31</v>
      </c>
      <c r="I1471" s="7">
        <v>3.0</v>
      </c>
      <c r="J1471" s="7">
        <v>1.0</v>
      </c>
      <c r="K1471" s="7">
        <v>2.0</v>
      </c>
      <c r="L1471" s="8" t="s">
        <v>10166</v>
      </c>
      <c r="M1471" s="6" t="s">
        <v>31</v>
      </c>
      <c r="N1471" s="6" t="s">
        <v>7258</v>
      </c>
      <c r="O1471" s="8" t="s">
        <v>7259</v>
      </c>
      <c r="P1471" s="6" t="s">
        <v>10168</v>
      </c>
      <c r="Q1471" s="6" t="s">
        <v>31</v>
      </c>
      <c r="R1471" s="6" t="s">
        <v>7262</v>
      </c>
      <c r="S1471" s="8" t="s">
        <v>7263</v>
      </c>
      <c r="T1471" s="6" t="s">
        <v>5484</v>
      </c>
      <c r="U1471" s="8" t="s">
        <v>10169</v>
      </c>
      <c r="V1471" s="6" t="s">
        <v>10275</v>
      </c>
      <c r="W1471" s="6" t="s">
        <v>10164</v>
      </c>
      <c r="X1471" s="9" t="str">
        <f>HYPERLINK("https://my.pitchbook.com?p=427345-30P","View People Online")</f>
        <v>View People Online</v>
      </c>
    </row>
    <row r="1472">
      <c r="A1472" s="2" t="s">
        <v>10276</v>
      </c>
      <c r="B1472" s="2" t="s">
        <v>10277</v>
      </c>
      <c r="C1472" s="2" t="s">
        <v>10278</v>
      </c>
      <c r="D1472" s="2" t="s">
        <v>10279</v>
      </c>
      <c r="E1472" s="2" t="s">
        <v>10164</v>
      </c>
      <c r="F1472" s="2" t="s">
        <v>502</v>
      </c>
      <c r="G1472" s="2" t="s">
        <v>10280</v>
      </c>
      <c r="H1472" s="3">
        <v>1.0</v>
      </c>
      <c r="I1472" s="3">
        <v>3.0</v>
      </c>
      <c r="J1472" s="3">
        <v>1.0</v>
      </c>
      <c r="K1472" s="3">
        <v>1.0</v>
      </c>
      <c r="L1472" s="4" t="s">
        <v>10166</v>
      </c>
      <c r="M1472" s="2" t="s">
        <v>10281</v>
      </c>
      <c r="N1472" s="2" t="s">
        <v>7258</v>
      </c>
      <c r="O1472" s="4" t="s">
        <v>7259</v>
      </c>
      <c r="P1472" s="2" t="s">
        <v>10168</v>
      </c>
      <c r="Q1472" s="2" t="s">
        <v>31</v>
      </c>
      <c r="R1472" s="2" t="s">
        <v>7262</v>
      </c>
      <c r="S1472" s="4" t="s">
        <v>7263</v>
      </c>
      <c r="T1472" s="2" t="s">
        <v>5484</v>
      </c>
      <c r="U1472" s="4" t="s">
        <v>10169</v>
      </c>
      <c r="V1472" s="2" t="s">
        <v>502</v>
      </c>
      <c r="W1472" s="2" t="s">
        <v>10164</v>
      </c>
      <c r="X1472" s="5" t="str">
        <f>HYPERLINK("https://my.pitchbook.com?p=217570-69P","View People Online")</f>
        <v>View People Online</v>
      </c>
    </row>
    <row r="1473">
      <c r="A1473" s="14" t="s">
        <v>10282</v>
      </c>
      <c r="B1473" s="14" t="s">
        <v>10283</v>
      </c>
      <c r="C1473" s="14" t="s">
        <v>10284</v>
      </c>
      <c r="D1473" s="14" t="s">
        <v>10285</v>
      </c>
      <c r="E1473" s="14" t="s">
        <v>10286</v>
      </c>
      <c r="F1473" s="14" t="s">
        <v>548</v>
      </c>
      <c r="G1473" s="14" t="s">
        <v>10287</v>
      </c>
      <c r="H1473" s="15" t="s">
        <v>31</v>
      </c>
      <c r="I1473" s="15">
        <v>1.0</v>
      </c>
      <c r="J1473" s="15">
        <v>1.0</v>
      </c>
      <c r="K1473" s="15" t="s">
        <v>31</v>
      </c>
      <c r="L1473" s="16" t="s">
        <v>10288</v>
      </c>
      <c r="M1473" s="14" t="s">
        <v>10289</v>
      </c>
      <c r="N1473" s="14" t="s">
        <v>10290</v>
      </c>
      <c r="O1473" s="16" t="s">
        <v>10291</v>
      </c>
      <c r="P1473" s="14" t="s">
        <v>10292</v>
      </c>
      <c r="Q1473" s="14" t="s">
        <v>10293</v>
      </c>
      <c r="R1473" s="14" t="s">
        <v>31</v>
      </c>
      <c r="S1473" s="16" t="s">
        <v>10294</v>
      </c>
      <c r="T1473" s="14" t="s">
        <v>10295</v>
      </c>
      <c r="U1473" s="16" t="s">
        <v>10296</v>
      </c>
      <c r="V1473" s="14" t="s">
        <v>10297</v>
      </c>
      <c r="W1473" s="14" t="s">
        <v>10286</v>
      </c>
      <c r="X1473" s="17" t="str">
        <f>HYPERLINK("https://my.pitchbook.com?p=349307-11P","View People Online")</f>
        <v>View People Online</v>
      </c>
    </row>
    <row r="1474">
      <c r="A1474" s="10" t="s">
        <v>10298</v>
      </c>
      <c r="B1474" s="10" t="s">
        <v>10299</v>
      </c>
      <c r="C1474" s="10" t="s">
        <v>10300</v>
      </c>
      <c r="D1474" s="10" t="s">
        <v>10301</v>
      </c>
      <c r="E1474" s="10" t="s">
        <v>10286</v>
      </c>
      <c r="F1474" s="10" t="s">
        <v>713</v>
      </c>
      <c r="G1474" s="10" t="s">
        <v>10302</v>
      </c>
      <c r="H1474" s="11">
        <v>1.0</v>
      </c>
      <c r="I1474" s="11">
        <v>2.0</v>
      </c>
      <c r="J1474" s="11">
        <v>1.0</v>
      </c>
      <c r="K1474" s="11" t="s">
        <v>31</v>
      </c>
      <c r="L1474" s="12" t="s">
        <v>10303</v>
      </c>
      <c r="M1474" s="10" t="s">
        <v>31</v>
      </c>
      <c r="N1474" s="10" t="s">
        <v>10304</v>
      </c>
      <c r="O1474" s="12" t="s">
        <v>10305</v>
      </c>
      <c r="P1474" s="10" t="s">
        <v>10306</v>
      </c>
      <c r="Q1474" s="10" t="s">
        <v>6654</v>
      </c>
      <c r="R1474" s="10" t="s">
        <v>209</v>
      </c>
      <c r="S1474" s="12" t="s">
        <v>10307</v>
      </c>
      <c r="T1474" s="10" t="s">
        <v>66</v>
      </c>
      <c r="U1474" s="12" t="s">
        <v>10308</v>
      </c>
      <c r="V1474" s="10" t="s">
        <v>6873</v>
      </c>
      <c r="W1474" s="10" t="s">
        <v>10309</v>
      </c>
      <c r="X1474" s="13" t="str">
        <f>HYPERLINK("https://my.pitchbook.com?p=35680-15P","View People Online")</f>
        <v>View People Online</v>
      </c>
    </row>
    <row r="1475">
      <c r="A1475" s="14" t="s">
        <v>10310</v>
      </c>
      <c r="B1475" s="14" t="s">
        <v>10311</v>
      </c>
      <c r="C1475" s="14" t="s">
        <v>10312</v>
      </c>
      <c r="D1475" s="14" t="s">
        <v>10313</v>
      </c>
      <c r="E1475" s="14" t="s">
        <v>10286</v>
      </c>
      <c r="F1475" s="14" t="s">
        <v>548</v>
      </c>
      <c r="G1475" s="14" t="s">
        <v>10314</v>
      </c>
      <c r="H1475" s="15" t="s">
        <v>31</v>
      </c>
      <c r="I1475" s="15">
        <v>1.0</v>
      </c>
      <c r="J1475" s="15">
        <v>1.0</v>
      </c>
      <c r="K1475" s="15" t="s">
        <v>31</v>
      </c>
      <c r="L1475" s="16" t="s">
        <v>10288</v>
      </c>
      <c r="M1475" s="14" t="s">
        <v>10315</v>
      </c>
      <c r="N1475" s="14" t="s">
        <v>10290</v>
      </c>
      <c r="O1475" s="16" t="s">
        <v>10291</v>
      </c>
      <c r="P1475" s="14" t="s">
        <v>10292</v>
      </c>
      <c r="Q1475" s="14" t="s">
        <v>10293</v>
      </c>
      <c r="R1475" s="14" t="s">
        <v>31</v>
      </c>
      <c r="S1475" s="16" t="s">
        <v>10294</v>
      </c>
      <c r="T1475" s="14" t="s">
        <v>10295</v>
      </c>
      <c r="U1475" s="16" t="s">
        <v>10296</v>
      </c>
      <c r="V1475" s="14" t="s">
        <v>10316</v>
      </c>
      <c r="W1475" s="14" t="s">
        <v>10286</v>
      </c>
      <c r="X1475" s="17" t="str">
        <f>HYPERLINK("https://my.pitchbook.com?p=235234-72P","View People Online")</f>
        <v>View People Online</v>
      </c>
    </row>
    <row r="1476">
      <c r="A1476" s="2" t="s">
        <v>10317</v>
      </c>
      <c r="B1476" s="2" t="s">
        <v>10318</v>
      </c>
      <c r="C1476" s="2" t="s">
        <v>2329</v>
      </c>
      <c r="D1476" s="2" t="s">
        <v>10319</v>
      </c>
      <c r="E1476" s="2" t="s">
        <v>10286</v>
      </c>
      <c r="F1476" s="2" t="s">
        <v>81</v>
      </c>
      <c r="G1476" s="2" t="s">
        <v>10320</v>
      </c>
      <c r="H1476" s="3">
        <v>1.0</v>
      </c>
      <c r="I1476" s="3">
        <v>8.0</v>
      </c>
      <c r="J1476" s="3">
        <v>1.0</v>
      </c>
      <c r="K1476" s="3">
        <v>5.0</v>
      </c>
      <c r="L1476" s="4" t="s">
        <v>10321</v>
      </c>
      <c r="M1476" s="2" t="s">
        <v>10322</v>
      </c>
      <c r="N1476" s="2" t="s">
        <v>10323</v>
      </c>
      <c r="O1476" s="4" t="s">
        <v>10324</v>
      </c>
      <c r="P1476" s="2" t="s">
        <v>10325</v>
      </c>
      <c r="Q1476" s="2" t="s">
        <v>31</v>
      </c>
      <c r="R1476" s="2" t="s">
        <v>10326</v>
      </c>
      <c r="S1476" s="4" t="s">
        <v>10327</v>
      </c>
      <c r="T1476" s="2" t="s">
        <v>66</v>
      </c>
      <c r="U1476" s="4" t="s">
        <v>31</v>
      </c>
      <c r="V1476" s="2" t="s">
        <v>10328</v>
      </c>
      <c r="W1476" s="2" t="s">
        <v>10329</v>
      </c>
      <c r="X1476" s="5" t="str">
        <f>HYPERLINK("https://my.pitchbook.com?p=14088-88P","View People Online")</f>
        <v>View People Online</v>
      </c>
    </row>
    <row r="1477">
      <c r="A1477" s="14" t="s">
        <v>10330</v>
      </c>
      <c r="B1477" s="14" t="s">
        <v>10331</v>
      </c>
      <c r="C1477" s="14" t="s">
        <v>10332</v>
      </c>
      <c r="D1477" s="14" t="s">
        <v>10333</v>
      </c>
      <c r="E1477" s="14" t="s">
        <v>10286</v>
      </c>
      <c r="F1477" s="14" t="s">
        <v>502</v>
      </c>
      <c r="G1477" s="14" t="s">
        <v>10334</v>
      </c>
      <c r="H1477" s="15" t="s">
        <v>31</v>
      </c>
      <c r="I1477" s="15">
        <v>1.0</v>
      </c>
      <c r="J1477" s="15">
        <v>1.0</v>
      </c>
      <c r="K1477" s="15" t="s">
        <v>31</v>
      </c>
      <c r="L1477" s="16" t="s">
        <v>10335</v>
      </c>
      <c r="M1477" s="14" t="s">
        <v>10336</v>
      </c>
      <c r="N1477" s="14" t="s">
        <v>10290</v>
      </c>
      <c r="O1477" s="16" t="s">
        <v>10291</v>
      </c>
      <c r="P1477" s="14" t="s">
        <v>10292</v>
      </c>
      <c r="Q1477" s="14" t="s">
        <v>10293</v>
      </c>
      <c r="R1477" s="14" t="s">
        <v>31</v>
      </c>
      <c r="S1477" s="16" t="s">
        <v>10294</v>
      </c>
      <c r="T1477" s="14" t="s">
        <v>10295</v>
      </c>
      <c r="U1477" s="16" t="s">
        <v>10296</v>
      </c>
      <c r="V1477" s="14" t="s">
        <v>502</v>
      </c>
      <c r="W1477" s="14" t="s">
        <v>10286</v>
      </c>
      <c r="X1477" s="17" t="str">
        <f>HYPERLINK("https://my.pitchbook.com?p=442715-50P","View People Online")</f>
        <v>View People Online</v>
      </c>
    </row>
    <row r="1478">
      <c r="A1478" s="2" t="s">
        <v>10337</v>
      </c>
      <c r="B1478" s="2" t="s">
        <v>10338</v>
      </c>
      <c r="C1478" s="2" t="s">
        <v>3521</v>
      </c>
      <c r="D1478" s="2" t="s">
        <v>10339</v>
      </c>
      <c r="E1478" s="2" t="s">
        <v>10340</v>
      </c>
      <c r="F1478" s="2" t="s">
        <v>470</v>
      </c>
      <c r="G1478" s="2" t="s">
        <v>10341</v>
      </c>
      <c r="H1478" s="3" t="s">
        <v>31</v>
      </c>
      <c r="I1478" s="3">
        <v>2.0</v>
      </c>
      <c r="J1478" s="3">
        <v>1.0</v>
      </c>
      <c r="K1478" s="3">
        <v>1.0</v>
      </c>
      <c r="L1478" s="4" t="s">
        <v>10342</v>
      </c>
      <c r="M1478" s="2" t="s">
        <v>10343</v>
      </c>
      <c r="N1478" s="2" t="s">
        <v>1348</v>
      </c>
      <c r="O1478" s="4" t="s">
        <v>1349</v>
      </c>
      <c r="P1478" s="2" t="s">
        <v>10344</v>
      </c>
      <c r="Q1478" s="2" t="s">
        <v>10345</v>
      </c>
      <c r="R1478" s="2" t="s">
        <v>1018</v>
      </c>
      <c r="S1478" s="4" t="s">
        <v>10346</v>
      </c>
      <c r="T1478" s="2" t="s">
        <v>1019</v>
      </c>
      <c r="U1478" s="4" t="s">
        <v>31</v>
      </c>
      <c r="V1478" s="2" t="s">
        <v>10347</v>
      </c>
      <c r="W1478" s="2" t="s">
        <v>10340</v>
      </c>
      <c r="X1478" s="5" t="str">
        <f>HYPERLINK("https://my.pitchbook.com?p=106336-00P","View People Online")</f>
        <v>View People Online</v>
      </c>
    </row>
    <row r="1479">
      <c r="A1479" s="14" t="s">
        <v>10348</v>
      </c>
      <c r="B1479" s="14" t="s">
        <v>10349</v>
      </c>
      <c r="C1479" s="14" t="s">
        <v>10350</v>
      </c>
      <c r="D1479" s="14" t="s">
        <v>10351</v>
      </c>
      <c r="E1479" s="14" t="s">
        <v>10352</v>
      </c>
      <c r="F1479" s="14" t="s">
        <v>1283</v>
      </c>
      <c r="G1479" s="14" t="s">
        <v>10353</v>
      </c>
      <c r="H1479" s="15" t="s">
        <v>31</v>
      </c>
      <c r="I1479" s="15">
        <v>1.0</v>
      </c>
      <c r="J1479" s="15">
        <v>1.0</v>
      </c>
      <c r="K1479" s="15" t="s">
        <v>31</v>
      </c>
      <c r="L1479" s="16" t="s">
        <v>10354</v>
      </c>
      <c r="M1479" s="14" t="s">
        <v>10355</v>
      </c>
      <c r="N1479" s="14" t="s">
        <v>10356</v>
      </c>
      <c r="O1479" s="16" t="s">
        <v>10357</v>
      </c>
      <c r="P1479" s="14" t="s">
        <v>10358</v>
      </c>
      <c r="Q1479" s="14" t="s">
        <v>31</v>
      </c>
      <c r="R1479" s="14" t="s">
        <v>10359</v>
      </c>
      <c r="S1479" s="16" t="s">
        <v>10360</v>
      </c>
      <c r="T1479" s="14" t="s">
        <v>66</v>
      </c>
      <c r="U1479" s="16" t="s">
        <v>31</v>
      </c>
      <c r="V1479" s="14" t="s">
        <v>10361</v>
      </c>
      <c r="W1479" s="14" t="s">
        <v>10352</v>
      </c>
      <c r="X1479" s="17" t="str">
        <f>HYPERLINK("https://my.pitchbook.com?p=215036-38P","View People Online")</f>
        <v>View People Online</v>
      </c>
    </row>
    <row r="1480">
      <c r="A1480" s="10" t="s">
        <v>10362</v>
      </c>
      <c r="B1480" s="10" t="s">
        <v>10363</v>
      </c>
      <c r="C1480" s="10" t="s">
        <v>186</v>
      </c>
      <c r="D1480" s="10" t="s">
        <v>10364</v>
      </c>
      <c r="E1480" s="10" t="s">
        <v>10352</v>
      </c>
      <c r="F1480" s="10" t="s">
        <v>6993</v>
      </c>
      <c r="G1480" s="10" t="s">
        <v>10365</v>
      </c>
      <c r="H1480" s="11" t="s">
        <v>31</v>
      </c>
      <c r="I1480" s="11">
        <v>1.0</v>
      </c>
      <c r="J1480" s="11">
        <v>1.0</v>
      </c>
      <c r="K1480" s="11" t="s">
        <v>31</v>
      </c>
      <c r="L1480" s="12" t="s">
        <v>10354</v>
      </c>
      <c r="M1480" s="10" t="s">
        <v>31</v>
      </c>
      <c r="N1480" s="10" t="s">
        <v>10356</v>
      </c>
      <c r="O1480" s="12" t="s">
        <v>10357</v>
      </c>
      <c r="P1480" s="10" t="s">
        <v>10358</v>
      </c>
      <c r="Q1480" s="10" t="s">
        <v>31</v>
      </c>
      <c r="R1480" s="10" t="s">
        <v>10359</v>
      </c>
      <c r="S1480" s="12" t="s">
        <v>10360</v>
      </c>
      <c r="T1480" s="10" t="s">
        <v>66</v>
      </c>
      <c r="U1480" s="12" t="s">
        <v>31</v>
      </c>
      <c r="V1480" s="10" t="s">
        <v>10366</v>
      </c>
      <c r="W1480" s="10" t="s">
        <v>10352</v>
      </c>
      <c r="X1480" s="13" t="str">
        <f>HYPERLINK("https://my.pitchbook.com?p=411230-17P","View People Online")</f>
        <v>View People Online</v>
      </c>
    </row>
    <row r="1481">
      <c r="A1481" s="6" t="s">
        <v>10367</v>
      </c>
      <c r="B1481" s="6" t="s">
        <v>10368</v>
      </c>
      <c r="C1481" s="6" t="s">
        <v>2658</v>
      </c>
      <c r="D1481" s="6" t="s">
        <v>10369</v>
      </c>
      <c r="E1481" s="6" t="s">
        <v>10352</v>
      </c>
      <c r="F1481" s="6" t="s">
        <v>10370</v>
      </c>
      <c r="G1481" s="6" t="s">
        <v>10371</v>
      </c>
      <c r="H1481" s="7">
        <v>1.0</v>
      </c>
      <c r="I1481" s="7">
        <v>1.0</v>
      </c>
      <c r="J1481" s="7">
        <v>1.0</v>
      </c>
      <c r="K1481" s="7" t="s">
        <v>31</v>
      </c>
      <c r="L1481" s="8" t="s">
        <v>10354</v>
      </c>
      <c r="M1481" s="6" t="s">
        <v>10372</v>
      </c>
      <c r="N1481" s="6" t="s">
        <v>10356</v>
      </c>
      <c r="O1481" s="8" t="s">
        <v>10357</v>
      </c>
      <c r="P1481" s="6" t="s">
        <v>10358</v>
      </c>
      <c r="Q1481" s="6" t="s">
        <v>31</v>
      </c>
      <c r="R1481" s="6" t="s">
        <v>10359</v>
      </c>
      <c r="S1481" s="8" t="s">
        <v>10360</v>
      </c>
      <c r="T1481" s="6" t="s">
        <v>66</v>
      </c>
      <c r="U1481" s="8" t="s">
        <v>31</v>
      </c>
      <c r="V1481" s="6" t="s">
        <v>10373</v>
      </c>
      <c r="W1481" s="6" t="s">
        <v>10352</v>
      </c>
      <c r="X1481" s="9" t="str">
        <f>HYPERLINK("https://my.pitchbook.com?p=367681-60P","View People Online")</f>
        <v>View People Online</v>
      </c>
    </row>
    <row r="1482">
      <c r="A1482" s="2" t="s">
        <v>10374</v>
      </c>
      <c r="B1482" s="2" t="s">
        <v>10375</v>
      </c>
      <c r="C1482" s="2" t="s">
        <v>1117</v>
      </c>
      <c r="D1482" s="2" t="s">
        <v>10376</v>
      </c>
      <c r="E1482" s="2" t="s">
        <v>10352</v>
      </c>
      <c r="F1482" s="2" t="s">
        <v>548</v>
      </c>
      <c r="G1482" s="2" t="s">
        <v>10377</v>
      </c>
      <c r="H1482" s="3" t="s">
        <v>31</v>
      </c>
      <c r="I1482" s="3">
        <v>2.0</v>
      </c>
      <c r="J1482" s="3">
        <v>2.0</v>
      </c>
      <c r="K1482" s="3" t="s">
        <v>31</v>
      </c>
      <c r="L1482" s="4" t="s">
        <v>10378</v>
      </c>
      <c r="M1482" s="2" t="s">
        <v>10379</v>
      </c>
      <c r="N1482" s="2" t="s">
        <v>10356</v>
      </c>
      <c r="O1482" s="4" t="s">
        <v>10357</v>
      </c>
      <c r="P1482" s="2" t="s">
        <v>10358</v>
      </c>
      <c r="Q1482" s="2" t="s">
        <v>31</v>
      </c>
      <c r="R1482" s="2" t="s">
        <v>10359</v>
      </c>
      <c r="S1482" s="4" t="s">
        <v>10360</v>
      </c>
      <c r="T1482" s="2" t="s">
        <v>66</v>
      </c>
      <c r="U1482" s="4" t="s">
        <v>31</v>
      </c>
      <c r="V1482" s="2" t="s">
        <v>10380</v>
      </c>
      <c r="W1482" s="2" t="s">
        <v>10352</v>
      </c>
      <c r="X1482" s="5" t="str">
        <f>HYPERLINK("https://my.pitchbook.com?p=58683-43P","View People Online")</f>
        <v>View People Online</v>
      </c>
    </row>
    <row r="1483">
      <c r="A1483" s="14" t="s">
        <v>10381</v>
      </c>
      <c r="B1483" s="14" t="s">
        <v>10382</v>
      </c>
      <c r="C1483" s="14" t="s">
        <v>10383</v>
      </c>
      <c r="D1483" s="14" t="s">
        <v>10384</v>
      </c>
      <c r="E1483" s="14" t="s">
        <v>10352</v>
      </c>
      <c r="F1483" s="14" t="s">
        <v>6993</v>
      </c>
      <c r="G1483" s="14" t="s">
        <v>10385</v>
      </c>
      <c r="H1483" s="15" t="s">
        <v>31</v>
      </c>
      <c r="I1483" s="15">
        <v>1.0</v>
      </c>
      <c r="J1483" s="15">
        <v>1.0</v>
      </c>
      <c r="K1483" s="15" t="s">
        <v>31</v>
      </c>
      <c r="L1483" s="16" t="s">
        <v>10354</v>
      </c>
      <c r="M1483" s="14" t="s">
        <v>10386</v>
      </c>
      <c r="N1483" s="14" t="s">
        <v>10356</v>
      </c>
      <c r="O1483" s="16" t="s">
        <v>10357</v>
      </c>
      <c r="P1483" s="14" t="s">
        <v>10358</v>
      </c>
      <c r="Q1483" s="14" t="s">
        <v>31</v>
      </c>
      <c r="R1483" s="14" t="s">
        <v>10359</v>
      </c>
      <c r="S1483" s="16" t="s">
        <v>10360</v>
      </c>
      <c r="T1483" s="14" t="s">
        <v>66</v>
      </c>
      <c r="U1483" s="16" t="s">
        <v>31</v>
      </c>
      <c r="V1483" s="14" t="s">
        <v>6993</v>
      </c>
      <c r="W1483" s="14" t="s">
        <v>10352</v>
      </c>
      <c r="X1483" s="17" t="str">
        <f>HYPERLINK("https://my.pitchbook.com?p=411225-58P","View People Online")</f>
        <v>View People Online</v>
      </c>
    </row>
    <row r="1484">
      <c r="A1484" s="10" t="s">
        <v>10387</v>
      </c>
      <c r="B1484" s="10" t="s">
        <v>10388</v>
      </c>
      <c r="C1484" s="10" t="s">
        <v>2688</v>
      </c>
      <c r="D1484" s="10" t="s">
        <v>2457</v>
      </c>
      <c r="E1484" s="10" t="s">
        <v>10352</v>
      </c>
      <c r="F1484" s="10" t="s">
        <v>10389</v>
      </c>
      <c r="G1484" s="10" t="s">
        <v>10390</v>
      </c>
      <c r="H1484" s="11" t="s">
        <v>31</v>
      </c>
      <c r="I1484" s="11">
        <v>1.0</v>
      </c>
      <c r="J1484" s="11">
        <v>1.0</v>
      </c>
      <c r="K1484" s="11" t="s">
        <v>31</v>
      </c>
      <c r="L1484" s="12" t="s">
        <v>10354</v>
      </c>
      <c r="M1484" s="10" t="s">
        <v>31</v>
      </c>
      <c r="N1484" s="10" t="s">
        <v>10356</v>
      </c>
      <c r="O1484" s="12" t="s">
        <v>10357</v>
      </c>
      <c r="P1484" s="10" t="s">
        <v>10358</v>
      </c>
      <c r="Q1484" s="10" t="s">
        <v>31</v>
      </c>
      <c r="R1484" s="10" t="s">
        <v>10359</v>
      </c>
      <c r="S1484" s="12" t="s">
        <v>10360</v>
      </c>
      <c r="T1484" s="10" t="s">
        <v>66</v>
      </c>
      <c r="U1484" s="12" t="s">
        <v>31</v>
      </c>
      <c r="V1484" s="10" t="s">
        <v>10389</v>
      </c>
      <c r="W1484" s="10" t="s">
        <v>10352</v>
      </c>
      <c r="X1484" s="13" t="str">
        <f>HYPERLINK("https://my.pitchbook.com?p=414353-80P","View People Online")</f>
        <v>View People Online</v>
      </c>
    </row>
    <row r="1485">
      <c r="A1485" s="14" t="s">
        <v>10391</v>
      </c>
      <c r="B1485" s="14" t="s">
        <v>10392</v>
      </c>
      <c r="C1485" s="14" t="s">
        <v>4851</v>
      </c>
      <c r="D1485" s="14" t="s">
        <v>10393</v>
      </c>
      <c r="E1485" s="14" t="s">
        <v>10352</v>
      </c>
      <c r="F1485" s="14" t="s">
        <v>583</v>
      </c>
      <c r="G1485" s="14" t="s">
        <v>10394</v>
      </c>
      <c r="H1485" s="15" t="s">
        <v>31</v>
      </c>
      <c r="I1485" s="15">
        <v>4.0</v>
      </c>
      <c r="J1485" s="15">
        <v>3.0</v>
      </c>
      <c r="K1485" s="15">
        <v>1.0</v>
      </c>
      <c r="L1485" s="16" t="s">
        <v>10395</v>
      </c>
      <c r="M1485" s="14" t="s">
        <v>10396</v>
      </c>
      <c r="N1485" s="14" t="s">
        <v>10356</v>
      </c>
      <c r="O1485" s="16" t="s">
        <v>10357</v>
      </c>
      <c r="P1485" s="14" t="s">
        <v>10358</v>
      </c>
      <c r="Q1485" s="14" t="s">
        <v>31</v>
      </c>
      <c r="R1485" s="14" t="s">
        <v>10359</v>
      </c>
      <c r="S1485" s="16" t="s">
        <v>10360</v>
      </c>
      <c r="T1485" s="14" t="s">
        <v>66</v>
      </c>
      <c r="U1485" s="16" t="s">
        <v>31</v>
      </c>
      <c r="V1485" s="14" t="s">
        <v>10397</v>
      </c>
      <c r="W1485" s="14" t="s">
        <v>10398</v>
      </c>
      <c r="X1485" s="17" t="str">
        <f>HYPERLINK("https://my.pitchbook.com?p=340477-57P","View People Online")</f>
        <v>View People Online</v>
      </c>
    </row>
    <row r="1486">
      <c r="A1486" s="2" t="s">
        <v>10399</v>
      </c>
      <c r="B1486" s="2" t="s">
        <v>10400</v>
      </c>
      <c r="C1486" s="2" t="s">
        <v>10401</v>
      </c>
      <c r="D1486" s="2" t="s">
        <v>10402</v>
      </c>
      <c r="E1486" s="2" t="s">
        <v>10352</v>
      </c>
      <c r="F1486" s="2" t="s">
        <v>583</v>
      </c>
      <c r="G1486" s="2" t="s">
        <v>10403</v>
      </c>
      <c r="H1486" s="3" t="s">
        <v>31</v>
      </c>
      <c r="I1486" s="3">
        <v>1.0</v>
      </c>
      <c r="J1486" s="3">
        <v>1.0</v>
      </c>
      <c r="K1486" s="3" t="s">
        <v>31</v>
      </c>
      <c r="L1486" s="4" t="s">
        <v>10354</v>
      </c>
      <c r="M1486" s="2" t="s">
        <v>10404</v>
      </c>
      <c r="N1486" s="2" t="s">
        <v>10356</v>
      </c>
      <c r="O1486" s="4" t="s">
        <v>10357</v>
      </c>
      <c r="P1486" s="2" t="s">
        <v>10358</v>
      </c>
      <c r="Q1486" s="2" t="s">
        <v>31</v>
      </c>
      <c r="R1486" s="2" t="s">
        <v>10359</v>
      </c>
      <c r="S1486" s="4" t="s">
        <v>10360</v>
      </c>
      <c r="T1486" s="2" t="s">
        <v>66</v>
      </c>
      <c r="U1486" s="4" t="s">
        <v>31</v>
      </c>
      <c r="V1486" s="2" t="s">
        <v>10405</v>
      </c>
      <c r="W1486" s="2" t="s">
        <v>10352</v>
      </c>
      <c r="X1486" s="5" t="str">
        <f>HYPERLINK("https://my.pitchbook.com?p=399124-45P","View People Online")</f>
        <v>View People Online</v>
      </c>
    </row>
    <row r="1487">
      <c r="A1487" s="6" t="s">
        <v>10406</v>
      </c>
      <c r="B1487" s="6" t="s">
        <v>10407</v>
      </c>
      <c r="C1487" s="6" t="s">
        <v>1437</v>
      </c>
      <c r="D1487" s="6" t="s">
        <v>10408</v>
      </c>
      <c r="E1487" s="6" t="s">
        <v>10352</v>
      </c>
      <c r="F1487" s="6" t="s">
        <v>318</v>
      </c>
      <c r="G1487" s="6" t="s">
        <v>10409</v>
      </c>
      <c r="H1487" s="7" t="s">
        <v>31</v>
      </c>
      <c r="I1487" s="7">
        <v>1.0</v>
      </c>
      <c r="J1487" s="7">
        <v>1.0</v>
      </c>
      <c r="K1487" s="7" t="s">
        <v>31</v>
      </c>
      <c r="L1487" s="8" t="s">
        <v>10354</v>
      </c>
      <c r="M1487" s="6" t="s">
        <v>31</v>
      </c>
      <c r="N1487" s="6" t="s">
        <v>10356</v>
      </c>
      <c r="O1487" s="8" t="s">
        <v>10357</v>
      </c>
      <c r="P1487" s="6" t="s">
        <v>10358</v>
      </c>
      <c r="Q1487" s="6" t="s">
        <v>31</v>
      </c>
      <c r="R1487" s="6" t="s">
        <v>10359</v>
      </c>
      <c r="S1487" s="8" t="s">
        <v>10360</v>
      </c>
      <c r="T1487" s="6" t="s">
        <v>66</v>
      </c>
      <c r="U1487" s="8" t="s">
        <v>31</v>
      </c>
      <c r="V1487" s="6" t="s">
        <v>318</v>
      </c>
      <c r="W1487" s="6" t="s">
        <v>10352</v>
      </c>
      <c r="X1487" s="9" t="str">
        <f>HYPERLINK("https://my.pitchbook.com?p=411229-18P","View People Online")</f>
        <v>View People Online</v>
      </c>
    </row>
    <row r="1488">
      <c r="A1488" s="2" t="s">
        <v>10410</v>
      </c>
      <c r="B1488" s="2" t="s">
        <v>10411</v>
      </c>
      <c r="C1488" s="2" t="s">
        <v>285</v>
      </c>
      <c r="D1488" s="2" t="s">
        <v>10412</v>
      </c>
      <c r="E1488" s="2" t="s">
        <v>10352</v>
      </c>
      <c r="F1488" s="2" t="s">
        <v>3665</v>
      </c>
      <c r="G1488" s="2" t="s">
        <v>10413</v>
      </c>
      <c r="H1488" s="3" t="s">
        <v>31</v>
      </c>
      <c r="I1488" s="3">
        <v>1.0</v>
      </c>
      <c r="J1488" s="3">
        <v>1.0</v>
      </c>
      <c r="K1488" s="3" t="s">
        <v>31</v>
      </c>
      <c r="L1488" s="4" t="s">
        <v>10354</v>
      </c>
      <c r="M1488" s="2" t="s">
        <v>31</v>
      </c>
      <c r="N1488" s="2" t="s">
        <v>10356</v>
      </c>
      <c r="O1488" s="4" t="s">
        <v>10357</v>
      </c>
      <c r="P1488" s="2" t="s">
        <v>10358</v>
      </c>
      <c r="Q1488" s="2" t="s">
        <v>31</v>
      </c>
      <c r="R1488" s="2" t="s">
        <v>10359</v>
      </c>
      <c r="S1488" s="4" t="s">
        <v>10360</v>
      </c>
      <c r="T1488" s="2" t="s">
        <v>66</v>
      </c>
      <c r="U1488" s="4" t="s">
        <v>31</v>
      </c>
      <c r="V1488" s="2" t="s">
        <v>10414</v>
      </c>
      <c r="W1488" s="2" t="s">
        <v>10352</v>
      </c>
      <c r="X1488" s="5" t="str">
        <f>HYPERLINK("https://my.pitchbook.com?p=246738-52P","View People Online")</f>
        <v>View People Online</v>
      </c>
    </row>
    <row r="1489">
      <c r="A1489" s="14" t="s">
        <v>10415</v>
      </c>
      <c r="B1489" s="14" t="s">
        <v>10416</v>
      </c>
      <c r="C1489" s="14" t="s">
        <v>1449</v>
      </c>
      <c r="D1489" s="14" t="s">
        <v>10417</v>
      </c>
      <c r="E1489" s="14" t="s">
        <v>10352</v>
      </c>
      <c r="F1489" s="14" t="s">
        <v>1283</v>
      </c>
      <c r="G1489" s="14" t="s">
        <v>10418</v>
      </c>
      <c r="H1489" s="15" t="s">
        <v>31</v>
      </c>
      <c r="I1489" s="15">
        <v>1.0</v>
      </c>
      <c r="J1489" s="15">
        <v>1.0</v>
      </c>
      <c r="K1489" s="15" t="s">
        <v>31</v>
      </c>
      <c r="L1489" s="16" t="s">
        <v>10354</v>
      </c>
      <c r="M1489" s="14" t="s">
        <v>10419</v>
      </c>
      <c r="N1489" s="14" t="s">
        <v>10356</v>
      </c>
      <c r="O1489" s="16" t="s">
        <v>10357</v>
      </c>
      <c r="P1489" s="14" t="s">
        <v>10358</v>
      </c>
      <c r="Q1489" s="14" t="s">
        <v>31</v>
      </c>
      <c r="R1489" s="14" t="s">
        <v>10359</v>
      </c>
      <c r="S1489" s="16" t="s">
        <v>10360</v>
      </c>
      <c r="T1489" s="14" t="s">
        <v>66</v>
      </c>
      <c r="U1489" s="16" t="s">
        <v>31</v>
      </c>
      <c r="V1489" s="14" t="s">
        <v>10420</v>
      </c>
      <c r="W1489" s="14" t="s">
        <v>10352</v>
      </c>
      <c r="X1489" s="17" t="str">
        <f>HYPERLINK("https://my.pitchbook.com?p=411226-30P","View People Online")</f>
        <v>View People Online</v>
      </c>
    </row>
    <row r="1490">
      <c r="A1490" s="10" t="s">
        <v>10421</v>
      </c>
      <c r="B1490" s="10" t="s">
        <v>10422</v>
      </c>
      <c r="C1490" s="10" t="s">
        <v>3499</v>
      </c>
      <c r="D1490" s="10" t="s">
        <v>10423</v>
      </c>
      <c r="E1490" s="10" t="s">
        <v>10352</v>
      </c>
      <c r="F1490" s="10" t="s">
        <v>1283</v>
      </c>
      <c r="G1490" s="10" t="s">
        <v>10424</v>
      </c>
      <c r="H1490" s="11" t="s">
        <v>31</v>
      </c>
      <c r="I1490" s="11">
        <v>1.0</v>
      </c>
      <c r="J1490" s="11">
        <v>1.0</v>
      </c>
      <c r="K1490" s="11" t="s">
        <v>31</v>
      </c>
      <c r="L1490" s="12" t="s">
        <v>10354</v>
      </c>
      <c r="M1490" s="10" t="s">
        <v>10425</v>
      </c>
      <c r="N1490" s="10" t="s">
        <v>10356</v>
      </c>
      <c r="O1490" s="12" t="s">
        <v>10357</v>
      </c>
      <c r="P1490" s="10" t="s">
        <v>10358</v>
      </c>
      <c r="Q1490" s="10" t="s">
        <v>31</v>
      </c>
      <c r="R1490" s="10" t="s">
        <v>10359</v>
      </c>
      <c r="S1490" s="12" t="s">
        <v>10360</v>
      </c>
      <c r="T1490" s="10" t="s">
        <v>66</v>
      </c>
      <c r="U1490" s="12" t="s">
        <v>31</v>
      </c>
      <c r="V1490" s="10" t="s">
        <v>10426</v>
      </c>
      <c r="W1490" s="10" t="s">
        <v>10352</v>
      </c>
      <c r="X1490" s="13" t="str">
        <f>HYPERLINK("https://my.pitchbook.com?p=215036-83P","View People Online")</f>
        <v>View People Online</v>
      </c>
    </row>
    <row r="1491">
      <c r="A1491" s="6" t="s">
        <v>10427</v>
      </c>
      <c r="B1491" s="6" t="s">
        <v>10428</v>
      </c>
      <c r="C1491" s="6" t="s">
        <v>4739</v>
      </c>
      <c r="D1491" s="6" t="s">
        <v>10429</v>
      </c>
      <c r="E1491" s="6" t="s">
        <v>10352</v>
      </c>
      <c r="F1491" s="6" t="s">
        <v>1283</v>
      </c>
      <c r="G1491" s="6" t="s">
        <v>10430</v>
      </c>
      <c r="H1491" s="7" t="s">
        <v>31</v>
      </c>
      <c r="I1491" s="7">
        <v>1.0</v>
      </c>
      <c r="J1491" s="7">
        <v>1.0</v>
      </c>
      <c r="K1491" s="7" t="s">
        <v>31</v>
      </c>
      <c r="L1491" s="8" t="s">
        <v>10354</v>
      </c>
      <c r="M1491" s="6" t="s">
        <v>10431</v>
      </c>
      <c r="N1491" s="6" t="s">
        <v>10356</v>
      </c>
      <c r="O1491" s="8" t="s">
        <v>10357</v>
      </c>
      <c r="P1491" s="6" t="s">
        <v>10358</v>
      </c>
      <c r="Q1491" s="6" t="s">
        <v>31</v>
      </c>
      <c r="R1491" s="6" t="s">
        <v>10359</v>
      </c>
      <c r="S1491" s="8" t="s">
        <v>10360</v>
      </c>
      <c r="T1491" s="6" t="s">
        <v>66</v>
      </c>
      <c r="U1491" s="8" t="s">
        <v>31</v>
      </c>
      <c r="V1491" s="6" t="s">
        <v>10432</v>
      </c>
      <c r="W1491" s="6" t="s">
        <v>10352</v>
      </c>
      <c r="X1491" s="9" t="str">
        <f>HYPERLINK("https://my.pitchbook.com?p=411227-38P","View People Online")</f>
        <v>View People Online</v>
      </c>
    </row>
    <row r="1492">
      <c r="A1492" s="10" t="s">
        <v>10433</v>
      </c>
      <c r="B1492" s="10" t="s">
        <v>10434</v>
      </c>
      <c r="C1492" s="10" t="s">
        <v>6531</v>
      </c>
      <c r="D1492" s="10" t="s">
        <v>3530</v>
      </c>
      <c r="E1492" s="10" t="s">
        <v>10352</v>
      </c>
      <c r="F1492" s="10" t="s">
        <v>1283</v>
      </c>
      <c r="G1492" s="10" t="s">
        <v>10435</v>
      </c>
      <c r="H1492" s="11" t="s">
        <v>31</v>
      </c>
      <c r="I1492" s="11">
        <v>1.0</v>
      </c>
      <c r="J1492" s="11">
        <v>1.0</v>
      </c>
      <c r="K1492" s="11" t="s">
        <v>31</v>
      </c>
      <c r="L1492" s="12" t="s">
        <v>10354</v>
      </c>
      <c r="M1492" s="10" t="s">
        <v>10436</v>
      </c>
      <c r="N1492" s="10" t="s">
        <v>10356</v>
      </c>
      <c r="O1492" s="12" t="s">
        <v>10357</v>
      </c>
      <c r="P1492" s="10" t="s">
        <v>10358</v>
      </c>
      <c r="Q1492" s="10" t="s">
        <v>31</v>
      </c>
      <c r="R1492" s="10" t="s">
        <v>10359</v>
      </c>
      <c r="S1492" s="12" t="s">
        <v>10360</v>
      </c>
      <c r="T1492" s="10" t="s">
        <v>66</v>
      </c>
      <c r="U1492" s="12" t="s">
        <v>31</v>
      </c>
      <c r="V1492" s="10" t="s">
        <v>10432</v>
      </c>
      <c r="W1492" s="10" t="s">
        <v>10352</v>
      </c>
      <c r="X1492" s="13" t="str">
        <f>HYPERLINK("https://my.pitchbook.com?p=411226-93P","View People Online")</f>
        <v>View People Online</v>
      </c>
    </row>
    <row r="1493">
      <c r="A1493" s="6" t="s">
        <v>10437</v>
      </c>
      <c r="B1493" s="6" t="s">
        <v>10438</v>
      </c>
      <c r="C1493" s="6" t="s">
        <v>10439</v>
      </c>
      <c r="D1493" s="6" t="s">
        <v>2871</v>
      </c>
      <c r="E1493" s="6" t="s">
        <v>10352</v>
      </c>
      <c r="F1493" s="6" t="s">
        <v>371</v>
      </c>
      <c r="G1493" s="6" t="s">
        <v>10440</v>
      </c>
      <c r="H1493" s="7" t="s">
        <v>31</v>
      </c>
      <c r="I1493" s="7">
        <v>3.0</v>
      </c>
      <c r="J1493" s="7">
        <v>1.0</v>
      </c>
      <c r="K1493" s="7">
        <v>2.0</v>
      </c>
      <c r="L1493" s="8" t="s">
        <v>10354</v>
      </c>
      <c r="M1493" s="6" t="s">
        <v>10441</v>
      </c>
      <c r="N1493" s="6" t="s">
        <v>10356</v>
      </c>
      <c r="O1493" s="8" t="s">
        <v>10357</v>
      </c>
      <c r="P1493" s="6" t="s">
        <v>10358</v>
      </c>
      <c r="Q1493" s="6" t="s">
        <v>31</v>
      </c>
      <c r="R1493" s="6" t="s">
        <v>10359</v>
      </c>
      <c r="S1493" s="8" t="s">
        <v>10360</v>
      </c>
      <c r="T1493" s="6" t="s">
        <v>66</v>
      </c>
      <c r="U1493" s="8" t="s">
        <v>31</v>
      </c>
      <c r="V1493" s="6" t="s">
        <v>10442</v>
      </c>
      <c r="W1493" s="6" t="s">
        <v>10352</v>
      </c>
      <c r="X1493" s="9" t="str">
        <f>HYPERLINK("https://my.pitchbook.com?p=219749-14P","View People Online")</f>
        <v>View People Online</v>
      </c>
    </row>
    <row r="1494">
      <c r="A1494" s="10" t="s">
        <v>10443</v>
      </c>
      <c r="B1494" s="10" t="s">
        <v>10444</v>
      </c>
      <c r="C1494" s="10" t="s">
        <v>3529</v>
      </c>
      <c r="D1494" s="10" t="s">
        <v>10445</v>
      </c>
      <c r="E1494" s="10" t="s">
        <v>10352</v>
      </c>
      <c r="F1494" s="10" t="s">
        <v>152</v>
      </c>
      <c r="G1494" s="10" t="s">
        <v>10446</v>
      </c>
      <c r="H1494" s="11" t="s">
        <v>31</v>
      </c>
      <c r="I1494" s="11">
        <v>1.0</v>
      </c>
      <c r="J1494" s="11">
        <v>1.0</v>
      </c>
      <c r="K1494" s="11" t="s">
        <v>31</v>
      </c>
      <c r="L1494" s="12" t="s">
        <v>10354</v>
      </c>
      <c r="M1494" s="10" t="s">
        <v>10447</v>
      </c>
      <c r="N1494" s="10" t="s">
        <v>10356</v>
      </c>
      <c r="O1494" s="12" t="s">
        <v>10357</v>
      </c>
      <c r="P1494" s="10" t="s">
        <v>10358</v>
      </c>
      <c r="Q1494" s="10" t="s">
        <v>31</v>
      </c>
      <c r="R1494" s="10" t="s">
        <v>10359</v>
      </c>
      <c r="S1494" s="12" t="s">
        <v>10360</v>
      </c>
      <c r="T1494" s="10" t="s">
        <v>66</v>
      </c>
      <c r="U1494" s="12" t="s">
        <v>31</v>
      </c>
      <c r="V1494" s="10" t="s">
        <v>10448</v>
      </c>
      <c r="W1494" s="10" t="s">
        <v>10352</v>
      </c>
      <c r="X1494" s="13" t="str">
        <f>HYPERLINK("https://my.pitchbook.com?p=386500-87P","View People Online")</f>
        <v>View People Online</v>
      </c>
    </row>
    <row r="1495">
      <c r="A1495" s="14" t="s">
        <v>10449</v>
      </c>
      <c r="B1495" s="14" t="s">
        <v>10450</v>
      </c>
      <c r="C1495" s="14" t="s">
        <v>26</v>
      </c>
      <c r="D1495" s="14" t="s">
        <v>10451</v>
      </c>
      <c r="E1495" s="14" t="s">
        <v>10352</v>
      </c>
      <c r="F1495" s="14" t="s">
        <v>548</v>
      </c>
      <c r="G1495" s="14" t="s">
        <v>10452</v>
      </c>
      <c r="H1495" s="15" t="s">
        <v>31</v>
      </c>
      <c r="I1495" s="15">
        <v>1.0</v>
      </c>
      <c r="J1495" s="15">
        <v>1.0</v>
      </c>
      <c r="K1495" s="15" t="s">
        <v>31</v>
      </c>
      <c r="L1495" s="16" t="s">
        <v>10395</v>
      </c>
      <c r="M1495" s="14" t="s">
        <v>10453</v>
      </c>
      <c r="N1495" s="14" t="s">
        <v>10356</v>
      </c>
      <c r="O1495" s="16" t="s">
        <v>10357</v>
      </c>
      <c r="P1495" s="14" t="s">
        <v>10358</v>
      </c>
      <c r="Q1495" s="14" t="s">
        <v>31</v>
      </c>
      <c r="R1495" s="14" t="s">
        <v>10359</v>
      </c>
      <c r="S1495" s="16" t="s">
        <v>10360</v>
      </c>
      <c r="T1495" s="14" t="s">
        <v>66</v>
      </c>
      <c r="U1495" s="16" t="s">
        <v>31</v>
      </c>
      <c r="V1495" s="14" t="s">
        <v>10454</v>
      </c>
      <c r="W1495" s="14" t="s">
        <v>10352</v>
      </c>
      <c r="X1495" s="17" t="str">
        <f>HYPERLINK("https://my.pitchbook.com?p=281121-49P","View People Online")</f>
        <v>View People Online</v>
      </c>
    </row>
    <row r="1496">
      <c r="A1496" s="10" t="s">
        <v>10455</v>
      </c>
      <c r="B1496" s="10" t="s">
        <v>10456</v>
      </c>
      <c r="C1496" s="10" t="s">
        <v>10457</v>
      </c>
      <c r="D1496" s="10" t="s">
        <v>10458</v>
      </c>
      <c r="E1496" s="10" t="s">
        <v>10352</v>
      </c>
      <c r="F1496" s="10" t="s">
        <v>1283</v>
      </c>
      <c r="G1496" s="10" t="s">
        <v>10459</v>
      </c>
      <c r="H1496" s="11" t="s">
        <v>31</v>
      </c>
      <c r="I1496" s="11">
        <v>1.0</v>
      </c>
      <c r="J1496" s="11">
        <v>1.0</v>
      </c>
      <c r="K1496" s="11" t="s">
        <v>31</v>
      </c>
      <c r="L1496" s="12" t="s">
        <v>10460</v>
      </c>
      <c r="M1496" s="10" t="s">
        <v>31</v>
      </c>
      <c r="N1496" s="10" t="s">
        <v>10356</v>
      </c>
      <c r="O1496" s="12" t="s">
        <v>10357</v>
      </c>
      <c r="P1496" s="10" t="s">
        <v>10358</v>
      </c>
      <c r="Q1496" s="10" t="s">
        <v>31</v>
      </c>
      <c r="R1496" s="10" t="s">
        <v>10359</v>
      </c>
      <c r="S1496" s="12" t="s">
        <v>10360</v>
      </c>
      <c r="T1496" s="10" t="s">
        <v>66</v>
      </c>
      <c r="U1496" s="12" t="s">
        <v>31</v>
      </c>
      <c r="V1496" s="10" t="s">
        <v>10432</v>
      </c>
      <c r="W1496" s="10" t="s">
        <v>10352</v>
      </c>
      <c r="X1496" s="13" t="str">
        <f>HYPERLINK("https://my.pitchbook.com?p=254654-56P","View People Online")</f>
        <v>View People Online</v>
      </c>
    </row>
    <row r="1497">
      <c r="A1497" s="14" t="s">
        <v>10461</v>
      </c>
      <c r="B1497" s="14" t="s">
        <v>10462</v>
      </c>
      <c r="C1497" s="14" t="s">
        <v>10463</v>
      </c>
      <c r="D1497" s="14" t="s">
        <v>10464</v>
      </c>
      <c r="E1497" s="14" t="s">
        <v>10352</v>
      </c>
      <c r="F1497" s="14" t="s">
        <v>583</v>
      </c>
      <c r="G1497" s="14" t="s">
        <v>10465</v>
      </c>
      <c r="H1497" s="15" t="s">
        <v>31</v>
      </c>
      <c r="I1497" s="15">
        <v>1.0</v>
      </c>
      <c r="J1497" s="15">
        <v>1.0</v>
      </c>
      <c r="K1497" s="15" t="s">
        <v>31</v>
      </c>
      <c r="L1497" s="16" t="s">
        <v>10354</v>
      </c>
      <c r="M1497" s="14" t="s">
        <v>31</v>
      </c>
      <c r="N1497" s="14" t="s">
        <v>10356</v>
      </c>
      <c r="O1497" s="16" t="s">
        <v>10357</v>
      </c>
      <c r="P1497" s="14" t="s">
        <v>10358</v>
      </c>
      <c r="Q1497" s="14" t="s">
        <v>31</v>
      </c>
      <c r="R1497" s="14" t="s">
        <v>10359</v>
      </c>
      <c r="S1497" s="16" t="s">
        <v>10360</v>
      </c>
      <c r="T1497" s="14" t="s">
        <v>66</v>
      </c>
      <c r="U1497" s="16" t="s">
        <v>31</v>
      </c>
      <c r="V1497" s="14" t="s">
        <v>10466</v>
      </c>
      <c r="W1497" s="14" t="s">
        <v>10352</v>
      </c>
      <c r="X1497" s="17" t="str">
        <f>HYPERLINK("https://my.pitchbook.com?p=369994-78P","View People Online")</f>
        <v>View People Online</v>
      </c>
    </row>
    <row r="1498">
      <c r="A1498" s="2" t="s">
        <v>10467</v>
      </c>
      <c r="B1498" s="2" t="s">
        <v>10468</v>
      </c>
      <c r="C1498" s="2" t="s">
        <v>1502</v>
      </c>
      <c r="D1498" s="2" t="s">
        <v>10469</v>
      </c>
      <c r="E1498" s="2" t="s">
        <v>10352</v>
      </c>
      <c r="F1498" s="2" t="s">
        <v>1283</v>
      </c>
      <c r="G1498" s="2" t="s">
        <v>10470</v>
      </c>
      <c r="H1498" s="3" t="s">
        <v>31</v>
      </c>
      <c r="I1498" s="3">
        <v>1.0</v>
      </c>
      <c r="J1498" s="3">
        <v>1.0</v>
      </c>
      <c r="K1498" s="3" t="s">
        <v>31</v>
      </c>
      <c r="L1498" s="4" t="s">
        <v>10354</v>
      </c>
      <c r="M1498" s="2" t="s">
        <v>31</v>
      </c>
      <c r="N1498" s="2" t="s">
        <v>10356</v>
      </c>
      <c r="O1498" s="4" t="s">
        <v>10357</v>
      </c>
      <c r="P1498" s="2" t="s">
        <v>10358</v>
      </c>
      <c r="Q1498" s="2" t="s">
        <v>31</v>
      </c>
      <c r="R1498" s="2" t="s">
        <v>10359</v>
      </c>
      <c r="S1498" s="4" t="s">
        <v>10360</v>
      </c>
      <c r="T1498" s="2" t="s">
        <v>66</v>
      </c>
      <c r="U1498" s="4" t="s">
        <v>31</v>
      </c>
      <c r="V1498" s="2" t="s">
        <v>1283</v>
      </c>
      <c r="W1498" s="2" t="s">
        <v>10352</v>
      </c>
      <c r="X1498" s="5" t="str">
        <f>HYPERLINK("https://my.pitchbook.com?p=411225-94P","View People Online")</f>
        <v>View People Online</v>
      </c>
    </row>
    <row r="1499">
      <c r="A1499" s="6" t="s">
        <v>10471</v>
      </c>
      <c r="B1499" s="6" t="s">
        <v>10472</v>
      </c>
      <c r="C1499" s="6" t="s">
        <v>10473</v>
      </c>
      <c r="D1499" s="6" t="s">
        <v>10474</v>
      </c>
      <c r="E1499" s="6" t="s">
        <v>10352</v>
      </c>
      <c r="F1499" s="6" t="s">
        <v>4527</v>
      </c>
      <c r="G1499" s="6" t="s">
        <v>10475</v>
      </c>
      <c r="H1499" s="7">
        <v>1.0</v>
      </c>
      <c r="I1499" s="7">
        <v>2.0</v>
      </c>
      <c r="J1499" s="7">
        <v>1.0</v>
      </c>
      <c r="K1499" s="7">
        <v>1.0</v>
      </c>
      <c r="L1499" s="8" t="s">
        <v>10354</v>
      </c>
      <c r="M1499" s="6" t="s">
        <v>10476</v>
      </c>
      <c r="N1499" s="6" t="s">
        <v>10356</v>
      </c>
      <c r="O1499" s="8" t="s">
        <v>10357</v>
      </c>
      <c r="P1499" s="6" t="s">
        <v>10358</v>
      </c>
      <c r="Q1499" s="6" t="s">
        <v>31</v>
      </c>
      <c r="R1499" s="6" t="s">
        <v>10359</v>
      </c>
      <c r="S1499" s="8" t="s">
        <v>10360</v>
      </c>
      <c r="T1499" s="6" t="s">
        <v>66</v>
      </c>
      <c r="U1499" s="8" t="s">
        <v>31</v>
      </c>
      <c r="V1499" s="6" t="s">
        <v>6811</v>
      </c>
      <c r="W1499" s="6" t="s">
        <v>10352</v>
      </c>
      <c r="X1499" s="9" t="str">
        <f>HYPERLINK("https://my.pitchbook.com?p=249584-68P","View People Online")</f>
        <v>View People Online</v>
      </c>
    </row>
    <row r="1500">
      <c r="A1500" s="10" t="s">
        <v>10477</v>
      </c>
      <c r="B1500" s="10" t="s">
        <v>10478</v>
      </c>
      <c r="C1500" s="10" t="s">
        <v>2288</v>
      </c>
      <c r="D1500" s="10" t="s">
        <v>10479</v>
      </c>
      <c r="E1500" s="10" t="s">
        <v>10352</v>
      </c>
      <c r="F1500" s="10" t="s">
        <v>270</v>
      </c>
      <c r="G1500" s="10" t="s">
        <v>10480</v>
      </c>
      <c r="H1500" s="11" t="s">
        <v>31</v>
      </c>
      <c r="I1500" s="11">
        <v>1.0</v>
      </c>
      <c r="J1500" s="11">
        <v>1.0</v>
      </c>
      <c r="K1500" s="11" t="s">
        <v>31</v>
      </c>
      <c r="L1500" s="12" t="s">
        <v>10354</v>
      </c>
      <c r="M1500" s="10" t="s">
        <v>10481</v>
      </c>
      <c r="N1500" s="10" t="s">
        <v>10356</v>
      </c>
      <c r="O1500" s="12" t="s">
        <v>10357</v>
      </c>
      <c r="P1500" s="10" t="s">
        <v>10358</v>
      </c>
      <c r="Q1500" s="10" t="s">
        <v>31</v>
      </c>
      <c r="R1500" s="10" t="s">
        <v>10359</v>
      </c>
      <c r="S1500" s="12" t="s">
        <v>10360</v>
      </c>
      <c r="T1500" s="10" t="s">
        <v>66</v>
      </c>
      <c r="U1500" s="12" t="s">
        <v>31</v>
      </c>
      <c r="V1500" s="10" t="s">
        <v>10482</v>
      </c>
      <c r="W1500" s="10" t="s">
        <v>10352</v>
      </c>
      <c r="X1500" s="13" t="str">
        <f>HYPERLINK("https://my.pitchbook.com?p=281120-95P","View People Online")</f>
        <v>View People Online</v>
      </c>
    </row>
    <row r="1501">
      <c r="A1501" s="14" t="s">
        <v>10483</v>
      </c>
      <c r="B1501" s="14" t="s">
        <v>10484</v>
      </c>
      <c r="C1501" s="14" t="s">
        <v>2288</v>
      </c>
      <c r="D1501" s="14" t="s">
        <v>10485</v>
      </c>
      <c r="E1501" s="14" t="s">
        <v>10352</v>
      </c>
      <c r="F1501" s="14" t="s">
        <v>1801</v>
      </c>
      <c r="G1501" s="14" t="s">
        <v>10486</v>
      </c>
      <c r="H1501" s="15" t="s">
        <v>31</v>
      </c>
      <c r="I1501" s="15">
        <v>2.0</v>
      </c>
      <c r="J1501" s="15">
        <v>1.0</v>
      </c>
      <c r="K1501" s="15">
        <v>1.0</v>
      </c>
      <c r="L1501" s="16" t="s">
        <v>10354</v>
      </c>
      <c r="M1501" s="14" t="s">
        <v>10487</v>
      </c>
      <c r="N1501" s="14" t="s">
        <v>10356</v>
      </c>
      <c r="O1501" s="16" t="s">
        <v>10357</v>
      </c>
      <c r="P1501" s="14" t="s">
        <v>10358</v>
      </c>
      <c r="Q1501" s="14" t="s">
        <v>31</v>
      </c>
      <c r="R1501" s="14" t="s">
        <v>10359</v>
      </c>
      <c r="S1501" s="16" t="s">
        <v>10360</v>
      </c>
      <c r="T1501" s="14" t="s">
        <v>66</v>
      </c>
      <c r="U1501" s="16" t="s">
        <v>31</v>
      </c>
      <c r="V1501" s="14" t="s">
        <v>1801</v>
      </c>
      <c r="W1501" s="14" t="s">
        <v>10352</v>
      </c>
      <c r="X1501" s="17" t="str">
        <f>HYPERLINK("https://my.pitchbook.com?p=415369-72P","View People Online")</f>
        <v>View People Online</v>
      </c>
    </row>
    <row r="1502">
      <c r="A1502" s="10" t="s">
        <v>10488</v>
      </c>
      <c r="B1502" s="10" t="s">
        <v>10489</v>
      </c>
      <c r="C1502" s="10" t="s">
        <v>3554</v>
      </c>
      <c r="D1502" s="10" t="s">
        <v>10490</v>
      </c>
      <c r="E1502" s="10" t="s">
        <v>10352</v>
      </c>
      <c r="F1502" s="10" t="s">
        <v>1283</v>
      </c>
      <c r="G1502" s="10" t="s">
        <v>10491</v>
      </c>
      <c r="H1502" s="11" t="s">
        <v>31</v>
      </c>
      <c r="I1502" s="11">
        <v>1.0</v>
      </c>
      <c r="J1502" s="11">
        <v>1.0</v>
      </c>
      <c r="K1502" s="11" t="s">
        <v>31</v>
      </c>
      <c r="L1502" s="12" t="s">
        <v>10492</v>
      </c>
      <c r="M1502" s="10" t="s">
        <v>31</v>
      </c>
      <c r="N1502" s="10" t="s">
        <v>10356</v>
      </c>
      <c r="O1502" s="12" t="s">
        <v>10357</v>
      </c>
      <c r="P1502" s="10" t="s">
        <v>10358</v>
      </c>
      <c r="Q1502" s="10" t="s">
        <v>31</v>
      </c>
      <c r="R1502" s="10" t="s">
        <v>10359</v>
      </c>
      <c r="S1502" s="12" t="s">
        <v>10360</v>
      </c>
      <c r="T1502" s="10" t="s">
        <v>66</v>
      </c>
      <c r="U1502" s="12" t="s">
        <v>31</v>
      </c>
      <c r="V1502" s="10" t="s">
        <v>1283</v>
      </c>
      <c r="W1502" s="10" t="s">
        <v>10352</v>
      </c>
      <c r="X1502" s="13" t="str">
        <f>HYPERLINK("https://my.pitchbook.com?p=369967-96P","View People Online")</f>
        <v>View People Online</v>
      </c>
    </row>
    <row r="1503">
      <c r="A1503" s="14" t="s">
        <v>10493</v>
      </c>
      <c r="B1503" s="14" t="s">
        <v>10494</v>
      </c>
      <c r="C1503" s="14" t="s">
        <v>126</v>
      </c>
      <c r="D1503" s="14" t="s">
        <v>5978</v>
      </c>
      <c r="E1503" s="14" t="s">
        <v>10352</v>
      </c>
      <c r="F1503" s="14" t="s">
        <v>3665</v>
      </c>
      <c r="G1503" s="14" t="s">
        <v>10495</v>
      </c>
      <c r="H1503" s="15" t="s">
        <v>31</v>
      </c>
      <c r="I1503" s="15">
        <v>1.0</v>
      </c>
      <c r="J1503" s="15">
        <v>1.0</v>
      </c>
      <c r="K1503" s="15" t="s">
        <v>31</v>
      </c>
      <c r="L1503" s="16" t="s">
        <v>10354</v>
      </c>
      <c r="M1503" s="14" t="s">
        <v>31</v>
      </c>
      <c r="N1503" s="14" t="s">
        <v>10356</v>
      </c>
      <c r="O1503" s="16" t="s">
        <v>10357</v>
      </c>
      <c r="P1503" s="14" t="s">
        <v>10358</v>
      </c>
      <c r="Q1503" s="14" t="s">
        <v>31</v>
      </c>
      <c r="R1503" s="14" t="s">
        <v>10359</v>
      </c>
      <c r="S1503" s="16" t="s">
        <v>10360</v>
      </c>
      <c r="T1503" s="14" t="s">
        <v>66</v>
      </c>
      <c r="U1503" s="16" t="s">
        <v>31</v>
      </c>
      <c r="V1503" s="14" t="s">
        <v>10496</v>
      </c>
      <c r="W1503" s="14" t="s">
        <v>10352</v>
      </c>
      <c r="X1503" s="17" t="str">
        <f>HYPERLINK("https://my.pitchbook.com?p=244897-66P","View People Online")</f>
        <v>View People Online</v>
      </c>
    </row>
    <row r="1504">
      <c r="A1504" s="2" t="s">
        <v>10497</v>
      </c>
      <c r="B1504" s="2" t="s">
        <v>10498</v>
      </c>
      <c r="C1504" s="2" t="s">
        <v>126</v>
      </c>
      <c r="D1504" s="2" t="s">
        <v>10499</v>
      </c>
      <c r="E1504" s="2" t="s">
        <v>10352</v>
      </c>
      <c r="F1504" s="2" t="s">
        <v>583</v>
      </c>
      <c r="G1504" s="2" t="s">
        <v>10500</v>
      </c>
      <c r="H1504" s="3" t="s">
        <v>31</v>
      </c>
      <c r="I1504" s="3">
        <v>2.0</v>
      </c>
      <c r="J1504" s="3">
        <v>2.0</v>
      </c>
      <c r="K1504" s="3" t="s">
        <v>31</v>
      </c>
      <c r="L1504" s="4" t="s">
        <v>10501</v>
      </c>
      <c r="M1504" s="2" t="s">
        <v>10502</v>
      </c>
      <c r="N1504" s="2" t="s">
        <v>10038</v>
      </c>
      <c r="O1504" s="4" t="s">
        <v>10039</v>
      </c>
      <c r="P1504" s="2" t="s">
        <v>10503</v>
      </c>
      <c r="Q1504" s="2" t="s">
        <v>6654</v>
      </c>
      <c r="R1504" s="2" t="s">
        <v>10017</v>
      </c>
      <c r="S1504" s="4" t="s">
        <v>10504</v>
      </c>
      <c r="T1504" s="2" t="s">
        <v>66</v>
      </c>
      <c r="U1504" s="4" t="s">
        <v>10505</v>
      </c>
      <c r="V1504" s="2" t="s">
        <v>10506</v>
      </c>
      <c r="W1504" s="2" t="s">
        <v>10507</v>
      </c>
      <c r="X1504" s="5" t="str">
        <f>HYPERLINK("https://my.pitchbook.com?p=369993-79P","View People Online")</f>
        <v>View People Online</v>
      </c>
    </row>
    <row r="1505">
      <c r="A1505" s="14" t="s">
        <v>10508</v>
      </c>
      <c r="B1505" s="14" t="s">
        <v>10509</v>
      </c>
      <c r="C1505" s="14" t="s">
        <v>126</v>
      </c>
      <c r="D1505" s="14" t="s">
        <v>1267</v>
      </c>
      <c r="E1505" s="14" t="s">
        <v>10352</v>
      </c>
      <c r="F1505" s="14" t="s">
        <v>502</v>
      </c>
      <c r="G1505" s="14" t="s">
        <v>10510</v>
      </c>
      <c r="H1505" s="15" t="s">
        <v>31</v>
      </c>
      <c r="I1505" s="15">
        <v>1.0</v>
      </c>
      <c r="J1505" s="15">
        <v>1.0</v>
      </c>
      <c r="K1505" s="15" t="s">
        <v>31</v>
      </c>
      <c r="L1505" s="16" t="s">
        <v>10354</v>
      </c>
      <c r="M1505" s="14" t="s">
        <v>31</v>
      </c>
      <c r="N1505" s="14" t="s">
        <v>10356</v>
      </c>
      <c r="O1505" s="16" t="s">
        <v>10357</v>
      </c>
      <c r="P1505" s="14" t="s">
        <v>10358</v>
      </c>
      <c r="Q1505" s="14" t="s">
        <v>31</v>
      </c>
      <c r="R1505" s="14" t="s">
        <v>10359</v>
      </c>
      <c r="S1505" s="16" t="s">
        <v>10360</v>
      </c>
      <c r="T1505" s="14" t="s">
        <v>66</v>
      </c>
      <c r="U1505" s="16" t="s">
        <v>31</v>
      </c>
      <c r="V1505" s="14" t="s">
        <v>502</v>
      </c>
      <c r="W1505" s="14" t="s">
        <v>10352</v>
      </c>
      <c r="X1505" s="17" t="str">
        <f>HYPERLINK("https://my.pitchbook.com?p=328579-03P","View People Online")</f>
        <v>View People Online</v>
      </c>
    </row>
    <row r="1506">
      <c r="A1506" s="10" t="s">
        <v>10511</v>
      </c>
      <c r="B1506" s="10" t="s">
        <v>10512</v>
      </c>
      <c r="C1506" s="10" t="s">
        <v>10513</v>
      </c>
      <c r="D1506" s="10" t="s">
        <v>10514</v>
      </c>
      <c r="E1506" s="10" t="s">
        <v>10352</v>
      </c>
      <c r="F1506" s="10" t="s">
        <v>583</v>
      </c>
      <c r="G1506" s="10" t="s">
        <v>10515</v>
      </c>
      <c r="H1506" s="11" t="s">
        <v>31</v>
      </c>
      <c r="I1506" s="11">
        <v>1.0</v>
      </c>
      <c r="J1506" s="11">
        <v>1.0</v>
      </c>
      <c r="K1506" s="11" t="s">
        <v>31</v>
      </c>
      <c r="L1506" s="12" t="s">
        <v>10354</v>
      </c>
      <c r="M1506" s="10" t="s">
        <v>10516</v>
      </c>
      <c r="N1506" s="10" t="s">
        <v>10356</v>
      </c>
      <c r="O1506" s="12" t="s">
        <v>10357</v>
      </c>
      <c r="P1506" s="10" t="s">
        <v>10358</v>
      </c>
      <c r="Q1506" s="10" t="s">
        <v>31</v>
      </c>
      <c r="R1506" s="10" t="s">
        <v>10359</v>
      </c>
      <c r="S1506" s="12" t="s">
        <v>10360</v>
      </c>
      <c r="T1506" s="10" t="s">
        <v>66</v>
      </c>
      <c r="U1506" s="12" t="s">
        <v>31</v>
      </c>
      <c r="V1506" s="10" t="s">
        <v>10517</v>
      </c>
      <c r="W1506" s="10" t="s">
        <v>10352</v>
      </c>
      <c r="X1506" s="13" t="str">
        <f>HYPERLINK("https://my.pitchbook.com?p=353597-32P","View People Online")</f>
        <v>View People Online</v>
      </c>
    </row>
    <row r="1507">
      <c r="A1507" s="14" t="s">
        <v>10518</v>
      </c>
      <c r="B1507" s="14" t="s">
        <v>10519</v>
      </c>
      <c r="C1507" s="14" t="s">
        <v>10520</v>
      </c>
      <c r="D1507" s="14" t="s">
        <v>10521</v>
      </c>
      <c r="E1507" s="14" t="s">
        <v>10352</v>
      </c>
      <c r="F1507" s="14" t="s">
        <v>10522</v>
      </c>
      <c r="G1507" s="14" t="s">
        <v>10523</v>
      </c>
      <c r="H1507" s="15" t="s">
        <v>31</v>
      </c>
      <c r="I1507" s="15">
        <v>1.0</v>
      </c>
      <c r="J1507" s="15">
        <v>1.0</v>
      </c>
      <c r="K1507" s="15" t="s">
        <v>31</v>
      </c>
      <c r="L1507" s="16" t="s">
        <v>10354</v>
      </c>
      <c r="M1507" s="14" t="s">
        <v>31</v>
      </c>
      <c r="N1507" s="14" t="s">
        <v>10356</v>
      </c>
      <c r="O1507" s="16" t="s">
        <v>10357</v>
      </c>
      <c r="P1507" s="14" t="s">
        <v>10358</v>
      </c>
      <c r="Q1507" s="14" t="s">
        <v>31</v>
      </c>
      <c r="R1507" s="14" t="s">
        <v>10359</v>
      </c>
      <c r="S1507" s="16" t="s">
        <v>10360</v>
      </c>
      <c r="T1507" s="14" t="s">
        <v>66</v>
      </c>
      <c r="U1507" s="16" t="s">
        <v>31</v>
      </c>
      <c r="V1507" s="14" t="s">
        <v>10524</v>
      </c>
      <c r="W1507" s="14" t="s">
        <v>10352</v>
      </c>
      <c r="X1507" s="17" t="str">
        <f>HYPERLINK("https://my.pitchbook.com?p=227628-82P","View People Online")</f>
        <v>View People Online</v>
      </c>
    </row>
    <row r="1508">
      <c r="A1508" s="10" t="s">
        <v>10525</v>
      </c>
      <c r="B1508" s="10" t="s">
        <v>10526</v>
      </c>
      <c r="C1508" s="10" t="s">
        <v>167</v>
      </c>
      <c r="D1508" s="10" t="s">
        <v>10527</v>
      </c>
      <c r="E1508" s="10" t="s">
        <v>10352</v>
      </c>
      <c r="F1508" s="10" t="s">
        <v>270</v>
      </c>
      <c r="G1508" s="10" t="s">
        <v>10528</v>
      </c>
      <c r="H1508" s="11">
        <v>1.0</v>
      </c>
      <c r="I1508" s="11">
        <v>2.0</v>
      </c>
      <c r="J1508" s="11">
        <v>1.0</v>
      </c>
      <c r="K1508" s="11" t="s">
        <v>31</v>
      </c>
      <c r="L1508" s="12" t="s">
        <v>10354</v>
      </c>
      <c r="M1508" s="10" t="s">
        <v>10529</v>
      </c>
      <c r="N1508" s="10" t="s">
        <v>10356</v>
      </c>
      <c r="O1508" s="12" t="s">
        <v>10357</v>
      </c>
      <c r="P1508" s="10" t="s">
        <v>10358</v>
      </c>
      <c r="Q1508" s="10" t="s">
        <v>31</v>
      </c>
      <c r="R1508" s="10" t="s">
        <v>10359</v>
      </c>
      <c r="S1508" s="12" t="s">
        <v>10360</v>
      </c>
      <c r="T1508" s="10" t="s">
        <v>66</v>
      </c>
      <c r="U1508" s="12" t="s">
        <v>31</v>
      </c>
      <c r="V1508" s="10" t="s">
        <v>10530</v>
      </c>
      <c r="W1508" s="10" t="s">
        <v>10352</v>
      </c>
      <c r="X1508" s="13" t="str">
        <f>HYPERLINK("https://my.pitchbook.com?p=290705-86P","View People Online")</f>
        <v>View People Online</v>
      </c>
    </row>
    <row r="1509">
      <c r="A1509" s="14" t="s">
        <v>10531</v>
      </c>
      <c r="B1509" s="14" t="s">
        <v>10532</v>
      </c>
      <c r="C1509" s="14" t="s">
        <v>10533</v>
      </c>
      <c r="D1509" s="14" t="s">
        <v>10534</v>
      </c>
      <c r="E1509" s="14" t="s">
        <v>10352</v>
      </c>
      <c r="F1509" s="14" t="s">
        <v>1283</v>
      </c>
      <c r="G1509" s="14" t="s">
        <v>10535</v>
      </c>
      <c r="H1509" s="15" t="s">
        <v>31</v>
      </c>
      <c r="I1509" s="15">
        <v>1.0</v>
      </c>
      <c r="J1509" s="15">
        <v>1.0</v>
      </c>
      <c r="K1509" s="15" t="s">
        <v>31</v>
      </c>
      <c r="L1509" s="16" t="s">
        <v>10354</v>
      </c>
      <c r="M1509" s="14" t="s">
        <v>31</v>
      </c>
      <c r="N1509" s="14" t="s">
        <v>10356</v>
      </c>
      <c r="O1509" s="16" t="s">
        <v>10357</v>
      </c>
      <c r="P1509" s="14" t="s">
        <v>10358</v>
      </c>
      <c r="Q1509" s="14" t="s">
        <v>31</v>
      </c>
      <c r="R1509" s="14" t="s">
        <v>10359</v>
      </c>
      <c r="S1509" s="16" t="s">
        <v>10360</v>
      </c>
      <c r="T1509" s="14" t="s">
        <v>66</v>
      </c>
      <c r="U1509" s="16" t="s">
        <v>31</v>
      </c>
      <c r="V1509" s="14" t="s">
        <v>1283</v>
      </c>
      <c r="W1509" s="14" t="s">
        <v>10352</v>
      </c>
      <c r="X1509" s="17" t="str">
        <f>HYPERLINK("https://my.pitchbook.com?p=411231-88P","View People Online")</f>
        <v>View People Online</v>
      </c>
    </row>
    <row r="1510">
      <c r="A1510" s="2" t="s">
        <v>10536</v>
      </c>
      <c r="B1510" s="2" t="s">
        <v>10537</v>
      </c>
      <c r="C1510" s="2" t="s">
        <v>10538</v>
      </c>
      <c r="D1510" s="2" t="s">
        <v>10539</v>
      </c>
      <c r="E1510" s="2" t="s">
        <v>10352</v>
      </c>
      <c r="F1510" s="2" t="s">
        <v>548</v>
      </c>
      <c r="G1510" s="2" t="s">
        <v>10540</v>
      </c>
      <c r="H1510" s="3" t="s">
        <v>31</v>
      </c>
      <c r="I1510" s="3">
        <v>1.0</v>
      </c>
      <c r="J1510" s="3">
        <v>1.0</v>
      </c>
      <c r="K1510" s="3" t="s">
        <v>31</v>
      </c>
      <c r="L1510" s="4" t="s">
        <v>10354</v>
      </c>
      <c r="M1510" s="2" t="s">
        <v>31</v>
      </c>
      <c r="N1510" s="2" t="s">
        <v>10356</v>
      </c>
      <c r="O1510" s="4" t="s">
        <v>10357</v>
      </c>
      <c r="P1510" s="2" t="s">
        <v>10358</v>
      </c>
      <c r="Q1510" s="2" t="s">
        <v>31</v>
      </c>
      <c r="R1510" s="2" t="s">
        <v>10359</v>
      </c>
      <c r="S1510" s="4" t="s">
        <v>10360</v>
      </c>
      <c r="T1510" s="2" t="s">
        <v>66</v>
      </c>
      <c r="U1510" s="4" t="s">
        <v>31</v>
      </c>
      <c r="V1510" s="2" t="s">
        <v>10541</v>
      </c>
      <c r="W1510" s="2" t="s">
        <v>10352</v>
      </c>
      <c r="X1510" s="5" t="str">
        <f>HYPERLINK("https://my.pitchbook.com?p=174467-08P","View People Online")</f>
        <v>View People Online</v>
      </c>
    </row>
    <row r="1511">
      <c r="A1511" s="6" t="s">
        <v>10542</v>
      </c>
      <c r="B1511" s="6" t="s">
        <v>10543</v>
      </c>
      <c r="C1511" s="6" t="s">
        <v>395</v>
      </c>
      <c r="D1511" s="6" t="s">
        <v>10544</v>
      </c>
      <c r="E1511" s="6" t="s">
        <v>10352</v>
      </c>
      <c r="F1511" s="6" t="s">
        <v>10545</v>
      </c>
      <c r="G1511" s="6" t="s">
        <v>10546</v>
      </c>
      <c r="H1511" s="7" t="s">
        <v>31</v>
      </c>
      <c r="I1511" s="7">
        <v>1.0</v>
      </c>
      <c r="J1511" s="7">
        <v>1.0</v>
      </c>
      <c r="K1511" s="7" t="s">
        <v>31</v>
      </c>
      <c r="L1511" s="8" t="s">
        <v>10354</v>
      </c>
      <c r="M1511" s="6" t="s">
        <v>10547</v>
      </c>
      <c r="N1511" s="6" t="s">
        <v>10356</v>
      </c>
      <c r="O1511" s="8" t="s">
        <v>10357</v>
      </c>
      <c r="P1511" s="6" t="s">
        <v>10358</v>
      </c>
      <c r="Q1511" s="6" t="s">
        <v>31</v>
      </c>
      <c r="R1511" s="6" t="s">
        <v>10359</v>
      </c>
      <c r="S1511" s="8" t="s">
        <v>10360</v>
      </c>
      <c r="T1511" s="6" t="s">
        <v>66</v>
      </c>
      <c r="U1511" s="8" t="s">
        <v>31</v>
      </c>
      <c r="V1511" s="6" t="s">
        <v>10548</v>
      </c>
      <c r="W1511" s="6" t="s">
        <v>10352</v>
      </c>
      <c r="X1511" s="9" t="str">
        <f>HYPERLINK("https://my.pitchbook.com?p=297237-79P","View People Online")</f>
        <v>View People Online</v>
      </c>
    </row>
    <row r="1512">
      <c r="A1512" s="10" t="s">
        <v>10549</v>
      </c>
      <c r="B1512" s="10" t="s">
        <v>10550</v>
      </c>
      <c r="C1512" s="10" t="s">
        <v>536</v>
      </c>
      <c r="D1512" s="10" t="s">
        <v>10551</v>
      </c>
      <c r="E1512" s="10" t="s">
        <v>10352</v>
      </c>
      <c r="F1512" s="10" t="s">
        <v>10552</v>
      </c>
      <c r="G1512" s="10" t="s">
        <v>10553</v>
      </c>
      <c r="H1512" s="11" t="s">
        <v>31</v>
      </c>
      <c r="I1512" s="11">
        <v>1.0</v>
      </c>
      <c r="J1512" s="11">
        <v>1.0</v>
      </c>
      <c r="K1512" s="11" t="s">
        <v>31</v>
      </c>
      <c r="L1512" s="12" t="s">
        <v>10354</v>
      </c>
      <c r="M1512" s="10" t="s">
        <v>10554</v>
      </c>
      <c r="N1512" s="10" t="s">
        <v>10356</v>
      </c>
      <c r="O1512" s="12" t="s">
        <v>10357</v>
      </c>
      <c r="P1512" s="10" t="s">
        <v>10358</v>
      </c>
      <c r="Q1512" s="10" t="s">
        <v>31</v>
      </c>
      <c r="R1512" s="10" t="s">
        <v>10359</v>
      </c>
      <c r="S1512" s="12" t="s">
        <v>10360</v>
      </c>
      <c r="T1512" s="10" t="s">
        <v>66</v>
      </c>
      <c r="U1512" s="12" t="s">
        <v>31</v>
      </c>
      <c r="V1512" s="10" t="s">
        <v>10555</v>
      </c>
      <c r="W1512" s="10" t="s">
        <v>10352</v>
      </c>
      <c r="X1512" s="13" t="str">
        <f>HYPERLINK("https://my.pitchbook.com?p=215037-19P","View People Online")</f>
        <v>View People Online</v>
      </c>
    </row>
    <row r="1513">
      <c r="A1513" s="6" t="s">
        <v>10556</v>
      </c>
      <c r="B1513" s="6" t="s">
        <v>10557</v>
      </c>
      <c r="C1513" s="6" t="s">
        <v>4015</v>
      </c>
      <c r="D1513" s="6" t="s">
        <v>10558</v>
      </c>
      <c r="E1513" s="6" t="s">
        <v>10352</v>
      </c>
      <c r="F1513" s="6" t="s">
        <v>371</v>
      </c>
      <c r="G1513" s="6" t="s">
        <v>10559</v>
      </c>
      <c r="H1513" s="7" t="s">
        <v>31</v>
      </c>
      <c r="I1513" s="7">
        <v>1.0</v>
      </c>
      <c r="J1513" s="7">
        <v>1.0</v>
      </c>
      <c r="K1513" s="7" t="s">
        <v>31</v>
      </c>
      <c r="L1513" s="8" t="s">
        <v>10395</v>
      </c>
      <c r="M1513" s="6" t="s">
        <v>10560</v>
      </c>
      <c r="N1513" s="6" t="s">
        <v>10356</v>
      </c>
      <c r="O1513" s="8" t="s">
        <v>10357</v>
      </c>
      <c r="P1513" s="6" t="s">
        <v>10358</v>
      </c>
      <c r="Q1513" s="6" t="s">
        <v>31</v>
      </c>
      <c r="R1513" s="6" t="s">
        <v>10359</v>
      </c>
      <c r="S1513" s="8" t="s">
        <v>10360</v>
      </c>
      <c r="T1513" s="6" t="s">
        <v>66</v>
      </c>
      <c r="U1513" s="8" t="s">
        <v>31</v>
      </c>
      <c r="V1513" s="6" t="s">
        <v>10561</v>
      </c>
      <c r="W1513" s="6" t="s">
        <v>10352</v>
      </c>
      <c r="X1513" s="9" t="str">
        <f>HYPERLINK("https://my.pitchbook.com?p=281120-05P","View People Online")</f>
        <v>View People Online</v>
      </c>
    </row>
    <row r="1514">
      <c r="A1514" s="2" t="s">
        <v>10562</v>
      </c>
      <c r="B1514" s="2" t="s">
        <v>10563</v>
      </c>
      <c r="C1514" s="2" t="s">
        <v>10564</v>
      </c>
      <c r="D1514" s="2" t="s">
        <v>10565</v>
      </c>
      <c r="E1514" s="2" t="s">
        <v>10352</v>
      </c>
      <c r="F1514" s="2" t="s">
        <v>10566</v>
      </c>
      <c r="G1514" s="2" t="s">
        <v>10567</v>
      </c>
      <c r="H1514" s="3" t="s">
        <v>31</v>
      </c>
      <c r="I1514" s="3">
        <v>2.0</v>
      </c>
      <c r="J1514" s="3">
        <v>1.0</v>
      </c>
      <c r="K1514" s="3" t="s">
        <v>31</v>
      </c>
      <c r="L1514" s="4" t="s">
        <v>10354</v>
      </c>
      <c r="M1514" s="2" t="s">
        <v>10568</v>
      </c>
      <c r="N1514" s="2" t="s">
        <v>10356</v>
      </c>
      <c r="O1514" s="4" t="s">
        <v>10357</v>
      </c>
      <c r="P1514" s="2" t="s">
        <v>10358</v>
      </c>
      <c r="Q1514" s="2" t="s">
        <v>31</v>
      </c>
      <c r="R1514" s="2" t="s">
        <v>10359</v>
      </c>
      <c r="S1514" s="4" t="s">
        <v>10360</v>
      </c>
      <c r="T1514" s="2" t="s">
        <v>66</v>
      </c>
      <c r="U1514" s="4" t="s">
        <v>31</v>
      </c>
      <c r="V1514" s="2" t="s">
        <v>10569</v>
      </c>
      <c r="W1514" s="2" t="s">
        <v>10352</v>
      </c>
      <c r="X1514" s="5" t="str">
        <f>HYPERLINK("https://my.pitchbook.com?p=277142-68P","View People Online")</f>
        <v>View People Online</v>
      </c>
    </row>
    <row r="1515">
      <c r="A1515" s="6" t="s">
        <v>10570</v>
      </c>
      <c r="B1515" s="6" t="s">
        <v>10571</v>
      </c>
      <c r="C1515" s="6" t="s">
        <v>6199</v>
      </c>
      <c r="D1515" s="6" t="s">
        <v>10572</v>
      </c>
      <c r="E1515" s="6" t="s">
        <v>10352</v>
      </c>
      <c r="F1515" s="6" t="s">
        <v>10573</v>
      </c>
      <c r="G1515" s="6" t="s">
        <v>10574</v>
      </c>
      <c r="H1515" s="7" t="s">
        <v>31</v>
      </c>
      <c r="I1515" s="7">
        <v>1.0</v>
      </c>
      <c r="J1515" s="7">
        <v>1.0</v>
      </c>
      <c r="K1515" s="7" t="s">
        <v>31</v>
      </c>
      <c r="L1515" s="8" t="s">
        <v>10354</v>
      </c>
      <c r="M1515" s="6" t="s">
        <v>31</v>
      </c>
      <c r="N1515" s="6" t="s">
        <v>10356</v>
      </c>
      <c r="O1515" s="8" t="s">
        <v>10357</v>
      </c>
      <c r="P1515" s="6" t="s">
        <v>10358</v>
      </c>
      <c r="Q1515" s="6" t="s">
        <v>31</v>
      </c>
      <c r="R1515" s="6" t="s">
        <v>10359</v>
      </c>
      <c r="S1515" s="8" t="s">
        <v>10360</v>
      </c>
      <c r="T1515" s="6" t="s">
        <v>66</v>
      </c>
      <c r="U1515" s="8" t="s">
        <v>31</v>
      </c>
      <c r="V1515" s="6" t="s">
        <v>10575</v>
      </c>
      <c r="W1515" s="6" t="s">
        <v>10352</v>
      </c>
      <c r="X1515" s="9" t="str">
        <f>HYPERLINK("https://my.pitchbook.com?p=399187-54P","View People Online")</f>
        <v>View People Online</v>
      </c>
    </row>
    <row r="1516">
      <c r="A1516" s="2" t="s">
        <v>10576</v>
      </c>
      <c r="B1516" s="2" t="s">
        <v>10577</v>
      </c>
      <c r="C1516" s="2" t="s">
        <v>6199</v>
      </c>
      <c r="D1516" s="2" t="s">
        <v>10578</v>
      </c>
      <c r="E1516" s="2" t="s">
        <v>10352</v>
      </c>
      <c r="F1516" s="2" t="s">
        <v>5086</v>
      </c>
      <c r="G1516" s="2" t="s">
        <v>10579</v>
      </c>
      <c r="H1516" s="3" t="s">
        <v>31</v>
      </c>
      <c r="I1516" s="3">
        <v>1.0</v>
      </c>
      <c r="J1516" s="3">
        <v>1.0</v>
      </c>
      <c r="K1516" s="3" t="s">
        <v>31</v>
      </c>
      <c r="L1516" s="4" t="s">
        <v>10354</v>
      </c>
      <c r="M1516" s="2" t="s">
        <v>10580</v>
      </c>
      <c r="N1516" s="2" t="s">
        <v>10356</v>
      </c>
      <c r="O1516" s="4" t="s">
        <v>10357</v>
      </c>
      <c r="P1516" s="2" t="s">
        <v>10358</v>
      </c>
      <c r="Q1516" s="2" t="s">
        <v>31</v>
      </c>
      <c r="R1516" s="2" t="s">
        <v>10359</v>
      </c>
      <c r="S1516" s="4" t="s">
        <v>10360</v>
      </c>
      <c r="T1516" s="2" t="s">
        <v>66</v>
      </c>
      <c r="U1516" s="4" t="s">
        <v>31</v>
      </c>
      <c r="V1516" s="2" t="s">
        <v>10581</v>
      </c>
      <c r="W1516" s="2" t="s">
        <v>10352</v>
      </c>
      <c r="X1516" s="5" t="str">
        <f>HYPERLINK("https://my.pitchbook.com?p=411225-04P","View People Online")</f>
        <v>View People Online</v>
      </c>
    </row>
    <row r="1517">
      <c r="A1517" s="14" t="s">
        <v>10582</v>
      </c>
      <c r="B1517" s="14" t="s">
        <v>10583</v>
      </c>
      <c r="C1517" s="14" t="s">
        <v>10584</v>
      </c>
      <c r="D1517" s="14" t="s">
        <v>10585</v>
      </c>
      <c r="E1517" s="14" t="s">
        <v>10352</v>
      </c>
      <c r="F1517" s="14" t="s">
        <v>6993</v>
      </c>
      <c r="G1517" s="14" t="s">
        <v>10586</v>
      </c>
      <c r="H1517" s="15" t="s">
        <v>31</v>
      </c>
      <c r="I1517" s="15">
        <v>1.0</v>
      </c>
      <c r="J1517" s="15">
        <v>1.0</v>
      </c>
      <c r="K1517" s="15" t="s">
        <v>31</v>
      </c>
      <c r="L1517" s="16" t="s">
        <v>10354</v>
      </c>
      <c r="M1517" s="14" t="s">
        <v>31</v>
      </c>
      <c r="N1517" s="14" t="s">
        <v>10356</v>
      </c>
      <c r="O1517" s="16" t="s">
        <v>10357</v>
      </c>
      <c r="P1517" s="14" t="s">
        <v>10358</v>
      </c>
      <c r="Q1517" s="14" t="s">
        <v>31</v>
      </c>
      <c r="R1517" s="14" t="s">
        <v>10359</v>
      </c>
      <c r="S1517" s="16" t="s">
        <v>10360</v>
      </c>
      <c r="T1517" s="14" t="s">
        <v>66</v>
      </c>
      <c r="U1517" s="16" t="s">
        <v>31</v>
      </c>
      <c r="V1517" s="14" t="s">
        <v>6993</v>
      </c>
      <c r="W1517" s="14" t="s">
        <v>10352</v>
      </c>
      <c r="X1517" s="17" t="str">
        <f>HYPERLINK("https://my.pitchbook.com?p=411231-25P","View People Online")</f>
        <v>View People Online</v>
      </c>
    </row>
    <row r="1518">
      <c r="A1518" s="10" t="s">
        <v>10587</v>
      </c>
      <c r="B1518" s="10" t="s">
        <v>10588</v>
      </c>
      <c r="C1518" s="10" t="s">
        <v>10589</v>
      </c>
      <c r="D1518" s="10" t="s">
        <v>10590</v>
      </c>
      <c r="E1518" s="10" t="s">
        <v>10352</v>
      </c>
      <c r="F1518" s="10" t="s">
        <v>1283</v>
      </c>
      <c r="G1518" s="10" t="s">
        <v>10591</v>
      </c>
      <c r="H1518" s="11" t="s">
        <v>31</v>
      </c>
      <c r="I1518" s="11">
        <v>1.0</v>
      </c>
      <c r="J1518" s="11">
        <v>1.0</v>
      </c>
      <c r="K1518" s="11" t="s">
        <v>31</v>
      </c>
      <c r="L1518" s="12" t="s">
        <v>10592</v>
      </c>
      <c r="M1518" s="10" t="s">
        <v>10593</v>
      </c>
      <c r="N1518" s="10" t="s">
        <v>1034</v>
      </c>
      <c r="O1518" s="12" t="s">
        <v>1035</v>
      </c>
      <c r="P1518" s="10" t="s">
        <v>10594</v>
      </c>
      <c r="Q1518" s="10" t="s">
        <v>10595</v>
      </c>
      <c r="R1518" s="10" t="s">
        <v>31</v>
      </c>
      <c r="S1518" s="12" t="s">
        <v>10596</v>
      </c>
      <c r="T1518" s="10" t="s">
        <v>1034</v>
      </c>
      <c r="U1518" s="12" t="s">
        <v>31</v>
      </c>
      <c r="V1518" s="10" t="s">
        <v>10597</v>
      </c>
      <c r="W1518" s="10" t="s">
        <v>10352</v>
      </c>
      <c r="X1518" s="13" t="str">
        <f>HYPERLINK("https://my.pitchbook.com?p=411228-64P","View People Online")</f>
        <v>View People Online</v>
      </c>
    </row>
    <row r="1519">
      <c r="A1519" s="14" t="s">
        <v>10598</v>
      </c>
      <c r="B1519" s="14" t="s">
        <v>10599</v>
      </c>
      <c r="C1519" s="14" t="s">
        <v>10600</v>
      </c>
      <c r="D1519" s="14" t="s">
        <v>10601</v>
      </c>
      <c r="E1519" s="14" t="s">
        <v>10602</v>
      </c>
      <c r="F1519" s="14" t="s">
        <v>1283</v>
      </c>
      <c r="G1519" s="14" t="s">
        <v>10603</v>
      </c>
      <c r="H1519" s="15" t="s">
        <v>31</v>
      </c>
      <c r="I1519" s="15">
        <v>6.0</v>
      </c>
      <c r="J1519" s="15">
        <v>2.0</v>
      </c>
      <c r="K1519" s="15">
        <v>2.0</v>
      </c>
      <c r="L1519" s="16" t="s">
        <v>10604</v>
      </c>
      <c r="M1519" s="14" t="s">
        <v>10605</v>
      </c>
      <c r="N1519" s="14" t="s">
        <v>10606</v>
      </c>
      <c r="O1519" s="16" t="s">
        <v>10607</v>
      </c>
      <c r="P1519" s="14" t="s">
        <v>10608</v>
      </c>
      <c r="Q1519" s="14" t="s">
        <v>31</v>
      </c>
      <c r="R1519" s="14" t="s">
        <v>616</v>
      </c>
      <c r="S1519" s="16" t="s">
        <v>10609</v>
      </c>
      <c r="T1519" s="14" t="s">
        <v>66</v>
      </c>
      <c r="U1519" s="16" t="s">
        <v>31</v>
      </c>
      <c r="V1519" s="14" t="s">
        <v>1283</v>
      </c>
      <c r="W1519" s="14" t="s">
        <v>10602</v>
      </c>
      <c r="X1519" s="17" t="str">
        <f>HYPERLINK("https://my.pitchbook.com?p=271716-94P","View People Online")</f>
        <v>View People Online</v>
      </c>
    </row>
    <row r="1520">
      <c r="A1520" s="2" t="s">
        <v>10610</v>
      </c>
      <c r="B1520" s="2" t="s">
        <v>10611</v>
      </c>
      <c r="C1520" s="2" t="s">
        <v>10612</v>
      </c>
      <c r="D1520" s="2" t="s">
        <v>10613</v>
      </c>
      <c r="E1520" s="2" t="s">
        <v>10602</v>
      </c>
      <c r="F1520" s="2" t="s">
        <v>1106</v>
      </c>
      <c r="G1520" s="2" t="s">
        <v>10614</v>
      </c>
      <c r="H1520" s="3" t="s">
        <v>31</v>
      </c>
      <c r="I1520" s="3">
        <v>3.0</v>
      </c>
      <c r="J1520" s="3">
        <v>1.0</v>
      </c>
      <c r="K1520" s="3">
        <v>1.0</v>
      </c>
      <c r="L1520" s="4" t="s">
        <v>10615</v>
      </c>
      <c r="M1520" s="2" t="s">
        <v>10616</v>
      </c>
      <c r="N1520" s="2" t="s">
        <v>10606</v>
      </c>
      <c r="O1520" s="4" t="s">
        <v>10607</v>
      </c>
      <c r="P1520" s="2" t="s">
        <v>10608</v>
      </c>
      <c r="Q1520" s="2" t="s">
        <v>31</v>
      </c>
      <c r="R1520" s="2" t="s">
        <v>616</v>
      </c>
      <c r="S1520" s="4" t="s">
        <v>10609</v>
      </c>
      <c r="T1520" s="2" t="s">
        <v>66</v>
      </c>
      <c r="U1520" s="4" t="s">
        <v>31</v>
      </c>
      <c r="V1520" s="2" t="s">
        <v>1106</v>
      </c>
      <c r="W1520" s="2" t="s">
        <v>10602</v>
      </c>
      <c r="X1520" s="5" t="str">
        <f>HYPERLINK("https://my.pitchbook.com?p=237573-64P","View People Online")</f>
        <v>View People Online</v>
      </c>
    </row>
    <row r="1521">
      <c r="A1521" s="6" t="s">
        <v>10617</v>
      </c>
      <c r="B1521" s="6" t="s">
        <v>10618</v>
      </c>
      <c r="C1521" s="6" t="s">
        <v>3875</v>
      </c>
      <c r="D1521" s="6" t="s">
        <v>8429</v>
      </c>
      <c r="E1521" s="6" t="s">
        <v>10602</v>
      </c>
      <c r="F1521" s="6" t="s">
        <v>57</v>
      </c>
      <c r="G1521" s="6" t="s">
        <v>10619</v>
      </c>
      <c r="H1521" s="7" t="s">
        <v>31</v>
      </c>
      <c r="I1521" s="7">
        <v>1.0</v>
      </c>
      <c r="J1521" s="7">
        <v>1.0</v>
      </c>
      <c r="K1521" s="7" t="s">
        <v>31</v>
      </c>
      <c r="L1521" s="8" t="s">
        <v>10604</v>
      </c>
      <c r="M1521" s="6" t="s">
        <v>31</v>
      </c>
      <c r="N1521" s="6" t="s">
        <v>10606</v>
      </c>
      <c r="O1521" s="8" t="s">
        <v>10607</v>
      </c>
      <c r="P1521" s="6" t="s">
        <v>10608</v>
      </c>
      <c r="Q1521" s="6" t="s">
        <v>31</v>
      </c>
      <c r="R1521" s="6" t="s">
        <v>616</v>
      </c>
      <c r="S1521" s="8" t="s">
        <v>10609</v>
      </c>
      <c r="T1521" s="6" t="s">
        <v>66</v>
      </c>
      <c r="U1521" s="8" t="s">
        <v>31</v>
      </c>
      <c r="V1521" s="6" t="s">
        <v>57</v>
      </c>
      <c r="W1521" s="6" t="s">
        <v>10602</v>
      </c>
      <c r="X1521" s="9" t="str">
        <f>HYPERLINK("https://my.pitchbook.com?p=378496-81P","View People Online")</f>
        <v>View People Online</v>
      </c>
    </row>
    <row r="1522">
      <c r="A1522" s="2" t="s">
        <v>10620</v>
      </c>
      <c r="B1522" s="2" t="s">
        <v>10621</v>
      </c>
      <c r="C1522" s="2" t="s">
        <v>10622</v>
      </c>
      <c r="D1522" s="2" t="s">
        <v>10623</v>
      </c>
      <c r="E1522" s="2" t="s">
        <v>10624</v>
      </c>
      <c r="F1522" s="2" t="s">
        <v>2652</v>
      </c>
      <c r="G1522" s="2" t="s">
        <v>10625</v>
      </c>
      <c r="H1522" s="3">
        <v>3.0</v>
      </c>
      <c r="I1522" s="3">
        <v>11.0</v>
      </c>
      <c r="J1522" s="3">
        <v>1.0</v>
      </c>
      <c r="K1522" s="3">
        <v>6.0</v>
      </c>
      <c r="L1522" s="4" t="s">
        <v>10626</v>
      </c>
      <c r="M1522" s="2" t="s">
        <v>10627</v>
      </c>
      <c r="N1522" s="2" t="s">
        <v>75</v>
      </c>
      <c r="O1522" s="4" t="s">
        <v>76</v>
      </c>
      <c r="P1522" s="2" t="s">
        <v>10628</v>
      </c>
      <c r="Q1522" s="2" t="s">
        <v>31</v>
      </c>
      <c r="R1522" s="2" t="s">
        <v>75</v>
      </c>
      <c r="S1522" s="4" t="s">
        <v>195</v>
      </c>
      <c r="T1522" s="2" t="s">
        <v>66</v>
      </c>
      <c r="U1522" s="4" t="s">
        <v>31</v>
      </c>
      <c r="V1522" s="2" t="s">
        <v>10629</v>
      </c>
      <c r="W1522" s="2" t="s">
        <v>10624</v>
      </c>
      <c r="X1522" s="5" t="str">
        <f>HYPERLINK("https://my.pitchbook.com?p=216207-55P","View People Online")</f>
        <v>View People Online</v>
      </c>
    </row>
    <row r="1523">
      <c r="A1523" s="14" t="s">
        <v>10630</v>
      </c>
      <c r="B1523" s="14" t="s">
        <v>10631</v>
      </c>
      <c r="C1523" s="14" t="s">
        <v>10632</v>
      </c>
      <c r="D1523" s="14" t="s">
        <v>10633</v>
      </c>
      <c r="E1523" s="14" t="s">
        <v>10624</v>
      </c>
      <c r="F1523" s="14" t="s">
        <v>371</v>
      </c>
      <c r="G1523" s="14" t="s">
        <v>10634</v>
      </c>
      <c r="H1523" s="15" t="s">
        <v>31</v>
      </c>
      <c r="I1523" s="15">
        <v>1.0</v>
      </c>
      <c r="J1523" s="15">
        <v>1.0</v>
      </c>
      <c r="K1523" s="15" t="s">
        <v>31</v>
      </c>
      <c r="L1523" s="16" t="s">
        <v>10626</v>
      </c>
      <c r="M1523" s="14" t="s">
        <v>10635</v>
      </c>
      <c r="N1523" s="14" t="s">
        <v>75</v>
      </c>
      <c r="O1523" s="16" t="s">
        <v>76</v>
      </c>
      <c r="P1523" s="14" t="s">
        <v>10628</v>
      </c>
      <c r="Q1523" s="14" t="s">
        <v>31</v>
      </c>
      <c r="R1523" s="14" t="s">
        <v>75</v>
      </c>
      <c r="S1523" s="16" t="s">
        <v>195</v>
      </c>
      <c r="T1523" s="14" t="s">
        <v>66</v>
      </c>
      <c r="U1523" s="16" t="s">
        <v>31</v>
      </c>
      <c r="V1523" s="14" t="s">
        <v>10636</v>
      </c>
      <c r="W1523" s="14" t="s">
        <v>10624</v>
      </c>
      <c r="X1523" s="17" t="str">
        <f>HYPERLINK("https://my.pitchbook.com?p=410330-35P","View People Online")</f>
        <v>View People Online</v>
      </c>
    </row>
    <row r="1524">
      <c r="A1524" s="2" t="s">
        <v>10637</v>
      </c>
      <c r="B1524" s="2" t="s">
        <v>10638</v>
      </c>
      <c r="C1524" s="2" t="s">
        <v>568</v>
      </c>
      <c r="D1524" s="2" t="s">
        <v>4015</v>
      </c>
      <c r="E1524" s="2" t="s">
        <v>10624</v>
      </c>
      <c r="F1524" s="2" t="s">
        <v>10639</v>
      </c>
      <c r="G1524" s="2" t="s">
        <v>10640</v>
      </c>
      <c r="H1524" s="3" t="s">
        <v>31</v>
      </c>
      <c r="I1524" s="3">
        <v>1.0</v>
      </c>
      <c r="J1524" s="3">
        <v>1.0</v>
      </c>
      <c r="K1524" s="3" t="s">
        <v>31</v>
      </c>
      <c r="L1524" s="4" t="s">
        <v>10641</v>
      </c>
      <c r="M1524" s="2" t="s">
        <v>10642</v>
      </c>
      <c r="N1524" s="2" t="s">
        <v>243</v>
      </c>
      <c r="O1524" s="4" t="s">
        <v>244</v>
      </c>
      <c r="P1524" s="2" t="s">
        <v>10643</v>
      </c>
      <c r="Q1524" s="2" t="s">
        <v>10644</v>
      </c>
      <c r="R1524" s="2" t="s">
        <v>247</v>
      </c>
      <c r="S1524" s="4" t="s">
        <v>10645</v>
      </c>
      <c r="T1524" s="2" t="s">
        <v>249</v>
      </c>
      <c r="U1524" s="4" t="s">
        <v>31</v>
      </c>
      <c r="V1524" s="2" t="s">
        <v>10646</v>
      </c>
      <c r="W1524" s="2" t="s">
        <v>10624</v>
      </c>
      <c r="X1524" s="5" t="str">
        <f>HYPERLINK("https://my.pitchbook.com?p=103223-08P","View People Online")</f>
        <v>View People Online</v>
      </c>
    </row>
    <row r="1525">
      <c r="A1525" s="14" t="s">
        <v>10647</v>
      </c>
      <c r="B1525" s="14" t="s">
        <v>10648</v>
      </c>
      <c r="C1525" s="14" t="s">
        <v>10649</v>
      </c>
      <c r="D1525" s="14" t="s">
        <v>10650</v>
      </c>
      <c r="E1525" s="14" t="s">
        <v>10624</v>
      </c>
      <c r="F1525" s="14" t="s">
        <v>2652</v>
      </c>
      <c r="G1525" s="14" t="s">
        <v>10651</v>
      </c>
      <c r="H1525" s="15" t="s">
        <v>31</v>
      </c>
      <c r="I1525" s="15">
        <v>1.0</v>
      </c>
      <c r="J1525" s="15">
        <v>1.0</v>
      </c>
      <c r="K1525" s="15" t="s">
        <v>31</v>
      </c>
      <c r="L1525" s="16" t="s">
        <v>10652</v>
      </c>
      <c r="M1525" s="14" t="s">
        <v>10653</v>
      </c>
      <c r="N1525" s="14" t="s">
        <v>2273</v>
      </c>
      <c r="O1525" s="16" t="s">
        <v>2274</v>
      </c>
      <c r="P1525" s="14" t="s">
        <v>10654</v>
      </c>
      <c r="Q1525" s="14" t="s">
        <v>10655</v>
      </c>
      <c r="R1525" s="14" t="s">
        <v>31</v>
      </c>
      <c r="S1525" s="16" t="s">
        <v>10656</v>
      </c>
      <c r="T1525" s="14" t="s">
        <v>2278</v>
      </c>
      <c r="U1525" s="16" t="s">
        <v>31</v>
      </c>
      <c r="V1525" s="14" t="s">
        <v>10657</v>
      </c>
      <c r="W1525" s="14" t="s">
        <v>10624</v>
      </c>
      <c r="X1525" s="17" t="str">
        <f>HYPERLINK("https://my.pitchbook.com?p=60528-61P","View People Online")</f>
        <v>View People Online</v>
      </c>
    </row>
    <row r="1526">
      <c r="A1526" s="10" t="s">
        <v>10658</v>
      </c>
      <c r="B1526" s="10" t="s">
        <v>10659</v>
      </c>
      <c r="C1526" s="10" t="s">
        <v>10660</v>
      </c>
      <c r="D1526" s="10" t="s">
        <v>10661</v>
      </c>
      <c r="E1526" s="10" t="s">
        <v>10624</v>
      </c>
      <c r="F1526" s="10" t="s">
        <v>1283</v>
      </c>
      <c r="G1526" s="10" t="s">
        <v>10662</v>
      </c>
      <c r="H1526" s="11" t="s">
        <v>31</v>
      </c>
      <c r="I1526" s="11">
        <v>2.0</v>
      </c>
      <c r="J1526" s="11">
        <v>1.0</v>
      </c>
      <c r="K1526" s="11">
        <v>1.0</v>
      </c>
      <c r="L1526" s="12" t="s">
        <v>10652</v>
      </c>
      <c r="M1526" s="10" t="s">
        <v>10663</v>
      </c>
      <c r="N1526" s="10" t="s">
        <v>2273</v>
      </c>
      <c r="O1526" s="12" t="s">
        <v>2274</v>
      </c>
      <c r="P1526" s="10" t="s">
        <v>10654</v>
      </c>
      <c r="Q1526" s="10" t="s">
        <v>10655</v>
      </c>
      <c r="R1526" s="10" t="s">
        <v>31</v>
      </c>
      <c r="S1526" s="12" t="s">
        <v>10656</v>
      </c>
      <c r="T1526" s="10" t="s">
        <v>2278</v>
      </c>
      <c r="U1526" s="12" t="s">
        <v>31</v>
      </c>
      <c r="V1526" s="10" t="s">
        <v>1283</v>
      </c>
      <c r="W1526" s="10" t="s">
        <v>10624</v>
      </c>
      <c r="X1526" s="13" t="str">
        <f>HYPERLINK("https://my.pitchbook.com?p=114319-90P","View People Online")</f>
        <v>View People Online</v>
      </c>
    </row>
    <row r="1527">
      <c r="A1527" s="14" t="s">
        <v>10664</v>
      </c>
      <c r="B1527" s="14" t="s">
        <v>10665</v>
      </c>
      <c r="C1527" s="14" t="s">
        <v>1410</v>
      </c>
      <c r="D1527" s="14" t="s">
        <v>10666</v>
      </c>
      <c r="E1527" s="14" t="s">
        <v>10624</v>
      </c>
      <c r="F1527" s="14" t="s">
        <v>548</v>
      </c>
      <c r="G1527" s="14" t="s">
        <v>10667</v>
      </c>
      <c r="H1527" s="15" t="s">
        <v>31</v>
      </c>
      <c r="I1527" s="15">
        <v>2.0</v>
      </c>
      <c r="J1527" s="15">
        <v>2.0</v>
      </c>
      <c r="K1527" s="15" t="s">
        <v>31</v>
      </c>
      <c r="L1527" s="16" t="s">
        <v>10668</v>
      </c>
      <c r="M1527" s="14" t="s">
        <v>10669</v>
      </c>
      <c r="N1527" s="14" t="s">
        <v>10670</v>
      </c>
      <c r="O1527" s="16" t="s">
        <v>10671</v>
      </c>
      <c r="P1527" s="14" t="s">
        <v>10672</v>
      </c>
      <c r="Q1527" s="14" t="s">
        <v>10673</v>
      </c>
      <c r="R1527" s="14" t="s">
        <v>6479</v>
      </c>
      <c r="S1527" s="16" t="s">
        <v>10674</v>
      </c>
      <c r="T1527" s="14" t="s">
        <v>249</v>
      </c>
      <c r="U1527" s="16" t="s">
        <v>10675</v>
      </c>
      <c r="V1527" s="14" t="s">
        <v>10676</v>
      </c>
      <c r="W1527" s="14" t="s">
        <v>10677</v>
      </c>
      <c r="X1527" s="17" t="str">
        <f>HYPERLINK("https://my.pitchbook.com?p=83689-48P","View People Online")</f>
        <v>View People Online</v>
      </c>
    </row>
    <row r="1528">
      <c r="A1528" s="2" t="s">
        <v>10678</v>
      </c>
      <c r="B1528" s="2" t="s">
        <v>10679</v>
      </c>
      <c r="C1528" s="2" t="s">
        <v>2620</v>
      </c>
      <c r="D1528" s="2" t="s">
        <v>10680</v>
      </c>
      <c r="E1528" s="2" t="s">
        <v>10624</v>
      </c>
      <c r="F1528" s="2" t="s">
        <v>896</v>
      </c>
      <c r="G1528" s="2" t="s">
        <v>10681</v>
      </c>
      <c r="H1528" s="3" t="s">
        <v>31</v>
      </c>
      <c r="I1528" s="3">
        <v>3.0</v>
      </c>
      <c r="J1528" s="3">
        <v>1.0</v>
      </c>
      <c r="K1528" s="3">
        <v>1.0</v>
      </c>
      <c r="L1528" s="4" t="s">
        <v>10641</v>
      </c>
      <c r="M1528" s="2" t="s">
        <v>10682</v>
      </c>
      <c r="N1528" s="2" t="s">
        <v>243</v>
      </c>
      <c r="O1528" s="4" t="s">
        <v>244</v>
      </c>
      <c r="P1528" s="2" t="s">
        <v>10643</v>
      </c>
      <c r="Q1528" s="2" t="s">
        <v>10644</v>
      </c>
      <c r="R1528" s="2" t="s">
        <v>247</v>
      </c>
      <c r="S1528" s="4" t="s">
        <v>10645</v>
      </c>
      <c r="T1528" s="2" t="s">
        <v>249</v>
      </c>
      <c r="U1528" s="4" t="s">
        <v>31</v>
      </c>
      <c r="V1528" s="2" t="s">
        <v>896</v>
      </c>
      <c r="W1528" s="2" t="s">
        <v>10624</v>
      </c>
      <c r="X1528" s="5" t="str">
        <f>HYPERLINK("https://my.pitchbook.com?p=158813-65P","View People Online")</f>
        <v>View People Online</v>
      </c>
    </row>
    <row r="1529">
      <c r="A1529" s="6" t="s">
        <v>10683</v>
      </c>
      <c r="B1529" s="6" t="s">
        <v>10684</v>
      </c>
      <c r="C1529" s="6" t="s">
        <v>10685</v>
      </c>
      <c r="D1529" s="6" t="s">
        <v>10686</v>
      </c>
      <c r="E1529" s="6" t="s">
        <v>10624</v>
      </c>
      <c r="F1529" s="6" t="s">
        <v>548</v>
      </c>
      <c r="G1529" s="6" t="s">
        <v>10687</v>
      </c>
      <c r="H1529" s="7" t="s">
        <v>31</v>
      </c>
      <c r="I1529" s="7">
        <v>1.0</v>
      </c>
      <c r="J1529" s="7">
        <v>1.0</v>
      </c>
      <c r="K1529" s="7" t="s">
        <v>31</v>
      </c>
      <c r="L1529" s="8" t="s">
        <v>10626</v>
      </c>
      <c r="M1529" s="6" t="s">
        <v>10688</v>
      </c>
      <c r="N1529" s="6" t="s">
        <v>75</v>
      </c>
      <c r="O1529" s="8" t="s">
        <v>76</v>
      </c>
      <c r="P1529" s="6" t="s">
        <v>10628</v>
      </c>
      <c r="Q1529" s="6" t="s">
        <v>31</v>
      </c>
      <c r="R1529" s="6" t="s">
        <v>75</v>
      </c>
      <c r="S1529" s="8" t="s">
        <v>195</v>
      </c>
      <c r="T1529" s="6" t="s">
        <v>66</v>
      </c>
      <c r="U1529" s="8" t="s">
        <v>31</v>
      </c>
      <c r="V1529" s="6" t="s">
        <v>548</v>
      </c>
      <c r="W1529" s="6" t="s">
        <v>10624</v>
      </c>
      <c r="X1529" s="9" t="str">
        <f>HYPERLINK("https://my.pitchbook.com?p=340023-61P","View People Online")</f>
        <v>View People Online</v>
      </c>
    </row>
    <row r="1530">
      <c r="A1530" s="2" t="s">
        <v>10689</v>
      </c>
      <c r="B1530" s="2" t="s">
        <v>10690</v>
      </c>
      <c r="C1530" s="2" t="s">
        <v>10691</v>
      </c>
      <c r="D1530" s="2" t="s">
        <v>10692</v>
      </c>
      <c r="E1530" s="2" t="s">
        <v>10624</v>
      </c>
      <c r="F1530" s="2" t="s">
        <v>548</v>
      </c>
      <c r="G1530" s="2" t="s">
        <v>10693</v>
      </c>
      <c r="H1530" s="3" t="s">
        <v>31</v>
      </c>
      <c r="I1530" s="3">
        <v>1.0</v>
      </c>
      <c r="J1530" s="3">
        <v>1.0</v>
      </c>
      <c r="K1530" s="3" t="s">
        <v>31</v>
      </c>
      <c r="L1530" s="4" t="s">
        <v>10626</v>
      </c>
      <c r="M1530" s="2" t="s">
        <v>10694</v>
      </c>
      <c r="N1530" s="2" t="s">
        <v>75</v>
      </c>
      <c r="O1530" s="4" t="s">
        <v>76</v>
      </c>
      <c r="P1530" s="2" t="s">
        <v>10628</v>
      </c>
      <c r="Q1530" s="2" t="s">
        <v>31</v>
      </c>
      <c r="R1530" s="2" t="s">
        <v>75</v>
      </c>
      <c r="S1530" s="4" t="s">
        <v>195</v>
      </c>
      <c r="T1530" s="2" t="s">
        <v>66</v>
      </c>
      <c r="U1530" s="4" t="s">
        <v>31</v>
      </c>
      <c r="V1530" s="2" t="s">
        <v>548</v>
      </c>
      <c r="W1530" s="2" t="s">
        <v>10624</v>
      </c>
      <c r="X1530" s="5" t="str">
        <f>HYPERLINK("https://my.pitchbook.com?p=279853-03P","View People Online")</f>
        <v>View People Online</v>
      </c>
    </row>
    <row r="1531">
      <c r="A1531" s="14" t="s">
        <v>10695</v>
      </c>
      <c r="B1531" s="14" t="s">
        <v>10696</v>
      </c>
      <c r="C1531" s="14" t="s">
        <v>237</v>
      </c>
      <c r="D1531" s="14" t="s">
        <v>10697</v>
      </c>
      <c r="E1531" s="14" t="s">
        <v>10624</v>
      </c>
      <c r="F1531" s="14" t="s">
        <v>1283</v>
      </c>
      <c r="G1531" s="14" t="s">
        <v>10698</v>
      </c>
      <c r="H1531" s="15" t="s">
        <v>31</v>
      </c>
      <c r="I1531" s="15">
        <v>2.0</v>
      </c>
      <c r="J1531" s="15">
        <v>2.0</v>
      </c>
      <c r="K1531" s="15" t="s">
        <v>31</v>
      </c>
      <c r="L1531" s="16" t="s">
        <v>10699</v>
      </c>
      <c r="M1531" s="14" t="s">
        <v>10700</v>
      </c>
      <c r="N1531" s="14" t="s">
        <v>10701</v>
      </c>
      <c r="O1531" s="16" t="s">
        <v>10702</v>
      </c>
      <c r="P1531" s="14" t="s">
        <v>10703</v>
      </c>
      <c r="Q1531" s="14" t="s">
        <v>10704</v>
      </c>
      <c r="R1531" s="14" t="s">
        <v>247</v>
      </c>
      <c r="S1531" s="16" t="s">
        <v>10705</v>
      </c>
      <c r="T1531" s="14" t="s">
        <v>249</v>
      </c>
      <c r="U1531" s="16" t="s">
        <v>31</v>
      </c>
      <c r="V1531" s="14" t="s">
        <v>10706</v>
      </c>
      <c r="W1531" s="14" t="s">
        <v>10707</v>
      </c>
      <c r="X1531" s="17" t="str">
        <f>HYPERLINK("https://my.pitchbook.com?p=63754-21P","View People Online")</f>
        <v>View People Online</v>
      </c>
    </row>
    <row r="1532">
      <c r="A1532" s="10" t="s">
        <v>10708</v>
      </c>
      <c r="B1532" s="10" t="s">
        <v>10709</v>
      </c>
      <c r="C1532" s="10" t="s">
        <v>10710</v>
      </c>
      <c r="D1532" s="10" t="s">
        <v>10711</v>
      </c>
      <c r="E1532" s="10" t="s">
        <v>10624</v>
      </c>
      <c r="F1532" s="10" t="s">
        <v>825</v>
      </c>
      <c r="G1532" s="10" t="s">
        <v>10712</v>
      </c>
      <c r="H1532" s="11" t="s">
        <v>31</v>
      </c>
      <c r="I1532" s="11">
        <v>1.0</v>
      </c>
      <c r="J1532" s="11">
        <v>1.0</v>
      </c>
      <c r="K1532" s="11" t="s">
        <v>31</v>
      </c>
      <c r="L1532" s="12" t="s">
        <v>10626</v>
      </c>
      <c r="M1532" s="10" t="s">
        <v>10713</v>
      </c>
      <c r="N1532" s="10" t="s">
        <v>75</v>
      </c>
      <c r="O1532" s="12" t="s">
        <v>76</v>
      </c>
      <c r="P1532" s="10" t="s">
        <v>10628</v>
      </c>
      <c r="Q1532" s="10" t="s">
        <v>31</v>
      </c>
      <c r="R1532" s="10" t="s">
        <v>75</v>
      </c>
      <c r="S1532" s="12" t="s">
        <v>195</v>
      </c>
      <c r="T1532" s="10" t="s">
        <v>66</v>
      </c>
      <c r="U1532" s="12" t="s">
        <v>31</v>
      </c>
      <c r="V1532" s="10" t="s">
        <v>10714</v>
      </c>
      <c r="W1532" s="10" t="s">
        <v>10624</v>
      </c>
      <c r="X1532" s="13" t="str">
        <f>HYPERLINK("https://my.pitchbook.com?p=398890-27P","View People Online")</f>
        <v>View People Online</v>
      </c>
    </row>
    <row r="1533">
      <c r="A1533" s="6" t="s">
        <v>10715</v>
      </c>
      <c r="B1533" s="6" t="s">
        <v>10716</v>
      </c>
      <c r="C1533" s="6" t="s">
        <v>10717</v>
      </c>
      <c r="D1533" s="6" t="s">
        <v>10718</v>
      </c>
      <c r="E1533" s="6" t="s">
        <v>10624</v>
      </c>
      <c r="F1533" s="6" t="s">
        <v>371</v>
      </c>
      <c r="G1533" s="6" t="s">
        <v>10719</v>
      </c>
      <c r="H1533" s="7" t="s">
        <v>31</v>
      </c>
      <c r="I1533" s="7">
        <v>1.0</v>
      </c>
      <c r="J1533" s="7">
        <v>1.0</v>
      </c>
      <c r="K1533" s="7" t="s">
        <v>31</v>
      </c>
      <c r="L1533" s="8" t="s">
        <v>10626</v>
      </c>
      <c r="M1533" s="6" t="s">
        <v>10720</v>
      </c>
      <c r="N1533" s="6" t="s">
        <v>75</v>
      </c>
      <c r="O1533" s="8" t="s">
        <v>76</v>
      </c>
      <c r="P1533" s="6" t="s">
        <v>10628</v>
      </c>
      <c r="Q1533" s="6" t="s">
        <v>31</v>
      </c>
      <c r="R1533" s="6" t="s">
        <v>75</v>
      </c>
      <c r="S1533" s="8" t="s">
        <v>195</v>
      </c>
      <c r="T1533" s="6" t="s">
        <v>66</v>
      </c>
      <c r="U1533" s="8" t="s">
        <v>31</v>
      </c>
      <c r="V1533" s="6" t="s">
        <v>371</v>
      </c>
      <c r="W1533" s="6" t="s">
        <v>10624</v>
      </c>
      <c r="X1533" s="9" t="str">
        <f>HYPERLINK("https://my.pitchbook.com?p=338432-77P","View People Online")</f>
        <v>View People Online</v>
      </c>
    </row>
    <row r="1534">
      <c r="A1534" s="10" t="s">
        <v>10721</v>
      </c>
      <c r="B1534" s="10" t="s">
        <v>10722</v>
      </c>
      <c r="C1534" s="10" t="s">
        <v>10723</v>
      </c>
      <c r="D1534" s="10" t="s">
        <v>10724</v>
      </c>
      <c r="E1534" s="10" t="s">
        <v>10624</v>
      </c>
      <c r="F1534" s="10" t="s">
        <v>2652</v>
      </c>
      <c r="G1534" s="10" t="s">
        <v>10725</v>
      </c>
      <c r="H1534" s="11" t="s">
        <v>31</v>
      </c>
      <c r="I1534" s="11">
        <v>1.0</v>
      </c>
      <c r="J1534" s="11">
        <v>1.0</v>
      </c>
      <c r="K1534" s="11" t="s">
        <v>31</v>
      </c>
      <c r="L1534" s="12" t="s">
        <v>10641</v>
      </c>
      <c r="M1534" s="10" t="s">
        <v>10726</v>
      </c>
      <c r="N1534" s="10" t="s">
        <v>243</v>
      </c>
      <c r="O1534" s="12" t="s">
        <v>244</v>
      </c>
      <c r="P1534" s="10" t="s">
        <v>10643</v>
      </c>
      <c r="Q1534" s="10" t="s">
        <v>10644</v>
      </c>
      <c r="R1534" s="10" t="s">
        <v>247</v>
      </c>
      <c r="S1534" s="12" t="s">
        <v>10645</v>
      </c>
      <c r="T1534" s="10" t="s">
        <v>249</v>
      </c>
      <c r="U1534" s="12" t="s">
        <v>31</v>
      </c>
      <c r="V1534" s="10" t="s">
        <v>10727</v>
      </c>
      <c r="W1534" s="10" t="s">
        <v>10624</v>
      </c>
      <c r="X1534" s="13" t="str">
        <f>HYPERLINK("https://my.pitchbook.com?p=148857-04P","View People Online")</f>
        <v>View People Online</v>
      </c>
    </row>
    <row r="1535">
      <c r="A1535" s="6" t="s">
        <v>10728</v>
      </c>
      <c r="B1535" s="6" t="s">
        <v>10729</v>
      </c>
      <c r="C1535" s="6" t="s">
        <v>10730</v>
      </c>
      <c r="D1535" s="6" t="s">
        <v>10731</v>
      </c>
      <c r="E1535" s="6" t="s">
        <v>10624</v>
      </c>
      <c r="F1535" s="6" t="s">
        <v>10732</v>
      </c>
      <c r="G1535" s="6" t="s">
        <v>10733</v>
      </c>
      <c r="H1535" s="7">
        <v>1.0</v>
      </c>
      <c r="I1535" s="7">
        <v>2.0</v>
      </c>
      <c r="J1535" s="7">
        <v>2.0</v>
      </c>
      <c r="K1535" s="7" t="s">
        <v>31</v>
      </c>
      <c r="L1535" s="8" t="s">
        <v>10626</v>
      </c>
      <c r="M1535" s="6" t="s">
        <v>10734</v>
      </c>
      <c r="N1535" s="6" t="s">
        <v>75</v>
      </c>
      <c r="O1535" s="8" t="s">
        <v>76</v>
      </c>
      <c r="P1535" s="6" t="s">
        <v>10628</v>
      </c>
      <c r="Q1535" s="6" t="s">
        <v>31</v>
      </c>
      <c r="R1535" s="6" t="s">
        <v>75</v>
      </c>
      <c r="S1535" s="8" t="s">
        <v>195</v>
      </c>
      <c r="T1535" s="6" t="s">
        <v>66</v>
      </c>
      <c r="U1535" s="8" t="s">
        <v>31</v>
      </c>
      <c r="V1535" s="6" t="s">
        <v>10735</v>
      </c>
      <c r="W1535" s="6" t="s">
        <v>10624</v>
      </c>
      <c r="X1535" s="9" t="str">
        <f>HYPERLINK("https://my.pitchbook.com?p=38154-70P","View People Online")</f>
        <v>View People Online</v>
      </c>
    </row>
    <row r="1536">
      <c r="A1536" s="2" t="s">
        <v>10736</v>
      </c>
      <c r="B1536" s="2" t="s">
        <v>10737</v>
      </c>
      <c r="C1536" s="2" t="s">
        <v>10738</v>
      </c>
      <c r="D1536" s="2" t="s">
        <v>10739</v>
      </c>
      <c r="E1536" s="2" t="s">
        <v>10624</v>
      </c>
      <c r="F1536" s="2" t="s">
        <v>8581</v>
      </c>
      <c r="G1536" s="2" t="s">
        <v>10740</v>
      </c>
      <c r="H1536" s="3" t="s">
        <v>31</v>
      </c>
      <c r="I1536" s="3">
        <v>5.0</v>
      </c>
      <c r="J1536" s="3">
        <v>1.0</v>
      </c>
      <c r="K1536" s="3">
        <v>3.0</v>
      </c>
      <c r="L1536" s="4" t="s">
        <v>10741</v>
      </c>
      <c r="M1536" s="2" t="s">
        <v>31</v>
      </c>
      <c r="N1536" s="2" t="s">
        <v>10742</v>
      </c>
      <c r="O1536" s="4" t="s">
        <v>10743</v>
      </c>
      <c r="P1536" s="2" t="s">
        <v>10744</v>
      </c>
      <c r="Q1536" s="2" t="s">
        <v>31</v>
      </c>
      <c r="R1536" s="2" t="s">
        <v>10745</v>
      </c>
      <c r="S1536" s="4" t="s">
        <v>10746</v>
      </c>
      <c r="T1536" s="2" t="s">
        <v>1019</v>
      </c>
      <c r="U1536" s="4" t="s">
        <v>31</v>
      </c>
      <c r="V1536" s="2" t="s">
        <v>10747</v>
      </c>
      <c r="W1536" s="2" t="s">
        <v>10624</v>
      </c>
      <c r="X1536" s="5" t="str">
        <f>HYPERLINK("https://my.pitchbook.com?p=333915-04P","View People Online")</f>
        <v>View People Online</v>
      </c>
    </row>
    <row r="1537">
      <c r="A1537" s="6" t="s">
        <v>10748</v>
      </c>
      <c r="B1537" s="6" t="s">
        <v>10749</v>
      </c>
      <c r="C1537" s="6" t="s">
        <v>1117</v>
      </c>
      <c r="D1537" s="6" t="s">
        <v>8252</v>
      </c>
      <c r="E1537" s="6" t="s">
        <v>10624</v>
      </c>
      <c r="F1537" s="6" t="s">
        <v>2652</v>
      </c>
      <c r="G1537" s="6" t="s">
        <v>10750</v>
      </c>
      <c r="H1537" s="7" t="s">
        <v>31</v>
      </c>
      <c r="I1537" s="7">
        <v>2.0</v>
      </c>
      <c r="J1537" s="7">
        <v>1.0</v>
      </c>
      <c r="K1537" s="7" t="s">
        <v>31</v>
      </c>
      <c r="L1537" s="8" t="s">
        <v>10641</v>
      </c>
      <c r="M1537" s="6" t="s">
        <v>10751</v>
      </c>
      <c r="N1537" s="6" t="s">
        <v>243</v>
      </c>
      <c r="O1537" s="8" t="s">
        <v>244</v>
      </c>
      <c r="P1537" s="6" t="s">
        <v>10643</v>
      </c>
      <c r="Q1537" s="6" t="s">
        <v>10644</v>
      </c>
      <c r="R1537" s="6" t="s">
        <v>247</v>
      </c>
      <c r="S1537" s="8" t="s">
        <v>10645</v>
      </c>
      <c r="T1537" s="6" t="s">
        <v>249</v>
      </c>
      <c r="U1537" s="8" t="s">
        <v>31</v>
      </c>
      <c r="V1537" s="6" t="s">
        <v>10752</v>
      </c>
      <c r="W1537" s="6" t="s">
        <v>10624</v>
      </c>
      <c r="X1537" s="9" t="str">
        <f>HYPERLINK("https://my.pitchbook.com?p=102778-21P","View People Online")</f>
        <v>View People Online</v>
      </c>
    </row>
    <row r="1538">
      <c r="A1538" s="2" t="s">
        <v>10753</v>
      </c>
      <c r="B1538" s="2" t="s">
        <v>10754</v>
      </c>
      <c r="C1538" s="2" t="s">
        <v>1117</v>
      </c>
      <c r="D1538" s="2" t="s">
        <v>10755</v>
      </c>
      <c r="E1538" s="2" t="s">
        <v>10624</v>
      </c>
      <c r="F1538" s="2" t="s">
        <v>825</v>
      </c>
      <c r="G1538" s="2" t="s">
        <v>10756</v>
      </c>
      <c r="H1538" s="3" t="s">
        <v>31</v>
      </c>
      <c r="I1538" s="3">
        <v>1.0</v>
      </c>
      <c r="J1538" s="3">
        <v>1.0</v>
      </c>
      <c r="K1538" s="3" t="s">
        <v>31</v>
      </c>
      <c r="L1538" s="4" t="s">
        <v>10626</v>
      </c>
      <c r="M1538" s="2" t="s">
        <v>10757</v>
      </c>
      <c r="N1538" s="2" t="s">
        <v>75</v>
      </c>
      <c r="O1538" s="4" t="s">
        <v>76</v>
      </c>
      <c r="P1538" s="2" t="s">
        <v>10628</v>
      </c>
      <c r="Q1538" s="2" t="s">
        <v>31</v>
      </c>
      <c r="R1538" s="2" t="s">
        <v>75</v>
      </c>
      <c r="S1538" s="4" t="s">
        <v>195</v>
      </c>
      <c r="T1538" s="2" t="s">
        <v>66</v>
      </c>
      <c r="U1538" s="4" t="s">
        <v>31</v>
      </c>
      <c r="V1538" s="2" t="s">
        <v>825</v>
      </c>
      <c r="W1538" s="2" t="s">
        <v>10624</v>
      </c>
      <c r="X1538" s="5" t="str">
        <f>HYPERLINK("https://my.pitchbook.com?p=42377-77P","View People Online")</f>
        <v>View People Online</v>
      </c>
    </row>
    <row r="1539">
      <c r="A1539" s="14" t="s">
        <v>10758</v>
      </c>
      <c r="B1539" s="14" t="s">
        <v>10759</v>
      </c>
      <c r="C1539" s="14" t="s">
        <v>10760</v>
      </c>
      <c r="D1539" s="14" t="s">
        <v>10761</v>
      </c>
      <c r="E1539" s="14" t="s">
        <v>10624</v>
      </c>
      <c r="F1539" s="14" t="s">
        <v>10762</v>
      </c>
      <c r="G1539" s="14" t="s">
        <v>10763</v>
      </c>
      <c r="H1539" s="15" t="s">
        <v>31</v>
      </c>
      <c r="I1539" s="15">
        <v>6.0</v>
      </c>
      <c r="J1539" s="15">
        <v>1.0</v>
      </c>
      <c r="K1539" s="15">
        <v>4.0</v>
      </c>
      <c r="L1539" s="16" t="s">
        <v>10626</v>
      </c>
      <c r="M1539" s="14" t="s">
        <v>10764</v>
      </c>
      <c r="N1539" s="14" t="s">
        <v>75</v>
      </c>
      <c r="O1539" s="16" t="s">
        <v>76</v>
      </c>
      <c r="P1539" s="14" t="s">
        <v>10628</v>
      </c>
      <c r="Q1539" s="14" t="s">
        <v>31</v>
      </c>
      <c r="R1539" s="14" t="s">
        <v>75</v>
      </c>
      <c r="S1539" s="16" t="s">
        <v>195</v>
      </c>
      <c r="T1539" s="14" t="s">
        <v>66</v>
      </c>
      <c r="U1539" s="16" t="s">
        <v>31</v>
      </c>
      <c r="V1539" s="14" t="s">
        <v>10765</v>
      </c>
      <c r="W1539" s="14" t="s">
        <v>10624</v>
      </c>
      <c r="X1539" s="17" t="str">
        <f>HYPERLINK("https://my.pitchbook.com?p=371779-03P","View People Online")</f>
        <v>View People Online</v>
      </c>
    </row>
    <row r="1540">
      <c r="A1540" s="2" t="s">
        <v>10766</v>
      </c>
      <c r="B1540" s="2" t="s">
        <v>10767</v>
      </c>
      <c r="C1540" s="2" t="s">
        <v>10162</v>
      </c>
      <c r="D1540" s="2" t="s">
        <v>10768</v>
      </c>
      <c r="E1540" s="2" t="s">
        <v>10624</v>
      </c>
      <c r="F1540" s="2" t="s">
        <v>2731</v>
      </c>
      <c r="G1540" s="2" t="s">
        <v>10769</v>
      </c>
      <c r="H1540" s="3" t="s">
        <v>31</v>
      </c>
      <c r="I1540" s="3">
        <v>2.0</v>
      </c>
      <c r="J1540" s="3">
        <v>1.0</v>
      </c>
      <c r="K1540" s="3" t="s">
        <v>31</v>
      </c>
      <c r="L1540" s="4" t="s">
        <v>10626</v>
      </c>
      <c r="M1540" s="2" t="s">
        <v>10770</v>
      </c>
      <c r="N1540" s="2" t="s">
        <v>75</v>
      </c>
      <c r="O1540" s="4" t="s">
        <v>76</v>
      </c>
      <c r="P1540" s="2" t="s">
        <v>10628</v>
      </c>
      <c r="Q1540" s="2" t="s">
        <v>31</v>
      </c>
      <c r="R1540" s="2" t="s">
        <v>75</v>
      </c>
      <c r="S1540" s="4" t="s">
        <v>195</v>
      </c>
      <c r="T1540" s="2" t="s">
        <v>66</v>
      </c>
      <c r="U1540" s="4" t="s">
        <v>31</v>
      </c>
      <c r="V1540" s="2" t="s">
        <v>10771</v>
      </c>
      <c r="W1540" s="2" t="s">
        <v>10624</v>
      </c>
      <c r="X1540" s="5" t="str">
        <f>HYPERLINK("https://my.pitchbook.com?p=85132-72P","View People Online")</f>
        <v>View People Online</v>
      </c>
    </row>
    <row r="1541">
      <c r="A1541" s="14" t="s">
        <v>10772</v>
      </c>
      <c r="B1541" s="14" t="s">
        <v>10773</v>
      </c>
      <c r="C1541" s="14" t="s">
        <v>1103</v>
      </c>
      <c r="D1541" s="14" t="s">
        <v>10774</v>
      </c>
      <c r="E1541" s="14" t="s">
        <v>10624</v>
      </c>
      <c r="F1541" s="14" t="s">
        <v>9692</v>
      </c>
      <c r="G1541" s="14" t="s">
        <v>10775</v>
      </c>
      <c r="H1541" s="15" t="s">
        <v>31</v>
      </c>
      <c r="I1541" s="15">
        <v>1.0</v>
      </c>
      <c r="J1541" s="15">
        <v>1.0</v>
      </c>
      <c r="K1541" s="15" t="s">
        <v>31</v>
      </c>
      <c r="L1541" s="16" t="s">
        <v>10626</v>
      </c>
      <c r="M1541" s="14" t="s">
        <v>10776</v>
      </c>
      <c r="N1541" s="14" t="s">
        <v>75</v>
      </c>
      <c r="O1541" s="16" t="s">
        <v>76</v>
      </c>
      <c r="P1541" s="14" t="s">
        <v>10628</v>
      </c>
      <c r="Q1541" s="14" t="s">
        <v>31</v>
      </c>
      <c r="R1541" s="14" t="s">
        <v>75</v>
      </c>
      <c r="S1541" s="16" t="s">
        <v>195</v>
      </c>
      <c r="T1541" s="14" t="s">
        <v>66</v>
      </c>
      <c r="U1541" s="16" t="s">
        <v>31</v>
      </c>
      <c r="V1541" s="14" t="s">
        <v>10777</v>
      </c>
      <c r="W1541" s="14" t="s">
        <v>10624</v>
      </c>
      <c r="X1541" s="17" t="str">
        <f>HYPERLINK("https://my.pitchbook.com?p=221344-75P","View People Online")</f>
        <v>View People Online</v>
      </c>
    </row>
    <row r="1542">
      <c r="A1542" s="10" t="s">
        <v>10778</v>
      </c>
      <c r="B1542" s="10" t="s">
        <v>10779</v>
      </c>
      <c r="C1542" s="10" t="s">
        <v>10780</v>
      </c>
      <c r="D1542" s="10" t="s">
        <v>10781</v>
      </c>
      <c r="E1542" s="10" t="s">
        <v>10624</v>
      </c>
      <c r="F1542" s="10" t="s">
        <v>10639</v>
      </c>
      <c r="G1542" s="10" t="s">
        <v>10782</v>
      </c>
      <c r="H1542" s="11" t="s">
        <v>31</v>
      </c>
      <c r="I1542" s="11">
        <v>1.0</v>
      </c>
      <c r="J1542" s="11">
        <v>1.0</v>
      </c>
      <c r="K1542" s="11" t="s">
        <v>31</v>
      </c>
      <c r="L1542" s="12" t="s">
        <v>10626</v>
      </c>
      <c r="M1542" s="10" t="s">
        <v>10783</v>
      </c>
      <c r="N1542" s="10" t="s">
        <v>75</v>
      </c>
      <c r="O1542" s="12" t="s">
        <v>76</v>
      </c>
      <c r="P1542" s="10" t="s">
        <v>10628</v>
      </c>
      <c r="Q1542" s="10" t="s">
        <v>31</v>
      </c>
      <c r="R1542" s="10" t="s">
        <v>75</v>
      </c>
      <c r="S1542" s="12" t="s">
        <v>195</v>
      </c>
      <c r="T1542" s="10" t="s">
        <v>66</v>
      </c>
      <c r="U1542" s="12" t="s">
        <v>31</v>
      </c>
      <c r="V1542" s="10" t="s">
        <v>10784</v>
      </c>
      <c r="W1542" s="10" t="s">
        <v>10624</v>
      </c>
      <c r="X1542" s="13" t="str">
        <f>HYPERLINK("https://my.pitchbook.com?p=74935-54P","View People Online")</f>
        <v>View People Online</v>
      </c>
    </row>
    <row r="1543">
      <c r="A1543" s="14" t="s">
        <v>10785</v>
      </c>
      <c r="B1543" s="14" t="s">
        <v>10786</v>
      </c>
      <c r="C1543" s="14" t="s">
        <v>10787</v>
      </c>
      <c r="D1543" s="14" t="s">
        <v>10788</v>
      </c>
      <c r="E1543" s="14" t="s">
        <v>10624</v>
      </c>
      <c r="F1543" s="14" t="s">
        <v>825</v>
      </c>
      <c r="G1543" s="14" t="s">
        <v>10789</v>
      </c>
      <c r="H1543" s="15" t="s">
        <v>31</v>
      </c>
      <c r="I1543" s="15">
        <v>3.0</v>
      </c>
      <c r="J1543" s="15">
        <v>1.0</v>
      </c>
      <c r="K1543" s="15">
        <v>1.0</v>
      </c>
      <c r="L1543" s="16" t="s">
        <v>10626</v>
      </c>
      <c r="M1543" s="14" t="s">
        <v>10790</v>
      </c>
      <c r="N1543" s="14" t="s">
        <v>75</v>
      </c>
      <c r="O1543" s="16" t="s">
        <v>76</v>
      </c>
      <c r="P1543" s="14" t="s">
        <v>10628</v>
      </c>
      <c r="Q1543" s="14" t="s">
        <v>31</v>
      </c>
      <c r="R1543" s="14" t="s">
        <v>75</v>
      </c>
      <c r="S1543" s="16" t="s">
        <v>195</v>
      </c>
      <c r="T1543" s="14" t="s">
        <v>66</v>
      </c>
      <c r="U1543" s="16" t="s">
        <v>31</v>
      </c>
      <c r="V1543" s="14" t="s">
        <v>10791</v>
      </c>
      <c r="W1543" s="14" t="s">
        <v>10624</v>
      </c>
      <c r="X1543" s="17" t="str">
        <f>HYPERLINK("https://my.pitchbook.com?p=86961-52P","View People Online")</f>
        <v>View People Online</v>
      </c>
    </row>
    <row r="1544">
      <c r="A1544" s="2" t="s">
        <v>10792</v>
      </c>
      <c r="B1544" s="2" t="s">
        <v>10793</v>
      </c>
      <c r="C1544" s="2" t="s">
        <v>10794</v>
      </c>
      <c r="D1544" s="2" t="s">
        <v>3941</v>
      </c>
      <c r="E1544" s="2" t="s">
        <v>10624</v>
      </c>
      <c r="F1544" s="2" t="s">
        <v>371</v>
      </c>
      <c r="G1544" s="2" t="s">
        <v>10795</v>
      </c>
      <c r="H1544" s="3" t="s">
        <v>31</v>
      </c>
      <c r="I1544" s="3">
        <v>1.0</v>
      </c>
      <c r="J1544" s="3">
        <v>1.0</v>
      </c>
      <c r="K1544" s="3" t="s">
        <v>31</v>
      </c>
      <c r="L1544" s="4" t="s">
        <v>10626</v>
      </c>
      <c r="M1544" s="2" t="s">
        <v>10796</v>
      </c>
      <c r="N1544" s="2" t="s">
        <v>75</v>
      </c>
      <c r="O1544" s="4" t="s">
        <v>76</v>
      </c>
      <c r="P1544" s="2" t="s">
        <v>10628</v>
      </c>
      <c r="Q1544" s="2" t="s">
        <v>31</v>
      </c>
      <c r="R1544" s="2" t="s">
        <v>75</v>
      </c>
      <c r="S1544" s="4" t="s">
        <v>195</v>
      </c>
      <c r="T1544" s="2" t="s">
        <v>66</v>
      </c>
      <c r="U1544" s="4" t="s">
        <v>31</v>
      </c>
      <c r="V1544" s="2" t="s">
        <v>371</v>
      </c>
      <c r="W1544" s="2" t="s">
        <v>10624</v>
      </c>
      <c r="X1544" s="5" t="str">
        <f>HYPERLINK("https://my.pitchbook.com?p=330840-37P","View People Online")</f>
        <v>View People Online</v>
      </c>
    </row>
    <row r="1545">
      <c r="A1545" s="14" t="s">
        <v>10797</v>
      </c>
      <c r="B1545" s="14" t="s">
        <v>10798</v>
      </c>
      <c r="C1545" s="14" t="s">
        <v>2688</v>
      </c>
      <c r="D1545" s="14" t="s">
        <v>10799</v>
      </c>
      <c r="E1545" s="14" t="s">
        <v>10624</v>
      </c>
      <c r="F1545" s="14" t="s">
        <v>825</v>
      </c>
      <c r="G1545" s="14" t="s">
        <v>10800</v>
      </c>
      <c r="H1545" s="15" t="s">
        <v>31</v>
      </c>
      <c r="I1545" s="15">
        <v>1.0</v>
      </c>
      <c r="J1545" s="15">
        <v>1.0</v>
      </c>
      <c r="K1545" s="15" t="s">
        <v>31</v>
      </c>
      <c r="L1545" s="16" t="s">
        <v>10626</v>
      </c>
      <c r="M1545" s="14" t="s">
        <v>10801</v>
      </c>
      <c r="N1545" s="14" t="s">
        <v>75</v>
      </c>
      <c r="O1545" s="16" t="s">
        <v>76</v>
      </c>
      <c r="P1545" s="14" t="s">
        <v>10628</v>
      </c>
      <c r="Q1545" s="14" t="s">
        <v>31</v>
      </c>
      <c r="R1545" s="14" t="s">
        <v>75</v>
      </c>
      <c r="S1545" s="16" t="s">
        <v>195</v>
      </c>
      <c r="T1545" s="14" t="s">
        <v>66</v>
      </c>
      <c r="U1545" s="16" t="s">
        <v>31</v>
      </c>
      <c r="V1545" s="14" t="s">
        <v>10802</v>
      </c>
      <c r="W1545" s="14" t="s">
        <v>10624</v>
      </c>
      <c r="X1545" s="17" t="str">
        <f>HYPERLINK("https://my.pitchbook.com?p=159531-94P","View People Online")</f>
        <v>View People Online</v>
      </c>
    </row>
    <row r="1546">
      <c r="A1546" s="2" t="s">
        <v>10803</v>
      </c>
      <c r="B1546" s="2" t="s">
        <v>10804</v>
      </c>
      <c r="C1546" s="2" t="s">
        <v>10805</v>
      </c>
      <c r="D1546" s="2" t="s">
        <v>10806</v>
      </c>
      <c r="E1546" s="2" t="s">
        <v>10624</v>
      </c>
      <c r="F1546" s="2" t="s">
        <v>896</v>
      </c>
      <c r="G1546" s="2" t="s">
        <v>10807</v>
      </c>
      <c r="H1546" s="3" t="s">
        <v>31</v>
      </c>
      <c r="I1546" s="3">
        <v>1.0</v>
      </c>
      <c r="J1546" s="3">
        <v>1.0</v>
      </c>
      <c r="K1546" s="3" t="s">
        <v>31</v>
      </c>
      <c r="L1546" s="4" t="s">
        <v>10626</v>
      </c>
      <c r="M1546" s="2" t="s">
        <v>10808</v>
      </c>
      <c r="N1546" s="2" t="s">
        <v>75</v>
      </c>
      <c r="O1546" s="4" t="s">
        <v>76</v>
      </c>
      <c r="P1546" s="2" t="s">
        <v>10628</v>
      </c>
      <c r="Q1546" s="2" t="s">
        <v>31</v>
      </c>
      <c r="R1546" s="2" t="s">
        <v>75</v>
      </c>
      <c r="S1546" s="4" t="s">
        <v>195</v>
      </c>
      <c r="T1546" s="2" t="s">
        <v>66</v>
      </c>
      <c r="U1546" s="4" t="s">
        <v>31</v>
      </c>
      <c r="V1546" s="2" t="s">
        <v>896</v>
      </c>
      <c r="W1546" s="2" t="s">
        <v>10624</v>
      </c>
      <c r="X1546" s="5" t="str">
        <f>HYPERLINK("https://my.pitchbook.com?p=138874-33P","View People Online")</f>
        <v>View People Online</v>
      </c>
    </row>
    <row r="1547">
      <c r="A1547" s="6" t="s">
        <v>10809</v>
      </c>
      <c r="B1547" s="6" t="s">
        <v>10810</v>
      </c>
      <c r="C1547" s="6" t="s">
        <v>10811</v>
      </c>
      <c r="D1547" s="6" t="s">
        <v>10812</v>
      </c>
      <c r="E1547" s="6" t="s">
        <v>10624</v>
      </c>
      <c r="F1547" s="6" t="s">
        <v>371</v>
      </c>
      <c r="G1547" s="6" t="s">
        <v>10813</v>
      </c>
      <c r="H1547" s="7" t="s">
        <v>31</v>
      </c>
      <c r="I1547" s="7">
        <v>1.0</v>
      </c>
      <c r="J1547" s="7">
        <v>1.0</v>
      </c>
      <c r="K1547" s="7" t="s">
        <v>31</v>
      </c>
      <c r="L1547" s="8" t="s">
        <v>10626</v>
      </c>
      <c r="M1547" s="6" t="s">
        <v>10814</v>
      </c>
      <c r="N1547" s="6" t="s">
        <v>75</v>
      </c>
      <c r="O1547" s="8" t="s">
        <v>76</v>
      </c>
      <c r="P1547" s="6" t="s">
        <v>10628</v>
      </c>
      <c r="Q1547" s="6" t="s">
        <v>31</v>
      </c>
      <c r="R1547" s="6" t="s">
        <v>75</v>
      </c>
      <c r="S1547" s="8" t="s">
        <v>195</v>
      </c>
      <c r="T1547" s="6" t="s">
        <v>66</v>
      </c>
      <c r="U1547" s="8" t="s">
        <v>31</v>
      </c>
      <c r="V1547" s="6" t="s">
        <v>371</v>
      </c>
      <c r="W1547" s="6" t="s">
        <v>10624</v>
      </c>
      <c r="X1547" s="9" t="str">
        <f>HYPERLINK("https://my.pitchbook.com?p=41942-53P","View People Online")</f>
        <v>View People Online</v>
      </c>
    </row>
    <row r="1548">
      <c r="A1548" s="2" t="s">
        <v>10815</v>
      </c>
      <c r="B1548" s="2" t="s">
        <v>10816</v>
      </c>
      <c r="C1548" s="2" t="s">
        <v>10811</v>
      </c>
      <c r="D1548" s="2" t="s">
        <v>10817</v>
      </c>
      <c r="E1548" s="2" t="s">
        <v>10624</v>
      </c>
      <c r="F1548" s="2" t="s">
        <v>10818</v>
      </c>
      <c r="G1548" s="2" t="s">
        <v>10819</v>
      </c>
      <c r="H1548" s="3" t="s">
        <v>31</v>
      </c>
      <c r="I1548" s="3">
        <v>1.0</v>
      </c>
      <c r="J1548" s="3">
        <v>1.0</v>
      </c>
      <c r="K1548" s="3" t="s">
        <v>31</v>
      </c>
      <c r="L1548" s="4" t="s">
        <v>10626</v>
      </c>
      <c r="M1548" s="2" t="s">
        <v>10820</v>
      </c>
      <c r="N1548" s="2" t="s">
        <v>75</v>
      </c>
      <c r="O1548" s="4" t="s">
        <v>76</v>
      </c>
      <c r="P1548" s="2" t="s">
        <v>10628</v>
      </c>
      <c r="Q1548" s="2" t="s">
        <v>31</v>
      </c>
      <c r="R1548" s="2" t="s">
        <v>75</v>
      </c>
      <c r="S1548" s="4" t="s">
        <v>195</v>
      </c>
      <c r="T1548" s="2" t="s">
        <v>66</v>
      </c>
      <c r="U1548" s="4" t="s">
        <v>31</v>
      </c>
      <c r="V1548" s="2" t="s">
        <v>10821</v>
      </c>
      <c r="W1548" s="2" t="s">
        <v>10624</v>
      </c>
      <c r="X1548" s="5" t="str">
        <f>HYPERLINK("https://my.pitchbook.com?p=412069-06P","View People Online")</f>
        <v>View People Online</v>
      </c>
    </row>
    <row r="1549">
      <c r="A1549" s="14" t="s">
        <v>10822</v>
      </c>
      <c r="B1549" s="14" t="s">
        <v>10823</v>
      </c>
      <c r="C1549" s="14" t="s">
        <v>10824</v>
      </c>
      <c r="D1549" s="14" t="s">
        <v>10825</v>
      </c>
      <c r="E1549" s="14" t="s">
        <v>10624</v>
      </c>
      <c r="F1549" s="14" t="s">
        <v>5086</v>
      </c>
      <c r="G1549" s="14" t="s">
        <v>10826</v>
      </c>
      <c r="H1549" s="15" t="s">
        <v>31</v>
      </c>
      <c r="I1549" s="15">
        <v>1.0</v>
      </c>
      <c r="J1549" s="15">
        <v>1.0</v>
      </c>
      <c r="K1549" s="15" t="s">
        <v>31</v>
      </c>
      <c r="L1549" s="16" t="s">
        <v>10827</v>
      </c>
      <c r="M1549" s="14" t="s">
        <v>10828</v>
      </c>
      <c r="N1549" s="14" t="s">
        <v>429</v>
      </c>
      <c r="O1549" s="16" t="s">
        <v>430</v>
      </c>
      <c r="P1549" s="14" t="s">
        <v>10829</v>
      </c>
      <c r="Q1549" s="14" t="s">
        <v>10830</v>
      </c>
      <c r="R1549" s="14" t="s">
        <v>31</v>
      </c>
      <c r="S1549" s="16" t="s">
        <v>10831</v>
      </c>
      <c r="T1549" s="14" t="s">
        <v>433</v>
      </c>
      <c r="U1549" s="16" t="s">
        <v>31</v>
      </c>
      <c r="V1549" s="14" t="s">
        <v>10832</v>
      </c>
      <c r="W1549" s="14" t="s">
        <v>10624</v>
      </c>
      <c r="X1549" s="17" t="str">
        <f>HYPERLINK("https://my.pitchbook.com?p=198222-94P","View People Online")</f>
        <v>View People Online</v>
      </c>
    </row>
    <row r="1550">
      <c r="A1550" s="2" t="s">
        <v>10833</v>
      </c>
      <c r="B1550" s="2" t="s">
        <v>10834</v>
      </c>
      <c r="C1550" s="2" t="s">
        <v>6584</v>
      </c>
      <c r="D1550" s="2" t="s">
        <v>10835</v>
      </c>
      <c r="E1550" s="2" t="s">
        <v>10624</v>
      </c>
      <c r="F1550" s="2" t="s">
        <v>10639</v>
      </c>
      <c r="G1550" s="2" t="s">
        <v>10836</v>
      </c>
      <c r="H1550" s="3" t="s">
        <v>31</v>
      </c>
      <c r="I1550" s="3">
        <v>2.0</v>
      </c>
      <c r="J1550" s="3">
        <v>1.0</v>
      </c>
      <c r="K1550" s="3" t="s">
        <v>31</v>
      </c>
      <c r="L1550" s="4" t="s">
        <v>10626</v>
      </c>
      <c r="M1550" s="2" t="s">
        <v>10837</v>
      </c>
      <c r="N1550" s="2" t="s">
        <v>75</v>
      </c>
      <c r="O1550" s="4" t="s">
        <v>76</v>
      </c>
      <c r="P1550" s="2" t="s">
        <v>10628</v>
      </c>
      <c r="Q1550" s="2" t="s">
        <v>31</v>
      </c>
      <c r="R1550" s="2" t="s">
        <v>75</v>
      </c>
      <c r="S1550" s="4" t="s">
        <v>195</v>
      </c>
      <c r="T1550" s="2" t="s">
        <v>66</v>
      </c>
      <c r="U1550" s="4" t="s">
        <v>31</v>
      </c>
      <c r="V1550" s="2" t="s">
        <v>10838</v>
      </c>
      <c r="W1550" s="2" t="s">
        <v>10624</v>
      </c>
      <c r="X1550" s="5" t="str">
        <f>HYPERLINK("https://my.pitchbook.com?p=177768-28P","View People Online")</f>
        <v>View People Online</v>
      </c>
    </row>
    <row r="1551">
      <c r="A1551" s="14" t="s">
        <v>10839</v>
      </c>
      <c r="B1551" s="14" t="s">
        <v>10840</v>
      </c>
      <c r="C1551" s="14" t="s">
        <v>10841</v>
      </c>
      <c r="D1551" s="14" t="s">
        <v>10842</v>
      </c>
      <c r="E1551" s="14" t="s">
        <v>10624</v>
      </c>
      <c r="F1551" s="14" t="s">
        <v>10639</v>
      </c>
      <c r="G1551" s="14" t="s">
        <v>10843</v>
      </c>
      <c r="H1551" s="15" t="s">
        <v>31</v>
      </c>
      <c r="I1551" s="15">
        <v>1.0</v>
      </c>
      <c r="J1551" s="15">
        <v>1.0</v>
      </c>
      <c r="K1551" s="15" t="s">
        <v>31</v>
      </c>
      <c r="L1551" s="16" t="s">
        <v>10844</v>
      </c>
      <c r="M1551" s="14" t="s">
        <v>10845</v>
      </c>
      <c r="N1551" s="14" t="s">
        <v>3603</v>
      </c>
      <c r="O1551" s="16" t="s">
        <v>3604</v>
      </c>
      <c r="P1551" s="14" t="s">
        <v>10846</v>
      </c>
      <c r="Q1551" s="14" t="s">
        <v>10847</v>
      </c>
      <c r="R1551" s="14" t="s">
        <v>31</v>
      </c>
      <c r="S1551" s="16" t="s">
        <v>31</v>
      </c>
      <c r="T1551" s="14" t="s">
        <v>3603</v>
      </c>
      <c r="U1551" s="16" t="s">
        <v>31</v>
      </c>
      <c r="V1551" s="14" t="s">
        <v>10848</v>
      </c>
      <c r="W1551" s="14" t="s">
        <v>10624</v>
      </c>
      <c r="X1551" s="17" t="str">
        <f>HYPERLINK("https://my.pitchbook.com?p=160212-70P","View People Online")</f>
        <v>View People Online</v>
      </c>
    </row>
    <row r="1552">
      <c r="A1552" s="2" t="s">
        <v>10849</v>
      </c>
      <c r="B1552" s="2" t="s">
        <v>10850</v>
      </c>
      <c r="C1552" s="2" t="s">
        <v>54</v>
      </c>
      <c r="D1552" s="2" t="s">
        <v>10851</v>
      </c>
      <c r="E1552" s="2" t="s">
        <v>10624</v>
      </c>
      <c r="F1552" s="2" t="s">
        <v>2652</v>
      </c>
      <c r="G1552" s="2" t="s">
        <v>10852</v>
      </c>
      <c r="H1552" s="3" t="s">
        <v>31</v>
      </c>
      <c r="I1552" s="3">
        <v>1.0</v>
      </c>
      <c r="J1552" s="3">
        <v>1.0</v>
      </c>
      <c r="K1552" s="3" t="s">
        <v>31</v>
      </c>
      <c r="L1552" s="4" t="s">
        <v>10844</v>
      </c>
      <c r="M1552" s="2" t="s">
        <v>10853</v>
      </c>
      <c r="N1552" s="2" t="s">
        <v>332</v>
      </c>
      <c r="O1552" s="4" t="s">
        <v>10854</v>
      </c>
      <c r="P1552" s="2" t="s">
        <v>10855</v>
      </c>
      <c r="Q1552" s="2" t="s">
        <v>31</v>
      </c>
      <c r="R1552" s="2" t="s">
        <v>31</v>
      </c>
      <c r="S1552" s="4" t="s">
        <v>331</v>
      </c>
      <c r="T1552" s="2" t="s">
        <v>332</v>
      </c>
      <c r="U1552" s="4" t="s">
        <v>31</v>
      </c>
      <c r="V1552" s="2" t="s">
        <v>10856</v>
      </c>
      <c r="W1552" s="2" t="s">
        <v>10624</v>
      </c>
      <c r="X1552" s="5" t="str">
        <f>HYPERLINK("https://my.pitchbook.com?p=348384-97P","View People Online")</f>
        <v>View People Online</v>
      </c>
    </row>
    <row r="1553">
      <c r="A1553" s="14" t="s">
        <v>10857</v>
      </c>
      <c r="B1553" s="14" t="s">
        <v>10858</v>
      </c>
      <c r="C1553" s="14" t="s">
        <v>10859</v>
      </c>
      <c r="D1553" s="14" t="s">
        <v>10860</v>
      </c>
      <c r="E1553" s="14" t="s">
        <v>10624</v>
      </c>
      <c r="F1553" s="14" t="s">
        <v>825</v>
      </c>
      <c r="G1553" s="14" t="s">
        <v>10861</v>
      </c>
      <c r="H1553" s="15" t="s">
        <v>31</v>
      </c>
      <c r="I1553" s="15">
        <v>1.0</v>
      </c>
      <c r="J1553" s="15">
        <v>1.0</v>
      </c>
      <c r="K1553" s="15" t="s">
        <v>31</v>
      </c>
      <c r="L1553" s="16" t="s">
        <v>10626</v>
      </c>
      <c r="M1553" s="14" t="s">
        <v>10862</v>
      </c>
      <c r="N1553" s="14" t="s">
        <v>75</v>
      </c>
      <c r="O1553" s="16" t="s">
        <v>76</v>
      </c>
      <c r="P1553" s="14" t="s">
        <v>10628</v>
      </c>
      <c r="Q1553" s="14" t="s">
        <v>31</v>
      </c>
      <c r="R1553" s="14" t="s">
        <v>75</v>
      </c>
      <c r="S1553" s="16" t="s">
        <v>195</v>
      </c>
      <c r="T1553" s="14" t="s">
        <v>66</v>
      </c>
      <c r="U1553" s="16" t="s">
        <v>31</v>
      </c>
      <c r="V1553" s="14" t="s">
        <v>10863</v>
      </c>
      <c r="W1553" s="14" t="s">
        <v>10624</v>
      </c>
      <c r="X1553" s="17" t="str">
        <f>HYPERLINK("https://my.pitchbook.com?p=186829-84P","View People Online")</f>
        <v>View People Online</v>
      </c>
    </row>
    <row r="1554">
      <c r="A1554" s="10" t="s">
        <v>10864</v>
      </c>
      <c r="B1554" s="10" t="s">
        <v>10865</v>
      </c>
      <c r="C1554" s="10" t="s">
        <v>10866</v>
      </c>
      <c r="D1554" s="10" t="s">
        <v>10867</v>
      </c>
      <c r="E1554" s="10" t="s">
        <v>10624</v>
      </c>
      <c r="F1554" s="10" t="s">
        <v>548</v>
      </c>
      <c r="G1554" s="10" t="s">
        <v>10868</v>
      </c>
      <c r="H1554" s="11" t="s">
        <v>31</v>
      </c>
      <c r="I1554" s="11">
        <v>2.0</v>
      </c>
      <c r="J1554" s="11">
        <v>1.0</v>
      </c>
      <c r="K1554" s="11">
        <v>1.0</v>
      </c>
      <c r="L1554" s="12" t="s">
        <v>10869</v>
      </c>
      <c r="M1554" s="10" t="s">
        <v>10870</v>
      </c>
      <c r="N1554" s="10" t="s">
        <v>2754</v>
      </c>
      <c r="O1554" s="12" t="s">
        <v>2755</v>
      </c>
      <c r="P1554" s="10" t="s">
        <v>10871</v>
      </c>
      <c r="Q1554" s="10" t="s">
        <v>10872</v>
      </c>
      <c r="R1554" s="10" t="s">
        <v>31</v>
      </c>
      <c r="S1554" s="12" t="s">
        <v>10873</v>
      </c>
      <c r="T1554" s="10" t="s">
        <v>38</v>
      </c>
      <c r="U1554" s="12" t="s">
        <v>31</v>
      </c>
      <c r="V1554" s="10" t="s">
        <v>548</v>
      </c>
      <c r="W1554" s="10" t="s">
        <v>10624</v>
      </c>
      <c r="X1554" s="13" t="str">
        <f>HYPERLINK("https://my.pitchbook.com?p=412219-63P","View People Online")</f>
        <v>View People Online</v>
      </c>
    </row>
    <row r="1555">
      <c r="A1555" s="14" t="s">
        <v>10874</v>
      </c>
      <c r="B1555" s="14" t="s">
        <v>10875</v>
      </c>
      <c r="C1555" s="14" t="s">
        <v>4169</v>
      </c>
      <c r="D1555" s="14" t="s">
        <v>8466</v>
      </c>
      <c r="E1555" s="14" t="s">
        <v>10624</v>
      </c>
      <c r="F1555" s="14" t="s">
        <v>9692</v>
      </c>
      <c r="G1555" s="14" t="s">
        <v>10876</v>
      </c>
      <c r="H1555" s="15" t="s">
        <v>31</v>
      </c>
      <c r="I1555" s="15">
        <v>1.0</v>
      </c>
      <c r="J1555" s="15">
        <v>1.0</v>
      </c>
      <c r="K1555" s="15" t="s">
        <v>31</v>
      </c>
      <c r="L1555" s="16" t="s">
        <v>10626</v>
      </c>
      <c r="M1555" s="14" t="s">
        <v>10877</v>
      </c>
      <c r="N1555" s="14" t="s">
        <v>75</v>
      </c>
      <c r="O1555" s="16" t="s">
        <v>76</v>
      </c>
      <c r="P1555" s="14" t="s">
        <v>10628</v>
      </c>
      <c r="Q1555" s="14" t="s">
        <v>31</v>
      </c>
      <c r="R1555" s="14" t="s">
        <v>75</v>
      </c>
      <c r="S1555" s="16" t="s">
        <v>195</v>
      </c>
      <c r="T1555" s="14" t="s">
        <v>66</v>
      </c>
      <c r="U1555" s="16" t="s">
        <v>31</v>
      </c>
      <c r="V1555" s="14" t="s">
        <v>10878</v>
      </c>
      <c r="W1555" s="14" t="s">
        <v>10624</v>
      </c>
      <c r="X1555" s="17" t="str">
        <f>HYPERLINK("https://my.pitchbook.com?p=138868-57P","View People Online")</f>
        <v>View People Online</v>
      </c>
    </row>
    <row r="1556">
      <c r="A1556" s="10" t="s">
        <v>10879</v>
      </c>
      <c r="B1556" s="10" t="s">
        <v>10880</v>
      </c>
      <c r="C1556" s="10" t="s">
        <v>3779</v>
      </c>
      <c r="D1556" s="10" t="s">
        <v>5549</v>
      </c>
      <c r="E1556" s="10" t="s">
        <v>10624</v>
      </c>
      <c r="F1556" s="10" t="s">
        <v>825</v>
      </c>
      <c r="G1556" s="10" t="s">
        <v>10881</v>
      </c>
      <c r="H1556" s="11" t="s">
        <v>31</v>
      </c>
      <c r="I1556" s="11">
        <v>2.0</v>
      </c>
      <c r="J1556" s="11">
        <v>1.0</v>
      </c>
      <c r="K1556" s="11">
        <v>1.0</v>
      </c>
      <c r="L1556" s="12" t="s">
        <v>10626</v>
      </c>
      <c r="M1556" s="10" t="s">
        <v>10882</v>
      </c>
      <c r="N1556" s="10" t="s">
        <v>75</v>
      </c>
      <c r="O1556" s="12" t="s">
        <v>76</v>
      </c>
      <c r="P1556" s="10" t="s">
        <v>10628</v>
      </c>
      <c r="Q1556" s="10" t="s">
        <v>31</v>
      </c>
      <c r="R1556" s="10" t="s">
        <v>75</v>
      </c>
      <c r="S1556" s="12" t="s">
        <v>195</v>
      </c>
      <c r="T1556" s="10" t="s">
        <v>66</v>
      </c>
      <c r="U1556" s="12" t="s">
        <v>31</v>
      </c>
      <c r="V1556" s="10" t="s">
        <v>10883</v>
      </c>
      <c r="W1556" s="10" t="s">
        <v>10624</v>
      </c>
      <c r="X1556" s="13" t="str">
        <f>HYPERLINK("https://my.pitchbook.com?p=312707-26P","View People Online")</f>
        <v>View People Online</v>
      </c>
    </row>
    <row r="1557">
      <c r="A1557" s="6" t="s">
        <v>10884</v>
      </c>
      <c r="B1557" s="6" t="s">
        <v>10885</v>
      </c>
      <c r="C1557" s="6" t="s">
        <v>4858</v>
      </c>
      <c r="D1557" s="6" t="s">
        <v>10886</v>
      </c>
      <c r="E1557" s="6" t="s">
        <v>10624</v>
      </c>
      <c r="F1557" s="6" t="s">
        <v>2652</v>
      </c>
      <c r="G1557" s="6" t="s">
        <v>10887</v>
      </c>
      <c r="H1557" s="7">
        <v>1.0</v>
      </c>
      <c r="I1557" s="7">
        <v>2.0</v>
      </c>
      <c r="J1557" s="7">
        <v>1.0</v>
      </c>
      <c r="K1557" s="7" t="s">
        <v>31</v>
      </c>
      <c r="L1557" s="8" t="s">
        <v>10626</v>
      </c>
      <c r="M1557" s="6" t="s">
        <v>10888</v>
      </c>
      <c r="N1557" s="6" t="s">
        <v>75</v>
      </c>
      <c r="O1557" s="8" t="s">
        <v>76</v>
      </c>
      <c r="P1557" s="6" t="s">
        <v>10628</v>
      </c>
      <c r="Q1557" s="6" t="s">
        <v>31</v>
      </c>
      <c r="R1557" s="6" t="s">
        <v>75</v>
      </c>
      <c r="S1557" s="8" t="s">
        <v>195</v>
      </c>
      <c r="T1557" s="6" t="s">
        <v>66</v>
      </c>
      <c r="U1557" s="8" t="s">
        <v>31</v>
      </c>
      <c r="V1557" s="6" t="s">
        <v>10889</v>
      </c>
      <c r="W1557" s="6" t="s">
        <v>10624</v>
      </c>
      <c r="X1557" s="9" t="str">
        <f>HYPERLINK("https://my.pitchbook.com?p=41455-72P","View People Online")</f>
        <v>View People Online</v>
      </c>
    </row>
    <row r="1558">
      <c r="A1558" s="2" t="s">
        <v>10890</v>
      </c>
      <c r="B1558" s="2" t="s">
        <v>10891</v>
      </c>
      <c r="C1558" s="2" t="s">
        <v>1929</v>
      </c>
      <c r="D1558" s="2" t="s">
        <v>4944</v>
      </c>
      <c r="E1558" s="2" t="s">
        <v>10624</v>
      </c>
      <c r="F1558" s="2" t="s">
        <v>2652</v>
      </c>
      <c r="G1558" s="2" t="s">
        <v>10892</v>
      </c>
      <c r="H1558" s="3" t="s">
        <v>31</v>
      </c>
      <c r="I1558" s="3">
        <v>1.0</v>
      </c>
      <c r="J1558" s="3">
        <v>1.0</v>
      </c>
      <c r="K1558" s="3" t="s">
        <v>31</v>
      </c>
      <c r="L1558" s="4" t="s">
        <v>10626</v>
      </c>
      <c r="M1558" s="2" t="s">
        <v>10893</v>
      </c>
      <c r="N1558" s="2" t="s">
        <v>75</v>
      </c>
      <c r="O1558" s="4" t="s">
        <v>76</v>
      </c>
      <c r="P1558" s="2" t="s">
        <v>10628</v>
      </c>
      <c r="Q1558" s="2" t="s">
        <v>31</v>
      </c>
      <c r="R1558" s="2" t="s">
        <v>75</v>
      </c>
      <c r="S1558" s="4" t="s">
        <v>195</v>
      </c>
      <c r="T1558" s="2" t="s">
        <v>66</v>
      </c>
      <c r="U1558" s="4" t="s">
        <v>31</v>
      </c>
      <c r="V1558" s="2" t="s">
        <v>10894</v>
      </c>
      <c r="W1558" s="2" t="s">
        <v>10624</v>
      </c>
      <c r="X1558" s="5" t="str">
        <f>HYPERLINK("https://my.pitchbook.com?p=395222-32P","View People Online")</f>
        <v>View People Online</v>
      </c>
    </row>
    <row r="1559">
      <c r="A1559" s="14" t="s">
        <v>10895</v>
      </c>
      <c r="B1559" s="14" t="s">
        <v>10896</v>
      </c>
      <c r="C1559" s="14" t="s">
        <v>2707</v>
      </c>
      <c r="D1559" s="14" t="s">
        <v>10897</v>
      </c>
      <c r="E1559" s="14" t="s">
        <v>10624</v>
      </c>
      <c r="F1559" s="14" t="s">
        <v>470</v>
      </c>
      <c r="G1559" s="14" t="s">
        <v>10898</v>
      </c>
      <c r="H1559" s="15" t="s">
        <v>31</v>
      </c>
      <c r="I1559" s="15">
        <v>1.0</v>
      </c>
      <c r="J1559" s="15">
        <v>1.0</v>
      </c>
      <c r="K1559" s="15" t="s">
        <v>31</v>
      </c>
      <c r="L1559" s="16" t="s">
        <v>10899</v>
      </c>
      <c r="M1559" s="14" t="s">
        <v>10900</v>
      </c>
      <c r="N1559" s="14" t="s">
        <v>1181</v>
      </c>
      <c r="O1559" s="16" t="s">
        <v>1182</v>
      </c>
      <c r="P1559" s="14" t="s">
        <v>10901</v>
      </c>
      <c r="Q1559" s="14" t="s">
        <v>31</v>
      </c>
      <c r="R1559" s="14" t="s">
        <v>1185</v>
      </c>
      <c r="S1559" s="16" t="s">
        <v>10902</v>
      </c>
      <c r="T1559" s="14" t="s">
        <v>66</v>
      </c>
      <c r="U1559" s="16" t="s">
        <v>31</v>
      </c>
      <c r="V1559" s="14" t="s">
        <v>10903</v>
      </c>
      <c r="W1559" s="14" t="s">
        <v>10624</v>
      </c>
      <c r="X1559" s="17" t="str">
        <f>HYPERLINK("https://my.pitchbook.com?p=260013-34P","View People Online")</f>
        <v>View People Online</v>
      </c>
    </row>
    <row r="1560">
      <c r="A1560" s="2" t="s">
        <v>10904</v>
      </c>
      <c r="B1560" s="2" t="s">
        <v>10905</v>
      </c>
      <c r="C1560" s="2" t="s">
        <v>7267</v>
      </c>
      <c r="D1560" s="2" t="s">
        <v>10906</v>
      </c>
      <c r="E1560" s="2" t="s">
        <v>10624</v>
      </c>
      <c r="F1560" s="2" t="s">
        <v>548</v>
      </c>
      <c r="G1560" s="2" t="s">
        <v>10907</v>
      </c>
      <c r="H1560" s="3" t="s">
        <v>31</v>
      </c>
      <c r="I1560" s="3">
        <v>1.0</v>
      </c>
      <c r="J1560" s="3">
        <v>1.0</v>
      </c>
      <c r="K1560" s="3" t="s">
        <v>31</v>
      </c>
      <c r="L1560" s="4" t="s">
        <v>10626</v>
      </c>
      <c r="M1560" s="2" t="s">
        <v>10908</v>
      </c>
      <c r="N1560" s="2" t="s">
        <v>75</v>
      </c>
      <c r="O1560" s="4" t="s">
        <v>76</v>
      </c>
      <c r="P1560" s="2" t="s">
        <v>10628</v>
      </c>
      <c r="Q1560" s="2" t="s">
        <v>31</v>
      </c>
      <c r="R1560" s="2" t="s">
        <v>75</v>
      </c>
      <c r="S1560" s="4" t="s">
        <v>195</v>
      </c>
      <c r="T1560" s="2" t="s">
        <v>66</v>
      </c>
      <c r="U1560" s="4" t="s">
        <v>31</v>
      </c>
      <c r="V1560" s="2" t="s">
        <v>548</v>
      </c>
      <c r="W1560" s="2" t="s">
        <v>10624</v>
      </c>
      <c r="X1560" s="5" t="str">
        <f>HYPERLINK("https://my.pitchbook.com?p=92066-32P","View People Online")</f>
        <v>View People Online</v>
      </c>
    </row>
    <row r="1561">
      <c r="A1561" s="6" t="s">
        <v>10909</v>
      </c>
      <c r="B1561" s="6" t="s">
        <v>10910</v>
      </c>
      <c r="C1561" s="6" t="s">
        <v>7267</v>
      </c>
      <c r="D1561" s="6" t="s">
        <v>10911</v>
      </c>
      <c r="E1561" s="6" t="s">
        <v>10624</v>
      </c>
      <c r="F1561" s="6" t="s">
        <v>548</v>
      </c>
      <c r="G1561" s="6" t="s">
        <v>10912</v>
      </c>
      <c r="H1561" s="7" t="s">
        <v>31</v>
      </c>
      <c r="I1561" s="7">
        <v>1.0</v>
      </c>
      <c r="J1561" s="7">
        <v>1.0</v>
      </c>
      <c r="K1561" s="7" t="s">
        <v>31</v>
      </c>
      <c r="L1561" s="8" t="s">
        <v>10641</v>
      </c>
      <c r="M1561" s="6" t="s">
        <v>10913</v>
      </c>
      <c r="N1561" s="6" t="s">
        <v>243</v>
      </c>
      <c r="O1561" s="8" t="s">
        <v>244</v>
      </c>
      <c r="P1561" s="6" t="s">
        <v>10643</v>
      </c>
      <c r="Q1561" s="6" t="s">
        <v>10644</v>
      </c>
      <c r="R1561" s="6" t="s">
        <v>247</v>
      </c>
      <c r="S1561" s="8" t="s">
        <v>10645</v>
      </c>
      <c r="T1561" s="6" t="s">
        <v>249</v>
      </c>
      <c r="U1561" s="8" t="s">
        <v>31</v>
      </c>
      <c r="V1561" s="6" t="s">
        <v>548</v>
      </c>
      <c r="W1561" s="6" t="s">
        <v>10624</v>
      </c>
      <c r="X1561" s="9" t="str">
        <f>HYPERLINK("https://my.pitchbook.com?p=346022-20P","View People Online")</f>
        <v>View People Online</v>
      </c>
    </row>
    <row r="1562">
      <c r="A1562" s="10" t="s">
        <v>10914</v>
      </c>
      <c r="B1562" s="10" t="s">
        <v>10915</v>
      </c>
      <c r="C1562" s="10" t="s">
        <v>10916</v>
      </c>
      <c r="D1562" s="10" t="s">
        <v>10917</v>
      </c>
      <c r="E1562" s="10" t="s">
        <v>10624</v>
      </c>
      <c r="F1562" s="10" t="s">
        <v>2652</v>
      </c>
      <c r="G1562" s="10" t="s">
        <v>10918</v>
      </c>
      <c r="H1562" s="11" t="s">
        <v>31</v>
      </c>
      <c r="I1562" s="11">
        <v>4.0</v>
      </c>
      <c r="J1562" s="11">
        <v>1.0</v>
      </c>
      <c r="K1562" s="11">
        <v>3.0</v>
      </c>
      <c r="L1562" s="12" t="s">
        <v>10626</v>
      </c>
      <c r="M1562" s="10" t="s">
        <v>10919</v>
      </c>
      <c r="N1562" s="10" t="s">
        <v>75</v>
      </c>
      <c r="O1562" s="12" t="s">
        <v>76</v>
      </c>
      <c r="P1562" s="10" t="s">
        <v>10628</v>
      </c>
      <c r="Q1562" s="10" t="s">
        <v>31</v>
      </c>
      <c r="R1562" s="10" t="s">
        <v>75</v>
      </c>
      <c r="S1562" s="12" t="s">
        <v>195</v>
      </c>
      <c r="T1562" s="10" t="s">
        <v>66</v>
      </c>
      <c r="U1562" s="12" t="s">
        <v>31</v>
      </c>
      <c r="V1562" s="10" t="s">
        <v>10920</v>
      </c>
      <c r="W1562" s="10" t="s">
        <v>10624</v>
      </c>
      <c r="X1562" s="13" t="str">
        <f>HYPERLINK("https://my.pitchbook.com?p=42409-45P","View People Online")</f>
        <v>View People Online</v>
      </c>
    </row>
    <row r="1563">
      <c r="A1563" s="6" t="s">
        <v>10921</v>
      </c>
      <c r="B1563" s="6" t="s">
        <v>10922</v>
      </c>
      <c r="C1563" s="6" t="s">
        <v>10923</v>
      </c>
      <c r="D1563" s="6" t="s">
        <v>10924</v>
      </c>
      <c r="E1563" s="6" t="s">
        <v>10624</v>
      </c>
      <c r="F1563" s="6" t="s">
        <v>270</v>
      </c>
      <c r="G1563" s="6" t="s">
        <v>10925</v>
      </c>
      <c r="H1563" s="7" t="s">
        <v>31</v>
      </c>
      <c r="I1563" s="7">
        <v>1.0</v>
      </c>
      <c r="J1563" s="7">
        <v>1.0</v>
      </c>
      <c r="K1563" s="7" t="s">
        <v>31</v>
      </c>
      <c r="L1563" s="8" t="s">
        <v>10626</v>
      </c>
      <c r="M1563" s="6" t="s">
        <v>10926</v>
      </c>
      <c r="N1563" s="6" t="s">
        <v>75</v>
      </c>
      <c r="O1563" s="8" t="s">
        <v>76</v>
      </c>
      <c r="P1563" s="6" t="s">
        <v>10628</v>
      </c>
      <c r="Q1563" s="6" t="s">
        <v>31</v>
      </c>
      <c r="R1563" s="6" t="s">
        <v>75</v>
      </c>
      <c r="S1563" s="8" t="s">
        <v>195</v>
      </c>
      <c r="T1563" s="6" t="s">
        <v>66</v>
      </c>
      <c r="U1563" s="8" t="s">
        <v>31</v>
      </c>
      <c r="V1563" s="6" t="s">
        <v>440</v>
      </c>
      <c r="W1563" s="6" t="s">
        <v>10624</v>
      </c>
      <c r="X1563" s="9" t="str">
        <f>HYPERLINK("https://my.pitchbook.com?p=196065-28P","View People Online")</f>
        <v>View People Online</v>
      </c>
    </row>
    <row r="1564">
      <c r="A1564" s="10" t="s">
        <v>10927</v>
      </c>
      <c r="B1564" s="10" t="s">
        <v>10928</v>
      </c>
      <c r="C1564" s="10" t="s">
        <v>10929</v>
      </c>
      <c r="D1564" s="10" t="s">
        <v>10930</v>
      </c>
      <c r="E1564" s="10" t="s">
        <v>10624</v>
      </c>
      <c r="F1564" s="10" t="s">
        <v>548</v>
      </c>
      <c r="G1564" s="10" t="s">
        <v>10931</v>
      </c>
      <c r="H1564" s="11" t="s">
        <v>31</v>
      </c>
      <c r="I1564" s="11">
        <v>1.0</v>
      </c>
      <c r="J1564" s="11">
        <v>1.0</v>
      </c>
      <c r="K1564" s="11" t="s">
        <v>31</v>
      </c>
      <c r="L1564" s="12" t="s">
        <v>10626</v>
      </c>
      <c r="M1564" s="10" t="s">
        <v>10932</v>
      </c>
      <c r="N1564" s="10" t="s">
        <v>75</v>
      </c>
      <c r="O1564" s="12" t="s">
        <v>76</v>
      </c>
      <c r="P1564" s="10" t="s">
        <v>10628</v>
      </c>
      <c r="Q1564" s="10" t="s">
        <v>31</v>
      </c>
      <c r="R1564" s="10" t="s">
        <v>75</v>
      </c>
      <c r="S1564" s="12" t="s">
        <v>195</v>
      </c>
      <c r="T1564" s="10" t="s">
        <v>66</v>
      </c>
      <c r="U1564" s="12" t="s">
        <v>31</v>
      </c>
      <c r="V1564" s="10" t="s">
        <v>10933</v>
      </c>
      <c r="W1564" s="10" t="s">
        <v>10624</v>
      </c>
      <c r="X1564" s="13" t="str">
        <f>HYPERLINK("https://my.pitchbook.com?p=412038-91P","View People Online")</f>
        <v>View People Online</v>
      </c>
    </row>
    <row r="1565">
      <c r="A1565" s="6" t="s">
        <v>10934</v>
      </c>
      <c r="B1565" s="6" t="s">
        <v>10935</v>
      </c>
      <c r="C1565" s="6" t="s">
        <v>10936</v>
      </c>
      <c r="D1565" s="6" t="s">
        <v>10937</v>
      </c>
      <c r="E1565" s="6" t="s">
        <v>10624</v>
      </c>
      <c r="F1565" s="6" t="s">
        <v>1283</v>
      </c>
      <c r="G1565" s="6" t="s">
        <v>10938</v>
      </c>
      <c r="H1565" s="7" t="s">
        <v>31</v>
      </c>
      <c r="I1565" s="7">
        <v>3.0</v>
      </c>
      <c r="J1565" s="7">
        <v>3.0</v>
      </c>
      <c r="K1565" s="7" t="s">
        <v>31</v>
      </c>
      <c r="L1565" s="8" t="s">
        <v>10939</v>
      </c>
      <c r="M1565" s="6" t="s">
        <v>10940</v>
      </c>
      <c r="N1565" s="6" t="s">
        <v>75</v>
      </c>
      <c r="O1565" s="8" t="s">
        <v>76</v>
      </c>
      <c r="P1565" s="6" t="s">
        <v>10628</v>
      </c>
      <c r="Q1565" s="6" t="s">
        <v>31</v>
      </c>
      <c r="R1565" s="6" t="s">
        <v>75</v>
      </c>
      <c r="S1565" s="8" t="s">
        <v>195</v>
      </c>
      <c r="T1565" s="6" t="s">
        <v>66</v>
      </c>
      <c r="U1565" s="8" t="s">
        <v>31</v>
      </c>
      <c r="V1565" s="6" t="s">
        <v>1283</v>
      </c>
      <c r="W1565" s="6" t="s">
        <v>10624</v>
      </c>
      <c r="X1565" s="9" t="str">
        <f>HYPERLINK("https://my.pitchbook.com?p=72590-23P","View People Online")</f>
        <v>View People Online</v>
      </c>
    </row>
    <row r="1566">
      <c r="A1566" s="10" t="s">
        <v>10941</v>
      </c>
      <c r="B1566" s="10" t="s">
        <v>10942</v>
      </c>
      <c r="C1566" s="10" t="s">
        <v>3946</v>
      </c>
      <c r="D1566" s="10" t="s">
        <v>6004</v>
      </c>
      <c r="E1566" s="10" t="s">
        <v>10624</v>
      </c>
      <c r="F1566" s="10" t="s">
        <v>10943</v>
      </c>
      <c r="G1566" s="10" t="s">
        <v>10944</v>
      </c>
      <c r="H1566" s="11">
        <v>15.0</v>
      </c>
      <c r="I1566" s="11">
        <v>52.0</v>
      </c>
      <c r="J1566" s="11">
        <v>37.0</v>
      </c>
      <c r="K1566" s="11" t="s">
        <v>31</v>
      </c>
      <c r="L1566" s="12" t="s">
        <v>10945</v>
      </c>
      <c r="M1566" s="10" t="s">
        <v>31</v>
      </c>
      <c r="N1566" s="10" t="s">
        <v>10946</v>
      </c>
      <c r="O1566" s="12" t="s">
        <v>10947</v>
      </c>
      <c r="P1566" s="10" t="s">
        <v>10948</v>
      </c>
      <c r="Q1566" s="10" t="s">
        <v>31</v>
      </c>
      <c r="R1566" s="10" t="s">
        <v>75</v>
      </c>
      <c r="S1566" s="12" t="s">
        <v>10949</v>
      </c>
      <c r="T1566" s="10" t="s">
        <v>66</v>
      </c>
      <c r="U1566" s="12" t="s">
        <v>10950</v>
      </c>
      <c r="V1566" s="10" t="s">
        <v>10951</v>
      </c>
      <c r="W1566" s="10" t="s">
        <v>10952</v>
      </c>
      <c r="X1566" s="13" t="str">
        <f>HYPERLINK("https://my.pitchbook.com?p=14702-50P","View People Online")</f>
        <v>View People Online</v>
      </c>
    </row>
    <row r="1567">
      <c r="A1567" s="14" t="s">
        <v>10953</v>
      </c>
      <c r="B1567" s="14" t="s">
        <v>10954</v>
      </c>
      <c r="C1567" s="14" t="s">
        <v>3946</v>
      </c>
      <c r="D1567" s="14" t="s">
        <v>10955</v>
      </c>
      <c r="E1567" s="14" t="s">
        <v>10624</v>
      </c>
      <c r="F1567" s="14" t="s">
        <v>4931</v>
      </c>
      <c r="G1567" s="14" t="s">
        <v>10956</v>
      </c>
      <c r="H1567" s="15" t="s">
        <v>31</v>
      </c>
      <c r="I1567" s="15">
        <v>1.0</v>
      </c>
      <c r="J1567" s="15">
        <v>1.0</v>
      </c>
      <c r="K1567" s="15" t="s">
        <v>31</v>
      </c>
      <c r="L1567" s="16" t="s">
        <v>10641</v>
      </c>
      <c r="M1567" s="14" t="s">
        <v>10957</v>
      </c>
      <c r="N1567" s="14" t="s">
        <v>243</v>
      </c>
      <c r="O1567" s="16" t="s">
        <v>244</v>
      </c>
      <c r="P1567" s="14" t="s">
        <v>10643</v>
      </c>
      <c r="Q1567" s="14" t="s">
        <v>10644</v>
      </c>
      <c r="R1567" s="14" t="s">
        <v>247</v>
      </c>
      <c r="S1567" s="16" t="s">
        <v>10645</v>
      </c>
      <c r="T1567" s="14" t="s">
        <v>249</v>
      </c>
      <c r="U1567" s="16" t="s">
        <v>31</v>
      </c>
      <c r="V1567" s="14" t="s">
        <v>10958</v>
      </c>
      <c r="W1567" s="14" t="s">
        <v>10624</v>
      </c>
      <c r="X1567" s="17" t="str">
        <f>HYPERLINK("https://my.pitchbook.com?p=415480-33P","View People Online")</f>
        <v>View People Online</v>
      </c>
    </row>
    <row r="1568">
      <c r="A1568" s="2" t="s">
        <v>10959</v>
      </c>
      <c r="B1568" s="2" t="s">
        <v>10960</v>
      </c>
      <c r="C1568" s="2" t="s">
        <v>10961</v>
      </c>
      <c r="D1568" s="2" t="s">
        <v>3744</v>
      </c>
      <c r="E1568" s="2" t="s">
        <v>10624</v>
      </c>
      <c r="F1568" s="2" t="s">
        <v>2652</v>
      </c>
      <c r="G1568" s="2" t="s">
        <v>10962</v>
      </c>
      <c r="H1568" s="3" t="s">
        <v>31</v>
      </c>
      <c r="I1568" s="3">
        <v>3.0</v>
      </c>
      <c r="J1568" s="3">
        <v>2.0</v>
      </c>
      <c r="K1568" s="3">
        <v>1.0</v>
      </c>
      <c r="L1568" s="4" t="s">
        <v>10626</v>
      </c>
      <c r="M1568" s="2" t="s">
        <v>10963</v>
      </c>
      <c r="N1568" s="2" t="s">
        <v>75</v>
      </c>
      <c r="O1568" s="4" t="s">
        <v>76</v>
      </c>
      <c r="P1568" s="2" t="s">
        <v>10628</v>
      </c>
      <c r="Q1568" s="2" t="s">
        <v>31</v>
      </c>
      <c r="R1568" s="2" t="s">
        <v>75</v>
      </c>
      <c r="S1568" s="4" t="s">
        <v>195</v>
      </c>
      <c r="T1568" s="2" t="s">
        <v>66</v>
      </c>
      <c r="U1568" s="4" t="s">
        <v>31</v>
      </c>
      <c r="V1568" s="2" t="s">
        <v>10964</v>
      </c>
      <c r="W1568" s="2" t="s">
        <v>10624</v>
      </c>
      <c r="X1568" s="5" t="str">
        <f>HYPERLINK("https://my.pitchbook.com?p=189192-43P","View People Online")</f>
        <v>View People Online</v>
      </c>
    </row>
    <row r="1569">
      <c r="A1569" s="14" t="s">
        <v>10965</v>
      </c>
      <c r="B1569" s="14" t="s">
        <v>10966</v>
      </c>
      <c r="C1569" s="14" t="s">
        <v>1426</v>
      </c>
      <c r="D1569" s="14" t="s">
        <v>10967</v>
      </c>
      <c r="E1569" s="14" t="s">
        <v>10624</v>
      </c>
      <c r="F1569" s="14" t="s">
        <v>2652</v>
      </c>
      <c r="G1569" s="14" t="s">
        <v>10968</v>
      </c>
      <c r="H1569" s="15" t="s">
        <v>31</v>
      </c>
      <c r="I1569" s="15">
        <v>1.0</v>
      </c>
      <c r="J1569" s="15">
        <v>1.0</v>
      </c>
      <c r="K1569" s="15" t="s">
        <v>31</v>
      </c>
      <c r="L1569" s="16" t="s">
        <v>10641</v>
      </c>
      <c r="M1569" s="14" t="s">
        <v>10969</v>
      </c>
      <c r="N1569" s="14" t="s">
        <v>243</v>
      </c>
      <c r="O1569" s="16" t="s">
        <v>244</v>
      </c>
      <c r="P1569" s="14" t="s">
        <v>10643</v>
      </c>
      <c r="Q1569" s="14" t="s">
        <v>10644</v>
      </c>
      <c r="R1569" s="14" t="s">
        <v>247</v>
      </c>
      <c r="S1569" s="16" t="s">
        <v>10645</v>
      </c>
      <c r="T1569" s="14" t="s">
        <v>249</v>
      </c>
      <c r="U1569" s="16" t="s">
        <v>31</v>
      </c>
      <c r="V1569" s="14" t="s">
        <v>10970</v>
      </c>
      <c r="W1569" s="14" t="s">
        <v>10624</v>
      </c>
      <c r="X1569" s="17" t="str">
        <f>HYPERLINK("https://my.pitchbook.com?p=138870-10P","View People Online")</f>
        <v>View People Online</v>
      </c>
    </row>
    <row r="1570">
      <c r="A1570" s="2" t="s">
        <v>10971</v>
      </c>
      <c r="B1570" s="2" t="s">
        <v>10972</v>
      </c>
      <c r="C1570" s="2" t="s">
        <v>10973</v>
      </c>
      <c r="D1570" s="2" t="s">
        <v>10974</v>
      </c>
      <c r="E1570" s="2" t="s">
        <v>10624</v>
      </c>
      <c r="F1570" s="2" t="s">
        <v>10762</v>
      </c>
      <c r="G1570" s="2" t="s">
        <v>10975</v>
      </c>
      <c r="H1570" s="3" t="s">
        <v>31</v>
      </c>
      <c r="I1570" s="3">
        <v>1.0</v>
      </c>
      <c r="J1570" s="3">
        <v>1.0</v>
      </c>
      <c r="K1570" s="3" t="s">
        <v>31</v>
      </c>
      <c r="L1570" s="4" t="s">
        <v>10626</v>
      </c>
      <c r="M1570" s="2" t="s">
        <v>10976</v>
      </c>
      <c r="N1570" s="2" t="s">
        <v>75</v>
      </c>
      <c r="O1570" s="4" t="s">
        <v>76</v>
      </c>
      <c r="P1570" s="2" t="s">
        <v>10628</v>
      </c>
      <c r="Q1570" s="2" t="s">
        <v>31</v>
      </c>
      <c r="R1570" s="2" t="s">
        <v>75</v>
      </c>
      <c r="S1570" s="4" t="s">
        <v>195</v>
      </c>
      <c r="T1570" s="2" t="s">
        <v>66</v>
      </c>
      <c r="U1570" s="4" t="s">
        <v>31</v>
      </c>
      <c r="V1570" s="2" t="s">
        <v>10762</v>
      </c>
      <c r="W1570" s="2" t="s">
        <v>10624</v>
      </c>
      <c r="X1570" s="5" t="str">
        <f>HYPERLINK("https://my.pitchbook.com?p=133205-86P","View People Online")</f>
        <v>View People Online</v>
      </c>
    </row>
    <row r="1571">
      <c r="A1571" s="6" t="s">
        <v>10977</v>
      </c>
      <c r="B1571" s="6" t="s">
        <v>10978</v>
      </c>
      <c r="C1571" s="6" t="s">
        <v>10401</v>
      </c>
      <c r="D1571" s="6" t="s">
        <v>1672</v>
      </c>
      <c r="E1571" s="6" t="s">
        <v>10624</v>
      </c>
      <c r="F1571" s="6" t="s">
        <v>1283</v>
      </c>
      <c r="G1571" s="6" t="s">
        <v>10979</v>
      </c>
      <c r="H1571" s="7" t="s">
        <v>31</v>
      </c>
      <c r="I1571" s="7">
        <v>8.0</v>
      </c>
      <c r="J1571" s="7">
        <v>1.0</v>
      </c>
      <c r="K1571" s="7">
        <v>6.0</v>
      </c>
      <c r="L1571" s="8" t="s">
        <v>10626</v>
      </c>
      <c r="M1571" s="6" t="s">
        <v>10980</v>
      </c>
      <c r="N1571" s="6" t="s">
        <v>75</v>
      </c>
      <c r="O1571" s="8" t="s">
        <v>76</v>
      </c>
      <c r="P1571" s="6" t="s">
        <v>10628</v>
      </c>
      <c r="Q1571" s="6" t="s">
        <v>31</v>
      </c>
      <c r="R1571" s="6" t="s">
        <v>75</v>
      </c>
      <c r="S1571" s="8" t="s">
        <v>195</v>
      </c>
      <c r="T1571" s="6" t="s">
        <v>66</v>
      </c>
      <c r="U1571" s="8" t="s">
        <v>31</v>
      </c>
      <c r="V1571" s="6" t="s">
        <v>1283</v>
      </c>
      <c r="W1571" s="6" t="s">
        <v>10624</v>
      </c>
      <c r="X1571" s="9" t="str">
        <f>HYPERLINK("https://my.pitchbook.com?p=242668-90P","View People Online")</f>
        <v>View People Online</v>
      </c>
    </row>
    <row r="1572">
      <c r="A1572" s="2" t="s">
        <v>10981</v>
      </c>
      <c r="B1572" s="2" t="s">
        <v>10982</v>
      </c>
      <c r="C1572" s="2" t="s">
        <v>10983</v>
      </c>
      <c r="D1572" s="2" t="s">
        <v>10984</v>
      </c>
      <c r="E1572" s="2" t="s">
        <v>10624</v>
      </c>
      <c r="F1572" s="2" t="s">
        <v>825</v>
      </c>
      <c r="G1572" s="2" t="s">
        <v>10985</v>
      </c>
      <c r="H1572" s="3" t="s">
        <v>31</v>
      </c>
      <c r="I1572" s="3">
        <v>1.0</v>
      </c>
      <c r="J1572" s="3">
        <v>1.0</v>
      </c>
      <c r="K1572" s="3" t="s">
        <v>31</v>
      </c>
      <c r="L1572" s="4" t="s">
        <v>10626</v>
      </c>
      <c r="M1572" s="2" t="s">
        <v>10986</v>
      </c>
      <c r="N1572" s="2" t="s">
        <v>75</v>
      </c>
      <c r="O1572" s="4" t="s">
        <v>76</v>
      </c>
      <c r="P1572" s="2" t="s">
        <v>10628</v>
      </c>
      <c r="Q1572" s="2" t="s">
        <v>31</v>
      </c>
      <c r="R1572" s="2" t="s">
        <v>75</v>
      </c>
      <c r="S1572" s="4" t="s">
        <v>195</v>
      </c>
      <c r="T1572" s="2" t="s">
        <v>66</v>
      </c>
      <c r="U1572" s="4" t="s">
        <v>31</v>
      </c>
      <c r="V1572" s="2" t="s">
        <v>10987</v>
      </c>
      <c r="W1572" s="2" t="s">
        <v>10624</v>
      </c>
      <c r="X1572" s="5" t="str">
        <f>HYPERLINK("https://my.pitchbook.com?p=417522-25P","View People Online")</f>
        <v>View People Online</v>
      </c>
    </row>
    <row r="1573">
      <c r="A1573" s="14" t="s">
        <v>10988</v>
      </c>
      <c r="B1573" s="14" t="s">
        <v>10989</v>
      </c>
      <c r="C1573" s="14" t="s">
        <v>1437</v>
      </c>
      <c r="D1573" s="14" t="s">
        <v>10990</v>
      </c>
      <c r="E1573" s="14" t="s">
        <v>10624</v>
      </c>
      <c r="F1573" s="14" t="s">
        <v>4931</v>
      </c>
      <c r="G1573" s="14" t="s">
        <v>10991</v>
      </c>
      <c r="H1573" s="15" t="s">
        <v>31</v>
      </c>
      <c r="I1573" s="15">
        <v>1.0</v>
      </c>
      <c r="J1573" s="15">
        <v>1.0</v>
      </c>
      <c r="K1573" s="15" t="s">
        <v>31</v>
      </c>
      <c r="L1573" s="16" t="s">
        <v>10641</v>
      </c>
      <c r="M1573" s="14" t="s">
        <v>10992</v>
      </c>
      <c r="N1573" s="14" t="s">
        <v>243</v>
      </c>
      <c r="O1573" s="16" t="s">
        <v>244</v>
      </c>
      <c r="P1573" s="14" t="s">
        <v>10643</v>
      </c>
      <c r="Q1573" s="14" t="s">
        <v>10644</v>
      </c>
      <c r="R1573" s="14" t="s">
        <v>247</v>
      </c>
      <c r="S1573" s="16" t="s">
        <v>10645</v>
      </c>
      <c r="T1573" s="14" t="s">
        <v>249</v>
      </c>
      <c r="U1573" s="16" t="s">
        <v>31</v>
      </c>
      <c r="V1573" s="14" t="s">
        <v>10993</v>
      </c>
      <c r="W1573" s="14" t="s">
        <v>10624</v>
      </c>
      <c r="X1573" s="17" t="str">
        <f>HYPERLINK("https://my.pitchbook.com?p=86764-33P","View People Online")</f>
        <v>View People Online</v>
      </c>
    </row>
    <row r="1574">
      <c r="A1574" s="2" t="s">
        <v>10994</v>
      </c>
      <c r="B1574" s="2" t="s">
        <v>10995</v>
      </c>
      <c r="C1574" s="2" t="s">
        <v>263</v>
      </c>
      <c r="D1574" s="2" t="s">
        <v>10996</v>
      </c>
      <c r="E1574" s="2" t="s">
        <v>10624</v>
      </c>
      <c r="F1574" s="2" t="s">
        <v>10997</v>
      </c>
      <c r="G1574" s="2" t="s">
        <v>10998</v>
      </c>
      <c r="H1574" s="3">
        <v>3.0</v>
      </c>
      <c r="I1574" s="3">
        <v>5.0</v>
      </c>
      <c r="J1574" s="3">
        <v>1.0</v>
      </c>
      <c r="K1574" s="3">
        <v>1.0</v>
      </c>
      <c r="L1574" s="4" t="s">
        <v>10626</v>
      </c>
      <c r="M1574" s="2" t="s">
        <v>10999</v>
      </c>
      <c r="N1574" s="2" t="s">
        <v>75</v>
      </c>
      <c r="O1574" s="4" t="s">
        <v>76</v>
      </c>
      <c r="P1574" s="2" t="s">
        <v>10628</v>
      </c>
      <c r="Q1574" s="2" t="s">
        <v>31</v>
      </c>
      <c r="R1574" s="2" t="s">
        <v>75</v>
      </c>
      <c r="S1574" s="4" t="s">
        <v>195</v>
      </c>
      <c r="T1574" s="2" t="s">
        <v>66</v>
      </c>
      <c r="U1574" s="4" t="s">
        <v>31</v>
      </c>
      <c r="V1574" s="2" t="s">
        <v>11000</v>
      </c>
      <c r="W1574" s="2" t="s">
        <v>10624</v>
      </c>
      <c r="X1574" s="5" t="str">
        <f>HYPERLINK("https://my.pitchbook.com?p=56170-54P","View People Online")</f>
        <v>View People Online</v>
      </c>
    </row>
    <row r="1575">
      <c r="A1575" s="6" t="s">
        <v>11001</v>
      </c>
      <c r="B1575" s="6" t="s">
        <v>11002</v>
      </c>
      <c r="C1575" s="6" t="s">
        <v>285</v>
      </c>
      <c r="D1575" s="6" t="s">
        <v>11003</v>
      </c>
      <c r="E1575" s="6" t="s">
        <v>10624</v>
      </c>
      <c r="F1575" s="6" t="s">
        <v>548</v>
      </c>
      <c r="G1575" s="6" t="s">
        <v>11004</v>
      </c>
      <c r="H1575" s="7" t="s">
        <v>31</v>
      </c>
      <c r="I1575" s="7">
        <v>1.0</v>
      </c>
      <c r="J1575" s="7">
        <v>1.0</v>
      </c>
      <c r="K1575" s="7" t="s">
        <v>31</v>
      </c>
      <c r="L1575" s="8" t="s">
        <v>10899</v>
      </c>
      <c r="M1575" s="6" t="s">
        <v>11005</v>
      </c>
      <c r="N1575" s="6" t="s">
        <v>1181</v>
      </c>
      <c r="O1575" s="8" t="s">
        <v>1182</v>
      </c>
      <c r="P1575" s="6" t="s">
        <v>10901</v>
      </c>
      <c r="Q1575" s="6" t="s">
        <v>31</v>
      </c>
      <c r="R1575" s="6" t="s">
        <v>1185</v>
      </c>
      <c r="S1575" s="8" t="s">
        <v>10902</v>
      </c>
      <c r="T1575" s="6" t="s">
        <v>66</v>
      </c>
      <c r="U1575" s="8" t="s">
        <v>31</v>
      </c>
      <c r="V1575" s="6" t="s">
        <v>11006</v>
      </c>
      <c r="W1575" s="6" t="s">
        <v>10624</v>
      </c>
      <c r="X1575" s="9" t="str">
        <f>HYPERLINK("https://my.pitchbook.com?p=122940-82P","View People Online")</f>
        <v>View People Online</v>
      </c>
    </row>
    <row r="1576">
      <c r="A1576" s="2" t="s">
        <v>11007</v>
      </c>
      <c r="B1576" s="2" t="s">
        <v>11008</v>
      </c>
      <c r="C1576" s="2" t="s">
        <v>285</v>
      </c>
      <c r="D1576" s="2" t="s">
        <v>1147</v>
      </c>
      <c r="E1576" s="2" t="s">
        <v>10624</v>
      </c>
      <c r="F1576" s="2" t="s">
        <v>1283</v>
      </c>
      <c r="G1576" s="2" t="s">
        <v>11009</v>
      </c>
      <c r="H1576" s="3" t="s">
        <v>31</v>
      </c>
      <c r="I1576" s="3">
        <v>1.0</v>
      </c>
      <c r="J1576" s="3">
        <v>1.0</v>
      </c>
      <c r="K1576" s="3" t="s">
        <v>31</v>
      </c>
      <c r="L1576" s="4" t="s">
        <v>11010</v>
      </c>
      <c r="M1576" s="2" t="s">
        <v>31</v>
      </c>
      <c r="N1576" s="2" t="s">
        <v>75</v>
      </c>
      <c r="O1576" s="4" t="s">
        <v>76</v>
      </c>
      <c r="P1576" s="2" t="s">
        <v>10628</v>
      </c>
      <c r="Q1576" s="2" t="s">
        <v>31</v>
      </c>
      <c r="R1576" s="2" t="s">
        <v>75</v>
      </c>
      <c r="S1576" s="4" t="s">
        <v>195</v>
      </c>
      <c r="T1576" s="2" t="s">
        <v>66</v>
      </c>
      <c r="U1576" s="4" t="s">
        <v>31</v>
      </c>
      <c r="V1576" s="2" t="s">
        <v>1283</v>
      </c>
      <c r="W1576" s="2" t="s">
        <v>10624</v>
      </c>
      <c r="X1576" s="5" t="str">
        <f>HYPERLINK("https://my.pitchbook.com?p=34993-27P","View People Online")</f>
        <v>View People Online</v>
      </c>
    </row>
    <row r="1577">
      <c r="A1577" s="14" t="s">
        <v>11011</v>
      </c>
      <c r="B1577" s="14" t="s">
        <v>11012</v>
      </c>
      <c r="C1577" s="14" t="s">
        <v>285</v>
      </c>
      <c r="D1577" s="14" t="s">
        <v>8466</v>
      </c>
      <c r="E1577" s="14" t="s">
        <v>10624</v>
      </c>
      <c r="F1577" s="14" t="s">
        <v>1283</v>
      </c>
      <c r="G1577" s="14" t="s">
        <v>11013</v>
      </c>
      <c r="H1577" s="15" t="s">
        <v>31</v>
      </c>
      <c r="I1577" s="15">
        <v>1.0</v>
      </c>
      <c r="J1577" s="15">
        <v>1.0</v>
      </c>
      <c r="K1577" s="15" t="s">
        <v>31</v>
      </c>
      <c r="L1577" s="16" t="s">
        <v>10626</v>
      </c>
      <c r="M1577" s="14" t="s">
        <v>11014</v>
      </c>
      <c r="N1577" s="14" t="s">
        <v>75</v>
      </c>
      <c r="O1577" s="16" t="s">
        <v>76</v>
      </c>
      <c r="P1577" s="14" t="s">
        <v>10628</v>
      </c>
      <c r="Q1577" s="14" t="s">
        <v>31</v>
      </c>
      <c r="R1577" s="14" t="s">
        <v>75</v>
      </c>
      <c r="S1577" s="16" t="s">
        <v>195</v>
      </c>
      <c r="T1577" s="14" t="s">
        <v>66</v>
      </c>
      <c r="U1577" s="16" t="s">
        <v>31</v>
      </c>
      <c r="V1577" s="14" t="s">
        <v>1283</v>
      </c>
      <c r="W1577" s="14" t="s">
        <v>10624</v>
      </c>
      <c r="X1577" s="17" t="str">
        <f>HYPERLINK("https://my.pitchbook.com?p=92338-93P","View People Online")</f>
        <v>View People Online</v>
      </c>
    </row>
    <row r="1578">
      <c r="A1578" s="2" t="s">
        <v>11015</v>
      </c>
      <c r="B1578" s="2" t="s">
        <v>11016</v>
      </c>
      <c r="C1578" s="2" t="s">
        <v>285</v>
      </c>
      <c r="D1578" s="2" t="s">
        <v>11017</v>
      </c>
      <c r="E1578" s="2" t="s">
        <v>10624</v>
      </c>
      <c r="F1578" s="2" t="s">
        <v>7268</v>
      </c>
      <c r="G1578" s="2" t="s">
        <v>11018</v>
      </c>
      <c r="H1578" s="3" t="s">
        <v>31</v>
      </c>
      <c r="I1578" s="3">
        <v>1.0</v>
      </c>
      <c r="J1578" s="3">
        <v>1.0</v>
      </c>
      <c r="K1578" s="3" t="s">
        <v>31</v>
      </c>
      <c r="L1578" s="4" t="s">
        <v>11019</v>
      </c>
      <c r="M1578" s="2" t="s">
        <v>11020</v>
      </c>
      <c r="N1578" s="2" t="s">
        <v>794</v>
      </c>
      <c r="O1578" s="4" t="s">
        <v>795</v>
      </c>
      <c r="P1578" s="2" t="s">
        <v>11021</v>
      </c>
      <c r="Q1578" s="2" t="s">
        <v>3920</v>
      </c>
      <c r="R1578" s="2" t="s">
        <v>31</v>
      </c>
      <c r="S1578" s="4" t="s">
        <v>11022</v>
      </c>
      <c r="T1578" s="2" t="s">
        <v>796</v>
      </c>
      <c r="U1578" s="4" t="s">
        <v>31</v>
      </c>
      <c r="V1578" s="2" t="s">
        <v>11023</v>
      </c>
      <c r="W1578" s="2" t="s">
        <v>10624</v>
      </c>
      <c r="X1578" s="5" t="str">
        <f>HYPERLINK("https://my.pitchbook.com?p=165544-75P","View People Online")</f>
        <v>View People Online</v>
      </c>
    </row>
    <row r="1579">
      <c r="A1579" s="6" t="s">
        <v>11024</v>
      </c>
      <c r="B1579" s="6" t="s">
        <v>11025</v>
      </c>
      <c r="C1579" s="6" t="s">
        <v>285</v>
      </c>
      <c r="D1579" s="6" t="s">
        <v>7578</v>
      </c>
      <c r="E1579" s="6" t="s">
        <v>10624</v>
      </c>
      <c r="F1579" s="6" t="s">
        <v>548</v>
      </c>
      <c r="G1579" s="6" t="s">
        <v>11026</v>
      </c>
      <c r="H1579" s="7" t="s">
        <v>31</v>
      </c>
      <c r="I1579" s="7">
        <v>2.0</v>
      </c>
      <c r="J1579" s="7">
        <v>1.0</v>
      </c>
      <c r="K1579" s="7">
        <v>1.0</v>
      </c>
      <c r="L1579" s="8" t="s">
        <v>11027</v>
      </c>
      <c r="M1579" s="6" t="s">
        <v>11028</v>
      </c>
      <c r="N1579" s="6" t="s">
        <v>11029</v>
      </c>
      <c r="O1579" s="8" t="s">
        <v>11030</v>
      </c>
      <c r="P1579" s="6" t="s">
        <v>11031</v>
      </c>
      <c r="Q1579" s="6" t="s">
        <v>11032</v>
      </c>
      <c r="R1579" s="6" t="s">
        <v>10017</v>
      </c>
      <c r="S1579" s="8" t="s">
        <v>11033</v>
      </c>
      <c r="T1579" s="6" t="s">
        <v>66</v>
      </c>
      <c r="U1579" s="8" t="s">
        <v>31</v>
      </c>
      <c r="V1579" s="6" t="s">
        <v>548</v>
      </c>
      <c r="W1579" s="6" t="s">
        <v>10624</v>
      </c>
      <c r="X1579" s="9" t="str">
        <f>HYPERLINK("https://my.pitchbook.com?p=28873-72P","View People Online")</f>
        <v>View People Online</v>
      </c>
    </row>
    <row r="1580">
      <c r="A1580" s="2" t="s">
        <v>11034</v>
      </c>
      <c r="B1580" s="2" t="s">
        <v>11035</v>
      </c>
      <c r="C1580" s="2" t="s">
        <v>285</v>
      </c>
      <c r="D1580" s="2" t="s">
        <v>11036</v>
      </c>
      <c r="E1580" s="2" t="s">
        <v>10624</v>
      </c>
      <c r="F1580" s="2" t="s">
        <v>1283</v>
      </c>
      <c r="G1580" s="2" t="s">
        <v>11037</v>
      </c>
      <c r="H1580" s="3" t="s">
        <v>31</v>
      </c>
      <c r="I1580" s="3">
        <v>1.0</v>
      </c>
      <c r="J1580" s="3">
        <v>1.0</v>
      </c>
      <c r="K1580" s="3" t="s">
        <v>31</v>
      </c>
      <c r="L1580" s="4" t="s">
        <v>10626</v>
      </c>
      <c r="M1580" s="2" t="s">
        <v>11038</v>
      </c>
      <c r="N1580" s="2" t="s">
        <v>75</v>
      </c>
      <c r="O1580" s="4" t="s">
        <v>76</v>
      </c>
      <c r="P1580" s="2" t="s">
        <v>10628</v>
      </c>
      <c r="Q1580" s="2" t="s">
        <v>31</v>
      </c>
      <c r="R1580" s="2" t="s">
        <v>75</v>
      </c>
      <c r="S1580" s="4" t="s">
        <v>195</v>
      </c>
      <c r="T1580" s="2" t="s">
        <v>66</v>
      </c>
      <c r="U1580" s="4" t="s">
        <v>31</v>
      </c>
      <c r="V1580" s="2" t="s">
        <v>1283</v>
      </c>
      <c r="W1580" s="2" t="s">
        <v>10624</v>
      </c>
      <c r="X1580" s="5" t="str">
        <f>HYPERLINK("https://my.pitchbook.com?p=395309-08P","View People Online")</f>
        <v>View People Online</v>
      </c>
    </row>
    <row r="1581">
      <c r="A1581" s="6" t="s">
        <v>11039</v>
      </c>
      <c r="B1581" s="6" t="s">
        <v>11040</v>
      </c>
      <c r="C1581" s="6" t="s">
        <v>11041</v>
      </c>
      <c r="D1581" s="6" t="s">
        <v>11042</v>
      </c>
      <c r="E1581" s="6" t="s">
        <v>10624</v>
      </c>
      <c r="F1581" s="6" t="s">
        <v>2652</v>
      </c>
      <c r="G1581" s="6" t="s">
        <v>11043</v>
      </c>
      <c r="H1581" s="7">
        <v>1.0</v>
      </c>
      <c r="I1581" s="7">
        <v>44.0</v>
      </c>
      <c r="J1581" s="7">
        <v>1.0</v>
      </c>
      <c r="K1581" s="7">
        <v>40.0</v>
      </c>
      <c r="L1581" s="8" t="s">
        <v>11044</v>
      </c>
      <c r="M1581" s="6" t="s">
        <v>11045</v>
      </c>
      <c r="N1581" s="6" t="s">
        <v>11046</v>
      </c>
      <c r="O1581" s="8" t="s">
        <v>11047</v>
      </c>
      <c r="P1581" s="6" t="s">
        <v>11048</v>
      </c>
      <c r="Q1581" s="6" t="s">
        <v>31</v>
      </c>
      <c r="R1581" s="6" t="s">
        <v>396</v>
      </c>
      <c r="S1581" s="8" t="s">
        <v>11049</v>
      </c>
      <c r="T1581" s="6" t="s">
        <v>66</v>
      </c>
      <c r="U1581" s="8" t="s">
        <v>11050</v>
      </c>
      <c r="V1581" s="6" t="s">
        <v>470</v>
      </c>
      <c r="W1581" s="6" t="s">
        <v>11051</v>
      </c>
      <c r="X1581" s="9" t="str">
        <f>HYPERLINK("https://my.pitchbook.com?p=14040-37P","View People Online")</f>
        <v>View People Online</v>
      </c>
    </row>
    <row r="1582">
      <c r="A1582" s="2" t="s">
        <v>11052</v>
      </c>
      <c r="B1582" s="2" t="s">
        <v>11053</v>
      </c>
      <c r="C1582" s="2" t="s">
        <v>11054</v>
      </c>
      <c r="D1582" s="2" t="s">
        <v>11055</v>
      </c>
      <c r="E1582" s="2" t="s">
        <v>10624</v>
      </c>
      <c r="F1582" s="2" t="s">
        <v>2652</v>
      </c>
      <c r="G1582" s="2" t="s">
        <v>11056</v>
      </c>
      <c r="H1582" s="3" t="s">
        <v>31</v>
      </c>
      <c r="I1582" s="3">
        <v>1.0</v>
      </c>
      <c r="J1582" s="3">
        <v>1.0</v>
      </c>
      <c r="K1582" s="3" t="s">
        <v>31</v>
      </c>
      <c r="L1582" s="4" t="s">
        <v>10626</v>
      </c>
      <c r="M1582" s="2" t="s">
        <v>11057</v>
      </c>
      <c r="N1582" s="2" t="s">
        <v>75</v>
      </c>
      <c r="O1582" s="4" t="s">
        <v>76</v>
      </c>
      <c r="P1582" s="2" t="s">
        <v>10628</v>
      </c>
      <c r="Q1582" s="2" t="s">
        <v>31</v>
      </c>
      <c r="R1582" s="2" t="s">
        <v>75</v>
      </c>
      <c r="S1582" s="4" t="s">
        <v>195</v>
      </c>
      <c r="T1582" s="2" t="s">
        <v>66</v>
      </c>
      <c r="U1582" s="4" t="s">
        <v>31</v>
      </c>
      <c r="V1582" s="2" t="s">
        <v>11058</v>
      </c>
      <c r="W1582" s="2" t="s">
        <v>10624</v>
      </c>
      <c r="X1582" s="5" t="str">
        <f>HYPERLINK("https://my.pitchbook.com?p=241462-09P","View People Online")</f>
        <v>View People Online</v>
      </c>
    </row>
    <row r="1583">
      <c r="A1583" s="6" t="s">
        <v>11059</v>
      </c>
      <c r="B1583" s="6" t="s">
        <v>11060</v>
      </c>
      <c r="C1583" s="6" t="s">
        <v>11061</v>
      </c>
      <c r="D1583" s="6" t="s">
        <v>11062</v>
      </c>
      <c r="E1583" s="6" t="s">
        <v>10624</v>
      </c>
      <c r="F1583" s="6" t="s">
        <v>270</v>
      </c>
      <c r="G1583" s="6" t="s">
        <v>11063</v>
      </c>
      <c r="H1583" s="7" t="s">
        <v>31</v>
      </c>
      <c r="I1583" s="7">
        <v>1.0</v>
      </c>
      <c r="J1583" s="7">
        <v>1.0</v>
      </c>
      <c r="K1583" s="7" t="s">
        <v>31</v>
      </c>
      <c r="L1583" s="8" t="s">
        <v>10626</v>
      </c>
      <c r="M1583" s="6" t="s">
        <v>11064</v>
      </c>
      <c r="N1583" s="6" t="s">
        <v>75</v>
      </c>
      <c r="O1583" s="8" t="s">
        <v>76</v>
      </c>
      <c r="P1583" s="6" t="s">
        <v>10628</v>
      </c>
      <c r="Q1583" s="6" t="s">
        <v>31</v>
      </c>
      <c r="R1583" s="6" t="s">
        <v>75</v>
      </c>
      <c r="S1583" s="8" t="s">
        <v>195</v>
      </c>
      <c r="T1583" s="6" t="s">
        <v>66</v>
      </c>
      <c r="U1583" s="8" t="s">
        <v>31</v>
      </c>
      <c r="V1583" s="6" t="s">
        <v>11065</v>
      </c>
      <c r="W1583" s="6" t="s">
        <v>10624</v>
      </c>
      <c r="X1583" s="9" t="str">
        <f>HYPERLINK("https://my.pitchbook.com?p=380684-08P","View People Online")</f>
        <v>View People Online</v>
      </c>
    </row>
    <row r="1584">
      <c r="A1584" s="10" t="s">
        <v>11066</v>
      </c>
      <c r="B1584" s="10" t="s">
        <v>11067</v>
      </c>
      <c r="C1584" s="10" t="s">
        <v>746</v>
      </c>
      <c r="D1584" s="10" t="s">
        <v>11068</v>
      </c>
      <c r="E1584" s="10" t="s">
        <v>10624</v>
      </c>
      <c r="F1584" s="10" t="s">
        <v>371</v>
      </c>
      <c r="G1584" s="10" t="s">
        <v>11069</v>
      </c>
      <c r="H1584" s="11" t="s">
        <v>31</v>
      </c>
      <c r="I1584" s="11">
        <v>1.0</v>
      </c>
      <c r="J1584" s="11">
        <v>1.0</v>
      </c>
      <c r="K1584" s="11" t="s">
        <v>31</v>
      </c>
      <c r="L1584" s="12" t="s">
        <v>10626</v>
      </c>
      <c r="M1584" s="10" t="s">
        <v>11070</v>
      </c>
      <c r="N1584" s="10" t="s">
        <v>75</v>
      </c>
      <c r="O1584" s="12" t="s">
        <v>76</v>
      </c>
      <c r="P1584" s="10" t="s">
        <v>10628</v>
      </c>
      <c r="Q1584" s="10" t="s">
        <v>31</v>
      </c>
      <c r="R1584" s="10" t="s">
        <v>75</v>
      </c>
      <c r="S1584" s="12" t="s">
        <v>195</v>
      </c>
      <c r="T1584" s="10" t="s">
        <v>66</v>
      </c>
      <c r="U1584" s="12" t="s">
        <v>31</v>
      </c>
      <c r="V1584" s="10" t="s">
        <v>11071</v>
      </c>
      <c r="W1584" s="10" t="s">
        <v>10624</v>
      </c>
      <c r="X1584" s="13" t="str">
        <f>HYPERLINK("https://my.pitchbook.com?p=141214-06P","View People Online")</f>
        <v>View People Online</v>
      </c>
    </row>
    <row r="1585">
      <c r="A1585" s="14" t="s">
        <v>11072</v>
      </c>
      <c r="B1585" s="14" t="s">
        <v>11073</v>
      </c>
      <c r="C1585" s="14" t="s">
        <v>11074</v>
      </c>
      <c r="D1585" s="14" t="s">
        <v>11075</v>
      </c>
      <c r="E1585" s="14" t="s">
        <v>10624</v>
      </c>
      <c r="F1585" s="14" t="s">
        <v>371</v>
      </c>
      <c r="G1585" s="14" t="s">
        <v>11076</v>
      </c>
      <c r="H1585" s="15" t="s">
        <v>31</v>
      </c>
      <c r="I1585" s="15">
        <v>1.0</v>
      </c>
      <c r="J1585" s="15">
        <v>1.0</v>
      </c>
      <c r="K1585" s="15" t="s">
        <v>31</v>
      </c>
      <c r="L1585" s="16" t="s">
        <v>11077</v>
      </c>
      <c r="M1585" s="14" t="s">
        <v>11078</v>
      </c>
      <c r="N1585" s="14" t="s">
        <v>75</v>
      </c>
      <c r="O1585" s="16" t="s">
        <v>76</v>
      </c>
      <c r="P1585" s="14" t="s">
        <v>10628</v>
      </c>
      <c r="Q1585" s="14" t="s">
        <v>31</v>
      </c>
      <c r="R1585" s="14" t="s">
        <v>75</v>
      </c>
      <c r="S1585" s="16" t="s">
        <v>195</v>
      </c>
      <c r="T1585" s="14" t="s">
        <v>66</v>
      </c>
      <c r="U1585" s="16" t="s">
        <v>31</v>
      </c>
      <c r="V1585" s="14" t="s">
        <v>11079</v>
      </c>
      <c r="W1585" s="14" t="s">
        <v>10624</v>
      </c>
      <c r="X1585" s="17" t="str">
        <f>HYPERLINK("https://my.pitchbook.com?p=401477-05P","View People Online")</f>
        <v>View People Online</v>
      </c>
    </row>
    <row r="1586">
      <c r="A1586" s="2" t="s">
        <v>11080</v>
      </c>
      <c r="B1586" s="2" t="s">
        <v>11081</v>
      </c>
      <c r="C1586" s="2" t="s">
        <v>11082</v>
      </c>
      <c r="D1586" s="2" t="s">
        <v>11083</v>
      </c>
      <c r="E1586" s="2" t="s">
        <v>10624</v>
      </c>
      <c r="F1586" s="2" t="s">
        <v>2652</v>
      </c>
      <c r="G1586" s="2" t="s">
        <v>11084</v>
      </c>
      <c r="H1586" s="3">
        <v>1.0</v>
      </c>
      <c r="I1586" s="3">
        <v>6.0</v>
      </c>
      <c r="J1586" s="3">
        <v>1.0</v>
      </c>
      <c r="K1586" s="3">
        <v>2.0</v>
      </c>
      <c r="L1586" s="4" t="s">
        <v>31</v>
      </c>
      <c r="M1586" s="2" t="s">
        <v>11085</v>
      </c>
      <c r="N1586" s="2" t="s">
        <v>75</v>
      </c>
      <c r="O1586" s="4" t="s">
        <v>76</v>
      </c>
      <c r="P1586" s="2" t="s">
        <v>11086</v>
      </c>
      <c r="Q1586" s="2" t="s">
        <v>11087</v>
      </c>
      <c r="R1586" s="2" t="s">
        <v>75</v>
      </c>
      <c r="S1586" s="4" t="s">
        <v>3795</v>
      </c>
      <c r="T1586" s="2" t="s">
        <v>66</v>
      </c>
      <c r="U1586" s="4" t="s">
        <v>31</v>
      </c>
      <c r="V1586" s="2" t="s">
        <v>2379</v>
      </c>
      <c r="W1586" s="2" t="s">
        <v>11088</v>
      </c>
      <c r="X1586" s="5" t="str">
        <f>HYPERLINK("https://my.pitchbook.com?p=38861-20P","View People Online")</f>
        <v>View People Online</v>
      </c>
    </row>
    <row r="1587">
      <c r="A1587" s="6" t="s">
        <v>11089</v>
      </c>
      <c r="B1587" s="6" t="s">
        <v>11090</v>
      </c>
      <c r="C1587" s="6" t="s">
        <v>4943</v>
      </c>
      <c r="D1587" s="6" t="s">
        <v>11091</v>
      </c>
      <c r="E1587" s="6" t="s">
        <v>10624</v>
      </c>
      <c r="F1587" s="6" t="s">
        <v>10639</v>
      </c>
      <c r="G1587" s="6" t="s">
        <v>11092</v>
      </c>
      <c r="H1587" s="7">
        <v>1.0</v>
      </c>
      <c r="I1587" s="7">
        <v>9.0</v>
      </c>
      <c r="J1587" s="7">
        <v>2.0</v>
      </c>
      <c r="K1587" s="7">
        <v>4.0</v>
      </c>
      <c r="L1587" s="8" t="s">
        <v>10626</v>
      </c>
      <c r="M1587" s="6" t="s">
        <v>11093</v>
      </c>
      <c r="N1587" s="6" t="s">
        <v>75</v>
      </c>
      <c r="O1587" s="8" t="s">
        <v>76</v>
      </c>
      <c r="P1587" s="6" t="s">
        <v>10628</v>
      </c>
      <c r="Q1587" s="6" t="s">
        <v>31</v>
      </c>
      <c r="R1587" s="6" t="s">
        <v>75</v>
      </c>
      <c r="S1587" s="8" t="s">
        <v>195</v>
      </c>
      <c r="T1587" s="6" t="s">
        <v>66</v>
      </c>
      <c r="U1587" s="8" t="s">
        <v>31</v>
      </c>
      <c r="V1587" s="6" t="s">
        <v>11094</v>
      </c>
      <c r="W1587" s="6" t="s">
        <v>10624</v>
      </c>
      <c r="X1587" s="9" t="str">
        <f>HYPERLINK("https://my.pitchbook.com?p=37110-43P","View People Online")</f>
        <v>View People Online</v>
      </c>
    </row>
    <row r="1588">
      <c r="A1588" s="2" t="s">
        <v>11095</v>
      </c>
      <c r="B1588" s="2" t="s">
        <v>11096</v>
      </c>
      <c r="C1588" s="2" t="s">
        <v>69</v>
      </c>
      <c r="D1588" s="2" t="s">
        <v>11097</v>
      </c>
      <c r="E1588" s="2" t="s">
        <v>10624</v>
      </c>
      <c r="F1588" s="2" t="s">
        <v>1283</v>
      </c>
      <c r="G1588" s="2" t="s">
        <v>11098</v>
      </c>
      <c r="H1588" s="3" t="s">
        <v>31</v>
      </c>
      <c r="I1588" s="3">
        <v>1.0</v>
      </c>
      <c r="J1588" s="3">
        <v>1.0</v>
      </c>
      <c r="K1588" s="3" t="s">
        <v>31</v>
      </c>
      <c r="L1588" s="4" t="s">
        <v>10626</v>
      </c>
      <c r="M1588" s="2" t="s">
        <v>11099</v>
      </c>
      <c r="N1588" s="2" t="s">
        <v>75</v>
      </c>
      <c r="O1588" s="4" t="s">
        <v>76</v>
      </c>
      <c r="P1588" s="2" t="s">
        <v>10628</v>
      </c>
      <c r="Q1588" s="2" t="s">
        <v>31</v>
      </c>
      <c r="R1588" s="2" t="s">
        <v>75</v>
      </c>
      <c r="S1588" s="4" t="s">
        <v>195</v>
      </c>
      <c r="T1588" s="2" t="s">
        <v>66</v>
      </c>
      <c r="U1588" s="4" t="s">
        <v>31</v>
      </c>
      <c r="V1588" s="2" t="s">
        <v>1283</v>
      </c>
      <c r="W1588" s="2" t="s">
        <v>10624</v>
      </c>
      <c r="X1588" s="5" t="str">
        <f>HYPERLINK("https://my.pitchbook.com?p=398874-61P","View People Online")</f>
        <v>View People Online</v>
      </c>
    </row>
    <row r="1589">
      <c r="A1589" s="14" t="s">
        <v>11100</v>
      </c>
      <c r="B1589" s="14" t="s">
        <v>11101</v>
      </c>
      <c r="C1589" s="14" t="s">
        <v>11102</v>
      </c>
      <c r="D1589" s="14" t="s">
        <v>11103</v>
      </c>
      <c r="E1589" s="14" t="s">
        <v>10624</v>
      </c>
      <c r="F1589" s="14" t="s">
        <v>548</v>
      </c>
      <c r="G1589" s="14" t="s">
        <v>11104</v>
      </c>
      <c r="H1589" s="15" t="s">
        <v>31</v>
      </c>
      <c r="I1589" s="15">
        <v>1.0</v>
      </c>
      <c r="J1589" s="15">
        <v>1.0</v>
      </c>
      <c r="K1589" s="15" t="s">
        <v>31</v>
      </c>
      <c r="L1589" s="16" t="s">
        <v>11105</v>
      </c>
      <c r="M1589" s="14" t="s">
        <v>11106</v>
      </c>
      <c r="N1589" s="14" t="s">
        <v>601</v>
      </c>
      <c r="O1589" s="16" t="s">
        <v>602</v>
      </c>
      <c r="P1589" s="14" t="s">
        <v>11107</v>
      </c>
      <c r="Q1589" s="14" t="s">
        <v>11108</v>
      </c>
      <c r="R1589" s="14" t="s">
        <v>31</v>
      </c>
      <c r="S1589" s="16" t="s">
        <v>3537</v>
      </c>
      <c r="T1589" s="14" t="s">
        <v>603</v>
      </c>
      <c r="U1589" s="16" t="s">
        <v>31</v>
      </c>
      <c r="V1589" s="14" t="s">
        <v>548</v>
      </c>
      <c r="W1589" s="14" t="s">
        <v>10624</v>
      </c>
      <c r="X1589" s="17" t="str">
        <f>HYPERLINK("https://my.pitchbook.com?p=345853-27P","View People Online")</f>
        <v>View People Online</v>
      </c>
    </row>
    <row r="1590">
      <c r="A1590" s="2" t="s">
        <v>11109</v>
      </c>
      <c r="B1590" s="2" t="s">
        <v>11110</v>
      </c>
      <c r="C1590" s="2" t="s">
        <v>11111</v>
      </c>
      <c r="D1590" s="2" t="s">
        <v>11112</v>
      </c>
      <c r="E1590" s="2" t="s">
        <v>10624</v>
      </c>
      <c r="F1590" s="2" t="s">
        <v>2652</v>
      </c>
      <c r="G1590" s="2" t="s">
        <v>11113</v>
      </c>
      <c r="H1590" s="3" t="s">
        <v>31</v>
      </c>
      <c r="I1590" s="3">
        <v>1.0</v>
      </c>
      <c r="J1590" s="3">
        <v>1.0</v>
      </c>
      <c r="K1590" s="3" t="s">
        <v>31</v>
      </c>
      <c r="L1590" s="4" t="s">
        <v>10626</v>
      </c>
      <c r="M1590" s="2" t="s">
        <v>11114</v>
      </c>
      <c r="N1590" s="2" t="s">
        <v>75</v>
      </c>
      <c r="O1590" s="4" t="s">
        <v>76</v>
      </c>
      <c r="P1590" s="2" t="s">
        <v>10628</v>
      </c>
      <c r="Q1590" s="2" t="s">
        <v>31</v>
      </c>
      <c r="R1590" s="2" t="s">
        <v>75</v>
      </c>
      <c r="S1590" s="4" t="s">
        <v>195</v>
      </c>
      <c r="T1590" s="2" t="s">
        <v>66</v>
      </c>
      <c r="U1590" s="4" t="s">
        <v>31</v>
      </c>
      <c r="V1590" s="2" t="s">
        <v>11115</v>
      </c>
      <c r="W1590" s="2" t="s">
        <v>10624</v>
      </c>
      <c r="X1590" s="5" t="str">
        <f>HYPERLINK("https://my.pitchbook.com?p=159532-93P","View People Online")</f>
        <v>View People Online</v>
      </c>
    </row>
    <row r="1591">
      <c r="A1591" s="14" t="s">
        <v>11116</v>
      </c>
      <c r="B1591" s="14" t="s">
        <v>11117</v>
      </c>
      <c r="C1591" s="14" t="s">
        <v>1449</v>
      </c>
      <c r="D1591" s="14" t="s">
        <v>11118</v>
      </c>
      <c r="E1591" s="14" t="s">
        <v>10624</v>
      </c>
      <c r="F1591" s="14" t="s">
        <v>1283</v>
      </c>
      <c r="G1591" s="14" t="s">
        <v>11119</v>
      </c>
      <c r="H1591" s="15" t="s">
        <v>31</v>
      </c>
      <c r="I1591" s="15">
        <v>2.0</v>
      </c>
      <c r="J1591" s="15">
        <v>1.0</v>
      </c>
      <c r="K1591" s="15" t="s">
        <v>31</v>
      </c>
      <c r="L1591" s="16" t="s">
        <v>10626</v>
      </c>
      <c r="M1591" s="14" t="s">
        <v>11120</v>
      </c>
      <c r="N1591" s="14" t="s">
        <v>75</v>
      </c>
      <c r="O1591" s="16" t="s">
        <v>76</v>
      </c>
      <c r="P1591" s="14" t="s">
        <v>10628</v>
      </c>
      <c r="Q1591" s="14" t="s">
        <v>31</v>
      </c>
      <c r="R1591" s="14" t="s">
        <v>75</v>
      </c>
      <c r="S1591" s="16" t="s">
        <v>195</v>
      </c>
      <c r="T1591" s="14" t="s">
        <v>66</v>
      </c>
      <c r="U1591" s="16" t="s">
        <v>31</v>
      </c>
      <c r="V1591" s="14" t="s">
        <v>1283</v>
      </c>
      <c r="W1591" s="14" t="s">
        <v>10624</v>
      </c>
      <c r="X1591" s="17" t="str">
        <f>HYPERLINK("https://my.pitchbook.com?p=425089-90P","View People Online")</f>
        <v>View People Online</v>
      </c>
    </row>
    <row r="1592">
      <c r="A1592" s="2" t="s">
        <v>11121</v>
      </c>
      <c r="B1592" s="2" t="s">
        <v>11122</v>
      </c>
      <c r="C1592" s="2" t="s">
        <v>1449</v>
      </c>
      <c r="D1592" s="2" t="s">
        <v>11123</v>
      </c>
      <c r="E1592" s="2" t="s">
        <v>10624</v>
      </c>
      <c r="F1592" s="2" t="s">
        <v>2652</v>
      </c>
      <c r="G1592" s="2" t="s">
        <v>11124</v>
      </c>
      <c r="H1592" s="3" t="s">
        <v>31</v>
      </c>
      <c r="I1592" s="3">
        <v>9.0</v>
      </c>
      <c r="J1592" s="3">
        <v>1.0</v>
      </c>
      <c r="K1592" s="3">
        <v>5.0</v>
      </c>
      <c r="L1592" s="4" t="s">
        <v>10899</v>
      </c>
      <c r="M1592" s="2" t="s">
        <v>11125</v>
      </c>
      <c r="N1592" s="2" t="s">
        <v>1181</v>
      </c>
      <c r="O1592" s="4" t="s">
        <v>1182</v>
      </c>
      <c r="P1592" s="2" t="s">
        <v>10901</v>
      </c>
      <c r="Q1592" s="2" t="s">
        <v>31</v>
      </c>
      <c r="R1592" s="2" t="s">
        <v>1185</v>
      </c>
      <c r="S1592" s="4" t="s">
        <v>10902</v>
      </c>
      <c r="T1592" s="2" t="s">
        <v>66</v>
      </c>
      <c r="U1592" s="4" t="s">
        <v>31</v>
      </c>
      <c r="V1592" s="2" t="s">
        <v>11126</v>
      </c>
      <c r="W1592" s="2" t="s">
        <v>10624</v>
      </c>
      <c r="X1592" s="5" t="str">
        <f>HYPERLINK("https://my.pitchbook.com?p=32892-04P","View People Online")</f>
        <v>View People Online</v>
      </c>
    </row>
    <row r="1593">
      <c r="A1593" s="14" t="s">
        <v>11127</v>
      </c>
      <c r="B1593" s="14" t="s">
        <v>11128</v>
      </c>
      <c r="C1593" s="14" t="s">
        <v>8681</v>
      </c>
      <c r="D1593" s="14" t="s">
        <v>11129</v>
      </c>
      <c r="E1593" s="14" t="s">
        <v>10624</v>
      </c>
      <c r="F1593" s="14" t="s">
        <v>1283</v>
      </c>
      <c r="G1593" s="14" t="s">
        <v>11130</v>
      </c>
      <c r="H1593" s="15" t="s">
        <v>31</v>
      </c>
      <c r="I1593" s="15">
        <v>2.0</v>
      </c>
      <c r="J1593" s="15">
        <v>2.0</v>
      </c>
      <c r="K1593" s="15" t="s">
        <v>31</v>
      </c>
      <c r="L1593" s="16" t="s">
        <v>11131</v>
      </c>
      <c r="M1593" s="14" t="s">
        <v>11132</v>
      </c>
      <c r="N1593" s="14" t="s">
        <v>3100</v>
      </c>
      <c r="O1593" s="16" t="s">
        <v>3101</v>
      </c>
      <c r="P1593" s="14" t="s">
        <v>11133</v>
      </c>
      <c r="Q1593" s="14" t="s">
        <v>31</v>
      </c>
      <c r="R1593" s="14" t="s">
        <v>31</v>
      </c>
      <c r="S1593" s="16" t="s">
        <v>8160</v>
      </c>
      <c r="T1593" s="14" t="s">
        <v>3104</v>
      </c>
      <c r="U1593" s="16" t="s">
        <v>31</v>
      </c>
      <c r="V1593" s="14" t="s">
        <v>548</v>
      </c>
      <c r="W1593" s="14" t="s">
        <v>11134</v>
      </c>
      <c r="X1593" s="17" t="str">
        <f>HYPERLINK("https://my.pitchbook.com?p=164437-12P","View People Online")</f>
        <v>View People Online</v>
      </c>
    </row>
    <row r="1594">
      <c r="A1594" s="10" t="s">
        <v>11135</v>
      </c>
      <c r="B1594" s="10" t="s">
        <v>11136</v>
      </c>
      <c r="C1594" s="10" t="s">
        <v>7286</v>
      </c>
      <c r="D1594" s="10" t="s">
        <v>5456</v>
      </c>
      <c r="E1594" s="10" t="s">
        <v>10624</v>
      </c>
      <c r="F1594" s="10" t="s">
        <v>270</v>
      </c>
      <c r="G1594" s="10" t="s">
        <v>11137</v>
      </c>
      <c r="H1594" s="11" t="s">
        <v>31</v>
      </c>
      <c r="I1594" s="11">
        <v>1.0</v>
      </c>
      <c r="J1594" s="11">
        <v>1.0</v>
      </c>
      <c r="K1594" s="11" t="s">
        <v>31</v>
      </c>
      <c r="L1594" s="12" t="s">
        <v>11138</v>
      </c>
      <c r="M1594" s="10" t="s">
        <v>11139</v>
      </c>
      <c r="N1594" s="10" t="s">
        <v>75</v>
      </c>
      <c r="O1594" s="12" t="s">
        <v>76</v>
      </c>
      <c r="P1594" s="10" t="s">
        <v>10628</v>
      </c>
      <c r="Q1594" s="10" t="s">
        <v>31</v>
      </c>
      <c r="R1594" s="10" t="s">
        <v>75</v>
      </c>
      <c r="S1594" s="12" t="s">
        <v>195</v>
      </c>
      <c r="T1594" s="10" t="s">
        <v>66</v>
      </c>
      <c r="U1594" s="12" t="s">
        <v>31</v>
      </c>
      <c r="V1594" s="10" t="s">
        <v>11140</v>
      </c>
      <c r="W1594" s="10" t="s">
        <v>10624</v>
      </c>
      <c r="X1594" s="13" t="str">
        <f>HYPERLINK("https://my.pitchbook.com?p=42349-60P","View People Online")</f>
        <v>View People Online</v>
      </c>
    </row>
    <row r="1595">
      <c r="A1595" s="14" t="s">
        <v>11141</v>
      </c>
      <c r="B1595" s="14" t="s">
        <v>11142</v>
      </c>
      <c r="C1595" s="14" t="s">
        <v>7464</v>
      </c>
      <c r="D1595" s="14" t="s">
        <v>3611</v>
      </c>
      <c r="E1595" s="14" t="s">
        <v>10624</v>
      </c>
      <c r="F1595" s="14" t="s">
        <v>2652</v>
      </c>
      <c r="G1595" s="14" t="s">
        <v>11143</v>
      </c>
      <c r="H1595" s="15">
        <v>1.0</v>
      </c>
      <c r="I1595" s="15">
        <v>3.0</v>
      </c>
      <c r="J1595" s="15">
        <v>2.0</v>
      </c>
      <c r="K1595" s="15" t="s">
        <v>31</v>
      </c>
      <c r="L1595" s="16" t="s">
        <v>11144</v>
      </c>
      <c r="M1595" s="14" t="s">
        <v>11145</v>
      </c>
      <c r="N1595" s="14" t="s">
        <v>1034</v>
      </c>
      <c r="O1595" s="16" t="s">
        <v>1035</v>
      </c>
      <c r="P1595" s="14" t="s">
        <v>11146</v>
      </c>
      <c r="Q1595" s="14" t="s">
        <v>11147</v>
      </c>
      <c r="R1595" s="14" t="s">
        <v>31</v>
      </c>
      <c r="S1595" s="16" t="s">
        <v>11148</v>
      </c>
      <c r="T1595" s="14" t="s">
        <v>1034</v>
      </c>
      <c r="U1595" s="16" t="s">
        <v>31</v>
      </c>
      <c r="V1595" s="14" t="s">
        <v>11149</v>
      </c>
      <c r="W1595" s="14" t="s">
        <v>10624</v>
      </c>
      <c r="X1595" s="17" t="str">
        <f>HYPERLINK("https://my.pitchbook.com?p=33339-61P","View People Online")</f>
        <v>View People Online</v>
      </c>
    </row>
    <row r="1596">
      <c r="A1596" s="2" t="s">
        <v>11150</v>
      </c>
      <c r="B1596" s="2" t="s">
        <v>11151</v>
      </c>
      <c r="C1596" s="2" t="s">
        <v>11152</v>
      </c>
      <c r="D1596" s="2" t="s">
        <v>11153</v>
      </c>
      <c r="E1596" s="2" t="s">
        <v>10624</v>
      </c>
      <c r="F1596" s="2" t="s">
        <v>825</v>
      </c>
      <c r="G1596" s="2" t="s">
        <v>11154</v>
      </c>
      <c r="H1596" s="3" t="s">
        <v>31</v>
      </c>
      <c r="I1596" s="3">
        <v>1.0</v>
      </c>
      <c r="J1596" s="3">
        <v>1.0</v>
      </c>
      <c r="K1596" s="3" t="s">
        <v>31</v>
      </c>
      <c r="L1596" s="4" t="s">
        <v>11144</v>
      </c>
      <c r="M1596" s="2" t="s">
        <v>11155</v>
      </c>
      <c r="N1596" s="2" t="s">
        <v>1034</v>
      </c>
      <c r="O1596" s="4" t="s">
        <v>1035</v>
      </c>
      <c r="P1596" s="2" t="s">
        <v>11146</v>
      </c>
      <c r="Q1596" s="2" t="s">
        <v>11147</v>
      </c>
      <c r="R1596" s="2" t="s">
        <v>31</v>
      </c>
      <c r="S1596" s="4" t="s">
        <v>11148</v>
      </c>
      <c r="T1596" s="2" t="s">
        <v>1034</v>
      </c>
      <c r="U1596" s="4" t="s">
        <v>31</v>
      </c>
      <c r="V1596" s="2" t="s">
        <v>11156</v>
      </c>
      <c r="W1596" s="2" t="s">
        <v>10624</v>
      </c>
      <c r="X1596" s="5" t="str">
        <f>HYPERLINK("https://my.pitchbook.com?p=368620-48P","View People Online")</f>
        <v>View People Online</v>
      </c>
    </row>
    <row r="1597">
      <c r="A1597" s="14" t="s">
        <v>11157</v>
      </c>
      <c r="B1597" s="14" t="s">
        <v>11158</v>
      </c>
      <c r="C1597" s="14" t="s">
        <v>316</v>
      </c>
      <c r="D1597" s="14" t="s">
        <v>11159</v>
      </c>
      <c r="E1597" s="14" t="s">
        <v>10624</v>
      </c>
      <c r="F1597" s="14" t="s">
        <v>11160</v>
      </c>
      <c r="G1597" s="14" t="s">
        <v>11161</v>
      </c>
      <c r="H1597" s="15" t="s">
        <v>31</v>
      </c>
      <c r="I1597" s="15">
        <v>1.0</v>
      </c>
      <c r="J1597" s="15">
        <v>1.0</v>
      </c>
      <c r="K1597" s="15" t="s">
        <v>31</v>
      </c>
      <c r="L1597" s="16" t="s">
        <v>11162</v>
      </c>
      <c r="M1597" s="14" t="s">
        <v>11163</v>
      </c>
      <c r="N1597" s="14" t="s">
        <v>155</v>
      </c>
      <c r="O1597" s="16" t="s">
        <v>156</v>
      </c>
      <c r="P1597" s="14" t="s">
        <v>11164</v>
      </c>
      <c r="Q1597" s="14" t="s">
        <v>31</v>
      </c>
      <c r="R1597" s="14" t="s">
        <v>64</v>
      </c>
      <c r="S1597" s="16" t="s">
        <v>3487</v>
      </c>
      <c r="T1597" s="14" t="s">
        <v>66</v>
      </c>
      <c r="U1597" s="16" t="s">
        <v>31</v>
      </c>
      <c r="V1597" s="14" t="s">
        <v>11165</v>
      </c>
      <c r="W1597" s="14" t="s">
        <v>10624</v>
      </c>
      <c r="X1597" s="17" t="str">
        <f>HYPERLINK("https://my.pitchbook.com?p=52203-52P","View People Online")</f>
        <v>View People Online</v>
      </c>
    </row>
    <row r="1598">
      <c r="A1598" s="2" t="s">
        <v>11166</v>
      </c>
      <c r="B1598" s="2" t="s">
        <v>11167</v>
      </c>
      <c r="C1598" s="2" t="s">
        <v>11168</v>
      </c>
      <c r="D1598" s="2" t="s">
        <v>11169</v>
      </c>
      <c r="E1598" s="2" t="s">
        <v>10624</v>
      </c>
      <c r="F1598" s="2" t="s">
        <v>896</v>
      </c>
      <c r="G1598" s="2" t="s">
        <v>11170</v>
      </c>
      <c r="H1598" s="3">
        <v>1.0</v>
      </c>
      <c r="I1598" s="3">
        <v>4.0</v>
      </c>
      <c r="J1598" s="3">
        <v>1.0</v>
      </c>
      <c r="K1598" s="3">
        <v>1.0</v>
      </c>
      <c r="L1598" s="4" t="s">
        <v>11171</v>
      </c>
      <c r="M1598" s="2" t="s">
        <v>11172</v>
      </c>
      <c r="N1598" s="2" t="s">
        <v>75</v>
      </c>
      <c r="O1598" s="4" t="s">
        <v>76</v>
      </c>
      <c r="P1598" s="2" t="s">
        <v>10628</v>
      </c>
      <c r="Q1598" s="2" t="s">
        <v>31</v>
      </c>
      <c r="R1598" s="2" t="s">
        <v>75</v>
      </c>
      <c r="S1598" s="4" t="s">
        <v>195</v>
      </c>
      <c r="T1598" s="2" t="s">
        <v>66</v>
      </c>
      <c r="U1598" s="4" t="s">
        <v>31</v>
      </c>
      <c r="V1598" s="2" t="s">
        <v>11173</v>
      </c>
      <c r="W1598" s="2" t="s">
        <v>10624</v>
      </c>
      <c r="X1598" s="5" t="str">
        <f>HYPERLINK("https://my.pitchbook.com?p=51810-04P","View People Online")</f>
        <v>View People Online</v>
      </c>
    </row>
    <row r="1599">
      <c r="A1599" s="6" t="s">
        <v>11174</v>
      </c>
      <c r="B1599" s="6" t="s">
        <v>11175</v>
      </c>
      <c r="C1599" s="6" t="s">
        <v>11176</v>
      </c>
      <c r="D1599" s="6" t="s">
        <v>11177</v>
      </c>
      <c r="E1599" s="6" t="s">
        <v>10624</v>
      </c>
      <c r="F1599" s="6" t="s">
        <v>825</v>
      </c>
      <c r="G1599" s="6" t="s">
        <v>11178</v>
      </c>
      <c r="H1599" s="7">
        <v>1.0</v>
      </c>
      <c r="I1599" s="7">
        <v>3.0</v>
      </c>
      <c r="J1599" s="7">
        <v>1.0</v>
      </c>
      <c r="K1599" s="7">
        <v>1.0</v>
      </c>
      <c r="L1599" s="8" t="s">
        <v>11179</v>
      </c>
      <c r="M1599" s="6" t="s">
        <v>11180</v>
      </c>
      <c r="N1599" s="6" t="s">
        <v>4232</v>
      </c>
      <c r="O1599" s="8" t="s">
        <v>4233</v>
      </c>
      <c r="P1599" s="6" t="s">
        <v>11181</v>
      </c>
      <c r="Q1599" s="6" t="s">
        <v>31</v>
      </c>
      <c r="R1599" s="6" t="s">
        <v>4236</v>
      </c>
      <c r="S1599" s="8" t="s">
        <v>11182</v>
      </c>
      <c r="T1599" s="6" t="s">
        <v>66</v>
      </c>
      <c r="U1599" s="8" t="s">
        <v>31</v>
      </c>
      <c r="V1599" s="6" t="s">
        <v>11183</v>
      </c>
      <c r="W1599" s="6" t="s">
        <v>10624</v>
      </c>
      <c r="X1599" s="9" t="str">
        <f>HYPERLINK("https://my.pitchbook.com?p=255722-23P","View People Online")</f>
        <v>View People Online</v>
      </c>
    </row>
    <row r="1600">
      <c r="A1600" s="10" t="s">
        <v>11184</v>
      </c>
      <c r="B1600" s="10" t="s">
        <v>11185</v>
      </c>
      <c r="C1600" s="10" t="s">
        <v>11186</v>
      </c>
      <c r="D1600" s="10" t="s">
        <v>11187</v>
      </c>
      <c r="E1600" s="10" t="s">
        <v>10624</v>
      </c>
      <c r="F1600" s="10" t="s">
        <v>9492</v>
      </c>
      <c r="G1600" s="10" t="s">
        <v>11188</v>
      </c>
      <c r="H1600" s="11">
        <v>1.0</v>
      </c>
      <c r="I1600" s="11">
        <v>5.0</v>
      </c>
      <c r="J1600" s="11">
        <v>1.0</v>
      </c>
      <c r="K1600" s="11">
        <v>2.0</v>
      </c>
      <c r="L1600" s="12" t="s">
        <v>10869</v>
      </c>
      <c r="M1600" s="10" t="s">
        <v>11189</v>
      </c>
      <c r="N1600" s="10" t="s">
        <v>2754</v>
      </c>
      <c r="O1600" s="12" t="s">
        <v>2755</v>
      </c>
      <c r="P1600" s="10" t="s">
        <v>10871</v>
      </c>
      <c r="Q1600" s="10" t="s">
        <v>10872</v>
      </c>
      <c r="R1600" s="10" t="s">
        <v>31</v>
      </c>
      <c r="S1600" s="12" t="s">
        <v>10873</v>
      </c>
      <c r="T1600" s="10" t="s">
        <v>38</v>
      </c>
      <c r="U1600" s="12" t="s">
        <v>31</v>
      </c>
      <c r="V1600" s="10" t="s">
        <v>11190</v>
      </c>
      <c r="W1600" s="10" t="s">
        <v>10624</v>
      </c>
      <c r="X1600" s="13" t="str">
        <f>HYPERLINK("https://my.pitchbook.com?p=178242-67P","View People Online")</f>
        <v>View People Online</v>
      </c>
    </row>
    <row r="1601">
      <c r="A1601" s="6" t="s">
        <v>11191</v>
      </c>
      <c r="B1601" s="6" t="s">
        <v>11192</v>
      </c>
      <c r="C1601" s="6" t="s">
        <v>11193</v>
      </c>
      <c r="D1601" s="6" t="s">
        <v>11194</v>
      </c>
      <c r="E1601" s="6" t="s">
        <v>10624</v>
      </c>
      <c r="F1601" s="6" t="s">
        <v>825</v>
      </c>
      <c r="G1601" s="6" t="s">
        <v>11195</v>
      </c>
      <c r="H1601" s="7" t="s">
        <v>31</v>
      </c>
      <c r="I1601" s="7">
        <v>1.0</v>
      </c>
      <c r="J1601" s="7">
        <v>1.0</v>
      </c>
      <c r="K1601" s="7" t="s">
        <v>31</v>
      </c>
      <c r="L1601" s="8" t="s">
        <v>10626</v>
      </c>
      <c r="M1601" s="6" t="s">
        <v>11196</v>
      </c>
      <c r="N1601" s="6" t="s">
        <v>75</v>
      </c>
      <c r="O1601" s="8" t="s">
        <v>76</v>
      </c>
      <c r="P1601" s="6" t="s">
        <v>10628</v>
      </c>
      <c r="Q1601" s="6" t="s">
        <v>31</v>
      </c>
      <c r="R1601" s="6" t="s">
        <v>75</v>
      </c>
      <c r="S1601" s="8" t="s">
        <v>195</v>
      </c>
      <c r="T1601" s="6" t="s">
        <v>66</v>
      </c>
      <c r="U1601" s="8" t="s">
        <v>31</v>
      </c>
      <c r="V1601" s="6" t="s">
        <v>825</v>
      </c>
      <c r="W1601" s="6" t="s">
        <v>10624</v>
      </c>
      <c r="X1601" s="9" t="str">
        <f>HYPERLINK("https://my.pitchbook.com?p=140732-38P","View People Online")</f>
        <v>View People Online</v>
      </c>
    </row>
    <row r="1602">
      <c r="A1602" s="2" t="s">
        <v>11197</v>
      </c>
      <c r="B1602" s="2" t="s">
        <v>11198</v>
      </c>
      <c r="C1602" s="2" t="s">
        <v>3953</v>
      </c>
      <c r="D1602" s="2" t="s">
        <v>6826</v>
      </c>
      <c r="E1602" s="2" t="s">
        <v>10624</v>
      </c>
      <c r="F1602" s="2" t="s">
        <v>10762</v>
      </c>
      <c r="G1602" s="2" t="s">
        <v>11199</v>
      </c>
      <c r="H1602" s="3" t="s">
        <v>31</v>
      </c>
      <c r="I1602" s="3">
        <v>1.0</v>
      </c>
      <c r="J1602" s="3">
        <v>1.0</v>
      </c>
      <c r="K1602" s="3" t="s">
        <v>31</v>
      </c>
      <c r="L1602" s="4" t="s">
        <v>10626</v>
      </c>
      <c r="M1602" s="2" t="s">
        <v>11200</v>
      </c>
      <c r="N1602" s="2" t="s">
        <v>75</v>
      </c>
      <c r="O1602" s="4" t="s">
        <v>76</v>
      </c>
      <c r="P1602" s="2" t="s">
        <v>10628</v>
      </c>
      <c r="Q1602" s="2" t="s">
        <v>31</v>
      </c>
      <c r="R1602" s="2" t="s">
        <v>75</v>
      </c>
      <c r="S1602" s="4" t="s">
        <v>195</v>
      </c>
      <c r="T1602" s="2" t="s">
        <v>66</v>
      </c>
      <c r="U1602" s="4" t="s">
        <v>31</v>
      </c>
      <c r="V1602" s="2" t="s">
        <v>11201</v>
      </c>
      <c r="W1602" s="2" t="s">
        <v>10624</v>
      </c>
      <c r="X1602" s="5" t="str">
        <f>HYPERLINK("https://my.pitchbook.com?p=438407-47P","View People Online")</f>
        <v>View People Online</v>
      </c>
    </row>
    <row r="1603">
      <c r="A1603" s="6" t="s">
        <v>11202</v>
      </c>
      <c r="B1603" s="6" t="s">
        <v>11203</v>
      </c>
      <c r="C1603" s="6" t="s">
        <v>11204</v>
      </c>
      <c r="D1603" s="6" t="s">
        <v>6218</v>
      </c>
      <c r="E1603" s="6" t="s">
        <v>10624</v>
      </c>
      <c r="F1603" s="6" t="s">
        <v>2652</v>
      </c>
      <c r="G1603" s="6" t="s">
        <v>11205</v>
      </c>
      <c r="H1603" s="7" t="s">
        <v>31</v>
      </c>
      <c r="I1603" s="7">
        <v>2.0</v>
      </c>
      <c r="J1603" s="7">
        <v>1.0</v>
      </c>
      <c r="K1603" s="7">
        <v>1.0</v>
      </c>
      <c r="L1603" s="8" t="s">
        <v>10641</v>
      </c>
      <c r="M1603" s="6" t="s">
        <v>11206</v>
      </c>
      <c r="N1603" s="6" t="s">
        <v>243</v>
      </c>
      <c r="O1603" s="8" t="s">
        <v>244</v>
      </c>
      <c r="P1603" s="6" t="s">
        <v>10643</v>
      </c>
      <c r="Q1603" s="6" t="s">
        <v>10644</v>
      </c>
      <c r="R1603" s="6" t="s">
        <v>247</v>
      </c>
      <c r="S1603" s="8" t="s">
        <v>10645</v>
      </c>
      <c r="T1603" s="6" t="s">
        <v>249</v>
      </c>
      <c r="U1603" s="8" t="s">
        <v>31</v>
      </c>
      <c r="V1603" s="6" t="s">
        <v>11207</v>
      </c>
      <c r="W1603" s="6" t="s">
        <v>10624</v>
      </c>
      <c r="X1603" s="9" t="str">
        <f>HYPERLINK("https://my.pitchbook.com?p=160791-67P","View People Online")</f>
        <v>View People Online</v>
      </c>
    </row>
    <row r="1604">
      <c r="A1604" s="2" t="s">
        <v>11208</v>
      </c>
      <c r="B1604" s="2" t="s">
        <v>11209</v>
      </c>
      <c r="C1604" s="2" t="s">
        <v>11210</v>
      </c>
      <c r="D1604" s="2" t="s">
        <v>11211</v>
      </c>
      <c r="E1604" s="2" t="s">
        <v>10624</v>
      </c>
      <c r="F1604" s="2" t="s">
        <v>11212</v>
      </c>
      <c r="G1604" s="2" t="s">
        <v>11213</v>
      </c>
      <c r="H1604" s="3" t="s">
        <v>31</v>
      </c>
      <c r="I1604" s="3">
        <v>2.0</v>
      </c>
      <c r="J1604" s="3">
        <v>2.0</v>
      </c>
      <c r="K1604" s="3" t="s">
        <v>31</v>
      </c>
      <c r="L1604" s="4" t="s">
        <v>10641</v>
      </c>
      <c r="M1604" s="2" t="s">
        <v>11214</v>
      </c>
      <c r="N1604" s="2" t="s">
        <v>243</v>
      </c>
      <c r="O1604" s="4" t="s">
        <v>244</v>
      </c>
      <c r="P1604" s="2" t="s">
        <v>10643</v>
      </c>
      <c r="Q1604" s="2" t="s">
        <v>10644</v>
      </c>
      <c r="R1604" s="2" t="s">
        <v>247</v>
      </c>
      <c r="S1604" s="4" t="s">
        <v>10645</v>
      </c>
      <c r="T1604" s="2" t="s">
        <v>249</v>
      </c>
      <c r="U1604" s="4" t="s">
        <v>31</v>
      </c>
      <c r="V1604" s="2" t="s">
        <v>11215</v>
      </c>
      <c r="W1604" s="2" t="s">
        <v>10624</v>
      </c>
      <c r="X1604" s="5" t="str">
        <f>HYPERLINK("https://my.pitchbook.com?p=55504-81P","View People Online")</f>
        <v>View People Online</v>
      </c>
    </row>
    <row r="1605">
      <c r="A1605" s="6" t="s">
        <v>11216</v>
      </c>
      <c r="B1605" s="6" t="s">
        <v>11217</v>
      </c>
      <c r="C1605" s="6" t="s">
        <v>11210</v>
      </c>
      <c r="D1605" s="6" t="s">
        <v>11218</v>
      </c>
      <c r="E1605" s="6" t="s">
        <v>10624</v>
      </c>
      <c r="F1605" s="6" t="s">
        <v>371</v>
      </c>
      <c r="G1605" s="6" t="s">
        <v>11219</v>
      </c>
      <c r="H1605" s="7" t="s">
        <v>31</v>
      </c>
      <c r="I1605" s="7">
        <v>1.0</v>
      </c>
      <c r="J1605" s="7">
        <v>1.0</v>
      </c>
      <c r="K1605" s="7" t="s">
        <v>31</v>
      </c>
      <c r="L1605" s="8" t="s">
        <v>11220</v>
      </c>
      <c r="M1605" s="6" t="s">
        <v>11221</v>
      </c>
      <c r="N1605" s="6" t="s">
        <v>243</v>
      </c>
      <c r="O1605" s="8" t="s">
        <v>244</v>
      </c>
      <c r="P1605" s="6" t="s">
        <v>10643</v>
      </c>
      <c r="Q1605" s="6" t="s">
        <v>10644</v>
      </c>
      <c r="R1605" s="6" t="s">
        <v>247</v>
      </c>
      <c r="S1605" s="8" t="s">
        <v>10645</v>
      </c>
      <c r="T1605" s="6" t="s">
        <v>249</v>
      </c>
      <c r="U1605" s="8" t="s">
        <v>31</v>
      </c>
      <c r="V1605" s="6" t="s">
        <v>11222</v>
      </c>
      <c r="W1605" s="6" t="s">
        <v>10624</v>
      </c>
      <c r="X1605" s="9" t="str">
        <f>HYPERLINK("https://my.pitchbook.com?p=444689-65P","View People Online")</f>
        <v>View People Online</v>
      </c>
    </row>
    <row r="1606">
      <c r="A1606" s="2" t="s">
        <v>11223</v>
      </c>
      <c r="B1606" s="2" t="s">
        <v>11224</v>
      </c>
      <c r="C1606" s="2" t="s">
        <v>11210</v>
      </c>
      <c r="D1606" s="2" t="s">
        <v>11225</v>
      </c>
      <c r="E1606" s="2" t="s">
        <v>10624</v>
      </c>
      <c r="F1606" s="2" t="s">
        <v>2652</v>
      </c>
      <c r="G1606" s="2" t="s">
        <v>11226</v>
      </c>
      <c r="H1606" s="3">
        <v>1.0</v>
      </c>
      <c r="I1606" s="3">
        <v>5.0</v>
      </c>
      <c r="J1606" s="3">
        <v>1.0</v>
      </c>
      <c r="K1606" s="3">
        <v>3.0</v>
      </c>
      <c r="L1606" s="4" t="s">
        <v>10626</v>
      </c>
      <c r="M1606" s="2" t="s">
        <v>11227</v>
      </c>
      <c r="N1606" s="2" t="s">
        <v>75</v>
      </c>
      <c r="O1606" s="4" t="s">
        <v>76</v>
      </c>
      <c r="P1606" s="2" t="s">
        <v>10628</v>
      </c>
      <c r="Q1606" s="2" t="s">
        <v>31</v>
      </c>
      <c r="R1606" s="2" t="s">
        <v>75</v>
      </c>
      <c r="S1606" s="4" t="s">
        <v>195</v>
      </c>
      <c r="T1606" s="2" t="s">
        <v>66</v>
      </c>
      <c r="U1606" s="4" t="s">
        <v>31</v>
      </c>
      <c r="V1606" s="2" t="s">
        <v>11228</v>
      </c>
      <c r="W1606" s="2" t="s">
        <v>10624</v>
      </c>
      <c r="X1606" s="5" t="str">
        <f>HYPERLINK("https://my.pitchbook.com?p=338106-97P","View People Online")</f>
        <v>View People Online</v>
      </c>
    </row>
    <row r="1607">
      <c r="A1607" s="6" t="s">
        <v>11229</v>
      </c>
      <c r="B1607" s="6" t="s">
        <v>11230</v>
      </c>
      <c r="C1607" s="6" t="s">
        <v>11231</v>
      </c>
      <c r="D1607" s="6" t="s">
        <v>11232</v>
      </c>
      <c r="E1607" s="6" t="s">
        <v>10624</v>
      </c>
      <c r="F1607" s="6" t="s">
        <v>11160</v>
      </c>
      <c r="G1607" s="6" t="s">
        <v>11233</v>
      </c>
      <c r="H1607" s="7" t="s">
        <v>31</v>
      </c>
      <c r="I1607" s="7">
        <v>4.0</v>
      </c>
      <c r="J1607" s="7">
        <v>1.0</v>
      </c>
      <c r="K1607" s="7" t="s">
        <v>31</v>
      </c>
      <c r="L1607" s="8" t="s">
        <v>11234</v>
      </c>
      <c r="M1607" s="6" t="s">
        <v>11235</v>
      </c>
      <c r="N1607" s="6" t="s">
        <v>75</v>
      </c>
      <c r="O1607" s="8" t="s">
        <v>76</v>
      </c>
      <c r="P1607" s="6" t="s">
        <v>10628</v>
      </c>
      <c r="Q1607" s="6" t="s">
        <v>31</v>
      </c>
      <c r="R1607" s="6" t="s">
        <v>75</v>
      </c>
      <c r="S1607" s="8" t="s">
        <v>195</v>
      </c>
      <c r="T1607" s="6" t="s">
        <v>66</v>
      </c>
      <c r="U1607" s="8" t="s">
        <v>31</v>
      </c>
      <c r="V1607" s="6" t="s">
        <v>11236</v>
      </c>
      <c r="W1607" s="6" t="s">
        <v>10624</v>
      </c>
      <c r="X1607" s="9" t="str">
        <f>HYPERLINK("https://my.pitchbook.com?p=36921-70P","View People Online")</f>
        <v>View People Online</v>
      </c>
    </row>
    <row r="1608">
      <c r="A1608" s="10" t="s">
        <v>11237</v>
      </c>
      <c r="B1608" s="10" t="s">
        <v>11238</v>
      </c>
      <c r="C1608" s="10" t="s">
        <v>11239</v>
      </c>
      <c r="D1608" s="10" t="s">
        <v>831</v>
      </c>
      <c r="E1608" s="10" t="s">
        <v>10624</v>
      </c>
      <c r="F1608" s="10" t="s">
        <v>1283</v>
      </c>
      <c r="G1608" s="10" t="s">
        <v>11240</v>
      </c>
      <c r="H1608" s="11" t="s">
        <v>31</v>
      </c>
      <c r="I1608" s="11">
        <v>1.0</v>
      </c>
      <c r="J1608" s="11">
        <v>1.0</v>
      </c>
      <c r="K1608" s="11" t="s">
        <v>31</v>
      </c>
      <c r="L1608" s="12" t="s">
        <v>10626</v>
      </c>
      <c r="M1608" s="10" t="s">
        <v>11241</v>
      </c>
      <c r="N1608" s="10" t="s">
        <v>75</v>
      </c>
      <c r="O1608" s="12" t="s">
        <v>76</v>
      </c>
      <c r="P1608" s="10" t="s">
        <v>10628</v>
      </c>
      <c r="Q1608" s="10" t="s">
        <v>31</v>
      </c>
      <c r="R1608" s="10" t="s">
        <v>75</v>
      </c>
      <c r="S1608" s="12" t="s">
        <v>195</v>
      </c>
      <c r="T1608" s="10" t="s">
        <v>66</v>
      </c>
      <c r="U1608" s="12" t="s">
        <v>31</v>
      </c>
      <c r="V1608" s="10" t="s">
        <v>1283</v>
      </c>
      <c r="W1608" s="10" t="s">
        <v>10624</v>
      </c>
      <c r="X1608" s="13" t="str">
        <f>HYPERLINK("https://my.pitchbook.com?p=314302-06P","View People Online")</f>
        <v>View People Online</v>
      </c>
    </row>
    <row r="1609">
      <c r="A1609" s="6" t="s">
        <v>11242</v>
      </c>
      <c r="B1609" s="6" t="s">
        <v>11243</v>
      </c>
      <c r="C1609" s="6" t="s">
        <v>11244</v>
      </c>
      <c r="D1609" s="6" t="s">
        <v>11245</v>
      </c>
      <c r="E1609" s="6" t="s">
        <v>10624</v>
      </c>
      <c r="F1609" s="6" t="s">
        <v>548</v>
      </c>
      <c r="G1609" s="6" t="s">
        <v>11246</v>
      </c>
      <c r="H1609" s="7" t="s">
        <v>31</v>
      </c>
      <c r="I1609" s="7">
        <v>1.0</v>
      </c>
      <c r="J1609" s="7">
        <v>1.0</v>
      </c>
      <c r="K1609" s="7" t="s">
        <v>31</v>
      </c>
      <c r="L1609" s="8" t="s">
        <v>10626</v>
      </c>
      <c r="M1609" s="6" t="s">
        <v>11247</v>
      </c>
      <c r="N1609" s="6" t="s">
        <v>75</v>
      </c>
      <c r="O1609" s="8" t="s">
        <v>76</v>
      </c>
      <c r="P1609" s="6" t="s">
        <v>10628</v>
      </c>
      <c r="Q1609" s="6" t="s">
        <v>31</v>
      </c>
      <c r="R1609" s="6" t="s">
        <v>75</v>
      </c>
      <c r="S1609" s="8" t="s">
        <v>195</v>
      </c>
      <c r="T1609" s="6" t="s">
        <v>66</v>
      </c>
      <c r="U1609" s="8" t="s">
        <v>31</v>
      </c>
      <c r="V1609" s="6" t="s">
        <v>11248</v>
      </c>
      <c r="W1609" s="6" t="s">
        <v>10624</v>
      </c>
      <c r="X1609" s="9" t="str">
        <f>HYPERLINK("https://my.pitchbook.com?p=380813-50P","View People Online")</f>
        <v>View People Online</v>
      </c>
    </row>
    <row r="1610">
      <c r="A1610" s="2" t="s">
        <v>11249</v>
      </c>
      <c r="B1610" s="2" t="s">
        <v>11250</v>
      </c>
      <c r="C1610" s="2" t="s">
        <v>1998</v>
      </c>
      <c r="D1610" s="2" t="s">
        <v>11251</v>
      </c>
      <c r="E1610" s="2" t="s">
        <v>10624</v>
      </c>
      <c r="F1610" s="2" t="s">
        <v>2652</v>
      </c>
      <c r="G1610" s="2" t="s">
        <v>11252</v>
      </c>
      <c r="H1610" s="3">
        <v>1.0</v>
      </c>
      <c r="I1610" s="3">
        <v>3.0</v>
      </c>
      <c r="J1610" s="3">
        <v>1.0</v>
      </c>
      <c r="K1610" s="3">
        <v>1.0</v>
      </c>
      <c r="L1610" s="4" t="s">
        <v>10626</v>
      </c>
      <c r="M1610" s="2" t="s">
        <v>11253</v>
      </c>
      <c r="N1610" s="2" t="s">
        <v>75</v>
      </c>
      <c r="O1610" s="4" t="s">
        <v>76</v>
      </c>
      <c r="P1610" s="2" t="s">
        <v>10628</v>
      </c>
      <c r="Q1610" s="2" t="s">
        <v>31</v>
      </c>
      <c r="R1610" s="2" t="s">
        <v>75</v>
      </c>
      <c r="S1610" s="4" t="s">
        <v>195</v>
      </c>
      <c r="T1610" s="2" t="s">
        <v>66</v>
      </c>
      <c r="U1610" s="4" t="s">
        <v>31</v>
      </c>
      <c r="V1610" s="2" t="s">
        <v>11254</v>
      </c>
      <c r="W1610" s="2" t="s">
        <v>10624</v>
      </c>
      <c r="X1610" s="5" t="str">
        <f>HYPERLINK("https://my.pitchbook.com?p=395840-08P","View People Online")</f>
        <v>View People Online</v>
      </c>
    </row>
    <row r="1611">
      <c r="A1611" s="14" t="s">
        <v>11255</v>
      </c>
      <c r="B1611" s="14" t="s">
        <v>11256</v>
      </c>
      <c r="C1611" s="14" t="s">
        <v>1255</v>
      </c>
      <c r="D1611" s="14" t="s">
        <v>2702</v>
      </c>
      <c r="E1611" s="14" t="s">
        <v>10624</v>
      </c>
      <c r="F1611" s="14" t="s">
        <v>11257</v>
      </c>
      <c r="G1611" s="14" t="s">
        <v>11258</v>
      </c>
      <c r="H1611" s="15" t="s">
        <v>31</v>
      </c>
      <c r="I1611" s="15">
        <v>1.0</v>
      </c>
      <c r="J1611" s="15">
        <v>1.0</v>
      </c>
      <c r="K1611" s="15" t="s">
        <v>31</v>
      </c>
      <c r="L1611" s="16" t="s">
        <v>10626</v>
      </c>
      <c r="M1611" s="14" t="s">
        <v>11259</v>
      </c>
      <c r="N1611" s="14" t="s">
        <v>75</v>
      </c>
      <c r="O1611" s="16" t="s">
        <v>76</v>
      </c>
      <c r="P1611" s="14" t="s">
        <v>10628</v>
      </c>
      <c r="Q1611" s="14" t="s">
        <v>31</v>
      </c>
      <c r="R1611" s="14" t="s">
        <v>75</v>
      </c>
      <c r="S1611" s="16" t="s">
        <v>195</v>
      </c>
      <c r="T1611" s="14" t="s">
        <v>66</v>
      </c>
      <c r="U1611" s="16" t="s">
        <v>31</v>
      </c>
      <c r="V1611" s="14" t="s">
        <v>11257</v>
      </c>
      <c r="W1611" s="14" t="s">
        <v>10624</v>
      </c>
      <c r="X1611" s="17" t="str">
        <f>HYPERLINK("https://my.pitchbook.com?p=120000-43P","View People Online")</f>
        <v>View People Online</v>
      </c>
    </row>
    <row r="1612">
      <c r="A1612" s="2" t="s">
        <v>11260</v>
      </c>
      <c r="B1612" s="2" t="s">
        <v>11261</v>
      </c>
      <c r="C1612" s="2" t="s">
        <v>2776</v>
      </c>
      <c r="D1612" s="2" t="s">
        <v>11262</v>
      </c>
      <c r="E1612" s="2" t="s">
        <v>10624</v>
      </c>
      <c r="F1612" s="2" t="s">
        <v>1283</v>
      </c>
      <c r="G1612" s="2" t="s">
        <v>11263</v>
      </c>
      <c r="H1612" s="3" t="s">
        <v>31</v>
      </c>
      <c r="I1612" s="3">
        <v>1.0</v>
      </c>
      <c r="J1612" s="3">
        <v>1.0</v>
      </c>
      <c r="K1612" s="3" t="s">
        <v>31</v>
      </c>
      <c r="L1612" s="4" t="s">
        <v>10641</v>
      </c>
      <c r="M1612" s="2" t="s">
        <v>11264</v>
      </c>
      <c r="N1612" s="2" t="s">
        <v>243</v>
      </c>
      <c r="O1612" s="4" t="s">
        <v>244</v>
      </c>
      <c r="P1612" s="2" t="s">
        <v>10643</v>
      </c>
      <c r="Q1612" s="2" t="s">
        <v>10644</v>
      </c>
      <c r="R1612" s="2" t="s">
        <v>247</v>
      </c>
      <c r="S1612" s="4" t="s">
        <v>10645</v>
      </c>
      <c r="T1612" s="2" t="s">
        <v>249</v>
      </c>
      <c r="U1612" s="4" t="s">
        <v>31</v>
      </c>
      <c r="V1612" s="2" t="s">
        <v>11265</v>
      </c>
      <c r="W1612" s="2" t="s">
        <v>10624</v>
      </c>
      <c r="X1612" s="5" t="str">
        <f>HYPERLINK("https://my.pitchbook.com?p=133204-24P","View People Online")</f>
        <v>View People Online</v>
      </c>
    </row>
    <row r="1613">
      <c r="A1613" s="14" t="s">
        <v>11266</v>
      </c>
      <c r="B1613" s="14" t="s">
        <v>11267</v>
      </c>
      <c r="C1613" s="14" t="s">
        <v>11268</v>
      </c>
      <c r="D1613" s="14" t="s">
        <v>11269</v>
      </c>
      <c r="E1613" s="14" t="s">
        <v>10624</v>
      </c>
      <c r="F1613" s="14" t="s">
        <v>11270</v>
      </c>
      <c r="G1613" s="14" t="s">
        <v>11271</v>
      </c>
      <c r="H1613" s="15" t="s">
        <v>31</v>
      </c>
      <c r="I1613" s="15">
        <v>1.0</v>
      </c>
      <c r="J1613" s="15">
        <v>1.0</v>
      </c>
      <c r="K1613" s="15" t="s">
        <v>31</v>
      </c>
      <c r="L1613" s="16" t="s">
        <v>10827</v>
      </c>
      <c r="M1613" s="14" t="s">
        <v>11272</v>
      </c>
      <c r="N1613" s="14" t="s">
        <v>429</v>
      </c>
      <c r="O1613" s="16" t="s">
        <v>430</v>
      </c>
      <c r="P1613" s="14" t="s">
        <v>10829</v>
      </c>
      <c r="Q1613" s="14" t="s">
        <v>10830</v>
      </c>
      <c r="R1613" s="14" t="s">
        <v>31</v>
      </c>
      <c r="S1613" s="16" t="s">
        <v>10831</v>
      </c>
      <c r="T1613" s="14" t="s">
        <v>433</v>
      </c>
      <c r="U1613" s="16" t="s">
        <v>31</v>
      </c>
      <c r="V1613" s="14" t="s">
        <v>11273</v>
      </c>
      <c r="W1613" s="14" t="s">
        <v>10624</v>
      </c>
      <c r="X1613" s="17" t="str">
        <f>HYPERLINK("https://my.pitchbook.com?p=365910-85P","View People Online")</f>
        <v>View People Online</v>
      </c>
    </row>
    <row r="1614">
      <c r="A1614" s="10" t="s">
        <v>11274</v>
      </c>
      <c r="B1614" s="10" t="s">
        <v>11275</v>
      </c>
      <c r="C1614" s="10" t="s">
        <v>5819</v>
      </c>
      <c r="D1614" s="10" t="s">
        <v>11276</v>
      </c>
      <c r="E1614" s="10" t="s">
        <v>10624</v>
      </c>
      <c r="F1614" s="10" t="s">
        <v>1283</v>
      </c>
      <c r="G1614" s="10" t="s">
        <v>11277</v>
      </c>
      <c r="H1614" s="11" t="s">
        <v>31</v>
      </c>
      <c r="I1614" s="11">
        <v>2.0</v>
      </c>
      <c r="J1614" s="11">
        <v>1.0</v>
      </c>
      <c r="K1614" s="11">
        <v>1.0</v>
      </c>
      <c r="L1614" s="12" t="s">
        <v>10626</v>
      </c>
      <c r="M1614" s="10" t="s">
        <v>11278</v>
      </c>
      <c r="N1614" s="10" t="s">
        <v>75</v>
      </c>
      <c r="O1614" s="12" t="s">
        <v>76</v>
      </c>
      <c r="P1614" s="10" t="s">
        <v>10628</v>
      </c>
      <c r="Q1614" s="10" t="s">
        <v>31</v>
      </c>
      <c r="R1614" s="10" t="s">
        <v>75</v>
      </c>
      <c r="S1614" s="12" t="s">
        <v>195</v>
      </c>
      <c r="T1614" s="10" t="s">
        <v>66</v>
      </c>
      <c r="U1614" s="12" t="s">
        <v>31</v>
      </c>
      <c r="V1614" s="10" t="s">
        <v>1283</v>
      </c>
      <c r="W1614" s="10" t="s">
        <v>10624</v>
      </c>
      <c r="X1614" s="13" t="str">
        <f>HYPERLINK("https://my.pitchbook.com?p=405285-94P","View People Online")</f>
        <v>View People Online</v>
      </c>
    </row>
    <row r="1615">
      <c r="A1615" s="14" t="s">
        <v>11279</v>
      </c>
      <c r="B1615" s="14" t="s">
        <v>11280</v>
      </c>
      <c r="C1615" s="14" t="s">
        <v>7194</v>
      </c>
      <c r="D1615" s="14" t="s">
        <v>11281</v>
      </c>
      <c r="E1615" s="14" t="s">
        <v>10624</v>
      </c>
      <c r="F1615" s="14" t="s">
        <v>2652</v>
      </c>
      <c r="G1615" s="14" t="s">
        <v>11282</v>
      </c>
      <c r="H1615" s="15" t="s">
        <v>31</v>
      </c>
      <c r="I1615" s="15">
        <v>1.0</v>
      </c>
      <c r="J1615" s="15">
        <v>1.0</v>
      </c>
      <c r="K1615" s="15" t="s">
        <v>31</v>
      </c>
      <c r="L1615" s="16" t="s">
        <v>10641</v>
      </c>
      <c r="M1615" s="14" t="s">
        <v>11283</v>
      </c>
      <c r="N1615" s="14" t="s">
        <v>243</v>
      </c>
      <c r="O1615" s="16" t="s">
        <v>244</v>
      </c>
      <c r="P1615" s="14" t="s">
        <v>10643</v>
      </c>
      <c r="Q1615" s="14" t="s">
        <v>10644</v>
      </c>
      <c r="R1615" s="14" t="s">
        <v>247</v>
      </c>
      <c r="S1615" s="16" t="s">
        <v>10645</v>
      </c>
      <c r="T1615" s="14" t="s">
        <v>249</v>
      </c>
      <c r="U1615" s="16" t="s">
        <v>31</v>
      </c>
      <c r="V1615" s="14" t="s">
        <v>11284</v>
      </c>
      <c r="W1615" s="14" t="s">
        <v>10624</v>
      </c>
      <c r="X1615" s="17" t="str">
        <f>HYPERLINK("https://my.pitchbook.com?p=357450-49P","View People Online")</f>
        <v>View People Online</v>
      </c>
    </row>
    <row r="1616">
      <c r="A1616" s="2" t="s">
        <v>11285</v>
      </c>
      <c r="B1616" s="2" t="s">
        <v>11286</v>
      </c>
      <c r="C1616" s="2" t="s">
        <v>11287</v>
      </c>
      <c r="D1616" s="2" t="s">
        <v>11288</v>
      </c>
      <c r="E1616" s="2" t="s">
        <v>10624</v>
      </c>
      <c r="F1616" s="2" t="s">
        <v>371</v>
      </c>
      <c r="G1616" s="2" t="s">
        <v>11289</v>
      </c>
      <c r="H1616" s="3" t="s">
        <v>31</v>
      </c>
      <c r="I1616" s="3">
        <v>1.0</v>
      </c>
      <c r="J1616" s="3">
        <v>1.0</v>
      </c>
      <c r="K1616" s="3" t="s">
        <v>31</v>
      </c>
      <c r="L1616" s="4" t="s">
        <v>11105</v>
      </c>
      <c r="M1616" s="2" t="s">
        <v>11290</v>
      </c>
      <c r="N1616" s="2" t="s">
        <v>601</v>
      </c>
      <c r="O1616" s="4" t="s">
        <v>602</v>
      </c>
      <c r="P1616" s="2" t="s">
        <v>11107</v>
      </c>
      <c r="Q1616" s="2" t="s">
        <v>11108</v>
      </c>
      <c r="R1616" s="2" t="s">
        <v>31</v>
      </c>
      <c r="S1616" s="4" t="s">
        <v>3537</v>
      </c>
      <c r="T1616" s="2" t="s">
        <v>603</v>
      </c>
      <c r="U1616" s="4" t="s">
        <v>31</v>
      </c>
      <c r="V1616" s="2" t="s">
        <v>371</v>
      </c>
      <c r="W1616" s="2" t="s">
        <v>10624</v>
      </c>
      <c r="X1616" s="5" t="str">
        <f>HYPERLINK("https://my.pitchbook.com?p=369964-09P","View People Online")</f>
        <v>View People Online</v>
      </c>
    </row>
    <row r="1617">
      <c r="A1617" s="6" t="s">
        <v>11291</v>
      </c>
      <c r="B1617" s="6" t="s">
        <v>11292</v>
      </c>
      <c r="C1617" s="6" t="s">
        <v>11293</v>
      </c>
      <c r="D1617" s="6" t="s">
        <v>11294</v>
      </c>
      <c r="E1617" s="6" t="s">
        <v>10624</v>
      </c>
      <c r="F1617" s="6" t="s">
        <v>1283</v>
      </c>
      <c r="G1617" s="6" t="s">
        <v>11295</v>
      </c>
      <c r="H1617" s="7" t="s">
        <v>31</v>
      </c>
      <c r="I1617" s="7">
        <v>1.0</v>
      </c>
      <c r="J1617" s="7">
        <v>1.0</v>
      </c>
      <c r="K1617" s="7" t="s">
        <v>31</v>
      </c>
      <c r="L1617" s="8" t="s">
        <v>10626</v>
      </c>
      <c r="M1617" s="6" t="s">
        <v>11296</v>
      </c>
      <c r="N1617" s="6" t="s">
        <v>75</v>
      </c>
      <c r="O1617" s="8" t="s">
        <v>76</v>
      </c>
      <c r="P1617" s="6" t="s">
        <v>10628</v>
      </c>
      <c r="Q1617" s="6" t="s">
        <v>31</v>
      </c>
      <c r="R1617" s="6" t="s">
        <v>75</v>
      </c>
      <c r="S1617" s="8" t="s">
        <v>195</v>
      </c>
      <c r="T1617" s="6" t="s">
        <v>66</v>
      </c>
      <c r="U1617" s="8" t="s">
        <v>31</v>
      </c>
      <c r="V1617" s="6" t="s">
        <v>11297</v>
      </c>
      <c r="W1617" s="6" t="s">
        <v>10624</v>
      </c>
      <c r="X1617" s="9" t="str">
        <f>HYPERLINK("https://my.pitchbook.com?p=364131-55P","View People Online")</f>
        <v>View People Online</v>
      </c>
    </row>
    <row r="1618">
      <c r="A1618" s="2" t="s">
        <v>11298</v>
      </c>
      <c r="B1618" s="2" t="s">
        <v>11299</v>
      </c>
      <c r="C1618" s="2" t="s">
        <v>8294</v>
      </c>
      <c r="D1618" s="2" t="s">
        <v>11300</v>
      </c>
      <c r="E1618" s="2" t="s">
        <v>10624</v>
      </c>
      <c r="F1618" s="2" t="s">
        <v>270</v>
      </c>
      <c r="G1618" s="2" t="s">
        <v>11301</v>
      </c>
      <c r="H1618" s="3" t="s">
        <v>31</v>
      </c>
      <c r="I1618" s="3">
        <v>1.0</v>
      </c>
      <c r="J1618" s="3">
        <v>1.0</v>
      </c>
      <c r="K1618" s="3" t="s">
        <v>31</v>
      </c>
      <c r="L1618" s="4" t="s">
        <v>11302</v>
      </c>
      <c r="M1618" s="2" t="s">
        <v>11303</v>
      </c>
      <c r="N1618" s="2" t="s">
        <v>75</v>
      </c>
      <c r="O1618" s="4" t="s">
        <v>76</v>
      </c>
      <c r="P1618" s="2" t="s">
        <v>10628</v>
      </c>
      <c r="Q1618" s="2" t="s">
        <v>31</v>
      </c>
      <c r="R1618" s="2" t="s">
        <v>75</v>
      </c>
      <c r="S1618" s="4" t="s">
        <v>195</v>
      </c>
      <c r="T1618" s="2" t="s">
        <v>66</v>
      </c>
      <c r="U1618" s="4" t="s">
        <v>31</v>
      </c>
      <c r="V1618" s="2" t="s">
        <v>11304</v>
      </c>
      <c r="W1618" s="2" t="s">
        <v>10624</v>
      </c>
      <c r="X1618" s="5" t="str">
        <f>HYPERLINK("https://my.pitchbook.com?p=245491-30P","View People Online")</f>
        <v>View People Online</v>
      </c>
    </row>
    <row r="1619">
      <c r="A1619" s="14" t="s">
        <v>11305</v>
      </c>
      <c r="B1619" s="14" t="s">
        <v>11306</v>
      </c>
      <c r="C1619" s="14" t="s">
        <v>8294</v>
      </c>
      <c r="D1619" s="14" t="s">
        <v>11307</v>
      </c>
      <c r="E1619" s="14" t="s">
        <v>10624</v>
      </c>
      <c r="F1619" s="14" t="s">
        <v>548</v>
      </c>
      <c r="G1619" s="14" t="s">
        <v>11308</v>
      </c>
      <c r="H1619" s="15" t="s">
        <v>31</v>
      </c>
      <c r="I1619" s="15">
        <v>1.0</v>
      </c>
      <c r="J1619" s="15">
        <v>1.0</v>
      </c>
      <c r="K1619" s="15" t="s">
        <v>31</v>
      </c>
      <c r="L1619" s="16" t="s">
        <v>10626</v>
      </c>
      <c r="M1619" s="14" t="s">
        <v>11309</v>
      </c>
      <c r="N1619" s="14" t="s">
        <v>75</v>
      </c>
      <c r="O1619" s="16" t="s">
        <v>76</v>
      </c>
      <c r="P1619" s="14" t="s">
        <v>10628</v>
      </c>
      <c r="Q1619" s="14" t="s">
        <v>31</v>
      </c>
      <c r="R1619" s="14" t="s">
        <v>75</v>
      </c>
      <c r="S1619" s="16" t="s">
        <v>195</v>
      </c>
      <c r="T1619" s="14" t="s">
        <v>66</v>
      </c>
      <c r="U1619" s="16" t="s">
        <v>31</v>
      </c>
      <c r="V1619" s="14" t="s">
        <v>548</v>
      </c>
      <c r="W1619" s="14" t="s">
        <v>10624</v>
      </c>
      <c r="X1619" s="17" t="str">
        <f>HYPERLINK("https://my.pitchbook.com?p=372025-63P","View People Online")</f>
        <v>View People Online</v>
      </c>
    </row>
    <row r="1620">
      <c r="A1620" s="10" t="s">
        <v>11310</v>
      </c>
      <c r="B1620" s="10" t="s">
        <v>11311</v>
      </c>
      <c r="C1620" s="10" t="s">
        <v>11312</v>
      </c>
      <c r="D1620" s="10" t="s">
        <v>11313</v>
      </c>
      <c r="E1620" s="10" t="s">
        <v>10624</v>
      </c>
      <c r="F1620" s="10" t="s">
        <v>2652</v>
      </c>
      <c r="G1620" s="10" t="s">
        <v>11314</v>
      </c>
      <c r="H1620" s="11" t="s">
        <v>31</v>
      </c>
      <c r="I1620" s="11">
        <v>1.0</v>
      </c>
      <c r="J1620" s="11">
        <v>1.0</v>
      </c>
      <c r="K1620" s="11" t="s">
        <v>31</v>
      </c>
      <c r="L1620" s="12" t="s">
        <v>10626</v>
      </c>
      <c r="M1620" s="10" t="s">
        <v>11315</v>
      </c>
      <c r="N1620" s="10" t="s">
        <v>75</v>
      </c>
      <c r="O1620" s="12" t="s">
        <v>76</v>
      </c>
      <c r="P1620" s="10" t="s">
        <v>10628</v>
      </c>
      <c r="Q1620" s="10" t="s">
        <v>31</v>
      </c>
      <c r="R1620" s="10" t="s">
        <v>75</v>
      </c>
      <c r="S1620" s="12" t="s">
        <v>195</v>
      </c>
      <c r="T1620" s="10" t="s">
        <v>66</v>
      </c>
      <c r="U1620" s="12" t="s">
        <v>31</v>
      </c>
      <c r="V1620" s="10" t="s">
        <v>11316</v>
      </c>
      <c r="W1620" s="10" t="s">
        <v>10624</v>
      </c>
      <c r="X1620" s="13" t="str">
        <f>HYPERLINK("https://my.pitchbook.com?p=193552-75P","View People Online")</f>
        <v>View People Online</v>
      </c>
    </row>
    <row r="1621">
      <c r="A1621" s="14" t="s">
        <v>11317</v>
      </c>
      <c r="B1621" s="14" t="s">
        <v>11318</v>
      </c>
      <c r="C1621" s="14" t="s">
        <v>8834</v>
      </c>
      <c r="D1621" s="14" t="s">
        <v>11319</v>
      </c>
      <c r="E1621" s="14" t="s">
        <v>10624</v>
      </c>
      <c r="F1621" s="14" t="s">
        <v>8622</v>
      </c>
      <c r="G1621" s="14" t="s">
        <v>11320</v>
      </c>
      <c r="H1621" s="15">
        <v>2.0</v>
      </c>
      <c r="I1621" s="15">
        <v>3.0</v>
      </c>
      <c r="J1621" s="15">
        <v>2.0</v>
      </c>
      <c r="K1621" s="15" t="s">
        <v>31</v>
      </c>
      <c r="L1621" s="16" t="s">
        <v>10626</v>
      </c>
      <c r="M1621" s="14" t="s">
        <v>11321</v>
      </c>
      <c r="N1621" s="14" t="s">
        <v>75</v>
      </c>
      <c r="O1621" s="16" t="s">
        <v>76</v>
      </c>
      <c r="P1621" s="14" t="s">
        <v>10628</v>
      </c>
      <c r="Q1621" s="14" t="s">
        <v>31</v>
      </c>
      <c r="R1621" s="14" t="s">
        <v>75</v>
      </c>
      <c r="S1621" s="16" t="s">
        <v>195</v>
      </c>
      <c r="T1621" s="14" t="s">
        <v>66</v>
      </c>
      <c r="U1621" s="16" t="s">
        <v>31</v>
      </c>
      <c r="V1621" s="14" t="s">
        <v>8622</v>
      </c>
      <c r="W1621" s="14" t="s">
        <v>10624</v>
      </c>
      <c r="X1621" s="17" t="str">
        <f>HYPERLINK("https://my.pitchbook.com?p=32694-04P","View People Online")</f>
        <v>View People Online</v>
      </c>
    </row>
    <row r="1622">
      <c r="A1622" s="2" t="s">
        <v>11322</v>
      </c>
      <c r="B1622" s="2" t="s">
        <v>11323</v>
      </c>
      <c r="C1622" s="2" t="s">
        <v>11324</v>
      </c>
      <c r="D1622" s="2" t="s">
        <v>11325</v>
      </c>
      <c r="E1622" s="2" t="s">
        <v>10624</v>
      </c>
      <c r="F1622" s="2" t="s">
        <v>2652</v>
      </c>
      <c r="G1622" s="2" t="s">
        <v>11326</v>
      </c>
      <c r="H1622" s="3" t="s">
        <v>31</v>
      </c>
      <c r="I1622" s="3">
        <v>1.0</v>
      </c>
      <c r="J1622" s="3">
        <v>1.0</v>
      </c>
      <c r="K1622" s="3" t="s">
        <v>31</v>
      </c>
      <c r="L1622" s="4" t="s">
        <v>10626</v>
      </c>
      <c r="M1622" s="2" t="s">
        <v>11327</v>
      </c>
      <c r="N1622" s="2" t="s">
        <v>75</v>
      </c>
      <c r="O1622" s="4" t="s">
        <v>76</v>
      </c>
      <c r="P1622" s="2" t="s">
        <v>10628</v>
      </c>
      <c r="Q1622" s="2" t="s">
        <v>31</v>
      </c>
      <c r="R1622" s="2" t="s">
        <v>75</v>
      </c>
      <c r="S1622" s="4" t="s">
        <v>195</v>
      </c>
      <c r="T1622" s="2" t="s">
        <v>66</v>
      </c>
      <c r="U1622" s="4" t="s">
        <v>31</v>
      </c>
      <c r="V1622" s="2" t="s">
        <v>11328</v>
      </c>
      <c r="W1622" s="2" t="s">
        <v>10624</v>
      </c>
      <c r="X1622" s="5" t="str">
        <f>HYPERLINK("https://my.pitchbook.com?p=190216-09P","View People Online")</f>
        <v>View People Online</v>
      </c>
    </row>
    <row r="1623">
      <c r="A1623" s="14" t="s">
        <v>11329</v>
      </c>
      <c r="B1623" s="14" t="s">
        <v>11330</v>
      </c>
      <c r="C1623" s="14" t="s">
        <v>487</v>
      </c>
      <c r="D1623" s="14" t="s">
        <v>11331</v>
      </c>
      <c r="E1623" s="14" t="s">
        <v>10624</v>
      </c>
      <c r="F1623" s="14" t="s">
        <v>825</v>
      </c>
      <c r="G1623" s="14" t="s">
        <v>11332</v>
      </c>
      <c r="H1623" s="15" t="s">
        <v>31</v>
      </c>
      <c r="I1623" s="15">
        <v>1.0</v>
      </c>
      <c r="J1623" s="15">
        <v>1.0</v>
      </c>
      <c r="K1623" s="15" t="s">
        <v>31</v>
      </c>
      <c r="L1623" s="16" t="s">
        <v>10827</v>
      </c>
      <c r="M1623" s="14" t="s">
        <v>11333</v>
      </c>
      <c r="N1623" s="14" t="s">
        <v>429</v>
      </c>
      <c r="O1623" s="16" t="s">
        <v>430</v>
      </c>
      <c r="P1623" s="14" t="s">
        <v>10829</v>
      </c>
      <c r="Q1623" s="14" t="s">
        <v>10830</v>
      </c>
      <c r="R1623" s="14" t="s">
        <v>31</v>
      </c>
      <c r="S1623" s="16" t="s">
        <v>10831</v>
      </c>
      <c r="T1623" s="14" t="s">
        <v>433</v>
      </c>
      <c r="U1623" s="16" t="s">
        <v>31</v>
      </c>
      <c r="V1623" s="14" t="s">
        <v>11334</v>
      </c>
      <c r="W1623" s="14" t="s">
        <v>10624</v>
      </c>
      <c r="X1623" s="17" t="str">
        <f>HYPERLINK("https://my.pitchbook.com?p=348682-96P","View People Online")</f>
        <v>View People Online</v>
      </c>
    </row>
    <row r="1624">
      <c r="A1624" s="2" t="s">
        <v>11335</v>
      </c>
      <c r="B1624" s="2" t="s">
        <v>11336</v>
      </c>
      <c r="C1624" s="2" t="s">
        <v>1849</v>
      </c>
      <c r="D1624" s="2" t="s">
        <v>11337</v>
      </c>
      <c r="E1624" s="2" t="s">
        <v>10624</v>
      </c>
      <c r="F1624" s="2" t="s">
        <v>11257</v>
      </c>
      <c r="G1624" s="2" t="s">
        <v>11338</v>
      </c>
      <c r="H1624" s="3" t="s">
        <v>31</v>
      </c>
      <c r="I1624" s="3">
        <v>1.0</v>
      </c>
      <c r="J1624" s="3">
        <v>1.0</v>
      </c>
      <c r="K1624" s="3" t="s">
        <v>31</v>
      </c>
      <c r="L1624" s="4" t="s">
        <v>10641</v>
      </c>
      <c r="M1624" s="2" t="s">
        <v>11339</v>
      </c>
      <c r="N1624" s="2" t="s">
        <v>243</v>
      </c>
      <c r="O1624" s="4" t="s">
        <v>244</v>
      </c>
      <c r="P1624" s="2" t="s">
        <v>10643</v>
      </c>
      <c r="Q1624" s="2" t="s">
        <v>10644</v>
      </c>
      <c r="R1624" s="2" t="s">
        <v>247</v>
      </c>
      <c r="S1624" s="4" t="s">
        <v>10645</v>
      </c>
      <c r="T1624" s="2" t="s">
        <v>249</v>
      </c>
      <c r="U1624" s="4" t="s">
        <v>31</v>
      </c>
      <c r="V1624" s="2" t="s">
        <v>11257</v>
      </c>
      <c r="W1624" s="2" t="s">
        <v>10624</v>
      </c>
      <c r="X1624" s="5" t="str">
        <f>HYPERLINK("https://my.pitchbook.com?p=160212-88P","View People Online")</f>
        <v>View People Online</v>
      </c>
    </row>
    <row r="1625">
      <c r="A1625" s="6" t="s">
        <v>11340</v>
      </c>
      <c r="B1625" s="6" t="s">
        <v>11341</v>
      </c>
      <c r="C1625" s="6" t="s">
        <v>11342</v>
      </c>
      <c r="D1625" s="6" t="s">
        <v>11343</v>
      </c>
      <c r="E1625" s="6" t="s">
        <v>10624</v>
      </c>
      <c r="F1625" s="6" t="s">
        <v>78</v>
      </c>
      <c r="G1625" s="6" t="s">
        <v>11344</v>
      </c>
      <c r="H1625" s="7" t="s">
        <v>31</v>
      </c>
      <c r="I1625" s="7">
        <v>1.0</v>
      </c>
      <c r="J1625" s="7">
        <v>1.0</v>
      </c>
      <c r="K1625" s="7" t="s">
        <v>31</v>
      </c>
      <c r="L1625" s="8" t="s">
        <v>10626</v>
      </c>
      <c r="M1625" s="6" t="s">
        <v>11345</v>
      </c>
      <c r="N1625" s="6" t="s">
        <v>75</v>
      </c>
      <c r="O1625" s="8" t="s">
        <v>76</v>
      </c>
      <c r="P1625" s="6" t="s">
        <v>10628</v>
      </c>
      <c r="Q1625" s="6" t="s">
        <v>31</v>
      </c>
      <c r="R1625" s="6" t="s">
        <v>75</v>
      </c>
      <c r="S1625" s="8" t="s">
        <v>195</v>
      </c>
      <c r="T1625" s="6" t="s">
        <v>66</v>
      </c>
      <c r="U1625" s="8" t="s">
        <v>31</v>
      </c>
      <c r="V1625" s="6" t="s">
        <v>11346</v>
      </c>
      <c r="W1625" s="6" t="s">
        <v>10624</v>
      </c>
      <c r="X1625" s="9" t="str">
        <f>HYPERLINK("https://my.pitchbook.com?p=366290-20P","View People Online")</f>
        <v>View People Online</v>
      </c>
    </row>
    <row r="1626">
      <c r="A1626" s="10" t="s">
        <v>11347</v>
      </c>
      <c r="B1626" s="10" t="s">
        <v>11348</v>
      </c>
      <c r="C1626" s="10" t="s">
        <v>1471</v>
      </c>
      <c r="D1626" s="10" t="s">
        <v>11349</v>
      </c>
      <c r="E1626" s="10" t="s">
        <v>10624</v>
      </c>
      <c r="F1626" s="10" t="s">
        <v>825</v>
      </c>
      <c r="G1626" s="10" t="s">
        <v>11350</v>
      </c>
      <c r="H1626" s="11" t="s">
        <v>31</v>
      </c>
      <c r="I1626" s="11">
        <v>1.0</v>
      </c>
      <c r="J1626" s="11">
        <v>1.0</v>
      </c>
      <c r="K1626" s="11" t="s">
        <v>31</v>
      </c>
      <c r="L1626" s="12" t="s">
        <v>10652</v>
      </c>
      <c r="M1626" s="10" t="s">
        <v>11351</v>
      </c>
      <c r="N1626" s="10" t="s">
        <v>2273</v>
      </c>
      <c r="O1626" s="12" t="s">
        <v>2274</v>
      </c>
      <c r="P1626" s="10" t="s">
        <v>10654</v>
      </c>
      <c r="Q1626" s="10" t="s">
        <v>10655</v>
      </c>
      <c r="R1626" s="10" t="s">
        <v>31</v>
      </c>
      <c r="S1626" s="12" t="s">
        <v>10656</v>
      </c>
      <c r="T1626" s="10" t="s">
        <v>2278</v>
      </c>
      <c r="U1626" s="12" t="s">
        <v>31</v>
      </c>
      <c r="V1626" s="10" t="s">
        <v>11352</v>
      </c>
      <c r="W1626" s="10" t="s">
        <v>10624</v>
      </c>
      <c r="X1626" s="13" t="str">
        <f>HYPERLINK("https://my.pitchbook.com?p=364855-96P","View People Online")</f>
        <v>View People Online</v>
      </c>
    </row>
    <row r="1627">
      <c r="A1627" s="6" t="s">
        <v>11353</v>
      </c>
      <c r="B1627" s="6" t="s">
        <v>11354</v>
      </c>
      <c r="C1627" s="6" t="s">
        <v>1471</v>
      </c>
      <c r="D1627" s="6" t="s">
        <v>11355</v>
      </c>
      <c r="E1627" s="6" t="s">
        <v>10624</v>
      </c>
      <c r="F1627" s="6" t="s">
        <v>4931</v>
      </c>
      <c r="G1627" s="6" t="s">
        <v>11356</v>
      </c>
      <c r="H1627" s="7" t="s">
        <v>31</v>
      </c>
      <c r="I1627" s="7">
        <v>1.0</v>
      </c>
      <c r="J1627" s="7">
        <v>1.0</v>
      </c>
      <c r="K1627" s="7" t="s">
        <v>31</v>
      </c>
      <c r="L1627" s="8" t="s">
        <v>11357</v>
      </c>
      <c r="M1627" s="6" t="s">
        <v>11358</v>
      </c>
      <c r="N1627" s="6" t="s">
        <v>205</v>
      </c>
      <c r="O1627" s="8" t="s">
        <v>206</v>
      </c>
      <c r="P1627" s="6" t="s">
        <v>11359</v>
      </c>
      <c r="Q1627" s="6" t="s">
        <v>11360</v>
      </c>
      <c r="R1627" s="6" t="s">
        <v>209</v>
      </c>
      <c r="S1627" s="8" t="s">
        <v>210</v>
      </c>
      <c r="T1627" s="6" t="s">
        <v>66</v>
      </c>
      <c r="U1627" s="8" t="s">
        <v>31</v>
      </c>
      <c r="V1627" s="6" t="s">
        <v>11361</v>
      </c>
      <c r="W1627" s="6" t="s">
        <v>10624</v>
      </c>
      <c r="X1627" s="9" t="str">
        <f>HYPERLINK("https://my.pitchbook.com?p=58447-54P","View People Online")</f>
        <v>View People Online</v>
      </c>
    </row>
    <row r="1628">
      <c r="A1628" s="2" t="s">
        <v>11362</v>
      </c>
      <c r="B1628" s="2" t="s">
        <v>11363</v>
      </c>
      <c r="C1628" s="2" t="s">
        <v>11364</v>
      </c>
      <c r="D1628" s="2" t="s">
        <v>11365</v>
      </c>
      <c r="E1628" s="2" t="s">
        <v>10624</v>
      </c>
      <c r="F1628" s="2" t="s">
        <v>371</v>
      </c>
      <c r="G1628" s="2" t="s">
        <v>11366</v>
      </c>
      <c r="H1628" s="3" t="s">
        <v>31</v>
      </c>
      <c r="I1628" s="3">
        <v>1.0</v>
      </c>
      <c r="J1628" s="3">
        <v>1.0</v>
      </c>
      <c r="K1628" s="3" t="s">
        <v>31</v>
      </c>
      <c r="L1628" s="4" t="s">
        <v>11105</v>
      </c>
      <c r="M1628" s="2" t="s">
        <v>11367</v>
      </c>
      <c r="N1628" s="2" t="s">
        <v>601</v>
      </c>
      <c r="O1628" s="4" t="s">
        <v>602</v>
      </c>
      <c r="P1628" s="2" t="s">
        <v>11107</v>
      </c>
      <c r="Q1628" s="2" t="s">
        <v>11108</v>
      </c>
      <c r="R1628" s="2" t="s">
        <v>31</v>
      </c>
      <c r="S1628" s="4" t="s">
        <v>3537</v>
      </c>
      <c r="T1628" s="2" t="s">
        <v>603</v>
      </c>
      <c r="U1628" s="4" t="s">
        <v>31</v>
      </c>
      <c r="V1628" s="2" t="s">
        <v>371</v>
      </c>
      <c r="W1628" s="2" t="s">
        <v>10624</v>
      </c>
      <c r="X1628" s="5" t="str">
        <f>HYPERLINK("https://my.pitchbook.com?p=369824-95P","View People Online")</f>
        <v>View People Online</v>
      </c>
    </row>
    <row r="1629">
      <c r="A1629" s="14" t="s">
        <v>11368</v>
      </c>
      <c r="B1629" s="14" t="s">
        <v>11369</v>
      </c>
      <c r="C1629" s="14" t="s">
        <v>11370</v>
      </c>
      <c r="D1629" s="14" t="s">
        <v>11371</v>
      </c>
      <c r="E1629" s="14" t="s">
        <v>10624</v>
      </c>
      <c r="F1629" s="14" t="s">
        <v>1283</v>
      </c>
      <c r="G1629" s="14" t="s">
        <v>11372</v>
      </c>
      <c r="H1629" s="15" t="s">
        <v>31</v>
      </c>
      <c r="I1629" s="15">
        <v>1.0</v>
      </c>
      <c r="J1629" s="15">
        <v>1.0</v>
      </c>
      <c r="K1629" s="15" t="s">
        <v>31</v>
      </c>
      <c r="L1629" s="16" t="s">
        <v>10626</v>
      </c>
      <c r="M1629" s="14" t="s">
        <v>11373</v>
      </c>
      <c r="N1629" s="14" t="s">
        <v>75</v>
      </c>
      <c r="O1629" s="16" t="s">
        <v>76</v>
      </c>
      <c r="P1629" s="14" t="s">
        <v>10628</v>
      </c>
      <c r="Q1629" s="14" t="s">
        <v>31</v>
      </c>
      <c r="R1629" s="14" t="s">
        <v>75</v>
      </c>
      <c r="S1629" s="16" t="s">
        <v>195</v>
      </c>
      <c r="T1629" s="14" t="s">
        <v>66</v>
      </c>
      <c r="U1629" s="16" t="s">
        <v>31</v>
      </c>
      <c r="V1629" s="14" t="s">
        <v>1283</v>
      </c>
      <c r="W1629" s="14" t="s">
        <v>10624</v>
      </c>
      <c r="X1629" s="17" t="str">
        <f>HYPERLINK("https://my.pitchbook.com?p=33699-97P","View People Online")</f>
        <v>View People Online</v>
      </c>
    </row>
    <row r="1630">
      <c r="A1630" s="10" t="s">
        <v>11374</v>
      </c>
      <c r="B1630" s="10" t="s">
        <v>11375</v>
      </c>
      <c r="C1630" s="10" t="s">
        <v>11376</v>
      </c>
      <c r="D1630" s="10" t="s">
        <v>4923</v>
      </c>
      <c r="E1630" s="10" t="s">
        <v>10624</v>
      </c>
      <c r="F1630" s="10" t="s">
        <v>2652</v>
      </c>
      <c r="G1630" s="10" t="s">
        <v>11377</v>
      </c>
      <c r="H1630" s="11" t="s">
        <v>31</v>
      </c>
      <c r="I1630" s="11">
        <v>11.0</v>
      </c>
      <c r="J1630" s="11">
        <v>2.0</v>
      </c>
      <c r="K1630" s="11">
        <v>7.0</v>
      </c>
      <c r="L1630" s="12" t="s">
        <v>11179</v>
      </c>
      <c r="M1630" s="10" t="s">
        <v>11378</v>
      </c>
      <c r="N1630" s="10" t="s">
        <v>4232</v>
      </c>
      <c r="O1630" s="12" t="s">
        <v>4233</v>
      </c>
      <c r="P1630" s="10" t="s">
        <v>11181</v>
      </c>
      <c r="Q1630" s="10" t="s">
        <v>31</v>
      </c>
      <c r="R1630" s="10" t="s">
        <v>4236</v>
      </c>
      <c r="S1630" s="12" t="s">
        <v>11182</v>
      </c>
      <c r="T1630" s="10" t="s">
        <v>66</v>
      </c>
      <c r="U1630" s="12" t="s">
        <v>31</v>
      </c>
      <c r="V1630" s="10" t="s">
        <v>11379</v>
      </c>
      <c r="W1630" s="10" t="s">
        <v>10624</v>
      </c>
      <c r="X1630" s="13" t="str">
        <f>HYPERLINK("https://my.pitchbook.com?p=80069-95P","View People Online")</f>
        <v>View People Online</v>
      </c>
    </row>
    <row r="1631">
      <c r="A1631" s="6" t="s">
        <v>11380</v>
      </c>
      <c r="B1631" s="6" t="s">
        <v>11381</v>
      </c>
      <c r="C1631" s="6" t="s">
        <v>11376</v>
      </c>
      <c r="D1631" s="6" t="s">
        <v>11382</v>
      </c>
      <c r="E1631" s="6" t="s">
        <v>10624</v>
      </c>
      <c r="F1631" s="6" t="s">
        <v>548</v>
      </c>
      <c r="G1631" s="6" t="s">
        <v>11383</v>
      </c>
      <c r="H1631" s="7" t="s">
        <v>31</v>
      </c>
      <c r="I1631" s="7">
        <v>1.0</v>
      </c>
      <c r="J1631" s="7">
        <v>1.0</v>
      </c>
      <c r="K1631" s="7" t="s">
        <v>31</v>
      </c>
      <c r="L1631" s="8" t="s">
        <v>10641</v>
      </c>
      <c r="M1631" s="6" t="s">
        <v>31</v>
      </c>
      <c r="N1631" s="6" t="s">
        <v>243</v>
      </c>
      <c r="O1631" s="8" t="s">
        <v>244</v>
      </c>
      <c r="P1631" s="6" t="s">
        <v>10643</v>
      </c>
      <c r="Q1631" s="6" t="s">
        <v>10644</v>
      </c>
      <c r="R1631" s="6" t="s">
        <v>247</v>
      </c>
      <c r="S1631" s="8" t="s">
        <v>10645</v>
      </c>
      <c r="T1631" s="6" t="s">
        <v>249</v>
      </c>
      <c r="U1631" s="8" t="s">
        <v>31</v>
      </c>
      <c r="V1631" s="6" t="s">
        <v>11384</v>
      </c>
      <c r="W1631" s="6" t="s">
        <v>10624</v>
      </c>
      <c r="X1631" s="9" t="str">
        <f>HYPERLINK("https://my.pitchbook.com?p=364122-19P","View People Online")</f>
        <v>View People Online</v>
      </c>
    </row>
    <row r="1632">
      <c r="A1632" s="2" t="s">
        <v>11385</v>
      </c>
      <c r="B1632" s="2" t="s">
        <v>11386</v>
      </c>
      <c r="C1632" s="2" t="s">
        <v>11387</v>
      </c>
      <c r="D1632" s="2" t="s">
        <v>1800</v>
      </c>
      <c r="E1632" s="2" t="s">
        <v>10624</v>
      </c>
      <c r="F1632" s="2" t="s">
        <v>2652</v>
      </c>
      <c r="G1632" s="2" t="s">
        <v>11388</v>
      </c>
      <c r="H1632" s="3" t="s">
        <v>31</v>
      </c>
      <c r="I1632" s="3">
        <v>3.0</v>
      </c>
      <c r="J1632" s="3">
        <v>1.0</v>
      </c>
      <c r="K1632" s="3">
        <v>2.0</v>
      </c>
      <c r="L1632" s="4" t="s">
        <v>10626</v>
      </c>
      <c r="M1632" s="2" t="s">
        <v>11389</v>
      </c>
      <c r="N1632" s="2" t="s">
        <v>75</v>
      </c>
      <c r="O1632" s="4" t="s">
        <v>76</v>
      </c>
      <c r="P1632" s="2" t="s">
        <v>10628</v>
      </c>
      <c r="Q1632" s="2" t="s">
        <v>31</v>
      </c>
      <c r="R1632" s="2" t="s">
        <v>75</v>
      </c>
      <c r="S1632" s="4" t="s">
        <v>195</v>
      </c>
      <c r="T1632" s="2" t="s">
        <v>66</v>
      </c>
      <c r="U1632" s="4" t="s">
        <v>31</v>
      </c>
      <c r="V1632" s="2" t="s">
        <v>11390</v>
      </c>
      <c r="W1632" s="2" t="s">
        <v>10624</v>
      </c>
      <c r="X1632" s="5" t="str">
        <f>HYPERLINK("https://my.pitchbook.com?p=228083-32P","View People Online")</f>
        <v>View People Online</v>
      </c>
    </row>
    <row r="1633">
      <c r="A1633" s="14" t="s">
        <v>11391</v>
      </c>
      <c r="B1633" s="14" t="s">
        <v>11392</v>
      </c>
      <c r="C1633" s="14" t="s">
        <v>2109</v>
      </c>
      <c r="D1633" s="14" t="s">
        <v>11393</v>
      </c>
      <c r="E1633" s="14" t="s">
        <v>10624</v>
      </c>
      <c r="F1633" s="14" t="s">
        <v>11394</v>
      </c>
      <c r="G1633" s="14" t="s">
        <v>11395</v>
      </c>
      <c r="H1633" s="15" t="s">
        <v>31</v>
      </c>
      <c r="I1633" s="15">
        <v>1.0</v>
      </c>
      <c r="J1633" s="15">
        <v>1.0</v>
      </c>
      <c r="K1633" s="15" t="s">
        <v>31</v>
      </c>
      <c r="L1633" s="16" t="s">
        <v>10626</v>
      </c>
      <c r="M1633" s="14" t="s">
        <v>11396</v>
      </c>
      <c r="N1633" s="14" t="s">
        <v>75</v>
      </c>
      <c r="O1633" s="16" t="s">
        <v>76</v>
      </c>
      <c r="P1633" s="14" t="s">
        <v>10628</v>
      </c>
      <c r="Q1633" s="14" t="s">
        <v>31</v>
      </c>
      <c r="R1633" s="14" t="s">
        <v>75</v>
      </c>
      <c r="S1633" s="16" t="s">
        <v>195</v>
      </c>
      <c r="T1633" s="14" t="s">
        <v>66</v>
      </c>
      <c r="U1633" s="16" t="s">
        <v>31</v>
      </c>
      <c r="V1633" s="14" t="s">
        <v>11397</v>
      </c>
      <c r="W1633" s="14" t="s">
        <v>10624</v>
      </c>
      <c r="X1633" s="17" t="str">
        <f>HYPERLINK("https://my.pitchbook.com?p=380782-27P","View People Online")</f>
        <v>View People Online</v>
      </c>
    </row>
    <row r="1634">
      <c r="A1634" s="2" t="s">
        <v>11398</v>
      </c>
      <c r="B1634" s="2" t="s">
        <v>11399</v>
      </c>
      <c r="C1634" s="2" t="s">
        <v>11400</v>
      </c>
      <c r="D1634" s="2" t="s">
        <v>666</v>
      </c>
      <c r="E1634" s="2" t="s">
        <v>10624</v>
      </c>
      <c r="F1634" s="2" t="s">
        <v>1283</v>
      </c>
      <c r="G1634" s="2" t="s">
        <v>11401</v>
      </c>
      <c r="H1634" s="3" t="s">
        <v>31</v>
      </c>
      <c r="I1634" s="3">
        <v>1.0</v>
      </c>
      <c r="J1634" s="3">
        <v>1.0</v>
      </c>
      <c r="K1634" s="3" t="s">
        <v>31</v>
      </c>
      <c r="L1634" s="4" t="s">
        <v>11144</v>
      </c>
      <c r="M1634" s="2" t="s">
        <v>11402</v>
      </c>
      <c r="N1634" s="2" t="s">
        <v>1034</v>
      </c>
      <c r="O1634" s="4" t="s">
        <v>1035</v>
      </c>
      <c r="P1634" s="2" t="s">
        <v>11146</v>
      </c>
      <c r="Q1634" s="2" t="s">
        <v>11147</v>
      </c>
      <c r="R1634" s="2" t="s">
        <v>31</v>
      </c>
      <c r="S1634" s="4" t="s">
        <v>11148</v>
      </c>
      <c r="T1634" s="2" t="s">
        <v>1034</v>
      </c>
      <c r="U1634" s="4" t="s">
        <v>31</v>
      </c>
      <c r="V1634" s="2" t="s">
        <v>1283</v>
      </c>
      <c r="W1634" s="2" t="s">
        <v>10624</v>
      </c>
      <c r="X1634" s="5" t="str">
        <f>HYPERLINK("https://my.pitchbook.com?p=48079-72P","View People Online")</f>
        <v>View People Online</v>
      </c>
    </row>
    <row r="1635">
      <c r="A1635" s="14" t="s">
        <v>11403</v>
      </c>
      <c r="B1635" s="14" t="s">
        <v>11404</v>
      </c>
      <c r="C1635" s="14" t="s">
        <v>11405</v>
      </c>
      <c r="D1635" s="14" t="s">
        <v>11406</v>
      </c>
      <c r="E1635" s="14" t="s">
        <v>10624</v>
      </c>
      <c r="F1635" s="14" t="s">
        <v>1283</v>
      </c>
      <c r="G1635" s="14" t="s">
        <v>11407</v>
      </c>
      <c r="H1635" s="15" t="s">
        <v>31</v>
      </c>
      <c r="I1635" s="15">
        <v>1.0</v>
      </c>
      <c r="J1635" s="15">
        <v>1.0</v>
      </c>
      <c r="K1635" s="15" t="s">
        <v>31</v>
      </c>
      <c r="L1635" s="16" t="s">
        <v>10626</v>
      </c>
      <c r="M1635" s="14" t="s">
        <v>11408</v>
      </c>
      <c r="N1635" s="14" t="s">
        <v>75</v>
      </c>
      <c r="O1635" s="16" t="s">
        <v>76</v>
      </c>
      <c r="P1635" s="14" t="s">
        <v>10628</v>
      </c>
      <c r="Q1635" s="14" t="s">
        <v>31</v>
      </c>
      <c r="R1635" s="14" t="s">
        <v>75</v>
      </c>
      <c r="S1635" s="16" t="s">
        <v>195</v>
      </c>
      <c r="T1635" s="14" t="s">
        <v>66</v>
      </c>
      <c r="U1635" s="16" t="s">
        <v>31</v>
      </c>
      <c r="V1635" s="14" t="s">
        <v>1283</v>
      </c>
      <c r="W1635" s="14" t="s">
        <v>10624</v>
      </c>
      <c r="X1635" s="17" t="str">
        <f>HYPERLINK("https://my.pitchbook.com?p=308837-35P","View People Online")</f>
        <v>View People Online</v>
      </c>
    </row>
    <row r="1636">
      <c r="A1636" s="10" t="s">
        <v>11409</v>
      </c>
      <c r="B1636" s="10" t="s">
        <v>11410</v>
      </c>
      <c r="C1636" s="10" t="s">
        <v>11411</v>
      </c>
      <c r="D1636" s="10" t="s">
        <v>11412</v>
      </c>
      <c r="E1636" s="10" t="s">
        <v>10624</v>
      </c>
      <c r="F1636" s="10" t="s">
        <v>3823</v>
      </c>
      <c r="G1636" s="10" t="s">
        <v>11413</v>
      </c>
      <c r="H1636" s="11" t="s">
        <v>31</v>
      </c>
      <c r="I1636" s="11">
        <v>1.0</v>
      </c>
      <c r="J1636" s="11">
        <v>1.0</v>
      </c>
      <c r="K1636" s="11" t="s">
        <v>31</v>
      </c>
      <c r="L1636" s="12" t="s">
        <v>10827</v>
      </c>
      <c r="M1636" s="10" t="s">
        <v>11414</v>
      </c>
      <c r="N1636" s="10" t="s">
        <v>429</v>
      </c>
      <c r="O1636" s="12" t="s">
        <v>430</v>
      </c>
      <c r="P1636" s="10" t="s">
        <v>10829</v>
      </c>
      <c r="Q1636" s="10" t="s">
        <v>10830</v>
      </c>
      <c r="R1636" s="10" t="s">
        <v>31</v>
      </c>
      <c r="S1636" s="12" t="s">
        <v>10831</v>
      </c>
      <c r="T1636" s="10" t="s">
        <v>433</v>
      </c>
      <c r="U1636" s="12" t="s">
        <v>31</v>
      </c>
      <c r="V1636" s="10" t="s">
        <v>11415</v>
      </c>
      <c r="W1636" s="10" t="s">
        <v>10624</v>
      </c>
      <c r="X1636" s="13" t="str">
        <f>HYPERLINK("https://my.pitchbook.com?p=187739-65P","View People Online")</f>
        <v>View People Online</v>
      </c>
    </row>
    <row r="1637">
      <c r="A1637" s="6" t="s">
        <v>11416</v>
      </c>
      <c r="B1637" s="6" t="s">
        <v>11417</v>
      </c>
      <c r="C1637" s="6" t="s">
        <v>4351</v>
      </c>
      <c r="D1637" s="6" t="s">
        <v>11418</v>
      </c>
      <c r="E1637" s="6" t="s">
        <v>10624</v>
      </c>
      <c r="F1637" s="6" t="s">
        <v>1283</v>
      </c>
      <c r="G1637" s="6" t="s">
        <v>11419</v>
      </c>
      <c r="H1637" s="7" t="s">
        <v>31</v>
      </c>
      <c r="I1637" s="7">
        <v>2.0</v>
      </c>
      <c r="J1637" s="7">
        <v>1.0</v>
      </c>
      <c r="K1637" s="7">
        <v>1.0</v>
      </c>
      <c r="L1637" s="8" t="s">
        <v>10626</v>
      </c>
      <c r="M1637" s="6" t="s">
        <v>11420</v>
      </c>
      <c r="N1637" s="6" t="s">
        <v>75</v>
      </c>
      <c r="O1637" s="8" t="s">
        <v>76</v>
      </c>
      <c r="P1637" s="6" t="s">
        <v>10628</v>
      </c>
      <c r="Q1637" s="6" t="s">
        <v>31</v>
      </c>
      <c r="R1637" s="6" t="s">
        <v>75</v>
      </c>
      <c r="S1637" s="8" t="s">
        <v>195</v>
      </c>
      <c r="T1637" s="6" t="s">
        <v>66</v>
      </c>
      <c r="U1637" s="8" t="s">
        <v>31</v>
      </c>
      <c r="V1637" s="6" t="s">
        <v>1283</v>
      </c>
      <c r="W1637" s="6" t="s">
        <v>10624</v>
      </c>
      <c r="X1637" s="9" t="str">
        <f>HYPERLINK("https://my.pitchbook.com?p=431696-62P","View People Online")</f>
        <v>View People Online</v>
      </c>
    </row>
    <row r="1638">
      <c r="A1638" s="2" t="s">
        <v>11421</v>
      </c>
      <c r="B1638" s="2" t="s">
        <v>11422</v>
      </c>
      <c r="C1638" s="2" t="s">
        <v>6531</v>
      </c>
      <c r="D1638" s="2" t="s">
        <v>3637</v>
      </c>
      <c r="E1638" s="2" t="s">
        <v>10624</v>
      </c>
      <c r="F1638" s="2" t="s">
        <v>825</v>
      </c>
      <c r="G1638" s="2" t="s">
        <v>11423</v>
      </c>
      <c r="H1638" s="3" t="s">
        <v>31</v>
      </c>
      <c r="I1638" s="3">
        <v>1.0</v>
      </c>
      <c r="J1638" s="3">
        <v>1.0</v>
      </c>
      <c r="K1638" s="3" t="s">
        <v>31</v>
      </c>
      <c r="L1638" s="4" t="s">
        <v>11424</v>
      </c>
      <c r="M1638" s="2" t="s">
        <v>11425</v>
      </c>
      <c r="N1638" s="2" t="s">
        <v>3753</v>
      </c>
      <c r="O1638" s="4" t="s">
        <v>3754</v>
      </c>
      <c r="P1638" s="2" t="s">
        <v>11426</v>
      </c>
      <c r="Q1638" s="2" t="s">
        <v>11427</v>
      </c>
      <c r="R1638" s="2" t="s">
        <v>31</v>
      </c>
      <c r="S1638" s="4" t="s">
        <v>11428</v>
      </c>
      <c r="T1638" s="2" t="s">
        <v>3339</v>
      </c>
      <c r="U1638" s="4" t="s">
        <v>31</v>
      </c>
      <c r="V1638" s="2" t="s">
        <v>11429</v>
      </c>
      <c r="W1638" s="2" t="s">
        <v>10624</v>
      </c>
      <c r="X1638" s="5" t="str">
        <f>HYPERLINK("https://my.pitchbook.com?p=379549-72P","View People Online")</f>
        <v>View People Online</v>
      </c>
    </row>
    <row r="1639">
      <c r="A1639" s="14" t="s">
        <v>11430</v>
      </c>
      <c r="B1639" s="14" t="s">
        <v>11431</v>
      </c>
      <c r="C1639" s="14" t="s">
        <v>3521</v>
      </c>
      <c r="D1639" s="14" t="s">
        <v>11432</v>
      </c>
      <c r="E1639" s="14" t="s">
        <v>10624</v>
      </c>
      <c r="F1639" s="14" t="s">
        <v>548</v>
      </c>
      <c r="G1639" s="14" t="s">
        <v>11433</v>
      </c>
      <c r="H1639" s="15" t="s">
        <v>31</v>
      </c>
      <c r="I1639" s="15">
        <v>8.0</v>
      </c>
      <c r="J1639" s="15">
        <v>1.0</v>
      </c>
      <c r="K1639" s="15" t="s">
        <v>31</v>
      </c>
      <c r="L1639" s="16" t="s">
        <v>10626</v>
      </c>
      <c r="M1639" s="14" t="s">
        <v>11434</v>
      </c>
      <c r="N1639" s="14" t="s">
        <v>75</v>
      </c>
      <c r="O1639" s="16" t="s">
        <v>76</v>
      </c>
      <c r="P1639" s="14" t="s">
        <v>10628</v>
      </c>
      <c r="Q1639" s="14" t="s">
        <v>31</v>
      </c>
      <c r="R1639" s="14" t="s">
        <v>75</v>
      </c>
      <c r="S1639" s="16" t="s">
        <v>195</v>
      </c>
      <c r="T1639" s="14" t="s">
        <v>66</v>
      </c>
      <c r="U1639" s="16" t="s">
        <v>31</v>
      </c>
      <c r="V1639" s="14" t="s">
        <v>548</v>
      </c>
      <c r="W1639" s="14" t="s">
        <v>10624</v>
      </c>
      <c r="X1639" s="17" t="str">
        <f>HYPERLINK("https://my.pitchbook.com?p=396435-70P","View People Online")</f>
        <v>View People Online</v>
      </c>
    </row>
    <row r="1640">
      <c r="A1640" s="2" t="s">
        <v>11435</v>
      </c>
      <c r="B1640" s="2" t="s">
        <v>11436</v>
      </c>
      <c r="C1640" s="2" t="s">
        <v>11437</v>
      </c>
      <c r="D1640" s="2" t="s">
        <v>11438</v>
      </c>
      <c r="E1640" s="2" t="s">
        <v>10624</v>
      </c>
      <c r="F1640" s="2" t="s">
        <v>825</v>
      </c>
      <c r="G1640" s="2" t="s">
        <v>11439</v>
      </c>
      <c r="H1640" s="3" t="s">
        <v>31</v>
      </c>
      <c r="I1640" s="3">
        <v>1.0</v>
      </c>
      <c r="J1640" s="3">
        <v>1.0</v>
      </c>
      <c r="K1640" s="3" t="s">
        <v>31</v>
      </c>
      <c r="L1640" s="4" t="s">
        <v>10626</v>
      </c>
      <c r="M1640" s="2" t="s">
        <v>11440</v>
      </c>
      <c r="N1640" s="2" t="s">
        <v>75</v>
      </c>
      <c r="O1640" s="4" t="s">
        <v>76</v>
      </c>
      <c r="P1640" s="2" t="s">
        <v>10628</v>
      </c>
      <c r="Q1640" s="2" t="s">
        <v>31</v>
      </c>
      <c r="R1640" s="2" t="s">
        <v>75</v>
      </c>
      <c r="S1640" s="4" t="s">
        <v>195</v>
      </c>
      <c r="T1640" s="2" t="s">
        <v>66</v>
      </c>
      <c r="U1640" s="4" t="s">
        <v>31</v>
      </c>
      <c r="V1640" s="2" t="s">
        <v>11441</v>
      </c>
      <c r="W1640" s="2" t="s">
        <v>10624</v>
      </c>
      <c r="X1640" s="5" t="str">
        <f>HYPERLINK("https://my.pitchbook.com?p=339788-71P","View People Online")</f>
        <v>View People Online</v>
      </c>
    </row>
    <row r="1641">
      <c r="A1641" s="14" t="s">
        <v>11442</v>
      </c>
      <c r="B1641" s="14" t="s">
        <v>11443</v>
      </c>
      <c r="C1641" s="14" t="s">
        <v>11444</v>
      </c>
      <c r="D1641" s="14" t="s">
        <v>11445</v>
      </c>
      <c r="E1641" s="14" t="s">
        <v>10624</v>
      </c>
      <c r="F1641" s="14" t="s">
        <v>825</v>
      </c>
      <c r="G1641" s="14" t="s">
        <v>11446</v>
      </c>
      <c r="H1641" s="15" t="s">
        <v>31</v>
      </c>
      <c r="I1641" s="15">
        <v>1.0</v>
      </c>
      <c r="J1641" s="15">
        <v>1.0</v>
      </c>
      <c r="K1641" s="15" t="s">
        <v>31</v>
      </c>
      <c r="L1641" s="16" t="s">
        <v>10626</v>
      </c>
      <c r="M1641" s="14" t="s">
        <v>11447</v>
      </c>
      <c r="N1641" s="14" t="s">
        <v>75</v>
      </c>
      <c r="O1641" s="16" t="s">
        <v>76</v>
      </c>
      <c r="P1641" s="14" t="s">
        <v>10628</v>
      </c>
      <c r="Q1641" s="14" t="s">
        <v>31</v>
      </c>
      <c r="R1641" s="14" t="s">
        <v>75</v>
      </c>
      <c r="S1641" s="16" t="s">
        <v>195</v>
      </c>
      <c r="T1641" s="14" t="s">
        <v>66</v>
      </c>
      <c r="U1641" s="16" t="s">
        <v>31</v>
      </c>
      <c r="V1641" s="14" t="s">
        <v>11448</v>
      </c>
      <c r="W1641" s="14" t="s">
        <v>10624</v>
      </c>
      <c r="X1641" s="17" t="str">
        <f>HYPERLINK("https://my.pitchbook.com?p=412078-24P","View People Online")</f>
        <v>View People Online</v>
      </c>
    </row>
    <row r="1642">
      <c r="A1642" s="2" t="s">
        <v>11449</v>
      </c>
      <c r="B1642" s="2" t="s">
        <v>11450</v>
      </c>
      <c r="C1642" s="2" t="s">
        <v>11451</v>
      </c>
      <c r="D1642" s="2" t="s">
        <v>11452</v>
      </c>
      <c r="E1642" s="2" t="s">
        <v>10624</v>
      </c>
      <c r="F1642" s="2" t="s">
        <v>371</v>
      </c>
      <c r="G1642" s="2" t="s">
        <v>11453</v>
      </c>
      <c r="H1642" s="3" t="s">
        <v>31</v>
      </c>
      <c r="I1642" s="3">
        <v>1.0</v>
      </c>
      <c r="J1642" s="3">
        <v>1.0</v>
      </c>
      <c r="K1642" s="3" t="s">
        <v>31</v>
      </c>
      <c r="L1642" s="4" t="s">
        <v>10626</v>
      </c>
      <c r="M1642" s="2" t="s">
        <v>11454</v>
      </c>
      <c r="N1642" s="2" t="s">
        <v>75</v>
      </c>
      <c r="O1642" s="4" t="s">
        <v>76</v>
      </c>
      <c r="P1642" s="2" t="s">
        <v>10628</v>
      </c>
      <c r="Q1642" s="2" t="s">
        <v>31</v>
      </c>
      <c r="R1642" s="2" t="s">
        <v>75</v>
      </c>
      <c r="S1642" s="4" t="s">
        <v>195</v>
      </c>
      <c r="T1642" s="2" t="s">
        <v>66</v>
      </c>
      <c r="U1642" s="4" t="s">
        <v>31</v>
      </c>
      <c r="V1642" s="2" t="s">
        <v>11455</v>
      </c>
      <c r="W1642" s="2" t="s">
        <v>10624</v>
      </c>
      <c r="X1642" s="5" t="str">
        <f>HYPERLINK("https://my.pitchbook.com?p=338864-14P","View People Online")</f>
        <v>View People Online</v>
      </c>
    </row>
    <row r="1643">
      <c r="A1643" s="6" t="s">
        <v>11456</v>
      </c>
      <c r="B1643" s="6" t="s">
        <v>11457</v>
      </c>
      <c r="C1643" s="6" t="s">
        <v>3650</v>
      </c>
      <c r="D1643" s="6" t="s">
        <v>11458</v>
      </c>
      <c r="E1643" s="6" t="s">
        <v>10624</v>
      </c>
      <c r="F1643" s="6" t="s">
        <v>270</v>
      </c>
      <c r="G1643" s="6" t="s">
        <v>11459</v>
      </c>
      <c r="H1643" s="7" t="s">
        <v>31</v>
      </c>
      <c r="I1643" s="7">
        <v>1.0</v>
      </c>
      <c r="J1643" s="7">
        <v>1.0</v>
      </c>
      <c r="K1643" s="7" t="s">
        <v>31</v>
      </c>
      <c r="L1643" s="8" t="s">
        <v>10626</v>
      </c>
      <c r="M1643" s="6" t="s">
        <v>11460</v>
      </c>
      <c r="N1643" s="6" t="s">
        <v>75</v>
      </c>
      <c r="O1643" s="8" t="s">
        <v>76</v>
      </c>
      <c r="P1643" s="6" t="s">
        <v>10628</v>
      </c>
      <c r="Q1643" s="6" t="s">
        <v>31</v>
      </c>
      <c r="R1643" s="6" t="s">
        <v>75</v>
      </c>
      <c r="S1643" s="8" t="s">
        <v>195</v>
      </c>
      <c r="T1643" s="6" t="s">
        <v>66</v>
      </c>
      <c r="U1643" s="8" t="s">
        <v>31</v>
      </c>
      <c r="V1643" s="6" t="s">
        <v>11461</v>
      </c>
      <c r="W1643" s="6" t="s">
        <v>10624</v>
      </c>
      <c r="X1643" s="9" t="str">
        <f>HYPERLINK("https://my.pitchbook.com?p=39059-11P","View People Online")</f>
        <v>View People Online</v>
      </c>
    </row>
    <row r="1644">
      <c r="A1644" s="2" t="s">
        <v>11462</v>
      </c>
      <c r="B1644" s="2" t="s">
        <v>11463</v>
      </c>
      <c r="C1644" s="2" t="s">
        <v>8956</v>
      </c>
      <c r="D1644" s="2" t="s">
        <v>11464</v>
      </c>
      <c r="E1644" s="2" t="s">
        <v>10624</v>
      </c>
      <c r="F1644" s="2" t="s">
        <v>825</v>
      </c>
      <c r="G1644" s="2" t="s">
        <v>11465</v>
      </c>
      <c r="H1644" s="3" t="s">
        <v>31</v>
      </c>
      <c r="I1644" s="3">
        <v>1.0</v>
      </c>
      <c r="J1644" s="3">
        <v>1.0</v>
      </c>
      <c r="K1644" s="3" t="s">
        <v>31</v>
      </c>
      <c r="L1644" s="4" t="s">
        <v>10626</v>
      </c>
      <c r="M1644" s="2" t="s">
        <v>11466</v>
      </c>
      <c r="N1644" s="2" t="s">
        <v>75</v>
      </c>
      <c r="O1644" s="4" t="s">
        <v>76</v>
      </c>
      <c r="P1644" s="2" t="s">
        <v>10628</v>
      </c>
      <c r="Q1644" s="2" t="s">
        <v>31</v>
      </c>
      <c r="R1644" s="2" t="s">
        <v>75</v>
      </c>
      <c r="S1644" s="4" t="s">
        <v>195</v>
      </c>
      <c r="T1644" s="2" t="s">
        <v>66</v>
      </c>
      <c r="U1644" s="4" t="s">
        <v>31</v>
      </c>
      <c r="V1644" s="2" t="s">
        <v>11467</v>
      </c>
      <c r="W1644" s="2" t="s">
        <v>10624</v>
      </c>
      <c r="X1644" s="5" t="str">
        <f>HYPERLINK("https://my.pitchbook.com?p=263834-92P","View People Online")</f>
        <v>View People Online</v>
      </c>
    </row>
    <row r="1645">
      <c r="A1645" s="6" t="s">
        <v>11468</v>
      </c>
      <c r="B1645" s="6" t="s">
        <v>11469</v>
      </c>
      <c r="C1645" s="6" t="s">
        <v>823</v>
      </c>
      <c r="D1645" s="6" t="s">
        <v>11470</v>
      </c>
      <c r="E1645" s="6" t="s">
        <v>10624</v>
      </c>
      <c r="F1645" s="6" t="s">
        <v>29</v>
      </c>
      <c r="G1645" s="6" t="s">
        <v>11471</v>
      </c>
      <c r="H1645" s="7" t="s">
        <v>31</v>
      </c>
      <c r="I1645" s="7">
        <v>3.0</v>
      </c>
      <c r="J1645" s="7">
        <v>1.0</v>
      </c>
      <c r="K1645" s="7">
        <v>1.0</v>
      </c>
      <c r="L1645" s="8" t="s">
        <v>10626</v>
      </c>
      <c r="M1645" s="6" t="s">
        <v>11472</v>
      </c>
      <c r="N1645" s="6" t="s">
        <v>75</v>
      </c>
      <c r="O1645" s="8" t="s">
        <v>76</v>
      </c>
      <c r="P1645" s="6" t="s">
        <v>10628</v>
      </c>
      <c r="Q1645" s="6" t="s">
        <v>31</v>
      </c>
      <c r="R1645" s="6" t="s">
        <v>75</v>
      </c>
      <c r="S1645" s="8" t="s">
        <v>195</v>
      </c>
      <c r="T1645" s="6" t="s">
        <v>66</v>
      </c>
      <c r="U1645" s="8" t="s">
        <v>31</v>
      </c>
      <c r="V1645" s="6" t="s">
        <v>11473</v>
      </c>
      <c r="W1645" s="6" t="s">
        <v>10624</v>
      </c>
      <c r="X1645" s="9" t="str">
        <f>HYPERLINK("https://my.pitchbook.com?p=389328-31P","View People Online")</f>
        <v>View People Online</v>
      </c>
    </row>
    <row r="1646">
      <c r="A1646" s="10" t="s">
        <v>11474</v>
      </c>
      <c r="B1646" s="10" t="s">
        <v>11475</v>
      </c>
      <c r="C1646" s="10" t="s">
        <v>823</v>
      </c>
      <c r="D1646" s="10" t="s">
        <v>11476</v>
      </c>
      <c r="E1646" s="10" t="s">
        <v>10624</v>
      </c>
      <c r="F1646" s="10" t="s">
        <v>221</v>
      </c>
      <c r="G1646" s="10" t="s">
        <v>11477</v>
      </c>
      <c r="H1646" s="11" t="s">
        <v>31</v>
      </c>
      <c r="I1646" s="11">
        <v>1.0</v>
      </c>
      <c r="J1646" s="11">
        <v>1.0</v>
      </c>
      <c r="K1646" s="11" t="s">
        <v>31</v>
      </c>
      <c r="L1646" s="12" t="s">
        <v>10641</v>
      </c>
      <c r="M1646" s="10" t="s">
        <v>11478</v>
      </c>
      <c r="N1646" s="10" t="s">
        <v>243</v>
      </c>
      <c r="O1646" s="12" t="s">
        <v>244</v>
      </c>
      <c r="P1646" s="10" t="s">
        <v>10643</v>
      </c>
      <c r="Q1646" s="10" t="s">
        <v>10644</v>
      </c>
      <c r="R1646" s="10" t="s">
        <v>247</v>
      </c>
      <c r="S1646" s="12" t="s">
        <v>10645</v>
      </c>
      <c r="T1646" s="10" t="s">
        <v>249</v>
      </c>
      <c r="U1646" s="12" t="s">
        <v>31</v>
      </c>
      <c r="V1646" s="10" t="s">
        <v>11479</v>
      </c>
      <c r="W1646" s="10" t="s">
        <v>10624</v>
      </c>
      <c r="X1646" s="13" t="str">
        <f>HYPERLINK("https://my.pitchbook.com?p=415417-69P","View People Online")</f>
        <v>View People Online</v>
      </c>
    </row>
    <row r="1647">
      <c r="A1647" s="14" t="s">
        <v>11480</v>
      </c>
      <c r="B1647" s="14" t="s">
        <v>11481</v>
      </c>
      <c r="C1647" s="14" t="s">
        <v>823</v>
      </c>
      <c r="D1647" s="14" t="s">
        <v>11482</v>
      </c>
      <c r="E1647" s="14" t="s">
        <v>10624</v>
      </c>
      <c r="F1647" s="14" t="s">
        <v>10639</v>
      </c>
      <c r="G1647" s="14" t="s">
        <v>11483</v>
      </c>
      <c r="H1647" s="15">
        <v>1.0</v>
      </c>
      <c r="I1647" s="15">
        <v>3.0</v>
      </c>
      <c r="J1647" s="15">
        <v>2.0</v>
      </c>
      <c r="K1647" s="15">
        <v>1.0</v>
      </c>
      <c r="L1647" s="16" t="s">
        <v>10899</v>
      </c>
      <c r="M1647" s="14" t="s">
        <v>11484</v>
      </c>
      <c r="N1647" s="14" t="s">
        <v>1181</v>
      </c>
      <c r="O1647" s="16" t="s">
        <v>1182</v>
      </c>
      <c r="P1647" s="14" t="s">
        <v>10901</v>
      </c>
      <c r="Q1647" s="14" t="s">
        <v>31</v>
      </c>
      <c r="R1647" s="14" t="s">
        <v>1185</v>
      </c>
      <c r="S1647" s="16" t="s">
        <v>10902</v>
      </c>
      <c r="T1647" s="14" t="s">
        <v>66</v>
      </c>
      <c r="U1647" s="16" t="s">
        <v>31</v>
      </c>
      <c r="V1647" s="14" t="s">
        <v>11485</v>
      </c>
      <c r="W1647" s="14" t="s">
        <v>10624</v>
      </c>
      <c r="X1647" s="17" t="str">
        <f>HYPERLINK("https://my.pitchbook.com?p=58274-56P","View People Online")</f>
        <v>View People Online</v>
      </c>
    </row>
    <row r="1648">
      <c r="A1648" s="2" t="s">
        <v>11486</v>
      </c>
      <c r="B1648" s="2" t="s">
        <v>11487</v>
      </c>
      <c r="C1648" s="2" t="s">
        <v>823</v>
      </c>
      <c r="D1648" s="2" t="s">
        <v>11488</v>
      </c>
      <c r="E1648" s="2" t="s">
        <v>10624</v>
      </c>
      <c r="F1648" s="2" t="s">
        <v>1283</v>
      </c>
      <c r="G1648" s="2" t="s">
        <v>11489</v>
      </c>
      <c r="H1648" s="3" t="s">
        <v>31</v>
      </c>
      <c r="I1648" s="3">
        <v>1.0</v>
      </c>
      <c r="J1648" s="3">
        <v>1.0</v>
      </c>
      <c r="K1648" s="3" t="s">
        <v>31</v>
      </c>
      <c r="L1648" s="4" t="s">
        <v>10626</v>
      </c>
      <c r="M1648" s="2" t="s">
        <v>11490</v>
      </c>
      <c r="N1648" s="2" t="s">
        <v>75</v>
      </c>
      <c r="O1648" s="4" t="s">
        <v>76</v>
      </c>
      <c r="P1648" s="2" t="s">
        <v>10628</v>
      </c>
      <c r="Q1648" s="2" t="s">
        <v>31</v>
      </c>
      <c r="R1648" s="2" t="s">
        <v>75</v>
      </c>
      <c r="S1648" s="4" t="s">
        <v>195</v>
      </c>
      <c r="T1648" s="2" t="s">
        <v>66</v>
      </c>
      <c r="U1648" s="4" t="s">
        <v>31</v>
      </c>
      <c r="V1648" s="2" t="s">
        <v>1283</v>
      </c>
      <c r="W1648" s="2" t="s">
        <v>10624</v>
      </c>
      <c r="X1648" s="5" t="str">
        <f>HYPERLINK("https://my.pitchbook.com?p=330773-95P","View People Online")</f>
        <v>View People Online</v>
      </c>
    </row>
    <row r="1649">
      <c r="A1649" s="6" t="s">
        <v>11491</v>
      </c>
      <c r="B1649" s="6" t="s">
        <v>11492</v>
      </c>
      <c r="C1649" s="6" t="s">
        <v>823</v>
      </c>
      <c r="D1649" s="6" t="s">
        <v>11493</v>
      </c>
      <c r="E1649" s="6" t="s">
        <v>10624</v>
      </c>
      <c r="F1649" s="6" t="s">
        <v>1283</v>
      </c>
      <c r="G1649" s="6" t="s">
        <v>11494</v>
      </c>
      <c r="H1649" s="7" t="s">
        <v>31</v>
      </c>
      <c r="I1649" s="7">
        <v>3.0</v>
      </c>
      <c r="J1649" s="7">
        <v>3.0</v>
      </c>
      <c r="K1649" s="7" t="s">
        <v>31</v>
      </c>
      <c r="L1649" s="8" t="s">
        <v>11495</v>
      </c>
      <c r="M1649" s="6" t="s">
        <v>11496</v>
      </c>
      <c r="N1649" s="6" t="s">
        <v>243</v>
      </c>
      <c r="O1649" s="8" t="s">
        <v>244</v>
      </c>
      <c r="P1649" s="6" t="s">
        <v>11497</v>
      </c>
      <c r="Q1649" s="6" t="s">
        <v>11498</v>
      </c>
      <c r="R1649" s="6" t="s">
        <v>247</v>
      </c>
      <c r="S1649" s="8" t="s">
        <v>11499</v>
      </c>
      <c r="T1649" s="6" t="s">
        <v>249</v>
      </c>
      <c r="U1649" s="8" t="s">
        <v>31</v>
      </c>
      <c r="V1649" s="6" t="s">
        <v>11500</v>
      </c>
      <c r="W1649" s="6" t="s">
        <v>11501</v>
      </c>
      <c r="X1649" s="9" t="str">
        <f>HYPERLINK("https://my.pitchbook.com?p=339810-76P","View People Online")</f>
        <v>View People Online</v>
      </c>
    </row>
    <row r="1650">
      <c r="A1650" s="10" t="s">
        <v>11502</v>
      </c>
      <c r="B1650" s="10" t="s">
        <v>11503</v>
      </c>
      <c r="C1650" s="10" t="s">
        <v>11504</v>
      </c>
      <c r="D1650" s="10" t="s">
        <v>11505</v>
      </c>
      <c r="E1650" s="10" t="s">
        <v>10624</v>
      </c>
      <c r="F1650" s="10" t="s">
        <v>548</v>
      </c>
      <c r="G1650" s="10" t="s">
        <v>11506</v>
      </c>
      <c r="H1650" s="11" t="s">
        <v>31</v>
      </c>
      <c r="I1650" s="11">
        <v>1.0</v>
      </c>
      <c r="J1650" s="11">
        <v>1.0</v>
      </c>
      <c r="K1650" s="11" t="s">
        <v>31</v>
      </c>
      <c r="L1650" s="12" t="s">
        <v>10641</v>
      </c>
      <c r="M1650" s="10" t="s">
        <v>11507</v>
      </c>
      <c r="N1650" s="10" t="s">
        <v>243</v>
      </c>
      <c r="O1650" s="12" t="s">
        <v>244</v>
      </c>
      <c r="P1650" s="10" t="s">
        <v>10643</v>
      </c>
      <c r="Q1650" s="10" t="s">
        <v>10644</v>
      </c>
      <c r="R1650" s="10" t="s">
        <v>247</v>
      </c>
      <c r="S1650" s="12" t="s">
        <v>10645</v>
      </c>
      <c r="T1650" s="10" t="s">
        <v>249</v>
      </c>
      <c r="U1650" s="12" t="s">
        <v>31</v>
      </c>
      <c r="V1650" s="10" t="s">
        <v>11508</v>
      </c>
      <c r="W1650" s="10" t="s">
        <v>10624</v>
      </c>
      <c r="X1650" s="13" t="str">
        <f>HYPERLINK("https://my.pitchbook.com?p=346070-44P","View People Online")</f>
        <v>View People Online</v>
      </c>
    </row>
    <row r="1651">
      <c r="A1651" s="14" t="s">
        <v>11509</v>
      </c>
      <c r="B1651" s="14" t="s">
        <v>11510</v>
      </c>
      <c r="C1651" s="14" t="s">
        <v>11511</v>
      </c>
      <c r="D1651" s="14" t="s">
        <v>11512</v>
      </c>
      <c r="E1651" s="14" t="s">
        <v>10624</v>
      </c>
      <c r="F1651" s="14" t="s">
        <v>2652</v>
      </c>
      <c r="G1651" s="14" t="s">
        <v>11513</v>
      </c>
      <c r="H1651" s="15" t="s">
        <v>31</v>
      </c>
      <c r="I1651" s="15">
        <v>1.0</v>
      </c>
      <c r="J1651" s="15">
        <v>1.0</v>
      </c>
      <c r="K1651" s="15" t="s">
        <v>31</v>
      </c>
      <c r="L1651" s="16" t="s">
        <v>10626</v>
      </c>
      <c r="M1651" s="14" t="s">
        <v>11514</v>
      </c>
      <c r="N1651" s="14" t="s">
        <v>75</v>
      </c>
      <c r="O1651" s="16" t="s">
        <v>76</v>
      </c>
      <c r="P1651" s="14" t="s">
        <v>10628</v>
      </c>
      <c r="Q1651" s="14" t="s">
        <v>31</v>
      </c>
      <c r="R1651" s="14" t="s">
        <v>75</v>
      </c>
      <c r="S1651" s="16" t="s">
        <v>195</v>
      </c>
      <c r="T1651" s="14" t="s">
        <v>66</v>
      </c>
      <c r="U1651" s="16" t="s">
        <v>31</v>
      </c>
      <c r="V1651" s="14" t="s">
        <v>11515</v>
      </c>
      <c r="W1651" s="14" t="s">
        <v>10624</v>
      </c>
      <c r="X1651" s="17" t="str">
        <f>HYPERLINK("https://my.pitchbook.com?p=348803-02P","View People Online")</f>
        <v>View People Online</v>
      </c>
    </row>
    <row r="1652">
      <c r="A1652" s="10" t="s">
        <v>11516</v>
      </c>
      <c r="B1652" s="10" t="s">
        <v>11517</v>
      </c>
      <c r="C1652" s="10" t="s">
        <v>3529</v>
      </c>
      <c r="D1652" s="10" t="s">
        <v>4526</v>
      </c>
      <c r="E1652" s="10" t="s">
        <v>10624</v>
      </c>
      <c r="F1652" s="10" t="s">
        <v>825</v>
      </c>
      <c r="G1652" s="10" t="s">
        <v>11518</v>
      </c>
      <c r="H1652" s="11" t="s">
        <v>31</v>
      </c>
      <c r="I1652" s="11">
        <v>1.0</v>
      </c>
      <c r="J1652" s="11">
        <v>1.0</v>
      </c>
      <c r="K1652" s="11" t="s">
        <v>31</v>
      </c>
      <c r="L1652" s="12" t="s">
        <v>11519</v>
      </c>
      <c r="M1652" s="10" t="s">
        <v>11520</v>
      </c>
      <c r="N1652" s="10" t="s">
        <v>2478</v>
      </c>
      <c r="O1652" s="12" t="s">
        <v>7332</v>
      </c>
      <c r="P1652" s="10" t="s">
        <v>11521</v>
      </c>
      <c r="Q1652" s="10" t="s">
        <v>11522</v>
      </c>
      <c r="R1652" s="10" t="s">
        <v>7335</v>
      </c>
      <c r="S1652" s="12" t="s">
        <v>7336</v>
      </c>
      <c r="T1652" s="10" t="s">
        <v>5484</v>
      </c>
      <c r="U1652" s="12" t="s">
        <v>31</v>
      </c>
      <c r="V1652" s="10" t="s">
        <v>11523</v>
      </c>
      <c r="W1652" s="10" t="s">
        <v>10624</v>
      </c>
      <c r="X1652" s="13" t="str">
        <f>HYPERLINK("https://my.pitchbook.com?p=52098-49P","View People Online")</f>
        <v>View People Online</v>
      </c>
    </row>
    <row r="1653">
      <c r="A1653" s="6" t="s">
        <v>11524</v>
      </c>
      <c r="B1653" s="6" t="s">
        <v>11525</v>
      </c>
      <c r="C1653" s="6" t="s">
        <v>3529</v>
      </c>
      <c r="D1653" s="6" t="s">
        <v>11526</v>
      </c>
      <c r="E1653" s="6" t="s">
        <v>10624</v>
      </c>
      <c r="F1653" s="6" t="s">
        <v>11527</v>
      </c>
      <c r="G1653" s="6" t="s">
        <v>11528</v>
      </c>
      <c r="H1653" s="7" t="s">
        <v>31</v>
      </c>
      <c r="I1653" s="7">
        <v>3.0</v>
      </c>
      <c r="J1653" s="7">
        <v>2.0</v>
      </c>
      <c r="K1653" s="7" t="s">
        <v>31</v>
      </c>
      <c r="L1653" s="8" t="s">
        <v>11529</v>
      </c>
      <c r="M1653" s="6" t="s">
        <v>31</v>
      </c>
      <c r="N1653" s="6" t="s">
        <v>11530</v>
      </c>
      <c r="O1653" s="8" t="s">
        <v>11531</v>
      </c>
      <c r="P1653" s="6" t="s">
        <v>11532</v>
      </c>
      <c r="Q1653" s="6" t="s">
        <v>720</v>
      </c>
      <c r="R1653" s="6" t="s">
        <v>64</v>
      </c>
      <c r="S1653" s="8" t="s">
        <v>11533</v>
      </c>
      <c r="T1653" s="6" t="s">
        <v>66</v>
      </c>
      <c r="U1653" s="8" t="s">
        <v>31</v>
      </c>
      <c r="V1653" s="6" t="s">
        <v>583</v>
      </c>
      <c r="W1653" s="6" t="s">
        <v>11534</v>
      </c>
      <c r="X1653" s="9" t="str">
        <f>HYPERLINK("https://my.pitchbook.com?p=399510-73P","View People Online")</f>
        <v>View People Online</v>
      </c>
    </row>
    <row r="1654">
      <c r="A1654" s="10" t="s">
        <v>11535</v>
      </c>
      <c r="B1654" s="10" t="s">
        <v>11536</v>
      </c>
      <c r="C1654" s="10" t="s">
        <v>7503</v>
      </c>
      <c r="D1654" s="10" t="s">
        <v>11537</v>
      </c>
      <c r="E1654" s="10" t="s">
        <v>10624</v>
      </c>
      <c r="F1654" s="10" t="s">
        <v>825</v>
      </c>
      <c r="G1654" s="10" t="s">
        <v>11538</v>
      </c>
      <c r="H1654" s="11" t="s">
        <v>31</v>
      </c>
      <c r="I1654" s="11">
        <v>1.0</v>
      </c>
      <c r="J1654" s="11">
        <v>1.0</v>
      </c>
      <c r="K1654" s="11" t="s">
        <v>31</v>
      </c>
      <c r="L1654" s="12" t="s">
        <v>10641</v>
      </c>
      <c r="M1654" s="10" t="s">
        <v>11539</v>
      </c>
      <c r="N1654" s="10" t="s">
        <v>243</v>
      </c>
      <c r="O1654" s="12" t="s">
        <v>244</v>
      </c>
      <c r="P1654" s="10" t="s">
        <v>10643</v>
      </c>
      <c r="Q1654" s="10" t="s">
        <v>10644</v>
      </c>
      <c r="R1654" s="10" t="s">
        <v>247</v>
      </c>
      <c r="S1654" s="12" t="s">
        <v>10645</v>
      </c>
      <c r="T1654" s="10" t="s">
        <v>249</v>
      </c>
      <c r="U1654" s="12" t="s">
        <v>31</v>
      </c>
      <c r="V1654" s="10" t="s">
        <v>11540</v>
      </c>
      <c r="W1654" s="10" t="s">
        <v>10624</v>
      </c>
      <c r="X1654" s="13" t="str">
        <f>HYPERLINK("https://my.pitchbook.com?p=75755-26P","View People Online")</f>
        <v>View People Online</v>
      </c>
    </row>
    <row r="1655">
      <c r="A1655" s="14" t="s">
        <v>11541</v>
      </c>
      <c r="B1655" s="14" t="s">
        <v>11542</v>
      </c>
      <c r="C1655" s="14" t="s">
        <v>11543</v>
      </c>
      <c r="D1655" s="14" t="s">
        <v>11544</v>
      </c>
      <c r="E1655" s="14" t="s">
        <v>10624</v>
      </c>
      <c r="F1655" s="14" t="s">
        <v>2652</v>
      </c>
      <c r="G1655" s="14" t="s">
        <v>11545</v>
      </c>
      <c r="H1655" s="15" t="s">
        <v>31</v>
      </c>
      <c r="I1655" s="15">
        <v>1.0</v>
      </c>
      <c r="J1655" s="15">
        <v>1.0</v>
      </c>
      <c r="K1655" s="15" t="s">
        <v>31</v>
      </c>
      <c r="L1655" s="16" t="s">
        <v>11546</v>
      </c>
      <c r="M1655" s="14" t="s">
        <v>11547</v>
      </c>
      <c r="N1655" s="14" t="s">
        <v>243</v>
      </c>
      <c r="O1655" s="16" t="s">
        <v>244</v>
      </c>
      <c r="P1655" s="14" t="s">
        <v>10643</v>
      </c>
      <c r="Q1655" s="14" t="s">
        <v>10644</v>
      </c>
      <c r="R1655" s="14" t="s">
        <v>247</v>
      </c>
      <c r="S1655" s="16" t="s">
        <v>10645</v>
      </c>
      <c r="T1655" s="14" t="s">
        <v>249</v>
      </c>
      <c r="U1655" s="16" t="s">
        <v>31</v>
      </c>
      <c r="V1655" s="14" t="s">
        <v>11548</v>
      </c>
      <c r="W1655" s="14" t="s">
        <v>10624</v>
      </c>
      <c r="X1655" s="17" t="str">
        <f>HYPERLINK("https://my.pitchbook.com?p=44746-57P","View People Online")</f>
        <v>View People Online</v>
      </c>
    </row>
    <row r="1656">
      <c r="A1656" s="10" t="s">
        <v>11549</v>
      </c>
      <c r="B1656" s="10" t="s">
        <v>11550</v>
      </c>
      <c r="C1656" s="10" t="s">
        <v>11551</v>
      </c>
      <c r="D1656" s="10" t="s">
        <v>11552</v>
      </c>
      <c r="E1656" s="10" t="s">
        <v>10624</v>
      </c>
      <c r="F1656" s="10" t="s">
        <v>583</v>
      </c>
      <c r="G1656" s="10" t="s">
        <v>11553</v>
      </c>
      <c r="H1656" s="11">
        <v>1.0</v>
      </c>
      <c r="I1656" s="11">
        <v>2.0</v>
      </c>
      <c r="J1656" s="11">
        <v>1.0</v>
      </c>
      <c r="K1656" s="11" t="s">
        <v>31</v>
      </c>
      <c r="L1656" s="12" t="s">
        <v>10827</v>
      </c>
      <c r="M1656" s="10" t="s">
        <v>11554</v>
      </c>
      <c r="N1656" s="10" t="s">
        <v>429</v>
      </c>
      <c r="O1656" s="12" t="s">
        <v>430</v>
      </c>
      <c r="P1656" s="10" t="s">
        <v>10829</v>
      </c>
      <c r="Q1656" s="10" t="s">
        <v>10830</v>
      </c>
      <c r="R1656" s="10" t="s">
        <v>31</v>
      </c>
      <c r="S1656" s="12" t="s">
        <v>10831</v>
      </c>
      <c r="T1656" s="10" t="s">
        <v>433</v>
      </c>
      <c r="U1656" s="12" t="s">
        <v>31</v>
      </c>
      <c r="V1656" s="10" t="s">
        <v>583</v>
      </c>
      <c r="W1656" s="10" t="s">
        <v>10624</v>
      </c>
      <c r="X1656" s="13" t="str">
        <f>HYPERLINK("https://my.pitchbook.com?p=63193-15P","View People Online")</f>
        <v>View People Online</v>
      </c>
    </row>
    <row r="1657">
      <c r="A1657" s="6" t="s">
        <v>11555</v>
      </c>
      <c r="B1657" s="6" t="s">
        <v>11556</v>
      </c>
      <c r="C1657" s="6" t="s">
        <v>7201</v>
      </c>
      <c r="D1657" s="6" t="s">
        <v>11557</v>
      </c>
      <c r="E1657" s="6" t="s">
        <v>10624</v>
      </c>
      <c r="F1657" s="6" t="s">
        <v>825</v>
      </c>
      <c r="G1657" s="6" t="s">
        <v>11558</v>
      </c>
      <c r="H1657" s="7" t="s">
        <v>31</v>
      </c>
      <c r="I1657" s="7">
        <v>1.0</v>
      </c>
      <c r="J1657" s="7">
        <v>1.0</v>
      </c>
      <c r="K1657" s="7" t="s">
        <v>31</v>
      </c>
      <c r="L1657" s="8" t="s">
        <v>10641</v>
      </c>
      <c r="M1657" s="6" t="s">
        <v>11559</v>
      </c>
      <c r="N1657" s="6" t="s">
        <v>243</v>
      </c>
      <c r="O1657" s="8" t="s">
        <v>244</v>
      </c>
      <c r="P1657" s="6" t="s">
        <v>10643</v>
      </c>
      <c r="Q1657" s="6" t="s">
        <v>10644</v>
      </c>
      <c r="R1657" s="6" t="s">
        <v>247</v>
      </c>
      <c r="S1657" s="8" t="s">
        <v>10645</v>
      </c>
      <c r="T1657" s="6" t="s">
        <v>249</v>
      </c>
      <c r="U1657" s="8" t="s">
        <v>31</v>
      </c>
      <c r="V1657" s="6" t="s">
        <v>11560</v>
      </c>
      <c r="W1657" s="6" t="s">
        <v>10624</v>
      </c>
      <c r="X1657" s="9" t="str">
        <f>HYPERLINK("https://my.pitchbook.com?p=172117-72P","View People Online")</f>
        <v>View People Online</v>
      </c>
    </row>
    <row r="1658">
      <c r="A1658" s="2" t="s">
        <v>11561</v>
      </c>
      <c r="B1658" s="2" t="s">
        <v>11562</v>
      </c>
      <c r="C1658" s="2" t="s">
        <v>26</v>
      </c>
      <c r="D1658" s="2" t="s">
        <v>11563</v>
      </c>
      <c r="E1658" s="2" t="s">
        <v>10624</v>
      </c>
      <c r="F1658" s="2" t="s">
        <v>10762</v>
      </c>
      <c r="G1658" s="2" t="s">
        <v>11564</v>
      </c>
      <c r="H1658" s="3" t="s">
        <v>31</v>
      </c>
      <c r="I1658" s="3">
        <v>1.0</v>
      </c>
      <c r="J1658" s="3">
        <v>1.0</v>
      </c>
      <c r="K1658" s="3" t="s">
        <v>31</v>
      </c>
      <c r="L1658" s="4" t="s">
        <v>10626</v>
      </c>
      <c r="M1658" s="2" t="s">
        <v>11565</v>
      </c>
      <c r="N1658" s="2" t="s">
        <v>75</v>
      </c>
      <c r="O1658" s="4" t="s">
        <v>76</v>
      </c>
      <c r="P1658" s="2" t="s">
        <v>10628</v>
      </c>
      <c r="Q1658" s="2" t="s">
        <v>31</v>
      </c>
      <c r="R1658" s="2" t="s">
        <v>75</v>
      </c>
      <c r="S1658" s="4" t="s">
        <v>195</v>
      </c>
      <c r="T1658" s="2" t="s">
        <v>66</v>
      </c>
      <c r="U1658" s="4" t="s">
        <v>31</v>
      </c>
      <c r="V1658" s="2" t="s">
        <v>11566</v>
      </c>
      <c r="W1658" s="2" t="s">
        <v>10624</v>
      </c>
      <c r="X1658" s="5" t="str">
        <f>HYPERLINK("https://my.pitchbook.com?p=39704-95P","View People Online")</f>
        <v>View People Online</v>
      </c>
    </row>
    <row r="1659">
      <c r="A1659" s="14" t="s">
        <v>11567</v>
      </c>
      <c r="B1659" s="14" t="s">
        <v>11568</v>
      </c>
      <c r="C1659" s="14" t="s">
        <v>26</v>
      </c>
      <c r="D1659" s="14" t="s">
        <v>11569</v>
      </c>
      <c r="E1659" s="14" t="s">
        <v>10624</v>
      </c>
      <c r="F1659" s="14" t="s">
        <v>10639</v>
      </c>
      <c r="G1659" s="14" t="s">
        <v>11570</v>
      </c>
      <c r="H1659" s="15" t="s">
        <v>31</v>
      </c>
      <c r="I1659" s="15">
        <v>2.0</v>
      </c>
      <c r="J1659" s="15">
        <v>2.0</v>
      </c>
      <c r="K1659" s="15" t="s">
        <v>31</v>
      </c>
      <c r="L1659" s="16" t="s">
        <v>11162</v>
      </c>
      <c r="M1659" s="14" t="s">
        <v>11571</v>
      </c>
      <c r="N1659" s="14" t="s">
        <v>155</v>
      </c>
      <c r="O1659" s="16" t="s">
        <v>156</v>
      </c>
      <c r="P1659" s="14" t="s">
        <v>11164</v>
      </c>
      <c r="Q1659" s="14" t="s">
        <v>31</v>
      </c>
      <c r="R1659" s="14" t="s">
        <v>64</v>
      </c>
      <c r="S1659" s="16" t="s">
        <v>3487</v>
      </c>
      <c r="T1659" s="14" t="s">
        <v>66</v>
      </c>
      <c r="U1659" s="16" t="s">
        <v>31</v>
      </c>
      <c r="V1659" s="14" t="s">
        <v>11572</v>
      </c>
      <c r="W1659" s="14" t="s">
        <v>10624</v>
      </c>
      <c r="X1659" s="17" t="str">
        <f>HYPERLINK("https://my.pitchbook.com?p=150000-94P","View People Online")</f>
        <v>View People Online</v>
      </c>
    </row>
    <row r="1660">
      <c r="A1660" s="2" t="s">
        <v>11573</v>
      </c>
      <c r="B1660" s="2" t="s">
        <v>11574</v>
      </c>
      <c r="C1660" s="2" t="s">
        <v>4404</v>
      </c>
      <c r="D1660" s="2" t="s">
        <v>200</v>
      </c>
      <c r="E1660" s="2" t="s">
        <v>10624</v>
      </c>
      <c r="F1660" s="2" t="s">
        <v>11575</v>
      </c>
      <c r="G1660" s="2" t="s">
        <v>11576</v>
      </c>
      <c r="H1660" s="3" t="s">
        <v>31</v>
      </c>
      <c r="I1660" s="3">
        <v>1.0</v>
      </c>
      <c r="J1660" s="3">
        <v>1.0</v>
      </c>
      <c r="K1660" s="3" t="s">
        <v>31</v>
      </c>
      <c r="L1660" s="4" t="s">
        <v>10626</v>
      </c>
      <c r="M1660" s="2" t="s">
        <v>11577</v>
      </c>
      <c r="N1660" s="2" t="s">
        <v>75</v>
      </c>
      <c r="O1660" s="4" t="s">
        <v>76</v>
      </c>
      <c r="P1660" s="2" t="s">
        <v>10628</v>
      </c>
      <c r="Q1660" s="2" t="s">
        <v>31</v>
      </c>
      <c r="R1660" s="2" t="s">
        <v>75</v>
      </c>
      <c r="S1660" s="4" t="s">
        <v>195</v>
      </c>
      <c r="T1660" s="2" t="s">
        <v>66</v>
      </c>
      <c r="U1660" s="4" t="s">
        <v>31</v>
      </c>
      <c r="V1660" s="2" t="s">
        <v>11578</v>
      </c>
      <c r="W1660" s="2" t="s">
        <v>10624</v>
      </c>
      <c r="X1660" s="5" t="str">
        <f>HYPERLINK("https://my.pitchbook.com?p=399021-31P","View People Online")</f>
        <v>View People Online</v>
      </c>
    </row>
    <row r="1661">
      <c r="A1661" s="6" t="s">
        <v>11579</v>
      </c>
      <c r="B1661" s="6" t="s">
        <v>11580</v>
      </c>
      <c r="C1661" s="6" t="s">
        <v>6701</v>
      </c>
      <c r="D1661" s="6" t="s">
        <v>666</v>
      </c>
      <c r="E1661" s="6" t="s">
        <v>10624</v>
      </c>
      <c r="F1661" s="6" t="s">
        <v>825</v>
      </c>
      <c r="G1661" s="6" t="s">
        <v>11581</v>
      </c>
      <c r="H1661" s="7" t="s">
        <v>31</v>
      </c>
      <c r="I1661" s="7">
        <v>1.0</v>
      </c>
      <c r="J1661" s="7">
        <v>1.0</v>
      </c>
      <c r="K1661" s="7" t="s">
        <v>31</v>
      </c>
      <c r="L1661" s="8" t="s">
        <v>10626</v>
      </c>
      <c r="M1661" s="6" t="s">
        <v>11582</v>
      </c>
      <c r="N1661" s="6" t="s">
        <v>75</v>
      </c>
      <c r="O1661" s="8" t="s">
        <v>76</v>
      </c>
      <c r="P1661" s="6" t="s">
        <v>10628</v>
      </c>
      <c r="Q1661" s="6" t="s">
        <v>31</v>
      </c>
      <c r="R1661" s="6" t="s">
        <v>75</v>
      </c>
      <c r="S1661" s="8" t="s">
        <v>195</v>
      </c>
      <c r="T1661" s="6" t="s">
        <v>66</v>
      </c>
      <c r="U1661" s="8" t="s">
        <v>31</v>
      </c>
      <c r="V1661" s="6" t="s">
        <v>11583</v>
      </c>
      <c r="W1661" s="6" t="s">
        <v>10624</v>
      </c>
      <c r="X1661" s="9" t="str">
        <f>HYPERLINK("https://my.pitchbook.com?p=46248-67P","View People Online")</f>
        <v>View People Online</v>
      </c>
    </row>
    <row r="1662">
      <c r="A1662" s="2" t="s">
        <v>11584</v>
      </c>
      <c r="B1662" s="2" t="s">
        <v>11585</v>
      </c>
      <c r="C1662" s="2" t="s">
        <v>11586</v>
      </c>
      <c r="D1662" s="2" t="s">
        <v>11587</v>
      </c>
      <c r="E1662" s="2" t="s">
        <v>10624</v>
      </c>
      <c r="F1662" s="2" t="s">
        <v>1283</v>
      </c>
      <c r="G1662" s="2" t="s">
        <v>11588</v>
      </c>
      <c r="H1662" s="3" t="s">
        <v>31</v>
      </c>
      <c r="I1662" s="3">
        <v>2.0</v>
      </c>
      <c r="J1662" s="3">
        <v>1.0</v>
      </c>
      <c r="K1662" s="3" t="s">
        <v>31</v>
      </c>
      <c r="L1662" s="4" t="s">
        <v>10626</v>
      </c>
      <c r="M1662" s="2" t="s">
        <v>11589</v>
      </c>
      <c r="N1662" s="2" t="s">
        <v>75</v>
      </c>
      <c r="O1662" s="4" t="s">
        <v>76</v>
      </c>
      <c r="P1662" s="2" t="s">
        <v>10628</v>
      </c>
      <c r="Q1662" s="2" t="s">
        <v>31</v>
      </c>
      <c r="R1662" s="2" t="s">
        <v>75</v>
      </c>
      <c r="S1662" s="4" t="s">
        <v>195</v>
      </c>
      <c r="T1662" s="2" t="s">
        <v>66</v>
      </c>
      <c r="U1662" s="4" t="s">
        <v>31</v>
      </c>
      <c r="V1662" s="2" t="s">
        <v>1283</v>
      </c>
      <c r="W1662" s="2" t="s">
        <v>10624</v>
      </c>
      <c r="X1662" s="5" t="str">
        <f>HYPERLINK("https://my.pitchbook.com?p=361459-72P","View People Online")</f>
        <v>View People Online</v>
      </c>
    </row>
    <row r="1663">
      <c r="A1663" s="6" t="s">
        <v>11590</v>
      </c>
      <c r="B1663" s="6" t="s">
        <v>11591</v>
      </c>
      <c r="C1663" s="6" t="s">
        <v>5071</v>
      </c>
      <c r="D1663" s="6" t="s">
        <v>11592</v>
      </c>
      <c r="E1663" s="6" t="s">
        <v>10624</v>
      </c>
      <c r="F1663" s="6" t="s">
        <v>371</v>
      </c>
      <c r="G1663" s="6" t="s">
        <v>11593</v>
      </c>
      <c r="H1663" s="7" t="s">
        <v>31</v>
      </c>
      <c r="I1663" s="7">
        <v>1.0</v>
      </c>
      <c r="J1663" s="7">
        <v>1.0</v>
      </c>
      <c r="K1663" s="7" t="s">
        <v>31</v>
      </c>
      <c r="L1663" s="8" t="s">
        <v>10641</v>
      </c>
      <c r="M1663" s="6" t="s">
        <v>11594</v>
      </c>
      <c r="N1663" s="6" t="s">
        <v>243</v>
      </c>
      <c r="O1663" s="8" t="s">
        <v>244</v>
      </c>
      <c r="P1663" s="6" t="s">
        <v>10643</v>
      </c>
      <c r="Q1663" s="6" t="s">
        <v>10644</v>
      </c>
      <c r="R1663" s="6" t="s">
        <v>247</v>
      </c>
      <c r="S1663" s="8" t="s">
        <v>10645</v>
      </c>
      <c r="T1663" s="6" t="s">
        <v>249</v>
      </c>
      <c r="U1663" s="8" t="s">
        <v>31</v>
      </c>
      <c r="V1663" s="6" t="s">
        <v>11595</v>
      </c>
      <c r="W1663" s="6" t="s">
        <v>10624</v>
      </c>
      <c r="X1663" s="9" t="str">
        <f>HYPERLINK("https://my.pitchbook.com?p=364137-31P","View People Online")</f>
        <v>View People Online</v>
      </c>
    </row>
    <row r="1664">
      <c r="A1664" s="2" t="s">
        <v>11596</v>
      </c>
      <c r="B1664" s="2" t="s">
        <v>11597</v>
      </c>
      <c r="C1664" s="2" t="s">
        <v>5071</v>
      </c>
      <c r="D1664" s="2" t="s">
        <v>1085</v>
      </c>
      <c r="E1664" s="2" t="s">
        <v>10624</v>
      </c>
      <c r="F1664" s="2" t="s">
        <v>825</v>
      </c>
      <c r="G1664" s="2" t="s">
        <v>11598</v>
      </c>
      <c r="H1664" s="3" t="s">
        <v>31</v>
      </c>
      <c r="I1664" s="3">
        <v>1.0</v>
      </c>
      <c r="J1664" s="3">
        <v>1.0</v>
      </c>
      <c r="K1664" s="3" t="s">
        <v>31</v>
      </c>
      <c r="L1664" s="4" t="s">
        <v>10626</v>
      </c>
      <c r="M1664" s="2" t="s">
        <v>11599</v>
      </c>
      <c r="N1664" s="2" t="s">
        <v>75</v>
      </c>
      <c r="O1664" s="4" t="s">
        <v>76</v>
      </c>
      <c r="P1664" s="2" t="s">
        <v>10628</v>
      </c>
      <c r="Q1664" s="2" t="s">
        <v>31</v>
      </c>
      <c r="R1664" s="2" t="s">
        <v>75</v>
      </c>
      <c r="S1664" s="4" t="s">
        <v>195</v>
      </c>
      <c r="T1664" s="2" t="s">
        <v>66</v>
      </c>
      <c r="U1664" s="4" t="s">
        <v>31</v>
      </c>
      <c r="V1664" s="2" t="s">
        <v>11600</v>
      </c>
      <c r="W1664" s="2" t="s">
        <v>10624</v>
      </c>
      <c r="X1664" s="5" t="str">
        <f>HYPERLINK("https://my.pitchbook.com?p=138882-61P","View People Online")</f>
        <v>View People Online</v>
      </c>
    </row>
    <row r="1665">
      <c r="A1665" s="14" t="s">
        <v>11601</v>
      </c>
      <c r="B1665" s="14" t="s">
        <v>11602</v>
      </c>
      <c r="C1665" s="14" t="s">
        <v>6414</v>
      </c>
      <c r="D1665" s="14" t="s">
        <v>11603</v>
      </c>
      <c r="E1665" s="14" t="s">
        <v>10624</v>
      </c>
      <c r="F1665" s="14" t="s">
        <v>2731</v>
      </c>
      <c r="G1665" s="14" t="s">
        <v>11604</v>
      </c>
      <c r="H1665" s="15" t="s">
        <v>31</v>
      </c>
      <c r="I1665" s="15">
        <v>1.0</v>
      </c>
      <c r="J1665" s="15" t="s">
        <v>31</v>
      </c>
      <c r="K1665" s="15" t="s">
        <v>31</v>
      </c>
      <c r="L1665" s="16" t="s">
        <v>10626</v>
      </c>
      <c r="M1665" s="14" t="s">
        <v>31</v>
      </c>
      <c r="N1665" s="14" t="s">
        <v>75</v>
      </c>
      <c r="O1665" s="16" t="s">
        <v>76</v>
      </c>
      <c r="P1665" s="14" t="s">
        <v>10628</v>
      </c>
      <c r="Q1665" s="14" t="s">
        <v>31</v>
      </c>
      <c r="R1665" s="14" t="s">
        <v>75</v>
      </c>
      <c r="S1665" s="16" t="s">
        <v>195</v>
      </c>
      <c r="T1665" s="14" t="s">
        <v>66</v>
      </c>
      <c r="U1665" s="16" t="s">
        <v>31</v>
      </c>
      <c r="V1665" s="14" t="s">
        <v>2731</v>
      </c>
      <c r="W1665" s="14" t="s">
        <v>10624</v>
      </c>
      <c r="X1665" s="17" t="str">
        <f>HYPERLINK("https://my.pitchbook.com?p=85134-16P","View People Online")</f>
        <v>View People Online</v>
      </c>
    </row>
    <row r="1666">
      <c r="A1666" s="10" t="s">
        <v>11605</v>
      </c>
      <c r="B1666" s="10" t="s">
        <v>11606</v>
      </c>
      <c r="C1666" s="10" t="s">
        <v>5363</v>
      </c>
      <c r="D1666" s="10" t="s">
        <v>11607</v>
      </c>
      <c r="E1666" s="10" t="s">
        <v>10624</v>
      </c>
      <c r="F1666" s="10" t="s">
        <v>371</v>
      </c>
      <c r="G1666" s="10" t="s">
        <v>11608</v>
      </c>
      <c r="H1666" s="11" t="s">
        <v>31</v>
      </c>
      <c r="I1666" s="11">
        <v>1.0</v>
      </c>
      <c r="J1666" s="11">
        <v>1.0</v>
      </c>
      <c r="K1666" s="11" t="s">
        <v>31</v>
      </c>
      <c r="L1666" s="12" t="s">
        <v>10641</v>
      </c>
      <c r="M1666" s="10" t="s">
        <v>11609</v>
      </c>
      <c r="N1666" s="10" t="s">
        <v>243</v>
      </c>
      <c r="O1666" s="12" t="s">
        <v>244</v>
      </c>
      <c r="P1666" s="10" t="s">
        <v>10643</v>
      </c>
      <c r="Q1666" s="10" t="s">
        <v>10644</v>
      </c>
      <c r="R1666" s="10" t="s">
        <v>247</v>
      </c>
      <c r="S1666" s="12" t="s">
        <v>10645</v>
      </c>
      <c r="T1666" s="10" t="s">
        <v>249</v>
      </c>
      <c r="U1666" s="12" t="s">
        <v>31</v>
      </c>
      <c r="V1666" s="10" t="s">
        <v>371</v>
      </c>
      <c r="W1666" s="10" t="s">
        <v>10624</v>
      </c>
      <c r="X1666" s="13" t="str">
        <f>HYPERLINK("https://my.pitchbook.com?p=330840-55P","View People Online")</f>
        <v>View People Online</v>
      </c>
    </row>
    <row r="1667">
      <c r="A1667" s="6" t="s">
        <v>11610</v>
      </c>
      <c r="B1667" s="6" t="s">
        <v>11611</v>
      </c>
      <c r="C1667" s="6" t="s">
        <v>1343</v>
      </c>
      <c r="D1667" s="6" t="s">
        <v>11612</v>
      </c>
      <c r="E1667" s="6" t="s">
        <v>10624</v>
      </c>
      <c r="F1667" s="6" t="s">
        <v>1283</v>
      </c>
      <c r="G1667" s="6" t="s">
        <v>11613</v>
      </c>
      <c r="H1667" s="7" t="s">
        <v>31</v>
      </c>
      <c r="I1667" s="7">
        <v>3.0</v>
      </c>
      <c r="J1667" s="7">
        <v>2.0</v>
      </c>
      <c r="K1667" s="7">
        <v>1.0</v>
      </c>
      <c r="L1667" s="8" t="s">
        <v>11614</v>
      </c>
      <c r="M1667" s="6" t="s">
        <v>11615</v>
      </c>
      <c r="N1667" s="6" t="s">
        <v>75</v>
      </c>
      <c r="O1667" s="8" t="s">
        <v>76</v>
      </c>
      <c r="P1667" s="6" t="s">
        <v>10628</v>
      </c>
      <c r="Q1667" s="6" t="s">
        <v>31</v>
      </c>
      <c r="R1667" s="6" t="s">
        <v>75</v>
      </c>
      <c r="S1667" s="8" t="s">
        <v>195</v>
      </c>
      <c r="T1667" s="6" t="s">
        <v>66</v>
      </c>
      <c r="U1667" s="8" t="s">
        <v>31</v>
      </c>
      <c r="V1667" s="6" t="s">
        <v>11616</v>
      </c>
      <c r="W1667" s="6" t="s">
        <v>11617</v>
      </c>
      <c r="X1667" s="9" t="str">
        <f>HYPERLINK("https://my.pitchbook.com?p=54310-06P","View People Online")</f>
        <v>View People Online</v>
      </c>
    </row>
    <row r="1668">
      <c r="A1668" s="2" t="s">
        <v>11618</v>
      </c>
      <c r="B1668" s="2" t="s">
        <v>11619</v>
      </c>
      <c r="C1668" s="2" t="s">
        <v>1343</v>
      </c>
      <c r="D1668" s="2" t="s">
        <v>11620</v>
      </c>
      <c r="E1668" s="2" t="s">
        <v>10624</v>
      </c>
      <c r="F1668" s="2" t="s">
        <v>1283</v>
      </c>
      <c r="G1668" s="2" t="s">
        <v>11621</v>
      </c>
      <c r="H1668" s="3" t="s">
        <v>31</v>
      </c>
      <c r="I1668" s="3">
        <v>3.0</v>
      </c>
      <c r="J1668" s="3">
        <v>1.0</v>
      </c>
      <c r="K1668" s="3">
        <v>1.0</v>
      </c>
      <c r="L1668" s="4" t="s">
        <v>10626</v>
      </c>
      <c r="M1668" s="2" t="s">
        <v>11622</v>
      </c>
      <c r="N1668" s="2" t="s">
        <v>75</v>
      </c>
      <c r="O1668" s="4" t="s">
        <v>76</v>
      </c>
      <c r="P1668" s="2" t="s">
        <v>10628</v>
      </c>
      <c r="Q1668" s="2" t="s">
        <v>31</v>
      </c>
      <c r="R1668" s="2" t="s">
        <v>75</v>
      </c>
      <c r="S1668" s="4" t="s">
        <v>195</v>
      </c>
      <c r="T1668" s="2" t="s">
        <v>66</v>
      </c>
      <c r="U1668" s="4" t="s">
        <v>31</v>
      </c>
      <c r="V1668" s="2" t="s">
        <v>1283</v>
      </c>
      <c r="W1668" s="2" t="s">
        <v>10624</v>
      </c>
      <c r="X1668" s="5" t="str">
        <f>HYPERLINK("https://my.pitchbook.com?p=387276-85P","View People Online")</f>
        <v>View People Online</v>
      </c>
    </row>
    <row r="1669">
      <c r="A1669" s="6" t="s">
        <v>11623</v>
      </c>
      <c r="B1669" s="6" t="s">
        <v>11624</v>
      </c>
      <c r="C1669" s="6" t="s">
        <v>1356</v>
      </c>
      <c r="D1669" s="6" t="s">
        <v>11625</v>
      </c>
      <c r="E1669" s="6" t="s">
        <v>10624</v>
      </c>
      <c r="F1669" s="6" t="s">
        <v>4931</v>
      </c>
      <c r="G1669" s="6" t="s">
        <v>11626</v>
      </c>
      <c r="H1669" s="7" t="s">
        <v>31</v>
      </c>
      <c r="I1669" s="7">
        <v>1.0</v>
      </c>
      <c r="J1669" s="7">
        <v>1.0</v>
      </c>
      <c r="K1669" s="7" t="s">
        <v>31</v>
      </c>
      <c r="L1669" s="8" t="s">
        <v>11627</v>
      </c>
      <c r="M1669" s="6" t="s">
        <v>11628</v>
      </c>
      <c r="N1669" s="6" t="s">
        <v>75</v>
      </c>
      <c r="O1669" s="8" t="s">
        <v>76</v>
      </c>
      <c r="P1669" s="6" t="s">
        <v>10628</v>
      </c>
      <c r="Q1669" s="6" t="s">
        <v>31</v>
      </c>
      <c r="R1669" s="6" t="s">
        <v>75</v>
      </c>
      <c r="S1669" s="8" t="s">
        <v>195</v>
      </c>
      <c r="T1669" s="6" t="s">
        <v>66</v>
      </c>
      <c r="U1669" s="8" t="s">
        <v>31</v>
      </c>
      <c r="V1669" s="6" t="s">
        <v>11629</v>
      </c>
      <c r="W1669" s="6" t="s">
        <v>10624</v>
      </c>
      <c r="X1669" s="9" t="str">
        <f>HYPERLINK("https://my.pitchbook.com?p=221201-65P","View People Online")</f>
        <v>View People Online</v>
      </c>
    </row>
    <row r="1670">
      <c r="A1670" s="2" t="s">
        <v>11630</v>
      </c>
      <c r="B1670" s="2" t="s">
        <v>11631</v>
      </c>
      <c r="C1670" s="2" t="s">
        <v>843</v>
      </c>
      <c r="D1670" s="2" t="s">
        <v>11632</v>
      </c>
      <c r="E1670" s="2" t="s">
        <v>10624</v>
      </c>
      <c r="F1670" s="2" t="s">
        <v>371</v>
      </c>
      <c r="G1670" s="2" t="s">
        <v>11633</v>
      </c>
      <c r="H1670" s="3" t="s">
        <v>31</v>
      </c>
      <c r="I1670" s="3">
        <v>1.0</v>
      </c>
      <c r="J1670" s="3">
        <v>1.0</v>
      </c>
      <c r="K1670" s="3" t="s">
        <v>31</v>
      </c>
      <c r="L1670" s="4" t="s">
        <v>10641</v>
      </c>
      <c r="M1670" s="2" t="s">
        <v>11634</v>
      </c>
      <c r="N1670" s="2" t="s">
        <v>243</v>
      </c>
      <c r="O1670" s="4" t="s">
        <v>244</v>
      </c>
      <c r="P1670" s="2" t="s">
        <v>10643</v>
      </c>
      <c r="Q1670" s="2" t="s">
        <v>10644</v>
      </c>
      <c r="R1670" s="2" t="s">
        <v>247</v>
      </c>
      <c r="S1670" s="4" t="s">
        <v>10645</v>
      </c>
      <c r="T1670" s="2" t="s">
        <v>249</v>
      </c>
      <c r="U1670" s="4" t="s">
        <v>31</v>
      </c>
      <c r="V1670" s="2" t="s">
        <v>371</v>
      </c>
      <c r="W1670" s="2" t="s">
        <v>10624</v>
      </c>
      <c r="X1670" s="5" t="str">
        <f>HYPERLINK("https://my.pitchbook.com?p=346340-44P","View People Online")</f>
        <v>View People Online</v>
      </c>
    </row>
    <row r="1671">
      <c r="A1671" s="14" t="s">
        <v>11635</v>
      </c>
      <c r="B1671" s="14" t="s">
        <v>11636</v>
      </c>
      <c r="C1671" s="14" t="s">
        <v>3040</v>
      </c>
      <c r="D1671" s="14" t="s">
        <v>11637</v>
      </c>
      <c r="E1671" s="14" t="s">
        <v>10624</v>
      </c>
      <c r="F1671" s="14" t="s">
        <v>2652</v>
      </c>
      <c r="G1671" s="14" t="s">
        <v>11638</v>
      </c>
      <c r="H1671" s="15">
        <v>2.0</v>
      </c>
      <c r="I1671" s="15">
        <v>4.0</v>
      </c>
      <c r="J1671" s="15">
        <v>1.0</v>
      </c>
      <c r="K1671" s="15">
        <v>1.0</v>
      </c>
      <c r="L1671" s="16" t="s">
        <v>4727</v>
      </c>
      <c r="M1671" s="14" t="s">
        <v>11639</v>
      </c>
      <c r="N1671" s="14" t="s">
        <v>75</v>
      </c>
      <c r="O1671" s="16" t="s">
        <v>76</v>
      </c>
      <c r="P1671" s="14" t="s">
        <v>10628</v>
      </c>
      <c r="Q1671" s="14" t="s">
        <v>31</v>
      </c>
      <c r="R1671" s="14" t="s">
        <v>75</v>
      </c>
      <c r="S1671" s="16" t="s">
        <v>195</v>
      </c>
      <c r="T1671" s="14" t="s">
        <v>66</v>
      </c>
      <c r="U1671" s="16" t="s">
        <v>31</v>
      </c>
      <c r="V1671" s="14" t="s">
        <v>11640</v>
      </c>
      <c r="W1671" s="14" t="s">
        <v>10624</v>
      </c>
      <c r="X1671" s="17" t="str">
        <f>HYPERLINK("https://my.pitchbook.com?p=285420-79P","View People Online")</f>
        <v>View People Online</v>
      </c>
    </row>
    <row r="1672">
      <c r="A1672" s="2" t="s">
        <v>11641</v>
      </c>
      <c r="B1672" s="2" t="s">
        <v>11642</v>
      </c>
      <c r="C1672" s="2" t="s">
        <v>3058</v>
      </c>
      <c r="D1672" s="2" t="s">
        <v>11643</v>
      </c>
      <c r="E1672" s="2" t="s">
        <v>10624</v>
      </c>
      <c r="F1672" s="2" t="s">
        <v>2731</v>
      </c>
      <c r="G1672" s="2" t="s">
        <v>11644</v>
      </c>
      <c r="H1672" s="3" t="s">
        <v>31</v>
      </c>
      <c r="I1672" s="3">
        <v>4.0</v>
      </c>
      <c r="J1672" s="3" t="s">
        <v>31</v>
      </c>
      <c r="K1672" s="3">
        <v>1.0</v>
      </c>
      <c r="L1672" s="4" t="s">
        <v>11645</v>
      </c>
      <c r="M1672" s="2" t="s">
        <v>11646</v>
      </c>
      <c r="N1672" s="2" t="s">
        <v>658</v>
      </c>
      <c r="O1672" s="4" t="s">
        <v>659</v>
      </c>
      <c r="P1672" s="2" t="s">
        <v>11647</v>
      </c>
      <c r="Q1672" s="2" t="s">
        <v>11648</v>
      </c>
      <c r="R1672" s="2" t="s">
        <v>31</v>
      </c>
      <c r="S1672" s="4" t="s">
        <v>11649</v>
      </c>
      <c r="T1672" s="2" t="s">
        <v>661</v>
      </c>
      <c r="U1672" s="4" t="s">
        <v>31</v>
      </c>
      <c r="V1672" s="2" t="s">
        <v>2731</v>
      </c>
      <c r="W1672" s="2" t="s">
        <v>10624</v>
      </c>
      <c r="X1672" s="5" t="str">
        <f>HYPERLINK("https://my.pitchbook.com?p=79573-69P","View People Online")</f>
        <v>View People Online</v>
      </c>
    </row>
    <row r="1673">
      <c r="A1673" s="6" t="s">
        <v>11650</v>
      </c>
      <c r="B1673" s="6" t="s">
        <v>11651</v>
      </c>
      <c r="C1673" s="6" t="s">
        <v>11652</v>
      </c>
      <c r="D1673" s="6" t="s">
        <v>11653</v>
      </c>
      <c r="E1673" s="6" t="s">
        <v>10624</v>
      </c>
      <c r="F1673" s="6" t="s">
        <v>5206</v>
      </c>
      <c r="G1673" s="6" t="s">
        <v>11654</v>
      </c>
      <c r="H1673" s="7" t="s">
        <v>31</v>
      </c>
      <c r="I1673" s="7">
        <v>1.0</v>
      </c>
      <c r="J1673" s="7">
        <v>1.0</v>
      </c>
      <c r="K1673" s="7" t="s">
        <v>31</v>
      </c>
      <c r="L1673" s="8" t="s">
        <v>10626</v>
      </c>
      <c r="M1673" s="6" t="s">
        <v>11655</v>
      </c>
      <c r="N1673" s="6" t="s">
        <v>75</v>
      </c>
      <c r="O1673" s="8" t="s">
        <v>76</v>
      </c>
      <c r="P1673" s="6" t="s">
        <v>10628</v>
      </c>
      <c r="Q1673" s="6" t="s">
        <v>31</v>
      </c>
      <c r="R1673" s="6" t="s">
        <v>75</v>
      </c>
      <c r="S1673" s="8" t="s">
        <v>195</v>
      </c>
      <c r="T1673" s="6" t="s">
        <v>66</v>
      </c>
      <c r="U1673" s="8" t="s">
        <v>31</v>
      </c>
      <c r="V1673" s="6" t="s">
        <v>11656</v>
      </c>
      <c r="W1673" s="6" t="s">
        <v>10624</v>
      </c>
      <c r="X1673" s="9" t="str">
        <f>HYPERLINK("https://my.pitchbook.com?p=145267-66P","View People Online")</f>
        <v>View People Online</v>
      </c>
    </row>
    <row r="1674">
      <c r="A1674" s="2" t="s">
        <v>11657</v>
      </c>
      <c r="B1674" s="2" t="s">
        <v>11658</v>
      </c>
      <c r="C1674" s="2" t="s">
        <v>11659</v>
      </c>
      <c r="D1674" s="2" t="s">
        <v>11660</v>
      </c>
      <c r="E1674" s="2" t="s">
        <v>10624</v>
      </c>
      <c r="F1674" s="2" t="s">
        <v>548</v>
      </c>
      <c r="G1674" s="2" t="s">
        <v>11661</v>
      </c>
      <c r="H1674" s="3" t="s">
        <v>31</v>
      </c>
      <c r="I1674" s="3">
        <v>1.0</v>
      </c>
      <c r="J1674" s="3">
        <v>1.0</v>
      </c>
      <c r="K1674" s="3" t="s">
        <v>31</v>
      </c>
      <c r="L1674" s="4" t="s">
        <v>10641</v>
      </c>
      <c r="M1674" s="2" t="s">
        <v>11662</v>
      </c>
      <c r="N1674" s="2" t="s">
        <v>243</v>
      </c>
      <c r="O1674" s="4" t="s">
        <v>244</v>
      </c>
      <c r="P1674" s="2" t="s">
        <v>10643</v>
      </c>
      <c r="Q1674" s="2" t="s">
        <v>10644</v>
      </c>
      <c r="R1674" s="2" t="s">
        <v>247</v>
      </c>
      <c r="S1674" s="4" t="s">
        <v>10645</v>
      </c>
      <c r="T1674" s="2" t="s">
        <v>249</v>
      </c>
      <c r="U1674" s="4" t="s">
        <v>31</v>
      </c>
      <c r="V1674" s="2" t="s">
        <v>548</v>
      </c>
      <c r="W1674" s="2" t="s">
        <v>10624</v>
      </c>
      <c r="X1674" s="5" t="str">
        <f>HYPERLINK("https://my.pitchbook.com?p=425083-96P","View People Online")</f>
        <v>View People Online</v>
      </c>
    </row>
    <row r="1675">
      <c r="A1675" s="14" t="s">
        <v>11663</v>
      </c>
      <c r="B1675" s="14" t="s">
        <v>11664</v>
      </c>
      <c r="C1675" s="14" t="s">
        <v>11665</v>
      </c>
      <c r="D1675" s="14" t="s">
        <v>11666</v>
      </c>
      <c r="E1675" s="14" t="s">
        <v>10624</v>
      </c>
      <c r="F1675" s="14" t="s">
        <v>1283</v>
      </c>
      <c r="G1675" s="14" t="s">
        <v>11667</v>
      </c>
      <c r="H1675" s="15" t="s">
        <v>31</v>
      </c>
      <c r="I1675" s="15">
        <v>1.0</v>
      </c>
      <c r="J1675" s="15">
        <v>1.0</v>
      </c>
      <c r="K1675" s="15" t="s">
        <v>31</v>
      </c>
      <c r="L1675" s="16" t="s">
        <v>11668</v>
      </c>
      <c r="M1675" s="14" t="s">
        <v>11669</v>
      </c>
      <c r="N1675" s="14" t="s">
        <v>1203</v>
      </c>
      <c r="O1675" s="16" t="s">
        <v>1204</v>
      </c>
      <c r="P1675" s="14" t="s">
        <v>11670</v>
      </c>
      <c r="Q1675" s="14" t="s">
        <v>11671</v>
      </c>
      <c r="R1675" s="14" t="s">
        <v>1207</v>
      </c>
      <c r="S1675" s="16" t="s">
        <v>11672</v>
      </c>
      <c r="T1675" s="14" t="s">
        <v>1209</v>
      </c>
      <c r="U1675" s="16" t="s">
        <v>31</v>
      </c>
      <c r="V1675" s="14" t="s">
        <v>1283</v>
      </c>
      <c r="W1675" s="14" t="s">
        <v>10624</v>
      </c>
      <c r="X1675" s="17" t="str">
        <f>HYPERLINK("https://my.pitchbook.com?p=138862-63P","View People Online")</f>
        <v>View People Online</v>
      </c>
    </row>
    <row r="1676">
      <c r="A1676" s="2" t="s">
        <v>11673</v>
      </c>
      <c r="B1676" s="2" t="s">
        <v>11674</v>
      </c>
      <c r="C1676" s="2" t="s">
        <v>9135</v>
      </c>
      <c r="D1676" s="2" t="s">
        <v>11675</v>
      </c>
      <c r="E1676" s="2" t="s">
        <v>10624</v>
      </c>
      <c r="F1676" s="2" t="s">
        <v>825</v>
      </c>
      <c r="G1676" s="2" t="s">
        <v>11676</v>
      </c>
      <c r="H1676" s="3" t="s">
        <v>31</v>
      </c>
      <c r="I1676" s="3">
        <v>1.0</v>
      </c>
      <c r="J1676" s="3">
        <v>1.0</v>
      </c>
      <c r="K1676" s="3" t="s">
        <v>31</v>
      </c>
      <c r="L1676" s="4" t="s">
        <v>11546</v>
      </c>
      <c r="M1676" s="2" t="s">
        <v>11677</v>
      </c>
      <c r="N1676" s="2" t="s">
        <v>243</v>
      </c>
      <c r="O1676" s="4" t="s">
        <v>244</v>
      </c>
      <c r="P1676" s="2" t="s">
        <v>10643</v>
      </c>
      <c r="Q1676" s="2" t="s">
        <v>10644</v>
      </c>
      <c r="R1676" s="2" t="s">
        <v>247</v>
      </c>
      <c r="S1676" s="4" t="s">
        <v>10645</v>
      </c>
      <c r="T1676" s="2" t="s">
        <v>249</v>
      </c>
      <c r="U1676" s="4" t="s">
        <v>31</v>
      </c>
      <c r="V1676" s="2" t="s">
        <v>11678</v>
      </c>
      <c r="W1676" s="2" t="s">
        <v>10624</v>
      </c>
      <c r="X1676" s="5" t="str">
        <f>HYPERLINK("https://my.pitchbook.com?p=91596-52P","View People Online")</f>
        <v>View People Online</v>
      </c>
    </row>
    <row r="1677">
      <c r="A1677" s="14" t="s">
        <v>11679</v>
      </c>
      <c r="B1677" s="14" t="s">
        <v>11680</v>
      </c>
      <c r="C1677" s="14" t="s">
        <v>5092</v>
      </c>
      <c r="D1677" s="14" t="s">
        <v>11681</v>
      </c>
      <c r="E1677" s="14" t="s">
        <v>10624</v>
      </c>
      <c r="F1677" s="14" t="s">
        <v>371</v>
      </c>
      <c r="G1677" s="14" t="s">
        <v>11682</v>
      </c>
      <c r="H1677" s="15" t="s">
        <v>31</v>
      </c>
      <c r="I1677" s="15">
        <v>1.0</v>
      </c>
      <c r="J1677" s="15">
        <v>1.0</v>
      </c>
      <c r="K1677" s="15" t="s">
        <v>31</v>
      </c>
      <c r="L1677" s="16" t="s">
        <v>10626</v>
      </c>
      <c r="M1677" s="14" t="s">
        <v>11683</v>
      </c>
      <c r="N1677" s="14" t="s">
        <v>75</v>
      </c>
      <c r="O1677" s="16" t="s">
        <v>76</v>
      </c>
      <c r="P1677" s="14" t="s">
        <v>10628</v>
      </c>
      <c r="Q1677" s="14" t="s">
        <v>31</v>
      </c>
      <c r="R1677" s="14" t="s">
        <v>75</v>
      </c>
      <c r="S1677" s="16" t="s">
        <v>195</v>
      </c>
      <c r="T1677" s="14" t="s">
        <v>66</v>
      </c>
      <c r="U1677" s="16" t="s">
        <v>31</v>
      </c>
      <c r="V1677" s="14" t="s">
        <v>11684</v>
      </c>
      <c r="W1677" s="14" t="s">
        <v>10624</v>
      </c>
      <c r="X1677" s="17" t="str">
        <f>HYPERLINK("https://my.pitchbook.com?p=141215-41P","View People Online")</f>
        <v>View People Online</v>
      </c>
    </row>
    <row r="1678">
      <c r="A1678" s="2" t="s">
        <v>11685</v>
      </c>
      <c r="B1678" s="2" t="s">
        <v>11686</v>
      </c>
      <c r="C1678" s="2" t="s">
        <v>11687</v>
      </c>
      <c r="D1678" s="2" t="s">
        <v>10527</v>
      </c>
      <c r="E1678" s="2" t="s">
        <v>10624</v>
      </c>
      <c r="F1678" s="2" t="s">
        <v>1283</v>
      </c>
      <c r="G1678" s="2" t="s">
        <v>11688</v>
      </c>
      <c r="H1678" s="3" t="s">
        <v>31</v>
      </c>
      <c r="I1678" s="3">
        <v>1.0</v>
      </c>
      <c r="J1678" s="3">
        <v>1.0</v>
      </c>
      <c r="K1678" s="3" t="s">
        <v>31</v>
      </c>
      <c r="L1678" s="4" t="s">
        <v>10626</v>
      </c>
      <c r="M1678" s="2" t="s">
        <v>11689</v>
      </c>
      <c r="N1678" s="2" t="s">
        <v>75</v>
      </c>
      <c r="O1678" s="4" t="s">
        <v>76</v>
      </c>
      <c r="P1678" s="2" t="s">
        <v>10628</v>
      </c>
      <c r="Q1678" s="2" t="s">
        <v>31</v>
      </c>
      <c r="R1678" s="2" t="s">
        <v>75</v>
      </c>
      <c r="S1678" s="4" t="s">
        <v>195</v>
      </c>
      <c r="T1678" s="2" t="s">
        <v>66</v>
      </c>
      <c r="U1678" s="4" t="s">
        <v>31</v>
      </c>
      <c r="V1678" s="2" t="s">
        <v>1283</v>
      </c>
      <c r="W1678" s="2" t="s">
        <v>10624</v>
      </c>
      <c r="X1678" s="5" t="str">
        <f>HYPERLINK("https://my.pitchbook.com?p=130459-42P","View People Online")</f>
        <v>View People Online</v>
      </c>
    </row>
    <row r="1679">
      <c r="A1679" s="6" t="s">
        <v>11690</v>
      </c>
      <c r="B1679" s="6" t="s">
        <v>11691</v>
      </c>
      <c r="C1679" s="6" t="s">
        <v>3089</v>
      </c>
      <c r="D1679" s="6" t="s">
        <v>11692</v>
      </c>
      <c r="E1679" s="6" t="s">
        <v>10624</v>
      </c>
      <c r="F1679" s="6" t="s">
        <v>1283</v>
      </c>
      <c r="G1679" s="6" t="s">
        <v>11693</v>
      </c>
      <c r="H1679" s="7" t="s">
        <v>31</v>
      </c>
      <c r="I1679" s="7">
        <v>3.0</v>
      </c>
      <c r="J1679" s="7">
        <v>1.0</v>
      </c>
      <c r="K1679" s="7">
        <v>1.0</v>
      </c>
      <c r="L1679" s="8" t="s">
        <v>11694</v>
      </c>
      <c r="M1679" s="6" t="s">
        <v>11695</v>
      </c>
      <c r="N1679" s="6" t="s">
        <v>3190</v>
      </c>
      <c r="O1679" s="8" t="s">
        <v>3191</v>
      </c>
      <c r="P1679" s="6" t="s">
        <v>11696</v>
      </c>
      <c r="Q1679" s="6" t="s">
        <v>11697</v>
      </c>
      <c r="R1679" s="6" t="s">
        <v>31</v>
      </c>
      <c r="S1679" s="8" t="s">
        <v>11698</v>
      </c>
      <c r="T1679" s="6" t="s">
        <v>3194</v>
      </c>
      <c r="U1679" s="8" t="s">
        <v>31</v>
      </c>
      <c r="V1679" s="6" t="s">
        <v>11699</v>
      </c>
      <c r="W1679" s="6" t="s">
        <v>10624</v>
      </c>
      <c r="X1679" s="9" t="str">
        <f>HYPERLINK("https://my.pitchbook.com?p=258816-16P","View People Online")</f>
        <v>View People Online</v>
      </c>
    </row>
    <row r="1680">
      <c r="A1680" s="2" t="s">
        <v>11700</v>
      </c>
      <c r="B1680" s="2" t="s">
        <v>11701</v>
      </c>
      <c r="C1680" s="2" t="s">
        <v>11702</v>
      </c>
      <c r="D1680" s="2" t="s">
        <v>7698</v>
      </c>
      <c r="E1680" s="2" t="s">
        <v>10624</v>
      </c>
      <c r="F1680" s="2" t="s">
        <v>548</v>
      </c>
      <c r="G1680" s="2" t="s">
        <v>11703</v>
      </c>
      <c r="H1680" s="3">
        <v>2.0</v>
      </c>
      <c r="I1680" s="3">
        <v>5.0</v>
      </c>
      <c r="J1680" s="3">
        <v>1.0</v>
      </c>
      <c r="K1680" s="3">
        <v>2.0</v>
      </c>
      <c r="L1680" s="4" t="s">
        <v>10626</v>
      </c>
      <c r="M1680" s="2" t="s">
        <v>11704</v>
      </c>
      <c r="N1680" s="2" t="s">
        <v>75</v>
      </c>
      <c r="O1680" s="4" t="s">
        <v>76</v>
      </c>
      <c r="P1680" s="2" t="s">
        <v>10628</v>
      </c>
      <c r="Q1680" s="2" t="s">
        <v>31</v>
      </c>
      <c r="R1680" s="2" t="s">
        <v>75</v>
      </c>
      <c r="S1680" s="4" t="s">
        <v>195</v>
      </c>
      <c r="T1680" s="2" t="s">
        <v>66</v>
      </c>
      <c r="U1680" s="4" t="s">
        <v>31</v>
      </c>
      <c r="V1680" s="2" t="s">
        <v>548</v>
      </c>
      <c r="W1680" s="2" t="s">
        <v>10624</v>
      </c>
      <c r="X1680" s="5" t="str">
        <f>HYPERLINK("https://my.pitchbook.com?p=91890-82P","View People Online")</f>
        <v>View People Online</v>
      </c>
    </row>
    <row r="1681">
      <c r="A1681" s="14" t="s">
        <v>11705</v>
      </c>
      <c r="B1681" s="14" t="s">
        <v>11706</v>
      </c>
      <c r="C1681" s="14" t="s">
        <v>11707</v>
      </c>
      <c r="D1681" s="14" t="s">
        <v>11708</v>
      </c>
      <c r="E1681" s="14" t="s">
        <v>10624</v>
      </c>
      <c r="F1681" s="14" t="s">
        <v>2652</v>
      </c>
      <c r="G1681" s="14" t="s">
        <v>11709</v>
      </c>
      <c r="H1681" s="15" t="s">
        <v>31</v>
      </c>
      <c r="I1681" s="15">
        <v>1.0</v>
      </c>
      <c r="J1681" s="15">
        <v>1.0</v>
      </c>
      <c r="K1681" s="15" t="s">
        <v>31</v>
      </c>
      <c r="L1681" s="16" t="s">
        <v>11162</v>
      </c>
      <c r="M1681" s="14" t="s">
        <v>11710</v>
      </c>
      <c r="N1681" s="14" t="s">
        <v>155</v>
      </c>
      <c r="O1681" s="16" t="s">
        <v>156</v>
      </c>
      <c r="P1681" s="14" t="s">
        <v>11164</v>
      </c>
      <c r="Q1681" s="14" t="s">
        <v>31</v>
      </c>
      <c r="R1681" s="14" t="s">
        <v>64</v>
      </c>
      <c r="S1681" s="16" t="s">
        <v>3487</v>
      </c>
      <c r="T1681" s="14" t="s">
        <v>66</v>
      </c>
      <c r="U1681" s="16" t="s">
        <v>31</v>
      </c>
      <c r="V1681" s="14" t="s">
        <v>11711</v>
      </c>
      <c r="W1681" s="14" t="s">
        <v>10624</v>
      </c>
      <c r="X1681" s="17" t="str">
        <f>HYPERLINK("https://my.pitchbook.com?p=135453-52P","View People Online")</f>
        <v>View People Online</v>
      </c>
    </row>
    <row r="1682">
      <c r="A1682" s="10" t="s">
        <v>11712</v>
      </c>
      <c r="B1682" s="10" t="s">
        <v>11713</v>
      </c>
      <c r="C1682" s="10" t="s">
        <v>3096</v>
      </c>
      <c r="D1682" s="10" t="s">
        <v>11714</v>
      </c>
      <c r="E1682" s="10" t="s">
        <v>10624</v>
      </c>
      <c r="F1682" s="10" t="s">
        <v>1283</v>
      </c>
      <c r="G1682" s="10" t="s">
        <v>11715</v>
      </c>
      <c r="H1682" s="11" t="s">
        <v>31</v>
      </c>
      <c r="I1682" s="11">
        <v>1.0</v>
      </c>
      <c r="J1682" s="11">
        <v>1.0</v>
      </c>
      <c r="K1682" s="11" t="s">
        <v>31</v>
      </c>
      <c r="L1682" s="12" t="s">
        <v>11019</v>
      </c>
      <c r="M1682" s="10" t="s">
        <v>11716</v>
      </c>
      <c r="N1682" s="10" t="s">
        <v>794</v>
      </c>
      <c r="O1682" s="12" t="s">
        <v>795</v>
      </c>
      <c r="P1682" s="10" t="s">
        <v>11021</v>
      </c>
      <c r="Q1682" s="10" t="s">
        <v>3920</v>
      </c>
      <c r="R1682" s="10" t="s">
        <v>31</v>
      </c>
      <c r="S1682" s="12" t="s">
        <v>11022</v>
      </c>
      <c r="T1682" s="10" t="s">
        <v>796</v>
      </c>
      <c r="U1682" s="12" t="s">
        <v>31</v>
      </c>
      <c r="V1682" s="10" t="s">
        <v>1283</v>
      </c>
      <c r="W1682" s="10" t="s">
        <v>10624</v>
      </c>
      <c r="X1682" s="13" t="str">
        <f>HYPERLINK("https://my.pitchbook.com?p=129873-52P","View People Online")</f>
        <v>View People Online</v>
      </c>
    </row>
    <row r="1683">
      <c r="A1683" s="6" t="s">
        <v>11717</v>
      </c>
      <c r="B1683" s="6" t="s">
        <v>11718</v>
      </c>
      <c r="C1683" s="6" t="s">
        <v>2596</v>
      </c>
      <c r="D1683" s="6" t="s">
        <v>11719</v>
      </c>
      <c r="E1683" s="6" t="s">
        <v>10624</v>
      </c>
      <c r="F1683" s="6" t="s">
        <v>10762</v>
      </c>
      <c r="G1683" s="6" t="s">
        <v>11720</v>
      </c>
      <c r="H1683" s="7" t="s">
        <v>31</v>
      </c>
      <c r="I1683" s="7">
        <v>1.0</v>
      </c>
      <c r="J1683" s="7">
        <v>1.0</v>
      </c>
      <c r="K1683" s="7" t="s">
        <v>31</v>
      </c>
      <c r="L1683" s="8" t="s">
        <v>10626</v>
      </c>
      <c r="M1683" s="6" t="s">
        <v>11721</v>
      </c>
      <c r="N1683" s="6" t="s">
        <v>75</v>
      </c>
      <c r="O1683" s="8" t="s">
        <v>76</v>
      </c>
      <c r="P1683" s="6" t="s">
        <v>10628</v>
      </c>
      <c r="Q1683" s="6" t="s">
        <v>31</v>
      </c>
      <c r="R1683" s="6" t="s">
        <v>75</v>
      </c>
      <c r="S1683" s="8" t="s">
        <v>195</v>
      </c>
      <c r="T1683" s="6" t="s">
        <v>66</v>
      </c>
      <c r="U1683" s="8" t="s">
        <v>31</v>
      </c>
      <c r="V1683" s="6" t="s">
        <v>10762</v>
      </c>
      <c r="W1683" s="6" t="s">
        <v>10624</v>
      </c>
      <c r="X1683" s="9" t="str">
        <f>HYPERLINK("https://my.pitchbook.com?p=122944-87P","View People Online")</f>
        <v>View People Online</v>
      </c>
    </row>
    <row r="1684">
      <c r="A1684" s="2" t="s">
        <v>11722</v>
      </c>
      <c r="B1684" s="2" t="s">
        <v>11723</v>
      </c>
      <c r="C1684" s="2" t="s">
        <v>11724</v>
      </c>
      <c r="D1684" s="2" t="s">
        <v>11725</v>
      </c>
      <c r="E1684" s="2" t="s">
        <v>10624</v>
      </c>
      <c r="F1684" s="2" t="s">
        <v>1283</v>
      </c>
      <c r="G1684" s="2" t="s">
        <v>11726</v>
      </c>
      <c r="H1684" s="3" t="s">
        <v>31</v>
      </c>
      <c r="I1684" s="3">
        <v>2.0</v>
      </c>
      <c r="J1684" s="3">
        <v>1.0</v>
      </c>
      <c r="K1684" s="3" t="s">
        <v>31</v>
      </c>
      <c r="L1684" s="4" t="s">
        <v>10626</v>
      </c>
      <c r="M1684" s="2" t="s">
        <v>11727</v>
      </c>
      <c r="N1684" s="2" t="s">
        <v>75</v>
      </c>
      <c r="O1684" s="4" t="s">
        <v>76</v>
      </c>
      <c r="P1684" s="2" t="s">
        <v>10628</v>
      </c>
      <c r="Q1684" s="2" t="s">
        <v>31</v>
      </c>
      <c r="R1684" s="2" t="s">
        <v>75</v>
      </c>
      <c r="S1684" s="4" t="s">
        <v>195</v>
      </c>
      <c r="T1684" s="2" t="s">
        <v>66</v>
      </c>
      <c r="U1684" s="4" t="s">
        <v>31</v>
      </c>
      <c r="V1684" s="2" t="s">
        <v>11728</v>
      </c>
      <c r="W1684" s="2" t="s">
        <v>10624</v>
      </c>
      <c r="X1684" s="5" t="str">
        <f>HYPERLINK("https://my.pitchbook.com?p=72334-99P","View People Online")</f>
        <v>View People Online</v>
      </c>
    </row>
    <row r="1685">
      <c r="A1685" s="14" t="s">
        <v>11729</v>
      </c>
      <c r="B1685" s="14" t="s">
        <v>11730</v>
      </c>
      <c r="C1685" s="14" t="s">
        <v>11731</v>
      </c>
      <c r="D1685" s="14" t="s">
        <v>5917</v>
      </c>
      <c r="E1685" s="14" t="s">
        <v>10624</v>
      </c>
      <c r="F1685" s="14" t="s">
        <v>4527</v>
      </c>
      <c r="G1685" s="14" t="s">
        <v>11732</v>
      </c>
      <c r="H1685" s="15">
        <v>2.0</v>
      </c>
      <c r="I1685" s="15">
        <v>5.0</v>
      </c>
      <c r="J1685" s="15">
        <v>2.0</v>
      </c>
      <c r="K1685" s="15">
        <v>2.0</v>
      </c>
      <c r="L1685" s="16" t="s">
        <v>10626</v>
      </c>
      <c r="M1685" s="14" t="s">
        <v>11733</v>
      </c>
      <c r="N1685" s="14" t="s">
        <v>75</v>
      </c>
      <c r="O1685" s="16" t="s">
        <v>76</v>
      </c>
      <c r="P1685" s="14" t="s">
        <v>10628</v>
      </c>
      <c r="Q1685" s="14" t="s">
        <v>31</v>
      </c>
      <c r="R1685" s="14" t="s">
        <v>75</v>
      </c>
      <c r="S1685" s="16" t="s">
        <v>195</v>
      </c>
      <c r="T1685" s="14" t="s">
        <v>66</v>
      </c>
      <c r="U1685" s="16" t="s">
        <v>31</v>
      </c>
      <c r="V1685" s="14" t="s">
        <v>11734</v>
      </c>
      <c r="W1685" s="14" t="s">
        <v>10624</v>
      </c>
      <c r="X1685" s="17" t="str">
        <f>HYPERLINK("https://my.pitchbook.com?p=16220-35P","View People Online")</f>
        <v>View People Online</v>
      </c>
    </row>
    <row r="1686">
      <c r="A1686" s="2" t="s">
        <v>11735</v>
      </c>
      <c r="B1686" s="2" t="s">
        <v>11736</v>
      </c>
      <c r="C1686" s="2" t="s">
        <v>11737</v>
      </c>
      <c r="D1686" s="2" t="s">
        <v>11738</v>
      </c>
      <c r="E1686" s="2" t="s">
        <v>10624</v>
      </c>
      <c r="F1686" s="2" t="s">
        <v>371</v>
      </c>
      <c r="G1686" s="2" t="s">
        <v>11739</v>
      </c>
      <c r="H1686" s="3" t="s">
        <v>31</v>
      </c>
      <c r="I1686" s="3">
        <v>1.0</v>
      </c>
      <c r="J1686" s="3">
        <v>1.0</v>
      </c>
      <c r="K1686" s="3" t="s">
        <v>31</v>
      </c>
      <c r="L1686" s="4" t="s">
        <v>10641</v>
      </c>
      <c r="M1686" s="2" t="s">
        <v>11740</v>
      </c>
      <c r="N1686" s="2" t="s">
        <v>243</v>
      </c>
      <c r="O1686" s="4" t="s">
        <v>244</v>
      </c>
      <c r="P1686" s="2" t="s">
        <v>10643</v>
      </c>
      <c r="Q1686" s="2" t="s">
        <v>10644</v>
      </c>
      <c r="R1686" s="2" t="s">
        <v>247</v>
      </c>
      <c r="S1686" s="4" t="s">
        <v>10645</v>
      </c>
      <c r="T1686" s="2" t="s">
        <v>249</v>
      </c>
      <c r="U1686" s="4" t="s">
        <v>31</v>
      </c>
      <c r="V1686" s="2" t="s">
        <v>371</v>
      </c>
      <c r="W1686" s="2" t="s">
        <v>10624</v>
      </c>
      <c r="X1686" s="5" t="str">
        <f>HYPERLINK("https://my.pitchbook.com?p=373045-33P","View People Online")</f>
        <v>View People Online</v>
      </c>
    </row>
    <row r="1687">
      <c r="A1687" s="14" t="s">
        <v>11741</v>
      </c>
      <c r="B1687" s="14" t="s">
        <v>11742</v>
      </c>
      <c r="C1687" s="14" t="s">
        <v>11743</v>
      </c>
      <c r="D1687" s="14" t="s">
        <v>11744</v>
      </c>
      <c r="E1687" s="14" t="s">
        <v>10624</v>
      </c>
      <c r="F1687" s="14" t="s">
        <v>825</v>
      </c>
      <c r="G1687" s="14" t="s">
        <v>11745</v>
      </c>
      <c r="H1687" s="15" t="s">
        <v>31</v>
      </c>
      <c r="I1687" s="15">
        <v>1.0</v>
      </c>
      <c r="J1687" s="15">
        <v>1.0</v>
      </c>
      <c r="K1687" s="15" t="s">
        <v>31</v>
      </c>
      <c r="L1687" s="16" t="s">
        <v>10626</v>
      </c>
      <c r="M1687" s="14" t="s">
        <v>11746</v>
      </c>
      <c r="N1687" s="14" t="s">
        <v>75</v>
      </c>
      <c r="O1687" s="16" t="s">
        <v>76</v>
      </c>
      <c r="P1687" s="14" t="s">
        <v>10628</v>
      </c>
      <c r="Q1687" s="14" t="s">
        <v>31</v>
      </c>
      <c r="R1687" s="14" t="s">
        <v>75</v>
      </c>
      <c r="S1687" s="16" t="s">
        <v>195</v>
      </c>
      <c r="T1687" s="14" t="s">
        <v>66</v>
      </c>
      <c r="U1687" s="16" t="s">
        <v>31</v>
      </c>
      <c r="V1687" s="14" t="s">
        <v>11747</v>
      </c>
      <c r="W1687" s="14" t="s">
        <v>10624</v>
      </c>
      <c r="X1687" s="17" t="str">
        <f>HYPERLINK("https://my.pitchbook.com?p=221663-62P","View People Online")</f>
        <v>View People Online</v>
      </c>
    </row>
    <row r="1688">
      <c r="A1688" s="10" t="s">
        <v>11748</v>
      </c>
      <c r="B1688" s="10" t="s">
        <v>11749</v>
      </c>
      <c r="C1688" s="10" t="s">
        <v>9191</v>
      </c>
      <c r="D1688" s="10" t="s">
        <v>11750</v>
      </c>
      <c r="E1688" s="10" t="s">
        <v>10624</v>
      </c>
      <c r="F1688" s="10" t="s">
        <v>2652</v>
      </c>
      <c r="G1688" s="10" t="s">
        <v>11751</v>
      </c>
      <c r="H1688" s="11">
        <v>1.0</v>
      </c>
      <c r="I1688" s="11">
        <v>2.0</v>
      </c>
      <c r="J1688" s="11">
        <v>1.0</v>
      </c>
      <c r="K1688" s="11" t="s">
        <v>31</v>
      </c>
      <c r="L1688" s="12" t="s">
        <v>10626</v>
      </c>
      <c r="M1688" s="10" t="s">
        <v>11752</v>
      </c>
      <c r="N1688" s="10" t="s">
        <v>75</v>
      </c>
      <c r="O1688" s="12" t="s">
        <v>76</v>
      </c>
      <c r="P1688" s="10" t="s">
        <v>10628</v>
      </c>
      <c r="Q1688" s="10" t="s">
        <v>31</v>
      </c>
      <c r="R1688" s="10" t="s">
        <v>75</v>
      </c>
      <c r="S1688" s="12" t="s">
        <v>195</v>
      </c>
      <c r="T1688" s="10" t="s">
        <v>66</v>
      </c>
      <c r="U1688" s="12" t="s">
        <v>31</v>
      </c>
      <c r="V1688" s="10" t="s">
        <v>11753</v>
      </c>
      <c r="W1688" s="10" t="s">
        <v>10624</v>
      </c>
      <c r="X1688" s="13" t="str">
        <f>HYPERLINK("https://my.pitchbook.com?p=133207-21P","View People Online")</f>
        <v>View People Online</v>
      </c>
    </row>
    <row r="1689">
      <c r="A1689" s="14" t="s">
        <v>11754</v>
      </c>
      <c r="B1689" s="14" t="s">
        <v>11755</v>
      </c>
      <c r="C1689" s="14" t="s">
        <v>11756</v>
      </c>
      <c r="D1689" s="14" t="s">
        <v>27</v>
      </c>
      <c r="E1689" s="14" t="s">
        <v>10624</v>
      </c>
      <c r="F1689" s="14" t="s">
        <v>4931</v>
      </c>
      <c r="G1689" s="14" t="s">
        <v>11757</v>
      </c>
      <c r="H1689" s="15" t="s">
        <v>31</v>
      </c>
      <c r="I1689" s="15">
        <v>1.0</v>
      </c>
      <c r="J1689" s="15">
        <v>1.0</v>
      </c>
      <c r="K1689" s="15" t="s">
        <v>31</v>
      </c>
      <c r="L1689" s="16" t="s">
        <v>10827</v>
      </c>
      <c r="M1689" s="14" t="s">
        <v>11758</v>
      </c>
      <c r="N1689" s="14" t="s">
        <v>429</v>
      </c>
      <c r="O1689" s="16" t="s">
        <v>430</v>
      </c>
      <c r="P1689" s="14" t="s">
        <v>10829</v>
      </c>
      <c r="Q1689" s="14" t="s">
        <v>10830</v>
      </c>
      <c r="R1689" s="14" t="s">
        <v>31</v>
      </c>
      <c r="S1689" s="16" t="s">
        <v>10831</v>
      </c>
      <c r="T1689" s="14" t="s">
        <v>433</v>
      </c>
      <c r="U1689" s="16" t="s">
        <v>31</v>
      </c>
      <c r="V1689" s="14" t="s">
        <v>11759</v>
      </c>
      <c r="W1689" s="14" t="s">
        <v>10624</v>
      </c>
      <c r="X1689" s="17" t="str">
        <f>HYPERLINK("https://my.pitchbook.com?p=404474-23P","View People Online")</f>
        <v>View People Online</v>
      </c>
    </row>
    <row r="1690">
      <c r="A1690" s="2" t="s">
        <v>11760</v>
      </c>
      <c r="B1690" s="2" t="s">
        <v>11761</v>
      </c>
      <c r="C1690" s="2" t="s">
        <v>5113</v>
      </c>
      <c r="D1690" s="2" t="s">
        <v>6496</v>
      </c>
      <c r="E1690" s="2" t="s">
        <v>10624</v>
      </c>
      <c r="F1690" s="2" t="s">
        <v>2652</v>
      </c>
      <c r="G1690" s="2" t="s">
        <v>11762</v>
      </c>
      <c r="H1690" s="3" t="s">
        <v>31</v>
      </c>
      <c r="I1690" s="3">
        <v>1.0</v>
      </c>
      <c r="J1690" s="3">
        <v>1.0</v>
      </c>
      <c r="K1690" s="3" t="s">
        <v>31</v>
      </c>
      <c r="L1690" s="4" t="s">
        <v>10626</v>
      </c>
      <c r="M1690" s="2" t="s">
        <v>11763</v>
      </c>
      <c r="N1690" s="2" t="s">
        <v>75</v>
      </c>
      <c r="O1690" s="4" t="s">
        <v>76</v>
      </c>
      <c r="P1690" s="2" t="s">
        <v>10628</v>
      </c>
      <c r="Q1690" s="2" t="s">
        <v>31</v>
      </c>
      <c r="R1690" s="2" t="s">
        <v>75</v>
      </c>
      <c r="S1690" s="4" t="s">
        <v>195</v>
      </c>
      <c r="T1690" s="2" t="s">
        <v>66</v>
      </c>
      <c r="U1690" s="4" t="s">
        <v>31</v>
      </c>
      <c r="V1690" s="2" t="s">
        <v>11764</v>
      </c>
      <c r="W1690" s="2" t="s">
        <v>10624</v>
      </c>
      <c r="X1690" s="5" t="str">
        <f>HYPERLINK("https://my.pitchbook.com?p=358154-20P","View People Online")</f>
        <v>View People Online</v>
      </c>
    </row>
    <row r="1691">
      <c r="A1691" s="14" t="s">
        <v>11765</v>
      </c>
      <c r="B1691" s="14" t="s">
        <v>11766</v>
      </c>
      <c r="C1691" s="14" t="s">
        <v>11767</v>
      </c>
      <c r="D1691" s="14" t="s">
        <v>11768</v>
      </c>
      <c r="E1691" s="14" t="s">
        <v>10624</v>
      </c>
      <c r="F1691" s="14" t="s">
        <v>825</v>
      </c>
      <c r="G1691" s="14" t="s">
        <v>11769</v>
      </c>
      <c r="H1691" s="15" t="s">
        <v>31</v>
      </c>
      <c r="I1691" s="15">
        <v>1.0</v>
      </c>
      <c r="J1691" s="15">
        <v>1.0</v>
      </c>
      <c r="K1691" s="15" t="s">
        <v>31</v>
      </c>
      <c r="L1691" s="16" t="s">
        <v>10626</v>
      </c>
      <c r="M1691" s="14" t="s">
        <v>11770</v>
      </c>
      <c r="N1691" s="14" t="s">
        <v>75</v>
      </c>
      <c r="O1691" s="16" t="s">
        <v>76</v>
      </c>
      <c r="P1691" s="14" t="s">
        <v>10628</v>
      </c>
      <c r="Q1691" s="14" t="s">
        <v>31</v>
      </c>
      <c r="R1691" s="14" t="s">
        <v>75</v>
      </c>
      <c r="S1691" s="16" t="s">
        <v>195</v>
      </c>
      <c r="T1691" s="14" t="s">
        <v>66</v>
      </c>
      <c r="U1691" s="16" t="s">
        <v>31</v>
      </c>
      <c r="V1691" s="14" t="s">
        <v>11771</v>
      </c>
      <c r="W1691" s="14" t="s">
        <v>10624</v>
      </c>
      <c r="X1691" s="17" t="str">
        <f>HYPERLINK("https://my.pitchbook.com?p=434371-87P","View People Online")</f>
        <v>View People Online</v>
      </c>
    </row>
    <row r="1692">
      <c r="A1692" s="10" t="s">
        <v>11772</v>
      </c>
      <c r="B1692" s="10" t="s">
        <v>11773</v>
      </c>
      <c r="C1692" s="10" t="s">
        <v>11774</v>
      </c>
      <c r="D1692" s="10" t="s">
        <v>11775</v>
      </c>
      <c r="E1692" s="10" t="s">
        <v>10624</v>
      </c>
      <c r="F1692" s="10" t="s">
        <v>4931</v>
      </c>
      <c r="G1692" s="10" t="s">
        <v>11776</v>
      </c>
      <c r="H1692" s="11" t="s">
        <v>31</v>
      </c>
      <c r="I1692" s="11">
        <v>1.0</v>
      </c>
      <c r="J1692" s="11">
        <v>1.0</v>
      </c>
      <c r="K1692" s="11" t="s">
        <v>31</v>
      </c>
      <c r="L1692" s="12" t="s">
        <v>10626</v>
      </c>
      <c r="M1692" s="10" t="s">
        <v>11777</v>
      </c>
      <c r="N1692" s="10" t="s">
        <v>75</v>
      </c>
      <c r="O1692" s="12" t="s">
        <v>76</v>
      </c>
      <c r="P1692" s="10" t="s">
        <v>10628</v>
      </c>
      <c r="Q1692" s="10" t="s">
        <v>31</v>
      </c>
      <c r="R1692" s="10" t="s">
        <v>75</v>
      </c>
      <c r="S1692" s="12" t="s">
        <v>195</v>
      </c>
      <c r="T1692" s="10" t="s">
        <v>66</v>
      </c>
      <c r="U1692" s="12" t="s">
        <v>31</v>
      </c>
      <c r="V1692" s="10" t="s">
        <v>11778</v>
      </c>
      <c r="W1692" s="10" t="s">
        <v>10624</v>
      </c>
      <c r="X1692" s="13" t="str">
        <f>HYPERLINK("https://my.pitchbook.com?p=363907-09P","View People Online")</f>
        <v>View People Online</v>
      </c>
    </row>
    <row r="1693">
      <c r="A1693" s="6" t="s">
        <v>11779</v>
      </c>
      <c r="B1693" s="6" t="s">
        <v>11780</v>
      </c>
      <c r="C1693" s="6" t="s">
        <v>11781</v>
      </c>
      <c r="D1693" s="6" t="s">
        <v>11782</v>
      </c>
      <c r="E1693" s="6" t="s">
        <v>10624</v>
      </c>
      <c r="F1693" s="6" t="s">
        <v>270</v>
      </c>
      <c r="G1693" s="6" t="s">
        <v>11783</v>
      </c>
      <c r="H1693" s="7" t="s">
        <v>31</v>
      </c>
      <c r="I1693" s="7">
        <v>1.0</v>
      </c>
      <c r="J1693" s="7">
        <v>1.0</v>
      </c>
      <c r="K1693" s="7" t="s">
        <v>31</v>
      </c>
      <c r="L1693" s="8" t="s">
        <v>10844</v>
      </c>
      <c r="M1693" s="6" t="s">
        <v>11784</v>
      </c>
      <c r="N1693" s="6" t="s">
        <v>3603</v>
      </c>
      <c r="O1693" s="8" t="s">
        <v>3604</v>
      </c>
      <c r="P1693" s="6" t="s">
        <v>10846</v>
      </c>
      <c r="Q1693" s="6" t="s">
        <v>10847</v>
      </c>
      <c r="R1693" s="6" t="s">
        <v>31</v>
      </c>
      <c r="S1693" s="8" t="s">
        <v>31</v>
      </c>
      <c r="T1693" s="6" t="s">
        <v>3603</v>
      </c>
      <c r="U1693" s="8" t="s">
        <v>31</v>
      </c>
      <c r="V1693" s="6" t="s">
        <v>11785</v>
      </c>
      <c r="W1693" s="6" t="s">
        <v>10624</v>
      </c>
      <c r="X1693" s="9" t="str">
        <f>HYPERLINK("https://my.pitchbook.com?p=200240-29P","View People Online")</f>
        <v>View People Online</v>
      </c>
    </row>
    <row r="1694">
      <c r="A1694" s="10" t="s">
        <v>11786</v>
      </c>
      <c r="B1694" s="10" t="s">
        <v>11787</v>
      </c>
      <c r="C1694" s="10" t="s">
        <v>3132</v>
      </c>
      <c r="D1694" s="10" t="s">
        <v>11788</v>
      </c>
      <c r="E1694" s="10" t="s">
        <v>10624</v>
      </c>
      <c r="F1694" s="10" t="s">
        <v>548</v>
      </c>
      <c r="G1694" s="10" t="s">
        <v>11789</v>
      </c>
      <c r="H1694" s="11" t="s">
        <v>31</v>
      </c>
      <c r="I1694" s="11">
        <v>1.0</v>
      </c>
      <c r="J1694" s="11">
        <v>1.0</v>
      </c>
      <c r="K1694" s="11" t="s">
        <v>31</v>
      </c>
      <c r="L1694" s="12" t="s">
        <v>10827</v>
      </c>
      <c r="M1694" s="10" t="s">
        <v>11790</v>
      </c>
      <c r="N1694" s="10" t="s">
        <v>429</v>
      </c>
      <c r="O1694" s="12" t="s">
        <v>430</v>
      </c>
      <c r="P1694" s="10" t="s">
        <v>10829</v>
      </c>
      <c r="Q1694" s="10" t="s">
        <v>10830</v>
      </c>
      <c r="R1694" s="10" t="s">
        <v>31</v>
      </c>
      <c r="S1694" s="12" t="s">
        <v>10831</v>
      </c>
      <c r="T1694" s="10" t="s">
        <v>433</v>
      </c>
      <c r="U1694" s="12" t="s">
        <v>31</v>
      </c>
      <c r="V1694" s="10" t="s">
        <v>11791</v>
      </c>
      <c r="W1694" s="10" t="s">
        <v>10624</v>
      </c>
      <c r="X1694" s="13" t="str">
        <f>HYPERLINK("https://my.pitchbook.com?p=365919-76P","View People Online")</f>
        <v>View People Online</v>
      </c>
    </row>
    <row r="1695">
      <c r="A1695" s="6" t="s">
        <v>11792</v>
      </c>
      <c r="B1695" s="6" t="s">
        <v>11793</v>
      </c>
      <c r="C1695" s="6" t="s">
        <v>1502</v>
      </c>
      <c r="D1695" s="6" t="s">
        <v>11794</v>
      </c>
      <c r="E1695" s="6" t="s">
        <v>10624</v>
      </c>
      <c r="F1695" s="6" t="s">
        <v>11795</v>
      </c>
      <c r="G1695" s="6" t="s">
        <v>11796</v>
      </c>
      <c r="H1695" s="7" t="s">
        <v>31</v>
      </c>
      <c r="I1695" s="7">
        <v>1.0</v>
      </c>
      <c r="J1695" s="7">
        <v>1.0</v>
      </c>
      <c r="K1695" s="7" t="s">
        <v>31</v>
      </c>
      <c r="L1695" s="8" t="s">
        <v>10626</v>
      </c>
      <c r="M1695" s="6" t="s">
        <v>11797</v>
      </c>
      <c r="N1695" s="6" t="s">
        <v>75</v>
      </c>
      <c r="O1695" s="8" t="s">
        <v>76</v>
      </c>
      <c r="P1695" s="6" t="s">
        <v>10628</v>
      </c>
      <c r="Q1695" s="6" t="s">
        <v>31</v>
      </c>
      <c r="R1695" s="6" t="s">
        <v>75</v>
      </c>
      <c r="S1695" s="8" t="s">
        <v>195</v>
      </c>
      <c r="T1695" s="6" t="s">
        <v>66</v>
      </c>
      <c r="U1695" s="8" t="s">
        <v>31</v>
      </c>
      <c r="V1695" s="6" t="s">
        <v>11798</v>
      </c>
      <c r="W1695" s="6" t="s">
        <v>10624</v>
      </c>
      <c r="X1695" s="9" t="str">
        <f>HYPERLINK("https://my.pitchbook.com?p=225820-00P","View People Online")</f>
        <v>View People Online</v>
      </c>
    </row>
    <row r="1696">
      <c r="A1696" s="2" t="s">
        <v>11799</v>
      </c>
      <c r="B1696" s="2" t="s">
        <v>11800</v>
      </c>
      <c r="C1696" s="2" t="s">
        <v>11801</v>
      </c>
      <c r="D1696" s="2" t="s">
        <v>11802</v>
      </c>
      <c r="E1696" s="2" t="s">
        <v>10624</v>
      </c>
      <c r="F1696" s="2" t="s">
        <v>2652</v>
      </c>
      <c r="G1696" s="2" t="s">
        <v>11803</v>
      </c>
      <c r="H1696" s="3" t="s">
        <v>31</v>
      </c>
      <c r="I1696" s="3">
        <v>2.0</v>
      </c>
      <c r="J1696" s="3">
        <v>1.0</v>
      </c>
      <c r="K1696" s="3">
        <v>1.0</v>
      </c>
      <c r="L1696" s="4" t="s">
        <v>11804</v>
      </c>
      <c r="M1696" s="2" t="s">
        <v>11805</v>
      </c>
      <c r="N1696" s="2" t="s">
        <v>1348</v>
      </c>
      <c r="O1696" s="4" t="s">
        <v>1349</v>
      </c>
      <c r="P1696" s="2" t="s">
        <v>11806</v>
      </c>
      <c r="Q1696" s="2" t="s">
        <v>31</v>
      </c>
      <c r="R1696" s="2" t="s">
        <v>1018</v>
      </c>
      <c r="S1696" s="4" t="s">
        <v>11807</v>
      </c>
      <c r="T1696" s="2" t="s">
        <v>1019</v>
      </c>
      <c r="U1696" s="4" t="s">
        <v>31</v>
      </c>
      <c r="V1696" s="2" t="s">
        <v>11808</v>
      </c>
      <c r="W1696" s="2" t="s">
        <v>10624</v>
      </c>
      <c r="X1696" s="5" t="str">
        <f>HYPERLINK("https://my.pitchbook.com?p=109661-23P","View People Online")</f>
        <v>View People Online</v>
      </c>
    </row>
    <row r="1697">
      <c r="A1697" s="14" t="s">
        <v>11809</v>
      </c>
      <c r="B1697" s="14" t="s">
        <v>11810</v>
      </c>
      <c r="C1697" s="14" t="s">
        <v>2283</v>
      </c>
      <c r="D1697" s="14" t="s">
        <v>11811</v>
      </c>
      <c r="E1697" s="14" t="s">
        <v>10624</v>
      </c>
      <c r="F1697" s="14" t="s">
        <v>896</v>
      </c>
      <c r="G1697" s="14" t="s">
        <v>11812</v>
      </c>
      <c r="H1697" s="15" t="s">
        <v>31</v>
      </c>
      <c r="I1697" s="15">
        <v>1.0</v>
      </c>
      <c r="J1697" s="15">
        <v>1.0</v>
      </c>
      <c r="K1697" s="15" t="s">
        <v>31</v>
      </c>
      <c r="L1697" s="16" t="s">
        <v>10641</v>
      </c>
      <c r="M1697" s="14" t="s">
        <v>11813</v>
      </c>
      <c r="N1697" s="14" t="s">
        <v>243</v>
      </c>
      <c r="O1697" s="16" t="s">
        <v>244</v>
      </c>
      <c r="P1697" s="14" t="s">
        <v>10643</v>
      </c>
      <c r="Q1697" s="14" t="s">
        <v>10644</v>
      </c>
      <c r="R1697" s="14" t="s">
        <v>247</v>
      </c>
      <c r="S1697" s="16" t="s">
        <v>10645</v>
      </c>
      <c r="T1697" s="14" t="s">
        <v>249</v>
      </c>
      <c r="U1697" s="16" t="s">
        <v>31</v>
      </c>
      <c r="V1697" s="14" t="s">
        <v>896</v>
      </c>
      <c r="W1697" s="14" t="s">
        <v>10624</v>
      </c>
      <c r="X1697" s="17" t="str">
        <f>HYPERLINK("https://my.pitchbook.com?p=140212-81P","View People Online")</f>
        <v>View People Online</v>
      </c>
    </row>
    <row r="1698">
      <c r="A1698" s="2" t="s">
        <v>11814</v>
      </c>
      <c r="B1698" s="2" t="s">
        <v>11815</v>
      </c>
      <c r="C1698" s="2" t="s">
        <v>2283</v>
      </c>
      <c r="D1698" s="2" t="s">
        <v>8682</v>
      </c>
      <c r="E1698" s="2" t="s">
        <v>10624</v>
      </c>
      <c r="F1698" s="2" t="s">
        <v>825</v>
      </c>
      <c r="G1698" s="2" t="s">
        <v>11816</v>
      </c>
      <c r="H1698" s="3" t="s">
        <v>31</v>
      </c>
      <c r="I1698" s="3">
        <v>1.0</v>
      </c>
      <c r="J1698" s="3">
        <v>1.0</v>
      </c>
      <c r="K1698" s="3" t="s">
        <v>31</v>
      </c>
      <c r="L1698" s="4" t="s">
        <v>10626</v>
      </c>
      <c r="M1698" s="2" t="s">
        <v>11817</v>
      </c>
      <c r="N1698" s="2" t="s">
        <v>75</v>
      </c>
      <c r="O1698" s="4" t="s">
        <v>76</v>
      </c>
      <c r="P1698" s="2" t="s">
        <v>10628</v>
      </c>
      <c r="Q1698" s="2" t="s">
        <v>31</v>
      </c>
      <c r="R1698" s="2" t="s">
        <v>75</v>
      </c>
      <c r="S1698" s="4" t="s">
        <v>195</v>
      </c>
      <c r="T1698" s="2" t="s">
        <v>66</v>
      </c>
      <c r="U1698" s="4" t="s">
        <v>31</v>
      </c>
      <c r="V1698" s="2" t="s">
        <v>11818</v>
      </c>
      <c r="W1698" s="2" t="s">
        <v>10624</v>
      </c>
      <c r="X1698" s="5" t="str">
        <f>HYPERLINK("https://my.pitchbook.com?p=408538-81P","View People Online")</f>
        <v>View People Online</v>
      </c>
    </row>
    <row r="1699">
      <c r="A1699" s="14" t="s">
        <v>11819</v>
      </c>
      <c r="B1699" s="14" t="s">
        <v>11820</v>
      </c>
      <c r="C1699" s="14" t="s">
        <v>11821</v>
      </c>
      <c r="D1699" s="14" t="s">
        <v>11822</v>
      </c>
      <c r="E1699" s="14" t="s">
        <v>10624</v>
      </c>
      <c r="F1699" s="14" t="s">
        <v>2652</v>
      </c>
      <c r="G1699" s="14" t="s">
        <v>11823</v>
      </c>
      <c r="H1699" s="15" t="s">
        <v>31</v>
      </c>
      <c r="I1699" s="15">
        <v>1.0</v>
      </c>
      <c r="J1699" s="15">
        <v>1.0</v>
      </c>
      <c r="K1699" s="15" t="s">
        <v>31</v>
      </c>
      <c r="L1699" s="16" t="s">
        <v>10626</v>
      </c>
      <c r="M1699" s="14" t="s">
        <v>11824</v>
      </c>
      <c r="N1699" s="14" t="s">
        <v>75</v>
      </c>
      <c r="O1699" s="16" t="s">
        <v>76</v>
      </c>
      <c r="P1699" s="14" t="s">
        <v>10628</v>
      </c>
      <c r="Q1699" s="14" t="s">
        <v>31</v>
      </c>
      <c r="R1699" s="14" t="s">
        <v>75</v>
      </c>
      <c r="S1699" s="16" t="s">
        <v>195</v>
      </c>
      <c r="T1699" s="14" t="s">
        <v>66</v>
      </c>
      <c r="U1699" s="16" t="s">
        <v>31</v>
      </c>
      <c r="V1699" s="14" t="s">
        <v>11825</v>
      </c>
      <c r="W1699" s="14" t="s">
        <v>10624</v>
      </c>
      <c r="X1699" s="17" t="str">
        <f>HYPERLINK("https://my.pitchbook.com?p=412102-45P","View People Online")</f>
        <v>View People Online</v>
      </c>
    </row>
    <row r="1700">
      <c r="A1700" s="2" t="s">
        <v>11826</v>
      </c>
      <c r="B1700" s="2" t="s">
        <v>11827</v>
      </c>
      <c r="C1700" s="2" t="s">
        <v>2288</v>
      </c>
      <c r="D1700" s="2" t="s">
        <v>11828</v>
      </c>
      <c r="E1700" s="2" t="s">
        <v>10624</v>
      </c>
      <c r="F1700" s="2" t="s">
        <v>2652</v>
      </c>
      <c r="G1700" s="2" t="s">
        <v>11829</v>
      </c>
      <c r="H1700" s="3" t="s">
        <v>31</v>
      </c>
      <c r="I1700" s="3">
        <v>1.0</v>
      </c>
      <c r="J1700" s="3">
        <v>1.0</v>
      </c>
      <c r="K1700" s="3" t="s">
        <v>31</v>
      </c>
      <c r="L1700" s="4" t="s">
        <v>10869</v>
      </c>
      <c r="M1700" s="2" t="s">
        <v>11830</v>
      </c>
      <c r="N1700" s="2" t="s">
        <v>2754</v>
      </c>
      <c r="O1700" s="4" t="s">
        <v>2755</v>
      </c>
      <c r="P1700" s="2" t="s">
        <v>10871</v>
      </c>
      <c r="Q1700" s="2" t="s">
        <v>10872</v>
      </c>
      <c r="R1700" s="2" t="s">
        <v>31</v>
      </c>
      <c r="S1700" s="4" t="s">
        <v>10873</v>
      </c>
      <c r="T1700" s="2" t="s">
        <v>38</v>
      </c>
      <c r="U1700" s="4" t="s">
        <v>31</v>
      </c>
      <c r="V1700" s="2" t="s">
        <v>11831</v>
      </c>
      <c r="W1700" s="2" t="s">
        <v>10624</v>
      </c>
      <c r="X1700" s="5" t="str">
        <f>HYPERLINK("https://my.pitchbook.com?p=188910-82P","View People Online")</f>
        <v>View People Online</v>
      </c>
    </row>
    <row r="1701">
      <c r="A1701" s="6" t="s">
        <v>11832</v>
      </c>
      <c r="B1701" s="6" t="s">
        <v>11833</v>
      </c>
      <c r="C1701" s="6" t="s">
        <v>2288</v>
      </c>
      <c r="D1701" s="6" t="s">
        <v>11834</v>
      </c>
      <c r="E1701" s="6" t="s">
        <v>10624</v>
      </c>
      <c r="F1701" s="6" t="s">
        <v>825</v>
      </c>
      <c r="G1701" s="6" t="s">
        <v>11835</v>
      </c>
      <c r="H1701" s="7" t="s">
        <v>31</v>
      </c>
      <c r="I1701" s="7">
        <v>1.0</v>
      </c>
      <c r="J1701" s="7">
        <v>1.0</v>
      </c>
      <c r="K1701" s="7" t="s">
        <v>31</v>
      </c>
      <c r="L1701" s="8" t="s">
        <v>10626</v>
      </c>
      <c r="M1701" s="6" t="s">
        <v>11836</v>
      </c>
      <c r="N1701" s="6" t="s">
        <v>75</v>
      </c>
      <c r="O1701" s="8" t="s">
        <v>76</v>
      </c>
      <c r="P1701" s="6" t="s">
        <v>10628</v>
      </c>
      <c r="Q1701" s="6" t="s">
        <v>31</v>
      </c>
      <c r="R1701" s="6" t="s">
        <v>75</v>
      </c>
      <c r="S1701" s="8" t="s">
        <v>195</v>
      </c>
      <c r="T1701" s="6" t="s">
        <v>66</v>
      </c>
      <c r="U1701" s="8" t="s">
        <v>31</v>
      </c>
      <c r="V1701" s="6" t="s">
        <v>11837</v>
      </c>
      <c r="W1701" s="6" t="s">
        <v>10624</v>
      </c>
      <c r="X1701" s="9" t="str">
        <f>HYPERLINK("https://my.pitchbook.com?p=130618-27P","View People Online")</f>
        <v>View People Online</v>
      </c>
    </row>
    <row r="1702">
      <c r="A1702" s="10" t="s">
        <v>11838</v>
      </c>
      <c r="B1702" s="10" t="s">
        <v>11839</v>
      </c>
      <c r="C1702" s="10" t="s">
        <v>2288</v>
      </c>
      <c r="D1702" s="10" t="s">
        <v>2827</v>
      </c>
      <c r="E1702" s="10" t="s">
        <v>10624</v>
      </c>
      <c r="F1702" s="10" t="s">
        <v>2652</v>
      </c>
      <c r="G1702" s="10" t="s">
        <v>11840</v>
      </c>
      <c r="H1702" s="11" t="s">
        <v>31</v>
      </c>
      <c r="I1702" s="11">
        <v>51.0</v>
      </c>
      <c r="J1702" s="11">
        <v>1.0</v>
      </c>
      <c r="K1702" s="11">
        <v>45.0</v>
      </c>
      <c r="L1702" s="12" t="s">
        <v>10626</v>
      </c>
      <c r="M1702" s="10" t="s">
        <v>11841</v>
      </c>
      <c r="N1702" s="10" t="s">
        <v>75</v>
      </c>
      <c r="O1702" s="12" t="s">
        <v>76</v>
      </c>
      <c r="P1702" s="10" t="s">
        <v>10628</v>
      </c>
      <c r="Q1702" s="10" t="s">
        <v>31</v>
      </c>
      <c r="R1702" s="10" t="s">
        <v>75</v>
      </c>
      <c r="S1702" s="12" t="s">
        <v>195</v>
      </c>
      <c r="T1702" s="10" t="s">
        <v>66</v>
      </c>
      <c r="U1702" s="12" t="s">
        <v>31</v>
      </c>
      <c r="V1702" s="10" t="s">
        <v>2379</v>
      </c>
      <c r="W1702" s="10" t="s">
        <v>11842</v>
      </c>
      <c r="X1702" s="13" t="str">
        <f>HYPERLINK("https://my.pitchbook.com?p=31435-30P","View People Online")</f>
        <v>View People Online</v>
      </c>
    </row>
    <row r="1703">
      <c r="A1703" s="6" t="s">
        <v>11843</v>
      </c>
      <c r="B1703" s="6" t="s">
        <v>11844</v>
      </c>
      <c r="C1703" s="6" t="s">
        <v>2288</v>
      </c>
      <c r="D1703" s="6" t="s">
        <v>11845</v>
      </c>
      <c r="E1703" s="6" t="s">
        <v>10624</v>
      </c>
      <c r="F1703" s="6" t="s">
        <v>11846</v>
      </c>
      <c r="G1703" s="6" t="s">
        <v>11847</v>
      </c>
      <c r="H1703" s="7" t="s">
        <v>31</v>
      </c>
      <c r="I1703" s="7">
        <v>1.0</v>
      </c>
      <c r="J1703" s="7">
        <v>1.0</v>
      </c>
      <c r="K1703" s="7" t="s">
        <v>31</v>
      </c>
      <c r="L1703" s="8" t="s">
        <v>10626</v>
      </c>
      <c r="M1703" s="6" t="s">
        <v>11848</v>
      </c>
      <c r="N1703" s="6" t="s">
        <v>75</v>
      </c>
      <c r="O1703" s="8" t="s">
        <v>76</v>
      </c>
      <c r="P1703" s="6" t="s">
        <v>10628</v>
      </c>
      <c r="Q1703" s="6" t="s">
        <v>31</v>
      </c>
      <c r="R1703" s="6" t="s">
        <v>75</v>
      </c>
      <c r="S1703" s="8" t="s">
        <v>195</v>
      </c>
      <c r="T1703" s="6" t="s">
        <v>66</v>
      </c>
      <c r="U1703" s="8" t="s">
        <v>31</v>
      </c>
      <c r="V1703" s="6" t="s">
        <v>11849</v>
      </c>
      <c r="W1703" s="6" t="s">
        <v>10624</v>
      </c>
      <c r="X1703" s="9" t="str">
        <f>HYPERLINK("https://my.pitchbook.com?p=430332-49P","View People Online")</f>
        <v>View People Online</v>
      </c>
    </row>
    <row r="1704">
      <c r="A1704" s="2" t="s">
        <v>11850</v>
      </c>
      <c r="B1704" s="2" t="s">
        <v>11851</v>
      </c>
      <c r="C1704" s="2" t="s">
        <v>2288</v>
      </c>
      <c r="D1704" s="2" t="s">
        <v>11852</v>
      </c>
      <c r="E1704" s="2" t="s">
        <v>10624</v>
      </c>
      <c r="F1704" s="2" t="s">
        <v>1283</v>
      </c>
      <c r="G1704" s="2" t="s">
        <v>11853</v>
      </c>
      <c r="H1704" s="3" t="s">
        <v>31</v>
      </c>
      <c r="I1704" s="3">
        <v>4.0</v>
      </c>
      <c r="J1704" s="3">
        <v>1.0</v>
      </c>
      <c r="K1704" s="3">
        <v>2.0</v>
      </c>
      <c r="L1704" s="4" t="s">
        <v>10626</v>
      </c>
      <c r="M1704" s="2" t="s">
        <v>11854</v>
      </c>
      <c r="N1704" s="2" t="s">
        <v>75</v>
      </c>
      <c r="O1704" s="4" t="s">
        <v>76</v>
      </c>
      <c r="P1704" s="2" t="s">
        <v>10628</v>
      </c>
      <c r="Q1704" s="2" t="s">
        <v>31</v>
      </c>
      <c r="R1704" s="2" t="s">
        <v>75</v>
      </c>
      <c r="S1704" s="4" t="s">
        <v>195</v>
      </c>
      <c r="T1704" s="2" t="s">
        <v>66</v>
      </c>
      <c r="U1704" s="4" t="s">
        <v>31</v>
      </c>
      <c r="V1704" s="2" t="s">
        <v>1283</v>
      </c>
      <c r="W1704" s="2" t="s">
        <v>10624</v>
      </c>
      <c r="X1704" s="5" t="str">
        <f>HYPERLINK("https://my.pitchbook.com?p=174239-65P","View People Online")</f>
        <v>View People Online</v>
      </c>
    </row>
    <row r="1705">
      <c r="A1705" s="14" t="s">
        <v>11855</v>
      </c>
      <c r="B1705" s="14" t="s">
        <v>11856</v>
      </c>
      <c r="C1705" s="14" t="s">
        <v>2288</v>
      </c>
      <c r="D1705" s="14" t="s">
        <v>11857</v>
      </c>
      <c r="E1705" s="14" t="s">
        <v>10624</v>
      </c>
      <c r="F1705" s="14" t="s">
        <v>270</v>
      </c>
      <c r="G1705" s="14" t="s">
        <v>11858</v>
      </c>
      <c r="H1705" s="15" t="s">
        <v>31</v>
      </c>
      <c r="I1705" s="15">
        <v>5.0</v>
      </c>
      <c r="J1705" s="15">
        <v>2.0</v>
      </c>
      <c r="K1705" s="15" t="s">
        <v>31</v>
      </c>
      <c r="L1705" s="16" t="s">
        <v>10626</v>
      </c>
      <c r="M1705" s="14" t="s">
        <v>11859</v>
      </c>
      <c r="N1705" s="14" t="s">
        <v>75</v>
      </c>
      <c r="O1705" s="16" t="s">
        <v>76</v>
      </c>
      <c r="P1705" s="14" t="s">
        <v>10628</v>
      </c>
      <c r="Q1705" s="14" t="s">
        <v>31</v>
      </c>
      <c r="R1705" s="14" t="s">
        <v>75</v>
      </c>
      <c r="S1705" s="16" t="s">
        <v>195</v>
      </c>
      <c r="T1705" s="14" t="s">
        <v>66</v>
      </c>
      <c r="U1705" s="16" t="s">
        <v>31</v>
      </c>
      <c r="V1705" s="14" t="s">
        <v>270</v>
      </c>
      <c r="W1705" s="14" t="s">
        <v>10624</v>
      </c>
      <c r="X1705" s="17" t="str">
        <f>HYPERLINK("https://my.pitchbook.com?p=56063-80P","View People Online")</f>
        <v>View People Online</v>
      </c>
    </row>
    <row r="1706">
      <c r="A1706" s="10" t="s">
        <v>11860</v>
      </c>
      <c r="B1706" s="10" t="s">
        <v>11861</v>
      </c>
      <c r="C1706" s="10" t="s">
        <v>11862</v>
      </c>
      <c r="D1706" s="10" t="s">
        <v>11863</v>
      </c>
      <c r="E1706" s="10" t="s">
        <v>10624</v>
      </c>
      <c r="F1706" s="10" t="s">
        <v>1283</v>
      </c>
      <c r="G1706" s="10" t="s">
        <v>11864</v>
      </c>
      <c r="H1706" s="11" t="s">
        <v>31</v>
      </c>
      <c r="I1706" s="11">
        <v>1.0</v>
      </c>
      <c r="J1706" s="11">
        <v>1.0</v>
      </c>
      <c r="K1706" s="11" t="s">
        <v>31</v>
      </c>
      <c r="L1706" s="12" t="s">
        <v>10626</v>
      </c>
      <c r="M1706" s="10" t="s">
        <v>11865</v>
      </c>
      <c r="N1706" s="10" t="s">
        <v>75</v>
      </c>
      <c r="O1706" s="12" t="s">
        <v>76</v>
      </c>
      <c r="P1706" s="10" t="s">
        <v>10628</v>
      </c>
      <c r="Q1706" s="10" t="s">
        <v>31</v>
      </c>
      <c r="R1706" s="10" t="s">
        <v>75</v>
      </c>
      <c r="S1706" s="12" t="s">
        <v>195</v>
      </c>
      <c r="T1706" s="10" t="s">
        <v>66</v>
      </c>
      <c r="U1706" s="12" t="s">
        <v>31</v>
      </c>
      <c r="V1706" s="10" t="s">
        <v>1283</v>
      </c>
      <c r="W1706" s="10" t="s">
        <v>10624</v>
      </c>
      <c r="X1706" s="13" t="str">
        <f>HYPERLINK("https://my.pitchbook.com?p=408543-31P","View People Online")</f>
        <v>View People Online</v>
      </c>
    </row>
    <row r="1707">
      <c r="A1707" s="6" t="s">
        <v>11866</v>
      </c>
      <c r="B1707" s="6" t="s">
        <v>11867</v>
      </c>
      <c r="C1707" s="6" t="s">
        <v>1645</v>
      </c>
      <c r="D1707" s="6" t="s">
        <v>11868</v>
      </c>
      <c r="E1707" s="6" t="s">
        <v>10624</v>
      </c>
      <c r="F1707" s="6" t="s">
        <v>2652</v>
      </c>
      <c r="G1707" s="6" t="s">
        <v>11869</v>
      </c>
      <c r="H1707" s="7" t="s">
        <v>31</v>
      </c>
      <c r="I1707" s="7">
        <v>1.0</v>
      </c>
      <c r="J1707" s="7">
        <v>1.0</v>
      </c>
      <c r="K1707" s="7" t="s">
        <v>31</v>
      </c>
      <c r="L1707" s="8" t="s">
        <v>10626</v>
      </c>
      <c r="M1707" s="6" t="s">
        <v>11870</v>
      </c>
      <c r="N1707" s="6" t="s">
        <v>75</v>
      </c>
      <c r="O1707" s="8" t="s">
        <v>76</v>
      </c>
      <c r="P1707" s="6" t="s">
        <v>10628</v>
      </c>
      <c r="Q1707" s="6" t="s">
        <v>31</v>
      </c>
      <c r="R1707" s="6" t="s">
        <v>75</v>
      </c>
      <c r="S1707" s="8" t="s">
        <v>195</v>
      </c>
      <c r="T1707" s="6" t="s">
        <v>66</v>
      </c>
      <c r="U1707" s="8" t="s">
        <v>31</v>
      </c>
      <c r="V1707" s="6" t="s">
        <v>11871</v>
      </c>
      <c r="W1707" s="6" t="s">
        <v>10624</v>
      </c>
      <c r="X1707" s="9" t="str">
        <f>HYPERLINK("https://my.pitchbook.com?p=193552-30P","View People Online")</f>
        <v>View People Online</v>
      </c>
    </row>
    <row r="1708">
      <c r="A1708" s="2" t="s">
        <v>11872</v>
      </c>
      <c r="B1708" s="2" t="s">
        <v>11873</v>
      </c>
      <c r="C1708" s="2" t="s">
        <v>1645</v>
      </c>
      <c r="D1708" s="2" t="s">
        <v>11874</v>
      </c>
      <c r="E1708" s="2" t="s">
        <v>10624</v>
      </c>
      <c r="F1708" s="2" t="s">
        <v>7902</v>
      </c>
      <c r="G1708" s="2" t="s">
        <v>11875</v>
      </c>
      <c r="H1708" s="3" t="s">
        <v>31</v>
      </c>
      <c r="I1708" s="3">
        <v>7.0</v>
      </c>
      <c r="J1708" s="3">
        <v>3.0</v>
      </c>
      <c r="K1708" s="3">
        <v>2.0</v>
      </c>
      <c r="L1708" s="4" t="s">
        <v>10626</v>
      </c>
      <c r="M1708" s="2" t="s">
        <v>11876</v>
      </c>
      <c r="N1708" s="2" t="s">
        <v>75</v>
      </c>
      <c r="O1708" s="4" t="s">
        <v>76</v>
      </c>
      <c r="P1708" s="2" t="s">
        <v>10628</v>
      </c>
      <c r="Q1708" s="2" t="s">
        <v>31</v>
      </c>
      <c r="R1708" s="2" t="s">
        <v>75</v>
      </c>
      <c r="S1708" s="4" t="s">
        <v>195</v>
      </c>
      <c r="T1708" s="2" t="s">
        <v>66</v>
      </c>
      <c r="U1708" s="4" t="s">
        <v>31</v>
      </c>
      <c r="V1708" s="2" t="s">
        <v>11877</v>
      </c>
      <c r="W1708" s="2" t="s">
        <v>10624</v>
      </c>
      <c r="X1708" s="5" t="str">
        <f>HYPERLINK("https://my.pitchbook.com?p=92343-52P","View People Online")</f>
        <v>View People Online</v>
      </c>
    </row>
    <row r="1709">
      <c r="A1709" s="6" t="s">
        <v>11878</v>
      </c>
      <c r="B1709" s="6" t="s">
        <v>11879</v>
      </c>
      <c r="C1709" s="6" t="s">
        <v>160</v>
      </c>
      <c r="D1709" s="6" t="s">
        <v>11880</v>
      </c>
      <c r="E1709" s="6" t="s">
        <v>10624</v>
      </c>
      <c r="F1709" s="6" t="s">
        <v>2652</v>
      </c>
      <c r="G1709" s="6" t="s">
        <v>11881</v>
      </c>
      <c r="H1709" s="7" t="s">
        <v>31</v>
      </c>
      <c r="I1709" s="7">
        <v>1.0</v>
      </c>
      <c r="J1709" s="7">
        <v>1.0</v>
      </c>
      <c r="K1709" s="7" t="s">
        <v>31</v>
      </c>
      <c r="L1709" s="8" t="s">
        <v>10626</v>
      </c>
      <c r="M1709" s="6" t="s">
        <v>11882</v>
      </c>
      <c r="N1709" s="6" t="s">
        <v>75</v>
      </c>
      <c r="O1709" s="8" t="s">
        <v>76</v>
      </c>
      <c r="P1709" s="6" t="s">
        <v>10628</v>
      </c>
      <c r="Q1709" s="6" t="s">
        <v>31</v>
      </c>
      <c r="R1709" s="6" t="s">
        <v>75</v>
      </c>
      <c r="S1709" s="8" t="s">
        <v>195</v>
      </c>
      <c r="T1709" s="6" t="s">
        <v>66</v>
      </c>
      <c r="U1709" s="8" t="s">
        <v>31</v>
      </c>
      <c r="V1709" s="6" t="s">
        <v>11883</v>
      </c>
      <c r="W1709" s="6" t="s">
        <v>10624</v>
      </c>
      <c r="X1709" s="9" t="str">
        <f>HYPERLINK("https://my.pitchbook.com?p=95755-06P","View People Online")</f>
        <v>View People Online</v>
      </c>
    </row>
    <row r="1710">
      <c r="A1710" s="2" t="s">
        <v>11884</v>
      </c>
      <c r="B1710" s="2" t="s">
        <v>11885</v>
      </c>
      <c r="C1710" s="2" t="s">
        <v>160</v>
      </c>
      <c r="D1710" s="2" t="s">
        <v>11886</v>
      </c>
      <c r="E1710" s="2" t="s">
        <v>10624</v>
      </c>
      <c r="F1710" s="2" t="s">
        <v>1283</v>
      </c>
      <c r="G1710" s="2" t="s">
        <v>11887</v>
      </c>
      <c r="H1710" s="3" t="s">
        <v>31</v>
      </c>
      <c r="I1710" s="3">
        <v>1.0</v>
      </c>
      <c r="J1710" s="3">
        <v>1.0</v>
      </c>
      <c r="K1710" s="3" t="s">
        <v>31</v>
      </c>
      <c r="L1710" s="4" t="s">
        <v>11627</v>
      </c>
      <c r="M1710" s="2" t="s">
        <v>11888</v>
      </c>
      <c r="N1710" s="2" t="s">
        <v>75</v>
      </c>
      <c r="O1710" s="4" t="s">
        <v>76</v>
      </c>
      <c r="P1710" s="2" t="s">
        <v>10628</v>
      </c>
      <c r="Q1710" s="2" t="s">
        <v>31</v>
      </c>
      <c r="R1710" s="2" t="s">
        <v>75</v>
      </c>
      <c r="S1710" s="4" t="s">
        <v>195</v>
      </c>
      <c r="T1710" s="2" t="s">
        <v>66</v>
      </c>
      <c r="U1710" s="4" t="s">
        <v>31</v>
      </c>
      <c r="V1710" s="2" t="s">
        <v>1283</v>
      </c>
      <c r="W1710" s="2" t="s">
        <v>10624</v>
      </c>
      <c r="X1710" s="5" t="str">
        <f>HYPERLINK("https://my.pitchbook.com?p=221201-29P","View People Online")</f>
        <v>View People Online</v>
      </c>
    </row>
    <row r="1711">
      <c r="A1711" s="6" t="s">
        <v>11889</v>
      </c>
      <c r="B1711" s="6" t="s">
        <v>11890</v>
      </c>
      <c r="C1711" s="6" t="s">
        <v>160</v>
      </c>
      <c r="D1711" s="6" t="s">
        <v>11891</v>
      </c>
      <c r="E1711" s="6" t="s">
        <v>10624</v>
      </c>
      <c r="F1711" s="6" t="s">
        <v>1283</v>
      </c>
      <c r="G1711" s="6" t="s">
        <v>11892</v>
      </c>
      <c r="H1711" s="7" t="s">
        <v>31</v>
      </c>
      <c r="I1711" s="7">
        <v>1.0</v>
      </c>
      <c r="J1711" s="7">
        <v>1.0</v>
      </c>
      <c r="K1711" s="7" t="s">
        <v>31</v>
      </c>
      <c r="L1711" s="8" t="s">
        <v>10626</v>
      </c>
      <c r="M1711" s="6" t="s">
        <v>11893</v>
      </c>
      <c r="N1711" s="6" t="s">
        <v>75</v>
      </c>
      <c r="O1711" s="8" t="s">
        <v>76</v>
      </c>
      <c r="P1711" s="6" t="s">
        <v>10628</v>
      </c>
      <c r="Q1711" s="6" t="s">
        <v>31</v>
      </c>
      <c r="R1711" s="6" t="s">
        <v>75</v>
      </c>
      <c r="S1711" s="8" t="s">
        <v>195</v>
      </c>
      <c r="T1711" s="6" t="s">
        <v>66</v>
      </c>
      <c r="U1711" s="8" t="s">
        <v>31</v>
      </c>
      <c r="V1711" s="6" t="s">
        <v>1283</v>
      </c>
      <c r="W1711" s="6" t="s">
        <v>10624</v>
      </c>
      <c r="X1711" s="9" t="str">
        <f>HYPERLINK("https://my.pitchbook.com?p=165783-88P","View People Online")</f>
        <v>View People Online</v>
      </c>
    </row>
    <row r="1712">
      <c r="A1712" s="2" t="s">
        <v>11894</v>
      </c>
      <c r="B1712" s="2" t="s">
        <v>11895</v>
      </c>
      <c r="C1712" s="2" t="s">
        <v>160</v>
      </c>
      <c r="D1712" s="2" t="s">
        <v>11896</v>
      </c>
      <c r="E1712" s="2" t="s">
        <v>10624</v>
      </c>
      <c r="F1712" s="2" t="s">
        <v>371</v>
      </c>
      <c r="G1712" s="2" t="s">
        <v>11897</v>
      </c>
      <c r="H1712" s="3" t="s">
        <v>31</v>
      </c>
      <c r="I1712" s="3">
        <v>1.0</v>
      </c>
      <c r="J1712" s="3">
        <v>1.0</v>
      </c>
      <c r="K1712" s="3" t="s">
        <v>31</v>
      </c>
      <c r="L1712" s="4" t="s">
        <v>10626</v>
      </c>
      <c r="M1712" s="2" t="s">
        <v>11898</v>
      </c>
      <c r="N1712" s="2" t="s">
        <v>75</v>
      </c>
      <c r="O1712" s="4" t="s">
        <v>76</v>
      </c>
      <c r="P1712" s="2" t="s">
        <v>10628</v>
      </c>
      <c r="Q1712" s="2" t="s">
        <v>31</v>
      </c>
      <c r="R1712" s="2" t="s">
        <v>75</v>
      </c>
      <c r="S1712" s="4" t="s">
        <v>195</v>
      </c>
      <c r="T1712" s="2" t="s">
        <v>66</v>
      </c>
      <c r="U1712" s="4" t="s">
        <v>31</v>
      </c>
      <c r="V1712" s="2" t="s">
        <v>371</v>
      </c>
      <c r="W1712" s="2" t="s">
        <v>10624</v>
      </c>
      <c r="X1712" s="5" t="str">
        <f>HYPERLINK("https://my.pitchbook.com?p=181668-43P","View People Online")</f>
        <v>View People Online</v>
      </c>
    </row>
    <row r="1713">
      <c r="A1713" s="6" t="s">
        <v>11899</v>
      </c>
      <c r="B1713" s="6" t="s">
        <v>11900</v>
      </c>
      <c r="C1713" s="6" t="s">
        <v>160</v>
      </c>
      <c r="D1713" s="6" t="s">
        <v>11901</v>
      </c>
      <c r="E1713" s="6" t="s">
        <v>10624</v>
      </c>
      <c r="F1713" s="6" t="s">
        <v>548</v>
      </c>
      <c r="G1713" s="6" t="s">
        <v>11902</v>
      </c>
      <c r="H1713" s="7" t="s">
        <v>31</v>
      </c>
      <c r="I1713" s="7">
        <v>1.0</v>
      </c>
      <c r="J1713" s="7">
        <v>1.0</v>
      </c>
      <c r="K1713" s="7" t="s">
        <v>31</v>
      </c>
      <c r="L1713" s="8" t="s">
        <v>10641</v>
      </c>
      <c r="M1713" s="6" t="s">
        <v>11903</v>
      </c>
      <c r="N1713" s="6" t="s">
        <v>243</v>
      </c>
      <c r="O1713" s="8" t="s">
        <v>244</v>
      </c>
      <c r="P1713" s="6" t="s">
        <v>10643</v>
      </c>
      <c r="Q1713" s="6" t="s">
        <v>10644</v>
      </c>
      <c r="R1713" s="6" t="s">
        <v>247</v>
      </c>
      <c r="S1713" s="8" t="s">
        <v>10645</v>
      </c>
      <c r="T1713" s="6" t="s">
        <v>249</v>
      </c>
      <c r="U1713" s="8" t="s">
        <v>31</v>
      </c>
      <c r="V1713" s="6" t="s">
        <v>11904</v>
      </c>
      <c r="W1713" s="6" t="s">
        <v>10624</v>
      </c>
      <c r="X1713" s="9" t="str">
        <f>HYPERLINK("https://my.pitchbook.com?p=56147-50P","View People Online")</f>
        <v>View People Online</v>
      </c>
    </row>
    <row r="1714">
      <c r="A1714" s="2" t="s">
        <v>11905</v>
      </c>
      <c r="B1714" s="2" t="s">
        <v>11906</v>
      </c>
      <c r="C1714" s="2" t="s">
        <v>160</v>
      </c>
      <c r="D1714" s="2" t="s">
        <v>11907</v>
      </c>
      <c r="E1714" s="2" t="s">
        <v>10624</v>
      </c>
      <c r="F1714" s="2" t="s">
        <v>825</v>
      </c>
      <c r="G1714" s="2" t="s">
        <v>11908</v>
      </c>
      <c r="H1714" s="3" t="s">
        <v>31</v>
      </c>
      <c r="I1714" s="3">
        <v>3.0</v>
      </c>
      <c r="J1714" s="3">
        <v>1.0</v>
      </c>
      <c r="K1714" s="3" t="s">
        <v>31</v>
      </c>
      <c r="L1714" s="4" t="s">
        <v>11909</v>
      </c>
      <c r="M1714" s="2" t="s">
        <v>11910</v>
      </c>
      <c r="N1714" s="2" t="s">
        <v>75</v>
      </c>
      <c r="O1714" s="4" t="s">
        <v>76</v>
      </c>
      <c r="P1714" s="2" t="s">
        <v>10628</v>
      </c>
      <c r="Q1714" s="2" t="s">
        <v>31</v>
      </c>
      <c r="R1714" s="2" t="s">
        <v>75</v>
      </c>
      <c r="S1714" s="4" t="s">
        <v>195</v>
      </c>
      <c r="T1714" s="2" t="s">
        <v>66</v>
      </c>
      <c r="U1714" s="4" t="s">
        <v>31</v>
      </c>
      <c r="V1714" s="2" t="s">
        <v>11911</v>
      </c>
      <c r="W1714" s="2" t="s">
        <v>10624</v>
      </c>
      <c r="X1714" s="5" t="str">
        <f>HYPERLINK("https://my.pitchbook.com?p=15450-58P","View People Online")</f>
        <v>View People Online</v>
      </c>
    </row>
    <row r="1715">
      <c r="A1715" s="6" t="s">
        <v>11912</v>
      </c>
      <c r="B1715" s="6" t="s">
        <v>11913</v>
      </c>
      <c r="C1715" s="6" t="s">
        <v>160</v>
      </c>
      <c r="D1715" s="6" t="s">
        <v>1944</v>
      </c>
      <c r="E1715" s="6" t="s">
        <v>10624</v>
      </c>
      <c r="F1715" s="6" t="s">
        <v>2652</v>
      </c>
      <c r="G1715" s="6" t="s">
        <v>11914</v>
      </c>
      <c r="H1715" s="7">
        <v>2.0</v>
      </c>
      <c r="I1715" s="7">
        <v>10.0</v>
      </c>
      <c r="J1715" s="7">
        <v>2.0</v>
      </c>
      <c r="K1715" s="7">
        <v>6.0</v>
      </c>
      <c r="L1715" s="8" t="s">
        <v>10626</v>
      </c>
      <c r="M1715" s="6" t="s">
        <v>11915</v>
      </c>
      <c r="N1715" s="6" t="s">
        <v>75</v>
      </c>
      <c r="O1715" s="8" t="s">
        <v>76</v>
      </c>
      <c r="P1715" s="6" t="s">
        <v>10628</v>
      </c>
      <c r="Q1715" s="6" t="s">
        <v>31</v>
      </c>
      <c r="R1715" s="6" t="s">
        <v>75</v>
      </c>
      <c r="S1715" s="8" t="s">
        <v>195</v>
      </c>
      <c r="T1715" s="6" t="s">
        <v>66</v>
      </c>
      <c r="U1715" s="8" t="s">
        <v>31</v>
      </c>
      <c r="V1715" s="6" t="s">
        <v>11916</v>
      </c>
      <c r="W1715" s="6" t="s">
        <v>10624</v>
      </c>
      <c r="X1715" s="9" t="str">
        <f>HYPERLINK("https://my.pitchbook.com?p=117605-53P","View People Online")</f>
        <v>View People Online</v>
      </c>
    </row>
    <row r="1716">
      <c r="A1716" s="10" t="s">
        <v>11917</v>
      </c>
      <c r="B1716" s="10" t="s">
        <v>11918</v>
      </c>
      <c r="C1716" s="10" t="s">
        <v>11919</v>
      </c>
      <c r="D1716" s="10" t="s">
        <v>11920</v>
      </c>
      <c r="E1716" s="10" t="s">
        <v>10624</v>
      </c>
      <c r="F1716" s="10" t="s">
        <v>371</v>
      </c>
      <c r="G1716" s="10" t="s">
        <v>11921</v>
      </c>
      <c r="H1716" s="11" t="s">
        <v>31</v>
      </c>
      <c r="I1716" s="11">
        <v>1.0</v>
      </c>
      <c r="J1716" s="11">
        <v>1.0</v>
      </c>
      <c r="K1716" s="11" t="s">
        <v>31</v>
      </c>
      <c r="L1716" s="12" t="s">
        <v>10827</v>
      </c>
      <c r="M1716" s="10" t="s">
        <v>31</v>
      </c>
      <c r="N1716" s="10" t="s">
        <v>429</v>
      </c>
      <c r="O1716" s="12" t="s">
        <v>430</v>
      </c>
      <c r="P1716" s="10" t="s">
        <v>10829</v>
      </c>
      <c r="Q1716" s="10" t="s">
        <v>10830</v>
      </c>
      <c r="R1716" s="10" t="s">
        <v>31</v>
      </c>
      <c r="S1716" s="12" t="s">
        <v>10831</v>
      </c>
      <c r="T1716" s="10" t="s">
        <v>433</v>
      </c>
      <c r="U1716" s="12" t="s">
        <v>31</v>
      </c>
      <c r="V1716" s="10" t="s">
        <v>11079</v>
      </c>
      <c r="W1716" s="10" t="s">
        <v>10624</v>
      </c>
      <c r="X1716" s="13" t="str">
        <f>HYPERLINK("https://my.pitchbook.com?p=412125-49P","View People Online")</f>
        <v>View People Online</v>
      </c>
    </row>
    <row r="1717">
      <c r="A1717" s="6" t="s">
        <v>11922</v>
      </c>
      <c r="B1717" s="6" t="s">
        <v>11923</v>
      </c>
      <c r="C1717" s="6" t="s">
        <v>887</v>
      </c>
      <c r="D1717" s="6" t="s">
        <v>1589</v>
      </c>
      <c r="E1717" s="6" t="s">
        <v>10624</v>
      </c>
      <c r="F1717" s="6" t="s">
        <v>9692</v>
      </c>
      <c r="G1717" s="6" t="s">
        <v>11924</v>
      </c>
      <c r="H1717" s="7" t="s">
        <v>31</v>
      </c>
      <c r="I1717" s="7">
        <v>1.0</v>
      </c>
      <c r="J1717" s="7">
        <v>1.0</v>
      </c>
      <c r="K1717" s="7" t="s">
        <v>31</v>
      </c>
      <c r="L1717" s="8" t="s">
        <v>10626</v>
      </c>
      <c r="M1717" s="6" t="s">
        <v>11925</v>
      </c>
      <c r="N1717" s="6" t="s">
        <v>75</v>
      </c>
      <c r="O1717" s="8" t="s">
        <v>76</v>
      </c>
      <c r="P1717" s="6" t="s">
        <v>10628</v>
      </c>
      <c r="Q1717" s="6" t="s">
        <v>31</v>
      </c>
      <c r="R1717" s="6" t="s">
        <v>75</v>
      </c>
      <c r="S1717" s="8" t="s">
        <v>195</v>
      </c>
      <c r="T1717" s="6" t="s">
        <v>66</v>
      </c>
      <c r="U1717" s="8" t="s">
        <v>31</v>
      </c>
      <c r="V1717" s="6" t="s">
        <v>11926</v>
      </c>
      <c r="W1717" s="6" t="s">
        <v>10624</v>
      </c>
      <c r="X1717" s="9" t="str">
        <f>HYPERLINK("https://my.pitchbook.com?p=397030-42P","View People Online")</f>
        <v>View People Online</v>
      </c>
    </row>
    <row r="1718">
      <c r="A1718" s="10" t="s">
        <v>11927</v>
      </c>
      <c r="B1718" s="10" t="s">
        <v>11928</v>
      </c>
      <c r="C1718" s="10" t="s">
        <v>11929</v>
      </c>
      <c r="D1718" s="10" t="s">
        <v>11930</v>
      </c>
      <c r="E1718" s="10" t="s">
        <v>10624</v>
      </c>
      <c r="F1718" s="10" t="s">
        <v>548</v>
      </c>
      <c r="G1718" s="10" t="s">
        <v>11931</v>
      </c>
      <c r="H1718" s="11" t="s">
        <v>31</v>
      </c>
      <c r="I1718" s="11">
        <v>2.0</v>
      </c>
      <c r="J1718" s="11">
        <v>1.0</v>
      </c>
      <c r="K1718" s="11" t="s">
        <v>31</v>
      </c>
      <c r="L1718" s="12" t="s">
        <v>10626</v>
      </c>
      <c r="M1718" s="10" t="s">
        <v>11932</v>
      </c>
      <c r="N1718" s="10" t="s">
        <v>75</v>
      </c>
      <c r="O1718" s="12" t="s">
        <v>76</v>
      </c>
      <c r="P1718" s="10" t="s">
        <v>10628</v>
      </c>
      <c r="Q1718" s="10" t="s">
        <v>31</v>
      </c>
      <c r="R1718" s="10" t="s">
        <v>75</v>
      </c>
      <c r="S1718" s="12" t="s">
        <v>195</v>
      </c>
      <c r="T1718" s="10" t="s">
        <v>66</v>
      </c>
      <c r="U1718" s="12" t="s">
        <v>31</v>
      </c>
      <c r="V1718" s="10" t="s">
        <v>11933</v>
      </c>
      <c r="W1718" s="10" t="s">
        <v>10624</v>
      </c>
      <c r="X1718" s="13" t="str">
        <f>HYPERLINK("https://my.pitchbook.com?p=141321-79P","View People Online")</f>
        <v>View People Online</v>
      </c>
    </row>
    <row r="1719">
      <c r="A1719" s="14" t="s">
        <v>11934</v>
      </c>
      <c r="B1719" s="14" t="s">
        <v>11935</v>
      </c>
      <c r="C1719" s="14" t="s">
        <v>11929</v>
      </c>
      <c r="D1719" s="14" t="s">
        <v>11936</v>
      </c>
      <c r="E1719" s="14" t="s">
        <v>10624</v>
      </c>
      <c r="F1719" s="14" t="s">
        <v>2652</v>
      </c>
      <c r="G1719" s="14" t="s">
        <v>11937</v>
      </c>
      <c r="H1719" s="15" t="s">
        <v>31</v>
      </c>
      <c r="I1719" s="15">
        <v>1.0</v>
      </c>
      <c r="J1719" s="15">
        <v>1.0</v>
      </c>
      <c r="K1719" s="15" t="s">
        <v>31</v>
      </c>
      <c r="L1719" s="16" t="s">
        <v>11179</v>
      </c>
      <c r="M1719" s="14" t="s">
        <v>11938</v>
      </c>
      <c r="N1719" s="14" t="s">
        <v>4232</v>
      </c>
      <c r="O1719" s="16" t="s">
        <v>4233</v>
      </c>
      <c r="P1719" s="14" t="s">
        <v>11181</v>
      </c>
      <c r="Q1719" s="14" t="s">
        <v>31</v>
      </c>
      <c r="R1719" s="14" t="s">
        <v>4236</v>
      </c>
      <c r="S1719" s="16" t="s">
        <v>11182</v>
      </c>
      <c r="T1719" s="14" t="s">
        <v>66</v>
      </c>
      <c r="U1719" s="16" t="s">
        <v>31</v>
      </c>
      <c r="V1719" s="14" t="s">
        <v>11939</v>
      </c>
      <c r="W1719" s="14" t="s">
        <v>10624</v>
      </c>
      <c r="X1719" s="17" t="str">
        <f>HYPERLINK("https://my.pitchbook.com?p=196554-34P","View People Online")</f>
        <v>View People Online</v>
      </c>
    </row>
    <row r="1720">
      <c r="A1720" s="2" t="s">
        <v>11940</v>
      </c>
      <c r="B1720" s="2" t="s">
        <v>11941</v>
      </c>
      <c r="C1720" s="2" t="s">
        <v>11929</v>
      </c>
      <c r="D1720" s="2" t="s">
        <v>7698</v>
      </c>
      <c r="E1720" s="2" t="s">
        <v>10624</v>
      </c>
      <c r="F1720" s="2" t="s">
        <v>371</v>
      </c>
      <c r="G1720" s="2" t="s">
        <v>11942</v>
      </c>
      <c r="H1720" s="3" t="s">
        <v>31</v>
      </c>
      <c r="I1720" s="3">
        <v>1.0</v>
      </c>
      <c r="J1720" s="3">
        <v>1.0</v>
      </c>
      <c r="K1720" s="3" t="s">
        <v>31</v>
      </c>
      <c r="L1720" s="4" t="s">
        <v>10626</v>
      </c>
      <c r="M1720" s="2" t="s">
        <v>11943</v>
      </c>
      <c r="N1720" s="2" t="s">
        <v>75</v>
      </c>
      <c r="O1720" s="4" t="s">
        <v>76</v>
      </c>
      <c r="P1720" s="2" t="s">
        <v>10628</v>
      </c>
      <c r="Q1720" s="2" t="s">
        <v>31</v>
      </c>
      <c r="R1720" s="2" t="s">
        <v>75</v>
      </c>
      <c r="S1720" s="4" t="s">
        <v>195</v>
      </c>
      <c r="T1720" s="2" t="s">
        <v>66</v>
      </c>
      <c r="U1720" s="4" t="s">
        <v>31</v>
      </c>
      <c r="V1720" s="2" t="s">
        <v>371</v>
      </c>
      <c r="W1720" s="2" t="s">
        <v>10624</v>
      </c>
      <c r="X1720" s="5" t="str">
        <f>HYPERLINK("https://my.pitchbook.com?p=399134-17P","View People Online")</f>
        <v>View People Online</v>
      </c>
    </row>
    <row r="1721">
      <c r="A1721" s="6" t="s">
        <v>11944</v>
      </c>
      <c r="B1721" s="6" t="s">
        <v>11945</v>
      </c>
      <c r="C1721" s="6" t="s">
        <v>126</v>
      </c>
      <c r="D1721" s="6" t="s">
        <v>11946</v>
      </c>
      <c r="E1721" s="6" t="s">
        <v>10624</v>
      </c>
      <c r="F1721" s="6" t="s">
        <v>9692</v>
      </c>
      <c r="G1721" s="6" t="s">
        <v>11947</v>
      </c>
      <c r="H1721" s="7" t="s">
        <v>31</v>
      </c>
      <c r="I1721" s="7">
        <v>1.0</v>
      </c>
      <c r="J1721" s="7">
        <v>1.0</v>
      </c>
      <c r="K1721" s="7" t="s">
        <v>31</v>
      </c>
      <c r="L1721" s="8" t="s">
        <v>10626</v>
      </c>
      <c r="M1721" s="6" t="s">
        <v>11948</v>
      </c>
      <c r="N1721" s="6" t="s">
        <v>75</v>
      </c>
      <c r="O1721" s="8" t="s">
        <v>76</v>
      </c>
      <c r="P1721" s="6" t="s">
        <v>10628</v>
      </c>
      <c r="Q1721" s="6" t="s">
        <v>31</v>
      </c>
      <c r="R1721" s="6" t="s">
        <v>75</v>
      </c>
      <c r="S1721" s="8" t="s">
        <v>195</v>
      </c>
      <c r="T1721" s="6" t="s">
        <v>66</v>
      </c>
      <c r="U1721" s="8" t="s">
        <v>31</v>
      </c>
      <c r="V1721" s="6" t="s">
        <v>11949</v>
      </c>
      <c r="W1721" s="6" t="s">
        <v>10624</v>
      </c>
      <c r="X1721" s="9" t="str">
        <f>HYPERLINK("https://my.pitchbook.com?p=141322-51P","View People Online")</f>
        <v>View People Online</v>
      </c>
    </row>
    <row r="1722">
      <c r="A1722" s="10" t="s">
        <v>11950</v>
      </c>
      <c r="B1722" s="10" t="s">
        <v>11951</v>
      </c>
      <c r="C1722" s="10" t="s">
        <v>126</v>
      </c>
      <c r="D1722" s="10" t="s">
        <v>11152</v>
      </c>
      <c r="E1722" s="10" t="s">
        <v>10624</v>
      </c>
      <c r="F1722" s="10" t="s">
        <v>2652</v>
      </c>
      <c r="G1722" s="10" t="s">
        <v>11952</v>
      </c>
      <c r="H1722" s="11" t="s">
        <v>31</v>
      </c>
      <c r="I1722" s="11">
        <v>3.0</v>
      </c>
      <c r="J1722" s="11">
        <v>1.0</v>
      </c>
      <c r="K1722" s="11">
        <v>1.0</v>
      </c>
      <c r="L1722" s="12" t="s">
        <v>10844</v>
      </c>
      <c r="M1722" s="10" t="s">
        <v>11953</v>
      </c>
      <c r="N1722" s="10" t="s">
        <v>3603</v>
      </c>
      <c r="O1722" s="12" t="s">
        <v>3604</v>
      </c>
      <c r="P1722" s="10" t="s">
        <v>10846</v>
      </c>
      <c r="Q1722" s="10" t="s">
        <v>10847</v>
      </c>
      <c r="R1722" s="10" t="s">
        <v>31</v>
      </c>
      <c r="S1722" s="12" t="s">
        <v>31</v>
      </c>
      <c r="T1722" s="10" t="s">
        <v>3603</v>
      </c>
      <c r="U1722" s="12" t="s">
        <v>31</v>
      </c>
      <c r="V1722" s="10" t="s">
        <v>11954</v>
      </c>
      <c r="W1722" s="10" t="s">
        <v>10624</v>
      </c>
      <c r="X1722" s="13" t="str">
        <f>HYPERLINK("https://my.pitchbook.com?p=220344-04P","View People Online")</f>
        <v>View People Online</v>
      </c>
    </row>
    <row r="1723">
      <c r="A1723" s="14" t="s">
        <v>11955</v>
      </c>
      <c r="B1723" s="14" t="s">
        <v>11956</v>
      </c>
      <c r="C1723" s="14" t="s">
        <v>126</v>
      </c>
      <c r="D1723" s="14" t="s">
        <v>11957</v>
      </c>
      <c r="E1723" s="14" t="s">
        <v>10624</v>
      </c>
      <c r="F1723" s="14" t="s">
        <v>1283</v>
      </c>
      <c r="G1723" s="14" t="s">
        <v>11958</v>
      </c>
      <c r="H1723" s="15" t="s">
        <v>31</v>
      </c>
      <c r="I1723" s="15">
        <v>1.0</v>
      </c>
      <c r="J1723" s="15">
        <v>1.0</v>
      </c>
      <c r="K1723" s="15" t="s">
        <v>31</v>
      </c>
      <c r="L1723" s="16" t="s">
        <v>10626</v>
      </c>
      <c r="M1723" s="14" t="s">
        <v>11959</v>
      </c>
      <c r="N1723" s="14" t="s">
        <v>75</v>
      </c>
      <c r="O1723" s="16" t="s">
        <v>76</v>
      </c>
      <c r="P1723" s="14" t="s">
        <v>10628</v>
      </c>
      <c r="Q1723" s="14" t="s">
        <v>31</v>
      </c>
      <c r="R1723" s="14" t="s">
        <v>75</v>
      </c>
      <c r="S1723" s="16" t="s">
        <v>195</v>
      </c>
      <c r="T1723" s="14" t="s">
        <v>66</v>
      </c>
      <c r="U1723" s="16" t="s">
        <v>31</v>
      </c>
      <c r="V1723" s="14" t="s">
        <v>1283</v>
      </c>
      <c r="W1723" s="14" t="s">
        <v>10624</v>
      </c>
      <c r="X1723" s="17" t="str">
        <f>HYPERLINK("https://my.pitchbook.com?p=242554-78P","View People Online")</f>
        <v>View People Online</v>
      </c>
    </row>
    <row r="1724">
      <c r="A1724" s="2" t="s">
        <v>11960</v>
      </c>
      <c r="B1724" s="2" t="s">
        <v>11961</v>
      </c>
      <c r="C1724" s="2" t="s">
        <v>126</v>
      </c>
      <c r="D1724" s="2" t="s">
        <v>11962</v>
      </c>
      <c r="E1724" s="2" t="s">
        <v>10624</v>
      </c>
      <c r="F1724" s="2" t="s">
        <v>270</v>
      </c>
      <c r="G1724" s="2" t="s">
        <v>11963</v>
      </c>
      <c r="H1724" s="3">
        <v>2.0</v>
      </c>
      <c r="I1724" s="3">
        <v>7.0</v>
      </c>
      <c r="J1724" s="3">
        <v>1.0</v>
      </c>
      <c r="K1724" s="3">
        <v>3.0</v>
      </c>
      <c r="L1724" s="4" t="s">
        <v>10869</v>
      </c>
      <c r="M1724" s="2" t="s">
        <v>11964</v>
      </c>
      <c r="N1724" s="2" t="s">
        <v>2754</v>
      </c>
      <c r="O1724" s="4" t="s">
        <v>2755</v>
      </c>
      <c r="P1724" s="2" t="s">
        <v>10871</v>
      </c>
      <c r="Q1724" s="2" t="s">
        <v>10872</v>
      </c>
      <c r="R1724" s="2" t="s">
        <v>31</v>
      </c>
      <c r="S1724" s="4" t="s">
        <v>10873</v>
      </c>
      <c r="T1724" s="2" t="s">
        <v>38</v>
      </c>
      <c r="U1724" s="4" t="s">
        <v>31</v>
      </c>
      <c r="V1724" s="2" t="s">
        <v>11965</v>
      </c>
      <c r="W1724" s="2" t="s">
        <v>10624</v>
      </c>
      <c r="X1724" s="5" t="str">
        <f>HYPERLINK("https://my.pitchbook.com?p=155157-13P","View People Online")</f>
        <v>View People Online</v>
      </c>
    </row>
    <row r="1725">
      <c r="A1725" s="6" t="s">
        <v>11966</v>
      </c>
      <c r="B1725" s="6" t="s">
        <v>11967</v>
      </c>
      <c r="C1725" s="6" t="s">
        <v>126</v>
      </c>
      <c r="D1725" s="6" t="s">
        <v>11968</v>
      </c>
      <c r="E1725" s="6" t="s">
        <v>10624</v>
      </c>
      <c r="F1725" s="6" t="s">
        <v>548</v>
      </c>
      <c r="G1725" s="6" t="s">
        <v>11969</v>
      </c>
      <c r="H1725" s="7" t="s">
        <v>31</v>
      </c>
      <c r="I1725" s="7">
        <v>1.0</v>
      </c>
      <c r="J1725" s="7">
        <v>1.0</v>
      </c>
      <c r="K1725" s="7" t="s">
        <v>31</v>
      </c>
      <c r="L1725" s="8" t="s">
        <v>10626</v>
      </c>
      <c r="M1725" s="6" t="s">
        <v>11970</v>
      </c>
      <c r="N1725" s="6" t="s">
        <v>75</v>
      </c>
      <c r="O1725" s="8" t="s">
        <v>76</v>
      </c>
      <c r="P1725" s="6" t="s">
        <v>10628</v>
      </c>
      <c r="Q1725" s="6" t="s">
        <v>31</v>
      </c>
      <c r="R1725" s="6" t="s">
        <v>75</v>
      </c>
      <c r="S1725" s="8" t="s">
        <v>195</v>
      </c>
      <c r="T1725" s="6" t="s">
        <v>66</v>
      </c>
      <c r="U1725" s="8" t="s">
        <v>31</v>
      </c>
      <c r="V1725" s="6" t="s">
        <v>11971</v>
      </c>
      <c r="W1725" s="6" t="s">
        <v>10624</v>
      </c>
      <c r="X1725" s="9" t="str">
        <f>HYPERLINK("https://my.pitchbook.com?p=38140-75P","View People Online")</f>
        <v>View People Online</v>
      </c>
    </row>
    <row r="1726">
      <c r="A1726" s="2" t="s">
        <v>11972</v>
      </c>
      <c r="B1726" s="2" t="s">
        <v>11973</v>
      </c>
      <c r="C1726" s="2" t="s">
        <v>4033</v>
      </c>
      <c r="D1726" s="2" t="s">
        <v>11974</v>
      </c>
      <c r="E1726" s="2" t="s">
        <v>10624</v>
      </c>
      <c r="F1726" s="2" t="s">
        <v>1283</v>
      </c>
      <c r="G1726" s="2" t="s">
        <v>11975</v>
      </c>
      <c r="H1726" s="3" t="s">
        <v>31</v>
      </c>
      <c r="I1726" s="3">
        <v>1.0</v>
      </c>
      <c r="J1726" s="3">
        <v>1.0</v>
      </c>
      <c r="K1726" s="3" t="s">
        <v>31</v>
      </c>
      <c r="L1726" s="4" t="s">
        <v>11162</v>
      </c>
      <c r="M1726" s="2" t="s">
        <v>11976</v>
      </c>
      <c r="N1726" s="2" t="s">
        <v>155</v>
      </c>
      <c r="O1726" s="4" t="s">
        <v>156</v>
      </c>
      <c r="P1726" s="2" t="s">
        <v>11164</v>
      </c>
      <c r="Q1726" s="2" t="s">
        <v>31</v>
      </c>
      <c r="R1726" s="2" t="s">
        <v>64</v>
      </c>
      <c r="S1726" s="4" t="s">
        <v>3487</v>
      </c>
      <c r="T1726" s="2" t="s">
        <v>66</v>
      </c>
      <c r="U1726" s="4" t="s">
        <v>31</v>
      </c>
      <c r="V1726" s="2" t="s">
        <v>1283</v>
      </c>
      <c r="W1726" s="2" t="s">
        <v>10624</v>
      </c>
      <c r="X1726" s="5" t="str">
        <f>HYPERLINK("https://my.pitchbook.com?p=81315-64P","View People Online")</f>
        <v>View People Online</v>
      </c>
    </row>
    <row r="1727">
      <c r="A1727" s="6" t="s">
        <v>11977</v>
      </c>
      <c r="B1727" s="6" t="s">
        <v>11978</v>
      </c>
      <c r="C1727" s="6" t="s">
        <v>4033</v>
      </c>
      <c r="D1727" s="6" t="s">
        <v>11979</v>
      </c>
      <c r="E1727" s="6" t="s">
        <v>10624</v>
      </c>
      <c r="F1727" s="6" t="s">
        <v>2652</v>
      </c>
      <c r="G1727" s="6" t="s">
        <v>11980</v>
      </c>
      <c r="H1727" s="7" t="s">
        <v>31</v>
      </c>
      <c r="I1727" s="7">
        <v>1.0</v>
      </c>
      <c r="J1727" s="7">
        <v>1.0</v>
      </c>
      <c r="K1727" s="7" t="s">
        <v>31</v>
      </c>
      <c r="L1727" s="8" t="s">
        <v>10626</v>
      </c>
      <c r="M1727" s="6" t="s">
        <v>11981</v>
      </c>
      <c r="N1727" s="6" t="s">
        <v>75</v>
      </c>
      <c r="O1727" s="8" t="s">
        <v>76</v>
      </c>
      <c r="P1727" s="6" t="s">
        <v>10628</v>
      </c>
      <c r="Q1727" s="6" t="s">
        <v>31</v>
      </c>
      <c r="R1727" s="6" t="s">
        <v>75</v>
      </c>
      <c r="S1727" s="8" t="s">
        <v>195</v>
      </c>
      <c r="T1727" s="6" t="s">
        <v>66</v>
      </c>
      <c r="U1727" s="8" t="s">
        <v>31</v>
      </c>
      <c r="V1727" s="6" t="s">
        <v>11982</v>
      </c>
      <c r="W1727" s="6" t="s">
        <v>10624</v>
      </c>
      <c r="X1727" s="9" t="str">
        <f>HYPERLINK("https://my.pitchbook.com?p=248133-61P","View People Online")</f>
        <v>View People Online</v>
      </c>
    </row>
    <row r="1728">
      <c r="A1728" s="2" t="s">
        <v>11983</v>
      </c>
      <c r="B1728" s="2" t="s">
        <v>11984</v>
      </c>
      <c r="C1728" s="2" t="s">
        <v>11985</v>
      </c>
      <c r="D1728" s="2" t="s">
        <v>11986</v>
      </c>
      <c r="E1728" s="2" t="s">
        <v>10624</v>
      </c>
      <c r="F1728" s="2" t="s">
        <v>2652</v>
      </c>
      <c r="G1728" s="2" t="s">
        <v>11987</v>
      </c>
      <c r="H1728" s="3" t="s">
        <v>31</v>
      </c>
      <c r="I1728" s="3">
        <v>1.0</v>
      </c>
      <c r="J1728" s="3">
        <v>1.0</v>
      </c>
      <c r="K1728" s="3" t="s">
        <v>31</v>
      </c>
      <c r="L1728" s="4" t="s">
        <v>10626</v>
      </c>
      <c r="M1728" s="2" t="s">
        <v>11988</v>
      </c>
      <c r="N1728" s="2" t="s">
        <v>75</v>
      </c>
      <c r="O1728" s="4" t="s">
        <v>76</v>
      </c>
      <c r="P1728" s="2" t="s">
        <v>10628</v>
      </c>
      <c r="Q1728" s="2" t="s">
        <v>31</v>
      </c>
      <c r="R1728" s="2" t="s">
        <v>75</v>
      </c>
      <c r="S1728" s="4" t="s">
        <v>195</v>
      </c>
      <c r="T1728" s="2" t="s">
        <v>66</v>
      </c>
      <c r="U1728" s="4" t="s">
        <v>31</v>
      </c>
      <c r="V1728" s="2" t="s">
        <v>11989</v>
      </c>
      <c r="W1728" s="2" t="s">
        <v>10624</v>
      </c>
      <c r="X1728" s="5" t="str">
        <f>HYPERLINK("https://my.pitchbook.com?p=71901-37P","View People Online")</f>
        <v>View People Online</v>
      </c>
    </row>
    <row r="1729">
      <c r="A1729" s="6" t="s">
        <v>11990</v>
      </c>
      <c r="B1729" s="6" t="s">
        <v>11991</v>
      </c>
      <c r="C1729" s="6" t="s">
        <v>11992</v>
      </c>
      <c r="D1729" s="6" t="s">
        <v>3847</v>
      </c>
      <c r="E1729" s="6" t="s">
        <v>10624</v>
      </c>
      <c r="F1729" s="6" t="s">
        <v>1283</v>
      </c>
      <c r="G1729" s="6" t="s">
        <v>11993</v>
      </c>
      <c r="H1729" s="7" t="s">
        <v>31</v>
      </c>
      <c r="I1729" s="7">
        <v>1.0</v>
      </c>
      <c r="J1729" s="7">
        <v>1.0</v>
      </c>
      <c r="K1729" s="7" t="s">
        <v>31</v>
      </c>
      <c r="L1729" s="8" t="s">
        <v>11994</v>
      </c>
      <c r="M1729" s="6" t="s">
        <v>11995</v>
      </c>
      <c r="N1729" s="6" t="s">
        <v>75</v>
      </c>
      <c r="O1729" s="8" t="s">
        <v>76</v>
      </c>
      <c r="P1729" s="6" t="s">
        <v>10628</v>
      </c>
      <c r="Q1729" s="6" t="s">
        <v>31</v>
      </c>
      <c r="R1729" s="6" t="s">
        <v>75</v>
      </c>
      <c r="S1729" s="8" t="s">
        <v>195</v>
      </c>
      <c r="T1729" s="6" t="s">
        <v>66</v>
      </c>
      <c r="U1729" s="8" t="s">
        <v>31</v>
      </c>
      <c r="V1729" s="6" t="s">
        <v>11996</v>
      </c>
      <c r="W1729" s="6" t="s">
        <v>10624</v>
      </c>
      <c r="X1729" s="9" t="str">
        <f>HYPERLINK("https://my.pitchbook.com?p=391523-05P","View People Online")</f>
        <v>View People Online</v>
      </c>
    </row>
    <row r="1730">
      <c r="A1730" s="10" t="s">
        <v>11997</v>
      </c>
      <c r="B1730" s="10" t="s">
        <v>11998</v>
      </c>
      <c r="C1730" s="10" t="s">
        <v>894</v>
      </c>
      <c r="D1730" s="10" t="s">
        <v>11999</v>
      </c>
      <c r="E1730" s="10" t="s">
        <v>10624</v>
      </c>
      <c r="F1730" s="10" t="s">
        <v>2652</v>
      </c>
      <c r="G1730" s="10" t="s">
        <v>12000</v>
      </c>
      <c r="H1730" s="11" t="s">
        <v>31</v>
      </c>
      <c r="I1730" s="11">
        <v>1.0</v>
      </c>
      <c r="J1730" s="11">
        <v>1.0</v>
      </c>
      <c r="K1730" s="11" t="s">
        <v>31</v>
      </c>
      <c r="L1730" s="12" t="s">
        <v>10626</v>
      </c>
      <c r="M1730" s="10" t="s">
        <v>12001</v>
      </c>
      <c r="N1730" s="10" t="s">
        <v>75</v>
      </c>
      <c r="O1730" s="12" t="s">
        <v>76</v>
      </c>
      <c r="P1730" s="10" t="s">
        <v>10628</v>
      </c>
      <c r="Q1730" s="10" t="s">
        <v>31</v>
      </c>
      <c r="R1730" s="10" t="s">
        <v>75</v>
      </c>
      <c r="S1730" s="12" t="s">
        <v>195</v>
      </c>
      <c r="T1730" s="10" t="s">
        <v>66</v>
      </c>
      <c r="U1730" s="12" t="s">
        <v>31</v>
      </c>
      <c r="V1730" s="10" t="s">
        <v>12002</v>
      </c>
      <c r="W1730" s="10" t="s">
        <v>10624</v>
      </c>
      <c r="X1730" s="13" t="str">
        <f>HYPERLINK("https://my.pitchbook.com?p=400834-09P","View People Online")</f>
        <v>View People Online</v>
      </c>
    </row>
    <row r="1731">
      <c r="A1731" s="14" t="s">
        <v>12003</v>
      </c>
      <c r="B1731" s="14" t="s">
        <v>12004</v>
      </c>
      <c r="C1731" s="14" t="s">
        <v>12005</v>
      </c>
      <c r="D1731" s="14" t="s">
        <v>12006</v>
      </c>
      <c r="E1731" s="14" t="s">
        <v>10624</v>
      </c>
      <c r="F1731" s="14" t="s">
        <v>12007</v>
      </c>
      <c r="G1731" s="14" t="s">
        <v>12008</v>
      </c>
      <c r="H1731" s="15" t="s">
        <v>31</v>
      </c>
      <c r="I1731" s="15">
        <v>1.0</v>
      </c>
      <c r="J1731" s="15">
        <v>1.0</v>
      </c>
      <c r="K1731" s="15" t="s">
        <v>31</v>
      </c>
      <c r="L1731" s="16" t="s">
        <v>11019</v>
      </c>
      <c r="M1731" s="14" t="s">
        <v>12009</v>
      </c>
      <c r="N1731" s="14" t="s">
        <v>794</v>
      </c>
      <c r="O1731" s="16" t="s">
        <v>795</v>
      </c>
      <c r="P1731" s="14" t="s">
        <v>11021</v>
      </c>
      <c r="Q1731" s="14" t="s">
        <v>3920</v>
      </c>
      <c r="R1731" s="14" t="s">
        <v>31</v>
      </c>
      <c r="S1731" s="16" t="s">
        <v>11022</v>
      </c>
      <c r="T1731" s="14" t="s">
        <v>796</v>
      </c>
      <c r="U1731" s="16" t="s">
        <v>31</v>
      </c>
      <c r="V1731" s="14" t="s">
        <v>12010</v>
      </c>
      <c r="W1731" s="14" t="s">
        <v>10624</v>
      </c>
      <c r="X1731" s="17" t="str">
        <f>HYPERLINK("https://my.pitchbook.com?p=116585-20P","View People Online")</f>
        <v>View People Online</v>
      </c>
    </row>
    <row r="1732">
      <c r="A1732" s="10" t="s">
        <v>12011</v>
      </c>
      <c r="B1732" s="10" t="s">
        <v>12012</v>
      </c>
      <c r="C1732" s="10" t="s">
        <v>12013</v>
      </c>
      <c r="D1732" s="10" t="s">
        <v>12014</v>
      </c>
      <c r="E1732" s="10" t="s">
        <v>10624</v>
      </c>
      <c r="F1732" s="10" t="s">
        <v>2652</v>
      </c>
      <c r="G1732" s="10" t="s">
        <v>12015</v>
      </c>
      <c r="H1732" s="11" t="s">
        <v>31</v>
      </c>
      <c r="I1732" s="11">
        <v>1.0</v>
      </c>
      <c r="J1732" s="11">
        <v>1.0</v>
      </c>
      <c r="K1732" s="11" t="s">
        <v>31</v>
      </c>
      <c r="L1732" s="12" t="s">
        <v>12016</v>
      </c>
      <c r="M1732" s="10" t="s">
        <v>12017</v>
      </c>
      <c r="N1732" s="10" t="s">
        <v>3100</v>
      </c>
      <c r="O1732" s="12" t="s">
        <v>3101</v>
      </c>
      <c r="P1732" s="10" t="s">
        <v>11133</v>
      </c>
      <c r="Q1732" s="10" t="s">
        <v>31</v>
      </c>
      <c r="R1732" s="10" t="s">
        <v>31</v>
      </c>
      <c r="S1732" s="12" t="s">
        <v>8160</v>
      </c>
      <c r="T1732" s="10" t="s">
        <v>3104</v>
      </c>
      <c r="U1732" s="12" t="s">
        <v>31</v>
      </c>
      <c r="V1732" s="10" t="s">
        <v>12018</v>
      </c>
      <c r="W1732" s="10" t="s">
        <v>10624</v>
      </c>
      <c r="X1732" s="13" t="str">
        <f>HYPERLINK("https://my.pitchbook.com?p=151909-03P","View People Online")</f>
        <v>View People Online</v>
      </c>
    </row>
    <row r="1733">
      <c r="A1733" s="14" t="s">
        <v>12019</v>
      </c>
      <c r="B1733" s="14" t="s">
        <v>12020</v>
      </c>
      <c r="C1733" s="14" t="s">
        <v>907</v>
      </c>
      <c r="D1733" s="14" t="s">
        <v>12021</v>
      </c>
      <c r="E1733" s="14" t="s">
        <v>10624</v>
      </c>
      <c r="F1733" s="14" t="s">
        <v>825</v>
      </c>
      <c r="G1733" s="14" t="s">
        <v>12022</v>
      </c>
      <c r="H1733" s="15" t="s">
        <v>31</v>
      </c>
      <c r="I1733" s="15">
        <v>1.0</v>
      </c>
      <c r="J1733" s="15">
        <v>1.0</v>
      </c>
      <c r="K1733" s="15" t="s">
        <v>31</v>
      </c>
      <c r="L1733" s="16" t="s">
        <v>10844</v>
      </c>
      <c r="M1733" s="14" t="s">
        <v>12023</v>
      </c>
      <c r="N1733" s="14" t="s">
        <v>3603</v>
      </c>
      <c r="O1733" s="16" t="s">
        <v>3604</v>
      </c>
      <c r="P1733" s="14" t="s">
        <v>10846</v>
      </c>
      <c r="Q1733" s="14" t="s">
        <v>10847</v>
      </c>
      <c r="R1733" s="14" t="s">
        <v>31</v>
      </c>
      <c r="S1733" s="16" t="s">
        <v>31</v>
      </c>
      <c r="T1733" s="14" t="s">
        <v>3603</v>
      </c>
      <c r="U1733" s="16" t="s">
        <v>31</v>
      </c>
      <c r="V1733" s="14" t="s">
        <v>12024</v>
      </c>
      <c r="W1733" s="14" t="s">
        <v>10624</v>
      </c>
      <c r="X1733" s="17" t="str">
        <f>HYPERLINK("https://my.pitchbook.com?p=340562-89P","View People Online")</f>
        <v>View People Online</v>
      </c>
    </row>
    <row r="1734">
      <c r="A1734" s="2" t="s">
        <v>12025</v>
      </c>
      <c r="B1734" s="2" t="s">
        <v>12026</v>
      </c>
      <c r="C1734" s="2" t="s">
        <v>132</v>
      </c>
      <c r="D1734" s="2" t="s">
        <v>12027</v>
      </c>
      <c r="E1734" s="2" t="s">
        <v>10624</v>
      </c>
      <c r="F1734" s="2" t="s">
        <v>2652</v>
      </c>
      <c r="G1734" s="2" t="s">
        <v>12028</v>
      </c>
      <c r="H1734" s="3" t="s">
        <v>31</v>
      </c>
      <c r="I1734" s="3">
        <v>1.0</v>
      </c>
      <c r="J1734" s="3">
        <v>1.0</v>
      </c>
      <c r="K1734" s="3" t="s">
        <v>31</v>
      </c>
      <c r="L1734" s="4" t="s">
        <v>10641</v>
      </c>
      <c r="M1734" s="2" t="s">
        <v>12029</v>
      </c>
      <c r="N1734" s="2" t="s">
        <v>243</v>
      </c>
      <c r="O1734" s="4" t="s">
        <v>244</v>
      </c>
      <c r="P1734" s="2" t="s">
        <v>10643</v>
      </c>
      <c r="Q1734" s="2" t="s">
        <v>10644</v>
      </c>
      <c r="R1734" s="2" t="s">
        <v>247</v>
      </c>
      <c r="S1734" s="4" t="s">
        <v>10645</v>
      </c>
      <c r="T1734" s="2" t="s">
        <v>249</v>
      </c>
      <c r="U1734" s="4" t="s">
        <v>31</v>
      </c>
      <c r="V1734" s="2" t="s">
        <v>12030</v>
      </c>
      <c r="W1734" s="2" t="s">
        <v>10624</v>
      </c>
      <c r="X1734" s="5" t="str">
        <f>HYPERLINK("https://my.pitchbook.com?p=156962-35P","View People Online")</f>
        <v>View People Online</v>
      </c>
    </row>
    <row r="1735">
      <c r="A1735" s="6" t="s">
        <v>12031</v>
      </c>
      <c r="B1735" s="6" t="s">
        <v>12032</v>
      </c>
      <c r="C1735" s="6" t="s">
        <v>132</v>
      </c>
      <c r="D1735" s="6" t="s">
        <v>12033</v>
      </c>
      <c r="E1735" s="6" t="s">
        <v>10624</v>
      </c>
      <c r="F1735" s="6" t="s">
        <v>371</v>
      </c>
      <c r="G1735" s="6" t="s">
        <v>12034</v>
      </c>
      <c r="H1735" s="7" t="s">
        <v>31</v>
      </c>
      <c r="I1735" s="7">
        <v>1.0</v>
      </c>
      <c r="J1735" s="7">
        <v>1.0</v>
      </c>
      <c r="K1735" s="7" t="s">
        <v>31</v>
      </c>
      <c r="L1735" s="8" t="s">
        <v>11162</v>
      </c>
      <c r="M1735" s="6" t="s">
        <v>12035</v>
      </c>
      <c r="N1735" s="6" t="s">
        <v>155</v>
      </c>
      <c r="O1735" s="8" t="s">
        <v>156</v>
      </c>
      <c r="P1735" s="6" t="s">
        <v>11164</v>
      </c>
      <c r="Q1735" s="6" t="s">
        <v>31</v>
      </c>
      <c r="R1735" s="6" t="s">
        <v>64</v>
      </c>
      <c r="S1735" s="8" t="s">
        <v>3487</v>
      </c>
      <c r="T1735" s="6" t="s">
        <v>66</v>
      </c>
      <c r="U1735" s="8" t="s">
        <v>31</v>
      </c>
      <c r="V1735" s="6" t="s">
        <v>371</v>
      </c>
      <c r="W1735" s="6" t="s">
        <v>10624</v>
      </c>
      <c r="X1735" s="9" t="str">
        <f>HYPERLINK("https://my.pitchbook.com?p=387164-89P","View People Online")</f>
        <v>View People Online</v>
      </c>
    </row>
    <row r="1736">
      <c r="A1736" s="2" t="s">
        <v>12036</v>
      </c>
      <c r="B1736" s="2" t="s">
        <v>12037</v>
      </c>
      <c r="C1736" s="2" t="s">
        <v>382</v>
      </c>
      <c r="D1736" s="2" t="s">
        <v>12038</v>
      </c>
      <c r="E1736" s="2" t="s">
        <v>10624</v>
      </c>
      <c r="F1736" s="2" t="s">
        <v>221</v>
      </c>
      <c r="G1736" s="2" t="s">
        <v>12039</v>
      </c>
      <c r="H1736" s="3" t="s">
        <v>31</v>
      </c>
      <c r="I1736" s="3">
        <v>1.0</v>
      </c>
      <c r="J1736" s="3">
        <v>1.0</v>
      </c>
      <c r="K1736" s="3" t="s">
        <v>31</v>
      </c>
      <c r="L1736" s="4" t="s">
        <v>12040</v>
      </c>
      <c r="M1736" s="2" t="s">
        <v>12041</v>
      </c>
      <c r="N1736" s="2" t="s">
        <v>75</v>
      </c>
      <c r="O1736" s="4" t="s">
        <v>76</v>
      </c>
      <c r="P1736" s="2" t="s">
        <v>10628</v>
      </c>
      <c r="Q1736" s="2" t="s">
        <v>31</v>
      </c>
      <c r="R1736" s="2" t="s">
        <v>75</v>
      </c>
      <c r="S1736" s="4" t="s">
        <v>195</v>
      </c>
      <c r="T1736" s="2" t="s">
        <v>66</v>
      </c>
      <c r="U1736" s="4" t="s">
        <v>31</v>
      </c>
      <c r="V1736" s="2" t="s">
        <v>12042</v>
      </c>
      <c r="W1736" s="2" t="s">
        <v>10624</v>
      </c>
      <c r="X1736" s="5" t="str">
        <f>HYPERLINK("https://my.pitchbook.com?p=412156-54P","View People Online")</f>
        <v>View People Online</v>
      </c>
    </row>
    <row r="1737">
      <c r="A1737" s="6" t="s">
        <v>12043</v>
      </c>
      <c r="B1737" s="6" t="s">
        <v>12044</v>
      </c>
      <c r="C1737" s="6" t="s">
        <v>4575</v>
      </c>
      <c r="D1737" s="6" t="s">
        <v>6461</v>
      </c>
      <c r="E1737" s="6" t="s">
        <v>10624</v>
      </c>
      <c r="F1737" s="6" t="s">
        <v>221</v>
      </c>
      <c r="G1737" s="6" t="s">
        <v>12045</v>
      </c>
      <c r="H1737" s="7" t="s">
        <v>31</v>
      </c>
      <c r="I1737" s="7">
        <v>1.0</v>
      </c>
      <c r="J1737" s="7">
        <v>1.0</v>
      </c>
      <c r="K1737" s="7" t="s">
        <v>31</v>
      </c>
      <c r="L1737" s="8" t="s">
        <v>10626</v>
      </c>
      <c r="M1737" s="6" t="s">
        <v>12046</v>
      </c>
      <c r="N1737" s="6" t="s">
        <v>75</v>
      </c>
      <c r="O1737" s="8" t="s">
        <v>76</v>
      </c>
      <c r="P1737" s="6" t="s">
        <v>10628</v>
      </c>
      <c r="Q1737" s="6" t="s">
        <v>31</v>
      </c>
      <c r="R1737" s="6" t="s">
        <v>75</v>
      </c>
      <c r="S1737" s="8" t="s">
        <v>195</v>
      </c>
      <c r="T1737" s="6" t="s">
        <v>66</v>
      </c>
      <c r="U1737" s="8" t="s">
        <v>31</v>
      </c>
      <c r="V1737" s="6" t="s">
        <v>221</v>
      </c>
      <c r="W1737" s="6" t="s">
        <v>10624</v>
      </c>
      <c r="X1737" s="9" t="str">
        <f>HYPERLINK("https://my.pitchbook.com?p=351017-20P","View People Online")</f>
        <v>View People Online</v>
      </c>
    </row>
    <row r="1738">
      <c r="A1738" s="10" t="s">
        <v>12047</v>
      </c>
      <c r="B1738" s="10" t="s">
        <v>12048</v>
      </c>
      <c r="C1738" s="10" t="s">
        <v>12049</v>
      </c>
      <c r="D1738" s="10" t="s">
        <v>12050</v>
      </c>
      <c r="E1738" s="10" t="s">
        <v>10624</v>
      </c>
      <c r="F1738" s="10" t="s">
        <v>548</v>
      </c>
      <c r="G1738" s="10" t="s">
        <v>12051</v>
      </c>
      <c r="H1738" s="11" t="s">
        <v>31</v>
      </c>
      <c r="I1738" s="11">
        <v>1.0</v>
      </c>
      <c r="J1738" s="11">
        <v>1.0</v>
      </c>
      <c r="K1738" s="11" t="s">
        <v>31</v>
      </c>
      <c r="L1738" s="12" t="s">
        <v>12052</v>
      </c>
      <c r="M1738" s="10" t="s">
        <v>12053</v>
      </c>
      <c r="N1738" s="10" t="s">
        <v>3100</v>
      </c>
      <c r="O1738" s="12" t="s">
        <v>3101</v>
      </c>
      <c r="P1738" s="10" t="s">
        <v>11133</v>
      </c>
      <c r="Q1738" s="10" t="s">
        <v>31</v>
      </c>
      <c r="R1738" s="10" t="s">
        <v>31</v>
      </c>
      <c r="S1738" s="12" t="s">
        <v>8160</v>
      </c>
      <c r="T1738" s="10" t="s">
        <v>3104</v>
      </c>
      <c r="U1738" s="12" t="s">
        <v>31</v>
      </c>
      <c r="V1738" s="10" t="s">
        <v>548</v>
      </c>
      <c r="W1738" s="10" t="s">
        <v>10624</v>
      </c>
      <c r="X1738" s="13" t="str">
        <f>HYPERLINK("https://my.pitchbook.com?p=339274-36P","View People Online")</f>
        <v>View People Online</v>
      </c>
    </row>
    <row r="1739">
      <c r="A1739" s="14" t="s">
        <v>12054</v>
      </c>
      <c r="B1739" s="14" t="s">
        <v>12055</v>
      </c>
      <c r="C1739" s="14" t="s">
        <v>12056</v>
      </c>
      <c r="D1739" s="14" t="s">
        <v>12057</v>
      </c>
      <c r="E1739" s="14" t="s">
        <v>10624</v>
      </c>
      <c r="F1739" s="14" t="s">
        <v>1283</v>
      </c>
      <c r="G1739" s="14" t="s">
        <v>12058</v>
      </c>
      <c r="H1739" s="15">
        <v>1.0</v>
      </c>
      <c r="I1739" s="15">
        <v>2.0</v>
      </c>
      <c r="J1739" s="15">
        <v>1.0</v>
      </c>
      <c r="K1739" s="15" t="s">
        <v>31</v>
      </c>
      <c r="L1739" s="16" t="s">
        <v>10626</v>
      </c>
      <c r="M1739" s="14" t="s">
        <v>12059</v>
      </c>
      <c r="N1739" s="14" t="s">
        <v>75</v>
      </c>
      <c r="O1739" s="16" t="s">
        <v>76</v>
      </c>
      <c r="P1739" s="14" t="s">
        <v>10628</v>
      </c>
      <c r="Q1739" s="14" t="s">
        <v>31</v>
      </c>
      <c r="R1739" s="14" t="s">
        <v>75</v>
      </c>
      <c r="S1739" s="16" t="s">
        <v>195</v>
      </c>
      <c r="T1739" s="14" t="s">
        <v>66</v>
      </c>
      <c r="U1739" s="16" t="s">
        <v>31</v>
      </c>
      <c r="V1739" s="14" t="s">
        <v>12060</v>
      </c>
      <c r="W1739" s="14" t="s">
        <v>10624</v>
      </c>
      <c r="X1739" s="17" t="str">
        <f>HYPERLINK("https://my.pitchbook.com?p=92076-31P","View People Online")</f>
        <v>View People Online</v>
      </c>
    </row>
    <row r="1740">
      <c r="A1740" s="2" t="s">
        <v>12061</v>
      </c>
      <c r="B1740" s="2" t="s">
        <v>12062</v>
      </c>
      <c r="C1740" s="2" t="s">
        <v>3233</v>
      </c>
      <c r="D1740" s="2" t="s">
        <v>12063</v>
      </c>
      <c r="E1740" s="2" t="s">
        <v>10624</v>
      </c>
      <c r="F1740" s="2" t="s">
        <v>1283</v>
      </c>
      <c r="G1740" s="2" t="s">
        <v>12064</v>
      </c>
      <c r="H1740" s="3" t="s">
        <v>31</v>
      </c>
      <c r="I1740" s="3">
        <v>1.0</v>
      </c>
      <c r="J1740" s="3">
        <v>1.0</v>
      </c>
      <c r="K1740" s="3" t="s">
        <v>31</v>
      </c>
      <c r="L1740" s="4" t="s">
        <v>10641</v>
      </c>
      <c r="M1740" s="2" t="s">
        <v>12065</v>
      </c>
      <c r="N1740" s="2" t="s">
        <v>243</v>
      </c>
      <c r="O1740" s="4" t="s">
        <v>244</v>
      </c>
      <c r="P1740" s="2" t="s">
        <v>10643</v>
      </c>
      <c r="Q1740" s="2" t="s">
        <v>10644</v>
      </c>
      <c r="R1740" s="2" t="s">
        <v>247</v>
      </c>
      <c r="S1740" s="4" t="s">
        <v>10645</v>
      </c>
      <c r="T1740" s="2" t="s">
        <v>249</v>
      </c>
      <c r="U1740" s="4" t="s">
        <v>31</v>
      </c>
      <c r="V1740" s="2" t="s">
        <v>12066</v>
      </c>
      <c r="W1740" s="2" t="s">
        <v>10624</v>
      </c>
      <c r="X1740" s="5" t="str">
        <f>HYPERLINK("https://my.pitchbook.com?p=138883-24P","View People Online")</f>
        <v>View People Online</v>
      </c>
    </row>
    <row r="1741">
      <c r="A1741" s="6" t="s">
        <v>12067</v>
      </c>
      <c r="B1741" s="6" t="s">
        <v>12068</v>
      </c>
      <c r="C1741" s="6" t="s">
        <v>12069</v>
      </c>
      <c r="D1741" s="6" t="s">
        <v>12070</v>
      </c>
      <c r="E1741" s="6" t="s">
        <v>10624</v>
      </c>
      <c r="F1741" s="6" t="s">
        <v>825</v>
      </c>
      <c r="G1741" s="6" t="s">
        <v>12071</v>
      </c>
      <c r="H1741" s="7" t="s">
        <v>31</v>
      </c>
      <c r="I1741" s="7">
        <v>1.0</v>
      </c>
      <c r="J1741" s="7">
        <v>1.0</v>
      </c>
      <c r="K1741" s="7" t="s">
        <v>31</v>
      </c>
      <c r="L1741" s="8" t="s">
        <v>12072</v>
      </c>
      <c r="M1741" s="6" t="s">
        <v>12073</v>
      </c>
      <c r="N1741" s="6" t="s">
        <v>429</v>
      </c>
      <c r="O1741" s="8" t="s">
        <v>430</v>
      </c>
      <c r="P1741" s="6" t="s">
        <v>10829</v>
      </c>
      <c r="Q1741" s="6" t="s">
        <v>10830</v>
      </c>
      <c r="R1741" s="6" t="s">
        <v>31</v>
      </c>
      <c r="S1741" s="8" t="s">
        <v>10831</v>
      </c>
      <c r="T1741" s="6" t="s">
        <v>433</v>
      </c>
      <c r="U1741" s="8" t="s">
        <v>31</v>
      </c>
      <c r="V1741" s="6" t="s">
        <v>12074</v>
      </c>
      <c r="W1741" s="6" t="s">
        <v>10624</v>
      </c>
      <c r="X1741" s="9" t="str">
        <f>HYPERLINK("https://my.pitchbook.com?p=364073-68P","View People Online")</f>
        <v>View People Online</v>
      </c>
    </row>
    <row r="1742">
      <c r="A1742" s="10" t="s">
        <v>12075</v>
      </c>
      <c r="B1742" s="10" t="s">
        <v>12076</v>
      </c>
      <c r="C1742" s="10" t="s">
        <v>12077</v>
      </c>
      <c r="D1742" s="10" t="s">
        <v>9686</v>
      </c>
      <c r="E1742" s="10" t="s">
        <v>10624</v>
      </c>
      <c r="F1742" s="10" t="s">
        <v>1283</v>
      </c>
      <c r="G1742" s="10" t="s">
        <v>12078</v>
      </c>
      <c r="H1742" s="11" t="s">
        <v>31</v>
      </c>
      <c r="I1742" s="11">
        <v>1.0</v>
      </c>
      <c r="J1742" s="11">
        <v>1.0</v>
      </c>
      <c r="K1742" s="11" t="s">
        <v>31</v>
      </c>
      <c r="L1742" s="12" t="s">
        <v>10626</v>
      </c>
      <c r="M1742" s="10" t="s">
        <v>12079</v>
      </c>
      <c r="N1742" s="10" t="s">
        <v>75</v>
      </c>
      <c r="O1742" s="12" t="s">
        <v>76</v>
      </c>
      <c r="P1742" s="10" t="s">
        <v>10628</v>
      </c>
      <c r="Q1742" s="10" t="s">
        <v>31</v>
      </c>
      <c r="R1742" s="10" t="s">
        <v>75</v>
      </c>
      <c r="S1742" s="12" t="s">
        <v>195</v>
      </c>
      <c r="T1742" s="10" t="s">
        <v>66</v>
      </c>
      <c r="U1742" s="12" t="s">
        <v>31</v>
      </c>
      <c r="V1742" s="10" t="s">
        <v>12080</v>
      </c>
      <c r="W1742" s="10" t="s">
        <v>10624</v>
      </c>
      <c r="X1742" s="13" t="str">
        <f>HYPERLINK("https://my.pitchbook.com?p=138863-08P","View People Online")</f>
        <v>View People Online</v>
      </c>
    </row>
    <row r="1743">
      <c r="A1743" s="6" t="s">
        <v>12081</v>
      </c>
      <c r="B1743" s="6" t="s">
        <v>12082</v>
      </c>
      <c r="C1743" s="6" t="s">
        <v>3245</v>
      </c>
      <c r="D1743" s="6" t="s">
        <v>12083</v>
      </c>
      <c r="E1743" s="6" t="s">
        <v>10624</v>
      </c>
      <c r="F1743" s="6" t="s">
        <v>548</v>
      </c>
      <c r="G1743" s="6" t="s">
        <v>12084</v>
      </c>
      <c r="H1743" s="7" t="s">
        <v>31</v>
      </c>
      <c r="I1743" s="7">
        <v>4.0</v>
      </c>
      <c r="J1743" s="7">
        <v>1.0</v>
      </c>
      <c r="K1743" s="7" t="s">
        <v>31</v>
      </c>
      <c r="L1743" s="8" t="s">
        <v>10626</v>
      </c>
      <c r="M1743" s="6" t="s">
        <v>12085</v>
      </c>
      <c r="N1743" s="6" t="s">
        <v>75</v>
      </c>
      <c r="O1743" s="8" t="s">
        <v>76</v>
      </c>
      <c r="P1743" s="6" t="s">
        <v>10628</v>
      </c>
      <c r="Q1743" s="6" t="s">
        <v>31</v>
      </c>
      <c r="R1743" s="6" t="s">
        <v>75</v>
      </c>
      <c r="S1743" s="8" t="s">
        <v>195</v>
      </c>
      <c r="T1743" s="6" t="s">
        <v>66</v>
      </c>
      <c r="U1743" s="8" t="s">
        <v>31</v>
      </c>
      <c r="V1743" s="6" t="s">
        <v>548</v>
      </c>
      <c r="W1743" s="6" t="s">
        <v>10624</v>
      </c>
      <c r="X1743" s="9" t="str">
        <f>HYPERLINK("https://my.pitchbook.com?p=440948-62P","View People Online")</f>
        <v>View People Online</v>
      </c>
    </row>
    <row r="1744">
      <c r="A1744" s="2" t="s">
        <v>12086</v>
      </c>
      <c r="B1744" s="2" t="s">
        <v>12087</v>
      </c>
      <c r="C1744" s="2" t="s">
        <v>3245</v>
      </c>
      <c r="D1744" s="2" t="s">
        <v>12088</v>
      </c>
      <c r="E1744" s="2" t="s">
        <v>10624</v>
      </c>
      <c r="F1744" s="2" t="s">
        <v>10762</v>
      </c>
      <c r="G1744" s="2" t="s">
        <v>12089</v>
      </c>
      <c r="H1744" s="3" t="s">
        <v>31</v>
      </c>
      <c r="I1744" s="3">
        <v>1.0</v>
      </c>
      <c r="J1744" s="3">
        <v>1.0</v>
      </c>
      <c r="K1744" s="3" t="s">
        <v>31</v>
      </c>
      <c r="L1744" s="4" t="s">
        <v>10626</v>
      </c>
      <c r="M1744" s="2" t="s">
        <v>12090</v>
      </c>
      <c r="N1744" s="2" t="s">
        <v>75</v>
      </c>
      <c r="O1744" s="4" t="s">
        <v>76</v>
      </c>
      <c r="P1744" s="2" t="s">
        <v>10628</v>
      </c>
      <c r="Q1744" s="2" t="s">
        <v>31</v>
      </c>
      <c r="R1744" s="2" t="s">
        <v>75</v>
      </c>
      <c r="S1744" s="4" t="s">
        <v>195</v>
      </c>
      <c r="T1744" s="2" t="s">
        <v>66</v>
      </c>
      <c r="U1744" s="4" t="s">
        <v>31</v>
      </c>
      <c r="V1744" s="2" t="s">
        <v>12091</v>
      </c>
      <c r="W1744" s="2" t="s">
        <v>10624</v>
      </c>
      <c r="X1744" s="5" t="str">
        <f>HYPERLINK("https://my.pitchbook.com?p=65632-42P","View People Online")</f>
        <v>View People Online</v>
      </c>
    </row>
    <row r="1745">
      <c r="A1745" s="14" t="s">
        <v>12092</v>
      </c>
      <c r="B1745" s="14" t="s">
        <v>12093</v>
      </c>
      <c r="C1745" s="14" t="s">
        <v>7584</v>
      </c>
      <c r="D1745" s="14" t="s">
        <v>7791</v>
      </c>
      <c r="E1745" s="14" t="s">
        <v>10624</v>
      </c>
      <c r="F1745" s="14" t="s">
        <v>4931</v>
      </c>
      <c r="G1745" s="14" t="s">
        <v>12094</v>
      </c>
      <c r="H1745" s="15" t="s">
        <v>31</v>
      </c>
      <c r="I1745" s="15">
        <v>1.0</v>
      </c>
      <c r="J1745" s="15">
        <v>1.0</v>
      </c>
      <c r="K1745" s="15" t="s">
        <v>31</v>
      </c>
      <c r="L1745" s="16" t="s">
        <v>10626</v>
      </c>
      <c r="M1745" s="14" t="s">
        <v>12095</v>
      </c>
      <c r="N1745" s="14" t="s">
        <v>75</v>
      </c>
      <c r="O1745" s="16" t="s">
        <v>76</v>
      </c>
      <c r="P1745" s="14" t="s">
        <v>10628</v>
      </c>
      <c r="Q1745" s="14" t="s">
        <v>31</v>
      </c>
      <c r="R1745" s="14" t="s">
        <v>75</v>
      </c>
      <c r="S1745" s="16" t="s">
        <v>195</v>
      </c>
      <c r="T1745" s="14" t="s">
        <v>66</v>
      </c>
      <c r="U1745" s="16" t="s">
        <v>31</v>
      </c>
      <c r="V1745" s="14" t="s">
        <v>12096</v>
      </c>
      <c r="W1745" s="14" t="s">
        <v>10624</v>
      </c>
      <c r="X1745" s="17" t="str">
        <f>HYPERLINK("https://my.pitchbook.com?p=408653-20P","View People Online")</f>
        <v>View People Online</v>
      </c>
    </row>
    <row r="1746">
      <c r="A1746" s="2" t="s">
        <v>12097</v>
      </c>
      <c r="B1746" s="2" t="s">
        <v>12098</v>
      </c>
      <c r="C1746" s="2" t="s">
        <v>167</v>
      </c>
      <c r="D1746" s="2" t="s">
        <v>5657</v>
      </c>
      <c r="E1746" s="2" t="s">
        <v>10624</v>
      </c>
      <c r="F1746" s="2" t="s">
        <v>825</v>
      </c>
      <c r="G1746" s="2" t="s">
        <v>12099</v>
      </c>
      <c r="H1746" s="3" t="s">
        <v>31</v>
      </c>
      <c r="I1746" s="3">
        <v>1.0</v>
      </c>
      <c r="J1746" s="3">
        <v>1.0</v>
      </c>
      <c r="K1746" s="3" t="s">
        <v>31</v>
      </c>
      <c r="L1746" s="4" t="s">
        <v>10626</v>
      </c>
      <c r="M1746" s="2" t="s">
        <v>12100</v>
      </c>
      <c r="N1746" s="2" t="s">
        <v>75</v>
      </c>
      <c r="O1746" s="4" t="s">
        <v>76</v>
      </c>
      <c r="P1746" s="2" t="s">
        <v>10628</v>
      </c>
      <c r="Q1746" s="2" t="s">
        <v>31</v>
      </c>
      <c r="R1746" s="2" t="s">
        <v>75</v>
      </c>
      <c r="S1746" s="4" t="s">
        <v>195</v>
      </c>
      <c r="T1746" s="2" t="s">
        <v>66</v>
      </c>
      <c r="U1746" s="4" t="s">
        <v>31</v>
      </c>
      <c r="V1746" s="2" t="s">
        <v>12101</v>
      </c>
      <c r="W1746" s="2" t="s">
        <v>10624</v>
      </c>
      <c r="X1746" s="5" t="str">
        <f>HYPERLINK("https://my.pitchbook.com?p=365953-87P","View People Online")</f>
        <v>View People Online</v>
      </c>
    </row>
    <row r="1747">
      <c r="A1747" s="6" t="s">
        <v>12102</v>
      </c>
      <c r="B1747" s="6" t="s">
        <v>12103</v>
      </c>
      <c r="C1747" s="6" t="s">
        <v>934</v>
      </c>
      <c r="D1747" s="6" t="s">
        <v>12104</v>
      </c>
      <c r="E1747" s="6" t="s">
        <v>10624</v>
      </c>
      <c r="F1747" s="6" t="s">
        <v>7305</v>
      </c>
      <c r="G1747" s="6" t="s">
        <v>12105</v>
      </c>
      <c r="H1747" s="7">
        <v>1.0</v>
      </c>
      <c r="I1747" s="7">
        <v>2.0</v>
      </c>
      <c r="J1747" s="7">
        <v>1.0</v>
      </c>
      <c r="K1747" s="7" t="s">
        <v>31</v>
      </c>
      <c r="L1747" s="8" t="s">
        <v>10626</v>
      </c>
      <c r="M1747" s="6" t="s">
        <v>12106</v>
      </c>
      <c r="N1747" s="6" t="s">
        <v>75</v>
      </c>
      <c r="O1747" s="8" t="s">
        <v>76</v>
      </c>
      <c r="P1747" s="6" t="s">
        <v>10628</v>
      </c>
      <c r="Q1747" s="6" t="s">
        <v>31</v>
      </c>
      <c r="R1747" s="6" t="s">
        <v>75</v>
      </c>
      <c r="S1747" s="8" t="s">
        <v>195</v>
      </c>
      <c r="T1747" s="6" t="s">
        <v>66</v>
      </c>
      <c r="U1747" s="8" t="s">
        <v>31</v>
      </c>
      <c r="V1747" s="6" t="s">
        <v>12107</v>
      </c>
      <c r="W1747" s="6" t="s">
        <v>10624</v>
      </c>
      <c r="X1747" s="9" t="str">
        <f>HYPERLINK("https://my.pitchbook.com?p=399981-07P","View People Online")</f>
        <v>View People Online</v>
      </c>
    </row>
    <row r="1748">
      <c r="A1748" s="10" t="s">
        <v>12108</v>
      </c>
      <c r="B1748" s="10" t="s">
        <v>12109</v>
      </c>
      <c r="C1748" s="10" t="s">
        <v>934</v>
      </c>
      <c r="D1748" s="10" t="s">
        <v>12110</v>
      </c>
      <c r="E1748" s="10" t="s">
        <v>10624</v>
      </c>
      <c r="F1748" s="10" t="s">
        <v>221</v>
      </c>
      <c r="G1748" s="10" t="s">
        <v>12111</v>
      </c>
      <c r="H1748" s="11" t="s">
        <v>31</v>
      </c>
      <c r="I1748" s="11">
        <v>1.0</v>
      </c>
      <c r="J1748" s="11">
        <v>1.0</v>
      </c>
      <c r="K1748" s="11" t="s">
        <v>31</v>
      </c>
      <c r="L1748" s="12" t="s">
        <v>10827</v>
      </c>
      <c r="M1748" s="10" t="s">
        <v>12112</v>
      </c>
      <c r="N1748" s="10" t="s">
        <v>429</v>
      </c>
      <c r="O1748" s="12" t="s">
        <v>430</v>
      </c>
      <c r="P1748" s="10" t="s">
        <v>10829</v>
      </c>
      <c r="Q1748" s="10" t="s">
        <v>10830</v>
      </c>
      <c r="R1748" s="10" t="s">
        <v>31</v>
      </c>
      <c r="S1748" s="12" t="s">
        <v>10831</v>
      </c>
      <c r="T1748" s="10" t="s">
        <v>433</v>
      </c>
      <c r="U1748" s="12" t="s">
        <v>31</v>
      </c>
      <c r="V1748" s="10" t="s">
        <v>221</v>
      </c>
      <c r="W1748" s="10" t="s">
        <v>10624</v>
      </c>
      <c r="X1748" s="13" t="str">
        <f>HYPERLINK("https://my.pitchbook.com?p=412153-66P","View People Online")</f>
        <v>View People Online</v>
      </c>
    </row>
    <row r="1749">
      <c r="A1749" s="14" t="s">
        <v>12113</v>
      </c>
      <c r="B1749" s="14" t="s">
        <v>12114</v>
      </c>
      <c r="C1749" s="14" t="s">
        <v>2388</v>
      </c>
      <c r="D1749" s="14" t="s">
        <v>12115</v>
      </c>
      <c r="E1749" s="14" t="s">
        <v>10624</v>
      </c>
      <c r="F1749" s="14" t="s">
        <v>825</v>
      </c>
      <c r="G1749" s="14" t="s">
        <v>12116</v>
      </c>
      <c r="H1749" s="15" t="s">
        <v>31</v>
      </c>
      <c r="I1749" s="15">
        <v>1.0</v>
      </c>
      <c r="J1749" s="15">
        <v>1.0</v>
      </c>
      <c r="K1749" s="15" t="s">
        <v>31</v>
      </c>
      <c r="L1749" s="16" t="s">
        <v>10844</v>
      </c>
      <c r="M1749" s="14" t="s">
        <v>12117</v>
      </c>
      <c r="N1749" s="14" t="s">
        <v>3603</v>
      </c>
      <c r="O1749" s="16" t="s">
        <v>3604</v>
      </c>
      <c r="P1749" s="14" t="s">
        <v>10846</v>
      </c>
      <c r="Q1749" s="14" t="s">
        <v>10847</v>
      </c>
      <c r="R1749" s="14" t="s">
        <v>31</v>
      </c>
      <c r="S1749" s="16" t="s">
        <v>31</v>
      </c>
      <c r="T1749" s="14" t="s">
        <v>3603</v>
      </c>
      <c r="U1749" s="16" t="s">
        <v>31</v>
      </c>
      <c r="V1749" s="14" t="s">
        <v>12118</v>
      </c>
      <c r="W1749" s="14" t="s">
        <v>10624</v>
      </c>
      <c r="X1749" s="17" t="str">
        <f>HYPERLINK("https://my.pitchbook.com?p=156958-93P","View People Online")</f>
        <v>View People Online</v>
      </c>
    </row>
    <row r="1750">
      <c r="A1750" s="2" t="s">
        <v>12119</v>
      </c>
      <c r="B1750" s="2" t="s">
        <v>12120</v>
      </c>
      <c r="C1750" s="2" t="s">
        <v>2388</v>
      </c>
      <c r="D1750" s="2" t="s">
        <v>12121</v>
      </c>
      <c r="E1750" s="2" t="s">
        <v>10624</v>
      </c>
      <c r="F1750" s="2" t="s">
        <v>548</v>
      </c>
      <c r="G1750" s="2" t="s">
        <v>12122</v>
      </c>
      <c r="H1750" s="3" t="s">
        <v>31</v>
      </c>
      <c r="I1750" s="3">
        <v>1.0</v>
      </c>
      <c r="J1750" s="3">
        <v>1.0</v>
      </c>
      <c r="K1750" s="3" t="s">
        <v>31</v>
      </c>
      <c r="L1750" s="4" t="s">
        <v>10641</v>
      </c>
      <c r="M1750" s="2" t="s">
        <v>12123</v>
      </c>
      <c r="N1750" s="2" t="s">
        <v>243</v>
      </c>
      <c r="O1750" s="4" t="s">
        <v>244</v>
      </c>
      <c r="P1750" s="2" t="s">
        <v>10643</v>
      </c>
      <c r="Q1750" s="2" t="s">
        <v>10644</v>
      </c>
      <c r="R1750" s="2" t="s">
        <v>247</v>
      </c>
      <c r="S1750" s="4" t="s">
        <v>10645</v>
      </c>
      <c r="T1750" s="2" t="s">
        <v>249</v>
      </c>
      <c r="U1750" s="4" t="s">
        <v>31</v>
      </c>
      <c r="V1750" s="2" t="s">
        <v>548</v>
      </c>
      <c r="W1750" s="2" t="s">
        <v>10624</v>
      </c>
      <c r="X1750" s="5" t="str">
        <f>HYPERLINK("https://my.pitchbook.com?p=80544-25P","View People Online")</f>
        <v>View People Online</v>
      </c>
    </row>
    <row r="1751">
      <c r="A1751" s="6" t="s">
        <v>12124</v>
      </c>
      <c r="B1751" s="6" t="s">
        <v>12125</v>
      </c>
      <c r="C1751" s="6" t="s">
        <v>5219</v>
      </c>
      <c r="D1751" s="6" t="s">
        <v>12126</v>
      </c>
      <c r="E1751" s="6" t="s">
        <v>10624</v>
      </c>
      <c r="F1751" s="6" t="s">
        <v>2652</v>
      </c>
      <c r="G1751" s="6" t="s">
        <v>12127</v>
      </c>
      <c r="H1751" s="7" t="s">
        <v>31</v>
      </c>
      <c r="I1751" s="7">
        <v>2.0</v>
      </c>
      <c r="J1751" s="7">
        <v>1.0</v>
      </c>
      <c r="K1751" s="7" t="s">
        <v>31</v>
      </c>
      <c r="L1751" s="8" t="s">
        <v>10626</v>
      </c>
      <c r="M1751" s="6" t="s">
        <v>12128</v>
      </c>
      <c r="N1751" s="6" t="s">
        <v>75</v>
      </c>
      <c r="O1751" s="8" t="s">
        <v>76</v>
      </c>
      <c r="P1751" s="6" t="s">
        <v>10628</v>
      </c>
      <c r="Q1751" s="6" t="s">
        <v>31</v>
      </c>
      <c r="R1751" s="6" t="s">
        <v>75</v>
      </c>
      <c r="S1751" s="8" t="s">
        <v>195</v>
      </c>
      <c r="T1751" s="6" t="s">
        <v>66</v>
      </c>
      <c r="U1751" s="8" t="s">
        <v>31</v>
      </c>
      <c r="V1751" s="6" t="s">
        <v>12129</v>
      </c>
      <c r="W1751" s="6" t="s">
        <v>10624</v>
      </c>
      <c r="X1751" s="9" t="str">
        <f>HYPERLINK("https://my.pitchbook.com?p=359081-74P","View People Online")</f>
        <v>View People Online</v>
      </c>
    </row>
    <row r="1752">
      <c r="A1752" s="2" t="s">
        <v>12130</v>
      </c>
      <c r="B1752" s="2" t="s">
        <v>12131</v>
      </c>
      <c r="C1752" s="2" t="s">
        <v>3274</v>
      </c>
      <c r="D1752" s="2" t="s">
        <v>7839</v>
      </c>
      <c r="E1752" s="2" t="s">
        <v>10624</v>
      </c>
      <c r="F1752" s="2" t="s">
        <v>2652</v>
      </c>
      <c r="G1752" s="2" t="s">
        <v>12132</v>
      </c>
      <c r="H1752" s="3" t="s">
        <v>31</v>
      </c>
      <c r="I1752" s="3">
        <v>1.0</v>
      </c>
      <c r="J1752" s="3">
        <v>1.0</v>
      </c>
      <c r="K1752" s="3" t="s">
        <v>31</v>
      </c>
      <c r="L1752" s="4" t="s">
        <v>10626</v>
      </c>
      <c r="M1752" s="2" t="s">
        <v>12133</v>
      </c>
      <c r="N1752" s="2" t="s">
        <v>75</v>
      </c>
      <c r="O1752" s="4" t="s">
        <v>76</v>
      </c>
      <c r="P1752" s="2" t="s">
        <v>10628</v>
      </c>
      <c r="Q1752" s="2" t="s">
        <v>31</v>
      </c>
      <c r="R1752" s="2" t="s">
        <v>75</v>
      </c>
      <c r="S1752" s="4" t="s">
        <v>195</v>
      </c>
      <c r="T1752" s="2" t="s">
        <v>66</v>
      </c>
      <c r="U1752" s="4" t="s">
        <v>31</v>
      </c>
      <c r="V1752" s="2" t="s">
        <v>12134</v>
      </c>
      <c r="W1752" s="2" t="s">
        <v>10624</v>
      </c>
      <c r="X1752" s="5" t="str">
        <f>HYPERLINK("https://my.pitchbook.com?p=17914-24P","View People Online")</f>
        <v>View People Online</v>
      </c>
    </row>
    <row r="1753">
      <c r="A1753" s="6" t="s">
        <v>12135</v>
      </c>
      <c r="B1753" s="6" t="s">
        <v>12136</v>
      </c>
      <c r="C1753" s="6" t="s">
        <v>541</v>
      </c>
      <c r="D1753" s="6" t="s">
        <v>12137</v>
      </c>
      <c r="E1753" s="6" t="s">
        <v>10624</v>
      </c>
      <c r="F1753" s="6" t="s">
        <v>12138</v>
      </c>
      <c r="G1753" s="6" t="s">
        <v>12139</v>
      </c>
      <c r="H1753" s="7" t="s">
        <v>31</v>
      </c>
      <c r="I1753" s="7">
        <v>1.0</v>
      </c>
      <c r="J1753" s="7">
        <v>1.0</v>
      </c>
      <c r="K1753" s="7" t="s">
        <v>31</v>
      </c>
      <c r="L1753" s="8" t="s">
        <v>10626</v>
      </c>
      <c r="M1753" s="6" t="s">
        <v>12140</v>
      </c>
      <c r="N1753" s="6" t="s">
        <v>75</v>
      </c>
      <c r="O1753" s="8" t="s">
        <v>76</v>
      </c>
      <c r="P1753" s="6" t="s">
        <v>10628</v>
      </c>
      <c r="Q1753" s="6" t="s">
        <v>31</v>
      </c>
      <c r="R1753" s="6" t="s">
        <v>75</v>
      </c>
      <c r="S1753" s="8" t="s">
        <v>195</v>
      </c>
      <c r="T1753" s="6" t="s">
        <v>66</v>
      </c>
      <c r="U1753" s="8" t="s">
        <v>31</v>
      </c>
      <c r="V1753" s="6" t="s">
        <v>12141</v>
      </c>
      <c r="W1753" s="6" t="s">
        <v>10624</v>
      </c>
      <c r="X1753" s="9" t="str">
        <f>HYPERLINK("https://my.pitchbook.com?p=415378-63P","View People Online")</f>
        <v>View People Online</v>
      </c>
    </row>
    <row r="1754">
      <c r="A1754" s="10" t="s">
        <v>12142</v>
      </c>
      <c r="B1754" s="10" t="s">
        <v>12143</v>
      </c>
      <c r="C1754" s="10" t="s">
        <v>541</v>
      </c>
      <c r="D1754" s="10" t="s">
        <v>12144</v>
      </c>
      <c r="E1754" s="10" t="s">
        <v>10624</v>
      </c>
      <c r="F1754" s="10" t="s">
        <v>1283</v>
      </c>
      <c r="G1754" s="10" t="s">
        <v>12145</v>
      </c>
      <c r="H1754" s="11" t="s">
        <v>31</v>
      </c>
      <c r="I1754" s="11">
        <v>3.0</v>
      </c>
      <c r="J1754" s="11">
        <v>1.0</v>
      </c>
      <c r="K1754" s="11">
        <v>1.0</v>
      </c>
      <c r="L1754" s="12" t="s">
        <v>10827</v>
      </c>
      <c r="M1754" s="10" t="s">
        <v>12146</v>
      </c>
      <c r="N1754" s="10" t="s">
        <v>429</v>
      </c>
      <c r="O1754" s="12" t="s">
        <v>430</v>
      </c>
      <c r="P1754" s="10" t="s">
        <v>10829</v>
      </c>
      <c r="Q1754" s="10" t="s">
        <v>10830</v>
      </c>
      <c r="R1754" s="10" t="s">
        <v>31</v>
      </c>
      <c r="S1754" s="12" t="s">
        <v>10831</v>
      </c>
      <c r="T1754" s="10" t="s">
        <v>433</v>
      </c>
      <c r="U1754" s="12" t="s">
        <v>31</v>
      </c>
      <c r="V1754" s="10" t="s">
        <v>1283</v>
      </c>
      <c r="W1754" s="10" t="s">
        <v>10624</v>
      </c>
      <c r="X1754" s="13" t="str">
        <f>HYPERLINK("https://my.pitchbook.com?p=107972-83P","View People Online")</f>
        <v>View People Online</v>
      </c>
    </row>
    <row r="1755">
      <c r="A1755" s="6" t="s">
        <v>12147</v>
      </c>
      <c r="B1755" s="6" t="s">
        <v>12148</v>
      </c>
      <c r="C1755" s="6" t="s">
        <v>12149</v>
      </c>
      <c r="D1755" s="6" t="s">
        <v>12150</v>
      </c>
      <c r="E1755" s="6" t="s">
        <v>10624</v>
      </c>
      <c r="F1755" s="6" t="s">
        <v>825</v>
      </c>
      <c r="G1755" s="6" t="s">
        <v>12151</v>
      </c>
      <c r="H1755" s="7" t="s">
        <v>31</v>
      </c>
      <c r="I1755" s="7">
        <v>1.0</v>
      </c>
      <c r="J1755" s="7">
        <v>1.0</v>
      </c>
      <c r="K1755" s="7" t="s">
        <v>31</v>
      </c>
      <c r="L1755" s="8" t="s">
        <v>10626</v>
      </c>
      <c r="M1755" s="6" t="s">
        <v>12152</v>
      </c>
      <c r="N1755" s="6" t="s">
        <v>75</v>
      </c>
      <c r="O1755" s="8" t="s">
        <v>76</v>
      </c>
      <c r="P1755" s="6" t="s">
        <v>10628</v>
      </c>
      <c r="Q1755" s="6" t="s">
        <v>31</v>
      </c>
      <c r="R1755" s="6" t="s">
        <v>75</v>
      </c>
      <c r="S1755" s="8" t="s">
        <v>195</v>
      </c>
      <c r="T1755" s="6" t="s">
        <v>66</v>
      </c>
      <c r="U1755" s="8" t="s">
        <v>31</v>
      </c>
      <c r="V1755" s="6" t="s">
        <v>12153</v>
      </c>
      <c r="W1755" s="6" t="s">
        <v>10624</v>
      </c>
      <c r="X1755" s="9" t="str">
        <f>HYPERLINK("https://my.pitchbook.com?p=339938-02P","View People Online")</f>
        <v>View People Online</v>
      </c>
    </row>
    <row r="1756">
      <c r="A1756" s="2" t="s">
        <v>12154</v>
      </c>
      <c r="B1756" s="2" t="s">
        <v>12155</v>
      </c>
      <c r="C1756" s="2" t="s">
        <v>3286</v>
      </c>
      <c r="D1756" s="2" t="s">
        <v>12156</v>
      </c>
      <c r="E1756" s="2" t="s">
        <v>10624</v>
      </c>
      <c r="F1756" s="2" t="s">
        <v>2652</v>
      </c>
      <c r="G1756" s="2" t="s">
        <v>12157</v>
      </c>
      <c r="H1756" s="3" t="s">
        <v>31</v>
      </c>
      <c r="I1756" s="3">
        <v>1.0</v>
      </c>
      <c r="J1756" s="3">
        <v>1.0</v>
      </c>
      <c r="K1756" s="3" t="s">
        <v>31</v>
      </c>
      <c r="L1756" s="4" t="s">
        <v>10626</v>
      </c>
      <c r="M1756" s="2" t="s">
        <v>12158</v>
      </c>
      <c r="N1756" s="2" t="s">
        <v>75</v>
      </c>
      <c r="O1756" s="4" t="s">
        <v>76</v>
      </c>
      <c r="P1756" s="2" t="s">
        <v>10628</v>
      </c>
      <c r="Q1756" s="2" t="s">
        <v>31</v>
      </c>
      <c r="R1756" s="2" t="s">
        <v>75</v>
      </c>
      <c r="S1756" s="4" t="s">
        <v>195</v>
      </c>
      <c r="T1756" s="2" t="s">
        <v>66</v>
      </c>
      <c r="U1756" s="4" t="s">
        <v>31</v>
      </c>
      <c r="V1756" s="2" t="s">
        <v>12159</v>
      </c>
      <c r="W1756" s="2" t="s">
        <v>10624</v>
      </c>
      <c r="X1756" s="5" t="str">
        <f>HYPERLINK("https://my.pitchbook.com?p=126674-92P","View People Online")</f>
        <v>View People Online</v>
      </c>
    </row>
    <row r="1757">
      <c r="A1757" s="14" t="s">
        <v>12160</v>
      </c>
      <c r="B1757" s="14" t="s">
        <v>12161</v>
      </c>
      <c r="C1757" s="14" t="s">
        <v>12162</v>
      </c>
      <c r="D1757" s="14" t="s">
        <v>12163</v>
      </c>
      <c r="E1757" s="14" t="s">
        <v>10624</v>
      </c>
      <c r="F1757" s="14" t="s">
        <v>548</v>
      </c>
      <c r="G1757" s="14" t="s">
        <v>12164</v>
      </c>
      <c r="H1757" s="15" t="s">
        <v>31</v>
      </c>
      <c r="I1757" s="15">
        <v>1.0</v>
      </c>
      <c r="J1757" s="15">
        <v>1.0</v>
      </c>
      <c r="K1757" s="15" t="s">
        <v>31</v>
      </c>
      <c r="L1757" s="16" t="s">
        <v>12165</v>
      </c>
      <c r="M1757" s="14" t="s">
        <v>12166</v>
      </c>
      <c r="N1757" s="14" t="s">
        <v>332</v>
      </c>
      <c r="O1757" s="16" t="s">
        <v>10854</v>
      </c>
      <c r="P1757" s="14" t="s">
        <v>10855</v>
      </c>
      <c r="Q1757" s="14" t="s">
        <v>31</v>
      </c>
      <c r="R1757" s="14" t="s">
        <v>31</v>
      </c>
      <c r="S1757" s="16" t="s">
        <v>331</v>
      </c>
      <c r="T1757" s="14" t="s">
        <v>332</v>
      </c>
      <c r="U1757" s="16" t="s">
        <v>31</v>
      </c>
      <c r="V1757" s="14" t="s">
        <v>12167</v>
      </c>
      <c r="W1757" s="14" t="s">
        <v>10624</v>
      </c>
      <c r="X1757" s="17" t="str">
        <f>HYPERLINK("https://my.pitchbook.com?p=358971-58P","View People Online")</f>
        <v>View People Online</v>
      </c>
    </row>
    <row r="1758">
      <c r="A1758" s="2" t="s">
        <v>12168</v>
      </c>
      <c r="B1758" s="2" t="s">
        <v>12169</v>
      </c>
      <c r="C1758" s="2" t="s">
        <v>12170</v>
      </c>
      <c r="D1758" s="2" t="s">
        <v>12171</v>
      </c>
      <c r="E1758" s="2" t="s">
        <v>10624</v>
      </c>
      <c r="F1758" s="2" t="s">
        <v>270</v>
      </c>
      <c r="G1758" s="2" t="s">
        <v>12172</v>
      </c>
      <c r="H1758" s="3" t="s">
        <v>31</v>
      </c>
      <c r="I1758" s="3">
        <v>1.0</v>
      </c>
      <c r="J1758" s="3">
        <v>1.0</v>
      </c>
      <c r="K1758" s="3" t="s">
        <v>31</v>
      </c>
      <c r="L1758" s="4" t="s">
        <v>10626</v>
      </c>
      <c r="M1758" s="2" t="s">
        <v>12173</v>
      </c>
      <c r="N1758" s="2" t="s">
        <v>75</v>
      </c>
      <c r="O1758" s="4" t="s">
        <v>76</v>
      </c>
      <c r="P1758" s="2" t="s">
        <v>10628</v>
      </c>
      <c r="Q1758" s="2" t="s">
        <v>31</v>
      </c>
      <c r="R1758" s="2" t="s">
        <v>75</v>
      </c>
      <c r="S1758" s="4" t="s">
        <v>195</v>
      </c>
      <c r="T1758" s="2" t="s">
        <v>66</v>
      </c>
      <c r="U1758" s="4" t="s">
        <v>31</v>
      </c>
      <c r="V1758" s="2" t="s">
        <v>12174</v>
      </c>
      <c r="W1758" s="2" t="s">
        <v>10624</v>
      </c>
      <c r="X1758" s="5" t="str">
        <f>HYPERLINK("https://my.pitchbook.com?p=114083-29P","View People Online")</f>
        <v>View People Online</v>
      </c>
    </row>
    <row r="1759">
      <c r="A1759" s="14" t="s">
        <v>12175</v>
      </c>
      <c r="B1759" s="14" t="s">
        <v>12176</v>
      </c>
      <c r="C1759" s="14" t="s">
        <v>12177</v>
      </c>
      <c r="D1759" s="14" t="s">
        <v>10601</v>
      </c>
      <c r="E1759" s="14" t="s">
        <v>10624</v>
      </c>
      <c r="F1759" s="14" t="s">
        <v>12178</v>
      </c>
      <c r="G1759" s="14" t="s">
        <v>12179</v>
      </c>
      <c r="H1759" s="15" t="s">
        <v>31</v>
      </c>
      <c r="I1759" s="15">
        <v>2.0</v>
      </c>
      <c r="J1759" s="15">
        <v>1.0</v>
      </c>
      <c r="K1759" s="15" t="s">
        <v>31</v>
      </c>
      <c r="L1759" s="16" t="s">
        <v>10626</v>
      </c>
      <c r="M1759" s="14" t="s">
        <v>12180</v>
      </c>
      <c r="N1759" s="14" t="s">
        <v>75</v>
      </c>
      <c r="O1759" s="16" t="s">
        <v>76</v>
      </c>
      <c r="P1759" s="14" t="s">
        <v>10628</v>
      </c>
      <c r="Q1759" s="14" t="s">
        <v>31</v>
      </c>
      <c r="R1759" s="14" t="s">
        <v>75</v>
      </c>
      <c r="S1759" s="16" t="s">
        <v>195</v>
      </c>
      <c r="T1759" s="14" t="s">
        <v>66</v>
      </c>
      <c r="U1759" s="16" t="s">
        <v>31</v>
      </c>
      <c r="V1759" s="14" t="s">
        <v>12181</v>
      </c>
      <c r="W1759" s="14" t="s">
        <v>10624</v>
      </c>
      <c r="X1759" s="17" t="str">
        <f>HYPERLINK("https://my.pitchbook.com?p=426234-34P","View People Online")</f>
        <v>View People Online</v>
      </c>
    </row>
    <row r="1760">
      <c r="A1760" s="2" t="s">
        <v>12182</v>
      </c>
      <c r="B1760" s="2" t="s">
        <v>12183</v>
      </c>
      <c r="C1760" s="2" t="s">
        <v>3377</v>
      </c>
      <c r="D1760" s="2" t="s">
        <v>7267</v>
      </c>
      <c r="E1760" s="2" t="s">
        <v>10624</v>
      </c>
      <c r="F1760" s="2" t="s">
        <v>1283</v>
      </c>
      <c r="G1760" s="2" t="s">
        <v>12184</v>
      </c>
      <c r="H1760" s="3" t="s">
        <v>31</v>
      </c>
      <c r="I1760" s="3">
        <v>1.0</v>
      </c>
      <c r="J1760" s="3">
        <v>1.0</v>
      </c>
      <c r="K1760" s="3" t="s">
        <v>31</v>
      </c>
      <c r="L1760" s="4" t="s">
        <v>10626</v>
      </c>
      <c r="M1760" s="2" t="s">
        <v>12185</v>
      </c>
      <c r="N1760" s="2" t="s">
        <v>75</v>
      </c>
      <c r="O1760" s="4" t="s">
        <v>76</v>
      </c>
      <c r="P1760" s="2" t="s">
        <v>10628</v>
      </c>
      <c r="Q1760" s="2" t="s">
        <v>31</v>
      </c>
      <c r="R1760" s="2" t="s">
        <v>75</v>
      </c>
      <c r="S1760" s="4" t="s">
        <v>195</v>
      </c>
      <c r="T1760" s="2" t="s">
        <v>66</v>
      </c>
      <c r="U1760" s="4" t="s">
        <v>31</v>
      </c>
      <c r="V1760" s="2" t="s">
        <v>12186</v>
      </c>
      <c r="W1760" s="2" t="s">
        <v>10624</v>
      </c>
      <c r="X1760" s="5" t="str">
        <f>HYPERLINK("https://my.pitchbook.com?p=189871-66P","View People Online")</f>
        <v>View People Online</v>
      </c>
    </row>
    <row r="1761">
      <c r="A1761" s="14" t="s">
        <v>12187</v>
      </c>
      <c r="B1761" s="14" t="s">
        <v>12188</v>
      </c>
      <c r="C1761" s="14" t="s">
        <v>12189</v>
      </c>
      <c r="D1761" s="14" t="s">
        <v>12190</v>
      </c>
      <c r="E1761" s="14" t="s">
        <v>10624</v>
      </c>
      <c r="F1761" s="14" t="s">
        <v>1283</v>
      </c>
      <c r="G1761" s="14" t="s">
        <v>12191</v>
      </c>
      <c r="H1761" s="15" t="s">
        <v>31</v>
      </c>
      <c r="I1761" s="15">
        <v>1.0</v>
      </c>
      <c r="J1761" s="15">
        <v>1.0</v>
      </c>
      <c r="K1761" s="15" t="s">
        <v>31</v>
      </c>
      <c r="L1761" s="16" t="s">
        <v>11144</v>
      </c>
      <c r="M1761" s="14" t="s">
        <v>12192</v>
      </c>
      <c r="N1761" s="14" t="s">
        <v>1034</v>
      </c>
      <c r="O1761" s="16" t="s">
        <v>1035</v>
      </c>
      <c r="P1761" s="14" t="s">
        <v>11146</v>
      </c>
      <c r="Q1761" s="14" t="s">
        <v>11147</v>
      </c>
      <c r="R1761" s="14" t="s">
        <v>31</v>
      </c>
      <c r="S1761" s="16" t="s">
        <v>11148</v>
      </c>
      <c r="T1761" s="14" t="s">
        <v>1034</v>
      </c>
      <c r="U1761" s="16" t="s">
        <v>31</v>
      </c>
      <c r="V1761" s="14" t="s">
        <v>12193</v>
      </c>
      <c r="W1761" s="14" t="s">
        <v>10624</v>
      </c>
      <c r="X1761" s="17" t="str">
        <f>HYPERLINK("https://my.pitchbook.com?p=317958-49P","View People Online")</f>
        <v>View People Online</v>
      </c>
    </row>
    <row r="1762">
      <c r="A1762" s="2" t="s">
        <v>12194</v>
      </c>
      <c r="B1762" s="2" t="s">
        <v>12195</v>
      </c>
      <c r="C1762" s="2" t="s">
        <v>2412</v>
      </c>
      <c r="D1762" s="2" t="s">
        <v>12196</v>
      </c>
      <c r="E1762" s="2" t="s">
        <v>10624</v>
      </c>
      <c r="F1762" s="2" t="s">
        <v>371</v>
      </c>
      <c r="G1762" s="2" t="s">
        <v>12197</v>
      </c>
      <c r="H1762" s="3" t="s">
        <v>31</v>
      </c>
      <c r="I1762" s="3">
        <v>1.0</v>
      </c>
      <c r="J1762" s="3">
        <v>1.0</v>
      </c>
      <c r="K1762" s="3" t="s">
        <v>31</v>
      </c>
      <c r="L1762" s="4" t="s">
        <v>10626</v>
      </c>
      <c r="M1762" s="2" t="s">
        <v>12198</v>
      </c>
      <c r="N1762" s="2" t="s">
        <v>75</v>
      </c>
      <c r="O1762" s="4" t="s">
        <v>76</v>
      </c>
      <c r="P1762" s="2" t="s">
        <v>10628</v>
      </c>
      <c r="Q1762" s="2" t="s">
        <v>31</v>
      </c>
      <c r="R1762" s="2" t="s">
        <v>75</v>
      </c>
      <c r="S1762" s="4" t="s">
        <v>195</v>
      </c>
      <c r="T1762" s="2" t="s">
        <v>66</v>
      </c>
      <c r="U1762" s="4" t="s">
        <v>31</v>
      </c>
      <c r="V1762" s="2" t="s">
        <v>11455</v>
      </c>
      <c r="W1762" s="2" t="s">
        <v>10624</v>
      </c>
      <c r="X1762" s="5" t="str">
        <f>HYPERLINK("https://my.pitchbook.com?p=411210-19P","View People Online")</f>
        <v>View People Online</v>
      </c>
    </row>
    <row r="1763">
      <c r="A1763" s="6" t="s">
        <v>12199</v>
      </c>
      <c r="B1763" s="6" t="s">
        <v>12200</v>
      </c>
      <c r="C1763" s="6" t="s">
        <v>2412</v>
      </c>
      <c r="D1763" s="6" t="s">
        <v>12201</v>
      </c>
      <c r="E1763" s="6" t="s">
        <v>10624</v>
      </c>
      <c r="F1763" s="6" t="s">
        <v>1283</v>
      </c>
      <c r="G1763" s="6" t="s">
        <v>12202</v>
      </c>
      <c r="H1763" s="7" t="s">
        <v>31</v>
      </c>
      <c r="I1763" s="7">
        <v>1.0</v>
      </c>
      <c r="J1763" s="7">
        <v>1.0</v>
      </c>
      <c r="K1763" s="7" t="s">
        <v>31</v>
      </c>
      <c r="L1763" s="8" t="s">
        <v>10626</v>
      </c>
      <c r="M1763" s="6" t="s">
        <v>12203</v>
      </c>
      <c r="N1763" s="6" t="s">
        <v>75</v>
      </c>
      <c r="O1763" s="8" t="s">
        <v>76</v>
      </c>
      <c r="P1763" s="6" t="s">
        <v>10628</v>
      </c>
      <c r="Q1763" s="6" t="s">
        <v>31</v>
      </c>
      <c r="R1763" s="6" t="s">
        <v>75</v>
      </c>
      <c r="S1763" s="8" t="s">
        <v>195</v>
      </c>
      <c r="T1763" s="6" t="s">
        <v>66</v>
      </c>
      <c r="U1763" s="8" t="s">
        <v>31</v>
      </c>
      <c r="V1763" s="6" t="s">
        <v>12204</v>
      </c>
      <c r="W1763" s="6" t="s">
        <v>10624</v>
      </c>
      <c r="X1763" s="9" t="str">
        <f>HYPERLINK("https://my.pitchbook.com?p=141222-79P","View People Online")</f>
        <v>View People Online</v>
      </c>
    </row>
    <row r="1764">
      <c r="A1764" s="2" t="s">
        <v>12205</v>
      </c>
      <c r="B1764" s="2" t="s">
        <v>12206</v>
      </c>
      <c r="C1764" s="2" t="s">
        <v>395</v>
      </c>
      <c r="D1764" s="2" t="s">
        <v>12207</v>
      </c>
      <c r="E1764" s="2" t="s">
        <v>10624</v>
      </c>
      <c r="F1764" s="2" t="s">
        <v>1283</v>
      </c>
      <c r="G1764" s="2" t="s">
        <v>12208</v>
      </c>
      <c r="H1764" s="3" t="s">
        <v>31</v>
      </c>
      <c r="I1764" s="3">
        <v>1.0</v>
      </c>
      <c r="J1764" s="3">
        <v>1.0</v>
      </c>
      <c r="K1764" s="3" t="s">
        <v>31</v>
      </c>
      <c r="L1764" s="4" t="s">
        <v>11804</v>
      </c>
      <c r="M1764" s="2" t="s">
        <v>12209</v>
      </c>
      <c r="N1764" s="2" t="s">
        <v>1348</v>
      </c>
      <c r="O1764" s="4" t="s">
        <v>1349</v>
      </c>
      <c r="P1764" s="2" t="s">
        <v>11806</v>
      </c>
      <c r="Q1764" s="2" t="s">
        <v>31</v>
      </c>
      <c r="R1764" s="2" t="s">
        <v>1018</v>
      </c>
      <c r="S1764" s="4" t="s">
        <v>11807</v>
      </c>
      <c r="T1764" s="2" t="s">
        <v>1019</v>
      </c>
      <c r="U1764" s="4" t="s">
        <v>31</v>
      </c>
      <c r="V1764" s="2" t="s">
        <v>1283</v>
      </c>
      <c r="W1764" s="2" t="s">
        <v>10624</v>
      </c>
      <c r="X1764" s="5" t="str">
        <f>HYPERLINK("https://my.pitchbook.com?p=133753-15P","View People Online")</f>
        <v>View People Online</v>
      </c>
    </row>
    <row r="1765">
      <c r="A1765" s="14" t="s">
        <v>12210</v>
      </c>
      <c r="B1765" s="14" t="s">
        <v>12211</v>
      </c>
      <c r="C1765" s="14" t="s">
        <v>8042</v>
      </c>
      <c r="D1765" s="14" t="s">
        <v>12212</v>
      </c>
      <c r="E1765" s="14" t="s">
        <v>10624</v>
      </c>
      <c r="F1765" s="14" t="s">
        <v>10639</v>
      </c>
      <c r="G1765" s="14" t="s">
        <v>12213</v>
      </c>
      <c r="H1765" s="15">
        <v>1.0</v>
      </c>
      <c r="I1765" s="15">
        <v>5.0</v>
      </c>
      <c r="J1765" s="15">
        <v>2.0</v>
      </c>
      <c r="K1765" s="15">
        <v>1.0</v>
      </c>
      <c r="L1765" s="16" t="s">
        <v>10626</v>
      </c>
      <c r="M1765" s="14" t="s">
        <v>12214</v>
      </c>
      <c r="N1765" s="14" t="s">
        <v>75</v>
      </c>
      <c r="O1765" s="16" t="s">
        <v>76</v>
      </c>
      <c r="P1765" s="14" t="s">
        <v>10628</v>
      </c>
      <c r="Q1765" s="14" t="s">
        <v>31</v>
      </c>
      <c r="R1765" s="14" t="s">
        <v>75</v>
      </c>
      <c r="S1765" s="16" t="s">
        <v>195</v>
      </c>
      <c r="T1765" s="14" t="s">
        <v>66</v>
      </c>
      <c r="U1765" s="16" t="s">
        <v>31</v>
      </c>
      <c r="V1765" s="14" t="s">
        <v>12215</v>
      </c>
      <c r="W1765" s="14" t="s">
        <v>10624</v>
      </c>
      <c r="X1765" s="17" t="str">
        <f>HYPERLINK("https://my.pitchbook.com?p=30298-33P","View People Online")</f>
        <v>View People Online</v>
      </c>
    </row>
    <row r="1766">
      <c r="A1766" s="2" t="s">
        <v>12216</v>
      </c>
      <c r="B1766" s="2" t="s">
        <v>12217</v>
      </c>
      <c r="C1766" s="2" t="s">
        <v>12218</v>
      </c>
      <c r="D1766" s="2" t="s">
        <v>408</v>
      </c>
      <c r="E1766" s="2" t="s">
        <v>10624</v>
      </c>
      <c r="F1766" s="2" t="s">
        <v>4931</v>
      </c>
      <c r="G1766" s="2" t="s">
        <v>12219</v>
      </c>
      <c r="H1766" s="3" t="s">
        <v>31</v>
      </c>
      <c r="I1766" s="3">
        <v>1.0</v>
      </c>
      <c r="J1766" s="3">
        <v>1.0</v>
      </c>
      <c r="K1766" s="3" t="s">
        <v>31</v>
      </c>
      <c r="L1766" s="4" t="s">
        <v>10869</v>
      </c>
      <c r="M1766" s="2" t="s">
        <v>12220</v>
      </c>
      <c r="N1766" s="2" t="s">
        <v>2754</v>
      </c>
      <c r="O1766" s="4" t="s">
        <v>2755</v>
      </c>
      <c r="P1766" s="2" t="s">
        <v>10871</v>
      </c>
      <c r="Q1766" s="2" t="s">
        <v>10872</v>
      </c>
      <c r="R1766" s="2" t="s">
        <v>31</v>
      </c>
      <c r="S1766" s="4" t="s">
        <v>10873</v>
      </c>
      <c r="T1766" s="2" t="s">
        <v>38</v>
      </c>
      <c r="U1766" s="4" t="s">
        <v>31</v>
      </c>
      <c r="V1766" s="2" t="s">
        <v>12221</v>
      </c>
      <c r="W1766" s="2" t="s">
        <v>10624</v>
      </c>
      <c r="X1766" s="5" t="str">
        <f>HYPERLINK("https://my.pitchbook.com?p=339386-05P","View People Online")</f>
        <v>View People Online</v>
      </c>
    </row>
    <row r="1767">
      <c r="A1767" s="6" t="s">
        <v>12222</v>
      </c>
      <c r="B1767" s="6" t="s">
        <v>12223</v>
      </c>
      <c r="C1767" s="6" t="s">
        <v>536</v>
      </c>
      <c r="D1767" s="6" t="s">
        <v>12224</v>
      </c>
      <c r="E1767" s="6" t="s">
        <v>10624</v>
      </c>
      <c r="F1767" s="6" t="s">
        <v>12225</v>
      </c>
      <c r="G1767" s="6" t="s">
        <v>12226</v>
      </c>
      <c r="H1767" s="7">
        <v>1.0</v>
      </c>
      <c r="I1767" s="7">
        <v>3.0</v>
      </c>
      <c r="J1767" s="7">
        <v>1.0</v>
      </c>
      <c r="K1767" s="7">
        <v>1.0</v>
      </c>
      <c r="L1767" s="8" t="s">
        <v>10626</v>
      </c>
      <c r="M1767" s="6" t="s">
        <v>12227</v>
      </c>
      <c r="N1767" s="6" t="s">
        <v>75</v>
      </c>
      <c r="O1767" s="8" t="s">
        <v>76</v>
      </c>
      <c r="P1767" s="6" t="s">
        <v>10628</v>
      </c>
      <c r="Q1767" s="6" t="s">
        <v>31</v>
      </c>
      <c r="R1767" s="6" t="s">
        <v>75</v>
      </c>
      <c r="S1767" s="8" t="s">
        <v>195</v>
      </c>
      <c r="T1767" s="6" t="s">
        <v>66</v>
      </c>
      <c r="U1767" s="8" t="s">
        <v>31</v>
      </c>
      <c r="V1767" s="6" t="s">
        <v>12228</v>
      </c>
      <c r="W1767" s="6" t="s">
        <v>10624</v>
      </c>
      <c r="X1767" s="9" t="str">
        <f>HYPERLINK("https://my.pitchbook.com?p=16301-89P","View People Online")</f>
        <v>View People Online</v>
      </c>
    </row>
    <row r="1768">
      <c r="A1768" s="10" t="s">
        <v>12229</v>
      </c>
      <c r="B1768" s="10" t="s">
        <v>12230</v>
      </c>
      <c r="C1768" s="10" t="s">
        <v>536</v>
      </c>
      <c r="D1768" s="10" t="s">
        <v>12231</v>
      </c>
      <c r="E1768" s="10" t="s">
        <v>10624</v>
      </c>
      <c r="F1768" s="10" t="s">
        <v>270</v>
      </c>
      <c r="G1768" s="10" t="s">
        <v>12232</v>
      </c>
      <c r="H1768" s="11" t="s">
        <v>31</v>
      </c>
      <c r="I1768" s="11">
        <v>2.0</v>
      </c>
      <c r="J1768" s="11">
        <v>1.0</v>
      </c>
      <c r="K1768" s="11">
        <v>1.0</v>
      </c>
      <c r="L1768" s="12" t="s">
        <v>10626</v>
      </c>
      <c r="M1768" s="10" t="s">
        <v>12233</v>
      </c>
      <c r="N1768" s="10" t="s">
        <v>75</v>
      </c>
      <c r="O1768" s="12" t="s">
        <v>76</v>
      </c>
      <c r="P1768" s="10" t="s">
        <v>10628</v>
      </c>
      <c r="Q1768" s="10" t="s">
        <v>31</v>
      </c>
      <c r="R1768" s="10" t="s">
        <v>75</v>
      </c>
      <c r="S1768" s="12" t="s">
        <v>195</v>
      </c>
      <c r="T1768" s="10" t="s">
        <v>66</v>
      </c>
      <c r="U1768" s="12" t="s">
        <v>31</v>
      </c>
      <c r="V1768" s="10" t="s">
        <v>12234</v>
      </c>
      <c r="W1768" s="10" t="s">
        <v>10624</v>
      </c>
      <c r="X1768" s="13" t="str">
        <f>HYPERLINK("https://my.pitchbook.com?p=162567-37P","View People Online")</f>
        <v>View People Online</v>
      </c>
    </row>
    <row r="1769">
      <c r="A1769" s="14" t="s">
        <v>12235</v>
      </c>
      <c r="B1769" s="14" t="s">
        <v>12236</v>
      </c>
      <c r="C1769" s="14" t="s">
        <v>3359</v>
      </c>
      <c r="D1769" s="14" t="s">
        <v>12237</v>
      </c>
      <c r="E1769" s="14" t="s">
        <v>10624</v>
      </c>
      <c r="F1769" s="14" t="s">
        <v>1283</v>
      </c>
      <c r="G1769" s="14" t="s">
        <v>12238</v>
      </c>
      <c r="H1769" s="15" t="s">
        <v>31</v>
      </c>
      <c r="I1769" s="15">
        <v>1.0</v>
      </c>
      <c r="J1769" s="15">
        <v>1.0</v>
      </c>
      <c r="K1769" s="15" t="s">
        <v>31</v>
      </c>
      <c r="L1769" s="16" t="s">
        <v>10641</v>
      </c>
      <c r="M1769" s="14" t="s">
        <v>12239</v>
      </c>
      <c r="N1769" s="14" t="s">
        <v>243</v>
      </c>
      <c r="O1769" s="16" t="s">
        <v>244</v>
      </c>
      <c r="P1769" s="14" t="s">
        <v>10643</v>
      </c>
      <c r="Q1769" s="14" t="s">
        <v>10644</v>
      </c>
      <c r="R1769" s="14" t="s">
        <v>247</v>
      </c>
      <c r="S1769" s="16" t="s">
        <v>10645</v>
      </c>
      <c r="T1769" s="14" t="s">
        <v>249</v>
      </c>
      <c r="U1769" s="16" t="s">
        <v>31</v>
      </c>
      <c r="V1769" s="14" t="s">
        <v>1283</v>
      </c>
      <c r="W1769" s="14" t="s">
        <v>10624</v>
      </c>
      <c r="X1769" s="17" t="str">
        <f>HYPERLINK("https://my.pitchbook.com?p=138881-53P","View People Online")</f>
        <v>View People Online</v>
      </c>
    </row>
    <row r="1770">
      <c r="A1770" s="10" t="s">
        <v>12240</v>
      </c>
      <c r="B1770" s="10" t="s">
        <v>12241</v>
      </c>
      <c r="C1770" s="10" t="s">
        <v>12242</v>
      </c>
      <c r="D1770" s="10" t="s">
        <v>11666</v>
      </c>
      <c r="E1770" s="10" t="s">
        <v>10624</v>
      </c>
      <c r="F1770" s="10" t="s">
        <v>371</v>
      </c>
      <c r="G1770" s="10" t="s">
        <v>12243</v>
      </c>
      <c r="H1770" s="11" t="s">
        <v>31</v>
      </c>
      <c r="I1770" s="11">
        <v>1.0</v>
      </c>
      <c r="J1770" s="11">
        <v>1.0</v>
      </c>
      <c r="K1770" s="11" t="s">
        <v>31</v>
      </c>
      <c r="L1770" s="12" t="s">
        <v>10641</v>
      </c>
      <c r="M1770" s="10" t="s">
        <v>12244</v>
      </c>
      <c r="N1770" s="10" t="s">
        <v>243</v>
      </c>
      <c r="O1770" s="12" t="s">
        <v>244</v>
      </c>
      <c r="P1770" s="10" t="s">
        <v>10643</v>
      </c>
      <c r="Q1770" s="10" t="s">
        <v>10644</v>
      </c>
      <c r="R1770" s="10" t="s">
        <v>247</v>
      </c>
      <c r="S1770" s="12" t="s">
        <v>10645</v>
      </c>
      <c r="T1770" s="10" t="s">
        <v>249</v>
      </c>
      <c r="U1770" s="12" t="s">
        <v>31</v>
      </c>
      <c r="V1770" s="10" t="s">
        <v>12245</v>
      </c>
      <c r="W1770" s="10" t="s">
        <v>10624</v>
      </c>
      <c r="X1770" s="13" t="str">
        <f>HYPERLINK("https://my.pitchbook.com?p=444300-13P","View People Online")</f>
        <v>View People Online</v>
      </c>
    </row>
    <row r="1771">
      <c r="A1771" s="14" t="s">
        <v>12246</v>
      </c>
      <c r="B1771" s="14" t="s">
        <v>12247</v>
      </c>
      <c r="C1771" s="14" t="s">
        <v>995</v>
      </c>
      <c r="D1771" s="14" t="s">
        <v>8003</v>
      </c>
      <c r="E1771" s="14" t="s">
        <v>10624</v>
      </c>
      <c r="F1771" s="14" t="s">
        <v>1801</v>
      </c>
      <c r="G1771" s="14" t="s">
        <v>12248</v>
      </c>
      <c r="H1771" s="15" t="s">
        <v>31</v>
      </c>
      <c r="I1771" s="15">
        <v>1.0</v>
      </c>
      <c r="J1771" s="15">
        <v>1.0</v>
      </c>
      <c r="K1771" s="15" t="s">
        <v>31</v>
      </c>
      <c r="L1771" s="16" t="s">
        <v>10641</v>
      </c>
      <c r="M1771" s="14" t="s">
        <v>12249</v>
      </c>
      <c r="N1771" s="14" t="s">
        <v>243</v>
      </c>
      <c r="O1771" s="16" t="s">
        <v>244</v>
      </c>
      <c r="P1771" s="14" t="s">
        <v>10643</v>
      </c>
      <c r="Q1771" s="14" t="s">
        <v>10644</v>
      </c>
      <c r="R1771" s="14" t="s">
        <v>247</v>
      </c>
      <c r="S1771" s="16" t="s">
        <v>10645</v>
      </c>
      <c r="T1771" s="14" t="s">
        <v>249</v>
      </c>
      <c r="U1771" s="16" t="s">
        <v>31</v>
      </c>
      <c r="V1771" s="14" t="s">
        <v>11257</v>
      </c>
      <c r="W1771" s="14" t="s">
        <v>10624</v>
      </c>
      <c r="X1771" s="17" t="str">
        <f>HYPERLINK("https://my.pitchbook.com?p=139873-42P","View People Online")</f>
        <v>View People Online</v>
      </c>
    </row>
    <row r="1772">
      <c r="A1772" s="10" t="s">
        <v>12250</v>
      </c>
      <c r="B1772" s="10" t="s">
        <v>12251</v>
      </c>
      <c r="C1772" s="10" t="s">
        <v>4611</v>
      </c>
      <c r="D1772" s="10" t="s">
        <v>12252</v>
      </c>
      <c r="E1772" s="10" t="s">
        <v>10624</v>
      </c>
      <c r="F1772" s="10" t="s">
        <v>1283</v>
      </c>
      <c r="G1772" s="10" t="s">
        <v>12253</v>
      </c>
      <c r="H1772" s="11" t="s">
        <v>31</v>
      </c>
      <c r="I1772" s="11">
        <v>1.0</v>
      </c>
      <c r="J1772" s="11">
        <v>1.0</v>
      </c>
      <c r="K1772" s="11" t="s">
        <v>31</v>
      </c>
      <c r="L1772" s="12" t="s">
        <v>10626</v>
      </c>
      <c r="M1772" s="10" t="s">
        <v>12254</v>
      </c>
      <c r="N1772" s="10" t="s">
        <v>75</v>
      </c>
      <c r="O1772" s="12" t="s">
        <v>76</v>
      </c>
      <c r="P1772" s="10" t="s">
        <v>10628</v>
      </c>
      <c r="Q1772" s="10" t="s">
        <v>31</v>
      </c>
      <c r="R1772" s="10" t="s">
        <v>75</v>
      </c>
      <c r="S1772" s="12" t="s">
        <v>195</v>
      </c>
      <c r="T1772" s="10" t="s">
        <v>66</v>
      </c>
      <c r="U1772" s="12" t="s">
        <v>31</v>
      </c>
      <c r="V1772" s="10" t="s">
        <v>1283</v>
      </c>
      <c r="W1772" s="10" t="s">
        <v>10624</v>
      </c>
      <c r="X1772" s="13" t="str">
        <f>HYPERLINK("https://my.pitchbook.com?p=115050-52P","View People Online")</f>
        <v>View People Online</v>
      </c>
    </row>
    <row r="1773">
      <c r="A1773" s="6" t="s">
        <v>12255</v>
      </c>
      <c r="B1773" s="6" t="s">
        <v>12256</v>
      </c>
      <c r="C1773" s="6" t="s">
        <v>12257</v>
      </c>
      <c r="D1773" s="6" t="s">
        <v>12258</v>
      </c>
      <c r="E1773" s="6" t="s">
        <v>10624</v>
      </c>
      <c r="F1773" s="6" t="s">
        <v>896</v>
      </c>
      <c r="G1773" s="6" t="s">
        <v>12259</v>
      </c>
      <c r="H1773" s="7" t="s">
        <v>31</v>
      </c>
      <c r="I1773" s="7">
        <v>1.0</v>
      </c>
      <c r="J1773" s="7">
        <v>1.0</v>
      </c>
      <c r="K1773" s="7" t="s">
        <v>31</v>
      </c>
      <c r="L1773" s="8" t="s">
        <v>10626</v>
      </c>
      <c r="M1773" s="6" t="s">
        <v>12260</v>
      </c>
      <c r="N1773" s="6" t="s">
        <v>75</v>
      </c>
      <c r="O1773" s="8" t="s">
        <v>76</v>
      </c>
      <c r="P1773" s="6" t="s">
        <v>10628</v>
      </c>
      <c r="Q1773" s="6" t="s">
        <v>31</v>
      </c>
      <c r="R1773" s="6" t="s">
        <v>75</v>
      </c>
      <c r="S1773" s="8" t="s">
        <v>195</v>
      </c>
      <c r="T1773" s="6" t="s">
        <v>66</v>
      </c>
      <c r="U1773" s="8" t="s">
        <v>31</v>
      </c>
      <c r="V1773" s="6" t="s">
        <v>12261</v>
      </c>
      <c r="W1773" s="6" t="s">
        <v>10624</v>
      </c>
      <c r="X1773" s="9" t="str">
        <f>HYPERLINK("https://my.pitchbook.com?p=144058-33P","View People Online")</f>
        <v>View People Online</v>
      </c>
    </row>
    <row r="1774">
      <c r="A1774" s="10" t="s">
        <v>12262</v>
      </c>
      <c r="B1774" s="10" t="s">
        <v>12263</v>
      </c>
      <c r="C1774" s="10" t="s">
        <v>12264</v>
      </c>
      <c r="D1774" s="10" t="s">
        <v>7090</v>
      </c>
      <c r="E1774" s="10" t="s">
        <v>10624</v>
      </c>
      <c r="F1774" s="10" t="s">
        <v>2652</v>
      </c>
      <c r="G1774" s="10" t="s">
        <v>12265</v>
      </c>
      <c r="H1774" s="11" t="s">
        <v>31</v>
      </c>
      <c r="I1774" s="11">
        <v>20.0</v>
      </c>
      <c r="J1774" s="11">
        <v>1.0</v>
      </c>
      <c r="K1774" s="11">
        <v>12.0</v>
      </c>
      <c r="L1774" s="12" t="s">
        <v>10626</v>
      </c>
      <c r="M1774" s="10" t="s">
        <v>12266</v>
      </c>
      <c r="N1774" s="10" t="s">
        <v>75</v>
      </c>
      <c r="O1774" s="12" t="s">
        <v>76</v>
      </c>
      <c r="P1774" s="10" t="s">
        <v>10628</v>
      </c>
      <c r="Q1774" s="10" t="s">
        <v>31</v>
      </c>
      <c r="R1774" s="10" t="s">
        <v>75</v>
      </c>
      <c r="S1774" s="12" t="s">
        <v>195</v>
      </c>
      <c r="T1774" s="10" t="s">
        <v>66</v>
      </c>
      <c r="U1774" s="12" t="s">
        <v>31</v>
      </c>
      <c r="V1774" s="10" t="s">
        <v>12267</v>
      </c>
      <c r="W1774" s="10" t="s">
        <v>10624</v>
      </c>
      <c r="X1774" s="13" t="str">
        <f>HYPERLINK("https://my.pitchbook.com?p=102707-56P","View People Online")</f>
        <v>View People Online</v>
      </c>
    </row>
    <row r="1775">
      <c r="A1775" s="6" t="s">
        <v>12268</v>
      </c>
      <c r="B1775" s="6" t="s">
        <v>12269</v>
      </c>
      <c r="C1775" s="6" t="s">
        <v>1703</v>
      </c>
      <c r="D1775" s="6" t="s">
        <v>12270</v>
      </c>
      <c r="E1775" s="6" t="s">
        <v>10624</v>
      </c>
      <c r="F1775" s="6" t="s">
        <v>4931</v>
      </c>
      <c r="G1775" s="6" t="s">
        <v>12271</v>
      </c>
      <c r="H1775" s="7" t="s">
        <v>31</v>
      </c>
      <c r="I1775" s="7">
        <v>1.0</v>
      </c>
      <c r="J1775" s="7">
        <v>1.0</v>
      </c>
      <c r="K1775" s="7" t="s">
        <v>31</v>
      </c>
      <c r="L1775" s="8" t="s">
        <v>10626</v>
      </c>
      <c r="M1775" s="6" t="s">
        <v>12272</v>
      </c>
      <c r="N1775" s="6" t="s">
        <v>75</v>
      </c>
      <c r="O1775" s="8" t="s">
        <v>76</v>
      </c>
      <c r="P1775" s="6" t="s">
        <v>10628</v>
      </c>
      <c r="Q1775" s="6" t="s">
        <v>31</v>
      </c>
      <c r="R1775" s="6" t="s">
        <v>75</v>
      </c>
      <c r="S1775" s="8" t="s">
        <v>195</v>
      </c>
      <c r="T1775" s="6" t="s">
        <v>66</v>
      </c>
      <c r="U1775" s="8" t="s">
        <v>31</v>
      </c>
      <c r="V1775" s="6" t="s">
        <v>12273</v>
      </c>
      <c r="W1775" s="6" t="s">
        <v>10624</v>
      </c>
      <c r="X1775" s="9" t="str">
        <f>HYPERLINK("https://my.pitchbook.com?p=369880-66P","View People Online")</f>
        <v>View People Online</v>
      </c>
    </row>
    <row r="1776">
      <c r="A1776" s="2" t="s">
        <v>12274</v>
      </c>
      <c r="B1776" s="2" t="s">
        <v>12275</v>
      </c>
      <c r="C1776" s="2" t="s">
        <v>9546</v>
      </c>
      <c r="D1776" s="2" t="s">
        <v>12276</v>
      </c>
      <c r="E1776" s="2" t="s">
        <v>10624</v>
      </c>
      <c r="F1776" s="2" t="s">
        <v>548</v>
      </c>
      <c r="G1776" s="2" t="s">
        <v>12277</v>
      </c>
      <c r="H1776" s="3" t="s">
        <v>31</v>
      </c>
      <c r="I1776" s="3">
        <v>2.0</v>
      </c>
      <c r="J1776" s="3">
        <v>1.0</v>
      </c>
      <c r="K1776" s="3">
        <v>1.0</v>
      </c>
      <c r="L1776" s="4" t="s">
        <v>10626</v>
      </c>
      <c r="M1776" s="2" t="s">
        <v>12278</v>
      </c>
      <c r="N1776" s="2" t="s">
        <v>75</v>
      </c>
      <c r="O1776" s="4" t="s">
        <v>76</v>
      </c>
      <c r="P1776" s="2" t="s">
        <v>10628</v>
      </c>
      <c r="Q1776" s="2" t="s">
        <v>31</v>
      </c>
      <c r="R1776" s="2" t="s">
        <v>75</v>
      </c>
      <c r="S1776" s="4" t="s">
        <v>195</v>
      </c>
      <c r="T1776" s="2" t="s">
        <v>66</v>
      </c>
      <c r="U1776" s="4" t="s">
        <v>31</v>
      </c>
      <c r="V1776" s="2" t="s">
        <v>548</v>
      </c>
      <c r="W1776" s="2" t="s">
        <v>10624</v>
      </c>
      <c r="X1776" s="5" t="str">
        <f>HYPERLINK("https://my.pitchbook.com?p=329447-17P","View People Online")</f>
        <v>View People Online</v>
      </c>
    </row>
    <row r="1777">
      <c r="A1777" s="6" t="s">
        <v>12279</v>
      </c>
      <c r="B1777" s="6" t="s">
        <v>12280</v>
      </c>
      <c r="C1777" s="6" t="s">
        <v>12281</v>
      </c>
      <c r="D1777" s="6" t="s">
        <v>12282</v>
      </c>
      <c r="E1777" s="6" t="s">
        <v>10624</v>
      </c>
      <c r="F1777" s="6" t="s">
        <v>896</v>
      </c>
      <c r="G1777" s="6" t="s">
        <v>12283</v>
      </c>
      <c r="H1777" s="7" t="s">
        <v>31</v>
      </c>
      <c r="I1777" s="7">
        <v>1.0</v>
      </c>
      <c r="J1777" s="7">
        <v>1.0</v>
      </c>
      <c r="K1777" s="7" t="s">
        <v>31</v>
      </c>
      <c r="L1777" s="8" t="s">
        <v>11162</v>
      </c>
      <c r="M1777" s="6" t="s">
        <v>12284</v>
      </c>
      <c r="N1777" s="6" t="s">
        <v>155</v>
      </c>
      <c r="O1777" s="8" t="s">
        <v>156</v>
      </c>
      <c r="P1777" s="6" t="s">
        <v>11164</v>
      </c>
      <c r="Q1777" s="6" t="s">
        <v>31</v>
      </c>
      <c r="R1777" s="6" t="s">
        <v>64</v>
      </c>
      <c r="S1777" s="8" t="s">
        <v>3487</v>
      </c>
      <c r="T1777" s="6" t="s">
        <v>66</v>
      </c>
      <c r="U1777" s="8" t="s">
        <v>31</v>
      </c>
      <c r="V1777" s="6" t="s">
        <v>896</v>
      </c>
      <c r="W1777" s="6" t="s">
        <v>10624</v>
      </c>
      <c r="X1777" s="9" t="str">
        <f>HYPERLINK("https://my.pitchbook.com?p=75875-86P","View People Online")</f>
        <v>View People Online</v>
      </c>
    </row>
    <row r="1778">
      <c r="A1778" s="2" t="s">
        <v>12285</v>
      </c>
      <c r="B1778" s="2" t="s">
        <v>12286</v>
      </c>
      <c r="C1778" s="2" t="s">
        <v>4015</v>
      </c>
      <c r="D1778" s="2" t="s">
        <v>12287</v>
      </c>
      <c r="E1778" s="2" t="s">
        <v>10624</v>
      </c>
      <c r="F1778" s="2" t="s">
        <v>270</v>
      </c>
      <c r="G1778" s="2" t="s">
        <v>12288</v>
      </c>
      <c r="H1778" s="3" t="s">
        <v>31</v>
      </c>
      <c r="I1778" s="3">
        <v>2.0</v>
      </c>
      <c r="J1778" s="3">
        <v>2.0</v>
      </c>
      <c r="K1778" s="3" t="s">
        <v>31</v>
      </c>
      <c r="L1778" s="4" t="s">
        <v>12289</v>
      </c>
      <c r="M1778" s="2" t="s">
        <v>12290</v>
      </c>
      <c r="N1778" s="2" t="s">
        <v>75</v>
      </c>
      <c r="O1778" s="4" t="s">
        <v>76</v>
      </c>
      <c r="P1778" s="2" t="s">
        <v>10628</v>
      </c>
      <c r="Q1778" s="2" t="s">
        <v>31</v>
      </c>
      <c r="R1778" s="2" t="s">
        <v>75</v>
      </c>
      <c r="S1778" s="4" t="s">
        <v>195</v>
      </c>
      <c r="T1778" s="2" t="s">
        <v>66</v>
      </c>
      <c r="U1778" s="4" t="s">
        <v>31</v>
      </c>
      <c r="V1778" s="2" t="s">
        <v>12291</v>
      </c>
      <c r="W1778" s="2" t="s">
        <v>10624</v>
      </c>
      <c r="X1778" s="5" t="str">
        <f>HYPERLINK("https://my.pitchbook.com?p=40561-12P","View People Online")</f>
        <v>View People Online</v>
      </c>
    </row>
    <row r="1779">
      <c r="A1779" s="14" t="s">
        <v>12292</v>
      </c>
      <c r="B1779" s="14" t="s">
        <v>12293</v>
      </c>
      <c r="C1779" s="14" t="s">
        <v>12294</v>
      </c>
      <c r="D1779" s="14" t="s">
        <v>2040</v>
      </c>
      <c r="E1779" s="14" t="s">
        <v>10624</v>
      </c>
      <c r="F1779" s="14" t="s">
        <v>221</v>
      </c>
      <c r="G1779" s="14" t="s">
        <v>12295</v>
      </c>
      <c r="H1779" s="15" t="s">
        <v>31</v>
      </c>
      <c r="I1779" s="15">
        <v>1.0</v>
      </c>
      <c r="J1779" s="15">
        <v>1.0</v>
      </c>
      <c r="K1779" s="15" t="s">
        <v>31</v>
      </c>
      <c r="L1779" s="16" t="s">
        <v>10626</v>
      </c>
      <c r="M1779" s="14" t="s">
        <v>12296</v>
      </c>
      <c r="N1779" s="14" t="s">
        <v>75</v>
      </c>
      <c r="O1779" s="16" t="s">
        <v>76</v>
      </c>
      <c r="P1779" s="14" t="s">
        <v>10628</v>
      </c>
      <c r="Q1779" s="14" t="s">
        <v>31</v>
      </c>
      <c r="R1779" s="14" t="s">
        <v>75</v>
      </c>
      <c r="S1779" s="16" t="s">
        <v>195</v>
      </c>
      <c r="T1779" s="14" t="s">
        <v>66</v>
      </c>
      <c r="U1779" s="16" t="s">
        <v>31</v>
      </c>
      <c r="V1779" s="14" t="s">
        <v>12297</v>
      </c>
      <c r="W1779" s="14" t="s">
        <v>10624</v>
      </c>
      <c r="X1779" s="17" t="str">
        <f>HYPERLINK("https://my.pitchbook.com?p=455669-92P","View People Online")</f>
        <v>View People Online</v>
      </c>
    </row>
    <row r="1780">
      <c r="A1780" s="10" t="s">
        <v>12298</v>
      </c>
      <c r="B1780" s="10" t="s">
        <v>12299</v>
      </c>
      <c r="C1780" s="10" t="s">
        <v>12300</v>
      </c>
      <c r="D1780" s="10" t="s">
        <v>200</v>
      </c>
      <c r="E1780" s="10" t="s">
        <v>10624</v>
      </c>
      <c r="F1780" s="10" t="s">
        <v>3823</v>
      </c>
      <c r="G1780" s="10" t="s">
        <v>12301</v>
      </c>
      <c r="H1780" s="11" t="s">
        <v>31</v>
      </c>
      <c r="I1780" s="11">
        <v>1.0</v>
      </c>
      <c r="J1780" s="11">
        <v>1.0</v>
      </c>
      <c r="K1780" s="11" t="s">
        <v>31</v>
      </c>
      <c r="L1780" s="12" t="s">
        <v>10626</v>
      </c>
      <c r="M1780" s="10" t="s">
        <v>12302</v>
      </c>
      <c r="N1780" s="10" t="s">
        <v>75</v>
      </c>
      <c r="O1780" s="12" t="s">
        <v>76</v>
      </c>
      <c r="P1780" s="10" t="s">
        <v>10628</v>
      </c>
      <c r="Q1780" s="10" t="s">
        <v>31</v>
      </c>
      <c r="R1780" s="10" t="s">
        <v>75</v>
      </c>
      <c r="S1780" s="12" t="s">
        <v>195</v>
      </c>
      <c r="T1780" s="10" t="s">
        <v>66</v>
      </c>
      <c r="U1780" s="12" t="s">
        <v>31</v>
      </c>
      <c r="V1780" s="10" t="s">
        <v>12303</v>
      </c>
      <c r="W1780" s="10" t="s">
        <v>10624</v>
      </c>
      <c r="X1780" s="13" t="str">
        <f>HYPERLINK("https://my.pitchbook.com?p=415341-28P","View People Online")</f>
        <v>View People Online</v>
      </c>
    </row>
    <row r="1781">
      <c r="A1781" s="14" t="s">
        <v>12304</v>
      </c>
      <c r="B1781" s="14" t="s">
        <v>12305</v>
      </c>
      <c r="C1781" s="14" t="s">
        <v>12306</v>
      </c>
      <c r="D1781" s="14" t="s">
        <v>12307</v>
      </c>
      <c r="E1781" s="14" t="s">
        <v>10624</v>
      </c>
      <c r="F1781" s="14" t="s">
        <v>10762</v>
      </c>
      <c r="G1781" s="14" t="s">
        <v>12308</v>
      </c>
      <c r="H1781" s="15" t="s">
        <v>31</v>
      </c>
      <c r="I1781" s="15">
        <v>2.0</v>
      </c>
      <c r="J1781" s="15">
        <v>1.0</v>
      </c>
      <c r="K1781" s="15" t="s">
        <v>31</v>
      </c>
      <c r="L1781" s="16" t="s">
        <v>10626</v>
      </c>
      <c r="M1781" s="14" t="s">
        <v>12309</v>
      </c>
      <c r="N1781" s="14" t="s">
        <v>75</v>
      </c>
      <c r="O1781" s="16" t="s">
        <v>76</v>
      </c>
      <c r="P1781" s="14" t="s">
        <v>10628</v>
      </c>
      <c r="Q1781" s="14" t="s">
        <v>31</v>
      </c>
      <c r="R1781" s="14" t="s">
        <v>75</v>
      </c>
      <c r="S1781" s="16" t="s">
        <v>195</v>
      </c>
      <c r="T1781" s="14" t="s">
        <v>66</v>
      </c>
      <c r="U1781" s="16" t="s">
        <v>31</v>
      </c>
      <c r="V1781" s="14" t="s">
        <v>12310</v>
      </c>
      <c r="W1781" s="14" t="s">
        <v>10624</v>
      </c>
      <c r="X1781" s="17" t="str">
        <f>HYPERLINK("https://my.pitchbook.com?p=133206-22P","View People Online")</f>
        <v>View People Online</v>
      </c>
    </row>
    <row r="1782">
      <c r="A1782" s="10" t="s">
        <v>12311</v>
      </c>
      <c r="B1782" s="10" t="s">
        <v>12312</v>
      </c>
      <c r="C1782" s="10" t="s">
        <v>12306</v>
      </c>
      <c r="D1782" s="10" t="s">
        <v>12313</v>
      </c>
      <c r="E1782" s="10" t="s">
        <v>10624</v>
      </c>
      <c r="F1782" s="10" t="s">
        <v>10762</v>
      </c>
      <c r="G1782" s="10" t="s">
        <v>12314</v>
      </c>
      <c r="H1782" s="11">
        <v>1.0</v>
      </c>
      <c r="I1782" s="11">
        <v>6.0</v>
      </c>
      <c r="J1782" s="11">
        <v>1.0</v>
      </c>
      <c r="K1782" s="11">
        <v>3.0</v>
      </c>
      <c r="L1782" s="12" t="s">
        <v>12315</v>
      </c>
      <c r="M1782" s="10" t="s">
        <v>12316</v>
      </c>
      <c r="N1782" s="10" t="s">
        <v>4232</v>
      </c>
      <c r="O1782" s="12" t="s">
        <v>4233</v>
      </c>
      <c r="P1782" s="10" t="s">
        <v>11181</v>
      </c>
      <c r="Q1782" s="10" t="s">
        <v>31</v>
      </c>
      <c r="R1782" s="10" t="s">
        <v>4236</v>
      </c>
      <c r="S1782" s="12" t="s">
        <v>11182</v>
      </c>
      <c r="T1782" s="10" t="s">
        <v>66</v>
      </c>
      <c r="U1782" s="12" t="s">
        <v>31</v>
      </c>
      <c r="V1782" s="10" t="s">
        <v>12317</v>
      </c>
      <c r="W1782" s="10" t="s">
        <v>10624</v>
      </c>
      <c r="X1782" s="13" t="str">
        <f>HYPERLINK("https://my.pitchbook.com?p=154360-54P","View People Online")</f>
        <v>View People Online</v>
      </c>
    </row>
    <row r="1783">
      <c r="A1783" s="6" t="s">
        <v>12318</v>
      </c>
      <c r="B1783" s="6" t="s">
        <v>12319</v>
      </c>
      <c r="C1783" s="6" t="s">
        <v>1376</v>
      </c>
      <c r="D1783" s="6" t="s">
        <v>12077</v>
      </c>
      <c r="E1783" s="6" t="s">
        <v>10624</v>
      </c>
      <c r="F1783" s="6" t="s">
        <v>371</v>
      </c>
      <c r="G1783" s="6" t="s">
        <v>12320</v>
      </c>
      <c r="H1783" s="7" t="s">
        <v>31</v>
      </c>
      <c r="I1783" s="7">
        <v>1.0</v>
      </c>
      <c r="J1783" s="7">
        <v>1.0</v>
      </c>
      <c r="K1783" s="7" t="s">
        <v>31</v>
      </c>
      <c r="L1783" s="8" t="s">
        <v>10626</v>
      </c>
      <c r="M1783" s="6" t="s">
        <v>12321</v>
      </c>
      <c r="N1783" s="6" t="s">
        <v>75</v>
      </c>
      <c r="O1783" s="8" t="s">
        <v>76</v>
      </c>
      <c r="P1783" s="6" t="s">
        <v>10628</v>
      </c>
      <c r="Q1783" s="6" t="s">
        <v>31</v>
      </c>
      <c r="R1783" s="6" t="s">
        <v>75</v>
      </c>
      <c r="S1783" s="8" t="s">
        <v>195</v>
      </c>
      <c r="T1783" s="6" t="s">
        <v>66</v>
      </c>
      <c r="U1783" s="8" t="s">
        <v>31</v>
      </c>
      <c r="V1783" s="6" t="s">
        <v>371</v>
      </c>
      <c r="W1783" s="6" t="s">
        <v>10624</v>
      </c>
      <c r="X1783" s="9" t="str">
        <f>HYPERLINK("https://my.pitchbook.com?p=387166-60P","View People Online")</f>
        <v>View People Online</v>
      </c>
    </row>
    <row r="1784">
      <c r="A1784" s="10" t="s">
        <v>12322</v>
      </c>
      <c r="B1784" s="10" t="s">
        <v>12323</v>
      </c>
      <c r="C1784" s="10" t="s">
        <v>219</v>
      </c>
      <c r="D1784" s="10" t="s">
        <v>12324</v>
      </c>
      <c r="E1784" s="10" t="s">
        <v>10624</v>
      </c>
      <c r="F1784" s="10" t="s">
        <v>1283</v>
      </c>
      <c r="G1784" s="10" t="s">
        <v>12325</v>
      </c>
      <c r="H1784" s="11" t="s">
        <v>31</v>
      </c>
      <c r="I1784" s="11">
        <v>1.0</v>
      </c>
      <c r="J1784" s="11">
        <v>1.0</v>
      </c>
      <c r="K1784" s="11" t="s">
        <v>31</v>
      </c>
      <c r="L1784" s="12" t="s">
        <v>10626</v>
      </c>
      <c r="M1784" s="10" t="s">
        <v>12326</v>
      </c>
      <c r="N1784" s="10" t="s">
        <v>75</v>
      </c>
      <c r="O1784" s="12" t="s">
        <v>76</v>
      </c>
      <c r="P1784" s="10" t="s">
        <v>10628</v>
      </c>
      <c r="Q1784" s="10" t="s">
        <v>31</v>
      </c>
      <c r="R1784" s="10" t="s">
        <v>75</v>
      </c>
      <c r="S1784" s="12" t="s">
        <v>195</v>
      </c>
      <c r="T1784" s="10" t="s">
        <v>66</v>
      </c>
      <c r="U1784" s="12" t="s">
        <v>31</v>
      </c>
      <c r="V1784" s="10" t="s">
        <v>1283</v>
      </c>
      <c r="W1784" s="10" t="s">
        <v>10624</v>
      </c>
      <c r="X1784" s="13" t="str">
        <f>HYPERLINK("https://my.pitchbook.com?p=360107-11P","View People Online")</f>
        <v>View People Online</v>
      </c>
    </row>
    <row r="1785">
      <c r="A1785" s="14" t="s">
        <v>12327</v>
      </c>
      <c r="B1785" s="14" t="s">
        <v>12328</v>
      </c>
      <c r="C1785" s="14" t="s">
        <v>1388</v>
      </c>
      <c r="D1785" s="14" t="s">
        <v>12329</v>
      </c>
      <c r="E1785" s="14" t="s">
        <v>10624</v>
      </c>
      <c r="F1785" s="14" t="s">
        <v>825</v>
      </c>
      <c r="G1785" s="14" t="s">
        <v>12330</v>
      </c>
      <c r="H1785" s="15" t="s">
        <v>31</v>
      </c>
      <c r="I1785" s="15">
        <v>7.0</v>
      </c>
      <c r="J1785" s="15">
        <v>1.0</v>
      </c>
      <c r="K1785" s="15">
        <v>4.0</v>
      </c>
      <c r="L1785" s="16" t="s">
        <v>10641</v>
      </c>
      <c r="M1785" s="14" t="s">
        <v>12331</v>
      </c>
      <c r="N1785" s="14" t="s">
        <v>243</v>
      </c>
      <c r="O1785" s="16" t="s">
        <v>244</v>
      </c>
      <c r="P1785" s="14" t="s">
        <v>10643</v>
      </c>
      <c r="Q1785" s="14" t="s">
        <v>10644</v>
      </c>
      <c r="R1785" s="14" t="s">
        <v>247</v>
      </c>
      <c r="S1785" s="16" t="s">
        <v>10645</v>
      </c>
      <c r="T1785" s="14" t="s">
        <v>249</v>
      </c>
      <c r="U1785" s="16" t="s">
        <v>31</v>
      </c>
      <c r="V1785" s="14" t="s">
        <v>12332</v>
      </c>
      <c r="W1785" s="14" t="s">
        <v>10624</v>
      </c>
      <c r="X1785" s="17" t="str">
        <f>HYPERLINK("https://my.pitchbook.com?p=158069-35P","View People Online")</f>
        <v>View People Online</v>
      </c>
    </row>
    <row r="1786">
      <c r="A1786" s="10" t="s">
        <v>12333</v>
      </c>
      <c r="B1786" s="10" t="s">
        <v>12334</v>
      </c>
      <c r="C1786" s="10" t="s">
        <v>3888</v>
      </c>
      <c r="D1786" s="10" t="s">
        <v>12335</v>
      </c>
      <c r="E1786" s="10" t="s">
        <v>10624</v>
      </c>
      <c r="F1786" s="10" t="s">
        <v>5086</v>
      </c>
      <c r="G1786" s="10" t="s">
        <v>12336</v>
      </c>
      <c r="H1786" s="11" t="s">
        <v>31</v>
      </c>
      <c r="I1786" s="11">
        <v>1.0</v>
      </c>
      <c r="J1786" s="11">
        <v>1.0</v>
      </c>
      <c r="K1786" s="11" t="s">
        <v>31</v>
      </c>
      <c r="L1786" s="12" t="s">
        <v>10626</v>
      </c>
      <c r="M1786" s="10" t="s">
        <v>12337</v>
      </c>
      <c r="N1786" s="10" t="s">
        <v>75</v>
      </c>
      <c r="O1786" s="12" t="s">
        <v>76</v>
      </c>
      <c r="P1786" s="10" t="s">
        <v>10628</v>
      </c>
      <c r="Q1786" s="10" t="s">
        <v>31</v>
      </c>
      <c r="R1786" s="10" t="s">
        <v>75</v>
      </c>
      <c r="S1786" s="12" t="s">
        <v>195</v>
      </c>
      <c r="T1786" s="10" t="s">
        <v>66</v>
      </c>
      <c r="U1786" s="12" t="s">
        <v>31</v>
      </c>
      <c r="V1786" s="10" t="s">
        <v>12338</v>
      </c>
      <c r="W1786" s="10" t="s">
        <v>10624</v>
      </c>
      <c r="X1786" s="13" t="str">
        <f>HYPERLINK("https://my.pitchbook.com?p=345687-85P","View People Online")</f>
        <v>View People Online</v>
      </c>
    </row>
    <row r="1787">
      <c r="A1787" s="6" t="s">
        <v>12339</v>
      </c>
      <c r="B1787" s="6" t="s">
        <v>12340</v>
      </c>
      <c r="C1787" s="6" t="s">
        <v>12341</v>
      </c>
      <c r="D1787" s="6" t="s">
        <v>12342</v>
      </c>
      <c r="E1787" s="6" t="s">
        <v>10624</v>
      </c>
      <c r="F1787" s="6" t="s">
        <v>2652</v>
      </c>
      <c r="G1787" s="6" t="s">
        <v>12343</v>
      </c>
      <c r="H1787" s="7" t="s">
        <v>31</v>
      </c>
      <c r="I1787" s="7">
        <v>3.0</v>
      </c>
      <c r="J1787" s="7">
        <v>1.0</v>
      </c>
      <c r="K1787" s="7" t="s">
        <v>31</v>
      </c>
      <c r="L1787" s="8" t="s">
        <v>10626</v>
      </c>
      <c r="M1787" s="6" t="s">
        <v>12344</v>
      </c>
      <c r="N1787" s="6" t="s">
        <v>75</v>
      </c>
      <c r="O1787" s="8" t="s">
        <v>76</v>
      </c>
      <c r="P1787" s="6" t="s">
        <v>10628</v>
      </c>
      <c r="Q1787" s="6" t="s">
        <v>31</v>
      </c>
      <c r="R1787" s="6" t="s">
        <v>75</v>
      </c>
      <c r="S1787" s="8" t="s">
        <v>195</v>
      </c>
      <c r="T1787" s="6" t="s">
        <v>66</v>
      </c>
      <c r="U1787" s="8" t="s">
        <v>31</v>
      </c>
      <c r="V1787" s="6" t="s">
        <v>12345</v>
      </c>
      <c r="W1787" s="6" t="s">
        <v>10624</v>
      </c>
      <c r="X1787" s="9" t="str">
        <f>HYPERLINK("https://my.pitchbook.com?p=38141-20P","View People Online")</f>
        <v>View People Online</v>
      </c>
    </row>
    <row r="1788">
      <c r="A1788" s="2" t="s">
        <v>12346</v>
      </c>
      <c r="B1788" s="2" t="s">
        <v>12347</v>
      </c>
      <c r="C1788" s="2" t="s">
        <v>12348</v>
      </c>
      <c r="D1788" s="2" t="s">
        <v>7445</v>
      </c>
      <c r="E1788" s="2" t="s">
        <v>10624</v>
      </c>
      <c r="F1788" s="2" t="s">
        <v>1086</v>
      </c>
      <c r="G1788" s="2" t="s">
        <v>12349</v>
      </c>
      <c r="H1788" s="3" t="s">
        <v>31</v>
      </c>
      <c r="I1788" s="3">
        <v>1.0</v>
      </c>
      <c r="J1788" s="3">
        <v>1.0</v>
      </c>
      <c r="K1788" s="3" t="s">
        <v>31</v>
      </c>
      <c r="L1788" s="4" t="s">
        <v>10641</v>
      </c>
      <c r="M1788" s="2" t="s">
        <v>12350</v>
      </c>
      <c r="N1788" s="2" t="s">
        <v>243</v>
      </c>
      <c r="O1788" s="4" t="s">
        <v>244</v>
      </c>
      <c r="P1788" s="2" t="s">
        <v>10643</v>
      </c>
      <c r="Q1788" s="2" t="s">
        <v>10644</v>
      </c>
      <c r="R1788" s="2" t="s">
        <v>247</v>
      </c>
      <c r="S1788" s="4" t="s">
        <v>10645</v>
      </c>
      <c r="T1788" s="2" t="s">
        <v>249</v>
      </c>
      <c r="U1788" s="4" t="s">
        <v>31</v>
      </c>
      <c r="V1788" s="2" t="s">
        <v>12351</v>
      </c>
      <c r="W1788" s="2" t="s">
        <v>10624</v>
      </c>
      <c r="X1788" s="5" t="str">
        <f>HYPERLINK("https://my.pitchbook.com?p=445667-68P","View People Online")</f>
        <v>View People Online</v>
      </c>
    </row>
    <row r="1789">
      <c r="A1789" s="6" t="s">
        <v>12352</v>
      </c>
      <c r="B1789" s="6" t="s">
        <v>12353</v>
      </c>
      <c r="C1789" s="6" t="s">
        <v>12354</v>
      </c>
      <c r="D1789" s="6" t="s">
        <v>12355</v>
      </c>
      <c r="E1789" s="6" t="s">
        <v>10624</v>
      </c>
      <c r="F1789" s="6" t="s">
        <v>548</v>
      </c>
      <c r="G1789" s="6" t="s">
        <v>12356</v>
      </c>
      <c r="H1789" s="7" t="s">
        <v>31</v>
      </c>
      <c r="I1789" s="7">
        <v>1.0</v>
      </c>
      <c r="J1789" s="7">
        <v>1.0</v>
      </c>
      <c r="K1789" s="7" t="s">
        <v>31</v>
      </c>
      <c r="L1789" s="8" t="s">
        <v>11179</v>
      </c>
      <c r="M1789" s="6" t="s">
        <v>12357</v>
      </c>
      <c r="N1789" s="6" t="s">
        <v>4232</v>
      </c>
      <c r="O1789" s="8" t="s">
        <v>4233</v>
      </c>
      <c r="P1789" s="6" t="s">
        <v>11181</v>
      </c>
      <c r="Q1789" s="6" t="s">
        <v>31</v>
      </c>
      <c r="R1789" s="6" t="s">
        <v>4236</v>
      </c>
      <c r="S1789" s="8" t="s">
        <v>11182</v>
      </c>
      <c r="T1789" s="6" t="s">
        <v>66</v>
      </c>
      <c r="U1789" s="8" t="s">
        <v>31</v>
      </c>
      <c r="V1789" s="6" t="s">
        <v>548</v>
      </c>
      <c r="W1789" s="6" t="s">
        <v>10624</v>
      </c>
      <c r="X1789" s="9" t="str">
        <f>HYPERLINK("https://my.pitchbook.com?p=392492-53P","View People Online")</f>
        <v>View People Online</v>
      </c>
    </row>
    <row r="1790">
      <c r="A1790" s="2" t="s">
        <v>12358</v>
      </c>
      <c r="B1790" s="2" t="s">
        <v>12359</v>
      </c>
      <c r="C1790" s="2" t="s">
        <v>12360</v>
      </c>
      <c r="D1790" s="2" t="s">
        <v>12361</v>
      </c>
      <c r="E1790" s="2" t="s">
        <v>10624</v>
      </c>
      <c r="F1790" s="2" t="s">
        <v>10639</v>
      </c>
      <c r="G1790" s="2" t="s">
        <v>12362</v>
      </c>
      <c r="H1790" s="3" t="s">
        <v>31</v>
      </c>
      <c r="I1790" s="3">
        <v>1.0</v>
      </c>
      <c r="J1790" s="3">
        <v>1.0</v>
      </c>
      <c r="K1790" s="3" t="s">
        <v>31</v>
      </c>
      <c r="L1790" s="4" t="s">
        <v>10641</v>
      </c>
      <c r="M1790" s="2" t="s">
        <v>12363</v>
      </c>
      <c r="N1790" s="2" t="s">
        <v>243</v>
      </c>
      <c r="O1790" s="4" t="s">
        <v>244</v>
      </c>
      <c r="P1790" s="2" t="s">
        <v>10643</v>
      </c>
      <c r="Q1790" s="2" t="s">
        <v>10644</v>
      </c>
      <c r="R1790" s="2" t="s">
        <v>247</v>
      </c>
      <c r="S1790" s="4" t="s">
        <v>10645</v>
      </c>
      <c r="T1790" s="2" t="s">
        <v>249</v>
      </c>
      <c r="U1790" s="4" t="s">
        <v>31</v>
      </c>
      <c r="V1790" s="2" t="s">
        <v>12364</v>
      </c>
      <c r="W1790" s="2" t="s">
        <v>10624</v>
      </c>
      <c r="X1790" s="5" t="str">
        <f>HYPERLINK("https://my.pitchbook.com?p=100175-50P","View People Online")</f>
        <v>View People Online</v>
      </c>
    </row>
    <row r="1791">
      <c r="A1791" s="6" t="s">
        <v>12365</v>
      </c>
      <c r="B1791" s="6" t="s">
        <v>12366</v>
      </c>
      <c r="C1791" s="6" t="s">
        <v>12367</v>
      </c>
      <c r="D1791" s="6" t="s">
        <v>9571</v>
      </c>
      <c r="E1791" s="6" t="s">
        <v>10624</v>
      </c>
      <c r="F1791" s="6" t="s">
        <v>2652</v>
      </c>
      <c r="G1791" s="6" t="s">
        <v>12368</v>
      </c>
      <c r="H1791" s="7" t="s">
        <v>31</v>
      </c>
      <c r="I1791" s="7">
        <v>1.0</v>
      </c>
      <c r="J1791" s="7">
        <v>1.0</v>
      </c>
      <c r="K1791" s="7" t="s">
        <v>31</v>
      </c>
      <c r="L1791" s="8" t="s">
        <v>12369</v>
      </c>
      <c r="M1791" s="6" t="s">
        <v>12370</v>
      </c>
      <c r="N1791" s="6" t="s">
        <v>75</v>
      </c>
      <c r="O1791" s="8" t="s">
        <v>76</v>
      </c>
      <c r="P1791" s="6" t="s">
        <v>10628</v>
      </c>
      <c r="Q1791" s="6" t="s">
        <v>31</v>
      </c>
      <c r="R1791" s="6" t="s">
        <v>75</v>
      </c>
      <c r="S1791" s="8" t="s">
        <v>195</v>
      </c>
      <c r="T1791" s="6" t="s">
        <v>66</v>
      </c>
      <c r="U1791" s="8" t="s">
        <v>31</v>
      </c>
      <c r="V1791" s="6" t="s">
        <v>12371</v>
      </c>
      <c r="W1791" s="6" t="s">
        <v>10624</v>
      </c>
      <c r="X1791" s="9" t="str">
        <f>HYPERLINK("https://my.pitchbook.com?p=145492-03P","View People Online")</f>
        <v>View People Online</v>
      </c>
    </row>
    <row r="1792">
      <c r="A1792" s="2" t="s">
        <v>12372</v>
      </c>
      <c r="B1792" s="2" t="s">
        <v>12373</v>
      </c>
      <c r="C1792" s="2" t="s">
        <v>7366</v>
      </c>
      <c r="D1792" s="2" t="s">
        <v>12374</v>
      </c>
      <c r="E1792" s="2" t="s">
        <v>10624</v>
      </c>
      <c r="F1792" s="2" t="s">
        <v>10762</v>
      </c>
      <c r="G1792" s="2" t="s">
        <v>12375</v>
      </c>
      <c r="H1792" s="3" t="s">
        <v>31</v>
      </c>
      <c r="I1792" s="3">
        <v>1.0</v>
      </c>
      <c r="J1792" s="3">
        <v>1.0</v>
      </c>
      <c r="K1792" s="3" t="s">
        <v>31</v>
      </c>
      <c r="L1792" s="4" t="s">
        <v>10827</v>
      </c>
      <c r="M1792" s="2" t="s">
        <v>12376</v>
      </c>
      <c r="N1792" s="2" t="s">
        <v>429</v>
      </c>
      <c r="O1792" s="4" t="s">
        <v>430</v>
      </c>
      <c r="P1792" s="2" t="s">
        <v>10829</v>
      </c>
      <c r="Q1792" s="2" t="s">
        <v>10830</v>
      </c>
      <c r="R1792" s="2" t="s">
        <v>31</v>
      </c>
      <c r="S1792" s="4" t="s">
        <v>10831</v>
      </c>
      <c r="T1792" s="2" t="s">
        <v>433</v>
      </c>
      <c r="U1792" s="4" t="s">
        <v>31</v>
      </c>
      <c r="V1792" s="2" t="s">
        <v>12377</v>
      </c>
      <c r="W1792" s="2" t="s">
        <v>10624</v>
      </c>
      <c r="X1792" s="5" t="str">
        <f>HYPERLINK("https://my.pitchbook.com?p=406665-82P","View People Online")</f>
        <v>View People Online</v>
      </c>
    </row>
    <row r="1793">
      <c r="A1793" s="14" t="s">
        <v>12378</v>
      </c>
      <c r="B1793" s="14" t="s">
        <v>12379</v>
      </c>
      <c r="C1793" s="14" t="s">
        <v>12380</v>
      </c>
      <c r="D1793" s="14" t="s">
        <v>12381</v>
      </c>
      <c r="E1793" s="14" t="s">
        <v>10624</v>
      </c>
      <c r="F1793" s="14" t="s">
        <v>3823</v>
      </c>
      <c r="G1793" s="14" t="s">
        <v>12382</v>
      </c>
      <c r="H1793" s="15" t="s">
        <v>31</v>
      </c>
      <c r="I1793" s="15">
        <v>1.0</v>
      </c>
      <c r="J1793" s="15">
        <v>1.0</v>
      </c>
      <c r="K1793" s="15" t="s">
        <v>31</v>
      </c>
      <c r="L1793" s="16" t="s">
        <v>10641</v>
      </c>
      <c r="M1793" s="14" t="s">
        <v>31</v>
      </c>
      <c r="N1793" s="14" t="s">
        <v>243</v>
      </c>
      <c r="O1793" s="16" t="s">
        <v>244</v>
      </c>
      <c r="P1793" s="14" t="s">
        <v>10643</v>
      </c>
      <c r="Q1793" s="14" t="s">
        <v>10644</v>
      </c>
      <c r="R1793" s="14" t="s">
        <v>247</v>
      </c>
      <c r="S1793" s="16" t="s">
        <v>10645</v>
      </c>
      <c r="T1793" s="14" t="s">
        <v>249</v>
      </c>
      <c r="U1793" s="16" t="s">
        <v>31</v>
      </c>
      <c r="V1793" s="14" t="s">
        <v>12383</v>
      </c>
      <c r="W1793" s="14" t="s">
        <v>10624</v>
      </c>
      <c r="X1793" s="17" t="str">
        <f>HYPERLINK("https://my.pitchbook.com?p=113741-02P","View People Online")</f>
        <v>View People Online</v>
      </c>
    </row>
    <row r="1794">
      <c r="A1794" s="10" t="s">
        <v>12384</v>
      </c>
      <c r="B1794" s="10" t="s">
        <v>12385</v>
      </c>
      <c r="C1794" s="10" t="s">
        <v>12386</v>
      </c>
      <c r="D1794" s="10" t="s">
        <v>12387</v>
      </c>
      <c r="E1794" s="10" t="s">
        <v>10624</v>
      </c>
      <c r="F1794" s="10" t="s">
        <v>1283</v>
      </c>
      <c r="G1794" s="10" t="s">
        <v>12388</v>
      </c>
      <c r="H1794" s="11" t="s">
        <v>31</v>
      </c>
      <c r="I1794" s="11">
        <v>1.0</v>
      </c>
      <c r="J1794" s="11">
        <v>1.0</v>
      </c>
      <c r="K1794" s="11" t="s">
        <v>31</v>
      </c>
      <c r="L1794" s="12" t="s">
        <v>12389</v>
      </c>
      <c r="M1794" s="10" t="s">
        <v>12390</v>
      </c>
      <c r="N1794" s="10" t="s">
        <v>9865</v>
      </c>
      <c r="O1794" s="12" t="s">
        <v>9866</v>
      </c>
      <c r="P1794" s="10" t="s">
        <v>12391</v>
      </c>
      <c r="Q1794" s="10" t="s">
        <v>11360</v>
      </c>
      <c r="R1794" s="10" t="s">
        <v>31</v>
      </c>
      <c r="S1794" s="12" t="s">
        <v>12392</v>
      </c>
      <c r="T1794" s="10" t="s">
        <v>38</v>
      </c>
      <c r="U1794" s="12" t="s">
        <v>31</v>
      </c>
      <c r="V1794" s="10" t="s">
        <v>12393</v>
      </c>
      <c r="W1794" s="10" t="s">
        <v>10624</v>
      </c>
      <c r="X1794" s="13" t="str">
        <f>HYPERLINK("https://my.pitchbook.com?p=138865-06P","View People Online")</f>
        <v>View People Online</v>
      </c>
    </row>
    <row r="1795">
      <c r="A1795" s="6" t="s">
        <v>12394</v>
      </c>
      <c r="B1795" s="6" t="s">
        <v>12395</v>
      </c>
      <c r="C1795" s="6" t="s">
        <v>9639</v>
      </c>
      <c r="D1795" s="6" t="s">
        <v>12396</v>
      </c>
      <c r="E1795" s="6" t="s">
        <v>10624</v>
      </c>
      <c r="F1795" s="6" t="s">
        <v>825</v>
      </c>
      <c r="G1795" s="6" t="s">
        <v>12397</v>
      </c>
      <c r="H1795" s="7" t="s">
        <v>31</v>
      </c>
      <c r="I1795" s="7">
        <v>1.0</v>
      </c>
      <c r="J1795" s="7">
        <v>1.0</v>
      </c>
      <c r="K1795" s="7" t="s">
        <v>31</v>
      </c>
      <c r="L1795" s="8" t="s">
        <v>12389</v>
      </c>
      <c r="M1795" s="6" t="s">
        <v>12398</v>
      </c>
      <c r="N1795" s="6" t="s">
        <v>9865</v>
      </c>
      <c r="O1795" s="8" t="s">
        <v>9866</v>
      </c>
      <c r="P1795" s="6" t="s">
        <v>12391</v>
      </c>
      <c r="Q1795" s="6" t="s">
        <v>11360</v>
      </c>
      <c r="R1795" s="6" t="s">
        <v>31</v>
      </c>
      <c r="S1795" s="8" t="s">
        <v>12392</v>
      </c>
      <c r="T1795" s="6" t="s">
        <v>38</v>
      </c>
      <c r="U1795" s="8" t="s">
        <v>31</v>
      </c>
      <c r="V1795" s="6" t="s">
        <v>12399</v>
      </c>
      <c r="W1795" s="6" t="s">
        <v>10624</v>
      </c>
      <c r="X1795" s="9" t="str">
        <f>HYPERLINK("https://my.pitchbook.com?p=397814-95P","View People Online")</f>
        <v>View People Online</v>
      </c>
    </row>
    <row r="1796">
      <c r="A1796" s="2" t="s">
        <v>12400</v>
      </c>
      <c r="B1796" s="2" t="s">
        <v>12401</v>
      </c>
      <c r="C1796" s="2" t="s">
        <v>12402</v>
      </c>
      <c r="D1796" s="2" t="s">
        <v>12403</v>
      </c>
      <c r="E1796" s="2" t="s">
        <v>10624</v>
      </c>
      <c r="F1796" s="2" t="s">
        <v>2652</v>
      </c>
      <c r="G1796" s="2" t="s">
        <v>12404</v>
      </c>
      <c r="H1796" s="3" t="s">
        <v>31</v>
      </c>
      <c r="I1796" s="3">
        <v>3.0</v>
      </c>
      <c r="J1796" s="3">
        <v>1.0</v>
      </c>
      <c r="K1796" s="3">
        <v>1.0</v>
      </c>
      <c r="L1796" s="4" t="s">
        <v>10641</v>
      </c>
      <c r="M1796" s="2" t="s">
        <v>12405</v>
      </c>
      <c r="N1796" s="2" t="s">
        <v>243</v>
      </c>
      <c r="O1796" s="4" t="s">
        <v>244</v>
      </c>
      <c r="P1796" s="2" t="s">
        <v>10643</v>
      </c>
      <c r="Q1796" s="2" t="s">
        <v>10644</v>
      </c>
      <c r="R1796" s="2" t="s">
        <v>247</v>
      </c>
      <c r="S1796" s="4" t="s">
        <v>10645</v>
      </c>
      <c r="T1796" s="2" t="s">
        <v>249</v>
      </c>
      <c r="U1796" s="4" t="s">
        <v>31</v>
      </c>
      <c r="V1796" s="2" t="s">
        <v>12406</v>
      </c>
      <c r="W1796" s="2" t="s">
        <v>10624</v>
      </c>
      <c r="X1796" s="5" t="str">
        <f>HYPERLINK("https://my.pitchbook.com?p=81388-18P","View People Online")</f>
        <v>View People Online</v>
      </c>
    </row>
    <row r="1797">
      <c r="A1797" s="14" t="s">
        <v>12407</v>
      </c>
      <c r="B1797" s="14" t="s">
        <v>12408</v>
      </c>
      <c r="C1797" s="14" t="s">
        <v>9645</v>
      </c>
      <c r="D1797" s="14" t="s">
        <v>12409</v>
      </c>
      <c r="E1797" s="14" t="s">
        <v>10624</v>
      </c>
      <c r="F1797" s="14" t="s">
        <v>825</v>
      </c>
      <c r="G1797" s="14" t="s">
        <v>12410</v>
      </c>
      <c r="H1797" s="15" t="s">
        <v>31</v>
      </c>
      <c r="I1797" s="15">
        <v>1.0</v>
      </c>
      <c r="J1797" s="15">
        <v>1.0</v>
      </c>
      <c r="K1797" s="15" t="s">
        <v>31</v>
      </c>
      <c r="L1797" s="16" t="s">
        <v>12165</v>
      </c>
      <c r="M1797" s="14" t="s">
        <v>12411</v>
      </c>
      <c r="N1797" s="14" t="s">
        <v>332</v>
      </c>
      <c r="O1797" s="16" t="s">
        <v>10854</v>
      </c>
      <c r="P1797" s="14" t="s">
        <v>10855</v>
      </c>
      <c r="Q1797" s="14" t="s">
        <v>31</v>
      </c>
      <c r="R1797" s="14" t="s">
        <v>31</v>
      </c>
      <c r="S1797" s="16" t="s">
        <v>331</v>
      </c>
      <c r="T1797" s="14" t="s">
        <v>332</v>
      </c>
      <c r="U1797" s="16" t="s">
        <v>31</v>
      </c>
      <c r="V1797" s="14" t="s">
        <v>12412</v>
      </c>
      <c r="W1797" s="14" t="s">
        <v>10624</v>
      </c>
      <c r="X1797" s="17" t="str">
        <f>HYPERLINK("https://my.pitchbook.com?p=127030-60P","View People Online")</f>
        <v>View People Online</v>
      </c>
    </row>
    <row r="1798">
      <c r="A1798" s="2" t="s">
        <v>12413</v>
      </c>
      <c r="B1798" s="2" t="s">
        <v>12414</v>
      </c>
      <c r="C1798" s="2" t="s">
        <v>3722</v>
      </c>
      <c r="D1798" s="2" t="s">
        <v>200</v>
      </c>
      <c r="E1798" s="2" t="s">
        <v>10624</v>
      </c>
      <c r="F1798" s="2" t="s">
        <v>270</v>
      </c>
      <c r="G1798" s="2" t="s">
        <v>12415</v>
      </c>
      <c r="H1798" s="3" t="s">
        <v>31</v>
      </c>
      <c r="I1798" s="3">
        <v>1.0</v>
      </c>
      <c r="J1798" s="3">
        <v>1.0</v>
      </c>
      <c r="K1798" s="3" t="s">
        <v>31</v>
      </c>
      <c r="L1798" s="4" t="s">
        <v>10626</v>
      </c>
      <c r="M1798" s="2" t="s">
        <v>12416</v>
      </c>
      <c r="N1798" s="2" t="s">
        <v>75</v>
      </c>
      <c r="O1798" s="4" t="s">
        <v>76</v>
      </c>
      <c r="P1798" s="2" t="s">
        <v>10628</v>
      </c>
      <c r="Q1798" s="2" t="s">
        <v>31</v>
      </c>
      <c r="R1798" s="2" t="s">
        <v>75</v>
      </c>
      <c r="S1798" s="4" t="s">
        <v>195</v>
      </c>
      <c r="T1798" s="2" t="s">
        <v>66</v>
      </c>
      <c r="U1798" s="4" t="s">
        <v>31</v>
      </c>
      <c r="V1798" s="2" t="s">
        <v>12417</v>
      </c>
      <c r="W1798" s="2" t="s">
        <v>10624</v>
      </c>
      <c r="X1798" s="5" t="str">
        <f>HYPERLINK("https://my.pitchbook.com?p=261782-65P","View People Online")</f>
        <v>View People Online</v>
      </c>
    </row>
    <row r="1799">
      <c r="A1799" s="6" t="s">
        <v>12418</v>
      </c>
      <c r="B1799" s="6" t="s">
        <v>12419</v>
      </c>
      <c r="C1799" s="6" t="s">
        <v>12420</v>
      </c>
      <c r="D1799" s="6" t="s">
        <v>2505</v>
      </c>
      <c r="E1799" s="6" t="s">
        <v>10624</v>
      </c>
      <c r="F1799" s="6" t="s">
        <v>11160</v>
      </c>
      <c r="G1799" s="6" t="s">
        <v>12421</v>
      </c>
      <c r="H1799" s="7" t="s">
        <v>31</v>
      </c>
      <c r="I1799" s="7">
        <v>1.0</v>
      </c>
      <c r="J1799" s="7">
        <v>1.0</v>
      </c>
      <c r="K1799" s="7" t="s">
        <v>31</v>
      </c>
      <c r="L1799" s="8" t="s">
        <v>11234</v>
      </c>
      <c r="M1799" s="6" t="s">
        <v>12422</v>
      </c>
      <c r="N1799" s="6" t="s">
        <v>75</v>
      </c>
      <c r="O1799" s="8" t="s">
        <v>76</v>
      </c>
      <c r="P1799" s="6" t="s">
        <v>10628</v>
      </c>
      <c r="Q1799" s="6" t="s">
        <v>31</v>
      </c>
      <c r="R1799" s="6" t="s">
        <v>75</v>
      </c>
      <c r="S1799" s="8" t="s">
        <v>195</v>
      </c>
      <c r="T1799" s="6" t="s">
        <v>66</v>
      </c>
      <c r="U1799" s="8" t="s">
        <v>31</v>
      </c>
      <c r="V1799" s="6" t="s">
        <v>12423</v>
      </c>
      <c r="W1799" s="6" t="s">
        <v>10624</v>
      </c>
      <c r="X1799" s="9" t="str">
        <f>HYPERLINK("https://my.pitchbook.com?p=308675-89P","View People Online")</f>
        <v>View People Online</v>
      </c>
    </row>
    <row r="1800">
      <c r="A1800" s="2" t="s">
        <v>12424</v>
      </c>
      <c r="B1800" s="2" t="s">
        <v>12425</v>
      </c>
      <c r="C1800" s="2" t="s">
        <v>1683</v>
      </c>
      <c r="D1800" s="2" t="s">
        <v>8016</v>
      </c>
      <c r="E1800" s="2" t="s">
        <v>10624</v>
      </c>
      <c r="F1800" s="2" t="s">
        <v>825</v>
      </c>
      <c r="G1800" s="2" t="s">
        <v>12426</v>
      </c>
      <c r="H1800" s="3" t="s">
        <v>31</v>
      </c>
      <c r="I1800" s="3">
        <v>1.0</v>
      </c>
      <c r="J1800" s="3">
        <v>1.0</v>
      </c>
      <c r="K1800" s="3" t="s">
        <v>31</v>
      </c>
      <c r="L1800" s="4" t="s">
        <v>10844</v>
      </c>
      <c r="M1800" s="2" t="s">
        <v>12427</v>
      </c>
      <c r="N1800" s="2" t="s">
        <v>3603</v>
      </c>
      <c r="O1800" s="4" t="s">
        <v>3604</v>
      </c>
      <c r="P1800" s="2" t="s">
        <v>10846</v>
      </c>
      <c r="Q1800" s="2" t="s">
        <v>10847</v>
      </c>
      <c r="R1800" s="2" t="s">
        <v>31</v>
      </c>
      <c r="S1800" s="4" t="s">
        <v>31</v>
      </c>
      <c r="T1800" s="2" t="s">
        <v>3603</v>
      </c>
      <c r="U1800" s="4" t="s">
        <v>31</v>
      </c>
      <c r="V1800" s="2" t="s">
        <v>12428</v>
      </c>
      <c r="W1800" s="2" t="s">
        <v>10624</v>
      </c>
      <c r="X1800" s="5" t="str">
        <f>HYPERLINK("https://my.pitchbook.com?p=380871-28P","View People Online")</f>
        <v>View People Online</v>
      </c>
    </row>
    <row r="1801">
      <c r="A1801" s="14" t="s">
        <v>12429</v>
      </c>
      <c r="B1801" s="14" t="s">
        <v>12430</v>
      </c>
      <c r="C1801" s="14" t="s">
        <v>12431</v>
      </c>
      <c r="D1801" s="14" t="s">
        <v>12432</v>
      </c>
      <c r="E1801" s="14" t="s">
        <v>10624</v>
      </c>
      <c r="F1801" s="14" t="s">
        <v>4931</v>
      </c>
      <c r="G1801" s="14" t="s">
        <v>12433</v>
      </c>
      <c r="H1801" s="15" t="s">
        <v>31</v>
      </c>
      <c r="I1801" s="15">
        <v>1.0</v>
      </c>
      <c r="J1801" s="15">
        <v>1.0</v>
      </c>
      <c r="K1801" s="15" t="s">
        <v>31</v>
      </c>
      <c r="L1801" s="16" t="s">
        <v>10827</v>
      </c>
      <c r="M1801" s="14" t="s">
        <v>12434</v>
      </c>
      <c r="N1801" s="14" t="s">
        <v>429</v>
      </c>
      <c r="O1801" s="16" t="s">
        <v>430</v>
      </c>
      <c r="P1801" s="14" t="s">
        <v>10829</v>
      </c>
      <c r="Q1801" s="14" t="s">
        <v>10830</v>
      </c>
      <c r="R1801" s="14" t="s">
        <v>31</v>
      </c>
      <c r="S1801" s="16" t="s">
        <v>10831</v>
      </c>
      <c r="T1801" s="14" t="s">
        <v>433</v>
      </c>
      <c r="U1801" s="16" t="s">
        <v>31</v>
      </c>
      <c r="V1801" s="14" t="s">
        <v>12435</v>
      </c>
      <c r="W1801" s="14" t="s">
        <v>10624</v>
      </c>
      <c r="X1801" s="17" t="str">
        <f>HYPERLINK("https://my.pitchbook.com?p=363963-70P","View People Online")</f>
        <v>View People Online</v>
      </c>
    </row>
    <row r="1802">
      <c r="A1802" s="2" t="s">
        <v>12436</v>
      </c>
      <c r="B1802" s="2" t="s">
        <v>12437</v>
      </c>
      <c r="C1802" s="2" t="s">
        <v>12438</v>
      </c>
      <c r="D1802" s="2" t="s">
        <v>12439</v>
      </c>
      <c r="E1802" s="2" t="s">
        <v>10624</v>
      </c>
      <c r="F1802" s="2" t="s">
        <v>825</v>
      </c>
      <c r="G1802" s="2" t="s">
        <v>12440</v>
      </c>
      <c r="H1802" s="3" t="s">
        <v>31</v>
      </c>
      <c r="I1802" s="3">
        <v>1.0</v>
      </c>
      <c r="J1802" s="3">
        <v>1.0</v>
      </c>
      <c r="K1802" s="3" t="s">
        <v>31</v>
      </c>
      <c r="L1802" s="4" t="s">
        <v>10827</v>
      </c>
      <c r="M1802" s="2" t="s">
        <v>12441</v>
      </c>
      <c r="N1802" s="2" t="s">
        <v>429</v>
      </c>
      <c r="O1802" s="4" t="s">
        <v>430</v>
      </c>
      <c r="P1802" s="2" t="s">
        <v>10829</v>
      </c>
      <c r="Q1802" s="2" t="s">
        <v>10830</v>
      </c>
      <c r="R1802" s="2" t="s">
        <v>31</v>
      </c>
      <c r="S1802" s="4" t="s">
        <v>10831</v>
      </c>
      <c r="T1802" s="2" t="s">
        <v>433</v>
      </c>
      <c r="U1802" s="4" t="s">
        <v>31</v>
      </c>
      <c r="V1802" s="2" t="s">
        <v>12442</v>
      </c>
      <c r="W1802" s="2" t="s">
        <v>10624</v>
      </c>
      <c r="X1802" s="5" t="str">
        <f>HYPERLINK("https://my.pitchbook.com?p=16820-74P","View People Online")</f>
        <v>View People Online</v>
      </c>
    </row>
    <row r="1803">
      <c r="A1803" s="6" t="s">
        <v>12443</v>
      </c>
      <c r="B1803" s="6" t="s">
        <v>12444</v>
      </c>
      <c r="C1803" s="6" t="s">
        <v>12438</v>
      </c>
      <c r="D1803" s="6" t="s">
        <v>12445</v>
      </c>
      <c r="E1803" s="6" t="s">
        <v>10624</v>
      </c>
      <c r="F1803" s="6" t="s">
        <v>8581</v>
      </c>
      <c r="G1803" s="6" t="s">
        <v>12446</v>
      </c>
      <c r="H1803" s="7" t="s">
        <v>31</v>
      </c>
      <c r="I1803" s="7">
        <v>1.0</v>
      </c>
      <c r="J1803" s="7">
        <v>1.0</v>
      </c>
      <c r="K1803" s="7" t="s">
        <v>31</v>
      </c>
      <c r="L1803" s="8" t="s">
        <v>10641</v>
      </c>
      <c r="M1803" s="6" t="s">
        <v>12447</v>
      </c>
      <c r="N1803" s="6" t="s">
        <v>243</v>
      </c>
      <c r="O1803" s="8" t="s">
        <v>244</v>
      </c>
      <c r="P1803" s="6" t="s">
        <v>10643</v>
      </c>
      <c r="Q1803" s="6" t="s">
        <v>10644</v>
      </c>
      <c r="R1803" s="6" t="s">
        <v>247</v>
      </c>
      <c r="S1803" s="8" t="s">
        <v>10645</v>
      </c>
      <c r="T1803" s="6" t="s">
        <v>249</v>
      </c>
      <c r="U1803" s="8" t="s">
        <v>31</v>
      </c>
      <c r="V1803" s="6" t="s">
        <v>12448</v>
      </c>
      <c r="W1803" s="6" t="s">
        <v>10624</v>
      </c>
      <c r="X1803" s="9" t="str">
        <f>HYPERLINK("https://my.pitchbook.com?p=156961-90P","View People Online")</f>
        <v>View People Online</v>
      </c>
    </row>
    <row r="1804">
      <c r="A1804" s="2" t="s">
        <v>12449</v>
      </c>
      <c r="B1804" s="2" t="s">
        <v>12450</v>
      </c>
      <c r="C1804" s="2" t="s">
        <v>12451</v>
      </c>
      <c r="D1804" s="2" t="s">
        <v>12452</v>
      </c>
      <c r="E1804" s="2" t="s">
        <v>10624</v>
      </c>
      <c r="F1804" s="2" t="s">
        <v>371</v>
      </c>
      <c r="G1804" s="2" t="s">
        <v>12453</v>
      </c>
      <c r="H1804" s="3" t="s">
        <v>31</v>
      </c>
      <c r="I1804" s="3">
        <v>1.0</v>
      </c>
      <c r="J1804" s="3">
        <v>1.0</v>
      </c>
      <c r="K1804" s="3" t="s">
        <v>31</v>
      </c>
      <c r="L1804" s="4" t="s">
        <v>10626</v>
      </c>
      <c r="M1804" s="2" t="s">
        <v>12454</v>
      </c>
      <c r="N1804" s="2" t="s">
        <v>75</v>
      </c>
      <c r="O1804" s="4" t="s">
        <v>76</v>
      </c>
      <c r="P1804" s="2" t="s">
        <v>10628</v>
      </c>
      <c r="Q1804" s="2" t="s">
        <v>31</v>
      </c>
      <c r="R1804" s="2" t="s">
        <v>75</v>
      </c>
      <c r="S1804" s="4" t="s">
        <v>195</v>
      </c>
      <c r="T1804" s="2" t="s">
        <v>66</v>
      </c>
      <c r="U1804" s="4" t="s">
        <v>31</v>
      </c>
      <c r="V1804" s="2" t="s">
        <v>371</v>
      </c>
      <c r="W1804" s="2" t="s">
        <v>10624</v>
      </c>
      <c r="X1804" s="5" t="str">
        <f>HYPERLINK("https://my.pitchbook.com?p=395645-86P","View People Online")</f>
        <v>View People Online</v>
      </c>
    </row>
    <row r="1805">
      <c r="A1805" s="14" t="s">
        <v>12455</v>
      </c>
      <c r="B1805" s="14" t="s">
        <v>12456</v>
      </c>
      <c r="C1805" s="14" t="s">
        <v>12457</v>
      </c>
      <c r="D1805" s="14" t="s">
        <v>12458</v>
      </c>
      <c r="E1805" s="14" t="s">
        <v>10624</v>
      </c>
      <c r="F1805" s="14" t="s">
        <v>1283</v>
      </c>
      <c r="G1805" s="14" t="s">
        <v>12459</v>
      </c>
      <c r="H1805" s="15" t="s">
        <v>31</v>
      </c>
      <c r="I1805" s="15">
        <v>2.0</v>
      </c>
      <c r="J1805" s="15">
        <v>1.0</v>
      </c>
      <c r="K1805" s="15" t="s">
        <v>31</v>
      </c>
      <c r="L1805" s="16" t="s">
        <v>10626</v>
      </c>
      <c r="M1805" s="14" t="s">
        <v>12460</v>
      </c>
      <c r="N1805" s="14" t="s">
        <v>75</v>
      </c>
      <c r="O1805" s="16" t="s">
        <v>76</v>
      </c>
      <c r="P1805" s="14" t="s">
        <v>10628</v>
      </c>
      <c r="Q1805" s="14" t="s">
        <v>31</v>
      </c>
      <c r="R1805" s="14" t="s">
        <v>75</v>
      </c>
      <c r="S1805" s="16" t="s">
        <v>195</v>
      </c>
      <c r="T1805" s="14" t="s">
        <v>66</v>
      </c>
      <c r="U1805" s="16" t="s">
        <v>31</v>
      </c>
      <c r="V1805" s="14" t="s">
        <v>1283</v>
      </c>
      <c r="W1805" s="14" t="s">
        <v>10624</v>
      </c>
      <c r="X1805" s="17" t="str">
        <f>HYPERLINK("https://my.pitchbook.com?p=191944-63P","View People Online")</f>
        <v>View People Online</v>
      </c>
    </row>
    <row r="1806">
      <c r="A1806" s="2" t="s">
        <v>12461</v>
      </c>
      <c r="B1806" s="2" t="s">
        <v>12462</v>
      </c>
      <c r="C1806" s="2" t="s">
        <v>12463</v>
      </c>
      <c r="D1806" s="2" t="s">
        <v>12464</v>
      </c>
      <c r="E1806" s="2" t="s">
        <v>10624</v>
      </c>
      <c r="F1806" s="2" t="s">
        <v>371</v>
      </c>
      <c r="G1806" s="2" t="s">
        <v>12465</v>
      </c>
      <c r="H1806" s="3" t="s">
        <v>31</v>
      </c>
      <c r="I1806" s="3">
        <v>1.0</v>
      </c>
      <c r="J1806" s="3">
        <v>1.0</v>
      </c>
      <c r="K1806" s="3" t="s">
        <v>31</v>
      </c>
      <c r="L1806" s="4" t="s">
        <v>10827</v>
      </c>
      <c r="M1806" s="2" t="s">
        <v>12466</v>
      </c>
      <c r="N1806" s="2" t="s">
        <v>429</v>
      </c>
      <c r="O1806" s="4" t="s">
        <v>430</v>
      </c>
      <c r="P1806" s="2" t="s">
        <v>10829</v>
      </c>
      <c r="Q1806" s="2" t="s">
        <v>10830</v>
      </c>
      <c r="R1806" s="2" t="s">
        <v>31</v>
      </c>
      <c r="S1806" s="4" t="s">
        <v>10831</v>
      </c>
      <c r="T1806" s="2" t="s">
        <v>433</v>
      </c>
      <c r="U1806" s="4" t="s">
        <v>31</v>
      </c>
      <c r="V1806" s="2" t="s">
        <v>12467</v>
      </c>
      <c r="W1806" s="2" t="s">
        <v>10624</v>
      </c>
      <c r="X1806" s="5" t="str">
        <f>HYPERLINK("https://my.pitchbook.com?p=412188-67P","View People Online")</f>
        <v>View People Online</v>
      </c>
    </row>
    <row r="1807">
      <c r="A1807" s="6" t="s">
        <v>12468</v>
      </c>
      <c r="B1807" s="6" t="s">
        <v>12469</v>
      </c>
      <c r="C1807" s="6" t="s">
        <v>562</v>
      </c>
      <c r="D1807" s="6" t="s">
        <v>12470</v>
      </c>
      <c r="E1807" s="6" t="s">
        <v>10624</v>
      </c>
      <c r="F1807" s="6" t="s">
        <v>7305</v>
      </c>
      <c r="G1807" s="6" t="s">
        <v>12471</v>
      </c>
      <c r="H1807" s="7" t="s">
        <v>31</v>
      </c>
      <c r="I1807" s="7">
        <v>5.0</v>
      </c>
      <c r="J1807" s="7">
        <v>1.0</v>
      </c>
      <c r="K1807" s="7">
        <v>4.0</v>
      </c>
      <c r="L1807" s="8" t="s">
        <v>10641</v>
      </c>
      <c r="M1807" s="6" t="s">
        <v>31</v>
      </c>
      <c r="N1807" s="6" t="s">
        <v>243</v>
      </c>
      <c r="O1807" s="8" t="s">
        <v>244</v>
      </c>
      <c r="P1807" s="6" t="s">
        <v>10643</v>
      </c>
      <c r="Q1807" s="6" t="s">
        <v>10644</v>
      </c>
      <c r="R1807" s="6" t="s">
        <v>247</v>
      </c>
      <c r="S1807" s="8" t="s">
        <v>10645</v>
      </c>
      <c r="T1807" s="6" t="s">
        <v>249</v>
      </c>
      <c r="U1807" s="8" t="s">
        <v>31</v>
      </c>
      <c r="V1807" s="6" t="s">
        <v>12472</v>
      </c>
      <c r="W1807" s="6" t="s">
        <v>10624</v>
      </c>
      <c r="X1807" s="9" t="str">
        <f>HYPERLINK("https://my.pitchbook.com?p=94358-35P","View People Online")</f>
        <v>View People Online</v>
      </c>
    </row>
    <row r="1808">
      <c r="A1808" s="2" t="s">
        <v>12473</v>
      </c>
      <c r="B1808" s="2" t="s">
        <v>12474</v>
      </c>
      <c r="C1808" s="2" t="s">
        <v>12475</v>
      </c>
      <c r="D1808" s="2" t="s">
        <v>12476</v>
      </c>
      <c r="E1808" s="2" t="s">
        <v>10624</v>
      </c>
      <c r="F1808" s="2" t="s">
        <v>2652</v>
      </c>
      <c r="G1808" s="2" t="s">
        <v>12477</v>
      </c>
      <c r="H1808" s="3" t="s">
        <v>31</v>
      </c>
      <c r="I1808" s="3">
        <v>1.0</v>
      </c>
      <c r="J1808" s="3">
        <v>1.0</v>
      </c>
      <c r="K1808" s="3" t="s">
        <v>31</v>
      </c>
      <c r="L1808" s="4" t="s">
        <v>12478</v>
      </c>
      <c r="M1808" s="2" t="s">
        <v>12479</v>
      </c>
      <c r="N1808" s="2" t="s">
        <v>2764</v>
      </c>
      <c r="O1808" s="4" t="s">
        <v>2765</v>
      </c>
      <c r="P1808" s="2" t="s">
        <v>12480</v>
      </c>
      <c r="Q1808" s="2" t="s">
        <v>31</v>
      </c>
      <c r="R1808" s="2" t="s">
        <v>31</v>
      </c>
      <c r="S1808" s="4" t="s">
        <v>12481</v>
      </c>
      <c r="T1808" s="2" t="s">
        <v>2768</v>
      </c>
      <c r="U1808" s="4" t="s">
        <v>31</v>
      </c>
      <c r="V1808" s="2" t="s">
        <v>12482</v>
      </c>
      <c r="W1808" s="2" t="s">
        <v>10624</v>
      </c>
      <c r="X1808" s="5" t="str">
        <f>HYPERLINK("https://my.pitchbook.com?p=285656-86P","View People Online")</f>
        <v>View People Online</v>
      </c>
    </row>
    <row r="1809">
      <c r="A1809" s="14" t="s">
        <v>12483</v>
      </c>
      <c r="B1809" s="14" t="s">
        <v>12484</v>
      </c>
      <c r="C1809" s="14" t="s">
        <v>2483</v>
      </c>
      <c r="D1809" s="14" t="s">
        <v>12485</v>
      </c>
      <c r="E1809" s="14" t="s">
        <v>10624</v>
      </c>
      <c r="F1809" s="14" t="s">
        <v>548</v>
      </c>
      <c r="G1809" s="14" t="s">
        <v>12486</v>
      </c>
      <c r="H1809" s="15" t="s">
        <v>31</v>
      </c>
      <c r="I1809" s="15">
        <v>2.0</v>
      </c>
      <c r="J1809" s="15">
        <v>1.0</v>
      </c>
      <c r="K1809" s="15">
        <v>1.0</v>
      </c>
      <c r="L1809" s="16" t="s">
        <v>10626</v>
      </c>
      <c r="M1809" s="14" t="s">
        <v>12487</v>
      </c>
      <c r="N1809" s="14" t="s">
        <v>75</v>
      </c>
      <c r="O1809" s="16" t="s">
        <v>76</v>
      </c>
      <c r="P1809" s="14" t="s">
        <v>10628</v>
      </c>
      <c r="Q1809" s="14" t="s">
        <v>31</v>
      </c>
      <c r="R1809" s="14" t="s">
        <v>75</v>
      </c>
      <c r="S1809" s="16" t="s">
        <v>195</v>
      </c>
      <c r="T1809" s="14" t="s">
        <v>66</v>
      </c>
      <c r="U1809" s="16" t="s">
        <v>31</v>
      </c>
      <c r="V1809" s="14" t="s">
        <v>548</v>
      </c>
      <c r="W1809" s="14" t="s">
        <v>10624</v>
      </c>
      <c r="X1809" s="17" t="str">
        <f>HYPERLINK("https://my.pitchbook.com?p=431804-71P","View People Online")</f>
        <v>View People Online</v>
      </c>
    </row>
    <row r="1810">
      <c r="A1810" s="2" t="s">
        <v>12488</v>
      </c>
      <c r="B1810" s="2" t="s">
        <v>12489</v>
      </c>
      <c r="C1810" s="2" t="s">
        <v>12490</v>
      </c>
      <c r="D1810" s="2" t="s">
        <v>12491</v>
      </c>
      <c r="E1810" s="2" t="s">
        <v>10624</v>
      </c>
      <c r="F1810" s="2" t="s">
        <v>825</v>
      </c>
      <c r="G1810" s="2" t="s">
        <v>12492</v>
      </c>
      <c r="H1810" s="3" t="s">
        <v>31</v>
      </c>
      <c r="I1810" s="3">
        <v>2.0</v>
      </c>
      <c r="J1810" s="3">
        <v>1.0</v>
      </c>
      <c r="K1810" s="3">
        <v>1.0</v>
      </c>
      <c r="L1810" s="4" t="s">
        <v>10626</v>
      </c>
      <c r="M1810" s="2" t="s">
        <v>12493</v>
      </c>
      <c r="N1810" s="2" t="s">
        <v>75</v>
      </c>
      <c r="O1810" s="4" t="s">
        <v>76</v>
      </c>
      <c r="P1810" s="2" t="s">
        <v>10628</v>
      </c>
      <c r="Q1810" s="2" t="s">
        <v>31</v>
      </c>
      <c r="R1810" s="2" t="s">
        <v>75</v>
      </c>
      <c r="S1810" s="4" t="s">
        <v>195</v>
      </c>
      <c r="T1810" s="2" t="s">
        <v>66</v>
      </c>
      <c r="U1810" s="4" t="s">
        <v>31</v>
      </c>
      <c r="V1810" s="2" t="s">
        <v>12494</v>
      </c>
      <c r="W1810" s="2" t="s">
        <v>10624</v>
      </c>
      <c r="X1810" s="5" t="str">
        <f>HYPERLINK("https://my.pitchbook.com?p=369559-36P","View People Online")</f>
        <v>View People Online</v>
      </c>
    </row>
    <row r="1811">
      <c r="A1811" s="6" t="s">
        <v>12495</v>
      </c>
      <c r="B1811" s="6" t="s">
        <v>12496</v>
      </c>
      <c r="C1811" s="6" t="s">
        <v>1072</v>
      </c>
      <c r="D1811" s="6" t="s">
        <v>2469</v>
      </c>
      <c r="E1811" s="6" t="s">
        <v>10624</v>
      </c>
      <c r="F1811" s="6" t="s">
        <v>2652</v>
      </c>
      <c r="G1811" s="6" t="s">
        <v>12497</v>
      </c>
      <c r="H1811" s="7" t="s">
        <v>31</v>
      </c>
      <c r="I1811" s="7">
        <v>4.0</v>
      </c>
      <c r="J1811" s="7">
        <v>1.0</v>
      </c>
      <c r="K1811" s="7">
        <v>3.0</v>
      </c>
      <c r="L1811" s="8" t="s">
        <v>10626</v>
      </c>
      <c r="M1811" s="6" t="s">
        <v>12498</v>
      </c>
      <c r="N1811" s="6" t="s">
        <v>75</v>
      </c>
      <c r="O1811" s="8" t="s">
        <v>76</v>
      </c>
      <c r="P1811" s="6" t="s">
        <v>10628</v>
      </c>
      <c r="Q1811" s="6" t="s">
        <v>31</v>
      </c>
      <c r="R1811" s="6" t="s">
        <v>75</v>
      </c>
      <c r="S1811" s="8" t="s">
        <v>195</v>
      </c>
      <c r="T1811" s="6" t="s">
        <v>66</v>
      </c>
      <c r="U1811" s="8" t="s">
        <v>31</v>
      </c>
      <c r="V1811" s="6" t="s">
        <v>12499</v>
      </c>
      <c r="W1811" s="6" t="s">
        <v>10624</v>
      </c>
      <c r="X1811" s="9" t="str">
        <f>HYPERLINK("https://my.pitchbook.com?p=270353-26P","View People Online")</f>
        <v>View People Online</v>
      </c>
    </row>
    <row r="1812">
      <c r="A1812" s="10" t="s">
        <v>12500</v>
      </c>
      <c r="B1812" s="10" t="s">
        <v>12501</v>
      </c>
      <c r="C1812" s="10" t="s">
        <v>12502</v>
      </c>
      <c r="D1812" s="10" t="s">
        <v>12503</v>
      </c>
      <c r="E1812" s="10" t="s">
        <v>10624</v>
      </c>
      <c r="F1812" s="10" t="s">
        <v>2652</v>
      </c>
      <c r="G1812" s="10" t="s">
        <v>12504</v>
      </c>
      <c r="H1812" s="11" t="s">
        <v>31</v>
      </c>
      <c r="I1812" s="11">
        <v>3.0</v>
      </c>
      <c r="J1812" s="11">
        <v>1.0</v>
      </c>
      <c r="K1812" s="11">
        <v>1.0</v>
      </c>
      <c r="L1812" s="12" t="s">
        <v>11144</v>
      </c>
      <c r="M1812" s="10" t="s">
        <v>12505</v>
      </c>
      <c r="N1812" s="10" t="s">
        <v>1034</v>
      </c>
      <c r="O1812" s="12" t="s">
        <v>1035</v>
      </c>
      <c r="P1812" s="10" t="s">
        <v>11146</v>
      </c>
      <c r="Q1812" s="10" t="s">
        <v>11147</v>
      </c>
      <c r="R1812" s="10" t="s">
        <v>31</v>
      </c>
      <c r="S1812" s="12" t="s">
        <v>11148</v>
      </c>
      <c r="T1812" s="10" t="s">
        <v>1034</v>
      </c>
      <c r="U1812" s="12" t="s">
        <v>31</v>
      </c>
      <c r="V1812" s="10" t="s">
        <v>12506</v>
      </c>
      <c r="W1812" s="10" t="s">
        <v>10624</v>
      </c>
      <c r="X1812" s="13" t="str">
        <f>HYPERLINK("https://my.pitchbook.com?p=269051-86P","View People Online")</f>
        <v>View People Online</v>
      </c>
    </row>
    <row r="1813">
      <c r="A1813" s="14" t="s">
        <v>12507</v>
      </c>
      <c r="B1813" s="14" t="s">
        <v>12508</v>
      </c>
      <c r="C1813" s="14" t="s">
        <v>12509</v>
      </c>
      <c r="D1813" s="14" t="s">
        <v>12510</v>
      </c>
      <c r="E1813" s="14" t="s">
        <v>10624</v>
      </c>
      <c r="F1813" s="14" t="s">
        <v>825</v>
      </c>
      <c r="G1813" s="14" t="s">
        <v>12511</v>
      </c>
      <c r="H1813" s="15" t="s">
        <v>31</v>
      </c>
      <c r="I1813" s="15">
        <v>2.0</v>
      </c>
      <c r="J1813" s="15">
        <v>1.0</v>
      </c>
      <c r="K1813" s="15">
        <v>1.0</v>
      </c>
      <c r="L1813" s="16" t="s">
        <v>10641</v>
      </c>
      <c r="M1813" s="14" t="s">
        <v>12512</v>
      </c>
      <c r="N1813" s="14" t="s">
        <v>243</v>
      </c>
      <c r="O1813" s="16" t="s">
        <v>244</v>
      </c>
      <c r="P1813" s="14" t="s">
        <v>10643</v>
      </c>
      <c r="Q1813" s="14" t="s">
        <v>10644</v>
      </c>
      <c r="R1813" s="14" t="s">
        <v>247</v>
      </c>
      <c r="S1813" s="16" t="s">
        <v>10645</v>
      </c>
      <c r="T1813" s="14" t="s">
        <v>249</v>
      </c>
      <c r="U1813" s="16" t="s">
        <v>31</v>
      </c>
      <c r="V1813" s="14" t="s">
        <v>12513</v>
      </c>
      <c r="W1813" s="14" t="s">
        <v>10624</v>
      </c>
      <c r="X1813" s="17" t="str">
        <f>HYPERLINK("https://my.pitchbook.com?p=186173-92P","View People Online")</f>
        <v>View People Online</v>
      </c>
    </row>
    <row r="1814">
      <c r="A1814" s="10" t="s">
        <v>12514</v>
      </c>
      <c r="B1814" s="10" t="s">
        <v>12515</v>
      </c>
      <c r="C1814" s="10" t="s">
        <v>3728</v>
      </c>
      <c r="D1814" s="10" t="s">
        <v>9782</v>
      </c>
      <c r="E1814" s="10" t="s">
        <v>10624</v>
      </c>
      <c r="F1814" s="10" t="s">
        <v>1801</v>
      </c>
      <c r="G1814" s="10" t="s">
        <v>12516</v>
      </c>
      <c r="H1814" s="11" t="s">
        <v>31</v>
      </c>
      <c r="I1814" s="11">
        <v>1.0</v>
      </c>
      <c r="J1814" s="11">
        <v>1.0</v>
      </c>
      <c r="K1814" s="11" t="s">
        <v>31</v>
      </c>
      <c r="L1814" s="12" t="s">
        <v>12165</v>
      </c>
      <c r="M1814" s="10" t="s">
        <v>12517</v>
      </c>
      <c r="N1814" s="10" t="s">
        <v>332</v>
      </c>
      <c r="O1814" s="12" t="s">
        <v>10854</v>
      </c>
      <c r="P1814" s="10" t="s">
        <v>10855</v>
      </c>
      <c r="Q1814" s="10" t="s">
        <v>31</v>
      </c>
      <c r="R1814" s="10" t="s">
        <v>31</v>
      </c>
      <c r="S1814" s="12" t="s">
        <v>331</v>
      </c>
      <c r="T1814" s="10" t="s">
        <v>332</v>
      </c>
      <c r="U1814" s="12" t="s">
        <v>31</v>
      </c>
      <c r="V1814" s="10" t="s">
        <v>12518</v>
      </c>
      <c r="W1814" s="10" t="s">
        <v>10624</v>
      </c>
      <c r="X1814" s="13" t="str">
        <f>HYPERLINK("https://my.pitchbook.com?p=445667-50P","View People Online")</f>
        <v>View People Online</v>
      </c>
    </row>
    <row r="1815">
      <c r="A1815" s="6" t="s">
        <v>12519</v>
      </c>
      <c r="B1815" s="6" t="s">
        <v>12520</v>
      </c>
      <c r="C1815" s="6" t="s">
        <v>7262</v>
      </c>
      <c r="D1815" s="6" t="s">
        <v>8003</v>
      </c>
      <c r="E1815" s="6" t="s">
        <v>10624</v>
      </c>
      <c r="F1815" s="6" t="s">
        <v>548</v>
      </c>
      <c r="G1815" s="6" t="s">
        <v>12521</v>
      </c>
      <c r="H1815" s="7" t="s">
        <v>31</v>
      </c>
      <c r="I1815" s="7">
        <v>1.0</v>
      </c>
      <c r="J1815" s="7">
        <v>1.0</v>
      </c>
      <c r="K1815" s="7" t="s">
        <v>31</v>
      </c>
      <c r="L1815" s="8" t="s">
        <v>10626</v>
      </c>
      <c r="M1815" s="6" t="s">
        <v>12522</v>
      </c>
      <c r="N1815" s="6" t="s">
        <v>75</v>
      </c>
      <c r="O1815" s="8" t="s">
        <v>76</v>
      </c>
      <c r="P1815" s="6" t="s">
        <v>10628</v>
      </c>
      <c r="Q1815" s="6" t="s">
        <v>31</v>
      </c>
      <c r="R1815" s="6" t="s">
        <v>75</v>
      </c>
      <c r="S1815" s="8" t="s">
        <v>195</v>
      </c>
      <c r="T1815" s="6" t="s">
        <v>66</v>
      </c>
      <c r="U1815" s="8" t="s">
        <v>31</v>
      </c>
      <c r="V1815" s="6" t="s">
        <v>12523</v>
      </c>
      <c r="W1815" s="6" t="s">
        <v>10624</v>
      </c>
      <c r="X1815" s="9" t="str">
        <f>HYPERLINK("https://my.pitchbook.com?p=412203-52P","View People Online")</f>
        <v>View People Online</v>
      </c>
    </row>
    <row r="1816">
      <c r="A1816" s="10" t="s">
        <v>12524</v>
      </c>
      <c r="B1816" s="10" t="s">
        <v>12525</v>
      </c>
      <c r="C1816" s="10" t="s">
        <v>12526</v>
      </c>
      <c r="D1816" s="10" t="s">
        <v>12527</v>
      </c>
      <c r="E1816" s="10" t="s">
        <v>10624</v>
      </c>
      <c r="F1816" s="10" t="s">
        <v>221</v>
      </c>
      <c r="G1816" s="10" t="s">
        <v>12528</v>
      </c>
      <c r="H1816" s="11" t="s">
        <v>31</v>
      </c>
      <c r="I1816" s="11">
        <v>1.0</v>
      </c>
      <c r="J1816" s="11">
        <v>1.0</v>
      </c>
      <c r="K1816" s="11" t="s">
        <v>31</v>
      </c>
      <c r="L1816" s="12" t="s">
        <v>10626</v>
      </c>
      <c r="M1816" s="10" t="s">
        <v>12529</v>
      </c>
      <c r="N1816" s="10" t="s">
        <v>75</v>
      </c>
      <c r="O1816" s="12" t="s">
        <v>76</v>
      </c>
      <c r="P1816" s="10" t="s">
        <v>10628</v>
      </c>
      <c r="Q1816" s="10" t="s">
        <v>31</v>
      </c>
      <c r="R1816" s="10" t="s">
        <v>75</v>
      </c>
      <c r="S1816" s="12" t="s">
        <v>195</v>
      </c>
      <c r="T1816" s="10" t="s">
        <v>66</v>
      </c>
      <c r="U1816" s="12" t="s">
        <v>31</v>
      </c>
      <c r="V1816" s="10" t="s">
        <v>221</v>
      </c>
      <c r="W1816" s="10" t="s">
        <v>10624</v>
      </c>
      <c r="X1816" s="13" t="str">
        <f>HYPERLINK("https://my.pitchbook.com?p=366232-33P","View People Online")</f>
        <v>View People Online</v>
      </c>
    </row>
    <row r="1817">
      <c r="A1817" s="14" t="s">
        <v>12530</v>
      </c>
      <c r="B1817" s="14" t="s">
        <v>12531</v>
      </c>
      <c r="C1817" s="14" t="s">
        <v>1697</v>
      </c>
      <c r="D1817" s="14" t="s">
        <v>2155</v>
      </c>
      <c r="E1817" s="14" t="s">
        <v>10624</v>
      </c>
      <c r="F1817" s="14" t="s">
        <v>270</v>
      </c>
      <c r="G1817" s="14" t="s">
        <v>12532</v>
      </c>
      <c r="H1817" s="15" t="s">
        <v>31</v>
      </c>
      <c r="I1817" s="15">
        <v>1.0</v>
      </c>
      <c r="J1817" s="15">
        <v>1.0</v>
      </c>
      <c r="K1817" s="15" t="s">
        <v>31</v>
      </c>
      <c r="L1817" s="16" t="s">
        <v>10626</v>
      </c>
      <c r="M1817" s="14" t="s">
        <v>12533</v>
      </c>
      <c r="N1817" s="14" t="s">
        <v>75</v>
      </c>
      <c r="O1817" s="16" t="s">
        <v>76</v>
      </c>
      <c r="P1817" s="14" t="s">
        <v>10628</v>
      </c>
      <c r="Q1817" s="14" t="s">
        <v>31</v>
      </c>
      <c r="R1817" s="14" t="s">
        <v>75</v>
      </c>
      <c r="S1817" s="16" t="s">
        <v>195</v>
      </c>
      <c r="T1817" s="14" t="s">
        <v>66</v>
      </c>
      <c r="U1817" s="16" t="s">
        <v>31</v>
      </c>
      <c r="V1817" s="14" t="s">
        <v>12534</v>
      </c>
      <c r="W1817" s="14" t="s">
        <v>10624</v>
      </c>
      <c r="X1817" s="17" t="str">
        <f>HYPERLINK("https://my.pitchbook.com?p=412203-70P","View People Online")</f>
        <v>View People Online</v>
      </c>
    </row>
    <row r="1818">
      <c r="A1818" s="10" t="s">
        <v>12535</v>
      </c>
      <c r="B1818" s="10" t="s">
        <v>12536</v>
      </c>
      <c r="C1818" s="10" t="s">
        <v>1697</v>
      </c>
      <c r="D1818" s="10" t="s">
        <v>12537</v>
      </c>
      <c r="E1818" s="10" t="s">
        <v>10624</v>
      </c>
      <c r="F1818" s="10" t="s">
        <v>10023</v>
      </c>
      <c r="G1818" s="10" t="s">
        <v>12538</v>
      </c>
      <c r="H1818" s="11" t="s">
        <v>31</v>
      </c>
      <c r="I1818" s="11">
        <v>1.0</v>
      </c>
      <c r="J1818" s="11">
        <v>1.0</v>
      </c>
      <c r="K1818" s="11" t="s">
        <v>31</v>
      </c>
      <c r="L1818" s="12" t="s">
        <v>11627</v>
      </c>
      <c r="M1818" s="10" t="s">
        <v>12539</v>
      </c>
      <c r="N1818" s="10" t="s">
        <v>75</v>
      </c>
      <c r="O1818" s="12" t="s">
        <v>76</v>
      </c>
      <c r="P1818" s="10" t="s">
        <v>10628</v>
      </c>
      <c r="Q1818" s="10" t="s">
        <v>31</v>
      </c>
      <c r="R1818" s="10" t="s">
        <v>75</v>
      </c>
      <c r="S1818" s="12" t="s">
        <v>195</v>
      </c>
      <c r="T1818" s="10" t="s">
        <v>66</v>
      </c>
      <c r="U1818" s="12" t="s">
        <v>31</v>
      </c>
      <c r="V1818" s="10" t="s">
        <v>12540</v>
      </c>
      <c r="W1818" s="10" t="s">
        <v>10624</v>
      </c>
      <c r="X1818" s="13" t="str">
        <f>HYPERLINK("https://my.pitchbook.com?p=198869-86P","View People Online")</f>
        <v>View People Online</v>
      </c>
    </row>
    <row r="1819">
      <c r="A1819" s="14" t="s">
        <v>12541</v>
      </c>
      <c r="B1819" s="14" t="s">
        <v>12542</v>
      </c>
      <c r="C1819" s="14" t="s">
        <v>3744</v>
      </c>
      <c r="D1819" s="14" t="s">
        <v>673</v>
      </c>
      <c r="E1819" s="14" t="s">
        <v>10624</v>
      </c>
      <c r="F1819" s="14" t="s">
        <v>1241</v>
      </c>
      <c r="G1819" s="14" t="s">
        <v>12543</v>
      </c>
      <c r="H1819" s="15">
        <v>1.0</v>
      </c>
      <c r="I1819" s="15">
        <v>1.0</v>
      </c>
      <c r="J1819" s="15">
        <v>1.0</v>
      </c>
      <c r="K1819" s="15" t="s">
        <v>31</v>
      </c>
      <c r="L1819" s="16" t="s">
        <v>10844</v>
      </c>
      <c r="M1819" s="14" t="s">
        <v>12544</v>
      </c>
      <c r="N1819" s="14" t="s">
        <v>3603</v>
      </c>
      <c r="O1819" s="16" t="s">
        <v>3604</v>
      </c>
      <c r="P1819" s="14" t="s">
        <v>10846</v>
      </c>
      <c r="Q1819" s="14" t="s">
        <v>10847</v>
      </c>
      <c r="R1819" s="14" t="s">
        <v>31</v>
      </c>
      <c r="S1819" s="16" t="s">
        <v>31</v>
      </c>
      <c r="T1819" s="14" t="s">
        <v>3603</v>
      </c>
      <c r="U1819" s="16" t="s">
        <v>31</v>
      </c>
      <c r="V1819" s="14" t="s">
        <v>12545</v>
      </c>
      <c r="W1819" s="14" t="s">
        <v>10624</v>
      </c>
      <c r="X1819" s="17" t="str">
        <f>HYPERLINK("https://my.pitchbook.com?p=41942-08P","View People Online")</f>
        <v>View People Online</v>
      </c>
    </row>
    <row r="1820">
      <c r="A1820" s="10" t="s">
        <v>12546</v>
      </c>
      <c r="B1820" s="10" t="s">
        <v>12547</v>
      </c>
      <c r="C1820" s="10" t="s">
        <v>12548</v>
      </c>
      <c r="D1820" s="10" t="s">
        <v>12549</v>
      </c>
      <c r="E1820" s="10" t="s">
        <v>10624</v>
      </c>
      <c r="F1820" s="10" t="s">
        <v>10762</v>
      </c>
      <c r="G1820" s="10" t="s">
        <v>12550</v>
      </c>
      <c r="H1820" s="11" t="s">
        <v>31</v>
      </c>
      <c r="I1820" s="11">
        <v>6.0</v>
      </c>
      <c r="J1820" s="11">
        <v>1.0</v>
      </c>
      <c r="K1820" s="11">
        <v>3.0</v>
      </c>
      <c r="L1820" s="12" t="s">
        <v>10626</v>
      </c>
      <c r="M1820" s="10" t="s">
        <v>12551</v>
      </c>
      <c r="N1820" s="10" t="s">
        <v>75</v>
      </c>
      <c r="O1820" s="12" t="s">
        <v>76</v>
      </c>
      <c r="P1820" s="10" t="s">
        <v>10628</v>
      </c>
      <c r="Q1820" s="10" t="s">
        <v>31</v>
      </c>
      <c r="R1820" s="10" t="s">
        <v>75</v>
      </c>
      <c r="S1820" s="12" t="s">
        <v>195</v>
      </c>
      <c r="T1820" s="10" t="s">
        <v>66</v>
      </c>
      <c r="U1820" s="12" t="s">
        <v>31</v>
      </c>
      <c r="V1820" s="10" t="s">
        <v>12552</v>
      </c>
      <c r="W1820" s="10" t="s">
        <v>10624</v>
      </c>
      <c r="X1820" s="13" t="str">
        <f>HYPERLINK("https://my.pitchbook.com?p=42988-60P","View People Online")</f>
        <v>View People Online</v>
      </c>
    </row>
    <row r="1821">
      <c r="A1821" s="14" t="s">
        <v>12553</v>
      </c>
      <c r="B1821" s="14" t="s">
        <v>12554</v>
      </c>
      <c r="C1821" s="14" t="s">
        <v>2040</v>
      </c>
      <c r="D1821" s="14" t="s">
        <v>12555</v>
      </c>
      <c r="E1821" s="14" t="s">
        <v>12556</v>
      </c>
      <c r="F1821" s="14" t="s">
        <v>674</v>
      </c>
      <c r="G1821" s="14" t="s">
        <v>12557</v>
      </c>
      <c r="H1821" s="15" t="s">
        <v>31</v>
      </c>
      <c r="I1821" s="15">
        <v>1.0</v>
      </c>
      <c r="J1821" s="15">
        <v>1.0</v>
      </c>
      <c r="K1821" s="15" t="s">
        <v>31</v>
      </c>
      <c r="L1821" s="16" t="s">
        <v>12558</v>
      </c>
      <c r="M1821" s="14" t="s">
        <v>12559</v>
      </c>
      <c r="N1821" s="14" t="s">
        <v>1181</v>
      </c>
      <c r="O1821" s="16" t="s">
        <v>1182</v>
      </c>
      <c r="P1821" s="14" t="s">
        <v>12560</v>
      </c>
      <c r="Q1821" s="14" t="s">
        <v>12561</v>
      </c>
      <c r="R1821" s="14" t="s">
        <v>1185</v>
      </c>
      <c r="S1821" s="16" t="s">
        <v>1186</v>
      </c>
      <c r="T1821" s="14" t="s">
        <v>66</v>
      </c>
      <c r="U1821" s="16" t="s">
        <v>31</v>
      </c>
      <c r="V1821" s="14" t="s">
        <v>674</v>
      </c>
      <c r="W1821" s="14" t="s">
        <v>12556</v>
      </c>
      <c r="X1821" s="17" t="str">
        <f>HYPERLINK("https://my.pitchbook.com?p=151916-14P","View People Online")</f>
        <v>View People Online</v>
      </c>
    </row>
    <row r="1822">
      <c r="A1822" s="2" t="s">
        <v>12562</v>
      </c>
      <c r="B1822" s="2" t="s">
        <v>12563</v>
      </c>
      <c r="C1822" s="2" t="s">
        <v>863</v>
      </c>
      <c r="D1822" s="2" t="s">
        <v>12564</v>
      </c>
      <c r="E1822" s="2" t="s">
        <v>12556</v>
      </c>
      <c r="F1822" s="2" t="s">
        <v>3288</v>
      </c>
      <c r="G1822" s="2" t="s">
        <v>12565</v>
      </c>
      <c r="H1822" s="3" t="s">
        <v>31</v>
      </c>
      <c r="I1822" s="3">
        <v>1.0</v>
      </c>
      <c r="J1822" s="3">
        <v>1.0</v>
      </c>
      <c r="K1822" s="3" t="s">
        <v>31</v>
      </c>
      <c r="L1822" s="4" t="s">
        <v>12558</v>
      </c>
      <c r="M1822" s="2" t="s">
        <v>12566</v>
      </c>
      <c r="N1822" s="2" t="s">
        <v>1181</v>
      </c>
      <c r="O1822" s="4" t="s">
        <v>1182</v>
      </c>
      <c r="P1822" s="2" t="s">
        <v>12560</v>
      </c>
      <c r="Q1822" s="2" t="s">
        <v>12561</v>
      </c>
      <c r="R1822" s="2" t="s">
        <v>1185</v>
      </c>
      <c r="S1822" s="4" t="s">
        <v>1186</v>
      </c>
      <c r="T1822" s="2" t="s">
        <v>66</v>
      </c>
      <c r="U1822" s="4" t="s">
        <v>31</v>
      </c>
      <c r="V1822" s="2" t="s">
        <v>12567</v>
      </c>
      <c r="W1822" s="2" t="s">
        <v>12556</v>
      </c>
      <c r="X1822" s="5" t="str">
        <f>HYPERLINK("https://my.pitchbook.com?p=321605-20P","View People Online")</f>
        <v>View People Online</v>
      </c>
    </row>
    <row r="1823">
      <c r="A1823" s="6" t="s">
        <v>12568</v>
      </c>
      <c r="B1823" s="6" t="s">
        <v>12569</v>
      </c>
      <c r="C1823" s="6" t="s">
        <v>186</v>
      </c>
      <c r="D1823" s="6" t="s">
        <v>12570</v>
      </c>
      <c r="E1823" s="6" t="s">
        <v>12571</v>
      </c>
      <c r="F1823" s="6" t="s">
        <v>81</v>
      </c>
      <c r="G1823" s="6" t="s">
        <v>12572</v>
      </c>
      <c r="H1823" s="7">
        <v>4.0</v>
      </c>
      <c r="I1823" s="7">
        <v>34.0</v>
      </c>
      <c r="J1823" s="7">
        <v>1.0</v>
      </c>
      <c r="K1823" s="7">
        <v>17.0</v>
      </c>
      <c r="L1823" s="8" t="s">
        <v>11909</v>
      </c>
      <c r="M1823" s="6" t="s">
        <v>12573</v>
      </c>
      <c r="N1823" s="6" t="s">
        <v>3958</v>
      </c>
      <c r="O1823" s="8" t="s">
        <v>3959</v>
      </c>
      <c r="P1823" s="6" t="s">
        <v>12574</v>
      </c>
      <c r="Q1823" s="6" t="s">
        <v>2839</v>
      </c>
      <c r="R1823" s="6" t="s">
        <v>3960</v>
      </c>
      <c r="S1823" s="8" t="s">
        <v>12575</v>
      </c>
      <c r="T1823" s="6" t="s">
        <v>66</v>
      </c>
      <c r="U1823" s="8" t="s">
        <v>12576</v>
      </c>
      <c r="V1823" s="6" t="s">
        <v>12577</v>
      </c>
      <c r="W1823" s="6" t="s">
        <v>12578</v>
      </c>
      <c r="X1823" s="9" t="str">
        <f>HYPERLINK("https://my.pitchbook.com?p=11553-04P","View People Online")</f>
        <v>View People Online</v>
      </c>
    </row>
    <row r="1824">
      <c r="A1824" s="2" t="s">
        <v>12579</v>
      </c>
      <c r="B1824" s="2" t="s">
        <v>12580</v>
      </c>
      <c r="C1824" s="2" t="s">
        <v>12581</v>
      </c>
      <c r="D1824" s="2" t="s">
        <v>12582</v>
      </c>
      <c r="E1824" s="2" t="s">
        <v>12571</v>
      </c>
      <c r="F1824" s="2" t="s">
        <v>29</v>
      </c>
      <c r="G1824" s="2" t="s">
        <v>12583</v>
      </c>
      <c r="H1824" s="3">
        <v>3.0</v>
      </c>
      <c r="I1824" s="3">
        <v>15.0</v>
      </c>
      <c r="J1824" s="3">
        <v>1.0</v>
      </c>
      <c r="K1824" s="3">
        <v>7.0</v>
      </c>
      <c r="L1824" s="4" t="s">
        <v>12584</v>
      </c>
      <c r="M1824" s="2" t="s">
        <v>12585</v>
      </c>
      <c r="N1824" s="2" t="s">
        <v>6030</v>
      </c>
      <c r="O1824" s="4" t="s">
        <v>12586</v>
      </c>
      <c r="P1824" s="2" t="s">
        <v>12587</v>
      </c>
      <c r="Q1824" s="2" t="s">
        <v>7124</v>
      </c>
      <c r="R1824" s="2" t="s">
        <v>12588</v>
      </c>
      <c r="S1824" s="4" t="s">
        <v>12589</v>
      </c>
      <c r="T1824" s="2" t="s">
        <v>66</v>
      </c>
      <c r="U1824" s="4" t="s">
        <v>31</v>
      </c>
      <c r="V1824" s="2" t="s">
        <v>29</v>
      </c>
      <c r="W1824" s="2" t="s">
        <v>12571</v>
      </c>
      <c r="X1824" s="5" t="str">
        <f>HYPERLINK("https://my.pitchbook.com?p=149991-40P","View People Online")</f>
        <v>View People Online</v>
      </c>
    </row>
    <row r="1825">
      <c r="A1825" s="14" t="s">
        <v>12590</v>
      </c>
      <c r="B1825" s="14" t="s">
        <v>12591</v>
      </c>
      <c r="C1825" s="14" t="s">
        <v>10200</v>
      </c>
      <c r="D1825" s="14" t="s">
        <v>12592</v>
      </c>
      <c r="E1825" s="14" t="s">
        <v>12571</v>
      </c>
      <c r="F1825" s="14" t="s">
        <v>81</v>
      </c>
      <c r="G1825" s="14" t="s">
        <v>12593</v>
      </c>
      <c r="H1825" s="15">
        <v>7.0</v>
      </c>
      <c r="I1825" s="15">
        <v>20.0</v>
      </c>
      <c r="J1825" s="15">
        <v>2.0</v>
      </c>
      <c r="K1825" s="15">
        <v>8.0</v>
      </c>
      <c r="L1825" s="16" t="s">
        <v>12594</v>
      </c>
      <c r="M1825" s="14" t="s">
        <v>31</v>
      </c>
      <c r="N1825" s="14" t="s">
        <v>243</v>
      </c>
      <c r="O1825" s="16" t="s">
        <v>244</v>
      </c>
      <c r="P1825" s="14" t="s">
        <v>12595</v>
      </c>
      <c r="Q1825" s="14" t="s">
        <v>31</v>
      </c>
      <c r="R1825" s="14" t="s">
        <v>247</v>
      </c>
      <c r="S1825" s="16" t="s">
        <v>12596</v>
      </c>
      <c r="T1825" s="14" t="s">
        <v>249</v>
      </c>
      <c r="U1825" s="16" t="s">
        <v>12597</v>
      </c>
      <c r="V1825" s="14" t="s">
        <v>2379</v>
      </c>
      <c r="W1825" s="14" t="s">
        <v>12598</v>
      </c>
      <c r="X1825" s="17" t="str">
        <f>HYPERLINK("https://my.pitchbook.com?p=12022-48P","View People Online")</f>
        <v>View People Online</v>
      </c>
    </row>
    <row r="1826">
      <c r="A1826" s="10" t="s">
        <v>12599</v>
      </c>
      <c r="B1826" s="10" t="s">
        <v>12600</v>
      </c>
      <c r="C1826" s="10" t="s">
        <v>12601</v>
      </c>
      <c r="D1826" s="10" t="s">
        <v>12602</v>
      </c>
      <c r="E1826" s="10" t="s">
        <v>12571</v>
      </c>
      <c r="F1826" s="10" t="s">
        <v>189</v>
      </c>
      <c r="G1826" s="10" t="s">
        <v>12603</v>
      </c>
      <c r="H1826" s="11">
        <v>6.0</v>
      </c>
      <c r="I1826" s="11">
        <v>28.0</v>
      </c>
      <c r="J1826" s="11">
        <v>1.0</v>
      </c>
      <c r="K1826" s="11">
        <v>18.0</v>
      </c>
      <c r="L1826" s="12" t="s">
        <v>12584</v>
      </c>
      <c r="M1826" s="10" t="s">
        <v>12604</v>
      </c>
      <c r="N1826" s="10" t="s">
        <v>6030</v>
      </c>
      <c r="O1826" s="12" t="s">
        <v>12586</v>
      </c>
      <c r="P1826" s="10" t="s">
        <v>12587</v>
      </c>
      <c r="Q1826" s="10" t="s">
        <v>7124</v>
      </c>
      <c r="R1826" s="10" t="s">
        <v>12588</v>
      </c>
      <c r="S1826" s="12" t="s">
        <v>12589</v>
      </c>
      <c r="T1826" s="10" t="s">
        <v>66</v>
      </c>
      <c r="U1826" s="12" t="s">
        <v>31</v>
      </c>
      <c r="V1826" s="10" t="s">
        <v>196</v>
      </c>
      <c r="W1826" s="10" t="s">
        <v>12571</v>
      </c>
      <c r="X1826" s="13" t="str">
        <f>HYPERLINK("https://my.pitchbook.com?p=33129-64P","View People Online")</f>
        <v>View People Online</v>
      </c>
    </row>
    <row r="1827">
      <c r="A1827" s="14" t="s">
        <v>12605</v>
      </c>
      <c r="B1827" s="14" t="s">
        <v>12606</v>
      </c>
      <c r="C1827" s="14" t="s">
        <v>1482</v>
      </c>
      <c r="D1827" s="14" t="s">
        <v>12607</v>
      </c>
      <c r="E1827" s="14" t="s">
        <v>12571</v>
      </c>
      <c r="F1827" s="14" t="s">
        <v>12608</v>
      </c>
      <c r="G1827" s="14" t="s">
        <v>12609</v>
      </c>
      <c r="H1827" s="15">
        <v>1.0</v>
      </c>
      <c r="I1827" s="15">
        <v>6.0</v>
      </c>
      <c r="J1827" s="15">
        <v>1.0</v>
      </c>
      <c r="K1827" s="15">
        <v>3.0</v>
      </c>
      <c r="L1827" s="16" t="s">
        <v>12584</v>
      </c>
      <c r="M1827" s="14" t="s">
        <v>12610</v>
      </c>
      <c r="N1827" s="14" t="s">
        <v>6030</v>
      </c>
      <c r="O1827" s="16" t="s">
        <v>12586</v>
      </c>
      <c r="P1827" s="14" t="s">
        <v>12587</v>
      </c>
      <c r="Q1827" s="14" t="s">
        <v>7124</v>
      </c>
      <c r="R1827" s="14" t="s">
        <v>12588</v>
      </c>
      <c r="S1827" s="16" t="s">
        <v>12589</v>
      </c>
      <c r="T1827" s="14" t="s">
        <v>66</v>
      </c>
      <c r="U1827" s="16" t="s">
        <v>31</v>
      </c>
      <c r="V1827" s="14" t="s">
        <v>12611</v>
      </c>
      <c r="W1827" s="14" t="s">
        <v>12571</v>
      </c>
      <c r="X1827" s="17" t="str">
        <f>HYPERLINK("https://my.pitchbook.com?p=237590-56P","View People Online")</f>
        <v>View People Online</v>
      </c>
    </row>
    <row r="1828">
      <c r="A1828" s="2" t="s">
        <v>12612</v>
      </c>
      <c r="B1828" s="2" t="s">
        <v>12613</v>
      </c>
      <c r="C1828" s="2" t="s">
        <v>12614</v>
      </c>
      <c r="D1828" s="2" t="s">
        <v>12615</v>
      </c>
      <c r="E1828" s="2" t="s">
        <v>12571</v>
      </c>
      <c r="F1828" s="2" t="s">
        <v>12616</v>
      </c>
      <c r="G1828" s="2" t="s">
        <v>12617</v>
      </c>
      <c r="H1828" s="3" t="s">
        <v>31</v>
      </c>
      <c r="I1828" s="3">
        <v>1.0</v>
      </c>
      <c r="J1828" s="3">
        <v>1.0</v>
      </c>
      <c r="K1828" s="3" t="s">
        <v>31</v>
      </c>
      <c r="L1828" s="4" t="s">
        <v>12618</v>
      </c>
      <c r="M1828" s="2" t="s">
        <v>12619</v>
      </c>
      <c r="N1828" s="2" t="s">
        <v>1170</v>
      </c>
      <c r="O1828" s="4" t="s">
        <v>1171</v>
      </c>
      <c r="P1828" s="2" t="s">
        <v>12620</v>
      </c>
      <c r="Q1828" s="2" t="s">
        <v>989</v>
      </c>
      <c r="R1828" s="2" t="s">
        <v>64</v>
      </c>
      <c r="S1828" s="4" t="s">
        <v>12621</v>
      </c>
      <c r="T1828" s="2" t="s">
        <v>66</v>
      </c>
      <c r="U1828" s="4" t="s">
        <v>31</v>
      </c>
      <c r="V1828" s="2" t="s">
        <v>440</v>
      </c>
      <c r="W1828" s="2" t="s">
        <v>12571</v>
      </c>
      <c r="X1828" s="5" t="str">
        <f>HYPERLINK("https://my.pitchbook.com?p=316926-64P","View People Online")</f>
        <v>View People Online</v>
      </c>
    </row>
    <row r="1829">
      <c r="A1829" s="6" t="s">
        <v>12622</v>
      </c>
      <c r="B1829" s="6" t="s">
        <v>12623</v>
      </c>
      <c r="C1829" s="6" t="s">
        <v>12624</v>
      </c>
      <c r="D1829" s="6" t="s">
        <v>12625</v>
      </c>
      <c r="E1829" s="6" t="s">
        <v>12571</v>
      </c>
      <c r="F1829" s="6" t="s">
        <v>81</v>
      </c>
      <c r="G1829" s="6" t="s">
        <v>12626</v>
      </c>
      <c r="H1829" s="7" t="s">
        <v>31</v>
      </c>
      <c r="I1829" s="7">
        <v>1.0</v>
      </c>
      <c r="J1829" s="7" t="s">
        <v>31</v>
      </c>
      <c r="K1829" s="7" t="s">
        <v>31</v>
      </c>
      <c r="L1829" s="8" t="s">
        <v>12584</v>
      </c>
      <c r="M1829" s="6" t="s">
        <v>31</v>
      </c>
      <c r="N1829" s="6" t="s">
        <v>6030</v>
      </c>
      <c r="O1829" s="8" t="s">
        <v>12586</v>
      </c>
      <c r="P1829" s="6" t="s">
        <v>12587</v>
      </c>
      <c r="Q1829" s="6" t="s">
        <v>7124</v>
      </c>
      <c r="R1829" s="6" t="s">
        <v>12588</v>
      </c>
      <c r="S1829" s="8" t="s">
        <v>12589</v>
      </c>
      <c r="T1829" s="6" t="s">
        <v>66</v>
      </c>
      <c r="U1829" s="8" t="s">
        <v>31</v>
      </c>
      <c r="V1829" s="6" t="s">
        <v>81</v>
      </c>
      <c r="W1829" s="6" t="s">
        <v>12571</v>
      </c>
      <c r="X1829" s="9" t="str">
        <f>HYPERLINK("https://my.pitchbook.com?p=160755-13P","View People Online")</f>
        <v>View People Online</v>
      </c>
    </row>
    <row r="1830">
      <c r="A1830" s="2" t="s">
        <v>12627</v>
      </c>
      <c r="B1830" s="2" t="s">
        <v>12628</v>
      </c>
      <c r="C1830" s="2" t="s">
        <v>26</v>
      </c>
      <c r="D1830" s="2" t="s">
        <v>9391</v>
      </c>
      <c r="E1830" s="2" t="s">
        <v>12571</v>
      </c>
      <c r="F1830" s="2" t="s">
        <v>201</v>
      </c>
      <c r="G1830" s="2" t="s">
        <v>12629</v>
      </c>
      <c r="H1830" s="3" t="s">
        <v>31</v>
      </c>
      <c r="I1830" s="3">
        <v>1.0</v>
      </c>
      <c r="J1830" s="3">
        <v>1.0</v>
      </c>
      <c r="K1830" s="3" t="s">
        <v>31</v>
      </c>
      <c r="L1830" s="4" t="s">
        <v>12630</v>
      </c>
      <c r="M1830" s="2" t="s">
        <v>12631</v>
      </c>
      <c r="N1830" s="2" t="s">
        <v>1170</v>
      </c>
      <c r="O1830" s="4" t="s">
        <v>1171</v>
      </c>
      <c r="P1830" s="2" t="s">
        <v>12620</v>
      </c>
      <c r="Q1830" s="2" t="s">
        <v>989</v>
      </c>
      <c r="R1830" s="2" t="s">
        <v>64</v>
      </c>
      <c r="S1830" s="4" t="s">
        <v>12621</v>
      </c>
      <c r="T1830" s="2" t="s">
        <v>66</v>
      </c>
      <c r="U1830" s="4" t="s">
        <v>31</v>
      </c>
      <c r="V1830" s="2" t="s">
        <v>12632</v>
      </c>
      <c r="W1830" s="2" t="s">
        <v>12571</v>
      </c>
      <c r="X1830" s="5" t="str">
        <f>HYPERLINK("https://my.pitchbook.com?p=316927-90P","View People Online")</f>
        <v>View People Online</v>
      </c>
    </row>
    <row r="1831">
      <c r="A1831" s="6" t="s">
        <v>12633</v>
      </c>
      <c r="B1831" s="6" t="s">
        <v>12634</v>
      </c>
      <c r="C1831" s="6" t="s">
        <v>2992</v>
      </c>
      <c r="D1831" s="6" t="s">
        <v>12635</v>
      </c>
      <c r="E1831" s="6" t="s">
        <v>12571</v>
      </c>
      <c r="F1831" s="6" t="s">
        <v>81</v>
      </c>
      <c r="G1831" s="6" t="s">
        <v>12636</v>
      </c>
      <c r="H1831" s="7">
        <v>6.0</v>
      </c>
      <c r="I1831" s="7">
        <v>18.0</v>
      </c>
      <c r="J1831" s="7">
        <v>1.0</v>
      </c>
      <c r="K1831" s="7">
        <v>8.0</v>
      </c>
      <c r="L1831" s="8" t="s">
        <v>31</v>
      </c>
      <c r="M1831" s="6" t="s">
        <v>12637</v>
      </c>
      <c r="N1831" s="6" t="s">
        <v>12638</v>
      </c>
      <c r="O1831" s="8" t="s">
        <v>12639</v>
      </c>
      <c r="P1831" s="6" t="s">
        <v>12640</v>
      </c>
      <c r="Q1831" s="6" t="s">
        <v>31</v>
      </c>
      <c r="R1831" s="6" t="s">
        <v>12588</v>
      </c>
      <c r="S1831" s="8" t="s">
        <v>12641</v>
      </c>
      <c r="T1831" s="6" t="s">
        <v>66</v>
      </c>
      <c r="U1831" s="8" t="s">
        <v>31</v>
      </c>
      <c r="V1831" s="6" t="s">
        <v>57</v>
      </c>
      <c r="W1831" s="6" t="s">
        <v>12642</v>
      </c>
      <c r="X1831" s="9" t="str">
        <f>HYPERLINK("https://my.pitchbook.com?p=36577-00P","View People Online")</f>
        <v>View People Online</v>
      </c>
    </row>
    <row r="1832">
      <c r="A1832" s="10" t="s">
        <v>12643</v>
      </c>
      <c r="B1832" s="10" t="s">
        <v>12644</v>
      </c>
      <c r="C1832" s="10" t="s">
        <v>1645</v>
      </c>
      <c r="D1832" s="10" t="s">
        <v>12645</v>
      </c>
      <c r="E1832" s="10" t="s">
        <v>12571</v>
      </c>
      <c r="F1832" s="10" t="s">
        <v>114</v>
      </c>
      <c r="G1832" s="10" t="s">
        <v>12646</v>
      </c>
      <c r="H1832" s="11" t="s">
        <v>31</v>
      </c>
      <c r="I1832" s="11">
        <v>22.0</v>
      </c>
      <c r="J1832" s="11">
        <v>2.0</v>
      </c>
      <c r="K1832" s="11">
        <v>17.0</v>
      </c>
      <c r="L1832" s="12" t="s">
        <v>31</v>
      </c>
      <c r="M1832" s="10" t="s">
        <v>12647</v>
      </c>
      <c r="N1832" s="10" t="s">
        <v>12648</v>
      </c>
      <c r="O1832" s="12" t="s">
        <v>12649</v>
      </c>
      <c r="P1832" s="10" t="s">
        <v>12650</v>
      </c>
      <c r="Q1832" s="10" t="s">
        <v>12651</v>
      </c>
      <c r="R1832" s="10" t="s">
        <v>31</v>
      </c>
      <c r="S1832" s="12" t="s">
        <v>12652</v>
      </c>
      <c r="T1832" s="10" t="s">
        <v>12653</v>
      </c>
      <c r="U1832" s="12" t="s">
        <v>31</v>
      </c>
      <c r="V1832" s="10" t="s">
        <v>43</v>
      </c>
      <c r="W1832" s="10" t="s">
        <v>12654</v>
      </c>
      <c r="X1832" s="13" t="str">
        <f>HYPERLINK("https://my.pitchbook.com?p=71958-97P","View People Online")</f>
        <v>View People Online</v>
      </c>
    </row>
    <row r="1833">
      <c r="A1833" s="14" t="s">
        <v>12655</v>
      </c>
      <c r="B1833" s="14" t="s">
        <v>12656</v>
      </c>
      <c r="C1833" s="14" t="s">
        <v>12657</v>
      </c>
      <c r="D1833" s="14" t="s">
        <v>12658</v>
      </c>
      <c r="E1833" s="14" t="s">
        <v>12571</v>
      </c>
      <c r="F1833" s="14" t="s">
        <v>29</v>
      </c>
      <c r="G1833" s="14" t="s">
        <v>12659</v>
      </c>
      <c r="H1833" s="15" t="s">
        <v>31</v>
      </c>
      <c r="I1833" s="15">
        <v>3.0</v>
      </c>
      <c r="J1833" s="15">
        <v>3.0</v>
      </c>
      <c r="K1833" s="15" t="s">
        <v>31</v>
      </c>
      <c r="L1833" s="16" t="s">
        <v>12660</v>
      </c>
      <c r="M1833" s="14" t="s">
        <v>12661</v>
      </c>
      <c r="N1833" s="14" t="s">
        <v>155</v>
      </c>
      <c r="O1833" s="16" t="s">
        <v>156</v>
      </c>
      <c r="P1833" s="14" t="s">
        <v>12662</v>
      </c>
      <c r="Q1833" s="14" t="s">
        <v>12663</v>
      </c>
      <c r="R1833" s="14" t="s">
        <v>64</v>
      </c>
      <c r="S1833" s="16" t="s">
        <v>1549</v>
      </c>
      <c r="T1833" s="14" t="s">
        <v>66</v>
      </c>
      <c r="U1833" s="16" t="s">
        <v>31</v>
      </c>
      <c r="V1833" s="14" t="s">
        <v>157</v>
      </c>
      <c r="W1833" s="14" t="s">
        <v>12664</v>
      </c>
      <c r="X1833" s="17" t="str">
        <f>HYPERLINK("https://my.pitchbook.com?p=182183-86P","View People Online")</f>
        <v>View People Online</v>
      </c>
    </row>
    <row r="1834">
      <c r="A1834" s="10" t="s">
        <v>12665</v>
      </c>
      <c r="B1834" s="10" t="s">
        <v>12666</v>
      </c>
      <c r="C1834" s="10" t="s">
        <v>12667</v>
      </c>
      <c r="D1834" s="10" t="s">
        <v>12668</v>
      </c>
      <c r="E1834" s="10" t="s">
        <v>12571</v>
      </c>
      <c r="F1834" s="10" t="s">
        <v>81</v>
      </c>
      <c r="G1834" s="10" t="s">
        <v>12669</v>
      </c>
      <c r="H1834" s="11">
        <v>3.0</v>
      </c>
      <c r="I1834" s="11">
        <v>9.0</v>
      </c>
      <c r="J1834" s="11">
        <v>1.0</v>
      </c>
      <c r="K1834" s="11">
        <v>3.0</v>
      </c>
      <c r="L1834" s="12" t="s">
        <v>12670</v>
      </c>
      <c r="M1834" s="10" t="s">
        <v>12671</v>
      </c>
      <c r="N1834" s="10" t="s">
        <v>1416</v>
      </c>
      <c r="O1834" s="12" t="s">
        <v>1417</v>
      </c>
      <c r="P1834" s="10" t="s">
        <v>12672</v>
      </c>
      <c r="Q1834" s="10" t="s">
        <v>12673</v>
      </c>
      <c r="R1834" s="10" t="s">
        <v>1420</v>
      </c>
      <c r="S1834" s="12" t="s">
        <v>12674</v>
      </c>
      <c r="T1834" s="10" t="s">
        <v>66</v>
      </c>
      <c r="U1834" s="12" t="s">
        <v>31</v>
      </c>
      <c r="V1834" s="10" t="s">
        <v>12675</v>
      </c>
      <c r="W1834" s="10" t="s">
        <v>12676</v>
      </c>
      <c r="X1834" s="13" t="str">
        <f>HYPERLINK("https://my.pitchbook.com?p=12747-88P","View People Online")</f>
        <v>View People Online</v>
      </c>
    </row>
    <row r="1835">
      <c r="A1835" s="6" t="s">
        <v>12677</v>
      </c>
      <c r="B1835" s="6" t="s">
        <v>12678</v>
      </c>
      <c r="C1835" s="6" t="s">
        <v>536</v>
      </c>
      <c r="D1835" s="6" t="s">
        <v>12679</v>
      </c>
      <c r="E1835" s="6" t="s">
        <v>12571</v>
      </c>
      <c r="F1835" s="6" t="s">
        <v>3966</v>
      </c>
      <c r="G1835" s="6" t="s">
        <v>12680</v>
      </c>
      <c r="H1835" s="7">
        <v>1.0</v>
      </c>
      <c r="I1835" s="7">
        <v>2.0</v>
      </c>
      <c r="J1835" s="7">
        <v>1.0</v>
      </c>
      <c r="K1835" s="7" t="s">
        <v>31</v>
      </c>
      <c r="L1835" s="8" t="s">
        <v>12584</v>
      </c>
      <c r="M1835" s="6" t="s">
        <v>12681</v>
      </c>
      <c r="N1835" s="6" t="s">
        <v>6030</v>
      </c>
      <c r="O1835" s="8" t="s">
        <v>12586</v>
      </c>
      <c r="P1835" s="6" t="s">
        <v>12587</v>
      </c>
      <c r="Q1835" s="6" t="s">
        <v>7124</v>
      </c>
      <c r="R1835" s="6" t="s">
        <v>12588</v>
      </c>
      <c r="S1835" s="8" t="s">
        <v>12589</v>
      </c>
      <c r="T1835" s="6" t="s">
        <v>66</v>
      </c>
      <c r="U1835" s="8" t="s">
        <v>31</v>
      </c>
      <c r="V1835" s="6" t="s">
        <v>3969</v>
      </c>
      <c r="W1835" s="6" t="s">
        <v>12571</v>
      </c>
      <c r="X1835" s="9" t="str">
        <f>HYPERLINK("https://my.pitchbook.com?p=133714-72P","View People Online")</f>
        <v>View People Online</v>
      </c>
    </row>
    <row r="1836">
      <c r="A1836" s="10" t="s">
        <v>12682</v>
      </c>
      <c r="B1836" s="10" t="s">
        <v>12683</v>
      </c>
      <c r="C1836" s="10" t="s">
        <v>562</v>
      </c>
      <c r="D1836" s="10" t="s">
        <v>12684</v>
      </c>
      <c r="E1836" s="10" t="s">
        <v>12571</v>
      </c>
      <c r="F1836" s="10" t="s">
        <v>12616</v>
      </c>
      <c r="G1836" s="10" t="s">
        <v>12685</v>
      </c>
      <c r="H1836" s="11" t="s">
        <v>31</v>
      </c>
      <c r="I1836" s="11">
        <v>1.0</v>
      </c>
      <c r="J1836" s="11">
        <v>1.0</v>
      </c>
      <c r="K1836" s="11" t="s">
        <v>31</v>
      </c>
      <c r="L1836" s="12" t="s">
        <v>12584</v>
      </c>
      <c r="M1836" s="10" t="s">
        <v>31</v>
      </c>
      <c r="N1836" s="10" t="s">
        <v>6030</v>
      </c>
      <c r="O1836" s="12" t="s">
        <v>12586</v>
      </c>
      <c r="P1836" s="10" t="s">
        <v>12587</v>
      </c>
      <c r="Q1836" s="10" t="s">
        <v>7124</v>
      </c>
      <c r="R1836" s="10" t="s">
        <v>12588</v>
      </c>
      <c r="S1836" s="12" t="s">
        <v>12589</v>
      </c>
      <c r="T1836" s="10" t="s">
        <v>66</v>
      </c>
      <c r="U1836" s="12" t="s">
        <v>31</v>
      </c>
      <c r="V1836" s="10" t="s">
        <v>440</v>
      </c>
      <c r="W1836" s="10" t="s">
        <v>12571</v>
      </c>
      <c r="X1836" s="13" t="str">
        <f>HYPERLINK("https://my.pitchbook.com?p=440655-22P","View People Online")</f>
        <v>View People Online</v>
      </c>
    </row>
    <row r="1837">
      <c r="A1837" s="6" t="s">
        <v>12686</v>
      </c>
      <c r="B1837" s="6" t="s">
        <v>12687</v>
      </c>
      <c r="C1837" s="6" t="s">
        <v>1066</v>
      </c>
      <c r="D1837" s="6" t="s">
        <v>12688</v>
      </c>
      <c r="E1837" s="6" t="s">
        <v>12571</v>
      </c>
      <c r="F1837" s="6" t="s">
        <v>12689</v>
      </c>
      <c r="G1837" s="6" t="s">
        <v>12690</v>
      </c>
      <c r="H1837" s="7" t="s">
        <v>31</v>
      </c>
      <c r="I1837" s="7">
        <v>6.0</v>
      </c>
      <c r="J1837" s="7">
        <v>2.0</v>
      </c>
      <c r="K1837" s="7">
        <v>3.0</v>
      </c>
      <c r="L1837" s="8" t="s">
        <v>12691</v>
      </c>
      <c r="M1837" s="6" t="s">
        <v>12692</v>
      </c>
      <c r="N1837" s="6" t="s">
        <v>665</v>
      </c>
      <c r="O1837" s="8" t="s">
        <v>3857</v>
      </c>
      <c r="P1837" s="6" t="s">
        <v>12693</v>
      </c>
      <c r="Q1837" s="6" t="s">
        <v>989</v>
      </c>
      <c r="R1837" s="6" t="s">
        <v>1420</v>
      </c>
      <c r="S1837" s="8" t="s">
        <v>12694</v>
      </c>
      <c r="T1837" s="6" t="s">
        <v>66</v>
      </c>
      <c r="U1837" s="8" t="s">
        <v>31</v>
      </c>
      <c r="V1837" s="6" t="s">
        <v>371</v>
      </c>
      <c r="W1837" s="6" t="s">
        <v>12695</v>
      </c>
      <c r="X1837" s="9" t="str">
        <f>HYPERLINK("https://my.pitchbook.com?p=160744-51P","View People Online")</f>
        <v>View People Online</v>
      </c>
    </row>
    <row r="1838">
      <c r="A1838" s="10" t="s">
        <v>12696</v>
      </c>
      <c r="B1838" s="10" t="s">
        <v>12697</v>
      </c>
      <c r="C1838" s="10" t="s">
        <v>12698</v>
      </c>
      <c r="D1838" s="10" t="s">
        <v>12699</v>
      </c>
      <c r="E1838" s="10" t="s">
        <v>12571</v>
      </c>
      <c r="F1838" s="10" t="s">
        <v>29</v>
      </c>
      <c r="G1838" s="10" t="s">
        <v>12700</v>
      </c>
      <c r="H1838" s="11">
        <v>6.0</v>
      </c>
      <c r="I1838" s="11">
        <v>27.0</v>
      </c>
      <c r="J1838" s="11">
        <v>2.0</v>
      </c>
      <c r="K1838" s="11">
        <v>15.0</v>
      </c>
      <c r="L1838" s="12" t="s">
        <v>31</v>
      </c>
      <c r="M1838" s="10" t="s">
        <v>12701</v>
      </c>
      <c r="N1838" s="10" t="s">
        <v>1170</v>
      </c>
      <c r="O1838" s="12" t="s">
        <v>1171</v>
      </c>
      <c r="P1838" s="10" t="s">
        <v>12620</v>
      </c>
      <c r="Q1838" s="10" t="s">
        <v>989</v>
      </c>
      <c r="R1838" s="10" t="s">
        <v>64</v>
      </c>
      <c r="S1838" s="12" t="s">
        <v>12621</v>
      </c>
      <c r="T1838" s="10" t="s">
        <v>66</v>
      </c>
      <c r="U1838" s="12" t="s">
        <v>31</v>
      </c>
      <c r="V1838" s="10" t="s">
        <v>29</v>
      </c>
      <c r="W1838" s="10" t="s">
        <v>12571</v>
      </c>
      <c r="X1838" s="13" t="str">
        <f>HYPERLINK("https://my.pitchbook.com?p=154405-27P","View People Online")</f>
        <v>View People Online</v>
      </c>
    </row>
    <row r="1839">
      <c r="A1839" s="14" t="s">
        <v>12702</v>
      </c>
      <c r="B1839" s="14" t="s">
        <v>12703</v>
      </c>
      <c r="C1839" s="14" t="s">
        <v>3934</v>
      </c>
      <c r="D1839" s="14" t="s">
        <v>10129</v>
      </c>
      <c r="E1839" s="14" t="s">
        <v>12704</v>
      </c>
      <c r="F1839" s="14" t="s">
        <v>270</v>
      </c>
      <c r="G1839" s="14" t="s">
        <v>12705</v>
      </c>
      <c r="H1839" s="15" t="s">
        <v>31</v>
      </c>
      <c r="I1839" s="15">
        <v>1.0</v>
      </c>
      <c r="J1839" s="15">
        <v>1.0</v>
      </c>
      <c r="K1839" s="15" t="s">
        <v>31</v>
      </c>
      <c r="L1839" s="16" t="s">
        <v>12706</v>
      </c>
      <c r="M1839" s="14" t="s">
        <v>31</v>
      </c>
      <c r="N1839" s="14" t="s">
        <v>12707</v>
      </c>
      <c r="O1839" s="16" t="s">
        <v>12708</v>
      </c>
      <c r="P1839" s="14" t="s">
        <v>12709</v>
      </c>
      <c r="Q1839" s="14" t="s">
        <v>12710</v>
      </c>
      <c r="R1839" s="14" t="s">
        <v>31</v>
      </c>
      <c r="S1839" s="16" t="s">
        <v>12711</v>
      </c>
      <c r="T1839" s="14" t="s">
        <v>3104</v>
      </c>
      <c r="U1839" s="16" t="s">
        <v>31</v>
      </c>
      <c r="V1839" s="14" t="s">
        <v>12712</v>
      </c>
      <c r="W1839" s="14" t="s">
        <v>12704</v>
      </c>
      <c r="X1839" s="17" t="str">
        <f>HYPERLINK("https://my.pitchbook.com?p=132514-48P","View People Online")</f>
        <v>View People Online</v>
      </c>
    </row>
    <row r="1840">
      <c r="A1840" s="10" t="s">
        <v>12713</v>
      </c>
      <c r="B1840" s="10" t="s">
        <v>12714</v>
      </c>
      <c r="C1840" s="10" t="s">
        <v>4731</v>
      </c>
      <c r="D1840" s="10" t="s">
        <v>1073</v>
      </c>
      <c r="E1840" s="10" t="s">
        <v>12704</v>
      </c>
      <c r="F1840" s="10" t="s">
        <v>2652</v>
      </c>
      <c r="G1840" s="10" t="s">
        <v>12715</v>
      </c>
      <c r="H1840" s="11">
        <v>1.0</v>
      </c>
      <c r="I1840" s="11">
        <v>5.0</v>
      </c>
      <c r="J1840" s="11">
        <v>1.0</v>
      </c>
      <c r="K1840" s="11">
        <v>3.0</v>
      </c>
      <c r="L1840" s="12" t="s">
        <v>12706</v>
      </c>
      <c r="M1840" s="10" t="s">
        <v>12716</v>
      </c>
      <c r="N1840" s="10" t="s">
        <v>12707</v>
      </c>
      <c r="O1840" s="12" t="s">
        <v>12708</v>
      </c>
      <c r="P1840" s="10" t="s">
        <v>12709</v>
      </c>
      <c r="Q1840" s="10" t="s">
        <v>12710</v>
      </c>
      <c r="R1840" s="10" t="s">
        <v>31</v>
      </c>
      <c r="S1840" s="12" t="s">
        <v>12711</v>
      </c>
      <c r="T1840" s="10" t="s">
        <v>3104</v>
      </c>
      <c r="U1840" s="12" t="s">
        <v>31</v>
      </c>
      <c r="V1840" s="10" t="s">
        <v>12717</v>
      </c>
      <c r="W1840" s="10" t="s">
        <v>12704</v>
      </c>
      <c r="X1840" s="13" t="str">
        <f>HYPERLINK("https://my.pitchbook.com?p=31195-72P","View People Online")</f>
        <v>View People Online</v>
      </c>
    </row>
    <row r="1841">
      <c r="A1841" s="14" t="s">
        <v>12718</v>
      </c>
      <c r="B1841" s="14" t="s">
        <v>12719</v>
      </c>
      <c r="C1841" s="14" t="s">
        <v>8155</v>
      </c>
      <c r="D1841" s="14" t="s">
        <v>12720</v>
      </c>
      <c r="E1841" s="14" t="s">
        <v>12704</v>
      </c>
      <c r="F1841" s="14" t="s">
        <v>270</v>
      </c>
      <c r="G1841" s="14" t="s">
        <v>12721</v>
      </c>
      <c r="H1841" s="15" t="s">
        <v>31</v>
      </c>
      <c r="I1841" s="15">
        <v>3.0</v>
      </c>
      <c r="J1841" s="15">
        <v>2.0</v>
      </c>
      <c r="K1841" s="15">
        <v>1.0</v>
      </c>
      <c r="L1841" s="16" t="s">
        <v>12722</v>
      </c>
      <c r="M1841" s="14" t="s">
        <v>12723</v>
      </c>
      <c r="N1841" s="14" t="s">
        <v>3100</v>
      </c>
      <c r="O1841" s="16" t="s">
        <v>3101</v>
      </c>
      <c r="P1841" s="14" t="s">
        <v>12724</v>
      </c>
      <c r="Q1841" s="14" t="s">
        <v>31</v>
      </c>
      <c r="R1841" s="14" t="s">
        <v>31</v>
      </c>
      <c r="S1841" s="16" t="s">
        <v>12725</v>
      </c>
      <c r="T1841" s="14" t="s">
        <v>3104</v>
      </c>
      <c r="U1841" s="16" t="s">
        <v>31</v>
      </c>
      <c r="V1841" s="14" t="s">
        <v>736</v>
      </c>
      <c r="W1841" s="14" t="s">
        <v>12726</v>
      </c>
      <c r="X1841" s="17" t="str">
        <f>HYPERLINK("https://my.pitchbook.com?p=158663-17P","View People Online")</f>
        <v>View People Online</v>
      </c>
    </row>
    <row r="1842">
      <c r="A1842" s="10" t="s">
        <v>12727</v>
      </c>
      <c r="B1842" s="10" t="s">
        <v>12728</v>
      </c>
      <c r="C1842" s="10" t="s">
        <v>8155</v>
      </c>
      <c r="D1842" s="10" t="s">
        <v>12729</v>
      </c>
      <c r="E1842" s="10" t="s">
        <v>12704</v>
      </c>
      <c r="F1842" s="10" t="s">
        <v>371</v>
      </c>
      <c r="G1842" s="10" t="s">
        <v>12730</v>
      </c>
      <c r="H1842" s="11" t="s">
        <v>31</v>
      </c>
      <c r="I1842" s="11">
        <v>1.0</v>
      </c>
      <c r="J1842" s="11">
        <v>1.0</v>
      </c>
      <c r="K1842" s="11" t="s">
        <v>31</v>
      </c>
      <c r="L1842" s="12" t="s">
        <v>12706</v>
      </c>
      <c r="M1842" s="10" t="s">
        <v>12731</v>
      </c>
      <c r="N1842" s="10" t="s">
        <v>12707</v>
      </c>
      <c r="O1842" s="12" t="s">
        <v>12708</v>
      </c>
      <c r="P1842" s="10" t="s">
        <v>12709</v>
      </c>
      <c r="Q1842" s="10" t="s">
        <v>12710</v>
      </c>
      <c r="R1842" s="10" t="s">
        <v>31</v>
      </c>
      <c r="S1842" s="12" t="s">
        <v>12711</v>
      </c>
      <c r="T1842" s="10" t="s">
        <v>3104</v>
      </c>
      <c r="U1842" s="12" t="s">
        <v>31</v>
      </c>
      <c r="V1842" s="10" t="s">
        <v>12732</v>
      </c>
      <c r="W1842" s="10" t="s">
        <v>12704</v>
      </c>
      <c r="X1842" s="13" t="str">
        <f>HYPERLINK("https://my.pitchbook.com?p=395430-94P","View People Online")</f>
        <v>View People Online</v>
      </c>
    </row>
    <row r="1843">
      <c r="A1843" s="14" t="s">
        <v>12733</v>
      </c>
      <c r="B1843" s="14" t="s">
        <v>12734</v>
      </c>
      <c r="C1843" s="14" t="s">
        <v>12735</v>
      </c>
      <c r="D1843" s="14" t="s">
        <v>12736</v>
      </c>
      <c r="E1843" s="14" t="s">
        <v>12704</v>
      </c>
      <c r="F1843" s="14" t="s">
        <v>221</v>
      </c>
      <c r="G1843" s="14" t="s">
        <v>12737</v>
      </c>
      <c r="H1843" s="15" t="s">
        <v>31</v>
      </c>
      <c r="I1843" s="15">
        <v>1.0</v>
      </c>
      <c r="J1843" s="15">
        <v>1.0</v>
      </c>
      <c r="K1843" s="15" t="s">
        <v>31</v>
      </c>
      <c r="L1843" s="16" t="s">
        <v>12706</v>
      </c>
      <c r="M1843" s="14" t="s">
        <v>12738</v>
      </c>
      <c r="N1843" s="14" t="s">
        <v>12707</v>
      </c>
      <c r="O1843" s="16" t="s">
        <v>12708</v>
      </c>
      <c r="P1843" s="14" t="s">
        <v>12709</v>
      </c>
      <c r="Q1843" s="14" t="s">
        <v>12710</v>
      </c>
      <c r="R1843" s="14" t="s">
        <v>31</v>
      </c>
      <c r="S1843" s="16" t="s">
        <v>12711</v>
      </c>
      <c r="T1843" s="14" t="s">
        <v>3104</v>
      </c>
      <c r="U1843" s="16" t="s">
        <v>31</v>
      </c>
      <c r="V1843" s="14" t="s">
        <v>12739</v>
      </c>
      <c r="W1843" s="14" t="s">
        <v>12704</v>
      </c>
      <c r="X1843" s="17" t="str">
        <f>HYPERLINK("https://my.pitchbook.com?p=320348-08P","View People Online")</f>
        <v>View People Online</v>
      </c>
    </row>
    <row r="1844">
      <c r="A1844" s="10" t="s">
        <v>12740</v>
      </c>
      <c r="B1844" s="10" t="s">
        <v>12741</v>
      </c>
      <c r="C1844" s="10" t="s">
        <v>12742</v>
      </c>
      <c r="D1844" s="10" t="s">
        <v>12743</v>
      </c>
      <c r="E1844" s="10" t="s">
        <v>12704</v>
      </c>
      <c r="F1844" s="10" t="s">
        <v>221</v>
      </c>
      <c r="G1844" s="10" t="s">
        <v>12744</v>
      </c>
      <c r="H1844" s="11" t="s">
        <v>31</v>
      </c>
      <c r="I1844" s="11">
        <v>1.0</v>
      </c>
      <c r="J1844" s="11">
        <v>1.0</v>
      </c>
      <c r="K1844" s="11" t="s">
        <v>31</v>
      </c>
      <c r="L1844" s="12" t="s">
        <v>12706</v>
      </c>
      <c r="M1844" s="10" t="s">
        <v>12745</v>
      </c>
      <c r="N1844" s="10" t="s">
        <v>12707</v>
      </c>
      <c r="O1844" s="12" t="s">
        <v>12708</v>
      </c>
      <c r="P1844" s="10" t="s">
        <v>12709</v>
      </c>
      <c r="Q1844" s="10" t="s">
        <v>12710</v>
      </c>
      <c r="R1844" s="10" t="s">
        <v>31</v>
      </c>
      <c r="S1844" s="12" t="s">
        <v>12711</v>
      </c>
      <c r="T1844" s="10" t="s">
        <v>3104</v>
      </c>
      <c r="U1844" s="12" t="s">
        <v>31</v>
      </c>
      <c r="V1844" s="10" t="s">
        <v>12746</v>
      </c>
      <c r="W1844" s="10" t="s">
        <v>12704</v>
      </c>
      <c r="X1844" s="13" t="str">
        <f>HYPERLINK("https://my.pitchbook.com?p=276636-70P","View People Online")</f>
        <v>View People Online</v>
      </c>
    </row>
    <row r="1845">
      <c r="A1845" s="6" t="s">
        <v>12747</v>
      </c>
      <c r="B1845" s="6" t="s">
        <v>12748</v>
      </c>
      <c r="C1845" s="6" t="s">
        <v>54</v>
      </c>
      <c r="D1845" s="6" t="s">
        <v>10527</v>
      </c>
      <c r="E1845" s="6" t="s">
        <v>12704</v>
      </c>
      <c r="F1845" s="6" t="s">
        <v>548</v>
      </c>
      <c r="G1845" s="6" t="s">
        <v>12749</v>
      </c>
      <c r="H1845" s="7">
        <v>5.0</v>
      </c>
      <c r="I1845" s="7">
        <v>13.0</v>
      </c>
      <c r="J1845" s="7">
        <v>1.0</v>
      </c>
      <c r="K1845" s="7">
        <v>6.0</v>
      </c>
      <c r="L1845" s="8" t="s">
        <v>12750</v>
      </c>
      <c r="M1845" s="6" t="s">
        <v>12751</v>
      </c>
      <c r="N1845" s="6" t="s">
        <v>75</v>
      </c>
      <c r="O1845" s="8" t="s">
        <v>76</v>
      </c>
      <c r="P1845" s="6" t="s">
        <v>12752</v>
      </c>
      <c r="Q1845" s="6" t="s">
        <v>6831</v>
      </c>
      <c r="R1845" s="6" t="s">
        <v>75</v>
      </c>
      <c r="S1845" s="8" t="s">
        <v>12753</v>
      </c>
      <c r="T1845" s="6" t="s">
        <v>66</v>
      </c>
      <c r="U1845" s="8" t="s">
        <v>31</v>
      </c>
      <c r="V1845" s="6" t="s">
        <v>7323</v>
      </c>
      <c r="W1845" s="6" t="s">
        <v>12704</v>
      </c>
      <c r="X1845" s="9" t="str">
        <f>HYPERLINK("https://my.pitchbook.com?p=277806-52P","View People Online")</f>
        <v>View People Online</v>
      </c>
    </row>
    <row r="1846">
      <c r="A1846" s="2" t="s">
        <v>12754</v>
      </c>
      <c r="B1846" s="2" t="s">
        <v>12755</v>
      </c>
      <c r="C1846" s="2" t="s">
        <v>12756</v>
      </c>
      <c r="D1846" s="2" t="s">
        <v>12757</v>
      </c>
      <c r="E1846" s="2" t="s">
        <v>12704</v>
      </c>
      <c r="F1846" s="2" t="s">
        <v>667</v>
      </c>
      <c r="G1846" s="2" t="s">
        <v>12758</v>
      </c>
      <c r="H1846" s="3" t="s">
        <v>31</v>
      </c>
      <c r="I1846" s="3">
        <v>1.0</v>
      </c>
      <c r="J1846" s="3">
        <v>1.0</v>
      </c>
      <c r="K1846" s="3" t="s">
        <v>31</v>
      </c>
      <c r="L1846" s="4" t="s">
        <v>12706</v>
      </c>
      <c r="M1846" s="2" t="s">
        <v>12759</v>
      </c>
      <c r="N1846" s="2" t="s">
        <v>12707</v>
      </c>
      <c r="O1846" s="4" t="s">
        <v>12708</v>
      </c>
      <c r="P1846" s="2" t="s">
        <v>12709</v>
      </c>
      <c r="Q1846" s="2" t="s">
        <v>12710</v>
      </c>
      <c r="R1846" s="2" t="s">
        <v>31</v>
      </c>
      <c r="S1846" s="4" t="s">
        <v>12711</v>
      </c>
      <c r="T1846" s="2" t="s">
        <v>3104</v>
      </c>
      <c r="U1846" s="4" t="s">
        <v>31</v>
      </c>
      <c r="V1846" s="2" t="s">
        <v>12760</v>
      </c>
      <c r="W1846" s="2" t="s">
        <v>12704</v>
      </c>
      <c r="X1846" s="5" t="str">
        <f>HYPERLINK("https://my.pitchbook.com?p=455491-54P","View People Online")</f>
        <v>View People Online</v>
      </c>
    </row>
    <row r="1847">
      <c r="A1847" s="6" t="s">
        <v>12761</v>
      </c>
      <c r="B1847" s="6" t="s">
        <v>12762</v>
      </c>
      <c r="C1847" s="6" t="s">
        <v>10961</v>
      </c>
      <c r="D1847" s="6" t="s">
        <v>5692</v>
      </c>
      <c r="E1847" s="6" t="s">
        <v>12704</v>
      </c>
      <c r="F1847" s="6" t="s">
        <v>270</v>
      </c>
      <c r="G1847" s="6" t="s">
        <v>12763</v>
      </c>
      <c r="H1847" s="7" t="s">
        <v>31</v>
      </c>
      <c r="I1847" s="7">
        <v>2.0</v>
      </c>
      <c r="J1847" s="7">
        <v>2.0</v>
      </c>
      <c r="K1847" s="7" t="s">
        <v>31</v>
      </c>
      <c r="L1847" s="8" t="s">
        <v>12764</v>
      </c>
      <c r="M1847" s="6" t="s">
        <v>31</v>
      </c>
      <c r="N1847" s="6" t="s">
        <v>155</v>
      </c>
      <c r="O1847" s="8" t="s">
        <v>156</v>
      </c>
      <c r="P1847" s="6" t="s">
        <v>12765</v>
      </c>
      <c r="Q1847" s="6" t="s">
        <v>2403</v>
      </c>
      <c r="R1847" s="6" t="s">
        <v>64</v>
      </c>
      <c r="S1847" s="8" t="s">
        <v>7780</v>
      </c>
      <c r="T1847" s="6" t="s">
        <v>66</v>
      </c>
      <c r="U1847" s="8" t="s">
        <v>31</v>
      </c>
      <c r="V1847" s="6" t="s">
        <v>1283</v>
      </c>
      <c r="W1847" s="6" t="s">
        <v>12766</v>
      </c>
      <c r="X1847" s="9" t="str">
        <f>HYPERLINK("https://my.pitchbook.com?p=297624-61P","View People Online")</f>
        <v>View People Online</v>
      </c>
    </row>
    <row r="1848">
      <c r="A1848" s="2" t="s">
        <v>12767</v>
      </c>
      <c r="B1848" s="2" t="s">
        <v>12768</v>
      </c>
      <c r="C1848" s="2" t="s">
        <v>1426</v>
      </c>
      <c r="D1848" s="2" t="s">
        <v>12769</v>
      </c>
      <c r="E1848" s="2" t="s">
        <v>12704</v>
      </c>
      <c r="F1848" s="2" t="s">
        <v>371</v>
      </c>
      <c r="G1848" s="2" t="s">
        <v>12770</v>
      </c>
      <c r="H1848" s="3" t="s">
        <v>31</v>
      </c>
      <c r="I1848" s="3">
        <v>1.0</v>
      </c>
      <c r="J1848" s="3">
        <v>1.0</v>
      </c>
      <c r="K1848" s="3" t="s">
        <v>31</v>
      </c>
      <c r="L1848" s="4" t="s">
        <v>12706</v>
      </c>
      <c r="M1848" s="2" t="s">
        <v>12771</v>
      </c>
      <c r="N1848" s="2" t="s">
        <v>12707</v>
      </c>
      <c r="O1848" s="4" t="s">
        <v>12708</v>
      </c>
      <c r="P1848" s="2" t="s">
        <v>12709</v>
      </c>
      <c r="Q1848" s="2" t="s">
        <v>12710</v>
      </c>
      <c r="R1848" s="2" t="s">
        <v>31</v>
      </c>
      <c r="S1848" s="4" t="s">
        <v>12711</v>
      </c>
      <c r="T1848" s="2" t="s">
        <v>3104</v>
      </c>
      <c r="U1848" s="4" t="s">
        <v>31</v>
      </c>
      <c r="V1848" s="2" t="s">
        <v>12732</v>
      </c>
      <c r="W1848" s="2" t="s">
        <v>12704</v>
      </c>
      <c r="X1848" s="5" t="str">
        <f>HYPERLINK("https://my.pitchbook.com?p=248312-89P","View People Online")</f>
        <v>View People Online</v>
      </c>
    </row>
    <row r="1849">
      <c r="A1849" s="14" t="s">
        <v>12772</v>
      </c>
      <c r="B1849" s="14" t="s">
        <v>12773</v>
      </c>
      <c r="C1849" s="14" t="s">
        <v>12774</v>
      </c>
      <c r="D1849" s="14" t="s">
        <v>1085</v>
      </c>
      <c r="E1849" s="14" t="s">
        <v>12704</v>
      </c>
      <c r="F1849" s="14" t="s">
        <v>270</v>
      </c>
      <c r="G1849" s="14" t="s">
        <v>12775</v>
      </c>
      <c r="H1849" s="15" t="s">
        <v>31</v>
      </c>
      <c r="I1849" s="15">
        <v>1.0</v>
      </c>
      <c r="J1849" s="15">
        <v>1.0</v>
      </c>
      <c r="K1849" s="15" t="s">
        <v>31</v>
      </c>
      <c r="L1849" s="16" t="s">
        <v>12706</v>
      </c>
      <c r="M1849" s="14" t="s">
        <v>12776</v>
      </c>
      <c r="N1849" s="14" t="s">
        <v>12707</v>
      </c>
      <c r="O1849" s="16" t="s">
        <v>12708</v>
      </c>
      <c r="P1849" s="14" t="s">
        <v>12709</v>
      </c>
      <c r="Q1849" s="14" t="s">
        <v>12710</v>
      </c>
      <c r="R1849" s="14" t="s">
        <v>31</v>
      </c>
      <c r="S1849" s="16" t="s">
        <v>12711</v>
      </c>
      <c r="T1849" s="14" t="s">
        <v>3104</v>
      </c>
      <c r="U1849" s="16" t="s">
        <v>31</v>
      </c>
      <c r="V1849" s="14" t="s">
        <v>12777</v>
      </c>
      <c r="W1849" s="14" t="s">
        <v>12704</v>
      </c>
      <c r="X1849" s="17" t="str">
        <f>HYPERLINK("https://my.pitchbook.com?p=320343-85P","View People Online")</f>
        <v>View People Online</v>
      </c>
    </row>
    <row r="1850">
      <c r="A1850" s="10" t="s">
        <v>12778</v>
      </c>
      <c r="B1850" s="10" t="s">
        <v>12779</v>
      </c>
      <c r="C1850" s="10" t="s">
        <v>454</v>
      </c>
      <c r="D1850" s="10" t="s">
        <v>10402</v>
      </c>
      <c r="E1850" s="10" t="s">
        <v>12704</v>
      </c>
      <c r="F1850" s="10" t="s">
        <v>548</v>
      </c>
      <c r="G1850" s="10" t="s">
        <v>12780</v>
      </c>
      <c r="H1850" s="11" t="s">
        <v>31</v>
      </c>
      <c r="I1850" s="11">
        <v>1.0</v>
      </c>
      <c r="J1850" s="11">
        <v>1.0</v>
      </c>
      <c r="K1850" s="11" t="s">
        <v>31</v>
      </c>
      <c r="L1850" s="12" t="s">
        <v>12706</v>
      </c>
      <c r="M1850" s="10" t="s">
        <v>12781</v>
      </c>
      <c r="N1850" s="10" t="s">
        <v>12707</v>
      </c>
      <c r="O1850" s="12" t="s">
        <v>12708</v>
      </c>
      <c r="P1850" s="10" t="s">
        <v>12709</v>
      </c>
      <c r="Q1850" s="10" t="s">
        <v>12710</v>
      </c>
      <c r="R1850" s="10" t="s">
        <v>31</v>
      </c>
      <c r="S1850" s="12" t="s">
        <v>12711</v>
      </c>
      <c r="T1850" s="10" t="s">
        <v>3104</v>
      </c>
      <c r="U1850" s="12" t="s">
        <v>31</v>
      </c>
      <c r="V1850" s="10" t="s">
        <v>12782</v>
      </c>
      <c r="W1850" s="10" t="s">
        <v>12704</v>
      </c>
      <c r="X1850" s="13" t="str">
        <f>HYPERLINK("https://my.pitchbook.com?p=203009-05P","View People Online")</f>
        <v>View People Online</v>
      </c>
    </row>
    <row r="1851">
      <c r="A1851" s="14" t="s">
        <v>12783</v>
      </c>
      <c r="B1851" s="14" t="s">
        <v>12784</v>
      </c>
      <c r="C1851" s="14" t="s">
        <v>12785</v>
      </c>
      <c r="D1851" s="14" t="s">
        <v>12786</v>
      </c>
      <c r="E1851" s="14" t="s">
        <v>12704</v>
      </c>
      <c r="F1851" s="14" t="s">
        <v>548</v>
      </c>
      <c r="G1851" s="14" t="s">
        <v>12787</v>
      </c>
      <c r="H1851" s="15" t="s">
        <v>31</v>
      </c>
      <c r="I1851" s="15">
        <v>2.0</v>
      </c>
      <c r="J1851" s="15">
        <v>1.0</v>
      </c>
      <c r="K1851" s="15">
        <v>1.0</v>
      </c>
      <c r="L1851" s="16" t="s">
        <v>12788</v>
      </c>
      <c r="M1851" s="14" t="s">
        <v>12789</v>
      </c>
      <c r="N1851" s="14" t="s">
        <v>12707</v>
      </c>
      <c r="O1851" s="16" t="s">
        <v>12708</v>
      </c>
      <c r="P1851" s="14" t="s">
        <v>12709</v>
      </c>
      <c r="Q1851" s="14" t="s">
        <v>12710</v>
      </c>
      <c r="R1851" s="14" t="s">
        <v>31</v>
      </c>
      <c r="S1851" s="16" t="s">
        <v>12711</v>
      </c>
      <c r="T1851" s="14" t="s">
        <v>3104</v>
      </c>
      <c r="U1851" s="16" t="s">
        <v>31</v>
      </c>
      <c r="V1851" s="14" t="s">
        <v>7323</v>
      </c>
      <c r="W1851" s="14" t="s">
        <v>12704</v>
      </c>
      <c r="X1851" s="17" t="str">
        <f>HYPERLINK("https://my.pitchbook.com?p=104256-19P","View People Online")</f>
        <v>View People Online</v>
      </c>
    </row>
    <row r="1852">
      <c r="A1852" s="10" t="s">
        <v>12790</v>
      </c>
      <c r="B1852" s="10" t="s">
        <v>12791</v>
      </c>
      <c r="C1852" s="10" t="s">
        <v>12792</v>
      </c>
      <c r="D1852" s="10" t="s">
        <v>12793</v>
      </c>
      <c r="E1852" s="10" t="s">
        <v>12704</v>
      </c>
      <c r="F1852" s="10" t="s">
        <v>221</v>
      </c>
      <c r="G1852" s="10" t="s">
        <v>12794</v>
      </c>
      <c r="H1852" s="11" t="s">
        <v>31</v>
      </c>
      <c r="I1852" s="11">
        <v>1.0</v>
      </c>
      <c r="J1852" s="11">
        <v>1.0</v>
      </c>
      <c r="K1852" s="11" t="s">
        <v>31</v>
      </c>
      <c r="L1852" s="12" t="s">
        <v>12706</v>
      </c>
      <c r="M1852" s="10" t="s">
        <v>12795</v>
      </c>
      <c r="N1852" s="10" t="s">
        <v>12707</v>
      </c>
      <c r="O1852" s="12" t="s">
        <v>12708</v>
      </c>
      <c r="P1852" s="10" t="s">
        <v>12709</v>
      </c>
      <c r="Q1852" s="10" t="s">
        <v>12710</v>
      </c>
      <c r="R1852" s="10" t="s">
        <v>31</v>
      </c>
      <c r="S1852" s="12" t="s">
        <v>12711</v>
      </c>
      <c r="T1852" s="10" t="s">
        <v>3104</v>
      </c>
      <c r="U1852" s="12" t="s">
        <v>31</v>
      </c>
      <c r="V1852" s="10" t="s">
        <v>12777</v>
      </c>
      <c r="W1852" s="10" t="s">
        <v>12704</v>
      </c>
      <c r="X1852" s="13" t="str">
        <f>HYPERLINK("https://my.pitchbook.com?p=320344-66P","View People Online")</f>
        <v>View People Online</v>
      </c>
    </row>
    <row r="1853">
      <c r="A1853" s="6" t="s">
        <v>12796</v>
      </c>
      <c r="B1853" s="6" t="s">
        <v>12797</v>
      </c>
      <c r="C1853" s="6" t="s">
        <v>12798</v>
      </c>
      <c r="D1853" s="6" t="s">
        <v>12799</v>
      </c>
      <c r="E1853" s="6" t="s">
        <v>12704</v>
      </c>
      <c r="F1853" s="6" t="s">
        <v>221</v>
      </c>
      <c r="G1853" s="6" t="s">
        <v>12800</v>
      </c>
      <c r="H1853" s="7" t="s">
        <v>31</v>
      </c>
      <c r="I1853" s="7">
        <v>1.0</v>
      </c>
      <c r="J1853" s="7">
        <v>1.0</v>
      </c>
      <c r="K1853" s="7" t="s">
        <v>31</v>
      </c>
      <c r="L1853" s="8" t="s">
        <v>12706</v>
      </c>
      <c r="M1853" s="6" t="s">
        <v>12801</v>
      </c>
      <c r="N1853" s="6" t="s">
        <v>12707</v>
      </c>
      <c r="O1853" s="8" t="s">
        <v>12708</v>
      </c>
      <c r="P1853" s="6" t="s">
        <v>12709</v>
      </c>
      <c r="Q1853" s="6" t="s">
        <v>12710</v>
      </c>
      <c r="R1853" s="6" t="s">
        <v>31</v>
      </c>
      <c r="S1853" s="8" t="s">
        <v>12711</v>
      </c>
      <c r="T1853" s="6" t="s">
        <v>3104</v>
      </c>
      <c r="U1853" s="8" t="s">
        <v>31</v>
      </c>
      <c r="V1853" s="6" t="s">
        <v>12777</v>
      </c>
      <c r="W1853" s="6" t="s">
        <v>12704</v>
      </c>
      <c r="X1853" s="9" t="str">
        <f>HYPERLINK("https://my.pitchbook.com?p=395435-98P","View People Online")</f>
        <v>View People Online</v>
      </c>
    </row>
    <row r="1854">
      <c r="A1854" s="10" t="s">
        <v>12802</v>
      </c>
      <c r="B1854" s="10" t="s">
        <v>12803</v>
      </c>
      <c r="C1854" s="10" t="s">
        <v>69</v>
      </c>
      <c r="D1854" s="10" t="s">
        <v>12804</v>
      </c>
      <c r="E1854" s="10" t="s">
        <v>12704</v>
      </c>
      <c r="F1854" s="10" t="s">
        <v>1283</v>
      </c>
      <c r="G1854" s="10" t="s">
        <v>12805</v>
      </c>
      <c r="H1854" s="11" t="s">
        <v>31</v>
      </c>
      <c r="I1854" s="11">
        <v>1.0</v>
      </c>
      <c r="J1854" s="11">
        <v>1.0</v>
      </c>
      <c r="K1854" s="11" t="s">
        <v>31</v>
      </c>
      <c r="L1854" s="12" t="s">
        <v>12706</v>
      </c>
      <c r="M1854" s="10" t="s">
        <v>12806</v>
      </c>
      <c r="N1854" s="10" t="s">
        <v>12707</v>
      </c>
      <c r="O1854" s="12" t="s">
        <v>12708</v>
      </c>
      <c r="P1854" s="10" t="s">
        <v>12709</v>
      </c>
      <c r="Q1854" s="10" t="s">
        <v>12710</v>
      </c>
      <c r="R1854" s="10" t="s">
        <v>31</v>
      </c>
      <c r="S1854" s="12" t="s">
        <v>12711</v>
      </c>
      <c r="T1854" s="10" t="s">
        <v>3104</v>
      </c>
      <c r="U1854" s="12" t="s">
        <v>31</v>
      </c>
      <c r="V1854" s="10" t="s">
        <v>12807</v>
      </c>
      <c r="W1854" s="10" t="s">
        <v>12704</v>
      </c>
      <c r="X1854" s="13" t="str">
        <f>HYPERLINK("https://my.pitchbook.com?p=373207-51P","View People Online")</f>
        <v>View People Online</v>
      </c>
    </row>
    <row r="1855">
      <c r="A1855" s="6" t="s">
        <v>12808</v>
      </c>
      <c r="B1855" s="6" t="s">
        <v>12809</v>
      </c>
      <c r="C1855" s="6" t="s">
        <v>69</v>
      </c>
      <c r="D1855" s="6" t="s">
        <v>12810</v>
      </c>
      <c r="E1855" s="6" t="s">
        <v>12704</v>
      </c>
      <c r="F1855" s="6" t="s">
        <v>825</v>
      </c>
      <c r="G1855" s="6" t="s">
        <v>12811</v>
      </c>
      <c r="H1855" s="7" t="s">
        <v>31</v>
      </c>
      <c r="I1855" s="7">
        <v>1.0</v>
      </c>
      <c r="J1855" s="7">
        <v>1.0</v>
      </c>
      <c r="K1855" s="7" t="s">
        <v>31</v>
      </c>
      <c r="L1855" s="8" t="s">
        <v>12706</v>
      </c>
      <c r="M1855" s="6" t="s">
        <v>12812</v>
      </c>
      <c r="N1855" s="6" t="s">
        <v>12707</v>
      </c>
      <c r="O1855" s="8" t="s">
        <v>12708</v>
      </c>
      <c r="P1855" s="6" t="s">
        <v>12709</v>
      </c>
      <c r="Q1855" s="6" t="s">
        <v>12710</v>
      </c>
      <c r="R1855" s="6" t="s">
        <v>31</v>
      </c>
      <c r="S1855" s="8" t="s">
        <v>12711</v>
      </c>
      <c r="T1855" s="6" t="s">
        <v>3104</v>
      </c>
      <c r="U1855" s="8" t="s">
        <v>31</v>
      </c>
      <c r="V1855" s="6" t="s">
        <v>12813</v>
      </c>
      <c r="W1855" s="6" t="s">
        <v>12704</v>
      </c>
      <c r="X1855" s="9" t="str">
        <f>HYPERLINK("https://my.pitchbook.com?p=455518-45P","View People Online")</f>
        <v>View People Online</v>
      </c>
    </row>
    <row r="1856">
      <c r="A1856" s="2" t="s">
        <v>12814</v>
      </c>
      <c r="B1856" s="2" t="s">
        <v>12815</v>
      </c>
      <c r="C1856" s="2" t="s">
        <v>1449</v>
      </c>
      <c r="D1856" s="2" t="s">
        <v>12816</v>
      </c>
      <c r="E1856" s="2" t="s">
        <v>12704</v>
      </c>
      <c r="F1856" s="2" t="s">
        <v>1283</v>
      </c>
      <c r="G1856" s="2" t="s">
        <v>12817</v>
      </c>
      <c r="H1856" s="3" t="s">
        <v>31</v>
      </c>
      <c r="I1856" s="3">
        <v>1.0</v>
      </c>
      <c r="J1856" s="3">
        <v>1.0</v>
      </c>
      <c r="K1856" s="3" t="s">
        <v>31</v>
      </c>
      <c r="L1856" s="4" t="s">
        <v>12706</v>
      </c>
      <c r="M1856" s="2" t="s">
        <v>12818</v>
      </c>
      <c r="N1856" s="2" t="s">
        <v>12707</v>
      </c>
      <c r="O1856" s="4" t="s">
        <v>12708</v>
      </c>
      <c r="P1856" s="2" t="s">
        <v>12709</v>
      </c>
      <c r="Q1856" s="2" t="s">
        <v>12710</v>
      </c>
      <c r="R1856" s="2" t="s">
        <v>31</v>
      </c>
      <c r="S1856" s="4" t="s">
        <v>12711</v>
      </c>
      <c r="T1856" s="2" t="s">
        <v>3104</v>
      </c>
      <c r="U1856" s="4" t="s">
        <v>31</v>
      </c>
      <c r="V1856" s="2" t="s">
        <v>12819</v>
      </c>
      <c r="W1856" s="2" t="s">
        <v>12704</v>
      </c>
      <c r="X1856" s="5" t="str">
        <f>HYPERLINK("https://my.pitchbook.com?p=58559-05P","View People Online")</f>
        <v>View People Online</v>
      </c>
    </row>
    <row r="1857">
      <c r="A1857" s="14" t="s">
        <v>12820</v>
      </c>
      <c r="B1857" s="14" t="s">
        <v>12821</v>
      </c>
      <c r="C1857" s="14" t="s">
        <v>1449</v>
      </c>
      <c r="D1857" s="14" t="s">
        <v>12822</v>
      </c>
      <c r="E1857" s="14" t="s">
        <v>12704</v>
      </c>
      <c r="F1857" s="14" t="s">
        <v>548</v>
      </c>
      <c r="G1857" s="14" t="s">
        <v>12823</v>
      </c>
      <c r="H1857" s="15" t="s">
        <v>31</v>
      </c>
      <c r="I1857" s="15">
        <v>2.0</v>
      </c>
      <c r="J1857" s="15">
        <v>1.0</v>
      </c>
      <c r="K1857" s="15">
        <v>1.0</v>
      </c>
      <c r="L1857" s="16" t="s">
        <v>12706</v>
      </c>
      <c r="M1857" s="14" t="s">
        <v>12824</v>
      </c>
      <c r="N1857" s="14" t="s">
        <v>12707</v>
      </c>
      <c r="O1857" s="16" t="s">
        <v>12708</v>
      </c>
      <c r="P1857" s="14" t="s">
        <v>12709</v>
      </c>
      <c r="Q1857" s="14" t="s">
        <v>12710</v>
      </c>
      <c r="R1857" s="14" t="s">
        <v>31</v>
      </c>
      <c r="S1857" s="16" t="s">
        <v>12711</v>
      </c>
      <c r="T1857" s="14" t="s">
        <v>3104</v>
      </c>
      <c r="U1857" s="16" t="s">
        <v>31</v>
      </c>
      <c r="V1857" s="14" t="s">
        <v>12825</v>
      </c>
      <c r="W1857" s="14" t="s">
        <v>12704</v>
      </c>
      <c r="X1857" s="17" t="str">
        <f>HYPERLINK("https://my.pitchbook.com?p=320340-34P","View People Online")</f>
        <v>View People Online</v>
      </c>
    </row>
    <row r="1858">
      <c r="A1858" s="2" t="s">
        <v>12826</v>
      </c>
      <c r="B1858" s="2" t="s">
        <v>12827</v>
      </c>
      <c r="C1858" s="2" t="s">
        <v>12828</v>
      </c>
      <c r="D1858" s="2" t="s">
        <v>12829</v>
      </c>
      <c r="E1858" s="2" t="s">
        <v>12704</v>
      </c>
      <c r="F1858" s="2" t="s">
        <v>371</v>
      </c>
      <c r="G1858" s="2" t="s">
        <v>12830</v>
      </c>
      <c r="H1858" s="3" t="s">
        <v>31</v>
      </c>
      <c r="I1858" s="3">
        <v>1.0</v>
      </c>
      <c r="J1858" s="3">
        <v>1.0</v>
      </c>
      <c r="K1858" s="3" t="s">
        <v>31</v>
      </c>
      <c r="L1858" s="4" t="s">
        <v>12706</v>
      </c>
      <c r="M1858" s="2" t="s">
        <v>12831</v>
      </c>
      <c r="N1858" s="2" t="s">
        <v>12707</v>
      </c>
      <c r="O1858" s="4" t="s">
        <v>12708</v>
      </c>
      <c r="P1858" s="2" t="s">
        <v>12709</v>
      </c>
      <c r="Q1858" s="2" t="s">
        <v>12710</v>
      </c>
      <c r="R1858" s="2" t="s">
        <v>31</v>
      </c>
      <c r="S1858" s="4" t="s">
        <v>12711</v>
      </c>
      <c r="T1858" s="2" t="s">
        <v>3104</v>
      </c>
      <c r="U1858" s="4" t="s">
        <v>31</v>
      </c>
      <c r="V1858" s="2" t="s">
        <v>12832</v>
      </c>
      <c r="W1858" s="2" t="s">
        <v>12704</v>
      </c>
      <c r="X1858" s="5" t="str">
        <f>HYPERLINK("https://my.pitchbook.com?p=248313-70P","View People Online")</f>
        <v>View People Online</v>
      </c>
    </row>
    <row r="1859">
      <c r="A1859" s="6" t="s">
        <v>12833</v>
      </c>
      <c r="B1859" s="6" t="s">
        <v>12834</v>
      </c>
      <c r="C1859" s="6" t="s">
        <v>12835</v>
      </c>
      <c r="D1859" s="6" t="s">
        <v>12836</v>
      </c>
      <c r="E1859" s="6" t="s">
        <v>12704</v>
      </c>
      <c r="F1859" s="6" t="s">
        <v>371</v>
      </c>
      <c r="G1859" s="6" t="s">
        <v>12837</v>
      </c>
      <c r="H1859" s="7" t="s">
        <v>31</v>
      </c>
      <c r="I1859" s="7">
        <v>1.0</v>
      </c>
      <c r="J1859" s="7">
        <v>1.0</v>
      </c>
      <c r="K1859" s="7" t="s">
        <v>31</v>
      </c>
      <c r="L1859" s="8" t="s">
        <v>12838</v>
      </c>
      <c r="M1859" s="6" t="s">
        <v>12839</v>
      </c>
      <c r="N1859" s="6" t="s">
        <v>12707</v>
      </c>
      <c r="O1859" s="8" t="s">
        <v>12708</v>
      </c>
      <c r="P1859" s="6" t="s">
        <v>12709</v>
      </c>
      <c r="Q1859" s="6" t="s">
        <v>12710</v>
      </c>
      <c r="R1859" s="6" t="s">
        <v>31</v>
      </c>
      <c r="S1859" s="8" t="s">
        <v>12711</v>
      </c>
      <c r="T1859" s="6" t="s">
        <v>3104</v>
      </c>
      <c r="U1859" s="8" t="s">
        <v>31</v>
      </c>
      <c r="V1859" s="6" t="s">
        <v>12840</v>
      </c>
      <c r="W1859" s="6" t="s">
        <v>12704</v>
      </c>
      <c r="X1859" s="9" t="str">
        <f>HYPERLINK("https://my.pitchbook.com?p=374666-68P","View People Online")</f>
        <v>View People Online</v>
      </c>
    </row>
    <row r="1860">
      <c r="A1860" s="10" t="s">
        <v>12841</v>
      </c>
      <c r="B1860" s="10" t="s">
        <v>12842</v>
      </c>
      <c r="C1860" s="10" t="s">
        <v>7194</v>
      </c>
      <c r="D1860" s="10" t="s">
        <v>12843</v>
      </c>
      <c r="E1860" s="10" t="s">
        <v>12704</v>
      </c>
      <c r="F1860" s="10" t="s">
        <v>667</v>
      </c>
      <c r="G1860" s="10" t="s">
        <v>12844</v>
      </c>
      <c r="H1860" s="11" t="s">
        <v>31</v>
      </c>
      <c r="I1860" s="11">
        <v>1.0</v>
      </c>
      <c r="J1860" s="11">
        <v>1.0</v>
      </c>
      <c r="K1860" s="11" t="s">
        <v>31</v>
      </c>
      <c r="L1860" s="12" t="s">
        <v>12838</v>
      </c>
      <c r="M1860" s="10" t="s">
        <v>12845</v>
      </c>
      <c r="N1860" s="10" t="s">
        <v>12707</v>
      </c>
      <c r="O1860" s="12" t="s">
        <v>12708</v>
      </c>
      <c r="P1860" s="10" t="s">
        <v>12709</v>
      </c>
      <c r="Q1860" s="10" t="s">
        <v>12710</v>
      </c>
      <c r="R1860" s="10" t="s">
        <v>31</v>
      </c>
      <c r="S1860" s="12" t="s">
        <v>12711</v>
      </c>
      <c r="T1860" s="10" t="s">
        <v>3104</v>
      </c>
      <c r="U1860" s="12" t="s">
        <v>31</v>
      </c>
      <c r="V1860" s="10" t="s">
        <v>12739</v>
      </c>
      <c r="W1860" s="10" t="s">
        <v>12704</v>
      </c>
      <c r="X1860" s="13" t="str">
        <f>HYPERLINK("https://my.pitchbook.com?p=395436-88P","View People Online")</f>
        <v>View People Online</v>
      </c>
    </row>
    <row r="1861">
      <c r="A1861" s="14" t="s">
        <v>12846</v>
      </c>
      <c r="B1861" s="14" t="s">
        <v>12847</v>
      </c>
      <c r="C1861" s="14" t="s">
        <v>12848</v>
      </c>
      <c r="D1861" s="14" t="s">
        <v>12849</v>
      </c>
      <c r="E1861" s="14" t="s">
        <v>12704</v>
      </c>
      <c r="F1861" s="14" t="s">
        <v>667</v>
      </c>
      <c r="G1861" s="14" t="s">
        <v>12850</v>
      </c>
      <c r="H1861" s="15" t="s">
        <v>31</v>
      </c>
      <c r="I1861" s="15">
        <v>1.0</v>
      </c>
      <c r="J1861" s="15">
        <v>1.0</v>
      </c>
      <c r="K1861" s="15" t="s">
        <v>31</v>
      </c>
      <c r="L1861" s="16" t="s">
        <v>12706</v>
      </c>
      <c r="M1861" s="14" t="s">
        <v>12851</v>
      </c>
      <c r="N1861" s="14" t="s">
        <v>12707</v>
      </c>
      <c r="O1861" s="16" t="s">
        <v>12708</v>
      </c>
      <c r="P1861" s="14" t="s">
        <v>12709</v>
      </c>
      <c r="Q1861" s="14" t="s">
        <v>12710</v>
      </c>
      <c r="R1861" s="14" t="s">
        <v>31</v>
      </c>
      <c r="S1861" s="16" t="s">
        <v>12711</v>
      </c>
      <c r="T1861" s="14" t="s">
        <v>3104</v>
      </c>
      <c r="U1861" s="16" t="s">
        <v>31</v>
      </c>
      <c r="V1861" s="14" t="s">
        <v>12852</v>
      </c>
      <c r="W1861" s="14" t="s">
        <v>12704</v>
      </c>
      <c r="X1861" s="17" t="str">
        <f>HYPERLINK("https://my.pitchbook.com?p=395438-59P","View People Online")</f>
        <v>View People Online</v>
      </c>
    </row>
    <row r="1862">
      <c r="A1862" s="10" t="s">
        <v>12853</v>
      </c>
      <c r="B1862" s="10" t="s">
        <v>12854</v>
      </c>
      <c r="C1862" s="10" t="s">
        <v>12855</v>
      </c>
      <c r="D1862" s="10" t="s">
        <v>12856</v>
      </c>
      <c r="E1862" s="10" t="s">
        <v>12704</v>
      </c>
      <c r="F1862" s="10" t="s">
        <v>548</v>
      </c>
      <c r="G1862" s="10" t="s">
        <v>12857</v>
      </c>
      <c r="H1862" s="11" t="s">
        <v>31</v>
      </c>
      <c r="I1862" s="11">
        <v>1.0</v>
      </c>
      <c r="J1862" s="11">
        <v>1.0</v>
      </c>
      <c r="K1862" s="11" t="s">
        <v>31</v>
      </c>
      <c r="L1862" s="12" t="s">
        <v>12706</v>
      </c>
      <c r="M1862" s="10" t="s">
        <v>12858</v>
      </c>
      <c r="N1862" s="10" t="s">
        <v>12707</v>
      </c>
      <c r="O1862" s="12" t="s">
        <v>12708</v>
      </c>
      <c r="P1862" s="10" t="s">
        <v>12709</v>
      </c>
      <c r="Q1862" s="10" t="s">
        <v>12710</v>
      </c>
      <c r="R1862" s="10" t="s">
        <v>31</v>
      </c>
      <c r="S1862" s="12" t="s">
        <v>12711</v>
      </c>
      <c r="T1862" s="10" t="s">
        <v>3104</v>
      </c>
      <c r="U1862" s="12" t="s">
        <v>31</v>
      </c>
      <c r="V1862" s="10" t="s">
        <v>12782</v>
      </c>
      <c r="W1862" s="10" t="s">
        <v>12704</v>
      </c>
      <c r="X1862" s="13" t="str">
        <f>HYPERLINK("https://my.pitchbook.com?p=62958-16P","View People Online")</f>
        <v>View People Online</v>
      </c>
    </row>
    <row r="1863">
      <c r="A1863" s="14" t="s">
        <v>12859</v>
      </c>
      <c r="B1863" s="14" t="s">
        <v>12860</v>
      </c>
      <c r="C1863" s="14" t="s">
        <v>12861</v>
      </c>
      <c r="D1863" s="14" t="s">
        <v>12862</v>
      </c>
      <c r="E1863" s="14" t="s">
        <v>12704</v>
      </c>
      <c r="F1863" s="14" t="s">
        <v>371</v>
      </c>
      <c r="G1863" s="14" t="s">
        <v>12863</v>
      </c>
      <c r="H1863" s="15" t="s">
        <v>31</v>
      </c>
      <c r="I1863" s="15">
        <v>1.0</v>
      </c>
      <c r="J1863" s="15">
        <v>1.0</v>
      </c>
      <c r="K1863" s="15" t="s">
        <v>31</v>
      </c>
      <c r="L1863" s="16" t="s">
        <v>12706</v>
      </c>
      <c r="M1863" s="14" t="s">
        <v>12864</v>
      </c>
      <c r="N1863" s="14" t="s">
        <v>12707</v>
      </c>
      <c r="O1863" s="16" t="s">
        <v>12708</v>
      </c>
      <c r="P1863" s="14" t="s">
        <v>12709</v>
      </c>
      <c r="Q1863" s="14" t="s">
        <v>12710</v>
      </c>
      <c r="R1863" s="14" t="s">
        <v>31</v>
      </c>
      <c r="S1863" s="16" t="s">
        <v>12711</v>
      </c>
      <c r="T1863" s="14" t="s">
        <v>3104</v>
      </c>
      <c r="U1863" s="16" t="s">
        <v>31</v>
      </c>
      <c r="V1863" s="14" t="s">
        <v>12832</v>
      </c>
      <c r="W1863" s="14" t="s">
        <v>12704</v>
      </c>
      <c r="X1863" s="17" t="str">
        <f>HYPERLINK("https://my.pitchbook.com?p=203313-16P","View People Online")</f>
        <v>View People Online</v>
      </c>
    </row>
    <row r="1864">
      <c r="A1864" s="2" t="s">
        <v>12865</v>
      </c>
      <c r="B1864" s="2" t="s">
        <v>12866</v>
      </c>
      <c r="C1864" s="2" t="s">
        <v>12867</v>
      </c>
      <c r="D1864" s="2" t="s">
        <v>12868</v>
      </c>
      <c r="E1864" s="2" t="s">
        <v>12704</v>
      </c>
      <c r="F1864" s="2" t="s">
        <v>667</v>
      </c>
      <c r="G1864" s="2" t="s">
        <v>12869</v>
      </c>
      <c r="H1864" s="3" t="s">
        <v>31</v>
      </c>
      <c r="I1864" s="3">
        <v>2.0</v>
      </c>
      <c r="J1864" s="3">
        <v>2.0</v>
      </c>
      <c r="K1864" s="3" t="s">
        <v>31</v>
      </c>
      <c r="L1864" s="4" t="s">
        <v>12706</v>
      </c>
      <c r="M1864" s="2" t="s">
        <v>12870</v>
      </c>
      <c r="N1864" s="2" t="s">
        <v>12707</v>
      </c>
      <c r="O1864" s="4" t="s">
        <v>12708</v>
      </c>
      <c r="P1864" s="2" t="s">
        <v>12709</v>
      </c>
      <c r="Q1864" s="2" t="s">
        <v>12710</v>
      </c>
      <c r="R1864" s="2" t="s">
        <v>31</v>
      </c>
      <c r="S1864" s="4" t="s">
        <v>12711</v>
      </c>
      <c r="T1864" s="2" t="s">
        <v>3104</v>
      </c>
      <c r="U1864" s="4" t="s">
        <v>31</v>
      </c>
      <c r="V1864" s="2" t="s">
        <v>12871</v>
      </c>
      <c r="W1864" s="2" t="s">
        <v>12704</v>
      </c>
      <c r="X1864" s="5" t="str">
        <f>HYPERLINK("https://my.pitchbook.com?p=423841-42P","View People Online")</f>
        <v>View People Online</v>
      </c>
    </row>
    <row r="1865">
      <c r="A1865" s="6" t="s">
        <v>12872</v>
      </c>
      <c r="B1865" s="6" t="s">
        <v>12873</v>
      </c>
      <c r="C1865" s="6" t="s">
        <v>11437</v>
      </c>
      <c r="D1865" s="6" t="s">
        <v>8016</v>
      </c>
      <c r="E1865" s="6" t="s">
        <v>12704</v>
      </c>
      <c r="F1865" s="6" t="s">
        <v>667</v>
      </c>
      <c r="G1865" s="6" t="s">
        <v>12874</v>
      </c>
      <c r="H1865" s="7" t="s">
        <v>31</v>
      </c>
      <c r="I1865" s="7">
        <v>1.0</v>
      </c>
      <c r="J1865" s="7">
        <v>1.0</v>
      </c>
      <c r="K1865" s="7" t="s">
        <v>31</v>
      </c>
      <c r="L1865" s="8" t="s">
        <v>12706</v>
      </c>
      <c r="M1865" s="6" t="s">
        <v>12875</v>
      </c>
      <c r="N1865" s="6" t="s">
        <v>12707</v>
      </c>
      <c r="O1865" s="8" t="s">
        <v>12708</v>
      </c>
      <c r="P1865" s="6" t="s">
        <v>12709</v>
      </c>
      <c r="Q1865" s="6" t="s">
        <v>12710</v>
      </c>
      <c r="R1865" s="6" t="s">
        <v>31</v>
      </c>
      <c r="S1865" s="8" t="s">
        <v>12711</v>
      </c>
      <c r="T1865" s="6" t="s">
        <v>3104</v>
      </c>
      <c r="U1865" s="8" t="s">
        <v>31</v>
      </c>
      <c r="V1865" s="6" t="s">
        <v>12760</v>
      </c>
      <c r="W1865" s="6" t="s">
        <v>12704</v>
      </c>
      <c r="X1865" s="9" t="str">
        <f>HYPERLINK("https://my.pitchbook.com?p=455492-62P","View People Online")</f>
        <v>View People Online</v>
      </c>
    </row>
    <row r="1866">
      <c r="A1866" s="2" t="s">
        <v>12876</v>
      </c>
      <c r="B1866" s="2" t="s">
        <v>12877</v>
      </c>
      <c r="C1866" s="2" t="s">
        <v>12878</v>
      </c>
      <c r="D1866" s="2" t="s">
        <v>12879</v>
      </c>
      <c r="E1866" s="2" t="s">
        <v>12704</v>
      </c>
      <c r="F1866" s="2" t="s">
        <v>1283</v>
      </c>
      <c r="G1866" s="2" t="s">
        <v>12880</v>
      </c>
      <c r="H1866" s="3">
        <v>2.0</v>
      </c>
      <c r="I1866" s="3">
        <v>11.0</v>
      </c>
      <c r="J1866" s="3">
        <v>2.0</v>
      </c>
      <c r="K1866" s="3">
        <v>6.0</v>
      </c>
      <c r="L1866" s="4" t="s">
        <v>12706</v>
      </c>
      <c r="M1866" s="2" t="s">
        <v>12881</v>
      </c>
      <c r="N1866" s="2" t="s">
        <v>12707</v>
      </c>
      <c r="O1866" s="4" t="s">
        <v>12708</v>
      </c>
      <c r="P1866" s="2" t="s">
        <v>12709</v>
      </c>
      <c r="Q1866" s="2" t="s">
        <v>12710</v>
      </c>
      <c r="R1866" s="2" t="s">
        <v>31</v>
      </c>
      <c r="S1866" s="4" t="s">
        <v>12711</v>
      </c>
      <c r="T1866" s="2" t="s">
        <v>3104</v>
      </c>
      <c r="U1866" s="4" t="s">
        <v>31</v>
      </c>
      <c r="V1866" s="2" t="s">
        <v>12882</v>
      </c>
      <c r="W1866" s="2" t="s">
        <v>12704</v>
      </c>
      <c r="X1866" s="5" t="str">
        <f>HYPERLINK("https://my.pitchbook.com?p=64916-11P","View People Online")</f>
        <v>View People Online</v>
      </c>
    </row>
    <row r="1867">
      <c r="A1867" s="14" t="s">
        <v>12883</v>
      </c>
      <c r="B1867" s="14" t="s">
        <v>12884</v>
      </c>
      <c r="C1867" s="14" t="s">
        <v>12885</v>
      </c>
      <c r="D1867" s="14" t="s">
        <v>12886</v>
      </c>
      <c r="E1867" s="14" t="s">
        <v>12704</v>
      </c>
      <c r="F1867" s="14" t="s">
        <v>371</v>
      </c>
      <c r="G1867" s="14" t="s">
        <v>12887</v>
      </c>
      <c r="H1867" s="15" t="s">
        <v>31</v>
      </c>
      <c r="I1867" s="15">
        <v>1.0</v>
      </c>
      <c r="J1867" s="15">
        <v>1.0</v>
      </c>
      <c r="K1867" s="15" t="s">
        <v>31</v>
      </c>
      <c r="L1867" s="16" t="s">
        <v>12706</v>
      </c>
      <c r="M1867" s="14" t="s">
        <v>12888</v>
      </c>
      <c r="N1867" s="14" t="s">
        <v>12707</v>
      </c>
      <c r="O1867" s="16" t="s">
        <v>12708</v>
      </c>
      <c r="P1867" s="14" t="s">
        <v>12709</v>
      </c>
      <c r="Q1867" s="14" t="s">
        <v>12710</v>
      </c>
      <c r="R1867" s="14" t="s">
        <v>31</v>
      </c>
      <c r="S1867" s="16" t="s">
        <v>12711</v>
      </c>
      <c r="T1867" s="14" t="s">
        <v>3104</v>
      </c>
      <c r="U1867" s="16" t="s">
        <v>31</v>
      </c>
      <c r="V1867" s="14" t="s">
        <v>12732</v>
      </c>
      <c r="W1867" s="14" t="s">
        <v>12704</v>
      </c>
      <c r="X1867" s="17" t="str">
        <f>HYPERLINK("https://my.pitchbook.com?p=320345-29P","View People Online")</f>
        <v>View People Online</v>
      </c>
    </row>
    <row r="1868">
      <c r="A1868" s="2" t="s">
        <v>12889</v>
      </c>
      <c r="B1868" s="2" t="s">
        <v>12890</v>
      </c>
      <c r="C1868" s="2" t="s">
        <v>12891</v>
      </c>
      <c r="D1868" s="2" t="s">
        <v>8101</v>
      </c>
      <c r="E1868" s="2" t="s">
        <v>12704</v>
      </c>
      <c r="F1868" s="2" t="s">
        <v>221</v>
      </c>
      <c r="G1868" s="2" t="s">
        <v>12892</v>
      </c>
      <c r="H1868" s="3" t="s">
        <v>31</v>
      </c>
      <c r="I1868" s="3">
        <v>1.0</v>
      </c>
      <c r="J1868" s="3">
        <v>1.0</v>
      </c>
      <c r="K1868" s="3" t="s">
        <v>31</v>
      </c>
      <c r="L1868" s="4" t="s">
        <v>12706</v>
      </c>
      <c r="M1868" s="2" t="s">
        <v>12893</v>
      </c>
      <c r="N1868" s="2" t="s">
        <v>12707</v>
      </c>
      <c r="O1868" s="4" t="s">
        <v>12708</v>
      </c>
      <c r="P1868" s="2" t="s">
        <v>12709</v>
      </c>
      <c r="Q1868" s="2" t="s">
        <v>12710</v>
      </c>
      <c r="R1868" s="2" t="s">
        <v>31</v>
      </c>
      <c r="S1868" s="4" t="s">
        <v>12711</v>
      </c>
      <c r="T1868" s="2" t="s">
        <v>3104</v>
      </c>
      <c r="U1868" s="4" t="s">
        <v>31</v>
      </c>
      <c r="V1868" s="2" t="s">
        <v>12894</v>
      </c>
      <c r="W1868" s="2" t="s">
        <v>12704</v>
      </c>
      <c r="X1868" s="5" t="str">
        <f>HYPERLINK("https://my.pitchbook.com?p=320347-36P","View People Online")</f>
        <v>View People Online</v>
      </c>
    </row>
    <row r="1869">
      <c r="A1869" s="14" t="s">
        <v>12895</v>
      </c>
      <c r="B1869" s="14" t="s">
        <v>12896</v>
      </c>
      <c r="C1869" s="14" t="s">
        <v>1502</v>
      </c>
      <c r="D1869" s="14" t="s">
        <v>1267</v>
      </c>
      <c r="E1869" s="14" t="s">
        <v>12704</v>
      </c>
      <c r="F1869" s="14" t="s">
        <v>318</v>
      </c>
      <c r="G1869" s="14" t="s">
        <v>12897</v>
      </c>
      <c r="H1869" s="15" t="s">
        <v>31</v>
      </c>
      <c r="I1869" s="15">
        <v>1.0</v>
      </c>
      <c r="J1869" s="15">
        <v>1.0</v>
      </c>
      <c r="K1869" s="15" t="s">
        <v>31</v>
      </c>
      <c r="L1869" s="16" t="s">
        <v>12706</v>
      </c>
      <c r="M1869" s="14" t="s">
        <v>12898</v>
      </c>
      <c r="N1869" s="14" t="s">
        <v>12707</v>
      </c>
      <c r="O1869" s="16" t="s">
        <v>12708</v>
      </c>
      <c r="P1869" s="14" t="s">
        <v>12709</v>
      </c>
      <c r="Q1869" s="14" t="s">
        <v>12710</v>
      </c>
      <c r="R1869" s="14" t="s">
        <v>31</v>
      </c>
      <c r="S1869" s="16" t="s">
        <v>12711</v>
      </c>
      <c r="T1869" s="14" t="s">
        <v>3104</v>
      </c>
      <c r="U1869" s="16" t="s">
        <v>31</v>
      </c>
      <c r="V1869" s="14" t="s">
        <v>12899</v>
      </c>
      <c r="W1869" s="14" t="s">
        <v>12704</v>
      </c>
      <c r="X1869" s="17" t="str">
        <f>HYPERLINK("https://my.pitchbook.com?p=320339-17P","View People Online")</f>
        <v>View People Online</v>
      </c>
    </row>
    <row r="1870">
      <c r="A1870" s="10" t="s">
        <v>12900</v>
      </c>
      <c r="B1870" s="10" t="s">
        <v>12901</v>
      </c>
      <c r="C1870" s="10" t="s">
        <v>2288</v>
      </c>
      <c r="D1870" s="10" t="s">
        <v>12902</v>
      </c>
      <c r="E1870" s="10" t="s">
        <v>12704</v>
      </c>
      <c r="F1870" s="10" t="s">
        <v>78</v>
      </c>
      <c r="G1870" s="10" t="s">
        <v>12903</v>
      </c>
      <c r="H1870" s="11" t="s">
        <v>31</v>
      </c>
      <c r="I1870" s="11">
        <v>1.0</v>
      </c>
      <c r="J1870" s="11">
        <v>1.0</v>
      </c>
      <c r="K1870" s="11" t="s">
        <v>31</v>
      </c>
      <c r="L1870" s="12" t="s">
        <v>12706</v>
      </c>
      <c r="M1870" s="10" t="s">
        <v>12904</v>
      </c>
      <c r="N1870" s="10" t="s">
        <v>12707</v>
      </c>
      <c r="O1870" s="12" t="s">
        <v>12708</v>
      </c>
      <c r="P1870" s="10" t="s">
        <v>12709</v>
      </c>
      <c r="Q1870" s="10" t="s">
        <v>12710</v>
      </c>
      <c r="R1870" s="10" t="s">
        <v>31</v>
      </c>
      <c r="S1870" s="12" t="s">
        <v>12711</v>
      </c>
      <c r="T1870" s="10" t="s">
        <v>3104</v>
      </c>
      <c r="U1870" s="12" t="s">
        <v>31</v>
      </c>
      <c r="V1870" s="10" t="s">
        <v>78</v>
      </c>
      <c r="W1870" s="10" t="s">
        <v>12704</v>
      </c>
      <c r="X1870" s="13" t="str">
        <f>HYPERLINK("https://my.pitchbook.com?p=455517-37P","View People Online")</f>
        <v>View People Online</v>
      </c>
    </row>
    <row r="1871">
      <c r="A1871" s="6" t="s">
        <v>12905</v>
      </c>
      <c r="B1871" s="6" t="s">
        <v>12906</v>
      </c>
      <c r="C1871" s="6" t="s">
        <v>12907</v>
      </c>
      <c r="D1871" s="6" t="s">
        <v>12908</v>
      </c>
      <c r="E1871" s="6" t="s">
        <v>12704</v>
      </c>
      <c r="F1871" s="6" t="s">
        <v>470</v>
      </c>
      <c r="G1871" s="6" t="s">
        <v>12909</v>
      </c>
      <c r="H1871" s="7" t="s">
        <v>31</v>
      </c>
      <c r="I1871" s="7">
        <v>1.0</v>
      </c>
      <c r="J1871" s="7">
        <v>1.0</v>
      </c>
      <c r="K1871" s="7" t="s">
        <v>31</v>
      </c>
      <c r="L1871" s="8" t="s">
        <v>12706</v>
      </c>
      <c r="M1871" s="6" t="s">
        <v>31</v>
      </c>
      <c r="N1871" s="6" t="s">
        <v>12707</v>
      </c>
      <c r="O1871" s="8" t="s">
        <v>12708</v>
      </c>
      <c r="P1871" s="6" t="s">
        <v>12709</v>
      </c>
      <c r="Q1871" s="6" t="s">
        <v>12710</v>
      </c>
      <c r="R1871" s="6" t="s">
        <v>31</v>
      </c>
      <c r="S1871" s="8" t="s">
        <v>12711</v>
      </c>
      <c r="T1871" s="6" t="s">
        <v>3104</v>
      </c>
      <c r="U1871" s="8" t="s">
        <v>31</v>
      </c>
      <c r="V1871" s="6" t="s">
        <v>470</v>
      </c>
      <c r="W1871" s="6" t="s">
        <v>12704</v>
      </c>
      <c r="X1871" s="9" t="str">
        <f>HYPERLINK("https://my.pitchbook.com?p=150443-29P","View People Online")</f>
        <v>View People Online</v>
      </c>
    </row>
    <row r="1872">
      <c r="A1872" s="2" t="s">
        <v>12910</v>
      </c>
      <c r="B1872" s="2" t="s">
        <v>12911</v>
      </c>
      <c r="C1872" s="2" t="s">
        <v>12912</v>
      </c>
      <c r="D1872" s="2" t="s">
        <v>12913</v>
      </c>
      <c r="E1872" s="2" t="s">
        <v>12704</v>
      </c>
      <c r="F1872" s="2" t="s">
        <v>667</v>
      </c>
      <c r="G1872" s="2" t="s">
        <v>12914</v>
      </c>
      <c r="H1872" s="3" t="s">
        <v>31</v>
      </c>
      <c r="I1872" s="3">
        <v>1.0</v>
      </c>
      <c r="J1872" s="3">
        <v>1.0</v>
      </c>
      <c r="K1872" s="3" t="s">
        <v>31</v>
      </c>
      <c r="L1872" s="4" t="s">
        <v>12706</v>
      </c>
      <c r="M1872" s="2" t="s">
        <v>12915</v>
      </c>
      <c r="N1872" s="2" t="s">
        <v>12707</v>
      </c>
      <c r="O1872" s="4" t="s">
        <v>12708</v>
      </c>
      <c r="P1872" s="2" t="s">
        <v>12709</v>
      </c>
      <c r="Q1872" s="2" t="s">
        <v>12710</v>
      </c>
      <c r="R1872" s="2" t="s">
        <v>31</v>
      </c>
      <c r="S1872" s="4" t="s">
        <v>12711</v>
      </c>
      <c r="T1872" s="2" t="s">
        <v>3104</v>
      </c>
      <c r="U1872" s="4" t="s">
        <v>31</v>
      </c>
      <c r="V1872" s="2" t="s">
        <v>12746</v>
      </c>
      <c r="W1872" s="2" t="s">
        <v>12704</v>
      </c>
      <c r="X1872" s="5" t="str">
        <f>HYPERLINK("https://my.pitchbook.com?p=395438-41P","View People Online")</f>
        <v>View People Online</v>
      </c>
    </row>
    <row r="1873">
      <c r="A1873" s="14" t="s">
        <v>12916</v>
      </c>
      <c r="B1873" s="14" t="s">
        <v>12917</v>
      </c>
      <c r="C1873" s="14" t="s">
        <v>11929</v>
      </c>
      <c r="D1873" s="14" t="s">
        <v>12918</v>
      </c>
      <c r="E1873" s="14" t="s">
        <v>12704</v>
      </c>
      <c r="F1873" s="14" t="s">
        <v>270</v>
      </c>
      <c r="G1873" s="14" t="s">
        <v>12919</v>
      </c>
      <c r="H1873" s="15">
        <v>4.0</v>
      </c>
      <c r="I1873" s="15">
        <v>28.0</v>
      </c>
      <c r="J1873" s="15">
        <v>4.0</v>
      </c>
      <c r="K1873" s="15">
        <v>15.0</v>
      </c>
      <c r="L1873" s="16" t="s">
        <v>12920</v>
      </c>
      <c r="M1873" s="14" t="s">
        <v>12921</v>
      </c>
      <c r="N1873" s="14" t="s">
        <v>1454</v>
      </c>
      <c r="O1873" s="16" t="s">
        <v>1455</v>
      </c>
      <c r="P1873" s="14" t="s">
        <v>12922</v>
      </c>
      <c r="Q1873" s="14" t="s">
        <v>12923</v>
      </c>
      <c r="R1873" s="14" t="s">
        <v>93</v>
      </c>
      <c r="S1873" s="16" t="s">
        <v>12924</v>
      </c>
      <c r="T1873" s="14" t="s">
        <v>66</v>
      </c>
      <c r="U1873" s="16" t="s">
        <v>31</v>
      </c>
      <c r="V1873" s="14" t="s">
        <v>57</v>
      </c>
      <c r="W1873" s="14" t="s">
        <v>12925</v>
      </c>
      <c r="X1873" s="17" t="str">
        <f>HYPERLINK("https://my.pitchbook.com?p=51488-47P","View People Online")</f>
        <v>View People Online</v>
      </c>
    </row>
    <row r="1874">
      <c r="A1874" s="2" t="s">
        <v>12926</v>
      </c>
      <c r="B1874" s="2" t="s">
        <v>12927</v>
      </c>
      <c r="C1874" s="2" t="s">
        <v>126</v>
      </c>
      <c r="D1874" s="2" t="s">
        <v>12928</v>
      </c>
      <c r="E1874" s="2" t="s">
        <v>12704</v>
      </c>
      <c r="F1874" s="2" t="s">
        <v>270</v>
      </c>
      <c r="G1874" s="2" t="s">
        <v>12929</v>
      </c>
      <c r="H1874" s="3">
        <v>1.0</v>
      </c>
      <c r="I1874" s="3">
        <v>9.0</v>
      </c>
      <c r="J1874" s="3">
        <v>3.0</v>
      </c>
      <c r="K1874" s="3">
        <v>2.0</v>
      </c>
      <c r="L1874" s="4" t="s">
        <v>12930</v>
      </c>
      <c r="M1874" s="2" t="s">
        <v>12931</v>
      </c>
      <c r="N1874" s="2" t="s">
        <v>12932</v>
      </c>
      <c r="O1874" s="4" t="s">
        <v>12933</v>
      </c>
      <c r="P1874" s="2" t="s">
        <v>12934</v>
      </c>
      <c r="Q1874" s="2" t="s">
        <v>31</v>
      </c>
      <c r="R1874" s="2" t="s">
        <v>31</v>
      </c>
      <c r="S1874" s="4" t="s">
        <v>12935</v>
      </c>
      <c r="T1874" s="2" t="s">
        <v>3104</v>
      </c>
      <c r="U1874" s="4" t="s">
        <v>31</v>
      </c>
      <c r="V1874" s="2" t="s">
        <v>7566</v>
      </c>
      <c r="W1874" s="2" t="s">
        <v>12936</v>
      </c>
      <c r="X1874" s="5" t="str">
        <f>HYPERLINK("https://my.pitchbook.com?p=13779-91P","View People Online")</f>
        <v>View People Online</v>
      </c>
    </row>
    <row r="1875">
      <c r="A1875" s="14" t="s">
        <v>12937</v>
      </c>
      <c r="B1875" s="14" t="s">
        <v>12938</v>
      </c>
      <c r="C1875" s="14" t="s">
        <v>12939</v>
      </c>
      <c r="D1875" s="14" t="s">
        <v>12940</v>
      </c>
      <c r="E1875" s="14" t="s">
        <v>12704</v>
      </c>
      <c r="F1875" s="14" t="s">
        <v>371</v>
      </c>
      <c r="G1875" s="14" t="s">
        <v>12941</v>
      </c>
      <c r="H1875" s="15" t="s">
        <v>31</v>
      </c>
      <c r="I1875" s="15">
        <v>1.0</v>
      </c>
      <c r="J1875" s="15">
        <v>1.0</v>
      </c>
      <c r="K1875" s="15" t="s">
        <v>31</v>
      </c>
      <c r="L1875" s="16" t="s">
        <v>12706</v>
      </c>
      <c r="M1875" s="14" t="s">
        <v>12942</v>
      </c>
      <c r="N1875" s="14" t="s">
        <v>12707</v>
      </c>
      <c r="O1875" s="16" t="s">
        <v>12708</v>
      </c>
      <c r="P1875" s="14" t="s">
        <v>12709</v>
      </c>
      <c r="Q1875" s="14" t="s">
        <v>12710</v>
      </c>
      <c r="R1875" s="14" t="s">
        <v>31</v>
      </c>
      <c r="S1875" s="16" t="s">
        <v>12711</v>
      </c>
      <c r="T1875" s="14" t="s">
        <v>3104</v>
      </c>
      <c r="U1875" s="16" t="s">
        <v>31</v>
      </c>
      <c r="V1875" s="14" t="s">
        <v>12732</v>
      </c>
      <c r="W1875" s="14" t="s">
        <v>12704</v>
      </c>
      <c r="X1875" s="17" t="str">
        <f>HYPERLINK("https://my.pitchbook.com?p=248313-25P","View People Online")</f>
        <v>View People Online</v>
      </c>
    </row>
    <row r="1876">
      <c r="A1876" s="2" t="s">
        <v>12943</v>
      </c>
      <c r="B1876" s="2" t="s">
        <v>12944</v>
      </c>
      <c r="C1876" s="2" t="s">
        <v>3215</v>
      </c>
      <c r="D1876" s="2" t="s">
        <v>12945</v>
      </c>
      <c r="E1876" s="2" t="s">
        <v>12704</v>
      </c>
      <c r="F1876" s="2" t="s">
        <v>2652</v>
      </c>
      <c r="G1876" s="2" t="s">
        <v>12946</v>
      </c>
      <c r="H1876" s="3" t="s">
        <v>31</v>
      </c>
      <c r="I1876" s="3">
        <v>2.0</v>
      </c>
      <c r="J1876" s="3">
        <v>1.0</v>
      </c>
      <c r="K1876" s="3">
        <v>1.0</v>
      </c>
      <c r="L1876" s="4" t="s">
        <v>12947</v>
      </c>
      <c r="M1876" s="2" t="s">
        <v>12948</v>
      </c>
      <c r="N1876" s="2" t="s">
        <v>12707</v>
      </c>
      <c r="O1876" s="4" t="s">
        <v>12708</v>
      </c>
      <c r="P1876" s="2" t="s">
        <v>12709</v>
      </c>
      <c r="Q1876" s="2" t="s">
        <v>12710</v>
      </c>
      <c r="R1876" s="2" t="s">
        <v>31</v>
      </c>
      <c r="S1876" s="4" t="s">
        <v>12711</v>
      </c>
      <c r="T1876" s="2" t="s">
        <v>3104</v>
      </c>
      <c r="U1876" s="4" t="s">
        <v>31</v>
      </c>
      <c r="V1876" s="2" t="s">
        <v>12949</v>
      </c>
      <c r="W1876" s="2" t="s">
        <v>12704</v>
      </c>
      <c r="X1876" s="5" t="str">
        <f>HYPERLINK("https://my.pitchbook.com?p=196422-13P","View People Online")</f>
        <v>View People Online</v>
      </c>
    </row>
    <row r="1877">
      <c r="A1877" s="6" t="s">
        <v>12950</v>
      </c>
      <c r="B1877" s="6" t="s">
        <v>12951</v>
      </c>
      <c r="C1877" s="6" t="s">
        <v>6973</v>
      </c>
      <c r="D1877" s="6" t="s">
        <v>7791</v>
      </c>
      <c r="E1877" s="6" t="s">
        <v>12704</v>
      </c>
      <c r="F1877" s="6" t="s">
        <v>371</v>
      </c>
      <c r="G1877" s="6" t="s">
        <v>12952</v>
      </c>
      <c r="H1877" s="7" t="s">
        <v>31</v>
      </c>
      <c r="I1877" s="7">
        <v>1.0</v>
      </c>
      <c r="J1877" s="7">
        <v>1.0</v>
      </c>
      <c r="K1877" s="7" t="s">
        <v>31</v>
      </c>
      <c r="L1877" s="8" t="s">
        <v>12706</v>
      </c>
      <c r="M1877" s="6" t="s">
        <v>12953</v>
      </c>
      <c r="N1877" s="6" t="s">
        <v>12707</v>
      </c>
      <c r="O1877" s="8" t="s">
        <v>12708</v>
      </c>
      <c r="P1877" s="6" t="s">
        <v>12709</v>
      </c>
      <c r="Q1877" s="6" t="s">
        <v>12710</v>
      </c>
      <c r="R1877" s="6" t="s">
        <v>31</v>
      </c>
      <c r="S1877" s="8" t="s">
        <v>12711</v>
      </c>
      <c r="T1877" s="6" t="s">
        <v>3104</v>
      </c>
      <c r="U1877" s="8" t="s">
        <v>31</v>
      </c>
      <c r="V1877" s="6" t="s">
        <v>12954</v>
      </c>
      <c r="W1877" s="6" t="s">
        <v>12704</v>
      </c>
      <c r="X1877" s="9" t="str">
        <f>HYPERLINK("https://my.pitchbook.com?p=395434-09P","View People Online")</f>
        <v>View People Online</v>
      </c>
    </row>
    <row r="1878">
      <c r="A1878" s="2" t="s">
        <v>12955</v>
      </c>
      <c r="B1878" s="2" t="s">
        <v>12956</v>
      </c>
      <c r="C1878" s="2" t="s">
        <v>12242</v>
      </c>
      <c r="D1878" s="2" t="s">
        <v>12957</v>
      </c>
      <c r="E1878" s="2" t="s">
        <v>12704</v>
      </c>
      <c r="F1878" s="2" t="s">
        <v>548</v>
      </c>
      <c r="G1878" s="2" t="s">
        <v>12958</v>
      </c>
      <c r="H1878" s="3" t="s">
        <v>31</v>
      </c>
      <c r="I1878" s="3">
        <v>4.0</v>
      </c>
      <c r="J1878" s="3">
        <v>1.0</v>
      </c>
      <c r="K1878" s="3">
        <v>3.0</v>
      </c>
      <c r="L1878" s="4" t="s">
        <v>12959</v>
      </c>
      <c r="M1878" s="2" t="s">
        <v>12960</v>
      </c>
      <c r="N1878" s="2" t="s">
        <v>12707</v>
      </c>
      <c r="O1878" s="4" t="s">
        <v>12708</v>
      </c>
      <c r="P1878" s="2" t="s">
        <v>12709</v>
      </c>
      <c r="Q1878" s="2" t="s">
        <v>12710</v>
      </c>
      <c r="R1878" s="2" t="s">
        <v>31</v>
      </c>
      <c r="S1878" s="4" t="s">
        <v>12711</v>
      </c>
      <c r="T1878" s="2" t="s">
        <v>3104</v>
      </c>
      <c r="U1878" s="4" t="s">
        <v>31</v>
      </c>
      <c r="V1878" s="2" t="s">
        <v>12825</v>
      </c>
      <c r="W1878" s="2" t="s">
        <v>12704</v>
      </c>
      <c r="X1878" s="5" t="str">
        <f>HYPERLINK("https://my.pitchbook.com?p=185714-47P","View People Online")</f>
        <v>View People Online</v>
      </c>
    </row>
    <row r="1879">
      <c r="A1879" s="6" t="s">
        <v>12961</v>
      </c>
      <c r="B1879" s="6" t="s">
        <v>12962</v>
      </c>
      <c r="C1879" s="6" t="s">
        <v>3716</v>
      </c>
      <c r="D1879" s="6" t="s">
        <v>12963</v>
      </c>
      <c r="E1879" s="6" t="s">
        <v>12704</v>
      </c>
      <c r="F1879" s="6" t="s">
        <v>270</v>
      </c>
      <c r="G1879" s="6" t="s">
        <v>12964</v>
      </c>
      <c r="H1879" s="7">
        <v>1.0</v>
      </c>
      <c r="I1879" s="7">
        <v>9.0</v>
      </c>
      <c r="J1879" s="7">
        <v>1.0</v>
      </c>
      <c r="K1879" s="7">
        <v>6.0</v>
      </c>
      <c r="L1879" s="8" t="s">
        <v>12965</v>
      </c>
      <c r="M1879" s="6" t="s">
        <v>31</v>
      </c>
      <c r="N1879" s="6" t="s">
        <v>75</v>
      </c>
      <c r="O1879" s="8" t="s">
        <v>76</v>
      </c>
      <c r="P1879" s="6" t="s">
        <v>12966</v>
      </c>
      <c r="Q1879" s="6" t="s">
        <v>12967</v>
      </c>
      <c r="R1879" s="6" t="s">
        <v>75</v>
      </c>
      <c r="S1879" s="8" t="s">
        <v>1432</v>
      </c>
      <c r="T1879" s="6" t="s">
        <v>66</v>
      </c>
      <c r="U1879" s="8" t="s">
        <v>12968</v>
      </c>
      <c r="V1879" s="6" t="s">
        <v>2379</v>
      </c>
      <c r="W1879" s="6" t="s">
        <v>12969</v>
      </c>
      <c r="X1879" s="9" t="str">
        <f>HYPERLINK("https://my.pitchbook.com?p=135133-39P","View People Online")</f>
        <v>View People Online</v>
      </c>
    </row>
    <row r="1880">
      <c r="A1880" s="2" t="s">
        <v>12970</v>
      </c>
      <c r="B1880" s="2" t="s">
        <v>12971</v>
      </c>
      <c r="C1880" s="2" t="s">
        <v>1820</v>
      </c>
      <c r="D1880" s="2" t="s">
        <v>3644</v>
      </c>
      <c r="E1880" s="2" t="s">
        <v>12704</v>
      </c>
      <c r="F1880" s="2" t="s">
        <v>1801</v>
      </c>
      <c r="G1880" s="2" t="s">
        <v>12972</v>
      </c>
      <c r="H1880" s="3" t="s">
        <v>31</v>
      </c>
      <c r="I1880" s="3">
        <v>1.0</v>
      </c>
      <c r="J1880" s="3">
        <v>1.0</v>
      </c>
      <c r="K1880" s="3" t="s">
        <v>31</v>
      </c>
      <c r="L1880" s="4" t="s">
        <v>12706</v>
      </c>
      <c r="M1880" s="2" t="s">
        <v>12973</v>
      </c>
      <c r="N1880" s="2" t="s">
        <v>12707</v>
      </c>
      <c r="O1880" s="4" t="s">
        <v>12708</v>
      </c>
      <c r="P1880" s="2" t="s">
        <v>12709</v>
      </c>
      <c r="Q1880" s="2" t="s">
        <v>12710</v>
      </c>
      <c r="R1880" s="2" t="s">
        <v>31</v>
      </c>
      <c r="S1880" s="4" t="s">
        <v>12711</v>
      </c>
      <c r="T1880" s="2" t="s">
        <v>3104</v>
      </c>
      <c r="U1880" s="4" t="s">
        <v>31</v>
      </c>
      <c r="V1880" s="2" t="s">
        <v>12974</v>
      </c>
      <c r="W1880" s="2" t="s">
        <v>12704</v>
      </c>
      <c r="X1880" s="5" t="str">
        <f>HYPERLINK("https://my.pitchbook.com?p=455523-76P","View People Online")</f>
        <v>View People Online</v>
      </c>
    </row>
    <row r="1881">
      <c r="A1881" s="6" t="s">
        <v>12975</v>
      </c>
      <c r="B1881" s="6" t="s">
        <v>12976</v>
      </c>
      <c r="C1881" s="6" t="s">
        <v>12977</v>
      </c>
      <c r="D1881" s="6" t="s">
        <v>9309</v>
      </c>
      <c r="E1881" s="6" t="s">
        <v>12704</v>
      </c>
      <c r="F1881" s="6" t="s">
        <v>318</v>
      </c>
      <c r="G1881" s="6" t="s">
        <v>12978</v>
      </c>
      <c r="H1881" s="7" t="s">
        <v>31</v>
      </c>
      <c r="I1881" s="7">
        <v>1.0</v>
      </c>
      <c r="J1881" s="7">
        <v>1.0</v>
      </c>
      <c r="K1881" s="7" t="s">
        <v>31</v>
      </c>
      <c r="L1881" s="8" t="s">
        <v>12706</v>
      </c>
      <c r="M1881" s="6" t="s">
        <v>12979</v>
      </c>
      <c r="N1881" s="6" t="s">
        <v>12707</v>
      </c>
      <c r="O1881" s="8" t="s">
        <v>12708</v>
      </c>
      <c r="P1881" s="6" t="s">
        <v>12709</v>
      </c>
      <c r="Q1881" s="6" t="s">
        <v>12710</v>
      </c>
      <c r="R1881" s="6" t="s">
        <v>31</v>
      </c>
      <c r="S1881" s="8" t="s">
        <v>12711</v>
      </c>
      <c r="T1881" s="6" t="s">
        <v>3104</v>
      </c>
      <c r="U1881" s="8" t="s">
        <v>31</v>
      </c>
      <c r="V1881" s="6" t="s">
        <v>12980</v>
      </c>
      <c r="W1881" s="6" t="s">
        <v>12704</v>
      </c>
      <c r="X1881" s="9" t="str">
        <f>HYPERLINK("https://my.pitchbook.com?p=395435-44P","View People Online")</f>
        <v>View People Online</v>
      </c>
    </row>
    <row r="1882">
      <c r="A1882" s="2" t="s">
        <v>12981</v>
      </c>
      <c r="B1882" s="2" t="s">
        <v>12982</v>
      </c>
      <c r="C1882" s="2" t="s">
        <v>562</v>
      </c>
      <c r="D1882" s="2" t="s">
        <v>666</v>
      </c>
      <c r="E1882" s="2" t="s">
        <v>12704</v>
      </c>
      <c r="F1882" s="2" t="s">
        <v>371</v>
      </c>
      <c r="G1882" s="2" t="s">
        <v>12983</v>
      </c>
      <c r="H1882" s="3" t="s">
        <v>31</v>
      </c>
      <c r="I1882" s="3">
        <v>1.0</v>
      </c>
      <c r="J1882" s="3">
        <v>1.0</v>
      </c>
      <c r="K1882" s="3" t="s">
        <v>31</v>
      </c>
      <c r="L1882" s="4" t="s">
        <v>12706</v>
      </c>
      <c r="M1882" s="2" t="s">
        <v>12984</v>
      </c>
      <c r="N1882" s="2" t="s">
        <v>12707</v>
      </c>
      <c r="O1882" s="4" t="s">
        <v>12708</v>
      </c>
      <c r="P1882" s="2" t="s">
        <v>12709</v>
      </c>
      <c r="Q1882" s="2" t="s">
        <v>12710</v>
      </c>
      <c r="R1882" s="2" t="s">
        <v>31</v>
      </c>
      <c r="S1882" s="4" t="s">
        <v>12711</v>
      </c>
      <c r="T1882" s="2" t="s">
        <v>3104</v>
      </c>
      <c r="U1882" s="4" t="s">
        <v>31</v>
      </c>
      <c r="V1882" s="2" t="s">
        <v>12832</v>
      </c>
      <c r="W1882" s="2" t="s">
        <v>12704</v>
      </c>
      <c r="X1882" s="5" t="str">
        <f>HYPERLINK("https://my.pitchbook.com?p=195379-66P","View People Online")</f>
        <v>View People Online</v>
      </c>
    </row>
    <row r="1883">
      <c r="A1883" s="6" t="s">
        <v>12985</v>
      </c>
      <c r="B1883" s="6" t="s">
        <v>12986</v>
      </c>
      <c r="C1883" s="6" t="s">
        <v>12987</v>
      </c>
      <c r="D1883" s="6" t="s">
        <v>12988</v>
      </c>
      <c r="E1883" s="6" t="s">
        <v>12704</v>
      </c>
      <c r="F1883" s="6" t="s">
        <v>2590</v>
      </c>
      <c r="G1883" s="6" t="s">
        <v>12989</v>
      </c>
      <c r="H1883" s="7">
        <v>3.0</v>
      </c>
      <c r="I1883" s="7">
        <v>11.0</v>
      </c>
      <c r="J1883" s="7">
        <v>2.0</v>
      </c>
      <c r="K1883" s="7">
        <v>5.0</v>
      </c>
      <c r="L1883" s="8" t="s">
        <v>12838</v>
      </c>
      <c r="M1883" s="6" t="s">
        <v>12990</v>
      </c>
      <c r="N1883" s="6" t="s">
        <v>12991</v>
      </c>
      <c r="O1883" s="8" t="s">
        <v>12992</v>
      </c>
      <c r="P1883" s="6" t="s">
        <v>12993</v>
      </c>
      <c r="Q1883" s="6" t="s">
        <v>12707</v>
      </c>
      <c r="R1883" s="6" t="s">
        <v>31</v>
      </c>
      <c r="S1883" s="8" t="s">
        <v>12711</v>
      </c>
      <c r="T1883" s="6" t="s">
        <v>3104</v>
      </c>
      <c r="U1883" s="8" t="s">
        <v>12994</v>
      </c>
      <c r="V1883" s="6" t="s">
        <v>12995</v>
      </c>
      <c r="W1883" s="6" t="s">
        <v>12996</v>
      </c>
      <c r="X1883" s="9" t="str">
        <f>HYPERLINK("https://my.pitchbook.com?p=13780-99P","View People Online")</f>
        <v>View People Online</v>
      </c>
    </row>
    <row r="1884">
      <c r="A1884" s="10" t="s">
        <v>12997</v>
      </c>
      <c r="B1884" s="10" t="s">
        <v>12998</v>
      </c>
      <c r="C1884" s="10" t="s">
        <v>12999</v>
      </c>
      <c r="D1884" s="10" t="s">
        <v>13000</v>
      </c>
      <c r="E1884" s="10" t="s">
        <v>12704</v>
      </c>
      <c r="F1884" s="10" t="s">
        <v>667</v>
      </c>
      <c r="G1884" s="10" t="s">
        <v>13001</v>
      </c>
      <c r="H1884" s="11" t="s">
        <v>31</v>
      </c>
      <c r="I1884" s="11">
        <v>1.0</v>
      </c>
      <c r="J1884" s="11">
        <v>1.0</v>
      </c>
      <c r="K1884" s="11" t="s">
        <v>31</v>
      </c>
      <c r="L1884" s="12" t="s">
        <v>12706</v>
      </c>
      <c r="M1884" s="10" t="s">
        <v>13002</v>
      </c>
      <c r="N1884" s="10" t="s">
        <v>12707</v>
      </c>
      <c r="O1884" s="12" t="s">
        <v>12708</v>
      </c>
      <c r="P1884" s="10" t="s">
        <v>12709</v>
      </c>
      <c r="Q1884" s="10" t="s">
        <v>12710</v>
      </c>
      <c r="R1884" s="10" t="s">
        <v>31</v>
      </c>
      <c r="S1884" s="12" t="s">
        <v>12711</v>
      </c>
      <c r="T1884" s="10" t="s">
        <v>3104</v>
      </c>
      <c r="U1884" s="12" t="s">
        <v>31</v>
      </c>
      <c r="V1884" s="10" t="s">
        <v>12871</v>
      </c>
      <c r="W1884" s="10" t="s">
        <v>12704</v>
      </c>
      <c r="X1884" s="13" t="str">
        <f>HYPERLINK("https://my.pitchbook.com?p=455495-32P","View People Online")</f>
        <v>View People Online</v>
      </c>
    </row>
    <row r="1885">
      <c r="A1885" s="14" t="s">
        <v>13003</v>
      </c>
      <c r="B1885" s="14" t="s">
        <v>13004</v>
      </c>
      <c r="C1885" s="14" t="s">
        <v>1697</v>
      </c>
      <c r="D1885" s="14" t="s">
        <v>13005</v>
      </c>
      <c r="E1885" s="14" t="s">
        <v>12704</v>
      </c>
      <c r="F1885" s="14" t="s">
        <v>270</v>
      </c>
      <c r="G1885" s="14" t="s">
        <v>13006</v>
      </c>
      <c r="H1885" s="15" t="s">
        <v>31</v>
      </c>
      <c r="I1885" s="15">
        <v>13.0</v>
      </c>
      <c r="J1885" s="15">
        <v>2.0</v>
      </c>
      <c r="K1885" s="15">
        <v>9.0</v>
      </c>
      <c r="L1885" s="16" t="s">
        <v>13007</v>
      </c>
      <c r="M1885" s="14" t="s">
        <v>13008</v>
      </c>
      <c r="N1885" s="14" t="s">
        <v>332</v>
      </c>
      <c r="O1885" s="16" t="s">
        <v>10854</v>
      </c>
      <c r="P1885" s="14" t="s">
        <v>13009</v>
      </c>
      <c r="Q1885" s="14" t="s">
        <v>31</v>
      </c>
      <c r="R1885" s="14" t="s">
        <v>31</v>
      </c>
      <c r="S1885" s="16" t="s">
        <v>13010</v>
      </c>
      <c r="T1885" s="14" t="s">
        <v>332</v>
      </c>
      <c r="U1885" s="16" t="s">
        <v>31</v>
      </c>
      <c r="V1885" s="14" t="s">
        <v>57</v>
      </c>
      <c r="W1885" s="14" t="s">
        <v>13011</v>
      </c>
      <c r="X1885" s="17" t="str">
        <f>HYPERLINK("https://my.pitchbook.com?p=67136-59P","View People Online")</f>
        <v>View People Online</v>
      </c>
    </row>
    <row r="1886">
      <c r="A1886" s="10" t="s">
        <v>13012</v>
      </c>
      <c r="B1886" s="10" t="s">
        <v>13013</v>
      </c>
      <c r="C1886" s="10" t="s">
        <v>54</v>
      </c>
      <c r="D1886" s="10" t="s">
        <v>13014</v>
      </c>
      <c r="E1886" s="10" t="s">
        <v>13015</v>
      </c>
      <c r="F1886" s="10" t="s">
        <v>86</v>
      </c>
      <c r="G1886" s="10" t="s">
        <v>13016</v>
      </c>
      <c r="H1886" s="11" t="s">
        <v>31</v>
      </c>
      <c r="I1886" s="11">
        <v>23.0</v>
      </c>
      <c r="J1886" s="11">
        <v>1.0</v>
      </c>
      <c r="K1886" s="11">
        <v>19.0</v>
      </c>
      <c r="L1886" s="12" t="s">
        <v>13017</v>
      </c>
      <c r="M1886" s="10" t="s">
        <v>13018</v>
      </c>
      <c r="N1886" s="10" t="s">
        <v>155</v>
      </c>
      <c r="O1886" s="12" t="s">
        <v>156</v>
      </c>
      <c r="P1886" s="10" t="s">
        <v>31</v>
      </c>
      <c r="Q1886" s="10" t="s">
        <v>31</v>
      </c>
      <c r="R1886" s="10" t="s">
        <v>64</v>
      </c>
      <c r="S1886" s="12" t="s">
        <v>13019</v>
      </c>
      <c r="T1886" s="10" t="s">
        <v>66</v>
      </c>
      <c r="U1886" s="12" t="s">
        <v>31</v>
      </c>
      <c r="V1886" s="10" t="s">
        <v>95</v>
      </c>
      <c r="W1886" s="10" t="s">
        <v>13015</v>
      </c>
      <c r="X1886" s="13" t="str">
        <f>HYPERLINK("https://my.pitchbook.com?p=170519-32P","View People Online")</f>
        <v>View People Online</v>
      </c>
    </row>
    <row r="1887">
      <c r="A1887" s="6" t="s">
        <v>13020</v>
      </c>
      <c r="B1887" s="6" t="s">
        <v>13021</v>
      </c>
      <c r="C1887" s="6" t="s">
        <v>1449</v>
      </c>
      <c r="D1887" s="6" t="s">
        <v>13022</v>
      </c>
      <c r="E1887" s="6" t="s">
        <v>13015</v>
      </c>
      <c r="F1887" s="6" t="s">
        <v>29</v>
      </c>
      <c r="G1887" s="6" t="s">
        <v>13023</v>
      </c>
      <c r="H1887" s="7" t="s">
        <v>31</v>
      </c>
      <c r="I1887" s="7">
        <v>2.0</v>
      </c>
      <c r="J1887" s="7">
        <v>1.0</v>
      </c>
      <c r="K1887" s="7" t="s">
        <v>31</v>
      </c>
      <c r="L1887" s="8" t="s">
        <v>13024</v>
      </c>
      <c r="M1887" s="6" t="s">
        <v>31</v>
      </c>
      <c r="N1887" s="6" t="s">
        <v>155</v>
      </c>
      <c r="O1887" s="8" t="s">
        <v>156</v>
      </c>
      <c r="P1887" s="6" t="s">
        <v>31</v>
      </c>
      <c r="Q1887" s="6" t="s">
        <v>31</v>
      </c>
      <c r="R1887" s="6" t="s">
        <v>64</v>
      </c>
      <c r="S1887" s="8" t="s">
        <v>13019</v>
      </c>
      <c r="T1887" s="6" t="s">
        <v>66</v>
      </c>
      <c r="U1887" s="8" t="s">
        <v>31</v>
      </c>
      <c r="V1887" s="6" t="s">
        <v>29</v>
      </c>
      <c r="W1887" s="6" t="s">
        <v>13015</v>
      </c>
      <c r="X1887" s="9" t="str">
        <f>HYPERLINK("https://my.pitchbook.com?p=247655-62P","View People Online")</f>
        <v>View People Online</v>
      </c>
    </row>
    <row r="1888">
      <c r="A1888" s="10" t="s">
        <v>13025</v>
      </c>
      <c r="B1888" s="10" t="s">
        <v>13026</v>
      </c>
      <c r="C1888" s="10" t="s">
        <v>1449</v>
      </c>
      <c r="D1888" s="10" t="s">
        <v>13027</v>
      </c>
      <c r="E1888" s="10" t="s">
        <v>13015</v>
      </c>
      <c r="F1888" s="10" t="s">
        <v>270</v>
      </c>
      <c r="G1888" s="10" t="s">
        <v>13028</v>
      </c>
      <c r="H1888" s="11">
        <v>3.0</v>
      </c>
      <c r="I1888" s="11">
        <v>9.0</v>
      </c>
      <c r="J1888" s="11">
        <v>2.0</v>
      </c>
      <c r="K1888" s="11">
        <v>3.0</v>
      </c>
      <c r="L1888" s="12" t="s">
        <v>13029</v>
      </c>
      <c r="M1888" s="10" t="s">
        <v>31</v>
      </c>
      <c r="N1888" s="10" t="s">
        <v>3766</v>
      </c>
      <c r="O1888" s="12" t="s">
        <v>3767</v>
      </c>
      <c r="P1888" s="10" t="s">
        <v>13030</v>
      </c>
      <c r="Q1888" s="10" t="s">
        <v>1719</v>
      </c>
      <c r="R1888" s="10" t="s">
        <v>64</v>
      </c>
      <c r="S1888" s="12" t="s">
        <v>13031</v>
      </c>
      <c r="T1888" s="10" t="s">
        <v>66</v>
      </c>
      <c r="U1888" s="12" t="s">
        <v>13032</v>
      </c>
      <c r="V1888" s="10" t="s">
        <v>81</v>
      </c>
      <c r="W1888" s="10" t="s">
        <v>13033</v>
      </c>
      <c r="X1888" s="13" t="str">
        <f>HYPERLINK("https://my.pitchbook.com?p=38009-35P","View People Online")</f>
        <v>View People Online</v>
      </c>
    </row>
    <row r="1889">
      <c r="A1889" s="6" t="s">
        <v>13034</v>
      </c>
      <c r="B1889" s="6" t="s">
        <v>13035</v>
      </c>
      <c r="C1889" s="6" t="s">
        <v>3082</v>
      </c>
      <c r="D1889" s="6" t="s">
        <v>13036</v>
      </c>
      <c r="E1889" s="6" t="s">
        <v>13037</v>
      </c>
      <c r="F1889" s="6" t="s">
        <v>3823</v>
      </c>
      <c r="G1889" s="6" t="s">
        <v>13038</v>
      </c>
      <c r="H1889" s="7" t="s">
        <v>31</v>
      </c>
      <c r="I1889" s="7">
        <v>1.0</v>
      </c>
      <c r="J1889" s="7">
        <v>1.0</v>
      </c>
      <c r="K1889" s="7" t="s">
        <v>31</v>
      </c>
      <c r="L1889" s="8" t="s">
        <v>13039</v>
      </c>
      <c r="M1889" s="6" t="s">
        <v>13040</v>
      </c>
      <c r="N1889" s="6" t="s">
        <v>13041</v>
      </c>
      <c r="O1889" s="8" t="s">
        <v>13042</v>
      </c>
      <c r="P1889" s="6" t="s">
        <v>13043</v>
      </c>
      <c r="Q1889" s="6" t="s">
        <v>1280</v>
      </c>
      <c r="R1889" s="6" t="s">
        <v>10326</v>
      </c>
      <c r="S1889" s="8" t="s">
        <v>13044</v>
      </c>
      <c r="T1889" s="6" t="s">
        <v>66</v>
      </c>
      <c r="U1889" s="8" t="s">
        <v>31</v>
      </c>
      <c r="V1889" s="6" t="s">
        <v>3823</v>
      </c>
      <c r="W1889" s="6" t="s">
        <v>13037</v>
      </c>
      <c r="X1889" s="9" t="str">
        <f>HYPERLINK("https://my.pitchbook.com?p=264539-62P","View People Online")</f>
        <v>View People Online</v>
      </c>
    </row>
    <row r="1890">
      <c r="A1890" s="2" t="s">
        <v>13045</v>
      </c>
      <c r="B1890" s="2" t="s">
        <v>13046</v>
      </c>
      <c r="C1890" s="2" t="s">
        <v>9546</v>
      </c>
      <c r="D1890" s="2" t="s">
        <v>13047</v>
      </c>
      <c r="E1890" s="2" t="s">
        <v>13037</v>
      </c>
      <c r="F1890" s="2" t="s">
        <v>1167</v>
      </c>
      <c r="G1890" s="2" t="s">
        <v>13048</v>
      </c>
      <c r="H1890" s="3">
        <v>2.0</v>
      </c>
      <c r="I1890" s="3">
        <v>49.0</v>
      </c>
      <c r="J1890" s="3">
        <v>2.0</v>
      </c>
      <c r="K1890" s="3">
        <v>42.0</v>
      </c>
      <c r="L1890" s="4" t="s">
        <v>13039</v>
      </c>
      <c r="M1890" s="2" t="s">
        <v>13049</v>
      </c>
      <c r="N1890" s="2" t="s">
        <v>13041</v>
      </c>
      <c r="O1890" s="4" t="s">
        <v>13042</v>
      </c>
      <c r="P1890" s="2" t="s">
        <v>13043</v>
      </c>
      <c r="Q1890" s="2" t="s">
        <v>1280</v>
      </c>
      <c r="R1890" s="2" t="s">
        <v>10326</v>
      </c>
      <c r="S1890" s="4" t="s">
        <v>13044</v>
      </c>
      <c r="T1890" s="2" t="s">
        <v>66</v>
      </c>
      <c r="U1890" s="4" t="s">
        <v>31</v>
      </c>
      <c r="V1890" s="2" t="s">
        <v>558</v>
      </c>
      <c r="W1890" s="2" t="s">
        <v>13037</v>
      </c>
      <c r="X1890" s="5" t="str">
        <f>HYPERLINK("https://my.pitchbook.com?p=71474-95P","View People Online")</f>
        <v>View People Online</v>
      </c>
    </row>
    <row r="1891">
      <c r="A1891" s="14" t="s">
        <v>13050</v>
      </c>
      <c r="B1891" s="14" t="s">
        <v>13051</v>
      </c>
      <c r="C1891" s="14" t="s">
        <v>1117</v>
      </c>
      <c r="D1891" s="14" t="s">
        <v>13052</v>
      </c>
      <c r="E1891" s="14" t="s">
        <v>13053</v>
      </c>
      <c r="F1891" s="14" t="s">
        <v>312</v>
      </c>
      <c r="G1891" s="14" t="s">
        <v>13054</v>
      </c>
      <c r="H1891" s="15" t="s">
        <v>31</v>
      </c>
      <c r="I1891" s="15">
        <v>1.0</v>
      </c>
      <c r="J1891" s="15">
        <v>1.0</v>
      </c>
      <c r="K1891" s="15" t="s">
        <v>31</v>
      </c>
      <c r="L1891" s="16" t="s">
        <v>31</v>
      </c>
      <c r="M1891" s="14" t="s">
        <v>13055</v>
      </c>
      <c r="N1891" s="14" t="s">
        <v>665</v>
      </c>
      <c r="O1891" s="16" t="s">
        <v>3857</v>
      </c>
      <c r="P1891" s="14" t="s">
        <v>13056</v>
      </c>
      <c r="Q1891" s="14" t="s">
        <v>1719</v>
      </c>
      <c r="R1891" s="14" t="s">
        <v>1420</v>
      </c>
      <c r="S1891" s="16" t="s">
        <v>13057</v>
      </c>
      <c r="T1891" s="14" t="s">
        <v>66</v>
      </c>
      <c r="U1891" s="16" t="s">
        <v>31</v>
      </c>
      <c r="V1891" s="14" t="s">
        <v>13058</v>
      </c>
      <c r="W1891" s="14" t="s">
        <v>13053</v>
      </c>
      <c r="X1891" s="17" t="str">
        <f>HYPERLINK("https://my.pitchbook.com?p=144669-34P","View People Online")</f>
        <v>View People Online</v>
      </c>
    </row>
    <row r="1892">
      <c r="A1892" s="10" t="s">
        <v>13059</v>
      </c>
      <c r="B1892" s="10" t="s">
        <v>13060</v>
      </c>
      <c r="C1892" s="10" t="s">
        <v>7252</v>
      </c>
      <c r="D1892" s="10" t="s">
        <v>200</v>
      </c>
      <c r="E1892" s="10" t="s">
        <v>13053</v>
      </c>
      <c r="F1892" s="10" t="s">
        <v>7415</v>
      </c>
      <c r="G1892" s="10" t="s">
        <v>13061</v>
      </c>
      <c r="H1892" s="11" t="s">
        <v>31</v>
      </c>
      <c r="I1892" s="11">
        <v>1.0</v>
      </c>
      <c r="J1892" s="11">
        <v>1.0</v>
      </c>
      <c r="K1892" s="11" t="s">
        <v>31</v>
      </c>
      <c r="L1892" s="12" t="s">
        <v>31</v>
      </c>
      <c r="M1892" s="10" t="s">
        <v>13062</v>
      </c>
      <c r="N1892" s="10" t="s">
        <v>665</v>
      </c>
      <c r="O1892" s="12" t="s">
        <v>3857</v>
      </c>
      <c r="P1892" s="10" t="s">
        <v>13056</v>
      </c>
      <c r="Q1892" s="10" t="s">
        <v>1719</v>
      </c>
      <c r="R1892" s="10" t="s">
        <v>1420</v>
      </c>
      <c r="S1892" s="12" t="s">
        <v>13057</v>
      </c>
      <c r="T1892" s="10" t="s">
        <v>66</v>
      </c>
      <c r="U1892" s="12" t="s">
        <v>31</v>
      </c>
      <c r="V1892" s="10" t="s">
        <v>7415</v>
      </c>
      <c r="W1892" s="10" t="s">
        <v>13053</v>
      </c>
      <c r="X1892" s="13" t="str">
        <f>HYPERLINK("https://my.pitchbook.com?p=65988-73P","View People Online")</f>
        <v>View People Online</v>
      </c>
    </row>
    <row r="1893">
      <c r="A1893" s="14" t="s">
        <v>13063</v>
      </c>
      <c r="B1893" s="14" t="s">
        <v>13064</v>
      </c>
      <c r="C1893" s="14" t="s">
        <v>746</v>
      </c>
      <c r="D1893" s="14" t="s">
        <v>13065</v>
      </c>
      <c r="E1893" s="14" t="s">
        <v>13053</v>
      </c>
      <c r="F1893" s="14" t="s">
        <v>13066</v>
      </c>
      <c r="G1893" s="14" t="s">
        <v>13067</v>
      </c>
      <c r="H1893" s="15" t="s">
        <v>31</v>
      </c>
      <c r="I1893" s="15">
        <v>1.0</v>
      </c>
      <c r="J1893" s="15">
        <v>1.0</v>
      </c>
      <c r="K1893" s="15" t="s">
        <v>31</v>
      </c>
      <c r="L1893" s="16" t="s">
        <v>31</v>
      </c>
      <c r="M1893" s="14" t="s">
        <v>13068</v>
      </c>
      <c r="N1893" s="14" t="s">
        <v>665</v>
      </c>
      <c r="O1893" s="16" t="s">
        <v>3857</v>
      </c>
      <c r="P1893" s="14" t="s">
        <v>13056</v>
      </c>
      <c r="Q1893" s="14" t="s">
        <v>1719</v>
      </c>
      <c r="R1893" s="14" t="s">
        <v>1420</v>
      </c>
      <c r="S1893" s="16" t="s">
        <v>13057</v>
      </c>
      <c r="T1893" s="14" t="s">
        <v>66</v>
      </c>
      <c r="U1893" s="16" t="s">
        <v>31</v>
      </c>
      <c r="V1893" s="14" t="s">
        <v>13066</v>
      </c>
      <c r="W1893" s="14" t="s">
        <v>13053</v>
      </c>
      <c r="X1893" s="17" t="str">
        <f>HYPERLINK("https://my.pitchbook.com?p=334822-15P","View People Online")</f>
        <v>View People Online</v>
      </c>
    </row>
    <row r="1894">
      <c r="A1894" s="10" t="s">
        <v>13069</v>
      </c>
      <c r="B1894" s="10" t="s">
        <v>13070</v>
      </c>
      <c r="C1894" s="10" t="s">
        <v>13071</v>
      </c>
      <c r="D1894" s="10" t="s">
        <v>13072</v>
      </c>
      <c r="E1894" s="10" t="s">
        <v>13053</v>
      </c>
      <c r="F1894" s="10" t="s">
        <v>13073</v>
      </c>
      <c r="G1894" s="10" t="s">
        <v>13074</v>
      </c>
      <c r="H1894" s="11" t="s">
        <v>31</v>
      </c>
      <c r="I1894" s="11">
        <v>1.0</v>
      </c>
      <c r="J1894" s="11">
        <v>1.0</v>
      </c>
      <c r="K1894" s="11" t="s">
        <v>31</v>
      </c>
      <c r="L1894" s="12" t="s">
        <v>31</v>
      </c>
      <c r="M1894" s="10" t="s">
        <v>13075</v>
      </c>
      <c r="N1894" s="10" t="s">
        <v>665</v>
      </c>
      <c r="O1894" s="12" t="s">
        <v>3857</v>
      </c>
      <c r="P1894" s="10" t="s">
        <v>13056</v>
      </c>
      <c r="Q1894" s="10" t="s">
        <v>1719</v>
      </c>
      <c r="R1894" s="10" t="s">
        <v>1420</v>
      </c>
      <c r="S1894" s="12" t="s">
        <v>13057</v>
      </c>
      <c r="T1894" s="10" t="s">
        <v>66</v>
      </c>
      <c r="U1894" s="12" t="s">
        <v>31</v>
      </c>
      <c r="V1894" s="10" t="s">
        <v>13073</v>
      </c>
      <c r="W1894" s="10" t="s">
        <v>13053</v>
      </c>
      <c r="X1894" s="13" t="str">
        <f>HYPERLINK("https://my.pitchbook.com?p=258393-16P","View People Online")</f>
        <v>View People Online</v>
      </c>
    </row>
    <row r="1895">
      <c r="A1895" s="6" t="s">
        <v>13076</v>
      </c>
      <c r="B1895" s="6" t="s">
        <v>13077</v>
      </c>
      <c r="C1895" s="6" t="s">
        <v>1343</v>
      </c>
      <c r="D1895" s="6" t="s">
        <v>13078</v>
      </c>
      <c r="E1895" s="6" t="s">
        <v>13053</v>
      </c>
      <c r="F1895" s="6" t="s">
        <v>270</v>
      </c>
      <c r="G1895" s="6" t="s">
        <v>13079</v>
      </c>
      <c r="H1895" s="7" t="s">
        <v>31</v>
      </c>
      <c r="I1895" s="7">
        <v>1.0</v>
      </c>
      <c r="J1895" s="7">
        <v>1.0</v>
      </c>
      <c r="K1895" s="7" t="s">
        <v>31</v>
      </c>
      <c r="L1895" s="8" t="s">
        <v>31</v>
      </c>
      <c r="M1895" s="6" t="s">
        <v>13080</v>
      </c>
      <c r="N1895" s="6" t="s">
        <v>665</v>
      </c>
      <c r="O1895" s="8" t="s">
        <v>3857</v>
      </c>
      <c r="P1895" s="6" t="s">
        <v>13056</v>
      </c>
      <c r="Q1895" s="6" t="s">
        <v>1719</v>
      </c>
      <c r="R1895" s="6" t="s">
        <v>1420</v>
      </c>
      <c r="S1895" s="8" t="s">
        <v>13057</v>
      </c>
      <c r="T1895" s="6" t="s">
        <v>66</v>
      </c>
      <c r="U1895" s="8" t="s">
        <v>31</v>
      </c>
      <c r="V1895" s="6" t="s">
        <v>13081</v>
      </c>
      <c r="W1895" s="6" t="s">
        <v>13053</v>
      </c>
      <c r="X1895" s="9" t="str">
        <f>HYPERLINK("https://my.pitchbook.com?p=105810-85P","View People Online")</f>
        <v>View People Online</v>
      </c>
    </row>
    <row r="1896">
      <c r="A1896" s="10" t="s">
        <v>13082</v>
      </c>
      <c r="B1896" s="10" t="s">
        <v>13083</v>
      </c>
      <c r="C1896" s="10" t="s">
        <v>3841</v>
      </c>
      <c r="D1896" s="10" t="s">
        <v>13084</v>
      </c>
      <c r="E1896" s="10" t="s">
        <v>13053</v>
      </c>
      <c r="F1896" s="10" t="s">
        <v>7478</v>
      </c>
      <c r="G1896" s="10" t="s">
        <v>13085</v>
      </c>
      <c r="H1896" s="11" t="s">
        <v>31</v>
      </c>
      <c r="I1896" s="11">
        <v>1.0</v>
      </c>
      <c r="J1896" s="11">
        <v>1.0</v>
      </c>
      <c r="K1896" s="11" t="s">
        <v>31</v>
      </c>
      <c r="L1896" s="12" t="s">
        <v>31</v>
      </c>
      <c r="M1896" s="10" t="s">
        <v>13086</v>
      </c>
      <c r="N1896" s="10" t="s">
        <v>665</v>
      </c>
      <c r="O1896" s="12" t="s">
        <v>3857</v>
      </c>
      <c r="P1896" s="10" t="s">
        <v>13056</v>
      </c>
      <c r="Q1896" s="10" t="s">
        <v>1719</v>
      </c>
      <c r="R1896" s="10" t="s">
        <v>1420</v>
      </c>
      <c r="S1896" s="12" t="s">
        <v>13057</v>
      </c>
      <c r="T1896" s="10" t="s">
        <v>66</v>
      </c>
      <c r="U1896" s="12" t="s">
        <v>31</v>
      </c>
      <c r="V1896" s="10" t="s">
        <v>7478</v>
      </c>
      <c r="W1896" s="10" t="s">
        <v>13053</v>
      </c>
      <c r="X1896" s="13" t="str">
        <f>HYPERLINK("https://my.pitchbook.com?p=264580-30P","View People Online")</f>
        <v>View People Online</v>
      </c>
    </row>
    <row r="1897">
      <c r="A1897" s="14" t="s">
        <v>13087</v>
      </c>
      <c r="B1897" s="14" t="s">
        <v>13088</v>
      </c>
      <c r="C1897" s="14" t="s">
        <v>160</v>
      </c>
      <c r="D1897" s="14" t="s">
        <v>13089</v>
      </c>
      <c r="E1897" s="14" t="s">
        <v>13053</v>
      </c>
      <c r="F1897" s="14" t="s">
        <v>502</v>
      </c>
      <c r="G1897" s="14" t="s">
        <v>13090</v>
      </c>
      <c r="H1897" s="15" t="s">
        <v>31</v>
      </c>
      <c r="I1897" s="15">
        <v>1.0</v>
      </c>
      <c r="J1897" s="15">
        <v>1.0</v>
      </c>
      <c r="K1897" s="15" t="s">
        <v>31</v>
      </c>
      <c r="L1897" s="16" t="s">
        <v>31</v>
      </c>
      <c r="M1897" s="14" t="s">
        <v>13091</v>
      </c>
      <c r="N1897" s="14" t="s">
        <v>665</v>
      </c>
      <c r="O1897" s="16" t="s">
        <v>3857</v>
      </c>
      <c r="P1897" s="14" t="s">
        <v>13056</v>
      </c>
      <c r="Q1897" s="14" t="s">
        <v>1719</v>
      </c>
      <c r="R1897" s="14" t="s">
        <v>1420</v>
      </c>
      <c r="S1897" s="16" t="s">
        <v>13057</v>
      </c>
      <c r="T1897" s="14" t="s">
        <v>66</v>
      </c>
      <c r="U1897" s="16" t="s">
        <v>31</v>
      </c>
      <c r="V1897" s="14" t="s">
        <v>502</v>
      </c>
      <c r="W1897" s="14" t="s">
        <v>13053</v>
      </c>
      <c r="X1897" s="17" t="str">
        <f>HYPERLINK("https://my.pitchbook.com?p=36929-35P","View People Online")</f>
        <v>View People Online</v>
      </c>
    </row>
    <row r="1898">
      <c r="A1898" s="2" t="s">
        <v>13092</v>
      </c>
      <c r="B1898" s="2" t="s">
        <v>13093</v>
      </c>
      <c r="C1898" s="2" t="s">
        <v>13094</v>
      </c>
      <c r="D1898" s="2" t="s">
        <v>13095</v>
      </c>
      <c r="E1898" s="2" t="s">
        <v>13053</v>
      </c>
      <c r="F1898" s="2" t="s">
        <v>13096</v>
      </c>
      <c r="G1898" s="2" t="s">
        <v>13097</v>
      </c>
      <c r="H1898" s="3" t="s">
        <v>31</v>
      </c>
      <c r="I1898" s="3">
        <v>1.0</v>
      </c>
      <c r="J1898" s="3">
        <v>1.0</v>
      </c>
      <c r="K1898" s="3" t="s">
        <v>31</v>
      </c>
      <c r="L1898" s="4" t="s">
        <v>13098</v>
      </c>
      <c r="M1898" s="2" t="s">
        <v>13099</v>
      </c>
      <c r="N1898" s="2" t="s">
        <v>665</v>
      </c>
      <c r="O1898" s="4" t="s">
        <v>3857</v>
      </c>
      <c r="P1898" s="2" t="s">
        <v>13056</v>
      </c>
      <c r="Q1898" s="2" t="s">
        <v>1719</v>
      </c>
      <c r="R1898" s="2" t="s">
        <v>1420</v>
      </c>
      <c r="S1898" s="4" t="s">
        <v>13057</v>
      </c>
      <c r="T1898" s="2" t="s">
        <v>66</v>
      </c>
      <c r="U1898" s="4" t="s">
        <v>31</v>
      </c>
      <c r="V1898" s="2" t="s">
        <v>13096</v>
      </c>
      <c r="W1898" s="2" t="s">
        <v>13053</v>
      </c>
      <c r="X1898" s="5" t="str">
        <f>HYPERLINK("https://my.pitchbook.com?p=235314-73P","View People Online")</f>
        <v>View People Online</v>
      </c>
    </row>
    <row r="1899">
      <c r="A1899" s="6" t="s">
        <v>13100</v>
      </c>
      <c r="B1899" s="6" t="s">
        <v>13101</v>
      </c>
      <c r="C1899" s="6" t="s">
        <v>3716</v>
      </c>
      <c r="D1899" s="6" t="s">
        <v>13102</v>
      </c>
      <c r="E1899" s="6" t="s">
        <v>13053</v>
      </c>
      <c r="F1899" s="6" t="s">
        <v>470</v>
      </c>
      <c r="G1899" s="6" t="s">
        <v>13103</v>
      </c>
      <c r="H1899" s="7" t="s">
        <v>31</v>
      </c>
      <c r="I1899" s="7">
        <v>13.0</v>
      </c>
      <c r="J1899" s="7">
        <v>2.0</v>
      </c>
      <c r="K1899" s="7">
        <v>11.0</v>
      </c>
      <c r="L1899" s="8" t="s">
        <v>31</v>
      </c>
      <c r="M1899" s="6" t="s">
        <v>13104</v>
      </c>
      <c r="N1899" s="6" t="s">
        <v>665</v>
      </c>
      <c r="O1899" s="8" t="s">
        <v>3857</v>
      </c>
      <c r="P1899" s="6" t="s">
        <v>13056</v>
      </c>
      <c r="Q1899" s="6" t="s">
        <v>1719</v>
      </c>
      <c r="R1899" s="6" t="s">
        <v>1420</v>
      </c>
      <c r="S1899" s="8" t="s">
        <v>13057</v>
      </c>
      <c r="T1899" s="6" t="s">
        <v>66</v>
      </c>
      <c r="U1899" s="8" t="s">
        <v>31</v>
      </c>
      <c r="V1899" s="6" t="s">
        <v>470</v>
      </c>
      <c r="W1899" s="6" t="s">
        <v>13053</v>
      </c>
      <c r="X1899" s="9" t="str">
        <f>HYPERLINK("https://my.pitchbook.com?p=75290-23P","View People Online")</f>
        <v>View People Online</v>
      </c>
    </row>
    <row r="1900">
      <c r="A1900" s="2" t="s">
        <v>13105</v>
      </c>
      <c r="B1900" s="2" t="s">
        <v>13106</v>
      </c>
      <c r="C1900" s="2" t="s">
        <v>13107</v>
      </c>
      <c r="D1900" s="2" t="s">
        <v>13108</v>
      </c>
      <c r="E1900" s="2" t="s">
        <v>13053</v>
      </c>
      <c r="F1900" s="2" t="s">
        <v>13109</v>
      </c>
      <c r="G1900" s="2" t="s">
        <v>13110</v>
      </c>
      <c r="H1900" s="3" t="s">
        <v>31</v>
      </c>
      <c r="I1900" s="3">
        <v>1.0</v>
      </c>
      <c r="J1900" s="3">
        <v>1.0</v>
      </c>
      <c r="K1900" s="3" t="s">
        <v>31</v>
      </c>
      <c r="L1900" s="4" t="s">
        <v>31</v>
      </c>
      <c r="M1900" s="2" t="s">
        <v>13111</v>
      </c>
      <c r="N1900" s="2" t="s">
        <v>665</v>
      </c>
      <c r="O1900" s="4" t="s">
        <v>3857</v>
      </c>
      <c r="P1900" s="2" t="s">
        <v>13056</v>
      </c>
      <c r="Q1900" s="2" t="s">
        <v>1719</v>
      </c>
      <c r="R1900" s="2" t="s">
        <v>1420</v>
      </c>
      <c r="S1900" s="4" t="s">
        <v>13057</v>
      </c>
      <c r="T1900" s="2" t="s">
        <v>66</v>
      </c>
      <c r="U1900" s="4" t="s">
        <v>31</v>
      </c>
      <c r="V1900" s="2" t="s">
        <v>13109</v>
      </c>
      <c r="W1900" s="2" t="s">
        <v>13053</v>
      </c>
      <c r="X1900" s="5" t="str">
        <f>HYPERLINK("https://my.pitchbook.com?p=304198-48P","View People Online")</f>
        <v>View People Online</v>
      </c>
    </row>
    <row r="1901">
      <c r="A1901" s="6" t="s">
        <v>13112</v>
      </c>
      <c r="B1901" s="6" t="s">
        <v>13113</v>
      </c>
      <c r="C1901" s="6" t="s">
        <v>13114</v>
      </c>
      <c r="D1901" s="6" t="s">
        <v>13115</v>
      </c>
      <c r="E1901" s="6" t="s">
        <v>13053</v>
      </c>
      <c r="F1901" s="6" t="s">
        <v>5234</v>
      </c>
      <c r="G1901" s="6" t="s">
        <v>13116</v>
      </c>
      <c r="H1901" s="7" t="s">
        <v>31</v>
      </c>
      <c r="I1901" s="7">
        <v>1.0</v>
      </c>
      <c r="J1901" s="7">
        <v>1.0</v>
      </c>
      <c r="K1901" s="7" t="s">
        <v>31</v>
      </c>
      <c r="L1901" s="8" t="s">
        <v>31</v>
      </c>
      <c r="M1901" s="6" t="s">
        <v>13117</v>
      </c>
      <c r="N1901" s="6" t="s">
        <v>665</v>
      </c>
      <c r="O1901" s="8" t="s">
        <v>3857</v>
      </c>
      <c r="P1901" s="6" t="s">
        <v>13056</v>
      </c>
      <c r="Q1901" s="6" t="s">
        <v>1719</v>
      </c>
      <c r="R1901" s="6" t="s">
        <v>1420</v>
      </c>
      <c r="S1901" s="8" t="s">
        <v>13057</v>
      </c>
      <c r="T1901" s="6" t="s">
        <v>66</v>
      </c>
      <c r="U1901" s="8" t="s">
        <v>31</v>
      </c>
      <c r="V1901" s="6" t="s">
        <v>5234</v>
      </c>
      <c r="W1901" s="6" t="s">
        <v>13053</v>
      </c>
      <c r="X1901" s="9" t="str">
        <f>HYPERLINK("https://my.pitchbook.com?p=190069-93P","View People Online")</f>
        <v>View People Online</v>
      </c>
    </row>
    <row r="1902">
      <c r="A1902" s="2" t="s">
        <v>13118</v>
      </c>
      <c r="B1902" s="2" t="s">
        <v>13119</v>
      </c>
      <c r="C1902" s="2" t="s">
        <v>13120</v>
      </c>
      <c r="D1902" s="2" t="s">
        <v>13121</v>
      </c>
      <c r="E1902" s="2" t="s">
        <v>13053</v>
      </c>
      <c r="F1902" s="2" t="s">
        <v>3665</v>
      </c>
      <c r="G1902" s="2" t="s">
        <v>13122</v>
      </c>
      <c r="H1902" s="3" t="s">
        <v>31</v>
      </c>
      <c r="I1902" s="3">
        <v>1.0</v>
      </c>
      <c r="J1902" s="3">
        <v>1.0</v>
      </c>
      <c r="K1902" s="3" t="s">
        <v>31</v>
      </c>
      <c r="L1902" s="4" t="s">
        <v>31</v>
      </c>
      <c r="M1902" s="2" t="s">
        <v>13123</v>
      </c>
      <c r="N1902" s="2" t="s">
        <v>665</v>
      </c>
      <c r="O1902" s="4" t="s">
        <v>3857</v>
      </c>
      <c r="P1902" s="2" t="s">
        <v>13056</v>
      </c>
      <c r="Q1902" s="2" t="s">
        <v>1719</v>
      </c>
      <c r="R1902" s="2" t="s">
        <v>1420</v>
      </c>
      <c r="S1902" s="4" t="s">
        <v>13057</v>
      </c>
      <c r="T1902" s="2" t="s">
        <v>66</v>
      </c>
      <c r="U1902" s="4" t="s">
        <v>31</v>
      </c>
      <c r="V1902" s="2" t="s">
        <v>3665</v>
      </c>
      <c r="W1902" s="2" t="s">
        <v>13053</v>
      </c>
      <c r="X1902" s="5" t="str">
        <f>HYPERLINK("https://my.pitchbook.com?p=423924-40P","View People Online")</f>
        <v>View People Online</v>
      </c>
    </row>
    <row r="1903">
      <c r="A1903" s="6" t="s">
        <v>13124</v>
      </c>
      <c r="B1903" s="6" t="s">
        <v>13125</v>
      </c>
      <c r="C1903" s="6" t="s">
        <v>568</v>
      </c>
      <c r="D1903" s="6" t="s">
        <v>13126</v>
      </c>
      <c r="E1903" s="6" t="s">
        <v>13127</v>
      </c>
      <c r="F1903" s="6" t="s">
        <v>1106</v>
      </c>
      <c r="G1903" s="6" t="s">
        <v>13128</v>
      </c>
      <c r="H1903" s="7" t="s">
        <v>31</v>
      </c>
      <c r="I1903" s="7">
        <v>112.0</v>
      </c>
      <c r="J1903" s="7">
        <v>1.0</v>
      </c>
      <c r="K1903" s="7">
        <v>101.0</v>
      </c>
      <c r="L1903" s="8" t="s">
        <v>13129</v>
      </c>
      <c r="M1903" s="6" t="s">
        <v>13130</v>
      </c>
      <c r="N1903" s="6" t="s">
        <v>3766</v>
      </c>
      <c r="O1903" s="8" t="s">
        <v>3767</v>
      </c>
      <c r="P1903" s="6" t="s">
        <v>13131</v>
      </c>
      <c r="Q1903" s="6" t="s">
        <v>31</v>
      </c>
      <c r="R1903" s="6" t="s">
        <v>64</v>
      </c>
      <c r="S1903" s="8" t="s">
        <v>13132</v>
      </c>
      <c r="T1903" s="6" t="s">
        <v>66</v>
      </c>
      <c r="U1903" s="8" t="s">
        <v>31</v>
      </c>
      <c r="V1903" s="6" t="s">
        <v>13133</v>
      </c>
      <c r="W1903" s="6" t="s">
        <v>13127</v>
      </c>
      <c r="X1903" s="9" t="str">
        <f>HYPERLINK("https://my.pitchbook.com?p=46441-27P","View People Online")</f>
        <v>View People Online</v>
      </c>
    </row>
    <row r="1904">
      <c r="A1904" s="10" t="s">
        <v>13134</v>
      </c>
      <c r="B1904" s="10" t="s">
        <v>13135</v>
      </c>
      <c r="C1904" s="10" t="s">
        <v>3481</v>
      </c>
      <c r="D1904" s="10" t="s">
        <v>1267</v>
      </c>
      <c r="E1904" s="10" t="s">
        <v>13127</v>
      </c>
      <c r="F1904" s="10" t="s">
        <v>86</v>
      </c>
      <c r="G1904" s="10" t="s">
        <v>13136</v>
      </c>
      <c r="H1904" s="11">
        <v>2.0</v>
      </c>
      <c r="I1904" s="11">
        <v>25.0</v>
      </c>
      <c r="J1904" s="11">
        <v>1.0</v>
      </c>
      <c r="K1904" s="11">
        <v>13.0</v>
      </c>
      <c r="L1904" s="12" t="s">
        <v>13129</v>
      </c>
      <c r="M1904" s="10" t="s">
        <v>13137</v>
      </c>
      <c r="N1904" s="10" t="s">
        <v>3766</v>
      </c>
      <c r="O1904" s="12" t="s">
        <v>3767</v>
      </c>
      <c r="P1904" s="10" t="s">
        <v>13131</v>
      </c>
      <c r="Q1904" s="10" t="s">
        <v>31</v>
      </c>
      <c r="R1904" s="10" t="s">
        <v>64</v>
      </c>
      <c r="S1904" s="12" t="s">
        <v>13132</v>
      </c>
      <c r="T1904" s="10" t="s">
        <v>66</v>
      </c>
      <c r="U1904" s="12" t="s">
        <v>31</v>
      </c>
      <c r="V1904" s="10" t="s">
        <v>196</v>
      </c>
      <c r="W1904" s="10" t="s">
        <v>13127</v>
      </c>
      <c r="X1904" s="13" t="str">
        <f>HYPERLINK("https://my.pitchbook.com?p=60649-03P","View People Online")</f>
        <v>View People Online</v>
      </c>
    </row>
    <row r="1905">
      <c r="A1905" s="14" t="s">
        <v>13138</v>
      </c>
      <c r="B1905" s="14" t="s">
        <v>13139</v>
      </c>
      <c r="C1905" s="14" t="s">
        <v>316</v>
      </c>
      <c r="D1905" s="14" t="s">
        <v>1147</v>
      </c>
      <c r="E1905" s="14" t="s">
        <v>13127</v>
      </c>
      <c r="F1905" s="14" t="s">
        <v>6567</v>
      </c>
      <c r="G1905" s="14" t="s">
        <v>13140</v>
      </c>
      <c r="H1905" s="15" t="s">
        <v>31</v>
      </c>
      <c r="I1905" s="15">
        <v>2.0</v>
      </c>
      <c r="J1905" s="15">
        <v>1.0</v>
      </c>
      <c r="K1905" s="15" t="s">
        <v>31</v>
      </c>
      <c r="L1905" s="16" t="s">
        <v>13129</v>
      </c>
      <c r="M1905" s="14" t="s">
        <v>13141</v>
      </c>
      <c r="N1905" s="14" t="s">
        <v>3766</v>
      </c>
      <c r="O1905" s="16" t="s">
        <v>3767</v>
      </c>
      <c r="P1905" s="14" t="s">
        <v>13131</v>
      </c>
      <c r="Q1905" s="14" t="s">
        <v>31</v>
      </c>
      <c r="R1905" s="14" t="s">
        <v>64</v>
      </c>
      <c r="S1905" s="16" t="s">
        <v>13132</v>
      </c>
      <c r="T1905" s="14" t="s">
        <v>66</v>
      </c>
      <c r="U1905" s="16" t="s">
        <v>31</v>
      </c>
      <c r="V1905" s="14" t="s">
        <v>6567</v>
      </c>
      <c r="W1905" s="14" t="s">
        <v>13127</v>
      </c>
      <c r="X1905" s="17" t="str">
        <f>HYPERLINK("https://my.pitchbook.com?p=373249-00P","View People Online")</f>
        <v>View People Online</v>
      </c>
    </row>
    <row r="1906">
      <c r="A1906" s="2" t="s">
        <v>13142</v>
      </c>
      <c r="B1906" s="2" t="s">
        <v>13143</v>
      </c>
      <c r="C1906" s="2" t="s">
        <v>1255</v>
      </c>
      <c r="D1906" s="2" t="s">
        <v>1317</v>
      </c>
      <c r="E1906" s="2" t="s">
        <v>13127</v>
      </c>
      <c r="F1906" s="2" t="s">
        <v>221</v>
      </c>
      <c r="G1906" s="2" t="s">
        <v>13144</v>
      </c>
      <c r="H1906" s="3" t="s">
        <v>31</v>
      </c>
      <c r="I1906" s="3">
        <v>1.0</v>
      </c>
      <c r="J1906" s="3">
        <v>1.0</v>
      </c>
      <c r="K1906" s="3" t="s">
        <v>31</v>
      </c>
      <c r="L1906" s="4" t="s">
        <v>13129</v>
      </c>
      <c r="M1906" s="2" t="s">
        <v>13145</v>
      </c>
      <c r="N1906" s="2" t="s">
        <v>3766</v>
      </c>
      <c r="O1906" s="4" t="s">
        <v>3767</v>
      </c>
      <c r="P1906" s="2" t="s">
        <v>13131</v>
      </c>
      <c r="Q1906" s="2" t="s">
        <v>31</v>
      </c>
      <c r="R1906" s="2" t="s">
        <v>64</v>
      </c>
      <c r="S1906" s="4" t="s">
        <v>13132</v>
      </c>
      <c r="T1906" s="2" t="s">
        <v>66</v>
      </c>
      <c r="U1906" s="4" t="s">
        <v>31</v>
      </c>
      <c r="V1906" s="2" t="s">
        <v>440</v>
      </c>
      <c r="W1906" s="2" t="s">
        <v>13127</v>
      </c>
      <c r="X1906" s="5" t="str">
        <f>HYPERLINK("https://my.pitchbook.com?p=338819-23P","View People Online")</f>
        <v>View People Online</v>
      </c>
    </row>
    <row r="1907">
      <c r="A1907" s="6" t="s">
        <v>13146</v>
      </c>
      <c r="B1907" s="6" t="s">
        <v>13147</v>
      </c>
      <c r="C1907" s="6" t="s">
        <v>13148</v>
      </c>
      <c r="D1907" s="6" t="s">
        <v>13149</v>
      </c>
      <c r="E1907" s="6" t="s">
        <v>13127</v>
      </c>
      <c r="F1907" s="6" t="s">
        <v>318</v>
      </c>
      <c r="G1907" s="6" t="s">
        <v>13150</v>
      </c>
      <c r="H1907" s="7" t="s">
        <v>31</v>
      </c>
      <c r="I1907" s="7">
        <v>3.0</v>
      </c>
      <c r="J1907" s="7">
        <v>1.0</v>
      </c>
      <c r="K1907" s="7">
        <v>1.0</v>
      </c>
      <c r="L1907" s="8" t="s">
        <v>13151</v>
      </c>
      <c r="M1907" s="6" t="s">
        <v>13152</v>
      </c>
      <c r="N1907" s="6" t="s">
        <v>3766</v>
      </c>
      <c r="O1907" s="8" t="s">
        <v>3767</v>
      </c>
      <c r="P1907" s="6" t="s">
        <v>13131</v>
      </c>
      <c r="Q1907" s="6" t="s">
        <v>31</v>
      </c>
      <c r="R1907" s="6" t="s">
        <v>64</v>
      </c>
      <c r="S1907" s="8" t="s">
        <v>13132</v>
      </c>
      <c r="T1907" s="6" t="s">
        <v>66</v>
      </c>
      <c r="U1907" s="8" t="s">
        <v>31</v>
      </c>
      <c r="V1907" s="6" t="s">
        <v>318</v>
      </c>
      <c r="W1907" s="6" t="s">
        <v>13127</v>
      </c>
      <c r="X1907" s="9" t="str">
        <f>HYPERLINK("https://my.pitchbook.com?p=308785-51P","View People Online")</f>
        <v>View People Online</v>
      </c>
    </row>
    <row r="1908">
      <c r="A1908" s="2" t="s">
        <v>13153</v>
      </c>
      <c r="B1908" s="2" t="s">
        <v>13154</v>
      </c>
      <c r="C1908" s="2" t="s">
        <v>13155</v>
      </c>
      <c r="D1908" s="2" t="s">
        <v>13156</v>
      </c>
      <c r="E1908" s="2" t="s">
        <v>13127</v>
      </c>
      <c r="F1908" s="2" t="s">
        <v>29</v>
      </c>
      <c r="G1908" s="2" t="s">
        <v>13157</v>
      </c>
      <c r="H1908" s="3" t="s">
        <v>31</v>
      </c>
      <c r="I1908" s="3">
        <v>4.0</v>
      </c>
      <c r="J1908" s="3">
        <v>1.0</v>
      </c>
      <c r="K1908" s="3">
        <v>1.0</v>
      </c>
      <c r="L1908" s="4" t="s">
        <v>13129</v>
      </c>
      <c r="M1908" s="2" t="s">
        <v>13158</v>
      </c>
      <c r="N1908" s="2" t="s">
        <v>3766</v>
      </c>
      <c r="O1908" s="4" t="s">
        <v>3767</v>
      </c>
      <c r="P1908" s="2" t="s">
        <v>13131</v>
      </c>
      <c r="Q1908" s="2" t="s">
        <v>31</v>
      </c>
      <c r="R1908" s="2" t="s">
        <v>64</v>
      </c>
      <c r="S1908" s="4" t="s">
        <v>13132</v>
      </c>
      <c r="T1908" s="2" t="s">
        <v>66</v>
      </c>
      <c r="U1908" s="4" t="s">
        <v>31</v>
      </c>
      <c r="V1908" s="2" t="s">
        <v>29</v>
      </c>
      <c r="W1908" s="2" t="s">
        <v>13127</v>
      </c>
      <c r="X1908" s="5" t="str">
        <f>HYPERLINK("https://my.pitchbook.com?p=179429-32P","View People Online")</f>
        <v>View People Online</v>
      </c>
    </row>
    <row r="1909">
      <c r="A1909" s="14" t="s">
        <v>13159</v>
      </c>
      <c r="B1909" s="14" t="s">
        <v>13160</v>
      </c>
      <c r="C1909" s="14" t="s">
        <v>2288</v>
      </c>
      <c r="D1909" s="14" t="s">
        <v>13161</v>
      </c>
      <c r="E1909" s="14" t="s">
        <v>13127</v>
      </c>
      <c r="F1909" s="14" t="s">
        <v>221</v>
      </c>
      <c r="G1909" s="14" t="s">
        <v>13162</v>
      </c>
      <c r="H1909" s="15" t="s">
        <v>31</v>
      </c>
      <c r="I1909" s="15">
        <v>2.0</v>
      </c>
      <c r="J1909" s="15">
        <v>1.0</v>
      </c>
      <c r="K1909" s="15" t="s">
        <v>31</v>
      </c>
      <c r="L1909" s="16" t="s">
        <v>13129</v>
      </c>
      <c r="M1909" s="14" t="s">
        <v>13163</v>
      </c>
      <c r="N1909" s="14" t="s">
        <v>3766</v>
      </c>
      <c r="O1909" s="16" t="s">
        <v>3767</v>
      </c>
      <c r="P1909" s="14" t="s">
        <v>13131</v>
      </c>
      <c r="Q1909" s="14" t="s">
        <v>31</v>
      </c>
      <c r="R1909" s="14" t="s">
        <v>64</v>
      </c>
      <c r="S1909" s="16" t="s">
        <v>13132</v>
      </c>
      <c r="T1909" s="14" t="s">
        <v>66</v>
      </c>
      <c r="U1909" s="16" t="s">
        <v>31</v>
      </c>
      <c r="V1909" s="14" t="s">
        <v>221</v>
      </c>
      <c r="W1909" s="14" t="s">
        <v>13127</v>
      </c>
      <c r="X1909" s="17" t="str">
        <f>HYPERLINK("https://my.pitchbook.com?p=293365-63P","View People Online")</f>
        <v>View People Online</v>
      </c>
    </row>
    <row r="1910">
      <c r="A1910" s="10" t="s">
        <v>13164</v>
      </c>
      <c r="B1910" s="10" t="s">
        <v>13165</v>
      </c>
      <c r="C1910" s="10" t="s">
        <v>54</v>
      </c>
      <c r="D1910" s="10" t="s">
        <v>7776</v>
      </c>
      <c r="E1910" s="10" t="s">
        <v>13166</v>
      </c>
      <c r="F1910" s="10" t="s">
        <v>29</v>
      </c>
      <c r="G1910" s="10" t="s">
        <v>13167</v>
      </c>
      <c r="H1910" s="11">
        <v>1.0</v>
      </c>
      <c r="I1910" s="11">
        <v>11.0</v>
      </c>
      <c r="J1910" s="11">
        <v>3.0</v>
      </c>
      <c r="K1910" s="11">
        <v>7.0</v>
      </c>
      <c r="L1910" s="12" t="s">
        <v>31</v>
      </c>
      <c r="M1910" s="10" t="s">
        <v>13168</v>
      </c>
      <c r="N1910" s="10" t="s">
        <v>1109</v>
      </c>
      <c r="O1910" s="12" t="s">
        <v>13169</v>
      </c>
      <c r="P1910" s="10" t="s">
        <v>13170</v>
      </c>
      <c r="Q1910" s="10" t="s">
        <v>7094</v>
      </c>
      <c r="R1910" s="10" t="s">
        <v>13171</v>
      </c>
      <c r="S1910" s="12" t="s">
        <v>13172</v>
      </c>
      <c r="T1910" s="10" t="s">
        <v>66</v>
      </c>
      <c r="U1910" s="12" t="s">
        <v>31</v>
      </c>
      <c r="V1910" s="10" t="s">
        <v>1252</v>
      </c>
      <c r="W1910" s="10" t="s">
        <v>13173</v>
      </c>
      <c r="X1910" s="13" t="str">
        <f>HYPERLINK("https://my.pitchbook.com?p=38602-09P","View People Online")</f>
        <v>View People Online</v>
      </c>
    </row>
    <row r="1911">
      <c r="A1911" s="14" t="s">
        <v>13174</v>
      </c>
      <c r="B1911" s="14" t="s">
        <v>13175</v>
      </c>
      <c r="C1911" s="14" t="s">
        <v>1255</v>
      </c>
      <c r="D1911" s="14" t="s">
        <v>13176</v>
      </c>
      <c r="E1911" s="14" t="s">
        <v>13166</v>
      </c>
      <c r="F1911" s="14" t="s">
        <v>318</v>
      </c>
      <c r="G1911" s="14" t="s">
        <v>13177</v>
      </c>
      <c r="H1911" s="15" t="s">
        <v>31</v>
      </c>
      <c r="I1911" s="15">
        <v>2.0</v>
      </c>
      <c r="J1911" s="15">
        <v>1.0</v>
      </c>
      <c r="K1911" s="15">
        <v>1.0</v>
      </c>
      <c r="L1911" s="16" t="s">
        <v>13178</v>
      </c>
      <c r="M1911" s="14" t="s">
        <v>13179</v>
      </c>
      <c r="N1911" s="14" t="s">
        <v>13180</v>
      </c>
      <c r="O1911" s="16" t="s">
        <v>13181</v>
      </c>
      <c r="P1911" s="14" t="s">
        <v>13182</v>
      </c>
      <c r="Q1911" s="14" t="s">
        <v>31</v>
      </c>
      <c r="R1911" s="14" t="s">
        <v>4092</v>
      </c>
      <c r="S1911" s="16" t="s">
        <v>13183</v>
      </c>
      <c r="T1911" s="14" t="s">
        <v>66</v>
      </c>
      <c r="U1911" s="16" t="s">
        <v>13184</v>
      </c>
      <c r="V1911" s="14" t="s">
        <v>318</v>
      </c>
      <c r="W1911" s="14" t="s">
        <v>13166</v>
      </c>
      <c r="X1911" s="17" t="str">
        <f>HYPERLINK("https://my.pitchbook.com?p=172646-74P","View People Online")</f>
        <v>View People Online</v>
      </c>
    </row>
    <row r="1912">
      <c r="A1912" s="2" t="s">
        <v>13185</v>
      </c>
      <c r="B1912" s="2" t="s">
        <v>13186</v>
      </c>
      <c r="C1912" s="2" t="s">
        <v>3828</v>
      </c>
      <c r="D1912" s="2" t="s">
        <v>13187</v>
      </c>
      <c r="E1912" s="2" t="s">
        <v>13166</v>
      </c>
      <c r="F1912" s="2" t="s">
        <v>29</v>
      </c>
      <c r="G1912" s="2" t="s">
        <v>13188</v>
      </c>
      <c r="H1912" s="3">
        <v>4.0</v>
      </c>
      <c r="I1912" s="3">
        <v>5.0</v>
      </c>
      <c r="J1912" s="3">
        <v>2.0</v>
      </c>
      <c r="K1912" s="3" t="s">
        <v>31</v>
      </c>
      <c r="L1912" s="4" t="s">
        <v>13178</v>
      </c>
      <c r="M1912" s="2" t="s">
        <v>13189</v>
      </c>
      <c r="N1912" s="2" t="s">
        <v>13180</v>
      </c>
      <c r="O1912" s="4" t="s">
        <v>13181</v>
      </c>
      <c r="P1912" s="2" t="s">
        <v>13182</v>
      </c>
      <c r="Q1912" s="2" t="s">
        <v>31</v>
      </c>
      <c r="R1912" s="2" t="s">
        <v>4092</v>
      </c>
      <c r="S1912" s="4" t="s">
        <v>13183</v>
      </c>
      <c r="T1912" s="2" t="s">
        <v>66</v>
      </c>
      <c r="U1912" s="4" t="s">
        <v>13184</v>
      </c>
      <c r="V1912" s="2" t="s">
        <v>31</v>
      </c>
      <c r="W1912" s="2" t="s">
        <v>13190</v>
      </c>
      <c r="X1912" s="5" t="str">
        <f>HYPERLINK("https://my.pitchbook.com?p=37149-76P","View People Online")</f>
        <v>View People Online</v>
      </c>
    </row>
    <row r="1913">
      <c r="A1913" s="6" t="s">
        <v>13191</v>
      </c>
      <c r="B1913" s="6" t="s">
        <v>13192</v>
      </c>
      <c r="C1913" s="6" t="s">
        <v>3274</v>
      </c>
      <c r="D1913" s="6" t="s">
        <v>13193</v>
      </c>
      <c r="E1913" s="6" t="s">
        <v>13166</v>
      </c>
      <c r="F1913" s="6" t="s">
        <v>189</v>
      </c>
      <c r="G1913" s="6" t="s">
        <v>13194</v>
      </c>
      <c r="H1913" s="7">
        <v>5.0</v>
      </c>
      <c r="I1913" s="7">
        <v>40.0</v>
      </c>
      <c r="J1913" s="7">
        <v>1.0</v>
      </c>
      <c r="K1913" s="7">
        <v>28.0</v>
      </c>
      <c r="L1913" s="8" t="s">
        <v>13178</v>
      </c>
      <c r="M1913" s="6" t="s">
        <v>13195</v>
      </c>
      <c r="N1913" s="6" t="s">
        <v>13180</v>
      </c>
      <c r="O1913" s="8" t="s">
        <v>13181</v>
      </c>
      <c r="P1913" s="6" t="s">
        <v>13182</v>
      </c>
      <c r="Q1913" s="6" t="s">
        <v>31</v>
      </c>
      <c r="R1913" s="6" t="s">
        <v>4092</v>
      </c>
      <c r="S1913" s="8" t="s">
        <v>13183</v>
      </c>
      <c r="T1913" s="6" t="s">
        <v>66</v>
      </c>
      <c r="U1913" s="8" t="s">
        <v>13184</v>
      </c>
      <c r="V1913" s="6" t="s">
        <v>196</v>
      </c>
      <c r="W1913" s="6" t="s">
        <v>13166</v>
      </c>
      <c r="X1913" s="9" t="str">
        <f>HYPERLINK("https://my.pitchbook.com?p=22520-98P","View People Online")</f>
        <v>View People Online</v>
      </c>
    </row>
    <row r="1914">
      <c r="A1914" s="10" t="s">
        <v>13196</v>
      </c>
      <c r="B1914" s="10" t="s">
        <v>13197</v>
      </c>
      <c r="C1914" s="10" t="s">
        <v>69</v>
      </c>
      <c r="D1914" s="10" t="s">
        <v>13198</v>
      </c>
      <c r="E1914" s="10" t="s">
        <v>13199</v>
      </c>
      <c r="F1914" s="10" t="s">
        <v>57</v>
      </c>
      <c r="G1914" s="10" t="s">
        <v>13200</v>
      </c>
      <c r="H1914" s="11" t="s">
        <v>31</v>
      </c>
      <c r="I1914" s="11">
        <v>6.0</v>
      </c>
      <c r="J1914" s="11">
        <v>1.0</v>
      </c>
      <c r="K1914" s="11">
        <v>3.0</v>
      </c>
      <c r="L1914" s="12" t="s">
        <v>13201</v>
      </c>
      <c r="M1914" s="10" t="s">
        <v>13202</v>
      </c>
      <c r="N1914" s="10" t="s">
        <v>75</v>
      </c>
      <c r="O1914" s="12" t="s">
        <v>76</v>
      </c>
      <c r="P1914" s="10" t="s">
        <v>13203</v>
      </c>
      <c r="Q1914" s="10" t="s">
        <v>31</v>
      </c>
      <c r="R1914" s="10" t="s">
        <v>75</v>
      </c>
      <c r="S1914" s="12" t="s">
        <v>13204</v>
      </c>
      <c r="T1914" s="10" t="s">
        <v>66</v>
      </c>
      <c r="U1914" s="12" t="s">
        <v>31</v>
      </c>
      <c r="V1914" s="10" t="s">
        <v>57</v>
      </c>
      <c r="W1914" s="10" t="s">
        <v>13199</v>
      </c>
      <c r="X1914" s="13" t="str">
        <f>HYPERLINK("https://my.pitchbook.com?p=214766-20P","View People Online")</f>
        <v>View People Online</v>
      </c>
    </row>
    <row r="1915">
      <c r="A1915" s="14" t="s">
        <v>13205</v>
      </c>
      <c r="B1915" s="14" t="s">
        <v>13206</v>
      </c>
      <c r="C1915" s="14" t="s">
        <v>2572</v>
      </c>
      <c r="D1915" s="14" t="s">
        <v>1147</v>
      </c>
      <c r="E1915" s="14" t="s">
        <v>13207</v>
      </c>
      <c r="F1915" s="14" t="s">
        <v>3523</v>
      </c>
      <c r="G1915" s="14" t="s">
        <v>13208</v>
      </c>
      <c r="H1915" s="15" t="s">
        <v>31</v>
      </c>
      <c r="I1915" s="15">
        <v>1.0</v>
      </c>
      <c r="J1915" s="15">
        <v>1.0</v>
      </c>
      <c r="K1915" s="15" t="s">
        <v>31</v>
      </c>
      <c r="L1915" s="16" t="s">
        <v>13209</v>
      </c>
      <c r="M1915" s="14" t="s">
        <v>13210</v>
      </c>
      <c r="N1915" s="14" t="s">
        <v>4232</v>
      </c>
      <c r="O1915" s="16" t="s">
        <v>4233</v>
      </c>
      <c r="P1915" s="14" t="s">
        <v>13211</v>
      </c>
      <c r="Q1915" s="14" t="s">
        <v>31</v>
      </c>
      <c r="R1915" s="14" t="s">
        <v>4236</v>
      </c>
      <c r="S1915" s="16" t="s">
        <v>13212</v>
      </c>
      <c r="T1915" s="14" t="s">
        <v>66</v>
      </c>
      <c r="U1915" s="16" t="s">
        <v>13213</v>
      </c>
      <c r="V1915" s="14" t="s">
        <v>3523</v>
      </c>
      <c r="W1915" s="14" t="s">
        <v>13207</v>
      </c>
      <c r="X1915" s="17" t="str">
        <f>HYPERLINK("https://my.pitchbook.com?p=435223-72P","View People Online")</f>
        <v>View People Online</v>
      </c>
    </row>
    <row r="1916">
      <c r="A1916" s="10" t="s">
        <v>13214</v>
      </c>
      <c r="B1916" s="10" t="s">
        <v>13215</v>
      </c>
      <c r="C1916" s="10" t="s">
        <v>13216</v>
      </c>
      <c r="D1916" s="10" t="s">
        <v>13217</v>
      </c>
      <c r="E1916" s="10" t="s">
        <v>13207</v>
      </c>
      <c r="F1916" s="10" t="s">
        <v>13218</v>
      </c>
      <c r="G1916" s="10" t="s">
        <v>13219</v>
      </c>
      <c r="H1916" s="11" t="s">
        <v>31</v>
      </c>
      <c r="I1916" s="11">
        <v>1.0</v>
      </c>
      <c r="J1916" s="11">
        <v>1.0</v>
      </c>
      <c r="K1916" s="11" t="s">
        <v>31</v>
      </c>
      <c r="L1916" s="12" t="s">
        <v>13220</v>
      </c>
      <c r="M1916" s="10" t="s">
        <v>13221</v>
      </c>
      <c r="N1916" s="10" t="s">
        <v>2478</v>
      </c>
      <c r="O1916" s="12" t="s">
        <v>7332</v>
      </c>
      <c r="P1916" s="10" t="s">
        <v>13222</v>
      </c>
      <c r="Q1916" s="10" t="s">
        <v>13223</v>
      </c>
      <c r="R1916" s="10" t="s">
        <v>7335</v>
      </c>
      <c r="S1916" s="12" t="s">
        <v>7336</v>
      </c>
      <c r="T1916" s="10" t="s">
        <v>5484</v>
      </c>
      <c r="U1916" s="12" t="s">
        <v>13224</v>
      </c>
      <c r="V1916" s="10" t="s">
        <v>13225</v>
      </c>
      <c r="W1916" s="10" t="s">
        <v>13207</v>
      </c>
      <c r="X1916" s="13" t="str">
        <f>HYPERLINK("https://my.pitchbook.com?p=436288-42P","View People Online")</f>
        <v>View People Online</v>
      </c>
    </row>
    <row r="1917">
      <c r="A1917" s="14" t="s">
        <v>13226</v>
      </c>
      <c r="B1917" s="14" t="s">
        <v>13227</v>
      </c>
      <c r="C1917" s="14" t="s">
        <v>13228</v>
      </c>
      <c r="D1917" s="14" t="s">
        <v>13229</v>
      </c>
      <c r="E1917" s="14" t="s">
        <v>13207</v>
      </c>
      <c r="F1917" s="14" t="s">
        <v>13218</v>
      </c>
      <c r="G1917" s="14" t="s">
        <v>13230</v>
      </c>
      <c r="H1917" s="15" t="s">
        <v>31</v>
      </c>
      <c r="I1917" s="15">
        <v>1.0</v>
      </c>
      <c r="J1917" s="15">
        <v>1.0</v>
      </c>
      <c r="K1917" s="15" t="s">
        <v>31</v>
      </c>
      <c r="L1917" s="16" t="s">
        <v>13231</v>
      </c>
      <c r="M1917" s="14" t="s">
        <v>13232</v>
      </c>
      <c r="N1917" s="14" t="s">
        <v>1203</v>
      </c>
      <c r="O1917" s="16" t="s">
        <v>1204</v>
      </c>
      <c r="P1917" s="14" t="s">
        <v>13233</v>
      </c>
      <c r="Q1917" s="14" t="s">
        <v>13234</v>
      </c>
      <c r="R1917" s="14" t="s">
        <v>1207</v>
      </c>
      <c r="S1917" s="16" t="s">
        <v>13235</v>
      </c>
      <c r="T1917" s="14" t="s">
        <v>1209</v>
      </c>
      <c r="U1917" s="16" t="s">
        <v>31</v>
      </c>
      <c r="V1917" s="14" t="s">
        <v>13218</v>
      </c>
      <c r="W1917" s="14" t="s">
        <v>13207</v>
      </c>
      <c r="X1917" s="17" t="str">
        <f>HYPERLINK("https://my.pitchbook.com?p=260286-31P","View People Online")</f>
        <v>View People Online</v>
      </c>
    </row>
    <row r="1918">
      <c r="A1918" s="10" t="s">
        <v>13236</v>
      </c>
      <c r="B1918" s="10" t="s">
        <v>13237</v>
      </c>
      <c r="C1918" s="10" t="s">
        <v>13238</v>
      </c>
      <c r="D1918" s="10" t="s">
        <v>13239</v>
      </c>
      <c r="E1918" s="10" t="s">
        <v>13207</v>
      </c>
      <c r="F1918" s="10" t="s">
        <v>13240</v>
      </c>
      <c r="G1918" s="10" t="s">
        <v>13241</v>
      </c>
      <c r="H1918" s="11" t="s">
        <v>31</v>
      </c>
      <c r="I1918" s="11">
        <v>1.0</v>
      </c>
      <c r="J1918" s="11">
        <v>1.0</v>
      </c>
      <c r="K1918" s="11" t="s">
        <v>31</v>
      </c>
      <c r="L1918" s="12" t="s">
        <v>13242</v>
      </c>
      <c r="M1918" s="10" t="s">
        <v>13243</v>
      </c>
      <c r="N1918" s="10" t="s">
        <v>9865</v>
      </c>
      <c r="O1918" s="12" t="s">
        <v>9866</v>
      </c>
      <c r="P1918" s="10" t="s">
        <v>13244</v>
      </c>
      <c r="Q1918" s="10" t="s">
        <v>31</v>
      </c>
      <c r="R1918" s="10" t="s">
        <v>31</v>
      </c>
      <c r="S1918" s="12" t="s">
        <v>13245</v>
      </c>
      <c r="T1918" s="10" t="s">
        <v>38</v>
      </c>
      <c r="U1918" s="12" t="s">
        <v>13246</v>
      </c>
      <c r="V1918" s="10" t="s">
        <v>13247</v>
      </c>
      <c r="W1918" s="10" t="s">
        <v>13207</v>
      </c>
      <c r="X1918" s="13" t="str">
        <f>HYPERLINK("https://my.pitchbook.com?p=435841-66P","View People Online")</f>
        <v>View People Online</v>
      </c>
    </row>
    <row r="1919">
      <c r="A1919" s="14" t="s">
        <v>13248</v>
      </c>
      <c r="B1919" s="14" t="s">
        <v>13249</v>
      </c>
      <c r="C1919" s="14" t="s">
        <v>13238</v>
      </c>
      <c r="D1919" s="14" t="s">
        <v>13250</v>
      </c>
      <c r="E1919" s="14" t="s">
        <v>13207</v>
      </c>
      <c r="F1919" s="14" t="s">
        <v>3523</v>
      </c>
      <c r="G1919" s="14" t="s">
        <v>13251</v>
      </c>
      <c r="H1919" s="15" t="s">
        <v>31</v>
      </c>
      <c r="I1919" s="15">
        <v>1.0</v>
      </c>
      <c r="J1919" s="15">
        <v>1.0</v>
      </c>
      <c r="K1919" s="15" t="s">
        <v>31</v>
      </c>
      <c r="L1919" s="16" t="s">
        <v>13252</v>
      </c>
      <c r="M1919" s="14" t="s">
        <v>13253</v>
      </c>
      <c r="N1919" s="14" t="s">
        <v>13254</v>
      </c>
      <c r="O1919" s="16" t="s">
        <v>13255</v>
      </c>
      <c r="P1919" s="14" t="s">
        <v>13256</v>
      </c>
      <c r="Q1919" s="14" t="s">
        <v>31</v>
      </c>
      <c r="R1919" s="14" t="s">
        <v>31</v>
      </c>
      <c r="S1919" s="16" t="s">
        <v>13257</v>
      </c>
      <c r="T1919" s="14" t="s">
        <v>13258</v>
      </c>
      <c r="U1919" s="16" t="s">
        <v>13259</v>
      </c>
      <c r="V1919" s="14" t="s">
        <v>3523</v>
      </c>
      <c r="W1919" s="14" t="s">
        <v>13207</v>
      </c>
      <c r="X1919" s="17" t="str">
        <f>HYPERLINK("https://my.pitchbook.com?p=455354-92P","View People Online")</f>
        <v>View People Online</v>
      </c>
    </row>
    <row r="1920">
      <c r="A1920" s="10" t="s">
        <v>13260</v>
      </c>
      <c r="B1920" s="10" t="s">
        <v>13261</v>
      </c>
      <c r="C1920" s="10" t="s">
        <v>568</v>
      </c>
      <c r="D1920" s="10" t="s">
        <v>1723</v>
      </c>
      <c r="E1920" s="10" t="s">
        <v>13207</v>
      </c>
      <c r="F1920" s="10" t="s">
        <v>29</v>
      </c>
      <c r="G1920" s="10" t="s">
        <v>13262</v>
      </c>
      <c r="H1920" s="11" t="s">
        <v>31</v>
      </c>
      <c r="I1920" s="11">
        <v>1.0</v>
      </c>
      <c r="J1920" s="11">
        <v>1.0</v>
      </c>
      <c r="K1920" s="11" t="s">
        <v>31</v>
      </c>
      <c r="L1920" s="12" t="s">
        <v>13263</v>
      </c>
      <c r="M1920" s="10" t="s">
        <v>13264</v>
      </c>
      <c r="N1920" s="10" t="s">
        <v>1005</v>
      </c>
      <c r="O1920" s="12" t="s">
        <v>1006</v>
      </c>
      <c r="P1920" s="10" t="s">
        <v>13265</v>
      </c>
      <c r="Q1920" s="10" t="s">
        <v>13266</v>
      </c>
      <c r="R1920" s="10" t="s">
        <v>13267</v>
      </c>
      <c r="S1920" s="12" t="s">
        <v>13268</v>
      </c>
      <c r="T1920" s="10" t="s">
        <v>1010</v>
      </c>
      <c r="U1920" s="12" t="s">
        <v>13269</v>
      </c>
      <c r="V1920" s="10" t="s">
        <v>29</v>
      </c>
      <c r="W1920" s="10" t="s">
        <v>13207</v>
      </c>
      <c r="X1920" s="13" t="str">
        <f>HYPERLINK("https://my.pitchbook.com?p=436230-46P","View People Online")</f>
        <v>View People Online</v>
      </c>
    </row>
    <row r="1921">
      <c r="A1921" s="6" t="s">
        <v>13270</v>
      </c>
      <c r="B1921" s="6" t="s">
        <v>13271</v>
      </c>
      <c r="C1921" s="6" t="s">
        <v>568</v>
      </c>
      <c r="D1921" s="6" t="s">
        <v>13272</v>
      </c>
      <c r="E1921" s="6" t="s">
        <v>13207</v>
      </c>
      <c r="F1921" s="6" t="s">
        <v>13218</v>
      </c>
      <c r="G1921" s="6" t="s">
        <v>13273</v>
      </c>
      <c r="H1921" s="7" t="s">
        <v>31</v>
      </c>
      <c r="I1921" s="7">
        <v>1.0</v>
      </c>
      <c r="J1921" s="7">
        <v>1.0</v>
      </c>
      <c r="K1921" s="7" t="s">
        <v>31</v>
      </c>
      <c r="L1921" s="8" t="s">
        <v>13274</v>
      </c>
      <c r="M1921" s="6" t="s">
        <v>13275</v>
      </c>
      <c r="N1921" s="6" t="s">
        <v>1181</v>
      </c>
      <c r="O1921" s="8" t="s">
        <v>1182</v>
      </c>
      <c r="P1921" s="6" t="s">
        <v>13276</v>
      </c>
      <c r="Q1921" s="6" t="s">
        <v>31</v>
      </c>
      <c r="R1921" s="6" t="s">
        <v>1185</v>
      </c>
      <c r="S1921" s="8" t="s">
        <v>4438</v>
      </c>
      <c r="T1921" s="6" t="s">
        <v>66</v>
      </c>
      <c r="U1921" s="8" t="s">
        <v>13277</v>
      </c>
      <c r="V1921" s="6" t="s">
        <v>13218</v>
      </c>
      <c r="W1921" s="6" t="s">
        <v>13207</v>
      </c>
      <c r="X1921" s="9" t="str">
        <f>HYPERLINK("https://my.pitchbook.com?p=103421-71P","View People Online")</f>
        <v>View People Online</v>
      </c>
    </row>
    <row r="1922">
      <c r="A1922" s="2" t="s">
        <v>13278</v>
      </c>
      <c r="B1922" s="2" t="s">
        <v>13279</v>
      </c>
      <c r="C1922" s="2" t="s">
        <v>568</v>
      </c>
      <c r="D1922" s="2" t="s">
        <v>12088</v>
      </c>
      <c r="E1922" s="2" t="s">
        <v>13207</v>
      </c>
      <c r="F1922" s="2" t="s">
        <v>3523</v>
      </c>
      <c r="G1922" s="2" t="s">
        <v>13280</v>
      </c>
      <c r="H1922" s="3" t="s">
        <v>31</v>
      </c>
      <c r="I1922" s="3">
        <v>1.0</v>
      </c>
      <c r="J1922" s="3">
        <v>1.0</v>
      </c>
      <c r="K1922" s="3" t="s">
        <v>31</v>
      </c>
      <c r="L1922" s="4" t="s">
        <v>13281</v>
      </c>
      <c r="M1922" s="2" t="s">
        <v>13282</v>
      </c>
      <c r="N1922" s="2" t="s">
        <v>1277</v>
      </c>
      <c r="O1922" s="4" t="s">
        <v>1278</v>
      </c>
      <c r="P1922" s="2" t="s">
        <v>13283</v>
      </c>
      <c r="Q1922" s="2" t="s">
        <v>13284</v>
      </c>
      <c r="R1922" s="2" t="s">
        <v>1281</v>
      </c>
      <c r="S1922" s="4" t="s">
        <v>1282</v>
      </c>
      <c r="T1922" s="2" t="s">
        <v>66</v>
      </c>
      <c r="U1922" s="4" t="s">
        <v>13285</v>
      </c>
      <c r="V1922" s="2" t="s">
        <v>3523</v>
      </c>
      <c r="W1922" s="2" t="s">
        <v>13207</v>
      </c>
      <c r="X1922" s="5" t="str">
        <f>HYPERLINK("https://my.pitchbook.com?p=455887-81P","View People Online")</f>
        <v>View People Online</v>
      </c>
    </row>
    <row r="1923">
      <c r="A1923" s="6" t="s">
        <v>13286</v>
      </c>
      <c r="B1923" s="6" t="s">
        <v>13287</v>
      </c>
      <c r="C1923" s="6" t="s">
        <v>568</v>
      </c>
      <c r="D1923" s="6" t="s">
        <v>1849</v>
      </c>
      <c r="E1923" s="6" t="s">
        <v>13207</v>
      </c>
      <c r="F1923" s="6" t="s">
        <v>3523</v>
      </c>
      <c r="G1923" s="6" t="s">
        <v>13288</v>
      </c>
      <c r="H1923" s="7" t="s">
        <v>31</v>
      </c>
      <c r="I1923" s="7">
        <v>1.0</v>
      </c>
      <c r="J1923" s="7">
        <v>1.0</v>
      </c>
      <c r="K1923" s="7" t="s">
        <v>31</v>
      </c>
      <c r="L1923" s="8" t="s">
        <v>13289</v>
      </c>
      <c r="M1923" s="6" t="s">
        <v>13290</v>
      </c>
      <c r="N1923" s="6" t="s">
        <v>1348</v>
      </c>
      <c r="O1923" s="8" t="s">
        <v>1349</v>
      </c>
      <c r="P1923" s="6" t="s">
        <v>13291</v>
      </c>
      <c r="Q1923" s="6" t="s">
        <v>13292</v>
      </c>
      <c r="R1923" s="6" t="s">
        <v>1018</v>
      </c>
      <c r="S1923" s="8" t="s">
        <v>13293</v>
      </c>
      <c r="T1923" s="6" t="s">
        <v>1019</v>
      </c>
      <c r="U1923" s="8" t="s">
        <v>13294</v>
      </c>
      <c r="V1923" s="6" t="s">
        <v>3523</v>
      </c>
      <c r="W1923" s="6" t="s">
        <v>13207</v>
      </c>
      <c r="X1923" s="9" t="str">
        <f>HYPERLINK("https://my.pitchbook.com?p=435714-04P","View People Online")</f>
        <v>View People Online</v>
      </c>
    </row>
    <row r="1924">
      <c r="A1924" s="10" t="s">
        <v>13295</v>
      </c>
      <c r="B1924" s="10" t="s">
        <v>13296</v>
      </c>
      <c r="C1924" s="10" t="s">
        <v>568</v>
      </c>
      <c r="D1924" s="10" t="s">
        <v>13297</v>
      </c>
      <c r="E1924" s="10" t="s">
        <v>13207</v>
      </c>
      <c r="F1924" s="10" t="s">
        <v>29</v>
      </c>
      <c r="G1924" s="10" t="s">
        <v>13298</v>
      </c>
      <c r="H1924" s="11" t="s">
        <v>31</v>
      </c>
      <c r="I1924" s="11">
        <v>1.0</v>
      </c>
      <c r="J1924" s="11">
        <v>1.0</v>
      </c>
      <c r="K1924" s="11" t="s">
        <v>31</v>
      </c>
      <c r="L1924" s="12" t="s">
        <v>13299</v>
      </c>
      <c r="M1924" s="10" t="s">
        <v>13300</v>
      </c>
      <c r="N1924" s="10" t="s">
        <v>601</v>
      </c>
      <c r="O1924" s="12" t="s">
        <v>602</v>
      </c>
      <c r="P1924" s="10" t="s">
        <v>13301</v>
      </c>
      <c r="Q1924" s="10" t="s">
        <v>13302</v>
      </c>
      <c r="R1924" s="10" t="s">
        <v>31</v>
      </c>
      <c r="S1924" s="12" t="s">
        <v>31</v>
      </c>
      <c r="T1924" s="10" t="s">
        <v>603</v>
      </c>
      <c r="U1924" s="12" t="s">
        <v>13303</v>
      </c>
      <c r="V1924" s="10" t="s">
        <v>29</v>
      </c>
      <c r="W1924" s="10" t="s">
        <v>13207</v>
      </c>
      <c r="X1924" s="13" t="str">
        <f>HYPERLINK("https://my.pitchbook.com?p=455554-54P","View People Online")</f>
        <v>View People Online</v>
      </c>
    </row>
    <row r="1925">
      <c r="A1925" s="6" t="s">
        <v>13304</v>
      </c>
      <c r="B1925" s="6" t="s">
        <v>13305</v>
      </c>
      <c r="C1925" s="6" t="s">
        <v>568</v>
      </c>
      <c r="D1925" s="6" t="s">
        <v>13306</v>
      </c>
      <c r="E1925" s="6" t="s">
        <v>13207</v>
      </c>
      <c r="F1925" s="6" t="s">
        <v>13307</v>
      </c>
      <c r="G1925" s="6" t="s">
        <v>13308</v>
      </c>
      <c r="H1925" s="7" t="s">
        <v>31</v>
      </c>
      <c r="I1925" s="7">
        <v>1.0</v>
      </c>
      <c r="J1925" s="7">
        <v>1.0</v>
      </c>
      <c r="K1925" s="7" t="s">
        <v>31</v>
      </c>
      <c r="L1925" s="8" t="s">
        <v>13309</v>
      </c>
      <c r="M1925" s="6" t="s">
        <v>13310</v>
      </c>
      <c r="N1925" s="6" t="s">
        <v>13311</v>
      </c>
      <c r="O1925" s="8" t="s">
        <v>13312</v>
      </c>
      <c r="P1925" s="6" t="s">
        <v>13313</v>
      </c>
      <c r="Q1925" s="6" t="s">
        <v>31</v>
      </c>
      <c r="R1925" s="6" t="s">
        <v>31</v>
      </c>
      <c r="S1925" s="8" t="s">
        <v>13314</v>
      </c>
      <c r="T1925" s="6" t="s">
        <v>13315</v>
      </c>
      <c r="U1925" s="8" t="s">
        <v>13316</v>
      </c>
      <c r="V1925" s="6" t="s">
        <v>13317</v>
      </c>
      <c r="W1925" s="6" t="s">
        <v>13207</v>
      </c>
      <c r="X1925" s="9" t="str">
        <f>HYPERLINK("https://my.pitchbook.com?p=435617-38P","View People Online")</f>
        <v>View People Online</v>
      </c>
    </row>
    <row r="1926">
      <c r="A1926" s="10" t="s">
        <v>13318</v>
      </c>
      <c r="B1926" s="10" t="s">
        <v>13319</v>
      </c>
      <c r="C1926" s="10" t="s">
        <v>568</v>
      </c>
      <c r="D1926" s="10" t="s">
        <v>13320</v>
      </c>
      <c r="E1926" s="10" t="s">
        <v>13207</v>
      </c>
      <c r="F1926" s="10" t="s">
        <v>13218</v>
      </c>
      <c r="G1926" s="10" t="s">
        <v>13321</v>
      </c>
      <c r="H1926" s="11" t="s">
        <v>31</v>
      </c>
      <c r="I1926" s="11">
        <v>1.0</v>
      </c>
      <c r="J1926" s="11">
        <v>1.0</v>
      </c>
      <c r="K1926" s="11" t="s">
        <v>31</v>
      </c>
      <c r="L1926" s="12" t="s">
        <v>13209</v>
      </c>
      <c r="M1926" s="10" t="s">
        <v>13322</v>
      </c>
      <c r="N1926" s="10" t="s">
        <v>4232</v>
      </c>
      <c r="O1926" s="12" t="s">
        <v>4233</v>
      </c>
      <c r="P1926" s="10" t="s">
        <v>13211</v>
      </c>
      <c r="Q1926" s="10" t="s">
        <v>31</v>
      </c>
      <c r="R1926" s="10" t="s">
        <v>4236</v>
      </c>
      <c r="S1926" s="12" t="s">
        <v>13212</v>
      </c>
      <c r="T1926" s="10" t="s">
        <v>66</v>
      </c>
      <c r="U1926" s="12" t="s">
        <v>13213</v>
      </c>
      <c r="V1926" s="10" t="s">
        <v>13218</v>
      </c>
      <c r="W1926" s="10" t="s">
        <v>13207</v>
      </c>
      <c r="X1926" s="13" t="str">
        <f>HYPERLINK("https://my.pitchbook.com?p=436223-98P","View People Online")</f>
        <v>View People Online</v>
      </c>
    </row>
    <row r="1927">
      <c r="A1927" s="14" t="s">
        <v>13323</v>
      </c>
      <c r="B1927" s="14" t="s">
        <v>13324</v>
      </c>
      <c r="C1927" s="14" t="s">
        <v>8336</v>
      </c>
      <c r="D1927" s="14" t="s">
        <v>13325</v>
      </c>
      <c r="E1927" s="14" t="s">
        <v>13207</v>
      </c>
      <c r="F1927" s="14" t="s">
        <v>3523</v>
      </c>
      <c r="G1927" s="14" t="s">
        <v>13326</v>
      </c>
      <c r="H1927" s="15" t="s">
        <v>31</v>
      </c>
      <c r="I1927" s="15">
        <v>1.0</v>
      </c>
      <c r="J1927" s="15">
        <v>1.0</v>
      </c>
      <c r="K1927" s="15" t="s">
        <v>31</v>
      </c>
      <c r="L1927" s="16" t="s">
        <v>13299</v>
      </c>
      <c r="M1927" s="14" t="s">
        <v>13327</v>
      </c>
      <c r="N1927" s="14" t="s">
        <v>601</v>
      </c>
      <c r="O1927" s="16" t="s">
        <v>602</v>
      </c>
      <c r="P1927" s="14" t="s">
        <v>13301</v>
      </c>
      <c r="Q1927" s="14" t="s">
        <v>13302</v>
      </c>
      <c r="R1927" s="14" t="s">
        <v>31</v>
      </c>
      <c r="S1927" s="16" t="s">
        <v>31</v>
      </c>
      <c r="T1927" s="14" t="s">
        <v>603</v>
      </c>
      <c r="U1927" s="16" t="s">
        <v>13303</v>
      </c>
      <c r="V1927" s="14" t="s">
        <v>3523</v>
      </c>
      <c r="W1927" s="14" t="s">
        <v>13207</v>
      </c>
      <c r="X1927" s="17" t="str">
        <f>HYPERLINK("https://my.pitchbook.com?p=435003-49P","View People Online")</f>
        <v>View People Online</v>
      </c>
    </row>
    <row r="1928">
      <c r="A1928" s="2" t="s">
        <v>13328</v>
      </c>
      <c r="B1928" s="2" t="s">
        <v>13329</v>
      </c>
      <c r="C1928" s="2" t="s">
        <v>13330</v>
      </c>
      <c r="D1928" s="2" t="s">
        <v>13331</v>
      </c>
      <c r="E1928" s="2" t="s">
        <v>13207</v>
      </c>
      <c r="F1928" s="2" t="s">
        <v>3523</v>
      </c>
      <c r="G1928" s="2" t="s">
        <v>13332</v>
      </c>
      <c r="H1928" s="3" t="s">
        <v>31</v>
      </c>
      <c r="I1928" s="3">
        <v>1.0</v>
      </c>
      <c r="J1928" s="3">
        <v>1.0</v>
      </c>
      <c r="K1928" s="3" t="s">
        <v>31</v>
      </c>
      <c r="L1928" s="4" t="s">
        <v>13274</v>
      </c>
      <c r="M1928" s="2" t="s">
        <v>13333</v>
      </c>
      <c r="N1928" s="2" t="s">
        <v>1181</v>
      </c>
      <c r="O1928" s="4" t="s">
        <v>1182</v>
      </c>
      <c r="P1928" s="2" t="s">
        <v>13276</v>
      </c>
      <c r="Q1928" s="2" t="s">
        <v>31</v>
      </c>
      <c r="R1928" s="2" t="s">
        <v>1185</v>
      </c>
      <c r="S1928" s="4" t="s">
        <v>4438</v>
      </c>
      <c r="T1928" s="2" t="s">
        <v>66</v>
      </c>
      <c r="U1928" s="4" t="s">
        <v>13277</v>
      </c>
      <c r="V1928" s="2" t="s">
        <v>3523</v>
      </c>
      <c r="W1928" s="2" t="s">
        <v>13207</v>
      </c>
      <c r="X1928" s="5" t="str">
        <f>HYPERLINK("https://my.pitchbook.com?p=455784-58P","View People Online")</f>
        <v>View People Online</v>
      </c>
    </row>
    <row r="1929">
      <c r="A1929" s="14" t="s">
        <v>13334</v>
      </c>
      <c r="B1929" s="14" t="s">
        <v>13335</v>
      </c>
      <c r="C1929" s="14" t="s">
        <v>5671</v>
      </c>
      <c r="D1929" s="14" t="s">
        <v>13336</v>
      </c>
      <c r="E1929" s="14" t="s">
        <v>13207</v>
      </c>
      <c r="F1929" s="14" t="s">
        <v>3523</v>
      </c>
      <c r="G1929" s="14" t="s">
        <v>13337</v>
      </c>
      <c r="H1929" s="15" t="s">
        <v>31</v>
      </c>
      <c r="I1929" s="15">
        <v>1.0</v>
      </c>
      <c r="J1929" s="15">
        <v>1.0</v>
      </c>
      <c r="K1929" s="15" t="s">
        <v>31</v>
      </c>
      <c r="L1929" s="16" t="s">
        <v>13281</v>
      </c>
      <c r="M1929" s="14" t="s">
        <v>13338</v>
      </c>
      <c r="N1929" s="14" t="s">
        <v>1277</v>
      </c>
      <c r="O1929" s="16" t="s">
        <v>1278</v>
      </c>
      <c r="P1929" s="14" t="s">
        <v>13283</v>
      </c>
      <c r="Q1929" s="14" t="s">
        <v>13284</v>
      </c>
      <c r="R1929" s="14" t="s">
        <v>1281</v>
      </c>
      <c r="S1929" s="16" t="s">
        <v>1282</v>
      </c>
      <c r="T1929" s="14" t="s">
        <v>66</v>
      </c>
      <c r="U1929" s="16" t="s">
        <v>13285</v>
      </c>
      <c r="V1929" s="14" t="s">
        <v>13339</v>
      </c>
      <c r="W1929" s="14" t="s">
        <v>13207</v>
      </c>
      <c r="X1929" s="17" t="str">
        <f>HYPERLINK("https://my.pitchbook.com?p=456102-55P","View People Online")</f>
        <v>View People Online</v>
      </c>
    </row>
    <row r="1930">
      <c r="A1930" s="2" t="s">
        <v>13340</v>
      </c>
      <c r="B1930" s="2" t="s">
        <v>13341</v>
      </c>
      <c r="C1930" s="2" t="s">
        <v>13342</v>
      </c>
      <c r="D1930" s="2" t="s">
        <v>13343</v>
      </c>
      <c r="E1930" s="2" t="s">
        <v>13207</v>
      </c>
      <c r="F1930" s="2" t="s">
        <v>29</v>
      </c>
      <c r="G1930" s="2" t="s">
        <v>13344</v>
      </c>
      <c r="H1930" s="3" t="s">
        <v>31</v>
      </c>
      <c r="I1930" s="3">
        <v>1.0</v>
      </c>
      <c r="J1930" s="3">
        <v>1.0</v>
      </c>
      <c r="K1930" s="3" t="s">
        <v>31</v>
      </c>
      <c r="L1930" s="4" t="s">
        <v>13345</v>
      </c>
      <c r="M1930" s="2" t="s">
        <v>13346</v>
      </c>
      <c r="N1930" s="2" t="s">
        <v>2764</v>
      </c>
      <c r="O1930" s="4" t="s">
        <v>2765</v>
      </c>
      <c r="P1930" s="2" t="s">
        <v>13347</v>
      </c>
      <c r="Q1930" s="2" t="s">
        <v>31</v>
      </c>
      <c r="R1930" s="2" t="s">
        <v>31</v>
      </c>
      <c r="S1930" s="4" t="s">
        <v>13348</v>
      </c>
      <c r="T1930" s="2" t="s">
        <v>2768</v>
      </c>
      <c r="U1930" s="4" t="s">
        <v>13349</v>
      </c>
      <c r="V1930" s="2" t="s">
        <v>29</v>
      </c>
      <c r="W1930" s="2" t="s">
        <v>13207</v>
      </c>
      <c r="X1930" s="5" t="str">
        <f>HYPERLINK("https://my.pitchbook.com?p=455591-26P","View People Online")</f>
        <v>View People Online</v>
      </c>
    </row>
    <row r="1931">
      <c r="A1931" s="6" t="s">
        <v>13350</v>
      </c>
      <c r="B1931" s="6" t="s">
        <v>13351</v>
      </c>
      <c r="C1931" s="6" t="s">
        <v>5684</v>
      </c>
      <c r="D1931" s="6" t="s">
        <v>13352</v>
      </c>
      <c r="E1931" s="6" t="s">
        <v>13207</v>
      </c>
      <c r="F1931" s="6" t="s">
        <v>3523</v>
      </c>
      <c r="G1931" s="6" t="s">
        <v>13353</v>
      </c>
      <c r="H1931" s="7" t="s">
        <v>31</v>
      </c>
      <c r="I1931" s="7">
        <v>1.0</v>
      </c>
      <c r="J1931" s="7">
        <v>1.0</v>
      </c>
      <c r="K1931" s="7" t="s">
        <v>31</v>
      </c>
      <c r="L1931" s="8" t="s">
        <v>13354</v>
      </c>
      <c r="M1931" s="6" t="s">
        <v>13355</v>
      </c>
      <c r="N1931" s="6" t="s">
        <v>13356</v>
      </c>
      <c r="O1931" s="8" t="s">
        <v>13357</v>
      </c>
      <c r="P1931" s="6" t="s">
        <v>13358</v>
      </c>
      <c r="Q1931" s="6" t="s">
        <v>13359</v>
      </c>
      <c r="R1931" s="6" t="s">
        <v>31</v>
      </c>
      <c r="S1931" s="8" t="s">
        <v>13360</v>
      </c>
      <c r="T1931" s="6" t="s">
        <v>13361</v>
      </c>
      <c r="U1931" s="8" t="s">
        <v>13362</v>
      </c>
      <c r="V1931" s="6" t="s">
        <v>3523</v>
      </c>
      <c r="W1931" s="6" t="s">
        <v>13207</v>
      </c>
      <c r="X1931" s="9" t="str">
        <f>HYPERLINK("https://my.pitchbook.com?p=456247-45P","View People Online")</f>
        <v>View People Online</v>
      </c>
    </row>
    <row r="1932">
      <c r="A1932" s="10" t="s">
        <v>13363</v>
      </c>
      <c r="B1932" s="10" t="s">
        <v>13364</v>
      </c>
      <c r="C1932" s="10" t="s">
        <v>5684</v>
      </c>
      <c r="D1932" s="10" t="s">
        <v>13365</v>
      </c>
      <c r="E1932" s="10" t="s">
        <v>13207</v>
      </c>
      <c r="F1932" s="10" t="s">
        <v>3523</v>
      </c>
      <c r="G1932" s="10" t="s">
        <v>13366</v>
      </c>
      <c r="H1932" s="11" t="s">
        <v>31</v>
      </c>
      <c r="I1932" s="11">
        <v>1.0</v>
      </c>
      <c r="J1932" s="11">
        <v>1.0</v>
      </c>
      <c r="K1932" s="11" t="s">
        <v>31</v>
      </c>
      <c r="L1932" s="12" t="s">
        <v>13242</v>
      </c>
      <c r="M1932" s="10" t="s">
        <v>13367</v>
      </c>
      <c r="N1932" s="10" t="s">
        <v>9865</v>
      </c>
      <c r="O1932" s="12" t="s">
        <v>9866</v>
      </c>
      <c r="P1932" s="10" t="s">
        <v>13244</v>
      </c>
      <c r="Q1932" s="10" t="s">
        <v>31</v>
      </c>
      <c r="R1932" s="10" t="s">
        <v>31</v>
      </c>
      <c r="S1932" s="12" t="s">
        <v>13245</v>
      </c>
      <c r="T1932" s="10" t="s">
        <v>38</v>
      </c>
      <c r="U1932" s="12" t="s">
        <v>13246</v>
      </c>
      <c r="V1932" s="10" t="s">
        <v>3523</v>
      </c>
      <c r="W1932" s="10" t="s">
        <v>13207</v>
      </c>
      <c r="X1932" s="13" t="str">
        <f>HYPERLINK("https://my.pitchbook.com?p=434990-44P","View People Online")</f>
        <v>View People Online</v>
      </c>
    </row>
    <row r="1933">
      <c r="A1933" s="14" t="s">
        <v>13368</v>
      </c>
      <c r="B1933" s="14" t="s">
        <v>13369</v>
      </c>
      <c r="C1933" s="14" t="s">
        <v>13370</v>
      </c>
      <c r="D1933" s="14" t="s">
        <v>13371</v>
      </c>
      <c r="E1933" s="14" t="s">
        <v>13207</v>
      </c>
      <c r="F1933" s="14" t="s">
        <v>318</v>
      </c>
      <c r="G1933" s="14" t="s">
        <v>13372</v>
      </c>
      <c r="H1933" s="15" t="s">
        <v>31</v>
      </c>
      <c r="I1933" s="15">
        <v>1.0</v>
      </c>
      <c r="J1933" s="15">
        <v>1.0</v>
      </c>
      <c r="K1933" s="15" t="s">
        <v>31</v>
      </c>
      <c r="L1933" s="16" t="s">
        <v>13209</v>
      </c>
      <c r="M1933" s="14" t="s">
        <v>13373</v>
      </c>
      <c r="N1933" s="14" t="s">
        <v>4232</v>
      </c>
      <c r="O1933" s="16" t="s">
        <v>4233</v>
      </c>
      <c r="P1933" s="14" t="s">
        <v>13211</v>
      </c>
      <c r="Q1933" s="14" t="s">
        <v>31</v>
      </c>
      <c r="R1933" s="14" t="s">
        <v>4236</v>
      </c>
      <c r="S1933" s="16" t="s">
        <v>13212</v>
      </c>
      <c r="T1933" s="14" t="s">
        <v>66</v>
      </c>
      <c r="U1933" s="16" t="s">
        <v>13213</v>
      </c>
      <c r="V1933" s="14" t="s">
        <v>318</v>
      </c>
      <c r="W1933" s="14" t="s">
        <v>13207</v>
      </c>
      <c r="X1933" s="17" t="str">
        <f>HYPERLINK("https://my.pitchbook.com?p=456140-17P","View People Online")</f>
        <v>View People Online</v>
      </c>
    </row>
    <row r="1934">
      <c r="A1934" s="2" t="s">
        <v>13374</v>
      </c>
      <c r="B1934" s="2" t="s">
        <v>13375</v>
      </c>
      <c r="C1934" s="2" t="s">
        <v>7169</v>
      </c>
      <c r="D1934" s="2" t="s">
        <v>13376</v>
      </c>
      <c r="E1934" s="2" t="s">
        <v>13207</v>
      </c>
      <c r="F1934" s="2" t="s">
        <v>3523</v>
      </c>
      <c r="G1934" s="2" t="s">
        <v>13377</v>
      </c>
      <c r="H1934" s="3" t="s">
        <v>31</v>
      </c>
      <c r="I1934" s="3">
        <v>1.0</v>
      </c>
      <c r="J1934" s="3">
        <v>1.0</v>
      </c>
      <c r="K1934" s="3" t="s">
        <v>31</v>
      </c>
      <c r="L1934" s="4" t="s">
        <v>13378</v>
      </c>
      <c r="M1934" s="2" t="s">
        <v>13379</v>
      </c>
      <c r="N1934" s="2" t="s">
        <v>429</v>
      </c>
      <c r="O1934" s="4" t="s">
        <v>430</v>
      </c>
      <c r="P1934" s="2" t="s">
        <v>13380</v>
      </c>
      <c r="Q1934" s="2" t="s">
        <v>31</v>
      </c>
      <c r="R1934" s="2" t="s">
        <v>31</v>
      </c>
      <c r="S1934" s="4" t="s">
        <v>13381</v>
      </c>
      <c r="T1934" s="2" t="s">
        <v>433</v>
      </c>
      <c r="U1934" s="4" t="s">
        <v>13382</v>
      </c>
      <c r="V1934" s="2" t="s">
        <v>3523</v>
      </c>
      <c r="W1934" s="2" t="s">
        <v>13207</v>
      </c>
      <c r="X1934" s="5" t="str">
        <f>HYPERLINK("https://my.pitchbook.com?p=435025-36P","View People Online")</f>
        <v>View People Online</v>
      </c>
    </row>
    <row r="1935">
      <c r="A1935" s="6" t="s">
        <v>13383</v>
      </c>
      <c r="B1935" s="6" t="s">
        <v>13384</v>
      </c>
      <c r="C1935" s="6" t="s">
        <v>7169</v>
      </c>
      <c r="D1935" s="6" t="s">
        <v>13385</v>
      </c>
      <c r="E1935" s="6" t="s">
        <v>13207</v>
      </c>
      <c r="F1935" s="6" t="s">
        <v>3523</v>
      </c>
      <c r="G1935" s="6" t="s">
        <v>13386</v>
      </c>
      <c r="H1935" s="7" t="s">
        <v>31</v>
      </c>
      <c r="I1935" s="7">
        <v>1.0</v>
      </c>
      <c r="J1935" s="7">
        <v>1.0</v>
      </c>
      <c r="K1935" s="7" t="s">
        <v>31</v>
      </c>
      <c r="L1935" s="8" t="s">
        <v>13378</v>
      </c>
      <c r="M1935" s="6" t="s">
        <v>13387</v>
      </c>
      <c r="N1935" s="6" t="s">
        <v>429</v>
      </c>
      <c r="O1935" s="8" t="s">
        <v>430</v>
      </c>
      <c r="P1935" s="6" t="s">
        <v>13380</v>
      </c>
      <c r="Q1935" s="6" t="s">
        <v>31</v>
      </c>
      <c r="R1935" s="6" t="s">
        <v>31</v>
      </c>
      <c r="S1935" s="8" t="s">
        <v>13381</v>
      </c>
      <c r="T1935" s="6" t="s">
        <v>433</v>
      </c>
      <c r="U1935" s="8" t="s">
        <v>13382</v>
      </c>
      <c r="V1935" s="6" t="s">
        <v>3523</v>
      </c>
      <c r="W1935" s="6" t="s">
        <v>13207</v>
      </c>
      <c r="X1935" s="9" t="str">
        <f>HYPERLINK("https://my.pitchbook.com?p=117537-31P","View People Online")</f>
        <v>View People Online</v>
      </c>
    </row>
    <row r="1936">
      <c r="A1936" s="10" t="s">
        <v>13388</v>
      </c>
      <c r="B1936" s="10" t="s">
        <v>13389</v>
      </c>
      <c r="C1936" s="10" t="s">
        <v>13390</v>
      </c>
      <c r="D1936" s="10" t="s">
        <v>13391</v>
      </c>
      <c r="E1936" s="10" t="s">
        <v>13207</v>
      </c>
      <c r="F1936" s="10" t="s">
        <v>3523</v>
      </c>
      <c r="G1936" s="10" t="s">
        <v>13392</v>
      </c>
      <c r="H1936" s="11" t="s">
        <v>31</v>
      </c>
      <c r="I1936" s="11">
        <v>1.0</v>
      </c>
      <c r="J1936" s="11">
        <v>1.0</v>
      </c>
      <c r="K1936" s="11" t="s">
        <v>31</v>
      </c>
      <c r="L1936" s="12" t="s">
        <v>13281</v>
      </c>
      <c r="M1936" s="10" t="s">
        <v>13393</v>
      </c>
      <c r="N1936" s="10" t="s">
        <v>1277</v>
      </c>
      <c r="O1936" s="12" t="s">
        <v>1278</v>
      </c>
      <c r="P1936" s="10" t="s">
        <v>13283</v>
      </c>
      <c r="Q1936" s="10" t="s">
        <v>13284</v>
      </c>
      <c r="R1936" s="10" t="s">
        <v>1281</v>
      </c>
      <c r="S1936" s="12" t="s">
        <v>1282</v>
      </c>
      <c r="T1936" s="10" t="s">
        <v>66</v>
      </c>
      <c r="U1936" s="12" t="s">
        <v>13285</v>
      </c>
      <c r="V1936" s="10" t="s">
        <v>3523</v>
      </c>
      <c r="W1936" s="10" t="s">
        <v>13207</v>
      </c>
      <c r="X1936" s="13" t="str">
        <f>HYPERLINK("https://my.pitchbook.com?p=436710-34P","View People Online")</f>
        <v>View People Online</v>
      </c>
    </row>
    <row r="1937">
      <c r="A1937" s="14" t="s">
        <v>13394</v>
      </c>
      <c r="B1937" s="14" t="s">
        <v>13395</v>
      </c>
      <c r="C1937" s="14" t="s">
        <v>13396</v>
      </c>
      <c r="D1937" s="14" t="s">
        <v>13397</v>
      </c>
      <c r="E1937" s="14" t="s">
        <v>13207</v>
      </c>
      <c r="F1937" s="14" t="s">
        <v>29</v>
      </c>
      <c r="G1937" s="14" t="s">
        <v>13398</v>
      </c>
      <c r="H1937" s="15" t="s">
        <v>31</v>
      </c>
      <c r="I1937" s="15">
        <v>1.0</v>
      </c>
      <c r="J1937" s="15">
        <v>1.0</v>
      </c>
      <c r="K1937" s="15" t="s">
        <v>31</v>
      </c>
      <c r="L1937" s="16" t="s">
        <v>13399</v>
      </c>
      <c r="M1937" s="14" t="s">
        <v>13400</v>
      </c>
      <c r="N1937" s="14" t="s">
        <v>13401</v>
      </c>
      <c r="O1937" s="16" t="s">
        <v>13402</v>
      </c>
      <c r="P1937" s="14" t="s">
        <v>13403</v>
      </c>
      <c r="Q1937" s="14" t="s">
        <v>13404</v>
      </c>
      <c r="R1937" s="14" t="s">
        <v>31</v>
      </c>
      <c r="S1937" s="16" t="s">
        <v>13405</v>
      </c>
      <c r="T1937" s="14" t="s">
        <v>13406</v>
      </c>
      <c r="U1937" s="16" t="s">
        <v>13407</v>
      </c>
      <c r="V1937" s="14" t="s">
        <v>29</v>
      </c>
      <c r="W1937" s="14" t="s">
        <v>13207</v>
      </c>
      <c r="X1937" s="17" t="str">
        <f>HYPERLINK("https://my.pitchbook.com?p=456494-23P","View People Online")</f>
        <v>View People Online</v>
      </c>
    </row>
    <row r="1938">
      <c r="A1938" s="2" t="s">
        <v>13408</v>
      </c>
      <c r="B1938" s="2" t="s">
        <v>13409</v>
      </c>
      <c r="C1938" s="2" t="s">
        <v>13410</v>
      </c>
      <c r="D1938" s="2" t="s">
        <v>607</v>
      </c>
      <c r="E1938" s="2" t="s">
        <v>13207</v>
      </c>
      <c r="F1938" s="2" t="s">
        <v>13218</v>
      </c>
      <c r="G1938" s="2" t="s">
        <v>13411</v>
      </c>
      <c r="H1938" s="3">
        <v>1.0</v>
      </c>
      <c r="I1938" s="3">
        <v>2.0</v>
      </c>
      <c r="J1938" s="3">
        <v>1.0</v>
      </c>
      <c r="K1938" s="3" t="s">
        <v>31</v>
      </c>
      <c r="L1938" s="4" t="s">
        <v>13412</v>
      </c>
      <c r="M1938" s="2" t="s">
        <v>13413</v>
      </c>
      <c r="N1938" s="2" t="s">
        <v>13414</v>
      </c>
      <c r="O1938" s="4" t="s">
        <v>13415</v>
      </c>
      <c r="P1938" s="2" t="s">
        <v>13416</v>
      </c>
      <c r="Q1938" s="2" t="s">
        <v>31</v>
      </c>
      <c r="R1938" s="2" t="s">
        <v>209</v>
      </c>
      <c r="S1938" s="4" t="s">
        <v>13417</v>
      </c>
      <c r="T1938" s="2" t="s">
        <v>66</v>
      </c>
      <c r="U1938" s="4" t="s">
        <v>13418</v>
      </c>
      <c r="V1938" s="2" t="s">
        <v>13218</v>
      </c>
      <c r="W1938" s="2" t="s">
        <v>13207</v>
      </c>
      <c r="X1938" s="5" t="str">
        <f>HYPERLINK("https://my.pitchbook.com?p=283543-48P","View People Online")</f>
        <v>View People Online</v>
      </c>
    </row>
    <row r="1939">
      <c r="A1939" s="14" t="s">
        <v>13419</v>
      </c>
      <c r="B1939" s="14" t="s">
        <v>13420</v>
      </c>
      <c r="C1939" s="14" t="s">
        <v>13421</v>
      </c>
      <c r="D1939" s="14" t="s">
        <v>233</v>
      </c>
      <c r="E1939" s="14" t="s">
        <v>13207</v>
      </c>
      <c r="F1939" s="14" t="s">
        <v>13307</v>
      </c>
      <c r="G1939" s="14" t="s">
        <v>13422</v>
      </c>
      <c r="H1939" s="15" t="s">
        <v>31</v>
      </c>
      <c r="I1939" s="15">
        <v>1.0</v>
      </c>
      <c r="J1939" s="15">
        <v>1.0</v>
      </c>
      <c r="K1939" s="15" t="s">
        <v>31</v>
      </c>
      <c r="L1939" s="16" t="s">
        <v>13423</v>
      </c>
      <c r="M1939" s="14" t="s">
        <v>13424</v>
      </c>
      <c r="N1939" s="14" t="s">
        <v>243</v>
      </c>
      <c r="O1939" s="16" t="s">
        <v>244</v>
      </c>
      <c r="P1939" s="14" t="s">
        <v>13425</v>
      </c>
      <c r="Q1939" s="14" t="s">
        <v>31</v>
      </c>
      <c r="R1939" s="14" t="s">
        <v>247</v>
      </c>
      <c r="S1939" s="16" t="s">
        <v>13426</v>
      </c>
      <c r="T1939" s="14" t="s">
        <v>249</v>
      </c>
      <c r="U1939" s="16" t="s">
        <v>31</v>
      </c>
      <c r="V1939" s="14" t="s">
        <v>13317</v>
      </c>
      <c r="W1939" s="14" t="s">
        <v>13207</v>
      </c>
      <c r="X1939" s="17" t="str">
        <f>HYPERLINK("https://my.pitchbook.com?p=434821-96P","View People Online")</f>
        <v>View People Online</v>
      </c>
    </row>
    <row r="1940">
      <c r="A1940" s="2" t="s">
        <v>13427</v>
      </c>
      <c r="B1940" s="2" t="s">
        <v>13428</v>
      </c>
      <c r="C1940" s="2" t="s">
        <v>13429</v>
      </c>
      <c r="D1940" s="2" t="s">
        <v>13430</v>
      </c>
      <c r="E1940" s="2" t="s">
        <v>13207</v>
      </c>
      <c r="F1940" s="2" t="s">
        <v>13307</v>
      </c>
      <c r="G1940" s="2" t="s">
        <v>13431</v>
      </c>
      <c r="H1940" s="3" t="s">
        <v>31</v>
      </c>
      <c r="I1940" s="3">
        <v>1.0</v>
      </c>
      <c r="J1940" s="3">
        <v>1.0</v>
      </c>
      <c r="K1940" s="3" t="s">
        <v>31</v>
      </c>
      <c r="L1940" s="4" t="s">
        <v>13432</v>
      </c>
      <c r="M1940" s="2" t="s">
        <v>13433</v>
      </c>
      <c r="N1940" s="2" t="s">
        <v>2599</v>
      </c>
      <c r="O1940" s="4" t="s">
        <v>2600</v>
      </c>
      <c r="P1940" s="2" t="s">
        <v>13434</v>
      </c>
      <c r="Q1940" s="2" t="s">
        <v>4235</v>
      </c>
      <c r="R1940" s="2" t="s">
        <v>396</v>
      </c>
      <c r="S1940" s="4" t="s">
        <v>13435</v>
      </c>
      <c r="T1940" s="2" t="s">
        <v>66</v>
      </c>
      <c r="U1940" s="4" t="s">
        <v>13436</v>
      </c>
      <c r="V1940" s="2" t="s">
        <v>13317</v>
      </c>
      <c r="W1940" s="2" t="s">
        <v>13207</v>
      </c>
      <c r="X1940" s="5" t="str">
        <f>HYPERLINK("https://my.pitchbook.com?p=455407-57P","View People Online")</f>
        <v>View People Online</v>
      </c>
    </row>
    <row r="1941">
      <c r="A1941" s="6" t="s">
        <v>13437</v>
      </c>
      <c r="B1941" s="6" t="s">
        <v>13438</v>
      </c>
      <c r="C1941" s="6" t="s">
        <v>8348</v>
      </c>
      <c r="D1941" s="6" t="s">
        <v>13439</v>
      </c>
      <c r="E1941" s="6" t="s">
        <v>13207</v>
      </c>
      <c r="F1941" s="6" t="s">
        <v>13218</v>
      </c>
      <c r="G1941" s="6" t="s">
        <v>13440</v>
      </c>
      <c r="H1941" s="7" t="s">
        <v>31</v>
      </c>
      <c r="I1941" s="7">
        <v>1.0</v>
      </c>
      <c r="J1941" s="7">
        <v>1.0</v>
      </c>
      <c r="K1941" s="7" t="s">
        <v>31</v>
      </c>
      <c r="L1941" s="8" t="s">
        <v>13423</v>
      </c>
      <c r="M1941" s="6" t="s">
        <v>13441</v>
      </c>
      <c r="N1941" s="6" t="s">
        <v>243</v>
      </c>
      <c r="O1941" s="8" t="s">
        <v>244</v>
      </c>
      <c r="P1941" s="6" t="s">
        <v>13425</v>
      </c>
      <c r="Q1941" s="6" t="s">
        <v>31</v>
      </c>
      <c r="R1941" s="6" t="s">
        <v>247</v>
      </c>
      <c r="S1941" s="8" t="s">
        <v>13426</v>
      </c>
      <c r="T1941" s="6" t="s">
        <v>249</v>
      </c>
      <c r="U1941" s="8" t="s">
        <v>31</v>
      </c>
      <c r="V1941" s="6" t="s">
        <v>13218</v>
      </c>
      <c r="W1941" s="6" t="s">
        <v>13207</v>
      </c>
      <c r="X1941" s="9" t="str">
        <f>HYPERLINK("https://my.pitchbook.com?p=455967-28P","View People Online")</f>
        <v>View People Online</v>
      </c>
    </row>
    <row r="1942">
      <c r="A1942" s="10" t="s">
        <v>13442</v>
      </c>
      <c r="B1942" s="10" t="s">
        <v>13443</v>
      </c>
      <c r="C1942" s="10" t="s">
        <v>13444</v>
      </c>
      <c r="D1942" s="10" t="s">
        <v>13445</v>
      </c>
      <c r="E1942" s="10" t="s">
        <v>13207</v>
      </c>
      <c r="F1942" s="10" t="s">
        <v>29</v>
      </c>
      <c r="G1942" s="10" t="s">
        <v>13446</v>
      </c>
      <c r="H1942" s="11" t="s">
        <v>31</v>
      </c>
      <c r="I1942" s="11">
        <v>1.0</v>
      </c>
      <c r="J1942" s="11">
        <v>1.0</v>
      </c>
      <c r="K1942" s="11" t="s">
        <v>31</v>
      </c>
      <c r="L1942" s="12" t="s">
        <v>13263</v>
      </c>
      <c r="M1942" s="10" t="s">
        <v>13447</v>
      </c>
      <c r="N1942" s="10" t="s">
        <v>1005</v>
      </c>
      <c r="O1942" s="12" t="s">
        <v>1006</v>
      </c>
      <c r="P1942" s="10" t="s">
        <v>13265</v>
      </c>
      <c r="Q1942" s="10" t="s">
        <v>13266</v>
      </c>
      <c r="R1942" s="10" t="s">
        <v>13267</v>
      </c>
      <c r="S1942" s="12" t="s">
        <v>13268</v>
      </c>
      <c r="T1942" s="10" t="s">
        <v>1010</v>
      </c>
      <c r="U1942" s="12" t="s">
        <v>13269</v>
      </c>
      <c r="V1942" s="10" t="s">
        <v>29</v>
      </c>
      <c r="W1942" s="10" t="s">
        <v>13207</v>
      </c>
      <c r="X1942" s="13" t="str">
        <f>HYPERLINK("https://my.pitchbook.com?p=436312-72P","View People Online")</f>
        <v>View People Online</v>
      </c>
    </row>
    <row r="1943">
      <c r="A1943" s="14" t="s">
        <v>13448</v>
      </c>
      <c r="B1943" s="14" t="s">
        <v>13449</v>
      </c>
      <c r="C1943" s="14" t="s">
        <v>13450</v>
      </c>
      <c r="D1943" s="14" t="s">
        <v>13451</v>
      </c>
      <c r="E1943" s="14" t="s">
        <v>13207</v>
      </c>
      <c r="F1943" s="14" t="s">
        <v>3523</v>
      </c>
      <c r="G1943" s="14" t="s">
        <v>13452</v>
      </c>
      <c r="H1943" s="15" t="s">
        <v>31</v>
      </c>
      <c r="I1943" s="15">
        <v>1.0</v>
      </c>
      <c r="J1943" s="15">
        <v>1.0</v>
      </c>
      <c r="K1943" s="15" t="s">
        <v>31</v>
      </c>
      <c r="L1943" s="16" t="s">
        <v>13263</v>
      </c>
      <c r="M1943" s="14" t="s">
        <v>13453</v>
      </c>
      <c r="N1943" s="14" t="s">
        <v>1005</v>
      </c>
      <c r="O1943" s="16" t="s">
        <v>1006</v>
      </c>
      <c r="P1943" s="14" t="s">
        <v>13265</v>
      </c>
      <c r="Q1943" s="14" t="s">
        <v>13266</v>
      </c>
      <c r="R1943" s="14" t="s">
        <v>13267</v>
      </c>
      <c r="S1943" s="16" t="s">
        <v>13268</v>
      </c>
      <c r="T1943" s="14" t="s">
        <v>1010</v>
      </c>
      <c r="U1943" s="16" t="s">
        <v>13269</v>
      </c>
      <c r="V1943" s="14" t="s">
        <v>3523</v>
      </c>
      <c r="W1943" s="14" t="s">
        <v>13207</v>
      </c>
      <c r="X1943" s="17" t="str">
        <f>HYPERLINK("https://my.pitchbook.com?p=455882-77P","View People Online")</f>
        <v>View People Online</v>
      </c>
    </row>
    <row r="1944">
      <c r="A1944" s="10" t="s">
        <v>13454</v>
      </c>
      <c r="B1944" s="10" t="s">
        <v>13455</v>
      </c>
      <c r="C1944" s="10" t="s">
        <v>13456</v>
      </c>
      <c r="D1944" s="10" t="s">
        <v>13457</v>
      </c>
      <c r="E1944" s="10" t="s">
        <v>13207</v>
      </c>
      <c r="F1944" s="10" t="s">
        <v>3523</v>
      </c>
      <c r="G1944" s="10" t="s">
        <v>13458</v>
      </c>
      <c r="H1944" s="11" t="s">
        <v>31</v>
      </c>
      <c r="I1944" s="11">
        <v>1.0</v>
      </c>
      <c r="J1944" s="11">
        <v>1.0</v>
      </c>
      <c r="K1944" s="11" t="s">
        <v>31</v>
      </c>
      <c r="L1944" s="12" t="s">
        <v>13459</v>
      </c>
      <c r="M1944" s="10" t="s">
        <v>13460</v>
      </c>
      <c r="N1944" s="10" t="s">
        <v>3100</v>
      </c>
      <c r="O1944" s="12" t="s">
        <v>3101</v>
      </c>
      <c r="P1944" s="10" t="s">
        <v>13461</v>
      </c>
      <c r="Q1944" s="10" t="s">
        <v>31</v>
      </c>
      <c r="R1944" s="10" t="s">
        <v>31</v>
      </c>
      <c r="S1944" s="12" t="s">
        <v>3103</v>
      </c>
      <c r="T1944" s="10" t="s">
        <v>3104</v>
      </c>
      <c r="U1944" s="12" t="s">
        <v>13462</v>
      </c>
      <c r="V1944" s="10" t="s">
        <v>3523</v>
      </c>
      <c r="W1944" s="10" t="s">
        <v>13207</v>
      </c>
      <c r="X1944" s="13" t="str">
        <f>HYPERLINK("https://my.pitchbook.com?p=435088-72P","View People Online")</f>
        <v>View People Online</v>
      </c>
    </row>
    <row r="1945">
      <c r="A1945" s="6" t="s">
        <v>13463</v>
      </c>
      <c r="B1945" s="6" t="s">
        <v>13464</v>
      </c>
      <c r="C1945" s="6" t="s">
        <v>13465</v>
      </c>
      <c r="D1945" s="6" t="s">
        <v>3907</v>
      </c>
      <c r="E1945" s="6" t="s">
        <v>13207</v>
      </c>
      <c r="F1945" s="6" t="s">
        <v>3523</v>
      </c>
      <c r="G1945" s="6" t="s">
        <v>13466</v>
      </c>
      <c r="H1945" s="7" t="s">
        <v>31</v>
      </c>
      <c r="I1945" s="7">
        <v>1.0</v>
      </c>
      <c r="J1945" s="7">
        <v>1.0</v>
      </c>
      <c r="K1945" s="7" t="s">
        <v>31</v>
      </c>
      <c r="L1945" s="8" t="s">
        <v>13263</v>
      </c>
      <c r="M1945" s="6" t="s">
        <v>13467</v>
      </c>
      <c r="N1945" s="6" t="s">
        <v>1005</v>
      </c>
      <c r="O1945" s="8" t="s">
        <v>1006</v>
      </c>
      <c r="P1945" s="6" t="s">
        <v>13265</v>
      </c>
      <c r="Q1945" s="6" t="s">
        <v>13266</v>
      </c>
      <c r="R1945" s="6" t="s">
        <v>13267</v>
      </c>
      <c r="S1945" s="8" t="s">
        <v>13268</v>
      </c>
      <c r="T1945" s="6" t="s">
        <v>1010</v>
      </c>
      <c r="U1945" s="8" t="s">
        <v>13269</v>
      </c>
      <c r="V1945" s="6" t="s">
        <v>13468</v>
      </c>
      <c r="W1945" s="6" t="s">
        <v>13207</v>
      </c>
      <c r="X1945" s="9" t="str">
        <f>HYPERLINK("https://my.pitchbook.com?p=455722-57P","View People Online")</f>
        <v>View People Online</v>
      </c>
    </row>
    <row r="1946">
      <c r="A1946" s="2" t="s">
        <v>13469</v>
      </c>
      <c r="B1946" s="2" t="s">
        <v>13470</v>
      </c>
      <c r="C1946" s="2" t="s">
        <v>13465</v>
      </c>
      <c r="D1946" s="2" t="s">
        <v>13471</v>
      </c>
      <c r="E1946" s="2" t="s">
        <v>13207</v>
      </c>
      <c r="F1946" s="2" t="s">
        <v>13218</v>
      </c>
      <c r="G1946" s="2" t="s">
        <v>13472</v>
      </c>
      <c r="H1946" s="3" t="s">
        <v>31</v>
      </c>
      <c r="I1946" s="3">
        <v>1.0</v>
      </c>
      <c r="J1946" s="3">
        <v>1.0</v>
      </c>
      <c r="K1946" s="3" t="s">
        <v>31</v>
      </c>
      <c r="L1946" s="4" t="s">
        <v>13263</v>
      </c>
      <c r="M1946" s="2" t="s">
        <v>13473</v>
      </c>
      <c r="N1946" s="2" t="s">
        <v>1005</v>
      </c>
      <c r="O1946" s="4" t="s">
        <v>1006</v>
      </c>
      <c r="P1946" s="2" t="s">
        <v>13265</v>
      </c>
      <c r="Q1946" s="2" t="s">
        <v>13266</v>
      </c>
      <c r="R1946" s="2" t="s">
        <v>13267</v>
      </c>
      <c r="S1946" s="4" t="s">
        <v>13268</v>
      </c>
      <c r="T1946" s="2" t="s">
        <v>1010</v>
      </c>
      <c r="U1946" s="4" t="s">
        <v>13269</v>
      </c>
      <c r="V1946" s="2" t="s">
        <v>13218</v>
      </c>
      <c r="W1946" s="2" t="s">
        <v>13207</v>
      </c>
      <c r="X1946" s="5" t="str">
        <f>HYPERLINK("https://my.pitchbook.com?p=435704-50P","View People Online")</f>
        <v>View People Online</v>
      </c>
    </row>
    <row r="1947">
      <c r="A1947" s="14" t="s">
        <v>13474</v>
      </c>
      <c r="B1947" s="14" t="s">
        <v>13475</v>
      </c>
      <c r="C1947" s="14" t="s">
        <v>13476</v>
      </c>
      <c r="D1947" s="14" t="s">
        <v>13477</v>
      </c>
      <c r="E1947" s="14" t="s">
        <v>13207</v>
      </c>
      <c r="F1947" s="14" t="s">
        <v>3523</v>
      </c>
      <c r="G1947" s="14" t="s">
        <v>13478</v>
      </c>
      <c r="H1947" s="15" t="s">
        <v>31</v>
      </c>
      <c r="I1947" s="15">
        <v>1.0</v>
      </c>
      <c r="J1947" s="15">
        <v>1.0</v>
      </c>
      <c r="K1947" s="15" t="s">
        <v>31</v>
      </c>
      <c r="L1947" s="16" t="s">
        <v>13263</v>
      </c>
      <c r="M1947" s="14" t="s">
        <v>13479</v>
      </c>
      <c r="N1947" s="14" t="s">
        <v>1005</v>
      </c>
      <c r="O1947" s="16" t="s">
        <v>1006</v>
      </c>
      <c r="P1947" s="14" t="s">
        <v>13265</v>
      </c>
      <c r="Q1947" s="14" t="s">
        <v>13266</v>
      </c>
      <c r="R1947" s="14" t="s">
        <v>13267</v>
      </c>
      <c r="S1947" s="16" t="s">
        <v>13268</v>
      </c>
      <c r="T1947" s="14" t="s">
        <v>1010</v>
      </c>
      <c r="U1947" s="16" t="s">
        <v>13269</v>
      </c>
      <c r="V1947" s="14" t="s">
        <v>3523</v>
      </c>
      <c r="W1947" s="14" t="s">
        <v>13207</v>
      </c>
      <c r="X1947" s="17" t="str">
        <f>HYPERLINK("https://my.pitchbook.com?p=456030-73P","View People Online")</f>
        <v>View People Online</v>
      </c>
    </row>
    <row r="1948">
      <c r="A1948" s="2" t="s">
        <v>13480</v>
      </c>
      <c r="B1948" s="2" t="s">
        <v>13481</v>
      </c>
      <c r="C1948" s="2" t="s">
        <v>13482</v>
      </c>
      <c r="D1948" s="2" t="s">
        <v>13483</v>
      </c>
      <c r="E1948" s="2" t="s">
        <v>13207</v>
      </c>
      <c r="F1948" s="2" t="s">
        <v>3523</v>
      </c>
      <c r="G1948" s="2" t="s">
        <v>13484</v>
      </c>
      <c r="H1948" s="3" t="s">
        <v>31</v>
      </c>
      <c r="I1948" s="3">
        <v>1.0</v>
      </c>
      <c r="J1948" s="3">
        <v>1.0</v>
      </c>
      <c r="K1948" s="3" t="s">
        <v>31</v>
      </c>
      <c r="L1948" s="4" t="s">
        <v>13299</v>
      </c>
      <c r="M1948" s="2" t="s">
        <v>13485</v>
      </c>
      <c r="N1948" s="2" t="s">
        <v>601</v>
      </c>
      <c r="O1948" s="4" t="s">
        <v>602</v>
      </c>
      <c r="P1948" s="2" t="s">
        <v>13301</v>
      </c>
      <c r="Q1948" s="2" t="s">
        <v>13302</v>
      </c>
      <c r="R1948" s="2" t="s">
        <v>31</v>
      </c>
      <c r="S1948" s="4" t="s">
        <v>31</v>
      </c>
      <c r="T1948" s="2" t="s">
        <v>603</v>
      </c>
      <c r="U1948" s="4" t="s">
        <v>13303</v>
      </c>
      <c r="V1948" s="2" t="s">
        <v>3523</v>
      </c>
      <c r="W1948" s="2" t="s">
        <v>13207</v>
      </c>
      <c r="X1948" s="5" t="str">
        <f>HYPERLINK("https://my.pitchbook.com?p=455901-13P","View People Online")</f>
        <v>View People Online</v>
      </c>
    </row>
    <row r="1949">
      <c r="A1949" s="14" t="s">
        <v>13486</v>
      </c>
      <c r="B1949" s="14" t="s">
        <v>13487</v>
      </c>
      <c r="C1949" s="14" t="s">
        <v>13488</v>
      </c>
      <c r="D1949" s="14" t="s">
        <v>13489</v>
      </c>
      <c r="E1949" s="14" t="s">
        <v>13207</v>
      </c>
      <c r="F1949" s="14" t="s">
        <v>1283</v>
      </c>
      <c r="G1949" s="14" t="s">
        <v>13490</v>
      </c>
      <c r="H1949" s="15" t="s">
        <v>31</v>
      </c>
      <c r="I1949" s="15">
        <v>1.0</v>
      </c>
      <c r="J1949" s="15">
        <v>1.0</v>
      </c>
      <c r="K1949" s="15" t="s">
        <v>31</v>
      </c>
      <c r="L1949" s="16" t="s">
        <v>13299</v>
      </c>
      <c r="M1949" s="14" t="s">
        <v>13491</v>
      </c>
      <c r="N1949" s="14" t="s">
        <v>601</v>
      </c>
      <c r="O1949" s="16" t="s">
        <v>602</v>
      </c>
      <c r="P1949" s="14" t="s">
        <v>13301</v>
      </c>
      <c r="Q1949" s="14" t="s">
        <v>13302</v>
      </c>
      <c r="R1949" s="14" t="s">
        <v>31</v>
      </c>
      <c r="S1949" s="16" t="s">
        <v>31</v>
      </c>
      <c r="T1949" s="14" t="s">
        <v>603</v>
      </c>
      <c r="U1949" s="16" t="s">
        <v>13303</v>
      </c>
      <c r="V1949" s="14" t="s">
        <v>1283</v>
      </c>
      <c r="W1949" s="14" t="s">
        <v>13207</v>
      </c>
      <c r="X1949" s="17" t="str">
        <f>HYPERLINK("https://my.pitchbook.com?p=435343-69P","View People Online")</f>
        <v>View People Online</v>
      </c>
    </row>
    <row r="1950">
      <c r="A1950" s="2" t="s">
        <v>13492</v>
      </c>
      <c r="B1950" s="2" t="s">
        <v>13493</v>
      </c>
      <c r="C1950" s="2" t="s">
        <v>1410</v>
      </c>
      <c r="D1950" s="2" t="s">
        <v>13494</v>
      </c>
      <c r="E1950" s="2" t="s">
        <v>13207</v>
      </c>
      <c r="F1950" s="2" t="s">
        <v>13240</v>
      </c>
      <c r="G1950" s="2" t="s">
        <v>13495</v>
      </c>
      <c r="H1950" s="3" t="s">
        <v>31</v>
      </c>
      <c r="I1950" s="3">
        <v>1.0</v>
      </c>
      <c r="J1950" s="3">
        <v>1.0</v>
      </c>
      <c r="K1950" s="3" t="s">
        <v>31</v>
      </c>
      <c r="L1950" s="4" t="s">
        <v>13496</v>
      </c>
      <c r="M1950" s="2" t="s">
        <v>13497</v>
      </c>
      <c r="N1950" s="2" t="s">
        <v>75</v>
      </c>
      <c r="O1950" s="4" t="s">
        <v>76</v>
      </c>
      <c r="P1950" s="2" t="s">
        <v>13498</v>
      </c>
      <c r="Q1950" s="2" t="s">
        <v>31</v>
      </c>
      <c r="R1950" s="2" t="s">
        <v>75</v>
      </c>
      <c r="S1950" s="4" t="s">
        <v>195</v>
      </c>
      <c r="T1950" s="2" t="s">
        <v>66</v>
      </c>
      <c r="U1950" s="4" t="s">
        <v>13499</v>
      </c>
      <c r="V1950" s="2" t="s">
        <v>13500</v>
      </c>
      <c r="W1950" s="2" t="s">
        <v>13207</v>
      </c>
      <c r="X1950" s="5" t="str">
        <f>HYPERLINK("https://my.pitchbook.com?p=435279-97P","View People Online")</f>
        <v>View People Online</v>
      </c>
    </row>
    <row r="1951">
      <c r="A1951" s="14" t="s">
        <v>13501</v>
      </c>
      <c r="B1951" s="14" t="s">
        <v>13502</v>
      </c>
      <c r="C1951" s="14" t="s">
        <v>1410</v>
      </c>
      <c r="D1951" s="14" t="s">
        <v>13503</v>
      </c>
      <c r="E1951" s="14" t="s">
        <v>13207</v>
      </c>
      <c r="F1951" s="14" t="s">
        <v>13218</v>
      </c>
      <c r="G1951" s="14" t="s">
        <v>13504</v>
      </c>
      <c r="H1951" s="15" t="s">
        <v>31</v>
      </c>
      <c r="I1951" s="15">
        <v>1.0</v>
      </c>
      <c r="J1951" s="15">
        <v>1.0</v>
      </c>
      <c r="K1951" s="15" t="s">
        <v>31</v>
      </c>
      <c r="L1951" s="16" t="s">
        <v>13505</v>
      </c>
      <c r="M1951" s="14" t="s">
        <v>13506</v>
      </c>
      <c r="N1951" s="14" t="s">
        <v>1416</v>
      </c>
      <c r="O1951" s="16" t="s">
        <v>1417</v>
      </c>
      <c r="P1951" s="14" t="s">
        <v>13507</v>
      </c>
      <c r="Q1951" s="14" t="s">
        <v>1457</v>
      </c>
      <c r="R1951" s="14" t="s">
        <v>1420</v>
      </c>
      <c r="S1951" s="16" t="s">
        <v>13508</v>
      </c>
      <c r="T1951" s="14" t="s">
        <v>66</v>
      </c>
      <c r="U1951" s="16" t="s">
        <v>13509</v>
      </c>
      <c r="V1951" s="14" t="s">
        <v>13218</v>
      </c>
      <c r="W1951" s="14" t="s">
        <v>13207</v>
      </c>
      <c r="X1951" s="17" t="str">
        <f>HYPERLINK("https://my.pitchbook.com?p=435546-28P","View People Online")</f>
        <v>View People Online</v>
      </c>
    </row>
    <row r="1952">
      <c r="A1952" s="10" t="s">
        <v>13510</v>
      </c>
      <c r="B1952" s="10" t="s">
        <v>13511</v>
      </c>
      <c r="C1952" s="10" t="s">
        <v>1410</v>
      </c>
      <c r="D1952" s="10" t="s">
        <v>13512</v>
      </c>
      <c r="E1952" s="10" t="s">
        <v>13207</v>
      </c>
      <c r="F1952" s="10" t="s">
        <v>13218</v>
      </c>
      <c r="G1952" s="10" t="s">
        <v>13513</v>
      </c>
      <c r="H1952" s="11" t="s">
        <v>31</v>
      </c>
      <c r="I1952" s="11">
        <v>1.0</v>
      </c>
      <c r="J1952" s="11">
        <v>1.0</v>
      </c>
      <c r="K1952" s="11" t="s">
        <v>31</v>
      </c>
      <c r="L1952" s="12" t="s">
        <v>13274</v>
      </c>
      <c r="M1952" s="10" t="s">
        <v>13514</v>
      </c>
      <c r="N1952" s="10" t="s">
        <v>1181</v>
      </c>
      <c r="O1952" s="12" t="s">
        <v>1182</v>
      </c>
      <c r="P1952" s="10" t="s">
        <v>13276</v>
      </c>
      <c r="Q1952" s="10" t="s">
        <v>31</v>
      </c>
      <c r="R1952" s="10" t="s">
        <v>1185</v>
      </c>
      <c r="S1952" s="12" t="s">
        <v>4438</v>
      </c>
      <c r="T1952" s="10" t="s">
        <v>66</v>
      </c>
      <c r="U1952" s="12" t="s">
        <v>13277</v>
      </c>
      <c r="V1952" s="10" t="s">
        <v>13218</v>
      </c>
      <c r="W1952" s="10" t="s">
        <v>13207</v>
      </c>
      <c r="X1952" s="13" t="str">
        <f>HYPERLINK("https://my.pitchbook.com?p=456554-26P","View People Online")</f>
        <v>View People Online</v>
      </c>
    </row>
    <row r="1953">
      <c r="A1953" s="6" t="s">
        <v>13515</v>
      </c>
      <c r="B1953" s="6" t="s">
        <v>13516</v>
      </c>
      <c r="C1953" s="6" t="s">
        <v>13517</v>
      </c>
      <c r="D1953" s="6" t="s">
        <v>13518</v>
      </c>
      <c r="E1953" s="6" t="s">
        <v>13207</v>
      </c>
      <c r="F1953" s="6" t="s">
        <v>3523</v>
      </c>
      <c r="G1953" s="6" t="s">
        <v>13519</v>
      </c>
      <c r="H1953" s="7" t="s">
        <v>31</v>
      </c>
      <c r="I1953" s="7">
        <v>1.0</v>
      </c>
      <c r="J1953" s="7">
        <v>1.0</v>
      </c>
      <c r="K1953" s="7" t="s">
        <v>31</v>
      </c>
      <c r="L1953" s="8" t="s">
        <v>13378</v>
      </c>
      <c r="M1953" s="6" t="s">
        <v>13520</v>
      </c>
      <c r="N1953" s="6" t="s">
        <v>429</v>
      </c>
      <c r="O1953" s="8" t="s">
        <v>430</v>
      </c>
      <c r="P1953" s="6" t="s">
        <v>13380</v>
      </c>
      <c r="Q1953" s="6" t="s">
        <v>31</v>
      </c>
      <c r="R1953" s="6" t="s">
        <v>31</v>
      </c>
      <c r="S1953" s="8" t="s">
        <v>13381</v>
      </c>
      <c r="T1953" s="6" t="s">
        <v>433</v>
      </c>
      <c r="U1953" s="8" t="s">
        <v>13382</v>
      </c>
      <c r="V1953" s="6" t="s">
        <v>3523</v>
      </c>
      <c r="W1953" s="6" t="s">
        <v>13207</v>
      </c>
      <c r="X1953" s="9" t="str">
        <f>HYPERLINK("https://my.pitchbook.com?p=436311-01P","View People Online")</f>
        <v>View People Online</v>
      </c>
    </row>
    <row r="1954">
      <c r="A1954" s="10" t="s">
        <v>13521</v>
      </c>
      <c r="B1954" s="10" t="s">
        <v>13522</v>
      </c>
      <c r="C1954" s="10" t="s">
        <v>13523</v>
      </c>
      <c r="D1954" s="10" t="s">
        <v>13524</v>
      </c>
      <c r="E1954" s="10" t="s">
        <v>13207</v>
      </c>
      <c r="F1954" s="10" t="s">
        <v>13218</v>
      </c>
      <c r="G1954" s="10" t="s">
        <v>13525</v>
      </c>
      <c r="H1954" s="11" t="s">
        <v>31</v>
      </c>
      <c r="I1954" s="11">
        <v>1.0</v>
      </c>
      <c r="J1954" s="11">
        <v>1.0</v>
      </c>
      <c r="K1954" s="11" t="s">
        <v>31</v>
      </c>
      <c r="L1954" s="12" t="s">
        <v>13242</v>
      </c>
      <c r="M1954" s="10" t="s">
        <v>13526</v>
      </c>
      <c r="N1954" s="10" t="s">
        <v>9865</v>
      </c>
      <c r="O1954" s="12" t="s">
        <v>9866</v>
      </c>
      <c r="P1954" s="10" t="s">
        <v>13244</v>
      </c>
      <c r="Q1954" s="10" t="s">
        <v>31</v>
      </c>
      <c r="R1954" s="10" t="s">
        <v>31</v>
      </c>
      <c r="S1954" s="12" t="s">
        <v>13245</v>
      </c>
      <c r="T1954" s="10" t="s">
        <v>38</v>
      </c>
      <c r="U1954" s="12" t="s">
        <v>13246</v>
      </c>
      <c r="V1954" s="10" t="s">
        <v>13218</v>
      </c>
      <c r="W1954" s="10" t="s">
        <v>13207</v>
      </c>
      <c r="X1954" s="13" t="str">
        <f>HYPERLINK("https://my.pitchbook.com?p=456289-57P","View People Online")</f>
        <v>View People Online</v>
      </c>
    </row>
    <row r="1955">
      <c r="A1955" s="14" t="s">
        <v>13527</v>
      </c>
      <c r="B1955" s="14" t="s">
        <v>13528</v>
      </c>
      <c r="C1955" s="14" t="s">
        <v>2629</v>
      </c>
      <c r="D1955" s="14" t="s">
        <v>13529</v>
      </c>
      <c r="E1955" s="14" t="s">
        <v>13207</v>
      </c>
      <c r="F1955" s="14" t="s">
        <v>3523</v>
      </c>
      <c r="G1955" s="14" t="s">
        <v>13530</v>
      </c>
      <c r="H1955" s="15" t="s">
        <v>31</v>
      </c>
      <c r="I1955" s="15">
        <v>1.0</v>
      </c>
      <c r="J1955" s="15">
        <v>1.0</v>
      </c>
      <c r="K1955" s="15" t="s">
        <v>31</v>
      </c>
      <c r="L1955" s="16" t="s">
        <v>13531</v>
      </c>
      <c r="M1955" s="14" t="s">
        <v>13532</v>
      </c>
      <c r="N1955" s="14" t="s">
        <v>2273</v>
      </c>
      <c r="O1955" s="16" t="s">
        <v>2274</v>
      </c>
      <c r="P1955" s="14" t="s">
        <v>13533</v>
      </c>
      <c r="Q1955" s="14" t="s">
        <v>31</v>
      </c>
      <c r="R1955" s="14" t="s">
        <v>31</v>
      </c>
      <c r="S1955" s="16" t="s">
        <v>13534</v>
      </c>
      <c r="T1955" s="14" t="s">
        <v>2278</v>
      </c>
      <c r="U1955" s="16" t="s">
        <v>13535</v>
      </c>
      <c r="V1955" s="14" t="s">
        <v>3523</v>
      </c>
      <c r="W1955" s="14" t="s">
        <v>13207</v>
      </c>
      <c r="X1955" s="17" t="str">
        <f>HYPERLINK("https://my.pitchbook.com?p=436232-98P","View People Online")</f>
        <v>View People Online</v>
      </c>
    </row>
    <row r="1956">
      <c r="A1956" s="10" t="s">
        <v>13536</v>
      </c>
      <c r="B1956" s="10" t="s">
        <v>13537</v>
      </c>
      <c r="C1956" s="10" t="s">
        <v>2629</v>
      </c>
      <c r="D1956" s="10" t="s">
        <v>13538</v>
      </c>
      <c r="E1956" s="10" t="s">
        <v>13207</v>
      </c>
      <c r="F1956" s="10" t="s">
        <v>13218</v>
      </c>
      <c r="G1956" s="10" t="s">
        <v>13539</v>
      </c>
      <c r="H1956" s="11" t="s">
        <v>31</v>
      </c>
      <c r="I1956" s="11">
        <v>1.0</v>
      </c>
      <c r="J1956" s="11">
        <v>1.0</v>
      </c>
      <c r="K1956" s="11" t="s">
        <v>31</v>
      </c>
      <c r="L1956" s="12" t="s">
        <v>13540</v>
      </c>
      <c r="M1956" s="10" t="s">
        <v>13541</v>
      </c>
      <c r="N1956" s="10" t="s">
        <v>418</v>
      </c>
      <c r="O1956" s="12" t="s">
        <v>419</v>
      </c>
      <c r="P1956" s="10" t="s">
        <v>13542</v>
      </c>
      <c r="Q1956" s="10" t="s">
        <v>31</v>
      </c>
      <c r="R1956" s="10" t="s">
        <v>31</v>
      </c>
      <c r="S1956" s="12" t="s">
        <v>2664</v>
      </c>
      <c r="T1956" s="10" t="s">
        <v>422</v>
      </c>
      <c r="U1956" s="12" t="s">
        <v>13543</v>
      </c>
      <c r="V1956" s="10" t="s">
        <v>13218</v>
      </c>
      <c r="W1956" s="10" t="s">
        <v>13207</v>
      </c>
      <c r="X1956" s="13" t="str">
        <f>HYPERLINK("https://my.pitchbook.com?p=435337-66P","View People Online")</f>
        <v>View People Online</v>
      </c>
    </row>
    <row r="1957">
      <c r="A1957" s="14" t="s">
        <v>13544</v>
      </c>
      <c r="B1957" s="14" t="s">
        <v>13545</v>
      </c>
      <c r="C1957" s="14" t="s">
        <v>13546</v>
      </c>
      <c r="D1957" s="14" t="s">
        <v>13547</v>
      </c>
      <c r="E1957" s="14" t="s">
        <v>13207</v>
      </c>
      <c r="F1957" s="14" t="s">
        <v>3523</v>
      </c>
      <c r="G1957" s="14" t="s">
        <v>13548</v>
      </c>
      <c r="H1957" s="15" t="s">
        <v>31</v>
      </c>
      <c r="I1957" s="15">
        <v>1.0</v>
      </c>
      <c r="J1957" s="15">
        <v>1.0</v>
      </c>
      <c r="K1957" s="15" t="s">
        <v>31</v>
      </c>
      <c r="L1957" s="16" t="s">
        <v>13549</v>
      </c>
      <c r="M1957" s="14" t="s">
        <v>13550</v>
      </c>
      <c r="N1957" s="14" t="s">
        <v>794</v>
      </c>
      <c r="O1957" s="16" t="s">
        <v>795</v>
      </c>
      <c r="P1957" s="14" t="s">
        <v>13551</v>
      </c>
      <c r="Q1957" s="14" t="s">
        <v>13552</v>
      </c>
      <c r="R1957" s="14" t="s">
        <v>31</v>
      </c>
      <c r="S1957" s="16" t="s">
        <v>13553</v>
      </c>
      <c r="T1957" s="14" t="s">
        <v>796</v>
      </c>
      <c r="U1957" s="16" t="s">
        <v>13554</v>
      </c>
      <c r="V1957" s="14" t="s">
        <v>3523</v>
      </c>
      <c r="W1957" s="14" t="s">
        <v>13207</v>
      </c>
      <c r="X1957" s="17" t="str">
        <f>HYPERLINK("https://my.pitchbook.com?p=435225-70P","View People Online")</f>
        <v>View People Online</v>
      </c>
    </row>
    <row r="1958">
      <c r="A1958" s="2" t="s">
        <v>13555</v>
      </c>
      <c r="B1958" s="2" t="s">
        <v>13556</v>
      </c>
      <c r="C1958" s="2" t="s">
        <v>13546</v>
      </c>
      <c r="D1958" s="2" t="s">
        <v>13557</v>
      </c>
      <c r="E1958" s="2" t="s">
        <v>13207</v>
      </c>
      <c r="F1958" s="2" t="s">
        <v>3523</v>
      </c>
      <c r="G1958" s="2" t="s">
        <v>13558</v>
      </c>
      <c r="H1958" s="3" t="s">
        <v>31</v>
      </c>
      <c r="I1958" s="3">
        <v>1.0</v>
      </c>
      <c r="J1958" s="3">
        <v>1.0</v>
      </c>
      <c r="K1958" s="3" t="s">
        <v>31</v>
      </c>
      <c r="L1958" s="4" t="s">
        <v>31</v>
      </c>
      <c r="M1958" s="2" t="s">
        <v>13559</v>
      </c>
      <c r="N1958" s="2" t="s">
        <v>2913</v>
      </c>
      <c r="O1958" s="4" t="s">
        <v>2914</v>
      </c>
      <c r="P1958" s="2" t="s">
        <v>13560</v>
      </c>
      <c r="Q1958" s="2" t="s">
        <v>13561</v>
      </c>
      <c r="R1958" s="2" t="s">
        <v>31</v>
      </c>
      <c r="S1958" s="4" t="s">
        <v>31</v>
      </c>
      <c r="T1958" s="2" t="s">
        <v>2917</v>
      </c>
      <c r="U1958" s="4" t="s">
        <v>31</v>
      </c>
      <c r="V1958" s="2" t="s">
        <v>3523</v>
      </c>
      <c r="W1958" s="2" t="s">
        <v>13207</v>
      </c>
      <c r="X1958" s="5" t="str">
        <f>HYPERLINK("https://my.pitchbook.com?p=455423-95P","View People Online")</f>
        <v>View People Online</v>
      </c>
    </row>
    <row r="1959">
      <c r="A1959" s="6" t="s">
        <v>13562</v>
      </c>
      <c r="B1959" s="6" t="s">
        <v>13563</v>
      </c>
      <c r="C1959" s="6" t="s">
        <v>13564</v>
      </c>
      <c r="D1959" s="6" t="s">
        <v>13565</v>
      </c>
      <c r="E1959" s="6" t="s">
        <v>13207</v>
      </c>
      <c r="F1959" s="6" t="s">
        <v>3523</v>
      </c>
      <c r="G1959" s="6" t="s">
        <v>13566</v>
      </c>
      <c r="H1959" s="7" t="s">
        <v>31</v>
      </c>
      <c r="I1959" s="7">
        <v>1.0</v>
      </c>
      <c r="J1959" s="7">
        <v>1.0</v>
      </c>
      <c r="K1959" s="7" t="s">
        <v>31</v>
      </c>
      <c r="L1959" s="8" t="s">
        <v>13540</v>
      </c>
      <c r="M1959" s="6" t="s">
        <v>13567</v>
      </c>
      <c r="N1959" s="6" t="s">
        <v>418</v>
      </c>
      <c r="O1959" s="8" t="s">
        <v>419</v>
      </c>
      <c r="P1959" s="6" t="s">
        <v>13542</v>
      </c>
      <c r="Q1959" s="6" t="s">
        <v>31</v>
      </c>
      <c r="R1959" s="6" t="s">
        <v>31</v>
      </c>
      <c r="S1959" s="8" t="s">
        <v>2664</v>
      </c>
      <c r="T1959" s="6" t="s">
        <v>422</v>
      </c>
      <c r="U1959" s="8" t="s">
        <v>13543</v>
      </c>
      <c r="V1959" s="6" t="s">
        <v>3523</v>
      </c>
      <c r="W1959" s="6" t="s">
        <v>13207</v>
      </c>
      <c r="X1959" s="9" t="str">
        <f>HYPERLINK("https://my.pitchbook.com?p=455910-58P","View People Online")</f>
        <v>View People Online</v>
      </c>
    </row>
    <row r="1960">
      <c r="A1960" s="2" t="s">
        <v>13568</v>
      </c>
      <c r="B1960" s="2" t="s">
        <v>13569</v>
      </c>
      <c r="C1960" s="2" t="s">
        <v>413</v>
      </c>
      <c r="D1960" s="2" t="s">
        <v>13570</v>
      </c>
      <c r="E1960" s="2" t="s">
        <v>13207</v>
      </c>
      <c r="F1960" s="2" t="s">
        <v>3523</v>
      </c>
      <c r="G1960" s="2" t="s">
        <v>13571</v>
      </c>
      <c r="H1960" s="3" t="s">
        <v>31</v>
      </c>
      <c r="I1960" s="3">
        <v>1.0</v>
      </c>
      <c r="J1960" s="3">
        <v>1.0</v>
      </c>
      <c r="K1960" s="3" t="s">
        <v>31</v>
      </c>
      <c r="L1960" s="4" t="s">
        <v>13299</v>
      </c>
      <c r="M1960" s="2" t="s">
        <v>13572</v>
      </c>
      <c r="N1960" s="2" t="s">
        <v>601</v>
      </c>
      <c r="O1960" s="4" t="s">
        <v>602</v>
      </c>
      <c r="P1960" s="2" t="s">
        <v>13301</v>
      </c>
      <c r="Q1960" s="2" t="s">
        <v>13302</v>
      </c>
      <c r="R1960" s="2" t="s">
        <v>31</v>
      </c>
      <c r="S1960" s="4" t="s">
        <v>31</v>
      </c>
      <c r="T1960" s="2" t="s">
        <v>603</v>
      </c>
      <c r="U1960" s="4" t="s">
        <v>13303</v>
      </c>
      <c r="V1960" s="2" t="s">
        <v>3523</v>
      </c>
      <c r="W1960" s="2" t="s">
        <v>13207</v>
      </c>
      <c r="X1960" s="5" t="str">
        <f>HYPERLINK("https://my.pitchbook.com?p=456220-36P","View People Online")</f>
        <v>View People Online</v>
      </c>
    </row>
    <row r="1961">
      <c r="A1961" s="14" t="s">
        <v>13573</v>
      </c>
      <c r="B1961" s="14" t="s">
        <v>13574</v>
      </c>
      <c r="C1961" s="14" t="s">
        <v>413</v>
      </c>
      <c r="D1961" s="14" t="s">
        <v>13575</v>
      </c>
      <c r="E1961" s="14" t="s">
        <v>13207</v>
      </c>
      <c r="F1961" s="14" t="s">
        <v>13307</v>
      </c>
      <c r="G1961" s="14" t="s">
        <v>13576</v>
      </c>
      <c r="H1961" s="15" t="s">
        <v>31</v>
      </c>
      <c r="I1961" s="15">
        <v>1.0</v>
      </c>
      <c r="J1961" s="15">
        <v>1.0</v>
      </c>
      <c r="K1961" s="15" t="s">
        <v>31</v>
      </c>
      <c r="L1961" s="16" t="s">
        <v>13299</v>
      </c>
      <c r="M1961" s="14" t="s">
        <v>13577</v>
      </c>
      <c r="N1961" s="14" t="s">
        <v>601</v>
      </c>
      <c r="O1961" s="16" t="s">
        <v>602</v>
      </c>
      <c r="P1961" s="14" t="s">
        <v>13301</v>
      </c>
      <c r="Q1961" s="14" t="s">
        <v>13302</v>
      </c>
      <c r="R1961" s="14" t="s">
        <v>31</v>
      </c>
      <c r="S1961" s="16" t="s">
        <v>31</v>
      </c>
      <c r="T1961" s="14" t="s">
        <v>603</v>
      </c>
      <c r="U1961" s="16" t="s">
        <v>13303</v>
      </c>
      <c r="V1961" s="14" t="s">
        <v>13317</v>
      </c>
      <c r="W1961" s="14" t="s">
        <v>13207</v>
      </c>
      <c r="X1961" s="17" t="str">
        <f>HYPERLINK("https://my.pitchbook.com?p=434957-95P","View People Online")</f>
        <v>View People Online</v>
      </c>
    </row>
    <row r="1962">
      <c r="A1962" s="10" t="s">
        <v>13578</v>
      </c>
      <c r="B1962" s="10" t="s">
        <v>13579</v>
      </c>
      <c r="C1962" s="10" t="s">
        <v>13580</v>
      </c>
      <c r="D1962" s="10" t="s">
        <v>13581</v>
      </c>
      <c r="E1962" s="10" t="s">
        <v>13207</v>
      </c>
      <c r="F1962" s="10" t="s">
        <v>3523</v>
      </c>
      <c r="G1962" s="10" t="s">
        <v>13582</v>
      </c>
      <c r="H1962" s="11" t="s">
        <v>31</v>
      </c>
      <c r="I1962" s="11">
        <v>1.0</v>
      </c>
      <c r="J1962" s="11">
        <v>1.0</v>
      </c>
      <c r="K1962" s="11" t="s">
        <v>31</v>
      </c>
      <c r="L1962" s="12" t="s">
        <v>13540</v>
      </c>
      <c r="M1962" s="10" t="s">
        <v>13583</v>
      </c>
      <c r="N1962" s="10" t="s">
        <v>418</v>
      </c>
      <c r="O1962" s="12" t="s">
        <v>419</v>
      </c>
      <c r="P1962" s="10" t="s">
        <v>13542</v>
      </c>
      <c r="Q1962" s="10" t="s">
        <v>31</v>
      </c>
      <c r="R1962" s="10" t="s">
        <v>31</v>
      </c>
      <c r="S1962" s="12" t="s">
        <v>2664</v>
      </c>
      <c r="T1962" s="10" t="s">
        <v>422</v>
      </c>
      <c r="U1962" s="12" t="s">
        <v>13543</v>
      </c>
      <c r="V1962" s="10" t="s">
        <v>3523</v>
      </c>
      <c r="W1962" s="10" t="s">
        <v>13207</v>
      </c>
      <c r="X1962" s="13" t="str">
        <f>HYPERLINK("https://my.pitchbook.com?p=455470-03P","View People Online")</f>
        <v>View People Online</v>
      </c>
    </row>
    <row r="1963">
      <c r="A1963" s="14" t="s">
        <v>13584</v>
      </c>
      <c r="B1963" s="14" t="s">
        <v>13585</v>
      </c>
      <c r="C1963" s="14" t="s">
        <v>186</v>
      </c>
      <c r="D1963" s="14" t="s">
        <v>13586</v>
      </c>
      <c r="E1963" s="14" t="s">
        <v>13207</v>
      </c>
      <c r="F1963" s="14" t="s">
        <v>3523</v>
      </c>
      <c r="G1963" s="14" t="s">
        <v>13587</v>
      </c>
      <c r="H1963" s="15" t="s">
        <v>31</v>
      </c>
      <c r="I1963" s="15">
        <v>1.0</v>
      </c>
      <c r="J1963" s="15">
        <v>1.0</v>
      </c>
      <c r="K1963" s="15" t="s">
        <v>31</v>
      </c>
      <c r="L1963" s="16" t="s">
        <v>13496</v>
      </c>
      <c r="M1963" s="14" t="s">
        <v>13588</v>
      </c>
      <c r="N1963" s="14" t="s">
        <v>75</v>
      </c>
      <c r="O1963" s="16" t="s">
        <v>76</v>
      </c>
      <c r="P1963" s="14" t="s">
        <v>13498</v>
      </c>
      <c r="Q1963" s="14" t="s">
        <v>31</v>
      </c>
      <c r="R1963" s="14" t="s">
        <v>75</v>
      </c>
      <c r="S1963" s="16" t="s">
        <v>195</v>
      </c>
      <c r="T1963" s="14" t="s">
        <v>66</v>
      </c>
      <c r="U1963" s="16" t="s">
        <v>13499</v>
      </c>
      <c r="V1963" s="14" t="s">
        <v>3523</v>
      </c>
      <c r="W1963" s="14" t="s">
        <v>13207</v>
      </c>
      <c r="X1963" s="17" t="str">
        <f>HYPERLINK("https://my.pitchbook.com?p=435739-24P","View People Online")</f>
        <v>View People Online</v>
      </c>
    </row>
    <row r="1964">
      <c r="A1964" s="10" t="s">
        <v>13589</v>
      </c>
      <c r="B1964" s="10" t="s">
        <v>13590</v>
      </c>
      <c r="C1964" s="10" t="s">
        <v>186</v>
      </c>
      <c r="D1964" s="10" t="s">
        <v>13591</v>
      </c>
      <c r="E1964" s="10" t="s">
        <v>13207</v>
      </c>
      <c r="F1964" s="10" t="s">
        <v>3523</v>
      </c>
      <c r="G1964" s="10" t="s">
        <v>13592</v>
      </c>
      <c r="H1964" s="11" t="s">
        <v>31</v>
      </c>
      <c r="I1964" s="11">
        <v>1.0</v>
      </c>
      <c r="J1964" s="11">
        <v>1.0</v>
      </c>
      <c r="K1964" s="11" t="s">
        <v>31</v>
      </c>
      <c r="L1964" s="12" t="s">
        <v>13496</v>
      </c>
      <c r="M1964" s="10" t="s">
        <v>13593</v>
      </c>
      <c r="N1964" s="10" t="s">
        <v>75</v>
      </c>
      <c r="O1964" s="12" t="s">
        <v>76</v>
      </c>
      <c r="P1964" s="10" t="s">
        <v>13498</v>
      </c>
      <c r="Q1964" s="10" t="s">
        <v>31</v>
      </c>
      <c r="R1964" s="10" t="s">
        <v>75</v>
      </c>
      <c r="S1964" s="12" t="s">
        <v>195</v>
      </c>
      <c r="T1964" s="10" t="s">
        <v>66</v>
      </c>
      <c r="U1964" s="12" t="s">
        <v>13499</v>
      </c>
      <c r="V1964" s="10" t="s">
        <v>3523</v>
      </c>
      <c r="W1964" s="10" t="s">
        <v>13207</v>
      </c>
      <c r="X1964" s="13" t="str">
        <f>HYPERLINK("https://my.pitchbook.com?p=62861-50P","View People Online")</f>
        <v>View People Online</v>
      </c>
    </row>
    <row r="1965">
      <c r="A1965" s="6" t="s">
        <v>13594</v>
      </c>
      <c r="B1965" s="6" t="s">
        <v>13595</v>
      </c>
      <c r="C1965" s="6" t="s">
        <v>186</v>
      </c>
      <c r="D1965" s="6" t="s">
        <v>13596</v>
      </c>
      <c r="E1965" s="6" t="s">
        <v>13207</v>
      </c>
      <c r="F1965" s="6" t="s">
        <v>29</v>
      </c>
      <c r="G1965" s="6" t="s">
        <v>13597</v>
      </c>
      <c r="H1965" s="7" t="s">
        <v>31</v>
      </c>
      <c r="I1965" s="7">
        <v>1.0</v>
      </c>
      <c r="J1965" s="7">
        <v>1.0</v>
      </c>
      <c r="K1965" s="7" t="s">
        <v>31</v>
      </c>
      <c r="L1965" s="8" t="s">
        <v>13496</v>
      </c>
      <c r="M1965" s="6" t="s">
        <v>13598</v>
      </c>
      <c r="N1965" s="6" t="s">
        <v>75</v>
      </c>
      <c r="O1965" s="8" t="s">
        <v>76</v>
      </c>
      <c r="P1965" s="6" t="s">
        <v>13498</v>
      </c>
      <c r="Q1965" s="6" t="s">
        <v>31</v>
      </c>
      <c r="R1965" s="6" t="s">
        <v>75</v>
      </c>
      <c r="S1965" s="8" t="s">
        <v>195</v>
      </c>
      <c r="T1965" s="6" t="s">
        <v>66</v>
      </c>
      <c r="U1965" s="8" t="s">
        <v>13499</v>
      </c>
      <c r="V1965" s="6" t="s">
        <v>29</v>
      </c>
      <c r="W1965" s="6" t="s">
        <v>13207</v>
      </c>
      <c r="X1965" s="9" t="str">
        <f>HYPERLINK("https://my.pitchbook.com?p=434835-82P","View People Online")</f>
        <v>View People Online</v>
      </c>
    </row>
    <row r="1966">
      <c r="A1966" s="2" t="s">
        <v>13599</v>
      </c>
      <c r="B1966" s="2" t="s">
        <v>13600</v>
      </c>
      <c r="C1966" s="2" t="s">
        <v>186</v>
      </c>
      <c r="D1966" s="2" t="s">
        <v>13601</v>
      </c>
      <c r="E1966" s="2" t="s">
        <v>13207</v>
      </c>
      <c r="F1966" s="2" t="s">
        <v>3523</v>
      </c>
      <c r="G1966" s="2" t="s">
        <v>13602</v>
      </c>
      <c r="H1966" s="3" t="s">
        <v>31</v>
      </c>
      <c r="I1966" s="3">
        <v>1.0</v>
      </c>
      <c r="J1966" s="3">
        <v>1.0</v>
      </c>
      <c r="K1966" s="3" t="s">
        <v>31</v>
      </c>
      <c r="L1966" s="4" t="s">
        <v>13281</v>
      </c>
      <c r="M1966" s="2" t="s">
        <v>13603</v>
      </c>
      <c r="N1966" s="2" t="s">
        <v>1277</v>
      </c>
      <c r="O1966" s="4" t="s">
        <v>1278</v>
      </c>
      <c r="P1966" s="2" t="s">
        <v>13283</v>
      </c>
      <c r="Q1966" s="2" t="s">
        <v>13284</v>
      </c>
      <c r="R1966" s="2" t="s">
        <v>1281</v>
      </c>
      <c r="S1966" s="4" t="s">
        <v>1282</v>
      </c>
      <c r="T1966" s="2" t="s">
        <v>66</v>
      </c>
      <c r="U1966" s="4" t="s">
        <v>13285</v>
      </c>
      <c r="V1966" s="2" t="s">
        <v>3523</v>
      </c>
      <c r="W1966" s="2" t="s">
        <v>13207</v>
      </c>
      <c r="X1966" s="5" t="str">
        <f>HYPERLINK("https://my.pitchbook.com?p=455727-07P","View People Online")</f>
        <v>View People Online</v>
      </c>
    </row>
    <row r="1967">
      <c r="A1967" s="6" t="s">
        <v>13604</v>
      </c>
      <c r="B1967" s="6" t="s">
        <v>13605</v>
      </c>
      <c r="C1967" s="6" t="s">
        <v>186</v>
      </c>
      <c r="D1967" s="6" t="s">
        <v>13606</v>
      </c>
      <c r="E1967" s="6" t="s">
        <v>13207</v>
      </c>
      <c r="F1967" s="6" t="s">
        <v>3523</v>
      </c>
      <c r="G1967" s="6" t="s">
        <v>13607</v>
      </c>
      <c r="H1967" s="7" t="s">
        <v>31</v>
      </c>
      <c r="I1967" s="7">
        <v>1.0</v>
      </c>
      <c r="J1967" s="7">
        <v>1.0</v>
      </c>
      <c r="K1967" s="7" t="s">
        <v>31</v>
      </c>
      <c r="L1967" s="8" t="s">
        <v>13281</v>
      </c>
      <c r="M1967" s="6" t="s">
        <v>13608</v>
      </c>
      <c r="N1967" s="6" t="s">
        <v>1277</v>
      </c>
      <c r="O1967" s="8" t="s">
        <v>1278</v>
      </c>
      <c r="P1967" s="6" t="s">
        <v>13283</v>
      </c>
      <c r="Q1967" s="6" t="s">
        <v>13284</v>
      </c>
      <c r="R1967" s="6" t="s">
        <v>1281</v>
      </c>
      <c r="S1967" s="8" t="s">
        <v>1282</v>
      </c>
      <c r="T1967" s="6" t="s">
        <v>66</v>
      </c>
      <c r="U1967" s="8" t="s">
        <v>13285</v>
      </c>
      <c r="V1967" s="6" t="s">
        <v>3523</v>
      </c>
      <c r="W1967" s="6" t="s">
        <v>13207</v>
      </c>
      <c r="X1967" s="9" t="str">
        <f>HYPERLINK("https://my.pitchbook.com?p=435862-81P","View People Online")</f>
        <v>View People Online</v>
      </c>
    </row>
    <row r="1968">
      <c r="A1968" s="2" t="s">
        <v>13609</v>
      </c>
      <c r="B1968" s="2" t="s">
        <v>13610</v>
      </c>
      <c r="C1968" s="2" t="s">
        <v>186</v>
      </c>
      <c r="D1968" s="2" t="s">
        <v>13611</v>
      </c>
      <c r="E1968" s="2" t="s">
        <v>13207</v>
      </c>
      <c r="F1968" s="2" t="s">
        <v>3523</v>
      </c>
      <c r="G1968" s="2" t="s">
        <v>13612</v>
      </c>
      <c r="H1968" s="3" t="s">
        <v>31</v>
      </c>
      <c r="I1968" s="3">
        <v>1.0</v>
      </c>
      <c r="J1968" s="3">
        <v>1.0</v>
      </c>
      <c r="K1968" s="3" t="s">
        <v>31</v>
      </c>
      <c r="L1968" s="4" t="s">
        <v>13423</v>
      </c>
      <c r="M1968" s="2" t="s">
        <v>13613</v>
      </c>
      <c r="N1968" s="2" t="s">
        <v>243</v>
      </c>
      <c r="O1968" s="4" t="s">
        <v>244</v>
      </c>
      <c r="P1968" s="2" t="s">
        <v>13425</v>
      </c>
      <c r="Q1968" s="2" t="s">
        <v>31</v>
      </c>
      <c r="R1968" s="2" t="s">
        <v>247</v>
      </c>
      <c r="S1968" s="4" t="s">
        <v>13426</v>
      </c>
      <c r="T1968" s="2" t="s">
        <v>249</v>
      </c>
      <c r="U1968" s="4" t="s">
        <v>31</v>
      </c>
      <c r="V1968" s="2" t="s">
        <v>3523</v>
      </c>
      <c r="W1968" s="2" t="s">
        <v>13207</v>
      </c>
      <c r="X1968" s="5" t="str">
        <f>HYPERLINK("https://my.pitchbook.com?p=455705-29P","View People Online")</f>
        <v>View People Online</v>
      </c>
    </row>
    <row r="1969">
      <c r="A1969" s="14" t="s">
        <v>13614</v>
      </c>
      <c r="B1969" s="14" t="s">
        <v>13615</v>
      </c>
      <c r="C1969" s="14" t="s">
        <v>186</v>
      </c>
      <c r="D1969" s="14" t="s">
        <v>13616</v>
      </c>
      <c r="E1969" s="14" t="s">
        <v>13207</v>
      </c>
      <c r="F1969" s="14" t="s">
        <v>13218</v>
      </c>
      <c r="G1969" s="14" t="s">
        <v>13617</v>
      </c>
      <c r="H1969" s="15" t="s">
        <v>31</v>
      </c>
      <c r="I1969" s="15">
        <v>1.0</v>
      </c>
      <c r="J1969" s="15">
        <v>1.0</v>
      </c>
      <c r="K1969" s="15" t="s">
        <v>31</v>
      </c>
      <c r="L1969" s="16" t="s">
        <v>13459</v>
      </c>
      <c r="M1969" s="14" t="s">
        <v>13618</v>
      </c>
      <c r="N1969" s="14" t="s">
        <v>3100</v>
      </c>
      <c r="O1969" s="16" t="s">
        <v>3101</v>
      </c>
      <c r="P1969" s="14" t="s">
        <v>13461</v>
      </c>
      <c r="Q1969" s="14" t="s">
        <v>31</v>
      </c>
      <c r="R1969" s="14" t="s">
        <v>31</v>
      </c>
      <c r="S1969" s="16" t="s">
        <v>3103</v>
      </c>
      <c r="T1969" s="14" t="s">
        <v>3104</v>
      </c>
      <c r="U1969" s="16" t="s">
        <v>13462</v>
      </c>
      <c r="V1969" s="14" t="s">
        <v>13218</v>
      </c>
      <c r="W1969" s="14" t="s">
        <v>13207</v>
      </c>
      <c r="X1969" s="17" t="str">
        <f>HYPERLINK("https://my.pitchbook.com?p=435658-51P","View People Online")</f>
        <v>View People Online</v>
      </c>
    </row>
    <row r="1970">
      <c r="A1970" s="10" t="s">
        <v>13619</v>
      </c>
      <c r="B1970" s="10" t="s">
        <v>13620</v>
      </c>
      <c r="C1970" s="10" t="s">
        <v>186</v>
      </c>
      <c r="D1970" s="10" t="s">
        <v>13621</v>
      </c>
      <c r="E1970" s="10" t="s">
        <v>13207</v>
      </c>
      <c r="F1970" s="10" t="s">
        <v>13218</v>
      </c>
      <c r="G1970" s="10" t="s">
        <v>13622</v>
      </c>
      <c r="H1970" s="11" t="s">
        <v>31</v>
      </c>
      <c r="I1970" s="11">
        <v>1.0</v>
      </c>
      <c r="J1970" s="11">
        <v>1.0</v>
      </c>
      <c r="K1970" s="11" t="s">
        <v>31</v>
      </c>
      <c r="L1970" s="12" t="s">
        <v>13531</v>
      </c>
      <c r="M1970" s="10" t="s">
        <v>13623</v>
      </c>
      <c r="N1970" s="10" t="s">
        <v>2273</v>
      </c>
      <c r="O1970" s="12" t="s">
        <v>2274</v>
      </c>
      <c r="P1970" s="10" t="s">
        <v>13533</v>
      </c>
      <c r="Q1970" s="10" t="s">
        <v>31</v>
      </c>
      <c r="R1970" s="10" t="s">
        <v>31</v>
      </c>
      <c r="S1970" s="12" t="s">
        <v>13534</v>
      </c>
      <c r="T1970" s="10" t="s">
        <v>2278</v>
      </c>
      <c r="U1970" s="12" t="s">
        <v>13535</v>
      </c>
      <c r="V1970" s="10" t="s">
        <v>13218</v>
      </c>
      <c r="W1970" s="10" t="s">
        <v>13207</v>
      </c>
      <c r="X1970" s="13" t="str">
        <f>HYPERLINK("https://my.pitchbook.com?p=435290-77P","View People Online")</f>
        <v>View People Online</v>
      </c>
    </row>
    <row r="1971">
      <c r="A1971" s="6" t="s">
        <v>13624</v>
      </c>
      <c r="B1971" s="6" t="s">
        <v>13625</v>
      </c>
      <c r="C1971" s="6" t="s">
        <v>186</v>
      </c>
      <c r="D1971" s="6" t="s">
        <v>9727</v>
      </c>
      <c r="E1971" s="6" t="s">
        <v>13207</v>
      </c>
      <c r="F1971" s="6" t="s">
        <v>3523</v>
      </c>
      <c r="G1971" s="6" t="s">
        <v>13626</v>
      </c>
      <c r="H1971" s="7" t="s">
        <v>31</v>
      </c>
      <c r="I1971" s="7">
        <v>1.0</v>
      </c>
      <c r="J1971" s="7">
        <v>1.0</v>
      </c>
      <c r="K1971" s="7" t="s">
        <v>31</v>
      </c>
      <c r="L1971" s="8" t="s">
        <v>13274</v>
      </c>
      <c r="M1971" s="6" t="s">
        <v>13627</v>
      </c>
      <c r="N1971" s="6" t="s">
        <v>1181</v>
      </c>
      <c r="O1971" s="8" t="s">
        <v>1182</v>
      </c>
      <c r="P1971" s="6" t="s">
        <v>13276</v>
      </c>
      <c r="Q1971" s="6" t="s">
        <v>31</v>
      </c>
      <c r="R1971" s="6" t="s">
        <v>1185</v>
      </c>
      <c r="S1971" s="8" t="s">
        <v>4438</v>
      </c>
      <c r="T1971" s="6" t="s">
        <v>66</v>
      </c>
      <c r="U1971" s="8" t="s">
        <v>13277</v>
      </c>
      <c r="V1971" s="6" t="s">
        <v>3523</v>
      </c>
      <c r="W1971" s="6" t="s">
        <v>13207</v>
      </c>
      <c r="X1971" s="9" t="str">
        <f>HYPERLINK("https://my.pitchbook.com?p=456256-18P","View People Online")</f>
        <v>View People Online</v>
      </c>
    </row>
    <row r="1972">
      <c r="A1972" s="10" t="s">
        <v>13628</v>
      </c>
      <c r="B1972" s="10" t="s">
        <v>13629</v>
      </c>
      <c r="C1972" s="10" t="s">
        <v>186</v>
      </c>
      <c r="D1972" s="10" t="s">
        <v>13630</v>
      </c>
      <c r="E1972" s="10" t="s">
        <v>13207</v>
      </c>
      <c r="F1972" s="10" t="s">
        <v>3523</v>
      </c>
      <c r="G1972" s="10" t="s">
        <v>13631</v>
      </c>
      <c r="H1972" s="11" t="s">
        <v>31</v>
      </c>
      <c r="I1972" s="11">
        <v>1.0</v>
      </c>
      <c r="J1972" s="11">
        <v>1.0</v>
      </c>
      <c r="K1972" s="11" t="s">
        <v>31</v>
      </c>
      <c r="L1972" s="12" t="s">
        <v>13632</v>
      </c>
      <c r="M1972" s="10" t="s">
        <v>13633</v>
      </c>
      <c r="N1972" s="10" t="s">
        <v>7690</v>
      </c>
      <c r="O1972" s="12" t="s">
        <v>7691</v>
      </c>
      <c r="P1972" s="10" t="s">
        <v>13634</v>
      </c>
      <c r="Q1972" s="10" t="s">
        <v>13635</v>
      </c>
      <c r="R1972" s="10" t="s">
        <v>7693</v>
      </c>
      <c r="S1972" s="12" t="s">
        <v>13636</v>
      </c>
      <c r="T1972" s="10" t="s">
        <v>66</v>
      </c>
      <c r="U1972" s="12" t="s">
        <v>13637</v>
      </c>
      <c r="V1972" s="10" t="s">
        <v>3523</v>
      </c>
      <c r="W1972" s="10" t="s">
        <v>13207</v>
      </c>
      <c r="X1972" s="13" t="str">
        <f>HYPERLINK("https://my.pitchbook.com?p=436370-86P","View People Online")</f>
        <v>View People Online</v>
      </c>
    </row>
    <row r="1973">
      <c r="A1973" s="14" t="s">
        <v>13638</v>
      </c>
      <c r="B1973" s="14" t="s">
        <v>13639</v>
      </c>
      <c r="C1973" s="14" t="s">
        <v>186</v>
      </c>
      <c r="D1973" s="14" t="s">
        <v>13640</v>
      </c>
      <c r="E1973" s="14" t="s">
        <v>13207</v>
      </c>
      <c r="F1973" s="14" t="s">
        <v>3523</v>
      </c>
      <c r="G1973" s="14" t="s">
        <v>13641</v>
      </c>
      <c r="H1973" s="15" t="s">
        <v>31</v>
      </c>
      <c r="I1973" s="15">
        <v>1.0</v>
      </c>
      <c r="J1973" s="15">
        <v>1.0</v>
      </c>
      <c r="K1973" s="15" t="s">
        <v>31</v>
      </c>
      <c r="L1973" s="16" t="s">
        <v>13642</v>
      </c>
      <c r="M1973" s="14" t="s">
        <v>13643</v>
      </c>
      <c r="N1973" s="14" t="s">
        <v>3334</v>
      </c>
      <c r="O1973" s="16" t="s">
        <v>3335</v>
      </c>
      <c r="P1973" s="14" t="s">
        <v>13644</v>
      </c>
      <c r="Q1973" s="14" t="s">
        <v>13645</v>
      </c>
      <c r="R1973" s="14" t="s">
        <v>31</v>
      </c>
      <c r="S1973" s="16" t="s">
        <v>13646</v>
      </c>
      <c r="T1973" s="14" t="s">
        <v>3339</v>
      </c>
      <c r="U1973" s="16" t="s">
        <v>13647</v>
      </c>
      <c r="V1973" s="14" t="s">
        <v>3523</v>
      </c>
      <c r="W1973" s="14" t="s">
        <v>13207</v>
      </c>
      <c r="X1973" s="17" t="str">
        <f>HYPERLINK("https://my.pitchbook.com?p=456552-55P","View People Online")</f>
        <v>View People Online</v>
      </c>
    </row>
    <row r="1974">
      <c r="A1974" s="10" t="s">
        <v>13648</v>
      </c>
      <c r="B1974" s="10" t="s">
        <v>13649</v>
      </c>
      <c r="C1974" s="10" t="s">
        <v>186</v>
      </c>
      <c r="D1974" s="10" t="s">
        <v>13650</v>
      </c>
      <c r="E1974" s="10" t="s">
        <v>13207</v>
      </c>
      <c r="F1974" s="10" t="s">
        <v>3523</v>
      </c>
      <c r="G1974" s="10" t="s">
        <v>13651</v>
      </c>
      <c r="H1974" s="11" t="s">
        <v>31</v>
      </c>
      <c r="I1974" s="11">
        <v>1.0</v>
      </c>
      <c r="J1974" s="11">
        <v>1.0</v>
      </c>
      <c r="K1974" s="11" t="s">
        <v>31</v>
      </c>
      <c r="L1974" s="12" t="s">
        <v>13289</v>
      </c>
      <c r="M1974" s="10" t="s">
        <v>13652</v>
      </c>
      <c r="N1974" s="10" t="s">
        <v>1348</v>
      </c>
      <c r="O1974" s="12" t="s">
        <v>1349</v>
      </c>
      <c r="P1974" s="10" t="s">
        <v>13291</v>
      </c>
      <c r="Q1974" s="10" t="s">
        <v>13292</v>
      </c>
      <c r="R1974" s="10" t="s">
        <v>1018</v>
      </c>
      <c r="S1974" s="12" t="s">
        <v>13293</v>
      </c>
      <c r="T1974" s="10" t="s">
        <v>1019</v>
      </c>
      <c r="U1974" s="12" t="s">
        <v>13294</v>
      </c>
      <c r="V1974" s="10" t="s">
        <v>3523</v>
      </c>
      <c r="W1974" s="10" t="s">
        <v>13207</v>
      </c>
      <c r="X1974" s="13" t="str">
        <f>HYPERLINK("https://my.pitchbook.com?p=456042-07P","View People Online")</f>
        <v>View People Online</v>
      </c>
    </row>
    <row r="1975">
      <c r="A1975" s="14" t="s">
        <v>13653</v>
      </c>
      <c r="B1975" s="14" t="s">
        <v>13654</v>
      </c>
      <c r="C1975" s="14" t="s">
        <v>237</v>
      </c>
      <c r="D1975" s="14" t="s">
        <v>13655</v>
      </c>
      <c r="E1975" s="14" t="s">
        <v>13207</v>
      </c>
      <c r="F1975" s="14" t="s">
        <v>3523</v>
      </c>
      <c r="G1975" s="14" t="s">
        <v>13656</v>
      </c>
      <c r="H1975" s="15" t="s">
        <v>31</v>
      </c>
      <c r="I1975" s="15">
        <v>1.0</v>
      </c>
      <c r="J1975" s="15">
        <v>1.0</v>
      </c>
      <c r="K1975" s="15" t="s">
        <v>31</v>
      </c>
      <c r="L1975" s="16" t="s">
        <v>13657</v>
      </c>
      <c r="M1975" s="14" t="s">
        <v>13658</v>
      </c>
      <c r="N1975" s="14" t="s">
        <v>13659</v>
      </c>
      <c r="O1975" s="16" t="s">
        <v>13660</v>
      </c>
      <c r="P1975" s="14" t="s">
        <v>13661</v>
      </c>
      <c r="Q1975" s="14" t="s">
        <v>31</v>
      </c>
      <c r="R1975" s="14" t="s">
        <v>31</v>
      </c>
      <c r="S1975" s="16" t="s">
        <v>13662</v>
      </c>
      <c r="T1975" s="14" t="s">
        <v>38</v>
      </c>
      <c r="U1975" s="16" t="s">
        <v>13663</v>
      </c>
      <c r="V1975" s="14" t="s">
        <v>3523</v>
      </c>
      <c r="W1975" s="14" t="s">
        <v>13207</v>
      </c>
      <c r="X1975" s="17" t="str">
        <f>HYPERLINK("https://my.pitchbook.com?p=455636-17P","View People Online")</f>
        <v>View People Online</v>
      </c>
    </row>
    <row r="1976">
      <c r="A1976" s="10" t="s">
        <v>13664</v>
      </c>
      <c r="B1976" s="10" t="s">
        <v>13665</v>
      </c>
      <c r="C1976" s="10" t="s">
        <v>237</v>
      </c>
      <c r="D1976" s="10" t="s">
        <v>13666</v>
      </c>
      <c r="E1976" s="10" t="s">
        <v>13207</v>
      </c>
      <c r="F1976" s="10" t="s">
        <v>29</v>
      </c>
      <c r="G1976" s="10" t="s">
        <v>13667</v>
      </c>
      <c r="H1976" s="11" t="s">
        <v>31</v>
      </c>
      <c r="I1976" s="11">
        <v>1.0</v>
      </c>
      <c r="J1976" s="11">
        <v>1.0</v>
      </c>
      <c r="K1976" s="11" t="s">
        <v>31</v>
      </c>
      <c r="L1976" s="12" t="s">
        <v>13549</v>
      </c>
      <c r="M1976" s="10" t="s">
        <v>13668</v>
      </c>
      <c r="N1976" s="10" t="s">
        <v>794</v>
      </c>
      <c r="O1976" s="12" t="s">
        <v>795</v>
      </c>
      <c r="P1976" s="10" t="s">
        <v>13551</v>
      </c>
      <c r="Q1976" s="10" t="s">
        <v>13552</v>
      </c>
      <c r="R1976" s="10" t="s">
        <v>31</v>
      </c>
      <c r="S1976" s="12" t="s">
        <v>13553</v>
      </c>
      <c r="T1976" s="10" t="s">
        <v>796</v>
      </c>
      <c r="U1976" s="12" t="s">
        <v>13554</v>
      </c>
      <c r="V1976" s="10" t="s">
        <v>29</v>
      </c>
      <c r="W1976" s="10" t="s">
        <v>13207</v>
      </c>
      <c r="X1976" s="13" t="str">
        <f>HYPERLINK("https://my.pitchbook.com?p=456066-10P","View People Online")</f>
        <v>View People Online</v>
      </c>
    </row>
    <row r="1977">
      <c r="A1977" s="6" t="s">
        <v>13669</v>
      </c>
      <c r="B1977" s="6" t="s">
        <v>13670</v>
      </c>
      <c r="C1977" s="6" t="s">
        <v>237</v>
      </c>
      <c r="D1977" s="6" t="s">
        <v>13671</v>
      </c>
      <c r="E1977" s="6" t="s">
        <v>13207</v>
      </c>
      <c r="F1977" s="6" t="s">
        <v>3523</v>
      </c>
      <c r="G1977" s="6" t="s">
        <v>13672</v>
      </c>
      <c r="H1977" s="7" t="s">
        <v>31</v>
      </c>
      <c r="I1977" s="7">
        <v>1.0</v>
      </c>
      <c r="J1977" s="7">
        <v>1.0</v>
      </c>
      <c r="K1977" s="7" t="s">
        <v>31</v>
      </c>
      <c r="L1977" s="8" t="s">
        <v>13673</v>
      </c>
      <c r="M1977" s="6" t="s">
        <v>13674</v>
      </c>
      <c r="N1977" s="6" t="s">
        <v>6311</v>
      </c>
      <c r="O1977" s="8" t="s">
        <v>6312</v>
      </c>
      <c r="P1977" s="6" t="s">
        <v>13675</v>
      </c>
      <c r="Q1977" s="6" t="s">
        <v>31</v>
      </c>
      <c r="R1977" s="6" t="s">
        <v>31</v>
      </c>
      <c r="S1977" s="8" t="s">
        <v>13676</v>
      </c>
      <c r="T1977" s="6" t="s">
        <v>6315</v>
      </c>
      <c r="U1977" s="8" t="s">
        <v>13677</v>
      </c>
      <c r="V1977" s="6" t="s">
        <v>3523</v>
      </c>
      <c r="W1977" s="6" t="s">
        <v>13207</v>
      </c>
      <c r="X1977" s="9" t="str">
        <f>HYPERLINK("https://my.pitchbook.com?p=455496-31P","View People Online")</f>
        <v>View People Online</v>
      </c>
    </row>
    <row r="1978">
      <c r="A1978" s="2" t="s">
        <v>13678</v>
      </c>
      <c r="B1978" s="2" t="s">
        <v>13679</v>
      </c>
      <c r="C1978" s="2" t="s">
        <v>237</v>
      </c>
      <c r="D1978" s="2" t="s">
        <v>13680</v>
      </c>
      <c r="E1978" s="2" t="s">
        <v>13207</v>
      </c>
      <c r="F1978" s="2" t="s">
        <v>13307</v>
      </c>
      <c r="G1978" s="2" t="s">
        <v>13681</v>
      </c>
      <c r="H1978" s="3" t="s">
        <v>31</v>
      </c>
      <c r="I1978" s="3">
        <v>1.0</v>
      </c>
      <c r="J1978" s="3">
        <v>1.0</v>
      </c>
      <c r="K1978" s="3" t="s">
        <v>31</v>
      </c>
      <c r="L1978" s="4" t="s">
        <v>13657</v>
      </c>
      <c r="M1978" s="2" t="s">
        <v>13682</v>
      </c>
      <c r="N1978" s="2" t="s">
        <v>13659</v>
      </c>
      <c r="O1978" s="4" t="s">
        <v>13660</v>
      </c>
      <c r="P1978" s="2" t="s">
        <v>13661</v>
      </c>
      <c r="Q1978" s="2" t="s">
        <v>31</v>
      </c>
      <c r="R1978" s="2" t="s">
        <v>31</v>
      </c>
      <c r="S1978" s="4" t="s">
        <v>13662</v>
      </c>
      <c r="T1978" s="2" t="s">
        <v>38</v>
      </c>
      <c r="U1978" s="4" t="s">
        <v>13663</v>
      </c>
      <c r="V1978" s="2" t="s">
        <v>13683</v>
      </c>
      <c r="W1978" s="2" t="s">
        <v>13207</v>
      </c>
      <c r="X1978" s="5" t="str">
        <f>HYPERLINK("https://my.pitchbook.com?p=436115-80P","View People Online")</f>
        <v>View People Online</v>
      </c>
    </row>
    <row r="1979">
      <c r="A1979" s="14" t="s">
        <v>13684</v>
      </c>
      <c r="B1979" s="14" t="s">
        <v>13685</v>
      </c>
      <c r="C1979" s="14" t="s">
        <v>237</v>
      </c>
      <c r="D1979" s="14" t="s">
        <v>13686</v>
      </c>
      <c r="E1979" s="14" t="s">
        <v>13207</v>
      </c>
      <c r="F1979" s="14" t="s">
        <v>3523</v>
      </c>
      <c r="G1979" s="14" t="s">
        <v>13687</v>
      </c>
      <c r="H1979" s="15" t="s">
        <v>31</v>
      </c>
      <c r="I1979" s="15">
        <v>1.0</v>
      </c>
      <c r="J1979" s="15">
        <v>1.0</v>
      </c>
      <c r="K1979" s="15" t="s">
        <v>31</v>
      </c>
      <c r="L1979" s="16" t="s">
        <v>13688</v>
      </c>
      <c r="M1979" s="14" t="s">
        <v>13689</v>
      </c>
      <c r="N1979" s="14" t="s">
        <v>3603</v>
      </c>
      <c r="O1979" s="16" t="s">
        <v>3604</v>
      </c>
      <c r="P1979" s="14" t="s">
        <v>13690</v>
      </c>
      <c r="Q1979" s="14" t="s">
        <v>13691</v>
      </c>
      <c r="R1979" s="14" t="s">
        <v>31</v>
      </c>
      <c r="S1979" s="16" t="s">
        <v>31</v>
      </c>
      <c r="T1979" s="14" t="s">
        <v>3603</v>
      </c>
      <c r="U1979" s="16" t="s">
        <v>13692</v>
      </c>
      <c r="V1979" s="14" t="s">
        <v>3523</v>
      </c>
      <c r="W1979" s="14" t="s">
        <v>13207</v>
      </c>
      <c r="X1979" s="17" t="str">
        <f>HYPERLINK("https://my.pitchbook.com?p=435393-01P","View People Online")</f>
        <v>View People Online</v>
      </c>
    </row>
    <row r="1980">
      <c r="A1980" s="10" t="s">
        <v>13693</v>
      </c>
      <c r="B1980" s="10" t="s">
        <v>13694</v>
      </c>
      <c r="C1980" s="10" t="s">
        <v>237</v>
      </c>
      <c r="D1980" s="10" t="s">
        <v>7527</v>
      </c>
      <c r="E1980" s="10" t="s">
        <v>13207</v>
      </c>
      <c r="F1980" s="10" t="s">
        <v>1283</v>
      </c>
      <c r="G1980" s="10" t="s">
        <v>13695</v>
      </c>
      <c r="H1980" s="11" t="s">
        <v>31</v>
      </c>
      <c r="I1980" s="11">
        <v>1.0</v>
      </c>
      <c r="J1980" s="11">
        <v>1.0</v>
      </c>
      <c r="K1980" s="11" t="s">
        <v>31</v>
      </c>
      <c r="L1980" s="12" t="s">
        <v>13673</v>
      </c>
      <c r="M1980" s="10" t="s">
        <v>13696</v>
      </c>
      <c r="N1980" s="10" t="s">
        <v>6311</v>
      </c>
      <c r="O1980" s="12" t="s">
        <v>6312</v>
      </c>
      <c r="P1980" s="10" t="s">
        <v>13675</v>
      </c>
      <c r="Q1980" s="10" t="s">
        <v>31</v>
      </c>
      <c r="R1980" s="10" t="s">
        <v>31</v>
      </c>
      <c r="S1980" s="12" t="s">
        <v>13676</v>
      </c>
      <c r="T1980" s="10" t="s">
        <v>6315</v>
      </c>
      <c r="U1980" s="12" t="s">
        <v>13677</v>
      </c>
      <c r="V1980" s="10" t="s">
        <v>1283</v>
      </c>
      <c r="W1980" s="10" t="s">
        <v>13207</v>
      </c>
      <c r="X1980" s="13" t="str">
        <f>HYPERLINK("https://my.pitchbook.com?p=455494-96P","View People Online")</f>
        <v>View People Online</v>
      </c>
    </row>
    <row r="1981">
      <c r="A1981" s="6" t="s">
        <v>13697</v>
      </c>
      <c r="B1981" s="6" t="s">
        <v>13698</v>
      </c>
      <c r="C1981" s="6" t="s">
        <v>237</v>
      </c>
      <c r="D1981" s="6" t="s">
        <v>13699</v>
      </c>
      <c r="E1981" s="6" t="s">
        <v>13207</v>
      </c>
      <c r="F1981" s="6" t="s">
        <v>3523</v>
      </c>
      <c r="G1981" s="6" t="s">
        <v>13700</v>
      </c>
      <c r="H1981" s="7" t="s">
        <v>31</v>
      </c>
      <c r="I1981" s="7">
        <v>1.0</v>
      </c>
      <c r="J1981" s="7">
        <v>1.0</v>
      </c>
      <c r="K1981" s="7" t="s">
        <v>31</v>
      </c>
      <c r="L1981" s="8" t="s">
        <v>13701</v>
      </c>
      <c r="M1981" s="6" t="s">
        <v>13702</v>
      </c>
      <c r="N1981" s="6" t="s">
        <v>13703</v>
      </c>
      <c r="O1981" s="8" t="s">
        <v>13704</v>
      </c>
      <c r="P1981" s="6" t="s">
        <v>13705</v>
      </c>
      <c r="Q1981" s="6" t="s">
        <v>13706</v>
      </c>
      <c r="R1981" s="6" t="s">
        <v>13707</v>
      </c>
      <c r="S1981" s="8" t="s">
        <v>13708</v>
      </c>
      <c r="T1981" s="6" t="s">
        <v>5484</v>
      </c>
      <c r="U1981" s="8" t="s">
        <v>13709</v>
      </c>
      <c r="V1981" s="6" t="s">
        <v>3523</v>
      </c>
      <c r="W1981" s="6" t="s">
        <v>13207</v>
      </c>
      <c r="X1981" s="9" t="str">
        <f>HYPERLINK("https://my.pitchbook.com?p=436414-42P","View People Online")</f>
        <v>View People Online</v>
      </c>
    </row>
    <row r="1982">
      <c r="A1982" s="2" t="s">
        <v>13710</v>
      </c>
      <c r="B1982" s="2" t="s">
        <v>13711</v>
      </c>
      <c r="C1982" s="2" t="s">
        <v>237</v>
      </c>
      <c r="D1982" s="2" t="s">
        <v>13712</v>
      </c>
      <c r="E1982" s="2" t="s">
        <v>13207</v>
      </c>
      <c r="F1982" s="2" t="s">
        <v>3523</v>
      </c>
      <c r="G1982" s="2" t="s">
        <v>13713</v>
      </c>
      <c r="H1982" s="3" t="s">
        <v>31</v>
      </c>
      <c r="I1982" s="3">
        <v>1.0</v>
      </c>
      <c r="J1982" s="3">
        <v>1.0</v>
      </c>
      <c r="K1982" s="3" t="s">
        <v>31</v>
      </c>
      <c r="L1982" s="4" t="s">
        <v>13714</v>
      </c>
      <c r="M1982" s="2" t="s">
        <v>13715</v>
      </c>
      <c r="N1982" s="2" t="s">
        <v>13716</v>
      </c>
      <c r="O1982" s="4" t="s">
        <v>13717</v>
      </c>
      <c r="P1982" s="2" t="s">
        <v>13718</v>
      </c>
      <c r="Q1982" s="2" t="s">
        <v>31</v>
      </c>
      <c r="R1982" s="2" t="s">
        <v>31</v>
      </c>
      <c r="S1982" s="4" t="s">
        <v>13719</v>
      </c>
      <c r="T1982" s="2" t="s">
        <v>38</v>
      </c>
      <c r="U1982" s="4" t="s">
        <v>13720</v>
      </c>
      <c r="V1982" s="2" t="s">
        <v>3523</v>
      </c>
      <c r="W1982" s="2" t="s">
        <v>13207</v>
      </c>
      <c r="X1982" s="5" t="str">
        <f>HYPERLINK("https://my.pitchbook.com?p=434836-36P","View People Online")</f>
        <v>View People Online</v>
      </c>
    </row>
    <row r="1983">
      <c r="A1983" s="6" t="s">
        <v>13721</v>
      </c>
      <c r="B1983" s="6" t="s">
        <v>13722</v>
      </c>
      <c r="C1983" s="6" t="s">
        <v>237</v>
      </c>
      <c r="D1983" s="6" t="s">
        <v>8168</v>
      </c>
      <c r="E1983" s="6" t="s">
        <v>13207</v>
      </c>
      <c r="F1983" s="6" t="s">
        <v>13218</v>
      </c>
      <c r="G1983" s="6" t="s">
        <v>13723</v>
      </c>
      <c r="H1983" s="7" t="s">
        <v>31</v>
      </c>
      <c r="I1983" s="7">
        <v>2.0</v>
      </c>
      <c r="J1983" s="7">
        <v>1.0</v>
      </c>
      <c r="K1983" s="7">
        <v>1.0</v>
      </c>
      <c r="L1983" s="8" t="s">
        <v>13724</v>
      </c>
      <c r="M1983" s="6" t="s">
        <v>13725</v>
      </c>
      <c r="N1983" s="6" t="s">
        <v>34</v>
      </c>
      <c r="O1983" s="8" t="s">
        <v>35</v>
      </c>
      <c r="P1983" s="6" t="s">
        <v>13726</v>
      </c>
      <c r="Q1983" s="6" t="s">
        <v>31</v>
      </c>
      <c r="R1983" s="6" t="s">
        <v>31</v>
      </c>
      <c r="S1983" s="8" t="s">
        <v>13727</v>
      </c>
      <c r="T1983" s="6" t="s">
        <v>38</v>
      </c>
      <c r="U1983" s="8" t="s">
        <v>13728</v>
      </c>
      <c r="V1983" s="6" t="s">
        <v>13729</v>
      </c>
      <c r="W1983" s="6" t="s">
        <v>13207</v>
      </c>
      <c r="X1983" s="9" t="str">
        <f>HYPERLINK("https://my.pitchbook.com?p=64595-08P","View People Online")</f>
        <v>View People Online</v>
      </c>
    </row>
    <row r="1984">
      <c r="A1984" s="10" t="s">
        <v>13730</v>
      </c>
      <c r="B1984" s="10" t="s">
        <v>13731</v>
      </c>
      <c r="C1984" s="10" t="s">
        <v>237</v>
      </c>
      <c r="D1984" s="10" t="s">
        <v>13732</v>
      </c>
      <c r="E1984" s="10" t="s">
        <v>13207</v>
      </c>
      <c r="F1984" s="10" t="s">
        <v>13218</v>
      </c>
      <c r="G1984" s="10" t="s">
        <v>13733</v>
      </c>
      <c r="H1984" s="11" t="s">
        <v>31</v>
      </c>
      <c r="I1984" s="11">
        <v>1.0</v>
      </c>
      <c r="J1984" s="11">
        <v>1.0</v>
      </c>
      <c r="K1984" s="11" t="s">
        <v>31</v>
      </c>
      <c r="L1984" s="12" t="s">
        <v>13734</v>
      </c>
      <c r="M1984" s="10" t="s">
        <v>13735</v>
      </c>
      <c r="N1984" s="10" t="s">
        <v>2754</v>
      </c>
      <c r="O1984" s="12" t="s">
        <v>2755</v>
      </c>
      <c r="P1984" s="10" t="s">
        <v>13736</v>
      </c>
      <c r="Q1984" s="10" t="s">
        <v>31</v>
      </c>
      <c r="R1984" s="10" t="s">
        <v>31</v>
      </c>
      <c r="S1984" s="12" t="s">
        <v>13737</v>
      </c>
      <c r="T1984" s="10" t="s">
        <v>38</v>
      </c>
      <c r="U1984" s="12" t="s">
        <v>13738</v>
      </c>
      <c r="V1984" s="10" t="s">
        <v>13218</v>
      </c>
      <c r="W1984" s="10" t="s">
        <v>13207</v>
      </c>
      <c r="X1984" s="13" t="str">
        <f>HYPERLINK("https://my.pitchbook.com?p=435710-89P","View People Online")</f>
        <v>View People Online</v>
      </c>
    </row>
    <row r="1985">
      <c r="A1985" s="14" t="s">
        <v>13739</v>
      </c>
      <c r="B1985" s="14" t="s">
        <v>13740</v>
      </c>
      <c r="C1985" s="14" t="s">
        <v>237</v>
      </c>
      <c r="D1985" s="14" t="s">
        <v>13741</v>
      </c>
      <c r="E1985" s="14" t="s">
        <v>13207</v>
      </c>
      <c r="F1985" s="14" t="s">
        <v>13218</v>
      </c>
      <c r="G1985" s="14" t="s">
        <v>13742</v>
      </c>
      <c r="H1985" s="15">
        <v>1.0</v>
      </c>
      <c r="I1985" s="15">
        <v>2.0</v>
      </c>
      <c r="J1985" s="15">
        <v>1.0</v>
      </c>
      <c r="K1985" s="15" t="s">
        <v>31</v>
      </c>
      <c r="L1985" s="16" t="s">
        <v>13743</v>
      </c>
      <c r="M1985" s="14" t="s">
        <v>13744</v>
      </c>
      <c r="N1985" s="14" t="s">
        <v>1034</v>
      </c>
      <c r="O1985" s="16" t="s">
        <v>1035</v>
      </c>
      <c r="P1985" s="14" t="s">
        <v>13745</v>
      </c>
      <c r="Q1985" s="14" t="s">
        <v>13746</v>
      </c>
      <c r="R1985" s="14" t="s">
        <v>31</v>
      </c>
      <c r="S1985" s="16" t="s">
        <v>13747</v>
      </c>
      <c r="T1985" s="14" t="s">
        <v>1034</v>
      </c>
      <c r="U1985" s="16" t="s">
        <v>13748</v>
      </c>
      <c r="V1985" s="14" t="s">
        <v>13218</v>
      </c>
      <c r="W1985" s="14" t="s">
        <v>13207</v>
      </c>
      <c r="X1985" s="17" t="str">
        <f>HYPERLINK("https://my.pitchbook.com?p=254241-37P","View People Online")</f>
        <v>View People Online</v>
      </c>
    </row>
    <row r="1986">
      <c r="A1986" s="10" t="s">
        <v>13749</v>
      </c>
      <c r="B1986" s="10" t="s">
        <v>13750</v>
      </c>
      <c r="C1986" s="10" t="s">
        <v>622</v>
      </c>
      <c r="D1986" s="10" t="s">
        <v>1589</v>
      </c>
      <c r="E1986" s="10" t="s">
        <v>13207</v>
      </c>
      <c r="F1986" s="10" t="s">
        <v>3523</v>
      </c>
      <c r="G1986" s="10" t="s">
        <v>13751</v>
      </c>
      <c r="H1986" s="11" t="s">
        <v>31</v>
      </c>
      <c r="I1986" s="11">
        <v>2.0</v>
      </c>
      <c r="J1986" s="11">
        <v>2.0</v>
      </c>
      <c r="K1986" s="11" t="s">
        <v>31</v>
      </c>
      <c r="L1986" s="12" t="s">
        <v>13752</v>
      </c>
      <c r="M1986" s="10" t="s">
        <v>13753</v>
      </c>
      <c r="N1986" s="10" t="s">
        <v>75</v>
      </c>
      <c r="O1986" s="12" t="s">
        <v>76</v>
      </c>
      <c r="P1986" s="10" t="s">
        <v>13754</v>
      </c>
      <c r="Q1986" s="10" t="s">
        <v>8191</v>
      </c>
      <c r="R1986" s="10" t="s">
        <v>75</v>
      </c>
      <c r="S1986" s="12" t="s">
        <v>2167</v>
      </c>
      <c r="T1986" s="10" t="s">
        <v>66</v>
      </c>
      <c r="U1986" s="12" t="s">
        <v>31</v>
      </c>
      <c r="V1986" s="10" t="s">
        <v>13755</v>
      </c>
      <c r="W1986" s="10" t="s">
        <v>13756</v>
      </c>
      <c r="X1986" s="13" t="str">
        <f>HYPERLINK("https://my.pitchbook.com?p=97584-40P","View People Online")</f>
        <v>View People Online</v>
      </c>
    </row>
    <row r="1987">
      <c r="A1987" s="6" t="s">
        <v>13757</v>
      </c>
      <c r="B1987" s="6" t="s">
        <v>13758</v>
      </c>
      <c r="C1987" s="6" t="s">
        <v>425</v>
      </c>
      <c r="D1987" s="6" t="s">
        <v>13759</v>
      </c>
      <c r="E1987" s="6" t="s">
        <v>13207</v>
      </c>
      <c r="F1987" s="6" t="s">
        <v>13218</v>
      </c>
      <c r="G1987" s="6" t="s">
        <v>13760</v>
      </c>
      <c r="H1987" s="7" t="s">
        <v>31</v>
      </c>
      <c r="I1987" s="7">
        <v>1.0</v>
      </c>
      <c r="J1987" s="7">
        <v>1.0</v>
      </c>
      <c r="K1987" s="7" t="s">
        <v>31</v>
      </c>
      <c r="L1987" s="8" t="s">
        <v>13378</v>
      </c>
      <c r="M1987" s="6" t="s">
        <v>13761</v>
      </c>
      <c r="N1987" s="6" t="s">
        <v>429</v>
      </c>
      <c r="O1987" s="8" t="s">
        <v>430</v>
      </c>
      <c r="P1987" s="6" t="s">
        <v>13380</v>
      </c>
      <c r="Q1987" s="6" t="s">
        <v>31</v>
      </c>
      <c r="R1987" s="6" t="s">
        <v>31</v>
      </c>
      <c r="S1987" s="8" t="s">
        <v>13381</v>
      </c>
      <c r="T1987" s="6" t="s">
        <v>433</v>
      </c>
      <c r="U1987" s="8" t="s">
        <v>13382</v>
      </c>
      <c r="V1987" s="6" t="s">
        <v>13218</v>
      </c>
      <c r="W1987" s="6" t="s">
        <v>13207</v>
      </c>
      <c r="X1987" s="9" t="str">
        <f>HYPERLINK("https://my.pitchbook.com?p=435282-31P","View People Online")</f>
        <v>View People Online</v>
      </c>
    </row>
    <row r="1988">
      <c r="A1988" s="10" t="s">
        <v>13762</v>
      </c>
      <c r="B1988" s="10" t="s">
        <v>13763</v>
      </c>
      <c r="C1988" s="10" t="s">
        <v>425</v>
      </c>
      <c r="D1988" s="10" t="s">
        <v>13764</v>
      </c>
      <c r="E1988" s="10" t="s">
        <v>13207</v>
      </c>
      <c r="F1988" s="10" t="s">
        <v>3523</v>
      </c>
      <c r="G1988" s="10" t="s">
        <v>13765</v>
      </c>
      <c r="H1988" s="11" t="s">
        <v>31</v>
      </c>
      <c r="I1988" s="11">
        <v>1.0</v>
      </c>
      <c r="J1988" s="11">
        <v>1.0</v>
      </c>
      <c r="K1988" s="11" t="s">
        <v>31</v>
      </c>
      <c r="L1988" s="12" t="s">
        <v>13766</v>
      </c>
      <c r="M1988" s="10" t="s">
        <v>13767</v>
      </c>
      <c r="N1988" s="10" t="s">
        <v>13768</v>
      </c>
      <c r="O1988" s="12" t="s">
        <v>13769</v>
      </c>
      <c r="P1988" s="10" t="s">
        <v>13770</v>
      </c>
      <c r="Q1988" s="10" t="s">
        <v>13771</v>
      </c>
      <c r="R1988" s="10" t="s">
        <v>31</v>
      </c>
      <c r="S1988" s="12" t="s">
        <v>13772</v>
      </c>
      <c r="T1988" s="10" t="s">
        <v>13773</v>
      </c>
      <c r="U1988" s="12" t="s">
        <v>31</v>
      </c>
      <c r="V1988" s="10" t="s">
        <v>3523</v>
      </c>
      <c r="W1988" s="10" t="s">
        <v>13207</v>
      </c>
      <c r="X1988" s="13" t="str">
        <f>HYPERLINK("https://my.pitchbook.com?p=456010-03P","View People Online")</f>
        <v>View People Online</v>
      </c>
    </row>
    <row r="1989">
      <c r="A1989" s="6" t="s">
        <v>13774</v>
      </c>
      <c r="B1989" s="6" t="s">
        <v>13775</v>
      </c>
      <c r="C1989" s="6" t="s">
        <v>10710</v>
      </c>
      <c r="D1989" s="6" t="s">
        <v>13776</v>
      </c>
      <c r="E1989" s="6" t="s">
        <v>13207</v>
      </c>
      <c r="F1989" s="6" t="s">
        <v>270</v>
      </c>
      <c r="G1989" s="6" t="s">
        <v>13777</v>
      </c>
      <c r="H1989" s="7" t="s">
        <v>31</v>
      </c>
      <c r="I1989" s="7">
        <v>1.0</v>
      </c>
      <c r="J1989" s="7">
        <v>1.0</v>
      </c>
      <c r="K1989" s="7" t="s">
        <v>31</v>
      </c>
      <c r="L1989" s="8" t="s">
        <v>13274</v>
      </c>
      <c r="M1989" s="6" t="s">
        <v>13778</v>
      </c>
      <c r="N1989" s="6" t="s">
        <v>1181</v>
      </c>
      <c r="O1989" s="8" t="s">
        <v>1182</v>
      </c>
      <c r="P1989" s="6" t="s">
        <v>13276</v>
      </c>
      <c r="Q1989" s="6" t="s">
        <v>31</v>
      </c>
      <c r="R1989" s="6" t="s">
        <v>1185</v>
      </c>
      <c r="S1989" s="8" t="s">
        <v>4438</v>
      </c>
      <c r="T1989" s="6" t="s">
        <v>66</v>
      </c>
      <c r="U1989" s="8" t="s">
        <v>13277</v>
      </c>
      <c r="V1989" s="6" t="s">
        <v>13779</v>
      </c>
      <c r="W1989" s="6" t="s">
        <v>13207</v>
      </c>
      <c r="X1989" s="9" t="str">
        <f>HYPERLINK("https://my.pitchbook.com?p=456197-32P","View People Online")</f>
        <v>View People Online</v>
      </c>
    </row>
    <row r="1990">
      <c r="A1990" s="2" t="s">
        <v>13780</v>
      </c>
      <c r="B1990" s="2" t="s">
        <v>13781</v>
      </c>
      <c r="C1990" s="2" t="s">
        <v>10710</v>
      </c>
      <c r="D1990" s="2" t="s">
        <v>13782</v>
      </c>
      <c r="E1990" s="2" t="s">
        <v>13207</v>
      </c>
      <c r="F1990" s="2" t="s">
        <v>3523</v>
      </c>
      <c r="G1990" s="2" t="s">
        <v>13783</v>
      </c>
      <c r="H1990" s="3" t="s">
        <v>31</v>
      </c>
      <c r="I1990" s="3">
        <v>1.0</v>
      </c>
      <c r="J1990" s="3">
        <v>1.0</v>
      </c>
      <c r="K1990" s="3" t="s">
        <v>31</v>
      </c>
      <c r="L1990" s="4" t="s">
        <v>13399</v>
      </c>
      <c r="M1990" s="2" t="s">
        <v>13784</v>
      </c>
      <c r="N1990" s="2" t="s">
        <v>13401</v>
      </c>
      <c r="O1990" s="4" t="s">
        <v>13402</v>
      </c>
      <c r="P1990" s="2" t="s">
        <v>13403</v>
      </c>
      <c r="Q1990" s="2" t="s">
        <v>13404</v>
      </c>
      <c r="R1990" s="2" t="s">
        <v>31</v>
      </c>
      <c r="S1990" s="4" t="s">
        <v>13405</v>
      </c>
      <c r="T1990" s="2" t="s">
        <v>13406</v>
      </c>
      <c r="U1990" s="4" t="s">
        <v>13407</v>
      </c>
      <c r="V1990" s="2" t="s">
        <v>3523</v>
      </c>
      <c r="W1990" s="2" t="s">
        <v>13207</v>
      </c>
      <c r="X1990" s="5" t="str">
        <f>HYPERLINK("https://my.pitchbook.com?p=436287-43P","View People Online")</f>
        <v>View People Online</v>
      </c>
    </row>
    <row r="1991">
      <c r="A1991" s="14" t="s">
        <v>13785</v>
      </c>
      <c r="B1991" s="14" t="s">
        <v>13786</v>
      </c>
      <c r="C1991" s="14" t="s">
        <v>10710</v>
      </c>
      <c r="D1991" s="14" t="s">
        <v>13787</v>
      </c>
      <c r="E1991" s="14" t="s">
        <v>13207</v>
      </c>
      <c r="F1991" s="14" t="s">
        <v>3523</v>
      </c>
      <c r="G1991" s="14" t="s">
        <v>13788</v>
      </c>
      <c r="H1991" s="15" t="s">
        <v>31</v>
      </c>
      <c r="I1991" s="15">
        <v>1.0</v>
      </c>
      <c r="J1991" s="15">
        <v>1.0</v>
      </c>
      <c r="K1991" s="15" t="s">
        <v>31</v>
      </c>
      <c r="L1991" s="16" t="s">
        <v>13423</v>
      </c>
      <c r="M1991" s="14" t="s">
        <v>13789</v>
      </c>
      <c r="N1991" s="14" t="s">
        <v>243</v>
      </c>
      <c r="O1991" s="16" t="s">
        <v>244</v>
      </c>
      <c r="P1991" s="14" t="s">
        <v>13425</v>
      </c>
      <c r="Q1991" s="14" t="s">
        <v>31</v>
      </c>
      <c r="R1991" s="14" t="s">
        <v>247</v>
      </c>
      <c r="S1991" s="16" t="s">
        <v>13426</v>
      </c>
      <c r="T1991" s="14" t="s">
        <v>249</v>
      </c>
      <c r="U1991" s="16" t="s">
        <v>31</v>
      </c>
      <c r="V1991" s="14" t="s">
        <v>3523</v>
      </c>
      <c r="W1991" s="14" t="s">
        <v>13207</v>
      </c>
      <c r="X1991" s="17" t="str">
        <f>HYPERLINK("https://my.pitchbook.com?p=455463-46P","View People Online")</f>
        <v>View People Online</v>
      </c>
    </row>
    <row r="1992">
      <c r="A1992" s="2" t="s">
        <v>13790</v>
      </c>
      <c r="B1992" s="2" t="s">
        <v>13791</v>
      </c>
      <c r="C1992" s="2" t="s">
        <v>13792</v>
      </c>
      <c r="D1992" s="2" t="s">
        <v>13793</v>
      </c>
      <c r="E1992" s="2" t="s">
        <v>13207</v>
      </c>
      <c r="F1992" s="2" t="s">
        <v>13218</v>
      </c>
      <c r="G1992" s="2" t="s">
        <v>13794</v>
      </c>
      <c r="H1992" s="3" t="s">
        <v>31</v>
      </c>
      <c r="I1992" s="3">
        <v>1.0</v>
      </c>
      <c r="J1992" s="3">
        <v>1.0</v>
      </c>
      <c r="K1992" s="3" t="s">
        <v>31</v>
      </c>
      <c r="L1992" s="4" t="s">
        <v>13531</v>
      </c>
      <c r="M1992" s="2" t="s">
        <v>13795</v>
      </c>
      <c r="N1992" s="2" t="s">
        <v>2273</v>
      </c>
      <c r="O1992" s="4" t="s">
        <v>2274</v>
      </c>
      <c r="P1992" s="2" t="s">
        <v>13533</v>
      </c>
      <c r="Q1992" s="2" t="s">
        <v>31</v>
      </c>
      <c r="R1992" s="2" t="s">
        <v>31</v>
      </c>
      <c r="S1992" s="4" t="s">
        <v>13534</v>
      </c>
      <c r="T1992" s="2" t="s">
        <v>2278</v>
      </c>
      <c r="U1992" s="4" t="s">
        <v>13535</v>
      </c>
      <c r="V1992" s="2" t="s">
        <v>13796</v>
      </c>
      <c r="W1992" s="2" t="s">
        <v>13207</v>
      </c>
      <c r="X1992" s="5" t="str">
        <f>HYPERLINK("https://my.pitchbook.com?p=456623-74P","View People Online")</f>
        <v>View People Online</v>
      </c>
    </row>
    <row r="1993">
      <c r="A1993" s="6" t="s">
        <v>13797</v>
      </c>
      <c r="B1993" s="6" t="s">
        <v>13798</v>
      </c>
      <c r="C1993" s="6" t="s">
        <v>13792</v>
      </c>
      <c r="D1993" s="6" t="s">
        <v>13799</v>
      </c>
      <c r="E1993" s="6" t="s">
        <v>13207</v>
      </c>
      <c r="F1993" s="6" t="s">
        <v>3523</v>
      </c>
      <c r="G1993" s="6" t="s">
        <v>13800</v>
      </c>
      <c r="H1993" s="7" t="s">
        <v>31</v>
      </c>
      <c r="I1993" s="7">
        <v>1.0</v>
      </c>
      <c r="J1993" s="7">
        <v>1.0</v>
      </c>
      <c r="K1993" s="7" t="s">
        <v>31</v>
      </c>
      <c r="L1993" s="8" t="s">
        <v>13801</v>
      </c>
      <c r="M1993" s="6" t="s">
        <v>13802</v>
      </c>
      <c r="N1993" s="6" t="s">
        <v>1024</v>
      </c>
      <c r="O1993" s="8" t="s">
        <v>2718</v>
      </c>
      <c r="P1993" s="6" t="s">
        <v>13803</v>
      </c>
      <c r="Q1993" s="6" t="s">
        <v>13804</v>
      </c>
      <c r="R1993" s="6" t="s">
        <v>31</v>
      </c>
      <c r="S1993" s="8" t="s">
        <v>31</v>
      </c>
      <c r="T1993" s="6" t="s">
        <v>2721</v>
      </c>
      <c r="U1993" s="8" t="s">
        <v>31</v>
      </c>
      <c r="V1993" s="6" t="s">
        <v>3523</v>
      </c>
      <c r="W1993" s="6" t="s">
        <v>13207</v>
      </c>
      <c r="X1993" s="9" t="str">
        <f>HYPERLINK("https://my.pitchbook.com?p=434998-09P","View People Online")</f>
        <v>View People Online</v>
      </c>
    </row>
    <row r="1994">
      <c r="A1994" s="2" t="s">
        <v>13805</v>
      </c>
      <c r="B1994" s="2" t="s">
        <v>13806</v>
      </c>
      <c r="C1994" s="2" t="s">
        <v>13807</v>
      </c>
      <c r="D1994" s="2" t="s">
        <v>13808</v>
      </c>
      <c r="E1994" s="2" t="s">
        <v>13207</v>
      </c>
      <c r="F1994" s="2" t="s">
        <v>13307</v>
      </c>
      <c r="G1994" s="2" t="s">
        <v>13809</v>
      </c>
      <c r="H1994" s="3" t="s">
        <v>31</v>
      </c>
      <c r="I1994" s="3">
        <v>1.0</v>
      </c>
      <c r="J1994" s="3">
        <v>1.0</v>
      </c>
      <c r="K1994" s="3" t="s">
        <v>31</v>
      </c>
      <c r="L1994" s="4" t="s">
        <v>13423</v>
      </c>
      <c r="M1994" s="2" t="s">
        <v>13810</v>
      </c>
      <c r="N1994" s="2" t="s">
        <v>243</v>
      </c>
      <c r="O1994" s="4" t="s">
        <v>244</v>
      </c>
      <c r="P1994" s="2" t="s">
        <v>13425</v>
      </c>
      <c r="Q1994" s="2" t="s">
        <v>31</v>
      </c>
      <c r="R1994" s="2" t="s">
        <v>247</v>
      </c>
      <c r="S1994" s="4" t="s">
        <v>13426</v>
      </c>
      <c r="T1994" s="2" t="s">
        <v>249</v>
      </c>
      <c r="U1994" s="4" t="s">
        <v>31</v>
      </c>
      <c r="V1994" s="2" t="s">
        <v>13317</v>
      </c>
      <c r="W1994" s="2" t="s">
        <v>13207</v>
      </c>
      <c r="X1994" s="5" t="str">
        <f>HYPERLINK("https://my.pitchbook.com?p=436217-23P","View People Online")</f>
        <v>View People Online</v>
      </c>
    </row>
    <row r="1995">
      <c r="A1995" s="6" t="s">
        <v>13811</v>
      </c>
      <c r="B1995" s="6" t="s">
        <v>13812</v>
      </c>
      <c r="C1995" s="6" t="s">
        <v>5591</v>
      </c>
      <c r="D1995" s="6" t="s">
        <v>13813</v>
      </c>
      <c r="E1995" s="6" t="s">
        <v>13207</v>
      </c>
      <c r="F1995" s="6" t="s">
        <v>13218</v>
      </c>
      <c r="G1995" s="6" t="s">
        <v>13814</v>
      </c>
      <c r="H1995" s="7" t="s">
        <v>31</v>
      </c>
      <c r="I1995" s="7">
        <v>1.0</v>
      </c>
      <c r="J1995" s="7">
        <v>1.0</v>
      </c>
      <c r="K1995" s="7" t="s">
        <v>31</v>
      </c>
      <c r="L1995" s="8" t="s">
        <v>13274</v>
      </c>
      <c r="M1995" s="6" t="s">
        <v>13815</v>
      </c>
      <c r="N1995" s="6" t="s">
        <v>1181</v>
      </c>
      <c r="O1995" s="8" t="s">
        <v>1182</v>
      </c>
      <c r="P1995" s="6" t="s">
        <v>13276</v>
      </c>
      <c r="Q1995" s="6" t="s">
        <v>31</v>
      </c>
      <c r="R1995" s="6" t="s">
        <v>1185</v>
      </c>
      <c r="S1995" s="8" t="s">
        <v>4438</v>
      </c>
      <c r="T1995" s="6" t="s">
        <v>66</v>
      </c>
      <c r="U1995" s="8" t="s">
        <v>13277</v>
      </c>
      <c r="V1995" s="6" t="s">
        <v>13816</v>
      </c>
      <c r="W1995" s="6" t="s">
        <v>13207</v>
      </c>
      <c r="X1995" s="9" t="str">
        <f>HYPERLINK("https://my.pitchbook.com?p=376537-33P","View People Online")</f>
        <v>View People Online</v>
      </c>
    </row>
    <row r="1996">
      <c r="A1996" s="10" t="s">
        <v>13817</v>
      </c>
      <c r="B1996" s="10" t="s">
        <v>13818</v>
      </c>
      <c r="C1996" s="10" t="s">
        <v>13819</v>
      </c>
      <c r="D1996" s="10" t="s">
        <v>5410</v>
      </c>
      <c r="E1996" s="10" t="s">
        <v>13207</v>
      </c>
      <c r="F1996" s="10" t="s">
        <v>3523</v>
      </c>
      <c r="G1996" s="10" t="s">
        <v>13820</v>
      </c>
      <c r="H1996" s="11" t="s">
        <v>31</v>
      </c>
      <c r="I1996" s="11">
        <v>1.0</v>
      </c>
      <c r="J1996" s="11">
        <v>1.0</v>
      </c>
      <c r="K1996" s="11" t="s">
        <v>31</v>
      </c>
      <c r="L1996" s="12" t="s">
        <v>13766</v>
      </c>
      <c r="M1996" s="10" t="s">
        <v>13821</v>
      </c>
      <c r="N1996" s="10" t="s">
        <v>13768</v>
      </c>
      <c r="O1996" s="12" t="s">
        <v>13769</v>
      </c>
      <c r="P1996" s="10" t="s">
        <v>13770</v>
      </c>
      <c r="Q1996" s="10" t="s">
        <v>13771</v>
      </c>
      <c r="R1996" s="10" t="s">
        <v>31</v>
      </c>
      <c r="S1996" s="12" t="s">
        <v>13772</v>
      </c>
      <c r="T1996" s="10" t="s">
        <v>13773</v>
      </c>
      <c r="U1996" s="12" t="s">
        <v>31</v>
      </c>
      <c r="V1996" s="10" t="s">
        <v>3523</v>
      </c>
      <c r="W1996" s="10" t="s">
        <v>13207</v>
      </c>
      <c r="X1996" s="13" t="str">
        <f>HYPERLINK("https://my.pitchbook.com?p=455360-23P","View People Online")</f>
        <v>View People Online</v>
      </c>
    </row>
    <row r="1997">
      <c r="A1997" s="14" t="s">
        <v>13822</v>
      </c>
      <c r="B1997" s="14" t="s">
        <v>13823</v>
      </c>
      <c r="C1997" s="14" t="s">
        <v>13824</v>
      </c>
      <c r="D1997" s="14" t="s">
        <v>13825</v>
      </c>
      <c r="E1997" s="14" t="s">
        <v>13207</v>
      </c>
      <c r="F1997" s="14" t="s">
        <v>3523</v>
      </c>
      <c r="G1997" s="14" t="s">
        <v>13826</v>
      </c>
      <c r="H1997" s="15" t="s">
        <v>31</v>
      </c>
      <c r="I1997" s="15">
        <v>1.0</v>
      </c>
      <c r="J1997" s="15">
        <v>1.0</v>
      </c>
      <c r="K1997" s="15" t="s">
        <v>31</v>
      </c>
      <c r="L1997" s="16" t="s">
        <v>13432</v>
      </c>
      <c r="M1997" s="14" t="s">
        <v>13827</v>
      </c>
      <c r="N1997" s="14" t="s">
        <v>2599</v>
      </c>
      <c r="O1997" s="16" t="s">
        <v>2600</v>
      </c>
      <c r="P1997" s="14" t="s">
        <v>13434</v>
      </c>
      <c r="Q1997" s="14" t="s">
        <v>4235</v>
      </c>
      <c r="R1997" s="14" t="s">
        <v>396</v>
      </c>
      <c r="S1997" s="16" t="s">
        <v>13435</v>
      </c>
      <c r="T1997" s="14" t="s">
        <v>66</v>
      </c>
      <c r="U1997" s="16" t="s">
        <v>13436</v>
      </c>
      <c r="V1997" s="14" t="s">
        <v>3523</v>
      </c>
      <c r="W1997" s="14" t="s">
        <v>13207</v>
      </c>
      <c r="X1997" s="17" t="str">
        <f>HYPERLINK("https://my.pitchbook.com?p=456841-63P","View People Online")</f>
        <v>View People Online</v>
      </c>
    </row>
    <row r="1998">
      <c r="A1998" s="2" t="s">
        <v>13828</v>
      </c>
      <c r="B1998" s="2" t="s">
        <v>13829</v>
      </c>
      <c r="C1998" s="2" t="s">
        <v>13830</v>
      </c>
      <c r="D1998" s="2" t="s">
        <v>13831</v>
      </c>
      <c r="E1998" s="2" t="s">
        <v>13207</v>
      </c>
      <c r="F1998" s="2" t="s">
        <v>13218</v>
      </c>
      <c r="G1998" s="2" t="s">
        <v>13832</v>
      </c>
      <c r="H1998" s="3" t="s">
        <v>31</v>
      </c>
      <c r="I1998" s="3">
        <v>1.0</v>
      </c>
      <c r="J1998" s="3">
        <v>1.0</v>
      </c>
      <c r="K1998" s="3" t="s">
        <v>31</v>
      </c>
      <c r="L1998" s="4" t="s">
        <v>13549</v>
      </c>
      <c r="M1998" s="2" t="s">
        <v>13833</v>
      </c>
      <c r="N1998" s="2" t="s">
        <v>794</v>
      </c>
      <c r="O1998" s="4" t="s">
        <v>795</v>
      </c>
      <c r="P1998" s="2" t="s">
        <v>13551</v>
      </c>
      <c r="Q1998" s="2" t="s">
        <v>13552</v>
      </c>
      <c r="R1998" s="2" t="s">
        <v>31</v>
      </c>
      <c r="S1998" s="4" t="s">
        <v>13553</v>
      </c>
      <c r="T1998" s="2" t="s">
        <v>796</v>
      </c>
      <c r="U1998" s="4" t="s">
        <v>13554</v>
      </c>
      <c r="V1998" s="2" t="s">
        <v>13218</v>
      </c>
      <c r="W1998" s="2" t="s">
        <v>13207</v>
      </c>
      <c r="X1998" s="5" t="str">
        <f>HYPERLINK("https://my.pitchbook.com?p=435773-35P","View People Online")</f>
        <v>View People Online</v>
      </c>
    </row>
    <row r="1999">
      <c r="A1999" s="14" t="s">
        <v>13834</v>
      </c>
      <c r="B1999" s="14" t="s">
        <v>13835</v>
      </c>
      <c r="C1999" s="14" t="s">
        <v>13836</v>
      </c>
      <c r="D1999" s="14" t="s">
        <v>13837</v>
      </c>
      <c r="E1999" s="14" t="s">
        <v>13207</v>
      </c>
      <c r="F1999" s="14" t="s">
        <v>3523</v>
      </c>
      <c r="G1999" s="14" t="s">
        <v>13838</v>
      </c>
      <c r="H1999" s="15" t="s">
        <v>31</v>
      </c>
      <c r="I1999" s="15">
        <v>1.0</v>
      </c>
      <c r="J1999" s="15">
        <v>1.0</v>
      </c>
      <c r="K1999" s="15" t="s">
        <v>31</v>
      </c>
      <c r="L1999" s="16" t="s">
        <v>13839</v>
      </c>
      <c r="M1999" s="14" t="s">
        <v>13840</v>
      </c>
      <c r="N1999" s="14" t="s">
        <v>11029</v>
      </c>
      <c r="O1999" s="16" t="s">
        <v>11030</v>
      </c>
      <c r="P1999" s="14" t="s">
        <v>13841</v>
      </c>
      <c r="Q1999" s="14" t="s">
        <v>13842</v>
      </c>
      <c r="R1999" s="14" t="s">
        <v>10017</v>
      </c>
      <c r="S1999" s="16" t="s">
        <v>13843</v>
      </c>
      <c r="T1999" s="14" t="s">
        <v>66</v>
      </c>
      <c r="U1999" s="16" t="s">
        <v>13844</v>
      </c>
      <c r="V1999" s="14" t="s">
        <v>3523</v>
      </c>
      <c r="W1999" s="14" t="s">
        <v>13207</v>
      </c>
      <c r="X1999" s="17" t="str">
        <f>HYPERLINK("https://my.pitchbook.com?p=455644-45P","View People Online")</f>
        <v>View People Online</v>
      </c>
    </row>
    <row r="2000">
      <c r="A2000" s="2" t="s">
        <v>13845</v>
      </c>
      <c r="B2000" s="2" t="s">
        <v>13846</v>
      </c>
      <c r="C2000" s="2" t="s">
        <v>13847</v>
      </c>
      <c r="D2000" s="2" t="s">
        <v>9309</v>
      </c>
      <c r="E2000" s="2" t="s">
        <v>13207</v>
      </c>
      <c r="F2000" s="2" t="s">
        <v>13218</v>
      </c>
      <c r="G2000" s="2" t="s">
        <v>13848</v>
      </c>
      <c r="H2000" s="3" t="s">
        <v>31</v>
      </c>
      <c r="I2000" s="3">
        <v>1.0</v>
      </c>
      <c r="J2000" s="3">
        <v>1.0</v>
      </c>
      <c r="K2000" s="3" t="s">
        <v>31</v>
      </c>
      <c r="L2000" s="4" t="s">
        <v>13231</v>
      </c>
      <c r="M2000" s="2" t="s">
        <v>13849</v>
      </c>
      <c r="N2000" s="2" t="s">
        <v>1203</v>
      </c>
      <c r="O2000" s="4" t="s">
        <v>1204</v>
      </c>
      <c r="P2000" s="2" t="s">
        <v>13233</v>
      </c>
      <c r="Q2000" s="2" t="s">
        <v>13234</v>
      </c>
      <c r="R2000" s="2" t="s">
        <v>1207</v>
      </c>
      <c r="S2000" s="4" t="s">
        <v>13235</v>
      </c>
      <c r="T2000" s="2" t="s">
        <v>1209</v>
      </c>
      <c r="U2000" s="4" t="s">
        <v>31</v>
      </c>
      <c r="V2000" s="2" t="s">
        <v>13218</v>
      </c>
      <c r="W2000" s="2" t="s">
        <v>13207</v>
      </c>
      <c r="X2000" s="5" t="str">
        <f>HYPERLINK("https://my.pitchbook.com?p=435992-50P","View People Online")</f>
        <v>View People Online</v>
      </c>
    </row>
    <row r="2001">
      <c r="A2001" s="14" t="s">
        <v>13850</v>
      </c>
      <c r="B2001" s="14" t="s">
        <v>13851</v>
      </c>
      <c r="C2001" s="14" t="s">
        <v>13852</v>
      </c>
      <c r="D2001" s="14" t="s">
        <v>13853</v>
      </c>
      <c r="E2001" s="14" t="s">
        <v>13207</v>
      </c>
      <c r="F2001" s="14" t="s">
        <v>3523</v>
      </c>
      <c r="G2001" s="14" t="s">
        <v>13854</v>
      </c>
      <c r="H2001" s="15" t="s">
        <v>31</v>
      </c>
      <c r="I2001" s="15">
        <v>1.0</v>
      </c>
      <c r="J2001" s="15">
        <v>1.0</v>
      </c>
      <c r="K2001" s="15" t="s">
        <v>31</v>
      </c>
      <c r="L2001" s="16" t="s">
        <v>13855</v>
      </c>
      <c r="M2001" s="14" t="s">
        <v>13856</v>
      </c>
      <c r="N2001" s="14" t="s">
        <v>2017</v>
      </c>
      <c r="O2001" s="16" t="s">
        <v>2018</v>
      </c>
      <c r="P2001" s="14" t="s">
        <v>13857</v>
      </c>
      <c r="Q2001" s="14" t="s">
        <v>13858</v>
      </c>
      <c r="R2001" s="14" t="s">
        <v>31</v>
      </c>
      <c r="S2001" s="16" t="s">
        <v>31</v>
      </c>
      <c r="T2001" s="14" t="s">
        <v>2022</v>
      </c>
      <c r="U2001" s="16" t="s">
        <v>31</v>
      </c>
      <c r="V2001" s="14" t="s">
        <v>3523</v>
      </c>
      <c r="W2001" s="14" t="s">
        <v>13207</v>
      </c>
      <c r="X2001" s="17" t="str">
        <f>HYPERLINK("https://my.pitchbook.com?p=435353-77P","View People Online")</f>
        <v>View People Online</v>
      </c>
    </row>
    <row r="2002">
      <c r="A2002" s="2" t="s">
        <v>13859</v>
      </c>
      <c r="B2002" s="2" t="s">
        <v>13860</v>
      </c>
      <c r="C2002" s="2" t="s">
        <v>13861</v>
      </c>
      <c r="D2002" s="2" t="s">
        <v>13862</v>
      </c>
      <c r="E2002" s="2" t="s">
        <v>13207</v>
      </c>
      <c r="F2002" s="2" t="s">
        <v>3523</v>
      </c>
      <c r="G2002" s="2" t="s">
        <v>13863</v>
      </c>
      <c r="H2002" s="3" t="s">
        <v>31</v>
      </c>
      <c r="I2002" s="3">
        <v>1.0</v>
      </c>
      <c r="J2002" s="3">
        <v>1.0</v>
      </c>
      <c r="K2002" s="3" t="s">
        <v>31</v>
      </c>
      <c r="L2002" s="4" t="s">
        <v>13864</v>
      </c>
      <c r="M2002" s="2" t="s">
        <v>13865</v>
      </c>
      <c r="N2002" s="2" t="s">
        <v>1841</v>
      </c>
      <c r="O2002" s="4" t="s">
        <v>1842</v>
      </c>
      <c r="P2002" s="2" t="s">
        <v>13866</v>
      </c>
      <c r="Q2002" s="2" t="s">
        <v>13867</v>
      </c>
      <c r="R2002" s="2" t="s">
        <v>31</v>
      </c>
      <c r="S2002" s="4" t="s">
        <v>31</v>
      </c>
      <c r="T2002" s="2" t="s">
        <v>1845</v>
      </c>
      <c r="U2002" s="4" t="s">
        <v>31</v>
      </c>
      <c r="V2002" s="2" t="s">
        <v>3523</v>
      </c>
      <c r="W2002" s="2" t="s">
        <v>13207</v>
      </c>
      <c r="X2002" s="5" t="str">
        <f>HYPERLINK("https://my.pitchbook.com?p=162089-11P","View People Online")</f>
        <v>View People Online</v>
      </c>
    </row>
    <row r="2003">
      <c r="A2003" s="14" t="s">
        <v>13868</v>
      </c>
      <c r="B2003" s="14" t="s">
        <v>13869</v>
      </c>
      <c r="C2003" s="14" t="s">
        <v>13870</v>
      </c>
      <c r="D2003" s="14" t="s">
        <v>2432</v>
      </c>
      <c r="E2003" s="14" t="s">
        <v>13207</v>
      </c>
      <c r="F2003" s="14" t="s">
        <v>3523</v>
      </c>
      <c r="G2003" s="14" t="s">
        <v>13871</v>
      </c>
      <c r="H2003" s="15" t="s">
        <v>31</v>
      </c>
      <c r="I2003" s="15">
        <v>1.0</v>
      </c>
      <c r="J2003" s="15">
        <v>1.0</v>
      </c>
      <c r="K2003" s="15" t="s">
        <v>31</v>
      </c>
      <c r="L2003" s="16" t="s">
        <v>13412</v>
      </c>
      <c r="M2003" s="14" t="s">
        <v>13872</v>
      </c>
      <c r="N2003" s="14" t="s">
        <v>13414</v>
      </c>
      <c r="O2003" s="16" t="s">
        <v>13415</v>
      </c>
      <c r="P2003" s="14" t="s">
        <v>13416</v>
      </c>
      <c r="Q2003" s="14" t="s">
        <v>31</v>
      </c>
      <c r="R2003" s="14" t="s">
        <v>209</v>
      </c>
      <c r="S2003" s="16" t="s">
        <v>13417</v>
      </c>
      <c r="T2003" s="14" t="s">
        <v>66</v>
      </c>
      <c r="U2003" s="16" t="s">
        <v>13418</v>
      </c>
      <c r="V2003" s="14" t="s">
        <v>3523</v>
      </c>
      <c r="W2003" s="14" t="s">
        <v>13207</v>
      </c>
      <c r="X2003" s="17" t="str">
        <f>HYPERLINK("https://my.pitchbook.com?p=435630-61P","View People Online")</f>
        <v>View People Online</v>
      </c>
    </row>
    <row r="2004">
      <c r="A2004" s="10" t="s">
        <v>13873</v>
      </c>
      <c r="B2004" s="10" t="s">
        <v>13874</v>
      </c>
      <c r="C2004" s="10" t="s">
        <v>13870</v>
      </c>
      <c r="D2004" s="10" t="s">
        <v>13875</v>
      </c>
      <c r="E2004" s="10" t="s">
        <v>13207</v>
      </c>
      <c r="F2004" s="10" t="s">
        <v>3523</v>
      </c>
      <c r="G2004" s="10" t="s">
        <v>13876</v>
      </c>
      <c r="H2004" s="11" t="s">
        <v>31</v>
      </c>
      <c r="I2004" s="11">
        <v>1.0</v>
      </c>
      <c r="J2004" s="11">
        <v>1.0</v>
      </c>
      <c r="K2004" s="11" t="s">
        <v>31</v>
      </c>
      <c r="L2004" s="12" t="s">
        <v>13743</v>
      </c>
      <c r="M2004" s="10" t="s">
        <v>13877</v>
      </c>
      <c r="N2004" s="10" t="s">
        <v>1034</v>
      </c>
      <c r="O2004" s="12" t="s">
        <v>1035</v>
      </c>
      <c r="P2004" s="10" t="s">
        <v>13745</v>
      </c>
      <c r="Q2004" s="10" t="s">
        <v>13746</v>
      </c>
      <c r="R2004" s="10" t="s">
        <v>31</v>
      </c>
      <c r="S2004" s="12" t="s">
        <v>13747</v>
      </c>
      <c r="T2004" s="10" t="s">
        <v>1034</v>
      </c>
      <c r="U2004" s="12" t="s">
        <v>13748</v>
      </c>
      <c r="V2004" s="10" t="s">
        <v>3523</v>
      </c>
      <c r="W2004" s="10" t="s">
        <v>13207</v>
      </c>
      <c r="X2004" s="13" t="str">
        <f>HYPERLINK("https://my.pitchbook.com?p=456557-41P","View People Online")</f>
        <v>View People Online</v>
      </c>
    </row>
    <row r="2005">
      <c r="A2005" s="14" t="s">
        <v>13878</v>
      </c>
      <c r="B2005" s="14" t="s">
        <v>13879</v>
      </c>
      <c r="C2005" s="14" t="s">
        <v>4128</v>
      </c>
      <c r="D2005" s="14" t="s">
        <v>13880</v>
      </c>
      <c r="E2005" s="14" t="s">
        <v>13207</v>
      </c>
      <c r="F2005" s="14" t="s">
        <v>13218</v>
      </c>
      <c r="G2005" s="14" t="s">
        <v>13881</v>
      </c>
      <c r="H2005" s="15" t="s">
        <v>31</v>
      </c>
      <c r="I2005" s="15">
        <v>1.0</v>
      </c>
      <c r="J2005" s="15">
        <v>1.0</v>
      </c>
      <c r="K2005" s="15" t="s">
        <v>31</v>
      </c>
      <c r="L2005" s="16" t="s">
        <v>13274</v>
      </c>
      <c r="M2005" s="14" t="s">
        <v>13882</v>
      </c>
      <c r="N2005" s="14" t="s">
        <v>1181</v>
      </c>
      <c r="O2005" s="16" t="s">
        <v>1182</v>
      </c>
      <c r="P2005" s="14" t="s">
        <v>13276</v>
      </c>
      <c r="Q2005" s="14" t="s">
        <v>31</v>
      </c>
      <c r="R2005" s="14" t="s">
        <v>1185</v>
      </c>
      <c r="S2005" s="16" t="s">
        <v>4438</v>
      </c>
      <c r="T2005" s="14" t="s">
        <v>66</v>
      </c>
      <c r="U2005" s="16" t="s">
        <v>13277</v>
      </c>
      <c r="V2005" s="14" t="s">
        <v>13218</v>
      </c>
      <c r="W2005" s="14" t="s">
        <v>13207</v>
      </c>
      <c r="X2005" s="17" t="str">
        <f>HYPERLINK("https://my.pitchbook.com?p=456384-25P","View People Online")</f>
        <v>View People Online</v>
      </c>
    </row>
    <row r="2006">
      <c r="A2006" s="10" t="s">
        <v>13883</v>
      </c>
      <c r="B2006" s="10" t="s">
        <v>13884</v>
      </c>
      <c r="C2006" s="10" t="s">
        <v>13885</v>
      </c>
      <c r="D2006" s="10" t="s">
        <v>13886</v>
      </c>
      <c r="E2006" s="10" t="s">
        <v>13207</v>
      </c>
      <c r="F2006" s="10" t="s">
        <v>3523</v>
      </c>
      <c r="G2006" s="10" t="s">
        <v>13887</v>
      </c>
      <c r="H2006" s="11" t="s">
        <v>31</v>
      </c>
      <c r="I2006" s="11">
        <v>1.0</v>
      </c>
      <c r="J2006" s="11">
        <v>1.0</v>
      </c>
      <c r="K2006" s="11" t="s">
        <v>31</v>
      </c>
      <c r="L2006" s="12" t="s">
        <v>13888</v>
      </c>
      <c r="M2006" s="10" t="s">
        <v>13889</v>
      </c>
      <c r="N2006" s="10" t="s">
        <v>13890</v>
      </c>
      <c r="O2006" s="12" t="s">
        <v>13891</v>
      </c>
      <c r="P2006" s="10" t="s">
        <v>13892</v>
      </c>
      <c r="Q2006" s="10" t="s">
        <v>31</v>
      </c>
      <c r="R2006" s="10" t="s">
        <v>31</v>
      </c>
      <c r="S2006" s="12" t="s">
        <v>13893</v>
      </c>
      <c r="T2006" s="10" t="s">
        <v>13894</v>
      </c>
      <c r="U2006" s="12" t="s">
        <v>31</v>
      </c>
      <c r="V2006" s="10" t="s">
        <v>3523</v>
      </c>
      <c r="W2006" s="10" t="s">
        <v>13207</v>
      </c>
      <c r="X2006" s="13" t="str">
        <f>HYPERLINK("https://my.pitchbook.com?p=435739-87P","View People Online")</f>
        <v>View People Online</v>
      </c>
    </row>
    <row r="2007">
      <c r="A2007" s="6" t="s">
        <v>13895</v>
      </c>
      <c r="B2007" s="6" t="s">
        <v>13896</v>
      </c>
      <c r="C2007" s="6" t="s">
        <v>13897</v>
      </c>
      <c r="D2007" s="6" t="s">
        <v>13898</v>
      </c>
      <c r="E2007" s="6" t="s">
        <v>13207</v>
      </c>
      <c r="F2007" s="6" t="s">
        <v>3523</v>
      </c>
      <c r="G2007" s="6" t="s">
        <v>13899</v>
      </c>
      <c r="H2007" s="7" t="s">
        <v>31</v>
      </c>
      <c r="I2007" s="7">
        <v>2.0</v>
      </c>
      <c r="J2007" s="7">
        <v>2.0</v>
      </c>
      <c r="K2007" s="7" t="s">
        <v>31</v>
      </c>
      <c r="L2007" s="8" t="s">
        <v>13900</v>
      </c>
      <c r="M2007" s="6" t="s">
        <v>13901</v>
      </c>
      <c r="N2007" s="6" t="s">
        <v>34</v>
      </c>
      <c r="O2007" s="8" t="s">
        <v>35</v>
      </c>
      <c r="P2007" s="6" t="s">
        <v>13902</v>
      </c>
      <c r="Q2007" s="6" t="s">
        <v>31</v>
      </c>
      <c r="R2007" s="6" t="s">
        <v>31</v>
      </c>
      <c r="S2007" s="8" t="s">
        <v>13903</v>
      </c>
      <c r="T2007" s="6" t="s">
        <v>38</v>
      </c>
      <c r="U2007" s="8" t="s">
        <v>31</v>
      </c>
      <c r="V2007" s="6" t="s">
        <v>3523</v>
      </c>
      <c r="W2007" s="6" t="s">
        <v>13904</v>
      </c>
      <c r="X2007" s="9" t="str">
        <f>HYPERLINK("https://my.pitchbook.com?p=344857-69P","View People Online")</f>
        <v>View People Online</v>
      </c>
    </row>
    <row r="2008">
      <c r="A2008" s="2" t="s">
        <v>13905</v>
      </c>
      <c r="B2008" s="2" t="s">
        <v>13906</v>
      </c>
      <c r="C2008" s="2" t="s">
        <v>13907</v>
      </c>
      <c r="D2008" s="2" t="s">
        <v>13908</v>
      </c>
      <c r="E2008" s="2" t="s">
        <v>13207</v>
      </c>
      <c r="F2008" s="2" t="s">
        <v>29</v>
      </c>
      <c r="G2008" s="2" t="s">
        <v>13909</v>
      </c>
      <c r="H2008" s="3" t="s">
        <v>31</v>
      </c>
      <c r="I2008" s="3">
        <v>1.0</v>
      </c>
      <c r="J2008" s="3">
        <v>1.0</v>
      </c>
      <c r="K2008" s="3" t="s">
        <v>31</v>
      </c>
      <c r="L2008" s="4" t="s">
        <v>13378</v>
      </c>
      <c r="M2008" s="2" t="s">
        <v>13910</v>
      </c>
      <c r="N2008" s="2" t="s">
        <v>429</v>
      </c>
      <c r="O2008" s="4" t="s">
        <v>430</v>
      </c>
      <c r="P2008" s="2" t="s">
        <v>13380</v>
      </c>
      <c r="Q2008" s="2" t="s">
        <v>31</v>
      </c>
      <c r="R2008" s="2" t="s">
        <v>31</v>
      </c>
      <c r="S2008" s="4" t="s">
        <v>13381</v>
      </c>
      <c r="T2008" s="2" t="s">
        <v>433</v>
      </c>
      <c r="U2008" s="4" t="s">
        <v>13382</v>
      </c>
      <c r="V2008" s="2" t="s">
        <v>29</v>
      </c>
      <c r="W2008" s="2" t="s">
        <v>13207</v>
      </c>
      <c r="X2008" s="5" t="str">
        <f>HYPERLINK("https://my.pitchbook.com?p=456143-50P","View People Online")</f>
        <v>View People Online</v>
      </c>
    </row>
    <row r="2009">
      <c r="A2009" s="14" t="s">
        <v>13911</v>
      </c>
      <c r="B2009" s="14" t="s">
        <v>13912</v>
      </c>
      <c r="C2009" s="14" t="s">
        <v>13913</v>
      </c>
      <c r="D2009" s="14" t="s">
        <v>13914</v>
      </c>
      <c r="E2009" s="14" t="s">
        <v>13207</v>
      </c>
      <c r="F2009" s="14" t="s">
        <v>3523</v>
      </c>
      <c r="G2009" s="14" t="s">
        <v>13915</v>
      </c>
      <c r="H2009" s="15" t="s">
        <v>31</v>
      </c>
      <c r="I2009" s="15">
        <v>1.0</v>
      </c>
      <c r="J2009" s="15">
        <v>1.0</v>
      </c>
      <c r="K2009" s="15" t="s">
        <v>31</v>
      </c>
      <c r="L2009" s="16" t="s">
        <v>13916</v>
      </c>
      <c r="M2009" s="14" t="s">
        <v>13917</v>
      </c>
      <c r="N2009" s="14" t="s">
        <v>155</v>
      </c>
      <c r="O2009" s="16" t="s">
        <v>156</v>
      </c>
      <c r="P2009" s="14" t="s">
        <v>13918</v>
      </c>
      <c r="Q2009" s="14" t="s">
        <v>13919</v>
      </c>
      <c r="R2009" s="14" t="s">
        <v>64</v>
      </c>
      <c r="S2009" s="16" t="s">
        <v>1549</v>
      </c>
      <c r="T2009" s="14" t="s">
        <v>66</v>
      </c>
      <c r="U2009" s="16" t="s">
        <v>13920</v>
      </c>
      <c r="V2009" s="14" t="s">
        <v>3523</v>
      </c>
      <c r="W2009" s="14" t="s">
        <v>13207</v>
      </c>
      <c r="X2009" s="17" t="str">
        <f>HYPERLINK("https://my.pitchbook.com?p=436704-22P","View People Online")</f>
        <v>View People Online</v>
      </c>
    </row>
    <row r="2010">
      <c r="A2010" s="2" t="s">
        <v>13921</v>
      </c>
      <c r="B2010" s="2" t="s">
        <v>13922</v>
      </c>
      <c r="C2010" s="2" t="s">
        <v>13923</v>
      </c>
      <c r="D2010" s="2" t="s">
        <v>13924</v>
      </c>
      <c r="E2010" s="2" t="s">
        <v>13207</v>
      </c>
      <c r="F2010" s="2" t="s">
        <v>3523</v>
      </c>
      <c r="G2010" s="2" t="s">
        <v>13925</v>
      </c>
      <c r="H2010" s="3" t="s">
        <v>31</v>
      </c>
      <c r="I2010" s="3">
        <v>1.0</v>
      </c>
      <c r="J2010" s="3">
        <v>1.0</v>
      </c>
      <c r="K2010" s="3" t="s">
        <v>31</v>
      </c>
      <c r="L2010" s="4" t="s">
        <v>13378</v>
      </c>
      <c r="M2010" s="2" t="s">
        <v>13926</v>
      </c>
      <c r="N2010" s="2" t="s">
        <v>429</v>
      </c>
      <c r="O2010" s="4" t="s">
        <v>430</v>
      </c>
      <c r="P2010" s="2" t="s">
        <v>13380</v>
      </c>
      <c r="Q2010" s="2" t="s">
        <v>31</v>
      </c>
      <c r="R2010" s="2" t="s">
        <v>31</v>
      </c>
      <c r="S2010" s="4" t="s">
        <v>13381</v>
      </c>
      <c r="T2010" s="2" t="s">
        <v>433</v>
      </c>
      <c r="U2010" s="4" t="s">
        <v>13382</v>
      </c>
      <c r="V2010" s="2" t="s">
        <v>3523</v>
      </c>
      <c r="W2010" s="2" t="s">
        <v>13207</v>
      </c>
      <c r="X2010" s="5" t="str">
        <f>HYPERLINK("https://my.pitchbook.com?p=435012-76P","View People Online")</f>
        <v>View People Online</v>
      </c>
    </row>
    <row r="2011">
      <c r="A2011" s="14" t="s">
        <v>13927</v>
      </c>
      <c r="B2011" s="14" t="s">
        <v>13928</v>
      </c>
      <c r="C2011" s="14" t="s">
        <v>13929</v>
      </c>
      <c r="D2011" s="14" t="s">
        <v>13930</v>
      </c>
      <c r="E2011" s="14" t="s">
        <v>13207</v>
      </c>
      <c r="F2011" s="14" t="s">
        <v>3523</v>
      </c>
      <c r="G2011" s="14" t="s">
        <v>13931</v>
      </c>
      <c r="H2011" s="15" t="s">
        <v>31</v>
      </c>
      <c r="I2011" s="15">
        <v>1.0</v>
      </c>
      <c r="J2011" s="15">
        <v>1.0</v>
      </c>
      <c r="K2011" s="15" t="s">
        <v>31</v>
      </c>
      <c r="L2011" s="16" t="s">
        <v>13432</v>
      </c>
      <c r="M2011" s="14" t="s">
        <v>13932</v>
      </c>
      <c r="N2011" s="14" t="s">
        <v>2599</v>
      </c>
      <c r="O2011" s="16" t="s">
        <v>2600</v>
      </c>
      <c r="P2011" s="14" t="s">
        <v>13434</v>
      </c>
      <c r="Q2011" s="14" t="s">
        <v>4235</v>
      </c>
      <c r="R2011" s="14" t="s">
        <v>396</v>
      </c>
      <c r="S2011" s="16" t="s">
        <v>13435</v>
      </c>
      <c r="T2011" s="14" t="s">
        <v>66</v>
      </c>
      <c r="U2011" s="16" t="s">
        <v>13436</v>
      </c>
      <c r="V2011" s="14" t="s">
        <v>3523</v>
      </c>
      <c r="W2011" s="14" t="s">
        <v>13207</v>
      </c>
      <c r="X2011" s="17" t="str">
        <f>HYPERLINK("https://my.pitchbook.com?p=436440-07P","View People Online")</f>
        <v>View People Online</v>
      </c>
    </row>
    <row r="2012">
      <c r="A2012" s="10" t="s">
        <v>13933</v>
      </c>
      <c r="B2012" s="10" t="s">
        <v>13934</v>
      </c>
      <c r="C2012" s="10" t="s">
        <v>4798</v>
      </c>
      <c r="D2012" s="10" t="s">
        <v>6900</v>
      </c>
      <c r="E2012" s="10" t="s">
        <v>13207</v>
      </c>
      <c r="F2012" s="10" t="s">
        <v>13218</v>
      </c>
      <c r="G2012" s="10" t="s">
        <v>13935</v>
      </c>
      <c r="H2012" s="11" t="s">
        <v>31</v>
      </c>
      <c r="I2012" s="11">
        <v>1.0</v>
      </c>
      <c r="J2012" s="11">
        <v>1.0</v>
      </c>
      <c r="K2012" s="11" t="s">
        <v>31</v>
      </c>
      <c r="L2012" s="12" t="s">
        <v>13274</v>
      </c>
      <c r="M2012" s="10" t="s">
        <v>13936</v>
      </c>
      <c r="N2012" s="10" t="s">
        <v>1181</v>
      </c>
      <c r="O2012" s="12" t="s">
        <v>1182</v>
      </c>
      <c r="P2012" s="10" t="s">
        <v>13276</v>
      </c>
      <c r="Q2012" s="10" t="s">
        <v>31</v>
      </c>
      <c r="R2012" s="10" t="s">
        <v>1185</v>
      </c>
      <c r="S2012" s="12" t="s">
        <v>4438</v>
      </c>
      <c r="T2012" s="10" t="s">
        <v>66</v>
      </c>
      <c r="U2012" s="12" t="s">
        <v>13277</v>
      </c>
      <c r="V2012" s="10" t="s">
        <v>13218</v>
      </c>
      <c r="W2012" s="10" t="s">
        <v>13207</v>
      </c>
      <c r="X2012" s="13" t="str">
        <f>HYPERLINK("https://my.pitchbook.com?p=455337-82P","View People Online")</f>
        <v>View People Online</v>
      </c>
    </row>
    <row r="2013">
      <c r="A2013" s="14" t="s">
        <v>13937</v>
      </c>
      <c r="B2013" s="14" t="s">
        <v>13934</v>
      </c>
      <c r="C2013" s="14" t="s">
        <v>4798</v>
      </c>
      <c r="D2013" s="14" t="s">
        <v>6900</v>
      </c>
      <c r="E2013" s="14" t="s">
        <v>13207</v>
      </c>
      <c r="F2013" s="14" t="s">
        <v>3523</v>
      </c>
      <c r="G2013" s="14" t="s">
        <v>13938</v>
      </c>
      <c r="H2013" s="15" t="s">
        <v>31</v>
      </c>
      <c r="I2013" s="15">
        <v>1.0</v>
      </c>
      <c r="J2013" s="15">
        <v>1.0</v>
      </c>
      <c r="K2013" s="15" t="s">
        <v>31</v>
      </c>
      <c r="L2013" s="16" t="s">
        <v>13274</v>
      </c>
      <c r="M2013" s="14" t="s">
        <v>13939</v>
      </c>
      <c r="N2013" s="14" t="s">
        <v>1181</v>
      </c>
      <c r="O2013" s="16" t="s">
        <v>1182</v>
      </c>
      <c r="P2013" s="14" t="s">
        <v>13276</v>
      </c>
      <c r="Q2013" s="14" t="s">
        <v>31</v>
      </c>
      <c r="R2013" s="14" t="s">
        <v>1185</v>
      </c>
      <c r="S2013" s="16" t="s">
        <v>4438</v>
      </c>
      <c r="T2013" s="14" t="s">
        <v>66</v>
      </c>
      <c r="U2013" s="16" t="s">
        <v>13277</v>
      </c>
      <c r="V2013" s="14" t="s">
        <v>3523</v>
      </c>
      <c r="W2013" s="14" t="s">
        <v>13207</v>
      </c>
      <c r="X2013" s="17" t="str">
        <f>HYPERLINK("https://my.pitchbook.com?p=456100-03P","View People Online")</f>
        <v>View People Online</v>
      </c>
    </row>
    <row r="2014">
      <c r="A2014" s="2" t="s">
        <v>13940</v>
      </c>
      <c r="B2014" s="2" t="s">
        <v>13941</v>
      </c>
      <c r="C2014" s="2" t="s">
        <v>4798</v>
      </c>
      <c r="D2014" s="2" t="s">
        <v>13942</v>
      </c>
      <c r="E2014" s="2" t="s">
        <v>13207</v>
      </c>
      <c r="F2014" s="2" t="s">
        <v>13307</v>
      </c>
      <c r="G2014" s="2" t="s">
        <v>13943</v>
      </c>
      <c r="H2014" s="3" t="s">
        <v>31</v>
      </c>
      <c r="I2014" s="3">
        <v>1.0</v>
      </c>
      <c r="J2014" s="3">
        <v>1.0</v>
      </c>
      <c r="K2014" s="3" t="s">
        <v>31</v>
      </c>
      <c r="L2014" s="4" t="s">
        <v>13274</v>
      </c>
      <c r="M2014" s="2" t="s">
        <v>13944</v>
      </c>
      <c r="N2014" s="2" t="s">
        <v>1181</v>
      </c>
      <c r="O2014" s="4" t="s">
        <v>1182</v>
      </c>
      <c r="P2014" s="2" t="s">
        <v>13276</v>
      </c>
      <c r="Q2014" s="2" t="s">
        <v>31</v>
      </c>
      <c r="R2014" s="2" t="s">
        <v>1185</v>
      </c>
      <c r="S2014" s="4" t="s">
        <v>4438</v>
      </c>
      <c r="T2014" s="2" t="s">
        <v>66</v>
      </c>
      <c r="U2014" s="4" t="s">
        <v>13277</v>
      </c>
      <c r="V2014" s="2" t="s">
        <v>13317</v>
      </c>
      <c r="W2014" s="2" t="s">
        <v>13207</v>
      </c>
      <c r="X2014" s="5" t="str">
        <f>HYPERLINK("https://my.pitchbook.com?p=435757-96P","View People Online")</f>
        <v>View People Online</v>
      </c>
    </row>
    <row r="2015">
      <c r="A2015" s="14" t="s">
        <v>13945</v>
      </c>
      <c r="B2015" s="14" t="s">
        <v>13946</v>
      </c>
      <c r="C2015" s="14" t="s">
        <v>5707</v>
      </c>
      <c r="D2015" s="14" t="s">
        <v>389</v>
      </c>
      <c r="E2015" s="14" t="s">
        <v>13207</v>
      </c>
      <c r="F2015" s="14" t="s">
        <v>3523</v>
      </c>
      <c r="G2015" s="14" t="s">
        <v>13947</v>
      </c>
      <c r="H2015" s="15" t="s">
        <v>31</v>
      </c>
      <c r="I2015" s="15">
        <v>1.0</v>
      </c>
      <c r="J2015" s="15">
        <v>1.0</v>
      </c>
      <c r="K2015" s="15" t="s">
        <v>31</v>
      </c>
      <c r="L2015" s="16" t="s">
        <v>13231</v>
      </c>
      <c r="M2015" s="14" t="s">
        <v>13948</v>
      </c>
      <c r="N2015" s="14" t="s">
        <v>1203</v>
      </c>
      <c r="O2015" s="16" t="s">
        <v>1204</v>
      </c>
      <c r="P2015" s="14" t="s">
        <v>13233</v>
      </c>
      <c r="Q2015" s="14" t="s">
        <v>13234</v>
      </c>
      <c r="R2015" s="14" t="s">
        <v>1207</v>
      </c>
      <c r="S2015" s="16" t="s">
        <v>13235</v>
      </c>
      <c r="T2015" s="14" t="s">
        <v>1209</v>
      </c>
      <c r="U2015" s="16" t="s">
        <v>31</v>
      </c>
      <c r="V2015" s="14" t="s">
        <v>3523</v>
      </c>
      <c r="W2015" s="14" t="s">
        <v>13207</v>
      </c>
      <c r="X2015" s="17" t="str">
        <f>HYPERLINK("https://my.pitchbook.com?p=436224-88P","View People Online")</f>
        <v>View People Online</v>
      </c>
    </row>
    <row r="2016">
      <c r="A2016" s="10" t="s">
        <v>13949</v>
      </c>
      <c r="B2016" s="10" t="s">
        <v>13950</v>
      </c>
      <c r="C2016" s="10" t="s">
        <v>4731</v>
      </c>
      <c r="D2016" s="10" t="s">
        <v>13951</v>
      </c>
      <c r="E2016" s="10" t="s">
        <v>13207</v>
      </c>
      <c r="F2016" s="10" t="s">
        <v>29</v>
      </c>
      <c r="G2016" s="10" t="s">
        <v>13952</v>
      </c>
      <c r="H2016" s="11" t="s">
        <v>31</v>
      </c>
      <c r="I2016" s="11">
        <v>1.0</v>
      </c>
      <c r="J2016" s="11">
        <v>1.0</v>
      </c>
      <c r="K2016" s="11" t="s">
        <v>31</v>
      </c>
      <c r="L2016" s="12" t="s">
        <v>13953</v>
      </c>
      <c r="M2016" s="10" t="s">
        <v>13954</v>
      </c>
      <c r="N2016" s="10" t="s">
        <v>1170</v>
      </c>
      <c r="O2016" s="12" t="s">
        <v>1171</v>
      </c>
      <c r="P2016" s="10" t="s">
        <v>13955</v>
      </c>
      <c r="Q2016" s="10" t="s">
        <v>13956</v>
      </c>
      <c r="R2016" s="10" t="s">
        <v>64</v>
      </c>
      <c r="S2016" s="12" t="s">
        <v>13957</v>
      </c>
      <c r="T2016" s="10" t="s">
        <v>66</v>
      </c>
      <c r="U2016" s="12" t="s">
        <v>13958</v>
      </c>
      <c r="V2016" s="10" t="s">
        <v>29</v>
      </c>
      <c r="W2016" s="10" t="s">
        <v>13207</v>
      </c>
      <c r="X2016" s="13" t="str">
        <f>HYPERLINK("https://my.pitchbook.com?p=456430-96P","View People Online")</f>
        <v>View People Online</v>
      </c>
    </row>
    <row r="2017">
      <c r="A2017" s="6" t="s">
        <v>13959</v>
      </c>
      <c r="B2017" s="6" t="s">
        <v>13960</v>
      </c>
      <c r="C2017" s="6" t="s">
        <v>654</v>
      </c>
      <c r="D2017" s="6" t="s">
        <v>13961</v>
      </c>
      <c r="E2017" s="6" t="s">
        <v>13207</v>
      </c>
      <c r="F2017" s="6" t="s">
        <v>3523</v>
      </c>
      <c r="G2017" s="6" t="s">
        <v>13962</v>
      </c>
      <c r="H2017" s="7" t="s">
        <v>31</v>
      </c>
      <c r="I2017" s="7">
        <v>1.0</v>
      </c>
      <c r="J2017" s="7">
        <v>1.0</v>
      </c>
      <c r="K2017" s="7" t="s">
        <v>31</v>
      </c>
      <c r="L2017" s="8" t="s">
        <v>13963</v>
      </c>
      <c r="M2017" s="6" t="s">
        <v>13964</v>
      </c>
      <c r="N2017" s="6" t="s">
        <v>13965</v>
      </c>
      <c r="O2017" s="8" t="s">
        <v>13966</v>
      </c>
      <c r="P2017" s="6" t="s">
        <v>13967</v>
      </c>
      <c r="Q2017" s="6" t="s">
        <v>13968</v>
      </c>
      <c r="R2017" s="6" t="s">
        <v>31</v>
      </c>
      <c r="S2017" s="8" t="s">
        <v>31</v>
      </c>
      <c r="T2017" s="6" t="s">
        <v>13969</v>
      </c>
      <c r="U2017" s="8" t="s">
        <v>31</v>
      </c>
      <c r="V2017" s="6" t="s">
        <v>3523</v>
      </c>
      <c r="W2017" s="6" t="s">
        <v>13207</v>
      </c>
      <c r="X2017" s="9" t="str">
        <f>HYPERLINK("https://my.pitchbook.com?p=435212-83P","View People Online")</f>
        <v>View People Online</v>
      </c>
    </row>
    <row r="2018">
      <c r="A2018" s="10" t="s">
        <v>13970</v>
      </c>
      <c r="B2018" s="10" t="s">
        <v>13971</v>
      </c>
      <c r="C2018" s="10" t="s">
        <v>654</v>
      </c>
      <c r="D2018" s="10" t="s">
        <v>942</v>
      </c>
      <c r="E2018" s="10" t="s">
        <v>13207</v>
      </c>
      <c r="F2018" s="10" t="s">
        <v>1283</v>
      </c>
      <c r="G2018" s="10" t="s">
        <v>13972</v>
      </c>
      <c r="H2018" s="11" t="s">
        <v>31</v>
      </c>
      <c r="I2018" s="11">
        <v>1.0</v>
      </c>
      <c r="J2018" s="11">
        <v>1.0</v>
      </c>
      <c r="K2018" s="11" t="s">
        <v>31</v>
      </c>
      <c r="L2018" s="12" t="s">
        <v>13766</v>
      </c>
      <c r="M2018" s="10" t="s">
        <v>13973</v>
      </c>
      <c r="N2018" s="10" t="s">
        <v>13768</v>
      </c>
      <c r="O2018" s="12" t="s">
        <v>13769</v>
      </c>
      <c r="P2018" s="10" t="s">
        <v>13770</v>
      </c>
      <c r="Q2018" s="10" t="s">
        <v>13771</v>
      </c>
      <c r="R2018" s="10" t="s">
        <v>31</v>
      </c>
      <c r="S2018" s="12" t="s">
        <v>13772</v>
      </c>
      <c r="T2018" s="10" t="s">
        <v>13773</v>
      </c>
      <c r="U2018" s="12" t="s">
        <v>31</v>
      </c>
      <c r="V2018" s="10" t="s">
        <v>13974</v>
      </c>
      <c r="W2018" s="10" t="s">
        <v>13207</v>
      </c>
      <c r="X2018" s="13" t="str">
        <f>HYPERLINK("https://my.pitchbook.com?p=456077-44P","View People Online")</f>
        <v>View People Online</v>
      </c>
    </row>
    <row r="2019">
      <c r="A2019" s="14" t="s">
        <v>13975</v>
      </c>
      <c r="B2019" s="14" t="s">
        <v>13976</v>
      </c>
      <c r="C2019" s="14" t="s">
        <v>13977</v>
      </c>
      <c r="D2019" s="14" t="s">
        <v>13978</v>
      </c>
      <c r="E2019" s="14" t="s">
        <v>13207</v>
      </c>
      <c r="F2019" s="14" t="s">
        <v>3523</v>
      </c>
      <c r="G2019" s="14" t="s">
        <v>13979</v>
      </c>
      <c r="H2019" s="15" t="s">
        <v>31</v>
      </c>
      <c r="I2019" s="15">
        <v>1.0</v>
      </c>
      <c r="J2019" s="15">
        <v>1.0</v>
      </c>
      <c r="K2019" s="15" t="s">
        <v>31</v>
      </c>
      <c r="L2019" s="16" t="s">
        <v>13549</v>
      </c>
      <c r="M2019" s="14" t="s">
        <v>13980</v>
      </c>
      <c r="N2019" s="14" t="s">
        <v>794</v>
      </c>
      <c r="O2019" s="16" t="s">
        <v>795</v>
      </c>
      <c r="P2019" s="14" t="s">
        <v>13551</v>
      </c>
      <c r="Q2019" s="14" t="s">
        <v>13552</v>
      </c>
      <c r="R2019" s="14" t="s">
        <v>31</v>
      </c>
      <c r="S2019" s="16" t="s">
        <v>13553</v>
      </c>
      <c r="T2019" s="14" t="s">
        <v>796</v>
      </c>
      <c r="U2019" s="16" t="s">
        <v>13554</v>
      </c>
      <c r="V2019" s="14" t="s">
        <v>3523</v>
      </c>
      <c r="W2019" s="14" t="s">
        <v>13207</v>
      </c>
      <c r="X2019" s="17" t="str">
        <f>HYPERLINK("https://my.pitchbook.com?p=436393-54P","View People Online")</f>
        <v>View People Online</v>
      </c>
    </row>
    <row r="2020">
      <c r="A2020" s="2" t="s">
        <v>13981</v>
      </c>
      <c r="B2020" s="2" t="s">
        <v>13982</v>
      </c>
      <c r="C2020" s="2" t="s">
        <v>13983</v>
      </c>
      <c r="D2020" s="2" t="s">
        <v>13984</v>
      </c>
      <c r="E2020" s="2" t="s">
        <v>13207</v>
      </c>
      <c r="F2020" s="2" t="s">
        <v>13218</v>
      </c>
      <c r="G2020" s="2" t="s">
        <v>13985</v>
      </c>
      <c r="H2020" s="3" t="s">
        <v>31</v>
      </c>
      <c r="I2020" s="3">
        <v>1.0</v>
      </c>
      <c r="J2020" s="3">
        <v>1.0</v>
      </c>
      <c r="K2020" s="3" t="s">
        <v>31</v>
      </c>
      <c r="L2020" s="4" t="s">
        <v>13423</v>
      </c>
      <c r="M2020" s="2" t="s">
        <v>13986</v>
      </c>
      <c r="N2020" s="2" t="s">
        <v>243</v>
      </c>
      <c r="O2020" s="4" t="s">
        <v>244</v>
      </c>
      <c r="P2020" s="2" t="s">
        <v>13425</v>
      </c>
      <c r="Q2020" s="2" t="s">
        <v>31</v>
      </c>
      <c r="R2020" s="2" t="s">
        <v>247</v>
      </c>
      <c r="S2020" s="4" t="s">
        <v>13426</v>
      </c>
      <c r="T2020" s="2" t="s">
        <v>249</v>
      </c>
      <c r="U2020" s="4" t="s">
        <v>31</v>
      </c>
      <c r="V2020" s="2" t="s">
        <v>13218</v>
      </c>
      <c r="W2020" s="2" t="s">
        <v>13207</v>
      </c>
      <c r="X2020" s="5" t="str">
        <f>HYPERLINK("https://my.pitchbook.com?p=456383-08P","View People Online")</f>
        <v>View People Online</v>
      </c>
    </row>
    <row r="2021">
      <c r="A2021" s="14" t="s">
        <v>13987</v>
      </c>
      <c r="B2021" s="14" t="s">
        <v>13988</v>
      </c>
      <c r="C2021" s="14" t="s">
        <v>13983</v>
      </c>
      <c r="D2021" s="14" t="s">
        <v>13989</v>
      </c>
      <c r="E2021" s="14" t="s">
        <v>13207</v>
      </c>
      <c r="F2021" s="14" t="s">
        <v>13218</v>
      </c>
      <c r="G2021" s="14" t="s">
        <v>13990</v>
      </c>
      <c r="H2021" s="15" t="s">
        <v>31</v>
      </c>
      <c r="I2021" s="15">
        <v>1.0</v>
      </c>
      <c r="J2021" s="15">
        <v>1.0</v>
      </c>
      <c r="K2021" s="15" t="s">
        <v>31</v>
      </c>
      <c r="L2021" s="16" t="s">
        <v>13743</v>
      </c>
      <c r="M2021" s="14" t="s">
        <v>13991</v>
      </c>
      <c r="N2021" s="14" t="s">
        <v>1034</v>
      </c>
      <c r="O2021" s="16" t="s">
        <v>1035</v>
      </c>
      <c r="P2021" s="14" t="s">
        <v>13745</v>
      </c>
      <c r="Q2021" s="14" t="s">
        <v>13746</v>
      </c>
      <c r="R2021" s="14" t="s">
        <v>31</v>
      </c>
      <c r="S2021" s="16" t="s">
        <v>13747</v>
      </c>
      <c r="T2021" s="14" t="s">
        <v>1034</v>
      </c>
      <c r="U2021" s="16" t="s">
        <v>13748</v>
      </c>
      <c r="V2021" s="14" t="s">
        <v>13218</v>
      </c>
      <c r="W2021" s="14" t="s">
        <v>13207</v>
      </c>
      <c r="X2021" s="17" t="str">
        <f>HYPERLINK("https://my.pitchbook.com?p=435316-24P","View People Online")</f>
        <v>View People Online</v>
      </c>
    </row>
    <row r="2022">
      <c r="A2022" s="10" t="s">
        <v>13992</v>
      </c>
      <c r="B2022" s="10" t="s">
        <v>13993</v>
      </c>
      <c r="C2022" s="10" t="s">
        <v>13994</v>
      </c>
      <c r="D2022" s="10" t="s">
        <v>13995</v>
      </c>
      <c r="E2022" s="10" t="s">
        <v>13207</v>
      </c>
      <c r="F2022" s="10" t="s">
        <v>3523</v>
      </c>
      <c r="G2022" s="10" t="s">
        <v>13996</v>
      </c>
      <c r="H2022" s="11" t="s">
        <v>31</v>
      </c>
      <c r="I2022" s="11">
        <v>1.0</v>
      </c>
      <c r="J2022" s="11">
        <v>1.0</v>
      </c>
      <c r="K2022" s="11" t="s">
        <v>31</v>
      </c>
      <c r="L2022" s="12" t="s">
        <v>13743</v>
      </c>
      <c r="M2022" s="10" t="s">
        <v>13997</v>
      </c>
      <c r="N2022" s="10" t="s">
        <v>1034</v>
      </c>
      <c r="O2022" s="12" t="s">
        <v>1035</v>
      </c>
      <c r="P2022" s="10" t="s">
        <v>13745</v>
      </c>
      <c r="Q2022" s="10" t="s">
        <v>13746</v>
      </c>
      <c r="R2022" s="10" t="s">
        <v>31</v>
      </c>
      <c r="S2022" s="12" t="s">
        <v>13747</v>
      </c>
      <c r="T2022" s="10" t="s">
        <v>1034</v>
      </c>
      <c r="U2022" s="12" t="s">
        <v>13748</v>
      </c>
      <c r="V2022" s="10" t="s">
        <v>3523</v>
      </c>
      <c r="W2022" s="10" t="s">
        <v>13207</v>
      </c>
      <c r="X2022" s="13" t="str">
        <f>HYPERLINK("https://my.pitchbook.com?p=455593-24P","View People Online")</f>
        <v>View People Online</v>
      </c>
    </row>
    <row r="2023">
      <c r="A2023" s="6" t="s">
        <v>13998</v>
      </c>
      <c r="B2023" s="6" t="s">
        <v>13999</v>
      </c>
      <c r="C2023" s="6" t="s">
        <v>14000</v>
      </c>
      <c r="D2023" s="6" t="s">
        <v>14001</v>
      </c>
      <c r="E2023" s="6" t="s">
        <v>13207</v>
      </c>
      <c r="F2023" s="6" t="s">
        <v>3523</v>
      </c>
      <c r="G2023" s="6" t="s">
        <v>14002</v>
      </c>
      <c r="H2023" s="7" t="s">
        <v>31</v>
      </c>
      <c r="I2023" s="7">
        <v>1.0</v>
      </c>
      <c r="J2023" s="7">
        <v>1.0</v>
      </c>
      <c r="K2023" s="7" t="s">
        <v>31</v>
      </c>
      <c r="L2023" s="8" t="s">
        <v>13888</v>
      </c>
      <c r="M2023" s="6" t="s">
        <v>14003</v>
      </c>
      <c r="N2023" s="6" t="s">
        <v>13890</v>
      </c>
      <c r="O2023" s="8" t="s">
        <v>13891</v>
      </c>
      <c r="P2023" s="6" t="s">
        <v>13892</v>
      </c>
      <c r="Q2023" s="6" t="s">
        <v>31</v>
      </c>
      <c r="R2023" s="6" t="s">
        <v>31</v>
      </c>
      <c r="S2023" s="8" t="s">
        <v>13893</v>
      </c>
      <c r="T2023" s="6" t="s">
        <v>13894</v>
      </c>
      <c r="U2023" s="8" t="s">
        <v>31</v>
      </c>
      <c r="V2023" s="6" t="s">
        <v>3523</v>
      </c>
      <c r="W2023" s="6" t="s">
        <v>13207</v>
      </c>
      <c r="X2023" s="9" t="str">
        <f>HYPERLINK("https://my.pitchbook.com?p=90592-21P","View People Online")</f>
        <v>View People Online</v>
      </c>
    </row>
    <row r="2024">
      <c r="A2024" s="10" t="s">
        <v>14004</v>
      </c>
      <c r="B2024" s="10" t="s">
        <v>14005</v>
      </c>
      <c r="C2024" s="10" t="s">
        <v>8435</v>
      </c>
      <c r="D2024" s="10" t="s">
        <v>14006</v>
      </c>
      <c r="E2024" s="10" t="s">
        <v>13207</v>
      </c>
      <c r="F2024" s="10" t="s">
        <v>3523</v>
      </c>
      <c r="G2024" s="10" t="s">
        <v>14007</v>
      </c>
      <c r="H2024" s="11" t="s">
        <v>31</v>
      </c>
      <c r="I2024" s="11">
        <v>1.0</v>
      </c>
      <c r="J2024" s="11">
        <v>1.0</v>
      </c>
      <c r="K2024" s="11" t="s">
        <v>31</v>
      </c>
      <c r="L2024" s="12" t="s">
        <v>13423</v>
      </c>
      <c r="M2024" s="10" t="s">
        <v>14008</v>
      </c>
      <c r="N2024" s="10" t="s">
        <v>243</v>
      </c>
      <c r="O2024" s="12" t="s">
        <v>244</v>
      </c>
      <c r="P2024" s="10" t="s">
        <v>13425</v>
      </c>
      <c r="Q2024" s="10" t="s">
        <v>31</v>
      </c>
      <c r="R2024" s="10" t="s">
        <v>247</v>
      </c>
      <c r="S2024" s="12" t="s">
        <v>13426</v>
      </c>
      <c r="T2024" s="10" t="s">
        <v>249</v>
      </c>
      <c r="U2024" s="12" t="s">
        <v>31</v>
      </c>
      <c r="V2024" s="10" t="s">
        <v>3523</v>
      </c>
      <c r="W2024" s="10" t="s">
        <v>13207</v>
      </c>
      <c r="X2024" s="13" t="str">
        <f>HYPERLINK("https://my.pitchbook.com?p=435171-43P","View People Online")</f>
        <v>View People Online</v>
      </c>
    </row>
    <row r="2025">
      <c r="A2025" s="14" t="s">
        <v>14009</v>
      </c>
      <c r="B2025" s="14" t="s">
        <v>14010</v>
      </c>
      <c r="C2025" s="14" t="s">
        <v>14011</v>
      </c>
      <c r="D2025" s="14" t="s">
        <v>14012</v>
      </c>
      <c r="E2025" s="14" t="s">
        <v>13207</v>
      </c>
      <c r="F2025" s="14" t="s">
        <v>3523</v>
      </c>
      <c r="G2025" s="14" t="s">
        <v>14013</v>
      </c>
      <c r="H2025" s="15" t="s">
        <v>31</v>
      </c>
      <c r="I2025" s="15">
        <v>1.0</v>
      </c>
      <c r="J2025" s="15">
        <v>1.0</v>
      </c>
      <c r="K2025" s="15" t="s">
        <v>31</v>
      </c>
      <c r="L2025" s="16" t="s">
        <v>14014</v>
      </c>
      <c r="M2025" s="14" t="s">
        <v>14015</v>
      </c>
      <c r="N2025" s="14" t="s">
        <v>14016</v>
      </c>
      <c r="O2025" s="16" t="s">
        <v>14017</v>
      </c>
      <c r="P2025" s="14" t="s">
        <v>14018</v>
      </c>
      <c r="Q2025" s="14" t="s">
        <v>14019</v>
      </c>
      <c r="R2025" s="14" t="s">
        <v>31</v>
      </c>
      <c r="S2025" s="16" t="s">
        <v>14020</v>
      </c>
      <c r="T2025" s="14" t="s">
        <v>38</v>
      </c>
      <c r="U2025" s="16" t="s">
        <v>14014</v>
      </c>
      <c r="V2025" s="14" t="s">
        <v>3523</v>
      </c>
      <c r="W2025" s="14" t="s">
        <v>13207</v>
      </c>
      <c r="X2025" s="17" t="str">
        <f>HYPERLINK("https://my.pitchbook.com?p=435160-90P","View People Online")</f>
        <v>View People Online</v>
      </c>
    </row>
    <row r="2026">
      <c r="A2026" s="2" t="s">
        <v>14021</v>
      </c>
      <c r="B2026" s="2" t="s">
        <v>14022</v>
      </c>
      <c r="C2026" s="2" t="s">
        <v>10730</v>
      </c>
      <c r="D2026" s="2" t="s">
        <v>14023</v>
      </c>
      <c r="E2026" s="2" t="s">
        <v>13207</v>
      </c>
      <c r="F2026" s="2" t="s">
        <v>13218</v>
      </c>
      <c r="G2026" s="2" t="s">
        <v>14024</v>
      </c>
      <c r="H2026" s="3" t="s">
        <v>31</v>
      </c>
      <c r="I2026" s="3">
        <v>1.0</v>
      </c>
      <c r="J2026" s="3">
        <v>1.0</v>
      </c>
      <c r="K2026" s="3" t="s">
        <v>31</v>
      </c>
      <c r="L2026" s="4" t="s">
        <v>13916</v>
      </c>
      <c r="M2026" s="2" t="s">
        <v>14025</v>
      </c>
      <c r="N2026" s="2" t="s">
        <v>155</v>
      </c>
      <c r="O2026" s="4" t="s">
        <v>156</v>
      </c>
      <c r="P2026" s="2" t="s">
        <v>13918</v>
      </c>
      <c r="Q2026" s="2" t="s">
        <v>13919</v>
      </c>
      <c r="R2026" s="2" t="s">
        <v>64</v>
      </c>
      <c r="S2026" s="4" t="s">
        <v>1549</v>
      </c>
      <c r="T2026" s="2" t="s">
        <v>66</v>
      </c>
      <c r="U2026" s="4" t="s">
        <v>13920</v>
      </c>
      <c r="V2026" s="2" t="s">
        <v>13218</v>
      </c>
      <c r="W2026" s="2" t="s">
        <v>13207</v>
      </c>
      <c r="X2026" s="5" t="str">
        <f>HYPERLINK("https://my.pitchbook.com?p=389088-46P","View People Online")</f>
        <v>View People Online</v>
      </c>
    </row>
    <row r="2027">
      <c r="A2027" s="6" t="s">
        <v>14026</v>
      </c>
      <c r="B2027" s="6" t="s">
        <v>14027</v>
      </c>
      <c r="C2027" s="6" t="s">
        <v>10730</v>
      </c>
      <c r="D2027" s="6" t="s">
        <v>14028</v>
      </c>
      <c r="E2027" s="6" t="s">
        <v>13207</v>
      </c>
      <c r="F2027" s="6" t="s">
        <v>13218</v>
      </c>
      <c r="G2027" s="6" t="s">
        <v>14029</v>
      </c>
      <c r="H2027" s="7" t="s">
        <v>31</v>
      </c>
      <c r="I2027" s="7">
        <v>1.0</v>
      </c>
      <c r="J2027" s="7">
        <v>1.0</v>
      </c>
      <c r="K2027" s="7" t="s">
        <v>31</v>
      </c>
      <c r="L2027" s="8" t="s">
        <v>13345</v>
      </c>
      <c r="M2027" s="6" t="s">
        <v>14030</v>
      </c>
      <c r="N2027" s="6" t="s">
        <v>2764</v>
      </c>
      <c r="O2027" s="8" t="s">
        <v>2765</v>
      </c>
      <c r="P2027" s="6" t="s">
        <v>13347</v>
      </c>
      <c r="Q2027" s="6" t="s">
        <v>31</v>
      </c>
      <c r="R2027" s="6" t="s">
        <v>31</v>
      </c>
      <c r="S2027" s="8" t="s">
        <v>13348</v>
      </c>
      <c r="T2027" s="6" t="s">
        <v>2768</v>
      </c>
      <c r="U2027" s="8" t="s">
        <v>13349</v>
      </c>
      <c r="V2027" s="6" t="s">
        <v>13218</v>
      </c>
      <c r="W2027" s="6" t="s">
        <v>13207</v>
      </c>
      <c r="X2027" s="9" t="str">
        <f>HYPERLINK("https://my.pitchbook.com?p=456686-92P","View People Online")</f>
        <v>View People Online</v>
      </c>
    </row>
    <row r="2028">
      <c r="A2028" s="10" t="s">
        <v>14031</v>
      </c>
      <c r="B2028" s="10" t="s">
        <v>14032</v>
      </c>
      <c r="C2028" s="10" t="s">
        <v>10730</v>
      </c>
      <c r="D2028" s="10" t="s">
        <v>14033</v>
      </c>
      <c r="E2028" s="10" t="s">
        <v>13207</v>
      </c>
      <c r="F2028" s="10" t="s">
        <v>13218</v>
      </c>
      <c r="G2028" s="10" t="s">
        <v>14034</v>
      </c>
      <c r="H2028" s="11" t="s">
        <v>31</v>
      </c>
      <c r="I2028" s="11">
        <v>1.0</v>
      </c>
      <c r="J2028" s="11">
        <v>1.0</v>
      </c>
      <c r="K2028" s="11" t="s">
        <v>31</v>
      </c>
      <c r="L2028" s="12" t="s">
        <v>13673</v>
      </c>
      <c r="M2028" s="10" t="s">
        <v>14035</v>
      </c>
      <c r="N2028" s="10" t="s">
        <v>6311</v>
      </c>
      <c r="O2028" s="12" t="s">
        <v>6312</v>
      </c>
      <c r="P2028" s="10" t="s">
        <v>13675</v>
      </c>
      <c r="Q2028" s="10" t="s">
        <v>31</v>
      </c>
      <c r="R2028" s="10" t="s">
        <v>31</v>
      </c>
      <c r="S2028" s="12" t="s">
        <v>13676</v>
      </c>
      <c r="T2028" s="10" t="s">
        <v>6315</v>
      </c>
      <c r="U2028" s="12" t="s">
        <v>13677</v>
      </c>
      <c r="V2028" s="10" t="s">
        <v>13218</v>
      </c>
      <c r="W2028" s="10" t="s">
        <v>13207</v>
      </c>
      <c r="X2028" s="13" t="str">
        <f>HYPERLINK("https://my.pitchbook.com?p=456277-42P","View People Online")</f>
        <v>View People Online</v>
      </c>
    </row>
    <row r="2029">
      <c r="A2029" s="14" t="s">
        <v>14036</v>
      </c>
      <c r="B2029" s="14" t="s">
        <v>14037</v>
      </c>
      <c r="C2029" s="14" t="s">
        <v>14038</v>
      </c>
      <c r="D2029" s="14" t="s">
        <v>243</v>
      </c>
      <c r="E2029" s="14" t="s">
        <v>13207</v>
      </c>
      <c r="F2029" s="14" t="s">
        <v>1283</v>
      </c>
      <c r="G2029" s="14" t="s">
        <v>14039</v>
      </c>
      <c r="H2029" s="15" t="s">
        <v>31</v>
      </c>
      <c r="I2029" s="15">
        <v>1.0</v>
      </c>
      <c r="J2029" s="15">
        <v>1.0</v>
      </c>
      <c r="K2029" s="15" t="s">
        <v>31</v>
      </c>
      <c r="L2029" s="16" t="s">
        <v>13632</v>
      </c>
      <c r="M2029" s="14" t="s">
        <v>14040</v>
      </c>
      <c r="N2029" s="14" t="s">
        <v>7690</v>
      </c>
      <c r="O2029" s="16" t="s">
        <v>7691</v>
      </c>
      <c r="P2029" s="14" t="s">
        <v>13634</v>
      </c>
      <c r="Q2029" s="14" t="s">
        <v>13635</v>
      </c>
      <c r="R2029" s="14" t="s">
        <v>7693</v>
      </c>
      <c r="S2029" s="16" t="s">
        <v>13636</v>
      </c>
      <c r="T2029" s="14" t="s">
        <v>66</v>
      </c>
      <c r="U2029" s="16" t="s">
        <v>13637</v>
      </c>
      <c r="V2029" s="14" t="s">
        <v>1283</v>
      </c>
      <c r="W2029" s="14" t="s">
        <v>13207</v>
      </c>
      <c r="X2029" s="17" t="str">
        <f>HYPERLINK("https://my.pitchbook.com?p=435219-85P","View People Online")</f>
        <v>View People Online</v>
      </c>
    </row>
    <row r="2030">
      <c r="A2030" s="2" t="s">
        <v>14041</v>
      </c>
      <c r="B2030" s="2" t="s">
        <v>14042</v>
      </c>
      <c r="C2030" s="2" t="s">
        <v>2650</v>
      </c>
      <c r="D2030" s="2" t="s">
        <v>14043</v>
      </c>
      <c r="E2030" s="2" t="s">
        <v>13207</v>
      </c>
      <c r="F2030" s="2" t="s">
        <v>3523</v>
      </c>
      <c r="G2030" s="2" t="s">
        <v>14044</v>
      </c>
      <c r="H2030" s="3" t="s">
        <v>31</v>
      </c>
      <c r="I2030" s="3">
        <v>1.0</v>
      </c>
      <c r="J2030" s="3">
        <v>1.0</v>
      </c>
      <c r="K2030" s="3" t="s">
        <v>31</v>
      </c>
      <c r="L2030" s="4" t="s">
        <v>13531</v>
      </c>
      <c r="M2030" s="2" t="s">
        <v>14045</v>
      </c>
      <c r="N2030" s="2" t="s">
        <v>2273</v>
      </c>
      <c r="O2030" s="4" t="s">
        <v>2274</v>
      </c>
      <c r="P2030" s="2" t="s">
        <v>13533</v>
      </c>
      <c r="Q2030" s="2" t="s">
        <v>31</v>
      </c>
      <c r="R2030" s="2" t="s">
        <v>31</v>
      </c>
      <c r="S2030" s="4" t="s">
        <v>13534</v>
      </c>
      <c r="T2030" s="2" t="s">
        <v>2278</v>
      </c>
      <c r="U2030" s="4" t="s">
        <v>13535</v>
      </c>
      <c r="V2030" s="2" t="s">
        <v>3523</v>
      </c>
      <c r="W2030" s="2" t="s">
        <v>13207</v>
      </c>
      <c r="X2030" s="5" t="str">
        <f>HYPERLINK("https://my.pitchbook.com?p=455965-30P","View People Online")</f>
        <v>View People Online</v>
      </c>
    </row>
    <row r="2031">
      <c r="A2031" s="14" t="s">
        <v>14046</v>
      </c>
      <c r="B2031" s="14" t="s">
        <v>14047</v>
      </c>
      <c r="C2031" s="14" t="s">
        <v>2650</v>
      </c>
      <c r="D2031" s="14" t="s">
        <v>14048</v>
      </c>
      <c r="E2031" s="14" t="s">
        <v>13207</v>
      </c>
      <c r="F2031" s="14" t="s">
        <v>13218</v>
      </c>
      <c r="G2031" s="14" t="s">
        <v>14049</v>
      </c>
      <c r="H2031" s="15" t="s">
        <v>31</v>
      </c>
      <c r="I2031" s="15">
        <v>1.0</v>
      </c>
      <c r="J2031" s="15">
        <v>1.0</v>
      </c>
      <c r="K2031" s="15" t="s">
        <v>31</v>
      </c>
      <c r="L2031" s="16" t="s">
        <v>14050</v>
      </c>
      <c r="M2031" s="14" t="s">
        <v>14051</v>
      </c>
      <c r="N2031" s="14" t="s">
        <v>14052</v>
      </c>
      <c r="O2031" s="16" t="s">
        <v>14053</v>
      </c>
      <c r="P2031" s="14" t="s">
        <v>14054</v>
      </c>
      <c r="Q2031" s="14" t="s">
        <v>14055</v>
      </c>
      <c r="R2031" s="14" t="s">
        <v>31</v>
      </c>
      <c r="S2031" s="16" t="s">
        <v>14056</v>
      </c>
      <c r="T2031" s="14" t="s">
        <v>13773</v>
      </c>
      <c r="U2031" s="16" t="s">
        <v>14057</v>
      </c>
      <c r="V2031" s="14" t="s">
        <v>13218</v>
      </c>
      <c r="W2031" s="14" t="s">
        <v>13207</v>
      </c>
      <c r="X2031" s="17" t="str">
        <f>HYPERLINK("https://my.pitchbook.com?p=435434-77P","View People Online")</f>
        <v>View People Online</v>
      </c>
    </row>
    <row r="2032">
      <c r="A2032" s="10" t="s">
        <v>14058</v>
      </c>
      <c r="B2032" s="10" t="s">
        <v>14059</v>
      </c>
      <c r="C2032" s="10" t="s">
        <v>2650</v>
      </c>
      <c r="D2032" s="10" t="s">
        <v>14060</v>
      </c>
      <c r="E2032" s="10" t="s">
        <v>13207</v>
      </c>
      <c r="F2032" s="10" t="s">
        <v>3523</v>
      </c>
      <c r="G2032" s="10" t="s">
        <v>14061</v>
      </c>
      <c r="H2032" s="11" t="s">
        <v>31</v>
      </c>
      <c r="I2032" s="11">
        <v>1.0</v>
      </c>
      <c r="J2032" s="11">
        <v>1.0</v>
      </c>
      <c r="K2032" s="11" t="s">
        <v>31</v>
      </c>
      <c r="L2032" s="12" t="s">
        <v>13766</v>
      </c>
      <c r="M2032" s="10" t="s">
        <v>14062</v>
      </c>
      <c r="N2032" s="10" t="s">
        <v>13768</v>
      </c>
      <c r="O2032" s="12" t="s">
        <v>13769</v>
      </c>
      <c r="P2032" s="10" t="s">
        <v>13770</v>
      </c>
      <c r="Q2032" s="10" t="s">
        <v>13771</v>
      </c>
      <c r="R2032" s="10" t="s">
        <v>31</v>
      </c>
      <c r="S2032" s="12" t="s">
        <v>13772</v>
      </c>
      <c r="T2032" s="10" t="s">
        <v>13773</v>
      </c>
      <c r="U2032" s="12" t="s">
        <v>31</v>
      </c>
      <c r="V2032" s="10" t="s">
        <v>13468</v>
      </c>
      <c r="W2032" s="10" t="s">
        <v>13207</v>
      </c>
      <c r="X2032" s="13" t="str">
        <f>HYPERLINK("https://my.pitchbook.com?p=455765-05P","View People Online")</f>
        <v>View People Online</v>
      </c>
    </row>
    <row r="2033">
      <c r="A2033" s="6" t="s">
        <v>14063</v>
      </c>
      <c r="B2033" s="6" t="s">
        <v>14064</v>
      </c>
      <c r="C2033" s="6" t="s">
        <v>2650</v>
      </c>
      <c r="D2033" s="6" t="s">
        <v>14065</v>
      </c>
      <c r="E2033" s="6" t="s">
        <v>13207</v>
      </c>
      <c r="F2033" s="6" t="s">
        <v>3523</v>
      </c>
      <c r="G2033" s="6" t="s">
        <v>14066</v>
      </c>
      <c r="H2033" s="7" t="s">
        <v>31</v>
      </c>
      <c r="I2033" s="7">
        <v>1.0</v>
      </c>
      <c r="J2033" s="7">
        <v>1.0</v>
      </c>
      <c r="K2033" s="7" t="s">
        <v>31</v>
      </c>
      <c r="L2033" s="8" t="s">
        <v>13734</v>
      </c>
      <c r="M2033" s="6" t="s">
        <v>14067</v>
      </c>
      <c r="N2033" s="6" t="s">
        <v>2754</v>
      </c>
      <c r="O2033" s="8" t="s">
        <v>2755</v>
      </c>
      <c r="P2033" s="6" t="s">
        <v>13736</v>
      </c>
      <c r="Q2033" s="6" t="s">
        <v>31</v>
      </c>
      <c r="R2033" s="6" t="s">
        <v>31</v>
      </c>
      <c r="S2033" s="8" t="s">
        <v>13737</v>
      </c>
      <c r="T2033" s="6" t="s">
        <v>38</v>
      </c>
      <c r="U2033" s="8" t="s">
        <v>13738</v>
      </c>
      <c r="V2033" s="6" t="s">
        <v>3523</v>
      </c>
      <c r="W2033" s="6" t="s">
        <v>13207</v>
      </c>
      <c r="X2033" s="9" t="str">
        <f>HYPERLINK("https://my.pitchbook.com?p=455613-94P","View People Online")</f>
        <v>View People Online</v>
      </c>
    </row>
    <row r="2034">
      <c r="A2034" s="2" t="s">
        <v>14068</v>
      </c>
      <c r="B2034" s="2" t="s">
        <v>14069</v>
      </c>
      <c r="C2034" s="2" t="s">
        <v>2650</v>
      </c>
      <c r="D2034" s="2" t="s">
        <v>3427</v>
      </c>
      <c r="E2034" s="2" t="s">
        <v>13207</v>
      </c>
      <c r="F2034" s="2" t="s">
        <v>13218</v>
      </c>
      <c r="G2034" s="2" t="s">
        <v>14070</v>
      </c>
      <c r="H2034" s="3" t="s">
        <v>31</v>
      </c>
      <c r="I2034" s="3">
        <v>1.0</v>
      </c>
      <c r="J2034" s="3">
        <v>1.0</v>
      </c>
      <c r="K2034" s="3" t="s">
        <v>31</v>
      </c>
      <c r="L2034" s="4" t="s">
        <v>13766</v>
      </c>
      <c r="M2034" s="2" t="s">
        <v>14071</v>
      </c>
      <c r="N2034" s="2" t="s">
        <v>13768</v>
      </c>
      <c r="O2034" s="4" t="s">
        <v>13769</v>
      </c>
      <c r="P2034" s="2" t="s">
        <v>13770</v>
      </c>
      <c r="Q2034" s="2" t="s">
        <v>13771</v>
      </c>
      <c r="R2034" s="2" t="s">
        <v>31</v>
      </c>
      <c r="S2034" s="4" t="s">
        <v>13772</v>
      </c>
      <c r="T2034" s="2" t="s">
        <v>13773</v>
      </c>
      <c r="U2034" s="4" t="s">
        <v>31</v>
      </c>
      <c r="V2034" s="2" t="s">
        <v>13218</v>
      </c>
      <c r="W2034" s="2" t="s">
        <v>13207</v>
      </c>
      <c r="X2034" s="5" t="str">
        <f>HYPERLINK("https://my.pitchbook.com?p=435807-91P","View People Online")</f>
        <v>View People Online</v>
      </c>
    </row>
    <row r="2035">
      <c r="A2035" s="14" t="s">
        <v>14072</v>
      </c>
      <c r="B2035" s="14" t="s">
        <v>14073</v>
      </c>
      <c r="C2035" s="14" t="s">
        <v>2658</v>
      </c>
      <c r="D2035" s="14" t="s">
        <v>14074</v>
      </c>
      <c r="E2035" s="14" t="s">
        <v>13207</v>
      </c>
      <c r="F2035" s="14" t="s">
        <v>3523</v>
      </c>
      <c r="G2035" s="14" t="s">
        <v>14075</v>
      </c>
      <c r="H2035" s="15" t="s">
        <v>31</v>
      </c>
      <c r="I2035" s="15">
        <v>1.0</v>
      </c>
      <c r="J2035" s="15">
        <v>1.0</v>
      </c>
      <c r="K2035" s="15" t="s">
        <v>31</v>
      </c>
      <c r="L2035" s="16" t="s">
        <v>13540</v>
      </c>
      <c r="M2035" s="14" t="s">
        <v>14076</v>
      </c>
      <c r="N2035" s="14" t="s">
        <v>418</v>
      </c>
      <c r="O2035" s="16" t="s">
        <v>419</v>
      </c>
      <c r="P2035" s="14" t="s">
        <v>13542</v>
      </c>
      <c r="Q2035" s="14" t="s">
        <v>31</v>
      </c>
      <c r="R2035" s="14" t="s">
        <v>31</v>
      </c>
      <c r="S2035" s="16" t="s">
        <v>2664</v>
      </c>
      <c r="T2035" s="14" t="s">
        <v>422</v>
      </c>
      <c r="U2035" s="16" t="s">
        <v>13543</v>
      </c>
      <c r="V2035" s="14" t="s">
        <v>3523</v>
      </c>
      <c r="W2035" s="14" t="s">
        <v>13207</v>
      </c>
      <c r="X2035" s="17" t="str">
        <f>HYPERLINK("https://my.pitchbook.com?p=435173-32P","View People Online")</f>
        <v>View People Online</v>
      </c>
    </row>
    <row r="2036">
      <c r="A2036" s="10" t="s">
        <v>14077</v>
      </c>
      <c r="B2036" s="10" t="s">
        <v>14078</v>
      </c>
      <c r="C2036" s="10" t="s">
        <v>2658</v>
      </c>
      <c r="D2036" s="10" t="s">
        <v>14079</v>
      </c>
      <c r="E2036" s="10" t="s">
        <v>13207</v>
      </c>
      <c r="F2036" s="10" t="s">
        <v>3523</v>
      </c>
      <c r="G2036" s="10" t="s">
        <v>14080</v>
      </c>
      <c r="H2036" s="11" t="s">
        <v>31</v>
      </c>
      <c r="I2036" s="11">
        <v>2.0</v>
      </c>
      <c r="J2036" s="11">
        <v>1.0</v>
      </c>
      <c r="K2036" s="11">
        <v>1.0</v>
      </c>
      <c r="L2036" s="12" t="s">
        <v>13299</v>
      </c>
      <c r="M2036" s="10" t="s">
        <v>14081</v>
      </c>
      <c r="N2036" s="10" t="s">
        <v>601</v>
      </c>
      <c r="O2036" s="12" t="s">
        <v>602</v>
      </c>
      <c r="P2036" s="10" t="s">
        <v>13301</v>
      </c>
      <c r="Q2036" s="10" t="s">
        <v>13302</v>
      </c>
      <c r="R2036" s="10" t="s">
        <v>31</v>
      </c>
      <c r="S2036" s="12" t="s">
        <v>31</v>
      </c>
      <c r="T2036" s="10" t="s">
        <v>603</v>
      </c>
      <c r="U2036" s="12" t="s">
        <v>13303</v>
      </c>
      <c r="V2036" s="10" t="s">
        <v>3523</v>
      </c>
      <c r="W2036" s="10" t="s">
        <v>13207</v>
      </c>
      <c r="X2036" s="13" t="str">
        <f>HYPERLINK("https://my.pitchbook.com?p=201347-02P","View People Online")</f>
        <v>View People Online</v>
      </c>
    </row>
    <row r="2037">
      <c r="A2037" s="6" t="s">
        <v>14082</v>
      </c>
      <c r="B2037" s="6" t="s">
        <v>14083</v>
      </c>
      <c r="C2037" s="6" t="s">
        <v>2658</v>
      </c>
      <c r="D2037" s="6" t="s">
        <v>14084</v>
      </c>
      <c r="E2037" s="6" t="s">
        <v>13207</v>
      </c>
      <c r="F2037" s="6" t="s">
        <v>3523</v>
      </c>
      <c r="G2037" s="6" t="s">
        <v>14085</v>
      </c>
      <c r="H2037" s="7" t="s">
        <v>31</v>
      </c>
      <c r="I2037" s="7">
        <v>1.0</v>
      </c>
      <c r="J2037" s="7">
        <v>1.0</v>
      </c>
      <c r="K2037" s="7" t="s">
        <v>31</v>
      </c>
      <c r="L2037" s="8" t="s">
        <v>13540</v>
      </c>
      <c r="M2037" s="6" t="s">
        <v>14086</v>
      </c>
      <c r="N2037" s="6" t="s">
        <v>418</v>
      </c>
      <c r="O2037" s="8" t="s">
        <v>419</v>
      </c>
      <c r="P2037" s="6" t="s">
        <v>13542</v>
      </c>
      <c r="Q2037" s="6" t="s">
        <v>31</v>
      </c>
      <c r="R2037" s="6" t="s">
        <v>31</v>
      </c>
      <c r="S2037" s="8" t="s">
        <v>2664</v>
      </c>
      <c r="T2037" s="6" t="s">
        <v>422</v>
      </c>
      <c r="U2037" s="8" t="s">
        <v>13543</v>
      </c>
      <c r="V2037" s="6" t="s">
        <v>3523</v>
      </c>
      <c r="W2037" s="6" t="s">
        <v>13207</v>
      </c>
      <c r="X2037" s="9" t="str">
        <f>HYPERLINK("https://my.pitchbook.com?p=436289-50P","View People Online")</f>
        <v>View People Online</v>
      </c>
    </row>
    <row r="2038">
      <c r="A2038" s="2" t="s">
        <v>14087</v>
      </c>
      <c r="B2038" s="2" t="s">
        <v>14088</v>
      </c>
      <c r="C2038" s="2" t="s">
        <v>14089</v>
      </c>
      <c r="D2038" s="2" t="s">
        <v>14090</v>
      </c>
      <c r="E2038" s="2" t="s">
        <v>13207</v>
      </c>
      <c r="F2038" s="2" t="s">
        <v>3523</v>
      </c>
      <c r="G2038" s="2" t="s">
        <v>14091</v>
      </c>
      <c r="H2038" s="3" t="s">
        <v>31</v>
      </c>
      <c r="I2038" s="3">
        <v>1.0</v>
      </c>
      <c r="J2038" s="3">
        <v>1.0</v>
      </c>
      <c r="K2038" s="3" t="s">
        <v>31</v>
      </c>
      <c r="L2038" s="4" t="s">
        <v>14092</v>
      </c>
      <c r="M2038" s="2" t="s">
        <v>14093</v>
      </c>
      <c r="N2038" s="2" t="s">
        <v>10742</v>
      </c>
      <c r="O2038" s="4" t="s">
        <v>10743</v>
      </c>
      <c r="P2038" s="2" t="s">
        <v>14094</v>
      </c>
      <c r="Q2038" s="2" t="s">
        <v>14095</v>
      </c>
      <c r="R2038" s="2" t="s">
        <v>10745</v>
      </c>
      <c r="S2038" s="4" t="s">
        <v>14096</v>
      </c>
      <c r="T2038" s="2" t="s">
        <v>1019</v>
      </c>
      <c r="U2038" s="4" t="s">
        <v>14097</v>
      </c>
      <c r="V2038" s="2" t="s">
        <v>3523</v>
      </c>
      <c r="W2038" s="2" t="s">
        <v>13207</v>
      </c>
      <c r="X2038" s="5" t="str">
        <f>HYPERLINK("https://my.pitchbook.com?p=455907-70P","View People Online")</f>
        <v>View People Online</v>
      </c>
    </row>
    <row r="2039">
      <c r="A2039" s="14" t="s">
        <v>14098</v>
      </c>
      <c r="B2039" s="14" t="s">
        <v>14099</v>
      </c>
      <c r="C2039" s="14" t="s">
        <v>8155</v>
      </c>
      <c r="D2039" s="14" t="s">
        <v>14100</v>
      </c>
      <c r="E2039" s="14" t="s">
        <v>13207</v>
      </c>
      <c r="F2039" s="14" t="s">
        <v>1283</v>
      </c>
      <c r="G2039" s="14" t="s">
        <v>14101</v>
      </c>
      <c r="H2039" s="15" t="s">
        <v>31</v>
      </c>
      <c r="I2039" s="15">
        <v>1.0</v>
      </c>
      <c r="J2039" s="15">
        <v>1.0</v>
      </c>
      <c r="K2039" s="15" t="s">
        <v>31</v>
      </c>
      <c r="L2039" s="16" t="s">
        <v>13714</v>
      </c>
      <c r="M2039" s="14" t="s">
        <v>14102</v>
      </c>
      <c r="N2039" s="14" t="s">
        <v>13716</v>
      </c>
      <c r="O2039" s="16" t="s">
        <v>13717</v>
      </c>
      <c r="P2039" s="14" t="s">
        <v>13718</v>
      </c>
      <c r="Q2039" s="14" t="s">
        <v>31</v>
      </c>
      <c r="R2039" s="14" t="s">
        <v>31</v>
      </c>
      <c r="S2039" s="16" t="s">
        <v>13719</v>
      </c>
      <c r="T2039" s="14" t="s">
        <v>38</v>
      </c>
      <c r="U2039" s="16" t="s">
        <v>13720</v>
      </c>
      <c r="V2039" s="14" t="s">
        <v>13974</v>
      </c>
      <c r="W2039" s="14" t="s">
        <v>13207</v>
      </c>
      <c r="X2039" s="17" t="str">
        <f>HYPERLINK("https://my.pitchbook.com?p=456270-67P","View People Online")</f>
        <v>View People Online</v>
      </c>
    </row>
    <row r="2040">
      <c r="A2040" s="10" t="s">
        <v>14103</v>
      </c>
      <c r="B2040" s="10" t="s">
        <v>14104</v>
      </c>
      <c r="C2040" s="10" t="s">
        <v>8155</v>
      </c>
      <c r="D2040" s="10" t="s">
        <v>14105</v>
      </c>
      <c r="E2040" s="10" t="s">
        <v>13207</v>
      </c>
      <c r="F2040" s="10" t="s">
        <v>13218</v>
      </c>
      <c r="G2040" s="10" t="s">
        <v>14106</v>
      </c>
      <c r="H2040" s="11" t="s">
        <v>31</v>
      </c>
      <c r="I2040" s="11">
        <v>1.0</v>
      </c>
      <c r="J2040" s="11">
        <v>1.0</v>
      </c>
      <c r="K2040" s="11" t="s">
        <v>31</v>
      </c>
      <c r="L2040" s="12" t="s">
        <v>13242</v>
      </c>
      <c r="M2040" s="10" t="s">
        <v>14107</v>
      </c>
      <c r="N2040" s="10" t="s">
        <v>9865</v>
      </c>
      <c r="O2040" s="12" t="s">
        <v>9866</v>
      </c>
      <c r="P2040" s="10" t="s">
        <v>13244</v>
      </c>
      <c r="Q2040" s="10" t="s">
        <v>31</v>
      </c>
      <c r="R2040" s="10" t="s">
        <v>31</v>
      </c>
      <c r="S2040" s="12" t="s">
        <v>13245</v>
      </c>
      <c r="T2040" s="10" t="s">
        <v>38</v>
      </c>
      <c r="U2040" s="12" t="s">
        <v>13246</v>
      </c>
      <c r="V2040" s="10" t="s">
        <v>13218</v>
      </c>
      <c r="W2040" s="10" t="s">
        <v>13207</v>
      </c>
      <c r="X2040" s="13" t="str">
        <f>HYPERLINK("https://my.pitchbook.com?p=456419-80P","View People Online")</f>
        <v>View People Online</v>
      </c>
    </row>
    <row r="2041">
      <c r="A2041" s="6" t="s">
        <v>14108</v>
      </c>
      <c r="B2041" s="6" t="s">
        <v>14109</v>
      </c>
      <c r="C2041" s="6" t="s">
        <v>8155</v>
      </c>
      <c r="D2041" s="6" t="s">
        <v>14110</v>
      </c>
      <c r="E2041" s="6" t="s">
        <v>13207</v>
      </c>
      <c r="F2041" s="6" t="s">
        <v>13218</v>
      </c>
      <c r="G2041" s="6" t="s">
        <v>14111</v>
      </c>
      <c r="H2041" s="7" t="s">
        <v>31</v>
      </c>
      <c r="I2041" s="7">
        <v>1.0</v>
      </c>
      <c r="J2041" s="7">
        <v>1.0</v>
      </c>
      <c r="K2041" s="7" t="s">
        <v>31</v>
      </c>
      <c r="L2041" s="8" t="s">
        <v>13242</v>
      </c>
      <c r="M2041" s="6" t="s">
        <v>14112</v>
      </c>
      <c r="N2041" s="6" t="s">
        <v>9865</v>
      </c>
      <c r="O2041" s="8" t="s">
        <v>9866</v>
      </c>
      <c r="P2041" s="6" t="s">
        <v>13244</v>
      </c>
      <c r="Q2041" s="6" t="s">
        <v>31</v>
      </c>
      <c r="R2041" s="6" t="s">
        <v>31</v>
      </c>
      <c r="S2041" s="8" t="s">
        <v>13245</v>
      </c>
      <c r="T2041" s="6" t="s">
        <v>38</v>
      </c>
      <c r="U2041" s="8" t="s">
        <v>13246</v>
      </c>
      <c r="V2041" s="6" t="s">
        <v>13218</v>
      </c>
      <c r="W2041" s="6" t="s">
        <v>13207</v>
      </c>
      <c r="X2041" s="9" t="str">
        <f>HYPERLINK("https://my.pitchbook.com?p=436221-01P","View People Online")</f>
        <v>View People Online</v>
      </c>
    </row>
    <row r="2042">
      <c r="A2042" s="2" t="s">
        <v>14113</v>
      </c>
      <c r="B2042" s="2" t="s">
        <v>14114</v>
      </c>
      <c r="C2042" s="2" t="s">
        <v>8155</v>
      </c>
      <c r="D2042" s="2" t="s">
        <v>14115</v>
      </c>
      <c r="E2042" s="2" t="s">
        <v>13207</v>
      </c>
      <c r="F2042" s="2" t="s">
        <v>3523</v>
      </c>
      <c r="G2042" s="2" t="s">
        <v>14116</v>
      </c>
      <c r="H2042" s="3" t="s">
        <v>31</v>
      </c>
      <c r="I2042" s="3">
        <v>1.0</v>
      </c>
      <c r="J2042" s="3">
        <v>1.0</v>
      </c>
      <c r="K2042" s="3" t="s">
        <v>31</v>
      </c>
      <c r="L2042" s="4" t="s">
        <v>13734</v>
      </c>
      <c r="M2042" s="2" t="s">
        <v>14117</v>
      </c>
      <c r="N2042" s="2" t="s">
        <v>2754</v>
      </c>
      <c r="O2042" s="4" t="s">
        <v>2755</v>
      </c>
      <c r="P2042" s="2" t="s">
        <v>13736</v>
      </c>
      <c r="Q2042" s="2" t="s">
        <v>31</v>
      </c>
      <c r="R2042" s="2" t="s">
        <v>31</v>
      </c>
      <c r="S2042" s="4" t="s">
        <v>13737</v>
      </c>
      <c r="T2042" s="2" t="s">
        <v>38</v>
      </c>
      <c r="U2042" s="4" t="s">
        <v>13738</v>
      </c>
      <c r="V2042" s="2" t="s">
        <v>3523</v>
      </c>
      <c r="W2042" s="2" t="s">
        <v>13207</v>
      </c>
      <c r="X2042" s="5" t="str">
        <f>HYPERLINK("https://my.pitchbook.com?p=456619-96P","View People Online")</f>
        <v>View People Online</v>
      </c>
    </row>
    <row r="2043">
      <c r="A2043" s="14" t="s">
        <v>14118</v>
      </c>
      <c r="B2043" s="14" t="s">
        <v>14119</v>
      </c>
      <c r="C2043" s="14" t="s">
        <v>8155</v>
      </c>
      <c r="D2043" s="14" t="s">
        <v>14120</v>
      </c>
      <c r="E2043" s="14" t="s">
        <v>13207</v>
      </c>
      <c r="F2043" s="14" t="s">
        <v>3523</v>
      </c>
      <c r="G2043" s="14" t="s">
        <v>14121</v>
      </c>
      <c r="H2043" s="15" t="s">
        <v>31</v>
      </c>
      <c r="I2043" s="15">
        <v>1.0</v>
      </c>
      <c r="J2043" s="15">
        <v>1.0</v>
      </c>
      <c r="K2043" s="15" t="s">
        <v>31</v>
      </c>
      <c r="L2043" s="16" t="s">
        <v>13839</v>
      </c>
      <c r="M2043" s="14" t="s">
        <v>14122</v>
      </c>
      <c r="N2043" s="14" t="s">
        <v>11029</v>
      </c>
      <c r="O2043" s="16" t="s">
        <v>11030</v>
      </c>
      <c r="P2043" s="14" t="s">
        <v>13841</v>
      </c>
      <c r="Q2043" s="14" t="s">
        <v>13842</v>
      </c>
      <c r="R2043" s="14" t="s">
        <v>10017</v>
      </c>
      <c r="S2043" s="16" t="s">
        <v>13843</v>
      </c>
      <c r="T2043" s="14" t="s">
        <v>66</v>
      </c>
      <c r="U2043" s="16" t="s">
        <v>13844</v>
      </c>
      <c r="V2043" s="14" t="s">
        <v>3523</v>
      </c>
      <c r="W2043" s="14" t="s">
        <v>13207</v>
      </c>
      <c r="X2043" s="17" t="str">
        <f>HYPERLINK("https://my.pitchbook.com?p=52859-98P","View People Online")</f>
        <v>View People Online</v>
      </c>
    </row>
    <row r="2044">
      <c r="A2044" s="10" t="s">
        <v>14123</v>
      </c>
      <c r="B2044" s="10" t="s">
        <v>14124</v>
      </c>
      <c r="C2044" s="10" t="s">
        <v>8155</v>
      </c>
      <c r="D2044" s="10" t="s">
        <v>14125</v>
      </c>
      <c r="E2044" s="10" t="s">
        <v>13207</v>
      </c>
      <c r="F2044" s="10" t="s">
        <v>13218</v>
      </c>
      <c r="G2044" s="10" t="s">
        <v>14126</v>
      </c>
      <c r="H2044" s="11" t="s">
        <v>31</v>
      </c>
      <c r="I2044" s="11">
        <v>1.0</v>
      </c>
      <c r="J2044" s="11">
        <v>1.0</v>
      </c>
      <c r="K2044" s="11" t="s">
        <v>31</v>
      </c>
      <c r="L2044" s="12" t="s">
        <v>13242</v>
      </c>
      <c r="M2044" s="10" t="s">
        <v>14127</v>
      </c>
      <c r="N2044" s="10" t="s">
        <v>9865</v>
      </c>
      <c r="O2044" s="12" t="s">
        <v>9866</v>
      </c>
      <c r="P2044" s="10" t="s">
        <v>13244</v>
      </c>
      <c r="Q2044" s="10" t="s">
        <v>31</v>
      </c>
      <c r="R2044" s="10" t="s">
        <v>31</v>
      </c>
      <c r="S2044" s="12" t="s">
        <v>13245</v>
      </c>
      <c r="T2044" s="10" t="s">
        <v>38</v>
      </c>
      <c r="U2044" s="12" t="s">
        <v>13246</v>
      </c>
      <c r="V2044" s="10" t="s">
        <v>13218</v>
      </c>
      <c r="W2044" s="10" t="s">
        <v>13207</v>
      </c>
      <c r="X2044" s="13" t="str">
        <f>HYPERLINK("https://my.pitchbook.com?p=435827-08P","View People Online")</f>
        <v>View People Online</v>
      </c>
    </row>
    <row r="2045">
      <c r="A2045" s="6" t="s">
        <v>14128</v>
      </c>
      <c r="B2045" s="6" t="s">
        <v>14129</v>
      </c>
      <c r="C2045" s="6" t="s">
        <v>8155</v>
      </c>
      <c r="D2045" s="6" t="s">
        <v>14130</v>
      </c>
      <c r="E2045" s="6" t="s">
        <v>13207</v>
      </c>
      <c r="F2045" s="6" t="s">
        <v>3523</v>
      </c>
      <c r="G2045" s="6" t="s">
        <v>14131</v>
      </c>
      <c r="H2045" s="7" t="s">
        <v>31</v>
      </c>
      <c r="I2045" s="7">
        <v>1.0</v>
      </c>
      <c r="J2045" s="7">
        <v>1.0</v>
      </c>
      <c r="K2045" s="7" t="s">
        <v>31</v>
      </c>
      <c r="L2045" s="8" t="s">
        <v>13242</v>
      </c>
      <c r="M2045" s="6" t="s">
        <v>14132</v>
      </c>
      <c r="N2045" s="6" t="s">
        <v>9865</v>
      </c>
      <c r="O2045" s="8" t="s">
        <v>9866</v>
      </c>
      <c r="P2045" s="6" t="s">
        <v>13244</v>
      </c>
      <c r="Q2045" s="6" t="s">
        <v>31</v>
      </c>
      <c r="R2045" s="6" t="s">
        <v>31</v>
      </c>
      <c r="S2045" s="8" t="s">
        <v>13245</v>
      </c>
      <c r="T2045" s="6" t="s">
        <v>38</v>
      </c>
      <c r="U2045" s="8" t="s">
        <v>13246</v>
      </c>
      <c r="V2045" s="6" t="s">
        <v>3523</v>
      </c>
      <c r="W2045" s="6" t="s">
        <v>13207</v>
      </c>
      <c r="X2045" s="9" t="str">
        <f>HYPERLINK("https://my.pitchbook.com?p=436185-82P","View People Online")</f>
        <v>View People Online</v>
      </c>
    </row>
    <row r="2046">
      <c r="A2046" s="2" t="s">
        <v>14133</v>
      </c>
      <c r="B2046" s="2" t="s">
        <v>14134</v>
      </c>
      <c r="C2046" s="2" t="s">
        <v>8155</v>
      </c>
      <c r="D2046" s="2" t="s">
        <v>14135</v>
      </c>
      <c r="E2046" s="2" t="s">
        <v>13207</v>
      </c>
      <c r="F2046" s="2" t="s">
        <v>13218</v>
      </c>
      <c r="G2046" s="2" t="s">
        <v>14136</v>
      </c>
      <c r="H2046" s="3" t="s">
        <v>31</v>
      </c>
      <c r="I2046" s="3">
        <v>1.0</v>
      </c>
      <c r="J2046" s="3">
        <v>1.0</v>
      </c>
      <c r="K2046" s="3" t="s">
        <v>31</v>
      </c>
      <c r="L2046" s="4" t="s">
        <v>13459</v>
      </c>
      <c r="M2046" s="2" t="s">
        <v>14137</v>
      </c>
      <c r="N2046" s="2" t="s">
        <v>3100</v>
      </c>
      <c r="O2046" s="4" t="s">
        <v>3101</v>
      </c>
      <c r="P2046" s="2" t="s">
        <v>13461</v>
      </c>
      <c r="Q2046" s="2" t="s">
        <v>31</v>
      </c>
      <c r="R2046" s="2" t="s">
        <v>31</v>
      </c>
      <c r="S2046" s="4" t="s">
        <v>3103</v>
      </c>
      <c r="T2046" s="2" t="s">
        <v>3104</v>
      </c>
      <c r="U2046" s="4" t="s">
        <v>13462</v>
      </c>
      <c r="V2046" s="2" t="s">
        <v>13218</v>
      </c>
      <c r="W2046" s="2" t="s">
        <v>13207</v>
      </c>
      <c r="X2046" s="5" t="str">
        <f>HYPERLINK("https://my.pitchbook.com?p=435634-48P","View People Online")</f>
        <v>View People Online</v>
      </c>
    </row>
    <row r="2047">
      <c r="A2047" s="6" t="s">
        <v>14138</v>
      </c>
      <c r="B2047" s="6" t="s">
        <v>14139</v>
      </c>
      <c r="C2047" s="6" t="s">
        <v>8155</v>
      </c>
      <c r="D2047" s="6" t="s">
        <v>14140</v>
      </c>
      <c r="E2047" s="6" t="s">
        <v>13207</v>
      </c>
      <c r="F2047" s="6" t="s">
        <v>13218</v>
      </c>
      <c r="G2047" s="6" t="s">
        <v>14141</v>
      </c>
      <c r="H2047" s="7" t="s">
        <v>31</v>
      </c>
      <c r="I2047" s="7">
        <v>1.0</v>
      </c>
      <c r="J2047" s="7">
        <v>1.0</v>
      </c>
      <c r="K2047" s="7" t="s">
        <v>31</v>
      </c>
      <c r="L2047" s="8" t="s">
        <v>14142</v>
      </c>
      <c r="M2047" s="6" t="s">
        <v>14143</v>
      </c>
      <c r="N2047" s="6" t="s">
        <v>273</v>
      </c>
      <c r="O2047" s="8" t="s">
        <v>274</v>
      </c>
      <c r="P2047" s="6" t="s">
        <v>14144</v>
      </c>
      <c r="Q2047" s="6" t="s">
        <v>31</v>
      </c>
      <c r="R2047" s="6" t="s">
        <v>31</v>
      </c>
      <c r="S2047" s="8" t="s">
        <v>14145</v>
      </c>
      <c r="T2047" s="6" t="s">
        <v>276</v>
      </c>
      <c r="U2047" s="8" t="s">
        <v>14146</v>
      </c>
      <c r="V2047" s="6" t="s">
        <v>13218</v>
      </c>
      <c r="W2047" s="6" t="s">
        <v>13207</v>
      </c>
      <c r="X2047" s="9" t="str">
        <f>HYPERLINK("https://my.pitchbook.com?p=389097-73P","View People Online")</f>
        <v>View People Online</v>
      </c>
    </row>
    <row r="2048">
      <c r="A2048" s="2" t="s">
        <v>14147</v>
      </c>
      <c r="B2048" s="2" t="s">
        <v>14148</v>
      </c>
      <c r="C2048" s="2" t="s">
        <v>8155</v>
      </c>
      <c r="D2048" s="2" t="s">
        <v>14149</v>
      </c>
      <c r="E2048" s="2" t="s">
        <v>13207</v>
      </c>
      <c r="F2048" s="2" t="s">
        <v>3523</v>
      </c>
      <c r="G2048" s="2" t="s">
        <v>14150</v>
      </c>
      <c r="H2048" s="3" t="s">
        <v>31</v>
      </c>
      <c r="I2048" s="3">
        <v>1.0</v>
      </c>
      <c r="J2048" s="3">
        <v>1.0</v>
      </c>
      <c r="K2048" s="3" t="s">
        <v>31</v>
      </c>
      <c r="L2048" s="4" t="s">
        <v>13423</v>
      </c>
      <c r="M2048" s="2" t="s">
        <v>14151</v>
      </c>
      <c r="N2048" s="2" t="s">
        <v>243</v>
      </c>
      <c r="O2048" s="4" t="s">
        <v>244</v>
      </c>
      <c r="P2048" s="2" t="s">
        <v>13425</v>
      </c>
      <c r="Q2048" s="2" t="s">
        <v>31</v>
      </c>
      <c r="R2048" s="2" t="s">
        <v>247</v>
      </c>
      <c r="S2048" s="4" t="s">
        <v>13426</v>
      </c>
      <c r="T2048" s="2" t="s">
        <v>249</v>
      </c>
      <c r="U2048" s="4" t="s">
        <v>31</v>
      </c>
      <c r="V2048" s="2" t="s">
        <v>3523</v>
      </c>
      <c r="W2048" s="2" t="s">
        <v>13207</v>
      </c>
      <c r="X2048" s="5" t="str">
        <f>HYPERLINK("https://my.pitchbook.com?p=456481-27P","View People Online")</f>
        <v>View People Online</v>
      </c>
    </row>
    <row r="2049">
      <c r="A2049" s="14" t="s">
        <v>14152</v>
      </c>
      <c r="B2049" s="14" t="s">
        <v>14153</v>
      </c>
      <c r="C2049" s="14" t="s">
        <v>5714</v>
      </c>
      <c r="D2049" s="14" t="s">
        <v>14154</v>
      </c>
      <c r="E2049" s="14" t="s">
        <v>13207</v>
      </c>
      <c r="F2049" s="14" t="s">
        <v>3523</v>
      </c>
      <c r="G2049" s="14" t="s">
        <v>14155</v>
      </c>
      <c r="H2049" s="15" t="s">
        <v>31</v>
      </c>
      <c r="I2049" s="15">
        <v>2.0</v>
      </c>
      <c r="J2049" s="15">
        <v>1.0</v>
      </c>
      <c r="K2049" s="15" t="s">
        <v>31</v>
      </c>
      <c r="L2049" s="16" t="s">
        <v>14156</v>
      </c>
      <c r="M2049" s="14" t="s">
        <v>14157</v>
      </c>
      <c r="N2049" s="14" t="s">
        <v>1181</v>
      </c>
      <c r="O2049" s="16" t="s">
        <v>1182</v>
      </c>
      <c r="P2049" s="14" t="s">
        <v>13276</v>
      </c>
      <c r="Q2049" s="14" t="s">
        <v>31</v>
      </c>
      <c r="R2049" s="14" t="s">
        <v>1185</v>
      </c>
      <c r="S2049" s="16" t="s">
        <v>4438</v>
      </c>
      <c r="T2049" s="14" t="s">
        <v>66</v>
      </c>
      <c r="U2049" s="16" t="s">
        <v>13277</v>
      </c>
      <c r="V2049" s="14" t="s">
        <v>3523</v>
      </c>
      <c r="W2049" s="14" t="s">
        <v>13207</v>
      </c>
      <c r="X2049" s="17" t="str">
        <f>HYPERLINK("https://my.pitchbook.com?p=288868-87P","View People Online")</f>
        <v>View People Online</v>
      </c>
    </row>
    <row r="2050">
      <c r="A2050" s="10" t="s">
        <v>14158</v>
      </c>
      <c r="B2050" s="10" t="s">
        <v>14159</v>
      </c>
      <c r="C2050" s="10" t="s">
        <v>14160</v>
      </c>
      <c r="D2050" s="10" t="s">
        <v>4612</v>
      </c>
      <c r="E2050" s="10" t="s">
        <v>13207</v>
      </c>
      <c r="F2050" s="10" t="s">
        <v>3523</v>
      </c>
      <c r="G2050" s="10" t="s">
        <v>14161</v>
      </c>
      <c r="H2050" s="11" t="s">
        <v>31</v>
      </c>
      <c r="I2050" s="11">
        <v>1.0</v>
      </c>
      <c r="J2050" s="11">
        <v>1.0</v>
      </c>
      <c r="K2050" s="11" t="s">
        <v>31</v>
      </c>
      <c r="L2050" s="12" t="s">
        <v>13657</v>
      </c>
      <c r="M2050" s="10" t="s">
        <v>14162</v>
      </c>
      <c r="N2050" s="10" t="s">
        <v>13659</v>
      </c>
      <c r="O2050" s="12" t="s">
        <v>13660</v>
      </c>
      <c r="P2050" s="10" t="s">
        <v>13661</v>
      </c>
      <c r="Q2050" s="10" t="s">
        <v>31</v>
      </c>
      <c r="R2050" s="10" t="s">
        <v>31</v>
      </c>
      <c r="S2050" s="12" t="s">
        <v>13662</v>
      </c>
      <c r="T2050" s="10" t="s">
        <v>38</v>
      </c>
      <c r="U2050" s="12" t="s">
        <v>13663</v>
      </c>
      <c r="V2050" s="10" t="s">
        <v>3523</v>
      </c>
      <c r="W2050" s="10" t="s">
        <v>13207</v>
      </c>
      <c r="X2050" s="13" t="str">
        <f>HYPERLINK("https://my.pitchbook.com?p=456625-27P","View People Online")</f>
        <v>View People Online</v>
      </c>
    </row>
    <row r="2051">
      <c r="A2051" s="6" t="s">
        <v>14163</v>
      </c>
      <c r="B2051" s="6" t="s">
        <v>14164</v>
      </c>
      <c r="C2051" s="6" t="s">
        <v>14165</v>
      </c>
      <c r="D2051" s="6" t="s">
        <v>14166</v>
      </c>
      <c r="E2051" s="6" t="s">
        <v>13207</v>
      </c>
      <c r="F2051" s="6" t="s">
        <v>3523</v>
      </c>
      <c r="G2051" s="6" t="s">
        <v>14167</v>
      </c>
      <c r="H2051" s="7" t="s">
        <v>31</v>
      </c>
      <c r="I2051" s="7">
        <v>1.0</v>
      </c>
      <c r="J2051" s="7">
        <v>1.0</v>
      </c>
      <c r="K2051" s="7" t="s">
        <v>31</v>
      </c>
      <c r="L2051" s="8" t="s">
        <v>13432</v>
      </c>
      <c r="M2051" s="6" t="s">
        <v>14168</v>
      </c>
      <c r="N2051" s="6" t="s">
        <v>2599</v>
      </c>
      <c r="O2051" s="8" t="s">
        <v>2600</v>
      </c>
      <c r="P2051" s="6" t="s">
        <v>13434</v>
      </c>
      <c r="Q2051" s="6" t="s">
        <v>4235</v>
      </c>
      <c r="R2051" s="6" t="s">
        <v>396</v>
      </c>
      <c r="S2051" s="8" t="s">
        <v>13435</v>
      </c>
      <c r="T2051" s="6" t="s">
        <v>66</v>
      </c>
      <c r="U2051" s="8" t="s">
        <v>13436</v>
      </c>
      <c r="V2051" s="6" t="s">
        <v>3523</v>
      </c>
      <c r="W2051" s="6" t="s">
        <v>13207</v>
      </c>
      <c r="X2051" s="9" t="str">
        <f>HYPERLINK("https://my.pitchbook.com?p=435654-01P","View People Online")</f>
        <v>View People Online</v>
      </c>
    </row>
    <row r="2052">
      <c r="A2052" s="2" t="s">
        <v>14169</v>
      </c>
      <c r="B2052" s="2" t="s">
        <v>14170</v>
      </c>
      <c r="C2052" s="2" t="s">
        <v>14165</v>
      </c>
      <c r="D2052" s="2" t="s">
        <v>14171</v>
      </c>
      <c r="E2052" s="2" t="s">
        <v>13207</v>
      </c>
      <c r="F2052" s="2" t="s">
        <v>3523</v>
      </c>
      <c r="G2052" s="2" t="s">
        <v>14172</v>
      </c>
      <c r="H2052" s="3" t="s">
        <v>31</v>
      </c>
      <c r="I2052" s="3">
        <v>1.0</v>
      </c>
      <c r="J2052" s="3">
        <v>1.0</v>
      </c>
      <c r="K2052" s="3" t="s">
        <v>31</v>
      </c>
      <c r="L2052" s="4" t="s">
        <v>14173</v>
      </c>
      <c r="M2052" s="2" t="s">
        <v>14174</v>
      </c>
      <c r="N2052" s="2" t="s">
        <v>658</v>
      </c>
      <c r="O2052" s="4" t="s">
        <v>659</v>
      </c>
      <c r="P2052" s="2" t="s">
        <v>14175</v>
      </c>
      <c r="Q2052" s="2" t="s">
        <v>31</v>
      </c>
      <c r="R2052" s="2" t="s">
        <v>31</v>
      </c>
      <c r="S2052" s="4" t="s">
        <v>660</v>
      </c>
      <c r="T2052" s="2" t="s">
        <v>661</v>
      </c>
      <c r="U2052" s="4" t="s">
        <v>14176</v>
      </c>
      <c r="V2052" s="2" t="s">
        <v>3523</v>
      </c>
      <c r="W2052" s="2" t="s">
        <v>13207</v>
      </c>
      <c r="X2052" s="5" t="str">
        <f>HYPERLINK("https://my.pitchbook.com?p=436301-65P","View People Online")</f>
        <v>View People Online</v>
      </c>
    </row>
    <row r="2053">
      <c r="A2053" s="14" t="s">
        <v>14177</v>
      </c>
      <c r="B2053" s="14" t="s">
        <v>14178</v>
      </c>
      <c r="C2053" s="14" t="s">
        <v>1117</v>
      </c>
      <c r="D2053" s="14" t="s">
        <v>14179</v>
      </c>
      <c r="E2053" s="14" t="s">
        <v>13207</v>
      </c>
      <c r="F2053" s="14" t="s">
        <v>13218</v>
      </c>
      <c r="G2053" s="14" t="s">
        <v>14180</v>
      </c>
      <c r="H2053" s="15" t="s">
        <v>31</v>
      </c>
      <c r="I2053" s="15">
        <v>3.0</v>
      </c>
      <c r="J2053" s="15">
        <v>1.0</v>
      </c>
      <c r="K2053" s="15">
        <v>1.0</v>
      </c>
      <c r="L2053" s="16" t="s">
        <v>13220</v>
      </c>
      <c r="M2053" s="14" t="s">
        <v>14181</v>
      </c>
      <c r="N2053" s="14" t="s">
        <v>2478</v>
      </c>
      <c r="O2053" s="16" t="s">
        <v>7332</v>
      </c>
      <c r="P2053" s="14" t="s">
        <v>13222</v>
      </c>
      <c r="Q2053" s="14" t="s">
        <v>13223</v>
      </c>
      <c r="R2053" s="14" t="s">
        <v>7335</v>
      </c>
      <c r="S2053" s="16" t="s">
        <v>7336</v>
      </c>
      <c r="T2053" s="14" t="s">
        <v>5484</v>
      </c>
      <c r="U2053" s="16" t="s">
        <v>13224</v>
      </c>
      <c r="V2053" s="14" t="s">
        <v>14182</v>
      </c>
      <c r="W2053" s="14" t="s">
        <v>13207</v>
      </c>
      <c r="X2053" s="17" t="str">
        <f>HYPERLINK("https://my.pitchbook.com?p=99436-69P","View People Online")</f>
        <v>View People Online</v>
      </c>
    </row>
    <row r="2054">
      <c r="A2054" s="10" t="s">
        <v>14183</v>
      </c>
      <c r="B2054" s="10" t="s">
        <v>14184</v>
      </c>
      <c r="C2054" s="10" t="s">
        <v>1117</v>
      </c>
      <c r="D2054" s="10" t="s">
        <v>14185</v>
      </c>
      <c r="E2054" s="10" t="s">
        <v>13207</v>
      </c>
      <c r="F2054" s="10" t="s">
        <v>13240</v>
      </c>
      <c r="G2054" s="10" t="s">
        <v>14186</v>
      </c>
      <c r="H2054" s="11" t="s">
        <v>31</v>
      </c>
      <c r="I2054" s="11">
        <v>27.0</v>
      </c>
      <c r="J2054" s="11">
        <v>1.0</v>
      </c>
      <c r="K2054" s="11">
        <v>24.0</v>
      </c>
      <c r="L2054" s="12" t="s">
        <v>13743</v>
      </c>
      <c r="M2054" s="10" t="s">
        <v>14187</v>
      </c>
      <c r="N2054" s="10" t="s">
        <v>1034</v>
      </c>
      <c r="O2054" s="12" t="s">
        <v>1035</v>
      </c>
      <c r="P2054" s="10" t="s">
        <v>13745</v>
      </c>
      <c r="Q2054" s="10" t="s">
        <v>13746</v>
      </c>
      <c r="R2054" s="10" t="s">
        <v>31</v>
      </c>
      <c r="S2054" s="12" t="s">
        <v>13747</v>
      </c>
      <c r="T2054" s="10" t="s">
        <v>1034</v>
      </c>
      <c r="U2054" s="12" t="s">
        <v>13748</v>
      </c>
      <c r="V2054" s="10" t="s">
        <v>2379</v>
      </c>
      <c r="W2054" s="10" t="s">
        <v>14188</v>
      </c>
      <c r="X2054" s="13" t="str">
        <f>HYPERLINK("https://my.pitchbook.com?p=28564-84P","View People Online")</f>
        <v>View People Online</v>
      </c>
    </row>
    <row r="2055">
      <c r="A2055" s="14" t="s">
        <v>14189</v>
      </c>
      <c r="B2055" s="14" t="s">
        <v>14190</v>
      </c>
      <c r="C2055" s="14" t="s">
        <v>1117</v>
      </c>
      <c r="D2055" s="14" t="s">
        <v>14191</v>
      </c>
      <c r="E2055" s="14" t="s">
        <v>13207</v>
      </c>
      <c r="F2055" s="14" t="s">
        <v>3523</v>
      </c>
      <c r="G2055" s="14" t="s">
        <v>14192</v>
      </c>
      <c r="H2055" s="15" t="s">
        <v>31</v>
      </c>
      <c r="I2055" s="15">
        <v>1.0</v>
      </c>
      <c r="J2055" s="15">
        <v>1.0</v>
      </c>
      <c r="K2055" s="15" t="s">
        <v>31</v>
      </c>
      <c r="L2055" s="16" t="s">
        <v>13220</v>
      </c>
      <c r="M2055" s="14" t="s">
        <v>14193</v>
      </c>
      <c r="N2055" s="14" t="s">
        <v>2478</v>
      </c>
      <c r="O2055" s="16" t="s">
        <v>7332</v>
      </c>
      <c r="P2055" s="14" t="s">
        <v>13222</v>
      </c>
      <c r="Q2055" s="14" t="s">
        <v>13223</v>
      </c>
      <c r="R2055" s="14" t="s">
        <v>7335</v>
      </c>
      <c r="S2055" s="16" t="s">
        <v>7336</v>
      </c>
      <c r="T2055" s="14" t="s">
        <v>5484</v>
      </c>
      <c r="U2055" s="16" t="s">
        <v>13224</v>
      </c>
      <c r="V2055" s="14" t="s">
        <v>3523</v>
      </c>
      <c r="W2055" s="14" t="s">
        <v>13207</v>
      </c>
      <c r="X2055" s="17" t="str">
        <f>HYPERLINK("https://my.pitchbook.com?p=436159-63P","View People Online")</f>
        <v>View People Online</v>
      </c>
    </row>
    <row r="2056">
      <c r="A2056" s="10" t="s">
        <v>14194</v>
      </c>
      <c r="B2056" s="10" t="s">
        <v>14195</v>
      </c>
      <c r="C2056" s="10" t="s">
        <v>1117</v>
      </c>
      <c r="D2056" s="10" t="s">
        <v>5425</v>
      </c>
      <c r="E2056" s="10" t="s">
        <v>13207</v>
      </c>
      <c r="F2056" s="10" t="s">
        <v>13218</v>
      </c>
      <c r="G2056" s="10" t="s">
        <v>14196</v>
      </c>
      <c r="H2056" s="11" t="s">
        <v>31</v>
      </c>
      <c r="I2056" s="11">
        <v>1.0</v>
      </c>
      <c r="J2056" s="11">
        <v>1.0</v>
      </c>
      <c r="K2056" s="11" t="s">
        <v>31</v>
      </c>
      <c r="L2056" s="12" t="s">
        <v>13242</v>
      </c>
      <c r="M2056" s="10" t="s">
        <v>14197</v>
      </c>
      <c r="N2056" s="10" t="s">
        <v>9865</v>
      </c>
      <c r="O2056" s="12" t="s">
        <v>9866</v>
      </c>
      <c r="P2056" s="10" t="s">
        <v>13244</v>
      </c>
      <c r="Q2056" s="10" t="s">
        <v>31</v>
      </c>
      <c r="R2056" s="10" t="s">
        <v>31</v>
      </c>
      <c r="S2056" s="12" t="s">
        <v>13245</v>
      </c>
      <c r="T2056" s="10" t="s">
        <v>38</v>
      </c>
      <c r="U2056" s="12" t="s">
        <v>13246</v>
      </c>
      <c r="V2056" s="10" t="s">
        <v>13218</v>
      </c>
      <c r="W2056" s="10" t="s">
        <v>13207</v>
      </c>
      <c r="X2056" s="13" t="str">
        <f>HYPERLINK("https://my.pitchbook.com?p=435981-07P","View People Online")</f>
        <v>View People Online</v>
      </c>
    </row>
    <row r="2057">
      <c r="A2057" s="14" t="s">
        <v>14198</v>
      </c>
      <c r="B2057" s="14" t="s">
        <v>14199</v>
      </c>
      <c r="C2057" s="14" t="s">
        <v>1117</v>
      </c>
      <c r="D2057" s="14" t="s">
        <v>1411</v>
      </c>
      <c r="E2057" s="14" t="s">
        <v>13207</v>
      </c>
      <c r="F2057" s="14" t="s">
        <v>3523</v>
      </c>
      <c r="G2057" s="14" t="s">
        <v>14200</v>
      </c>
      <c r="H2057" s="15" t="s">
        <v>31</v>
      </c>
      <c r="I2057" s="15">
        <v>1.0</v>
      </c>
      <c r="J2057" s="15">
        <v>1.0</v>
      </c>
      <c r="K2057" s="15" t="s">
        <v>31</v>
      </c>
      <c r="L2057" s="16" t="s">
        <v>14201</v>
      </c>
      <c r="M2057" s="14" t="s">
        <v>14202</v>
      </c>
      <c r="N2057" s="14" t="s">
        <v>14203</v>
      </c>
      <c r="O2057" s="16" t="s">
        <v>14204</v>
      </c>
      <c r="P2057" s="14" t="s">
        <v>14205</v>
      </c>
      <c r="Q2057" s="14" t="s">
        <v>14206</v>
      </c>
      <c r="R2057" s="14" t="s">
        <v>1420</v>
      </c>
      <c r="S2057" s="16" t="s">
        <v>14207</v>
      </c>
      <c r="T2057" s="14" t="s">
        <v>66</v>
      </c>
      <c r="U2057" s="16" t="s">
        <v>14208</v>
      </c>
      <c r="V2057" s="14" t="s">
        <v>3523</v>
      </c>
      <c r="W2057" s="14" t="s">
        <v>13207</v>
      </c>
      <c r="X2057" s="17" t="str">
        <f>HYPERLINK("https://my.pitchbook.com?p=456530-32P","View People Online")</f>
        <v>View People Online</v>
      </c>
    </row>
    <row r="2058">
      <c r="A2058" s="2" t="s">
        <v>14209</v>
      </c>
      <c r="B2058" s="2" t="s">
        <v>14210</v>
      </c>
      <c r="C2058" s="2" t="s">
        <v>1117</v>
      </c>
      <c r="D2058" s="2" t="s">
        <v>14211</v>
      </c>
      <c r="E2058" s="2" t="s">
        <v>13207</v>
      </c>
      <c r="F2058" s="2" t="s">
        <v>13218</v>
      </c>
      <c r="G2058" s="2" t="s">
        <v>14212</v>
      </c>
      <c r="H2058" s="3" t="s">
        <v>31</v>
      </c>
      <c r="I2058" s="3">
        <v>1.0</v>
      </c>
      <c r="J2058" s="3">
        <v>1.0</v>
      </c>
      <c r="K2058" s="3" t="s">
        <v>31</v>
      </c>
      <c r="L2058" s="4" t="s">
        <v>13432</v>
      </c>
      <c r="M2058" s="2" t="s">
        <v>14213</v>
      </c>
      <c r="N2058" s="2" t="s">
        <v>2599</v>
      </c>
      <c r="O2058" s="4" t="s">
        <v>2600</v>
      </c>
      <c r="P2058" s="2" t="s">
        <v>13434</v>
      </c>
      <c r="Q2058" s="2" t="s">
        <v>4235</v>
      </c>
      <c r="R2058" s="2" t="s">
        <v>396</v>
      </c>
      <c r="S2058" s="4" t="s">
        <v>13435</v>
      </c>
      <c r="T2058" s="2" t="s">
        <v>66</v>
      </c>
      <c r="U2058" s="4" t="s">
        <v>13436</v>
      </c>
      <c r="V2058" s="2" t="s">
        <v>13218</v>
      </c>
      <c r="W2058" s="2" t="s">
        <v>13207</v>
      </c>
      <c r="X2058" s="5" t="str">
        <f>HYPERLINK("https://my.pitchbook.com?p=456746-41P","View People Online")</f>
        <v>View People Online</v>
      </c>
    </row>
    <row r="2059">
      <c r="A2059" s="6" t="s">
        <v>14214</v>
      </c>
      <c r="B2059" s="6" t="s">
        <v>14215</v>
      </c>
      <c r="C2059" s="6" t="s">
        <v>1117</v>
      </c>
      <c r="D2059" s="6" t="s">
        <v>14216</v>
      </c>
      <c r="E2059" s="6" t="s">
        <v>13207</v>
      </c>
      <c r="F2059" s="6" t="s">
        <v>3523</v>
      </c>
      <c r="G2059" s="6" t="s">
        <v>14217</v>
      </c>
      <c r="H2059" s="7" t="s">
        <v>31</v>
      </c>
      <c r="I2059" s="7">
        <v>1.0</v>
      </c>
      <c r="J2059" s="7">
        <v>1.0</v>
      </c>
      <c r="K2059" s="7" t="s">
        <v>31</v>
      </c>
      <c r="L2059" s="8" t="s">
        <v>13299</v>
      </c>
      <c r="M2059" s="6" t="s">
        <v>14218</v>
      </c>
      <c r="N2059" s="6" t="s">
        <v>601</v>
      </c>
      <c r="O2059" s="8" t="s">
        <v>602</v>
      </c>
      <c r="P2059" s="6" t="s">
        <v>13301</v>
      </c>
      <c r="Q2059" s="6" t="s">
        <v>13302</v>
      </c>
      <c r="R2059" s="6" t="s">
        <v>31</v>
      </c>
      <c r="S2059" s="8" t="s">
        <v>31</v>
      </c>
      <c r="T2059" s="6" t="s">
        <v>603</v>
      </c>
      <c r="U2059" s="8" t="s">
        <v>13303</v>
      </c>
      <c r="V2059" s="6" t="s">
        <v>3523</v>
      </c>
      <c r="W2059" s="6" t="s">
        <v>13207</v>
      </c>
      <c r="X2059" s="9" t="str">
        <f>HYPERLINK("https://my.pitchbook.com?p=436236-94P","View People Online")</f>
        <v>View People Online</v>
      </c>
    </row>
    <row r="2060">
      <c r="A2060" s="2" t="s">
        <v>14219</v>
      </c>
      <c r="B2060" s="2" t="s">
        <v>14220</v>
      </c>
      <c r="C2060" s="2" t="s">
        <v>1117</v>
      </c>
      <c r="D2060" s="2" t="s">
        <v>1317</v>
      </c>
      <c r="E2060" s="2" t="s">
        <v>13207</v>
      </c>
      <c r="F2060" s="2" t="s">
        <v>3523</v>
      </c>
      <c r="G2060" s="2" t="s">
        <v>14221</v>
      </c>
      <c r="H2060" s="3" t="s">
        <v>31</v>
      </c>
      <c r="I2060" s="3">
        <v>1.0</v>
      </c>
      <c r="J2060" s="3">
        <v>1.0</v>
      </c>
      <c r="K2060" s="3" t="s">
        <v>31</v>
      </c>
      <c r="L2060" s="4" t="s">
        <v>13642</v>
      </c>
      <c r="M2060" s="2" t="s">
        <v>14222</v>
      </c>
      <c r="N2060" s="2" t="s">
        <v>3334</v>
      </c>
      <c r="O2060" s="4" t="s">
        <v>3335</v>
      </c>
      <c r="P2060" s="2" t="s">
        <v>13644</v>
      </c>
      <c r="Q2060" s="2" t="s">
        <v>13645</v>
      </c>
      <c r="R2060" s="2" t="s">
        <v>31</v>
      </c>
      <c r="S2060" s="4" t="s">
        <v>13646</v>
      </c>
      <c r="T2060" s="2" t="s">
        <v>3339</v>
      </c>
      <c r="U2060" s="4" t="s">
        <v>13647</v>
      </c>
      <c r="V2060" s="2" t="s">
        <v>3523</v>
      </c>
      <c r="W2060" s="2" t="s">
        <v>13207</v>
      </c>
      <c r="X2060" s="5" t="str">
        <f>HYPERLINK("https://my.pitchbook.com?p=436431-52P","View People Online")</f>
        <v>View People Online</v>
      </c>
    </row>
    <row r="2061">
      <c r="A2061" s="14" t="s">
        <v>14223</v>
      </c>
      <c r="B2061" s="14" t="s">
        <v>14224</v>
      </c>
      <c r="C2061" s="14" t="s">
        <v>14225</v>
      </c>
      <c r="D2061" s="14" t="s">
        <v>14226</v>
      </c>
      <c r="E2061" s="14" t="s">
        <v>13207</v>
      </c>
      <c r="F2061" s="14" t="s">
        <v>14227</v>
      </c>
      <c r="G2061" s="14" t="s">
        <v>14228</v>
      </c>
      <c r="H2061" s="15" t="s">
        <v>31</v>
      </c>
      <c r="I2061" s="15">
        <v>1.0</v>
      </c>
      <c r="J2061" s="15">
        <v>1.0</v>
      </c>
      <c r="K2061" s="15" t="s">
        <v>31</v>
      </c>
      <c r="L2061" s="16" t="s">
        <v>13743</v>
      </c>
      <c r="M2061" s="14" t="s">
        <v>14229</v>
      </c>
      <c r="N2061" s="14" t="s">
        <v>1034</v>
      </c>
      <c r="O2061" s="16" t="s">
        <v>1035</v>
      </c>
      <c r="P2061" s="14" t="s">
        <v>13745</v>
      </c>
      <c r="Q2061" s="14" t="s">
        <v>13746</v>
      </c>
      <c r="R2061" s="14" t="s">
        <v>31</v>
      </c>
      <c r="S2061" s="16" t="s">
        <v>13747</v>
      </c>
      <c r="T2061" s="14" t="s">
        <v>1034</v>
      </c>
      <c r="U2061" s="16" t="s">
        <v>13748</v>
      </c>
      <c r="V2061" s="14" t="s">
        <v>14230</v>
      </c>
      <c r="W2061" s="14" t="s">
        <v>13207</v>
      </c>
      <c r="X2061" s="17" t="str">
        <f>HYPERLINK("https://my.pitchbook.com?p=434835-01P","View People Online")</f>
        <v>View People Online</v>
      </c>
    </row>
    <row r="2062">
      <c r="A2062" s="10" t="s">
        <v>14231</v>
      </c>
      <c r="B2062" s="10" t="s">
        <v>14232</v>
      </c>
      <c r="C2062" s="10" t="s">
        <v>7413</v>
      </c>
      <c r="D2062" s="10" t="s">
        <v>14233</v>
      </c>
      <c r="E2062" s="10" t="s">
        <v>13207</v>
      </c>
      <c r="F2062" s="10" t="s">
        <v>3523</v>
      </c>
      <c r="G2062" s="10" t="s">
        <v>14234</v>
      </c>
      <c r="H2062" s="11" t="s">
        <v>31</v>
      </c>
      <c r="I2062" s="11">
        <v>1.0</v>
      </c>
      <c r="J2062" s="11">
        <v>1.0</v>
      </c>
      <c r="K2062" s="11" t="s">
        <v>31</v>
      </c>
      <c r="L2062" s="12" t="s">
        <v>13274</v>
      </c>
      <c r="M2062" s="10" t="s">
        <v>14235</v>
      </c>
      <c r="N2062" s="10" t="s">
        <v>1181</v>
      </c>
      <c r="O2062" s="12" t="s">
        <v>1182</v>
      </c>
      <c r="P2062" s="10" t="s">
        <v>13276</v>
      </c>
      <c r="Q2062" s="10" t="s">
        <v>31</v>
      </c>
      <c r="R2062" s="10" t="s">
        <v>1185</v>
      </c>
      <c r="S2062" s="12" t="s">
        <v>4438</v>
      </c>
      <c r="T2062" s="10" t="s">
        <v>66</v>
      </c>
      <c r="U2062" s="12" t="s">
        <v>13277</v>
      </c>
      <c r="V2062" s="10" t="s">
        <v>3523</v>
      </c>
      <c r="W2062" s="10" t="s">
        <v>13207</v>
      </c>
      <c r="X2062" s="13" t="str">
        <f>HYPERLINK("https://my.pitchbook.com?p=454961-62P","View People Online")</f>
        <v>View People Online</v>
      </c>
    </row>
    <row r="2063">
      <c r="A2063" s="6" t="s">
        <v>14236</v>
      </c>
      <c r="B2063" s="6" t="s">
        <v>14237</v>
      </c>
      <c r="C2063" s="6" t="s">
        <v>7413</v>
      </c>
      <c r="D2063" s="6" t="s">
        <v>14238</v>
      </c>
      <c r="E2063" s="6" t="s">
        <v>13207</v>
      </c>
      <c r="F2063" s="6" t="s">
        <v>1283</v>
      </c>
      <c r="G2063" s="6" t="s">
        <v>14239</v>
      </c>
      <c r="H2063" s="7" t="s">
        <v>31</v>
      </c>
      <c r="I2063" s="7">
        <v>1.0</v>
      </c>
      <c r="J2063" s="7">
        <v>1.0</v>
      </c>
      <c r="K2063" s="7" t="s">
        <v>31</v>
      </c>
      <c r="L2063" s="8" t="s">
        <v>13632</v>
      </c>
      <c r="M2063" s="6" t="s">
        <v>14240</v>
      </c>
      <c r="N2063" s="6" t="s">
        <v>7690</v>
      </c>
      <c r="O2063" s="8" t="s">
        <v>7691</v>
      </c>
      <c r="P2063" s="6" t="s">
        <v>13634</v>
      </c>
      <c r="Q2063" s="6" t="s">
        <v>13635</v>
      </c>
      <c r="R2063" s="6" t="s">
        <v>7693</v>
      </c>
      <c r="S2063" s="8" t="s">
        <v>13636</v>
      </c>
      <c r="T2063" s="6" t="s">
        <v>66</v>
      </c>
      <c r="U2063" s="8" t="s">
        <v>13637</v>
      </c>
      <c r="V2063" s="6" t="s">
        <v>1283</v>
      </c>
      <c r="W2063" s="6" t="s">
        <v>13207</v>
      </c>
      <c r="X2063" s="9" t="str">
        <f>HYPERLINK("https://my.pitchbook.com?p=434922-31P","View People Online")</f>
        <v>View People Online</v>
      </c>
    </row>
    <row r="2064">
      <c r="A2064" s="2" t="s">
        <v>14241</v>
      </c>
      <c r="B2064" s="2" t="s">
        <v>14242</v>
      </c>
      <c r="C2064" s="2" t="s">
        <v>14243</v>
      </c>
      <c r="D2064" s="2" t="s">
        <v>14244</v>
      </c>
      <c r="E2064" s="2" t="s">
        <v>13207</v>
      </c>
      <c r="F2064" s="2" t="s">
        <v>13218</v>
      </c>
      <c r="G2064" s="2" t="s">
        <v>14245</v>
      </c>
      <c r="H2064" s="3" t="s">
        <v>31</v>
      </c>
      <c r="I2064" s="3">
        <v>1.0</v>
      </c>
      <c r="J2064" s="3">
        <v>1.0</v>
      </c>
      <c r="K2064" s="3" t="s">
        <v>31</v>
      </c>
      <c r="L2064" s="4" t="s">
        <v>13531</v>
      </c>
      <c r="M2064" s="2" t="s">
        <v>14246</v>
      </c>
      <c r="N2064" s="2" t="s">
        <v>2273</v>
      </c>
      <c r="O2064" s="4" t="s">
        <v>2274</v>
      </c>
      <c r="P2064" s="2" t="s">
        <v>13533</v>
      </c>
      <c r="Q2064" s="2" t="s">
        <v>31</v>
      </c>
      <c r="R2064" s="2" t="s">
        <v>31</v>
      </c>
      <c r="S2064" s="4" t="s">
        <v>13534</v>
      </c>
      <c r="T2064" s="2" t="s">
        <v>2278</v>
      </c>
      <c r="U2064" s="4" t="s">
        <v>13535</v>
      </c>
      <c r="V2064" s="2" t="s">
        <v>13218</v>
      </c>
      <c r="W2064" s="2" t="s">
        <v>13207</v>
      </c>
      <c r="X2064" s="5" t="str">
        <f>HYPERLINK("https://my.pitchbook.com?p=435817-36P","View People Online")</f>
        <v>View People Online</v>
      </c>
    </row>
    <row r="2065">
      <c r="A2065" s="6" t="s">
        <v>14247</v>
      </c>
      <c r="B2065" s="6" t="s">
        <v>14248</v>
      </c>
      <c r="C2065" s="6" t="s">
        <v>14249</v>
      </c>
      <c r="D2065" s="6" t="s">
        <v>14250</v>
      </c>
      <c r="E2065" s="6" t="s">
        <v>13207</v>
      </c>
      <c r="F2065" s="6" t="s">
        <v>13218</v>
      </c>
      <c r="G2065" s="6" t="s">
        <v>14251</v>
      </c>
      <c r="H2065" s="7">
        <v>1.0</v>
      </c>
      <c r="I2065" s="7">
        <v>2.0</v>
      </c>
      <c r="J2065" s="7">
        <v>1.0</v>
      </c>
      <c r="K2065" s="7" t="s">
        <v>31</v>
      </c>
      <c r="L2065" s="8" t="s">
        <v>13459</v>
      </c>
      <c r="M2065" s="6" t="s">
        <v>14252</v>
      </c>
      <c r="N2065" s="6" t="s">
        <v>3100</v>
      </c>
      <c r="O2065" s="8" t="s">
        <v>3101</v>
      </c>
      <c r="P2065" s="6" t="s">
        <v>13461</v>
      </c>
      <c r="Q2065" s="6" t="s">
        <v>31</v>
      </c>
      <c r="R2065" s="6" t="s">
        <v>31</v>
      </c>
      <c r="S2065" s="8" t="s">
        <v>3103</v>
      </c>
      <c r="T2065" s="6" t="s">
        <v>3104</v>
      </c>
      <c r="U2065" s="8" t="s">
        <v>13462</v>
      </c>
      <c r="V2065" s="6" t="s">
        <v>13218</v>
      </c>
      <c r="W2065" s="6" t="s">
        <v>13207</v>
      </c>
      <c r="X2065" s="9" t="str">
        <f>HYPERLINK("https://my.pitchbook.com?p=344839-24P","View People Online")</f>
        <v>View People Online</v>
      </c>
    </row>
    <row r="2066">
      <c r="A2066" s="2" t="s">
        <v>14253</v>
      </c>
      <c r="B2066" s="2" t="s">
        <v>14254</v>
      </c>
      <c r="C2066" s="2" t="s">
        <v>14255</v>
      </c>
      <c r="D2066" s="2" t="s">
        <v>14256</v>
      </c>
      <c r="E2066" s="2" t="s">
        <v>13207</v>
      </c>
      <c r="F2066" s="2" t="s">
        <v>3523</v>
      </c>
      <c r="G2066" s="2" t="s">
        <v>14257</v>
      </c>
      <c r="H2066" s="3" t="s">
        <v>31</v>
      </c>
      <c r="I2066" s="3">
        <v>1.0</v>
      </c>
      <c r="J2066" s="3">
        <v>1.0</v>
      </c>
      <c r="K2066" s="3" t="s">
        <v>31</v>
      </c>
      <c r="L2066" s="4" t="s">
        <v>13274</v>
      </c>
      <c r="M2066" s="2" t="s">
        <v>14258</v>
      </c>
      <c r="N2066" s="2" t="s">
        <v>1181</v>
      </c>
      <c r="O2066" s="4" t="s">
        <v>1182</v>
      </c>
      <c r="P2066" s="2" t="s">
        <v>13276</v>
      </c>
      <c r="Q2066" s="2" t="s">
        <v>31</v>
      </c>
      <c r="R2066" s="2" t="s">
        <v>1185</v>
      </c>
      <c r="S2066" s="4" t="s">
        <v>4438</v>
      </c>
      <c r="T2066" s="2" t="s">
        <v>66</v>
      </c>
      <c r="U2066" s="4" t="s">
        <v>13277</v>
      </c>
      <c r="V2066" s="2" t="s">
        <v>3523</v>
      </c>
      <c r="W2066" s="2" t="s">
        <v>13207</v>
      </c>
      <c r="X2066" s="5" t="str">
        <f>HYPERLINK("https://my.pitchbook.com?p=435584-26P","View People Online")</f>
        <v>View People Online</v>
      </c>
    </row>
    <row r="2067">
      <c r="A2067" s="14" t="s">
        <v>14259</v>
      </c>
      <c r="B2067" s="14" t="s">
        <v>14260</v>
      </c>
      <c r="C2067" s="14" t="s">
        <v>7054</v>
      </c>
      <c r="D2067" s="14" t="s">
        <v>14261</v>
      </c>
      <c r="E2067" s="14" t="s">
        <v>13207</v>
      </c>
      <c r="F2067" s="14" t="s">
        <v>3523</v>
      </c>
      <c r="G2067" s="14" t="s">
        <v>14262</v>
      </c>
      <c r="H2067" s="15" t="s">
        <v>31</v>
      </c>
      <c r="I2067" s="15">
        <v>1.0</v>
      </c>
      <c r="J2067" s="15">
        <v>1.0</v>
      </c>
      <c r="K2067" s="15" t="s">
        <v>31</v>
      </c>
      <c r="L2067" s="16" t="s">
        <v>13632</v>
      </c>
      <c r="M2067" s="14" t="s">
        <v>14263</v>
      </c>
      <c r="N2067" s="14" t="s">
        <v>7690</v>
      </c>
      <c r="O2067" s="16" t="s">
        <v>7691</v>
      </c>
      <c r="P2067" s="14" t="s">
        <v>13634</v>
      </c>
      <c r="Q2067" s="14" t="s">
        <v>13635</v>
      </c>
      <c r="R2067" s="14" t="s">
        <v>7693</v>
      </c>
      <c r="S2067" s="16" t="s">
        <v>13636</v>
      </c>
      <c r="T2067" s="14" t="s">
        <v>66</v>
      </c>
      <c r="U2067" s="16" t="s">
        <v>13637</v>
      </c>
      <c r="V2067" s="14" t="s">
        <v>3523</v>
      </c>
      <c r="W2067" s="14" t="s">
        <v>13207</v>
      </c>
      <c r="X2067" s="17" t="str">
        <f>HYPERLINK("https://my.pitchbook.com?p=456185-17P","View People Online")</f>
        <v>View People Online</v>
      </c>
    </row>
    <row r="2068">
      <c r="A2068" s="10" t="s">
        <v>14264</v>
      </c>
      <c r="B2068" s="10" t="s">
        <v>14265</v>
      </c>
      <c r="C2068" s="10" t="s">
        <v>14266</v>
      </c>
      <c r="D2068" s="10" t="s">
        <v>14267</v>
      </c>
      <c r="E2068" s="10" t="s">
        <v>13207</v>
      </c>
      <c r="F2068" s="10" t="s">
        <v>3523</v>
      </c>
      <c r="G2068" s="10" t="s">
        <v>14268</v>
      </c>
      <c r="H2068" s="11" t="s">
        <v>31</v>
      </c>
      <c r="I2068" s="11">
        <v>1.0</v>
      </c>
      <c r="J2068" s="11">
        <v>1.0</v>
      </c>
      <c r="K2068" s="11" t="s">
        <v>31</v>
      </c>
      <c r="L2068" s="12" t="s">
        <v>13220</v>
      </c>
      <c r="M2068" s="10" t="s">
        <v>14269</v>
      </c>
      <c r="N2068" s="10" t="s">
        <v>2478</v>
      </c>
      <c r="O2068" s="12" t="s">
        <v>7332</v>
      </c>
      <c r="P2068" s="10" t="s">
        <v>13222</v>
      </c>
      <c r="Q2068" s="10" t="s">
        <v>13223</v>
      </c>
      <c r="R2068" s="10" t="s">
        <v>7335</v>
      </c>
      <c r="S2068" s="12" t="s">
        <v>7336</v>
      </c>
      <c r="T2068" s="10" t="s">
        <v>5484</v>
      </c>
      <c r="U2068" s="12" t="s">
        <v>13224</v>
      </c>
      <c r="V2068" s="10" t="s">
        <v>3523</v>
      </c>
      <c r="W2068" s="10" t="s">
        <v>13207</v>
      </c>
      <c r="X2068" s="13" t="str">
        <f>HYPERLINK("https://my.pitchbook.com?p=456528-34P","View People Online")</f>
        <v>View People Online</v>
      </c>
    </row>
    <row r="2069">
      <c r="A2069" s="14" t="s">
        <v>14270</v>
      </c>
      <c r="B2069" s="14" t="s">
        <v>14271</v>
      </c>
      <c r="C2069" s="14" t="s">
        <v>14272</v>
      </c>
      <c r="D2069" s="14" t="s">
        <v>5127</v>
      </c>
      <c r="E2069" s="14" t="s">
        <v>13207</v>
      </c>
      <c r="F2069" s="14" t="s">
        <v>3523</v>
      </c>
      <c r="G2069" s="14" t="s">
        <v>14273</v>
      </c>
      <c r="H2069" s="15" t="s">
        <v>31</v>
      </c>
      <c r="I2069" s="15">
        <v>1.0</v>
      </c>
      <c r="J2069" s="15">
        <v>1.0</v>
      </c>
      <c r="K2069" s="15" t="s">
        <v>31</v>
      </c>
      <c r="L2069" s="16" t="s">
        <v>13412</v>
      </c>
      <c r="M2069" s="14" t="s">
        <v>14274</v>
      </c>
      <c r="N2069" s="14" t="s">
        <v>13414</v>
      </c>
      <c r="O2069" s="16" t="s">
        <v>13415</v>
      </c>
      <c r="P2069" s="14" t="s">
        <v>13416</v>
      </c>
      <c r="Q2069" s="14" t="s">
        <v>31</v>
      </c>
      <c r="R2069" s="14" t="s">
        <v>209</v>
      </c>
      <c r="S2069" s="16" t="s">
        <v>13417</v>
      </c>
      <c r="T2069" s="14" t="s">
        <v>66</v>
      </c>
      <c r="U2069" s="16" t="s">
        <v>13418</v>
      </c>
      <c r="V2069" s="14" t="s">
        <v>3523</v>
      </c>
      <c r="W2069" s="14" t="s">
        <v>13207</v>
      </c>
      <c r="X2069" s="17" t="str">
        <f>HYPERLINK("https://my.pitchbook.com?p=434822-50P","View People Online")</f>
        <v>View People Online</v>
      </c>
    </row>
    <row r="2070">
      <c r="A2070" s="10" t="s">
        <v>14275</v>
      </c>
      <c r="B2070" s="10" t="s">
        <v>14276</v>
      </c>
      <c r="C2070" s="10" t="s">
        <v>14277</v>
      </c>
      <c r="D2070" s="10" t="s">
        <v>14278</v>
      </c>
      <c r="E2070" s="10" t="s">
        <v>13207</v>
      </c>
      <c r="F2070" s="10" t="s">
        <v>3523</v>
      </c>
      <c r="G2070" s="10" t="s">
        <v>14279</v>
      </c>
      <c r="H2070" s="11" t="s">
        <v>31</v>
      </c>
      <c r="I2070" s="11">
        <v>1.0</v>
      </c>
      <c r="J2070" s="11">
        <v>1.0</v>
      </c>
      <c r="K2070" s="11" t="s">
        <v>31</v>
      </c>
      <c r="L2070" s="12" t="s">
        <v>13274</v>
      </c>
      <c r="M2070" s="10" t="s">
        <v>14280</v>
      </c>
      <c r="N2070" s="10" t="s">
        <v>1181</v>
      </c>
      <c r="O2070" s="12" t="s">
        <v>1182</v>
      </c>
      <c r="P2070" s="10" t="s">
        <v>13276</v>
      </c>
      <c r="Q2070" s="10" t="s">
        <v>31</v>
      </c>
      <c r="R2070" s="10" t="s">
        <v>1185</v>
      </c>
      <c r="S2070" s="12" t="s">
        <v>4438</v>
      </c>
      <c r="T2070" s="10" t="s">
        <v>66</v>
      </c>
      <c r="U2070" s="12" t="s">
        <v>13277</v>
      </c>
      <c r="V2070" s="10" t="s">
        <v>3523</v>
      </c>
      <c r="W2070" s="10" t="s">
        <v>13207</v>
      </c>
      <c r="X2070" s="13" t="str">
        <f>HYPERLINK("https://my.pitchbook.com?p=435139-93P","View People Online")</f>
        <v>View People Online</v>
      </c>
    </row>
    <row r="2071">
      <c r="A2071" s="6" t="s">
        <v>14281</v>
      </c>
      <c r="B2071" s="6" t="s">
        <v>14282</v>
      </c>
      <c r="C2071" s="6" t="s">
        <v>1541</v>
      </c>
      <c r="D2071" s="6" t="s">
        <v>7805</v>
      </c>
      <c r="E2071" s="6" t="s">
        <v>13207</v>
      </c>
      <c r="F2071" s="6" t="s">
        <v>13218</v>
      </c>
      <c r="G2071" s="6" t="s">
        <v>14283</v>
      </c>
      <c r="H2071" s="7" t="s">
        <v>31</v>
      </c>
      <c r="I2071" s="7">
        <v>1.0</v>
      </c>
      <c r="J2071" s="7">
        <v>1.0</v>
      </c>
      <c r="K2071" s="7" t="s">
        <v>31</v>
      </c>
      <c r="L2071" s="8" t="s">
        <v>13220</v>
      </c>
      <c r="M2071" s="6" t="s">
        <v>14284</v>
      </c>
      <c r="N2071" s="6" t="s">
        <v>2478</v>
      </c>
      <c r="O2071" s="8" t="s">
        <v>7332</v>
      </c>
      <c r="P2071" s="6" t="s">
        <v>13222</v>
      </c>
      <c r="Q2071" s="6" t="s">
        <v>13223</v>
      </c>
      <c r="R2071" s="6" t="s">
        <v>7335</v>
      </c>
      <c r="S2071" s="8" t="s">
        <v>7336</v>
      </c>
      <c r="T2071" s="6" t="s">
        <v>5484</v>
      </c>
      <c r="U2071" s="8" t="s">
        <v>13224</v>
      </c>
      <c r="V2071" s="6" t="s">
        <v>13218</v>
      </c>
      <c r="W2071" s="6" t="s">
        <v>13207</v>
      </c>
      <c r="X2071" s="9" t="str">
        <f>HYPERLINK("https://my.pitchbook.com?p=435403-45P","View People Online")</f>
        <v>View People Online</v>
      </c>
    </row>
    <row r="2072">
      <c r="A2072" s="10" t="s">
        <v>14285</v>
      </c>
      <c r="B2072" s="10" t="s">
        <v>14286</v>
      </c>
      <c r="C2072" s="10" t="s">
        <v>1541</v>
      </c>
      <c r="D2072" s="10" t="s">
        <v>14287</v>
      </c>
      <c r="E2072" s="10" t="s">
        <v>13207</v>
      </c>
      <c r="F2072" s="10" t="s">
        <v>3523</v>
      </c>
      <c r="G2072" s="10" t="s">
        <v>14288</v>
      </c>
      <c r="H2072" s="11" t="s">
        <v>31</v>
      </c>
      <c r="I2072" s="11">
        <v>1.0</v>
      </c>
      <c r="J2072" s="11">
        <v>1.0</v>
      </c>
      <c r="K2072" s="11" t="s">
        <v>31</v>
      </c>
      <c r="L2072" s="12" t="s">
        <v>14201</v>
      </c>
      <c r="M2072" s="10" t="s">
        <v>14289</v>
      </c>
      <c r="N2072" s="10" t="s">
        <v>14203</v>
      </c>
      <c r="O2072" s="12" t="s">
        <v>14204</v>
      </c>
      <c r="P2072" s="10" t="s">
        <v>14205</v>
      </c>
      <c r="Q2072" s="10" t="s">
        <v>14206</v>
      </c>
      <c r="R2072" s="10" t="s">
        <v>1420</v>
      </c>
      <c r="S2072" s="12" t="s">
        <v>14207</v>
      </c>
      <c r="T2072" s="10" t="s">
        <v>66</v>
      </c>
      <c r="U2072" s="12" t="s">
        <v>14208</v>
      </c>
      <c r="V2072" s="10" t="s">
        <v>3523</v>
      </c>
      <c r="W2072" s="10" t="s">
        <v>13207</v>
      </c>
      <c r="X2072" s="13" t="str">
        <f>HYPERLINK("https://my.pitchbook.com?p=456057-01P","View People Online")</f>
        <v>View People Online</v>
      </c>
    </row>
    <row r="2073">
      <c r="A2073" s="6" t="s">
        <v>14290</v>
      </c>
      <c r="B2073" s="6" t="s">
        <v>14291</v>
      </c>
      <c r="C2073" s="6" t="s">
        <v>1541</v>
      </c>
      <c r="D2073" s="6" t="s">
        <v>14292</v>
      </c>
      <c r="E2073" s="6" t="s">
        <v>13207</v>
      </c>
      <c r="F2073" s="6" t="s">
        <v>29</v>
      </c>
      <c r="G2073" s="6" t="s">
        <v>14293</v>
      </c>
      <c r="H2073" s="7" t="s">
        <v>31</v>
      </c>
      <c r="I2073" s="7">
        <v>1.0</v>
      </c>
      <c r="J2073" s="7">
        <v>1.0</v>
      </c>
      <c r="K2073" s="7" t="s">
        <v>31</v>
      </c>
      <c r="L2073" s="8" t="s">
        <v>13242</v>
      </c>
      <c r="M2073" s="6" t="s">
        <v>14294</v>
      </c>
      <c r="N2073" s="6" t="s">
        <v>9865</v>
      </c>
      <c r="O2073" s="8" t="s">
        <v>9866</v>
      </c>
      <c r="P2073" s="6" t="s">
        <v>13244</v>
      </c>
      <c r="Q2073" s="6" t="s">
        <v>31</v>
      </c>
      <c r="R2073" s="6" t="s">
        <v>31</v>
      </c>
      <c r="S2073" s="8" t="s">
        <v>13245</v>
      </c>
      <c r="T2073" s="6" t="s">
        <v>38</v>
      </c>
      <c r="U2073" s="8" t="s">
        <v>13246</v>
      </c>
      <c r="V2073" s="6" t="s">
        <v>29</v>
      </c>
      <c r="W2073" s="6" t="s">
        <v>13207</v>
      </c>
      <c r="X2073" s="9" t="str">
        <f>HYPERLINK("https://my.pitchbook.com?p=455264-47P","View People Online")</f>
        <v>View People Online</v>
      </c>
    </row>
    <row r="2074">
      <c r="A2074" s="10" t="s">
        <v>14295</v>
      </c>
      <c r="B2074" s="10" t="s">
        <v>14296</v>
      </c>
      <c r="C2074" s="10" t="s">
        <v>1541</v>
      </c>
      <c r="D2074" s="10" t="s">
        <v>14297</v>
      </c>
      <c r="E2074" s="10" t="s">
        <v>13207</v>
      </c>
      <c r="F2074" s="10" t="s">
        <v>3523</v>
      </c>
      <c r="G2074" s="10" t="s">
        <v>14298</v>
      </c>
      <c r="H2074" s="11" t="s">
        <v>31</v>
      </c>
      <c r="I2074" s="11">
        <v>1.0</v>
      </c>
      <c r="J2074" s="11">
        <v>1.0</v>
      </c>
      <c r="K2074" s="11" t="s">
        <v>31</v>
      </c>
      <c r="L2074" s="12" t="s">
        <v>13459</v>
      </c>
      <c r="M2074" s="10" t="s">
        <v>14299</v>
      </c>
      <c r="N2074" s="10" t="s">
        <v>3100</v>
      </c>
      <c r="O2074" s="12" t="s">
        <v>3101</v>
      </c>
      <c r="P2074" s="10" t="s">
        <v>13461</v>
      </c>
      <c r="Q2074" s="10" t="s">
        <v>31</v>
      </c>
      <c r="R2074" s="10" t="s">
        <v>31</v>
      </c>
      <c r="S2074" s="12" t="s">
        <v>3103</v>
      </c>
      <c r="T2074" s="10" t="s">
        <v>3104</v>
      </c>
      <c r="U2074" s="12" t="s">
        <v>13462</v>
      </c>
      <c r="V2074" s="10" t="s">
        <v>3523</v>
      </c>
      <c r="W2074" s="10" t="s">
        <v>13207</v>
      </c>
      <c r="X2074" s="13" t="str">
        <f>HYPERLINK("https://my.pitchbook.com?p=455683-06P","View People Online")</f>
        <v>View People Online</v>
      </c>
    </row>
    <row r="2075">
      <c r="A2075" s="6" t="s">
        <v>14300</v>
      </c>
      <c r="B2075" s="6" t="s">
        <v>14301</v>
      </c>
      <c r="C2075" s="6" t="s">
        <v>14302</v>
      </c>
      <c r="D2075" s="6" t="s">
        <v>14303</v>
      </c>
      <c r="E2075" s="6" t="s">
        <v>13207</v>
      </c>
      <c r="F2075" s="6" t="s">
        <v>318</v>
      </c>
      <c r="G2075" s="6" t="s">
        <v>14304</v>
      </c>
      <c r="H2075" s="7" t="s">
        <v>31</v>
      </c>
      <c r="I2075" s="7">
        <v>1.0</v>
      </c>
      <c r="J2075" s="7">
        <v>1.0</v>
      </c>
      <c r="K2075" s="7" t="s">
        <v>31</v>
      </c>
      <c r="L2075" s="8" t="s">
        <v>13299</v>
      </c>
      <c r="M2075" s="6" t="s">
        <v>14305</v>
      </c>
      <c r="N2075" s="6" t="s">
        <v>601</v>
      </c>
      <c r="O2075" s="8" t="s">
        <v>602</v>
      </c>
      <c r="P2075" s="6" t="s">
        <v>13301</v>
      </c>
      <c r="Q2075" s="6" t="s">
        <v>13302</v>
      </c>
      <c r="R2075" s="6" t="s">
        <v>31</v>
      </c>
      <c r="S2075" s="8" t="s">
        <v>31</v>
      </c>
      <c r="T2075" s="6" t="s">
        <v>603</v>
      </c>
      <c r="U2075" s="8" t="s">
        <v>13303</v>
      </c>
      <c r="V2075" s="6" t="s">
        <v>318</v>
      </c>
      <c r="W2075" s="6" t="s">
        <v>13207</v>
      </c>
      <c r="X2075" s="9" t="str">
        <f>HYPERLINK("https://my.pitchbook.com?p=434842-48P","View People Online")</f>
        <v>View People Online</v>
      </c>
    </row>
    <row r="2076">
      <c r="A2076" s="2" t="s">
        <v>14306</v>
      </c>
      <c r="B2076" s="2" t="s">
        <v>14307</v>
      </c>
      <c r="C2076" s="2" t="s">
        <v>10162</v>
      </c>
      <c r="D2076" s="2" t="s">
        <v>14308</v>
      </c>
      <c r="E2076" s="2" t="s">
        <v>13207</v>
      </c>
      <c r="F2076" s="2" t="s">
        <v>29</v>
      </c>
      <c r="G2076" s="2" t="s">
        <v>14309</v>
      </c>
      <c r="H2076" s="3" t="s">
        <v>31</v>
      </c>
      <c r="I2076" s="3">
        <v>1.0</v>
      </c>
      <c r="J2076" s="3">
        <v>1.0</v>
      </c>
      <c r="K2076" s="3" t="s">
        <v>31</v>
      </c>
      <c r="L2076" s="4" t="s">
        <v>13399</v>
      </c>
      <c r="M2076" s="2" t="s">
        <v>14310</v>
      </c>
      <c r="N2076" s="2" t="s">
        <v>13401</v>
      </c>
      <c r="O2076" s="4" t="s">
        <v>13402</v>
      </c>
      <c r="P2076" s="2" t="s">
        <v>13403</v>
      </c>
      <c r="Q2076" s="2" t="s">
        <v>13404</v>
      </c>
      <c r="R2076" s="2" t="s">
        <v>31</v>
      </c>
      <c r="S2076" s="4" t="s">
        <v>13405</v>
      </c>
      <c r="T2076" s="2" t="s">
        <v>13406</v>
      </c>
      <c r="U2076" s="4" t="s">
        <v>13407</v>
      </c>
      <c r="V2076" s="2" t="s">
        <v>29</v>
      </c>
      <c r="W2076" s="2" t="s">
        <v>13207</v>
      </c>
      <c r="X2076" s="5" t="str">
        <f>HYPERLINK("https://my.pitchbook.com?p=435162-34P","View People Online")</f>
        <v>View People Online</v>
      </c>
    </row>
    <row r="2077">
      <c r="A2077" s="14" t="s">
        <v>14311</v>
      </c>
      <c r="B2077" s="14" t="s">
        <v>14312</v>
      </c>
      <c r="C2077" s="14" t="s">
        <v>10162</v>
      </c>
      <c r="D2077" s="14" t="s">
        <v>14313</v>
      </c>
      <c r="E2077" s="14" t="s">
        <v>13207</v>
      </c>
      <c r="F2077" s="14" t="s">
        <v>3523</v>
      </c>
      <c r="G2077" s="14" t="s">
        <v>14314</v>
      </c>
      <c r="H2077" s="15" t="s">
        <v>31</v>
      </c>
      <c r="I2077" s="15">
        <v>1.0</v>
      </c>
      <c r="J2077" s="15">
        <v>1.0</v>
      </c>
      <c r="K2077" s="15" t="s">
        <v>31</v>
      </c>
      <c r="L2077" s="16" t="s">
        <v>13724</v>
      </c>
      <c r="M2077" s="14" t="s">
        <v>14315</v>
      </c>
      <c r="N2077" s="14" t="s">
        <v>34</v>
      </c>
      <c r="O2077" s="16" t="s">
        <v>35</v>
      </c>
      <c r="P2077" s="14" t="s">
        <v>13726</v>
      </c>
      <c r="Q2077" s="14" t="s">
        <v>31</v>
      </c>
      <c r="R2077" s="14" t="s">
        <v>31</v>
      </c>
      <c r="S2077" s="16" t="s">
        <v>13727</v>
      </c>
      <c r="T2077" s="14" t="s">
        <v>38</v>
      </c>
      <c r="U2077" s="16" t="s">
        <v>13728</v>
      </c>
      <c r="V2077" s="14" t="s">
        <v>3523</v>
      </c>
      <c r="W2077" s="14" t="s">
        <v>13207</v>
      </c>
      <c r="X2077" s="17" t="str">
        <f>HYPERLINK("https://my.pitchbook.com?p=436380-85P","View People Online")</f>
        <v>View People Online</v>
      </c>
    </row>
    <row r="2078">
      <c r="A2078" s="2" t="s">
        <v>14316</v>
      </c>
      <c r="B2078" s="2" t="s">
        <v>14317</v>
      </c>
      <c r="C2078" s="2" t="s">
        <v>10162</v>
      </c>
      <c r="D2078" s="2" t="s">
        <v>7791</v>
      </c>
      <c r="E2078" s="2" t="s">
        <v>13207</v>
      </c>
      <c r="F2078" s="2" t="s">
        <v>3523</v>
      </c>
      <c r="G2078" s="2" t="s">
        <v>14318</v>
      </c>
      <c r="H2078" s="3" t="s">
        <v>31</v>
      </c>
      <c r="I2078" s="3">
        <v>1.0</v>
      </c>
      <c r="J2078" s="3">
        <v>1.0</v>
      </c>
      <c r="K2078" s="3" t="s">
        <v>31</v>
      </c>
      <c r="L2078" s="4" t="s">
        <v>13496</v>
      </c>
      <c r="M2078" s="2" t="s">
        <v>14319</v>
      </c>
      <c r="N2078" s="2" t="s">
        <v>75</v>
      </c>
      <c r="O2078" s="4" t="s">
        <v>76</v>
      </c>
      <c r="P2078" s="2" t="s">
        <v>13498</v>
      </c>
      <c r="Q2078" s="2" t="s">
        <v>31</v>
      </c>
      <c r="R2078" s="2" t="s">
        <v>75</v>
      </c>
      <c r="S2078" s="4" t="s">
        <v>195</v>
      </c>
      <c r="T2078" s="2" t="s">
        <v>66</v>
      </c>
      <c r="U2078" s="4" t="s">
        <v>13499</v>
      </c>
      <c r="V2078" s="2" t="s">
        <v>3523</v>
      </c>
      <c r="W2078" s="2" t="s">
        <v>13207</v>
      </c>
      <c r="X2078" s="5" t="str">
        <f>HYPERLINK("https://my.pitchbook.com?p=434826-64P","View People Online")</f>
        <v>View People Online</v>
      </c>
    </row>
    <row r="2079">
      <c r="A2079" s="14" t="s">
        <v>14320</v>
      </c>
      <c r="B2079" s="14" t="s">
        <v>14321</v>
      </c>
      <c r="C2079" s="14" t="s">
        <v>14322</v>
      </c>
      <c r="D2079" s="14" t="s">
        <v>14323</v>
      </c>
      <c r="E2079" s="14" t="s">
        <v>13207</v>
      </c>
      <c r="F2079" s="14" t="s">
        <v>3523</v>
      </c>
      <c r="G2079" s="14" t="s">
        <v>14324</v>
      </c>
      <c r="H2079" s="15" t="s">
        <v>31</v>
      </c>
      <c r="I2079" s="15">
        <v>1.0</v>
      </c>
      <c r="J2079" s="15">
        <v>1.0</v>
      </c>
      <c r="K2079" s="15" t="s">
        <v>31</v>
      </c>
      <c r="L2079" s="16" t="s">
        <v>13724</v>
      </c>
      <c r="M2079" s="14" t="s">
        <v>14325</v>
      </c>
      <c r="N2079" s="14" t="s">
        <v>34</v>
      </c>
      <c r="O2079" s="16" t="s">
        <v>35</v>
      </c>
      <c r="P2079" s="14" t="s">
        <v>13726</v>
      </c>
      <c r="Q2079" s="14" t="s">
        <v>31</v>
      </c>
      <c r="R2079" s="14" t="s">
        <v>31</v>
      </c>
      <c r="S2079" s="16" t="s">
        <v>13727</v>
      </c>
      <c r="T2079" s="14" t="s">
        <v>38</v>
      </c>
      <c r="U2079" s="16" t="s">
        <v>13728</v>
      </c>
      <c r="V2079" s="14" t="s">
        <v>3523</v>
      </c>
      <c r="W2079" s="14" t="s">
        <v>13207</v>
      </c>
      <c r="X2079" s="17" t="str">
        <f>HYPERLINK("https://my.pitchbook.com?p=436709-44P","View People Online")</f>
        <v>View People Online</v>
      </c>
    </row>
    <row r="2080">
      <c r="A2080" s="10" t="s">
        <v>14326</v>
      </c>
      <c r="B2080" s="10" t="s">
        <v>14327</v>
      </c>
      <c r="C2080" s="10" t="s">
        <v>14328</v>
      </c>
      <c r="D2080" s="10" t="s">
        <v>14329</v>
      </c>
      <c r="E2080" s="10" t="s">
        <v>13207</v>
      </c>
      <c r="F2080" s="10" t="s">
        <v>13218</v>
      </c>
      <c r="G2080" s="10" t="s">
        <v>14330</v>
      </c>
      <c r="H2080" s="11" t="s">
        <v>31</v>
      </c>
      <c r="I2080" s="11">
        <v>1.0</v>
      </c>
      <c r="J2080" s="11">
        <v>1.0</v>
      </c>
      <c r="K2080" s="11" t="s">
        <v>31</v>
      </c>
      <c r="L2080" s="12" t="s">
        <v>14331</v>
      </c>
      <c r="M2080" s="10" t="s">
        <v>14332</v>
      </c>
      <c r="N2080" s="10" t="s">
        <v>14333</v>
      </c>
      <c r="O2080" s="12" t="s">
        <v>14334</v>
      </c>
      <c r="P2080" s="10" t="s">
        <v>14335</v>
      </c>
      <c r="Q2080" s="10" t="s">
        <v>14336</v>
      </c>
      <c r="R2080" s="10" t="s">
        <v>31</v>
      </c>
      <c r="S2080" s="12" t="s">
        <v>14337</v>
      </c>
      <c r="T2080" s="10" t="s">
        <v>14338</v>
      </c>
      <c r="U2080" s="12" t="s">
        <v>31</v>
      </c>
      <c r="V2080" s="10" t="s">
        <v>14339</v>
      </c>
      <c r="W2080" s="10" t="s">
        <v>13207</v>
      </c>
      <c r="X2080" s="13" t="str">
        <f>HYPERLINK("https://my.pitchbook.com?p=436172-14P","View People Online")</f>
        <v>View People Online</v>
      </c>
    </row>
    <row r="2081">
      <c r="A2081" s="6" t="s">
        <v>14340</v>
      </c>
      <c r="B2081" s="6" t="s">
        <v>14341</v>
      </c>
      <c r="C2081" s="6" t="s">
        <v>3448</v>
      </c>
      <c r="D2081" s="6" t="s">
        <v>14342</v>
      </c>
      <c r="E2081" s="6" t="s">
        <v>13207</v>
      </c>
      <c r="F2081" s="6" t="s">
        <v>3523</v>
      </c>
      <c r="G2081" s="6" t="s">
        <v>14343</v>
      </c>
      <c r="H2081" s="7" t="s">
        <v>31</v>
      </c>
      <c r="I2081" s="7">
        <v>1.0</v>
      </c>
      <c r="J2081" s="7">
        <v>1.0</v>
      </c>
      <c r="K2081" s="7" t="s">
        <v>31</v>
      </c>
      <c r="L2081" s="8" t="s">
        <v>14014</v>
      </c>
      <c r="M2081" s="6" t="s">
        <v>14344</v>
      </c>
      <c r="N2081" s="6" t="s">
        <v>14016</v>
      </c>
      <c r="O2081" s="8" t="s">
        <v>14017</v>
      </c>
      <c r="P2081" s="6" t="s">
        <v>14018</v>
      </c>
      <c r="Q2081" s="6" t="s">
        <v>14019</v>
      </c>
      <c r="R2081" s="6" t="s">
        <v>31</v>
      </c>
      <c r="S2081" s="8" t="s">
        <v>14020</v>
      </c>
      <c r="T2081" s="6" t="s">
        <v>38</v>
      </c>
      <c r="U2081" s="8" t="s">
        <v>14014</v>
      </c>
      <c r="V2081" s="6" t="s">
        <v>3523</v>
      </c>
      <c r="W2081" s="6" t="s">
        <v>13207</v>
      </c>
      <c r="X2081" s="9" t="str">
        <f>HYPERLINK("https://my.pitchbook.com?p=436406-32P","View People Online")</f>
        <v>View People Online</v>
      </c>
    </row>
    <row r="2082">
      <c r="A2082" s="10" t="s">
        <v>14345</v>
      </c>
      <c r="B2082" s="10" t="s">
        <v>14346</v>
      </c>
      <c r="C2082" s="10" t="s">
        <v>1103</v>
      </c>
      <c r="D2082" s="10" t="s">
        <v>14347</v>
      </c>
      <c r="E2082" s="10" t="s">
        <v>13207</v>
      </c>
      <c r="F2082" s="10" t="s">
        <v>13218</v>
      </c>
      <c r="G2082" s="10" t="s">
        <v>14348</v>
      </c>
      <c r="H2082" s="11" t="s">
        <v>31</v>
      </c>
      <c r="I2082" s="11">
        <v>1.0</v>
      </c>
      <c r="J2082" s="11">
        <v>1.0</v>
      </c>
      <c r="K2082" s="11" t="s">
        <v>31</v>
      </c>
      <c r="L2082" s="12" t="s">
        <v>13220</v>
      </c>
      <c r="M2082" s="10" t="s">
        <v>14349</v>
      </c>
      <c r="N2082" s="10" t="s">
        <v>2478</v>
      </c>
      <c r="O2082" s="12" t="s">
        <v>7332</v>
      </c>
      <c r="P2082" s="10" t="s">
        <v>13222</v>
      </c>
      <c r="Q2082" s="10" t="s">
        <v>13223</v>
      </c>
      <c r="R2082" s="10" t="s">
        <v>7335</v>
      </c>
      <c r="S2082" s="12" t="s">
        <v>7336</v>
      </c>
      <c r="T2082" s="10" t="s">
        <v>5484</v>
      </c>
      <c r="U2082" s="12" t="s">
        <v>13224</v>
      </c>
      <c r="V2082" s="10" t="s">
        <v>13218</v>
      </c>
      <c r="W2082" s="10" t="s">
        <v>13207</v>
      </c>
      <c r="X2082" s="13" t="str">
        <f>HYPERLINK("https://my.pitchbook.com?p=436148-02P","View People Online")</f>
        <v>View People Online</v>
      </c>
    </row>
    <row r="2083">
      <c r="A2083" s="6" t="s">
        <v>14350</v>
      </c>
      <c r="B2083" s="6" t="s">
        <v>14351</v>
      </c>
      <c r="C2083" s="6" t="s">
        <v>14352</v>
      </c>
      <c r="D2083" s="6" t="s">
        <v>14353</v>
      </c>
      <c r="E2083" s="6" t="s">
        <v>13207</v>
      </c>
      <c r="F2083" s="6" t="s">
        <v>13218</v>
      </c>
      <c r="G2083" s="6" t="s">
        <v>14354</v>
      </c>
      <c r="H2083" s="7" t="s">
        <v>31</v>
      </c>
      <c r="I2083" s="7">
        <v>1.0</v>
      </c>
      <c r="J2083" s="7">
        <v>1.0</v>
      </c>
      <c r="K2083" s="7" t="s">
        <v>31</v>
      </c>
      <c r="L2083" s="8" t="s">
        <v>13378</v>
      </c>
      <c r="M2083" s="6" t="s">
        <v>14355</v>
      </c>
      <c r="N2083" s="6" t="s">
        <v>429</v>
      </c>
      <c r="O2083" s="8" t="s">
        <v>430</v>
      </c>
      <c r="P2083" s="6" t="s">
        <v>13380</v>
      </c>
      <c r="Q2083" s="6" t="s">
        <v>31</v>
      </c>
      <c r="R2083" s="6" t="s">
        <v>31</v>
      </c>
      <c r="S2083" s="8" t="s">
        <v>13381</v>
      </c>
      <c r="T2083" s="6" t="s">
        <v>433</v>
      </c>
      <c r="U2083" s="8" t="s">
        <v>13382</v>
      </c>
      <c r="V2083" s="6" t="s">
        <v>13218</v>
      </c>
      <c r="W2083" s="6" t="s">
        <v>13207</v>
      </c>
      <c r="X2083" s="9" t="str">
        <f>HYPERLINK("https://my.pitchbook.com?p=435928-06P","View People Online")</f>
        <v>View People Online</v>
      </c>
    </row>
    <row r="2084">
      <c r="A2084" s="2" t="s">
        <v>14356</v>
      </c>
      <c r="B2084" s="2" t="s">
        <v>14357</v>
      </c>
      <c r="C2084" s="2" t="s">
        <v>14352</v>
      </c>
      <c r="D2084" s="2" t="s">
        <v>14358</v>
      </c>
      <c r="E2084" s="2" t="s">
        <v>13207</v>
      </c>
      <c r="F2084" s="2" t="s">
        <v>3523</v>
      </c>
      <c r="G2084" s="2" t="s">
        <v>14359</v>
      </c>
      <c r="H2084" s="3" t="s">
        <v>31</v>
      </c>
      <c r="I2084" s="3">
        <v>1.0</v>
      </c>
      <c r="J2084" s="3">
        <v>1.0</v>
      </c>
      <c r="K2084" s="3" t="s">
        <v>31</v>
      </c>
      <c r="L2084" s="4" t="s">
        <v>13299</v>
      </c>
      <c r="M2084" s="2" t="s">
        <v>14360</v>
      </c>
      <c r="N2084" s="2" t="s">
        <v>601</v>
      </c>
      <c r="O2084" s="4" t="s">
        <v>602</v>
      </c>
      <c r="P2084" s="2" t="s">
        <v>13301</v>
      </c>
      <c r="Q2084" s="2" t="s">
        <v>13302</v>
      </c>
      <c r="R2084" s="2" t="s">
        <v>31</v>
      </c>
      <c r="S2084" s="4" t="s">
        <v>31</v>
      </c>
      <c r="T2084" s="2" t="s">
        <v>603</v>
      </c>
      <c r="U2084" s="4" t="s">
        <v>13303</v>
      </c>
      <c r="V2084" s="2" t="s">
        <v>3523</v>
      </c>
      <c r="W2084" s="2" t="s">
        <v>13207</v>
      </c>
      <c r="X2084" s="5" t="str">
        <f>HYPERLINK("https://my.pitchbook.com?p=455615-92P","View People Online")</f>
        <v>View People Online</v>
      </c>
    </row>
    <row r="2085">
      <c r="A2085" s="14" t="s">
        <v>14361</v>
      </c>
      <c r="B2085" s="14" t="s">
        <v>14362</v>
      </c>
      <c r="C2085" s="14" t="s">
        <v>14363</v>
      </c>
      <c r="D2085" s="14" t="s">
        <v>14364</v>
      </c>
      <c r="E2085" s="14" t="s">
        <v>13207</v>
      </c>
      <c r="F2085" s="14" t="s">
        <v>3523</v>
      </c>
      <c r="G2085" s="14" t="s">
        <v>14365</v>
      </c>
      <c r="H2085" s="15" t="s">
        <v>31</v>
      </c>
      <c r="I2085" s="15">
        <v>1.0</v>
      </c>
      <c r="J2085" s="15">
        <v>1.0</v>
      </c>
      <c r="K2085" s="15" t="s">
        <v>31</v>
      </c>
      <c r="L2085" s="16" t="s">
        <v>13274</v>
      </c>
      <c r="M2085" s="14" t="s">
        <v>14366</v>
      </c>
      <c r="N2085" s="14" t="s">
        <v>1181</v>
      </c>
      <c r="O2085" s="16" t="s">
        <v>1182</v>
      </c>
      <c r="P2085" s="14" t="s">
        <v>13276</v>
      </c>
      <c r="Q2085" s="14" t="s">
        <v>31</v>
      </c>
      <c r="R2085" s="14" t="s">
        <v>1185</v>
      </c>
      <c r="S2085" s="16" t="s">
        <v>4438</v>
      </c>
      <c r="T2085" s="14" t="s">
        <v>66</v>
      </c>
      <c r="U2085" s="16" t="s">
        <v>13277</v>
      </c>
      <c r="V2085" s="14" t="s">
        <v>3523</v>
      </c>
      <c r="W2085" s="14" t="s">
        <v>13207</v>
      </c>
      <c r="X2085" s="17" t="str">
        <f>HYPERLINK("https://my.pitchbook.com?p=455327-83P","View People Online")</f>
        <v>View People Online</v>
      </c>
    </row>
    <row r="2086">
      <c r="A2086" s="10" t="s">
        <v>14367</v>
      </c>
      <c r="B2086" s="10" t="s">
        <v>14368</v>
      </c>
      <c r="C2086" s="10" t="s">
        <v>14363</v>
      </c>
      <c r="D2086" s="10" t="s">
        <v>14369</v>
      </c>
      <c r="E2086" s="10" t="s">
        <v>13207</v>
      </c>
      <c r="F2086" s="10" t="s">
        <v>3523</v>
      </c>
      <c r="G2086" s="10" t="s">
        <v>14370</v>
      </c>
      <c r="H2086" s="11" t="s">
        <v>31</v>
      </c>
      <c r="I2086" s="11">
        <v>1.0</v>
      </c>
      <c r="J2086" s="11">
        <v>1.0</v>
      </c>
      <c r="K2086" s="11" t="s">
        <v>31</v>
      </c>
      <c r="L2086" s="12" t="s">
        <v>13274</v>
      </c>
      <c r="M2086" s="10" t="s">
        <v>14371</v>
      </c>
      <c r="N2086" s="10" t="s">
        <v>1181</v>
      </c>
      <c r="O2086" s="12" t="s">
        <v>1182</v>
      </c>
      <c r="P2086" s="10" t="s">
        <v>13276</v>
      </c>
      <c r="Q2086" s="10" t="s">
        <v>31</v>
      </c>
      <c r="R2086" s="10" t="s">
        <v>1185</v>
      </c>
      <c r="S2086" s="12" t="s">
        <v>4438</v>
      </c>
      <c r="T2086" s="10" t="s">
        <v>66</v>
      </c>
      <c r="U2086" s="12" t="s">
        <v>13277</v>
      </c>
      <c r="V2086" s="10" t="s">
        <v>3523</v>
      </c>
      <c r="W2086" s="10" t="s">
        <v>13207</v>
      </c>
      <c r="X2086" s="13" t="str">
        <f>HYPERLINK("https://my.pitchbook.com?p=456708-52P","View People Online")</f>
        <v>View People Online</v>
      </c>
    </row>
    <row r="2087">
      <c r="A2087" s="14" t="s">
        <v>14372</v>
      </c>
      <c r="B2087" s="14" t="s">
        <v>14373</v>
      </c>
      <c r="C2087" s="14" t="s">
        <v>10780</v>
      </c>
      <c r="D2087" s="14" t="s">
        <v>14374</v>
      </c>
      <c r="E2087" s="14" t="s">
        <v>13207</v>
      </c>
      <c r="F2087" s="14" t="s">
        <v>3523</v>
      </c>
      <c r="G2087" s="14" t="s">
        <v>14375</v>
      </c>
      <c r="H2087" s="15" t="s">
        <v>31</v>
      </c>
      <c r="I2087" s="15">
        <v>1.0</v>
      </c>
      <c r="J2087" s="15">
        <v>1.0</v>
      </c>
      <c r="K2087" s="15" t="s">
        <v>31</v>
      </c>
      <c r="L2087" s="16" t="s">
        <v>13540</v>
      </c>
      <c r="M2087" s="14" t="s">
        <v>14376</v>
      </c>
      <c r="N2087" s="14" t="s">
        <v>418</v>
      </c>
      <c r="O2087" s="16" t="s">
        <v>419</v>
      </c>
      <c r="P2087" s="14" t="s">
        <v>13542</v>
      </c>
      <c r="Q2087" s="14" t="s">
        <v>31</v>
      </c>
      <c r="R2087" s="14" t="s">
        <v>31</v>
      </c>
      <c r="S2087" s="16" t="s">
        <v>2664</v>
      </c>
      <c r="T2087" s="14" t="s">
        <v>422</v>
      </c>
      <c r="U2087" s="16" t="s">
        <v>13543</v>
      </c>
      <c r="V2087" s="14" t="s">
        <v>3523</v>
      </c>
      <c r="W2087" s="14" t="s">
        <v>13207</v>
      </c>
      <c r="X2087" s="17" t="str">
        <f>HYPERLINK("https://my.pitchbook.com?p=456717-25P","View People Online")</f>
        <v>View People Online</v>
      </c>
    </row>
    <row r="2088">
      <c r="A2088" s="10" t="s">
        <v>14377</v>
      </c>
      <c r="B2088" s="10" t="s">
        <v>14378</v>
      </c>
      <c r="C2088" s="10" t="s">
        <v>14379</v>
      </c>
      <c r="D2088" s="10" t="s">
        <v>6447</v>
      </c>
      <c r="E2088" s="10" t="s">
        <v>13207</v>
      </c>
      <c r="F2088" s="10" t="s">
        <v>13218</v>
      </c>
      <c r="G2088" s="10" t="s">
        <v>14380</v>
      </c>
      <c r="H2088" s="11" t="s">
        <v>31</v>
      </c>
      <c r="I2088" s="11">
        <v>1.0</v>
      </c>
      <c r="J2088" s="11">
        <v>1.0</v>
      </c>
      <c r="K2088" s="11" t="s">
        <v>31</v>
      </c>
      <c r="L2088" s="12" t="s">
        <v>13423</v>
      </c>
      <c r="M2088" s="10" t="s">
        <v>14381</v>
      </c>
      <c r="N2088" s="10" t="s">
        <v>243</v>
      </c>
      <c r="O2088" s="12" t="s">
        <v>244</v>
      </c>
      <c r="P2088" s="10" t="s">
        <v>13425</v>
      </c>
      <c r="Q2088" s="10" t="s">
        <v>31</v>
      </c>
      <c r="R2088" s="10" t="s">
        <v>247</v>
      </c>
      <c r="S2088" s="12" t="s">
        <v>13426</v>
      </c>
      <c r="T2088" s="10" t="s">
        <v>249</v>
      </c>
      <c r="U2088" s="12" t="s">
        <v>31</v>
      </c>
      <c r="V2088" s="10" t="s">
        <v>14182</v>
      </c>
      <c r="W2088" s="10" t="s">
        <v>13207</v>
      </c>
      <c r="X2088" s="13" t="str">
        <f>HYPERLINK("https://my.pitchbook.com?p=94909-60P","View People Online")</f>
        <v>View People Online</v>
      </c>
    </row>
    <row r="2089">
      <c r="A2089" s="14" t="s">
        <v>14382</v>
      </c>
      <c r="B2089" s="14" t="s">
        <v>14383</v>
      </c>
      <c r="C2089" s="14" t="s">
        <v>14384</v>
      </c>
      <c r="D2089" s="14" t="s">
        <v>14385</v>
      </c>
      <c r="E2089" s="14" t="s">
        <v>13207</v>
      </c>
      <c r="F2089" s="14" t="s">
        <v>3523</v>
      </c>
      <c r="G2089" s="14" t="s">
        <v>14386</v>
      </c>
      <c r="H2089" s="15" t="s">
        <v>31</v>
      </c>
      <c r="I2089" s="15">
        <v>1.0</v>
      </c>
      <c r="J2089" s="15">
        <v>1.0</v>
      </c>
      <c r="K2089" s="15" t="s">
        <v>31</v>
      </c>
      <c r="L2089" s="16" t="s">
        <v>14387</v>
      </c>
      <c r="M2089" s="14" t="s">
        <v>14388</v>
      </c>
      <c r="N2089" s="14" t="s">
        <v>14389</v>
      </c>
      <c r="O2089" s="16" t="s">
        <v>14390</v>
      </c>
      <c r="P2089" s="14" t="s">
        <v>14391</v>
      </c>
      <c r="Q2089" s="14" t="s">
        <v>2403</v>
      </c>
      <c r="R2089" s="14" t="s">
        <v>31</v>
      </c>
      <c r="S2089" s="16" t="s">
        <v>14392</v>
      </c>
      <c r="T2089" s="14" t="s">
        <v>14393</v>
      </c>
      <c r="U2089" s="16" t="s">
        <v>14394</v>
      </c>
      <c r="V2089" s="14" t="s">
        <v>3523</v>
      </c>
      <c r="W2089" s="14" t="s">
        <v>13207</v>
      </c>
      <c r="X2089" s="17" t="str">
        <f>HYPERLINK("https://my.pitchbook.com?p=435621-70P","View People Online")</f>
        <v>View People Online</v>
      </c>
    </row>
    <row r="2090">
      <c r="A2090" s="10" t="s">
        <v>14395</v>
      </c>
      <c r="B2090" s="10" t="s">
        <v>14396</v>
      </c>
      <c r="C2090" s="10" t="s">
        <v>14397</v>
      </c>
      <c r="D2090" s="10" t="s">
        <v>14398</v>
      </c>
      <c r="E2090" s="10" t="s">
        <v>13207</v>
      </c>
      <c r="F2090" s="10" t="s">
        <v>1283</v>
      </c>
      <c r="G2090" s="10" t="s">
        <v>14399</v>
      </c>
      <c r="H2090" s="11" t="s">
        <v>31</v>
      </c>
      <c r="I2090" s="11">
        <v>1.0</v>
      </c>
      <c r="J2090" s="11">
        <v>1.0</v>
      </c>
      <c r="K2090" s="11" t="s">
        <v>31</v>
      </c>
      <c r="L2090" s="12" t="s">
        <v>13743</v>
      </c>
      <c r="M2090" s="10" t="s">
        <v>14400</v>
      </c>
      <c r="N2090" s="10" t="s">
        <v>1034</v>
      </c>
      <c r="O2090" s="12" t="s">
        <v>1035</v>
      </c>
      <c r="P2090" s="10" t="s">
        <v>13745</v>
      </c>
      <c r="Q2090" s="10" t="s">
        <v>13746</v>
      </c>
      <c r="R2090" s="10" t="s">
        <v>31</v>
      </c>
      <c r="S2090" s="12" t="s">
        <v>13747</v>
      </c>
      <c r="T2090" s="10" t="s">
        <v>1034</v>
      </c>
      <c r="U2090" s="12" t="s">
        <v>13748</v>
      </c>
      <c r="V2090" s="10" t="s">
        <v>14401</v>
      </c>
      <c r="W2090" s="10" t="s">
        <v>13207</v>
      </c>
      <c r="X2090" s="13" t="str">
        <f>HYPERLINK("https://my.pitchbook.com?p=392265-10P","View People Online")</f>
        <v>View People Online</v>
      </c>
    </row>
    <row r="2091">
      <c r="A2091" s="14" t="s">
        <v>14402</v>
      </c>
      <c r="B2091" s="14" t="s">
        <v>14403</v>
      </c>
      <c r="C2091" s="14" t="s">
        <v>14404</v>
      </c>
      <c r="D2091" s="14" t="s">
        <v>14405</v>
      </c>
      <c r="E2091" s="14" t="s">
        <v>13207</v>
      </c>
      <c r="F2091" s="14" t="s">
        <v>3523</v>
      </c>
      <c r="G2091" s="14" t="s">
        <v>14406</v>
      </c>
      <c r="H2091" s="15" t="s">
        <v>31</v>
      </c>
      <c r="I2091" s="15">
        <v>1.0</v>
      </c>
      <c r="J2091" s="15">
        <v>1.0</v>
      </c>
      <c r="K2091" s="15" t="s">
        <v>31</v>
      </c>
      <c r="L2091" s="16" t="s">
        <v>13743</v>
      </c>
      <c r="M2091" s="14" t="s">
        <v>14407</v>
      </c>
      <c r="N2091" s="14" t="s">
        <v>1034</v>
      </c>
      <c r="O2091" s="16" t="s">
        <v>1035</v>
      </c>
      <c r="P2091" s="14" t="s">
        <v>13745</v>
      </c>
      <c r="Q2091" s="14" t="s">
        <v>13746</v>
      </c>
      <c r="R2091" s="14" t="s">
        <v>31</v>
      </c>
      <c r="S2091" s="16" t="s">
        <v>13747</v>
      </c>
      <c r="T2091" s="14" t="s">
        <v>1034</v>
      </c>
      <c r="U2091" s="16" t="s">
        <v>13748</v>
      </c>
      <c r="V2091" s="14" t="s">
        <v>3523</v>
      </c>
      <c r="W2091" s="14" t="s">
        <v>13207</v>
      </c>
      <c r="X2091" s="17" t="str">
        <f>HYPERLINK("https://my.pitchbook.com?p=435016-54P","View People Online")</f>
        <v>View People Online</v>
      </c>
    </row>
    <row r="2092">
      <c r="A2092" s="2" t="s">
        <v>14408</v>
      </c>
      <c r="B2092" s="2" t="s">
        <v>14409</v>
      </c>
      <c r="C2092" s="2" t="s">
        <v>14410</v>
      </c>
      <c r="D2092" s="2" t="s">
        <v>14411</v>
      </c>
      <c r="E2092" s="2" t="s">
        <v>13207</v>
      </c>
      <c r="F2092" s="2" t="s">
        <v>3523</v>
      </c>
      <c r="G2092" s="2" t="s">
        <v>14412</v>
      </c>
      <c r="H2092" s="3" t="s">
        <v>31</v>
      </c>
      <c r="I2092" s="3">
        <v>1.0</v>
      </c>
      <c r="J2092" s="3">
        <v>1.0</v>
      </c>
      <c r="K2092" s="3" t="s">
        <v>31</v>
      </c>
      <c r="L2092" s="4" t="s">
        <v>13423</v>
      </c>
      <c r="M2092" s="2" t="s">
        <v>14413</v>
      </c>
      <c r="N2092" s="2" t="s">
        <v>243</v>
      </c>
      <c r="O2092" s="4" t="s">
        <v>244</v>
      </c>
      <c r="P2092" s="2" t="s">
        <v>13425</v>
      </c>
      <c r="Q2092" s="2" t="s">
        <v>31</v>
      </c>
      <c r="R2092" s="2" t="s">
        <v>247</v>
      </c>
      <c r="S2092" s="4" t="s">
        <v>13426</v>
      </c>
      <c r="T2092" s="2" t="s">
        <v>249</v>
      </c>
      <c r="U2092" s="4" t="s">
        <v>31</v>
      </c>
      <c r="V2092" s="2" t="s">
        <v>3523</v>
      </c>
      <c r="W2092" s="2" t="s">
        <v>13207</v>
      </c>
      <c r="X2092" s="5" t="str">
        <f>HYPERLINK("https://my.pitchbook.com?p=456435-46P","View People Online")</f>
        <v>View People Online</v>
      </c>
    </row>
    <row r="2093">
      <c r="A2093" s="14" t="s">
        <v>14414</v>
      </c>
      <c r="B2093" s="14" t="s">
        <v>14415</v>
      </c>
      <c r="C2093" s="14" t="s">
        <v>14416</v>
      </c>
      <c r="D2093" s="14" t="s">
        <v>14417</v>
      </c>
      <c r="E2093" s="14" t="s">
        <v>13207</v>
      </c>
      <c r="F2093" s="14" t="s">
        <v>13218</v>
      </c>
      <c r="G2093" s="14" t="s">
        <v>14418</v>
      </c>
      <c r="H2093" s="15" t="s">
        <v>31</v>
      </c>
      <c r="I2093" s="15">
        <v>1.0</v>
      </c>
      <c r="J2093" s="15">
        <v>1.0</v>
      </c>
      <c r="K2093" s="15" t="s">
        <v>31</v>
      </c>
      <c r="L2093" s="16" t="s">
        <v>14419</v>
      </c>
      <c r="M2093" s="14" t="s">
        <v>14420</v>
      </c>
      <c r="N2093" s="14" t="s">
        <v>637</v>
      </c>
      <c r="O2093" s="16" t="s">
        <v>638</v>
      </c>
      <c r="P2093" s="14" t="s">
        <v>14421</v>
      </c>
      <c r="Q2093" s="14" t="s">
        <v>14422</v>
      </c>
      <c r="R2093" s="14" t="s">
        <v>31</v>
      </c>
      <c r="S2093" s="16" t="s">
        <v>31</v>
      </c>
      <c r="T2093" s="14" t="s">
        <v>639</v>
      </c>
      <c r="U2093" s="16" t="s">
        <v>14423</v>
      </c>
      <c r="V2093" s="14" t="s">
        <v>13218</v>
      </c>
      <c r="W2093" s="14" t="s">
        <v>13207</v>
      </c>
      <c r="X2093" s="17" t="str">
        <f>HYPERLINK("https://my.pitchbook.com?p=435843-91P","View People Online")</f>
        <v>View People Online</v>
      </c>
    </row>
    <row r="2094">
      <c r="A2094" s="10" t="s">
        <v>14424</v>
      </c>
      <c r="B2094" s="10" t="s">
        <v>14425</v>
      </c>
      <c r="C2094" s="10" t="s">
        <v>14426</v>
      </c>
      <c r="D2094" s="10" t="s">
        <v>14427</v>
      </c>
      <c r="E2094" s="10" t="s">
        <v>13207</v>
      </c>
      <c r="F2094" s="10" t="s">
        <v>13218</v>
      </c>
      <c r="G2094" s="10" t="s">
        <v>14428</v>
      </c>
      <c r="H2094" s="11" t="s">
        <v>31</v>
      </c>
      <c r="I2094" s="11">
        <v>1.0</v>
      </c>
      <c r="J2094" s="11">
        <v>1.0</v>
      </c>
      <c r="K2094" s="11" t="s">
        <v>31</v>
      </c>
      <c r="L2094" s="12" t="s">
        <v>13839</v>
      </c>
      <c r="M2094" s="10" t="s">
        <v>14429</v>
      </c>
      <c r="N2094" s="10" t="s">
        <v>11029</v>
      </c>
      <c r="O2094" s="12" t="s">
        <v>11030</v>
      </c>
      <c r="P2094" s="10" t="s">
        <v>13841</v>
      </c>
      <c r="Q2094" s="10" t="s">
        <v>13842</v>
      </c>
      <c r="R2094" s="10" t="s">
        <v>10017</v>
      </c>
      <c r="S2094" s="12" t="s">
        <v>13843</v>
      </c>
      <c r="T2094" s="10" t="s">
        <v>66</v>
      </c>
      <c r="U2094" s="12" t="s">
        <v>13844</v>
      </c>
      <c r="V2094" s="10" t="s">
        <v>13218</v>
      </c>
      <c r="W2094" s="10" t="s">
        <v>13207</v>
      </c>
      <c r="X2094" s="13" t="str">
        <f>HYPERLINK("https://my.pitchbook.com?p=455333-77P","View People Online")</f>
        <v>View People Online</v>
      </c>
    </row>
    <row r="2095">
      <c r="A2095" s="14" t="s">
        <v>14430</v>
      </c>
      <c r="B2095" s="14" t="s">
        <v>14431</v>
      </c>
      <c r="C2095" s="14" t="s">
        <v>8490</v>
      </c>
      <c r="D2095" s="14" t="s">
        <v>14432</v>
      </c>
      <c r="E2095" s="14" t="s">
        <v>13207</v>
      </c>
      <c r="F2095" s="14" t="s">
        <v>3523</v>
      </c>
      <c r="G2095" s="14" t="s">
        <v>14433</v>
      </c>
      <c r="H2095" s="15" t="s">
        <v>31</v>
      </c>
      <c r="I2095" s="15">
        <v>1.0</v>
      </c>
      <c r="J2095" s="15">
        <v>1.0</v>
      </c>
      <c r="K2095" s="15" t="s">
        <v>31</v>
      </c>
      <c r="L2095" s="16" t="s">
        <v>13378</v>
      </c>
      <c r="M2095" s="14" t="s">
        <v>14434</v>
      </c>
      <c r="N2095" s="14" t="s">
        <v>429</v>
      </c>
      <c r="O2095" s="16" t="s">
        <v>430</v>
      </c>
      <c r="P2095" s="14" t="s">
        <v>13380</v>
      </c>
      <c r="Q2095" s="14" t="s">
        <v>31</v>
      </c>
      <c r="R2095" s="14" t="s">
        <v>31</v>
      </c>
      <c r="S2095" s="16" t="s">
        <v>13381</v>
      </c>
      <c r="T2095" s="14" t="s">
        <v>433</v>
      </c>
      <c r="U2095" s="16" t="s">
        <v>13382</v>
      </c>
      <c r="V2095" s="14" t="s">
        <v>13468</v>
      </c>
      <c r="W2095" s="14" t="s">
        <v>13207</v>
      </c>
      <c r="X2095" s="17" t="str">
        <f>HYPERLINK("https://my.pitchbook.com?p=456101-20P","View People Online")</f>
        <v>View People Online</v>
      </c>
    </row>
    <row r="2096">
      <c r="A2096" s="2" t="s">
        <v>14435</v>
      </c>
      <c r="B2096" s="2" t="s">
        <v>14436</v>
      </c>
      <c r="C2096" s="2" t="s">
        <v>8490</v>
      </c>
      <c r="D2096" s="2" t="s">
        <v>14437</v>
      </c>
      <c r="E2096" s="2" t="s">
        <v>13207</v>
      </c>
      <c r="F2096" s="2" t="s">
        <v>3523</v>
      </c>
      <c r="G2096" s="2" t="s">
        <v>14438</v>
      </c>
      <c r="H2096" s="3" t="s">
        <v>31</v>
      </c>
      <c r="I2096" s="3">
        <v>1.0</v>
      </c>
      <c r="J2096" s="3">
        <v>1.0</v>
      </c>
      <c r="K2096" s="3" t="s">
        <v>31</v>
      </c>
      <c r="L2096" s="4" t="s">
        <v>14439</v>
      </c>
      <c r="M2096" s="2" t="s">
        <v>14440</v>
      </c>
      <c r="N2096" s="2" t="s">
        <v>683</v>
      </c>
      <c r="O2096" s="4" t="s">
        <v>684</v>
      </c>
      <c r="P2096" s="2" t="s">
        <v>14441</v>
      </c>
      <c r="Q2096" s="2" t="s">
        <v>14442</v>
      </c>
      <c r="R2096" s="2" t="s">
        <v>31</v>
      </c>
      <c r="S2096" s="4" t="s">
        <v>31</v>
      </c>
      <c r="T2096" s="2" t="s">
        <v>688</v>
      </c>
      <c r="U2096" s="4" t="s">
        <v>31</v>
      </c>
      <c r="V2096" s="2" t="s">
        <v>3523</v>
      </c>
      <c r="W2096" s="2" t="s">
        <v>13207</v>
      </c>
      <c r="X2096" s="5" t="str">
        <f>HYPERLINK("https://my.pitchbook.com?p=455703-76P","View People Online")</f>
        <v>View People Online</v>
      </c>
    </row>
    <row r="2097">
      <c r="A2097" s="6" t="s">
        <v>14443</v>
      </c>
      <c r="B2097" s="6" t="s">
        <v>14444</v>
      </c>
      <c r="C2097" s="6" t="s">
        <v>7341</v>
      </c>
      <c r="D2097" s="6" t="s">
        <v>14445</v>
      </c>
      <c r="E2097" s="6" t="s">
        <v>13207</v>
      </c>
      <c r="F2097" s="6" t="s">
        <v>3523</v>
      </c>
      <c r="G2097" s="6" t="s">
        <v>14446</v>
      </c>
      <c r="H2097" s="7" t="s">
        <v>31</v>
      </c>
      <c r="I2097" s="7">
        <v>1.0</v>
      </c>
      <c r="J2097" s="7">
        <v>1.0</v>
      </c>
      <c r="K2097" s="7" t="s">
        <v>31</v>
      </c>
      <c r="L2097" s="8" t="s">
        <v>13724</v>
      </c>
      <c r="M2097" s="6" t="s">
        <v>14447</v>
      </c>
      <c r="N2097" s="6" t="s">
        <v>34</v>
      </c>
      <c r="O2097" s="8" t="s">
        <v>35</v>
      </c>
      <c r="P2097" s="6" t="s">
        <v>13726</v>
      </c>
      <c r="Q2097" s="6" t="s">
        <v>31</v>
      </c>
      <c r="R2097" s="6" t="s">
        <v>31</v>
      </c>
      <c r="S2097" s="8" t="s">
        <v>13727</v>
      </c>
      <c r="T2097" s="6" t="s">
        <v>38</v>
      </c>
      <c r="U2097" s="8" t="s">
        <v>13728</v>
      </c>
      <c r="V2097" s="6" t="s">
        <v>3523</v>
      </c>
      <c r="W2097" s="6" t="s">
        <v>13207</v>
      </c>
      <c r="X2097" s="9" t="str">
        <f>HYPERLINK("https://my.pitchbook.com?p=435088-18P","View People Online")</f>
        <v>View People Online</v>
      </c>
    </row>
    <row r="2098">
      <c r="A2098" s="2" t="s">
        <v>14448</v>
      </c>
      <c r="B2098" s="2" t="s">
        <v>14449</v>
      </c>
      <c r="C2098" s="2" t="s">
        <v>6306</v>
      </c>
      <c r="D2098" s="2" t="s">
        <v>14450</v>
      </c>
      <c r="E2098" s="2" t="s">
        <v>13207</v>
      </c>
      <c r="F2098" s="2" t="s">
        <v>13218</v>
      </c>
      <c r="G2098" s="2" t="s">
        <v>14451</v>
      </c>
      <c r="H2098" s="3" t="s">
        <v>31</v>
      </c>
      <c r="I2098" s="3">
        <v>1.0</v>
      </c>
      <c r="J2098" s="3">
        <v>1.0</v>
      </c>
      <c r="K2098" s="3" t="s">
        <v>31</v>
      </c>
      <c r="L2098" s="4" t="s">
        <v>13657</v>
      </c>
      <c r="M2098" s="2" t="s">
        <v>14452</v>
      </c>
      <c r="N2098" s="2" t="s">
        <v>13659</v>
      </c>
      <c r="O2098" s="4" t="s">
        <v>13660</v>
      </c>
      <c r="P2098" s="2" t="s">
        <v>13661</v>
      </c>
      <c r="Q2098" s="2" t="s">
        <v>31</v>
      </c>
      <c r="R2098" s="2" t="s">
        <v>31</v>
      </c>
      <c r="S2098" s="4" t="s">
        <v>13662</v>
      </c>
      <c r="T2098" s="2" t="s">
        <v>38</v>
      </c>
      <c r="U2098" s="4" t="s">
        <v>13663</v>
      </c>
      <c r="V2098" s="2" t="s">
        <v>13218</v>
      </c>
      <c r="W2098" s="2" t="s">
        <v>13207</v>
      </c>
      <c r="X2098" s="5" t="str">
        <f>HYPERLINK("https://my.pitchbook.com?p=435655-27P","View People Online")</f>
        <v>View People Online</v>
      </c>
    </row>
    <row r="2099">
      <c r="A2099" s="6" t="s">
        <v>14453</v>
      </c>
      <c r="B2099" s="6" t="s">
        <v>14454</v>
      </c>
      <c r="C2099" s="6" t="s">
        <v>8003</v>
      </c>
      <c r="D2099" s="6" t="s">
        <v>14455</v>
      </c>
      <c r="E2099" s="6" t="s">
        <v>13207</v>
      </c>
      <c r="F2099" s="6" t="s">
        <v>3523</v>
      </c>
      <c r="G2099" s="6" t="s">
        <v>14456</v>
      </c>
      <c r="H2099" s="7" t="s">
        <v>31</v>
      </c>
      <c r="I2099" s="7">
        <v>1.0</v>
      </c>
      <c r="J2099" s="7">
        <v>1.0</v>
      </c>
      <c r="K2099" s="7" t="s">
        <v>31</v>
      </c>
      <c r="L2099" s="8" t="s">
        <v>13496</v>
      </c>
      <c r="M2099" s="6" t="s">
        <v>14457</v>
      </c>
      <c r="N2099" s="6" t="s">
        <v>75</v>
      </c>
      <c r="O2099" s="8" t="s">
        <v>76</v>
      </c>
      <c r="P2099" s="6" t="s">
        <v>13498</v>
      </c>
      <c r="Q2099" s="6" t="s">
        <v>31</v>
      </c>
      <c r="R2099" s="6" t="s">
        <v>75</v>
      </c>
      <c r="S2099" s="8" t="s">
        <v>195</v>
      </c>
      <c r="T2099" s="6" t="s">
        <v>66</v>
      </c>
      <c r="U2099" s="8" t="s">
        <v>13499</v>
      </c>
      <c r="V2099" s="6" t="s">
        <v>3523</v>
      </c>
      <c r="W2099" s="6" t="s">
        <v>13207</v>
      </c>
      <c r="X2099" s="9" t="str">
        <f>HYPERLINK("https://my.pitchbook.com?p=456415-39P","View People Online")</f>
        <v>View People Online</v>
      </c>
    </row>
    <row r="2100">
      <c r="A2100" s="2" t="s">
        <v>14458</v>
      </c>
      <c r="B2100" s="2" t="s">
        <v>14459</v>
      </c>
      <c r="C2100" s="2" t="s">
        <v>14460</v>
      </c>
      <c r="D2100" s="2" t="s">
        <v>14461</v>
      </c>
      <c r="E2100" s="2" t="s">
        <v>13207</v>
      </c>
      <c r="F2100" s="2" t="s">
        <v>3523</v>
      </c>
      <c r="G2100" s="2" t="s">
        <v>14462</v>
      </c>
      <c r="H2100" s="3" t="s">
        <v>31</v>
      </c>
      <c r="I2100" s="3">
        <v>1.0</v>
      </c>
      <c r="J2100" s="3">
        <v>1.0</v>
      </c>
      <c r="K2100" s="3" t="s">
        <v>31</v>
      </c>
      <c r="L2100" s="4" t="s">
        <v>13766</v>
      </c>
      <c r="M2100" s="2" t="s">
        <v>14463</v>
      </c>
      <c r="N2100" s="2" t="s">
        <v>13768</v>
      </c>
      <c r="O2100" s="4" t="s">
        <v>13769</v>
      </c>
      <c r="P2100" s="2" t="s">
        <v>13770</v>
      </c>
      <c r="Q2100" s="2" t="s">
        <v>13771</v>
      </c>
      <c r="R2100" s="2" t="s">
        <v>31</v>
      </c>
      <c r="S2100" s="4" t="s">
        <v>13772</v>
      </c>
      <c r="T2100" s="2" t="s">
        <v>13773</v>
      </c>
      <c r="U2100" s="4" t="s">
        <v>31</v>
      </c>
      <c r="V2100" s="2" t="s">
        <v>3523</v>
      </c>
      <c r="W2100" s="2" t="s">
        <v>13207</v>
      </c>
      <c r="X2100" s="5" t="str">
        <f>HYPERLINK("https://my.pitchbook.com?p=455411-44P","View People Online")</f>
        <v>View People Online</v>
      </c>
    </row>
    <row r="2101">
      <c r="A2101" s="6" t="s">
        <v>14464</v>
      </c>
      <c r="B2101" s="6" t="s">
        <v>14465</v>
      </c>
      <c r="C2101" s="6" t="s">
        <v>14460</v>
      </c>
      <c r="D2101" s="6" t="s">
        <v>14466</v>
      </c>
      <c r="E2101" s="6" t="s">
        <v>13207</v>
      </c>
      <c r="F2101" s="6" t="s">
        <v>29</v>
      </c>
      <c r="G2101" s="6" t="s">
        <v>14467</v>
      </c>
      <c r="H2101" s="7" t="s">
        <v>31</v>
      </c>
      <c r="I2101" s="7">
        <v>1.0</v>
      </c>
      <c r="J2101" s="7">
        <v>1.0</v>
      </c>
      <c r="K2101" s="7" t="s">
        <v>31</v>
      </c>
      <c r="L2101" s="8" t="s">
        <v>13399</v>
      </c>
      <c r="M2101" s="6" t="s">
        <v>14468</v>
      </c>
      <c r="N2101" s="6" t="s">
        <v>13401</v>
      </c>
      <c r="O2101" s="8" t="s">
        <v>13402</v>
      </c>
      <c r="P2101" s="6" t="s">
        <v>13403</v>
      </c>
      <c r="Q2101" s="6" t="s">
        <v>13404</v>
      </c>
      <c r="R2101" s="6" t="s">
        <v>31</v>
      </c>
      <c r="S2101" s="8" t="s">
        <v>13405</v>
      </c>
      <c r="T2101" s="6" t="s">
        <v>13406</v>
      </c>
      <c r="U2101" s="8" t="s">
        <v>13407</v>
      </c>
      <c r="V2101" s="6" t="s">
        <v>29</v>
      </c>
      <c r="W2101" s="6" t="s">
        <v>13207</v>
      </c>
      <c r="X2101" s="9" t="str">
        <f>HYPERLINK("https://my.pitchbook.com?p=435176-92P","View People Online")</f>
        <v>View People Online</v>
      </c>
    </row>
    <row r="2102">
      <c r="A2102" s="2" t="s">
        <v>14469</v>
      </c>
      <c r="B2102" s="2" t="s">
        <v>14470</v>
      </c>
      <c r="C2102" s="2" t="s">
        <v>14471</v>
      </c>
      <c r="D2102" s="2" t="s">
        <v>14472</v>
      </c>
      <c r="E2102" s="2" t="s">
        <v>13207</v>
      </c>
      <c r="F2102" s="2" t="s">
        <v>3523</v>
      </c>
      <c r="G2102" s="2" t="s">
        <v>14473</v>
      </c>
      <c r="H2102" s="3" t="s">
        <v>31</v>
      </c>
      <c r="I2102" s="3">
        <v>1.0</v>
      </c>
      <c r="J2102" s="3">
        <v>1.0</v>
      </c>
      <c r="K2102" s="3" t="s">
        <v>31</v>
      </c>
      <c r="L2102" s="4" t="s">
        <v>13423</v>
      </c>
      <c r="M2102" s="2" t="s">
        <v>14474</v>
      </c>
      <c r="N2102" s="2" t="s">
        <v>243</v>
      </c>
      <c r="O2102" s="4" t="s">
        <v>244</v>
      </c>
      <c r="P2102" s="2" t="s">
        <v>13425</v>
      </c>
      <c r="Q2102" s="2" t="s">
        <v>31</v>
      </c>
      <c r="R2102" s="2" t="s">
        <v>247</v>
      </c>
      <c r="S2102" s="4" t="s">
        <v>13426</v>
      </c>
      <c r="T2102" s="2" t="s">
        <v>249</v>
      </c>
      <c r="U2102" s="4" t="s">
        <v>31</v>
      </c>
      <c r="V2102" s="2" t="s">
        <v>14475</v>
      </c>
      <c r="W2102" s="2" t="s">
        <v>13207</v>
      </c>
      <c r="X2102" s="5" t="str">
        <f>HYPERLINK("https://my.pitchbook.com?p=455277-88P","View People Online")</f>
        <v>View People Online</v>
      </c>
    </row>
    <row r="2103">
      <c r="A2103" s="6" t="s">
        <v>14476</v>
      </c>
      <c r="B2103" s="6" t="s">
        <v>14477</v>
      </c>
      <c r="C2103" s="6" t="s">
        <v>3470</v>
      </c>
      <c r="D2103" s="6" t="s">
        <v>14478</v>
      </c>
      <c r="E2103" s="6" t="s">
        <v>13207</v>
      </c>
      <c r="F2103" s="6" t="s">
        <v>318</v>
      </c>
      <c r="G2103" s="6" t="s">
        <v>14479</v>
      </c>
      <c r="H2103" s="7" t="s">
        <v>31</v>
      </c>
      <c r="I2103" s="7">
        <v>1.0</v>
      </c>
      <c r="J2103" s="7">
        <v>1.0</v>
      </c>
      <c r="K2103" s="7" t="s">
        <v>31</v>
      </c>
      <c r="L2103" s="8" t="s">
        <v>13423</v>
      </c>
      <c r="M2103" s="6" t="s">
        <v>14480</v>
      </c>
      <c r="N2103" s="6" t="s">
        <v>243</v>
      </c>
      <c r="O2103" s="8" t="s">
        <v>244</v>
      </c>
      <c r="P2103" s="6" t="s">
        <v>13425</v>
      </c>
      <c r="Q2103" s="6" t="s">
        <v>31</v>
      </c>
      <c r="R2103" s="6" t="s">
        <v>247</v>
      </c>
      <c r="S2103" s="8" t="s">
        <v>13426</v>
      </c>
      <c r="T2103" s="6" t="s">
        <v>249</v>
      </c>
      <c r="U2103" s="8" t="s">
        <v>31</v>
      </c>
      <c r="V2103" s="6" t="s">
        <v>318</v>
      </c>
      <c r="W2103" s="6" t="s">
        <v>13207</v>
      </c>
      <c r="X2103" s="9" t="str">
        <f>HYPERLINK("https://my.pitchbook.com?p=455833-09P","View People Online")</f>
        <v>View People Online</v>
      </c>
    </row>
    <row r="2104">
      <c r="A2104" s="2" t="s">
        <v>14481</v>
      </c>
      <c r="B2104" s="2" t="s">
        <v>14482</v>
      </c>
      <c r="C2104" s="2" t="s">
        <v>3470</v>
      </c>
      <c r="D2104" s="2" t="s">
        <v>14483</v>
      </c>
      <c r="E2104" s="2" t="s">
        <v>13207</v>
      </c>
      <c r="F2104" s="2" t="s">
        <v>3523</v>
      </c>
      <c r="G2104" s="2" t="s">
        <v>14484</v>
      </c>
      <c r="H2104" s="3" t="s">
        <v>31</v>
      </c>
      <c r="I2104" s="3">
        <v>1.0</v>
      </c>
      <c r="J2104" s="3">
        <v>1.0</v>
      </c>
      <c r="K2104" s="3" t="s">
        <v>31</v>
      </c>
      <c r="L2104" s="4" t="s">
        <v>13743</v>
      </c>
      <c r="M2104" s="2" t="s">
        <v>14485</v>
      </c>
      <c r="N2104" s="2" t="s">
        <v>1034</v>
      </c>
      <c r="O2104" s="4" t="s">
        <v>1035</v>
      </c>
      <c r="P2104" s="2" t="s">
        <v>13745</v>
      </c>
      <c r="Q2104" s="2" t="s">
        <v>13746</v>
      </c>
      <c r="R2104" s="2" t="s">
        <v>31</v>
      </c>
      <c r="S2104" s="4" t="s">
        <v>13747</v>
      </c>
      <c r="T2104" s="2" t="s">
        <v>1034</v>
      </c>
      <c r="U2104" s="4" t="s">
        <v>13748</v>
      </c>
      <c r="V2104" s="2" t="s">
        <v>3523</v>
      </c>
      <c r="W2104" s="2" t="s">
        <v>13207</v>
      </c>
      <c r="X2104" s="5" t="str">
        <f>HYPERLINK("https://my.pitchbook.com?p=436219-75P","View People Online")</f>
        <v>View People Online</v>
      </c>
    </row>
    <row r="2105">
      <c r="A2105" s="6" t="s">
        <v>14486</v>
      </c>
      <c r="B2105" s="6" t="s">
        <v>14487</v>
      </c>
      <c r="C2105" s="6" t="s">
        <v>3470</v>
      </c>
      <c r="D2105" s="6" t="s">
        <v>14488</v>
      </c>
      <c r="E2105" s="6" t="s">
        <v>13207</v>
      </c>
      <c r="F2105" s="6" t="s">
        <v>14489</v>
      </c>
      <c r="G2105" s="6" t="s">
        <v>14490</v>
      </c>
      <c r="H2105" s="7" t="s">
        <v>31</v>
      </c>
      <c r="I2105" s="7">
        <v>1.0</v>
      </c>
      <c r="J2105" s="7">
        <v>1.0</v>
      </c>
      <c r="K2105" s="7" t="s">
        <v>31</v>
      </c>
      <c r="L2105" s="8" t="s">
        <v>13274</v>
      </c>
      <c r="M2105" s="6" t="s">
        <v>14491</v>
      </c>
      <c r="N2105" s="6" t="s">
        <v>1181</v>
      </c>
      <c r="O2105" s="8" t="s">
        <v>1182</v>
      </c>
      <c r="P2105" s="6" t="s">
        <v>13276</v>
      </c>
      <c r="Q2105" s="6" t="s">
        <v>31</v>
      </c>
      <c r="R2105" s="6" t="s">
        <v>1185</v>
      </c>
      <c r="S2105" s="8" t="s">
        <v>4438</v>
      </c>
      <c r="T2105" s="6" t="s">
        <v>66</v>
      </c>
      <c r="U2105" s="8" t="s">
        <v>13277</v>
      </c>
      <c r="V2105" s="6" t="s">
        <v>14492</v>
      </c>
      <c r="W2105" s="6" t="s">
        <v>13207</v>
      </c>
      <c r="X2105" s="9" t="str">
        <f>HYPERLINK("https://my.pitchbook.com?p=434982-52P","View People Online")</f>
        <v>View People Online</v>
      </c>
    </row>
    <row r="2106">
      <c r="A2106" s="2" t="s">
        <v>14493</v>
      </c>
      <c r="B2106" s="2" t="s">
        <v>14494</v>
      </c>
      <c r="C2106" s="2" t="s">
        <v>14495</v>
      </c>
      <c r="D2106" s="2" t="s">
        <v>14496</v>
      </c>
      <c r="E2106" s="2" t="s">
        <v>13207</v>
      </c>
      <c r="F2106" s="2" t="s">
        <v>3523</v>
      </c>
      <c r="G2106" s="2" t="s">
        <v>14497</v>
      </c>
      <c r="H2106" s="3" t="s">
        <v>31</v>
      </c>
      <c r="I2106" s="3">
        <v>1.0</v>
      </c>
      <c r="J2106" s="3">
        <v>1.0</v>
      </c>
      <c r="K2106" s="3" t="s">
        <v>31</v>
      </c>
      <c r="L2106" s="4" t="s">
        <v>14498</v>
      </c>
      <c r="M2106" s="2" t="s">
        <v>14499</v>
      </c>
      <c r="N2106" s="2" t="s">
        <v>10290</v>
      </c>
      <c r="O2106" s="4" t="s">
        <v>10291</v>
      </c>
      <c r="P2106" s="2" t="s">
        <v>14500</v>
      </c>
      <c r="Q2106" s="2" t="s">
        <v>14501</v>
      </c>
      <c r="R2106" s="2" t="s">
        <v>31</v>
      </c>
      <c r="S2106" s="4" t="s">
        <v>14502</v>
      </c>
      <c r="T2106" s="2" t="s">
        <v>10295</v>
      </c>
      <c r="U2106" s="4" t="s">
        <v>14503</v>
      </c>
      <c r="V2106" s="2" t="s">
        <v>3523</v>
      </c>
      <c r="W2106" s="2" t="s">
        <v>13207</v>
      </c>
      <c r="X2106" s="5" t="str">
        <f>HYPERLINK("https://my.pitchbook.com?p=435783-07P","View People Online")</f>
        <v>View People Online</v>
      </c>
    </row>
    <row r="2107">
      <c r="A2107" s="14" t="s">
        <v>14504</v>
      </c>
      <c r="B2107" s="14" t="s">
        <v>14505</v>
      </c>
      <c r="C2107" s="14" t="s">
        <v>14506</v>
      </c>
      <c r="D2107" s="14" t="s">
        <v>14507</v>
      </c>
      <c r="E2107" s="14" t="s">
        <v>13207</v>
      </c>
      <c r="F2107" s="14" t="s">
        <v>13218</v>
      </c>
      <c r="G2107" s="14" t="s">
        <v>14508</v>
      </c>
      <c r="H2107" s="15" t="s">
        <v>31</v>
      </c>
      <c r="I2107" s="15">
        <v>1.0</v>
      </c>
      <c r="J2107" s="15">
        <v>1.0</v>
      </c>
      <c r="K2107" s="15" t="s">
        <v>31</v>
      </c>
      <c r="L2107" s="16" t="s">
        <v>13743</v>
      </c>
      <c r="M2107" s="14" t="s">
        <v>14509</v>
      </c>
      <c r="N2107" s="14" t="s">
        <v>1034</v>
      </c>
      <c r="O2107" s="16" t="s">
        <v>1035</v>
      </c>
      <c r="P2107" s="14" t="s">
        <v>13745</v>
      </c>
      <c r="Q2107" s="14" t="s">
        <v>13746</v>
      </c>
      <c r="R2107" s="14" t="s">
        <v>31</v>
      </c>
      <c r="S2107" s="16" t="s">
        <v>13747</v>
      </c>
      <c r="T2107" s="14" t="s">
        <v>1034</v>
      </c>
      <c r="U2107" s="16" t="s">
        <v>13748</v>
      </c>
      <c r="V2107" s="14" t="s">
        <v>13218</v>
      </c>
      <c r="W2107" s="14" t="s">
        <v>13207</v>
      </c>
      <c r="X2107" s="17" t="str">
        <f>HYPERLINK("https://my.pitchbook.com?p=456394-33P","View People Online")</f>
        <v>View People Online</v>
      </c>
    </row>
    <row r="2108">
      <c r="A2108" s="2" t="s">
        <v>14510</v>
      </c>
      <c r="B2108" s="2" t="s">
        <v>14511</v>
      </c>
      <c r="C2108" s="2" t="s">
        <v>14512</v>
      </c>
      <c r="D2108" s="2" t="s">
        <v>14513</v>
      </c>
      <c r="E2108" s="2" t="s">
        <v>13207</v>
      </c>
      <c r="F2108" s="2" t="s">
        <v>13218</v>
      </c>
      <c r="G2108" s="2" t="s">
        <v>14514</v>
      </c>
      <c r="H2108" s="3" t="s">
        <v>31</v>
      </c>
      <c r="I2108" s="3">
        <v>1.0</v>
      </c>
      <c r="J2108" s="3">
        <v>1.0</v>
      </c>
      <c r="K2108" s="3" t="s">
        <v>31</v>
      </c>
      <c r="L2108" s="4" t="s">
        <v>13274</v>
      </c>
      <c r="M2108" s="2" t="s">
        <v>14515</v>
      </c>
      <c r="N2108" s="2" t="s">
        <v>1181</v>
      </c>
      <c r="O2108" s="4" t="s">
        <v>1182</v>
      </c>
      <c r="P2108" s="2" t="s">
        <v>13276</v>
      </c>
      <c r="Q2108" s="2" t="s">
        <v>31</v>
      </c>
      <c r="R2108" s="2" t="s">
        <v>1185</v>
      </c>
      <c r="S2108" s="4" t="s">
        <v>4438</v>
      </c>
      <c r="T2108" s="2" t="s">
        <v>66</v>
      </c>
      <c r="U2108" s="4" t="s">
        <v>13277</v>
      </c>
      <c r="V2108" s="2" t="s">
        <v>13218</v>
      </c>
      <c r="W2108" s="2" t="s">
        <v>13207</v>
      </c>
      <c r="X2108" s="5" t="str">
        <f>HYPERLINK("https://my.pitchbook.com?p=455373-46P","View People Online")</f>
        <v>View People Online</v>
      </c>
    </row>
    <row r="2109">
      <c r="A2109" s="14" t="s">
        <v>14516</v>
      </c>
      <c r="B2109" s="14" t="s">
        <v>14517</v>
      </c>
      <c r="C2109" s="14" t="s">
        <v>14518</v>
      </c>
      <c r="D2109" s="14" t="s">
        <v>14519</v>
      </c>
      <c r="E2109" s="14" t="s">
        <v>13207</v>
      </c>
      <c r="F2109" s="14" t="s">
        <v>13218</v>
      </c>
      <c r="G2109" s="14" t="s">
        <v>14520</v>
      </c>
      <c r="H2109" s="15" t="s">
        <v>31</v>
      </c>
      <c r="I2109" s="15">
        <v>1.0</v>
      </c>
      <c r="J2109" s="15">
        <v>1.0</v>
      </c>
      <c r="K2109" s="15" t="s">
        <v>31</v>
      </c>
      <c r="L2109" s="16" t="s">
        <v>14521</v>
      </c>
      <c r="M2109" s="14" t="s">
        <v>14522</v>
      </c>
      <c r="N2109" s="14" t="s">
        <v>1181</v>
      </c>
      <c r="O2109" s="16" t="s">
        <v>1182</v>
      </c>
      <c r="P2109" s="14" t="s">
        <v>13276</v>
      </c>
      <c r="Q2109" s="14" t="s">
        <v>31</v>
      </c>
      <c r="R2109" s="14" t="s">
        <v>1185</v>
      </c>
      <c r="S2109" s="16" t="s">
        <v>4438</v>
      </c>
      <c r="T2109" s="14" t="s">
        <v>66</v>
      </c>
      <c r="U2109" s="16" t="s">
        <v>13277</v>
      </c>
      <c r="V2109" s="14" t="s">
        <v>13218</v>
      </c>
      <c r="W2109" s="14" t="s">
        <v>13207</v>
      </c>
      <c r="X2109" s="17" t="str">
        <f>HYPERLINK("https://my.pitchbook.com?p=74533-42P","View People Online")</f>
        <v>View People Online</v>
      </c>
    </row>
    <row r="2110">
      <c r="A2110" s="10" t="s">
        <v>14523</v>
      </c>
      <c r="B2110" s="10" t="s">
        <v>14524</v>
      </c>
      <c r="C2110" s="10" t="s">
        <v>10805</v>
      </c>
      <c r="D2110" s="10" t="s">
        <v>14525</v>
      </c>
      <c r="E2110" s="10" t="s">
        <v>13207</v>
      </c>
      <c r="F2110" s="10" t="s">
        <v>13218</v>
      </c>
      <c r="G2110" s="10" t="s">
        <v>14526</v>
      </c>
      <c r="H2110" s="11" t="s">
        <v>31</v>
      </c>
      <c r="I2110" s="11">
        <v>1.0</v>
      </c>
      <c r="J2110" s="11">
        <v>1.0</v>
      </c>
      <c r="K2110" s="11" t="s">
        <v>31</v>
      </c>
      <c r="L2110" s="12" t="s">
        <v>13281</v>
      </c>
      <c r="M2110" s="10" t="s">
        <v>14527</v>
      </c>
      <c r="N2110" s="10" t="s">
        <v>1277</v>
      </c>
      <c r="O2110" s="12" t="s">
        <v>1278</v>
      </c>
      <c r="P2110" s="10" t="s">
        <v>13283</v>
      </c>
      <c r="Q2110" s="10" t="s">
        <v>13284</v>
      </c>
      <c r="R2110" s="10" t="s">
        <v>1281</v>
      </c>
      <c r="S2110" s="12" t="s">
        <v>1282</v>
      </c>
      <c r="T2110" s="10" t="s">
        <v>66</v>
      </c>
      <c r="U2110" s="12" t="s">
        <v>13285</v>
      </c>
      <c r="V2110" s="10" t="s">
        <v>13218</v>
      </c>
      <c r="W2110" s="10" t="s">
        <v>13207</v>
      </c>
      <c r="X2110" s="13" t="str">
        <f>HYPERLINK("https://my.pitchbook.com?p=456389-47P","View People Online")</f>
        <v>View People Online</v>
      </c>
    </row>
    <row r="2111">
      <c r="A2111" s="14" t="s">
        <v>14528</v>
      </c>
      <c r="B2111" s="14" t="s">
        <v>14529</v>
      </c>
      <c r="C2111" s="14" t="s">
        <v>14530</v>
      </c>
      <c r="D2111" s="14" t="s">
        <v>14531</v>
      </c>
      <c r="E2111" s="14" t="s">
        <v>13207</v>
      </c>
      <c r="F2111" s="14" t="s">
        <v>318</v>
      </c>
      <c r="G2111" s="14" t="s">
        <v>14532</v>
      </c>
      <c r="H2111" s="15" t="s">
        <v>31</v>
      </c>
      <c r="I2111" s="15">
        <v>1.0</v>
      </c>
      <c r="J2111" s="15">
        <v>1.0</v>
      </c>
      <c r="K2111" s="15" t="s">
        <v>31</v>
      </c>
      <c r="L2111" s="16" t="s">
        <v>14142</v>
      </c>
      <c r="M2111" s="14" t="s">
        <v>14533</v>
      </c>
      <c r="N2111" s="14" t="s">
        <v>273</v>
      </c>
      <c r="O2111" s="16" t="s">
        <v>274</v>
      </c>
      <c r="P2111" s="14" t="s">
        <v>14144</v>
      </c>
      <c r="Q2111" s="14" t="s">
        <v>31</v>
      </c>
      <c r="R2111" s="14" t="s">
        <v>31</v>
      </c>
      <c r="S2111" s="16" t="s">
        <v>14145</v>
      </c>
      <c r="T2111" s="14" t="s">
        <v>276</v>
      </c>
      <c r="U2111" s="16" t="s">
        <v>14146</v>
      </c>
      <c r="V2111" s="14" t="s">
        <v>318</v>
      </c>
      <c r="W2111" s="14" t="s">
        <v>13207</v>
      </c>
      <c r="X2111" s="17" t="str">
        <f>HYPERLINK("https://my.pitchbook.com?p=435845-62P","View People Online")</f>
        <v>View People Online</v>
      </c>
    </row>
    <row r="2112">
      <c r="A2112" s="10" t="s">
        <v>14534</v>
      </c>
      <c r="B2112" s="10" t="s">
        <v>14535</v>
      </c>
      <c r="C2112" s="10" t="s">
        <v>14536</v>
      </c>
      <c r="D2112" s="10" t="s">
        <v>14537</v>
      </c>
      <c r="E2112" s="10" t="s">
        <v>13207</v>
      </c>
      <c r="F2112" s="10" t="s">
        <v>1283</v>
      </c>
      <c r="G2112" s="10" t="s">
        <v>14538</v>
      </c>
      <c r="H2112" s="11" t="s">
        <v>31</v>
      </c>
      <c r="I2112" s="11">
        <v>1.0</v>
      </c>
      <c r="J2112" s="11">
        <v>1.0</v>
      </c>
      <c r="K2112" s="11" t="s">
        <v>31</v>
      </c>
      <c r="L2112" s="12" t="s">
        <v>14331</v>
      </c>
      <c r="M2112" s="10" t="s">
        <v>14539</v>
      </c>
      <c r="N2112" s="10" t="s">
        <v>14333</v>
      </c>
      <c r="O2112" s="12" t="s">
        <v>14334</v>
      </c>
      <c r="P2112" s="10" t="s">
        <v>14335</v>
      </c>
      <c r="Q2112" s="10" t="s">
        <v>14336</v>
      </c>
      <c r="R2112" s="10" t="s">
        <v>31</v>
      </c>
      <c r="S2112" s="12" t="s">
        <v>14337</v>
      </c>
      <c r="T2112" s="10" t="s">
        <v>14338</v>
      </c>
      <c r="U2112" s="12" t="s">
        <v>31</v>
      </c>
      <c r="V2112" s="10" t="s">
        <v>14540</v>
      </c>
      <c r="W2112" s="10" t="s">
        <v>13207</v>
      </c>
      <c r="X2112" s="13" t="str">
        <f>HYPERLINK("https://my.pitchbook.com?p=455192-47P","View People Online")</f>
        <v>View People Online</v>
      </c>
    </row>
    <row r="2113">
      <c r="A2113" s="6" t="s">
        <v>14541</v>
      </c>
      <c r="B2113" s="6" t="s">
        <v>14542</v>
      </c>
      <c r="C2113" s="6" t="s">
        <v>14543</v>
      </c>
      <c r="D2113" s="6" t="s">
        <v>14544</v>
      </c>
      <c r="E2113" s="6" t="s">
        <v>13207</v>
      </c>
      <c r="F2113" s="6" t="s">
        <v>3523</v>
      </c>
      <c r="G2113" s="6" t="s">
        <v>14545</v>
      </c>
      <c r="H2113" s="7" t="s">
        <v>31</v>
      </c>
      <c r="I2113" s="7">
        <v>3.0</v>
      </c>
      <c r="J2113" s="7">
        <v>1.0</v>
      </c>
      <c r="K2113" s="7">
        <v>1.0</v>
      </c>
      <c r="L2113" s="8" t="s">
        <v>13724</v>
      </c>
      <c r="M2113" s="6" t="s">
        <v>14546</v>
      </c>
      <c r="N2113" s="6" t="s">
        <v>34</v>
      </c>
      <c r="O2113" s="8" t="s">
        <v>35</v>
      </c>
      <c r="P2113" s="6" t="s">
        <v>13726</v>
      </c>
      <c r="Q2113" s="6" t="s">
        <v>31</v>
      </c>
      <c r="R2113" s="6" t="s">
        <v>31</v>
      </c>
      <c r="S2113" s="8" t="s">
        <v>13727</v>
      </c>
      <c r="T2113" s="6" t="s">
        <v>38</v>
      </c>
      <c r="U2113" s="8" t="s">
        <v>13728</v>
      </c>
      <c r="V2113" s="6" t="s">
        <v>3523</v>
      </c>
      <c r="W2113" s="6" t="s">
        <v>13207</v>
      </c>
      <c r="X2113" s="9" t="str">
        <f>HYPERLINK("https://my.pitchbook.com?p=191486-17P","View People Online")</f>
        <v>View People Online</v>
      </c>
    </row>
    <row r="2114">
      <c r="A2114" s="2" t="s">
        <v>14547</v>
      </c>
      <c r="B2114" s="2" t="s">
        <v>14548</v>
      </c>
      <c r="C2114" s="2" t="s">
        <v>14549</v>
      </c>
      <c r="D2114" s="2" t="s">
        <v>14550</v>
      </c>
      <c r="E2114" s="2" t="s">
        <v>13207</v>
      </c>
      <c r="F2114" s="2" t="s">
        <v>29</v>
      </c>
      <c r="G2114" s="2" t="s">
        <v>14551</v>
      </c>
      <c r="H2114" s="3" t="s">
        <v>31</v>
      </c>
      <c r="I2114" s="3">
        <v>1.0</v>
      </c>
      <c r="J2114" s="3">
        <v>1.0</v>
      </c>
      <c r="K2114" s="3" t="s">
        <v>31</v>
      </c>
      <c r="L2114" s="4" t="s">
        <v>13263</v>
      </c>
      <c r="M2114" s="2" t="s">
        <v>14552</v>
      </c>
      <c r="N2114" s="2" t="s">
        <v>1005</v>
      </c>
      <c r="O2114" s="4" t="s">
        <v>1006</v>
      </c>
      <c r="P2114" s="2" t="s">
        <v>13265</v>
      </c>
      <c r="Q2114" s="2" t="s">
        <v>13266</v>
      </c>
      <c r="R2114" s="2" t="s">
        <v>13267</v>
      </c>
      <c r="S2114" s="4" t="s">
        <v>13268</v>
      </c>
      <c r="T2114" s="2" t="s">
        <v>1010</v>
      </c>
      <c r="U2114" s="4" t="s">
        <v>13269</v>
      </c>
      <c r="V2114" s="2" t="s">
        <v>29</v>
      </c>
      <c r="W2114" s="2" t="s">
        <v>13207</v>
      </c>
      <c r="X2114" s="5" t="str">
        <f>HYPERLINK("https://my.pitchbook.com?p=436349-35P","View People Online")</f>
        <v>View People Online</v>
      </c>
    </row>
    <row r="2115">
      <c r="A2115" s="6" t="s">
        <v>14553</v>
      </c>
      <c r="B2115" s="6" t="s">
        <v>14554</v>
      </c>
      <c r="C2115" s="6" t="s">
        <v>14555</v>
      </c>
      <c r="D2115" s="6" t="s">
        <v>14556</v>
      </c>
      <c r="E2115" s="6" t="s">
        <v>13207</v>
      </c>
      <c r="F2115" s="6" t="s">
        <v>3523</v>
      </c>
      <c r="G2115" s="6" t="s">
        <v>14557</v>
      </c>
      <c r="H2115" s="7" t="s">
        <v>31</v>
      </c>
      <c r="I2115" s="7">
        <v>1.0</v>
      </c>
      <c r="J2115" s="7">
        <v>1.0</v>
      </c>
      <c r="K2115" s="7" t="s">
        <v>31</v>
      </c>
      <c r="L2115" s="8" t="s">
        <v>13209</v>
      </c>
      <c r="M2115" s="6" t="s">
        <v>14558</v>
      </c>
      <c r="N2115" s="6" t="s">
        <v>4232</v>
      </c>
      <c r="O2115" s="8" t="s">
        <v>4233</v>
      </c>
      <c r="P2115" s="6" t="s">
        <v>13211</v>
      </c>
      <c r="Q2115" s="6" t="s">
        <v>31</v>
      </c>
      <c r="R2115" s="6" t="s">
        <v>4236</v>
      </c>
      <c r="S2115" s="8" t="s">
        <v>13212</v>
      </c>
      <c r="T2115" s="6" t="s">
        <v>66</v>
      </c>
      <c r="U2115" s="8" t="s">
        <v>13213</v>
      </c>
      <c r="V2115" s="6" t="s">
        <v>3523</v>
      </c>
      <c r="W2115" s="6" t="s">
        <v>13207</v>
      </c>
      <c r="X2115" s="9" t="str">
        <f>HYPERLINK("https://my.pitchbook.com?p=246115-00P","View People Online")</f>
        <v>View People Online</v>
      </c>
    </row>
    <row r="2116">
      <c r="A2116" s="2" t="s">
        <v>14559</v>
      </c>
      <c r="B2116" s="2" t="s">
        <v>14560</v>
      </c>
      <c r="C2116" s="2" t="s">
        <v>14561</v>
      </c>
      <c r="D2116" s="2" t="s">
        <v>14562</v>
      </c>
      <c r="E2116" s="2" t="s">
        <v>13207</v>
      </c>
      <c r="F2116" s="2" t="s">
        <v>3523</v>
      </c>
      <c r="G2116" s="2" t="s">
        <v>14563</v>
      </c>
      <c r="H2116" s="3" t="s">
        <v>31</v>
      </c>
      <c r="I2116" s="3">
        <v>1.0</v>
      </c>
      <c r="J2116" s="3">
        <v>1.0</v>
      </c>
      <c r="K2116" s="3" t="s">
        <v>31</v>
      </c>
      <c r="L2116" s="4" t="s">
        <v>13540</v>
      </c>
      <c r="M2116" s="2" t="s">
        <v>14564</v>
      </c>
      <c r="N2116" s="2" t="s">
        <v>418</v>
      </c>
      <c r="O2116" s="4" t="s">
        <v>419</v>
      </c>
      <c r="P2116" s="2" t="s">
        <v>13542</v>
      </c>
      <c r="Q2116" s="2" t="s">
        <v>31</v>
      </c>
      <c r="R2116" s="2" t="s">
        <v>31</v>
      </c>
      <c r="S2116" s="4" t="s">
        <v>2664</v>
      </c>
      <c r="T2116" s="2" t="s">
        <v>422</v>
      </c>
      <c r="U2116" s="4" t="s">
        <v>13543</v>
      </c>
      <c r="V2116" s="2" t="s">
        <v>3523</v>
      </c>
      <c r="W2116" s="2" t="s">
        <v>13207</v>
      </c>
      <c r="X2116" s="5" t="str">
        <f>HYPERLINK("https://my.pitchbook.com?p=456012-55P","View People Online")</f>
        <v>View People Online</v>
      </c>
    </row>
    <row r="2117">
      <c r="A2117" s="6" t="s">
        <v>14565</v>
      </c>
      <c r="B2117" s="6" t="s">
        <v>14566</v>
      </c>
      <c r="C2117" s="6" t="s">
        <v>665</v>
      </c>
      <c r="D2117" s="6" t="s">
        <v>14567</v>
      </c>
      <c r="E2117" s="6" t="s">
        <v>13207</v>
      </c>
      <c r="F2117" s="6" t="s">
        <v>3523</v>
      </c>
      <c r="G2117" s="6" t="s">
        <v>14568</v>
      </c>
      <c r="H2117" s="7" t="s">
        <v>31</v>
      </c>
      <c r="I2117" s="7">
        <v>1.0</v>
      </c>
      <c r="J2117" s="7">
        <v>1.0</v>
      </c>
      <c r="K2117" s="7" t="s">
        <v>31</v>
      </c>
      <c r="L2117" s="8" t="s">
        <v>13274</v>
      </c>
      <c r="M2117" s="6" t="s">
        <v>14569</v>
      </c>
      <c r="N2117" s="6" t="s">
        <v>1181</v>
      </c>
      <c r="O2117" s="8" t="s">
        <v>1182</v>
      </c>
      <c r="P2117" s="6" t="s">
        <v>13276</v>
      </c>
      <c r="Q2117" s="6" t="s">
        <v>31</v>
      </c>
      <c r="R2117" s="6" t="s">
        <v>1185</v>
      </c>
      <c r="S2117" s="8" t="s">
        <v>4438</v>
      </c>
      <c r="T2117" s="6" t="s">
        <v>66</v>
      </c>
      <c r="U2117" s="8" t="s">
        <v>13277</v>
      </c>
      <c r="V2117" s="6" t="s">
        <v>13468</v>
      </c>
      <c r="W2117" s="6" t="s">
        <v>13207</v>
      </c>
      <c r="X2117" s="9" t="str">
        <f>HYPERLINK("https://my.pitchbook.com?p=456116-14P","View People Online")</f>
        <v>View People Online</v>
      </c>
    </row>
    <row r="2118">
      <c r="A2118" s="2" t="s">
        <v>14570</v>
      </c>
      <c r="B2118" s="2" t="s">
        <v>14571</v>
      </c>
      <c r="C2118" s="2" t="s">
        <v>14572</v>
      </c>
      <c r="D2118" s="2" t="s">
        <v>233</v>
      </c>
      <c r="E2118" s="2" t="s">
        <v>13207</v>
      </c>
      <c r="F2118" s="2" t="s">
        <v>3523</v>
      </c>
      <c r="G2118" s="2" t="s">
        <v>14573</v>
      </c>
      <c r="H2118" s="3" t="s">
        <v>31</v>
      </c>
      <c r="I2118" s="3">
        <v>1.0</v>
      </c>
      <c r="J2118" s="3">
        <v>1.0</v>
      </c>
      <c r="K2118" s="3" t="s">
        <v>31</v>
      </c>
      <c r="L2118" s="4" t="s">
        <v>13673</v>
      </c>
      <c r="M2118" s="2" t="s">
        <v>14574</v>
      </c>
      <c r="N2118" s="2" t="s">
        <v>6311</v>
      </c>
      <c r="O2118" s="4" t="s">
        <v>6312</v>
      </c>
      <c r="P2118" s="2" t="s">
        <v>13675</v>
      </c>
      <c r="Q2118" s="2" t="s">
        <v>31</v>
      </c>
      <c r="R2118" s="2" t="s">
        <v>31</v>
      </c>
      <c r="S2118" s="4" t="s">
        <v>13676</v>
      </c>
      <c r="T2118" s="2" t="s">
        <v>6315</v>
      </c>
      <c r="U2118" s="4" t="s">
        <v>13677</v>
      </c>
      <c r="V2118" s="2" t="s">
        <v>3523</v>
      </c>
      <c r="W2118" s="2" t="s">
        <v>13207</v>
      </c>
      <c r="X2118" s="5" t="str">
        <f>HYPERLINK("https://my.pitchbook.com?p=456547-33P","View People Online")</f>
        <v>View People Online</v>
      </c>
    </row>
    <row r="2119">
      <c r="A2119" s="6" t="s">
        <v>14575</v>
      </c>
      <c r="B2119" s="6" t="s">
        <v>14576</v>
      </c>
      <c r="C2119" s="6" t="s">
        <v>6584</v>
      </c>
      <c r="D2119" s="6" t="s">
        <v>14577</v>
      </c>
      <c r="E2119" s="6" t="s">
        <v>13207</v>
      </c>
      <c r="F2119" s="6" t="s">
        <v>1283</v>
      </c>
      <c r="G2119" s="6" t="s">
        <v>14578</v>
      </c>
      <c r="H2119" s="7" t="s">
        <v>31</v>
      </c>
      <c r="I2119" s="7">
        <v>1.0</v>
      </c>
      <c r="J2119" s="7">
        <v>1.0</v>
      </c>
      <c r="K2119" s="7" t="s">
        <v>31</v>
      </c>
      <c r="L2119" s="8" t="s">
        <v>14014</v>
      </c>
      <c r="M2119" s="6" t="s">
        <v>14579</v>
      </c>
      <c r="N2119" s="6" t="s">
        <v>14016</v>
      </c>
      <c r="O2119" s="8" t="s">
        <v>14017</v>
      </c>
      <c r="P2119" s="6" t="s">
        <v>14018</v>
      </c>
      <c r="Q2119" s="6" t="s">
        <v>14019</v>
      </c>
      <c r="R2119" s="6" t="s">
        <v>31</v>
      </c>
      <c r="S2119" s="8" t="s">
        <v>14020</v>
      </c>
      <c r="T2119" s="6" t="s">
        <v>38</v>
      </c>
      <c r="U2119" s="8" t="s">
        <v>14014</v>
      </c>
      <c r="V2119" s="6" t="s">
        <v>13974</v>
      </c>
      <c r="W2119" s="6" t="s">
        <v>13207</v>
      </c>
      <c r="X2119" s="9" t="str">
        <f>HYPERLINK("https://my.pitchbook.com?p=455421-70P","View People Online")</f>
        <v>View People Online</v>
      </c>
    </row>
    <row r="2120">
      <c r="A2120" s="10" t="s">
        <v>14580</v>
      </c>
      <c r="B2120" s="10" t="s">
        <v>14581</v>
      </c>
      <c r="C2120" s="10" t="s">
        <v>14582</v>
      </c>
      <c r="D2120" s="10" t="s">
        <v>14583</v>
      </c>
      <c r="E2120" s="10" t="s">
        <v>13207</v>
      </c>
      <c r="F2120" s="10" t="s">
        <v>29</v>
      </c>
      <c r="G2120" s="10" t="s">
        <v>14584</v>
      </c>
      <c r="H2120" s="11" t="s">
        <v>31</v>
      </c>
      <c r="I2120" s="11">
        <v>1.0</v>
      </c>
      <c r="J2120" s="11">
        <v>1.0</v>
      </c>
      <c r="K2120" s="11" t="s">
        <v>31</v>
      </c>
      <c r="L2120" s="12" t="s">
        <v>13263</v>
      </c>
      <c r="M2120" s="10" t="s">
        <v>14585</v>
      </c>
      <c r="N2120" s="10" t="s">
        <v>1005</v>
      </c>
      <c r="O2120" s="12" t="s">
        <v>1006</v>
      </c>
      <c r="P2120" s="10" t="s">
        <v>13265</v>
      </c>
      <c r="Q2120" s="10" t="s">
        <v>13266</v>
      </c>
      <c r="R2120" s="10" t="s">
        <v>13267</v>
      </c>
      <c r="S2120" s="12" t="s">
        <v>13268</v>
      </c>
      <c r="T2120" s="10" t="s">
        <v>1010</v>
      </c>
      <c r="U2120" s="12" t="s">
        <v>13269</v>
      </c>
      <c r="V2120" s="10" t="s">
        <v>29</v>
      </c>
      <c r="W2120" s="10" t="s">
        <v>13207</v>
      </c>
      <c r="X2120" s="13" t="str">
        <f>HYPERLINK("https://my.pitchbook.com?p=455814-37P","View People Online")</f>
        <v>View People Online</v>
      </c>
    </row>
    <row r="2121">
      <c r="A2121" s="6" t="s">
        <v>14586</v>
      </c>
      <c r="B2121" s="6" t="s">
        <v>14587</v>
      </c>
      <c r="C2121" s="6" t="s">
        <v>14588</v>
      </c>
      <c r="D2121" s="6" t="s">
        <v>14589</v>
      </c>
      <c r="E2121" s="6" t="s">
        <v>13207</v>
      </c>
      <c r="F2121" s="6" t="s">
        <v>3523</v>
      </c>
      <c r="G2121" s="6" t="s">
        <v>14590</v>
      </c>
      <c r="H2121" s="7" t="s">
        <v>31</v>
      </c>
      <c r="I2121" s="7">
        <v>1.0</v>
      </c>
      <c r="J2121" s="7">
        <v>1.0</v>
      </c>
      <c r="K2121" s="7" t="s">
        <v>31</v>
      </c>
      <c r="L2121" s="8" t="s">
        <v>13632</v>
      </c>
      <c r="M2121" s="6" t="s">
        <v>14591</v>
      </c>
      <c r="N2121" s="6" t="s">
        <v>7690</v>
      </c>
      <c r="O2121" s="8" t="s">
        <v>7691</v>
      </c>
      <c r="P2121" s="6" t="s">
        <v>13634</v>
      </c>
      <c r="Q2121" s="6" t="s">
        <v>13635</v>
      </c>
      <c r="R2121" s="6" t="s">
        <v>7693</v>
      </c>
      <c r="S2121" s="8" t="s">
        <v>13636</v>
      </c>
      <c r="T2121" s="6" t="s">
        <v>66</v>
      </c>
      <c r="U2121" s="8" t="s">
        <v>13637</v>
      </c>
      <c r="V2121" s="6" t="s">
        <v>3523</v>
      </c>
      <c r="W2121" s="6" t="s">
        <v>13207</v>
      </c>
      <c r="X2121" s="9" t="str">
        <f>HYPERLINK("https://my.pitchbook.com?p=176764-33P","View People Online")</f>
        <v>View People Online</v>
      </c>
    </row>
    <row r="2122">
      <c r="A2122" s="10" t="s">
        <v>14592</v>
      </c>
      <c r="B2122" s="10" t="s">
        <v>14593</v>
      </c>
      <c r="C2122" s="10" t="s">
        <v>14594</v>
      </c>
      <c r="D2122" s="10" t="s">
        <v>14595</v>
      </c>
      <c r="E2122" s="10" t="s">
        <v>13207</v>
      </c>
      <c r="F2122" s="10" t="s">
        <v>13218</v>
      </c>
      <c r="G2122" s="10" t="s">
        <v>14596</v>
      </c>
      <c r="H2122" s="11" t="s">
        <v>31</v>
      </c>
      <c r="I2122" s="11">
        <v>1.0</v>
      </c>
      <c r="J2122" s="11">
        <v>1.0</v>
      </c>
      <c r="K2122" s="11" t="s">
        <v>31</v>
      </c>
      <c r="L2122" s="12" t="s">
        <v>14597</v>
      </c>
      <c r="M2122" s="10" t="s">
        <v>14598</v>
      </c>
      <c r="N2122" s="10" t="s">
        <v>14599</v>
      </c>
      <c r="O2122" s="12" t="s">
        <v>14600</v>
      </c>
      <c r="P2122" s="10" t="s">
        <v>14601</v>
      </c>
      <c r="Q2122" s="10" t="s">
        <v>14602</v>
      </c>
      <c r="R2122" s="10" t="s">
        <v>31</v>
      </c>
      <c r="S2122" s="12" t="s">
        <v>31</v>
      </c>
      <c r="T2122" s="10" t="s">
        <v>14603</v>
      </c>
      <c r="U2122" s="12" t="s">
        <v>31</v>
      </c>
      <c r="V2122" s="10" t="s">
        <v>13218</v>
      </c>
      <c r="W2122" s="10" t="s">
        <v>13207</v>
      </c>
      <c r="X2122" s="13" t="str">
        <f>HYPERLINK("https://my.pitchbook.com?p=435354-67P","View People Online")</f>
        <v>View People Online</v>
      </c>
    </row>
    <row r="2123">
      <c r="A2123" s="6" t="s">
        <v>14604</v>
      </c>
      <c r="B2123" s="6" t="s">
        <v>14605</v>
      </c>
      <c r="C2123" s="6" t="s">
        <v>14606</v>
      </c>
      <c r="D2123" s="6" t="s">
        <v>14607</v>
      </c>
      <c r="E2123" s="6" t="s">
        <v>13207</v>
      </c>
      <c r="F2123" s="6" t="s">
        <v>3523</v>
      </c>
      <c r="G2123" s="6" t="s">
        <v>14608</v>
      </c>
      <c r="H2123" s="7" t="s">
        <v>31</v>
      </c>
      <c r="I2123" s="7">
        <v>1.0</v>
      </c>
      <c r="J2123" s="7">
        <v>1.0</v>
      </c>
      <c r="K2123" s="7" t="s">
        <v>31</v>
      </c>
      <c r="L2123" s="8" t="s">
        <v>13888</v>
      </c>
      <c r="M2123" s="6" t="s">
        <v>14609</v>
      </c>
      <c r="N2123" s="6" t="s">
        <v>13890</v>
      </c>
      <c r="O2123" s="8" t="s">
        <v>13891</v>
      </c>
      <c r="P2123" s="6" t="s">
        <v>13892</v>
      </c>
      <c r="Q2123" s="6" t="s">
        <v>31</v>
      </c>
      <c r="R2123" s="6" t="s">
        <v>31</v>
      </c>
      <c r="S2123" s="8" t="s">
        <v>13893</v>
      </c>
      <c r="T2123" s="6" t="s">
        <v>13894</v>
      </c>
      <c r="U2123" s="8" t="s">
        <v>31</v>
      </c>
      <c r="V2123" s="6" t="s">
        <v>3523</v>
      </c>
      <c r="W2123" s="6" t="s">
        <v>13207</v>
      </c>
      <c r="X2123" s="9" t="str">
        <f>HYPERLINK("https://my.pitchbook.com?p=455858-02P","View People Online")</f>
        <v>View People Online</v>
      </c>
    </row>
    <row r="2124">
      <c r="A2124" s="2" t="s">
        <v>14610</v>
      </c>
      <c r="B2124" s="2" t="s">
        <v>14611</v>
      </c>
      <c r="C2124" s="2" t="s">
        <v>14612</v>
      </c>
      <c r="D2124" s="2" t="s">
        <v>2026</v>
      </c>
      <c r="E2124" s="2" t="s">
        <v>13207</v>
      </c>
      <c r="F2124" s="2" t="s">
        <v>318</v>
      </c>
      <c r="G2124" s="2" t="s">
        <v>14613</v>
      </c>
      <c r="H2124" s="3" t="s">
        <v>31</v>
      </c>
      <c r="I2124" s="3">
        <v>1.0</v>
      </c>
      <c r="J2124" s="3">
        <v>1.0</v>
      </c>
      <c r="K2124" s="3" t="s">
        <v>31</v>
      </c>
      <c r="L2124" s="4" t="s">
        <v>14614</v>
      </c>
      <c r="M2124" s="2" t="s">
        <v>14615</v>
      </c>
      <c r="N2124" s="2" t="s">
        <v>1442</v>
      </c>
      <c r="O2124" s="4" t="s">
        <v>1443</v>
      </c>
      <c r="P2124" s="2" t="s">
        <v>14616</v>
      </c>
      <c r="Q2124" s="2" t="s">
        <v>14617</v>
      </c>
      <c r="R2124" s="2" t="s">
        <v>1277</v>
      </c>
      <c r="S2124" s="4" t="s">
        <v>14618</v>
      </c>
      <c r="T2124" s="2" t="s">
        <v>66</v>
      </c>
      <c r="U2124" s="4" t="s">
        <v>31</v>
      </c>
      <c r="V2124" s="2" t="s">
        <v>318</v>
      </c>
      <c r="W2124" s="2" t="s">
        <v>13207</v>
      </c>
      <c r="X2124" s="5" t="str">
        <f>HYPERLINK("https://my.pitchbook.com?p=436385-08P","View People Online")</f>
        <v>View People Online</v>
      </c>
    </row>
    <row r="2125">
      <c r="A2125" s="6" t="s">
        <v>14619</v>
      </c>
      <c r="B2125" s="6" t="s">
        <v>14620</v>
      </c>
      <c r="C2125" s="6" t="s">
        <v>5906</v>
      </c>
      <c r="D2125" s="6" t="s">
        <v>14621</v>
      </c>
      <c r="E2125" s="6" t="s">
        <v>13207</v>
      </c>
      <c r="F2125" s="6" t="s">
        <v>3523</v>
      </c>
      <c r="G2125" s="6" t="s">
        <v>14622</v>
      </c>
      <c r="H2125" s="7" t="s">
        <v>31</v>
      </c>
      <c r="I2125" s="7">
        <v>1.0</v>
      </c>
      <c r="J2125" s="7">
        <v>1.0</v>
      </c>
      <c r="K2125" s="7" t="s">
        <v>31</v>
      </c>
      <c r="L2125" s="8" t="s">
        <v>14623</v>
      </c>
      <c r="M2125" s="6" t="s">
        <v>14624</v>
      </c>
      <c r="N2125" s="6" t="s">
        <v>14625</v>
      </c>
      <c r="O2125" s="8" t="s">
        <v>14626</v>
      </c>
      <c r="P2125" s="6" t="s">
        <v>14627</v>
      </c>
      <c r="Q2125" s="6" t="s">
        <v>14628</v>
      </c>
      <c r="R2125" s="6" t="s">
        <v>14629</v>
      </c>
      <c r="S2125" s="8" t="s">
        <v>14630</v>
      </c>
      <c r="T2125" s="6" t="s">
        <v>5484</v>
      </c>
      <c r="U2125" s="8" t="s">
        <v>14631</v>
      </c>
      <c r="V2125" s="6" t="s">
        <v>3523</v>
      </c>
      <c r="W2125" s="6" t="s">
        <v>13207</v>
      </c>
      <c r="X2125" s="9" t="str">
        <f>HYPERLINK("https://my.pitchbook.com?p=436411-36P","View People Online")</f>
        <v>View People Online</v>
      </c>
    </row>
    <row r="2126">
      <c r="A2126" s="10" t="s">
        <v>14632</v>
      </c>
      <c r="B2126" s="10" t="s">
        <v>14633</v>
      </c>
      <c r="C2126" s="10" t="s">
        <v>14634</v>
      </c>
      <c r="D2126" s="10" t="s">
        <v>14635</v>
      </c>
      <c r="E2126" s="10" t="s">
        <v>13207</v>
      </c>
      <c r="F2126" s="10" t="s">
        <v>29</v>
      </c>
      <c r="G2126" s="10" t="s">
        <v>14636</v>
      </c>
      <c r="H2126" s="11" t="s">
        <v>31</v>
      </c>
      <c r="I2126" s="11">
        <v>1.0</v>
      </c>
      <c r="J2126" s="11">
        <v>1.0</v>
      </c>
      <c r="K2126" s="11" t="s">
        <v>31</v>
      </c>
      <c r="L2126" s="12" t="s">
        <v>13309</v>
      </c>
      <c r="M2126" s="10" t="s">
        <v>14637</v>
      </c>
      <c r="N2126" s="10" t="s">
        <v>13311</v>
      </c>
      <c r="O2126" s="12" t="s">
        <v>13312</v>
      </c>
      <c r="P2126" s="10" t="s">
        <v>13313</v>
      </c>
      <c r="Q2126" s="10" t="s">
        <v>31</v>
      </c>
      <c r="R2126" s="10" t="s">
        <v>31</v>
      </c>
      <c r="S2126" s="12" t="s">
        <v>13314</v>
      </c>
      <c r="T2126" s="10" t="s">
        <v>13315</v>
      </c>
      <c r="U2126" s="12" t="s">
        <v>13316</v>
      </c>
      <c r="V2126" s="10" t="s">
        <v>29</v>
      </c>
      <c r="W2126" s="10" t="s">
        <v>13207</v>
      </c>
      <c r="X2126" s="13" t="str">
        <f>HYPERLINK("https://my.pitchbook.com?p=435143-08P","View People Online")</f>
        <v>View People Online</v>
      </c>
    </row>
    <row r="2127">
      <c r="A2127" s="6" t="s">
        <v>14638</v>
      </c>
      <c r="B2127" s="6" t="s">
        <v>14639</v>
      </c>
      <c r="C2127" s="6" t="s">
        <v>14640</v>
      </c>
      <c r="D2127" s="6" t="s">
        <v>14641</v>
      </c>
      <c r="E2127" s="6" t="s">
        <v>13207</v>
      </c>
      <c r="F2127" s="6" t="s">
        <v>3523</v>
      </c>
      <c r="G2127" s="6" t="s">
        <v>14642</v>
      </c>
      <c r="H2127" s="7" t="s">
        <v>31</v>
      </c>
      <c r="I2127" s="7">
        <v>1.0</v>
      </c>
      <c r="J2127" s="7">
        <v>1.0</v>
      </c>
      <c r="K2127" s="7" t="s">
        <v>31</v>
      </c>
      <c r="L2127" s="8" t="s">
        <v>13540</v>
      </c>
      <c r="M2127" s="6" t="s">
        <v>14643</v>
      </c>
      <c r="N2127" s="6" t="s">
        <v>418</v>
      </c>
      <c r="O2127" s="8" t="s">
        <v>419</v>
      </c>
      <c r="P2127" s="6" t="s">
        <v>13542</v>
      </c>
      <c r="Q2127" s="6" t="s">
        <v>31</v>
      </c>
      <c r="R2127" s="6" t="s">
        <v>31</v>
      </c>
      <c r="S2127" s="8" t="s">
        <v>2664</v>
      </c>
      <c r="T2127" s="6" t="s">
        <v>422</v>
      </c>
      <c r="U2127" s="8" t="s">
        <v>13543</v>
      </c>
      <c r="V2127" s="6" t="s">
        <v>3523</v>
      </c>
      <c r="W2127" s="6" t="s">
        <v>13207</v>
      </c>
      <c r="X2127" s="9" t="str">
        <f>HYPERLINK("https://my.pitchbook.com?p=435357-64P","View People Online")</f>
        <v>View People Online</v>
      </c>
    </row>
    <row r="2128">
      <c r="A2128" s="2" t="s">
        <v>14644</v>
      </c>
      <c r="B2128" s="2" t="s">
        <v>14645</v>
      </c>
      <c r="C2128" s="2" t="s">
        <v>14646</v>
      </c>
      <c r="D2128" s="2" t="s">
        <v>14647</v>
      </c>
      <c r="E2128" s="2" t="s">
        <v>13207</v>
      </c>
      <c r="F2128" s="2" t="s">
        <v>3523</v>
      </c>
      <c r="G2128" s="2" t="s">
        <v>14648</v>
      </c>
      <c r="H2128" s="3" t="s">
        <v>31</v>
      </c>
      <c r="I2128" s="3">
        <v>1.0</v>
      </c>
      <c r="J2128" s="3">
        <v>1.0</v>
      </c>
      <c r="K2128" s="3" t="s">
        <v>31</v>
      </c>
      <c r="L2128" s="4" t="s">
        <v>13423</v>
      </c>
      <c r="M2128" s="2" t="s">
        <v>14649</v>
      </c>
      <c r="N2128" s="2" t="s">
        <v>243</v>
      </c>
      <c r="O2128" s="4" t="s">
        <v>244</v>
      </c>
      <c r="P2128" s="2" t="s">
        <v>13425</v>
      </c>
      <c r="Q2128" s="2" t="s">
        <v>31</v>
      </c>
      <c r="R2128" s="2" t="s">
        <v>247</v>
      </c>
      <c r="S2128" s="4" t="s">
        <v>13426</v>
      </c>
      <c r="T2128" s="2" t="s">
        <v>249</v>
      </c>
      <c r="U2128" s="4" t="s">
        <v>31</v>
      </c>
      <c r="V2128" s="2" t="s">
        <v>3523</v>
      </c>
      <c r="W2128" s="2" t="s">
        <v>13207</v>
      </c>
      <c r="X2128" s="5" t="str">
        <f>HYPERLINK("https://my.pitchbook.com?p=435283-03P","View People Online")</f>
        <v>View People Online</v>
      </c>
    </row>
    <row r="2129">
      <c r="A2129" s="6" t="s">
        <v>14650</v>
      </c>
      <c r="B2129" s="6" t="s">
        <v>14651</v>
      </c>
      <c r="C2129" s="6" t="s">
        <v>14652</v>
      </c>
      <c r="D2129" s="6" t="s">
        <v>14653</v>
      </c>
      <c r="E2129" s="6" t="s">
        <v>13207</v>
      </c>
      <c r="F2129" s="6" t="s">
        <v>3523</v>
      </c>
      <c r="G2129" s="6" t="s">
        <v>14654</v>
      </c>
      <c r="H2129" s="7" t="s">
        <v>31</v>
      </c>
      <c r="I2129" s="7">
        <v>1.0</v>
      </c>
      <c r="J2129" s="7">
        <v>1.0</v>
      </c>
      <c r="K2129" s="7" t="s">
        <v>31</v>
      </c>
      <c r="L2129" s="8" t="s">
        <v>13734</v>
      </c>
      <c r="M2129" s="6" t="s">
        <v>14655</v>
      </c>
      <c r="N2129" s="6" t="s">
        <v>2754</v>
      </c>
      <c r="O2129" s="8" t="s">
        <v>2755</v>
      </c>
      <c r="P2129" s="6" t="s">
        <v>13736</v>
      </c>
      <c r="Q2129" s="6" t="s">
        <v>31</v>
      </c>
      <c r="R2129" s="6" t="s">
        <v>31</v>
      </c>
      <c r="S2129" s="8" t="s">
        <v>13737</v>
      </c>
      <c r="T2129" s="6" t="s">
        <v>38</v>
      </c>
      <c r="U2129" s="8" t="s">
        <v>13738</v>
      </c>
      <c r="V2129" s="6" t="s">
        <v>3523</v>
      </c>
      <c r="W2129" s="6" t="s">
        <v>13207</v>
      </c>
      <c r="X2129" s="9" t="str">
        <f>HYPERLINK("https://my.pitchbook.com?p=435444-94P","View People Online")</f>
        <v>View People Online</v>
      </c>
    </row>
    <row r="2130">
      <c r="A2130" s="10" t="s">
        <v>14656</v>
      </c>
      <c r="B2130" s="10" t="s">
        <v>14657</v>
      </c>
      <c r="C2130" s="10" t="s">
        <v>14658</v>
      </c>
      <c r="D2130" s="10" t="s">
        <v>14659</v>
      </c>
      <c r="E2130" s="10" t="s">
        <v>13207</v>
      </c>
      <c r="F2130" s="10" t="s">
        <v>3523</v>
      </c>
      <c r="G2130" s="10" t="s">
        <v>14660</v>
      </c>
      <c r="H2130" s="11" t="s">
        <v>31</v>
      </c>
      <c r="I2130" s="11">
        <v>1.0</v>
      </c>
      <c r="J2130" s="11">
        <v>1.0</v>
      </c>
      <c r="K2130" s="11" t="s">
        <v>31</v>
      </c>
      <c r="L2130" s="12" t="s">
        <v>13274</v>
      </c>
      <c r="M2130" s="10" t="s">
        <v>14661</v>
      </c>
      <c r="N2130" s="10" t="s">
        <v>1181</v>
      </c>
      <c r="O2130" s="12" t="s">
        <v>1182</v>
      </c>
      <c r="P2130" s="10" t="s">
        <v>13276</v>
      </c>
      <c r="Q2130" s="10" t="s">
        <v>31</v>
      </c>
      <c r="R2130" s="10" t="s">
        <v>1185</v>
      </c>
      <c r="S2130" s="12" t="s">
        <v>4438</v>
      </c>
      <c r="T2130" s="10" t="s">
        <v>66</v>
      </c>
      <c r="U2130" s="12" t="s">
        <v>13277</v>
      </c>
      <c r="V2130" s="10" t="s">
        <v>3523</v>
      </c>
      <c r="W2130" s="10" t="s">
        <v>13207</v>
      </c>
      <c r="X2130" s="13" t="str">
        <f>HYPERLINK("https://my.pitchbook.com?p=434900-71P","View People Online")</f>
        <v>View People Online</v>
      </c>
    </row>
    <row r="2131">
      <c r="A2131" s="6" t="s">
        <v>14662</v>
      </c>
      <c r="B2131" s="6" t="s">
        <v>14663</v>
      </c>
      <c r="C2131" s="6" t="s">
        <v>14664</v>
      </c>
      <c r="D2131" s="6" t="s">
        <v>14665</v>
      </c>
      <c r="E2131" s="6" t="s">
        <v>13207</v>
      </c>
      <c r="F2131" s="6" t="s">
        <v>29</v>
      </c>
      <c r="G2131" s="6" t="s">
        <v>14666</v>
      </c>
      <c r="H2131" s="7" t="s">
        <v>31</v>
      </c>
      <c r="I2131" s="7">
        <v>1.0</v>
      </c>
      <c r="J2131" s="7">
        <v>1.0</v>
      </c>
      <c r="K2131" s="7" t="s">
        <v>31</v>
      </c>
      <c r="L2131" s="8" t="s">
        <v>13423</v>
      </c>
      <c r="M2131" s="6" t="s">
        <v>14667</v>
      </c>
      <c r="N2131" s="6" t="s">
        <v>243</v>
      </c>
      <c r="O2131" s="8" t="s">
        <v>244</v>
      </c>
      <c r="P2131" s="6" t="s">
        <v>13425</v>
      </c>
      <c r="Q2131" s="6" t="s">
        <v>31</v>
      </c>
      <c r="R2131" s="6" t="s">
        <v>247</v>
      </c>
      <c r="S2131" s="8" t="s">
        <v>13426</v>
      </c>
      <c r="T2131" s="6" t="s">
        <v>249</v>
      </c>
      <c r="U2131" s="8" t="s">
        <v>31</v>
      </c>
      <c r="V2131" s="6" t="s">
        <v>29</v>
      </c>
      <c r="W2131" s="6" t="s">
        <v>13207</v>
      </c>
      <c r="X2131" s="9" t="str">
        <f>HYPERLINK("https://my.pitchbook.com?p=456013-72P","View People Online")</f>
        <v>View People Online</v>
      </c>
    </row>
    <row r="2132">
      <c r="A2132" s="10" t="s">
        <v>14668</v>
      </c>
      <c r="B2132" s="10" t="s">
        <v>14669</v>
      </c>
      <c r="C2132" s="10" t="s">
        <v>14670</v>
      </c>
      <c r="D2132" s="10" t="s">
        <v>14671</v>
      </c>
      <c r="E2132" s="10" t="s">
        <v>13207</v>
      </c>
      <c r="F2132" s="10" t="s">
        <v>3523</v>
      </c>
      <c r="G2132" s="10" t="s">
        <v>14672</v>
      </c>
      <c r="H2132" s="11" t="s">
        <v>31</v>
      </c>
      <c r="I2132" s="11">
        <v>1.0</v>
      </c>
      <c r="J2132" s="11">
        <v>1.0</v>
      </c>
      <c r="K2132" s="11" t="s">
        <v>31</v>
      </c>
      <c r="L2132" s="12" t="s">
        <v>13540</v>
      </c>
      <c r="M2132" s="10" t="s">
        <v>14673</v>
      </c>
      <c r="N2132" s="10" t="s">
        <v>418</v>
      </c>
      <c r="O2132" s="12" t="s">
        <v>419</v>
      </c>
      <c r="P2132" s="10" t="s">
        <v>13542</v>
      </c>
      <c r="Q2132" s="10" t="s">
        <v>31</v>
      </c>
      <c r="R2132" s="10" t="s">
        <v>31</v>
      </c>
      <c r="S2132" s="12" t="s">
        <v>2664</v>
      </c>
      <c r="T2132" s="10" t="s">
        <v>422</v>
      </c>
      <c r="U2132" s="12" t="s">
        <v>13543</v>
      </c>
      <c r="V2132" s="10" t="s">
        <v>3523</v>
      </c>
      <c r="W2132" s="10" t="s">
        <v>13207</v>
      </c>
      <c r="X2132" s="13" t="str">
        <f>HYPERLINK("https://my.pitchbook.com?p=456138-19P","View People Online")</f>
        <v>View People Online</v>
      </c>
    </row>
    <row r="2133">
      <c r="A2133" s="14" t="s">
        <v>14674</v>
      </c>
      <c r="B2133" s="14" t="s">
        <v>14675</v>
      </c>
      <c r="C2133" s="14" t="s">
        <v>14676</v>
      </c>
      <c r="D2133" s="14" t="s">
        <v>14677</v>
      </c>
      <c r="E2133" s="14" t="s">
        <v>13207</v>
      </c>
      <c r="F2133" s="14" t="s">
        <v>3523</v>
      </c>
      <c r="G2133" s="14" t="s">
        <v>14678</v>
      </c>
      <c r="H2133" s="15" t="s">
        <v>31</v>
      </c>
      <c r="I2133" s="15">
        <v>1.0</v>
      </c>
      <c r="J2133" s="15">
        <v>1.0</v>
      </c>
      <c r="K2133" s="15" t="s">
        <v>31</v>
      </c>
      <c r="L2133" s="16" t="s">
        <v>14614</v>
      </c>
      <c r="M2133" s="14" t="s">
        <v>14679</v>
      </c>
      <c r="N2133" s="14" t="s">
        <v>1442</v>
      </c>
      <c r="O2133" s="16" t="s">
        <v>1443</v>
      </c>
      <c r="P2133" s="14" t="s">
        <v>14616</v>
      </c>
      <c r="Q2133" s="14" t="s">
        <v>14617</v>
      </c>
      <c r="R2133" s="14" t="s">
        <v>1277</v>
      </c>
      <c r="S2133" s="16" t="s">
        <v>14618</v>
      </c>
      <c r="T2133" s="14" t="s">
        <v>66</v>
      </c>
      <c r="U2133" s="16" t="s">
        <v>31</v>
      </c>
      <c r="V2133" s="14" t="s">
        <v>3523</v>
      </c>
      <c r="W2133" s="14" t="s">
        <v>13207</v>
      </c>
      <c r="X2133" s="17" t="str">
        <f>HYPERLINK("https://my.pitchbook.com?p=435083-32P","View People Online")</f>
        <v>View People Online</v>
      </c>
    </row>
    <row r="2134">
      <c r="A2134" s="10" t="s">
        <v>14680</v>
      </c>
      <c r="B2134" s="10" t="s">
        <v>14681</v>
      </c>
      <c r="C2134" s="10" t="s">
        <v>7252</v>
      </c>
      <c r="D2134" s="10" t="s">
        <v>14682</v>
      </c>
      <c r="E2134" s="10" t="s">
        <v>13207</v>
      </c>
      <c r="F2134" s="10" t="s">
        <v>3523</v>
      </c>
      <c r="G2134" s="10" t="s">
        <v>14683</v>
      </c>
      <c r="H2134" s="11" t="s">
        <v>31</v>
      </c>
      <c r="I2134" s="11">
        <v>1.0</v>
      </c>
      <c r="J2134" s="11">
        <v>1.0</v>
      </c>
      <c r="K2134" s="11" t="s">
        <v>31</v>
      </c>
      <c r="L2134" s="12" t="s">
        <v>13496</v>
      </c>
      <c r="M2134" s="10" t="s">
        <v>14684</v>
      </c>
      <c r="N2134" s="10" t="s">
        <v>75</v>
      </c>
      <c r="O2134" s="12" t="s">
        <v>76</v>
      </c>
      <c r="P2134" s="10" t="s">
        <v>13498</v>
      </c>
      <c r="Q2134" s="10" t="s">
        <v>31</v>
      </c>
      <c r="R2134" s="10" t="s">
        <v>75</v>
      </c>
      <c r="S2134" s="12" t="s">
        <v>195</v>
      </c>
      <c r="T2134" s="10" t="s">
        <v>66</v>
      </c>
      <c r="U2134" s="12" t="s">
        <v>13499</v>
      </c>
      <c r="V2134" s="10" t="s">
        <v>3523</v>
      </c>
      <c r="W2134" s="10" t="s">
        <v>13207</v>
      </c>
      <c r="X2134" s="13" t="str">
        <f>HYPERLINK("https://my.pitchbook.com?p=435126-07P","View People Online")</f>
        <v>View People Online</v>
      </c>
    </row>
    <row r="2135">
      <c r="A2135" s="14" t="s">
        <v>14685</v>
      </c>
      <c r="B2135" s="14" t="s">
        <v>14686</v>
      </c>
      <c r="C2135" s="14" t="s">
        <v>7252</v>
      </c>
      <c r="D2135" s="14" t="s">
        <v>14687</v>
      </c>
      <c r="E2135" s="14" t="s">
        <v>13207</v>
      </c>
      <c r="F2135" s="14" t="s">
        <v>29</v>
      </c>
      <c r="G2135" s="14" t="s">
        <v>14688</v>
      </c>
      <c r="H2135" s="15" t="s">
        <v>31</v>
      </c>
      <c r="I2135" s="15">
        <v>1.0</v>
      </c>
      <c r="J2135" s="15">
        <v>1.0</v>
      </c>
      <c r="K2135" s="15" t="s">
        <v>31</v>
      </c>
      <c r="L2135" s="16" t="s">
        <v>13496</v>
      </c>
      <c r="M2135" s="14" t="s">
        <v>14689</v>
      </c>
      <c r="N2135" s="14" t="s">
        <v>75</v>
      </c>
      <c r="O2135" s="16" t="s">
        <v>76</v>
      </c>
      <c r="P2135" s="14" t="s">
        <v>13498</v>
      </c>
      <c r="Q2135" s="14" t="s">
        <v>31</v>
      </c>
      <c r="R2135" s="14" t="s">
        <v>75</v>
      </c>
      <c r="S2135" s="16" t="s">
        <v>195</v>
      </c>
      <c r="T2135" s="14" t="s">
        <v>66</v>
      </c>
      <c r="U2135" s="16" t="s">
        <v>13499</v>
      </c>
      <c r="V2135" s="14" t="s">
        <v>29</v>
      </c>
      <c r="W2135" s="14" t="s">
        <v>13207</v>
      </c>
      <c r="X2135" s="17" t="str">
        <f>HYPERLINK("https://my.pitchbook.com?p=120597-85P","View People Online")</f>
        <v>View People Online</v>
      </c>
    </row>
    <row r="2136">
      <c r="A2136" s="10" t="s">
        <v>14690</v>
      </c>
      <c r="B2136" s="10" t="s">
        <v>14691</v>
      </c>
      <c r="C2136" s="10" t="s">
        <v>7252</v>
      </c>
      <c r="D2136" s="10" t="s">
        <v>14692</v>
      </c>
      <c r="E2136" s="10" t="s">
        <v>13207</v>
      </c>
      <c r="F2136" s="10" t="s">
        <v>3523</v>
      </c>
      <c r="G2136" s="10" t="s">
        <v>14693</v>
      </c>
      <c r="H2136" s="11" t="s">
        <v>31</v>
      </c>
      <c r="I2136" s="11">
        <v>1.0</v>
      </c>
      <c r="J2136" s="11">
        <v>1.0</v>
      </c>
      <c r="K2136" s="11" t="s">
        <v>31</v>
      </c>
      <c r="L2136" s="12" t="s">
        <v>13220</v>
      </c>
      <c r="M2136" s="10" t="s">
        <v>14694</v>
      </c>
      <c r="N2136" s="10" t="s">
        <v>2478</v>
      </c>
      <c r="O2136" s="12" t="s">
        <v>7332</v>
      </c>
      <c r="P2136" s="10" t="s">
        <v>13222</v>
      </c>
      <c r="Q2136" s="10" t="s">
        <v>13223</v>
      </c>
      <c r="R2136" s="10" t="s">
        <v>7335</v>
      </c>
      <c r="S2136" s="12" t="s">
        <v>7336</v>
      </c>
      <c r="T2136" s="10" t="s">
        <v>5484</v>
      </c>
      <c r="U2136" s="12" t="s">
        <v>13224</v>
      </c>
      <c r="V2136" s="10" t="s">
        <v>3523</v>
      </c>
      <c r="W2136" s="10" t="s">
        <v>13207</v>
      </c>
      <c r="X2136" s="13" t="str">
        <f>HYPERLINK("https://my.pitchbook.com?p=456424-21P","View People Online")</f>
        <v>View People Online</v>
      </c>
    </row>
    <row r="2137">
      <c r="A2137" s="14" t="s">
        <v>14695</v>
      </c>
      <c r="B2137" s="14" t="s">
        <v>14696</v>
      </c>
      <c r="C2137" s="14" t="s">
        <v>7252</v>
      </c>
      <c r="D2137" s="14" t="s">
        <v>14697</v>
      </c>
      <c r="E2137" s="14" t="s">
        <v>13207</v>
      </c>
      <c r="F2137" s="14" t="s">
        <v>13307</v>
      </c>
      <c r="G2137" s="14" t="s">
        <v>14698</v>
      </c>
      <c r="H2137" s="15" t="s">
        <v>31</v>
      </c>
      <c r="I2137" s="15">
        <v>1.0</v>
      </c>
      <c r="J2137" s="15">
        <v>1.0</v>
      </c>
      <c r="K2137" s="15" t="s">
        <v>31</v>
      </c>
      <c r="L2137" s="16" t="s">
        <v>13274</v>
      </c>
      <c r="M2137" s="14" t="s">
        <v>14699</v>
      </c>
      <c r="N2137" s="14" t="s">
        <v>1181</v>
      </c>
      <c r="O2137" s="16" t="s">
        <v>1182</v>
      </c>
      <c r="P2137" s="14" t="s">
        <v>13276</v>
      </c>
      <c r="Q2137" s="14" t="s">
        <v>31</v>
      </c>
      <c r="R2137" s="14" t="s">
        <v>1185</v>
      </c>
      <c r="S2137" s="16" t="s">
        <v>4438</v>
      </c>
      <c r="T2137" s="14" t="s">
        <v>66</v>
      </c>
      <c r="U2137" s="16" t="s">
        <v>13277</v>
      </c>
      <c r="V2137" s="14" t="s">
        <v>13317</v>
      </c>
      <c r="W2137" s="14" t="s">
        <v>13207</v>
      </c>
      <c r="X2137" s="17" t="str">
        <f>HYPERLINK("https://my.pitchbook.com?p=434958-94P","View People Online")</f>
        <v>View People Online</v>
      </c>
    </row>
    <row r="2138">
      <c r="A2138" s="2" t="s">
        <v>14700</v>
      </c>
      <c r="B2138" s="2" t="s">
        <v>14701</v>
      </c>
      <c r="C2138" s="2" t="s">
        <v>7252</v>
      </c>
      <c r="D2138" s="2" t="s">
        <v>14702</v>
      </c>
      <c r="E2138" s="2" t="s">
        <v>13207</v>
      </c>
      <c r="F2138" s="2" t="s">
        <v>3523</v>
      </c>
      <c r="G2138" s="2" t="s">
        <v>14703</v>
      </c>
      <c r="H2138" s="3" t="s">
        <v>31</v>
      </c>
      <c r="I2138" s="3">
        <v>1.0</v>
      </c>
      <c r="J2138" s="3">
        <v>1.0</v>
      </c>
      <c r="K2138" s="3" t="s">
        <v>31</v>
      </c>
      <c r="L2138" s="4" t="s">
        <v>14201</v>
      </c>
      <c r="M2138" s="2" t="s">
        <v>14704</v>
      </c>
      <c r="N2138" s="2" t="s">
        <v>14203</v>
      </c>
      <c r="O2138" s="4" t="s">
        <v>14204</v>
      </c>
      <c r="P2138" s="2" t="s">
        <v>14205</v>
      </c>
      <c r="Q2138" s="2" t="s">
        <v>14206</v>
      </c>
      <c r="R2138" s="2" t="s">
        <v>1420</v>
      </c>
      <c r="S2138" s="4" t="s">
        <v>14207</v>
      </c>
      <c r="T2138" s="2" t="s">
        <v>66</v>
      </c>
      <c r="U2138" s="4" t="s">
        <v>14208</v>
      </c>
      <c r="V2138" s="2" t="s">
        <v>3523</v>
      </c>
      <c r="W2138" s="2" t="s">
        <v>13207</v>
      </c>
      <c r="X2138" s="5" t="str">
        <f>HYPERLINK("https://my.pitchbook.com?p=435206-71P","View People Online")</f>
        <v>View People Online</v>
      </c>
    </row>
    <row r="2139">
      <c r="A2139" s="14" t="s">
        <v>14705</v>
      </c>
      <c r="B2139" s="14" t="s">
        <v>14706</v>
      </c>
      <c r="C2139" s="14" t="s">
        <v>7252</v>
      </c>
      <c r="D2139" s="14" t="s">
        <v>14707</v>
      </c>
      <c r="E2139" s="14" t="s">
        <v>13207</v>
      </c>
      <c r="F2139" s="14" t="s">
        <v>3523</v>
      </c>
      <c r="G2139" s="14" t="s">
        <v>14708</v>
      </c>
      <c r="H2139" s="15" t="s">
        <v>31</v>
      </c>
      <c r="I2139" s="15">
        <v>1.0</v>
      </c>
      <c r="J2139" s="15">
        <v>1.0</v>
      </c>
      <c r="K2139" s="15" t="s">
        <v>31</v>
      </c>
      <c r="L2139" s="16" t="s">
        <v>13423</v>
      </c>
      <c r="M2139" s="14" t="s">
        <v>14709</v>
      </c>
      <c r="N2139" s="14" t="s">
        <v>243</v>
      </c>
      <c r="O2139" s="16" t="s">
        <v>244</v>
      </c>
      <c r="P2139" s="14" t="s">
        <v>13425</v>
      </c>
      <c r="Q2139" s="14" t="s">
        <v>31</v>
      </c>
      <c r="R2139" s="14" t="s">
        <v>247</v>
      </c>
      <c r="S2139" s="16" t="s">
        <v>13426</v>
      </c>
      <c r="T2139" s="14" t="s">
        <v>249</v>
      </c>
      <c r="U2139" s="16" t="s">
        <v>31</v>
      </c>
      <c r="V2139" s="14" t="s">
        <v>3523</v>
      </c>
      <c r="W2139" s="14" t="s">
        <v>13207</v>
      </c>
      <c r="X2139" s="17" t="str">
        <f>HYPERLINK("https://my.pitchbook.com?p=436705-12P","View People Online")</f>
        <v>View People Online</v>
      </c>
    </row>
    <row r="2140">
      <c r="A2140" s="2" t="s">
        <v>14710</v>
      </c>
      <c r="B2140" s="2" t="s">
        <v>14711</v>
      </c>
      <c r="C2140" s="2" t="s">
        <v>54</v>
      </c>
      <c r="D2140" s="2" t="s">
        <v>14712</v>
      </c>
      <c r="E2140" s="2" t="s">
        <v>13207</v>
      </c>
      <c r="F2140" s="2" t="s">
        <v>3523</v>
      </c>
      <c r="G2140" s="2" t="s">
        <v>14713</v>
      </c>
      <c r="H2140" s="3" t="s">
        <v>31</v>
      </c>
      <c r="I2140" s="3">
        <v>1.0</v>
      </c>
      <c r="J2140" s="3">
        <v>1.0</v>
      </c>
      <c r="K2140" s="3" t="s">
        <v>31</v>
      </c>
      <c r="L2140" s="4" t="s">
        <v>14014</v>
      </c>
      <c r="M2140" s="2" t="s">
        <v>14714</v>
      </c>
      <c r="N2140" s="2" t="s">
        <v>14016</v>
      </c>
      <c r="O2140" s="4" t="s">
        <v>14017</v>
      </c>
      <c r="P2140" s="2" t="s">
        <v>14018</v>
      </c>
      <c r="Q2140" s="2" t="s">
        <v>14019</v>
      </c>
      <c r="R2140" s="2" t="s">
        <v>31</v>
      </c>
      <c r="S2140" s="4" t="s">
        <v>14020</v>
      </c>
      <c r="T2140" s="2" t="s">
        <v>38</v>
      </c>
      <c r="U2140" s="4" t="s">
        <v>14014</v>
      </c>
      <c r="V2140" s="2" t="s">
        <v>3523</v>
      </c>
      <c r="W2140" s="2" t="s">
        <v>13207</v>
      </c>
      <c r="X2140" s="5" t="str">
        <f>HYPERLINK("https://my.pitchbook.com?p=456123-61P","View People Online")</f>
        <v>View People Online</v>
      </c>
    </row>
    <row r="2141">
      <c r="A2141" s="6" t="s">
        <v>14715</v>
      </c>
      <c r="B2141" s="6" t="s">
        <v>14716</v>
      </c>
      <c r="C2141" s="6" t="s">
        <v>54</v>
      </c>
      <c r="D2141" s="6" t="s">
        <v>14717</v>
      </c>
      <c r="E2141" s="6" t="s">
        <v>13207</v>
      </c>
      <c r="F2141" s="6" t="s">
        <v>3523</v>
      </c>
      <c r="G2141" s="6" t="s">
        <v>14718</v>
      </c>
      <c r="H2141" s="7" t="s">
        <v>31</v>
      </c>
      <c r="I2141" s="7">
        <v>1.0</v>
      </c>
      <c r="J2141" s="7">
        <v>1.0</v>
      </c>
      <c r="K2141" s="7" t="s">
        <v>31</v>
      </c>
      <c r="L2141" s="8" t="s">
        <v>13299</v>
      </c>
      <c r="M2141" s="6" t="s">
        <v>14719</v>
      </c>
      <c r="N2141" s="6" t="s">
        <v>601</v>
      </c>
      <c r="O2141" s="8" t="s">
        <v>602</v>
      </c>
      <c r="P2141" s="6" t="s">
        <v>13301</v>
      </c>
      <c r="Q2141" s="6" t="s">
        <v>13302</v>
      </c>
      <c r="R2141" s="6" t="s">
        <v>31</v>
      </c>
      <c r="S2141" s="8" t="s">
        <v>31</v>
      </c>
      <c r="T2141" s="6" t="s">
        <v>603</v>
      </c>
      <c r="U2141" s="8" t="s">
        <v>13303</v>
      </c>
      <c r="V2141" s="6" t="s">
        <v>3523</v>
      </c>
      <c r="W2141" s="6" t="s">
        <v>13207</v>
      </c>
      <c r="X2141" s="9" t="str">
        <f>HYPERLINK("https://my.pitchbook.com?p=435082-24P","View People Online")</f>
        <v>View People Online</v>
      </c>
    </row>
    <row r="2142">
      <c r="A2142" s="2" t="s">
        <v>14720</v>
      </c>
      <c r="B2142" s="2" t="s">
        <v>14721</v>
      </c>
      <c r="C2142" s="2" t="s">
        <v>54</v>
      </c>
      <c r="D2142" s="2" t="s">
        <v>14722</v>
      </c>
      <c r="E2142" s="2" t="s">
        <v>13207</v>
      </c>
      <c r="F2142" s="2" t="s">
        <v>13218</v>
      </c>
      <c r="G2142" s="2" t="s">
        <v>14723</v>
      </c>
      <c r="H2142" s="3" t="s">
        <v>31</v>
      </c>
      <c r="I2142" s="3">
        <v>7.0</v>
      </c>
      <c r="J2142" s="3">
        <v>1.0</v>
      </c>
      <c r="K2142" s="3">
        <v>6.0</v>
      </c>
      <c r="L2142" s="4" t="s">
        <v>13378</v>
      </c>
      <c r="M2142" s="2" t="s">
        <v>14724</v>
      </c>
      <c r="N2142" s="2" t="s">
        <v>429</v>
      </c>
      <c r="O2142" s="4" t="s">
        <v>430</v>
      </c>
      <c r="P2142" s="2" t="s">
        <v>13380</v>
      </c>
      <c r="Q2142" s="2" t="s">
        <v>31</v>
      </c>
      <c r="R2142" s="2" t="s">
        <v>31</v>
      </c>
      <c r="S2142" s="4" t="s">
        <v>13381</v>
      </c>
      <c r="T2142" s="2" t="s">
        <v>433</v>
      </c>
      <c r="U2142" s="4" t="s">
        <v>13382</v>
      </c>
      <c r="V2142" s="2" t="s">
        <v>14725</v>
      </c>
      <c r="W2142" s="2" t="s">
        <v>13207</v>
      </c>
      <c r="X2142" s="5" t="str">
        <f>HYPERLINK("https://my.pitchbook.com?p=261065-53P","View People Online")</f>
        <v>View People Online</v>
      </c>
    </row>
    <row r="2143">
      <c r="A2143" s="6" t="s">
        <v>14726</v>
      </c>
      <c r="B2143" s="6" t="s">
        <v>14727</v>
      </c>
      <c r="C2143" s="6" t="s">
        <v>54</v>
      </c>
      <c r="D2143" s="6" t="s">
        <v>14728</v>
      </c>
      <c r="E2143" s="6" t="s">
        <v>13207</v>
      </c>
      <c r="F2143" s="6" t="s">
        <v>13218</v>
      </c>
      <c r="G2143" s="6" t="s">
        <v>14729</v>
      </c>
      <c r="H2143" s="7" t="s">
        <v>31</v>
      </c>
      <c r="I2143" s="7">
        <v>1.0</v>
      </c>
      <c r="J2143" s="7">
        <v>1.0</v>
      </c>
      <c r="K2143" s="7" t="s">
        <v>31</v>
      </c>
      <c r="L2143" s="8" t="s">
        <v>13724</v>
      </c>
      <c r="M2143" s="6" t="s">
        <v>14730</v>
      </c>
      <c r="N2143" s="6" t="s">
        <v>34</v>
      </c>
      <c r="O2143" s="8" t="s">
        <v>35</v>
      </c>
      <c r="P2143" s="6" t="s">
        <v>13726</v>
      </c>
      <c r="Q2143" s="6" t="s">
        <v>31</v>
      </c>
      <c r="R2143" s="6" t="s">
        <v>31</v>
      </c>
      <c r="S2143" s="8" t="s">
        <v>13727</v>
      </c>
      <c r="T2143" s="6" t="s">
        <v>38</v>
      </c>
      <c r="U2143" s="8" t="s">
        <v>13728</v>
      </c>
      <c r="V2143" s="6" t="s">
        <v>14731</v>
      </c>
      <c r="W2143" s="6" t="s">
        <v>13207</v>
      </c>
      <c r="X2143" s="9" t="str">
        <f>HYPERLINK("https://my.pitchbook.com?p=435187-27P","View People Online")</f>
        <v>View People Online</v>
      </c>
    </row>
    <row r="2144">
      <c r="A2144" s="2" t="s">
        <v>14732</v>
      </c>
      <c r="B2144" s="2" t="s">
        <v>14733</v>
      </c>
      <c r="C2144" s="2" t="s">
        <v>54</v>
      </c>
      <c r="D2144" s="2" t="s">
        <v>14734</v>
      </c>
      <c r="E2144" s="2" t="s">
        <v>13207</v>
      </c>
      <c r="F2144" s="2" t="s">
        <v>13218</v>
      </c>
      <c r="G2144" s="2" t="s">
        <v>14735</v>
      </c>
      <c r="H2144" s="3" t="s">
        <v>31</v>
      </c>
      <c r="I2144" s="3">
        <v>1.0</v>
      </c>
      <c r="J2144" s="3">
        <v>1.0</v>
      </c>
      <c r="K2144" s="3" t="s">
        <v>31</v>
      </c>
      <c r="L2144" s="4" t="s">
        <v>13496</v>
      </c>
      <c r="M2144" s="2" t="s">
        <v>14736</v>
      </c>
      <c r="N2144" s="2" t="s">
        <v>75</v>
      </c>
      <c r="O2144" s="4" t="s">
        <v>76</v>
      </c>
      <c r="P2144" s="2" t="s">
        <v>13498</v>
      </c>
      <c r="Q2144" s="2" t="s">
        <v>31</v>
      </c>
      <c r="R2144" s="2" t="s">
        <v>75</v>
      </c>
      <c r="S2144" s="4" t="s">
        <v>195</v>
      </c>
      <c r="T2144" s="2" t="s">
        <v>66</v>
      </c>
      <c r="U2144" s="4" t="s">
        <v>13499</v>
      </c>
      <c r="V2144" s="2" t="s">
        <v>13218</v>
      </c>
      <c r="W2144" s="2" t="s">
        <v>13207</v>
      </c>
      <c r="X2144" s="5" t="str">
        <f>HYPERLINK("https://my.pitchbook.com?p=436375-09P","View People Online")</f>
        <v>View People Online</v>
      </c>
    </row>
    <row r="2145">
      <c r="A2145" s="14" t="s">
        <v>14737</v>
      </c>
      <c r="B2145" s="14" t="s">
        <v>14738</v>
      </c>
      <c r="C2145" s="14" t="s">
        <v>54</v>
      </c>
      <c r="D2145" s="14" t="s">
        <v>14739</v>
      </c>
      <c r="E2145" s="14" t="s">
        <v>13207</v>
      </c>
      <c r="F2145" s="14" t="s">
        <v>13218</v>
      </c>
      <c r="G2145" s="14" t="s">
        <v>14740</v>
      </c>
      <c r="H2145" s="15" t="s">
        <v>31</v>
      </c>
      <c r="I2145" s="15">
        <v>1.0</v>
      </c>
      <c r="J2145" s="15">
        <v>1.0</v>
      </c>
      <c r="K2145" s="15" t="s">
        <v>31</v>
      </c>
      <c r="L2145" s="16" t="s">
        <v>13743</v>
      </c>
      <c r="M2145" s="14" t="s">
        <v>14741</v>
      </c>
      <c r="N2145" s="14" t="s">
        <v>1034</v>
      </c>
      <c r="O2145" s="16" t="s">
        <v>1035</v>
      </c>
      <c r="P2145" s="14" t="s">
        <v>13745</v>
      </c>
      <c r="Q2145" s="14" t="s">
        <v>13746</v>
      </c>
      <c r="R2145" s="14" t="s">
        <v>31</v>
      </c>
      <c r="S2145" s="16" t="s">
        <v>13747</v>
      </c>
      <c r="T2145" s="14" t="s">
        <v>1034</v>
      </c>
      <c r="U2145" s="16" t="s">
        <v>13748</v>
      </c>
      <c r="V2145" s="14" t="s">
        <v>13218</v>
      </c>
      <c r="W2145" s="14" t="s">
        <v>13207</v>
      </c>
      <c r="X2145" s="17" t="str">
        <f>HYPERLINK("https://my.pitchbook.com?p=140933-71P","View People Online")</f>
        <v>View People Online</v>
      </c>
    </row>
    <row r="2146">
      <c r="A2146" s="2" t="s">
        <v>14742</v>
      </c>
      <c r="B2146" s="2" t="s">
        <v>14743</v>
      </c>
      <c r="C2146" s="2" t="s">
        <v>54</v>
      </c>
      <c r="D2146" s="2" t="s">
        <v>14744</v>
      </c>
      <c r="E2146" s="2" t="s">
        <v>13207</v>
      </c>
      <c r="F2146" s="2" t="s">
        <v>13218</v>
      </c>
      <c r="G2146" s="2" t="s">
        <v>14745</v>
      </c>
      <c r="H2146" s="3" t="s">
        <v>31</v>
      </c>
      <c r="I2146" s="3">
        <v>1.0</v>
      </c>
      <c r="J2146" s="3">
        <v>1.0</v>
      </c>
      <c r="K2146" s="3" t="s">
        <v>31</v>
      </c>
      <c r="L2146" s="4" t="s">
        <v>13839</v>
      </c>
      <c r="M2146" s="2" t="s">
        <v>14746</v>
      </c>
      <c r="N2146" s="2" t="s">
        <v>11029</v>
      </c>
      <c r="O2146" s="4" t="s">
        <v>11030</v>
      </c>
      <c r="P2146" s="2" t="s">
        <v>13841</v>
      </c>
      <c r="Q2146" s="2" t="s">
        <v>13842</v>
      </c>
      <c r="R2146" s="2" t="s">
        <v>10017</v>
      </c>
      <c r="S2146" s="4" t="s">
        <v>13843</v>
      </c>
      <c r="T2146" s="2" t="s">
        <v>66</v>
      </c>
      <c r="U2146" s="4" t="s">
        <v>13844</v>
      </c>
      <c r="V2146" s="2" t="s">
        <v>13218</v>
      </c>
      <c r="W2146" s="2" t="s">
        <v>13207</v>
      </c>
      <c r="X2146" s="5" t="str">
        <f>HYPERLINK("https://my.pitchbook.com?p=456285-61P","View People Online")</f>
        <v>View People Online</v>
      </c>
    </row>
    <row r="2147">
      <c r="A2147" s="6" t="s">
        <v>14747</v>
      </c>
      <c r="B2147" s="6" t="s">
        <v>14748</v>
      </c>
      <c r="C2147" s="6" t="s">
        <v>54</v>
      </c>
      <c r="D2147" s="6" t="s">
        <v>14749</v>
      </c>
      <c r="E2147" s="6" t="s">
        <v>13207</v>
      </c>
      <c r="F2147" s="6" t="s">
        <v>13307</v>
      </c>
      <c r="G2147" s="6" t="s">
        <v>14750</v>
      </c>
      <c r="H2147" s="7" t="s">
        <v>31</v>
      </c>
      <c r="I2147" s="7">
        <v>1.0</v>
      </c>
      <c r="J2147" s="7">
        <v>1.0</v>
      </c>
      <c r="K2147" s="7" t="s">
        <v>31</v>
      </c>
      <c r="L2147" s="8" t="s">
        <v>13299</v>
      </c>
      <c r="M2147" s="6" t="s">
        <v>14751</v>
      </c>
      <c r="N2147" s="6" t="s">
        <v>601</v>
      </c>
      <c r="O2147" s="8" t="s">
        <v>602</v>
      </c>
      <c r="P2147" s="6" t="s">
        <v>13301</v>
      </c>
      <c r="Q2147" s="6" t="s">
        <v>13302</v>
      </c>
      <c r="R2147" s="6" t="s">
        <v>31</v>
      </c>
      <c r="S2147" s="8" t="s">
        <v>31</v>
      </c>
      <c r="T2147" s="6" t="s">
        <v>603</v>
      </c>
      <c r="U2147" s="8" t="s">
        <v>13303</v>
      </c>
      <c r="V2147" s="6" t="s">
        <v>13317</v>
      </c>
      <c r="W2147" s="6" t="s">
        <v>13207</v>
      </c>
      <c r="X2147" s="9" t="str">
        <f>HYPERLINK("https://my.pitchbook.com?p=436311-46P","View People Online")</f>
        <v>View People Online</v>
      </c>
    </row>
    <row r="2148">
      <c r="A2148" s="2" t="s">
        <v>14752</v>
      </c>
      <c r="B2148" s="2" t="s">
        <v>14753</v>
      </c>
      <c r="C2148" s="2" t="s">
        <v>14754</v>
      </c>
      <c r="D2148" s="2" t="s">
        <v>14755</v>
      </c>
      <c r="E2148" s="2" t="s">
        <v>13207</v>
      </c>
      <c r="F2148" s="2" t="s">
        <v>3523</v>
      </c>
      <c r="G2148" s="2" t="s">
        <v>14756</v>
      </c>
      <c r="H2148" s="3" t="s">
        <v>31</v>
      </c>
      <c r="I2148" s="3">
        <v>1.0</v>
      </c>
      <c r="J2148" s="3">
        <v>1.0</v>
      </c>
      <c r="K2148" s="3" t="s">
        <v>31</v>
      </c>
      <c r="L2148" s="4" t="s">
        <v>13274</v>
      </c>
      <c r="M2148" s="2" t="s">
        <v>14757</v>
      </c>
      <c r="N2148" s="2" t="s">
        <v>1181</v>
      </c>
      <c r="O2148" s="4" t="s">
        <v>1182</v>
      </c>
      <c r="P2148" s="2" t="s">
        <v>13276</v>
      </c>
      <c r="Q2148" s="2" t="s">
        <v>31</v>
      </c>
      <c r="R2148" s="2" t="s">
        <v>1185</v>
      </c>
      <c r="S2148" s="4" t="s">
        <v>4438</v>
      </c>
      <c r="T2148" s="2" t="s">
        <v>66</v>
      </c>
      <c r="U2148" s="4" t="s">
        <v>13277</v>
      </c>
      <c r="V2148" s="2" t="s">
        <v>3523</v>
      </c>
      <c r="W2148" s="2" t="s">
        <v>13207</v>
      </c>
      <c r="X2148" s="5" t="str">
        <f>HYPERLINK("https://my.pitchbook.com?p=455979-88P","View People Online")</f>
        <v>View People Online</v>
      </c>
    </row>
    <row r="2149">
      <c r="A2149" s="14" t="s">
        <v>14758</v>
      </c>
      <c r="B2149" s="14" t="s">
        <v>14759</v>
      </c>
      <c r="C2149" s="14" t="s">
        <v>14760</v>
      </c>
      <c r="D2149" s="14" t="s">
        <v>14761</v>
      </c>
      <c r="E2149" s="14" t="s">
        <v>13207</v>
      </c>
      <c r="F2149" s="14" t="s">
        <v>13218</v>
      </c>
      <c r="G2149" s="14" t="s">
        <v>14762</v>
      </c>
      <c r="H2149" s="15" t="s">
        <v>31</v>
      </c>
      <c r="I2149" s="15">
        <v>1.0</v>
      </c>
      <c r="J2149" s="15">
        <v>1.0</v>
      </c>
      <c r="K2149" s="15" t="s">
        <v>31</v>
      </c>
      <c r="L2149" s="16" t="s">
        <v>13242</v>
      </c>
      <c r="M2149" s="14" t="s">
        <v>14763</v>
      </c>
      <c r="N2149" s="14" t="s">
        <v>9865</v>
      </c>
      <c r="O2149" s="16" t="s">
        <v>9866</v>
      </c>
      <c r="P2149" s="14" t="s">
        <v>13244</v>
      </c>
      <c r="Q2149" s="14" t="s">
        <v>31</v>
      </c>
      <c r="R2149" s="14" t="s">
        <v>31</v>
      </c>
      <c r="S2149" s="16" t="s">
        <v>13245</v>
      </c>
      <c r="T2149" s="14" t="s">
        <v>38</v>
      </c>
      <c r="U2149" s="16" t="s">
        <v>13246</v>
      </c>
      <c r="V2149" s="14" t="s">
        <v>13218</v>
      </c>
      <c r="W2149" s="14" t="s">
        <v>13207</v>
      </c>
      <c r="X2149" s="17" t="str">
        <f>HYPERLINK("https://my.pitchbook.com?p=435814-48P","View People Online")</f>
        <v>View People Online</v>
      </c>
    </row>
    <row r="2150">
      <c r="A2150" s="2" t="s">
        <v>14764</v>
      </c>
      <c r="B2150" s="2" t="s">
        <v>14765</v>
      </c>
      <c r="C2150" s="2" t="s">
        <v>9898</v>
      </c>
      <c r="D2150" s="2" t="s">
        <v>14766</v>
      </c>
      <c r="E2150" s="2" t="s">
        <v>13207</v>
      </c>
      <c r="F2150" s="2" t="s">
        <v>13307</v>
      </c>
      <c r="G2150" s="2" t="s">
        <v>14767</v>
      </c>
      <c r="H2150" s="3" t="s">
        <v>31</v>
      </c>
      <c r="I2150" s="3">
        <v>1.0</v>
      </c>
      <c r="J2150" s="3">
        <v>1.0</v>
      </c>
      <c r="K2150" s="3" t="s">
        <v>31</v>
      </c>
      <c r="L2150" s="4" t="s">
        <v>13252</v>
      </c>
      <c r="M2150" s="2" t="s">
        <v>14768</v>
      </c>
      <c r="N2150" s="2" t="s">
        <v>13254</v>
      </c>
      <c r="O2150" s="4" t="s">
        <v>13255</v>
      </c>
      <c r="P2150" s="2" t="s">
        <v>13256</v>
      </c>
      <c r="Q2150" s="2" t="s">
        <v>31</v>
      </c>
      <c r="R2150" s="2" t="s">
        <v>31</v>
      </c>
      <c r="S2150" s="4" t="s">
        <v>13257</v>
      </c>
      <c r="T2150" s="2" t="s">
        <v>13258</v>
      </c>
      <c r="U2150" s="4" t="s">
        <v>13259</v>
      </c>
      <c r="V2150" s="2" t="s">
        <v>13317</v>
      </c>
      <c r="W2150" s="2" t="s">
        <v>13207</v>
      </c>
      <c r="X2150" s="5" t="str">
        <f>HYPERLINK("https://my.pitchbook.com?p=435431-08P","View People Online")</f>
        <v>View People Online</v>
      </c>
    </row>
    <row r="2151">
      <c r="A2151" s="6" t="s">
        <v>14769</v>
      </c>
      <c r="B2151" s="6" t="s">
        <v>14770</v>
      </c>
      <c r="C2151" s="6" t="s">
        <v>4161</v>
      </c>
      <c r="D2151" s="6" t="s">
        <v>14771</v>
      </c>
      <c r="E2151" s="6" t="s">
        <v>13207</v>
      </c>
      <c r="F2151" s="6" t="s">
        <v>3523</v>
      </c>
      <c r="G2151" s="6" t="s">
        <v>14772</v>
      </c>
      <c r="H2151" s="7" t="s">
        <v>31</v>
      </c>
      <c r="I2151" s="7">
        <v>1.0</v>
      </c>
      <c r="J2151" s="7">
        <v>1.0</v>
      </c>
      <c r="K2151" s="7" t="s">
        <v>31</v>
      </c>
      <c r="L2151" s="8" t="s">
        <v>13496</v>
      </c>
      <c r="M2151" s="6" t="s">
        <v>14773</v>
      </c>
      <c r="N2151" s="6" t="s">
        <v>75</v>
      </c>
      <c r="O2151" s="8" t="s">
        <v>76</v>
      </c>
      <c r="P2151" s="6" t="s">
        <v>13498</v>
      </c>
      <c r="Q2151" s="6" t="s">
        <v>31</v>
      </c>
      <c r="R2151" s="6" t="s">
        <v>75</v>
      </c>
      <c r="S2151" s="8" t="s">
        <v>195</v>
      </c>
      <c r="T2151" s="6" t="s">
        <v>66</v>
      </c>
      <c r="U2151" s="8" t="s">
        <v>13499</v>
      </c>
      <c r="V2151" s="6" t="s">
        <v>3523</v>
      </c>
      <c r="W2151" s="6" t="s">
        <v>13207</v>
      </c>
      <c r="X2151" s="9" t="str">
        <f>HYPERLINK("https://my.pitchbook.com?p=435021-31P","View People Online")</f>
        <v>View People Online</v>
      </c>
    </row>
    <row r="2152">
      <c r="A2152" s="2" t="s">
        <v>14774</v>
      </c>
      <c r="B2152" s="2" t="s">
        <v>14775</v>
      </c>
      <c r="C2152" s="2" t="s">
        <v>4844</v>
      </c>
      <c r="D2152" s="2" t="s">
        <v>14776</v>
      </c>
      <c r="E2152" s="2" t="s">
        <v>13207</v>
      </c>
      <c r="F2152" s="2" t="s">
        <v>3523</v>
      </c>
      <c r="G2152" s="2" t="s">
        <v>14777</v>
      </c>
      <c r="H2152" s="3" t="s">
        <v>31</v>
      </c>
      <c r="I2152" s="3">
        <v>1.0</v>
      </c>
      <c r="J2152" s="3">
        <v>1.0</v>
      </c>
      <c r="K2152" s="3" t="s">
        <v>31</v>
      </c>
      <c r="L2152" s="4" t="s">
        <v>13231</v>
      </c>
      <c r="M2152" s="2" t="s">
        <v>14778</v>
      </c>
      <c r="N2152" s="2" t="s">
        <v>1203</v>
      </c>
      <c r="O2152" s="4" t="s">
        <v>1204</v>
      </c>
      <c r="P2152" s="2" t="s">
        <v>13233</v>
      </c>
      <c r="Q2152" s="2" t="s">
        <v>13234</v>
      </c>
      <c r="R2152" s="2" t="s">
        <v>1207</v>
      </c>
      <c r="S2152" s="4" t="s">
        <v>13235</v>
      </c>
      <c r="T2152" s="2" t="s">
        <v>1209</v>
      </c>
      <c r="U2152" s="4" t="s">
        <v>31</v>
      </c>
      <c r="V2152" s="2" t="s">
        <v>3523</v>
      </c>
      <c r="W2152" s="2" t="s">
        <v>13207</v>
      </c>
      <c r="X2152" s="5" t="str">
        <f>HYPERLINK("https://my.pitchbook.com?p=456122-98P","View People Online")</f>
        <v>View People Online</v>
      </c>
    </row>
    <row r="2153">
      <c r="A2153" s="6" t="s">
        <v>14779</v>
      </c>
      <c r="B2153" s="6" t="s">
        <v>14780</v>
      </c>
      <c r="C2153" s="6" t="s">
        <v>4844</v>
      </c>
      <c r="D2153" s="6" t="s">
        <v>14781</v>
      </c>
      <c r="E2153" s="6" t="s">
        <v>13207</v>
      </c>
      <c r="F2153" s="6" t="s">
        <v>13218</v>
      </c>
      <c r="G2153" s="6" t="s">
        <v>14782</v>
      </c>
      <c r="H2153" s="7" t="s">
        <v>31</v>
      </c>
      <c r="I2153" s="7">
        <v>1.0</v>
      </c>
      <c r="J2153" s="7">
        <v>1.0</v>
      </c>
      <c r="K2153" s="7" t="s">
        <v>31</v>
      </c>
      <c r="L2153" s="8" t="s">
        <v>13496</v>
      </c>
      <c r="M2153" s="6" t="s">
        <v>14783</v>
      </c>
      <c r="N2153" s="6" t="s">
        <v>75</v>
      </c>
      <c r="O2153" s="8" t="s">
        <v>76</v>
      </c>
      <c r="P2153" s="6" t="s">
        <v>13498</v>
      </c>
      <c r="Q2153" s="6" t="s">
        <v>31</v>
      </c>
      <c r="R2153" s="6" t="s">
        <v>75</v>
      </c>
      <c r="S2153" s="8" t="s">
        <v>195</v>
      </c>
      <c r="T2153" s="6" t="s">
        <v>66</v>
      </c>
      <c r="U2153" s="8" t="s">
        <v>13499</v>
      </c>
      <c r="V2153" s="6" t="s">
        <v>13218</v>
      </c>
      <c r="W2153" s="6" t="s">
        <v>13207</v>
      </c>
      <c r="X2153" s="9" t="str">
        <f>HYPERLINK("https://my.pitchbook.com?p=435815-92P","View People Online")</f>
        <v>View People Online</v>
      </c>
    </row>
    <row r="2154">
      <c r="A2154" s="2" t="s">
        <v>14784</v>
      </c>
      <c r="B2154" s="2" t="s">
        <v>14785</v>
      </c>
      <c r="C2154" s="2" t="s">
        <v>14786</v>
      </c>
      <c r="D2154" s="2" t="s">
        <v>6900</v>
      </c>
      <c r="E2154" s="2" t="s">
        <v>13207</v>
      </c>
      <c r="F2154" s="2" t="s">
        <v>3523</v>
      </c>
      <c r="G2154" s="2" t="s">
        <v>14787</v>
      </c>
      <c r="H2154" s="3" t="s">
        <v>31</v>
      </c>
      <c r="I2154" s="3">
        <v>1.0</v>
      </c>
      <c r="J2154" s="3">
        <v>1.0</v>
      </c>
      <c r="K2154" s="3" t="s">
        <v>31</v>
      </c>
      <c r="L2154" s="4" t="s">
        <v>13299</v>
      </c>
      <c r="M2154" s="2" t="s">
        <v>14788</v>
      </c>
      <c r="N2154" s="2" t="s">
        <v>601</v>
      </c>
      <c r="O2154" s="4" t="s">
        <v>602</v>
      </c>
      <c r="P2154" s="2" t="s">
        <v>13301</v>
      </c>
      <c r="Q2154" s="2" t="s">
        <v>13302</v>
      </c>
      <c r="R2154" s="2" t="s">
        <v>31</v>
      </c>
      <c r="S2154" s="4" t="s">
        <v>31</v>
      </c>
      <c r="T2154" s="2" t="s">
        <v>603</v>
      </c>
      <c r="U2154" s="4" t="s">
        <v>13303</v>
      </c>
      <c r="V2154" s="2" t="s">
        <v>3523</v>
      </c>
      <c r="W2154" s="2" t="s">
        <v>13207</v>
      </c>
      <c r="X2154" s="5" t="str">
        <f>HYPERLINK("https://my.pitchbook.com?p=455620-06P","View People Online")</f>
        <v>View People Online</v>
      </c>
    </row>
    <row r="2155">
      <c r="A2155" s="6" t="s">
        <v>14789</v>
      </c>
      <c r="B2155" s="6" t="s">
        <v>14790</v>
      </c>
      <c r="C2155" s="6" t="s">
        <v>14791</v>
      </c>
      <c r="D2155" s="6" t="s">
        <v>3775</v>
      </c>
      <c r="E2155" s="6" t="s">
        <v>13207</v>
      </c>
      <c r="F2155" s="6" t="s">
        <v>3523</v>
      </c>
      <c r="G2155" s="6" t="s">
        <v>14792</v>
      </c>
      <c r="H2155" s="7" t="s">
        <v>31</v>
      </c>
      <c r="I2155" s="7">
        <v>1.0</v>
      </c>
      <c r="J2155" s="7">
        <v>1.0</v>
      </c>
      <c r="K2155" s="7" t="s">
        <v>31</v>
      </c>
      <c r="L2155" s="8" t="s">
        <v>13642</v>
      </c>
      <c r="M2155" s="6" t="s">
        <v>14793</v>
      </c>
      <c r="N2155" s="6" t="s">
        <v>3334</v>
      </c>
      <c r="O2155" s="8" t="s">
        <v>3335</v>
      </c>
      <c r="P2155" s="6" t="s">
        <v>13644</v>
      </c>
      <c r="Q2155" s="6" t="s">
        <v>13645</v>
      </c>
      <c r="R2155" s="6" t="s">
        <v>31</v>
      </c>
      <c r="S2155" s="8" t="s">
        <v>13646</v>
      </c>
      <c r="T2155" s="6" t="s">
        <v>3339</v>
      </c>
      <c r="U2155" s="8" t="s">
        <v>13647</v>
      </c>
      <c r="V2155" s="6" t="s">
        <v>3523</v>
      </c>
      <c r="W2155" s="6" t="s">
        <v>13207</v>
      </c>
      <c r="X2155" s="9" t="str">
        <f>HYPERLINK("https://my.pitchbook.com?p=436163-68P","View People Online")</f>
        <v>View People Online</v>
      </c>
    </row>
    <row r="2156">
      <c r="A2156" s="10" t="s">
        <v>14794</v>
      </c>
      <c r="B2156" s="10" t="s">
        <v>14795</v>
      </c>
      <c r="C2156" s="10" t="s">
        <v>14796</v>
      </c>
      <c r="D2156" s="10" t="s">
        <v>14797</v>
      </c>
      <c r="E2156" s="10" t="s">
        <v>13207</v>
      </c>
      <c r="F2156" s="10" t="s">
        <v>3523</v>
      </c>
      <c r="G2156" s="10" t="s">
        <v>14798</v>
      </c>
      <c r="H2156" s="11" t="s">
        <v>31</v>
      </c>
      <c r="I2156" s="11">
        <v>1.0</v>
      </c>
      <c r="J2156" s="11">
        <v>1.0</v>
      </c>
      <c r="K2156" s="11" t="s">
        <v>31</v>
      </c>
      <c r="L2156" s="12" t="s">
        <v>13274</v>
      </c>
      <c r="M2156" s="10" t="s">
        <v>14799</v>
      </c>
      <c r="N2156" s="10" t="s">
        <v>1181</v>
      </c>
      <c r="O2156" s="12" t="s">
        <v>1182</v>
      </c>
      <c r="P2156" s="10" t="s">
        <v>13276</v>
      </c>
      <c r="Q2156" s="10" t="s">
        <v>31</v>
      </c>
      <c r="R2156" s="10" t="s">
        <v>1185</v>
      </c>
      <c r="S2156" s="12" t="s">
        <v>4438</v>
      </c>
      <c r="T2156" s="10" t="s">
        <v>66</v>
      </c>
      <c r="U2156" s="12" t="s">
        <v>13277</v>
      </c>
      <c r="V2156" s="10" t="s">
        <v>3523</v>
      </c>
      <c r="W2156" s="10" t="s">
        <v>13207</v>
      </c>
      <c r="X2156" s="13" t="str">
        <f>HYPERLINK("https://my.pitchbook.com?p=436287-88P","View People Online")</f>
        <v>View People Online</v>
      </c>
    </row>
    <row r="2157">
      <c r="A2157" s="14" t="s">
        <v>14800</v>
      </c>
      <c r="B2157" s="14" t="s">
        <v>14801</v>
      </c>
      <c r="C2157" s="14" t="s">
        <v>14802</v>
      </c>
      <c r="D2157" s="14" t="s">
        <v>14803</v>
      </c>
      <c r="E2157" s="14" t="s">
        <v>13207</v>
      </c>
      <c r="F2157" s="14" t="s">
        <v>3523</v>
      </c>
      <c r="G2157" s="14" t="s">
        <v>14804</v>
      </c>
      <c r="H2157" s="15" t="s">
        <v>31</v>
      </c>
      <c r="I2157" s="15">
        <v>1.0</v>
      </c>
      <c r="J2157" s="15">
        <v>1.0</v>
      </c>
      <c r="K2157" s="15" t="s">
        <v>31</v>
      </c>
      <c r="L2157" s="16" t="s">
        <v>13242</v>
      </c>
      <c r="M2157" s="14" t="s">
        <v>14805</v>
      </c>
      <c r="N2157" s="14" t="s">
        <v>9865</v>
      </c>
      <c r="O2157" s="16" t="s">
        <v>9866</v>
      </c>
      <c r="P2157" s="14" t="s">
        <v>13244</v>
      </c>
      <c r="Q2157" s="14" t="s">
        <v>31</v>
      </c>
      <c r="R2157" s="14" t="s">
        <v>31</v>
      </c>
      <c r="S2157" s="16" t="s">
        <v>13245</v>
      </c>
      <c r="T2157" s="14" t="s">
        <v>38</v>
      </c>
      <c r="U2157" s="16" t="s">
        <v>13246</v>
      </c>
      <c r="V2157" s="14" t="s">
        <v>3523</v>
      </c>
      <c r="W2157" s="14" t="s">
        <v>13207</v>
      </c>
      <c r="X2157" s="17" t="str">
        <f>HYPERLINK("https://my.pitchbook.com?p=435646-00P","View People Online")</f>
        <v>View People Online</v>
      </c>
    </row>
    <row r="2158">
      <c r="A2158" s="2" t="s">
        <v>14806</v>
      </c>
      <c r="B2158" s="2" t="s">
        <v>14807</v>
      </c>
      <c r="C2158" s="2" t="s">
        <v>14808</v>
      </c>
      <c r="D2158" s="2" t="s">
        <v>1085</v>
      </c>
      <c r="E2158" s="2" t="s">
        <v>13207</v>
      </c>
      <c r="F2158" s="2" t="s">
        <v>667</v>
      </c>
      <c r="G2158" s="2" t="s">
        <v>14809</v>
      </c>
      <c r="H2158" s="3" t="s">
        <v>31</v>
      </c>
      <c r="I2158" s="3">
        <v>1.0</v>
      </c>
      <c r="J2158" s="3">
        <v>1.0</v>
      </c>
      <c r="K2158" s="3" t="s">
        <v>31</v>
      </c>
      <c r="L2158" s="4" t="s">
        <v>13743</v>
      </c>
      <c r="M2158" s="2" t="s">
        <v>14810</v>
      </c>
      <c r="N2158" s="2" t="s">
        <v>1034</v>
      </c>
      <c r="O2158" s="4" t="s">
        <v>1035</v>
      </c>
      <c r="P2158" s="2" t="s">
        <v>13745</v>
      </c>
      <c r="Q2158" s="2" t="s">
        <v>13746</v>
      </c>
      <c r="R2158" s="2" t="s">
        <v>31</v>
      </c>
      <c r="S2158" s="4" t="s">
        <v>13747</v>
      </c>
      <c r="T2158" s="2" t="s">
        <v>1034</v>
      </c>
      <c r="U2158" s="4" t="s">
        <v>13748</v>
      </c>
      <c r="V2158" s="2" t="s">
        <v>14811</v>
      </c>
      <c r="W2158" s="2" t="s">
        <v>13207</v>
      </c>
      <c r="X2158" s="5" t="str">
        <f>HYPERLINK("https://my.pitchbook.com?p=141986-98P","View People Online")</f>
        <v>View People Online</v>
      </c>
    </row>
    <row r="2159">
      <c r="A2159" s="6" t="s">
        <v>14812</v>
      </c>
      <c r="B2159" s="6" t="s">
        <v>14813</v>
      </c>
      <c r="C2159" s="6" t="s">
        <v>14814</v>
      </c>
      <c r="D2159" s="6" t="s">
        <v>14815</v>
      </c>
      <c r="E2159" s="6" t="s">
        <v>13207</v>
      </c>
      <c r="F2159" s="6" t="s">
        <v>29</v>
      </c>
      <c r="G2159" s="6" t="s">
        <v>14816</v>
      </c>
      <c r="H2159" s="7" t="s">
        <v>31</v>
      </c>
      <c r="I2159" s="7">
        <v>1.0</v>
      </c>
      <c r="J2159" s="7">
        <v>1.0</v>
      </c>
      <c r="K2159" s="7" t="s">
        <v>31</v>
      </c>
      <c r="L2159" s="8" t="s">
        <v>13496</v>
      </c>
      <c r="M2159" s="6" t="s">
        <v>14817</v>
      </c>
      <c r="N2159" s="6" t="s">
        <v>75</v>
      </c>
      <c r="O2159" s="8" t="s">
        <v>76</v>
      </c>
      <c r="P2159" s="6" t="s">
        <v>13498</v>
      </c>
      <c r="Q2159" s="6" t="s">
        <v>31</v>
      </c>
      <c r="R2159" s="6" t="s">
        <v>75</v>
      </c>
      <c r="S2159" s="8" t="s">
        <v>195</v>
      </c>
      <c r="T2159" s="6" t="s">
        <v>66</v>
      </c>
      <c r="U2159" s="8" t="s">
        <v>13499</v>
      </c>
      <c r="V2159" s="6" t="s">
        <v>29</v>
      </c>
      <c r="W2159" s="6" t="s">
        <v>13207</v>
      </c>
      <c r="X2159" s="9" t="str">
        <f>HYPERLINK("https://my.pitchbook.com?p=456222-61P","View People Online")</f>
        <v>View People Online</v>
      </c>
    </row>
    <row r="2160">
      <c r="A2160" s="2" t="s">
        <v>14818</v>
      </c>
      <c r="B2160" s="2" t="s">
        <v>14819</v>
      </c>
      <c r="C2160" s="2" t="s">
        <v>14820</v>
      </c>
      <c r="D2160" s="2" t="s">
        <v>14821</v>
      </c>
      <c r="E2160" s="2" t="s">
        <v>13207</v>
      </c>
      <c r="F2160" s="2" t="s">
        <v>13218</v>
      </c>
      <c r="G2160" s="2" t="s">
        <v>14822</v>
      </c>
      <c r="H2160" s="3" t="s">
        <v>31</v>
      </c>
      <c r="I2160" s="3">
        <v>1.0</v>
      </c>
      <c r="J2160" s="3">
        <v>1.0</v>
      </c>
      <c r="K2160" s="3" t="s">
        <v>31</v>
      </c>
      <c r="L2160" s="4" t="s">
        <v>13673</v>
      </c>
      <c r="M2160" s="2" t="s">
        <v>14823</v>
      </c>
      <c r="N2160" s="2" t="s">
        <v>6311</v>
      </c>
      <c r="O2160" s="4" t="s">
        <v>6312</v>
      </c>
      <c r="P2160" s="2" t="s">
        <v>13675</v>
      </c>
      <c r="Q2160" s="2" t="s">
        <v>31</v>
      </c>
      <c r="R2160" s="2" t="s">
        <v>31</v>
      </c>
      <c r="S2160" s="4" t="s">
        <v>13676</v>
      </c>
      <c r="T2160" s="2" t="s">
        <v>6315</v>
      </c>
      <c r="U2160" s="4" t="s">
        <v>13677</v>
      </c>
      <c r="V2160" s="2" t="s">
        <v>13218</v>
      </c>
      <c r="W2160" s="2" t="s">
        <v>13207</v>
      </c>
      <c r="X2160" s="5" t="str">
        <f>HYPERLINK("https://my.pitchbook.com?p=435595-33P","View People Online")</f>
        <v>View People Online</v>
      </c>
    </row>
    <row r="2161">
      <c r="A2161" s="14" t="s">
        <v>14824</v>
      </c>
      <c r="B2161" s="14" t="s">
        <v>14825</v>
      </c>
      <c r="C2161" s="14" t="s">
        <v>14826</v>
      </c>
      <c r="D2161" s="14" t="s">
        <v>14827</v>
      </c>
      <c r="E2161" s="14" t="s">
        <v>13207</v>
      </c>
      <c r="F2161" s="14" t="s">
        <v>3523</v>
      </c>
      <c r="G2161" s="14" t="s">
        <v>14828</v>
      </c>
      <c r="H2161" s="15" t="s">
        <v>31</v>
      </c>
      <c r="I2161" s="15">
        <v>1.0</v>
      </c>
      <c r="J2161" s="15">
        <v>1.0</v>
      </c>
      <c r="K2161" s="15" t="s">
        <v>31</v>
      </c>
      <c r="L2161" s="16" t="s">
        <v>13423</v>
      </c>
      <c r="M2161" s="14" t="s">
        <v>14829</v>
      </c>
      <c r="N2161" s="14" t="s">
        <v>243</v>
      </c>
      <c r="O2161" s="16" t="s">
        <v>244</v>
      </c>
      <c r="P2161" s="14" t="s">
        <v>13425</v>
      </c>
      <c r="Q2161" s="14" t="s">
        <v>31</v>
      </c>
      <c r="R2161" s="14" t="s">
        <v>247</v>
      </c>
      <c r="S2161" s="16" t="s">
        <v>13426</v>
      </c>
      <c r="T2161" s="14" t="s">
        <v>249</v>
      </c>
      <c r="U2161" s="16" t="s">
        <v>31</v>
      </c>
      <c r="V2161" s="14" t="s">
        <v>3523</v>
      </c>
      <c r="W2161" s="14" t="s">
        <v>13207</v>
      </c>
      <c r="X2161" s="17" t="str">
        <f>HYPERLINK("https://my.pitchbook.com?p=455769-46P","View People Online")</f>
        <v>View People Online</v>
      </c>
    </row>
    <row r="2162">
      <c r="A2162" s="10" t="s">
        <v>14830</v>
      </c>
      <c r="B2162" s="10" t="s">
        <v>14831</v>
      </c>
      <c r="C2162" s="10" t="s">
        <v>14826</v>
      </c>
      <c r="D2162" s="10" t="s">
        <v>14832</v>
      </c>
      <c r="E2162" s="10" t="s">
        <v>13207</v>
      </c>
      <c r="F2162" s="10" t="s">
        <v>1283</v>
      </c>
      <c r="G2162" s="10" t="s">
        <v>14833</v>
      </c>
      <c r="H2162" s="11" t="s">
        <v>31</v>
      </c>
      <c r="I2162" s="11">
        <v>1.0</v>
      </c>
      <c r="J2162" s="11">
        <v>1.0</v>
      </c>
      <c r="K2162" s="11" t="s">
        <v>31</v>
      </c>
      <c r="L2162" s="12" t="s">
        <v>13299</v>
      </c>
      <c r="M2162" s="10" t="s">
        <v>14834</v>
      </c>
      <c r="N2162" s="10" t="s">
        <v>601</v>
      </c>
      <c r="O2162" s="12" t="s">
        <v>602</v>
      </c>
      <c r="P2162" s="10" t="s">
        <v>13301</v>
      </c>
      <c r="Q2162" s="10" t="s">
        <v>13302</v>
      </c>
      <c r="R2162" s="10" t="s">
        <v>31</v>
      </c>
      <c r="S2162" s="12" t="s">
        <v>31</v>
      </c>
      <c r="T2162" s="10" t="s">
        <v>603</v>
      </c>
      <c r="U2162" s="12" t="s">
        <v>13303</v>
      </c>
      <c r="V2162" s="10" t="s">
        <v>14835</v>
      </c>
      <c r="W2162" s="10" t="s">
        <v>13207</v>
      </c>
      <c r="X2162" s="13" t="str">
        <f>HYPERLINK("https://my.pitchbook.com?p=455761-81P","View People Online")</f>
        <v>View People Online</v>
      </c>
    </row>
    <row r="2163">
      <c r="A2163" s="14" t="s">
        <v>14836</v>
      </c>
      <c r="B2163" s="14" t="s">
        <v>14837</v>
      </c>
      <c r="C2163" s="14" t="s">
        <v>4851</v>
      </c>
      <c r="D2163" s="14" t="s">
        <v>4338</v>
      </c>
      <c r="E2163" s="14" t="s">
        <v>13207</v>
      </c>
      <c r="F2163" s="14" t="s">
        <v>3523</v>
      </c>
      <c r="G2163" s="14" t="s">
        <v>14838</v>
      </c>
      <c r="H2163" s="15" t="s">
        <v>31</v>
      </c>
      <c r="I2163" s="15">
        <v>1.0</v>
      </c>
      <c r="J2163" s="15">
        <v>1.0</v>
      </c>
      <c r="K2163" s="15" t="s">
        <v>31</v>
      </c>
      <c r="L2163" s="16" t="s">
        <v>13289</v>
      </c>
      <c r="M2163" s="14" t="s">
        <v>14839</v>
      </c>
      <c r="N2163" s="14" t="s">
        <v>1348</v>
      </c>
      <c r="O2163" s="16" t="s">
        <v>1349</v>
      </c>
      <c r="P2163" s="14" t="s">
        <v>13291</v>
      </c>
      <c r="Q2163" s="14" t="s">
        <v>13292</v>
      </c>
      <c r="R2163" s="14" t="s">
        <v>1018</v>
      </c>
      <c r="S2163" s="16" t="s">
        <v>13293</v>
      </c>
      <c r="T2163" s="14" t="s">
        <v>1019</v>
      </c>
      <c r="U2163" s="16" t="s">
        <v>13294</v>
      </c>
      <c r="V2163" s="14" t="s">
        <v>3523</v>
      </c>
      <c r="W2163" s="14" t="s">
        <v>13207</v>
      </c>
      <c r="X2163" s="17" t="str">
        <f>HYPERLINK("https://my.pitchbook.com?p=434995-75P","View People Online")</f>
        <v>View People Online</v>
      </c>
    </row>
    <row r="2164">
      <c r="A2164" s="10" t="s">
        <v>14840</v>
      </c>
      <c r="B2164" s="10" t="s">
        <v>14841</v>
      </c>
      <c r="C2164" s="10" t="s">
        <v>4851</v>
      </c>
      <c r="D2164" s="10" t="s">
        <v>14842</v>
      </c>
      <c r="E2164" s="10" t="s">
        <v>13207</v>
      </c>
      <c r="F2164" s="10" t="s">
        <v>13218</v>
      </c>
      <c r="G2164" s="10" t="s">
        <v>14843</v>
      </c>
      <c r="H2164" s="11" t="s">
        <v>31</v>
      </c>
      <c r="I2164" s="11">
        <v>1.0</v>
      </c>
      <c r="J2164" s="11">
        <v>1.0</v>
      </c>
      <c r="K2164" s="11" t="s">
        <v>31</v>
      </c>
      <c r="L2164" s="12" t="s">
        <v>13281</v>
      </c>
      <c r="M2164" s="10" t="s">
        <v>14844</v>
      </c>
      <c r="N2164" s="10" t="s">
        <v>1277</v>
      </c>
      <c r="O2164" s="12" t="s">
        <v>1278</v>
      </c>
      <c r="P2164" s="10" t="s">
        <v>13283</v>
      </c>
      <c r="Q2164" s="10" t="s">
        <v>13284</v>
      </c>
      <c r="R2164" s="10" t="s">
        <v>1281</v>
      </c>
      <c r="S2164" s="12" t="s">
        <v>1282</v>
      </c>
      <c r="T2164" s="10" t="s">
        <v>66</v>
      </c>
      <c r="U2164" s="12" t="s">
        <v>13285</v>
      </c>
      <c r="V2164" s="10" t="s">
        <v>13218</v>
      </c>
      <c r="W2164" s="10" t="s">
        <v>13207</v>
      </c>
      <c r="X2164" s="13" t="str">
        <f>HYPERLINK("https://my.pitchbook.com?p=435335-41P","View People Online")</f>
        <v>View People Online</v>
      </c>
    </row>
    <row r="2165">
      <c r="A2165" s="14" t="s">
        <v>14845</v>
      </c>
      <c r="B2165" s="14" t="s">
        <v>14846</v>
      </c>
      <c r="C2165" s="14" t="s">
        <v>4851</v>
      </c>
      <c r="D2165" s="14" t="s">
        <v>14847</v>
      </c>
      <c r="E2165" s="14" t="s">
        <v>13207</v>
      </c>
      <c r="F2165" s="14" t="s">
        <v>13218</v>
      </c>
      <c r="G2165" s="14" t="s">
        <v>14848</v>
      </c>
      <c r="H2165" s="15" t="s">
        <v>31</v>
      </c>
      <c r="I2165" s="15">
        <v>1.0</v>
      </c>
      <c r="J2165" s="15">
        <v>1.0</v>
      </c>
      <c r="K2165" s="15" t="s">
        <v>31</v>
      </c>
      <c r="L2165" s="16" t="s">
        <v>13209</v>
      </c>
      <c r="M2165" s="14" t="s">
        <v>14849</v>
      </c>
      <c r="N2165" s="14" t="s">
        <v>4232</v>
      </c>
      <c r="O2165" s="16" t="s">
        <v>4233</v>
      </c>
      <c r="P2165" s="14" t="s">
        <v>13211</v>
      </c>
      <c r="Q2165" s="14" t="s">
        <v>31</v>
      </c>
      <c r="R2165" s="14" t="s">
        <v>4236</v>
      </c>
      <c r="S2165" s="16" t="s">
        <v>13212</v>
      </c>
      <c r="T2165" s="14" t="s">
        <v>66</v>
      </c>
      <c r="U2165" s="16" t="s">
        <v>13213</v>
      </c>
      <c r="V2165" s="14" t="s">
        <v>13218</v>
      </c>
      <c r="W2165" s="14" t="s">
        <v>13207</v>
      </c>
      <c r="X2165" s="17" t="str">
        <f>HYPERLINK("https://my.pitchbook.com?p=456588-10P","View People Online")</f>
        <v>View People Online</v>
      </c>
    </row>
    <row r="2166">
      <c r="A2166" s="2" t="s">
        <v>14850</v>
      </c>
      <c r="B2166" s="2" t="s">
        <v>14851</v>
      </c>
      <c r="C2166" s="2" t="s">
        <v>4858</v>
      </c>
      <c r="D2166" s="2" t="s">
        <v>14852</v>
      </c>
      <c r="E2166" s="2" t="s">
        <v>13207</v>
      </c>
      <c r="F2166" s="2" t="s">
        <v>318</v>
      </c>
      <c r="G2166" s="2" t="s">
        <v>14853</v>
      </c>
      <c r="H2166" s="3" t="s">
        <v>31</v>
      </c>
      <c r="I2166" s="3">
        <v>1.0</v>
      </c>
      <c r="J2166" s="3">
        <v>1.0</v>
      </c>
      <c r="K2166" s="3" t="s">
        <v>31</v>
      </c>
      <c r="L2166" s="4" t="s">
        <v>13423</v>
      </c>
      <c r="M2166" s="2" t="s">
        <v>14854</v>
      </c>
      <c r="N2166" s="2" t="s">
        <v>243</v>
      </c>
      <c r="O2166" s="4" t="s">
        <v>244</v>
      </c>
      <c r="P2166" s="2" t="s">
        <v>13425</v>
      </c>
      <c r="Q2166" s="2" t="s">
        <v>31</v>
      </c>
      <c r="R2166" s="2" t="s">
        <v>247</v>
      </c>
      <c r="S2166" s="4" t="s">
        <v>13426</v>
      </c>
      <c r="T2166" s="2" t="s">
        <v>249</v>
      </c>
      <c r="U2166" s="4" t="s">
        <v>31</v>
      </c>
      <c r="V2166" s="2" t="s">
        <v>318</v>
      </c>
      <c r="W2166" s="2" t="s">
        <v>13207</v>
      </c>
      <c r="X2166" s="5" t="str">
        <f>HYPERLINK("https://my.pitchbook.com?p=435559-42P","View People Online")</f>
        <v>View People Online</v>
      </c>
    </row>
    <row r="2167">
      <c r="A2167" s="6" t="s">
        <v>14855</v>
      </c>
      <c r="B2167" s="6" t="s">
        <v>14856</v>
      </c>
      <c r="C2167" s="6" t="s">
        <v>1929</v>
      </c>
      <c r="D2167" s="6" t="s">
        <v>14857</v>
      </c>
      <c r="E2167" s="6" t="s">
        <v>13207</v>
      </c>
      <c r="F2167" s="6" t="s">
        <v>13218</v>
      </c>
      <c r="G2167" s="6" t="s">
        <v>14858</v>
      </c>
      <c r="H2167" s="7" t="s">
        <v>31</v>
      </c>
      <c r="I2167" s="7">
        <v>1.0</v>
      </c>
      <c r="J2167" s="7">
        <v>1.0</v>
      </c>
      <c r="K2167" s="7" t="s">
        <v>31</v>
      </c>
      <c r="L2167" s="8" t="s">
        <v>13209</v>
      </c>
      <c r="M2167" s="6" t="s">
        <v>14859</v>
      </c>
      <c r="N2167" s="6" t="s">
        <v>4232</v>
      </c>
      <c r="O2167" s="8" t="s">
        <v>4233</v>
      </c>
      <c r="P2167" s="6" t="s">
        <v>13211</v>
      </c>
      <c r="Q2167" s="6" t="s">
        <v>31</v>
      </c>
      <c r="R2167" s="6" t="s">
        <v>4236</v>
      </c>
      <c r="S2167" s="8" t="s">
        <v>13212</v>
      </c>
      <c r="T2167" s="6" t="s">
        <v>66</v>
      </c>
      <c r="U2167" s="8" t="s">
        <v>13213</v>
      </c>
      <c r="V2167" s="6" t="s">
        <v>13218</v>
      </c>
      <c r="W2167" s="6" t="s">
        <v>13207</v>
      </c>
      <c r="X2167" s="9" t="str">
        <f>HYPERLINK("https://my.pitchbook.com?p=456749-29P","View People Online")</f>
        <v>View People Online</v>
      </c>
    </row>
    <row r="2168">
      <c r="A2168" s="10" t="s">
        <v>14860</v>
      </c>
      <c r="B2168" s="10" t="s">
        <v>14861</v>
      </c>
      <c r="C2168" s="10" t="s">
        <v>1929</v>
      </c>
      <c r="D2168" s="10" t="s">
        <v>14862</v>
      </c>
      <c r="E2168" s="10" t="s">
        <v>13207</v>
      </c>
      <c r="F2168" s="10" t="s">
        <v>3523</v>
      </c>
      <c r="G2168" s="10" t="s">
        <v>14863</v>
      </c>
      <c r="H2168" s="11" t="s">
        <v>31</v>
      </c>
      <c r="I2168" s="11">
        <v>2.0</v>
      </c>
      <c r="J2168" s="11">
        <v>2.0</v>
      </c>
      <c r="K2168" s="11" t="s">
        <v>31</v>
      </c>
      <c r="L2168" s="12" t="s">
        <v>14864</v>
      </c>
      <c r="M2168" s="10" t="s">
        <v>14865</v>
      </c>
      <c r="N2168" s="10" t="s">
        <v>155</v>
      </c>
      <c r="O2168" s="12" t="s">
        <v>156</v>
      </c>
      <c r="P2168" s="10" t="s">
        <v>14866</v>
      </c>
      <c r="Q2168" s="10" t="s">
        <v>31</v>
      </c>
      <c r="R2168" s="10" t="s">
        <v>64</v>
      </c>
      <c r="S2168" s="12" t="s">
        <v>14867</v>
      </c>
      <c r="T2168" s="10" t="s">
        <v>66</v>
      </c>
      <c r="U2168" s="12" t="s">
        <v>14868</v>
      </c>
      <c r="V2168" s="10" t="s">
        <v>78</v>
      </c>
      <c r="W2168" s="10" t="s">
        <v>14869</v>
      </c>
      <c r="X2168" s="13" t="str">
        <f>HYPERLINK("https://my.pitchbook.com?p=431138-62P","View People Online")</f>
        <v>View People Online</v>
      </c>
    </row>
    <row r="2169">
      <c r="A2169" s="6" t="s">
        <v>14870</v>
      </c>
      <c r="B2169" s="6" t="s">
        <v>14871</v>
      </c>
      <c r="C2169" s="6" t="s">
        <v>1929</v>
      </c>
      <c r="D2169" s="6" t="s">
        <v>5608</v>
      </c>
      <c r="E2169" s="6" t="s">
        <v>13207</v>
      </c>
      <c r="F2169" s="6" t="s">
        <v>2731</v>
      </c>
      <c r="G2169" s="6" t="s">
        <v>14872</v>
      </c>
      <c r="H2169" s="7" t="s">
        <v>31</v>
      </c>
      <c r="I2169" s="7">
        <v>2.0</v>
      </c>
      <c r="J2169" s="7">
        <v>2.0</v>
      </c>
      <c r="K2169" s="7" t="s">
        <v>31</v>
      </c>
      <c r="L2169" s="8" t="s">
        <v>31</v>
      </c>
      <c r="M2169" s="6" t="s">
        <v>14873</v>
      </c>
      <c r="N2169" s="6" t="s">
        <v>155</v>
      </c>
      <c r="O2169" s="8" t="s">
        <v>156</v>
      </c>
      <c r="P2169" s="6" t="s">
        <v>31</v>
      </c>
      <c r="Q2169" s="6" t="s">
        <v>31</v>
      </c>
      <c r="R2169" s="6" t="s">
        <v>64</v>
      </c>
      <c r="S2169" s="8" t="s">
        <v>31</v>
      </c>
      <c r="T2169" s="6" t="s">
        <v>66</v>
      </c>
      <c r="U2169" s="8" t="s">
        <v>31</v>
      </c>
      <c r="V2169" s="6" t="s">
        <v>1172</v>
      </c>
      <c r="W2169" s="6" t="s">
        <v>14874</v>
      </c>
      <c r="X2169" s="9" t="str">
        <f>HYPERLINK("https://my.pitchbook.com?p=171367-84P","View People Online")</f>
        <v>View People Online</v>
      </c>
    </row>
    <row r="2170">
      <c r="A2170" s="2" t="s">
        <v>14875</v>
      </c>
      <c r="B2170" s="2" t="s">
        <v>14876</v>
      </c>
      <c r="C2170" s="2" t="s">
        <v>1929</v>
      </c>
      <c r="D2170" s="2" t="s">
        <v>14877</v>
      </c>
      <c r="E2170" s="2" t="s">
        <v>13207</v>
      </c>
      <c r="F2170" s="2" t="s">
        <v>13218</v>
      </c>
      <c r="G2170" s="2" t="s">
        <v>14878</v>
      </c>
      <c r="H2170" s="3" t="s">
        <v>31</v>
      </c>
      <c r="I2170" s="3">
        <v>1.0</v>
      </c>
      <c r="J2170" s="3">
        <v>1.0</v>
      </c>
      <c r="K2170" s="3" t="s">
        <v>31</v>
      </c>
      <c r="L2170" s="4" t="s">
        <v>13209</v>
      </c>
      <c r="M2170" s="2" t="s">
        <v>14879</v>
      </c>
      <c r="N2170" s="2" t="s">
        <v>4232</v>
      </c>
      <c r="O2170" s="4" t="s">
        <v>4233</v>
      </c>
      <c r="P2170" s="2" t="s">
        <v>13211</v>
      </c>
      <c r="Q2170" s="2" t="s">
        <v>31</v>
      </c>
      <c r="R2170" s="2" t="s">
        <v>4236</v>
      </c>
      <c r="S2170" s="4" t="s">
        <v>13212</v>
      </c>
      <c r="T2170" s="2" t="s">
        <v>66</v>
      </c>
      <c r="U2170" s="4" t="s">
        <v>13213</v>
      </c>
      <c r="V2170" s="2" t="s">
        <v>13218</v>
      </c>
      <c r="W2170" s="2" t="s">
        <v>13207</v>
      </c>
      <c r="X2170" s="5" t="str">
        <f>HYPERLINK("https://my.pitchbook.com?p=436114-99P","View People Online")</f>
        <v>View People Online</v>
      </c>
    </row>
    <row r="2171">
      <c r="A2171" s="6" t="s">
        <v>14880</v>
      </c>
      <c r="B2171" s="6" t="s">
        <v>14881</v>
      </c>
      <c r="C2171" s="6" t="s">
        <v>1929</v>
      </c>
      <c r="D2171" s="6" t="s">
        <v>14882</v>
      </c>
      <c r="E2171" s="6" t="s">
        <v>13207</v>
      </c>
      <c r="F2171" s="6" t="s">
        <v>13307</v>
      </c>
      <c r="G2171" s="6" t="s">
        <v>14883</v>
      </c>
      <c r="H2171" s="7" t="s">
        <v>31</v>
      </c>
      <c r="I2171" s="7">
        <v>1.0</v>
      </c>
      <c r="J2171" s="7">
        <v>1.0</v>
      </c>
      <c r="K2171" s="7" t="s">
        <v>31</v>
      </c>
      <c r="L2171" s="8" t="s">
        <v>13496</v>
      </c>
      <c r="M2171" s="6" t="s">
        <v>14884</v>
      </c>
      <c r="N2171" s="6" t="s">
        <v>75</v>
      </c>
      <c r="O2171" s="8" t="s">
        <v>76</v>
      </c>
      <c r="P2171" s="6" t="s">
        <v>13498</v>
      </c>
      <c r="Q2171" s="6" t="s">
        <v>31</v>
      </c>
      <c r="R2171" s="6" t="s">
        <v>75</v>
      </c>
      <c r="S2171" s="8" t="s">
        <v>195</v>
      </c>
      <c r="T2171" s="6" t="s">
        <v>66</v>
      </c>
      <c r="U2171" s="8" t="s">
        <v>13499</v>
      </c>
      <c r="V2171" s="6" t="s">
        <v>13317</v>
      </c>
      <c r="W2171" s="6" t="s">
        <v>13207</v>
      </c>
      <c r="X2171" s="9" t="str">
        <f>HYPERLINK("https://my.pitchbook.com?p=435738-61P","View People Online")</f>
        <v>View People Online</v>
      </c>
    </row>
    <row r="2172">
      <c r="A2172" s="2" t="s">
        <v>14885</v>
      </c>
      <c r="B2172" s="2" t="s">
        <v>14886</v>
      </c>
      <c r="C2172" s="2" t="s">
        <v>14887</v>
      </c>
      <c r="D2172" s="2" t="s">
        <v>14888</v>
      </c>
      <c r="E2172" s="2" t="s">
        <v>13207</v>
      </c>
      <c r="F2172" s="2" t="s">
        <v>29</v>
      </c>
      <c r="G2172" s="2" t="s">
        <v>14889</v>
      </c>
      <c r="H2172" s="3" t="s">
        <v>31</v>
      </c>
      <c r="I2172" s="3">
        <v>1.0</v>
      </c>
      <c r="J2172" s="3">
        <v>1.0</v>
      </c>
      <c r="K2172" s="3" t="s">
        <v>31</v>
      </c>
      <c r="L2172" s="4" t="s">
        <v>13496</v>
      </c>
      <c r="M2172" s="2" t="s">
        <v>14890</v>
      </c>
      <c r="N2172" s="2" t="s">
        <v>75</v>
      </c>
      <c r="O2172" s="4" t="s">
        <v>76</v>
      </c>
      <c r="P2172" s="2" t="s">
        <v>13498</v>
      </c>
      <c r="Q2172" s="2" t="s">
        <v>31</v>
      </c>
      <c r="R2172" s="2" t="s">
        <v>75</v>
      </c>
      <c r="S2172" s="4" t="s">
        <v>195</v>
      </c>
      <c r="T2172" s="2" t="s">
        <v>66</v>
      </c>
      <c r="U2172" s="4" t="s">
        <v>13499</v>
      </c>
      <c r="V2172" s="2" t="s">
        <v>29</v>
      </c>
      <c r="W2172" s="2" t="s">
        <v>13207</v>
      </c>
      <c r="X2172" s="5" t="str">
        <f>HYPERLINK("https://my.pitchbook.com?p=436693-06P","View People Online")</f>
        <v>View People Online</v>
      </c>
    </row>
    <row r="2173">
      <c r="A2173" s="6" t="s">
        <v>14891</v>
      </c>
      <c r="B2173" s="6" t="s">
        <v>14892</v>
      </c>
      <c r="C2173" s="6" t="s">
        <v>14893</v>
      </c>
      <c r="D2173" s="6" t="s">
        <v>14894</v>
      </c>
      <c r="E2173" s="6" t="s">
        <v>13207</v>
      </c>
      <c r="F2173" s="6" t="s">
        <v>3523</v>
      </c>
      <c r="G2173" s="6" t="s">
        <v>14895</v>
      </c>
      <c r="H2173" s="7" t="s">
        <v>31</v>
      </c>
      <c r="I2173" s="7">
        <v>1.0</v>
      </c>
      <c r="J2173" s="7">
        <v>1.0</v>
      </c>
      <c r="K2173" s="7" t="s">
        <v>31</v>
      </c>
      <c r="L2173" s="8" t="s">
        <v>13281</v>
      </c>
      <c r="M2173" s="6" t="s">
        <v>14896</v>
      </c>
      <c r="N2173" s="6" t="s">
        <v>1277</v>
      </c>
      <c r="O2173" s="8" t="s">
        <v>1278</v>
      </c>
      <c r="P2173" s="6" t="s">
        <v>13283</v>
      </c>
      <c r="Q2173" s="6" t="s">
        <v>13284</v>
      </c>
      <c r="R2173" s="6" t="s">
        <v>1281</v>
      </c>
      <c r="S2173" s="8" t="s">
        <v>1282</v>
      </c>
      <c r="T2173" s="6" t="s">
        <v>66</v>
      </c>
      <c r="U2173" s="8" t="s">
        <v>13285</v>
      </c>
      <c r="V2173" s="6" t="s">
        <v>14897</v>
      </c>
      <c r="W2173" s="6" t="s">
        <v>13207</v>
      </c>
      <c r="X2173" s="9" t="str">
        <f>HYPERLINK("https://my.pitchbook.com?p=436707-55P","View People Online")</f>
        <v>View People Online</v>
      </c>
    </row>
    <row r="2174">
      <c r="A2174" s="10" t="s">
        <v>14898</v>
      </c>
      <c r="B2174" s="10" t="s">
        <v>14899</v>
      </c>
      <c r="C2174" s="10" t="s">
        <v>2707</v>
      </c>
      <c r="D2174" s="10" t="s">
        <v>14900</v>
      </c>
      <c r="E2174" s="10" t="s">
        <v>13207</v>
      </c>
      <c r="F2174" s="10" t="s">
        <v>318</v>
      </c>
      <c r="G2174" s="10" t="s">
        <v>14901</v>
      </c>
      <c r="H2174" s="11" t="s">
        <v>31</v>
      </c>
      <c r="I2174" s="11">
        <v>1.0</v>
      </c>
      <c r="J2174" s="11">
        <v>1.0</v>
      </c>
      <c r="K2174" s="11" t="s">
        <v>31</v>
      </c>
      <c r="L2174" s="12" t="s">
        <v>13281</v>
      </c>
      <c r="M2174" s="10" t="s">
        <v>14902</v>
      </c>
      <c r="N2174" s="10" t="s">
        <v>1277</v>
      </c>
      <c r="O2174" s="12" t="s">
        <v>1278</v>
      </c>
      <c r="P2174" s="10" t="s">
        <v>13283</v>
      </c>
      <c r="Q2174" s="10" t="s">
        <v>13284</v>
      </c>
      <c r="R2174" s="10" t="s">
        <v>1281</v>
      </c>
      <c r="S2174" s="12" t="s">
        <v>1282</v>
      </c>
      <c r="T2174" s="10" t="s">
        <v>66</v>
      </c>
      <c r="U2174" s="12" t="s">
        <v>13285</v>
      </c>
      <c r="V2174" s="10" t="s">
        <v>318</v>
      </c>
      <c r="W2174" s="10" t="s">
        <v>13207</v>
      </c>
      <c r="X2174" s="13" t="str">
        <f>HYPERLINK("https://my.pitchbook.com?p=435816-73P","View People Online")</f>
        <v>View People Online</v>
      </c>
    </row>
    <row r="2175">
      <c r="A2175" s="14" t="s">
        <v>14903</v>
      </c>
      <c r="B2175" s="14" t="s">
        <v>14904</v>
      </c>
      <c r="C2175" s="14" t="s">
        <v>2707</v>
      </c>
      <c r="D2175" s="14" t="s">
        <v>14905</v>
      </c>
      <c r="E2175" s="14" t="s">
        <v>13207</v>
      </c>
      <c r="F2175" s="14" t="s">
        <v>3523</v>
      </c>
      <c r="G2175" s="14" t="s">
        <v>14906</v>
      </c>
      <c r="H2175" s="15" t="s">
        <v>31</v>
      </c>
      <c r="I2175" s="15">
        <v>1.0</v>
      </c>
      <c r="J2175" s="15">
        <v>1.0</v>
      </c>
      <c r="K2175" s="15" t="s">
        <v>31</v>
      </c>
      <c r="L2175" s="16" t="s">
        <v>13766</v>
      </c>
      <c r="M2175" s="14" t="s">
        <v>14907</v>
      </c>
      <c r="N2175" s="14" t="s">
        <v>13768</v>
      </c>
      <c r="O2175" s="16" t="s">
        <v>13769</v>
      </c>
      <c r="P2175" s="14" t="s">
        <v>13770</v>
      </c>
      <c r="Q2175" s="14" t="s">
        <v>13771</v>
      </c>
      <c r="R2175" s="14" t="s">
        <v>31</v>
      </c>
      <c r="S2175" s="16" t="s">
        <v>13772</v>
      </c>
      <c r="T2175" s="14" t="s">
        <v>13773</v>
      </c>
      <c r="U2175" s="16" t="s">
        <v>31</v>
      </c>
      <c r="V2175" s="14" t="s">
        <v>3523</v>
      </c>
      <c r="W2175" s="14" t="s">
        <v>13207</v>
      </c>
      <c r="X2175" s="17" t="str">
        <f>HYPERLINK("https://my.pitchbook.com?p=455822-11P","View People Online")</f>
        <v>View People Online</v>
      </c>
    </row>
    <row r="2176">
      <c r="A2176" s="10" t="s">
        <v>14908</v>
      </c>
      <c r="B2176" s="10" t="s">
        <v>14909</v>
      </c>
      <c r="C2176" s="10" t="s">
        <v>2707</v>
      </c>
      <c r="D2176" s="10" t="s">
        <v>14910</v>
      </c>
      <c r="E2176" s="10" t="s">
        <v>13207</v>
      </c>
      <c r="F2176" s="10" t="s">
        <v>3523</v>
      </c>
      <c r="G2176" s="10" t="s">
        <v>14911</v>
      </c>
      <c r="H2176" s="11" t="s">
        <v>31</v>
      </c>
      <c r="I2176" s="11">
        <v>1.0</v>
      </c>
      <c r="J2176" s="11">
        <v>1.0</v>
      </c>
      <c r="K2176" s="11" t="s">
        <v>31</v>
      </c>
      <c r="L2176" s="12" t="s">
        <v>13855</v>
      </c>
      <c r="M2176" s="10" t="s">
        <v>14912</v>
      </c>
      <c r="N2176" s="10" t="s">
        <v>2017</v>
      </c>
      <c r="O2176" s="12" t="s">
        <v>2018</v>
      </c>
      <c r="P2176" s="10" t="s">
        <v>13857</v>
      </c>
      <c r="Q2176" s="10" t="s">
        <v>13858</v>
      </c>
      <c r="R2176" s="10" t="s">
        <v>31</v>
      </c>
      <c r="S2176" s="12" t="s">
        <v>31</v>
      </c>
      <c r="T2176" s="10" t="s">
        <v>2022</v>
      </c>
      <c r="U2176" s="12" t="s">
        <v>31</v>
      </c>
      <c r="V2176" s="10" t="s">
        <v>3523</v>
      </c>
      <c r="W2176" s="10" t="s">
        <v>13207</v>
      </c>
      <c r="X2176" s="13" t="str">
        <f>HYPERLINK("https://my.pitchbook.com?p=435222-55P","View People Online")</f>
        <v>View People Online</v>
      </c>
    </row>
    <row r="2177">
      <c r="A2177" s="6" t="s">
        <v>14913</v>
      </c>
      <c r="B2177" s="6" t="s">
        <v>14914</v>
      </c>
      <c r="C2177" s="6" t="s">
        <v>2707</v>
      </c>
      <c r="D2177" s="6" t="s">
        <v>14915</v>
      </c>
      <c r="E2177" s="6" t="s">
        <v>13207</v>
      </c>
      <c r="F2177" s="6" t="s">
        <v>3523</v>
      </c>
      <c r="G2177" s="6" t="s">
        <v>14916</v>
      </c>
      <c r="H2177" s="7" t="s">
        <v>31</v>
      </c>
      <c r="I2177" s="7">
        <v>1.0</v>
      </c>
      <c r="J2177" s="7">
        <v>1.0</v>
      </c>
      <c r="K2177" s="7" t="s">
        <v>31</v>
      </c>
      <c r="L2177" s="8" t="s">
        <v>14050</v>
      </c>
      <c r="M2177" s="6" t="s">
        <v>14917</v>
      </c>
      <c r="N2177" s="6" t="s">
        <v>14052</v>
      </c>
      <c r="O2177" s="8" t="s">
        <v>14053</v>
      </c>
      <c r="P2177" s="6" t="s">
        <v>14054</v>
      </c>
      <c r="Q2177" s="6" t="s">
        <v>14055</v>
      </c>
      <c r="R2177" s="6" t="s">
        <v>31</v>
      </c>
      <c r="S2177" s="8" t="s">
        <v>14056</v>
      </c>
      <c r="T2177" s="6" t="s">
        <v>13773</v>
      </c>
      <c r="U2177" s="8" t="s">
        <v>14057</v>
      </c>
      <c r="V2177" s="6" t="s">
        <v>3523</v>
      </c>
      <c r="W2177" s="6" t="s">
        <v>13207</v>
      </c>
      <c r="X2177" s="9" t="str">
        <f>HYPERLINK("https://my.pitchbook.com?p=456274-09P","View People Online")</f>
        <v>View People Online</v>
      </c>
    </row>
    <row r="2178">
      <c r="A2178" s="2" t="s">
        <v>14918</v>
      </c>
      <c r="B2178" s="2" t="s">
        <v>14919</v>
      </c>
      <c r="C2178" s="2" t="s">
        <v>740</v>
      </c>
      <c r="D2178" s="2" t="s">
        <v>14920</v>
      </c>
      <c r="E2178" s="2" t="s">
        <v>13207</v>
      </c>
      <c r="F2178" s="2" t="s">
        <v>3523</v>
      </c>
      <c r="G2178" s="2" t="s">
        <v>14921</v>
      </c>
      <c r="H2178" s="3" t="s">
        <v>31</v>
      </c>
      <c r="I2178" s="3">
        <v>1.0</v>
      </c>
      <c r="J2178" s="3">
        <v>1.0</v>
      </c>
      <c r="K2178" s="3" t="s">
        <v>31</v>
      </c>
      <c r="L2178" s="4" t="s">
        <v>13423</v>
      </c>
      <c r="M2178" s="2" t="s">
        <v>14922</v>
      </c>
      <c r="N2178" s="2" t="s">
        <v>243</v>
      </c>
      <c r="O2178" s="4" t="s">
        <v>244</v>
      </c>
      <c r="P2178" s="2" t="s">
        <v>13425</v>
      </c>
      <c r="Q2178" s="2" t="s">
        <v>31</v>
      </c>
      <c r="R2178" s="2" t="s">
        <v>247</v>
      </c>
      <c r="S2178" s="4" t="s">
        <v>13426</v>
      </c>
      <c r="T2178" s="2" t="s">
        <v>249</v>
      </c>
      <c r="U2178" s="4" t="s">
        <v>31</v>
      </c>
      <c r="V2178" s="2" t="s">
        <v>3523</v>
      </c>
      <c r="W2178" s="2" t="s">
        <v>13207</v>
      </c>
      <c r="X2178" s="5" t="str">
        <f>HYPERLINK("https://my.pitchbook.com?p=456124-06P","View People Online")</f>
        <v>View People Online</v>
      </c>
    </row>
    <row r="2179">
      <c r="A2179" s="6" t="s">
        <v>14923</v>
      </c>
      <c r="B2179" s="6" t="s">
        <v>14924</v>
      </c>
      <c r="C2179" s="6" t="s">
        <v>740</v>
      </c>
      <c r="D2179" s="6" t="s">
        <v>14925</v>
      </c>
      <c r="E2179" s="6" t="s">
        <v>13207</v>
      </c>
      <c r="F2179" s="6" t="s">
        <v>3523</v>
      </c>
      <c r="G2179" s="6" t="s">
        <v>14926</v>
      </c>
      <c r="H2179" s="7" t="s">
        <v>31</v>
      </c>
      <c r="I2179" s="7">
        <v>1.0</v>
      </c>
      <c r="J2179" s="7">
        <v>1.0</v>
      </c>
      <c r="K2179" s="7" t="s">
        <v>31</v>
      </c>
      <c r="L2179" s="8" t="s">
        <v>13281</v>
      </c>
      <c r="M2179" s="6" t="s">
        <v>14927</v>
      </c>
      <c r="N2179" s="6" t="s">
        <v>1277</v>
      </c>
      <c r="O2179" s="8" t="s">
        <v>1278</v>
      </c>
      <c r="P2179" s="6" t="s">
        <v>13283</v>
      </c>
      <c r="Q2179" s="6" t="s">
        <v>13284</v>
      </c>
      <c r="R2179" s="6" t="s">
        <v>1281</v>
      </c>
      <c r="S2179" s="8" t="s">
        <v>1282</v>
      </c>
      <c r="T2179" s="6" t="s">
        <v>66</v>
      </c>
      <c r="U2179" s="8" t="s">
        <v>13285</v>
      </c>
      <c r="V2179" s="6" t="s">
        <v>3523</v>
      </c>
      <c r="W2179" s="6" t="s">
        <v>13207</v>
      </c>
      <c r="X2179" s="9" t="str">
        <f>HYPERLINK("https://my.pitchbook.com?p=434899-81P","View People Online")</f>
        <v>View People Online</v>
      </c>
    </row>
    <row r="2180">
      <c r="A2180" s="10" t="s">
        <v>14928</v>
      </c>
      <c r="B2180" s="10" t="s">
        <v>14929</v>
      </c>
      <c r="C2180" s="10" t="s">
        <v>740</v>
      </c>
      <c r="D2180" s="10" t="s">
        <v>825</v>
      </c>
      <c r="E2180" s="10" t="s">
        <v>13207</v>
      </c>
      <c r="F2180" s="10" t="s">
        <v>3523</v>
      </c>
      <c r="G2180" s="10" t="s">
        <v>14930</v>
      </c>
      <c r="H2180" s="11" t="s">
        <v>31</v>
      </c>
      <c r="I2180" s="11">
        <v>1.0</v>
      </c>
      <c r="J2180" s="11">
        <v>1.0</v>
      </c>
      <c r="K2180" s="11" t="s">
        <v>31</v>
      </c>
      <c r="L2180" s="12" t="s">
        <v>13274</v>
      </c>
      <c r="M2180" s="10" t="s">
        <v>14931</v>
      </c>
      <c r="N2180" s="10" t="s">
        <v>1181</v>
      </c>
      <c r="O2180" s="12" t="s">
        <v>1182</v>
      </c>
      <c r="P2180" s="10" t="s">
        <v>13276</v>
      </c>
      <c r="Q2180" s="10" t="s">
        <v>31</v>
      </c>
      <c r="R2180" s="10" t="s">
        <v>1185</v>
      </c>
      <c r="S2180" s="12" t="s">
        <v>4438</v>
      </c>
      <c r="T2180" s="10" t="s">
        <v>66</v>
      </c>
      <c r="U2180" s="12" t="s">
        <v>13277</v>
      </c>
      <c r="V2180" s="10" t="s">
        <v>3523</v>
      </c>
      <c r="W2180" s="10" t="s">
        <v>13207</v>
      </c>
      <c r="X2180" s="13" t="str">
        <f>HYPERLINK("https://my.pitchbook.com?p=455467-24P","View People Online")</f>
        <v>View People Online</v>
      </c>
    </row>
    <row r="2181">
      <c r="A2181" s="6" t="s">
        <v>14932</v>
      </c>
      <c r="B2181" s="6" t="s">
        <v>14933</v>
      </c>
      <c r="C2181" s="6" t="s">
        <v>14934</v>
      </c>
      <c r="D2181" s="6" t="s">
        <v>14935</v>
      </c>
      <c r="E2181" s="6" t="s">
        <v>13207</v>
      </c>
      <c r="F2181" s="6" t="s">
        <v>318</v>
      </c>
      <c r="G2181" s="6" t="s">
        <v>14936</v>
      </c>
      <c r="H2181" s="7" t="s">
        <v>31</v>
      </c>
      <c r="I2181" s="7">
        <v>1.0</v>
      </c>
      <c r="J2181" s="7">
        <v>1.0</v>
      </c>
      <c r="K2181" s="7" t="s">
        <v>31</v>
      </c>
      <c r="L2181" s="8" t="s">
        <v>13281</v>
      </c>
      <c r="M2181" s="6" t="s">
        <v>14937</v>
      </c>
      <c r="N2181" s="6" t="s">
        <v>1277</v>
      </c>
      <c r="O2181" s="8" t="s">
        <v>1278</v>
      </c>
      <c r="P2181" s="6" t="s">
        <v>13283</v>
      </c>
      <c r="Q2181" s="6" t="s">
        <v>13284</v>
      </c>
      <c r="R2181" s="6" t="s">
        <v>1281</v>
      </c>
      <c r="S2181" s="8" t="s">
        <v>1282</v>
      </c>
      <c r="T2181" s="6" t="s">
        <v>66</v>
      </c>
      <c r="U2181" s="8" t="s">
        <v>13285</v>
      </c>
      <c r="V2181" s="6" t="s">
        <v>318</v>
      </c>
      <c r="W2181" s="6" t="s">
        <v>13207</v>
      </c>
      <c r="X2181" s="9" t="str">
        <f>HYPERLINK("https://my.pitchbook.com?p=435024-10P","View People Online")</f>
        <v>View People Online</v>
      </c>
    </row>
    <row r="2182">
      <c r="A2182" s="10" t="s">
        <v>14938</v>
      </c>
      <c r="B2182" s="10" t="s">
        <v>14939</v>
      </c>
      <c r="C2182" s="10" t="s">
        <v>7769</v>
      </c>
      <c r="D2182" s="10" t="s">
        <v>14940</v>
      </c>
      <c r="E2182" s="10" t="s">
        <v>13207</v>
      </c>
      <c r="F2182" s="10" t="s">
        <v>13218</v>
      </c>
      <c r="G2182" s="10" t="s">
        <v>14941</v>
      </c>
      <c r="H2182" s="11" t="s">
        <v>31</v>
      </c>
      <c r="I2182" s="11">
        <v>1.0</v>
      </c>
      <c r="J2182" s="11">
        <v>1.0</v>
      </c>
      <c r="K2182" s="11" t="s">
        <v>31</v>
      </c>
      <c r="L2182" s="12" t="s">
        <v>14597</v>
      </c>
      <c r="M2182" s="10" t="s">
        <v>14942</v>
      </c>
      <c r="N2182" s="10" t="s">
        <v>14599</v>
      </c>
      <c r="O2182" s="12" t="s">
        <v>14600</v>
      </c>
      <c r="P2182" s="10" t="s">
        <v>14601</v>
      </c>
      <c r="Q2182" s="10" t="s">
        <v>14602</v>
      </c>
      <c r="R2182" s="10" t="s">
        <v>31</v>
      </c>
      <c r="S2182" s="12" t="s">
        <v>31</v>
      </c>
      <c r="T2182" s="10" t="s">
        <v>14603</v>
      </c>
      <c r="U2182" s="12" t="s">
        <v>31</v>
      </c>
      <c r="V2182" s="10" t="s">
        <v>13218</v>
      </c>
      <c r="W2182" s="10" t="s">
        <v>13207</v>
      </c>
      <c r="X2182" s="13" t="str">
        <f>HYPERLINK("https://my.pitchbook.com?p=456742-99P","View People Online")</f>
        <v>View People Online</v>
      </c>
    </row>
    <row r="2183">
      <c r="A2183" s="14" t="s">
        <v>14943</v>
      </c>
      <c r="B2183" s="14" t="s">
        <v>14944</v>
      </c>
      <c r="C2183" s="14" t="s">
        <v>14945</v>
      </c>
      <c r="D2183" s="14" t="s">
        <v>14946</v>
      </c>
      <c r="E2183" s="14" t="s">
        <v>13207</v>
      </c>
      <c r="F2183" s="14" t="s">
        <v>3523</v>
      </c>
      <c r="G2183" s="14" t="s">
        <v>14947</v>
      </c>
      <c r="H2183" s="15" t="s">
        <v>31</v>
      </c>
      <c r="I2183" s="15">
        <v>1.0</v>
      </c>
      <c r="J2183" s="15">
        <v>1.0</v>
      </c>
      <c r="K2183" s="15" t="s">
        <v>31</v>
      </c>
      <c r="L2183" s="16" t="s">
        <v>13766</v>
      </c>
      <c r="M2183" s="14" t="s">
        <v>14948</v>
      </c>
      <c r="N2183" s="14" t="s">
        <v>13768</v>
      </c>
      <c r="O2183" s="16" t="s">
        <v>13769</v>
      </c>
      <c r="P2183" s="14" t="s">
        <v>13770</v>
      </c>
      <c r="Q2183" s="14" t="s">
        <v>13771</v>
      </c>
      <c r="R2183" s="14" t="s">
        <v>31</v>
      </c>
      <c r="S2183" s="16" t="s">
        <v>13772</v>
      </c>
      <c r="T2183" s="14" t="s">
        <v>13773</v>
      </c>
      <c r="U2183" s="16" t="s">
        <v>31</v>
      </c>
      <c r="V2183" s="14" t="s">
        <v>3523</v>
      </c>
      <c r="W2183" s="14" t="s">
        <v>13207</v>
      </c>
      <c r="X2183" s="17" t="str">
        <f>HYPERLINK("https://my.pitchbook.com?p=434892-16P","View People Online")</f>
        <v>View People Online</v>
      </c>
    </row>
    <row r="2184">
      <c r="A2184" s="2" t="s">
        <v>14949</v>
      </c>
      <c r="B2184" s="2" t="s">
        <v>14950</v>
      </c>
      <c r="C2184" s="2" t="s">
        <v>4879</v>
      </c>
      <c r="D2184" s="2" t="s">
        <v>14951</v>
      </c>
      <c r="E2184" s="2" t="s">
        <v>13207</v>
      </c>
      <c r="F2184" s="2" t="s">
        <v>3523</v>
      </c>
      <c r="G2184" s="2" t="s">
        <v>14952</v>
      </c>
      <c r="H2184" s="3" t="s">
        <v>31</v>
      </c>
      <c r="I2184" s="3">
        <v>1.0</v>
      </c>
      <c r="J2184" s="3">
        <v>1.0</v>
      </c>
      <c r="K2184" s="3" t="s">
        <v>31</v>
      </c>
      <c r="L2184" s="4" t="s">
        <v>13281</v>
      </c>
      <c r="M2184" s="2" t="s">
        <v>14953</v>
      </c>
      <c r="N2184" s="2" t="s">
        <v>1277</v>
      </c>
      <c r="O2184" s="4" t="s">
        <v>1278</v>
      </c>
      <c r="P2184" s="2" t="s">
        <v>13283</v>
      </c>
      <c r="Q2184" s="2" t="s">
        <v>13284</v>
      </c>
      <c r="R2184" s="2" t="s">
        <v>1281</v>
      </c>
      <c r="S2184" s="4" t="s">
        <v>1282</v>
      </c>
      <c r="T2184" s="2" t="s">
        <v>66</v>
      </c>
      <c r="U2184" s="4" t="s">
        <v>13285</v>
      </c>
      <c r="V2184" s="2" t="s">
        <v>3523</v>
      </c>
      <c r="W2184" s="2" t="s">
        <v>13207</v>
      </c>
      <c r="X2184" s="5" t="str">
        <f>HYPERLINK("https://my.pitchbook.com?p=456188-05P","View People Online")</f>
        <v>View People Online</v>
      </c>
    </row>
    <row r="2185">
      <c r="A2185" s="14" t="s">
        <v>14954</v>
      </c>
      <c r="B2185" s="14" t="s">
        <v>14955</v>
      </c>
      <c r="C2185" s="14" t="s">
        <v>14956</v>
      </c>
      <c r="D2185" s="14" t="s">
        <v>14957</v>
      </c>
      <c r="E2185" s="14" t="s">
        <v>13207</v>
      </c>
      <c r="F2185" s="14" t="s">
        <v>29</v>
      </c>
      <c r="G2185" s="14" t="s">
        <v>14958</v>
      </c>
      <c r="H2185" s="15" t="s">
        <v>31</v>
      </c>
      <c r="I2185" s="15">
        <v>1.0</v>
      </c>
      <c r="J2185" s="15">
        <v>1.0</v>
      </c>
      <c r="K2185" s="15" t="s">
        <v>31</v>
      </c>
      <c r="L2185" s="16" t="s">
        <v>13423</v>
      </c>
      <c r="M2185" s="14" t="s">
        <v>14959</v>
      </c>
      <c r="N2185" s="14" t="s">
        <v>243</v>
      </c>
      <c r="O2185" s="16" t="s">
        <v>244</v>
      </c>
      <c r="P2185" s="14" t="s">
        <v>13425</v>
      </c>
      <c r="Q2185" s="14" t="s">
        <v>31</v>
      </c>
      <c r="R2185" s="14" t="s">
        <v>247</v>
      </c>
      <c r="S2185" s="16" t="s">
        <v>13426</v>
      </c>
      <c r="T2185" s="14" t="s">
        <v>249</v>
      </c>
      <c r="U2185" s="16" t="s">
        <v>31</v>
      </c>
      <c r="V2185" s="14" t="s">
        <v>29</v>
      </c>
      <c r="W2185" s="14" t="s">
        <v>13207</v>
      </c>
      <c r="X2185" s="17" t="str">
        <f>HYPERLINK("https://my.pitchbook.com?p=436333-60P","View People Online")</f>
        <v>View People Online</v>
      </c>
    </row>
    <row r="2186">
      <c r="A2186" s="2" t="s">
        <v>14960</v>
      </c>
      <c r="B2186" s="2" t="s">
        <v>14961</v>
      </c>
      <c r="C2186" s="2" t="s">
        <v>10916</v>
      </c>
      <c r="D2186" s="2" t="s">
        <v>14962</v>
      </c>
      <c r="E2186" s="2" t="s">
        <v>13207</v>
      </c>
      <c r="F2186" s="2" t="s">
        <v>3523</v>
      </c>
      <c r="G2186" s="2" t="s">
        <v>14963</v>
      </c>
      <c r="H2186" s="3" t="s">
        <v>31</v>
      </c>
      <c r="I2186" s="3">
        <v>1.0</v>
      </c>
      <c r="J2186" s="3">
        <v>1.0</v>
      </c>
      <c r="K2186" s="3" t="s">
        <v>31</v>
      </c>
      <c r="L2186" s="4" t="s">
        <v>13412</v>
      </c>
      <c r="M2186" s="2" t="s">
        <v>14964</v>
      </c>
      <c r="N2186" s="2" t="s">
        <v>13414</v>
      </c>
      <c r="O2186" s="4" t="s">
        <v>13415</v>
      </c>
      <c r="P2186" s="2" t="s">
        <v>13416</v>
      </c>
      <c r="Q2186" s="2" t="s">
        <v>31</v>
      </c>
      <c r="R2186" s="2" t="s">
        <v>209</v>
      </c>
      <c r="S2186" s="4" t="s">
        <v>13417</v>
      </c>
      <c r="T2186" s="2" t="s">
        <v>66</v>
      </c>
      <c r="U2186" s="4" t="s">
        <v>13418</v>
      </c>
      <c r="V2186" s="2" t="s">
        <v>3523</v>
      </c>
      <c r="W2186" s="2" t="s">
        <v>13207</v>
      </c>
      <c r="X2186" s="5" t="str">
        <f>HYPERLINK("https://my.pitchbook.com?p=435510-73P","View People Online")</f>
        <v>View People Online</v>
      </c>
    </row>
    <row r="2187">
      <c r="A2187" s="6" t="s">
        <v>14965</v>
      </c>
      <c r="B2187" s="6" t="s">
        <v>14966</v>
      </c>
      <c r="C2187" s="6" t="s">
        <v>290</v>
      </c>
      <c r="D2187" s="6" t="s">
        <v>1982</v>
      </c>
      <c r="E2187" s="6" t="s">
        <v>13207</v>
      </c>
      <c r="F2187" s="6" t="s">
        <v>3523</v>
      </c>
      <c r="G2187" s="6" t="s">
        <v>14967</v>
      </c>
      <c r="H2187" s="7" t="s">
        <v>31</v>
      </c>
      <c r="I2187" s="7">
        <v>1.0</v>
      </c>
      <c r="J2187" s="7">
        <v>1.0</v>
      </c>
      <c r="K2187" s="7" t="s">
        <v>31</v>
      </c>
      <c r="L2187" s="8" t="s">
        <v>13505</v>
      </c>
      <c r="M2187" s="6" t="s">
        <v>14968</v>
      </c>
      <c r="N2187" s="6" t="s">
        <v>1416</v>
      </c>
      <c r="O2187" s="8" t="s">
        <v>1417</v>
      </c>
      <c r="P2187" s="6" t="s">
        <v>13507</v>
      </c>
      <c r="Q2187" s="6" t="s">
        <v>1457</v>
      </c>
      <c r="R2187" s="6" t="s">
        <v>1420</v>
      </c>
      <c r="S2187" s="8" t="s">
        <v>13508</v>
      </c>
      <c r="T2187" s="6" t="s">
        <v>66</v>
      </c>
      <c r="U2187" s="8" t="s">
        <v>13509</v>
      </c>
      <c r="V2187" s="6" t="s">
        <v>3523</v>
      </c>
      <c r="W2187" s="6" t="s">
        <v>13207</v>
      </c>
      <c r="X2187" s="9" t="str">
        <f>HYPERLINK("https://my.pitchbook.com?p=435219-58P","View People Online")</f>
        <v>View People Online</v>
      </c>
    </row>
    <row r="2188">
      <c r="A2188" s="2" t="s">
        <v>14969</v>
      </c>
      <c r="B2188" s="2" t="s">
        <v>14970</v>
      </c>
      <c r="C2188" s="2" t="s">
        <v>14971</v>
      </c>
      <c r="D2188" s="2" t="s">
        <v>14972</v>
      </c>
      <c r="E2188" s="2" t="s">
        <v>13207</v>
      </c>
      <c r="F2188" s="2" t="s">
        <v>29</v>
      </c>
      <c r="G2188" s="2" t="s">
        <v>14973</v>
      </c>
      <c r="H2188" s="3" t="s">
        <v>31</v>
      </c>
      <c r="I2188" s="3">
        <v>1.0</v>
      </c>
      <c r="J2188" s="3">
        <v>1.0</v>
      </c>
      <c r="K2188" s="3" t="s">
        <v>31</v>
      </c>
      <c r="L2188" s="4" t="s">
        <v>13459</v>
      </c>
      <c r="M2188" s="2" t="s">
        <v>14974</v>
      </c>
      <c r="N2188" s="2" t="s">
        <v>3100</v>
      </c>
      <c r="O2188" s="4" t="s">
        <v>3101</v>
      </c>
      <c r="P2188" s="2" t="s">
        <v>13461</v>
      </c>
      <c r="Q2188" s="2" t="s">
        <v>31</v>
      </c>
      <c r="R2188" s="2" t="s">
        <v>31</v>
      </c>
      <c r="S2188" s="4" t="s">
        <v>3103</v>
      </c>
      <c r="T2188" s="2" t="s">
        <v>3104</v>
      </c>
      <c r="U2188" s="4" t="s">
        <v>13462</v>
      </c>
      <c r="V2188" s="2" t="s">
        <v>29</v>
      </c>
      <c r="W2188" s="2" t="s">
        <v>13207</v>
      </c>
      <c r="X2188" s="5" t="str">
        <f>HYPERLINK("https://my.pitchbook.com?p=456116-95P","View People Online")</f>
        <v>View People Online</v>
      </c>
    </row>
    <row r="2189">
      <c r="A2189" s="6" t="s">
        <v>14975</v>
      </c>
      <c r="B2189" s="6" t="s">
        <v>14976</v>
      </c>
      <c r="C2189" s="6" t="s">
        <v>14977</v>
      </c>
      <c r="D2189" s="6" t="s">
        <v>14978</v>
      </c>
      <c r="E2189" s="6" t="s">
        <v>13207</v>
      </c>
      <c r="F2189" s="6" t="s">
        <v>3523</v>
      </c>
      <c r="G2189" s="6" t="s">
        <v>14979</v>
      </c>
      <c r="H2189" s="7" t="s">
        <v>31</v>
      </c>
      <c r="I2189" s="7">
        <v>1.0</v>
      </c>
      <c r="J2189" s="7">
        <v>1.0</v>
      </c>
      <c r="K2189" s="7" t="s">
        <v>31</v>
      </c>
      <c r="L2189" s="8" t="s">
        <v>14050</v>
      </c>
      <c r="M2189" s="6" t="s">
        <v>14980</v>
      </c>
      <c r="N2189" s="6" t="s">
        <v>14052</v>
      </c>
      <c r="O2189" s="8" t="s">
        <v>14053</v>
      </c>
      <c r="P2189" s="6" t="s">
        <v>14054</v>
      </c>
      <c r="Q2189" s="6" t="s">
        <v>14055</v>
      </c>
      <c r="R2189" s="6" t="s">
        <v>31</v>
      </c>
      <c r="S2189" s="8" t="s">
        <v>14056</v>
      </c>
      <c r="T2189" s="6" t="s">
        <v>13773</v>
      </c>
      <c r="U2189" s="8" t="s">
        <v>14057</v>
      </c>
      <c r="V2189" s="6" t="s">
        <v>3523</v>
      </c>
      <c r="W2189" s="6" t="s">
        <v>13207</v>
      </c>
      <c r="X2189" s="9" t="str">
        <f>HYPERLINK("https://my.pitchbook.com?p=434841-94P","View People Online")</f>
        <v>View People Online</v>
      </c>
    </row>
    <row r="2190">
      <c r="A2190" s="2" t="s">
        <v>14981</v>
      </c>
      <c r="B2190" s="2" t="s">
        <v>14982</v>
      </c>
      <c r="C2190" s="2" t="s">
        <v>14983</v>
      </c>
      <c r="D2190" s="2" t="s">
        <v>14984</v>
      </c>
      <c r="E2190" s="2" t="s">
        <v>13207</v>
      </c>
      <c r="F2190" s="2" t="s">
        <v>3523</v>
      </c>
      <c r="G2190" s="2" t="s">
        <v>14985</v>
      </c>
      <c r="H2190" s="3" t="s">
        <v>31</v>
      </c>
      <c r="I2190" s="3">
        <v>1.0</v>
      </c>
      <c r="J2190" s="3">
        <v>1.0</v>
      </c>
      <c r="K2190" s="3" t="s">
        <v>31</v>
      </c>
      <c r="L2190" s="4" t="s">
        <v>13345</v>
      </c>
      <c r="M2190" s="2" t="s">
        <v>14986</v>
      </c>
      <c r="N2190" s="2" t="s">
        <v>2764</v>
      </c>
      <c r="O2190" s="4" t="s">
        <v>2765</v>
      </c>
      <c r="P2190" s="2" t="s">
        <v>13347</v>
      </c>
      <c r="Q2190" s="2" t="s">
        <v>31</v>
      </c>
      <c r="R2190" s="2" t="s">
        <v>31</v>
      </c>
      <c r="S2190" s="4" t="s">
        <v>13348</v>
      </c>
      <c r="T2190" s="2" t="s">
        <v>2768</v>
      </c>
      <c r="U2190" s="4" t="s">
        <v>13349</v>
      </c>
      <c r="V2190" s="2" t="s">
        <v>3523</v>
      </c>
      <c r="W2190" s="2" t="s">
        <v>13207</v>
      </c>
      <c r="X2190" s="5" t="str">
        <f>HYPERLINK("https://my.pitchbook.com?p=436692-52P","View People Online")</f>
        <v>View People Online</v>
      </c>
    </row>
    <row r="2191">
      <c r="A2191" s="14" t="s">
        <v>14987</v>
      </c>
      <c r="B2191" s="14" t="s">
        <v>14988</v>
      </c>
      <c r="C2191" s="14" t="s">
        <v>4210</v>
      </c>
      <c r="D2191" s="14" t="s">
        <v>739</v>
      </c>
      <c r="E2191" s="14" t="s">
        <v>13207</v>
      </c>
      <c r="F2191" s="14" t="s">
        <v>13307</v>
      </c>
      <c r="G2191" s="14" t="s">
        <v>14989</v>
      </c>
      <c r="H2191" s="15" t="s">
        <v>31</v>
      </c>
      <c r="I2191" s="15">
        <v>1.0</v>
      </c>
      <c r="J2191" s="15">
        <v>1.0</v>
      </c>
      <c r="K2191" s="15" t="s">
        <v>31</v>
      </c>
      <c r="L2191" s="16" t="s">
        <v>13299</v>
      </c>
      <c r="M2191" s="14" t="s">
        <v>14990</v>
      </c>
      <c r="N2191" s="14" t="s">
        <v>601</v>
      </c>
      <c r="O2191" s="16" t="s">
        <v>602</v>
      </c>
      <c r="P2191" s="14" t="s">
        <v>13301</v>
      </c>
      <c r="Q2191" s="14" t="s">
        <v>13302</v>
      </c>
      <c r="R2191" s="14" t="s">
        <v>31</v>
      </c>
      <c r="S2191" s="16" t="s">
        <v>31</v>
      </c>
      <c r="T2191" s="14" t="s">
        <v>603</v>
      </c>
      <c r="U2191" s="16" t="s">
        <v>13303</v>
      </c>
      <c r="V2191" s="14" t="s">
        <v>14991</v>
      </c>
      <c r="W2191" s="14" t="s">
        <v>13207</v>
      </c>
      <c r="X2191" s="17" t="str">
        <f>HYPERLINK("https://my.pitchbook.com?p=436431-97P","View People Online")</f>
        <v>View People Online</v>
      </c>
    </row>
    <row r="2192">
      <c r="A2192" s="2" t="s">
        <v>14992</v>
      </c>
      <c r="B2192" s="2" t="s">
        <v>14993</v>
      </c>
      <c r="C2192" s="2" t="s">
        <v>14994</v>
      </c>
      <c r="D2192" s="2" t="s">
        <v>14995</v>
      </c>
      <c r="E2192" s="2" t="s">
        <v>13207</v>
      </c>
      <c r="F2192" s="2" t="s">
        <v>3523</v>
      </c>
      <c r="G2192" s="2" t="s">
        <v>14996</v>
      </c>
      <c r="H2192" s="3" t="s">
        <v>31</v>
      </c>
      <c r="I2192" s="3">
        <v>1.0</v>
      </c>
      <c r="J2192" s="3">
        <v>1.0</v>
      </c>
      <c r="K2192" s="3" t="s">
        <v>31</v>
      </c>
      <c r="L2192" s="4" t="s">
        <v>13242</v>
      </c>
      <c r="M2192" s="2" t="s">
        <v>14997</v>
      </c>
      <c r="N2192" s="2" t="s">
        <v>9865</v>
      </c>
      <c r="O2192" s="4" t="s">
        <v>9866</v>
      </c>
      <c r="P2192" s="2" t="s">
        <v>13244</v>
      </c>
      <c r="Q2192" s="2" t="s">
        <v>31</v>
      </c>
      <c r="R2192" s="2" t="s">
        <v>31</v>
      </c>
      <c r="S2192" s="4" t="s">
        <v>13245</v>
      </c>
      <c r="T2192" s="2" t="s">
        <v>38</v>
      </c>
      <c r="U2192" s="4" t="s">
        <v>13246</v>
      </c>
      <c r="V2192" s="2" t="s">
        <v>3523</v>
      </c>
      <c r="W2192" s="2" t="s">
        <v>13207</v>
      </c>
      <c r="X2192" s="5" t="str">
        <f>HYPERLINK("https://my.pitchbook.com?p=435135-88P","View People Online")</f>
        <v>View People Online</v>
      </c>
    </row>
    <row r="2193">
      <c r="A2193" s="14" t="s">
        <v>14998</v>
      </c>
      <c r="B2193" s="14" t="s">
        <v>14999</v>
      </c>
      <c r="C2193" s="14" t="s">
        <v>4886</v>
      </c>
      <c r="D2193" s="14" t="s">
        <v>15000</v>
      </c>
      <c r="E2193" s="14" t="s">
        <v>13207</v>
      </c>
      <c r="F2193" s="14" t="s">
        <v>29</v>
      </c>
      <c r="G2193" s="14" t="s">
        <v>15001</v>
      </c>
      <c r="H2193" s="15" t="s">
        <v>31</v>
      </c>
      <c r="I2193" s="15">
        <v>1.0</v>
      </c>
      <c r="J2193" s="15">
        <v>1.0</v>
      </c>
      <c r="K2193" s="15" t="s">
        <v>31</v>
      </c>
      <c r="L2193" s="16" t="s">
        <v>13540</v>
      </c>
      <c r="M2193" s="14" t="s">
        <v>15002</v>
      </c>
      <c r="N2193" s="14" t="s">
        <v>418</v>
      </c>
      <c r="O2193" s="16" t="s">
        <v>419</v>
      </c>
      <c r="P2193" s="14" t="s">
        <v>13542</v>
      </c>
      <c r="Q2193" s="14" t="s">
        <v>31</v>
      </c>
      <c r="R2193" s="14" t="s">
        <v>31</v>
      </c>
      <c r="S2193" s="16" t="s">
        <v>2664</v>
      </c>
      <c r="T2193" s="14" t="s">
        <v>422</v>
      </c>
      <c r="U2193" s="16" t="s">
        <v>13543</v>
      </c>
      <c r="V2193" s="14" t="s">
        <v>29</v>
      </c>
      <c r="W2193" s="14" t="s">
        <v>13207</v>
      </c>
      <c r="X2193" s="17" t="str">
        <f>HYPERLINK("https://my.pitchbook.com?p=455463-19P","View People Online")</f>
        <v>View People Online</v>
      </c>
    </row>
    <row r="2194">
      <c r="A2194" s="10" t="s">
        <v>15003</v>
      </c>
      <c r="B2194" s="10" t="s">
        <v>15004</v>
      </c>
      <c r="C2194" s="10" t="s">
        <v>2713</v>
      </c>
      <c r="D2194" s="10" t="s">
        <v>15005</v>
      </c>
      <c r="E2194" s="10" t="s">
        <v>13207</v>
      </c>
      <c r="F2194" s="10" t="s">
        <v>1283</v>
      </c>
      <c r="G2194" s="10" t="s">
        <v>15006</v>
      </c>
      <c r="H2194" s="11" t="s">
        <v>31</v>
      </c>
      <c r="I2194" s="11">
        <v>1.0</v>
      </c>
      <c r="J2194" s="11">
        <v>1.0</v>
      </c>
      <c r="K2194" s="11" t="s">
        <v>31</v>
      </c>
      <c r="L2194" s="12" t="s">
        <v>13855</v>
      </c>
      <c r="M2194" s="10" t="s">
        <v>15007</v>
      </c>
      <c r="N2194" s="10" t="s">
        <v>2017</v>
      </c>
      <c r="O2194" s="12" t="s">
        <v>2018</v>
      </c>
      <c r="P2194" s="10" t="s">
        <v>13857</v>
      </c>
      <c r="Q2194" s="10" t="s">
        <v>13858</v>
      </c>
      <c r="R2194" s="10" t="s">
        <v>31</v>
      </c>
      <c r="S2194" s="12" t="s">
        <v>31</v>
      </c>
      <c r="T2194" s="10" t="s">
        <v>2022</v>
      </c>
      <c r="U2194" s="12" t="s">
        <v>31</v>
      </c>
      <c r="V2194" s="10" t="s">
        <v>13974</v>
      </c>
      <c r="W2194" s="10" t="s">
        <v>13207</v>
      </c>
      <c r="X2194" s="13" t="str">
        <f>HYPERLINK("https://my.pitchbook.com?p=455281-66P","View People Online")</f>
        <v>View People Online</v>
      </c>
    </row>
    <row r="2195">
      <c r="A2195" s="6" t="s">
        <v>15008</v>
      </c>
      <c r="B2195" s="6" t="s">
        <v>15009</v>
      </c>
      <c r="C2195" s="6" t="s">
        <v>2713</v>
      </c>
      <c r="D2195" s="6" t="s">
        <v>15010</v>
      </c>
      <c r="E2195" s="6" t="s">
        <v>13207</v>
      </c>
      <c r="F2195" s="6" t="s">
        <v>3523</v>
      </c>
      <c r="G2195" s="6" t="s">
        <v>15011</v>
      </c>
      <c r="H2195" s="7" t="s">
        <v>31</v>
      </c>
      <c r="I2195" s="7">
        <v>1.0</v>
      </c>
      <c r="J2195" s="7">
        <v>1.0</v>
      </c>
      <c r="K2195" s="7" t="s">
        <v>31</v>
      </c>
      <c r="L2195" s="8" t="s">
        <v>15012</v>
      </c>
      <c r="M2195" s="6" t="s">
        <v>15013</v>
      </c>
      <c r="N2195" s="6" t="s">
        <v>15014</v>
      </c>
      <c r="O2195" s="8" t="s">
        <v>15015</v>
      </c>
      <c r="P2195" s="6" t="s">
        <v>15016</v>
      </c>
      <c r="Q2195" s="6" t="s">
        <v>31</v>
      </c>
      <c r="R2195" s="6" t="s">
        <v>31</v>
      </c>
      <c r="S2195" s="8" t="s">
        <v>15017</v>
      </c>
      <c r="T2195" s="6" t="s">
        <v>15018</v>
      </c>
      <c r="U2195" s="8" t="s">
        <v>15019</v>
      </c>
      <c r="V2195" s="6" t="s">
        <v>3523</v>
      </c>
      <c r="W2195" s="6" t="s">
        <v>13207</v>
      </c>
      <c r="X2195" s="9" t="str">
        <f>HYPERLINK("https://my.pitchbook.com?p=435596-59P","View People Online")</f>
        <v>View People Online</v>
      </c>
    </row>
    <row r="2196">
      <c r="A2196" s="2" t="s">
        <v>15020</v>
      </c>
      <c r="B2196" s="2" t="s">
        <v>15021</v>
      </c>
      <c r="C2196" s="2" t="s">
        <v>2713</v>
      </c>
      <c r="D2196" s="2" t="s">
        <v>15022</v>
      </c>
      <c r="E2196" s="2" t="s">
        <v>13207</v>
      </c>
      <c r="F2196" s="2" t="s">
        <v>3523</v>
      </c>
      <c r="G2196" s="2" t="s">
        <v>15023</v>
      </c>
      <c r="H2196" s="3" t="s">
        <v>31</v>
      </c>
      <c r="I2196" s="3">
        <v>1.0</v>
      </c>
      <c r="J2196" s="3">
        <v>1.0</v>
      </c>
      <c r="K2196" s="3" t="s">
        <v>31</v>
      </c>
      <c r="L2196" s="4" t="s">
        <v>13801</v>
      </c>
      <c r="M2196" s="2" t="s">
        <v>15024</v>
      </c>
      <c r="N2196" s="2" t="s">
        <v>1024</v>
      </c>
      <c r="O2196" s="4" t="s">
        <v>2718</v>
      </c>
      <c r="P2196" s="2" t="s">
        <v>13803</v>
      </c>
      <c r="Q2196" s="2" t="s">
        <v>13804</v>
      </c>
      <c r="R2196" s="2" t="s">
        <v>31</v>
      </c>
      <c r="S2196" s="4" t="s">
        <v>31</v>
      </c>
      <c r="T2196" s="2" t="s">
        <v>2721</v>
      </c>
      <c r="U2196" s="4" t="s">
        <v>31</v>
      </c>
      <c r="V2196" s="2" t="s">
        <v>3523</v>
      </c>
      <c r="W2196" s="2" t="s">
        <v>13207</v>
      </c>
      <c r="X2196" s="5" t="str">
        <f>HYPERLINK("https://my.pitchbook.com?p=435432-16P","View People Online")</f>
        <v>View People Online</v>
      </c>
    </row>
    <row r="2197">
      <c r="A2197" s="14" t="s">
        <v>15025</v>
      </c>
      <c r="B2197" s="14" t="s">
        <v>15026</v>
      </c>
      <c r="C2197" s="14" t="s">
        <v>6606</v>
      </c>
      <c r="D2197" s="14" t="s">
        <v>15027</v>
      </c>
      <c r="E2197" s="14" t="s">
        <v>13207</v>
      </c>
      <c r="F2197" s="14" t="s">
        <v>13218</v>
      </c>
      <c r="G2197" s="14" t="s">
        <v>15028</v>
      </c>
      <c r="H2197" s="15" t="s">
        <v>31</v>
      </c>
      <c r="I2197" s="15">
        <v>1.0</v>
      </c>
      <c r="J2197" s="15">
        <v>1.0</v>
      </c>
      <c r="K2197" s="15" t="s">
        <v>31</v>
      </c>
      <c r="L2197" s="16" t="s">
        <v>13688</v>
      </c>
      <c r="M2197" s="14" t="s">
        <v>15029</v>
      </c>
      <c r="N2197" s="14" t="s">
        <v>3603</v>
      </c>
      <c r="O2197" s="16" t="s">
        <v>3604</v>
      </c>
      <c r="P2197" s="14" t="s">
        <v>13690</v>
      </c>
      <c r="Q2197" s="14" t="s">
        <v>13691</v>
      </c>
      <c r="R2197" s="14" t="s">
        <v>31</v>
      </c>
      <c r="S2197" s="16" t="s">
        <v>31</v>
      </c>
      <c r="T2197" s="14" t="s">
        <v>3603</v>
      </c>
      <c r="U2197" s="16" t="s">
        <v>13692</v>
      </c>
      <c r="V2197" s="14" t="s">
        <v>15030</v>
      </c>
      <c r="W2197" s="14" t="s">
        <v>13207</v>
      </c>
      <c r="X2197" s="17" t="str">
        <f>HYPERLINK("https://my.pitchbook.com?p=174984-85P","View People Online")</f>
        <v>View People Online</v>
      </c>
    </row>
    <row r="2198">
      <c r="A2198" s="10" t="s">
        <v>15031</v>
      </c>
      <c r="B2198" s="10" t="s">
        <v>15032</v>
      </c>
      <c r="C2198" s="10" t="s">
        <v>12581</v>
      </c>
      <c r="D2198" s="10" t="s">
        <v>15033</v>
      </c>
      <c r="E2198" s="10" t="s">
        <v>13207</v>
      </c>
      <c r="F2198" s="10" t="s">
        <v>3523</v>
      </c>
      <c r="G2198" s="10" t="s">
        <v>15034</v>
      </c>
      <c r="H2198" s="11" t="s">
        <v>31</v>
      </c>
      <c r="I2198" s="11">
        <v>1.0</v>
      </c>
      <c r="J2198" s="11">
        <v>1.0</v>
      </c>
      <c r="K2198" s="11" t="s">
        <v>31</v>
      </c>
      <c r="L2198" s="12" t="s">
        <v>13657</v>
      </c>
      <c r="M2198" s="10" t="s">
        <v>15035</v>
      </c>
      <c r="N2198" s="10" t="s">
        <v>13659</v>
      </c>
      <c r="O2198" s="12" t="s">
        <v>13660</v>
      </c>
      <c r="P2198" s="10" t="s">
        <v>13661</v>
      </c>
      <c r="Q2198" s="10" t="s">
        <v>31</v>
      </c>
      <c r="R2198" s="10" t="s">
        <v>31</v>
      </c>
      <c r="S2198" s="12" t="s">
        <v>13662</v>
      </c>
      <c r="T2198" s="10" t="s">
        <v>38</v>
      </c>
      <c r="U2198" s="12" t="s">
        <v>13663</v>
      </c>
      <c r="V2198" s="10" t="s">
        <v>3523</v>
      </c>
      <c r="W2198" s="10" t="s">
        <v>13207</v>
      </c>
      <c r="X2198" s="13" t="str">
        <f>HYPERLINK("https://my.pitchbook.com?p=456219-55P","View People Online")</f>
        <v>View People Online</v>
      </c>
    </row>
    <row r="2199">
      <c r="A2199" s="6" t="s">
        <v>15036</v>
      </c>
      <c r="B2199" s="6" t="s">
        <v>15037</v>
      </c>
      <c r="C2199" s="6" t="s">
        <v>1559</v>
      </c>
      <c r="D2199" s="6" t="s">
        <v>10295</v>
      </c>
      <c r="E2199" s="6" t="s">
        <v>13207</v>
      </c>
      <c r="F2199" s="6" t="s">
        <v>3523</v>
      </c>
      <c r="G2199" s="6" t="s">
        <v>15038</v>
      </c>
      <c r="H2199" s="7" t="s">
        <v>31</v>
      </c>
      <c r="I2199" s="7">
        <v>1.0</v>
      </c>
      <c r="J2199" s="7">
        <v>1.0</v>
      </c>
      <c r="K2199" s="7" t="s">
        <v>31</v>
      </c>
      <c r="L2199" s="8" t="s">
        <v>13281</v>
      </c>
      <c r="M2199" s="6" t="s">
        <v>15039</v>
      </c>
      <c r="N2199" s="6" t="s">
        <v>1277</v>
      </c>
      <c r="O2199" s="8" t="s">
        <v>1278</v>
      </c>
      <c r="P2199" s="6" t="s">
        <v>13283</v>
      </c>
      <c r="Q2199" s="6" t="s">
        <v>13284</v>
      </c>
      <c r="R2199" s="6" t="s">
        <v>1281</v>
      </c>
      <c r="S2199" s="8" t="s">
        <v>1282</v>
      </c>
      <c r="T2199" s="6" t="s">
        <v>66</v>
      </c>
      <c r="U2199" s="8" t="s">
        <v>13285</v>
      </c>
      <c r="V2199" s="6" t="s">
        <v>3523</v>
      </c>
      <c r="W2199" s="6" t="s">
        <v>13207</v>
      </c>
      <c r="X2199" s="9" t="str">
        <f>HYPERLINK("https://my.pitchbook.com?p=436278-34P","View People Online")</f>
        <v>View People Online</v>
      </c>
    </row>
    <row r="2200">
      <c r="A2200" s="10" t="s">
        <v>15040</v>
      </c>
      <c r="B2200" s="10" t="s">
        <v>15041</v>
      </c>
      <c r="C2200" s="10" t="s">
        <v>15042</v>
      </c>
      <c r="D2200" s="10" t="s">
        <v>15043</v>
      </c>
      <c r="E2200" s="10" t="s">
        <v>13207</v>
      </c>
      <c r="F2200" s="10" t="s">
        <v>13307</v>
      </c>
      <c r="G2200" s="10" t="s">
        <v>15044</v>
      </c>
      <c r="H2200" s="11" t="s">
        <v>31</v>
      </c>
      <c r="I2200" s="11">
        <v>1.0</v>
      </c>
      <c r="J2200" s="11">
        <v>1.0</v>
      </c>
      <c r="K2200" s="11" t="s">
        <v>31</v>
      </c>
      <c r="L2200" s="12" t="s">
        <v>13657</v>
      </c>
      <c r="M2200" s="10" t="s">
        <v>15045</v>
      </c>
      <c r="N2200" s="10" t="s">
        <v>13659</v>
      </c>
      <c r="O2200" s="12" t="s">
        <v>13660</v>
      </c>
      <c r="P2200" s="10" t="s">
        <v>13661</v>
      </c>
      <c r="Q2200" s="10" t="s">
        <v>31</v>
      </c>
      <c r="R2200" s="10" t="s">
        <v>31</v>
      </c>
      <c r="S2200" s="12" t="s">
        <v>13662</v>
      </c>
      <c r="T2200" s="10" t="s">
        <v>38</v>
      </c>
      <c r="U2200" s="12" t="s">
        <v>13663</v>
      </c>
      <c r="V2200" s="10" t="s">
        <v>13317</v>
      </c>
      <c r="W2200" s="10" t="s">
        <v>13207</v>
      </c>
      <c r="X2200" s="13" t="str">
        <f>HYPERLINK("https://my.pitchbook.com?p=455944-24P","View People Online")</f>
        <v>View People Online</v>
      </c>
    </row>
    <row r="2201">
      <c r="A2201" s="6" t="s">
        <v>15046</v>
      </c>
      <c r="B2201" s="6" t="s">
        <v>15047</v>
      </c>
      <c r="C2201" s="6" t="s">
        <v>15042</v>
      </c>
      <c r="D2201" s="6" t="s">
        <v>15048</v>
      </c>
      <c r="E2201" s="6" t="s">
        <v>13207</v>
      </c>
      <c r="F2201" s="6" t="s">
        <v>13218</v>
      </c>
      <c r="G2201" s="6" t="s">
        <v>15049</v>
      </c>
      <c r="H2201" s="7" t="s">
        <v>31</v>
      </c>
      <c r="I2201" s="7">
        <v>1.0</v>
      </c>
      <c r="J2201" s="7">
        <v>1.0</v>
      </c>
      <c r="K2201" s="7" t="s">
        <v>31</v>
      </c>
      <c r="L2201" s="8" t="s">
        <v>15050</v>
      </c>
      <c r="M2201" s="6" t="s">
        <v>15051</v>
      </c>
      <c r="N2201" s="6" t="s">
        <v>15052</v>
      </c>
      <c r="O2201" s="8" t="s">
        <v>15053</v>
      </c>
      <c r="P2201" s="6" t="s">
        <v>15054</v>
      </c>
      <c r="Q2201" s="6" t="s">
        <v>15055</v>
      </c>
      <c r="R2201" s="6" t="s">
        <v>31</v>
      </c>
      <c r="S2201" s="8" t="s">
        <v>15056</v>
      </c>
      <c r="T2201" s="6" t="s">
        <v>38</v>
      </c>
      <c r="U2201" s="8" t="s">
        <v>15057</v>
      </c>
      <c r="V2201" s="6" t="s">
        <v>15058</v>
      </c>
      <c r="W2201" s="6" t="s">
        <v>13207</v>
      </c>
      <c r="X2201" s="9" t="str">
        <f>HYPERLINK("https://my.pitchbook.com?p=336143-17P","View People Online")</f>
        <v>View People Online</v>
      </c>
    </row>
    <row r="2202">
      <c r="A2202" s="2" t="s">
        <v>15059</v>
      </c>
      <c r="B2202" s="2" t="s">
        <v>15060</v>
      </c>
      <c r="C2202" s="2" t="s">
        <v>8095</v>
      </c>
      <c r="D2202" s="2" t="s">
        <v>15061</v>
      </c>
      <c r="E2202" s="2" t="s">
        <v>13207</v>
      </c>
      <c r="F2202" s="2" t="s">
        <v>29</v>
      </c>
      <c r="G2202" s="2" t="s">
        <v>15062</v>
      </c>
      <c r="H2202" s="3" t="s">
        <v>31</v>
      </c>
      <c r="I2202" s="3">
        <v>1.0</v>
      </c>
      <c r="J2202" s="3">
        <v>1.0</v>
      </c>
      <c r="K2202" s="3" t="s">
        <v>31</v>
      </c>
      <c r="L2202" s="4" t="s">
        <v>13423</v>
      </c>
      <c r="M2202" s="2" t="s">
        <v>15063</v>
      </c>
      <c r="N2202" s="2" t="s">
        <v>243</v>
      </c>
      <c r="O2202" s="4" t="s">
        <v>244</v>
      </c>
      <c r="P2202" s="2" t="s">
        <v>13425</v>
      </c>
      <c r="Q2202" s="2" t="s">
        <v>31</v>
      </c>
      <c r="R2202" s="2" t="s">
        <v>247</v>
      </c>
      <c r="S2202" s="4" t="s">
        <v>13426</v>
      </c>
      <c r="T2202" s="2" t="s">
        <v>249</v>
      </c>
      <c r="U2202" s="4" t="s">
        <v>31</v>
      </c>
      <c r="V2202" s="2" t="s">
        <v>29</v>
      </c>
      <c r="W2202" s="2" t="s">
        <v>13207</v>
      </c>
      <c r="X2202" s="5" t="str">
        <f>HYPERLINK("https://my.pitchbook.com?p=436705-66P","View People Online")</f>
        <v>View People Online</v>
      </c>
    </row>
    <row r="2203">
      <c r="A2203" s="6" t="s">
        <v>15064</v>
      </c>
      <c r="B2203" s="6" t="s">
        <v>15065</v>
      </c>
      <c r="C2203" s="6" t="s">
        <v>15066</v>
      </c>
      <c r="D2203" s="6" t="s">
        <v>15067</v>
      </c>
      <c r="E2203" s="6" t="s">
        <v>13207</v>
      </c>
      <c r="F2203" s="6" t="s">
        <v>29</v>
      </c>
      <c r="G2203" s="6" t="s">
        <v>15068</v>
      </c>
      <c r="H2203" s="7" t="s">
        <v>31</v>
      </c>
      <c r="I2203" s="7">
        <v>1.0</v>
      </c>
      <c r="J2203" s="7">
        <v>1.0</v>
      </c>
      <c r="K2203" s="7" t="s">
        <v>31</v>
      </c>
      <c r="L2203" s="8" t="s">
        <v>13632</v>
      </c>
      <c r="M2203" s="6" t="s">
        <v>15069</v>
      </c>
      <c r="N2203" s="6" t="s">
        <v>7690</v>
      </c>
      <c r="O2203" s="8" t="s">
        <v>7691</v>
      </c>
      <c r="P2203" s="6" t="s">
        <v>13634</v>
      </c>
      <c r="Q2203" s="6" t="s">
        <v>13635</v>
      </c>
      <c r="R2203" s="6" t="s">
        <v>7693</v>
      </c>
      <c r="S2203" s="8" t="s">
        <v>13636</v>
      </c>
      <c r="T2203" s="6" t="s">
        <v>66</v>
      </c>
      <c r="U2203" s="8" t="s">
        <v>13637</v>
      </c>
      <c r="V2203" s="6" t="s">
        <v>29</v>
      </c>
      <c r="W2203" s="6" t="s">
        <v>13207</v>
      </c>
      <c r="X2203" s="9" t="str">
        <f>HYPERLINK("https://my.pitchbook.com?p=435013-30P","View People Online")</f>
        <v>View People Online</v>
      </c>
    </row>
    <row r="2204">
      <c r="A2204" s="10" t="s">
        <v>15070</v>
      </c>
      <c r="B2204" s="10" t="s">
        <v>15071</v>
      </c>
      <c r="C2204" s="10" t="s">
        <v>3946</v>
      </c>
      <c r="D2204" s="10" t="s">
        <v>15072</v>
      </c>
      <c r="E2204" s="10" t="s">
        <v>13207</v>
      </c>
      <c r="F2204" s="10" t="s">
        <v>3523</v>
      </c>
      <c r="G2204" s="10" t="s">
        <v>15073</v>
      </c>
      <c r="H2204" s="11" t="s">
        <v>31</v>
      </c>
      <c r="I2204" s="11">
        <v>1.0</v>
      </c>
      <c r="J2204" s="11">
        <v>1.0</v>
      </c>
      <c r="K2204" s="11" t="s">
        <v>31</v>
      </c>
      <c r="L2204" s="12" t="s">
        <v>13281</v>
      </c>
      <c r="M2204" s="10" t="s">
        <v>15074</v>
      </c>
      <c r="N2204" s="10" t="s">
        <v>1277</v>
      </c>
      <c r="O2204" s="12" t="s">
        <v>1278</v>
      </c>
      <c r="P2204" s="10" t="s">
        <v>13283</v>
      </c>
      <c r="Q2204" s="10" t="s">
        <v>13284</v>
      </c>
      <c r="R2204" s="10" t="s">
        <v>1281</v>
      </c>
      <c r="S2204" s="12" t="s">
        <v>1282</v>
      </c>
      <c r="T2204" s="10" t="s">
        <v>66</v>
      </c>
      <c r="U2204" s="12" t="s">
        <v>13285</v>
      </c>
      <c r="V2204" s="10" t="s">
        <v>3523</v>
      </c>
      <c r="W2204" s="10" t="s">
        <v>13207</v>
      </c>
      <c r="X2204" s="13" t="str">
        <f>HYPERLINK("https://my.pitchbook.com?p=436159-36P","View People Online")</f>
        <v>View People Online</v>
      </c>
    </row>
    <row r="2205">
      <c r="A2205" s="14" t="s">
        <v>15075</v>
      </c>
      <c r="B2205" s="14" t="s">
        <v>15076</v>
      </c>
      <c r="C2205" s="14" t="s">
        <v>724</v>
      </c>
      <c r="D2205" s="14" t="s">
        <v>15077</v>
      </c>
      <c r="E2205" s="14" t="s">
        <v>13207</v>
      </c>
      <c r="F2205" s="14" t="s">
        <v>3523</v>
      </c>
      <c r="G2205" s="14" t="s">
        <v>15078</v>
      </c>
      <c r="H2205" s="15" t="s">
        <v>31</v>
      </c>
      <c r="I2205" s="15">
        <v>1.0</v>
      </c>
      <c r="J2205" s="15">
        <v>1.0</v>
      </c>
      <c r="K2205" s="15" t="s">
        <v>31</v>
      </c>
      <c r="L2205" s="16" t="s">
        <v>13766</v>
      </c>
      <c r="M2205" s="14" t="s">
        <v>15079</v>
      </c>
      <c r="N2205" s="14" t="s">
        <v>13768</v>
      </c>
      <c r="O2205" s="16" t="s">
        <v>13769</v>
      </c>
      <c r="P2205" s="14" t="s">
        <v>13770</v>
      </c>
      <c r="Q2205" s="14" t="s">
        <v>13771</v>
      </c>
      <c r="R2205" s="14" t="s">
        <v>31</v>
      </c>
      <c r="S2205" s="16" t="s">
        <v>13772</v>
      </c>
      <c r="T2205" s="14" t="s">
        <v>13773</v>
      </c>
      <c r="U2205" s="16" t="s">
        <v>31</v>
      </c>
      <c r="V2205" s="14" t="s">
        <v>3523</v>
      </c>
      <c r="W2205" s="14" t="s">
        <v>13207</v>
      </c>
      <c r="X2205" s="17" t="str">
        <f>HYPERLINK("https://my.pitchbook.com?p=435925-63P","View People Online")</f>
        <v>View People Online</v>
      </c>
    </row>
    <row r="2206">
      <c r="A2206" s="2" t="s">
        <v>15080</v>
      </c>
      <c r="B2206" s="2" t="s">
        <v>15081</v>
      </c>
      <c r="C2206" s="2" t="s">
        <v>15082</v>
      </c>
      <c r="D2206" s="2" t="s">
        <v>10402</v>
      </c>
      <c r="E2206" s="2" t="s">
        <v>13207</v>
      </c>
      <c r="F2206" s="2" t="s">
        <v>3523</v>
      </c>
      <c r="G2206" s="2" t="s">
        <v>15083</v>
      </c>
      <c r="H2206" s="3" t="s">
        <v>31</v>
      </c>
      <c r="I2206" s="3">
        <v>1.0</v>
      </c>
      <c r="J2206" s="3">
        <v>1.0</v>
      </c>
      <c r="K2206" s="3" t="s">
        <v>31</v>
      </c>
      <c r="L2206" s="4" t="s">
        <v>13299</v>
      </c>
      <c r="M2206" s="2" t="s">
        <v>15084</v>
      </c>
      <c r="N2206" s="2" t="s">
        <v>601</v>
      </c>
      <c r="O2206" s="4" t="s">
        <v>602</v>
      </c>
      <c r="P2206" s="2" t="s">
        <v>13301</v>
      </c>
      <c r="Q2206" s="2" t="s">
        <v>13302</v>
      </c>
      <c r="R2206" s="2" t="s">
        <v>31</v>
      </c>
      <c r="S2206" s="4" t="s">
        <v>31</v>
      </c>
      <c r="T2206" s="2" t="s">
        <v>603</v>
      </c>
      <c r="U2206" s="4" t="s">
        <v>13303</v>
      </c>
      <c r="V2206" s="2" t="s">
        <v>3523</v>
      </c>
      <c r="W2206" s="2" t="s">
        <v>13207</v>
      </c>
      <c r="X2206" s="5" t="str">
        <f>HYPERLINK("https://my.pitchbook.com?p=436120-48P","View People Online")</f>
        <v>View People Online</v>
      </c>
    </row>
    <row r="2207">
      <c r="A2207" s="6" t="s">
        <v>15085</v>
      </c>
      <c r="B2207" s="6" t="s">
        <v>15086</v>
      </c>
      <c r="C2207" s="6" t="s">
        <v>15087</v>
      </c>
      <c r="D2207" s="6" t="s">
        <v>15088</v>
      </c>
      <c r="E2207" s="6" t="s">
        <v>13207</v>
      </c>
      <c r="F2207" s="6" t="s">
        <v>29</v>
      </c>
      <c r="G2207" s="6" t="s">
        <v>15089</v>
      </c>
      <c r="H2207" s="7" t="s">
        <v>31</v>
      </c>
      <c r="I2207" s="7">
        <v>1.0</v>
      </c>
      <c r="J2207" s="7">
        <v>1.0</v>
      </c>
      <c r="K2207" s="7" t="s">
        <v>31</v>
      </c>
      <c r="L2207" s="8" t="s">
        <v>13673</v>
      </c>
      <c r="M2207" s="6" t="s">
        <v>15090</v>
      </c>
      <c r="N2207" s="6" t="s">
        <v>6311</v>
      </c>
      <c r="O2207" s="8" t="s">
        <v>6312</v>
      </c>
      <c r="P2207" s="6" t="s">
        <v>13675</v>
      </c>
      <c r="Q2207" s="6" t="s">
        <v>31</v>
      </c>
      <c r="R2207" s="6" t="s">
        <v>31</v>
      </c>
      <c r="S2207" s="8" t="s">
        <v>13676</v>
      </c>
      <c r="T2207" s="6" t="s">
        <v>6315</v>
      </c>
      <c r="U2207" s="8" t="s">
        <v>13677</v>
      </c>
      <c r="V2207" s="6" t="s">
        <v>29</v>
      </c>
      <c r="W2207" s="6" t="s">
        <v>13207</v>
      </c>
      <c r="X2207" s="9" t="str">
        <f>HYPERLINK("https://my.pitchbook.com?p=436340-26P","View People Online")</f>
        <v>View People Online</v>
      </c>
    </row>
    <row r="2208">
      <c r="A2208" s="2" t="s">
        <v>15091</v>
      </c>
      <c r="B2208" s="2" t="s">
        <v>15092</v>
      </c>
      <c r="C2208" s="2" t="s">
        <v>15093</v>
      </c>
      <c r="D2208" s="2" t="s">
        <v>2469</v>
      </c>
      <c r="E2208" s="2" t="s">
        <v>13207</v>
      </c>
      <c r="F2208" s="2" t="s">
        <v>3523</v>
      </c>
      <c r="G2208" s="2" t="s">
        <v>15094</v>
      </c>
      <c r="H2208" s="3" t="s">
        <v>31</v>
      </c>
      <c r="I2208" s="3">
        <v>1.0</v>
      </c>
      <c r="J2208" s="3">
        <v>1.0</v>
      </c>
      <c r="K2208" s="3" t="s">
        <v>31</v>
      </c>
      <c r="L2208" s="4" t="s">
        <v>15095</v>
      </c>
      <c r="M2208" s="2" t="s">
        <v>15096</v>
      </c>
      <c r="N2208" s="2" t="s">
        <v>6960</v>
      </c>
      <c r="O2208" s="4" t="s">
        <v>6961</v>
      </c>
      <c r="P2208" s="2" t="s">
        <v>15097</v>
      </c>
      <c r="Q2208" s="2" t="s">
        <v>15098</v>
      </c>
      <c r="R2208" s="2" t="s">
        <v>15099</v>
      </c>
      <c r="S2208" s="4" t="s">
        <v>15100</v>
      </c>
      <c r="T2208" s="2" t="s">
        <v>6962</v>
      </c>
      <c r="U2208" s="4" t="s">
        <v>15101</v>
      </c>
      <c r="V2208" s="2" t="s">
        <v>3523</v>
      </c>
      <c r="W2208" s="2" t="s">
        <v>13207</v>
      </c>
      <c r="X2208" s="5" t="str">
        <f>HYPERLINK("https://my.pitchbook.com?p=455735-35P","View People Online")</f>
        <v>View People Online</v>
      </c>
    </row>
    <row r="2209">
      <c r="A2209" s="6" t="s">
        <v>15102</v>
      </c>
      <c r="B2209" s="6" t="s">
        <v>15103</v>
      </c>
      <c r="C2209" s="6" t="s">
        <v>15104</v>
      </c>
      <c r="D2209" s="6" t="s">
        <v>15105</v>
      </c>
      <c r="E2209" s="6" t="s">
        <v>13207</v>
      </c>
      <c r="F2209" s="6" t="s">
        <v>29</v>
      </c>
      <c r="G2209" s="6" t="s">
        <v>15106</v>
      </c>
      <c r="H2209" s="7" t="s">
        <v>31</v>
      </c>
      <c r="I2209" s="7">
        <v>1.0</v>
      </c>
      <c r="J2209" s="7">
        <v>1.0</v>
      </c>
      <c r="K2209" s="7" t="s">
        <v>31</v>
      </c>
      <c r="L2209" s="8" t="s">
        <v>13299</v>
      </c>
      <c r="M2209" s="6" t="s">
        <v>15107</v>
      </c>
      <c r="N2209" s="6" t="s">
        <v>601</v>
      </c>
      <c r="O2209" s="8" t="s">
        <v>602</v>
      </c>
      <c r="P2209" s="6" t="s">
        <v>13301</v>
      </c>
      <c r="Q2209" s="6" t="s">
        <v>13302</v>
      </c>
      <c r="R2209" s="6" t="s">
        <v>31</v>
      </c>
      <c r="S2209" s="8" t="s">
        <v>31</v>
      </c>
      <c r="T2209" s="6" t="s">
        <v>603</v>
      </c>
      <c r="U2209" s="8" t="s">
        <v>13303</v>
      </c>
      <c r="V2209" s="6" t="s">
        <v>29</v>
      </c>
      <c r="W2209" s="6" t="s">
        <v>13207</v>
      </c>
      <c r="X2209" s="9" t="str">
        <f>HYPERLINK("https://my.pitchbook.com?p=435358-63P","View People Online")</f>
        <v>View People Online</v>
      </c>
    </row>
    <row r="2210">
      <c r="A2210" s="10" t="s">
        <v>15108</v>
      </c>
      <c r="B2210" s="10" t="s">
        <v>15109</v>
      </c>
      <c r="C2210" s="10" t="s">
        <v>1426</v>
      </c>
      <c r="D2210" s="10" t="s">
        <v>15110</v>
      </c>
      <c r="E2210" s="10" t="s">
        <v>13207</v>
      </c>
      <c r="F2210" s="10" t="s">
        <v>13218</v>
      </c>
      <c r="G2210" s="10" t="s">
        <v>15111</v>
      </c>
      <c r="H2210" s="11" t="s">
        <v>31</v>
      </c>
      <c r="I2210" s="11">
        <v>2.0</v>
      </c>
      <c r="J2210" s="11">
        <v>2.0</v>
      </c>
      <c r="K2210" s="11" t="s">
        <v>31</v>
      </c>
      <c r="L2210" s="12" t="s">
        <v>13274</v>
      </c>
      <c r="M2210" s="10" t="s">
        <v>15112</v>
      </c>
      <c r="N2210" s="10" t="s">
        <v>1181</v>
      </c>
      <c r="O2210" s="12" t="s">
        <v>1182</v>
      </c>
      <c r="P2210" s="10" t="s">
        <v>13276</v>
      </c>
      <c r="Q2210" s="10" t="s">
        <v>31</v>
      </c>
      <c r="R2210" s="10" t="s">
        <v>1185</v>
      </c>
      <c r="S2210" s="12" t="s">
        <v>4438</v>
      </c>
      <c r="T2210" s="10" t="s">
        <v>66</v>
      </c>
      <c r="U2210" s="12" t="s">
        <v>13277</v>
      </c>
      <c r="V2210" s="10" t="s">
        <v>13218</v>
      </c>
      <c r="W2210" s="10" t="s">
        <v>13207</v>
      </c>
      <c r="X2210" s="13" t="str">
        <f>HYPERLINK("https://my.pitchbook.com?p=118010-62P","View People Online")</f>
        <v>View People Online</v>
      </c>
    </row>
    <row r="2211">
      <c r="A2211" s="14" t="s">
        <v>15113</v>
      </c>
      <c r="B2211" s="14" t="s">
        <v>15114</v>
      </c>
      <c r="C2211" s="14" t="s">
        <v>1426</v>
      </c>
      <c r="D2211" s="14" t="s">
        <v>15115</v>
      </c>
      <c r="E2211" s="14" t="s">
        <v>13207</v>
      </c>
      <c r="F2211" s="14" t="s">
        <v>3523</v>
      </c>
      <c r="G2211" s="14" t="s">
        <v>15116</v>
      </c>
      <c r="H2211" s="15" t="s">
        <v>31</v>
      </c>
      <c r="I2211" s="15">
        <v>1.0</v>
      </c>
      <c r="J2211" s="15">
        <v>1.0</v>
      </c>
      <c r="K2211" s="15" t="s">
        <v>31</v>
      </c>
      <c r="L2211" s="16" t="s">
        <v>13345</v>
      </c>
      <c r="M2211" s="14" t="s">
        <v>15117</v>
      </c>
      <c r="N2211" s="14" t="s">
        <v>2764</v>
      </c>
      <c r="O2211" s="16" t="s">
        <v>2765</v>
      </c>
      <c r="P2211" s="14" t="s">
        <v>13347</v>
      </c>
      <c r="Q2211" s="14" t="s">
        <v>31</v>
      </c>
      <c r="R2211" s="14" t="s">
        <v>31</v>
      </c>
      <c r="S2211" s="16" t="s">
        <v>13348</v>
      </c>
      <c r="T2211" s="14" t="s">
        <v>2768</v>
      </c>
      <c r="U2211" s="16" t="s">
        <v>13349</v>
      </c>
      <c r="V2211" s="14" t="s">
        <v>3523</v>
      </c>
      <c r="W2211" s="14" t="s">
        <v>13207</v>
      </c>
      <c r="X2211" s="17" t="str">
        <f>HYPERLINK("https://my.pitchbook.com?p=455401-81P","View People Online")</f>
        <v>View People Online</v>
      </c>
    </row>
    <row r="2212">
      <c r="A2212" s="2" t="s">
        <v>15118</v>
      </c>
      <c r="B2212" s="2" t="s">
        <v>15119</v>
      </c>
      <c r="C2212" s="2" t="s">
        <v>1426</v>
      </c>
      <c r="D2212" s="2" t="s">
        <v>15120</v>
      </c>
      <c r="E2212" s="2" t="s">
        <v>13207</v>
      </c>
      <c r="F2212" s="2" t="s">
        <v>3523</v>
      </c>
      <c r="G2212" s="2" t="s">
        <v>15121</v>
      </c>
      <c r="H2212" s="3" t="s">
        <v>31</v>
      </c>
      <c r="I2212" s="3">
        <v>1.0</v>
      </c>
      <c r="J2212" s="3">
        <v>1.0</v>
      </c>
      <c r="K2212" s="3" t="s">
        <v>31</v>
      </c>
      <c r="L2212" s="4" t="s">
        <v>13423</v>
      </c>
      <c r="M2212" s="2" t="s">
        <v>15122</v>
      </c>
      <c r="N2212" s="2" t="s">
        <v>243</v>
      </c>
      <c r="O2212" s="4" t="s">
        <v>244</v>
      </c>
      <c r="P2212" s="2" t="s">
        <v>13425</v>
      </c>
      <c r="Q2212" s="2" t="s">
        <v>31</v>
      </c>
      <c r="R2212" s="2" t="s">
        <v>247</v>
      </c>
      <c r="S2212" s="4" t="s">
        <v>13426</v>
      </c>
      <c r="T2212" s="2" t="s">
        <v>249</v>
      </c>
      <c r="U2212" s="4" t="s">
        <v>31</v>
      </c>
      <c r="V2212" s="2" t="s">
        <v>3523</v>
      </c>
      <c r="W2212" s="2" t="s">
        <v>13207</v>
      </c>
      <c r="X2212" s="5" t="str">
        <f>HYPERLINK("https://my.pitchbook.com?p=456245-74P","View People Online")</f>
        <v>View People Online</v>
      </c>
    </row>
    <row r="2213">
      <c r="A2213" s="6" t="s">
        <v>15123</v>
      </c>
      <c r="B2213" s="6" t="s">
        <v>15124</v>
      </c>
      <c r="C2213" s="6" t="s">
        <v>15125</v>
      </c>
      <c r="D2213" s="6" t="s">
        <v>15126</v>
      </c>
      <c r="E2213" s="6" t="s">
        <v>13207</v>
      </c>
      <c r="F2213" s="6" t="s">
        <v>3523</v>
      </c>
      <c r="G2213" s="6" t="s">
        <v>15127</v>
      </c>
      <c r="H2213" s="7" t="s">
        <v>31</v>
      </c>
      <c r="I2213" s="7">
        <v>1.0</v>
      </c>
      <c r="J2213" s="7">
        <v>1.0</v>
      </c>
      <c r="K2213" s="7" t="s">
        <v>31</v>
      </c>
      <c r="L2213" s="8" t="s">
        <v>13378</v>
      </c>
      <c r="M2213" s="6" t="s">
        <v>15128</v>
      </c>
      <c r="N2213" s="6" t="s">
        <v>429</v>
      </c>
      <c r="O2213" s="8" t="s">
        <v>430</v>
      </c>
      <c r="P2213" s="6" t="s">
        <v>13380</v>
      </c>
      <c r="Q2213" s="6" t="s">
        <v>31</v>
      </c>
      <c r="R2213" s="6" t="s">
        <v>31</v>
      </c>
      <c r="S2213" s="8" t="s">
        <v>13381</v>
      </c>
      <c r="T2213" s="6" t="s">
        <v>433</v>
      </c>
      <c r="U2213" s="8" t="s">
        <v>13382</v>
      </c>
      <c r="V2213" s="6" t="s">
        <v>3523</v>
      </c>
      <c r="W2213" s="6" t="s">
        <v>13207</v>
      </c>
      <c r="X2213" s="9" t="str">
        <f>HYPERLINK("https://my.pitchbook.com?p=456477-94P","View People Online")</f>
        <v>View People Online</v>
      </c>
    </row>
    <row r="2214">
      <c r="A2214" s="2" t="s">
        <v>15129</v>
      </c>
      <c r="B2214" s="2" t="s">
        <v>15130</v>
      </c>
      <c r="C2214" s="2" t="s">
        <v>10973</v>
      </c>
      <c r="D2214" s="2" t="s">
        <v>3644</v>
      </c>
      <c r="E2214" s="2" t="s">
        <v>13207</v>
      </c>
      <c r="F2214" s="2" t="s">
        <v>3523</v>
      </c>
      <c r="G2214" s="2" t="s">
        <v>15131</v>
      </c>
      <c r="H2214" s="3" t="s">
        <v>31</v>
      </c>
      <c r="I2214" s="3">
        <v>1.0</v>
      </c>
      <c r="J2214" s="3">
        <v>1.0</v>
      </c>
      <c r="K2214" s="3" t="s">
        <v>31</v>
      </c>
      <c r="L2214" s="4" t="s">
        <v>13642</v>
      </c>
      <c r="M2214" s="2" t="s">
        <v>15132</v>
      </c>
      <c r="N2214" s="2" t="s">
        <v>3334</v>
      </c>
      <c r="O2214" s="4" t="s">
        <v>3335</v>
      </c>
      <c r="P2214" s="2" t="s">
        <v>13644</v>
      </c>
      <c r="Q2214" s="2" t="s">
        <v>13645</v>
      </c>
      <c r="R2214" s="2" t="s">
        <v>31</v>
      </c>
      <c r="S2214" s="4" t="s">
        <v>13646</v>
      </c>
      <c r="T2214" s="2" t="s">
        <v>3339</v>
      </c>
      <c r="U2214" s="4" t="s">
        <v>13647</v>
      </c>
      <c r="V2214" s="2" t="s">
        <v>3523</v>
      </c>
      <c r="W2214" s="2" t="s">
        <v>13207</v>
      </c>
      <c r="X2214" s="5" t="str">
        <f>HYPERLINK("https://my.pitchbook.com?p=435731-32P","View People Online")</f>
        <v>View People Online</v>
      </c>
    </row>
    <row r="2215">
      <c r="A2215" s="14" t="s">
        <v>15133</v>
      </c>
      <c r="B2215" s="14" t="s">
        <v>15134</v>
      </c>
      <c r="C2215" s="14" t="s">
        <v>4314</v>
      </c>
      <c r="D2215" s="14" t="s">
        <v>1317</v>
      </c>
      <c r="E2215" s="14" t="s">
        <v>13207</v>
      </c>
      <c r="F2215" s="14" t="s">
        <v>3523</v>
      </c>
      <c r="G2215" s="14" t="s">
        <v>15135</v>
      </c>
      <c r="H2215" s="15" t="s">
        <v>31</v>
      </c>
      <c r="I2215" s="15">
        <v>1.0</v>
      </c>
      <c r="J2215" s="15">
        <v>1.0</v>
      </c>
      <c r="K2215" s="15" t="s">
        <v>31</v>
      </c>
      <c r="L2215" s="16" t="s">
        <v>13642</v>
      </c>
      <c r="M2215" s="14" t="s">
        <v>15136</v>
      </c>
      <c r="N2215" s="14" t="s">
        <v>3334</v>
      </c>
      <c r="O2215" s="16" t="s">
        <v>3335</v>
      </c>
      <c r="P2215" s="14" t="s">
        <v>13644</v>
      </c>
      <c r="Q2215" s="14" t="s">
        <v>13645</v>
      </c>
      <c r="R2215" s="14" t="s">
        <v>31</v>
      </c>
      <c r="S2215" s="16" t="s">
        <v>13646</v>
      </c>
      <c r="T2215" s="14" t="s">
        <v>3339</v>
      </c>
      <c r="U2215" s="16" t="s">
        <v>13647</v>
      </c>
      <c r="V2215" s="14" t="s">
        <v>3523</v>
      </c>
      <c r="W2215" s="14" t="s">
        <v>13207</v>
      </c>
      <c r="X2215" s="17" t="str">
        <f>HYPERLINK("https://my.pitchbook.com?p=455597-47P","View People Online")</f>
        <v>View People Online</v>
      </c>
    </row>
    <row r="2216">
      <c r="A2216" s="10" t="s">
        <v>15137</v>
      </c>
      <c r="B2216" s="10" t="s">
        <v>15138</v>
      </c>
      <c r="C2216" s="10" t="s">
        <v>15139</v>
      </c>
      <c r="D2216" s="10" t="s">
        <v>1317</v>
      </c>
      <c r="E2216" s="10" t="s">
        <v>13207</v>
      </c>
      <c r="F2216" s="10" t="s">
        <v>3523</v>
      </c>
      <c r="G2216" s="10" t="s">
        <v>15140</v>
      </c>
      <c r="H2216" s="11" t="s">
        <v>31</v>
      </c>
      <c r="I2216" s="11">
        <v>1.0</v>
      </c>
      <c r="J2216" s="11">
        <v>1.0</v>
      </c>
      <c r="K2216" s="11" t="s">
        <v>31</v>
      </c>
      <c r="L2216" s="12" t="s">
        <v>13688</v>
      </c>
      <c r="M2216" s="10" t="s">
        <v>15141</v>
      </c>
      <c r="N2216" s="10" t="s">
        <v>3603</v>
      </c>
      <c r="O2216" s="12" t="s">
        <v>3604</v>
      </c>
      <c r="P2216" s="10" t="s">
        <v>13690</v>
      </c>
      <c r="Q2216" s="10" t="s">
        <v>13691</v>
      </c>
      <c r="R2216" s="10" t="s">
        <v>31</v>
      </c>
      <c r="S2216" s="12" t="s">
        <v>31</v>
      </c>
      <c r="T2216" s="10" t="s">
        <v>3603</v>
      </c>
      <c r="U2216" s="12" t="s">
        <v>13692</v>
      </c>
      <c r="V2216" s="10" t="s">
        <v>3523</v>
      </c>
      <c r="W2216" s="10" t="s">
        <v>13207</v>
      </c>
      <c r="X2216" s="13" t="str">
        <f>HYPERLINK("https://my.pitchbook.com?p=455624-47P","View People Online")</f>
        <v>View People Online</v>
      </c>
    </row>
    <row r="2217">
      <c r="A2217" s="14" t="s">
        <v>15142</v>
      </c>
      <c r="B2217" s="14" t="s">
        <v>15143</v>
      </c>
      <c r="C2217" s="14" t="s">
        <v>15144</v>
      </c>
      <c r="D2217" s="14" t="s">
        <v>15145</v>
      </c>
      <c r="E2217" s="14" t="s">
        <v>13207</v>
      </c>
      <c r="F2217" s="14" t="s">
        <v>13307</v>
      </c>
      <c r="G2217" s="14" t="s">
        <v>15146</v>
      </c>
      <c r="H2217" s="15" t="s">
        <v>31</v>
      </c>
      <c r="I2217" s="15">
        <v>1.0</v>
      </c>
      <c r="J2217" s="15">
        <v>1.0</v>
      </c>
      <c r="K2217" s="15" t="s">
        <v>31</v>
      </c>
      <c r="L2217" s="16" t="s">
        <v>13263</v>
      </c>
      <c r="M2217" s="14" t="s">
        <v>15147</v>
      </c>
      <c r="N2217" s="14" t="s">
        <v>1005</v>
      </c>
      <c r="O2217" s="16" t="s">
        <v>1006</v>
      </c>
      <c r="P2217" s="14" t="s">
        <v>13265</v>
      </c>
      <c r="Q2217" s="14" t="s">
        <v>13266</v>
      </c>
      <c r="R2217" s="14" t="s">
        <v>13267</v>
      </c>
      <c r="S2217" s="16" t="s">
        <v>13268</v>
      </c>
      <c r="T2217" s="14" t="s">
        <v>1010</v>
      </c>
      <c r="U2217" s="16" t="s">
        <v>13269</v>
      </c>
      <c r="V2217" s="14" t="s">
        <v>13317</v>
      </c>
      <c r="W2217" s="14" t="s">
        <v>13207</v>
      </c>
      <c r="X2217" s="17" t="str">
        <f>HYPERLINK("https://my.pitchbook.com?p=435423-16P","View People Online")</f>
        <v>View People Online</v>
      </c>
    </row>
    <row r="2218">
      <c r="A2218" s="2" t="s">
        <v>15148</v>
      </c>
      <c r="B2218" s="2" t="s">
        <v>15149</v>
      </c>
      <c r="C2218" s="2" t="s">
        <v>15150</v>
      </c>
      <c r="D2218" s="2" t="s">
        <v>15151</v>
      </c>
      <c r="E2218" s="2" t="s">
        <v>13207</v>
      </c>
      <c r="F2218" s="2" t="s">
        <v>13240</v>
      </c>
      <c r="G2218" s="2" t="s">
        <v>15152</v>
      </c>
      <c r="H2218" s="3" t="s">
        <v>31</v>
      </c>
      <c r="I2218" s="3">
        <v>1.0</v>
      </c>
      <c r="J2218" s="3">
        <v>1.0</v>
      </c>
      <c r="K2218" s="3" t="s">
        <v>31</v>
      </c>
      <c r="L2218" s="4" t="s">
        <v>13743</v>
      </c>
      <c r="M2218" s="2" t="s">
        <v>15153</v>
      </c>
      <c r="N2218" s="2" t="s">
        <v>1034</v>
      </c>
      <c r="O2218" s="4" t="s">
        <v>1035</v>
      </c>
      <c r="P2218" s="2" t="s">
        <v>13745</v>
      </c>
      <c r="Q2218" s="2" t="s">
        <v>13746</v>
      </c>
      <c r="R2218" s="2" t="s">
        <v>31</v>
      </c>
      <c r="S2218" s="4" t="s">
        <v>13747</v>
      </c>
      <c r="T2218" s="2" t="s">
        <v>1034</v>
      </c>
      <c r="U2218" s="4" t="s">
        <v>13748</v>
      </c>
      <c r="V2218" s="2" t="s">
        <v>13247</v>
      </c>
      <c r="W2218" s="2" t="s">
        <v>13207</v>
      </c>
      <c r="X2218" s="5" t="str">
        <f>HYPERLINK("https://my.pitchbook.com?p=455686-57P","View People Online")</f>
        <v>View People Online</v>
      </c>
    </row>
    <row r="2219">
      <c r="A2219" s="14" t="s">
        <v>15154</v>
      </c>
      <c r="B2219" s="14" t="s">
        <v>15155</v>
      </c>
      <c r="C2219" s="14" t="s">
        <v>1437</v>
      </c>
      <c r="D2219" s="14" t="s">
        <v>1994</v>
      </c>
      <c r="E2219" s="14" t="s">
        <v>13207</v>
      </c>
      <c r="F2219" s="14" t="s">
        <v>13218</v>
      </c>
      <c r="G2219" s="14" t="s">
        <v>15156</v>
      </c>
      <c r="H2219" s="15" t="s">
        <v>31</v>
      </c>
      <c r="I2219" s="15">
        <v>1.0</v>
      </c>
      <c r="J2219" s="15">
        <v>1.0</v>
      </c>
      <c r="K2219" s="15" t="s">
        <v>31</v>
      </c>
      <c r="L2219" s="16" t="s">
        <v>14201</v>
      </c>
      <c r="M2219" s="14" t="s">
        <v>15157</v>
      </c>
      <c r="N2219" s="14" t="s">
        <v>14203</v>
      </c>
      <c r="O2219" s="16" t="s">
        <v>14204</v>
      </c>
      <c r="P2219" s="14" t="s">
        <v>14205</v>
      </c>
      <c r="Q2219" s="14" t="s">
        <v>14206</v>
      </c>
      <c r="R2219" s="14" t="s">
        <v>1420</v>
      </c>
      <c r="S2219" s="16" t="s">
        <v>14207</v>
      </c>
      <c r="T2219" s="14" t="s">
        <v>66</v>
      </c>
      <c r="U2219" s="16" t="s">
        <v>14208</v>
      </c>
      <c r="V2219" s="14" t="s">
        <v>15158</v>
      </c>
      <c r="W2219" s="14" t="s">
        <v>13207</v>
      </c>
      <c r="X2219" s="17" t="str">
        <f>HYPERLINK("https://my.pitchbook.com?p=456586-21P","View People Online")</f>
        <v>View People Online</v>
      </c>
    </row>
    <row r="2220">
      <c r="A2220" s="10" t="s">
        <v>15159</v>
      </c>
      <c r="B2220" s="10" t="s">
        <v>15160</v>
      </c>
      <c r="C2220" s="10" t="s">
        <v>1437</v>
      </c>
      <c r="D2220" s="10" t="s">
        <v>15161</v>
      </c>
      <c r="E2220" s="10" t="s">
        <v>13207</v>
      </c>
      <c r="F2220" s="10" t="s">
        <v>3523</v>
      </c>
      <c r="G2220" s="10" t="s">
        <v>15162</v>
      </c>
      <c r="H2220" s="11" t="s">
        <v>31</v>
      </c>
      <c r="I2220" s="11">
        <v>1.0</v>
      </c>
      <c r="J2220" s="11">
        <v>1.0</v>
      </c>
      <c r="K2220" s="11" t="s">
        <v>31</v>
      </c>
      <c r="L2220" s="12" t="s">
        <v>13274</v>
      </c>
      <c r="M2220" s="10" t="s">
        <v>15163</v>
      </c>
      <c r="N2220" s="10" t="s">
        <v>1181</v>
      </c>
      <c r="O2220" s="12" t="s">
        <v>1182</v>
      </c>
      <c r="P2220" s="10" t="s">
        <v>13276</v>
      </c>
      <c r="Q2220" s="10" t="s">
        <v>31</v>
      </c>
      <c r="R2220" s="10" t="s">
        <v>1185</v>
      </c>
      <c r="S2220" s="12" t="s">
        <v>4438</v>
      </c>
      <c r="T2220" s="10" t="s">
        <v>66</v>
      </c>
      <c r="U2220" s="12" t="s">
        <v>13277</v>
      </c>
      <c r="V2220" s="10" t="s">
        <v>3523</v>
      </c>
      <c r="W2220" s="10" t="s">
        <v>13207</v>
      </c>
      <c r="X2220" s="13" t="str">
        <f>HYPERLINK("https://my.pitchbook.com?p=455461-84P","View People Online")</f>
        <v>View People Online</v>
      </c>
    </row>
    <row r="2221">
      <c r="A2221" s="14" t="s">
        <v>15164</v>
      </c>
      <c r="B2221" s="14" t="s">
        <v>15165</v>
      </c>
      <c r="C2221" s="14" t="s">
        <v>1437</v>
      </c>
      <c r="D2221" s="14" t="s">
        <v>15166</v>
      </c>
      <c r="E2221" s="14" t="s">
        <v>13207</v>
      </c>
      <c r="F2221" s="14" t="s">
        <v>13218</v>
      </c>
      <c r="G2221" s="14" t="s">
        <v>15167</v>
      </c>
      <c r="H2221" s="15" t="s">
        <v>31</v>
      </c>
      <c r="I2221" s="15">
        <v>1.0</v>
      </c>
      <c r="J2221" s="15">
        <v>1.0</v>
      </c>
      <c r="K2221" s="15" t="s">
        <v>31</v>
      </c>
      <c r="L2221" s="16" t="s">
        <v>13423</v>
      </c>
      <c r="M2221" s="14" t="s">
        <v>15168</v>
      </c>
      <c r="N2221" s="14" t="s">
        <v>243</v>
      </c>
      <c r="O2221" s="16" t="s">
        <v>244</v>
      </c>
      <c r="P2221" s="14" t="s">
        <v>13425</v>
      </c>
      <c r="Q2221" s="14" t="s">
        <v>31</v>
      </c>
      <c r="R2221" s="14" t="s">
        <v>247</v>
      </c>
      <c r="S2221" s="16" t="s">
        <v>13426</v>
      </c>
      <c r="T2221" s="14" t="s">
        <v>249</v>
      </c>
      <c r="U2221" s="16" t="s">
        <v>31</v>
      </c>
      <c r="V2221" s="14" t="s">
        <v>13218</v>
      </c>
      <c r="W2221" s="14" t="s">
        <v>13207</v>
      </c>
      <c r="X2221" s="17" t="str">
        <f>HYPERLINK("https://my.pitchbook.com?p=435664-45P","View People Online")</f>
        <v>View People Online</v>
      </c>
    </row>
    <row r="2222">
      <c r="A2222" s="2" t="s">
        <v>15169</v>
      </c>
      <c r="B2222" s="2" t="s">
        <v>15170</v>
      </c>
      <c r="C2222" s="2" t="s">
        <v>1437</v>
      </c>
      <c r="D2222" s="2" t="s">
        <v>15171</v>
      </c>
      <c r="E2222" s="2" t="s">
        <v>13207</v>
      </c>
      <c r="F2222" s="2" t="s">
        <v>13218</v>
      </c>
      <c r="G2222" s="2" t="s">
        <v>15172</v>
      </c>
      <c r="H2222" s="3" t="s">
        <v>31</v>
      </c>
      <c r="I2222" s="3">
        <v>1.0</v>
      </c>
      <c r="J2222" s="3">
        <v>1.0</v>
      </c>
      <c r="K2222" s="3" t="s">
        <v>31</v>
      </c>
      <c r="L2222" s="4" t="s">
        <v>13839</v>
      </c>
      <c r="M2222" s="2" t="s">
        <v>15173</v>
      </c>
      <c r="N2222" s="2" t="s">
        <v>11029</v>
      </c>
      <c r="O2222" s="4" t="s">
        <v>11030</v>
      </c>
      <c r="P2222" s="2" t="s">
        <v>13841</v>
      </c>
      <c r="Q2222" s="2" t="s">
        <v>13842</v>
      </c>
      <c r="R2222" s="2" t="s">
        <v>10017</v>
      </c>
      <c r="S2222" s="4" t="s">
        <v>13843</v>
      </c>
      <c r="T2222" s="2" t="s">
        <v>66</v>
      </c>
      <c r="U2222" s="4" t="s">
        <v>13844</v>
      </c>
      <c r="V2222" s="2" t="s">
        <v>13218</v>
      </c>
      <c r="W2222" s="2" t="s">
        <v>13207</v>
      </c>
      <c r="X2222" s="5" t="str">
        <f>HYPERLINK("https://my.pitchbook.com?p=435285-10P","View People Online")</f>
        <v>View People Online</v>
      </c>
    </row>
    <row r="2223">
      <c r="A2223" s="14" t="s">
        <v>15174</v>
      </c>
      <c r="B2223" s="14" t="s">
        <v>15175</v>
      </c>
      <c r="C2223" s="14" t="s">
        <v>1437</v>
      </c>
      <c r="D2223" s="14" t="s">
        <v>15176</v>
      </c>
      <c r="E2223" s="14" t="s">
        <v>13207</v>
      </c>
      <c r="F2223" s="14" t="s">
        <v>3523</v>
      </c>
      <c r="G2223" s="14" t="s">
        <v>15177</v>
      </c>
      <c r="H2223" s="15" t="s">
        <v>31</v>
      </c>
      <c r="I2223" s="15">
        <v>1.0</v>
      </c>
      <c r="J2223" s="15">
        <v>1.0</v>
      </c>
      <c r="K2223" s="15" t="s">
        <v>31</v>
      </c>
      <c r="L2223" s="16" t="s">
        <v>15178</v>
      </c>
      <c r="M2223" s="14" t="s">
        <v>15179</v>
      </c>
      <c r="N2223" s="14" t="s">
        <v>7258</v>
      </c>
      <c r="O2223" s="16" t="s">
        <v>7259</v>
      </c>
      <c r="P2223" s="14" t="s">
        <v>15180</v>
      </c>
      <c r="Q2223" s="14" t="s">
        <v>15181</v>
      </c>
      <c r="R2223" s="14" t="s">
        <v>7262</v>
      </c>
      <c r="S2223" s="16" t="s">
        <v>7263</v>
      </c>
      <c r="T2223" s="14" t="s">
        <v>5484</v>
      </c>
      <c r="U2223" s="16" t="s">
        <v>15182</v>
      </c>
      <c r="V2223" s="14" t="s">
        <v>3523</v>
      </c>
      <c r="W2223" s="14" t="s">
        <v>13207</v>
      </c>
      <c r="X2223" s="17" t="str">
        <f>HYPERLINK("https://my.pitchbook.com?p=436161-97P","View People Online")</f>
        <v>View People Online</v>
      </c>
    </row>
    <row r="2224">
      <c r="A2224" s="10" t="s">
        <v>15183</v>
      </c>
      <c r="B2224" s="10" t="s">
        <v>15184</v>
      </c>
      <c r="C2224" s="10" t="s">
        <v>1437</v>
      </c>
      <c r="D2224" s="10" t="s">
        <v>15185</v>
      </c>
      <c r="E2224" s="10" t="s">
        <v>13207</v>
      </c>
      <c r="F2224" s="10" t="s">
        <v>3523</v>
      </c>
      <c r="G2224" s="10" t="s">
        <v>15186</v>
      </c>
      <c r="H2224" s="11" t="s">
        <v>31</v>
      </c>
      <c r="I2224" s="11">
        <v>1.0</v>
      </c>
      <c r="J2224" s="11">
        <v>1.0</v>
      </c>
      <c r="K2224" s="11" t="s">
        <v>31</v>
      </c>
      <c r="L2224" s="12" t="s">
        <v>13220</v>
      </c>
      <c r="M2224" s="10" t="s">
        <v>15187</v>
      </c>
      <c r="N2224" s="10" t="s">
        <v>2478</v>
      </c>
      <c r="O2224" s="12" t="s">
        <v>7332</v>
      </c>
      <c r="P2224" s="10" t="s">
        <v>13222</v>
      </c>
      <c r="Q2224" s="10" t="s">
        <v>13223</v>
      </c>
      <c r="R2224" s="10" t="s">
        <v>7335</v>
      </c>
      <c r="S2224" s="12" t="s">
        <v>7336</v>
      </c>
      <c r="T2224" s="10" t="s">
        <v>5484</v>
      </c>
      <c r="U2224" s="12" t="s">
        <v>13224</v>
      </c>
      <c r="V2224" s="10" t="s">
        <v>3523</v>
      </c>
      <c r="W2224" s="10" t="s">
        <v>13207</v>
      </c>
      <c r="X2224" s="13" t="str">
        <f>HYPERLINK("https://my.pitchbook.com?p=435950-02P","View People Online")</f>
        <v>View People Online</v>
      </c>
    </row>
    <row r="2225">
      <c r="A2225" s="6" t="s">
        <v>15188</v>
      </c>
      <c r="B2225" s="6" t="s">
        <v>15189</v>
      </c>
      <c r="C2225" s="6" t="s">
        <v>1437</v>
      </c>
      <c r="D2225" s="6" t="s">
        <v>15190</v>
      </c>
      <c r="E2225" s="6" t="s">
        <v>13207</v>
      </c>
      <c r="F2225" s="6" t="s">
        <v>3523</v>
      </c>
      <c r="G2225" s="6" t="s">
        <v>15191</v>
      </c>
      <c r="H2225" s="7" t="s">
        <v>31</v>
      </c>
      <c r="I2225" s="7">
        <v>1.0</v>
      </c>
      <c r="J2225" s="7">
        <v>1.0</v>
      </c>
      <c r="K2225" s="7" t="s">
        <v>31</v>
      </c>
      <c r="L2225" s="8" t="s">
        <v>13423</v>
      </c>
      <c r="M2225" s="6" t="s">
        <v>15192</v>
      </c>
      <c r="N2225" s="6" t="s">
        <v>243</v>
      </c>
      <c r="O2225" s="8" t="s">
        <v>244</v>
      </c>
      <c r="P2225" s="6" t="s">
        <v>13425</v>
      </c>
      <c r="Q2225" s="6" t="s">
        <v>31</v>
      </c>
      <c r="R2225" s="6" t="s">
        <v>247</v>
      </c>
      <c r="S2225" s="8" t="s">
        <v>13426</v>
      </c>
      <c r="T2225" s="6" t="s">
        <v>249</v>
      </c>
      <c r="U2225" s="8" t="s">
        <v>31</v>
      </c>
      <c r="V2225" s="6" t="s">
        <v>3523</v>
      </c>
      <c r="W2225" s="6" t="s">
        <v>13207</v>
      </c>
      <c r="X2225" s="9" t="str">
        <f>HYPERLINK("https://my.pitchbook.com?p=456252-58P","View People Online")</f>
        <v>View People Online</v>
      </c>
    </row>
    <row r="2226">
      <c r="A2226" s="2" t="s">
        <v>15193</v>
      </c>
      <c r="B2226" s="2" t="s">
        <v>15194</v>
      </c>
      <c r="C2226" s="2" t="s">
        <v>263</v>
      </c>
      <c r="D2226" s="2" t="s">
        <v>5844</v>
      </c>
      <c r="E2226" s="2" t="s">
        <v>13207</v>
      </c>
      <c r="F2226" s="2" t="s">
        <v>1283</v>
      </c>
      <c r="G2226" s="2" t="s">
        <v>15195</v>
      </c>
      <c r="H2226" s="3" t="s">
        <v>31</v>
      </c>
      <c r="I2226" s="3">
        <v>1.0</v>
      </c>
      <c r="J2226" s="3">
        <v>1.0</v>
      </c>
      <c r="K2226" s="3" t="s">
        <v>31</v>
      </c>
      <c r="L2226" s="4" t="s">
        <v>14142</v>
      </c>
      <c r="M2226" s="2" t="s">
        <v>15196</v>
      </c>
      <c r="N2226" s="2" t="s">
        <v>273</v>
      </c>
      <c r="O2226" s="4" t="s">
        <v>274</v>
      </c>
      <c r="P2226" s="2" t="s">
        <v>14144</v>
      </c>
      <c r="Q2226" s="2" t="s">
        <v>31</v>
      </c>
      <c r="R2226" s="2" t="s">
        <v>31</v>
      </c>
      <c r="S2226" s="4" t="s">
        <v>14145</v>
      </c>
      <c r="T2226" s="2" t="s">
        <v>276</v>
      </c>
      <c r="U2226" s="4" t="s">
        <v>14146</v>
      </c>
      <c r="V2226" s="2" t="s">
        <v>1283</v>
      </c>
      <c r="W2226" s="2" t="s">
        <v>13207</v>
      </c>
      <c r="X2226" s="5" t="str">
        <f>HYPERLINK("https://my.pitchbook.com?p=435147-67P","View People Online")</f>
        <v>View People Online</v>
      </c>
    </row>
    <row r="2227">
      <c r="A2227" s="6" t="s">
        <v>15197</v>
      </c>
      <c r="B2227" s="6" t="s">
        <v>15198</v>
      </c>
      <c r="C2227" s="6" t="s">
        <v>263</v>
      </c>
      <c r="D2227" s="6" t="s">
        <v>15199</v>
      </c>
      <c r="E2227" s="6" t="s">
        <v>13207</v>
      </c>
      <c r="F2227" s="6" t="s">
        <v>3523</v>
      </c>
      <c r="G2227" s="6" t="s">
        <v>15200</v>
      </c>
      <c r="H2227" s="7" t="s">
        <v>31</v>
      </c>
      <c r="I2227" s="7">
        <v>1.0</v>
      </c>
      <c r="J2227" s="7">
        <v>1.0</v>
      </c>
      <c r="K2227" s="7" t="s">
        <v>31</v>
      </c>
      <c r="L2227" s="8" t="s">
        <v>14142</v>
      </c>
      <c r="M2227" s="6" t="s">
        <v>15201</v>
      </c>
      <c r="N2227" s="6" t="s">
        <v>273</v>
      </c>
      <c r="O2227" s="8" t="s">
        <v>274</v>
      </c>
      <c r="P2227" s="6" t="s">
        <v>14144</v>
      </c>
      <c r="Q2227" s="6" t="s">
        <v>31</v>
      </c>
      <c r="R2227" s="6" t="s">
        <v>31</v>
      </c>
      <c r="S2227" s="8" t="s">
        <v>14145</v>
      </c>
      <c r="T2227" s="6" t="s">
        <v>276</v>
      </c>
      <c r="U2227" s="8" t="s">
        <v>14146</v>
      </c>
      <c r="V2227" s="6" t="s">
        <v>3523</v>
      </c>
      <c r="W2227" s="6" t="s">
        <v>13207</v>
      </c>
      <c r="X2227" s="9" t="str">
        <f>HYPERLINK("https://my.pitchbook.com?p=389098-27P","View People Online")</f>
        <v>View People Online</v>
      </c>
    </row>
    <row r="2228">
      <c r="A2228" s="10" t="s">
        <v>15202</v>
      </c>
      <c r="B2228" s="10" t="s">
        <v>15203</v>
      </c>
      <c r="C2228" s="10" t="s">
        <v>263</v>
      </c>
      <c r="D2228" s="10" t="s">
        <v>15204</v>
      </c>
      <c r="E2228" s="10" t="s">
        <v>13207</v>
      </c>
      <c r="F2228" s="10" t="s">
        <v>3523</v>
      </c>
      <c r="G2228" s="10" t="s">
        <v>15205</v>
      </c>
      <c r="H2228" s="11" t="s">
        <v>31</v>
      </c>
      <c r="I2228" s="11">
        <v>1.0</v>
      </c>
      <c r="J2228" s="11">
        <v>1.0</v>
      </c>
      <c r="K2228" s="11" t="s">
        <v>31</v>
      </c>
      <c r="L2228" s="12" t="s">
        <v>13242</v>
      </c>
      <c r="M2228" s="10" t="s">
        <v>15206</v>
      </c>
      <c r="N2228" s="10" t="s">
        <v>9865</v>
      </c>
      <c r="O2228" s="12" t="s">
        <v>9866</v>
      </c>
      <c r="P2228" s="10" t="s">
        <v>13244</v>
      </c>
      <c r="Q2228" s="10" t="s">
        <v>31</v>
      </c>
      <c r="R2228" s="10" t="s">
        <v>31</v>
      </c>
      <c r="S2228" s="12" t="s">
        <v>13245</v>
      </c>
      <c r="T2228" s="10" t="s">
        <v>38</v>
      </c>
      <c r="U2228" s="12" t="s">
        <v>13246</v>
      </c>
      <c r="V2228" s="10" t="s">
        <v>3523</v>
      </c>
      <c r="W2228" s="10" t="s">
        <v>13207</v>
      </c>
      <c r="X2228" s="13" t="str">
        <f>HYPERLINK("https://my.pitchbook.com?p=456258-97P","View People Online")</f>
        <v>View People Online</v>
      </c>
    </row>
    <row r="2229">
      <c r="A2229" s="14" t="s">
        <v>15207</v>
      </c>
      <c r="B2229" s="14" t="s">
        <v>15208</v>
      </c>
      <c r="C2229" s="14" t="s">
        <v>263</v>
      </c>
      <c r="D2229" s="14" t="s">
        <v>15209</v>
      </c>
      <c r="E2229" s="14" t="s">
        <v>13207</v>
      </c>
      <c r="F2229" s="14" t="s">
        <v>3523</v>
      </c>
      <c r="G2229" s="14" t="s">
        <v>15210</v>
      </c>
      <c r="H2229" s="15" t="s">
        <v>31</v>
      </c>
      <c r="I2229" s="15">
        <v>1.0</v>
      </c>
      <c r="J2229" s="15">
        <v>1.0</v>
      </c>
      <c r="K2229" s="15" t="s">
        <v>31</v>
      </c>
      <c r="L2229" s="16" t="s">
        <v>13673</v>
      </c>
      <c r="M2229" s="14" t="s">
        <v>15211</v>
      </c>
      <c r="N2229" s="14" t="s">
        <v>6311</v>
      </c>
      <c r="O2229" s="16" t="s">
        <v>6312</v>
      </c>
      <c r="P2229" s="14" t="s">
        <v>13675</v>
      </c>
      <c r="Q2229" s="14" t="s">
        <v>31</v>
      </c>
      <c r="R2229" s="14" t="s">
        <v>31</v>
      </c>
      <c r="S2229" s="16" t="s">
        <v>13676</v>
      </c>
      <c r="T2229" s="14" t="s">
        <v>6315</v>
      </c>
      <c r="U2229" s="16" t="s">
        <v>13677</v>
      </c>
      <c r="V2229" s="14" t="s">
        <v>3523</v>
      </c>
      <c r="W2229" s="14" t="s">
        <v>13207</v>
      </c>
      <c r="X2229" s="17" t="str">
        <f>HYPERLINK("https://my.pitchbook.com?p=456418-81P","View People Online")</f>
        <v>View People Online</v>
      </c>
    </row>
    <row r="2230">
      <c r="A2230" s="10" t="s">
        <v>15212</v>
      </c>
      <c r="B2230" s="10" t="s">
        <v>15213</v>
      </c>
      <c r="C2230" s="10" t="s">
        <v>263</v>
      </c>
      <c r="D2230" s="10" t="s">
        <v>15214</v>
      </c>
      <c r="E2230" s="10" t="s">
        <v>13207</v>
      </c>
      <c r="F2230" s="10" t="s">
        <v>3523</v>
      </c>
      <c r="G2230" s="10" t="s">
        <v>15215</v>
      </c>
      <c r="H2230" s="11" t="s">
        <v>31</v>
      </c>
      <c r="I2230" s="11">
        <v>1.0</v>
      </c>
      <c r="J2230" s="11">
        <v>1.0</v>
      </c>
      <c r="K2230" s="11" t="s">
        <v>31</v>
      </c>
      <c r="L2230" s="12" t="s">
        <v>15050</v>
      </c>
      <c r="M2230" s="10" t="s">
        <v>15216</v>
      </c>
      <c r="N2230" s="10" t="s">
        <v>15052</v>
      </c>
      <c r="O2230" s="12" t="s">
        <v>15053</v>
      </c>
      <c r="P2230" s="10" t="s">
        <v>15054</v>
      </c>
      <c r="Q2230" s="10" t="s">
        <v>15055</v>
      </c>
      <c r="R2230" s="10" t="s">
        <v>31</v>
      </c>
      <c r="S2230" s="12" t="s">
        <v>15056</v>
      </c>
      <c r="T2230" s="10" t="s">
        <v>38</v>
      </c>
      <c r="U2230" s="12" t="s">
        <v>15057</v>
      </c>
      <c r="V2230" s="10" t="s">
        <v>3523</v>
      </c>
      <c r="W2230" s="10" t="s">
        <v>13207</v>
      </c>
      <c r="X2230" s="13" t="str">
        <f>HYPERLINK("https://my.pitchbook.com?p=435116-62P","View People Online")</f>
        <v>View People Online</v>
      </c>
    </row>
    <row r="2231">
      <c r="A2231" s="14" t="s">
        <v>15217</v>
      </c>
      <c r="B2231" s="14" t="s">
        <v>15218</v>
      </c>
      <c r="C2231" s="14" t="s">
        <v>263</v>
      </c>
      <c r="D2231" s="14" t="s">
        <v>15219</v>
      </c>
      <c r="E2231" s="14" t="s">
        <v>13207</v>
      </c>
      <c r="F2231" s="14" t="s">
        <v>13218</v>
      </c>
      <c r="G2231" s="14" t="s">
        <v>15220</v>
      </c>
      <c r="H2231" s="15" t="s">
        <v>31</v>
      </c>
      <c r="I2231" s="15">
        <v>1.0</v>
      </c>
      <c r="J2231" s="15">
        <v>1.0</v>
      </c>
      <c r="K2231" s="15" t="s">
        <v>31</v>
      </c>
      <c r="L2231" s="16" t="s">
        <v>13252</v>
      </c>
      <c r="M2231" s="14" t="s">
        <v>15221</v>
      </c>
      <c r="N2231" s="14" t="s">
        <v>13254</v>
      </c>
      <c r="O2231" s="16" t="s">
        <v>13255</v>
      </c>
      <c r="P2231" s="14" t="s">
        <v>13256</v>
      </c>
      <c r="Q2231" s="14" t="s">
        <v>31</v>
      </c>
      <c r="R2231" s="14" t="s">
        <v>31</v>
      </c>
      <c r="S2231" s="16" t="s">
        <v>13257</v>
      </c>
      <c r="T2231" s="14" t="s">
        <v>13258</v>
      </c>
      <c r="U2231" s="16" t="s">
        <v>13259</v>
      </c>
      <c r="V2231" s="14" t="s">
        <v>13218</v>
      </c>
      <c r="W2231" s="14" t="s">
        <v>13207</v>
      </c>
      <c r="X2231" s="17" t="str">
        <f>HYPERLINK("https://my.pitchbook.com?p=435661-30P","View People Online")</f>
        <v>View People Online</v>
      </c>
    </row>
    <row r="2232">
      <c r="A2232" s="2" t="s">
        <v>15222</v>
      </c>
      <c r="B2232" s="2" t="s">
        <v>15223</v>
      </c>
      <c r="C2232" s="2" t="s">
        <v>263</v>
      </c>
      <c r="D2232" s="2" t="s">
        <v>15224</v>
      </c>
      <c r="E2232" s="2" t="s">
        <v>13207</v>
      </c>
      <c r="F2232" s="2" t="s">
        <v>3523</v>
      </c>
      <c r="G2232" s="2" t="s">
        <v>15225</v>
      </c>
      <c r="H2232" s="3" t="s">
        <v>31</v>
      </c>
      <c r="I2232" s="3">
        <v>3.0</v>
      </c>
      <c r="J2232" s="3">
        <v>2.0</v>
      </c>
      <c r="K2232" s="3">
        <v>1.0</v>
      </c>
      <c r="L2232" s="4" t="s">
        <v>13274</v>
      </c>
      <c r="M2232" s="2" t="s">
        <v>15226</v>
      </c>
      <c r="N2232" s="2" t="s">
        <v>1181</v>
      </c>
      <c r="O2232" s="4" t="s">
        <v>1182</v>
      </c>
      <c r="P2232" s="2" t="s">
        <v>13276</v>
      </c>
      <c r="Q2232" s="2" t="s">
        <v>31</v>
      </c>
      <c r="R2232" s="2" t="s">
        <v>1185</v>
      </c>
      <c r="S2232" s="4" t="s">
        <v>4438</v>
      </c>
      <c r="T2232" s="2" t="s">
        <v>66</v>
      </c>
      <c r="U2232" s="4" t="s">
        <v>13277</v>
      </c>
      <c r="V2232" s="2" t="s">
        <v>3523</v>
      </c>
      <c r="W2232" s="2" t="s">
        <v>13207</v>
      </c>
      <c r="X2232" s="5" t="str">
        <f>HYPERLINK("https://my.pitchbook.com?p=204636-25P","View People Online")</f>
        <v>View People Online</v>
      </c>
    </row>
    <row r="2233">
      <c r="A2233" s="6" t="s">
        <v>15227</v>
      </c>
      <c r="B2233" s="6" t="s">
        <v>15228</v>
      </c>
      <c r="C2233" s="6" t="s">
        <v>263</v>
      </c>
      <c r="D2233" s="6" t="s">
        <v>15229</v>
      </c>
      <c r="E2233" s="6" t="s">
        <v>13207</v>
      </c>
      <c r="F2233" s="6" t="s">
        <v>3523</v>
      </c>
      <c r="G2233" s="6" t="s">
        <v>15230</v>
      </c>
      <c r="H2233" s="7" t="s">
        <v>31</v>
      </c>
      <c r="I2233" s="7">
        <v>1.0</v>
      </c>
      <c r="J2233" s="7">
        <v>1.0</v>
      </c>
      <c r="K2233" s="7" t="s">
        <v>31</v>
      </c>
      <c r="L2233" s="8" t="s">
        <v>13459</v>
      </c>
      <c r="M2233" s="6" t="s">
        <v>15231</v>
      </c>
      <c r="N2233" s="6" t="s">
        <v>3100</v>
      </c>
      <c r="O2233" s="8" t="s">
        <v>3101</v>
      </c>
      <c r="P2233" s="6" t="s">
        <v>13461</v>
      </c>
      <c r="Q2233" s="6" t="s">
        <v>31</v>
      </c>
      <c r="R2233" s="6" t="s">
        <v>31</v>
      </c>
      <c r="S2233" s="8" t="s">
        <v>3103</v>
      </c>
      <c r="T2233" s="6" t="s">
        <v>3104</v>
      </c>
      <c r="U2233" s="8" t="s">
        <v>13462</v>
      </c>
      <c r="V2233" s="6" t="s">
        <v>3523</v>
      </c>
      <c r="W2233" s="6" t="s">
        <v>13207</v>
      </c>
      <c r="X2233" s="9" t="str">
        <f>HYPERLINK("https://my.pitchbook.com?p=435842-92P","View People Online")</f>
        <v>View People Online</v>
      </c>
    </row>
    <row r="2234">
      <c r="A2234" s="2" t="s">
        <v>15232</v>
      </c>
      <c r="B2234" s="2" t="s">
        <v>15233</v>
      </c>
      <c r="C2234" s="2" t="s">
        <v>263</v>
      </c>
      <c r="D2234" s="2" t="s">
        <v>15234</v>
      </c>
      <c r="E2234" s="2" t="s">
        <v>13207</v>
      </c>
      <c r="F2234" s="2" t="s">
        <v>13218</v>
      </c>
      <c r="G2234" s="2" t="s">
        <v>15235</v>
      </c>
      <c r="H2234" s="3" t="s">
        <v>31</v>
      </c>
      <c r="I2234" s="3">
        <v>1.0</v>
      </c>
      <c r="J2234" s="3">
        <v>1.0</v>
      </c>
      <c r="K2234" s="3" t="s">
        <v>31</v>
      </c>
      <c r="L2234" s="4" t="s">
        <v>13252</v>
      </c>
      <c r="M2234" s="2" t="s">
        <v>15236</v>
      </c>
      <c r="N2234" s="2" t="s">
        <v>13254</v>
      </c>
      <c r="O2234" s="4" t="s">
        <v>13255</v>
      </c>
      <c r="P2234" s="2" t="s">
        <v>13256</v>
      </c>
      <c r="Q2234" s="2" t="s">
        <v>31</v>
      </c>
      <c r="R2234" s="2" t="s">
        <v>31</v>
      </c>
      <c r="S2234" s="4" t="s">
        <v>13257</v>
      </c>
      <c r="T2234" s="2" t="s">
        <v>13258</v>
      </c>
      <c r="U2234" s="4" t="s">
        <v>13259</v>
      </c>
      <c r="V2234" s="2" t="s">
        <v>13218</v>
      </c>
      <c r="W2234" s="2" t="s">
        <v>13207</v>
      </c>
      <c r="X2234" s="5" t="str">
        <f>HYPERLINK("https://my.pitchbook.com?p=435611-44P","View People Online")</f>
        <v>View People Online</v>
      </c>
    </row>
    <row r="2235">
      <c r="A2235" s="6" t="s">
        <v>15237</v>
      </c>
      <c r="B2235" s="6" t="s">
        <v>15238</v>
      </c>
      <c r="C2235" s="6" t="s">
        <v>263</v>
      </c>
      <c r="D2235" s="6" t="s">
        <v>15239</v>
      </c>
      <c r="E2235" s="6" t="s">
        <v>13207</v>
      </c>
      <c r="F2235" s="6" t="s">
        <v>13218</v>
      </c>
      <c r="G2235" s="6" t="s">
        <v>15240</v>
      </c>
      <c r="H2235" s="7" t="s">
        <v>31</v>
      </c>
      <c r="I2235" s="7">
        <v>1.0</v>
      </c>
      <c r="J2235" s="7">
        <v>1.0</v>
      </c>
      <c r="K2235" s="7" t="s">
        <v>31</v>
      </c>
      <c r="L2235" s="8" t="s">
        <v>13299</v>
      </c>
      <c r="M2235" s="6" t="s">
        <v>15241</v>
      </c>
      <c r="N2235" s="6" t="s">
        <v>601</v>
      </c>
      <c r="O2235" s="8" t="s">
        <v>602</v>
      </c>
      <c r="P2235" s="6" t="s">
        <v>13301</v>
      </c>
      <c r="Q2235" s="6" t="s">
        <v>13302</v>
      </c>
      <c r="R2235" s="6" t="s">
        <v>31</v>
      </c>
      <c r="S2235" s="8" t="s">
        <v>31</v>
      </c>
      <c r="T2235" s="6" t="s">
        <v>603</v>
      </c>
      <c r="U2235" s="8" t="s">
        <v>13303</v>
      </c>
      <c r="V2235" s="6" t="s">
        <v>13218</v>
      </c>
      <c r="W2235" s="6" t="s">
        <v>13207</v>
      </c>
      <c r="X2235" s="9" t="str">
        <f>HYPERLINK("https://my.pitchbook.com?p=456826-69P","View People Online")</f>
        <v>View People Online</v>
      </c>
    </row>
    <row r="2236">
      <c r="A2236" s="2" t="s">
        <v>15242</v>
      </c>
      <c r="B2236" s="2" t="s">
        <v>15243</v>
      </c>
      <c r="C2236" s="2" t="s">
        <v>263</v>
      </c>
      <c r="D2236" s="2" t="s">
        <v>15244</v>
      </c>
      <c r="E2236" s="2" t="s">
        <v>13207</v>
      </c>
      <c r="F2236" s="2" t="s">
        <v>3523</v>
      </c>
      <c r="G2236" s="2" t="s">
        <v>15245</v>
      </c>
      <c r="H2236" s="3" t="s">
        <v>31</v>
      </c>
      <c r="I2236" s="3">
        <v>1.0</v>
      </c>
      <c r="J2236" s="3">
        <v>1.0</v>
      </c>
      <c r="K2236" s="3" t="s">
        <v>31</v>
      </c>
      <c r="L2236" s="4" t="s">
        <v>14014</v>
      </c>
      <c r="M2236" s="2" t="s">
        <v>15246</v>
      </c>
      <c r="N2236" s="2" t="s">
        <v>14016</v>
      </c>
      <c r="O2236" s="4" t="s">
        <v>14017</v>
      </c>
      <c r="P2236" s="2" t="s">
        <v>14018</v>
      </c>
      <c r="Q2236" s="2" t="s">
        <v>14019</v>
      </c>
      <c r="R2236" s="2" t="s">
        <v>31</v>
      </c>
      <c r="S2236" s="4" t="s">
        <v>14020</v>
      </c>
      <c r="T2236" s="2" t="s">
        <v>38</v>
      </c>
      <c r="U2236" s="4" t="s">
        <v>14014</v>
      </c>
      <c r="V2236" s="2" t="s">
        <v>3523</v>
      </c>
      <c r="W2236" s="2" t="s">
        <v>13207</v>
      </c>
      <c r="X2236" s="5" t="str">
        <f>HYPERLINK("https://my.pitchbook.com?p=436412-08P","View People Online")</f>
        <v>View People Online</v>
      </c>
    </row>
    <row r="2237">
      <c r="A2237" s="14" t="s">
        <v>15247</v>
      </c>
      <c r="B2237" s="14" t="s">
        <v>15248</v>
      </c>
      <c r="C2237" s="14" t="s">
        <v>263</v>
      </c>
      <c r="D2237" s="14" t="s">
        <v>8594</v>
      </c>
      <c r="E2237" s="14" t="s">
        <v>13207</v>
      </c>
      <c r="F2237" s="14" t="s">
        <v>13240</v>
      </c>
      <c r="G2237" s="14" t="s">
        <v>15249</v>
      </c>
      <c r="H2237" s="15" t="s">
        <v>31</v>
      </c>
      <c r="I2237" s="15">
        <v>1.0</v>
      </c>
      <c r="J2237" s="15">
        <v>1.0</v>
      </c>
      <c r="K2237" s="15" t="s">
        <v>31</v>
      </c>
      <c r="L2237" s="16" t="s">
        <v>13734</v>
      </c>
      <c r="M2237" s="14" t="s">
        <v>15250</v>
      </c>
      <c r="N2237" s="14" t="s">
        <v>2754</v>
      </c>
      <c r="O2237" s="16" t="s">
        <v>2755</v>
      </c>
      <c r="P2237" s="14" t="s">
        <v>13736</v>
      </c>
      <c r="Q2237" s="14" t="s">
        <v>31</v>
      </c>
      <c r="R2237" s="14" t="s">
        <v>31</v>
      </c>
      <c r="S2237" s="16" t="s">
        <v>13737</v>
      </c>
      <c r="T2237" s="14" t="s">
        <v>38</v>
      </c>
      <c r="U2237" s="16" t="s">
        <v>13738</v>
      </c>
      <c r="V2237" s="14" t="s">
        <v>13247</v>
      </c>
      <c r="W2237" s="14" t="s">
        <v>13207</v>
      </c>
      <c r="X2237" s="17" t="str">
        <f>HYPERLINK("https://my.pitchbook.com?p=435408-85P","View People Online")</f>
        <v>View People Online</v>
      </c>
    </row>
    <row r="2238">
      <c r="A2238" s="10" t="s">
        <v>15251</v>
      </c>
      <c r="B2238" s="10" t="s">
        <v>15252</v>
      </c>
      <c r="C2238" s="10" t="s">
        <v>263</v>
      </c>
      <c r="D2238" s="10" t="s">
        <v>5431</v>
      </c>
      <c r="E2238" s="10" t="s">
        <v>13207</v>
      </c>
      <c r="F2238" s="10" t="s">
        <v>3523</v>
      </c>
      <c r="G2238" s="10" t="s">
        <v>15253</v>
      </c>
      <c r="H2238" s="11" t="s">
        <v>31</v>
      </c>
      <c r="I2238" s="11">
        <v>1.0</v>
      </c>
      <c r="J2238" s="11">
        <v>1.0</v>
      </c>
      <c r="K2238" s="11" t="s">
        <v>31</v>
      </c>
      <c r="L2238" s="12" t="s">
        <v>13242</v>
      </c>
      <c r="M2238" s="10" t="s">
        <v>15254</v>
      </c>
      <c r="N2238" s="10" t="s">
        <v>9865</v>
      </c>
      <c r="O2238" s="12" t="s">
        <v>9866</v>
      </c>
      <c r="P2238" s="10" t="s">
        <v>13244</v>
      </c>
      <c r="Q2238" s="10" t="s">
        <v>31</v>
      </c>
      <c r="R2238" s="10" t="s">
        <v>31</v>
      </c>
      <c r="S2238" s="12" t="s">
        <v>13245</v>
      </c>
      <c r="T2238" s="10" t="s">
        <v>38</v>
      </c>
      <c r="U2238" s="12" t="s">
        <v>13246</v>
      </c>
      <c r="V2238" s="10" t="s">
        <v>3523</v>
      </c>
      <c r="W2238" s="10" t="s">
        <v>13207</v>
      </c>
      <c r="X2238" s="13" t="str">
        <f>HYPERLINK("https://my.pitchbook.com?p=435846-34P","View People Online")</f>
        <v>View People Online</v>
      </c>
    </row>
    <row r="2239">
      <c r="A2239" s="14" t="s">
        <v>15255</v>
      </c>
      <c r="B2239" s="14" t="s">
        <v>15256</v>
      </c>
      <c r="C2239" s="14" t="s">
        <v>15257</v>
      </c>
      <c r="D2239" s="14" t="s">
        <v>15258</v>
      </c>
      <c r="E2239" s="14" t="s">
        <v>13207</v>
      </c>
      <c r="F2239" s="14" t="s">
        <v>3523</v>
      </c>
      <c r="G2239" s="14" t="s">
        <v>15259</v>
      </c>
      <c r="H2239" s="15" t="s">
        <v>31</v>
      </c>
      <c r="I2239" s="15">
        <v>1.0</v>
      </c>
      <c r="J2239" s="15">
        <v>1.0</v>
      </c>
      <c r="K2239" s="15" t="s">
        <v>31</v>
      </c>
      <c r="L2239" s="16" t="s">
        <v>13423</v>
      </c>
      <c r="M2239" s="14" t="s">
        <v>15260</v>
      </c>
      <c r="N2239" s="14" t="s">
        <v>243</v>
      </c>
      <c r="O2239" s="16" t="s">
        <v>244</v>
      </c>
      <c r="P2239" s="14" t="s">
        <v>13425</v>
      </c>
      <c r="Q2239" s="14" t="s">
        <v>31</v>
      </c>
      <c r="R2239" s="14" t="s">
        <v>247</v>
      </c>
      <c r="S2239" s="16" t="s">
        <v>13426</v>
      </c>
      <c r="T2239" s="14" t="s">
        <v>249</v>
      </c>
      <c r="U2239" s="16" t="s">
        <v>31</v>
      </c>
      <c r="V2239" s="14" t="s">
        <v>3523</v>
      </c>
      <c r="W2239" s="14" t="s">
        <v>13207</v>
      </c>
      <c r="X2239" s="17" t="str">
        <f>HYPERLINK("https://my.pitchbook.com?p=455351-32P","View People Online")</f>
        <v>View People Online</v>
      </c>
    </row>
    <row r="2240">
      <c r="A2240" s="2" t="s">
        <v>15261</v>
      </c>
      <c r="B2240" s="2" t="s">
        <v>15262</v>
      </c>
      <c r="C2240" s="2" t="s">
        <v>731</v>
      </c>
      <c r="D2240" s="2" t="s">
        <v>15263</v>
      </c>
      <c r="E2240" s="2" t="s">
        <v>13207</v>
      </c>
      <c r="F2240" s="2" t="s">
        <v>1283</v>
      </c>
      <c r="G2240" s="2" t="s">
        <v>15264</v>
      </c>
      <c r="H2240" s="3" t="s">
        <v>31</v>
      </c>
      <c r="I2240" s="3">
        <v>1.0</v>
      </c>
      <c r="J2240" s="3">
        <v>1.0</v>
      </c>
      <c r="K2240" s="3" t="s">
        <v>31</v>
      </c>
      <c r="L2240" s="4" t="s">
        <v>13632</v>
      </c>
      <c r="M2240" s="2" t="s">
        <v>15265</v>
      </c>
      <c r="N2240" s="2" t="s">
        <v>7690</v>
      </c>
      <c r="O2240" s="4" t="s">
        <v>7691</v>
      </c>
      <c r="P2240" s="2" t="s">
        <v>13634</v>
      </c>
      <c r="Q2240" s="2" t="s">
        <v>13635</v>
      </c>
      <c r="R2240" s="2" t="s">
        <v>7693</v>
      </c>
      <c r="S2240" s="4" t="s">
        <v>13636</v>
      </c>
      <c r="T2240" s="2" t="s">
        <v>66</v>
      </c>
      <c r="U2240" s="4" t="s">
        <v>13637</v>
      </c>
      <c r="V2240" s="2" t="s">
        <v>1283</v>
      </c>
      <c r="W2240" s="2" t="s">
        <v>13207</v>
      </c>
      <c r="X2240" s="5" t="str">
        <f>HYPERLINK("https://my.pitchbook.com?p=436706-20P","View People Online")</f>
        <v>View People Online</v>
      </c>
    </row>
    <row r="2241">
      <c r="A2241" s="6" t="s">
        <v>15266</v>
      </c>
      <c r="B2241" s="6" t="s">
        <v>15267</v>
      </c>
      <c r="C2241" s="6" t="s">
        <v>731</v>
      </c>
      <c r="D2241" s="6" t="s">
        <v>15268</v>
      </c>
      <c r="E2241" s="6" t="s">
        <v>13207</v>
      </c>
      <c r="F2241" s="6" t="s">
        <v>13218</v>
      </c>
      <c r="G2241" s="6" t="s">
        <v>15269</v>
      </c>
      <c r="H2241" s="7" t="s">
        <v>31</v>
      </c>
      <c r="I2241" s="7">
        <v>1.0</v>
      </c>
      <c r="J2241" s="7">
        <v>1.0</v>
      </c>
      <c r="K2241" s="7" t="s">
        <v>31</v>
      </c>
      <c r="L2241" s="8" t="s">
        <v>15270</v>
      </c>
      <c r="M2241" s="6" t="s">
        <v>15271</v>
      </c>
      <c r="N2241" s="6" t="s">
        <v>15272</v>
      </c>
      <c r="O2241" s="8" t="s">
        <v>15273</v>
      </c>
      <c r="P2241" s="6" t="s">
        <v>15274</v>
      </c>
      <c r="Q2241" s="6" t="s">
        <v>1955</v>
      </c>
      <c r="R2241" s="6" t="s">
        <v>15275</v>
      </c>
      <c r="S2241" s="8" t="s">
        <v>15276</v>
      </c>
      <c r="T2241" s="6" t="s">
        <v>66</v>
      </c>
      <c r="U2241" s="8" t="s">
        <v>31</v>
      </c>
      <c r="V2241" s="6" t="s">
        <v>15277</v>
      </c>
      <c r="W2241" s="6" t="s">
        <v>13207</v>
      </c>
      <c r="X2241" s="9" t="str">
        <f>HYPERLINK("https://my.pitchbook.com?p=225659-08P","View People Online")</f>
        <v>View People Online</v>
      </c>
    </row>
    <row r="2242">
      <c r="A2242" s="10" t="s">
        <v>15278</v>
      </c>
      <c r="B2242" s="10" t="s">
        <v>15279</v>
      </c>
      <c r="C2242" s="10" t="s">
        <v>731</v>
      </c>
      <c r="D2242" s="10" t="s">
        <v>15280</v>
      </c>
      <c r="E2242" s="10" t="s">
        <v>13207</v>
      </c>
      <c r="F2242" s="10" t="s">
        <v>3523</v>
      </c>
      <c r="G2242" s="10" t="s">
        <v>15281</v>
      </c>
      <c r="H2242" s="11" t="s">
        <v>31</v>
      </c>
      <c r="I2242" s="11">
        <v>1.0</v>
      </c>
      <c r="J2242" s="11">
        <v>1.0</v>
      </c>
      <c r="K2242" s="11" t="s">
        <v>31</v>
      </c>
      <c r="L2242" s="12" t="s">
        <v>14092</v>
      </c>
      <c r="M2242" s="10" t="s">
        <v>15282</v>
      </c>
      <c r="N2242" s="10" t="s">
        <v>10742</v>
      </c>
      <c r="O2242" s="12" t="s">
        <v>10743</v>
      </c>
      <c r="P2242" s="10" t="s">
        <v>14094</v>
      </c>
      <c r="Q2242" s="10" t="s">
        <v>14095</v>
      </c>
      <c r="R2242" s="10" t="s">
        <v>10745</v>
      </c>
      <c r="S2242" s="12" t="s">
        <v>14096</v>
      </c>
      <c r="T2242" s="10" t="s">
        <v>1019</v>
      </c>
      <c r="U2242" s="12" t="s">
        <v>14097</v>
      </c>
      <c r="V2242" s="10" t="s">
        <v>3523</v>
      </c>
      <c r="W2242" s="10" t="s">
        <v>13207</v>
      </c>
      <c r="X2242" s="13" t="str">
        <f>HYPERLINK("https://my.pitchbook.com?p=436149-10P","View People Online")</f>
        <v>View People Online</v>
      </c>
    </row>
    <row r="2243">
      <c r="A2243" s="14" t="s">
        <v>15283</v>
      </c>
      <c r="B2243" s="14" t="s">
        <v>15284</v>
      </c>
      <c r="C2243" s="14" t="s">
        <v>15285</v>
      </c>
      <c r="D2243" s="14" t="s">
        <v>13523</v>
      </c>
      <c r="E2243" s="14" t="s">
        <v>13207</v>
      </c>
      <c r="F2243" s="14" t="s">
        <v>3523</v>
      </c>
      <c r="G2243" s="14" t="s">
        <v>15286</v>
      </c>
      <c r="H2243" s="15" t="s">
        <v>31</v>
      </c>
      <c r="I2243" s="15">
        <v>1.0</v>
      </c>
      <c r="J2243" s="15">
        <v>1.0</v>
      </c>
      <c r="K2243" s="15" t="s">
        <v>31</v>
      </c>
      <c r="L2243" s="16" t="s">
        <v>13714</v>
      </c>
      <c r="M2243" s="14" t="s">
        <v>15287</v>
      </c>
      <c r="N2243" s="14" t="s">
        <v>13716</v>
      </c>
      <c r="O2243" s="16" t="s">
        <v>13717</v>
      </c>
      <c r="P2243" s="14" t="s">
        <v>13718</v>
      </c>
      <c r="Q2243" s="14" t="s">
        <v>31</v>
      </c>
      <c r="R2243" s="14" t="s">
        <v>31</v>
      </c>
      <c r="S2243" s="16" t="s">
        <v>13719</v>
      </c>
      <c r="T2243" s="14" t="s">
        <v>38</v>
      </c>
      <c r="U2243" s="16" t="s">
        <v>13720</v>
      </c>
      <c r="V2243" s="14" t="s">
        <v>3523</v>
      </c>
      <c r="W2243" s="14" t="s">
        <v>13207</v>
      </c>
      <c r="X2243" s="17" t="str">
        <f>HYPERLINK("https://my.pitchbook.com?p=434896-12P","View People Online")</f>
        <v>View People Online</v>
      </c>
    </row>
    <row r="2244">
      <c r="A2244" s="10" t="s">
        <v>15288</v>
      </c>
      <c r="B2244" s="10" t="s">
        <v>15289</v>
      </c>
      <c r="C2244" s="10" t="s">
        <v>15285</v>
      </c>
      <c r="D2244" s="10" t="s">
        <v>15290</v>
      </c>
      <c r="E2244" s="10" t="s">
        <v>13207</v>
      </c>
      <c r="F2244" s="10" t="s">
        <v>13307</v>
      </c>
      <c r="G2244" s="10" t="s">
        <v>15291</v>
      </c>
      <c r="H2244" s="11" t="s">
        <v>31</v>
      </c>
      <c r="I2244" s="11">
        <v>1.0</v>
      </c>
      <c r="J2244" s="11">
        <v>1.0</v>
      </c>
      <c r="K2244" s="11" t="s">
        <v>31</v>
      </c>
      <c r="L2244" s="12" t="s">
        <v>14014</v>
      </c>
      <c r="M2244" s="10" t="s">
        <v>15292</v>
      </c>
      <c r="N2244" s="10" t="s">
        <v>14016</v>
      </c>
      <c r="O2244" s="12" t="s">
        <v>14017</v>
      </c>
      <c r="P2244" s="10" t="s">
        <v>14018</v>
      </c>
      <c r="Q2244" s="10" t="s">
        <v>14019</v>
      </c>
      <c r="R2244" s="10" t="s">
        <v>31</v>
      </c>
      <c r="S2244" s="12" t="s">
        <v>14020</v>
      </c>
      <c r="T2244" s="10" t="s">
        <v>38</v>
      </c>
      <c r="U2244" s="12" t="s">
        <v>14014</v>
      </c>
      <c r="V2244" s="10" t="s">
        <v>13317</v>
      </c>
      <c r="W2244" s="10" t="s">
        <v>13207</v>
      </c>
      <c r="X2244" s="13" t="str">
        <f>HYPERLINK("https://my.pitchbook.com?p=436128-49P","View People Online")</f>
        <v>View People Online</v>
      </c>
    </row>
    <row r="2245">
      <c r="A2245" s="14" t="s">
        <v>15293</v>
      </c>
      <c r="B2245" s="14" t="s">
        <v>15294</v>
      </c>
      <c r="C2245" s="14" t="s">
        <v>15285</v>
      </c>
      <c r="D2245" s="14" t="s">
        <v>15295</v>
      </c>
      <c r="E2245" s="14" t="s">
        <v>13207</v>
      </c>
      <c r="F2245" s="14" t="s">
        <v>3523</v>
      </c>
      <c r="G2245" s="14" t="s">
        <v>15296</v>
      </c>
      <c r="H2245" s="15" t="s">
        <v>31</v>
      </c>
      <c r="I2245" s="15">
        <v>1.0</v>
      </c>
      <c r="J2245" s="15">
        <v>1.0</v>
      </c>
      <c r="K2245" s="15" t="s">
        <v>31</v>
      </c>
      <c r="L2245" s="16" t="s">
        <v>13734</v>
      </c>
      <c r="M2245" s="14" t="s">
        <v>15297</v>
      </c>
      <c r="N2245" s="14" t="s">
        <v>2754</v>
      </c>
      <c r="O2245" s="16" t="s">
        <v>2755</v>
      </c>
      <c r="P2245" s="14" t="s">
        <v>13736</v>
      </c>
      <c r="Q2245" s="14" t="s">
        <v>31</v>
      </c>
      <c r="R2245" s="14" t="s">
        <v>31</v>
      </c>
      <c r="S2245" s="16" t="s">
        <v>13737</v>
      </c>
      <c r="T2245" s="14" t="s">
        <v>38</v>
      </c>
      <c r="U2245" s="16" t="s">
        <v>13738</v>
      </c>
      <c r="V2245" s="14" t="s">
        <v>3523</v>
      </c>
      <c r="W2245" s="14" t="s">
        <v>13207</v>
      </c>
      <c r="X2245" s="17" t="str">
        <f>HYPERLINK("https://my.pitchbook.com?p=455508-01P","View People Online")</f>
        <v>View People Online</v>
      </c>
    </row>
    <row r="2246">
      <c r="A2246" s="10" t="s">
        <v>15298</v>
      </c>
      <c r="B2246" s="10" t="s">
        <v>15299</v>
      </c>
      <c r="C2246" s="10" t="s">
        <v>15285</v>
      </c>
      <c r="D2246" s="10" t="s">
        <v>15300</v>
      </c>
      <c r="E2246" s="10" t="s">
        <v>13207</v>
      </c>
      <c r="F2246" s="10" t="s">
        <v>13218</v>
      </c>
      <c r="G2246" s="10" t="s">
        <v>15301</v>
      </c>
      <c r="H2246" s="11" t="s">
        <v>31</v>
      </c>
      <c r="I2246" s="11">
        <v>1.0</v>
      </c>
      <c r="J2246" s="11">
        <v>1.0</v>
      </c>
      <c r="K2246" s="11" t="s">
        <v>31</v>
      </c>
      <c r="L2246" s="12" t="s">
        <v>15050</v>
      </c>
      <c r="M2246" s="10" t="s">
        <v>15302</v>
      </c>
      <c r="N2246" s="10" t="s">
        <v>15052</v>
      </c>
      <c r="O2246" s="12" t="s">
        <v>15053</v>
      </c>
      <c r="P2246" s="10" t="s">
        <v>15054</v>
      </c>
      <c r="Q2246" s="10" t="s">
        <v>15055</v>
      </c>
      <c r="R2246" s="10" t="s">
        <v>31</v>
      </c>
      <c r="S2246" s="12" t="s">
        <v>15056</v>
      </c>
      <c r="T2246" s="10" t="s">
        <v>38</v>
      </c>
      <c r="U2246" s="12" t="s">
        <v>15057</v>
      </c>
      <c r="V2246" s="10" t="s">
        <v>13218</v>
      </c>
      <c r="W2246" s="10" t="s">
        <v>13207</v>
      </c>
      <c r="X2246" s="13" t="str">
        <f>HYPERLINK("https://my.pitchbook.com?p=435633-85P","View People Online")</f>
        <v>View People Online</v>
      </c>
    </row>
    <row r="2247">
      <c r="A2247" s="14" t="s">
        <v>15303</v>
      </c>
      <c r="B2247" s="14" t="s">
        <v>15304</v>
      </c>
      <c r="C2247" s="14" t="s">
        <v>15285</v>
      </c>
      <c r="D2247" s="14" t="s">
        <v>15305</v>
      </c>
      <c r="E2247" s="14" t="s">
        <v>13207</v>
      </c>
      <c r="F2247" s="14" t="s">
        <v>3523</v>
      </c>
      <c r="G2247" s="14" t="s">
        <v>15306</v>
      </c>
      <c r="H2247" s="15" t="s">
        <v>31</v>
      </c>
      <c r="I2247" s="15">
        <v>1.0</v>
      </c>
      <c r="J2247" s="15">
        <v>1.0</v>
      </c>
      <c r="K2247" s="15" t="s">
        <v>31</v>
      </c>
      <c r="L2247" s="16" t="s">
        <v>15050</v>
      </c>
      <c r="M2247" s="14" t="s">
        <v>15307</v>
      </c>
      <c r="N2247" s="14" t="s">
        <v>15052</v>
      </c>
      <c r="O2247" s="16" t="s">
        <v>15053</v>
      </c>
      <c r="P2247" s="14" t="s">
        <v>15054</v>
      </c>
      <c r="Q2247" s="14" t="s">
        <v>15055</v>
      </c>
      <c r="R2247" s="14" t="s">
        <v>31</v>
      </c>
      <c r="S2247" s="16" t="s">
        <v>15056</v>
      </c>
      <c r="T2247" s="14" t="s">
        <v>38</v>
      </c>
      <c r="U2247" s="16" t="s">
        <v>15057</v>
      </c>
      <c r="V2247" s="14" t="s">
        <v>3523</v>
      </c>
      <c r="W2247" s="14" t="s">
        <v>13207</v>
      </c>
      <c r="X2247" s="17" t="str">
        <f>HYPERLINK("https://my.pitchbook.com?p=455885-65P","View People Online")</f>
        <v>View People Online</v>
      </c>
    </row>
    <row r="2248">
      <c r="A2248" s="10" t="s">
        <v>15308</v>
      </c>
      <c r="B2248" s="10" t="s">
        <v>15309</v>
      </c>
      <c r="C2248" s="10" t="s">
        <v>15285</v>
      </c>
      <c r="D2248" s="10" t="s">
        <v>15310</v>
      </c>
      <c r="E2248" s="10" t="s">
        <v>13207</v>
      </c>
      <c r="F2248" s="10" t="s">
        <v>3523</v>
      </c>
      <c r="G2248" s="10" t="s">
        <v>15311</v>
      </c>
      <c r="H2248" s="11" t="s">
        <v>31</v>
      </c>
      <c r="I2248" s="11">
        <v>1.0</v>
      </c>
      <c r="J2248" s="11">
        <v>1.0</v>
      </c>
      <c r="K2248" s="11" t="s">
        <v>31</v>
      </c>
      <c r="L2248" s="12" t="s">
        <v>13242</v>
      </c>
      <c r="M2248" s="10" t="s">
        <v>15312</v>
      </c>
      <c r="N2248" s="10" t="s">
        <v>9865</v>
      </c>
      <c r="O2248" s="12" t="s">
        <v>9866</v>
      </c>
      <c r="P2248" s="10" t="s">
        <v>13244</v>
      </c>
      <c r="Q2248" s="10" t="s">
        <v>31</v>
      </c>
      <c r="R2248" s="10" t="s">
        <v>31</v>
      </c>
      <c r="S2248" s="12" t="s">
        <v>13245</v>
      </c>
      <c r="T2248" s="10" t="s">
        <v>38</v>
      </c>
      <c r="U2248" s="12" t="s">
        <v>13246</v>
      </c>
      <c r="V2248" s="10" t="s">
        <v>3523</v>
      </c>
      <c r="W2248" s="10" t="s">
        <v>13207</v>
      </c>
      <c r="X2248" s="13" t="str">
        <f>HYPERLINK("https://my.pitchbook.com?p=435619-81P","View People Online")</f>
        <v>View People Online</v>
      </c>
    </row>
    <row r="2249">
      <c r="A2249" s="14" t="s">
        <v>15313</v>
      </c>
      <c r="B2249" s="14" t="s">
        <v>15314</v>
      </c>
      <c r="C2249" s="14" t="s">
        <v>15285</v>
      </c>
      <c r="D2249" s="14" t="s">
        <v>15315</v>
      </c>
      <c r="E2249" s="14" t="s">
        <v>13207</v>
      </c>
      <c r="F2249" s="14" t="s">
        <v>13307</v>
      </c>
      <c r="G2249" s="14" t="s">
        <v>15316</v>
      </c>
      <c r="H2249" s="15" t="s">
        <v>31</v>
      </c>
      <c r="I2249" s="15">
        <v>1.0</v>
      </c>
      <c r="J2249" s="15">
        <v>1.0</v>
      </c>
      <c r="K2249" s="15" t="s">
        <v>31</v>
      </c>
      <c r="L2249" s="16" t="s">
        <v>13242</v>
      </c>
      <c r="M2249" s="14" t="s">
        <v>15317</v>
      </c>
      <c r="N2249" s="14" t="s">
        <v>9865</v>
      </c>
      <c r="O2249" s="16" t="s">
        <v>9866</v>
      </c>
      <c r="P2249" s="14" t="s">
        <v>13244</v>
      </c>
      <c r="Q2249" s="14" t="s">
        <v>31</v>
      </c>
      <c r="R2249" s="14" t="s">
        <v>31</v>
      </c>
      <c r="S2249" s="16" t="s">
        <v>13245</v>
      </c>
      <c r="T2249" s="14" t="s">
        <v>38</v>
      </c>
      <c r="U2249" s="16" t="s">
        <v>13246</v>
      </c>
      <c r="V2249" s="14" t="s">
        <v>15318</v>
      </c>
      <c r="W2249" s="14" t="s">
        <v>13207</v>
      </c>
      <c r="X2249" s="17" t="str">
        <f>HYPERLINK("https://my.pitchbook.com?p=435947-95P","View People Online")</f>
        <v>View People Online</v>
      </c>
    </row>
    <row r="2250">
      <c r="A2250" s="10" t="s">
        <v>15319</v>
      </c>
      <c r="B2250" s="10" t="s">
        <v>15320</v>
      </c>
      <c r="C2250" s="10" t="s">
        <v>15285</v>
      </c>
      <c r="D2250" s="10" t="s">
        <v>15321</v>
      </c>
      <c r="E2250" s="10" t="s">
        <v>13207</v>
      </c>
      <c r="F2250" s="10" t="s">
        <v>470</v>
      </c>
      <c r="G2250" s="10" t="s">
        <v>15322</v>
      </c>
      <c r="H2250" s="11" t="s">
        <v>31</v>
      </c>
      <c r="I2250" s="11">
        <v>2.0</v>
      </c>
      <c r="J2250" s="11">
        <v>1.0</v>
      </c>
      <c r="K2250" s="11">
        <v>1.0</v>
      </c>
      <c r="L2250" s="12" t="s">
        <v>13242</v>
      </c>
      <c r="M2250" s="10" t="s">
        <v>15323</v>
      </c>
      <c r="N2250" s="10" t="s">
        <v>9865</v>
      </c>
      <c r="O2250" s="12" t="s">
        <v>9866</v>
      </c>
      <c r="P2250" s="10" t="s">
        <v>13244</v>
      </c>
      <c r="Q2250" s="10" t="s">
        <v>31</v>
      </c>
      <c r="R2250" s="10" t="s">
        <v>31</v>
      </c>
      <c r="S2250" s="12" t="s">
        <v>13245</v>
      </c>
      <c r="T2250" s="10" t="s">
        <v>38</v>
      </c>
      <c r="U2250" s="12" t="s">
        <v>13246</v>
      </c>
      <c r="V2250" s="10" t="s">
        <v>470</v>
      </c>
      <c r="W2250" s="10" t="s">
        <v>13207</v>
      </c>
      <c r="X2250" s="13" t="str">
        <f>HYPERLINK("https://my.pitchbook.com?p=55383-49P","View People Online")</f>
        <v>View People Online</v>
      </c>
    </row>
    <row r="2251">
      <c r="A2251" s="6" t="s">
        <v>15324</v>
      </c>
      <c r="B2251" s="6" t="s">
        <v>15325</v>
      </c>
      <c r="C2251" s="6" t="s">
        <v>15326</v>
      </c>
      <c r="D2251" s="6" t="s">
        <v>15327</v>
      </c>
      <c r="E2251" s="6" t="s">
        <v>13207</v>
      </c>
      <c r="F2251" s="6" t="s">
        <v>13218</v>
      </c>
      <c r="G2251" s="6" t="s">
        <v>15328</v>
      </c>
      <c r="H2251" s="7" t="s">
        <v>31</v>
      </c>
      <c r="I2251" s="7">
        <v>1.0</v>
      </c>
      <c r="J2251" s="7">
        <v>1.0</v>
      </c>
      <c r="K2251" s="7" t="s">
        <v>31</v>
      </c>
      <c r="L2251" s="8" t="s">
        <v>13496</v>
      </c>
      <c r="M2251" s="6" t="s">
        <v>15329</v>
      </c>
      <c r="N2251" s="6" t="s">
        <v>75</v>
      </c>
      <c r="O2251" s="8" t="s">
        <v>76</v>
      </c>
      <c r="P2251" s="6" t="s">
        <v>13498</v>
      </c>
      <c r="Q2251" s="6" t="s">
        <v>31</v>
      </c>
      <c r="R2251" s="6" t="s">
        <v>75</v>
      </c>
      <c r="S2251" s="8" t="s">
        <v>195</v>
      </c>
      <c r="T2251" s="6" t="s">
        <v>66</v>
      </c>
      <c r="U2251" s="8" t="s">
        <v>13499</v>
      </c>
      <c r="V2251" s="6" t="s">
        <v>13218</v>
      </c>
      <c r="W2251" s="6" t="s">
        <v>13207</v>
      </c>
      <c r="X2251" s="9" t="str">
        <f>HYPERLINK("https://my.pitchbook.com?p=456718-24P","View People Online")</f>
        <v>View People Online</v>
      </c>
    </row>
    <row r="2252">
      <c r="A2252" s="2" t="s">
        <v>15330</v>
      </c>
      <c r="B2252" s="2" t="s">
        <v>15331</v>
      </c>
      <c r="C2252" s="2" t="s">
        <v>285</v>
      </c>
      <c r="D2252" s="2" t="s">
        <v>15332</v>
      </c>
      <c r="E2252" s="2" t="s">
        <v>13207</v>
      </c>
      <c r="F2252" s="2" t="s">
        <v>29</v>
      </c>
      <c r="G2252" s="2" t="s">
        <v>15333</v>
      </c>
      <c r="H2252" s="3" t="s">
        <v>31</v>
      </c>
      <c r="I2252" s="3">
        <v>1.0</v>
      </c>
      <c r="J2252" s="3">
        <v>1.0</v>
      </c>
      <c r="K2252" s="3" t="s">
        <v>31</v>
      </c>
      <c r="L2252" s="4" t="s">
        <v>13274</v>
      </c>
      <c r="M2252" s="2" t="s">
        <v>15334</v>
      </c>
      <c r="N2252" s="2" t="s">
        <v>1181</v>
      </c>
      <c r="O2252" s="4" t="s">
        <v>1182</v>
      </c>
      <c r="P2252" s="2" t="s">
        <v>13276</v>
      </c>
      <c r="Q2252" s="2" t="s">
        <v>31</v>
      </c>
      <c r="R2252" s="2" t="s">
        <v>1185</v>
      </c>
      <c r="S2252" s="4" t="s">
        <v>4438</v>
      </c>
      <c r="T2252" s="2" t="s">
        <v>66</v>
      </c>
      <c r="U2252" s="4" t="s">
        <v>13277</v>
      </c>
      <c r="V2252" s="2" t="s">
        <v>29</v>
      </c>
      <c r="W2252" s="2" t="s">
        <v>13207</v>
      </c>
      <c r="X2252" s="5" t="str">
        <f>HYPERLINK("https://my.pitchbook.com?p=454963-15P","View People Online")</f>
        <v>View People Online</v>
      </c>
    </row>
    <row r="2253">
      <c r="A2253" s="6" t="s">
        <v>15335</v>
      </c>
      <c r="B2253" s="6" t="s">
        <v>15336</v>
      </c>
      <c r="C2253" s="6" t="s">
        <v>285</v>
      </c>
      <c r="D2253" s="6" t="s">
        <v>15337</v>
      </c>
      <c r="E2253" s="6" t="s">
        <v>13207</v>
      </c>
      <c r="F2253" s="6" t="s">
        <v>3523</v>
      </c>
      <c r="G2253" s="6" t="s">
        <v>15338</v>
      </c>
      <c r="H2253" s="7" t="s">
        <v>31</v>
      </c>
      <c r="I2253" s="7">
        <v>1.0</v>
      </c>
      <c r="J2253" s="7">
        <v>1.0</v>
      </c>
      <c r="K2253" s="7" t="s">
        <v>31</v>
      </c>
      <c r="L2253" s="8" t="s">
        <v>13274</v>
      </c>
      <c r="M2253" s="6" t="s">
        <v>15339</v>
      </c>
      <c r="N2253" s="6" t="s">
        <v>1181</v>
      </c>
      <c r="O2253" s="8" t="s">
        <v>1182</v>
      </c>
      <c r="P2253" s="6" t="s">
        <v>13276</v>
      </c>
      <c r="Q2253" s="6" t="s">
        <v>31</v>
      </c>
      <c r="R2253" s="6" t="s">
        <v>1185</v>
      </c>
      <c r="S2253" s="8" t="s">
        <v>4438</v>
      </c>
      <c r="T2253" s="6" t="s">
        <v>66</v>
      </c>
      <c r="U2253" s="8" t="s">
        <v>13277</v>
      </c>
      <c r="V2253" s="6" t="s">
        <v>3523</v>
      </c>
      <c r="W2253" s="6" t="s">
        <v>13207</v>
      </c>
      <c r="X2253" s="9" t="str">
        <f>HYPERLINK("https://my.pitchbook.com?p=455633-11P","View People Online")</f>
        <v>View People Online</v>
      </c>
    </row>
    <row r="2254">
      <c r="A2254" s="10" t="s">
        <v>15340</v>
      </c>
      <c r="B2254" s="10" t="s">
        <v>15341</v>
      </c>
      <c r="C2254" s="10" t="s">
        <v>285</v>
      </c>
      <c r="D2254" s="10" t="s">
        <v>69</v>
      </c>
      <c r="E2254" s="10" t="s">
        <v>13207</v>
      </c>
      <c r="F2254" s="10" t="s">
        <v>13218</v>
      </c>
      <c r="G2254" s="10" t="s">
        <v>15342</v>
      </c>
      <c r="H2254" s="11" t="s">
        <v>31</v>
      </c>
      <c r="I2254" s="11">
        <v>1.0</v>
      </c>
      <c r="J2254" s="11">
        <v>1.0</v>
      </c>
      <c r="K2254" s="11" t="s">
        <v>31</v>
      </c>
      <c r="L2254" s="12" t="s">
        <v>13299</v>
      </c>
      <c r="M2254" s="10" t="s">
        <v>15343</v>
      </c>
      <c r="N2254" s="10" t="s">
        <v>601</v>
      </c>
      <c r="O2254" s="12" t="s">
        <v>602</v>
      </c>
      <c r="P2254" s="10" t="s">
        <v>13301</v>
      </c>
      <c r="Q2254" s="10" t="s">
        <v>13302</v>
      </c>
      <c r="R2254" s="10" t="s">
        <v>31</v>
      </c>
      <c r="S2254" s="12" t="s">
        <v>31</v>
      </c>
      <c r="T2254" s="10" t="s">
        <v>603</v>
      </c>
      <c r="U2254" s="12" t="s">
        <v>13303</v>
      </c>
      <c r="V2254" s="10" t="s">
        <v>13218</v>
      </c>
      <c r="W2254" s="10" t="s">
        <v>13207</v>
      </c>
      <c r="X2254" s="13" t="str">
        <f>HYPERLINK("https://my.pitchbook.com?p=435776-32P","View People Online")</f>
        <v>View People Online</v>
      </c>
    </row>
    <row r="2255">
      <c r="A2255" s="14" t="s">
        <v>15344</v>
      </c>
      <c r="B2255" s="14" t="s">
        <v>15345</v>
      </c>
      <c r="C2255" s="14" t="s">
        <v>285</v>
      </c>
      <c r="D2255" s="14" t="s">
        <v>15346</v>
      </c>
      <c r="E2255" s="14" t="s">
        <v>13207</v>
      </c>
      <c r="F2255" s="14" t="s">
        <v>29</v>
      </c>
      <c r="G2255" s="14" t="s">
        <v>15347</v>
      </c>
      <c r="H2255" s="15" t="s">
        <v>31</v>
      </c>
      <c r="I2255" s="15">
        <v>1.0</v>
      </c>
      <c r="J2255" s="15">
        <v>1.0</v>
      </c>
      <c r="K2255" s="15" t="s">
        <v>31</v>
      </c>
      <c r="L2255" s="16" t="s">
        <v>13281</v>
      </c>
      <c r="M2255" s="14" t="s">
        <v>15348</v>
      </c>
      <c r="N2255" s="14" t="s">
        <v>1277</v>
      </c>
      <c r="O2255" s="16" t="s">
        <v>1278</v>
      </c>
      <c r="P2255" s="14" t="s">
        <v>13283</v>
      </c>
      <c r="Q2255" s="14" t="s">
        <v>13284</v>
      </c>
      <c r="R2255" s="14" t="s">
        <v>1281</v>
      </c>
      <c r="S2255" s="16" t="s">
        <v>1282</v>
      </c>
      <c r="T2255" s="14" t="s">
        <v>66</v>
      </c>
      <c r="U2255" s="16" t="s">
        <v>13285</v>
      </c>
      <c r="V2255" s="14" t="s">
        <v>29</v>
      </c>
      <c r="W2255" s="14" t="s">
        <v>13207</v>
      </c>
      <c r="X2255" s="17" t="str">
        <f>HYPERLINK("https://my.pitchbook.com?p=435649-69P","View People Online")</f>
        <v>View People Online</v>
      </c>
    </row>
    <row r="2256">
      <c r="A2256" s="10" t="s">
        <v>15349</v>
      </c>
      <c r="B2256" s="10" t="s">
        <v>15350</v>
      </c>
      <c r="C2256" s="10" t="s">
        <v>285</v>
      </c>
      <c r="D2256" s="10" t="s">
        <v>15351</v>
      </c>
      <c r="E2256" s="10" t="s">
        <v>13207</v>
      </c>
      <c r="F2256" s="10" t="s">
        <v>13218</v>
      </c>
      <c r="G2256" s="10" t="s">
        <v>15352</v>
      </c>
      <c r="H2256" s="11" t="s">
        <v>31</v>
      </c>
      <c r="I2256" s="11">
        <v>4.0</v>
      </c>
      <c r="J2256" s="11">
        <v>1.0</v>
      </c>
      <c r="K2256" s="11">
        <v>1.0</v>
      </c>
      <c r="L2256" s="12" t="s">
        <v>13724</v>
      </c>
      <c r="M2256" s="10" t="s">
        <v>15353</v>
      </c>
      <c r="N2256" s="10" t="s">
        <v>34</v>
      </c>
      <c r="O2256" s="12" t="s">
        <v>35</v>
      </c>
      <c r="P2256" s="10" t="s">
        <v>13726</v>
      </c>
      <c r="Q2256" s="10" t="s">
        <v>31</v>
      </c>
      <c r="R2256" s="10" t="s">
        <v>31</v>
      </c>
      <c r="S2256" s="12" t="s">
        <v>13727</v>
      </c>
      <c r="T2256" s="10" t="s">
        <v>38</v>
      </c>
      <c r="U2256" s="12" t="s">
        <v>13728</v>
      </c>
      <c r="V2256" s="10" t="s">
        <v>13218</v>
      </c>
      <c r="W2256" s="10" t="s">
        <v>13207</v>
      </c>
      <c r="X2256" s="13" t="str">
        <f>HYPERLINK("https://my.pitchbook.com?p=260469-19P","View People Online")</f>
        <v>View People Online</v>
      </c>
    </row>
    <row r="2257">
      <c r="A2257" s="6" t="s">
        <v>15354</v>
      </c>
      <c r="B2257" s="6" t="s">
        <v>15355</v>
      </c>
      <c r="C2257" s="6" t="s">
        <v>285</v>
      </c>
      <c r="D2257" s="6" t="s">
        <v>395</v>
      </c>
      <c r="E2257" s="6" t="s">
        <v>13207</v>
      </c>
      <c r="F2257" s="6" t="s">
        <v>3523</v>
      </c>
      <c r="G2257" s="6" t="s">
        <v>15356</v>
      </c>
      <c r="H2257" s="7" t="s">
        <v>31</v>
      </c>
      <c r="I2257" s="7">
        <v>1.0</v>
      </c>
      <c r="J2257" s="7">
        <v>1.0</v>
      </c>
      <c r="K2257" s="7" t="s">
        <v>31</v>
      </c>
      <c r="L2257" s="8" t="s">
        <v>15357</v>
      </c>
      <c r="M2257" s="6" t="s">
        <v>15358</v>
      </c>
      <c r="N2257" s="6" t="s">
        <v>1454</v>
      </c>
      <c r="O2257" s="8" t="s">
        <v>1455</v>
      </c>
      <c r="P2257" s="6" t="s">
        <v>15359</v>
      </c>
      <c r="Q2257" s="6" t="s">
        <v>13635</v>
      </c>
      <c r="R2257" s="6" t="s">
        <v>93</v>
      </c>
      <c r="S2257" s="8" t="s">
        <v>1458</v>
      </c>
      <c r="T2257" s="6" t="s">
        <v>66</v>
      </c>
      <c r="U2257" s="8" t="s">
        <v>15360</v>
      </c>
      <c r="V2257" s="6" t="s">
        <v>3523</v>
      </c>
      <c r="W2257" s="6" t="s">
        <v>13207</v>
      </c>
      <c r="X2257" s="9" t="str">
        <f>HYPERLINK("https://my.pitchbook.com?p=455744-08P","View People Online")</f>
        <v>View People Online</v>
      </c>
    </row>
    <row r="2258">
      <c r="A2258" s="2" t="s">
        <v>15361</v>
      </c>
      <c r="B2258" s="2" t="s">
        <v>15362</v>
      </c>
      <c r="C2258" s="2" t="s">
        <v>285</v>
      </c>
      <c r="D2258" s="2" t="s">
        <v>15363</v>
      </c>
      <c r="E2258" s="2" t="s">
        <v>13207</v>
      </c>
      <c r="F2258" s="2" t="s">
        <v>3523</v>
      </c>
      <c r="G2258" s="2" t="s">
        <v>15364</v>
      </c>
      <c r="H2258" s="3" t="s">
        <v>31</v>
      </c>
      <c r="I2258" s="3">
        <v>1.0</v>
      </c>
      <c r="J2258" s="3">
        <v>1.0</v>
      </c>
      <c r="K2258" s="3" t="s">
        <v>31</v>
      </c>
      <c r="L2258" s="4" t="s">
        <v>13855</v>
      </c>
      <c r="M2258" s="2" t="s">
        <v>15365</v>
      </c>
      <c r="N2258" s="2" t="s">
        <v>2017</v>
      </c>
      <c r="O2258" s="4" t="s">
        <v>2018</v>
      </c>
      <c r="P2258" s="2" t="s">
        <v>13857</v>
      </c>
      <c r="Q2258" s="2" t="s">
        <v>13858</v>
      </c>
      <c r="R2258" s="2" t="s">
        <v>31</v>
      </c>
      <c r="S2258" s="4" t="s">
        <v>31</v>
      </c>
      <c r="T2258" s="2" t="s">
        <v>2022</v>
      </c>
      <c r="U2258" s="4" t="s">
        <v>31</v>
      </c>
      <c r="V2258" s="2" t="s">
        <v>3523</v>
      </c>
      <c r="W2258" s="2" t="s">
        <v>13207</v>
      </c>
      <c r="X2258" s="5" t="str">
        <f>HYPERLINK("https://my.pitchbook.com?p=455734-27P","View People Online")</f>
        <v>View People Online</v>
      </c>
    </row>
    <row r="2259">
      <c r="A2259" s="6" t="s">
        <v>15366</v>
      </c>
      <c r="B2259" s="6" t="s">
        <v>15367</v>
      </c>
      <c r="C2259" s="6" t="s">
        <v>15368</v>
      </c>
      <c r="D2259" s="6" t="s">
        <v>6333</v>
      </c>
      <c r="E2259" s="6" t="s">
        <v>13207</v>
      </c>
      <c r="F2259" s="6" t="s">
        <v>13218</v>
      </c>
      <c r="G2259" s="6" t="s">
        <v>15369</v>
      </c>
      <c r="H2259" s="7" t="s">
        <v>31</v>
      </c>
      <c r="I2259" s="7">
        <v>1.0</v>
      </c>
      <c r="J2259" s="7">
        <v>1.0</v>
      </c>
      <c r="K2259" s="7" t="s">
        <v>31</v>
      </c>
      <c r="L2259" s="8" t="s">
        <v>13496</v>
      </c>
      <c r="M2259" s="6" t="s">
        <v>15370</v>
      </c>
      <c r="N2259" s="6" t="s">
        <v>75</v>
      </c>
      <c r="O2259" s="8" t="s">
        <v>76</v>
      </c>
      <c r="P2259" s="6" t="s">
        <v>13498</v>
      </c>
      <c r="Q2259" s="6" t="s">
        <v>31</v>
      </c>
      <c r="R2259" s="6" t="s">
        <v>75</v>
      </c>
      <c r="S2259" s="8" t="s">
        <v>195</v>
      </c>
      <c r="T2259" s="6" t="s">
        <v>66</v>
      </c>
      <c r="U2259" s="8" t="s">
        <v>13499</v>
      </c>
      <c r="V2259" s="6" t="s">
        <v>14182</v>
      </c>
      <c r="W2259" s="6" t="s">
        <v>13207</v>
      </c>
      <c r="X2259" s="9" t="str">
        <f>HYPERLINK("https://my.pitchbook.com?p=38299-15P","View People Online")</f>
        <v>View People Online</v>
      </c>
    </row>
    <row r="2260">
      <c r="A2260" s="10" t="s">
        <v>15371</v>
      </c>
      <c r="B2260" s="10" t="s">
        <v>15372</v>
      </c>
      <c r="C2260" s="10" t="s">
        <v>15368</v>
      </c>
      <c r="D2260" s="10" t="s">
        <v>3775</v>
      </c>
      <c r="E2260" s="10" t="s">
        <v>13207</v>
      </c>
      <c r="F2260" s="10" t="s">
        <v>3523</v>
      </c>
      <c r="G2260" s="10" t="s">
        <v>15373</v>
      </c>
      <c r="H2260" s="11" t="s">
        <v>31</v>
      </c>
      <c r="I2260" s="11">
        <v>1.0</v>
      </c>
      <c r="J2260" s="11">
        <v>1.0</v>
      </c>
      <c r="K2260" s="11" t="s">
        <v>31</v>
      </c>
      <c r="L2260" s="12" t="s">
        <v>13505</v>
      </c>
      <c r="M2260" s="10" t="s">
        <v>15374</v>
      </c>
      <c r="N2260" s="10" t="s">
        <v>1416</v>
      </c>
      <c r="O2260" s="12" t="s">
        <v>1417</v>
      </c>
      <c r="P2260" s="10" t="s">
        <v>13507</v>
      </c>
      <c r="Q2260" s="10" t="s">
        <v>1457</v>
      </c>
      <c r="R2260" s="10" t="s">
        <v>1420</v>
      </c>
      <c r="S2260" s="12" t="s">
        <v>13508</v>
      </c>
      <c r="T2260" s="10" t="s">
        <v>66</v>
      </c>
      <c r="U2260" s="12" t="s">
        <v>13509</v>
      </c>
      <c r="V2260" s="10" t="s">
        <v>3523</v>
      </c>
      <c r="W2260" s="10" t="s">
        <v>13207</v>
      </c>
      <c r="X2260" s="13" t="str">
        <f>HYPERLINK("https://my.pitchbook.com?p=455884-12P","View People Online")</f>
        <v>View People Online</v>
      </c>
    </row>
    <row r="2261">
      <c r="A2261" s="6" t="s">
        <v>15375</v>
      </c>
      <c r="B2261" s="6" t="s">
        <v>15376</v>
      </c>
      <c r="C2261" s="6" t="s">
        <v>15377</v>
      </c>
      <c r="D2261" s="6" t="s">
        <v>15378</v>
      </c>
      <c r="E2261" s="6" t="s">
        <v>13207</v>
      </c>
      <c r="F2261" s="6" t="s">
        <v>3523</v>
      </c>
      <c r="G2261" s="6" t="s">
        <v>15379</v>
      </c>
      <c r="H2261" s="7" t="s">
        <v>31</v>
      </c>
      <c r="I2261" s="7">
        <v>1.0</v>
      </c>
      <c r="J2261" s="7">
        <v>1.0</v>
      </c>
      <c r="K2261" s="7" t="s">
        <v>31</v>
      </c>
      <c r="L2261" s="8" t="s">
        <v>15380</v>
      </c>
      <c r="M2261" s="6" t="s">
        <v>15381</v>
      </c>
      <c r="N2261" s="6" t="s">
        <v>2876</v>
      </c>
      <c r="O2261" s="8" t="s">
        <v>2877</v>
      </c>
      <c r="P2261" s="6" t="s">
        <v>15382</v>
      </c>
      <c r="Q2261" s="6" t="s">
        <v>31</v>
      </c>
      <c r="R2261" s="6" t="s">
        <v>31</v>
      </c>
      <c r="S2261" s="8" t="s">
        <v>15383</v>
      </c>
      <c r="T2261" s="6" t="s">
        <v>2880</v>
      </c>
      <c r="U2261" s="8" t="s">
        <v>15384</v>
      </c>
      <c r="V2261" s="6" t="s">
        <v>3523</v>
      </c>
      <c r="W2261" s="6" t="s">
        <v>13207</v>
      </c>
      <c r="X2261" s="9" t="str">
        <f>HYPERLINK("https://my.pitchbook.com?p=435619-09P","View People Online")</f>
        <v>View People Online</v>
      </c>
    </row>
    <row r="2262">
      <c r="A2262" s="10" t="s">
        <v>15385</v>
      </c>
      <c r="B2262" s="10" t="s">
        <v>15386</v>
      </c>
      <c r="C2262" s="10" t="s">
        <v>15387</v>
      </c>
      <c r="D2262" s="10" t="s">
        <v>831</v>
      </c>
      <c r="E2262" s="10" t="s">
        <v>13207</v>
      </c>
      <c r="F2262" s="10" t="s">
        <v>13218</v>
      </c>
      <c r="G2262" s="10" t="s">
        <v>15388</v>
      </c>
      <c r="H2262" s="11" t="s">
        <v>31</v>
      </c>
      <c r="I2262" s="11">
        <v>1.0</v>
      </c>
      <c r="J2262" s="11">
        <v>1.0</v>
      </c>
      <c r="K2262" s="11" t="s">
        <v>31</v>
      </c>
      <c r="L2262" s="12" t="s">
        <v>13688</v>
      </c>
      <c r="M2262" s="10" t="s">
        <v>15389</v>
      </c>
      <c r="N2262" s="10" t="s">
        <v>3603</v>
      </c>
      <c r="O2262" s="12" t="s">
        <v>3604</v>
      </c>
      <c r="P2262" s="10" t="s">
        <v>13690</v>
      </c>
      <c r="Q2262" s="10" t="s">
        <v>13691</v>
      </c>
      <c r="R2262" s="10" t="s">
        <v>31</v>
      </c>
      <c r="S2262" s="12" t="s">
        <v>31</v>
      </c>
      <c r="T2262" s="10" t="s">
        <v>3603</v>
      </c>
      <c r="U2262" s="12" t="s">
        <v>13692</v>
      </c>
      <c r="V2262" s="10" t="s">
        <v>15390</v>
      </c>
      <c r="W2262" s="10" t="s">
        <v>13207</v>
      </c>
      <c r="X2262" s="13" t="str">
        <f>HYPERLINK("https://my.pitchbook.com?p=435660-76P","View People Online")</f>
        <v>View People Online</v>
      </c>
    </row>
    <row r="2263">
      <c r="A2263" s="6" t="s">
        <v>15391</v>
      </c>
      <c r="B2263" s="6" t="s">
        <v>15392</v>
      </c>
      <c r="C2263" s="6" t="s">
        <v>15393</v>
      </c>
      <c r="D2263" s="6" t="s">
        <v>4314</v>
      </c>
      <c r="E2263" s="6" t="s">
        <v>13207</v>
      </c>
      <c r="F2263" s="6" t="s">
        <v>3523</v>
      </c>
      <c r="G2263" s="6" t="s">
        <v>15394</v>
      </c>
      <c r="H2263" s="7" t="s">
        <v>31</v>
      </c>
      <c r="I2263" s="7">
        <v>1.0</v>
      </c>
      <c r="J2263" s="7">
        <v>1.0</v>
      </c>
      <c r="K2263" s="7" t="s">
        <v>31</v>
      </c>
      <c r="L2263" s="8" t="s">
        <v>13688</v>
      </c>
      <c r="M2263" s="6" t="s">
        <v>15395</v>
      </c>
      <c r="N2263" s="6" t="s">
        <v>3603</v>
      </c>
      <c r="O2263" s="8" t="s">
        <v>3604</v>
      </c>
      <c r="P2263" s="6" t="s">
        <v>13690</v>
      </c>
      <c r="Q2263" s="6" t="s">
        <v>13691</v>
      </c>
      <c r="R2263" s="6" t="s">
        <v>31</v>
      </c>
      <c r="S2263" s="8" t="s">
        <v>31</v>
      </c>
      <c r="T2263" s="6" t="s">
        <v>3603</v>
      </c>
      <c r="U2263" s="8" t="s">
        <v>13692</v>
      </c>
      <c r="V2263" s="6" t="s">
        <v>3523</v>
      </c>
      <c r="W2263" s="6" t="s">
        <v>13207</v>
      </c>
      <c r="X2263" s="9" t="str">
        <f>HYPERLINK("https://my.pitchbook.com?p=436275-28P","View People Online")</f>
        <v>View People Online</v>
      </c>
    </row>
    <row r="2264">
      <c r="A2264" s="10" t="s">
        <v>15396</v>
      </c>
      <c r="B2264" s="10" t="s">
        <v>15397</v>
      </c>
      <c r="C2264" s="10" t="s">
        <v>15398</v>
      </c>
      <c r="D2264" s="10" t="s">
        <v>15399</v>
      </c>
      <c r="E2264" s="10" t="s">
        <v>13207</v>
      </c>
      <c r="F2264" s="10" t="s">
        <v>3523</v>
      </c>
      <c r="G2264" s="10" t="s">
        <v>15400</v>
      </c>
      <c r="H2264" s="11" t="s">
        <v>31</v>
      </c>
      <c r="I2264" s="11">
        <v>1.0</v>
      </c>
      <c r="J2264" s="11">
        <v>1.0</v>
      </c>
      <c r="K2264" s="11" t="s">
        <v>31</v>
      </c>
      <c r="L2264" s="12" t="s">
        <v>13916</v>
      </c>
      <c r="M2264" s="10" t="s">
        <v>15401</v>
      </c>
      <c r="N2264" s="10" t="s">
        <v>155</v>
      </c>
      <c r="O2264" s="12" t="s">
        <v>156</v>
      </c>
      <c r="P2264" s="10" t="s">
        <v>13918</v>
      </c>
      <c r="Q2264" s="10" t="s">
        <v>13919</v>
      </c>
      <c r="R2264" s="10" t="s">
        <v>64</v>
      </c>
      <c r="S2264" s="12" t="s">
        <v>1549</v>
      </c>
      <c r="T2264" s="10" t="s">
        <v>66</v>
      </c>
      <c r="U2264" s="12" t="s">
        <v>13920</v>
      </c>
      <c r="V2264" s="10" t="s">
        <v>3523</v>
      </c>
      <c r="W2264" s="10" t="s">
        <v>13207</v>
      </c>
      <c r="X2264" s="13" t="str">
        <f>HYPERLINK("https://my.pitchbook.com?p=455971-51P","View People Online")</f>
        <v>View People Online</v>
      </c>
    </row>
    <row r="2265">
      <c r="A2265" s="14" t="s">
        <v>15402</v>
      </c>
      <c r="B2265" s="14" t="s">
        <v>15403</v>
      </c>
      <c r="C2265" s="14" t="s">
        <v>15404</v>
      </c>
      <c r="D2265" s="14" t="s">
        <v>1645</v>
      </c>
      <c r="E2265" s="14" t="s">
        <v>13207</v>
      </c>
      <c r="F2265" s="14" t="s">
        <v>3523</v>
      </c>
      <c r="G2265" s="14" t="s">
        <v>15405</v>
      </c>
      <c r="H2265" s="15" t="s">
        <v>31</v>
      </c>
      <c r="I2265" s="15">
        <v>1.0</v>
      </c>
      <c r="J2265" s="15">
        <v>1.0</v>
      </c>
      <c r="K2265" s="15" t="s">
        <v>31</v>
      </c>
      <c r="L2265" s="16" t="s">
        <v>13496</v>
      </c>
      <c r="M2265" s="14" t="s">
        <v>15406</v>
      </c>
      <c r="N2265" s="14" t="s">
        <v>75</v>
      </c>
      <c r="O2265" s="16" t="s">
        <v>76</v>
      </c>
      <c r="P2265" s="14" t="s">
        <v>13498</v>
      </c>
      <c r="Q2265" s="14" t="s">
        <v>31</v>
      </c>
      <c r="R2265" s="14" t="s">
        <v>75</v>
      </c>
      <c r="S2265" s="16" t="s">
        <v>195</v>
      </c>
      <c r="T2265" s="14" t="s">
        <v>66</v>
      </c>
      <c r="U2265" s="16" t="s">
        <v>13499</v>
      </c>
      <c r="V2265" s="14" t="s">
        <v>3523</v>
      </c>
      <c r="W2265" s="14" t="s">
        <v>13207</v>
      </c>
      <c r="X2265" s="17" t="str">
        <f>HYPERLINK("https://my.pitchbook.com?p=434961-55P","View People Online")</f>
        <v>View People Online</v>
      </c>
    </row>
    <row r="2266">
      <c r="A2266" s="2" t="s">
        <v>15407</v>
      </c>
      <c r="B2266" s="2" t="s">
        <v>15408</v>
      </c>
      <c r="C2266" s="2" t="s">
        <v>1377</v>
      </c>
      <c r="D2266" s="2" t="s">
        <v>15409</v>
      </c>
      <c r="E2266" s="2" t="s">
        <v>13207</v>
      </c>
      <c r="F2266" s="2" t="s">
        <v>13307</v>
      </c>
      <c r="G2266" s="2" t="s">
        <v>15410</v>
      </c>
      <c r="H2266" s="3" t="s">
        <v>31</v>
      </c>
      <c r="I2266" s="3">
        <v>1.0</v>
      </c>
      <c r="J2266" s="3">
        <v>1.0</v>
      </c>
      <c r="K2266" s="3" t="s">
        <v>31</v>
      </c>
      <c r="L2266" s="4" t="s">
        <v>13657</v>
      </c>
      <c r="M2266" s="2" t="s">
        <v>15411</v>
      </c>
      <c r="N2266" s="2" t="s">
        <v>13659</v>
      </c>
      <c r="O2266" s="4" t="s">
        <v>13660</v>
      </c>
      <c r="P2266" s="2" t="s">
        <v>13661</v>
      </c>
      <c r="Q2266" s="2" t="s">
        <v>31</v>
      </c>
      <c r="R2266" s="2" t="s">
        <v>31</v>
      </c>
      <c r="S2266" s="4" t="s">
        <v>13662</v>
      </c>
      <c r="T2266" s="2" t="s">
        <v>38</v>
      </c>
      <c r="U2266" s="4" t="s">
        <v>13663</v>
      </c>
      <c r="V2266" s="2" t="s">
        <v>13317</v>
      </c>
      <c r="W2266" s="2" t="s">
        <v>13207</v>
      </c>
      <c r="X2266" s="5" t="str">
        <f>HYPERLINK("https://my.pitchbook.com?p=455367-52P","View People Online")</f>
        <v>View People Online</v>
      </c>
    </row>
    <row r="2267">
      <c r="A2267" s="6" t="s">
        <v>15412</v>
      </c>
      <c r="B2267" s="6" t="s">
        <v>15413</v>
      </c>
      <c r="C2267" s="6" t="s">
        <v>1377</v>
      </c>
      <c r="D2267" s="6" t="s">
        <v>15414</v>
      </c>
      <c r="E2267" s="6" t="s">
        <v>13207</v>
      </c>
      <c r="F2267" s="6" t="s">
        <v>3523</v>
      </c>
      <c r="G2267" s="6" t="s">
        <v>15415</v>
      </c>
      <c r="H2267" s="7" t="s">
        <v>31</v>
      </c>
      <c r="I2267" s="7">
        <v>1.0</v>
      </c>
      <c r="J2267" s="7">
        <v>1.0</v>
      </c>
      <c r="K2267" s="7" t="s">
        <v>31</v>
      </c>
      <c r="L2267" s="8" t="s">
        <v>13274</v>
      </c>
      <c r="M2267" s="6" t="s">
        <v>15416</v>
      </c>
      <c r="N2267" s="6" t="s">
        <v>1181</v>
      </c>
      <c r="O2267" s="8" t="s">
        <v>1182</v>
      </c>
      <c r="P2267" s="6" t="s">
        <v>13276</v>
      </c>
      <c r="Q2267" s="6" t="s">
        <v>31</v>
      </c>
      <c r="R2267" s="6" t="s">
        <v>1185</v>
      </c>
      <c r="S2267" s="8" t="s">
        <v>4438</v>
      </c>
      <c r="T2267" s="6" t="s">
        <v>66</v>
      </c>
      <c r="U2267" s="8" t="s">
        <v>13277</v>
      </c>
      <c r="V2267" s="6" t="s">
        <v>3523</v>
      </c>
      <c r="W2267" s="6" t="s">
        <v>13207</v>
      </c>
      <c r="X2267" s="9" t="str">
        <f>HYPERLINK("https://my.pitchbook.com?p=456863-32P","View People Online")</f>
        <v>View People Online</v>
      </c>
    </row>
    <row r="2268">
      <c r="A2268" s="10" t="s">
        <v>15417</v>
      </c>
      <c r="B2268" s="10" t="s">
        <v>15418</v>
      </c>
      <c r="C2268" s="10" t="s">
        <v>15419</v>
      </c>
      <c r="D2268" s="10" t="s">
        <v>15420</v>
      </c>
      <c r="E2268" s="10" t="s">
        <v>13207</v>
      </c>
      <c r="F2268" s="10" t="s">
        <v>13218</v>
      </c>
      <c r="G2268" s="10" t="s">
        <v>15421</v>
      </c>
      <c r="H2268" s="11">
        <v>1.0</v>
      </c>
      <c r="I2268" s="11">
        <v>2.0</v>
      </c>
      <c r="J2268" s="11">
        <v>1.0</v>
      </c>
      <c r="K2268" s="11" t="s">
        <v>31</v>
      </c>
      <c r="L2268" s="12" t="s">
        <v>15422</v>
      </c>
      <c r="M2268" s="10" t="s">
        <v>15423</v>
      </c>
      <c r="N2268" s="10" t="s">
        <v>1348</v>
      </c>
      <c r="O2268" s="12" t="s">
        <v>1349</v>
      </c>
      <c r="P2268" s="10" t="s">
        <v>13291</v>
      </c>
      <c r="Q2268" s="10" t="s">
        <v>13292</v>
      </c>
      <c r="R2268" s="10" t="s">
        <v>1018</v>
      </c>
      <c r="S2268" s="12" t="s">
        <v>13293</v>
      </c>
      <c r="T2268" s="10" t="s">
        <v>1019</v>
      </c>
      <c r="U2268" s="12" t="s">
        <v>13294</v>
      </c>
      <c r="V2268" s="10" t="s">
        <v>13218</v>
      </c>
      <c r="W2268" s="10" t="s">
        <v>13207</v>
      </c>
      <c r="X2268" s="13" t="str">
        <f>HYPERLINK("https://my.pitchbook.com?p=282766-06P","View People Online")</f>
        <v>View People Online</v>
      </c>
    </row>
    <row r="2269">
      <c r="A2269" s="14" t="s">
        <v>15424</v>
      </c>
      <c r="B2269" s="14" t="s">
        <v>15425</v>
      </c>
      <c r="C2269" s="14" t="s">
        <v>15426</v>
      </c>
      <c r="D2269" s="14" t="s">
        <v>15427</v>
      </c>
      <c r="E2269" s="14" t="s">
        <v>13207</v>
      </c>
      <c r="F2269" s="14" t="s">
        <v>13218</v>
      </c>
      <c r="G2269" s="14" t="s">
        <v>15428</v>
      </c>
      <c r="H2269" s="15" t="s">
        <v>31</v>
      </c>
      <c r="I2269" s="15">
        <v>1.0</v>
      </c>
      <c r="J2269" s="15">
        <v>1.0</v>
      </c>
      <c r="K2269" s="15" t="s">
        <v>31</v>
      </c>
      <c r="L2269" s="16" t="s">
        <v>13505</v>
      </c>
      <c r="M2269" s="14" t="s">
        <v>15429</v>
      </c>
      <c r="N2269" s="14" t="s">
        <v>1416</v>
      </c>
      <c r="O2269" s="16" t="s">
        <v>1417</v>
      </c>
      <c r="P2269" s="14" t="s">
        <v>13507</v>
      </c>
      <c r="Q2269" s="14" t="s">
        <v>1457</v>
      </c>
      <c r="R2269" s="14" t="s">
        <v>1420</v>
      </c>
      <c r="S2269" s="16" t="s">
        <v>13508</v>
      </c>
      <c r="T2269" s="14" t="s">
        <v>66</v>
      </c>
      <c r="U2269" s="16" t="s">
        <v>13509</v>
      </c>
      <c r="V2269" s="14" t="s">
        <v>13218</v>
      </c>
      <c r="W2269" s="14" t="s">
        <v>13207</v>
      </c>
      <c r="X2269" s="17" t="str">
        <f>HYPERLINK("https://my.pitchbook.com?p=435781-18P","View People Online")</f>
        <v>View People Online</v>
      </c>
    </row>
    <row r="2270">
      <c r="A2270" s="10" t="s">
        <v>15430</v>
      </c>
      <c r="B2270" s="10" t="s">
        <v>15431</v>
      </c>
      <c r="C2270" s="10" t="s">
        <v>15432</v>
      </c>
      <c r="D2270" s="10" t="s">
        <v>15433</v>
      </c>
      <c r="E2270" s="10" t="s">
        <v>13207</v>
      </c>
      <c r="F2270" s="10" t="s">
        <v>3523</v>
      </c>
      <c r="G2270" s="10" t="s">
        <v>15434</v>
      </c>
      <c r="H2270" s="11" t="s">
        <v>31</v>
      </c>
      <c r="I2270" s="11">
        <v>1.0</v>
      </c>
      <c r="J2270" s="11">
        <v>1.0</v>
      </c>
      <c r="K2270" s="11" t="s">
        <v>31</v>
      </c>
      <c r="L2270" s="12" t="s">
        <v>13378</v>
      </c>
      <c r="M2270" s="10" t="s">
        <v>15435</v>
      </c>
      <c r="N2270" s="10" t="s">
        <v>429</v>
      </c>
      <c r="O2270" s="12" t="s">
        <v>430</v>
      </c>
      <c r="P2270" s="10" t="s">
        <v>13380</v>
      </c>
      <c r="Q2270" s="10" t="s">
        <v>31</v>
      </c>
      <c r="R2270" s="10" t="s">
        <v>31</v>
      </c>
      <c r="S2270" s="12" t="s">
        <v>13381</v>
      </c>
      <c r="T2270" s="10" t="s">
        <v>433</v>
      </c>
      <c r="U2270" s="12" t="s">
        <v>13382</v>
      </c>
      <c r="V2270" s="10" t="s">
        <v>3523</v>
      </c>
      <c r="W2270" s="10" t="s">
        <v>13207</v>
      </c>
      <c r="X2270" s="13" t="str">
        <f>HYPERLINK("https://my.pitchbook.com?p=455711-50P","View People Online")</f>
        <v>View People Online</v>
      </c>
    </row>
    <row r="2271">
      <c r="A2271" s="6" t="s">
        <v>15436</v>
      </c>
      <c r="B2271" s="6" t="s">
        <v>15437</v>
      </c>
      <c r="C2271" s="6" t="s">
        <v>581</v>
      </c>
      <c r="D2271" s="6" t="s">
        <v>15438</v>
      </c>
      <c r="E2271" s="6" t="s">
        <v>13207</v>
      </c>
      <c r="F2271" s="6" t="s">
        <v>3523</v>
      </c>
      <c r="G2271" s="6" t="s">
        <v>15439</v>
      </c>
      <c r="H2271" s="7" t="s">
        <v>31</v>
      </c>
      <c r="I2271" s="7">
        <v>1.0</v>
      </c>
      <c r="J2271" s="7">
        <v>1.0</v>
      </c>
      <c r="K2271" s="7" t="s">
        <v>31</v>
      </c>
      <c r="L2271" s="8" t="s">
        <v>13209</v>
      </c>
      <c r="M2271" s="6" t="s">
        <v>15440</v>
      </c>
      <c r="N2271" s="6" t="s">
        <v>4232</v>
      </c>
      <c r="O2271" s="8" t="s">
        <v>4233</v>
      </c>
      <c r="P2271" s="6" t="s">
        <v>13211</v>
      </c>
      <c r="Q2271" s="6" t="s">
        <v>31</v>
      </c>
      <c r="R2271" s="6" t="s">
        <v>4236</v>
      </c>
      <c r="S2271" s="8" t="s">
        <v>13212</v>
      </c>
      <c r="T2271" s="6" t="s">
        <v>66</v>
      </c>
      <c r="U2271" s="8" t="s">
        <v>13213</v>
      </c>
      <c r="V2271" s="6" t="s">
        <v>3523</v>
      </c>
      <c r="W2271" s="6" t="s">
        <v>13207</v>
      </c>
      <c r="X2271" s="9" t="str">
        <f>HYPERLINK("https://my.pitchbook.com?p=436164-58P","View People Online")</f>
        <v>View People Online</v>
      </c>
    </row>
    <row r="2272">
      <c r="A2272" s="2" t="s">
        <v>15441</v>
      </c>
      <c r="B2272" s="2" t="s">
        <v>15442</v>
      </c>
      <c r="C2272" s="2" t="s">
        <v>12792</v>
      </c>
      <c r="D2272" s="2" t="s">
        <v>15443</v>
      </c>
      <c r="E2272" s="2" t="s">
        <v>13207</v>
      </c>
      <c r="F2272" s="2" t="s">
        <v>3523</v>
      </c>
      <c r="G2272" s="2" t="s">
        <v>15444</v>
      </c>
      <c r="H2272" s="3" t="s">
        <v>31</v>
      </c>
      <c r="I2272" s="3">
        <v>1.0</v>
      </c>
      <c r="J2272" s="3">
        <v>1.0</v>
      </c>
      <c r="K2272" s="3" t="s">
        <v>31</v>
      </c>
      <c r="L2272" s="4" t="s">
        <v>13724</v>
      </c>
      <c r="M2272" s="2" t="s">
        <v>15445</v>
      </c>
      <c r="N2272" s="2" t="s">
        <v>34</v>
      </c>
      <c r="O2272" s="4" t="s">
        <v>35</v>
      </c>
      <c r="P2272" s="2" t="s">
        <v>13726</v>
      </c>
      <c r="Q2272" s="2" t="s">
        <v>31</v>
      </c>
      <c r="R2272" s="2" t="s">
        <v>31</v>
      </c>
      <c r="S2272" s="4" t="s">
        <v>13727</v>
      </c>
      <c r="T2272" s="2" t="s">
        <v>38</v>
      </c>
      <c r="U2272" s="4" t="s">
        <v>13728</v>
      </c>
      <c r="V2272" s="2" t="s">
        <v>3523</v>
      </c>
      <c r="W2272" s="2" t="s">
        <v>13207</v>
      </c>
      <c r="X2272" s="5" t="str">
        <f>HYPERLINK("https://my.pitchbook.com?p=455889-79P","View People Online")</f>
        <v>View People Online</v>
      </c>
    </row>
    <row r="2273">
      <c r="A2273" s="6" t="s">
        <v>15446</v>
      </c>
      <c r="B2273" s="6" t="s">
        <v>15447</v>
      </c>
      <c r="C2273" s="6" t="s">
        <v>15448</v>
      </c>
      <c r="D2273" s="6" t="s">
        <v>15449</v>
      </c>
      <c r="E2273" s="6" t="s">
        <v>13207</v>
      </c>
      <c r="F2273" s="6" t="s">
        <v>13218</v>
      </c>
      <c r="G2273" s="6" t="s">
        <v>15450</v>
      </c>
      <c r="H2273" s="7" t="s">
        <v>31</v>
      </c>
      <c r="I2273" s="7">
        <v>1.0</v>
      </c>
      <c r="J2273" s="7">
        <v>1.0</v>
      </c>
      <c r="K2273" s="7" t="s">
        <v>31</v>
      </c>
      <c r="L2273" s="8" t="s">
        <v>13274</v>
      </c>
      <c r="M2273" s="6" t="s">
        <v>15451</v>
      </c>
      <c r="N2273" s="6" t="s">
        <v>1181</v>
      </c>
      <c r="O2273" s="8" t="s">
        <v>1182</v>
      </c>
      <c r="P2273" s="6" t="s">
        <v>13276</v>
      </c>
      <c r="Q2273" s="6" t="s">
        <v>31</v>
      </c>
      <c r="R2273" s="6" t="s">
        <v>1185</v>
      </c>
      <c r="S2273" s="8" t="s">
        <v>4438</v>
      </c>
      <c r="T2273" s="6" t="s">
        <v>66</v>
      </c>
      <c r="U2273" s="8" t="s">
        <v>13277</v>
      </c>
      <c r="V2273" s="6" t="s">
        <v>13218</v>
      </c>
      <c r="W2273" s="6" t="s">
        <v>13207</v>
      </c>
      <c r="X2273" s="9" t="str">
        <f>HYPERLINK("https://my.pitchbook.com?p=435608-38P","View People Online")</f>
        <v>View People Online</v>
      </c>
    </row>
    <row r="2274">
      <c r="A2274" s="10" t="s">
        <v>15452</v>
      </c>
      <c r="B2274" s="10" t="s">
        <v>15453</v>
      </c>
      <c r="C2274" s="10" t="s">
        <v>15454</v>
      </c>
      <c r="D2274" s="10" t="s">
        <v>15455</v>
      </c>
      <c r="E2274" s="10" t="s">
        <v>13207</v>
      </c>
      <c r="F2274" s="10" t="s">
        <v>3523</v>
      </c>
      <c r="G2274" s="10" t="s">
        <v>15456</v>
      </c>
      <c r="H2274" s="11" t="s">
        <v>31</v>
      </c>
      <c r="I2274" s="11">
        <v>1.0</v>
      </c>
      <c r="J2274" s="11">
        <v>1.0</v>
      </c>
      <c r="K2274" s="11" t="s">
        <v>31</v>
      </c>
      <c r="L2274" s="12" t="s">
        <v>14092</v>
      </c>
      <c r="M2274" s="10" t="s">
        <v>15457</v>
      </c>
      <c r="N2274" s="10" t="s">
        <v>10742</v>
      </c>
      <c r="O2274" s="12" t="s">
        <v>10743</v>
      </c>
      <c r="P2274" s="10" t="s">
        <v>14094</v>
      </c>
      <c r="Q2274" s="10" t="s">
        <v>14095</v>
      </c>
      <c r="R2274" s="10" t="s">
        <v>10745</v>
      </c>
      <c r="S2274" s="12" t="s">
        <v>14096</v>
      </c>
      <c r="T2274" s="10" t="s">
        <v>1019</v>
      </c>
      <c r="U2274" s="12" t="s">
        <v>14097</v>
      </c>
      <c r="V2274" s="10" t="s">
        <v>3523</v>
      </c>
      <c r="W2274" s="10" t="s">
        <v>13207</v>
      </c>
      <c r="X2274" s="13" t="str">
        <f>HYPERLINK("https://my.pitchbook.com?p=436152-34P","View People Online")</f>
        <v>View People Online</v>
      </c>
    </row>
    <row r="2275">
      <c r="A2275" s="6" t="s">
        <v>15458</v>
      </c>
      <c r="B2275" s="6" t="s">
        <v>15459</v>
      </c>
      <c r="C2275" s="6" t="s">
        <v>1982</v>
      </c>
      <c r="D2275" s="6" t="s">
        <v>15460</v>
      </c>
      <c r="E2275" s="6" t="s">
        <v>13207</v>
      </c>
      <c r="F2275" s="6" t="s">
        <v>3523</v>
      </c>
      <c r="G2275" s="6" t="s">
        <v>15461</v>
      </c>
      <c r="H2275" s="7" t="s">
        <v>31</v>
      </c>
      <c r="I2275" s="7">
        <v>1.0</v>
      </c>
      <c r="J2275" s="7">
        <v>1.0</v>
      </c>
      <c r="K2275" s="7" t="s">
        <v>31</v>
      </c>
      <c r="L2275" s="8" t="s">
        <v>13274</v>
      </c>
      <c r="M2275" s="6" t="s">
        <v>15462</v>
      </c>
      <c r="N2275" s="6" t="s">
        <v>1181</v>
      </c>
      <c r="O2275" s="8" t="s">
        <v>1182</v>
      </c>
      <c r="P2275" s="6" t="s">
        <v>13276</v>
      </c>
      <c r="Q2275" s="6" t="s">
        <v>31</v>
      </c>
      <c r="R2275" s="6" t="s">
        <v>1185</v>
      </c>
      <c r="S2275" s="8" t="s">
        <v>4438</v>
      </c>
      <c r="T2275" s="6" t="s">
        <v>66</v>
      </c>
      <c r="U2275" s="8" t="s">
        <v>13277</v>
      </c>
      <c r="V2275" s="6" t="s">
        <v>3523</v>
      </c>
      <c r="W2275" s="6" t="s">
        <v>13207</v>
      </c>
      <c r="X2275" s="9" t="str">
        <f>HYPERLINK("https://my.pitchbook.com?p=435005-11P","View People Online")</f>
        <v>View People Online</v>
      </c>
    </row>
    <row r="2276">
      <c r="A2276" s="2" t="s">
        <v>15463</v>
      </c>
      <c r="B2276" s="2" t="s">
        <v>15464</v>
      </c>
      <c r="C2276" s="2" t="s">
        <v>15465</v>
      </c>
      <c r="D2276" s="2" t="s">
        <v>15466</v>
      </c>
      <c r="E2276" s="2" t="s">
        <v>13207</v>
      </c>
      <c r="F2276" s="2" t="s">
        <v>3523</v>
      </c>
      <c r="G2276" s="2" t="s">
        <v>15467</v>
      </c>
      <c r="H2276" s="3" t="s">
        <v>31</v>
      </c>
      <c r="I2276" s="3">
        <v>1.0</v>
      </c>
      <c r="J2276" s="3">
        <v>1.0</v>
      </c>
      <c r="K2276" s="3" t="s">
        <v>31</v>
      </c>
      <c r="L2276" s="4" t="s">
        <v>13801</v>
      </c>
      <c r="M2276" s="2" t="s">
        <v>15468</v>
      </c>
      <c r="N2276" s="2" t="s">
        <v>1024</v>
      </c>
      <c r="O2276" s="4" t="s">
        <v>2718</v>
      </c>
      <c r="P2276" s="2" t="s">
        <v>13803</v>
      </c>
      <c r="Q2276" s="2" t="s">
        <v>13804</v>
      </c>
      <c r="R2276" s="2" t="s">
        <v>31</v>
      </c>
      <c r="S2276" s="4" t="s">
        <v>31</v>
      </c>
      <c r="T2276" s="2" t="s">
        <v>2721</v>
      </c>
      <c r="U2276" s="4" t="s">
        <v>31</v>
      </c>
      <c r="V2276" s="2" t="s">
        <v>3523</v>
      </c>
      <c r="W2276" s="2" t="s">
        <v>13207</v>
      </c>
      <c r="X2276" s="5" t="str">
        <f>HYPERLINK("https://my.pitchbook.com?p=435818-35P","View People Online")</f>
        <v>View People Online</v>
      </c>
    </row>
    <row r="2277">
      <c r="A2277" s="14" t="s">
        <v>15469</v>
      </c>
      <c r="B2277" s="14" t="s">
        <v>15470</v>
      </c>
      <c r="C2277" s="14" t="s">
        <v>15465</v>
      </c>
      <c r="D2277" s="14" t="s">
        <v>15471</v>
      </c>
      <c r="E2277" s="14" t="s">
        <v>13207</v>
      </c>
      <c r="F2277" s="14" t="s">
        <v>13240</v>
      </c>
      <c r="G2277" s="14" t="s">
        <v>15472</v>
      </c>
      <c r="H2277" s="15" t="s">
        <v>31</v>
      </c>
      <c r="I2277" s="15">
        <v>1.0</v>
      </c>
      <c r="J2277" s="15">
        <v>1.0</v>
      </c>
      <c r="K2277" s="15" t="s">
        <v>31</v>
      </c>
      <c r="L2277" s="16" t="s">
        <v>15473</v>
      </c>
      <c r="M2277" s="14" t="s">
        <v>15474</v>
      </c>
      <c r="N2277" s="14" t="s">
        <v>15475</v>
      </c>
      <c r="O2277" s="16" t="s">
        <v>15476</v>
      </c>
      <c r="P2277" s="14" t="s">
        <v>15477</v>
      </c>
      <c r="Q2277" s="14" t="s">
        <v>31</v>
      </c>
      <c r="R2277" s="14" t="s">
        <v>31</v>
      </c>
      <c r="S2277" s="16" t="s">
        <v>15478</v>
      </c>
      <c r="T2277" s="14" t="s">
        <v>3104</v>
      </c>
      <c r="U2277" s="16" t="s">
        <v>15479</v>
      </c>
      <c r="V2277" s="14" t="s">
        <v>15480</v>
      </c>
      <c r="W2277" s="14" t="s">
        <v>13207</v>
      </c>
      <c r="X2277" s="17" t="str">
        <f>HYPERLINK("https://my.pitchbook.com?p=456221-53P","View People Online")</f>
        <v>View People Online</v>
      </c>
    </row>
    <row r="2278">
      <c r="A2278" s="10" t="s">
        <v>15481</v>
      </c>
      <c r="B2278" s="10" t="s">
        <v>15482</v>
      </c>
      <c r="C2278" s="10" t="s">
        <v>15483</v>
      </c>
      <c r="D2278" s="10" t="s">
        <v>15484</v>
      </c>
      <c r="E2278" s="10" t="s">
        <v>13207</v>
      </c>
      <c r="F2278" s="10" t="s">
        <v>13218</v>
      </c>
      <c r="G2278" s="10" t="s">
        <v>15485</v>
      </c>
      <c r="H2278" s="11" t="s">
        <v>31</v>
      </c>
      <c r="I2278" s="11">
        <v>1.0</v>
      </c>
      <c r="J2278" s="11">
        <v>1.0</v>
      </c>
      <c r="K2278" s="11" t="s">
        <v>31</v>
      </c>
      <c r="L2278" s="12" t="s">
        <v>13299</v>
      </c>
      <c r="M2278" s="10" t="s">
        <v>15486</v>
      </c>
      <c r="N2278" s="10" t="s">
        <v>601</v>
      </c>
      <c r="O2278" s="12" t="s">
        <v>602</v>
      </c>
      <c r="P2278" s="10" t="s">
        <v>13301</v>
      </c>
      <c r="Q2278" s="10" t="s">
        <v>13302</v>
      </c>
      <c r="R2278" s="10" t="s">
        <v>31</v>
      </c>
      <c r="S2278" s="12" t="s">
        <v>31</v>
      </c>
      <c r="T2278" s="10" t="s">
        <v>603</v>
      </c>
      <c r="U2278" s="12" t="s">
        <v>13303</v>
      </c>
      <c r="V2278" s="10" t="s">
        <v>13218</v>
      </c>
      <c r="W2278" s="10" t="s">
        <v>13207</v>
      </c>
      <c r="X2278" s="13" t="str">
        <f>HYPERLINK("https://my.pitchbook.com?p=435857-68P","View People Online")</f>
        <v>View People Online</v>
      </c>
    </row>
    <row r="2279">
      <c r="A2279" s="6" t="s">
        <v>15487</v>
      </c>
      <c r="B2279" s="6" t="s">
        <v>15488</v>
      </c>
      <c r="C2279" s="6" t="s">
        <v>15489</v>
      </c>
      <c r="D2279" s="6" t="s">
        <v>15490</v>
      </c>
      <c r="E2279" s="6" t="s">
        <v>13207</v>
      </c>
      <c r="F2279" s="6" t="s">
        <v>11527</v>
      </c>
      <c r="G2279" s="6" t="s">
        <v>15491</v>
      </c>
      <c r="H2279" s="7" t="s">
        <v>31</v>
      </c>
      <c r="I2279" s="7">
        <v>1.0</v>
      </c>
      <c r="J2279" s="7">
        <v>1.0</v>
      </c>
      <c r="K2279" s="7" t="s">
        <v>31</v>
      </c>
      <c r="L2279" s="8" t="s">
        <v>13496</v>
      </c>
      <c r="M2279" s="6" t="s">
        <v>15492</v>
      </c>
      <c r="N2279" s="6" t="s">
        <v>75</v>
      </c>
      <c r="O2279" s="8" t="s">
        <v>76</v>
      </c>
      <c r="P2279" s="6" t="s">
        <v>13498</v>
      </c>
      <c r="Q2279" s="6" t="s">
        <v>31</v>
      </c>
      <c r="R2279" s="6" t="s">
        <v>75</v>
      </c>
      <c r="S2279" s="8" t="s">
        <v>195</v>
      </c>
      <c r="T2279" s="6" t="s">
        <v>66</v>
      </c>
      <c r="U2279" s="8" t="s">
        <v>13499</v>
      </c>
      <c r="V2279" s="6" t="s">
        <v>15493</v>
      </c>
      <c r="W2279" s="6" t="s">
        <v>13207</v>
      </c>
      <c r="X2279" s="9" t="str">
        <f>HYPERLINK("https://my.pitchbook.com?p=456831-19P","View People Online")</f>
        <v>View People Online</v>
      </c>
    </row>
    <row r="2280">
      <c r="A2280" s="10" t="s">
        <v>15494</v>
      </c>
      <c r="B2280" s="10" t="s">
        <v>15495</v>
      </c>
      <c r="C2280" s="10" t="s">
        <v>8648</v>
      </c>
      <c r="D2280" s="10" t="s">
        <v>15496</v>
      </c>
      <c r="E2280" s="10" t="s">
        <v>13207</v>
      </c>
      <c r="F2280" s="10" t="s">
        <v>3523</v>
      </c>
      <c r="G2280" s="10" t="s">
        <v>15497</v>
      </c>
      <c r="H2280" s="11" t="s">
        <v>31</v>
      </c>
      <c r="I2280" s="11">
        <v>1.0</v>
      </c>
      <c r="J2280" s="11">
        <v>1.0</v>
      </c>
      <c r="K2280" s="11" t="s">
        <v>31</v>
      </c>
      <c r="L2280" s="12" t="s">
        <v>13263</v>
      </c>
      <c r="M2280" s="10" t="s">
        <v>15498</v>
      </c>
      <c r="N2280" s="10" t="s">
        <v>1005</v>
      </c>
      <c r="O2280" s="12" t="s">
        <v>1006</v>
      </c>
      <c r="P2280" s="10" t="s">
        <v>13265</v>
      </c>
      <c r="Q2280" s="10" t="s">
        <v>13266</v>
      </c>
      <c r="R2280" s="10" t="s">
        <v>13267</v>
      </c>
      <c r="S2280" s="12" t="s">
        <v>13268</v>
      </c>
      <c r="T2280" s="10" t="s">
        <v>1010</v>
      </c>
      <c r="U2280" s="12" t="s">
        <v>13269</v>
      </c>
      <c r="V2280" s="10" t="s">
        <v>3523</v>
      </c>
      <c r="W2280" s="10" t="s">
        <v>13207</v>
      </c>
      <c r="X2280" s="13" t="str">
        <f>HYPERLINK("https://my.pitchbook.com?p=436225-87P","View People Online")</f>
        <v>View People Online</v>
      </c>
    </row>
    <row r="2281">
      <c r="A2281" s="6" t="s">
        <v>15499</v>
      </c>
      <c r="B2281" s="6" t="s">
        <v>15500</v>
      </c>
      <c r="C2281" s="6" t="s">
        <v>15501</v>
      </c>
      <c r="D2281" s="6" t="s">
        <v>15502</v>
      </c>
      <c r="E2281" s="6" t="s">
        <v>13207</v>
      </c>
      <c r="F2281" s="6" t="s">
        <v>3523</v>
      </c>
      <c r="G2281" s="6" t="s">
        <v>15503</v>
      </c>
      <c r="H2281" s="7" t="s">
        <v>31</v>
      </c>
      <c r="I2281" s="7">
        <v>1.0</v>
      </c>
      <c r="J2281" s="7">
        <v>1.0</v>
      </c>
      <c r="K2281" s="7" t="s">
        <v>31</v>
      </c>
      <c r="L2281" s="8" t="s">
        <v>15504</v>
      </c>
      <c r="M2281" s="6" t="s">
        <v>15505</v>
      </c>
      <c r="N2281" s="6" t="s">
        <v>15506</v>
      </c>
      <c r="O2281" s="8" t="s">
        <v>15507</v>
      </c>
      <c r="P2281" s="6" t="s">
        <v>15508</v>
      </c>
      <c r="Q2281" s="6" t="s">
        <v>15509</v>
      </c>
      <c r="R2281" s="6" t="s">
        <v>31</v>
      </c>
      <c r="S2281" s="8" t="s">
        <v>15510</v>
      </c>
      <c r="T2281" s="6" t="s">
        <v>1010</v>
      </c>
      <c r="U2281" s="8" t="s">
        <v>15511</v>
      </c>
      <c r="V2281" s="6" t="s">
        <v>3523</v>
      </c>
      <c r="W2281" s="6" t="s">
        <v>13207</v>
      </c>
      <c r="X2281" s="9" t="str">
        <f>HYPERLINK("https://my.pitchbook.com?p=435018-43P","View People Online")</f>
        <v>View People Online</v>
      </c>
    </row>
    <row r="2282">
      <c r="A2282" s="10" t="s">
        <v>15512</v>
      </c>
      <c r="B2282" s="10" t="s">
        <v>15513</v>
      </c>
      <c r="C2282" s="10" t="s">
        <v>15514</v>
      </c>
      <c r="D2282" s="10" t="s">
        <v>1267</v>
      </c>
      <c r="E2282" s="10" t="s">
        <v>13207</v>
      </c>
      <c r="F2282" s="10" t="s">
        <v>3523</v>
      </c>
      <c r="G2282" s="10" t="s">
        <v>15515</v>
      </c>
      <c r="H2282" s="11" t="s">
        <v>31</v>
      </c>
      <c r="I2282" s="11">
        <v>1.0</v>
      </c>
      <c r="J2282" s="11">
        <v>1.0</v>
      </c>
      <c r="K2282" s="11" t="s">
        <v>31</v>
      </c>
      <c r="L2282" s="12" t="s">
        <v>13423</v>
      </c>
      <c r="M2282" s="10" t="s">
        <v>15516</v>
      </c>
      <c r="N2282" s="10" t="s">
        <v>243</v>
      </c>
      <c r="O2282" s="12" t="s">
        <v>244</v>
      </c>
      <c r="P2282" s="10" t="s">
        <v>13425</v>
      </c>
      <c r="Q2282" s="10" t="s">
        <v>31</v>
      </c>
      <c r="R2282" s="10" t="s">
        <v>247</v>
      </c>
      <c r="S2282" s="12" t="s">
        <v>13426</v>
      </c>
      <c r="T2282" s="10" t="s">
        <v>249</v>
      </c>
      <c r="U2282" s="12" t="s">
        <v>31</v>
      </c>
      <c r="V2282" s="10" t="s">
        <v>3523</v>
      </c>
      <c r="W2282" s="10" t="s">
        <v>13207</v>
      </c>
      <c r="X2282" s="13" t="str">
        <f>HYPERLINK("https://my.pitchbook.com?p=231282-19P","View People Online")</f>
        <v>View People Online</v>
      </c>
    </row>
    <row r="2283">
      <c r="A2283" s="14" t="s">
        <v>15517</v>
      </c>
      <c r="B2283" s="14" t="s">
        <v>15518</v>
      </c>
      <c r="C2283" s="14" t="s">
        <v>15519</v>
      </c>
      <c r="D2283" s="14" t="s">
        <v>15520</v>
      </c>
      <c r="E2283" s="14" t="s">
        <v>13207</v>
      </c>
      <c r="F2283" s="14" t="s">
        <v>13240</v>
      </c>
      <c r="G2283" s="14" t="s">
        <v>15521</v>
      </c>
      <c r="H2283" s="15" t="s">
        <v>31</v>
      </c>
      <c r="I2283" s="15">
        <v>1.0</v>
      </c>
      <c r="J2283" s="15">
        <v>1.0</v>
      </c>
      <c r="K2283" s="15" t="s">
        <v>31</v>
      </c>
      <c r="L2283" s="16" t="s">
        <v>13459</v>
      </c>
      <c r="M2283" s="14" t="s">
        <v>15522</v>
      </c>
      <c r="N2283" s="14" t="s">
        <v>3100</v>
      </c>
      <c r="O2283" s="16" t="s">
        <v>3101</v>
      </c>
      <c r="P2283" s="14" t="s">
        <v>13461</v>
      </c>
      <c r="Q2283" s="14" t="s">
        <v>31</v>
      </c>
      <c r="R2283" s="14" t="s">
        <v>31</v>
      </c>
      <c r="S2283" s="16" t="s">
        <v>3103</v>
      </c>
      <c r="T2283" s="14" t="s">
        <v>3104</v>
      </c>
      <c r="U2283" s="16" t="s">
        <v>13462</v>
      </c>
      <c r="V2283" s="14" t="s">
        <v>15523</v>
      </c>
      <c r="W2283" s="14" t="s">
        <v>13207</v>
      </c>
      <c r="X2283" s="17" t="str">
        <f>HYPERLINK("https://my.pitchbook.com?p=436279-42P","View People Online")</f>
        <v>View People Online</v>
      </c>
    </row>
    <row r="2284">
      <c r="A2284" s="2" t="s">
        <v>15524</v>
      </c>
      <c r="B2284" s="2" t="s">
        <v>15525</v>
      </c>
      <c r="C2284" s="2" t="s">
        <v>4943</v>
      </c>
      <c r="D2284" s="2" t="s">
        <v>15526</v>
      </c>
      <c r="E2284" s="2" t="s">
        <v>13207</v>
      </c>
      <c r="F2284" s="2" t="s">
        <v>3523</v>
      </c>
      <c r="G2284" s="2" t="s">
        <v>15527</v>
      </c>
      <c r="H2284" s="3" t="s">
        <v>31</v>
      </c>
      <c r="I2284" s="3">
        <v>1.0</v>
      </c>
      <c r="J2284" s="3">
        <v>1.0</v>
      </c>
      <c r="K2284" s="3" t="s">
        <v>31</v>
      </c>
      <c r="L2284" s="4" t="s">
        <v>13496</v>
      </c>
      <c r="M2284" s="2" t="s">
        <v>15528</v>
      </c>
      <c r="N2284" s="2" t="s">
        <v>75</v>
      </c>
      <c r="O2284" s="4" t="s">
        <v>76</v>
      </c>
      <c r="P2284" s="2" t="s">
        <v>13498</v>
      </c>
      <c r="Q2284" s="2" t="s">
        <v>31</v>
      </c>
      <c r="R2284" s="2" t="s">
        <v>75</v>
      </c>
      <c r="S2284" s="4" t="s">
        <v>195</v>
      </c>
      <c r="T2284" s="2" t="s">
        <v>66</v>
      </c>
      <c r="U2284" s="4" t="s">
        <v>13499</v>
      </c>
      <c r="V2284" s="2" t="s">
        <v>3523</v>
      </c>
      <c r="W2284" s="2" t="s">
        <v>13207</v>
      </c>
      <c r="X2284" s="5" t="str">
        <f>HYPERLINK("https://my.pitchbook.com?p=434823-31P","View People Online")</f>
        <v>View People Online</v>
      </c>
    </row>
    <row r="2285">
      <c r="A2285" s="14" t="s">
        <v>15529</v>
      </c>
      <c r="B2285" s="14" t="s">
        <v>15530</v>
      </c>
      <c r="C2285" s="14" t="s">
        <v>4943</v>
      </c>
      <c r="D2285" s="14" t="s">
        <v>15531</v>
      </c>
      <c r="E2285" s="14" t="s">
        <v>13207</v>
      </c>
      <c r="F2285" s="14" t="s">
        <v>13218</v>
      </c>
      <c r="G2285" s="14" t="s">
        <v>15532</v>
      </c>
      <c r="H2285" s="15" t="s">
        <v>31</v>
      </c>
      <c r="I2285" s="15">
        <v>1.0</v>
      </c>
      <c r="J2285" s="15">
        <v>1.0</v>
      </c>
      <c r="K2285" s="15" t="s">
        <v>31</v>
      </c>
      <c r="L2285" s="16" t="s">
        <v>13209</v>
      </c>
      <c r="M2285" s="14" t="s">
        <v>15533</v>
      </c>
      <c r="N2285" s="14" t="s">
        <v>4232</v>
      </c>
      <c r="O2285" s="16" t="s">
        <v>4233</v>
      </c>
      <c r="P2285" s="14" t="s">
        <v>13211</v>
      </c>
      <c r="Q2285" s="14" t="s">
        <v>31</v>
      </c>
      <c r="R2285" s="14" t="s">
        <v>4236</v>
      </c>
      <c r="S2285" s="16" t="s">
        <v>13212</v>
      </c>
      <c r="T2285" s="14" t="s">
        <v>66</v>
      </c>
      <c r="U2285" s="16" t="s">
        <v>13213</v>
      </c>
      <c r="V2285" s="14" t="s">
        <v>13218</v>
      </c>
      <c r="W2285" s="14" t="s">
        <v>13207</v>
      </c>
      <c r="X2285" s="17" t="str">
        <f>HYPERLINK("https://my.pitchbook.com?p=456544-72P","View People Online")</f>
        <v>View People Online</v>
      </c>
    </row>
    <row r="2286">
      <c r="A2286" s="10" t="s">
        <v>15534</v>
      </c>
      <c r="B2286" s="10" t="s">
        <v>15535</v>
      </c>
      <c r="C2286" s="10" t="s">
        <v>3625</v>
      </c>
      <c r="D2286" s="10" t="s">
        <v>15536</v>
      </c>
      <c r="E2286" s="10" t="s">
        <v>13207</v>
      </c>
      <c r="F2286" s="10" t="s">
        <v>13307</v>
      </c>
      <c r="G2286" s="10" t="s">
        <v>15537</v>
      </c>
      <c r="H2286" s="11" t="s">
        <v>31</v>
      </c>
      <c r="I2286" s="11">
        <v>1.0</v>
      </c>
      <c r="J2286" s="11">
        <v>1.0</v>
      </c>
      <c r="K2286" s="11" t="s">
        <v>31</v>
      </c>
      <c r="L2286" s="12" t="s">
        <v>13496</v>
      </c>
      <c r="M2286" s="10" t="s">
        <v>15538</v>
      </c>
      <c r="N2286" s="10" t="s">
        <v>75</v>
      </c>
      <c r="O2286" s="12" t="s">
        <v>76</v>
      </c>
      <c r="P2286" s="10" t="s">
        <v>13498</v>
      </c>
      <c r="Q2286" s="10" t="s">
        <v>31</v>
      </c>
      <c r="R2286" s="10" t="s">
        <v>75</v>
      </c>
      <c r="S2286" s="12" t="s">
        <v>195</v>
      </c>
      <c r="T2286" s="10" t="s">
        <v>66</v>
      </c>
      <c r="U2286" s="12" t="s">
        <v>13499</v>
      </c>
      <c r="V2286" s="10" t="s">
        <v>13317</v>
      </c>
      <c r="W2286" s="10" t="s">
        <v>13207</v>
      </c>
      <c r="X2286" s="13" t="str">
        <f>HYPERLINK("https://my.pitchbook.com?p=455684-86P","View People Online")</f>
        <v>View People Online</v>
      </c>
    </row>
    <row r="2287">
      <c r="A2287" s="6" t="s">
        <v>15539</v>
      </c>
      <c r="B2287" s="6" t="s">
        <v>15540</v>
      </c>
      <c r="C2287" s="6" t="s">
        <v>69</v>
      </c>
      <c r="D2287" s="6" t="s">
        <v>15541</v>
      </c>
      <c r="E2287" s="6" t="s">
        <v>13207</v>
      </c>
      <c r="F2287" s="6" t="s">
        <v>13218</v>
      </c>
      <c r="G2287" s="6" t="s">
        <v>15542</v>
      </c>
      <c r="H2287" s="7" t="s">
        <v>31</v>
      </c>
      <c r="I2287" s="7">
        <v>1.0</v>
      </c>
      <c r="J2287" s="7">
        <v>1.0</v>
      </c>
      <c r="K2287" s="7" t="s">
        <v>31</v>
      </c>
      <c r="L2287" s="8" t="s">
        <v>13953</v>
      </c>
      <c r="M2287" s="6" t="s">
        <v>15543</v>
      </c>
      <c r="N2287" s="6" t="s">
        <v>1170</v>
      </c>
      <c r="O2287" s="8" t="s">
        <v>1171</v>
      </c>
      <c r="P2287" s="6" t="s">
        <v>13955</v>
      </c>
      <c r="Q2287" s="6" t="s">
        <v>13956</v>
      </c>
      <c r="R2287" s="6" t="s">
        <v>64</v>
      </c>
      <c r="S2287" s="8" t="s">
        <v>13957</v>
      </c>
      <c r="T2287" s="6" t="s">
        <v>66</v>
      </c>
      <c r="U2287" s="8" t="s">
        <v>13958</v>
      </c>
      <c r="V2287" s="6" t="s">
        <v>13218</v>
      </c>
      <c r="W2287" s="6" t="s">
        <v>13207</v>
      </c>
      <c r="X2287" s="9" t="str">
        <f>HYPERLINK("https://my.pitchbook.com?p=434808-01P","View People Online")</f>
        <v>View People Online</v>
      </c>
    </row>
    <row r="2288">
      <c r="A2288" s="10" t="s">
        <v>15544</v>
      </c>
      <c r="B2288" s="10" t="s">
        <v>15545</v>
      </c>
      <c r="C2288" s="10" t="s">
        <v>69</v>
      </c>
      <c r="D2288" s="10" t="s">
        <v>15546</v>
      </c>
      <c r="E2288" s="10" t="s">
        <v>13207</v>
      </c>
      <c r="F2288" s="10" t="s">
        <v>13218</v>
      </c>
      <c r="G2288" s="10" t="s">
        <v>15547</v>
      </c>
      <c r="H2288" s="11" t="s">
        <v>31</v>
      </c>
      <c r="I2288" s="11">
        <v>1.0</v>
      </c>
      <c r="J2288" s="11">
        <v>1.0</v>
      </c>
      <c r="K2288" s="11" t="s">
        <v>31</v>
      </c>
      <c r="L2288" s="12" t="s">
        <v>13766</v>
      </c>
      <c r="M2288" s="10" t="s">
        <v>15548</v>
      </c>
      <c r="N2288" s="10" t="s">
        <v>13768</v>
      </c>
      <c r="O2288" s="12" t="s">
        <v>13769</v>
      </c>
      <c r="P2288" s="10" t="s">
        <v>13770</v>
      </c>
      <c r="Q2288" s="10" t="s">
        <v>13771</v>
      </c>
      <c r="R2288" s="10" t="s">
        <v>31</v>
      </c>
      <c r="S2288" s="12" t="s">
        <v>13772</v>
      </c>
      <c r="T2288" s="10" t="s">
        <v>13773</v>
      </c>
      <c r="U2288" s="12" t="s">
        <v>31</v>
      </c>
      <c r="V2288" s="10" t="s">
        <v>13218</v>
      </c>
      <c r="W2288" s="10" t="s">
        <v>13207</v>
      </c>
      <c r="X2288" s="13" t="str">
        <f>HYPERLINK("https://my.pitchbook.com?p=435318-76P","View People Online")</f>
        <v>View People Online</v>
      </c>
    </row>
    <row r="2289">
      <c r="A2289" s="14" t="s">
        <v>15549</v>
      </c>
      <c r="B2289" s="14" t="s">
        <v>15550</v>
      </c>
      <c r="C2289" s="14" t="s">
        <v>69</v>
      </c>
      <c r="D2289" s="14" t="s">
        <v>15551</v>
      </c>
      <c r="E2289" s="14" t="s">
        <v>13207</v>
      </c>
      <c r="F2289" s="14" t="s">
        <v>3523</v>
      </c>
      <c r="G2289" s="14" t="s">
        <v>15552</v>
      </c>
      <c r="H2289" s="15" t="s">
        <v>31</v>
      </c>
      <c r="I2289" s="15">
        <v>1.0</v>
      </c>
      <c r="J2289" s="15">
        <v>1.0</v>
      </c>
      <c r="K2289" s="15" t="s">
        <v>31</v>
      </c>
      <c r="L2289" s="16" t="s">
        <v>13242</v>
      </c>
      <c r="M2289" s="14" t="s">
        <v>15553</v>
      </c>
      <c r="N2289" s="14" t="s">
        <v>9865</v>
      </c>
      <c r="O2289" s="16" t="s">
        <v>9866</v>
      </c>
      <c r="P2289" s="14" t="s">
        <v>13244</v>
      </c>
      <c r="Q2289" s="14" t="s">
        <v>31</v>
      </c>
      <c r="R2289" s="14" t="s">
        <v>31</v>
      </c>
      <c r="S2289" s="16" t="s">
        <v>13245</v>
      </c>
      <c r="T2289" s="14" t="s">
        <v>38</v>
      </c>
      <c r="U2289" s="16" t="s">
        <v>13246</v>
      </c>
      <c r="V2289" s="14" t="s">
        <v>3523</v>
      </c>
      <c r="W2289" s="14" t="s">
        <v>13207</v>
      </c>
      <c r="X2289" s="17" t="str">
        <f>HYPERLINK("https://my.pitchbook.com?p=436282-66P","View People Online")</f>
        <v>View People Online</v>
      </c>
    </row>
    <row r="2290">
      <c r="A2290" s="2" t="s">
        <v>15554</v>
      </c>
      <c r="B2290" s="2" t="s">
        <v>15555</v>
      </c>
      <c r="C2290" s="2" t="s">
        <v>69</v>
      </c>
      <c r="D2290" s="2" t="s">
        <v>15556</v>
      </c>
      <c r="E2290" s="2" t="s">
        <v>13207</v>
      </c>
      <c r="F2290" s="2" t="s">
        <v>13218</v>
      </c>
      <c r="G2290" s="2" t="s">
        <v>15557</v>
      </c>
      <c r="H2290" s="3" t="s">
        <v>31</v>
      </c>
      <c r="I2290" s="3">
        <v>1.0</v>
      </c>
      <c r="J2290" s="3">
        <v>1.0</v>
      </c>
      <c r="K2290" s="3" t="s">
        <v>31</v>
      </c>
      <c r="L2290" s="4" t="s">
        <v>13209</v>
      </c>
      <c r="M2290" s="2" t="s">
        <v>15558</v>
      </c>
      <c r="N2290" s="2" t="s">
        <v>4232</v>
      </c>
      <c r="O2290" s="4" t="s">
        <v>4233</v>
      </c>
      <c r="P2290" s="2" t="s">
        <v>13211</v>
      </c>
      <c r="Q2290" s="2" t="s">
        <v>31</v>
      </c>
      <c r="R2290" s="2" t="s">
        <v>4236</v>
      </c>
      <c r="S2290" s="4" t="s">
        <v>13212</v>
      </c>
      <c r="T2290" s="2" t="s">
        <v>66</v>
      </c>
      <c r="U2290" s="4" t="s">
        <v>13213</v>
      </c>
      <c r="V2290" s="2" t="s">
        <v>13218</v>
      </c>
      <c r="W2290" s="2" t="s">
        <v>13207</v>
      </c>
      <c r="X2290" s="5" t="str">
        <f>HYPERLINK("https://my.pitchbook.com?p=436212-91P","View People Online")</f>
        <v>View People Online</v>
      </c>
    </row>
    <row r="2291">
      <c r="A2291" s="6" t="s">
        <v>15559</v>
      </c>
      <c r="B2291" s="6" t="s">
        <v>15560</v>
      </c>
      <c r="C2291" s="6" t="s">
        <v>69</v>
      </c>
      <c r="D2291" s="6" t="s">
        <v>15561</v>
      </c>
      <c r="E2291" s="6" t="s">
        <v>13207</v>
      </c>
      <c r="F2291" s="6" t="s">
        <v>318</v>
      </c>
      <c r="G2291" s="6" t="s">
        <v>15562</v>
      </c>
      <c r="H2291" s="7" t="s">
        <v>31</v>
      </c>
      <c r="I2291" s="7">
        <v>1.0</v>
      </c>
      <c r="J2291" s="7">
        <v>1.0</v>
      </c>
      <c r="K2291" s="7" t="s">
        <v>31</v>
      </c>
      <c r="L2291" s="8" t="s">
        <v>13423</v>
      </c>
      <c r="M2291" s="6" t="s">
        <v>15563</v>
      </c>
      <c r="N2291" s="6" t="s">
        <v>243</v>
      </c>
      <c r="O2291" s="8" t="s">
        <v>244</v>
      </c>
      <c r="P2291" s="6" t="s">
        <v>13425</v>
      </c>
      <c r="Q2291" s="6" t="s">
        <v>31</v>
      </c>
      <c r="R2291" s="6" t="s">
        <v>247</v>
      </c>
      <c r="S2291" s="8" t="s">
        <v>13426</v>
      </c>
      <c r="T2291" s="6" t="s">
        <v>249</v>
      </c>
      <c r="U2291" s="8" t="s">
        <v>31</v>
      </c>
      <c r="V2291" s="6" t="s">
        <v>318</v>
      </c>
      <c r="W2291" s="6" t="s">
        <v>13207</v>
      </c>
      <c r="X2291" s="9" t="str">
        <f>HYPERLINK("https://my.pitchbook.com?p=456097-60P","View People Online")</f>
        <v>View People Online</v>
      </c>
    </row>
    <row r="2292">
      <c r="A2292" s="2" t="s">
        <v>15564</v>
      </c>
      <c r="B2292" s="2" t="s">
        <v>15565</v>
      </c>
      <c r="C2292" s="2" t="s">
        <v>69</v>
      </c>
      <c r="D2292" s="2" t="s">
        <v>15566</v>
      </c>
      <c r="E2292" s="2" t="s">
        <v>13207</v>
      </c>
      <c r="F2292" s="2" t="s">
        <v>13218</v>
      </c>
      <c r="G2292" s="2" t="s">
        <v>15567</v>
      </c>
      <c r="H2292" s="3" t="s">
        <v>31</v>
      </c>
      <c r="I2292" s="3">
        <v>1.0</v>
      </c>
      <c r="J2292" s="3">
        <v>1.0</v>
      </c>
      <c r="K2292" s="3" t="s">
        <v>31</v>
      </c>
      <c r="L2292" s="4" t="s">
        <v>13209</v>
      </c>
      <c r="M2292" s="2" t="s">
        <v>15568</v>
      </c>
      <c r="N2292" s="2" t="s">
        <v>4232</v>
      </c>
      <c r="O2292" s="4" t="s">
        <v>4233</v>
      </c>
      <c r="P2292" s="2" t="s">
        <v>13211</v>
      </c>
      <c r="Q2292" s="2" t="s">
        <v>31</v>
      </c>
      <c r="R2292" s="2" t="s">
        <v>4236</v>
      </c>
      <c r="S2292" s="4" t="s">
        <v>13212</v>
      </c>
      <c r="T2292" s="2" t="s">
        <v>66</v>
      </c>
      <c r="U2292" s="4" t="s">
        <v>13213</v>
      </c>
      <c r="V2292" s="2" t="s">
        <v>13218</v>
      </c>
      <c r="W2292" s="2" t="s">
        <v>13207</v>
      </c>
      <c r="X2292" s="5" t="str">
        <f>HYPERLINK("https://my.pitchbook.com?p=436294-72P","View People Online")</f>
        <v>View People Online</v>
      </c>
    </row>
    <row r="2293">
      <c r="A2293" s="6" t="s">
        <v>15569</v>
      </c>
      <c r="B2293" s="6" t="s">
        <v>15570</v>
      </c>
      <c r="C2293" s="6" t="s">
        <v>69</v>
      </c>
      <c r="D2293" s="6" t="s">
        <v>15571</v>
      </c>
      <c r="E2293" s="6" t="s">
        <v>13207</v>
      </c>
      <c r="F2293" s="6" t="s">
        <v>3523</v>
      </c>
      <c r="G2293" s="6" t="s">
        <v>15572</v>
      </c>
      <c r="H2293" s="7" t="s">
        <v>31</v>
      </c>
      <c r="I2293" s="7">
        <v>1.0</v>
      </c>
      <c r="J2293" s="7">
        <v>1.0</v>
      </c>
      <c r="K2293" s="7" t="s">
        <v>31</v>
      </c>
      <c r="L2293" s="8" t="s">
        <v>13531</v>
      </c>
      <c r="M2293" s="6" t="s">
        <v>15573</v>
      </c>
      <c r="N2293" s="6" t="s">
        <v>2273</v>
      </c>
      <c r="O2293" s="8" t="s">
        <v>2274</v>
      </c>
      <c r="P2293" s="6" t="s">
        <v>13533</v>
      </c>
      <c r="Q2293" s="6" t="s">
        <v>31</v>
      </c>
      <c r="R2293" s="6" t="s">
        <v>31</v>
      </c>
      <c r="S2293" s="8" t="s">
        <v>13534</v>
      </c>
      <c r="T2293" s="6" t="s">
        <v>2278</v>
      </c>
      <c r="U2293" s="8" t="s">
        <v>13535</v>
      </c>
      <c r="V2293" s="6" t="s">
        <v>3523</v>
      </c>
      <c r="W2293" s="6" t="s">
        <v>13207</v>
      </c>
      <c r="X2293" s="9" t="str">
        <f>HYPERLINK("https://my.pitchbook.com?p=455955-22P","View People Online")</f>
        <v>View People Online</v>
      </c>
    </row>
    <row r="2294">
      <c r="A2294" s="2" t="s">
        <v>15574</v>
      </c>
      <c r="B2294" s="2" t="s">
        <v>15575</v>
      </c>
      <c r="C2294" s="2" t="s">
        <v>69</v>
      </c>
      <c r="D2294" s="2" t="s">
        <v>15576</v>
      </c>
      <c r="E2294" s="2" t="s">
        <v>13207</v>
      </c>
      <c r="F2294" s="2" t="s">
        <v>13218</v>
      </c>
      <c r="G2294" s="2" t="s">
        <v>15577</v>
      </c>
      <c r="H2294" s="3" t="s">
        <v>31</v>
      </c>
      <c r="I2294" s="3">
        <v>1.0</v>
      </c>
      <c r="J2294" s="3">
        <v>1.0</v>
      </c>
      <c r="K2294" s="3" t="s">
        <v>31</v>
      </c>
      <c r="L2294" s="4" t="s">
        <v>13459</v>
      </c>
      <c r="M2294" s="2" t="s">
        <v>15578</v>
      </c>
      <c r="N2294" s="2" t="s">
        <v>3100</v>
      </c>
      <c r="O2294" s="4" t="s">
        <v>3101</v>
      </c>
      <c r="P2294" s="2" t="s">
        <v>13461</v>
      </c>
      <c r="Q2294" s="2" t="s">
        <v>31</v>
      </c>
      <c r="R2294" s="2" t="s">
        <v>31</v>
      </c>
      <c r="S2294" s="4" t="s">
        <v>3103</v>
      </c>
      <c r="T2294" s="2" t="s">
        <v>3104</v>
      </c>
      <c r="U2294" s="4" t="s">
        <v>13462</v>
      </c>
      <c r="V2294" s="2" t="s">
        <v>13218</v>
      </c>
      <c r="W2294" s="2" t="s">
        <v>13207</v>
      </c>
      <c r="X2294" s="5" t="str">
        <f>HYPERLINK("https://my.pitchbook.com?p=456715-18P","View People Online")</f>
        <v>View People Online</v>
      </c>
    </row>
    <row r="2295">
      <c r="A2295" s="14" t="s">
        <v>15579</v>
      </c>
      <c r="B2295" s="14" t="s">
        <v>15580</v>
      </c>
      <c r="C2295" s="14" t="s">
        <v>69</v>
      </c>
      <c r="D2295" s="14" t="s">
        <v>15581</v>
      </c>
      <c r="E2295" s="14" t="s">
        <v>13207</v>
      </c>
      <c r="F2295" s="14" t="s">
        <v>13218</v>
      </c>
      <c r="G2295" s="14" t="s">
        <v>15582</v>
      </c>
      <c r="H2295" s="15" t="s">
        <v>31</v>
      </c>
      <c r="I2295" s="15">
        <v>1.0</v>
      </c>
      <c r="J2295" s="15">
        <v>1.0</v>
      </c>
      <c r="K2295" s="15" t="s">
        <v>31</v>
      </c>
      <c r="L2295" s="16" t="s">
        <v>13459</v>
      </c>
      <c r="M2295" s="14" t="s">
        <v>15583</v>
      </c>
      <c r="N2295" s="14" t="s">
        <v>3100</v>
      </c>
      <c r="O2295" s="16" t="s">
        <v>3101</v>
      </c>
      <c r="P2295" s="14" t="s">
        <v>13461</v>
      </c>
      <c r="Q2295" s="14" t="s">
        <v>31</v>
      </c>
      <c r="R2295" s="14" t="s">
        <v>31</v>
      </c>
      <c r="S2295" s="16" t="s">
        <v>3103</v>
      </c>
      <c r="T2295" s="14" t="s">
        <v>3104</v>
      </c>
      <c r="U2295" s="16" t="s">
        <v>13462</v>
      </c>
      <c r="V2295" s="14" t="s">
        <v>13218</v>
      </c>
      <c r="W2295" s="14" t="s">
        <v>13207</v>
      </c>
      <c r="X2295" s="17" t="str">
        <f>HYPERLINK("https://my.pitchbook.com?p=456400-45P","View People Online")</f>
        <v>View People Online</v>
      </c>
    </row>
    <row r="2296">
      <c r="A2296" s="2" t="s">
        <v>15584</v>
      </c>
      <c r="B2296" s="2" t="s">
        <v>15585</v>
      </c>
      <c r="C2296" s="2" t="s">
        <v>69</v>
      </c>
      <c r="D2296" s="2" t="s">
        <v>15586</v>
      </c>
      <c r="E2296" s="2" t="s">
        <v>13207</v>
      </c>
      <c r="F2296" s="2" t="s">
        <v>13218</v>
      </c>
      <c r="G2296" s="2" t="s">
        <v>15587</v>
      </c>
      <c r="H2296" s="3" t="s">
        <v>31</v>
      </c>
      <c r="I2296" s="3">
        <v>1.0</v>
      </c>
      <c r="J2296" s="3">
        <v>1.0</v>
      </c>
      <c r="K2296" s="3" t="s">
        <v>31</v>
      </c>
      <c r="L2296" s="4" t="s">
        <v>14014</v>
      </c>
      <c r="M2296" s="2" t="s">
        <v>15588</v>
      </c>
      <c r="N2296" s="2" t="s">
        <v>14016</v>
      </c>
      <c r="O2296" s="4" t="s">
        <v>14017</v>
      </c>
      <c r="P2296" s="2" t="s">
        <v>14018</v>
      </c>
      <c r="Q2296" s="2" t="s">
        <v>14019</v>
      </c>
      <c r="R2296" s="2" t="s">
        <v>31</v>
      </c>
      <c r="S2296" s="4" t="s">
        <v>14020</v>
      </c>
      <c r="T2296" s="2" t="s">
        <v>38</v>
      </c>
      <c r="U2296" s="4" t="s">
        <v>14014</v>
      </c>
      <c r="V2296" s="2" t="s">
        <v>13218</v>
      </c>
      <c r="W2296" s="2" t="s">
        <v>13207</v>
      </c>
      <c r="X2296" s="5" t="str">
        <f>HYPERLINK("https://my.pitchbook.com?p=456722-20P","View People Online")</f>
        <v>View People Online</v>
      </c>
    </row>
    <row r="2297">
      <c r="A2297" s="6" t="s">
        <v>15589</v>
      </c>
      <c r="B2297" s="6" t="s">
        <v>15590</v>
      </c>
      <c r="C2297" s="6" t="s">
        <v>69</v>
      </c>
      <c r="D2297" s="6" t="s">
        <v>15591</v>
      </c>
      <c r="E2297" s="6" t="s">
        <v>13207</v>
      </c>
      <c r="F2297" s="6" t="s">
        <v>318</v>
      </c>
      <c r="G2297" s="6" t="s">
        <v>15592</v>
      </c>
      <c r="H2297" s="7" t="s">
        <v>31</v>
      </c>
      <c r="I2297" s="7">
        <v>1.0</v>
      </c>
      <c r="J2297" s="7">
        <v>1.0</v>
      </c>
      <c r="K2297" s="7" t="s">
        <v>31</v>
      </c>
      <c r="L2297" s="8" t="s">
        <v>15050</v>
      </c>
      <c r="M2297" s="6" t="s">
        <v>15593</v>
      </c>
      <c r="N2297" s="6" t="s">
        <v>15052</v>
      </c>
      <c r="O2297" s="8" t="s">
        <v>15053</v>
      </c>
      <c r="P2297" s="6" t="s">
        <v>15054</v>
      </c>
      <c r="Q2297" s="6" t="s">
        <v>15055</v>
      </c>
      <c r="R2297" s="6" t="s">
        <v>31</v>
      </c>
      <c r="S2297" s="8" t="s">
        <v>15056</v>
      </c>
      <c r="T2297" s="6" t="s">
        <v>38</v>
      </c>
      <c r="U2297" s="8" t="s">
        <v>15057</v>
      </c>
      <c r="V2297" s="6" t="s">
        <v>15594</v>
      </c>
      <c r="W2297" s="6" t="s">
        <v>13207</v>
      </c>
      <c r="X2297" s="9" t="str">
        <f>HYPERLINK("https://my.pitchbook.com?p=436275-73P","View People Online")</f>
        <v>View People Online</v>
      </c>
    </row>
    <row r="2298">
      <c r="A2298" s="2" t="s">
        <v>15595</v>
      </c>
      <c r="B2298" s="2" t="s">
        <v>15596</v>
      </c>
      <c r="C2298" s="2" t="s">
        <v>69</v>
      </c>
      <c r="D2298" s="2" t="s">
        <v>2269</v>
      </c>
      <c r="E2298" s="2" t="s">
        <v>13207</v>
      </c>
      <c r="F2298" s="2" t="s">
        <v>13218</v>
      </c>
      <c r="G2298" s="2" t="s">
        <v>15597</v>
      </c>
      <c r="H2298" s="3" t="s">
        <v>31</v>
      </c>
      <c r="I2298" s="3">
        <v>1.0</v>
      </c>
      <c r="J2298" s="3">
        <v>1.0</v>
      </c>
      <c r="K2298" s="3" t="s">
        <v>31</v>
      </c>
      <c r="L2298" s="4" t="s">
        <v>13531</v>
      </c>
      <c r="M2298" s="2" t="s">
        <v>15598</v>
      </c>
      <c r="N2298" s="2" t="s">
        <v>2273</v>
      </c>
      <c r="O2298" s="4" t="s">
        <v>2274</v>
      </c>
      <c r="P2298" s="2" t="s">
        <v>13533</v>
      </c>
      <c r="Q2298" s="2" t="s">
        <v>31</v>
      </c>
      <c r="R2298" s="2" t="s">
        <v>31</v>
      </c>
      <c r="S2298" s="4" t="s">
        <v>13534</v>
      </c>
      <c r="T2298" s="2" t="s">
        <v>2278</v>
      </c>
      <c r="U2298" s="4" t="s">
        <v>13535</v>
      </c>
      <c r="V2298" s="2" t="s">
        <v>13218</v>
      </c>
      <c r="W2298" s="2" t="s">
        <v>13207</v>
      </c>
      <c r="X2298" s="5" t="str">
        <f>HYPERLINK("https://my.pitchbook.com?p=456652-99P","View People Online")</f>
        <v>View People Online</v>
      </c>
    </row>
    <row r="2299">
      <c r="A2299" s="6" t="s">
        <v>15599</v>
      </c>
      <c r="B2299" s="6" t="s">
        <v>15600</v>
      </c>
      <c r="C2299" s="6" t="s">
        <v>69</v>
      </c>
      <c r="D2299" s="6" t="s">
        <v>15601</v>
      </c>
      <c r="E2299" s="6" t="s">
        <v>13207</v>
      </c>
      <c r="F2299" s="6" t="s">
        <v>1283</v>
      </c>
      <c r="G2299" s="6" t="s">
        <v>15602</v>
      </c>
      <c r="H2299" s="7" t="s">
        <v>31</v>
      </c>
      <c r="I2299" s="7">
        <v>1.0</v>
      </c>
      <c r="J2299" s="7">
        <v>1.0</v>
      </c>
      <c r="K2299" s="7" t="s">
        <v>31</v>
      </c>
      <c r="L2299" s="8" t="s">
        <v>13274</v>
      </c>
      <c r="M2299" s="6" t="s">
        <v>15603</v>
      </c>
      <c r="N2299" s="6" t="s">
        <v>1181</v>
      </c>
      <c r="O2299" s="8" t="s">
        <v>1182</v>
      </c>
      <c r="P2299" s="6" t="s">
        <v>13276</v>
      </c>
      <c r="Q2299" s="6" t="s">
        <v>31</v>
      </c>
      <c r="R2299" s="6" t="s">
        <v>1185</v>
      </c>
      <c r="S2299" s="8" t="s">
        <v>4438</v>
      </c>
      <c r="T2299" s="6" t="s">
        <v>66</v>
      </c>
      <c r="U2299" s="8" t="s">
        <v>13277</v>
      </c>
      <c r="V2299" s="6" t="s">
        <v>1283</v>
      </c>
      <c r="W2299" s="6" t="s">
        <v>13207</v>
      </c>
      <c r="X2299" s="9" t="str">
        <f>HYPERLINK("https://my.pitchbook.com?p=434828-71P","View People Online")</f>
        <v>View People Online</v>
      </c>
    </row>
    <row r="2300">
      <c r="A2300" s="10" t="s">
        <v>15604</v>
      </c>
      <c r="B2300" s="10" t="s">
        <v>15605</v>
      </c>
      <c r="C2300" s="10" t="s">
        <v>69</v>
      </c>
      <c r="D2300" s="10" t="s">
        <v>15606</v>
      </c>
      <c r="E2300" s="10" t="s">
        <v>13207</v>
      </c>
      <c r="F2300" s="10" t="s">
        <v>3523</v>
      </c>
      <c r="G2300" s="10" t="s">
        <v>15607</v>
      </c>
      <c r="H2300" s="11" t="s">
        <v>31</v>
      </c>
      <c r="I2300" s="11">
        <v>1.0</v>
      </c>
      <c r="J2300" s="11">
        <v>1.0</v>
      </c>
      <c r="K2300" s="11" t="s">
        <v>31</v>
      </c>
      <c r="L2300" s="12" t="s">
        <v>13743</v>
      </c>
      <c r="M2300" s="10" t="s">
        <v>15608</v>
      </c>
      <c r="N2300" s="10" t="s">
        <v>1034</v>
      </c>
      <c r="O2300" s="12" t="s">
        <v>1035</v>
      </c>
      <c r="P2300" s="10" t="s">
        <v>13745</v>
      </c>
      <c r="Q2300" s="10" t="s">
        <v>13746</v>
      </c>
      <c r="R2300" s="10" t="s">
        <v>31</v>
      </c>
      <c r="S2300" s="12" t="s">
        <v>13747</v>
      </c>
      <c r="T2300" s="10" t="s">
        <v>1034</v>
      </c>
      <c r="U2300" s="12" t="s">
        <v>13748</v>
      </c>
      <c r="V2300" s="10" t="s">
        <v>3523</v>
      </c>
      <c r="W2300" s="10" t="s">
        <v>13207</v>
      </c>
      <c r="X2300" s="13" t="str">
        <f>HYPERLINK("https://my.pitchbook.com?p=435226-51P","View People Online")</f>
        <v>View People Online</v>
      </c>
    </row>
    <row r="2301">
      <c r="A2301" s="14" t="s">
        <v>15609</v>
      </c>
      <c r="B2301" s="14" t="s">
        <v>15610</v>
      </c>
      <c r="C2301" s="14" t="s">
        <v>69</v>
      </c>
      <c r="D2301" s="14" t="s">
        <v>12602</v>
      </c>
      <c r="E2301" s="14" t="s">
        <v>13207</v>
      </c>
      <c r="F2301" s="14" t="s">
        <v>3523</v>
      </c>
      <c r="G2301" s="14" t="s">
        <v>15611</v>
      </c>
      <c r="H2301" s="15" t="s">
        <v>31</v>
      </c>
      <c r="I2301" s="15">
        <v>1.0</v>
      </c>
      <c r="J2301" s="15">
        <v>1.0</v>
      </c>
      <c r="K2301" s="15" t="s">
        <v>31</v>
      </c>
      <c r="L2301" s="16" t="s">
        <v>13345</v>
      </c>
      <c r="M2301" s="14" t="s">
        <v>15612</v>
      </c>
      <c r="N2301" s="14" t="s">
        <v>2764</v>
      </c>
      <c r="O2301" s="16" t="s">
        <v>2765</v>
      </c>
      <c r="P2301" s="14" t="s">
        <v>13347</v>
      </c>
      <c r="Q2301" s="14" t="s">
        <v>31</v>
      </c>
      <c r="R2301" s="14" t="s">
        <v>31</v>
      </c>
      <c r="S2301" s="16" t="s">
        <v>13348</v>
      </c>
      <c r="T2301" s="14" t="s">
        <v>2768</v>
      </c>
      <c r="U2301" s="16" t="s">
        <v>13349</v>
      </c>
      <c r="V2301" s="14" t="s">
        <v>3523</v>
      </c>
      <c r="W2301" s="14" t="s">
        <v>13207</v>
      </c>
      <c r="X2301" s="17" t="str">
        <f>HYPERLINK("https://my.pitchbook.com?p=435946-87P","View People Online")</f>
        <v>View People Online</v>
      </c>
    </row>
    <row r="2302">
      <c r="A2302" s="10" t="s">
        <v>15613</v>
      </c>
      <c r="B2302" s="10" t="s">
        <v>15614</v>
      </c>
      <c r="C2302" s="10" t="s">
        <v>69</v>
      </c>
      <c r="D2302" s="10" t="s">
        <v>15615</v>
      </c>
      <c r="E2302" s="10" t="s">
        <v>13207</v>
      </c>
      <c r="F2302" s="10" t="s">
        <v>13218</v>
      </c>
      <c r="G2302" s="10" t="s">
        <v>15616</v>
      </c>
      <c r="H2302" s="11" t="s">
        <v>31</v>
      </c>
      <c r="I2302" s="11">
        <v>1.0</v>
      </c>
      <c r="J2302" s="11">
        <v>1.0</v>
      </c>
      <c r="K2302" s="11" t="s">
        <v>31</v>
      </c>
      <c r="L2302" s="12" t="s">
        <v>13714</v>
      </c>
      <c r="M2302" s="10" t="s">
        <v>15617</v>
      </c>
      <c r="N2302" s="10" t="s">
        <v>13716</v>
      </c>
      <c r="O2302" s="12" t="s">
        <v>13717</v>
      </c>
      <c r="P2302" s="10" t="s">
        <v>13718</v>
      </c>
      <c r="Q2302" s="10" t="s">
        <v>31</v>
      </c>
      <c r="R2302" s="10" t="s">
        <v>31</v>
      </c>
      <c r="S2302" s="12" t="s">
        <v>13719</v>
      </c>
      <c r="T2302" s="10" t="s">
        <v>38</v>
      </c>
      <c r="U2302" s="12" t="s">
        <v>13720</v>
      </c>
      <c r="V2302" s="10" t="s">
        <v>13218</v>
      </c>
      <c r="W2302" s="10" t="s">
        <v>13207</v>
      </c>
      <c r="X2302" s="13" t="str">
        <f>HYPERLINK("https://my.pitchbook.com?p=435313-00P","View People Online")</f>
        <v>View People Online</v>
      </c>
    </row>
    <row r="2303">
      <c r="A2303" s="14" t="s">
        <v>15618</v>
      </c>
      <c r="B2303" s="14" t="s">
        <v>15619</v>
      </c>
      <c r="C2303" s="14" t="s">
        <v>69</v>
      </c>
      <c r="D2303" s="14" t="s">
        <v>15620</v>
      </c>
      <c r="E2303" s="14" t="s">
        <v>13207</v>
      </c>
      <c r="F2303" s="14" t="s">
        <v>13218</v>
      </c>
      <c r="G2303" s="14" t="s">
        <v>15621</v>
      </c>
      <c r="H2303" s="15" t="s">
        <v>31</v>
      </c>
      <c r="I2303" s="15">
        <v>1.0</v>
      </c>
      <c r="J2303" s="15">
        <v>1.0</v>
      </c>
      <c r="K2303" s="15" t="s">
        <v>31</v>
      </c>
      <c r="L2303" s="16" t="s">
        <v>13724</v>
      </c>
      <c r="M2303" s="14" t="s">
        <v>15622</v>
      </c>
      <c r="N2303" s="14" t="s">
        <v>34</v>
      </c>
      <c r="O2303" s="16" t="s">
        <v>35</v>
      </c>
      <c r="P2303" s="14" t="s">
        <v>13726</v>
      </c>
      <c r="Q2303" s="14" t="s">
        <v>31</v>
      </c>
      <c r="R2303" s="14" t="s">
        <v>31</v>
      </c>
      <c r="S2303" s="16" t="s">
        <v>13727</v>
      </c>
      <c r="T2303" s="14" t="s">
        <v>38</v>
      </c>
      <c r="U2303" s="16" t="s">
        <v>13728</v>
      </c>
      <c r="V2303" s="14" t="s">
        <v>13218</v>
      </c>
      <c r="W2303" s="14" t="s">
        <v>13207</v>
      </c>
      <c r="X2303" s="17" t="str">
        <f>HYPERLINK("https://my.pitchbook.com?p=456834-25P","View People Online")</f>
        <v>View People Online</v>
      </c>
    </row>
    <row r="2304">
      <c r="A2304" s="10" t="s">
        <v>15623</v>
      </c>
      <c r="B2304" s="10" t="s">
        <v>15624</v>
      </c>
      <c r="C2304" s="10" t="s">
        <v>69</v>
      </c>
      <c r="D2304" s="10" t="s">
        <v>15625</v>
      </c>
      <c r="E2304" s="10" t="s">
        <v>13207</v>
      </c>
      <c r="F2304" s="10" t="s">
        <v>3523</v>
      </c>
      <c r="G2304" s="10" t="s">
        <v>15626</v>
      </c>
      <c r="H2304" s="11" t="s">
        <v>31</v>
      </c>
      <c r="I2304" s="11">
        <v>1.0</v>
      </c>
      <c r="J2304" s="11">
        <v>1.0</v>
      </c>
      <c r="K2304" s="11" t="s">
        <v>31</v>
      </c>
      <c r="L2304" s="12" t="s">
        <v>13220</v>
      </c>
      <c r="M2304" s="10" t="s">
        <v>15627</v>
      </c>
      <c r="N2304" s="10" t="s">
        <v>2478</v>
      </c>
      <c r="O2304" s="12" t="s">
        <v>7332</v>
      </c>
      <c r="P2304" s="10" t="s">
        <v>13222</v>
      </c>
      <c r="Q2304" s="10" t="s">
        <v>13223</v>
      </c>
      <c r="R2304" s="10" t="s">
        <v>7335</v>
      </c>
      <c r="S2304" s="12" t="s">
        <v>7336</v>
      </c>
      <c r="T2304" s="10" t="s">
        <v>5484</v>
      </c>
      <c r="U2304" s="12" t="s">
        <v>13224</v>
      </c>
      <c r="V2304" s="10" t="s">
        <v>3523</v>
      </c>
      <c r="W2304" s="10" t="s">
        <v>13207</v>
      </c>
      <c r="X2304" s="13" t="str">
        <f>HYPERLINK("https://my.pitchbook.com?p=281630-17P","View People Online")</f>
        <v>View People Online</v>
      </c>
    </row>
    <row r="2305">
      <c r="A2305" s="14" t="s">
        <v>15628</v>
      </c>
      <c r="B2305" s="14" t="s">
        <v>15629</v>
      </c>
      <c r="C2305" s="14" t="s">
        <v>69</v>
      </c>
      <c r="D2305" s="14" t="s">
        <v>15630</v>
      </c>
      <c r="E2305" s="14" t="s">
        <v>13207</v>
      </c>
      <c r="F2305" s="14" t="s">
        <v>3523</v>
      </c>
      <c r="G2305" s="14" t="s">
        <v>15631</v>
      </c>
      <c r="H2305" s="15" t="s">
        <v>31</v>
      </c>
      <c r="I2305" s="15">
        <v>1.0</v>
      </c>
      <c r="J2305" s="15">
        <v>1.0</v>
      </c>
      <c r="K2305" s="15" t="s">
        <v>31</v>
      </c>
      <c r="L2305" s="16" t="s">
        <v>13289</v>
      </c>
      <c r="M2305" s="14" t="s">
        <v>15632</v>
      </c>
      <c r="N2305" s="14" t="s">
        <v>1348</v>
      </c>
      <c r="O2305" s="16" t="s">
        <v>1349</v>
      </c>
      <c r="P2305" s="14" t="s">
        <v>13291</v>
      </c>
      <c r="Q2305" s="14" t="s">
        <v>13292</v>
      </c>
      <c r="R2305" s="14" t="s">
        <v>1018</v>
      </c>
      <c r="S2305" s="16" t="s">
        <v>13293</v>
      </c>
      <c r="T2305" s="14" t="s">
        <v>1019</v>
      </c>
      <c r="U2305" s="16" t="s">
        <v>13294</v>
      </c>
      <c r="V2305" s="14" t="s">
        <v>3523</v>
      </c>
      <c r="W2305" s="14" t="s">
        <v>13207</v>
      </c>
      <c r="X2305" s="17" t="str">
        <f>HYPERLINK("https://my.pitchbook.com?p=455370-49P","View People Online")</f>
        <v>View People Online</v>
      </c>
    </row>
    <row r="2306">
      <c r="A2306" s="10" t="s">
        <v>15633</v>
      </c>
      <c r="B2306" s="10" t="s">
        <v>15634</v>
      </c>
      <c r="C2306" s="10" t="s">
        <v>69</v>
      </c>
      <c r="D2306" s="10" t="s">
        <v>15635</v>
      </c>
      <c r="E2306" s="10" t="s">
        <v>13207</v>
      </c>
      <c r="F2306" s="10" t="s">
        <v>3523</v>
      </c>
      <c r="G2306" s="10" t="s">
        <v>15636</v>
      </c>
      <c r="H2306" s="11" t="s">
        <v>31</v>
      </c>
      <c r="I2306" s="11">
        <v>1.0</v>
      </c>
      <c r="J2306" s="11">
        <v>1.0</v>
      </c>
      <c r="K2306" s="11" t="s">
        <v>31</v>
      </c>
      <c r="L2306" s="12" t="s">
        <v>13299</v>
      </c>
      <c r="M2306" s="10" t="s">
        <v>15637</v>
      </c>
      <c r="N2306" s="10" t="s">
        <v>601</v>
      </c>
      <c r="O2306" s="12" t="s">
        <v>602</v>
      </c>
      <c r="P2306" s="10" t="s">
        <v>13301</v>
      </c>
      <c r="Q2306" s="10" t="s">
        <v>13302</v>
      </c>
      <c r="R2306" s="10" t="s">
        <v>31</v>
      </c>
      <c r="S2306" s="12" t="s">
        <v>31</v>
      </c>
      <c r="T2306" s="10" t="s">
        <v>603</v>
      </c>
      <c r="U2306" s="12" t="s">
        <v>13303</v>
      </c>
      <c r="V2306" s="10" t="s">
        <v>3523</v>
      </c>
      <c r="W2306" s="10" t="s">
        <v>13207</v>
      </c>
      <c r="X2306" s="13" t="str">
        <f>HYPERLINK("https://my.pitchbook.com?p=456503-32P","View People Online")</f>
        <v>View People Online</v>
      </c>
    </row>
    <row r="2307">
      <c r="A2307" s="6" t="s">
        <v>15638</v>
      </c>
      <c r="B2307" s="6" t="s">
        <v>15639</v>
      </c>
      <c r="C2307" s="6" t="s">
        <v>69</v>
      </c>
      <c r="D2307" s="6" t="s">
        <v>15640</v>
      </c>
      <c r="E2307" s="6" t="s">
        <v>13207</v>
      </c>
      <c r="F2307" s="6" t="s">
        <v>3523</v>
      </c>
      <c r="G2307" s="6" t="s">
        <v>15641</v>
      </c>
      <c r="H2307" s="7" t="s">
        <v>31</v>
      </c>
      <c r="I2307" s="7">
        <v>1.0</v>
      </c>
      <c r="J2307" s="7">
        <v>1.0</v>
      </c>
      <c r="K2307" s="7" t="s">
        <v>31</v>
      </c>
      <c r="L2307" s="8" t="s">
        <v>14201</v>
      </c>
      <c r="M2307" s="6" t="s">
        <v>15642</v>
      </c>
      <c r="N2307" s="6" t="s">
        <v>14203</v>
      </c>
      <c r="O2307" s="8" t="s">
        <v>14204</v>
      </c>
      <c r="P2307" s="6" t="s">
        <v>14205</v>
      </c>
      <c r="Q2307" s="6" t="s">
        <v>14206</v>
      </c>
      <c r="R2307" s="6" t="s">
        <v>1420</v>
      </c>
      <c r="S2307" s="8" t="s">
        <v>14207</v>
      </c>
      <c r="T2307" s="6" t="s">
        <v>66</v>
      </c>
      <c r="U2307" s="8" t="s">
        <v>14208</v>
      </c>
      <c r="V2307" s="6" t="s">
        <v>3523</v>
      </c>
      <c r="W2307" s="6" t="s">
        <v>13207</v>
      </c>
      <c r="X2307" s="9" t="str">
        <f>HYPERLINK("https://my.pitchbook.com?p=434943-37P","View People Online")</f>
        <v>View People Online</v>
      </c>
    </row>
    <row r="2308">
      <c r="A2308" s="2" t="s">
        <v>15643</v>
      </c>
      <c r="B2308" s="2" t="s">
        <v>15644</v>
      </c>
      <c r="C2308" s="2" t="s">
        <v>69</v>
      </c>
      <c r="D2308" s="2" t="s">
        <v>15645</v>
      </c>
      <c r="E2308" s="2" t="s">
        <v>13207</v>
      </c>
      <c r="F2308" s="2" t="s">
        <v>3523</v>
      </c>
      <c r="G2308" s="2" t="s">
        <v>15646</v>
      </c>
      <c r="H2308" s="3" t="s">
        <v>31</v>
      </c>
      <c r="I2308" s="3">
        <v>1.0</v>
      </c>
      <c r="J2308" s="3">
        <v>1.0</v>
      </c>
      <c r="K2308" s="3" t="s">
        <v>31</v>
      </c>
      <c r="L2308" s="4" t="s">
        <v>13242</v>
      </c>
      <c r="M2308" s="2" t="s">
        <v>15647</v>
      </c>
      <c r="N2308" s="2" t="s">
        <v>9865</v>
      </c>
      <c r="O2308" s="4" t="s">
        <v>9866</v>
      </c>
      <c r="P2308" s="2" t="s">
        <v>13244</v>
      </c>
      <c r="Q2308" s="2" t="s">
        <v>31</v>
      </c>
      <c r="R2308" s="2" t="s">
        <v>31</v>
      </c>
      <c r="S2308" s="4" t="s">
        <v>13245</v>
      </c>
      <c r="T2308" s="2" t="s">
        <v>38</v>
      </c>
      <c r="U2308" s="4" t="s">
        <v>13246</v>
      </c>
      <c r="V2308" s="2" t="s">
        <v>3523</v>
      </c>
      <c r="W2308" s="2" t="s">
        <v>13207</v>
      </c>
      <c r="X2308" s="5" t="str">
        <f>HYPERLINK("https://my.pitchbook.com?p=455276-80P","View People Online")</f>
        <v>View People Online</v>
      </c>
    </row>
    <row r="2309">
      <c r="A2309" s="6" t="s">
        <v>15648</v>
      </c>
      <c r="B2309" s="6" t="s">
        <v>15649</v>
      </c>
      <c r="C2309" s="6" t="s">
        <v>84</v>
      </c>
      <c r="D2309" s="6" t="s">
        <v>15650</v>
      </c>
      <c r="E2309" s="6" t="s">
        <v>13207</v>
      </c>
      <c r="F2309" s="6" t="s">
        <v>3523</v>
      </c>
      <c r="G2309" s="6" t="s">
        <v>15651</v>
      </c>
      <c r="H2309" s="7">
        <v>1.0</v>
      </c>
      <c r="I2309" s="7">
        <v>3.0</v>
      </c>
      <c r="J2309" s="7">
        <v>1.0</v>
      </c>
      <c r="K2309" s="7">
        <v>1.0</v>
      </c>
      <c r="L2309" s="8" t="s">
        <v>13423</v>
      </c>
      <c r="M2309" s="6" t="s">
        <v>15652</v>
      </c>
      <c r="N2309" s="6" t="s">
        <v>243</v>
      </c>
      <c r="O2309" s="8" t="s">
        <v>244</v>
      </c>
      <c r="P2309" s="6" t="s">
        <v>13425</v>
      </c>
      <c r="Q2309" s="6" t="s">
        <v>31</v>
      </c>
      <c r="R2309" s="6" t="s">
        <v>247</v>
      </c>
      <c r="S2309" s="8" t="s">
        <v>13426</v>
      </c>
      <c r="T2309" s="6" t="s">
        <v>249</v>
      </c>
      <c r="U2309" s="8" t="s">
        <v>31</v>
      </c>
      <c r="V2309" s="6" t="s">
        <v>3523</v>
      </c>
      <c r="W2309" s="6" t="s">
        <v>13207</v>
      </c>
      <c r="X2309" s="9" t="str">
        <f>HYPERLINK("https://my.pitchbook.com?p=384879-88P","View People Online")</f>
        <v>View People Online</v>
      </c>
    </row>
    <row r="2310">
      <c r="A2310" s="2" t="s">
        <v>15653</v>
      </c>
      <c r="B2310" s="2" t="s">
        <v>15654</v>
      </c>
      <c r="C2310" s="2" t="s">
        <v>15655</v>
      </c>
      <c r="D2310" s="2" t="s">
        <v>15656</v>
      </c>
      <c r="E2310" s="2" t="s">
        <v>13207</v>
      </c>
      <c r="F2310" s="2" t="s">
        <v>318</v>
      </c>
      <c r="G2310" s="2" t="s">
        <v>15657</v>
      </c>
      <c r="H2310" s="3" t="s">
        <v>31</v>
      </c>
      <c r="I2310" s="3">
        <v>1.0</v>
      </c>
      <c r="J2310" s="3">
        <v>1.0</v>
      </c>
      <c r="K2310" s="3" t="s">
        <v>31</v>
      </c>
      <c r="L2310" s="4" t="s">
        <v>13540</v>
      </c>
      <c r="M2310" s="2" t="s">
        <v>15658</v>
      </c>
      <c r="N2310" s="2" t="s">
        <v>418</v>
      </c>
      <c r="O2310" s="4" t="s">
        <v>419</v>
      </c>
      <c r="P2310" s="2" t="s">
        <v>13542</v>
      </c>
      <c r="Q2310" s="2" t="s">
        <v>31</v>
      </c>
      <c r="R2310" s="2" t="s">
        <v>31</v>
      </c>
      <c r="S2310" s="4" t="s">
        <v>2664</v>
      </c>
      <c r="T2310" s="2" t="s">
        <v>422</v>
      </c>
      <c r="U2310" s="4" t="s">
        <v>13543</v>
      </c>
      <c r="V2310" s="2" t="s">
        <v>318</v>
      </c>
      <c r="W2310" s="2" t="s">
        <v>13207</v>
      </c>
      <c r="X2310" s="5" t="str">
        <f>HYPERLINK("https://my.pitchbook.com?p=455811-58P","View People Online")</f>
        <v>View People Online</v>
      </c>
    </row>
    <row r="2311">
      <c r="A2311" s="14" t="s">
        <v>15659</v>
      </c>
      <c r="B2311" s="14" t="s">
        <v>15660</v>
      </c>
      <c r="C2311" s="14" t="s">
        <v>11111</v>
      </c>
      <c r="D2311" s="14" t="s">
        <v>9571</v>
      </c>
      <c r="E2311" s="14" t="s">
        <v>13207</v>
      </c>
      <c r="F2311" s="14" t="s">
        <v>3523</v>
      </c>
      <c r="G2311" s="14" t="s">
        <v>15661</v>
      </c>
      <c r="H2311" s="15" t="s">
        <v>31</v>
      </c>
      <c r="I2311" s="15">
        <v>1.0</v>
      </c>
      <c r="J2311" s="15">
        <v>1.0</v>
      </c>
      <c r="K2311" s="15" t="s">
        <v>31</v>
      </c>
      <c r="L2311" s="16" t="s">
        <v>13289</v>
      </c>
      <c r="M2311" s="14" t="s">
        <v>15662</v>
      </c>
      <c r="N2311" s="14" t="s">
        <v>1348</v>
      </c>
      <c r="O2311" s="16" t="s">
        <v>1349</v>
      </c>
      <c r="P2311" s="14" t="s">
        <v>13291</v>
      </c>
      <c r="Q2311" s="14" t="s">
        <v>13292</v>
      </c>
      <c r="R2311" s="14" t="s">
        <v>1018</v>
      </c>
      <c r="S2311" s="16" t="s">
        <v>13293</v>
      </c>
      <c r="T2311" s="14" t="s">
        <v>1019</v>
      </c>
      <c r="U2311" s="16" t="s">
        <v>13294</v>
      </c>
      <c r="V2311" s="14" t="s">
        <v>3523</v>
      </c>
      <c r="W2311" s="14" t="s">
        <v>13207</v>
      </c>
      <c r="X2311" s="17" t="str">
        <f>HYPERLINK("https://my.pitchbook.com?p=189557-74P","View People Online")</f>
        <v>View People Online</v>
      </c>
    </row>
    <row r="2312">
      <c r="A2312" s="2" t="s">
        <v>15663</v>
      </c>
      <c r="B2312" s="2" t="s">
        <v>15664</v>
      </c>
      <c r="C2312" s="2" t="s">
        <v>11111</v>
      </c>
      <c r="D2312" s="2" t="s">
        <v>6030</v>
      </c>
      <c r="E2312" s="2" t="s">
        <v>13207</v>
      </c>
      <c r="F2312" s="2" t="s">
        <v>3523</v>
      </c>
      <c r="G2312" s="2" t="s">
        <v>15665</v>
      </c>
      <c r="H2312" s="3" t="s">
        <v>31</v>
      </c>
      <c r="I2312" s="3">
        <v>1.0</v>
      </c>
      <c r="J2312" s="3">
        <v>1.0</v>
      </c>
      <c r="K2312" s="3" t="s">
        <v>31</v>
      </c>
      <c r="L2312" s="4" t="s">
        <v>13953</v>
      </c>
      <c r="M2312" s="2" t="s">
        <v>15666</v>
      </c>
      <c r="N2312" s="2" t="s">
        <v>1170</v>
      </c>
      <c r="O2312" s="4" t="s">
        <v>1171</v>
      </c>
      <c r="P2312" s="2" t="s">
        <v>13955</v>
      </c>
      <c r="Q2312" s="2" t="s">
        <v>13956</v>
      </c>
      <c r="R2312" s="2" t="s">
        <v>64</v>
      </c>
      <c r="S2312" s="4" t="s">
        <v>13957</v>
      </c>
      <c r="T2312" s="2" t="s">
        <v>66</v>
      </c>
      <c r="U2312" s="4" t="s">
        <v>13958</v>
      </c>
      <c r="V2312" s="2" t="s">
        <v>3523</v>
      </c>
      <c r="W2312" s="2" t="s">
        <v>13207</v>
      </c>
      <c r="X2312" s="5" t="str">
        <f>HYPERLINK("https://my.pitchbook.com?p=456058-09P","View People Online")</f>
        <v>View People Online</v>
      </c>
    </row>
    <row r="2313">
      <c r="A2313" s="6" t="s">
        <v>15667</v>
      </c>
      <c r="B2313" s="6" t="s">
        <v>15668</v>
      </c>
      <c r="C2313" s="6" t="s">
        <v>7978</v>
      </c>
      <c r="D2313" s="6" t="s">
        <v>15669</v>
      </c>
      <c r="E2313" s="6" t="s">
        <v>13207</v>
      </c>
      <c r="F2313" s="6" t="s">
        <v>13307</v>
      </c>
      <c r="G2313" s="6" t="s">
        <v>15670</v>
      </c>
      <c r="H2313" s="7" t="s">
        <v>31</v>
      </c>
      <c r="I2313" s="7">
        <v>1.0</v>
      </c>
      <c r="J2313" s="7">
        <v>1.0</v>
      </c>
      <c r="K2313" s="7" t="s">
        <v>31</v>
      </c>
      <c r="L2313" s="8" t="s">
        <v>15671</v>
      </c>
      <c r="M2313" s="6" t="s">
        <v>15672</v>
      </c>
      <c r="N2313" s="6" t="s">
        <v>15673</v>
      </c>
      <c r="O2313" s="8" t="s">
        <v>15674</v>
      </c>
      <c r="P2313" s="6" t="s">
        <v>15675</v>
      </c>
      <c r="Q2313" s="6" t="s">
        <v>6654</v>
      </c>
      <c r="R2313" s="6" t="s">
        <v>15676</v>
      </c>
      <c r="S2313" s="8" t="s">
        <v>15677</v>
      </c>
      <c r="T2313" s="6" t="s">
        <v>66</v>
      </c>
      <c r="U2313" s="8" t="s">
        <v>15678</v>
      </c>
      <c r="V2313" s="6" t="s">
        <v>15679</v>
      </c>
      <c r="W2313" s="6" t="s">
        <v>13207</v>
      </c>
      <c r="X2313" s="9" t="str">
        <f>HYPERLINK("https://my.pitchbook.com?p=435606-76P","View People Online")</f>
        <v>View People Online</v>
      </c>
    </row>
    <row r="2314">
      <c r="A2314" s="2" t="s">
        <v>15680</v>
      </c>
      <c r="B2314" s="2" t="s">
        <v>15681</v>
      </c>
      <c r="C2314" s="2" t="s">
        <v>7978</v>
      </c>
      <c r="D2314" s="2" t="s">
        <v>15682</v>
      </c>
      <c r="E2314" s="2" t="s">
        <v>13207</v>
      </c>
      <c r="F2314" s="2" t="s">
        <v>3523</v>
      </c>
      <c r="G2314" s="2" t="s">
        <v>15683</v>
      </c>
      <c r="H2314" s="3" t="s">
        <v>31</v>
      </c>
      <c r="I2314" s="3">
        <v>1.0</v>
      </c>
      <c r="J2314" s="3">
        <v>1.0</v>
      </c>
      <c r="K2314" s="3" t="s">
        <v>31</v>
      </c>
      <c r="L2314" s="4" t="s">
        <v>13743</v>
      </c>
      <c r="M2314" s="2" t="s">
        <v>15684</v>
      </c>
      <c r="N2314" s="2" t="s">
        <v>1034</v>
      </c>
      <c r="O2314" s="4" t="s">
        <v>1035</v>
      </c>
      <c r="P2314" s="2" t="s">
        <v>13745</v>
      </c>
      <c r="Q2314" s="2" t="s">
        <v>13746</v>
      </c>
      <c r="R2314" s="2" t="s">
        <v>31</v>
      </c>
      <c r="S2314" s="4" t="s">
        <v>13747</v>
      </c>
      <c r="T2314" s="2" t="s">
        <v>1034</v>
      </c>
      <c r="U2314" s="4" t="s">
        <v>13748</v>
      </c>
      <c r="V2314" s="2" t="s">
        <v>3523</v>
      </c>
      <c r="W2314" s="2" t="s">
        <v>13207</v>
      </c>
      <c r="X2314" s="5" t="str">
        <f>HYPERLINK("https://my.pitchbook.com?p=456411-52P","View People Online")</f>
        <v>View People Online</v>
      </c>
    </row>
    <row r="2315">
      <c r="A2315" s="14" t="s">
        <v>15685</v>
      </c>
      <c r="B2315" s="14" t="s">
        <v>15686</v>
      </c>
      <c r="C2315" s="14" t="s">
        <v>1449</v>
      </c>
      <c r="D2315" s="14" t="s">
        <v>15687</v>
      </c>
      <c r="E2315" s="14" t="s">
        <v>13207</v>
      </c>
      <c r="F2315" s="14" t="s">
        <v>13218</v>
      </c>
      <c r="G2315" s="14" t="s">
        <v>15688</v>
      </c>
      <c r="H2315" s="15" t="s">
        <v>31</v>
      </c>
      <c r="I2315" s="15">
        <v>2.0</v>
      </c>
      <c r="J2315" s="15">
        <v>2.0</v>
      </c>
      <c r="K2315" s="15" t="s">
        <v>31</v>
      </c>
      <c r="L2315" s="16" t="s">
        <v>15689</v>
      </c>
      <c r="M2315" s="14" t="s">
        <v>15690</v>
      </c>
      <c r="N2315" s="14" t="s">
        <v>15691</v>
      </c>
      <c r="O2315" s="16" t="s">
        <v>15692</v>
      </c>
      <c r="P2315" s="14" t="s">
        <v>15693</v>
      </c>
      <c r="Q2315" s="14" t="s">
        <v>7094</v>
      </c>
      <c r="R2315" s="14" t="s">
        <v>64</v>
      </c>
      <c r="S2315" s="16" t="s">
        <v>15694</v>
      </c>
      <c r="T2315" s="14" t="s">
        <v>66</v>
      </c>
      <c r="U2315" s="16" t="s">
        <v>31</v>
      </c>
      <c r="V2315" s="14" t="s">
        <v>1114</v>
      </c>
      <c r="W2315" s="14" t="s">
        <v>13904</v>
      </c>
      <c r="X2315" s="17" t="str">
        <f>HYPERLINK("https://my.pitchbook.com?p=118009-27P","View People Online")</f>
        <v>View People Online</v>
      </c>
    </row>
    <row r="2316">
      <c r="A2316" s="10" t="s">
        <v>15695</v>
      </c>
      <c r="B2316" s="10" t="s">
        <v>15696</v>
      </c>
      <c r="C2316" s="10" t="s">
        <v>1449</v>
      </c>
      <c r="D2316" s="10" t="s">
        <v>15697</v>
      </c>
      <c r="E2316" s="10" t="s">
        <v>13207</v>
      </c>
      <c r="F2316" s="10" t="s">
        <v>2731</v>
      </c>
      <c r="G2316" s="10" t="s">
        <v>15698</v>
      </c>
      <c r="H2316" s="11" t="s">
        <v>31</v>
      </c>
      <c r="I2316" s="11">
        <v>1.0</v>
      </c>
      <c r="J2316" s="11">
        <v>1.0</v>
      </c>
      <c r="K2316" s="11" t="s">
        <v>31</v>
      </c>
      <c r="L2316" s="12" t="s">
        <v>13496</v>
      </c>
      <c r="M2316" s="10" t="s">
        <v>15699</v>
      </c>
      <c r="N2316" s="10" t="s">
        <v>75</v>
      </c>
      <c r="O2316" s="12" t="s">
        <v>76</v>
      </c>
      <c r="P2316" s="10" t="s">
        <v>13498</v>
      </c>
      <c r="Q2316" s="10" t="s">
        <v>31</v>
      </c>
      <c r="R2316" s="10" t="s">
        <v>75</v>
      </c>
      <c r="S2316" s="12" t="s">
        <v>195</v>
      </c>
      <c r="T2316" s="10" t="s">
        <v>66</v>
      </c>
      <c r="U2316" s="12" t="s">
        <v>13499</v>
      </c>
      <c r="V2316" s="10" t="s">
        <v>2731</v>
      </c>
      <c r="W2316" s="10" t="s">
        <v>13207</v>
      </c>
      <c r="X2316" s="13" t="str">
        <f>HYPERLINK("https://my.pitchbook.com?p=194589-82P","View People Online")</f>
        <v>View People Online</v>
      </c>
    </row>
    <row r="2317">
      <c r="A2317" s="14" t="s">
        <v>15700</v>
      </c>
      <c r="B2317" s="14" t="s">
        <v>15701</v>
      </c>
      <c r="C2317" s="14" t="s">
        <v>1449</v>
      </c>
      <c r="D2317" s="14" t="s">
        <v>317</v>
      </c>
      <c r="E2317" s="14" t="s">
        <v>13207</v>
      </c>
      <c r="F2317" s="14" t="s">
        <v>3523</v>
      </c>
      <c r="G2317" s="14" t="s">
        <v>15702</v>
      </c>
      <c r="H2317" s="15" t="s">
        <v>31</v>
      </c>
      <c r="I2317" s="15">
        <v>1.0</v>
      </c>
      <c r="J2317" s="15">
        <v>1.0</v>
      </c>
      <c r="K2317" s="15" t="s">
        <v>31</v>
      </c>
      <c r="L2317" s="16" t="s">
        <v>13423</v>
      </c>
      <c r="M2317" s="14" t="s">
        <v>15703</v>
      </c>
      <c r="N2317" s="14" t="s">
        <v>243</v>
      </c>
      <c r="O2317" s="16" t="s">
        <v>244</v>
      </c>
      <c r="P2317" s="14" t="s">
        <v>13425</v>
      </c>
      <c r="Q2317" s="14" t="s">
        <v>31</v>
      </c>
      <c r="R2317" s="14" t="s">
        <v>247</v>
      </c>
      <c r="S2317" s="16" t="s">
        <v>13426</v>
      </c>
      <c r="T2317" s="14" t="s">
        <v>249</v>
      </c>
      <c r="U2317" s="16" t="s">
        <v>31</v>
      </c>
      <c r="V2317" s="14" t="s">
        <v>3523</v>
      </c>
      <c r="W2317" s="14" t="s">
        <v>13207</v>
      </c>
      <c r="X2317" s="17" t="str">
        <f>HYPERLINK("https://my.pitchbook.com?p=455416-84P","View People Online")</f>
        <v>View People Online</v>
      </c>
    </row>
    <row r="2318">
      <c r="A2318" s="10" t="s">
        <v>15704</v>
      </c>
      <c r="B2318" s="10" t="s">
        <v>15705</v>
      </c>
      <c r="C2318" s="10" t="s">
        <v>1449</v>
      </c>
      <c r="D2318" s="10" t="s">
        <v>8016</v>
      </c>
      <c r="E2318" s="10" t="s">
        <v>13207</v>
      </c>
      <c r="F2318" s="10" t="s">
        <v>3523</v>
      </c>
      <c r="G2318" s="10" t="s">
        <v>15706</v>
      </c>
      <c r="H2318" s="11" t="s">
        <v>31</v>
      </c>
      <c r="I2318" s="11">
        <v>1.0</v>
      </c>
      <c r="J2318" s="11">
        <v>1.0</v>
      </c>
      <c r="K2318" s="11" t="s">
        <v>31</v>
      </c>
      <c r="L2318" s="12" t="s">
        <v>13688</v>
      </c>
      <c r="M2318" s="10" t="s">
        <v>15707</v>
      </c>
      <c r="N2318" s="10" t="s">
        <v>3603</v>
      </c>
      <c r="O2318" s="12" t="s">
        <v>3604</v>
      </c>
      <c r="P2318" s="10" t="s">
        <v>13690</v>
      </c>
      <c r="Q2318" s="10" t="s">
        <v>13691</v>
      </c>
      <c r="R2318" s="10" t="s">
        <v>31</v>
      </c>
      <c r="S2318" s="12" t="s">
        <v>31</v>
      </c>
      <c r="T2318" s="10" t="s">
        <v>3603</v>
      </c>
      <c r="U2318" s="12" t="s">
        <v>13692</v>
      </c>
      <c r="V2318" s="10" t="s">
        <v>3523</v>
      </c>
      <c r="W2318" s="10" t="s">
        <v>13207</v>
      </c>
      <c r="X2318" s="13" t="str">
        <f>HYPERLINK("https://my.pitchbook.com?p=455502-43P","View People Online")</f>
        <v>View People Online</v>
      </c>
    </row>
    <row r="2319">
      <c r="A2319" s="14" t="s">
        <v>15708</v>
      </c>
      <c r="B2319" s="14" t="s">
        <v>15709</v>
      </c>
      <c r="C2319" s="14" t="s">
        <v>1449</v>
      </c>
      <c r="D2319" s="14" t="s">
        <v>15710</v>
      </c>
      <c r="E2319" s="14" t="s">
        <v>13207</v>
      </c>
      <c r="F2319" s="14" t="s">
        <v>3523</v>
      </c>
      <c r="G2319" s="14" t="s">
        <v>15711</v>
      </c>
      <c r="H2319" s="15" t="s">
        <v>31</v>
      </c>
      <c r="I2319" s="15">
        <v>1.0</v>
      </c>
      <c r="J2319" s="15">
        <v>1.0</v>
      </c>
      <c r="K2319" s="15" t="s">
        <v>31</v>
      </c>
      <c r="L2319" s="16" t="s">
        <v>13378</v>
      </c>
      <c r="M2319" s="14" t="s">
        <v>15712</v>
      </c>
      <c r="N2319" s="14" t="s">
        <v>429</v>
      </c>
      <c r="O2319" s="16" t="s">
        <v>430</v>
      </c>
      <c r="P2319" s="14" t="s">
        <v>13380</v>
      </c>
      <c r="Q2319" s="14" t="s">
        <v>31</v>
      </c>
      <c r="R2319" s="14" t="s">
        <v>31</v>
      </c>
      <c r="S2319" s="16" t="s">
        <v>13381</v>
      </c>
      <c r="T2319" s="14" t="s">
        <v>433</v>
      </c>
      <c r="U2319" s="16" t="s">
        <v>13382</v>
      </c>
      <c r="V2319" s="14" t="s">
        <v>15713</v>
      </c>
      <c r="W2319" s="14" t="s">
        <v>13207</v>
      </c>
      <c r="X2319" s="17" t="str">
        <f>HYPERLINK("https://my.pitchbook.com?p=455774-23P","View People Online")</f>
        <v>View People Online</v>
      </c>
    </row>
    <row r="2320">
      <c r="A2320" s="10" t="s">
        <v>15714</v>
      </c>
      <c r="B2320" s="10" t="s">
        <v>15715</v>
      </c>
      <c r="C2320" s="10" t="s">
        <v>1449</v>
      </c>
      <c r="D2320" s="10" t="s">
        <v>15716</v>
      </c>
      <c r="E2320" s="10" t="s">
        <v>13207</v>
      </c>
      <c r="F2320" s="10" t="s">
        <v>13218</v>
      </c>
      <c r="G2320" s="10" t="s">
        <v>15717</v>
      </c>
      <c r="H2320" s="11" t="s">
        <v>31</v>
      </c>
      <c r="I2320" s="11">
        <v>1.0</v>
      </c>
      <c r="J2320" s="11">
        <v>1.0</v>
      </c>
      <c r="K2320" s="11" t="s">
        <v>31</v>
      </c>
      <c r="L2320" s="12" t="s">
        <v>15718</v>
      </c>
      <c r="M2320" s="10" t="s">
        <v>15719</v>
      </c>
      <c r="N2320" s="10" t="s">
        <v>3753</v>
      </c>
      <c r="O2320" s="12" t="s">
        <v>3754</v>
      </c>
      <c r="P2320" s="10" t="s">
        <v>15720</v>
      </c>
      <c r="Q2320" s="10" t="s">
        <v>15721</v>
      </c>
      <c r="R2320" s="10" t="s">
        <v>31</v>
      </c>
      <c r="S2320" s="12" t="s">
        <v>15722</v>
      </c>
      <c r="T2320" s="10" t="s">
        <v>3339</v>
      </c>
      <c r="U2320" s="12" t="s">
        <v>15723</v>
      </c>
      <c r="V2320" s="10" t="s">
        <v>13218</v>
      </c>
      <c r="W2320" s="10" t="s">
        <v>13207</v>
      </c>
      <c r="X2320" s="13" t="str">
        <f>HYPERLINK("https://my.pitchbook.com?p=456540-76P","View People Online")</f>
        <v>View People Online</v>
      </c>
    </row>
    <row r="2321">
      <c r="A2321" s="14" t="s">
        <v>15724</v>
      </c>
      <c r="B2321" s="14" t="s">
        <v>15725</v>
      </c>
      <c r="C2321" s="14" t="s">
        <v>1449</v>
      </c>
      <c r="D2321" s="14" t="s">
        <v>15726</v>
      </c>
      <c r="E2321" s="14" t="s">
        <v>13207</v>
      </c>
      <c r="F2321" s="14" t="s">
        <v>13240</v>
      </c>
      <c r="G2321" s="14" t="s">
        <v>15727</v>
      </c>
      <c r="H2321" s="15" t="s">
        <v>31</v>
      </c>
      <c r="I2321" s="15">
        <v>1.0</v>
      </c>
      <c r="J2321" s="15">
        <v>1.0</v>
      </c>
      <c r="K2321" s="15" t="s">
        <v>31</v>
      </c>
      <c r="L2321" s="16" t="s">
        <v>13423</v>
      </c>
      <c r="M2321" s="14" t="s">
        <v>15728</v>
      </c>
      <c r="N2321" s="14" t="s">
        <v>243</v>
      </c>
      <c r="O2321" s="16" t="s">
        <v>244</v>
      </c>
      <c r="P2321" s="14" t="s">
        <v>13425</v>
      </c>
      <c r="Q2321" s="14" t="s">
        <v>31</v>
      </c>
      <c r="R2321" s="14" t="s">
        <v>247</v>
      </c>
      <c r="S2321" s="16" t="s">
        <v>13426</v>
      </c>
      <c r="T2321" s="14" t="s">
        <v>249</v>
      </c>
      <c r="U2321" s="16" t="s">
        <v>31</v>
      </c>
      <c r="V2321" s="14" t="s">
        <v>13247</v>
      </c>
      <c r="W2321" s="14" t="s">
        <v>13207</v>
      </c>
      <c r="X2321" s="17" t="str">
        <f>HYPERLINK("https://my.pitchbook.com?p=456223-42P","View People Online")</f>
        <v>View People Online</v>
      </c>
    </row>
    <row r="2322">
      <c r="A2322" s="10" t="s">
        <v>15729</v>
      </c>
      <c r="B2322" s="10" t="s">
        <v>15730</v>
      </c>
      <c r="C2322" s="10" t="s">
        <v>1449</v>
      </c>
      <c r="D2322" s="10" t="s">
        <v>666</v>
      </c>
      <c r="E2322" s="10" t="s">
        <v>13207</v>
      </c>
      <c r="F2322" s="10" t="s">
        <v>318</v>
      </c>
      <c r="G2322" s="10" t="s">
        <v>15731</v>
      </c>
      <c r="H2322" s="11" t="s">
        <v>31</v>
      </c>
      <c r="I2322" s="11">
        <v>1.0</v>
      </c>
      <c r="J2322" s="11">
        <v>1.0</v>
      </c>
      <c r="K2322" s="11" t="s">
        <v>31</v>
      </c>
      <c r="L2322" s="12" t="s">
        <v>13423</v>
      </c>
      <c r="M2322" s="10" t="s">
        <v>15732</v>
      </c>
      <c r="N2322" s="10" t="s">
        <v>243</v>
      </c>
      <c r="O2322" s="12" t="s">
        <v>244</v>
      </c>
      <c r="P2322" s="10" t="s">
        <v>13425</v>
      </c>
      <c r="Q2322" s="10" t="s">
        <v>31</v>
      </c>
      <c r="R2322" s="10" t="s">
        <v>247</v>
      </c>
      <c r="S2322" s="12" t="s">
        <v>13426</v>
      </c>
      <c r="T2322" s="10" t="s">
        <v>249</v>
      </c>
      <c r="U2322" s="12" t="s">
        <v>31</v>
      </c>
      <c r="V2322" s="10" t="s">
        <v>15733</v>
      </c>
      <c r="W2322" s="10" t="s">
        <v>13207</v>
      </c>
      <c r="X2322" s="13" t="str">
        <f>HYPERLINK("https://my.pitchbook.com?p=434948-68P","View People Online")</f>
        <v>View People Online</v>
      </c>
    </row>
    <row r="2323">
      <c r="A2323" s="14" t="s">
        <v>15734</v>
      </c>
      <c r="B2323" s="14" t="s">
        <v>15735</v>
      </c>
      <c r="C2323" s="14" t="s">
        <v>1449</v>
      </c>
      <c r="D2323" s="14" t="s">
        <v>1645</v>
      </c>
      <c r="E2323" s="14" t="s">
        <v>13207</v>
      </c>
      <c r="F2323" s="14" t="s">
        <v>13218</v>
      </c>
      <c r="G2323" s="14" t="s">
        <v>15736</v>
      </c>
      <c r="H2323" s="15" t="s">
        <v>31</v>
      </c>
      <c r="I2323" s="15">
        <v>1.0</v>
      </c>
      <c r="J2323" s="15">
        <v>1.0</v>
      </c>
      <c r="K2323" s="15" t="s">
        <v>31</v>
      </c>
      <c r="L2323" s="16" t="s">
        <v>14201</v>
      </c>
      <c r="M2323" s="14" t="s">
        <v>15737</v>
      </c>
      <c r="N2323" s="14" t="s">
        <v>14203</v>
      </c>
      <c r="O2323" s="16" t="s">
        <v>14204</v>
      </c>
      <c r="P2323" s="14" t="s">
        <v>14205</v>
      </c>
      <c r="Q2323" s="14" t="s">
        <v>14206</v>
      </c>
      <c r="R2323" s="14" t="s">
        <v>1420</v>
      </c>
      <c r="S2323" s="16" t="s">
        <v>14207</v>
      </c>
      <c r="T2323" s="14" t="s">
        <v>66</v>
      </c>
      <c r="U2323" s="16" t="s">
        <v>14208</v>
      </c>
      <c r="V2323" s="14" t="s">
        <v>13218</v>
      </c>
      <c r="W2323" s="14" t="s">
        <v>13207</v>
      </c>
      <c r="X2323" s="17" t="str">
        <f>HYPERLINK("https://my.pitchbook.com?p=434803-51P","View People Online")</f>
        <v>View People Online</v>
      </c>
    </row>
    <row r="2324">
      <c r="A2324" s="10" t="s">
        <v>15738</v>
      </c>
      <c r="B2324" s="10" t="s">
        <v>15739</v>
      </c>
      <c r="C2324" s="10" t="s">
        <v>1449</v>
      </c>
      <c r="D2324" s="10" t="s">
        <v>15740</v>
      </c>
      <c r="E2324" s="10" t="s">
        <v>13207</v>
      </c>
      <c r="F2324" s="10" t="s">
        <v>13218</v>
      </c>
      <c r="G2324" s="10" t="s">
        <v>15741</v>
      </c>
      <c r="H2324" s="11" t="s">
        <v>31</v>
      </c>
      <c r="I2324" s="11">
        <v>1.0</v>
      </c>
      <c r="J2324" s="11">
        <v>1.0</v>
      </c>
      <c r="K2324" s="11" t="s">
        <v>31</v>
      </c>
      <c r="L2324" s="12" t="s">
        <v>13299</v>
      </c>
      <c r="M2324" s="10" t="s">
        <v>15742</v>
      </c>
      <c r="N2324" s="10" t="s">
        <v>601</v>
      </c>
      <c r="O2324" s="12" t="s">
        <v>602</v>
      </c>
      <c r="P2324" s="10" t="s">
        <v>13301</v>
      </c>
      <c r="Q2324" s="10" t="s">
        <v>13302</v>
      </c>
      <c r="R2324" s="10" t="s">
        <v>31</v>
      </c>
      <c r="S2324" s="12" t="s">
        <v>31</v>
      </c>
      <c r="T2324" s="10" t="s">
        <v>603</v>
      </c>
      <c r="U2324" s="12" t="s">
        <v>13303</v>
      </c>
      <c r="V2324" s="10" t="s">
        <v>13218</v>
      </c>
      <c r="W2324" s="10" t="s">
        <v>13207</v>
      </c>
      <c r="X2324" s="13" t="str">
        <f>HYPERLINK("https://my.pitchbook.com?p=436296-61P","View People Online")</f>
        <v>View People Online</v>
      </c>
    </row>
    <row r="2325">
      <c r="A2325" s="14" t="s">
        <v>15743</v>
      </c>
      <c r="B2325" s="14" t="s">
        <v>15744</v>
      </c>
      <c r="C2325" s="14" t="s">
        <v>1449</v>
      </c>
      <c r="D2325" s="14" t="s">
        <v>15745</v>
      </c>
      <c r="E2325" s="14" t="s">
        <v>13207</v>
      </c>
      <c r="F2325" s="14" t="s">
        <v>3523</v>
      </c>
      <c r="G2325" s="14" t="s">
        <v>15746</v>
      </c>
      <c r="H2325" s="15" t="s">
        <v>31</v>
      </c>
      <c r="I2325" s="15">
        <v>1.0</v>
      </c>
      <c r="J2325" s="15">
        <v>1.0</v>
      </c>
      <c r="K2325" s="15" t="s">
        <v>31</v>
      </c>
      <c r="L2325" s="16" t="s">
        <v>13378</v>
      </c>
      <c r="M2325" s="14" t="s">
        <v>15747</v>
      </c>
      <c r="N2325" s="14" t="s">
        <v>429</v>
      </c>
      <c r="O2325" s="16" t="s">
        <v>430</v>
      </c>
      <c r="P2325" s="14" t="s">
        <v>13380</v>
      </c>
      <c r="Q2325" s="14" t="s">
        <v>31</v>
      </c>
      <c r="R2325" s="14" t="s">
        <v>31</v>
      </c>
      <c r="S2325" s="16" t="s">
        <v>13381</v>
      </c>
      <c r="T2325" s="14" t="s">
        <v>433</v>
      </c>
      <c r="U2325" s="16" t="s">
        <v>13382</v>
      </c>
      <c r="V2325" s="14" t="s">
        <v>3523</v>
      </c>
      <c r="W2325" s="14" t="s">
        <v>13207</v>
      </c>
      <c r="X2325" s="17" t="str">
        <f>HYPERLINK("https://my.pitchbook.com?p=456272-29P","View People Online")</f>
        <v>View People Online</v>
      </c>
    </row>
    <row r="2326">
      <c r="A2326" s="2" t="s">
        <v>15748</v>
      </c>
      <c r="B2326" s="2" t="s">
        <v>15749</v>
      </c>
      <c r="C2326" s="2" t="s">
        <v>1449</v>
      </c>
      <c r="D2326" s="2" t="s">
        <v>15750</v>
      </c>
      <c r="E2326" s="2" t="s">
        <v>13207</v>
      </c>
      <c r="F2326" s="2" t="s">
        <v>2731</v>
      </c>
      <c r="G2326" s="2" t="s">
        <v>15751</v>
      </c>
      <c r="H2326" s="3" t="s">
        <v>31</v>
      </c>
      <c r="I2326" s="3">
        <v>1.0</v>
      </c>
      <c r="J2326" s="3">
        <v>1.0</v>
      </c>
      <c r="K2326" s="3" t="s">
        <v>31</v>
      </c>
      <c r="L2326" s="4" t="s">
        <v>13423</v>
      </c>
      <c r="M2326" s="2" t="s">
        <v>15752</v>
      </c>
      <c r="N2326" s="2" t="s">
        <v>243</v>
      </c>
      <c r="O2326" s="4" t="s">
        <v>244</v>
      </c>
      <c r="P2326" s="2" t="s">
        <v>13425</v>
      </c>
      <c r="Q2326" s="2" t="s">
        <v>31</v>
      </c>
      <c r="R2326" s="2" t="s">
        <v>247</v>
      </c>
      <c r="S2326" s="4" t="s">
        <v>13426</v>
      </c>
      <c r="T2326" s="2" t="s">
        <v>249</v>
      </c>
      <c r="U2326" s="4" t="s">
        <v>31</v>
      </c>
      <c r="V2326" s="2" t="s">
        <v>2731</v>
      </c>
      <c r="W2326" s="2" t="s">
        <v>13207</v>
      </c>
      <c r="X2326" s="5" t="str">
        <f>HYPERLINK("https://my.pitchbook.com?p=57033-82P","View People Online")</f>
        <v>View People Online</v>
      </c>
    </row>
    <row r="2327">
      <c r="A2327" s="14" t="s">
        <v>15753</v>
      </c>
      <c r="B2327" s="14" t="s">
        <v>15754</v>
      </c>
      <c r="C2327" s="14" t="s">
        <v>1449</v>
      </c>
      <c r="D2327" s="14" t="s">
        <v>6627</v>
      </c>
      <c r="E2327" s="14" t="s">
        <v>13207</v>
      </c>
      <c r="F2327" s="14" t="s">
        <v>13240</v>
      </c>
      <c r="G2327" s="14" t="s">
        <v>15755</v>
      </c>
      <c r="H2327" s="15">
        <v>2.0</v>
      </c>
      <c r="I2327" s="15">
        <v>3.0</v>
      </c>
      <c r="J2327" s="15">
        <v>2.0</v>
      </c>
      <c r="K2327" s="15" t="s">
        <v>31</v>
      </c>
      <c r="L2327" s="16" t="s">
        <v>15756</v>
      </c>
      <c r="M2327" s="14" t="s">
        <v>15757</v>
      </c>
      <c r="N2327" s="14" t="s">
        <v>7690</v>
      </c>
      <c r="O2327" s="16" t="s">
        <v>7691</v>
      </c>
      <c r="P2327" s="14" t="s">
        <v>15758</v>
      </c>
      <c r="Q2327" s="14" t="s">
        <v>4152</v>
      </c>
      <c r="R2327" s="14" t="s">
        <v>7693</v>
      </c>
      <c r="S2327" s="16" t="s">
        <v>15759</v>
      </c>
      <c r="T2327" s="14" t="s">
        <v>66</v>
      </c>
      <c r="U2327" s="16" t="s">
        <v>15760</v>
      </c>
      <c r="V2327" s="14" t="s">
        <v>15761</v>
      </c>
      <c r="W2327" s="14" t="s">
        <v>15762</v>
      </c>
      <c r="X2327" s="17" t="str">
        <f>HYPERLINK("https://my.pitchbook.com?p=49571-56P","View People Online")</f>
        <v>View People Online</v>
      </c>
    </row>
    <row r="2328">
      <c r="A2328" s="10" t="s">
        <v>15763</v>
      </c>
      <c r="B2328" s="10" t="s">
        <v>15764</v>
      </c>
      <c r="C2328" s="10" t="s">
        <v>1449</v>
      </c>
      <c r="D2328" s="10" t="s">
        <v>15765</v>
      </c>
      <c r="E2328" s="10" t="s">
        <v>13207</v>
      </c>
      <c r="F2328" s="10" t="s">
        <v>13218</v>
      </c>
      <c r="G2328" s="10" t="s">
        <v>15766</v>
      </c>
      <c r="H2328" s="11" t="s">
        <v>31</v>
      </c>
      <c r="I2328" s="11">
        <v>1.0</v>
      </c>
      <c r="J2328" s="11">
        <v>1.0</v>
      </c>
      <c r="K2328" s="11" t="s">
        <v>31</v>
      </c>
      <c r="L2328" s="12" t="s">
        <v>15357</v>
      </c>
      <c r="M2328" s="10" t="s">
        <v>15767</v>
      </c>
      <c r="N2328" s="10" t="s">
        <v>1454</v>
      </c>
      <c r="O2328" s="12" t="s">
        <v>1455</v>
      </c>
      <c r="P2328" s="10" t="s">
        <v>15359</v>
      </c>
      <c r="Q2328" s="10" t="s">
        <v>13635</v>
      </c>
      <c r="R2328" s="10" t="s">
        <v>93</v>
      </c>
      <c r="S2328" s="12" t="s">
        <v>1458</v>
      </c>
      <c r="T2328" s="10" t="s">
        <v>66</v>
      </c>
      <c r="U2328" s="12" t="s">
        <v>15360</v>
      </c>
      <c r="V2328" s="10" t="s">
        <v>13218</v>
      </c>
      <c r="W2328" s="10" t="s">
        <v>13207</v>
      </c>
      <c r="X2328" s="13" t="str">
        <f>HYPERLINK("https://my.pitchbook.com?p=436358-26P","View People Online")</f>
        <v>View People Online</v>
      </c>
    </row>
    <row r="2329">
      <c r="A2329" s="14" t="s">
        <v>15768</v>
      </c>
      <c r="B2329" s="14" t="s">
        <v>15769</v>
      </c>
      <c r="C2329" s="14" t="s">
        <v>1449</v>
      </c>
      <c r="D2329" s="14" t="s">
        <v>15770</v>
      </c>
      <c r="E2329" s="14" t="s">
        <v>13207</v>
      </c>
      <c r="F2329" s="14" t="s">
        <v>13218</v>
      </c>
      <c r="G2329" s="14" t="s">
        <v>15771</v>
      </c>
      <c r="H2329" s="15" t="s">
        <v>31</v>
      </c>
      <c r="I2329" s="15">
        <v>1.0</v>
      </c>
      <c r="J2329" s="15">
        <v>1.0</v>
      </c>
      <c r="K2329" s="15" t="s">
        <v>31</v>
      </c>
      <c r="L2329" s="16" t="s">
        <v>13345</v>
      </c>
      <c r="M2329" s="14" t="s">
        <v>15772</v>
      </c>
      <c r="N2329" s="14" t="s">
        <v>2764</v>
      </c>
      <c r="O2329" s="16" t="s">
        <v>2765</v>
      </c>
      <c r="P2329" s="14" t="s">
        <v>13347</v>
      </c>
      <c r="Q2329" s="14" t="s">
        <v>31</v>
      </c>
      <c r="R2329" s="14" t="s">
        <v>31</v>
      </c>
      <c r="S2329" s="16" t="s">
        <v>13348</v>
      </c>
      <c r="T2329" s="14" t="s">
        <v>2768</v>
      </c>
      <c r="U2329" s="16" t="s">
        <v>13349</v>
      </c>
      <c r="V2329" s="14" t="s">
        <v>13218</v>
      </c>
      <c r="W2329" s="14" t="s">
        <v>13207</v>
      </c>
      <c r="X2329" s="17" t="str">
        <f>HYPERLINK("https://my.pitchbook.com?p=456412-78P","View People Online")</f>
        <v>View People Online</v>
      </c>
    </row>
    <row r="2330">
      <c r="A2330" s="10" t="s">
        <v>15773</v>
      </c>
      <c r="B2330" s="10" t="s">
        <v>15774</v>
      </c>
      <c r="C2330" s="10" t="s">
        <v>1449</v>
      </c>
      <c r="D2330" s="10" t="s">
        <v>15775</v>
      </c>
      <c r="E2330" s="10" t="s">
        <v>13207</v>
      </c>
      <c r="F2330" s="10" t="s">
        <v>3523</v>
      </c>
      <c r="G2330" s="10" t="s">
        <v>15776</v>
      </c>
      <c r="H2330" s="11" t="s">
        <v>31</v>
      </c>
      <c r="I2330" s="11">
        <v>1.0</v>
      </c>
      <c r="J2330" s="11">
        <v>1.0</v>
      </c>
      <c r="K2330" s="11" t="s">
        <v>31</v>
      </c>
      <c r="L2330" s="12" t="s">
        <v>13299</v>
      </c>
      <c r="M2330" s="10" t="s">
        <v>15777</v>
      </c>
      <c r="N2330" s="10" t="s">
        <v>601</v>
      </c>
      <c r="O2330" s="12" t="s">
        <v>602</v>
      </c>
      <c r="P2330" s="10" t="s">
        <v>13301</v>
      </c>
      <c r="Q2330" s="10" t="s">
        <v>13302</v>
      </c>
      <c r="R2330" s="10" t="s">
        <v>31</v>
      </c>
      <c r="S2330" s="12" t="s">
        <v>31</v>
      </c>
      <c r="T2330" s="10" t="s">
        <v>603</v>
      </c>
      <c r="U2330" s="12" t="s">
        <v>13303</v>
      </c>
      <c r="V2330" s="10" t="s">
        <v>3523</v>
      </c>
      <c r="W2330" s="10" t="s">
        <v>13207</v>
      </c>
      <c r="X2330" s="13" t="str">
        <f>HYPERLINK("https://my.pitchbook.com?p=455970-34P","View People Online")</f>
        <v>View People Online</v>
      </c>
    </row>
    <row r="2331">
      <c r="A2331" s="14" t="s">
        <v>15778</v>
      </c>
      <c r="B2331" s="14" t="s">
        <v>15779</v>
      </c>
      <c r="C2331" s="14" t="s">
        <v>1449</v>
      </c>
      <c r="D2331" s="14" t="s">
        <v>15780</v>
      </c>
      <c r="E2331" s="14" t="s">
        <v>13207</v>
      </c>
      <c r="F2331" s="14" t="s">
        <v>3523</v>
      </c>
      <c r="G2331" s="14" t="s">
        <v>15781</v>
      </c>
      <c r="H2331" s="15" t="s">
        <v>31</v>
      </c>
      <c r="I2331" s="15">
        <v>1.0</v>
      </c>
      <c r="J2331" s="15">
        <v>1.0</v>
      </c>
      <c r="K2331" s="15" t="s">
        <v>31</v>
      </c>
      <c r="L2331" s="16" t="s">
        <v>13839</v>
      </c>
      <c r="M2331" s="14" t="s">
        <v>15782</v>
      </c>
      <c r="N2331" s="14" t="s">
        <v>11029</v>
      </c>
      <c r="O2331" s="16" t="s">
        <v>11030</v>
      </c>
      <c r="P2331" s="14" t="s">
        <v>13841</v>
      </c>
      <c r="Q2331" s="14" t="s">
        <v>13842</v>
      </c>
      <c r="R2331" s="14" t="s">
        <v>10017</v>
      </c>
      <c r="S2331" s="16" t="s">
        <v>13843</v>
      </c>
      <c r="T2331" s="14" t="s">
        <v>66</v>
      </c>
      <c r="U2331" s="16" t="s">
        <v>13844</v>
      </c>
      <c r="V2331" s="14" t="s">
        <v>3523</v>
      </c>
      <c r="W2331" s="14" t="s">
        <v>13207</v>
      </c>
      <c r="X2331" s="17" t="str">
        <f>HYPERLINK("https://my.pitchbook.com?p=435786-94P","View People Online")</f>
        <v>View People Online</v>
      </c>
    </row>
    <row r="2332">
      <c r="A2332" s="2" t="s">
        <v>15783</v>
      </c>
      <c r="B2332" s="2" t="s">
        <v>15784</v>
      </c>
      <c r="C2332" s="2" t="s">
        <v>1449</v>
      </c>
      <c r="D2332" s="2" t="s">
        <v>15785</v>
      </c>
      <c r="E2332" s="2" t="s">
        <v>13207</v>
      </c>
      <c r="F2332" s="2" t="s">
        <v>3523</v>
      </c>
      <c r="G2332" s="2" t="s">
        <v>15786</v>
      </c>
      <c r="H2332" s="3" t="s">
        <v>31</v>
      </c>
      <c r="I2332" s="3">
        <v>1.0</v>
      </c>
      <c r="J2332" s="3">
        <v>1.0</v>
      </c>
      <c r="K2332" s="3" t="s">
        <v>31</v>
      </c>
      <c r="L2332" s="4" t="s">
        <v>13220</v>
      </c>
      <c r="M2332" s="2" t="s">
        <v>15787</v>
      </c>
      <c r="N2332" s="2" t="s">
        <v>2478</v>
      </c>
      <c r="O2332" s="4" t="s">
        <v>7332</v>
      </c>
      <c r="P2332" s="2" t="s">
        <v>13222</v>
      </c>
      <c r="Q2332" s="2" t="s">
        <v>13223</v>
      </c>
      <c r="R2332" s="2" t="s">
        <v>7335</v>
      </c>
      <c r="S2332" s="4" t="s">
        <v>7336</v>
      </c>
      <c r="T2332" s="2" t="s">
        <v>5484</v>
      </c>
      <c r="U2332" s="4" t="s">
        <v>13224</v>
      </c>
      <c r="V2332" s="2" t="s">
        <v>3523</v>
      </c>
      <c r="W2332" s="2" t="s">
        <v>13207</v>
      </c>
      <c r="X2332" s="5" t="str">
        <f>HYPERLINK("https://my.pitchbook.com?p=435130-30P","View People Online")</f>
        <v>View People Online</v>
      </c>
    </row>
    <row r="2333">
      <c r="A2333" s="14" t="s">
        <v>15788</v>
      </c>
      <c r="B2333" s="14" t="s">
        <v>15789</v>
      </c>
      <c r="C2333" s="14" t="s">
        <v>1449</v>
      </c>
      <c r="D2333" s="14" t="s">
        <v>15790</v>
      </c>
      <c r="E2333" s="14" t="s">
        <v>13207</v>
      </c>
      <c r="F2333" s="14" t="s">
        <v>13218</v>
      </c>
      <c r="G2333" s="14" t="s">
        <v>15791</v>
      </c>
      <c r="H2333" s="15" t="s">
        <v>31</v>
      </c>
      <c r="I2333" s="15">
        <v>1.0</v>
      </c>
      <c r="J2333" s="15">
        <v>1.0</v>
      </c>
      <c r="K2333" s="15" t="s">
        <v>31</v>
      </c>
      <c r="L2333" s="16" t="s">
        <v>13839</v>
      </c>
      <c r="M2333" s="14" t="s">
        <v>15792</v>
      </c>
      <c r="N2333" s="14" t="s">
        <v>11029</v>
      </c>
      <c r="O2333" s="16" t="s">
        <v>11030</v>
      </c>
      <c r="P2333" s="14" t="s">
        <v>13841</v>
      </c>
      <c r="Q2333" s="14" t="s">
        <v>13842</v>
      </c>
      <c r="R2333" s="14" t="s">
        <v>10017</v>
      </c>
      <c r="S2333" s="16" t="s">
        <v>13843</v>
      </c>
      <c r="T2333" s="14" t="s">
        <v>66</v>
      </c>
      <c r="U2333" s="16" t="s">
        <v>13844</v>
      </c>
      <c r="V2333" s="14" t="s">
        <v>15793</v>
      </c>
      <c r="W2333" s="14" t="s">
        <v>13207</v>
      </c>
      <c r="X2333" s="17" t="str">
        <f>HYPERLINK("https://my.pitchbook.com?p=435557-08P","View People Online")</f>
        <v>View People Online</v>
      </c>
    </row>
    <row r="2334">
      <c r="A2334" s="10" t="s">
        <v>15794</v>
      </c>
      <c r="B2334" s="10" t="s">
        <v>15795</v>
      </c>
      <c r="C2334" s="10" t="s">
        <v>1449</v>
      </c>
      <c r="D2334" s="10" t="s">
        <v>3354</v>
      </c>
      <c r="E2334" s="10" t="s">
        <v>13207</v>
      </c>
      <c r="F2334" s="10" t="s">
        <v>13218</v>
      </c>
      <c r="G2334" s="10" t="s">
        <v>15796</v>
      </c>
      <c r="H2334" s="11" t="s">
        <v>31</v>
      </c>
      <c r="I2334" s="11">
        <v>1.0</v>
      </c>
      <c r="J2334" s="11">
        <v>1.0</v>
      </c>
      <c r="K2334" s="11" t="s">
        <v>31</v>
      </c>
      <c r="L2334" s="12" t="s">
        <v>13274</v>
      </c>
      <c r="M2334" s="10" t="s">
        <v>15797</v>
      </c>
      <c r="N2334" s="10" t="s">
        <v>1181</v>
      </c>
      <c r="O2334" s="12" t="s">
        <v>1182</v>
      </c>
      <c r="P2334" s="10" t="s">
        <v>13276</v>
      </c>
      <c r="Q2334" s="10" t="s">
        <v>31</v>
      </c>
      <c r="R2334" s="10" t="s">
        <v>1185</v>
      </c>
      <c r="S2334" s="12" t="s">
        <v>4438</v>
      </c>
      <c r="T2334" s="10" t="s">
        <v>66</v>
      </c>
      <c r="U2334" s="12" t="s">
        <v>13277</v>
      </c>
      <c r="V2334" s="10" t="s">
        <v>13218</v>
      </c>
      <c r="W2334" s="10" t="s">
        <v>13207</v>
      </c>
      <c r="X2334" s="13" t="str">
        <f>HYPERLINK("https://my.pitchbook.com?p=435389-50P","View People Online")</f>
        <v>View People Online</v>
      </c>
    </row>
    <row r="2335">
      <c r="A2335" s="14" t="s">
        <v>15798</v>
      </c>
      <c r="B2335" s="14" t="s">
        <v>15799</v>
      </c>
      <c r="C2335" s="14" t="s">
        <v>8681</v>
      </c>
      <c r="D2335" s="14" t="s">
        <v>15800</v>
      </c>
      <c r="E2335" s="14" t="s">
        <v>13207</v>
      </c>
      <c r="F2335" s="14" t="s">
        <v>3523</v>
      </c>
      <c r="G2335" s="14" t="s">
        <v>15801</v>
      </c>
      <c r="H2335" s="15" t="s">
        <v>31</v>
      </c>
      <c r="I2335" s="15">
        <v>1.0</v>
      </c>
      <c r="J2335" s="15">
        <v>1.0</v>
      </c>
      <c r="K2335" s="15" t="s">
        <v>31</v>
      </c>
      <c r="L2335" s="16" t="s">
        <v>13423</v>
      </c>
      <c r="M2335" s="14" t="s">
        <v>15802</v>
      </c>
      <c r="N2335" s="14" t="s">
        <v>243</v>
      </c>
      <c r="O2335" s="16" t="s">
        <v>244</v>
      </c>
      <c r="P2335" s="14" t="s">
        <v>13425</v>
      </c>
      <c r="Q2335" s="14" t="s">
        <v>31</v>
      </c>
      <c r="R2335" s="14" t="s">
        <v>247</v>
      </c>
      <c r="S2335" s="16" t="s">
        <v>13426</v>
      </c>
      <c r="T2335" s="14" t="s">
        <v>249</v>
      </c>
      <c r="U2335" s="16" t="s">
        <v>31</v>
      </c>
      <c r="V2335" s="14" t="s">
        <v>3523</v>
      </c>
      <c r="W2335" s="14" t="s">
        <v>13207</v>
      </c>
      <c r="X2335" s="17" t="str">
        <f>HYPERLINK("https://my.pitchbook.com?p=435197-89P","View People Online")</f>
        <v>View People Online</v>
      </c>
    </row>
    <row r="2336">
      <c r="A2336" s="10" t="s">
        <v>15803</v>
      </c>
      <c r="B2336" s="10" t="s">
        <v>15804</v>
      </c>
      <c r="C2336" s="10" t="s">
        <v>8681</v>
      </c>
      <c r="D2336" s="10" t="s">
        <v>15805</v>
      </c>
      <c r="E2336" s="10" t="s">
        <v>13207</v>
      </c>
      <c r="F2336" s="10" t="s">
        <v>13218</v>
      </c>
      <c r="G2336" s="10" t="s">
        <v>15806</v>
      </c>
      <c r="H2336" s="11" t="s">
        <v>31</v>
      </c>
      <c r="I2336" s="11">
        <v>3.0</v>
      </c>
      <c r="J2336" s="11">
        <v>1.0</v>
      </c>
      <c r="K2336" s="11">
        <v>1.0</v>
      </c>
      <c r="L2336" s="12" t="s">
        <v>13540</v>
      </c>
      <c r="M2336" s="10" t="s">
        <v>15807</v>
      </c>
      <c r="N2336" s="10" t="s">
        <v>418</v>
      </c>
      <c r="O2336" s="12" t="s">
        <v>419</v>
      </c>
      <c r="P2336" s="10" t="s">
        <v>13542</v>
      </c>
      <c r="Q2336" s="10" t="s">
        <v>31</v>
      </c>
      <c r="R2336" s="10" t="s">
        <v>31</v>
      </c>
      <c r="S2336" s="12" t="s">
        <v>2664</v>
      </c>
      <c r="T2336" s="10" t="s">
        <v>422</v>
      </c>
      <c r="U2336" s="12" t="s">
        <v>13543</v>
      </c>
      <c r="V2336" s="10" t="s">
        <v>13218</v>
      </c>
      <c r="W2336" s="10" t="s">
        <v>13207</v>
      </c>
      <c r="X2336" s="13" t="str">
        <f>HYPERLINK("https://my.pitchbook.com?p=207277-21P","View People Online")</f>
        <v>View People Online</v>
      </c>
    </row>
    <row r="2337">
      <c r="A2337" s="14" t="s">
        <v>15808</v>
      </c>
      <c r="B2337" s="14" t="s">
        <v>15809</v>
      </c>
      <c r="C2337" s="14" t="s">
        <v>8681</v>
      </c>
      <c r="D2337" s="14" t="s">
        <v>15810</v>
      </c>
      <c r="E2337" s="14" t="s">
        <v>13207</v>
      </c>
      <c r="F2337" s="14" t="s">
        <v>13218</v>
      </c>
      <c r="G2337" s="14" t="s">
        <v>15811</v>
      </c>
      <c r="H2337" s="15" t="s">
        <v>31</v>
      </c>
      <c r="I2337" s="15">
        <v>1.0</v>
      </c>
      <c r="J2337" s="15">
        <v>1.0</v>
      </c>
      <c r="K2337" s="15" t="s">
        <v>31</v>
      </c>
      <c r="L2337" s="16" t="s">
        <v>13540</v>
      </c>
      <c r="M2337" s="14" t="s">
        <v>15812</v>
      </c>
      <c r="N2337" s="14" t="s">
        <v>418</v>
      </c>
      <c r="O2337" s="16" t="s">
        <v>419</v>
      </c>
      <c r="P2337" s="14" t="s">
        <v>13542</v>
      </c>
      <c r="Q2337" s="14" t="s">
        <v>31</v>
      </c>
      <c r="R2337" s="14" t="s">
        <v>31</v>
      </c>
      <c r="S2337" s="16" t="s">
        <v>2664</v>
      </c>
      <c r="T2337" s="14" t="s">
        <v>422</v>
      </c>
      <c r="U2337" s="16" t="s">
        <v>13543</v>
      </c>
      <c r="V2337" s="14" t="s">
        <v>13218</v>
      </c>
      <c r="W2337" s="14" t="s">
        <v>13207</v>
      </c>
      <c r="X2337" s="17" t="str">
        <f>HYPERLINK("https://my.pitchbook.com?p=456694-66P","View People Online")</f>
        <v>View People Online</v>
      </c>
    </row>
    <row r="2338">
      <c r="A2338" s="10" t="s">
        <v>15813</v>
      </c>
      <c r="B2338" s="10" t="s">
        <v>15814</v>
      </c>
      <c r="C2338" s="10" t="s">
        <v>8681</v>
      </c>
      <c r="D2338" s="10" t="s">
        <v>15815</v>
      </c>
      <c r="E2338" s="10" t="s">
        <v>13207</v>
      </c>
      <c r="F2338" s="10" t="s">
        <v>15816</v>
      </c>
      <c r="G2338" s="10" t="s">
        <v>15817</v>
      </c>
      <c r="H2338" s="11" t="s">
        <v>31</v>
      </c>
      <c r="I2338" s="11">
        <v>1.0</v>
      </c>
      <c r="J2338" s="11">
        <v>1.0</v>
      </c>
      <c r="K2338" s="11" t="s">
        <v>31</v>
      </c>
      <c r="L2338" s="12" t="s">
        <v>13345</v>
      </c>
      <c r="M2338" s="10" t="s">
        <v>15818</v>
      </c>
      <c r="N2338" s="10" t="s">
        <v>2764</v>
      </c>
      <c r="O2338" s="12" t="s">
        <v>2765</v>
      </c>
      <c r="P2338" s="10" t="s">
        <v>13347</v>
      </c>
      <c r="Q2338" s="10" t="s">
        <v>31</v>
      </c>
      <c r="R2338" s="10" t="s">
        <v>31</v>
      </c>
      <c r="S2338" s="12" t="s">
        <v>13348</v>
      </c>
      <c r="T2338" s="10" t="s">
        <v>2768</v>
      </c>
      <c r="U2338" s="12" t="s">
        <v>13349</v>
      </c>
      <c r="V2338" s="10" t="s">
        <v>15819</v>
      </c>
      <c r="W2338" s="10" t="s">
        <v>13207</v>
      </c>
      <c r="X2338" s="13" t="str">
        <f>HYPERLINK("https://my.pitchbook.com?p=436381-84P","View People Online")</f>
        <v>View People Online</v>
      </c>
    </row>
    <row r="2339">
      <c r="A2339" s="14" t="s">
        <v>15820</v>
      </c>
      <c r="B2339" s="14" t="s">
        <v>15821</v>
      </c>
      <c r="C2339" s="14" t="s">
        <v>15822</v>
      </c>
      <c r="D2339" s="14" t="s">
        <v>15823</v>
      </c>
      <c r="E2339" s="14" t="s">
        <v>13207</v>
      </c>
      <c r="F2339" s="14" t="s">
        <v>13218</v>
      </c>
      <c r="G2339" s="14" t="s">
        <v>15824</v>
      </c>
      <c r="H2339" s="15" t="s">
        <v>31</v>
      </c>
      <c r="I2339" s="15">
        <v>1.0</v>
      </c>
      <c r="J2339" s="15">
        <v>1.0</v>
      </c>
      <c r="K2339" s="15" t="s">
        <v>31</v>
      </c>
      <c r="L2339" s="16" t="s">
        <v>13354</v>
      </c>
      <c r="M2339" s="14" t="s">
        <v>15825</v>
      </c>
      <c r="N2339" s="14" t="s">
        <v>13356</v>
      </c>
      <c r="O2339" s="16" t="s">
        <v>13357</v>
      </c>
      <c r="P2339" s="14" t="s">
        <v>13358</v>
      </c>
      <c r="Q2339" s="14" t="s">
        <v>13359</v>
      </c>
      <c r="R2339" s="14" t="s">
        <v>31</v>
      </c>
      <c r="S2339" s="16" t="s">
        <v>13360</v>
      </c>
      <c r="T2339" s="14" t="s">
        <v>13361</v>
      </c>
      <c r="U2339" s="16" t="s">
        <v>13362</v>
      </c>
      <c r="V2339" s="14" t="s">
        <v>13218</v>
      </c>
      <c r="W2339" s="14" t="s">
        <v>13207</v>
      </c>
      <c r="X2339" s="17" t="str">
        <f>HYPERLINK("https://my.pitchbook.com?p=435291-49P","View People Online")</f>
        <v>View People Online</v>
      </c>
    </row>
    <row r="2340">
      <c r="A2340" s="10" t="s">
        <v>15826</v>
      </c>
      <c r="B2340" s="10" t="s">
        <v>15827</v>
      </c>
      <c r="C2340" s="10" t="s">
        <v>15828</v>
      </c>
      <c r="D2340" s="10" t="s">
        <v>15829</v>
      </c>
      <c r="E2340" s="10" t="s">
        <v>13207</v>
      </c>
      <c r="F2340" s="10" t="s">
        <v>29</v>
      </c>
      <c r="G2340" s="10" t="s">
        <v>15830</v>
      </c>
      <c r="H2340" s="11" t="s">
        <v>31</v>
      </c>
      <c r="I2340" s="11">
        <v>1.0</v>
      </c>
      <c r="J2340" s="11">
        <v>1.0</v>
      </c>
      <c r="K2340" s="11" t="s">
        <v>31</v>
      </c>
      <c r="L2340" s="12" t="s">
        <v>13399</v>
      </c>
      <c r="M2340" s="10" t="s">
        <v>15831</v>
      </c>
      <c r="N2340" s="10" t="s">
        <v>13401</v>
      </c>
      <c r="O2340" s="12" t="s">
        <v>13402</v>
      </c>
      <c r="P2340" s="10" t="s">
        <v>13403</v>
      </c>
      <c r="Q2340" s="10" t="s">
        <v>13404</v>
      </c>
      <c r="R2340" s="10" t="s">
        <v>31</v>
      </c>
      <c r="S2340" s="12" t="s">
        <v>13405</v>
      </c>
      <c r="T2340" s="10" t="s">
        <v>13406</v>
      </c>
      <c r="U2340" s="12" t="s">
        <v>13407</v>
      </c>
      <c r="V2340" s="10" t="s">
        <v>29</v>
      </c>
      <c r="W2340" s="10" t="s">
        <v>13207</v>
      </c>
      <c r="X2340" s="13" t="str">
        <f>HYPERLINK("https://my.pitchbook.com?p=436215-43P","View People Online")</f>
        <v>View People Online</v>
      </c>
    </row>
    <row r="2341">
      <c r="A2341" s="6" t="s">
        <v>15832</v>
      </c>
      <c r="B2341" s="6" t="s">
        <v>15833</v>
      </c>
      <c r="C2341" s="6" t="s">
        <v>7286</v>
      </c>
      <c r="D2341" s="6" t="s">
        <v>15834</v>
      </c>
      <c r="E2341" s="6" t="s">
        <v>13207</v>
      </c>
      <c r="F2341" s="6" t="s">
        <v>3523</v>
      </c>
      <c r="G2341" s="6" t="s">
        <v>15835</v>
      </c>
      <c r="H2341" s="7" t="s">
        <v>31</v>
      </c>
      <c r="I2341" s="7">
        <v>1.0</v>
      </c>
      <c r="J2341" s="7">
        <v>1.0</v>
      </c>
      <c r="K2341" s="7" t="s">
        <v>31</v>
      </c>
      <c r="L2341" s="8" t="s">
        <v>13423</v>
      </c>
      <c r="M2341" s="6" t="s">
        <v>15836</v>
      </c>
      <c r="N2341" s="6" t="s">
        <v>243</v>
      </c>
      <c r="O2341" s="8" t="s">
        <v>244</v>
      </c>
      <c r="P2341" s="6" t="s">
        <v>13425</v>
      </c>
      <c r="Q2341" s="6" t="s">
        <v>31</v>
      </c>
      <c r="R2341" s="6" t="s">
        <v>247</v>
      </c>
      <c r="S2341" s="8" t="s">
        <v>13426</v>
      </c>
      <c r="T2341" s="6" t="s">
        <v>249</v>
      </c>
      <c r="U2341" s="8" t="s">
        <v>31</v>
      </c>
      <c r="V2341" s="6" t="s">
        <v>3523</v>
      </c>
      <c r="W2341" s="6" t="s">
        <v>13207</v>
      </c>
      <c r="X2341" s="9" t="str">
        <f>HYPERLINK("https://my.pitchbook.com?p=435502-99P","View People Online")</f>
        <v>View People Online</v>
      </c>
    </row>
    <row r="2342">
      <c r="A2342" s="2" t="s">
        <v>15837</v>
      </c>
      <c r="B2342" s="2" t="s">
        <v>15838</v>
      </c>
      <c r="C2342" s="2" t="s">
        <v>15839</v>
      </c>
      <c r="D2342" s="2" t="s">
        <v>15840</v>
      </c>
      <c r="E2342" s="2" t="s">
        <v>13207</v>
      </c>
      <c r="F2342" s="2" t="s">
        <v>13218</v>
      </c>
      <c r="G2342" s="2" t="s">
        <v>15841</v>
      </c>
      <c r="H2342" s="3" t="s">
        <v>31</v>
      </c>
      <c r="I2342" s="3">
        <v>1.0</v>
      </c>
      <c r="J2342" s="3">
        <v>1.0</v>
      </c>
      <c r="K2342" s="3" t="s">
        <v>31</v>
      </c>
      <c r="L2342" s="4" t="s">
        <v>13209</v>
      </c>
      <c r="M2342" s="2" t="s">
        <v>15842</v>
      </c>
      <c r="N2342" s="2" t="s">
        <v>4232</v>
      </c>
      <c r="O2342" s="4" t="s">
        <v>4233</v>
      </c>
      <c r="P2342" s="2" t="s">
        <v>13211</v>
      </c>
      <c r="Q2342" s="2" t="s">
        <v>31</v>
      </c>
      <c r="R2342" s="2" t="s">
        <v>4236</v>
      </c>
      <c r="S2342" s="4" t="s">
        <v>13212</v>
      </c>
      <c r="T2342" s="2" t="s">
        <v>66</v>
      </c>
      <c r="U2342" s="4" t="s">
        <v>13213</v>
      </c>
      <c r="V2342" s="2" t="s">
        <v>14182</v>
      </c>
      <c r="W2342" s="2" t="s">
        <v>13207</v>
      </c>
      <c r="X2342" s="5" t="str">
        <f>HYPERLINK("https://my.pitchbook.com?p=168894-10P","View People Online")</f>
        <v>View People Online</v>
      </c>
    </row>
    <row r="2343">
      <c r="A2343" s="6" t="s">
        <v>15843</v>
      </c>
      <c r="B2343" s="6" t="s">
        <v>15844</v>
      </c>
      <c r="C2343" s="6" t="s">
        <v>15845</v>
      </c>
      <c r="D2343" s="6" t="s">
        <v>15846</v>
      </c>
      <c r="E2343" s="6" t="s">
        <v>13207</v>
      </c>
      <c r="F2343" s="6" t="s">
        <v>13218</v>
      </c>
      <c r="G2343" s="6" t="s">
        <v>15847</v>
      </c>
      <c r="H2343" s="7" t="s">
        <v>31</v>
      </c>
      <c r="I2343" s="7">
        <v>7.0</v>
      </c>
      <c r="J2343" s="7">
        <v>2.0</v>
      </c>
      <c r="K2343" s="7">
        <v>4.0</v>
      </c>
      <c r="L2343" s="8" t="s">
        <v>15848</v>
      </c>
      <c r="M2343" s="6" t="s">
        <v>15849</v>
      </c>
      <c r="N2343" s="6" t="s">
        <v>15850</v>
      </c>
      <c r="O2343" s="8" t="s">
        <v>15851</v>
      </c>
      <c r="P2343" s="6" t="s">
        <v>15852</v>
      </c>
      <c r="Q2343" s="6" t="s">
        <v>15853</v>
      </c>
      <c r="R2343" s="6" t="s">
        <v>15854</v>
      </c>
      <c r="S2343" s="8" t="s">
        <v>15855</v>
      </c>
      <c r="T2343" s="6" t="s">
        <v>1209</v>
      </c>
      <c r="U2343" s="8" t="s">
        <v>31</v>
      </c>
      <c r="V2343" s="6" t="s">
        <v>157</v>
      </c>
      <c r="W2343" s="6" t="s">
        <v>15856</v>
      </c>
      <c r="X2343" s="9" t="str">
        <f>HYPERLINK("https://my.pitchbook.com?p=257513-59P","View People Online")</f>
        <v>View People Online</v>
      </c>
    </row>
    <row r="2344">
      <c r="A2344" s="2" t="s">
        <v>15857</v>
      </c>
      <c r="B2344" s="2" t="s">
        <v>15858</v>
      </c>
      <c r="C2344" s="2" t="s">
        <v>11152</v>
      </c>
      <c r="D2344" s="2" t="s">
        <v>15859</v>
      </c>
      <c r="E2344" s="2" t="s">
        <v>13207</v>
      </c>
      <c r="F2344" s="2" t="s">
        <v>29</v>
      </c>
      <c r="G2344" s="2" t="s">
        <v>15860</v>
      </c>
      <c r="H2344" s="3" t="s">
        <v>31</v>
      </c>
      <c r="I2344" s="3">
        <v>1.0</v>
      </c>
      <c r="J2344" s="3">
        <v>1.0</v>
      </c>
      <c r="K2344" s="3" t="s">
        <v>31</v>
      </c>
      <c r="L2344" s="4" t="s">
        <v>13714</v>
      </c>
      <c r="M2344" s="2" t="s">
        <v>15861</v>
      </c>
      <c r="N2344" s="2" t="s">
        <v>13716</v>
      </c>
      <c r="O2344" s="4" t="s">
        <v>13717</v>
      </c>
      <c r="P2344" s="2" t="s">
        <v>13718</v>
      </c>
      <c r="Q2344" s="2" t="s">
        <v>31</v>
      </c>
      <c r="R2344" s="2" t="s">
        <v>31</v>
      </c>
      <c r="S2344" s="4" t="s">
        <v>13719</v>
      </c>
      <c r="T2344" s="2" t="s">
        <v>38</v>
      </c>
      <c r="U2344" s="4" t="s">
        <v>13720</v>
      </c>
      <c r="V2344" s="2" t="s">
        <v>29</v>
      </c>
      <c r="W2344" s="2" t="s">
        <v>13207</v>
      </c>
      <c r="X2344" s="5" t="str">
        <f>HYPERLINK("https://my.pitchbook.com?p=456103-36P","View People Online")</f>
        <v>View People Online</v>
      </c>
    </row>
    <row r="2345">
      <c r="A2345" s="14" t="s">
        <v>15862</v>
      </c>
      <c r="B2345" s="14" t="s">
        <v>15863</v>
      </c>
      <c r="C2345" s="14" t="s">
        <v>11152</v>
      </c>
      <c r="D2345" s="14" t="s">
        <v>15864</v>
      </c>
      <c r="E2345" s="14" t="s">
        <v>13207</v>
      </c>
      <c r="F2345" s="14" t="s">
        <v>3523</v>
      </c>
      <c r="G2345" s="14" t="s">
        <v>15865</v>
      </c>
      <c r="H2345" s="15" t="s">
        <v>31</v>
      </c>
      <c r="I2345" s="15">
        <v>1.0</v>
      </c>
      <c r="J2345" s="15">
        <v>1.0</v>
      </c>
      <c r="K2345" s="15" t="s">
        <v>31</v>
      </c>
      <c r="L2345" s="16" t="s">
        <v>14014</v>
      </c>
      <c r="M2345" s="14" t="s">
        <v>15866</v>
      </c>
      <c r="N2345" s="14" t="s">
        <v>14016</v>
      </c>
      <c r="O2345" s="16" t="s">
        <v>14017</v>
      </c>
      <c r="P2345" s="14" t="s">
        <v>14018</v>
      </c>
      <c r="Q2345" s="14" t="s">
        <v>14019</v>
      </c>
      <c r="R2345" s="14" t="s">
        <v>31</v>
      </c>
      <c r="S2345" s="16" t="s">
        <v>14020</v>
      </c>
      <c r="T2345" s="14" t="s">
        <v>38</v>
      </c>
      <c r="U2345" s="16" t="s">
        <v>14014</v>
      </c>
      <c r="V2345" s="14" t="s">
        <v>3523</v>
      </c>
      <c r="W2345" s="14" t="s">
        <v>13207</v>
      </c>
      <c r="X2345" s="17" t="str">
        <f>HYPERLINK("https://my.pitchbook.com?p=455399-11P","View People Online")</f>
        <v>View People Online</v>
      </c>
    </row>
    <row r="2346">
      <c r="A2346" s="10" t="s">
        <v>15867</v>
      </c>
      <c r="B2346" s="10" t="s">
        <v>15868</v>
      </c>
      <c r="C2346" s="10" t="s">
        <v>316</v>
      </c>
      <c r="D2346" s="10" t="s">
        <v>15869</v>
      </c>
      <c r="E2346" s="10" t="s">
        <v>13207</v>
      </c>
      <c r="F2346" s="10" t="s">
        <v>13218</v>
      </c>
      <c r="G2346" s="10" t="s">
        <v>15870</v>
      </c>
      <c r="H2346" s="11" t="s">
        <v>31</v>
      </c>
      <c r="I2346" s="11">
        <v>1.0</v>
      </c>
      <c r="J2346" s="11">
        <v>1.0</v>
      </c>
      <c r="K2346" s="11" t="s">
        <v>31</v>
      </c>
      <c r="L2346" s="12" t="s">
        <v>13916</v>
      </c>
      <c r="M2346" s="10" t="s">
        <v>15871</v>
      </c>
      <c r="N2346" s="10" t="s">
        <v>155</v>
      </c>
      <c r="O2346" s="12" t="s">
        <v>156</v>
      </c>
      <c r="P2346" s="10" t="s">
        <v>13918</v>
      </c>
      <c r="Q2346" s="10" t="s">
        <v>13919</v>
      </c>
      <c r="R2346" s="10" t="s">
        <v>64</v>
      </c>
      <c r="S2346" s="12" t="s">
        <v>1549</v>
      </c>
      <c r="T2346" s="10" t="s">
        <v>66</v>
      </c>
      <c r="U2346" s="12" t="s">
        <v>13920</v>
      </c>
      <c r="V2346" s="10" t="s">
        <v>13218</v>
      </c>
      <c r="W2346" s="10" t="s">
        <v>13207</v>
      </c>
      <c r="X2346" s="13" t="str">
        <f>HYPERLINK("https://my.pitchbook.com?p=435965-05P","View People Online")</f>
        <v>View People Online</v>
      </c>
    </row>
    <row r="2347">
      <c r="A2347" s="14" t="s">
        <v>15872</v>
      </c>
      <c r="B2347" s="14" t="s">
        <v>15873</v>
      </c>
      <c r="C2347" s="14" t="s">
        <v>316</v>
      </c>
      <c r="D2347" s="14" t="s">
        <v>15874</v>
      </c>
      <c r="E2347" s="14" t="s">
        <v>13207</v>
      </c>
      <c r="F2347" s="14" t="s">
        <v>3523</v>
      </c>
      <c r="G2347" s="14" t="s">
        <v>15875</v>
      </c>
      <c r="H2347" s="15" t="s">
        <v>31</v>
      </c>
      <c r="I2347" s="15">
        <v>1.0</v>
      </c>
      <c r="J2347" s="15">
        <v>1.0</v>
      </c>
      <c r="K2347" s="15" t="s">
        <v>31</v>
      </c>
      <c r="L2347" s="16" t="s">
        <v>13496</v>
      </c>
      <c r="M2347" s="14" t="s">
        <v>15876</v>
      </c>
      <c r="N2347" s="14" t="s">
        <v>75</v>
      </c>
      <c r="O2347" s="16" t="s">
        <v>76</v>
      </c>
      <c r="P2347" s="14" t="s">
        <v>13498</v>
      </c>
      <c r="Q2347" s="14" t="s">
        <v>31</v>
      </c>
      <c r="R2347" s="14" t="s">
        <v>75</v>
      </c>
      <c r="S2347" s="16" t="s">
        <v>195</v>
      </c>
      <c r="T2347" s="14" t="s">
        <v>66</v>
      </c>
      <c r="U2347" s="16" t="s">
        <v>13499</v>
      </c>
      <c r="V2347" s="14" t="s">
        <v>3523</v>
      </c>
      <c r="W2347" s="14" t="s">
        <v>13207</v>
      </c>
      <c r="X2347" s="17" t="str">
        <f>HYPERLINK("https://my.pitchbook.com?p=455286-43P","View People Online")</f>
        <v>View People Online</v>
      </c>
    </row>
    <row r="2348">
      <c r="A2348" s="2" t="s">
        <v>15877</v>
      </c>
      <c r="B2348" s="2" t="s">
        <v>15878</v>
      </c>
      <c r="C2348" s="2" t="s">
        <v>316</v>
      </c>
      <c r="D2348" s="2" t="s">
        <v>1073</v>
      </c>
      <c r="E2348" s="2" t="s">
        <v>13207</v>
      </c>
      <c r="F2348" s="2" t="s">
        <v>3523</v>
      </c>
      <c r="G2348" s="2" t="s">
        <v>15879</v>
      </c>
      <c r="H2348" s="3" t="s">
        <v>31</v>
      </c>
      <c r="I2348" s="3">
        <v>1.0</v>
      </c>
      <c r="J2348" s="3">
        <v>1.0</v>
      </c>
      <c r="K2348" s="3" t="s">
        <v>31</v>
      </c>
      <c r="L2348" s="4" t="s">
        <v>13496</v>
      </c>
      <c r="M2348" s="2" t="s">
        <v>15880</v>
      </c>
      <c r="N2348" s="2" t="s">
        <v>75</v>
      </c>
      <c r="O2348" s="4" t="s">
        <v>76</v>
      </c>
      <c r="P2348" s="2" t="s">
        <v>13498</v>
      </c>
      <c r="Q2348" s="2" t="s">
        <v>31</v>
      </c>
      <c r="R2348" s="2" t="s">
        <v>75</v>
      </c>
      <c r="S2348" s="4" t="s">
        <v>195</v>
      </c>
      <c r="T2348" s="2" t="s">
        <v>66</v>
      </c>
      <c r="U2348" s="4" t="s">
        <v>13499</v>
      </c>
      <c r="V2348" s="2" t="s">
        <v>3523</v>
      </c>
      <c r="W2348" s="2" t="s">
        <v>13207</v>
      </c>
      <c r="X2348" s="5" t="str">
        <f>HYPERLINK("https://my.pitchbook.com?p=455645-71P","View People Online")</f>
        <v>View People Online</v>
      </c>
    </row>
    <row r="2349">
      <c r="A2349" s="6" t="s">
        <v>15881</v>
      </c>
      <c r="B2349" s="6" t="s">
        <v>15882</v>
      </c>
      <c r="C2349" s="6" t="s">
        <v>15883</v>
      </c>
      <c r="D2349" s="6" t="s">
        <v>15884</v>
      </c>
      <c r="E2349" s="6" t="s">
        <v>13207</v>
      </c>
      <c r="F2349" s="6" t="s">
        <v>13307</v>
      </c>
      <c r="G2349" s="6" t="s">
        <v>15885</v>
      </c>
      <c r="H2349" s="7" t="s">
        <v>31</v>
      </c>
      <c r="I2349" s="7">
        <v>1.0</v>
      </c>
      <c r="J2349" s="7">
        <v>1.0</v>
      </c>
      <c r="K2349" s="7" t="s">
        <v>31</v>
      </c>
      <c r="L2349" s="8" t="s">
        <v>13423</v>
      </c>
      <c r="M2349" s="6" t="s">
        <v>15886</v>
      </c>
      <c r="N2349" s="6" t="s">
        <v>243</v>
      </c>
      <c r="O2349" s="8" t="s">
        <v>244</v>
      </c>
      <c r="P2349" s="6" t="s">
        <v>13425</v>
      </c>
      <c r="Q2349" s="6" t="s">
        <v>31</v>
      </c>
      <c r="R2349" s="6" t="s">
        <v>247</v>
      </c>
      <c r="S2349" s="8" t="s">
        <v>13426</v>
      </c>
      <c r="T2349" s="6" t="s">
        <v>249</v>
      </c>
      <c r="U2349" s="8" t="s">
        <v>31</v>
      </c>
      <c r="V2349" s="6" t="s">
        <v>13317</v>
      </c>
      <c r="W2349" s="6" t="s">
        <v>13207</v>
      </c>
      <c r="X2349" s="9" t="str">
        <f>HYPERLINK("https://my.pitchbook.com?p=435022-30P","View People Online")</f>
        <v>View People Online</v>
      </c>
    </row>
    <row r="2350">
      <c r="A2350" s="2" t="s">
        <v>15887</v>
      </c>
      <c r="B2350" s="2" t="s">
        <v>15888</v>
      </c>
      <c r="C2350" s="2" t="s">
        <v>15889</v>
      </c>
      <c r="D2350" s="2" t="s">
        <v>2432</v>
      </c>
      <c r="E2350" s="2" t="s">
        <v>13207</v>
      </c>
      <c r="F2350" s="2" t="s">
        <v>318</v>
      </c>
      <c r="G2350" s="2" t="s">
        <v>15890</v>
      </c>
      <c r="H2350" s="3" t="s">
        <v>31</v>
      </c>
      <c r="I2350" s="3">
        <v>1.0</v>
      </c>
      <c r="J2350" s="3">
        <v>1.0</v>
      </c>
      <c r="K2350" s="3" t="s">
        <v>31</v>
      </c>
      <c r="L2350" s="4" t="s">
        <v>13274</v>
      </c>
      <c r="M2350" s="2" t="s">
        <v>15891</v>
      </c>
      <c r="N2350" s="2" t="s">
        <v>1181</v>
      </c>
      <c r="O2350" s="4" t="s">
        <v>1182</v>
      </c>
      <c r="P2350" s="2" t="s">
        <v>13276</v>
      </c>
      <c r="Q2350" s="2" t="s">
        <v>31</v>
      </c>
      <c r="R2350" s="2" t="s">
        <v>1185</v>
      </c>
      <c r="S2350" s="4" t="s">
        <v>4438</v>
      </c>
      <c r="T2350" s="2" t="s">
        <v>66</v>
      </c>
      <c r="U2350" s="4" t="s">
        <v>13277</v>
      </c>
      <c r="V2350" s="2" t="s">
        <v>318</v>
      </c>
      <c r="W2350" s="2" t="s">
        <v>13207</v>
      </c>
      <c r="X2350" s="5" t="str">
        <f>HYPERLINK("https://my.pitchbook.com?p=154512-64P","View People Online")</f>
        <v>View People Online</v>
      </c>
    </row>
    <row r="2351">
      <c r="A2351" s="6" t="s">
        <v>15892</v>
      </c>
      <c r="B2351" s="6" t="s">
        <v>15893</v>
      </c>
      <c r="C2351" s="6" t="s">
        <v>15889</v>
      </c>
      <c r="D2351" s="6" t="s">
        <v>15894</v>
      </c>
      <c r="E2351" s="6" t="s">
        <v>13207</v>
      </c>
      <c r="F2351" s="6" t="s">
        <v>29</v>
      </c>
      <c r="G2351" s="6" t="s">
        <v>15895</v>
      </c>
      <c r="H2351" s="7" t="s">
        <v>31</v>
      </c>
      <c r="I2351" s="7">
        <v>1.0</v>
      </c>
      <c r="J2351" s="7">
        <v>1.0</v>
      </c>
      <c r="K2351" s="7" t="s">
        <v>31</v>
      </c>
      <c r="L2351" s="8" t="s">
        <v>13412</v>
      </c>
      <c r="M2351" s="6" t="s">
        <v>15896</v>
      </c>
      <c r="N2351" s="6" t="s">
        <v>13414</v>
      </c>
      <c r="O2351" s="8" t="s">
        <v>13415</v>
      </c>
      <c r="P2351" s="6" t="s">
        <v>13416</v>
      </c>
      <c r="Q2351" s="6" t="s">
        <v>31</v>
      </c>
      <c r="R2351" s="6" t="s">
        <v>209</v>
      </c>
      <c r="S2351" s="8" t="s">
        <v>13417</v>
      </c>
      <c r="T2351" s="6" t="s">
        <v>66</v>
      </c>
      <c r="U2351" s="8" t="s">
        <v>13418</v>
      </c>
      <c r="V2351" s="6" t="s">
        <v>29</v>
      </c>
      <c r="W2351" s="6" t="s">
        <v>13207</v>
      </c>
      <c r="X2351" s="9" t="str">
        <f>HYPERLINK("https://my.pitchbook.com?p=434900-17P","View People Online")</f>
        <v>View People Online</v>
      </c>
    </row>
    <row r="2352">
      <c r="A2352" s="2" t="s">
        <v>15897</v>
      </c>
      <c r="B2352" s="2" t="s">
        <v>15898</v>
      </c>
      <c r="C2352" s="2" t="s">
        <v>1993</v>
      </c>
      <c r="D2352" s="2" t="s">
        <v>15899</v>
      </c>
      <c r="E2352" s="2" t="s">
        <v>13207</v>
      </c>
      <c r="F2352" s="2" t="s">
        <v>3523</v>
      </c>
      <c r="G2352" s="2" t="s">
        <v>15900</v>
      </c>
      <c r="H2352" s="3" t="s">
        <v>31</v>
      </c>
      <c r="I2352" s="3">
        <v>1.0</v>
      </c>
      <c r="J2352" s="3">
        <v>1.0</v>
      </c>
      <c r="K2352" s="3" t="s">
        <v>31</v>
      </c>
      <c r="L2352" s="4" t="s">
        <v>13423</v>
      </c>
      <c r="M2352" s="2" t="s">
        <v>15901</v>
      </c>
      <c r="N2352" s="2" t="s">
        <v>243</v>
      </c>
      <c r="O2352" s="4" t="s">
        <v>244</v>
      </c>
      <c r="P2352" s="2" t="s">
        <v>13425</v>
      </c>
      <c r="Q2352" s="2" t="s">
        <v>31</v>
      </c>
      <c r="R2352" s="2" t="s">
        <v>247</v>
      </c>
      <c r="S2352" s="4" t="s">
        <v>13426</v>
      </c>
      <c r="T2352" s="2" t="s">
        <v>249</v>
      </c>
      <c r="U2352" s="4" t="s">
        <v>31</v>
      </c>
      <c r="V2352" s="2" t="s">
        <v>3523</v>
      </c>
      <c r="W2352" s="2" t="s">
        <v>13207</v>
      </c>
      <c r="X2352" s="5" t="str">
        <f>HYPERLINK("https://my.pitchbook.com?p=456842-62P","View People Online")</f>
        <v>View People Online</v>
      </c>
    </row>
    <row r="2353">
      <c r="A2353" s="6" t="s">
        <v>15902</v>
      </c>
      <c r="B2353" s="6" t="s">
        <v>15903</v>
      </c>
      <c r="C2353" s="6" t="s">
        <v>15904</v>
      </c>
      <c r="D2353" s="6" t="s">
        <v>15905</v>
      </c>
      <c r="E2353" s="6" t="s">
        <v>13207</v>
      </c>
      <c r="F2353" s="6" t="s">
        <v>13218</v>
      </c>
      <c r="G2353" s="6" t="s">
        <v>15906</v>
      </c>
      <c r="H2353" s="7" t="s">
        <v>31</v>
      </c>
      <c r="I2353" s="7">
        <v>1.0</v>
      </c>
      <c r="J2353" s="7">
        <v>1.0</v>
      </c>
      <c r="K2353" s="7" t="s">
        <v>31</v>
      </c>
      <c r="L2353" s="8" t="s">
        <v>13549</v>
      </c>
      <c r="M2353" s="6" t="s">
        <v>15907</v>
      </c>
      <c r="N2353" s="6" t="s">
        <v>794</v>
      </c>
      <c r="O2353" s="8" t="s">
        <v>795</v>
      </c>
      <c r="P2353" s="6" t="s">
        <v>13551</v>
      </c>
      <c r="Q2353" s="6" t="s">
        <v>13552</v>
      </c>
      <c r="R2353" s="6" t="s">
        <v>31</v>
      </c>
      <c r="S2353" s="8" t="s">
        <v>13553</v>
      </c>
      <c r="T2353" s="6" t="s">
        <v>796</v>
      </c>
      <c r="U2353" s="8" t="s">
        <v>13554</v>
      </c>
      <c r="V2353" s="6" t="s">
        <v>13218</v>
      </c>
      <c r="W2353" s="6" t="s">
        <v>13207</v>
      </c>
      <c r="X2353" s="9" t="str">
        <f>HYPERLINK("https://my.pitchbook.com?p=435292-48P","View People Online")</f>
        <v>View People Online</v>
      </c>
    </row>
    <row r="2354">
      <c r="A2354" s="10" t="s">
        <v>15908</v>
      </c>
      <c r="B2354" s="10" t="s">
        <v>15909</v>
      </c>
      <c r="C2354" s="10" t="s">
        <v>15910</v>
      </c>
      <c r="D2354" s="10" t="s">
        <v>15911</v>
      </c>
      <c r="E2354" s="10" t="s">
        <v>13207</v>
      </c>
      <c r="F2354" s="10" t="s">
        <v>3523</v>
      </c>
      <c r="G2354" s="10" t="s">
        <v>15912</v>
      </c>
      <c r="H2354" s="11" t="s">
        <v>31</v>
      </c>
      <c r="I2354" s="11">
        <v>1.0</v>
      </c>
      <c r="J2354" s="11">
        <v>1.0</v>
      </c>
      <c r="K2354" s="11" t="s">
        <v>31</v>
      </c>
      <c r="L2354" s="12" t="s">
        <v>13274</v>
      </c>
      <c r="M2354" s="10" t="s">
        <v>15913</v>
      </c>
      <c r="N2354" s="10" t="s">
        <v>1181</v>
      </c>
      <c r="O2354" s="12" t="s">
        <v>1182</v>
      </c>
      <c r="P2354" s="10" t="s">
        <v>13276</v>
      </c>
      <c r="Q2354" s="10" t="s">
        <v>31</v>
      </c>
      <c r="R2354" s="10" t="s">
        <v>1185</v>
      </c>
      <c r="S2354" s="12" t="s">
        <v>4438</v>
      </c>
      <c r="T2354" s="10" t="s">
        <v>66</v>
      </c>
      <c r="U2354" s="12" t="s">
        <v>13277</v>
      </c>
      <c r="V2354" s="10" t="s">
        <v>3523</v>
      </c>
      <c r="W2354" s="10" t="s">
        <v>13207</v>
      </c>
      <c r="X2354" s="13" t="str">
        <f>HYPERLINK("https://my.pitchbook.com?p=455516-02P","View People Online")</f>
        <v>View People Online</v>
      </c>
    </row>
    <row r="2355">
      <c r="A2355" s="14" t="s">
        <v>15914</v>
      </c>
      <c r="B2355" s="14" t="s">
        <v>15915</v>
      </c>
      <c r="C2355" s="14" t="s">
        <v>15910</v>
      </c>
      <c r="D2355" s="14" t="s">
        <v>15916</v>
      </c>
      <c r="E2355" s="14" t="s">
        <v>13207</v>
      </c>
      <c r="F2355" s="14" t="s">
        <v>3523</v>
      </c>
      <c r="G2355" s="14" t="s">
        <v>15917</v>
      </c>
      <c r="H2355" s="15" t="s">
        <v>31</v>
      </c>
      <c r="I2355" s="15">
        <v>1.0</v>
      </c>
      <c r="J2355" s="15">
        <v>1.0</v>
      </c>
      <c r="K2355" s="15" t="s">
        <v>31</v>
      </c>
      <c r="L2355" s="16" t="s">
        <v>13423</v>
      </c>
      <c r="M2355" s="14" t="s">
        <v>15918</v>
      </c>
      <c r="N2355" s="14" t="s">
        <v>243</v>
      </c>
      <c r="O2355" s="16" t="s">
        <v>244</v>
      </c>
      <c r="P2355" s="14" t="s">
        <v>13425</v>
      </c>
      <c r="Q2355" s="14" t="s">
        <v>31</v>
      </c>
      <c r="R2355" s="14" t="s">
        <v>247</v>
      </c>
      <c r="S2355" s="16" t="s">
        <v>13426</v>
      </c>
      <c r="T2355" s="14" t="s">
        <v>249</v>
      </c>
      <c r="U2355" s="16" t="s">
        <v>31</v>
      </c>
      <c r="V2355" s="14" t="s">
        <v>3523</v>
      </c>
      <c r="W2355" s="14" t="s">
        <v>13207</v>
      </c>
      <c r="X2355" s="17" t="str">
        <f>HYPERLINK("https://my.pitchbook.com?p=434834-20P","View People Online")</f>
        <v>View People Online</v>
      </c>
    </row>
    <row r="2356">
      <c r="A2356" s="2" t="s">
        <v>15919</v>
      </c>
      <c r="B2356" s="2" t="s">
        <v>15920</v>
      </c>
      <c r="C2356" s="2" t="s">
        <v>15921</v>
      </c>
      <c r="D2356" s="2" t="s">
        <v>15922</v>
      </c>
      <c r="E2356" s="2" t="s">
        <v>13207</v>
      </c>
      <c r="F2356" s="2" t="s">
        <v>3523</v>
      </c>
      <c r="G2356" s="2" t="s">
        <v>15923</v>
      </c>
      <c r="H2356" s="3" t="s">
        <v>31</v>
      </c>
      <c r="I2356" s="3">
        <v>1.0</v>
      </c>
      <c r="J2356" s="3">
        <v>1.0</v>
      </c>
      <c r="K2356" s="3" t="s">
        <v>31</v>
      </c>
      <c r="L2356" s="4" t="s">
        <v>14614</v>
      </c>
      <c r="M2356" s="2" t="s">
        <v>15924</v>
      </c>
      <c r="N2356" s="2" t="s">
        <v>1442</v>
      </c>
      <c r="O2356" s="4" t="s">
        <v>1443</v>
      </c>
      <c r="P2356" s="2" t="s">
        <v>14616</v>
      </c>
      <c r="Q2356" s="2" t="s">
        <v>14617</v>
      </c>
      <c r="R2356" s="2" t="s">
        <v>1277</v>
      </c>
      <c r="S2356" s="4" t="s">
        <v>14618</v>
      </c>
      <c r="T2356" s="2" t="s">
        <v>66</v>
      </c>
      <c r="U2356" s="4" t="s">
        <v>31</v>
      </c>
      <c r="V2356" s="2" t="s">
        <v>3523</v>
      </c>
      <c r="W2356" s="2" t="s">
        <v>13207</v>
      </c>
      <c r="X2356" s="5" t="str">
        <f>HYPERLINK("https://my.pitchbook.com?p=455426-47P","View People Online")</f>
        <v>View People Online</v>
      </c>
    </row>
    <row r="2357">
      <c r="A2357" s="6" t="s">
        <v>15925</v>
      </c>
      <c r="B2357" s="6" t="s">
        <v>15926</v>
      </c>
      <c r="C2357" s="6" t="s">
        <v>11186</v>
      </c>
      <c r="D2357" s="6" t="s">
        <v>15927</v>
      </c>
      <c r="E2357" s="6" t="s">
        <v>13207</v>
      </c>
      <c r="F2357" s="6" t="s">
        <v>3523</v>
      </c>
      <c r="G2357" s="6" t="s">
        <v>15928</v>
      </c>
      <c r="H2357" s="7" t="s">
        <v>31</v>
      </c>
      <c r="I2357" s="7">
        <v>1.0</v>
      </c>
      <c r="J2357" s="7">
        <v>1.0</v>
      </c>
      <c r="K2357" s="7" t="s">
        <v>31</v>
      </c>
      <c r="L2357" s="8" t="s">
        <v>13724</v>
      </c>
      <c r="M2357" s="6" t="s">
        <v>15929</v>
      </c>
      <c r="N2357" s="6" t="s">
        <v>34</v>
      </c>
      <c r="O2357" s="8" t="s">
        <v>35</v>
      </c>
      <c r="P2357" s="6" t="s">
        <v>13726</v>
      </c>
      <c r="Q2357" s="6" t="s">
        <v>31</v>
      </c>
      <c r="R2357" s="6" t="s">
        <v>31</v>
      </c>
      <c r="S2357" s="8" t="s">
        <v>13727</v>
      </c>
      <c r="T2357" s="6" t="s">
        <v>38</v>
      </c>
      <c r="U2357" s="8" t="s">
        <v>13728</v>
      </c>
      <c r="V2357" s="6" t="s">
        <v>3523</v>
      </c>
      <c r="W2357" s="6" t="s">
        <v>13207</v>
      </c>
      <c r="X2357" s="9" t="str">
        <f>HYPERLINK("https://my.pitchbook.com?p=434946-52P","View People Online")</f>
        <v>View People Online</v>
      </c>
    </row>
    <row r="2358">
      <c r="A2358" s="2" t="s">
        <v>15930</v>
      </c>
      <c r="B2358" s="2" t="s">
        <v>15931</v>
      </c>
      <c r="C2358" s="2" t="s">
        <v>15932</v>
      </c>
      <c r="D2358" s="2" t="s">
        <v>15933</v>
      </c>
      <c r="E2358" s="2" t="s">
        <v>13207</v>
      </c>
      <c r="F2358" s="2" t="s">
        <v>13218</v>
      </c>
      <c r="G2358" s="2" t="s">
        <v>15934</v>
      </c>
      <c r="H2358" s="3" t="s">
        <v>31</v>
      </c>
      <c r="I2358" s="3">
        <v>1.0</v>
      </c>
      <c r="J2358" s="3">
        <v>1.0</v>
      </c>
      <c r="K2358" s="3" t="s">
        <v>31</v>
      </c>
      <c r="L2358" s="4" t="s">
        <v>13549</v>
      </c>
      <c r="M2358" s="2" t="s">
        <v>15935</v>
      </c>
      <c r="N2358" s="2" t="s">
        <v>794</v>
      </c>
      <c r="O2358" s="4" t="s">
        <v>795</v>
      </c>
      <c r="P2358" s="2" t="s">
        <v>13551</v>
      </c>
      <c r="Q2358" s="2" t="s">
        <v>13552</v>
      </c>
      <c r="R2358" s="2" t="s">
        <v>31</v>
      </c>
      <c r="S2358" s="4" t="s">
        <v>13553</v>
      </c>
      <c r="T2358" s="2" t="s">
        <v>796</v>
      </c>
      <c r="U2358" s="4" t="s">
        <v>13554</v>
      </c>
      <c r="V2358" s="2" t="s">
        <v>13218</v>
      </c>
      <c r="W2358" s="2" t="s">
        <v>13207</v>
      </c>
      <c r="X2358" s="5" t="str">
        <f>HYPERLINK("https://my.pitchbook.com?p=276989-14P","View People Online")</f>
        <v>View People Online</v>
      </c>
    </row>
    <row r="2359">
      <c r="A2359" s="6" t="s">
        <v>15936</v>
      </c>
      <c r="B2359" s="6" t="s">
        <v>15937</v>
      </c>
      <c r="C2359" s="6" t="s">
        <v>1463</v>
      </c>
      <c r="D2359" s="6" t="s">
        <v>2432</v>
      </c>
      <c r="E2359" s="6" t="s">
        <v>13207</v>
      </c>
      <c r="F2359" s="6" t="s">
        <v>13307</v>
      </c>
      <c r="G2359" s="6" t="s">
        <v>15938</v>
      </c>
      <c r="H2359" s="7" t="s">
        <v>31</v>
      </c>
      <c r="I2359" s="7">
        <v>1.0</v>
      </c>
      <c r="J2359" s="7">
        <v>1.0</v>
      </c>
      <c r="K2359" s="7" t="s">
        <v>31</v>
      </c>
      <c r="L2359" s="8" t="s">
        <v>13274</v>
      </c>
      <c r="M2359" s="6" t="s">
        <v>15939</v>
      </c>
      <c r="N2359" s="6" t="s">
        <v>1181</v>
      </c>
      <c r="O2359" s="8" t="s">
        <v>1182</v>
      </c>
      <c r="P2359" s="6" t="s">
        <v>13276</v>
      </c>
      <c r="Q2359" s="6" t="s">
        <v>31</v>
      </c>
      <c r="R2359" s="6" t="s">
        <v>1185</v>
      </c>
      <c r="S2359" s="8" t="s">
        <v>4438</v>
      </c>
      <c r="T2359" s="6" t="s">
        <v>66</v>
      </c>
      <c r="U2359" s="8" t="s">
        <v>13277</v>
      </c>
      <c r="V2359" s="6" t="s">
        <v>13317</v>
      </c>
      <c r="W2359" s="6" t="s">
        <v>13207</v>
      </c>
      <c r="X2359" s="9" t="str">
        <f>HYPERLINK("https://my.pitchbook.com?p=456117-40P","View People Online")</f>
        <v>View People Online</v>
      </c>
    </row>
    <row r="2360">
      <c r="A2360" s="10" t="s">
        <v>15940</v>
      </c>
      <c r="B2360" s="10" t="s">
        <v>15941</v>
      </c>
      <c r="C2360" s="10" t="s">
        <v>589</v>
      </c>
      <c r="D2360" s="10" t="s">
        <v>15942</v>
      </c>
      <c r="E2360" s="10" t="s">
        <v>13207</v>
      </c>
      <c r="F2360" s="10" t="s">
        <v>3523</v>
      </c>
      <c r="G2360" s="10" t="s">
        <v>15943</v>
      </c>
      <c r="H2360" s="11" t="s">
        <v>31</v>
      </c>
      <c r="I2360" s="11">
        <v>1.0</v>
      </c>
      <c r="J2360" s="11">
        <v>1.0</v>
      </c>
      <c r="K2360" s="11" t="s">
        <v>31</v>
      </c>
      <c r="L2360" s="12" t="s">
        <v>14014</v>
      </c>
      <c r="M2360" s="10" t="s">
        <v>15944</v>
      </c>
      <c r="N2360" s="10" t="s">
        <v>14016</v>
      </c>
      <c r="O2360" s="12" t="s">
        <v>14017</v>
      </c>
      <c r="P2360" s="10" t="s">
        <v>14018</v>
      </c>
      <c r="Q2360" s="10" t="s">
        <v>14019</v>
      </c>
      <c r="R2360" s="10" t="s">
        <v>31</v>
      </c>
      <c r="S2360" s="12" t="s">
        <v>14020</v>
      </c>
      <c r="T2360" s="10" t="s">
        <v>38</v>
      </c>
      <c r="U2360" s="12" t="s">
        <v>14014</v>
      </c>
      <c r="V2360" s="10" t="s">
        <v>3523</v>
      </c>
      <c r="W2360" s="10" t="s">
        <v>13207</v>
      </c>
      <c r="X2360" s="13" t="str">
        <f>HYPERLINK("https://my.pitchbook.com?p=455403-61P","View People Online")</f>
        <v>View People Online</v>
      </c>
    </row>
    <row r="2361">
      <c r="A2361" s="14" t="s">
        <v>15945</v>
      </c>
      <c r="B2361" s="14" t="s">
        <v>15946</v>
      </c>
      <c r="C2361" s="14" t="s">
        <v>589</v>
      </c>
      <c r="D2361" s="14" t="s">
        <v>15947</v>
      </c>
      <c r="E2361" s="14" t="s">
        <v>13207</v>
      </c>
      <c r="F2361" s="14" t="s">
        <v>3523</v>
      </c>
      <c r="G2361" s="14" t="s">
        <v>15948</v>
      </c>
      <c r="H2361" s="15" t="s">
        <v>31</v>
      </c>
      <c r="I2361" s="15">
        <v>1.0</v>
      </c>
      <c r="J2361" s="15">
        <v>1.0</v>
      </c>
      <c r="K2361" s="15" t="s">
        <v>31</v>
      </c>
      <c r="L2361" s="16" t="s">
        <v>13657</v>
      </c>
      <c r="M2361" s="14" t="s">
        <v>15949</v>
      </c>
      <c r="N2361" s="14" t="s">
        <v>13659</v>
      </c>
      <c r="O2361" s="16" t="s">
        <v>13660</v>
      </c>
      <c r="P2361" s="14" t="s">
        <v>13661</v>
      </c>
      <c r="Q2361" s="14" t="s">
        <v>31</v>
      </c>
      <c r="R2361" s="14" t="s">
        <v>31</v>
      </c>
      <c r="S2361" s="16" t="s">
        <v>13662</v>
      </c>
      <c r="T2361" s="14" t="s">
        <v>38</v>
      </c>
      <c r="U2361" s="16" t="s">
        <v>13663</v>
      </c>
      <c r="V2361" s="14" t="s">
        <v>3523</v>
      </c>
      <c r="W2361" s="14" t="s">
        <v>13207</v>
      </c>
      <c r="X2361" s="17" t="str">
        <f>HYPERLINK("https://my.pitchbook.com?p=435224-08P","View People Online")</f>
        <v>View People Online</v>
      </c>
    </row>
    <row r="2362">
      <c r="A2362" s="2" t="s">
        <v>15950</v>
      </c>
      <c r="B2362" s="2" t="s">
        <v>15951</v>
      </c>
      <c r="C2362" s="2" t="s">
        <v>11193</v>
      </c>
      <c r="D2362" s="2" t="s">
        <v>15952</v>
      </c>
      <c r="E2362" s="2" t="s">
        <v>13207</v>
      </c>
      <c r="F2362" s="2" t="s">
        <v>3523</v>
      </c>
      <c r="G2362" s="2" t="s">
        <v>15953</v>
      </c>
      <c r="H2362" s="3" t="s">
        <v>31</v>
      </c>
      <c r="I2362" s="3">
        <v>1.0</v>
      </c>
      <c r="J2362" s="3">
        <v>1.0</v>
      </c>
      <c r="K2362" s="3" t="s">
        <v>31</v>
      </c>
      <c r="L2362" s="4" t="s">
        <v>13459</v>
      </c>
      <c r="M2362" s="2" t="s">
        <v>15954</v>
      </c>
      <c r="N2362" s="2" t="s">
        <v>3100</v>
      </c>
      <c r="O2362" s="4" t="s">
        <v>3101</v>
      </c>
      <c r="P2362" s="2" t="s">
        <v>13461</v>
      </c>
      <c r="Q2362" s="2" t="s">
        <v>31</v>
      </c>
      <c r="R2362" s="2" t="s">
        <v>31</v>
      </c>
      <c r="S2362" s="4" t="s">
        <v>3103</v>
      </c>
      <c r="T2362" s="2" t="s">
        <v>3104</v>
      </c>
      <c r="U2362" s="4" t="s">
        <v>13462</v>
      </c>
      <c r="V2362" s="2" t="s">
        <v>3523</v>
      </c>
      <c r="W2362" s="2" t="s">
        <v>13207</v>
      </c>
      <c r="X2362" s="5" t="str">
        <f>HYPERLINK("https://my.pitchbook.com?p=436200-94P","View People Online")</f>
        <v>View People Online</v>
      </c>
    </row>
    <row r="2363">
      <c r="A2363" s="6" t="s">
        <v>15955</v>
      </c>
      <c r="B2363" s="6" t="s">
        <v>15956</v>
      </c>
      <c r="C2363" s="6" t="s">
        <v>15957</v>
      </c>
      <c r="D2363" s="6" t="s">
        <v>15958</v>
      </c>
      <c r="E2363" s="6" t="s">
        <v>13207</v>
      </c>
      <c r="F2363" s="6" t="s">
        <v>3523</v>
      </c>
      <c r="G2363" s="6" t="s">
        <v>15959</v>
      </c>
      <c r="H2363" s="7" t="s">
        <v>31</v>
      </c>
      <c r="I2363" s="7">
        <v>1.0</v>
      </c>
      <c r="J2363" s="7">
        <v>1.0</v>
      </c>
      <c r="K2363" s="7" t="s">
        <v>31</v>
      </c>
      <c r="L2363" s="8" t="s">
        <v>13496</v>
      </c>
      <c r="M2363" s="6" t="s">
        <v>15960</v>
      </c>
      <c r="N2363" s="6" t="s">
        <v>75</v>
      </c>
      <c r="O2363" s="8" t="s">
        <v>76</v>
      </c>
      <c r="P2363" s="6" t="s">
        <v>13498</v>
      </c>
      <c r="Q2363" s="6" t="s">
        <v>31</v>
      </c>
      <c r="R2363" s="6" t="s">
        <v>75</v>
      </c>
      <c r="S2363" s="8" t="s">
        <v>195</v>
      </c>
      <c r="T2363" s="6" t="s">
        <v>66</v>
      </c>
      <c r="U2363" s="8" t="s">
        <v>13499</v>
      </c>
      <c r="V2363" s="6" t="s">
        <v>3523</v>
      </c>
      <c r="W2363" s="6" t="s">
        <v>13207</v>
      </c>
      <c r="X2363" s="9" t="str">
        <f>HYPERLINK("https://my.pitchbook.com?p=434820-61P","View People Online")</f>
        <v>View People Online</v>
      </c>
    </row>
    <row r="2364">
      <c r="A2364" s="2" t="s">
        <v>15961</v>
      </c>
      <c r="B2364" s="2" t="s">
        <v>15962</v>
      </c>
      <c r="C2364" s="2" t="s">
        <v>15963</v>
      </c>
      <c r="D2364" s="2" t="s">
        <v>15964</v>
      </c>
      <c r="E2364" s="2" t="s">
        <v>13207</v>
      </c>
      <c r="F2364" s="2" t="s">
        <v>13307</v>
      </c>
      <c r="G2364" s="2" t="s">
        <v>15965</v>
      </c>
      <c r="H2364" s="3" t="s">
        <v>31</v>
      </c>
      <c r="I2364" s="3">
        <v>1.0</v>
      </c>
      <c r="J2364" s="3">
        <v>1.0</v>
      </c>
      <c r="K2364" s="3" t="s">
        <v>31</v>
      </c>
      <c r="L2364" s="4" t="s">
        <v>13657</v>
      </c>
      <c r="M2364" s="2" t="s">
        <v>15966</v>
      </c>
      <c r="N2364" s="2" t="s">
        <v>13659</v>
      </c>
      <c r="O2364" s="4" t="s">
        <v>13660</v>
      </c>
      <c r="P2364" s="2" t="s">
        <v>13661</v>
      </c>
      <c r="Q2364" s="2" t="s">
        <v>31</v>
      </c>
      <c r="R2364" s="2" t="s">
        <v>31</v>
      </c>
      <c r="S2364" s="4" t="s">
        <v>13662</v>
      </c>
      <c r="T2364" s="2" t="s">
        <v>38</v>
      </c>
      <c r="U2364" s="4" t="s">
        <v>13663</v>
      </c>
      <c r="V2364" s="2" t="s">
        <v>13317</v>
      </c>
      <c r="W2364" s="2" t="s">
        <v>13207</v>
      </c>
      <c r="X2364" s="5" t="str">
        <f>HYPERLINK("https://my.pitchbook.com?p=436299-31P","View People Online")</f>
        <v>View People Online</v>
      </c>
    </row>
    <row r="2365">
      <c r="A2365" s="14" t="s">
        <v>15967</v>
      </c>
      <c r="B2365" s="14" t="s">
        <v>15968</v>
      </c>
      <c r="C2365" s="14" t="s">
        <v>3499</v>
      </c>
      <c r="D2365" s="14" t="s">
        <v>15969</v>
      </c>
      <c r="E2365" s="14" t="s">
        <v>13207</v>
      </c>
      <c r="F2365" s="14" t="s">
        <v>3523</v>
      </c>
      <c r="G2365" s="14" t="s">
        <v>15970</v>
      </c>
      <c r="H2365" s="15" t="s">
        <v>31</v>
      </c>
      <c r="I2365" s="15">
        <v>1.0</v>
      </c>
      <c r="J2365" s="15">
        <v>1.0</v>
      </c>
      <c r="K2365" s="15" t="s">
        <v>31</v>
      </c>
      <c r="L2365" s="16" t="s">
        <v>13281</v>
      </c>
      <c r="M2365" s="14" t="s">
        <v>15971</v>
      </c>
      <c r="N2365" s="14" t="s">
        <v>1277</v>
      </c>
      <c r="O2365" s="16" t="s">
        <v>1278</v>
      </c>
      <c r="P2365" s="14" t="s">
        <v>13283</v>
      </c>
      <c r="Q2365" s="14" t="s">
        <v>13284</v>
      </c>
      <c r="R2365" s="14" t="s">
        <v>1281</v>
      </c>
      <c r="S2365" s="16" t="s">
        <v>1282</v>
      </c>
      <c r="T2365" s="14" t="s">
        <v>66</v>
      </c>
      <c r="U2365" s="16" t="s">
        <v>13285</v>
      </c>
      <c r="V2365" s="14" t="s">
        <v>3523</v>
      </c>
      <c r="W2365" s="14" t="s">
        <v>13207</v>
      </c>
      <c r="X2365" s="17" t="str">
        <f>HYPERLINK("https://my.pitchbook.com?p=435207-16P","View People Online")</f>
        <v>View People Online</v>
      </c>
    </row>
    <row r="2366">
      <c r="A2366" s="10" t="s">
        <v>15972</v>
      </c>
      <c r="B2366" s="10" t="s">
        <v>15973</v>
      </c>
      <c r="C2366" s="10" t="s">
        <v>3953</v>
      </c>
      <c r="D2366" s="10" t="s">
        <v>15974</v>
      </c>
      <c r="E2366" s="10" t="s">
        <v>13207</v>
      </c>
      <c r="F2366" s="10" t="s">
        <v>13240</v>
      </c>
      <c r="G2366" s="10" t="s">
        <v>15975</v>
      </c>
      <c r="H2366" s="11" t="s">
        <v>31</v>
      </c>
      <c r="I2366" s="11">
        <v>1.0</v>
      </c>
      <c r="J2366" s="11">
        <v>1.0</v>
      </c>
      <c r="K2366" s="11" t="s">
        <v>31</v>
      </c>
      <c r="L2366" s="12" t="s">
        <v>13496</v>
      </c>
      <c r="M2366" s="10" t="s">
        <v>15976</v>
      </c>
      <c r="N2366" s="10" t="s">
        <v>75</v>
      </c>
      <c r="O2366" s="12" t="s">
        <v>76</v>
      </c>
      <c r="P2366" s="10" t="s">
        <v>13498</v>
      </c>
      <c r="Q2366" s="10" t="s">
        <v>31</v>
      </c>
      <c r="R2366" s="10" t="s">
        <v>75</v>
      </c>
      <c r="S2366" s="12" t="s">
        <v>195</v>
      </c>
      <c r="T2366" s="10" t="s">
        <v>66</v>
      </c>
      <c r="U2366" s="12" t="s">
        <v>13499</v>
      </c>
      <c r="V2366" s="10" t="s">
        <v>13247</v>
      </c>
      <c r="W2366" s="10" t="s">
        <v>13207</v>
      </c>
      <c r="X2366" s="13" t="str">
        <f>HYPERLINK("https://my.pitchbook.com?p=456647-41P","View People Online")</f>
        <v>View People Online</v>
      </c>
    </row>
    <row r="2367">
      <c r="A2367" s="6" t="s">
        <v>15977</v>
      </c>
      <c r="B2367" s="6" t="s">
        <v>15978</v>
      </c>
      <c r="C2367" s="6" t="s">
        <v>3953</v>
      </c>
      <c r="D2367" s="6" t="s">
        <v>15979</v>
      </c>
      <c r="E2367" s="6" t="s">
        <v>13207</v>
      </c>
      <c r="F2367" s="6" t="s">
        <v>13218</v>
      </c>
      <c r="G2367" s="6" t="s">
        <v>15980</v>
      </c>
      <c r="H2367" s="7">
        <v>1.0</v>
      </c>
      <c r="I2367" s="7">
        <v>2.0</v>
      </c>
      <c r="J2367" s="7">
        <v>1.0</v>
      </c>
      <c r="K2367" s="7" t="s">
        <v>31</v>
      </c>
      <c r="L2367" s="8" t="s">
        <v>13209</v>
      </c>
      <c r="M2367" s="6" t="s">
        <v>15981</v>
      </c>
      <c r="N2367" s="6" t="s">
        <v>4232</v>
      </c>
      <c r="O2367" s="8" t="s">
        <v>4233</v>
      </c>
      <c r="P2367" s="6" t="s">
        <v>13211</v>
      </c>
      <c r="Q2367" s="6" t="s">
        <v>31</v>
      </c>
      <c r="R2367" s="6" t="s">
        <v>4236</v>
      </c>
      <c r="S2367" s="8" t="s">
        <v>13212</v>
      </c>
      <c r="T2367" s="6" t="s">
        <v>66</v>
      </c>
      <c r="U2367" s="8" t="s">
        <v>13213</v>
      </c>
      <c r="V2367" s="6" t="s">
        <v>13218</v>
      </c>
      <c r="W2367" s="6" t="s">
        <v>13207</v>
      </c>
      <c r="X2367" s="9" t="str">
        <f>HYPERLINK("https://my.pitchbook.com?p=273241-45P","View People Online")</f>
        <v>View People Online</v>
      </c>
    </row>
    <row r="2368">
      <c r="A2368" s="10" t="s">
        <v>15982</v>
      </c>
      <c r="B2368" s="10" t="s">
        <v>15983</v>
      </c>
      <c r="C2368" s="10" t="s">
        <v>4299</v>
      </c>
      <c r="D2368" s="10" t="s">
        <v>15984</v>
      </c>
      <c r="E2368" s="10" t="s">
        <v>13207</v>
      </c>
      <c r="F2368" s="10" t="s">
        <v>13218</v>
      </c>
      <c r="G2368" s="10" t="s">
        <v>15985</v>
      </c>
      <c r="H2368" s="11" t="s">
        <v>31</v>
      </c>
      <c r="I2368" s="11">
        <v>1.0</v>
      </c>
      <c r="J2368" s="11">
        <v>1.0</v>
      </c>
      <c r="K2368" s="11" t="s">
        <v>31</v>
      </c>
      <c r="L2368" s="12" t="s">
        <v>13839</v>
      </c>
      <c r="M2368" s="10" t="s">
        <v>15986</v>
      </c>
      <c r="N2368" s="10" t="s">
        <v>11029</v>
      </c>
      <c r="O2368" s="12" t="s">
        <v>11030</v>
      </c>
      <c r="P2368" s="10" t="s">
        <v>13841</v>
      </c>
      <c r="Q2368" s="10" t="s">
        <v>13842</v>
      </c>
      <c r="R2368" s="10" t="s">
        <v>10017</v>
      </c>
      <c r="S2368" s="12" t="s">
        <v>13843</v>
      </c>
      <c r="T2368" s="10" t="s">
        <v>66</v>
      </c>
      <c r="U2368" s="12" t="s">
        <v>13844</v>
      </c>
      <c r="V2368" s="10" t="s">
        <v>13218</v>
      </c>
      <c r="W2368" s="10" t="s">
        <v>13207</v>
      </c>
      <c r="X2368" s="13" t="str">
        <f>HYPERLINK("https://my.pitchbook.com?p=435289-69P","View People Online")</f>
        <v>View People Online</v>
      </c>
    </row>
    <row r="2369">
      <c r="A2369" s="6" t="s">
        <v>15987</v>
      </c>
      <c r="B2369" s="6" t="s">
        <v>15988</v>
      </c>
      <c r="C2369" s="6" t="s">
        <v>5495</v>
      </c>
      <c r="D2369" s="6" t="s">
        <v>15989</v>
      </c>
      <c r="E2369" s="6" t="s">
        <v>13207</v>
      </c>
      <c r="F2369" s="6" t="s">
        <v>3523</v>
      </c>
      <c r="G2369" s="6" t="s">
        <v>15990</v>
      </c>
      <c r="H2369" s="7" t="s">
        <v>31</v>
      </c>
      <c r="I2369" s="7">
        <v>1.0</v>
      </c>
      <c r="J2369" s="7">
        <v>1.0</v>
      </c>
      <c r="K2369" s="7" t="s">
        <v>31</v>
      </c>
      <c r="L2369" s="8" t="s">
        <v>15991</v>
      </c>
      <c r="M2369" s="6" t="s">
        <v>15992</v>
      </c>
      <c r="N2369" s="6" t="s">
        <v>15993</v>
      </c>
      <c r="O2369" s="8" t="s">
        <v>15994</v>
      </c>
      <c r="P2369" s="6" t="s">
        <v>15995</v>
      </c>
      <c r="Q2369" s="6" t="s">
        <v>15996</v>
      </c>
      <c r="R2369" s="6" t="s">
        <v>15997</v>
      </c>
      <c r="S2369" s="8" t="s">
        <v>15998</v>
      </c>
      <c r="T2369" s="6" t="s">
        <v>1019</v>
      </c>
      <c r="U2369" s="8" t="s">
        <v>15999</v>
      </c>
      <c r="V2369" s="6" t="s">
        <v>3523</v>
      </c>
      <c r="W2369" s="6" t="s">
        <v>13207</v>
      </c>
      <c r="X2369" s="9" t="str">
        <f>HYPERLINK("https://my.pitchbook.com?p=436696-66P","View People Online")</f>
        <v>View People Online</v>
      </c>
    </row>
    <row r="2370">
      <c r="A2370" s="2" t="s">
        <v>16000</v>
      </c>
      <c r="B2370" s="2" t="s">
        <v>16001</v>
      </c>
      <c r="C2370" s="2" t="s">
        <v>16002</v>
      </c>
      <c r="D2370" s="2" t="s">
        <v>16003</v>
      </c>
      <c r="E2370" s="2" t="s">
        <v>13207</v>
      </c>
      <c r="F2370" s="2" t="s">
        <v>29</v>
      </c>
      <c r="G2370" s="2" t="s">
        <v>16004</v>
      </c>
      <c r="H2370" s="3" t="s">
        <v>31</v>
      </c>
      <c r="I2370" s="3">
        <v>1.0</v>
      </c>
      <c r="J2370" s="3">
        <v>1.0</v>
      </c>
      <c r="K2370" s="3" t="s">
        <v>31</v>
      </c>
      <c r="L2370" s="4" t="s">
        <v>13423</v>
      </c>
      <c r="M2370" s="2" t="s">
        <v>16005</v>
      </c>
      <c r="N2370" s="2" t="s">
        <v>243</v>
      </c>
      <c r="O2370" s="4" t="s">
        <v>244</v>
      </c>
      <c r="P2370" s="2" t="s">
        <v>13425</v>
      </c>
      <c r="Q2370" s="2" t="s">
        <v>31</v>
      </c>
      <c r="R2370" s="2" t="s">
        <v>247</v>
      </c>
      <c r="S2370" s="4" t="s">
        <v>13426</v>
      </c>
      <c r="T2370" s="2" t="s">
        <v>249</v>
      </c>
      <c r="U2370" s="4" t="s">
        <v>31</v>
      </c>
      <c r="V2370" s="2" t="s">
        <v>29</v>
      </c>
      <c r="W2370" s="2" t="s">
        <v>13207</v>
      </c>
      <c r="X2370" s="5" t="str">
        <f>HYPERLINK("https://my.pitchbook.com?p=436216-24P","View People Online")</f>
        <v>View People Online</v>
      </c>
    </row>
    <row r="2371">
      <c r="A2371" s="14" t="s">
        <v>16006</v>
      </c>
      <c r="B2371" s="14" t="s">
        <v>16007</v>
      </c>
      <c r="C2371" s="14" t="s">
        <v>16008</v>
      </c>
      <c r="D2371" s="14" t="s">
        <v>4307</v>
      </c>
      <c r="E2371" s="14" t="s">
        <v>13207</v>
      </c>
      <c r="F2371" s="14" t="s">
        <v>13218</v>
      </c>
      <c r="G2371" s="14" t="s">
        <v>16009</v>
      </c>
      <c r="H2371" s="15" t="s">
        <v>31</v>
      </c>
      <c r="I2371" s="15">
        <v>1.0</v>
      </c>
      <c r="J2371" s="15">
        <v>1.0</v>
      </c>
      <c r="K2371" s="15" t="s">
        <v>31</v>
      </c>
      <c r="L2371" s="16" t="s">
        <v>13209</v>
      </c>
      <c r="M2371" s="14" t="s">
        <v>16010</v>
      </c>
      <c r="N2371" s="14" t="s">
        <v>4232</v>
      </c>
      <c r="O2371" s="16" t="s">
        <v>4233</v>
      </c>
      <c r="P2371" s="14" t="s">
        <v>13211</v>
      </c>
      <c r="Q2371" s="14" t="s">
        <v>31</v>
      </c>
      <c r="R2371" s="14" t="s">
        <v>4236</v>
      </c>
      <c r="S2371" s="16" t="s">
        <v>13212</v>
      </c>
      <c r="T2371" s="14" t="s">
        <v>66</v>
      </c>
      <c r="U2371" s="16" t="s">
        <v>13213</v>
      </c>
      <c r="V2371" s="14" t="s">
        <v>13218</v>
      </c>
      <c r="W2371" s="14" t="s">
        <v>13207</v>
      </c>
      <c r="X2371" s="17" t="str">
        <f>HYPERLINK("https://my.pitchbook.com?p=456629-59P","View People Online")</f>
        <v>View People Online</v>
      </c>
    </row>
    <row r="2372">
      <c r="A2372" s="10" t="s">
        <v>16011</v>
      </c>
      <c r="B2372" s="10" t="s">
        <v>16012</v>
      </c>
      <c r="C2372" s="10" t="s">
        <v>16013</v>
      </c>
      <c r="D2372" s="10" t="s">
        <v>1800</v>
      </c>
      <c r="E2372" s="10" t="s">
        <v>13207</v>
      </c>
      <c r="F2372" s="10" t="s">
        <v>3523</v>
      </c>
      <c r="G2372" s="10" t="s">
        <v>16014</v>
      </c>
      <c r="H2372" s="11" t="s">
        <v>31</v>
      </c>
      <c r="I2372" s="11">
        <v>2.0</v>
      </c>
      <c r="J2372" s="11">
        <v>1.0</v>
      </c>
      <c r="K2372" s="11" t="s">
        <v>31</v>
      </c>
      <c r="L2372" s="12" t="s">
        <v>13274</v>
      </c>
      <c r="M2372" s="10" t="s">
        <v>16015</v>
      </c>
      <c r="N2372" s="10" t="s">
        <v>1181</v>
      </c>
      <c r="O2372" s="12" t="s">
        <v>1182</v>
      </c>
      <c r="P2372" s="10" t="s">
        <v>13276</v>
      </c>
      <c r="Q2372" s="10" t="s">
        <v>31</v>
      </c>
      <c r="R2372" s="10" t="s">
        <v>1185</v>
      </c>
      <c r="S2372" s="12" t="s">
        <v>4438</v>
      </c>
      <c r="T2372" s="10" t="s">
        <v>66</v>
      </c>
      <c r="U2372" s="12" t="s">
        <v>13277</v>
      </c>
      <c r="V2372" s="10" t="s">
        <v>3523</v>
      </c>
      <c r="W2372" s="10" t="s">
        <v>13207</v>
      </c>
      <c r="X2372" s="13" t="str">
        <f>HYPERLINK("https://my.pitchbook.com?p=125409-07P","View People Online")</f>
        <v>View People Online</v>
      </c>
    </row>
    <row r="2373">
      <c r="A2373" s="14" t="s">
        <v>16016</v>
      </c>
      <c r="B2373" s="14" t="s">
        <v>16017</v>
      </c>
      <c r="C2373" s="14" t="s">
        <v>8739</v>
      </c>
      <c r="D2373" s="14" t="s">
        <v>16018</v>
      </c>
      <c r="E2373" s="14" t="s">
        <v>13207</v>
      </c>
      <c r="F2373" s="14" t="s">
        <v>13218</v>
      </c>
      <c r="G2373" s="14" t="s">
        <v>16019</v>
      </c>
      <c r="H2373" s="15" t="s">
        <v>31</v>
      </c>
      <c r="I2373" s="15">
        <v>1.0</v>
      </c>
      <c r="J2373" s="15">
        <v>1.0</v>
      </c>
      <c r="K2373" s="15" t="s">
        <v>31</v>
      </c>
      <c r="L2373" s="16" t="s">
        <v>13274</v>
      </c>
      <c r="M2373" s="14" t="s">
        <v>16020</v>
      </c>
      <c r="N2373" s="14" t="s">
        <v>1181</v>
      </c>
      <c r="O2373" s="16" t="s">
        <v>1182</v>
      </c>
      <c r="P2373" s="14" t="s">
        <v>13276</v>
      </c>
      <c r="Q2373" s="14" t="s">
        <v>31</v>
      </c>
      <c r="R2373" s="14" t="s">
        <v>1185</v>
      </c>
      <c r="S2373" s="16" t="s">
        <v>4438</v>
      </c>
      <c r="T2373" s="14" t="s">
        <v>66</v>
      </c>
      <c r="U2373" s="16" t="s">
        <v>13277</v>
      </c>
      <c r="V2373" s="14" t="s">
        <v>13218</v>
      </c>
      <c r="W2373" s="14" t="s">
        <v>13207</v>
      </c>
      <c r="X2373" s="17" t="str">
        <f>HYPERLINK("https://my.pitchbook.com?p=455836-51P","View People Online")</f>
        <v>View People Online</v>
      </c>
    </row>
    <row r="2374">
      <c r="A2374" s="2" t="s">
        <v>16021</v>
      </c>
      <c r="B2374" s="2" t="s">
        <v>16022</v>
      </c>
      <c r="C2374" s="2" t="s">
        <v>3788</v>
      </c>
      <c r="D2374" s="2" t="s">
        <v>16023</v>
      </c>
      <c r="E2374" s="2" t="s">
        <v>13207</v>
      </c>
      <c r="F2374" s="2" t="s">
        <v>8581</v>
      </c>
      <c r="G2374" s="2" t="s">
        <v>16024</v>
      </c>
      <c r="H2374" s="3">
        <v>1.0</v>
      </c>
      <c r="I2374" s="3">
        <v>2.0</v>
      </c>
      <c r="J2374" s="3">
        <v>1.0</v>
      </c>
      <c r="K2374" s="3" t="s">
        <v>31</v>
      </c>
      <c r="L2374" s="4" t="s">
        <v>14201</v>
      </c>
      <c r="M2374" s="2" t="s">
        <v>16025</v>
      </c>
      <c r="N2374" s="2" t="s">
        <v>14203</v>
      </c>
      <c r="O2374" s="4" t="s">
        <v>14204</v>
      </c>
      <c r="P2374" s="2" t="s">
        <v>14205</v>
      </c>
      <c r="Q2374" s="2" t="s">
        <v>14206</v>
      </c>
      <c r="R2374" s="2" t="s">
        <v>1420</v>
      </c>
      <c r="S2374" s="4" t="s">
        <v>14207</v>
      </c>
      <c r="T2374" s="2" t="s">
        <v>66</v>
      </c>
      <c r="U2374" s="4" t="s">
        <v>14208</v>
      </c>
      <c r="V2374" s="2" t="s">
        <v>16026</v>
      </c>
      <c r="W2374" s="2" t="s">
        <v>13207</v>
      </c>
      <c r="X2374" s="5" t="str">
        <f>HYPERLINK("https://my.pitchbook.com?p=282677-05P","View People Online")</f>
        <v>View People Online</v>
      </c>
    </row>
    <row r="2375">
      <c r="A2375" s="6" t="s">
        <v>16027</v>
      </c>
      <c r="B2375" s="6" t="s">
        <v>16022</v>
      </c>
      <c r="C2375" s="6" t="s">
        <v>3788</v>
      </c>
      <c r="D2375" s="6" t="s">
        <v>16023</v>
      </c>
      <c r="E2375" s="6" t="s">
        <v>13207</v>
      </c>
      <c r="F2375" s="6" t="s">
        <v>13218</v>
      </c>
      <c r="G2375" s="6" t="s">
        <v>16028</v>
      </c>
      <c r="H2375" s="7" t="s">
        <v>31</v>
      </c>
      <c r="I2375" s="7">
        <v>1.0</v>
      </c>
      <c r="J2375" s="7">
        <v>1.0</v>
      </c>
      <c r="K2375" s="7" t="s">
        <v>31</v>
      </c>
      <c r="L2375" s="8" t="s">
        <v>14201</v>
      </c>
      <c r="M2375" s="6" t="s">
        <v>16029</v>
      </c>
      <c r="N2375" s="6" t="s">
        <v>14203</v>
      </c>
      <c r="O2375" s="8" t="s">
        <v>14204</v>
      </c>
      <c r="P2375" s="6" t="s">
        <v>14205</v>
      </c>
      <c r="Q2375" s="6" t="s">
        <v>14206</v>
      </c>
      <c r="R2375" s="6" t="s">
        <v>1420</v>
      </c>
      <c r="S2375" s="8" t="s">
        <v>14207</v>
      </c>
      <c r="T2375" s="6" t="s">
        <v>66</v>
      </c>
      <c r="U2375" s="8" t="s">
        <v>14208</v>
      </c>
      <c r="V2375" s="6" t="s">
        <v>16026</v>
      </c>
      <c r="W2375" s="6" t="s">
        <v>13207</v>
      </c>
      <c r="X2375" s="9" t="str">
        <f>HYPERLINK("https://my.pitchbook.com?p=435927-25P","View People Online")</f>
        <v>View People Online</v>
      </c>
    </row>
    <row r="2376">
      <c r="A2376" s="10" t="s">
        <v>16030</v>
      </c>
      <c r="B2376" s="10" t="s">
        <v>16031</v>
      </c>
      <c r="C2376" s="10" t="s">
        <v>16032</v>
      </c>
      <c r="D2376" s="10" t="s">
        <v>3941</v>
      </c>
      <c r="E2376" s="10" t="s">
        <v>13207</v>
      </c>
      <c r="F2376" s="10" t="s">
        <v>29</v>
      </c>
      <c r="G2376" s="10" t="s">
        <v>16033</v>
      </c>
      <c r="H2376" s="11" t="s">
        <v>31</v>
      </c>
      <c r="I2376" s="11">
        <v>1.0</v>
      </c>
      <c r="J2376" s="11">
        <v>1.0</v>
      </c>
      <c r="K2376" s="11" t="s">
        <v>31</v>
      </c>
      <c r="L2376" s="12" t="s">
        <v>13423</v>
      </c>
      <c r="M2376" s="10" t="s">
        <v>16034</v>
      </c>
      <c r="N2376" s="10" t="s">
        <v>243</v>
      </c>
      <c r="O2376" s="12" t="s">
        <v>244</v>
      </c>
      <c r="P2376" s="10" t="s">
        <v>13425</v>
      </c>
      <c r="Q2376" s="10" t="s">
        <v>31</v>
      </c>
      <c r="R2376" s="10" t="s">
        <v>247</v>
      </c>
      <c r="S2376" s="12" t="s">
        <v>13426</v>
      </c>
      <c r="T2376" s="10" t="s">
        <v>249</v>
      </c>
      <c r="U2376" s="12" t="s">
        <v>31</v>
      </c>
      <c r="V2376" s="10" t="s">
        <v>29</v>
      </c>
      <c r="W2376" s="10" t="s">
        <v>13207</v>
      </c>
      <c r="X2376" s="13" t="str">
        <f>HYPERLINK("https://my.pitchbook.com?p=435172-51P","View People Online")</f>
        <v>View People Online</v>
      </c>
    </row>
    <row r="2377">
      <c r="A2377" s="6" t="s">
        <v>16035</v>
      </c>
      <c r="B2377" s="6" t="s">
        <v>16036</v>
      </c>
      <c r="C2377" s="6" t="s">
        <v>16037</v>
      </c>
      <c r="D2377" s="6" t="s">
        <v>16038</v>
      </c>
      <c r="E2377" s="6" t="s">
        <v>13207</v>
      </c>
      <c r="F2377" s="6" t="s">
        <v>3523</v>
      </c>
      <c r="G2377" s="6" t="s">
        <v>16039</v>
      </c>
      <c r="H2377" s="7" t="s">
        <v>31</v>
      </c>
      <c r="I2377" s="7">
        <v>1.0</v>
      </c>
      <c r="J2377" s="7">
        <v>1.0</v>
      </c>
      <c r="K2377" s="7" t="s">
        <v>31</v>
      </c>
      <c r="L2377" s="8" t="s">
        <v>16040</v>
      </c>
      <c r="M2377" s="6" t="s">
        <v>16041</v>
      </c>
      <c r="N2377" s="6" t="s">
        <v>465</v>
      </c>
      <c r="O2377" s="8" t="s">
        <v>466</v>
      </c>
      <c r="P2377" s="6" t="s">
        <v>16042</v>
      </c>
      <c r="Q2377" s="6" t="s">
        <v>31</v>
      </c>
      <c r="R2377" s="6" t="s">
        <v>31</v>
      </c>
      <c r="S2377" s="8" t="s">
        <v>16043</v>
      </c>
      <c r="T2377" s="6" t="s">
        <v>422</v>
      </c>
      <c r="U2377" s="8" t="s">
        <v>16044</v>
      </c>
      <c r="V2377" s="6" t="s">
        <v>3523</v>
      </c>
      <c r="W2377" s="6" t="s">
        <v>13207</v>
      </c>
      <c r="X2377" s="9" t="str">
        <f>HYPERLINK("https://my.pitchbook.com?p=456410-26P","View People Online")</f>
        <v>View People Online</v>
      </c>
    </row>
    <row r="2378">
      <c r="A2378" s="10" t="s">
        <v>16045</v>
      </c>
      <c r="B2378" s="10" t="s">
        <v>16046</v>
      </c>
      <c r="C2378" s="10" t="s">
        <v>16047</v>
      </c>
      <c r="D2378" s="10" t="s">
        <v>16048</v>
      </c>
      <c r="E2378" s="10" t="s">
        <v>13207</v>
      </c>
      <c r="F2378" s="10" t="s">
        <v>3523</v>
      </c>
      <c r="G2378" s="10" t="s">
        <v>16049</v>
      </c>
      <c r="H2378" s="11" t="s">
        <v>31</v>
      </c>
      <c r="I2378" s="11">
        <v>1.0</v>
      </c>
      <c r="J2378" s="11">
        <v>1.0</v>
      </c>
      <c r="K2378" s="11" t="s">
        <v>31</v>
      </c>
      <c r="L2378" s="12" t="s">
        <v>13766</v>
      </c>
      <c r="M2378" s="10" t="s">
        <v>16050</v>
      </c>
      <c r="N2378" s="10" t="s">
        <v>13768</v>
      </c>
      <c r="O2378" s="12" t="s">
        <v>13769</v>
      </c>
      <c r="P2378" s="10" t="s">
        <v>13770</v>
      </c>
      <c r="Q2378" s="10" t="s">
        <v>13771</v>
      </c>
      <c r="R2378" s="10" t="s">
        <v>31</v>
      </c>
      <c r="S2378" s="12" t="s">
        <v>13772</v>
      </c>
      <c r="T2378" s="10" t="s">
        <v>13773</v>
      </c>
      <c r="U2378" s="12" t="s">
        <v>31</v>
      </c>
      <c r="V2378" s="10" t="s">
        <v>3523</v>
      </c>
      <c r="W2378" s="10" t="s">
        <v>13207</v>
      </c>
      <c r="X2378" s="13" t="str">
        <f>HYPERLINK("https://my.pitchbook.com?p=435426-67P","View People Online")</f>
        <v>View People Online</v>
      </c>
    </row>
    <row r="2379">
      <c r="A2379" s="6" t="s">
        <v>16051</v>
      </c>
      <c r="B2379" s="6" t="s">
        <v>16052</v>
      </c>
      <c r="C2379" s="6" t="s">
        <v>16047</v>
      </c>
      <c r="D2379" s="6" t="s">
        <v>16053</v>
      </c>
      <c r="E2379" s="6" t="s">
        <v>13207</v>
      </c>
      <c r="F2379" s="6" t="s">
        <v>13307</v>
      </c>
      <c r="G2379" s="6" t="s">
        <v>16054</v>
      </c>
      <c r="H2379" s="7" t="s">
        <v>31</v>
      </c>
      <c r="I2379" s="7">
        <v>1.0</v>
      </c>
      <c r="J2379" s="7">
        <v>1.0</v>
      </c>
      <c r="K2379" s="7" t="s">
        <v>31</v>
      </c>
      <c r="L2379" s="8" t="s">
        <v>13423</v>
      </c>
      <c r="M2379" s="6" t="s">
        <v>16055</v>
      </c>
      <c r="N2379" s="6" t="s">
        <v>243</v>
      </c>
      <c r="O2379" s="8" t="s">
        <v>244</v>
      </c>
      <c r="P2379" s="6" t="s">
        <v>13425</v>
      </c>
      <c r="Q2379" s="6" t="s">
        <v>31</v>
      </c>
      <c r="R2379" s="6" t="s">
        <v>247</v>
      </c>
      <c r="S2379" s="8" t="s">
        <v>13426</v>
      </c>
      <c r="T2379" s="6" t="s">
        <v>249</v>
      </c>
      <c r="U2379" s="8" t="s">
        <v>31</v>
      </c>
      <c r="V2379" s="6" t="s">
        <v>13317</v>
      </c>
      <c r="W2379" s="6" t="s">
        <v>13207</v>
      </c>
      <c r="X2379" s="9" t="str">
        <f>HYPERLINK("https://my.pitchbook.com?p=456589-54P","View People Online")</f>
        <v>View People Online</v>
      </c>
    </row>
    <row r="2380">
      <c r="A2380" s="2" t="s">
        <v>16056</v>
      </c>
      <c r="B2380" s="2" t="s">
        <v>16057</v>
      </c>
      <c r="C2380" s="2" t="s">
        <v>16058</v>
      </c>
      <c r="D2380" s="2" t="s">
        <v>16059</v>
      </c>
      <c r="E2380" s="2" t="s">
        <v>13207</v>
      </c>
      <c r="F2380" s="2" t="s">
        <v>3523</v>
      </c>
      <c r="G2380" s="2" t="s">
        <v>16060</v>
      </c>
      <c r="H2380" s="3" t="s">
        <v>31</v>
      </c>
      <c r="I2380" s="3">
        <v>1.0</v>
      </c>
      <c r="J2380" s="3">
        <v>1.0</v>
      </c>
      <c r="K2380" s="3" t="s">
        <v>31</v>
      </c>
      <c r="L2380" s="4" t="s">
        <v>13766</v>
      </c>
      <c r="M2380" s="2" t="s">
        <v>16061</v>
      </c>
      <c r="N2380" s="2" t="s">
        <v>13768</v>
      </c>
      <c r="O2380" s="4" t="s">
        <v>13769</v>
      </c>
      <c r="P2380" s="2" t="s">
        <v>13770</v>
      </c>
      <c r="Q2380" s="2" t="s">
        <v>13771</v>
      </c>
      <c r="R2380" s="2" t="s">
        <v>31</v>
      </c>
      <c r="S2380" s="4" t="s">
        <v>13772</v>
      </c>
      <c r="T2380" s="2" t="s">
        <v>13773</v>
      </c>
      <c r="U2380" s="4" t="s">
        <v>31</v>
      </c>
      <c r="V2380" s="2" t="s">
        <v>3523</v>
      </c>
      <c r="W2380" s="2" t="s">
        <v>13207</v>
      </c>
      <c r="X2380" s="5" t="str">
        <f>HYPERLINK("https://my.pitchbook.com?p=436292-38P","View People Online")</f>
        <v>View People Online</v>
      </c>
    </row>
    <row r="2381">
      <c r="A2381" s="6" t="s">
        <v>16062</v>
      </c>
      <c r="B2381" s="6" t="s">
        <v>16063</v>
      </c>
      <c r="C2381" s="6" t="s">
        <v>16058</v>
      </c>
      <c r="D2381" s="6" t="s">
        <v>16064</v>
      </c>
      <c r="E2381" s="6" t="s">
        <v>13207</v>
      </c>
      <c r="F2381" s="6" t="s">
        <v>3523</v>
      </c>
      <c r="G2381" s="6" t="s">
        <v>16065</v>
      </c>
      <c r="H2381" s="7" t="s">
        <v>31</v>
      </c>
      <c r="I2381" s="7">
        <v>1.0</v>
      </c>
      <c r="J2381" s="7">
        <v>1.0</v>
      </c>
      <c r="K2381" s="7" t="s">
        <v>31</v>
      </c>
      <c r="L2381" s="8" t="s">
        <v>13766</v>
      </c>
      <c r="M2381" s="6" t="s">
        <v>16066</v>
      </c>
      <c r="N2381" s="6" t="s">
        <v>13768</v>
      </c>
      <c r="O2381" s="8" t="s">
        <v>13769</v>
      </c>
      <c r="P2381" s="6" t="s">
        <v>13770</v>
      </c>
      <c r="Q2381" s="6" t="s">
        <v>13771</v>
      </c>
      <c r="R2381" s="6" t="s">
        <v>31</v>
      </c>
      <c r="S2381" s="8" t="s">
        <v>13772</v>
      </c>
      <c r="T2381" s="6" t="s">
        <v>13773</v>
      </c>
      <c r="U2381" s="8" t="s">
        <v>31</v>
      </c>
      <c r="V2381" s="6" t="s">
        <v>3523</v>
      </c>
      <c r="W2381" s="6" t="s">
        <v>13207</v>
      </c>
      <c r="X2381" s="9" t="str">
        <f>HYPERLINK("https://my.pitchbook.com?p=435433-51P","View People Online")</f>
        <v>View People Online</v>
      </c>
    </row>
    <row r="2382">
      <c r="A2382" s="10" t="s">
        <v>16067</v>
      </c>
      <c r="B2382" s="10" t="s">
        <v>16068</v>
      </c>
      <c r="C2382" s="10" t="s">
        <v>11210</v>
      </c>
      <c r="D2382" s="10" t="s">
        <v>16069</v>
      </c>
      <c r="E2382" s="10" t="s">
        <v>13207</v>
      </c>
      <c r="F2382" s="10" t="s">
        <v>13218</v>
      </c>
      <c r="G2382" s="10" t="s">
        <v>16070</v>
      </c>
      <c r="H2382" s="11">
        <v>1.0</v>
      </c>
      <c r="I2382" s="11">
        <v>2.0</v>
      </c>
      <c r="J2382" s="11">
        <v>1.0</v>
      </c>
      <c r="K2382" s="11" t="s">
        <v>31</v>
      </c>
      <c r="L2382" s="12" t="s">
        <v>13632</v>
      </c>
      <c r="M2382" s="10" t="s">
        <v>16071</v>
      </c>
      <c r="N2382" s="10" t="s">
        <v>7690</v>
      </c>
      <c r="O2382" s="12" t="s">
        <v>7691</v>
      </c>
      <c r="P2382" s="10" t="s">
        <v>13634</v>
      </c>
      <c r="Q2382" s="10" t="s">
        <v>13635</v>
      </c>
      <c r="R2382" s="10" t="s">
        <v>7693</v>
      </c>
      <c r="S2382" s="12" t="s">
        <v>13636</v>
      </c>
      <c r="T2382" s="10" t="s">
        <v>66</v>
      </c>
      <c r="U2382" s="12" t="s">
        <v>13637</v>
      </c>
      <c r="V2382" s="10" t="s">
        <v>13218</v>
      </c>
      <c r="W2382" s="10" t="s">
        <v>13207</v>
      </c>
      <c r="X2382" s="13" t="str">
        <f>HYPERLINK("https://my.pitchbook.com?p=374970-61P","View People Online")</f>
        <v>View People Online</v>
      </c>
    </row>
    <row r="2383">
      <c r="A2383" s="14" t="s">
        <v>16072</v>
      </c>
      <c r="B2383" s="14" t="s">
        <v>16073</v>
      </c>
      <c r="C2383" s="14" t="s">
        <v>11210</v>
      </c>
      <c r="D2383" s="14" t="s">
        <v>16074</v>
      </c>
      <c r="E2383" s="14" t="s">
        <v>13207</v>
      </c>
      <c r="F2383" s="14" t="s">
        <v>13307</v>
      </c>
      <c r="G2383" s="14" t="s">
        <v>16075</v>
      </c>
      <c r="H2383" s="15" t="s">
        <v>31</v>
      </c>
      <c r="I2383" s="15">
        <v>1.0</v>
      </c>
      <c r="J2383" s="15">
        <v>1.0</v>
      </c>
      <c r="K2383" s="15" t="s">
        <v>31</v>
      </c>
      <c r="L2383" s="16" t="s">
        <v>13423</v>
      </c>
      <c r="M2383" s="14" t="s">
        <v>16076</v>
      </c>
      <c r="N2383" s="14" t="s">
        <v>243</v>
      </c>
      <c r="O2383" s="16" t="s">
        <v>244</v>
      </c>
      <c r="P2383" s="14" t="s">
        <v>13425</v>
      </c>
      <c r="Q2383" s="14" t="s">
        <v>31</v>
      </c>
      <c r="R2383" s="14" t="s">
        <v>247</v>
      </c>
      <c r="S2383" s="16" t="s">
        <v>13426</v>
      </c>
      <c r="T2383" s="14" t="s">
        <v>249</v>
      </c>
      <c r="U2383" s="16" t="s">
        <v>31</v>
      </c>
      <c r="V2383" s="14" t="s">
        <v>13317</v>
      </c>
      <c r="W2383" s="14" t="s">
        <v>13207</v>
      </c>
      <c r="X2383" s="17" t="str">
        <f>HYPERLINK("https://my.pitchbook.com?p=435079-27P","View People Online")</f>
        <v>View People Online</v>
      </c>
    </row>
    <row r="2384">
      <c r="A2384" s="2" t="s">
        <v>16077</v>
      </c>
      <c r="B2384" s="2" t="s">
        <v>16078</v>
      </c>
      <c r="C2384" s="2" t="s">
        <v>11231</v>
      </c>
      <c r="D2384" s="2" t="s">
        <v>16079</v>
      </c>
      <c r="E2384" s="2" t="s">
        <v>13207</v>
      </c>
      <c r="F2384" s="2" t="s">
        <v>13218</v>
      </c>
      <c r="G2384" s="2" t="s">
        <v>16080</v>
      </c>
      <c r="H2384" s="3" t="s">
        <v>31</v>
      </c>
      <c r="I2384" s="3">
        <v>1.0</v>
      </c>
      <c r="J2384" s="3">
        <v>1.0</v>
      </c>
      <c r="K2384" s="3" t="s">
        <v>31</v>
      </c>
      <c r="L2384" s="4" t="s">
        <v>13354</v>
      </c>
      <c r="M2384" s="2" t="s">
        <v>16081</v>
      </c>
      <c r="N2384" s="2" t="s">
        <v>13356</v>
      </c>
      <c r="O2384" s="4" t="s">
        <v>13357</v>
      </c>
      <c r="P2384" s="2" t="s">
        <v>13358</v>
      </c>
      <c r="Q2384" s="2" t="s">
        <v>13359</v>
      </c>
      <c r="R2384" s="2" t="s">
        <v>31</v>
      </c>
      <c r="S2384" s="4" t="s">
        <v>13360</v>
      </c>
      <c r="T2384" s="2" t="s">
        <v>13361</v>
      </c>
      <c r="U2384" s="4" t="s">
        <v>13362</v>
      </c>
      <c r="V2384" s="2" t="s">
        <v>13218</v>
      </c>
      <c r="W2384" s="2" t="s">
        <v>13207</v>
      </c>
      <c r="X2384" s="5" t="str">
        <f>HYPERLINK("https://my.pitchbook.com?p=436118-14P","View People Online")</f>
        <v>View People Online</v>
      </c>
    </row>
    <row r="2385">
      <c r="A2385" s="14" t="s">
        <v>16082</v>
      </c>
      <c r="B2385" s="14" t="s">
        <v>16083</v>
      </c>
      <c r="C2385" s="14" t="s">
        <v>16084</v>
      </c>
      <c r="D2385" s="14" t="s">
        <v>16085</v>
      </c>
      <c r="E2385" s="14" t="s">
        <v>13207</v>
      </c>
      <c r="F2385" s="14" t="s">
        <v>29</v>
      </c>
      <c r="G2385" s="14" t="s">
        <v>16086</v>
      </c>
      <c r="H2385" s="15" t="s">
        <v>31</v>
      </c>
      <c r="I2385" s="15">
        <v>1.0</v>
      </c>
      <c r="J2385" s="15">
        <v>1.0</v>
      </c>
      <c r="K2385" s="15" t="s">
        <v>31</v>
      </c>
      <c r="L2385" s="16" t="s">
        <v>15178</v>
      </c>
      <c r="M2385" s="14" t="s">
        <v>16087</v>
      </c>
      <c r="N2385" s="14" t="s">
        <v>7258</v>
      </c>
      <c r="O2385" s="16" t="s">
        <v>7259</v>
      </c>
      <c r="P2385" s="14" t="s">
        <v>15180</v>
      </c>
      <c r="Q2385" s="14" t="s">
        <v>15181</v>
      </c>
      <c r="R2385" s="14" t="s">
        <v>7262</v>
      </c>
      <c r="S2385" s="16" t="s">
        <v>7263</v>
      </c>
      <c r="T2385" s="14" t="s">
        <v>5484</v>
      </c>
      <c r="U2385" s="16" t="s">
        <v>15182</v>
      </c>
      <c r="V2385" s="14" t="s">
        <v>29</v>
      </c>
      <c r="W2385" s="14" t="s">
        <v>13207</v>
      </c>
      <c r="X2385" s="17" t="str">
        <f>HYPERLINK("https://my.pitchbook.com?p=435543-85P","View People Online")</f>
        <v>View People Online</v>
      </c>
    </row>
    <row r="2386">
      <c r="A2386" s="10" t="s">
        <v>16088</v>
      </c>
      <c r="B2386" s="10" t="s">
        <v>16089</v>
      </c>
      <c r="C2386" s="10" t="s">
        <v>16090</v>
      </c>
      <c r="D2386" s="10" t="s">
        <v>16091</v>
      </c>
      <c r="E2386" s="10" t="s">
        <v>13207</v>
      </c>
      <c r="F2386" s="10" t="s">
        <v>3523</v>
      </c>
      <c r="G2386" s="10" t="s">
        <v>16092</v>
      </c>
      <c r="H2386" s="11" t="s">
        <v>31</v>
      </c>
      <c r="I2386" s="11">
        <v>1.0</v>
      </c>
      <c r="J2386" s="11">
        <v>1.0</v>
      </c>
      <c r="K2386" s="11" t="s">
        <v>31</v>
      </c>
      <c r="L2386" s="12" t="s">
        <v>13549</v>
      </c>
      <c r="M2386" s="10" t="s">
        <v>16093</v>
      </c>
      <c r="N2386" s="10" t="s">
        <v>794</v>
      </c>
      <c r="O2386" s="12" t="s">
        <v>795</v>
      </c>
      <c r="P2386" s="10" t="s">
        <v>13551</v>
      </c>
      <c r="Q2386" s="10" t="s">
        <v>13552</v>
      </c>
      <c r="R2386" s="10" t="s">
        <v>31</v>
      </c>
      <c r="S2386" s="12" t="s">
        <v>13553</v>
      </c>
      <c r="T2386" s="10" t="s">
        <v>796</v>
      </c>
      <c r="U2386" s="12" t="s">
        <v>13554</v>
      </c>
      <c r="V2386" s="10" t="s">
        <v>3523</v>
      </c>
      <c r="W2386" s="10" t="s">
        <v>13207</v>
      </c>
      <c r="X2386" s="13" t="str">
        <f>HYPERLINK("https://my.pitchbook.com?p=306918-82P","View People Online")</f>
        <v>View People Online</v>
      </c>
    </row>
    <row r="2387">
      <c r="A2387" s="14" t="s">
        <v>16094</v>
      </c>
      <c r="B2387" s="14" t="s">
        <v>16095</v>
      </c>
      <c r="C2387" s="14" t="s">
        <v>16096</v>
      </c>
      <c r="D2387" s="14" t="s">
        <v>16097</v>
      </c>
      <c r="E2387" s="14" t="s">
        <v>13207</v>
      </c>
      <c r="F2387" s="14" t="s">
        <v>3523</v>
      </c>
      <c r="G2387" s="14" t="s">
        <v>16098</v>
      </c>
      <c r="H2387" s="15" t="s">
        <v>31</v>
      </c>
      <c r="I2387" s="15">
        <v>1.0</v>
      </c>
      <c r="J2387" s="15">
        <v>1.0</v>
      </c>
      <c r="K2387" s="15" t="s">
        <v>31</v>
      </c>
      <c r="L2387" s="16" t="s">
        <v>13423</v>
      </c>
      <c r="M2387" s="14" t="s">
        <v>16099</v>
      </c>
      <c r="N2387" s="14" t="s">
        <v>243</v>
      </c>
      <c r="O2387" s="16" t="s">
        <v>244</v>
      </c>
      <c r="P2387" s="14" t="s">
        <v>13425</v>
      </c>
      <c r="Q2387" s="14" t="s">
        <v>31</v>
      </c>
      <c r="R2387" s="14" t="s">
        <v>247</v>
      </c>
      <c r="S2387" s="16" t="s">
        <v>13426</v>
      </c>
      <c r="T2387" s="14" t="s">
        <v>249</v>
      </c>
      <c r="U2387" s="16" t="s">
        <v>31</v>
      </c>
      <c r="V2387" s="14" t="s">
        <v>3523</v>
      </c>
      <c r="W2387" s="14" t="s">
        <v>13207</v>
      </c>
      <c r="X2387" s="17" t="str">
        <f>HYPERLINK("https://my.pitchbook.com?p=436153-51P","View People Online")</f>
        <v>View People Online</v>
      </c>
    </row>
    <row r="2388">
      <c r="A2388" s="10" t="s">
        <v>16100</v>
      </c>
      <c r="B2388" s="10" t="s">
        <v>16101</v>
      </c>
      <c r="C2388" s="10" t="s">
        <v>16096</v>
      </c>
      <c r="D2388" s="10" t="s">
        <v>16102</v>
      </c>
      <c r="E2388" s="10" t="s">
        <v>13207</v>
      </c>
      <c r="F2388" s="10" t="s">
        <v>3523</v>
      </c>
      <c r="G2388" s="10" t="s">
        <v>16103</v>
      </c>
      <c r="H2388" s="11" t="s">
        <v>31</v>
      </c>
      <c r="I2388" s="11">
        <v>1.0</v>
      </c>
      <c r="J2388" s="11">
        <v>1.0</v>
      </c>
      <c r="K2388" s="11" t="s">
        <v>31</v>
      </c>
      <c r="L2388" s="12" t="s">
        <v>13209</v>
      </c>
      <c r="M2388" s="10" t="s">
        <v>16104</v>
      </c>
      <c r="N2388" s="10" t="s">
        <v>4232</v>
      </c>
      <c r="O2388" s="12" t="s">
        <v>4233</v>
      </c>
      <c r="P2388" s="10" t="s">
        <v>13211</v>
      </c>
      <c r="Q2388" s="10" t="s">
        <v>31</v>
      </c>
      <c r="R2388" s="10" t="s">
        <v>4236</v>
      </c>
      <c r="S2388" s="12" t="s">
        <v>13212</v>
      </c>
      <c r="T2388" s="10" t="s">
        <v>66</v>
      </c>
      <c r="U2388" s="12" t="s">
        <v>13213</v>
      </c>
      <c r="V2388" s="10" t="s">
        <v>3523</v>
      </c>
      <c r="W2388" s="10" t="s">
        <v>13207</v>
      </c>
      <c r="X2388" s="13" t="str">
        <f>HYPERLINK("https://my.pitchbook.com?p=455504-05P","View People Online")</f>
        <v>View People Online</v>
      </c>
    </row>
    <row r="2389">
      <c r="A2389" s="6" t="s">
        <v>16105</v>
      </c>
      <c r="B2389" s="6" t="s">
        <v>16106</v>
      </c>
      <c r="C2389" s="6" t="s">
        <v>16107</v>
      </c>
      <c r="D2389" s="6" t="s">
        <v>16108</v>
      </c>
      <c r="E2389" s="6" t="s">
        <v>13207</v>
      </c>
      <c r="F2389" s="6" t="s">
        <v>3523</v>
      </c>
      <c r="G2389" s="6" t="s">
        <v>16109</v>
      </c>
      <c r="H2389" s="7" t="s">
        <v>31</v>
      </c>
      <c r="I2389" s="7">
        <v>1.0</v>
      </c>
      <c r="J2389" s="7">
        <v>1.0</v>
      </c>
      <c r="K2389" s="7" t="s">
        <v>31</v>
      </c>
      <c r="L2389" s="8" t="s">
        <v>13423</v>
      </c>
      <c r="M2389" s="6" t="s">
        <v>16110</v>
      </c>
      <c r="N2389" s="6" t="s">
        <v>243</v>
      </c>
      <c r="O2389" s="8" t="s">
        <v>244</v>
      </c>
      <c r="P2389" s="6" t="s">
        <v>13425</v>
      </c>
      <c r="Q2389" s="6" t="s">
        <v>31</v>
      </c>
      <c r="R2389" s="6" t="s">
        <v>247</v>
      </c>
      <c r="S2389" s="8" t="s">
        <v>13426</v>
      </c>
      <c r="T2389" s="6" t="s">
        <v>249</v>
      </c>
      <c r="U2389" s="8" t="s">
        <v>31</v>
      </c>
      <c r="V2389" s="6" t="s">
        <v>3523</v>
      </c>
      <c r="W2389" s="6" t="s">
        <v>13207</v>
      </c>
      <c r="X2389" s="9" t="str">
        <f>HYPERLINK("https://my.pitchbook.com?p=436158-37P","View People Online")</f>
        <v>View People Online</v>
      </c>
    </row>
    <row r="2390">
      <c r="A2390" s="2" t="s">
        <v>16111</v>
      </c>
      <c r="B2390" s="2" t="s">
        <v>16112</v>
      </c>
      <c r="C2390" s="2" t="s">
        <v>16113</v>
      </c>
      <c r="D2390" s="2" t="s">
        <v>16114</v>
      </c>
      <c r="E2390" s="2" t="s">
        <v>13207</v>
      </c>
      <c r="F2390" s="2" t="s">
        <v>13240</v>
      </c>
      <c r="G2390" s="2" t="s">
        <v>16115</v>
      </c>
      <c r="H2390" s="3" t="s">
        <v>31</v>
      </c>
      <c r="I2390" s="3">
        <v>1.0</v>
      </c>
      <c r="J2390" s="3">
        <v>1.0</v>
      </c>
      <c r="K2390" s="3" t="s">
        <v>31</v>
      </c>
      <c r="L2390" s="4" t="s">
        <v>13299</v>
      </c>
      <c r="M2390" s="2" t="s">
        <v>16116</v>
      </c>
      <c r="N2390" s="2" t="s">
        <v>601</v>
      </c>
      <c r="O2390" s="4" t="s">
        <v>602</v>
      </c>
      <c r="P2390" s="2" t="s">
        <v>13301</v>
      </c>
      <c r="Q2390" s="2" t="s">
        <v>13302</v>
      </c>
      <c r="R2390" s="2" t="s">
        <v>31</v>
      </c>
      <c r="S2390" s="4" t="s">
        <v>31</v>
      </c>
      <c r="T2390" s="2" t="s">
        <v>603</v>
      </c>
      <c r="U2390" s="4" t="s">
        <v>13303</v>
      </c>
      <c r="V2390" s="2" t="s">
        <v>13247</v>
      </c>
      <c r="W2390" s="2" t="s">
        <v>13207</v>
      </c>
      <c r="X2390" s="5" t="str">
        <f>HYPERLINK("https://my.pitchbook.com?p=435770-47P","View People Online")</f>
        <v>View People Online</v>
      </c>
    </row>
    <row r="2391">
      <c r="A2391" s="6" t="s">
        <v>16117</v>
      </c>
      <c r="B2391" s="6" t="s">
        <v>16118</v>
      </c>
      <c r="C2391" s="6" t="s">
        <v>16119</v>
      </c>
      <c r="D2391" s="6" t="s">
        <v>16120</v>
      </c>
      <c r="E2391" s="6" t="s">
        <v>13207</v>
      </c>
      <c r="F2391" s="6" t="s">
        <v>3523</v>
      </c>
      <c r="G2391" s="6" t="s">
        <v>16121</v>
      </c>
      <c r="H2391" s="7" t="s">
        <v>31</v>
      </c>
      <c r="I2391" s="7">
        <v>5.0</v>
      </c>
      <c r="J2391" s="7">
        <v>1.0</v>
      </c>
      <c r="K2391" s="7">
        <v>4.0</v>
      </c>
      <c r="L2391" s="8" t="s">
        <v>13540</v>
      </c>
      <c r="M2391" s="6" t="s">
        <v>16122</v>
      </c>
      <c r="N2391" s="6" t="s">
        <v>418</v>
      </c>
      <c r="O2391" s="8" t="s">
        <v>419</v>
      </c>
      <c r="P2391" s="6" t="s">
        <v>13542</v>
      </c>
      <c r="Q2391" s="6" t="s">
        <v>31</v>
      </c>
      <c r="R2391" s="6" t="s">
        <v>31</v>
      </c>
      <c r="S2391" s="8" t="s">
        <v>2664</v>
      </c>
      <c r="T2391" s="6" t="s">
        <v>422</v>
      </c>
      <c r="U2391" s="8" t="s">
        <v>13543</v>
      </c>
      <c r="V2391" s="6" t="s">
        <v>3523</v>
      </c>
      <c r="W2391" s="6" t="s">
        <v>13207</v>
      </c>
      <c r="X2391" s="9" t="str">
        <f>HYPERLINK("https://my.pitchbook.com?p=291512-44P","View People Online")</f>
        <v>View People Online</v>
      </c>
    </row>
    <row r="2392">
      <c r="A2392" s="2" t="s">
        <v>16123</v>
      </c>
      <c r="B2392" s="2" t="s">
        <v>16124</v>
      </c>
      <c r="C2392" s="2" t="s">
        <v>1998</v>
      </c>
      <c r="D2392" s="2" t="s">
        <v>16125</v>
      </c>
      <c r="E2392" s="2" t="s">
        <v>13207</v>
      </c>
      <c r="F2392" s="2" t="s">
        <v>3523</v>
      </c>
      <c r="G2392" s="2" t="s">
        <v>16126</v>
      </c>
      <c r="H2392" s="3" t="s">
        <v>31</v>
      </c>
      <c r="I2392" s="3">
        <v>1.0</v>
      </c>
      <c r="J2392" s="3">
        <v>1.0</v>
      </c>
      <c r="K2392" s="3" t="s">
        <v>31</v>
      </c>
      <c r="L2392" s="4" t="s">
        <v>13274</v>
      </c>
      <c r="M2392" s="2" t="s">
        <v>16127</v>
      </c>
      <c r="N2392" s="2" t="s">
        <v>1181</v>
      </c>
      <c r="O2392" s="4" t="s">
        <v>1182</v>
      </c>
      <c r="P2392" s="2" t="s">
        <v>13276</v>
      </c>
      <c r="Q2392" s="2" t="s">
        <v>31</v>
      </c>
      <c r="R2392" s="2" t="s">
        <v>1185</v>
      </c>
      <c r="S2392" s="4" t="s">
        <v>4438</v>
      </c>
      <c r="T2392" s="2" t="s">
        <v>66</v>
      </c>
      <c r="U2392" s="4" t="s">
        <v>13277</v>
      </c>
      <c r="V2392" s="2" t="s">
        <v>3523</v>
      </c>
      <c r="W2392" s="2" t="s">
        <v>13207</v>
      </c>
      <c r="X2392" s="5" t="str">
        <f>HYPERLINK("https://my.pitchbook.com?p=435627-73P","View People Online")</f>
        <v>View People Online</v>
      </c>
    </row>
    <row r="2393">
      <c r="A2393" s="14" t="s">
        <v>16128</v>
      </c>
      <c r="B2393" s="14" t="s">
        <v>16129</v>
      </c>
      <c r="C2393" s="14" t="s">
        <v>16130</v>
      </c>
      <c r="D2393" s="14" t="s">
        <v>12698</v>
      </c>
      <c r="E2393" s="14" t="s">
        <v>13207</v>
      </c>
      <c r="F2393" s="14" t="s">
        <v>13218</v>
      </c>
      <c r="G2393" s="14" t="s">
        <v>16131</v>
      </c>
      <c r="H2393" s="15" t="s">
        <v>31</v>
      </c>
      <c r="I2393" s="15">
        <v>1.0</v>
      </c>
      <c r="J2393" s="15">
        <v>1.0</v>
      </c>
      <c r="K2393" s="15" t="s">
        <v>31</v>
      </c>
      <c r="L2393" s="16" t="s">
        <v>13423</v>
      </c>
      <c r="M2393" s="14" t="s">
        <v>16132</v>
      </c>
      <c r="N2393" s="14" t="s">
        <v>243</v>
      </c>
      <c r="O2393" s="16" t="s">
        <v>244</v>
      </c>
      <c r="P2393" s="14" t="s">
        <v>13425</v>
      </c>
      <c r="Q2393" s="14" t="s">
        <v>31</v>
      </c>
      <c r="R2393" s="14" t="s">
        <v>247</v>
      </c>
      <c r="S2393" s="16" t="s">
        <v>13426</v>
      </c>
      <c r="T2393" s="14" t="s">
        <v>249</v>
      </c>
      <c r="U2393" s="16" t="s">
        <v>31</v>
      </c>
      <c r="V2393" s="14" t="s">
        <v>13218</v>
      </c>
      <c r="W2393" s="14" t="s">
        <v>13207</v>
      </c>
      <c r="X2393" s="17" t="str">
        <f>HYPERLINK("https://my.pitchbook.com?p=435658-96P","View People Online")</f>
        <v>View People Online</v>
      </c>
    </row>
    <row r="2394">
      <c r="A2394" s="2" t="s">
        <v>16133</v>
      </c>
      <c r="B2394" s="2" t="s">
        <v>16134</v>
      </c>
      <c r="C2394" s="2" t="s">
        <v>460</v>
      </c>
      <c r="D2394" s="2" t="s">
        <v>16135</v>
      </c>
      <c r="E2394" s="2" t="s">
        <v>13207</v>
      </c>
      <c r="F2394" s="2" t="s">
        <v>13240</v>
      </c>
      <c r="G2394" s="2" t="s">
        <v>16136</v>
      </c>
      <c r="H2394" s="3" t="s">
        <v>31</v>
      </c>
      <c r="I2394" s="3">
        <v>1.0</v>
      </c>
      <c r="J2394" s="3">
        <v>1.0</v>
      </c>
      <c r="K2394" s="3" t="s">
        <v>31</v>
      </c>
      <c r="L2394" s="4" t="s">
        <v>13540</v>
      </c>
      <c r="M2394" s="2" t="s">
        <v>16137</v>
      </c>
      <c r="N2394" s="2" t="s">
        <v>418</v>
      </c>
      <c r="O2394" s="4" t="s">
        <v>419</v>
      </c>
      <c r="P2394" s="2" t="s">
        <v>13542</v>
      </c>
      <c r="Q2394" s="2" t="s">
        <v>31</v>
      </c>
      <c r="R2394" s="2" t="s">
        <v>31</v>
      </c>
      <c r="S2394" s="4" t="s">
        <v>2664</v>
      </c>
      <c r="T2394" s="2" t="s">
        <v>422</v>
      </c>
      <c r="U2394" s="4" t="s">
        <v>13543</v>
      </c>
      <c r="V2394" s="2" t="s">
        <v>13247</v>
      </c>
      <c r="W2394" s="2" t="s">
        <v>13207</v>
      </c>
      <c r="X2394" s="5" t="str">
        <f>HYPERLINK("https://my.pitchbook.com?p=455804-02P","View People Online")</f>
        <v>View People Online</v>
      </c>
    </row>
    <row r="2395">
      <c r="A2395" s="6" t="s">
        <v>16138</v>
      </c>
      <c r="B2395" s="6" t="s">
        <v>16139</v>
      </c>
      <c r="C2395" s="6" t="s">
        <v>16140</v>
      </c>
      <c r="D2395" s="6" t="s">
        <v>16141</v>
      </c>
      <c r="E2395" s="6" t="s">
        <v>13207</v>
      </c>
      <c r="F2395" s="6" t="s">
        <v>3523</v>
      </c>
      <c r="G2395" s="6" t="s">
        <v>16142</v>
      </c>
      <c r="H2395" s="7" t="s">
        <v>31</v>
      </c>
      <c r="I2395" s="7">
        <v>1.0</v>
      </c>
      <c r="J2395" s="7">
        <v>1.0</v>
      </c>
      <c r="K2395" s="7" t="s">
        <v>31</v>
      </c>
      <c r="L2395" s="8" t="s">
        <v>14142</v>
      </c>
      <c r="M2395" s="6" t="s">
        <v>16143</v>
      </c>
      <c r="N2395" s="6" t="s">
        <v>273</v>
      </c>
      <c r="O2395" s="8" t="s">
        <v>274</v>
      </c>
      <c r="P2395" s="6" t="s">
        <v>14144</v>
      </c>
      <c r="Q2395" s="6" t="s">
        <v>31</v>
      </c>
      <c r="R2395" s="6" t="s">
        <v>31</v>
      </c>
      <c r="S2395" s="8" t="s">
        <v>14145</v>
      </c>
      <c r="T2395" s="6" t="s">
        <v>276</v>
      </c>
      <c r="U2395" s="8" t="s">
        <v>14146</v>
      </c>
      <c r="V2395" s="6" t="s">
        <v>3523</v>
      </c>
      <c r="W2395" s="6" t="s">
        <v>13207</v>
      </c>
      <c r="X2395" s="9" t="str">
        <f>HYPERLINK("https://my.pitchbook.com?p=436342-87P","View People Online")</f>
        <v>View People Online</v>
      </c>
    </row>
    <row r="2396">
      <c r="A2396" s="2" t="s">
        <v>16144</v>
      </c>
      <c r="B2396" s="2" t="s">
        <v>16145</v>
      </c>
      <c r="C2396" s="2" t="s">
        <v>16146</v>
      </c>
      <c r="D2396" s="2" t="s">
        <v>16147</v>
      </c>
      <c r="E2396" s="2" t="s">
        <v>13207</v>
      </c>
      <c r="F2396" s="2" t="s">
        <v>3523</v>
      </c>
      <c r="G2396" s="2" t="s">
        <v>16148</v>
      </c>
      <c r="H2396" s="3" t="s">
        <v>31</v>
      </c>
      <c r="I2396" s="3">
        <v>1.0</v>
      </c>
      <c r="J2396" s="3">
        <v>1.0</v>
      </c>
      <c r="K2396" s="3" t="s">
        <v>31</v>
      </c>
      <c r="L2396" s="4" t="s">
        <v>13888</v>
      </c>
      <c r="M2396" s="2" t="s">
        <v>16149</v>
      </c>
      <c r="N2396" s="2" t="s">
        <v>13890</v>
      </c>
      <c r="O2396" s="4" t="s">
        <v>13891</v>
      </c>
      <c r="P2396" s="2" t="s">
        <v>13892</v>
      </c>
      <c r="Q2396" s="2" t="s">
        <v>31</v>
      </c>
      <c r="R2396" s="2" t="s">
        <v>31</v>
      </c>
      <c r="S2396" s="4" t="s">
        <v>13893</v>
      </c>
      <c r="T2396" s="2" t="s">
        <v>13894</v>
      </c>
      <c r="U2396" s="4" t="s">
        <v>31</v>
      </c>
      <c r="V2396" s="2" t="s">
        <v>3523</v>
      </c>
      <c r="W2396" s="2" t="s">
        <v>13207</v>
      </c>
      <c r="X2396" s="5" t="str">
        <f>HYPERLINK("https://my.pitchbook.com?p=456028-12P","View People Online")</f>
        <v>View People Online</v>
      </c>
    </row>
    <row r="2397">
      <c r="A2397" s="6" t="s">
        <v>16150</v>
      </c>
      <c r="B2397" s="6" t="s">
        <v>16151</v>
      </c>
      <c r="C2397" s="6" t="s">
        <v>16146</v>
      </c>
      <c r="D2397" s="6" t="s">
        <v>16152</v>
      </c>
      <c r="E2397" s="6" t="s">
        <v>13207</v>
      </c>
      <c r="F2397" s="6" t="s">
        <v>3523</v>
      </c>
      <c r="G2397" s="6" t="s">
        <v>16153</v>
      </c>
      <c r="H2397" s="7" t="s">
        <v>31</v>
      </c>
      <c r="I2397" s="7">
        <v>1.0</v>
      </c>
      <c r="J2397" s="7">
        <v>1.0</v>
      </c>
      <c r="K2397" s="7" t="s">
        <v>31</v>
      </c>
      <c r="L2397" s="8" t="s">
        <v>13299</v>
      </c>
      <c r="M2397" s="6" t="s">
        <v>16154</v>
      </c>
      <c r="N2397" s="6" t="s">
        <v>601</v>
      </c>
      <c r="O2397" s="8" t="s">
        <v>602</v>
      </c>
      <c r="P2397" s="6" t="s">
        <v>13301</v>
      </c>
      <c r="Q2397" s="6" t="s">
        <v>13302</v>
      </c>
      <c r="R2397" s="6" t="s">
        <v>31</v>
      </c>
      <c r="S2397" s="8" t="s">
        <v>31</v>
      </c>
      <c r="T2397" s="6" t="s">
        <v>603</v>
      </c>
      <c r="U2397" s="8" t="s">
        <v>13303</v>
      </c>
      <c r="V2397" s="6" t="s">
        <v>3523</v>
      </c>
      <c r="W2397" s="6" t="s">
        <v>13207</v>
      </c>
      <c r="X2397" s="9" t="str">
        <f>HYPERLINK("https://my.pitchbook.com?p=455628-25P","View People Online")</f>
        <v>View People Online</v>
      </c>
    </row>
    <row r="2398">
      <c r="A2398" s="2" t="s">
        <v>16155</v>
      </c>
      <c r="B2398" s="2" t="s">
        <v>16156</v>
      </c>
      <c r="C2398" s="2" t="s">
        <v>1255</v>
      </c>
      <c r="D2398" s="2" t="s">
        <v>16157</v>
      </c>
      <c r="E2398" s="2" t="s">
        <v>13207</v>
      </c>
      <c r="F2398" s="2" t="s">
        <v>3523</v>
      </c>
      <c r="G2398" s="2" t="s">
        <v>16158</v>
      </c>
      <c r="H2398" s="3" t="s">
        <v>31</v>
      </c>
      <c r="I2398" s="3">
        <v>1.0</v>
      </c>
      <c r="J2398" s="3">
        <v>1.0</v>
      </c>
      <c r="K2398" s="3" t="s">
        <v>31</v>
      </c>
      <c r="L2398" s="4" t="s">
        <v>13209</v>
      </c>
      <c r="M2398" s="2" t="s">
        <v>16159</v>
      </c>
      <c r="N2398" s="2" t="s">
        <v>4232</v>
      </c>
      <c r="O2398" s="4" t="s">
        <v>4233</v>
      </c>
      <c r="P2398" s="2" t="s">
        <v>13211</v>
      </c>
      <c r="Q2398" s="2" t="s">
        <v>31</v>
      </c>
      <c r="R2398" s="2" t="s">
        <v>4236</v>
      </c>
      <c r="S2398" s="4" t="s">
        <v>13212</v>
      </c>
      <c r="T2398" s="2" t="s">
        <v>66</v>
      </c>
      <c r="U2398" s="4" t="s">
        <v>13213</v>
      </c>
      <c r="V2398" s="2" t="s">
        <v>3523</v>
      </c>
      <c r="W2398" s="2" t="s">
        <v>13207</v>
      </c>
      <c r="X2398" s="5" t="str">
        <f>HYPERLINK("https://my.pitchbook.com?p=435208-42P","View People Online")</f>
        <v>View People Online</v>
      </c>
    </row>
    <row r="2399">
      <c r="A2399" s="6" t="s">
        <v>16160</v>
      </c>
      <c r="B2399" s="6" t="s">
        <v>16161</v>
      </c>
      <c r="C2399" s="6" t="s">
        <v>16162</v>
      </c>
      <c r="D2399" s="6" t="s">
        <v>16163</v>
      </c>
      <c r="E2399" s="6" t="s">
        <v>13207</v>
      </c>
      <c r="F2399" s="6" t="s">
        <v>3523</v>
      </c>
      <c r="G2399" s="6" t="s">
        <v>16164</v>
      </c>
      <c r="H2399" s="7" t="s">
        <v>31</v>
      </c>
      <c r="I2399" s="7">
        <v>1.0</v>
      </c>
      <c r="J2399" s="7">
        <v>1.0</v>
      </c>
      <c r="K2399" s="7" t="s">
        <v>31</v>
      </c>
      <c r="L2399" s="8" t="s">
        <v>14597</v>
      </c>
      <c r="M2399" s="6" t="s">
        <v>16165</v>
      </c>
      <c r="N2399" s="6" t="s">
        <v>14599</v>
      </c>
      <c r="O2399" s="8" t="s">
        <v>14600</v>
      </c>
      <c r="P2399" s="6" t="s">
        <v>14601</v>
      </c>
      <c r="Q2399" s="6" t="s">
        <v>14602</v>
      </c>
      <c r="R2399" s="6" t="s">
        <v>31</v>
      </c>
      <c r="S2399" s="8" t="s">
        <v>31</v>
      </c>
      <c r="T2399" s="6" t="s">
        <v>14603</v>
      </c>
      <c r="U2399" s="8" t="s">
        <v>31</v>
      </c>
      <c r="V2399" s="6" t="s">
        <v>3523</v>
      </c>
      <c r="W2399" s="6" t="s">
        <v>13207</v>
      </c>
      <c r="X2399" s="9" t="str">
        <f>HYPERLINK("https://my.pitchbook.com?p=435944-17P","View People Online")</f>
        <v>View People Online</v>
      </c>
    </row>
    <row r="2400">
      <c r="A2400" s="2" t="s">
        <v>16166</v>
      </c>
      <c r="B2400" s="2" t="s">
        <v>16167</v>
      </c>
      <c r="C2400" s="2" t="s">
        <v>16168</v>
      </c>
      <c r="D2400" s="2" t="s">
        <v>16169</v>
      </c>
      <c r="E2400" s="2" t="s">
        <v>13207</v>
      </c>
      <c r="F2400" s="2" t="s">
        <v>3523</v>
      </c>
      <c r="G2400" s="2" t="s">
        <v>16170</v>
      </c>
      <c r="H2400" s="3" t="s">
        <v>31</v>
      </c>
      <c r="I2400" s="3">
        <v>1.0</v>
      </c>
      <c r="J2400" s="3">
        <v>1.0</v>
      </c>
      <c r="K2400" s="3" t="s">
        <v>31</v>
      </c>
      <c r="L2400" s="4" t="s">
        <v>13378</v>
      </c>
      <c r="M2400" s="2" t="s">
        <v>16171</v>
      </c>
      <c r="N2400" s="2" t="s">
        <v>429</v>
      </c>
      <c r="O2400" s="4" t="s">
        <v>430</v>
      </c>
      <c r="P2400" s="2" t="s">
        <v>13380</v>
      </c>
      <c r="Q2400" s="2" t="s">
        <v>31</v>
      </c>
      <c r="R2400" s="2" t="s">
        <v>31</v>
      </c>
      <c r="S2400" s="4" t="s">
        <v>13381</v>
      </c>
      <c r="T2400" s="2" t="s">
        <v>433</v>
      </c>
      <c r="U2400" s="4" t="s">
        <v>13382</v>
      </c>
      <c r="V2400" s="2" t="s">
        <v>3523</v>
      </c>
      <c r="W2400" s="2" t="s">
        <v>13207</v>
      </c>
      <c r="X2400" s="5" t="str">
        <f>HYPERLINK("https://my.pitchbook.com?p=455720-23P","View People Online")</f>
        <v>View People Online</v>
      </c>
    </row>
    <row r="2401">
      <c r="A2401" s="6" t="s">
        <v>16172</v>
      </c>
      <c r="B2401" s="6" t="s">
        <v>16173</v>
      </c>
      <c r="C2401" s="6" t="s">
        <v>16168</v>
      </c>
      <c r="D2401" s="6" t="s">
        <v>16174</v>
      </c>
      <c r="E2401" s="6" t="s">
        <v>13207</v>
      </c>
      <c r="F2401" s="6" t="s">
        <v>3523</v>
      </c>
      <c r="G2401" s="6" t="s">
        <v>16175</v>
      </c>
      <c r="H2401" s="7" t="s">
        <v>31</v>
      </c>
      <c r="I2401" s="7">
        <v>1.0</v>
      </c>
      <c r="J2401" s="7">
        <v>1.0</v>
      </c>
      <c r="K2401" s="7" t="s">
        <v>31</v>
      </c>
      <c r="L2401" s="8" t="s">
        <v>13505</v>
      </c>
      <c r="M2401" s="6" t="s">
        <v>16176</v>
      </c>
      <c r="N2401" s="6" t="s">
        <v>1416</v>
      </c>
      <c r="O2401" s="8" t="s">
        <v>1417</v>
      </c>
      <c r="P2401" s="6" t="s">
        <v>13507</v>
      </c>
      <c r="Q2401" s="6" t="s">
        <v>1457</v>
      </c>
      <c r="R2401" s="6" t="s">
        <v>1420</v>
      </c>
      <c r="S2401" s="8" t="s">
        <v>13508</v>
      </c>
      <c r="T2401" s="6" t="s">
        <v>66</v>
      </c>
      <c r="U2401" s="8" t="s">
        <v>13509</v>
      </c>
      <c r="V2401" s="6" t="s">
        <v>3523</v>
      </c>
      <c r="W2401" s="6" t="s">
        <v>13207</v>
      </c>
      <c r="X2401" s="9" t="str">
        <f>HYPERLINK("https://my.pitchbook.com?p=435917-89P","View People Online")</f>
        <v>View People Online</v>
      </c>
    </row>
    <row r="2402">
      <c r="A2402" s="10" t="s">
        <v>16177</v>
      </c>
      <c r="B2402" s="10" t="s">
        <v>16178</v>
      </c>
      <c r="C2402" s="10" t="s">
        <v>16168</v>
      </c>
      <c r="D2402" s="10" t="s">
        <v>16179</v>
      </c>
      <c r="E2402" s="10" t="s">
        <v>13207</v>
      </c>
      <c r="F2402" s="10" t="s">
        <v>13218</v>
      </c>
      <c r="G2402" s="10" t="s">
        <v>16180</v>
      </c>
      <c r="H2402" s="11" t="s">
        <v>31</v>
      </c>
      <c r="I2402" s="11">
        <v>1.0</v>
      </c>
      <c r="J2402" s="11">
        <v>1.0</v>
      </c>
      <c r="K2402" s="11" t="s">
        <v>31</v>
      </c>
      <c r="L2402" s="12" t="s">
        <v>13714</v>
      </c>
      <c r="M2402" s="10" t="s">
        <v>16181</v>
      </c>
      <c r="N2402" s="10" t="s">
        <v>13716</v>
      </c>
      <c r="O2402" s="12" t="s">
        <v>13717</v>
      </c>
      <c r="P2402" s="10" t="s">
        <v>13718</v>
      </c>
      <c r="Q2402" s="10" t="s">
        <v>31</v>
      </c>
      <c r="R2402" s="10" t="s">
        <v>31</v>
      </c>
      <c r="S2402" s="12" t="s">
        <v>13719</v>
      </c>
      <c r="T2402" s="10" t="s">
        <v>38</v>
      </c>
      <c r="U2402" s="12" t="s">
        <v>13720</v>
      </c>
      <c r="V2402" s="10" t="s">
        <v>13218</v>
      </c>
      <c r="W2402" s="10" t="s">
        <v>13207</v>
      </c>
      <c r="X2402" s="13" t="str">
        <f>HYPERLINK("https://my.pitchbook.com?p=435315-25P","View People Online")</f>
        <v>View People Online</v>
      </c>
    </row>
    <row r="2403">
      <c r="A2403" s="6" t="s">
        <v>16182</v>
      </c>
      <c r="B2403" s="6" t="s">
        <v>16183</v>
      </c>
      <c r="C2403" s="6" t="s">
        <v>16184</v>
      </c>
      <c r="D2403" s="6" t="s">
        <v>16185</v>
      </c>
      <c r="E2403" s="6" t="s">
        <v>13207</v>
      </c>
      <c r="F2403" s="6" t="s">
        <v>3523</v>
      </c>
      <c r="G2403" s="6" t="s">
        <v>16186</v>
      </c>
      <c r="H2403" s="7" t="s">
        <v>31</v>
      </c>
      <c r="I2403" s="7">
        <v>1.0</v>
      </c>
      <c r="J2403" s="7">
        <v>1.0</v>
      </c>
      <c r="K2403" s="7" t="s">
        <v>31</v>
      </c>
      <c r="L2403" s="8" t="s">
        <v>13423</v>
      </c>
      <c r="M2403" s="6" t="s">
        <v>16187</v>
      </c>
      <c r="N2403" s="6" t="s">
        <v>243</v>
      </c>
      <c r="O2403" s="8" t="s">
        <v>244</v>
      </c>
      <c r="P2403" s="6" t="s">
        <v>13425</v>
      </c>
      <c r="Q2403" s="6" t="s">
        <v>31</v>
      </c>
      <c r="R2403" s="6" t="s">
        <v>247</v>
      </c>
      <c r="S2403" s="8" t="s">
        <v>13426</v>
      </c>
      <c r="T2403" s="6" t="s">
        <v>249</v>
      </c>
      <c r="U2403" s="8" t="s">
        <v>31</v>
      </c>
      <c r="V2403" s="6" t="s">
        <v>3523</v>
      </c>
      <c r="W2403" s="6" t="s">
        <v>13207</v>
      </c>
      <c r="X2403" s="9" t="str">
        <f>HYPERLINK("https://my.pitchbook.com?p=456007-51P","View People Online")</f>
        <v>View People Online</v>
      </c>
    </row>
    <row r="2404">
      <c r="A2404" s="10" t="s">
        <v>16188</v>
      </c>
      <c r="B2404" s="10" t="s">
        <v>16189</v>
      </c>
      <c r="C2404" s="10" t="s">
        <v>8767</v>
      </c>
      <c r="D2404" s="10" t="s">
        <v>16190</v>
      </c>
      <c r="E2404" s="10" t="s">
        <v>13207</v>
      </c>
      <c r="F2404" s="10" t="s">
        <v>3523</v>
      </c>
      <c r="G2404" s="10" t="s">
        <v>16191</v>
      </c>
      <c r="H2404" s="11" t="s">
        <v>31</v>
      </c>
      <c r="I2404" s="11">
        <v>1.0</v>
      </c>
      <c r="J2404" s="11">
        <v>1.0</v>
      </c>
      <c r="K2404" s="11" t="s">
        <v>31</v>
      </c>
      <c r="L2404" s="12" t="s">
        <v>13540</v>
      </c>
      <c r="M2404" s="10" t="s">
        <v>16192</v>
      </c>
      <c r="N2404" s="10" t="s">
        <v>418</v>
      </c>
      <c r="O2404" s="12" t="s">
        <v>419</v>
      </c>
      <c r="P2404" s="10" t="s">
        <v>13542</v>
      </c>
      <c r="Q2404" s="10" t="s">
        <v>31</v>
      </c>
      <c r="R2404" s="10" t="s">
        <v>31</v>
      </c>
      <c r="S2404" s="12" t="s">
        <v>2664</v>
      </c>
      <c r="T2404" s="10" t="s">
        <v>422</v>
      </c>
      <c r="U2404" s="12" t="s">
        <v>13543</v>
      </c>
      <c r="V2404" s="10" t="s">
        <v>3523</v>
      </c>
      <c r="W2404" s="10" t="s">
        <v>13207</v>
      </c>
      <c r="X2404" s="13" t="str">
        <f>HYPERLINK("https://my.pitchbook.com?p=455275-72P","View People Online")</f>
        <v>View People Online</v>
      </c>
    </row>
    <row r="2405">
      <c r="A2405" s="6" t="s">
        <v>16193</v>
      </c>
      <c r="B2405" s="6" t="s">
        <v>16194</v>
      </c>
      <c r="C2405" s="6" t="s">
        <v>16195</v>
      </c>
      <c r="D2405" s="6" t="s">
        <v>16196</v>
      </c>
      <c r="E2405" s="6" t="s">
        <v>13207</v>
      </c>
      <c r="F2405" s="6" t="s">
        <v>3523</v>
      </c>
      <c r="G2405" s="6" t="s">
        <v>16197</v>
      </c>
      <c r="H2405" s="7" t="s">
        <v>31</v>
      </c>
      <c r="I2405" s="7">
        <v>1.0</v>
      </c>
      <c r="J2405" s="7">
        <v>1.0</v>
      </c>
      <c r="K2405" s="7" t="s">
        <v>31</v>
      </c>
      <c r="L2405" s="8" t="s">
        <v>13209</v>
      </c>
      <c r="M2405" s="6" t="s">
        <v>16198</v>
      </c>
      <c r="N2405" s="6" t="s">
        <v>4232</v>
      </c>
      <c r="O2405" s="8" t="s">
        <v>4233</v>
      </c>
      <c r="P2405" s="6" t="s">
        <v>13211</v>
      </c>
      <c r="Q2405" s="6" t="s">
        <v>31</v>
      </c>
      <c r="R2405" s="6" t="s">
        <v>4236</v>
      </c>
      <c r="S2405" s="8" t="s">
        <v>13212</v>
      </c>
      <c r="T2405" s="6" t="s">
        <v>66</v>
      </c>
      <c r="U2405" s="8" t="s">
        <v>13213</v>
      </c>
      <c r="V2405" s="6" t="s">
        <v>3523</v>
      </c>
      <c r="W2405" s="6" t="s">
        <v>13207</v>
      </c>
      <c r="X2405" s="9" t="str">
        <f>HYPERLINK("https://my.pitchbook.com?p=455725-81P","View People Online")</f>
        <v>View People Online</v>
      </c>
    </row>
    <row r="2406">
      <c r="A2406" s="10" t="s">
        <v>16199</v>
      </c>
      <c r="B2406" s="10" t="s">
        <v>16200</v>
      </c>
      <c r="C2406" s="10" t="s">
        <v>323</v>
      </c>
      <c r="D2406" s="10" t="s">
        <v>16201</v>
      </c>
      <c r="E2406" s="10" t="s">
        <v>13207</v>
      </c>
      <c r="F2406" s="10" t="s">
        <v>13218</v>
      </c>
      <c r="G2406" s="10" t="s">
        <v>16202</v>
      </c>
      <c r="H2406" s="11" t="s">
        <v>31</v>
      </c>
      <c r="I2406" s="11">
        <v>1.0</v>
      </c>
      <c r="J2406" s="11">
        <v>1.0</v>
      </c>
      <c r="K2406" s="11" t="s">
        <v>31</v>
      </c>
      <c r="L2406" s="12" t="s">
        <v>13673</v>
      </c>
      <c r="M2406" s="10" t="s">
        <v>16203</v>
      </c>
      <c r="N2406" s="10" t="s">
        <v>6311</v>
      </c>
      <c r="O2406" s="12" t="s">
        <v>6312</v>
      </c>
      <c r="P2406" s="10" t="s">
        <v>13675</v>
      </c>
      <c r="Q2406" s="10" t="s">
        <v>31</v>
      </c>
      <c r="R2406" s="10" t="s">
        <v>31</v>
      </c>
      <c r="S2406" s="12" t="s">
        <v>13676</v>
      </c>
      <c r="T2406" s="10" t="s">
        <v>6315</v>
      </c>
      <c r="U2406" s="12" t="s">
        <v>13677</v>
      </c>
      <c r="V2406" s="10" t="s">
        <v>13218</v>
      </c>
      <c r="W2406" s="10" t="s">
        <v>13207</v>
      </c>
      <c r="X2406" s="13" t="str">
        <f>HYPERLINK("https://my.pitchbook.com?p=435838-60P","View People Online")</f>
        <v>View People Online</v>
      </c>
    </row>
    <row r="2407">
      <c r="A2407" s="6" t="s">
        <v>16204</v>
      </c>
      <c r="B2407" s="6" t="s">
        <v>16205</v>
      </c>
      <c r="C2407" s="6" t="s">
        <v>323</v>
      </c>
      <c r="D2407" s="6" t="s">
        <v>16206</v>
      </c>
      <c r="E2407" s="6" t="s">
        <v>13207</v>
      </c>
      <c r="F2407" s="6" t="s">
        <v>2731</v>
      </c>
      <c r="G2407" s="6" t="s">
        <v>16207</v>
      </c>
      <c r="H2407" s="7">
        <v>2.0</v>
      </c>
      <c r="I2407" s="7">
        <v>3.0</v>
      </c>
      <c r="J2407" s="7">
        <v>3.0</v>
      </c>
      <c r="K2407" s="7" t="s">
        <v>31</v>
      </c>
      <c r="L2407" s="8" t="s">
        <v>13423</v>
      </c>
      <c r="M2407" s="6" t="s">
        <v>16208</v>
      </c>
      <c r="N2407" s="6" t="s">
        <v>243</v>
      </c>
      <c r="O2407" s="8" t="s">
        <v>244</v>
      </c>
      <c r="P2407" s="6" t="s">
        <v>13425</v>
      </c>
      <c r="Q2407" s="6" t="s">
        <v>31</v>
      </c>
      <c r="R2407" s="6" t="s">
        <v>247</v>
      </c>
      <c r="S2407" s="8" t="s">
        <v>13426</v>
      </c>
      <c r="T2407" s="6" t="s">
        <v>249</v>
      </c>
      <c r="U2407" s="8" t="s">
        <v>31</v>
      </c>
      <c r="V2407" s="6" t="s">
        <v>2731</v>
      </c>
      <c r="W2407" s="6" t="s">
        <v>13207</v>
      </c>
      <c r="X2407" s="9" t="str">
        <f>HYPERLINK("https://my.pitchbook.com?p=17449-57P","View People Online")</f>
        <v>View People Online</v>
      </c>
    </row>
    <row r="2408">
      <c r="A2408" s="10" t="s">
        <v>16209</v>
      </c>
      <c r="B2408" s="10" t="s">
        <v>16210</v>
      </c>
      <c r="C2408" s="10" t="s">
        <v>323</v>
      </c>
      <c r="D2408" s="10" t="s">
        <v>16211</v>
      </c>
      <c r="E2408" s="10" t="s">
        <v>13207</v>
      </c>
      <c r="F2408" s="10" t="s">
        <v>13307</v>
      </c>
      <c r="G2408" s="10" t="s">
        <v>16212</v>
      </c>
      <c r="H2408" s="11" t="s">
        <v>31</v>
      </c>
      <c r="I2408" s="11">
        <v>1.0</v>
      </c>
      <c r="J2408" s="11">
        <v>1.0</v>
      </c>
      <c r="K2408" s="11" t="s">
        <v>31</v>
      </c>
      <c r="L2408" s="12" t="s">
        <v>13378</v>
      </c>
      <c r="M2408" s="10" t="s">
        <v>16213</v>
      </c>
      <c r="N2408" s="10" t="s">
        <v>429</v>
      </c>
      <c r="O2408" s="12" t="s">
        <v>430</v>
      </c>
      <c r="P2408" s="10" t="s">
        <v>13380</v>
      </c>
      <c r="Q2408" s="10" t="s">
        <v>31</v>
      </c>
      <c r="R2408" s="10" t="s">
        <v>31</v>
      </c>
      <c r="S2408" s="12" t="s">
        <v>13381</v>
      </c>
      <c r="T2408" s="10" t="s">
        <v>433</v>
      </c>
      <c r="U2408" s="12" t="s">
        <v>13382</v>
      </c>
      <c r="V2408" s="10" t="s">
        <v>13317</v>
      </c>
      <c r="W2408" s="10" t="s">
        <v>13207</v>
      </c>
      <c r="X2408" s="13" t="str">
        <f>HYPERLINK("https://my.pitchbook.com?p=455855-41P","View People Online")</f>
        <v>View People Online</v>
      </c>
    </row>
    <row r="2409">
      <c r="A2409" s="14" t="s">
        <v>16214</v>
      </c>
      <c r="B2409" s="14" t="s">
        <v>16215</v>
      </c>
      <c r="C2409" s="14" t="s">
        <v>323</v>
      </c>
      <c r="D2409" s="14" t="s">
        <v>2149</v>
      </c>
      <c r="E2409" s="14" t="s">
        <v>13207</v>
      </c>
      <c r="F2409" s="14" t="s">
        <v>3523</v>
      </c>
      <c r="G2409" s="14" t="s">
        <v>16216</v>
      </c>
      <c r="H2409" s="15" t="s">
        <v>31</v>
      </c>
      <c r="I2409" s="15">
        <v>1.0</v>
      </c>
      <c r="J2409" s="15">
        <v>1.0</v>
      </c>
      <c r="K2409" s="15" t="s">
        <v>31</v>
      </c>
      <c r="L2409" s="16" t="s">
        <v>15357</v>
      </c>
      <c r="M2409" s="14" t="s">
        <v>16217</v>
      </c>
      <c r="N2409" s="14" t="s">
        <v>1454</v>
      </c>
      <c r="O2409" s="16" t="s">
        <v>1455</v>
      </c>
      <c r="P2409" s="14" t="s">
        <v>15359</v>
      </c>
      <c r="Q2409" s="14" t="s">
        <v>13635</v>
      </c>
      <c r="R2409" s="14" t="s">
        <v>93</v>
      </c>
      <c r="S2409" s="16" t="s">
        <v>1458</v>
      </c>
      <c r="T2409" s="14" t="s">
        <v>66</v>
      </c>
      <c r="U2409" s="16" t="s">
        <v>15360</v>
      </c>
      <c r="V2409" s="14" t="s">
        <v>3523</v>
      </c>
      <c r="W2409" s="14" t="s">
        <v>13207</v>
      </c>
      <c r="X2409" s="17" t="str">
        <f>HYPERLINK("https://my.pitchbook.com?p=456123-07P","View People Online")</f>
        <v>View People Online</v>
      </c>
    </row>
    <row r="2410">
      <c r="A2410" s="2" t="s">
        <v>16218</v>
      </c>
      <c r="B2410" s="2" t="s">
        <v>16219</v>
      </c>
      <c r="C2410" s="2" t="s">
        <v>323</v>
      </c>
      <c r="D2410" s="2" t="s">
        <v>16220</v>
      </c>
      <c r="E2410" s="2" t="s">
        <v>13207</v>
      </c>
      <c r="F2410" s="2" t="s">
        <v>3523</v>
      </c>
      <c r="G2410" s="2" t="s">
        <v>16221</v>
      </c>
      <c r="H2410" s="3" t="s">
        <v>31</v>
      </c>
      <c r="I2410" s="3">
        <v>1.0</v>
      </c>
      <c r="J2410" s="3">
        <v>1.0</v>
      </c>
      <c r="K2410" s="3" t="s">
        <v>31</v>
      </c>
      <c r="L2410" s="4" t="s">
        <v>13642</v>
      </c>
      <c r="M2410" s="2" t="s">
        <v>16222</v>
      </c>
      <c r="N2410" s="2" t="s">
        <v>3334</v>
      </c>
      <c r="O2410" s="4" t="s">
        <v>3335</v>
      </c>
      <c r="P2410" s="2" t="s">
        <v>13644</v>
      </c>
      <c r="Q2410" s="2" t="s">
        <v>13645</v>
      </c>
      <c r="R2410" s="2" t="s">
        <v>31</v>
      </c>
      <c r="S2410" s="4" t="s">
        <v>13646</v>
      </c>
      <c r="T2410" s="2" t="s">
        <v>3339</v>
      </c>
      <c r="U2410" s="4" t="s">
        <v>13647</v>
      </c>
      <c r="V2410" s="2" t="s">
        <v>3523</v>
      </c>
      <c r="W2410" s="2" t="s">
        <v>13207</v>
      </c>
      <c r="X2410" s="5" t="str">
        <f>HYPERLINK("https://my.pitchbook.com?p=434998-81P","View People Online")</f>
        <v>View People Online</v>
      </c>
    </row>
    <row r="2411">
      <c r="A2411" s="14" t="s">
        <v>16223</v>
      </c>
      <c r="B2411" s="14" t="s">
        <v>16224</v>
      </c>
      <c r="C2411" s="14" t="s">
        <v>323</v>
      </c>
      <c r="D2411" s="14" t="s">
        <v>16225</v>
      </c>
      <c r="E2411" s="14" t="s">
        <v>13207</v>
      </c>
      <c r="F2411" s="14" t="s">
        <v>3523</v>
      </c>
      <c r="G2411" s="14" t="s">
        <v>16226</v>
      </c>
      <c r="H2411" s="15" t="s">
        <v>31</v>
      </c>
      <c r="I2411" s="15">
        <v>1.0</v>
      </c>
      <c r="J2411" s="15">
        <v>1.0</v>
      </c>
      <c r="K2411" s="15" t="s">
        <v>31</v>
      </c>
      <c r="L2411" s="16" t="s">
        <v>14614</v>
      </c>
      <c r="M2411" s="14" t="s">
        <v>16227</v>
      </c>
      <c r="N2411" s="14" t="s">
        <v>1442</v>
      </c>
      <c r="O2411" s="16" t="s">
        <v>1443</v>
      </c>
      <c r="P2411" s="14" t="s">
        <v>14616</v>
      </c>
      <c r="Q2411" s="14" t="s">
        <v>14617</v>
      </c>
      <c r="R2411" s="14" t="s">
        <v>1277</v>
      </c>
      <c r="S2411" s="16" t="s">
        <v>14618</v>
      </c>
      <c r="T2411" s="14" t="s">
        <v>66</v>
      </c>
      <c r="U2411" s="16" t="s">
        <v>31</v>
      </c>
      <c r="V2411" s="14" t="s">
        <v>3523</v>
      </c>
      <c r="W2411" s="14" t="s">
        <v>13207</v>
      </c>
      <c r="X2411" s="17" t="str">
        <f>HYPERLINK("https://my.pitchbook.com?p=435005-47P","View People Online")</f>
        <v>View People Online</v>
      </c>
    </row>
    <row r="2412">
      <c r="A2412" s="2" t="s">
        <v>16228</v>
      </c>
      <c r="B2412" s="2" t="s">
        <v>16229</v>
      </c>
      <c r="C2412" s="2" t="s">
        <v>323</v>
      </c>
      <c r="D2412" s="2" t="s">
        <v>16230</v>
      </c>
      <c r="E2412" s="2" t="s">
        <v>13207</v>
      </c>
      <c r="F2412" s="2" t="s">
        <v>3523</v>
      </c>
      <c r="G2412" s="2" t="s">
        <v>16231</v>
      </c>
      <c r="H2412" s="3" t="s">
        <v>31</v>
      </c>
      <c r="I2412" s="3">
        <v>1.0</v>
      </c>
      <c r="J2412" s="3">
        <v>1.0</v>
      </c>
      <c r="K2412" s="3" t="s">
        <v>31</v>
      </c>
      <c r="L2412" s="4" t="s">
        <v>14092</v>
      </c>
      <c r="M2412" s="2" t="s">
        <v>16232</v>
      </c>
      <c r="N2412" s="2" t="s">
        <v>10742</v>
      </c>
      <c r="O2412" s="4" t="s">
        <v>10743</v>
      </c>
      <c r="P2412" s="2" t="s">
        <v>14094</v>
      </c>
      <c r="Q2412" s="2" t="s">
        <v>14095</v>
      </c>
      <c r="R2412" s="2" t="s">
        <v>10745</v>
      </c>
      <c r="S2412" s="4" t="s">
        <v>14096</v>
      </c>
      <c r="T2412" s="2" t="s">
        <v>1019</v>
      </c>
      <c r="U2412" s="4" t="s">
        <v>14097</v>
      </c>
      <c r="V2412" s="2" t="s">
        <v>3523</v>
      </c>
      <c r="W2412" s="2" t="s">
        <v>13207</v>
      </c>
      <c r="X2412" s="5" t="str">
        <f>HYPERLINK("https://my.pitchbook.com?p=456226-57P","View People Online")</f>
        <v>View People Online</v>
      </c>
    </row>
    <row r="2413">
      <c r="A2413" s="6" t="s">
        <v>16233</v>
      </c>
      <c r="B2413" s="6" t="s">
        <v>16234</v>
      </c>
      <c r="C2413" s="6" t="s">
        <v>323</v>
      </c>
      <c r="D2413" s="6" t="s">
        <v>16235</v>
      </c>
      <c r="E2413" s="6" t="s">
        <v>13207</v>
      </c>
      <c r="F2413" s="6" t="s">
        <v>13218</v>
      </c>
      <c r="G2413" s="6" t="s">
        <v>16236</v>
      </c>
      <c r="H2413" s="7" t="s">
        <v>31</v>
      </c>
      <c r="I2413" s="7">
        <v>1.0</v>
      </c>
      <c r="J2413" s="7">
        <v>1.0</v>
      </c>
      <c r="K2413" s="7" t="s">
        <v>31</v>
      </c>
      <c r="L2413" s="8" t="s">
        <v>13209</v>
      </c>
      <c r="M2413" s="6" t="s">
        <v>16237</v>
      </c>
      <c r="N2413" s="6" t="s">
        <v>4232</v>
      </c>
      <c r="O2413" s="8" t="s">
        <v>4233</v>
      </c>
      <c r="P2413" s="6" t="s">
        <v>13211</v>
      </c>
      <c r="Q2413" s="6" t="s">
        <v>31</v>
      </c>
      <c r="R2413" s="6" t="s">
        <v>4236</v>
      </c>
      <c r="S2413" s="8" t="s">
        <v>13212</v>
      </c>
      <c r="T2413" s="6" t="s">
        <v>66</v>
      </c>
      <c r="U2413" s="8" t="s">
        <v>13213</v>
      </c>
      <c r="V2413" s="6" t="s">
        <v>13218</v>
      </c>
      <c r="W2413" s="6" t="s">
        <v>13207</v>
      </c>
      <c r="X2413" s="9" t="str">
        <f>HYPERLINK("https://my.pitchbook.com?p=435511-72P","View People Online")</f>
        <v>View People Online</v>
      </c>
    </row>
    <row r="2414">
      <c r="A2414" s="10" t="s">
        <v>16238</v>
      </c>
      <c r="B2414" s="10" t="s">
        <v>16239</v>
      </c>
      <c r="C2414" s="10" t="s">
        <v>8106</v>
      </c>
      <c r="D2414" s="10" t="s">
        <v>5978</v>
      </c>
      <c r="E2414" s="10" t="s">
        <v>13207</v>
      </c>
      <c r="F2414" s="10" t="s">
        <v>3523</v>
      </c>
      <c r="G2414" s="10" t="s">
        <v>16240</v>
      </c>
      <c r="H2414" s="11" t="s">
        <v>31</v>
      </c>
      <c r="I2414" s="11">
        <v>1.0</v>
      </c>
      <c r="J2414" s="11">
        <v>1.0</v>
      </c>
      <c r="K2414" s="11" t="s">
        <v>31</v>
      </c>
      <c r="L2414" s="12" t="s">
        <v>13274</v>
      </c>
      <c r="M2414" s="10" t="s">
        <v>16241</v>
      </c>
      <c r="N2414" s="10" t="s">
        <v>1181</v>
      </c>
      <c r="O2414" s="12" t="s">
        <v>1182</v>
      </c>
      <c r="P2414" s="10" t="s">
        <v>13276</v>
      </c>
      <c r="Q2414" s="10" t="s">
        <v>31</v>
      </c>
      <c r="R2414" s="10" t="s">
        <v>1185</v>
      </c>
      <c r="S2414" s="12" t="s">
        <v>4438</v>
      </c>
      <c r="T2414" s="10" t="s">
        <v>66</v>
      </c>
      <c r="U2414" s="12" t="s">
        <v>13277</v>
      </c>
      <c r="V2414" s="10" t="s">
        <v>3523</v>
      </c>
      <c r="W2414" s="10" t="s">
        <v>13207</v>
      </c>
      <c r="X2414" s="13" t="str">
        <f>HYPERLINK("https://my.pitchbook.com?p=435215-26P","View People Online")</f>
        <v>View People Online</v>
      </c>
    </row>
    <row r="2415">
      <c r="A2415" s="14" t="s">
        <v>16242</v>
      </c>
      <c r="B2415" s="14" t="s">
        <v>16243</v>
      </c>
      <c r="C2415" s="14" t="s">
        <v>8106</v>
      </c>
      <c r="D2415" s="14" t="s">
        <v>16244</v>
      </c>
      <c r="E2415" s="14" t="s">
        <v>13207</v>
      </c>
      <c r="F2415" s="14" t="s">
        <v>3523</v>
      </c>
      <c r="G2415" s="14" t="s">
        <v>16245</v>
      </c>
      <c r="H2415" s="15" t="s">
        <v>31</v>
      </c>
      <c r="I2415" s="15">
        <v>1.0</v>
      </c>
      <c r="J2415" s="15">
        <v>1.0</v>
      </c>
      <c r="K2415" s="15" t="s">
        <v>31</v>
      </c>
      <c r="L2415" s="16" t="s">
        <v>13345</v>
      </c>
      <c r="M2415" s="14" t="s">
        <v>16246</v>
      </c>
      <c r="N2415" s="14" t="s">
        <v>2764</v>
      </c>
      <c r="O2415" s="16" t="s">
        <v>2765</v>
      </c>
      <c r="P2415" s="14" t="s">
        <v>13347</v>
      </c>
      <c r="Q2415" s="14" t="s">
        <v>31</v>
      </c>
      <c r="R2415" s="14" t="s">
        <v>31</v>
      </c>
      <c r="S2415" s="16" t="s">
        <v>13348</v>
      </c>
      <c r="T2415" s="14" t="s">
        <v>2768</v>
      </c>
      <c r="U2415" s="16" t="s">
        <v>13349</v>
      </c>
      <c r="V2415" s="14" t="s">
        <v>3523</v>
      </c>
      <c r="W2415" s="14" t="s">
        <v>13207</v>
      </c>
      <c r="X2415" s="17" t="str">
        <f>HYPERLINK("https://my.pitchbook.com?p=455585-95P","View People Online")</f>
        <v>View People Online</v>
      </c>
    </row>
    <row r="2416">
      <c r="A2416" s="10" t="s">
        <v>16247</v>
      </c>
      <c r="B2416" s="10" t="s">
        <v>16248</v>
      </c>
      <c r="C2416" s="10" t="s">
        <v>8106</v>
      </c>
      <c r="D2416" s="10" t="s">
        <v>16249</v>
      </c>
      <c r="E2416" s="10" t="s">
        <v>13207</v>
      </c>
      <c r="F2416" s="10" t="s">
        <v>3523</v>
      </c>
      <c r="G2416" s="10" t="s">
        <v>16250</v>
      </c>
      <c r="H2416" s="11" t="s">
        <v>31</v>
      </c>
      <c r="I2416" s="11">
        <v>1.0</v>
      </c>
      <c r="J2416" s="11">
        <v>1.0</v>
      </c>
      <c r="K2416" s="11" t="s">
        <v>31</v>
      </c>
      <c r="L2416" s="12" t="s">
        <v>13220</v>
      </c>
      <c r="M2416" s="10" t="s">
        <v>16251</v>
      </c>
      <c r="N2416" s="10" t="s">
        <v>2478</v>
      </c>
      <c r="O2416" s="12" t="s">
        <v>7332</v>
      </c>
      <c r="P2416" s="10" t="s">
        <v>13222</v>
      </c>
      <c r="Q2416" s="10" t="s">
        <v>13223</v>
      </c>
      <c r="R2416" s="10" t="s">
        <v>7335</v>
      </c>
      <c r="S2416" s="12" t="s">
        <v>7336</v>
      </c>
      <c r="T2416" s="10" t="s">
        <v>5484</v>
      </c>
      <c r="U2416" s="12" t="s">
        <v>13224</v>
      </c>
      <c r="V2416" s="10" t="s">
        <v>3523</v>
      </c>
      <c r="W2416" s="10" t="s">
        <v>13207</v>
      </c>
      <c r="X2416" s="13" t="str">
        <f>HYPERLINK("https://my.pitchbook.com?p=436121-56P","View People Online")</f>
        <v>View People Online</v>
      </c>
    </row>
    <row r="2417">
      <c r="A2417" s="14" t="s">
        <v>16252</v>
      </c>
      <c r="B2417" s="14" t="s">
        <v>16253</v>
      </c>
      <c r="C2417" s="14" t="s">
        <v>8106</v>
      </c>
      <c r="D2417" s="14" t="s">
        <v>16254</v>
      </c>
      <c r="E2417" s="14" t="s">
        <v>13207</v>
      </c>
      <c r="F2417" s="14" t="s">
        <v>13240</v>
      </c>
      <c r="G2417" s="14" t="s">
        <v>16255</v>
      </c>
      <c r="H2417" s="15" t="s">
        <v>31</v>
      </c>
      <c r="I2417" s="15">
        <v>1.0</v>
      </c>
      <c r="J2417" s="15">
        <v>1.0</v>
      </c>
      <c r="K2417" s="15" t="s">
        <v>31</v>
      </c>
      <c r="L2417" s="16" t="s">
        <v>13242</v>
      </c>
      <c r="M2417" s="14" t="s">
        <v>16256</v>
      </c>
      <c r="N2417" s="14" t="s">
        <v>9865</v>
      </c>
      <c r="O2417" s="16" t="s">
        <v>9866</v>
      </c>
      <c r="P2417" s="14" t="s">
        <v>13244</v>
      </c>
      <c r="Q2417" s="14" t="s">
        <v>31</v>
      </c>
      <c r="R2417" s="14" t="s">
        <v>31</v>
      </c>
      <c r="S2417" s="16" t="s">
        <v>13245</v>
      </c>
      <c r="T2417" s="14" t="s">
        <v>38</v>
      </c>
      <c r="U2417" s="16" t="s">
        <v>13246</v>
      </c>
      <c r="V2417" s="14" t="s">
        <v>16257</v>
      </c>
      <c r="W2417" s="14" t="s">
        <v>13207</v>
      </c>
      <c r="X2417" s="17" t="str">
        <f>HYPERLINK("https://my.pitchbook.com?p=435629-80P","View People Online")</f>
        <v>View People Online</v>
      </c>
    </row>
    <row r="2418">
      <c r="A2418" s="10" t="s">
        <v>16258</v>
      </c>
      <c r="B2418" s="10" t="s">
        <v>16259</v>
      </c>
      <c r="C2418" s="10" t="s">
        <v>8106</v>
      </c>
      <c r="D2418" s="10" t="s">
        <v>16260</v>
      </c>
      <c r="E2418" s="10" t="s">
        <v>13207</v>
      </c>
      <c r="F2418" s="10" t="s">
        <v>3523</v>
      </c>
      <c r="G2418" s="10" t="s">
        <v>16261</v>
      </c>
      <c r="H2418" s="11" t="s">
        <v>31</v>
      </c>
      <c r="I2418" s="11">
        <v>1.0</v>
      </c>
      <c r="J2418" s="11">
        <v>1.0</v>
      </c>
      <c r="K2418" s="11" t="s">
        <v>31</v>
      </c>
      <c r="L2418" s="12" t="s">
        <v>13345</v>
      </c>
      <c r="M2418" s="10" t="s">
        <v>16262</v>
      </c>
      <c r="N2418" s="10" t="s">
        <v>2764</v>
      </c>
      <c r="O2418" s="12" t="s">
        <v>2765</v>
      </c>
      <c r="P2418" s="10" t="s">
        <v>13347</v>
      </c>
      <c r="Q2418" s="10" t="s">
        <v>31</v>
      </c>
      <c r="R2418" s="10" t="s">
        <v>31</v>
      </c>
      <c r="S2418" s="12" t="s">
        <v>13348</v>
      </c>
      <c r="T2418" s="10" t="s">
        <v>2768</v>
      </c>
      <c r="U2418" s="12" t="s">
        <v>13349</v>
      </c>
      <c r="V2418" s="10" t="s">
        <v>3523</v>
      </c>
      <c r="W2418" s="10" t="s">
        <v>13207</v>
      </c>
      <c r="X2418" s="13" t="str">
        <f>HYPERLINK("https://my.pitchbook.com?p=455468-68P","View People Online")</f>
        <v>View People Online</v>
      </c>
    </row>
    <row r="2419">
      <c r="A2419" s="6" t="s">
        <v>16263</v>
      </c>
      <c r="B2419" s="6" t="s">
        <v>16264</v>
      </c>
      <c r="C2419" s="6" t="s">
        <v>4306</v>
      </c>
      <c r="D2419" s="6" t="s">
        <v>2871</v>
      </c>
      <c r="E2419" s="6" t="s">
        <v>13207</v>
      </c>
      <c r="F2419" s="6" t="s">
        <v>13218</v>
      </c>
      <c r="G2419" s="6" t="s">
        <v>16265</v>
      </c>
      <c r="H2419" s="7" t="s">
        <v>31</v>
      </c>
      <c r="I2419" s="7">
        <v>1.0</v>
      </c>
      <c r="J2419" s="7">
        <v>1.0</v>
      </c>
      <c r="K2419" s="7" t="s">
        <v>31</v>
      </c>
      <c r="L2419" s="8" t="s">
        <v>14201</v>
      </c>
      <c r="M2419" s="6" t="s">
        <v>16266</v>
      </c>
      <c r="N2419" s="6" t="s">
        <v>14203</v>
      </c>
      <c r="O2419" s="8" t="s">
        <v>14204</v>
      </c>
      <c r="P2419" s="6" t="s">
        <v>14205</v>
      </c>
      <c r="Q2419" s="6" t="s">
        <v>14206</v>
      </c>
      <c r="R2419" s="6" t="s">
        <v>1420</v>
      </c>
      <c r="S2419" s="8" t="s">
        <v>14207</v>
      </c>
      <c r="T2419" s="6" t="s">
        <v>66</v>
      </c>
      <c r="U2419" s="8" t="s">
        <v>14208</v>
      </c>
      <c r="V2419" s="6" t="s">
        <v>13218</v>
      </c>
      <c r="W2419" s="6" t="s">
        <v>13207</v>
      </c>
      <c r="X2419" s="9" t="str">
        <f>HYPERLINK("https://my.pitchbook.com?p=435547-63P","View People Online")</f>
        <v>View People Online</v>
      </c>
    </row>
    <row r="2420">
      <c r="A2420" s="10" t="s">
        <v>16267</v>
      </c>
      <c r="B2420" s="10" t="s">
        <v>16268</v>
      </c>
      <c r="C2420" s="10" t="s">
        <v>4306</v>
      </c>
      <c r="D2420" s="10" t="s">
        <v>4346</v>
      </c>
      <c r="E2420" s="10" t="s">
        <v>13207</v>
      </c>
      <c r="F2420" s="10" t="s">
        <v>3523</v>
      </c>
      <c r="G2420" s="10" t="s">
        <v>16269</v>
      </c>
      <c r="H2420" s="11" t="s">
        <v>31</v>
      </c>
      <c r="I2420" s="11">
        <v>1.0</v>
      </c>
      <c r="J2420" s="11">
        <v>1.0</v>
      </c>
      <c r="K2420" s="11" t="s">
        <v>31</v>
      </c>
      <c r="L2420" s="12" t="s">
        <v>13274</v>
      </c>
      <c r="M2420" s="10" t="s">
        <v>16270</v>
      </c>
      <c r="N2420" s="10" t="s">
        <v>1181</v>
      </c>
      <c r="O2420" s="12" t="s">
        <v>1182</v>
      </c>
      <c r="P2420" s="10" t="s">
        <v>13276</v>
      </c>
      <c r="Q2420" s="10" t="s">
        <v>31</v>
      </c>
      <c r="R2420" s="10" t="s">
        <v>1185</v>
      </c>
      <c r="S2420" s="12" t="s">
        <v>4438</v>
      </c>
      <c r="T2420" s="10" t="s">
        <v>66</v>
      </c>
      <c r="U2420" s="12" t="s">
        <v>13277</v>
      </c>
      <c r="V2420" s="10" t="s">
        <v>3523</v>
      </c>
      <c r="W2420" s="10" t="s">
        <v>13207</v>
      </c>
      <c r="X2420" s="13" t="str">
        <f>HYPERLINK("https://my.pitchbook.com?p=436424-41P","View People Online")</f>
        <v>View People Online</v>
      </c>
    </row>
    <row r="2421">
      <c r="A2421" s="14" t="s">
        <v>16271</v>
      </c>
      <c r="B2421" s="14" t="s">
        <v>16272</v>
      </c>
      <c r="C2421" s="14" t="s">
        <v>16273</v>
      </c>
      <c r="D2421" s="14" t="s">
        <v>16274</v>
      </c>
      <c r="E2421" s="14" t="s">
        <v>13207</v>
      </c>
      <c r="F2421" s="14" t="s">
        <v>3523</v>
      </c>
      <c r="G2421" s="14" t="s">
        <v>16275</v>
      </c>
      <c r="H2421" s="15" t="s">
        <v>31</v>
      </c>
      <c r="I2421" s="15">
        <v>1.0</v>
      </c>
      <c r="J2421" s="15">
        <v>1.0</v>
      </c>
      <c r="K2421" s="15" t="s">
        <v>31</v>
      </c>
      <c r="L2421" s="16" t="s">
        <v>13423</v>
      </c>
      <c r="M2421" s="14" t="s">
        <v>16276</v>
      </c>
      <c r="N2421" s="14" t="s">
        <v>243</v>
      </c>
      <c r="O2421" s="16" t="s">
        <v>244</v>
      </c>
      <c r="P2421" s="14" t="s">
        <v>13425</v>
      </c>
      <c r="Q2421" s="14" t="s">
        <v>31</v>
      </c>
      <c r="R2421" s="14" t="s">
        <v>247</v>
      </c>
      <c r="S2421" s="16" t="s">
        <v>13426</v>
      </c>
      <c r="T2421" s="14" t="s">
        <v>249</v>
      </c>
      <c r="U2421" s="16" t="s">
        <v>31</v>
      </c>
      <c r="V2421" s="14" t="s">
        <v>3523</v>
      </c>
      <c r="W2421" s="14" t="s">
        <v>13207</v>
      </c>
      <c r="X2421" s="17" t="str">
        <f>HYPERLINK("https://my.pitchbook.com?p=435911-95P","View People Online")</f>
        <v>View People Online</v>
      </c>
    </row>
    <row r="2422">
      <c r="A2422" s="10" t="s">
        <v>16277</v>
      </c>
      <c r="B2422" s="10" t="s">
        <v>16278</v>
      </c>
      <c r="C2422" s="10" t="s">
        <v>16279</v>
      </c>
      <c r="D2422" s="10" t="s">
        <v>16280</v>
      </c>
      <c r="E2422" s="10" t="s">
        <v>13207</v>
      </c>
      <c r="F2422" s="10" t="s">
        <v>13218</v>
      </c>
      <c r="G2422" s="10" t="s">
        <v>16281</v>
      </c>
      <c r="H2422" s="11" t="s">
        <v>31</v>
      </c>
      <c r="I2422" s="11">
        <v>1.0</v>
      </c>
      <c r="J2422" s="11">
        <v>1.0</v>
      </c>
      <c r="K2422" s="11" t="s">
        <v>31</v>
      </c>
      <c r="L2422" s="12" t="s">
        <v>13354</v>
      </c>
      <c r="M2422" s="10" t="s">
        <v>16282</v>
      </c>
      <c r="N2422" s="10" t="s">
        <v>13356</v>
      </c>
      <c r="O2422" s="12" t="s">
        <v>13357</v>
      </c>
      <c r="P2422" s="10" t="s">
        <v>13358</v>
      </c>
      <c r="Q2422" s="10" t="s">
        <v>13359</v>
      </c>
      <c r="R2422" s="10" t="s">
        <v>31</v>
      </c>
      <c r="S2422" s="12" t="s">
        <v>13360</v>
      </c>
      <c r="T2422" s="10" t="s">
        <v>13361</v>
      </c>
      <c r="U2422" s="12" t="s">
        <v>13362</v>
      </c>
      <c r="V2422" s="10" t="s">
        <v>13218</v>
      </c>
      <c r="W2422" s="10" t="s">
        <v>13207</v>
      </c>
      <c r="X2422" s="13" t="str">
        <f>HYPERLINK("https://my.pitchbook.com?p=435966-58P","View People Online")</f>
        <v>View People Online</v>
      </c>
    </row>
    <row r="2423">
      <c r="A2423" s="6" t="s">
        <v>16283</v>
      </c>
      <c r="B2423" s="6" t="s">
        <v>16284</v>
      </c>
      <c r="C2423" s="6" t="s">
        <v>2776</v>
      </c>
      <c r="D2423" s="6" t="s">
        <v>16285</v>
      </c>
      <c r="E2423" s="6" t="s">
        <v>13207</v>
      </c>
      <c r="F2423" s="6" t="s">
        <v>13218</v>
      </c>
      <c r="G2423" s="6" t="s">
        <v>16286</v>
      </c>
      <c r="H2423" s="7" t="s">
        <v>31</v>
      </c>
      <c r="I2423" s="7">
        <v>1.0</v>
      </c>
      <c r="J2423" s="7">
        <v>1.0</v>
      </c>
      <c r="K2423" s="7" t="s">
        <v>31</v>
      </c>
      <c r="L2423" s="8" t="s">
        <v>14201</v>
      </c>
      <c r="M2423" s="6" t="s">
        <v>16287</v>
      </c>
      <c r="N2423" s="6" t="s">
        <v>14203</v>
      </c>
      <c r="O2423" s="8" t="s">
        <v>14204</v>
      </c>
      <c r="P2423" s="6" t="s">
        <v>14205</v>
      </c>
      <c r="Q2423" s="6" t="s">
        <v>14206</v>
      </c>
      <c r="R2423" s="6" t="s">
        <v>1420</v>
      </c>
      <c r="S2423" s="8" t="s">
        <v>14207</v>
      </c>
      <c r="T2423" s="6" t="s">
        <v>66</v>
      </c>
      <c r="U2423" s="8" t="s">
        <v>14208</v>
      </c>
      <c r="V2423" s="6" t="s">
        <v>13218</v>
      </c>
      <c r="W2423" s="6" t="s">
        <v>13207</v>
      </c>
      <c r="X2423" s="9" t="str">
        <f>HYPERLINK("https://my.pitchbook.com?p=456518-62P","View People Online")</f>
        <v>View People Online</v>
      </c>
    </row>
    <row r="2424">
      <c r="A2424" s="2" t="s">
        <v>16288</v>
      </c>
      <c r="B2424" s="2" t="s">
        <v>16289</v>
      </c>
      <c r="C2424" s="2" t="s">
        <v>2776</v>
      </c>
      <c r="D2424" s="2" t="s">
        <v>16290</v>
      </c>
      <c r="E2424" s="2" t="s">
        <v>13207</v>
      </c>
      <c r="F2424" s="2" t="s">
        <v>3523</v>
      </c>
      <c r="G2424" s="2" t="s">
        <v>16291</v>
      </c>
      <c r="H2424" s="3" t="s">
        <v>31</v>
      </c>
      <c r="I2424" s="3">
        <v>1.0</v>
      </c>
      <c r="J2424" s="3">
        <v>1.0</v>
      </c>
      <c r="K2424" s="3" t="s">
        <v>31</v>
      </c>
      <c r="L2424" s="4" t="s">
        <v>13459</v>
      </c>
      <c r="M2424" s="2" t="s">
        <v>16292</v>
      </c>
      <c r="N2424" s="2" t="s">
        <v>3100</v>
      </c>
      <c r="O2424" s="4" t="s">
        <v>3101</v>
      </c>
      <c r="P2424" s="2" t="s">
        <v>13461</v>
      </c>
      <c r="Q2424" s="2" t="s">
        <v>31</v>
      </c>
      <c r="R2424" s="2" t="s">
        <v>31</v>
      </c>
      <c r="S2424" s="4" t="s">
        <v>3103</v>
      </c>
      <c r="T2424" s="2" t="s">
        <v>3104</v>
      </c>
      <c r="U2424" s="4" t="s">
        <v>13462</v>
      </c>
      <c r="V2424" s="2" t="s">
        <v>3523</v>
      </c>
      <c r="W2424" s="2" t="s">
        <v>13207</v>
      </c>
      <c r="X2424" s="5" t="str">
        <f>HYPERLINK("https://my.pitchbook.com?p=436123-72P","View People Online")</f>
        <v>View People Online</v>
      </c>
    </row>
    <row r="2425">
      <c r="A2425" s="6" t="s">
        <v>16293</v>
      </c>
      <c r="B2425" s="6" t="s">
        <v>16294</v>
      </c>
      <c r="C2425" s="6" t="s">
        <v>16295</v>
      </c>
      <c r="D2425" s="6" t="s">
        <v>16296</v>
      </c>
      <c r="E2425" s="6" t="s">
        <v>13207</v>
      </c>
      <c r="F2425" s="6" t="s">
        <v>13307</v>
      </c>
      <c r="G2425" s="6" t="s">
        <v>16297</v>
      </c>
      <c r="H2425" s="7" t="s">
        <v>31</v>
      </c>
      <c r="I2425" s="7">
        <v>1.0</v>
      </c>
      <c r="J2425" s="7">
        <v>1.0</v>
      </c>
      <c r="K2425" s="7" t="s">
        <v>31</v>
      </c>
      <c r="L2425" s="8" t="s">
        <v>13252</v>
      </c>
      <c r="M2425" s="6" t="s">
        <v>16298</v>
      </c>
      <c r="N2425" s="6" t="s">
        <v>13254</v>
      </c>
      <c r="O2425" s="8" t="s">
        <v>13255</v>
      </c>
      <c r="P2425" s="6" t="s">
        <v>13256</v>
      </c>
      <c r="Q2425" s="6" t="s">
        <v>31</v>
      </c>
      <c r="R2425" s="6" t="s">
        <v>31</v>
      </c>
      <c r="S2425" s="8" t="s">
        <v>13257</v>
      </c>
      <c r="T2425" s="6" t="s">
        <v>13258</v>
      </c>
      <c r="U2425" s="8" t="s">
        <v>13259</v>
      </c>
      <c r="V2425" s="6" t="s">
        <v>13317</v>
      </c>
      <c r="W2425" s="6" t="s">
        <v>13207</v>
      </c>
      <c r="X2425" s="9" t="str">
        <f>HYPERLINK("https://my.pitchbook.com?p=434962-27P","View People Online")</f>
        <v>View People Online</v>
      </c>
    </row>
    <row r="2426">
      <c r="A2426" s="10" t="s">
        <v>16299</v>
      </c>
      <c r="B2426" s="10" t="s">
        <v>16300</v>
      </c>
      <c r="C2426" s="10" t="s">
        <v>16301</v>
      </c>
      <c r="D2426" s="10" t="s">
        <v>16302</v>
      </c>
      <c r="E2426" s="10" t="s">
        <v>13207</v>
      </c>
      <c r="F2426" s="10" t="s">
        <v>13218</v>
      </c>
      <c r="G2426" s="10" t="s">
        <v>16303</v>
      </c>
      <c r="H2426" s="11" t="s">
        <v>31</v>
      </c>
      <c r="I2426" s="11">
        <v>1.0</v>
      </c>
      <c r="J2426" s="11">
        <v>1.0</v>
      </c>
      <c r="K2426" s="11" t="s">
        <v>31</v>
      </c>
      <c r="L2426" s="12" t="s">
        <v>14142</v>
      </c>
      <c r="M2426" s="10" t="s">
        <v>16304</v>
      </c>
      <c r="N2426" s="10" t="s">
        <v>273</v>
      </c>
      <c r="O2426" s="12" t="s">
        <v>274</v>
      </c>
      <c r="P2426" s="10" t="s">
        <v>14144</v>
      </c>
      <c r="Q2426" s="10" t="s">
        <v>31</v>
      </c>
      <c r="R2426" s="10" t="s">
        <v>31</v>
      </c>
      <c r="S2426" s="12" t="s">
        <v>14145</v>
      </c>
      <c r="T2426" s="10" t="s">
        <v>276</v>
      </c>
      <c r="U2426" s="12" t="s">
        <v>14146</v>
      </c>
      <c r="V2426" s="10" t="s">
        <v>13218</v>
      </c>
      <c r="W2426" s="10" t="s">
        <v>13207</v>
      </c>
      <c r="X2426" s="13" t="str">
        <f>HYPERLINK("https://my.pitchbook.com?p=389097-37P","View People Online")</f>
        <v>View People Online</v>
      </c>
    </row>
    <row r="2427">
      <c r="A2427" s="6" t="s">
        <v>16305</v>
      </c>
      <c r="B2427" s="6" t="s">
        <v>16306</v>
      </c>
      <c r="C2427" s="6" t="s">
        <v>16307</v>
      </c>
      <c r="D2427" s="6" t="s">
        <v>2155</v>
      </c>
      <c r="E2427" s="6" t="s">
        <v>13207</v>
      </c>
      <c r="F2427" s="6" t="s">
        <v>13218</v>
      </c>
      <c r="G2427" s="6" t="s">
        <v>16308</v>
      </c>
      <c r="H2427" s="7" t="s">
        <v>31</v>
      </c>
      <c r="I2427" s="7">
        <v>1.0</v>
      </c>
      <c r="J2427" s="7">
        <v>1.0</v>
      </c>
      <c r="K2427" s="7" t="s">
        <v>31</v>
      </c>
      <c r="L2427" s="8" t="s">
        <v>15095</v>
      </c>
      <c r="M2427" s="6" t="s">
        <v>16309</v>
      </c>
      <c r="N2427" s="6" t="s">
        <v>6960</v>
      </c>
      <c r="O2427" s="8" t="s">
        <v>6961</v>
      </c>
      <c r="P2427" s="6" t="s">
        <v>15097</v>
      </c>
      <c r="Q2427" s="6" t="s">
        <v>15098</v>
      </c>
      <c r="R2427" s="6" t="s">
        <v>15099</v>
      </c>
      <c r="S2427" s="8" t="s">
        <v>15100</v>
      </c>
      <c r="T2427" s="6" t="s">
        <v>6962</v>
      </c>
      <c r="U2427" s="8" t="s">
        <v>15101</v>
      </c>
      <c r="V2427" s="6" t="s">
        <v>13218</v>
      </c>
      <c r="W2427" s="6" t="s">
        <v>13207</v>
      </c>
      <c r="X2427" s="9" t="str">
        <f>HYPERLINK("https://my.pitchbook.com?p=456712-39P","View People Online")</f>
        <v>View People Online</v>
      </c>
    </row>
    <row r="2428">
      <c r="A2428" s="2" t="s">
        <v>16310</v>
      </c>
      <c r="B2428" s="2" t="s">
        <v>16311</v>
      </c>
      <c r="C2428" s="2" t="s">
        <v>16307</v>
      </c>
      <c r="D2428" s="2" t="s">
        <v>16312</v>
      </c>
      <c r="E2428" s="2" t="s">
        <v>13207</v>
      </c>
      <c r="F2428" s="2" t="s">
        <v>13218</v>
      </c>
      <c r="G2428" s="2" t="s">
        <v>16313</v>
      </c>
      <c r="H2428" s="3" t="s">
        <v>31</v>
      </c>
      <c r="I2428" s="3">
        <v>1.0</v>
      </c>
      <c r="J2428" s="3">
        <v>1.0</v>
      </c>
      <c r="K2428" s="3" t="s">
        <v>31</v>
      </c>
      <c r="L2428" s="4" t="s">
        <v>13496</v>
      </c>
      <c r="M2428" s="2" t="s">
        <v>16314</v>
      </c>
      <c r="N2428" s="2" t="s">
        <v>75</v>
      </c>
      <c r="O2428" s="4" t="s">
        <v>76</v>
      </c>
      <c r="P2428" s="2" t="s">
        <v>13498</v>
      </c>
      <c r="Q2428" s="2" t="s">
        <v>31</v>
      </c>
      <c r="R2428" s="2" t="s">
        <v>75</v>
      </c>
      <c r="S2428" s="4" t="s">
        <v>195</v>
      </c>
      <c r="T2428" s="2" t="s">
        <v>66</v>
      </c>
      <c r="U2428" s="4" t="s">
        <v>13499</v>
      </c>
      <c r="V2428" s="2" t="s">
        <v>13218</v>
      </c>
      <c r="W2428" s="2" t="s">
        <v>13207</v>
      </c>
      <c r="X2428" s="5" t="str">
        <f>HYPERLINK("https://my.pitchbook.com?p=455897-35P","View People Online")</f>
        <v>View People Online</v>
      </c>
    </row>
    <row r="2429">
      <c r="A2429" s="14" t="s">
        <v>16315</v>
      </c>
      <c r="B2429" s="14" t="s">
        <v>16316</v>
      </c>
      <c r="C2429" s="14" t="s">
        <v>16317</v>
      </c>
      <c r="D2429" s="14" t="s">
        <v>16318</v>
      </c>
      <c r="E2429" s="14" t="s">
        <v>13207</v>
      </c>
      <c r="F2429" s="14" t="s">
        <v>3523</v>
      </c>
      <c r="G2429" s="14" t="s">
        <v>16319</v>
      </c>
      <c r="H2429" s="15" t="s">
        <v>31</v>
      </c>
      <c r="I2429" s="15">
        <v>1.0</v>
      </c>
      <c r="J2429" s="15">
        <v>1.0</v>
      </c>
      <c r="K2429" s="15" t="s">
        <v>31</v>
      </c>
      <c r="L2429" s="16" t="s">
        <v>13496</v>
      </c>
      <c r="M2429" s="14" t="s">
        <v>16320</v>
      </c>
      <c r="N2429" s="14" t="s">
        <v>75</v>
      </c>
      <c r="O2429" s="16" t="s">
        <v>76</v>
      </c>
      <c r="P2429" s="14" t="s">
        <v>13498</v>
      </c>
      <c r="Q2429" s="14" t="s">
        <v>31</v>
      </c>
      <c r="R2429" s="14" t="s">
        <v>75</v>
      </c>
      <c r="S2429" s="16" t="s">
        <v>195</v>
      </c>
      <c r="T2429" s="14" t="s">
        <v>66</v>
      </c>
      <c r="U2429" s="16" t="s">
        <v>13499</v>
      </c>
      <c r="V2429" s="14" t="s">
        <v>3523</v>
      </c>
      <c r="W2429" s="14" t="s">
        <v>13207</v>
      </c>
      <c r="X2429" s="17" t="str">
        <f>HYPERLINK("https://my.pitchbook.com?p=455945-05P","View People Online")</f>
        <v>View People Online</v>
      </c>
    </row>
    <row r="2430">
      <c r="A2430" s="2" t="s">
        <v>16321</v>
      </c>
      <c r="B2430" s="2" t="s">
        <v>16322</v>
      </c>
      <c r="C2430" s="2" t="s">
        <v>16323</v>
      </c>
      <c r="D2430" s="2" t="s">
        <v>16324</v>
      </c>
      <c r="E2430" s="2" t="s">
        <v>13207</v>
      </c>
      <c r="F2430" s="2" t="s">
        <v>3523</v>
      </c>
      <c r="G2430" s="2" t="s">
        <v>16325</v>
      </c>
      <c r="H2430" s="3" t="s">
        <v>31</v>
      </c>
      <c r="I2430" s="3">
        <v>1.0</v>
      </c>
      <c r="J2430" s="3">
        <v>1.0</v>
      </c>
      <c r="K2430" s="3" t="s">
        <v>31</v>
      </c>
      <c r="L2430" s="4" t="s">
        <v>13549</v>
      </c>
      <c r="M2430" s="2" t="s">
        <v>16326</v>
      </c>
      <c r="N2430" s="2" t="s">
        <v>794</v>
      </c>
      <c r="O2430" s="4" t="s">
        <v>795</v>
      </c>
      <c r="P2430" s="2" t="s">
        <v>13551</v>
      </c>
      <c r="Q2430" s="2" t="s">
        <v>13552</v>
      </c>
      <c r="R2430" s="2" t="s">
        <v>31</v>
      </c>
      <c r="S2430" s="4" t="s">
        <v>13553</v>
      </c>
      <c r="T2430" s="2" t="s">
        <v>796</v>
      </c>
      <c r="U2430" s="4" t="s">
        <v>13554</v>
      </c>
      <c r="V2430" s="2" t="s">
        <v>3523</v>
      </c>
      <c r="W2430" s="2" t="s">
        <v>13207</v>
      </c>
      <c r="X2430" s="5" t="str">
        <f>HYPERLINK("https://my.pitchbook.com?p=435555-91P","View People Online")</f>
        <v>View People Online</v>
      </c>
    </row>
    <row r="2431">
      <c r="A2431" s="14" t="s">
        <v>16327</v>
      </c>
      <c r="B2431" s="14" t="s">
        <v>16328</v>
      </c>
      <c r="C2431" s="14" t="s">
        <v>12835</v>
      </c>
      <c r="D2431" s="14" t="s">
        <v>16329</v>
      </c>
      <c r="E2431" s="14" t="s">
        <v>13207</v>
      </c>
      <c r="F2431" s="14" t="s">
        <v>3523</v>
      </c>
      <c r="G2431" s="14" t="s">
        <v>16330</v>
      </c>
      <c r="H2431" s="15" t="s">
        <v>31</v>
      </c>
      <c r="I2431" s="15">
        <v>1.0</v>
      </c>
      <c r="J2431" s="15">
        <v>1.0</v>
      </c>
      <c r="K2431" s="15" t="s">
        <v>31</v>
      </c>
      <c r="L2431" s="16" t="s">
        <v>13657</v>
      </c>
      <c r="M2431" s="14" t="s">
        <v>16331</v>
      </c>
      <c r="N2431" s="14" t="s">
        <v>13659</v>
      </c>
      <c r="O2431" s="16" t="s">
        <v>13660</v>
      </c>
      <c r="P2431" s="14" t="s">
        <v>13661</v>
      </c>
      <c r="Q2431" s="14" t="s">
        <v>31</v>
      </c>
      <c r="R2431" s="14" t="s">
        <v>31</v>
      </c>
      <c r="S2431" s="16" t="s">
        <v>13662</v>
      </c>
      <c r="T2431" s="14" t="s">
        <v>38</v>
      </c>
      <c r="U2431" s="16" t="s">
        <v>13663</v>
      </c>
      <c r="V2431" s="14" t="s">
        <v>3523</v>
      </c>
      <c r="W2431" s="14" t="s">
        <v>13207</v>
      </c>
      <c r="X2431" s="17" t="str">
        <f>HYPERLINK("https://my.pitchbook.com?p=456774-22P","View People Online")</f>
        <v>View People Online</v>
      </c>
    </row>
    <row r="2432">
      <c r="A2432" s="2" t="s">
        <v>16332</v>
      </c>
      <c r="B2432" s="2" t="s">
        <v>16333</v>
      </c>
      <c r="C2432" s="2" t="s">
        <v>12835</v>
      </c>
      <c r="D2432" s="2" t="s">
        <v>16334</v>
      </c>
      <c r="E2432" s="2" t="s">
        <v>13207</v>
      </c>
      <c r="F2432" s="2" t="s">
        <v>13307</v>
      </c>
      <c r="G2432" s="2" t="s">
        <v>16335</v>
      </c>
      <c r="H2432" s="3" t="s">
        <v>31</v>
      </c>
      <c r="I2432" s="3">
        <v>3.0</v>
      </c>
      <c r="J2432" s="3">
        <v>3.0</v>
      </c>
      <c r="K2432" s="3" t="s">
        <v>31</v>
      </c>
      <c r="L2432" s="4" t="s">
        <v>13242</v>
      </c>
      <c r="M2432" s="2" t="s">
        <v>16336</v>
      </c>
      <c r="N2432" s="2" t="s">
        <v>9865</v>
      </c>
      <c r="O2432" s="4" t="s">
        <v>9866</v>
      </c>
      <c r="P2432" s="2" t="s">
        <v>13244</v>
      </c>
      <c r="Q2432" s="2" t="s">
        <v>31</v>
      </c>
      <c r="R2432" s="2" t="s">
        <v>31</v>
      </c>
      <c r="S2432" s="4" t="s">
        <v>13245</v>
      </c>
      <c r="T2432" s="2" t="s">
        <v>38</v>
      </c>
      <c r="U2432" s="4" t="s">
        <v>13246</v>
      </c>
      <c r="V2432" s="2" t="s">
        <v>13317</v>
      </c>
      <c r="W2432" s="2" t="s">
        <v>13207</v>
      </c>
      <c r="X2432" s="5" t="str">
        <f>HYPERLINK("https://my.pitchbook.com?p=414162-28P","View People Online")</f>
        <v>View People Online</v>
      </c>
    </row>
    <row r="2433">
      <c r="A2433" s="14" t="s">
        <v>16337</v>
      </c>
      <c r="B2433" s="14" t="s">
        <v>16338</v>
      </c>
      <c r="C2433" s="14" t="s">
        <v>16339</v>
      </c>
      <c r="D2433" s="14" t="s">
        <v>863</v>
      </c>
      <c r="E2433" s="14" t="s">
        <v>13207</v>
      </c>
      <c r="F2433" s="14" t="s">
        <v>29</v>
      </c>
      <c r="G2433" s="14" t="s">
        <v>16340</v>
      </c>
      <c r="H2433" s="15" t="s">
        <v>31</v>
      </c>
      <c r="I2433" s="15">
        <v>1.0</v>
      </c>
      <c r="J2433" s="15">
        <v>1.0</v>
      </c>
      <c r="K2433" s="15" t="s">
        <v>31</v>
      </c>
      <c r="L2433" s="16" t="s">
        <v>13378</v>
      </c>
      <c r="M2433" s="14" t="s">
        <v>16341</v>
      </c>
      <c r="N2433" s="14" t="s">
        <v>429</v>
      </c>
      <c r="O2433" s="16" t="s">
        <v>430</v>
      </c>
      <c r="P2433" s="14" t="s">
        <v>13380</v>
      </c>
      <c r="Q2433" s="14" t="s">
        <v>31</v>
      </c>
      <c r="R2433" s="14" t="s">
        <v>31</v>
      </c>
      <c r="S2433" s="16" t="s">
        <v>13381</v>
      </c>
      <c r="T2433" s="14" t="s">
        <v>433</v>
      </c>
      <c r="U2433" s="16" t="s">
        <v>13382</v>
      </c>
      <c r="V2433" s="14" t="s">
        <v>29</v>
      </c>
      <c r="W2433" s="14" t="s">
        <v>13207</v>
      </c>
      <c r="X2433" s="17" t="str">
        <f>HYPERLINK("https://my.pitchbook.com?p=436126-24P","View People Online")</f>
        <v>View People Online</v>
      </c>
    </row>
    <row r="2434">
      <c r="A2434" s="2" t="s">
        <v>16342</v>
      </c>
      <c r="B2434" s="2" t="s">
        <v>16343</v>
      </c>
      <c r="C2434" s="2" t="s">
        <v>7194</v>
      </c>
      <c r="D2434" s="2" t="s">
        <v>16344</v>
      </c>
      <c r="E2434" s="2" t="s">
        <v>13207</v>
      </c>
      <c r="F2434" s="2" t="s">
        <v>13307</v>
      </c>
      <c r="G2434" s="2" t="s">
        <v>16345</v>
      </c>
      <c r="H2434" s="3" t="s">
        <v>31</v>
      </c>
      <c r="I2434" s="3">
        <v>1.0</v>
      </c>
      <c r="J2434" s="3">
        <v>1.0</v>
      </c>
      <c r="K2434" s="3" t="s">
        <v>31</v>
      </c>
      <c r="L2434" s="4" t="s">
        <v>13540</v>
      </c>
      <c r="M2434" s="2" t="s">
        <v>16346</v>
      </c>
      <c r="N2434" s="2" t="s">
        <v>418</v>
      </c>
      <c r="O2434" s="4" t="s">
        <v>419</v>
      </c>
      <c r="P2434" s="2" t="s">
        <v>13542</v>
      </c>
      <c r="Q2434" s="2" t="s">
        <v>31</v>
      </c>
      <c r="R2434" s="2" t="s">
        <v>31</v>
      </c>
      <c r="S2434" s="4" t="s">
        <v>2664</v>
      </c>
      <c r="T2434" s="2" t="s">
        <v>422</v>
      </c>
      <c r="U2434" s="4" t="s">
        <v>13543</v>
      </c>
      <c r="V2434" s="2" t="s">
        <v>13317</v>
      </c>
      <c r="W2434" s="2" t="s">
        <v>13207</v>
      </c>
      <c r="X2434" s="5" t="str">
        <f>HYPERLINK("https://my.pitchbook.com?p=455813-11P","View People Online")</f>
        <v>View People Online</v>
      </c>
    </row>
    <row r="2435">
      <c r="A2435" s="6" t="s">
        <v>16347</v>
      </c>
      <c r="B2435" s="6" t="s">
        <v>16348</v>
      </c>
      <c r="C2435" s="6" t="s">
        <v>7194</v>
      </c>
      <c r="D2435" s="6" t="s">
        <v>16349</v>
      </c>
      <c r="E2435" s="6" t="s">
        <v>13207</v>
      </c>
      <c r="F2435" s="6" t="s">
        <v>13218</v>
      </c>
      <c r="G2435" s="6" t="s">
        <v>16350</v>
      </c>
      <c r="H2435" s="7" t="s">
        <v>31</v>
      </c>
      <c r="I2435" s="7">
        <v>1.0</v>
      </c>
      <c r="J2435" s="7">
        <v>1.0</v>
      </c>
      <c r="K2435" s="7" t="s">
        <v>31</v>
      </c>
      <c r="L2435" s="8" t="s">
        <v>13540</v>
      </c>
      <c r="M2435" s="6" t="s">
        <v>31</v>
      </c>
      <c r="N2435" s="6" t="s">
        <v>418</v>
      </c>
      <c r="O2435" s="8" t="s">
        <v>419</v>
      </c>
      <c r="P2435" s="6" t="s">
        <v>13542</v>
      </c>
      <c r="Q2435" s="6" t="s">
        <v>31</v>
      </c>
      <c r="R2435" s="6" t="s">
        <v>31</v>
      </c>
      <c r="S2435" s="8" t="s">
        <v>2664</v>
      </c>
      <c r="T2435" s="6" t="s">
        <v>422</v>
      </c>
      <c r="U2435" s="8" t="s">
        <v>13543</v>
      </c>
      <c r="V2435" s="6" t="s">
        <v>13218</v>
      </c>
      <c r="W2435" s="6" t="s">
        <v>13207</v>
      </c>
      <c r="X2435" s="9" t="str">
        <f>HYPERLINK("https://my.pitchbook.com?p=435275-56P","View People Online")</f>
        <v>View People Online</v>
      </c>
    </row>
    <row r="2436">
      <c r="A2436" s="2" t="s">
        <v>16351</v>
      </c>
      <c r="B2436" s="2" t="s">
        <v>16352</v>
      </c>
      <c r="C2436" s="2" t="s">
        <v>2794</v>
      </c>
      <c r="D2436" s="2" t="s">
        <v>16353</v>
      </c>
      <c r="E2436" s="2" t="s">
        <v>13207</v>
      </c>
      <c r="F2436" s="2" t="s">
        <v>13218</v>
      </c>
      <c r="G2436" s="2" t="s">
        <v>16354</v>
      </c>
      <c r="H2436" s="3" t="s">
        <v>31</v>
      </c>
      <c r="I2436" s="3">
        <v>1.0</v>
      </c>
      <c r="J2436" s="3">
        <v>1.0</v>
      </c>
      <c r="K2436" s="3" t="s">
        <v>31</v>
      </c>
      <c r="L2436" s="4" t="s">
        <v>13540</v>
      </c>
      <c r="M2436" s="2" t="s">
        <v>16355</v>
      </c>
      <c r="N2436" s="2" t="s">
        <v>418</v>
      </c>
      <c r="O2436" s="4" t="s">
        <v>419</v>
      </c>
      <c r="P2436" s="2" t="s">
        <v>13542</v>
      </c>
      <c r="Q2436" s="2" t="s">
        <v>31</v>
      </c>
      <c r="R2436" s="2" t="s">
        <v>31</v>
      </c>
      <c r="S2436" s="4" t="s">
        <v>2664</v>
      </c>
      <c r="T2436" s="2" t="s">
        <v>422</v>
      </c>
      <c r="U2436" s="4" t="s">
        <v>13543</v>
      </c>
      <c r="V2436" s="2" t="s">
        <v>13218</v>
      </c>
      <c r="W2436" s="2" t="s">
        <v>13207</v>
      </c>
      <c r="X2436" s="5" t="str">
        <f>HYPERLINK("https://my.pitchbook.com?p=435609-37P","View People Online")</f>
        <v>View People Online</v>
      </c>
    </row>
    <row r="2437">
      <c r="A2437" s="14" t="s">
        <v>16356</v>
      </c>
      <c r="B2437" s="14" t="s">
        <v>16357</v>
      </c>
      <c r="C2437" s="14" t="s">
        <v>16358</v>
      </c>
      <c r="D2437" s="14" t="s">
        <v>16359</v>
      </c>
      <c r="E2437" s="14" t="s">
        <v>13207</v>
      </c>
      <c r="F2437" s="14" t="s">
        <v>3523</v>
      </c>
      <c r="G2437" s="14" t="s">
        <v>16360</v>
      </c>
      <c r="H2437" s="15" t="s">
        <v>31</v>
      </c>
      <c r="I2437" s="15">
        <v>1.0</v>
      </c>
      <c r="J2437" s="15">
        <v>1.0</v>
      </c>
      <c r="K2437" s="15" t="s">
        <v>31</v>
      </c>
      <c r="L2437" s="16" t="s">
        <v>13299</v>
      </c>
      <c r="M2437" s="14" t="s">
        <v>16361</v>
      </c>
      <c r="N2437" s="14" t="s">
        <v>601</v>
      </c>
      <c r="O2437" s="16" t="s">
        <v>602</v>
      </c>
      <c r="P2437" s="14" t="s">
        <v>13301</v>
      </c>
      <c r="Q2437" s="14" t="s">
        <v>13302</v>
      </c>
      <c r="R2437" s="14" t="s">
        <v>31</v>
      </c>
      <c r="S2437" s="16" t="s">
        <v>31</v>
      </c>
      <c r="T2437" s="14" t="s">
        <v>603</v>
      </c>
      <c r="U2437" s="16" t="s">
        <v>13303</v>
      </c>
      <c r="V2437" s="14" t="s">
        <v>3523</v>
      </c>
      <c r="W2437" s="14" t="s">
        <v>13207</v>
      </c>
      <c r="X2437" s="17" t="str">
        <f>HYPERLINK("https://my.pitchbook.com?p=455284-72P","View People Online")</f>
        <v>View People Online</v>
      </c>
    </row>
    <row r="2438">
      <c r="A2438" s="10" t="s">
        <v>16362</v>
      </c>
      <c r="B2438" s="10" t="s">
        <v>16363</v>
      </c>
      <c r="C2438" s="10" t="s">
        <v>16364</v>
      </c>
      <c r="D2438" s="10" t="s">
        <v>233</v>
      </c>
      <c r="E2438" s="10" t="s">
        <v>13207</v>
      </c>
      <c r="F2438" s="10" t="s">
        <v>3523</v>
      </c>
      <c r="G2438" s="10" t="s">
        <v>16365</v>
      </c>
      <c r="H2438" s="11" t="s">
        <v>31</v>
      </c>
      <c r="I2438" s="11">
        <v>1.0</v>
      </c>
      <c r="J2438" s="11">
        <v>1.0</v>
      </c>
      <c r="K2438" s="11" t="s">
        <v>31</v>
      </c>
      <c r="L2438" s="12" t="s">
        <v>13423</v>
      </c>
      <c r="M2438" s="10" t="s">
        <v>16366</v>
      </c>
      <c r="N2438" s="10" t="s">
        <v>243</v>
      </c>
      <c r="O2438" s="12" t="s">
        <v>244</v>
      </c>
      <c r="P2438" s="10" t="s">
        <v>13425</v>
      </c>
      <c r="Q2438" s="10" t="s">
        <v>31</v>
      </c>
      <c r="R2438" s="10" t="s">
        <v>247</v>
      </c>
      <c r="S2438" s="12" t="s">
        <v>13426</v>
      </c>
      <c r="T2438" s="10" t="s">
        <v>249</v>
      </c>
      <c r="U2438" s="12" t="s">
        <v>31</v>
      </c>
      <c r="V2438" s="10" t="s">
        <v>3523</v>
      </c>
      <c r="W2438" s="10" t="s">
        <v>13207</v>
      </c>
      <c r="X2438" s="13" t="str">
        <f>HYPERLINK("https://my.pitchbook.com?p=455721-22P","View People Online")</f>
        <v>View People Online</v>
      </c>
    </row>
    <row r="2439">
      <c r="A2439" s="14" t="s">
        <v>16367</v>
      </c>
      <c r="B2439" s="14" t="s">
        <v>16368</v>
      </c>
      <c r="C2439" s="14" t="s">
        <v>3530</v>
      </c>
      <c r="D2439" s="14" t="s">
        <v>16369</v>
      </c>
      <c r="E2439" s="14" t="s">
        <v>13207</v>
      </c>
      <c r="F2439" s="14" t="s">
        <v>13218</v>
      </c>
      <c r="G2439" s="14" t="s">
        <v>16370</v>
      </c>
      <c r="H2439" s="15" t="s">
        <v>31</v>
      </c>
      <c r="I2439" s="15">
        <v>1.0</v>
      </c>
      <c r="J2439" s="15">
        <v>1.0</v>
      </c>
      <c r="K2439" s="15" t="s">
        <v>31</v>
      </c>
      <c r="L2439" s="16" t="s">
        <v>13688</v>
      </c>
      <c r="M2439" s="14" t="s">
        <v>16371</v>
      </c>
      <c r="N2439" s="14" t="s">
        <v>3603</v>
      </c>
      <c r="O2439" s="16" t="s">
        <v>3604</v>
      </c>
      <c r="P2439" s="14" t="s">
        <v>13690</v>
      </c>
      <c r="Q2439" s="14" t="s">
        <v>13691</v>
      </c>
      <c r="R2439" s="14" t="s">
        <v>31</v>
      </c>
      <c r="S2439" s="16" t="s">
        <v>31</v>
      </c>
      <c r="T2439" s="14" t="s">
        <v>3603</v>
      </c>
      <c r="U2439" s="16" t="s">
        <v>13692</v>
      </c>
      <c r="V2439" s="14" t="s">
        <v>13218</v>
      </c>
      <c r="W2439" s="14" t="s">
        <v>13207</v>
      </c>
      <c r="X2439" s="17" t="str">
        <f>HYPERLINK("https://my.pitchbook.com?p=435915-82P","View People Online")</f>
        <v>View People Online</v>
      </c>
    </row>
    <row r="2440">
      <c r="A2440" s="10" t="s">
        <v>16372</v>
      </c>
      <c r="B2440" s="10" t="s">
        <v>16373</v>
      </c>
      <c r="C2440" s="10" t="s">
        <v>16374</v>
      </c>
      <c r="D2440" s="10" t="s">
        <v>16375</v>
      </c>
      <c r="E2440" s="10" t="s">
        <v>13207</v>
      </c>
      <c r="F2440" s="10" t="s">
        <v>3523</v>
      </c>
      <c r="G2440" s="10" t="s">
        <v>16376</v>
      </c>
      <c r="H2440" s="11" t="s">
        <v>31</v>
      </c>
      <c r="I2440" s="11">
        <v>1.0</v>
      </c>
      <c r="J2440" s="11">
        <v>1.0</v>
      </c>
      <c r="K2440" s="11" t="s">
        <v>31</v>
      </c>
      <c r="L2440" s="12" t="s">
        <v>13345</v>
      </c>
      <c r="M2440" s="10" t="s">
        <v>16377</v>
      </c>
      <c r="N2440" s="10" t="s">
        <v>2764</v>
      </c>
      <c r="O2440" s="12" t="s">
        <v>2765</v>
      </c>
      <c r="P2440" s="10" t="s">
        <v>13347</v>
      </c>
      <c r="Q2440" s="10" t="s">
        <v>31</v>
      </c>
      <c r="R2440" s="10" t="s">
        <v>31</v>
      </c>
      <c r="S2440" s="12" t="s">
        <v>13348</v>
      </c>
      <c r="T2440" s="10" t="s">
        <v>2768</v>
      </c>
      <c r="U2440" s="12" t="s">
        <v>13349</v>
      </c>
      <c r="V2440" s="10" t="s">
        <v>3523</v>
      </c>
      <c r="W2440" s="10" t="s">
        <v>13207</v>
      </c>
      <c r="X2440" s="13" t="str">
        <f>HYPERLINK("https://my.pitchbook.com?p=455257-00P","View People Online")</f>
        <v>View People Online</v>
      </c>
    </row>
    <row r="2441">
      <c r="A2441" s="14" t="s">
        <v>16378</v>
      </c>
      <c r="B2441" s="14" t="s">
        <v>16379</v>
      </c>
      <c r="C2441" s="14" t="s">
        <v>16374</v>
      </c>
      <c r="D2441" s="14" t="s">
        <v>16380</v>
      </c>
      <c r="E2441" s="14" t="s">
        <v>13207</v>
      </c>
      <c r="F2441" s="14" t="s">
        <v>13240</v>
      </c>
      <c r="G2441" s="14" t="s">
        <v>16381</v>
      </c>
      <c r="H2441" s="15" t="s">
        <v>31</v>
      </c>
      <c r="I2441" s="15">
        <v>1.0</v>
      </c>
      <c r="J2441" s="15">
        <v>1.0</v>
      </c>
      <c r="K2441" s="15" t="s">
        <v>31</v>
      </c>
      <c r="L2441" s="16" t="s">
        <v>13378</v>
      </c>
      <c r="M2441" s="14" t="s">
        <v>16382</v>
      </c>
      <c r="N2441" s="14" t="s">
        <v>429</v>
      </c>
      <c r="O2441" s="16" t="s">
        <v>430</v>
      </c>
      <c r="P2441" s="14" t="s">
        <v>13380</v>
      </c>
      <c r="Q2441" s="14" t="s">
        <v>31</v>
      </c>
      <c r="R2441" s="14" t="s">
        <v>31</v>
      </c>
      <c r="S2441" s="16" t="s">
        <v>13381</v>
      </c>
      <c r="T2441" s="14" t="s">
        <v>433</v>
      </c>
      <c r="U2441" s="16" t="s">
        <v>13382</v>
      </c>
      <c r="V2441" s="14" t="s">
        <v>16383</v>
      </c>
      <c r="W2441" s="14" t="s">
        <v>13207</v>
      </c>
      <c r="X2441" s="17" t="str">
        <f>HYPERLINK("https://my.pitchbook.com?p=456765-67P","View People Online")</f>
        <v>View People Online</v>
      </c>
    </row>
    <row r="2442">
      <c r="A2442" s="10" t="s">
        <v>16384</v>
      </c>
      <c r="B2442" s="10" t="s">
        <v>16385</v>
      </c>
      <c r="C2442" s="10" t="s">
        <v>16386</v>
      </c>
      <c r="D2442" s="10" t="s">
        <v>16387</v>
      </c>
      <c r="E2442" s="10" t="s">
        <v>13207</v>
      </c>
      <c r="F2442" s="10" t="s">
        <v>29</v>
      </c>
      <c r="G2442" s="10" t="s">
        <v>16388</v>
      </c>
      <c r="H2442" s="11" t="s">
        <v>31</v>
      </c>
      <c r="I2442" s="11">
        <v>1.0</v>
      </c>
      <c r="J2442" s="11">
        <v>1.0</v>
      </c>
      <c r="K2442" s="11" t="s">
        <v>31</v>
      </c>
      <c r="L2442" s="12" t="s">
        <v>14014</v>
      </c>
      <c r="M2442" s="10" t="s">
        <v>16389</v>
      </c>
      <c r="N2442" s="10" t="s">
        <v>14016</v>
      </c>
      <c r="O2442" s="12" t="s">
        <v>14017</v>
      </c>
      <c r="P2442" s="10" t="s">
        <v>14018</v>
      </c>
      <c r="Q2442" s="10" t="s">
        <v>14019</v>
      </c>
      <c r="R2442" s="10" t="s">
        <v>31</v>
      </c>
      <c r="S2442" s="12" t="s">
        <v>14020</v>
      </c>
      <c r="T2442" s="10" t="s">
        <v>38</v>
      </c>
      <c r="U2442" s="12" t="s">
        <v>14014</v>
      </c>
      <c r="V2442" s="10" t="s">
        <v>29</v>
      </c>
      <c r="W2442" s="10" t="s">
        <v>13207</v>
      </c>
      <c r="X2442" s="13" t="str">
        <f>HYPERLINK("https://my.pitchbook.com?p=436155-49P","View People Online")</f>
        <v>View People Online</v>
      </c>
    </row>
    <row r="2443">
      <c r="A2443" s="6" t="s">
        <v>16390</v>
      </c>
      <c r="B2443" s="6" t="s">
        <v>16391</v>
      </c>
      <c r="C2443" s="6" t="s">
        <v>16392</v>
      </c>
      <c r="D2443" s="6" t="s">
        <v>16393</v>
      </c>
      <c r="E2443" s="6" t="s">
        <v>13207</v>
      </c>
      <c r="F2443" s="6" t="s">
        <v>3523</v>
      </c>
      <c r="G2443" s="6" t="s">
        <v>16394</v>
      </c>
      <c r="H2443" s="7" t="s">
        <v>31</v>
      </c>
      <c r="I2443" s="7">
        <v>1.0</v>
      </c>
      <c r="J2443" s="7">
        <v>1.0</v>
      </c>
      <c r="K2443" s="7" t="s">
        <v>31</v>
      </c>
      <c r="L2443" s="8" t="s">
        <v>13540</v>
      </c>
      <c r="M2443" s="6" t="s">
        <v>16395</v>
      </c>
      <c r="N2443" s="6" t="s">
        <v>418</v>
      </c>
      <c r="O2443" s="8" t="s">
        <v>419</v>
      </c>
      <c r="P2443" s="6" t="s">
        <v>13542</v>
      </c>
      <c r="Q2443" s="6" t="s">
        <v>31</v>
      </c>
      <c r="R2443" s="6" t="s">
        <v>31</v>
      </c>
      <c r="S2443" s="8" t="s">
        <v>2664</v>
      </c>
      <c r="T2443" s="6" t="s">
        <v>422</v>
      </c>
      <c r="U2443" s="8" t="s">
        <v>13543</v>
      </c>
      <c r="V2443" s="6" t="s">
        <v>3523</v>
      </c>
      <c r="W2443" s="6" t="s">
        <v>13207</v>
      </c>
      <c r="X2443" s="9" t="str">
        <f>HYPERLINK("https://my.pitchbook.com?p=436128-94P","View People Online")</f>
        <v>View People Online</v>
      </c>
    </row>
    <row r="2444">
      <c r="A2444" s="10" t="s">
        <v>16396</v>
      </c>
      <c r="B2444" s="10" t="s">
        <v>16397</v>
      </c>
      <c r="C2444" s="10" t="s">
        <v>16392</v>
      </c>
      <c r="D2444" s="10" t="s">
        <v>16398</v>
      </c>
      <c r="E2444" s="10" t="s">
        <v>13207</v>
      </c>
      <c r="F2444" s="10" t="s">
        <v>3523</v>
      </c>
      <c r="G2444" s="10" t="s">
        <v>16399</v>
      </c>
      <c r="H2444" s="11" t="s">
        <v>31</v>
      </c>
      <c r="I2444" s="11">
        <v>1.0</v>
      </c>
      <c r="J2444" s="11">
        <v>1.0</v>
      </c>
      <c r="K2444" s="11" t="s">
        <v>31</v>
      </c>
      <c r="L2444" s="12" t="s">
        <v>13274</v>
      </c>
      <c r="M2444" s="10" t="s">
        <v>16400</v>
      </c>
      <c r="N2444" s="10" t="s">
        <v>1181</v>
      </c>
      <c r="O2444" s="12" t="s">
        <v>1182</v>
      </c>
      <c r="P2444" s="10" t="s">
        <v>13276</v>
      </c>
      <c r="Q2444" s="10" t="s">
        <v>31</v>
      </c>
      <c r="R2444" s="10" t="s">
        <v>1185</v>
      </c>
      <c r="S2444" s="12" t="s">
        <v>4438</v>
      </c>
      <c r="T2444" s="10" t="s">
        <v>66</v>
      </c>
      <c r="U2444" s="12" t="s">
        <v>13277</v>
      </c>
      <c r="V2444" s="10" t="s">
        <v>3523</v>
      </c>
      <c r="W2444" s="10" t="s">
        <v>13207</v>
      </c>
      <c r="X2444" s="13" t="str">
        <f>HYPERLINK("https://my.pitchbook.com?p=436422-16P","View People Online")</f>
        <v>View People Online</v>
      </c>
    </row>
    <row r="2445">
      <c r="A2445" s="14" t="s">
        <v>16401</v>
      </c>
      <c r="B2445" s="14" t="s">
        <v>16402</v>
      </c>
      <c r="C2445" s="14" t="s">
        <v>16392</v>
      </c>
      <c r="D2445" s="14" t="s">
        <v>16403</v>
      </c>
      <c r="E2445" s="14" t="s">
        <v>13207</v>
      </c>
      <c r="F2445" s="14" t="s">
        <v>13218</v>
      </c>
      <c r="G2445" s="14" t="s">
        <v>16404</v>
      </c>
      <c r="H2445" s="15" t="s">
        <v>31</v>
      </c>
      <c r="I2445" s="15">
        <v>1.0</v>
      </c>
      <c r="J2445" s="15">
        <v>1.0</v>
      </c>
      <c r="K2445" s="15" t="s">
        <v>31</v>
      </c>
      <c r="L2445" s="16" t="s">
        <v>31</v>
      </c>
      <c r="M2445" s="14" t="s">
        <v>16405</v>
      </c>
      <c r="N2445" s="14" t="s">
        <v>2913</v>
      </c>
      <c r="O2445" s="16" t="s">
        <v>2914</v>
      </c>
      <c r="P2445" s="14" t="s">
        <v>13560</v>
      </c>
      <c r="Q2445" s="14" t="s">
        <v>13561</v>
      </c>
      <c r="R2445" s="14" t="s">
        <v>31</v>
      </c>
      <c r="S2445" s="16" t="s">
        <v>31</v>
      </c>
      <c r="T2445" s="14" t="s">
        <v>2917</v>
      </c>
      <c r="U2445" s="16" t="s">
        <v>31</v>
      </c>
      <c r="V2445" s="14" t="s">
        <v>14182</v>
      </c>
      <c r="W2445" s="14" t="s">
        <v>13207</v>
      </c>
      <c r="X2445" s="17" t="str">
        <f>HYPERLINK("https://my.pitchbook.com?p=195937-48P","View People Online")</f>
        <v>View People Online</v>
      </c>
    </row>
    <row r="2446">
      <c r="A2446" s="10" t="s">
        <v>16406</v>
      </c>
      <c r="B2446" s="10" t="s">
        <v>16407</v>
      </c>
      <c r="C2446" s="10" t="s">
        <v>16392</v>
      </c>
      <c r="D2446" s="10" t="s">
        <v>16408</v>
      </c>
      <c r="E2446" s="10" t="s">
        <v>13207</v>
      </c>
      <c r="F2446" s="10" t="s">
        <v>29</v>
      </c>
      <c r="G2446" s="10" t="s">
        <v>16409</v>
      </c>
      <c r="H2446" s="11" t="s">
        <v>31</v>
      </c>
      <c r="I2446" s="11">
        <v>1.0</v>
      </c>
      <c r="J2446" s="11">
        <v>1.0</v>
      </c>
      <c r="K2446" s="11" t="s">
        <v>31</v>
      </c>
      <c r="L2446" s="12" t="s">
        <v>13724</v>
      </c>
      <c r="M2446" s="10" t="s">
        <v>16410</v>
      </c>
      <c r="N2446" s="10" t="s">
        <v>34</v>
      </c>
      <c r="O2446" s="12" t="s">
        <v>35</v>
      </c>
      <c r="P2446" s="10" t="s">
        <v>13726</v>
      </c>
      <c r="Q2446" s="10" t="s">
        <v>31</v>
      </c>
      <c r="R2446" s="10" t="s">
        <v>31</v>
      </c>
      <c r="S2446" s="12" t="s">
        <v>13727</v>
      </c>
      <c r="T2446" s="10" t="s">
        <v>38</v>
      </c>
      <c r="U2446" s="12" t="s">
        <v>13728</v>
      </c>
      <c r="V2446" s="10" t="s">
        <v>16411</v>
      </c>
      <c r="W2446" s="10" t="s">
        <v>13207</v>
      </c>
      <c r="X2446" s="13" t="str">
        <f>HYPERLINK("https://my.pitchbook.com?p=455363-47P","View People Online")</f>
        <v>View People Online</v>
      </c>
    </row>
    <row r="2447">
      <c r="A2447" s="6" t="s">
        <v>16412</v>
      </c>
      <c r="B2447" s="6" t="s">
        <v>16413</v>
      </c>
      <c r="C2447" s="6" t="s">
        <v>2800</v>
      </c>
      <c r="D2447" s="6" t="s">
        <v>16414</v>
      </c>
      <c r="E2447" s="6" t="s">
        <v>13207</v>
      </c>
      <c r="F2447" s="6" t="s">
        <v>13218</v>
      </c>
      <c r="G2447" s="6" t="s">
        <v>16415</v>
      </c>
      <c r="H2447" s="7" t="s">
        <v>31</v>
      </c>
      <c r="I2447" s="7">
        <v>1.0</v>
      </c>
      <c r="J2447" s="7">
        <v>1.0</v>
      </c>
      <c r="K2447" s="7" t="s">
        <v>31</v>
      </c>
      <c r="L2447" s="8" t="s">
        <v>13531</v>
      </c>
      <c r="M2447" s="6" t="s">
        <v>16416</v>
      </c>
      <c r="N2447" s="6" t="s">
        <v>2273</v>
      </c>
      <c r="O2447" s="8" t="s">
        <v>2274</v>
      </c>
      <c r="P2447" s="6" t="s">
        <v>13533</v>
      </c>
      <c r="Q2447" s="6" t="s">
        <v>31</v>
      </c>
      <c r="R2447" s="6" t="s">
        <v>31</v>
      </c>
      <c r="S2447" s="8" t="s">
        <v>13534</v>
      </c>
      <c r="T2447" s="6" t="s">
        <v>2278</v>
      </c>
      <c r="U2447" s="8" t="s">
        <v>13535</v>
      </c>
      <c r="V2447" s="6" t="s">
        <v>13218</v>
      </c>
      <c r="W2447" s="6" t="s">
        <v>13207</v>
      </c>
      <c r="X2447" s="9" t="str">
        <f>HYPERLINK("https://my.pitchbook.com?p=456853-33P","View People Online")</f>
        <v>View People Online</v>
      </c>
    </row>
    <row r="2448">
      <c r="A2448" s="2" t="s">
        <v>16417</v>
      </c>
      <c r="B2448" s="2" t="s">
        <v>16418</v>
      </c>
      <c r="C2448" s="2" t="s">
        <v>2800</v>
      </c>
      <c r="D2448" s="2" t="s">
        <v>16419</v>
      </c>
      <c r="E2448" s="2" t="s">
        <v>13207</v>
      </c>
      <c r="F2448" s="2" t="s">
        <v>29</v>
      </c>
      <c r="G2448" s="2" t="s">
        <v>16420</v>
      </c>
      <c r="H2448" s="3" t="s">
        <v>31</v>
      </c>
      <c r="I2448" s="3">
        <v>1.0</v>
      </c>
      <c r="J2448" s="3">
        <v>1.0</v>
      </c>
      <c r="K2448" s="3" t="s">
        <v>31</v>
      </c>
      <c r="L2448" s="4" t="s">
        <v>15050</v>
      </c>
      <c r="M2448" s="2" t="s">
        <v>16421</v>
      </c>
      <c r="N2448" s="2" t="s">
        <v>15052</v>
      </c>
      <c r="O2448" s="4" t="s">
        <v>15053</v>
      </c>
      <c r="P2448" s="2" t="s">
        <v>15054</v>
      </c>
      <c r="Q2448" s="2" t="s">
        <v>15055</v>
      </c>
      <c r="R2448" s="2" t="s">
        <v>31</v>
      </c>
      <c r="S2448" s="4" t="s">
        <v>15056</v>
      </c>
      <c r="T2448" s="2" t="s">
        <v>38</v>
      </c>
      <c r="U2448" s="4" t="s">
        <v>15057</v>
      </c>
      <c r="V2448" s="2" t="s">
        <v>29</v>
      </c>
      <c r="W2448" s="2" t="s">
        <v>13207</v>
      </c>
      <c r="X2448" s="5" t="str">
        <f>HYPERLINK("https://my.pitchbook.com?p=455336-47P","View People Online")</f>
        <v>View People Online</v>
      </c>
    </row>
    <row r="2449">
      <c r="A2449" s="14" t="s">
        <v>16422</v>
      </c>
      <c r="B2449" s="14" t="s">
        <v>16423</v>
      </c>
      <c r="C2449" s="14" t="s">
        <v>2800</v>
      </c>
      <c r="D2449" s="14" t="s">
        <v>16424</v>
      </c>
      <c r="E2449" s="14" t="s">
        <v>13207</v>
      </c>
      <c r="F2449" s="14" t="s">
        <v>3523</v>
      </c>
      <c r="G2449" s="14" t="s">
        <v>16425</v>
      </c>
      <c r="H2449" s="15" t="s">
        <v>31</v>
      </c>
      <c r="I2449" s="15">
        <v>1.0</v>
      </c>
      <c r="J2449" s="15">
        <v>1.0</v>
      </c>
      <c r="K2449" s="15" t="s">
        <v>31</v>
      </c>
      <c r="L2449" s="16" t="s">
        <v>13242</v>
      </c>
      <c r="M2449" s="14" t="s">
        <v>16426</v>
      </c>
      <c r="N2449" s="14" t="s">
        <v>9865</v>
      </c>
      <c r="O2449" s="16" t="s">
        <v>9866</v>
      </c>
      <c r="P2449" s="14" t="s">
        <v>13244</v>
      </c>
      <c r="Q2449" s="14" t="s">
        <v>31</v>
      </c>
      <c r="R2449" s="14" t="s">
        <v>31</v>
      </c>
      <c r="S2449" s="16" t="s">
        <v>13245</v>
      </c>
      <c r="T2449" s="14" t="s">
        <v>38</v>
      </c>
      <c r="U2449" s="16" t="s">
        <v>13246</v>
      </c>
      <c r="V2449" s="14" t="s">
        <v>3523</v>
      </c>
      <c r="W2449" s="14" t="s">
        <v>13207</v>
      </c>
      <c r="X2449" s="17" t="str">
        <f>HYPERLINK("https://my.pitchbook.com?p=435288-43P","View People Online")</f>
        <v>View People Online</v>
      </c>
    </row>
    <row r="2450">
      <c r="A2450" s="10" t="s">
        <v>16427</v>
      </c>
      <c r="B2450" s="10" t="s">
        <v>16428</v>
      </c>
      <c r="C2450" s="10" t="s">
        <v>2800</v>
      </c>
      <c r="D2450" s="10" t="s">
        <v>12570</v>
      </c>
      <c r="E2450" s="10" t="s">
        <v>13207</v>
      </c>
      <c r="F2450" s="10" t="s">
        <v>3523</v>
      </c>
      <c r="G2450" s="10" t="s">
        <v>16429</v>
      </c>
      <c r="H2450" s="11" t="s">
        <v>31</v>
      </c>
      <c r="I2450" s="11">
        <v>1.0</v>
      </c>
      <c r="J2450" s="11">
        <v>1.0</v>
      </c>
      <c r="K2450" s="11" t="s">
        <v>31</v>
      </c>
      <c r="L2450" s="12" t="s">
        <v>14014</v>
      </c>
      <c r="M2450" s="10" t="s">
        <v>16430</v>
      </c>
      <c r="N2450" s="10" t="s">
        <v>14016</v>
      </c>
      <c r="O2450" s="12" t="s">
        <v>14017</v>
      </c>
      <c r="P2450" s="10" t="s">
        <v>14018</v>
      </c>
      <c r="Q2450" s="10" t="s">
        <v>14019</v>
      </c>
      <c r="R2450" s="10" t="s">
        <v>31</v>
      </c>
      <c r="S2450" s="12" t="s">
        <v>14020</v>
      </c>
      <c r="T2450" s="10" t="s">
        <v>38</v>
      </c>
      <c r="U2450" s="12" t="s">
        <v>14014</v>
      </c>
      <c r="V2450" s="10" t="s">
        <v>3523</v>
      </c>
      <c r="W2450" s="10" t="s">
        <v>13207</v>
      </c>
      <c r="X2450" s="13" t="str">
        <f>HYPERLINK("https://my.pitchbook.com?p=435394-63P","View People Online")</f>
        <v>View People Online</v>
      </c>
    </row>
    <row r="2451">
      <c r="A2451" s="14" t="s">
        <v>16431</v>
      </c>
      <c r="B2451" s="14" t="s">
        <v>16432</v>
      </c>
      <c r="C2451" s="14" t="s">
        <v>2800</v>
      </c>
      <c r="D2451" s="14" t="s">
        <v>16433</v>
      </c>
      <c r="E2451" s="14" t="s">
        <v>13207</v>
      </c>
      <c r="F2451" s="14" t="s">
        <v>3523</v>
      </c>
      <c r="G2451" s="14" t="s">
        <v>16434</v>
      </c>
      <c r="H2451" s="15" t="s">
        <v>31</v>
      </c>
      <c r="I2451" s="15">
        <v>1.0</v>
      </c>
      <c r="J2451" s="15">
        <v>1.0</v>
      </c>
      <c r="K2451" s="15" t="s">
        <v>31</v>
      </c>
      <c r="L2451" s="16" t="s">
        <v>13657</v>
      </c>
      <c r="M2451" s="14" t="s">
        <v>16435</v>
      </c>
      <c r="N2451" s="14" t="s">
        <v>13659</v>
      </c>
      <c r="O2451" s="16" t="s">
        <v>13660</v>
      </c>
      <c r="P2451" s="14" t="s">
        <v>13661</v>
      </c>
      <c r="Q2451" s="14" t="s">
        <v>31</v>
      </c>
      <c r="R2451" s="14" t="s">
        <v>31</v>
      </c>
      <c r="S2451" s="16" t="s">
        <v>13662</v>
      </c>
      <c r="T2451" s="14" t="s">
        <v>38</v>
      </c>
      <c r="U2451" s="16" t="s">
        <v>13663</v>
      </c>
      <c r="V2451" s="14" t="s">
        <v>3523</v>
      </c>
      <c r="W2451" s="14" t="s">
        <v>13207</v>
      </c>
      <c r="X2451" s="17" t="str">
        <f>HYPERLINK("https://my.pitchbook.com?p=436180-15P","View People Online")</f>
        <v>View People Online</v>
      </c>
    </row>
    <row r="2452">
      <c r="A2452" s="10" t="s">
        <v>16436</v>
      </c>
      <c r="B2452" s="10" t="s">
        <v>16437</v>
      </c>
      <c r="C2452" s="10" t="s">
        <v>2800</v>
      </c>
      <c r="D2452" s="10" t="s">
        <v>16438</v>
      </c>
      <c r="E2452" s="10" t="s">
        <v>13207</v>
      </c>
      <c r="F2452" s="10" t="s">
        <v>13218</v>
      </c>
      <c r="G2452" s="10" t="s">
        <v>16439</v>
      </c>
      <c r="H2452" s="11">
        <v>1.0</v>
      </c>
      <c r="I2452" s="11">
        <v>2.0</v>
      </c>
      <c r="J2452" s="11">
        <v>1.0</v>
      </c>
      <c r="K2452" s="11" t="s">
        <v>31</v>
      </c>
      <c r="L2452" s="12" t="s">
        <v>13632</v>
      </c>
      <c r="M2452" s="10" t="s">
        <v>16440</v>
      </c>
      <c r="N2452" s="10" t="s">
        <v>7690</v>
      </c>
      <c r="O2452" s="12" t="s">
        <v>7691</v>
      </c>
      <c r="P2452" s="10" t="s">
        <v>13634</v>
      </c>
      <c r="Q2452" s="10" t="s">
        <v>13635</v>
      </c>
      <c r="R2452" s="10" t="s">
        <v>7693</v>
      </c>
      <c r="S2452" s="12" t="s">
        <v>13636</v>
      </c>
      <c r="T2452" s="10" t="s">
        <v>66</v>
      </c>
      <c r="U2452" s="12" t="s">
        <v>13637</v>
      </c>
      <c r="V2452" s="10" t="s">
        <v>16441</v>
      </c>
      <c r="W2452" s="10" t="s">
        <v>13207</v>
      </c>
      <c r="X2452" s="13" t="str">
        <f>HYPERLINK("https://my.pitchbook.com?p=393448-15P","View People Online")</f>
        <v>View People Online</v>
      </c>
    </row>
    <row r="2453">
      <c r="A2453" s="6" t="s">
        <v>16442</v>
      </c>
      <c r="B2453" s="6" t="s">
        <v>16443</v>
      </c>
      <c r="C2453" s="6" t="s">
        <v>16444</v>
      </c>
      <c r="D2453" s="6" t="s">
        <v>16445</v>
      </c>
      <c r="E2453" s="6" t="s">
        <v>13207</v>
      </c>
      <c r="F2453" s="6" t="s">
        <v>13218</v>
      </c>
      <c r="G2453" s="6" t="s">
        <v>16446</v>
      </c>
      <c r="H2453" s="7" t="s">
        <v>31</v>
      </c>
      <c r="I2453" s="7">
        <v>1.0</v>
      </c>
      <c r="J2453" s="7">
        <v>1.0</v>
      </c>
      <c r="K2453" s="7" t="s">
        <v>31</v>
      </c>
      <c r="L2453" s="8" t="s">
        <v>13299</v>
      </c>
      <c r="M2453" s="6" t="s">
        <v>16447</v>
      </c>
      <c r="N2453" s="6" t="s">
        <v>601</v>
      </c>
      <c r="O2453" s="8" t="s">
        <v>602</v>
      </c>
      <c r="P2453" s="6" t="s">
        <v>13301</v>
      </c>
      <c r="Q2453" s="6" t="s">
        <v>13302</v>
      </c>
      <c r="R2453" s="6" t="s">
        <v>31</v>
      </c>
      <c r="S2453" s="8" t="s">
        <v>31</v>
      </c>
      <c r="T2453" s="6" t="s">
        <v>603</v>
      </c>
      <c r="U2453" s="8" t="s">
        <v>13303</v>
      </c>
      <c r="V2453" s="6" t="s">
        <v>13218</v>
      </c>
      <c r="W2453" s="6" t="s">
        <v>13207</v>
      </c>
      <c r="X2453" s="9" t="str">
        <f>HYPERLINK("https://my.pitchbook.com?p=436218-85P","View People Online")</f>
        <v>View People Online</v>
      </c>
    </row>
    <row r="2454">
      <c r="A2454" s="2" t="s">
        <v>16448</v>
      </c>
      <c r="B2454" s="2" t="s">
        <v>16449</v>
      </c>
      <c r="C2454" s="2" t="s">
        <v>16450</v>
      </c>
      <c r="D2454" s="2" t="s">
        <v>16451</v>
      </c>
      <c r="E2454" s="2" t="s">
        <v>13207</v>
      </c>
      <c r="F2454" s="2" t="s">
        <v>29</v>
      </c>
      <c r="G2454" s="2" t="s">
        <v>16452</v>
      </c>
      <c r="H2454" s="3" t="s">
        <v>31</v>
      </c>
      <c r="I2454" s="3">
        <v>1.0</v>
      </c>
      <c r="J2454" s="3">
        <v>1.0</v>
      </c>
      <c r="K2454" s="3" t="s">
        <v>31</v>
      </c>
      <c r="L2454" s="4" t="s">
        <v>15178</v>
      </c>
      <c r="M2454" s="2" t="s">
        <v>16453</v>
      </c>
      <c r="N2454" s="2" t="s">
        <v>7258</v>
      </c>
      <c r="O2454" s="4" t="s">
        <v>7259</v>
      </c>
      <c r="P2454" s="2" t="s">
        <v>15180</v>
      </c>
      <c r="Q2454" s="2" t="s">
        <v>15181</v>
      </c>
      <c r="R2454" s="2" t="s">
        <v>7262</v>
      </c>
      <c r="S2454" s="4" t="s">
        <v>7263</v>
      </c>
      <c r="T2454" s="2" t="s">
        <v>5484</v>
      </c>
      <c r="U2454" s="4" t="s">
        <v>15182</v>
      </c>
      <c r="V2454" s="2" t="s">
        <v>29</v>
      </c>
      <c r="W2454" s="2" t="s">
        <v>13207</v>
      </c>
      <c r="X2454" s="5" t="str">
        <f>HYPERLINK("https://my.pitchbook.com?p=455685-85P","View People Online")</f>
        <v>View People Online</v>
      </c>
    </row>
    <row r="2455">
      <c r="A2455" s="6" t="s">
        <v>16454</v>
      </c>
      <c r="B2455" s="6" t="s">
        <v>16455</v>
      </c>
      <c r="C2455" s="6" t="s">
        <v>98</v>
      </c>
      <c r="D2455" s="6" t="s">
        <v>16456</v>
      </c>
      <c r="E2455" s="6" t="s">
        <v>13207</v>
      </c>
      <c r="F2455" s="6" t="s">
        <v>3523</v>
      </c>
      <c r="G2455" s="6" t="s">
        <v>16457</v>
      </c>
      <c r="H2455" s="7" t="s">
        <v>31</v>
      </c>
      <c r="I2455" s="7">
        <v>1.0</v>
      </c>
      <c r="J2455" s="7">
        <v>1.0</v>
      </c>
      <c r="K2455" s="7" t="s">
        <v>31</v>
      </c>
      <c r="L2455" s="8" t="s">
        <v>13766</v>
      </c>
      <c r="M2455" s="6" t="s">
        <v>16458</v>
      </c>
      <c r="N2455" s="6" t="s">
        <v>13768</v>
      </c>
      <c r="O2455" s="8" t="s">
        <v>13769</v>
      </c>
      <c r="P2455" s="6" t="s">
        <v>13770</v>
      </c>
      <c r="Q2455" s="6" t="s">
        <v>13771</v>
      </c>
      <c r="R2455" s="6" t="s">
        <v>31</v>
      </c>
      <c r="S2455" s="8" t="s">
        <v>13772</v>
      </c>
      <c r="T2455" s="6" t="s">
        <v>13773</v>
      </c>
      <c r="U2455" s="8" t="s">
        <v>31</v>
      </c>
      <c r="V2455" s="6" t="s">
        <v>3523</v>
      </c>
      <c r="W2455" s="6" t="s">
        <v>13207</v>
      </c>
      <c r="X2455" s="9" t="str">
        <f>HYPERLINK("https://my.pitchbook.com?p=436309-03P","View People Online")</f>
        <v>View People Online</v>
      </c>
    </row>
    <row r="2456">
      <c r="A2456" s="10" t="s">
        <v>16459</v>
      </c>
      <c r="B2456" s="10" t="s">
        <v>16460</v>
      </c>
      <c r="C2456" s="10" t="s">
        <v>16461</v>
      </c>
      <c r="D2456" s="10" t="s">
        <v>16462</v>
      </c>
      <c r="E2456" s="10" t="s">
        <v>13207</v>
      </c>
      <c r="F2456" s="10" t="s">
        <v>3523</v>
      </c>
      <c r="G2456" s="10" t="s">
        <v>16463</v>
      </c>
      <c r="H2456" s="11" t="s">
        <v>31</v>
      </c>
      <c r="I2456" s="11">
        <v>1.0</v>
      </c>
      <c r="J2456" s="11">
        <v>1.0</v>
      </c>
      <c r="K2456" s="11" t="s">
        <v>31</v>
      </c>
      <c r="L2456" s="12" t="s">
        <v>13540</v>
      </c>
      <c r="M2456" s="10" t="s">
        <v>16464</v>
      </c>
      <c r="N2456" s="10" t="s">
        <v>418</v>
      </c>
      <c r="O2456" s="12" t="s">
        <v>419</v>
      </c>
      <c r="P2456" s="10" t="s">
        <v>13542</v>
      </c>
      <c r="Q2456" s="10" t="s">
        <v>31</v>
      </c>
      <c r="R2456" s="10" t="s">
        <v>31</v>
      </c>
      <c r="S2456" s="12" t="s">
        <v>2664</v>
      </c>
      <c r="T2456" s="10" t="s">
        <v>422</v>
      </c>
      <c r="U2456" s="12" t="s">
        <v>13543</v>
      </c>
      <c r="V2456" s="10" t="s">
        <v>3523</v>
      </c>
      <c r="W2456" s="10" t="s">
        <v>13207</v>
      </c>
      <c r="X2456" s="13" t="str">
        <f>HYPERLINK("https://my.pitchbook.com?p=455901-40P","View People Online")</f>
        <v>View People Online</v>
      </c>
    </row>
    <row r="2457">
      <c r="A2457" s="6" t="s">
        <v>16465</v>
      </c>
      <c r="B2457" s="6" t="s">
        <v>16466</v>
      </c>
      <c r="C2457" s="6" t="s">
        <v>1132</v>
      </c>
      <c r="D2457" s="6" t="s">
        <v>16467</v>
      </c>
      <c r="E2457" s="6" t="s">
        <v>13207</v>
      </c>
      <c r="F2457" s="6" t="s">
        <v>29</v>
      </c>
      <c r="G2457" s="6" t="s">
        <v>16468</v>
      </c>
      <c r="H2457" s="7" t="s">
        <v>31</v>
      </c>
      <c r="I2457" s="7">
        <v>1.0</v>
      </c>
      <c r="J2457" s="7">
        <v>1.0</v>
      </c>
      <c r="K2457" s="7" t="s">
        <v>31</v>
      </c>
      <c r="L2457" s="8" t="s">
        <v>13345</v>
      </c>
      <c r="M2457" s="6" t="s">
        <v>16469</v>
      </c>
      <c r="N2457" s="6" t="s">
        <v>2764</v>
      </c>
      <c r="O2457" s="8" t="s">
        <v>2765</v>
      </c>
      <c r="P2457" s="6" t="s">
        <v>13347</v>
      </c>
      <c r="Q2457" s="6" t="s">
        <v>31</v>
      </c>
      <c r="R2457" s="6" t="s">
        <v>31</v>
      </c>
      <c r="S2457" s="8" t="s">
        <v>13348</v>
      </c>
      <c r="T2457" s="6" t="s">
        <v>2768</v>
      </c>
      <c r="U2457" s="8" t="s">
        <v>13349</v>
      </c>
      <c r="V2457" s="6" t="s">
        <v>29</v>
      </c>
      <c r="W2457" s="6" t="s">
        <v>13207</v>
      </c>
      <c r="X2457" s="9" t="str">
        <f>HYPERLINK("https://my.pitchbook.com?p=455410-36P","View People Online")</f>
        <v>View People Online</v>
      </c>
    </row>
    <row r="2458">
      <c r="A2458" s="2" t="s">
        <v>16470</v>
      </c>
      <c r="B2458" s="2" t="s">
        <v>16471</v>
      </c>
      <c r="C2458" s="2" t="s">
        <v>1132</v>
      </c>
      <c r="D2458" s="2" t="s">
        <v>16472</v>
      </c>
      <c r="E2458" s="2" t="s">
        <v>13207</v>
      </c>
      <c r="F2458" s="2" t="s">
        <v>3523</v>
      </c>
      <c r="G2458" s="2" t="s">
        <v>16473</v>
      </c>
      <c r="H2458" s="3" t="s">
        <v>31</v>
      </c>
      <c r="I2458" s="3">
        <v>1.0</v>
      </c>
      <c r="J2458" s="3">
        <v>1.0</v>
      </c>
      <c r="K2458" s="3" t="s">
        <v>31</v>
      </c>
      <c r="L2458" s="4" t="s">
        <v>13423</v>
      </c>
      <c r="M2458" s="2" t="s">
        <v>16474</v>
      </c>
      <c r="N2458" s="2" t="s">
        <v>243</v>
      </c>
      <c r="O2458" s="4" t="s">
        <v>244</v>
      </c>
      <c r="P2458" s="2" t="s">
        <v>13425</v>
      </c>
      <c r="Q2458" s="2" t="s">
        <v>31</v>
      </c>
      <c r="R2458" s="2" t="s">
        <v>247</v>
      </c>
      <c r="S2458" s="4" t="s">
        <v>13426</v>
      </c>
      <c r="T2458" s="2" t="s">
        <v>249</v>
      </c>
      <c r="U2458" s="4" t="s">
        <v>31</v>
      </c>
      <c r="V2458" s="2" t="s">
        <v>3523</v>
      </c>
      <c r="W2458" s="2" t="s">
        <v>13207</v>
      </c>
      <c r="X2458" s="5" t="str">
        <f>HYPERLINK("https://my.pitchbook.com?p=435709-72P","View People Online")</f>
        <v>View People Online</v>
      </c>
    </row>
    <row r="2459">
      <c r="A2459" s="14" t="s">
        <v>16475</v>
      </c>
      <c r="B2459" s="14" t="s">
        <v>16476</v>
      </c>
      <c r="C2459" s="14" t="s">
        <v>16477</v>
      </c>
      <c r="D2459" s="14" t="s">
        <v>16478</v>
      </c>
      <c r="E2459" s="14" t="s">
        <v>13207</v>
      </c>
      <c r="F2459" s="14" t="s">
        <v>3523</v>
      </c>
      <c r="G2459" s="14" t="s">
        <v>16479</v>
      </c>
      <c r="H2459" s="15" t="s">
        <v>31</v>
      </c>
      <c r="I2459" s="15">
        <v>1.0</v>
      </c>
      <c r="J2459" s="15">
        <v>1.0</v>
      </c>
      <c r="K2459" s="15" t="s">
        <v>31</v>
      </c>
      <c r="L2459" s="16" t="s">
        <v>13766</v>
      </c>
      <c r="M2459" s="14" t="s">
        <v>16480</v>
      </c>
      <c r="N2459" s="14" t="s">
        <v>13768</v>
      </c>
      <c r="O2459" s="16" t="s">
        <v>13769</v>
      </c>
      <c r="P2459" s="14" t="s">
        <v>13770</v>
      </c>
      <c r="Q2459" s="14" t="s">
        <v>13771</v>
      </c>
      <c r="R2459" s="14" t="s">
        <v>31</v>
      </c>
      <c r="S2459" s="16" t="s">
        <v>13772</v>
      </c>
      <c r="T2459" s="14" t="s">
        <v>13773</v>
      </c>
      <c r="U2459" s="16" t="s">
        <v>31</v>
      </c>
      <c r="V2459" s="14" t="s">
        <v>3523</v>
      </c>
      <c r="W2459" s="14" t="s">
        <v>13207</v>
      </c>
      <c r="X2459" s="17" t="str">
        <f>HYPERLINK("https://my.pitchbook.com?p=435919-51P","View People Online")</f>
        <v>View People Online</v>
      </c>
    </row>
    <row r="2460">
      <c r="A2460" s="2" t="s">
        <v>16481</v>
      </c>
      <c r="B2460" s="2" t="s">
        <v>16482</v>
      </c>
      <c r="C2460" s="2" t="s">
        <v>16483</v>
      </c>
      <c r="D2460" s="2" t="s">
        <v>16484</v>
      </c>
      <c r="E2460" s="2" t="s">
        <v>13207</v>
      </c>
      <c r="F2460" s="2" t="s">
        <v>13218</v>
      </c>
      <c r="G2460" s="2" t="s">
        <v>16485</v>
      </c>
      <c r="H2460" s="3" t="s">
        <v>31</v>
      </c>
      <c r="I2460" s="3">
        <v>1.0</v>
      </c>
      <c r="J2460" s="3">
        <v>1.0</v>
      </c>
      <c r="K2460" s="3" t="s">
        <v>31</v>
      </c>
      <c r="L2460" s="4" t="s">
        <v>16040</v>
      </c>
      <c r="M2460" s="2" t="s">
        <v>16486</v>
      </c>
      <c r="N2460" s="2" t="s">
        <v>465</v>
      </c>
      <c r="O2460" s="4" t="s">
        <v>466</v>
      </c>
      <c r="P2460" s="2" t="s">
        <v>16042</v>
      </c>
      <c r="Q2460" s="2" t="s">
        <v>31</v>
      </c>
      <c r="R2460" s="2" t="s">
        <v>31</v>
      </c>
      <c r="S2460" s="4" t="s">
        <v>16043</v>
      </c>
      <c r="T2460" s="2" t="s">
        <v>422</v>
      </c>
      <c r="U2460" s="4" t="s">
        <v>16044</v>
      </c>
      <c r="V2460" s="2" t="s">
        <v>13218</v>
      </c>
      <c r="W2460" s="2" t="s">
        <v>13207</v>
      </c>
      <c r="X2460" s="5" t="str">
        <f>HYPERLINK("https://my.pitchbook.com?p=195924-88P","View People Online")</f>
        <v>View People Online</v>
      </c>
    </row>
    <row r="2461">
      <c r="A2461" s="6" t="s">
        <v>16487</v>
      </c>
      <c r="B2461" s="6" t="s">
        <v>16488</v>
      </c>
      <c r="C2461" s="6" t="s">
        <v>16483</v>
      </c>
      <c r="D2461" s="6" t="s">
        <v>16489</v>
      </c>
      <c r="E2461" s="6" t="s">
        <v>13207</v>
      </c>
      <c r="F2461" s="6" t="s">
        <v>13218</v>
      </c>
      <c r="G2461" s="6" t="s">
        <v>16490</v>
      </c>
      <c r="H2461" s="7" t="s">
        <v>31</v>
      </c>
      <c r="I2461" s="7">
        <v>2.0</v>
      </c>
      <c r="J2461" s="7">
        <v>1.0</v>
      </c>
      <c r="K2461" s="7">
        <v>1.0</v>
      </c>
      <c r="L2461" s="8" t="s">
        <v>13540</v>
      </c>
      <c r="M2461" s="6" t="s">
        <v>16491</v>
      </c>
      <c r="N2461" s="6" t="s">
        <v>418</v>
      </c>
      <c r="O2461" s="8" t="s">
        <v>419</v>
      </c>
      <c r="P2461" s="6" t="s">
        <v>13542</v>
      </c>
      <c r="Q2461" s="6" t="s">
        <v>31</v>
      </c>
      <c r="R2461" s="6" t="s">
        <v>31</v>
      </c>
      <c r="S2461" s="8" t="s">
        <v>2664</v>
      </c>
      <c r="T2461" s="6" t="s">
        <v>422</v>
      </c>
      <c r="U2461" s="8" t="s">
        <v>13543</v>
      </c>
      <c r="V2461" s="6" t="s">
        <v>16492</v>
      </c>
      <c r="W2461" s="6" t="s">
        <v>13207</v>
      </c>
      <c r="X2461" s="9" t="str">
        <f>HYPERLINK("https://my.pitchbook.com?p=392813-38P","View People Online")</f>
        <v>View People Online</v>
      </c>
    </row>
    <row r="2462">
      <c r="A2462" s="2" t="s">
        <v>16493</v>
      </c>
      <c r="B2462" s="2" t="s">
        <v>16494</v>
      </c>
      <c r="C2462" s="2" t="s">
        <v>16483</v>
      </c>
      <c r="D2462" s="2" t="s">
        <v>16495</v>
      </c>
      <c r="E2462" s="2" t="s">
        <v>13207</v>
      </c>
      <c r="F2462" s="2" t="s">
        <v>3523</v>
      </c>
      <c r="G2462" s="2" t="s">
        <v>16496</v>
      </c>
      <c r="H2462" s="3" t="s">
        <v>31</v>
      </c>
      <c r="I2462" s="3">
        <v>1.0</v>
      </c>
      <c r="J2462" s="3">
        <v>1.0</v>
      </c>
      <c r="K2462" s="3" t="s">
        <v>31</v>
      </c>
      <c r="L2462" s="4" t="s">
        <v>13540</v>
      </c>
      <c r="M2462" s="2" t="s">
        <v>16497</v>
      </c>
      <c r="N2462" s="2" t="s">
        <v>418</v>
      </c>
      <c r="O2462" s="4" t="s">
        <v>419</v>
      </c>
      <c r="P2462" s="2" t="s">
        <v>13542</v>
      </c>
      <c r="Q2462" s="2" t="s">
        <v>31</v>
      </c>
      <c r="R2462" s="2" t="s">
        <v>31</v>
      </c>
      <c r="S2462" s="4" t="s">
        <v>2664</v>
      </c>
      <c r="T2462" s="2" t="s">
        <v>422</v>
      </c>
      <c r="U2462" s="4" t="s">
        <v>13543</v>
      </c>
      <c r="V2462" s="2" t="s">
        <v>3523</v>
      </c>
      <c r="W2462" s="2" t="s">
        <v>13207</v>
      </c>
      <c r="X2462" s="5" t="str">
        <f>HYPERLINK("https://my.pitchbook.com?p=435144-79P","View People Online")</f>
        <v>View People Online</v>
      </c>
    </row>
    <row r="2463">
      <c r="A2463" s="6" t="s">
        <v>16498</v>
      </c>
      <c r="B2463" s="6" t="s">
        <v>16499</v>
      </c>
      <c r="C2463" s="6" t="s">
        <v>16483</v>
      </c>
      <c r="D2463" s="6" t="s">
        <v>16500</v>
      </c>
      <c r="E2463" s="6" t="s">
        <v>13207</v>
      </c>
      <c r="F2463" s="6" t="s">
        <v>3523</v>
      </c>
      <c r="G2463" s="6" t="s">
        <v>16501</v>
      </c>
      <c r="H2463" s="7" t="s">
        <v>31</v>
      </c>
      <c r="I2463" s="7">
        <v>1.0</v>
      </c>
      <c r="J2463" s="7">
        <v>1.0</v>
      </c>
      <c r="K2463" s="7" t="s">
        <v>31</v>
      </c>
      <c r="L2463" s="8" t="s">
        <v>13496</v>
      </c>
      <c r="M2463" s="6" t="s">
        <v>16502</v>
      </c>
      <c r="N2463" s="6" t="s">
        <v>75</v>
      </c>
      <c r="O2463" s="8" t="s">
        <v>76</v>
      </c>
      <c r="P2463" s="6" t="s">
        <v>13498</v>
      </c>
      <c r="Q2463" s="6" t="s">
        <v>31</v>
      </c>
      <c r="R2463" s="6" t="s">
        <v>75</v>
      </c>
      <c r="S2463" s="8" t="s">
        <v>195</v>
      </c>
      <c r="T2463" s="6" t="s">
        <v>66</v>
      </c>
      <c r="U2463" s="8" t="s">
        <v>13499</v>
      </c>
      <c r="V2463" s="6" t="s">
        <v>3523</v>
      </c>
      <c r="W2463" s="6" t="s">
        <v>13207</v>
      </c>
      <c r="X2463" s="9" t="str">
        <f>HYPERLINK("https://my.pitchbook.com?p=435910-69P","View People Online")</f>
        <v>View People Online</v>
      </c>
    </row>
    <row r="2464">
      <c r="A2464" s="10" t="s">
        <v>16503</v>
      </c>
      <c r="B2464" s="10" t="s">
        <v>16504</v>
      </c>
      <c r="C2464" s="10" t="s">
        <v>4680</v>
      </c>
      <c r="D2464" s="10" t="s">
        <v>16505</v>
      </c>
      <c r="E2464" s="10" t="s">
        <v>13207</v>
      </c>
      <c r="F2464" s="10" t="s">
        <v>3523</v>
      </c>
      <c r="G2464" s="10" t="s">
        <v>16506</v>
      </c>
      <c r="H2464" s="11" t="s">
        <v>31</v>
      </c>
      <c r="I2464" s="11">
        <v>1.0</v>
      </c>
      <c r="J2464" s="11">
        <v>1.0</v>
      </c>
      <c r="K2464" s="11" t="s">
        <v>31</v>
      </c>
      <c r="L2464" s="12" t="s">
        <v>14331</v>
      </c>
      <c r="M2464" s="10" t="s">
        <v>16507</v>
      </c>
      <c r="N2464" s="10" t="s">
        <v>14333</v>
      </c>
      <c r="O2464" s="12" t="s">
        <v>14334</v>
      </c>
      <c r="P2464" s="10" t="s">
        <v>14335</v>
      </c>
      <c r="Q2464" s="10" t="s">
        <v>14336</v>
      </c>
      <c r="R2464" s="10" t="s">
        <v>31</v>
      </c>
      <c r="S2464" s="12" t="s">
        <v>14337</v>
      </c>
      <c r="T2464" s="10" t="s">
        <v>14338</v>
      </c>
      <c r="U2464" s="12" t="s">
        <v>31</v>
      </c>
      <c r="V2464" s="10" t="s">
        <v>3523</v>
      </c>
      <c r="W2464" s="10" t="s">
        <v>13207</v>
      </c>
      <c r="X2464" s="13" t="str">
        <f>HYPERLINK("https://my.pitchbook.com?p=436690-09P","View People Online")</f>
        <v>View People Online</v>
      </c>
    </row>
    <row r="2465">
      <c r="A2465" s="14" t="s">
        <v>16508</v>
      </c>
      <c r="B2465" s="14" t="s">
        <v>16509</v>
      </c>
      <c r="C2465" s="14" t="s">
        <v>3985</v>
      </c>
      <c r="D2465" s="14" t="s">
        <v>16510</v>
      </c>
      <c r="E2465" s="14" t="s">
        <v>13207</v>
      </c>
      <c r="F2465" s="14" t="s">
        <v>13218</v>
      </c>
      <c r="G2465" s="14" t="s">
        <v>16511</v>
      </c>
      <c r="H2465" s="15" t="s">
        <v>31</v>
      </c>
      <c r="I2465" s="15">
        <v>1.0</v>
      </c>
      <c r="J2465" s="15">
        <v>1.0</v>
      </c>
      <c r="K2465" s="15" t="s">
        <v>31</v>
      </c>
      <c r="L2465" s="16" t="s">
        <v>13766</v>
      </c>
      <c r="M2465" s="14" t="s">
        <v>16512</v>
      </c>
      <c r="N2465" s="14" t="s">
        <v>13768</v>
      </c>
      <c r="O2465" s="16" t="s">
        <v>13769</v>
      </c>
      <c r="P2465" s="14" t="s">
        <v>13770</v>
      </c>
      <c r="Q2465" s="14" t="s">
        <v>13771</v>
      </c>
      <c r="R2465" s="14" t="s">
        <v>31</v>
      </c>
      <c r="S2465" s="16" t="s">
        <v>13772</v>
      </c>
      <c r="T2465" s="14" t="s">
        <v>13773</v>
      </c>
      <c r="U2465" s="16" t="s">
        <v>31</v>
      </c>
      <c r="V2465" s="14" t="s">
        <v>13218</v>
      </c>
      <c r="W2465" s="14" t="s">
        <v>13207</v>
      </c>
      <c r="X2465" s="17" t="str">
        <f>HYPERLINK("https://my.pitchbook.com?p=435443-32P","View People Online")</f>
        <v>View People Online</v>
      </c>
    </row>
    <row r="2466">
      <c r="A2466" s="2" t="s">
        <v>16513</v>
      </c>
      <c r="B2466" s="2" t="s">
        <v>16514</v>
      </c>
      <c r="C2466" s="2" t="s">
        <v>8820</v>
      </c>
      <c r="D2466" s="2" t="s">
        <v>16515</v>
      </c>
      <c r="E2466" s="2" t="s">
        <v>13207</v>
      </c>
      <c r="F2466" s="2" t="s">
        <v>3523</v>
      </c>
      <c r="G2466" s="2" t="s">
        <v>16516</v>
      </c>
      <c r="H2466" s="3" t="s">
        <v>31</v>
      </c>
      <c r="I2466" s="3">
        <v>1.0</v>
      </c>
      <c r="J2466" s="3">
        <v>1.0</v>
      </c>
      <c r="K2466" s="3" t="s">
        <v>31</v>
      </c>
      <c r="L2466" s="4" t="s">
        <v>13378</v>
      </c>
      <c r="M2466" s="2" t="s">
        <v>16517</v>
      </c>
      <c r="N2466" s="2" t="s">
        <v>429</v>
      </c>
      <c r="O2466" s="4" t="s">
        <v>430</v>
      </c>
      <c r="P2466" s="2" t="s">
        <v>13380</v>
      </c>
      <c r="Q2466" s="2" t="s">
        <v>31</v>
      </c>
      <c r="R2466" s="2" t="s">
        <v>31</v>
      </c>
      <c r="S2466" s="4" t="s">
        <v>13381</v>
      </c>
      <c r="T2466" s="2" t="s">
        <v>433</v>
      </c>
      <c r="U2466" s="4" t="s">
        <v>13382</v>
      </c>
      <c r="V2466" s="2" t="s">
        <v>3523</v>
      </c>
      <c r="W2466" s="2" t="s">
        <v>13207</v>
      </c>
      <c r="X2466" s="5" t="str">
        <f>HYPERLINK("https://my.pitchbook.com?p=456246-55P","View People Online")</f>
        <v>View People Online</v>
      </c>
    </row>
    <row r="2467">
      <c r="A2467" s="6" t="s">
        <v>16518</v>
      </c>
      <c r="B2467" s="6" t="s">
        <v>16519</v>
      </c>
      <c r="C2467" s="6" t="s">
        <v>2827</v>
      </c>
      <c r="D2467" s="6" t="s">
        <v>16520</v>
      </c>
      <c r="E2467" s="6" t="s">
        <v>13207</v>
      </c>
      <c r="F2467" s="6" t="s">
        <v>13307</v>
      </c>
      <c r="G2467" s="6" t="s">
        <v>16521</v>
      </c>
      <c r="H2467" s="7" t="s">
        <v>31</v>
      </c>
      <c r="I2467" s="7">
        <v>1.0</v>
      </c>
      <c r="J2467" s="7">
        <v>1.0</v>
      </c>
      <c r="K2467" s="7" t="s">
        <v>31</v>
      </c>
      <c r="L2467" s="8" t="s">
        <v>13242</v>
      </c>
      <c r="M2467" s="6" t="s">
        <v>16522</v>
      </c>
      <c r="N2467" s="6" t="s">
        <v>9865</v>
      </c>
      <c r="O2467" s="8" t="s">
        <v>9866</v>
      </c>
      <c r="P2467" s="6" t="s">
        <v>13244</v>
      </c>
      <c r="Q2467" s="6" t="s">
        <v>31</v>
      </c>
      <c r="R2467" s="6" t="s">
        <v>31</v>
      </c>
      <c r="S2467" s="8" t="s">
        <v>13245</v>
      </c>
      <c r="T2467" s="6" t="s">
        <v>38</v>
      </c>
      <c r="U2467" s="8" t="s">
        <v>13246</v>
      </c>
      <c r="V2467" s="6" t="s">
        <v>16523</v>
      </c>
      <c r="W2467" s="6" t="s">
        <v>13207</v>
      </c>
      <c r="X2467" s="9" t="str">
        <f>HYPERLINK("https://my.pitchbook.com?p=436146-40P","View People Online")</f>
        <v>View People Online</v>
      </c>
    </row>
    <row r="2468">
      <c r="A2468" s="10" t="s">
        <v>16524</v>
      </c>
      <c r="B2468" s="10" t="s">
        <v>16525</v>
      </c>
      <c r="C2468" s="10" t="s">
        <v>2827</v>
      </c>
      <c r="D2468" s="10" t="s">
        <v>16526</v>
      </c>
      <c r="E2468" s="10" t="s">
        <v>13207</v>
      </c>
      <c r="F2468" s="10" t="s">
        <v>3523</v>
      </c>
      <c r="G2468" s="10" t="s">
        <v>16527</v>
      </c>
      <c r="H2468" s="11" t="s">
        <v>31</v>
      </c>
      <c r="I2468" s="11">
        <v>1.0</v>
      </c>
      <c r="J2468" s="11">
        <v>1.0</v>
      </c>
      <c r="K2468" s="11" t="s">
        <v>31</v>
      </c>
      <c r="L2468" s="12" t="s">
        <v>13378</v>
      </c>
      <c r="M2468" s="10" t="s">
        <v>16528</v>
      </c>
      <c r="N2468" s="10" t="s">
        <v>429</v>
      </c>
      <c r="O2468" s="12" t="s">
        <v>430</v>
      </c>
      <c r="P2468" s="10" t="s">
        <v>13380</v>
      </c>
      <c r="Q2468" s="10" t="s">
        <v>31</v>
      </c>
      <c r="R2468" s="10" t="s">
        <v>31</v>
      </c>
      <c r="S2468" s="12" t="s">
        <v>13381</v>
      </c>
      <c r="T2468" s="10" t="s">
        <v>433</v>
      </c>
      <c r="U2468" s="12" t="s">
        <v>13382</v>
      </c>
      <c r="V2468" s="10" t="s">
        <v>3523</v>
      </c>
      <c r="W2468" s="10" t="s">
        <v>13207</v>
      </c>
      <c r="X2468" s="13" t="str">
        <f>HYPERLINK("https://my.pitchbook.com?p=380670-22P","View People Online")</f>
        <v>View People Online</v>
      </c>
    </row>
    <row r="2469">
      <c r="A2469" s="14" t="s">
        <v>16529</v>
      </c>
      <c r="B2469" s="14" t="s">
        <v>16530</v>
      </c>
      <c r="C2469" s="14" t="s">
        <v>433</v>
      </c>
      <c r="D2469" s="14" t="s">
        <v>16531</v>
      </c>
      <c r="E2469" s="14" t="s">
        <v>13207</v>
      </c>
      <c r="F2469" s="14" t="s">
        <v>3523</v>
      </c>
      <c r="G2469" s="14" t="s">
        <v>16532</v>
      </c>
      <c r="H2469" s="15" t="s">
        <v>31</v>
      </c>
      <c r="I2469" s="15">
        <v>1.0</v>
      </c>
      <c r="J2469" s="15">
        <v>1.0</v>
      </c>
      <c r="K2469" s="15" t="s">
        <v>31</v>
      </c>
      <c r="L2469" s="16" t="s">
        <v>14331</v>
      </c>
      <c r="M2469" s="14" t="s">
        <v>16533</v>
      </c>
      <c r="N2469" s="14" t="s">
        <v>14333</v>
      </c>
      <c r="O2469" s="16" t="s">
        <v>14334</v>
      </c>
      <c r="P2469" s="14" t="s">
        <v>14335</v>
      </c>
      <c r="Q2469" s="14" t="s">
        <v>14336</v>
      </c>
      <c r="R2469" s="14" t="s">
        <v>31</v>
      </c>
      <c r="S2469" s="16" t="s">
        <v>14337</v>
      </c>
      <c r="T2469" s="14" t="s">
        <v>14338</v>
      </c>
      <c r="U2469" s="16" t="s">
        <v>31</v>
      </c>
      <c r="V2469" s="14" t="s">
        <v>3523</v>
      </c>
      <c r="W2469" s="14" t="s">
        <v>13207</v>
      </c>
      <c r="X2469" s="17" t="str">
        <f>HYPERLINK("https://my.pitchbook.com?p=456115-60P","View People Online")</f>
        <v>View People Online</v>
      </c>
    </row>
    <row r="2470">
      <c r="A2470" s="10" t="s">
        <v>16534</v>
      </c>
      <c r="B2470" s="10" t="s">
        <v>16535</v>
      </c>
      <c r="C2470" s="10" t="s">
        <v>2833</v>
      </c>
      <c r="D2470" s="10" t="s">
        <v>16536</v>
      </c>
      <c r="E2470" s="10" t="s">
        <v>13207</v>
      </c>
      <c r="F2470" s="10" t="s">
        <v>3523</v>
      </c>
      <c r="G2470" s="10" t="s">
        <v>16537</v>
      </c>
      <c r="H2470" s="11" t="s">
        <v>31</v>
      </c>
      <c r="I2470" s="11">
        <v>1.0</v>
      </c>
      <c r="J2470" s="11">
        <v>1.0</v>
      </c>
      <c r="K2470" s="11" t="s">
        <v>31</v>
      </c>
      <c r="L2470" s="12" t="s">
        <v>13801</v>
      </c>
      <c r="M2470" s="10" t="s">
        <v>16538</v>
      </c>
      <c r="N2470" s="10" t="s">
        <v>1024</v>
      </c>
      <c r="O2470" s="12" t="s">
        <v>2718</v>
      </c>
      <c r="P2470" s="10" t="s">
        <v>13803</v>
      </c>
      <c r="Q2470" s="10" t="s">
        <v>13804</v>
      </c>
      <c r="R2470" s="10" t="s">
        <v>31</v>
      </c>
      <c r="S2470" s="12" t="s">
        <v>31</v>
      </c>
      <c r="T2470" s="10" t="s">
        <v>2721</v>
      </c>
      <c r="U2470" s="12" t="s">
        <v>31</v>
      </c>
      <c r="V2470" s="10" t="s">
        <v>3523</v>
      </c>
      <c r="W2470" s="10" t="s">
        <v>13207</v>
      </c>
      <c r="X2470" s="13" t="str">
        <f>HYPERLINK("https://my.pitchbook.com?p=435217-06P","View People Online")</f>
        <v>View People Online</v>
      </c>
    </row>
    <row r="2471">
      <c r="A2471" s="6" t="s">
        <v>16539</v>
      </c>
      <c r="B2471" s="6" t="s">
        <v>16540</v>
      </c>
      <c r="C2471" s="6" t="s">
        <v>2833</v>
      </c>
      <c r="D2471" s="6" t="s">
        <v>16541</v>
      </c>
      <c r="E2471" s="6" t="s">
        <v>13207</v>
      </c>
      <c r="F2471" s="6" t="s">
        <v>13240</v>
      </c>
      <c r="G2471" s="6" t="s">
        <v>16542</v>
      </c>
      <c r="H2471" s="7" t="s">
        <v>31</v>
      </c>
      <c r="I2471" s="7">
        <v>1.0</v>
      </c>
      <c r="J2471" s="7">
        <v>1.0</v>
      </c>
      <c r="K2471" s="7" t="s">
        <v>31</v>
      </c>
      <c r="L2471" s="8" t="s">
        <v>13531</v>
      </c>
      <c r="M2471" s="6" t="s">
        <v>16543</v>
      </c>
      <c r="N2471" s="6" t="s">
        <v>2273</v>
      </c>
      <c r="O2471" s="8" t="s">
        <v>2274</v>
      </c>
      <c r="P2471" s="6" t="s">
        <v>13533</v>
      </c>
      <c r="Q2471" s="6" t="s">
        <v>31</v>
      </c>
      <c r="R2471" s="6" t="s">
        <v>31</v>
      </c>
      <c r="S2471" s="8" t="s">
        <v>13534</v>
      </c>
      <c r="T2471" s="6" t="s">
        <v>2278</v>
      </c>
      <c r="U2471" s="8" t="s">
        <v>13535</v>
      </c>
      <c r="V2471" s="6" t="s">
        <v>13247</v>
      </c>
      <c r="W2471" s="6" t="s">
        <v>13207</v>
      </c>
      <c r="X2471" s="9" t="str">
        <f>HYPERLINK("https://my.pitchbook.com?p=435852-73P","View People Online")</f>
        <v>View People Online</v>
      </c>
    </row>
    <row r="2472">
      <c r="A2472" s="2" t="s">
        <v>16544</v>
      </c>
      <c r="B2472" s="2" t="s">
        <v>16545</v>
      </c>
      <c r="C2472" s="2" t="s">
        <v>16546</v>
      </c>
      <c r="D2472" s="2" t="s">
        <v>16547</v>
      </c>
      <c r="E2472" s="2" t="s">
        <v>13207</v>
      </c>
      <c r="F2472" s="2" t="s">
        <v>3523</v>
      </c>
      <c r="G2472" s="2" t="s">
        <v>16548</v>
      </c>
      <c r="H2472" s="3" t="s">
        <v>31</v>
      </c>
      <c r="I2472" s="3">
        <v>1.0</v>
      </c>
      <c r="J2472" s="3">
        <v>1.0</v>
      </c>
      <c r="K2472" s="3" t="s">
        <v>31</v>
      </c>
      <c r="L2472" s="4" t="s">
        <v>16549</v>
      </c>
      <c r="M2472" s="2" t="s">
        <v>16550</v>
      </c>
      <c r="N2472" s="2" t="s">
        <v>16551</v>
      </c>
      <c r="O2472" s="4" t="s">
        <v>16552</v>
      </c>
      <c r="P2472" s="2" t="s">
        <v>16553</v>
      </c>
      <c r="Q2472" s="2" t="s">
        <v>16554</v>
      </c>
      <c r="R2472" s="2" t="s">
        <v>31</v>
      </c>
      <c r="S2472" s="4" t="s">
        <v>16555</v>
      </c>
      <c r="T2472" s="2" t="s">
        <v>16556</v>
      </c>
      <c r="U2472" s="4" t="s">
        <v>16557</v>
      </c>
      <c r="V2472" s="2" t="s">
        <v>16558</v>
      </c>
      <c r="W2472" s="2" t="s">
        <v>13207</v>
      </c>
      <c r="X2472" s="5" t="str">
        <f>HYPERLINK("https://my.pitchbook.com?p=102476-53P","View People Online")</f>
        <v>View People Online</v>
      </c>
    </row>
    <row r="2473">
      <c r="A2473" s="6" t="s">
        <v>16559</v>
      </c>
      <c r="B2473" s="6" t="s">
        <v>16560</v>
      </c>
      <c r="C2473" s="6" t="s">
        <v>2854</v>
      </c>
      <c r="D2473" s="6" t="s">
        <v>16561</v>
      </c>
      <c r="E2473" s="6" t="s">
        <v>13207</v>
      </c>
      <c r="F2473" s="6" t="s">
        <v>13218</v>
      </c>
      <c r="G2473" s="6" t="s">
        <v>16562</v>
      </c>
      <c r="H2473" s="7" t="s">
        <v>31</v>
      </c>
      <c r="I2473" s="7">
        <v>2.0</v>
      </c>
      <c r="J2473" s="7">
        <v>1.0</v>
      </c>
      <c r="K2473" s="7">
        <v>1.0</v>
      </c>
      <c r="L2473" s="8" t="s">
        <v>13378</v>
      </c>
      <c r="M2473" s="6" t="s">
        <v>16563</v>
      </c>
      <c r="N2473" s="6" t="s">
        <v>429</v>
      </c>
      <c r="O2473" s="8" t="s">
        <v>430</v>
      </c>
      <c r="P2473" s="6" t="s">
        <v>13380</v>
      </c>
      <c r="Q2473" s="6" t="s">
        <v>31</v>
      </c>
      <c r="R2473" s="6" t="s">
        <v>31</v>
      </c>
      <c r="S2473" s="8" t="s">
        <v>13381</v>
      </c>
      <c r="T2473" s="6" t="s">
        <v>433</v>
      </c>
      <c r="U2473" s="8" t="s">
        <v>13382</v>
      </c>
      <c r="V2473" s="6" t="s">
        <v>16564</v>
      </c>
      <c r="W2473" s="6" t="s">
        <v>13207</v>
      </c>
      <c r="X2473" s="9" t="str">
        <f>HYPERLINK("https://my.pitchbook.com?p=274973-05P","View People Online")</f>
        <v>View People Online</v>
      </c>
    </row>
    <row r="2474">
      <c r="A2474" s="2" t="s">
        <v>16565</v>
      </c>
      <c r="B2474" s="2" t="s">
        <v>16566</v>
      </c>
      <c r="C2474" s="2" t="s">
        <v>481</v>
      </c>
      <c r="D2474" s="2" t="s">
        <v>16567</v>
      </c>
      <c r="E2474" s="2" t="s">
        <v>13207</v>
      </c>
      <c r="F2474" s="2" t="s">
        <v>29</v>
      </c>
      <c r="G2474" s="2" t="s">
        <v>16568</v>
      </c>
      <c r="H2474" s="3" t="s">
        <v>31</v>
      </c>
      <c r="I2474" s="3">
        <v>1.0</v>
      </c>
      <c r="J2474" s="3">
        <v>1.0</v>
      </c>
      <c r="K2474" s="3" t="s">
        <v>31</v>
      </c>
      <c r="L2474" s="4" t="s">
        <v>13378</v>
      </c>
      <c r="M2474" s="2" t="s">
        <v>16569</v>
      </c>
      <c r="N2474" s="2" t="s">
        <v>429</v>
      </c>
      <c r="O2474" s="4" t="s">
        <v>430</v>
      </c>
      <c r="P2474" s="2" t="s">
        <v>13380</v>
      </c>
      <c r="Q2474" s="2" t="s">
        <v>31</v>
      </c>
      <c r="R2474" s="2" t="s">
        <v>31</v>
      </c>
      <c r="S2474" s="4" t="s">
        <v>13381</v>
      </c>
      <c r="T2474" s="2" t="s">
        <v>433</v>
      </c>
      <c r="U2474" s="4" t="s">
        <v>13382</v>
      </c>
      <c r="V2474" s="2" t="s">
        <v>29</v>
      </c>
      <c r="W2474" s="2" t="s">
        <v>13207</v>
      </c>
      <c r="X2474" s="5" t="str">
        <f>HYPERLINK("https://my.pitchbook.com?p=455888-71P","View People Online")</f>
        <v>View People Online</v>
      </c>
    </row>
    <row r="2475">
      <c r="A2475" s="14" t="s">
        <v>16570</v>
      </c>
      <c r="B2475" s="14" t="s">
        <v>16571</v>
      </c>
      <c r="C2475" s="14" t="s">
        <v>481</v>
      </c>
      <c r="D2475" s="14" t="s">
        <v>16572</v>
      </c>
      <c r="E2475" s="14" t="s">
        <v>13207</v>
      </c>
      <c r="F2475" s="14" t="s">
        <v>13218</v>
      </c>
      <c r="G2475" s="14" t="s">
        <v>16573</v>
      </c>
      <c r="H2475" s="15" t="s">
        <v>31</v>
      </c>
      <c r="I2475" s="15">
        <v>1.0</v>
      </c>
      <c r="J2475" s="15">
        <v>1.0</v>
      </c>
      <c r="K2475" s="15" t="s">
        <v>31</v>
      </c>
      <c r="L2475" s="16" t="s">
        <v>13378</v>
      </c>
      <c r="M2475" s="14" t="s">
        <v>16574</v>
      </c>
      <c r="N2475" s="14" t="s">
        <v>429</v>
      </c>
      <c r="O2475" s="16" t="s">
        <v>430</v>
      </c>
      <c r="P2475" s="14" t="s">
        <v>13380</v>
      </c>
      <c r="Q2475" s="14" t="s">
        <v>31</v>
      </c>
      <c r="R2475" s="14" t="s">
        <v>31</v>
      </c>
      <c r="S2475" s="16" t="s">
        <v>13381</v>
      </c>
      <c r="T2475" s="14" t="s">
        <v>433</v>
      </c>
      <c r="U2475" s="16" t="s">
        <v>13382</v>
      </c>
      <c r="V2475" s="14" t="s">
        <v>13218</v>
      </c>
      <c r="W2475" s="14" t="s">
        <v>13207</v>
      </c>
      <c r="X2475" s="17" t="str">
        <f>HYPERLINK("https://my.pitchbook.com?p=456401-62P","View People Online")</f>
        <v>View People Online</v>
      </c>
    </row>
    <row r="2476">
      <c r="A2476" s="10" t="s">
        <v>16575</v>
      </c>
      <c r="B2476" s="10" t="s">
        <v>16576</v>
      </c>
      <c r="C2476" s="10" t="s">
        <v>481</v>
      </c>
      <c r="D2476" s="10" t="s">
        <v>16577</v>
      </c>
      <c r="E2476" s="10" t="s">
        <v>13207</v>
      </c>
      <c r="F2476" s="10" t="s">
        <v>29</v>
      </c>
      <c r="G2476" s="10" t="s">
        <v>16578</v>
      </c>
      <c r="H2476" s="11" t="s">
        <v>31</v>
      </c>
      <c r="I2476" s="11">
        <v>1.0</v>
      </c>
      <c r="J2476" s="11">
        <v>1.0</v>
      </c>
      <c r="K2476" s="11" t="s">
        <v>31</v>
      </c>
      <c r="L2476" s="12" t="s">
        <v>14331</v>
      </c>
      <c r="M2476" s="10" t="s">
        <v>16579</v>
      </c>
      <c r="N2476" s="10" t="s">
        <v>14333</v>
      </c>
      <c r="O2476" s="12" t="s">
        <v>14334</v>
      </c>
      <c r="P2476" s="10" t="s">
        <v>14335</v>
      </c>
      <c r="Q2476" s="10" t="s">
        <v>14336</v>
      </c>
      <c r="R2476" s="10" t="s">
        <v>31</v>
      </c>
      <c r="S2476" s="12" t="s">
        <v>14337</v>
      </c>
      <c r="T2476" s="10" t="s">
        <v>14338</v>
      </c>
      <c r="U2476" s="12" t="s">
        <v>31</v>
      </c>
      <c r="V2476" s="10" t="s">
        <v>29</v>
      </c>
      <c r="W2476" s="10" t="s">
        <v>13207</v>
      </c>
      <c r="X2476" s="13" t="str">
        <f>HYPERLINK("https://my.pitchbook.com?p=455771-44P","View People Online")</f>
        <v>View People Online</v>
      </c>
    </row>
    <row r="2477">
      <c r="A2477" s="14" t="s">
        <v>16580</v>
      </c>
      <c r="B2477" s="14" t="s">
        <v>16581</v>
      </c>
      <c r="C2477" s="14" t="s">
        <v>481</v>
      </c>
      <c r="D2477" s="14" t="s">
        <v>16582</v>
      </c>
      <c r="E2477" s="14" t="s">
        <v>13207</v>
      </c>
      <c r="F2477" s="14" t="s">
        <v>13240</v>
      </c>
      <c r="G2477" s="14" t="s">
        <v>16583</v>
      </c>
      <c r="H2477" s="15" t="s">
        <v>31</v>
      </c>
      <c r="I2477" s="15">
        <v>1.0</v>
      </c>
      <c r="J2477" s="15">
        <v>1.0</v>
      </c>
      <c r="K2477" s="15" t="s">
        <v>31</v>
      </c>
      <c r="L2477" s="16" t="s">
        <v>13378</v>
      </c>
      <c r="M2477" s="14" t="s">
        <v>16584</v>
      </c>
      <c r="N2477" s="14" t="s">
        <v>429</v>
      </c>
      <c r="O2477" s="16" t="s">
        <v>430</v>
      </c>
      <c r="P2477" s="14" t="s">
        <v>13380</v>
      </c>
      <c r="Q2477" s="14" t="s">
        <v>31</v>
      </c>
      <c r="R2477" s="14" t="s">
        <v>31</v>
      </c>
      <c r="S2477" s="16" t="s">
        <v>13381</v>
      </c>
      <c r="T2477" s="14" t="s">
        <v>433</v>
      </c>
      <c r="U2477" s="16" t="s">
        <v>13382</v>
      </c>
      <c r="V2477" s="14" t="s">
        <v>13247</v>
      </c>
      <c r="W2477" s="14" t="s">
        <v>13207</v>
      </c>
      <c r="X2477" s="17" t="str">
        <f>HYPERLINK("https://my.pitchbook.com?p=456874-93P","View People Online")</f>
        <v>View People Online</v>
      </c>
    </row>
    <row r="2478">
      <c r="A2478" s="10" t="s">
        <v>16585</v>
      </c>
      <c r="B2478" s="10" t="s">
        <v>16586</v>
      </c>
      <c r="C2478" s="10" t="s">
        <v>16587</v>
      </c>
      <c r="D2478" s="10" t="s">
        <v>16588</v>
      </c>
      <c r="E2478" s="10" t="s">
        <v>13207</v>
      </c>
      <c r="F2478" s="10" t="s">
        <v>3523</v>
      </c>
      <c r="G2478" s="10" t="s">
        <v>16589</v>
      </c>
      <c r="H2478" s="11" t="s">
        <v>31</v>
      </c>
      <c r="I2478" s="11">
        <v>1.0</v>
      </c>
      <c r="J2478" s="11">
        <v>1.0</v>
      </c>
      <c r="K2478" s="11" t="s">
        <v>31</v>
      </c>
      <c r="L2478" s="12" t="s">
        <v>13378</v>
      </c>
      <c r="M2478" s="10" t="s">
        <v>16590</v>
      </c>
      <c r="N2478" s="10" t="s">
        <v>429</v>
      </c>
      <c r="O2478" s="12" t="s">
        <v>430</v>
      </c>
      <c r="P2478" s="10" t="s">
        <v>13380</v>
      </c>
      <c r="Q2478" s="10" t="s">
        <v>31</v>
      </c>
      <c r="R2478" s="10" t="s">
        <v>31</v>
      </c>
      <c r="S2478" s="12" t="s">
        <v>13381</v>
      </c>
      <c r="T2478" s="10" t="s">
        <v>433</v>
      </c>
      <c r="U2478" s="12" t="s">
        <v>13382</v>
      </c>
      <c r="V2478" s="10" t="s">
        <v>3523</v>
      </c>
      <c r="W2478" s="10" t="s">
        <v>13207</v>
      </c>
      <c r="X2478" s="13" t="str">
        <f>HYPERLINK("https://my.pitchbook.com?p=436182-85P","View People Online")</f>
        <v>View People Online</v>
      </c>
    </row>
    <row r="2479">
      <c r="A2479" s="14" t="s">
        <v>16591</v>
      </c>
      <c r="B2479" s="14" t="s">
        <v>16592</v>
      </c>
      <c r="C2479" s="14" t="s">
        <v>1323</v>
      </c>
      <c r="D2479" s="14" t="s">
        <v>16593</v>
      </c>
      <c r="E2479" s="14" t="s">
        <v>13207</v>
      </c>
      <c r="F2479" s="14" t="s">
        <v>13218</v>
      </c>
      <c r="G2479" s="14" t="s">
        <v>16594</v>
      </c>
      <c r="H2479" s="15" t="s">
        <v>31</v>
      </c>
      <c r="I2479" s="15">
        <v>1.0</v>
      </c>
      <c r="J2479" s="15">
        <v>1.0</v>
      </c>
      <c r="K2479" s="15" t="s">
        <v>31</v>
      </c>
      <c r="L2479" s="16" t="s">
        <v>14014</v>
      </c>
      <c r="M2479" s="14" t="s">
        <v>16595</v>
      </c>
      <c r="N2479" s="14" t="s">
        <v>14016</v>
      </c>
      <c r="O2479" s="16" t="s">
        <v>14017</v>
      </c>
      <c r="P2479" s="14" t="s">
        <v>14018</v>
      </c>
      <c r="Q2479" s="14" t="s">
        <v>14019</v>
      </c>
      <c r="R2479" s="14" t="s">
        <v>31</v>
      </c>
      <c r="S2479" s="16" t="s">
        <v>14020</v>
      </c>
      <c r="T2479" s="14" t="s">
        <v>38</v>
      </c>
      <c r="U2479" s="16" t="s">
        <v>14014</v>
      </c>
      <c r="V2479" s="14" t="s">
        <v>13218</v>
      </c>
      <c r="W2479" s="14" t="s">
        <v>13207</v>
      </c>
      <c r="X2479" s="17" t="str">
        <f>HYPERLINK("https://my.pitchbook.com?p=436118-86P","View People Online")</f>
        <v>View People Online</v>
      </c>
    </row>
    <row r="2480">
      <c r="A2480" s="10" t="s">
        <v>16596</v>
      </c>
      <c r="B2480" s="10" t="s">
        <v>16597</v>
      </c>
      <c r="C2480" s="10" t="s">
        <v>1323</v>
      </c>
      <c r="D2480" s="10" t="s">
        <v>16598</v>
      </c>
      <c r="E2480" s="10" t="s">
        <v>13207</v>
      </c>
      <c r="F2480" s="10" t="s">
        <v>3523</v>
      </c>
      <c r="G2480" s="10" t="s">
        <v>16599</v>
      </c>
      <c r="H2480" s="11" t="s">
        <v>31</v>
      </c>
      <c r="I2480" s="11">
        <v>1.0</v>
      </c>
      <c r="J2480" s="11">
        <v>1.0</v>
      </c>
      <c r="K2480" s="11" t="s">
        <v>31</v>
      </c>
      <c r="L2480" s="12" t="s">
        <v>13642</v>
      </c>
      <c r="M2480" s="10" t="s">
        <v>16600</v>
      </c>
      <c r="N2480" s="10" t="s">
        <v>3334</v>
      </c>
      <c r="O2480" s="12" t="s">
        <v>3335</v>
      </c>
      <c r="P2480" s="10" t="s">
        <v>13644</v>
      </c>
      <c r="Q2480" s="10" t="s">
        <v>13645</v>
      </c>
      <c r="R2480" s="10" t="s">
        <v>31</v>
      </c>
      <c r="S2480" s="12" t="s">
        <v>13646</v>
      </c>
      <c r="T2480" s="10" t="s">
        <v>3339</v>
      </c>
      <c r="U2480" s="12" t="s">
        <v>13647</v>
      </c>
      <c r="V2480" s="10" t="s">
        <v>3523</v>
      </c>
      <c r="W2480" s="10" t="s">
        <v>13207</v>
      </c>
      <c r="X2480" s="13" t="str">
        <f>HYPERLINK("https://my.pitchbook.com?p=435433-69P","View People Online")</f>
        <v>View People Online</v>
      </c>
    </row>
    <row r="2481">
      <c r="A2481" s="14" t="s">
        <v>16601</v>
      </c>
      <c r="B2481" s="14" t="s">
        <v>16602</v>
      </c>
      <c r="C2481" s="14" t="s">
        <v>1323</v>
      </c>
      <c r="D2481" s="14" t="s">
        <v>16603</v>
      </c>
      <c r="E2481" s="14" t="s">
        <v>13207</v>
      </c>
      <c r="F2481" s="14" t="s">
        <v>13218</v>
      </c>
      <c r="G2481" s="14" t="s">
        <v>16604</v>
      </c>
      <c r="H2481" s="15" t="s">
        <v>31</v>
      </c>
      <c r="I2481" s="15">
        <v>1.0</v>
      </c>
      <c r="J2481" s="15">
        <v>1.0</v>
      </c>
      <c r="K2481" s="15" t="s">
        <v>31</v>
      </c>
      <c r="L2481" s="16" t="s">
        <v>13714</v>
      </c>
      <c r="M2481" s="14" t="s">
        <v>16605</v>
      </c>
      <c r="N2481" s="14" t="s">
        <v>13716</v>
      </c>
      <c r="O2481" s="16" t="s">
        <v>13717</v>
      </c>
      <c r="P2481" s="14" t="s">
        <v>13718</v>
      </c>
      <c r="Q2481" s="14" t="s">
        <v>31</v>
      </c>
      <c r="R2481" s="14" t="s">
        <v>31</v>
      </c>
      <c r="S2481" s="16" t="s">
        <v>13719</v>
      </c>
      <c r="T2481" s="14" t="s">
        <v>38</v>
      </c>
      <c r="U2481" s="16" t="s">
        <v>13720</v>
      </c>
      <c r="V2481" s="14" t="s">
        <v>13218</v>
      </c>
      <c r="W2481" s="14" t="s">
        <v>13207</v>
      </c>
      <c r="X2481" s="17" t="str">
        <f>HYPERLINK("https://my.pitchbook.com?p=435859-57P","View People Online")</f>
        <v>View People Online</v>
      </c>
    </row>
    <row r="2482">
      <c r="A2482" s="2" t="s">
        <v>16606</v>
      </c>
      <c r="B2482" s="2" t="s">
        <v>16607</v>
      </c>
      <c r="C2482" s="2" t="s">
        <v>1323</v>
      </c>
      <c r="D2482" s="2" t="s">
        <v>16608</v>
      </c>
      <c r="E2482" s="2" t="s">
        <v>13207</v>
      </c>
      <c r="F2482" s="2" t="s">
        <v>3523</v>
      </c>
      <c r="G2482" s="2" t="s">
        <v>16609</v>
      </c>
      <c r="H2482" s="3" t="s">
        <v>31</v>
      </c>
      <c r="I2482" s="3">
        <v>1.0</v>
      </c>
      <c r="J2482" s="3">
        <v>1.0</v>
      </c>
      <c r="K2482" s="3" t="s">
        <v>31</v>
      </c>
      <c r="L2482" s="4" t="s">
        <v>13412</v>
      </c>
      <c r="M2482" s="2" t="s">
        <v>16610</v>
      </c>
      <c r="N2482" s="2" t="s">
        <v>13414</v>
      </c>
      <c r="O2482" s="4" t="s">
        <v>13415</v>
      </c>
      <c r="P2482" s="2" t="s">
        <v>13416</v>
      </c>
      <c r="Q2482" s="2" t="s">
        <v>31</v>
      </c>
      <c r="R2482" s="2" t="s">
        <v>209</v>
      </c>
      <c r="S2482" s="4" t="s">
        <v>13417</v>
      </c>
      <c r="T2482" s="2" t="s">
        <v>66</v>
      </c>
      <c r="U2482" s="4" t="s">
        <v>13418</v>
      </c>
      <c r="V2482" s="2" t="s">
        <v>3523</v>
      </c>
      <c r="W2482" s="2" t="s">
        <v>13207</v>
      </c>
      <c r="X2482" s="5" t="str">
        <f>HYPERLINK("https://my.pitchbook.com?p=436311-91P","View People Online")</f>
        <v>View People Online</v>
      </c>
    </row>
    <row r="2483">
      <c r="A2483" s="14" t="s">
        <v>16611</v>
      </c>
      <c r="B2483" s="14" t="s">
        <v>16612</v>
      </c>
      <c r="C2483" s="14" t="s">
        <v>16613</v>
      </c>
      <c r="D2483" s="14" t="s">
        <v>16614</v>
      </c>
      <c r="E2483" s="14" t="s">
        <v>13207</v>
      </c>
      <c r="F2483" s="14" t="s">
        <v>2731</v>
      </c>
      <c r="G2483" s="14" t="s">
        <v>16615</v>
      </c>
      <c r="H2483" s="15">
        <v>1.0</v>
      </c>
      <c r="I2483" s="15">
        <v>3.0</v>
      </c>
      <c r="J2483" s="15">
        <v>1.0</v>
      </c>
      <c r="K2483" s="15" t="s">
        <v>31</v>
      </c>
      <c r="L2483" s="16" t="s">
        <v>13549</v>
      </c>
      <c r="M2483" s="14" t="s">
        <v>16616</v>
      </c>
      <c r="N2483" s="14" t="s">
        <v>794</v>
      </c>
      <c r="O2483" s="16" t="s">
        <v>795</v>
      </c>
      <c r="P2483" s="14" t="s">
        <v>13551</v>
      </c>
      <c r="Q2483" s="14" t="s">
        <v>13552</v>
      </c>
      <c r="R2483" s="14" t="s">
        <v>31</v>
      </c>
      <c r="S2483" s="16" t="s">
        <v>13553</v>
      </c>
      <c r="T2483" s="14" t="s">
        <v>796</v>
      </c>
      <c r="U2483" s="16" t="s">
        <v>13554</v>
      </c>
      <c r="V2483" s="14" t="s">
        <v>2731</v>
      </c>
      <c r="W2483" s="14" t="s">
        <v>13207</v>
      </c>
      <c r="X2483" s="17" t="str">
        <f>HYPERLINK("https://my.pitchbook.com?p=57035-44P","View People Online")</f>
        <v>View People Online</v>
      </c>
    </row>
    <row r="2484">
      <c r="A2484" s="2" t="s">
        <v>16617</v>
      </c>
      <c r="B2484" s="2" t="s">
        <v>16618</v>
      </c>
      <c r="C2484" s="2" t="s">
        <v>2865</v>
      </c>
      <c r="D2484" s="2" t="s">
        <v>16619</v>
      </c>
      <c r="E2484" s="2" t="s">
        <v>13207</v>
      </c>
      <c r="F2484" s="2" t="s">
        <v>3523</v>
      </c>
      <c r="G2484" s="2" t="s">
        <v>16620</v>
      </c>
      <c r="H2484" s="3" t="s">
        <v>31</v>
      </c>
      <c r="I2484" s="3">
        <v>1.0</v>
      </c>
      <c r="J2484" s="3">
        <v>1.0</v>
      </c>
      <c r="K2484" s="3" t="s">
        <v>31</v>
      </c>
      <c r="L2484" s="4" t="s">
        <v>13378</v>
      </c>
      <c r="M2484" s="2" t="s">
        <v>16621</v>
      </c>
      <c r="N2484" s="2" t="s">
        <v>429</v>
      </c>
      <c r="O2484" s="4" t="s">
        <v>430</v>
      </c>
      <c r="P2484" s="2" t="s">
        <v>13380</v>
      </c>
      <c r="Q2484" s="2" t="s">
        <v>31</v>
      </c>
      <c r="R2484" s="2" t="s">
        <v>31</v>
      </c>
      <c r="S2484" s="4" t="s">
        <v>13381</v>
      </c>
      <c r="T2484" s="2" t="s">
        <v>433</v>
      </c>
      <c r="U2484" s="4" t="s">
        <v>13382</v>
      </c>
      <c r="V2484" s="2" t="s">
        <v>3523</v>
      </c>
      <c r="W2484" s="2" t="s">
        <v>13207</v>
      </c>
      <c r="X2484" s="5" t="str">
        <f>HYPERLINK("https://my.pitchbook.com?p=455422-78P","View People Online")</f>
        <v>View People Online</v>
      </c>
    </row>
    <row r="2485">
      <c r="A2485" s="14" t="s">
        <v>16622</v>
      </c>
      <c r="B2485" s="14" t="s">
        <v>16623</v>
      </c>
      <c r="C2485" s="14" t="s">
        <v>2865</v>
      </c>
      <c r="D2485" s="14" t="s">
        <v>16624</v>
      </c>
      <c r="E2485" s="14" t="s">
        <v>13207</v>
      </c>
      <c r="F2485" s="14" t="s">
        <v>13218</v>
      </c>
      <c r="G2485" s="14" t="s">
        <v>16625</v>
      </c>
      <c r="H2485" s="15" t="s">
        <v>31</v>
      </c>
      <c r="I2485" s="15">
        <v>1.0</v>
      </c>
      <c r="J2485" s="15">
        <v>1.0</v>
      </c>
      <c r="K2485" s="15" t="s">
        <v>31</v>
      </c>
      <c r="L2485" s="16" t="s">
        <v>14331</v>
      </c>
      <c r="M2485" s="14" t="s">
        <v>16626</v>
      </c>
      <c r="N2485" s="14" t="s">
        <v>14333</v>
      </c>
      <c r="O2485" s="16" t="s">
        <v>14334</v>
      </c>
      <c r="P2485" s="14" t="s">
        <v>14335</v>
      </c>
      <c r="Q2485" s="14" t="s">
        <v>14336</v>
      </c>
      <c r="R2485" s="14" t="s">
        <v>31</v>
      </c>
      <c r="S2485" s="16" t="s">
        <v>14337</v>
      </c>
      <c r="T2485" s="14" t="s">
        <v>14338</v>
      </c>
      <c r="U2485" s="16" t="s">
        <v>31</v>
      </c>
      <c r="V2485" s="14" t="s">
        <v>13218</v>
      </c>
      <c r="W2485" s="14" t="s">
        <v>13207</v>
      </c>
      <c r="X2485" s="17" t="str">
        <f>HYPERLINK("https://my.pitchbook.com?p=435740-59P","View People Online")</f>
        <v>View People Online</v>
      </c>
    </row>
    <row r="2486">
      <c r="A2486" s="10" t="s">
        <v>16627</v>
      </c>
      <c r="B2486" s="10" t="s">
        <v>16628</v>
      </c>
      <c r="C2486" s="10" t="s">
        <v>16629</v>
      </c>
      <c r="D2486" s="10" t="s">
        <v>16630</v>
      </c>
      <c r="E2486" s="10" t="s">
        <v>13207</v>
      </c>
      <c r="F2486" s="10" t="s">
        <v>3523</v>
      </c>
      <c r="G2486" s="10" t="s">
        <v>16631</v>
      </c>
      <c r="H2486" s="11" t="s">
        <v>31</v>
      </c>
      <c r="I2486" s="11">
        <v>1.0</v>
      </c>
      <c r="J2486" s="11">
        <v>1.0</v>
      </c>
      <c r="K2486" s="11" t="s">
        <v>31</v>
      </c>
      <c r="L2486" s="12" t="s">
        <v>13209</v>
      </c>
      <c r="M2486" s="10" t="s">
        <v>16632</v>
      </c>
      <c r="N2486" s="10" t="s">
        <v>4232</v>
      </c>
      <c r="O2486" s="12" t="s">
        <v>4233</v>
      </c>
      <c r="P2486" s="10" t="s">
        <v>13211</v>
      </c>
      <c r="Q2486" s="10" t="s">
        <v>31</v>
      </c>
      <c r="R2486" s="10" t="s">
        <v>4236</v>
      </c>
      <c r="S2486" s="12" t="s">
        <v>13212</v>
      </c>
      <c r="T2486" s="10" t="s">
        <v>66</v>
      </c>
      <c r="U2486" s="12" t="s">
        <v>13213</v>
      </c>
      <c r="V2486" s="10" t="s">
        <v>3523</v>
      </c>
      <c r="W2486" s="10" t="s">
        <v>13207</v>
      </c>
      <c r="X2486" s="13" t="str">
        <f>HYPERLINK("https://my.pitchbook.com?p=455824-72P","View People Online")</f>
        <v>View People Online</v>
      </c>
    </row>
    <row r="2487">
      <c r="A2487" s="14" t="s">
        <v>16633</v>
      </c>
      <c r="B2487" s="14" t="s">
        <v>16634</v>
      </c>
      <c r="C2487" s="14" t="s">
        <v>16635</v>
      </c>
      <c r="D2487" s="14" t="s">
        <v>214</v>
      </c>
      <c r="E2487" s="14" t="s">
        <v>13207</v>
      </c>
      <c r="F2487" s="14" t="s">
        <v>13218</v>
      </c>
      <c r="G2487" s="14" t="s">
        <v>16636</v>
      </c>
      <c r="H2487" s="15" t="s">
        <v>31</v>
      </c>
      <c r="I2487" s="15">
        <v>1.0</v>
      </c>
      <c r="J2487" s="15">
        <v>1.0</v>
      </c>
      <c r="K2487" s="15" t="s">
        <v>31</v>
      </c>
      <c r="L2487" s="16" t="s">
        <v>13657</v>
      </c>
      <c r="M2487" s="14" t="s">
        <v>16637</v>
      </c>
      <c r="N2487" s="14" t="s">
        <v>13659</v>
      </c>
      <c r="O2487" s="16" t="s">
        <v>13660</v>
      </c>
      <c r="P2487" s="14" t="s">
        <v>13661</v>
      </c>
      <c r="Q2487" s="14" t="s">
        <v>31</v>
      </c>
      <c r="R2487" s="14" t="s">
        <v>31</v>
      </c>
      <c r="S2487" s="16" t="s">
        <v>13662</v>
      </c>
      <c r="T2487" s="14" t="s">
        <v>38</v>
      </c>
      <c r="U2487" s="16" t="s">
        <v>13663</v>
      </c>
      <c r="V2487" s="14" t="s">
        <v>13218</v>
      </c>
      <c r="W2487" s="14" t="s">
        <v>13207</v>
      </c>
      <c r="X2487" s="17" t="str">
        <f>HYPERLINK("https://my.pitchbook.com?p=435215-71P","View People Online")</f>
        <v>View People Online</v>
      </c>
    </row>
    <row r="2488">
      <c r="A2488" s="10" t="s">
        <v>16638</v>
      </c>
      <c r="B2488" s="10" t="s">
        <v>16639</v>
      </c>
      <c r="C2488" s="10" t="s">
        <v>16640</v>
      </c>
      <c r="D2488" s="10" t="s">
        <v>16641</v>
      </c>
      <c r="E2488" s="10" t="s">
        <v>13207</v>
      </c>
      <c r="F2488" s="10" t="s">
        <v>29</v>
      </c>
      <c r="G2488" s="10" t="s">
        <v>16642</v>
      </c>
      <c r="H2488" s="11" t="s">
        <v>31</v>
      </c>
      <c r="I2488" s="11">
        <v>1.0</v>
      </c>
      <c r="J2488" s="11">
        <v>1.0</v>
      </c>
      <c r="K2488" s="11" t="s">
        <v>31</v>
      </c>
      <c r="L2488" s="12" t="s">
        <v>15473</v>
      </c>
      <c r="M2488" s="10" t="s">
        <v>16643</v>
      </c>
      <c r="N2488" s="10" t="s">
        <v>15475</v>
      </c>
      <c r="O2488" s="12" t="s">
        <v>15476</v>
      </c>
      <c r="P2488" s="10" t="s">
        <v>15477</v>
      </c>
      <c r="Q2488" s="10" t="s">
        <v>31</v>
      </c>
      <c r="R2488" s="10" t="s">
        <v>31</v>
      </c>
      <c r="S2488" s="12" t="s">
        <v>15478</v>
      </c>
      <c r="T2488" s="10" t="s">
        <v>3104</v>
      </c>
      <c r="U2488" s="12" t="s">
        <v>15479</v>
      </c>
      <c r="V2488" s="10" t="s">
        <v>29</v>
      </c>
      <c r="W2488" s="10" t="s">
        <v>13207</v>
      </c>
      <c r="X2488" s="13" t="str">
        <f>HYPERLINK("https://my.pitchbook.com?p=426882-70P","View People Online")</f>
        <v>View People Online</v>
      </c>
    </row>
    <row r="2489">
      <c r="A2489" s="6" t="s">
        <v>16644</v>
      </c>
      <c r="B2489" s="6" t="s">
        <v>16645</v>
      </c>
      <c r="C2489" s="6" t="s">
        <v>8294</v>
      </c>
      <c r="D2489" s="6" t="s">
        <v>16646</v>
      </c>
      <c r="E2489" s="6" t="s">
        <v>13207</v>
      </c>
      <c r="F2489" s="6" t="s">
        <v>29</v>
      </c>
      <c r="G2489" s="6" t="s">
        <v>16647</v>
      </c>
      <c r="H2489" s="7" t="s">
        <v>31</v>
      </c>
      <c r="I2489" s="7">
        <v>1.0</v>
      </c>
      <c r="J2489" s="7">
        <v>1.0</v>
      </c>
      <c r="K2489" s="7" t="s">
        <v>31</v>
      </c>
      <c r="L2489" s="8" t="s">
        <v>13766</v>
      </c>
      <c r="M2489" s="6" t="s">
        <v>16648</v>
      </c>
      <c r="N2489" s="6" t="s">
        <v>13768</v>
      </c>
      <c r="O2489" s="8" t="s">
        <v>13769</v>
      </c>
      <c r="P2489" s="6" t="s">
        <v>13770</v>
      </c>
      <c r="Q2489" s="6" t="s">
        <v>13771</v>
      </c>
      <c r="R2489" s="6" t="s">
        <v>31</v>
      </c>
      <c r="S2489" s="8" t="s">
        <v>13772</v>
      </c>
      <c r="T2489" s="6" t="s">
        <v>13773</v>
      </c>
      <c r="U2489" s="8" t="s">
        <v>31</v>
      </c>
      <c r="V2489" s="6" t="s">
        <v>29</v>
      </c>
      <c r="W2489" s="6" t="s">
        <v>13207</v>
      </c>
      <c r="X2489" s="9" t="str">
        <f>HYPERLINK("https://my.pitchbook.com?p=434889-01P","View People Online")</f>
        <v>View People Online</v>
      </c>
    </row>
    <row r="2490">
      <c r="A2490" s="2" t="s">
        <v>16649</v>
      </c>
      <c r="B2490" s="2" t="s">
        <v>16650</v>
      </c>
      <c r="C2490" s="2" t="s">
        <v>16651</v>
      </c>
      <c r="D2490" s="2" t="s">
        <v>16652</v>
      </c>
      <c r="E2490" s="2" t="s">
        <v>13207</v>
      </c>
      <c r="F2490" s="2" t="s">
        <v>13240</v>
      </c>
      <c r="G2490" s="2" t="s">
        <v>16653</v>
      </c>
      <c r="H2490" s="3" t="s">
        <v>31</v>
      </c>
      <c r="I2490" s="3">
        <v>1.0</v>
      </c>
      <c r="J2490" s="3">
        <v>1.0</v>
      </c>
      <c r="K2490" s="3" t="s">
        <v>31</v>
      </c>
      <c r="L2490" s="4" t="s">
        <v>13378</v>
      </c>
      <c r="M2490" s="2" t="s">
        <v>16654</v>
      </c>
      <c r="N2490" s="2" t="s">
        <v>429</v>
      </c>
      <c r="O2490" s="4" t="s">
        <v>430</v>
      </c>
      <c r="P2490" s="2" t="s">
        <v>13380</v>
      </c>
      <c r="Q2490" s="2" t="s">
        <v>31</v>
      </c>
      <c r="R2490" s="2" t="s">
        <v>31</v>
      </c>
      <c r="S2490" s="4" t="s">
        <v>13381</v>
      </c>
      <c r="T2490" s="2" t="s">
        <v>433</v>
      </c>
      <c r="U2490" s="4" t="s">
        <v>13382</v>
      </c>
      <c r="V2490" s="2" t="s">
        <v>16655</v>
      </c>
      <c r="W2490" s="2" t="s">
        <v>13207</v>
      </c>
      <c r="X2490" s="5" t="str">
        <f>HYPERLINK("https://my.pitchbook.com?p=435855-43P","View People Online")</f>
        <v>View People Online</v>
      </c>
    </row>
    <row r="2491">
      <c r="A2491" s="6" t="s">
        <v>16656</v>
      </c>
      <c r="B2491" s="6" t="s">
        <v>16657</v>
      </c>
      <c r="C2491" s="6" t="s">
        <v>16651</v>
      </c>
      <c r="D2491" s="6" t="s">
        <v>16658</v>
      </c>
      <c r="E2491" s="6" t="s">
        <v>13207</v>
      </c>
      <c r="F2491" s="6" t="s">
        <v>3523</v>
      </c>
      <c r="G2491" s="6" t="s">
        <v>16659</v>
      </c>
      <c r="H2491" s="7" t="s">
        <v>31</v>
      </c>
      <c r="I2491" s="7">
        <v>1.0</v>
      </c>
      <c r="J2491" s="7">
        <v>1.0</v>
      </c>
      <c r="K2491" s="7" t="s">
        <v>31</v>
      </c>
      <c r="L2491" s="8" t="s">
        <v>13766</v>
      </c>
      <c r="M2491" s="6" t="s">
        <v>16660</v>
      </c>
      <c r="N2491" s="6" t="s">
        <v>13768</v>
      </c>
      <c r="O2491" s="8" t="s">
        <v>13769</v>
      </c>
      <c r="P2491" s="6" t="s">
        <v>13770</v>
      </c>
      <c r="Q2491" s="6" t="s">
        <v>13771</v>
      </c>
      <c r="R2491" s="6" t="s">
        <v>31</v>
      </c>
      <c r="S2491" s="8" t="s">
        <v>13772</v>
      </c>
      <c r="T2491" s="6" t="s">
        <v>13773</v>
      </c>
      <c r="U2491" s="8" t="s">
        <v>31</v>
      </c>
      <c r="V2491" s="6" t="s">
        <v>3523</v>
      </c>
      <c r="W2491" s="6" t="s">
        <v>13207</v>
      </c>
      <c r="X2491" s="9" t="str">
        <f>HYPERLINK("https://my.pitchbook.com?p=456248-53P","View People Online")</f>
        <v>View People Online</v>
      </c>
    </row>
    <row r="2492">
      <c r="A2492" s="10" t="s">
        <v>16661</v>
      </c>
      <c r="B2492" s="10" t="s">
        <v>16662</v>
      </c>
      <c r="C2492" s="10" t="s">
        <v>16663</v>
      </c>
      <c r="D2492" s="10" t="s">
        <v>16664</v>
      </c>
      <c r="E2492" s="10" t="s">
        <v>13207</v>
      </c>
      <c r="F2492" s="10" t="s">
        <v>3523</v>
      </c>
      <c r="G2492" s="10" t="s">
        <v>16665</v>
      </c>
      <c r="H2492" s="11" t="s">
        <v>31</v>
      </c>
      <c r="I2492" s="11">
        <v>1.0</v>
      </c>
      <c r="J2492" s="11">
        <v>1.0</v>
      </c>
      <c r="K2492" s="11" t="s">
        <v>31</v>
      </c>
      <c r="L2492" s="12" t="s">
        <v>13540</v>
      </c>
      <c r="M2492" s="10" t="s">
        <v>16666</v>
      </c>
      <c r="N2492" s="10" t="s">
        <v>418</v>
      </c>
      <c r="O2492" s="12" t="s">
        <v>419</v>
      </c>
      <c r="P2492" s="10" t="s">
        <v>13542</v>
      </c>
      <c r="Q2492" s="10" t="s">
        <v>31</v>
      </c>
      <c r="R2492" s="10" t="s">
        <v>31</v>
      </c>
      <c r="S2492" s="12" t="s">
        <v>2664</v>
      </c>
      <c r="T2492" s="10" t="s">
        <v>422</v>
      </c>
      <c r="U2492" s="12" t="s">
        <v>13543</v>
      </c>
      <c r="V2492" s="10" t="s">
        <v>3523</v>
      </c>
      <c r="W2492" s="10" t="s">
        <v>13207</v>
      </c>
      <c r="X2492" s="13" t="str">
        <f>HYPERLINK("https://my.pitchbook.com?p=456587-29P","View People Online")</f>
        <v>View People Online</v>
      </c>
    </row>
    <row r="2493">
      <c r="A2493" s="14" t="s">
        <v>16667</v>
      </c>
      <c r="B2493" s="14" t="s">
        <v>16668</v>
      </c>
      <c r="C2493" s="14" t="s">
        <v>16663</v>
      </c>
      <c r="D2493" s="14" t="s">
        <v>16669</v>
      </c>
      <c r="E2493" s="14" t="s">
        <v>13207</v>
      </c>
      <c r="F2493" s="14" t="s">
        <v>13307</v>
      </c>
      <c r="G2493" s="14" t="s">
        <v>16670</v>
      </c>
      <c r="H2493" s="15" t="s">
        <v>31</v>
      </c>
      <c r="I2493" s="15">
        <v>1.0</v>
      </c>
      <c r="J2493" s="15">
        <v>1.0</v>
      </c>
      <c r="K2493" s="15" t="s">
        <v>31</v>
      </c>
      <c r="L2493" s="16" t="s">
        <v>13345</v>
      </c>
      <c r="M2493" s="14" t="s">
        <v>16671</v>
      </c>
      <c r="N2493" s="14" t="s">
        <v>2764</v>
      </c>
      <c r="O2493" s="16" t="s">
        <v>2765</v>
      </c>
      <c r="P2493" s="14" t="s">
        <v>13347</v>
      </c>
      <c r="Q2493" s="14" t="s">
        <v>31</v>
      </c>
      <c r="R2493" s="14" t="s">
        <v>31</v>
      </c>
      <c r="S2493" s="16" t="s">
        <v>13348</v>
      </c>
      <c r="T2493" s="14" t="s">
        <v>2768</v>
      </c>
      <c r="U2493" s="16" t="s">
        <v>13349</v>
      </c>
      <c r="V2493" s="14" t="s">
        <v>16672</v>
      </c>
      <c r="W2493" s="14" t="s">
        <v>13207</v>
      </c>
      <c r="X2493" s="17" t="str">
        <f>HYPERLINK("https://my.pitchbook.com?p=436313-35P","View People Online")</f>
        <v>View People Online</v>
      </c>
    </row>
    <row r="2494">
      <c r="A2494" s="2" t="s">
        <v>16673</v>
      </c>
      <c r="B2494" s="2" t="s">
        <v>16674</v>
      </c>
      <c r="C2494" s="2" t="s">
        <v>16675</v>
      </c>
      <c r="D2494" s="2" t="s">
        <v>16676</v>
      </c>
      <c r="E2494" s="2" t="s">
        <v>13207</v>
      </c>
      <c r="F2494" s="2" t="s">
        <v>13240</v>
      </c>
      <c r="G2494" s="2" t="s">
        <v>16677</v>
      </c>
      <c r="H2494" s="3" t="s">
        <v>31</v>
      </c>
      <c r="I2494" s="3">
        <v>1.0</v>
      </c>
      <c r="J2494" s="3">
        <v>1.0</v>
      </c>
      <c r="K2494" s="3" t="s">
        <v>31</v>
      </c>
      <c r="L2494" s="4" t="s">
        <v>13209</v>
      </c>
      <c r="M2494" s="2" t="s">
        <v>16678</v>
      </c>
      <c r="N2494" s="2" t="s">
        <v>4232</v>
      </c>
      <c r="O2494" s="4" t="s">
        <v>4233</v>
      </c>
      <c r="P2494" s="2" t="s">
        <v>13211</v>
      </c>
      <c r="Q2494" s="2" t="s">
        <v>31</v>
      </c>
      <c r="R2494" s="2" t="s">
        <v>4236</v>
      </c>
      <c r="S2494" s="4" t="s">
        <v>13212</v>
      </c>
      <c r="T2494" s="2" t="s">
        <v>66</v>
      </c>
      <c r="U2494" s="4" t="s">
        <v>13213</v>
      </c>
      <c r="V2494" s="2" t="s">
        <v>13247</v>
      </c>
      <c r="W2494" s="2" t="s">
        <v>13207</v>
      </c>
      <c r="X2494" s="5" t="str">
        <f>HYPERLINK("https://my.pitchbook.com?p=326912-05P","View People Online")</f>
        <v>View People Online</v>
      </c>
    </row>
    <row r="2495">
      <c r="A2495" s="6" t="s">
        <v>16679</v>
      </c>
      <c r="B2495" s="6" t="s">
        <v>16680</v>
      </c>
      <c r="C2495" s="6" t="s">
        <v>16681</v>
      </c>
      <c r="D2495" s="6" t="s">
        <v>3644</v>
      </c>
      <c r="E2495" s="6" t="s">
        <v>13207</v>
      </c>
      <c r="F2495" s="6" t="s">
        <v>13218</v>
      </c>
      <c r="G2495" s="6" t="s">
        <v>16682</v>
      </c>
      <c r="H2495" s="7" t="s">
        <v>31</v>
      </c>
      <c r="I2495" s="7">
        <v>1.0</v>
      </c>
      <c r="J2495" s="7">
        <v>1.0</v>
      </c>
      <c r="K2495" s="7" t="s">
        <v>31</v>
      </c>
      <c r="L2495" s="8" t="s">
        <v>13642</v>
      </c>
      <c r="M2495" s="6" t="s">
        <v>16683</v>
      </c>
      <c r="N2495" s="6" t="s">
        <v>3334</v>
      </c>
      <c r="O2495" s="8" t="s">
        <v>3335</v>
      </c>
      <c r="P2495" s="6" t="s">
        <v>13644</v>
      </c>
      <c r="Q2495" s="6" t="s">
        <v>13645</v>
      </c>
      <c r="R2495" s="6" t="s">
        <v>31</v>
      </c>
      <c r="S2495" s="8" t="s">
        <v>13646</v>
      </c>
      <c r="T2495" s="6" t="s">
        <v>3339</v>
      </c>
      <c r="U2495" s="8" t="s">
        <v>13647</v>
      </c>
      <c r="V2495" s="6" t="s">
        <v>13218</v>
      </c>
      <c r="W2495" s="6" t="s">
        <v>13207</v>
      </c>
      <c r="X2495" s="9" t="str">
        <f>HYPERLINK("https://my.pitchbook.com?p=435626-02P","View People Online")</f>
        <v>View People Online</v>
      </c>
    </row>
    <row r="2496">
      <c r="A2496" s="2" t="s">
        <v>16684</v>
      </c>
      <c r="B2496" s="2" t="s">
        <v>16685</v>
      </c>
      <c r="C2496" s="2" t="s">
        <v>16686</v>
      </c>
      <c r="D2496" s="2" t="s">
        <v>16687</v>
      </c>
      <c r="E2496" s="2" t="s">
        <v>13207</v>
      </c>
      <c r="F2496" s="2" t="s">
        <v>3523</v>
      </c>
      <c r="G2496" s="2" t="s">
        <v>16688</v>
      </c>
      <c r="H2496" s="3" t="s">
        <v>31</v>
      </c>
      <c r="I2496" s="3">
        <v>1.0</v>
      </c>
      <c r="J2496" s="3">
        <v>1.0</v>
      </c>
      <c r="K2496" s="3" t="s">
        <v>31</v>
      </c>
      <c r="L2496" s="4" t="s">
        <v>13231</v>
      </c>
      <c r="M2496" s="2" t="s">
        <v>16689</v>
      </c>
      <c r="N2496" s="2" t="s">
        <v>1203</v>
      </c>
      <c r="O2496" s="4" t="s">
        <v>1204</v>
      </c>
      <c r="P2496" s="2" t="s">
        <v>13233</v>
      </c>
      <c r="Q2496" s="2" t="s">
        <v>13234</v>
      </c>
      <c r="R2496" s="2" t="s">
        <v>1207</v>
      </c>
      <c r="S2496" s="4" t="s">
        <v>13235</v>
      </c>
      <c r="T2496" s="2" t="s">
        <v>1209</v>
      </c>
      <c r="U2496" s="4" t="s">
        <v>31</v>
      </c>
      <c r="V2496" s="2" t="s">
        <v>3523</v>
      </c>
      <c r="W2496" s="2" t="s">
        <v>13207</v>
      </c>
      <c r="X2496" s="5" t="str">
        <f>HYPERLINK("https://my.pitchbook.com?p=435336-58P","View People Online")</f>
        <v>View People Online</v>
      </c>
    </row>
    <row r="2497">
      <c r="A2497" s="14" t="s">
        <v>16690</v>
      </c>
      <c r="B2497" s="14" t="s">
        <v>16691</v>
      </c>
      <c r="C2497" s="14" t="s">
        <v>16692</v>
      </c>
      <c r="D2497" s="14" t="s">
        <v>16693</v>
      </c>
      <c r="E2497" s="14" t="s">
        <v>13207</v>
      </c>
      <c r="F2497" s="14" t="s">
        <v>13218</v>
      </c>
      <c r="G2497" s="14" t="s">
        <v>16694</v>
      </c>
      <c r="H2497" s="15" t="s">
        <v>31</v>
      </c>
      <c r="I2497" s="15">
        <v>1.0</v>
      </c>
      <c r="J2497" s="15">
        <v>1.0</v>
      </c>
      <c r="K2497" s="15" t="s">
        <v>31</v>
      </c>
      <c r="L2497" s="16" t="s">
        <v>13220</v>
      </c>
      <c r="M2497" s="14" t="s">
        <v>16695</v>
      </c>
      <c r="N2497" s="14" t="s">
        <v>2478</v>
      </c>
      <c r="O2497" s="16" t="s">
        <v>7332</v>
      </c>
      <c r="P2497" s="14" t="s">
        <v>13222</v>
      </c>
      <c r="Q2497" s="14" t="s">
        <v>13223</v>
      </c>
      <c r="R2497" s="14" t="s">
        <v>7335</v>
      </c>
      <c r="S2497" s="16" t="s">
        <v>7336</v>
      </c>
      <c r="T2497" s="14" t="s">
        <v>5484</v>
      </c>
      <c r="U2497" s="16" t="s">
        <v>13224</v>
      </c>
      <c r="V2497" s="14" t="s">
        <v>13218</v>
      </c>
      <c r="W2497" s="14" t="s">
        <v>13207</v>
      </c>
      <c r="X2497" s="17" t="str">
        <f>HYPERLINK("https://my.pitchbook.com?p=435716-29P","View People Online")</f>
        <v>View People Online</v>
      </c>
    </row>
    <row r="2498">
      <c r="A2498" s="2" t="s">
        <v>16696</v>
      </c>
      <c r="B2498" s="2" t="s">
        <v>16697</v>
      </c>
      <c r="C2498" s="2" t="s">
        <v>16698</v>
      </c>
      <c r="D2498" s="2" t="s">
        <v>16699</v>
      </c>
      <c r="E2498" s="2" t="s">
        <v>13207</v>
      </c>
      <c r="F2498" s="2" t="s">
        <v>270</v>
      </c>
      <c r="G2498" s="2" t="s">
        <v>16700</v>
      </c>
      <c r="H2498" s="3" t="s">
        <v>31</v>
      </c>
      <c r="I2498" s="3">
        <v>1.0</v>
      </c>
      <c r="J2498" s="3">
        <v>1.0</v>
      </c>
      <c r="K2498" s="3" t="s">
        <v>31</v>
      </c>
      <c r="L2498" s="4" t="s">
        <v>13743</v>
      </c>
      <c r="M2498" s="2" t="s">
        <v>16701</v>
      </c>
      <c r="N2498" s="2" t="s">
        <v>1034</v>
      </c>
      <c r="O2498" s="4" t="s">
        <v>1035</v>
      </c>
      <c r="P2498" s="2" t="s">
        <v>13745</v>
      </c>
      <c r="Q2498" s="2" t="s">
        <v>13746</v>
      </c>
      <c r="R2498" s="2" t="s">
        <v>31</v>
      </c>
      <c r="S2498" s="4" t="s">
        <v>13747</v>
      </c>
      <c r="T2498" s="2" t="s">
        <v>1034</v>
      </c>
      <c r="U2498" s="4" t="s">
        <v>13748</v>
      </c>
      <c r="V2498" s="2" t="s">
        <v>16702</v>
      </c>
      <c r="W2498" s="2" t="s">
        <v>13207</v>
      </c>
      <c r="X2498" s="5" t="str">
        <f>HYPERLINK("https://my.pitchbook.com?p=301432-87P","View People Online")</f>
        <v>View People Online</v>
      </c>
    </row>
    <row r="2499">
      <c r="A2499" s="6" t="s">
        <v>16703</v>
      </c>
      <c r="B2499" s="6" t="s">
        <v>16704</v>
      </c>
      <c r="C2499" s="6" t="s">
        <v>5003</v>
      </c>
      <c r="D2499" s="6" t="s">
        <v>1691</v>
      </c>
      <c r="E2499" s="6" t="s">
        <v>13207</v>
      </c>
      <c r="F2499" s="6" t="s">
        <v>2731</v>
      </c>
      <c r="G2499" s="6" t="s">
        <v>16705</v>
      </c>
      <c r="H2499" s="7" t="s">
        <v>31</v>
      </c>
      <c r="I2499" s="7">
        <v>1.0</v>
      </c>
      <c r="J2499" s="7">
        <v>1.0</v>
      </c>
      <c r="K2499" s="7" t="s">
        <v>31</v>
      </c>
      <c r="L2499" s="8" t="s">
        <v>13220</v>
      </c>
      <c r="M2499" s="6" t="s">
        <v>16706</v>
      </c>
      <c r="N2499" s="6" t="s">
        <v>2478</v>
      </c>
      <c r="O2499" s="8" t="s">
        <v>7332</v>
      </c>
      <c r="P2499" s="6" t="s">
        <v>13222</v>
      </c>
      <c r="Q2499" s="6" t="s">
        <v>13223</v>
      </c>
      <c r="R2499" s="6" t="s">
        <v>7335</v>
      </c>
      <c r="S2499" s="8" t="s">
        <v>7336</v>
      </c>
      <c r="T2499" s="6" t="s">
        <v>5484</v>
      </c>
      <c r="U2499" s="8" t="s">
        <v>13224</v>
      </c>
      <c r="V2499" s="6" t="s">
        <v>2731</v>
      </c>
      <c r="W2499" s="6" t="s">
        <v>13207</v>
      </c>
      <c r="X2499" s="9" t="str">
        <f>HYPERLINK("https://my.pitchbook.com?p=289777-24P","View People Online")</f>
        <v>View People Online</v>
      </c>
    </row>
    <row r="2500">
      <c r="A2500" s="10" t="s">
        <v>16707</v>
      </c>
      <c r="B2500" s="10" t="s">
        <v>16708</v>
      </c>
      <c r="C2500" s="10" t="s">
        <v>16709</v>
      </c>
      <c r="D2500" s="10" t="s">
        <v>2922</v>
      </c>
      <c r="E2500" s="10" t="s">
        <v>13207</v>
      </c>
      <c r="F2500" s="10" t="s">
        <v>13218</v>
      </c>
      <c r="G2500" s="10" t="s">
        <v>16710</v>
      </c>
      <c r="H2500" s="11" t="s">
        <v>31</v>
      </c>
      <c r="I2500" s="11">
        <v>1.0</v>
      </c>
      <c r="J2500" s="11">
        <v>1.0</v>
      </c>
      <c r="K2500" s="11" t="s">
        <v>31</v>
      </c>
      <c r="L2500" s="12" t="s">
        <v>13242</v>
      </c>
      <c r="M2500" s="10" t="s">
        <v>16711</v>
      </c>
      <c r="N2500" s="10" t="s">
        <v>9865</v>
      </c>
      <c r="O2500" s="12" t="s">
        <v>9866</v>
      </c>
      <c r="P2500" s="10" t="s">
        <v>13244</v>
      </c>
      <c r="Q2500" s="10" t="s">
        <v>31</v>
      </c>
      <c r="R2500" s="10" t="s">
        <v>31</v>
      </c>
      <c r="S2500" s="12" t="s">
        <v>13245</v>
      </c>
      <c r="T2500" s="10" t="s">
        <v>38</v>
      </c>
      <c r="U2500" s="12" t="s">
        <v>13246</v>
      </c>
      <c r="V2500" s="10" t="s">
        <v>13218</v>
      </c>
      <c r="W2500" s="10" t="s">
        <v>13207</v>
      </c>
      <c r="X2500" s="13" t="str">
        <f>HYPERLINK("https://my.pitchbook.com?p=436208-77P","View People Online")</f>
        <v>View People Online</v>
      </c>
    </row>
    <row r="2501">
      <c r="A2501" s="6" t="s">
        <v>16712</v>
      </c>
      <c r="B2501" s="6" t="s">
        <v>16713</v>
      </c>
      <c r="C2501" s="6" t="s">
        <v>16709</v>
      </c>
      <c r="D2501" s="6" t="s">
        <v>16714</v>
      </c>
      <c r="E2501" s="6" t="s">
        <v>13207</v>
      </c>
      <c r="F2501" s="6" t="s">
        <v>3523</v>
      </c>
      <c r="G2501" s="6" t="s">
        <v>16715</v>
      </c>
      <c r="H2501" s="7" t="s">
        <v>31</v>
      </c>
      <c r="I2501" s="7">
        <v>1.0</v>
      </c>
      <c r="J2501" s="7">
        <v>1.0</v>
      </c>
      <c r="K2501" s="7" t="s">
        <v>31</v>
      </c>
      <c r="L2501" s="8" t="s">
        <v>13724</v>
      </c>
      <c r="M2501" s="6" t="s">
        <v>16716</v>
      </c>
      <c r="N2501" s="6" t="s">
        <v>34</v>
      </c>
      <c r="O2501" s="8" t="s">
        <v>35</v>
      </c>
      <c r="P2501" s="6" t="s">
        <v>13726</v>
      </c>
      <c r="Q2501" s="6" t="s">
        <v>31</v>
      </c>
      <c r="R2501" s="6" t="s">
        <v>31</v>
      </c>
      <c r="S2501" s="8" t="s">
        <v>13727</v>
      </c>
      <c r="T2501" s="6" t="s">
        <v>38</v>
      </c>
      <c r="U2501" s="8" t="s">
        <v>13728</v>
      </c>
      <c r="V2501" s="6" t="s">
        <v>3523</v>
      </c>
      <c r="W2501" s="6" t="s">
        <v>13207</v>
      </c>
      <c r="X2501" s="9" t="str">
        <f>HYPERLINK("https://my.pitchbook.com?p=435587-05P","View People Online")</f>
        <v>View People Online</v>
      </c>
    </row>
    <row r="2502">
      <c r="A2502" s="2" t="s">
        <v>16717</v>
      </c>
      <c r="B2502" s="2" t="s">
        <v>16718</v>
      </c>
      <c r="C2502" s="2" t="s">
        <v>2871</v>
      </c>
      <c r="D2502" s="2" t="s">
        <v>16719</v>
      </c>
      <c r="E2502" s="2" t="s">
        <v>13207</v>
      </c>
      <c r="F2502" s="2" t="s">
        <v>2731</v>
      </c>
      <c r="G2502" s="2" t="s">
        <v>16720</v>
      </c>
      <c r="H2502" s="3" t="s">
        <v>31</v>
      </c>
      <c r="I2502" s="3">
        <v>2.0</v>
      </c>
      <c r="J2502" s="3">
        <v>1.0</v>
      </c>
      <c r="K2502" s="3">
        <v>1.0</v>
      </c>
      <c r="L2502" s="4" t="s">
        <v>13289</v>
      </c>
      <c r="M2502" s="2" t="s">
        <v>16721</v>
      </c>
      <c r="N2502" s="2" t="s">
        <v>1348</v>
      </c>
      <c r="O2502" s="4" t="s">
        <v>1349</v>
      </c>
      <c r="P2502" s="2" t="s">
        <v>13291</v>
      </c>
      <c r="Q2502" s="2" t="s">
        <v>13292</v>
      </c>
      <c r="R2502" s="2" t="s">
        <v>1018</v>
      </c>
      <c r="S2502" s="4" t="s">
        <v>13293</v>
      </c>
      <c r="T2502" s="2" t="s">
        <v>1019</v>
      </c>
      <c r="U2502" s="4" t="s">
        <v>13294</v>
      </c>
      <c r="V2502" s="2" t="s">
        <v>2731</v>
      </c>
      <c r="W2502" s="2" t="s">
        <v>13207</v>
      </c>
      <c r="X2502" s="5" t="str">
        <f>HYPERLINK("https://my.pitchbook.com?p=61456-06P","View People Online")</f>
        <v>View People Online</v>
      </c>
    </row>
    <row r="2503">
      <c r="A2503" s="6" t="s">
        <v>16722</v>
      </c>
      <c r="B2503" s="6" t="s">
        <v>16723</v>
      </c>
      <c r="C2503" s="6" t="s">
        <v>10214</v>
      </c>
      <c r="D2503" s="6" t="s">
        <v>15750</v>
      </c>
      <c r="E2503" s="6" t="s">
        <v>13207</v>
      </c>
      <c r="F2503" s="6" t="s">
        <v>3523</v>
      </c>
      <c r="G2503" s="6" t="s">
        <v>16724</v>
      </c>
      <c r="H2503" s="7" t="s">
        <v>31</v>
      </c>
      <c r="I2503" s="7">
        <v>1.0</v>
      </c>
      <c r="J2503" s="7">
        <v>1.0</v>
      </c>
      <c r="K2503" s="7" t="s">
        <v>31</v>
      </c>
      <c r="L2503" s="8" t="s">
        <v>13281</v>
      </c>
      <c r="M2503" s="6" t="s">
        <v>16725</v>
      </c>
      <c r="N2503" s="6" t="s">
        <v>1277</v>
      </c>
      <c r="O2503" s="8" t="s">
        <v>1278</v>
      </c>
      <c r="P2503" s="6" t="s">
        <v>13283</v>
      </c>
      <c r="Q2503" s="6" t="s">
        <v>13284</v>
      </c>
      <c r="R2503" s="6" t="s">
        <v>1281</v>
      </c>
      <c r="S2503" s="8" t="s">
        <v>1282</v>
      </c>
      <c r="T2503" s="6" t="s">
        <v>66</v>
      </c>
      <c r="U2503" s="8" t="s">
        <v>13285</v>
      </c>
      <c r="V2503" s="6" t="s">
        <v>3523</v>
      </c>
      <c r="W2503" s="6" t="s">
        <v>13207</v>
      </c>
      <c r="X2503" s="9" t="str">
        <f>HYPERLINK("https://my.pitchbook.com?p=456037-30P","View People Online")</f>
        <v>View People Online</v>
      </c>
    </row>
    <row r="2504">
      <c r="A2504" s="10" t="s">
        <v>16726</v>
      </c>
      <c r="B2504" s="10" t="s">
        <v>16727</v>
      </c>
      <c r="C2504" s="10" t="s">
        <v>16728</v>
      </c>
      <c r="D2504" s="10" t="s">
        <v>16729</v>
      </c>
      <c r="E2504" s="10" t="s">
        <v>13207</v>
      </c>
      <c r="F2504" s="10" t="s">
        <v>3523</v>
      </c>
      <c r="G2504" s="10" t="s">
        <v>16730</v>
      </c>
      <c r="H2504" s="11" t="s">
        <v>31</v>
      </c>
      <c r="I2504" s="11">
        <v>1.0</v>
      </c>
      <c r="J2504" s="11">
        <v>1.0</v>
      </c>
      <c r="K2504" s="11" t="s">
        <v>31</v>
      </c>
      <c r="L2504" s="12" t="s">
        <v>13734</v>
      </c>
      <c r="M2504" s="10" t="s">
        <v>16731</v>
      </c>
      <c r="N2504" s="10" t="s">
        <v>2754</v>
      </c>
      <c r="O2504" s="12" t="s">
        <v>2755</v>
      </c>
      <c r="P2504" s="10" t="s">
        <v>13736</v>
      </c>
      <c r="Q2504" s="10" t="s">
        <v>31</v>
      </c>
      <c r="R2504" s="10" t="s">
        <v>31</v>
      </c>
      <c r="S2504" s="12" t="s">
        <v>13737</v>
      </c>
      <c r="T2504" s="10" t="s">
        <v>38</v>
      </c>
      <c r="U2504" s="12" t="s">
        <v>13738</v>
      </c>
      <c r="V2504" s="10" t="s">
        <v>3523</v>
      </c>
      <c r="W2504" s="10" t="s">
        <v>13207</v>
      </c>
      <c r="X2504" s="13" t="str">
        <f>HYPERLINK("https://my.pitchbook.com?p=280979-83P","View People Online")</f>
        <v>View People Online</v>
      </c>
    </row>
    <row r="2505">
      <c r="A2505" s="6" t="s">
        <v>16732</v>
      </c>
      <c r="B2505" s="6" t="s">
        <v>16733</v>
      </c>
      <c r="C2505" s="6" t="s">
        <v>16734</v>
      </c>
      <c r="D2505" s="6" t="s">
        <v>16735</v>
      </c>
      <c r="E2505" s="6" t="s">
        <v>13207</v>
      </c>
      <c r="F2505" s="6" t="s">
        <v>13218</v>
      </c>
      <c r="G2505" s="6" t="s">
        <v>16736</v>
      </c>
      <c r="H2505" s="7" t="s">
        <v>31</v>
      </c>
      <c r="I2505" s="7">
        <v>1.0</v>
      </c>
      <c r="J2505" s="7">
        <v>1.0</v>
      </c>
      <c r="K2505" s="7" t="s">
        <v>31</v>
      </c>
      <c r="L2505" s="8" t="s">
        <v>13734</v>
      </c>
      <c r="M2505" s="6" t="s">
        <v>16737</v>
      </c>
      <c r="N2505" s="6" t="s">
        <v>2754</v>
      </c>
      <c r="O2505" s="8" t="s">
        <v>2755</v>
      </c>
      <c r="P2505" s="6" t="s">
        <v>13736</v>
      </c>
      <c r="Q2505" s="6" t="s">
        <v>31</v>
      </c>
      <c r="R2505" s="6" t="s">
        <v>31</v>
      </c>
      <c r="S2505" s="8" t="s">
        <v>13737</v>
      </c>
      <c r="T2505" s="6" t="s">
        <v>38</v>
      </c>
      <c r="U2505" s="8" t="s">
        <v>13738</v>
      </c>
      <c r="V2505" s="6" t="s">
        <v>13218</v>
      </c>
      <c r="W2505" s="6" t="s">
        <v>13207</v>
      </c>
      <c r="X2505" s="9" t="str">
        <f>HYPERLINK("https://my.pitchbook.com?p=435405-61P","View People Online")</f>
        <v>View People Online</v>
      </c>
    </row>
    <row r="2506">
      <c r="A2506" s="2" t="s">
        <v>16738</v>
      </c>
      <c r="B2506" s="2" t="s">
        <v>16739</v>
      </c>
      <c r="C2506" s="2" t="s">
        <v>16740</v>
      </c>
      <c r="D2506" s="2" t="s">
        <v>16741</v>
      </c>
      <c r="E2506" s="2" t="s">
        <v>13207</v>
      </c>
      <c r="F2506" s="2" t="s">
        <v>14489</v>
      </c>
      <c r="G2506" s="2" t="s">
        <v>16742</v>
      </c>
      <c r="H2506" s="3" t="s">
        <v>31</v>
      </c>
      <c r="I2506" s="3">
        <v>1.0</v>
      </c>
      <c r="J2506" s="3">
        <v>1.0</v>
      </c>
      <c r="K2506" s="3" t="s">
        <v>31</v>
      </c>
      <c r="L2506" s="4" t="s">
        <v>13496</v>
      </c>
      <c r="M2506" s="2" t="s">
        <v>16743</v>
      </c>
      <c r="N2506" s="2" t="s">
        <v>75</v>
      </c>
      <c r="O2506" s="4" t="s">
        <v>76</v>
      </c>
      <c r="P2506" s="2" t="s">
        <v>13498</v>
      </c>
      <c r="Q2506" s="2" t="s">
        <v>31</v>
      </c>
      <c r="R2506" s="2" t="s">
        <v>75</v>
      </c>
      <c r="S2506" s="4" t="s">
        <v>195</v>
      </c>
      <c r="T2506" s="2" t="s">
        <v>66</v>
      </c>
      <c r="U2506" s="4" t="s">
        <v>13499</v>
      </c>
      <c r="V2506" s="2" t="s">
        <v>16744</v>
      </c>
      <c r="W2506" s="2" t="s">
        <v>13207</v>
      </c>
      <c r="X2506" s="5" t="str">
        <f>HYPERLINK("https://my.pitchbook.com?p=436429-81P","View People Online")</f>
        <v>View People Online</v>
      </c>
    </row>
    <row r="2507">
      <c r="A2507" s="6" t="s">
        <v>16745</v>
      </c>
      <c r="B2507" s="6" t="s">
        <v>16746</v>
      </c>
      <c r="C2507" s="6" t="s">
        <v>16740</v>
      </c>
      <c r="D2507" s="6" t="s">
        <v>16747</v>
      </c>
      <c r="E2507" s="6" t="s">
        <v>13207</v>
      </c>
      <c r="F2507" s="6" t="s">
        <v>13218</v>
      </c>
      <c r="G2507" s="6" t="s">
        <v>16748</v>
      </c>
      <c r="H2507" s="7" t="s">
        <v>31</v>
      </c>
      <c r="I2507" s="7">
        <v>1.0</v>
      </c>
      <c r="J2507" s="7">
        <v>1.0</v>
      </c>
      <c r="K2507" s="7" t="s">
        <v>31</v>
      </c>
      <c r="L2507" s="8" t="s">
        <v>13209</v>
      </c>
      <c r="M2507" s="6" t="s">
        <v>16749</v>
      </c>
      <c r="N2507" s="6" t="s">
        <v>4232</v>
      </c>
      <c r="O2507" s="8" t="s">
        <v>4233</v>
      </c>
      <c r="P2507" s="6" t="s">
        <v>13211</v>
      </c>
      <c r="Q2507" s="6" t="s">
        <v>31</v>
      </c>
      <c r="R2507" s="6" t="s">
        <v>4236</v>
      </c>
      <c r="S2507" s="8" t="s">
        <v>13212</v>
      </c>
      <c r="T2507" s="6" t="s">
        <v>66</v>
      </c>
      <c r="U2507" s="8" t="s">
        <v>13213</v>
      </c>
      <c r="V2507" s="6" t="s">
        <v>13218</v>
      </c>
      <c r="W2507" s="6" t="s">
        <v>13207</v>
      </c>
      <c r="X2507" s="9" t="str">
        <f>HYPERLINK("https://my.pitchbook.com?p=17449-93P","View People Online")</f>
        <v>View People Online</v>
      </c>
    </row>
    <row r="2508">
      <c r="A2508" s="10" t="s">
        <v>16750</v>
      </c>
      <c r="B2508" s="10" t="s">
        <v>16751</v>
      </c>
      <c r="C2508" s="10" t="s">
        <v>16752</v>
      </c>
      <c r="D2508" s="10" t="s">
        <v>16753</v>
      </c>
      <c r="E2508" s="10" t="s">
        <v>13207</v>
      </c>
      <c r="F2508" s="10" t="s">
        <v>3523</v>
      </c>
      <c r="G2508" s="10" t="s">
        <v>16754</v>
      </c>
      <c r="H2508" s="11" t="s">
        <v>31</v>
      </c>
      <c r="I2508" s="11">
        <v>1.0</v>
      </c>
      <c r="J2508" s="11">
        <v>1.0</v>
      </c>
      <c r="K2508" s="11" t="s">
        <v>31</v>
      </c>
      <c r="L2508" s="12" t="s">
        <v>14142</v>
      </c>
      <c r="M2508" s="10" t="s">
        <v>16755</v>
      </c>
      <c r="N2508" s="10" t="s">
        <v>273</v>
      </c>
      <c r="O2508" s="12" t="s">
        <v>274</v>
      </c>
      <c r="P2508" s="10" t="s">
        <v>14144</v>
      </c>
      <c r="Q2508" s="10" t="s">
        <v>31</v>
      </c>
      <c r="R2508" s="10" t="s">
        <v>31</v>
      </c>
      <c r="S2508" s="12" t="s">
        <v>14145</v>
      </c>
      <c r="T2508" s="10" t="s">
        <v>276</v>
      </c>
      <c r="U2508" s="12" t="s">
        <v>14146</v>
      </c>
      <c r="V2508" s="10" t="s">
        <v>3523</v>
      </c>
      <c r="W2508" s="10" t="s">
        <v>13207</v>
      </c>
      <c r="X2508" s="13" t="str">
        <f>HYPERLINK("https://my.pitchbook.com?p=389073-52P","View People Online")</f>
        <v>View People Online</v>
      </c>
    </row>
    <row r="2509">
      <c r="A2509" s="14" t="s">
        <v>16756</v>
      </c>
      <c r="B2509" s="14" t="s">
        <v>16757</v>
      </c>
      <c r="C2509" s="14" t="s">
        <v>16758</v>
      </c>
      <c r="D2509" s="14" t="s">
        <v>16759</v>
      </c>
      <c r="E2509" s="14" t="s">
        <v>13207</v>
      </c>
      <c r="F2509" s="14" t="s">
        <v>318</v>
      </c>
      <c r="G2509" s="14" t="s">
        <v>16760</v>
      </c>
      <c r="H2509" s="15" t="s">
        <v>31</v>
      </c>
      <c r="I2509" s="15">
        <v>1.0</v>
      </c>
      <c r="J2509" s="15">
        <v>1.0</v>
      </c>
      <c r="K2509" s="15" t="s">
        <v>31</v>
      </c>
      <c r="L2509" s="16" t="s">
        <v>13888</v>
      </c>
      <c r="M2509" s="14" t="s">
        <v>16761</v>
      </c>
      <c r="N2509" s="14" t="s">
        <v>13890</v>
      </c>
      <c r="O2509" s="16" t="s">
        <v>13891</v>
      </c>
      <c r="P2509" s="14" t="s">
        <v>13892</v>
      </c>
      <c r="Q2509" s="14" t="s">
        <v>31</v>
      </c>
      <c r="R2509" s="14" t="s">
        <v>31</v>
      </c>
      <c r="S2509" s="16" t="s">
        <v>13893</v>
      </c>
      <c r="T2509" s="14" t="s">
        <v>13894</v>
      </c>
      <c r="U2509" s="16" t="s">
        <v>31</v>
      </c>
      <c r="V2509" s="14" t="s">
        <v>16762</v>
      </c>
      <c r="W2509" s="14" t="s">
        <v>13207</v>
      </c>
      <c r="X2509" s="17" t="str">
        <f>HYPERLINK("https://my.pitchbook.com?p=456484-87P","View People Online")</f>
        <v>View People Online</v>
      </c>
    </row>
    <row r="2510">
      <c r="A2510" s="10" t="s">
        <v>16763</v>
      </c>
      <c r="B2510" s="10" t="s">
        <v>16764</v>
      </c>
      <c r="C2510" s="10" t="s">
        <v>16765</v>
      </c>
      <c r="D2510" s="10" t="s">
        <v>15840</v>
      </c>
      <c r="E2510" s="10" t="s">
        <v>13207</v>
      </c>
      <c r="F2510" s="10" t="s">
        <v>3523</v>
      </c>
      <c r="G2510" s="10" t="s">
        <v>16766</v>
      </c>
      <c r="H2510" s="11" t="s">
        <v>31</v>
      </c>
      <c r="I2510" s="11">
        <v>1.0</v>
      </c>
      <c r="J2510" s="11">
        <v>1.0</v>
      </c>
      <c r="K2510" s="11" t="s">
        <v>31</v>
      </c>
      <c r="L2510" s="12" t="s">
        <v>13432</v>
      </c>
      <c r="M2510" s="10" t="s">
        <v>16767</v>
      </c>
      <c r="N2510" s="10" t="s">
        <v>2599</v>
      </c>
      <c r="O2510" s="12" t="s">
        <v>2600</v>
      </c>
      <c r="P2510" s="10" t="s">
        <v>13434</v>
      </c>
      <c r="Q2510" s="10" t="s">
        <v>4235</v>
      </c>
      <c r="R2510" s="10" t="s">
        <v>396</v>
      </c>
      <c r="S2510" s="12" t="s">
        <v>13435</v>
      </c>
      <c r="T2510" s="10" t="s">
        <v>66</v>
      </c>
      <c r="U2510" s="12" t="s">
        <v>13436</v>
      </c>
      <c r="V2510" s="10" t="s">
        <v>3523</v>
      </c>
      <c r="W2510" s="10" t="s">
        <v>13207</v>
      </c>
      <c r="X2510" s="13" t="str">
        <f>HYPERLINK("https://my.pitchbook.com?p=455368-42P","View People Online")</f>
        <v>View People Online</v>
      </c>
    </row>
    <row r="2511">
      <c r="A2511" s="6" t="s">
        <v>16768</v>
      </c>
      <c r="B2511" s="6" t="s">
        <v>16769</v>
      </c>
      <c r="C2511" s="6" t="s">
        <v>16770</v>
      </c>
      <c r="D2511" s="6" t="s">
        <v>16771</v>
      </c>
      <c r="E2511" s="6" t="s">
        <v>13207</v>
      </c>
      <c r="F2511" s="6" t="s">
        <v>3523</v>
      </c>
      <c r="G2511" s="6" t="s">
        <v>16772</v>
      </c>
      <c r="H2511" s="7" t="s">
        <v>31</v>
      </c>
      <c r="I2511" s="7">
        <v>1.0</v>
      </c>
      <c r="J2511" s="7">
        <v>1.0</v>
      </c>
      <c r="K2511" s="7" t="s">
        <v>31</v>
      </c>
      <c r="L2511" s="8" t="s">
        <v>13540</v>
      </c>
      <c r="M2511" s="6" t="s">
        <v>16773</v>
      </c>
      <c r="N2511" s="6" t="s">
        <v>418</v>
      </c>
      <c r="O2511" s="8" t="s">
        <v>419</v>
      </c>
      <c r="P2511" s="6" t="s">
        <v>13542</v>
      </c>
      <c r="Q2511" s="6" t="s">
        <v>31</v>
      </c>
      <c r="R2511" s="6" t="s">
        <v>31</v>
      </c>
      <c r="S2511" s="8" t="s">
        <v>2664</v>
      </c>
      <c r="T2511" s="6" t="s">
        <v>422</v>
      </c>
      <c r="U2511" s="8" t="s">
        <v>13543</v>
      </c>
      <c r="V2511" s="6" t="s">
        <v>3523</v>
      </c>
      <c r="W2511" s="6" t="s">
        <v>13207</v>
      </c>
      <c r="X2511" s="9" t="str">
        <f>HYPERLINK("https://my.pitchbook.com?p=456522-22P","View People Online")</f>
        <v>View People Online</v>
      </c>
    </row>
    <row r="2512">
      <c r="A2512" s="2" t="s">
        <v>16774</v>
      </c>
      <c r="B2512" s="2" t="s">
        <v>16775</v>
      </c>
      <c r="C2512" s="2" t="s">
        <v>16776</v>
      </c>
      <c r="D2512" s="2" t="s">
        <v>16777</v>
      </c>
      <c r="E2512" s="2" t="s">
        <v>13207</v>
      </c>
      <c r="F2512" s="2" t="s">
        <v>29</v>
      </c>
      <c r="G2512" s="2" t="s">
        <v>16778</v>
      </c>
      <c r="H2512" s="3" t="s">
        <v>31</v>
      </c>
      <c r="I2512" s="3">
        <v>1.0</v>
      </c>
      <c r="J2512" s="3">
        <v>1.0</v>
      </c>
      <c r="K2512" s="3" t="s">
        <v>31</v>
      </c>
      <c r="L2512" s="4" t="s">
        <v>13299</v>
      </c>
      <c r="M2512" s="2" t="s">
        <v>16779</v>
      </c>
      <c r="N2512" s="2" t="s">
        <v>601</v>
      </c>
      <c r="O2512" s="4" t="s">
        <v>602</v>
      </c>
      <c r="P2512" s="2" t="s">
        <v>13301</v>
      </c>
      <c r="Q2512" s="2" t="s">
        <v>13302</v>
      </c>
      <c r="R2512" s="2" t="s">
        <v>31</v>
      </c>
      <c r="S2512" s="4" t="s">
        <v>31</v>
      </c>
      <c r="T2512" s="2" t="s">
        <v>603</v>
      </c>
      <c r="U2512" s="4" t="s">
        <v>13303</v>
      </c>
      <c r="V2512" s="2" t="s">
        <v>29</v>
      </c>
      <c r="W2512" s="2" t="s">
        <v>13207</v>
      </c>
      <c r="X2512" s="5" t="str">
        <f>HYPERLINK("https://my.pitchbook.com?p=455743-00P","View People Online")</f>
        <v>View People Online</v>
      </c>
    </row>
    <row r="2513">
      <c r="A2513" s="14" t="s">
        <v>16780</v>
      </c>
      <c r="B2513" s="14" t="s">
        <v>16781</v>
      </c>
      <c r="C2513" s="14" t="s">
        <v>16782</v>
      </c>
      <c r="D2513" s="14" t="s">
        <v>9987</v>
      </c>
      <c r="E2513" s="14" t="s">
        <v>13207</v>
      </c>
      <c r="F2513" s="14" t="s">
        <v>13218</v>
      </c>
      <c r="G2513" s="14" t="s">
        <v>16783</v>
      </c>
      <c r="H2513" s="15" t="s">
        <v>31</v>
      </c>
      <c r="I2513" s="15">
        <v>1.0</v>
      </c>
      <c r="J2513" s="15">
        <v>1.0</v>
      </c>
      <c r="K2513" s="15" t="s">
        <v>31</v>
      </c>
      <c r="L2513" s="16" t="s">
        <v>13412</v>
      </c>
      <c r="M2513" s="14" t="s">
        <v>16784</v>
      </c>
      <c r="N2513" s="14" t="s">
        <v>13414</v>
      </c>
      <c r="O2513" s="16" t="s">
        <v>13415</v>
      </c>
      <c r="P2513" s="14" t="s">
        <v>13416</v>
      </c>
      <c r="Q2513" s="14" t="s">
        <v>31</v>
      </c>
      <c r="R2513" s="14" t="s">
        <v>209</v>
      </c>
      <c r="S2513" s="16" t="s">
        <v>13417</v>
      </c>
      <c r="T2513" s="14" t="s">
        <v>66</v>
      </c>
      <c r="U2513" s="16" t="s">
        <v>13418</v>
      </c>
      <c r="V2513" s="14" t="s">
        <v>13218</v>
      </c>
      <c r="W2513" s="14" t="s">
        <v>13207</v>
      </c>
      <c r="X2513" s="17" t="str">
        <f>HYPERLINK("https://my.pitchbook.com?p=435712-78P","View People Online")</f>
        <v>View People Online</v>
      </c>
    </row>
    <row r="2514">
      <c r="A2514" s="10" t="s">
        <v>16785</v>
      </c>
      <c r="B2514" s="10" t="s">
        <v>16786</v>
      </c>
      <c r="C2514" s="10" t="s">
        <v>16787</v>
      </c>
      <c r="D2514" s="10" t="s">
        <v>16788</v>
      </c>
      <c r="E2514" s="10" t="s">
        <v>13207</v>
      </c>
      <c r="F2514" s="10" t="s">
        <v>3523</v>
      </c>
      <c r="G2514" s="10" t="s">
        <v>16789</v>
      </c>
      <c r="H2514" s="11" t="s">
        <v>31</v>
      </c>
      <c r="I2514" s="11">
        <v>1.0</v>
      </c>
      <c r="J2514" s="11">
        <v>1.0</v>
      </c>
      <c r="K2514" s="11" t="s">
        <v>31</v>
      </c>
      <c r="L2514" s="12" t="s">
        <v>13378</v>
      </c>
      <c r="M2514" s="10" t="s">
        <v>16790</v>
      </c>
      <c r="N2514" s="10" t="s">
        <v>429</v>
      </c>
      <c r="O2514" s="12" t="s">
        <v>430</v>
      </c>
      <c r="P2514" s="10" t="s">
        <v>13380</v>
      </c>
      <c r="Q2514" s="10" t="s">
        <v>31</v>
      </c>
      <c r="R2514" s="10" t="s">
        <v>31</v>
      </c>
      <c r="S2514" s="12" t="s">
        <v>13381</v>
      </c>
      <c r="T2514" s="10" t="s">
        <v>433</v>
      </c>
      <c r="U2514" s="12" t="s">
        <v>13382</v>
      </c>
      <c r="V2514" s="10" t="s">
        <v>3523</v>
      </c>
      <c r="W2514" s="10" t="s">
        <v>13207</v>
      </c>
      <c r="X2514" s="13" t="str">
        <f>HYPERLINK("https://my.pitchbook.com?p=207673-39P","View People Online")</f>
        <v>View People Online</v>
      </c>
    </row>
    <row r="2515">
      <c r="A2515" s="14" t="s">
        <v>16791</v>
      </c>
      <c r="B2515" s="14" t="s">
        <v>16792</v>
      </c>
      <c r="C2515" s="14" t="s">
        <v>16793</v>
      </c>
      <c r="D2515" s="14" t="s">
        <v>1849</v>
      </c>
      <c r="E2515" s="14" t="s">
        <v>13207</v>
      </c>
      <c r="F2515" s="14" t="s">
        <v>13218</v>
      </c>
      <c r="G2515" s="14" t="s">
        <v>16794</v>
      </c>
      <c r="H2515" s="15" t="s">
        <v>31</v>
      </c>
      <c r="I2515" s="15">
        <v>1.0</v>
      </c>
      <c r="J2515" s="15">
        <v>1.0</v>
      </c>
      <c r="K2515" s="15" t="s">
        <v>31</v>
      </c>
      <c r="L2515" s="16" t="s">
        <v>13496</v>
      </c>
      <c r="M2515" s="14" t="s">
        <v>16795</v>
      </c>
      <c r="N2515" s="14" t="s">
        <v>10290</v>
      </c>
      <c r="O2515" s="16" t="s">
        <v>10291</v>
      </c>
      <c r="P2515" s="14" t="s">
        <v>14500</v>
      </c>
      <c r="Q2515" s="14" t="s">
        <v>14501</v>
      </c>
      <c r="R2515" s="14" t="s">
        <v>31</v>
      </c>
      <c r="S2515" s="16" t="s">
        <v>14502</v>
      </c>
      <c r="T2515" s="14" t="s">
        <v>10295</v>
      </c>
      <c r="U2515" s="16" t="s">
        <v>14503</v>
      </c>
      <c r="V2515" s="14" t="s">
        <v>13218</v>
      </c>
      <c r="W2515" s="14" t="s">
        <v>13207</v>
      </c>
      <c r="X2515" s="17" t="str">
        <f>HYPERLINK("https://my.pitchbook.com?p=17449-75P","View People Online")</f>
        <v>View People Online</v>
      </c>
    </row>
    <row r="2516">
      <c r="A2516" s="2" t="s">
        <v>16796</v>
      </c>
      <c r="B2516" s="2" t="s">
        <v>16797</v>
      </c>
      <c r="C2516" s="2" t="s">
        <v>16798</v>
      </c>
      <c r="D2516" s="2" t="s">
        <v>16799</v>
      </c>
      <c r="E2516" s="2" t="s">
        <v>13207</v>
      </c>
      <c r="F2516" s="2" t="s">
        <v>29</v>
      </c>
      <c r="G2516" s="2" t="s">
        <v>16800</v>
      </c>
      <c r="H2516" s="3" t="s">
        <v>31</v>
      </c>
      <c r="I2516" s="3">
        <v>1.0</v>
      </c>
      <c r="J2516" s="3">
        <v>1.0</v>
      </c>
      <c r="K2516" s="3" t="s">
        <v>31</v>
      </c>
      <c r="L2516" s="4" t="s">
        <v>13274</v>
      </c>
      <c r="M2516" s="2" t="s">
        <v>16801</v>
      </c>
      <c r="N2516" s="2" t="s">
        <v>1181</v>
      </c>
      <c r="O2516" s="4" t="s">
        <v>1182</v>
      </c>
      <c r="P2516" s="2" t="s">
        <v>13276</v>
      </c>
      <c r="Q2516" s="2" t="s">
        <v>31</v>
      </c>
      <c r="R2516" s="2" t="s">
        <v>1185</v>
      </c>
      <c r="S2516" s="4" t="s">
        <v>4438</v>
      </c>
      <c r="T2516" s="2" t="s">
        <v>66</v>
      </c>
      <c r="U2516" s="4" t="s">
        <v>13277</v>
      </c>
      <c r="V2516" s="2" t="s">
        <v>29</v>
      </c>
      <c r="W2516" s="2" t="s">
        <v>13207</v>
      </c>
      <c r="X2516" s="5" t="str">
        <f>HYPERLINK("https://my.pitchbook.com?p=455595-13P","View People Online")</f>
        <v>View People Online</v>
      </c>
    </row>
    <row r="2517">
      <c r="A2517" s="6" t="s">
        <v>16802</v>
      </c>
      <c r="B2517" s="6" t="s">
        <v>16803</v>
      </c>
      <c r="C2517" s="6" t="s">
        <v>487</v>
      </c>
      <c r="D2517" s="6" t="s">
        <v>16804</v>
      </c>
      <c r="E2517" s="6" t="s">
        <v>13207</v>
      </c>
      <c r="F2517" s="6" t="s">
        <v>13240</v>
      </c>
      <c r="G2517" s="6" t="s">
        <v>16805</v>
      </c>
      <c r="H2517" s="7" t="s">
        <v>31</v>
      </c>
      <c r="I2517" s="7">
        <v>1.0</v>
      </c>
      <c r="J2517" s="7">
        <v>1.0</v>
      </c>
      <c r="K2517" s="7" t="s">
        <v>31</v>
      </c>
      <c r="L2517" s="8" t="s">
        <v>13540</v>
      </c>
      <c r="M2517" s="6" t="s">
        <v>16806</v>
      </c>
      <c r="N2517" s="6" t="s">
        <v>418</v>
      </c>
      <c r="O2517" s="8" t="s">
        <v>419</v>
      </c>
      <c r="P2517" s="6" t="s">
        <v>13542</v>
      </c>
      <c r="Q2517" s="6" t="s">
        <v>31</v>
      </c>
      <c r="R2517" s="6" t="s">
        <v>31</v>
      </c>
      <c r="S2517" s="8" t="s">
        <v>2664</v>
      </c>
      <c r="T2517" s="6" t="s">
        <v>422</v>
      </c>
      <c r="U2517" s="8" t="s">
        <v>13543</v>
      </c>
      <c r="V2517" s="6" t="s">
        <v>13247</v>
      </c>
      <c r="W2517" s="6" t="s">
        <v>13207</v>
      </c>
      <c r="X2517" s="9" t="str">
        <f>HYPERLINK("https://my.pitchbook.com?p=455807-71P","View People Online")</f>
        <v>View People Online</v>
      </c>
    </row>
    <row r="2518">
      <c r="A2518" s="10" t="s">
        <v>16807</v>
      </c>
      <c r="B2518" s="10" t="s">
        <v>16808</v>
      </c>
      <c r="C2518" s="10" t="s">
        <v>487</v>
      </c>
      <c r="D2518" s="10" t="s">
        <v>16809</v>
      </c>
      <c r="E2518" s="10" t="s">
        <v>13207</v>
      </c>
      <c r="F2518" s="10" t="s">
        <v>13218</v>
      </c>
      <c r="G2518" s="10" t="s">
        <v>16810</v>
      </c>
      <c r="H2518" s="11" t="s">
        <v>31</v>
      </c>
      <c r="I2518" s="11">
        <v>1.0</v>
      </c>
      <c r="J2518" s="11">
        <v>1.0</v>
      </c>
      <c r="K2518" s="11" t="s">
        <v>31</v>
      </c>
      <c r="L2518" s="12" t="s">
        <v>13299</v>
      </c>
      <c r="M2518" s="10" t="s">
        <v>16811</v>
      </c>
      <c r="N2518" s="10" t="s">
        <v>601</v>
      </c>
      <c r="O2518" s="12" t="s">
        <v>602</v>
      </c>
      <c r="P2518" s="10" t="s">
        <v>13301</v>
      </c>
      <c r="Q2518" s="10" t="s">
        <v>13302</v>
      </c>
      <c r="R2518" s="10" t="s">
        <v>31</v>
      </c>
      <c r="S2518" s="12" t="s">
        <v>31</v>
      </c>
      <c r="T2518" s="10" t="s">
        <v>603</v>
      </c>
      <c r="U2518" s="12" t="s">
        <v>13303</v>
      </c>
      <c r="V2518" s="10" t="s">
        <v>13218</v>
      </c>
      <c r="W2518" s="10" t="s">
        <v>13207</v>
      </c>
      <c r="X2518" s="13" t="str">
        <f>HYPERLINK("https://my.pitchbook.com?p=456640-75P","View People Online")</f>
        <v>View People Online</v>
      </c>
    </row>
    <row r="2519">
      <c r="A2519" s="6" t="s">
        <v>16812</v>
      </c>
      <c r="B2519" s="6" t="s">
        <v>16813</v>
      </c>
      <c r="C2519" s="6" t="s">
        <v>487</v>
      </c>
      <c r="D2519" s="6" t="s">
        <v>16814</v>
      </c>
      <c r="E2519" s="6" t="s">
        <v>13207</v>
      </c>
      <c r="F2519" s="6" t="s">
        <v>1283</v>
      </c>
      <c r="G2519" s="6" t="s">
        <v>16815</v>
      </c>
      <c r="H2519" s="7" t="s">
        <v>31</v>
      </c>
      <c r="I2519" s="7">
        <v>1.0</v>
      </c>
      <c r="J2519" s="7">
        <v>1.0</v>
      </c>
      <c r="K2519" s="7" t="s">
        <v>31</v>
      </c>
      <c r="L2519" s="8" t="s">
        <v>16040</v>
      </c>
      <c r="M2519" s="6" t="s">
        <v>16816</v>
      </c>
      <c r="N2519" s="6" t="s">
        <v>465</v>
      </c>
      <c r="O2519" s="8" t="s">
        <v>466</v>
      </c>
      <c r="P2519" s="6" t="s">
        <v>16042</v>
      </c>
      <c r="Q2519" s="6" t="s">
        <v>31</v>
      </c>
      <c r="R2519" s="6" t="s">
        <v>31</v>
      </c>
      <c r="S2519" s="8" t="s">
        <v>16043</v>
      </c>
      <c r="T2519" s="6" t="s">
        <v>422</v>
      </c>
      <c r="U2519" s="8" t="s">
        <v>16044</v>
      </c>
      <c r="V2519" s="6" t="s">
        <v>13974</v>
      </c>
      <c r="W2519" s="6" t="s">
        <v>13207</v>
      </c>
      <c r="X2519" s="9" t="str">
        <f>HYPERLINK("https://my.pitchbook.com?p=455880-25P","View People Online")</f>
        <v>View People Online</v>
      </c>
    </row>
    <row r="2520">
      <c r="A2520" s="2" t="s">
        <v>16817</v>
      </c>
      <c r="B2520" s="2" t="s">
        <v>16818</v>
      </c>
      <c r="C2520" s="2" t="s">
        <v>16819</v>
      </c>
      <c r="D2520" s="2" t="s">
        <v>16820</v>
      </c>
      <c r="E2520" s="2" t="s">
        <v>13207</v>
      </c>
      <c r="F2520" s="2" t="s">
        <v>29</v>
      </c>
      <c r="G2520" s="2" t="s">
        <v>16821</v>
      </c>
      <c r="H2520" s="3" t="s">
        <v>31</v>
      </c>
      <c r="I2520" s="3">
        <v>1.0</v>
      </c>
      <c r="J2520" s="3">
        <v>1.0</v>
      </c>
      <c r="K2520" s="3" t="s">
        <v>31</v>
      </c>
      <c r="L2520" s="4" t="s">
        <v>14142</v>
      </c>
      <c r="M2520" s="2" t="s">
        <v>16822</v>
      </c>
      <c r="N2520" s="2" t="s">
        <v>273</v>
      </c>
      <c r="O2520" s="4" t="s">
        <v>274</v>
      </c>
      <c r="P2520" s="2" t="s">
        <v>14144</v>
      </c>
      <c r="Q2520" s="2" t="s">
        <v>31</v>
      </c>
      <c r="R2520" s="2" t="s">
        <v>31</v>
      </c>
      <c r="S2520" s="4" t="s">
        <v>14145</v>
      </c>
      <c r="T2520" s="2" t="s">
        <v>276</v>
      </c>
      <c r="U2520" s="4" t="s">
        <v>14146</v>
      </c>
      <c r="V2520" s="2" t="s">
        <v>29</v>
      </c>
      <c r="W2520" s="2" t="s">
        <v>13207</v>
      </c>
      <c r="X2520" s="5" t="str">
        <f>HYPERLINK("https://my.pitchbook.com?p=436165-03P","View People Online")</f>
        <v>View People Online</v>
      </c>
    </row>
    <row r="2521">
      <c r="A2521" s="14" t="s">
        <v>16823</v>
      </c>
      <c r="B2521" s="14" t="s">
        <v>16824</v>
      </c>
      <c r="C2521" s="14" t="s">
        <v>16825</v>
      </c>
      <c r="D2521" s="14" t="s">
        <v>16826</v>
      </c>
      <c r="E2521" s="14" t="s">
        <v>13207</v>
      </c>
      <c r="F2521" s="14" t="s">
        <v>3523</v>
      </c>
      <c r="G2521" s="14" t="s">
        <v>16827</v>
      </c>
      <c r="H2521" s="15" t="s">
        <v>31</v>
      </c>
      <c r="I2521" s="15">
        <v>1.0</v>
      </c>
      <c r="J2521" s="15">
        <v>1.0</v>
      </c>
      <c r="K2521" s="15" t="s">
        <v>31</v>
      </c>
      <c r="L2521" s="16" t="s">
        <v>13299</v>
      </c>
      <c r="M2521" s="14" t="s">
        <v>16828</v>
      </c>
      <c r="N2521" s="14" t="s">
        <v>601</v>
      </c>
      <c r="O2521" s="16" t="s">
        <v>602</v>
      </c>
      <c r="P2521" s="14" t="s">
        <v>13301</v>
      </c>
      <c r="Q2521" s="14" t="s">
        <v>13302</v>
      </c>
      <c r="R2521" s="14" t="s">
        <v>31</v>
      </c>
      <c r="S2521" s="16" t="s">
        <v>31</v>
      </c>
      <c r="T2521" s="14" t="s">
        <v>603</v>
      </c>
      <c r="U2521" s="16" t="s">
        <v>13303</v>
      </c>
      <c r="V2521" s="14" t="s">
        <v>3523</v>
      </c>
      <c r="W2521" s="14" t="s">
        <v>13207</v>
      </c>
      <c r="X2521" s="17" t="str">
        <f>HYPERLINK("https://my.pitchbook.com?p=435820-69P","View People Online")</f>
        <v>View People Online</v>
      </c>
    </row>
    <row r="2522">
      <c r="A2522" s="10" t="s">
        <v>16829</v>
      </c>
      <c r="B2522" s="10" t="s">
        <v>16830</v>
      </c>
      <c r="C2522" s="10" t="s">
        <v>16825</v>
      </c>
      <c r="D2522" s="10" t="s">
        <v>16831</v>
      </c>
      <c r="E2522" s="10" t="s">
        <v>13207</v>
      </c>
      <c r="F2522" s="10" t="s">
        <v>13218</v>
      </c>
      <c r="G2522" s="10" t="s">
        <v>16832</v>
      </c>
      <c r="H2522" s="11" t="s">
        <v>31</v>
      </c>
      <c r="I2522" s="11">
        <v>1.0</v>
      </c>
      <c r="J2522" s="11">
        <v>1.0</v>
      </c>
      <c r="K2522" s="11" t="s">
        <v>31</v>
      </c>
      <c r="L2522" s="12" t="s">
        <v>13540</v>
      </c>
      <c r="M2522" s="10" t="s">
        <v>16833</v>
      </c>
      <c r="N2522" s="10" t="s">
        <v>418</v>
      </c>
      <c r="O2522" s="12" t="s">
        <v>419</v>
      </c>
      <c r="P2522" s="10" t="s">
        <v>13542</v>
      </c>
      <c r="Q2522" s="10" t="s">
        <v>31</v>
      </c>
      <c r="R2522" s="10" t="s">
        <v>31</v>
      </c>
      <c r="S2522" s="12" t="s">
        <v>2664</v>
      </c>
      <c r="T2522" s="10" t="s">
        <v>422</v>
      </c>
      <c r="U2522" s="12" t="s">
        <v>13543</v>
      </c>
      <c r="V2522" s="10" t="s">
        <v>13218</v>
      </c>
      <c r="W2522" s="10" t="s">
        <v>13207</v>
      </c>
      <c r="X2522" s="13" t="str">
        <f>HYPERLINK("https://my.pitchbook.com?p=436289-05P","View People Online")</f>
        <v>View People Online</v>
      </c>
    </row>
    <row r="2523">
      <c r="A2523" s="14" t="s">
        <v>16834</v>
      </c>
      <c r="B2523" s="14" t="s">
        <v>16835</v>
      </c>
      <c r="C2523" s="14" t="s">
        <v>16825</v>
      </c>
      <c r="D2523" s="14" t="s">
        <v>16836</v>
      </c>
      <c r="E2523" s="14" t="s">
        <v>13207</v>
      </c>
      <c r="F2523" s="14" t="s">
        <v>3523</v>
      </c>
      <c r="G2523" s="14" t="s">
        <v>16837</v>
      </c>
      <c r="H2523" s="15" t="s">
        <v>31</v>
      </c>
      <c r="I2523" s="15">
        <v>1.0</v>
      </c>
      <c r="J2523" s="15">
        <v>1.0</v>
      </c>
      <c r="K2523" s="15" t="s">
        <v>31</v>
      </c>
      <c r="L2523" s="16" t="s">
        <v>13540</v>
      </c>
      <c r="M2523" s="14" t="s">
        <v>16838</v>
      </c>
      <c r="N2523" s="14" t="s">
        <v>418</v>
      </c>
      <c r="O2523" s="16" t="s">
        <v>419</v>
      </c>
      <c r="P2523" s="14" t="s">
        <v>13542</v>
      </c>
      <c r="Q2523" s="14" t="s">
        <v>31</v>
      </c>
      <c r="R2523" s="14" t="s">
        <v>31</v>
      </c>
      <c r="S2523" s="16" t="s">
        <v>2664</v>
      </c>
      <c r="T2523" s="14" t="s">
        <v>422</v>
      </c>
      <c r="U2523" s="16" t="s">
        <v>13543</v>
      </c>
      <c r="V2523" s="14" t="s">
        <v>3523</v>
      </c>
      <c r="W2523" s="14" t="s">
        <v>13207</v>
      </c>
      <c r="X2523" s="17" t="str">
        <f>HYPERLINK("https://my.pitchbook.com?p=455820-85P","View People Online")</f>
        <v>View People Online</v>
      </c>
    </row>
    <row r="2524">
      <c r="A2524" s="10" t="s">
        <v>16839</v>
      </c>
      <c r="B2524" s="10" t="s">
        <v>16840</v>
      </c>
      <c r="C2524" s="10" t="s">
        <v>2889</v>
      </c>
      <c r="D2524" s="10" t="s">
        <v>16841</v>
      </c>
      <c r="E2524" s="10" t="s">
        <v>13207</v>
      </c>
      <c r="F2524" s="10" t="s">
        <v>3523</v>
      </c>
      <c r="G2524" s="10" t="s">
        <v>16842</v>
      </c>
      <c r="H2524" s="11" t="s">
        <v>31</v>
      </c>
      <c r="I2524" s="11">
        <v>1.0</v>
      </c>
      <c r="J2524" s="11">
        <v>1.0</v>
      </c>
      <c r="K2524" s="11" t="s">
        <v>31</v>
      </c>
      <c r="L2524" s="12" t="s">
        <v>13801</v>
      </c>
      <c r="M2524" s="10" t="s">
        <v>16843</v>
      </c>
      <c r="N2524" s="10" t="s">
        <v>1024</v>
      </c>
      <c r="O2524" s="12" t="s">
        <v>2718</v>
      </c>
      <c r="P2524" s="10" t="s">
        <v>13803</v>
      </c>
      <c r="Q2524" s="10" t="s">
        <v>13804</v>
      </c>
      <c r="R2524" s="10" t="s">
        <v>31</v>
      </c>
      <c r="S2524" s="12" t="s">
        <v>31</v>
      </c>
      <c r="T2524" s="10" t="s">
        <v>2721</v>
      </c>
      <c r="U2524" s="12" t="s">
        <v>31</v>
      </c>
      <c r="V2524" s="10" t="s">
        <v>3523</v>
      </c>
      <c r="W2524" s="10" t="s">
        <v>13207</v>
      </c>
      <c r="X2524" s="13" t="str">
        <f>HYPERLINK("https://my.pitchbook.com?p=435009-16P","View People Online")</f>
        <v>View People Online</v>
      </c>
    </row>
    <row r="2525">
      <c r="A2525" s="6" t="s">
        <v>16844</v>
      </c>
      <c r="B2525" s="6" t="s">
        <v>16845</v>
      </c>
      <c r="C2525" s="6" t="s">
        <v>16846</v>
      </c>
      <c r="D2525" s="6" t="s">
        <v>16847</v>
      </c>
      <c r="E2525" s="6" t="s">
        <v>13207</v>
      </c>
      <c r="F2525" s="6" t="s">
        <v>13218</v>
      </c>
      <c r="G2525" s="6" t="s">
        <v>16848</v>
      </c>
      <c r="H2525" s="7" t="s">
        <v>31</v>
      </c>
      <c r="I2525" s="7">
        <v>1.0</v>
      </c>
      <c r="J2525" s="7">
        <v>1.0</v>
      </c>
      <c r="K2525" s="7" t="s">
        <v>31</v>
      </c>
      <c r="L2525" s="8" t="s">
        <v>13459</v>
      </c>
      <c r="M2525" s="6" t="s">
        <v>16849</v>
      </c>
      <c r="N2525" s="6" t="s">
        <v>3100</v>
      </c>
      <c r="O2525" s="8" t="s">
        <v>3101</v>
      </c>
      <c r="P2525" s="6" t="s">
        <v>13461</v>
      </c>
      <c r="Q2525" s="6" t="s">
        <v>31</v>
      </c>
      <c r="R2525" s="6" t="s">
        <v>31</v>
      </c>
      <c r="S2525" s="8" t="s">
        <v>3103</v>
      </c>
      <c r="T2525" s="6" t="s">
        <v>3104</v>
      </c>
      <c r="U2525" s="8" t="s">
        <v>13462</v>
      </c>
      <c r="V2525" s="6" t="s">
        <v>13218</v>
      </c>
      <c r="W2525" s="6" t="s">
        <v>13207</v>
      </c>
      <c r="X2525" s="9" t="str">
        <f>HYPERLINK("https://my.pitchbook.com?p=435404-08P","View People Online")</f>
        <v>View People Online</v>
      </c>
    </row>
    <row r="2526">
      <c r="A2526" s="10" t="s">
        <v>16850</v>
      </c>
      <c r="B2526" s="10" t="s">
        <v>16851</v>
      </c>
      <c r="C2526" s="10" t="s">
        <v>8873</v>
      </c>
      <c r="D2526" s="10" t="s">
        <v>16852</v>
      </c>
      <c r="E2526" s="10" t="s">
        <v>13207</v>
      </c>
      <c r="F2526" s="10" t="s">
        <v>29</v>
      </c>
      <c r="G2526" s="10" t="s">
        <v>16853</v>
      </c>
      <c r="H2526" s="11" t="s">
        <v>31</v>
      </c>
      <c r="I2526" s="11">
        <v>1.0</v>
      </c>
      <c r="J2526" s="11">
        <v>1.0</v>
      </c>
      <c r="K2526" s="11" t="s">
        <v>31</v>
      </c>
      <c r="L2526" s="12" t="s">
        <v>13399</v>
      </c>
      <c r="M2526" s="10" t="s">
        <v>16854</v>
      </c>
      <c r="N2526" s="10" t="s">
        <v>13401</v>
      </c>
      <c r="O2526" s="12" t="s">
        <v>13402</v>
      </c>
      <c r="P2526" s="10" t="s">
        <v>13403</v>
      </c>
      <c r="Q2526" s="10" t="s">
        <v>13404</v>
      </c>
      <c r="R2526" s="10" t="s">
        <v>31</v>
      </c>
      <c r="S2526" s="12" t="s">
        <v>13405</v>
      </c>
      <c r="T2526" s="10" t="s">
        <v>13406</v>
      </c>
      <c r="U2526" s="12" t="s">
        <v>13407</v>
      </c>
      <c r="V2526" s="10" t="s">
        <v>29</v>
      </c>
      <c r="W2526" s="10" t="s">
        <v>13207</v>
      </c>
      <c r="X2526" s="13" t="str">
        <f>HYPERLINK("https://my.pitchbook.com?p=258620-50P","View People Online")</f>
        <v>View People Online</v>
      </c>
    </row>
    <row r="2527">
      <c r="A2527" s="14" t="s">
        <v>16855</v>
      </c>
      <c r="B2527" s="14" t="s">
        <v>16856</v>
      </c>
      <c r="C2527" s="14" t="s">
        <v>1146</v>
      </c>
      <c r="D2527" s="14" t="s">
        <v>16857</v>
      </c>
      <c r="E2527" s="14" t="s">
        <v>13207</v>
      </c>
      <c r="F2527" s="14" t="s">
        <v>13218</v>
      </c>
      <c r="G2527" s="14" t="s">
        <v>16858</v>
      </c>
      <c r="H2527" s="15" t="s">
        <v>31</v>
      </c>
      <c r="I2527" s="15">
        <v>1.0</v>
      </c>
      <c r="J2527" s="15">
        <v>1.0</v>
      </c>
      <c r="K2527" s="15" t="s">
        <v>31</v>
      </c>
      <c r="L2527" s="16" t="s">
        <v>15178</v>
      </c>
      <c r="M2527" s="14" t="s">
        <v>16859</v>
      </c>
      <c r="N2527" s="14" t="s">
        <v>7258</v>
      </c>
      <c r="O2527" s="16" t="s">
        <v>7259</v>
      </c>
      <c r="P2527" s="14" t="s">
        <v>15180</v>
      </c>
      <c r="Q2527" s="14" t="s">
        <v>15181</v>
      </c>
      <c r="R2527" s="14" t="s">
        <v>7262</v>
      </c>
      <c r="S2527" s="16" t="s">
        <v>7263</v>
      </c>
      <c r="T2527" s="14" t="s">
        <v>5484</v>
      </c>
      <c r="U2527" s="16" t="s">
        <v>15182</v>
      </c>
      <c r="V2527" s="14" t="s">
        <v>13218</v>
      </c>
      <c r="W2527" s="14" t="s">
        <v>13207</v>
      </c>
      <c r="X2527" s="17" t="str">
        <f>HYPERLINK("https://my.pitchbook.com?p=456698-53P","View People Online")</f>
        <v>View People Online</v>
      </c>
    </row>
    <row r="2528">
      <c r="A2528" s="2" t="s">
        <v>16860</v>
      </c>
      <c r="B2528" s="2" t="s">
        <v>16861</v>
      </c>
      <c r="C2528" s="2" t="s">
        <v>16862</v>
      </c>
      <c r="D2528" s="2" t="s">
        <v>16863</v>
      </c>
      <c r="E2528" s="2" t="s">
        <v>13207</v>
      </c>
      <c r="F2528" s="2" t="s">
        <v>13307</v>
      </c>
      <c r="G2528" s="2" t="s">
        <v>16864</v>
      </c>
      <c r="H2528" s="3" t="s">
        <v>31</v>
      </c>
      <c r="I2528" s="3">
        <v>2.0</v>
      </c>
      <c r="J2528" s="3">
        <v>2.0</v>
      </c>
      <c r="K2528" s="3" t="s">
        <v>31</v>
      </c>
      <c r="L2528" s="4" t="s">
        <v>13423</v>
      </c>
      <c r="M2528" s="2" t="s">
        <v>16865</v>
      </c>
      <c r="N2528" s="2" t="s">
        <v>243</v>
      </c>
      <c r="O2528" s="4" t="s">
        <v>244</v>
      </c>
      <c r="P2528" s="2" t="s">
        <v>13425</v>
      </c>
      <c r="Q2528" s="2" t="s">
        <v>31</v>
      </c>
      <c r="R2528" s="2" t="s">
        <v>247</v>
      </c>
      <c r="S2528" s="4" t="s">
        <v>13426</v>
      </c>
      <c r="T2528" s="2" t="s">
        <v>249</v>
      </c>
      <c r="U2528" s="4" t="s">
        <v>31</v>
      </c>
      <c r="V2528" s="2" t="s">
        <v>16866</v>
      </c>
      <c r="W2528" s="2" t="s">
        <v>13207</v>
      </c>
      <c r="X2528" s="5" t="str">
        <f>HYPERLINK("https://my.pitchbook.com?p=214924-06P","View People Online")</f>
        <v>View People Online</v>
      </c>
    </row>
    <row r="2529">
      <c r="A2529" s="6" t="s">
        <v>16867</v>
      </c>
      <c r="B2529" s="6" t="s">
        <v>16868</v>
      </c>
      <c r="C2529" s="6" t="s">
        <v>3811</v>
      </c>
      <c r="D2529" s="6" t="s">
        <v>16869</v>
      </c>
      <c r="E2529" s="6" t="s">
        <v>13207</v>
      </c>
      <c r="F2529" s="6" t="s">
        <v>3523</v>
      </c>
      <c r="G2529" s="6" t="s">
        <v>16870</v>
      </c>
      <c r="H2529" s="7" t="s">
        <v>31</v>
      </c>
      <c r="I2529" s="7">
        <v>1.0</v>
      </c>
      <c r="J2529" s="7">
        <v>1.0</v>
      </c>
      <c r="K2529" s="7" t="s">
        <v>31</v>
      </c>
      <c r="L2529" s="8" t="s">
        <v>13281</v>
      </c>
      <c r="M2529" s="6" t="s">
        <v>16871</v>
      </c>
      <c r="N2529" s="6" t="s">
        <v>1277</v>
      </c>
      <c r="O2529" s="8" t="s">
        <v>1278</v>
      </c>
      <c r="P2529" s="6" t="s">
        <v>13283</v>
      </c>
      <c r="Q2529" s="6" t="s">
        <v>13284</v>
      </c>
      <c r="R2529" s="6" t="s">
        <v>1281</v>
      </c>
      <c r="S2529" s="8" t="s">
        <v>1282</v>
      </c>
      <c r="T2529" s="6" t="s">
        <v>66</v>
      </c>
      <c r="U2529" s="8" t="s">
        <v>13285</v>
      </c>
      <c r="V2529" s="6" t="s">
        <v>3523</v>
      </c>
      <c r="W2529" s="6" t="s">
        <v>13207</v>
      </c>
      <c r="X2529" s="9" t="str">
        <f>HYPERLINK("https://my.pitchbook.com?p=435641-41P","View People Online")</f>
        <v>View People Online</v>
      </c>
    </row>
    <row r="2530">
      <c r="A2530" s="2" t="s">
        <v>16872</v>
      </c>
      <c r="B2530" s="2" t="s">
        <v>16873</v>
      </c>
      <c r="C2530" s="2" t="s">
        <v>3811</v>
      </c>
      <c r="D2530" s="2" t="s">
        <v>16874</v>
      </c>
      <c r="E2530" s="2" t="s">
        <v>13207</v>
      </c>
      <c r="F2530" s="2" t="s">
        <v>3523</v>
      </c>
      <c r="G2530" s="2" t="s">
        <v>16875</v>
      </c>
      <c r="H2530" s="3" t="s">
        <v>31</v>
      </c>
      <c r="I2530" s="3">
        <v>1.0</v>
      </c>
      <c r="J2530" s="3">
        <v>1.0</v>
      </c>
      <c r="K2530" s="3" t="s">
        <v>31</v>
      </c>
      <c r="L2530" s="4" t="s">
        <v>13209</v>
      </c>
      <c r="M2530" s="2" t="s">
        <v>16876</v>
      </c>
      <c r="N2530" s="2" t="s">
        <v>4232</v>
      </c>
      <c r="O2530" s="4" t="s">
        <v>4233</v>
      </c>
      <c r="P2530" s="2" t="s">
        <v>13211</v>
      </c>
      <c r="Q2530" s="2" t="s">
        <v>31</v>
      </c>
      <c r="R2530" s="2" t="s">
        <v>4236</v>
      </c>
      <c r="S2530" s="4" t="s">
        <v>13212</v>
      </c>
      <c r="T2530" s="2" t="s">
        <v>66</v>
      </c>
      <c r="U2530" s="4" t="s">
        <v>13213</v>
      </c>
      <c r="V2530" s="2" t="s">
        <v>3523</v>
      </c>
      <c r="W2530" s="2" t="s">
        <v>13207</v>
      </c>
      <c r="X2530" s="5" t="str">
        <f>HYPERLINK("https://my.pitchbook.com?p=455509-00P","View People Online")</f>
        <v>View People Online</v>
      </c>
    </row>
    <row r="2531">
      <c r="A2531" s="6" t="s">
        <v>16877</v>
      </c>
      <c r="B2531" s="6" t="s">
        <v>16878</v>
      </c>
      <c r="C2531" s="6" t="s">
        <v>3811</v>
      </c>
      <c r="D2531" s="6" t="s">
        <v>16879</v>
      </c>
      <c r="E2531" s="6" t="s">
        <v>13207</v>
      </c>
      <c r="F2531" s="6" t="s">
        <v>13218</v>
      </c>
      <c r="G2531" s="6" t="s">
        <v>16880</v>
      </c>
      <c r="H2531" s="7" t="s">
        <v>31</v>
      </c>
      <c r="I2531" s="7">
        <v>1.0</v>
      </c>
      <c r="J2531" s="7">
        <v>1.0</v>
      </c>
      <c r="K2531" s="7" t="s">
        <v>31</v>
      </c>
      <c r="L2531" s="8" t="s">
        <v>13916</v>
      </c>
      <c r="M2531" s="6" t="s">
        <v>16881</v>
      </c>
      <c r="N2531" s="6" t="s">
        <v>155</v>
      </c>
      <c r="O2531" s="8" t="s">
        <v>156</v>
      </c>
      <c r="P2531" s="6" t="s">
        <v>13918</v>
      </c>
      <c r="Q2531" s="6" t="s">
        <v>13919</v>
      </c>
      <c r="R2531" s="6" t="s">
        <v>64</v>
      </c>
      <c r="S2531" s="8" t="s">
        <v>1549</v>
      </c>
      <c r="T2531" s="6" t="s">
        <v>66</v>
      </c>
      <c r="U2531" s="8" t="s">
        <v>13920</v>
      </c>
      <c r="V2531" s="6" t="s">
        <v>13218</v>
      </c>
      <c r="W2531" s="6" t="s">
        <v>13207</v>
      </c>
      <c r="X2531" s="9" t="str">
        <f>HYPERLINK("https://my.pitchbook.com?p=455427-91P","View People Online")</f>
        <v>View People Online</v>
      </c>
    </row>
    <row r="2532">
      <c r="A2532" s="2" t="s">
        <v>16882</v>
      </c>
      <c r="B2532" s="2" t="s">
        <v>16883</v>
      </c>
      <c r="C2532" s="2" t="s">
        <v>3811</v>
      </c>
      <c r="D2532" s="2" t="s">
        <v>16884</v>
      </c>
      <c r="E2532" s="2" t="s">
        <v>13207</v>
      </c>
      <c r="F2532" s="2" t="s">
        <v>13240</v>
      </c>
      <c r="G2532" s="2" t="s">
        <v>16885</v>
      </c>
      <c r="H2532" s="3" t="s">
        <v>31</v>
      </c>
      <c r="I2532" s="3">
        <v>1.0</v>
      </c>
      <c r="J2532" s="3">
        <v>1.0</v>
      </c>
      <c r="K2532" s="3" t="s">
        <v>31</v>
      </c>
      <c r="L2532" s="4" t="s">
        <v>13423</v>
      </c>
      <c r="M2532" s="2" t="s">
        <v>16886</v>
      </c>
      <c r="N2532" s="2" t="s">
        <v>243</v>
      </c>
      <c r="O2532" s="4" t="s">
        <v>244</v>
      </c>
      <c r="P2532" s="2" t="s">
        <v>13425</v>
      </c>
      <c r="Q2532" s="2" t="s">
        <v>31</v>
      </c>
      <c r="R2532" s="2" t="s">
        <v>247</v>
      </c>
      <c r="S2532" s="4" t="s">
        <v>13426</v>
      </c>
      <c r="T2532" s="2" t="s">
        <v>249</v>
      </c>
      <c r="U2532" s="4" t="s">
        <v>31</v>
      </c>
      <c r="V2532" s="2" t="s">
        <v>13247</v>
      </c>
      <c r="W2532" s="2" t="s">
        <v>13207</v>
      </c>
      <c r="X2532" s="5" t="str">
        <f>HYPERLINK("https://my.pitchbook.com?p=456088-96P","View People Online")</f>
        <v>View People Online</v>
      </c>
    </row>
    <row r="2533">
      <c r="A2533" s="14" t="s">
        <v>16887</v>
      </c>
      <c r="B2533" s="14" t="s">
        <v>16888</v>
      </c>
      <c r="C2533" s="14" t="s">
        <v>3811</v>
      </c>
      <c r="D2533" s="14" t="s">
        <v>16889</v>
      </c>
      <c r="E2533" s="14" t="s">
        <v>13207</v>
      </c>
      <c r="F2533" s="14" t="s">
        <v>13218</v>
      </c>
      <c r="G2533" s="14" t="s">
        <v>16890</v>
      </c>
      <c r="H2533" s="15" t="s">
        <v>31</v>
      </c>
      <c r="I2533" s="15">
        <v>1.0</v>
      </c>
      <c r="J2533" s="15">
        <v>1.0</v>
      </c>
      <c r="K2533" s="15" t="s">
        <v>31</v>
      </c>
      <c r="L2533" s="16" t="s">
        <v>13281</v>
      </c>
      <c r="M2533" s="14" t="s">
        <v>16891</v>
      </c>
      <c r="N2533" s="14" t="s">
        <v>1277</v>
      </c>
      <c r="O2533" s="16" t="s">
        <v>1278</v>
      </c>
      <c r="P2533" s="14" t="s">
        <v>13283</v>
      </c>
      <c r="Q2533" s="14" t="s">
        <v>13284</v>
      </c>
      <c r="R2533" s="14" t="s">
        <v>1281</v>
      </c>
      <c r="S2533" s="16" t="s">
        <v>1282</v>
      </c>
      <c r="T2533" s="14" t="s">
        <v>66</v>
      </c>
      <c r="U2533" s="16" t="s">
        <v>13285</v>
      </c>
      <c r="V2533" s="14" t="s">
        <v>13218</v>
      </c>
      <c r="W2533" s="14" t="s">
        <v>13207</v>
      </c>
      <c r="X2533" s="17" t="str">
        <f>HYPERLINK("https://my.pitchbook.com?p=435830-23P","View People Online")</f>
        <v>View People Online</v>
      </c>
    </row>
    <row r="2534">
      <c r="A2534" s="2" t="s">
        <v>16892</v>
      </c>
      <c r="B2534" s="2" t="s">
        <v>16893</v>
      </c>
      <c r="C2534" s="2" t="s">
        <v>3811</v>
      </c>
      <c r="D2534" s="2" t="s">
        <v>16894</v>
      </c>
      <c r="E2534" s="2" t="s">
        <v>13207</v>
      </c>
      <c r="F2534" s="2" t="s">
        <v>13218</v>
      </c>
      <c r="G2534" s="2" t="s">
        <v>16895</v>
      </c>
      <c r="H2534" s="3" t="s">
        <v>31</v>
      </c>
      <c r="I2534" s="3">
        <v>1.0</v>
      </c>
      <c r="J2534" s="3">
        <v>1.0</v>
      </c>
      <c r="K2534" s="3" t="s">
        <v>31</v>
      </c>
      <c r="L2534" s="4" t="s">
        <v>13274</v>
      </c>
      <c r="M2534" s="2" t="s">
        <v>16896</v>
      </c>
      <c r="N2534" s="2" t="s">
        <v>1181</v>
      </c>
      <c r="O2534" s="4" t="s">
        <v>1182</v>
      </c>
      <c r="P2534" s="2" t="s">
        <v>13276</v>
      </c>
      <c r="Q2534" s="2" t="s">
        <v>31</v>
      </c>
      <c r="R2534" s="2" t="s">
        <v>1185</v>
      </c>
      <c r="S2534" s="4" t="s">
        <v>4438</v>
      </c>
      <c r="T2534" s="2" t="s">
        <v>66</v>
      </c>
      <c r="U2534" s="4" t="s">
        <v>13277</v>
      </c>
      <c r="V2534" s="2" t="s">
        <v>13218</v>
      </c>
      <c r="W2534" s="2" t="s">
        <v>13207</v>
      </c>
      <c r="X2534" s="5" t="str">
        <f>HYPERLINK("https://my.pitchbook.com?p=435357-28P","View People Online")</f>
        <v>View People Online</v>
      </c>
    </row>
    <row r="2535">
      <c r="A2535" s="14" t="s">
        <v>16897</v>
      </c>
      <c r="B2535" s="14" t="s">
        <v>16898</v>
      </c>
      <c r="C2535" s="14" t="s">
        <v>16899</v>
      </c>
      <c r="D2535" s="14" t="s">
        <v>16900</v>
      </c>
      <c r="E2535" s="14" t="s">
        <v>13207</v>
      </c>
      <c r="F2535" s="14" t="s">
        <v>13240</v>
      </c>
      <c r="G2535" s="14" t="s">
        <v>16901</v>
      </c>
      <c r="H2535" s="15" t="s">
        <v>31</v>
      </c>
      <c r="I2535" s="15">
        <v>1.0</v>
      </c>
      <c r="J2535" s="15">
        <v>1.0</v>
      </c>
      <c r="K2535" s="15" t="s">
        <v>31</v>
      </c>
      <c r="L2535" s="16" t="s">
        <v>13252</v>
      </c>
      <c r="M2535" s="14" t="s">
        <v>16902</v>
      </c>
      <c r="N2535" s="14" t="s">
        <v>13254</v>
      </c>
      <c r="O2535" s="16" t="s">
        <v>13255</v>
      </c>
      <c r="P2535" s="14" t="s">
        <v>13256</v>
      </c>
      <c r="Q2535" s="14" t="s">
        <v>31</v>
      </c>
      <c r="R2535" s="14" t="s">
        <v>31</v>
      </c>
      <c r="S2535" s="16" t="s">
        <v>13257</v>
      </c>
      <c r="T2535" s="14" t="s">
        <v>13258</v>
      </c>
      <c r="U2535" s="16" t="s">
        <v>13259</v>
      </c>
      <c r="V2535" s="14" t="s">
        <v>16903</v>
      </c>
      <c r="W2535" s="14" t="s">
        <v>13207</v>
      </c>
      <c r="X2535" s="17" t="str">
        <f>HYPERLINK("https://my.pitchbook.com?p=436144-87P","View People Online")</f>
        <v>View People Online</v>
      </c>
    </row>
    <row r="2536">
      <c r="A2536" s="10" t="s">
        <v>16904</v>
      </c>
      <c r="B2536" s="10" t="s">
        <v>16905</v>
      </c>
      <c r="C2536" s="10" t="s">
        <v>1471</v>
      </c>
      <c r="D2536" s="10" t="s">
        <v>16906</v>
      </c>
      <c r="E2536" s="10" t="s">
        <v>13207</v>
      </c>
      <c r="F2536" s="10" t="s">
        <v>13307</v>
      </c>
      <c r="G2536" s="10" t="s">
        <v>16907</v>
      </c>
      <c r="H2536" s="11" t="s">
        <v>31</v>
      </c>
      <c r="I2536" s="11">
        <v>1.0</v>
      </c>
      <c r="J2536" s="11">
        <v>1.0</v>
      </c>
      <c r="K2536" s="11" t="s">
        <v>31</v>
      </c>
      <c r="L2536" s="12" t="s">
        <v>13496</v>
      </c>
      <c r="M2536" s="10" t="s">
        <v>16908</v>
      </c>
      <c r="N2536" s="10" t="s">
        <v>75</v>
      </c>
      <c r="O2536" s="12" t="s">
        <v>76</v>
      </c>
      <c r="P2536" s="10" t="s">
        <v>13498</v>
      </c>
      <c r="Q2536" s="10" t="s">
        <v>31</v>
      </c>
      <c r="R2536" s="10" t="s">
        <v>75</v>
      </c>
      <c r="S2536" s="12" t="s">
        <v>195</v>
      </c>
      <c r="T2536" s="10" t="s">
        <v>66</v>
      </c>
      <c r="U2536" s="12" t="s">
        <v>13499</v>
      </c>
      <c r="V2536" s="10" t="s">
        <v>16909</v>
      </c>
      <c r="W2536" s="10" t="s">
        <v>13207</v>
      </c>
      <c r="X2536" s="13" t="str">
        <f>HYPERLINK("https://my.pitchbook.com?p=435659-77P","View People Online")</f>
        <v>View People Online</v>
      </c>
    </row>
    <row r="2537">
      <c r="A2537" s="6" t="s">
        <v>16910</v>
      </c>
      <c r="B2537" s="6" t="s">
        <v>16911</v>
      </c>
      <c r="C2537" s="6" t="s">
        <v>1471</v>
      </c>
      <c r="D2537" s="6" t="s">
        <v>16912</v>
      </c>
      <c r="E2537" s="6" t="s">
        <v>13207</v>
      </c>
      <c r="F2537" s="6" t="s">
        <v>13240</v>
      </c>
      <c r="G2537" s="6" t="s">
        <v>16913</v>
      </c>
      <c r="H2537" s="7" t="s">
        <v>31</v>
      </c>
      <c r="I2537" s="7">
        <v>1.0</v>
      </c>
      <c r="J2537" s="7">
        <v>1.0</v>
      </c>
      <c r="K2537" s="7" t="s">
        <v>31</v>
      </c>
      <c r="L2537" s="8" t="s">
        <v>13496</v>
      </c>
      <c r="M2537" s="6" t="s">
        <v>16914</v>
      </c>
      <c r="N2537" s="6" t="s">
        <v>75</v>
      </c>
      <c r="O2537" s="8" t="s">
        <v>76</v>
      </c>
      <c r="P2537" s="6" t="s">
        <v>13498</v>
      </c>
      <c r="Q2537" s="6" t="s">
        <v>31</v>
      </c>
      <c r="R2537" s="6" t="s">
        <v>75</v>
      </c>
      <c r="S2537" s="8" t="s">
        <v>195</v>
      </c>
      <c r="T2537" s="6" t="s">
        <v>66</v>
      </c>
      <c r="U2537" s="8" t="s">
        <v>13499</v>
      </c>
      <c r="V2537" s="6" t="s">
        <v>13247</v>
      </c>
      <c r="W2537" s="6" t="s">
        <v>13207</v>
      </c>
      <c r="X2537" s="9" t="str">
        <f>HYPERLINK("https://my.pitchbook.com?p=456210-19P","View People Online")</f>
        <v>View People Online</v>
      </c>
    </row>
    <row r="2538">
      <c r="A2538" s="10" t="s">
        <v>16915</v>
      </c>
      <c r="B2538" s="10" t="s">
        <v>16916</v>
      </c>
      <c r="C2538" s="10" t="s">
        <v>16917</v>
      </c>
      <c r="D2538" s="10" t="s">
        <v>16918</v>
      </c>
      <c r="E2538" s="10" t="s">
        <v>13207</v>
      </c>
      <c r="F2538" s="10" t="s">
        <v>29</v>
      </c>
      <c r="G2538" s="10" t="s">
        <v>16919</v>
      </c>
      <c r="H2538" s="11" t="s">
        <v>31</v>
      </c>
      <c r="I2538" s="11">
        <v>1.0</v>
      </c>
      <c r="J2538" s="11">
        <v>1.0</v>
      </c>
      <c r="K2538" s="11" t="s">
        <v>31</v>
      </c>
      <c r="L2538" s="12" t="s">
        <v>13378</v>
      </c>
      <c r="M2538" s="10" t="s">
        <v>16920</v>
      </c>
      <c r="N2538" s="10" t="s">
        <v>429</v>
      </c>
      <c r="O2538" s="12" t="s">
        <v>430</v>
      </c>
      <c r="P2538" s="10" t="s">
        <v>13380</v>
      </c>
      <c r="Q2538" s="10" t="s">
        <v>31</v>
      </c>
      <c r="R2538" s="10" t="s">
        <v>31</v>
      </c>
      <c r="S2538" s="12" t="s">
        <v>13381</v>
      </c>
      <c r="T2538" s="10" t="s">
        <v>433</v>
      </c>
      <c r="U2538" s="12" t="s">
        <v>13382</v>
      </c>
      <c r="V2538" s="10" t="s">
        <v>29</v>
      </c>
      <c r="W2538" s="10" t="s">
        <v>13207</v>
      </c>
      <c r="X2538" s="13" t="str">
        <f>HYPERLINK("https://my.pitchbook.com?p=435204-01P","View People Online")</f>
        <v>View People Online</v>
      </c>
    </row>
    <row r="2539">
      <c r="A2539" s="6" t="s">
        <v>16921</v>
      </c>
      <c r="B2539" s="6" t="s">
        <v>16922</v>
      </c>
      <c r="C2539" s="6" t="s">
        <v>16923</v>
      </c>
      <c r="D2539" s="6" t="s">
        <v>16924</v>
      </c>
      <c r="E2539" s="6" t="s">
        <v>13207</v>
      </c>
      <c r="F2539" s="6" t="s">
        <v>3523</v>
      </c>
      <c r="G2539" s="6" t="s">
        <v>16925</v>
      </c>
      <c r="H2539" s="7" t="s">
        <v>31</v>
      </c>
      <c r="I2539" s="7">
        <v>1.0</v>
      </c>
      <c r="J2539" s="7">
        <v>1.0</v>
      </c>
      <c r="K2539" s="7" t="s">
        <v>31</v>
      </c>
      <c r="L2539" s="8" t="s">
        <v>13540</v>
      </c>
      <c r="M2539" s="6" t="s">
        <v>16926</v>
      </c>
      <c r="N2539" s="6" t="s">
        <v>418</v>
      </c>
      <c r="O2539" s="8" t="s">
        <v>419</v>
      </c>
      <c r="P2539" s="6" t="s">
        <v>13542</v>
      </c>
      <c r="Q2539" s="6" t="s">
        <v>31</v>
      </c>
      <c r="R2539" s="6" t="s">
        <v>31</v>
      </c>
      <c r="S2539" s="8" t="s">
        <v>2664</v>
      </c>
      <c r="T2539" s="6" t="s">
        <v>422</v>
      </c>
      <c r="U2539" s="8" t="s">
        <v>13543</v>
      </c>
      <c r="V2539" s="6" t="s">
        <v>3523</v>
      </c>
      <c r="W2539" s="6" t="s">
        <v>13207</v>
      </c>
      <c r="X2539" s="9" t="str">
        <f>HYPERLINK("https://my.pitchbook.com?p=455438-08P","View People Online")</f>
        <v>View People Online</v>
      </c>
    </row>
    <row r="2540">
      <c r="A2540" s="2" t="s">
        <v>16927</v>
      </c>
      <c r="B2540" s="2" t="s">
        <v>16928</v>
      </c>
      <c r="C2540" s="2" t="s">
        <v>11376</v>
      </c>
      <c r="D2540" s="2" t="s">
        <v>16929</v>
      </c>
      <c r="E2540" s="2" t="s">
        <v>13207</v>
      </c>
      <c r="F2540" s="2" t="s">
        <v>3523</v>
      </c>
      <c r="G2540" s="2" t="s">
        <v>16930</v>
      </c>
      <c r="H2540" s="3" t="s">
        <v>31</v>
      </c>
      <c r="I2540" s="3">
        <v>1.0</v>
      </c>
      <c r="J2540" s="3">
        <v>1.0</v>
      </c>
      <c r="K2540" s="3" t="s">
        <v>31</v>
      </c>
      <c r="L2540" s="4" t="s">
        <v>13378</v>
      </c>
      <c r="M2540" s="2" t="s">
        <v>16931</v>
      </c>
      <c r="N2540" s="2" t="s">
        <v>429</v>
      </c>
      <c r="O2540" s="4" t="s">
        <v>430</v>
      </c>
      <c r="P2540" s="2" t="s">
        <v>13380</v>
      </c>
      <c r="Q2540" s="2" t="s">
        <v>31</v>
      </c>
      <c r="R2540" s="2" t="s">
        <v>31</v>
      </c>
      <c r="S2540" s="4" t="s">
        <v>13381</v>
      </c>
      <c r="T2540" s="2" t="s">
        <v>433</v>
      </c>
      <c r="U2540" s="4" t="s">
        <v>13382</v>
      </c>
      <c r="V2540" s="2" t="s">
        <v>3523</v>
      </c>
      <c r="W2540" s="2" t="s">
        <v>13207</v>
      </c>
      <c r="X2540" s="5" t="str">
        <f>HYPERLINK("https://my.pitchbook.com?p=456532-75P","View People Online")</f>
        <v>View People Online</v>
      </c>
    </row>
    <row r="2541">
      <c r="A2541" s="6" t="s">
        <v>16932</v>
      </c>
      <c r="B2541" s="6" t="s">
        <v>16933</v>
      </c>
      <c r="C2541" s="6" t="s">
        <v>11376</v>
      </c>
      <c r="D2541" s="6" t="s">
        <v>16934</v>
      </c>
      <c r="E2541" s="6" t="s">
        <v>13207</v>
      </c>
      <c r="F2541" s="6" t="s">
        <v>13240</v>
      </c>
      <c r="G2541" s="6" t="s">
        <v>16935</v>
      </c>
      <c r="H2541" s="7" t="s">
        <v>31</v>
      </c>
      <c r="I2541" s="7">
        <v>1.0</v>
      </c>
      <c r="J2541" s="7">
        <v>1.0</v>
      </c>
      <c r="K2541" s="7" t="s">
        <v>31</v>
      </c>
      <c r="L2541" s="8" t="s">
        <v>13378</v>
      </c>
      <c r="M2541" s="6" t="s">
        <v>16936</v>
      </c>
      <c r="N2541" s="6" t="s">
        <v>429</v>
      </c>
      <c r="O2541" s="8" t="s">
        <v>430</v>
      </c>
      <c r="P2541" s="6" t="s">
        <v>13380</v>
      </c>
      <c r="Q2541" s="6" t="s">
        <v>31</v>
      </c>
      <c r="R2541" s="6" t="s">
        <v>31</v>
      </c>
      <c r="S2541" s="8" t="s">
        <v>13381</v>
      </c>
      <c r="T2541" s="6" t="s">
        <v>433</v>
      </c>
      <c r="U2541" s="8" t="s">
        <v>13382</v>
      </c>
      <c r="V2541" s="6" t="s">
        <v>13247</v>
      </c>
      <c r="W2541" s="6" t="s">
        <v>13207</v>
      </c>
      <c r="X2541" s="9" t="str">
        <f>HYPERLINK("https://my.pitchbook.com?p=436120-03P","View People Online")</f>
        <v>View People Online</v>
      </c>
    </row>
    <row r="2542">
      <c r="A2542" s="10" t="s">
        <v>16937</v>
      </c>
      <c r="B2542" s="10" t="s">
        <v>16938</v>
      </c>
      <c r="C2542" s="10" t="s">
        <v>11376</v>
      </c>
      <c r="D2542" s="10" t="s">
        <v>16939</v>
      </c>
      <c r="E2542" s="10" t="s">
        <v>13207</v>
      </c>
      <c r="F2542" s="10" t="s">
        <v>3523</v>
      </c>
      <c r="G2542" s="10" t="s">
        <v>16940</v>
      </c>
      <c r="H2542" s="11" t="s">
        <v>31</v>
      </c>
      <c r="I2542" s="11">
        <v>1.0</v>
      </c>
      <c r="J2542" s="11">
        <v>1.0</v>
      </c>
      <c r="K2542" s="11" t="s">
        <v>31</v>
      </c>
      <c r="L2542" s="12" t="s">
        <v>13378</v>
      </c>
      <c r="M2542" s="10" t="s">
        <v>16941</v>
      </c>
      <c r="N2542" s="10" t="s">
        <v>429</v>
      </c>
      <c r="O2542" s="12" t="s">
        <v>430</v>
      </c>
      <c r="P2542" s="10" t="s">
        <v>13380</v>
      </c>
      <c r="Q2542" s="10" t="s">
        <v>31</v>
      </c>
      <c r="R2542" s="10" t="s">
        <v>31</v>
      </c>
      <c r="S2542" s="12" t="s">
        <v>13381</v>
      </c>
      <c r="T2542" s="10" t="s">
        <v>433</v>
      </c>
      <c r="U2542" s="12" t="s">
        <v>13382</v>
      </c>
      <c r="V2542" s="10" t="s">
        <v>3523</v>
      </c>
      <c r="W2542" s="10" t="s">
        <v>13207</v>
      </c>
      <c r="X2542" s="13" t="str">
        <f>HYPERLINK("https://my.pitchbook.com?p=456098-95P","View People Online")</f>
        <v>View People Online</v>
      </c>
    </row>
    <row r="2543">
      <c r="A2543" s="14" t="s">
        <v>16942</v>
      </c>
      <c r="B2543" s="14" t="s">
        <v>16943</v>
      </c>
      <c r="C2543" s="14" t="s">
        <v>11376</v>
      </c>
      <c r="D2543" s="14" t="s">
        <v>16944</v>
      </c>
      <c r="E2543" s="14" t="s">
        <v>13207</v>
      </c>
      <c r="F2543" s="14" t="s">
        <v>3523</v>
      </c>
      <c r="G2543" s="14" t="s">
        <v>16945</v>
      </c>
      <c r="H2543" s="15" t="s">
        <v>31</v>
      </c>
      <c r="I2543" s="15">
        <v>1.0</v>
      </c>
      <c r="J2543" s="15">
        <v>1.0</v>
      </c>
      <c r="K2543" s="15" t="s">
        <v>31</v>
      </c>
      <c r="L2543" s="16" t="s">
        <v>13673</v>
      </c>
      <c r="M2543" s="14" t="s">
        <v>16946</v>
      </c>
      <c r="N2543" s="14" t="s">
        <v>6311</v>
      </c>
      <c r="O2543" s="16" t="s">
        <v>6312</v>
      </c>
      <c r="P2543" s="14" t="s">
        <v>13675</v>
      </c>
      <c r="Q2543" s="14" t="s">
        <v>31</v>
      </c>
      <c r="R2543" s="14" t="s">
        <v>31</v>
      </c>
      <c r="S2543" s="16" t="s">
        <v>13676</v>
      </c>
      <c r="T2543" s="14" t="s">
        <v>6315</v>
      </c>
      <c r="U2543" s="16" t="s">
        <v>13677</v>
      </c>
      <c r="V2543" s="14" t="s">
        <v>3523</v>
      </c>
      <c r="W2543" s="14" t="s">
        <v>13207</v>
      </c>
      <c r="X2543" s="17" t="str">
        <f>HYPERLINK("https://my.pitchbook.com?p=456226-03P","View People Online")</f>
        <v>View People Online</v>
      </c>
    </row>
    <row r="2544">
      <c r="A2544" s="2" t="s">
        <v>16947</v>
      </c>
      <c r="B2544" s="2" t="s">
        <v>16948</v>
      </c>
      <c r="C2544" s="2" t="s">
        <v>11376</v>
      </c>
      <c r="D2544" s="2" t="s">
        <v>16949</v>
      </c>
      <c r="E2544" s="2" t="s">
        <v>13207</v>
      </c>
      <c r="F2544" s="2" t="s">
        <v>3523</v>
      </c>
      <c r="G2544" s="2" t="s">
        <v>16950</v>
      </c>
      <c r="H2544" s="3" t="s">
        <v>31</v>
      </c>
      <c r="I2544" s="3">
        <v>2.0</v>
      </c>
      <c r="J2544" s="3">
        <v>1.0</v>
      </c>
      <c r="K2544" s="3">
        <v>1.0</v>
      </c>
      <c r="L2544" s="4" t="s">
        <v>13378</v>
      </c>
      <c r="M2544" s="2" t="s">
        <v>16951</v>
      </c>
      <c r="N2544" s="2" t="s">
        <v>429</v>
      </c>
      <c r="O2544" s="4" t="s">
        <v>430</v>
      </c>
      <c r="P2544" s="2" t="s">
        <v>13380</v>
      </c>
      <c r="Q2544" s="2" t="s">
        <v>31</v>
      </c>
      <c r="R2544" s="2" t="s">
        <v>31</v>
      </c>
      <c r="S2544" s="4" t="s">
        <v>13381</v>
      </c>
      <c r="T2544" s="2" t="s">
        <v>433</v>
      </c>
      <c r="U2544" s="4" t="s">
        <v>13382</v>
      </c>
      <c r="V2544" s="2" t="s">
        <v>3523</v>
      </c>
      <c r="W2544" s="2" t="s">
        <v>13207</v>
      </c>
      <c r="X2544" s="5" t="str">
        <f>HYPERLINK("https://my.pitchbook.com?p=453235-51P","View People Online")</f>
        <v>View People Online</v>
      </c>
    </row>
    <row r="2545">
      <c r="A2545" s="6" t="s">
        <v>16952</v>
      </c>
      <c r="B2545" s="6" t="s">
        <v>16953</v>
      </c>
      <c r="C2545" s="6" t="s">
        <v>16954</v>
      </c>
      <c r="D2545" s="6" t="s">
        <v>16955</v>
      </c>
      <c r="E2545" s="6" t="s">
        <v>13207</v>
      </c>
      <c r="F2545" s="6" t="s">
        <v>3523</v>
      </c>
      <c r="G2545" s="6" t="s">
        <v>16956</v>
      </c>
      <c r="H2545" s="7" t="s">
        <v>31</v>
      </c>
      <c r="I2545" s="7">
        <v>1.0</v>
      </c>
      <c r="J2545" s="7">
        <v>1.0</v>
      </c>
      <c r="K2545" s="7" t="s">
        <v>31</v>
      </c>
      <c r="L2545" s="8" t="s">
        <v>13274</v>
      </c>
      <c r="M2545" s="6" t="s">
        <v>16957</v>
      </c>
      <c r="N2545" s="6" t="s">
        <v>1181</v>
      </c>
      <c r="O2545" s="8" t="s">
        <v>1182</v>
      </c>
      <c r="P2545" s="6" t="s">
        <v>13276</v>
      </c>
      <c r="Q2545" s="6" t="s">
        <v>31</v>
      </c>
      <c r="R2545" s="6" t="s">
        <v>1185</v>
      </c>
      <c r="S2545" s="8" t="s">
        <v>4438</v>
      </c>
      <c r="T2545" s="6" t="s">
        <v>66</v>
      </c>
      <c r="U2545" s="8" t="s">
        <v>13277</v>
      </c>
      <c r="V2545" s="6" t="s">
        <v>3523</v>
      </c>
      <c r="W2545" s="6" t="s">
        <v>13207</v>
      </c>
      <c r="X2545" s="9" t="str">
        <f>HYPERLINK("https://my.pitchbook.com?p=435085-93P","View People Online")</f>
        <v>View People Online</v>
      </c>
    </row>
    <row r="2546">
      <c r="A2546" s="10" t="s">
        <v>16958</v>
      </c>
      <c r="B2546" s="10" t="s">
        <v>16959</v>
      </c>
      <c r="C2546" s="10" t="s">
        <v>2093</v>
      </c>
      <c r="D2546" s="10" t="s">
        <v>16960</v>
      </c>
      <c r="E2546" s="10" t="s">
        <v>13207</v>
      </c>
      <c r="F2546" s="10" t="s">
        <v>13307</v>
      </c>
      <c r="G2546" s="10" t="s">
        <v>16961</v>
      </c>
      <c r="H2546" s="11" t="s">
        <v>31</v>
      </c>
      <c r="I2546" s="11">
        <v>1.0</v>
      </c>
      <c r="J2546" s="11">
        <v>1.0</v>
      </c>
      <c r="K2546" s="11" t="s">
        <v>31</v>
      </c>
      <c r="L2546" s="12" t="s">
        <v>31</v>
      </c>
      <c r="M2546" s="10" t="s">
        <v>16962</v>
      </c>
      <c r="N2546" s="10" t="s">
        <v>2913</v>
      </c>
      <c r="O2546" s="12" t="s">
        <v>2914</v>
      </c>
      <c r="P2546" s="10" t="s">
        <v>13560</v>
      </c>
      <c r="Q2546" s="10" t="s">
        <v>13561</v>
      </c>
      <c r="R2546" s="10" t="s">
        <v>31</v>
      </c>
      <c r="S2546" s="12" t="s">
        <v>31</v>
      </c>
      <c r="T2546" s="10" t="s">
        <v>2917</v>
      </c>
      <c r="U2546" s="12" t="s">
        <v>31</v>
      </c>
      <c r="V2546" s="10" t="s">
        <v>13317</v>
      </c>
      <c r="W2546" s="10" t="s">
        <v>13207</v>
      </c>
      <c r="X2546" s="13" t="str">
        <f>HYPERLINK("https://my.pitchbook.com?p=435407-68P","View People Online")</f>
        <v>View People Online</v>
      </c>
    </row>
    <row r="2547">
      <c r="A2547" s="14" t="s">
        <v>16963</v>
      </c>
      <c r="B2547" s="14" t="s">
        <v>16964</v>
      </c>
      <c r="C2547" s="14" t="s">
        <v>7138</v>
      </c>
      <c r="D2547" s="14" t="s">
        <v>16965</v>
      </c>
      <c r="E2547" s="14" t="s">
        <v>13207</v>
      </c>
      <c r="F2547" s="14" t="s">
        <v>13218</v>
      </c>
      <c r="G2547" s="14" t="s">
        <v>16966</v>
      </c>
      <c r="H2547" s="15" t="s">
        <v>31</v>
      </c>
      <c r="I2547" s="15">
        <v>1.0</v>
      </c>
      <c r="J2547" s="15">
        <v>1.0</v>
      </c>
      <c r="K2547" s="15" t="s">
        <v>31</v>
      </c>
      <c r="L2547" s="16" t="s">
        <v>14201</v>
      </c>
      <c r="M2547" s="14" t="s">
        <v>16967</v>
      </c>
      <c r="N2547" s="14" t="s">
        <v>14203</v>
      </c>
      <c r="O2547" s="16" t="s">
        <v>14204</v>
      </c>
      <c r="P2547" s="14" t="s">
        <v>14205</v>
      </c>
      <c r="Q2547" s="14" t="s">
        <v>14206</v>
      </c>
      <c r="R2547" s="14" t="s">
        <v>1420</v>
      </c>
      <c r="S2547" s="16" t="s">
        <v>14207</v>
      </c>
      <c r="T2547" s="14" t="s">
        <v>66</v>
      </c>
      <c r="U2547" s="16" t="s">
        <v>14208</v>
      </c>
      <c r="V2547" s="14" t="s">
        <v>14182</v>
      </c>
      <c r="W2547" s="14" t="s">
        <v>13207</v>
      </c>
      <c r="X2547" s="17" t="str">
        <f>HYPERLINK("https://my.pitchbook.com?p=242796-25P","View People Online")</f>
        <v>View People Online</v>
      </c>
    </row>
    <row r="2548">
      <c r="A2548" s="10" t="s">
        <v>16968</v>
      </c>
      <c r="B2548" s="10" t="s">
        <v>16969</v>
      </c>
      <c r="C2548" s="10" t="s">
        <v>16970</v>
      </c>
      <c r="D2548" s="10" t="s">
        <v>16971</v>
      </c>
      <c r="E2548" s="10" t="s">
        <v>13207</v>
      </c>
      <c r="F2548" s="10" t="s">
        <v>13218</v>
      </c>
      <c r="G2548" s="10" t="s">
        <v>16972</v>
      </c>
      <c r="H2548" s="11" t="s">
        <v>31</v>
      </c>
      <c r="I2548" s="11">
        <v>1.0</v>
      </c>
      <c r="J2548" s="11">
        <v>1.0</v>
      </c>
      <c r="K2548" s="11" t="s">
        <v>31</v>
      </c>
      <c r="L2548" s="12" t="s">
        <v>13378</v>
      </c>
      <c r="M2548" s="10" t="s">
        <v>16973</v>
      </c>
      <c r="N2548" s="10" t="s">
        <v>429</v>
      </c>
      <c r="O2548" s="12" t="s">
        <v>430</v>
      </c>
      <c r="P2548" s="10" t="s">
        <v>13380</v>
      </c>
      <c r="Q2548" s="10" t="s">
        <v>31</v>
      </c>
      <c r="R2548" s="10" t="s">
        <v>31</v>
      </c>
      <c r="S2548" s="12" t="s">
        <v>13381</v>
      </c>
      <c r="T2548" s="10" t="s">
        <v>433</v>
      </c>
      <c r="U2548" s="12" t="s">
        <v>13382</v>
      </c>
      <c r="V2548" s="10" t="s">
        <v>13218</v>
      </c>
      <c r="W2548" s="10" t="s">
        <v>13207</v>
      </c>
      <c r="X2548" s="13" t="str">
        <f>HYPERLINK("https://my.pitchbook.com?p=456825-52P","View People Online")</f>
        <v>View People Online</v>
      </c>
    </row>
    <row r="2549">
      <c r="A2549" s="6" t="s">
        <v>16974</v>
      </c>
      <c r="B2549" s="6" t="s">
        <v>16975</v>
      </c>
      <c r="C2549" s="6" t="s">
        <v>16976</v>
      </c>
      <c r="D2549" s="6" t="s">
        <v>16977</v>
      </c>
      <c r="E2549" s="6" t="s">
        <v>13207</v>
      </c>
      <c r="F2549" s="6" t="s">
        <v>13240</v>
      </c>
      <c r="G2549" s="6" t="s">
        <v>16978</v>
      </c>
      <c r="H2549" s="7" t="s">
        <v>31</v>
      </c>
      <c r="I2549" s="7">
        <v>1.0</v>
      </c>
      <c r="J2549" s="7">
        <v>1.0</v>
      </c>
      <c r="K2549" s="7" t="s">
        <v>31</v>
      </c>
      <c r="L2549" s="8" t="s">
        <v>13496</v>
      </c>
      <c r="M2549" s="6" t="s">
        <v>16979</v>
      </c>
      <c r="N2549" s="6" t="s">
        <v>75</v>
      </c>
      <c r="O2549" s="8" t="s">
        <v>76</v>
      </c>
      <c r="P2549" s="6" t="s">
        <v>13498</v>
      </c>
      <c r="Q2549" s="6" t="s">
        <v>31</v>
      </c>
      <c r="R2549" s="6" t="s">
        <v>75</v>
      </c>
      <c r="S2549" s="8" t="s">
        <v>195</v>
      </c>
      <c r="T2549" s="6" t="s">
        <v>66</v>
      </c>
      <c r="U2549" s="8" t="s">
        <v>13499</v>
      </c>
      <c r="V2549" s="6" t="s">
        <v>16980</v>
      </c>
      <c r="W2549" s="6" t="s">
        <v>13207</v>
      </c>
      <c r="X2549" s="9" t="str">
        <f>HYPERLINK("https://my.pitchbook.com?p=456630-04P","View People Online")</f>
        <v>View People Online</v>
      </c>
    </row>
    <row r="2550">
      <c r="A2550" s="10" t="s">
        <v>16981</v>
      </c>
      <c r="B2550" s="10" t="s">
        <v>16982</v>
      </c>
      <c r="C2550" s="10" t="s">
        <v>16983</v>
      </c>
      <c r="D2550" s="10" t="s">
        <v>16984</v>
      </c>
      <c r="E2550" s="10" t="s">
        <v>13207</v>
      </c>
      <c r="F2550" s="10" t="s">
        <v>3523</v>
      </c>
      <c r="G2550" s="10" t="s">
        <v>16985</v>
      </c>
      <c r="H2550" s="11" t="s">
        <v>31</v>
      </c>
      <c r="I2550" s="11">
        <v>1.0</v>
      </c>
      <c r="J2550" s="11">
        <v>1.0</v>
      </c>
      <c r="K2550" s="11" t="s">
        <v>31</v>
      </c>
      <c r="L2550" s="12" t="s">
        <v>13354</v>
      </c>
      <c r="M2550" s="10" t="s">
        <v>16986</v>
      </c>
      <c r="N2550" s="10" t="s">
        <v>13356</v>
      </c>
      <c r="O2550" s="12" t="s">
        <v>13357</v>
      </c>
      <c r="P2550" s="10" t="s">
        <v>13358</v>
      </c>
      <c r="Q2550" s="10" t="s">
        <v>13359</v>
      </c>
      <c r="R2550" s="10" t="s">
        <v>31</v>
      </c>
      <c r="S2550" s="12" t="s">
        <v>13360</v>
      </c>
      <c r="T2550" s="10" t="s">
        <v>13361</v>
      </c>
      <c r="U2550" s="12" t="s">
        <v>13362</v>
      </c>
      <c r="V2550" s="10" t="s">
        <v>3523</v>
      </c>
      <c r="W2550" s="10" t="s">
        <v>13207</v>
      </c>
      <c r="X2550" s="13" t="str">
        <f>HYPERLINK("https://my.pitchbook.com?p=435219-13P","View People Online")</f>
        <v>View People Online</v>
      </c>
    </row>
    <row r="2551">
      <c r="A2551" s="14" t="s">
        <v>16987</v>
      </c>
      <c r="B2551" s="14" t="s">
        <v>16988</v>
      </c>
      <c r="C2551" s="14" t="s">
        <v>16989</v>
      </c>
      <c r="D2551" s="14" t="s">
        <v>1073</v>
      </c>
      <c r="E2551" s="14" t="s">
        <v>13207</v>
      </c>
      <c r="F2551" s="14" t="s">
        <v>3523</v>
      </c>
      <c r="G2551" s="14" t="s">
        <v>16990</v>
      </c>
      <c r="H2551" s="15" t="s">
        <v>31</v>
      </c>
      <c r="I2551" s="15">
        <v>1.0</v>
      </c>
      <c r="J2551" s="15">
        <v>1.0</v>
      </c>
      <c r="K2551" s="15" t="s">
        <v>31</v>
      </c>
      <c r="L2551" s="16" t="s">
        <v>13642</v>
      </c>
      <c r="M2551" s="14" t="s">
        <v>16991</v>
      </c>
      <c r="N2551" s="14" t="s">
        <v>3334</v>
      </c>
      <c r="O2551" s="16" t="s">
        <v>3335</v>
      </c>
      <c r="P2551" s="14" t="s">
        <v>13644</v>
      </c>
      <c r="Q2551" s="14" t="s">
        <v>13645</v>
      </c>
      <c r="R2551" s="14" t="s">
        <v>31</v>
      </c>
      <c r="S2551" s="16" t="s">
        <v>13646</v>
      </c>
      <c r="T2551" s="14" t="s">
        <v>3339</v>
      </c>
      <c r="U2551" s="16" t="s">
        <v>13647</v>
      </c>
      <c r="V2551" s="14" t="s">
        <v>3523</v>
      </c>
      <c r="W2551" s="14" t="s">
        <v>13207</v>
      </c>
      <c r="X2551" s="17" t="str">
        <f>HYPERLINK("https://my.pitchbook.com?p=434934-37P","View People Online")</f>
        <v>View People Online</v>
      </c>
    </row>
    <row r="2552">
      <c r="A2552" s="10" t="s">
        <v>16992</v>
      </c>
      <c r="B2552" s="10" t="s">
        <v>16993</v>
      </c>
      <c r="C2552" s="10" t="s">
        <v>16994</v>
      </c>
      <c r="D2552" s="10" t="s">
        <v>16995</v>
      </c>
      <c r="E2552" s="10" t="s">
        <v>13207</v>
      </c>
      <c r="F2552" s="10" t="s">
        <v>13240</v>
      </c>
      <c r="G2552" s="10" t="s">
        <v>16996</v>
      </c>
      <c r="H2552" s="11" t="s">
        <v>31</v>
      </c>
      <c r="I2552" s="11">
        <v>1.0</v>
      </c>
      <c r="J2552" s="11">
        <v>1.0</v>
      </c>
      <c r="K2552" s="11" t="s">
        <v>31</v>
      </c>
      <c r="L2552" s="12" t="s">
        <v>13263</v>
      </c>
      <c r="M2552" s="10" t="s">
        <v>16997</v>
      </c>
      <c r="N2552" s="10" t="s">
        <v>1005</v>
      </c>
      <c r="O2552" s="12" t="s">
        <v>1006</v>
      </c>
      <c r="P2552" s="10" t="s">
        <v>13265</v>
      </c>
      <c r="Q2552" s="10" t="s">
        <v>13266</v>
      </c>
      <c r="R2552" s="10" t="s">
        <v>13267</v>
      </c>
      <c r="S2552" s="12" t="s">
        <v>13268</v>
      </c>
      <c r="T2552" s="10" t="s">
        <v>1010</v>
      </c>
      <c r="U2552" s="12" t="s">
        <v>13269</v>
      </c>
      <c r="V2552" s="10" t="s">
        <v>13247</v>
      </c>
      <c r="W2552" s="10" t="s">
        <v>13207</v>
      </c>
      <c r="X2552" s="13" t="str">
        <f>HYPERLINK("https://my.pitchbook.com?p=456588-46P","View People Online")</f>
        <v>View People Online</v>
      </c>
    </row>
    <row r="2553">
      <c r="A2553" s="14" t="s">
        <v>16998</v>
      </c>
      <c r="B2553" s="14" t="s">
        <v>16999</v>
      </c>
      <c r="C2553" s="14" t="s">
        <v>17000</v>
      </c>
      <c r="D2553" s="14" t="s">
        <v>17001</v>
      </c>
      <c r="E2553" s="14" t="s">
        <v>13207</v>
      </c>
      <c r="F2553" s="14" t="s">
        <v>1283</v>
      </c>
      <c r="G2553" s="14" t="s">
        <v>17002</v>
      </c>
      <c r="H2553" s="15" t="s">
        <v>31</v>
      </c>
      <c r="I2553" s="15">
        <v>1.0</v>
      </c>
      <c r="J2553" s="15">
        <v>1.0</v>
      </c>
      <c r="K2553" s="15" t="s">
        <v>31</v>
      </c>
      <c r="L2553" s="16" t="s">
        <v>13888</v>
      </c>
      <c r="M2553" s="14" t="s">
        <v>17003</v>
      </c>
      <c r="N2553" s="14" t="s">
        <v>13890</v>
      </c>
      <c r="O2553" s="16" t="s">
        <v>13891</v>
      </c>
      <c r="P2553" s="14" t="s">
        <v>13892</v>
      </c>
      <c r="Q2553" s="14" t="s">
        <v>31</v>
      </c>
      <c r="R2553" s="14" t="s">
        <v>31</v>
      </c>
      <c r="S2553" s="16" t="s">
        <v>13893</v>
      </c>
      <c r="T2553" s="14" t="s">
        <v>13894</v>
      </c>
      <c r="U2553" s="16" t="s">
        <v>31</v>
      </c>
      <c r="V2553" s="14" t="s">
        <v>13974</v>
      </c>
      <c r="W2553" s="14" t="s">
        <v>13207</v>
      </c>
      <c r="X2553" s="17" t="str">
        <f>HYPERLINK("https://my.pitchbook.com?p=456200-92P","View People Online")</f>
        <v>View People Online</v>
      </c>
    </row>
    <row r="2554">
      <c r="A2554" s="10" t="s">
        <v>17004</v>
      </c>
      <c r="B2554" s="10" t="s">
        <v>17005</v>
      </c>
      <c r="C2554" s="10" t="s">
        <v>17006</v>
      </c>
      <c r="D2554" s="10" t="s">
        <v>17007</v>
      </c>
      <c r="E2554" s="10" t="s">
        <v>13207</v>
      </c>
      <c r="F2554" s="10" t="s">
        <v>3523</v>
      </c>
      <c r="G2554" s="10" t="s">
        <v>17008</v>
      </c>
      <c r="H2554" s="11" t="s">
        <v>31</v>
      </c>
      <c r="I2554" s="11">
        <v>1.0</v>
      </c>
      <c r="J2554" s="11">
        <v>1.0</v>
      </c>
      <c r="K2554" s="11" t="s">
        <v>31</v>
      </c>
      <c r="L2554" s="12" t="s">
        <v>13714</v>
      </c>
      <c r="M2554" s="10" t="s">
        <v>17009</v>
      </c>
      <c r="N2554" s="10" t="s">
        <v>13716</v>
      </c>
      <c r="O2554" s="12" t="s">
        <v>13717</v>
      </c>
      <c r="P2554" s="10" t="s">
        <v>13718</v>
      </c>
      <c r="Q2554" s="10" t="s">
        <v>31</v>
      </c>
      <c r="R2554" s="10" t="s">
        <v>31</v>
      </c>
      <c r="S2554" s="12" t="s">
        <v>13719</v>
      </c>
      <c r="T2554" s="10" t="s">
        <v>38</v>
      </c>
      <c r="U2554" s="12" t="s">
        <v>13720</v>
      </c>
      <c r="V2554" s="10" t="s">
        <v>3523</v>
      </c>
      <c r="W2554" s="10" t="s">
        <v>13207</v>
      </c>
      <c r="X2554" s="13" t="str">
        <f>HYPERLINK("https://my.pitchbook.com?p=434886-04P","View People Online")</f>
        <v>View People Online</v>
      </c>
    </row>
    <row r="2555">
      <c r="A2555" s="6" t="s">
        <v>17010</v>
      </c>
      <c r="B2555" s="6" t="s">
        <v>17011</v>
      </c>
      <c r="C2555" s="6" t="s">
        <v>2109</v>
      </c>
      <c r="D2555" s="6" t="s">
        <v>3935</v>
      </c>
      <c r="E2555" s="6" t="s">
        <v>13207</v>
      </c>
      <c r="F2555" s="6" t="s">
        <v>29</v>
      </c>
      <c r="G2555" s="6" t="s">
        <v>17012</v>
      </c>
      <c r="H2555" s="7" t="s">
        <v>31</v>
      </c>
      <c r="I2555" s="7">
        <v>1.0</v>
      </c>
      <c r="J2555" s="7">
        <v>1.0</v>
      </c>
      <c r="K2555" s="7" t="s">
        <v>31</v>
      </c>
      <c r="L2555" s="8" t="s">
        <v>13496</v>
      </c>
      <c r="M2555" s="6" t="s">
        <v>17013</v>
      </c>
      <c r="N2555" s="6" t="s">
        <v>75</v>
      </c>
      <c r="O2555" s="8" t="s">
        <v>76</v>
      </c>
      <c r="P2555" s="6" t="s">
        <v>13498</v>
      </c>
      <c r="Q2555" s="6" t="s">
        <v>31</v>
      </c>
      <c r="R2555" s="6" t="s">
        <v>75</v>
      </c>
      <c r="S2555" s="8" t="s">
        <v>195</v>
      </c>
      <c r="T2555" s="6" t="s">
        <v>66</v>
      </c>
      <c r="U2555" s="8" t="s">
        <v>13499</v>
      </c>
      <c r="V2555" s="6" t="s">
        <v>29</v>
      </c>
      <c r="W2555" s="6" t="s">
        <v>13207</v>
      </c>
      <c r="X2555" s="9" t="str">
        <f>HYPERLINK("https://my.pitchbook.com?p=455358-88P","View People Online")</f>
        <v>View People Online</v>
      </c>
    </row>
    <row r="2556">
      <c r="A2556" s="10" t="s">
        <v>17014</v>
      </c>
      <c r="B2556" s="10" t="s">
        <v>17015</v>
      </c>
      <c r="C2556" s="10" t="s">
        <v>17016</v>
      </c>
      <c r="D2556" s="10" t="s">
        <v>17017</v>
      </c>
      <c r="E2556" s="10" t="s">
        <v>13207</v>
      </c>
      <c r="F2556" s="10" t="s">
        <v>3523</v>
      </c>
      <c r="G2556" s="10" t="s">
        <v>17018</v>
      </c>
      <c r="H2556" s="11" t="s">
        <v>31</v>
      </c>
      <c r="I2556" s="11">
        <v>8.0</v>
      </c>
      <c r="J2556" s="11">
        <v>1.0</v>
      </c>
      <c r="K2556" s="11">
        <v>7.0</v>
      </c>
      <c r="L2556" s="12" t="s">
        <v>13743</v>
      </c>
      <c r="M2556" s="10" t="s">
        <v>17019</v>
      </c>
      <c r="N2556" s="10" t="s">
        <v>1034</v>
      </c>
      <c r="O2556" s="12" t="s">
        <v>1035</v>
      </c>
      <c r="P2556" s="10" t="s">
        <v>13745</v>
      </c>
      <c r="Q2556" s="10" t="s">
        <v>13746</v>
      </c>
      <c r="R2556" s="10" t="s">
        <v>31</v>
      </c>
      <c r="S2556" s="12" t="s">
        <v>13747</v>
      </c>
      <c r="T2556" s="10" t="s">
        <v>1034</v>
      </c>
      <c r="U2556" s="12" t="s">
        <v>13748</v>
      </c>
      <c r="V2556" s="10" t="s">
        <v>13468</v>
      </c>
      <c r="W2556" s="10" t="s">
        <v>13207</v>
      </c>
      <c r="X2556" s="13" t="str">
        <f>HYPERLINK("https://my.pitchbook.com?p=52437-79P","View People Online")</f>
        <v>View People Online</v>
      </c>
    </row>
    <row r="2557">
      <c r="A2557" s="14" t="s">
        <v>17020</v>
      </c>
      <c r="B2557" s="14" t="s">
        <v>17021</v>
      </c>
      <c r="C2557" s="14" t="s">
        <v>6383</v>
      </c>
      <c r="D2557" s="14" t="s">
        <v>17022</v>
      </c>
      <c r="E2557" s="14" t="s">
        <v>13207</v>
      </c>
      <c r="F2557" s="14" t="s">
        <v>3523</v>
      </c>
      <c r="G2557" s="14" t="s">
        <v>17023</v>
      </c>
      <c r="H2557" s="15" t="s">
        <v>31</v>
      </c>
      <c r="I2557" s="15">
        <v>1.0</v>
      </c>
      <c r="J2557" s="15">
        <v>1.0</v>
      </c>
      <c r="K2557" s="15" t="s">
        <v>31</v>
      </c>
      <c r="L2557" s="16" t="s">
        <v>13299</v>
      </c>
      <c r="M2557" s="14" t="s">
        <v>17024</v>
      </c>
      <c r="N2557" s="14" t="s">
        <v>601</v>
      </c>
      <c r="O2557" s="16" t="s">
        <v>602</v>
      </c>
      <c r="P2557" s="14" t="s">
        <v>13301</v>
      </c>
      <c r="Q2557" s="14" t="s">
        <v>13302</v>
      </c>
      <c r="R2557" s="14" t="s">
        <v>31</v>
      </c>
      <c r="S2557" s="16" t="s">
        <v>31</v>
      </c>
      <c r="T2557" s="14" t="s">
        <v>603</v>
      </c>
      <c r="U2557" s="16" t="s">
        <v>13303</v>
      </c>
      <c r="V2557" s="14" t="s">
        <v>3523</v>
      </c>
      <c r="W2557" s="14" t="s">
        <v>13207</v>
      </c>
      <c r="X2557" s="17" t="str">
        <f>HYPERLINK("https://my.pitchbook.com?p=435388-42P","View People Online")</f>
        <v>View People Online</v>
      </c>
    </row>
    <row r="2558">
      <c r="A2558" s="2" t="s">
        <v>17025</v>
      </c>
      <c r="B2558" s="2" t="s">
        <v>17026</v>
      </c>
      <c r="C2558" s="2" t="s">
        <v>17027</v>
      </c>
      <c r="D2558" s="2" t="s">
        <v>9309</v>
      </c>
      <c r="E2558" s="2" t="s">
        <v>13207</v>
      </c>
      <c r="F2558" s="2" t="s">
        <v>3523</v>
      </c>
      <c r="G2558" s="2" t="s">
        <v>17028</v>
      </c>
      <c r="H2558" s="3" t="s">
        <v>31</v>
      </c>
      <c r="I2558" s="3">
        <v>1.0</v>
      </c>
      <c r="J2558" s="3">
        <v>1.0</v>
      </c>
      <c r="K2558" s="3" t="s">
        <v>31</v>
      </c>
      <c r="L2558" s="4" t="s">
        <v>13231</v>
      </c>
      <c r="M2558" s="2" t="s">
        <v>17029</v>
      </c>
      <c r="N2558" s="2" t="s">
        <v>1203</v>
      </c>
      <c r="O2558" s="4" t="s">
        <v>1204</v>
      </c>
      <c r="P2558" s="2" t="s">
        <v>13233</v>
      </c>
      <c r="Q2558" s="2" t="s">
        <v>13234</v>
      </c>
      <c r="R2558" s="2" t="s">
        <v>1207</v>
      </c>
      <c r="S2558" s="4" t="s">
        <v>13235</v>
      </c>
      <c r="T2558" s="2" t="s">
        <v>1209</v>
      </c>
      <c r="U2558" s="4" t="s">
        <v>31</v>
      </c>
      <c r="V2558" s="2" t="s">
        <v>3523</v>
      </c>
      <c r="W2558" s="2" t="s">
        <v>13207</v>
      </c>
      <c r="X2558" s="5" t="str">
        <f>HYPERLINK("https://my.pitchbook.com?p=456186-79P","View People Online")</f>
        <v>View People Online</v>
      </c>
    </row>
    <row r="2559">
      <c r="A2559" s="6" t="s">
        <v>17030</v>
      </c>
      <c r="B2559" s="6" t="s">
        <v>17031</v>
      </c>
      <c r="C2559" s="6" t="s">
        <v>17027</v>
      </c>
      <c r="D2559" s="6" t="s">
        <v>17032</v>
      </c>
      <c r="E2559" s="6" t="s">
        <v>13207</v>
      </c>
      <c r="F2559" s="6" t="s">
        <v>13240</v>
      </c>
      <c r="G2559" s="6" t="s">
        <v>17033</v>
      </c>
      <c r="H2559" s="7" t="s">
        <v>31</v>
      </c>
      <c r="I2559" s="7">
        <v>1.0</v>
      </c>
      <c r="J2559" s="7">
        <v>1.0</v>
      </c>
      <c r="K2559" s="7" t="s">
        <v>31</v>
      </c>
      <c r="L2559" s="8" t="s">
        <v>13839</v>
      </c>
      <c r="M2559" s="6" t="s">
        <v>17034</v>
      </c>
      <c r="N2559" s="6" t="s">
        <v>11029</v>
      </c>
      <c r="O2559" s="8" t="s">
        <v>11030</v>
      </c>
      <c r="P2559" s="6" t="s">
        <v>13841</v>
      </c>
      <c r="Q2559" s="6" t="s">
        <v>13842</v>
      </c>
      <c r="R2559" s="6" t="s">
        <v>10017</v>
      </c>
      <c r="S2559" s="8" t="s">
        <v>13843</v>
      </c>
      <c r="T2559" s="6" t="s">
        <v>66</v>
      </c>
      <c r="U2559" s="8" t="s">
        <v>13844</v>
      </c>
      <c r="V2559" s="6" t="s">
        <v>17035</v>
      </c>
      <c r="W2559" s="6" t="s">
        <v>13207</v>
      </c>
      <c r="X2559" s="9" t="str">
        <f>HYPERLINK("https://my.pitchbook.com?p=456683-32P","View People Online")</f>
        <v>View People Online</v>
      </c>
    </row>
    <row r="2560">
      <c r="A2560" s="2" t="s">
        <v>17036</v>
      </c>
      <c r="B2560" s="2" t="s">
        <v>17037</v>
      </c>
      <c r="C2560" s="2" t="s">
        <v>17038</v>
      </c>
      <c r="D2560" s="2" t="s">
        <v>17039</v>
      </c>
      <c r="E2560" s="2" t="s">
        <v>13207</v>
      </c>
      <c r="F2560" s="2" t="s">
        <v>29</v>
      </c>
      <c r="G2560" s="2" t="s">
        <v>17040</v>
      </c>
      <c r="H2560" s="3" t="s">
        <v>31</v>
      </c>
      <c r="I2560" s="3">
        <v>1.0</v>
      </c>
      <c r="J2560" s="3">
        <v>1.0</v>
      </c>
      <c r="K2560" s="3" t="s">
        <v>31</v>
      </c>
      <c r="L2560" s="4" t="s">
        <v>14597</v>
      </c>
      <c r="M2560" s="2" t="s">
        <v>17041</v>
      </c>
      <c r="N2560" s="2" t="s">
        <v>14599</v>
      </c>
      <c r="O2560" s="4" t="s">
        <v>14600</v>
      </c>
      <c r="P2560" s="2" t="s">
        <v>14601</v>
      </c>
      <c r="Q2560" s="2" t="s">
        <v>14602</v>
      </c>
      <c r="R2560" s="2" t="s">
        <v>31</v>
      </c>
      <c r="S2560" s="4" t="s">
        <v>31</v>
      </c>
      <c r="T2560" s="2" t="s">
        <v>14603</v>
      </c>
      <c r="U2560" s="4" t="s">
        <v>31</v>
      </c>
      <c r="V2560" s="2" t="s">
        <v>29</v>
      </c>
      <c r="W2560" s="2" t="s">
        <v>13207</v>
      </c>
      <c r="X2560" s="5" t="str">
        <f>HYPERLINK("https://my.pitchbook.com?p=455762-44P","View People Online")</f>
        <v>View People Online</v>
      </c>
    </row>
    <row r="2561">
      <c r="A2561" s="14" t="s">
        <v>17042</v>
      </c>
      <c r="B2561" s="14" t="s">
        <v>17043</v>
      </c>
      <c r="C2561" s="14" t="s">
        <v>17044</v>
      </c>
      <c r="D2561" s="14" t="s">
        <v>17045</v>
      </c>
      <c r="E2561" s="14" t="s">
        <v>13207</v>
      </c>
      <c r="F2561" s="14" t="s">
        <v>13218</v>
      </c>
      <c r="G2561" s="14" t="s">
        <v>17046</v>
      </c>
      <c r="H2561" s="15" t="s">
        <v>31</v>
      </c>
      <c r="I2561" s="15">
        <v>1.0</v>
      </c>
      <c r="J2561" s="15">
        <v>1.0</v>
      </c>
      <c r="K2561" s="15" t="s">
        <v>31</v>
      </c>
      <c r="L2561" s="16" t="s">
        <v>13281</v>
      </c>
      <c r="M2561" s="14" t="s">
        <v>17047</v>
      </c>
      <c r="N2561" s="14" t="s">
        <v>1277</v>
      </c>
      <c r="O2561" s="16" t="s">
        <v>1278</v>
      </c>
      <c r="P2561" s="14" t="s">
        <v>13283</v>
      </c>
      <c r="Q2561" s="14" t="s">
        <v>13284</v>
      </c>
      <c r="R2561" s="14" t="s">
        <v>1281</v>
      </c>
      <c r="S2561" s="16" t="s">
        <v>1282</v>
      </c>
      <c r="T2561" s="14" t="s">
        <v>66</v>
      </c>
      <c r="U2561" s="16" t="s">
        <v>13285</v>
      </c>
      <c r="V2561" s="14" t="s">
        <v>13218</v>
      </c>
      <c r="W2561" s="14" t="s">
        <v>13207</v>
      </c>
      <c r="X2561" s="17" t="str">
        <f>HYPERLINK("https://my.pitchbook.com?p=456690-52P","View People Online")</f>
        <v>View People Online</v>
      </c>
    </row>
    <row r="2562">
      <c r="A2562" s="2" t="s">
        <v>17048</v>
      </c>
      <c r="B2562" s="2" t="s">
        <v>17049</v>
      </c>
      <c r="C2562" s="2" t="s">
        <v>17050</v>
      </c>
      <c r="D2562" s="2" t="s">
        <v>17051</v>
      </c>
      <c r="E2562" s="2" t="s">
        <v>13207</v>
      </c>
      <c r="F2562" s="2" t="s">
        <v>13218</v>
      </c>
      <c r="G2562" s="2" t="s">
        <v>17052</v>
      </c>
      <c r="H2562" s="3" t="s">
        <v>31</v>
      </c>
      <c r="I2562" s="3">
        <v>1.0</v>
      </c>
      <c r="J2562" s="3">
        <v>1.0</v>
      </c>
      <c r="K2562" s="3" t="s">
        <v>31</v>
      </c>
      <c r="L2562" s="4" t="s">
        <v>13209</v>
      </c>
      <c r="M2562" s="2" t="s">
        <v>17053</v>
      </c>
      <c r="N2562" s="2" t="s">
        <v>4232</v>
      </c>
      <c r="O2562" s="4" t="s">
        <v>4233</v>
      </c>
      <c r="P2562" s="2" t="s">
        <v>13211</v>
      </c>
      <c r="Q2562" s="2" t="s">
        <v>31</v>
      </c>
      <c r="R2562" s="2" t="s">
        <v>4236</v>
      </c>
      <c r="S2562" s="4" t="s">
        <v>13212</v>
      </c>
      <c r="T2562" s="2" t="s">
        <v>66</v>
      </c>
      <c r="U2562" s="4" t="s">
        <v>13213</v>
      </c>
      <c r="V2562" s="2" t="s">
        <v>14182</v>
      </c>
      <c r="W2562" s="2" t="s">
        <v>13207</v>
      </c>
      <c r="X2562" s="5" t="str">
        <f>HYPERLINK("https://my.pitchbook.com?p=17451-10P","View People Online")</f>
        <v>View People Online</v>
      </c>
    </row>
    <row r="2563">
      <c r="A2563" s="6" t="s">
        <v>17054</v>
      </c>
      <c r="B2563" s="6" t="s">
        <v>17055</v>
      </c>
      <c r="C2563" s="6" t="s">
        <v>17056</v>
      </c>
      <c r="D2563" s="6" t="s">
        <v>17057</v>
      </c>
      <c r="E2563" s="6" t="s">
        <v>13207</v>
      </c>
      <c r="F2563" s="6" t="s">
        <v>3523</v>
      </c>
      <c r="G2563" s="6" t="s">
        <v>17058</v>
      </c>
      <c r="H2563" s="7" t="s">
        <v>31</v>
      </c>
      <c r="I2563" s="7">
        <v>1.0</v>
      </c>
      <c r="J2563" s="7">
        <v>1.0</v>
      </c>
      <c r="K2563" s="7" t="s">
        <v>31</v>
      </c>
      <c r="L2563" s="8" t="s">
        <v>17059</v>
      </c>
      <c r="M2563" s="6" t="s">
        <v>17060</v>
      </c>
      <c r="N2563" s="6" t="s">
        <v>243</v>
      </c>
      <c r="O2563" s="8" t="s">
        <v>244</v>
      </c>
      <c r="P2563" s="6" t="s">
        <v>13425</v>
      </c>
      <c r="Q2563" s="6" t="s">
        <v>31</v>
      </c>
      <c r="R2563" s="6" t="s">
        <v>247</v>
      </c>
      <c r="S2563" s="8" t="s">
        <v>13426</v>
      </c>
      <c r="T2563" s="6" t="s">
        <v>249</v>
      </c>
      <c r="U2563" s="8" t="s">
        <v>31</v>
      </c>
      <c r="V2563" s="6" t="s">
        <v>3523</v>
      </c>
      <c r="W2563" s="6" t="s">
        <v>13207</v>
      </c>
      <c r="X2563" s="9" t="str">
        <f>HYPERLINK("https://my.pitchbook.com?p=374922-19P","View People Online")</f>
        <v>View People Online</v>
      </c>
    </row>
    <row r="2564">
      <c r="A2564" s="2" t="s">
        <v>17061</v>
      </c>
      <c r="B2564" s="2" t="s">
        <v>17062</v>
      </c>
      <c r="C2564" s="2" t="s">
        <v>17063</v>
      </c>
      <c r="D2564" s="2" t="s">
        <v>17064</v>
      </c>
      <c r="E2564" s="2" t="s">
        <v>13207</v>
      </c>
      <c r="F2564" s="2" t="s">
        <v>1283</v>
      </c>
      <c r="G2564" s="2" t="s">
        <v>17065</v>
      </c>
      <c r="H2564" s="3" t="s">
        <v>31</v>
      </c>
      <c r="I2564" s="3">
        <v>1.0</v>
      </c>
      <c r="J2564" s="3">
        <v>1.0</v>
      </c>
      <c r="K2564" s="3" t="s">
        <v>31</v>
      </c>
      <c r="L2564" s="4" t="s">
        <v>13299</v>
      </c>
      <c r="M2564" s="2" t="s">
        <v>17066</v>
      </c>
      <c r="N2564" s="2" t="s">
        <v>601</v>
      </c>
      <c r="O2564" s="4" t="s">
        <v>602</v>
      </c>
      <c r="P2564" s="2" t="s">
        <v>13301</v>
      </c>
      <c r="Q2564" s="2" t="s">
        <v>13302</v>
      </c>
      <c r="R2564" s="2" t="s">
        <v>31</v>
      </c>
      <c r="S2564" s="4" t="s">
        <v>31</v>
      </c>
      <c r="T2564" s="2" t="s">
        <v>603</v>
      </c>
      <c r="U2564" s="4" t="s">
        <v>13303</v>
      </c>
      <c r="V2564" s="2" t="s">
        <v>1283</v>
      </c>
      <c r="W2564" s="2" t="s">
        <v>13207</v>
      </c>
      <c r="X2564" s="5" t="str">
        <f>HYPERLINK("https://my.pitchbook.com?p=434838-61P","View People Online")</f>
        <v>View People Online</v>
      </c>
    </row>
    <row r="2565">
      <c r="A2565" s="6" t="s">
        <v>17067</v>
      </c>
      <c r="B2565" s="6" t="s">
        <v>17068</v>
      </c>
      <c r="C2565" s="6" t="s">
        <v>17069</v>
      </c>
      <c r="D2565" s="6" t="s">
        <v>17070</v>
      </c>
      <c r="E2565" s="6" t="s">
        <v>13207</v>
      </c>
      <c r="F2565" s="6" t="s">
        <v>13307</v>
      </c>
      <c r="G2565" s="6" t="s">
        <v>17071</v>
      </c>
      <c r="H2565" s="7" t="s">
        <v>31</v>
      </c>
      <c r="I2565" s="7">
        <v>1.0</v>
      </c>
      <c r="J2565" s="7">
        <v>1.0</v>
      </c>
      <c r="K2565" s="7" t="s">
        <v>31</v>
      </c>
      <c r="L2565" s="8" t="s">
        <v>13673</v>
      </c>
      <c r="M2565" s="6" t="s">
        <v>17072</v>
      </c>
      <c r="N2565" s="6" t="s">
        <v>6311</v>
      </c>
      <c r="O2565" s="8" t="s">
        <v>6312</v>
      </c>
      <c r="P2565" s="6" t="s">
        <v>13675</v>
      </c>
      <c r="Q2565" s="6" t="s">
        <v>31</v>
      </c>
      <c r="R2565" s="6" t="s">
        <v>31</v>
      </c>
      <c r="S2565" s="8" t="s">
        <v>13676</v>
      </c>
      <c r="T2565" s="6" t="s">
        <v>6315</v>
      </c>
      <c r="U2565" s="8" t="s">
        <v>13677</v>
      </c>
      <c r="V2565" s="6" t="s">
        <v>13317</v>
      </c>
      <c r="W2565" s="6" t="s">
        <v>13207</v>
      </c>
      <c r="X2565" s="9" t="str">
        <f>HYPERLINK("https://my.pitchbook.com?p=436127-86P","View People Online")</f>
        <v>View People Online</v>
      </c>
    </row>
    <row r="2566">
      <c r="A2566" s="2" t="s">
        <v>17073</v>
      </c>
      <c r="B2566" s="2" t="s">
        <v>17074</v>
      </c>
      <c r="C2566" s="2" t="s">
        <v>17069</v>
      </c>
      <c r="D2566" s="2" t="s">
        <v>17075</v>
      </c>
      <c r="E2566" s="2" t="s">
        <v>13207</v>
      </c>
      <c r="F2566" s="2" t="s">
        <v>13240</v>
      </c>
      <c r="G2566" s="2" t="s">
        <v>17076</v>
      </c>
      <c r="H2566" s="3" t="s">
        <v>31</v>
      </c>
      <c r="I2566" s="3">
        <v>1.0</v>
      </c>
      <c r="J2566" s="3">
        <v>1.0</v>
      </c>
      <c r="K2566" s="3" t="s">
        <v>31</v>
      </c>
      <c r="L2566" s="4" t="s">
        <v>13673</v>
      </c>
      <c r="M2566" s="2" t="s">
        <v>17077</v>
      </c>
      <c r="N2566" s="2" t="s">
        <v>6311</v>
      </c>
      <c r="O2566" s="4" t="s">
        <v>6312</v>
      </c>
      <c r="P2566" s="2" t="s">
        <v>13675</v>
      </c>
      <c r="Q2566" s="2" t="s">
        <v>31</v>
      </c>
      <c r="R2566" s="2" t="s">
        <v>31</v>
      </c>
      <c r="S2566" s="4" t="s">
        <v>13676</v>
      </c>
      <c r="T2566" s="2" t="s">
        <v>6315</v>
      </c>
      <c r="U2566" s="4" t="s">
        <v>13677</v>
      </c>
      <c r="V2566" s="2" t="s">
        <v>13247</v>
      </c>
      <c r="W2566" s="2" t="s">
        <v>13207</v>
      </c>
      <c r="X2566" s="5" t="str">
        <f>HYPERLINK("https://my.pitchbook.com?p=456700-96P","View People Online")</f>
        <v>View People Online</v>
      </c>
    </row>
    <row r="2567">
      <c r="A2567" s="14" t="s">
        <v>17078</v>
      </c>
      <c r="B2567" s="14" t="s">
        <v>17079</v>
      </c>
      <c r="C2567" s="14" t="s">
        <v>17080</v>
      </c>
      <c r="D2567" s="14" t="s">
        <v>17081</v>
      </c>
      <c r="E2567" s="14" t="s">
        <v>13207</v>
      </c>
      <c r="F2567" s="14" t="s">
        <v>3523</v>
      </c>
      <c r="G2567" s="14" t="s">
        <v>17082</v>
      </c>
      <c r="H2567" s="15" t="s">
        <v>31</v>
      </c>
      <c r="I2567" s="15">
        <v>1.0</v>
      </c>
      <c r="J2567" s="15">
        <v>1.0</v>
      </c>
      <c r="K2567" s="15" t="s">
        <v>31</v>
      </c>
      <c r="L2567" s="16" t="s">
        <v>13274</v>
      </c>
      <c r="M2567" s="14" t="s">
        <v>17083</v>
      </c>
      <c r="N2567" s="14" t="s">
        <v>1181</v>
      </c>
      <c r="O2567" s="16" t="s">
        <v>1182</v>
      </c>
      <c r="P2567" s="14" t="s">
        <v>13276</v>
      </c>
      <c r="Q2567" s="14" t="s">
        <v>31</v>
      </c>
      <c r="R2567" s="14" t="s">
        <v>1185</v>
      </c>
      <c r="S2567" s="16" t="s">
        <v>4438</v>
      </c>
      <c r="T2567" s="14" t="s">
        <v>66</v>
      </c>
      <c r="U2567" s="16" t="s">
        <v>13277</v>
      </c>
      <c r="V2567" s="14" t="s">
        <v>3523</v>
      </c>
      <c r="W2567" s="14" t="s">
        <v>13207</v>
      </c>
      <c r="X2567" s="17" t="str">
        <f>HYPERLINK("https://my.pitchbook.com?p=455834-98P","View People Online")</f>
        <v>View People Online</v>
      </c>
    </row>
    <row r="2568">
      <c r="A2568" s="10" t="s">
        <v>17084</v>
      </c>
      <c r="B2568" s="10" t="s">
        <v>17085</v>
      </c>
      <c r="C2568" s="10" t="s">
        <v>17086</v>
      </c>
      <c r="D2568" s="10" t="s">
        <v>17087</v>
      </c>
      <c r="E2568" s="10" t="s">
        <v>13207</v>
      </c>
      <c r="F2568" s="10" t="s">
        <v>13218</v>
      </c>
      <c r="G2568" s="10" t="s">
        <v>17088</v>
      </c>
      <c r="H2568" s="11" t="s">
        <v>31</v>
      </c>
      <c r="I2568" s="11">
        <v>1.0</v>
      </c>
      <c r="J2568" s="11">
        <v>1.0</v>
      </c>
      <c r="K2568" s="11" t="s">
        <v>31</v>
      </c>
      <c r="L2568" s="12" t="s">
        <v>13743</v>
      </c>
      <c r="M2568" s="10" t="s">
        <v>17089</v>
      </c>
      <c r="N2568" s="10" t="s">
        <v>1034</v>
      </c>
      <c r="O2568" s="12" t="s">
        <v>1035</v>
      </c>
      <c r="P2568" s="10" t="s">
        <v>13745</v>
      </c>
      <c r="Q2568" s="10" t="s">
        <v>13746</v>
      </c>
      <c r="R2568" s="10" t="s">
        <v>31</v>
      </c>
      <c r="S2568" s="12" t="s">
        <v>13747</v>
      </c>
      <c r="T2568" s="10" t="s">
        <v>1034</v>
      </c>
      <c r="U2568" s="12" t="s">
        <v>13748</v>
      </c>
      <c r="V2568" s="10" t="s">
        <v>13218</v>
      </c>
      <c r="W2568" s="10" t="s">
        <v>13207</v>
      </c>
      <c r="X2568" s="13" t="str">
        <f>HYPERLINK("https://my.pitchbook.com?p=435770-02P","View People Online")</f>
        <v>View People Online</v>
      </c>
    </row>
    <row r="2569">
      <c r="A2569" s="6" t="s">
        <v>17090</v>
      </c>
      <c r="B2569" s="6" t="s">
        <v>17091</v>
      </c>
      <c r="C2569" s="6" t="s">
        <v>17092</v>
      </c>
      <c r="D2569" s="6" t="s">
        <v>17093</v>
      </c>
      <c r="E2569" s="6" t="s">
        <v>13207</v>
      </c>
      <c r="F2569" s="6" t="s">
        <v>3523</v>
      </c>
      <c r="G2569" s="6" t="s">
        <v>17094</v>
      </c>
      <c r="H2569" s="7" t="s">
        <v>31</v>
      </c>
      <c r="I2569" s="7">
        <v>1.0</v>
      </c>
      <c r="J2569" s="7">
        <v>1.0</v>
      </c>
      <c r="K2569" s="7" t="s">
        <v>31</v>
      </c>
      <c r="L2569" s="8" t="s">
        <v>13252</v>
      </c>
      <c r="M2569" s="6" t="s">
        <v>17095</v>
      </c>
      <c r="N2569" s="6" t="s">
        <v>13254</v>
      </c>
      <c r="O2569" s="8" t="s">
        <v>13255</v>
      </c>
      <c r="P2569" s="6" t="s">
        <v>13256</v>
      </c>
      <c r="Q2569" s="6" t="s">
        <v>31</v>
      </c>
      <c r="R2569" s="6" t="s">
        <v>31</v>
      </c>
      <c r="S2569" s="8" t="s">
        <v>13257</v>
      </c>
      <c r="T2569" s="6" t="s">
        <v>13258</v>
      </c>
      <c r="U2569" s="8" t="s">
        <v>13259</v>
      </c>
      <c r="V2569" s="6" t="s">
        <v>3523</v>
      </c>
      <c r="W2569" s="6" t="s">
        <v>13207</v>
      </c>
      <c r="X2569" s="9" t="str">
        <f>HYPERLINK("https://my.pitchbook.com?p=435170-35P","View People Online")</f>
        <v>View People Online</v>
      </c>
    </row>
    <row r="2570">
      <c r="A2570" s="10" t="s">
        <v>17096</v>
      </c>
      <c r="B2570" s="10" t="s">
        <v>17097</v>
      </c>
      <c r="C2570" s="10" t="s">
        <v>17098</v>
      </c>
      <c r="D2570" s="10" t="s">
        <v>17099</v>
      </c>
      <c r="E2570" s="10" t="s">
        <v>13207</v>
      </c>
      <c r="F2570" s="10" t="s">
        <v>13240</v>
      </c>
      <c r="G2570" s="10" t="s">
        <v>17100</v>
      </c>
      <c r="H2570" s="11" t="s">
        <v>31</v>
      </c>
      <c r="I2570" s="11">
        <v>1.0</v>
      </c>
      <c r="J2570" s="11">
        <v>1.0</v>
      </c>
      <c r="K2570" s="11" t="s">
        <v>31</v>
      </c>
      <c r="L2570" s="12" t="s">
        <v>13549</v>
      </c>
      <c r="M2570" s="10" t="s">
        <v>17101</v>
      </c>
      <c r="N2570" s="10" t="s">
        <v>794</v>
      </c>
      <c r="O2570" s="12" t="s">
        <v>795</v>
      </c>
      <c r="P2570" s="10" t="s">
        <v>13551</v>
      </c>
      <c r="Q2570" s="10" t="s">
        <v>13552</v>
      </c>
      <c r="R2570" s="10" t="s">
        <v>31</v>
      </c>
      <c r="S2570" s="12" t="s">
        <v>13553</v>
      </c>
      <c r="T2570" s="10" t="s">
        <v>796</v>
      </c>
      <c r="U2570" s="12" t="s">
        <v>13554</v>
      </c>
      <c r="V2570" s="10" t="s">
        <v>13247</v>
      </c>
      <c r="W2570" s="10" t="s">
        <v>13207</v>
      </c>
      <c r="X2570" s="13" t="str">
        <f>HYPERLINK("https://my.pitchbook.com?p=435593-44P","View People Online")</f>
        <v>View People Online</v>
      </c>
    </row>
    <row r="2571">
      <c r="A2571" s="14" t="s">
        <v>17102</v>
      </c>
      <c r="B2571" s="14" t="s">
        <v>17103</v>
      </c>
      <c r="C2571" s="14" t="s">
        <v>17104</v>
      </c>
      <c r="D2571" s="14" t="s">
        <v>17105</v>
      </c>
      <c r="E2571" s="14" t="s">
        <v>13207</v>
      </c>
      <c r="F2571" s="14" t="s">
        <v>3523</v>
      </c>
      <c r="G2571" s="14" t="s">
        <v>17106</v>
      </c>
      <c r="H2571" s="15" t="s">
        <v>31</v>
      </c>
      <c r="I2571" s="15">
        <v>1.0</v>
      </c>
      <c r="J2571" s="15">
        <v>1.0</v>
      </c>
      <c r="K2571" s="15" t="s">
        <v>31</v>
      </c>
      <c r="L2571" s="16" t="s">
        <v>13766</v>
      </c>
      <c r="M2571" s="14" t="s">
        <v>17107</v>
      </c>
      <c r="N2571" s="14" t="s">
        <v>13768</v>
      </c>
      <c r="O2571" s="16" t="s">
        <v>13769</v>
      </c>
      <c r="P2571" s="14" t="s">
        <v>13770</v>
      </c>
      <c r="Q2571" s="14" t="s">
        <v>13771</v>
      </c>
      <c r="R2571" s="14" t="s">
        <v>31</v>
      </c>
      <c r="S2571" s="16" t="s">
        <v>13772</v>
      </c>
      <c r="T2571" s="14" t="s">
        <v>13773</v>
      </c>
      <c r="U2571" s="16" t="s">
        <v>31</v>
      </c>
      <c r="V2571" s="14" t="s">
        <v>14182</v>
      </c>
      <c r="W2571" s="14" t="s">
        <v>13207</v>
      </c>
      <c r="X2571" s="17" t="str">
        <f>HYPERLINK("https://my.pitchbook.com?p=195958-36P","View People Online")</f>
        <v>View People Online</v>
      </c>
    </row>
    <row r="2572">
      <c r="A2572" s="10" t="s">
        <v>17108</v>
      </c>
      <c r="B2572" s="10" t="s">
        <v>17109</v>
      </c>
      <c r="C2572" s="10" t="s">
        <v>5507</v>
      </c>
      <c r="D2572" s="10" t="s">
        <v>17110</v>
      </c>
      <c r="E2572" s="10" t="s">
        <v>13207</v>
      </c>
      <c r="F2572" s="10" t="s">
        <v>29</v>
      </c>
      <c r="G2572" s="10" t="s">
        <v>17111</v>
      </c>
      <c r="H2572" s="11" t="s">
        <v>31</v>
      </c>
      <c r="I2572" s="11">
        <v>1.0</v>
      </c>
      <c r="J2572" s="11">
        <v>1.0</v>
      </c>
      <c r="K2572" s="11" t="s">
        <v>31</v>
      </c>
      <c r="L2572" s="12" t="s">
        <v>13274</v>
      </c>
      <c r="M2572" s="10" t="s">
        <v>17112</v>
      </c>
      <c r="N2572" s="10" t="s">
        <v>1181</v>
      </c>
      <c r="O2572" s="12" t="s">
        <v>1182</v>
      </c>
      <c r="P2572" s="10" t="s">
        <v>13276</v>
      </c>
      <c r="Q2572" s="10" t="s">
        <v>31</v>
      </c>
      <c r="R2572" s="10" t="s">
        <v>1185</v>
      </c>
      <c r="S2572" s="12" t="s">
        <v>4438</v>
      </c>
      <c r="T2572" s="10" t="s">
        <v>66</v>
      </c>
      <c r="U2572" s="12" t="s">
        <v>13277</v>
      </c>
      <c r="V2572" s="10" t="s">
        <v>29</v>
      </c>
      <c r="W2572" s="10" t="s">
        <v>13207</v>
      </c>
      <c r="X2572" s="13" t="str">
        <f>HYPERLINK("https://my.pitchbook.com?p=436231-18P","View People Online")</f>
        <v>View People Online</v>
      </c>
    </row>
    <row r="2573">
      <c r="A2573" s="14" t="s">
        <v>17113</v>
      </c>
      <c r="B2573" s="14" t="s">
        <v>17114</v>
      </c>
      <c r="C2573" s="14" t="s">
        <v>17115</v>
      </c>
      <c r="D2573" s="14" t="s">
        <v>17116</v>
      </c>
      <c r="E2573" s="14" t="s">
        <v>13207</v>
      </c>
      <c r="F2573" s="14" t="s">
        <v>13218</v>
      </c>
      <c r="G2573" s="14" t="s">
        <v>17117</v>
      </c>
      <c r="H2573" s="15" t="s">
        <v>31</v>
      </c>
      <c r="I2573" s="15">
        <v>1.0</v>
      </c>
      <c r="J2573" s="15">
        <v>1.0</v>
      </c>
      <c r="K2573" s="15" t="s">
        <v>31</v>
      </c>
      <c r="L2573" s="16" t="s">
        <v>13657</v>
      </c>
      <c r="M2573" s="14" t="s">
        <v>17118</v>
      </c>
      <c r="N2573" s="14" t="s">
        <v>13659</v>
      </c>
      <c r="O2573" s="16" t="s">
        <v>13660</v>
      </c>
      <c r="P2573" s="14" t="s">
        <v>13661</v>
      </c>
      <c r="Q2573" s="14" t="s">
        <v>31</v>
      </c>
      <c r="R2573" s="14" t="s">
        <v>31</v>
      </c>
      <c r="S2573" s="16" t="s">
        <v>13662</v>
      </c>
      <c r="T2573" s="14" t="s">
        <v>38</v>
      </c>
      <c r="U2573" s="16" t="s">
        <v>13663</v>
      </c>
      <c r="V2573" s="14" t="s">
        <v>13218</v>
      </c>
      <c r="W2573" s="14" t="s">
        <v>13207</v>
      </c>
      <c r="X2573" s="17" t="str">
        <f>HYPERLINK("https://my.pitchbook.com?p=435440-80P","View People Online")</f>
        <v>View People Online</v>
      </c>
    </row>
    <row r="2574">
      <c r="A2574" s="10" t="s">
        <v>17119</v>
      </c>
      <c r="B2574" s="10" t="s">
        <v>17120</v>
      </c>
      <c r="C2574" s="10" t="s">
        <v>17115</v>
      </c>
      <c r="D2574" s="10" t="s">
        <v>17121</v>
      </c>
      <c r="E2574" s="10" t="s">
        <v>13207</v>
      </c>
      <c r="F2574" s="10" t="s">
        <v>13218</v>
      </c>
      <c r="G2574" s="10" t="s">
        <v>17122</v>
      </c>
      <c r="H2574" s="11" t="s">
        <v>31</v>
      </c>
      <c r="I2574" s="11">
        <v>1.0</v>
      </c>
      <c r="J2574" s="11">
        <v>1.0</v>
      </c>
      <c r="K2574" s="11" t="s">
        <v>31</v>
      </c>
      <c r="L2574" s="12" t="s">
        <v>13916</v>
      </c>
      <c r="M2574" s="10" t="s">
        <v>17123</v>
      </c>
      <c r="N2574" s="10" t="s">
        <v>155</v>
      </c>
      <c r="O2574" s="12" t="s">
        <v>156</v>
      </c>
      <c r="P2574" s="10" t="s">
        <v>13918</v>
      </c>
      <c r="Q2574" s="10" t="s">
        <v>13919</v>
      </c>
      <c r="R2574" s="10" t="s">
        <v>64</v>
      </c>
      <c r="S2574" s="12" t="s">
        <v>1549</v>
      </c>
      <c r="T2574" s="10" t="s">
        <v>66</v>
      </c>
      <c r="U2574" s="12" t="s">
        <v>13920</v>
      </c>
      <c r="V2574" s="10" t="s">
        <v>13218</v>
      </c>
      <c r="W2574" s="10" t="s">
        <v>13207</v>
      </c>
      <c r="X2574" s="13" t="str">
        <f>HYPERLINK("https://my.pitchbook.com?p=435610-45P","View People Online")</f>
        <v>View People Online</v>
      </c>
    </row>
    <row r="2575">
      <c r="A2575" s="6" t="s">
        <v>17124</v>
      </c>
      <c r="B2575" s="6" t="s">
        <v>17125</v>
      </c>
      <c r="C2575" s="6" t="s">
        <v>11411</v>
      </c>
      <c r="D2575" s="6" t="s">
        <v>17126</v>
      </c>
      <c r="E2575" s="6" t="s">
        <v>13207</v>
      </c>
      <c r="F2575" s="6" t="s">
        <v>3523</v>
      </c>
      <c r="G2575" s="6" t="s">
        <v>17127</v>
      </c>
      <c r="H2575" s="7" t="s">
        <v>31</v>
      </c>
      <c r="I2575" s="7">
        <v>1.0</v>
      </c>
      <c r="J2575" s="7">
        <v>1.0</v>
      </c>
      <c r="K2575" s="7" t="s">
        <v>31</v>
      </c>
      <c r="L2575" s="8" t="s">
        <v>13459</v>
      </c>
      <c r="M2575" s="6" t="s">
        <v>17128</v>
      </c>
      <c r="N2575" s="6" t="s">
        <v>3100</v>
      </c>
      <c r="O2575" s="8" t="s">
        <v>3101</v>
      </c>
      <c r="P2575" s="6" t="s">
        <v>13461</v>
      </c>
      <c r="Q2575" s="6" t="s">
        <v>31</v>
      </c>
      <c r="R2575" s="6" t="s">
        <v>31</v>
      </c>
      <c r="S2575" s="8" t="s">
        <v>3103</v>
      </c>
      <c r="T2575" s="6" t="s">
        <v>3104</v>
      </c>
      <c r="U2575" s="8" t="s">
        <v>13462</v>
      </c>
      <c r="V2575" s="6" t="s">
        <v>3523</v>
      </c>
      <c r="W2575" s="6" t="s">
        <v>13207</v>
      </c>
      <c r="X2575" s="9" t="str">
        <f>HYPERLINK("https://my.pitchbook.com?p=435146-05P","View People Online")</f>
        <v>View People Online</v>
      </c>
    </row>
    <row r="2576">
      <c r="A2576" s="10" t="s">
        <v>17129</v>
      </c>
      <c r="B2576" s="10" t="s">
        <v>17130</v>
      </c>
      <c r="C2576" s="10" t="s">
        <v>17131</v>
      </c>
      <c r="D2576" s="10" t="s">
        <v>17132</v>
      </c>
      <c r="E2576" s="10" t="s">
        <v>13207</v>
      </c>
      <c r="F2576" s="10" t="s">
        <v>13218</v>
      </c>
      <c r="G2576" s="10" t="s">
        <v>17133</v>
      </c>
      <c r="H2576" s="11" t="s">
        <v>31</v>
      </c>
      <c r="I2576" s="11">
        <v>1.0</v>
      </c>
      <c r="J2576" s="11">
        <v>1.0</v>
      </c>
      <c r="K2576" s="11" t="s">
        <v>31</v>
      </c>
      <c r="L2576" s="12" t="s">
        <v>13766</v>
      </c>
      <c r="M2576" s="10" t="s">
        <v>17134</v>
      </c>
      <c r="N2576" s="10" t="s">
        <v>13768</v>
      </c>
      <c r="O2576" s="12" t="s">
        <v>13769</v>
      </c>
      <c r="P2576" s="10" t="s">
        <v>13770</v>
      </c>
      <c r="Q2576" s="10" t="s">
        <v>13771</v>
      </c>
      <c r="R2576" s="10" t="s">
        <v>31</v>
      </c>
      <c r="S2576" s="12" t="s">
        <v>13772</v>
      </c>
      <c r="T2576" s="10" t="s">
        <v>13773</v>
      </c>
      <c r="U2576" s="12" t="s">
        <v>31</v>
      </c>
      <c r="V2576" s="10" t="s">
        <v>13218</v>
      </c>
      <c r="W2576" s="10" t="s">
        <v>13207</v>
      </c>
      <c r="X2576" s="13" t="str">
        <f>HYPERLINK("https://my.pitchbook.com?p=435808-99P","View People Online")</f>
        <v>View People Online</v>
      </c>
    </row>
    <row r="2577">
      <c r="A2577" s="14" t="s">
        <v>17135</v>
      </c>
      <c r="B2577" s="14" t="s">
        <v>17136</v>
      </c>
      <c r="C2577" s="14" t="s">
        <v>4345</v>
      </c>
      <c r="D2577" s="14" t="s">
        <v>17137</v>
      </c>
      <c r="E2577" s="14" t="s">
        <v>13207</v>
      </c>
      <c r="F2577" s="14" t="s">
        <v>13240</v>
      </c>
      <c r="G2577" s="14" t="s">
        <v>17138</v>
      </c>
      <c r="H2577" s="15" t="s">
        <v>31</v>
      </c>
      <c r="I2577" s="15">
        <v>1.0</v>
      </c>
      <c r="J2577" s="15">
        <v>1.0</v>
      </c>
      <c r="K2577" s="15" t="s">
        <v>31</v>
      </c>
      <c r="L2577" s="16" t="s">
        <v>13209</v>
      </c>
      <c r="M2577" s="14" t="s">
        <v>17139</v>
      </c>
      <c r="N2577" s="14" t="s">
        <v>4232</v>
      </c>
      <c r="O2577" s="16" t="s">
        <v>4233</v>
      </c>
      <c r="P2577" s="14" t="s">
        <v>13211</v>
      </c>
      <c r="Q2577" s="14" t="s">
        <v>31</v>
      </c>
      <c r="R2577" s="14" t="s">
        <v>4236</v>
      </c>
      <c r="S2577" s="16" t="s">
        <v>13212</v>
      </c>
      <c r="T2577" s="14" t="s">
        <v>66</v>
      </c>
      <c r="U2577" s="16" t="s">
        <v>13213</v>
      </c>
      <c r="V2577" s="14" t="s">
        <v>17140</v>
      </c>
      <c r="W2577" s="14" t="s">
        <v>13207</v>
      </c>
      <c r="X2577" s="17" t="str">
        <f>HYPERLINK("https://my.pitchbook.com?p=34995-16P","View People Online")</f>
        <v>View People Online</v>
      </c>
    </row>
    <row r="2578">
      <c r="A2578" s="2" t="s">
        <v>17141</v>
      </c>
      <c r="B2578" s="2" t="s">
        <v>17142</v>
      </c>
      <c r="C2578" s="2" t="s">
        <v>4345</v>
      </c>
      <c r="D2578" s="2" t="s">
        <v>3360</v>
      </c>
      <c r="E2578" s="2" t="s">
        <v>13207</v>
      </c>
      <c r="F2578" s="2" t="s">
        <v>3523</v>
      </c>
      <c r="G2578" s="2" t="s">
        <v>17143</v>
      </c>
      <c r="H2578" s="3" t="s">
        <v>31</v>
      </c>
      <c r="I2578" s="3">
        <v>1.0</v>
      </c>
      <c r="J2578" s="3">
        <v>1.0</v>
      </c>
      <c r="K2578" s="3" t="s">
        <v>31</v>
      </c>
      <c r="L2578" s="4" t="s">
        <v>13423</v>
      </c>
      <c r="M2578" s="2" t="s">
        <v>17144</v>
      </c>
      <c r="N2578" s="2" t="s">
        <v>243</v>
      </c>
      <c r="O2578" s="4" t="s">
        <v>244</v>
      </c>
      <c r="P2578" s="2" t="s">
        <v>13425</v>
      </c>
      <c r="Q2578" s="2" t="s">
        <v>31</v>
      </c>
      <c r="R2578" s="2" t="s">
        <v>247</v>
      </c>
      <c r="S2578" s="4" t="s">
        <v>13426</v>
      </c>
      <c r="T2578" s="2" t="s">
        <v>249</v>
      </c>
      <c r="U2578" s="4" t="s">
        <v>31</v>
      </c>
      <c r="V2578" s="2" t="s">
        <v>3523</v>
      </c>
      <c r="W2578" s="2" t="s">
        <v>13207</v>
      </c>
      <c r="X2578" s="5" t="str">
        <f>HYPERLINK("https://my.pitchbook.com?p=435732-76P","View People Online")</f>
        <v>View People Online</v>
      </c>
    </row>
    <row r="2579">
      <c r="A2579" s="14" t="s">
        <v>17145</v>
      </c>
      <c r="B2579" s="14" t="s">
        <v>17146</v>
      </c>
      <c r="C2579" s="14" t="s">
        <v>17147</v>
      </c>
      <c r="D2579" s="14" t="s">
        <v>17148</v>
      </c>
      <c r="E2579" s="14" t="s">
        <v>13207</v>
      </c>
      <c r="F2579" s="14" t="s">
        <v>29</v>
      </c>
      <c r="G2579" s="14" t="s">
        <v>17149</v>
      </c>
      <c r="H2579" s="15" t="s">
        <v>31</v>
      </c>
      <c r="I2579" s="15">
        <v>1.0</v>
      </c>
      <c r="J2579" s="15">
        <v>1.0</v>
      </c>
      <c r="K2579" s="15" t="s">
        <v>31</v>
      </c>
      <c r="L2579" s="16" t="s">
        <v>13274</v>
      </c>
      <c r="M2579" s="14" t="s">
        <v>17150</v>
      </c>
      <c r="N2579" s="14" t="s">
        <v>1181</v>
      </c>
      <c r="O2579" s="16" t="s">
        <v>1182</v>
      </c>
      <c r="P2579" s="14" t="s">
        <v>13276</v>
      </c>
      <c r="Q2579" s="14" t="s">
        <v>31</v>
      </c>
      <c r="R2579" s="14" t="s">
        <v>1185</v>
      </c>
      <c r="S2579" s="16" t="s">
        <v>4438</v>
      </c>
      <c r="T2579" s="14" t="s">
        <v>66</v>
      </c>
      <c r="U2579" s="16" t="s">
        <v>13277</v>
      </c>
      <c r="V2579" s="14" t="s">
        <v>29</v>
      </c>
      <c r="W2579" s="14" t="s">
        <v>13207</v>
      </c>
      <c r="X2579" s="17" t="str">
        <f>HYPERLINK("https://my.pitchbook.com?p=455953-15P","View People Online")</f>
        <v>View People Online</v>
      </c>
    </row>
    <row r="2580">
      <c r="A2580" s="10" t="s">
        <v>17151</v>
      </c>
      <c r="B2580" s="10" t="s">
        <v>17152</v>
      </c>
      <c r="C2580" s="10" t="s">
        <v>17153</v>
      </c>
      <c r="D2580" s="10" t="s">
        <v>17154</v>
      </c>
      <c r="E2580" s="10" t="s">
        <v>13207</v>
      </c>
      <c r="F2580" s="10" t="s">
        <v>3523</v>
      </c>
      <c r="G2580" s="10" t="s">
        <v>17155</v>
      </c>
      <c r="H2580" s="11" t="s">
        <v>31</v>
      </c>
      <c r="I2580" s="11">
        <v>1.0</v>
      </c>
      <c r="J2580" s="11">
        <v>1.0</v>
      </c>
      <c r="K2580" s="11" t="s">
        <v>31</v>
      </c>
      <c r="L2580" s="12" t="s">
        <v>13263</v>
      </c>
      <c r="M2580" s="10" t="s">
        <v>17156</v>
      </c>
      <c r="N2580" s="10" t="s">
        <v>1005</v>
      </c>
      <c r="O2580" s="12" t="s">
        <v>1006</v>
      </c>
      <c r="P2580" s="10" t="s">
        <v>13265</v>
      </c>
      <c r="Q2580" s="10" t="s">
        <v>13266</v>
      </c>
      <c r="R2580" s="10" t="s">
        <v>13267</v>
      </c>
      <c r="S2580" s="12" t="s">
        <v>13268</v>
      </c>
      <c r="T2580" s="10" t="s">
        <v>1010</v>
      </c>
      <c r="U2580" s="12" t="s">
        <v>13269</v>
      </c>
      <c r="V2580" s="10" t="s">
        <v>3523</v>
      </c>
      <c r="W2580" s="10" t="s">
        <v>13207</v>
      </c>
      <c r="X2580" s="13" t="str">
        <f>HYPERLINK("https://my.pitchbook.com?p=456495-58P","View People Online")</f>
        <v>View People Online</v>
      </c>
    </row>
    <row r="2581">
      <c r="A2581" s="14" t="s">
        <v>17157</v>
      </c>
      <c r="B2581" s="14" t="s">
        <v>17158</v>
      </c>
      <c r="C2581" s="14" t="s">
        <v>17153</v>
      </c>
      <c r="D2581" s="14" t="s">
        <v>17159</v>
      </c>
      <c r="E2581" s="14" t="s">
        <v>13207</v>
      </c>
      <c r="F2581" s="14" t="s">
        <v>29</v>
      </c>
      <c r="G2581" s="14" t="s">
        <v>17160</v>
      </c>
      <c r="H2581" s="15" t="s">
        <v>31</v>
      </c>
      <c r="I2581" s="15">
        <v>1.0</v>
      </c>
      <c r="J2581" s="15">
        <v>1.0</v>
      </c>
      <c r="K2581" s="15" t="s">
        <v>31</v>
      </c>
      <c r="L2581" s="16" t="s">
        <v>13263</v>
      </c>
      <c r="M2581" s="14" t="s">
        <v>17161</v>
      </c>
      <c r="N2581" s="14" t="s">
        <v>1005</v>
      </c>
      <c r="O2581" s="16" t="s">
        <v>1006</v>
      </c>
      <c r="P2581" s="14" t="s">
        <v>13265</v>
      </c>
      <c r="Q2581" s="14" t="s">
        <v>13266</v>
      </c>
      <c r="R2581" s="14" t="s">
        <v>13267</v>
      </c>
      <c r="S2581" s="16" t="s">
        <v>13268</v>
      </c>
      <c r="T2581" s="14" t="s">
        <v>1010</v>
      </c>
      <c r="U2581" s="16" t="s">
        <v>13269</v>
      </c>
      <c r="V2581" s="14" t="s">
        <v>29</v>
      </c>
      <c r="W2581" s="14" t="s">
        <v>13207</v>
      </c>
      <c r="X2581" s="17" t="str">
        <f>HYPERLINK("https://my.pitchbook.com?p=280172-35P","View People Online")</f>
        <v>View People Online</v>
      </c>
    </row>
    <row r="2582">
      <c r="A2582" s="2" t="s">
        <v>17162</v>
      </c>
      <c r="B2582" s="2" t="s">
        <v>17163</v>
      </c>
      <c r="C2582" s="2" t="s">
        <v>17164</v>
      </c>
      <c r="D2582" s="2" t="s">
        <v>17165</v>
      </c>
      <c r="E2582" s="2" t="s">
        <v>13207</v>
      </c>
      <c r="F2582" s="2" t="s">
        <v>3523</v>
      </c>
      <c r="G2582" s="2" t="s">
        <v>17166</v>
      </c>
      <c r="H2582" s="3" t="s">
        <v>31</v>
      </c>
      <c r="I2582" s="3">
        <v>1.0</v>
      </c>
      <c r="J2582" s="3">
        <v>1.0</v>
      </c>
      <c r="K2582" s="3" t="s">
        <v>31</v>
      </c>
      <c r="L2582" s="4" t="s">
        <v>13299</v>
      </c>
      <c r="M2582" s="2" t="s">
        <v>17167</v>
      </c>
      <c r="N2582" s="2" t="s">
        <v>601</v>
      </c>
      <c r="O2582" s="4" t="s">
        <v>602</v>
      </c>
      <c r="P2582" s="2" t="s">
        <v>13301</v>
      </c>
      <c r="Q2582" s="2" t="s">
        <v>13302</v>
      </c>
      <c r="R2582" s="2" t="s">
        <v>31</v>
      </c>
      <c r="S2582" s="4" t="s">
        <v>31</v>
      </c>
      <c r="T2582" s="2" t="s">
        <v>603</v>
      </c>
      <c r="U2582" s="4" t="s">
        <v>13303</v>
      </c>
      <c r="V2582" s="2" t="s">
        <v>3523</v>
      </c>
      <c r="W2582" s="2" t="s">
        <v>13207</v>
      </c>
      <c r="X2582" s="5" t="str">
        <f>HYPERLINK("https://my.pitchbook.com?p=436206-52P","View People Online")</f>
        <v>View People Online</v>
      </c>
    </row>
    <row r="2583">
      <c r="A2583" s="14" t="s">
        <v>17168</v>
      </c>
      <c r="B2583" s="14" t="s">
        <v>17169</v>
      </c>
      <c r="C2583" s="14" t="s">
        <v>17170</v>
      </c>
      <c r="D2583" s="14" t="s">
        <v>17171</v>
      </c>
      <c r="E2583" s="14" t="s">
        <v>13207</v>
      </c>
      <c r="F2583" s="14" t="s">
        <v>3523</v>
      </c>
      <c r="G2583" s="14" t="s">
        <v>17172</v>
      </c>
      <c r="H2583" s="15" t="s">
        <v>31</v>
      </c>
      <c r="I2583" s="15">
        <v>1.0</v>
      </c>
      <c r="J2583" s="15">
        <v>1.0</v>
      </c>
      <c r="K2583" s="15" t="s">
        <v>31</v>
      </c>
      <c r="L2583" s="16" t="s">
        <v>13263</v>
      </c>
      <c r="M2583" s="14" t="s">
        <v>17173</v>
      </c>
      <c r="N2583" s="14" t="s">
        <v>1005</v>
      </c>
      <c r="O2583" s="16" t="s">
        <v>1006</v>
      </c>
      <c r="P2583" s="14" t="s">
        <v>13265</v>
      </c>
      <c r="Q2583" s="14" t="s">
        <v>13266</v>
      </c>
      <c r="R2583" s="14" t="s">
        <v>13267</v>
      </c>
      <c r="S2583" s="16" t="s">
        <v>13268</v>
      </c>
      <c r="T2583" s="14" t="s">
        <v>1010</v>
      </c>
      <c r="U2583" s="16" t="s">
        <v>13269</v>
      </c>
      <c r="V2583" s="14" t="s">
        <v>3523</v>
      </c>
      <c r="W2583" s="14" t="s">
        <v>13207</v>
      </c>
      <c r="X2583" s="17" t="str">
        <f>HYPERLINK("https://my.pitchbook.com?p=435912-94P","View People Online")</f>
        <v>View People Online</v>
      </c>
    </row>
    <row r="2584">
      <c r="A2584" s="10" t="s">
        <v>17174</v>
      </c>
      <c r="B2584" s="10" t="s">
        <v>17175</v>
      </c>
      <c r="C2584" s="10" t="s">
        <v>17176</v>
      </c>
      <c r="D2584" s="10" t="s">
        <v>17177</v>
      </c>
      <c r="E2584" s="10" t="s">
        <v>13207</v>
      </c>
      <c r="F2584" s="10" t="s">
        <v>3523</v>
      </c>
      <c r="G2584" s="10" t="s">
        <v>17178</v>
      </c>
      <c r="H2584" s="11" t="s">
        <v>31</v>
      </c>
      <c r="I2584" s="11">
        <v>1.0</v>
      </c>
      <c r="J2584" s="11">
        <v>1.0</v>
      </c>
      <c r="K2584" s="11" t="s">
        <v>31</v>
      </c>
      <c r="L2584" s="12" t="s">
        <v>13274</v>
      </c>
      <c r="M2584" s="10" t="s">
        <v>17179</v>
      </c>
      <c r="N2584" s="10" t="s">
        <v>1181</v>
      </c>
      <c r="O2584" s="12" t="s">
        <v>1182</v>
      </c>
      <c r="P2584" s="10" t="s">
        <v>13276</v>
      </c>
      <c r="Q2584" s="10" t="s">
        <v>31</v>
      </c>
      <c r="R2584" s="10" t="s">
        <v>1185</v>
      </c>
      <c r="S2584" s="12" t="s">
        <v>4438</v>
      </c>
      <c r="T2584" s="10" t="s">
        <v>66</v>
      </c>
      <c r="U2584" s="12" t="s">
        <v>13277</v>
      </c>
      <c r="V2584" s="10" t="s">
        <v>3523</v>
      </c>
      <c r="W2584" s="10" t="s">
        <v>13207</v>
      </c>
      <c r="X2584" s="13" t="str">
        <f>HYPERLINK("https://my.pitchbook.com?p=455816-26P","View People Online")</f>
        <v>View People Online</v>
      </c>
    </row>
    <row r="2585">
      <c r="A2585" s="6" t="s">
        <v>17180</v>
      </c>
      <c r="B2585" s="6" t="s">
        <v>17181</v>
      </c>
      <c r="C2585" s="6" t="s">
        <v>17182</v>
      </c>
      <c r="D2585" s="6" t="s">
        <v>17183</v>
      </c>
      <c r="E2585" s="6" t="s">
        <v>13207</v>
      </c>
      <c r="F2585" s="6" t="s">
        <v>13307</v>
      </c>
      <c r="G2585" s="6" t="s">
        <v>17184</v>
      </c>
      <c r="H2585" s="7" t="s">
        <v>31</v>
      </c>
      <c r="I2585" s="7">
        <v>1.0</v>
      </c>
      <c r="J2585" s="7">
        <v>1.0</v>
      </c>
      <c r="K2585" s="7" t="s">
        <v>31</v>
      </c>
      <c r="L2585" s="8" t="s">
        <v>13263</v>
      </c>
      <c r="M2585" s="6" t="s">
        <v>17185</v>
      </c>
      <c r="N2585" s="6" t="s">
        <v>1005</v>
      </c>
      <c r="O2585" s="8" t="s">
        <v>1006</v>
      </c>
      <c r="P2585" s="6" t="s">
        <v>13265</v>
      </c>
      <c r="Q2585" s="6" t="s">
        <v>13266</v>
      </c>
      <c r="R2585" s="6" t="s">
        <v>13267</v>
      </c>
      <c r="S2585" s="8" t="s">
        <v>13268</v>
      </c>
      <c r="T2585" s="6" t="s">
        <v>1010</v>
      </c>
      <c r="U2585" s="8" t="s">
        <v>13269</v>
      </c>
      <c r="V2585" s="6" t="s">
        <v>13317</v>
      </c>
      <c r="W2585" s="6" t="s">
        <v>13207</v>
      </c>
      <c r="X2585" s="9" t="str">
        <f>HYPERLINK("https://my.pitchbook.com?p=434956-60P","View People Online")</f>
        <v>View People Online</v>
      </c>
    </row>
    <row r="2586">
      <c r="A2586" s="10" t="s">
        <v>17186</v>
      </c>
      <c r="B2586" s="10" t="s">
        <v>17187</v>
      </c>
      <c r="C2586" s="10" t="s">
        <v>17188</v>
      </c>
      <c r="D2586" s="10" t="s">
        <v>17189</v>
      </c>
      <c r="E2586" s="10" t="s">
        <v>13207</v>
      </c>
      <c r="F2586" s="10" t="s">
        <v>3523</v>
      </c>
      <c r="G2586" s="10" t="s">
        <v>17190</v>
      </c>
      <c r="H2586" s="11" t="s">
        <v>31</v>
      </c>
      <c r="I2586" s="11">
        <v>1.0</v>
      </c>
      <c r="J2586" s="11">
        <v>1.0</v>
      </c>
      <c r="K2586" s="11" t="s">
        <v>31</v>
      </c>
      <c r="L2586" s="12" t="s">
        <v>17191</v>
      </c>
      <c r="M2586" s="10" t="s">
        <v>17192</v>
      </c>
      <c r="N2586" s="10" t="s">
        <v>698</v>
      </c>
      <c r="O2586" s="12" t="s">
        <v>699</v>
      </c>
      <c r="P2586" s="10" t="s">
        <v>17193</v>
      </c>
      <c r="Q2586" s="10" t="s">
        <v>17194</v>
      </c>
      <c r="R2586" s="10" t="s">
        <v>31</v>
      </c>
      <c r="S2586" s="12" t="s">
        <v>17195</v>
      </c>
      <c r="T2586" s="10" t="s">
        <v>700</v>
      </c>
      <c r="U2586" s="12" t="s">
        <v>17196</v>
      </c>
      <c r="V2586" s="10" t="s">
        <v>3523</v>
      </c>
      <c r="W2586" s="10" t="s">
        <v>13207</v>
      </c>
      <c r="X2586" s="13" t="str">
        <f>HYPERLINK("https://my.pitchbook.com?p=434999-44P","View People Online")</f>
        <v>View People Online</v>
      </c>
    </row>
    <row r="2587">
      <c r="A2587" s="6" t="s">
        <v>17197</v>
      </c>
      <c r="B2587" s="6" t="s">
        <v>17198</v>
      </c>
      <c r="C2587" s="6" t="s">
        <v>17199</v>
      </c>
      <c r="D2587" s="6" t="s">
        <v>17200</v>
      </c>
      <c r="E2587" s="6" t="s">
        <v>13207</v>
      </c>
      <c r="F2587" s="6" t="s">
        <v>14489</v>
      </c>
      <c r="G2587" s="6" t="s">
        <v>17201</v>
      </c>
      <c r="H2587" s="7" t="s">
        <v>31</v>
      </c>
      <c r="I2587" s="7">
        <v>1.0</v>
      </c>
      <c r="J2587" s="7">
        <v>1.0</v>
      </c>
      <c r="K2587" s="7" t="s">
        <v>31</v>
      </c>
      <c r="L2587" s="8" t="s">
        <v>14498</v>
      </c>
      <c r="M2587" s="6" t="s">
        <v>17202</v>
      </c>
      <c r="N2587" s="6" t="s">
        <v>10290</v>
      </c>
      <c r="O2587" s="8" t="s">
        <v>10291</v>
      </c>
      <c r="P2587" s="6" t="s">
        <v>14500</v>
      </c>
      <c r="Q2587" s="6" t="s">
        <v>14501</v>
      </c>
      <c r="R2587" s="6" t="s">
        <v>31</v>
      </c>
      <c r="S2587" s="8" t="s">
        <v>14502</v>
      </c>
      <c r="T2587" s="6" t="s">
        <v>10295</v>
      </c>
      <c r="U2587" s="8" t="s">
        <v>14503</v>
      </c>
      <c r="V2587" s="6" t="s">
        <v>17203</v>
      </c>
      <c r="W2587" s="6" t="s">
        <v>13207</v>
      </c>
      <c r="X2587" s="9" t="str">
        <f>HYPERLINK("https://my.pitchbook.com?p=435915-28P","View People Online")</f>
        <v>View People Online</v>
      </c>
    </row>
    <row r="2588">
      <c r="A2588" s="2" t="s">
        <v>17204</v>
      </c>
      <c r="B2588" s="2" t="s">
        <v>17205</v>
      </c>
      <c r="C2588" s="2" t="s">
        <v>17206</v>
      </c>
      <c r="D2588" s="2" t="s">
        <v>17207</v>
      </c>
      <c r="E2588" s="2" t="s">
        <v>13207</v>
      </c>
      <c r="F2588" s="2" t="s">
        <v>3523</v>
      </c>
      <c r="G2588" s="2" t="s">
        <v>17208</v>
      </c>
      <c r="H2588" s="3" t="s">
        <v>31</v>
      </c>
      <c r="I2588" s="3">
        <v>1.0</v>
      </c>
      <c r="J2588" s="3">
        <v>1.0</v>
      </c>
      <c r="K2588" s="3" t="s">
        <v>31</v>
      </c>
      <c r="L2588" s="4" t="s">
        <v>13242</v>
      </c>
      <c r="M2588" s="2" t="s">
        <v>17209</v>
      </c>
      <c r="N2588" s="2" t="s">
        <v>9865</v>
      </c>
      <c r="O2588" s="4" t="s">
        <v>9866</v>
      </c>
      <c r="P2588" s="2" t="s">
        <v>13244</v>
      </c>
      <c r="Q2588" s="2" t="s">
        <v>31</v>
      </c>
      <c r="R2588" s="2" t="s">
        <v>31</v>
      </c>
      <c r="S2588" s="4" t="s">
        <v>13245</v>
      </c>
      <c r="T2588" s="2" t="s">
        <v>38</v>
      </c>
      <c r="U2588" s="4" t="s">
        <v>13246</v>
      </c>
      <c r="V2588" s="2" t="s">
        <v>3523</v>
      </c>
      <c r="W2588" s="2" t="s">
        <v>13207</v>
      </c>
      <c r="X2588" s="5" t="str">
        <f>HYPERLINK("https://my.pitchbook.com?p=435949-39P","View People Online")</f>
        <v>View People Online</v>
      </c>
    </row>
    <row r="2589">
      <c r="A2589" s="6" t="s">
        <v>17210</v>
      </c>
      <c r="B2589" s="6" t="s">
        <v>17211</v>
      </c>
      <c r="C2589" s="6" t="s">
        <v>17212</v>
      </c>
      <c r="D2589" s="6" t="s">
        <v>17213</v>
      </c>
      <c r="E2589" s="6" t="s">
        <v>13207</v>
      </c>
      <c r="F2589" s="6" t="s">
        <v>13218</v>
      </c>
      <c r="G2589" s="6" t="s">
        <v>17214</v>
      </c>
      <c r="H2589" s="7" t="s">
        <v>31</v>
      </c>
      <c r="I2589" s="7">
        <v>1.0</v>
      </c>
      <c r="J2589" s="7">
        <v>1.0</v>
      </c>
      <c r="K2589" s="7" t="s">
        <v>31</v>
      </c>
      <c r="L2589" s="8" t="s">
        <v>13657</v>
      </c>
      <c r="M2589" s="6" t="s">
        <v>17215</v>
      </c>
      <c r="N2589" s="6" t="s">
        <v>13659</v>
      </c>
      <c r="O2589" s="8" t="s">
        <v>13660</v>
      </c>
      <c r="P2589" s="6" t="s">
        <v>13661</v>
      </c>
      <c r="Q2589" s="6" t="s">
        <v>31</v>
      </c>
      <c r="R2589" s="6" t="s">
        <v>31</v>
      </c>
      <c r="S2589" s="8" t="s">
        <v>13662</v>
      </c>
      <c r="T2589" s="6" t="s">
        <v>38</v>
      </c>
      <c r="U2589" s="8" t="s">
        <v>13663</v>
      </c>
      <c r="V2589" s="6" t="s">
        <v>17216</v>
      </c>
      <c r="W2589" s="6" t="s">
        <v>13207</v>
      </c>
      <c r="X2589" s="9" t="str">
        <f>HYPERLINK("https://my.pitchbook.com?p=57034-90P","View People Online")</f>
        <v>View People Online</v>
      </c>
    </row>
    <row r="2590">
      <c r="A2590" s="2" t="s">
        <v>17217</v>
      </c>
      <c r="B2590" s="2" t="s">
        <v>17218</v>
      </c>
      <c r="C2590" s="2" t="s">
        <v>17219</v>
      </c>
      <c r="D2590" s="2" t="s">
        <v>17220</v>
      </c>
      <c r="E2590" s="2" t="s">
        <v>13207</v>
      </c>
      <c r="F2590" s="2" t="s">
        <v>29</v>
      </c>
      <c r="G2590" s="2" t="s">
        <v>17221</v>
      </c>
      <c r="H2590" s="3" t="s">
        <v>31</v>
      </c>
      <c r="I2590" s="3">
        <v>1.0</v>
      </c>
      <c r="J2590" s="3">
        <v>1.0</v>
      </c>
      <c r="K2590" s="3" t="s">
        <v>31</v>
      </c>
      <c r="L2590" s="4" t="s">
        <v>13423</v>
      </c>
      <c r="M2590" s="2" t="s">
        <v>17222</v>
      </c>
      <c r="N2590" s="2" t="s">
        <v>243</v>
      </c>
      <c r="O2590" s="4" t="s">
        <v>244</v>
      </c>
      <c r="P2590" s="2" t="s">
        <v>13425</v>
      </c>
      <c r="Q2590" s="2" t="s">
        <v>31</v>
      </c>
      <c r="R2590" s="2" t="s">
        <v>247</v>
      </c>
      <c r="S2590" s="4" t="s">
        <v>13426</v>
      </c>
      <c r="T2590" s="2" t="s">
        <v>249</v>
      </c>
      <c r="U2590" s="4" t="s">
        <v>31</v>
      </c>
      <c r="V2590" s="2" t="s">
        <v>29</v>
      </c>
      <c r="W2590" s="2" t="s">
        <v>13207</v>
      </c>
      <c r="X2590" s="5" t="str">
        <f>HYPERLINK("https://my.pitchbook.com?p=456011-65P","View People Online")</f>
        <v>View People Online</v>
      </c>
    </row>
    <row r="2591">
      <c r="A2591" s="6" t="s">
        <v>17223</v>
      </c>
      <c r="B2591" s="6" t="s">
        <v>17224</v>
      </c>
      <c r="C2591" s="6" t="s">
        <v>17225</v>
      </c>
      <c r="D2591" s="6" t="s">
        <v>3330</v>
      </c>
      <c r="E2591" s="6" t="s">
        <v>13207</v>
      </c>
      <c r="F2591" s="6" t="s">
        <v>3523</v>
      </c>
      <c r="G2591" s="6" t="s">
        <v>17226</v>
      </c>
      <c r="H2591" s="7" t="s">
        <v>31</v>
      </c>
      <c r="I2591" s="7">
        <v>1.0</v>
      </c>
      <c r="J2591" s="7">
        <v>1.0</v>
      </c>
      <c r="K2591" s="7" t="s">
        <v>31</v>
      </c>
      <c r="L2591" s="8" t="s">
        <v>15718</v>
      </c>
      <c r="M2591" s="6" t="s">
        <v>17227</v>
      </c>
      <c r="N2591" s="6" t="s">
        <v>3753</v>
      </c>
      <c r="O2591" s="8" t="s">
        <v>3754</v>
      </c>
      <c r="P2591" s="6" t="s">
        <v>15720</v>
      </c>
      <c r="Q2591" s="6" t="s">
        <v>15721</v>
      </c>
      <c r="R2591" s="6" t="s">
        <v>31</v>
      </c>
      <c r="S2591" s="8" t="s">
        <v>15722</v>
      </c>
      <c r="T2591" s="6" t="s">
        <v>3339</v>
      </c>
      <c r="U2591" s="8" t="s">
        <v>15723</v>
      </c>
      <c r="V2591" s="6" t="s">
        <v>3523</v>
      </c>
      <c r="W2591" s="6" t="s">
        <v>13207</v>
      </c>
      <c r="X2591" s="9" t="str">
        <f>HYPERLINK("https://my.pitchbook.com?p=456536-17P","View People Online")</f>
        <v>View People Online</v>
      </c>
    </row>
    <row r="2592">
      <c r="A2592" s="10" t="s">
        <v>17228</v>
      </c>
      <c r="B2592" s="10" t="s">
        <v>17229</v>
      </c>
      <c r="C2592" s="10" t="s">
        <v>17230</v>
      </c>
      <c r="D2592" s="10" t="s">
        <v>17231</v>
      </c>
      <c r="E2592" s="10" t="s">
        <v>13207</v>
      </c>
      <c r="F2592" s="10" t="s">
        <v>3523</v>
      </c>
      <c r="G2592" s="10" t="s">
        <v>17232</v>
      </c>
      <c r="H2592" s="11" t="s">
        <v>31</v>
      </c>
      <c r="I2592" s="11">
        <v>1.0</v>
      </c>
      <c r="J2592" s="11">
        <v>1.0</v>
      </c>
      <c r="K2592" s="11" t="s">
        <v>31</v>
      </c>
      <c r="L2592" s="12" t="s">
        <v>14201</v>
      </c>
      <c r="M2592" s="10" t="s">
        <v>17233</v>
      </c>
      <c r="N2592" s="10" t="s">
        <v>14203</v>
      </c>
      <c r="O2592" s="12" t="s">
        <v>14204</v>
      </c>
      <c r="P2592" s="10" t="s">
        <v>14205</v>
      </c>
      <c r="Q2592" s="10" t="s">
        <v>14206</v>
      </c>
      <c r="R2592" s="10" t="s">
        <v>1420</v>
      </c>
      <c r="S2592" s="12" t="s">
        <v>14207</v>
      </c>
      <c r="T2592" s="10" t="s">
        <v>66</v>
      </c>
      <c r="U2592" s="12" t="s">
        <v>14208</v>
      </c>
      <c r="V2592" s="10" t="s">
        <v>3523</v>
      </c>
      <c r="W2592" s="10" t="s">
        <v>13207</v>
      </c>
      <c r="X2592" s="13" t="str">
        <f>HYPERLINK("https://my.pitchbook.com?p=455886-46P","View People Online")</f>
        <v>View People Online</v>
      </c>
    </row>
    <row r="2593">
      <c r="A2593" s="6" t="s">
        <v>17234</v>
      </c>
      <c r="B2593" s="6" t="s">
        <v>17235</v>
      </c>
      <c r="C2593" s="6" t="s">
        <v>17236</v>
      </c>
      <c r="D2593" s="6" t="s">
        <v>2469</v>
      </c>
      <c r="E2593" s="6" t="s">
        <v>13207</v>
      </c>
      <c r="F2593" s="6" t="s">
        <v>3523</v>
      </c>
      <c r="G2593" s="6" t="s">
        <v>17237</v>
      </c>
      <c r="H2593" s="7" t="s">
        <v>31</v>
      </c>
      <c r="I2593" s="7">
        <v>1.0</v>
      </c>
      <c r="J2593" s="7">
        <v>1.0</v>
      </c>
      <c r="K2593" s="7" t="s">
        <v>31</v>
      </c>
      <c r="L2593" s="8" t="s">
        <v>13274</v>
      </c>
      <c r="M2593" s="6" t="s">
        <v>17238</v>
      </c>
      <c r="N2593" s="6" t="s">
        <v>1181</v>
      </c>
      <c r="O2593" s="8" t="s">
        <v>1182</v>
      </c>
      <c r="P2593" s="6" t="s">
        <v>13276</v>
      </c>
      <c r="Q2593" s="6" t="s">
        <v>31</v>
      </c>
      <c r="R2593" s="6" t="s">
        <v>1185</v>
      </c>
      <c r="S2593" s="8" t="s">
        <v>4438</v>
      </c>
      <c r="T2593" s="6" t="s">
        <v>66</v>
      </c>
      <c r="U2593" s="8" t="s">
        <v>13277</v>
      </c>
      <c r="V2593" s="6" t="s">
        <v>3523</v>
      </c>
      <c r="W2593" s="6" t="s">
        <v>13207</v>
      </c>
      <c r="X2593" s="9" t="str">
        <f>HYPERLINK("https://my.pitchbook.com?p=436395-07P","View People Online")</f>
        <v>View People Online</v>
      </c>
    </row>
    <row r="2594">
      <c r="A2594" s="2" t="s">
        <v>17239</v>
      </c>
      <c r="B2594" s="2" t="s">
        <v>17240</v>
      </c>
      <c r="C2594" s="2" t="s">
        <v>17241</v>
      </c>
      <c r="D2594" s="2" t="s">
        <v>2469</v>
      </c>
      <c r="E2594" s="2" t="s">
        <v>13207</v>
      </c>
      <c r="F2594" s="2" t="s">
        <v>13218</v>
      </c>
      <c r="G2594" s="2" t="s">
        <v>17242</v>
      </c>
      <c r="H2594" s="3" t="s">
        <v>31</v>
      </c>
      <c r="I2594" s="3">
        <v>1.0</v>
      </c>
      <c r="J2594" s="3">
        <v>1.0</v>
      </c>
      <c r="K2594" s="3" t="s">
        <v>31</v>
      </c>
      <c r="L2594" s="4" t="s">
        <v>15095</v>
      </c>
      <c r="M2594" s="2" t="s">
        <v>17243</v>
      </c>
      <c r="N2594" s="2" t="s">
        <v>6960</v>
      </c>
      <c r="O2594" s="4" t="s">
        <v>6961</v>
      </c>
      <c r="P2594" s="2" t="s">
        <v>15097</v>
      </c>
      <c r="Q2594" s="2" t="s">
        <v>15098</v>
      </c>
      <c r="R2594" s="2" t="s">
        <v>15099</v>
      </c>
      <c r="S2594" s="4" t="s">
        <v>15100</v>
      </c>
      <c r="T2594" s="2" t="s">
        <v>6962</v>
      </c>
      <c r="U2594" s="4" t="s">
        <v>15101</v>
      </c>
      <c r="V2594" s="2" t="s">
        <v>13218</v>
      </c>
      <c r="W2594" s="2" t="s">
        <v>13207</v>
      </c>
      <c r="X2594" s="5" t="str">
        <f>HYPERLINK("https://my.pitchbook.com?p=435286-90P","View People Online")</f>
        <v>View People Online</v>
      </c>
    </row>
    <row r="2595">
      <c r="A2595" s="14" t="s">
        <v>17244</v>
      </c>
      <c r="B2595" s="14" t="s">
        <v>17245</v>
      </c>
      <c r="C2595" s="14" t="s">
        <v>3521</v>
      </c>
      <c r="D2595" s="14" t="s">
        <v>17246</v>
      </c>
      <c r="E2595" s="14" t="s">
        <v>13207</v>
      </c>
      <c r="F2595" s="14" t="s">
        <v>3523</v>
      </c>
      <c r="G2595" s="14" t="s">
        <v>17247</v>
      </c>
      <c r="H2595" s="15" t="s">
        <v>31</v>
      </c>
      <c r="I2595" s="15">
        <v>1.0</v>
      </c>
      <c r="J2595" s="15">
        <v>1.0</v>
      </c>
      <c r="K2595" s="15" t="s">
        <v>31</v>
      </c>
      <c r="L2595" s="16" t="s">
        <v>13209</v>
      </c>
      <c r="M2595" s="14" t="s">
        <v>17248</v>
      </c>
      <c r="N2595" s="14" t="s">
        <v>4232</v>
      </c>
      <c r="O2595" s="16" t="s">
        <v>4233</v>
      </c>
      <c r="P2595" s="14" t="s">
        <v>13211</v>
      </c>
      <c r="Q2595" s="14" t="s">
        <v>31</v>
      </c>
      <c r="R2595" s="14" t="s">
        <v>4236</v>
      </c>
      <c r="S2595" s="16" t="s">
        <v>13212</v>
      </c>
      <c r="T2595" s="14" t="s">
        <v>66</v>
      </c>
      <c r="U2595" s="16" t="s">
        <v>13213</v>
      </c>
      <c r="V2595" s="14" t="s">
        <v>3523</v>
      </c>
      <c r="W2595" s="14" t="s">
        <v>13207</v>
      </c>
      <c r="X2595" s="17" t="str">
        <f>HYPERLINK("https://my.pitchbook.com?p=103284-37P","View People Online")</f>
        <v>View People Online</v>
      </c>
    </row>
    <row r="2596">
      <c r="A2596" s="2" t="s">
        <v>17249</v>
      </c>
      <c r="B2596" s="2" t="s">
        <v>17250</v>
      </c>
      <c r="C2596" s="2" t="s">
        <v>17251</v>
      </c>
      <c r="D2596" s="2" t="s">
        <v>17252</v>
      </c>
      <c r="E2596" s="2" t="s">
        <v>13207</v>
      </c>
      <c r="F2596" s="2" t="s">
        <v>1283</v>
      </c>
      <c r="G2596" s="2" t="s">
        <v>17253</v>
      </c>
      <c r="H2596" s="3" t="s">
        <v>31</v>
      </c>
      <c r="I2596" s="3">
        <v>1.0</v>
      </c>
      <c r="J2596" s="3">
        <v>1.0</v>
      </c>
      <c r="K2596" s="3" t="s">
        <v>31</v>
      </c>
      <c r="L2596" s="4" t="s">
        <v>13734</v>
      </c>
      <c r="M2596" s="2" t="s">
        <v>17254</v>
      </c>
      <c r="N2596" s="2" t="s">
        <v>2754</v>
      </c>
      <c r="O2596" s="4" t="s">
        <v>2755</v>
      </c>
      <c r="P2596" s="2" t="s">
        <v>13736</v>
      </c>
      <c r="Q2596" s="2" t="s">
        <v>31</v>
      </c>
      <c r="R2596" s="2" t="s">
        <v>31</v>
      </c>
      <c r="S2596" s="4" t="s">
        <v>13737</v>
      </c>
      <c r="T2596" s="2" t="s">
        <v>38</v>
      </c>
      <c r="U2596" s="4" t="s">
        <v>13738</v>
      </c>
      <c r="V2596" s="2" t="s">
        <v>1283</v>
      </c>
      <c r="W2596" s="2" t="s">
        <v>13207</v>
      </c>
      <c r="X2596" s="5" t="str">
        <f>HYPERLINK("https://my.pitchbook.com?p=455945-68P","View People Online")</f>
        <v>View People Online</v>
      </c>
    </row>
    <row r="2597">
      <c r="A2597" s="6" t="s">
        <v>17255</v>
      </c>
      <c r="B2597" s="6" t="s">
        <v>17256</v>
      </c>
      <c r="C2597" s="6" t="s">
        <v>17257</v>
      </c>
      <c r="D2597" s="6" t="s">
        <v>17258</v>
      </c>
      <c r="E2597" s="6" t="s">
        <v>13207</v>
      </c>
      <c r="F2597" s="6" t="s">
        <v>13218</v>
      </c>
      <c r="G2597" s="6" t="s">
        <v>17259</v>
      </c>
      <c r="H2597" s="7" t="s">
        <v>31</v>
      </c>
      <c r="I2597" s="7">
        <v>1.0</v>
      </c>
      <c r="J2597" s="7">
        <v>1.0</v>
      </c>
      <c r="K2597" s="7" t="s">
        <v>31</v>
      </c>
      <c r="L2597" s="8" t="s">
        <v>14387</v>
      </c>
      <c r="M2597" s="6" t="s">
        <v>17260</v>
      </c>
      <c r="N2597" s="6" t="s">
        <v>14389</v>
      </c>
      <c r="O2597" s="8" t="s">
        <v>14390</v>
      </c>
      <c r="P2597" s="6" t="s">
        <v>14391</v>
      </c>
      <c r="Q2597" s="6" t="s">
        <v>2403</v>
      </c>
      <c r="R2597" s="6" t="s">
        <v>31</v>
      </c>
      <c r="S2597" s="8" t="s">
        <v>14392</v>
      </c>
      <c r="T2597" s="6" t="s">
        <v>14393</v>
      </c>
      <c r="U2597" s="8" t="s">
        <v>14394</v>
      </c>
      <c r="V2597" s="6" t="s">
        <v>13218</v>
      </c>
      <c r="W2597" s="6" t="s">
        <v>13207</v>
      </c>
      <c r="X2597" s="9" t="str">
        <f>HYPERLINK("https://my.pitchbook.com?p=456740-65P","View People Online")</f>
        <v>View People Online</v>
      </c>
    </row>
    <row r="2598">
      <c r="A2598" s="2" t="s">
        <v>17261</v>
      </c>
      <c r="B2598" s="2" t="s">
        <v>17262</v>
      </c>
      <c r="C2598" s="2" t="s">
        <v>17263</v>
      </c>
      <c r="D2598" s="2" t="s">
        <v>17264</v>
      </c>
      <c r="E2598" s="2" t="s">
        <v>13207</v>
      </c>
      <c r="F2598" s="2" t="s">
        <v>13218</v>
      </c>
      <c r="G2598" s="2" t="s">
        <v>17265</v>
      </c>
      <c r="H2598" s="3" t="s">
        <v>31</v>
      </c>
      <c r="I2598" s="3">
        <v>1.0</v>
      </c>
      <c r="J2598" s="3">
        <v>1.0</v>
      </c>
      <c r="K2598" s="3" t="s">
        <v>31</v>
      </c>
      <c r="L2598" s="4" t="s">
        <v>13263</v>
      </c>
      <c r="M2598" s="2" t="s">
        <v>17266</v>
      </c>
      <c r="N2598" s="2" t="s">
        <v>1005</v>
      </c>
      <c r="O2598" s="4" t="s">
        <v>1006</v>
      </c>
      <c r="P2598" s="2" t="s">
        <v>13265</v>
      </c>
      <c r="Q2598" s="2" t="s">
        <v>13266</v>
      </c>
      <c r="R2598" s="2" t="s">
        <v>13267</v>
      </c>
      <c r="S2598" s="4" t="s">
        <v>13268</v>
      </c>
      <c r="T2598" s="2" t="s">
        <v>1010</v>
      </c>
      <c r="U2598" s="4" t="s">
        <v>13269</v>
      </c>
      <c r="V2598" s="2" t="s">
        <v>13218</v>
      </c>
      <c r="W2598" s="2" t="s">
        <v>13207</v>
      </c>
      <c r="X2598" s="5" t="str">
        <f>HYPERLINK("https://my.pitchbook.com?p=368340-67P","View People Online")</f>
        <v>View People Online</v>
      </c>
    </row>
    <row r="2599">
      <c r="A2599" s="14" t="s">
        <v>17267</v>
      </c>
      <c r="B2599" s="14" t="s">
        <v>17268</v>
      </c>
      <c r="C2599" s="14" t="s">
        <v>17269</v>
      </c>
      <c r="D2599" s="14" t="s">
        <v>17270</v>
      </c>
      <c r="E2599" s="14" t="s">
        <v>13207</v>
      </c>
      <c r="F2599" s="14" t="s">
        <v>3523</v>
      </c>
      <c r="G2599" s="14" t="s">
        <v>17271</v>
      </c>
      <c r="H2599" s="15" t="s">
        <v>31</v>
      </c>
      <c r="I2599" s="15">
        <v>1.0</v>
      </c>
      <c r="J2599" s="15">
        <v>1.0</v>
      </c>
      <c r="K2599" s="15" t="s">
        <v>31</v>
      </c>
      <c r="L2599" s="16" t="s">
        <v>13531</v>
      </c>
      <c r="M2599" s="14" t="s">
        <v>17272</v>
      </c>
      <c r="N2599" s="14" t="s">
        <v>2273</v>
      </c>
      <c r="O2599" s="16" t="s">
        <v>2274</v>
      </c>
      <c r="P2599" s="14" t="s">
        <v>13533</v>
      </c>
      <c r="Q2599" s="14" t="s">
        <v>31</v>
      </c>
      <c r="R2599" s="14" t="s">
        <v>31</v>
      </c>
      <c r="S2599" s="16" t="s">
        <v>13534</v>
      </c>
      <c r="T2599" s="14" t="s">
        <v>2278</v>
      </c>
      <c r="U2599" s="16" t="s">
        <v>13535</v>
      </c>
      <c r="V2599" s="14" t="s">
        <v>3523</v>
      </c>
      <c r="W2599" s="14" t="s">
        <v>13207</v>
      </c>
      <c r="X2599" s="17" t="str">
        <f>HYPERLINK("https://my.pitchbook.com?p=455872-15P","View People Online")</f>
        <v>View People Online</v>
      </c>
    </row>
    <row r="2600">
      <c r="A2600" s="2" t="s">
        <v>17273</v>
      </c>
      <c r="B2600" s="2" t="s">
        <v>17274</v>
      </c>
      <c r="C2600" s="2" t="s">
        <v>17275</v>
      </c>
      <c r="D2600" s="2" t="s">
        <v>17276</v>
      </c>
      <c r="E2600" s="2" t="s">
        <v>13207</v>
      </c>
      <c r="F2600" s="2" t="s">
        <v>3523</v>
      </c>
      <c r="G2600" s="2" t="s">
        <v>17277</v>
      </c>
      <c r="H2600" s="3" t="s">
        <v>31</v>
      </c>
      <c r="I2600" s="3">
        <v>1.0</v>
      </c>
      <c r="J2600" s="3">
        <v>1.0</v>
      </c>
      <c r="K2600" s="3" t="s">
        <v>31</v>
      </c>
      <c r="L2600" s="4" t="s">
        <v>13399</v>
      </c>
      <c r="M2600" s="2" t="s">
        <v>17278</v>
      </c>
      <c r="N2600" s="2" t="s">
        <v>13401</v>
      </c>
      <c r="O2600" s="4" t="s">
        <v>13402</v>
      </c>
      <c r="P2600" s="2" t="s">
        <v>13403</v>
      </c>
      <c r="Q2600" s="2" t="s">
        <v>13404</v>
      </c>
      <c r="R2600" s="2" t="s">
        <v>31</v>
      </c>
      <c r="S2600" s="4" t="s">
        <v>13405</v>
      </c>
      <c r="T2600" s="2" t="s">
        <v>13406</v>
      </c>
      <c r="U2600" s="4" t="s">
        <v>13407</v>
      </c>
      <c r="V2600" s="2" t="s">
        <v>3523</v>
      </c>
      <c r="W2600" s="2" t="s">
        <v>13207</v>
      </c>
      <c r="X2600" s="5" t="str">
        <f>HYPERLINK("https://my.pitchbook.com?p=435541-96P","View People Online")</f>
        <v>View People Online</v>
      </c>
    </row>
    <row r="2601">
      <c r="A2601" s="6" t="s">
        <v>17279</v>
      </c>
      <c r="B2601" s="6" t="s">
        <v>17280</v>
      </c>
      <c r="C2601" s="6" t="s">
        <v>17281</v>
      </c>
      <c r="D2601" s="6" t="s">
        <v>17282</v>
      </c>
      <c r="E2601" s="6" t="s">
        <v>13207</v>
      </c>
      <c r="F2601" s="6" t="s">
        <v>13218</v>
      </c>
      <c r="G2601" s="6" t="s">
        <v>17283</v>
      </c>
      <c r="H2601" s="7" t="s">
        <v>31</v>
      </c>
      <c r="I2601" s="7">
        <v>1.0</v>
      </c>
      <c r="J2601" s="7">
        <v>1.0</v>
      </c>
      <c r="K2601" s="7" t="s">
        <v>31</v>
      </c>
      <c r="L2601" s="8" t="s">
        <v>17284</v>
      </c>
      <c r="M2601" s="6" t="s">
        <v>17285</v>
      </c>
      <c r="N2601" s="6" t="s">
        <v>601</v>
      </c>
      <c r="O2601" s="8" t="s">
        <v>602</v>
      </c>
      <c r="P2601" s="6" t="s">
        <v>13301</v>
      </c>
      <c r="Q2601" s="6" t="s">
        <v>13302</v>
      </c>
      <c r="R2601" s="6" t="s">
        <v>31</v>
      </c>
      <c r="S2601" s="8" t="s">
        <v>31</v>
      </c>
      <c r="T2601" s="6" t="s">
        <v>603</v>
      </c>
      <c r="U2601" s="8" t="s">
        <v>13303</v>
      </c>
      <c r="V2601" s="6" t="s">
        <v>14182</v>
      </c>
      <c r="W2601" s="6" t="s">
        <v>13207</v>
      </c>
      <c r="X2601" s="9" t="str">
        <f>HYPERLINK("https://my.pitchbook.com?p=148912-30P","View People Online")</f>
        <v>View People Online</v>
      </c>
    </row>
    <row r="2602">
      <c r="A2602" s="10" t="s">
        <v>17286</v>
      </c>
      <c r="B2602" s="10" t="s">
        <v>17287</v>
      </c>
      <c r="C2602" s="10" t="s">
        <v>17288</v>
      </c>
      <c r="D2602" s="10" t="s">
        <v>17289</v>
      </c>
      <c r="E2602" s="10" t="s">
        <v>13207</v>
      </c>
      <c r="F2602" s="10" t="s">
        <v>3523</v>
      </c>
      <c r="G2602" s="10" t="s">
        <v>17290</v>
      </c>
      <c r="H2602" s="11" t="s">
        <v>31</v>
      </c>
      <c r="I2602" s="11">
        <v>1.0</v>
      </c>
      <c r="J2602" s="11">
        <v>1.0</v>
      </c>
      <c r="K2602" s="11" t="s">
        <v>31</v>
      </c>
      <c r="L2602" s="12" t="s">
        <v>14439</v>
      </c>
      <c r="M2602" s="10" t="s">
        <v>17291</v>
      </c>
      <c r="N2602" s="10" t="s">
        <v>683</v>
      </c>
      <c r="O2602" s="12" t="s">
        <v>684</v>
      </c>
      <c r="P2602" s="10" t="s">
        <v>14441</v>
      </c>
      <c r="Q2602" s="10" t="s">
        <v>14442</v>
      </c>
      <c r="R2602" s="10" t="s">
        <v>31</v>
      </c>
      <c r="S2602" s="12" t="s">
        <v>31</v>
      </c>
      <c r="T2602" s="10" t="s">
        <v>688</v>
      </c>
      <c r="U2602" s="12" t="s">
        <v>31</v>
      </c>
      <c r="V2602" s="10" t="s">
        <v>3523</v>
      </c>
      <c r="W2602" s="10" t="s">
        <v>13207</v>
      </c>
      <c r="X2602" s="13" t="str">
        <f>HYPERLINK("https://my.pitchbook.com?p=456764-41P","View People Online")</f>
        <v>View People Online</v>
      </c>
    </row>
    <row r="2603">
      <c r="A2603" s="14" t="s">
        <v>17292</v>
      </c>
      <c r="B2603" s="14" t="s">
        <v>17293</v>
      </c>
      <c r="C2603" s="14" t="s">
        <v>17294</v>
      </c>
      <c r="D2603" s="14" t="s">
        <v>17295</v>
      </c>
      <c r="E2603" s="14" t="s">
        <v>13207</v>
      </c>
      <c r="F2603" s="14" t="s">
        <v>3523</v>
      </c>
      <c r="G2603" s="14" t="s">
        <v>17296</v>
      </c>
      <c r="H2603" s="15" t="s">
        <v>31</v>
      </c>
      <c r="I2603" s="15">
        <v>1.0</v>
      </c>
      <c r="J2603" s="15">
        <v>1.0</v>
      </c>
      <c r="K2603" s="15" t="s">
        <v>31</v>
      </c>
      <c r="L2603" s="16" t="s">
        <v>13505</v>
      </c>
      <c r="M2603" s="14" t="s">
        <v>17297</v>
      </c>
      <c r="N2603" s="14" t="s">
        <v>1416</v>
      </c>
      <c r="O2603" s="16" t="s">
        <v>1417</v>
      </c>
      <c r="P2603" s="14" t="s">
        <v>13507</v>
      </c>
      <c r="Q2603" s="14" t="s">
        <v>1457</v>
      </c>
      <c r="R2603" s="14" t="s">
        <v>1420</v>
      </c>
      <c r="S2603" s="16" t="s">
        <v>13508</v>
      </c>
      <c r="T2603" s="14" t="s">
        <v>66</v>
      </c>
      <c r="U2603" s="16" t="s">
        <v>13509</v>
      </c>
      <c r="V2603" s="14" t="s">
        <v>3523</v>
      </c>
      <c r="W2603" s="14" t="s">
        <v>13207</v>
      </c>
      <c r="X2603" s="17" t="str">
        <f>HYPERLINK("https://my.pitchbook.com?p=435968-20P","View People Online")</f>
        <v>View People Online</v>
      </c>
    </row>
    <row r="2604">
      <c r="A2604" s="10" t="s">
        <v>17298</v>
      </c>
      <c r="B2604" s="10" t="s">
        <v>17299</v>
      </c>
      <c r="C2604" s="10" t="s">
        <v>17300</v>
      </c>
      <c r="D2604" s="10" t="s">
        <v>17301</v>
      </c>
      <c r="E2604" s="10" t="s">
        <v>13207</v>
      </c>
      <c r="F2604" s="10" t="s">
        <v>13218</v>
      </c>
      <c r="G2604" s="10" t="s">
        <v>17302</v>
      </c>
      <c r="H2604" s="11" t="s">
        <v>31</v>
      </c>
      <c r="I2604" s="11">
        <v>1.0</v>
      </c>
      <c r="J2604" s="11">
        <v>1.0</v>
      </c>
      <c r="K2604" s="11" t="s">
        <v>31</v>
      </c>
      <c r="L2604" s="12" t="s">
        <v>13766</v>
      </c>
      <c r="M2604" s="10" t="s">
        <v>17303</v>
      </c>
      <c r="N2604" s="10" t="s">
        <v>13768</v>
      </c>
      <c r="O2604" s="12" t="s">
        <v>13769</v>
      </c>
      <c r="P2604" s="10" t="s">
        <v>13770</v>
      </c>
      <c r="Q2604" s="10" t="s">
        <v>13771</v>
      </c>
      <c r="R2604" s="10" t="s">
        <v>31</v>
      </c>
      <c r="S2604" s="12" t="s">
        <v>13772</v>
      </c>
      <c r="T2604" s="10" t="s">
        <v>13773</v>
      </c>
      <c r="U2604" s="12" t="s">
        <v>31</v>
      </c>
      <c r="V2604" s="10" t="s">
        <v>13218</v>
      </c>
      <c r="W2604" s="10" t="s">
        <v>13207</v>
      </c>
      <c r="X2604" s="13" t="str">
        <f>HYPERLINK("https://my.pitchbook.com?p=456681-52P","View People Online")</f>
        <v>View People Online</v>
      </c>
    </row>
    <row r="2605">
      <c r="A2605" s="14" t="s">
        <v>17304</v>
      </c>
      <c r="B2605" s="14" t="s">
        <v>17305</v>
      </c>
      <c r="C2605" s="14" t="s">
        <v>17306</v>
      </c>
      <c r="D2605" s="14" t="s">
        <v>17307</v>
      </c>
      <c r="E2605" s="14" t="s">
        <v>13207</v>
      </c>
      <c r="F2605" s="14" t="s">
        <v>13218</v>
      </c>
      <c r="G2605" s="14" t="s">
        <v>17308</v>
      </c>
      <c r="H2605" s="15" t="s">
        <v>31</v>
      </c>
      <c r="I2605" s="15">
        <v>1.0</v>
      </c>
      <c r="J2605" s="15">
        <v>1.0</v>
      </c>
      <c r="K2605" s="15" t="s">
        <v>31</v>
      </c>
      <c r="L2605" s="16" t="s">
        <v>13496</v>
      </c>
      <c r="M2605" s="14" t="s">
        <v>17309</v>
      </c>
      <c r="N2605" s="14" t="s">
        <v>75</v>
      </c>
      <c r="O2605" s="16" t="s">
        <v>76</v>
      </c>
      <c r="P2605" s="14" t="s">
        <v>13498</v>
      </c>
      <c r="Q2605" s="14" t="s">
        <v>31</v>
      </c>
      <c r="R2605" s="14" t="s">
        <v>75</v>
      </c>
      <c r="S2605" s="16" t="s">
        <v>195</v>
      </c>
      <c r="T2605" s="14" t="s">
        <v>66</v>
      </c>
      <c r="U2605" s="16" t="s">
        <v>13499</v>
      </c>
      <c r="V2605" s="14" t="s">
        <v>13218</v>
      </c>
      <c r="W2605" s="14" t="s">
        <v>13207</v>
      </c>
      <c r="X2605" s="17" t="str">
        <f>HYPERLINK("https://my.pitchbook.com?p=435011-77P","View People Online")</f>
        <v>View People Online</v>
      </c>
    </row>
    <row r="2606">
      <c r="A2606" s="10" t="s">
        <v>17310</v>
      </c>
      <c r="B2606" s="10" t="s">
        <v>17311</v>
      </c>
      <c r="C2606" s="10" t="s">
        <v>17312</v>
      </c>
      <c r="D2606" s="10" t="s">
        <v>14589</v>
      </c>
      <c r="E2606" s="10" t="s">
        <v>13207</v>
      </c>
      <c r="F2606" s="10" t="s">
        <v>3523</v>
      </c>
      <c r="G2606" s="10" t="s">
        <v>17313</v>
      </c>
      <c r="H2606" s="11" t="s">
        <v>31</v>
      </c>
      <c r="I2606" s="11">
        <v>1.0</v>
      </c>
      <c r="J2606" s="11">
        <v>1.0</v>
      </c>
      <c r="K2606" s="11" t="s">
        <v>31</v>
      </c>
      <c r="L2606" s="12" t="s">
        <v>13423</v>
      </c>
      <c r="M2606" s="10" t="s">
        <v>17314</v>
      </c>
      <c r="N2606" s="10" t="s">
        <v>243</v>
      </c>
      <c r="O2606" s="12" t="s">
        <v>244</v>
      </c>
      <c r="P2606" s="10" t="s">
        <v>13425</v>
      </c>
      <c r="Q2606" s="10" t="s">
        <v>31</v>
      </c>
      <c r="R2606" s="10" t="s">
        <v>247</v>
      </c>
      <c r="S2606" s="12" t="s">
        <v>13426</v>
      </c>
      <c r="T2606" s="10" t="s">
        <v>249</v>
      </c>
      <c r="U2606" s="12" t="s">
        <v>31</v>
      </c>
      <c r="V2606" s="10" t="s">
        <v>3523</v>
      </c>
      <c r="W2606" s="10" t="s">
        <v>13207</v>
      </c>
      <c r="X2606" s="13" t="str">
        <f>HYPERLINK("https://my.pitchbook.com?p=455732-83P","View People Online")</f>
        <v>View People Online</v>
      </c>
    </row>
    <row r="2607">
      <c r="A2607" s="6" t="s">
        <v>17315</v>
      </c>
      <c r="B2607" s="6" t="s">
        <v>17316</v>
      </c>
      <c r="C2607" s="6" t="s">
        <v>17317</v>
      </c>
      <c r="D2607" s="6" t="s">
        <v>17318</v>
      </c>
      <c r="E2607" s="6" t="s">
        <v>13207</v>
      </c>
      <c r="F2607" s="6" t="s">
        <v>13218</v>
      </c>
      <c r="G2607" s="6" t="s">
        <v>17319</v>
      </c>
      <c r="H2607" s="7" t="s">
        <v>31</v>
      </c>
      <c r="I2607" s="7">
        <v>1.0</v>
      </c>
      <c r="J2607" s="7">
        <v>1.0</v>
      </c>
      <c r="K2607" s="7" t="s">
        <v>31</v>
      </c>
      <c r="L2607" s="8" t="s">
        <v>13496</v>
      </c>
      <c r="M2607" s="6" t="s">
        <v>17320</v>
      </c>
      <c r="N2607" s="6" t="s">
        <v>75</v>
      </c>
      <c r="O2607" s="8" t="s">
        <v>76</v>
      </c>
      <c r="P2607" s="6" t="s">
        <v>13498</v>
      </c>
      <c r="Q2607" s="6" t="s">
        <v>31</v>
      </c>
      <c r="R2607" s="6" t="s">
        <v>75</v>
      </c>
      <c r="S2607" s="8" t="s">
        <v>195</v>
      </c>
      <c r="T2607" s="6" t="s">
        <v>66</v>
      </c>
      <c r="U2607" s="8" t="s">
        <v>13499</v>
      </c>
      <c r="V2607" s="6" t="s">
        <v>13218</v>
      </c>
      <c r="W2607" s="6" t="s">
        <v>13207</v>
      </c>
      <c r="X2607" s="9" t="str">
        <f>HYPERLINK("https://my.pitchbook.com?p=455910-04P","View People Online")</f>
        <v>View People Online</v>
      </c>
    </row>
    <row r="2608">
      <c r="A2608" s="10" t="s">
        <v>17321</v>
      </c>
      <c r="B2608" s="10" t="s">
        <v>17322</v>
      </c>
      <c r="C2608" s="10" t="s">
        <v>8948</v>
      </c>
      <c r="D2608" s="10" t="s">
        <v>17323</v>
      </c>
      <c r="E2608" s="10" t="s">
        <v>13207</v>
      </c>
      <c r="F2608" s="10" t="s">
        <v>29</v>
      </c>
      <c r="G2608" s="10" t="s">
        <v>17324</v>
      </c>
      <c r="H2608" s="11" t="s">
        <v>31</v>
      </c>
      <c r="I2608" s="11">
        <v>1.0</v>
      </c>
      <c r="J2608" s="11">
        <v>1.0</v>
      </c>
      <c r="K2608" s="11" t="s">
        <v>31</v>
      </c>
      <c r="L2608" s="12" t="s">
        <v>13345</v>
      </c>
      <c r="M2608" s="10" t="s">
        <v>17325</v>
      </c>
      <c r="N2608" s="10" t="s">
        <v>2764</v>
      </c>
      <c r="O2608" s="12" t="s">
        <v>2765</v>
      </c>
      <c r="P2608" s="10" t="s">
        <v>13347</v>
      </c>
      <c r="Q2608" s="10" t="s">
        <v>31</v>
      </c>
      <c r="R2608" s="10" t="s">
        <v>31</v>
      </c>
      <c r="S2608" s="12" t="s">
        <v>13348</v>
      </c>
      <c r="T2608" s="10" t="s">
        <v>2768</v>
      </c>
      <c r="U2608" s="12" t="s">
        <v>13349</v>
      </c>
      <c r="V2608" s="10" t="s">
        <v>29</v>
      </c>
      <c r="W2608" s="10" t="s">
        <v>13207</v>
      </c>
      <c r="X2608" s="13" t="str">
        <f>HYPERLINK("https://my.pitchbook.com?p=455647-60P","View People Online")</f>
        <v>View People Online</v>
      </c>
    </row>
    <row r="2609">
      <c r="A2609" s="6" t="s">
        <v>17326</v>
      </c>
      <c r="B2609" s="6" t="s">
        <v>17327</v>
      </c>
      <c r="C2609" s="6" t="s">
        <v>17328</v>
      </c>
      <c r="D2609" s="6" t="s">
        <v>2155</v>
      </c>
      <c r="E2609" s="6" t="s">
        <v>13207</v>
      </c>
      <c r="F2609" s="6" t="s">
        <v>13218</v>
      </c>
      <c r="G2609" s="6" t="s">
        <v>17329</v>
      </c>
      <c r="H2609" s="7" t="s">
        <v>31</v>
      </c>
      <c r="I2609" s="7">
        <v>1.0</v>
      </c>
      <c r="J2609" s="7">
        <v>1.0</v>
      </c>
      <c r="K2609" s="7" t="s">
        <v>31</v>
      </c>
      <c r="L2609" s="8" t="s">
        <v>15095</v>
      </c>
      <c r="M2609" s="6" t="s">
        <v>17330</v>
      </c>
      <c r="N2609" s="6" t="s">
        <v>6960</v>
      </c>
      <c r="O2609" s="8" t="s">
        <v>6961</v>
      </c>
      <c r="P2609" s="6" t="s">
        <v>15097</v>
      </c>
      <c r="Q2609" s="6" t="s">
        <v>15098</v>
      </c>
      <c r="R2609" s="6" t="s">
        <v>15099</v>
      </c>
      <c r="S2609" s="8" t="s">
        <v>15100</v>
      </c>
      <c r="T2609" s="6" t="s">
        <v>6962</v>
      </c>
      <c r="U2609" s="8" t="s">
        <v>15101</v>
      </c>
      <c r="V2609" s="6" t="s">
        <v>13218</v>
      </c>
      <c r="W2609" s="6" t="s">
        <v>13207</v>
      </c>
      <c r="X2609" s="9" t="str">
        <f>HYPERLINK("https://my.pitchbook.com?p=436132-00P","View People Online")</f>
        <v>View People Online</v>
      </c>
    </row>
    <row r="2610">
      <c r="A2610" s="2" t="s">
        <v>17331</v>
      </c>
      <c r="B2610" s="2" t="s">
        <v>17332</v>
      </c>
      <c r="C2610" s="2" t="s">
        <v>17333</v>
      </c>
      <c r="D2610" s="2" t="s">
        <v>17334</v>
      </c>
      <c r="E2610" s="2" t="s">
        <v>13207</v>
      </c>
      <c r="F2610" s="2" t="s">
        <v>2731</v>
      </c>
      <c r="G2610" s="2" t="s">
        <v>17335</v>
      </c>
      <c r="H2610" s="3" t="s">
        <v>31</v>
      </c>
      <c r="I2610" s="3">
        <v>1.0</v>
      </c>
      <c r="J2610" s="3">
        <v>1.0</v>
      </c>
      <c r="K2610" s="3" t="s">
        <v>31</v>
      </c>
      <c r="L2610" s="4" t="s">
        <v>13743</v>
      </c>
      <c r="M2610" s="2" t="s">
        <v>17336</v>
      </c>
      <c r="N2610" s="2" t="s">
        <v>1034</v>
      </c>
      <c r="O2610" s="4" t="s">
        <v>1035</v>
      </c>
      <c r="P2610" s="2" t="s">
        <v>13745</v>
      </c>
      <c r="Q2610" s="2" t="s">
        <v>13746</v>
      </c>
      <c r="R2610" s="2" t="s">
        <v>31</v>
      </c>
      <c r="S2610" s="4" t="s">
        <v>13747</v>
      </c>
      <c r="T2610" s="2" t="s">
        <v>1034</v>
      </c>
      <c r="U2610" s="4" t="s">
        <v>13748</v>
      </c>
      <c r="V2610" s="2" t="s">
        <v>2731</v>
      </c>
      <c r="W2610" s="2" t="s">
        <v>13207</v>
      </c>
      <c r="X2610" s="5" t="str">
        <f>HYPERLINK("https://my.pitchbook.com?p=434831-68P","View People Online")</f>
        <v>View People Online</v>
      </c>
    </row>
    <row r="2611">
      <c r="A2611" s="14" t="s">
        <v>17337</v>
      </c>
      <c r="B2611" s="14" t="s">
        <v>17338</v>
      </c>
      <c r="C2611" s="14" t="s">
        <v>2950</v>
      </c>
      <c r="D2611" s="14" t="s">
        <v>17339</v>
      </c>
      <c r="E2611" s="14" t="s">
        <v>13207</v>
      </c>
      <c r="F2611" s="14" t="s">
        <v>13307</v>
      </c>
      <c r="G2611" s="14" t="s">
        <v>17340</v>
      </c>
      <c r="H2611" s="15" t="s">
        <v>31</v>
      </c>
      <c r="I2611" s="15">
        <v>1.0</v>
      </c>
      <c r="J2611" s="15">
        <v>1.0</v>
      </c>
      <c r="K2611" s="15" t="s">
        <v>31</v>
      </c>
      <c r="L2611" s="16" t="s">
        <v>13657</v>
      </c>
      <c r="M2611" s="14" t="s">
        <v>17341</v>
      </c>
      <c r="N2611" s="14" t="s">
        <v>13659</v>
      </c>
      <c r="O2611" s="16" t="s">
        <v>13660</v>
      </c>
      <c r="P2611" s="14" t="s">
        <v>13661</v>
      </c>
      <c r="Q2611" s="14" t="s">
        <v>31</v>
      </c>
      <c r="R2611" s="14" t="s">
        <v>31</v>
      </c>
      <c r="S2611" s="16" t="s">
        <v>13662</v>
      </c>
      <c r="T2611" s="14" t="s">
        <v>38</v>
      </c>
      <c r="U2611" s="16" t="s">
        <v>13663</v>
      </c>
      <c r="V2611" s="14" t="s">
        <v>17342</v>
      </c>
      <c r="W2611" s="14" t="s">
        <v>13207</v>
      </c>
      <c r="X2611" s="17" t="str">
        <f>HYPERLINK("https://my.pitchbook.com?p=435544-75P","View People Online")</f>
        <v>View People Online</v>
      </c>
    </row>
    <row r="2612">
      <c r="A2612" s="2" t="s">
        <v>17343</v>
      </c>
      <c r="B2612" s="2" t="s">
        <v>17344</v>
      </c>
      <c r="C2612" s="2" t="s">
        <v>17345</v>
      </c>
      <c r="D2612" s="2" t="s">
        <v>17346</v>
      </c>
      <c r="E2612" s="2" t="s">
        <v>13207</v>
      </c>
      <c r="F2612" s="2" t="s">
        <v>29</v>
      </c>
      <c r="G2612" s="2" t="s">
        <v>17347</v>
      </c>
      <c r="H2612" s="3" t="s">
        <v>31</v>
      </c>
      <c r="I2612" s="3">
        <v>1.0</v>
      </c>
      <c r="J2612" s="3">
        <v>1.0</v>
      </c>
      <c r="K2612" s="3" t="s">
        <v>31</v>
      </c>
      <c r="L2612" s="4" t="s">
        <v>13263</v>
      </c>
      <c r="M2612" s="2" t="s">
        <v>17348</v>
      </c>
      <c r="N2612" s="2" t="s">
        <v>1005</v>
      </c>
      <c r="O2612" s="4" t="s">
        <v>1006</v>
      </c>
      <c r="P2612" s="2" t="s">
        <v>13265</v>
      </c>
      <c r="Q2612" s="2" t="s">
        <v>13266</v>
      </c>
      <c r="R2612" s="2" t="s">
        <v>13267</v>
      </c>
      <c r="S2612" s="4" t="s">
        <v>13268</v>
      </c>
      <c r="T2612" s="2" t="s">
        <v>1010</v>
      </c>
      <c r="U2612" s="4" t="s">
        <v>13269</v>
      </c>
      <c r="V2612" s="2" t="s">
        <v>29</v>
      </c>
      <c r="W2612" s="2" t="s">
        <v>13207</v>
      </c>
      <c r="X2612" s="5" t="str">
        <f>HYPERLINK("https://my.pitchbook.com?p=455513-41P","View People Online")</f>
        <v>View People Online</v>
      </c>
    </row>
    <row r="2613">
      <c r="A2613" s="14" t="s">
        <v>17349</v>
      </c>
      <c r="B2613" s="14" t="s">
        <v>17350</v>
      </c>
      <c r="C2613" s="14" t="s">
        <v>11444</v>
      </c>
      <c r="D2613" s="14" t="s">
        <v>17351</v>
      </c>
      <c r="E2613" s="14" t="s">
        <v>13207</v>
      </c>
      <c r="F2613" s="14" t="s">
        <v>13218</v>
      </c>
      <c r="G2613" s="14" t="s">
        <v>17352</v>
      </c>
      <c r="H2613" s="15" t="s">
        <v>31</v>
      </c>
      <c r="I2613" s="15">
        <v>1.0</v>
      </c>
      <c r="J2613" s="15">
        <v>1.0</v>
      </c>
      <c r="K2613" s="15" t="s">
        <v>31</v>
      </c>
      <c r="L2613" s="16" t="s">
        <v>15473</v>
      </c>
      <c r="M2613" s="14" t="s">
        <v>17353</v>
      </c>
      <c r="N2613" s="14" t="s">
        <v>15475</v>
      </c>
      <c r="O2613" s="16" t="s">
        <v>15476</v>
      </c>
      <c r="P2613" s="14" t="s">
        <v>15477</v>
      </c>
      <c r="Q2613" s="14" t="s">
        <v>31</v>
      </c>
      <c r="R2613" s="14" t="s">
        <v>31</v>
      </c>
      <c r="S2613" s="16" t="s">
        <v>15478</v>
      </c>
      <c r="T2613" s="14" t="s">
        <v>3104</v>
      </c>
      <c r="U2613" s="16" t="s">
        <v>15479</v>
      </c>
      <c r="V2613" s="14" t="s">
        <v>13218</v>
      </c>
      <c r="W2613" s="14" t="s">
        <v>13207</v>
      </c>
      <c r="X2613" s="17" t="str">
        <f>HYPERLINK("https://my.pitchbook.com?p=456634-54P","View People Online")</f>
        <v>View People Online</v>
      </c>
    </row>
    <row r="2614">
      <c r="A2614" s="10" t="s">
        <v>17354</v>
      </c>
      <c r="B2614" s="10" t="s">
        <v>17355</v>
      </c>
      <c r="C2614" s="10" t="s">
        <v>11444</v>
      </c>
      <c r="D2614" s="10" t="s">
        <v>17356</v>
      </c>
      <c r="E2614" s="10" t="s">
        <v>13207</v>
      </c>
      <c r="F2614" s="10" t="s">
        <v>3523</v>
      </c>
      <c r="G2614" s="10" t="s">
        <v>17357</v>
      </c>
      <c r="H2614" s="11" t="s">
        <v>31</v>
      </c>
      <c r="I2614" s="11">
        <v>1.0</v>
      </c>
      <c r="J2614" s="11">
        <v>1.0</v>
      </c>
      <c r="K2614" s="11" t="s">
        <v>31</v>
      </c>
      <c r="L2614" s="12" t="s">
        <v>13432</v>
      </c>
      <c r="M2614" s="10" t="s">
        <v>17358</v>
      </c>
      <c r="N2614" s="10" t="s">
        <v>2599</v>
      </c>
      <c r="O2614" s="12" t="s">
        <v>2600</v>
      </c>
      <c r="P2614" s="10" t="s">
        <v>13434</v>
      </c>
      <c r="Q2614" s="10" t="s">
        <v>4235</v>
      </c>
      <c r="R2614" s="10" t="s">
        <v>396</v>
      </c>
      <c r="S2614" s="12" t="s">
        <v>13435</v>
      </c>
      <c r="T2614" s="10" t="s">
        <v>66</v>
      </c>
      <c r="U2614" s="12" t="s">
        <v>13436</v>
      </c>
      <c r="V2614" s="10" t="s">
        <v>3523</v>
      </c>
      <c r="W2614" s="10" t="s">
        <v>13207</v>
      </c>
      <c r="X2614" s="13" t="str">
        <f>HYPERLINK("https://my.pitchbook.com?p=435277-27P","View People Online")</f>
        <v>View People Online</v>
      </c>
    </row>
    <row r="2615">
      <c r="A2615" s="6" t="s">
        <v>17359</v>
      </c>
      <c r="B2615" s="6" t="s">
        <v>17360</v>
      </c>
      <c r="C2615" s="6" t="s">
        <v>11444</v>
      </c>
      <c r="D2615" s="6" t="s">
        <v>11862</v>
      </c>
      <c r="E2615" s="6" t="s">
        <v>13207</v>
      </c>
      <c r="F2615" s="6" t="s">
        <v>8581</v>
      </c>
      <c r="G2615" s="6" t="s">
        <v>17361</v>
      </c>
      <c r="H2615" s="7" t="s">
        <v>31</v>
      </c>
      <c r="I2615" s="7">
        <v>1.0</v>
      </c>
      <c r="J2615" s="7">
        <v>1.0</v>
      </c>
      <c r="K2615" s="7" t="s">
        <v>31</v>
      </c>
      <c r="L2615" s="8" t="s">
        <v>13531</v>
      </c>
      <c r="M2615" s="6" t="s">
        <v>17362</v>
      </c>
      <c r="N2615" s="6" t="s">
        <v>2273</v>
      </c>
      <c r="O2615" s="8" t="s">
        <v>2274</v>
      </c>
      <c r="P2615" s="6" t="s">
        <v>13533</v>
      </c>
      <c r="Q2615" s="6" t="s">
        <v>31</v>
      </c>
      <c r="R2615" s="6" t="s">
        <v>31</v>
      </c>
      <c r="S2615" s="8" t="s">
        <v>13534</v>
      </c>
      <c r="T2615" s="6" t="s">
        <v>2278</v>
      </c>
      <c r="U2615" s="8" t="s">
        <v>13535</v>
      </c>
      <c r="V2615" s="6" t="s">
        <v>2731</v>
      </c>
      <c r="W2615" s="6" t="s">
        <v>13207</v>
      </c>
      <c r="X2615" s="9" t="str">
        <f>HYPERLINK("https://my.pitchbook.com?p=179703-46P","View People Online")</f>
        <v>View People Online</v>
      </c>
    </row>
    <row r="2616">
      <c r="A2616" s="2" t="s">
        <v>17363</v>
      </c>
      <c r="B2616" s="2" t="s">
        <v>17364</v>
      </c>
      <c r="C2616" s="2" t="s">
        <v>11451</v>
      </c>
      <c r="D2616" s="2" t="s">
        <v>17365</v>
      </c>
      <c r="E2616" s="2" t="s">
        <v>13207</v>
      </c>
      <c r="F2616" s="2" t="s">
        <v>3523</v>
      </c>
      <c r="G2616" s="2" t="s">
        <v>17366</v>
      </c>
      <c r="H2616" s="3" t="s">
        <v>31</v>
      </c>
      <c r="I2616" s="3">
        <v>1.0</v>
      </c>
      <c r="J2616" s="3">
        <v>1.0</v>
      </c>
      <c r="K2616" s="3" t="s">
        <v>31</v>
      </c>
      <c r="L2616" s="4" t="s">
        <v>13459</v>
      </c>
      <c r="M2616" s="2" t="s">
        <v>17367</v>
      </c>
      <c r="N2616" s="2" t="s">
        <v>3100</v>
      </c>
      <c r="O2616" s="4" t="s">
        <v>3101</v>
      </c>
      <c r="P2616" s="2" t="s">
        <v>13461</v>
      </c>
      <c r="Q2616" s="2" t="s">
        <v>31</v>
      </c>
      <c r="R2616" s="2" t="s">
        <v>31</v>
      </c>
      <c r="S2616" s="4" t="s">
        <v>3103</v>
      </c>
      <c r="T2616" s="2" t="s">
        <v>3104</v>
      </c>
      <c r="U2616" s="4" t="s">
        <v>13462</v>
      </c>
      <c r="V2616" s="2" t="s">
        <v>3523</v>
      </c>
      <c r="W2616" s="2" t="s">
        <v>13207</v>
      </c>
      <c r="X2616" s="5" t="str">
        <f>HYPERLINK("https://my.pitchbook.com?p=435214-81P","View People Online")</f>
        <v>View People Online</v>
      </c>
    </row>
    <row r="2617">
      <c r="A2617" s="6" t="s">
        <v>17368</v>
      </c>
      <c r="B2617" s="6" t="s">
        <v>17369</v>
      </c>
      <c r="C2617" s="6" t="s">
        <v>3650</v>
      </c>
      <c r="D2617" s="6" t="s">
        <v>17370</v>
      </c>
      <c r="E2617" s="6" t="s">
        <v>13207</v>
      </c>
      <c r="F2617" s="6" t="s">
        <v>2731</v>
      </c>
      <c r="G2617" s="6" t="s">
        <v>17371</v>
      </c>
      <c r="H2617" s="7" t="s">
        <v>31</v>
      </c>
      <c r="I2617" s="7">
        <v>2.0</v>
      </c>
      <c r="J2617" s="7">
        <v>1.0</v>
      </c>
      <c r="K2617" s="7" t="s">
        <v>31</v>
      </c>
      <c r="L2617" s="8" t="s">
        <v>17372</v>
      </c>
      <c r="M2617" s="6" t="s">
        <v>17373</v>
      </c>
      <c r="N2617" s="6" t="s">
        <v>14203</v>
      </c>
      <c r="O2617" s="8" t="s">
        <v>14204</v>
      </c>
      <c r="P2617" s="6" t="s">
        <v>14205</v>
      </c>
      <c r="Q2617" s="6" t="s">
        <v>14206</v>
      </c>
      <c r="R2617" s="6" t="s">
        <v>1420</v>
      </c>
      <c r="S2617" s="8" t="s">
        <v>14207</v>
      </c>
      <c r="T2617" s="6" t="s">
        <v>66</v>
      </c>
      <c r="U2617" s="8" t="s">
        <v>14208</v>
      </c>
      <c r="V2617" s="6" t="s">
        <v>2731</v>
      </c>
      <c r="W2617" s="6" t="s">
        <v>13207</v>
      </c>
      <c r="X2617" s="9" t="str">
        <f>HYPERLINK("https://my.pitchbook.com?p=165693-79P","View People Online")</f>
        <v>View People Online</v>
      </c>
    </row>
    <row r="2618">
      <c r="A2618" s="10" t="s">
        <v>17374</v>
      </c>
      <c r="B2618" s="10" t="s">
        <v>17375</v>
      </c>
      <c r="C2618" s="10" t="s">
        <v>17376</v>
      </c>
      <c r="D2618" s="10" t="s">
        <v>17377</v>
      </c>
      <c r="E2618" s="10" t="s">
        <v>13207</v>
      </c>
      <c r="F2618" s="10" t="s">
        <v>13218</v>
      </c>
      <c r="G2618" s="10" t="s">
        <v>17378</v>
      </c>
      <c r="H2618" s="11" t="s">
        <v>31</v>
      </c>
      <c r="I2618" s="11">
        <v>1.0</v>
      </c>
      <c r="J2618" s="11">
        <v>1.0</v>
      </c>
      <c r="K2618" s="11" t="s">
        <v>31</v>
      </c>
      <c r="L2618" s="12" t="s">
        <v>13549</v>
      </c>
      <c r="M2618" s="10" t="s">
        <v>17379</v>
      </c>
      <c r="N2618" s="10" t="s">
        <v>794</v>
      </c>
      <c r="O2618" s="12" t="s">
        <v>795</v>
      </c>
      <c r="P2618" s="10" t="s">
        <v>13551</v>
      </c>
      <c r="Q2618" s="10" t="s">
        <v>13552</v>
      </c>
      <c r="R2618" s="10" t="s">
        <v>31</v>
      </c>
      <c r="S2618" s="12" t="s">
        <v>13553</v>
      </c>
      <c r="T2618" s="10" t="s">
        <v>796</v>
      </c>
      <c r="U2618" s="12" t="s">
        <v>13554</v>
      </c>
      <c r="V2618" s="10" t="s">
        <v>13218</v>
      </c>
      <c r="W2618" s="10" t="s">
        <v>13207</v>
      </c>
      <c r="X2618" s="13" t="str">
        <f>HYPERLINK("https://my.pitchbook.com?p=456679-99P","View People Online")</f>
        <v>View People Online</v>
      </c>
    </row>
    <row r="2619">
      <c r="A2619" s="14" t="s">
        <v>17380</v>
      </c>
      <c r="B2619" s="14" t="s">
        <v>17381</v>
      </c>
      <c r="C2619" s="14" t="s">
        <v>17376</v>
      </c>
      <c r="D2619" s="14" t="s">
        <v>17382</v>
      </c>
      <c r="E2619" s="14" t="s">
        <v>13207</v>
      </c>
      <c r="F2619" s="14" t="s">
        <v>29</v>
      </c>
      <c r="G2619" s="14" t="s">
        <v>17383</v>
      </c>
      <c r="H2619" s="15" t="s">
        <v>31</v>
      </c>
      <c r="I2619" s="15">
        <v>1.0</v>
      </c>
      <c r="J2619" s="15">
        <v>1.0</v>
      </c>
      <c r="K2619" s="15" t="s">
        <v>31</v>
      </c>
      <c r="L2619" s="16" t="s">
        <v>13549</v>
      </c>
      <c r="M2619" s="14" t="s">
        <v>17384</v>
      </c>
      <c r="N2619" s="14" t="s">
        <v>794</v>
      </c>
      <c r="O2619" s="16" t="s">
        <v>795</v>
      </c>
      <c r="P2619" s="14" t="s">
        <v>13551</v>
      </c>
      <c r="Q2619" s="14" t="s">
        <v>13552</v>
      </c>
      <c r="R2619" s="14" t="s">
        <v>31</v>
      </c>
      <c r="S2619" s="16" t="s">
        <v>13553</v>
      </c>
      <c r="T2619" s="14" t="s">
        <v>796</v>
      </c>
      <c r="U2619" s="16" t="s">
        <v>13554</v>
      </c>
      <c r="V2619" s="14" t="s">
        <v>29</v>
      </c>
      <c r="W2619" s="14" t="s">
        <v>13207</v>
      </c>
      <c r="X2619" s="17" t="str">
        <f>HYPERLINK("https://my.pitchbook.com?p=435216-43P","View People Online")</f>
        <v>View People Online</v>
      </c>
    </row>
    <row r="2620">
      <c r="A2620" s="2" t="s">
        <v>17385</v>
      </c>
      <c r="B2620" s="2" t="s">
        <v>17386</v>
      </c>
      <c r="C2620" s="2" t="s">
        <v>4358</v>
      </c>
      <c r="D2620" s="2" t="s">
        <v>17387</v>
      </c>
      <c r="E2620" s="2" t="s">
        <v>13207</v>
      </c>
      <c r="F2620" s="2" t="s">
        <v>13307</v>
      </c>
      <c r="G2620" s="2" t="s">
        <v>17388</v>
      </c>
      <c r="H2620" s="3" t="s">
        <v>31</v>
      </c>
      <c r="I2620" s="3">
        <v>1.0</v>
      </c>
      <c r="J2620" s="3">
        <v>1.0</v>
      </c>
      <c r="K2620" s="3" t="s">
        <v>31</v>
      </c>
      <c r="L2620" s="4" t="s">
        <v>13423</v>
      </c>
      <c r="M2620" s="2" t="s">
        <v>17389</v>
      </c>
      <c r="N2620" s="2" t="s">
        <v>243</v>
      </c>
      <c r="O2620" s="4" t="s">
        <v>244</v>
      </c>
      <c r="P2620" s="2" t="s">
        <v>13425</v>
      </c>
      <c r="Q2620" s="2" t="s">
        <v>31</v>
      </c>
      <c r="R2620" s="2" t="s">
        <v>247</v>
      </c>
      <c r="S2620" s="4" t="s">
        <v>13426</v>
      </c>
      <c r="T2620" s="2" t="s">
        <v>249</v>
      </c>
      <c r="U2620" s="4" t="s">
        <v>31</v>
      </c>
      <c r="V2620" s="2" t="s">
        <v>13317</v>
      </c>
      <c r="W2620" s="2" t="s">
        <v>13207</v>
      </c>
      <c r="X2620" s="5" t="str">
        <f>HYPERLINK("https://my.pitchbook.com?p=455361-58P","View People Online")</f>
        <v>View People Online</v>
      </c>
    </row>
    <row r="2621">
      <c r="A2621" s="14" t="s">
        <v>17390</v>
      </c>
      <c r="B2621" s="14" t="s">
        <v>17391</v>
      </c>
      <c r="C2621" s="14" t="s">
        <v>17392</v>
      </c>
      <c r="D2621" s="14" t="s">
        <v>9571</v>
      </c>
      <c r="E2621" s="14" t="s">
        <v>13207</v>
      </c>
      <c r="F2621" s="14" t="s">
        <v>13218</v>
      </c>
      <c r="G2621" s="14" t="s">
        <v>17393</v>
      </c>
      <c r="H2621" s="15" t="s">
        <v>31</v>
      </c>
      <c r="I2621" s="15">
        <v>1.0</v>
      </c>
      <c r="J2621" s="15">
        <v>1.0</v>
      </c>
      <c r="K2621" s="15" t="s">
        <v>31</v>
      </c>
      <c r="L2621" s="16" t="s">
        <v>13281</v>
      </c>
      <c r="M2621" s="14" t="s">
        <v>17394</v>
      </c>
      <c r="N2621" s="14" t="s">
        <v>1277</v>
      </c>
      <c r="O2621" s="16" t="s">
        <v>1278</v>
      </c>
      <c r="P2621" s="14" t="s">
        <v>13283</v>
      </c>
      <c r="Q2621" s="14" t="s">
        <v>13284</v>
      </c>
      <c r="R2621" s="14" t="s">
        <v>1281</v>
      </c>
      <c r="S2621" s="16" t="s">
        <v>1282</v>
      </c>
      <c r="T2621" s="14" t="s">
        <v>66</v>
      </c>
      <c r="U2621" s="16" t="s">
        <v>13285</v>
      </c>
      <c r="V2621" s="14" t="s">
        <v>13218</v>
      </c>
      <c r="W2621" s="14" t="s">
        <v>13207</v>
      </c>
      <c r="X2621" s="17" t="str">
        <f>HYPERLINK("https://my.pitchbook.com?p=28525-78P","View People Online")</f>
        <v>View People Online</v>
      </c>
    </row>
    <row r="2622">
      <c r="A2622" s="10" t="s">
        <v>17395</v>
      </c>
      <c r="B2622" s="10" t="s">
        <v>17396</v>
      </c>
      <c r="C2622" s="10" t="s">
        <v>343</v>
      </c>
      <c r="D2622" s="10" t="s">
        <v>17397</v>
      </c>
      <c r="E2622" s="10" t="s">
        <v>13207</v>
      </c>
      <c r="F2622" s="10" t="s">
        <v>3523</v>
      </c>
      <c r="G2622" s="10" t="s">
        <v>17398</v>
      </c>
      <c r="H2622" s="11" t="s">
        <v>31</v>
      </c>
      <c r="I2622" s="11">
        <v>1.0</v>
      </c>
      <c r="J2622" s="11">
        <v>1.0</v>
      </c>
      <c r="K2622" s="11" t="s">
        <v>31</v>
      </c>
      <c r="L2622" s="12" t="s">
        <v>13423</v>
      </c>
      <c r="M2622" s="10" t="s">
        <v>17399</v>
      </c>
      <c r="N2622" s="10" t="s">
        <v>243</v>
      </c>
      <c r="O2622" s="12" t="s">
        <v>244</v>
      </c>
      <c r="P2622" s="10" t="s">
        <v>13425</v>
      </c>
      <c r="Q2622" s="10" t="s">
        <v>31</v>
      </c>
      <c r="R2622" s="10" t="s">
        <v>247</v>
      </c>
      <c r="S2622" s="12" t="s">
        <v>13426</v>
      </c>
      <c r="T2622" s="10" t="s">
        <v>249</v>
      </c>
      <c r="U2622" s="12" t="s">
        <v>31</v>
      </c>
      <c r="V2622" s="10" t="s">
        <v>3523</v>
      </c>
      <c r="W2622" s="10" t="s">
        <v>13207</v>
      </c>
      <c r="X2622" s="13" t="str">
        <f>HYPERLINK("https://my.pitchbook.com?p=435777-85P","View People Online")</f>
        <v>View People Online</v>
      </c>
    </row>
    <row r="2623">
      <c r="A2623" s="6" t="s">
        <v>17400</v>
      </c>
      <c r="B2623" s="6" t="s">
        <v>17401</v>
      </c>
      <c r="C2623" s="6" t="s">
        <v>17402</v>
      </c>
      <c r="D2623" s="6" t="s">
        <v>17403</v>
      </c>
      <c r="E2623" s="6" t="s">
        <v>13207</v>
      </c>
      <c r="F2623" s="6" t="s">
        <v>13218</v>
      </c>
      <c r="G2623" s="6" t="s">
        <v>17404</v>
      </c>
      <c r="H2623" s="7" t="s">
        <v>31</v>
      </c>
      <c r="I2623" s="7">
        <v>1.0</v>
      </c>
      <c r="J2623" s="7">
        <v>1.0</v>
      </c>
      <c r="K2623" s="7" t="s">
        <v>31</v>
      </c>
      <c r="L2623" s="8" t="s">
        <v>13540</v>
      </c>
      <c r="M2623" s="6" t="s">
        <v>17405</v>
      </c>
      <c r="N2623" s="6" t="s">
        <v>418</v>
      </c>
      <c r="O2623" s="8" t="s">
        <v>419</v>
      </c>
      <c r="P2623" s="6" t="s">
        <v>13542</v>
      </c>
      <c r="Q2623" s="6" t="s">
        <v>31</v>
      </c>
      <c r="R2623" s="6" t="s">
        <v>31</v>
      </c>
      <c r="S2623" s="8" t="s">
        <v>2664</v>
      </c>
      <c r="T2623" s="6" t="s">
        <v>422</v>
      </c>
      <c r="U2623" s="8" t="s">
        <v>13543</v>
      </c>
      <c r="V2623" s="6" t="s">
        <v>13218</v>
      </c>
      <c r="W2623" s="6" t="s">
        <v>13207</v>
      </c>
      <c r="X2623" s="9" t="str">
        <f>HYPERLINK("https://my.pitchbook.com?p=456416-83P","View People Online")</f>
        <v>View People Online</v>
      </c>
    </row>
    <row r="2624">
      <c r="A2624" s="10" t="s">
        <v>17406</v>
      </c>
      <c r="B2624" s="10" t="s">
        <v>17407</v>
      </c>
      <c r="C2624" s="10" t="s">
        <v>2122</v>
      </c>
      <c r="D2624" s="10" t="s">
        <v>17408</v>
      </c>
      <c r="E2624" s="10" t="s">
        <v>13207</v>
      </c>
      <c r="F2624" s="10" t="s">
        <v>3523</v>
      </c>
      <c r="G2624" s="10" t="s">
        <v>17409</v>
      </c>
      <c r="H2624" s="11" t="s">
        <v>31</v>
      </c>
      <c r="I2624" s="11">
        <v>1.0</v>
      </c>
      <c r="J2624" s="11">
        <v>1.0</v>
      </c>
      <c r="K2624" s="11" t="s">
        <v>31</v>
      </c>
      <c r="L2624" s="12" t="s">
        <v>13399</v>
      </c>
      <c r="M2624" s="10" t="s">
        <v>17410</v>
      </c>
      <c r="N2624" s="10" t="s">
        <v>13401</v>
      </c>
      <c r="O2624" s="12" t="s">
        <v>13402</v>
      </c>
      <c r="P2624" s="10" t="s">
        <v>13403</v>
      </c>
      <c r="Q2624" s="10" t="s">
        <v>13404</v>
      </c>
      <c r="R2624" s="10" t="s">
        <v>31</v>
      </c>
      <c r="S2624" s="12" t="s">
        <v>13405</v>
      </c>
      <c r="T2624" s="10" t="s">
        <v>13406</v>
      </c>
      <c r="U2624" s="12" t="s">
        <v>13407</v>
      </c>
      <c r="V2624" s="10" t="s">
        <v>3523</v>
      </c>
      <c r="W2624" s="10" t="s">
        <v>13207</v>
      </c>
      <c r="X2624" s="13" t="str">
        <f>HYPERLINK("https://my.pitchbook.com?p=436281-40P","View People Online")</f>
        <v>View People Online</v>
      </c>
    </row>
    <row r="2625">
      <c r="A2625" s="14" t="s">
        <v>17411</v>
      </c>
      <c r="B2625" s="14" t="s">
        <v>17412</v>
      </c>
      <c r="C2625" s="14" t="s">
        <v>2122</v>
      </c>
      <c r="D2625" s="14" t="s">
        <v>17413</v>
      </c>
      <c r="E2625" s="14" t="s">
        <v>13207</v>
      </c>
      <c r="F2625" s="14" t="s">
        <v>3523</v>
      </c>
      <c r="G2625" s="14" t="s">
        <v>17414</v>
      </c>
      <c r="H2625" s="15" t="s">
        <v>31</v>
      </c>
      <c r="I2625" s="15">
        <v>1.0</v>
      </c>
      <c r="J2625" s="15">
        <v>1.0</v>
      </c>
      <c r="K2625" s="15" t="s">
        <v>31</v>
      </c>
      <c r="L2625" s="16" t="s">
        <v>13549</v>
      </c>
      <c r="M2625" s="14" t="s">
        <v>17415</v>
      </c>
      <c r="N2625" s="14" t="s">
        <v>794</v>
      </c>
      <c r="O2625" s="16" t="s">
        <v>795</v>
      </c>
      <c r="P2625" s="14" t="s">
        <v>13551</v>
      </c>
      <c r="Q2625" s="14" t="s">
        <v>13552</v>
      </c>
      <c r="R2625" s="14" t="s">
        <v>31</v>
      </c>
      <c r="S2625" s="16" t="s">
        <v>13553</v>
      </c>
      <c r="T2625" s="14" t="s">
        <v>796</v>
      </c>
      <c r="U2625" s="16" t="s">
        <v>13554</v>
      </c>
      <c r="V2625" s="14" t="s">
        <v>3523</v>
      </c>
      <c r="W2625" s="14" t="s">
        <v>13207</v>
      </c>
      <c r="X2625" s="17" t="str">
        <f>HYPERLINK("https://my.pitchbook.com?p=456837-85P","View People Online")</f>
        <v>View People Online</v>
      </c>
    </row>
    <row r="2626">
      <c r="A2626" s="10" t="s">
        <v>17416</v>
      </c>
      <c r="B2626" s="10" t="s">
        <v>17417</v>
      </c>
      <c r="C2626" s="10" t="s">
        <v>2122</v>
      </c>
      <c r="D2626" s="10" t="s">
        <v>14244</v>
      </c>
      <c r="E2626" s="10" t="s">
        <v>13207</v>
      </c>
      <c r="F2626" s="10" t="s">
        <v>3523</v>
      </c>
      <c r="G2626" s="10" t="s">
        <v>17418</v>
      </c>
      <c r="H2626" s="11" t="s">
        <v>31</v>
      </c>
      <c r="I2626" s="11">
        <v>1.0</v>
      </c>
      <c r="J2626" s="11">
        <v>1.0</v>
      </c>
      <c r="K2626" s="11" t="s">
        <v>31</v>
      </c>
      <c r="L2626" s="12" t="s">
        <v>13281</v>
      </c>
      <c r="M2626" s="10" t="s">
        <v>17419</v>
      </c>
      <c r="N2626" s="10" t="s">
        <v>1277</v>
      </c>
      <c r="O2626" s="12" t="s">
        <v>1278</v>
      </c>
      <c r="P2626" s="10" t="s">
        <v>13283</v>
      </c>
      <c r="Q2626" s="10" t="s">
        <v>13284</v>
      </c>
      <c r="R2626" s="10" t="s">
        <v>1281</v>
      </c>
      <c r="S2626" s="12" t="s">
        <v>1282</v>
      </c>
      <c r="T2626" s="10" t="s">
        <v>66</v>
      </c>
      <c r="U2626" s="12" t="s">
        <v>13285</v>
      </c>
      <c r="V2626" s="10" t="s">
        <v>3523</v>
      </c>
      <c r="W2626" s="10" t="s">
        <v>13207</v>
      </c>
      <c r="X2626" s="13" t="str">
        <f>HYPERLINK("https://my.pitchbook.com?p=435401-56P","View People Online")</f>
        <v>View People Online</v>
      </c>
    </row>
    <row r="2627">
      <c r="A2627" s="6" t="s">
        <v>17420</v>
      </c>
      <c r="B2627" s="6" t="s">
        <v>17421</v>
      </c>
      <c r="C2627" s="6" t="s">
        <v>10221</v>
      </c>
      <c r="D2627" s="6" t="s">
        <v>17422</v>
      </c>
      <c r="E2627" s="6" t="s">
        <v>13207</v>
      </c>
      <c r="F2627" s="6" t="s">
        <v>13218</v>
      </c>
      <c r="G2627" s="6" t="s">
        <v>17423</v>
      </c>
      <c r="H2627" s="7" t="s">
        <v>31</v>
      </c>
      <c r="I2627" s="7">
        <v>1.0</v>
      </c>
      <c r="J2627" s="7">
        <v>1.0</v>
      </c>
      <c r="K2627" s="7" t="s">
        <v>31</v>
      </c>
      <c r="L2627" s="8" t="s">
        <v>14419</v>
      </c>
      <c r="M2627" s="6" t="s">
        <v>17424</v>
      </c>
      <c r="N2627" s="6" t="s">
        <v>637</v>
      </c>
      <c r="O2627" s="8" t="s">
        <v>638</v>
      </c>
      <c r="P2627" s="6" t="s">
        <v>14421</v>
      </c>
      <c r="Q2627" s="6" t="s">
        <v>14422</v>
      </c>
      <c r="R2627" s="6" t="s">
        <v>31</v>
      </c>
      <c r="S2627" s="8" t="s">
        <v>31</v>
      </c>
      <c r="T2627" s="6" t="s">
        <v>639</v>
      </c>
      <c r="U2627" s="8" t="s">
        <v>14423</v>
      </c>
      <c r="V2627" s="6" t="s">
        <v>13218</v>
      </c>
      <c r="W2627" s="6" t="s">
        <v>13207</v>
      </c>
      <c r="X2627" s="9" t="str">
        <f>HYPERLINK("https://my.pitchbook.com?p=435534-40P","View People Online")</f>
        <v>View People Online</v>
      </c>
    </row>
    <row r="2628">
      <c r="A2628" s="10" t="s">
        <v>17425</v>
      </c>
      <c r="B2628" s="10" t="s">
        <v>17426</v>
      </c>
      <c r="C2628" s="10" t="s">
        <v>10221</v>
      </c>
      <c r="D2628" s="10" t="s">
        <v>17427</v>
      </c>
      <c r="E2628" s="10" t="s">
        <v>13207</v>
      </c>
      <c r="F2628" s="10" t="s">
        <v>3523</v>
      </c>
      <c r="G2628" s="10" t="s">
        <v>17428</v>
      </c>
      <c r="H2628" s="11" t="s">
        <v>31</v>
      </c>
      <c r="I2628" s="11">
        <v>1.0</v>
      </c>
      <c r="J2628" s="11">
        <v>1.0</v>
      </c>
      <c r="K2628" s="11" t="s">
        <v>31</v>
      </c>
      <c r="L2628" s="12" t="s">
        <v>13299</v>
      </c>
      <c r="M2628" s="10" t="s">
        <v>17429</v>
      </c>
      <c r="N2628" s="10" t="s">
        <v>601</v>
      </c>
      <c r="O2628" s="12" t="s">
        <v>602</v>
      </c>
      <c r="P2628" s="10" t="s">
        <v>13301</v>
      </c>
      <c r="Q2628" s="10" t="s">
        <v>13302</v>
      </c>
      <c r="R2628" s="10" t="s">
        <v>31</v>
      </c>
      <c r="S2628" s="12" t="s">
        <v>31</v>
      </c>
      <c r="T2628" s="10" t="s">
        <v>603</v>
      </c>
      <c r="U2628" s="12" t="s">
        <v>13303</v>
      </c>
      <c r="V2628" s="10" t="s">
        <v>3523</v>
      </c>
      <c r="W2628" s="10" t="s">
        <v>13207</v>
      </c>
      <c r="X2628" s="13" t="str">
        <f>HYPERLINK("https://my.pitchbook.com?p=435541-33P","View People Online")</f>
        <v>View People Online</v>
      </c>
    </row>
    <row r="2629">
      <c r="A2629" s="14" t="s">
        <v>17430</v>
      </c>
      <c r="B2629" s="14" t="s">
        <v>17431</v>
      </c>
      <c r="C2629" s="14" t="s">
        <v>17432</v>
      </c>
      <c r="D2629" s="14" t="s">
        <v>17433</v>
      </c>
      <c r="E2629" s="14" t="s">
        <v>13207</v>
      </c>
      <c r="F2629" s="14" t="s">
        <v>1283</v>
      </c>
      <c r="G2629" s="14" t="s">
        <v>17434</v>
      </c>
      <c r="H2629" s="15" t="s">
        <v>31</v>
      </c>
      <c r="I2629" s="15">
        <v>1.0</v>
      </c>
      <c r="J2629" s="15">
        <v>1.0</v>
      </c>
      <c r="K2629" s="15" t="s">
        <v>31</v>
      </c>
      <c r="L2629" s="16" t="s">
        <v>13632</v>
      </c>
      <c r="M2629" s="14" t="s">
        <v>17435</v>
      </c>
      <c r="N2629" s="14" t="s">
        <v>7690</v>
      </c>
      <c r="O2629" s="16" t="s">
        <v>7691</v>
      </c>
      <c r="P2629" s="14" t="s">
        <v>13634</v>
      </c>
      <c r="Q2629" s="14" t="s">
        <v>13635</v>
      </c>
      <c r="R2629" s="14" t="s">
        <v>7693</v>
      </c>
      <c r="S2629" s="16" t="s">
        <v>13636</v>
      </c>
      <c r="T2629" s="14" t="s">
        <v>66</v>
      </c>
      <c r="U2629" s="16" t="s">
        <v>13637</v>
      </c>
      <c r="V2629" s="14" t="s">
        <v>1283</v>
      </c>
      <c r="W2629" s="14" t="s">
        <v>13207</v>
      </c>
      <c r="X2629" s="17" t="str">
        <f>HYPERLINK("https://my.pitchbook.com?p=434897-65P","View People Online")</f>
        <v>View People Online</v>
      </c>
    </row>
    <row r="2630">
      <c r="A2630" s="10" t="s">
        <v>17436</v>
      </c>
      <c r="B2630" s="10" t="s">
        <v>17437</v>
      </c>
      <c r="C2630" s="10" t="s">
        <v>17438</v>
      </c>
      <c r="D2630" s="10" t="s">
        <v>17439</v>
      </c>
      <c r="E2630" s="10" t="s">
        <v>13207</v>
      </c>
      <c r="F2630" s="10" t="s">
        <v>13218</v>
      </c>
      <c r="G2630" s="10" t="s">
        <v>17440</v>
      </c>
      <c r="H2630" s="11" t="s">
        <v>31</v>
      </c>
      <c r="I2630" s="11">
        <v>1.0</v>
      </c>
      <c r="J2630" s="11">
        <v>1.0</v>
      </c>
      <c r="K2630" s="11" t="s">
        <v>31</v>
      </c>
      <c r="L2630" s="12" t="s">
        <v>13531</v>
      </c>
      <c r="M2630" s="10" t="s">
        <v>17441</v>
      </c>
      <c r="N2630" s="10" t="s">
        <v>2273</v>
      </c>
      <c r="O2630" s="12" t="s">
        <v>2274</v>
      </c>
      <c r="P2630" s="10" t="s">
        <v>13533</v>
      </c>
      <c r="Q2630" s="10" t="s">
        <v>31</v>
      </c>
      <c r="R2630" s="10" t="s">
        <v>31</v>
      </c>
      <c r="S2630" s="12" t="s">
        <v>13534</v>
      </c>
      <c r="T2630" s="10" t="s">
        <v>2278</v>
      </c>
      <c r="U2630" s="12" t="s">
        <v>13535</v>
      </c>
      <c r="V2630" s="10" t="s">
        <v>13218</v>
      </c>
      <c r="W2630" s="10" t="s">
        <v>13207</v>
      </c>
      <c r="X2630" s="13" t="str">
        <f>HYPERLINK("https://my.pitchbook.com?p=436282-21P","View People Online")</f>
        <v>View People Online</v>
      </c>
    </row>
    <row r="2631">
      <c r="A2631" s="6" t="s">
        <v>17442</v>
      </c>
      <c r="B2631" s="6" t="s">
        <v>17443</v>
      </c>
      <c r="C2631" s="6" t="s">
        <v>17444</v>
      </c>
      <c r="D2631" s="6" t="s">
        <v>3082</v>
      </c>
      <c r="E2631" s="6" t="s">
        <v>13207</v>
      </c>
      <c r="F2631" s="6" t="s">
        <v>13218</v>
      </c>
      <c r="G2631" s="6" t="s">
        <v>17445</v>
      </c>
      <c r="H2631" s="7" t="s">
        <v>31</v>
      </c>
      <c r="I2631" s="7">
        <v>1.0</v>
      </c>
      <c r="J2631" s="7">
        <v>1.0</v>
      </c>
      <c r="K2631" s="7" t="s">
        <v>31</v>
      </c>
      <c r="L2631" s="8" t="s">
        <v>13274</v>
      </c>
      <c r="M2631" s="6" t="s">
        <v>17446</v>
      </c>
      <c r="N2631" s="6" t="s">
        <v>1181</v>
      </c>
      <c r="O2631" s="8" t="s">
        <v>1182</v>
      </c>
      <c r="P2631" s="6" t="s">
        <v>13276</v>
      </c>
      <c r="Q2631" s="6" t="s">
        <v>31</v>
      </c>
      <c r="R2631" s="6" t="s">
        <v>1185</v>
      </c>
      <c r="S2631" s="8" t="s">
        <v>4438</v>
      </c>
      <c r="T2631" s="6" t="s">
        <v>66</v>
      </c>
      <c r="U2631" s="8" t="s">
        <v>13277</v>
      </c>
      <c r="V2631" s="6" t="s">
        <v>13218</v>
      </c>
      <c r="W2631" s="6" t="s">
        <v>13207</v>
      </c>
      <c r="X2631" s="9" t="str">
        <f>HYPERLINK("https://my.pitchbook.com?p=435607-57P","View People Online")</f>
        <v>View People Online</v>
      </c>
    </row>
    <row r="2632">
      <c r="A2632" s="2" t="s">
        <v>17447</v>
      </c>
      <c r="B2632" s="2" t="s">
        <v>17448</v>
      </c>
      <c r="C2632" s="2" t="s">
        <v>823</v>
      </c>
      <c r="D2632" s="2" t="s">
        <v>17449</v>
      </c>
      <c r="E2632" s="2" t="s">
        <v>13207</v>
      </c>
      <c r="F2632" s="2" t="s">
        <v>3523</v>
      </c>
      <c r="G2632" s="2" t="s">
        <v>17450</v>
      </c>
      <c r="H2632" s="3" t="s">
        <v>31</v>
      </c>
      <c r="I2632" s="3">
        <v>1.0</v>
      </c>
      <c r="J2632" s="3">
        <v>1.0</v>
      </c>
      <c r="K2632" s="3" t="s">
        <v>31</v>
      </c>
      <c r="L2632" s="4" t="s">
        <v>17451</v>
      </c>
      <c r="M2632" s="2" t="s">
        <v>17452</v>
      </c>
      <c r="N2632" s="2" t="s">
        <v>12648</v>
      </c>
      <c r="O2632" s="4" t="s">
        <v>12649</v>
      </c>
      <c r="P2632" s="2" t="s">
        <v>17453</v>
      </c>
      <c r="Q2632" s="2" t="s">
        <v>31</v>
      </c>
      <c r="R2632" s="2" t="s">
        <v>31</v>
      </c>
      <c r="S2632" s="4" t="s">
        <v>17454</v>
      </c>
      <c r="T2632" s="2" t="s">
        <v>12653</v>
      </c>
      <c r="U2632" s="4" t="s">
        <v>17455</v>
      </c>
      <c r="V2632" s="2" t="s">
        <v>3523</v>
      </c>
      <c r="W2632" s="2" t="s">
        <v>13207</v>
      </c>
      <c r="X2632" s="5" t="str">
        <f>HYPERLINK("https://my.pitchbook.com?p=435751-39P","View People Online")</f>
        <v>View People Online</v>
      </c>
    </row>
    <row r="2633">
      <c r="A2633" s="6" t="s">
        <v>17456</v>
      </c>
      <c r="B2633" s="6" t="s">
        <v>17457</v>
      </c>
      <c r="C2633" s="6" t="s">
        <v>823</v>
      </c>
      <c r="D2633" s="6" t="s">
        <v>15566</v>
      </c>
      <c r="E2633" s="6" t="s">
        <v>13207</v>
      </c>
      <c r="F2633" s="6" t="s">
        <v>3523</v>
      </c>
      <c r="G2633" s="6" t="s">
        <v>17458</v>
      </c>
      <c r="H2633" s="7" t="s">
        <v>31</v>
      </c>
      <c r="I2633" s="7">
        <v>1.0</v>
      </c>
      <c r="J2633" s="7">
        <v>1.0</v>
      </c>
      <c r="K2633" s="7" t="s">
        <v>31</v>
      </c>
      <c r="L2633" s="8" t="s">
        <v>13289</v>
      </c>
      <c r="M2633" s="6" t="s">
        <v>17459</v>
      </c>
      <c r="N2633" s="6" t="s">
        <v>1348</v>
      </c>
      <c r="O2633" s="8" t="s">
        <v>1349</v>
      </c>
      <c r="P2633" s="6" t="s">
        <v>13291</v>
      </c>
      <c r="Q2633" s="6" t="s">
        <v>13292</v>
      </c>
      <c r="R2633" s="6" t="s">
        <v>1018</v>
      </c>
      <c r="S2633" s="8" t="s">
        <v>13293</v>
      </c>
      <c r="T2633" s="6" t="s">
        <v>1019</v>
      </c>
      <c r="U2633" s="8" t="s">
        <v>13294</v>
      </c>
      <c r="V2633" s="6" t="s">
        <v>3523</v>
      </c>
      <c r="W2633" s="6" t="s">
        <v>13207</v>
      </c>
      <c r="X2633" s="9" t="str">
        <f>HYPERLINK("https://my.pitchbook.com?p=35104-69P","View People Online")</f>
        <v>View People Online</v>
      </c>
    </row>
    <row r="2634">
      <c r="A2634" s="2" t="s">
        <v>17460</v>
      </c>
      <c r="B2634" s="2" t="s">
        <v>17461</v>
      </c>
      <c r="C2634" s="2" t="s">
        <v>823</v>
      </c>
      <c r="D2634" s="2" t="s">
        <v>17462</v>
      </c>
      <c r="E2634" s="2" t="s">
        <v>13207</v>
      </c>
      <c r="F2634" s="2" t="s">
        <v>13218</v>
      </c>
      <c r="G2634" s="2" t="s">
        <v>17463</v>
      </c>
      <c r="H2634" s="3" t="s">
        <v>31</v>
      </c>
      <c r="I2634" s="3">
        <v>1.0</v>
      </c>
      <c r="J2634" s="3">
        <v>1.0</v>
      </c>
      <c r="K2634" s="3" t="s">
        <v>31</v>
      </c>
      <c r="L2634" s="4" t="s">
        <v>13289</v>
      </c>
      <c r="M2634" s="2" t="s">
        <v>17464</v>
      </c>
      <c r="N2634" s="2" t="s">
        <v>1348</v>
      </c>
      <c r="O2634" s="4" t="s">
        <v>1349</v>
      </c>
      <c r="P2634" s="2" t="s">
        <v>13291</v>
      </c>
      <c r="Q2634" s="2" t="s">
        <v>13292</v>
      </c>
      <c r="R2634" s="2" t="s">
        <v>1018</v>
      </c>
      <c r="S2634" s="4" t="s">
        <v>13293</v>
      </c>
      <c r="T2634" s="2" t="s">
        <v>1019</v>
      </c>
      <c r="U2634" s="4" t="s">
        <v>13294</v>
      </c>
      <c r="V2634" s="2" t="s">
        <v>17465</v>
      </c>
      <c r="W2634" s="2" t="s">
        <v>13207</v>
      </c>
      <c r="X2634" s="5" t="str">
        <f>HYPERLINK("https://my.pitchbook.com?p=195943-06P","View People Online")</f>
        <v>View People Online</v>
      </c>
    </row>
    <row r="2635">
      <c r="A2635" s="14" t="s">
        <v>17466</v>
      </c>
      <c r="B2635" s="14" t="s">
        <v>17467</v>
      </c>
      <c r="C2635" s="14" t="s">
        <v>5358</v>
      </c>
      <c r="D2635" s="14" t="s">
        <v>17468</v>
      </c>
      <c r="E2635" s="14" t="s">
        <v>13207</v>
      </c>
      <c r="F2635" s="14" t="s">
        <v>13240</v>
      </c>
      <c r="G2635" s="14" t="s">
        <v>17469</v>
      </c>
      <c r="H2635" s="15" t="s">
        <v>31</v>
      </c>
      <c r="I2635" s="15">
        <v>1.0</v>
      </c>
      <c r="J2635" s="15">
        <v>1.0</v>
      </c>
      <c r="K2635" s="15" t="s">
        <v>31</v>
      </c>
      <c r="L2635" s="16" t="s">
        <v>15671</v>
      </c>
      <c r="M2635" s="14" t="s">
        <v>17470</v>
      </c>
      <c r="N2635" s="14" t="s">
        <v>15673</v>
      </c>
      <c r="O2635" s="16" t="s">
        <v>15674</v>
      </c>
      <c r="P2635" s="14" t="s">
        <v>15675</v>
      </c>
      <c r="Q2635" s="14" t="s">
        <v>6654</v>
      </c>
      <c r="R2635" s="14" t="s">
        <v>15676</v>
      </c>
      <c r="S2635" s="16" t="s">
        <v>15677</v>
      </c>
      <c r="T2635" s="14" t="s">
        <v>66</v>
      </c>
      <c r="U2635" s="16" t="s">
        <v>15678</v>
      </c>
      <c r="V2635" s="14" t="s">
        <v>13247</v>
      </c>
      <c r="W2635" s="14" t="s">
        <v>13207</v>
      </c>
      <c r="X2635" s="17" t="str">
        <f>HYPERLINK("https://my.pitchbook.com?p=435975-67P","View People Online")</f>
        <v>View People Online</v>
      </c>
    </row>
    <row r="2636">
      <c r="A2636" s="10" t="s">
        <v>17471</v>
      </c>
      <c r="B2636" s="10" t="s">
        <v>17472</v>
      </c>
      <c r="C2636" s="10" t="s">
        <v>5358</v>
      </c>
      <c r="D2636" s="10" t="s">
        <v>17473</v>
      </c>
      <c r="E2636" s="10" t="s">
        <v>13207</v>
      </c>
      <c r="F2636" s="10" t="s">
        <v>13307</v>
      </c>
      <c r="G2636" s="10" t="s">
        <v>17474</v>
      </c>
      <c r="H2636" s="11" t="s">
        <v>31</v>
      </c>
      <c r="I2636" s="11">
        <v>1.0</v>
      </c>
      <c r="J2636" s="11">
        <v>1.0</v>
      </c>
      <c r="K2636" s="11" t="s">
        <v>31</v>
      </c>
      <c r="L2636" s="12" t="s">
        <v>14614</v>
      </c>
      <c r="M2636" s="10" t="s">
        <v>17475</v>
      </c>
      <c r="N2636" s="10" t="s">
        <v>1442</v>
      </c>
      <c r="O2636" s="12" t="s">
        <v>1443</v>
      </c>
      <c r="P2636" s="10" t="s">
        <v>14616</v>
      </c>
      <c r="Q2636" s="10" t="s">
        <v>14617</v>
      </c>
      <c r="R2636" s="10" t="s">
        <v>1277</v>
      </c>
      <c r="S2636" s="12" t="s">
        <v>14618</v>
      </c>
      <c r="T2636" s="10" t="s">
        <v>66</v>
      </c>
      <c r="U2636" s="12" t="s">
        <v>31</v>
      </c>
      <c r="V2636" s="10" t="s">
        <v>17476</v>
      </c>
      <c r="W2636" s="10" t="s">
        <v>13207</v>
      </c>
      <c r="X2636" s="13" t="str">
        <f>HYPERLINK("https://my.pitchbook.com?p=436145-68P","View People Online")</f>
        <v>View People Online</v>
      </c>
    </row>
    <row r="2637">
      <c r="A2637" s="6" t="s">
        <v>17477</v>
      </c>
      <c r="B2637" s="6" t="s">
        <v>17478</v>
      </c>
      <c r="C2637" s="6" t="s">
        <v>8163</v>
      </c>
      <c r="D2637" s="6" t="s">
        <v>17479</v>
      </c>
      <c r="E2637" s="6" t="s">
        <v>13207</v>
      </c>
      <c r="F2637" s="6" t="s">
        <v>13218</v>
      </c>
      <c r="G2637" s="6" t="s">
        <v>17480</v>
      </c>
      <c r="H2637" s="7" t="s">
        <v>31</v>
      </c>
      <c r="I2637" s="7">
        <v>1.0</v>
      </c>
      <c r="J2637" s="7">
        <v>1.0</v>
      </c>
      <c r="K2637" s="7" t="s">
        <v>31</v>
      </c>
      <c r="L2637" s="8" t="s">
        <v>13657</v>
      </c>
      <c r="M2637" s="6" t="s">
        <v>31</v>
      </c>
      <c r="N2637" s="6" t="s">
        <v>13659</v>
      </c>
      <c r="O2637" s="8" t="s">
        <v>13660</v>
      </c>
      <c r="P2637" s="6" t="s">
        <v>13661</v>
      </c>
      <c r="Q2637" s="6" t="s">
        <v>31</v>
      </c>
      <c r="R2637" s="6" t="s">
        <v>31</v>
      </c>
      <c r="S2637" s="8" t="s">
        <v>13662</v>
      </c>
      <c r="T2637" s="6" t="s">
        <v>38</v>
      </c>
      <c r="U2637" s="8" t="s">
        <v>13663</v>
      </c>
      <c r="V2637" s="6" t="s">
        <v>13218</v>
      </c>
      <c r="W2637" s="6" t="s">
        <v>13207</v>
      </c>
      <c r="X2637" s="9" t="str">
        <f>HYPERLINK("https://my.pitchbook.com?p=435319-39P","View People Online")</f>
        <v>View People Online</v>
      </c>
    </row>
    <row r="2638">
      <c r="A2638" s="10" t="s">
        <v>17481</v>
      </c>
      <c r="B2638" s="10" t="s">
        <v>17482</v>
      </c>
      <c r="C2638" s="10" t="s">
        <v>8163</v>
      </c>
      <c r="D2638" s="10" t="s">
        <v>17483</v>
      </c>
      <c r="E2638" s="10" t="s">
        <v>13207</v>
      </c>
      <c r="F2638" s="10" t="s">
        <v>13218</v>
      </c>
      <c r="G2638" s="10" t="s">
        <v>17484</v>
      </c>
      <c r="H2638" s="11" t="s">
        <v>31</v>
      </c>
      <c r="I2638" s="11">
        <v>1.0</v>
      </c>
      <c r="J2638" s="11">
        <v>1.0</v>
      </c>
      <c r="K2638" s="11" t="s">
        <v>31</v>
      </c>
      <c r="L2638" s="12" t="s">
        <v>13734</v>
      </c>
      <c r="M2638" s="10" t="s">
        <v>17485</v>
      </c>
      <c r="N2638" s="10" t="s">
        <v>2754</v>
      </c>
      <c r="O2638" s="12" t="s">
        <v>2755</v>
      </c>
      <c r="P2638" s="10" t="s">
        <v>13736</v>
      </c>
      <c r="Q2638" s="10" t="s">
        <v>31</v>
      </c>
      <c r="R2638" s="10" t="s">
        <v>31</v>
      </c>
      <c r="S2638" s="12" t="s">
        <v>13737</v>
      </c>
      <c r="T2638" s="10" t="s">
        <v>38</v>
      </c>
      <c r="U2638" s="12" t="s">
        <v>13738</v>
      </c>
      <c r="V2638" s="10" t="s">
        <v>13218</v>
      </c>
      <c r="W2638" s="10" t="s">
        <v>13207</v>
      </c>
      <c r="X2638" s="13" t="str">
        <f>HYPERLINK("https://my.pitchbook.com?p=436222-81P","View People Online")</f>
        <v>View People Online</v>
      </c>
    </row>
    <row r="2639">
      <c r="A2639" s="14" t="s">
        <v>17486</v>
      </c>
      <c r="B2639" s="14" t="s">
        <v>17487</v>
      </c>
      <c r="C2639" s="14" t="s">
        <v>8163</v>
      </c>
      <c r="D2639" s="14" t="s">
        <v>17488</v>
      </c>
      <c r="E2639" s="14" t="s">
        <v>13207</v>
      </c>
      <c r="F2639" s="14" t="s">
        <v>13218</v>
      </c>
      <c r="G2639" s="14" t="s">
        <v>17489</v>
      </c>
      <c r="H2639" s="15" t="s">
        <v>31</v>
      </c>
      <c r="I2639" s="15">
        <v>1.0</v>
      </c>
      <c r="J2639" s="15">
        <v>1.0</v>
      </c>
      <c r="K2639" s="15" t="s">
        <v>31</v>
      </c>
      <c r="L2639" s="16" t="s">
        <v>13399</v>
      </c>
      <c r="M2639" s="14" t="s">
        <v>17490</v>
      </c>
      <c r="N2639" s="14" t="s">
        <v>13401</v>
      </c>
      <c r="O2639" s="16" t="s">
        <v>13402</v>
      </c>
      <c r="P2639" s="14" t="s">
        <v>13403</v>
      </c>
      <c r="Q2639" s="14" t="s">
        <v>13404</v>
      </c>
      <c r="R2639" s="14" t="s">
        <v>31</v>
      </c>
      <c r="S2639" s="16" t="s">
        <v>13405</v>
      </c>
      <c r="T2639" s="14" t="s">
        <v>13406</v>
      </c>
      <c r="U2639" s="16" t="s">
        <v>13407</v>
      </c>
      <c r="V2639" s="14" t="s">
        <v>13218</v>
      </c>
      <c r="W2639" s="14" t="s">
        <v>13207</v>
      </c>
      <c r="X2639" s="17" t="str">
        <f>HYPERLINK("https://my.pitchbook.com?p=136652-14P","View People Online")</f>
        <v>View People Online</v>
      </c>
    </row>
    <row r="2640">
      <c r="A2640" s="10" t="s">
        <v>17491</v>
      </c>
      <c r="B2640" s="10" t="s">
        <v>17492</v>
      </c>
      <c r="C2640" s="10" t="s">
        <v>8163</v>
      </c>
      <c r="D2640" s="10" t="s">
        <v>17493</v>
      </c>
      <c r="E2640" s="10" t="s">
        <v>13207</v>
      </c>
      <c r="F2640" s="10" t="s">
        <v>14489</v>
      </c>
      <c r="G2640" s="10" t="s">
        <v>17494</v>
      </c>
      <c r="H2640" s="11" t="s">
        <v>31</v>
      </c>
      <c r="I2640" s="11">
        <v>1.0</v>
      </c>
      <c r="J2640" s="11">
        <v>1.0</v>
      </c>
      <c r="K2640" s="11" t="s">
        <v>31</v>
      </c>
      <c r="L2640" s="12" t="s">
        <v>13242</v>
      </c>
      <c r="M2640" s="10" t="s">
        <v>17495</v>
      </c>
      <c r="N2640" s="10" t="s">
        <v>9865</v>
      </c>
      <c r="O2640" s="12" t="s">
        <v>9866</v>
      </c>
      <c r="P2640" s="10" t="s">
        <v>13244</v>
      </c>
      <c r="Q2640" s="10" t="s">
        <v>31</v>
      </c>
      <c r="R2640" s="10" t="s">
        <v>31</v>
      </c>
      <c r="S2640" s="12" t="s">
        <v>13245</v>
      </c>
      <c r="T2640" s="10" t="s">
        <v>38</v>
      </c>
      <c r="U2640" s="12" t="s">
        <v>13246</v>
      </c>
      <c r="V2640" s="10" t="s">
        <v>17496</v>
      </c>
      <c r="W2640" s="10" t="s">
        <v>13207</v>
      </c>
      <c r="X2640" s="13" t="str">
        <f>HYPERLINK("https://my.pitchbook.com?p=456114-97P","View People Online")</f>
        <v>View People Online</v>
      </c>
    </row>
    <row r="2641">
      <c r="A2641" s="6" t="s">
        <v>17497</v>
      </c>
      <c r="B2641" s="6" t="s">
        <v>17498</v>
      </c>
      <c r="C2641" s="6" t="s">
        <v>8163</v>
      </c>
      <c r="D2641" s="6" t="s">
        <v>17499</v>
      </c>
      <c r="E2641" s="6" t="s">
        <v>13207</v>
      </c>
      <c r="F2641" s="6" t="s">
        <v>3523</v>
      </c>
      <c r="G2641" s="6" t="s">
        <v>17500</v>
      </c>
      <c r="H2641" s="7" t="s">
        <v>31</v>
      </c>
      <c r="I2641" s="7">
        <v>1.0</v>
      </c>
      <c r="J2641" s="7">
        <v>1.0</v>
      </c>
      <c r="K2641" s="7" t="s">
        <v>31</v>
      </c>
      <c r="L2641" s="8" t="s">
        <v>13714</v>
      </c>
      <c r="M2641" s="6" t="s">
        <v>17501</v>
      </c>
      <c r="N2641" s="6" t="s">
        <v>13716</v>
      </c>
      <c r="O2641" s="8" t="s">
        <v>13717</v>
      </c>
      <c r="P2641" s="6" t="s">
        <v>13718</v>
      </c>
      <c r="Q2641" s="6" t="s">
        <v>31</v>
      </c>
      <c r="R2641" s="6" t="s">
        <v>31</v>
      </c>
      <c r="S2641" s="8" t="s">
        <v>13719</v>
      </c>
      <c r="T2641" s="6" t="s">
        <v>38</v>
      </c>
      <c r="U2641" s="8" t="s">
        <v>13720</v>
      </c>
      <c r="V2641" s="6" t="s">
        <v>3523</v>
      </c>
      <c r="W2641" s="6" t="s">
        <v>13207</v>
      </c>
      <c r="X2641" s="9" t="str">
        <f>HYPERLINK("https://my.pitchbook.com?p=456251-23P","View People Online")</f>
        <v>View People Online</v>
      </c>
    </row>
    <row r="2642">
      <c r="A2642" s="2" t="s">
        <v>17502</v>
      </c>
      <c r="B2642" s="2" t="s">
        <v>17503</v>
      </c>
      <c r="C2642" s="2" t="s">
        <v>8163</v>
      </c>
      <c r="D2642" s="2" t="s">
        <v>17504</v>
      </c>
      <c r="E2642" s="2" t="s">
        <v>13207</v>
      </c>
      <c r="F2642" s="2" t="s">
        <v>3523</v>
      </c>
      <c r="G2642" s="2" t="s">
        <v>17505</v>
      </c>
      <c r="H2642" s="3" t="s">
        <v>31</v>
      </c>
      <c r="I2642" s="3">
        <v>1.0</v>
      </c>
      <c r="J2642" s="3">
        <v>1.0</v>
      </c>
      <c r="K2642" s="3" t="s">
        <v>31</v>
      </c>
      <c r="L2642" s="4" t="s">
        <v>13724</v>
      </c>
      <c r="M2642" s="2" t="s">
        <v>17506</v>
      </c>
      <c r="N2642" s="2" t="s">
        <v>34</v>
      </c>
      <c r="O2642" s="4" t="s">
        <v>35</v>
      </c>
      <c r="P2642" s="2" t="s">
        <v>13726</v>
      </c>
      <c r="Q2642" s="2" t="s">
        <v>31</v>
      </c>
      <c r="R2642" s="2" t="s">
        <v>31</v>
      </c>
      <c r="S2642" s="4" t="s">
        <v>13727</v>
      </c>
      <c r="T2642" s="2" t="s">
        <v>38</v>
      </c>
      <c r="U2642" s="4" t="s">
        <v>13728</v>
      </c>
      <c r="V2642" s="2" t="s">
        <v>3523</v>
      </c>
      <c r="W2642" s="2" t="s">
        <v>13207</v>
      </c>
      <c r="X2642" s="5" t="str">
        <f>HYPERLINK("https://my.pitchbook.com?p=435120-94P","View People Online")</f>
        <v>View People Online</v>
      </c>
    </row>
    <row r="2643">
      <c r="A2643" s="14" t="s">
        <v>17507</v>
      </c>
      <c r="B2643" s="14" t="s">
        <v>17508</v>
      </c>
      <c r="C2643" s="14" t="s">
        <v>8163</v>
      </c>
      <c r="D2643" s="14" t="s">
        <v>17509</v>
      </c>
      <c r="E2643" s="14" t="s">
        <v>13207</v>
      </c>
      <c r="F2643" s="14" t="s">
        <v>13307</v>
      </c>
      <c r="G2643" s="14" t="s">
        <v>17510</v>
      </c>
      <c r="H2643" s="15" t="s">
        <v>31</v>
      </c>
      <c r="I2643" s="15">
        <v>1.0</v>
      </c>
      <c r="J2643" s="15">
        <v>1.0</v>
      </c>
      <c r="K2643" s="15" t="s">
        <v>31</v>
      </c>
      <c r="L2643" s="16" t="s">
        <v>13714</v>
      </c>
      <c r="M2643" s="14" t="s">
        <v>17511</v>
      </c>
      <c r="N2643" s="14" t="s">
        <v>13716</v>
      </c>
      <c r="O2643" s="16" t="s">
        <v>13717</v>
      </c>
      <c r="P2643" s="14" t="s">
        <v>13718</v>
      </c>
      <c r="Q2643" s="14" t="s">
        <v>31</v>
      </c>
      <c r="R2643" s="14" t="s">
        <v>31</v>
      </c>
      <c r="S2643" s="16" t="s">
        <v>13719</v>
      </c>
      <c r="T2643" s="14" t="s">
        <v>38</v>
      </c>
      <c r="U2643" s="16" t="s">
        <v>13720</v>
      </c>
      <c r="V2643" s="14" t="s">
        <v>13317</v>
      </c>
      <c r="W2643" s="14" t="s">
        <v>13207</v>
      </c>
      <c r="X2643" s="17" t="str">
        <f>HYPERLINK("https://my.pitchbook.com?p=455260-69P","View People Online")</f>
        <v>View People Online</v>
      </c>
    </row>
    <row r="2644">
      <c r="A2644" s="10" t="s">
        <v>17512</v>
      </c>
      <c r="B2644" s="10" t="s">
        <v>17513</v>
      </c>
      <c r="C2644" s="10" t="s">
        <v>8163</v>
      </c>
      <c r="D2644" s="10" t="s">
        <v>17514</v>
      </c>
      <c r="E2644" s="10" t="s">
        <v>13207</v>
      </c>
      <c r="F2644" s="10" t="s">
        <v>13307</v>
      </c>
      <c r="G2644" s="10" t="s">
        <v>17515</v>
      </c>
      <c r="H2644" s="11" t="s">
        <v>31</v>
      </c>
      <c r="I2644" s="11">
        <v>1.0</v>
      </c>
      <c r="J2644" s="11">
        <v>1.0</v>
      </c>
      <c r="K2644" s="11" t="s">
        <v>31</v>
      </c>
      <c r="L2644" s="12" t="s">
        <v>13714</v>
      </c>
      <c r="M2644" s="10" t="s">
        <v>17516</v>
      </c>
      <c r="N2644" s="10" t="s">
        <v>13716</v>
      </c>
      <c r="O2644" s="12" t="s">
        <v>13717</v>
      </c>
      <c r="P2644" s="10" t="s">
        <v>13718</v>
      </c>
      <c r="Q2644" s="10" t="s">
        <v>31</v>
      </c>
      <c r="R2644" s="10" t="s">
        <v>31</v>
      </c>
      <c r="S2644" s="12" t="s">
        <v>13719</v>
      </c>
      <c r="T2644" s="10" t="s">
        <v>38</v>
      </c>
      <c r="U2644" s="12" t="s">
        <v>13720</v>
      </c>
      <c r="V2644" s="10" t="s">
        <v>13317</v>
      </c>
      <c r="W2644" s="10" t="s">
        <v>13207</v>
      </c>
      <c r="X2644" s="13" t="str">
        <f>HYPERLINK("https://my.pitchbook.com?p=435665-44P","View People Online")</f>
        <v>View People Online</v>
      </c>
    </row>
    <row r="2645">
      <c r="A2645" s="14" t="s">
        <v>17517</v>
      </c>
      <c r="B2645" s="14" t="s">
        <v>17518</v>
      </c>
      <c r="C2645" s="14" t="s">
        <v>11504</v>
      </c>
      <c r="D2645" s="14" t="s">
        <v>17519</v>
      </c>
      <c r="E2645" s="14" t="s">
        <v>13207</v>
      </c>
      <c r="F2645" s="14" t="s">
        <v>3523</v>
      </c>
      <c r="G2645" s="14" t="s">
        <v>17520</v>
      </c>
      <c r="H2645" s="15" t="s">
        <v>31</v>
      </c>
      <c r="I2645" s="15">
        <v>1.0</v>
      </c>
      <c r="J2645" s="15">
        <v>1.0</v>
      </c>
      <c r="K2645" s="15" t="s">
        <v>31</v>
      </c>
      <c r="L2645" s="16" t="s">
        <v>13724</v>
      </c>
      <c r="M2645" s="14" t="s">
        <v>17521</v>
      </c>
      <c r="N2645" s="14" t="s">
        <v>34</v>
      </c>
      <c r="O2645" s="16" t="s">
        <v>35</v>
      </c>
      <c r="P2645" s="14" t="s">
        <v>13726</v>
      </c>
      <c r="Q2645" s="14" t="s">
        <v>31</v>
      </c>
      <c r="R2645" s="14" t="s">
        <v>31</v>
      </c>
      <c r="S2645" s="16" t="s">
        <v>13727</v>
      </c>
      <c r="T2645" s="14" t="s">
        <v>38</v>
      </c>
      <c r="U2645" s="16" t="s">
        <v>13728</v>
      </c>
      <c r="V2645" s="14" t="s">
        <v>3523</v>
      </c>
      <c r="W2645" s="14" t="s">
        <v>13207</v>
      </c>
      <c r="X2645" s="17" t="str">
        <f>HYPERLINK("https://my.pitchbook.com?p=455416-03P","View People Online")</f>
        <v>View People Online</v>
      </c>
    </row>
    <row r="2646">
      <c r="A2646" s="10" t="s">
        <v>17522</v>
      </c>
      <c r="B2646" s="10" t="s">
        <v>17523</v>
      </c>
      <c r="C2646" s="10" t="s">
        <v>17524</v>
      </c>
      <c r="D2646" s="10" t="s">
        <v>17525</v>
      </c>
      <c r="E2646" s="10" t="s">
        <v>13207</v>
      </c>
      <c r="F2646" s="10" t="s">
        <v>3523</v>
      </c>
      <c r="G2646" s="10" t="s">
        <v>17526</v>
      </c>
      <c r="H2646" s="11" t="s">
        <v>31</v>
      </c>
      <c r="I2646" s="11">
        <v>1.0</v>
      </c>
      <c r="J2646" s="11">
        <v>1.0</v>
      </c>
      <c r="K2646" s="11" t="s">
        <v>31</v>
      </c>
      <c r="L2646" s="12" t="s">
        <v>13496</v>
      </c>
      <c r="M2646" s="10" t="s">
        <v>17527</v>
      </c>
      <c r="N2646" s="10" t="s">
        <v>75</v>
      </c>
      <c r="O2646" s="12" t="s">
        <v>76</v>
      </c>
      <c r="P2646" s="10" t="s">
        <v>13498</v>
      </c>
      <c r="Q2646" s="10" t="s">
        <v>31</v>
      </c>
      <c r="R2646" s="10" t="s">
        <v>75</v>
      </c>
      <c r="S2646" s="12" t="s">
        <v>195</v>
      </c>
      <c r="T2646" s="10" t="s">
        <v>66</v>
      </c>
      <c r="U2646" s="12" t="s">
        <v>13499</v>
      </c>
      <c r="V2646" s="10" t="s">
        <v>3523</v>
      </c>
      <c r="W2646" s="10" t="s">
        <v>13207</v>
      </c>
      <c r="X2646" s="13" t="str">
        <f>HYPERLINK("https://my.pitchbook.com?p=456280-30P","View People Online")</f>
        <v>View People Online</v>
      </c>
    </row>
    <row r="2647">
      <c r="A2647" s="6" t="s">
        <v>17528</v>
      </c>
      <c r="B2647" s="6" t="s">
        <v>17529</v>
      </c>
      <c r="C2647" s="6" t="s">
        <v>17530</v>
      </c>
      <c r="D2647" s="6" t="s">
        <v>17531</v>
      </c>
      <c r="E2647" s="6" t="s">
        <v>13207</v>
      </c>
      <c r="F2647" s="6" t="s">
        <v>3523</v>
      </c>
      <c r="G2647" s="6" t="s">
        <v>17532</v>
      </c>
      <c r="H2647" s="7" t="s">
        <v>31</v>
      </c>
      <c r="I2647" s="7">
        <v>1.0</v>
      </c>
      <c r="J2647" s="7">
        <v>1.0</v>
      </c>
      <c r="K2647" s="7" t="s">
        <v>31</v>
      </c>
      <c r="L2647" s="8" t="s">
        <v>15095</v>
      </c>
      <c r="M2647" s="6" t="s">
        <v>17533</v>
      </c>
      <c r="N2647" s="6" t="s">
        <v>6960</v>
      </c>
      <c r="O2647" s="8" t="s">
        <v>6961</v>
      </c>
      <c r="P2647" s="6" t="s">
        <v>15097</v>
      </c>
      <c r="Q2647" s="6" t="s">
        <v>15098</v>
      </c>
      <c r="R2647" s="6" t="s">
        <v>15099</v>
      </c>
      <c r="S2647" s="8" t="s">
        <v>15100</v>
      </c>
      <c r="T2647" s="6" t="s">
        <v>6962</v>
      </c>
      <c r="U2647" s="8" t="s">
        <v>15101</v>
      </c>
      <c r="V2647" s="6" t="s">
        <v>3523</v>
      </c>
      <c r="W2647" s="6" t="s">
        <v>13207</v>
      </c>
      <c r="X2647" s="9" t="str">
        <f>HYPERLINK("https://my.pitchbook.com?p=435080-17P","View People Online")</f>
        <v>View People Online</v>
      </c>
    </row>
    <row r="2648">
      <c r="A2648" s="2" t="s">
        <v>17534</v>
      </c>
      <c r="B2648" s="2" t="s">
        <v>17535</v>
      </c>
      <c r="C2648" s="2" t="s">
        <v>17536</v>
      </c>
      <c r="D2648" s="2" t="s">
        <v>14427</v>
      </c>
      <c r="E2648" s="2" t="s">
        <v>13207</v>
      </c>
      <c r="F2648" s="2" t="s">
        <v>13218</v>
      </c>
      <c r="G2648" s="2" t="s">
        <v>17537</v>
      </c>
      <c r="H2648" s="3" t="s">
        <v>31</v>
      </c>
      <c r="I2648" s="3">
        <v>1.0</v>
      </c>
      <c r="J2648" s="3">
        <v>1.0</v>
      </c>
      <c r="K2648" s="3" t="s">
        <v>31</v>
      </c>
      <c r="L2648" s="4" t="s">
        <v>13231</v>
      </c>
      <c r="M2648" s="2" t="s">
        <v>17538</v>
      </c>
      <c r="N2648" s="2" t="s">
        <v>1203</v>
      </c>
      <c r="O2648" s="4" t="s">
        <v>1204</v>
      </c>
      <c r="P2648" s="2" t="s">
        <v>13233</v>
      </c>
      <c r="Q2648" s="2" t="s">
        <v>13234</v>
      </c>
      <c r="R2648" s="2" t="s">
        <v>1207</v>
      </c>
      <c r="S2648" s="4" t="s">
        <v>13235</v>
      </c>
      <c r="T2648" s="2" t="s">
        <v>1209</v>
      </c>
      <c r="U2648" s="4" t="s">
        <v>31</v>
      </c>
      <c r="V2648" s="2" t="s">
        <v>17539</v>
      </c>
      <c r="W2648" s="2" t="s">
        <v>13207</v>
      </c>
      <c r="X2648" s="5" t="str">
        <f>HYPERLINK("https://my.pitchbook.com?p=57035-80P","View People Online")</f>
        <v>View People Online</v>
      </c>
    </row>
    <row r="2649">
      <c r="A2649" s="6" t="s">
        <v>17540</v>
      </c>
      <c r="B2649" s="6" t="s">
        <v>17541</v>
      </c>
      <c r="C2649" s="6" t="s">
        <v>17542</v>
      </c>
      <c r="D2649" s="6" t="s">
        <v>17543</v>
      </c>
      <c r="E2649" s="6" t="s">
        <v>13207</v>
      </c>
      <c r="F2649" s="6" t="s">
        <v>13307</v>
      </c>
      <c r="G2649" s="6" t="s">
        <v>17544</v>
      </c>
      <c r="H2649" s="7" t="s">
        <v>31</v>
      </c>
      <c r="I2649" s="7">
        <v>1.0</v>
      </c>
      <c r="J2649" s="7">
        <v>1.0</v>
      </c>
      <c r="K2649" s="7" t="s">
        <v>31</v>
      </c>
      <c r="L2649" s="8" t="s">
        <v>13242</v>
      </c>
      <c r="M2649" s="6" t="s">
        <v>17545</v>
      </c>
      <c r="N2649" s="6" t="s">
        <v>9865</v>
      </c>
      <c r="O2649" s="8" t="s">
        <v>9866</v>
      </c>
      <c r="P2649" s="6" t="s">
        <v>13244</v>
      </c>
      <c r="Q2649" s="6" t="s">
        <v>31</v>
      </c>
      <c r="R2649" s="6" t="s">
        <v>31</v>
      </c>
      <c r="S2649" s="8" t="s">
        <v>13245</v>
      </c>
      <c r="T2649" s="6" t="s">
        <v>38</v>
      </c>
      <c r="U2649" s="8" t="s">
        <v>13246</v>
      </c>
      <c r="V2649" s="6" t="s">
        <v>13317</v>
      </c>
      <c r="W2649" s="6" t="s">
        <v>13207</v>
      </c>
      <c r="X2649" s="9" t="str">
        <f>HYPERLINK("https://my.pitchbook.com?p=436121-20P","View People Online")</f>
        <v>View People Online</v>
      </c>
    </row>
    <row r="2650">
      <c r="A2650" s="10" t="s">
        <v>17546</v>
      </c>
      <c r="B2650" s="10" t="s">
        <v>17547</v>
      </c>
      <c r="C2650" s="10" t="s">
        <v>17548</v>
      </c>
      <c r="D2650" s="10" t="s">
        <v>17549</v>
      </c>
      <c r="E2650" s="10" t="s">
        <v>13207</v>
      </c>
      <c r="F2650" s="10" t="s">
        <v>3523</v>
      </c>
      <c r="G2650" s="10" t="s">
        <v>17550</v>
      </c>
      <c r="H2650" s="11" t="s">
        <v>31</v>
      </c>
      <c r="I2650" s="11">
        <v>1.0</v>
      </c>
      <c r="J2650" s="11">
        <v>1.0</v>
      </c>
      <c r="K2650" s="11" t="s">
        <v>31</v>
      </c>
      <c r="L2650" s="12" t="s">
        <v>13274</v>
      </c>
      <c r="M2650" s="10" t="s">
        <v>17551</v>
      </c>
      <c r="N2650" s="10" t="s">
        <v>1181</v>
      </c>
      <c r="O2650" s="12" t="s">
        <v>1182</v>
      </c>
      <c r="P2650" s="10" t="s">
        <v>13276</v>
      </c>
      <c r="Q2650" s="10" t="s">
        <v>31</v>
      </c>
      <c r="R2650" s="10" t="s">
        <v>1185</v>
      </c>
      <c r="S2650" s="12" t="s">
        <v>4438</v>
      </c>
      <c r="T2650" s="10" t="s">
        <v>66</v>
      </c>
      <c r="U2650" s="12" t="s">
        <v>13277</v>
      </c>
      <c r="V2650" s="10" t="s">
        <v>13468</v>
      </c>
      <c r="W2650" s="10" t="s">
        <v>13207</v>
      </c>
      <c r="X2650" s="13" t="str">
        <f>HYPERLINK("https://my.pitchbook.com?p=456138-55P","View People Online")</f>
        <v>View People Online</v>
      </c>
    </row>
    <row r="2651">
      <c r="A2651" s="6" t="s">
        <v>17552</v>
      </c>
      <c r="B2651" s="6" t="s">
        <v>17553</v>
      </c>
      <c r="C2651" s="6" t="s">
        <v>3529</v>
      </c>
      <c r="D2651" s="6" t="s">
        <v>7805</v>
      </c>
      <c r="E2651" s="6" t="s">
        <v>13207</v>
      </c>
      <c r="F2651" s="6" t="s">
        <v>3523</v>
      </c>
      <c r="G2651" s="6" t="s">
        <v>17554</v>
      </c>
      <c r="H2651" s="7" t="s">
        <v>31</v>
      </c>
      <c r="I2651" s="7">
        <v>1.0</v>
      </c>
      <c r="J2651" s="7">
        <v>1.0</v>
      </c>
      <c r="K2651" s="7" t="s">
        <v>31</v>
      </c>
      <c r="L2651" s="8" t="s">
        <v>15991</v>
      </c>
      <c r="M2651" s="6" t="s">
        <v>17555</v>
      </c>
      <c r="N2651" s="6" t="s">
        <v>15993</v>
      </c>
      <c r="O2651" s="8" t="s">
        <v>15994</v>
      </c>
      <c r="P2651" s="6" t="s">
        <v>15995</v>
      </c>
      <c r="Q2651" s="6" t="s">
        <v>15996</v>
      </c>
      <c r="R2651" s="6" t="s">
        <v>15997</v>
      </c>
      <c r="S2651" s="8" t="s">
        <v>15998</v>
      </c>
      <c r="T2651" s="6" t="s">
        <v>1019</v>
      </c>
      <c r="U2651" s="8" t="s">
        <v>15999</v>
      </c>
      <c r="V2651" s="6" t="s">
        <v>3523</v>
      </c>
      <c r="W2651" s="6" t="s">
        <v>13207</v>
      </c>
      <c r="X2651" s="9" t="str">
        <f>HYPERLINK("https://my.pitchbook.com?p=435221-11P","View People Online")</f>
        <v>View People Online</v>
      </c>
    </row>
    <row r="2652">
      <c r="A2652" s="2" t="s">
        <v>17556</v>
      </c>
      <c r="B2652" s="2" t="s">
        <v>17557</v>
      </c>
      <c r="C2652" s="2" t="s">
        <v>3529</v>
      </c>
      <c r="D2652" s="2" t="s">
        <v>17558</v>
      </c>
      <c r="E2652" s="2" t="s">
        <v>13207</v>
      </c>
      <c r="F2652" s="2" t="s">
        <v>13218</v>
      </c>
      <c r="G2652" s="2" t="s">
        <v>17559</v>
      </c>
      <c r="H2652" s="3" t="s">
        <v>31</v>
      </c>
      <c r="I2652" s="3">
        <v>1.0</v>
      </c>
      <c r="J2652" s="3">
        <v>1.0</v>
      </c>
      <c r="K2652" s="3" t="s">
        <v>31</v>
      </c>
      <c r="L2652" s="4" t="s">
        <v>13632</v>
      </c>
      <c r="M2652" s="2" t="s">
        <v>17560</v>
      </c>
      <c r="N2652" s="2" t="s">
        <v>7690</v>
      </c>
      <c r="O2652" s="4" t="s">
        <v>7691</v>
      </c>
      <c r="P2652" s="2" t="s">
        <v>13634</v>
      </c>
      <c r="Q2652" s="2" t="s">
        <v>13635</v>
      </c>
      <c r="R2652" s="2" t="s">
        <v>7693</v>
      </c>
      <c r="S2652" s="4" t="s">
        <v>13636</v>
      </c>
      <c r="T2652" s="2" t="s">
        <v>66</v>
      </c>
      <c r="U2652" s="4" t="s">
        <v>13637</v>
      </c>
      <c r="V2652" s="2" t="s">
        <v>17561</v>
      </c>
      <c r="W2652" s="2" t="s">
        <v>13207</v>
      </c>
      <c r="X2652" s="5" t="str">
        <f>HYPERLINK("https://my.pitchbook.com?p=181582-57P","View People Online")</f>
        <v>View People Online</v>
      </c>
    </row>
    <row r="2653">
      <c r="A2653" s="14" t="s">
        <v>17562</v>
      </c>
      <c r="B2653" s="14" t="s">
        <v>17563</v>
      </c>
      <c r="C2653" s="14" t="s">
        <v>3529</v>
      </c>
      <c r="D2653" s="14" t="s">
        <v>17564</v>
      </c>
      <c r="E2653" s="14" t="s">
        <v>13207</v>
      </c>
      <c r="F2653" s="14" t="s">
        <v>13218</v>
      </c>
      <c r="G2653" s="14" t="s">
        <v>17565</v>
      </c>
      <c r="H2653" s="15" t="s">
        <v>31</v>
      </c>
      <c r="I2653" s="15">
        <v>1.0</v>
      </c>
      <c r="J2653" s="15">
        <v>1.0</v>
      </c>
      <c r="K2653" s="15" t="s">
        <v>31</v>
      </c>
      <c r="L2653" s="16" t="s">
        <v>13274</v>
      </c>
      <c r="M2653" s="14" t="s">
        <v>17566</v>
      </c>
      <c r="N2653" s="14" t="s">
        <v>1181</v>
      </c>
      <c r="O2653" s="16" t="s">
        <v>1182</v>
      </c>
      <c r="P2653" s="14" t="s">
        <v>13276</v>
      </c>
      <c r="Q2653" s="14" t="s">
        <v>31</v>
      </c>
      <c r="R2653" s="14" t="s">
        <v>1185</v>
      </c>
      <c r="S2653" s="16" t="s">
        <v>4438</v>
      </c>
      <c r="T2653" s="14" t="s">
        <v>66</v>
      </c>
      <c r="U2653" s="16" t="s">
        <v>13277</v>
      </c>
      <c r="V2653" s="14" t="s">
        <v>13218</v>
      </c>
      <c r="W2653" s="14" t="s">
        <v>13207</v>
      </c>
      <c r="X2653" s="17" t="str">
        <f>HYPERLINK("https://my.pitchbook.com?p=455409-01P","View People Online")</f>
        <v>View People Online</v>
      </c>
    </row>
    <row r="2654">
      <c r="A2654" s="2" t="s">
        <v>17567</v>
      </c>
      <c r="B2654" s="2" t="s">
        <v>17568</v>
      </c>
      <c r="C2654" s="2" t="s">
        <v>3529</v>
      </c>
      <c r="D2654" s="2" t="s">
        <v>5058</v>
      </c>
      <c r="E2654" s="2" t="s">
        <v>13207</v>
      </c>
      <c r="F2654" s="2" t="s">
        <v>3523</v>
      </c>
      <c r="G2654" s="2" t="s">
        <v>17569</v>
      </c>
      <c r="H2654" s="3" t="s">
        <v>31</v>
      </c>
      <c r="I2654" s="3">
        <v>1.0</v>
      </c>
      <c r="J2654" s="3">
        <v>1.0</v>
      </c>
      <c r="K2654" s="3" t="s">
        <v>31</v>
      </c>
      <c r="L2654" s="4" t="s">
        <v>13743</v>
      </c>
      <c r="M2654" s="2" t="s">
        <v>17570</v>
      </c>
      <c r="N2654" s="2" t="s">
        <v>1034</v>
      </c>
      <c r="O2654" s="4" t="s">
        <v>1035</v>
      </c>
      <c r="P2654" s="2" t="s">
        <v>13745</v>
      </c>
      <c r="Q2654" s="2" t="s">
        <v>13746</v>
      </c>
      <c r="R2654" s="2" t="s">
        <v>31</v>
      </c>
      <c r="S2654" s="4" t="s">
        <v>13747</v>
      </c>
      <c r="T2654" s="2" t="s">
        <v>1034</v>
      </c>
      <c r="U2654" s="4" t="s">
        <v>13748</v>
      </c>
      <c r="V2654" s="2" t="s">
        <v>17571</v>
      </c>
      <c r="W2654" s="2" t="s">
        <v>13207</v>
      </c>
      <c r="X2654" s="5" t="str">
        <f>HYPERLINK("https://my.pitchbook.com?p=195940-36P","View People Online")</f>
        <v>View People Online</v>
      </c>
    </row>
    <row r="2655">
      <c r="A2655" s="6" t="s">
        <v>17572</v>
      </c>
      <c r="B2655" s="6" t="s">
        <v>17573</v>
      </c>
      <c r="C2655" s="6" t="s">
        <v>9019</v>
      </c>
      <c r="D2655" s="6" t="s">
        <v>17574</v>
      </c>
      <c r="E2655" s="6" t="s">
        <v>13207</v>
      </c>
      <c r="F2655" s="6" t="s">
        <v>1283</v>
      </c>
      <c r="G2655" s="6" t="s">
        <v>17575</v>
      </c>
      <c r="H2655" s="7" t="s">
        <v>31</v>
      </c>
      <c r="I2655" s="7">
        <v>1.0</v>
      </c>
      <c r="J2655" s="7">
        <v>1.0</v>
      </c>
      <c r="K2655" s="7" t="s">
        <v>31</v>
      </c>
      <c r="L2655" s="8" t="s">
        <v>13423</v>
      </c>
      <c r="M2655" s="6" t="s">
        <v>17576</v>
      </c>
      <c r="N2655" s="6" t="s">
        <v>243</v>
      </c>
      <c r="O2655" s="8" t="s">
        <v>244</v>
      </c>
      <c r="P2655" s="6" t="s">
        <v>13425</v>
      </c>
      <c r="Q2655" s="6" t="s">
        <v>31</v>
      </c>
      <c r="R2655" s="6" t="s">
        <v>247</v>
      </c>
      <c r="S2655" s="8" t="s">
        <v>13426</v>
      </c>
      <c r="T2655" s="6" t="s">
        <v>249</v>
      </c>
      <c r="U2655" s="8" t="s">
        <v>31</v>
      </c>
      <c r="V2655" s="6" t="s">
        <v>14835</v>
      </c>
      <c r="W2655" s="6" t="s">
        <v>13207</v>
      </c>
      <c r="X2655" s="9" t="str">
        <f>HYPERLINK("https://my.pitchbook.com?p=436438-72P","View People Online")</f>
        <v>View People Online</v>
      </c>
    </row>
    <row r="2656">
      <c r="A2656" s="2" t="s">
        <v>17577</v>
      </c>
      <c r="B2656" s="2" t="s">
        <v>17578</v>
      </c>
      <c r="C2656" s="2" t="s">
        <v>2964</v>
      </c>
      <c r="D2656" s="2" t="s">
        <v>17579</v>
      </c>
      <c r="E2656" s="2" t="s">
        <v>13207</v>
      </c>
      <c r="F2656" s="2" t="s">
        <v>3523</v>
      </c>
      <c r="G2656" s="2" t="s">
        <v>17580</v>
      </c>
      <c r="H2656" s="3" t="s">
        <v>31</v>
      </c>
      <c r="I2656" s="3">
        <v>1.0</v>
      </c>
      <c r="J2656" s="3">
        <v>1.0</v>
      </c>
      <c r="K2656" s="3" t="s">
        <v>31</v>
      </c>
      <c r="L2656" s="4" t="s">
        <v>13299</v>
      </c>
      <c r="M2656" s="2" t="s">
        <v>17581</v>
      </c>
      <c r="N2656" s="2" t="s">
        <v>601</v>
      </c>
      <c r="O2656" s="4" t="s">
        <v>602</v>
      </c>
      <c r="P2656" s="2" t="s">
        <v>13301</v>
      </c>
      <c r="Q2656" s="2" t="s">
        <v>13302</v>
      </c>
      <c r="R2656" s="2" t="s">
        <v>31</v>
      </c>
      <c r="S2656" s="4" t="s">
        <v>31</v>
      </c>
      <c r="T2656" s="2" t="s">
        <v>603</v>
      </c>
      <c r="U2656" s="4" t="s">
        <v>13303</v>
      </c>
      <c r="V2656" s="2" t="s">
        <v>3523</v>
      </c>
      <c r="W2656" s="2" t="s">
        <v>13207</v>
      </c>
      <c r="X2656" s="5" t="str">
        <f>HYPERLINK("https://my.pitchbook.com?p=455737-06P","View People Online")</f>
        <v>View People Online</v>
      </c>
    </row>
    <row r="2657">
      <c r="A2657" s="14" t="s">
        <v>17582</v>
      </c>
      <c r="B2657" s="14" t="s">
        <v>17583</v>
      </c>
      <c r="C2657" s="14" t="s">
        <v>2964</v>
      </c>
      <c r="D2657" s="14" t="s">
        <v>17584</v>
      </c>
      <c r="E2657" s="14" t="s">
        <v>13207</v>
      </c>
      <c r="F2657" s="14" t="s">
        <v>3523</v>
      </c>
      <c r="G2657" s="14" t="s">
        <v>17585</v>
      </c>
      <c r="H2657" s="15" t="s">
        <v>31</v>
      </c>
      <c r="I2657" s="15">
        <v>1.0</v>
      </c>
      <c r="J2657" s="15">
        <v>1.0</v>
      </c>
      <c r="K2657" s="15" t="s">
        <v>31</v>
      </c>
      <c r="L2657" s="16" t="s">
        <v>13531</v>
      </c>
      <c r="M2657" s="14" t="s">
        <v>17586</v>
      </c>
      <c r="N2657" s="14" t="s">
        <v>2273</v>
      </c>
      <c r="O2657" s="16" t="s">
        <v>2274</v>
      </c>
      <c r="P2657" s="14" t="s">
        <v>13533</v>
      </c>
      <c r="Q2657" s="14" t="s">
        <v>31</v>
      </c>
      <c r="R2657" s="14" t="s">
        <v>31</v>
      </c>
      <c r="S2657" s="16" t="s">
        <v>13534</v>
      </c>
      <c r="T2657" s="14" t="s">
        <v>2278</v>
      </c>
      <c r="U2657" s="16" t="s">
        <v>13535</v>
      </c>
      <c r="V2657" s="14" t="s">
        <v>3523</v>
      </c>
      <c r="W2657" s="14" t="s">
        <v>13207</v>
      </c>
      <c r="X2657" s="17" t="str">
        <f>HYPERLINK("https://my.pitchbook.com?p=435142-45P","View People Online")</f>
        <v>View People Online</v>
      </c>
    </row>
    <row r="2658">
      <c r="A2658" s="10" t="s">
        <v>17587</v>
      </c>
      <c r="B2658" s="10" t="s">
        <v>17588</v>
      </c>
      <c r="C2658" s="10" t="s">
        <v>17589</v>
      </c>
      <c r="D2658" s="10" t="s">
        <v>5302</v>
      </c>
      <c r="E2658" s="10" t="s">
        <v>13207</v>
      </c>
      <c r="F2658" s="10" t="s">
        <v>3523</v>
      </c>
      <c r="G2658" s="10" t="s">
        <v>17590</v>
      </c>
      <c r="H2658" s="11" t="s">
        <v>31</v>
      </c>
      <c r="I2658" s="11">
        <v>1.0</v>
      </c>
      <c r="J2658" s="11">
        <v>1.0</v>
      </c>
      <c r="K2658" s="11" t="s">
        <v>31</v>
      </c>
      <c r="L2658" s="12" t="s">
        <v>13299</v>
      </c>
      <c r="M2658" s="10" t="s">
        <v>17591</v>
      </c>
      <c r="N2658" s="10" t="s">
        <v>601</v>
      </c>
      <c r="O2658" s="12" t="s">
        <v>602</v>
      </c>
      <c r="P2658" s="10" t="s">
        <v>13301</v>
      </c>
      <c r="Q2658" s="10" t="s">
        <v>13302</v>
      </c>
      <c r="R2658" s="10" t="s">
        <v>31</v>
      </c>
      <c r="S2658" s="12" t="s">
        <v>31</v>
      </c>
      <c r="T2658" s="10" t="s">
        <v>603</v>
      </c>
      <c r="U2658" s="12" t="s">
        <v>13303</v>
      </c>
      <c r="V2658" s="10" t="s">
        <v>3523</v>
      </c>
      <c r="W2658" s="10" t="s">
        <v>13207</v>
      </c>
      <c r="X2658" s="13" t="str">
        <f>HYPERLINK("https://my.pitchbook.com?p=435625-03P","View People Online")</f>
        <v>View People Online</v>
      </c>
    </row>
    <row r="2659">
      <c r="A2659" s="6" t="s">
        <v>17592</v>
      </c>
      <c r="B2659" s="6" t="s">
        <v>17593</v>
      </c>
      <c r="C2659" s="6" t="s">
        <v>2056</v>
      </c>
      <c r="D2659" s="6" t="s">
        <v>17594</v>
      </c>
      <c r="E2659" s="6" t="s">
        <v>13207</v>
      </c>
      <c r="F2659" s="6" t="s">
        <v>3523</v>
      </c>
      <c r="G2659" s="6" t="s">
        <v>17595</v>
      </c>
      <c r="H2659" s="7" t="s">
        <v>31</v>
      </c>
      <c r="I2659" s="7">
        <v>1.0</v>
      </c>
      <c r="J2659" s="7">
        <v>1.0</v>
      </c>
      <c r="K2659" s="7" t="s">
        <v>31</v>
      </c>
      <c r="L2659" s="8" t="s">
        <v>13496</v>
      </c>
      <c r="M2659" s="6" t="s">
        <v>17596</v>
      </c>
      <c r="N2659" s="6" t="s">
        <v>75</v>
      </c>
      <c r="O2659" s="8" t="s">
        <v>76</v>
      </c>
      <c r="P2659" s="6" t="s">
        <v>13498</v>
      </c>
      <c r="Q2659" s="6" t="s">
        <v>31</v>
      </c>
      <c r="R2659" s="6" t="s">
        <v>75</v>
      </c>
      <c r="S2659" s="8" t="s">
        <v>195</v>
      </c>
      <c r="T2659" s="6" t="s">
        <v>66</v>
      </c>
      <c r="U2659" s="8" t="s">
        <v>13499</v>
      </c>
      <c r="V2659" s="6" t="s">
        <v>3523</v>
      </c>
      <c r="W2659" s="6" t="s">
        <v>13207</v>
      </c>
      <c r="X2659" s="9" t="str">
        <f>HYPERLINK("https://my.pitchbook.com?p=435091-24P","View People Online")</f>
        <v>View People Online</v>
      </c>
    </row>
    <row r="2660">
      <c r="A2660" s="2" t="s">
        <v>17597</v>
      </c>
      <c r="B2660" s="2" t="s">
        <v>17598</v>
      </c>
      <c r="C2660" s="2" t="s">
        <v>7503</v>
      </c>
      <c r="D2660" s="2" t="s">
        <v>17599</v>
      </c>
      <c r="E2660" s="2" t="s">
        <v>13207</v>
      </c>
      <c r="F2660" s="2" t="s">
        <v>29</v>
      </c>
      <c r="G2660" s="2" t="s">
        <v>17600</v>
      </c>
      <c r="H2660" s="3" t="s">
        <v>31</v>
      </c>
      <c r="I2660" s="3">
        <v>1.0</v>
      </c>
      <c r="J2660" s="3">
        <v>1.0</v>
      </c>
      <c r="K2660" s="3" t="s">
        <v>31</v>
      </c>
      <c r="L2660" s="4" t="s">
        <v>13378</v>
      </c>
      <c r="M2660" s="2" t="s">
        <v>17601</v>
      </c>
      <c r="N2660" s="2" t="s">
        <v>429</v>
      </c>
      <c r="O2660" s="4" t="s">
        <v>430</v>
      </c>
      <c r="P2660" s="2" t="s">
        <v>13380</v>
      </c>
      <c r="Q2660" s="2" t="s">
        <v>31</v>
      </c>
      <c r="R2660" s="2" t="s">
        <v>31</v>
      </c>
      <c r="S2660" s="4" t="s">
        <v>13381</v>
      </c>
      <c r="T2660" s="2" t="s">
        <v>433</v>
      </c>
      <c r="U2660" s="4" t="s">
        <v>13382</v>
      </c>
      <c r="V2660" s="2" t="s">
        <v>29</v>
      </c>
      <c r="W2660" s="2" t="s">
        <v>13207</v>
      </c>
      <c r="X2660" s="5" t="str">
        <f>HYPERLINK("https://my.pitchbook.com?p=435081-07P","View People Online")</f>
        <v>View People Online</v>
      </c>
    </row>
    <row r="2661">
      <c r="A2661" s="14" t="s">
        <v>17602</v>
      </c>
      <c r="B2661" s="14" t="s">
        <v>17603</v>
      </c>
      <c r="C2661" s="14" t="s">
        <v>7503</v>
      </c>
      <c r="D2661" s="14" t="s">
        <v>17604</v>
      </c>
      <c r="E2661" s="14" t="s">
        <v>13207</v>
      </c>
      <c r="F2661" s="14" t="s">
        <v>13218</v>
      </c>
      <c r="G2661" s="14" t="s">
        <v>17605</v>
      </c>
      <c r="H2661" s="15" t="s">
        <v>31</v>
      </c>
      <c r="I2661" s="15">
        <v>1.0</v>
      </c>
      <c r="J2661" s="15">
        <v>1.0</v>
      </c>
      <c r="K2661" s="15" t="s">
        <v>31</v>
      </c>
      <c r="L2661" s="16" t="s">
        <v>13378</v>
      </c>
      <c r="M2661" s="14" t="s">
        <v>17606</v>
      </c>
      <c r="N2661" s="14" t="s">
        <v>429</v>
      </c>
      <c r="O2661" s="16" t="s">
        <v>430</v>
      </c>
      <c r="P2661" s="14" t="s">
        <v>13380</v>
      </c>
      <c r="Q2661" s="14" t="s">
        <v>31</v>
      </c>
      <c r="R2661" s="14" t="s">
        <v>31</v>
      </c>
      <c r="S2661" s="16" t="s">
        <v>13381</v>
      </c>
      <c r="T2661" s="14" t="s">
        <v>433</v>
      </c>
      <c r="U2661" s="16" t="s">
        <v>13382</v>
      </c>
      <c r="V2661" s="14" t="s">
        <v>13218</v>
      </c>
      <c r="W2661" s="14" t="s">
        <v>13207</v>
      </c>
      <c r="X2661" s="17" t="str">
        <f>HYPERLINK("https://my.pitchbook.com?p=456808-78P","View People Online")</f>
        <v>View People Online</v>
      </c>
    </row>
    <row r="2662">
      <c r="A2662" s="2" t="s">
        <v>17607</v>
      </c>
      <c r="B2662" s="2" t="s">
        <v>17608</v>
      </c>
      <c r="C2662" s="2" t="s">
        <v>7503</v>
      </c>
      <c r="D2662" s="2" t="s">
        <v>666</v>
      </c>
      <c r="E2662" s="2" t="s">
        <v>13207</v>
      </c>
      <c r="F2662" s="2" t="s">
        <v>13240</v>
      </c>
      <c r="G2662" s="2" t="s">
        <v>17609</v>
      </c>
      <c r="H2662" s="3" t="s">
        <v>31</v>
      </c>
      <c r="I2662" s="3">
        <v>1.0</v>
      </c>
      <c r="J2662" s="3">
        <v>1.0</v>
      </c>
      <c r="K2662" s="3" t="s">
        <v>31</v>
      </c>
      <c r="L2662" s="4" t="s">
        <v>14614</v>
      </c>
      <c r="M2662" s="2" t="s">
        <v>17610</v>
      </c>
      <c r="N2662" s="2" t="s">
        <v>1442</v>
      </c>
      <c r="O2662" s="4" t="s">
        <v>1443</v>
      </c>
      <c r="P2662" s="2" t="s">
        <v>14616</v>
      </c>
      <c r="Q2662" s="2" t="s">
        <v>14617</v>
      </c>
      <c r="R2662" s="2" t="s">
        <v>1277</v>
      </c>
      <c r="S2662" s="4" t="s">
        <v>14618</v>
      </c>
      <c r="T2662" s="2" t="s">
        <v>66</v>
      </c>
      <c r="U2662" s="4" t="s">
        <v>31</v>
      </c>
      <c r="V2662" s="2" t="s">
        <v>16655</v>
      </c>
      <c r="W2662" s="2" t="s">
        <v>13207</v>
      </c>
      <c r="X2662" s="5" t="str">
        <f>HYPERLINK("https://my.pitchbook.com?p=435369-97P","View People Online")</f>
        <v>View People Online</v>
      </c>
    </row>
    <row r="2663">
      <c r="A2663" s="6" t="s">
        <v>17611</v>
      </c>
      <c r="B2663" s="6" t="s">
        <v>17612</v>
      </c>
      <c r="C2663" s="6" t="s">
        <v>17613</v>
      </c>
      <c r="D2663" s="6" t="s">
        <v>17614</v>
      </c>
      <c r="E2663" s="6" t="s">
        <v>13207</v>
      </c>
      <c r="F2663" s="6" t="s">
        <v>3523</v>
      </c>
      <c r="G2663" s="6" t="s">
        <v>17615</v>
      </c>
      <c r="H2663" s="7" t="s">
        <v>31</v>
      </c>
      <c r="I2663" s="7">
        <v>1.0</v>
      </c>
      <c r="J2663" s="7">
        <v>1.0</v>
      </c>
      <c r="K2663" s="7" t="s">
        <v>31</v>
      </c>
      <c r="L2663" s="8" t="s">
        <v>13378</v>
      </c>
      <c r="M2663" s="6" t="s">
        <v>17616</v>
      </c>
      <c r="N2663" s="6" t="s">
        <v>429</v>
      </c>
      <c r="O2663" s="8" t="s">
        <v>430</v>
      </c>
      <c r="P2663" s="6" t="s">
        <v>13380</v>
      </c>
      <c r="Q2663" s="6" t="s">
        <v>31</v>
      </c>
      <c r="R2663" s="6" t="s">
        <v>31</v>
      </c>
      <c r="S2663" s="8" t="s">
        <v>13381</v>
      </c>
      <c r="T2663" s="6" t="s">
        <v>433</v>
      </c>
      <c r="U2663" s="8" t="s">
        <v>13382</v>
      </c>
      <c r="V2663" s="6" t="s">
        <v>3523</v>
      </c>
      <c r="W2663" s="6" t="s">
        <v>13207</v>
      </c>
      <c r="X2663" s="9" t="str">
        <f>HYPERLINK("https://my.pitchbook.com?p=435446-02P","View People Online")</f>
        <v>View People Online</v>
      </c>
    </row>
    <row r="2664">
      <c r="A2664" s="2" t="s">
        <v>17617</v>
      </c>
      <c r="B2664" s="2" t="s">
        <v>17618</v>
      </c>
      <c r="C2664" s="2" t="s">
        <v>11543</v>
      </c>
      <c r="D2664" s="2" t="s">
        <v>17619</v>
      </c>
      <c r="E2664" s="2" t="s">
        <v>13207</v>
      </c>
      <c r="F2664" s="2" t="s">
        <v>3523</v>
      </c>
      <c r="G2664" s="2" t="s">
        <v>17620</v>
      </c>
      <c r="H2664" s="3" t="s">
        <v>31</v>
      </c>
      <c r="I2664" s="3">
        <v>1.0</v>
      </c>
      <c r="J2664" s="3">
        <v>1.0</v>
      </c>
      <c r="K2664" s="3" t="s">
        <v>31</v>
      </c>
      <c r="L2664" s="4" t="s">
        <v>13299</v>
      </c>
      <c r="M2664" s="2" t="s">
        <v>17621</v>
      </c>
      <c r="N2664" s="2" t="s">
        <v>601</v>
      </c>
      <c r="O2664" s="4" t="s">
        <v>602</v>
      </c>
      <c r="P2664" s="2" t="s">
        <v>13301</v>
      </c>
      <c r="Q2664" s="2" t="s">
        <v>13302</v>
      </c>
      <c r="R2664" s="2" t="s">
        <v>31</v>
      </c>
      <c r="S2664" s="4" t="s">
        <v>31</v>
      </c>
      <c r="T2664" s="2" t="s">
        <v>603</v>
      </c>
      <c r="U2664" s="4" t="s">
        <v>13303</v>
      </c>
      <c r="V2664" s="2" t="s">
        <v>3523</v>
      </c>
      <c r="W2664" s="2" t="s">
        <v>13207</v>
      </c>
      <c r="X2664" s="5" t="str">
        <f>HYPERLINK("https://my.pitchbook.com?p=456476-14P","View People Online")</f>
        <v>View People Online</v>
      </c>
    </row>
    <row r="2665">
      <c r="A2665" s="6" t="s">
        <v>17622</v>
      </c>
      <c r="B2665" s="6" t="s">
        <v>17623</v>
      </c>
      <c r="C2665" s="6" t="s">
        <v>11543</v>
      </c>
      <c r="D2665" s="6" t="s">
        <v>17624</v>
      </c>
      <c r="E2665" s="6" t="s">
        <v>13207</v>
      </c>
      <c r="F2665" s="6" t="s">
        <v>17625</v>
      </c>
      <c r="G2665" s="6" t="s">
        <v>17626</v>
      </c>
      <c r="H2665" s="7" t="s">
        <v>31</v>
      </c>
      <c r="I2665" s="7">
        <v>1.0</v>
      </c>
      <c r="J2665" s="7">
        <v>1.0</v>
      </c>
      <c r="K2665" s="7" t="s">
        <v>31</v>
      </c>
      <c r="L2665" s="8" t="s">
        <v>13378</v>
      </c>
      <c r="M2665" s="6" t="s">
        <v>17627</v>
      </c>
      <c r="N2665" s="6" t="s">
        <v>429</v>
      </c>
      <c r="O2665" s="8" t="s">
        <v>430</v>
      </c>
      <c r="P2665" s="6" t="s">
        <v>13380</v>
      </c>
      <c r="Q2665" s="6" t="s">
        <v>31</v>
      </c>
      <c r="R2665" s="6" t="s">
        <v>31</v>
      </c>
      <c r="S2665" s="8" t="s">
        <v>13381</v>
      </c>
      <c r="T2665" s="6" t="s">
        <v>433</v>
      </c>
      <c r="U2665" s="8" t="s">
        <v>13382</v>
      </c>
      <c r="V2665" s="6" t="s">
        <v>17625</v>
      </c>
      <c r="W2665" s="6" t="s">
        <v>13207</v>
      </c>
      <c r="X2665" s="9" t="str">
        <f>HYPERLINK("https://my.pitchbook.com?p=456390-55P","View People Online")</f>
        <v>View People Online</v>
      </c>
    </row>
    <row r="2666">
      <c r="A2666" s="2" t="s">
        <v>17628</v>
      </c>
      <c r="B2666" s="2" t="s">
        <v>17629</v>
      </c>
      <c r="C2666" s="2" t="s">
        <v>11551</v>
      </c>
      <c r="D2666" s="2" t="s">
        <v>17630</v>
      </c>
      <c r="E2666" s="2" t="s">
        <v>13207</v>
      </c>
      <c r="F2666" s="2" t="s">
        <v>14489</v>
      </c>
      <c r="G2666" s="2" t="s">
        <v>17631</v>
      </c>
      <c r="H2666" s="3" t="s">
        <v>31</v>
      </c>
      <c r="I2666" s="3">
        <v>1.0</v>
      </c>
      <c r="J2666" s="3">
        <v>1.0</v>
      </c>
      <c r="K2666" s="3" t="s">
        <v>31</v>
      </c>
      <c r="L2666" s="4" t="s">
        <v>13378</v>
      </c>
      <c r="M2666" s="2" t="s">
        <v>17632</v>
      </c>
      <c r="N2666" s="2" t="s">
        <v>429</v>
      </c>
      <c r="O2666" s="4" t="s">
        <v>430</v>
      </c>
      <c r="P2666" s="2" t="s">
        <v>13380</v>
      </c>
      <c r="Q2666" s="2" t="s">
        <v>31</v>
      </c>
      <c r="R2666" s="2" t="s">
        <v>31</v>
      </c>
      <c r="S2666" s="4" t="s">
        <v>13381</v>
      </c>
      <c r="T2666" s="2" t="s">
        <v>433</v>
      </c>
      <c r="U2666" s="4" t="s">
        <v>13382</v>
      </c>
      <c r="V2666" s="2" t="s">
        <v>17633</v>
      </c>
      <c r="W2666" s="2" t="s">
        <v>13207</v>
      </c>
      <c r="X2666" s="5" t="str">
        <f>HYPERLINK("https://my.pitchbook.com?p=435656-44P","View People Online")</f>
        <v>View People Online</v>
      </c>
    </row>
    <row r="2667">
      <c r="A2667" s="14" t="s">
        <v>17634</v>
      </c>
      <c r="B2667" s="14" t="s">
        <v>17635</v>
      </c>
      <c r="C2667" s="14" t="s">
        <v>11551</v>
      </c>
      <c r="D2667" s="14" t="s">
        <v>17636</v>
      </c>
      <c r="E2667" s="14" t="s">
        <v>13207</v>
      </c>
      <c r="F2667" s="14" t="s">
        <v>13218</v>
      </c>
      <c r="G2667" s="14" t="s">
        <v>17637</v>
      </c>
      <c r="H2667" s="15" t="s">
        <v>31</v>
      </c>
      <c r="I2667" s="15">
        <v>1.0</v>
      </c>
      <c r="J2667" s="15">
        <v>1.0</v>
      </c>
      <c r="K2667" s="15" t="s">
        <v>31</v>
      </c>
      <c r="L2667" s="16" t="s">
        <v>13378</v>
      </c>
      <c r="M2667" s="14" t="s">
        <v>17638</v>
      </c>
      <c r="N2667" s="14" t="s">
        <v>429</v>
      </c>
      <c r="O2667" s="16" t="s">
        <v>430</v>
      </c>
      <c r="P2667" s="14" t="s">
        <v>13380</v>
      </c>
      <c r="Q2667" s="14" t="s">
        <v>31</v>
      </c>
      <c r="R2667" s="14" t="s">
        <v>31</v>
      </c>
      <c r="S2667" s="16" t="s">
        <v>13381</v>
      </c>
      <c r="T2667" s="14" t="s">
        <v>433</v>
      </c>
      <c r="U2667" s="16" t="s">
        <v>13382</v>
      </c>
      <c r="V2667" s="14" t="s">
        <v>13218</v>
      </c>
      <c r="W2667" s="14" t="s">
        <v>13207</v>
      </c>
      <c r="X2667" s="17" t="str">
        <f>HYPERLINK("https://my.pitchbook.com?p=456709-78P","View People Online")</f>
        <v>View People Online</v>
      </c>
    </row>
    <row r="2668">
      <c r="A2668" s="10" t="s">
        <v>17639</v>
      </c>
      <c r="B2668" s="10" t="s">
        <v>17640</v>
      </c>
      <c r="C2668" s="10" t="s">
        <v>17641</v>
      </c>
      <c r="D2668" s="10" t="s">
        <v>17642</v>
      </c>
      <c r="E2668" s="10" t="s">
        <v>13207</v>
      </c>
      <c r="F2668" s="10" t="s">
        <v>13218</v>
      </c>
      <c r="G2668" s="10" t="s">
        <v>17643</v>
      </c>
      <c r="H2668" s="11" t="s">
        <v>31</v>
      </c>
      <c r="I2668" s="11">
        <v>1.0</v>
      </c>
      <c r="J2668" s="11">
        <v>1.0</v>
      </c>
      <c r="K2668" s="11" t="s">
        <v>31</v>
      </c>
      <c r="L2668" s="12" t="s">
        <v>13916</v>
      </c>
      <c r="M2668" s="10" t="s">
        <v>17644</v>
      </c>
      <c r="N2668" s="10" t="s">
        <v>155</v>
      </c>
      <c r="O2668" s="12" t="s">
        <v>156</v>
      </c>
      <c r="P2668" s="10" t="s">
        <v>13918</v>
      </c>
      <c r="Q2668" s="10" t="s">
        <v>13919</v>
      </c>
      <c r="R2668" s="10" t="s">
        <v>64</v>
      </c>
      <c r="S2668" s="12" t="s">
        <v>1549</v>
      </c>
      <c r="T2668" s="10" t="s">
        <v>66</v>
      </c>
      <c r="U2668" s="12" t="s">
        <v>13920</v>
      </c>
      <c r="V2668" s="10" t="s">
        <v>17645</v>
      </c>
      <c r="W2668" s="10" t="s">
        <v>13207</v>
      </c>
      <c r="X2668" s="13" t="str">
        <f>HYPERLINK("https://my.pitchbook.com?p=315502-93P","View People Online")</f>
        <v>View People Online</v>
      </c>
    </row>
    <row r="2669">
      <c r="A2669" s="14" t="s">
        <v>17646</v>
      </c>
      <c r="B2669" s="14" t="s">
        <v>17647</v>
      </c>
      <c r="C2669" s="14" t="s">
        <v>17648</v>
      </c>
      <c r="D2669" s="14" t="s">
        <v>17649</v>
      </c>
      <c r="E2669" s="14" t="s">
        <v>13207</v>
      </c>
      <c r="F2669" s="14" t="s">
        <v>3523</v>
      </c>
      <c r="G2669" s="14" t="s">
        <v>17650</v>
      </c>
      <c r="H2669" s="15" t="s">
        <v>31</v>
      </c>
      <c r="I2669" s="15">
        <v>1.0</v>
      </c>
      <c r="J2669" s="15">
        <v>1.0</v>
      </c>
      <c r="K2669" s="15" t="s">
        <v>31</v>
      </c>
      <c r="L2669" s="16" t="s">
        <v>13378</v>
      </c>
      <c r="M2669" s="14" t="s">
        <v>17651</v>
      </c>
      <c r="N2669" s="14" t="s">
        <v>429</v>
      </c>
      <c r="O2669" s="16" t="s">
        <v>430</v>
      </c>
      <c r="P2669" s="14" t="s">
        <v>13380</v>
      </c>
      <c r="Q2669" s="14" t="s">
        <v>31</v>
      </c>
      <c r="R2669" s="14" t="s">
        <v>31</v>
      </c>
      <c r="S2669" s="16" t="s">
        <v>13381</v>
      </c>
      <c r="T2669" s="14" t="s">
        <v>433</v>
      </c>
      <c r="U2669" s="16" t="s">
        <v>13382</v>
      </c>
      <c r="V2669" s="14" t="s">
        <v>3523</v>
      </c>
      <c r="W2669" s="14" t="s">
        <v>13207</v>
      </c>
      <c r="X2669" s="17" t="str">
        <f>HYPERLINK("https://my.pitchbook.com?p=435188-53P","View People Online")</f>
        <v>View People Online</v>
      </c>
    </row>
    <row r="2670">
      <c r="A2670" s="2" t="s">
        <v>17652</v>
      </c>
      <c r="B2670" s="2" t="s">
        <v>17653</v>
      </c>
      <c r="C2670" s="2" t="s">
        <v>17654</v>
      </c>
      <c r="D2670" s="2" t="s">
        <v>17655</v>
      </c>
      <c r="E2670" s="2" t="s">
        <v>13207</v>
      </c>
      <c r="F2670" s="2" t="s">
        <v>3523</v>
      </c>
      <c r="G2670" s="2" t="s">
        <v>17656</v>
      </c>
      <c r="H2670" s="3" t="s">
        <v>31</v>
      </c>
      <c r="I2670" s="3">
        <v>1.0</v>
      </c>
      <c r="J2670" s="3">
        <v>1.0</v>
      </c>
      <c r="K2670" s="3" t="s">
        <v>31</v>
      </c>
      <c r="L2670" s="4" t="s">
        <v>15671</v>
      </c>
      <c r="M2670" s="2" t="s">
        <v>17657</v>
      </c>
      <c r="N2670" s="2" t="s">
        <v>15673</v>
      </c>
      <c r="O2670" s="4" t="s">
        <v>15674</v>
      </c>
      <c r="P2670" s="2" t="s">
        <v>15675</v>
      </c>
      <c r="Q2670" s="2" t="s">
        <v>6654</v>
      </c>
      <c r="R2670" s="2" t="s">
        <v>15676</v>
      </c>
      <c r="S2670" s="4" t="s">
        <v>15677</v>
      </c>
      <c r="T2670" s="2" t="s">
        <v>66</v>
      </c>
      <c r="U2670" s="4" t="s">
        <v>15678</v>
      </c>
      <c r="V2670" s="2" t="s">
        <v>3523</v>
      </c>
      <c r="W2670" s="2" t="s">
        <v>13207</v>
      </c>
      <c r="X2670" s="5" t="str">
        <f>HYPERLINK("https://my.pitchbook.com?p=456060-70P","View People Online")</f>
        <v>View People Online</v>
      </c>
    </row>
    <row r="2671">
      <c r="A2671" s="14" t="s">
        <v>17658</v>
      </c>
      <c r="B2671" s="14" t="s">
        <v>17659</v>
      </c>
      <c r="C2671" s="14" t="s">
        <v>3670</v>
      </c>
      <c r="D2671" s="14" t="s">
        <v>17660</v>
      </c>
      <c r="E2671" s="14" t="s">
        <v>13207</v>
      </c>
      <c r="F2671" s="14" t="s">
        <v>29</v>
      </c>
      <c r="G2671" s="14" t="s">
        <v>17661</v>
      </c>
      <c r="H2671" s="15" t="s">
        <v>31</v>
      </c>
      <c r="I2671" s="15">
        <v>1.0</v>
      </c>
      <c r="J2671" s="15">
        <v>1.0</v>
      </c>
      <c r="K2671" s="15" t="s">
        <v>31</v>
      </c>
      <c r="L2671" s="16" t="s">
        <v>13281</v>
      </c>
      <c r="M2671" s="14" t="s">
        <v>17662</v>
      </c>
      <c r="N2671" s="14" t="s">
        <v>1277</v>
      </c>
      <c r="O2671" s="16" t="s">
        <v>1278</v>
      </c>
      <c r="P2671" s="14" t="s">
        <v>13283</v>
      </c>
      <c r="Q2671" s="14" t="s">
        <v>13284</v>
      </c>
      <c r="R2671" s="14" t="s">
        <v>1281</v>
      </c>
      <c r="S2671" s="16" t="s">
        <v>1282</v>
      </c>
      <c r="T2671" s="14" t="s">
        <v>66</v>
      </c>
      <c r="U2671" s="16" t="s">
        <v>13285</v>
      </c>
      <c r="V2671" s="14" t="s">
        <v>29</v>
      </c>
      <c r="W2671" s="14" t="s">
        <v>13207</v>
      </c>
      <c r="X2671" s="17" t="str">
        <f>HYPERLINK("https://my.pitchbook.com?p=435176-02P","View People Online")</f>
        <v>View People Online</v>
      </c>
    </row>
    <row r="2672">
      <c r="A2672" s="2" t="s">
        <v>17663</v>
      </c>
      <c r="B2672" s="2" t="s">
        <v>17664</v>
      </c>
      <c r="C2672" s="2" t="s">
        <v>3670</v>
      </c>
      <c r="D2672" s="2" t="s">
        <v>907</v>
      </c>
      <c r="E2672" s="2" t="s">
        <v>13207</v>
      </c>
      <c r="F2672" s="2" t="s">
        <v>13307</v>
      </c>
      <c r="G2672" s="2" t="s">
        <v>17665</v>
      </c>
      <c r="H2672" s="3" t="s">
        <v>31</v>
      </c>
      <c r="I2672" s="3">
        <v>1.0</v>
      </c>
      <c r="J2672" s="3">
        <v>1.0</v>
      </c>
      <c r="K2672" s="3" t="s">
        <v>31</v>
      </c>
      <c r="L2672" s="4" t="s">
        <v>13459</v>
      </c>
      <c r="M2672" s="2" t="s">
        <v>17666</v>
      </c>
      <c r="N2672" s="2" t="s">
        <v>3100</v>
      </c>
      <c r="O2672" s="4" t="s">
        <v>3101</v>
      </c>
      <c r="P2672" s="2" t="s">
        <v>13461</v>
      </c>
      <c r="Q2672" s="2" t="s">
        <v>31</v>
      </c>
      <c r="R2672" s="2" t="s">
        <v>31</v>
      </c>
      <c r="S2672" s="4" t="s">
        <v>3103</v>
      </c>
      <c r="T2672" s="2" t="s">
        <v>3104</v>
      </c>
      <c r="U2672" s="4" t="s">
        <v>13462</v>
      </c>
      <c r="V2672" s="2" t="s">
        <v>13317</v>
      </c>
      <c r="W2672" s="2" t="s">
        <v>13207</v>
      </c>
      <c r="X2672" s="5" t="str">
        <f>HYPERLINK("https://my.pitchbook.com?p=435705-40P","View People Online")</f>
        <v>View People Online</v>
      </c>
    </row>
    <row r="2673">
      <c r="A2673" s="6" t="s">
        <v>17667</v>
      </c>
      <c r="B2673" s="6" t="s">
        <v>17668</v>
      </c>
      <c r="C2673" s="6" t="s">
        <v>3670</v>
      </c>
      <c r="D2673" s="6" t="s">
        <v>7941</v>
      </c>
      <c r="E2673" s="6" t="s">
        <v>13207</v>
      </c>
      <c r="F2673" s="6" t="s">
        <v>13218</v>
      </c>
      <c r="G2673" s="6" t="s">
        <v>17669</v>
      </c>
      <c r="H2673" s="7" t="s">
        <v>31</v>
      </c>
      <c r="I2673" s="7">
        <v>1.0</v>
      </c>
      <c r="J2673" s="7">
        <v>1.0</v>
      </c>
      <c r="K2673" s="7" t="s">
        <v>31</v>
      </c>
      <c r="L2673" s="8" t="s">
        <v>13688</v>
      </c>
      <c r="M2673" s="6" t="s">
        <v>17670</v>
      </c>
      <c r="N2673" s="6" t="s">
        <v>3603</v>
      </c>
      <c r="O2673" s="8" t="s">
        <v>3604</v>
      </c>
      <c r="P2673" s="6" t="s">
        <v>13690</v>
      </c>
      <c r="Q2673" s="6" t="s">
        <v>13691</v>
      </c>
      <c r="R2673" s="6" t="s">
        <v>31</v>
      </c>
      <c r="S2673" s="8" t="s">
        <v>31</v>
      </c>
      <c r="T2673" s="6" t="s">
        <v>3603</v>
      </c>
      <c r="U2673" s="8" t="s">
        <v>13692</v>
      </c>
      <c r="V2673" s="6" t="s">
        <v>13218</v>
      </c>
      <c r="W2673" s="6" t="s">
        <v>13207</v>
      </c>
      <c r="X2673" s="9" t="str">
        <f>HYPERLINK("https://my.pitchbook.com?p=435646-54P","View People Online")</f>
        <v>View People Online</v>
      </c>
    </row>
    <row r="2674">
      <c r="A2674" s="2" t="s">
        <v>17671</v>
      </c>
      <c r="B2674" s="2" t="s">
        <v>17672</v>
      </c>
      <c r="C2674" s="2" t="s">
        <v>26</v>
      </c>
      <c r="D2674" s="2" t="s">
        <v>17673</v>
      </c>
      <c r="E2674" s="2" t="s">
        <v>13207</v>
      </c>
      <c r="F2674" s="2" t="s">
        <v>13218</v>
      </c>
      <c r="G2674" s="2" t="s">
        <v>17674</v>
      </c>
      <c r="H2674" s="3" t="s">
        <v>31</v>
      </c>
      <c r="I2674" s="3">
        <v>2.0</v>
      </c>
      <c r="J2674" s="3">
        <v>1.0</v>
      </c>
      <c r="K2674" s="3" t="s">
        <v>31</v>
      </c>
      <c r="L2674" s="4" t="s">
        <v>13743</v>
      </c>
      <c r="M2674" s="2" t="s">
        <v>17675</v>
      </c>
      <c r="N2674" s="2" t="s">
        <v>1034</v>
      </c>
      <c r="O2674" s="4" t="s">
        <v>1035</v>
      </c>
      <c r="P2674" s="2" t="s">
        <v>13745</v>
      </c>
      <c r="Q2674" s="2" t="s">
        <v>13746</v>
      </c>
      <c r="R2674" s="2" t="s">
        <v>31</v>
      </c>
      <c r="S2674" s="4" t="s">
        <v>13747</v>
      </c>
      <c r="T2674" s="2" t="s">
        <v>1034</v>
      </c>
      <c r="U2674" s="4" t="s">
        <v>13748</v>
      </c>
      <c r="V2674" s="2" t="s">
        <v>13218</v>
      </c>
      <c r="W2674" s="2" t="s">
        <v>13207</v>
      </c>
      <c r="X2674" s="5" t="str">
        <f>HYPERLINK("https://my.pitchbook.com?p=388832-59P","View People Online")</f>
        <v>View People Online</v>
      </c>
    </row>
    <row r="2675">
      <c r="A2675" s="6" t="s">
        <v>17676</v>
      </c>
      <c r="B2675" s="6" t="s">
        <v>17677</v>
      </c>
      <c r="C2675" s="6" t="s">
        <v>26</v>
      </c>
      <c r="D2675" s="6" t="s">
        <v>17678</v>
      </c>
      <c r="E2675" s="6" t="s">
        <v>13207</v>
      </c>
      <c r="F2675" s="6" t="s">
        <v>3523</v>
      </c>
      <c r="G2675" s="6" t="s">
        <v>17679</v>
      </c>
      <c r="H2675" s="7" t="s">
        <v>31</v>
      </c>
      <c r="I2675" s="7">
        <v>1.0</v>
      </c>
      <c r="J2675" s="7">
        <v>1.0</v>
      </c>
      <c r="K2675" s="7" t="s">
        <v>31</v>
      </c>
      <c r="L2675" s="8" t="s">
        <v>13642</v>
      </c>
      <c r="M2675" s="6" t="s">
        <v>17680</v>
      </c>
      <c r="N2675" s="6" t="s">
        <v>3334</v>
      </c>
      <c r="O2675" s="8" t="s">
        <v>3335</v>
      </c>
      <c r="P2675" s="6" t="s">
        <v>13644</v>
      </c>
      <c r="Q2675" s="6" t="s">
        <v>13645</v>
      </c>
      <c r="R2675" s="6" t="s">
        <v>31</v>
      </c>
      <c r="S2675" s="8" t="s">
        <v>13646</v>
      </c>
      <c r="T2675" s="6" t="s">
        <v>3339</v>
      </c>
      <c r="U2675" s="8" t="s">
        <v>13647</v>
      </c>
      <c r="V2675" s="6" t="s">
        <v>3523</v>
      </c>
      <c r="W2675" s="6" t="s">
        <v>13207</v>
      </c>
      <c r="X2675" s="9" t="str">
        <f>HYPERLINK("https://my.pitchbook.com?p=436283-83P","View People Online")</f>
        <v>View People Online</v>
      </c>
    </row>
    <row r="2676">
      <c r="A2676" s="10" t="s">
        <v>17681</v>
      </c>
      <c r="B2676" s="10" t="s">
        <v>17682</v>
      </c>
      <c r="C2676" s="10" t="s">
        <v>26</v>
      </c>
      <c r="D2676" s="10" t="s">
        <v>831</v>
      </c>
      <c r="E2676" s="10" t="s">
        <v>13207</v>
      </c>
      <c r="F2676" s="10" t="s">
        <v>3523</v>
      </c>
      <c r="G2676" s="10" t="s">
        <v>17683</v>
      </c>
      <c r="H2676" s="11" t="s">
        <v>31</v>
      </c>
      <c r="I2676" s="11">
        <v>1.0</v>
      </c>
      <c r="J2676" s="11">
        <v>1.0</v>
      </c>
      <c r="K2676" s="11" t="s">
        <v>31</v>
      </c>
      <c r="L2676" s="12" t="s">
        <v>13688</v>
      </c>
      <c r="M2676" s="10" t="s">
        <v>17684</v>
      </c>
      <c r="N2676" s="10" t="s">
        <v>3603</v>
      </c>
      <c r="O2676" s="12" t="s">
        <v>3604</v>
      </c>
      <c r="P2676" s="10" t="s">
        <v>13690</v>
      </c>
      <c r="Q2676" s="10" t="s">
        <v>13691</v>
      </c>
      <c r="R2676" s="10" t="s">
        <v>31</v>
      </c>
      <c r="S2676" s="12" t="s">
        <v>31</v>
      </c>
      <c r="T2676" s="10" t="s">
        <v>3603</v>
      </c>
      <c r="U2676" s="12" t="s">
        <v>13692</v>
      </c>
      <c r="V2676" s="10" t="s">
        <v>3523</v>
      </c>
      <c r="W2676" s="10" t="s">
        <v>13207</v>
      </c>
      <c r="X2676" s="13" t="str">
        <f>HYPERLINK("https://my.pitchbook.com?p=436119-58P","View People Online")</f>
        <v>View People Online</v>
      </c>
    </row>
    <row r="2677">
      <c r="A2677" s="6" t="s">
        <v>17685</v>
      </c>
      <c r="B2677" s="6" t="s">
        <v>17686</v>
      </c>
      <c r="C2677" s="6" t="s">
        <v>17687</v>
      </c>
      <c r="D2677" s="6" t="s">
        <v>17688</v>
      </c>
      <c r="E2677" s="6" t="s">
        <v>13207</v>
      </c>
      <c r="F2677" s="6" t="s">
        <v>3523</v>
      </c>
      <c r="G2677" s="6" t="s">
        <v>17689</v>
      </c>
      <c r="H2677" s="7" t="s">
        <v>31</v>
      </c>
      <c r="I2677" s="7">
        <v>1.0</v>
      </c>
      <c r="J2677" s="7">
        <v>1.0</v>
      </c>
      <c r="K2677" s="7" t="s">
        <v>31</v>
      </c>
      <c r="L2677" s="8" t="s">
        <v>13299</v>
      </c>
      <c r="M2677" s="6" t="s">
        <v>17690</v>
      </c>
      <c r="N2677" s="6" t="s">
        <v>601</v>
      </c>
      <c r="O2677" s="8" t="s">
        <v>602</v>
      </c>
      <c r="P2677" s="6" t="s">
        <v>13301</v>
      </c>
      <c r="Q2677" s="6" t="s">
        <v>13302</v>
      </c>
      <c r="R2677" s="6" t="s">
        <v>31</v>
      </c>
      <c r="S2677" s="8" t="s">
        <v>31</v>
      </c>
      <c r="T2677" s="6" t="s">
        <v>603</v>
      </c>
      <c r="U2677" s="8" t="s">
        <v>13303</v>
      </c>
      <c r="V2677" s="6" t="s">
        <v>3523</v>
      </c>
      <c r="W2677" s="6" t="s">
        <v>13207</v>
      </c>
      <c r="X2677" s="9" t="str">
        <f>HYPERLINK("https://my.pitchbook.com?p=435948-85P","View People Online")</f>
        <v>View People Online</v>
      </c>
    </row>
    <row r="2678">
      <c r="A2678" s="10" t="s">
        <v>17691</v>
      </c>
      <c r="B2678" s="10" t="s">
        <v>17692</v>
      </c>
      <c r="C2678" s="10" t="s">
        <v>4404</v>
      </c>
      <c r="D2678" s="10" t="s">
        <v>17693</v>
      </c>
      <c r="E2678" s="10" t="s">
        <v>13207</v>
      </c>
      <c r="F2678" s="10" t="s">
        <v>13240</v>
      </c>
      <c r="G2678" s="10" t="s">
        <v>17694</v>
      </c>
      <c r="H2678" s="11" t="s">
        <v>31</v>
      </c>
      <c r="I2678" s="11">
        <v>1.0</v>
      </c>
      <c r="J2678" s="11">
        <v>1.0</v>
      </c>
      <c r="K2678" s="11" t="s">
        <v>31</v>
      </c>
      <c r="L2678" s="12" t="s">
        <v>13531</v>
      </c>
      <c r="M2678" s="10" t="s">
        <v>17695</v>
      </c>
      <c r="N2678" s="10" t="s">
        <v>2273</v>
      </c>
      <c r="O2678" s="12" t="s">
        <v>2274</v>
      </c>
      <c r="P2678" s="10" t="s">
        <v>13533</v>
      </c>
      <c r="Q2678" s="10" t="s">
        <v>31</v>
      </c>
      <c r="R2678" s="10" t="s">
        <v>31</v>
      </c>
      <c r="S2678" s="12" t="s">
        <v>13534</v>
      </c>
      <c r="T2678" s="10" t="s">
        <v>2278</v>
      </c>
      <c r="U2678" s="12" t="s">
        <v>13535</v>
      </c>
      <c r="V2678" s="10" t="s">
        <v>17696</v>
      </c>
      <c r="W2678" s="10" t="s">
        <v>13207</v>
      </c>
      <c r="X2678" s="13" t="str">
        <f>HYPERLINK("https://my.pitchbook.com?p=435509-20P","View People Online")</f>
        <v>View People Online</v>
      </c>
    </row>
    <row r="2679">
      <c r="A2679" s="14" t="s">
        <v>17697</v>
      </c>
      <c r="B2679" s="14" t="s">
        <v>17698</v>
      </c>
      <c r="C2679" s="14" t="s">
        <v>17699</v>
      </c>
      <c r="D2679" s="14" t="s">
        <v>17700</v>
      </c>
      <c r="E2679" s="14" t="s">
        <v>13207</v>
      </c>
      <c r="F2679" s="14" t="s">
        <v>13218</v>
      </c>
      <c r="G2679" s="14" t="s">
        <v>17701</v>
      </c>
      <c r="H2679" s="15" t="s">
        <v>31</v>
      </c>
      <c r="I2679" s="15">
        <v>1.0</v>
      </c>
      <c r="J2679" s="15">
        <v>1.0</v>
      </c>
      <c r="K2679" s="15" t="s">
        <v>31</v>
      </c>
      <c r="L2679" s="16" t="s">
        <v>13714</v>
      </c>
      <c r="M2679" s="14" t="s">
        <v>17702</v>
      </c>
      <c r="N2679" s="14" t="s">
        <v>13716</v>
      </c>
      <c r="O2679" s="16" t="s">
        <v>13717</v>
      </c>
      <c r="P2679" s="14" t="s">
        <v>13718</v>
      </c>
      <c r="Q2679" s="14" t="s">
        <v>31</v>
      </c>
      <c r="R2679" s="14" t="s">
        <v>31</v>
      </c>
      <c r="S2679" s="16" t="s">
        <v>13719</v>
      </c>
      <c r="T2679" s="14" t="s">
        <v>38</v>
      </c>
      <c r="U2679" s="16" t="s">
        <v>13720</v>
      </c>
      <c r="V2679" s="14" t="s">
        <v>13218</v>
      </c>
      <c r="W2679" s="14" t="s">
        <v>13207</v>
      </c>
      <c r="X2679" s="17" t="str">
        <f>HYPERLINK("https://my.pitchbook.com?p=435742-84P","View People Online")</f>
        <v>View People Online</v>
      </c>
    </row>
    <row r="2680">
      <c r="A2680" s="10" t="s">
        <v>17703</v>
      </c>
      <c r="B2680" s="10" t="s">
        <v>17704</v>
      </c>
      <c r="C2680" s="10" t="s">
        <v>17699</v>
      </c>
      <c r="D2680" s="10" t="s">
        <v>17705</v>
      </c>
      <c r="E2680" s="10" t="s">
        <v>13207</v>
      </c>
      <c r="F2680" s="10" t="s">
        <v>3523</v>
      </c>
      <c r="G2680" s="10" t="s">
        <v>17706</v>
      </c>
      <c r="H2680" s="11" t="s">
        <v>31</v>
      </c>
      <c r="I2680" s="11">
        <v>1.0</v>
      </c>
      <c r="J2680" s="11">
        <v>1.0</v>
      </c>
      <c r="K2680" s="11" t="s">
        <v>31</v>
      </c>
      <c r="L2680" s="12" t="s">
        <v>13724</v>
      </c>
      <c r="M2680" s="10" t="s">
        <v>17707</v>
      </c>
      <c r="N2680" s="10" t="s">
        <v>34</v>
      </c>
      <c r="O2680" s="12" t="s">
        <v>35</v>
      </c>
      <c r="P2680" s="10" t="s">
        <v>13726</v>
      </c>
      <c r="Q2680" s="10" t="s">
        <v>31</v>
      </c>
      <c r="R2680" s="10" t="s">
        <v>31</v>
      </c>
      <c r="S2680" s="12" t="s">
        <v>13727</v>
      </c>
      <c r="T2680" s="10" t="s">
        <v>38</v>
      </c>
      <c r="U2680" s="12" t="s">
        <v>13728</v>
      </c>
      <c r="V2680" s="10" t="s">
        <v>3523</v>
      </c>
      <c r="W2680" s="10" t="s">
        <v>13207</v>
      </c>
      <c r="X2680" s="13" t="str">
        <f>HYPERLINK("https://my.pitchbook.com?p=435279-43P","View People Online")</f>
        <v>View People Online</v>
      </c>
    </row>
    <row r="2681">
      <c r="A2681" s="14" t="s">
        <v>17708</v>
      </c>
      <c r="B2681" s="14" t="s">
        <v>17709</v>
      </c>
      <c r="C2681" s="14" t="s">
        <v>17699</v>
      </c>
      <c r="D2681" s="14" t="s">
        <v>17710</v>
      </c>
      <c r="E2681" s="14" t="s">
        <v>13207</v>
      </c>
      <c r="F2681" s="14" t="s">
        <v>3523</v>
      </c>
      <c r="G2681" s="14" t="s">
        <v>17711</v>
      </c>
      <c r="H2681" s="15" t="s">
        <v>31</v>
      </c>
      <c r="I2681" s="15">
        <v>1.0</v>
      </c>
      <c r="J2681" s="15">
        <v>1.0</v>
      </c>
      <c r="K2681" s="15" t="s">
        <v>31</v>
      </c>
      <c r="L2681" s="16" t="s">
        <v>13242</v>
      </c>
      <c r="M2681" s="14" t="s">
        <v>17712</v>
      </c>
      <c r="N2681" s="14" t="s">
        <v>9865</v>
      </c>
      <c r="O2681" s="16" t="s">
        <v>9866</v>
      </c>
      <c r="P2681" s="14" t="s">
        <v>13244</v>
      </c>
      <c r="Q2681" s="14" t="s">
        <v>31</v>
      </c>
      <c r="R2681" s="14" t="s">
        <v>31</v>
      </c>
      <c r="S2681" s="16" t="s">
        <v>13245</v>
      </c>
      <c r="T2681" s="14" t="s">
        <v>38</v>
      </c>
      <c r="U2681" s="16" t="s">
        <v>13246</v>
      </c>
      <c r="V2681" s="14" t="s">
        <v>3523</v>
      </c>
      <c r="W2681" s="14" t="s">
        <v>13207</v>
      </c>
      <c r="X2681" s="17" t="str">
        <f>HYPERLINK("https://my.pitchbook.com?p=434813-95P","View People Online")</f>
        <v>View People Online</v>
      </c>
    </row>
    <row r="2682">
      <c r="A2682" s="10" t="s">
        <v>17713</v>
      </c>
      <c r="B2682" s="10" t="s">
        <v>17714</v>
      </c>
      <c r="C2682" s="10" t="s">
        <v>17699</v>
      </c>
      <c r="D2682" s="10" t="s">
        <v>17715</v>
      </c>
      <c r="E2682" s="10" t="s">
        <v>13207</v>
      </c>
      <c r="F2682" s="10" t="s">
        <v>13240</v>
      </c>
      <c r="G2682" s="10" t="s">
        <v>17716</v>
      </c>
      <c r="H2682" s="11" t="s">
        <v>31</v>
      </c>
      <c r="I2682" s="11">
        <v>1.0</v>
      </c>
      <c r="J2682" s="11">
        <v>1.0</v>
      </c>
      <c r="K2682" s="11" t="s">
        <v>31</v>
      </c>
      <c r="L2682" s="12" t="s">
        <v>13459</v>
      </c>
      <c r="M2682" s="10" t="s">
        <v>17717</v>
      </c>
      <c r="N2682" s="10" t="s">
        <v>3100</v>
      </c>
      <c r="O2682" s="12" t="s">
        <v>3101</v>
      </c>
      <c r="P2682" s="10" t="s">
        <v>13461</v>
      </c>
      <c r="Q2682" s="10" t="s">
        <v>31</v>
      </c>
      <c r="R2682" s="10" t="s">
        <v>31</v>
      </c>
      <c r="S2682" s="12" t="s">
        <v>3103</v>
      </c>
      <c r="T2682" s="10" t="s">
        <v>3104</v>
      </c>
      <c r="U2682" s="12" t="s">
        <v>13462</v>
      </c>
      <c r="V2682" s="10" t="s">
        <v>17718</v>
      </c>
      <c r="W2682" s="10" t="s">
        <v>13207</v>
      </c>
      <c r="X2682" s="13" t="str">
        <f>HYPERLINK("https://my.pitchbook.com?p=455325-40P","View People Online")</f>
        <v>View People Online</v>
      </c>
    </row>
    <row r="2683">
      <c r="A2683" s="14" t="s">
        <v>17719</v>
      </c>
      <c r="B2683" s="14" t="s">
        <v>17720</v>
      </c>
      <c r="C2683" s="14" t="s">
        <v>17699</v>
      </c>
      <c r="D2683" s="14" t="s">
        <v>17721</v>
      </c>
      <c r="E2683" s="14" t="s">
        <v>13207</v>
      </c>
      <c r="F2683" s="14" t="s">
        <v>3523</v>
      </c>
      <c r="G2683" s="14" t="s">
        <v>17722</v>
      </c>
      <c r="H2683" s="15" t="s">
        <v>31</v>
      </c>
      <c r="I2683" s="15">
        <v>1.0</v>
      </c>
      <c r="J2683" s="15">
        <v>1.0</v>
      </c>
      <c r="K2683" s="15" t="s">
        <v>31</v>
      </c>
      <c r="L2683" s="16" t="s">
        <v>15050</v>
      </c>
      <c r="M2683" s="14" t="s">
        <v>17723</v>
      </c>
      <c r="N2683" s="14" t="s">
        <v>15052</v>
      </c>
      <c r="O2683" s="16" t="s">
        <v>15053</v>
      </c>
      <c r="P2683" s="14" t="s">
        <v>15054</v>
      </c>
      <c r="Q2683" s="14" t="s">
        <v>15055</v>
      </c>
      <c r="R2683" s="14" t="s">
        <v>31</v>
      </c>
      <c r="S2683" s="16" t="s">
        <v>15056</v>
      </c>
      <c r="T2683" s="14" t="s">
        <v>38</v>
      </c>
      <c r="U2683" s="16" t="s">
        <v>15057</v>
      </c>
      <c r="V2683" s="14" t="s">
        <v>3523</v>
      </c>
      <c r="W2683" s="14" t="s">
        <v>13207</v>
      </c>
      <c r="X2683" s="17" t="str">
        <f>HYPERLINK("https://my.pitchbook.com?p=456538-87P","View People Online")</f>
        <v>View People Online</v>
      </c>
    </row>
    <row r="2684">
      <c r="A2684" s="10" t="s">
        <v>17724</v>
      </c>
      <c r="B2684" s="10" t="s">
        <v>17725</v>
      </c>
      <c r="C2684" s="10" t="s">
        <v>17699</v>
      </c>
      <c r="D2684" s="10" t="s">
        <v>17726</v>
      </c>
      <c r="E2684" s="10" t="s">
        <v>13207</v>
      </c>
      <c r="F2684" s="10" t="s">
        <v>17727</v>
      </c>
      <c r="G2684" s="10" t="s">
        <v>17728</v>
      </c>
      <c r="H2684" s="11" t="s">
        <v>31</v>
      </c>
      <c r="I2684" s="11">
        <v>1.0</v>
      </c>
      <c r="J2684" s="11">
        <v>1.0</v>
      </c>
      <c r="K2684" s="11" t="s">
        <v>31</v>
      </c>
      <c r="L2684" s="12" t="s">
        <v>13242</v>
      </c>
      <c r="M2684" s="10" t="s">
        <v>17729</v>
      </c>
      <c r="N2684" s="10" t="s">
        <v>9865</v>
      </c>
      <c r="O2684" s="12" t="s">
        <v>9866</v>
      </c>
      <c r="P2684" s="10" t="s">
        <v>13244</v>
      </c>
      <c r="Q2684" s="10" t="s">
        <v>31</v>
      </c>
      <c r="R2684" s="10" t="s">
        <v>31</v>
      </c>
      <c r="S2684" s="12" t="s">
        <v>13245</v>
      </c>
      <c r="T2684" s="10" t="s">
        <v>38</v>
      </c>
      <c r="U2684" s="12" t="s">
        <v>13246</v>
      </c>
      <c r="V2684" s="10" t="s">
        <v>17730</v>
      </c>
      <c r="W2684" s="10" t="s">
        <v>13207</v>
      </c>
      <c r="X2684" s="13" t="str">
        <f>HYPERLINK("https://my.pitchbook.com?p=195942-25P","View People Online")</f>
        <v>View People Online</v>
      </c>
    </row>
    <row r="2685">
      <c r="A2685" s="6" t="s">
        <v>17731</v>
      </c>
      <c r="B2685" s="6" t="s">
        <v>17732</v>
      </c>
      <c r="C2685" s="6" t="s">
        <v>17699</v>
      </c>
      <c r="D2685" s="6" t="s">
        <v>17733</v>
      </c>
      <c r="E2685" s="6" t="s">
        <v>13207</v>
      </c>
      <c r="F2685" s="6" t="s">
        <v>318</v>
      </c>
      <c r="G2685" s="6" t="s">
        <v>17734</v>
      </c>
      <c r="H2685" s="7" t="s">
        <v>31</v>
      </c>
      <c r="I2685" s="7">
        <v>1.0</v>
      </c>
      <c r="J2685" s="7">
        <v>1.0</v>
      </c>
      <c r="K2685" s="7" t="s">
        <v>31</v>
      </c>
      <c r="L2685" s="8" t="s">
        <v>13242</v>
      </c>
      <c r="M2685" s="6" t="s">
        <v>17735</v>
      </c>
      <c r="N2685" s="6" t="s">
        <v>9865</v>
      </c>
      <c r="O2685" s="8" t="s">
        <v>9866</v>
      </c>
      <c r="P2685" s="6" t="s">
        <v>13244</v>
      </c>
      <c r="Q2685" s="6" t="s">
        <v>31</v>
      </c>
      <c r="R2685" s="6" t="s">
        <v>31</v>
      </c>
      <c r="S2685" s="8" t="s">
        <v>13245</v>
      </c>
      <c r="T2685" s="6" t="s">
        <v>38</v>
      </c>
      <c r="U2685" s="8" t="s">
        <v>13246</v>
      </c>
      <c r="V2685" s="6" t="s">
        <v>17736</v>
      </c>
      <c r="W2685" s="6" t="s">
        <v>13207</v>
      </c>
      <c r="X2685" s="9" t="str">
        <f>HYPERLINK("https://my.pitchbook.com?p=434830-78P","View People Online")</f>
        <v>View People Online</v>
      </c>
    </row>
    <row r="2686">
      <c r="A2686" s="10" t="s">
        <v>17737</v>
      </c>
      <c r="B2686" s="10" t="s">
        <v>17738</v>
      </c>
      <c r="C2686" s="10" t="s">
        <v>350</v>
      </c>
      <c r="D2686" s="10" t="s">
        <v>17739</v>
      </c>
      <c r="E2686" s="10" t="s">
        <v>13207</v>
      </c>
      <c r="F2686" s="10" t="s">
        <v>3523</v>
      </c>
      <c r="G2686" s="10" t="s">
        <v>17740</v>
      </c>
      <c r="H2686" s="11" t="s">
        <v>31</v>
      </c>
      <c r="I2686" s="11">
        <v>1.0</v>
      </c>
      <c r="J2686" s="11">
        <v>1.0</v>
      </c>
      <c r="K2686" s="11" t="s">
        <v>31</v>
      </c>
      <c r="L2686" s="12" t="s">
        <v>13423</v>
      </c>
      <c r="M2686" s="10" t="s">
        <v>17741</v>
      </c>
      <c r="N2686" s="10" t="s">
        <v>243</v>
      </c>
      <c r="O2686" s="12" t="s">
        <v>244</v>
      </c>
      <c r="P2686" s="10" t="s">
        <v>13425</v>
      </c>
      <c r="Q2686" s="10" t="s">
        <v>31</v>
      </c>
      <c r="R2686" s="10" t="s">
        <v>247</v>
      </c>
      <c r="S2686" s="12" t="s">
        <v>13426</v>
      </c>
      <c r="T2686" s="10" t="s">
        <v>249</v>
      </c>
      <c r="U2686" s="12" t="s">
        <v>31</v>
      </c>
      <c r="V2686" s="10" t="s">
        <v>17571</v>
      </c>
      <c r="W2686" s="10" t="s">
        <v>13207</v>
      </c>
      <c r="X2686" s="13" t="str">
        <f>HYPERLINK("https://my.pitchbook.com?p=195943-78P","View People Online")</f>
        <v>View People Online</v>
      </c>
    </row>
    <row r="2687">
      <c r="A2687" s="6" t="s">
        <v>17742</v>
      </c>
      <c r="B2687" s="6" t="s">
        <v>17743</v>
      </c>
      <c r="C2687" s="6" t="s">
        <v>350</v>
      </c>
      <c r="D2687" s="6" t="s">
        <v>17744</v>
      </c>
      <c r="E2687" s="6" t="s">
        <v>13207</v>
      </c>
      <c r="F2687" s="6" t="s">
        <v>3523</v>
      </c>
      <c r="G2687" s="6" t="s">
        <v>17745</v>
      </c>
      <c r="H2687" s="7" t="s">
        <v>31</v>
      </c>
      <c r="I2687" s="7">
        <v>1.0</v>
      </c>
      <c r="J2687" s="7">
        <v>1.0</v>
      </c>
      <c r="K2687" s="7" t="s">
        <v>31</v>
      </c>
      <c r="L2687" s="8" t="s">
        <v>13209</v>
      </c>
      <c r="M2687" s="6" t="s">
        <v>17746</v>
      </c>
      <c r="N2687" s="6" t="s">
        <v>4232</v>
      </c>
      <c r="O2687" s="8" t="s">
        <v>4233</v>
      </c>
      <c r="P2687" s="6" t="s">
        <v>13211</v>
      </c>
      <c r="Q2687" s="6" t="s">
        <v>31</v>
      </c>
      <c r="R2687" s="6" t="s">
        <v>4236</v>
      </c>
      <c r="S2687" s="8" t="s">
        <v>13212</v>
      </c>
      <c r="T2687" s="6" t="s">
        <v>66</v>
      </c>
      <c r="U2687" s="8" t="s">
        <v>13213</v>
      </c>
      <c r="V2687" s="6" t="s">
        <v>3523</v>
      </c>
      <c r="W2687" s="6" t="s">
        <v>13207</v>
      </c>
      <c r="X2687" s="9" t="str">
        <f>HYPERLINK("https://my.pitchbook.com?p=436688-47P","View People Online")</f>
        <v>View People Online</v>
      </c>
    </row>
    <row r="2688">
      <c r="A2688" s="10" t="s">
        <v>17747</v>
      </c>
      <c r="B2688" s="10" t="s">
        <v>17748</v>
      </c>
      <c r="C2688" s="10" t="s">
        <v>350</v>
      </c>
      <c r="D2688" s="10" t="s">
        <v>17749</v>
      </c>
      <c r="E2688" s="10" t="s">
        <v>13207</v>
      </c>
      <c r="F2688" s="10" t="s">
        <v>3523</v>
      </c>
      <c r="G2688" s="10" t="s">
        <v>17750</v>
      </c>
      <c r="H2688" s="11" t="s">
        <v>31</v>
      </c>
      <c r="I2688" s="11">
        <v>1.0</v>
      </c>
      <c r="J2688" s="11">
        <v>1.0</v>
      </c>
      <c r="K2688" s="11" t="s">
        <v>31</v>
      </c>
      <c r="L2688" s="12" t="s">
        <v>13496</v>
      </c>
      <c r="M2688" s="10" t="s">
        <v>17751</v>
      </c>
      <c r="N2688" s="10" t="s">
        <v>75</v>
      </c>
      <c r="O2688" s="12" t="s">
        <v>76</v>
      </c>
      <c r="P2688" s="10" t="s">
        <v>13498</v>
      </c>
      <c r="Q2688" s="10" t="s">
        <v>31</v>
      </c>
      <c r="R2688" s="10" t="s">
        <v>75</v>
      </c>
      <c r="S2688" s="12" t="s">
        <v>195</v>
      </c>
      <c r="T2688" s="10" t="s">
        <v>66</v>
      </c>
      <c r="U2688" s="12" t="s">
        <v>13499</v>
      </c>
      <c r="V2688" s="10" t="s">
        <v>3523</v>
      </c>
      <c r="W2688" s="10" t="s">
        <v>13207</v>
      </c>
      <c r="X2688" s="13" t="str">
        <f>HYPERLINK("https://my.pitchbook.com?p=455492-44P","View People Online")</f>
        <v>View People Online</v>
      </c>
    </row>
    <row r="2689">
      <c r="A2689" s="6" t="s">
        <v>17752</v>
      </c>
      <c r="B2689" s="6" t="s">
        <v>17753</v>
      </c>
      <c r="C2689" s="6" t="s">
        <v>350</v>
      </c>
      <c r="D2689" s="6" t="s">
        <v>17754</v>
      </c>
      <c r="E2689" s="6" t="s">
        <v>13207</v>
      </c>
      <c r="F2689" s="6" t="s">
        <v>3523</v>
      </c>
      <c r="G2689" s="6" t="s">
        <v>17755</v>
      </c>
      <c r="H2689" s="7" t="s">
        <v>31</v>
      </c>
      <c r="I2689" s="7">
        <v>1.0</v>
      </c>
      <c r="J2689" s="7">
        <v>1.0</v>
      </c>
      <c r="K2689" s="7" t="s">
        <v>31</v>
      </c>
      <c r="L2689" s="8" t="s">
        <v>13274</v>
      </c>
      <c r="M2689" s="6" t="s">
        <v>17756</v>
      </c>
      <c r="N2689" s="6" t="s">
        <v>1181</v>
      </c>
      <c r="O2689" s="8" t="s">
        <v>1182</v>
      </c>
      <c r="P2689" s="6" t="s">
        <v>13276</v>
      </c>
      <c r="Q2689" s="6" t="s">
        <v>31</v>
      </c>
      <c r="R2689" s="6" t="s">
        <v>1185</v>
      </c>
      <c r="S2689" s="8" t="s">
        <v>4438</v>
      </c>
      <c r="T2689" s="6" t="s">
        <v>66</v>
      </c>
      <c r="U2689" s="8" t="s">
        <v>13277</v>
      </c>
      <c r="V2689" s="6" t="s">
        <v>3523</v>
      </c>
      <c r="W2689" s="6" t="s">
        <v>13207</v>
      </c>
      <c r="X2689" s="9" t="str">
        <f>HYPERLINK("https://my.pitchbook.com?p=426882-34P","View People Online")</f>
        <v>View People Online</v>
      </c>
    </row>
    <row r="2690">
      <c r="A2690" s="2" t="s">
        <v>17757</v>
      </c>
      <c r="B2690" s="2" t="s">
        <v>17758</v>
      </c>
      <c r="C2690" s="2" t="s">
        <v>17759</v>
      </c>
      <c r="D2690" s="2" t="s">
        <v>17760</v>
      </c>
      <c r="E2690" s="2" t="s">
        <v>13207</v>
      </c>
      <c r="F2690" s="2" t="s">
        <v>3523</v>
      </c>
      <c r="G2690" s="2" t="s">
        <v>17761</v>
      </c>
      <c r="H2690" s="3" t="s">
        <v>31</v>
      </c>
      <c r="I2690" s="3">
        <v>1.0</v>
      </c>
      <c r="J2690" s="3">
        <v>1.0</v>
      </c>
      <c r="K2690" s="3" t="s">
        <v>31</v>
      </c>
      <c r="L2690" s="4" t="s">
        <v>14331</v>
      </c>
      <c r="M2690" s="2" t="s">
        <v>17762</v>
      </c>
      <c r="N2690" s="2" t="s">
        <v>14333</v>
      </c>
      <c r="O2690" s="4" t="s">
        <v>14334</v>
      </c>
      <c r="P2690" s="2" t="s">
        <v>14335</v>
      </c>
      <c r="Q2690" s="2" t="s">
        <v>14336</v>
      </c>
      <c r="R2690" s="2" t="s">
        <v>31</v>
      </c>
      <c r="S2690" s="4" t="s">
        <v>14337</v>
      </c>
      <c r="T2690" s="2" t="s">
        <v>14338</v>
      </c>
      <c r="U2690" s="4" t="s">
        <v>31</v>
      </c>
      <c r="V2690" s="2" t="s">
        <v>3523</v>
      </c>
      <c r="W2690" s="2" t="s">
        <v>13207</v>
      </c>
      <c r="X2690" s="5" t="str">
        <f>HYPERLINK("https://my.pitchbook.com?p=455498-65P","View People Online")</f>
        <v>View People Online</v>
      </c>
    </row>
    <row r="2691">
      <c r="A2691" s="6" t="s">
        <v>17763</v>
      </c>
      <c r="B2691" s="6" t="s">
        <v>17764</v>
      </c>
      <c r="C2691" s="6" t="s">
        <v>11586</v>
      </c>
      <c r="D2691" s="6" t="s">
        <v>17765</v>
      </c>
      <c r="E2691" s="6" t="s">
        <v>13207</v>
      </c>
      <c r="F2691" s="6" t="s">
        <v>13218</v>
      </c>
      <c r="G2691" s="6" t="s">
        <v>17766</v>
      </c>
      <c r="H2691" s="7" t="s">
        <v>31</v>
      </c>
      <c r="I2691" s="7">
        <v>1.0</v>
      </c>
      <c r="J2691" s="7">
        <v>1.0</v>
      </c>
      <c r="K2691" s="7" t="s">
        <v>31</v>
      </c>
      <c r="L2691" s="8" t="s">
        <v>13378</v>
      </c>
      <c r="M2691" s="6" t="s">
        <v>17767</v>
      </c>
      <c r="N2691" s="6" t="s">
        <v>429</v>
      </c>
      <c r="O2691" s="8" t="s">
        <v>430</v>
      </c>
      <c r="P2691" s="6" t="s">
        <v>13380</v>
      </c>
      <c r="Q2691" s="6" t="s">
        <v>31</v>
      </c>
      <c r="R2691" s="6" t="s">
        <v>31</v>
      </c>
      <c r="S2691" s="8" t="s">
        <v>13381</v>
      </c>
      <c r="T2691" s="6" t="s">
        <v>433</v>
      </c>
      <c r="U2691" s="8" t="s">
        <v>13382</v>
      </c>
      <c r="V2691" s="6" t="s">
        <v>13218</v>
      </c>
      <c r="W2691" s="6" t="s">
        <v>13207</v>
      </c>
      <c r="X2691" s="9" t="str">
        <f>HYPERLINK("https://my.pitchbook.com?p=435332-98P","View People Online")</f>
        <v>View People Online</v>
      </c>
    </row>
    <row r="2692">
      <c r="A2692" s="2" t="s">
        <v>17768</v>
      </c>
      <c r="B2692" s="2" t="s">
        <v>17769</v>
      </c>
      <c r="C2692" s="2" t="s">
        <v>9049</v>
      </c>
      <c r="D2692" s="2" t="s">
        <v>17770</v>
      </c>
      <c r="E2692" s="2" t="s">
        <v>13207</v>
      </c>
      <c r="F2692" s="2" t="s">
        <v>1283</v>
      </c>
      <c r="G2692" s="2" t="s">
        <v>17771</v>
      </c>
      <c r="H2692" s="3" t="s">
        <v>31</v>
      </c>
      <c r="I2692" s="3">
        <v>1.0</v>
      </c>
      <c r="J2692" s="3">
        <v>1.0</v>
      </c>
      <c r="K2692" s="3" t="s">
        <v>31</v>
      </c>
      <c r="L2692" s="4" t="s">
        <v>13496</v>
      </c>
      <c r="M2692" s="2" t="s">
        <v>17772</v>
      </c>
      <c r="N2692" s="2" t="s">
        <v>75</v>
      </c>
      <c r="O2692" s="4" t="s">
        <v>76</v>
      </c>
      <c r="P2692" s="2" t="s">
        <v>13498</v>
      </c>
      <c r="Q2692" s="2" t="s">
        <v>31</v>
      </c>
      <c r="R2692" s="2" t="s">
        <v>75</v>
      </c>
      <c r="S2692" s="4" t="s">
        <v>195</v>
      </c>
      <c r="T2692" s="2" t="s">
        <v>66</v>
      </c>
      <c r="U2692" s="4" t="s">
        <v>13499</v>
      </c>
      <c r="V2692" s="2" t="s">
        <v>1283</v>
      </c>
      <c r="W2692" s="2" t="s">
        <v>13207</v>
      </c>
      <c r="X2692" s="5" t="str">
        <f>HYPERLINK("https://my.pitchbook.com?p=165567-43P","View People Online")</f>
        <v>View People Online</v>
      </c>
    </row>
    <row r="2693">
      <c r="A2693" s="14" t="s">
        <v>17773</v>
      </c>
      <c r="B2693" s="14" t="s">
        <v>17774</v>
      </c>
      <c r="C2693" s="14" t="s">
        <v>17775</v>
      </c>
      <c r="D2693" s="14" t="s">
        <v>17776</v>
      </c>
      <c r="E2693" s="14" t="s">
        <v>13207</v>
      </c>
      <c r="F2693" s="14" t="s">
        <v>13218</v>
      </c>
      <c r="G2693" s="14" t="s">
        <v>17777</v>
      </c>
      <c r="H2693" s="15" t="s">
        <v>31</v>
      </c>
      <c r="I2693" s="15">
        <v>1.0</v>
      </c>
      <c r="J2693" s="15">
        <v>1.0</v>
      </c>
      <c r="K2693" s="15" t="s">
        <v>31</v>
      </c>
      <c r="L2693" s="16" t="s">
        <v>14142</v>
      </c>
      <c r="M2693" s="14" t="s">
        <v>17778</v>
      </c>
      <c r="N2693" s="14" t="s">
        <v>273</v>
      </c>
      <c r="O2693" s="16" t="s">
        <v>274</v>
      </c>
      <c r="P2693" s="14" t="s">
        <v>14144</v>
      </c>
      <c r="Q2693" s="14" t="s">
        <v>31</v>
      </c>
      <c r="R2693" s="14" t="s">
        <v>31</v>
      </c>
      <c r="S2693" s="16" t="s">
        <v>14145</v>
      </c>
      <c r="T2693" s="14" t="s">
        <v>276</v>
      </c>
      <c r="U2693" s="16" t="s">
        <v>14146</v>
      </c>
      <c r="V2693" s="14" t="s">
        <v>13218</v>
      </c>
      <c r="W2693" s="14" t="s">
        <v>13207</v>
      </c>
      <c r="X2693" s="17" t="str">
        <f>HYPERLINK("https://my.pitchbook.com?p=435497-59P","View People Online")</f>
        <v>View People Online</v>
      </c>
    </row>
    <row r="2694">
      <c r="A2694" s="10" t="s">
        <v>17779</v>
      </c>
      <c r="B2694" s="10" t="s">
        <v>17780</v>
      </c>
      <c r="C2694" s="10" t="s">
        <v>17775</v>
      </c>
      <c r="D2694" s="10" t="s">
        <v>17781</v>
      </c>
      <c r="E2694" s="10" t="s">
        <v>13207</v>
      </c>
      <c r="F2694" s="10" t="s">
        <v>13218</v>
      </c>
      <c r="G2694" s="10" t="s">
        <v>17782</v>
      </c>
      <c r="H2694" s="11" t="s">
        <v>31</v>
      </c>
      <c r="I2694" s="11">
        <v>1.0</v>
      </c>
      <c r="J2694" s="11">
        <v>1.0</v>
      </c>
      <c r="K2694" s="11" t="s">
        <v>31</v>
      </c>
      <c r="L2694" s="12" t="s">
        <v>13423</v>
      </c>
      <c r="M2694" s="10" t="s">
        <v>17783</v>
      </c>
      <c r="N2694" s="10" t="s">
        <v>243</v>
      </c>
      <c r="O2694" s="12" t="s">
        <v>244</v>
      </c>
      <c r="P2694" s="10" t="s">
        <v>13425</v>
      </c>
      <c r="Q2694" s="10" t="s">
        <v>31</v>
      </c>
      <c r="R2694" s="10" t="s">
        <v>247</v>
      </c>
      <c r="S2694" s="12" t="s">
        <v>13426</v>
      </c>
      <c r="T2694" s="10" t="s">
        <v>249</v>
      </c>
      <c r="U2694" s="12" t="s">
        <v>31</v>
      </c>
      <c r="V2694" s="10" t="s">
        <v>14182</v>
      </c>
      <c r="W2694" s="10" t="s">
        <v>13207</v>
      </c>
      <c r="X2694" s="13" t="str">
        <f>HYPERLINK("https://my.pitchbook.com?p=63303-85P","View People Online")</f>
        <v>View People Online</v>
      </c>
    </row>
    <row r="2695">
      <c r="A2695" s="14" t="s">
        <v>17784</v>
      </c>
      <c r="B2695" s="14" t="s">
        <v>17785</v>
      </c>
      <c r="C2695" s="14" t="s">
        <v>5071</v>
      </c>
      <c r="D2695" s="14" t="s">
        <v>17786</v>
      </c>
      <c r="E2695" s="14" t="s">
        <v>13207</v>
      </c>
      <c r="F2695" s="14" t="s">
        <v>17787</v>
      </c>
      <c r="G2695" s="14" t="s">
        <v>17788</v>
      </c>
      <c r="H2695" s="15" t="s">
        <v>31</v>
      </c>
      <c r="I2695" s="15">
        <v>1.0</v>
      </c>
      <c r="J2695" s="15">
        <v>1.0</v>
      </c>
      <c r="K2695" s="15" t="s">
        <v>31</v>
      </c>
      <c r="L2695" s="16" t="s">
        <v>13378</v>
      </c>
      <c r="M2695" s="14" t="s">
        <v>17789</v>
      </c>
      <c r="N2695" s="14" t="s">
        <v>429</v>
      </c>
      <c r="O2695" s="16" t="s">
        <v>430</v>
      </c>
      <c r="P2695" s="14" t="s">
        <v>13380</v>
      </c>
      <c r="Q2695" s="14" t="s">
        <v>31</v>
      </c>
      <c r="R2695" s="14" t="s">
        <v>31</v>
      </c>
      <c r="S2695" s="16" t="s">
        <v>13381</v>
      </c>
      <c r="T2695" s="14" t="s">
        <v>433</v>
      </c>
      <c r="U2695" s="16" t="s">
        <v>13382</v>
      </c>
      <c r="V2695" s="14" t="s">
        <v>17790</v>
      </c>
      <c r="W2695" s="14" t="s">
        <v>13207</v>
      </c>
      <c r="X2695" s="17" t="str">
        <f>HYPERLINK("https://my.pitchbook.com?p=456282-46P","View People Online")</f>
        <v>View People Online</v>
      </c>
    </row>
    <row r="2696">
      <c r="A2696" s="2" t="s">
        <v>17791</v>
      </c>
      <c r="B2696" s="2" t="s">
        <v>17792</v>
      </c>
      <c r="C2696" s="2" t="s">
        <v>5071</v>
      </c>
      <c r="D2696" s="2" t="s">
        <v>17793</v>
      </c>
      <c r="E2696" s="2" t="s">
        <v>13207</v>
      </c>
      <c r="F2696" s="2" t="s">
        <v>3523</v>
      </c>
      <c r="G2696" s="2" t="s">
        <v>17794</v>
      </c>
      <c r="H2696" s="3" t="s">
        <v>31</v>
      </c>
      <c r="I2696" s="3">
        <v>1.0</v>
      </c>
      <c r="J2696" s="3">
        <v>1.0</v>
      </c>
      <c r="K2696" s="3" t="s">
        <v>31</v>
      </c>
      <c r="L2696" s="4" t="s">
        <v>13724</v>
      </c>
      <c r="M2696" s="2" t="s">
        <v>17795</v>
      </c>
      <c r="N2696" s="2" t="s">
        <v>34</v>
      </c>
      <c r="O2696" s="4" t="s">
        <v>35</v>
      </c>
      <c r="P2696" s="2" t="s">
        <v>13726</v>
      </c>
      <c r="Q2696" s="2" t="s">
        <v>31</v>
      </c>
      <c r="R2696" s="2" t="s">
        <v>31</v>
      </c>
      <c r="S2696" s="4" t="s">
        <v>13727</v>
      </c>
      <c r="T2696" s="2" t="s">
        <v>38</v>
      </c>
      <c r="U2696" s="4" t="s">
        <v>13728</v>
      </c>
      <c r="V2696" s="2" t="s">
        <v>3523</v>
      </c>
      <c r="W2696" s="2" t="s">
        <v>13207</v>
      </c>
      <c r="X2696" s="5" t="str">
        <f>HYPERLINK("https://my.pitchbook.com?p=435189-52P","View People Online")</f>
        <v>View People Online</v>
      </c>
    </row>
    <row r="2697">
      <c r="A2697" s="14" t="s">
        <v>17796</v>
      </c>
      <c r="B2697" s="14" t="s">
        <v>17797</v>
      </c>
      <c r="C2697" s="14" t="s">
        <v>5071</v>
      </c>
      <c r="D2697" s="14" t="s">
        <v>17798</v>
      </c>
      <c r="E2697" s="14" t="s">
        <v>13207</v>
      </c>
      <c r="F2697" s="14" t="s">
        <v>3523</v>
      </c>
      <c r="G2697" s="14" t="s">
        <v>17799</v>
      </c>
      <c r="H2697" s="15" t="s">
        <v>31</v>
      </c>
      <c r="I2697" s="15">
        <v>1.0</v>
      </c>
      <c r="J2697" s="15">
        <v>1.0</v>
      </c>
      <c r="K2697" s="15" t="s">
        <v>31</v>
      </c>
      <c r="L2697" s="16" t="s">
        <v>13423</v>
      </c>
      <c r="M2697" s="14" t="s">
        <v>17800</v>
      </c>
      <c r="N2697" s="14" t="s">
        <v>243</v>
      </c>
      <c r="O2697" s="16" t="s">
        <v>244</v>
      </c>
      <c r="P2697" s="14" t="s">
        <v>13425</v>
      </c>
      <c r="Q2697" s="14" t="s">
        <v>31</v>
      </c>
      <c r="R2697" s="14" t="s">
        <v>247</v>
      </c>
      <c r="S2697" s="16" t="s">
        <v>13426</v>
      </c>
      <c r="T2697" s="14" t="s">
        <v>249</v>
      </c>
      <c r="U2697" s="16" t="s">
        <v>31</v>
      </c>
      <c r="V2697" s="14" t="s">
        <v>3523</v>
      </c>
      <c r="W2697" s="14" t="s">
        <v>13207</v>
      </c>
      <c r="X2697" s="17" t="str">
        <f>HYPERLINK("https://my.pitchbook.com?p=156906-10P","View People Online")</f>
        <v>View People Online</v>
      </c>
    </row>
    <row r="2698">
      <c r="A2698" s="10" t="s">
        <v>17801</v>
      </c>
      <c r="B2698" s="10" t="s">
        <v>17802</v>
      </c>
      <c r="C2698" s="10" t="s">
        <v>17803</v>
      </c>
      <c r="D2698" s="10" t="s">
        <v>17804</v>
      </c>
      <c r="E2698" s="10" t="s">
        <v>13207</v>
      </c>
      <c r="F2698" s="10" t="s">
        <v>3523</v>
      </c>
      <c r="G2698" s="10" t="s">
        <v>17805</v>
      </c>
      <c r="H2698" s="11" t="s">
        <v>31</v>
      </c>
      <c r="I2698" s="11">
        <v>1.0</v>
      </c>
      <c r="J2698" s="11">
        <v>1.0</v>
      </c>
      <c r="K2698" s="11" t="s">
        <v>31</v>
      </c>
      <c r="L2698" s="12" t="s">
        <v>13531</v>
      </c>
      <c r="M2698" s="10" t="s">
        <v>17806</v>
      </c>
      <c r="N2698" s="10" t="s">
        <v>2273</v>
      </c>
      <c r="O2698" s="12" t="s">
        <v>2274</v>
      </c>
      <c r="P2698" s="10" t="s">
        <v>13533</v>
      </c>
      <c r="Q2698" s="10" t="s">
        <v>31</v>
      </c>
      <c r="R2698" s="10" t="s">
        <v>31</v>
      </c>
      <c r="S2698" s="12" t="s">
        <v>13534</v>
      </c>
      <c r="T2698" s="10" t="s">
        <v>2278</v>
      </c>
      <c r="U2698" s="12" t="s">
        <v>13535</v>
      </c>
      <c r="V2698" s="10" t="s">
        <v>3523</v>
      </c>
      <c r="W2698" s="10" t="s">
        <v>13207</v>
      </c>
      <c r="X2698" s="13" t="str">
        <f>HYPERLINK("https://my.pitchbook.com?p=435968-83P","View People Online")</f>
        <v>View People Online</v>
      </c>
    </row>
    <row r="2699">
      <c r="A2699" s="6" t="s">
        <v>17807</v>
      </c>
      <c r="B2699" s="6" t="s">
        <v>17808</v>
      </c>
      <c r="C2699" s="6" t="s">
        <v>17809</v>
      </c>
      <c r="D2699" s="6" t="s">
        <v>2469</v>
      </c>
      <c r="E2699" s="6" t="s">
        <v>13207</v>
      </c>
      <c r="F2699" s="6" t="s">
        <v>13218</v>
      </c>
      <c r="G2699" s="6" t="s">
        <v>17810</v>
      </c>
      <c r="H2699" s="7" t="s">
        <v>31</v>
      </c>
      <c r="I2699" s="7">
        <v>1.0</v>
      </c>
      <c r="J2699" s="7">
        <v>1.0</v>
      </c>
      <c r="K2699" s="7" t="s">
        <v>31</v>
      </c>
      <c r="L2699" s="8" t="s">
        <v>15095</v>
      </c>
      <c r="M2699" s="6" t="s">
        <v>17811</v>
      </c>
      <c r="N2699" s="6" t="s">
        <v>6960</v>
      </c>
      <c r="O2699" s="8" t="s">
        <v>6961</v>
      </c>
      <c r="P2699" s="6" t="s">
        <v>15097</v>
      </c>
      <c r="Q2699" s="6" t="s">
        <v>15098</v>
      </c>
      <c r="R2699" s="6" t="s">
        <v>15099</v>
      </c>
      <c r="S2699" s="8" t="s">
        <v>15100</v>
      </c>
      <c r="T2699" s="6" t="s">
        <v>6962</v>
      </c>
      <c r="U2699" s="8" t="s">
        <v>15101</v>
      </c>
      <c r="V2699" s="6" t="s">
        <v>13218</v>
      </c>
      <c r="W2699" s="6" t="s">
        <v>13207</v>
      </c>
      <c r="X2699" s="9" t="str">
        <f>HYPERLINK("https://my.pitchbook.com?p=403365-43P","View People Online")</f>
        <v>View People Online</v>
      </c>
    </row>
    <row r="2700">
      <c r="A2700" s="10" t="s">
        <v>17812</v>
      </c>
      <c r="B2700" s="10" t="s">
        <v>17813</v>
      </c>
      <c r="C2700" s="10" t="s">
        <v>17814</v>
      </c>
      <c r="D2700" s="10" t="s">
        <v>5179</v>
      </c>
      <c r="E2700" s="10" t="s">
        <v>13207</v>
      </c>
      <c r="F2700" s="10" t="s">
        <v>3523</v>
      </c>
      <c r="G2700" s="10" t="s">
        <v>17815</v>
      </c>
      <c r="H2700" s="11" t="s">
        <v>31</v>
      </c>
      <c r="I2700" s="11">
        <v>1.0</v>
      </c>
      <c r="J2700" s="11">
        <v>1.0</v>
      </c>
      <c r="K2700" s="11" t="s">
        <v>31</v>
      </c>
      <c r="L2700" s="12" t="s">
        <v>15095</v>
      </c>
      <c r="M2700" s="10" t="s">
        <v>17816</v>
      </c>
      <c r="N2700" s="10" t="s">
        <v>6960</v>
      </c>
      <c r="O2700" s="12" t="s">
        <v>6961</v>
      </c>
      <c r="P2700" s="10" t="s">
        <v>15097</v>
      </c>
      <c r="Q2700" s="10" t="s">
        <v>15098</v>
      </c>
      <c r="R2700" s="10" t="s">
        <v>15099</v>
      </c>
      <c r="S2700" s="12" t="s">
        <v>15100</v>
      </c>
      <c r="T2700" s="10" t="s">
        <v>6962</v>
      </c>
      <c r="U2700" s="12" t="s">
        <v>15101</v>
      </c>
      <c r="V2700" s="10" t="s">
        <v>3523</v>
      </c>
      <c r="W2700" s="10" t="s">
        <v>13207</v>
      </c>
      <c r="X2700" s="13" t="str">
        <f>HYPERLINK("https://my.pitchbook.com?p=436174-12P","View People Online")</f>
        <v>View People Online</v>
      </c>
    </row>
    <row r="2701">
      <c r="A2701" s="14" t="s">
        <v>17817</v>
      </c>
      <c r="B2701" s="14" t="s">
        <v>17818</v>
      </c>
      <c r="C2701" s="14" t="s">
        <v>17819</v>
      </c>
      <c r="D2701" s="14" t="s">
        <v>17820</v>
      </c>
      <c r="E2701" s="14" t="s">
        <v>13207</v>
      </c>
      <c r="F2701" s="14" t="s">
        <v>1283</v>
      </c>
      <c r="G2701" s="14" t="s">
        <v>17821</v>
      </c>
      <c r="H2701" s="15" t="s">
        <v>31</v>
      </c>
      <c r="I2701" s="15">
        <v>1.0</v>
      </c>
      <c r="J2701" s="15">
        <v>1.0</v>
      </c>
      <c r="K2701" s="15" t="s">
        <v>31</v>
      </c>
      <c r="L2701" s="16" t="s">
        <v>13549</v>
      </c>
      <c r="M2701" s="14" t="s">
        <v>17822</v>
      </c>
      <c r="N2701" s="14" t="s">
        <v>794</v>
      </c>
      <c r="O2701" s="16" t="s">
        <v>795</v>
      </c>
      <c r="P2701" s="14" t="s">
        <v>13551</v>
      </c>
      <c r="Q2701" s="14" t="s">
        <v>13552</v>
      </c>
      <c r="R2701" s="14" t="s">
        <v>31</v>
      </c>
      <c r="S2701" s="16" t="s">
        <v>13553</v>
      </c>
      <c r="T2701" s="14" t="s">
        <v>796</v>
      </c>
      <c r="U2701" s="16" t="s">
        <v>13554</v>
      </c>
      <c r="V2701" s="14" t="s">
        <v>14540</v>
      </c>
      <c r="W2701" s="14" t="s">
        <v>13207</v>
      </c>
      <c r="X2701" s="17" t="str">
        <f>HYPERLINK("https://my.pitchbook.com?p=455588-83P","View People Online")</f>
        <v>View People Online</v>
      </c>
    </row>
    <row r="2702">
      <c r="A2702" s="10" t="s">
        <v>17823</v>
      </c>
      <c r="B2702" s="10" t="s">
        <v>17824</v>
      </c>
      <c r="C2702" s="10" t="s">
        <v>1752</v>
      </c>
      <c r="D2702" s="10" t="s">
        <v>1073</v>
      </c>
      <c r="E2702" s="10" t="s">
        <v>13207</v>
      </c>
      <c r="F2702" s="10" t="s">
        <v>3523</v>
      </c>
      <c r="G2702" s="10" t="s">
        <v>17825</v>
      </c>
      <c r="H2702" s="11" t="s">
        <v>31</v>
      </c>
      <c r="I2702" s="11">
        <v>2.0</v>
      </c>
      <c r="J2702" s="11">
        <v>2.0</v>
      </c>
      <c r="K2702" s="11" t="s">
        <v>31</v>
      </c>
      <c r="L2702" s="12" t="s">
        <v>13412</v>
      </c>
      <c r="M2702" s="10" t="s">
        <v>17826</v>
      </c>
      <c r="N2702" s="10" t="s">
        <v>13414</v>
      </c>
      <c r="O2702" s="12" t="s">
        <v>13415</v>
      </c>
      <c r="P2702" s="10" t="s">
        <v>13416</v>
      </c>
      <c r="Q2702" s="10" t="s">
        <v>31</v>
      </c>
      <c r="R2702" s="10" t="s">
        <v>209</v>
      </c>
      <c r="S2702" s="12" t="s">
        <v>13417</v>
      </c>
      <c r="T2702" s="10" t="s">
        <v>66</v>
      </c>
      <c r="U2702" s="12" t="s">
        <v>13418</v>
      </c>
      <c r="V2702" s="10" t="s">
        <v>3523</v>
      </c>
      <c r="W2702" s="10" t="s">
        <v>13207</v>
      </c>
      <c r="X2702" s="13" t="str">
        <f>HYPERLINK("https://my.pitchbook.com?p=439390-63P","View People Online")</f>
        <v>View People Online</v>
      </c>
    </row>
    <row r="2703">
      <c r="A2703" s="14" t="s">
        <v>17827</v>
      </c>
      <c r="B2703" s="14" t="s">
        <v>17828</v>
      </c>
      <c r="C2703" s="14" t="s">
        <v>6414</v>
      </c>
      <c r="D2703" s="14" t="s">
        <v>17829</v>
      </c>
      <c r="E2703" s="14" t="s">
        <v>13207</v>
      </c>
      <c r="F2703" s="14" t="s">
        <v>13218</v>
      </c>
      <c r="G2703" s="14" t="s">
        <v>17830</v>
      </c>
      <c r="H2703" s="15" t="s">
        <v>31</v>
      </c>
      <c r="I2703" s="15">
        <v>1.0</v>
      </c>
      <c r="J2703" s="15">
        <v>1.0</v>
      </c>
      <c r="K2703" s="15" t="s">
        <v>31</v>
      </c>
      <c r="L2703" s="16" t="s">
        <v>13916</v>
      </c>
      <c r="M2703" s="14" t="s">
        <v>17831</v>
      </c>
      <c r="N2703" s="14" t="s">
        <v>155</v>
      </c>
      <c r="O2703" s="16" t="s">
        <v>156</v>
      </c>
      <c r="P2703" s="14" t="s">
        <v>13918</v>
      </c>
      <c r="Q2703" s="14" t="s">
        <v>13919</v>
      </c>
      <c r="R2703" s="14" t="s">
        <v>64</v>
      </c>
      <c r="S2703" s="16" t="s">
        <v>1549</v>
      </c>
      <c r="T2703" s="14" t="s">
        <v>66</v>
      </c>
      <c r="U2703" s="16" t="s">
        <v>13920</v>
      </c>
      <c r="V2703" s="14" t="s">
        <v>13218</v>
      </c>
      <c r="W2703" s="14" t="s">
        <v>13207</v>
      </c>
      <c r="X2703" s="17" t="str">
        <f>HYPERLINK("https://my.pitchbook.com?p=435588-58P","View People Online")</f>
        <v>View People Online</v>
      </c>
    </row>
    <row r="2704">
      <c r="A2704" s="2" t="s">
        <v>17832</v>
      </c>
      <c r="B2704" s="2" t="s">
        <v>17833</v>
      </c>
      <c r="C2704" s="2" t="s">
        <v>6414</v>
      </c>
      <c r="D2704" s="2" t="s">
        <v>17834</v>
      </c>
      <c r="E2704" s="2" t="s">
        <v>13207</v>
      </c>
      <c r="F2704" s="2" t="s">
        <v>13240</v>
      </c>
      <c r="G2704" s="2" t="s">
        <v>17835</v>
      </c>
      <c r="H2704" s="3" t="s">
        <v>31</v>
      </c>
      <c r="I2704" s="3">
        <v>1.0</v>
      </c>
      <c r="J2704" s="3">
        <v>1.0</v>
      </c>
      <c r="K2704" s="3" t="s">
        <v>31</v>
      </c>
      <c r="L2704" s="4" t="s">
        <v>15671</v>
      </c>
      <c r="M2704" s="2" t="s">
        <v>17836</v>
      </c>
      <c r="N2704" s="2" t="s">
        <v>15673</v>
      </c>
      <c r="O2704" s="4" t="s">
        <v>15674</v>
      </c>
      <c r="P2704" s="2" t="s">
        <v>15675</v>
      </c>
      <c r="Q2704" s="2" t="s">
        <v>6654</v>
      </c>
      <c r="R2704" s="2" t="s">
        <v>15676</v>
      </c>
      <c r="S2704" s="4" t="s">
        <v>15677</v>
      </c>
      <c r="T2704" s="2" t="s">
        <v>66</v>
      </c>
      <c r="U2704" s="4" t="s">
        <v>15678</v>
      </c>
      <c r="V2704" s="2" t="s">
        <v>13247</v>
      </c>
      <c r="W2704" s="2" t="s">
        <v>13207</v>
      </c>
      <c r="X2704" s="5" t="str">
        <f>HYPERLINK("https://my.pitchbook.com?p=435607-84P","View People Online")</f>
        <v>View People Online</v>
      </c>
    </row>
    <row r="2705">
      <c r="A2705" s="14" t="s">
        <v>17837</v>
      </c>
      <c r="B2705" s="14" t="s">
        <v>17838</v>
      </c>
      <c r="C2705" s="14" t="s">
        <v>17839</v>
      </c>
      <c r="D2705" s="14" t="s">
        <v>17840</v>
      </c>
      <c r="E2705" s="14" t="s">
        <v>13207</v>
      </c>
      <c r="F2705" s="14" t="s">
        <v>3523</v>
      </c>
      <c r="G2705" s="14" t="s">
        <v>17841</v>
      </c>
      <c r="H2705" s="15" t="s">
        <v>31</v>
      </c>
      <c r="I2705" s="15">
        <v>1.0</v>
      </c>
      <c r="J2705" s="15">
        <v>1.0</v>
      </c>
      <c r="K2705" s="15" t="s">
        <v>31</v>
      </c>
      <c r="L2705" s="16" t="s">
        <v>17842</v>
      </c>
      <c r="M2705" s="14" t="s">
        <v>17843</v>
      </c>
      <c r="N2705" s="14" t="s">
        <v>3533</v>
      </c>
      <c r="O2705" s="16" t="s">
        <v>3534</v>
      </c>
      <c r="P2705" s="14" t="s">
        <v>17844</v>
      </c>
      <c r="Q2705" s="14" t="s">
        <v>17845</v>
      </c>
      <c r="R2705" s="14" t="s">
        <v>31</v>
      </c>
      <c r="S2705" s="16" t="s">
        <v>31</v>
      </c>
      <c r="T2705" s="14" t="s">
        <v>3538</v>
      </c>
      <c r="U2705" s="16" t="s">
        <v>17846</v>
      </c>
      <c r="V2705" s="14" t="s">
        <v>3523</v>
      </c>
      <c r="W2705" s="14" t="s">
        <v>13207</v>
      </c>
      <c r="X2705" s="17" t="str">
        <f>HYPERLINK("https://my.pitchbook.com?p=435441-43P","View People Online")</f>
        <v>View People Online</v>
      </c>
    </row>
    <row r="2706">
      <c r="A2706" s="2" t="s">
        <v>17847</v>
      </c>
      <c r="B2706" s="2" t="s">
        <v>17848</v>
      </c>
      <c r="C2706" s="2" t="s">
        <v>17849</v>
      </c>
      <c r="D2706" s="2" t="s">
        <v>17850</v>
      </c>
      <c r="E2706" s="2" t="s">
        <v>13207</v>
      </c>
      <c r="F2706" s="2" t="s">
        <v>3523</v>
      </c>
      <c r="G2706" s="2" t="s">
        <v>17851</v>
      </c>
      <c r="H2706" s="3" t="s">
        <v>31</v>
      </c>
      <c r="I2706" s="3">
        <v>1.0</v>
      </c>
      <c r="J2706" s="3">
        <v>1.0</v>
      </c>
      <c r="K2706" s="3" t="s">
        <v>31</v>
      </c>
      <c r="L2706" s="4" t="s">
        <v>15095</v>
      </c>
      <c r="M2706" s="2" t="s">
        <v>17852</v>
      </c>
      <c r="N2706" s="2" t="s">
        <v>6960</v>
      </c>
      <c r="O2706" s="4" t="s">
        <v>6961</v>
      </c>
      <c r="P2706" s="2" t="s">
        <v>15097</v>
      </c>
      <c r="Q2706" s="2" t="s">
        <v>15098</v>
      </c>
      <c r="R2706" s="2" t="s">
        <v>15099</v>
      </c>
      <c r="S2706" s="4" t="s">
        <v>15100</v>
      </c>
      <c r="T2706" s="2" t="s">
        <v>6962</v>
      </c>
      <c r="U2706" s="4" t="s">
        <v>15101</v>
      </c>
      <c r="V2706" s="2" t="s">
        <v>3523</v>
      </c>
      <c r="W2706" s="2" t="s">
        <v>13207</v>
      </c>
      <c r="X2706" s="5" t="str">
        <f>HYPERLINK("https://my.pitchbook.com?p=435137-77P","View People Online")</f>
        <v>View People Online</v>
      </c>
    </row>
    <row r="2707">
      <c r="A2707" s="6" t="s">
        <v>17853</v>
      </c>
      <c r="B2707" s="6" t="s">
        <v>17854</v>
      </c>
      <c r="C2707" s="6" t="s">
        <v>17855</v>
      </c>
      <c r="D2707" s="6" t="s">
        <v>17856</v>
      </c>
      <c r="E2707" s="6" t="s">
        <v>13207</v>
      </c>
      <c r="F2707" s="6" t="s">
        <v>3523</v>
      </c>
      <c r="G2707" s="6" t="s">
        <v>17857</v>
      </c>
      <c r="H2707" s="7" t="s">
        <v>31</v>
      </c>
      <c r="I2707" s="7">
        <v>1.0</v>
      </c>
      <c r="J2707" s="7">
        <v>1.0</v>
      </c>
      <c r="K2707" s="7" t="s">
        <v>31</v>
      </c>
      <c r="L2707" s="8" t="s">
        <v>13242</v>
      </c>
      <c r="M2707" s="6" t="s">
        <v>17858</v>
      </c>
      <c r="N2707" s="6" t="s">
        <v>9865</v>
      </c>
      <c r="O2707" s="8" t="s">
        <v>9866</v>
      </c>
      <c r="P2707" s="6" t="s">
        <v>13244</v>
      </c>
      <c r="Q2707" s="6" t="s">
        <v>31</v>
      </c>
      <c r="R2707" s="6" t="s">
        <v>31</v>
      </c>
      <c r="S2707" s="8" t="s">
        <v>13245</v>
      </c>
      <c r="T2707" s="6" t="s">
        <v>38</v>
      </c>
      <c r="U2707" s="8" t="s">
        <v>13246</v>
      </c>
      <c r="V2707" s="6" t="s">
        <v>3523</v>
      </c>
      <c r="W2707" s="6" t="s">
        <v>13207</v>
      </c>
      <c r="X2707" s="9" t="str">
        <f>HYPERLINK("https://my.pitchbook.com?p=435122-92P","View People Online")</f>
        <v>View People Online</v>
      </c>
    </row>
    <row r="2708">
      <c r="A2708" s="2" t="s">
        <v>17859</v>
      </c>
      <c r="B2708" s="2" t="s">
        <v>17860</v>
      </c>
      <c r="C2708" s="2" t="s">
        <v>17861</v>
      </c>
      <c r="D2708" s="2" t="s">
        <v>17862</v>
      </c>
      <c r="E2708" s="2" t="s">
        <v>13207</v>
      </c>
      <c r="F2708" s="2" t="s">
        <v>3523</v>
      </c>
      <c r="G2708" s="2" t="s">
        <v>17863</v>
      </c>
      <c r="H2708" s="3" t="s">
        <v>31</v>
      </c>
      <c r="I2708" s="3">
        <v>1.0</v>
      </c>
      <c r="J2708" s="3">
        <v>1.0</v>
      </c>
      <c r="K2708" s="3" t="s">
        <v>31</v>
      </c>
      <c r="L2708" s="4" t="s">
        <v>13209</v>
      </c>
      <c r="M2708" s="2" t="s">
        <v>17864</v>
      </c>
      <c r="N2708" s="2" t="s">
        <v>4232</v>
      </c>
      <c r="O2708" s="4" t="s">
        <v>4233</v>
      </c>
      <c r="P2708" s="2" t="s">
        <v>13211</v>
      </c>
      <c r="Q2708" s="2" t="s">
        <v>31</v>
      </c>
      <c r="R2708" s="2" t="s">
        <v>4236</v>
      </c>
      <c r="S2708" s="4" t="s">
        <v>13212</v>
      </c>
      <c r="T2708" s="2" t="s">
        <v>66</v>
      </c>
      <c r="U2708" s="4" t="s">
        <v>13213</v>
      </c>
      <c r="V2708" s="2" t="s">
        <v>3523</v>
      </c>
      <c r="W2708" s="2" t="s">
        <v>13207</v>
      </c>
      <c r="X2708" s="5" t="str">
        <f>HYPERLINK("https://my.pitchbook.com?p=455868-37P","View People Online")</f>
        <v>View People Online</v>
      </c>
    </row>
    <row r="2709">
      <c r="A2709" s="14" t="s">
        <v>17865</v>
      </c>
      <c r="B2709" s="14" t="s">
        <v>17866</v>
      </c>
      <c r="C2709" s="14" t="s">
        <v>17867</v>
      </c>
      <c r="D2709" s="14" t="s">
        <v>17868</v>
      </c>
      <c r="E2709" s="14" t="s">
        <v>13207</v>
      </c>
      <c r="F2709" s="14" t="s">
        <v>3523</v>
      </c>
      <c r="G2709" s="14" t="s">
        <v>17869</v>
      </c>
      <c r="H2709" s="15" t="s">
        <v>31</v>
      </c>
      <c r="I2709" s="15">
        <v>1.0</v>
      </c>
      <c r="J2709" s="15">
        <v>1.0</v>
      </c>
      <c r="K2709" s="15" t="s">
        <v>31</v>
      </c>
      <c r="L2709" s="16" t="s">
        <v>17870</v>
      </c>
      <c r="M2709" s="14" t="s">
        <v>17871</v>
      </c>
      <c r="N2709" s="14" t="s">
        <v>17872</v>
      </c>
      <c r="O2709" s="16" t="s">
        <v>17873</v>
      </c>
      <c r="P2709" s="14" t="s">
        <v>17874</v>
      </c>
      <c r="Q2709" s="14" t="s">
        <v>31</v>
      </c>
      <c r="R2709" s="14" t="s">
        <v>31</v>
      </c>
      <c r="S2709" s="16" t="s">
        <v>17875</v>
      </c>
      <c r="T2709" s="14" t="s">
        <v>2278</v>
      </c>
      <c r="U2709" s="16" t="s">
        <v>17876</v>
      </c>
      <c r="V2709" s="14" t="s">
        <v>3523</v>
      </c>
      <c r="W2709" s="14" t="s">
        <v>13207</v>
      </c>
      <c r="X2709" s="17" t="str">
        <f>HYPERLINK("https://my.pitchbook.com?p=434809-00P","View People Online")</f>
        <v>View People Online</v>
      </c>
    </row>
    <row r="2710">
      <c r="A2710" s="10" t="s">
        <v>17877</v>
      </c>
      <c r="B2710" s="10" t="s">
        <v>17878</v>
      </c>
      <c r="C2710" s="10" t="s">
        <v>17879</v>
      </c>
      <c r="D2710" s="10" t="s">
        <v>17880</v>
      </c>
      <c r="E2710" s="10" t="s">
        <v>13207</v>
      </c>
      <c r="F2710" s="10" t="s">
        <v>3523</v>
      </c>
      <c r="G2710" s="10" t="s">
        <v>17881</v>
      </c>
      <c r="H2710" s="11" t="s">
        <v>31</v>
      </c>
      <c r="I2710" s="11">
        <v>1.0</v>
      </c>
      <c r="J2710" s="11">
        <v>1.0</v>
      </c>
      <c r="K2710" s="11" t="s">
        <v>31</v>
      </c>
      <c r="L2710" s="12" t="s">
        <v>13423</v>
      </c>
      <c r="M2710" s="10" t="s">
        <v>17882</v>
      </c>
      <c r="N2710" s="10" t="s">
        <v>243</v>
      </c>
      <c r="O2710" s="12" t="s">
        <v>244</v>
      </c>
      <c r="P2710" s="10" t="s">
        <v>13425</v>
      </c>
      <c r="Q2710" s="10" t="s">
        <v>31</v>
      </c>
      <c r="R2710" s="10" t="s">
        <v>247</v>
      </c>
      <c r="S2710" s="12" t="s">
        <v>13426</v>
      </c>
      <c r="T2710" s="10" t="s">
        <v>249</v>
      </c>
      <c r="U2710" s="12" t="s">
        <v>31</v>
      </c>
      <c r="V2710" s="10" t="s">
        <v>3523</v>
      </c>
      <c r="W2710" s="10" t="s">
        <v>13207</v>
      </c>
      <c r="X2710" s="13" t="str">
        <f>HYPERLINK("https://my.pitchbook.com?p=434891-53P","View People Online")</f>
        <v>View People Online</v>
      </c>
    </row>
    <row r="2711">
      <c r="A2711" s="14" t="s">
        <v>17883</v>
      </c>
      <c r="B2711" s="14" t="s">
        <v>17884</v>
      </c>
      <c r="C2711" s="14" t="s">
        <v>17885</v>
      </c>
      <c r="D2711" s="14" t="s">
        <v>17886</v>
      </c>
      <c r="E2711" s="14" t="s">
        <v>13207</v>
      </c>
      <c r="F2711" s="14" t="s">
        <v>3523</v>
      </c>
      <c r="G2711" s="14" t="s">
        <v>17887</v>
      </c>
      <c r="H2711" s="15" t="s">
        <v>31</v>
      </c>
      <c r="I2711" s="15">
        <v>1.0</v>
      </c>
      <c r="J2711" s="15">
        <v>1.0</v>
      </c>
      <c r="K2711" s="15" t="s">
        <v>31</v>
      </c>
      <c r="L2711" s="16" t="s">
        <v>13766</v>
      </c>
      <c r="M2711" s="14" t="s">
        <v>17888</v>
      </c>
      <c r="N2711" s="14" t="s">
        <v>13768</v>
      </c>
      <c r="O2711" s="16" t="s">
        <v>13769</v>
      </c>
      <c r="P2711" s="14" t="s">
        <v>13770</v>
      </c>
      <c r="Q2711" s="14" t="s">
        <v>13771</v>
      </c>
      <c r="R2711" s="14" t="s">
        <v>31</v>
      </c>
      <c r="S2711" s="16" t="s">
        <v>13772</v>
      </c>
      <c r="T2711" s="14" t="s">
        <v>13773</v>
      </c>
      <c r="U2711" s="16" t="s">
        <v>31</v>
      </c>
      <c r="V2711" s="14" t="s">
        <v>3523</v>
      </c>
      <c r="W2711" s="14" t="s">
        <v>13207</v>
      </c>
      <c r="X2711" s="17" t="str">
        <f>HYPERLINK("https://my.pitchbook.com?p=455651-11P","View People Online")</f>
        <v>View People Online</v>
      </c>
    </row>
    <row r="2712">
      <c r="A2712" s="2" t="s">
        <v>17889</v>
      </c>
      <c r="B2712" s="2" t="s">
        <v>17890</v>
      </c>
      <c r="C2712" s="2" t="s">
        <v>17891</v>
      </c>
      <c r="D2712" s="2" t="s">
        <v>17892</v>
      </c>
      <c r="E2712" s="2" t="s">
        <v>13207</v>
      </c>
      <c r="F2712" s="2" t="s">
        <v>13218</v>
      </c>
      <c r="G2712" s="2" t="s">
        <v>17893</v>
      </c>
      <c r="H2712" s="3" t="s">
        <v>31</v>
      </c>
      <c r="I2712" s="3">
        <v>1.0</v>
      </c>
      <c r="J2712" s="3">
        <v>1.0</v>
      </c>
      <c r="K2712" s="3" t="s">
        <v>31</v>
      </c>
      <c r="L2712" s="4" t="s">
        <v>13963</v>
      </c>
      <c r="M2712" s="2" t="s">
        <v>17894</v>
      </c>
      <c r="N2712" s="2" t="s">
        <v>13965</v>
      </c>
      <c r="O2712" s="4" t="s">
        <v>13966</v>
      </c>
      <c r="P2712" s="2" t="s">
        <v>13967</v>
      </c>
      <c r="Q2712" s="2" t="s">
        <v>13968</v>
      </c>
      <c r="R2712" s="2" t="s">
        <v>31</v>
      </c>
      <c r="S2712" s="4" t="s">
        <v>31</v>
      </c>
      <c r="T2712" s="2" t="s">
        <v>13969</v>
      </c>
      <c r="U2712" s="4" t="s">
        <v>31</v>
      </c>
      <c r="V2712" s="2" t="s">
        <v>13218</v>
      </c>
      <c r="W2712" s="2" t="s">
        <v>13207</v>
      </c>
      <c r="X2712" s="5" t="str">
        <f>HYPERLINK("https://my.pitchbook.com?p=435956-77P","View People Online")</f>
        <v>View People Online</v>
      </c>
    </row>
    <row r="2713">
      <c r="A2713" s="14" t="s">
        <v>17895</v>
      </c>
      <c r="B2713" s="14" t="s">
        <v>17896</v>
      </c>
      <c r="C2713" s="14" t="s">
        <v>17897</v>
      </c>
      <c r="D2713" s="14" t="s">
        <v>17898</v>
      </c>
      <c r="E2713" s="14" t="s">
        <v>13207</v>
      </c>
      <c r="F2713" s="14" t="s">
        <v>13218</v>
      </c>
      <c r="G2713" s="14" t="s">
        <v>17899</v>
      </c>
      <c r="H2713" s="15" t="s">
        <v>31</v>
      </c>
      <c r="I2713" s="15">
        <v>1.0</v>
      </c>
      <c r="J2713" s="15">
        <v>1.0</v>
      </c>
      <c r="K2713" s="15" t="s">
        <v>31</v>
      </c>
      <c r="L2713" s="16" t="s">
        <v>14014</v>
      </c>
      <c r="M2713" s="14" t="s">
        <v>17900</v>
      </c>
      <c r="N2713" s="14" t="s">
        <v>14016</v>
      </c>
      <c r="O2713" s="16" t="s">
        <v>14017</v>
      </c>
      <c r="P2713" s="14" t="s">
        <v>14018</v>
      </c>
      <c r="Q2713" s="14" t="s">
        <v>14019</v>
      </c>
      <c r="R2713" s="14" t="s">
        <v>31</v>
      </c>
      <c r="S2713" s="16" t="s">
        <v>14020</v>
      </c>
      <c r="T2713" s="14" t="s">
        <v>38</v>
      </c>
      <c r="U2713" s="16" t="s">
        <v>14014</v>
      </c>
      <c r="V2713" s="14" t="s">
        <v>13218</v>
      </c>
      <c r="W2713" s="14" t="s">
        <v>13207</v>
      </c>
      <c r="X2713" s="17" t="str">
        <f>HYPERLINK("https://my.pitchbook.com?p=456474-88P","View People Online")</f>
        <v>View People Online</v>
      </c>
    </row>
    <row r="2714">
      <c r="A2714" s="10" t="s">
        <v>17901</v>
      </c>
      <c r="B2714" s="10" t="s">
        <v>17902</v>
      </c>
      <c r="C2714" s="10" t="s">
        <v>17897</v>
      </c>
      <c r="D2714" s="10" t="s">
        <v>17903</v>
      </c>
      <c r="E2714" s="10" t="s">
        <v>13207</v>
      </c>
      <c r="F2714" s="10" t="s">
        <v>13307</v>
      </c>
      <c r="G2714" s="10" t="s">
        <v>17904</v>
      </c>
      <c r="H2714" s="11" t="s">
        <v>31</v>
      </c>
      <c r="I2714" s="11">
        <v>1.0</v>
      </c>
      <c r="J2714" s="11">
        <v>1.0</v>
      </c>
      <c r="K2714" s="11" t="s">
        <v>31</v>
      </c>
      <c r="L2714" s="12" t="s">
        <v>15050</v>
      </c>
      <c r="M2714" s="10" t="s">
        <v>17905</v>
      </c>
      <c r="N2714" s="10" t="s">
        <v>15052</v>
      </c>
      <c r="O2714" s="12" t="s">
        <v>15053</v>
      </c>
      <c r="P2714" s="10" t="s">
        <v>15054</v>
      </c>
      <c r="Q2714" s="10" t="s">
        <v>15055</v>
      </c>
      <c r="R2714" s="10" t="s">
        <v>31</v>
      </c>
      <c r="S2714" s="12" t="s">
        <v>15056</v>
      </c>
      <c r="T2714" s="10" t="s">
        <v>38</v>
      </c>
      <c r="U2714" s="12" t="s">
        <v>15057</v>
      </c>
      <c r="V2714" s="10" t="s">
        <v>13317</v>
      </c>
      <c r="W2714" s="10" t="s">
        <v>13207</v>
      </c>
      <c r="X2714" s="13" t="str">
        <f>HYPERLINK("https://my.pitchbook.com?p=436125-34P","View People Online")</f>
        <v>View People Online</v>
      </c>
    </row>
    <row r="2715">
      <c r="A2715" s="14" t="s">
        <v>17906</v>
      </c>
      <c r="B2715" s="14" t="s">
        <v>17907</v>
      </c>
      <c r="C2715" s="14" t="s">
        <v>17908</v>
      </c>
      <c r="D2715" s="14" t="s">
        <v>17909</v>
      </c>
      <c r="E2715" s="14" t="s">
        <v>13207</v>
      </c>
      <c r="F2715" s="14" t="s">
        <v>13218</v>
      </c>
      <c r="G2715" s="14" t="s">
        <v>17910</v>
      </c>
      <c r="H2715" s="15" t="s">
        <v>31</v>
      </c>
      <c r="I2715" s="15">
        <v>1.0</v>
      </c>
      <c r="J2715" s="15">
        <v>1.0</v>
      </c>
      <c r="K2715" s="15" t="s">
        <v>31</v>
      </c>
      <c r="L2715" s="16" t="s">
        <v>13953</v>
      </c>
      <c r="M2715" s="14" t="s">
        <v>17911</v>
      </c>
      <c r="N2715" s="14" t="s">
        <v>1170</v>
      </c>
      <c r="O2715" s="16" t="s">
        <v>1171</v>
      </c>
      <c r="P2715" s="14" t="s">
        <v>13955</v>
      </c>
      <c r="Q2715" s="14" t="s">
        <v>13956</v>
      </c>
      <c r="R2715" s="14" t="s">
        <v>64</v>
      </c>
      <c r="S2715" s="16" t="s">
        <v>13957</v>
      </c>
      <c r="T2715" s="14" t="s">
        <v>66</v>
      </c>
      <c r="U2715" s="16" t="s">
        <v>13958</v>
      </c>
      <c r="V2715" s="14" t="s">
        <v>13218</v>
      </c>
      <c r="W2715" s="14" t="s">
        <v>13207</v>
      </c>
      <c r="X2715" s="17" t="str">
        <f>HYPERLINK("https://my.pitchbook.com?p=456642-82P","View People Online")</f>
        <v>View People Online</v>
      </c>
    </row>
    <row r="2716">
      <c r="A2716" s="10" t="s">
        <v>17912</v>
      </c>
      <c r="B2716" s="10" t="s">
        <v>17913</v>
      </c>
      <c r="C2716" s="10" t="s">
        <v>5363</v>
      </c>
      <c r="D2716" s="10" t="s">
        <v>17914</v>
      </c>
      <c r="E2716" s="10" t="s">
        <v>13207</v>
      </c>
      <c r="F2716" s="10" t="s">
        <v>3523</v>
      </c>
      <c r="G2716" s="10" t="s">
        <v>17915</v>
      </c>
      <c r="H2716" s="11" t="s">
        <v>31</v>
      </c>
      <c r="I2716" s="11">
        <v>1.0</v>
      </c>
      <c r="J2716" s="11">
        <v>1.0</v>
      </c>
      <c r="K2716" s="11" t="s">
        <v>31</v>
      </c>
      <c r="L2716" s="12" t="s">
        <v>13299</v>
      </c>
      <c r="M2716" s="10" t="s">
        <v>17916</v>
      </c>
      <c r="N2716" s="10" t="s">
        <v>601</v>
      </c>
      <c r="O2716" s="12" t="s">
        <v>602</v>
      </c>
      <c r="P2716" s="10" t="s">
        <v>13301</v>
      </c>
      <c r="Q2716" s="10" t="s">
        <v>13302</v>
      </c>
      <c r="R2716" s="10" t="s">
        <v>31</v>
      </c>
      <c r="S2716" s="12" t="s">
        <v>31</v>
      </c>
      <c r="T2716" s="10" t="s">
        <v>603</v>
      </c>
      <c r="U2716" s="12" t="s">
        <v>13303</v>
      </c>
      <c r="V2716" s="10" t="s">
        <v>3523</v>
      </c>
      <c r="W2716" s="10" t="s">
        <v>13207</v>
      </c>
      <c r="X2716" s="13" t="str">
        <f>HYPERLINK("https://my.pitchbook.com?p=456500-98P","View People Online")</f>
        <v>View People Online</v>
      </c>
    </row>
    <row r="2717">
      <c r="A2717" s="6" t="s">
        <v>17917</v>
      </c>
      <c r="B2717" s="6" t="s">
        <v>17918</v>
      </c>
      <c r="C2717" s="6" t="s">
        <v>5363</v>
      </c>
      <c r="D2717" s="6" t="s">
        <v>17919</v>
      </c>
      <c r="E2717" s="6" t="s">
        <v>13207</v>
      </c>
      <c r="F2717" s="6" t="s">
        <v>3523</v>
      </c>
      <c r="G2717" s="6" t="s">
        <v>17920</v>
      </c>
      <c r="H2717" s="7" t="s">
        <v>31</v>
      </c>
      <c r="I2717" s="7">
        <v>1.0</v>
      </c>
      <c r="J2717" s="7">
        <v>1.0</v>
      </c>
      <c r="K2717" s="7" t="s">
        <v>31</v>
      </c>
      <c r="L2717" s="8" t="s">
        <v>13496</v>
      </c>
      <c r="M2717" s="6" t="s">
        <v>17921</v>
      </c>
      <c r="N2717" s="6" t="s">
        <v>75</v>
      </c>
      <c r="O2717" s="8" t="s">
        <v>76</v>
      </c>
      <c r="P2717" s="6" t="s">
        <v>13498</v>
      </c>
      <c r="Q2717" s="6" t="s">
        <v>31</v>
      </c>
      <c r="R2717" s="6" t="s">
        <v>75</v>
      </c>
      <c r="S2717" s="8" t="s">
        <v>195</v>
      </c>
      <c r="T2717" s="6" t="s">
        <v>66</v>
      </c>
      <c r="U2717" s="8" t="s">
        <v>13499</v>
      </c>
      <c r="V2717" s="6" t="s">
        <v>3523</v>
      </c>
      <c r="W2717" s="6" t="s">
        <v>13207</v>
      </c>
      <c r="X2717" s="9" t="str">
        <f>HYPERLINK("https://my.pitchbook.com?p=435440-44P","View People Online")</f>
        <v>View People Online</v>
      </c>
    </row>
    <row r="2718">
      <c r="A2718" s="10" t="s">
        <v>17922</v>
      </c>
      <c r="B2718" s="10" t="s">
        <v>17923</v>
      </c>
      <c r="C2718" s="10" t="s">
        <v>5363</v>
      </c>
      <c r="D2718" s="10" t="s">
        <v>17924</v>
      </c>
      <c r="E2718" s="10" t="s">
        <v>13207</v>
      </c>
      <c r="F2718" s="10" t="s">
        <v>1283</v>
      </c>
      <c r="G2718" s="10" t="s">
        <v>17925</v>
      </c>
      <c r="H2718" s="11" t="s">
        <v>31</v>
      </c>
      <c r="I2718" s="11">
        <v>1.0</v>
      </c>
      <c r="J2718" s="11">
        <v>1.0</v>
      </c>
      <c r="K2718" s="11" t="s">
        <v>31</v>
      </c>
      <c r="L2718" s="12" t="s">
        <v>13801</v>
      </c>
      <c r="M2718" s="10" t="s">
        <v>17926</v>
      </c>
      <c r="N2718" s="10" t="s">
        <v>1024</v>
      </c>
      <c r="O2718" s="12" t="s">
        <v>2718</v>
      </c>
      <c r="P2718" s="10" t="s">
        <v>13803</v>
      </c>
      <c r="Q2718" s="10" t="s">
        <v>13804</v>
      </c>
      <c r="R2718" s="10" t="s">
        <v>31</v>
      </c>
      <c r="S2718" s="12" t="s">
        <v>31</v>
      </c>
      <c r="T2718" s="10" t="s">
        <v>2721</v>
      </c>
      <c r="U2718" s="12" t="s">
        <v>31</v>
      </c>
      <c r="V2718" s="10" t="s">
        <v>1283</v>
      </c>
      <c r="W2718" s="10" t="s">
        <v>13207</v>
      </c>
      <c r="X2718" s="13" t="str">
        <f>HYPERLINK("https://my.pitchbook.com?p=435123-37P","View People Online")</f>
        <v>View People Online</v>
      </c>
    </row>
    <row r="2719">
      <c r="A2719" s="6" t="s">
        <v>17927</v>
      </c>
      <c r="B2719" s="6" t="s">
        <v>17928</v>
      </c>
      <c r="C2719" s="6" t="s">
        <v>2992</v>
      </c>
      <c r="D2719" s="6" t="s">
        <v>3847</v>
      </c>
      <c r="E2719" s="6" t="s">
        <v>13207</v>
      </c>
      <c r="F2719" s="6" t="s">
        <v>3523</v>
      </c>
      <c r="G2719" s="6" t="s">
        <v>17929</v>
      </c>
      <c r="H2719" s="7" t="s">
        <v>31</v>
      </c>
      <c r="I2719" s="7">
        <v>1.0</v>
      </c>
      <c r="J2719" s="7">
        <v>1.0</v>
      </c>
      <c r="K2719" s="7" t="s">
        <v>31</v>
      </c>
      <c r="L2719" s="8" t="s">
        <v>13274</v>
      </c>
      <c r="M2719" s="6" t="s">
        <v>17930</v>
      </c>
      <c r="N2719" s="6" t="s">
        <v>1181</v>
      </c>
      <c r="O2719" s="8" t="s">
        <v>1182</v>
      </c>
      <c r="P2719" s="6" t="s">
        <v>13276</v>
      </c>
      <c r="Q2719" s="6" t="s">
        <v>31</v>
      </c>
      <c r="R2719" s="6" t="s">
        <v>1185</v>
      </c>
      <c r="S2719" s="8" t="s">
        <v>4438</v>
      </c>
      <c r="T2719" s="6" t="s">
        <v>66</v>
      </c>
      <c r="U2719" s="8" t="s">
        <v>13277</v>
      </c>
      <c r="V2719" s="6" t="s">
        <v>3523</v>
      </c>
      <c r="W2719" s="6" t="s">
        <v>13207</v>
      </c>
      <c r="X2719" s="9" t="str">
        <f>HYPERLINK("https://my.pitchbook.com?p=436423-15P","View People Online")</f>
        <v>View People Online</v>
      </c>
    </row>
    <row r="2720">
      <c r="A2720" s="2" t="s">
        <v>17931</v>
      </c>
      <c r="B2720" s="2" t="s">
        <v>17932</v>
      </c>
      <c r="C2720" s="2" t="s">
        <v>2992</v>
      </c>
      <c r="D2720" s="2" t="s">
        <v>17933</v>
      </c>
      <c r="E2720" s="2" t="s">
        <v>13207</v>
      </c>
      <c r="F2720" s="2" t="s">
        <v>13218</v>
      </c>
      <c r="G2720" s="2" t="s">
        <v>17934</v>
      </c>
      <c r="H2720" s="3" t="s">
        <v>31</v>
      </c>
      <c r="I2720" s="3">
        <v>1.0</v>
      </c>
      <c r="J2720" s="3">
        <v>1.0</v>
      </c>
      <c r="K2720" s="3" t="s">
        <v>31</v>
      </c>
      <c r="L2720" s="4" t="s">
        <v>14173</v>
      </c>
      <c r="M2720" s="2" t="s">
        <v>17935</v>
      </c>
      <c r="N2720" s="2" t="s">
        <v>658</v>
      </c>
      <c r="O2720" s="4" t="s">
        <v>659</v>
      </c>
      <c r="P2720" s="2" t="s">
        <v>14175</v>
      </c>
      <c r="Q2720" s="2" t="s">
        <v>31</v>
      </c>
      <c r="R2720" s="2" t="s">
        <v>31</v>
      </c>
      <c r="S2720" s="4" t="s">
        <v>660</v>
      </c>
      <c r="T2720" s="2" t="s">
        <v>661</v>
      </c>
      <c r="U2720" s="4" t="s">
        <v>14176</v>
      </c>
      <c r="V2720" s="2" t="s">
        <v>13218</v>
      </c>
      <c r="W2720" s="2" t="s">
        <v>13207</v>
      </c>
      <c r="X2720" s="5" t="str">
        <f>HYPERLINK("https://my.pitchbook.com?p=436438-45P","View People Online")</f>
        <v>View People Online</v>
      </c>
    </row>
    <row r="2721">
      <c r="A2721" s="6" t="s">
        <v>17936</v>
      </c>
      <c r="B2721" s="6" t="s">
        <v>17937</v>
      </c>
      <c r="C2721" s="6" t="s">
        <v>17938</v>
      </c>
      <c r="D2721" s="6" t="s">
        <v>17939</v>
      </c>
      <c r="E2721" s="6" t="s">
        <v>13207</v>
      </c>
      <c r="F2721" s="6" t="s">
        <v>13218</v>
      </c>
      <c r="G2721" s="6" t="s">
        <v>17940</v>
      </c>
      <c r="H2721" s="7" t="s">
        <v>31</v>
      </c>
      <c r="I2721" s="7">
        <v>1.0</v>
      </c>
      <c r="J2721" s="7">
        <v>1.0</v>
      </c>
      <c r="K2721" s="7" t="s">
        <v>31</v>
      </c>
      <c r="L2721" s="8" t="s">
        <v>13299</v>
      </c>
      <c r="M2721" s="6" t="s">
        <v>17941</v>
      </c>
      <c r="N2721" s="6" t="s">
        <v>601</v>
      </c>
      <c r="O2721" s="8" t="s">
        <v>602</v>
      </c>
      <c r="P2721" s="6" t="s">
        <v>13301</v>
      </c>
      <c r="Q2721" s="6" t="s">
        <v>13302</v>
      </c>
      <c r="R2721" s="6" t="s">
        <v>31</v>
      </c>
      <c r="S2721" s="8" t="s">
        <v>31</v>
      </c>
      <c r="T2721" s="6" t="s">
        <v>603</v>
      </c>
      <c r="U2721" s="8" t="s">
        <v>13303</v>
      </c>
      <c r="V2721" s="6" t="s">
        <v>17942</v>
      </c>
      <c r="W2721" s="6" t="s">
        <v>13207</v>
      </c>
      <c r="X2721" s="9" t="str">
        <f>HYPERLINK("https://my.pitchbook.com?p=346304-35P","View People Online")</f>
        <v>View People Online</v>
      </c>
    </row>
    <row r="2722">
      <c r="A2722" s="10" t="s">
        <v>17943</v>
      </c>
      <c r="B2722" s="10" t="s">
        <v>17944</v>
      </c>
      <c r="C2722" s="10" t="s">
        <v>10227</v>
      </c>
      <c r="D2722" s="10" t="s">
        <v>17945</v>
      </c>
      <c r="E2722" s="10" t="s">
        <v>13207</v>
      </c>
      <c r="F2722" s="10" t="s">
        <v>13218</v>
      </c>
      <c r="G2722" s="10" t="s">
        <v>17946</v>
      </c>
      <c r="H2722" s="11">
        <v>1.0</v>
      </c>
      <c r="I2722" s="11">
        <v>3.0</v>
      </c>
      <c r="J2722" s="11">
        <v>1.0</v>
      </c>
      <c r="K2722" s="11">
        <v>1.0</v>
      </c>
      <c r="L2722" s="12" t="s">
        <v>13345</v>
      </c>
      <c r="M2722" s="10" t="s">
        <v>17947</v>
      </c>
      <c r="N2722" s="10" t="s">
        <v>2764</v>
      </c>
      <c r="O2722" s="12" t="s">
        <v>2765</v>
      </c>
      <c r="P2722" s="10" t="s">
        <v>13347</v>
      </c>
      <c r="Q2722" s="10" t="s">
        <v>31</v>
      </c>
      <c r="R2722" s="10" t="s">
        <v>31</v>
      </c>
      <c r="S2722" s="12" t="s">
        <v>13348</v>
      </c>
      <c r="T2722" s="10" t="s">
        <v>2768</v>
      </c>
      <c r="U2722" s="12" t="s">
        <v>13349</v>
      </c>
      <c r="V2722" s="10" t="s">
        <v>13218</v>
      </c>
      <c r="W2722" s="10" t="s">
        <v>13207</v>
      </c>
      <c r="X2722" s="13" t="str">
        <f>HYPERLINK("https://my.pitchbook.com?p=17450-65P","View People Online")</f>
        <v>View People Online</v>
      </c>
    </row>
    <row r="2723">
      <c r="A2723" s="6" t="s">
        <v>17948</v>
      </c>
      <c r="B2723" s="6" t="s">
        <v>17949</v>
      </c>
      <c r="C2723" s="6" t="s">
        <v>17950</v>
      </c>
      <c r="D2723" s="6" t="s">
        <v>17951</v>
      </c>
      <c r="E2723" s="6" t="s">
        <v>13207</v>
      </c>
      <c r="F2723" s="6" t="s">
        <v>17952</v>
      </c>
      <c r="G2723" s="6" t="s">
        <v>17953</v>
      </c>
      <c r="H2723" s="7" t="s">
        <v>31</v>
      </c>
      <c r="I2723" s="7">
        <v>1.0</v>
      </c>
      <c r="J2723" s="7">
        <v>1.0</v>
      </c>
      <c r="K2723" s="7" t="s">
        <v>31</v>
      </c>
      <c r="L2723" s="8" t="s">
        <v>13281</v>
      </c>
      <c r="M2723" s="6" t="s">
        <v>17954</v>
      </c>
      <c r="N2723" s="6" t="s">
        <v>1277</v>
      </c>
      <c r="O2723" s="8" t="s">
        <v>1278</v>
      </c>
      <c r="P2723" s="6" t="s">
        <v>13283</v>
      </c>
      <c r="Q2723" s="6" t="s">
        <v>13284</v>
      </c>
      <c r="R2723" s="6" t="s">
        <v>1281</v>
      </c>
      <c r="S2723" s="8" t="s">
        <v>1282</v>
      </c>
      <c r="T2723" s="6" t="s">
        <v>66</v>
      </c>
      <c r="U2723" s="8" t="s">
        <v>13285</v>
      </c>
      <c r="V2723" s="6" t="s">
        <v>17955</v>
      </c>
      <c r="W2723" s="6" t="s">
        <v>13207</v>
      </c>
      <c r="X2723" s="9" t="str">
        <f>HYPERLINK("https://my.pitchbook.com?p=456756-31P","View People Online")</f>
        <v>View People Online</v>
      </c>
    </row>
    <row r="2724">
      <c r="A2724" s="2" t="s">
        <v>17956</v>
      </c>
      <c r="B2724" s="2" t="s">
        <v>17957</v>
      </c>
      <c r="C2724" s="2" t="s">
        <v>17950</v>
      </c>
      <c r="D2724" s="2" t="s">
        <v>17958</v>
      </c>
      <c r="E2724" s="2" t="s">
        <v>13207</v>
      </c>
      <c r="F2724" s="2" t="s">
        <v>13218</v>
      </c>
      <c r="G2724" s="2" t="s">
        <v>17959</v>
      </c>
      <c r="H2724" s="3" t="s">
        <v>31</v>
      </c>
      <c r="I2724" s="3">
        <v>1.0</v>
      </c>
      <c r="J2724" s="3">
        <v>1.0</v>
      </c>
      <c r="K2724" s="3" t="s">
        <v>31</v>
      </c>
      <c r="L2724" s="4" t="s">
        <v>13242</v>
      </c>
      <c r="M2724" s="2" t="s">
        <v>17960</v>
      </c>
      <c r="N2724" s="2" t="s">
        <v>9865</v>
      </c>
      <c r="O2724" s="4" t="s">
        <v>9866</v>
      </c>
      <c r="P2724" s="2" t="s">
        <v>13244</v>
      </c>
      <c r="Q2724" s="2" t="s">
        <v>31</v>
      </c>
      <c r="R2724" s="2" t="s">
        <v>31</v>
      </c>
      <c r="S2724" s="4" t="s">
        <v>13245</v>
      </c>
      <c r="T2724" s="2" t="s">
        <v>38</v>
      </c>
      <c r="U2724" s="4" t="s">
        <v>13246</v>
      </c>
      <c r="V2724" s="2" t="s">
        <v>13218</v>
      </c>
      <c r="W2724" s="2" t="s">
        <v>13207</v>
      </c>
      <c r="X2724" s="5" t="str">
        <f>HYPERLINK("https://my.pitchbook.com?p=456809-77P","View People Online")</f>
        <v>View People Online</v>
      </c>
    </row>
    <row r="2725">
      <c r="A2725" s="6" t="s">
        <v>17961</v>
      </c>
      <c r="B2725" s="6" t="s">
        <v>17962</v>
      </c>
      <c r="C2725" s="6" t="s">
        <v>8117</v>
      </c>
      <c r="D2725" s="6" t="s">
        <v>17963</v>
      </c>
      <c r="E2725" s="6" t="s">
        <v>13207</v>
      </c>
      <c r="F2725" s="6" t="s">
        <v>13218</v>
      </c>
      <c r="G2725" s="6" t="s">
        <v>17964</v>
      </c>
      <c r="H2725" s="7" t="s">
        <v>31</v>
      </c>
      <c r="I2725" s="7">
        <v>1.0</v>
      </c>
      <c r="J2725" s="7">
        <v>1.0</v>
      </c>
      <c r="K2725" s="7" t="s">
        <v>31</v>
      </c>
      <c r="L2725" s="8" t="s">
        <v>13378</v>
      </c>
      <c r="M2725" s="6" t="s">
        <v>17965</v>
      </c>
      <c r="N2725" s="6" t="s">
        <v>429</v>
      </c>
      <c r="O2725" s="8" t="s">
        <v>430</v>
      </c>
      <c r="P2725" s="6" t="s">
        <v>13380</v>
      </c>
      <c r="Q2725" s="6" t="s">
        <v>31</v>
      </c>
      <c r="R2725" s="6" t="s">
        <v>31</v>
      </c>
      <c r="S2725" s="8" t="s">
        <v>13381</v>
      </c>
      <c r="T2725" s="6" t="s">
        <v>433</v>
      </c>
      <c r="U2725" s="8" t="s">
        <v>13382</v>
      </c>
      <c r="V2725" s="6" t="s">
        <v>13218</v>
      </c>
      <c r="W2725" s="6" t="s">
        <v>13207</v>
      </c>
      <c r="X2725" s="9" t="str">
        <f>HYPERLINK("https://my.pitchbook.com?p=456810-04P","View People Online")</f>
        <v>View People Online</v>
      </c>
    </row>
    <row r="2726">
      <c r="A2726" s="2" t="s">
        <v>17966</v>
      </c>
      <c r="B2726" s="2" t="s">
        <v>17967</v>
      </c>
      <c r="C2726" s="2" t="s">
        <v>8117</v>
      </c>
      <c r="D2726" s="2" t="s">
        <v>17968</v>
      </c>
      <c r="E2726" s="2" t="s">
        <v>13207</v>
      </c>
      <c r="F2726" s="2" t="s">
        <v>3523</v>
      </c>
      <c r="G2726" s="2" t="s">
        <v>17969</v>
      </c>
      <c r="H2726" s="3" t="s">
        <v>31</v>
      </c>
      <c r="I2726" s="3">
        <v>1.0</v>
      </c>
      <c r="J2726" s="3">
        <v>1.0</v>
      </c>
      <c r="K2726" s="3" t="s">
        <v>31</v>
      </c>
      <c r="L2726" s="4" t="s">
        <v>13724</v>
      </c>
      <c r="M2726" s="2" t="s">
        <v>17970</v>
      </c>
      <c r="N2726" s="2" t="s">
        <v>34</v>
      </c>
      <c r="O2726" s="4" t="s">
        <v>35</v>
      </c>
      <c r="P2726" s="2" t="s">
        <v>13726</v>
      </c>
      <c r="Q2726" s="2" t="s">
        <v>31</v>
      </c>
      <c r="R2726" s="2" t="s">
        <v>31</v>
      </c>
      <c r="S2726" s="4" t="s">
        <v>13727</v>
      </c>
      <c r="T2726" s="2" t="s">
        <v>38</v>
      </c>
      <c r="U2726" s="4" t="s">
        <v>13728</v>
      </c>
      <c r="V2726" s="2" t="s">
        <v>3523</v>
      </c>
      <c r="W2726" s="2" t="s">
        <v>13207</v>
      </c>
      <c r="X2726" s="5" t="str">
        <f>HYPERLINK("https://my.pitchbook.com?p=434959-48P","View People Online")</f>
        <v>View People Online</v>
      </c>
    </row>
    <row r="2727">
      <c r="A2727" s="14" t="s">
        <v>17971</v>
      </c>
      <c r="B2727" s="14" t="s">
        <v>17972</v>
      </c>
      <c r="C2727" s="14" t="s">
        <v>17973</v>
      </c>
      <c r="D2727" s="14" t="s">
        <v>17793</v>
      </c>
      <c r="E2727" s="14" t="s">
        <v>13207</v>
      </c>
      <c r="F2727" s="14" t="s">
        <v>3523</v>
      </c>
      <c r="G2727" s="14" t="s">
        <v>17974</v>
      </c>
      <c r="H2727" s="15" t="s">
        <v>31</v>
      </c>
      <c r="I2727" s="15">
        <v>1.0</v>
      </c>
      <c r="J2727" s="15">
        <v>1.0</v>
      </c>
      <c r="K2727" s="15" t="s">
        <v>31</v>
      </c>
      <c r="L2727" s="16" t="s">
        <v>13299</v>
      </c>
      <c r="M2727" s="14" t="s">
        <v>17975</v>
      </c>
      <c r="N2727" s="14" t="s">
        <v>601</v>
      </c>
      <c r="O2727" s="16" t="s">
        <v>602</v>
      </c>
      <c r="P2727" s="14" t="s">
        <v>13301</v>
      </c>
      <c r="Q2727" s="14" t="s">
        <v>13302</v>
      </c>
      <c r="R2727" s="14" t="s">
        <v>31</v>
      </c>
      <c r="S2727" s="16" t="s">
        <v>31</v>
      </c>
      <c r="T2727" s="14" t="s">
        <v>603</v>
      </c>
      <c r="U2727" s="16" t="s">
        <v>13303</v>
      </c>
      <c r="V2727" s="14" t="s">
        <v>3523</v>
      </c>
      <c r="W2727" s="14" t="s">
        <v>13207</v>
      </c>
      <c r="X2727" s="17" t="str">
        <f>HYPERLINK("https://my.pitchbook.com?p=293065-75P","View People Online")</f>
        <v>View People Online</v>
      </c>
    </row>
    <row r="2728">
      <c r="A2728" s="10" t="s">
        <v>17976</v>
      </c>
      <c r="B2728" s="10" t="s">
        <v>17977</v>
      </c>
      <c r="C2728" s="10" t="s">
        <v>17973</v>
      </c>
      <c r="D2728" s="10" t="s">
        <v>17978</v>
      </c>
      <c r="E2728" s="10" t="s">
        <v>13207</v>
      </c>
      <c r="F2728" s="10" t="s">
        <v>3523</v>
      </c>
      <c r="G2728" s="10" t="s">
        <v>17979</v>
      </c>
      <c r="H2728" s="11" t="s">
        <v>31</v>
      </c>
      <c r="I2728" s="11">
        <v>1.0</v>
      </c>
      <c r="J2728" s="11">
        <v>1.0</v>
      </c>
      <c r="K2728" s="11" t="s">
        <v>31</v>
      </c>
      <c r="L2728" s="12" t="s">
        <v>13657</v>
      </c>
      <c r="M2728" s="10" t="s">
        <v>17980</v>
      </c>
      <c r="N2728" s="10" t="s">
        <v>13659</v>
      </c>
      <c r="O2728" s="12" t="s">
        <v>13660</v>
      </c>
      <c r="P2728" s="10" t="s">
        <v>13661</v>
      </c>
      <c r="Q2728" s="10" t="s">
        <v>31</v>
      </c>
      <c r="R2728" s="10" t="s">
        <v>31</v>
      </c>
      <c r="S2728" s="12" t="s">
        <v>13662</v>
      </c>
      <c r="T2728" s="10" t="s">
        <v>38</v>
      </c>
      <c r="U2728" s="12" t="s">
        <v>13663</v>
      </c>
      <c r="V2728" s="10" t="s">
        <v>3523</v>
      </c>
      <c r="W2728" s="10" t="s">
        <v>13207</v>
      </c>
      <c r="X2728" s="13" t="str">
        <f>HYPERLINK("https://my.pitchbook.com?p=456091-57P","View People Online")</f>
        <v>View People Online</v>
      </c>
    </row>
    <row r="2729">
      <c r="A2729" s="14" t="s">
        <v>17981</v>
      </c>
      <c r="B2729" s="14" t="s">
        <v>17982</v>
      </c>
      <c r="C2729" s="14" t="s">
        <v>17973</v>
      </c>
      <c r="D2729" s="14" t="s">
        <v>17983</v>
      </c>
      <c r="E2729" s="14" t="s">
        <v>13207</v>
      </c>
      <c r="F2729" s="14" t="s">
        <v>13218</v>
      </c>
      <c r="G2729" s="14" t="s">
        <v>17984</v>
      </c>
      <c r="H2729" s="15" t="s">
        <v>31</v>
      </c>
      <c r="I2729" s="15">
        <v>1.0</v>
      </c>
      <c r="J2729" s="15">
        <v>1.0</v>
      </c>
      <c r="K2729" s="15" t="s">
        <v>31</v>
      </c>
      <c r="L2729" s="16" t="s">
        <v>13423</v>
      </c>
      <c r="M2729" s="14" t="s">
        <v>17985</v>
      </c>
      <c r="N2729" s="14" t="s">
        <v>243</v>
      </c>
      <c r="O2729" s="16" t="s">
        <v>244</v>
      </c>
      <c r="P2729" s="14" t="s">
        <v>13425</v>
      </c>
      <c r="Q2729" s="14" t="s">
        <v>31</v>
      </c>
      <c r="R2729" s="14" t="s">
        <v>247</v>
      </c>
      <c r="S2729" s="16" t="s">
        <v>13426</v>
      </c>
      <c r="T2729" s="14" t="s">
        <v>249</v>
      </c>
      <c r="U2729" s="16" t="s">
        <v>31</v>
      </c>
      <c r="V2729" s="14" t="s">
        <v>13218</v>
      </c>
      <c r="W2729" s="14" t="s">
        <v>13207</v>
      </c>
      <c r="X2729" s="17" t="str">
        <f>HYPERLINK("https://my.pitchbook.com?p=456703-39P","View People Online")</f>
        <v>View People Online</v>
      </c>
    </row>
    <row r="2730">
      <c r="A2730" s="2" t="s">
        <v>17986</v>
      </c>
      <c r="B2730" s="2" t="s">
        <v>17987</v>
      </c>
      <c r="C2730" s="2" t="s">
        <v>1343</v>
      </c>
      <c r="D2730" s="2" t="s">
        <v>17988</v>
      </c>
      <c r="E2730" s="2" t="s">
        <v>13207</v>
      </c>
      <c r="F2730" s="2" t="s">
        <v>13218</v>
      </c>
      <c r="G2730" s="2" t="s">
        <v>17989</v>
      </c>
      <c r="H2730" s="3" t="s">
        <v>31</v>
      </c>
      <c r="I2730" s="3">
        <v>1.0</v>
      </c>
      <c r="J2730" s="3">
        <v>1.0</v>
      </c>
      <c r="K2730" s="3" t="s">
        <v>31</v>
      </c>
      <c r="L2730" s="4" t="s">
        <v>13274</v>
      </c>
      <c r="M2730" s="2" t="s">
        <v>17990</v>
      </c>
      <c r="N2730" s="2" t="s">
        <v>1181</v>
      </c>
      <c r="O2730" s="4" t="s">
        <v>1182</v>
      </c>
      <c r="P2730" s="2" t="s">
        <v>13276</v>
      </c>
      <c r="Q2730" s="2" t="s">
        <v>31</v>
      </c>
      <c r="R2730" s="2" t="s">
        <v>1185</v>
      </c>
      <c r="S2730" s="4" t="s">
        <v>4438</v>
      </c>
      <c r="T2730" s="2" t="s">
        <v>66</v>
      </c>
      <c r="U2730" s="4" t="s">
        <v>13277</v>
      </c>
      <c r="V2730" s="2" t="s">
        <v>13218</v>
      </c>
      <c r="W2730" s="2" t="s">
        <v>13207</v>
      </c>
      <c r="X2730" s="5" t="str">
        <f>HYPERLINK("https://my.pitchbook.com?p=435325-06P","View People Online")</f>
        <v>View People Online</v>
      </c>
    </row>
    <row r="2731">
      <c r="A2731" s="6" t="s">
        <v>17991</v>
      </c>
      <c r="B2731" s="6" t="s">
        <v>17992</v>
      </c>
      <c r="C2731" s="6" t="s">
        <v>1343</v>
      </c>
      <c r="D2731" s="6" t="s">
        <v>7414</v>
      </c>
      <c r="E2731" s="6" t="s">
        <v>13207</v>
      </c>
      <c r="F2731" s="6" t="s">
        <v>3523</v>
      </c>
      <c r="G2731" s="6" t="s">
        <v>17993</v>
      </c>
      <c r="H2731" s="7" t="s">
        <v>31</v>
      </c>
      <c r="I2731" s="7">
        <v>1.0</v>
      </c>
      <c r="J2731" s="7">
        <v>1.0</v>
      </c>
      <c r="K2731" s="7" t="s">
        <v>31</v>
      </c>
      <c r="L2731" s="8" t="s">
        <v>13632</v>
      </c>
      <c r="M2731" s="6" t="s">
        <v>17994</v>
      </c>
      <c r="N2731" s="6" t="s">
        <v>7690</v>
      </c>
      <c r="O2731" s="8" t="s">
        <v>7691</v>
      </c>
      <c r="P2731" s="6" t="s">
        <v>13634</v>
      </c>
      <c r="Q2731" s="6" t="s">
        <v>13635</v>
      </c>
      <c r="R2731" s="6" t="s">
        <v>7693</v>
      </c>
      <c r="S2731" s="8" t="s">
        <v>13636</v>
      </c>
      <c r="T2731" s="6" t="s">
        <v>66</v>
      </c>
      <c r="U2731" s="8" t="s">
        <v>13637</v>
      </c>
      <c r="V2731" s="6" t="s">
        <v>3523</v>
      </c>
      <c r="W2731" s="6" t="s">
        <v>13207</v>
      </c>
      <c r="X2731" s="9" t="str">
        <f>HYPERLINK("https://my.pitchbook.com?p=434981-17P","View People Online")</f>
        <v>View People Online</v>
      </c>
    </row>
    <row r="2732">
      <c r="A2732" s="2" t="s">
        <v>17995</v>
      </c>
      <c r="B2732" s="2" t="s">
        <v>17996</v>
      </c>
      <c r="C2732" s="2" t="s">
        <v>1343</v>
      </c>
      <c r="D2732" s="2" t="s">
        <v>17997</v>
      </c>
      <c r="E2732" s="2" t="s">
        <v>13207</v>
      </c>
      <c r="F2732" s="2" t="s">
        <v>13307</v>
      </c>
      <c r="G2732" s="2" t="s">
        <v>17998</v>
      </c>
      <c r="H2732" s="3" t="s">
        <v>31</v>
      </c>
      <c r="I2732" s="3">
        <v>1.0</v>
      </c>
      <c r="J2732" s="3">
        <v>1.0</v>
      </c>
      <c r="K2732" s="3" t="s">
        <v>31</v>
      </c>
      <c r="L2732" s="4" t="s">
        <v>13505</v>
      </c>
      <c r="M2732" s="2" t="s">
        <v>17999</v>
      </c>
      <c r="N2732" s="2" t="s">
        <v>1416</v>
      </c>
      <c r="O2732" s="4" t="s">
        <v>1417</v>
      </c>
      <c r="P2732" s="2" t="s">
        <v>13507</v>
      </c>
      <c r="Q2732" s="2" t="s">
        <v>1457</v>
      </c>
      <c r="R2732" s="2" t="s">
        <v>1420</v>
      </c>
      <c r="S2732" s="4" t="s">
        <v>13508</v>
      </c>
      <c r="T2732" s="2" t="s">
        <v>66</v>
      </c>
      <c r="U2732" s="4" t="s">
        <v>13509</v>
      </c>
      <c r="V2732" s="2" t="s">
        <v>13317</v>
      </c>
      <c r="W2732" s="2" t="s">
        <v>13207</v>
      </c>
      <c r="X2732" s="5" t="str">
        <f>HYPERLINK("https://my.pitchbook.com?p=436228-48P","View People Online")</f>
        <v>View People Online</v>
      </c>
    </row>
    <row r="2733">
      <c r="A2733" s="14" t="s">
        <v>18000</v>
      </c>
      <c r="B2733" s="14" t="s">
        <v>18001</v>
      </c>
      <c r="C2733" s="14" t="s">
        <v>1343</v>
      </c>
      <c r="D2733" s="14" t="s">
        <v>18002</v>
      </c>
      <c r="E2733" s="14" t="s">
        <v>13207</v>
      </c>
      <c r="F2733" s="14" t="s">
        <v>13218</v>
      </c>
      <c r="G2733" s="14" t="s">
        <v>18003</v>
      </c>
      <c r="H2733" s="15" t="s">
        <v>31</v>
      </c>
      <c r="I2733" s="15">
        <v>1.0</v>
      </c>
      <c r="J2733" s="15">
        <v>1.0</v>
      </c>
      <c r="K2733" s="15" t="s">
        <v>31</v>
      </c>
      <c r="L2733" s="16" t="s">
        <v>13423</v>
      </c>
      <c r="M2733" s="14" t="s">
        <v>18004</v>
      </c>
      <c r="N2733" s="14" t="s">
        <v>243</v>
      </c>
      <c r="O2733" s="16" t="s">
        <v>244</v>
      </c>
      <c r="P2733" s="14" t="s">
        <v>13425</v>
      </c>
      <c r="Q2733" s="14" t="s">
        <v>31</v>
      </c>
      <c r="R2733" s="14" t="s">
        <v>247</v>
      </c>
      <c r="S2733" s="16" t="s">
        <v>13426</v>
      </c>
      <c r="T2733" s="14" t="s">
        <v>249</v>
      </c>
      <c r="U2733" s="16" t="s">
        <v>31</v>
      </c>
      <c r="V2733" s="14" t="s">
        <v>13218</v>
      </c>
      <c r="W2733" s="14" t="s">
        <v>13207</v>
      </c>
      <c r="X2733" s="17" t="str">
        <f>HYPERLINK("https://my.pitchbook.com?p=435752-47P","View People Online")</f>
        <v>View People Online</v>
      </c>
    </row>
    <row r="2734">
      <c r="A2734" s="2" t="s">
        <v>18005</v>
      </c>
      <c r="B2734" s="2" t="s">
        <v>18006</v>
      </c>
      <c r="C2734" s="2" t="s">
        <v>1343</v>
      </c>
      <c r="D2734" s="2" t="s">
        <v>18007</v>
      </c>
      <c r="E2734" s="2" t="s">
        <v>13207</v>
      </c>
      <c r="F2734" s="2" t="s">
        <v>13218</v>
      </c>
      <c r="G2734" s="2" t="s">
        <v>18008</v>
      </c>
      <c r="H2734" s="3" t="s">
        <v>31</v>
      </c>
      <c r="I2734" s="3">
        <v>1.0</v>
      </c>
      <c r="J2734" s="3">
        <v>1.0</v>
      </c>
      <c r="K2734" s="3" t="s">
        <v>31</v>
      </c>
      <c r="L2734" s="4" t="s">
        <v>13209</v>
      </c>
      <c r="M2734" s="2" t="s">
        <v>18009</v>
      </c>
      <c r="N2734" s="2" t="s">
        <v>4232</v>
      </c>
      <c r="O2734" s="4" t="s">
        <v>4233</v>
      </c>
      <c r="P2734" s="2" t="s">
        <v>13211</v>
      </c>
      <c r="Q2734" s="2" t="s">
        <v>31</v>
      </c>
      <c r="R2734" s="2" t="s">
        <v>4236</v>
      </c>
      <c r="S2734" s="4" t="s">
        <v>13212</v>
      </c>
      <c r="T2734" s="2" t="s">
        <v>66</v>
      </c>
      <c r="U2734" s="4" t="s">
        <v>13213</v>
      </c>
      <c r="V2734" s="2" t="s">
        <v>13218</v>
      </c>
      <c r="W2734" s="2" t="s">
        <v>13207</v>
      </c>
      <c r="X2734" s="5" t="str">
        <f>HYPERLINK("https://my.pitchbook.com?p=455903-20P","View People Online")</f>
        <v>View People Online</v>
      </c>
    </row>
    <row r="2735">
      <c r="A2735" s="14" t="s">
        <v>18010</v>
      </c>
      <c r="B2735" s="14" t="s">
        <v>18011</v>
      </c>
      <c r="C2735" s="14" t="s">
        <v>1343</v>
      </c>
      <c r="D2735" s="14" t="s">
        <v>18012</v>
      </c>
      <c r="E2735" s="14" t="s">
        <v>13207</v>
      </c>
      <c r="F2735" s="14" t="s">
        <v>3523</v>
      </c>
      <c r="G2735" s="14" t="s">
        <v>18013</v>
      </c>
      <c r="H2735" s="15" t="s">
        <v>31</v>
      </c>
      <c r="I2735" s="15">
        <v>1.0</v>
      </c>
      <c r="J2735" s="15">
        <v>1.0</v>
      </c>
      <c r="K2735" s="15" t="s">
        <v>31</v>
      </c>
      <c r="L2735" s="16" t="s">
        <v>13916</v>
      </c>
      <c r="M2735" s="14" t="s">
        <v>18014</v>
      </c>
      <c r="N2735" s="14" t="s">
        <v>155</v>
      </c>
      <c r="O2735" s="16" t="s">
        <v>156</v>
      </c>
      <c r="P2735" s="14" t="s">
        <v>13918</v>
      </c>
      <c r="Q2735" s="14" t="s">
        <v>13919</v>
      </c>
      <c r="R2735" s="14" t="s">
        <v>64</v>
      </c>
      <c r="S2735" s="16" t="s">
        <v>1549</v>
      </c>
      <c r="T2735" s="14" t="s">
        <v>66</v>
      </c>
      <c r="U2735" s="16" t="s">
        <v>13920</v>
      </c>
      <c r="V2735" s="14" t="s">
        <v>3523</v>
      </c>
      <c r="W2735" s="14" t="s">
        <v>13207</v>
      </c>
      <c r="X2735" s="17" t="str">
        <f>HYPERLINK("https://my.pitchbook.com?p=435500-11P","View People Online")</f>
        <v>View People Online</v>
      </c>
    </row>
    <row r="2736">
      <c r="A2736" s="10" t="s">
        <v>18015</v>
      </c>
      <c r="B2736" s="10" t="s">
        <v>18016</v>
      </c>
      <c r="C2736" s="10" t="s">
        <v>1343</v>
      </c>
      <c r="D2736" s="10" t="s">
        <v>1703</v>
      </c>
      <c r="E2736" s="10" t="s">
        <v>13207</v>
      </c>
      <c r="F2736" s="10" t="s">
        <v>13218</v>
      </c>
      <c r="G2736" s="10" t="s">
        <v>18017</v>
      </c>
      <c r="H2736" s="11">
        <v>2.0</v>
      </c>
      <c r="I2736" s="11">
        <v>3.0</v>
      </c>
      <c r="J2736" s="11">
        <v>1.0</v>
      </c>
      <c r="K2736" s="11" t="s">
        <v>31</v>
      </c>
      <c r="L2736" s="12" t="s">
        <v>13496</v>
      </c>
      <c r="M2736" s="10" t="s">
        <v>18018</v>
      </c>
      <c r="N2736" s="10" t="s">
        <v>75</v>
      </c>
      <c r="O2736" s="12" t="s">
        <v>76</v>
      </c>
      <c r="P2736" s="10" t="s">
        <v>13498</v>
      </c>
      <c r="Q2736" s="10" t="s">
        <v>31</v>
      </c>
      <c r="R2736" s="10" t="s">
        <v>75</v>
      </c>
      <c r="S2736" s="12" t="s">
        <v>195</v>
      </c>
      <c r="T2736" s="10" t="s">
        <v>66</v>
      </c>
      <c r="U2736" s="12" t="s">
        <v>13499</v>
      </c>
      <c r="V2736" s="10" t="s">
        <v>14182</v>
      </c>
      <c r="W2736" s="10" t="s">
        <v>13207</v>
      </c>
      <c r="X2736" s="13" t="str">
        <f>HYPERLINK("https://my.pitchbook.com?p=17449-39P","View People Online")</f>
        <v>View People Online</v>
      </c>
    </row>
    <row r="2737">
      <c r="A2737" s="14" t="s">
        <v>18019</v>
      </c>
      <c r="B2737" s="14" t="s">
        <v>18020</v>
      </c>
      <c r="C2737" s="14" t="s">
        <v>1343</v>
      </c>
      <c r="D2737" s="14" t="s">
        <v>18021</v>
      </c>
      <c r="E2737" s="14" t="s">
        <v>13207</v>
      </c>
      <c r="F2737" s="14" t="s">
        <v>13218</v>
      </c>
      <c r="G2737" s="14" t="s">
        <v>18022</v>
      </c>
      <c r="H2737" s="15" t="s">
        <v>31</v>
      </c>
      <c r="I2737" s="15">
        <v>1.0</v>
      </c>
      <c r="J2737" s="15">
        <v>1.0</v>
      </c>
      <c r="K2737" s="15" t="s">
        <v>31</v>
      </c>
      <c r="L2737" s="16" t="s">
        <v>14614</v>
      </c>
      <c r="M2737" s="14" t="s">
        <v>18023</v>
      </c>
      <c r="N2737" s="14" t="s">
        <v>1442</v>
      </c>
      <c r="O2737" s="16" t="s">
        <v>1443</v>
      </c>
      <c r="P2737" s="14" t="s">
        <v>14616</v>
      </c>
      <c r="Q2737" s="14" t="s">
        <v>14617</v>
      </c>
      <c r="R2737" s="14" t="s">
        <v>1277</v>
      </c>
      <c r="S2737" s="16" t="s">
        <v>14618</v>
      </c>
      <c r="T2737" s="14" t="s">
        <v>66</v>
      </c>
      <c r="U2737" s="16" t="s">
        <v>31</v>
      </c>
      <c r="V2737" s="14" t="s">
        <v>13218</v>
      </c>
      <c r="W2737" s="14" t="s">
        <v>13207</v>
      </c>
      <c r="X2737" s="17" t="str">
        <f>HYPERLINK("https://my.pitchbook.com?p=435993-76P","View People Online")</f>
        <v>View People Online</v>
      </c>
    </row>
    <row r="2738">
      <c r="A2738" s="10" t="s">
        <v>18024</v>
      </c>
      <c r="B2738" s="10" t="s">
        <v>18025</v>
      </c>
      <c r="C2738" s="10" t="s">
        <v>1343</v>
      </c>
      <c r="D2738" s="10" t="s">
        <v>8429</v>
      </c>
      <c r="E2738" s="10" t="s">
        <v>13207</v>
      </c>
      <c r="F2738" s="10" t="s">
        <v>1283</v>
      </c>
      <c r="G2738" s="10" t="s">
        <v>18026</v>
      </c>
      <c r="H2738" s="11" t="s">
        <v>31</v>
      </c>
      <c r="I2738" s="11">
        <v>1.0</v>
      </c>
      <c r="J2738" s="11">
        <v>1.0</v>
      </c>
      <c r="K2738" s="11" t="s">
        <v>31</v>
      </c>
      <c r="L2738" s="12" t="s">
        <v>13953</v>
      </c>
      <c r="M2738" s="10" t="s">
        <v>18027</v>
      </c>
      <c r="N2738" s="10" t="s">
        <v>1170</v>
      </c>
      <c r="O2738" s="12" t="s">
        <v>1171</v>
      </c>
      <c r="P2738" s="10" t="s">
        <v>13955</v>
      </c>
      <c r="Q2738" s="10" t="s">
        <v>13956</v>
      </c>
      <c r="R2738" s="10" t="s">
        <v>64</v>
      </c>
      <c r="S2738" s="12" t="s">
        <v>13957</v>
      </c>
      <c r="T2738" s="10" t="s">
        <v>66</v>
      </c>
      <c r="U2738" s="12" t="s">
        <v>13958</v>
      </c>
      <c r="V2738" s="10" t="s">
        <v>1283</v>
      </c>
      <c r="W2738" s="10" t="s">
        <v>13207</v>
      </c>
      <c r="X2738" s="13" t="str">
        <f>HYPERLINK("https://my.pitchbook.com?p=455393-53P","View People Online")</f>
        <v>View People Online</v>
      </c>
    </row>
    <row r="2739">
      <c r="A2739" s="14" t="s">
        <v>18028</v>
      </c>
      <c r="B2739" s="14" t="s">
        <v>18029</v>
      </c>
      <c r="C2739" s="14" t="s">
        <v>1616</v>
      </c>
      <c r="D2739" s="14" t="s">
        <v>4872</v>
      </c>
      <c r="E2739" s="14" t="s">
        <v>13207</v>
      </c>
      <c r="F2739" s="14" t="s">
        <v>13240</v>
      </c>
      <c r="G2739" s="14" t="s">
        <v>18030</v>
      </c>
      <c r="H2739" s="15" t="s">
        <v>31</v>
      </c>
      <c r="I2739" s="15">
        <v>1.0</v>
      </c>
      <c r="J2739" s="15">
        <v>1.0</v>
      </c>
      <c r="K2739" s="15" t="s">
        <v>31</v>
      </c>
      <c r="L2739" s="16" t="s">
        <v>13423</v>
      </c>
      <c r="M2739" s="14" t="s">
        <v>18031</v>
      </c>
      <c r="N2739" s="14" t="s">
        <v>243</v>
      </c>
      <c r="O2739" s="16" t="s">
        <v>244</v>
      </c>
      <c r="P2739" s="14" t="s">
        <v>13425</v>
      </c>
      <c r="Q2739" s="14" t="s">
        <v>31</v>
      </c>
      <c r="R2739" s="14" t="s">
        <v>247</v>
      </c>
      <c r="S2739" s="16" t="s">
        <v>13426</v>
      </c>
      <c r="T2739" s="14" t="s">
        <v>249</v>
      </c>
      <c r="U2739" s="16" t="s">
        <v>31</v>
      </c>
      <c r="V2739" s="14" t="s">
        <v>18032</v>
      </c>
      <c r="W2739" s="14" t="s">
        <v>13207</v>
      </c>
      <c r="X2739" s="17" t="str">
        <f>HYPERLINK("https://my.pitchbook.com?p=435498-22P","View People Online")</f>
        <v>View People Online</v>
      </c>
    </row>
    <row r="2740">
      <c r="A2740" s="2" t="s">
        <v>18033</v>
      </c>
      <c r="B2740" s="2" t="s">
        <v>18034</v>
      </c>
      <c r="C2740" s="2" t="s">
        <v>1616</v>
      </c>
      <c r="D2740" s="2" t="s">
        <v>18035</v>
      </c>
      <c r="E2740" s="2" t="s">
        <v>13207</v>
      </c>
      <c r="F2740" s="2" t="s">
        <v>3523</v>
      </c>
      <c r="G2740" s="2" t="s">
        <v>18036</v>
      </c>
      <c r="H2740" s="3" t="s">
        <v>31</v>
      </c>
      <c r="I2740" s="3">
        <v>1.0</v>
      </c>
      <c r="J2740" s="3">
        <v>1.0</v>
      </c>
      <c r="K2740" s="3" t="s">
        <v>31</v>
      </c>
      <c r="L2740" s="4" t="s">
        <v>13274</v>
      </c>
      <c r="M2740" s="2" t="s">
        <v>18037</v>
      </c>
      <c r="N2740" s="2" t="s">
        <v>1181</v>
      </c>
      <c r="O2740" s="4" t="s">
        <v>1182</v>
      </c>
      <c r="P2740" s="2" t="s">
        <v>13276</v>
      </c>
      <c r="Q2740" s="2" t="s">
        <v>31</v>
      </c>
      <c r="R2740" s="2" t="s">
        <v>1185</v>
      </c>
      <c r="S2740" s="4" t="s">
        <v>4438</v>
      </c>
      <c r="T2740" s="2" t="s">
        <v>66</v>
      </c>
      <c r="U2740" s="4" t="s">
        <v>13277</v>
      </c>
      <c r="V2740" s="2" t="s">
        <v>18038</v>
      </c>
      <c r="W2740" s="2" t="s">
        <v>13207</v>
      </c>
      <c r="X2740" s="5" t="str">
        <f>HYPERLINK("https://my.pitchbook.com?p=455371-75P","View People Online")</f>
        <v>View People Online</v>
      </c>
    </row>
    <row r="2741">
      <c r="A2741" s="14" t="s">
        <v>18039</v>
      </c>
      <c r="B2741" s="14" t="s">
        <v>18040</v>
      </c>
      <c r="C2741" s="14" t="s">
        <v>1616</v>
      </c>
      <c r="D2741" s="14" t="s">
        <v>10606</v>
      </c>
      <c r="E2741" s="14" t="s">
        <v>13207</v>
      </c>
      <c r="F2741" s="14" t="s">
        <v>3523</v>
      </c>
      <c r="G2741" s="14" t="s">
        <v>18041</v>
      </c>
      <c r="H2741" s="15" t="s">
        <v>31</v>
      </c>
      <c r="I2741" s="15">
        <v>1.0</v>
      </c>
      <c r="J2741" s="15">
        <v>1.0</v>
      </c>
      <c r="K2741" s="15" t="s">
        <v>31</v>
      </c>
      <c r="L2741" s="16" t="s">
        <v>13274</v>
      </c>
      <c r="M2741" s="14" t="s">
        <v>18042</v>
      </c>
      <c r="N2741" s="14" t="s">
        <v>1181</v>
      </c>
      <c r="O2741" s="16" t="s">
        <v>1182</v>
      </c>
      <c r="P2741" s="14" t="s">
        <v>13276</v>
      </c>
      <c r="Q2741" s="14" t="s">
        <v>31</v>
      </c>
      <c r="R2741" s="14" t="s">
        <v>1185</v>
      </c>
      <c r="S2741" s="16" t="s">
        <v>4438</v>
      </c>
      <c r="T2741" s="14" t="s">
        <v>66</v>
      </c>
      <c r="U2741" s="16" t="s">
        <v>13277</v>
      </c>
      <c r="V2741" s="14" t="s">
        <v>3523</v>
      </c>
      <c r="W2741" s="14" t="s">
        <v>13207</v>
      </c>
      <c r="X2741" s="17" t="str">
        <f>HYPERLINK("https://my.pitchbook.com?p=436233-88P","View People Online")</f>
        <v>View People Online</v>
      </c>
    </row>
    <row r="2742">
      <c r="A2742" s="2" t="s">
        <v>18043</v>
      </c>
      <c r="B2742" s="2" t="s">
        <v>18044</v>
      </c>
      <c r="C2742" s="2" t="s">
        <v>1616</v>
      </c>
      <c r="D2742" s="2" t="s">
        <v>18045</v>
      </c>
      <c r="E2742" s="2" t="s">
        <v>13207</v>
      </c>
      <c r="F2742" s="2" t="s">
        <v>13218</v>
      </c>
      <c r="G2742" s="2" t="s">
        <v>18046</v>
      </c>
      <c r="H2742" s="3" t="s">
        <v>31</v>
      </c>
      <c r="I2742" s="3">
        <v>3.0</v>
      </c>
      <c r="J2742" s="3">
        <v>2.0</v>
      </c>
      <c r="K2742" s="3" t="s">
        <v>31</v>
      </c>
      <c r="L2742" s="4" t="s">
        <v>31</v>
      </c>
      <c r="M2742" s="2" t="s">
        <v>18047</v>
      </c>
      <c r="N2742" s="2" t="s">
        <v>15272</v>
      </c>
      <c r="O2742" s="4" t="s">
        <v>15273</v>
      </c>
      <c r="P2742" s="2" t="s">
        <v>18048</v>
      </c>
      <c r="Q2742" s="2" t="s">
        <v>1719</v>
      </c>
      <c r="R2742" s="2" t="s">
        <v>15275</v>
      </c>
      <c r="S2742" s="4" t="s">
        <v>18049</v>
      </c>
      <c r="T2742" s="2" t="s">
        <v>66</v>
      </c>
      <c r="U2742" s="4" t="s">
        <v>31</v>
      </c>
      <c r="V2742" s="2" t="s">
        <v>18050</v>
      </c>
      <c r="W2742" s="2" t="s">
        <v>18051</v>
      </c>
      <c r="X2742" s="5" t="str">
        <f>HYPERLINK("https://my.pitchbook.com?p=213702-49P","View People Online")</f>
        <v>View People Online</v>
      </c>
    </row>
    <row r="2743">
      <c r="A2743" s="14" t="s">
        <v>18052</v>
      </c>
      <c r="B2743" s="14" t="s">
        <v>18053</v>
      </c>
      <c r="C2743" s="14" t="s">
        <v>3005</v>
      </c>
      <c r="D2743" s="14" t="s">
        <v>18054</v>
      </c>
      <c r="E2743" s="14" t="s">
        <v>13207</v>
      </c>
      <c r="F2743" s="14" t="s">
        <v>3523</v>
      </c>
      <c r="G2743" s="14" t="s">
        <v>18055</v>
      </c>
      <c r="H2743" s="15" t="s">
        <v>31</v>
      </c>
      <c r="I2743" s="15">
        <v>1.0</v>
      </c>
      <c r="J2743" s="15">
        <v>1.0</v>
      </c>
      <c r="K2743" s="15" t="s">
        <v>31</v>
      </c>
      <c r="L2743" s="16" t="s">
        <v>13673</v>
      </c>
      <c r="M2743" s="14" t="s">
        <v>18056</v>
      </c>
      <c r="N2743" s="14" t="s">
        <v>6311</v>
      </c>
      <c r="O2743" s="16" t="s">
        <v>6312</v>
      </c>
      <c r="P2743" s="14" t="s">
        <v>13675</v>
      </c>
      <c r="Q2743" s="14" t="s">
        <v>31</v>
      </c>
      <c r="R2743" s="14" t="s">
        <v>31</v>
      </c>
      <c r="S2743" s="16" t="s">
        <v>13676</v>
      </c>
      <c r="T2743" s="14" t="s">
        <v>6315</v>
      </c>
      <c r="U2743" s="16" t="s">
        <v>13677</v>
      </c>
      <c r="V2743" s="14" t="s">
        <v>3523</v>
      </c>
      <c r="W2743" s="14" t="s">
        <v>13207</v>
      </c>
      <c r="X2743" s="17" t="str">
        <f>HYPERLINK("https://my.pitchbook.com?p=455709-52P","View People Online")</f>
        <v>View People Online</v>
      </c>
    </row>
    <row r="2744">
      <c r="A2744" s="2" t="s">
        <v>18057</v>
      </c>
      <c r="B2744" s="2" t="s">
        <v>18058</v>
      </c>
      <c r="C2744" s="2" t="s">
        <v>3005</v>
      </c>
      <c r="D2744" s="2" t="s">
        <v>18059</v>
      </c>
      <c r="E2744" s="2" t="s">
        <v>13207</v>
      </c>
      <c r="F2744" s="2" t="s">
        <v>13218</v>
      </c>
      <c r="G2744" s="2" t="s">
        <v>18060</v>
      </c>
      <c r="H2744" s="3" t="s">
        <v>31</v>
      </c>
      <c r="I2744" s="3">
        <v>1.0</v>
      </c>
      <c r="J2744" s="3">
        <v>1.0</v>
      </c>
      <c r="K2744" s="3" t="s">
        <v>31</v>
      </c>
      <c r="L2744" s="4" t="s">
        <v>14331</v>
      </c>
      <c r="M2744" s="2" t="s">
        <v>18061</v>
      </c>
      <c r="N2744" s="2" t="s">
        <v>14333</v>
      </c>
      <c r="O2744" s="4" t="s">
        <v>14334</v>
      </c>
      <c r="P2744" s="2" t="s">
        <v>14335</v>
      </c>
      <c r="Q2744" s="2" t="s">
        <v>14336</v>
      </c>
      <c r="R2744" s="2" t="s">
        <v>31</v>
      </c>
      <c r="S2744" s="4" t="s">
        <v>14337</v>
      </c>
      <c r="T2744" s="2" t="s">
        <v>14338</v>
      </c>
      <c r="U2744" s="4" t="s">
        <v>31</v>
      </c>
      <c r="V2744" s="2" t="s">
        <v>13218</v>
      </c>
      <c r="W2744" s="2" t="s">
        <v>13207</v>
      </c>
      <c r="X2744" s="5" t="str">
        <f>HYPERLINK("https://my.pitchbook.com?p=456645-70P","View People Online")</f>
        <v>View People Online</v>
      </c>
    </row>
    <row r="2745">
      <c r="A2745" s="6" t="s">
        <v>18062</v>
      </c>
      <c r="B2745" s="6" t="s">
        <v>18063</v>
      </c>
      <c r="C2745" s="6" t="s">
        <v>3005</v>
      </c>
      <c r="D2745" s="6" t="s">
        <v>18064</v>
      </c>
      <c r="E2745" s="6" t="s">
        <v>13207</v>
      </c>
      <c r="F2745" s="6" t="s">
        <v>3523</v>
      </c>
      <c r="G2745" s="6" t="s">
        <v>18065</v>
      </c>
      <c r="H2745" s="7" t="s">
        <v>31</v>
      </c>
      <c r="I2745" s="7">
        <v>1.0</v>
      </c>
      <c r="J2745" s="7">
        <v>1.0</v>
      </c>
      <c r="K2745" s="7" t="s">
        <v>31</v>
      </c>
      <c r="L2745" s="8" t="s">
        <v>13459</v>
      </c>
      <c r="M2745" s="6" t="s">
        <v>18066</v>
      </c>
      <c r="N2745" s="6" t="s">
        <v>3100</v>
      </c>
      <c r="O2745" s="8" t="s">
        <v>3101</v>
      </c>
      <c r="P2745" s="6" t="s">
        <v>13461</v>
      </c>
      <c r="Q2745" s="6" t="s">
        <v>31</v>
      </c>
      <c r="R2745" s="6" t="s">
        <v>31</v>
      </c>
      <c r="S2745" s="8" t="s">
        <v>3103</v>
      </c>
      <c r="T2745" s="6" t="s">
        <v>3104</v>
      </c>
      <c r="U2745" s="8" t="s">
        <v>13462</v>
      </c>
      <c r="V2745" s="6" t="s">
        <v>13468</v>
      </c>
      <c r="W2745" s="6" t="s">
        <v>13207</v>
      </c>
      <c r="X2745" s="9" t="str">
        <f>HYPERLINK("https://my.pitchbook.com?p=426881-71P","View People Online")</f>
        <v>View People Online</v>
      </c>
    </row>
    <row r="2746">
      <c r="A2746" s="2" t="s">
        <v>18067</v>
      </c>
      <c r="B2746" s="2" t="s">
        <v>18068</v>
      </c>
      <c r="C2746" s="2" t="s">
        <v>3005</v>
      </c>
      <c r="D2746" s="2" t="s">
        <v>18069</v>
      </c>
      <c r="E2746" s="2" t="s">
        <v>13207</v>
      </c>
      <c r="F2746" s="2" t="s">
        <v>3523</v>
      </c>
      <c r="G2746" s="2" t="s">
        <v>18070</v>
      </c>
      <c r="H2746" s="3" t="s">
        <v>31</v>
      </c>
      <c r="I2746" s="3">
        <v>1.0</v>
      </c>
      <c r="J2746" s="3">
        <v>1.0</v>
      </c>
      <c r="K2746" s="3" t="s">
        <v>31</v>
      </c>
      <c r="L2746" s="4" t="s">
        <v>14142</v>
      </c>
      <c r="M2746" s="2" t="s">
        <v>18071</v>
      </c>
      <c r="N2746" s="2" t="s">
        <v>273</v>
      </c>
      <c r="O2746" s="4" t="s">
        <v>274</v>
      </c>
      <c r="P2746" s="2" t="s">
        <v>14144</v>
      </c>
      <c r="Q2746" s="2" t="s">
        <v>31</v>
      </c>
      <c r="R2746" s="2" t="s">
        <v>31</v>
      </c>
      <c r="S2746" s="4" t="s">
        <v>14145</v>
      </c>
      <c r="T2746" s="2" t="s">
        <v>276</v>
      </c>
      <c r="U2746" s="4" t="s">
        <v>14146</v>
      </c>
      <c r="V2746" s="2" t="s">
        <v>3523</v>
      </c>
      <c r="W2746" s="2" t="s">
        <v>13207</v>
      </c>
      <c r="X2746" s="5" t="str">
        <f>HYPERLINK("https://my.pitchbook.com?p=455263-66P","View People Online")</f>
        <v>View People Online</v>
      </c>
    </row>
    <row r="2747">
      <c r="A2747" s="6" t="s">
        <v>18072</v>
      </c>
      <c r="B2747" s="6" t="s">
        <v>18073</v>
      </c>
      <c r="C2747" s="6" t="s">
        <v>1356</v>
      </c>
      <c r="D2747" s="6" t="s">
        <v>1147</v>
      </c>
      <c r="E2747" s="6" t="s">
        <v>13207</v>
      </c>
      <c r="F2747" s="6" t="s">
        <v>3523</v>
      </c>
      <c r="G2747" s="6" t="s">
        <v>18074</v>
      </c>
      <c r="H2747" s="7" t="s">
        <v>31</v>
      </c>
      <c r="I2747" s="7">
        <v>1.0</v>
      </c>
      <c r="J2747" s="7">
        <v>1.0</v>
      </c>
      <c r="K2747" s="7" t="s">
        <v>31</v>
      </c>
      <c r="L2747" s="8" t="s">
        <v>13657</v>
      </c>
      <c r="M2747" s="6" t="s">
        <v>18075</v>
      </c>
      <c r="N2747" s="6" t="s">
        <v>13659</v>
      </c>
      <c r="O2747" s="8" t="s">
        <v>13660</v>
      </c>
      <c r="P2747" s="6" t="s">
        <v>13661</v>
      </c>
      <c r="Q2747" s="6" t="s">
        <v>31</v>
      </c>
      <c r="R2747" s="6" t="s">
        <v>31</v>
      </c>
      <c r="S2747" s="8" t="s">
        <v>13662</v>
      </c>
      <c r="T2747" s="6" t="s">
        <v>38</v>
      </c>
      <c r="U2747" s="8" t="s">
        <v>13663</v>
      </c>
      <c r="V2747" s="6" t="s">
        <v>3523</v>
      </c>
      <c r="W2747" s="6" t="s">
        <v>13207</v>
      </c>
      <c r="X2747" s="9" t="str">
        <f>HYPERLINK("https://my.pitchbook.com?p=435835-63P","View People Online")</f>
        <v>View People Online</v>
      </c>
    </row>
    <row r="2748">
      <c r="A2748" s="2" t="s">
        <v>18076</v>
      </c>
      <c r="B2748" s="2" t="s">
        <v>18077</v>
      </c>
      <c r="C2748" s="2" t="s">
        <v>1356</v>
      </c>
      <c r="D2748" s="2" t="s">
        <v>18078</v>
      </c>
      <c r="E2748" s="2" t="s">
        <v>13207</v>
      </c>
      <c r="F2748" s="2" t="s">
        <v>13218</v>
      </c>
      <c r="G2748" s="2" t="s">
        <v>18079</v>
      </c>
      <c r="H2748" s="3" t="s">
        <v>31</v>
      </c>
      <c r="I2748" s="3">
        <v>1.0</v>
      </c>
      <c r="J2748" s="3">
        <v>1.0</v>
      </c>
      <c r="K2748" s="3" t="s">
        <v>31</v>
      </c>
      <c r="L2748" s="4" t="s">
        <v>13274</v>
      </c>
      <c r="M2748" s="2" t="s">
        <v>18080</v>
      </c>
      <c r="N2748" s="2" t="s">
        <v>1181</v>
      </c>
      <c r="O2748" s="4" t="s">
        <v>1182</v>
      </c>
      <c r="P2748" s="2" t="s">
        <v>13276</v>
      </c>
      <c r="Q2748" s="2" t="s">
        <v>31</v>
      </c>
      <c r="R2748" s="2" t="s">
        <v>1185</v>
      </c>
      <c r="S2748" s="4" t="s">
        <v>4438</v>
      </c>
      <c r="T2748" s="2" t="s">
        <v>66</v>
      </c>
      <c r="U2748" s="4" t="s">
        <v>13277</v>
      </c>
      <c r="V2748" s="2" t="s">
        <v>13218</v>
      </c>
      <c r="W2748" s="2" t="s">
        <v>13207</v>
      </c>
      <c r="X2748" s="5" t="str">
        <f>HYPERLINK("https://my.pitchbook.com?p=435501-10P","View People Online")</f>
        <v>View People Online</v>
      </c>
    </row>
    <row r="2749">
      <c r="A2749" s="14" t="s">
        <v>18081</v>
      </c>
      <c r="B2749" s="14" t="s">
        <v>18082</v>
      </c>
      <c r="C2749" s="14" t="s">
        <v>1356</v>
      </c>
      <c r="D2749" s="14" t="s">
        <v>18083</v>
      </c>
      <c r="E2749" s="14" t="s">
        <v>13207</v>
      </c>
      <c r="F2749" s="14" t="s">
        <v>3523</v>
      </c>
      <c r="G2749" s="14" t="s">
        <v>18084</v>
      </c>
      <c r="H2749" s="15" t="s">
        <v>31</v>
      </c>
      <c r="I2749" s="15">
        <v>1.0</v>
      </c>
      <c r="J2749" s="15">
        <v>1.0</v>
      </c>
      <c r="K2749" s="15" t="s">
        <v>31</v>
      </c>
      <c r="L2749" s="16" t="s">
        <v>13274</v>
      </c>
      <c r="M2749" s="14" t="s">
        <v>18085</v>
      </c>
      <c r="N2749" s="14" t="s">
        <v>1181</v>
      </c>
      <c r="O2749" s="16" t="s">
        <v>1182</v>
      </c>
      <c r="P2749" s="14" t="s">
        <v>13276</v>
      </c>
      <c r="Q2749" s="14" t="s">
        <v>31</v>
      </c>
      <c r="R2749" s="14" t="s">
        <v>1185</v>
      </c>
      <c r="S2749" s="16" t="s">
        <v>4438</v>
      </c>
      <c r="T2749" s="14" t="s">
        <v>66</v>
      </c>
      <c r="U2749" s="16" t="s">
        <v>13277</v>
      </c>
      <c r="V2749" s="14" t="s">
        <v>3523</v>
      </c>
      <c r="W2749" s="14" t="s">
        <v>13207</v>
      </c>
      <c r="X2749" s="17" t="str">
        <f>HYPERLINK("https://my.pitchbook.com?p=435084-58P","View People Online")</f>
        <v>View People Online</v>
      </c>
    </row>
    <row r="2750">
      <c r="A2750" s="2" t="s">
        <v>18086</v>
      </c>
      <c r="B2750" s="2" t="s">
        <v>18087</v>
      </c>
      <c r="C2750" s="2" t="s">
        <v>1356</v>
      </c>
      <c r="D2750" s="2" t="s">
        <v>18088</v>
      </c>
      <c r="E2750" s="2" t="s">
        <v>13207</v>
      </c>
      <c r="F2750" s="2" t="s">
        <v>3523</v>
      </c>
      <c r="G2750" s="2" t="s">
        <v>18089</v>
      </c>
      <c r="H2750" s="3" t="s">
        <v>31</v>
      </c>
      <c r="I2750" s="3">
        <v>1.0</v>
      </c>
      <c r="J2750" s="3">
        <v>1.0</v>
      </c>
      <c r="K2750" s="3" t="s">
        <v>31</v>
      </c>
      <c r="L2750" s="4" t="s">
        <v>15671</v>
      </c>
      <c r="M2750" s="2" t="s">
        <v>18090</v>
      </c>
      <c r="N2750" s="2" t="s">
        <v>15673</v>
      </c>
      <c r="O2750" s="4" t="s">
        <v>15674</v>
      </c>
      <c r="P2750" s="2" t="s">
        <v>15675</v>
      </c>
      <c r="Q2750" s="2" t="s">
        <v>6654</v>
      </c>
      <c r="R2750" s="2" t="s">
        <v>15676</v>
      </c>
      <c r="S2750" s="4" t="s">
        <v>15677</v>
      </c>
      <c r="T2750" s="2" t="s">
        <v>66</v>
      </c>
      <c r="U2750" s="4" t="s">
        <v>15678</v>
      </c>
      <c r="V2750" s="2" t="s">
        <v>3523</v>
      </c>
      <c r="W2750" s="2" t="s">
        <v>13207</v>
      </c>
      <c r="X2750" s="5" t="str">
        <f>HYPERLINK("https://my.pitchbook.com?p=456624-37P","View People Online")</f>
        <v>View People Online</v>
      </c>
    </row>
    <row r="2751">
      <c r="A2751" s="6" t="s">
        <v>18091</v>
      </c>
      <c r="B2751" s="6" t="s">
        <v>18092</v>
      </c>
      <c r="C2751" s="6" t="s">
        <v>1356</v>
      </c>
      <c r="D2751" s="6" t="s">
        <v>3716</v>
      </c>
      <c r="E2751" s="6" t="s">
        <v>13207</v>
      </c>
      <c r="F2751" s="6" t="s">
        <v>13218</v>
      </c>
      <c r="G2751" s="6" t="s">
        <v>18093</v>
      </c>
      <c r="H2751" s="7" t="s">
        <v>31</v>
      </c>
      <c r="I2751" s="7">
        <v>1.0</v>
      </c>
      <c r="J2751" s="7">
        <v>1.0</v>
      </c>
      <c r="K2751" s="7" t="s">
        <v>31</v>
      </c>
      <c r="L2751" s="8" t="s">
        <v>13496</v>
      </c>
      <c r="M2751" s="6" t="s">
        <v>18094</v>
      </c>
      <c r="N2751" s="6" t="s">
        <v>75</v>
      </c>
      <c r="O2751" s="8" t="s">
        <v>76</v>
      </c>
      <c r="P2751" s="6" t="s">
        <v>13498</v>
      </c>
      <c r="Q2751" s="6" t="s">
        <v>31</v>
      </c>
      <c r="R2751" s="6" t="s">
        <v>75</v>
      </c>
      <c r="S2751" s="8" t="s">
        <v>195</v>
      </c>
      <c r="T2751" s="6" t="s">
        <v>66</v>
      </c>
      <c r="U2751" s="8" t="s">
        <v>13499</v>
      </c>
      <c r="V2751" s="6" t="s">
        <v>13218</v>
      </c>
      <c r="W2751" s="6" t="s">
        <v>13207</v>
      </c>
      <c r="X2751" s="9" t="str">
        <f>HYPERLINK("https://my.pitchbook.com?p=435612-25P","View People Online")</f>
        <v>View People Online</v>
      </c>
    </row>
    <row r="2752">
      <c r="A2752" s="2" t="s">
        <v>18095</v>
      </c>
      <c r="B2752" s="2" t="s">
        <v>18096</v>
      </c>
      <c r="C2752" s="2" t="s">
        <v>18097</v>
      </c>
      <c r="D2752" s="2" t="s">
        <v>18098</v>
      </c>
      <c r="E2752" s="2" t="s">
        <v>13207</v>
      </c>
      <c r="F2752" s="2" t="s">
        <v>1283</v>
      </c>
      <c r="G2752" s="2" t="s">
        <v>18099</v>
      </c>
      <c r="H2752" s="3" t="s">
        <v>31</v>
      </c>
      <c r="I2752" s="3">
        <v>1.0</v>
      </c>
      <c r="J2752" s="3">
        <v>1.0</v>
      </c>
      <c r="K2752" s="3" t="s">
        <v>31</v>
      </c>
      <c r="L2752" s="4" t="s">
        <v>13242</v>
      </c>
      <c r="M2752" s="2" t="s">
        <v>18100</v>
      </c>
      <c r="N2752" s="2" t="s">
        <v>9865</v>
      </c>
      <c r="O2752" s="4" t="s">
        <v>9866</v>
      </c>
      <c r="P2752" s="2" t="s">
        <v>13244</v>
      </c>
      <c r="Q2752" s="2" t="s">
        <v>31</v>
      </c>
      <c r="R2752" s="2" t="s">
        <v>31</v>
      </c>
      <c r="S2752" s="4" t="s">
        <v>13245</v>
      </c>
      <c r="T2752" s="2" t="s">
        <v>38</v>
      </c>
      <c r="U2752" s="4" t="s">
        <v>13246</v>
      </c>
      <c r="V2752" s="2" t="s">
        <v>14540</v>
      </c>
      <c r="W2752" s="2" t="s">
        <v>13207</v>
      </c>
      <c r="X2752" s="5" t="str">
        <f>HYPERLINK("https://my.pitchbook.com?p=455194-63P","View People Online")</f>
        <v>View People Online</v>
      </c>
    </row>
    <row r="2753">
      <c r="A2753" s="6" t="s">
        <v>18101</v>
      </c>
      <c r="B2753" s="6" t="s">
        <v>18102</v>
      </c>
      <c r="C2753" s="6" t="s">
        <v>2172</v>
      </c>
      <c r="D2753" s="6" t="s">
        <v>18103</v>
      </c>
      <c r="E2753" s="6" t="s">
        <v>13207</v>
      </c>
      <c r="F2753" s="6" t="s">
        <v>13218</v>
      </c>
      <c r="G2753" s="6" t="s">
        <v>18104</v>
      </c>
      <c r="H2753" s="7" t="s">
        <v>31</v>
      </c>
      <c r="I2753" s="7">
        <v>1.0</v>
      </c>
      <c r="J2753" s="7">
        <v>1.0</v>
      </c>
      <c r="K2753" s="7" t="s">
        <v>31</v>
      </c>
      <c r="L2753" s="8" t="s">
        <v>13531</v>
      </c>
      <c r="M2753" s="6" t="s">
        <v>18105</v>
      </c>
      <c r="N2753" s="6" t="s">
        <v>2273</v>
      </c>
      <c r="O2753" s="8" t="s">
        <v>2274</v>
      </c>
      <c r="P2753" s="6" t="s">
        <v>13533</v>
      </c>
      <c r="Q2753" s="6" t="s">
        <v>31</v>
      </c>
      <c r="R2753" s="6" t="s">
        <v>31</v>
      </c>
      <c r="S2753" s="8" t="s">
        <v>13534</v>
      </c>
      <c r="T2753" s="6" t="s">
        <v>2278</v>
      </c>
      <c r="U2753" s="8" t="s">
        <v>13535</v>
      </c>
      <c r="V2753" s="6" t="s">
        <v>13218</v>
      </c>
      <c r="W2753" s="6" t="s">
        <v>13207</v>
      </c>
      <c r="X2753" s="9" t="str">
        <f>HYPERLINK("https://my.pitchbook.com?p=435323-89P","View People Online")</f>
        <v>View People Online</v>
      </c>
    </row>
    <row r="2754">
      <c r="A2754" s="10" t="s">
        <v>18106</v>
      </c>
      <c r="B2754" s="10" t="s">
        <v>18107</v>
      </c>
      <c r="C2754" s="10" t="s">
        <v>3023</v>
      </c>
      <c r="D2754" s="10" t="s">
        <v>3150</v>
      </c>
      <c r="E2754" s="10" t="s">
        <v>13207</v>
      </c>
      <c r="F2754" s="10" t="s">
        <v>3523</v>
      </c>
      <c r="G2754" s="10" t="s">
        <v>18108</v>
      </c>
      <c r="H2754" s="11" t="s">
        <v>31</v>
      </c>
      <c r="I2754" s="11">
        <v>1.0</v>
      </c>
      <c r="J2754" s="11">
        <v>1.0</v>
      </c>
      <c r="K2754" s="11" t="s">
        <v>31</v>
      </c>
      <c r="L2754" s="12" t="s">
        <v>13531</v>
      </c>
      <c r="M2754" s="10" t="s">
        <v>18109</v>
      </c>
      <c r="N2754" s="10" t="s">
        <v>2273</v>
      </c>
      <c r="O2754" s="12" t="s">
        <v>2274</v>
      </c>
      <c r="P2754" s="10" t="s">
        <v>13533</v>
      </c>
      <c r="Q2754" s="10" t="s">
        <v>31</v>
      </c>
      <c r="R2754" s="10" t="s">
        <v>31</v>
      </c>
      <c r="S2754" s="12" t="s">
        <v>13534</v>
      </c>
      <c r="T2754" s="10" t="s">
        <v>2278</v>
      </c>
      <c r="U2754" s="12" t="s">
        <v>13535</v>
      </c>
      <c r="V2754" s="10" t="s">
        <v>3523</v>
      </c>
      <c r="W2754" s="10" t="s">
        <v>13207</v>
      </c>
      <c r="X2754" s="13" t="str">
        <f>HYPERLINK("https://my.pitchbook.com?p=434827-90P","View People Online")</f>
        <v>View People Online</v>
      </c>
    </row>
    <row r="2755">
      <c r="A2755" s="6" t="s">
        <v>18110</v>
      </c>
      <c r="B2755" s="6" t="s">
        <v>18111</v>
      </c>
      <c r="C2755" s="6" t="s">
        <v>3023</v>
      </c>
      <c r="D2755" s="6" t="s">
        <v>18112</v>
      </c>
      <c r="E2755" s="6" t="s">
        <v>13207</v>
      </c>
      <c r="F2755" s="6" t="s">
        <v>13240</v>
      </c>
      <c r="G2755" s="6" t="s">
        <v>18113</v>
      </c>
      <c r="H2755" s="7" t="s">
        <v>31</v>
      </c>
      <c r="I2755" s="7">
        <v>1.0</v>
      </c>
      <c r="J2755" s="7">
        <v>1.0</v>
      </c>
      <c r="K2755" s="7" t="s">
        <v>31</v>
      </c>
      <c r="L2755" s="8" t="s">
        <v>13724</v>
      </c>
      <c r="M2755" s="6" t="s">
        <v>18114</v>
      </c>
      <c r="N2755" s="6" t="s">
        <v>34</v>
      </c>
      <c r="O2755" s="8" t="s">
        <v>35</v>
      </c>
      <c r="P2755" s="6" t="s">
        <v>13726</v>
      </c>
      <c r="Q2755" s="6" t="s">
        <v>31</v>
      </c>
      <c r="R2755" s="6" t="s">
        <v>31</v>
      </c>
      <c r="S2755" s="8" t="s">
        <v>13727</v>
      </c>
      <c r="T2755" s="6" t="s">
        <v>38</v>
      </c>
      <c r="U2755" s="8" t="s">
        <v>13728</v>
      </c>
      <c r="V2755" s="6" t="s">
        <v>13247</v>
      </c>
      <c r="W2755" s="6" t="s">
        <v>13207</v>
      </c>
      <c r="X2755" s="9" t="str">
        <f>HYPERLINK("https://my.pitchbook.com?p=455852-98P","View People Online")</f>
        <v>View People Online</v>
      </c>
    </row>
    <row r="2756">
      <c r="A2756" s="2" t="s">
        <v>18115</v>
      </c>
      <c r="B2756" s="2" t="s">
        <v>18116</v>
      </c>
      <c r="C2756" s="2" t="s">
        <v>3040</v>
      </c>
      <c r="D2756" s="2" t="s">
        <v>18117</v>
      </c>
      <c r="E2756" s="2" t="s">
        <v>13207</v>
      </c>
      <c r="F2756" s="2" t="s">
        <v>2731</v>
      </c>
      <c r="G2756" s="2" t="s">
        <v>18118</v>
      </c>
      <c r="H2756" s="3" t="s">
        <v>31</v>
      </c>
      <c r="I2756" s="3">
        <v>2.0</v>
      </c>
      <c r="J2756" s="3">
        <v>1.0</v>
      </c>
      <c r="K2756" s="3" t="s">
        <v>31</v>
      </c>
      <c r="L2756" s="4" t="s">
        <v>14208</v>
      </c>
      <c r="M2756" s="2" t="s">
        <v>18119</v>
      </c>
      <c r="N2756" s="2" t="s">
        <v>2599</v>
      </c>
      <c r="O2756" s="4" t="s">
        <v>2600</v>
      </c>
      <c r="P2756" s="2" t="s">
        <v>13434</v>
      </c>
      <c r="Q2756" s="2" t="s">
        <v>4235</v>
      </c>
      <c r="R2756" s="2" t="s">
        <v>396</v>
      </c>
      <c r="S2756" s="4" t="s">
        <v>13435</v>
      </c>
      <c r="T2756" s="2" t="s">
        <v>66</v>
      </c>
      <c r="U2756" s="4" t="s">
        <v>13436</v>
      </c>
      <c r="V2756" s="2" t="s">
        <v>2731</v>
      </c>
      <c r="W2756" s="2" t="s">
        <v>13207</v>
      </c>
      <c r="X2756" s="5" t="str">
        <f>HYPERLINK("https://my.pitchbook.com?p=162013-42P","View People Online")</f>
        <v>View People Online</v>
      </c>
    </row>
    <row r="2757">
      <c r="A2757" s="14" t="s">
        <v>18120</v>
      </c>
      <c r="B2757" s="14" t="s">
        <v>18121</v>
      </c>
      <c r="C2757" s="14" t="s">
        <v>3040</v>
      </c>
      <c r="D2757" s="14" t="s">
        <v>18122</v>
      </c>
      <c r="E2757" s="14" t="s">
        <v>13207</v>
      </c>
      <c r="F2757" s="14" t="s">
        <v>3523</v>
      </c>
      <c r="G2757" s="14" t="s">
        <v>18123</v>
      </c>
      <c r="H2757" s="15" t="s">
        <v>31</v>
      </c>
      <c r="I2757" s="15">
        <v>1.0</v>
      </c>
      <c r="J2757" s="15">
        <v>1.0</v>
      </c>
      <c r="K2757" s="15" t="s">
        <v>31</v>
      </c>
      <c r="L2757" s="16" t="s">
        <v>13916</v>
      </c>
      <c r="M2757" s="14" t="s">
        <v>18124</v>
      </c>
      <c r="N2757" s="14" t="s">
        <v>155</v>
      </c>
      <c r="O2757" s="16" t="s">
        <v>156</v>
      </c>
      <c r="P2757" s="14" t="s">
        <v>13918</v>
      </c>
      <c r="Q2757" s="14" t="s">
        <v>13919</v>
      </c>
      <c r="R2757" s="14" t="s">
        <v>64</v>
      </c>
      <c r="S2757" s="16" t="s">
        <v>1549</v>
      </c>
      <c r="T2757" s="14" t="s">
        <v>66</v>
      </c>
      <c r="U2757" s="16" t="s">
        <v>13920</v>
      </c>
      <c r="V2757" s="14" t="s">
        <v>3523</v>
      </c>
      <c r="W2757" s="14" t="s">
        <v>13207</v>
      </c>
      <c r="X2757" s="17" t="str">
        <f>HYPERLINK("https://my.pitchbook.com?p=436688-92P","View People Online")</f>
        <v>View People Online</v>
      </c>
    </row>
    <row r="2758">
      <c r="A2758" s="2" t="s">
        <v>18125</v>
      </c>
      <c r="B2758" s="2" t="s">
        <v>18126</v>
      </c>
      <c r="C2758" s="2" t="s">
        <v>18127</v>
      </c>
      <c r="D2758" s="2" t="s">
        <v>11930</v>
      </c>
      <c r="E2758" s="2" t="s">
        <v>13207</v>
      </c>
      <c r="F2758" s="2" t="s">
        <v>3523</v>
      </c>
      <c r="G2758" s="2" t="s">
        <v>18128</v>
      </c>
      <c r="H2758" s="3" t="s">
        <v>31</v>
      </c>
      <c r="I2758" s="3">
        <v>1.0</v>
      </c>
      <c r="J2758" s="3">
        <v>1.0</v>
      </c>
      <c r="K2758" s="3" t="s">
        <v>31</v>
      </c>
      <c r="L2758" s="4" t="s">
        <v>13642</v>
      </c>
      <c r="M2758" s="2" t="s">
        <v>18129</v>
      </c>
      <c r="N2758" s="2" t="s">
        <v>3334</v>
      </c>
      <c r="O2758" s="4" t="s">
        <v>3335</v>
      </c>
      <c r="P2758" s="2" t="s">
        <v>13644</v>
      </c>
      <c r="Q2758" s="2" t="s">
        <v>13645</v>
      </c>
      <c r="R2758" s="2" t="s">
        <v>31</v>
      </c>
      <c r="S2758" s="4" t="s">
        <v>13646</v>
      </c>
      <c r="T2758" s="2" t="s">
        <v>3339</v>
      </c>
      <c r="U2758" s="4" t="s">
        <v>13647</v>
      </c>
      <c r="V2758" s="2" t="s">
        <v>3523</v>
      </c>
      <c r="W2758" s="2" t="s">
        <v>13207</v>
      </c>
      <c r="X2758" s="5" t="str">
        <f>HYPERLINK("https://my.pitchbook.com?p=456551-92P","View People Online")</f>
        <v>View People Online</v>
      </c>
    </row>
    <row r="2759">
      <c r="A2759" s="6" t="s">
        <v>18130</v>
      </c>
      <c r="B2759" s="6" t="s">
        <v>18131</v>
      </c>
      <c r="C2759" s="6" t="s">
        <v>3052</v>
      </c>
      <c r="D2759" s="6" t="s">
        <v>18132</v>
      </c>
      <c r="E2759" s="6" t="s">
        <v>13207</v>
      </c>
      <c r="F2759" s="6" t="s">
        <v>13218</v>
      </c>
      <c r="G2759" s="6" t="s">
        <v>18133</v>
      </c>
      <c r="H2759" s="7" t="s">
        <v>31</v>
      </c>
      <c r="I2759" s="7">
        <v>1.0</v>
      </c>
      <c r="J2759" s="7">
        <v>1.0</v>
      </c>
      <c r="K2759" s="7" t="s">
        <v>31</v>
      </c>
      <c r="L2759" s="8" t="s">
        <v>13209</v>
      </c>
      <c r="M2759" s="6" t="s">
        <v>18134</v>
      </c>
      <c r="N2759" s="6" t="s">
        <v>4232</v>
      </c>
      <c r="O2759" s="8" t="s">
        <v>4233</v>
      </c>
      <c r="P2759" s="6" t="s">
        <v>13211</v>
      </c>
      <c r="Q2759" s="6" t="s">
        <v>31</v>
      </c>
      <c r="R2759" s="6" t="s">
        <v>4236</v>
      </c>
      <c r="S2759" s="8" t="s">
        <v>13212</v>
      </c>
      <c r="T2759" s="6" t="s">
        <v>66</v>
      </c>
      <c r="U2759" s="8" t="s">
        <v>13213</v>
      </c>
      <c r="V2759" s="6" t="s">
        <v>13218</v>
      </c>
      <c r="W2759" s="6" t="s">
        <v>13207</v>
      </c>
      <c r="X2759" s="9" t="str">
        <f>HYPERLINK("https://my.pitchbook.com?p=435287-35P","View People Online")</f>
        <v>View People Online</v>
      </c>
    </row>
    <row r="2760">
      <c r="A2760" s="2" t="s">
        <v>18135</v>
      </c>
      <c r="B2760" s="2" t="s">
        <v>18136</v>
      </c>
      <c r="C2760" s="2" t="s">
        <v>18137</v>
      </c>
      <c r="D2760" s="2" t="s">
        <v>18138</v>
      </c>
      <c r="E2760" s="2" t="s">
        <v>13207</v>
      </c>
      <c r="F2760" s="2" t="s">
        <v>13218</v>
      </c>
      <c r="G2760" s="2" t="s">
        <v>18139</v>
      </c>
      <c r="H2760" s="3" t="s">
        <v>31</v>
      </c>
      <c r="I2760" s="3">
        <v>1.0</v>
      </c>
      <c r="J2760" s="3">
        <v>1.0</v>
      </c>
      <c r="K2760" s="3" t="s">
        <v>31</v>
      </c>
      <c r="L2760" s="4" t="s">
        <v>17842</v>
      </c>
      <c r="M2760" s="2" t="s">
        <v>18140</v>
      </c>
      <c r="N2760" s="2" t="s">
        <v>3533</v>
      </c>
      <c r="O2760" s="4" t="s">
        <v>3534</v>
      </c>
      <c r="P2760" s="2" t="s">
        <v>17844</v>
      </c>
      <c r="Q2760" s="2" t="s">
        <v>17845</v>
      </c>
      <c r="R2760" s="2" t="s">
        <v>31</v>
      </c>
      <c r="S2760" s="4" t="s">
        <v>31</v>
      </c>
      <c r="T2760" s="2" t="s">
        <v>3538</v>
      </c>
      <c r="U2760" s="4" t="s">
        <v>17846</v>
      </c>
      <c r="V2760" s="2" t="s">
        <v>13218</v>
      </c>
      <c r="W2760" s="2" t="s">
        <v>13207</v>
      </c>
      <c r="X2760" s="5" t="str">
        <f>HYPERLINK("https://my.pitchbook.com?p=435840-94P","View People Online")</f>
        <v>View People Online</v>
      </c>
    </row>
    <row r="2761">
      <c r="A2761" s="14" t="s">
        <v>18141</v>
      </c>
      <c r="B2761" s="14" t="s">
        <v>18142</v>
      </c>
      <c r="C2761" s="14" t="s">
        <v>3058</v>
      </c>
      <c r="D2761" s="14" t="s">
        <v>18143</v>
      </c>
      <c r="E2761" s="14" t="s">
        <v>13207</v>
      </c>
      <c r="F2761" s="14" t="s">
        <v>3523</v>
      </c>
      <c r="G2761" s="14" t="s">
        <v>18144</v>
      </c>
      <c r="H2761" s="15" t="s">
        <v>31</v>
      </c>
      <c r="I2761" s="15">
        <v>1.0</v>
      </c>
      <c r="J2761" s="15">
        <v>1.0</v>
      </c>
      <c r="K2761" s="15" t="s">
        <v>31</v>
      </c>
      <c r="L2761" s="16" t="s">
        <v>13531</v>
      </c>
      <c r="M2761" s="14" t="s">
        <v>18145</v>
      </c>
      <c r="N2761" s="14" t="s">
        <v>2273</v>
      </c>
      <c r="O2761" s="16" t="s">
        <v>2274</v>
      </c>
      <c r="P2761" s="14" t="s">
        <v>13533</v>
      </c>
      <c r="Q2761" s="14" t="s">
        <v>31</v>
      </c>
      <c r="R2761" s="14" t="s">
        <v>31</v>
      </c>
      <c r="S2761" s="16" t="s">
        <v>13534</v>
      </c>
      <c r="T2761" s="14" t="s">
        <v>2278</v>
      </c>
      <c r="U2761" s="16" t="s">
        <v>13535</v>
      </c>
      <c r="V2761" s="14" t="s">
        <v>3523</v>
      </c>
      <c r="W2761" s="14" t="s">
        <v>13207</v>
      </c>
      <c r="X2761" s="17" t="str">
        <f>HYPERLINK("https://my.pitchbook.com?p=456502-06P","View People Online")</f>
        <v>View People Online</v>
      </c>
    </row>
    <row r="2762">
      <c r="A2762" s="10" t="s">
        <v>18146</v>
      </c>
      <c r="B2762" s="10" t="s">
        <v>18147</v>
      </c>
      <c r="C2762" s="10" t="s">
        <v>18148</v>
      </c>
      <c r="D2762" s="10" t="s">
        <v>18149</v>
      </c>
      <c r="E2762" s="10" t="s">
        <v>13207</v>
      </c>
      <c r="F2762" s="10" t="s">
        <v>3523</v>
      </c>
      <c r="G2762" s="10" t="s">
        <v>18150</v>
      </c>
      <c r="H2762" s="11" t="s">
        <v>31</v>
      </c>
      <c r="I2762" s="11">
        <v>1.0</v>
      </c>
      <c r="J2762" s="11">
        <v>1.0</v>
      </c>
      <c r="K2762" s="11" t="s">
        <v>31</v>
      </c>
      <c r="L2762" s="12" t="s">
        <v>13531</v>
      </c>
      <c r="M2762" s="10" t="s">
        <v>18151</v>
      </c>
      <c r="N2762" s="10" t="s">
        <v>2273</v>
      </c>
      <c r="O2762" s="12" t="s">
        <v>2274</v>
      </c>
      <c r="P2762" s="10" t="s">
        <v>13533</v>
      </c>
      <c r="Q2762" s="10" t="s">
        <v>31</v>
      </c>
      <c r="R2762" s="10" t="s">
        <v>31</v>
      </c>
      <c r="S2762" s="12" t="s">
        <v>13534</v>
      </c>
      <c r="T2762" s="10" t="s">
        <v>2278</v>
      </c>
      <c r="U2762" s="12" t="s">
        <v>13535</v>
      </c>
      <c r="V2762" s="10" t="s">
        <v>3523</v>
      </c>
      <c r="W2762" s="10" t="s">
        <v>13207</v>
      </c>
      <c r="X2762" s="13" t="str">
        <f>HYPERLINK("https://my.pitchbook.com?p=456063-76P","View People Online")</f>
        <v>View People Online</v>
      </c>
    </row>
    <row r="2763">
      <c r="A2763" s="14" t="s">
        <v>18152</v>
      </c>
      <c r="B2763" s="14" t="s">
        <v>18153</v>
      </c>
      <c r="C2763" s="14" t="s">
        <v>3058</v>
      </c>
      <c r="D2763" s="14" t="s">
        <v>10402</v>
      </c>
      <c r="E2763" s="14" t="s">
        <v>13207</v>
      </c>
      <c r="F2763" s="14" t="s">
        <v>29</v>
      </c>
      <c r="G2763" s="14" t="s">
        <v>18154</v>
      </c>
      <c r="H2763" s="15" t="s">
        <v>31</v>
      </c>
      <c r="I2763" s="15">
        <v>1.0</v>
      </c>
      <c r="J2763" s="15">
        <v>1.0</v>
      </c>
      <c r="K2763" s="15" t="s">
        <v>31</v>
      </c>
      <c r="L2763" s="16" t="s">
        <v>13766</v>
      </c>
      <c r="M2763" s="14" t="s">
        <v>18155</v>
      </c>
      <c r="N2763" s="14" t="s">
        <v>13768</v>
      </c>
      <c r="O2763" s="16" t="s">
        <v>13769</v>
      </c>
      <c r="P2763" s="14" t="s">
        <v>13770</v>
      </c>
      <c r="Q2763" s="14" t="s">
        <v>13771</v>
      </c>
      <c r="R2763" s="14" t="s">
        <v>31</v>
      </c>
      <c r="S2763" s="16" t="s">
        <v>13772</v>
      </c>
      <c r="T2763" s="14" t="s">
        <v>13773</v>
      </c>
      <c r="U2763" s="16" t="s">
        <v>31</v>
      </c>
      <c r="V2763" s="14" t="s">
        <v>29</v>
      </c>
      <c r="W2763" s="14" t="s">
        <v>13207</v>
      </c>
      <c r="X2763" s="17" t="str">
        <f>HYPERLINK("https://my.pitchbook.com?p=434895-40P","View People Online")</f>
        <v>View People Online</v>
      </c>
    </row>
    <row r="2764">
      <c r="A2764" s="10" t="s">
        <v>18156</v>
      </c>
      <c r="B2764" s="10" t="s">
        <v>18157</v>
      </c>
      <c r="C2764" s="10" t="s">
        <v>3058</v>
      </c>
      <c r="D2764" s="10" t="s">
        <v>18158</v>
      </c>
      <c r="E2764" s="10" t="s">
        <v>13207</v>
      </c>
      <c r="F2764" s="10" t="s">
        <v>13218</v>
      </c>
      <c r="G2764" s="10" t="s">
        <v>18159</v>
      </c>
      <c r="H2764" s="11" t="s">
        <v>31</v>
      </c>
      <c r="I2764" s="11">
        <v>1.0</v>
      </c>
      <c r="J2764" s="11">
        <v>1.0</v>
      </c>
      <c r="K2764" s="11" t="s">
        <v>31</v>
      </c>
      <c r="L2764" s="12" t="s">
        <v>13274</v>
      </c>
      <c r="M2764" s="10" t="s">
        <v>18160</v>
      </c>
      <c r="N2764" s="10" t="s">
        <v>1181</v>
      </c>
      <c r="O2764" s="12" t="s">
        <v>1182</v>
      </c>
      <c r="P2764" s="10" t="s">
        <v>13276</v>
      </c>
      <c r="Q2764" s="10" t="s">
        <v>31</v>
      </c>
      <c r="R2764" s="10" t="s">
        <v>1185</v>
      </c>
      <c r="S2764" s="12" t="s">
        <v>4438</v>
      </c>
      <c r="T2764" s="10" t="s">
        <v>66</v>
      </c>
      <c r="U2764" s="12" t="s">
        <v>13277</v>
      </c>
      <c r="V2764" s="10" t="s">
        <v>13218</v>
      </c>
      <c r="W2764" s="10" t="s">
        <v>13207</v>
      </c>
      <c r="X2764" s="13" t="str">
        <f>HYPERLINK("https://my.pitchbook.com?p=195941-17P","View People Online")</f>
        <v>View People Online</v>
      </c>
    </row>
    <row r="2765">
      <c r="A2765" s="14" t="s">
        <v>18161</v>
      </c>
      <c r="B2765" s="14" t="s">
        <v>18162</v>
      </c>
      <c r="C2765" s="14" t="s">
        <v>3058</v>
      </c>
      <c r="D2765" s="14" t="s">
        <v>18163</v>
      </c>
      <c r="E2765" s="14" t="s">
        <v>13207</v>
      </c>
      <c r="F2765" s="14" t="s">
        <v>3523</v>
      </c>
      <c r="G2765" s="14" t="s">
        <v>18164</v>
      </c>
      <c r="H2765" s="15" t="s">
        <v>31</v>
      </c>
      <c r="I2765" s="15">
        <v>1.0</v>
      </c>
      <c r="J2765" s="15">
        <v>1.0</v>
      </c>
      <c r="K2765" s="15" t="s">
        <v>31</v>
      </c>
      <c r="L2765" s="16" t="s">
        <v>13209</v>
      </c>
      <c r="M2765" s="14" t="s">
        <v>18165</v>
      </c>
      <c r="N2765" s="14" t="s">
        <v>4232</v>
      </c>
      <c r="O2765" s="16" t="s">
        <v>4233</v>
      </c>
      <c r="P2765" s="14" t="s">
        <v>13211</v>
      </c>
      <c r="Q2765" s="14" t="s">
        <v>31</v>
      </c>
      <c r="R2765" s="14" t="s">
        <v>4236</v>
      </c>
      <c r="S2765" s="16" t="s">
        <v>13212</v>
      </c>
      <c r="T2765" s="14" t="s">
        <v>66</v>
      </c>
      <c r="U2765" s="16" t="s">
        <v>13213</v>
      </c>
      <c r="V2765" s="14" t="s">
        <v>3523</v>
      </c>
      <c r="W2765" s="14" t="s">
        <v>13207</v>
      </c>
      <c r="X2765" s="17" t="str">
        <f>HYPERLINK("https://my.pitchbook.com?p=434978-83P","View People Online")</f>
        <v>View People Online</v>
      </c>
    </row>
    <row r="2766">
      <c r="A2766" s="2" t="s">
        <v>18166</v>
      </c>
      <c r="B2766" s="2" t="s">
        <v>18167</v>
      </c>
      <c r="C2766" s="2" t="s">
        <v>18168</v>
      </c>
      <c r="D2766" s="2" t="s">
        <v>18169</v>
      </c>
      <c r="E2766" s="2" t="s">
        <v>13207</v>
      </c>
      <c r="F2766" s="2" t="s">
        <v>13218</v>
      </c>
      <c r="G2766" s="2" t="s">
        <v>18170</v>
      </c>
      <c r="H2766" s="3" t="s">
        <v>31</v>
      </c>
      <c r="I2766" s="3">
        <v>1.0</v>
      </c>
      <c r="J2766" s="3">
        <v>1.0</v>
      </c>
      <c r="K2766" s="3" t="s">
        <v>31</v>
      </c>
      <c r="L2766" s="4" t="s">
        <v>13242</v>
      </c>
      <c r="M2766" s="2" t="s">
        <v>18171</v>
      </c>
      <c r="N2766" s="2" t="s">
        <v>9865</v>
      </c>
      <c r="O2766" s="4" t="s">
        <v>9866</v>
      </c>
      <c r="P2766" s="2" t="s">
        <v>13244</v>
      </c>
      <c r="Q2766" s="2" t="s">
        <v>31</v>
      </c>
      <c r="R2766" s="2" t="s">
        <v>31</v>
      </c>
      <c r="S2766" s="4" t="s">
        <v>13245</v>
      </c>
      <c r="T2766" s="2" t="s">
        <v>38</v>
      </c>
      <c r="U2766" s="4" t="s">
        <v>13246</v>
      </c>
      <c r="V2766" s="2" t="s">
        <v>13218</v>
      </c>
      <c r="W2766" s="2" t="s">
        <v>13207</v>
      </c>
      <c r="X2766" s="5" t="str">
        <f>HYPERLINK("https://my.pitchbook.com?p=456650-29P","View People Online")</f>
        <v>View People Online</v>
      </c>
    </row>
    <row r="2767">
      <c r="A2767" s="6" t="s">
        <v>18172</v>
      </c>
      <c r="B2767" s="6" t="s">
        <v>18173</v>
      </c>
      <c r="C2767" s="6" t="s">
        <v>3828</v>
      </c>
      <c r="D2767" s="6" t="s">
        <v>18174</v>
      </c>
      <c r="E2767" s="6" t="s">
        <v>13207</v>
      </c>
      <c r="F2767" s="6" t="s">
        <v>3523</v>
      </c>
      <c r="G2767" s="6" t="s">
        <v>18175</v>
      </c>
      <c r="H2767" s="7" t="s">
        <v>31</v>
      </c>
      <c r="I2767" s="7">
        <v>3.0</v>
      </c>
      <c r="J2767" s="7">
        <v>1.0</v>
      </c>
      <c r="K2767" s="7">
        <v>1.0</v>
      </c>
      <c r="L2767" s="8" t="s">
        <v>13274</v>
      </c>
      <c r="M2767" s="6" t="s">
        <v>18176</v>
      </c>
      <c r="N2767" s="6" t="s">
        <v>1181</v>
      </c>
      <c r="O2767" s="8" t="s">
        <v>1182</v>
      </c>
      <c r="P2767" s="6" t="s">
        <v>13276</v>
      </c>
      <c r="Q2767" s="6" t="s">
        <v>31</v>
      </c>
      <c r="R2767" s="6" t="s">
        <v>1185</v>
      </c>
      <c r="S2767" s="8" t="s">
        <v>4438</v>
      </c>
      <c r="T2767" s="6" t="s">
        <v>66</v>
      </c>
      <c r="U2767" s="8" t="s">
        <v>13277</v>
      </c>
      <c r="V2767" s="6" t="s">
        <v>3523</v>
      </c>
      <c r="W2767" s="6" t="s">
        <v>13207</v>
      </c>
      <c r="X2767" s="9" t="str">
        <f>HYPERLINK("https://my.pitchbook.com?p=225781-84P","View People Online")</f>
        <v>View People Online</v>
      </c>
    </row>
    <row r="2768">
      <c r="A2768" s="10" t="s">
        <v>18177</v>
      </c>
      <c r="B2768" s="10" t="s">
        <v>18178</v>
      </c>
      <c r="C2768" s="10" t="s">
        <v>3828</v>
      </c>
      <c r="D2768" s="10" t="s">
        <v>18179</v>
      </c>
      <c r="E2768" s="10" t="s">
        <v>13207</v>
      </c>
      <c r="F2768" s="10" t="s">
        <v>3523</v>
      </c>
      <c r="G2768" s="10" t="s">
        <v>18180</v>
      </c>
      <c r="H2768" s="11" t="s">
        <v>31</v>
      </c>
      <c r="I2768" s="11">
        <v>1.0</v>
      </c>
      <c r="J2768" s="11">
        <v>1.0</v>
      </c>
      <c r="K2768" s="11" t="s">
        <v>31</v>
      </c>
      <c r="L2768" s="12" t="s">
        <v>13242</v>
      </c>
      <c r="M2768" s="10" t="s">
        <v>18181</v>
      </c>
      <c r="N2768" s="10" t="s">
        <v>9865</v>
      </c>
      <c r="O2768" s="12" t="s">
        <v>9866</v>
      </c>
      <c r="P2768" s="10" t="s">
        <v>13244</v>
      </c>
      <c r="Q2768" s="10" t="s">
        <v>31</v>
      </c>
      <c r="R2768" s="10" t="s">
        <v>31</v>
      </c>
      <c r="S2768" s="12" t="s">
        <v>13245</v>
      </c>
      <c r="T2768" s="10" t="s">
        <v>38</v>
      </c>
      <c r="U2768" s="12" t="s">
        <v>13246</v>
      </c>
      <c r="V2768" s="10" t="s">
        <v>3523</v>
      </c>
      <c r="W2768" s="10" t="s">
        <v>13207</v>
      </c>
      <c r="X2768" s="13" t="str">
        <f>HYPERLINK("https://my.pitchbook.com?p=436151-98P","View People Online")</f>
        <v>View People Online</v>
      </c>
    </row>
    <row r="2769">
      <c r="A2769" s="14" t="s">
        <v>18182</v>
      </c>
      <c r="B2769" s="14" t="s">
        <v>18183</v>
      </c>
      <c r="C2769" s="14" t="s">
        <v>3828</v>
      </c>
      <c r="D2769" s="14" t="s">
        <v>18184</v>
      </c>
      <c r="E2769" s="14" t="s">
        <v>13207</v>
      </c>
      <c r="F2769" s="14" t="s">
        <v>13307</v>
      </c>
      <c r="G2769" s="14" t="s">
        <v>18185</v>
      </c>
      <c r="H2769" s="15" t="s">
        <v>31</v>
      </c>
      <c r="I2769" s="15">
        <v>1.0</v>
      </c>
      <c r="J2769" s="15">
        <v>1.0</v>
      </c>
      <c r="K2769" s="15" t="s">
        <v>31</v>
      </c>
      <c r="L2769" s="16" t="s">
        <v>13423</v>
      </c>
      <c r="M2769" s="14" t="s">
        <v>18186</v>
      </c>
      <c r="N2769" s="14" t="s">
        <v>243</v>
      </c>
      <c r="O2769" s="16" t="s">
        <v>244</v>
      </c>
      <c r="P2769" s="14" t="s">
        <v>13425</v>
      </c>
      <c r="Q2769" s="14" t="s">
        <v>31</v>
      </c>
      <c r="R2769" s="14" t="s">
        <v>247</v>
      </c>
      <c r="S2769" s="16" t="s">
        <v>13426</v>
      </c>
      <c r="T2769" s="14" t="s">
        <v>249</v>
      </c>
      <c r="U2769" s="16" t="s">
        <v>31</v>
      </c>
      <c r="V2769" s="14" t="s">
        <v>18187</v>
      </c>
      <c r="W2769" s="14" t="s">
        <v>13207</v>
      </c>
      <c r="X2769" s="17" t="str">
        <f>HYPERLINK("https://my.pitchbook.com?p=436392-46P","View People Online")</f>
        <v>View People Online</v>
      </c>
    </row>
    <row r="2770">
      <c r="A2770" s="2" t="s">
        <v>18188</v>
      </c>
      <c r="B2770" s="2" t="s">
        <v>18189</v>
      </c>
      <c r="C2770" s="2" t="s">
        <v>3828</v>
      </c>
      <c r="D2770" s="2" t="s">
        <v>18190</v>
      </c>
      <c r="E2770" s="2" t="s">
        <v>13207</v>
      </c>
      <c r="F2770" s="2" t="s">
        <v>1283</v>
      </c>
      <c r="G2770" s="2" t="s">
        <v>18191</v>
      </c>
      <c r="H2770" s="3" t="s">
        <v>31</v>
      </c>
      <c r="I2770" s="3">
        <v>2.0</v>
      </c>
      <c r="J2770" s="3">
        <v>2.0</v>
      </c>
      <c r="K2770" s="3" t="s">
        <v>31</v>
      </c>
      <c r="L2770" s="4" t="s">
        <v>13274</v>
      </c>
      <c r="M2770" s="2" t="s">
        <v>18192</v>
      </c>
      <c r="N2770" s="2" t="s">
        <v>1181</v>
      </c>
      <c r="O2770" s="4" t="s">
        <v>1182</v>
      </c>
      <c r="P2770" s="2" t="s">
        <v>13276</v>
      </c>
      <c r="Q2770" s="2" t="s">
        <v>31</v>
      </c>
      <c r="R2770" s="2" t="s">
        <v>1185</v>
      </c>
      <c r="S2770" s="4" t="s">
        <v>4438</v>
      </c>
      <c r="T2770" s="2" t="s">
        <v>66</v>
      </c>
      <c r="U2770" s="4" t="s">
        <v>31</v>
      </c>
      <c r="V2770" s="2" t="s">
        <v>1283</v>
      </c>
      <c r="W2770" s="2" t="s">
        <v>18193</v>
      </c>
      <c r="X2770" s="5" t="str">
        <f>HYPERLINK("https://my.pitchbook.com?p=313399-18P","View People Online")</f>
        <v>View People Online</v>
      </c>
    </row>
    <row r="2771">
      <c r="A2771" s="14" t="s">
        <v>18194</v>
      </c>
      <c r="B2771" s="14" t="s">
        <v>18195</v>
      </c>
      <c r="C2771" s="14" t="s">
        <v>41</v>
      </c>
      <c r="D2771" s="14" t="s">
        <v>18196</v>
      </c>
      <c r="E2771" s="14" t="s">
        <v>13207</v>
      </c>
      <c r="F2771" s="14" t="s">
        <v>3523</v>
      </c>
      <c r="G2771" s="14" t="s">
        <v>18197</v>
      </c>
      <c r="H2771" s="15" t="s">
        <v>31</v>
      </c>
      <c r="I2771" s="15">
        <v>1.0</v>
      </c>
      <c r="J2771" s="15">
        <v>1.0</v>
      </c>
      <c r="K2771" s="15" t="s">
        <v>31</v>
      </c>
      <c r="L2771" s="16" t="s">
        <v>13274</v>
      </c>
      <c r="M2771" s="14" t="s">
        <v>18198</v>
      </c>
      <c r="N2771" s="14" t="s">
        <v>1181</v>
      </c>
      <c r="O2771" s="16" t="s">
        <v>1182</v>
      </c>
      <c r="P2771" s="14" t="s">
        <v>13276</v>
      </c>
      <c r="Q2771" s="14" t="s">
        <v>31</v>
      </c>
      <c r="R2771" s="14" t="s">
        <v>1185</v>
      </c>
      <c r="S2771" s="16" t="s">
        <v>4438</v>
      </c>
      <c r="T2771" s="14" t="s">
        <v>66</v>
      </c>
      <c r="U2771" s="16" t="s">
        <v>13277</v>
      </c>
      <c r="V2771" s="14" t="s">
        <v>3523</v>
      </c>
      <c r="W2771" s="14" t="s">
        <v>13207</v>
      </c>
      <c r="X2771" s="17" t="str">
        <f>HYPERLINK("https://my.pitchbook.com?p=455856-67P","View People Online")</f>
        <v>View People Online</v>
      </c>
    </row>
    <row r="2772">
      <c r="A2772" s="10" t="s">
        <v>18199</v>
      </c>
      <c r="B2772" s="10" t="s">
        <v>18200</v>
      </c>
      <c r="C2772" s="10" t="s">
        <v>41</v>
      </c>
      <c r="D2772" s="10" t="s">
        <v>18201</v>
      </c>
      <c r="E2772" s="10" t="s">
        <v>13207</v>
      </c>
      <c r="F2772" s="10" t="s">
        <v>3523</v>
      </c>
      <c r="G2772" s="10" t="s">
        <v>18202</v>
      </c>
      <c r="H2772" s="11">
        <v>1.0</v>
      </c>
      <c r="I2772" s="11">
        <v>2.0</v>
      </c>
      <c r="J2772" s="11">
        <v>1.0</v>
      </c>
      <c r="K2772" s="11" t="s">
        <v>31</v>
      </c>
      <c r="L2772" s="12" t="s">
        <v>13801</v>
      </c>
      <c r="M2772" s="10" t="s">
        <v>18203</v>
      </c>
      <c r="N2772" s="10" t="s">
        <v>1024</v>
      </c>
      <c r="O2772" s="12" t="s">
        <v>2718</v>
      </c>
      <c r="P2772" s="10" t="s">
        <v>13803</v>
      </c>
      <c r="Q2772" s="10" t="s">
        <v>13804</v>
      </c>
      <c r="R2772" s="10" t="s">
        <v>31</v>
      </c>
      <c r="S2772" s="12" t="s">
        <v>31</v>
      </c>
      <c r="T2772" s="10" t="s">
        <v>2721</v>
      </c>
      <c r="U2772" s="12" t="s">
        <v>31</v>
      </c>
      <c r="V2772" s="10" t="s">
        <v>3523</v>
      </c>
      <c r="W2772" s="10" t="s">
        <v>13207</v>
      </c>
      <c r="X2772" s="13" t="str">
        <f>HYPERLINK("https://my.pitchbook.com?p=192460-69P","View People Online")</f>
        <v>View People Online</v>
      </c>
    </row>
    <row r="2773">
      <c r="A2773" s="14" t="s">
        <v>18204</v>
      </c>
      <c r="B2773" s="14" t="s">
        <v>18205</v>
      </c>
      <c r="C2773" s="14" t="s">
        <v>41</v>
      </c>
      <c r="D2773" s="14" t="s">
        <v>3847</v>
      </c>
      <c r="E2773" s="14" t="s">
        <v>13207</v>
      </c>
      <c r="F2773" s="14" t="s">
        <v>3523</v>
      </c>
      <c r="G2773" s="14" t="s">
        <v>18206</v>
      </c>
      <c r="H2773" s="15" t="s">
        <v>31</v>
      </c>
      <c r="I2773" s="15">
        <v>1.0</v>
      </c>
      <c r="J2773" s="15">
        <v>1.0</v>
      </c>
      <c r="K2773" s="15" t="s">
        <v>31</v>
      </c>
      <c r="L2773" s="16" t="s">
        <v>13220</v>
      </c>
      <c r="M2773" s="14" t="s">
        <v>18207</v>
      </c>
      <c r="N2773" s="14" t="s">
        <v>2478</v>
      </c>
      <c r="O2773" s="16" t="s">
        <v>7332</v>
      </c>
      <c r="P2773" s="14" t="s">
        <v>13222</v>
      </c>
      <c r="Q2773" s="14" t="s">
        <v>13223</v>
      </c>
      <c r="R2773" s="14" t="s">
        <v>7335</v>
      </c>
      <c r="S2773" s="16" t="s">
        <v>7336</v>
      </c>
      <c r="T2773" s="14" t="s">
        <v>5484</v>
      </c>
      <c r="U2773" s="16" t="s">
        <v>13224</v>
      </c>
      <c r="V2773" s="14" t="s">
        <v>3523</v>
      </c>
      <c r="W2773" s="14" t="s">
        <v>13207</v>
      </c>
      <c r="X2773" s="17" t="str">
        <f>HYPERLINK("https://my.pitchbook.com?p=281628-28P","View People Online")</f>
        <v>View People Online</v>
      </c>
    </row>
    <row r="2774">
      <c r="A2774" s="2" t="s">
        <v>18208</v>
      </c>
      <c r="B2774" s="2" t="s">
        <v>18209</v>
      </c>
      <c r="C2774" s="2" t="s">
        <v>18210</v>
      </c>
      <c r="D2774" s="2" t="s">
        <v>18211</v>
      </c>
      <c r="E2774" s="2" t="s">
        <v>13207</v>
      </c>
      <c r="F2774" s="2" t="s">
        <v>13218</v>
      </c>
      <c r="G2774" s="2" t="s">
        <v>18212</v>
      </c>
      <c r="H2774" s="3" t="s">
        <v>31</v>
      </c>
      <c r="I2774" s="3">
        <v>1.0</v>
      </c>
      <c r="J2774" s="3">
        <v>1.0</v>
      </c>
      <c r="K2774" s="3" t="s">
        <v>31</v>
      </c>
      <c r="L2774" s="4" t="s">
        <v>13766</v>
      </c>
      <c r="M2774" s="2" t="s">
        <v>18213</v>
      </c>
      <c r="N2774" s="2" t="s">
        <v>13768</v>
      </c>
      <c r="O2774" s="4" t="s">
        <v>13769</v>
      </c>
      <c r="P2774" s="2" t="s">
        <v>13770</v>
      </c>
      <c r="Q2774" s="2" t="s">
        <v>13771</v>
      </c>
      <c r="R2774" s="2" t="s">
        <v>31</v>
      </c>
      <c r="S2774" s="4" t="s">
        <v>13772</v>
      </c>
      <c r="T2774" s="2" t="s">
        <v>13773</v>
      </c>
      <c r="U2774" s="4" t="s">
        <v>31</v>
      </c>
      <c r="V2774" s="2" t="s">
        <v>13218</v>
      </c>
      <c r="W2774" s="2" t="s">
        <v>13207</v>
      </c>
      <c r="X2774" s="5" t="str">
        <f>HYPERLINK("https://my.pitchbook.com?p=436220-56P","View People Online")</f>
        <v>View People Online</v>
      </c>
    </row>
    <row r="2775">
      <c r="A2775" s="14" t="s">
        <v>18214</v>
      </c>
      <c r="B2775" s="14" t="s">
        <v>18215</v>
      </c>
      <c r="C2775" s="14" t="s">
        <v>18210</v>
      </c>
      <c r="D2775" s="14" t="s">
        <v>18216</v>
      </c>
      <c r="E2775" s="14" t="s">
        <v>13207</v>
      </c>
      <c r="F2775" s="14" t="s">
        <v>14227</v>
      </c>
      <c r="G2775" s="14" t="s">
        <v>18217</v>
      </c>
      <c r="H2775" s="15" t="s">
        <v>31</v>
      </c>
      <c r="I2775" s="15">
        <v>1.0</v>
      </c>
      <c r="J2775" s="15">
        <v>1.0</v>
      </c>
      <c r="K2775" s="15" t="s">
        <v>31</v>
      </c>
      <c r="L2775" s="16" t="s">
        <v>13274</v>
      </c>
      <c r="M2775" s="14" t="s">
        <v>18218</v>
      </c>
      <c r="N2775" s="14" t="s">
        <v>1181</v>
      </c>
      <c r="O2775" s="16" t="s">
        <v>1182</v>
      </c>
      <c r="P2775" s="14" t="s">
        <v>13276</v>
      </c>
      <c r="Q2775" s="14" t="s">
        <v>31</v>
      </c>
      <c r="R2775" s="14" t="s">
        <v>1185</v>
      </c>
      <c r="S2775" s="16" t="s">
        <v>4438</v>
      </c>
      <c r="T2775" s="14" t="s">
        <v>66</v>
      </c>
      <c r="U2775" s="16" t="s">
        <v>13277</v>
      </c>
      <c r="V2775" s="14" t="s">
        <v>14230</v>
      </c>
      <c r="W2775" s="14" t="s">
        <v>13207</v>
      </c>
      <c r="X2775" s="17" t="str">
        <f>HYPERLINK("https://my.pitchbook.com?p=455432-05P","View People Online")</f>
        <v>View People Online</v>
      </c>
    </row>
    <row r="2776">
      <c r="A2776" s="10" t="s">
        <v>18219</v>
      </c>
      <c r="B2776" s="10" t="s">
        <v>18220</v>
      </c>
      <c r="C2776" s="10" t="s">
        <v>18210</v>
      </c>
      <c r="D2776" s="10" t="s">
        <v>18221</v>
      </c>
      <c r="E2776" s="10" t="s">
        <v>13207</v>
      </c>
      <c r="F2776" s="10" t="s">
        <v>3523</v>
      </c>
      <c r="G2776" s="10" t="s">
        <v>18222</v>
      </c>
      <c r="H2776" s="11" t="s">
        <v>31</v>
      </c>
      <c r="I2776" s="11">
        <v>1.0</v>
      </c>
      <c r="J2776" s="11">
        <v>1.0</v>
      </c>
      <c r="K2776" s="11" t="s">
        <v>31</v>
      </c>
      <c r="L2776" s="12" t="s">
        <v>13855</v>
      </c>
      <c r="M2776" s="10" t="s">
        <v>18223</v>
      </c>
      <c r="N2776" s="10" t="s">
        <v>2017</v>
      </c>
      <c r="O2776" s="12" t="s">
        <v>2018</v>
      </c>
      <c r="P2776" s="10" t="s">
        <v>13857</v>
      </c>
      <c r="Q2776" s="10" t="s">
        <v>13858</v>
      </c>
      <c r="R2776" s="10" t="s">
        <v>31</v>
      </c>
      <c r="S2776" s="12" t="s">
        <v>31</v>
      </c>
      <c r="T2776" s="10" t="s">
        <v>2022</v>
      </c>
      <c r="U2776" s="12" t="s">
        <v>31</v>
      </c>
      <c r="V2776" s="10" t="s">
        <v>3523</v>
      </c>
      <c r="W2776" s="10" t="s">
        <v>13207</v>
      </c>
      <c r="X2776" s="13" t="str">
        <f>HYPERLINK("https://my.pitchbook.com?p=456388-75P","View People Online")</f>
        <v>View People Online</v>
      </c>
    </row>
    <row r="2777">
      <c r="A2777" s="6" t="s">
        <v>18224</v>
      </c>
      <c r="B2777" s="6" t="s">
        <v>18225</v>
      </c>
      <c r="C2777" s="6" t="s">
        <v>213</v>
      </c>
      <c r="D2777" s="6" t="s">
        <v>18226</v>
      </c>
      <c r="E2777" s="6" t="s">
        <v>13207</v>
      </c>
      <c r="F2777" s="6" t="s">
        <v>3523</v>
      </c>
      <c r="G2777" s="6" t="s">
        <v>18227</v>
      </c>
      <c r="H2777" s="7" t="s">
        <v>31</v>
      </c>
      <c r="I2777" s="7">
        <v>1.0</v>
      </c>
      <c r="J2777" s="7">
        <v>1.0</v>
      </c>
      <c r="K2777" s="7" t="s">
        <v>31</v>
      </c>
      <c r="L2777" s="8" t="s">
        <v>13274</v>
      </c>
      <c r="M2777" s="6" t="s">
        <v>18228</v>
      </c>
      <c r="N2777" s="6" t="s">
        <v>1181</v>
      </c>
      <c r="O2777" s="8" t="s">
        <v>1182</v>
      </c>
      <c r="P2777" s="6" t="s">
        <v>13276</v>
      </c>
      <c r="Q2777" s="6" t="s">
        <v>31</v>
      </c>
      <c r="R2777" s="6" t="s">
        <v>1185</v>
      </c>
      <c r="S2777" s="8" t="s">
        <v>4438</v>
      </c>
      <c r="T2777" s="6" t="s">
        <v>66</v>
      </c>
      <c r="U2777" s="8" t="s">
        <v>13277</v>
      </c>
      <c r="V2777" s="6" t="s">
        <v>3523</v>
      </c>
      <c r="W2777" s="6" t="s">
        <v>13207</v>
      </c>
      <c r="X2777" s="9" t="str">
        <f>HYPERLINK("https://my.pitchbook.com?p=456281-29P","View People Online")</f>
        <v>View People Online</v>
      </c>
    </row>
    <row r="2778">
      <c r="A2778" s="10" t="s">
        <v>18229</v>
      </c>
      <c r="B2778" s="10" t="s">
        <v>18230</v>
      </c>
      <c r="C2778" s="10" t="s">
        <v>213</v>
      </c>
      <c r="D2778" s="10" t="s">
        <v>18231</v>
      </c>
      <c r="E2778" s="10" t="s">
        <v>13207</v>
      </c>
      <c r="F2778" s="10" t="s">
        <v>29</v>
      </c>
      <c r="G2778" s="10" t="s">
        <v>18232</v>
      </c>
      <c r="H2778" s="11" t="s">
        <v>31</v>
      </c>
      <c r="I2778" s="11">
        <v>1.0</v>
      </c>
      <c r="J2778" s="11">
        <v>1.0</v>
      </c>
      <c r="K2778" s="11" t="s">
        <v>31</v>
      </c>
      <c r="L2778" s="12" t="s">
        <v>13281</v>
      </c>
      <c r="M2778" s="10" t="s">
        <v>18233</v>
      </c>
      <c r="N2778" s="10" t="s">
        <v>1277</v>
      </c>
      <c r="O2778" s="12" t="s">
        <v>1278</v>
      </c>
      <c r="P2778" s="10" t="s">
        <v>13283</v>
      </c>
      <c r="Q2778" s="10" t="s">
        <v>13284</v>
      </c>
      <c r="R2778" s="10" t="s">
        <v>1281</v>
      </c>
      <c r="S2778" s="12" t="s">
        <v>1282</v>
      </c>
      <c r="T2778" s="10" t="s">
        <v>66</v>
      </c>
      <c r="U2778" s="12" t="s">
        <v>13285</v>
      </c>
      <c r="V2778" s="10" t="s">
        <v>29</v>
      </c>
      <c r="W2778" s="10" t="s">
        <v>13207</v>
      </c>
      <c r="X2778" s="13" t="str">
        <f>HYPERLINK("https://my.pitchbook.com?p=436397-86P","View People Online")</f>
        <v>View People Online</v>
      </c>
    </row>
    <row r="2779">
      <c r="A2779" s="14" t="s">
        <v>18234</v>
      </c>
      <c r="B2779" s="14" t="s">
        <v>18235</v>
      </c>
      <c r="C2779" s="14" t="s">
        <v>213</v>
      </c>
      <c r="D2779" s="14" t="s">
        <v>4332</v>
      </c>
      <c r="E2779" s="14" t="s">
        <v>13207</v>
      </c>
      <c r="F2779" s="14" t="s">
        <v>13307</v>
      </c>
      <c r="G2779" s="14" t="s">
        <v>18236</v>
      </c>
      <c r="H2779" s="15" t="s">
        <v>31</v>
      </c>
      <c r="I2779" s="15">
        <v>1.0</v>
      </c>
      <c r="J2779" s="15">
        <v>1.0</v>
      </c>
      <c r="K2779" s="15" t="s">
        <v>31</v>
      </c>
      <c r="L2779" s="16" t="s">
        <v>13953</v>
      </c>
      <c r="M2779" s="14" t="s">
        <v>18237</v>
      </c>
      <c r="N2779" s="14" t="s">
        <v>1170</v>
      </c>
      <c r="O2779" s="16" t="s">
        <v>1171</v>
      </c>
      <c r="P2779" s="14" t="s">
        <v>13955</v>
      </c>
      <c r="Q2779" s="14" t="s">
        <v>13956</v>
      </c>
      <c r="R2779" s="14" t="s">
        <v>64</v>
      </c>
      <c r="S2779" s="16" t="s">
        <v>13957</v>
      </c>
      <c r="T2779" s="14" t="s">
        <v>66</v>
      </c>
      <c r="U2779" s="16" t="s">
        <v>13958</v>
      </c>
      <c r="V2779" s="14" t="s">
        <v>13317</v>
      </c>
      <c r="W2779" s="14" t="s">
        <v>13207</v>
      </c>
      <c r="X2779" s="17" t="str">
        <f>HYPERLINK("https://my.pitchbook.com?p=456483-52P","View People Online")</f>
        <v>View People Online</v>
      </c>
    </row>
    <row r="2780">
      <c r="A2780" s="2" t="s">
        <v>18238</v>
      </c>
      <c r="B2780" s="2" t="s">
        <v>18239</v>
      </c>
      <c r="C2780" s="2" t="s">
        <v>213</v>
      </c>
      <c r="D2780" s="2" t="s">
        <v>18240</v>
      </c>
      <c r="E2780" s="2" t="s">
        <v>13207</v>
      </c>
      <c r="F2780" s="2" t="s">
        <v>3523</v>
      </c>
      <c r="G2780" s="2" t="s">
        <v>18241</v>
      </c>
      <c r="H2780" s="3" t="s">
        <v>31</v>
      </c>
      <c r="I2780" s="3">
        <v>1.0</v>
      </c>
      <c r="J2780" s="3">
        <v>1.0</v>
      </c>
      <c r="K2780" s="3" t="s">
        <v>31</v>
      </c>
      <c r="L2780" s="4" t="s">
        <v>13209</v>
      </c>
      <c r="M2780" s="2" t="s">
        <v>18242</v>
      </c>
      <c r="N2780" s="2" t="s">
        <v>4232</v>
      </c>
      <c r="O2780" s="4" t="s">
        <v>4233</v>
      </c>
      <c r="P2780" s="2" t="s">
        <v>13211</v>
      </c>
      <c r="Q2780" s="2" t="s">
        <v>31</v>
      </c>
      <c r="R2780" s="2" t="s">
        <v>4236</v>
      </c>
      <c r="S2780" s="4" t="s">
        <v>13212</v>
      </c>
      <c r="T2780" s="2" t="s">
        <v>66</v>
      </c>
      <c r="U2780" s="4" t="s">
        <v>13213</v>
      </c>
      <c r="V2780" s="2" t="s">
        <v>3523</v>
      </c>
      <c r="W2780" s="2" t="s">
        <v>13207</v>
      </c>
      <c r="X2780" s="5" t="str">
        <f>HYPERLINK("https://my.pitchbook.com?p=456868-90P","View People Online")</f>
        <v>View People Online</v>
      </c>
    </row>
    <row r="2781">
      <c r="A2781" s="14" t="s">
        <v>18243</v>
      </c>
      <c r="B2781" s="14" t="s">
        <v>18244</v>
      </c>
      <c r="C2781" s="14" t="s">
        <v>11652</v>
      </c>
      <c r="D2781" s="14" t="s">
        <v>18245</v>
      </c>
      <c r="E2781" s="14" t="s">
        <v>13207</v>
      </c>
      <c r="F2781" s="14" t="s">
        <v>3523</v>
      </c>
      <c r="G2781" s="14" t="s">
        <v>18246</v>
      </c>
      <c r="H2781" s="15" t="s">
        <v>31</v>
      </c>
      <c r="I2781" s="15">
        <v>1.0</v>
      </c>
      <c r="J2781" s="15">
        <v>1.0</v>
      </c>
      <c r="K2781" s="15" t="s">
        <v>31</v>
      </c>
      <c r="L2781" s="16" t="s">
        <v>13242</v>
      </c>
      <c r="M2781" s="14" t="s">
        <v>18247</v>
      </c>
      <c r="N2781" s="14" t="s">
        <v>9865</v>
      </c>
      <c r="O2781" s="16" t="s">
        <v>9866</v>
      </c>
      <c r="P2781" s="14" t="s">
        <v>13244</v>
      </c>
      <c r="Q2781" s="14" t="s">
        <v>31</v>
      </c>
      <c r="R2781" s="14" t="s">
        <v>31</v>
      </c>
      <c r="S2781" s="16" t="s">
        <v>13245</v>
      </c>
      <c r="T2781" s="14" t="s">
        <v>38</v>
      </c>
      <c r="U2781" s="16" t="s">
        <v>13246</v>
      </c>
      <c r="V2781" s="14" t="s">
        <v>3523</v>
      </c>
      <c r="W2781" s="14" t="s">
        <v>13207</v>
      </c>
      <c r="X2781" s="17" t="str">
        <f>HYPERLINK("https://my.pitchbook.com?p=435741-31P","View People Online")</f>
        <v>View People Online</v>
      </c>
    </row>
    <row r="2782">
      <c r="A2782" s="10" t="s">
        <v>18248</v>
      </c>
      <c r="B2782" s="10" t="s">
        <v>18249</v>
      </c>
      <c r="C2782" s="10" t="s">
        <v>11652</v>
      </c>
      <c r="D2782" s="10" t="s">
        <v>18250</v>
      </c>
      <c r="E2782" s="10" t="s">
        <v>13207</v>
      </c>
      <c r="F2782" s="10" t="s">
        <v>13218</v>
      </c>
      <c r="G2782" s="10" t="s">
        <v>18251</v>
      </c>
      <c r="H2782" s="11" t="s">
        <v>31</v>
      </c>
      <c r="I2782" s="11">
        <v>1.0</v>
      </c>
      <c r="J2782" s="11">
        <v>1.0</v>
      </c>
      <c r="K2782" s="11" t="s">
        <v>31</v>
      </c>
      <c r="L2782" s="12" t="s">
        <v>13378</v>
      </c>
      <c r="M2782" s="10" t="s">
        <v>18252</v>
      </c>
      <c r="N2782" s="10" t="s">
        <v>429</v>
      </c>
      <c r="O2782" s="12" t="s">
        <v>430</v>
      </c>
      <c r="P2782" s="10" t="s">
        <v>13380</v>
      </c>
      <c r="Q2782" s="10" t="s">
        <v>31</v>
      </c>
      <c r="R2782" s="10" t="s">
        <v>31</v>
      </c>
      <c r="S2782" s="12" t="s">
        <v>13381</v>
      </c>
      <c r="T2782" s="10" t="s">
        <v>433</v>
      </c>
      <c r="U2782" s="12" t="s">
        <v>13382</v>
      </c>
      <c r="V2782" s="10" t="s">
        <v>13218</v>
      </c>
      <c r="W2782" s="10" t="s">
        <v>13207</v>
      </c>
      <c r="X2782" s="13" t="str">
        <f>HYPERLINK("https://my.pitchbook.com?p=435655-63P","View People Online")</f>
        <v>View People Online</v>
      </c>
    </row>
    <row r="2783">
      <c r="A2783" s="14" t="s">
        <v>18253</v>
      </c>
      <c r="B2783" s="14" t="s">
        <v>18254</v>
      </c>
      <c r="C2783" s="14" t="s">
        <v>11652</v>
      </c>
      <c r="D2783" s="14" t="s">
        <v>18255</v>
      </c>
      <c r="E2783" s="14" t="s">
        <v>13207</v>
      </c>
      <c r="F2783" s="14" t="s">
        <v>13218</v>
      </c>
      <c r="G2783" s="14" t="s">
        <v>18256</v>
      </c>
      <c r="H2783" s="15" t="s">
        <v>31</v>
      </c>
      <c r="I2783" s="15">
        <v>1.0</v>
      </c>
      <c r="J2783" s="15">
        <v>1.0</v>
      </c>
      <c r="K2783" s="15" t="s">
        <v>31</v>
      </c>
      <c r="L2783" s="16" t="s">
        <v>13496</v>
      </c>
      <c r="M2783" s="14" t="s">
        <v>18257</v>
      </c>
      <c r="N2783" s="14" t="s">
        <v>75</v>
      </c>
      <c r="O2783" s="16" t="s">
        <v>76</v>
      </c>
      <c r="P2783" s="14" t="s">
        <v>13498</v>
      </c>
      <c r="Q2783" s="14" t="s">
        <v>31</v>
      </c>
      <c r="R2783" s="14" t="s">
        <v>75</v>
      </c>
      <c r="S2783" s="16" t="s">
        <v>195</v>
      </c>
      <c r="T2783" s="14" t="s">
        <v>66</v>
      </c>
      <c r="U2783" s="16" t="s">
        <v>13499</v>
      </c>
      <c r="V2783" s="14" t="s">
        <v>18258</v>
      </c>
      <c r="W2783" s="14" t="s">
        <v>13207</v>
      </c>
      <c r="X2783" s="17" t="str">
        <f>HYPERLINK("https://my.pitchbook.com?p=455273-11P","View People Online")</f>
        <v>View People Online</v>
      </c>
    </row>
    <row r="2784">
      <c r="A2784" s="10" t="s">
        <v>18259</v>
      </c>
      <c r="B2784" s="10" t="s">
        <v>18260</v>
      </c>
      <c r="C2784" s="10" t="s">
        <v>11652</v>
      </c>
      <c r="D2784" s="10" t="s">
        <v>18261</v>
      </c>
      <c r="E2784" s="10" t="s">
        <v>13207</v>
      </c>
      <c r="F2784" s="10" t="s">
        <v>3523</v>
      </c>
      <c r="G2784" s="10" t="s">
        <v>18262</v>
      </c>
      <c r="H2784" s="11" t="s">
        <v>31</v>
      </c>
      <c r="I2784" s="11">
        <v>1.0</v>
      </c>
      <c r="J2784" s="11">
        <v>1.0</v>
      </c>
      <c r="K2784" s="11" t="s">
        <v>31</v>
      </c>
      <c r="L2784" s="12" t="s">
        <v>13766</v>
      </c>
      <c r="M2784" s="10" t="s">
        <v>18263</v>
      </c>
      <c r="N2784" s="10" t="s">
        <v>13768</v>
      </c>
      <c r="O2784" s="12" t="s">
        <v>13769</v>
      </c>
      <c r="P2784" s="10" t="s">
        <v>13770</v>
      </c>
      <c r="Q2784" s="10" t="s">
        <v>13771</v>
      </c>
      <c r="R2784" s="10" t="s">
        <v>31</v>
      </c>
      <c r="S2784" s="12" t="s">
        <v>13772</v>
      </c>
      <c r="T2784" s="10" t="s">
        <v>13773</v>
      </c>
      <c r="U2784" s="12" t="s">
        <v>31</v>
      </c>
      <c r="V2784" s="10" t="s">
        <v>3523</v>
      </c>
      <c r="W2784" s="10" t="s">
        <v>13207</v>
      </c>
      <c r="X2784" s="13" t="str">
        <f>HYPERLINK("https://my.pitchbook.com?p=435432-88P","View People Online")</f>
        <v>View People Online</v>
      </c>
    </row>
    <row r="2785">
      <c r="A2785" s="14" t="s">
        <v>18264</v>
      </c>
      <c r="B2785" s="14" t="s">
        <v>18265</v>
      </c>
      <c r="C2785" s="14" t="s">
        <v>11652</v>
      </c>
      <c r="D2785" s="14" t="s">
        <v>18266</v>
      </c>
      <c r="E2785" s="14" t="s">
        <v>13207</v>
      </c>
      <c r="F2785" s="14" t="s">
        <v>3523</v>
      </c>
      <c r="G2785" s="14" t="s">
        <v>18267</v>
      </c>
      <c r="H2785" s="15" t="s">
        <v>31</v>
      </c>
      <c r="I2785" s="15">
        <v>1.0</v>
      </c>
      <c r="J2785" s="15">
        <v>1.0</v>
      </c>
      <c r="K2785" s="15" t="s">
        <v>31</v>
      </c>
      <c r="L2785" s="16" t="s">
        <v>13549</v>
      </c>
      <c r="M2785" s="14" t="s">
        <v>18268</v>
      </c>
      <c r="N2785" s="14" t="s">
        <v>794</v>
      </c>
      <c r="O2785" s="16" t="s">
        <v>795</v>
      </c>
      <c r="P2785" s="14" t="s">
        <v>13551</v>
      </c>
      <c r="Q2785" s="14" t="s">
        <v>13552</v>
      </c>
      <c r="R2785" s="14" t="s">
        <v>31</v>
      </c>
      <c r="S2785" s="16" t="s">
        <v>13553</v>
      </c>
      <c r="T2785" s="14" t="s">
        <v>796</v>
      </c>
      <c r="U2785" s="16" t="s">
        <v>13554</v>
      </c>
      <c r="V2785" s="14" t="s">
        <v>3523</v>
      </c>
      <c r="W2785" s="14" t="s">
        <v>13207</v>
      </c>
      <c r="X2785" s="17" t="str">
        <f>HYPERLINK("https://my.pitchbook.com?p=455763-61P","View People Online")</f>
        <v>View People Online</v>
      </c>
    </row>
    <row r="2786">
      <c r="A2786" s="2" t="s">
        <v>18269</v>
      </c>
      <c r="B2786" s="2" t="s">
        <v>18270</v>
      </c>
      <c r="C2786" s="2" t="s">
        <v>5521</v>
      </c>
      <c r="D2786" s="2" t="s">
        <v>18271</v>
      </c>
      <c r="E2786" s="2" t="s">
        <v>13207</v>
      </c>
      <c r="F2786" s="2" t="s">
        <v>3523</v>
      </c>
      <c r="G2786" s="2" t="s">
        <v>18272</v>
      </c>
      <c r="H2786" s="3" t="s">
        <v>31</v>
      </c>
      <c r="I2786" s="3">
        <v>1.0</v>
      </c>
      <c r="J2786" s="3">
        <v>1.0</v>
      </c>
      <c r="K2786" s="3" t="s">
        <v>31</v>
      </c>
      <c r="L2786" s="4" t="s">
        <v>13274</v>
      </c>
      <c r="M2786" s="2" t="s">
        <v>18273</v>
      </c>
      <c r="N2786" s="2" t="s">
        <v>1181</v>
      </c>
      <c r="O2786" s="4" t="s">
        <v>1182</v>
      </c>
      <c r="P2786" s="2" t="s">
        <v>13276</v>
      </c>
      <c r="Q2786" s="2" t="s">
        <v>31</v>
      </c>
      <c r="R2786" s="2" t="s">
        <v>1185</v>
      </c>
      <c r="S2786" s="4" t="s">
        <v>4438</v>
      </c>
      <c r="T2786" s="2" t="s">
        <v>66</v>
      </c>
      <c r="U2786" s="4" t="s">
        <v>13277</v>
      </c>
      <c r="V2786" s="2" t="s">
        <v>18274</v>
      </c>
      <c r="W2786" s="2" t="s">
        <v>13207</v>
      </c>
      <c r="X2786" s="5" t="str">
        <f>HYPERLINK("https://my.pitchbook.com?p=455256-73P","View People Online")</f>
        <v>View People Online</v>
      </c>
    </row>
    <row r="2787">
      <c r="A2787" s="14" t="s">
        <v>18275</v>
      </c>
      <c r="B2787" s="14" t="s">
        <v>18276</v>
      </c>
      <c r="C2787" s="14" t="s">
        <v>18277</v>
      </c>
      <c r="D2787" s="14" t="s">
        <v>18278</v>
      </c>
      <c r="E2787" s="14" t="s">
        <v>13207</v>
      </c>
      <c r="F2787" s="14" t="s">
        <v>3523</v>
      </c>
      <c r="G2787" s="14" t="s">
        <v>18279</v>
      </c>
      <c r="H2787" s="15" t="s">
        <v>31</v>
      </c>
      <c r="I2787" s="15">
        <v>1.0</v>
      </c>
      <c r="J2787" s="15">
        <v>1.0</v>
      </c>
      <c r="K2787" s="15" t="s">
        <v>31</v>
      </c>
      <c r="L2787" s="16" t="s">
        <v>13423</v>
      </c>
      <c r="M2787" s="14" t="s">
        <v>18280</v>
      </c>
      <c r="N2787" s="14" t="s">
        <v>243</v>
      </c>
      <c r="O2787" s="16" t="s">
        <v>244</v>
      </c>
      <c r="P2787" s="14" t="s">
        <v>13425</v>
      </c>
      <c r="Q2787" s="14" t="s">
        <v>31</v>
      </c>
      <c r="R2787" s="14" t="s">
        <v>247</v>
      </c>
      <c r="S2787" s="16" t="s">
        <v>13426</v>
      </c>
      <c r="T2787" s="14" t="s">
        <v>249</v>
      </c>
      <c r="U2787" s="16" t="s">
        <v>31</v>
      </c>
      <c r="V2787" s="14" t="s">
        <v>13468</v>
      </c>
      <c r="W2787" s="14" t="s">
        <v>13207</v>
      </c>
      <c r="X2787" s="17" t="str">
        <f>HYPERLINK("https://my.pitchbook.com?p=455923-27P","View People Online")</f>
        <v>View People Online</v>
      </c>
    </row>
    <row r="2788">
      <c r="A2788" s="2" t="s">
        <v>18281</v>
      </c>
      <c r="B2788" s="2" t="s">
        <v>18282</v>
      </c>
      <c r="C2788" s="2" t="s">
        <v>18283</v>
      </c>
      <c r="D2788" s="2" t="s">
        <v>18284</v>
      </c>
      <c r="E2788" s="2" t="s">
        <v>13207</v>
      </c>
      <c r="F2788" s="2" t="s">
        <v>3523</v>
      </c>
      <c r="G2788" s="2" t="s">
        <v>18285</v>
      </c>
      <c r="H2788" s="3" t="s">
        <v>31</v>
      </c>
      <c r="I2788" s="3">
        <v>1.0</v>
      </c>
      <c r="J2788" s="3">
        <v>1.0</v>
      </c>
      <c r="K2788" s="3" t="s">
        <v>31</v>
      </c>
      <c r="L2788" s="4" t="s">
        <v>13263</v>
      </c>
      <c r="M2788" s="2" t="s">
        <v>18286</v>
      </c>
      <c r="N2788" s="2" t="s">
        <v>1005</v>
      </c>
      <c r="O2788" s="4" t="s">
        <v>1006</v>
      </c>
      <c r="P2788" s="2" t="s">
        <v>13265</v>
      </c>
      <c r="Q2788" s="2" t="s">
        <v>13266</v>
      </c>
      <c r="R2788" s="2" t="s">
        <v>13267</v>
      </c>
      <c r="S2788" s="4" t="s">
        <v>13268</v>
      </c>
      <c r="T2788" s="2" t="s">
        <v>1010</v>
      </c>
      <c r="U2788" s="4" t="s">
        <v>13269</v>
      </c>
      <c r="V2788" s="2" t="s">
        <v>3523</v>
      </c>
      <c r="W2788" s="2" t="s">
        <v>13207</v>
      </c>
      <c r="X2788" s="5" t="str">
        <f>HYPERLINK("https://my.pitchbook.com?p=435707-02P","View People Online")</f>
        <v>View People Online</v>
      </c>
    </row>
    <row r="2789">
      <c r="A2789" s="14" t="s">
        <v>18287</v>
      </c>
      <c r="B2789" s="14" t="s">
        <v>18288</v>
      </c>
      <c r="C2789" s="14" t="s">
        <v>18283</v>
      </c>
      <c r="D2789" s="14" t="s">
        <v>18289</v>
      </c>
      <c r="E2789" s="14" t="s">
        <v>13207</v>
      </c>
      <c r="F2789" s="14" t="s">
        <v>3523</v>
      </c>
      <c r="G2789" s="14" t="s">
        <v>18290</v>
      </c>
      <c r="H2789" s="15" t="s">
        <v>31</v>
      </c>
      <c r="I2789" s="15">
        <v>1.0</v>
      </c>
      <c r="J2789" s="15">
        <v>1.0</v>
      </c>
      <c r="K2789" s="15" t="s">
        <v>31</v>
      </c>
      <c r="L2789" s="16" t="s">
        <v>13263</v>
      </c>
      <c r="M2789" s="14" t="s">
        <v>18291</v>
      </c>
      <c r="N2789" s="14" t="s">
        <v>1005</v>
      </c>
      <c r="O2789" s="16" t="s">
        <v>1006</v>
      </c>
      <c r="P2789" s="14" t="s">
        <v>13265</v>
      </c>
      <c r="Q2789" s="14" t="s">
        <v>13266</v>
      </c>
      <c r="R2789" s="14" t="s">
        <v>13267</v>
      </c>
      <c r="S2789" s="16" t="s">
        <v>13268</v>
      </c>
      <c r="T2789" s="14" t="s">
        <v>1010</v>
      </c>
      <c r="U2789" s="16" t="s">
        <v>13269</v>
      </c>
      <c r="V2789" s="14" t="s">
        <v>3523</v>
      </c>
      <c r="W2789" s="14" t="s">
        <v>13207</v>
      </c>
      <c r="X2789" s="17" t="str">
        <f>HYPERLINK("https://my.pitchbook.com?p=436207-60P","View People Online")</f>
        <v>View People Online</v>
      </c>
    </row>
    <row r="2790">
      <c r="A2790" s="10" t="s">
        <v>18292</v>
      </c>
      <c r="B2790" s="10" t="s">
        <v>18293</v>
      </c>
      <c r="C2790" s="10" t="s">
        <v>18283</v>
      </c>
      <c r="D2790" s="10" t="s">
        <v>18294</v>
      </c>
      <c r="E2790" s="10" t="s">
        <v>13207</v>
      </c>
      <c r="F2790" s="10" t="s">
        <v>13240</v>
      </c>
      <c r="G2790" s="10" t="s">
        <v>18295</v>
      </c>
      <c r="H2790" s="11" t="s">
        <v>31</v>
      </c>
      <c r="I2790" s="11">
        <v>1.0</v>
      </c>
      <c r="J2790" s="11">
        <v>1.0</v>
      </c>
      <c r="K2790" s="11" t="s">
        <v>31</v>
      </c>
      <c r="L2790" s="12" t="s">
        <v>13274</v>
      </c>
      <c r="M2790" s="10" t="s">
        <v>18296</v>
      </c>
      <c r="N2790" s="10" t="s">
        <v>1181</v>
      </c>
      <c r="O2790" s="12" t="s">
        <v>1182</v>
      </c>
      <c r="P2790" s="10" t="s">
        <v>13276</v>
      </c>
      <c r="Q2790" s="10" t="s">
        <v>31</v>
      </c>
      <c r="R2790" s="10" t="s">
        <v>1185</v>
      </c>
      <c r="S2790" s="12" t="s">
        <v>4438</v>
      </c>
      <c r="T2790" s="10" t="s">
        <v>66</v>
      </c>
      <c r="U2790" s="12" t="s">
        <v>13277</v>
      </c>
      <c r="V2790" s="10" t="s">
        <v>18297</v>
      </c>
      <c r="W2790" s="10" t="s">
        <v>13207</v>
      </c>
      <c r="X2790" s="13" t="str">
        <f>HYPERLINK("https://my.pitchbook.com?p=436229-56P","View People Online")</f>
        <v>View People Online</v>
      </c>
    </row>
    <row r="2791">
      <c r="A2791" s="6" t="s">
        <v>18298</v>
      </c>
      <c r="B2791" s="6" t="s">
        <v>18299</v>
      </c>
      <c r="C2791" s="6" t="s">
        <v>18300</v>
      </c>
      <c r="D2791" s="6" t="s">
        <v>2155</v>
      </c>
      <c r="E2791" s="6" t="s">
        <v>13207</v>
      </c>
      <c r="F2791" s="6" t="s">
        <v>2731</v>
      </c>
      <c r="G2791" s="6" t="s">
        <v>18301</v>
      </c>
      <c r="H2791" s="7" t="s">
        <v>31</v>
      </c>
      <c r="I2791" s="7">
        <v>1.0</v>
      </c>
      <c r="J2791" s="7">
        <v>1.0</v>
      </c>
      <c r="K2791" s="7" t="s">
        <v>31</v>
      </c>
      <c r="L2791" s="8" t="s">
        <v>13743</v>
      </c>
      <c r="M2791" s="6" t="s">
        <v>18302</v>
      </c>
      <c r="N2791" s="6" t="s">
        <v>1034</v>
      </c>
      <c r="O2791" s="8" t="s">
        <v>1035</v>
      </c>
      <c r="P2791" s="6" t="s">
        <v>13745</v>
      </c>
      <c r="Q2791" s="6" t="s">
        <v>13746</v>
      </c>
      <c r="R2791" s="6" t="s">
        <v>31</v>
      </c>
      <c r="S2791" s="8" t="s">
        <v>13747</v>
      </c>
      <c r="T2791" s="6" t="s">
        <v>1034</v>
      </c>
      <c r="U2791" s="8" t="s">
        <v>13748</v>
      </c>
      <c r="V2791" s="6" t="s">
        <v>2731</v>
      </c>
      <c r="W2791" s="6" t="s">
        <v>13207</v>
      </c>
      <c r="X2791" s="9" t="str">
        <f>HYPERLINK("https://my.pitchbook.com?p=436303-90P","View People Online")</f>
        <v>View People Online</v>
      </c>
    </row>
    <row r="2792">
      <c r="A2792" s="2" t="s">
        <v>18303</v>
      </c>
      <c r="B2792" s="2" t="s">
        <v>18304</v>
      </c>
      <c r="C2792" s="2" t="s">
        <v>18305</v>
      </c>
      <c r="D2792" s="2" t="s">
        <v>6893</v>
      </c>
      <c r="E2792" s="2" t="s">
        <v>13207</v>
      </c>
      <c r="F2792" s="2" t="s">
        <v>3523</v>
      </c>
      <c r="G2792" s="2" t="s">
        <v>18306</v>
      </c>
      <c r="H2792" s="3" t="s">
        <v>31</v>
      </c>
      <c r="I2792" s="3">
        <v>1.0</v>
      </c>
      <c r="J2792" s="3">
        <v>1.0</v>
      </c>
      <c r="K2792" s="3" t="s">
        <v>31</v>
      </c>
      <c r="L2792" s="4" t="s">
        <v>13274</v>
      </c>
      <c r="M2792" s="2" t="s">
        <v>18307</v>
      </c>
      <c r="N2792" s="2" t="s">
        <v>1181</v>
      </c>
      <c r="O2792" s="4" t="s">
        <v>1182</v>
      </c>
      <c r="P2792" s="2" t="s">
        <v>13276</v>
      </c>
      <c r="Q2792" s="2" t="s">
        <v>31</v>
      </c>
      <c r="R2792" s="2" t="s">
        <v>1185</v>
      </c>
      <c r="S2792" s="4" t="s">
        <v>4438</v>
      </c>
      <c r="T2792" s="2" t="s">
        <v>66</v>
      </c>
      <c r="U2792" s="4" t="s">
        <v>13277</v>
      </c>
      <c r="V2792" s="2" t="s">
        <v>3523</v>
      </c>
      <c r="W2792" s="2" t="s">
        <v>13207</v>
      </c>
      <c r="X2792" s="5" t="str">
        <f>HYPERLINK("https://my.pitchbook.com?p=131196-25P","View People Online")</f>
        <v>View People Online</v>
      </c>
    </row>
    <row r="2793">
      <c r="A2793" s="6" t="s">
        <v>18308</v>
      </c>
      <c r="B2793" s="6" t="s">
        <v>18309</v>
      </c>
      <c r="C2793" s="6" t="s">
        <v>18310</v>
      </c>
      <c r="D2793" s="6" t="s">
        <v>18311</v>
      </c>
      <c r="E2793" s="6" t="s">
        <v>13207</v>
      </c>
      <c r="F2793" s="6" t="s">
        <v>13218</v>
      </c>
      <c r="G2793" s="6" t="s">
        <v>18312</v>
      </c>
      <c r="H2793" s="7" t="s">
        <v>31</v>
      </c>
      <c r="I2793" s="7">
        <v>1.0</v>
      </c>
      <c r="J2793" s="7">
        <v>1.0</v>
      </c>
      <c r="K2793" s="7" t="s">
        <v>31</v>
      </c>
      <c r="L2793" s="8" t="s">
        <v>13274</v>
      </c>
      <c r="M2793" s="6" t="s">
        <v>18313</v>
      </c>
      <c r="N2793" s="6" t="s">
        <v>1181</v>
      </c>
      <c r="O2793" s="8" t="s">
        <v>1182</v>
      </c>
      <c r="P2793" s="6" t="s">
        <v>13276</v>
      </c>
      <c r="Q2793" s="6" t="s">
        <v>31</v>
      </c>
      <c r="R2793" s="6" t="s">
        <v>1185</v>
      </c>
      <c r="S2793" s="8" t="s">
        <v>4438</v>
      </c>
      <c r="T2793" s="6" t="s">
        <v>66</v>
      </c>
      <c r="U2793" s="8" t="s">
        <v>13277</v>
      </c>
      <c r="V2793" s="6" t="s">
        <v>13218</v>
      </c>
      <c r="W2793" s="6" t="s">
        <v>13207</v>
      </c>
      <c r="X2793" s="9" t="str">
        <f>HYPERLINK("https://my.pitchbook.com?p=456399-28P","View People Online")</f>
        <v>View People Online</v>
      </c>
    </row>
    <row r="2794">
      <c r="A2794" s="2" t="s">
        <v>18314</v>
      </c>
      <c r="B2794" s="2" t="s">
        <v>18315</v>
      </c>
      <c r="C2794" s="2" t="s">
        <v>18316</v>
      </c>
      <c r="D2794" s="2" t="s">
        <v>18317</v>
      </c>
      <c r="E2794" s="2" t="s">
        <v>13207</v>
      </c>
      <c r="F2794" s="2" t="s">
        <v>13307</v>
      </c>
      <c r="G2794" s="2" t="s">
        <v>18318</v>
      </c>
      <c r="H2794" s="3" t="s">
        <v>31</v>
      </c>
      <c r="I2794" s="3">
        <v>1.0</v>
      </c>
      <c r="J2794" s="3">
        <v>1.0</v>
      </c>
      <c r="K2794" s="3" t="s">
        <v>31</v>
      </c>
      <c r="L2794" s="4" t="s">
        <v>13263</v>
      </c>
      <c r="M2794" s="2" t="s">
        <v>18319</v>
      </c>
      <c r="N2794" s="2" t="s">
        <v>1005</v>
      </c>
      <c r="O2794" s="4" t="s">
        <v>1006</v>
      </c>
      <c r="P2794" s="2" t="s">
        <v>13265</v>
      </c>
      <c r="Q2794" s="2" t="s">
        <v>13266</v>
      </c>
      <c r="R2794" s="2" t="s">
        <v>13267</v>
      </c>
      <c r="S2794" s="4" t="s">
        <v>13268</v>
      </c>
      <c r="T2794" s="2" t="s">
        <v>1010</v>
      </c>
      <c r="U2794" s="4" t="s">
        <v>13269</v>
      </c>
      <c r="V2794" s="2" t="s">
        <v>13317</v>
      </c>
      <c r="W2794" s="2" t="s">
        <v>13207</v>
      </c>
      <c r="X2794" s="5" t="str">
        <f>HYPERLINK("https://my.pitchbook.com?p=435194-83P","View People Online")</f>
        <v>View People Online</v>
      </c>
    </row>
    <row r="2795">
      <c r="A2795" s="6" t="s">
        <v>18320</v>
      </c>
      <c r="B2795" s="6" t="s">
        <v>18321</v>
      </c>
      <c r="C2795" s="6" t="s">
        <v>18322</v>
      </c>
      <c r="D2795" s="6" t="s">
        <v>18323</v>
      </c>
      <c r="E2795" s="6" t="s">
        <v>13207</v>
      </c>
      <c r="F2795" s="6" t="s">
        <v>3523</v>
      </c>
      <c r="G2795" s="6" t="s">
        <v>18324</v>
      </c>
      <c r="H2795" s="7" t="s">
        <v>31</v>
      </c>
      <c r="I2795" s="7">
        <v>2.0</v>
      </c>
      <c r="J2795" s="7">
        <v>1.0</v>
      </c>
      <c r="K2795" s="7" t="s">
        <v>31</v>
      </c>
      <c r="L2795" s="8" t="s">
        <v>13724</v>
      </c>
      <c r="M2795" s="6" t="s">
        <v>18325</v>
      </c>
      <c r="N2795" s="6" t="s">
        <v>34</v>
      </c>
      <c r="O2795" s="8" t="s">
        <v>35</v>
      </c>
      <c r="P2795" s="6" t="s">
        <v>13726</v>
      </c>
      <c r="Q2795" s="6" t="s">
        <v>31</v>
      </c>
      <c r="R2795" s="6" t="s">
        <v>31</v>
      </c>
      <c r="S2795" s="8" t="s">
        <v>13727</v>
      </c>
      <c r="T2795" s="6" t="s">
        <v>38</v>
      </c>
      <c r="U2795" s="8" t="s">
        <v>13728</v>
      </c>
      <c r="V2795" s="6" t="s">
        <v>13468</v>
      </c>
      <c r="W2795" s="6" t="s">
        <v>13207</v>
      </c>
      <c r="X2795" s="9" t="str">
        <f>HYPERLINK("https://my.pitchbook.com?p=235452-07P","View People Online")</f>
        <v>View People Online</v>
      </c>
    </row>
    <row r="2796">
      <c r="A2796" s="2" t="s">
        <v>18326</v>
      </c>
      <c r="B2796" s="2" t="s">
        <v>18327</v>
      </c>
      <c r="C2796" s="2" t="s">
        <v>18322</v>
      </c>
      <c r="D2796" s="2" t="s">
        <v>18328</v>
      </c>
      <c r="E2796" s="2" t="s">
        <v>13207</v>
      </c>
      <c r="F2796" s="2" t="s">
        <v>13218</v>
      </c>
      <c r="G2796" s="2" t="s">
        <v>18329</v>
      </c>
      <c r="H2796" s="3" t="s">
        <v>31</v>
      </c>
      <c r="I2796" s="3">
        <v>1.0</v>
      </c>
      <c r="J2796" s="3">
        <v>1.0</v>
      </c>
      <c r="K2796" s="3" t="s">
        <v>31</v>
      </c>
      <c r="L2796" s="4" t="s">
        <v>13714</v>
      </c>
      <c r="M2796" s="2" t="s">
        <v>18330</v>
      </c>
      <c r="N2796" s="2" t="s">
        <v>13716</v>
      </c>
      <c r="O2796" s="4" t="s">
        <v>13717</v>
      </c>
      <c r="P2796" s="2" t="s">
        <v>13718</v>
      </c>
      <c r="Q2796" s="2" t="s">
        <v>31</v>
      </c>
      <c r="R2796" s="2" t="s">
        <v>31</v>
      </c>
      <c r="S2796" s="4" t="s">
        <v>13719</v>
      </c>
      <c r="T2796" s="2" t="s">
        <v>38</v>
      </c>
      <c r="U2796" s="4" t="s">
        <v>13720</v>
      </c>
      <c r="V2796" s="2" t="s">
        <v>13218</v>
      </c>
      <c r="W2796" s="2" t="s">
        <v>13207</v>
      </c>
      <c r="X2796" s="5" t="str">
        <f>HYPERLINK("https://my.pitchbook.com?p=435639-70P","View People Online")</f>
        <v>View People Online</v>
      </c>
    </row>
    <row r="2797">
      <c r="A2797" s="6" t="s">
        <v>18331</v>
      </c>
      <c r="B2797" s="6" t="s">
        <v>18332</v>
      </c>
      <c r="C2797" s="6" t="s">
        <v>3082</v>
      </c>
      <c r="D2797" s="6" t="s">
        <v>7286</v>
      </c>
      <c r="E2797" s="6" t="s">
        <v>13207</v>
      </c>
      <c r="F2797" s="6" t="s">
        <v>13218</v>
      </c>
      <c r="G2797" s="6" t="s">
        <v>18333</v>
      </c>
      <c r="H2797" s="7" t="s">
        <v>31</v>
      </c>
      <c r="I2797" s="7">
        <v>1.0</v>
      </c>
      <c r="J2797" s="7">
        <v>1.0</v>
      </c>
      <c r="K2797" s="7" t="s">
        <v>31</v>
      </c>
      <c r="L2797" s="8" t="s">
        <v>13281</v>
      </c>
      <c r="M2797" s="6" t="s">
        <v>18334</v>
      </c>
      <c r="N2797" s="6" t="s">
        <v>1277</v>
      </c>
      <c r="O2797" s="8" t="s">
        <v>1278</v>
      </c>
      <c r="P2797" s="6" t="s">
        <v>13283</v>
      </c>
      <c r="Q2797" s="6" t="s">
        <v>13284</v>
      </c>
      <c r="R2797" s="6" t="s">
        <v>1281</v>
      </c>
      <c r="S2797" s="8" t="s">
        <v>1282</v>
      </c>
      <c r="T2797" s="6" t="s">
        <v>66</v>
      </c>
      <c r="U2797" s="8" t="s">
        <v>13285</v>
      </c>
      <c r="V2797" s="6" t="s">
        <v>13218</v>
      </c>
      <c r="W2797" s="6" t="s">
        <v>13207</v>
      </c>
      <c r="X2797" s="9" t="str">
        <f>HYPERLINK("https://my.pitchbook.com?p=315503-11P","View People Online")</f>
        <v>View People Online</v>
      </c>
    </row>
    <row r="2798">
      <c r="A2798" s="10" t="s">
        <v>18335</v>
      </c>
      <c r="B2798" s="10" t="s">
        <v>18336</v>
      </c>
      <c r="C2798" s="10" t="s">
        <v>3082</v>
      </c>
      <c r="D2798" s="10" t="s">
        <v>18337</v>
      </c>
      <c r="E2798" s="10" t="s">
        <v>13207</v>
      </c>
      <c r="F2798" s="10" t="s">
        <v>13218</v>
      </c>
      <c r="G2798" s="10" t="s">
        <v>18338</v>
      </c>
      <c r="H2798" s="11" t="s">
        <v>31</v>
      </c>
      <c r="I2798" s="11">
        <v>1.0</v>
      </c>
      <c r="J2798" s="11">
        <v>1.0</v>
      </c>
      <c r="K2798" s="11" t="s">
        <v>31</v>
      </c>
      <c r="L2798" s="12" t="s">
        <v>13209</v>
      </c>
      <c r="M2798" s="10" t="s">
        <v>18339</v>
      </c>
      <c r="N2798" s="10" t="s">
        <v>4232</v>
      </c>
      <c r="O2798" s="12" t="s">
        <v>4233</v>
      </c>
      <c r="P2798" s="10" t="s">
        <v>13211</v>
      </c>
      <c r="Q2798" s="10" t="s">
        <v>31</v>
      </c>
      <c r="R2798" s="10" t="s">
        <v>4236</v>
      </c>
      <c r="S2798" s="12" t="s">
        <v>13212</v>
      </c>
      <c r="T2798" s="10" t="s">
        <v>66</v>
      </c>
      <c r="U2798" s="12" t="s">
        <v>13213</v>
      </c>
      <c r="V2798" s="10" t="s">
        <v>14182</v>
      </c>
      <c r="W2798" s="10" t="s">
        <v>13207</v>
      </c>
      <c r="X2798" s="13" t="str">
        <f>HYPERLINK("https://my.pitchbook.com?p=195933-97P","View People Online")</f>
        <v>View People Online</v>
      </c>
    </row>
    <row r="2799">
      <c r="A2799" s="14" t="s">
        <v>18340</v>
      </c>
      <c r="B2799" s="14" t="s">
        <v>18341</v>
      </c>
      <c r="C2799" s="14" t="s">
        <v>3082</v>
      </c>
      <c r="D2799" s="14" t="s">
        <v>18342</v>
      </c>
      <c r="E2799" s="14" t="s">
        <v>13207</v>
      </c>
      <c r="F2799" s="14" t="s">
        <v>3523</v>
      </c>
      <c r="G2799" s="14" t="s">
        <v>18343</v>
      </c>
      <c r="H2799" s="15" t="s">
        <v>31</v>
      </c>
      <c r="I2799" s="15">
        <v>1.0</v>
      </c>
      <c r="J2799" s="15">
        <v>1.0</v>
      </c>
      <c r="K2799" s="15" t="s">
        <v>31</v>
      </c>
      <c r="L2799" s="16" t="s">
        <v>13274</v>
      </c>
      <c r="M2799" s="14" t="s">
        <v>18344</v>
      </c>
      <c r="N2799" s="14" t="s">
        <v>1181</v>
      </c>
      <c r="O2799" s="16" t="s">
        <v>1182</v>
      </c>
      <c r="P2799" s="14" t="s">
        <v>13276</v>
      </c>
      <c r="Q2799" s="14" t="s">
        <v>31</v>
      </c>
      <c r="R2799" s="14" t="s">
        <v>1185</v>
      </c>
      <c r="S2799" s="16" t="s">
        <v>4438</v>
      </c>
      <c r="T2799" s="14" t="s">
        <v>66</v>
      </c>
      <c r="U2799" s="16" t="s">
        <v>13277</v>
      </c>
      <c r="V2799" s="14" t="s">
        <v>3523</v>
      </c>
      <c r="W2799" s="14" t="s">
        <v>13207</v>
      </c>
      <c r="X2799" s="17" t="str">
        <f>HYPERLINK("https://my.pitchbook.com?p=435121-66P","View People Online")</f>
        <v>View People Online</v>
      </c>
    </row>
    <row r="2800">
      <c r="A2800" s="10" t="s">
        <v>18345</v>
      </c>
      <c r="B2800" s="10" t="s">
        <v>18346</v>
      </c>
      <c r="C2800" s="10" t="s">
        <v>18347</v>
      </c>
      <c r="D2800" s="10" t="s">
        <v>18348</v>
      </c>
      <c r="E2800" s="10" t="s">
        <v>13207</v>
      </c>
      <c r="F2800" s="10" t="s">
        <v>1283</v>
      </c>
      <c r="G2800" s="10" t="s">
        <v>18349</v>
      </c>
      <c r="H2800" s="11" t="s">
        <v>31</v>
      </c>
      <c r="I2800" s="11">
        <v>1.0</v>
      </c>
      <c r="J2800" s="11">
        <v>1.0</v>
      </c>
      <c r="K2800" s="11" t="s">
        <v>31</v>
      </c>
      <c r="L2800" s="12" t="s">
        <v>13549</v>
      </c>
      <c r="M2800" s="10" t="s">
        <v>18350</v>
      </c>
      <c r="N2800" s="10" t="s">
        <v>794</v>
      </c>
      <c r="O2800" s="12" t="s">
        <v>795</v>
      </c>
      <c r="P2800" s="10" t="s">
        <v>13551</v>
      </c>
      <c r="Q2800" s="10" t="s">
        <v>13552</v>
      </c>
      <c r="R2800" s="10" t="s">
        <v>31</v>
      </c>
      <c r="S2800" s="12" t="s">
        <v>13553</v>
      </c>
      <c r="T2800" s="10" t="s">
        <v>796</v>
      </c>
      <c r="U2800" s="12" t="s">
        <v>13554</v>
      </c>
      <c r="V2800" s="10" t="s">
        <v>14540</v>
      </c>
      <c r="W2800" s="10" t="s">
        <v>13207</v>
      </c>
      <c r="X2800" s="13" t="str">
        <f>HYPERLINK("https://my.pitchbook.com?p=456429-70P","View People Online")</f>
        <v>View People Online</v>
      </c>
    </row>
    <row r="2801">
      <c r="A2801" s="6" t="s">
        <v>18351</v>
      </c>
      <c r="B2801" s="6" t="s">
        <v>18352</v>
      </c>
      <c r="C2801" s="6" t="s">
        <v>18353</v>
      </c>
      <c r="D2801" s="6" t="s">
        <v>18354</v>
      </c>
      <c r="E2801" s="6" t="s">
        <v>13207</v>
      </c>
      <c r="F2801" s="6" t="s">
        <v>29</v>
      </c>
      <c r="G2801" s="6" t="s">
        <v>18355</v>
      </c>
      <c r="H2801" s="7" t="s">
        <v>31</v>
      </c>
      <c r="I2801" s="7">
        <v>1.0</v>
      </c>
      <c r="J2801" s="7">
        <v>1.0</v>
      </c>
      <c r="K2801" s="7" t="s">
        <v>31</v>
      </c>
      <c r="L2801" s="8" t="s">
        <v>13263</v>
      </c>
      <c r="M2801" s="6" t="s">
        <v>18356</v>
      </c>
      <c r="N2801" s="6" t="s">
        <v>1005</v>
      </c>
      <c r="O2801" s="8" t="s">
        <v>1006</v>
      </c>
      <c r="P2801" s="6" t="s">
        <v>13265</v>
      </c>
      <c r="Q2801" s="6" t="s">
        <v>13266</v>
      </c>
      <c r="R2801" s="6" t="s">
        <v>13267</v>
      </c>
      <c r="S2801" s="8" t="s">
        <v>13268</v>
      </c>
      <c r="T2801" s="6" t="s">
        <v>1010</v>
      </c>
      <c r="U2801" s="8" t="s">
        <v>13269</v>
      </c>
      <c r="V2801" s="6" t="s">
        <v>29</v>
      </c>
      <c r="W2801" s="6" t="s">
        <v>13207</v>
      </c>
      <c r="X2801" s="9" t="str">
        <f>HYPERLINK("https://my.pitchbook.com?p=455201-11P","View People Online")</f>
        <v>View People Online</v>
      </c>
    </row>
    <row r="2802">
      <c r="A2802" s="2" t="s">
        <v>18357</v>
      </c>
      <c r="B2802" s="2" t="s">
        <v>18358</v>
      </c>
      <c r="C2802" s="2" t="s">
        <v>18359</v>
      </c>
      <c r="D2802" s="2" t="s">
        <v>18360</v>
      </c>
      <c r="E2802" s="2" t="s">
        <v>13207</v>
      </c>
      <c r="F2802" s="2" t="s">
        <v>13218</v>
      </c>
      <c r="G2802" s="2" t="s">
        <v>18361</v>
      </c>
      <c r="H2802" s="3" t="s">
        <v>31</v>
      </c>
      <c r="I2802" s="3">
        <v>1.0</v>
      </c>
      <c r="J2802" s="3">
        <v>1.0</v>
      </c>
      <c r="K2802" s="3" t="s">
        <v>31</v>
      </c>
      <c r="L2802" s="4" t="s">
        <v>13231</v>
      </c>
      <c r="M2802" s="2" t="s">
        <v>18362</v>
      </c>
      <c r="N2802" s="2" t="s">
        <v>1203</v>
      </c>
      <c r="O2802" s="4" t="s">
        <v>1204</v>
      </c>
      <c r="P2802" s="2" t="s">
        <v>13233</v>
      </c>
      <c r="Q2802" s="2" t="s">
        <v>13234</v>
      </c>
      <c r="R2802" s="2" t="s">
        <v>1207</v>
      </c>
      <c r="S2802" s="4" t="s">
        <v>13235</v>
      </c>
      <c r="T2802" s="2" t="s">
        <v>1209</v>
      </c>
      <c r="U2802" s="4" t="s">
        <v>31</v>
      </c>
      <c r="V2802" s="2" t="s">
        <v>13218</v>
      </c>
      <c r="W2802" s="2" t="s">
        <v>13207</v>
      </c>
      <c r="X2802" s="5" t="str">
        <f>HYPERLINK("https://my.pitchbook.com?p=160029-28P","View People Online")</f>
        <v>View People Online</v>
      </c>
    </row>
    <row r="2803">
      <c r="A2803" s="14" t="s">
        <v>18363</v>
      </c>
      <c r="B2803" s="14" t="s">
        <v>18364</v>
      </c>
      <c r="C2803" s="14" t="s">
        <v>18365</v>
      </c>
      <c r="D2803" s="14" t="s">
        <v>18366</v>
      </c>
      <c r="E2803" s="14" t="s">
        <v>13207</v>
      </c>
      <c r="F2803" s="14" t="s">
        <v>13240</v>
      </c>
      <c r="G2803" s="14" t="s">
        <v>18367</v>
      </c>
      <c r="H2803" s="15" t="s">
        <v>31</v>
      </c>
      <c r="I2803" s="15">
        <v>1.0</v>
      </c>
      <c r="J2803" s="15">
        <v>1.0</v>
      </c>
      <c r="K2803" s="15" t="s">
        <v>31</v>
      </c>
      <c r="L2803" s="16" t="s">
        <v>13231</v>
      </c>
      <c r="M2803" s="14" t="s">
        <v>18368</v>
      </c>
      <c r="N2803" s="14" t="s">
        <v>1203</v>
      </c>
      <c r="O2803" s="16" t="s">
        <v>1204</v>
      </c>
      <c r="P2803" s="14" t="s">
        <v>13233</v>
      </c>
      <c r="Q2803" s="14" t="s">
        <v>13234</v>
      </c>
      <c r="R2803" s="14" t="s">
        <v>1207</v>
      </c>
      <c r="S2803" s="16" t="s">
        <v>13235</v>
      </c>
      <c r="T2803" s="14" t="s">
        <v>1209</v>
      </c>
      <c r="U2803" s="16" t="s">
        <v>31</v>
      </c>
      <c r="V2803" s="14" t="s">
        <v>13247</v>
      </c>
      <c r="W2803" s="14" t="s">
        <v>13207</v>
      </c>
      <c r="X2803" s="17" t="str">
        <f>HYPERLINK("https://my.pitchbook.com?p=456122-44P","View People Online")</f>
        <v>View People Online</v>
      </c>
    </row>
    <row r="2804">
      <c r="A2804" s="10" t="s">
        <v>18369</v>
      </c>
      <c r="B2804" s="10" t="s">
        <v>18370</v>
      </c>
      <c r="C2804" s="10" t="s">
        <v>18371</v>
      </c>
      <c r="D2804" s="10" t="s">
        <v>18372</v>
      </c>
      <c r="E2804" s="10" t="s">
        <v>13207</v>
      </c>
      <c r="F2804" s="10" t="s">
        <v>3523</v>
      </c>
      <c r="G2804" s="10" t="s">
        <v>18373</v>
      </c>
      <c r="H2804" s="11" t="s">
        <v>31</v>
      </c>
      <c r="I2804" s="11">
        <v>1.0</v>
      </c>
      <c r="J2804" s="11">
        <v>1.0</v>
      </c>
      <c r="K2804" s="11" t="s">
        <v>31</v>
      </c>
      <c r="L2804" s="12" t="s">
        <v>13263</v>
      </c>
      <c r="M2804" s="10" t="s">
        <v>18374</v>
      </c>
      <c r="N2804" s="10" t="s">
        <v>1005</v>
      </c>
      <c r="O2804" s="12" t="s">
        <v>1006</v>
      </c>
      <c r="P2804" s="10" t="s">
        <v>13265</v>
      </c>
      <c r="Q2804" s="10" t="s">
        <v>13266</v>
      </c>
      <c r="R2804" s="10" t="s">
        <v>13267</v>
      </c>
      <c r="S2804" s="12" t="s">
        <v>13268</v>
      </c>
      <c r="T2804" s="10" t="s">
        <v>1010</v>
      </c>
      <c r="U2804" s="12" t="s">
        <v>13269</v>
      </c>
      <c r="V2804" s="10" t="s">
        <v>3523</v>
      </c>
      <c r="W2804" s="10" t="s">
        <v>13207</v>
      </c>
      <c r="X2804" s="13" t="str">
        <f>HYPERLINK("https://my.pitchbook.com?p=455506-57P","View People Online")</f>
        <v>View People Online</v>
      </c>
    </row>
    <row r="2805">
      <c r="A2805" s="6" t="s">
        <v>18375</v>
      </c>
      <c r="B2805" s="6" t="s">
        <v>18376</v>
      </c>
      <c r="C2805" s="6" t="s">
        <v>18377</v>
      </c>
      <c r="D2805" s="6" t="s">
        <v>9057</v>
      </c>
      <c r="E2805" s="6" t="s">
        <v>13207</v>
      </c>
      <c r="F2805" s="6" t="s">
        <v>3523</v>
      </c>
      <c r="G2805" s="6" t="s">
        <v>18378</v>
      </c>
      <c r="H2805" s="7" t="s">
        <v>31</v>
      </c>
      <c r="I2805" s="7">
        <v>1.0</v>
      </c>
      <c r="J2805" s="7">
        <v>1.0</v>
      </c>
      <c r="K2805" s="7" t="s">
        <v>31</v>
      </c>
      <c r="L2805" s="8" t="s">
        <v>13953</v>
      </c>
      <c r="M2805" s="6" t="s">
        <v>18379</v>
      </c>
      <c r="N2805" s="6" t="s">
        <v>1170</v>
      </c>
      <c r="O2805" s="8" t="s">
        <v>1171</v>
      </c>
      <c r="P2805" s="6" t="s">
        <v>13955</v>
      </c>
      <c r="Q2805" s="6" t="s">
        <v>13956</v>
      </c>
      <c r="R2805" s="6" t="s">
        <v>64</v>
      </c>
      <c r="S2805" s="8" t="s">
        <v>13957</v>
      </c>
      <c r="T2805" s="6" t="s">
        <v>66</v>
      </c>
      <c r="U2805" s="8" t="s">
        <v>13958</v>
      </c>
      <c r="V2805" s="6" t="s">
        <v>3523</v>
      </c>
      <c r="W2805" s="6" t="s">
        <v>13207</v>
      </c>
      <c r="X2805" s="9" t="str">
        <f>HYPERLINK("https://my.pitchbook.com?p=436202-47P","View People Online")</f>
        <v>View People Online</v>
      </c>
    </row>
    <row r="2806">
      <c r="A2806" s="2" t="s">
        <v>18380</v>
      </c>
      <c r="B2806" s="2" t="s">
        <v>18381</v>
      </c>
      <c r="C2806" s="2" t="s">
        <v>18382</v>
      </c>
      <c r="D2806" s="2" t="s">
        <v>18383</v>
      </c>
      <c r="E2806" s="2" t="s">
        <v>13207</v>
      </c>
      <c r="F2806" s="2" t="s">
        <v>13218</v>
      </c>
      <c r="G2806" s="2" t="s">
        <v>18384</v>
      </c>
      <c r="H2806" s="3" t="s">
        <v>31</v>
      </c>
      <c r="I2806" s="3">
        <v>1.0</v>
      </c>
      <c r="J2806" s="3">
        <v>1.0</v>
      </c>
      <c r="K2806" s="3" t="s">
        <v>31</v>
      </c>
      <c r="L2806" s="4" t="s">
        <v>14173</v>
      </c>
      <c r="M2806" s="2" t="s">
        <v>18385</v>
      </c>
      <c r="N2806" s="2" t="s">
        <v>658</v>
      </c>
      <c r="O2806" s="4" t="s">
        <v>659</v>
      </c>
      <c r="P2806" s="2" t="s">
        <v>14175</v>
      </c>
      <c r="Q2806" s="2" t="s">
        <v>31</v>
      </c>
      <c r="R2806" s="2" t="s">
        <v>31</v>
      </c>
      <c r="S2806" s="4" t="s">
        <v>660</v>
      </c>
      <c r="T2806" s="2" t="s">
        <v>661</v>
      </c>
      <c r="U2806" s="4" t="s">
        <v>14176</v>
      </c>
      <c r="V2806" s="2" t="s">
        <v>13218</v>
      </c>
      <c r="W2806" s="2" t="s">
        <v>13207</v>
      </c>
      <c r="X2806" s="5" t="str">
        <f>HYPERLINK("https://my.pitchbook.com?p=435597-94P","View People Online")</f>
        <v>View People Online</v>
      </c>
    </row>
    <row r="2807">
      <c r="A2807" s="6" t="s">
        <v>18386</v>
      </c>
      <c r="B2807" s="6" t="s">
        <v>18387</v>
      </c>
      <c r="C2807" s="6" t="s">
        <v>18388</v>
      </c>
      <c r="D2807" s="6" t="s">
        <v>5692</v>
      </c>
      <c r="E2807" s="6" t="s">
        <v>13207</v>
      </c>
      <c r="F2807" s="6" t="s">
        <v>13307</v>
      </c>
      <c r="G2807" s="6" t="s">
        <v>18389</v>
      </c>
      <c r="H2807" s="7" t="s">
        <v>31</v>
      </c>
      <c r="I2807" s="7">
        <v>1.0</v>
      </c>
      <c r="J2807" s="7">
        <v>1.0</v>
      </c>
      <c r="K2807" s="7" t="s">
        <v>31</v>
      </c>
      <c r="L2807" s="8" t="s">
        <v>14014</v>
      </c>
      <c r="M2807" s="6" t="s">
        <v>18390</v>
      </c>
      <c r="N2807" s="6" t="s">
        <v>14016</v>
      </c>
      <c r="O2807" s="8" t="s">
        <v>14017</v>
      </c>
      <c r="P2807" s="6" t="s">
        <v>14018</v>
      </c>
      <c r="Q2807" s="6" t="s">
        <v>14019</v>
      </c>
      <c r="R2807" s="6" t="s">
        <v>31</v>
      </c>
      <c r="S2807" s="8" t="s">
        <v>14020</v>
      </c>
      <c r="T2807" s="6" t="s">
        <v>38</v>
      </c>
      <c r="U2807" s="8" t="s">
        <v>14014</v>
      </c>
      <c r="V2807" s="6" t="s">
        <v>13317</v>
      </c>
      <c r="W2807" s="6" t="s">
        <v>13207</v>
      </c>
      <c r="X2807" s="9" t="str">
        <f>HYPERLINK("https://my.pitchbook.com?p=455649-49P","View People Online")</f>
        <v>View People Online</v>
      </c>
    </row>
    <row r="2808">
      <c r="A2808" s="10" t="s">
        <v>18391</v>
      </c>
      <c r="B2808" s="10" t="s">
        <v>18392</v>
      </c>
      <c r="C2808" s="10" t="s">
        <v>18393</v>
      </c>
      <c r="D2808" s="10" t="s">
        <v>119</v>
      </c>
      <c r="E2808" s="10" t="s">
        <v>13207</v>
      </c>
      <c r="F2808" s="10" t="s">
        <v>3523</v>
      </c>
      <c r="G2808" s="10" t="s">
        <v>18394</v>
      </c>
      <c r="H2808" s="11" t="s">
        <v>31</v>
      </c>
      <c r="I2808" s="11">
        <v>1.0</v>
      </c>
      <c r="J2808" s="11">
        <v>1.0</v>
      </c>
      <c r="K2808" s="11" t="s">
        <v>31</v>
      </c>
      <c r="L2808" s="12" t="s">
        <v>13281</v>
      </c>
      <c r="M2808" s="10" t="s">
        <v>18395</v>
      </c>
      <c r="N2808" s="10" t="s">
        <v>1277</v>
      </c>
      <c r="O2808" s="12" t="s">
        <v>1278</v>
      </c>
      <c r="P2808" s="10" t="s">
        <v>13283</v>
      </c>
      <c r="Q2808" s="10" t="s">
        <v>13284</v>
      </c>
      <c r="R2808" s="10" t="s">
        <v>1281</v>
      </c>
      <c r="S2808" s="12" t="s">
        <v>1282</v>
      </c>
      <c r="T2808" s="10" t="s">
        <v>66</v>
      </c>
      <c r="U2808" s="12" t="s">
        <v>13285</v>
      </c>
      <c r="V2808" s="10" t="s">
        <v>3523</v>
      </c>
      <c r="W2808" s="10" t="s">
        <v>13207</v>
      </c>
      <c r="X2808" s="13" t="str">
        <f>HYPERLINK("https://my.pitchbook.com?p=59509-54P","View People Online")</f>
        <v>View People Online</v>
      </c>
    </row>
    <row r="2809">
      <c r="A2809" s="14" t="s">
        <v>18396</v>
      </c>
      <c r="B2809" s="14" t="s">
        <v>18397</v>
      </c>
      <c r="C2809" s="14" t="s">
        <v>18393</v>
      </c>
      <c r="D2809" s="14" t="s">
        <v>5327</v>
      </c>
      <c r="E2809" s="14" t="s">
        <v>13207</v>
      </c>
      <c r="F2809" s="14" t="s">
        <v>3523</v>
      </c>
      <c r="G2809" s="14" t="s">
        <v>18398</v>
      </c>
      <c r="H2809" s="15" t="s">
        <v>31</v>
      </c>
      <c r="I2809" s="15">
        <v>1.0</v>
      </c>
      <c r="J2809" s="15">
        <v>1.0</v>
      </c>
      <c r="K2809" s="15" t="s">
        <v>31</v>
      </c>
      <c r="L2809" s="16" t="s">
        <v>13459</v>
      </c>
      <c r="M2809" s="14" t="s">
        <v>18399</v>
      </c>
      <c r="N2809" s="14" t="s">
        <v>3100</v>
      </c>
      <c r="O2809" s="16" t="s">
        <v>3101</v>
      </c>
      <c r="P2809" s="14" t="s">
        <v>13461</v>
      </c>
      <c r="Q2809" s="14" t="s">
        <v>31</v>
      </c>
      <c r="R2809" s="14" t="s">
        <v>31</v>
      </c>
      <c r="S2809" s="16" t="s">
        <v>3103</v>
      </c>
      <c r="T2809" s="14" t="s">
        <v>3104</v>
      </c>
      <c r="U2809" s="16" t="s">
        <v>13462</v>
      </c>
      <c r="V2809" s="14" t="s">
        <v>3523</v>
      </c>
      <c r="W2809" s="14" t="s">
        <v>13207</v>
      </c>
      <c r="X2809" s="17" t="str">
        <f>HYPERLINK("https://my.pitchbook.com?p=435016-99P","View People Online")</f>
        <v>View People Online</v>
      </c>
    </row>
    <row r="2810">
      <c r="A2810" s="10" t="s">
        <v>18400</v>
      </c>
      <c r="B2810" s="10" t="s">
        <v>18401</v>
      </c>
      <c r="C2810" s="10" t="s">
        <v>18402</v>
      </c>
      <c r="D2810" s="10" t="s">
        <v>18403</v>
      </c>
      <c r="E2810" s="10" t="s">
        <v>13207</v>
      </c>
      <c r="F2810" s="10" t="s">
        <v>3523</v>
      </c>
      <c r="G2810" s="10" t="s">
        <v>18404</v>
      </c>
      <c r="H2810" s="11" t="s">
        <v>31</v>
      </c>
      <c r="I2810" s="11">
        <v>1.0</v>
      </c>
      <c r="J2810" s="11">
        <v>1.0</v>
      </c>
      <c r="K2810" s="11" t="s">
        <v>31</v>
      </c>
      <c r="L2810" s="12" t="s">
        <v>13657</v>
      </c>
      <c r="M2810" s="10" t="s">
        <v>18405</v>
      </c>
      <c r="N2810" s="10" t="s">
        <v>13659</v>
      </c>
      <c r="O2810" s="12" t="s">
        <v>13660</v>
      </c>
      <c r="P2810" s="10" t="s">
        <v>13661</v>
      </c>
      <c r="Q2810" s="10" t="s">
        <v>31</v>
      </c>
      <c r="R2810" s="10" t="s">
        <v>31</v>
      </c>
      <c r="S2810" s="12" t="s">
        <v>13662</v>
      </c>
      <c r="T2810" s="10" t="s">
        <v>38</v>
      </c>
      <c r="U2810" s="12" t="s">
        <v>13663</v>
      </c>
      <c r="V2810" s="10" t="s">
        <v>3523</v>
      </c>
      <c r="W2810" s="10" t="s">
        <v>13207</v>
      </c>
      <c r="X2810" s="13" t="str">
        <f>HYPERLINK("https://my.pitchbook.com?p=435006-37P","View People Online")</f>
        <v>View People Online</v>
      </c>
    </row>
    <row r="2811">
      <c r="A2811" s="14" t="s">
        <v>18406</v>
      </c>
      <c r="B2811" s="14" t="s">
        <v>18407</v>
      </c>
      <c r="C2811" s="14" t="s">
        <v>18408</v>
      </c>
      <c r="D2811" s="14" t="s">
        <v>18409</v>
      </c>
      <c r="E2811" s="14" t="s">
        <v>13207</v>
      </c>
      <c r="F2811" s="14" t="s">
        <v>13307</v>
      </c>
      <c r="G2811" s="14" t="s">
        <v>18410</v>
      </c>
      <c r="H2811" s="15" t="s">
        <v>31</v>
      </c>
      <c r="I2811" s="15">
        <v>1.0</v>
      </c>
      <c r="J2811" s="15">
        <v>1.0</v>
      </c>
      <c r="K2811" s="15" t="s">
        <v>31</v>
      </c>
      <c r="L2811" s="16" t="s">
        <v>13714</v>
      </c>
      <c r="M2811" s="14" t="s">
        <v>18411</v>
      </c>
      <c r="N2811" s="14" t="s">
        <v>13716</v>
      </c>
      <c r="O2811" s="16" t="s">
        <v>13717</v>
      </c>
      <c r="P2811" s="14" t="s">
        <v>13718</v>
      </c>
      <c r="Q2811" s="14" t="s">
        <v>31</v>
      </c>
      <c r="R2811" s="14" t="s">
        <v>31</v>
      </c>
      <c r="S2811" s="16" t="s">
        <v>13719</v>
      </c>
      <c r="T2811" s="14" t="s">
        <v>38</v>
      </c>
      <c r="U2811" s="16" t="s">
        <v>13720</v>
      </c>
      <c r="V2811" s="14" t="s">
        <v>13317</v>
      </c>
      <c r="W2811" s="14" t="s">
        <v>13207</v>
      </c>
      <c r="X2811" s="17" t="str">
        <f>HYPERLINK("https://my.pitchbook.com?p=435212-56P","View People Online")</f>
        <v>View People Online</v>
      </c>
    </row>
    <row r="2812">
      <c r="A2812" s="2" t="s">
        <v>18412</v>
      </c>
      <c r="B2812" s="2" t="s">
        <v>18413</v>
      </c>
      <c r="C2812" s="2" t="s">
        <v>18414</v>
      </c>
      <c r="D2812" s="2" t="s">
        <v>18415</v>
      </c>
      <c r="E2812" s="2" t="s">
        <v>13207</v>
      </c>
      <c r="F2812" s="2" t="s">
        <v>18416</v>
      </c>
      <c r="G2812" s="2" t="s">
        <v>18417</v>
      </c>
      <c r="H2812" s="3">
        <v>1.0</v>
      </c>
      <c r="I2812" s="3">
        <v>2.0</v>
      </c>
      <c r="J2812" s="3">
        <v>1.0</v>
      </c>
      <c r="K2812" s="3" t="s">
        <v>31</v>
      </c>
      <c r="L2812" s="4" t="s">
        <v>13423</v>
      </c>
      <c r="M2812" s="2" t="s">
        <v>18418</v>
      </c>
      <c r="N2812" s="2" t="s">
        <v>243</v>
      </c>
      <c r="O2812" s="4" t="s">
        <v>244</v>
      </c>
      <c r="P2812" s="2" t="s">
        <v>13425</v>
      </c>
      <c r="Q2812" s="2" t="s">
        <v>31</v>
      </c>
      <c r="R2812" s="2" t="s">
        <v>247</v>
      </c>
      <c r="S2812" s="4" t="s">
        <v>13426</v>
      </c>
      <c r="T2812" s="2" t="s">
        <v>249</v>
      </c>
      <c r="U2812" s="4" t="s">
        <v>31</v>
      </c>
      <c r="V2812" s="2" t="s">
        <v>18419</v>
      </c>
      <c r="W2812" s="2" t="s">
        <v>13207</v>
      </c>
      <c r="X2812" s="5" t="str">
        <f>HYPERLINK("https://my.pitchbook.com?p=203994-73P","View People Online")</f>
        <v>View People Online</v>
      </c>
    </row>
    <row r="2813">
      <c r="A2813" s="6" t="s">
        <v>18420</v>
      </c>
      <c r="B2813" s="6" t="s">
        <v>18421</v>
      </c>
      <c r="C2813" s="6" t="s">
        <v>18414</v>
      </c>
      <c r="D2813" s="6" t="s">
        <v>18422</v>
      </c>
      <c r="E2813" s="6" t="s">
        <v>13207</v>
      </c>
      <c r="F2813" s="6" t="s">
        <v>3523</v>
      </c>
      <c r="G2813" s="6" t="s">
        <v>18423</v>
      </c>
      <c r="H2813" s="7" t="s">
        <v>31</v>
      </c>
      <c r="I2813" s="7">
        <v>1.0</v>
      </c>
      <c r="J2813" s="7">
        <v>1.0</v>
      </c>
      <c r="K2813" s="7" t="s">
        <v>31</v>
      </c>
      <c r="L2813" s="8" t="s">
        <v>13632</v>
      </c>
      <c r="M2813" s="6" t="s">
        <v>18424</v>
      </c>
      <c r="N2813" s="6" t="s">
        <v>7690</v>
      </c>
      <c r="O2813" s="8" t="s">
        <v>7691</v>
      </c>
      <c r="P2813" s="6" t="s">
        <v>13634</v>
      </c>
      <c r="Q2813" s="6" t="s">
        <v>13635</v>
      </c>
      <c r="R2813" s="6" t="s">
        <v>7693</v>
      </c>
      <c r="S2813" s="8" t="s">
        <v>13636</v>
      </c>
      <c r="T2813" s="6" t="s">
        <v>66</v>
      </c>
      <c r="U2813" s="8" t="s">
        <v>13637</v>
      </c>
      <c r="V2813" s="6" t="s">
        <v>18425</v>
      </c>
      <c r="W2813" s="6" t="s">
        <v>13207</v>
      </c>
      <c r="X2813" s="9" t="str">
        <f>HYPERLINK("https://my.pitchbook.com?p=436159-90P","View People Online")</f>
        <v>View People Online</v>
      </c>
    </row>
    <row r="2814">
      <c r="A2814" s="2" t="s">
        <v>18426</v>
      </c>
      <c r="B2814" s="2" t="s">
        <v>18427</v>
      </c>
      <c r="C2814" s="2" t="s">
        <v>18428</v>
      </c>
      <c r="D2814" s="2" t="s">
        <v>18429</v>
      </c>
      <c r="E2814" s="2" t="s">
        <v>13207</v>
      </c>
      <c r="F2814" s="2" t="s">
        <v>3523</v>
      </c>
      <c r="G2814" s="2" t="s">
        <v>18430</v>
      </c>
      <c r="H2814" s="3" t="s">
        <v>31</v>
      </c>
      <c r="I2814" s="3">
        <v>1.0</v>
      </c>
      <c r="J2814" s="3">
        <v>1.0</v>
      </c>
      <c r="K2814" s="3" t="s">
        <v>31</v>
      </c>
      <c r="L2814" s="4" t="s">
        <v>13724</v>
      </c>
      <c r="M2814" s="2" t="s">
        <v>18431</v>
      </c>
      <c r="N2814" s="2" t="s">
        <v>34</v>
      </c>
      <c r="O2814" s="4" t="s">
        <v>35</v>
      </c>
      <c r="P2814" s="2" t="s">
        <v>13726</v>
      </c>
      <c r="Q2814" s="2" t="s">
        <v>31</v>
      </c>
      <c r="R2814" s="2" t="s">
        <v>31</v>
      </c>
      <c r="S2814" s="4" t="s">
        <v>13727</v>
      </c>
      <c r="T2814" s="2" t="s">
        <v>38</v>
      </c>
      <c r="U2814" s="4" t="s">
        <v>13728</v>
      </c>
      <c r="V2814" s="2" t="s">
        <v>3523</v>
      </c>
      <c r="W2814" s="2" t="s">
        <v>13207</v>
      </c>
      <c r="X2814" s="5" t="str">
        <f>HYPERLINK("https://my.pitchbook.com?p=435424-06P","View People Online")</f>
        <v>View People Online</v>
      </c>
    </row>
    <row r="2815">
      <c r="A2815" s="6" t="s">
        <v>18432</v>
      </c>
      <c r="B2815" s="6" t="s">
        <v>18433</v>
      </c>
      <c r="C2815" s="6" t="s">
        <v>2197</v>
      </c>
      <c r="D2815" s="6" t="s">
        <v>4550</v>
      </c>
      <c r="E2815" s="6" t="s">
        <v>13207</v>
      </c>
      <c r="F2815" s="6" t="s">
        <v>318</v>
      </c>
      <c r="G2815" s="6" t="s">
        <v>18434</v>
      </c>
      <c r="H2815" s="7" t="s">
        <v>31</v>
      </c>
      <c r="I2815" s="7">
        <v>1.0</v>
      </c>
      <c r="J2815" s="7">
        <v>1.0</v>
      </c>
      <c r="K2815" s="7" t="s">
        <v>31</v>
      </c>
      <c r="L2815" s="8" t="s">
        <v>13496</v>
      </c>
      <c r="M2815" s="6" t="s">
        <v>18435</v>
      </c>
      <c r="N2815" s="6" t="s">
        <v>75</v>
      </c>
      <c r="O2815" s="8" t="s">
        <v>76</v>
      </c>
      <c r="P2815" s="6" t="s">
        <v>13498</v>
      </c>
      <c r="Q2815" s="6" t="s">
        <v>31</v>
      </c>
      <c r="R2815" s="6" t="s">
        <v>75</v>
      </c>
      <c r="S2815" s="8" t="s">
        <v>195</v>
      </c>
      <c r="T2815" s="6" t="s">
        <v>66</v>
      </c>
      <c r="U2815" s="8" t="s">
        <v>13499</v>
      </c>
      <c r="V2815" s="6" t="s">
        <v>318</v>
      </c>
      <c r="W2815" s="6" t="s">
        <v>13207</v>
      </c>
      <c r="X2815" s="9" t="str">
        <f>HYPERLINK("https://my.pitchbook.com?p=436226-59P","View People Online")</f>
        <v>View People Online</v>
      </c>
    </row>
    <row r="2816">
      <c r="A2816" s="10" t="s">
        <v>18436</v>
      </c>
      <c r="B2816" s="10" t="s">
        <v>18437</v>
      </c>
      <c r="C2816" s="10" t="s">
        <v>5092</v>
      </c>
      <c r="D2816" s="10" t="s">
        <v>18438</v>
      </c>
      <c r="E2816" s="10" t="s">
        <v>13207</v>
      </c>
      <c r="F2816" s="10" t="s">
        <v>3523</v>
      </c>
      <c r="G2816" s="10" t="s">
        <v>18439</v>
      </c>
      <c r="H2816" s="11" t="s">
        <v>31</v>
      </c>
      <c r="I2816" s="11">
        <v>1.0</v>
      </c>
      <c r="J2816" s="11">
        <v>1.0</v>
      </c>
      <c r="K2816" s="11" t="s">
        <v>31</v>
      </c>
      <c r="L2816" s="12" t="s">
        <v>15270</v>
      </c>
      <c r="M2816" s="10" t="s">
        <v>18440</v>
      </c>
      <c r="N2816" s="10" t="s">
        <v>15272</v>
      </c>
      <c r="O2816" s="12" t="s">
        <v>15273</v>
      </c>
      <c r="P2816" s="10" t="s">
        <v>15274</v>
      </c>
      <c r="Q2816" s="10" t="s">
        <v>1955</v>
      </c>
      <c r="R2816" s="10" t="s">
        <v>15275</v>
      </c>
      <c r="S2816" s="12" t="s">
        <v>15276</v>
      </c>
      <c r="T2816" s="10" t="s">
        <v>66</v>
      </c>
      <c r="U2816" s="12" t="s">
        <v>31</v>
      </c>
      <c r="V2816" s="10" t="s">
        <v>3523</v>
      </c>
      <c r="W2816" s="10" t="s">
        <v>13207</v>
      </c>
      <c r="X2816" s="13" t="str">
        <f>HYPERLINK("https://my.pitchbook.com?p=436201-66P","View People Online")</f>
        <v>View People Online</v>
      </c>
    </row>
    <row r="2817">
      <c r="A2817" s="14" t="s">
        <v>18441</v>
      </c>
      <c r="B2817" s="14" t="s">
        <v>18442</v>
      </c>
      <c r="C2817" s="14" t="s">
        <v>18443</v>
      </c>
      <c r="D2817" s="14" t="s">
        <v>18444</v>
      </c>
      <c r="E2817" s="14" t="s">
        <v>13207</v>
      </c>
      <c r="F2817" s="14" t="s">
        <v>3523</v>
      </c>
      <c r="G2817" s="14" t="s">
        <v>18445</v>
      </c>
      <c r="H2817" s="15" t="s">
        <v>31</v>
      </c>
      <c r="I2817" s="15">
        <v>1.0</v>
      </c>
      <c r="J2817" s="15">
        <v>1.0</v>
      </c>
      <c r="K2817" s="15" t="s">
        <v>31</v>
      </c>
      <c r="L2817" s="16" t="s">
        <v>13263</v>
      </c>
      <c r="M2817" s="14" t="s">
        <v>18446</v>
      </c>
      <c r="N2817" s="14" t="s">
        <v>1005</v>
      </c>
      <c r="O2817" s="16" t="s">
        <v>1006</v>
      </c>
      <c r="P2817" s="14" t="s">
        <v>13265</v>
      </c>
      <c r="Q2817" s="14" t="s">
        <v>13266</v>
      </c>
      <c r="R2817" s="14" t="s">
        <v>13267</v>
      </c>
      <c r="S2817" s="16" t="s">
        <v>13268</v>
      </c>
      <c r="T2817" s="14" t="s">
        <v>1010</v>
      </c>
      <c r="U2817" s="16" t="s">
        <v>13269</v>
      </c>
      <c r="V2817" s="14" t="s">
        <v>3523</v>
      </c>
      <c r="W2817" s="14" t="s">
        <v>13207</v>
      </c>
      <c r="X2817" s="17" t="str">
        <f>HYPERLINK("https://my.pitchbook.com?p=456873-04P","View People Online")</f>
        <v>View People Online</v>
      </c>
    </row>
    <row r="2818">
      <c r="A2818" s="2" t="s">
        <v>18447</v>
      </c>
      <c r="B2818" s="2" t="s">
        <v>18448</v>
      </c>
      <c r="C2818" s="2" t="s">
        <v>18449</v>
      </c>
      <c r="D2818" s="2" t="s">
        <v>18450</v>
      </c>
      <c r="E2818" s="2" t="s">
        <v>13207</v>
      </c>
      <c r="F2818" s="2" t="s">
        <v>3523</v>
      </c>
      <c r="G2818" s="2" t="s">
        <v>18451</v>
      </c>
      <c r="H2818" s="3" t="s">
        <v>31</v>
      </c>
      <c r="I2818" s="3">
        <v>1.0</v>
      </c>
      <c r="J2818" s="3">
        <v>1.0</v>
      </c>
      <c r="K2818" s="3" t="s">
        <v>31</v>
      </c>
      <c r="L2818" s="4" t="s">
        <v>13299</v>
      </c>
      <c r="M2818" s="2" t="s">
        <v>18452</v>
      </c>
      <c r="N2818" s="2" t="s">
        <v>601</v>
      </c>
      <c r="O2818" s="4" t="s">
        <v>602</v>
      </c>
      <c r="P2818" s="2" t="s">
        <v>13301</v>
      </c>
      <c r="Q2818" s="2" t="s">
        <v>13302</v>
      </c>
      <c r="R2818" s="2" t="s">
        <v>31</v>
      </c>
      <c r="S2818" s="4" t="s">
        <v>31</v>
      </c>
      <c r="T2818" s="2" t="s">
        <v>603</v>
      </c>
      <c r="U2818" s="4" t="s">
        <v>13303</v>
      </c>
      <c r="V2818" s="2" t="s">
        <v>3523</v>
      </c>
      <c r="W2818" s="2" t="s">
        <v>13207</v>
      </c>
      <c r="X2818" s="5" t="str">
        <f>HYPERLINK("https://my.pitchbook.com?p=435196-18P","View People Online")</f>
        <v>View People Online</v>
      </c>
    </row>
    <row r="2819">
      <c r="A2819" s="6" t="s">
        <v>18453</v>
      </c>
      <c r="B2819" s="6" t="s">
        <v>18454</v>
      </c>
      <c r="C2819" s="6" t="s">
        <v>18455</v>
      </c>
      <c r="D2819" s="6" t="s">
        <v>18456</v>
      </c>
      <c r="E2819" s="6" t="s">
        <v>13207</v>
      </c>
      <c r="F2819" s="6" t="s">
        <v>3523</v>
      </c>
      <c r="G2819" s="6" t="s">
        <v>18457</v>
      </c>
      <c r="H2819" s="7" t="s">
        <v>31</v>
      </c>
      <c r="I2819" s="7">
        <v>1.0</v>
      </c>
      <c r="J2819" s="7">
        <v>1.0</v>
      </c>
      <c r="K2819" s="7" t="s">
        <v>31</v>
      </c>
      <c r="L2819" s="8" t="s">
        <v>13496</v>
      </c>
      <c r="M2819" s="6" t="s">
        <v>18458</v>
      </c>
      <c r="N2819" s="6" t="s">
        <v>75</v>
      </c>
      <c r="O2819" s="8" t="s">
        <v>76</v>
      </c>
      <c r="P2819" s="6" t="s">
        <v>13498</v>
      </c>
      <c r="Q2819" s="6" t="s">
        <v>31</v>
      </c>
      <c r="R2819" s="6" t="s">
        <v>75</v>
      </c>
      <c r="S2819" s="8" t="s">
        <v>195</v>
      </c>
      <c r="T2819" s="6" t="s">
        <v>66</v>
      </c>
      <c r="U2819" s="8" t="s">
        <v>13499</v>
      </c>
      <c r="V2819" s="6" t="s">
        <v>3523</v>
      </c>
      <c r="W2819" s="6" t="s">
        <v>13207</v>
      </c>
      <c r="X2819" s="9" t="str">
        <f>HYPERLINK("https://my.pitchbook.com?p=435156-40P","View People Online")</f>
        <v>View People Online</v>
      </c>
    </row>
    <row r="2820">
      <c r="A2820" s="10" t="s">
        <v>18459</v>
      </c>
      <c r="B2820" s="10" t="s">
        <v>18460</v>
      </c>
      <c r="C2820" s="10" t="s">
        <v>18461</v>
      </c>
      <c r="D2820" s="10" t="s">
        <v>18462</v>
      </c>
      <c r="E2820" s="10" t="s">
        <v>13207</v>
      </c>
      <c r="F2820" s="10" t="s">
        <v>3523</v>
      </c>
      <c r="G2820" s="10" t="s">
        <v>18463</v>
      </c>
      <c r="H2820" s="11" t="s">
        <v>31</v>
      </c>
      <c r="I2820" s="11">
        <v>1.0</v>
      </c>
      <c r="J2820" s="11">
        <v>1.0</v>
      </c>
      <c r="K2820" s="11" t="s">
        <v>31</v>
      </c>
      <c r="L2820" s="12" t="s">
        <v>13263</v>
      </c>
      <c r="M2820" s="10" t="s">
        <v>18464</v>
      </c>
      <c r="N2820" s="10" t="s">
        <v>1005</v>
      </c>
      <c r="O2820" s="12" t="s">
        <v>1006</v>
      </c>
      <c r="P2820" s="10" t="s">
        <v>13265</v>
      </c>
      <c r="Q2820" s="10" t="s">
        <v>13266</v>
      </c>
      <c r="R2820" s="10" t="s">
        <v>13267</v>
      </c>
      <c r="S2820" s="12" t="s">
        <v>13268</v>
      </c>
      <c r="T2820" s="10" t="s">
        <v>1010</v>
      </c>
      <c r="U2820" s="12" t="s">
        <v>13269</v>
      </c>
      <c r="V2820" s="10" t="s">
        <v>3523</v>
      </c>
      <c r="W2820" s="10" t="s">
        <v>13207</v>
      </c>
      <c r="X2820" s="13" t="str">
        <f>HYPERLINK("https://my.pitchbook.com?p=436123-45P","View People Online")</f>
        <v>View People Online</v>
      </c>
    </row>
    <row r="2821">
      <c r="A2821" s="14" t="s">
        <v>18465</v>
      </c>
      <c r="B2821" s="14" t="s">
        <v>18466</v>
      </c>
      <c r="C2821" s="14" t="s">
        <v>18467</v>
      </c>
      <c r="D2821" s="14" t="s">
        <v>18468</v>
      </c>
      <c r="E2821" s="14" t="s">
        <v>13207</v>
      </c>
      <c r="F2821" s="14" t="s">
        <v>3523</v>
      </c>
      <c r="G2821" s="14" t="s">
        <v>18469</v>
      </c>
      <c r="H2821" s="15" t="s">
        <v>31</v>
      </c>
      <c r="I2821" s="15">
        <v>1.0</v>
      </c>
      <c r="J2821" s="15">
        <v>1.0</v>
      </c>
      <c r="K2821" s="15" t="s">
        <v>31</v>
      </c>
      <c r="L2821" s="16" t="s">
        <v>13263</v>
      </c>
      <c r="M2821" s="14" t="s">
        <v>18470</v>
      </c>
      <c r="N2821" s="14" t="s">
        <v>1005</v>
      </c>
      <c r="O2821" s="16" t="s">
        <v>1006</v>
      </c>
      <c r="P2821" s="14" t="s">
        <v>13265</v>
      </c>
      <c r="Q2821" s="14" t="s">
        <v>13266</v>
      </c>
      <c r="R2821" s="14" t="s">
        <v>13267</v>
      </c>
      <c r="S2821" s="16" t="s">
        <v>13268</v>
      </c>
      <c r="T2821" s="14" t="s">
        <v>1010</v>
      </c>
      <c r="U2821" s="16" t="s">
        <v>13269</v>
      </c>
      <c r="V2821" s="14" t="s">
        <v>3523</v>
      </c>
      <c r="W2821" s="14" t="s">
        <v>13207</v>
      </c>
      <c r="X2821" s="17" t="str">
        <f>HYPERLINK("https://my.pitchbook.com?p=435832-39P","View People Online")</f>
        <v>View People Online</v>
      </c>
    </row>
    <row r="2822">
      <c r="A2822" s="10" t="s">
        <v>18471</v>
      </c>
      <c r="B2822" s="10" t="s">
        <v>18472</v>
      </c>
      <c r="C2822" s="10" t="s">
        <v>18473</v>
      </c>
      <c r="D2822" s="10" t="s">
        <v>18474</v>
      </c>
      <c r="E2822" s="10" t="s">
        <v>13207</v>
      </c>
      <c r="F2822" s="10" t="s">
        <v>13218</v>
      </c>
      <c r="G2822" s="10" t="s">
        <v>18475</v>
      </c>
      <c r="H2822" s="11" t="s">
        <v>31</v>
      </c>
      <c r="I2822" s="11">
        <v>1.0</v>
      </c>
      <c r="J2822" s="11">
        <v>1.0</v>
      </c>
      <c r="K2822" s="11" t="s">
        <v>31</v>
      </c>
      <c r="L2822" s="12" t="s">
        <v>13263</v>
      </c>
      <c r="M2822" s="10" t="s">
        <v>18476</v>
      </c>
      <c r="N2822" s="10" t="s">
        <v>1005</v>
      </c>
      <c r="O2822" s="12" t="s">
        <v>1006</v>
      </c>
      <c r="P2822" s="10" t="s">
        <v>13265</v>
      </c>
      <c r="Q2822" s="10" t="s">
        <v>13266</v>
      </c>
      <c r="R2822" s="10" t="s">
        <v>13267</v>
      </c>
      <c r="S2822" s="12" t="s">
        <v>13268</v>
      </c>
      <c r="T2822" s="10" t="s">
        <v>1010</v>
      </c>
      <c r="U2822" s="12" t="s">
        <v>13269</v>
      </c>
      <c r="V2822" s="10" t="s">
        <v>13218</v>
      </c>
      <c r="W2822" s="10" t="s">
        <v>13207</v>
      </c>
      <c r="X2822" s="13" t="str">
        <f>HYPERLINK("https://my.pitchbook.com?p=436131-28P","View People Online")</f>
        <v>View People Online</v>
      </c>
    </row>
    <row r="2823">
      <c r="A2823" s="14" t="s">
        <v>18477</v>
      </c>
      <c r="B2823" s="14" t="s">
        <v>18478</v>
      </c>
      <c r="C2823" s="14" t="s">
        <v>18479</v>
      </c>
      <c r="D2823" s="14" t="s">
        <v>18480</v>
      </c>
      <c r="E2823" s="14" t="s">
        <v>13207</v>
      </c>
      <c r="F2823" s="14" t="s">
        <v>3523</v>
      </c>
      <c r="G2823" s="14" t="s">
        <v>18481</v>
      </c>
      <c r="H2823" s="15" t="s">
        <v>31</v>
      </c>
      <c r="I2823" s="15">
        <v>1.0</v>
      </c>
      <c r="J2823" s="15">
        <v>1.0</v>
      </c>
      <c r="K2823" s="15" t="s">
        <v>31</v>
      </c>
      <c r="L2823" s="16" t="s">
        <v>13263</v>
      </c>
      <c r="M2823" s="14" t="s">
        <v>18482</v>
      </c>
      <c r="N2823" s="14" t="s">
        <v>1005</v>
      </c>
      <c r="O2823" s="16" t="s">
        <v>1006</v>
      </c>
      <c r="P2823" s="14" t="s">
        <v>13265</v>
      </c>
      <c r="Q2823" s="14" t="s">
        <v>13266</v>
      </c>
      <c r="R2823" s="14" t="s">
        <v>13267</v>
      </c>
      <c r="S2823" s="16" t="s">
        <v>13268</v>
      </c>
      <c r="T2823" s="14" t="s">
        <v>1010</v>
      </c>
      <c r="U2823" s="16" t="s">
        <v>13269</v>
      </c>
      <c r="V2823" s="14" t="s">
        <v>3523</v>
      </c>
      <c r="W2823" s="14" t="s">
        <v>13207</v>
      </c>
      <c r="X2823" s="17" t="str">
        <f>HYPERLINK("https://my.pitchbook.com?p=258656-23P","View People Online")</f>
        <v>View People Online</v>
      </c>
    </row>
    <row r="2824">
      <c r="A2824" s="2" t="s">
        <v>18483</v>
      </c>
      <c r="B2824" s="2" t="s">
        <v>18484</v>
      </c>
      <c r="C2824" s="2" t="s">
        <v>18485</v>
      </c>
      <c r="D2824" s="2" t="s">
        <v>18486</v>
      </c>
      <c r="E2824" s="2" t="s">
        <v>13207</v>
      </c>
      <c r="F2824" s="2" t="s">
        <v>3523</v>
      </c>
      <c r="G2824" s="2" t="s">
        <v>18487</v>
      </c>
      <c r="H2824" s="3" t="s">
        <v>31</v>
      </c>
      <c r="I2824" s="3">
        <v>1.0</v>
      </c>
      <c r="J2824" s="3">
        <v>1.0</v>
      </c>
      <c r="K2824" s="3" t="s">
        <v>31</v>
      </c>
      <c r="L2824" s="4" t="s">
        <v>13263</v>
      </c>
      <c r="M2824" s="2" t="s">
        <v>18488</v>
      </c>
      <c r="N2824" s="2" t="s">
        <v>1005</v>
      </c>
      <c r="O2824" s="4" t="s">
        <v>1006</v>
      </c>
      <c r="P2824" s="2" t="s">
        <v>13265</v>
      </c>
      <c r="Q2824" s="2" t="s">
        <v>13266</v>
      </c>
      <c r="R2824" s="2" t="s">
        <v>13267</v>
      </c>
      <c r="S2824" s="4" t="s">
        <v>13268</v>
      </c>
      <c r="T2824" s="2" t="s">
        <v>1010</v>
      </c>
      <c r="U2824" s="4" t="s">
        <v>13269</v>
      </c>
      <c r="V2824" s="2" t="s">
        <v>3523</v>
      </c>
      <c r="W2824" s="2" t="s">
        <v>13207</v>
      </c>
      <c r="X2824" s="5" t="str">
        <f>HYPERLINK("https://my.pitchbook.com?p=456470-47P","View People Online")</f>
        <v>View People Online</v>
      </c>
    </row>
    <row r="2825">
      <c r="A2825" s="14" t="s">
        <v>18489</v>
      </c>
      <c r="B2825" s="14" t="s">
        <v>18490</v>
      </c>
      <c r="C2825" s="14" t="s">
        <v>18491</v>
      </c>
      <c r="D2825" s="14" t="s">
        <v>18492</v>
      </c>
      <c r="E2825" s="14" t="s">
        <v>13207</v>
      </c>
      <c r="F2825" s="14" t="s">
        <v>29</v>
      </c>
      <c r="G2825" s="14" t="s">
        <v>18493</v>
      </c>
      <c r="H2825" s="15" t="s">
        <v>31</v>
      </c>
      <c r="I2825" s="15">
        <v>1.0</v>
      </c>
      <c r="J2825" s="15">
        <v>1.0</v>
      </c>
      <c r="K2825" s="15" t="s">
        <v>31</v>
      </c>
      <c r="L2825" s="16" t="s">
        <v>13263</v>
      </c>
      <c r="M2825" s="14" t="s">
        <v>18494</v>
      </c>
      <c r="N2825" s="14" t="s">
        <v>1005</v>
      </c>
      <c r="O2825" s="16" t="s">
        <v>1006</v>
      </c>
      <c r="P2825" s="14" t="s">
        <v>13265</v>
      </c>
      <c r="Q2825" s="14" t="s">
        <v>13266</v>
      </c>
      <c r="R2825" s="14" t="s">
        <v>13267</v>
      </c>
      <c r="S2825" s="16" t="s">
        <v>13268</v>
      </c>
      <c r="T2825" s="14" t="s">
        <v>1010</v>
      </c>
      <c r="U2825" s="16" t="s">
        <v>13269</v>
      </c>
      <c r="V2825" s="14" t="s">
        <v>29</v>
      </c>
      <c r="W2825" s="14" t="s">
        <v>13207</v>
      </c>
      <c r="X2825" s="17" t="str">
        <f>HYPERLINK("https://my.pitchbook.com?p=455202-46P","View People Online")</f>
        <v>View People Online</v>
      </c>
    </row>
    <row r="2826">
      <c r="A2826" s="2" t="s">
        <v>18495</v>
      </c>
      <c r="B2826" s="2" t="s">
        <v>18496</v>
      </c>
      <c r="C2826" s="2" t="s">
        <v>18497</v>
      </c>
      <c r="D2826" s="2" t="s">
        <v>18498</v>
      </c>
      <c r="E2826" s="2" t="s">
        <v>13207</v>
      </c>
      <c r="F2826" s="2" t="s">
        <v>3523</v>
      </c>
      <c r="G2826" s="2" t="s">
        <v>18499</v>
      </c>
      <c r="H2826" s="3" t="s">
        <v>31</v>
      </c>
      <c r="I2826" s="3">
        <v>1.0</v>
      </c>
      <c r="J2826" s="3">
        <v>1.0</v>
      </c>
      <c r="K2826" s="3" t="s">
        <v>31</v>
      </c>
      <c r="L2826" s="4" t="s">
        <v>13263</v>
      </c>
      <c r="M2826" s="2" t="s">
        <v>18500</v>
      </c>
      <c r="N2826" s="2" t="s">
        <v>1005</v>
      </c>
      <c r="O2826" s="4" t="s">
        <v>1006</v>
      </c>
      <c r="P2826" s="2" t="s">
        <v>13265</v>
      </c>
      <c r="Q2826" s="2" t="s">
        <v>13266</v>
      </c>
      <c r="R2826" s="2" t="s">
        <v>13267</v>
      </c>
      <c r="S2826" s="4" t="s">
        <v>13268</v>
      </c>
      <c r="T2826" s="2" t="s">
        <v>1010</v>
      </c>
      <c r="U2826" s="4" t="s">
        <v>13269</v>
      </c>
      <c r="V2826" s="2" t="s">
        <v>3523</v>
      </c>
      <c r="W2826" s="2" t="s">
        <v>13207</v>
      </c>
      <c r="X2826" s="5" t="str">
        <f>HYPERLINK("https://my.pitchbook.com?p=435128-77P","View People Online")</f>
        <v>View People Online</v>
      </c>
    </row>
    <row r="2827">
      <c r="A2827" s="14" t="s">
        <v>18501</v>
      </c>
      <c r="B2827" s="14" t="s">
        <v>18502</v>
      </c>
      <c r="C2827" s="14" t="s">
        <v>18503</v>
      </c>
      <c r="D2827" s="14" t="s">
        <v>18504</v>
      </c>
      <c r="E2827" s="14" t="s">
        <v>13207</v>
      </c>
      <c r="F2827" s="14" t="s">
        <v>29</v>
      </c>
      <c r="G2827" s="14" t="s">
        <v>18505</v>
      </c>
      <c r="H2827" s="15" t="s">
        <v>31</v>
      </c>
      <c r="I2827" s="15">
        <v>1.0</v>
      </c>
      <c r="J2827" s="15">
        <v>1.0</v>
      </c>
      <c r="K2827" s="15" t="s">
        <v>31</v>
      </c>
      <c r="L2827" s="16" t="s">
        <v>13263</v>
      </c>
      <c r="M2827" s="14" t="s">
        <v>18506</v>
      </c>
      <c r="N2827" s="14" t="s">
        <v>1005</v>
      </c>
      <c r="O2827" s="16" t="s">
        <v>1006</v>
      </c>
      <c r="P2827" s="14" t="s">
        <v>13265</v>
      </c>
      <c r="Q2827" s="14" t="s">
        <v>13266</v>
      </c>
      <c r="R2827" s="14" t="s">
        <v>13267</v>
      </c>
      <c r="S2827" s="16" t="s">
        <v>13268</v>
      </c>
      <c r="T2827" s="14" t="s">
        <v>1010</v>
      </c>
      <c r="U2827" s="16" t="s">
        <v>13269</v>
      </c>
      <c r="V2827" s="14" t="s">
        <v>29</v>
      </c>
      <c r="W2827" s="14" t="s">
        <v>13207</v>
      </c>
      <c r="X2827" s="17" t="str">
        <f>HYPERLINK("https://my.pitchbook.com?p=455973-40P","View People Online")</f>
        <v>View People Online</v>
      </c>
    </row>
    <row r="2828">
      <c r="A2828" s="10" t="s">
        <v>18507</v>
      </c>
      <c r="B2828" s="10" t="s">
        <v>18508</v>
      </c>
      <c r="C2828" s="10" t="s">
        <v>3089</v>
      </c>
      <c r="D2828" s="10" t="s">
        <v>18509</v>
      </c>
      <c r="E2828" s="10" t="s">
        <v>13207</v>
      </c>
      <c r="F2828" s="10" t="s">
        <v>3523</v>
      </c>
      <c r="G2828" s="10" t="s">
        <v>18510</v>
      </c>
      <c r="H2828" s="11" t="s">
        <v>31</v>
      </c>
      <c r="I2828" s="11">
        <v>1.0</v>
      </c>
      <c r="J2828" s="11">
        <v>1.0</v>
      </c>
      <c r="K2828" s="11" t="s">
        <v>31</v>
      </c>
      <c r="L2828" s="12" t="s">
        <v>18511</v>
      </c>
      <c r="M2828" s="10" t="s">
        <v>18512</v>
      </c>
      <c r="N2828" s="10" t="s">
        <v>14203</v>
      </c>
      <c r="O2828" s="12" t="s">
        <v>14204</v>
      </c>
      <c r="P2828" s="10" t="s">
        <v>14205</v>
      </c>
      <c r="Q2828" s="10" t="s">
        <v>14206</v>
      </c>
      <c r="R2828" s="10" t="s">
        <v>1420</v>
      </c>
      <c r="S2828" s="12" t="s">
        <v>14207</v>
      </c>
      <c r="T2828" s="10" t="s">
        <v>66</v>
      </c>
      <c r="U2828" s="12" t="s">
        <v>14208</v>
      </c>
      <c r="V2828" s="10" t="s">
        <v>5365</v>
      </c>
      <c r="W2828" s="10" t="s">
        <v>18513</v>
      </c>
      <c r="X2828" s="13" t="str">
        <f>HYPERLINK("https://my.pitchbook.com?p=133553-98P","View People Online")</f>
        <v>View People Online</v>
      </c>
    </row>
    <row r="2829">
      <c r="A2829" s="14" t="s">
        <v>18514</v>
      </c>
      <c r="B2829" s="14" t="s">
        <v>18515</v>
      </c>
      <c r="C2829" s="14" t="s">
        <v>5985</v>
      </c>
      <c r="D2829" s="14" t="s">
        <v>18516</v>
      </c>
      <c r="E2829" s="14" t="s">
        <v>13207</v>
      </c>
      <c r="F2829" s="14" t="s">
        <v>3523</v>
      </c>
      <c r="G2829" s="14" t="s">
        <v>18517</v>
      </c>
      <c r="H2829" s="15" t="s">
        <v>31</v>
      </c>
      <c r="I2829" s="15">
        <v>1.0</v>
      </c>
      <c r="J2829" s="15">
        <v>1.0</v>
      </c>
      <c r="K2829" s="15" t="s">
        <v>31</v>
      </c>
      <c r="L2829" s="16" t="s">
        <v>18518</v>
      </c>
      <c r="M2829" s="14" t="s">
        <v>18519</v>
      </c>
      <c r="N2829" s="14" t="s">
        <v>18520</v>
      </c>
      <c r="O2829" s="16" t="s">
        <v>18521</v>
      </c>
      <c r="P2829" s="14" t="s">
        <v>18522</v>
      </c>
      <c r="Q2829" s="14" t="s">
        <v>18523</v>
      </c>
      <c r="R2829" s="14" t="s">
        <v>31</v>
      </c>
      <c r="S2829" s="16" t="s">
        <v>31</v>
      </c>
      <c r="T2829" s="14" t="s">
        <v>18524</v>
      </c>
      <c r="U2829" s="16" t="s">
        <v>18525</v>
      </c>
      <c r="V2829" s="14" t="s">
        <v>3523</v>
      </c>
      <c r="W2829" s="14" t="s">
        <v>13207</v>
      </c>
      <c r="X2829" s="17" t="str">
        <f>HYPERLINK("https://my.pitchbook.com?p=456685-66P","View People Online")</f>
        <v>View People Online</v>
      </c>
    </row>
    <row r="2830">
      <c r="A2830" s="10" t="s">
        <v>18526</v>
      </c>
      <c r="B2830" s="10" t="s">
        <v>18527</v>
      </c>
      <c r="C2830" s="10" t="s">
        <v>18528</v>
      </c>
      <c r="D2830" s="10" t="s">
        <v>15398</v>
      </c>
      <c r="E2830" s="10" t="s">
        <v>13207</v>
      </c>
      <c r="F2830" s="10" t="s">
        <v>3523</v>
      </c>
      <c r="G2830" s="10" t="s">
        <v>18529</v>
      </c>
      <c r="H2830" s="11" t="s">
        <v>31</v>
      </c>
      <c r="I2830" s="11">
        <v>1.0</v>
      </c>
      <c r="J2830" s="11">
        <v>1.0</v>
      </c>
      <c r="K2830" s="11" t="s">
        <v>31</v>
      </c>
      <c r="L2830" s="12" t="s">
        <v>14201</v>
      </c>
      <c r="M2830" s="10" t="s">
        <v>18530</v>
      </c>
      <c r="N2830" s="10" t="s">
        <v>14203</v>
      </c>
      <c r="O2830" s="12" t="s">
        <v>14204</v>
      </c>
      <c r="P2830" s="10" t="s">
        <v>14205</v>
      </c>
      <c r="Q2830" s="10" t="s">
        <v>14206</v>
      </c>
      <c r="R2830" s="10" t="s">
        <v>1420</v>
      </c>
      <c r="S2830" s="12" t="s">
        <v>14207</v>
      </c>
      <c r="T2830" s="10" t="s">
        <v>66</v>
      </c>
      <c r="U2830" s="12" t="s">
        <v>14208</v>
      </c>
      <c r="V2830" s="10" t="s">
        <v>3523</v>
      </c>
      <c r="W2830" s="10" t="s">
        <v>13207</v>
      </c>
      <c r="X2830" s="13" t="str">
        <f>HYPERLINK("https://my.pitchbook.com?p=435627-01P","View People Online")</f>
        <v>View People Online</v>
      </c>
    </row>
    <row r="2831">
      <c r="A2831" s="14" t="s">
        <v>18531</v>
      </c>
      <c r="B2831" s="14" t="s">
        <v>18532</v>
      </c>
      <c r="C2831" s="14" t="s">
        <v>7538</v>
      </c>
      <c r="D2831" s="14" t="s">
        <v>18533</v>
      </c>
      <c r="E2831" s="14" t="s">
        <v>13207</v>
      </c>
      <c r="F2831" s="14" t="s">
        <v>3523</v>
      </c>
      <c r="G2831" s="14" t="s">
        <v>18534</v>
      </c>
      <c r="H2831" s="15" t="s">
        <v>31</v>
      </c>
      <c r="I2831" s="15">
        <v>1.0</v>
      </c>
      <c r="J2831" s="15">
        <v>1.0</v>
      </c>
      <c r="K2831" s="15" t="s">
        <v>31</v>
      </c>
      <c r="L2831" s="16" t="s">
        <v>13263</v>
      </c>
      <c r="M2831" s="14" t="s">
        <v>18535</v>
      </c>
      <c r="N2831" s="14" t="s">
        <v>1005</v>
      </c>
      <c r="O2831" s="16" t="s">
        <v>1006</v>
      </c>
      <c r="P2831" s="14" t="s">
        <v>13265</v>
      </c>
      <c r="Q2831" s="14" t="s">
        <v>13266</v>
      </c>
      <c r="R2831" s="14" t="s">
        <v>13267</v>
      </c>
      <c r="S2831" s="16" t="s">
        <v>13268</v>
      </c>
      <c r="T2831" s="14" t="s">
        <v>1010</v>
      </c>
      <c r="U2831" s="16" t="s">
        <v>13269</v>
      </c>
      <c r="V2831" s="14" t="s">
        <v>3523</v>
      </c>
      <c r="W2831" s="14" t="s">
        <v>13207</v>
      </c>
      <c r="X2831" s="17" t="str">
        <f>HYPERLINK("https://my.pitchbook.com?p=435191-59P","View People Online")</f>
        <v>View People Online</v>
      </c>
    </row>
    <row r="2832">
      <c r="A2832" s="2" t="s">
        <v>18536</v>
      </c>
      <c r="B2832" s="2" t="s">
        <v>18537</v>
      </c>
      <c r="C2832" s="2" t="s">
        <v>1299</v>
      </c>
      <c r="D2832" s="2" t="s">
        <v>18538</v>
      </c>
      <c r="E2832" s="2" t="s">
        <v>13207</v>
      </c>
      <c r="F2832" s="2" t="s">
        <v>3523</v>
      </c>
      <c r="G2832" s="2" t="s">
        <v>18539</v>
      </c>
      <c r="H2832" s="3" t="s">
        <v>31</v>
      </c>
      <c r="I2832" s="3">
        <v>1.0</v>
      </c>
      <c r="J2832" s="3">
        <v>1.0</v>
      </c>
      <c r="K2832" s="3" t="s">
        <v>31</v>
      </c>
      <c r="L2832" s="4" t="s">
        <v>13263</v>
      </c>
      <c r="M2832" s="2" t="s">
        <v>18540</v>
      </c>
      <c r="N2832" s="2" t="s">
        <v>1005</v>
      </c>
      <c r="O2832" s="4" t="s">
        <v>1006</v>
      </c>
      <c r="P2832" s="2" t="s">
        <v>13265</v>
      </c>
      <c r="Q2832" s="2" t="s">
        <v>13266</v>
      </c>
      <c r="R2832" s="2" t="s">
        <v>13267</v>
      </c>
      <c r="S2832" s="4" t="s">
        <v>13268</v>
      </c>
      <c r="T2832" s="2" t="s">
        <v>1010</v>
      </c>
      <c r="U2832" s="4" t="s">
        <v>13269</v>
      </c>
      <c r="V2832" s="2" t="s">
        <v>3523</v>
      </c>
      <c r="W2832" s="2" t="s">
        <v>13207</v>
      </c>
      <c r="X2832" s="5" t="str">
        <f>HYPERLINK("https://my.pitchbook.com?p=455330-62P","View People Online")</f>
        <v>View People Online</v>
      </c>
    </row>
    <row r="2833">
      <c r="A2833" s="6" t="s">
        <v>18541</v>
      </c>
      <c r="B2833" s="6" t="s">
        <v>18542</v>
      </c>
      <c r="C2833" s="6" t="s">
        <v>1299</v>
      </c>
      <c r="D2833" s="6" t="s">
        <v>18289</v>
      </c>
      <c r="E2833" s="6" t="s">
        <v>13207</v>
      </c>
      <c r="F2833" s="6" t="s">
        <v>3523</v>
      </c>
      <c r="G2833" s="6" t="s">
        <v>18543</v>
      </c>
      <c r="H2833" s="7" t="s">
        <v>31</v>
      </c>
      <c r="I2833" s="7">
        <v>1.0</v>
      </c>
      <c r="J2833" s="7">
        <v>1.0</v>
      </c>
      <c r="K2833" s="7" t="s">
        <v>31</v>
      </c>
      <c r="L2833" s="8" t="s">
        <v>13263</v>
      </c>
      <c r="M2833" s="6" t="s">
        <v>18544</v>
      </c>
      <c r="N2833" s="6" t="s">
        <v>1005</v>
      </c>
      <c r="O2833" s="8" t="s">
        <v>1006</v>
      </c>
      <c r="P2833" s="6" t="s">
        <v>13265</v>
      </c>
      <c r="Q2833" s="6" t="s">
        <v>13266</v>
      </c>
      <c r="R2833" s="6" t="s">
        <v>13267</v>
      </c>
      <c r="S2833" s="8" t="s">
        <v>13268</v>
      </c>
      <c r="T2833" s="6" t="s">
        <v>1010</v>
      </c>
      <c r="U2833" s="8" t="s">
        <v>13269</v>
      </c>
      <c r="V2833" s="6" t="s">
        <v>3523</v>
      </c>
      <c r="W2833" s="6" t="s">
        <v>13207</v>
      </c>
      <c r="X2833" s="9" t="str">
        <f>HYPERLINK("https://my.pitchbook.com?p=456250-06P","View People Online")</f>
        <v>View People Online</v>
      </c>
    </row>
    <row r="2834">
      <c r="A2834" s="10" t="s">
        <v>18545</v>
      </c>
      <c r="B2834" s="10" t="s">
        <v>18546</v>
      </c>
      <c r="C2834" s="10" t="s">
        <v>18547</v>
      </c>
      <c r="D2834" s="10" t="s">
        <v>18548</v>
      </c>
      <c r="E2834" s="10" t="s">
        <v>13207</v>
      </c>
      <c r="F2834" s="10" t="s">
        <v>13218</v>
      </c>
      <c r="G2834" s="10" t="s">
        <v>18549</v>
      </c>
      <c r="H2834" s="11" t="s">
        <v>31</v>
      </c>
      <c r="I2834" s="11">
        <v>1.0</v>
      </c>
      <c r="J2834" s="11">
        <v>1.0</v>
      </c>
      <c r="K2834" s="11" t="s">
        <v>31</v>
      </c>
      <c r="L2834" s="12" t="s">
        <v>13505</v>
      </c>
      <c r="M2834" s="10" t="s">
        <v>18550</v>
      </c>
      <c r="N2834" s="10" t="s">
        <v>1416</v>
      </c>
      <c r="O2834" s="12" t="s">
        <v>1417</v>
      </c>
      <c r="P2834" s="10" t="s">
        <v>13507</v>
      </c>
      <c r="Q2834" s="10" t="s">
        <v>1457</v>
      </c>
      <c r="R2834" s="10" t="s">
        <v>1420</v>
      </c>
      <c r="S2834" s="12" t="s">
        <v>13508</v>
      </c>
      <c r="T2834" s="10" t="s">
        <v>66</v>
      </c>
      <c r="U2834" s="12" t="s">
        <v>13509</v>
      </c>
      <c r="V2834" s="10" t="s">
        <v>13218</v>
      </c>
      <c r="W2834" s="10" t="s">
        <v>13207</v>
      </c>
      <c r="X2834" s="13" t="str">
        <f>HYPERLINK("https://my.pitchbook.com?p=181142-02P","View People Online")</f>
        <v>View People Online</v>
      </c>
    </row>
    <row r="2835">
      <c r="A2835" s="14" t="s">
        <v>18551</v>
      </c>
      <c r="B2835" s="14" t="s">
        <v>18552</v>
      </c>
      <c r="C2835" s="14" t="s">
        <v>18553</v>
      </c>
      <c r="D2835" s="14" t="s">
        <v>18554</v>
      </c>
      <c r="E2835" s="14" t="s">
        <v>13207</v>
      </c>
      <c r="F2835" s="14" t="s">
        <v>3523</v>
      </c>
      <c r="G2835" s="14" t="s">
        <v>18555</v>
      </c>
      <c r="H2835" s="15" t="s">
        <v>31</v>
      </c>
      <c r="I2835" s="15">
        <v>1.0</v>
      </c>
      <c r="J2835" s="15">
        <v>1.0</v>
      </c>
      <c r="K2835" s="15" t="s">
        <v>31</v>
      </c>
      <c r="L2835" s="16" t="s">
        <v>13263</v>
      </c>
      <c r="M2835" s="14" t="s">
        <v>18556</v>
      </c>
      <c r="N2835" s="14" t="s">
        <v>1005</v>
      </c>
      <c r="O2835" s="16" t="s">
        <v>1006</v>
      </c>
      <c r="P2835" s="14" t="s">
        <v>13265</v>
      </c>
      <c r="Q2835" s="14" t="s">
        <v>13266</v>
      </c>
      <c r="R2835" s="14" t="s">
        <v>13267</v>
      </c>
      <c r="S2835" s="16" t="s">
        <v>13268</v>
      </c>
      <c r="T2835" s="14" t="s">
        <v>1010</v>
      </c>
      <c r="U2835" s="16" t="s">
        <v>13269</v>
      </c>
      <c r="V2835" s="14" t="s">
        <v>3523</v>
      </c>
      <c r="W2835" s="14" t="s">
        <v>13207</v>
      </c>
      <c r="X2835" s="17" t="str">
        <f>HYPERLINK("https://my.pitchbook.com?p=434815-66P","View People Online")</f>
        <v>View People Online</v>
      </c>
    </row>
    <row r="2836">
      <c r="A2836" s="10" t="s">
        <v>18557</v>
      </c>
      <c r="B2836" s="10" t="s">
        <v>18558</v>
      </c>
      <c r="C2836" s="10" t="s">
        <v>18559</v>
      </c>
      <c r="D2836" s="10" t="s">
        <v>18560</v>
      </c>
      <c r="E2836" s="10" t="s">
        <v>13207</v>
      </c>
      <c r="F2836" s="10" t="s">
        <v>29</v>
      </c>
      <c r="G2836" s="10" t="s">
        <v>18561</v>
      </c>
      <c r="H2836" s="11" t="s">
        <v>31</v>
      </c>
      <c r="I2836" s="11">
        <v>1.0</v>
      </c>
      <c r="J2836" s="11">
        <v>1.0</v>
      </c>
      <c r="K2836" s="11" t="s">
        <v>31</v>
      </c>
      <c r="L2836" s="12" t="s">
        <v>13399</v>
      </c>
      <c r="M2836" s="10" t="s">
        <v>18562</v>
      </c>
      <c r="N2836" s="10" t="s">
        <v>13401</v>
      </c>
      <c r="O2836" s="12" t="s">
        <v>13402</v>
      </c>
      <c r="P2836" s="10" t="s">
        <v>13403</v>
      </c>
      <c r="Q2836" s="10" t="s">
        <v>13404</v>
      </c>
      <c r="R2836" s="10" t="s">
        <v>31</v>
      </c>
      <c r="S2836" s="12" t="s">
        <v>13405</v>
      </c>
      <c r="T2836" s="10" t="s">
        <v>13406</v>
      </c>
      <c r="U2836" s="12" t="s">
        <v>13407</v>
      </c>
      <c r="V2836" s="10" t="s">
        <v>29</v>
      </c>
      <c r="W2836" s="10" t="s">
        <v>13207</v>
      </c>
      <c r="X2836" s="13" t="str">
        <f>HYPERLINK("https://my.pitchbook.com?p=436227-49P","View People Online")</f>
        <v>View People Online</v>
      </c>
    </row>
    <row r="2837">
      <c r="A2837" s="14" t="s">
        <v>18563</v>
      </c>
      <c r="B2837" s="14" t="s">
        <v>18564</v>
      </c>
      <c r="C2837" s="14" t="s">
        <v>18565</v>
      </c>
      <c r="D2837" s="14" t="s">
        <v>819</v>
      </c>
      <c r="E2837" s="14" t="s">
        <v>13207</v>
      </c>
      <c r="F2837" s="14" t="s">
        <v>3523</v>
      </c>
      <c r="G2837" s="14" t="s">
        <v>18566</v>
      </c>
      <c r="H2837" s="15" t="s">
        <v>31</v>
      </c>
      <c r="I2837" s="15">
        <v>1.0</v>
      </c>
      <c r="J2837" s="15">
        <v>1.0</v>
      </c>
      <c r="K2837" s="15" t="s">
        <v>31</v>
      </c>
      <c r="L2837" s="16" t="s">
        <v>13263</v>
      </c>
      <c r="M2837" s="14" t="s">
        <v>18567</v>
      </c>
      <c r="N2837" s="14" t="s">
        <v>1005</v>
      </c>
      <c r="O2837" s="16" t="s">
        <v>1006</v>
      </c>
      <c r="P2837" s="14" t="s">
        <v>13265</v>
      </c>
      <c r="Q2837" s="14" t="s">
        <v>13266</v>
      </c>
      <c r="R2837" s="14" t="s">
        <v>13267</v>
      </c>
      <c r="S2837" s="16" t="s">
        <v>13268</v>
      </c>
      <c r="T2837" s="14" t="s">
        <v>1010</v>
      </c>
      <c r="U2837" s="16" t="s">
        <v>13269</v>
      </c>
      <c r="V2837" s="14" t="s">
        <v>3523</v>
      </c>
      <c r="W2837" s="14" t="s">
        <v>13207</v>
      </c>
      <c r="X2837" s="17" t="str">
        <f>HYPERLINK("https://my.pitchbook.com?p=435858-40P","View People Online")</f>
        <v>View People Online</v>
      </c>
    </row>
    <row r="2838">
      <c r="A2838" s="2" t="s">
        <v>18568</v>
      </c>
      <c r="B2838" s="2" t="s">
        <v>18569</v>
      </c>
      <c r="C2838" s="2" t="s">
        <v>1489</v>
      </c>
      <c r="D2838" s="2" t="s">
        <v>14352</v>
      </c>
      <c r="E2838" s="2" t="s">
        <v>13207</v>
      </c>
      <c r="F2838" s="2" t="s">
        <v>29</v>
      </c>
      <c r="G2838" s="2" t="s">
        <v>18570</v>
      </c>
      <c r="H2838" s="3" t="s">
        <v>31</v>
      </c>
      <c r="I2838" s="3">
        <v>1.0</v>
      </c>
      <c r="J2838" s="3">
        <v>1.0</v>
      </c>
      <c r="K2838" s="3" t="s">
        <v>31</v>
      </c>
      <c r="L2838" s="4" t="s">
        <v>14331</v>
      </c>
      <c r="M2838" s="2" t="s">
        <v>18571</v>
      </c>
      <c r="N2838" s="2" t="s">
        <v>14333</v>
      </c>
      <c r="O2838" s="4" t="s">
        <v>14334</v>
      </c>
      <c r="P2838" s="2" t="s">
        <v>14335</v>
      </c>
      <c r="Q2838" s="2" t="s">
        <v>14336</v>
      </c>
      <c r="R2838" s="2" t="s">
        <v>31</v>
      </c>
      <c r="S2838" s="4" t="s">
        <v>14337</v>
      </c>
      <c r="T2838" s="2" t="s">
        <v>14338</v>
      </c>
      <c r="U2838" s="4" t="s">
        <v>31</v>
      </c>
      <c r="V2838" s="2" t="s">
        <v>29</v>
      </c>
      <c r="W2838" s="2" t="s">
        <v>13207</v>
      </c>
      <c r="X2838" s="5" t="str">
        <f>HYPERLINK("https://my.pitchbook.com?p=456263-11P","View People Online")</f>
        <v>View People Online</v>
      </c>
    </row>
    <row r="2839">
      <c r="A2839" s="6" t="s">
        <v>18572</v>
      </c>
      <c r="B2839" s="6" t="s">
        <v>18573</v>
      </c>
      <c r="C2839" s="6" t="s">
        <v>1489</v>
      </c>
      <c r="D2839" s="6" t="s">
        <v>18574</v>
      </c>
      <c r="E2839" s="6" t="s">
        <v>13207</v>
      </c>
      <c r="F2839" s="6" t="s">
        <v>13218</v>
      </c>
      <c r="G2839" s="6" t="s">
        <v>18575</v>
      </c>
      <c r="H2839" s="7" t="s">
        <v>31</v>
      </c>
      <c r="I2839" s="7">
        <v>1.0</v>
      </c>
      <c r="J2839" s="7">
        <v>1.0</v>
      </c>
      <c r="K2839" s="7" t="s">
        <v>31</v>
      </c>
      <c r="L2839" s="8" t="s">
        <v>13412</v>
      </c>
      <c r="M2839" s="6" t="s">
        <v>18576</v>
      </c>
      <c r="N2839" s="6" t="s">
        <v>13414</v>
      </c>
      <c r="O2839" s="8" t="s">
        <v>13415</v>
      </c>
      <c r="P2839" s="6" t="s">
        <v>13416</v>
      </c>
      <c r="Q2839" s="6" t="s">
        <v>31</v>
      </c>
      <c r="R2839" s="6" t="s">
        <v>209</v>
      </c>
      <c r="S2839" s="8" t="s">
        <v>13417</v>
      </c>
      <c r="T2839" s="6" t="s">
        <v>66</v>
      </c>
      <c r="U2839" s="8" t="s">
        <v>13418</v>
      </c>
      <c r="V2839" s="6" t="s">
        <v>13218</v>
      </c>
      <c r="W2839" s="6" t="s">
        <v>13207</v>
      </c>
      <c r="X2839" s="9" t="str">
        <f>HYPERLINK("https://my.pitchbook.com?p=456807-16P","View People Online")</f>
        <v>View People Online</v>
      </c>
    </row>
    <row r="2840">
      <c r="A2840" s="10" t="s">
        <v>18577</v>
      </c>
      <c r="B2840" s="10" t="s">
        <v>18578</v>
      </c>
      <c r="C2840" s="10" t="s">
        <v>1489</v>
      </c>
      <c r="D2840" s="10" t="s">
        <v>1799</v>
      </c>
      <c r="E2840" s="10" t="s">
        <v>13207</v>
      </c>
      <c r="F2840" s="10" t="s">
        <v>13218</v>
      </c>
      <c r="G2840" s="10" t="s">
        <v>18579</v>
      </c>
      <c r="H2840" s="11" t="s">
        <v>31</v>
      </c>
      <c r="I2840" s="11">
        <v>1.0</v>
      </c>
      <c r="J2840" s="11">
        <v>1.0</v>
      </c>
      <c r="K2840" s="11" t="s">
        <v>31</v>
      </c>
      <c r="L2840" s="12" t="s">
        <v>14201</v>
      </c>
      <c r="M2840" s="10" t="s">
        <v>18580</v>
      </c>
      <c r="N2840" s="10" t="s">
        <v>14203</v>
      </c>
      <c r="O2840" s="12" t="s">
        <v>14204</v>
      </c>
      <c r="P2840" s="10" t="s">
        <v>14205</v>
      </c>
      <c r="Q2840" s="10" t="s">
        <v>14206</v>
      </c>
      <c r="R2840" s="10" t="s">
        <v>1420</v>
      </c>
      <c r="S2840" s="12" t="s">
        <v>14207</v>
      </c>
      <c r="T2840" s="10" t="s">
        <v>66</v>
      </c>
      <c r="U2840" s="12" t="s">
        <v>14208</v>
      </c>
      <c r="V2840" s="10" t="s">
        <v>18581</v>
      </c>
      <c r="W2840" s="10" t="s">
        <v>13207</v>
      </c>
      <c r="X2840" s="13" t="str">
        <f>HYPERLINK("https://my.pitchbook.com?p=456519-97P","View People Online")</f>
        <v>View People Online</v>
      </c>
    </row>
    <row r="2841">
      <c r="A2841" s="6" t="s">
        <v>18582</v>
      </c>
      <c r="B2841" s="6" t="s">
        <v>18583</v>
      </c>
      <c r="C2841" s="6" t="s">
        <v>1489</v>
      </c>
      <c r="D2841" s="6" t="s">
        <v>18584</v>
      </c>
      <c r="E2841" s="6" t="s">
        <v>13207</v>
      </c>
      <c r="F2841" s="6" t="s">
        <v>29</v>
      </c>
      <c r="G2841" s="6" t="s">
        <v>18585</v>
      </c>
      <c r="H2841" s="7" t="s">
        <v>31</v>
      </c>
      <c r="I2841" s="7">
        <v>2.0</v>
      </c>
      <c r="J2841" s="7">
        <v>2.0</v>
      </c>
      <c r="K2841" s="7" t="s">
        <v>31</v>
      </c>
      <c r="L2841" s="8" t="s">
        <v>18586</v>
      </c>
      <c r="M2841" s="6" t="s">
        <v>18587</v>
      </c>
      <c r="N2841" s="6" t="s">
        <v>1170</v>
      </c>
      <c r="O2841" s="8" t="s">
        <v>1171</v>
      </c>
      <c r="P2841" s="6" t="s">
        <v>18588</v>
      </c>
      <c r="Q2841" s="6" t="s">
        <v>18589</v>
      </c>
      <c r="R2841" s="6" t="s">
        <v>64</v>
      </c>
      <c r="S2841" s="8" t="s">
        <v>13957</v>
      </c>
      <c r="T2841" s="6" t="s">
        <v>66</v>
      </c>
      <c r="U2841" s="8" t="s">
        <v>18590</v>
      </c>
      <c r="V2841" s="6" t="s">
        <v>18591</v>
      </c>
      <c r="W2841" s="6" t="s">
        <v>18592</v>
      </c>
      <c r="X2841" s="9" t="str">
        <f>HYPERLINK("https://my.pitchbook.com?p=250052-32P","View People Online")</f>
        <v>View People Online</v>
      </c>
    </row>
    <row r="2842">
      <c r="A2842" s="2" t="s">
        <v>18593</v>
      </c>
      <c r="B2842" s="2" t="s">
        <v>18594</v>
      </c>
      <c r="C2842" s="2" t="s">
        <v>1489</v>
      </c>
      <c r="D2842" s="2" t="s">
        <v>18595</v>
      </c>
      <c r="E2842" s="2" t="s">
        <v>13207</v>
      </c>
      <c r="F2842" s="2" t="s">
        <v>1283</v>
      </c>
      <c r="G2842" s="2" t="s">
        <v>18596</v>
      </c>
      <c r="H2842" s="3" t="s">
        <v>31</v>
      </c>
      <c r="I2842" s="3">
        <v>1.0</v>
      </c>
      <c r="J2842" s="3">
        <v>1.0</v>
      </c>
      <c r="K2842" s="3" t="s">
        <v>31</v>
      </c>
      <c r="L2842" s="4" t="s">
        <v>13632</v>
      </c>
      <c r="M2842" s="2" t="s">
        <v>18597</v>
      </c>
      <c r="N2842" s="2" t="s">
        <v>7690</v>
      </c>
      <c r="O2842" s="4" t="s">
        <v>7691</v>
      </c>
      <c r="P2842" s="2" t="s">
        <v>13634</v>
      </c>
      <c r="Q2842" s="2" t="s">
        <v>13635</v>
      </c>
      <c r="R2842" s="2" t="s">
        <v>7693</v>
      </c>
      <c r="S2842" s="4" t="s">
        <v>13636</v>
      </c>
      <c r="T2842" s="2" t="s">
        <v>66</v>
      </c>
      <c r="U2842" s="4" t="s">
        <v>13637</v>
      </c>
      <c r="V2842" s="2" t="s">
        <v>14540</v>
      </c>
      <c r="W2842" s="2" t="s">
        <v>13207</v>
      </c>
      <c r="X2842" s="5" t="str">
        <f>HYPERLINK("https://my.pitchbook.com?p=455633-92P","View People Online")</f>
        <v>View People Online</v>
      </c>
    </row>
    <row r="2843">
      <c r="A2843" s="6" t="s">
        <v>18598</v>
      </c>
      <c r="B2843" s="6" t="s">
        <v>18599</v>
      </c>
      <c r="C2843" s="6" t="s">
        <v>18600</v>
      </c>
      <c r="D2843" s="6" t="s">
        <v>18601</v>
      </c>
      <c r="E2843" s="6" t="s">
        <v>13207</v>
      </c>
      <c r="F2843" s="6" t="s">
        <v>3523</v>
      </c>
      <c r="G2843" s="6" t="s">
        <v>18602</v>
      </c>
      <c r="H2843" s="7" t="s">
        <v>31</v>
      </c>
      <c r="I2843" s="7">
        <v>1.0</v>
      </c>
      <c r="J2843" s="7">
        <v>1.0</v>
      </c>
      <c r="K2843" s="7" t="s">
        <v>31</v>
      </c>
      <c r="L2843" s="8" t="s">
        <v>13423</v>
      </c>
      <c r="M2843" s="6" t="s">
        <v>18603</v>
      </c>
      <c r="N2843" s="6" t="s">
        <v>243</v>
      </c>
      <c r="O2843" s="8" t="s">
        <v>244</v>
      </c>
      <c r="P2843" s="6" t="s">
        <v>13425</v>
      </c>
      <c r="Q2843" s="6" t="s">
        <v>31</v>
      </c>
      <c r="R2843" s="6" t="s">
        <v>247</v>
      </c>
      <c r="S2843" s="8" t="s">
        <v>13426</v>
      </c>
      <c r="T2843" s="6" t="s">
        <v>249</v>
      </c>
      <c r="U2843" s="8" t="s">
        <v>31</v>
      </c>
      <c r="V2843" s="6" t="s">
        <v>3523</v>
      </c>
      <c r="W2843" s="6" t="s">
        <v>13207</v>
      </c>
      <c r="X2843" s="9" t="str">
        <f>HYPERLINK("https://my.pitchbook.com?p=455875-57P","View People Online")</f>
        <v>View People Online</v>
      </c>
    </row>
    <row r="2844">
      <c r="A2844" s="10" t="s">
        <v>18604</v>
      </c>
      <c r="B2844" s="10" t="s">
        <v>18605</v>
      </c>
      <c r="C2844" s="10" t="s">
        <v>18606</v>
      </c>
      <c r="D2844" s="10" t="s">
        <v>18607</v>
      </c>
      <c r="E2844" s="10" t="s">
        <v>13207</v>
      </c>
      <c r="F2844" s="10" t="s">
        <v>3523</v>
      </c>
      <c r="G2844" s="10" t="s">
        <v>18608</v>
      </c>
      <c r="H2844" s="11" t="s">
        <v>31</v>
      </c>
      <c r="I2844" s="11">
        <v>1.0</v>
      </c>
      <c r="J2844" s="11">
        <v>1.0</v>
      </c>
      <c r="K2844" s="11" t="s">
        <v>31</v>
      </c>
      <c r="L2844" s="12" t="s">
        <v>14419</v>
      </c>
      <c r="M2844" s="10" t="s">
        <v>18609</v>
      </c>
      <c r="N2844" s="10" t="s">
        <v>637</v>
      </c>
      <c r="O2844" s="12" t="s">
        <v>638</v>
      </c>
      <c r="P2844" s="10" t="s">
        <v>14421</v>
      </c>
      <c r="Q2844" s="10" t="s">
        <v>14422</v>
      </c>
      <c r="R2844" s="10" t="s">
        <v>31</v>
      </c>
      <c r="S2844" s="12" t="s">
        <v>31</v>
      </c>
      <c r="T2844" s="10" t="s">
        <v>639</v>
      </c>
      <c r="U2844" s="12" t="s">
        <v>14423</v>
      </c>
      <c r="V2844" s="10" t="s">
        <v>3523</v>
      </c>
      <c r="W2844" s="10" t="s">
        <v>13207</v>
      </c>
      <c r="X2844" s="13" t="str">
        <f>HYPERLINK("https://my.pitchbook.com?p=434925-10P","View People Online")</f>
        <v>View People Online</v>
      </c>
    </row>
    <row r="2845">
      <c r="A2845" s="6" t="s">
        <v>18610</v>
      </c>
      <c r="B2845" s="6" t="s">
        <v>18611</v>
      </c>
      <c r="C2845" s="6" t="s">
        <v>5106</v>
      </c>
      <c r="D2845" s="6" t="s">
        <v>18612</v>
      </c>
      <c r="E2845" s="6" t="s">
        <v>13207</v>
      </c>
      <c r="F2845" s="6" t="s">
        <v>3523</v>
      </c>
      <c r="G2845" s="6" t="s">
        <v>18613</v>
      </c>
      <c r="H2845" s="7" t="s">
        <v>31</v>
      </c>
      <c r="I2845" s="7">
        <v>1.0</v>
      </c>
      <c r="J2845" s="7">
        <v>1.0</v>
      </c>
      <c r="K2845" s="7" t="s">
        <v>31</v>
      </c>
      <c r="L2845" s="8" t="s">
        <v>13289</v>
      </c>
      <c r="M2845" s="6" t="s">
        <v>18614</v>
      </c>
      <c r="N2845" s="6" t="s">
        <v>1348</v>
      </c>
      <c r="O2845" s="8" t="s">
        <v>1349</v>
      </c>
      <c r="P2845" s="6" t="s">
        <v>13291</v>
      </c>
      <c r="Q2845" s="6" t="s">
        <v>13292</v>
      </c>
      <c r="R2845" s="6" t="s">
        <v>1018</v>
      </c>
      <c r="S2845" s="8" t="s">
        <v>13293</v>
      </c>
      <c r="T2845" s="6" t="s">
        <v>1019</v>
      </c>
      <c r="U2845" s="8" t="s">
        <v>13294</v>
      </c>
      <c r="V2845" s="6" t="s">
        <v>3523</v>
      </c>
      <c r="W2845" s="6" t="s">
        <v>13207</v>
      </c>
      <c r="X2845" s="9" t="str">
        <f>HYPERLINK("https://my.pitchbook.com?p=456716-26P","View People Online")</f>
        <v>View People Online</v>
      </c>
    </row>
    <row r="2846">
      <c r="A2846" s="10" t="s">
        <v>18615</v>
      </c>
      <c r="B2846" s="10" t="s">
        <v>18616</v>
      </c>
      <c r="C2846" s="10" t="s">
        <v>18617</v>
      </c>
      <c r="D2846" s="10" t="s">
        <v>18618</v>
      </c>
      <c r="E2846" s="10" t="s">
        <v>13207</v>
      </c>
      <c r="F2846" s="10" t="s">
        <v>13218</v>
      </c>
      <c r="G2846" s="10" t="s">
        <v>18619</v>
      </c>
      <c r="H2846" s="11" t="s">
        <v>31</v>
      </c>
      <c r="I2846" s="11">
        <v>1.0</v>
      </c>
      <c r="J2846" s="11">
        <v>1.0</v>
      </c>
      <c r="K2846" s="11" t="s">
        <v>31</v>
      </c>
      <c r="L2846" s="12" t="s">
        <v>13274</v>
      </c>
      <c r="M2846" s="10" t="s">
        <v>18620</v>
      </c>
      <c r="N2846" s="10" t="s">
        <v>1181</v>
      </c>
      <c r="O2846" s="12" t="s">
        <v>1182</v>
      </c>
      <c r="P2846" s="10" t="s">
        <v>13276</v>
      </c>
      <c r="Q2846" s="10" t="s">
        <v>31</v>
      </c>
      <c r="R2846" s="10" t="s">
        <v>1185</v>
      </c>
      <c r="S2846" s="12" t="s">
        <v>4438</v>
      </c>
      <c r="T2846" s="10" t="s">
        <v>66</v>
      </c>
      <c r="U2846" s="12" t="s">
        <v>13277</v>
      </c>
      <c r="V2846" s="10" t="s">
        <v>18621</v>
      </c>
      <c r="W2846" s="10" t="s">
        <v>13207</v>
      </c>
      <c r="X2846" s="13" t="str">
        <f>HYPERLINK("https://my.pitchbook.com?p=455959-00P","View People Online")</f>
        <v>View People Online</v>
      </c>
    </row>
    <row r="2847">
      <c r="A2847" s="14" t="s">
        <v>18622</v>
      </c>
      <c r="B2847" s="14" t="s">
        <v>18623</v>
      </c>
      <c r="C2847" s="14" t="s">
        <v>18624</v>
      </c>
      <c r="D2847" s="14" t="s">
        <v>18625</v>
      </c>
      <c r="E2847" s="14" t="s">
        <v>13207</v>
      </c>
      <c r="F2847" s="14" t="s">
        <v>1283</v>
      </c>
      <c r="G2847" s="14" t="s">
        <v>18626</v>
      </c>
      <c r="H2847" s="15" t="s">
        <v>31</v>
      </c>
      <c r="I2847" s="15">
        <v>1.0</v>
      </c>
      <c r="J2847" s="15">
        <v>1.0</v>
      </c>
      <c r="K2847" s="15" t="s">
        <v>31</v>
      </c>
      <c r="L2847" s="16" t="s">
        <v>13289</v>
      </c>
      <c r="M2847" s="14" t="s">
        <v>18627</v>
      </c>
      <c r="N2847" s="14" t="s">
        <v>1348</v>
      </c>
      <c r="O2847" s="16" t="s">
        <v>1349</v>
      </c>
      <c r="P2847" s="14" t="s">
        <v>13291</v>
      </c>
      <c r="Q2847" s="14" t="s">
        <v>13292</v>
      </c>
      <c r="R2847" s="14" t="s">
        <v>1018</v>
      </c>
      <c r="S2847" s="16" t="s">
        <v>13293</v>
      </c>
      <c r="T2847" s="14" t="s">
        <v>1019</v>
      </c>
      <c r="U2847" s="16" t="s">
        <v>13294</v>
      </c>
      <c r="V2847" s="14" t="s">
        <v>14540</v>
      </c>
      <c r="W2847" s="14" t="s">
        <v>13207</v>
      </c>
      <c r="X2847" s="17" t="str">
        <f>HYPERLINK("https://my.pitchbook.com?p=456009-13P","View People Online")</f>
        <v>View People Online</v>
      </c>
    </row>
    <row r="2848">
      <c r="A2848" s="10" t="s">
        <v>18628</v>
      </c>
      <c r="B2848" s="10" t="s">
        <v>18629</v>
      </c>
      <c r="C2848" s="10" t="s">
        <v>4444</v>
      </c>
      <c r="D2848" s="10" t="s">
        <v>18630</v>
      </c>
      <c r="E2848" s="10" t="s">
        <v>13207</v>
      </c>
      <c r="F2848" s="10" t="s">
        <v>13307</v>
      </c>
      <c r="G2848" s="10" t="s">
        <v>18631</v>
      </c>
      <c r="H2848" s="11" t="s">
        <v>31</v>
      </c>
      <c r="I2848" s="11">
        <v>1.0</v>
      </c>
      <c r="J2848" s="11">
        <v>1.0</v>
      </c>
      <c r="K2848" s="11" t="s">
        <v>31</v>
      </c>
      <c r="L2848" s="12" t="s">
        <v>13724</v>
      </c>
      <c r="M2848" s="10" t="s">
        <v>18632</v>
      </c>
      <c r="N2848" s="10" t="s">
        <v>34</v>
      </c>
      <c r="O2848" s="12" t="s">
        <v>35</v>
      </c>
      <c r="P2848" s="10" t="s">
        <v>13726</v>
      </c>
      <c r="Q2848" s="10" t="s">
        <v>31</v>
      </c>
      <c r="R2848" s="10" t="s">
        <v>31</v>
      </c>
      <c r="S2848" s="12" t="s">
        <v>13727</v>
      </c>
      <c r="T2848" s="10" t="s">
        <v>38</v>
      </c>
      <c r="U2848" s="12" t="s">
        <v>13728</v>
      </c>
      <c r="V2848" s="10" t="s">
        <v>13317</v>
      </c>
      <c r="W2848" s="10" t="s">
        <v>13207</v>
      </c>
      <c r="X2848" s="13" t="str">
        <f>HYPERLINK("https://my.pitchbook.com?p=434923-30P","View People Online")</f>
        <v>View People Online</v>
      </c>
    </row>
    <row r="2849">
      <c r="A2849" s="6" t="s">
        <v>18633</v>
      </c>
      <c r="B2849" s="6" t="s">
        <v>18634</v>
      </c>
      <c r="C2849" s="6" t="s">
        <v>4444</v>
      </c>
      <c r="D2849" s="6" t="s">
        <v>3644</v>
      </c>
      <c r="E2849" s="6" t="s">
        <v>13207</v>
      </c>
      <c r="F2849" s="6" t="s">
        <v>318</v>
      </c>
      <c r="G2849" s="6" t="s">
        <v>18635</v>
      </c>
      <c r="H2849" s="7" t="s">
        <v>31</v>
      </c>
      <c r="I2849" s="7">
        <v>1.0</v>
      </c>
      <c r="J2849" s="7">
        <v>1.0</v>
      </c>
      <c r="K2849" s="7" t="s">
        <v>31</v>
      </c>
      <c r="L2849" s="8" t="s">
        <v>14142</v>
      </c>
      <c r="M2849" s="6" t="s">
        <v>18636</v>
      </c>
      <c r="N2849" s="6" t="s">
        <v>273</v>
      </c>
      <c r="O2849" s="8" t="s">
        <v>274</v>
      </c>
      <c r="P2849" s="6" t="s">
        <v>14144</v>
      </c>
      <c r="Q2849" s="6" t="s">
        <v>31</v>
      </c>
      <c r="R2849" s="6" t="s">
        <v>31</v>
      </c>
      <c r="S2849" s="8" t="s">
        <v>14145</v>
      </c>
      <c r="T2849" s="6" t="s">
        <v>276</v>
      </c>
      <c r="U2849" s="8" t="s">
        <v>14146</v>
      </c>
      <c r="V2849" s="6" t="s">
        <v>318</v>
      </c>
      <c r="W2849" s="6" t="s">
        <v>13207</v>
      </c>
      <c r="X2849" s="9" t="str">
        <f>HYPERLINK("https://my.pitchbook.com?p=456054-40P","View People Online")</f>
        <v>View People Online</v>
      </c>
    </row>
    <row r="2850">
      <c r="A2850" s="2" t="s">
        <v>18637</v>
      </c>
      <c r="B2850" s="2" t="s">
        <v>18638</v>
      </c>
      <c r="C2850" s="2" t="s">
        <v>18639</v>
      </c>
      <c r="D2850" s="2" t="s">
        <v>18640</v>
      </c>
      <c r="E2850" s="2" t="s">
        <v>13207</v>
      </c>
      <c r="F2850" s="2" t="s">
        <v>3523</v>
      </c>
      <c r="G2850" s="2" t="s">
        <v>18641</v>
      </c>
      <c r="H2850" s="3" t="s">
        <v>31</v>
      </c>
      <c r="I2850" s="3">
        <v>1.0</v>
      </c>
      <c r="J2850" s="3">
        <v>1.0</v>
      </c>
      <c r="K2850" s="3" t="s">
        <v>31</v>
      </c>
      <c r="L2850" s="4" t="s">
        <v>13673</v>
      </c>
      <c r="M2850" s="2" t="s">
        <v>18642</v>
      </c>
      <c r="N2850" s="2" t="s">
        <v>6311</v>
      </c>
      <c r="O2850" s="4" t="s">
        <v>6312</v>
      </c>
      <c r="P2850" s="2" t="s">
        <v>13675</v>
      </c>
      <c r="Q2850" s="2" t="s">
        <v>31</v>
      </c>
      <c r="R2850" s="2" t="s">
        <v>31</v>
      </c>
      <c r="S2850" s="4" t="s">
        <v>13676</v>
      </c>
      <c r="T2850" s="2" t="s">
        <v>6315</v>
      </c>
      <c r="U2850" s="4" t="s">
        <v>13677</v>
      </c>
      <c r="V2850" s="2" t="s">
        <v>3523</v>
      </c>
      <c r="W2850" s="2" t="s">
        <v>13207</v>
      </c>
      <c r="X2850" s="5" t="str">
        <f>HYPERLINK("https://my.pitchbook.com?p=435539-89P","View People Online")</f>
        <v>View People Online</v>
      </c>
    </row>
    <row r="2851">
      <c r="A2851" s="14" t="s">
        <v>18643</v>
      </c>
      <c r="B2851" s="14" t="s">
        <v>18644</v>
      </c>
      <c r="C2851" s="14" t="s">
        <v>18645</v>
      </c>
      <c r="D2851" s="14" t="s">
        <v>18646</v>
      </c>
      <c r="E2851" s="14" t="s">
        <v>13207</v>
      </c>
      <c r="F2851" s="14" t="s">
        <v>3523</v>
      </c>
      <c r="G2851" s="14" t="s">
        <v>18647</v>
      </c>
      <c r="H2851" s="15" t="s">
        <v>31</v>
      </c>
      <c r="I2851" s="15">
        <v>1.0</v>
      </c>
      <c r="J2851" s="15">
        <v>1.0</v>
      </c>
      <c r="K2851" s="15" t="s">
        <v>31</v>
      </c>
      <c r="L2851" s="16" t="s">
        <v>13549</v>
      </c>
      <c r="M2851" s="14" t="s">
        <v>18648</v>
      </c>
      <c r="N2851" s="14" t="s">
        <v>794</v>
      </c>
      <c r="O2851" s="16" t="s">
        <v>795</v>
      </c>
      <c r="P2851" s="14" t="s">
        <v>13551</v>
      </c>
      <c r="Q2851" s="14" t="s">
        <v>13552</v>
      </c>
      <c r="R2851" s="14" t="s">
        <v>31</v>
      </c>
      <c r="S2851" s="16" t="s">
        <v>13553</v>
      </c>
      <c r="T2851" s="14" t="s">
        <v>796</v>
      </c>
      <c r="U2851" s="16" t="s">
        <v>13554</v>
      </c>
      <c r="V2851" s="14" t="s">
        <v>3523</v>
      </c>
      <c r="W2851" s="14" t="s">
        <v>13207</v>
      </c>
      <c r="X2851" s="17" t="str">
        <f>HYPERLINK("https://my.pitchbook.com?p=455414-59P","View People Online")</f>
        <v>View People Online</v>
      </c>
    </row>
    <row r="2852">
      <c r="A2852" s="10" t="s">
        <v>18649</v>
      </c>
      <c r="B2852" s="10" t="s">
        <v>18650</v>
      </c>
      <c r="C2852" s="10" t="s">
        <v>18651</v>
      </c>
      <c r="D2852" s="10" t="s">
        <v>18652</v>
      </c>
      <c r="E2852" s="10" t="s">
        <v>13207</v>
      </c>
      <c r="F2852" s="10" t="s">
        <v>29</v>
      </c>
      <c r="G2852" s="10" t="s">
        <v>18653</v>
      </c>
      <c r="H2852" s="11" t="s">
        <v>31</v>
      </c>
      <c r="I2852" s="11">
        <v>1.0</v>
      </c>
      <c r="J2852" s="11">
        <v>1.0</v>
      </c>
      <c r="K2852" s="11" t="s">
        <v>31</v>
      </c>
      <c r="L2852" s="12" t="s">
        <v>13274</v>
      </c>
      <c r="M2852" s="10" t="s">
        <v>18654</v>
      </c>
      <c r="N2852" s="10" t="s">
        <v>1181</v>
      </c>
      <c r="O2852" s="12" t="s">
        <v>1182</v>
      </c>
      <c r="P2852" s="10" t="s">
        <v>13276</v>
      </c>
      <c r="Q2852" s="10" t="s">
        <v>31</v>
      </c>
      <c r="R2852" s="10" t="s">
        <v>1185</v>
      </c>
      <c r="S2852" s="12" t="s">
        <v>4438</v>
      </c>
      <c r="T2852" s="10" t="s">
        <v>66</v>
      </c>
      <c r="U2852" s="12" t="s">
        <v>13277</v>
      </c>
      <c r="V2852" s="10" t="s">
        <v>29</v>
      </c>
      <c r="W2852" s="10" t="s">
        <v>13207</v>
      </c>
      <c r="X2852" s="13" t="str">
        <f>HYPERLINK("https://my.pitchbook.com?p=436364-02P","View People Online")</f>
        <v>View People Online</v>
      </c>
    </row>
    <row r="2853">
      <c r="A2853" s="14" t="s">
        <v>18655</v>
      </c>
      <c r="B2853" s="14" t="s">
        <v>18656</v>
      </c>
      <c r="C2853" s="14" t="s">
        <v>18657</v>
      </c>
      <c r="D2853" s="14" t="s">
        <v>18658</v>
      </c>
      <c r="E2853" s="14" t="s">
        <v>13207</v>
      </c>
      <c r="F2853" s="14" t="s">
        <v>3523</v>
      </c>
      <c r="G2853" s="14" t="s">
        <v>18659</v>
      </c>
      <c r="H2853" s="15" t="s">
        <v>31</v>
      </c>
      <c r="I2853" s="15">
        <v>1.0</v>
      </c>
      <c r="J2853" s="15">
        <v>1.0</v>
      </c>
      <c r="K2853" s="15" t="s">
        <v>31</v>
      </c>
      <c r="L2853" s="16" t="s">
        <v>13263</v>
      </c>
      <c r="M2853" s="14" t="s">
        <v>18660</v>
      </c>
      <c r="N2853" s="14" t="s">
        <v>1005</v>
      </c>
      <c r="O2853" s="16" t="s">
        <v>1006</v>
      </c>
      <c r="P2853" s="14" t="s">
        <v>13265</v>
      </c>
      <c r="Q2853" s="14" t="s">
        <v>13266</v>
      </c>
      <c r="R2853" s="14" t="s">
        <v>13267</v>
      </c>
      <c r="S2853" s="16" t="s">
        <v>13268</v>
      </c>
      <c r="T2853" s="14" t="s">
        <v>1010</v>
      </c>
      <c r="U2853" s="16" t="s">
        <v>13269</v>
      </c>
      <c r="V2853" s="14" t="s">
        <v>3523</v>
      </c>
      <c r="W2853" s="14" t="s">
        <v>13207</v>
      </c>
      <c r="X2853" s="17" t="str">
        <f>HYPERLINK("https://my.pitchbook.com?p=455332-06P","View People Online")</f>
        <v>View People Online</v>
      </c>
    </row>
    <row r="2854">
      <c r="A2854" s="10" t="s">
        <v>18661</v>
      </c>
      <c r="B2854" s="10" t="s">
        <v>18662</v>
      </c>
      <c r="C2854" s="10" t="s">
        <v>18657</v>
      </c>
      <c r="D2854" s="10" t="s">
        <v>18663</v>
      </c>
      <c r="E2854" s="10" t="s">
        <v>13207</v>
      </c>
      <c r="F2854" s="10" t="s">
        <v>3523</v>
      </c>
      <c r="G2854" s="10" t="s">
        <v>18664</v>
      </c>
      <c r="H2854" s="11" t="s">
        <v>31</v>
      </c>
      <c r="I2854" s="11">
        <v>1.0</v>
      </c>
      <c r="J2854" s="11">
        <v>1.0</v>
      </c>
      <c r="K2854" s="11" t="s">
        <v>31</v>
      </c>
      <c r="L2854" s="12" t="s">
        <v>13263</v>
      </c>
      <c r="M2854" s="10" t="s">
        <v>18665</v>
      </c>
      <c r="N2854" s="10" t="s">
        <v>1005</v>
      </c>
      <c r="O2854" s="12" t="s">
        <v>1006</v>
      </c>
      <c r="P2854" s="10" t="s">
        <v>13265</v>
      </c>
      <c r="Q2854" s="10" t="s">
        <v>13266</v>
      </c>
      <c r="R2854" s="10" t="s">
        <v>13267</v>
      </c>
      <c r="S2854" s="12" t="s">
        <v>13268</v>
      </c>
      <c r="T2854" s="10" t="s">
        <v>1010</v>
      </c>
      <c r="U2854" s="12" t="s">
        <v>13269</v>
      </c>
      <c r="V2854" s="10" t="s">
        <v>3523</v>
      </c>
      <c r="W2854" s="10" t="s">
        <v>13207</v>
      </c>
      <c r="X2854" s="13" t="str">
        <f>HYPERLINK("https://my.pitchbook.com?p=435409-93P","View People Online")</f>
        <v>View People Online</v>
      </c>
    </row>
    <row r="2855">
      <c r="A2855" s="6" t="s">
        <v>18666</v>
      </c>
      <c r="B2855" s="6" t="s">
        <v>18667</v>
      </c>
      <c r="C2855" s="6" t="s">
        <v>18657</v>
      </c>
      <c r="D2855" s="6" t="s">
        <v>18668</v>
      </c>
      <c r="E2855" s="6" t="s">
        <v>13207</v>
      </c>
      <c r="F2855" s="6" t="s">
        <v>29</v>
      </c>
      <c r="G2855" s="6" t="s">
        <v>18669</v>
      </c>
      <c r="H2855" s="7" t="s">
        <v>31</v>
      </c>
      <c r="I2855" s="7">
        <v>1.0</v>
      </c>
      <c r="J2855" s="7">
        <v>1.0</v>
      </c>
      <c r="K2855" s="7" t="s">
        <v>31</v>
      </c>
      <c r="L2855" s="8" t="s">
        <v>13263</v>
      </c>
      <c r="M2855" s="6" t="s">
        <v>18670</v>
      </c>
      <c r="N2855" s="6" t="s">
        <v>1005</v>
      </c>
      <c r="O2855" s="8" t="s">
        <v>1006</v>
      </c>
      <c r="P2855" s="6" t="s">
        <v>13265</v>
      </c>
      <c r="Q2855" s="6" t="s">
        <v>13266</v>
      </c>
      <c r="R2855" s="6" t="s">
        <v>13267</v>
      </c>
      <c r="S2855" s="8" t="s">
        <v>13268</v>
      </c>
      <c r="T2855" s="6" t="s">
        <v>1010</v>
      </c>
      <c r="U2855" s="8" t="s">
        <v>13269</v>
      </c>
      <c r="V2855" s="6" t="s">
        <v>29</v>
      </c>
      <c r="W2855" s="6" t="s">
        <v>13207</v>
      </c>
      <c r="X2855" s="9" t="str">
        <f>HYPERLINK("https://my.pitchbook.com?p=455203-36P","View People Online")</f>
        <v>View People Online</v>
      </c>
    </row>
    <row r="2856">
      <c r="A2856" s="2" t="s">
        <v>18671</v>
      </c>
      <c r="B2856" s="2" t="s">
        <v>18672</v>
      </c>
      <c r="C2856" s="2" t="s">
        <v>18673</v>
      </c>
      <c r="D2856" s="2" t="s">
        <v>18674</v>
      </c>
      <c r="E2856" s="2" t="s">
        <v>13207</v>
      </c>
      <c r="F2856" s="2" t="s">
        <v>3523</v>
      </c>
      <c r="G2856" s="2" t="s">
        <v>18675</v>
      </c>
      <c r="H2856" s="3" t="s">
        <v>31</v>
      </c>
      <c r="I2856" s="3">
        <v>1.0</v>
      </c>
      <c r="J2856" s="3">
        <v>1.0</v>
      </c>
      <c r="K2856" s="3" t="s">
        <v>31</v>
      </c>
      <c r="L2856" s="4" t="s">
        <v>13274</v>
      </c>
      <c r="M2856" s="2" t="s">
        <v>18676</v>
      </c>
      <c r="N2856" s="2" t="s">
        <v>1181</v>
      </c>
      <c r="O2856" s="4" t="s">
        <v>1182</v>
      </c>
      <c r="P2856" s="2" t="s">
        <v>13276</v>
      </c>
      <c r="Q2856" s="2" t="s">
        <v>31</v>
      </c>
      <c r="R2856" s="2" t="s">
        <v>1185</v>
      </c>
      <c r="S2856" s="4" t="s">
        <v>4438</v>
      </c>
      <c r="T2856" s="2" t="s">
        <v>66</v>
      </c>
      <c r="U2856" s="4" t="s">
        <v>13277</v>
      </c>
      <c r="V2856" s="2" t="s">
        <v>3523</v>
      </c>
      <c r="W2856" s="2" t="s">
        <v>13207</v>
      </c>
      <c r="X2856" s="5" t="str">
        <f>HYPERLINK("https://my.pitchbook.com?p=435558-07P","View People Online")</f>
        <v>View People Online</v>
      </c>
    </row>
    <row r="2857">
      <c r="A2857" s="6" t="s">
        <v>18677</v>
      </c>
      <c r="B2857" s="6" t="s">
        <v>18678</v>
      </c>
      <c r="C2857" s="6" t="s">
        <v>18679</v>
      </c>
      <c r="D2857" s="6" t="s">
        <v>1866</v>
      </c>
      <c r="E2857" s="6" t="s">
        <v>13207</v>
      </c>
      <c r="F2857" s="6" t="s">
        <v>13218</v>
      </c>
      <c r="G2857" s="6" t="s">
        <v>18680</v>
      </c>
      <c r="H2857" s="7" t="s">
        <v>31</v>
      </c>
      <c r="I2857" s="7">
        <v>1.0</v>
      </c>
      <c r="J2857" s="7">
        <v>1.0</v>
      </c>
      <c r="K2857" s="7" t="s">
        <v>31</v>
      </c>
      <c r="L2857" s="8" t="s">
        <v>14201</v>
      </c>
      <c r="M2857" s="6" t="s">
        <v>18681</v>
      </c>
      <c r="N2857" s="6" t="s">
        <v>14203</v>
      </c>
      <c r="O2857" s="8" t="s">
        <v>14204</v>
      </c>
      <c r="P2857" s="6" t="s">
        <v>14205</v>
      </c>
      <c r="Q2857" s="6" t="s">
        <v>14206</v>
      </c>
      <c r="R2857" s="6" t="s">
        <v>1420</v>
      </c>
      <c r="S2857" s="8" t="s">
        <v>14207</v>
      </c>
      <c r="T2857" s="6" t="s">
        <v>66</v>
      </c>
      <c r="U2857" s="8" t="s">
        <v>14208</v>
      </c>
      <c r="V2857" s="6" t="s">
        <v>13218</v>
      </c>
      <c r="W2857" s="6" t="s">
        <v>13207</v>
      </c>
      <c r="X2857" s="9" t="str">
        <f>HYPERLINK("https://my.pitchbook.com?p=435737-17P","View People Online")</f>
        <v>View People Online</v>
      </c>
    </row>
    <row r="2858">
      <c r="A2858" s="10" t="s">
        <v>18682</v>
      </c>
      <c r="B2858" s="10" t="s">
        <v>18683</v>
      </c>
      <c r="C2858" s="10" t="s">
        <v>18684</v>
      </c>
      <c r="D2858" s="10" t="s">
        <v>18685</v>
      </c>
      <c r="E2858" s="10" t="s">
        <v>13207</v>
      </c>
      <c r="F2858" s="10" t="s">
        <v>3523</v>
      </c>
      <c r="G2858" s="10" t="s">
        <v>18686</v>
      </c>
      <c r="H2858" s="11" t="s">
        <v>31</v>
      </c>
      <c r="I2858" s="11">
        <v>1.0</v>
      </c>
      <c r="J2858" s="11">
        <v>1.0</v>
      </c>
      <c r="K2858" s="11" t="s">
        <v>31</v>
      </c>
      <c r="L2858" s="12" t="s">
        <v>14014</v>
      </c>
      <c r="M2858" s="10" t="s">
        <v>18687</v>
      </c>
      <c r="N2858" s="10" t="s">
        <v>14016</v>
      </c>
      <c r="O2858" s="12" t="s">
        <v>14017</v>
      </c>
      <c r="P2858" s="10" t="s">
        <v>14018</v>
      </c>
      <c r="Q2858" s="10" t="s">
        <v>14019</v>
      </c>
      <c r="R2858" s="10" t="s">
        <v>31</v>
      </c>
      <c r="S2858" s="12" t="s">
        <v>14020</v>
      </c>
      <c r="T2858" s="10" t="s">
        <v>38</v>
      </c>
      <c r="U2858" s="12" t="s">
        <v>14014</v>
      </c>
      <c r="V2858" s="10" t="s">
        <v>3523</v>
      </c>
      <c r="W2858" s="10" t="s">
        <v>13207</v>
      </c>
      <c r="X2858" s="13" t="str">
        <f>HYPERLINK("https://my.pitchbook.com?p=435374-20P","View People Online")</f>
        <v>View People Online</v>
      </c>
    </row>
    <row r="2859">
      <c r="A2859" s="6" t="s">
        <v>18688</v>
      </c>
      <c r="B2859" s="6" t="s">
        <v>18689</v>
      </c>
      <c r="C2859" s="6" t="s">
        <v>18690</v>
      </c>
      <c r="D2859" s="6" t="s">
        <v>6868</v>
      </c>
      <c r="E2859" s="6" t="s">
        <v>13207</v>
      </c>
      <c r="F2859" s="6" t="s">
        <v>3523</v>
      </c>
      <c r="G2859" s="6" t="s">
        <v>18691</v>
      </c>
      <c r="H2859" s="7" t="s">
        <v>31</v>
      </c>
      <c r="I2859" s="7">
        <v>1.0</v>
      </c>
      <c r="J2859" s="7">
        <v>1.0</v>
      </c>
      <c r="K2859" s="7" t="s">
        <v>31</v>
      </c>
      <c r="L2859" s="8" t="s">
        <v>13263</v>
      </c>
      <c r="M2859" s="6" t="s">
        <v>18692</v>
      </c>
      <c r="N2859" s="6" t="s">
        <v>1005</v>
      </c>
      <c r="O2859" s="8" t="s">
        <v>1006</v>
      </c>
      <c r="P2859" s="6" t="s">
        <v>13265</v>
      </c>
      <c r="Q2859" s="6" t="s">
        <v>13266</v>
      </c>
      <c r="R2859" s="6" t="s">
        <v>13267</v>
      </c>
      <c r="S2859" s="8" t="s">
        <v>13268</v>
      </c>
      <c r="T2859" s="6" t="s">
        <v>1010</v>
      </c>
      <c r="U2859" s="8" t="s">
        <v>13269</v>
      </c>
      <c r="V2859" s="6" t="s">
        <v>3523</v>
      </c>
      <c r="W2859" s="6" t="s">
        <v>13207</v>
      </c>
      <c r="X2859" s="9" t="str">
        <f>HYPERLINK("https://my.pitchbook.com?p=436237-12P","View People Online")</f>
        <v>View People Online</v>
      </c>
    </row>
    <row r="2860">
      <c r="A2860" s="10" t="s">
        <v>18693</v>
      </c>
      <c r="B2860" s="10" t="s">
        <v>18694</v>
      </c>
      <c r="C2860" s="10" t="s">
        <v>18695</v>
      </c>
      <c r="D2860" s="10" t="s">
        <v>18696</v>
      </c>
      <c r="E2860" s="10" t="s">
        <v>13207</v>
      </c>
      <c r="F2860" s="10" t="s">
        <v>3523</v>
      </c>
      <c r="G2860" s="10" t="s">
        <v>18697</v>
      </c>
      <c r="H2860" s="11" t="s">
        <v>31</v>
      </c>
      <c r="I2860" s="11">
        <v>1.0</v>
      </c>
      <c r="J2860" s="11">
        <v>1.0</v>
      </c>
      <c r="K2860" s="11" t="s">
        <v>31</v>
      </c>
      <c r="L2860" s="12" t="s">
        <v>13263</v>
      </c>
      <c r="M2860" s="10" t="s">
        <v>18698</v>
      </c>
      <c r="N2860" s="10" t="s">
        <v>1005</v>
      </c>
      <c r="O2860" s="12" t="s">
        <v>1006</v>
      </c>
      <c r="P2860" s="10" t="s">
        <v>13265</v>
      </c>
      <c r="Q2860" s="10" t="s">
        <v>13266</v>
      </c>
      <c r="R2860" s="10" t="s">
        <v>13267</v>
      </c>
      <c r="S2860" s="12" t="s">
        <v>13268</v>
      </c>
      <c r="T2860" s="10" t="s">
        <v>1010</v>
      </c>
      <c r="U2860" s="12" t="s">
        <v>13269</v>
      </c>
      <c r="V2860" s="10" t="s">
        <v>3523</v>
      </c>
      <c r="W2860" s="10" t="s">
        <v>13207</v>
      </c>
      <c r="X2860" s="13" t="str">
        <f>HYPERLINK("https://my.pitchbook.com?p=434928-43P","View People Online")</f>
        <v>View People Online</v>
      </c>
    </row>
    <row r="2861">
      <c r="A2861" s="6" t="s">
        <v>18699</v>
      </c>
      <c r="B2861" s="6" t="s">
        <v>18700</v>
      </c>
      <c r="C2861" s="6" t="s">
        <v>18701</v>
      </c>
      <c r="D2861" s="6" t="s">
        <v>18702</v>
      </c>
      <c r="E2861" s="6" t="s">
        <v>13207</v>
      </c>
      <c r="F2861" s="6" t="s">
        <v>3523</v>
      </c>
      <c r="G2861" s="6" t="s">
        <v>18703</v>
      </c>
      <c r="H2861" s="7" t="s">
        <v>31</v>
      </c>
      <c r="I2861" s="7">
        <v>1.0</v>
      </c>
      <c r="J2861" s="7">
        <v>1.0</v>
      </c>
      <c r="K2861" s="7" t="s">
        <v>31</v>
      </c>
      <c r="L2861" s="8" t="s">
        <v>13274</v>
      </c>
      <c r="M2861" s="6" t="s">
        <v>18704</v>
      </c>
      <c r="N2861" s="6" t="s">
        <v>1181</v>
      </c>
      <c r="O2861" s="8" t="s">
        <v>1182</v>
      </c>
      <c r="P2861" s="6" t="s">
        <v>13276</v>
      </c>
      <c r="Q2861" s="6" t="s">
        <v>31</v>
      </c>
      <c r="R2861" s="6" t="s">
        <v>1185</v>
      </c>
      <c r="S2861" s="8" t="s">
        <v>4438</v>
      </c>
      <c r="T2861" s="6" t="s">
        <v>66</v>
      </c>
      <c r="U2861" s="8" t="s">
        <v>13277</v>
      </c>
      <c r="V2861" s="6" t="s">
        <v>3523</v>
      </c>
      <c r="W2861" s="6" t="s">
        <v>13207</v>
      </c>
      <c r="X2861" s="9" t="str">
        <f>HYPERLINK("https://my.pitchbook.com?p=436310-02P","View People Online")</f>
        <v>View People Online</v>
      </c>
    </row>
    <row r="2862">
      <c r="A2862" s="2" t="s">
        <v>18705</v>
      </c>
      <c r="B2862" s="2" t="s">
        <v>18706</v>
      </c>
      <c r="C2862" s="2" t="s">
        <v>16693</v>
      </c>
      <c r="D2862" s="2" t="s">
        <v>18707</v>
      </c>
      <c r="E2862" s="2" t="s">
        <v>13207</v>
      </c>
      <c r="F2862" s="2" t="s">
        <v>13307</v>
      </c>
      <c r="G2862" s="2" t="s">
        <v>18708</v>
      </c>
      <c r="H2862" s="3" t="s">
        <v>31</v>
      </c>
      <c r="I2862" s="3">
        <v>1.0</v>
      </c>
      <c r="J2862" s="3">
        <v>1.0</v>
      </c>
      <c r="K2862" s="3" t="s">
        <v>31</v>
      </c>
      <c r="L2862" s="4" t="s">
        <v>13274</v>
      </c>
      <c r="M2862" s="2" t="s">
        <v>18709</v>
      </c>
      <c r="N2862" s="2" t="s">
        <v>1181</v>
      </c>
      <c r="O2862" s="4" t="s">
        <v>1182</v>
      </c>
      <c r="P2862" s="2" t="s">
        <v>13276</v>
      </c>
      <c r="Q2862" s="2" t="s">
        <v>31</v>
      </c>
      <c r="R2862" s="2" t="s">
        <v>1185</v>
      </c>
      <c r="S2862" s="4" t="s">
        <v>4438</v>
      </c>
      <c r="T2862" s="2" t="s">
        <v>66</v>
      </c>
      <c r="U2862" s="4" t="s">
        <v>13277</v>
      </c>
      <c r="V2862" s="2" t="s">
        <v>18710</v>
      </c>
      <c r="W2862" s="2" t="s">
        <v>13207</v>
      </c>
      <c r="X2862" s="5" t="str">
        <f>HYPERLINK("https://my.pitchbook.com?p=455976-64P","View People Online")</f>
        <v>View People Online</v>
      </c>
    </row>
    <row r="2863">
      <c r="A2863" s="6" t="s">
        <v>18711</v>
      </c>
      <c r="B2863" s="6" t="s">
        <v>18712</v>
      </c>
      <c r="C2863" s="6" t="s">
        <v>18713</v>
      </c>
      <c r="D2863" s="6" t="s">
        <v>6734</v>
      </c>
      <c r="E2863" s="6" t="s">
        <v>13207</v>
      </c>
      <c r="F2863" s="6" t="s">
        <v>3523</v>
      </c>
      <c r="G2863" s="6" t="s">
        <v>18714</v>
      </c>
      <c r="H2863" s="7" t="s">
        <v>31</v>
      </c>
      <c r="I2863" s="7">
        <v>1.0</v>
      </c>
      <c r="J2863" s="7">
        <v>1.0</v>
      </c>
      <c r="K2863" s="7" t="s">
        <v>31</v>
      </c>
      <c r="L2863" s="8" t="s">
        <v>13423</v>
      </c>
      <c r="M2863" s="6" t="s">
        <v>18715</v>
      </c>
      <c r="N2863" s="6" t="s">
        <v>243</v>
      </c>
      <c r="O2863" s="8" t="s">
        <v>244</v>
      </c>
      <c r="P2863" s="6" t="s">
        <v>13425</v>
      </c>
      <c r="Q2863" s="6" t="s">
        <v>31</v>
      </c>
      <c r="R2863" s="6" t="s">
        <v>247</v>
      </c>
      <c r="S2863" s="8" t="s">
        <v>13426</v>
      </c>
      <c r="T2863" s="6" t="s">
        <v>249</v>
      </c>
      <c r="U2863" s="8" t="s">
        <v>31</v>
      </c>
      <c r="V2863" s="6" t="s">
        <v>3523</v>
      </c>
      <c r="W2863" s="6" t="s">
        <v>13207</v>
      </c>
      <c r="X2863" s="9" t="str">
        <f>HYPERLINK("https://my.pitchbook.com?p=455400-64P","View People Online")</f>
        <v>View People Online</v>
      </c>
    </row>
    <row r="2864">
      <c r="A2864" s="2" t="s">
        <v>18716</v>
      </c>
      <c r="B2864" s="2" t="s">
        <v>18717</v>
      </c>
      <c r="C2864" s="2" t="s">
        <v>18718</v>
      </c>
      <c r="D2864" s="2" t="s">
        <v>18719</v>
      </c>
      <c r="E2864" s="2" t="s">
        <v>13207</v>
      </c>
      <c r="F2864" s="2" t="s">
        <v>3523</v>
      </c>
      <c r="G2864" s="2" t="s">
        <v>18720</v>
      </c>
      <c r="H2864" s="3" t="s">
        <v>31</v>
      </c>
      <c r="I2864" s="3">
        <v>1.0</v>
      </c>
      <c r="J2864" s="3">
        <v>1.0</v>
      </c>
      <c r="K2864" s="3" t="s">
        <v>31</v>
      </c>
      <c r="L2864" s="4" t="s">
        <v>13734</v>
      </c>
      <c r="M2864" s="2" t="s">
        <v>18721</v>
      </c>
      <c r="N2864" s="2" t="s">
        <v>2754</v>
      </c>
      <c r="O2864" s="4" t="s">
        <v>2755</v>
      </c>
      <c r="P2864" s="2" t="s">
        <v>13736</v>
      </c>
      <c r="Q2864" s="2" t="s">
        <v>31</v>
      </c>
      <c r="R2864" s="2" t="s">
        <v>31</v>
      </c>
      <c r="S2864" s="4" t="s">
        <v>13737</v>
      </c>
      <c r="T2864" s="2" t="s">
        <v>38</v>
      </c>
      <c r="U2864" s="4" t="s">
        <v>13738</v>
      </c>
      <c r="V2864" s="2" t="s">
        <v>3523</v>
      </c>
      <c r="W2864" s="2" t="s">
        <v>13207</v>
      </c>
      <c r="X2864" s="5" t="str">
        <f>HYPERLINK("https://my.pitchbook.com?p=436205-53P","View People Online")</f>
        <v>View People Online</v>
      </c>
    </row>
    <row r="2865">
      <c r="A2865" s="6" t="s">
        <v>18722</v>
      </c>
      <c r="B2865" s="6" t="s">
        <v>18723</v>
      </c>
      <c r="C2865" s="6" t="s">
        <v>6010</v>
      </c>
      <c r="D2865" s="6" t="s">
        <v>18724</v>
      </c>
      <c r="E2865" s="6" t="s">
        <v>13207</v>
      </c>
      <c r="F2865" s="6" t="s">
        <v>3523</v>
      </c>
      <c r="G2865" s="6" t="s">
        <v>18725</v>
      </c>
      <c r="H2865" s="7" t="s">
        <v>31</v>
      </c>
      <c r="I2865" s="7">
        <v>1.0</v>
      </c>
      <c r="J2865" s="7">
        <v>1.0</v>
      </c>
      <c r="K2865" s="7" t="s">
        <v>31</v>
      </c>
      <c r="L2865" s="8" t="s">
        <v>13289</v>
      </c>
      <c r="M2865" s="6" t="s">
        <v>18726</v>
      </c>
      <c r="N2865" s="6" t="s">
        <v>1348</v>
      </c>
      <c r="O2865" s="8" t="s">
        <v>1349</v>
      </c>
      <c r="P2865" s="6" t="s">
        <v>13291</v>
      </c>
      <c r="Q2865" s="6" t="s">
        <v>13292</v>
      </c>
      <c r="R2865" s="6" t="s">
        <v>1018</v>
      </c>
      <c r="S2865" s="8" t="s">
        <v>13293</v>
      </c>
      <c r="T2865" s="6" t="s">
        <v>1019</v>
      </c>
      <c r="U2865" s="8" t="s">
        <v>13294</v>
      </c>
      <c r="V2865" s="6" t="s">
        <v>3523</v>
      </c>
      <c r="W2865" s="6" t="s">
        <v>13207</v>
      </c>
      <c r="X2865" s="9" t="str">
        <f>HYPERLINK("https://my.pitchbook.com?p=435011-05P","View People Online")</f>
        <v>View People Online</v>
      </c>
    </row>
    <row r="2866">
      <c r="A2866" s="2" t="s">
        <v>18727</v>
      </c>
      <c r="B2866" s="2" t="s">
        <v>18728</v>
      </c>
      <c r="C2866" s="2" t="s">
        <v>18729</v>
      </c>
      <c r="D2866" s="2" t="s">
        <v>18730</v>
      </c>
      <c r="E2866" s="2" t="s">
        <v>13207</v>
      </c>
      <c r="F2866" s="2" t="s">
        <v>3523</v>
      </c>
      <c r="G2866" s="2" t="s">
        <v>18731</v>
      </c>
      <c r="H2866" s="3" t="s">
        <v>31</v>
      </c>
      <c r="I2866" s="3">
        <v>1.0</v>
      </c>
      <c r="J2866" s="3">
        <v>1.0</v>
      </c>
      <c r="K2866" s="3" t="s">
        <v>31</v>
      </c>
      <c r="L2866" s="4" t="s">
        <v>13274</v>
      </c>
      <c r="M2866" s="2" t="s">
        <v>18732</v>
      </c>
      <c r="N2866" s="2" t="s">
        <v>1181</v>
      </c>
      <c r="O2866" s="4" t="s">
        <v>1182</v>
      </c>
      <c r="P2866" s="2" t="s">
        <v>13276</v>
      </c>
      <c r="Q2866" s="2" t="s">
        <v>31</v>
      </c>
      <c r="R2866" s="2" t="s">
        <v>1185</v>
      </c>
      <c r="S2866" s="4" t="s">
        <v>4438</v>
      </c>
      <c r="T2866" s="2" t="s">
        <v>66</v>
      </c>
      <c r="U2866" s="4" t="s">
        <v>13277</v>
      </c>
      <c r="V2866" s="2" t="s">
        <v>3523</v>
      </c>
      <c r="W2866" s="2" t="s">
        <v>13207</v>
      </c>
      <c r="X2866" s="5" t="str">
        <f>HYPERLINK("https://my.pitchbook.com?p=148425-49P","View People Online")</f>
        <v>View People Online</v>
      </c>
    </row>
    <row r="2867">
      <c r="A2867" s="6" t="s">
        <v>18733</v>
      </c>
      <c r="B2867" s="6" t="s">
        <v>18734</v>
      </c>
      <c r="C2867" s="6" t="s">
        <v>18735</v>
      </c>
      <c r="D2867" s="6" t="s">
        <v>17850</v>
      </c>
      <c r="E2867" s="6" t="s">
        <v>13207</v>
      </c>
      <c r="F2867" s="6" t="s">
        <v>3523</v>
      </c>
      <c r="G2867" s="6" t="s">
        <v>18736</v>
      </c>
      <c r="H2867" s="7" t="s">
        <v>31</v>
      </c>
      <c r="I2867" s="7">
        <v>1.0</v>
      </c>
      <c r="J2867" s="7">
        <v>1.0</v>
      </c>
      <c r="K2867" s="7" t="s">
        <v>31</v>
      </c>
      <c r="L2867" s="8" t="s">
        <v>15095</v>
      </c>
      <c r="M2867" s="6" t="s">
        <v>18737</v>
      </c>
      <c r="N2867" s="6" t="s">
        <v>6960</v>
      </c>
      <c r="O2867" s="8" t="s">
        <v>6961</v>
      </c>
      <c r="P2867" s="6" t="s">
        <v>15097</v>
      </c>
      <c r="Q2867" s="6" t="s">
        <v>15098</v>
      </c>
      <c r="R2867" s="6" t="s">
        <v>15099</v>
      </c>
      <c r="S2867" s="8" t="s">
        <v>15100</v>
      </c>
      <c r="T2867" s="6" t="s">
        <v>6962</v>
      </c>
      <c r="U2867" s="8" t="s">
        <v>15101</v>
      </c>
      <c r="V2867" s="6" t="s">
        <v>3523</v>
      </c>
      <c r="W2867" s="6" t="s">
        <v>13207</v>
      </c>
      <c r="X2867" s="9" t="str">
        <f>HYPERLINK("https://my.pitchbook.com?p=456719-23P","View People Online")</f>
        <v>View People Online</v>
      </c>
    </row>
    <row r="2868">
      <c r="A2868" s="2" t="s">
        <v>18738</v>
      </c>
      <c r="B2868" s="2" t="s">
        <v>18739</v>
      </c>
      <c r="C2868" s="2" t="s">
        <v>2596</v>
      </c>
      <c r="D2868" s="2" t="s">
        <v>18740</v>
      </c>
      <c r="E2868" s="2" t="s">
        <v>13207</v>
      </c>
      <c r="F2868" s="2" t="s">
        <v>3523</v>
      </c>
      <c r="G2868" s="2" t="s">
        <v>18741</v>
      </c>
      <c r="H2868" s="3" t="s">
        <v>31</v>
      </c>
      <c r="I2868" s="3">
        <v>1.0</v>
      </c>
      <c r="J2868" s="3">
        <v>1.0</v>
      </c>
      <c r="K2868" s="3" t="s">
        <v>31</v>
      </c>
      <c r="L2868" s="4" t="s">
        <v>13289</v>
      </c>
      <c r="M2868" s="2" t="s">
        <v>18742</v>
      </c>
      <c r="N2868" s="2" t="s">
        <v>1348</v>
      </c>
      <c r="O2868" s="4" t="s">
        <v>1349</v>
      </c>
      <c r="P2868" s="2" t="s">
        <v>13291</v>
      </c>
      <c r="Q2868" s="2" t="s">
        <v>13292</v>
      </c>
      <c r="R2868" s="2" t="s">
        <v>1018</v>
      </c>
      <c r="S2868" s="4" t="s">
        <v>13293</v>
      </c>
      <c r="T2868" s="2" t="s">
        <v>1019</v>
      </c>
      <c r="U2868" s="4" t="s">
        <v>13294</v>
      </c>
      <c r="V2868" s="2" t="s">
        <v>3523</v>
      </c>
      <c r="W2868" s="2" t="s">
        <v>13207</v>
      </c>
      <c r="X2868" s="5" t="str">
        <f>HYPERLINK("https://my.pitchbook.com?p=436410-19P","View People Online")</f>
        <v>View People Online</v>
      </c>
    </row>
    <row r="2869">
      <c r="A2869" s="14" t="s">
        <v>18743</v>
      </c>
      <c r="B2869" s="14" t="s">
        <v>18744</v>
      </c>
      <c r="C2869" s="14" t="s">
        <v>18745</v>
      </c>
      <c r="D2869" s="14" t="s">
        <v>2871</v>
      </c>
      <c r="E2869" s="14" t="s">
        <v>13207</v>
      </c>
      <c r="F2869" s="14" t="s">
        <v>29</v>
      </c>
      <c r="G2869" s="14" t="s">
        <v>18746</v>
      </c>
      <c r="H2869" s="15" t="s">
        <v>31</v>
      </c>
      <c r="I2869" s="15">
        <v>1.0</v>
      </c>
      <c r="J2869" s="15">
        <v>1.0</v>
      </c>
      <c r="K2869" s="15" t="s">
        <v>31</v>
      </c>
      <c r="L2869" s="16" t="s">
        <v>13423</v>
      </c>
      <c r="M2869" s="14" t="s">
        <v>18747</v>
      </c>
      <c r="N2869" s="14" t="s">
        <v>243</v>
      </c>
      <c r="O2869" s="16" t="s">
        <v>244</v>
      </c>
      <c r="P2869" s="14" t="s">
        <v>13425</v>
      </c>
      <c r="Q2869" s="14" t="s">
        <v>31</v>
      </c>
      <c r="R2869" s="14" t="s">
        <v>247</v>
      </c>
      <c r="S2869" s="16" t="s">
        <v>13426</v>
      </c>
      <c r="T2869" s="14" t="s">
        <v>249</v>
      </c>
      <c r="U2869" s="16" t="s">
        <v>31</v>
      </c>
      <c r="V2869" s="14" t="s">
        <v>29</v>
      </c>
      <c r="W2869" s="14" t="s">
        <v>13207</v>
      </c>
      <c r="X2869" s="17" t="str">
        <f>HYPERLINK("https://my.pitchbook.com?p=456199-84P","View People Online")</f>
        <v>View People Online</v>
      </c>
    </row>
    <row r="2870">
      <c r="A2870" s="2" t="s">
        <v>18748</v>
      </c>
      <c r="B2870" s="2" t="s">
        <v>18749</v>
      </c>
      <c r="C2870" s="2" t="s">
        <v>18750</v>
      </c>
      <c r="D2870" s="2" t="s">
        <v>18751</v>
      </c>
      <c r="E2870" s="2" t="s">
        <v>13207</v>
      </c>
      <c r="F2870" s="2" t="s">
        <v>3523</v>
      </c>
      <c r="G2870" s="2" t="s">
        <v>18752</v>
      </c>
      <c r="H2870" s="3" t="s">
        <v>31</v>
      </c>
      <c r="I2870" s="3">
        <v>1.0</v>
      </c>
      <c r="J2870" s="3">
        <v>1.0</v>
      </c>
      <c r="K2870" s="3" t="s">
        <v>31</v>
      </c>
      <c r="L2870" s="4" t="s">
        <v>14597</v>
      </c>
      <c r="M2870" s="2" t="s">
        <v>18753</v>
      </c>
      <c r="N2870" s="2" t="s">
        <v>14599</v>
      </c>
      <c r="O2870" s="4" t="s">
        <v>14600</v>
      </c>
      <c r="P2870" s="2" t="s">
        <v>14601</v>
      </c>
      <c r="Q2870" s="2" t="s">
        <v>14602</v>
      </c>
      <c r="R2870" s="2" t="s">
        <v>31</v>
      </c>
      <c r="S2870" s="4" t="s">
        <v>31</v>
      </c>
      <c r="T2870" s="2" t="s">
        <v>14603</v>
      </c>
      <c r="U2870" s="4" t="s">
        <v>31</v>
      </c>
      <c r="V2870" s="2" t="s">
        <v>3523</v>
      </c>
      <c r="W2870" s="2" t="s">
        <v>13207</v>
      </c>
      <c r="X2870" s="5" t="str">
        <f>HYPERLINK("https://my.pitchbook.com?p=434825-56P","View People Online")</f>
        <v>View People Online</v>
      </c>
    </row>
    <row r="2871">
      <c r="A2871" s="6" t="s">
        <v>18754</v>
      </c>
      <c r="B2871" s="6" t="s">
        <v>18755</v>
      </c>
      <c r="C2871" s="6" t="s">
        <v>18756</v>
      </c>
      <c r="D2871" s="6" t="s">
        <v>18757</v>
      </c>
      <c r="E2871" s="6" t="s">
        <v>13207</v>
      </c>
      <c r="F2871" s="6" t="s">
        <v>13218</v>
      </c>
      <c r="G2871" s="6" t="s">
        <v>18758</v>
      </c>
      <c r="H2871" s="7" t="s">
        <v>31</v>
      </c>
      <c r="I2871" s="7">
        <v>1.0</v>
      </c>
      <c r="J2871" s="7">
        <v>1.0</v>
      </c>
      <c r="K2871" s="7" t="s">
        <v>31</v>
      </c>
      <c r="L2871" s="8" t="s">
        <v>13540</v>
      </c>
      <c r="M2871" s="6" t="s">
        <v>18759</v>
      </c>
      <c r="N2871" s="6" t="s">
        <v>418</v>
      </c>
      <c r="O2871" s="8" t="s">
        <v>419</v>
      </c>
      <c r="P2871" s="6" t="s">
        <v>13542</v>
      </c>
      <c r="Q2871" s="6" t="s">
        <v>31</v>
      </c>
      <c r="R2871" s="6" t="s">
        <v>31</v>
      </c>
      <c r="S2871" s="8" t="s">
        <v>2664</v>
      </c>
      <c r="T2871" s="6" t="s">
        <v>422</v>
      </c>
      <c r="U2871" s="8" t="s">
        <v>13543</v>
      </c>
      <c r="V2871" s="6" t="s">
        <v>13218</v>
      </c>
      <c r="W2871" s="6" t="s">
        <v>13207</v>
      </c>
      <c r="X2871" s="9" t="str">
        <f>HYPERLINK("https://my.pitchbook.com?p=242060-68P","View People Online")</f>
        <v>View People Online</v>
      </c>
    </row>
    <row r="2872">
      <c r="A2872" s="10" t="s">
        <v>18760</v>
      </c>
      <c r="B2872" s="10" t="s">
        <v>18761</v>
      </c>
      <c r="C2872" s="10" t="s">
        <v>18762</v>
      </c>
      <c r="D2872" s="10" t="s">
        <v>18342</v>
      </c>
      <c r="E2872" s="10" t="s">
        <v>13207</v>
      </c>
      <c r="F2872" s="10" t="s">
        <v>13218</v>
      </c>
      <c r="G2872" s="10" t="s">
        <v>18763</v>
      </c>
      <c r="H2872" s="11" t="s">
        <v>31</v>
      </c>
      <c r="I2872" s="11">
        <v>1.0</v>
      </c>
      <c r="J2872" s="11">
        <v>1.0</v>
      </c>
      <c r="K2872" s="11" t="s">
        <v>31</v>
      </c>
      <c r="L2872" s="12" t="s">
        <v>13281</v>
      </c>
      <c r="M2872" s="10" t="s">
        <v>18764</v>
      </c>
      <c r="N2872" s="10" t="s">
        <v>1277</v>
      </c>
      <c r="O2872" s="12" t="s">
        <v>1278</v>
      </c>
      <c r="P2872" s="10" t="s">
        <v>13283</v>
      </c>
      <c r="Q2872" s="10" t="s">
        <v>13284</v>
      </c>
      <c r="R2872" s="10" t="s">
        <v>1281</v>
      </c>
      <c r="S2872" s="12" t="s">
        <v>1282</v>
      </c>
      <c r="T2872" s="10" t="s">
        <v>66</v>
      </c>
      <c r="U2872" s="12" t="s">
        <v>13285</v>
      </c>
      <c r="V2872" s="10" t="s">
        <v>13218</v>
      </c>
      <c r="W2872" s="10" t="s">
        <v>13207</v>
      </c>
      <c r="X2872" s="13" t="str">
        <f>HYPERLINK("https://my.pitchbook.com?p=436003-12P","View People Online")</f>
        <v>View People Online</v>
      </c>
    </row>
    <row r="2873">
      <c r="A2873" s="14" t="s">
        <v>18765</v>
      </c>
      <c r="B2873" s="14" t="s">
        <v>18766</v>
      </c>
      <c r="C2873" s="14" t="s">
        <v>18767</v>
      </c>
      <c r="D2873" s="14" t="s">
        <v>18768</v>
      </c>
      <c r="E2873" s="14" t="s">
        <v>13207</v>
      </c>
      <c r="F2873" s="14" t="s">
        <v>13218</v>
      </c>
      <c r="G2873" s="14" t="s">
        <v>18769</v>
      </c>
      <c r="H2873" s="15" t="s">
        <v>31</v>
      </c>
      <c r="I2873" s="15">
        <v>1.0</v>
      </c>
      <c r="J2873" s="15">
        <v>1.0</v>
      </c>
      <c r="K2873" s="15" t="s">
        <v>31</v>
      </c>
      <c r="L2873" s="16" t="s">
        <v>13432</v>
      </c>
      <c r="M2873" s="14" t="s">
        <v>18770</v>
      </c>
      <c r="N2873" s="14" t="s">
        <v>2599</v>
      </c>
      <c r="O2873" s="16" t="s">
        <v>2600</v>
      </c>
      <c r="P2873" s="14" t="s">
        <v>13434</v>
      </c>
      <c r="Q2873" s="14" t="s">
        <v>4235</v>
      </c>
      <c r="R2873" s="14" t="s">
        <v>396</v>
      </c>
      <c r="S2873" s="16" t="s">
        <v>13435</v>
      </c>
      <c r="T2873" s="14" t="s">
        <v>66</v>
      </c>
      <c r="U2873" s="16" t="s">
        <v>13436</v>
      </c>
      <c r="V2873" s="14" t="s">
        <v>13218</v>
      </c>
      <c r="W2873" s="14" t="s">
        <v>13207</v>
      </c>
      <c r="X2873" s="17" t="str">
        <f>HYPERLINK("https://my.pitchbook.com?p=435594-34P","View People Online")</f>
        <v>View People Online</v>
      </c>
    </row>
    <row r="2874">
      <c r="A2874" s="10" t="s">
        <v>18771</v>
      </c>
      <c r="B2874" s="10" t="s">
        <v>18772</v>
      </c>
      <c r="C2874" s="10" t="s">
        <v>18773</v>
      </c>
      <c r="D2874" s="10" t="s">
        <v>18774</v>
      </c>
      <c r="E2874" s="10" t="s">
        <v>13207</v>
      </c>
      <c r="F2874" s="10" t="s">
        <v>13240</v>
      </c>
      <c r="G2874" s="10" t="s">
        <v>18775</v>
      </c>
      <c r="H2874" s="11" t="s">
        <v>31</v>
      </c>
      <c r="I2874" s="11">
        <v>1.0</v>
      </c>
      <c r="J2874" s="11">
        <v>1.0</v>
      </c>
      <c r="K2874" s="11" t="s">
        <v>31</v>
      </c>
      <c r="L2874" s="12" t="s">
        <v>13657</v>
      </c>
      <c r="M2874" s="10" t="s">
        <v>18776</v>
      </c>
      <c r="N2874" s="10" t="s">
        <v>13659</v>
      </c>
      <c r="O2874" s="12" t="s">
        <v>13660</v>
      </c>
      <c r="P2874" s="10" t="s">
        <v>13661</v>
      </c>
      <c r="Q2874" s="10" t="s">
        <v>31</v>
      </c>
      <c r="R2874" s="10" t="s">
        <v>31</v>
      </c>
      <c r="S2874" s="12" t="s">
        <v>13662</v>
      </c>
      <c r="T2874" s="10" t="s">
        <v>38</v>
      </c>
      <c r="U2874" s="12" t="s">
        <v>13663</v>
      </c>
      <c r="V2874" s="10" t="s">
        <v>13247</v>
      </c>
      <c r="W2874" s="10" t="s">
        <v>13207</v>
      </c>
      <c r="X2874" s="13" t="str">
        <f>HYPERLINK("https://my.pitchbook.com?p=435391-75P","View People Online")</f>
        <v>View People Online</v>
      </c>
    </row>
    <row r="2875">
      <c r="A2875" s="6" t="s">
        <v>18777</v>
      </c>
      <c r="B2875" s="6" t="s">
        <v>18778</v>
      </c>
      <c r="C2875" s="6" t="s">
        <v>18773</v>
      </c>
      <c r="D2875" s="6" t="s">
        <v>18779</v>
      </c>
      <c r="E2875" s="6" t="s">
        <v>13207</v>
      </c>
      <c r="F2875" s="6" t="s">
        <v>3523</v>
      </c>
      <c r="G2875" s="6" t="s">
        <v>18780</v>
      </c>
      <c r="H2875" s="7" t="s">
        <v>31</v>
      </c>
      <c r="I2875" s="7">
        <v>1.0</v>
      </c>
      <c r="J2875" s="7">
        <v>1.0</v>
      </c>
      <c r="K2875" s="7" t="s">
        <v>31</v>
      </c>
      <c r="L2875" s="8" t="s">
        <v>13299</v>
      </c>
      <c r="M2875" s="6" t="s">
        <v>18781</v>
      </c>
      <c r="N2875" s="6" t="s">
        <v>601</v>
      </c>
      <c r="O2875" s="8" t="s">
        <v>602</v>
      </c>
      <c r="P2875" s="6" t="s">
        <v>13301</v>
      </c>
      <c r="Q2875" s="6" t="s">
        <v>13302</v>
      </c>
      <c r="R2875" s="6" t="s">
        <v>31</v>
      </c>
      <c r="S2875" s="8" t="s">
        <v>31</v>
      </c>
      <c r="T2875" s="6" t="s">
        <v>603</v>
      </c>
      <c r="U2875" s="8" t="s">
        <v>13303</v>
      </c>
      <c r="V2875" s="6" t="s">
        <v>3523</v>
      </c>
      <c r="W2875" s="6" t="s">
        <v>13207</v>
      </c>
      <c r="X2875" s="9" t="str">
        <f>HYPERLINK("https://my.pitchbook.com?p=435771-46P","View People Online")</f>
        <v>View People Online</v>
      </c>
    </row>
    <row r="2876">
      <c r="A2876" s="2" t="s">
        <v>18782</v>
      </c>
      <c r="B2876" s="2" t="s">
        <v>18783</v>
      </c>
      <c r="C2876" s="2" t="s">
        <v>18784</v>
      </c>
      <c r="D2876" s="2" t="s">
        <v>18785</v>
      </c>
      <c r="E2876" s="2" t="s">
        <v>13207</v>
      </c>
      <c r="F2876" s="2" t="s">
        <v>3523</v>
      </c>
      <c r="G2876" s="2" t="s">
        <v>18786</v>
      </c>
      <c r="H2876" s="3" t="s">
        <v>31</v>
      </c>
      <c r="I2876" s="3">
        <v>1.0</v>
      </c>
      <c r="J2876" s="3">
        <v>1.0</v>
      </c>
      <c r="K2876" s="3" t="s">
        <v>31</v>
      </c>
      <c r="L2876" s="4" t="s">
        <v>13496</v>
      </c>
      <c r="M2876" s="2" t="s">
        <v>18787</v>
      </c>
      <c r="N2876" s="2" t="s">
        <v>75</v>
      </c>
      <c r="O2876" s="4" t="s">
        <v>76</v>
      </c>
      <c r="P2876" s="2" t="s">
        <v>13498</v>
      </c>
      <c r="Q2876" s="2" t="s">
        <v>31</v>
      </c>
      <c r="R2876" s="2" t="s">
        <v>75</v>
      </c>
      <c r="S2876" s="4" t="s">
        <v>195</v>
      </c>
      <c r="T2876" s="2" t="s">
        <v>66</v>
      </c>
      <c r="U2876" s="4" t="s">
        <v>13499</v>
      </c>
      <c r="V2876" s="2" t="s">
        <v>3523</v>
      </c>
      <c r="W2876" s="2" t="s">
        <v>13207</v>
      </c>
      <c r="X2876" s="5" t="str">
        <f>HYPERLINK("https://my.pitchbook.com?p=455611-69P","View People Online")</f>
        <v>View People Online</v>
      </c>
    </row>
    <row r="2877">
      <c r="A2877" s="6" t="s">
        <v>18788</v>
      </c>
      <c r="B2877" s="6" t="s">
        <v>18789</v>
      </c>
      <c r="C2877" s="6" t="s">
        <v>10463</v>
      </c>
      <c r="D2877" s="6" t="s">
        <v>18790</v>
      </c>
      <c r="E2877" s="6" t="s">
        <v>13207</v>
      </c>
      <c r="F2877" s="6" t="s">
        <v>13218</v>
      </c>
      <c r="G2877" s="6" t="s">
        <v>18791</v>
      </c>
      <c r="H2877" s="7" t="s">
        <v>31</v>
      </c>
      <c r="I2877" s="7">
        <v>1.0</v>
      </c>
      <c r="J2877" s="7">
        <v>1.0</v>
      </c>
      <c r="K2877" s="7" t="s">
        <v>31</v>
      </c>
      <c r="L2877" s="8" t="s">
        <v>13309</v>
      </c>
      <c r="M2877" s="6" t="s">
        <v>18792</v>
      </c>
      <c r="N2877" s="6" t="s">
        <v>13311</v>
      </c>
      <c r="O2877" s="8" t="s">
        <v>13312</v>
      </c>
      <c r="P2877" s="6" t="s">
        <v>13313</v>
      </c>
      <c r="Q2877" s="6" t="s">
        <v>31</v>
      </c>
      <c r="R2877" s="6" t="s">
        <v>31</v>
      </c>
      <c r="S2877" s="8" t="s">
        <v>13314</v>
      </c>
      <c r="T2877" s="6" t="s">
        <v>13315</v>
      </c>
      <c r="U2877" s="8" t="s">
        <v>13316</v>
      </c>
      <c r="V2877" s="6" t="s">
        <v>18793</v>
      </c>
      <c r="W2877" s="6" t="s">
        <v>13207</v>
      </c>
      <c r="X2877" s="9" t="str">
        <f>HYPERLINK("https://my.pitchbook.com?p=456844-42P","View People Online")</f>
        <v>View People Online</v>
      </c>
    </row>
    <row r="2878">
      <c r="A2878" s="10" t="s">
        <v>18794</v>
      </c>
      <c r="B2878" s="10" t="s">
        <v>18795</v>
      </c>
      <c r="C2878" s="10" t="s">
        <v>2221</v>
      </c>
      <c r="D2878" s="10" t="s">
        <v>18796</v>
      </c>
      <c r="E2878" s="10" t="s">
        <v>13207</v>
      </c>
      <c r="F2878" s="10" t="s">
        <v>3523</v>
      </c>
      <c r="G2878" s="10" t="s">
        <v>18797</v>
      </c>
      <c r="H2878" s="11" t="s">
        <v>31</v>
      </c>
      <c r="I2878" s="11">
        <v>1.0</v>
      </c>
      <c r="J2878" s="11">
        <v>1.0</v>
      </c>
      <c r="K2878" s="11" t="s">
        <v>31</v>
      </c>
      <c r="L2878" s="12" t="s">
        <v>13505</v>
      </c>
      <c r="M2878" s="10" t="s">
        <v>18798</v>
      </c>
      <c r="N2878" s="10" t="s">
        <v>1416</v>
      </c>
      <c r="O2878" s="12" t="s">
        <v>1417</v>
      </c>
      <c r="P2878" s="10" t="s">
        <v>13507</v>
      </c>
      <c r="Q2878" s="10" t="s">
        <v>1457</v>
      </c>
      <c r="R2878" s="10" t="s">
        <v>1420</v>
      </c>
      <c r="S2878" s="12" t="s">
        <v>13508</v>
      </c>
      <c r="T2878" s="10" t="s">
        <v>66</v>
      </c>
      <c r="U2878" s="12" t="s">
        <v>13509</v>
      </c>
      <c r="V2878" s="10" t="s">
        <v>3523</v>
      </c>
      <c r="W2878" s="10" t="s">
        <v>13207</v>
      </c>
      <c r="X2878" s="13" t="str">
        <f>HYPERLINK("https://my.pitchbook.com?p=456082-30P","View People Online")</f>
        <v>View People Online</v>
      </c>
    </row>
    <row r="2879">
      <c r="A2879" s="14" t="s">
        <v>18799</v>
      </c>
      <c r="B2879" s="14" t="s">
        <v>18800</v>
      </c>
      <c r="C2879" s="14" t="s">
        <v>18801</v>
      </c>
      <c r="D2879" s="14" t="s">
        <v>18802</v>
      </c>
      <c r="E2879" s="14" t="s">
        <v>13207</v>
      </c>
      <c r="F2879" s="14" t="s">
        <v>29</v>
      </c>
      <c r="G2879" s="14" t="s">
        <v>18803</v>
      </c>
      <c r="H2879" s="15" t="s">
        <v>31</v>
      </c>
      <c r="I2879" s="15">
        <v>1.0</v>
      </c>
      <c r="J2879" s="15">
        <v>1.0</v>
      </c>
      <c r="K2879" s="15" t="s">
        <v>31</v>
      </c>
      <c r="L2879" s="16" t="s">
        <v>13801</v>
      </c>
      <c r="M2879" s="14" t="s">
        <v>18804</v>
      </c>
      <c r="N2879" s="14" t="s">
        <v>1024</v>
      </c>
      <c r="O2879" s="16" t="s">
        <v>2718</v>
      </c>
      <c r="P2879" s="14" t="s">
        <v>13803</v>
      </c>
      <c r="Q2879" s="14" t="s">
        <v>13804</v>
      </c>
      <c r="R2879" s="14" t="s">
        <v>31</v>
      </c>
      <c r="S2879" s="16" t="s">
        <v>31</v>
      </c>
      <c r="T2879" s="14" t="s">
        <v>2721</v>
      </c>
      <c r="U2879" s="16" t="s">
        <v>31</v>
      </c>
      <c r="V2879" s="14" t="s">
        <v>29</v>
      </c>
      <c r="W2879" s="14" t="s">
        <v>13207</v>
      </c>
      <c r="X2879" s="17" t="str">
        <f>HYPERLINK("https://my.pitchbook.com?p=436150-81P","View People Online")</f>
        <v>View People Online</v>
      </c>
    </row>
    <row r="2880">
      <c r="A2880" s="10" t="s">
        <v>18805</v>
      </c>
      <c r="B2880" s="10" t="s">
        <v>18806</v>
      </c>
      <c r="C2880" s="10" t="s">
        <v>18807</v>
      </c>
      <c r="D2880" s="10" t="s">
        <v>18808</v>
      </c>
      <c r="E2880" s="10" t="s">
        <v>13207</v>
      </c>
      <c r="F2880" s="10" t="s">
        <v>3523</v>
      </c>
      <c r="G2880" s="10" t="s">
        <v>18809</v>
      </c>
      <c r="H2880" s="11" t="s">
        <v>31</v>
      </c>
      <c r="I2880" s="11">
        <v>1.0</v>
      </c>
      <c r="J2880" s="11">
        <v>1.0</v>
      </c>
      <c r="K2880" s="11" t="s">
        <v>31</v>
      </c>
      <c r="L2880" s="12" t="s">
        <v>18810</v>
      </c>
      <c r="M2880" s="10" t="s">
        <v>18811</v>
      </c>
      <c r="N2880" s="10" t="s">
        <v>18812</v>
      </c>
      <c r="O2880" s="12" t="s">
        <v>18813</v>
      </c>
      <c r="P2880" s="10" t="s">
        <v>18814</v>
      </c>
      <c r="Q2880" s="10" t="s">
        <v>18815</v>
      </c>
      <c r="R2880" s="10" t="s">
        <v>18816</v>
      </c>
      <c r="S2880" s="12" t="s">
        <v>18817</v>
      </c>
      <c r="T2880" s="10" t="s">
        <v>66</v>
      </c>
      <c r="U2880" s="12" t="s">
        <v>18818</v>
      </c>
      <c r="V2880" s="10" t="s">
        <v>3523</v>
      </c>
      <c r="W2880" s="10" t="s">
        <v>13207</v>
      </c>
      <c r="X2880" s="13" t="str">
        <f>HYPERLINK("https://my.pitchbook.com?p=456845-59P","View People Online")</f>
        <v>View People Online</v>
      </c>
    </row>
    <row r="2881">
      <c r="A2881" s="14" t="s">
        <v>18819</v>
      </c>
      <c r="B2881" s="14" t="s">
        <v>18820</v>
      </c>
      <c r="C2881" s="14" t="s">
        <v>18807</v>
      </c>
      <c r="D2881" s="14" t="s">
        <v>10096</v>
      </c>
      <c r="E2881" s="14" t="s">
        <v>13207</v>
      </c>
      <c r="F2881" s="14" t="s">
        <v>13218</v>
      </c>
      <c r="G2881" s="14" t="s">
        <v>18821</v>
      </c>
      <c r="H2881" s="15" t="s">
        <v>31</v>
      </c>
      <c r="I2881" s="15">
        <v>1.0</v>
      </c>
      <c r="J2881" s="15">
        <v>1.0</v>
      </c>
      <c r="K2881" s="15" t="s">
        <v>31</v>
      </c>
      <c r="L2881" s="16" t="s">
        <v>13496</v>
      </c>
      <c r="M2881" s="14" t="s">
        <v>18822</v>
      </c>
      <c r="N2881" s="14" t="s">
        <v>75</v>
      </c>
      <c r="O2881" s="16" t="s">
        <v>76</v>
      </c>
      <c r="P2881" s="14" t="s">
        <v>13498</v>
      </c>
      <c r="Q2881" s="14" t="s">
        <v>31</v>
      </c>
      <c r="R2881" s="14" t="s">
        <v>75</v>
      </c>
      <c r="S2881" s="16" t="s">
        <v>195</v>
      </c>
      <c r="T2881" s="14" t="s">
        <v>66</v>
      </c>
      <c r="U2881" s="16" t="s">
        <v>13499</v>
      </c>
      <c r="V2881" s="14" t="s">
        <v>13218</v>
      </c>
      <c r="W2881" s="14" t="s">
        <v>13207</v>
      </c>
      <c r="X2881" s="17" t="str">
        <f>HYPERLINK("https://my.pitchbook.com?p=57495-25P","View People Online")</f>
        <v>View People Online</v>
      </c>
    </row>
    <row r="2882">
      <c r="A2882" s="10" t="s">
        <v>18823</v>
      </c>
      <c r="B2882" s="10" t="s">
        <v>18824</v>
      </c>
      <c r="C2882" s="10" t="s">
        <v>11731</v>
      </c>
      <c r="D2882" s="10" t="s">
        <v>18825</v>
      </c>
      <c r="E2882" s="10" t="s">
        <v>13207</v>
      </c>
      <c r="F2882" s="10" t="s">
        <v>3523</v>
      </c>
      <c r="G2882" s="10" t="s">
        <v>18826</v>
      </c>
      <c r="H2882" s="11" t="s">
        <v>31</v>
      </c>
      <c r="I2882" s="11">
        <v>1.0</v>
      </c>
      <c r="J2882" s="11">
        <v>1.0</v>
      </c>
      <c r="K2882" s="11" t="s">
        <v>31</v>
      </c>
      <c r="L2882" s="12" t="s">
        <v>13412</v>
      </c>
      <c r="M2882" s="10" t="s">
        <v>18827</v>
      </c>
      <c r="N2882" s="10" t="s">
        <v>13414</v>
      </c>
      <c r="O2882" s="12" t="s">
        <v>13415</v>
      </c>
      <c r="P2882" s="10" t="s">
        <v>13416</v>
      </c>
      <c r="Q2882" s="10" t="s">
        <v>31</v>
      </c>
      <c r="R2882" s="10" t="s">
        <v>209</v>
      </c>
      <c r="S2882" s="12" t="s">
        <v>13417</v>
      </c>
      <c r="T2882" s="10" t="s">
        <v>66</v>
      </c>
      <c r="U2882" s="12" t="s">
        <v>13418</v>
      </c>
      <c r="V2882" s="10" t="s">
        <v>3523</v>
      </c>
      <c r="W2882" s="10" t="s">
        <v>13207</v>
      </c>
      <c r="X2882" s="13" t="str">
        <f>HYPERLINK("https://my.pitchbook.com?p=456473-26P","View People Online")</f>
        <v>View People Online</v>
      </c>
    </row>
    <row r="2883">
      <c r="A2883" s="14" t="s">
        <v>18828</v>
      </c>
      <c r="B2883" s="14" t="s">
        <v>18829</v>
      </c>
      <c r="C2883" s="14" t="s">
        <v>18830</v>
      </c>
      <c r="D2883" s="14" t="s">
        <v>18831</v>
      </c>
      <c r="E2883" s="14" t="s">
        <v>13207</v>
      </c>
      <c r="F2883" s="14" t="s">
        <v>3523</v>
      </c>
      <c r="G2883" s="14" t="s">
        <v>18832</v>
      </c>
      <c r="H2883" s="15" t="s">
        <v>31</v>
      </c>
      <c r="I2883" s="15">
        <v>1.0</v>
      </c>
      <c r="J2883" s="15">
        <v>1.0</v>
      </c>
      <c r="K2883" s="15" t="s">
        <v>31</v>
      </c>
      <c r="L2883" s="16" t="s">
        <v>14387</v>
      </c>
      <c r="M2883" s="14" t="s">
        <v>18833</v>
      </c>
      <c r="N2883" s="14" t="s">
        <v>14389</v>
      </c>
      <c r="O2883" s="16" t="s">
        <v>14390</v>
      </c>
      <c r="P2883" s="14" t="s">
        <v>14391</v>
      </c>
      <c r="Q2883" s="14" t="s">
        <v>2403</v>
      </c>
      <c r="R2883" s="14" t="s">
        <v>31</v>
      </c>
      <c r="S2883" s="16" t="s">
        <v>14392</v>
      </c>
      <c r="T2883" s="14" t="s">
        <v>14393</v>
      </c>
      <c r="U2883" s="16" t="s">
        <v>14394</v>
      </c>
      <c r="V2883" s="14" t="s">
        <v>3523</v>
      </c>
      <c r="W2883" s="14" t="s">
        <v>13207</v>
      </c>
      <c r="X2883" s="17" t="str">
        <f>HYPERLINK("https://my.pitchbook.com?p=455406-94P","View People Online")</f>
        <v>View People Online</v>
      </c>
    </row>
    <row r="2884">
      <c r="A2884" s="2" t="s">
        <v>18834</v>
      </c>
      <c r="B2884" s="2" t="s">
        <v>18835</v>
      </c>
      <c r="C2884" s="2" t="s">
        <v>18836</v>
      </c>
      <c r="D2884" s="2" t="s">
        <v>18837</v>
      </c>
      <c r="E2884" s="2" t="s">
        <v>13207</v>
      </c>
      <c r="F2884" s="2" t="s">
        <v>3523</v>
      </c>
      <c r="G2884" s="2" t="s">
        <v>18838</v>
      </c>
      <c r="H2884" s="3" t="s">
        <v>31</v>
      </c>
      <c r="I2884" s="3">
        <v>1.0</v>
      </c>
      <c r="J2884" s="3">
        <v>1.0</v>
      </c>
      <c r="K2884" s="3" t="s">
        <v>31</v>
      </c>
      <c r="L2884" s="4" t="s">
        <v>13459</v>
      </c>
      <c r="M2884" s="2" t="s">
        <v>18839</v>
      </c>
      <c r="N2884" s="2" t="s">
        <v>3100</v>
      </c>
      <c r="O2884" s="4" t="s">
        <v>3101</v>
      </c>
      <c r="P2884" s="2" t="s">
        <v>13461</v>
      </c>
      <c r="Q2884" s="2" t="s">
        <v>31</v>
      </c>
      <c r="R2884" s="2" t="s">
        <v>31</v>
      </c>
      <c r="S2884" s="4" t="s">
        <v>3103</v>
      </c>
      <c r="T2884" s="2" t="s">
        <v>3104</v>
      </c>
      <c r="U2884" s="4" t="s">
        <v>13462</v>
      </c>
      <c r="V2884" s="2" t="s">
        <v>3523</v>
      </c>
      <c r="W2884" s="2" t="s">
        <v>13207</v>
      </c>
      <c r="X2884" s="5" t="str">
        <f>HYPERLINK("https://my.pitchbook.com?p=436151-44P","View People Online")</f>
        <v>View People Online</v>
      </c>
    </row>
    <row r="2885">
      <c r="A2885" s="6" t="s">
        <v>18840</v>
      </c>
      <c r="B2885" s="6" t="s">
        <v>18841</v>
      </c>
      <c r="C2885" s="6" t="s">
        <v>18836</v>
      </c>
      <c r="D2885" s="6" t="s">
        <v>18842</v>
      </c>
      <c r="E2885" s="6" t="s">
        <v>13207</v>
      </c>
      <c r="F2885" s="6" t="s">
        <v>3523</v>
      </c>
      <c r="G2885" s="6" t="s">
        <v>18843</v>
      </c>
      <c r="H2885" s="7" t="s">
        <v>31</v>
      </c>
      <c r="I2885" s="7">
        <v>1.0</v>
      </c>
      <c r="J2885" s="7">
        <v>1.0</v>
      </c>
      <c r="K2885" s="7" t="s">
        <v>31</v>
      </c>
      <c r="L2885" s="8" t="s">
        <v>13274</v>
      </c>
      <c r="M2885" s="6" t="s">
        <v>18844</v>
      </c>
      <c r="N2885" s="6" t="s">
        <v>1181</v>
      </c>
      <c r="O2885" s="8" t="s">
        <v>1182</v>
      </c>
      <c r="P2885" s="6" t="s">
        <v>13276</v>
      </c>
      <c r="Q2885" s="6" t="s">
        <v>31</v>
      </c>
      <c r="R2885" s="6" t="s">
        <v>1185</v>
      </c>
      <c r="S2885" s="8" t="s">
        <v>4438</v>
      </c>
      <c r="T2885" s="6" t="s">
        <v>66</v>
      </c>
      <c r="U2885" s="8" t="s">
        <v>13277</v>
      </c>
      <c r="V2885" s="6" t="s">
        <v>3523</v>
      </c>
      <c r="W2885" s="6" t="s">
        <v>13207</v>
      </c>
      <c r="X2885" s="9" t="str">
        <f>HYPERLINK("https://my.pitchbook.com?p=455262-04P","View People Online")</f>
        <v>View People Online</v>
      </c>
    </row>
    <row r="2886">
      <c r="A2886" s="10" t="s">
        <v>18845</v>
      </c>
      <c r="B2886" s="10" t="s">
        <v>18846</v>
      </c>
      <c r="C2886" s="10" t="s">
        <v>1644</v>
      </c>
      <c r="D2886" s="10" t="s">
        <v>18847</v>
      </c>
      <c r="E2886" s="10" t="s">
        <v>13207</v>
      </c>
      <c r="F2886" s="10" t="s">
        <v>3523</v>
      </c>
      <c r="G2886" s="10" t="s">
        <v>18848</v>
      </c>
      <c r="H2886" s="11" t="s">
        <v>31</v>
      </c>
      <c r="I2886" s="11">
        <v>1.0</v>
      </c>
      <c r="J2886" s="11">
        <v>1.0</v>
      </c>
      <c r="K2886" s="11" t="s">
        <v>31</v>
      </c>
      <c r="L2886" s="12" t="s">
        <v>13378</v>
      </c>
      <c r="M2886" s="10" t="s">
        <v>18849</v>
      </c>
      <c r="N2886" s="10" t="s">
        <v>429</v>
      </c>
      <c r="O2886" s="12" t="s">
        <v>430</v>
      </c>
      <c r="P2886" s="10" t="s">
        <v>13380</v>
      </c>
      <c r="Q2886" s="10" t="s">
        <v>31</v>
      </c>
      <c r="R2886" s="10" t="s">
        <v>31</v>
      </c>
      <c r="S2886" s="12" t="s">
        <v>13381</v>
      </c>
      <c r="T2886" s="10" t="s">
        <v>433</v>
      </c>
      <c r="U2886" s="12" t="s">
        <v>13382</v>
      </c>
      <c r="V2886" s="10" t="s">
        <v>3523</v>
      </c>
      <c r="W2886" s="10" t="s">
        <v>13207</v>
      </c>
      <c r="X2886" s="13" t="str">
        <f>HYPERLINK("https://my.pitchbook.com?p=455741-83P","View People Online")</f>
        <v>View People Online</v>
      </c>
    </row>
    <row r="2887">
      <c r="A2887" s="14" t="s">
        <v>18850</v>
      </c>
      <c r="B2887" s="14" t="s">
        <v>18851</v>
      </c>
      <c r="C2887" s="14" t="s">
        <v>1644</v>
      </c>
      <c r="D2887" s="14" t="s">
        <v>18852</v>
      </c>
      <c r="E2887" s="14" t="s">
        <v>13207</v>
      </c>
      <c r="F2887" s="14" t="s">
        <v>13218</v>
      </c>
      <c r="G2887" s="14" t="s">
        <v>18853</v>
      </c>
      <c r="H2887" s="15" t="s">
        <v>31</v>
      </c>
      <c r="I2887" s="15">
        <v>1.0</v>
      </c>
      <c r="J2887" s="15">
        <v>1.0</v>
      </c>
      <c r="K2887" s="15" t="s">
        <v>31</v>
      </c>
      <c r="L2887" s="16" t="s">
        <v>13299</v>
      </c>
      <c r="M2887" s="14" t="s">
        <v>18854</v>
      </c>
      <c r="N2887" s="14" t="s">
        <v>601</v>
      </c>
      <c r="O2887" s="16" t="s">
        <v>602</v>
      </c>
      <c r="P2887" s="14" t="s">
        <v>13301</v>
      </c>
      <c r="Q2887" s="14" t="s">
        <v>13302</v>
      </c>
      <c r="R2887" s="14" t="s">
        <v>31</v>
      </c>
      <c r="S2887" s="16" t="s">
        <v>31</v>
      </c>
      <c r="T2887" s="14" t="s">
        <v>603</v>
      </c>
      <c r="U2887" s="16" t="s">
        <v>13303</v>
      </c>
      <c r="V2887" s="14" t="s">
        <v>18855</v>
      </c>
      <c r="W2887" s="14" t="s">
        <v>13207</v>
      </c>
      <c r="X2887" s="17" t="str">
        <f>HYPERLINK("https://my.pitchbook.com?p=456392-35P","View People Online")</f>
        <v>View People Online</v>
      </c>
    </row>
    <row r="2888">
      <c r="A2888" s="2" t="s">
        <v>18856</v>
      </c>
      <c r="B2888" s="2" t="s">
        <v>18857</v>
      </c>
      <c r="C2888" s="2" t="s">
        <v>18858</v>
      </c>
      <c r="D2888" s="2" t="s">
        <v>18859</v>
      </c>
      <c r="E2888" s="2" t="s">
        <v>13207</v>
      </c>
      <c r="F2888" s="2" t="s">
        <v>3523</v>
      </c>
      <c r="G2888" s="2" t="s">
        <v>18860</v>
      </c>
      <c r="H2888" s="3" t="s">
        <v>31</v>
      </c>
      <c r="I2888" s="3">
        <v>1.0</v>
      </c>
      <c r="J2888" s="3">
        <v>1.0</v>
      </c>
      <c r="K2888" s="3" t="s">
        <v>31</v>
      </c>
      <c r="L2888" s="4" t="s">
        <v>13354</v>
      </c>
      <c r="M2888" s="2" t="s">
        <v>18861</v>
      </c>
      <c r="N2888" s="2" t="s">
        <v>13356</v>
      </c>
      <c r="O2888" s="4" t="s">
        <v>13357</v>
      </c>
      <c r="P2888" s="2" t="s">
        <v>13358</v>
      </c>
      <c r="Q2888" s="2" t="s">
        <v>13359</v>
      </c>
      <c r="R2888" s="2" t="s">
        <v>31</v>
      </c>
      <c r="S2888" s="4" t="s">
        <v>13360</v>
      </c>
      <c r="T2888" s="2" t="s">
        <v>13361</v>
      </c>
      <c r="U2888" s="4" t="s">
        <v>13362</v>
      </c>
      <c r="V2888" s="2" t="s">
        <v>3523</v>
      </c>
      <c r="W2888" s="2" t="s">
        <v>13207</v>
      </c>
      <c r="X2888" s="5" t="str">
        <f>HYPERLINK("https://my.pitchbook.com?p=456191-74P","View People Online")</f>
        <v>View People Online</v>
      </c>
    </row>
    <row r="2889">
      <c r="A2889" s="6" t="s">
        <v>18862</v>
      </c>
      <c r="B2889" s="6" t="s">
        <v>18863</v>
      </c>
      <c r="C2889" s="6" t="s">
        <v>18864</v>
      </c>
      <c r="D2889" s="6" t="s">
        <v>18865</v>
      </c>
      <c r="E2889" s="6" t="s">
        <v>13207</v>
      </c>
      <c r="F2889" s="6" t="s">
        <v>3523</v>
      </c>
      <c r="G2889" s="6" t="s">
        <v>18866</v>
      </c>
      <c r="H2889" s="7" t="s">
        <v>31</v>
      </c>
      <c r="I2889" s="7">
        <v>1.0</v>
      </c>
      <c r="J2889" s="7">
        <v>1.0</v>
      </c>
      <c r="K2889" s="7" t="s">
        <v>31</v>
      </c>
      <c r="L2889" s="8" t="s">
        <v>13263</v>
      </c>
      <c r="M2889" s="6" t="s">
        <v>18867</v>
      </c>
      <c r="N2889" s="6" t="s">
        <v>1005</v>
      </c>
      <c r="O2889" s="8" t="s">
        <v>1006</v>
      </c>
      <c r="P2889" s="6" t="s">
        <v>13265</v>
      </c>
      <c r="Q2889" s="6" t="s">
        <v>13266</v>
      </c>
      <c r="R2889" s="6" t="s">
        <v>13267</v>
      </c>
      <c r="S2889" s="8" t="s">
        <v>13268</v>
      </c>
      <c r="T2889" s="6" t="s">
        <v>1010</v>
      </c>
      <c r="U2889" s="8" t="s">
        <v>13269</v>
      </c>
      <c r="V2889" s="6" t="s">
        <v>3523</v>
      </c>
      <c r="W2889" s="6" t="s">
        <v>13207</v>
      </c>
      <c r="X2889" s="9" t="str">
        <f>HYPERLINK("https://my.pitchbook.com?p=436423-87P","View People Online")</f>
        <v>View People Online</v>
      </c>
    </row>
    <row r="2890">
      <c r="A2890" s="10" t="s">
        <v>18868</v>
      </c>
      <c r="B2890" s="10" t="s">
        <v>18869</v>
      </c>
      <c r="C2890" s="10" t="s">
        <v>18870</v>
      </c>
      <c r="D2890" s="10" t="s">
        <v>18871</v>
      </c>
      <c r="E2890" s="10" t="s">
        <v>13207</v>
      </c>
      <c r="F2890" s="10" t="s">
        <v>3523</v>
      </c>
      <c r="G2890" s="10" t="s">
        <v>18872</v>
      </c>
      <c r="H2890" s="11" t="s">
        <v>31</v>
      </c>
      <c r="I2890" s="11">
        <v>1.0</v>
      </c>
      <c r="J2890" s="11">
        <v>1.0</v>
      </c>
      <c r="K2890" s="11" t="s">
        <v>31</v>
      </c>
      <c r="L2890" s="12" t="s">
        <v>13209</v>
      </c>
      <c r="M2890" s="10" t="s">
        <v>18873</v>
      </c>
      <c r="N2890" s="10" t="s">
        <v>4232</v>
      </c>
      <c r="O2890" s="12" t="s">
        <v>4233</v>
      </c>
      <c r="P2890" s="10" t="s">
        <v>13211</v>
      </c>
      <c r="Q2890" s="10" t="s">
        <v>31</v>
      </c>
      <c r="R2890" s="10" t="s">
        <v>4236</v>
      </c>
      <c r="S2890" s="12" t="s">
        <v>13212</v>
      </c>
      <c r="T2890" s="10" t="s">
        <v>66</v>
      </c>
      <c r="U2890" s="12" t="s">
        <v>13213</v>
      </c>
      <c r="V2890" s="10" t="s">
        <v>3523</v>
      </c>
      <c r="W2890" s="10" t="s">
        <v>13207</v>
      </c>
      <c r="X2890" s="13" t="str">
        <f>HYPERLINK("https://my.pitchbook.com?p=436695-67P","View People Online")</f>
        <v>View People Online</v>
      </c>
    </row>
    <row r="2891">
      <c r="A2891" s="14" t="s">
        <v>18874</v>
      </c>
      <c r="B2891" s="14" t="s">
        <v>18875</v>
      </c>
      <c r="C2891" s="14" t="s">
        <v>18876</v>
      </c>
      <c r="D2891" s="14" t="s">
        <v>18877</v>
      </c>
      <c r="E2891" s="14" t="s">
        <v>13207</v>
      </c>
      <c r="F2891" s="14" t="s">
        <v>1283</v>
      </c>
      <c r="G2891" s="14" t="s">
        <v>18878</v>
      </c>
      <c r="H2891" s="15" t="s">
        <v>31</v>
      </c>
      <c r="I2891" s="15">
        <v>1.0</v>
      </c>
      <c r="J2891" s="15">
        <v>1.0</v>
      </c>
      <c r="K2891" s="15" t="s">
        <v>31</v>
      </c>
      <c r="L2891" s="16" t="s">
        <v>13724</v>
      </c>
      <c r="M2891" s="14" t="s">
        <v>18879</v>
      </c>
      <c r="N2891" s="14" t="s">
        <v>34</v>
      </c>
      <c r="O2891" s="16" t="s">
        <v>35</v>
      </c>
      <c r="P2891" s="14" t="s">
        <v>13726</v>
      </c>
      <c r="Q2891" s="14" t="s">
        <v>31</v>
      </c>
      <c r="R2891" s="14" t="s">
        <v>31</v>
      </c>
      <c r="S2891" s="16" t="s">
        <v>13727</v>
      </c>
      <c r="T2891" s="14" t="s">
        <v>38</v>
      </c>
      <c r="U2891" s="16" t="s">
        <v>13728</v>
      </c>
      <c r="V2891" s="14" t="s">
        <v>18880</v>
      </c>
      <c r="W2891" s="14" t="s">
        <v>13207</v>
      </c>
      <c r="X2891" s="17" t="str">
        <f>HYPERLINK("https://my.pitchbook.com?p=436234-51P","View People Online")</f>
        <v>View People Online</v>
      </c>
    </row>
    <row r="2892">
      <c r="A2892" s="10" t="s">
        <v>18881</v>
      </c>
      <c r="B2892" s="10" t="s">
        <v>18882</v>
      </c>
      <c r="C2892" s="10" t="s">
        <v>18883</v>
      </c>
      <c r="D2892" s="10" t="s">
        <v>7539</v>
      </c>
      <c r="E2892" s="10" t="s">
        <v>13207</v>
      </c>
      <c r="F2892" s="10" t="s">
        <v>29</v>
      </c>
      <c r="G2892" s="10" t="s">
        <v>18884</v>
      </c>
      <c r="H2892" s="11" t="s">
        <v>31</v>
      </c>
      <c r="I2892" s="11">
        <v>1.0</v>
      </c>
      <c r="J2892" s="11">
        <v>1.0</v>
      </c>
      <c r="K2892" s="11" t="s">
        <v>31</v>
      </c>
      <c r="L2892" s="12" t="s">
        <v>13743</v>
      </c>
      <c r="M2892" s="10" t="s">
        <v>18885</v>
      </c>
      <c r="N2892" s="10" t="s">
        <v>1034</v>
      </c>
      <c r="O2892" s="12" t="s">
        <v>1035</v>
      </c>
      <c r="P2892" s="10" t="s">
        <v>13745</v>
      </c>
      <c r="Q2892" s="10" t="s">
        <v>13746</v>
      </c>
      <c r="R2892" s="10" t="s">
        <v>31</v>
      </c>
      <c r="S2892" s="12" t="s">
        <v>13747</v>
      </c>
      <c r="T2892" s="10" t="s">
        <v>1034</v>
      </c>
      <c r="U2892" s="12" t="s">
        <v>13748</v>
      </c>
      <c r="V2892" s="10" t="s">
        <v>29</v>
      </c>
      <c r="W2892" s="10" t="s">
        <v>13207</v>
      </c>
      <c r="X2892" s="13" t="str">
        <f>HYPERLINK("https://my.pitchbook.com?p=455610-88P","View People Online")</f>
        <v>View People Online</v>
      </c>
    </row>
    <row r="2893">
      <c r="A2893" s="6" t="s">
        <v>18886</v>
      </c>
      <c r="B2893" s="6" t="s">
        <v>18887</v>
      </c>
      <c r="C2893" s="6" t="s">
        <v>18888</v>
      </c>
      <c r="D2893" s="6" t="s">
        <v>18889</v>
      </c>
      <c r="E2893" s="6" t="s">
        <v>13207</v>
      </c>
      <c r="F2893" s="6" t="s">
        <v>3523</v>
      </c>
      <c r="G2893" s="6" t="s">
        <v>18890</v>
      </c>
      <c r="H2893" s="7" t="s">
        <v>31</v>
      </c>
      <c r="I2893" s="7">
        <v>1.0</v>
      </c>
      <c r="J2893" s="7">
        <v>1.0</v>
      </c>
      <c r="K2893" s="7" t="s">
        <v>31</v>
      </c>
      <c r="L2893" s="8" t="s">
        <v>13916</v>
      </c>
      <c r="M2893" s="6" t="s">
        <v>18891</v>
      </c>
      <c r="N2893" s="6" t="s">
        <v>155</v>
      </c>
      <c r="O2893" s="8" t="s">
        <v>156</v>
      </c>
      <c r="P2893" s="6" t="s">
        <v>13918</v>
      </c>
      <c r="Q2893" s="6" t="s">
        <v>13919</v>
      </c>
      <c r="R2893" s="6" t="s">
        <v>64</v>
      </c>
      <c r="S2893" s="8" t="s">
        <v>1549</v>
      </c>
      <c r="T2893" s="6" t="s">
        <v>66</v>
      </c>
      <c r="U2893" s="8" t="s">
        <v>13920</v>
      </c>
      <c r="V2893" s="6" t="s">
        <v>3523</v>
      </c>
      <c r="W2893" s="6" t="s">
        <v>13207</v>
      </c>
      <c r="X2893" s="9" t="str">
        <f>HYPERLINK("https://my.pitchbook.com?p=435125-08P","View People Online")</f>
        <v>View People Online</v>
      </c>
    </row>
    <row r="2894">
      <c r="A2894" s="2" t="s">
        <v>18892</v>
      </c>
      <c r="B2894" s="2" t="s">
        <v>18893</v>
      </c>
      <c r="C2894" s="2" t="s">
        <v>18894</v>
      </c>
      <c r="D2894" s="2" t="s">
        <v>18895</v>
      </c>
      <c r="E2894" s="2" t="s">
        <v>13207</v>
      </c>
      <c r="F2894" s="2" t="s">
        <v>3523</v>
      </c>
      <c r="G2894" s="2" t="s">
        <v>18896</v>
      </c>
      <c r="H2894" s="3" t="s">
        <v>31</v>
      </c>
      <c r="I2894" s="3">
        <v>1.0</v>
      </c>
      <c r="J2894" s="3">
        <v>1.0</v>
      </c>
      <c r="K2894" s="3" t="s">
        <v>31</v>
      </c>
      <c r="L2894" s="4" t="s">
        <v>13378</v>
      </c>
      <c r="M2894" s="2" t="s">
        <v>18897</v>
      </c>
      <c r="N2894" s="2" t="s">
        <v>429</v>
      </c>
      <c r="O2894" s="4" t="s">
        <v>430</v>
      </c>
      <c r="P2894" s="2" t="s">
        <v>13380</v>
      </c>
      <c r="Q2894" s="2" t="s">
        <v>31</v>
      </c>
      <c r="R2894" s="2" t="s">
        <v>31</v>
      </c>
      <c r="S2894" s="4" t="s">
        <v>13381</v>
      </c>
      <c r="T2894" s="2" t="s">
        <v>433</v>
      </c>
      <c r="U2894" s="4" t="s">
        <v>13382</v>
      </c>
      <c r="V2894" s="2" t="s">
        <v>3523</v>
      </c>
      <c r="W2894" s="2" t="s">
        <v>13207</v>
      </c>
      <c r="X2894" s="5" t="str">
        <f>HYPERLINK("https://my.pitchbook.com?p=456079-24P","View People Online")</f>
        <v>View People Online</v>
      </c>
    </row>
    <row r="2895">
      <c r="A2895" s="6" t="s">
        <v>18898</v>
      </c>
      <c r="B2895" s="6" t="s">
        <v>18899</v>
      </c>
      <c r="C2895" s="6" t="s">
        <v>18900</v>
      </c>
      <c r="D2895" s="6" t="s">
        <v>18901</v>
      </c>
      <c r="E2895" s="6" t="s">
        <v>13207</v>
      </c>
      <c r="F2895" s="6" t="s">
        <v>3523</v>
      </c>
      <c r="G2895" s="6" t="s">
        <v>18902</v>
      </c>
      <c r="H2895" s="7" t="s">
        <v>31</v>
      </c>
      <c r="I2895" s="7">
        <v>1.0</v>
      </c>
      <c r="J2895" s="7">
        <v>1.0</v>
      </c>
      <c r="K2895" s="7" t="s">
        <v>31</v>
      </c>
      <c r="L2895" s="8" t="s">
        <v>13916</v>
      </c>
      <c r="M2895" s="6" t="s">
        <v>18903</v>
      </c>
      <c r="N2895" s="6" t="s">
        <v>155</v>
      </c>
      <c r="O2895" s="8" t="s">
        <v>156</v>
      </c>
      <c r="P2895" s="6" t="s">
        <v>13918</v>
      </c>
      <c r="Q2895" s="6" t="s">
        <v>13919</v>
      </c>
      <c r="R2895" s="6" t="s">
        <v>64</v>
      </c>
      <c r="S2895" s="8" t="s">
        <v>1549</v>
      </c>
      <c r="T2895" s="6" t="s">
        <v>66</v>
      </c>
      <c r="U2895" s="8" t="s">
        <v>13920</v>
      </c>
      <c r="V2895" s="6" t="s">
        <v>18904</v>
      </c>
      <c r="W2895" s="6" t="s">
        <v>13207</v>
      </c>
      <c r="X2895" s="9" t="str">
        <f>HYPERLINK("https://my.pitchbook.com?p=435593-89P","View People Online")</f>
        <v>View People Online</v>
      </c>
    </row>
    <row r="2896">
      <c r="A2896" s="2" t="s">
        <v>18905</v>
      </c>
      <c r="B2896" s="2" t="s">
        <v>18906</v>
      </c>
      <c r="C2896" s="2" t="s">
        <v>5113</v>
      </c>
      <c r="D2896" s="2" t="s">
        <v>18907</v>
      </c>
      <c r="E2896" s="2" t="s">
        <v>13207</v>
      </c>
      <c r="F2896" s="2" t="s">
        <v>13218</v>
      </c>
      <c r="G2896" s="2" t="s">
        <v>18908</v>
      </c>
      <c r="H2896" s="3" t="s">
        <v>31</v>
      </c>
      <c r="I2896" s="3">
        <v>1.0</v>
      </c>
      <c r="J2896" s="3">
        <v>1.0</v>
      </c>
      <c r="K2896" s="3" t="s">
        <v>31</v>
      </c>
      <c r="L2896" s="4" t="s">
        <v>13888</v>
      </c>
      <c r="M2896" s="2" t="s">
        <v>18909</v>
      </c>
      <c r="N2896" s="2" t="s">
        <v>13890</v>
      </c>
      <c r="O2896" s="4" t="s">
        <v>13891</v>
      </c>
      <c r="P2896" s="2" t="s">
        <v>13892</v>
      </c>
      <c r="Q2896" s="2" t="s">
        <v>31</v>
      </c>
      <c r="R2896" s="2" t="s">
        <v>31</v>
      </c>
      <c r="S2896" s="4" t="s">
        <v>13893</v>
      </c>
      <c r="T2896" s="2" t="s">
        <v>13894</v>
      </c>
      <c r="U2896" s="4" t="s">
        <v>31</v>
      </c>
      <c r="V2896" s="2" t="s">
        <v>18910</v>
      </c>
      <c r="W2896" s="2" t="s">
        <v>13207</v>
      </c>
      <c r="X2896" s="5" t="str">
        <f>HYPERLINK("https://my.pitchbook.com?p=435753-28P","View People Online")</f>
        <v>View People Online</v>
      </c>
    </row>
    <row r="2897">
      <c r="A2897" s="14" t="s">
        <v>18911</v>
      </c>
      <c r="B2897" s="14" t="s">
        <v>18912</v>
      </c>
      <c r="C2897" s="14" t="s">
        <v>5113</v>
      </c>
      <c r="D2897" s="14" t="s">
        <v>18913</v>
      </c>
      <c r="E2897" s="14" t="s">
        <v>13207</v>
      </c>
      <c r="F2897" s="14" t="s">
        <v>318</v>
      </c>
      <c r="G2897" s="14" t="s">
        <v>18914</v>
      </c>
      <c r="H2897" s="15" t="s">
        <v>31</v>
      </c>
      <c r="I2897" s="15">
        <v>1.0</v>
      </c>
      <c r="J2897" s="15">
        <v>1.0</v>
      </c>
      <c r="K2897" s="15" t="s">
        <v>31</v>
      </c>
      <c r="L2897" s="16" t="s">
        <v>13281</v>
      </c>
      <c r="M2897" s="14" t="s">
        <v>18915</v>
      </c>
      <c r="N2897" s="14" t="s">
        <v>1277</v>
      </c>
      <c r="O2897" s="16" t="s">
        <v>1278</v>
      </c>
      <c r="P2897" s="14" t="s">
        <v>13283</v>
      </c>
      <c r="Q2897" s="14" t="s">
        <v>13284</v>
      </c>
      <c r="R2897" s="14" t="s">
        <v>1281</v>
      </c>
      <c r="S2897" s="16" t="s">
        <v>1282</v>
      </c>
      <c r="T2897" s="14" t="s">
        <v>66</v>
      </c>
      <c r="U2897" s="16" t="s">
        <v>13285</v>
      </c>
      <c r="V2897" s="14" t="s">
        <v>318</v>
      </c>
      <c r="W2897" s="14" t="s">
        <v>13207</v>
      </c>
      <c r="X2897" s="17" t="str">
        <f>HYPERLINK("https://my.pitchbook.com?p=455801-95P","View People Online")</f>
        <v>View People Online</v>
      </c>
    </row>
    <row r="2898">
      <c r="A2898" s="2" t="s">
        <v>18916</v>
      </c>
      <c r="B2898" s="2" t="s">
        <v>18917</v>
      </c>
      <c r="C2898" s="2" t="s">
        <v>18918</v>
      </c>
      <c r="D2898" s="2" t="s">
        <v>11187</v>
      </c>
      <c r="E2898" s="2" t="s">
        <v>13207</v>
      </c>
      <c r="F2898" s="2" t="s">
        <v>3523</v>
      </c>
      <c r="G2898" s="2" t="s">
        <v>18919</v>
      </c>
      <c r="H2898" s="3" t="s">
        <v>31</v>
      </c>
      <c r="I2898" s="3">
        <v>1.0</v>
      </c>
      <c r="J2898" s="3">
        <v>1.0</v>
      </c>
      <c r="K2898" s="3" t="s">
        <v>31</v>
      </c>
      <c r="L2898" s="4" t="s">
        <v>13496</v>
      </c>
      <c r="M2898" s="2" t="s">
        <v>18920</v>
      </c>
      <c r="N2898" s="2" t="s">
        <v>75</v>
      </c>
      <c r="O2898" s="4" t="s">
        <v>76</v>
      </c>
      <c r="P2898" s="2" t="s">
        <v>13498</v>
      </c>
      <c r="Q2898" s="2" t="s">
        <v>31</v>
      </c>
      <c r="R2898" s="2" t="s">
        <v>75</v>
      </c>
      <c r="S2898" s="4" t="s">
        <v>195</v>
      </c>
      <c r="T2898" s="2" t="s">
        <v>66</v>
      </c>
      <c r="U2898" s="4" t="s">
        <v>13499</v>
      </c>
      <c r="V2898" s="2" t="s">
        <v>3523</v>
      </c>
      <c r="W2898" s="2" t="s">
        <v>13207</v>
      </c>
      <c r="X2898" s="5" t="str">
        <f>HYPERLINK("https://my.pitchbook.com?p=435914-02P","View People Online")</f>
        <v>View People Online</v>
      </c>
    </row>
    <row r="2899">
      <c r="A2899" s="6" t="s">
        <v>18921</v>
      </c>
      <c r="B2899" s="6" t="s">
        <v>18922</v>
      </c>
      <c r="C2899" s="6" t="s">
        <v>18923</v>
      </c>
      <c r="D2899" s="6" t="s">
        <v>18924</v>
      </c>
      <c r="E2899" s="6" t="s">
        <v>13207</v>
      </c>
      <c r="F2899" s="6" t="s">
        <v>29</v>
      </c>
      <c r="G2899" s="6" t="s">
        <v>18925</v>
      </c>
      <c r="H2899" s="7" t="s">
        <v>31</v>
      </c>
      <c r="I2899" s="7">
        <v>1.0</v>
      </c>
      <c r="J2899" s="7">
        <v>1.0</v>
      </c>
      <c r="K2899" s="7" t="s">
        <v>31</v>
      </c>
      <c r="L2899" s="8" t="s">
        <v>13673</v>
      </c>
      <c r="M2899" s="6" t="s">
        <v>18926</v>
      </c>
      <c r="N2899" s="6" t="s">
        <v>6311</v>
      </c>
      <c r="O2899" s="8" t="s">
        <v>6312</v>
      </c>
      <c r="P2899" s="6" t="s">
        <v>13675</v>
      </c>
      <c r="Q2899" s="6" t="s">
        <v>31</v>
      </c>
      <c r="R2899" s="6" t="s">
        <v>31</v>
      </c>
      <c r="S2899" s="8" t="s">
        <v>13676</v>
      </c>
      <c r="T2899" s="6" t="s">
        <v>6315</v>
      </c>
      <c r="U2899" s="8" t="s">
        <v>13677</v>
      </c>
      <c r="V2899" s="6" t="s">
        <v>29</v>
      </c>
      <c r="W2899" s="6" t="s">
        <v>13207</v>
      </c>
      <c r="X2899" s="9" t="str">
        <f>HYPERLINK("https://my.pitchbook.com?p=436352-68P","View People Online")</f>
        <v>View People Online</v>
      </c>
    </row>
    <row r="2900">
      <c r="A2900" s="2" t="s">
        <v>18927</v>
      </c>
      <c r="B2900" s="2" t="s">
        <v>18928</v>
      </c>
      <c r="C2900" s="2" t="s">
        <v>18929</v>
      </c>
      <c r="D2900" s="2" t="s">
        <v>18930</v>
      </c>
      <c r="E2900" s="2" t="s">
        <v>13207</v>
      </c>
      <c r="F2900" s="2" t="s">
        <v>13218</v>
      </c>
      <c r="G2900" s="2" t="s">
        <v>18931</v>
      </c>
      <c r="H2900" s="3" t="s">
        <v>31</v>
      </c>
      <c r="I2900" s="3">
        <v>1.0</v>
      </c>
      <c r="J2900" s="3">
        <v>1.0</v>
      </c>
      <c r="K2900" s="3" t="s">
        <v>31</v>
      </c>
      <c r="L2900" s="4" t="s">
        <v>17870</v>
      </c>
      <c r="M2900" s="2" t="s">
        <v>18932</v>
      </c>
      <c r="N2900" s="2" t="s">
        <v>17872</v>
      </c>
      <c r="O2900" s="4" t="s">
        <v>17873</v>
      </c>
      <c r="P2900" s="2" t="s">
        <v>17874</v>
      </c>
      <c r="Q2900" s="2" t="s">
        <v>31</v>
      </c>
      <c r="R2900" s="2" t="s">
        <v>31</v>
      </c>
      <c r="S2900" s="4" t="s">
        <v>17875</v>
      </c>
      <c r="T2900" s="2" t="s">
        <v>2278</v>
      </c>
      <c r="U2900" s="4" t="s">
        <v>17876</v>
      </c>
      <c r="V2900" s="2" t="s">
        <v>13218</v>
      </c>
      <c r="W2900" s="2" t="s">
        <v>13207</v>
      </c>
      <c r="X2900" s="5" t="str">
        <f>HYPERLINK("https://my.pitchbook.com?p=436166-56P","View People Online")</f>
        <v>View People Online</v>
      </c>
    </row>
    <row r="2901">
      <c r="A2901" s="14" t="s">
        <v>18933</v>
      </c>
      <c r="B2901" s="14" t="s">
        <v>18934</v>
      </c>
      <c r="C2901" s="14" t="s">
        <v>18935</v>
      </c>
      <c r="D2901" s="14" t="s">
        <v>18936</v>
      </c>
      <c r="E2901" s="14" t="s">
        <v>13207</v>
      </c>
      <c r="F2901" s="14" t="s">
        <v>13218</v>
      </c>
      <c r="G2901" s="14" t="s">
        <v>18937</v>
      </c>
      <c r="H2901" s="15" t="s">
        <v>31</v>
      </c>
      <c r="I2901" s="15">
        <v>2.0</v>
      </c>
      <c r="J2901" s="15">
        <v>1.0</v>
      </c>
      <c r="K2901" s="15">
        <v>1.0</v>
      </c>
      <c r="L2901" s="16" t="s">
        <v>18938</v>
      </c>
      <c r="M2901" s="14" t="s">
        <v>18939</v>
      </c>
      <c r="N2901" s="14" t="s">
        <v>429</v>
      </c>
      <c r="O2901" s="16" t="s">
        <v>430</v>
      </c>
      <c r="P2901" s="14" t="s">
        <v>13380</v>
      </c>
      <c r="Q2901" s="14" t="s">
        <v>31</v>
      </c>
      <c r="R2901" s="14" t="s">
        <v>31</v>
      </c>
      <c r="S2901" s="16" t="s">
        <v>13381</v>
      </c>
      <c r="T2901" s="14" t="s">
        <v>433</v>
      </c>
      <c r="U2901" s="16" t="s">
        <v>13382</v>
      </c>
      <c r="V2901" s="14" t="s">
        <v>13218</v>
      </c>
      <c r="W2901" s="14" t="s">
        <v>13207</v>
      </c>
      <c r="X2901" s="17" t="str">
        <f>HYPERLINK("https://my.pitchbook.com?p=148515-40P","View People Online")</f>
        <v>View People Online</v>
      </c>
    </row>
    <row r="2902">
      <c r="A2902" s="2" t="s">
        <v>18940</v>
      </c>
      <c r="B2902" s="2" t="s">
        <v>18941</v>
      </c>
      <c r="C2902" s="2" t="s">
        <v>18942</v>
      </c>
      <c r="D2902" s="2" t="s">
        <v>18943</v>
      </c>
      <c r="E2902" s="2" t="s">
        <v>13207</v>
      </c>
      <c r="F2902" s="2" t="s">
        <v>29</v>
      </c>
      <c r="G2902" s="2" t="s">
        <v>18944</v>
      </c>
      <c r="H2902" s="3" t="s">
        <v>31</v>
      </c>
      <c r="I2902" s="3">
        <v>1.0</v>
      </c>
      <c r="J2902" s="3">
        <v>1.0</v>
      </c>
      <c r="K2902" s="3" t="s">
        <v>31</v>
      </c>
      <c r="L2902" s="4" t="s">
        <v>13242</v>
      </c>
      <c r="M2902" s="2" t="s">
        <v>18945</v>
      </c>
      <c r="N2902" s="2" t="s">
        <v>9865</v>
      </c>
      <c r="O2902" s="4" t="s">
        <v>9866</v>
      </c>
      <c r="P2902" s="2" t="s">
        <v>13244</v>
      </c>
      <c r="Q2902" s="2" t="s">
        <v>31</v>
      </c>
      <c r="R2902" s="2" t="s">
        <v>31</v>
      </c>
      <c r="S2902" s="4" t="s">
        <v>13245</v>
      </c>
      <c r="T2902" s="2" t="s">
        <v>38</v>
      </c>
      <c r="U2902" s="4" t="s">
        <v>13246</v>
      </c>
      <c r="V2902" s="2" t="s">
        <v>29</v>
      </c>
      <c r="W2902" s="2" t="s">
        <v>13207</v>
      </c>
      <c r="X2902" s="5" t="str">
        <f>HYPERLINK("https://my.pitchbook.com?p=436226-86P","View People Online")</f>
        <v>View People Online</v>
      </c>
    </row>
    <row r="2903">
      <c r="A2903" s="6" t="s">
        <v>18946</v>
      </c>
      <c r="B2903" s="6" t="s">
        <v>18947</v>
      </c>
      <c r="C2903" s="6" t="s">
        <v>18942</v>
      </c>
      <c r="D2903" s="6" t="s">
        <v>18948</v>
      </c>
      <c r="E2903" s="6" t="s">
        <v>13207</v>
      </c>
      <c r="F2903" s="6" t="s">
        <v>3523</v>
      </c>
      <c r="G2903" s="6" t="s">
        <v>18949</v>
      </c>
      <c r="H2903" s="7" t="s">
        <v>31</v>
      </c>
      <c r="I2903" s="7">
        <v>1.0</v>
      </c>
      <c r="J2903" s="7">
        <v>1.0</v>
      </c>
      <c r="K2903" s="7" t="s">
        <v>31</v>
      </c>
      <c r="L2903" s="8" t="s">
        <v>13459</v>
      </c>
      <c r="M2903" s="6" t="s">
        <v>18950</v>
      </c>
      <c r="N2903" s="6" t="s">
        <v>3100</v>
      </c>
      <c r="O2903" s="8" t="s">
        <v>3101</v>
      </c>
      <c r="P2903" s="6" t="s">
        <v>13461</v>
      </c>
      <c r="Q2903" s="6" t="s">
        <v>31</v>
      </c>
      <c r="R2903" s="6" t="s">
        <v>31</v>
      </c>
      <c r="S2903" s="8" t="s">
        <v>3103</v>
      </c>
      <c r="T2903" s="6" t="s">
        <v>3104</v>
      </c>
      <c r="U2903" s="8" t="s">
        <v>13462</v>
      </c>
      <c r="V2903" s="6" t="s">
        <v>3523</v>
      </c>
      <c r="W2903" s="6" t="s">
        <v>13207</v>
      </c>
      <c r="X2903" s="9" t="str">
        <f>HYPERLINK("https://my.pitchbook.com?p=426882-16P","View People Online")</f>
        <v>View People Online</v>
      </c>
    </row>
    <row r="2904">
      <c r="A2904" s="2" t="s">
        <v>18951</v>
      </c>
      <c r="B2904" s="2" t="s">
        <v>18952</v>
      </c>
      <c r="C2904" s="2" t="s">
        <v>18953</v>
      </c>
      <c r="D2904" s="2" t="s">
        <v>18954</v>
      </c>
      <c r="E2904" s="2" t="s">
        <v>13207</v>
      </c>
      <c r="F2904" s="2" t="s">
        <v>3523</v>
      </c>
      <c r="G2904" s="2" t="s">
        <v>18955</v>
      </c>
      <c r="H2904" s="3" t="s">
        <v>31</v>
      </c>
      <c r="I2904" s="3">
        <v>1.0</v>
      </c>
      <c r="J2904" s="3">
        <v>1.0</v>
      </c>
      <c r="K2904" s="3" t="s">
        <v>31</v>
      </c>
      <c r="L2904" s="4" t="s">
        <v>13540</v>
      </c>
      <c r="M2904" s="2" t="s">
        <v>18956</v>
      </c>
      <c r="N2904" s="2" t="s">
        <v>418</v>
      </c>
      <c r="O2904" s="4" t="s">
        <v>419</v>
      </c>
      <c r="P2904" s="2" t="s">
        <v>13542</v>
      </c>
      <c r="Q2904" s="2" t="s">
        <v>31</v>
      </c>
      <c r="R2904" s="2" t="s">
        <v>31</v>
      </c>
      <c r="S2904" s="4" t="s">
        <v>2664</v>
      </c>
      <c r="T2904" s="2" t="s">
        <v>422</v>
      </c>
      <c r="U2904" s="4" t="s">
        <v>13543</v>
      </c>
      <c r="V2904" s="2" t="s">
        <v>3523</v>
      </c>
      <c r="W2904" s="2" t="s">
        <v>13207</v>
      </c>
      <c r="X2904" s="5" t="str">
        <f>HYPERLINK("https://my.pitchbook.com?p=435453-04P","View People Online")</f>
        <v>View People Online</v>
      </c>
    </row>
    <row r="2905">
      <c r="A2905" s="6" t="s">
        <v>18957</v>
      </c>
      <c r="B2905" s="6" t="s">
        <v>18958</v>
      </c>
      <c r="C2905" s="6" t="s">
        <v>18953</v>
      </c>
      <c r="D2905" s="6" t="s">
        <v>18959</v>
      </c>
      <c r="E2905" s="6" t="s">
        <v>13207</v>
      </c>
      <c r="F2905" s="6" t="s">
        <v>3523</v>
      </c>
      <c r="G2905" s="6" t="s">
        <v>18960</v>
      </c>
      <c r="H2905" s="7" t="s">
        <v>31</v>
      </c>
      <c r="I2905" s="7">
        <v>1.0</v>
      </c>
      <c r="J2905" s="7">
        <v>1.0</v>
      </c>
      <c r="K2905" s="7" t="s">
        <v>31</v>
      </c>
      <c r="L2905" s="8" t="s">
        <v>16040</v>
      </c>
      <c r="M2905" s="6" t="s">
        <v>18961</v>
      </c>
      <c r="N2905" s="6" t="s">
        <v>465</v>
      </c>
      <c r="O2905" s="8" t="s">
        <v>466</v>
      </c>
      <c r="P2905" s="6" t="s">
        <v>16042</v>
      </c>
      <c r="Q2905" s="6" t="s">
        <v>31</v>
      </c>
      <c r="R2905" s="6" t="s">
        <v>31</v>
      </c>
      <c r="S2905" s="8" t="s">
        <v>16043</v>
      </c>
      <c r="T2905" s="6" t="s">
        <v>422</v>
      </c>
      <c r="U2905" s="8" t="s">
        <v>16044</v>
      </c>
      <c r="V2905" s="6" t="s">
        <v>3523</v>
      </c>
      <c r="W2905" s="6" t="s">
        <v>13207</v>
      </c>
      <c r="X2905" s="9" t="str">
        <f>HYPERLINK("https://my.pitchbook.com?p=456772-15P","View People Online")</f>
        <v>View People Online</v>
      </c>
    </row>
    <row r="2906">
      <c r="A2906" s="2" t="s">
        <v>18962</v>
      </c>
      <c r="B2906" s="2" t="s">
        <v>18963</v>
      </c>
      <c r="C2906" s="2" t="s">
        <v>6453</v>
      </c>
      <c r="D2906" s="2" t="s">
        <v>18964</v>
      </c>
      <c r="E2906" s="2" t="s">
        <v>13207</v>
      </c>
      <c r="F2906" s="2" t="s">
        <v>3523</v>
      </c>
      <c r="G2906" s="2" t="s">
        <v>18965</v>
      </c>
      <c r="H2906" s="3" t="s">
        <v>31</v>
      </c>
      <c r="I2906" s="3">
        <v>1.0</v>
      </c>
      <c r="J2906" s="3">
        <v>1.0</v>
      </c>
      <c r="K2906" s="3" t="s">
        <v>31</v>
      </c>
      <c r="L2906" s="4" t="s">
        <v>13423</v>
      </c>
      <c r="M2906" s="2" t="s">
        <v>18966</v>
      </c>
      <c r="N2906" s="2" t="s">
        <v>243</v>
      </c>
      <c r="O2906" s="4" t="s">
        <v>244</v>
      </c>
      <c r="P2906" s="2" t="s">
        <v>13425</v>
      </c>
      <c r="Q2906" s="2" t="s">
        <v>31</v>
      </c>
      <c r="R2906" s="2" t="s">
        <v>247</v>
      </c>
      <c r="S2906" s="4" t="s">
        <v>13426</v>
      </c>
      <c r="T2906" s="2" t="s">
        <v>249</v>
      </c>
      <c r="U2906" s="4" t="s">
        <v>31</v>
      </c>
      <c r="V2906" s="2" t="s">
        <v>3523</v>
      </c>
      <c r="W2906" s="2" t="s">
        <v>13207</v>
      </c>
      <c r="X2906" s="5" t="str">
        <f>HYPERLINK("https://my.pitchbook.com?p=436396-78P","View People Online")</f>
        <v>View People Online</v>
      </c>
    </row>
    <row r="2907">
      <c r="A2907" s="14" t="s">
        <v>18967</v>
      </c>
      <c r="B2907" s="14" t="s">
        <v>18968</v>
      </c>
      <c r="C2907" s="14" t="s">
        <v>4021</v>
      </c>
      <c r="D2907" s="14" t="s">
        <v>18969</v>
      </c>
      <c r="E2907" s="14" t="s">
        <v>13207</v>
      </c>
      <c r="F2907" s="14" t="s">
        <v>13218</v>
      </c>
      <c r="G2907" s="14" t="s">
        <v>18970</v>
      </c>
      <c r="H2907" s="15" t="s">
        <v>31</v>
      </c>
      <c r="I2907" s="15">
        <v>1.0</v>
      </c>
      <c r="J2907" s="15">
        <v>1.0</v>
      </c>
      <c r="K2907" s="15" t="s">
        <v>31</v>
      </c>
      <c r="L2907" s="16" t="s">
        <v>13743</v>
      </c>
      <c r="M2907" s="14" t="s">
        <v>18971</v>
      </c>
      <c r="N2907" s="14" t="s">
        <v>1034</v>
      </c>
      <c r="O2907" s="16" t="s">
        <v>1035</v>
      </c>
      <c r="P2907" s="14" t="s">
        <v>13745</v>
      </c>
      <c r="Q2907" s="14" t="s">
        <v>13746</v>
      </c>
      <c r="R2907" s="14" t="s">
        <v>31</v>
      </c>
      <c r="S2907" s="16" t="s">
        <v>13747</v>
      </c>
      <c r="T2907" s="14" t="s">
        <v>1034</v>
      </c>
      <c r="U2907" s="16" t="s">
        <v>13748</v>
      </c>
      <c r="V2907" s="14" t="s">
        <v>13218</v>
      </c>
      <c r="W2907" s="14" t="s">
        <v>13207</v>
      </c>
      <c r="X2907" s="17" t="str">
        <f>HYPERLINK("https://my.pitchbook.com?p=435638-53P","View People Online")</f>
        <v>View People Online</v>
      </c>
    </row>
    <row r="2908">
      <c r="A2908" s="2" t="s">
        <v>18972</v>
      </c>
      <c r="B2908" s="2" t="s">
        <v>18973</v>
      </c>
      <c r="C2908" s="2" t="s">
        <v>4465</v>
      </c>
      <c r="D2908" s="2" t="s">
        <v>18974</v>
      </c>
      <c r="E2908" s="2" t="s">
        <v>13207</v>
      </c>
      <c r="F2908" s="2" t="s">
        <v>13218</v>
      </c>
      <c r="G2908" s="2" t="s">
        <v>18975</v>
      </c>
      <c r="H2908" s="3" t="s">
        <v>31</v>
      </c>
      <c r="I2908" s="3">
        <v>1.0</v>
      </c>
      <c r="J2908" s="3">
        <v>1.0</v>
      </c>
      <c r="K2908" s="3" t="s">
        <v>31</v>
      </c>
      <c r="L2908" s="4" t="s">
        <v>13399</v>
      </c>
      <c r="M2908" s="2" t="s">
        <v>18976</v>
      </c>
      <c r="N2908" s="2" t="s">
        <v>13401</v>
      </c>
      <c r="O2908" s="4" t="s">
        <v>13402</v>
      </c>
      <c r="P2908" s="2" t="s">
        <v>13403</v>
      </c>
      <c r="Q2908" s="2" t="s">
        <v>13404</v>
      </c>
      <c r="R2908" s="2" t="s">
        <v>31</v>
      </c>
      <c r="S2908" s="4" t="s">
        <v>13405</v>
      </c>
      <c r="T2908" s="2" t="s">
        <v>13406</v>
      </c>
      <c r="U2908" s="4" t="s">
        <v>13407</v>
      </c>
      <c r="V2908" s="2" t="s">
        <v>13218</v>
      </c>
      <c r="W2908" s="2" t="s">
        <v>13207</v>
      </c>
      <c r="X2908" s="5" t="str">
        <f>HYPERLINK("https://my.pitchbook.com?p=456589-99P","View People Online")</f>
        <v>View People Online</v>
      </c>
    </row>
    <row r="2909">
      <c r="A2909" s="6" t="s">
        <v>18977</v>
      </c>
      <c r="B2909" s="6" t="s">
        <v>18978</v>
      </c>
      <c r="C2909" s="6" t="s">
        <v>4465</v>
      </c>
      <c r="D2909" s="6" t="s">
        <v>18979</v>
      </c>
      <c r="E2909" s="6" t="s">
        <v>13207</v>
      </c>
      <c r="F2909" s="6" t="s">
        <v>3523</v>
      </c>
      <c r="G2909" s="6" t="s">
        <v>18980</v>
      </c>
      <c r="H2909" s="7" t="s">
        <v>31</v>
      </c>
      <c r="I2909" s="7">
        <v>1.0</v>
      </c>
      <c r="J2909" s="7">
        <v>1.0</v>
      </c>
      <c r="K2909" s="7" t="s">
        <v>31</v>
      </c>
      <c r="L2909" s="8" t="s">
        <v>13766</v>
      </c>
      <c r="M2909" s="6" t="s">
        <v>18981</v>
      </c>
      <c r="N2909" s="6" t="s">
        <v>13768</v>
      </c>
      <c r="O2909" s="8" t="s">
        <v>13769</v>
      </c>
      <c r="P2909" s="6" t="s">
        <v>13770</v>
      </c>
      <c r="Q2909" s="6" t="s">
        <v>13771</v>
      </c>
      <c r="R2909" s="6" t="s">
        <v>31</v>
      </c>
      <c r="S2909" s="8" t="s">
        <v>13772</v>
      </c>
      <c r="T2909" s="6" t="s">
        <v>13773</v>
      </c>
      <c r="U2909" s="8" t="s">
        <v>31</v>
      </c>
      <c r="V2909" s="6" t="s">
        <v>3523</v>
      </c>
      <c r="W2909" s="6" t="s">
        <v>13207</v>
      </c>
      <c r="X2909" s="9" t="str">
        <f>HYPERLINK("https://my.pitchbook.com?p=436407-85P","View People Online")</f>
        <v>View People Online</v>
      </c>
    </row>
    <row r="2910">
      <c r="A2910" s="2" t="s">
        <v>18982</v>
      </c>
      <c r="B2910" s="2" t="s">
        <v>18983</v>
      </c>
      <c r="C2910" s="2" t="s">
        <v>4465</v>
      </c>
      <c r="D2910" s="2" t="s">
        <v>18984</v>
      </c>
      <c r="E2910" s="2" t="s">
        <v>13207</v>
      </c>
      <c r="F2910" s="2" t="s">
        <v>3523</v>
      </c>
      <c r="G2910" s="2" t="s">
        <v>18985</v>
      </c>
      <c r="H2910" s="3" t="s">
        <v>31</v>
      </c>
      <c r="I2910" s="3">
        <v>1.0</v>
      </c>
      <c r="J2910" s="3">
        <v>1.0</v>
      </c>
      <c r="K2910" s="3" t="s">
        <v>31</v>
      </c>
      <c r="L2910" s="4" t="s">
        <v>13766</v>
      </c>
      <c r="M2910" s="2" t="s">
        <v>18986</v>
      </c>
      <c r="N2910" s="2" t="s">
        <v>13768</v>
      </c>
      <c r="O2910" s="4" t="s">
        <v>13769</v>
      </c>
      <c r="P2910" s="2" t="s">
        <v>13770</v>
      </c>
      <c r="Q2910" s="2" t="s">
        <v>13771</v>
      </c>
      <c r="R2910" s="2" t="s">
        <v>31</v>
      </c>
      <c r="S2910" s="4" t="s">
        <v>13772</v>
      </c>
      <c r="T2910" s="2" t="s">
        <v>13773</v>
      </c>
      <c r="U2910" s="4" t="s">
        <v>31</v>
      </c>
      <c r="V2910" s="2" t="s">
        <v>3523</v>
      </c>
      <c r="W2910" s="2" t="s">
        <v>13207</v>
      </c>
      <c r="X2910" s="5" t="str">
        <f>HYPERLINK("https://my.pitchbook.com?p=456213-70P","View People Online")</f>
        <v>View People Online</v>
      </c>
    </row>
    <row r="2911">
      <c r="A2911" s="14" t="s">
        <v>18987</v>
      </c>
      <c r="B2911" s="14" t="s">
        <v>18988</v>
      </c>
      <c r="C2911" s="14" t="s">
        <v>4465</v>
      </c>
      <c r="D2911" s="14" t="s">
        <v>18989</v>
      </c>
      <c r="E2911" s="14" t="s">
        <v>13207</v>
      </c>
      <c r="F2911" s="14" t="s">
        <v>3523</v>
      </c>
      <c r="G2911" s="14" t="s">
        <v>18990</v>
      </c>
      <c r="H2911" s="15" t="s">
        <v>31</v>
      </c>
      <c r="I2911" s="15">
        <v>1.0</v>
      </c>
      <c r="J2911" s="15">
        <v>1.0</v>
      </c>
      <c r="K2911" s="15" t="s">
        <v>31</v>
      </c>
      <c r="L2911" s="16" t="s">
        <v>13378</v>
      </c>
      <c r="M2911" s="14" t="s">
        <v>18991</v>
      </c>
      <c r="N2911" s="14" t="s">
        <v>429</v>
      </c>
      <c r="O2911" s="16" t="s">
        <v>430</v>
      </c>
      <c r="P2911" s="14" t="s">
        <v>13380</v>
      </c>
      <c r="Q2911" s="14" t="s">
        <v>31</v>
      </c>
      <c r="R2911" s="14" t="s">
        <v>31</v>
      </c>
      <c r="S2911" s="16" t="s">
        <v>13381</v>
      </c>
      <c r="T2911" s="14" t="s">
        <v>433</v>
      </c>
      <c r="U2911" s="16" t="s">
        <v>13382</v>
      </c>
      <c r="V2911" s="14" t="s">
        <v>3523</v>
      </c>
      <c r="W2911" s="14" t="s">
        <v>13207</v>
      </c>
      <c r="X2911" s="17" t="str">
        <f>HYPERLINK("https://my.pitchbook.com?p=436129-30P","View People Online")</f>
        <v>View People Online</v>
      </c>
    </row>
    <row r="2912">
      <c r="A2912" s="10" t="s">
        <v>18992</v>
      </c>
      <c r="B2912" s="10" t="s">
        <v>18993</v>
      </c>
      <c r="C2912" s="10" t="s">
        <v>4465</v>
      </c>
      <c r="D2912" s="10" t="s">
        <v>18994</v>
      </c>
      <c r="E2912" s="10" t="s">
        <v>13207</v>
      </c>
      <c r="F2912" s="10" t="s">
        <v>3523</v>
      </c>
      <c r="G2912" s="10" t="s">
        <v>18995</v>
      </c>
      <c r="H2912" s="11" t="s">
        <v>31</v>
      </c>
      <c r="I2912" s="11">
        <v>1.0</v>
      </c>
      <c r="J2912" s="11">
        <v>1.0</v>
      </c>
      <c r="K2912" s="11" t="s">
        <v>31</v>
      </c>
      <c r="L2912" s="12" t="s">
        <v>13766</v>
      </c>
      <c r="M2912" s="10" t="s">
        <v>18996</v>
      </c>
      <c r="N2912" s="10" t="s">
        <v>13768</v>
      </c>
      <c r="O2912" s="12" t="s">
        <v>13769</v>
      </c>
      <c r="P2912" s="10" t="s">
        <v>13770</v>
      </c>
      <c r="Q2912" s="10" t="s">
        <v>13771</v>
      </c>
      <c r="R2912" s="10" t="s">
        <v>31</v>
      </c>
      <c r="S2912" s="12" t="s">
        <v>13772</v>
      </c>
      <c r="T2912" s="10" t="s">
        <v>13773</v>
      </c>
      <c r="U2912" s="12" t="s">
        <v>31</v>
      </c>
      <c r="V2912" s="10" t="s">
        <v>3523</v>
      </c>
      <c r="W2912" s="10" t="s">
        <v>13207</v>
      </c>
      <c r="X2912" s="13" t="str">
        <f>HYPERLINK("https://my.pitchbook.com?p=435813-49P","View People Online")</f>
        <v>View People Online</v>
      </c>
    </row>
    <row r="2913">
      <c r="A2913" s="14" t="s">
        <v>18997</v>
      </c>
      <c r="B2913" s="14" t="s">
        <v>18998</v>
      </c>
      <c r="C2913" s="14" t="s">
        <v>18999</v>
      </c>
      <c r="D2913" s="14" t="s">
        <v>19000</v>
      </c>
      <c r="E2913" s="14" t="s">
        <v>13207</v>
      </c>
      <c r="F2913" s="14" t="s">
        <v>3523</v>
      </c>
      <c r="G2913" s="14" t="s">
        <v>19001</v>
      </c>
      <c r="H2913" s="15" t="s">
        <v>31</v>
      </c>
      <c r="I2913" s="15">
        <v>1.0</v>
      </c>
      <c r="J2913" s="15">
        <v>1.0</v>
      </c>
      <c r="K2913" s="15" t="s">
        <v>31</v>
      </c>
      <c r="L2913" s="16" t="s">
        <v>13766</v>
      </c>
      <c r="M2913" s="14" t="s">
        <v>19002</v>
      </c>
      <c r="N2913" s="14" t="s">
        <v>13768</v>
      </c>
      <c r="O2913" s="16" t="s">
        <v>13769</v>
      </c>
      <c r="P2913" s="14" t="s">
        <v>13770</v>
      </c>
      <c r="Q2913" s="14" t="s">
        <v>13771</v>
      </c>
      <c r="R2913" s="14" t="s">
        <v>31</v>
      </c>
      <c r="S2913" s="16" t="s">
        <v>13772</v>
      </c>
      <c r="T2913" s="14" t="s">
        <v>13773</v>
      </c>
      <c r="U2913" s="16" t="s">
        <v>31</v>
      </c>
      <c r="V2913" s="14" t="s">
        <v>3523</v>
      </c>
      <c r="W2913" s="14" t="s">
        <v>13207</v>
      </c>
      <c r="X2913" s="17" t="str">
        <f>HYPERLINK("https://my.pitchbook.com?p=436314-34P","View People Online")</f>
        <v>View People Online</v>
      </c>
    </row>
    <row r="2914">
      <c r="A2914" s="10" t="s">
        <v>19003</v>
      </c>
      <c r="B2914" s="10" t="s">
        <v>19004</v>
      </c>
      <c r="C2914" s="10" t="s">
        <v>19005</v>
      </c>
      <c r="D2914" s="10" t="s">
        <v>3908</v>
      </c>
      <c r="E2914" s="10" t="s">
        <v>13207</v>
      </c>
      <c r="F2914" s="10" t="s">
        <v>29</v>
      </c>
      <c r="G2914" s="10" t="s">
        <v>19006</v>
      </c>
      <c r="H2914" s="11" t="s">
        <v>31</v>
      </c>
      <c r="I2914" s="11">
        <v>1.0</v>
      </c>
      <c r="J2914" s="11">
        <v>1.0</v>
      </c>
      <c r="K2914" s="11" t="s">
        <v>31</v>
      </c>
      <c r="L2914" s="12" t="s">
        <v>15357</v>
      </c>
      <c r="M2914" s="10" t="s">
        <v>19007</v>
      </c>
      <c r="N2914" s="10" t="s">
        <v>1454</v>
      </c>
      <c r="O2914" s="12" t="s">
        <v>1455</v>
      </c>
      <c r="P2914" s="10" t="s">
        <v>15359</v>
      </c>
      <c r="Q2914" s="10" t="s">
        <v>13635</v>
      </c>
      <c r="R2914" s="10" t="s">
        <v>93</v>
      </c>
      <c r="S2914" s="12" t="s">
        <v>1458</v>
      </c>
      <c r="T2914" s="10" t="s">
        <v>66</v>
      </c>
      <c r="U2914" s="12" t="s">
        <v>15360</v>
      </c>
      <c r="V2914" s="10" t="s">
        <v>29</v>
      </c>
      <c r="W2914" s="10" t="s">
        <v>13207</v>
      </c>
      <c r="X2914" s="13" t="str">
        <f>HYPERLINK("https://my.pitchbook.com?p=436231-90P","View People Online")</f>
        <v>View People Online</v>
      </c>
    </row>
    <row r="2915">
      <c r="A2915" s="14" t="s">
        <v>19008</v>
      </c>
      <c r="B2915" s="14" t="s">
        <v>19009</v>
      </c>
      <c r="C2915" s="14" t="s">
        <v>19010</v>
      </c>
      <c r="D2915" s="14" t="s">
        <v>19011</v>
      </c>
      <c r="E2915" s="14" t="s">
        <v>13207</v>
      </c>
      <c r="F2915" s="14" t="s">
        <v>1283</v>
      </c>
      <c r="G2915" s="14" t="s">
        <v>19012</v>
      </c>
      <c r="H2915" s="15" t="s">
        <v>31</v>
      </c>
      <c r="I2915" s="15">
        <v>1.0</v>
      </c>
      <c r="J2915" s="15">
        <v>1.0</v>
      </c>
      <c r="K2915" s="15" t="s">
        <v>31</v>
      </c>
      <c r="L2915" s="16" t="s">
        <v>13714</v>
      </c>
      <c r="M2915" s="14" t="s">
        <v>19013</v>
      </c>
      <c r="N2915" s="14" t="s">
        <v>13716</v>
      </c>
      <c r="O2915" s="16" t="s">
        <v>13717</v>
      </c>
      <c r="P2915" s="14" t="s">
        <v>13718</v>
      </c>
      <c r="Q2915" s="14" t="s">
        <v>31</v>
      </c>
      <c r="R2915" s="14" t="s">
        <v>31</v>
      </c>
      <c r="S2915" s="16" t="s">
        <v>13719</v>
      </c>
      <c r="T2915" s="14" t="s">
        <v>38</v>
      </c>
      <c r="U2915" s="16" t="s">
        <v>13720</v>
      </c>
      <c r="V2915" s="14" t="s">
        <v>13974</v>
      </c>
      <c r="W2915" s="14" t="s">
        <v>13207</v>
      </c>
      <c r="X2915" s="17" t="str">
        <f>HYPERLINK("https://my.pitchbook.com?p=436339-00P","View People Online")</f>
        <v>View People Online</v>
      </c>
    </row>
    <row r="2916">
      <c r="A2916" s="10" t="s">
        <v>19014</v>
      </c>
      <c r="B2916" s="10" t="s">
        <v>19015</v>
      </c>
      <c r="C2916" s="10" t="s">
        <v>3126</v>
      </c>
      <c r="D2916" s="10" t="s">
        <v>19016</v>
      </c>
      <c r="E2916" s="10" t="s">
        <v>13207</v>
      </c>
      <c r="F2916" s="10" t="s">
        <v>13218</v>
      </c>
      <c r="G2916" s="10" t="s">
        <v>19017</v>
      </c>
      <c r="H2916" s="11" t="s">
        <v>31</v>
      </c>
      <c r="I2916" s="11">
        <v>1.0</v>
      </c>
      <c r="J2916" s="11">
        <v>1.0</v>
      </c>
      <c r="K2916" s="11" t="s">
        <v>31</v>
      </c>
      <c r="L2916" s="12" t="s">
        <v>13531</v>
      </c>
      <c r="M2916" s="10" t="s">
        <v>19018</v>
      </c>
      <c r="N2916" s="10" t="s">
        <v>2273</v>
      </c>
      <c r="O2916" s="12" t="s">
        <v>2274</v>
      </c>
      <c r="P2916" s="10" t="s">
        <v>13533</v>
      </c>
      <c r="Q2916" s="10" t="s">
        <v>31</v>
      </c>
      <c r="R2916" s="10" t="s">
        <v>31</v>
      </c>
      <c r="S2916" s="12" t="s">
        <v>13534</v>
      </c>
      <c r="T2916" s="10" t="s">
        <v>2278</v>
      </c>
      <c r="U2916" s="12" t="s">
        <v>13535</v>
      </c>
      <c r="V2916" s="10" t="s">
        <v>13218</v>
      </c>
      <c r="W2916" s="10" t="s">
        <v>13207</v>
      </c>
      <c r="X2916" s="13" t="str">
        <f>HYPERLINK("https://my.pitchbook.com?p=296279-92P","View People Online")</f>
        <v>View People Online</v>
      </c>
    </row>
    <row r="2917">
      <c r="A2917" s="14" t="s">
        <v>19019</v>
      </c>
      <c r="B2917" s="14" t="s">
        <v>19020</v>
      </c>
      <c r="C2917" s="14" t="s">
        <v>3126</v>
      </c>
      <c r="D2917" s="14" t="s">
        <v>19021</v>
      </c>
      <c r="E2917" s="14" t="s">
        <v>13207</v>
      </c>
      <c r="F2917" s="14" t="s">
        <v>3523</v>
      </c>
      <c r="G2917" s="14" t="s">
        <v>19022</v>
      </c>
      <c r="H2917" s="15" t="s">
        <v>31</v>
      </c>
      <c r="I2917" s="15">
        <v>1.0</v>
      </c>
      <c r="J2917" s="15">
        <v>1.0</v>
      </c>
      <c r="K2917" s="15" t="s">
        <v>31</v>
      </c>
      <c r="L2917" s="16" t="s">
        <v>13531</v>
      </c>
      <c r="M2917" s="14" t="s">
        <v>19023</v>
      </c>
      <c r="N2917" s="14" t="s">
        <v>2273</v>
      </c>
      <c r="O2917" s="16" t="s">
        <v>2274</v>
      </c>
      <c r="P2917" s="14" t="s">
        <v>13533</v>
      </c>
      <c r="Q2917" s="14" t="s">
        <v>31</v>
      </c>
      <c r="R2917" s="14" t="s">
        <v>31</v>
      </c>
      <c r="S2917" s="16" t="s">
        <v>13534</v>
      </c>
      <c r="T2917" s="14" t="s">
        <v>2278</v>
      </c>
      <c r="U2917" s="16" t="s">
        <v>13535</v>
      </c>
      <c r="V2917" s="14" t="s">
        <v>3523</v>
      </c>
      <c r="W2917" s="14" t="s">
        <v>13207</v>
      </c>
      <c r="X2917" s="17" t="str">
        <f>HYPERLINK("https://my.pitchbook.com?p=455375-08P","View People Online")</f>
        <v>View People Online</v>
      </c>
    </row>
    <row r="2918">
      <c r="A2918" s="10" t="s">
        <v>19024</v>
      </c>
      <c r="B2918" s="10" t="s">
        <v>19025</v>
      </c>
      <c r="C2918" s="10" t="s">
        <v>3126</v>
      </c>
      <c r="D2918" s="10" t="s">
        <v>3360</v>
      </c>
      <c r="E2918" s="10" t="s">
        <v>13207</v>
      </c>
      <c r="F2918" s="10" t="s">
        <v>3523</v>
      </c>
      <c r="G2918" s="10" t="s">
        <v>19026</v>
      </c>
      <c r="H2918" s="11" t="s">
        <v>31</v>
      </c>
      <c r="I2918" s="11">
        <v>1.0</v>
      </c>
      <c r="J2918" s="11">
        <v>1.0</v>
      </c>
      <c r="K2918" s="11" t="s">
        <v>31</v>
      </c>
      <c r="L2918" s="12" t="s">
        <v>13299</v>
      </c>
      <c r="M2918" s="10" t="s">
        <v>19027</v>
      </c>
      <c r="N2918" s="10" t="s">
        <v>601</v>
      </c>
      <c r="O2918" s="12" t="s">
        <v>602</v>
      </c>
      <c r="P2918" s="10" t="s">
        <v>13301</v>
      </c>
      <c r="Q2918" s="10" t="s">
        <v>13302</v>
      </c>
      <c r="R2918" s="10" t="s">
        <v>31</v>
      </c>
      <c r="S2918" s="12" t="s">
        <v>31</v>
      </c>
      <c r="T2918" s="10" t="s">
        <v>603</v>
      </c>
      <c r="U2918" s="12" t="s">
        <v>13303</v>
      </c>
      <c r="V2918" s="10" t="s">
        <v>3523</v>
      </c>
      <c r="W2918" s="10" t="s">
        <v>13207</v>
      </c>
      <c r="X2918" s="13" t="str">
        <f>HYPERLINK("https://my.pitchbook.com?p=435831-31P","View People Online")</f>
        <v>View People Online</v>
      </c>
    </row>
    <row r="2919">
      <c r="A2919" s="14" t="s">
        <v>19028</v>
      </c>
      <c r="B2919" s="14" t="s">
        <v>19029</v>
      </c>
      <c r="C2919" s="14" t="s">
        <v>19030</v>
      </c>
      <c r="D2919" s="14" t="s">
        <v>19031</v>
      </c>
      <c r="E2919" s="14" t="s">
        <v>13207</v>
      </c>
      <c r="F2919" s="14" t="s">
        <v>13218</v>
      </c>
      <c r="G2919" s="14" t="s">
        <v>19032</v>
      </c>
      <c r="H2919" s="15" t="s">
        <v>31</v>
      </c>
      <c r="I2919" s="15">
        <v>1.0</v>
      </c>
      <c r="J2919" s="15">
        <v>1.0</v>
      </c>
      <c r="K2919" s="15" t="s">
        <v>31</v>
      </c>
      <c r="L2919" s="16" t="s">
        <v>13252</v>
      </c>
      <c r="M2919" s="14" t="s">
        <v>19033</v>
      </c>
      <c r="N2919" s="14" t="s">
        <v>13254</v>
      </c>
      <c r="O2919" s="16" t="s">
        <v>13255</v>
      </c>
      <c r="P2919" s="14" t="s">
        <v>13256</v>
      </c>
      <c r="Q2919" s="14" t="s">
        <v>31</v>
      </c>
      <c r="R2919" s="14" t="s">
        <v>31</v>
      </c>
      <c r="S2919" s="16" t="s">
        <v>13257</v>
      </c>
      <c r="T2919" s="14" t="s">
        <v>13258</v>
      </c>
      <c r="U2919" s="16" t="s">
        <v>13259</v>
      </c>
      <c r="V2919" s="14" t="s">
        <v>13218</v>
      </c>
      <c r="W2919" s="14" t="s">
        <v>13207</v>
      </c>
      <c r="X2919" s="17" t="str">
        <f>HYPERLINK("https://my.pitchbook.com?p=435284-56P","View People Online")</f>
        <v>View People Online</v>
      </c>
    </row>
    <row r="2920">
      <c r="A2920" s="10" t="s">
        <v>19034</v>
      </c>
      <c r="B2920" s="10" t="s">
        <v>19035</v>
      </c>
      <c r="C2920" s="10" t="s">
        <v>19036</v>
      </c>
      <c r="D2920" s="10" t="s">
        <v>11544</v>
      </c>
      <c r="E2920" s="10" t="s">
        <v>13207</v>
      </c>
      <c r="F2920" s="10" t="s">
        <v>3523</v>
      </c>
      <c r="G2920" s="10" t="s">
        <v>19037</v>
      </c>
      <c r="H2920" s="11" t="s">
        <v>31</v>
      </c>
      <c r="I2920" s="11">
        <v>1.0</v>
      </c>
      <c r="J2920" s="11">
        <v>1.0</v>
      </c>
      <c r="K2920" s="11" t="s">
        <v>31</v>
      </c>
      <c r="L2920" s="12" t="s">
        <v>13299</v>
      </c>
      <c r="M2920" s="10" t="s">
        <v>19038</v>
      </c>
      <c r="N2920" s="10" t="s">
        <v>601</v>
      </c>
      <c r="O2920" s="12" t="s">
        <v>602</v>
      </c>
      <c r="P2920" s="10" t="s">
        <v>13301</v>
      </c>
      <c r="Q2920" s="10" t="s">
        <v>13302</v>
      </c>
      <c r="R2920" s="10" t="s">
        <v>31</v>
      </c>
      <c r="S2920" s="12" t="s">
        <v>31</v>
      </c>
      <c r="T2920" s="10" t="s">
        <v>603</v>
      </c>
      <c r="U2920" s="12" t="s">
        <v>13303</v>
      </c>
      <c r="V2920" s="10" t="s">
        <v>3523</v>
      </c>
      <c r="W2920" s="10" t="s">
        <v>13207</v>
      </c>
      <c r="X2920" s="13" t="str">
        <f>HYPERLINK("https://my.pitchbook.com?p=456388-39P","View People Online")</f>
        <v>View People Online</v>
      </c>
    </row>
    <row r="2921">
      <c r="A2921" s="6" t="s">
        <v>19039</v>
      </c>
      <c r="B2921" s="6" t="s">
        <v>19040</v>
      </c>
      <c r="C2921" s="6" t="s">
        <v>19041</v>
      </c>
      <c r="D2921" s="6" t="s">
        <v>19042</v>
      </c>
      <c r="E2921" s="6" t="s">
        <v>13207</v>
      </c>
      <c r="F2921" s="6" t="s">
        <v>3523</v>
      </c>
      <c r="G2921" s="6" t="s">
        <v>19043</v>
      </c>
      <c r="H2921" s="7" t="s">
        <v>31</v>
      </c>
      <c r="I2921" s="7">
        <v>2.0</v>
      </c>
      <c r="J2921" s="7">
        <v>1.0</v>
      </c>
      <c r="K2921" s="7">
        <v>1.0</v>
      </c>
      <c r="L2921" s="8" t="s">
        <v>13549</v>
      </c>
      <c r="M2921" s="6" t="s">
        <v>19044</v>
      </c>
      <c r="N2921" s="6" t="s">
        <v>794</v>
      </c>
      <c r="O2921" s="8" t="s">
        <v>795</v>
      </c>
      <c r="P2921" s="6" t="s">
        <v>13551</v>
      </c>
      <c r="Q2921" s="6" t="s">
        <v>13552</v>
      </c>
      <c r="R2921" s="6" t="s">
        <v>31</v>
      </c>
      <c r="S2921" s="8" t="s">
        <v>13553</v>
      </c>
      <c r="T2921" s="6" t="s">
        <v>796</v>
      </c>
      <c r="U2921" s="8" t="s">
        <v>13554</v>
      </c>
      <c r="V2921" s="6" t="s">
        <v>17571</v>
      </c>
      <c r="W2921" s="6" t="s">
        <v>13207</v>
      </c>
      <c r="X2921" s="9" t="str">
        <f>HYPERLINK("https://my.pitchbook.com?p=195936-40P","View People Online")</f>
        <v>View People Online</v>
      </c>
    </row>
    <row r="2922">
      <c r="A2922" s="2" t="s">
        <v>19045</v>
      </c>
      <c r="B2922" s="2" t="s">
        <v>19046</v>
      </c>
      <c r="C2922" s="2" t="s">
        <v>19047</v>
      </c>
      <c r="D2922" s="2" t="s">
        <v>19048</v>
      </c>
      <c r="E2922" s="2" t="s">
        <v>13207</v>
      </c>
      <c r="F2922" s="2" t="s">
        <v>29</v>
      </c>
      <c r="G2922" s="2" t="s">
        <v>19049</v>
      </c>
      <c r="H2922" s="3" t="s">
        <v>31</v>
      </c>
      <c r="I2922" s="3">
        <v>1.0</v>
      </c>
      <c r="J2922" s="3">
        <v>1.0</v>
      </c>
      <c r="K2922" s="3" t="s">
        <v>31</v>
      </c>
      <c r="L2922" s="4" t="s">
        <v>13299</v>
      </c>
      <c r="M2922" s="2" t="s">
        <v>19050</v>
      </c>
      <c r="N2922" s="2" t="s">
        <v>601</v>
      </c>
      <c r="O2922" s="4" t="s">
        <v>602</v>
      </c>
      <c r="P2922" s="2" t="s">
        <v>13301</v>
      </c>
      <c r="Q2922" s="2" t="s">
        <v>13302</v>
      </c>
      <c r="R2922" s="2" t="s">
        <v>31</v>
      </c>
      <c r="S2922" s="4" t="s">
        <v>31</v>
      </c>
      <c r="T2922" s="2" t="s">
        <v>603</v>
      </c>
      <c r="U2922" s="4" t="s">
        <v>13303</v>
      </c>
      <c r="V2922" s="2" t="s">
        <v>29</v>
      </c>
      <c r="W2922" s="2" t="s">
        <v>13207</v>
      </c>
      <c r="X2922" s="5" t="str">
        <f>HYPERLINK("https://my.pitchbook.com?p=455552-20P","View People Online")</f>
        <v>View People Online</v>
      </c>
    </row>
    <row r="2923">
      <c r="A2923" s="14" t="s">
        <v>19051</v>
      </c>
      <c r="B2923" s="14" t="s">
        <v>19052</v>
      </c>
      <c r="C2923" s="14" t="s">
        <v>19053</v>
      </c>
      <c r="D2923" s="14" t="s">
        <v>19054</v>
      </c>
      <c r="E2923" s="14" t="s">
        <v>13207</v>
      </c>
      <c r="F2923" s="14" t="s">
        <v>3523</v>
      </c>
      <c r="G2923" s="14" t="s">
        <v>19055</v>
      </c>
      <c r="H2923" s="15" t="s">
        <v>31</v>
      </c>
      <c r="I2923" s="15">
        <v>1.0</v>
      </c>
      <c r="J2923" s="15">
        <v>1.0</v>
      </c>
      <c r="K2923" s="15" t="s">
        <v>31</v>
      </c>
      <c r="L2923" s="16" t="s">
        <v>13714</v>
      </c>
      <c r="M2923" s="14" t="s">
        <v>19056</v>
      </c>
      <c r="N2923" s="14" t="s">
        <v>13716</v>
      </c>
      <c r="O2923" s="16" t="s">
        <v>13717</v>
      </c>
      <c r="P2923" s="14" t="s">
        <v>13718</v>
      </c>
      <c r="Q2923" s="14" t="s">
        <v>31</v>
      </c>
      <c r="R2923" s="14" t="s">
        <v>31</v>
      </c>
      <c r="S2923" s="16" t="s">
        <v>13719</v>
      </c>
      <c r="T2923" s="14" t="s">
        <v>38</v>
      </c>
      <c r="U2923" s="16" t="s">
        <v>13720</v>
      </c>
      <c r="V2923" s="14" t="s">
        <v>3523</v>
      </c>
      <c r="W2923" s="14" t="s">
        <v>13207</v>
      </c>
      <c r="X2923" s="17" t="str">
        <f>HYPERLINK("https://my.pitchbook.com?p=436228-93P","View People Online")</f>
        <v>View People Online</v>
      </c>
    </row>
    <row r="2924">
      <c r="A2924" s="10" t="s">
        <v>19057</v>
      </c>
      <c r="B2924" s="10" t="s">
        <v>19058</v>
      </c>
      <c r="C2924" s="10" t="s">
        <v>19059</v>
      </c>
      <c r="D2924" s="10" t="s">
        <v>19060</v>
      </c>
      <c r="E2924" s="10" t="s">
        <v>13207</v>
      </c>
      <c r="F2924" s="10" t="s">
        <v>3523</v>
      </c>
      <c r="G2924" s="10" t="s">
        <v>19061</v>
      </c>
      <c r="H2924" s="11" t="s">
        <v>31</v>
      </c>
      <c r="I2924" s="11">
        <v>1.0</v>
      </c>
      <c r="J2924" s="11">
        <v>1.0</v>
      </c>
      <c r="K2924" s="11" t="s">
        <v>31</v>
      </c>
      <c r="L2924" s="12" t="s">
        <v>14142</v>
      </c>
      <c r="M2924" s="10" t="s">
        <v>19062</v>
      </c>
      <c r="N2924" s="10" t="s">
        <v>273</v>
      </c>
      <c r="O2924" s="12" t="s">
        <v>274</v>
      </c>
      <c r="P2924" s="10" t="s">
        <v>14144</v>
      </c>
      <c r="Q2924" s="10" t="s">
        <v>31</v>
      </c>
      <c r="R2924" s="10" t="s">
        <v>31</v>
      </c>
      <c r="S2924" s="12" t="s">
        <v>14145</v>
      </c>
      <c r="T2924" s="10" t="s">
        <v>276</v>
      </c>
      <c r="U2924" s="12" t="s">
        <v>14146</v>
      </c>
      <c r="V2924" s="10" t="s">
        <v>3523</v>
      </c>
      <c r="W2924" s="10" t="s">
        <v>13207</v>
      </c>
      <c r="X2924" s="13" t="str">
        <f>HYPERLINK("https://my.pitchbook.com?p=436200-67P","View People Online")</f>
        <v>View People Online</v>
      </c>
    </row>
    <row r="2925">
      <c r="A2925" s="14" t="s">
        <v>19063</v>
      </c>
      <c r="B2925" s="14" t="s">
        <v>19064</v>
      </c>
      <c r="C2925" s="14" t="s">
        <v>19065</v>
      </c>
      <c r="D2925" s="14" t="s">
        <v>19066</v>
      </c>
      <c r="E2925" s="14" t="s">
        <v>13207</v>
      </c>
      <c r="F2925" s="14" t="s">
        <v>29</v>
      </c>
      <c r="G2925" s="14" t="s">
        <v>19067</v>
      </c>
      <c r="H2925" s="15" t="s">
        <v>31</v>
      </c>
      <c r="I2925" s="15">
        <v>1.0</v>
      </c>
      <c r="J2925" s="15">
        <v>1.0</v>
      </c>
      <c r="K2925" s="15" t="s">
        <v>31</v>
      </c>
      <c r="L2925" s="16" t="s">
        <v>13423</v>
      </c>
      <c r="M2925" s="14" t="s">
        <v>19068</v>
      </c>
      <c r="N2925" s="14" t="s">
        <v>243</v>
      </c>
      <c r="O2925" s="16" t="s">
        <v>244</v>
      </c>
      <c r="P2925" s="14" t="s">
        <v>13425</v>
      </c>
      <c r="Q2925" s="14" t="s">
        <v>31</v>
      </c>
      <c r="R2925" s="14" t="s">
        <v>247</v>
      </c>
      <c r="S2925" s="16" t="s">
        <v>13426</v>
      </c>
      <c r="T2925" s="14" t="s">
        <v>249</v>
      </c>
      <c r="U2925" s="16" t="s">
        <v>31</v>
      </c>
      <c r="V2925" s="14" t="s">
        <v>29</v>
      </c>
      <c r="W2925" s="14" t="s">
        <v>13207</v>
      </c>
      <c r="X2925" s="17" t="str">
        <f>HYPERLINK("https://my.pitchbook.com?p=435129-49P","View People Online")</f>
        <v>View People Online</v>
      </c>
    </row>
    <row r="2926">
      <c r="A2926" s="10" t="s">
        <v>19069</v>
      </c>
      <c r="B2926" s="10" t="s">
        <v>19070</v>
      </c>
      <c r="C2926" s="10" t="s">
        <v>19071</v>
      </c>
      <c r="D2926" s="10" t="s">
        <v>3370</v>
      </c>
      <c r="E2926" s="10" t="s">
        <v>13207</v>
      </c>
      <c r="F2926" s="10" t="s">
        <v>3523</v>
      </c>
      <c r="G2926" s="10" t="s">
        <v>19072</v>
      </c>
      <c r="H2926" s="11" t="s">
        <v>31</v>
      </c>
      <c r="I2926" s="11">
        <v>1.0</v>
      </c>
      <c r="J2926" s="11">
        <v>1.0</v>
      </c>
      <c r="K2926" s="11" t="s">
        <v>31</v>
      </c>
      <c r="L2926" s="12" t="s">
        <v>13378</v>
      </c>
      <c r="M2926" s="10" t="s">
        <v>19073</v>
      </c>
      <c r="N2926" s="10" t="s">
        <v>429</v>
      </c>
      <c r="O2926" s="12" t="s">
        <v>430</v>
      </c>
      <c r="P2926" s="10" t="s">
        <v>13380</v>
      </c>
      <c r="Q2926" s="10" t="s">
        <v>31</v>
      </c>
      <c r="R2926" s="10" t="s">
        <v>31</v>
      </c>
      <c r="S2926" s="12" t="s">
        <v>13381</v>
      </c>
      <c r="T2926" s="10" t="s">
        <v>433</v>
      </c>
      <c r="U2926" s="12" t="s">
        <v>13382</v>
      </c>
      <c r="V2926" s="10" t="s">
        <v>3523</v>
      </c>
      <c r="W2926" s="10" t="s">
        <v>13207</v>
      </c>
      <c r="X2926" s="13" t="str">
        <f>HYPERLINK("https://my.pitchbook.com?p=435821-50P","View People Online")</f>
        <v>View People Online</v>
      </c>
    </row>
    <row r="2927">
      <c r="A2927" s="6" t="s">
        <v>19074</v>
      </c>
      <c r="B2927" s="6" t="s">
        <v>19075</v>
      </c>
      <c r="C2927" s="6" t="s">
        <v>19076</v>
      </c>
      <c r="D2927" s="6" t="s">
        <v>19077</v>
      </c>
      <c r="E2927" s="6" t="s">
        <v>13207</v>
      </c>
      <c r="F2927" s="6" t="s">
        <v>3523</v>
      </c>
      <c r="G2927" s="6" t="s">
        <v>19078</v>
      </c>
      <c r="H2927" s="7" t="s">
        <v>31</v>
      </c>
      <c r="I2927" s="7">
        <v>1.0</v>
      </c>
      <c r="J2927" s="7">
        <v>1.0</v>
      </c>
      <c r="K2927" s="7" t="s">
        <v>31</v>
      </c>
      <c r="L2927" s="8" t="s">
        <v>13642</v>
      </c>
      <c r="M2927" s="6" t="s">
        <v>19079</v>
      </c>
      <c r="N2927" s="6" t="s">
        <v>3334</v>
      </c>
      <c r="O2927" s="8" t="s">
        <v>3335</v>
      </c>
      <c r="P2927" s="6" t="s">
        <v>13644</v>
      </c>
      <c r="Q2927" s="6" t="s">
        <v>13645</v>
      </c>
      <c r="R2927" s="6" t="s">
        <v>31</v>
      </c>
      <c r="S2927" s="8" t="s">
        <v>13646</v>
      </c>
      <c r="T2927" s="6" t="s">
        <v>3339</v>
      </c>
      <c r="U2927" s="8" t="s">
        <v>13647</v>
      </c>
      <c r="V2927" s="6" t="s">
        <v>3523</v>
      </c>
      <c r="W2927" s="6" t="s">
        <v>13207</v>
      </c>
      <c r="X2927" s="9" t="str">
        <f>HYPERLINK("https://my.pitchbook.com?p=435662-02P","View People Online")</f>
        <v>View People Online</v>
      </c>
    </row>
    <row r="2928">
      <c r="A2928" s="2" t="s">
        <v>19080</v>
      </c>
      <c r="B2928" s="2" t="s">
        <v>19081</v>
      </c>
      <c r="C2928" s="2" t="s">
        <v>5120</v>
      </c>
      <c r="D2928" s="2" t="s">
        <v>19082</v>
      </c>
      <c r="E2928" s="2" t="s">
        <v>13207</v>
      </c>
      <c r="F2928" s="2" t="s">
        <v>3523</v>
      </c>
      <c r="G2928" s="2" t="s">
        <v>19083</v>
      </c>
      <c r="H2928" s="3" t="s">
        <v>31</v>
      </c>
      <c r="I2928" s="3">
        <v>1.0</v>
      </c>
      <c r="J2928" s="3">
        <v>1.0</v>
      </c>
      <c r="K2928" s="3" t="s">
        <v>31</v>
      </c>
      <c r="L2928" s="4" t="s">
        <v>13274</v>
      </c>
      <c r="M2928" s="2" t="s">
        <v>19084</v>
      </c>
      <c r="N2928" s="2" t="s">
        <v>1181</v>
      </c>
      <c r="O2928" s="4" t="s">
        <v>1182</v>
      </c>
      <c r="P2928" s="2" t="s">
        <v>13276</v>
      </c>
      <c r="Q2928" s="2" t="s">
        <v>31</v>
      </c>
      <c r="R2928" s="2" t="s">
        <v>1185</v>
      </c>
      <c r="S2928" s="4" t="s">
        <v>4438</v>
      </c>
      <c r="T2928" s="2" t="s">
        <v>66</v>
      </c>
      <c r="U2928" s="4" t="s">
        <v>13277</v>
      </c>
      <c r="V2928" s="2" t="s">
        <v>3523</v>
      </c>
      <c r="W2928" s="2" t="s">
        <v>13207</v>
      </c>
      <c r="X2928" s="5" t="str">
        <f>HYPERLINK("https://my.pitchbook.com?p=436419-10P","View People Online")</f>
        <v>View People Online</v>
      </c>
    </row>
    <row r="2929">
      <c r="A2929" s="6" t="s">
        <v>19085</v>
      </c>
      <c r="B2929" s="6" t="s">
        <v>19086</v>
      </c>
      <c r="C2929" s="6" t="s">
        <v>5120</v>
      </c>
      <c r="D2929" s="6" t="s">
        <v>19087</v>
      </c>
      <c r="E2929" s="6" t="s">
        <v>13207</v>
      </c>
      <c r="F2929" s="6" t="s">
        <v>1283</v>
      </c>
      <c r="G2929" s="6" t="s">
        <v>19088</v>
      </c>
      <c r="H2929" s="7" t="s">
        <v>31</v>
      </c>
      <c r="I2929" s="7">
        <v>1.0</v>
      </c>
      <c r="J2929" s="7">
        <v>1.0</v>
      </c>
      <c r="K2929" s="7" t="s">
        <v>31</v>
      </c>
      <c r="L2929" s="8" t="s">
        <v>13916</v>
      </c>
      <c r="M2929" s="6" t="s">
        <v>19089</v>
      </c>
      <c r="N2929" s="6" t="s">
        <v>155</v>
      </c>
      <c r="O2929" s="8" t="s">
        <v>156</v>
      </c>
      <c r="P2929" s="6" t="s">
        <v>13918</v>
      </c>
      <c r="Q2929" s="6" t="s">
        <v>13919</v>
      </c>
      <c r="R2929" s="6" t="s">
        <v>64</v>
      </c>
      <c r="S2929" s="8" t="s">
        <v>1549</v>
      </c>
      <c r="T2929" s="6" t="s">
        <v>66</v>
      </c>
      <c r="U2929" s="8" t="s">
        <v>13920</v>
      </c>
      <c r="V2929" s="6" t="s">
        <v>1283</v>
      </c>
      <c r="W2929" s="6" t="s">
        <v>13207</v>
      </c>
      <c r="X2929" s="9" t="str">
        <f>HYPERLINK("https://my.pitchbook.com?p=435649-24P","View People Online")</f>
        <v>View People Online</v>
      </c>
    </row>
    <row r="2930">
      <c r="A2930" s="10" t="s">
        <v>19090</v>
      </c>
      <c r="B2930" s="10" t="s">
        <v>19091</v>
      </c>
      <c r="C2930" s="10" t="s">
        <v>19092</v>
      </c>
      <c r="D2930" s="10" t="s">
        <v>19093</v>
      </c>
      <c r="E2930" s="10" t="s">
        <v>13207</v>
      </c>
      <c r="F2930" s="10" t="s">
        <v>13218</v>
      </c>
      <c r="G2930" s="10" t="s">
        <v>19094</v>
      </c>
      <c r="H2930" s="11" t="s">
        <v>31</v>
      </c>
      <c r="I2930" s="11">
        <v>1.0</v>
      </c>
      <c r="J2930" s="11">
        <v>1.0</v>
      </c>
      <c r="K2930" s="11" t="s">
        <v>31</v>
      </c>
      <c r="L2930" s="12" t="s">
        <v>13531</v>
      </c>
      <c r="M2930" s="10" t="s">
        <v>19095</v>
      </c>
      <c r="N2930" s="10" t="s">
        <v>2273</v>
      </c>
      <c r="O2930" s="12" t="s">
        <v>2274</v>
      </c>
      <c r="P2930" s="10" t="s">
        <v>13533</v>
      </c>
      <c r="Q2930" s="10" t="s">
        <v>31</v>
      </c>
      <c r="R2930" s="10" t="s">
        <v>31</v>
      </c>
      <c r="S2930" s="12" t="s">
        <v>13534</v>
      </c>
      <c r="T2930" s="10" t="s">
        <v>2278</v>
      </c>
      <c r="U2930" s="12" t="s">
        <v>13535</v>
      </c>
      <c r="V2930" s="10" t="s">
        <v>13218</v>
      </c>
      <c r="W2930" s="10" t="s">
        <v>13207</v>
      </c>
      <c r="X2930" s="13" t="str">
        <f>HYPERLINK("https://my.pitchbook.com?p=436280-05P","View People Online")</f>
        <v>View People Online</v>
      </c>
    </row>
    <row r="2931">
      <c r="A2931" s="14" t="s">
        <v>19096</v>
      </c>
      <c r="B2931" s="14" t="s">
        <v>19097</v>
      </c>
      <c r="C2931" s="14" t="s">
        <v>19098</v>
      </c>
      <c r="D2931" s="14" t="s">
        <v>19099</v>
      </c>
      <c r="E2931" s="14" t="s">
        <v>13207</v>
      </c>
      <c r="F2931" s="14" t="s">
        <v>3523</v>
      </c>
      <c r="G2931" s="14" t="s">
        <v>19100</v>
      </c>
      <c r="H2931" s="15" t="s">
        <v>31</v>
      </c>
      <c r="I2931" s="15">
        <v>1.0</v>
      </c>
      <c r="J2931" s="15">
        <v>1.0</v>
      </c>
      <c r="K2931" s="15" t="s">
        <v>31</v>
      </c>
      <c r="L2931" s="16" t="s">
        <v>13673</v>
      </c>
      <c r="M2931" s="14" t="s">
        <v>19101</v>
      </c>
      <c r="N2931" s="14" t="s">
        <v>6311</v>
      </c>
      <c r="O2931" s="16" t="s">
        <v>6312</v>
      </c>
      <c r="P2931" s="14" t="s">
        <v>13675</v>
      </c>
      <c r="Q2931" s="14" t="s">
        <v>31</v>
      </c>
      <c r="R2931" s="14" t="s">
        <v>31</v>
      </c>
      <c r="S2931" s="16" t="s">
        <v>13676</v>
      </c>
      <c r="T2931" s="14" t="s">
        <v>6315</v>
      </c>
      <c r="U2931" s="16" t="s">
        <v>13677</v>
      </c>
      <c r="V2931" s="14" t="s">
        <v>3523</v>
      </c>
      <c r="W2931" s="14" t="s">
        <v>13207</v>
      </c>
      <c r="X2931" s="17" t="str">
        <f>HYPERLINK("https://my.pitchbook.com?p=71962-12P","View People Online")</f>
        <v>View People Online</v>
      </c>
    </row>
    <row r="2932">
      <c r="A2932" s="10" t="s">
        <v>19102</v>
      </c>
      <c r="B2932" s="10" t="s">
        <v>19103</v>
      </c>
      <c r="C2932" s="10" t="s">
        <v>19104</v>
      </c>
      <c r="D2932" s="10" t="s">
        <v>19105</v>
      </c>
      <c r="E2932" s="10" t="s">
        <v>13207</v>
      </c>
      <c r="F2932" s="10" t="s">
        <v>13218</v>
      </c>
      <c r="G2932" s="10" t="s">
        <v>19106</v>
      </c>
      <c r="H2932" s="11" t="s">
        <v>31</v>
      </c>
      <c r="I2932" s="11">
        <v>1.0</v>
      </c>
      <c r="J2932" s="11">
        <v>1.0</v>
      </c>
      <c r="K2932" s="11" t="s">
        <v>31</v>
      </c>
      <c r="L2932" s="12" t="s">
        <v>13423</v>
      </c>
      <c r="M2932" s="10" t="s">
        <v>19107</v>
      </c>
      <c r="N2932" s="10" t="s">
        <v>243</v>
      </c>
      <c r="O2932" s="12" t="s">
        <v>244</v>
      </c>
      <c r="P2932" s="10" t="s">
        <v>13425</v>
      </c>
      <c r="Q2932" s="10" t="s">
        <v>31</v>
      </c>
      <c r="R2932" s="10" t="s">
        <v>247</v>
      </c>
      <c r="S2932" s="12" t="s">
        <v>13426</v>
      </c>
      <c r="T2932" s="10" t="s">
        <v>249</v>
      </c>
      <c r="U2932" s="12" t="s">
        <v>31</v>
      </c>
      <c r="V2932" s="10" t="s">
        <v>13218</v>
      </c>
      <c r="W2932" s="10" t="s">
        <v>13207</v>
      </c>
      <c r="X2932" s="13" t="str">
        <f>HYPERLINK("https://my.pitchbook.com?p=434798-56P","View People Online")</f>
        <v>View People Online</v>
      </c>
    </row>
    <row r="2933">
      <c r="A2933" s="14" t="s">
        <v>19108</v>
      </c>
      <c r="B2933" s="14" t="s">
        <v>19109</v>
      </c>
      <c r="C2933" s="14" t="s">
        <v>19110</v>
      </c>
      <c r="D2933" s="14" t="s">
        <v>19111</v>
      </c>
      <c r="E2933" s="14" t="s">
        <v>13207</v>
      </c>
      <c r="F2933" s="14" t="s">
        <v>13240</v>
      </c>
      <c r="G2933" s="14" t="s">
        <v>19112</v>
      </c>
      <c r="H2933" s="15" t="s">
        <v>31</v>
      </c>
      <c r="I2933" s="15">
        <v>1.0</v>
      </c>
      <c r="J2933" s="15">
        <v>1.0</v>
      </c>
      <c r="K2933" s="15" t="s">
        <v>31</v>
      </c>
      <c r="L2933" s="16" t="s">
        <v>13549</v>
      </c>
      <c r="M2933" s="14" t="s">
        <v>19113</v>
      </c>
      <c r="N2933" s="14" t="s">
        <v>794</v>
      </c>
      <c r="O2933" s="16" t="s">
        <v>795</v>
      </c>
      <c r="P2933" s="14" t="s">
        <v>13551</v>
      </c>
      <c r="Q2933" s="14" t="s">
        <v>13552</v>
      </c>
      <c r="R2933" s="14" t="s">
        <v>31</v>
      </c>
      <c r="S2933" s="16" t="s">
        <v>13553</v>
      </c>
      <c r="T2933" s="14" t="s">
        <v>796</v>
      </c>
      <c r="U2933" s="16" t="s">
        <v>13554</v>
      </c>
      <c r="V2933" s="14" t="s">
        <v>19114</v>
      </c>
      <c r="W2933" s="14" t="s">
        <v>13207</v>
      </c>
      <c r="X2933" s="17" t="str">
        <f>HYPERLINK("https://my.pitchbook.com?p=435447-55P","View People Online")</f>
        <v>View People Online</v>
      </c>
    </row>
    <row r="2934">
      <c r="A2934" s="10" t="s">
        <v>19115</v>
      </c>
      <c r="B2934" s="10" t="s">
        <v>19116</v>
      </c>
      <c r="C2934" s="10" t="s">
        <v>19117</v>
      </c>
      <c r="D2934" s="10" t="s">
        <v>18658</v>
      </c>
      <c r="E2934" s="10" t="s">
        <v>13207</v>
      </c>
      <c r="F2934" s="10" t="s">
        <v>3523</v>
      </c>
      <c r="G2934" s="10" t="s">
        <v>19118</v>
      </c>
      <c r="H2934" s="11" t="s">
        <v>31</v>
      </c>
      <c r="I2934" s="11">
        <v>1.0</v>
      </c>
      <c r="J2934" s="11">
        <v>1.0</v>
      </c>
      <c r="K2934" s="11" t="s">
        <v>31</v>
      </c>
      <c r="L2934" s="12" t="s">
        <v>13263</v>
      </c>
      <c r="M2934" s="10" t="s">
        <v>19119</v>
      </c>
      <c r="N2934" s="10" t="s">
        <v>1005</v>
      </c>
      <c r="O2934" s="12" t="s">
        <v>1006</v>
      </c>
      <c r="P2934" s="10" t="s">
        <v>13265</v>
      </c>
      <c r="Q2934" s="10" t="s">
        <v>13266</v>
      </c>
      <c r="R2934" s="10" t="s">
        <v>13267</v>
      </c>
      <c r="S2934" s="12" t="s">
        <v>13268</v>
      </c>
      <c r="T2934" s="10" t="s">
        <v>1010</v>
      </c>
      <c r="U2934" s="12" t="s">
        <v>13269</v>
      </c>
      <c r="V2934" s="10" t="s">
        <v>3523</v>
      </c>
      <c r="W2934" s="10" t="s">
        <v>13207</v>
      </c>
      <c r="X2934" s="13" t="str">
        <f>HYPERLINK("https://my.pitchbook.com?p=455883-40P","View People Online")</f>
        <v>View People Online</v>
      </c>
    </row>
    <row r="2935">
      <c r="A2935" s="14" t="s">
        <v>19120</v>
      </c>
      <c r="B2935" s="14" t="s">
        <v>19121</v>
      </c>
      <c r="C2935" s="14" t="s">
        <v>19122</v>
      </c>
      <c r="D2935" s="14" t="s">
        <v>19123</v>
      </c>
      <c r="E2935" s="14" t="s">
        <v>13207</v>
      </c>
      <c r="F2935" s="14" t="s">
        <v>13218</v>
      </c>
      <c r="G2935" s="14" t="s">
        <v>19124</v>
      </c>
      <c r="H2935" s="15" t="s">
        <v>31</v>
      </c>
      <c r="I2935" s="15">
        <v>1.0</v>
      </c>
      <c r="J2935" s="15">
        <v>1.0</v>
      </c>
      <c r="K2935" s="15" t="s">
        <v>31</v>
      </c>
      <c r="L2935" s="16" t="s">
        <v>13263</v>
      </c>
      <c r="M2935" s="14" t="s">
        <v>19125</v>
      </c>
      <c r="N2935" s="14" t="s">
        <v>1005</v>
      </c>
      <c r="O2935" s="16" t="s">
        <v>1006</v>
      </c>
      <c r="P2935" s="14" t="s">
        <v>13265</v>
      </c>
      <c r="Q2935" s="14" t="s">
        <v>13266</v>
      </c>
      <c r="R2935" s="14" t="s">
        <v>13267</v>
      </c>
      <c r="S2935" s="16" t="s">
        <v>13268</v>
      </c>
      <c r="T2935" s="14" t="s">
        <v>1010</v>
      </c>
      <c r="U2935" s="16" t="s">
        <v>13269</v>
      </c>
      <c r="V2935" s="14" t="s">
        <v>13218</v>
      </c>
      <c r="W2935" s="14" t="s">
        <v>13207</v>
      </c>
      <c r="X2935" s="17" t="str">
        <f>HYPERLINK("https://my.pitchbook.com?p=435665-98P","View People Online")</f>
        <v>View People Online</v>
      </c>
    </row>
    <row r="2936">
      <c r="A2936" s="2" t="s">
        <v>19126</v>
      </c>
      <c r="B2936" s="2" t="s">
        <v>19127</v>
      </c>
      <c r="C2936" s="2" t="s">
        <v>19128</v>
      </c>
      <c r="D2936" s="2" t="s">
        <v>19129</v>
      </c>
      <c r="E2936" s="2" t="s">
        <v>13207</v>
      </c>
      <c r="F2936" s="2" t="s">
        <v>3523</v>
      </c>
      <c r="G2936" s="2" t="s">
        <v>19130</v>
      </c>
      <c r="H2936" s="3" t="s">
        <v>31</v>
      </c>
      <c r="I2936" s="3">
        <v>1.0</v>
      </c>
      <c r="J2936" s="3">
        <v>1.0</v>
      </c>
      <c r="K2936" s="3" t="s">
        <v>31</v>
      </c>
      <c r="L2936" s="4" t="s">
        <v>13263</v>
      </c>
      <c r="M2936" s="2" t="s">
        <v>19131</v>
      </c>
      <c r="N2936" s="2" t="s">
        <v>1005</v>
      </c>
      <c r="O2936" s="4" t="s">
        <v>1006</v>
      </c>
      <c r="P2936" s="2" t="s">
        <v>13265</v>
      </c>
      <c r="Q2936" s="2" t="s">
        <v>13266</v>
      </c>
      <c r="R2936" s="2" t="s">
        <v>13267</v>
      </c>
      <c r="S2936" s="4" t="s">
        <v>13268</v>
      </c>
      <c r="T2936" s="2" t="s">
        <v>1010</v>
      </c>
      <c r="U2936" s="4" t="s">
        <v>13269</v>
      </c>
      <c r="V2936" s="2" t="s">
        <v>3523</v>
      </c>
      <c r="W2936" s="2" t="s">
        <v>13207</v>
      </c>
      <c r="X2936" s="5" t="str">
        <f>HYPERLINK("https://my.pitchbook.com?p=456268-06P","View People Online")</f>
        <v>View People Online</v>
      </c>
    </row>
    <row r="2937">
      <c r="A2937" s="14" t="s">
        <v>19132</v>
      </c>
      <c r="B2937" s="14" t="s">
        <v>19133</v>
      </c>
      <c r="C2937" s="14" t="s">
        <v>19134</v>
      </c>
      <c r="D2937" s="14" t="s">
        <v>19135</v>
      </c>
      <c r="E2937" s="14" t="s">
        <v>13207</v>
      </c>
      <c r="F2937" s="14" t="s">
        <v>29</v>
      </c>
      <c r="G2937" s="14" t="s">
        <v>19136</v>
      </c>
      <c r="H2937" s="15" t="s">
        <v>31</v>
      </c>
      <c r="I2937" s="15">
        <v>1.0</v>
      </c>
      <c r="J2937" s="15">
        <v>1.0</v>
      </c>
      <c r="K2937" s="15" t="s">
        <v>31</v>
      </c>
      <c r="L2937" s="16" t="s">
        <v>13399</v>
      </c>
      <c r="M2937" s="14" t="s">
        <v>19137</v>
      </c>
      <c r="N2937" s="14" t="s">
        <v>13401</v>
      </c>
      <c r="O2937" s="16" t="s">
        <v>13402</v>
      </c>
      <c r="P2937" s="14" t="s">
        <v>13403</v>
      </c>
      <c r="Q2937" s="14" t="s">
        <v>13404</v>
      </c>
      <c r="R2937" s="14" t="s">
        <v>31</v>
      </c>
      <c r="S2937" s="16" t="s">
        <v>13405</v>
      </c>
      <c r="T2937" s="14" t="s">
        <v>13406</v>
      </c>
      <c r="U2937" s="16" t="s">
        <v>13407</v>
      </c>
      <c r="V2937" s="14" t="s">
        <v>29</v>
      </c>
      <c r="W2937" s="14" t="s">
        <v>13207</v>
      </c>
      <c r="X2937" s="17" t="str">
        <f>HYPERLINK("https://my.pitchbook.com?p=455978-17P","View People Online")</f>
        <v>View People Online</v>
      </c>
    </row>
    <row r="2938">
      <c r="A2938" s="2" t="s">
        <v>19138</v>
      </c>
      <c r="B2938" s="2" t="s">
        <v>19139</v>
      </c>
      <c r="C2938" s="2" t="s">
        <v>19140</v>
      </c>
      <c r="D2938" s="2" t="s">
        <v>19141</v>
      </c>
      <c r="E2938" s="2" t="s">
        <v>13207</v>
      </c>
      <c r="F2938" s="2" t="s">
        <v>3523</v>
      </c>
      <c r="G2938" s="2" t="s">
        <v>19142</v>
      </c>
      <c r="H2938" s="3" t="s">
        <v>31</v>
      </c>
      <c r="I2938" s="3">
        <v>1.0</v>
      </c>
      <c r="J2938" s="3">
        <v>1.0</v>
      </c>
      <c r="K2938" s="3" t="s">
        <v>31</v>
      </c>
      <c r="L2938" s="4" t="s">
        <v>13263</v>
      </c>
      <c r="M2938" s="2" t="s">
        <v>19143</v>
      </c>
      <c r="N2938" s="2" t="s">
        <v>1005</v>
      </c>
      <c r="O2938" s="4" t="s">
        <v>1006</v>
      </c>
      <c r="P2938" s="2" t="s">
        <v>13265</v>
      </c>
      <c r="Q2938" s="2" t="s">
        <v>13266</v>
      </c>
      <c r="R2938" s="2" t="s">
        <v>13267</v>
      </c>
      <c r="S2938" s="4" t="s">
        <v>13268</v>
      </c>
      <c r="T2938" s="2" t="s">
        <v>1010</v>
      </c>
      <c r="U2938" s="4" t="s">
        <v>13269</v>
      </c>
      <c r="V2938" s="2" t="s">
        <v>3523</v>
      </c>
      <c r="W2938" s="2" t="s">
        <v>13207</v>
      </c>
      <c r="X2938" s="5" t="str">
        <f>HYPERLINK("https://my.pitchbook.com?p=435276-37P","View People Online")</f>
        <v>View People Online</v>
      </c>
    </row>
    <row r="2939">
      <c r="A2939" s="14" t="s">
        <v>19144</v>
      </c>
      <c r="B2939" s="14" t="s">
        <v>19145</v>
      </c>
      <c r="C2939" s="14" t="s">
        <v>9209</v>
      </c>
      <c r="D2939" s="14" t="s">
        <v>19146</v>
      </c>
      <c r="E2939" s="14" t="s">
        <v>13207</v>
      </c>
      <c r="F2939" s="14" t="s">
        <v>3523</v>
      </c>
      <c r="G2939" s="14" t="s">
        <v>19147</v>
      </c>
      <c r="H2939" s="15" t="s">
        <v>31</v>
      </c>
      <c r="I2939" s="15">
        <v>1.0</v>
      </c>
      <c r="J2939" s="15">
        <v>1.0</v>
      </c>
      <c r="K2939" s="15" t="s">
        <v>31</v>
      </c>
      <c r="L2939" s="16" t="s">
        <v>13274</v>
      </c>
      <c r="M2939" s="14" t="s">
        <v>19148</v>
      </c>
      <c r="N2939" s="14" t="s">
        <v>1181</v>
      </c>
      <c r="O2939" s="16" t="s">
        <v>1182</v>
      </c>
      <c r="P2939" s="14" t="s">
        <v>13276</v>
      </c>
      <c r="Q2939" s="14" t="s">
        <v>31</v>
      </c>
      <c r="R2939" s="14" t="s">
        <v>1185</v>
      </c>
      <c r="S2939" s="16" t="s">
        <v>4438</v>
      </c>
      <c r="T2939" s="14" t="s">
        <v>66</v>
      </c>
      <c r="U2939" s="16" t="s">
        <v>13277</v>
      </c>
      <c r="V2939" s="14" t="s">
        <v>3523</v>
      </c>
      <c r="W2939" s="14" t="s">
        <v>13207</v>
      </c>
      <c r="X2939" s="17" t="str">
        <f>HYPERLINK("https://my.pitchbook.com?p=435442-06P","View People Online")</f>
        <v>View People Online</v>
      </c>
    </row>
    <row r="2940">
      <c r="A2940" s="10" t="s">
        <v>19149</v>
      </c>
      <c r="B2940" s="10" t="s">
        <v>19150</v>
      </c>
      <c r="C2940" s="10" t="s">
        <v>19151</v>
      </c>
      <c r="D2940" s="10" t="s">
        <v>8863</v>
      </c>
      <c r="E2940" s="10" t="s">
        <v>13207</v>
      </c>
      <c r="F2940" s="10" t="s">
        <v>13240</v>
      </c>
      <c r="G2940" s="10" t="s">
        <v>19152</v>
      </c>
      <c r="H2940" s="11" t="s">
        <v>31</v>
      </c>
      <c r="I2940" s="11">
        <v>1.0</v>
      </c>
      <c r="J2940" s="11">
        <v>1.0</v>
      </c>
      <c r="K2940" s="11" t="s">
        <v>31</v>
      </c>
      <c r="L2940" s="12" t="s">
        <v>15050</v>
      </c>
      <c r="M2940" s="10" t="s">
        <v>19153</v>
      </c>
      <c r="N2940" s="10" t="s">
        <v>15052</v>
      </c>
      <c r="O2940" s="12" t="s">
        <v>15053</v>
      </c>
      <c r="P2940" s="10" t="s">
        <v>15054</v>
      </c>
      <c r="Q2940" s="10" t="s">
        <v>15055</v>
      </c>
      <c r="R2940" s="10" t="s">
        <v>31</v>
      </c>
      <c r="S2940" s="12" t="s">
        <v>15056</v>
      </c>
      <c r="T2940" s="10" t="s">
        <v>38</v>
      </c>
      <c r="U2940" s="12" t="s">
        <v>15057</v>
      </c>
      <c r="V2940" s="10" t="s">
        <v>13247</v>
      </c>
      <c r="W2940" s="10" t="s">
        <v>13207</v>
      </c>
      <c r="X2940" s="13" t="str">
        <f>HYPERLINK("https://my.pitchbook.com?p=456687-91P","View People Online")</f>
        <v>View People Online</v>
      </c>
    </row>
    <row r="2941">
      <c r="A2941" s="6" t="s">
        <v>19154</v>
      </c>
      <c r="B2941" s="6" t="s">
        <v>19155</v>
      </c>
      <c r="C2941" s="6" t="s">
        <v>5126</v>
      </c>
      <c r="D2941" s="6" t="s">
        <v>19156</v>
      </c>
      <c r="E2941" s="6" t="s">
        <v>13207</v>
      </c>
      <c r="F2941" s="6" t="s">
        <v>3523</v>
      </c>
      <c r="G2941" s="6" t="s">
        <v>19157</v>
      </c>
      <c r="H2941" s="7" t="s">
        <v>31</v>
      </c>
      <c r="I2941" s="7">
        <v>1.0</v>
      </c>
      <c r="J2941" s="7">
        <v>1.0</v>
      </c>
      <c r="K2941" s="7" t="s">
        <v>31</v>
      </c>
      <c r="L2941" s="8" t="s">
        <v>13274</v>
      </c>
      <c r="M2941" s="6" t="s">
        <v>19158</v>
      </c>
      <c r="N2941" s="6" t="s">
        <v>1181</v>
      </c>
      <c r="O2941" s="8" t="s">
        <v>1182</v>
      </c>
      <c r="P2941" s="6" t="s">
        <v>13276</v>
      </c>
      <c r="Q2941" s="6" t="s">
        <v>31</v>
      </c>
      <c r="R2941" s="6" t="s">
        <v>1185</v>
      </c>
      <c r="S2941" s="8" t="s">
        <v>4438</v>
      </c>
      <c r="T2941" s="6" t="s">
        <v>66</v>
      </c>
      <c r="U2941" s="8" t="s">
        <v>13277</v>
      </c>
      <c r="V2941" s="6" t="s">
        <v>3523</v>
      </c>
      <c r="W2941" s="6" t="s">
        <v>13207</v>
      </c>
      <c r="X2941" s="9" t="str">
        <f>HYPERLINK("https://my.pitchbook.com?p=455870-26P","View People Online")</f>
        <v>View People Online</v>
      </c>
    </row>
    <row r="2942">
      <c r="A2942" s="2" t="s">
        <v>19159</v>
      </c>
      <c r="B2942" s="2" t="s">
        <v>19160</v>
      </c>
      <c r="C2942" s="2" t="s">
        <v>3132</v>
      </c>
      <c r="D2942" s="2" t="s">
        <v>19161</v>
      </c>
      <c r="E2942" s="2" t="s">
        <v>13207</v>
      </c>
      <c r="F2942" s="2" t="s">
        <v>318</v>
      </c>
      <c r="G2942" s="2" t="s">
        <v>19162</v>
      </c>
      <c r="H2942" s="3" t="s">
        <v>31</v>
      </c>
      <c r="I2942" s="3">
        <v>1.0</v>
      </c>
      <c r="J2942" s="3">
        <v>1.0</v>
      </c>
      <c r="K2942" s="3" t="s">
        <v>31</v>
      </c>
      <c r="L2942" s="4" t="s">
        <v>13724</v>
      </c>
      <c r="M2942" s="2" t="s">
        <v>19163</v>
      </c>
      <c r="N2942" s="2" t="s">
        <v>34</v>
      </c>
      <c r="O2942" s="4" t="s">
        <v>35</v>
      </c>
      <c r="P2942" s="2" t="s">
        <v>13726</v>
      </c>
      <c r="Q2942" s="2" t="s">
        <v>31</v>
      </c>
      <c r="R2942" s="2" t="s">
        <v>31</v>
      </c>
      <c r="S2942" s="4" t="s">
        <v>13727</v>
      </c>
      <c r="T2942" s="2" t="s">
        <v>38</v>
      </c>
      <c r="U2942" s="4" t="s">
        <v>13728</v>
      </c>
      <c r="V2942" s="2" t="s">
        <v>19164</v>
      </c>
      <c r="W2942" s="2" t="s">
        <v>13207</v>
      </c>
      <c r="X2942" s="5" t="str">
        <f>HYPERLINK("https://my.pitchbook.com?p=435124-27P","View People Online")</f>
        <v>View People Online</v>
      </c>
    </row>
    <row r="2943">
      <c r="A2943" s="6" t="s">
        <v>19165</v>
      </c>
      <c r="B2943" s="6" t="s">
        <v>19166</v>
      </c>
      <c r="C2943" s="6" t="s">
        <v>3132</v>
      </c>
      <c r="D2943" s="6" t="s">
        <v>19167</v>
      </c>
      <c r="E2943" s="6" t="s">
        <v>13207</v>
      </c>
      <c r="F2943" s="6" t="s">
        <v>3523</v>
      </c>
      <c r="G2943" s="6" t="s">
        <v>19168</v>
      </c>
      <c r="H2943" s="7" t="s">
        <v>31</v>
      </c>
      <c r="I2943" s="7">
        <v>1.0</v>
      </c>
      <c r="J2943" s="7">
        <v>1.0</v>
      </c>
      <c r="K2943" s="7" t="s">
        <v>31</v>
      </c>
      <c r="L2943" s="8" t="s">
        <v>15012</v>
      </c>
      <c r="M2943" s="6" t="s">
        <v>19169</v>
      </c>
      <c r="N2943" s="6" t="s">
        <v>15014</v>
      </c>
      <c r="O2943" s="8" t="s">
        <v>15015</v>
      </c>
      <c r="P2943" s="6" t="s">
        <v>15016</v>
      </c>
      <c r="Q2943" s="6" t="s">
        <v>31</v>
      </c>
      <c r="R2943" s="6" t="s">
        <v>31</v>
      </c>
      <c r="S2943" s="8" t="s">
        <v>15017</v>
      </c>
      <c r="T2943" s="6" t="s">
        <v>15018</v>
      </c>
      <c r="U2943" s="8" t="s">
        <v>15019</v>
      </c>
      <c r="V2943" s="6" t="s">
        <v>3523</v>
      </c>
      <c r="W2943" s="6" t="s">
        <v>13207</v>
      </c>
      <c r="X2943" s="9" t="str">
        <f>HYPERLINK("https://my.pitchbook.com?p=435827-98P","View People Online")</f>
        <v>View People Online</v>
      </c>
    </row>
    <row r="2944">
      <c r="A2944" s="10" t="s">
        <v>19170</v>
      </c>
      <c r="B2944" s="10" t="s">
        <v>19171</v>
      </c>
      <c r="C2944" s="10" t="s">
        <v>1502</v>
      </c>
      <c r="D2944" s="10" t="s">
        <v>19172</v>
      </c>
      <c r="E2944" s="10" t="s">
        <v>13207</v>
      </c>
      <c r="F2944" s="10" t="s">
        <v>13307</v>
      </c>
      <c r="G2944" s="10" t="s">
        <v>19173</v>
      </c>
      <c r="H2944" s="11" t="s">
        <v>31</v>
      </c>
      <c r="I2944" s="11">
        <v>1.0</v>
      </c>
      <c r="J2944" s="11">
        <v>1.0</v>
      </c>
      <c r="K2944" s="11" t="s">
        <v>31</v>
      </c>
      <c r="L2944" s="12" t="s">
        <v>13724</v>
      </c>
      <c r="M2944" s="10" t="s">
        <v>31</v>
      </c>
      <c r="N2944" s="10" t="s">
        <v>34</v>
      </c>
      <c r="O2944" s="12" t="s">
        <v>35</v>
      </c>
      <c r="P2944" s="10" t="s">
        <v>13726</v>
      </c>
      <c r="Q2944" s="10" t="s">
        <v>31</v>
      </c>
      <c r="R2944" s="10" t="s">
        <v>31</v>
      </c>
      <c r="S2944" s="12" t="s">
        <v>13727</v>
      </c>
      <c r="T2944" s="10" t="s">
        <v>38</v>
      </c>
      <c r="U2944" s="12" t="s">
        <v>13728</v>
      </c>
      <c r="V2944" s="10" t="s">
        <v>13317</v>
      </c>
      <c r="W2944" s="10" t="s">
        <v>13207</v>
      </c>
      <c r="X2944" s="13" t="str">
        <f>HYPERLINK("https://my.pitchbook.com?p=456744-88P","View People Online")</f>
        <v>View People Online</v>
      </c>
    </row>
    <row r="2945">
      <c r="A2945" s="6" t="s">
        <v>19174</v>
      </c>
      <c r="B2945" s="6" t="s">
        <v>19175</v>
      </c>
      <c r="C2945" s="6" t="s">
        <v>1502</v>
      </c>
      <c r="D2945" s="6" t="s">
        <v>19176</v>
      </c>
      <c r="E2945" s="6" t="s">
        <v>13207</v>
      </c>
      <c r="F2945" s="6" t="s">
        <v>3523</v>
      </c>
      <c r="G2945" s="6" t="s">
        <v>19177</v>
      </c>
      <c r="H2945" s="7" t="s">
        <v>31</v>
      </c>
      <c r="I2945" s="7">
        <v>1.0</v>
      </c>
      <c r="J2945" s="7">
        <v>1.0</v>
      </c>
      <c r="K2945" s="7" t="s">
        <v>31</v>
      </c>
      <c r="L2945" s="8" t="s">
        <v>13209</v>
      </c>
      <c r="M2945" s="6" t="s">
        <v>19178</v>
      </c>
      <c r="N2945" s="6" t="s">
        <v>4232</v>
      </c>
      <c r="O2945" s="8" t="s">
        <v>4233</v>
      </c>
      <c r="P2945" s="6" t="s">
        <v>13211</v>
      </c>
      <c r="Q2945" s="6" t="s">
        <v>31</v>
      </c>
      <c r="R2945" s="6" t="s">
        <v>4236</v>
      </c>
      <c r="S2945" s="8" t="s">
        <v>13212</v>
      </c>
      <c r="T2945" s="6" t="s">
        <v>66</v>
      </c>
      <c r="U2945" s="8" t="s">
        <v>13213</v>
      </c>
      <c r="V2945" s="6" t="s">
        <v>3523</v>
      </c>
      <c r="W2945" s="6" t="s">
        <v>13207</v>
      </c>
      <c r="X2945" s="9" t="str">
        <f>HYPERLINK("https://my.pitchbook.com?p=435127-69P","View People Online")</f>
        <v>View People Online</v>
      </c>
    </row>
    <row r="2946">
      <c r="A2946" s="2" t="s">
        <v>19179</v>
      </c>
      <c r="B2946" s="2" t="s">
        <v>19180</v>
      </c>
      <c r="C2946" s="2" t="s">
        <v>1502</v>
      </c>
      <c r="D2946" s="2" t="s">
        <v>19181</v>
      </c>
      <c r="E2946" s="2" t="s">
        <v>13207</v>
      </c>
      <c r="F2946" s="2" t="s">
        <v>13218</v>
      </c>
      <c r="G2946" s="2" t="s">
        <v>19182</v>
      </c>
      <c r="H2946" s="3" t="s">
        <v>31</v>
      </c>
      <c r="I2946" s="3">
        <v>1.0</v>
      </c>
      <c r="J2946" s="3">
        <v>1.0</v>
      </c>
      <c r="K2946" s="3" t="s">
        <v>31</v>
      </c>
      <c r="L2946" s="4" t="s">
        <v>13289</v>
      </c>
      <c r="M2946" s="2" t="s">
        <v>19183</v>
      </c>
      <c r="N2946" s="2" t="s">
        <v>1348</v>
      </c>
      <c r="O2946" s="4" t="s">
        <v>1349</v>
      </c>
      <c r="P2946" s="2" t="s">
        <v>13291</v>
      </c>
      <c r="Q2946" s="2" t="s">
        <v>13292</v>
      </c>
      <c r="R2946" s="2" t="s">
        <v>1018</v>
      </c>
      <c r="S2946" s="4" t="s">
        <v>13293</v>
      </c>
      <c r="T2946" s="2" t="s">
        <v>1019</v>
      </c>
      <c r="U2946" s="4" t="s">
        <v>13294</v>
      </c>
      <c r="V2946" s="2" t="s">
        <v>19184</v>
      </c>
      <c r="W2946" s="2" t="s">
        <v>13207</v>
      </c>
      <c r="X2946" s="5" t="str">
        <f>HYPERLINK("https://my.pitchbook.com?p=456751-09P","View People Online")</f>
        <v>View People Online</v>
      </c>
    </row>
    <row r="2947">
      <c r="A2947" s="6" t="s">
        <v>19185</v>
      </c>
      <c r="B2947" s="6" t="s">
        <v>19186</v>
      </c>
      <c r="C2947" s="6" t="s">
        <v>1502</v>
      </c>
      <c r="D2947" s="6" t="s">
        <v>19187</v>
      </c>
      <c r="E2947" s="6" t="s">
        <v>13207</v>
      </c>
      <c r="F2947" s="6" t="s">
        <v>13218</v>
      </c>
      <c r="G2947" s="6" t="s">
        <v>19188</v>
      </c>
      <c r="H2947" s="7" t="s">
        <v>31</v>
      </c>
      <c r="I2947" s="7">
        <v>1.0</v>
      </c>
      <c r="J2947" s="7">
        <v>1.0</v>
      </c>
      <c r="K2947" s="7" t="s">
        <v>31</v>
      </c>
      <c r="L2947" s="8" t="s">
        <v>13289</v>
      </c>
      <c r="M2947" s="6" t="s">
        <v>19189</v>
      </c>
      <c r="N2947" s="6" t="s">
        <v>1348</v>
      </c>
      <c r="O2947" s="8" t="s">
        <v>1349</v>
      </c>
      <c r="P2947" s="6" t="s">
        <v>13291</v>
      </c>
      <c r="Q2947" s="6" t="s">
        <v>13292</v>
      </c>
      <c r="R2947" s="6" t="s">
        <v>1018</v>
      </c>
      <c r="S2947" s="8" t="s">
        <v>13293</v>
      </c>
      <c r="T2947" s="6" t="s">
        <v>1019</v>
      </c>
      <c r="U2947" s="8" t="s">
        <v>13294</v>
      </c>
      <c r="V2947" s="6" t="s">
        <v>13218</v>
      </c>
      <c r="W2947" s="6" t="s">
        <v>13207</v>
      </c>
      <c r="X2947" s="9" t="str">
        <f>HYPERLINK("https://my.pitchbook.com?p=436236-49P","View People Online")</f>
        <v>View People Online</v>
      </c>
    </row>
    <row r="2948">
      <c r="A2948" s="2" t="s">
        <v>19190</v>
      </c>
      <c r="B2948" s="2" t="s">
        <v>19191</v>
      </c>
      <c r="C2948" s="2" t="s">
        <v>1502</v>
      </c>
      <c r="D2948" s="2" t="s">
        <v>19192</v>
      </c>
      <c r="E2948" s="2" t="s">
        <v>13207</v>
      </c>
      <c r="F2948" s="2" t="s">
        <v>13240</v>
      </c>
      <c r="G2948" s="2" t="s">
        <v>19193</v>
      </c>
      <c r="H2948" s="3" t="s">
        <v>31</v>
      </c>
      <c r="I2948" s="3">
        <v>1.0</v>
      </c>
      <c r="J2948" s="3">
        <v>1.0</v>
      </c>
      <c r="K2948" s="3" t="s">
        <v>31</v>
      </c>
      <c r="L2948" s="4" t="s">
        <v>13734</v>
      </c>
      <c r="M2948" s="2" t="s">
        <v>19194</v>
      </c>
      <c r="N2948" s="2" t="s">
        <v>2754</v>
      </c>
      <c r="O2948" s="4" t="s">
        <v>2755</v>
      </c>
      <c r="P2948" s="2" t="s">
        <v>13736</v>
      </c>
      <c r="Q2948" s="2" t="s">
        <v>31</v>
      </c>
      <c r="R2948" s="2" t="s">
        <v>31</v>
      </c>
      <c r="S2948" s="4" t="s">
        <v>13737</v>
      </c>
      <c r="T2948" s="2" t="s">
        <v>38</v>
      </c>
      <c r="U2948" s="4" t="s">
        <v>13738</v>
      </c>
      <c r="V2948" s="2" t="s">
        <v>13247</v>
      </c>
      <c r="W2948" s="2" t="s">
        <v>13207</v>
      </c>
      <c r="X2948" s="5" t="str">
        <f>HYPERLINK("https://my.pitchbook.com?p=435447-10P","View People Online")</f>
        <v>View People Online</v>
      </c>
    </row>
    <row r="2949">
      <c r="A2949" s="14" t="s">
        <v>19195</v>
      </c>
      <c r="B2949" s="14" t="s">
        <v>19196</v>
      </c>
      <c r="C2949" s="14" t="s">
        <v>1502</v>
      </c>
      <c r="D2949" s="14" t="s">
        <v>3570</v>
      </c>
      <c r="E2949" s="14" t="s">
        <v>13207</v>
      </c>
      <c r="F2949" s="14" t="s">
        <v>13218</v>
      </c>
      <c r="G2949" s="14" t="s">
        <v>19197</v>
      </c>
      <c r="H2949" s="15" t="s">
        <v>31</v>
      </c>
      <c r="I2949" s="15">
        <v>1.0</v>
      </c>
      <c r="J2949" s="15">
        <v>1.0</v>
      </c>
      <c r="K2949" s="15" t="s">
        <v>31</v>
      </c>
      <c r="L2949" s="16" t="s">
        <v>13743</v>
      </c>
      <c r="M2949" s="14" t="s">
        <v>19198</v>
      </c>
      <c r="N2949" s="14" t="s">
        <v>1034</v>
      </c>
      <c r="O2949" s="16" t="s">
        <v>1035</v>
      </c>
      <c r="P2949" s="14" t="s">
        <v>13745</v>
      </c>
      <c r="Q2949" s="14" t="s">
        <v>13746</v>
      </c>
      <c r="R2949" s="14" t="s">
        <v>31</v>
      </c>
      <c r="S2949" s="16" t="s">
        <v>13747</v>
      </c>
      <c r="T2949" s="14" t="s">
        <v>1034</v>
      </c>
      <c r="U2949" s="16" t="s">
        <v>13748</v>
      </c>
      <c r="V2949" s="14" t="s">
        <v>13218</v>
      </c>
      <c r="W2949" s="14" t="s">
        <v>13207</v>
      </c>
      <c r="X2949" s="17" t="str">
        <f>HYPERLINK("https://my.pitchbook.com?p=456587-74P","View People Online")</f>
        <v>View People Online</v>
      </c>
    </row>
    <row r="2950">
      <c r="A2950" s="10" t="s">
        <v>19199</v>
      </c>
      <c r="B2950" s="10" t="s">
        <v>19200</v>
      </c>
      <c r="C2950" s="10" t="s">
        <v>1502</v>
      </c>
      <c r="D2950" s="10" t="s">
        <v>19201</v>
      </c>
      <c r="E2950" s="10" t="s">
        <v>13207</v>
      </c>
      <c r="F2950" s="10" t="s">
        <v>3523</v>
      </c>
      <c r="G2950" s="10" t="s">
        <v>19202</v>
      </c>
      <c r="H2950" s="11" t="s">
        <v>31</v>
      </c>
      <c r="I2950" s="11">
        <v>1.0</v>
      </c>
      <c r="J2950" s="11">
        <v>1.0</v>
      </c>
      <c r="K2950" s="11" t="s">
        <v>31</v>
      </c>
      <c r="L2950" s="12" t="s">
        <v>13423</v>
      </c>
      <c r="M2950" s="10" t="s">
        <v>19203</v>
      </c>
      <c r="N2950" s="10" t="s">
        <v>243</v>
      </c>
      <c r="O2950" s="12" t="s">
        <v>244</v>
      </c>
      <c r="P2950" s="10" t="s">
        <v>13425</v>
      </c>
      <c r="Q2950" s="10" t="s">
        <v>31</v>
      </c>
      <c r="R2950" s="10" t="s">
        <v>247</v>
      </c>
      <c r="S2950" s="12" t="s">
        <v>13426</v>
      </c>
      <c r="T2950" s="10" t="s">
        <v>249</v>
      </c>
      <c r="U2950" s="12" t="s">
        <v>31</v>
      </c>
      <c r="V2950" s="10" t="s">
        <v>3523</v>
      </c>
      <c r="W2950" s="10" t="s">
        <v>13207</v>
      </c>
      <c r="X2950" s="13" t="str">
        <f>HYPERLINK("https://my.pitchbook.com?p=434833-66P","View People Online")</f>
        <v>View People Online</v>
      </c>
    </row>
    <row r="2951">
      <c r="A2951" s="14" t="s">
        <v>19204</v>
      </c>
      <c r="B2951" s="14" t="s">
        <v>19205</v>
      </c>
      <c r="C2951" s="14" t="s">
        <v>1502</v>
      </c>
      <c r="D2951" s="14" t="s">
        <v>19206</v>
      </c>
      <c r="E2951" s="14" t="s">
        <v>13207</v>
      </c>
      <c r="F2951" s="14" t="s">
        <v>13218</v>
      </c>
      <c r="G2951" s="14" t="s">
        <v>19207</v>
      </c>
      <c r="H2951" s="15" t="s">
        <v>31</v>
      </c>
      <c r="I2951" s="15">
        <v>1.0</v>
      </c>
      <c r="J2951" s="15">
        <v>1.0</v>
      </c>
      <c r="K2951" s="15" t="s">
        <v>31</v>
      </c>
      <c r="L2951" s="16" t="s">
        <v>13549</v>
      </c>
      <c r="M2951" s="14" t="s">
        <v>19208</v>
      </c>
      <c r="N2951" s="14" t="s">
        <v>794</v>
      </c>
      <c r="O2951" s="16" t="s">
        <v>795</v>
      </c>
      <c r="P2951" s="14" t="s">
        <v>13551</v>
      </c>
      <c r="Q2951" s="14" t="s">
        <v>13552</v>
      </c>
      <c r="R2951" s="14" t="s">
        <v>31</v>
      </c>
      <c r="S2951" s="16" t="s">
        <v>13553</v>
      </c>
      <c r="T2951" s="14" t="s">
        <v>796</v>
      </c>
      <c r="U2951" s="16" t="s">
        <v>13554</v>
      </c>
      <c r="V2951" s="14" t="s">
        <v>13218</v>
      </c>
      <c r="W2951" s="14" t="s">
        <v>13207</v>
      </c>
      <c r="X2951" s="17" t="str">
        <f>HYPERLINK("https://my.pitchbook.com?p=435807-10P","View People Online")</f>
        <v>View People Online</v>
      </c>
    </row>
    <row r="2952">
      <c r="A2952" s="2" t="s">
        <v>19209</v>
      </c>
      <c r="B2952" s="2" t="s">
        <v>19210</v>
      </c>
      <c r="C2952" s="2" t="s">
        <v>1502</v>
      </c>
      <c r="D2952" s="2" t="s">
        <v>19211</v>
      </c>
      <c r="E2952" s="2" t="s">
        <v>13207</v>
      </c>
      <c r="F2952" s="2" t="s">
        <v>1283</v>
      </c>
      <c r="G2952" s="2" t="s">
        <v>19212</v>
      </c>
      <c r="H2952" s="3" t="s">
        <v>31</v>
      </c>
      <c r="I2952" s="3">
        <v>1.0</v>
      </c>
      <c r="J2952" s="3">
        <v>1.0</v>
      </c>
      <c r="K2952" s="3" t="s">
        <v>31</v>
      </c>
      <c r="L2952" s="4" t="s">
        <v>13496</v>
      </c>
      <c r="M2952" s="2" t="s">
        <v>19213</v>
      </c>
      <c r="N2952" s="2" t="s">
        <v>75</v>
      </c>
      <c r="O2952" s="4" t="s">
        <v>76</v>
      </c>
      <c r="P2952" s="2" t="s">
        <v>13498</v>
      </c>
      <c r="Q2952" s="2" t="s">
        <v>31</v>
      </c>
      <c r="R2952" s="2" t="s">
        <v>75</v>
      </c>
      <c r="S2952" s="4" t="s">
        <v>195</v>
      </c>
      <c r="T2952" s="2" t="s">
        <v>66</v>
      </c>
      <c r="U2952" s="4" t="s">
        <v>13499</v>
      </c>
      <c r="V2952" s="2" t="s">
        <v>13974</v>
      </c>
      <c r="W2952" s="2" t="s">
        <v>13207</v>
      </c>
      <c r="X2952" s="5" t="str">
        <f>HYPERLINK("https://my.pitchbook.com?p=455900-14P","View People Online")</f>
        <v>View People Online</v>
      </c>
    </row>
    <row r="2953">
      <c r="A2953" s="14" t="s">
        <v>19214</v>
      </c>
      <c r="B2953" s="14" t="s">
        <v>19215</v>
      </c>
      <c r="C2953" s="14" t="s">
        <v>1502</v>
      </c>
      <c r="D2953" s="14" t="s">
        <v>19216</v>
      </c>
      <c r="E2953" s="14" t="s">
        <v>13207</v>
      </c>
      <c r="F2953" s="14" t="s">
        <v>13218</v>
      </c>
      <c r="G2953" s="14" t="s">
        <v>19217</v>
      </c>
      <c r="H2953" s="15" t="s">
        <v>31</v>
      </c>
      <c r="I2953" s="15">
        <v>1.0</v>
      </c>
      <c r="J2953" s="15">
        <v>1.0</v>
      </c>
      <c r="K2953" s="15" t="s">
        <v>31</v>
      </c>
      <c r="L2953" s="16" t="s">
        <v>13540</v>
      </c>
      <c r="M2953" s="14" t="s">
        <v>19218</v>
      </c>
      <c r="N2953" s="14" t="s">
        <v>418</v>
      </c>
      <c r="O2953" s="16" t="s">
        <v>419</v>
      </c>
      <c r="P2953" s="14" t="s">
        <v>13542</v>
      </c>
      <c r="Q2953" s="14" t="s">
        <v>31</v>
      </c>
      <c r="R2953" s="14" t="s">
        <v>31</v>
      </c>
      <c r="S2953" s="16" t="s">
        <v>2664</v>
      </c>
      <c r="T2953" s="14" t="s">
        <v>422</v>
      </c>
      <c r="U2953" s="16" t="s">
        <v>13543</v>
      </c>
      <c r="V2953" s="14" t="s">
        <v>13218</v>
      </c>
      <c r="W2953" s="14" t="s">
        <v>13207</v>
      </c>
      <c r="X2953" s="17" t="str">
        <f>HYPERLINK("https://my.pitchbook.com?p=435840-49P","View People Online")</f>
        <v>View People Online</v>
      </c>
    </row>
    <row r="2954">
      <c r="A2954" s="2" t="s">
        <v>19219</v>
      </c>
      <c r="B2954" s="2" t="s">
        <v>19220</v>
      </c>
      <c r="C2954" s="2" t="s">
        <v>1502</v>
      </c>
      <c r="D2954" s="2" t="s">
        <v>15964</v>
      </c>
      <c r="E2954" s="2" t="s">
        <v>13207</v>
      </c>
      <c r="F2954" s="2" t="s">
        <v>1283</v>
      </c>
      <c r="G2954" s="2" t="s">
        <v>19221</v>
      </c>
      <c r="H2954" s="3" t="s">
        <v>31</v>
      </c>
      <c r="I2954" s="3">
        <v>1.0</v>
      </c>
      <c r="J2954" s="3">
        <v>1.0</v>
      </c>
      <c r="K2954" s="3" t="s">
        <v>31</v>
      </c>
      <c r="L2954" s="4" t="s">
        <v>13242</v>
      </c>
      <c r="M2954" s="2" t="s">
        <v>19222</v>
      </c>
      <c r="N2954" s="2" t="s">
        <v>9865</v>
      </c>
      <c r="O2954" s="4" t="s">
        <v>9866</v>
      </c>
      <c r="P2954" s="2" t="s">
        <v>13244</v>
      </c>
      <c r="Q2954" s="2" t="s">
        <v>31</v>
      </c>
      <c r="R2954" s="2" t="s">
        <v>31</v>
      </c>
      <c r="S2954" s="4" t="s">
        <v>13245</v>
      </c>
      <c r="T2954" s="2" t="s">
        <v>38</v>
      </c>
      <c r="U2954" s="4" t="s">
        <v>13246</v>
      </c>
      <c r="V2954" s="2" t="s">
        <v>1283</v>
      </c>
      <c r="W2954" s="2" t="s">
        <v>13207</v>
      </c>
      <c r="X2954" s="5" t="str">
        <f>HYPERLINK("https://my.pitchbook.com?p=435422-35P","View People Online")</f>
        <v>View People Online</v>
      </c>
    </row>
    <row r="2955">
      <c r="A2955" s="6" t="s">
        <v>19223</v>
      </c>
      <c r="B2955" s="6" t="s">
        <v>19224</v>
      </c>
      <c r="C2955" s="6" t="s">
        <v>19225</v>
      </c>
      <c r="D2955" s="6" t="s">
        <v>19226</v>
      </c>
      <c r="E2955" s="6" t="s">
        <v>13207</v>
      </c>
      <c r="F2955" s="6" t="s">
        <v>3523</v>
      </c>
      <c r="G2955" s="6" t="s">
        <v>19227</v>
      </c>
      <c r="H2955" s="7" t="s">
        <v>31</v>
      </c>
      <c r="I2955" s="7">
        <v>1.0</v>
      </c>
      <c r="J2955" s="7">
        <v>1.0</v>
      </c>
      <c r="K2955" s="7" t="s">
        <v>31</v>
      </c>
      <c r="L2955" s="8" t="s">
        <v>13724</v>
      </c>
      <c r="M2955" s="6" t="s">
        <v>19228</v>
      </c>
      <c r="N2955" s="6" t="s">
        <v>34</v>
      </c>
      <c r="O2955" s="8" t="s">
        <v>35</v>
      </c>
      <c r="P2955" s="6" t="s">
        <v>13726</v>
      </c>
      <c r="Q2955" s="6" t="s">
        <v>31</v>
      </c>
      <c r="R2955" s="6" t="s">
        <v>31</v>
      </c>
      <c r="S2955" s="8" t="s">
        <v>13727</v>
      </c>
      <c r="T2955" s="6" t="s">
        <v>38</v>
      </c>
      <c r="U2955" s="8" t="s">
        <v>13728</v>
      </c>
      <c r="V2955" s="6" t="s">
        <v>3523</v>
      </c>
      <c r="W2955" s="6" t="s">
        <v>13207</v>
      </c>
      <c r="X2955" s="9" t="str">
        <f>HYPERLINK("https://my.pitchbook.com?p=435834-46P","View People Online")</f>
        <v>View People Online</v>
      </c>
    </row>
    <row r="2956">
      <c r="A2956" s="10" t="s">
        <v>19229</v>
      </c>
      <c r="B2956" s="10" t="s">
        <v>19230</v>
      </c>
      <c r="C2956" s="10" t="s">
        <v>8184</v>
      </c>
      <c r="D2956" s="10" t="s">
        <v>19231</v>
      </c>
      <c r="E2956" s="10" t="s">
        <v>13207</v>
      </c>
      <c r="F2956" s="10" t="s">
        <v>13307</v>
      </c>
      <c r="G2956" s="10" t="s">
        <v>19232</v>
      </c>
      <c r="H2956" s="11" t="s">
        <v>31</v>
      </c>
      <c r="I2956" s="11">
        <v>1.0</v>
      </c>
      <c r="J2956" s="11">
        <v>1.0</v>
      </c>
      <c r="K2956" s="11" t="s">
        <v>31</v>
      </c>
      <c r="L2956" s="12" t="s">
        <v>14014</v>
      </c>
      <c r="M2956" s="10" t="s">
        <v>19233</v>
      </c>
      <c r="N2956" s="10" t="s">
        <v>14016</v>
      </c>
      <c r="O2956" s="12" t="s">
        <v>14017</v>
      </c>
      <c r="P2956" s="10" t="s">
        <v>14018</v>
      </c>
      <c r="Q2956" s="10" t="s">
        <v>14019</v>
      </c>
      <c r="R2956" s="10" t="s">
        <v>31</v>
      </c>
      <c r="S2956" s="12" t="s">
        <v>14020</v>
      </c>
      <c r="T2956" s="10" t="s">
        <v>38</v>
      </c>
      <c r="U2956" s="12" t="s">
        <v>14014</v>
      </c>
      <c r="V2956" s="10" t="s">
        <v>13317</v>
      </c>
      <c r="W2956" s="10" t="s">
        <v>13207</v>
      </c>
      <c r="X2956" s="13" t="str">
        <f>HYPERLINK("https://my.pitchbook.com?p=436420-45P","View People Online")</f>
        <v>View People Online</v>
      </c>
    </row>
    <row r="2957">
      <c r="A2957" s="6" t="s">
        <v>19234</v>
      </c>
      <c r="B2957" s="6" t="s">
        <v>19235</v>
      </c>
      <c r="C2957" s="6" t="s">
        <v>19236</v>
      </c>
      <c r="D2957" s="6" t="s">
        <v>19237</v>
      </c>
      <c r="E2957" s="6" t="s">
        <v>13207</v>
      </c>
      <c r="F2957" s="6" t="s">
        <v>29</v>
      </c>
      <c r="G2957" s="6" t="s">
        <v>19238</v>
      </c>
      <c r="H2957" s="7" t="s">
        <v>31</v>
      </c>
      <c r="I2957" s="7">
        <v>1.0</v>
      </c>
      <c r="J2957" s="7">
        <v>1.0</v>
      </c>
      <c r="K2957" s="7" t="s">
        <v>31</v>
      </c>
      <c r="L2957" s="8" t="s">
        <v>14050</v>
      </c>
      <c r="M2957" s="6" t="s">
        <v>19239</v>
      </c>
      <c r="N2957" s="6" t="s">
        <v>14052</v>
      </c>
      <c r="O2957" s="8" t="s">
        <v>14053</v>
      </c>
      <c r="P2957" s="6" t="s">
        <v>14054</v>
      </c>
      <c r="Q2957" s="6" t="s">
        <v>14055</v>
      </c>
      <c r="R2957" s="6" t="s">
        <v>31</v>
      </c>
      <c r="S2957" s="8" t="s">
        <v>14056</v>
      </c>
      <c r="T2957" s="6" t="s">
        <v>13773</v>
      </c>
      <c r="U2957" s="8" t="s">
        <v>14057</v>
      </c>
      <c r="V2957" s="6" t="s">
        <v>29</v>
      </c>
      <c r="W2957" s="6" t="s">
        <v>13207</v>
      </c>
      <c r="X2957" s="9" t="str">
        <f>HYPERLINK("https://my.pitchbook.com?p=455952-43P","View People Online")</f>
        <v>View People Online</v>
      </c>
    </row>
    <row r="2958">
      <c r="A2958" s="2" t="s">
        <v>19240</v>
      </c>
      <c r="B2958" s="2" t="s">
        <v>19241</v>
      </c>
      <c r="C2958" s="2" t="s">
        <v>19242</v>
      </c>
      <c r="D2958" s="2" t="s">
        <v>5198</v>
      </c>
      <c r="E2958" s="2" t="s">
        <v>13207</v>
      </c>
      <c r="F2958" s="2" t="s">
        <v>3523</v>
      </c>
      <c r="G2958" s="2" t="s">
        <v>19243</v>
      </c>
      <c r="H2958" s="3" t="s">
        <v>31</v>
      </c>
      <c r="I2958" s="3">
        <v>1.0</v>
      </c>
      <c r="J2958" s="3">
        <v>1.0</v>
      </c>
      <c r="K2958" s="3" t="s">
        <v>31</v>
      </c>
      <c r="L2958" s="4" t="s">
        <v>13855</v>
      </c>
      <c r="M2958" s="2" t="s">
        <v>19244</v>
      </c>
      <c r="N2958" s="2" t="s">
        <v>2017</v>
      </c>
      <c r="O2958" s="4" t="s">
        <v>2018</v>
      </c>
      <c r="P2958" s="2" t="s">
        <v>13857</v>
      </c>
      <c r="Q2958" s="2" t="s">
        <v>13858</v>
      </c>
      <c r="R2958" s="2" t="s">
        <v>31</v>
      </c>
      <c r="S2958" s="4" t="s">
        <v>31</v>
      </c>
      <c r="T2958" s="2" t="s">
        <v>2022</v>
      </c>
      <c r="U2958" s="4" t="s">
        <v>31</v>
      </c>
      <c r="V2958" s="2" t="s">
        <v>3523</v>
      </c>
      <c r="W2958" s="2" t="s">
        <v>13207</v>
      </c>
      <c r="X2958" s="5" t="str">
        <f>HYPERLINK("https://my.pitchbook.com?p=435446-47P","View People Online")</f>
        <v>View People Online</v>
      </c>
    </row>
    <row r="2959">
      <c r="A2959" s="6" t="s">
        <v>19245</v>
      </c>
      <c r="B2959" s="6" t="s">
        <v>19246</v>
      </c>
      <c r="C2959" s="6" t="s">
        <v>19247</v>
      </c>
      <c r="D2959" s="6" t="s">
        <v>19248</v>
      </c>
      <c r="E2959" s="6" t="s">
        <v>13207</v>
      </c>
      <c r="F2959" s="6" t="s">
        <v>2731</v>
      </c>
      <c r="G2959" s="6" t="s">
        <v>19249</v>
      </c>
      <c r="H2959" s="7" t="s">
        <v>31</v>
      </c>
      <c r="I2959" s="7">
        <v>1.0</v>
      </c>
      <c r="J2959" s="7">
        <v>1.0</v>
      </c>
      <c r="K2959" s="7" t="s">
        <v>31</v>
      </c>
      <c r="L2959" s="8" t="s">
        <v>13299</v>
      </c>
      <c r="M2959" s="6" t="s">
        <v>19250</v>
      </c>
      <c r="N2959" s="6" t="s">
        <v>601</v>
      </c>
      <c r="O2959" s="8" t="s">
        <v>602</v>
      </c>
      <c r="P2959" s="6" t="s">
        <v>13301</v>
      </c>
      <c r="Q2959" s="6" t="s">
        <v>13302</v>
      </c>
      <c r="R2959" s="6" t="s">
        <v>31</v>
      </c>
      <c r="S2959" s="8" t="s">
        <v>31</v>
      </c>
      <c r="T2959" s="6" t="s">
        <v>603</v>
      </c>
      <c r="U2959" s="8" t="s">
        <v>13303</v>
      </c>
      <c r="V2959" s="6" t="s">
        <v>2731</v>
      </c>
      <c r="W2959" s="6" t="s">
        <v>13207</v>
      </c>
      <c r="X2959" s="9" t="str">
        <f>HYPERLINK("https://my.pitchbook.com?p=195925-24P","View People Online")</f>
        <v>View People Online</v>
      </c>
    </row>
    <row r="2960">
      <c r="A2960" s="2" t="s">
        <v>19251</v>
      </c>
      <c r="B2960" s="2" t="s">
        <v>19252</v>
      </c>
      <c r="C2960" s="2" t="s">
        <v>19247</v>
      </c>
      <c r="D2960" s="2" t="s">
        <v>19253</v>
      </c>
      <c r="E2960" s="2" t="s">
        <v>13207</v>
      </c>
      <c r="F2960" s="2" t="s">
        <v>13240</v>
      </c>
      <c r="G2960" s="2" t="s">
        <v>19254</v>
      </c>
      <c r="H2960" s="3" t="s">
        <v>31</v>
      </c>
      <c r="I2960" s="3">
        <v>1.0</v>
      </c>
      <c r="J2960" s="3">
        <v>1.0</v>
      </c>
      <c r="K2960" s="3" t="s">
        <v>31</v>
      </c>
      <c r="L2960" s="4" t="s">
        <v>16549</v>
      </c>
      <c r="M2960" s="2" t="s">
        <v>19255</v>
      </c>
      <c r="N2960" s="2" t="s">
        <v>16551</v>
      </c>
      <c r="O2960" s="4" t="s">
        <v>16552</v>
      </c>
      <c r="P2960" s="2" t="s">
        <v>16553</v>
      </c>
      <c r="Q2960" s="2" t="s">
        <v>16554</v>
      </c>
      <c r="R2960" s="2" t="s">
        <v>31</v>
      </c>
      <c r="S2960" s="4" t="s">
        <v>16555</v>
      </c>
      <c r="T2960" s="2" t="s">
        <v>16556</v>
      </c>
      <c r="U2960" s="4" t="s">
        <v>16557</v>
      </c>
      <c r="V2960" s="2" t="s">
        <v>13247</v>
      </c>
      <c r="W2960" s="2" t="s">
        <v>13207</v>
      </c>
      <c r="X2960" s="5" t="str">
        <f>HYPERLINK("https://my.pitchbook.com?p=195926-32P","View People Online")</f>
        <v>View People Online</v>
      </c>
    </row>
    <row r="2961">
      <c r="A2961" s="6" t="s">
        <v>19256</v>
      </c>
      <c r="B2961" s="6" t="s">
        <v>19257</v>
      </c>
      <c r="C2961" s="6" t="s">
        <v>9239</v>
      </c>
      <c r="D2961" s="6" t="s">
        <v>19258</v>
      </c>
      <c r="E2961" s="6" t="s">
        <v>13207</v>
      </c>
      <c r="F2961" s="6" t="s">
        <v>13218</v>
      </c>
      <c r="G2961" s="6" t="s">
        <v>19259</v>
      </c>
      <c r="H2961" s="7" t="s">
        <v>31</v>
      </c>
      <c r="I2961" s="7">
        <v>1.0</v>
      </c>
      <c r="J2961" s="7">
        <v>1.0</v>
      </c>
      <c r="K2961" s="7" t="s">
        <v>31</v>
      </c>
      <c r="L2961" s="8" t="s">
        <v>13766</v>
      </c>
      <c r="M2961" s="6" t="s">
        <v>19260</v>
      </c>
      <c r="N2961" s="6" t="s">
        <v>13768</v>
      </c>
      <c r="O2961" s="8" t="s">
        <v>13769</v>
      </c>
      <c r="P2961" s="6" t="s">
        <v>13770</v>
      </c>
      <c r="Q2961" s="6" t="s">
        <v>13771</v>
      </c>
      <c r="R2961" s="6" t="s">
        <v>31</v>
      </c>
      <c r="S2961" s="8" t="s">
        <v>13772</v>
      </c>
      <c r="T2961" s="6" t="s">
        <v>13773</v>
      </c>
      <c r="U2961" s="8" t="s">
        <v>31</v>
      </c>
      <c r="V2961" s="6" t="s">
        <v>13218</v>
      </c>
      <c r="W2961" s="6" t="s">
        <v>13207</v>
      </c>
      <c r="X2961" s="9" t="str">
        <f>HYPERLINK("https://my.pitchbook.com?p=435433-96P","View People Online")</f>
        <v>View People Online</v>
      </c>
    </row>
    <row r="2962">
      <c r="A2962" s="10" t="s">
        <v>19261</v>
      </c>
      <c r="B2962" s="10" t="s">
        <v>19262</v>
      </c>
      <c r="C2962" s="10" t="s">
        <v>9239</v>
      </c>
      <c r="D2962" s="10" t="s">
        <v>19263</v>
      </c>
      <c r="E2962" s="10" t="s">
        <v>13207</v>
      </c>
      <c r="F2962" s="10" t="s">
        <v>13218</v>
      </c>
      <c r="G2962" s="10" t="s">
        <v>19264</v>
      </c>
      <c r="H2962" s="11" t="s">
        <v>31</v>
      </c>
      <c r="I2962" s="11">
        <v>1.0</v>
      </c>
      <c r="J2962" s="11">
        <v>1.0</v>
      </c>
      <c r="K2962" s="11" t="s">
        <v>31</v>
      </c>
      <c r="L2962" s="12" t="s">
        <v>13540</v>
      </c>
      <c r="M2962" s="10" t="s">
        <v>19265</v>
      </c>
      <c r="N2962" s="10" t="s">
        <v>418</v>
      </c>
      <c r="O2962" s="12" t="s">
        <v>419</v>
      </c>
      <c r="P2962" s="10" t="s">
        <v>13542</v>
      </c>
      <c r="Q2962" s="10" t="s">
        <v>31</v>
      </c>
      <c r="R2962" s="10" t="s">
        <v>31</v>
      </c>
      <c r="S2962" s="12" t="s">
        <v>2664</v>
      </c>
      <c r="T2962" s="10" t="s">
        <v>422</v>
      </c>
      <c r="U2962" s="12" t="s">
        <v>13543</v>
      </c>
      <c r="V2962" s="10" t="s">
        <v>13218</v>
      </c>
      <c r="W2962" s="10" t="s">
        <v>13207</v>
      </c>
      <c r="X2962" s="13" t="str">
        <f>HYPERLINK("https://my.pitchbook.com?p=436344-76P","View People Online")</f>
        <v>View People Online</v>
      </c>
    </row>
    <row r="2963">
      <c r="A2963" s="14" t="s">
        <v>19266</v>
      </c>
      <c r="B2963" s="14" t="s">
        <v>19267</v>
      </c>
      <c r="C2963" s="14" t="s">
        <v>19268</v>
      </c>
      <c r="D2963" s="14" t="s">
        <v>19269</v>
      </c>
      <c r="E2963" s="14" t="s">
        <v>13207</v>
      </c>
      <c r="F2963" s="14" t="s">
        <v>13218</v>
      </c>
      <c r="G2963" s="14" t="s">
        <v>19270</v>
      </c>
      <c r="H2963" s="15">
        <v>1.0</v>
      </c>
      <c r="I2963" s="15">
        <v>2.0</v>
      </c>
      <c r="J2963" s="15">
        <v>1.0</v>
      </c>
      <c r="K2963" s="15" t="s">
        <v>31</v>
      </c>
      <c r="L2963" s="16" t="s">
        <v>13766</v>
      </c>
      <c r="M2963" s="14" t="s">
        <v>19271</v>
      </c>
      <c r="N2963" s="14" t="s">
        <v>13768</v>
      </c>
      <c r="O2963" s="16" t="s">
        <v>13769</v>
      </c>
      <c r="P2963" s="14" t="s">
        <v>13770</v>
      </c>
      <c r="Q2963" s="14" t="s">
        <v>13771</v>
      </c>
      <c r="R2963" s="14" t="s">
        <v>31</v>
      </c>
      <c r="S2963" s="16" t="s">
        <v>13772</v>
      </c>
      <c r="T2963" s="14" t="s">
        <v>13773</v>
      </c>
      <c r="U2963" s="16" t="s">
        <v>31</v>
      </c>
      <c r="V2963" s="14" t="s">
        <v>13218</v>
      </c>
      <c r="W2963" s="14" t="s">
        <v>13207</v>
      </c>
      <c r="X2963" s="17" t="str">
        <f>HYPERLINK("https://my.pitchbook.com?p=435334-15P","View People Online")</f>
        <v>View People Online</v>
      </c>
    </row>
    <row r="2964">
      <c r="A2964" s="2" t="s">
        <v>19272</v>
      </c>
      <c r="B2964" s="2" t="s">
        <v>19273</v>
      </c>
      <c r="C2964" s="2" t="s">
        <v>19274</v>
      </c>
      <c r="D2964" s="2" t="s">
        <v>19275</v>
      </c>
      <c r="E2964" s="2" t="s">
        <v>13207</v>
      </c>
      <c r="F2964" s="2" t="s">
        <v>13218</v>
      </c>
      <c r="G2964" s="2" t="s">
        <v>19276</v>
      </c>
      <c r="H2964" s="3" t="s">
        <v>31</v>
      </c>
      <c r="I2964" s="3">
        <v>1.0</v>
      </c>
      <c r="J2964" s="3">
        <v>1.0</v>
      </c>
      <c r="K2964" s="3" t="s">
        <v>31</v>
      </c>
      <c r="L2964" s="4" t="s">
        <v>13242</v>
      </c>
      <c r="M2964" s="2" t="s">
        <v>19277</v>
      </c>
      <c r="N2964" s="2" t="s">
        <v>9865</v>
      </c>
      <c r="O2964" s="4" t="s">
        <v>9866</v>
      </c>
      <c r="P2964" s="2" t="s">
        <v>13244</v>
      </c>
      <c r="Q2964" s="2" t="s">
        <v>31</v>
      </c>
      <c r="R2964" s="2" t="s">
        <v>31</v>
      </c>
      <c r="S2964" s="4" t="s">
        <v>13245</v>
      </c>
      <c r="T2964" s="2" t="s">
        <v>38</v>
      </c>
      <c r="U2964" s="4" t="s">
        <v>13246</v>
      </c>
      <c r="V2964" s="2" t="s">
        <v>13218</v>
      </c>
      <c r="W2964" s="2" t="s">
        <v>13207</v>
      </c>
      <c r="X2964" s="5" t="str">
        <f>HYPERLINK("https://my.pitchbook.com?p=435023-11P","View People Online")</f>
        <v>View People Online</v>
      </c>
    </row>
    <row r="2965">
      <c r="A2965" s="6" t="s">
        <v>19278</v>
      </c>
      <c r="B2965" s="6" t="s">
        <v>19279</v>
      </c>
      <c r="C2965" s="6" t="s">
        <v>19274</v>
      </c>
      <c r="D2965" s="6" t="s">
        <v>19280</v>
      </c>
      <c r="E2965" s="6" t="s">
        <v>13207</v>
      </c>
      <c r="F2965" s="6" t="s">
        <v>3523</v>
      </c>
      <c r="G2965" s="6" t="s">
        <v>19281</v>
      </c>
      <c r="H2965" s="7" t="s">
        <v>31</v>
      </c>
      <c r="I2965" s="7">
        <v>1.0</v>
      </c>
      <c r="J2965" s="7">
        <v>1.0</v>
      </c>
      <c r="K2965" s="7" t="s">
        <v>31</v>
      </c>
      <c r="L2965" s="8" t="s">
        <v>13734</v>
      </c>
      <c r="M2965" s="6" t="s">
        <v>19282</v>
      </c>
      <c r="N2965" s="6" t="s">
        <v>2754</v>
      </c>
      <c r="O2965" s="8" t="s">
        <v>2755</v>
      </c>
      <c r="P2965" s="6" t="s">
        <v>13736</v>
      </c>
      <c r="Q2965" s="6" t="s">
        <v>31</v>
      </c>
      <c r="R2965" s="6" t="s">
        <v>31</v>
      </c>
      <c r="S2965" s="8" t="s">
        <v>13737</v>
      </c>
      <c r="T2965" s="6" t="s">
        <v>38</v>
      </c>
      <c r="U2965" s="8" t="s">
        <v>13738</v>
      </c>
      <c r="V2965" s="6" t="s">
        <v>3523</v>
      </c>
      <c r="W2965" s="6" t="s">
        <v>13207</v>
      </c>
      <c r="X2965" s="9" t="str">
        <f>HYPERLINK("https://my.pitchbook.com?p=434931-58P","View People Online")</f>
        <v>View People Online</v>
      </c>
    </row>
    <row r="2966">
      <c r="A2966" s="2" t="s">
        <v>19283</v>
      </c>
      <c r="B2966" s="2" t="s">
        <v>19284</v>
      </c>
      <c r="C2966" s="2" t="s">
        <v>19274</v>
      </c>
      <c r="D2966" s="2" t="s">
        <v>19285</v>
      </c>
      <c r="E2966" s="2" t="s">
        <v>13207</v>
      </c>
      <c r="F2966" s="2" t="s">
        <v>3523</v>
      </c>
      <c r="G2966" s="2" t="s">
        <v>19286</v>
      </c>
      <c r="H2966" s="3" t="s">
        <v>31</v>
      </c>
      <c r="I2966" s="3">
        <v>1.0</v>
      </c>
      <c r="J2966" s="3">
        <v>1.0</v>
      </c>
      <c r="K2966" s="3" t="s">
        <v>31</v>
      </c>
      <c r="L2966" s="4" t="s">
        <v>14014</v>
      </c>
      <c r="M2966" s="2" t="s">
        <v>19287</v>
      </c>
      <c r="N2966" s="2" t="s">
        <v>14016</v>
      </c>
      <c r="O2966" s="4" t="s">
        <v>14017</v>
      </c>
      <c r="P2966" s="2" t="s">
        <v>14018</v>
      </c>
      <c r="Q2966" s="2" t="s">
        <v>14019</v>
      </c>
      <c r="R2966" s="2" t="s">
        <v>31</v>
      </c>
      <c r="S2966" s="4" t="s">
        <v>14020</v>
      </c>
      <c r="T2966" s="2" t="s">
        <v>38</v>
      </c>
      <c r="U2966" s="4" t="s">
        <v>14014</v>
      </c>
      <c r="V2966" s="2" t="s">
        <v>3523</v>
      </c>
      <c r="W2966" s="2" t="s">
        <v>13207</v>
      </c>
      <c r="X2966" s="5" t="str">
        <f>HYPERLINK("https://my.pitchbook.com?p=435010-60P","View People Online")</f>
        <v>View People Online</v>
      </c>
    </row>
    <row r="2967">
      <c r="A2967" s="14" t="s">
        <v>19288</v>
      </c>
      <c r="B2967" s="14" t="s">
        <v>19289</v>
      </c>
      <c r="C2967" s="14" t="s">
        <v>1765</v>
      </c>
      <c r="D2967" s="14" t="s">
        <v>19290</v>
      </c>
      <c r="E2967" s="14" t="s">
        <v>13207</v>
      </c>
      <c r="F2967" s="14" t="s">
        <v>29</v>
      </c>
      <c r="G2967" s="14" t="s">
        <v>19291</v>
      </c>
      <c r="H2967" s="15" t="s">
        <v>31</v>
      </c>
      <c r="I2967" s="15">
        <v>1.0</v>
      </c>
      <c r="J2967" s="15">
        <v>1.0</v>
      </c>
      <c r="K2967" s="15" t="s">
        <v>31</v>
      </c>
      <c r="L2967" s="16" t="s">
        <v>13423</v>
      </c>
      <c r="M2967" s="14" t="s">
        <v>19292</v>
      </c>
      <c r="N2967" s="14" t="s">
        <v>243</v>
      </c>
      <c r="O2967" s="16" t="s">
        <v>244</v>
      </c>
      <c r="P2967" s="14" t="s">
        <v>13425</v>
      </c>
      <c r="Q2967" s="14" t="s">
        <v>31</v>
      </c>
      <c r="R2967" s="14" t="s">
        <v>247</v>
      </c>
      <c r="S2967" s="16" t="s">
        <v>13426</v>
      </c>
      <c r="T2967" s="14" t="s">
        <v>249</v>
      </c>
      <c r="U2967" s="16" t="s">
        <v>31</v>
      </c>
      <c r="V2967" s="14" t="s">
        <v>29</v>
      </c>
      <c r="W2967" s="14" t="s">
        <v>13207</v>
      </c>
      <c r="X2967" s="17" t="str">
        <f>HYPERLINK("https://my.pitchbook.com?p=455826-97P","View People Online")</f>
        <v>View People Online</v>
      </c>
    </row>
    <row r="2968">
      <c r="A2968" s="2" t="s">
        <v>19293</v>
      </c>
      <c r="B2968" s="2" t="s">
        <v>19294</v>
      </c>
      <c r="C2968" s="2" t="s">
        <v>2283</v>
      </c>
      <c r="D2968" s="2" t="s">
        <v>19295</v>
      </c>
      <c r="E2968" s="2" t="s">
        <v>13207</v>
      </c>
      <c r="F2968" s="2" t="s">
        <v>3523</v>
      </c>
      <c r="G2968" s="2" t="s">
        <v>19296</v>
      </c>
      <c r="H2968" s="3" t="s">
        <v>31</v>
      </c>
      <c r="I2968" s="3">
        <v>1.0</v>
      </c>
      <c r="J2968" s="3">
        <v>1.0</v>
      </c>
      <c r="K2968" s="3" t="s">
        <v>31</v>
      </c>
      <c r="L2968" s="4" t="s">
        <v>13531</v>
      </c>
      <c r="M2968" s="2" t="s">
        <v>19297</v>
      </c>
      <c r="N2968" s="2" t="s">
        <v>2273</v>
      </c>
      <c r="O2968" s="4" t="s">
        <v>2274</v>
      </c>
      <c r="P2968" s="2" t="s">
        <v>13533</v>
      </c>
      <c r="Q2968" s="2" t="s">
        <v>31</v>
      </c>
      <c r="R2968" s="2" t="s">
        <v>31</v>
      </c>
      <c r="S2968" s="4" t="s">
        <v>13534</v>
      </c>
      <c r="T2968" s="2" t="s">
        <v>2278</v>
      </c>
      <c r="U2968" s="4" t="s">
        <v>13535</v>
      </c>
      <c r="V2968" s="2" t="s">
        <v>3523</v>
      </c>
      <c r="W2968" s="2" t="s">
        <v>13207</v>
      </c>
      <c r="X2968" s="5" t="str">
        <f>HYPERLINK("https://my.pitchbook.com?p=436416-76P","View People Online")</f>
        <v>View People Online</v>
      </c>
    </row>
    <row r="2969">
      <c r="A2969" s="6" t="s">
        <v>19298</v>
      </c>
      <c r="B2969" s="6" t="s">
        <v>19299</v>
      </c>
      <c r="C2969" s="6" t="s">
        <v>2283</v>
      </c>
      <c r="D2969" s="6" t="s">
        <v>2269</v>
      </c>
      <c r="E2969" s="6" t="s">
        <v>13207</v>
      </c>
      <c r="F2969" s="6" t="s">
        <v>3523</v>
      </c>
      <c r="G2969" s="6" t="s">
        <v>19300</v>
      </c>
      <c r="H2969" s="7" t="s">
        <v>31</v>
      </c>
      <c r="I2969" s="7">
        <v>1.0</v>
      </c>
      <c r="J2969" s="7">
        <v>1.0</v>
      </c>
      <c r="K2969" s="7" t="s">
        <v>31</v>
      </c>
      <c r="L2969" s="8" t="s">
        <v>13531</v>
      </c>
      <c r="M2969" s="6" t="s">
        <v>19301</v>
      </c>
      <c r="N2969" s="6" t="s">
        <v>2273</v>
      </c>
      <c r="O2969" s="8" t="s">
        <v>2274</v>
      </c>
      <c r="P2969" s="6" t="s">
        <v>13533</v>
      </c>
      <c r="Q2969" s="6" t="s">
        <v>31</v>
      </c>
      <c r="R2969" s="6" t="s">
        <v>31</v>
      </c>
      <c r="S2969" s="8" t="s">
        <v>13534</v>
      </c>
      <c r="T2969" s="6" t="s">
        <v>2278</v>
      </c>
      <c r="U2969" s="8" t="s">
        <v>13535</v>
      </c>
      <c r="V2969" s="6" t="s">
        <v>3523</v>
      </c>
      <c r="W2969" s="6" t="s">
        <v>13207</v>
      </c>
      <c r="X2969" s="9" t="str">
        <f>HYPERLINK("https://my.pitchbook.com?p=436214-53P","View People Online")</f>
        <v>View People Online</v>
      </c>
    </row>
    <row r="2970">
      <c r="A2970" s="10" t="s">
        <v>19302</v>
      </c>
      <c r="B2970" s="10" t="s">
        <v>19303</v>
      </c>
      <c r="C2970" s="10" t="s">
        <v>19304</v>
      </c>
      <c r="D2970" s="10" t="s">
        <v>19305</v>
      </c>
      <c r="E2970" s="10" t="s">
        <v>13207</v>
      </c>
      <c r="F2970" s="10" t="s">
        <v>13218</v>
      </c>
      <c r="G2970" s="10" t="s">
        <v>19306</v>
      </c>
      <c r="H2970" s="11" t="s">
        <v>31</v>
      </c>
      <c r="I2970" s="11">
        <v>1.0</v>
      </c>
      <c r="J2970" s="11">
        <v>1.0</v>
      </c>
      <c r="K2970" s="11" t="s">
        <v>31</v>
      </c>
      <c r="L2970" s="12" t="s">
        <v>13743</v>
      </c>
      <c r="M2970" s="10" t="s">
        <v>19307</v>
      </c>
      <c r="N2970" s="10" t="s">
        <v>1034</v>
      </c>
      <c r="O2970" s="12" t="s">
        <v>1035</v>
      </c>
      <c r="P2970" s="10" t="s">
        <v>13745</v>
      </c>
      <c r="Q2970" s="10" t="s">
        <v>13746</v>
      </c>
      <c r="R2970" s="10" t="s">
        <v>31</v>
      </c>
      <c r="S2970" s="12" t="s">
        <v>13747</v>
      </c>
      <c r="T2970" s="10" t="s">
        <v>1034</v>
      </c>
      <c r="U2970" s="12" t="s">
        <v>13748</v>
      </c>
      <c r="V2970" s="10" t="s">
        <v>13218</v>
      </c>
      <c r="W2970" s="10" t="s">
        <v>13207</v>
      </c>
      <c r="X2970" s="13" t="str">
        <f>HYPERLINK("https://my.pitchbook.com?p=435440-08P","View People Online")</f>
        <v>View People Online</v>
      </c>
    </row>
    <row r="2971">
      <c r="A2971" s="14" t="s">
        <v>19308</v>
      </c>
      <c r="B2971" s="14" t="s">
        <v>19309</v>
      </c>
      <c r="C2971" s="14" t="s">
        <v>7915</v>
      </c>
      <c r="D2971" s="14" t="s">
        <v>19310</v>
      </c>
      <c r="E2971" s="14" t="s">
        <v>13207</v>
      </c>
      <c r="F2971" s="14" t="s">
        <v>3523</v>
      </c>
      <c r="G2971" s="14" t="s">
        <v>19311</v>
      </c>
      <c r="H2971" s="15" t="s">
        <v>31</v>
      </c>
      <c r="I2971" s="15">
        <v>1.0</v>
      </c>
      <c r="J2971" s="15">
        <v>1.0</v>
      </c>
      <c r="K2971" s="15" t="s">
        <v>31</v>
      </c>
      <c r="L2971" s="16" t="s">
        <v>14014</v>
      </c>
      <c r="M2971" s="14" t="s">
        <v>19312</v>
      </c>
      <c r="N2971" s="14" t="s">
        <v>14016</v>
      </c>
      <c r="O2971" s="16" t="s">
        <v>14017</v>
      </c>
      <c r="P2971" s="14" t="s">
        <v>14018</v>
      </c>
      <c r="Q2971" s="14" t="s">
        <v>14019</v>
      </c>
      <c r="R2971" s="14" t="s">
        <v>31</v>
      </c>
      <c r="S2971" s="16" t="s">
        <v>14020</v>
      </c>
      <c r="T2971" s="14" t="s">
        <v>38</v>
      </c>
      <c r="U2971" s="16" t="s">
        <v>14014</v>
      </c>
      <c r="V2971" s="14" t="s">
        <v>3523</v>
      </c>
      <c r="W2971" s="14" t="s">
        <v>13207</v>
      </c>
      <c r="X2971" s="17" t="str">
        <f>HYPERLINK("https://my.pitchbook.com?p=435021-85P","View People Online")</f>
        <v>View People Online</v>
      </c>
    </row>
    <row r="2972">
      <c r="A2972" s="10" t="s">
        <v>19313</v>
      </c>
      <c r="B2972" s="10" t="s">
        <v>19314</v>
      </c>
      <c r="C2972" s="10" t="s">
        <v>19315</v>
      </c>
      <c r="D2972" s="10" t="s">
        <v>19316</v>
      </c>
      <c r="E2972" s="10" t="s">
        <v>13207</v>
      </c>
      <c r="F2972" s="10" t="s">
        <v>3523</v>
      </c>
      <c r="G2972" s="10" t="s">
        <v>19317</v>
      </c>
      <c r="H2972" s="11" t="s">
        <v>31</v>
      </c>
      <c r="I2972" s="11">
        <v>1.0</v>
      </c>
      <c r="J2972" s="11">
        <v>1.0</v>
      </c>
      <c r="K2972" s="11" t="s">
        <v>31</v>
      </c>
      <c r="L2972" s="12" t="s">
        <v>13540</v>
      </c>
      <c r="M2972" s="10" t="s">
        <v>19318</v>
      </c>
      <c r="N2972" s="10" t="s">
        <v>418</v>
      </c>
      <c r="O2972" s="12" t="s">
        <v>419</v>
      </c>
      <c r="P2972" s="10" t="s">
        <v>13542</v>
      </c>
      <c r="Q2972" s="10" t="s">
        <v>31</v>
      </c>
      <c r="R2972" s="10" t="s">
        <v>31</v>
      </c>
      <c r="S2972" s="12" t="s">
        <v>2664</v>
      </c>
      <c r="T2972" s="10" t="s">
        <v>422</v>
      </c>
      <c r="U2972" s="12" t="s">
        <v>13543</v>
      </c>
      <c r="V2972" s="10" t="s">
        <v>3523</v>
      </c>
      <c r="W2972" s="10" t="s">
        <v>13207</v>
      </c>
      <c r="X2972" s="13" t="str">
        <f>HYPERLINK("https://my.pitchbook.com?p=436342-06P","View People Online")</f>
        <v>View People Online</v>
      </c>
    </row>
    <row r="2973">
      <c r="A2973" s="14" t="s">
        <v>19319</v>
      </c>
      <c r="B2973" s="14" t="s">
        <v>19320</v>
      </c>
      <c r="C2973" s="14" t="s">
        <v>19321</v>
      </c>
      <c r="D2973" s="14" t="s">
        <v>19322</v>
      </c>
      <c r="E2973" s="14" t="s">
        <v>13207</v>
      </c>
      <c r="F2973" s="14" t="s">
        <v>2731</v>
      </c>
      <c r="G2973" s="14" t="s">
        <v>19323</v>
      </c>
      <c r="H2973" s="15" t="s">
        <v>31</v>
      </c>
      <c r="I2973" s="15">
        <v>1.0</v>
      </c>
      <c r="J2973" s="15">
        <v>1.0</v>
      </c>
      <c r="K2973" s="15" t="s">
        <v>31</v>
      </c>
      <c r="L2973" s="16" t="s">
        <v>14142</v>
      </c>
      <c r="M2973" s="14" t="s">
        <v>19324</v>
      </c>
      <c r="N2973" s="14" t="s">
        <v>273</v>
      </c>
      <c r="O2973" s="16" t="s">
        <v>274</v>
      </c>
      <c r="P2973" s="14" t="s">
        <v>14144</v>
      </c>
      <c r="Q2973" s="14" t="s">
        <v>31</v>
      </c>
      <c r="R2973" s="14" t="s">
        <v>31</v>
      </c>
      <c r="S2973" s="16" t="s">
        <v>14145</v>
      </c>
      <c r="T2973" s="14" t="s">
        <v>276</v>
      </c>
      <c r="U2973" s="16" t="s">
        <v>14146</v>
      </c>
      <c r="V2973" s="14" t="s">
        <v>2731</v>
      </c>
      <c r="W2973" s="14" t="s">
        <v>13207</v>
      </c>
      <c r="X2973" s="17" t="str">
        <f>HYPERLINK("https://my.pitchbook.com?p=389090-89P","View People Online")</f>
        <v>View People Online</v>
      </c>
    </row>
    <row r="2974">
      <c r="A2974" s="2" t="s">
        <v>19325</v>
      </c>
      <c r="B2974" s="2" t="s">
        <v>19326</v>
      </c>
      <c r="C2974" s="2" t="s">
        <v>3149</v>
      </c>
      <c r="D2974" s="2" t="s">
        <v>19327</v>
      </c>
      <c r="E2974" s="2" t="s">
        <v>13207</v>
      </c>
      <c r="F2974" s="2" t="s">
        <v>13307</v>
      </c>
      <c r="G2974" s="2" t="s">
        <v>19328</v>
      </c>
      <c r="H2974" s="3" t="s">
        <v>31</v>
      </c>
      <c r="I2974" s="3">
        <v>1.0</v>
      </c>
      <c r="J2974" s="3">
        <v>1.0</v>
      </c>
      <c r="K2974" s="3" t="s">
        <v>31</v>
      </c>
      <c r="L2974" s="4" t="s">
        <v>13531</v>
      </c>
      <c r="M2974" s="2" t="s">
        <v>19329</v>
      </c>
      <c r="N2974" s="2" t="s">
        <v>2273</v>
      </c>
      <c r="O2974" s="4" t="s">
        <v>2274</v>
      </c>
      <c r="P2974" s="2" t="s">
        <v>13533</v>
      </c>
      <c r="Q2974" s="2" t="s">
        <v>31</v>
      </c>
      <c r="R2974" s="2" t="s">
        <v>31</v>
      </c>
      <c r="S2974" s="4" t="s">
        <v>13534</v>
      </c>
      <c r="T2974" s="2" t="s">
        <v>2278</v>
      </c>
      <c r="U2974" s="4" t="s">
        <v>13535</v>
      </c>
      <c r="V2974" s="2" t="s">
        <v>13317</v>
      </c>
      <c r="W2974" s="2" t="s">
        <v>13207</v>
      </c>
      <c r="X2974" s="5" t="str">
        <f>HYPERLINK("https://my.pitchbook.com?p=434819-26P","View People Online")</f>
        <v>View People Online</v>
      </c>
    </row>
    <row r="2975">
      <c r="A2975" s="14" t="s">
        <v>19330</v>
      </c>
      <c r="B2975" s="14" t="s">
        <v>19331</v>
      </c>
      <c r="C2975" s="14" t="s">
        <v>3149</v>
      </c>
      <c r="D2975" s="14" t="s">
        <v>19332</v>
      </c>
      <c r="E2975" s="14" t="s">
        <v>13207</v>
      </c>
      <c r="F2975" s="14" t="s">
        <v>29</v>
      </c>
      <c r="G2975" s="14" t="s">
        <v>19333</v>
      </c>
      <c r="H2975" s="15" t="s">
        <v>31</v>
      </c>
      <c r="I2975" s="15">
        <v>1.0</v>
      </c>
      <c r="J2975" s="15">
        <v>1.0</v>
      </c>
      <c r="K2975" s="15" t="s">
        <v>31</v>
      </c>
      <c r="L2975" s="16" t="s">
        <v>13432</v>
      </c>
      <c r="M2975" s="14" t="s">
        <v>19334</v>
      </c>
      <c r="N2975" s="14" t="s">
        <v>2599</v>
      </c>
      <c r="O2975" s="16" t="s">
        <v>2600</v>
      </c>
      <c r="P2975" s="14" t="s">
        <v>13434</v>
      </c>
      <c r="Q2975" s="14" t="s">
        <v>4235</v>
      </c>
      <c r="R2975" s="14" t="s">
        <v>396</v>
      </c>
      <c r="S2975" s="16" t="s">
        <v>13435</v>
      </c>
      <c r="T2975" s="14" t="s">
        <v>66</v>
      </c>
      <c r="U2975" s="16" t="s">
        <v>13436</v>
      </c>
      <c r="V2975" s="14" t="s">
        <v>29</v>
      </c>
      <c r="W2975" s="14" t="s">
        <v>13207</v>
      </c>
      <c r="X2975" s="17" t="str">
        <f>HYPERLINK("https://my.pitchbook.com?p=455205-34P","View People Online")</f>
        <v>View People Online</v>
      </c>
    </row>
    <row r="2976">
      <c r="A2976" s="10" t="s">
        <v>19335</v>
      </c>
      <c r="B2976" s="10" t="s">
        <v>19336</v>
      </c>
      <c r="C2976" s="10" t="s">
        <v>19337</v>
      </c>
      <c r="D2976" s="10" t="s">
        <v>1583</v>
      </c>
      <c r="E2976" s="10" t="s">
        <v>13207</v>
      </c>
      <c r="F2976" s="10" t="s">
        <v>29</v>
      </c>
      <c r="G2976" s="10" t="s">
        <v>19338</v>
      </c>
      <c r="H2976" s="11" t="s">
        <v>31</v>
      </c>
      <c r="I2976" s="11">
        <v>1.0</v>
      </c>
      <c r="J2976" s="11">
        <v>1.0</v>
      </c>
      <c r="K2976" s="11" t="s">
        <v>31</v>
      </c>
      <c r="L2976" s="12" t="s">
        <v>13724</v>
      </c>
      <c r="M2976" s="10" t="s">
        <v>19339</v>
      </c>
      <c r="N2976" s="10" t="s">
        <v>34</v>
      </c>
      <c r="O2976" s="12" t="s">
        <v>35</v>
      </c>
      <c r="P2976" s="10" t="s">
        <v>13726</v>
      </c>
      <c r="Q2976" s="10" t="s">
        <v>31</v>
      </c>
      <c r="R2976" s="10" t="s">
        <v>31</v>
      </c>
      <c r="S2976" s="12" t="s">
        <v>13727</v>
      </c>
      <c r="T2976" s="10" t="s">
        <v>38</v>
      </c>
      <c r="U2976" s="12" t="s">
        <v>13728</v>
      </c>
      <c r="V2976" s="10" t="s">
        <v>29</v>
      </c>
      <c r="W2976" s="10" t="s">
        <v>13207</v>
      </c>
      <c r="X2976" s="13" t="str">
        <f>HYPERLINK("https://my.pitchbook.com?p=455954-59P","View People Online")</f>
        <v>View People Online</v>
      </c>
    </row>
    <row r="2977">
      <c r="A2977" s="14" t="s">
        <v>19340</v>
      </c>
      <c r="B2977" s="14" t="s">
        <v>19341</v>
      </c>
      <c r="C2977" s="14" t="s">
        <v>19342</v>
      </c>
      <c r="D2977" s="14" t="s">
        <v>19343</v>
      </c>
      <c r="E2977" s="14" t="s">
        <v>13207</v>
      </c>
      <c r="F2977" s="14" t="s">
        <v>3523</v>
      </c>
      <c r="G2977" s="14" t="s">
        <v>19344</v>
      </c>
      <c r="H2977" s="15" t="s">
        <v>31</v>
      </c>
      <c r="I2977" s="15">
        <v>1.0</v>
      </c>
      <c r="J2977" s="15">
        <v>1.0</v>
      </c>
      <c r="K2977" s="15" t="s">
        <v>31</v>
      </c>
      <c r="L2977" s="16" t="s">
        <v>13378</v>
      </c>
      <c r="M2977" s="14" t="s">
        <v>19345</v>
      </c>
      <c r="N2977" s="14" t="s">
        <v>429</v>
      </c>
      <c r="O2977" s="16" t="s">
        <v>430</v>
      </c>
      <c r="P2977" s="14" t="s">
        <v>13380</v>
      </c>
      <c r="Q2977" s="14" t="s">
        <v>31</v>
      </c>
      <c r="R2977" s="14" t="s">
        <v>31</v>
      </c>
      <c r="S2977" s="16" t="s">
        <v>13381</v>
      </c>
      <c r="T2977" s="14" t="s">
        <v>433</v>
      </c>
      <c r="U2977" s="16" t="s">
        <v>13382</v>
      </c>
      <c r="V2977" s="14" t="s">
        <v>3523</v>
      </c>
      <c r="W2977" s="14" t="s">
        <v>13207</v>
      </c>
      <c r="X2977" s="17" t="str">
        <f>HYPERLINK("https://my.pitchbook.com?p=455612-86P","View People Online")</f>
        <v>View People Online</v>
      </c>
    </row>
    <row r="2978">
      <c r="A2978" s="2" t="s">
        <v>19346</v>
      </c>
      <c r="B2978" s="2" t="s">
        <v>19347</v>
      </c>
      <c r="C2978" s="2" t="s">
        <v>19348</v>
      </c>
      <c r="D2978" s="2" t="s">
        <v>19349</v>
      </c>
      <c r="E2978" s="2" t="s">
        <v>13207</v>
      </c>
      <c r="F2978" s="2" t="s">
        <v>3523</v>
      </c>
      <c r="G2978" s="2" t="s">
        <v>19350</v>
      </c>
      <c r="H2978" s="3" t="s">
        <v>31</v>
      </c>
      <c r="I2978" s="3">
        <v>1.0</v>
      </c>
      <c r="J2978" s="3">
        <v>1.0</v>
      </c>
      <c r="K2978" s="3" t="s">
        <v>31</v>
      </c>
      <c r="L2978" s="4" t="s">
        <v>13378</v>
      </c>
      <c r="M2978" s="2" t="s">
        <v>19351</v>
      </c>
      <c r="N2978" s="2" t="s">
        <v>429</v>
      </c>
      <c r="O2978" s="4" t="s">
        <v>430</v>
      </c>
      <c r="P2978" s="2" t="s">
        <v>13380</v>
      </c>
      <c r="Q2978" s="2" t="s">
        <v>31</v>
      </c>
      <c r="R2978" s="2" t="s">
        <v>31</v>
      </c>
      <c r="S2978" s="4" t="s">
        <v>13381</v>
      </c>
      <c r="T2978" s="2" t="s">
        <v>433</v>
      </c>
      <c r="U2978" s="4" t="s">
        <v>13382</v>
      </c>
      <c r="V2978" s="2" t="s">
        <v>3523</v>
      </c>
      <c r="W2978" s="2" t="s">
        <v>13207</v>
      </c>
      <c r="X2978" s="5" t="str">
        <f>HYPERLINK("https://my.pitchbook.com?p=456062-23P","View People Online")</f>
        <v>View People Online</v>
      </c>
    </row>
    <row r="2979">
      <c r="A2979" s="14" t="s">
        <v>19352</v>
      </c>
      <c r="B2979" s="14" t="s">
        <v>19353</v>
      </c>
      <c r="C2979" s="14" t="s">
        <v>2288</v>
      </c>
      <c r="D2979" s="14" t="s">
        <v>5608</v>
      </c>
      <c r="E2979" s="14" t="s">
        <v>13207</v>
      </c>
      <c r="F2979" s="14" t="s">
        <v>3523</v>
      </c>
      <c r="G2979" s="14" t="s">
        <v>19354</v>
      </c>
      <c r="H2979" s="15" t="s">
        <v>31</v>
      </c>
      <c r="I2979" s="15">
        <v>1.0</v>
      </c>
      <c r="J2979" s="15">
        <v>1.0</v>
      </c>
      <c r="K2979" s="15" t="s">
        <v>31</v>
      </c>
      <c r="L2979" s="16" t="s">
        <v>13289</v>
      </c>
      <c r="M2979" s="14" t="s">
        <v>19355</v>
      </c>
      <c r="N2979" s="14" t="s">
        <v>1348</v>
      </c>
      <c r="O2979" s="16" t="s">
        <v>1349</v>
      </c>
      <c r="P2979" s="14" t="s">
        <v>13291</v>
      </c>
      <c r="Q2979" s="14" t="s">
        <v>13292</v>
      </c>
      <c r="R2979" s="14" t="s">
        <v>1018</v>
      </c>
      <c r="S2979" s="16" t="s">
        <v>13293</v>
      </c>
      <c r="T2979" s="14" t="s">
        <v>1019</v>
      </c>
      <c r="U2979" s="16" t="s">
        <v>13294</v>
      </c>
      <c r="V2979" s="14" t="s">
        <v>3523</v>
      </c>
      <c r="W2979" s="14" t="s">
        <v>13207</v>
      </c>
      <c r="X2979" s="17" t="str">
        <f>HYPERLINK("https://my.pitchbook.com?p=368341-75P","View People Online")</f>
        <v>View People Online</v>
      </c>
    </row>
    <row r="2980">
      <c r="A2980" s="10" t="s">
        <v>19356</v>
      </c>
      <c r="B2980" s="10" t="s">
        <v>19357</v>
      </c>
      <c r="C2980" s="10" t="s">
        <v>2288</v>
      </c>
      <c r="D2980" s="10" t="s">
        <v>19358</v>
      </c>
      <c r="E2980" s="10" t="s">
        <v>13207</v>
      </c>
      <c r="F2980" s="10" t="s">
        <v>13218</v>
      </c>
      <c r="G2980" s="10" t="s">
        <v>19359</v>
      </c>
      <c r="H2980" s="11" t="s">
        <v>31</v>
      </c>
      <c r="I2980" s="11">
        <v>1.0</v>
      </c>
      <c r="J2980" s="11">
        <v>1.0</v>
      </c>
      <c r="K2980" s="11" t="s">
        <v>31</v>
      </c>
      <c r="L2980" s="12" t="s">
        <v>13632</v>
      </c>
      <c r="M2980" s="10" t="s">
        <v>19360</v>
      </c>
      <c r="N2980" s="10" t="s">
        <v>7690</v>
      </c>
      <c r="O2980" s="12" t="s">
        <v>7691</v>
      </c>
      <c r="P2980" s="10" t="s">
        <v>13634</v>
      </c>
      <c r="Q2980" s="10" t="s">
        <v>13635</v>
      </c>
      <c r="R2980" s="10" t="s">
        <v>7693</v>
      </c>
      <c r="S2980" s="12" t="s">
        <v>13636</v>
      </c>
      <c r="T2980" s="10" t="s">
        <v>66</v>
      </c>
      <c r="U2980" s="12" t="s">
        <v>13637</v>
      </c>
      <c r="V2980" s="10" t="s">
        <v>13218</v>
      </c>
      <c r="W2980" s="10" t="s">
        <v>13207</v>
      </c>
      <c r="X2980" s="13" t="str">
        <f>HYPERLINK("https://my.pitchbook.com?p=435538-00P","View People Online")</f>
        <v>View People Online</v>
      </c>
    </row>
    <row r="2981">
      <c r="A2981" s="6" t="s">
        <v>19361</v>
      </c>
      <c r="B2981" s="6" t="s">
        <v>19362</v>
      </c>
      <c r="C2981" s="6" t="s">
        <v>2288</v>
      </c>
      <c r="D2981" s="6" t="s">
        <v>19363</v>
      </c>
      <c r="E2981" s="6" t="s">
        <v>13207</v>
      </c>
      <c r="F2981" s="6" t="s">
        <v>13218</v>
      </c>
      <c r="G2981" s="6" t="s">
        <v>19364</v>
      </c>
      <c r="H2981" s="7" t="s">
        <v>31</v>
      </c>
      <c r="I2981" s="7">
        <v>1.0</v>
      </c>
      <c r="J2981" s="7">
        <v>1.0</v>
      </c>
      <c r="K2981" s="7" t="s">
        <v>31</v>
      </c>
      <c r="L2981" s="8" t="s">
        <v>13289</v>
      </c>
      <c r="M2981" s="6" t="s">
        <v>19365</v>
      </c>
      <c r="N2981" s="6" t="s">
        <v>1348</v>
      </c>
      <c r="O2981" s="8" t="s">
        <v>1349</v>
      </c>
      <c r="P2981" s="6" t="s">
        <v>13291</v>
      </c>
      <c r="Q2981" s="6" t="s">
        <v>13292</v>
      </c>
      <c r="R2981" s="6" t="s">
        <v>1018</v>
      </c>
      <c r="S2981" s="8" t="s">
        <v>13293</v>
      </c>
      <c r="T2981" s="6" t="s">
        <v>1019</v>
      </c>
      <c r="U2981" s="8" t="s">
        <v>13294</v>
      </c>
      <c r="V2981" s="6" t="s">
        <v>13218</v>
      </c>
      <c r="W2981" s="6" t="s">
        <v>13207</v>
      </c>
      <c r="X2981" s="9" t="str">
        <f>HYPERLINK("https://my.pitchbook.com?p=435809-98P","View People Online")</f>
        <v>View People Online</v>
      </c>
    </row>
    <row r="2982">
      <c r="A2982" s="2" t="s">
        <v>19366</v>
      </c>
      <c r="B2982" s="2" t="s">
        <v>19367</v>
      </c>
      <c r="C2982" s="2" t="s">
        <v>12907</v>
      </c>
      <c r="D2982" s="2" t="s">
        <v>19368</v>
      </c>
      <c r="E2982" s="2" t="s">
        <v>13207</v>
      </c>
      <c r="F2982" s="2" t="s">
        <v>3523</v>
      </c>
      <c r="G2982" s="2" t="s">
        <v>19369</v>
      </c>
      <c r="H2982" s="3" t="s">
        <v>31</v>
      </c>
      <c r="I2982" s="3">
        <v>1.0</v>
      </c>
      <c r="J2982" s="3">
        <v>1.0</v>
      </c>
      <c r="K2982" s="3" t="s">
        <v>31</v>
      </c>
      <c r="L2982" s="4" t="s">
        <v>13743</v>
      </c>
      <c r="M2982" s="2" t="s">
        <v>19370</v>
      </c>
      <c r="N2982" s="2" t="s">
        <v>1034</v>
      </c>
      <c r="O2982" s="4" t="s">
        <v>1035</v>
      </c>
      <c r="P2982" s="2" t="s">
        <v>13745</v>
      </c>
      <c r="Q2982" s="2" t="s">
        <v>13746</v>
      </c>
      <c r="R2982" s="2" t="s">
        <v>31</v>
      </c>
      <c r="S2982" s="4" t="s">
        <v>13747</v>
      </c>
      <c r="T2982" s="2" t="s">
        <v>1034</v>
      </c>
      <c r="U2982" s="4" t="s">
        <v>13748</v>
      </c>
      <c r="V2982" s="2" t="s">
        <v>3523</v>
      </c>
      <c r="W2982" s="2" t="s">
        <v>13207</v>
      </c>
      <c r="X2982" s="5" t="str">
        <f>HYPERLINK("https://my.pitchbook.com?p=436150-54P","View People Online")</f>
        <v>View People Online</v>
      </c>
    </row>
    <row r="2983">
      <c r="A2983" s="14" t="s">
        <v>19371</v>
      </c>
      <c r="B2983" s="14" t="s">
        <v>19372</v>
      </c>
      <c r="C2983" s="14" t="s">
        <v>19373</v>
      </c>
      <c r="D2983" s="14" t="s">
        <v>19374</v>
      </c>
      <c r="E2983" s="14" t="s">
        <v>13207</v>
      </c>
      <c r="F2983" s="14" t="s">
        <v>3523</v>
      </c>
      <c r="G2983" s="14" t="s">
        <v>19375</v>
      </c>
      <c r="H2983" s="15" t="s">
        <v>31</v>
      </c>
      <c r="I2983" s="15">
        <v>1.0</v>
      </c>
      <c r="J2983" s="15">
        <v>1.0</v>
      </c>
      <c r="K2983" s="15" t="s">
        <v>31</v>
      </c>
      <c r="L2983" s="16" t="s">
        <v>13242</v>
      </c>
      <c r="M2983" s="14" t="s">
        <v>19376</v>
      </c>
      <c r="N2983" s="14" t="s">
        <v>9865</v>
      </c>
      <c r="O2983" s="16" t="s">
        <v>9866</v>
      </c>
      <c r="P2983" s="14" t="s">
        <v>13244</v>
      </c>
      <c r="Q2983" s="14" t="s">
        <v>31</v>
      </c>
      <c r="R2983" s="14" t="s">
        <v>31</v>
      </c>
      <c r="S2983" s="16" t="s">
        <v>13245</v>
      </c>
      <c r="T2983" s="14" t="s">
        <v>38</v>
      </c>
      <c r="U2983" s="16" t="s">
        <v>13246</v>
      </c>
      <c r="V2983" s="14" t="s">
        <v>3523</v>
      </c>
      <c r="W2983" s="14" t="s">
        <v>13207</v>
      </c>
      <c r="X2983" s="17" t="str">
        <f>HYPERLINK("https://my.pitchbook.com?p=456139-27P","View People Online")</f>
        <v>View People Online</v>
      </c>
    </row>
    <row r="2984">
      <c r="A2984" s="10" t="s">
        <v>19377</v>
      </c>
      <c r="B2984" s="10" t="s">
        <v>19378</v>
      </c>
      <c r="C2984" s="10" t="s">
        <v>19373</v>
      </c>
      <c r="D2984" s="10" t="s">
        <v>19379</v>
      </c>
      <c r="E2984" s="10" t="s">
        <v>13207</v>
      </c>
      <c r="F2984" s="10" t="s">
        <v>13307</v>
      </c>
      <c r="G2984" s="10" t="s">
        <v>19380</v>
      </c>
      <c r="H2984" s="11" t="s">
        <v>31</v>
      </c>
      <c r="I2984" s="11">
        <v>1.0</v>
      </c>
      <c r="J2984" s="11">
        <v>1.0</v>
      </c>
      <c r="K2984" s="11" t="s">
        <v>31</v>
      </c>
      <c r="L2984" s="12" t="s">
        <v>13252</v>
      </c>
      <c r="M2984" s="10" t="s">
        <v>19381</v>
      </c>
      <c r="N2984" s="10" t="s">
        <v>13254</v>
      </c>
      <c r="O2984" s="12" t="s">
        <v>13255</v>
      </c>
      <c r="P2984" s="10" t="s">
        <v>13256</v>
      </c>
      <c r="Q2984" s="10" t="s">
        <v>31</v>
      </c>
      <c r="R2984" s="10" t="s">
        <v>31</v>
      </c>
      <c r="S2984" s="12" t="s">
        <v>13257</v>
      </c>
      <c r="T2984" s="10" t="s">
        <v>13258</v>
      </c>
      <c r="U2984" s="12" t="s">
        <v>13259</v>
      </c>
      <c r="V2984" s="10" t="s">
        <v>19382</v>
      </c>
      <c r="W2984" s="10" t="s">
        <v>13207</v>
      </c>
      <c r="X2984" s="13" t="str">
        <f>HYPERLINK("https://my.pitchbook.com?p=456397-03P","View People Online")</f>
        <v>View People Online</v>
      </c>
    </row>
    <row r="2985">
      <c r="A2985" s="14" t="s">
        <v>19383</v>
      </c>
      <c r="B2985" s="14" t="s">
        <v>19384</v>
      </c>
      <c r="C2985" s="14" t="s">
        <v>19373</v>
      </c>
      <c r="D2985" s="14" t="s">
        <v>18942</v>
      </c>
      <c r="E2985" s="14" t="s">
        <v>13207</v>
      </c>
      <c r="F2985" s="14" t="s">
        <v>13218</v>
      </c>
      <c r="G2985" s="14" t="s">
        <v>19385</v>
      </c>
      <c r="H2985" s="15" t="s">
        <v>31</v>
      </c>
      <c r="I2985" s="15">
        <v>3.0</v>
      </c>
      <c r="J2985" s="15">
        <v>1.0</v>
      </c>
      <c r="K2985" s="15">
        <v>1.0</v>
      </c>
      <c r="L2985" s="16" t="s">
        <v>13242</v>
      </c>
      <c r="M2985" s="14" t="s">
        <v>19386</v>
      </c>
      <c r="N2985" s="14" t="s">
        <v>9865</v>
      </c>
      <c r="O2985" s="16" t="s">
        <v>9866</v>
      </c>
      <c r="P2985" s="14" t="s">
        <v>13244</v>
      </c>
      <c r="Q2985" s="14" t="s">
        <v>31</v>
      </c>
      <c r="R2985" s="14" t="s">
        <v>31</v>
      </c>
      <c r="S2985" s="16" t="s">
        <v>13245</v>
      </c>
      <c r="T2985" s="14" t="s">
        <v>38</v>
      </c>
      <c r="U2985" s="16" t="s">
        <v>13246</v>
      </c>
      <c r="V2985" s="14" t="s">
        <v>13218</v>
      </c>
      <c r="W2985" s="14" t="s">
        <v>13207</v>
      </c>
      <c r="X2985" s="17" t="str">
        <f>HYPERLINK("https://my.pitchbook.com?p=256874-14P","View People Online")</f>
        <v>View People Online</v>
      </c>
    </row>
    <row r="2986">
      <c r="A2986" s="10" t="s">
        <v>19387</v>
      </c>
      <c r="B2986" s="10" t="s">
        <v>19388</v>
      </c>
      <c r="C2986" s="10" t="s">
        <v>19373</v>
      </c>
      <c r="D2986" s="10" t="s">
        <v>19389</v>
      </c>
      <c r="E2986" s="10" t="s">
        <v>13207</v>
      </c>
      <c r="F2986" s="10" t="s">
        <v>13218</v>
      </c>
      <c r="G2986" s="10" t="s">
        <v>19390</v>
      </c>
      <c r="H2986" s="11" t="s">
        <v>31</v>
      </c>
      <c r="I2986" s="11">
        <v>1.0</v>
      </c>
      <c r="J2986" s="11">
        <v>1.0</v>
      </c>
      <c r="K2986" s="11" t="s">
        <v>31</v>
      </c>
      <c r="L2986" s="12" t="s">
        <v>13299</v>
      </c>
      <c r="M2986" s="10" t="s">
        <v>19391</v>
      </c>
      <c r="N2986" s="10" t="s">
        <v>601</v>
      </c>
      <c r="O2986" s="12" t="s">
        <v>602</v>
      </c>
      <c r="P2986" s="10" t="s">
        <v>13301</v>
      </c>
      <c r="Q2986" s="10" t="s">
        <v>13302</v>
      </c>
      <c r="R2986" s="10" t="s">
        <v>31</v>
      </c>
      <c r="S2986" s="12" t="s">
        <v>31</v>
      </c>
      <c r="T2986" s="10" t="s">
        <v>603</v>
      </c>
      <c r="U2986" s="12" t="s">
        <v>13303</v>
      </c>
      <c r="V2986" s="10" t="s">
        <v>13218</v>
      </c>
      <c r="W2986" s="10" t="s">
        <v>13207</v>
      </c>
      <c r="X2986" s="13" t="str">
        <f>HYPERLINK("https://my.pitchbook.com?p=172997-20P","View People Online")</f>
        <v>View People Online</v>
      </c>
    </row>
    <row r="2987">
      <c r="A2987" s="6" t="s">
        <v>19392</v>
      </c>
      <c r="B2987" s="6" t="s">
        <v>19393</v>
      </c>
      <c r="C2987" s="6" t="s">
        <v>19373</v>
      </c>
      <c r="D2987" s="6" t="s">
        <v>19394</v>
      </c>
      <c r="E2987" s="6" t="s">
        <v>13207</v>
      </c>
      <c r="F2987" s="6" t="s">
        <v>3523</v>
      </c>
      <c r="G2987" s="6" t="s">
        <v>19395</v>
      </c>
      <c r="H2987" s="7" t="s">
        <v>31</v>
      </c>
      <c r="I2987" s="7">
        <v>1.0</v>
      </c>
      <c r="J2987" s="7">
        <v>1.0</v>
      </c>
      <c r="K2987" s="7" t="s">
        <v>31</v>
      </c>
      <c r="L2987" s="8" t="s">
        <v>13734</v>
      </c>
      <c r="M2987" s="6" t="s">
        <v>19396</v>
      </c>
      <c r="N2987" s="6" t="s">
        <v>2754</v>
      </c>
      <c r="O2987" s="8" t="s">
        <v>2755</v>
      </c>
      <c r="P2987" s="6" t="s">
        <v>13736</v>
      </c>
      <c r="Q2987" s="6" t="s">
        <v>31</v>
      </c>
      <c r="R2987" s="6" t="s">
        <v>31</v>
      </c>
      <c r="S2987" s="8" t="s">
        <v>13737</v>
      </c>
      <c r="T2987" s="6" t="s">
        <v>38</v>
      </c>
      <c r="U2987" s="8" t="s">
        <v>13738</v>
      </c>
      <c r="V2987" s="6" t="s">
        <v>3523</v>
      </c>
      <c r="W2987" s="6" t="s">
        <v>13207</v>
      </c>
      <c r="X2987" s="9" t="str">
        <f>HYPERLINK("https://my.pitchbook.com?p=455718-79P","View People Online")</f>
        <v>View People Online</v>
      </c>
    </row>
    <row r="2988">
      <c r="A2988" s="2" t="s">
        <v>19397</v>
      </c>
      <c r="B2988" s="2" t="s">
        <v>19398</v>
      </c>
      <c r="C2988" s="2" t="s">
        <v>19373</v>
      </c>
      <c r="D2988" s="2" t="s">
        <v>19399</v>
      </c>
      <c r="E2988" s="2" t="s">
        <v>13207</v>
      </c>
      <c r="F2988" s="2" t="s">
        <v>3523</v>
      </c>
      <c r="G2988" s="2" t="s">
        <v>19400</v>
      </c>
      <c r="H2988" s="3" t="s">
        <v>31</v>
      </c>
      <c r="I2988" s="3">
        <v>1.0</v>
      </c>
      <c r="J2988" s="3">
        <v>1.0</v>
      </c>
      <c r="K2988" s="3" t="s">
        <v>31</v>
      </c>
      <c r="L2988" s="4" t="s">
        <v>13242</v>
      </c>
      <c r="M2988" s="2" t="s">
        <v>19401</v>
      </c>
      <c r="N2988" s="2" t="s">
        <v>9865</v>
      </c>
      <c r="O2988" s="4" t="s">
        <v>9866</v>
      </c>
      <c r="P2988" s="2" t="s">
        <v>13244</v>
      </c>
      <c r="Q2988" s="2" t="s">
        <v>31</v>
      </c>
      <c r="R2988" s="2" t="s">
        <v>31</v>
      </c>
      <c r="S2988" s="4" t="s">
        <v>13245</v>
      </c>
      <c r="T2988" s="2" t="s">
        <v>38</v>
      </c>
      <c r="U2988" s="4" t="s">
        <v>13246</v>
      </c>
      <c r="V2988" s="2" t="s">
        <v>3523</v>
      </c>
      <c r="W2988" s="2" t="s">
        <v>13207</v>
      </c>
      <c r="X2988" s="5" t="str">
        <f>HYPERLINK("https://my.pitchbook.com?p=436218-31P","View People Online")</f>
        <v>View People Online</v>
      </c>
    </row>
    <row r="2989">
      <c r="A2989" s="6" t="s">
        <v>19402</v>
      </c>
      <c r="B2989" s="6" t="s">
        <v>19403</v>
      </c>
      <c r="C2989" s="6" t="s">
        <v>19404</v>
      </c>
      <c r="D2989" s="6" t="s">
        <v>19405</v>
      </c>
      <c r="E2989" s="6" t="s">
        <v>13207</v>
      </c>
      <c r="F2989" s="6" t="s">
        <v>3523</v>
      </c>
      <c r="G2989" s="6" t="s">
        <v>19406</v>
      </c>
      <c r="H2989" s="7" t="s">
        <v>31</v>
      </c>
      <c r="I2989" s="7">
        <v>1.0</v>
      </c>
      <c r="J2989" s="7">
        <v>1.0</v>
      </c>
      <c r="K2989" s="7" t="s">
        <v>31</v>
      </c>
      <c r="L2989" s="8" t="s">
        <v>13531</v>
      </c>
      <c r="M2989" s="6" t="s">
        <v>19407</v>
      </c>
      <c r="N2989" s="6" t="s">
        <v>2273</v>
      </c>
      <c r="O2989" s="8" t="s">
        <v>2274</v>
      </c>
      <c r="P2989" s="6" t="s">
        <v>13533</v>
      </c>
      <c r="Q2989" s="6" t="s">
        <v>31</v>
      </c>
      <c r="R2989" s="6" t="s">
        <v>31</v>
      </c>
      <c r="S2989" s="8" t="s">
        <v>13534</v>
      </c>
      <c r="T2989" s="6" t="s">
        <v>2278</v>
      </c>
      <c r="U2989" s="8" t="s">
        <v>13535</v>
      </c>
      <c r="V2989" s="6" t="s">
        <v>3523</v>
      </c>
      <c r="W2989" s="6" t="s">
        <v>13207</v>
      </c>
      <c r="X2989" s="9" t="str">
        <f>HYPERLINK("https://my.pitchbook.com?p=195710-05P","View People Online")</f>
        <v>View People Online</v>
      </c>
    </row>
    <row r="2990">
      <c r="A2990" s="10" t="s">
        <v>19408</v>
      </c>
      <c r="B2990" s="10" t="s">
        <v>19409</v>
      </c>
      <c r="C2990" s="10" t="s">
        <v>19410</v>
      </c>
      <c r="D2990" s="10" t="s">
        <v>19411</v>
      </c>
      <c r="E2990" s="10" t="s">
        <v>13207</v>
      </c>
      <c r="F2990" s="10" t="s">
        <v>13307</v>
      </c>
      <c r="G2990" s="10" t="s">
        <v>19412</v>
      </c>
      <c r="H2990" s="11" t="s">
        <v>31</v>
      </c>
      <c r="I2990" s="11">
        <v>1.0</v>
      </c>
      <c r="J2990" s="11">
        <v>1.0</v>
      </c>
      <c r="K2990" s="11" t="s">
        <v>31</v>
      </c>
      <c r="L2990" s="12" t="s">
        <v>13423</v>
      </c>
      <c r="M2990" s="10" t="s">
        <v>19413</v>
      </c>
      <c r="N2990" s="10" t="s">
        <v>243</v>
      </c>
      <c r="O2990" s="12" t="s">
        <v>244</v>
      </c>
      <c r="P2990" s="10" t="s">
        <v>13425</v>
      </c>
      <c r="Q2990" s="10" t="s">
        <v>31</v>
      </c>
      <c r="R2990" s="10" t="s">
        <v>247</v>
      </c>
      <c r="S2990" s="12" t="s">
        <v>13426</v>
      </c>
      <c r="T2990" s="10" t="s">
        <v>249</v>
      </c>
      <c r="U2990" s="12" t="s">
        <v>31</v>
      </c>
      <c r="V2990" s="10" t="s">
        <v>13317</v>
      </c>
      <c r="W2990" s="10" t="s">
        <v>13207</v>
      </c>
      <c r="X2990" s="13" t="str">
        <f>HYPERLINK("https://my.pitchbook.com?p=435969-37P","View People Online")</f>
        <v>View People Online</v>
      </c>
    </row>
    <row r="2991">
      <c r="A2991" s="14" t="s">
        <v>19414</v>
      </c>
      <c r="B2991" s="14" t="s">
        <v>19415</v>
      </c>
      <c r="C2991" s="14" t="s">
        <v>1645</v>
      </c>
      <c r="D2991" s="14" t="s">
        <v>19416</v>
      </c>
      <c r="E2991" s="14" t="s">
        <v>13207</v>
      </c>
      <c r="F2991" s="14" t="s">
        <v>3523</v>
      </c>
      <c r="G2991" s="14" t="s">
        <v>19417</v>
      </c>
      <c r="H2991" s="15" t="s">
        <v>31</v>
      </c>
      <c r="I2991" s="15">
        <v>1.0</v>
      </c>
      <c r="J2991" s="15">
        <v>1.0</v>
      </c>
      <c r="K2991" s="15" t="s">
        <v>31</v>
      </c>
      <c r="L2991" s="16" t="s">
        <v>13378</v>
      </c>
      <c r="M2991" s="14" t="s">
        <v>19418</v>
      </c>
      <c r="N2991" s="14" t="s">
        <v>429</v>
      </c>
      <c r="O2991" s="16" t="s">
        <v>430</v>
      </c>
      <c r="P2991" s="14" t="s">
        <v>13380</v>
      </c>
      <c r="Q2991" s="14" t="s">
        <v>31</v>
      </c>
      <c r="R2991" s="14" t="s">
        <v>31</v>
      </c>
      <c r="S2991" s="16" t="s">
        <v>13381</v>
      </c>
      <c r="T2991" s="14" t="s">
        <v>433</v>
      </c>
      <c r="U2991" s="16" t="s">
        <v>13382</v>
      </c>
      <c r="V2991" s="14" t="s">
        <v>3523</v>
      </c>
      <c r="W2991" s="14" t="s">
        <v>13207</v>
      </c>
      <c r="X2991" s="17" t="str">
        <f>HYPERLINK("https://my.pitchbook.com?p=436164-13P","View People Online")</f>
        <v>View People Online</v>
      </c>
    </row>
    <row r="2992">
      <c r="A2992" s="10" t="s">
        <v>19419</v>
      </c>
      <c r="B2992" s="10" t="s">
        <v>19420</v>
      </c>
      <c r="C2992" s="10" t="s">
        <v>1645</v>
      </c>
      <c r="D2992" s="10" t="s">
        <v>1571</v>
      </c>
      <c r="E2992" s="10" t="s">
        <v>13207</v>
      </c>
      <c r="F2992" s="10" t="s">
        <v>13240</v>
      </c>
      <c r="G2992" s="10" t="s">
        <v>19421</v>
      </c>
      <c r="H2992" s="11" t="s">
        <v>31</v>
      </c>
      <c r="I2992" s="11">
        <v>1.0</v>
      </c>
      <c r="J2992" s="11">
        <v>1.0</v>
      </c>
      <c r="K2992" s="11" t="s">
        <v>31</v>
      </c>
      <c r="L2992" s="12" t="s">
        <v>15991</v>
      </c>
      <c r="M2992" s="10" t="s">
        <v>19422</v>
      </c>
      <c r="N2992" s="10" t="s">
        <v>15993</v>
      </c>
      <c r="O2992" s="12" t="s">
        <v>15994</v>
      </c>
      <c r="P2992" s="10" t="s">
        <v>15995</v>
      </c>
      <c r="Q2992" s="10" t="s">
        <v>15996</v>
      </c>
      <c r="R2992" s="10" t="s">
        <v>15997</v>
      </c>
      <c r="S2992" s="12" t="s">
        <v>15998</v>
      </c>
      <c r="T2992" s="10" t="s">
        <v>1019</v>
      </c>
      <c r="U2992" s="12" t="s">
        <v>15999</v>
      </c>
      <c r="V2992" s="10" t="s">
        <v>13247</v>
      </c>
      <c r="W2992" s="10" t="s">
        <v>13207</v>
      </c>
      <c r="X2992" s="13" t="str">
        <f>HYPERLINK("https://my.pitchbook.com?p=157996-27P","View People Online")</f>
        <v>View People Online</v>
      </c>
    </row>
    <row r="2993">
      <c r="A2993" s="14" t="s">
        <v>19423</v>
      </c>
      <c r="B2993" s="14" t="s">
        <v>19424</v>
      </c>
      <c r="C2993" s="14" t="s">
        <v>1645</v>
      </c>
      <c r="D2993" s="14" t="s">
        <v>19425</v>
      </c>
      <c r="E2993" s="14" t="s">
        <v>13207</v>
      </c>
      <c r="F2993" s="14" t="s">
        <v>29</v>
      </c>
      <c r="G2993" s="14" t="s">
        <v>19426</v>
      </c>
      <c r="H2993" s="15" t="s">
        <v>31</v>
      </c>
      <c r="I2993" s="15">
        <v>1.0</v>
      </c>
      <c r="J2993" s="15">
        <v>1.0</v>
      </c>
      <c r="K2993" s="15" t="s">
        <v>31</v>
      </c>
      <c r="L2993" s="16" t="s">
        <v>13299</v>
      </c>
      <c r="M2993" s="14" t="s">
        <v>19427</v>
      </c>
      <c r="N2993" s="14" t="s">
        <v>601</v>
      </c>
      <c r="O2993" s="16" t="s">
        <v>602</v>
      </c>
      <c r="P2993" s="14" t="s">
        <v>13301</v>
      </c>
      <c r="Q2993" s="14" t="s">
        <v>13302</v>
      </c>
      <c r="R2993" s="14" t="s">
        <v>31</v>
      </c>
      <c r="S2993" s="16" t="s">
        <v>31</v>
      </c>
      <c r="T2993" s="14" t="s">
        <v>603</v>
      </c>
      <c r="U2993" s="16" t="s">
        <v>13303</v>
      </c>
      <c r="V2993" s="14" t="s">
        <v>29</v>
      </c>
      <c r="W2993" s="14" t="s">
        <v>13207</v>
      </c>
      <c r="X2993" s="17" t="str">
        <f>HYPERLINK("https://my.pitchbook.com?p=455618-89P","View People Online")</f>
        <v>View People Online</v>
      </c>
    </row>
    <row r="2994">
      <c r="A2994" s="2" t="s">
        <v>19428</v>
      </c>
      <c r="B2994" s="2" t="s">
        <v>19429</v>
      </c>
      <c r="C2994" s="2" t="s">
        <v>1645</v>
      </c>
      <c r="D2994" s="2" t="s">
        <v>19430</v>
      </c>
      <c r="E2994" s="2" t="s">
        <v>13207</v>
      </c>
      <c r="F2994" s="2" t="s">
        <v>3523</v>
      </c>
      <c r="G2994" s="2" t="s">
        <v>19431</v>
      </c>
      <c r="H2994" s="3" t="s">
        <v>31</v>
      </c>
      <c r="I2994" s="3">
        <v>1.0</v>
      </c>
      <c r="J2994" s="3">
        <v>1.0</v>
      </c>
      <c r="K2994" s="3" t="s">
        <v>31</v>
      </c>
      <c r="L2994" s="4" t="s">
        <v>13242</v>
      </c>
      <c r="M2994" s="2" t="s">
        <v>19432</v>
      </c>
      <c r="N2994" s="2" t="s">
        <v>9865</v>
      </c>
      <c r="O2994" s="4" t="s">
        <v>9866</v>
      </c>
      <c r="P2994" s="2" t="s">
        <v>13244</v>
      </c>
      <c r="Q2994" s="2" t="s">
        <v>31</v>
      </c>
      <c r="R2994" s="2" t="s">
        <v>31</v>
      </c>
      <c r="S2994" s="4" t="s">
        <v>13245</v>
      </c>
      <c r="T2994" s="2" t="s">
        <v>38</v>
      </c>
      <c r="U2994" s="4" t="s">
        <v>13246</v>
      </c>
      <c r="V2994" s="2" t="s">
        <v>3523</v>
      </c>
      <c r="W2994" s="2" t="s">
        <v>13207</v>
      </c>
      <c r="X2994" s="5" t="str">
        <f>HYPERLINK("https://my.pitchbook.com?p=436117-42P","View People Online")</f>
        <v>View People Online</v>
      </c>
    </row>
    <row r="2995">
      <c r="A2995" s="6" t="s">
        <v>19433</v>
      </c>
      <c r="B2995" s="6" t="s">
        <v>19434</v>
      </c>
      <c r="C2995" s="6" t="s">
        <v>1645</v>
      </c>
      <c r="D2995" s="6" t="s">
        <v>5917</v>
      </c>
      <c r="E2995" s="6" t="s">
        <v>13207</v>
      </c>
      <c r="F2995" s="6" t="s">
        <v>3523</v>
      </c>
      <c r="G2995" s="6" t="s">
        <v>19435</v>
      </c>
      <c r="H2995" s="7" t="s">
        <v>31</v>
      </c>
      <c r="I2995" s="7">
        <v>1.0</v>
      </c>
      <c r="J2995" s="7">
        <v>1.0</v>
      </c>
      <c r="K2995" s="7" t="s">
        <v>31</v>
      </c>
      <c r="L2995" s="8" t="s">
        <v>13242</v>
      </c>
      <c r="M2995" s="6" t="s">
        <v>19436</v>
      </c>
      <c r="N2995" s="6" t="s">
        <v>9865</v>
      </c>
      <c r="O2995" s="8" t="s">
        <v>9866</v>
      </c>
      <c r="P2995" s="6" t="s">
        <v>13244</v>
      </c>
      <c r="Q2995" s="6" t="s">
        <v>31</v>
      </c>
      <c r="R2995" s="6" t="s">
        <v>31</v>
      </c>
      <c r="S2995" s="8" t="s">
        <v>13245</v>
      </c>
      <c r="T2995" s="6" t="s">
        <v>38</v>
      </c>
      <c r="U2995" s="8" t="s">
        <v>13246</v>
      </c>
      <c r="V2995" s="6" t="s">
        <v>3523</v>
      </c>
      <c r="W2995" s="6" t="s">
        <v>13207</v>
      </c>
      <c r="X2995" s="9" t="str">
        <f>HYPERLINK("https://my.pitchbook.com?p=435416-05P","View People Online")</f>
        <v>View People Online</v>
      </c>
    </row>
    <row r="2996">
      <c r="A2996" s="10" t="s">
        <v>19437</v>
      </c>
      <c r="B2996" s="10" t="s">
        <v>19438</v>
      </c>
      <c r="C2996" s="10" t="s">
        <v>1645</v>
      </c>
      <c r="D2996" s="10" t="s">
        <v>19439</v>
      </c>
      <c r="E2996" s="10" t="s">
        <v>13207</v>
      </c>
      <c r="F2996" s="10" t="s">
        <v>3523</v>
      </c>
      <c r="G2996" s="10" t="s">
        <v>19440</v>
      </c>
      <c r="H2996" s="11" t="s">
        <v>31</v>
      </c>
      <c r="I2996" s="11">
        <v>1.0</v>
      </c>
      <c r="J2996" s="11">
        <v>1.0</v>
      </c>
      <c r="K2996" s="11" t="s">
        <v>31</v>
      </c>
      <c r="L2996" s="12" t="s">
        <v>14142</v>
      </c>
      <c r="M2996" s="10" t="s">
        <v>19441</v>
      </c>
      <c r="N2996" s="10" t="s">
        <v>273</v>
      </c>
      <c r="O2996" s="12" t="s">
        <v>274</v>
      </c>
      <c r="P2996" s="10" t="s">
        <v>14144</v>
      </c>
      <c r="Q2996" s="10" t="s">
        <v>31</v>
      </c>
      <c r="R2996" s="10" t="s">
        <v>31</v>
      </c>
      <c r="S2996" s="12" t="s">
        <v>14145</v>
      </c>
      <c r="T2996" s="10" t="s">
        <v>276</v>
      </c>
      <c r="U2996" s="12" t="s">
        <v>14146</v>
      </c>
      <c r="V2996" s="10" t="s">
        <v>3523</v>
      </c>
      <c r="W2996" s="10" t="s">
        <v>13207</v>
      </c>
      <c r="X2996" s="13" t="str">
        <f>HYPERLINK("https://my.pitchbook.com?p=456036-40P","View People Online")</f>
        <v>View People Online</v>
      </c>
    </row>
    <row r="2997">
      <c r="A2997" s="14" t="s">
        <v>19442</v>
      </c>
      <c r="B2997" s="14" t="s">
        <v>19443</v>
      </c>
      <c r="C2997" s="14" t="s">
        <v>1645</v>
      </c>
      <c r="D2997" s="14" t="s">
        <v>19444</v>
      </c>
      <c r="E2997" s="14" t="s">
        <v>13207</v>
      </c>
      <c r="F2997" s="14" t="s">
        <v>13240</v>
      </c>
      <c r="G2997" s="14" t="s">
        <v>19445</v>
      </c>
      <c r="H2997" s="15" t="s">
        <v>31</v>
      </c>
      <c r="I2997" s="15">
        <v>1.0</v>
      </c>
      <c r="J2997" s="15">
        <v>1.0</v>
      </c>
      <c r="K2997" s="15" t="s">
        <v>31</v>
      </c>
      <c r="L2997" s="16" t="s">
        <v>13423</v>
      </c>
      <c r="M2997" s="14" t="s">
        <v>19446</v>
      </c>
      <c r="N2997" s="14" t="s">
        <v>243</v>
      </c>
      <c r="O2997" s="16" t="s">
        <v>244</v>
      </c>
      <c r="P2997" s="14" t="s">
        <v>13425</v>
      </c>
      <c r="Q2997" s="14" t="s">
        <v>31</v>
      </c>
      <c r="R2997" s="14" t="s">
        <v>247</v>
      </c>
      <c r="S2997" s="16" t="s">
        <v>13426</v>
      </c>
      <c r="T2997" s="14" t="s">
        <v>249</v>
      </c>
      <c r="U2997" s="16" t="s">
        <v>31</v>
      </c>
      <c r="V2997" s="14" t="s">
        <v>13247</v>
      </c>
      <c r="W2997" s="14" t="s">
        <v>13207</v>
      </c>
      <c r="X2997" s="17" t="str">
        <f>HYPERLINK("https://my.pitchbook.com?p=456829-21P","View People Online")</f>
        <v>View People Online</v>
      </c>
    </row>
    <row r="2998">
      <c r="A2998" s="10" t="s">
        <v>19447</v>
      </c>
      <c r="B2998" s="10" t="s">
        <v>19448</v>
      </c>
      <c r="C2998" s="10" t="s">
        <v>1645</v>
      </c>
      <c r="D2998" s="10" t="s">
        <v>19449</v>
      </c>
      <c r="E2998" s="10" t="s">
        <v>13207</v>
      </c>
      <c r="F2998" s="10" t="s">
        <v>3523</v>
      </c>
      <c r="G2998" s="10" t="s">
        <v>19450</v>
      </c>
      <c r="H2998" s="11" t="s">
        <v>31</v>
      </c>
      <c r="I2998" s="11">
        <v>1.0</v>
      </c>
      <c r="J2998" s="11">
        <v>1.0</v>
      </c>
      <c r="K2998" s="11" t="s">
        <v>31</v>
      </c>
      <c r="L2998" s="12" t="s">
        <v>13916</v>
      </c>
      <c r="M2998" s="10" t="s">
        <v>19451</v>
      </c>
      <c r="N2998" s="10" t="s">
        <v>155</v>
      </c>
      <c r="O2998" s="12" t="s">
        <v>156</v>
      </c>
      <c r="P2998" s="10" t="s">
        <v>13918</v>
      </c>
      <c r="Q2998" s="10" t="s">
        <v>13919</v>
      </c>
      <c r="R2998" s="10" t="s">
        <v>64</v>
      </c>
      <c r="S2998" s="12" t="s">
        <v>1549</v>
      </c>
      <c r="T2998" s="10" t="s">
        <v>66</v>
      </c>
      <c r="U2998" s="12" t="s">
        <v>13920</v>
      </c>
      <c r="V2998" s="10" t="s">
        <v>3523</v>
      </c>
      <c r="W2998" s="10" t="s">
        <v>13207</v>
      </c>
      <c r="X2998" s="13" t="str">
        <f>HYPERLINK("https://my.pitchbook.com?p=456741-91P","View People Online")</f>
        <v>View People Online</v>
      </c>
    </row>
    <row r="2999">
      <c r="A2999" s="14" t="s">
        <v>19452</v>
      </c>
      <c r="B2999" s="14" t="s">
        <v>19453</v>
      </c>
      <c r="C2999" s="14" t="s">
        <v>1645</v>
      </c>
      <c r="D2999" s="14" t="s">
        <v>19454</v>
      </c>
      <c r="E2999" s="14" t="s">
        <v>13207</v>
      </c>
      <c r="F2999" s="14" t="s">
        <v>3523</v>
      </c>
      <c r="G2999" s="14" t="s">
        <v>19455</v>
      </c>
      <c r="H2999" s="15" t="s">
        <v>31</v>
      </c>
      <c r="I2999" s="15">
        <v>1.0</v>
      </c>
      <c r="J2999" s="15">
        <v>1.0</v>
      </c>
      <c r="K2999" s="15" t="s">
        <v>31</v>
      </c>
      <c r="L2999" s="16" t="s">
        <v>13242</v>
      </c>
      <c r="M2999" s="14" t="s">
        <v>19456</v>
      </c>
      <c r="N2999" s="14" t="s">
        <v>9865</v>
      </c>
      <c r="O2999" s="16" t="s">
        <v>9866</v>
      </c>
      <c r="P2999" s="14" t="s">
        <v>13244</v>
      </c>
      <c r="Q2999" s="14" t="s">
        <v>31</v>
      </c>
      <c r="R2999" s="14" t="s">
        <v>31</v>
      </c>
      <c r="S2999" s="16" t="s">
        <v>13245</v>
      </c>
      <c r="T2999" s="14" t="s">
        <v>38</v>
      </c>
      <c r="U2999" s="16" t="s">
        <v>13246</v>
      </c>
      <c r="V2999" s="14" t="s">
        <v>3523</v>
      </c>
      <c r="W2999" s="14" t="s">
        <v>13207</v>
      </c>
      <c r="X2999" s="17" t="str">
        <f>HYPERLINK("https://my.pitchbook.com?p=455255-74P","View People Online")</f>
        <v>View People Online</v>
      </c>
    </row>
    <row r="3000">
      <c r="A3000" s="10" t="s">
        <v>19457</v>
      </c>
      <c r="B3000" s="10" t="s">
        <v>19458</v>
      </c>
      <c r="C3000" s="10" t="s">
        <v>1645</v>
      </c>
      <c r="D3000" s="10" t="s">
        <v>19459</v>
      </c>
      <c r="E3000" s="10" t="s">
        <v>13207</v>
      </c>
      <c r="F3000" s="10" t="s">
        <v>13218</v>
      </c>
      <c r="G3000" s="10" t="s">
        <v>19460</v>
      </c>
      <c r="H3000" s="11" t="s">
        <v>31</v>
      </c>
      <c r="I3000" s="11">
        <v>1.0</v>
      </c>
      <c r="J3000" s="11">
        <v>1.0</v>
      </c>
      <c r="K3000" s="11" t="s">
        <v>31</v>
      </c>
      <c r="L3000" s="12" t="s">
        <v>13299</v>
      </c>
      <c r="M3000" s="10" t="s">
        <v>19461</v>
      </c>
      <c r="N3000" s="10" t="s">
        <v>601</v>
      </c>
      <c r="O3000" s="12" t="s">
        <v>602</v>
      </c>
      <c r="P3000" s="10" t="s">
        <v>13301</v>
      </c>
      <c r="Q3000" s="10" t="s">
        <v>13302</v>
      </c>
      <c r="R3000" s="10" t="s">
        <v>31</v>
      </c>
      <c r="S3000" s="12" t="s">
        <v>31</v>
      </c>
      <c r="T3000" s="10" t="s">
        <v>603</v>
      </c>
      <c r="U3000" s="12" t="s">
        <v>13303</v>
      </c>
      <c r="V3000" s="10" t="s">
        <v>13218</v>
      </c>
      <c r="W3000" s="10" t="s">
        <v>13207</v>
      </c>
      <c r="X3000" s="13" t="str">
        <f>HYPERLINK("https://my.pitchbook.com?p=435950-47P","View People Online")</f>
        <v>View People Online</v>
      </c>
    </row>
    <row r="3001">
      <c r="A3001" s="14" t="s">
        <v>19462</v>
      </c>
      <c r="B3001" s="14" t="s">
        <v>19463</v>
      </c>
      <c r="C3001" s="14" t="s">
        <v>1645</v>
      </c>
      <c r="D3001" s="14" t="s">
        <v>19464</v>
      </c>
      <c r="E3001" s="14" t="s">
        <v>13207</v>
      </c>
      <c r="F3001" s="14" t="s">
        <v>3523</v>
      </c>
      <c r="G3001" s="14" t="s">
        <v>19465</v>
      </c>
      <c r="H3001" s="15" t="s">
        <v>31</v>
      </c>
      <c r="I3001" s="15">
        <v>1.0</v>
      </c>
      <c r="J3001" s="15">
        <v>1.0</v>
      </c>
      <c r="K3001" s="15" t="s">
        <v>31</v>
      </c>
      <c r="L3001" s="16" t="s">
        <v>13801</v>
      </c>
      <c r="M3001" s="14" t="s">
        <v>19466</v>
      </c>
      <c r="N3001" s="14" t="s">
        <v>1024</v>
      </c>
      <c r="O3001" s="16" t="s">
        <v>2718</v>
      </c>
      <c r="P3001" s="14" t="s">
        <v>13803</v>
      </c>
      <c r="Q3001" s="14" t="s">
        <v>13804</v>
      </c>
      <c r="R3001" s="14" t="s">
        <v>31</v>
      </c>
      <c r="S3001" s="16" t="s">
        <v>31</v>
      </c>
      <c r="T3001" s="14" t="s">
        <v>2721</v>
      </c>
      <c r="U3001" s="16" t="s">
        <v>31</v>
      </c>
      <c r="V3001" s="14" t="s">
        <v>3523</v>
      </c>
      <c r="W3001" s="14" t="s">
        <v>13207</v>
      </c>
      <c r="X3001" s="17" t="str">
        <f>HYPERLINK("https://my.pitchbook.com?p=436209-49P","View People Online")</f>
        <v>View People Online</v>
      </c>
    </row>
    <row r="3002">
      <c r="A3002" s="2" t="s">
        <v>19467</v>
      </c>
      <c r="B3002" s="2" t="s">
        <v>19468</v>
      </c>
      <c r="C3002" s="2" t="s">
        <v>1645</v>
      </c>
      <c r="D3002" s="2" t="s">
        <v>19469</v>
      </c>
      <c r="E3002" s="2" t="s">
        <v>13207</v>
      </c>
      <c r="F3002" s="2" t="s">
        <v>3523</v>
      </c>
      <c r="G3002" s="2" t="s">
        <v>19470</v>
      </c>
      <c r="H3002" s="3" t="s">
        <v>31</v>
      </c>
      <c r="I3002" s="3">
        <v>1.0</v>
      </c>
      <c r="J3002" s="3">
        <v>1.0</v>
      </c>
      <c r="K3002" s="3" t="s">
        <v>31</v>
      </c>
      <c r="L3002" s="4" t="s">
        <v>13432</v>
      </c>
      <c r="M3002" s="2" t="s">
        <v>19471</v>
      </c>
      <c r="N3002" s="2" t="s">
        <v>2599</v>
      </c>
      <c r="O3002" s="4" t="s">
        <v>2600</v>
      </c>
      <c r="P3002" s="2" t="s">
        <v>13434</v>
      </c>
      <c r="Q3002" s="2" t="s">
        <v>4235</v>
      </c>
      <c r="R3002" s="2" t="s">
        <v>396</v>
      </c>
      <c r="S3002" s="4" t="s">
        <v>13435</v>
      </c>
      <c r="T3002" s="2" t="s">
        <v>66</v>
      </c>
      <c r="U3002" s="4" t="s">
        <v>13436</v>
      </c>
      <c r="V3002" s="2" t="s">
        <v>3523</v>
      </c>
      <c r="W3002" s="2" t="s">
        <v>13207</v>
      </c>
      <c r="X3002" s="5" t="str">
        <f>HYPERLINK("https://my.pitchbook.com?p=435178-18P","View People Online")</f>
        <v>View People Online</v>
      </c>
    </row>
    <row r="3003">
      <c r="A3003" s="6" t="s">
        <v>19472</v>
      </c>
      <c r="B3003" s="6" t="s">
        <v>19473</v>
      </c>
      <c r="C3003" s="6" t="s">
        <v>1645</v>
      </c>
      <c r="D3003" s="6" t="s">
        <v>19474</v>
      </c>
      <c r="E3003" s="6" t="s">
        <v>13207</v>
      </c>
      <c r="F3003" s="6" t="s">
        <v>13218</v>
      </c>
      <c r="G3003" s="6" t="s">
        <v>19475</v>
      </c>
      <c r="H3003" s="7" t="s">
        <v>31</v>
      </c>
      <c r="I3003" s="7">
        <v>1.0</v>
      </c>
      <c r="J3003" s="7">
        <v>1.0</v>
      </c>
      <c r="K3003" s="7" t="s">
        <v>31</v>
      </c>
      <c r="L3003" s="8" t="s">
        <v>13916</v>
      </c>
      <c r="M3003" s="6" t="s">
        <v>19476</v>
      </c>
      <c r="N3003" s="6" t="s">
        <v>155</v>
      </c>
      <c r="O3003" s="8" t="s">
        <v>156</v>
      </c>
      <c r="P3003" s="6" t="s">
        <v>13918</v>
      </c>
      <c r="Q3003" s="6" t="s">
        <v>13919</v>
      </c>
      <c r="R3003" s="6" t="s">
        <v>64</v>
      </c>
      <c r="S3003" s="8" t="s">
        <v>1549</v>
      </c>
      <c r="T3003" s="6" t="s">
        <v>66</v>
      </c>
      <c r="U3003" s="8" t="s">
        <v>13920</v>
      </c>
      <c r="V3003" s="6" t="s">
        <v>19477</v>
      </c>
      <c r="W3003" s="6" t="s">
        <v>13207</v>
      </c>
      <c r="X3003" s="9" t="str">
        <f>HYPERLINK("https://my.pitchbook.com?p=45417-34P","View People Online")</f>
        <v>View People Online</v>
      </c>
    </row>
    <row r="3004">
      <c r="A3004" s="10" t="s">
        <v>19478</v>
      </c>
      <c r="B3004" s="10" t="s">
        <v>19479</v>
      </c>
      <c r="C3004" s="10" t="s">
        <v>1645</v>
      </c>
      <c r="D3004" s="10" t="s">
        <v>19480</v>
      </c>
      <c r="E3004" s="10" t="s">
        <v>13207</v>
      </c>
      <c r="F3004" s="10" t="s">
        <v>3523</v>
      </c>
      <c r="G3004" s="10" t="s">
        <v>19481</v>
      </c>
      <c r="H3004" s="11" t="s">
        <v>31</v>
      </c>
      <c r="I3004" s="11">
        <v>1.0</v>
      </c>
      <c r="J3004" s="11">
        <v>1.0</v>
      </c>
      <c r="K3004" s="11" t="s">
        <v>31</v>
      </c>
      <c r="L3004" s="12" t="s">
        <v>13263</v>
      </c>
      <c r="M3004" s="10" t="s">
        <v>19482</v>
      </c>
      <c r="N3004" s="10" t="s">
        <v>1005</v>
      </c>
      <c r="O3004" s="12" t="s">
        <v>1006</v>
      </c>
      <c r="P3004" s="10" t="s">
        <v>13265</v>
      </c>
      <c r="Q3004" s="10" t="s">
        <v>13266</v>
      </c>
      <c r="R3004" s="10" t="s">
        <v>13267</v>
      </c>
      <c r="S3004" s="12" t="s">
        <v>13268</v>
      </c>
      <c r="T3004" s="10" t="s">
        <v>1010</v>
      </c>
      <c r="U3004" s="12" t="s">
        <v>13269</v>
      </c>
      <c r="V3004" s="10" t="s">
        <v>3523</v>
      </c>
      <c r="W3004" s="10" t="s">
        <v>13207</v>
      </c>
      <c r="X3004" s="13" t="str">
        <f>HYPERLINK("https://my.pitchbook.com?p=435089-89P","View People Online")</f>
        <v>View People Online</v>
      </c>
    </row>
    <row r="3005">
      <c r="A3005" s="14" t="s">
        <v>19483</v>
      </c>
      <c r="B3005" s="14" t="s">
        <v>19484</v>
      </c>
      <c r="C3005" s="14" t="s">
        <v>1645</v>
      </c>
      <c r="D3005" s="14" t="s">
        <v>19485</v>
      </c>
      <c r="E3005" s="14" t="s">
        <v>13207</v>
      </c>
      <c r="F3005" s="14" t="s">
        <v>14227</v>
      </c>
      <c r="G3005" s="14" t="s">
        <v>19486</v>
      </c>
      <c r="H3005" s="15" t="s">
        <v>31</v>
      </c>
      <c r="I3005" s="15">
        <v>1.0</v>
      </c>
      <c r="J3005" s="15">
        <v>1.0</v>
      </c>
      <c r="K3005" s="15" t="s">
        <v>31</v>
      </c>
      <c r="L3005" s="16" t="s">
        <v>13657</v>
      </c>
      <c r="M3005" s="14" t="s">
        <v>19487</v>
      </c>
      <c r="N3005" s="14" t="s">
        <v>13659</v>
      </c>
      <c r="O3005" s="16" t="s">
        <v>13660</v>
      </c>
      <c r="P3005" s="14" t="s">
        <v>13661</v>
      </c>
      <c r="Q3005" s="14" t="s">
        <v>31</v>
      </c>
      <c r="R3005" s="14" t="s">
        <v>31</v>
      </c>
      <c r="S3005" s="16" t="s">
        <v>13662</v>
      </c>
      <c r="T3005" s="14" t="s">
        <v>38</v>
      </c>
      <c r="U3005" s="16" t="s">
        <v>13663</v>
      </c>
      <c r="V3005" s="14" t="s">
        <v>14230</v>
      </c>
      <c r="W3005" s="14" t="s">
        <v>13207</v>
      </c>
      <c r="X3005" s="17" t="str">
        <f>HYPERLINK("https://my.pitchbook.com?p=455710-60P","View People Online")</f>
        <v>View People Online</v>
      </c>
    </row>
    <row r="3006">
      <c r="A3006" s="2" t="s">
        <v>19488</v>
      </c>
      <c r="B3006" s="2" t="s">
        <v>19489</v>
      </c>
      <c r="C3006" s="2" t="s">
        <v>3846</v>
      </c>
      <c r="D3006" s="2" t="s">
        <v>1645</v>
      </c>
      <c r="E3006" s="2" t="s">
        <v>13207</v>
      </c>
      <c r="F3006" s="2" t="s">
        <v>13218</v>
      </c>
      <c r="G3006" s="2" t="s">
        <v>19490</v>
      </c>
      <c r="H3006" s="3" t="s">
        <v>31</v>
      </c>
      <c r="I3006" s="3">
        <v>1.0</v>
      </c>
      <c r="J3006" s="3">
        <v>1.0</v>
      </c>
      <c r="K3006" s="3" t="s">
        <v>31</v>
      </c>
      <c r="L3006" s="4" t="s">
        <v>15357</v>
      </c>
      <c r="M3006" s="2" t="s">
        <v>19491</v>
      </c>
      <c r="N3006" s="2" t="s">
        <v>1454</v>
      </c>
      <c r="O3006" s="4" t="s">
        <v>1455</v>
      </c>
      <c r="P3006" s="2" t="s">
        <v>15359</v>
      </c>
      <c r="Q3006" s="2" t="s">
        <v>13635</v>
      </c>
      <c r="R3006" s="2" t="s">
        <v>93</v>
      </c>
      <c r="S3006" s="4" t="s">
        <v>1458</v>
      </c>
      <c r="T3006" s="2" t="s">
        <v>66</v>
      </c>
      <c r="U3006" s="4" t="s">
        <v>15360</v>
      </c>
      <c r="V3006" s="2" t="s">
        <v>13218</v>
      </c>
      <c r="W3006" s="2" t="s">
        <v>13207</v>
      </c>
      <c r="X3006" s="5" t="str">
        <f>HYPERLINK("https://my.pitchbook.com?p=435327-85P","View People Online")</f>
        <v>View People Online</v>
      </c>
    </row>
    <row r="3007">
      <c r="A3007" s="6" t="s">
        <v>19492</v>
      </c>
      <c r="B3007" s="6" t="s">
        <v>19493</v>
      </c>
      <c r="C3007" s="6" t="s">
        <v>19494</v>
      </c>
      <c r="D3007" s="6" t="s">
        <v>19495</v>
      </c>
      <c r="E3007" s="6" t="s">
        <v>13207</v>
      </c>
      <c r="F3007" s="6" t="s">
        <v>3523</v>
      </c>
      <c r="G3007" s="6" t="s">
        <v>19496</v>
      </c>
      <c r="H3007" s="7" t="s">
        <v>31</v>
      </c>
      <c r="I3007" s="7">
        <v>1.0</v>
      </c>
      <c r="J3007" s="7">
        <v>1.0</v>
      </c>
      <c r="K3007" s="7" t="s">
        <v>31</v>
      </c>
      <c r="L3007" s="8" t="s">
        <v>13263</v>
      </c>
      <c r="M3007" s="6" t="s">
        <v>19497</v>
      </c>
      <c r="N3007" s="6" t="s">
        <v>1005</v>
      </c>
      <c r="O3007" s="8" t="s">
        <v>1006</v>
      </c>
      <c r="P3007" s="6" t="s">
        <v>13265</v>
      </c>
      <c r="Q3007" s="6" t="s">
        <v>13266</v>
      </c>
      <c r="R3007" s="6" t="s">
        <v>13267</v>
      </c>
      <c r="S3007" s="8" t="s">
        <v>13268</v>
      </c>
      <c r="T3007" s="6" t="s">
        <v>1010</v>
      </c>
      <c r="U3007" s="8" t="s">
        <v>13269</v>
      </c>
      <c r="V3007" s="6" t="s">
        <v>3523</v>
      </c>
      <c r="W3007" s="6" t="s">
        <v>13207</v>
      </c>
      <c r="X3007" s="9" t="str">
        <f>HYPERLINK("https://my.pitchbook.com?p=435131-11P","View People Online")</f>
        <v>View People Online</v>
      </c>
    </row>
    <row r="3008">
      <c r="A3008" s="10" t="s">
        <v>19498</v>
      </c>
      <c r="B3008" s="10" t="s">
        <v>19499</v>
      </c>
      <c r="C3008" s="10" t="s">
        <v>19500</v>
      </c>
      <c r="D3008" s="10" t="s">
        <v>19501</v>
      </c>
      <c r="E3008" s="10" t="s">
        <v>13207</v>
      </c>
      <c r="F3008" s="10" t="s">
        <v>13240</v>
      </c>
      <c r="G3008" s="10" t="s">
        <v>19502</v>
      </c>
      <c r="H3008" s="11" t="s">
        <v>31</v>
      </c>
      <c r="I3008" s="11">
        <v>1.0</v>
      </c>
      <c r="J3008" s="11">
        <v>1.0</v>
      </c>
      <c r="K3008" s="11" t="s">
        <v>31</v>
      </c>
      <c r="L3008" s="12" t="s">
        <v>13263</v>
      </c>
      <c r="M3008" s="10" t="s">
        <v>19503</v>
      </c>
      <c r="N3008" s="10" t="s">
        <v>1005</v>
      </c>
      <c r="O3008" s="12" t="s">
        <v>1006</v>
      </c>
      <c r="P3008" s="10" t="s">
        <v>13265</v>
      </c>
      <c r="Q3008" s="10" t="s">
        <v>13266</v>
      </c>
      <c r="R3008" s="10" t="s">
        <v>13267</v>
      </c>
      <c r="S3008" s="12" t="s">
        <v>13268</v>
      </c>
      <c r="T3008" s="10" t="s">
        <v>1010</v>
      </c>
      <c r="U3008" s="12" t="s">
        <v>13269</v>
      </c>
      <c r="V3008" s="10" t="s">
        <v>13247</v>
      </c>
      <c r="W3008" s="10" t="s">
        <v>13207</v>
      </c>
      <c r="X3008" s="13" t="str">
        <f>HYPERLINK("https://my.pitchbook.com?p=435755-62P","View People Online")</f>
        <v>View People Online</v>
      </c>
    </row>
    <row r="3009">
      <c r="A3009" s="6" t="s">
        <v>19504</v>
      </c>
      <c r="B3009" s="6" t="s">
        <v>19505</v>
      </c>
      <c r="C3009" s="6" t="s">
        <v>19506</v>
      </c>
      <c r="D3009" s="6" t="s">
        <v>19507</v>
      </c>
      <c r="E3009" s="6" t="s">
        <v>13207</v>
      </c>
      <c r="F3009" s="6" t="s">
        <v>1283</v>
      </c>
      <c r="G3009" s="6" t="s">
        <v>19508</v>
      </c>
      <c r="H3009" s="7" t="s">
        <v>31</v>
      </c>
      <c r="I3009" s="7">
        <v>1.0</v>
      </c>
      <c r="J3009" s="7">
        <v>1.0</v>
      </c>
      <c r="K3009" s="7" t="s">
        <v>31</v>
      </c>
      <c r="L3009" s="8" t="s">
        <v>13263</v>
      </c>
      <c r="M3009" s="6" t="s">
        <v>19509</v>
      </c>
      <c r="N3009" s="6" t="s">
        <v>1005</v>
      </c>
      <c r="O3009" s="8" t="s">
        <v>1006</v>
      </c>
      <c r="P3009" s="6" t="s">
        <v>13265</v>
      </c>
      <c r="Q3009" s="6" t="s">
        <v>13266</v>
      </c>
      <c r="R3009" s="6" t="s">
        <v>13267</v>
      </c>
      <c r="S3009" s="8" t="s">
        <v>13268</v>
      </c>
      <c r="T3009" s="6" t="s">
        <v>1010</v>
      </c>
      <c r="U3009" s="8" t="s">
        <v>13269</v>
      </c>
      <c r="V3009" s="6" t="s">
        <v>14835</v>
      </c>
      <c r="W3009" s="6" t="s">
        <v>13207</v>
      </c>
      <c r="X3009" s="9" t="str">
        <f>HYPERLINK("https://my.pitchbook.com?p=455823-28P","View People Online")</f>
        <v>View People Online</v>
      </c>
    </row>
    <row r="3010">
      <c r="A3010" s="2" t="s">
        <v>19510</v>
      </c>
      <c r="B3010" s="2" t="s">
        <v>19511</v>
      </c>
      <c r="C3010" s="2" t="s">
        <v>19512</v>
      </c>
      <c r="D3010" s="2" t="s">
        <v>19513</v>
      </c>
      <c r="E3010" s="2" t="s">
        <v>13207</v>
      </c>
      <c r="F3010" s="2" t="s">
        <v>29</v>
      </c>
      <c r="G3010" s="2" t="s">
        <v>19514</v>
      </c>
      <c r="H3010" s="3" t="s">
        <v>31</v>
      </c>
      <c r="I3010" s="3">
        <v>2.0</v>
      </c>
      <c r="J3010" s="3">
        <v>2.0</v>
      </c>
      <c r="K3010" s="3" t="s">
        <v>31</v>
      </c>
      <c r="L3010" s="4" t="s">
        <v>13263</v>
      </c>
      <c r="M3010" s="2" t="s">
        <v>19515</v>
      </c>
      <c r="N3010" s="2" t="s">
        <v>1005</v>
      </c>
      <c r="O3010" s="4" t="s">
        <v>1006</v>
      </c>
      <c r="P3010" s="2" t="s">
        <v>13265</v>
      </c>
      <c r="Q3010" s="2" t="s">
        <v>13266</v>
      </c>
      <c r="R3010" s="2" t="s">
        <v>13267</v>
      </c>
      <c r="S3010" s="4" t="s">
        <v>13268</v>
      </c>
      <c r="T3010" s="2" t="s">
        <v>1010</v>
      </c>
      <c r="U3010" s="4" t="s">
        <v>13269</v>
      </c>
      <c r="V3010" s="2" t="s">
        <v>29</v>
      </c>
      <c r="W3010" s="2" t="s">
        <v>13207</v>
      </c>
      <c r="X3010" s="5" t="str">
        <f>HYPERLINK("https://my.pitchbook.com?p=320743-99P","View People Online")</f>
        <v>View People Online</v>
      </c>
    </row>
    <row r="3011">
      <c r="A3011" s="6" t="s">
        <v>19516</v>
      </c>
      <c r="B3011" s="6" t="s">
        <v>19517</v>
      </c>
      <c r="C3011" s="6" t="s">
        <v>19518</v>
      </c>
      <c r="D3011" s="6" t="s">
        <v>19519</v>
      </c>
      <c r="E3011" s="6" t="s">
        <v>13207</v>
      </c>
      <c r="F3011" s="6" t="s">
        <v>13218</v>
      </c>
      <c r="G3011" s="6" t="s">
        <v>19520</v>
      </c>
      <c r="H3011" s="7" t="s">
        <v>31</v>
      </c>
      <c r="I3011" s="7">
        <v>1.0</v>
      </c>
      <c r="J3011" s="7">
        <v>1.0</v>
      </c>
      <c r="K3011" s="7" t="s">
        <v>31</v>
      </c>
      <c r="L3011" s="8" t="s">
        <v>13766</v>
      </c>
      <c r="M3011" s="6" t="s">
        <v>19521</v>
      </c>
      <c r="N3011" s="6" t="s">
        <v>13768</v>
      </c>
      <c r="O3011" s="8" t="s">
        <v>13769</v>
      </c>
      <c r="P3011" s="6" t="s">
        <v>13770</v>
      </c>
      <c r="Q3011" s="6" t="s">
        <v>13771</v>
      </c>
      <c r="R3011" s="6" t="s">
        <v>31</v>
      </c>
      <c r="S3011" s="8" t="s">
        <v>13772</v>
      </c>
      <c r="T3011" s="6" t="s">
        <v>13773</v>
      </c>
      <c r="U3011" s="8" t="s">
        <v>31</v>
      </c>
      <c r="V3011" s="6" t="s">
        <v>14182</v>
      </c>
      <c r="W3011" s="6" t="s">
        <v>13207</v>
      </c>
      <c r="X3011" s="9" t="str">
        <f>HYPERLINK("https://my.pitchbook.com?p=195934-78P","View People Online")</f>
        <v>View People Online</v>
      </c>
    </row>
    <row r="3012">
      <c r="A3012" s="2" t="s">
        <v>19522</v>
      </c>
      <c r="B3012" s="2" t="s">
        <v>19523</v>
      </c>
      <c r="C3012" s="2" t="s">
        <v>19524</v>
      </c>
      <c r="D3012" s="2" t="s">
        <v>19525</v>
      </c>
      <c r="E3012" s="2" t="s">
        <v>13207</v>
      </c>
      <c r="F3012" s="2" t="s">
        <v>29</v>
      </c>
      <c r="G3012" s="2" t="s">
        <v>19526</v>
      </c>
      <c r="H3012" s="3" t="s">
        <v>31</v>
      </c>
      <c r="I3012" s="3">
        <v>1.0</v>
      </c>
      <c r="J3012" s="3">
        <v>1.0</v>
      </c>
      <c r="K3012" s="3" t="s">
        <v>31</v>
      </c>
      <c r="L3012" s="4" t="s">
        <v>13263</v>
      </c>
      <c r="M3012" s="2" t="s">
        <v>19527</v>
      </c>
      <c r="N3012" s="2" t="s">
        <v>1005</v>
      </c>
      <c r="O3012" s="4" t="s">
        <v>1006</v>
      </c>
      <c r="P3012" s="2" t="s">
        <v>13265</v>
      </c>
      <c r="Q3012" s="2" t="s">
        <v>13266</v>
      </c>
      <c r="R3012" s="2" t="s">
        <v>13267</v>
      </c>
      <c r="S3012" s="4" t="s">
        <v>13268</v>
      </c>
      <c r="T3012" s="2" t="s">
        <v>1010</v>
      </c>
      <c r="U3012" s="4" t="s">
        <v>13269</v>
      </c>
      <c r="V3012" s="2" t="s">
        <v>29</v>
      </c>
      <c r="W3012" s="2" t="s">
        <v>13207</v>
      </c>
      <c r="X3012" s="5" t="str">
        <f>HYPERLINK("https://my.pitchbook.com?p=455200-39P","View People Online")</f>
        <v>View People Online</v>
      </c>
    </row>
    <row r="3013">
      <c r="A3013" s="6" t="s">
        <v>19528</v>
      </c>
      <c r="B3013" s="6" t="s">
        <v>19529</v>
      </c>
      <c r="C3013" s="6" t="s">
        <v>19530</v>
      </c>
      <c r="D3013" s="6" t="s">
        <v>19531</v>
      </c>
      <c r="E3013" s="6" t="s">
        <v>13207</v>
      </c>
      <c r="F3013" s="6" t="s">
        <v>3523</v>
      </c>
      <c r="G3013" s="6" t="s">
        <v>19532</v>
      </c>
      <c r="H3013" s="7" t="s">
        <v>31</v>
      </c>
      <c r="I3013" s="7">
        <v>1.0</v>
      </c>
      <c r="J3013" s="7">
        <v>1.0</v>
      </c>
      <c r="K3013" s="7" t="s">
        <v>31</v>
      </c>
      <c r="L3013" s="8" t="s">
        <v>13263</v>
      </c>
      <c r="M3013" s="6" t="s">
        <v>19533</v>
      </c>
      <c r="N3013" s="6" t="s">
        <v>1005</v>
      </c>
      <c r="O3013" s="8" t="s">
        <v>1006</v>
      </c>
      <c r="P3013" s="6" t="s">
        <v>13265</v>
      </c>
      <c r="Q3013" s="6" t="s">
        <v>13266</v>
      </c>
      <c r="R3013" s="6" t="s">
        <v>13267</v>
      </c>
      <c r="S3013" s="8" t="s">
        <v>13268</v>
      </c>
      <c r="T3013" s="6" t="s">
        <v>1010</v>
      </c>
      <c r="U3013" s="8" t="s">
        <v>13269</v>
      </c>
      <c r="V3013" s="6" t="s">
        <v>3523</v>
      </c>
      <c r="W3013" s="6" t="s">
        <v>13207</v>
      </c>
      <c r="X3013" s="9" t="str">
        <f>HYPERLINK("https://my.pitchbook.com?p=455463-73P","View People Online")</f>
        <v>View People Online</v>
      </c>
    </row>
    <row r="3014">
      <c r="A3014" s="2" t="s">
        <v>19534</v>
      </c>
      <c r="B3014" s="2" t="s">
        <v>19535</v>
      </c>
      <c r="C3014" s="2" t="s">
        <v>3164</v>
      </c>
      <c r="D3014" s="2" t="s">
        <v>19536</v>
      </c>
      <c r="E3014" s="2" t="s">
        <v>13207</v>
      </c>
      <c r="F3014" s="2" t="s">
        <v>13218</v>
      </c>
      <c r="G3014" s="2" t="s">
        <v>19537</v>
      </c>
      <c r="H3014" s="3" t="s">
        <v>31</v>
      </c>
      <c r="I3014" s="3">
        <v>1.0</v>
      </c>
      <c r="J3014" s="3">
        <v>1.0</v>
      </c>
      <c r="K3014" s="3" t="s">
        <v>31</v>
      </c>
      <c r="L3014" s="4" t="s">
        <v>13540</v>
      </c>
      <c r="M3014" s="2" t="s">
        <v>19538</v>
      </c>
      <c r="N3014" s="2" t="s">
        <v>418</v>
      </c>
      <c r="O3014" s="4" t="s">
        <v>419</v>
      </c>
      <c r="P3014" s="2" t="s">
        <v>13542</v>
      </c>
      <c r="Q3014" s="2" t="s">
        <v>31</v>
      </c>
      <c r="R3014" s="2" t="s">
        <v>31</v>
      </c>
      <c r="S3014" s="4" t="s">
        <v>2664</v>
      </c>
      <c r="T3014" s="2" t="s">
        <v>422</v>
      </c>
      <c r="U3014" s="4" t="s">
        <v>13543</v>
      </c>
      <c r="V3014" s="2" t="s">
        <v>14182</v>
      </c>
      <c r="W3014" s="2" t="s">
        <v>13207</v>
      </c>
      <c r="X3014" s="5" t="str">
        <f>HYPERLINK("https://my.pitchbook.com?p=195933-07P","View People Online")</f>
        <v>View People Online</v>
      </c>
    </row>
    <row r="3015">
      <c r="A3015" s="14" t="s">
        <v>19539</v>
      </c>
      <c r="B3015" s="14" t="s">
        <v>19540</v>
      </c>
      <c r="C3015" s="14" t="s">
        <v>19541</v>
      </c>
      <c r="D3015" s="14" t="s">
        <v>19542</v>
      </c>
      <c r="E3015" s="14" t="s">
        <v>13207</v>
      </c>
      <c r="F3015" s="14" t="s">
        <v>318</v>
      </c>
      <c r="G3015" s="14" t="s">
        <v>19543</v>
      </c>
      <c r="H3015" s="15" t="s">
        <v>31</v>
      </c>
      <c r="I3015" s="15">
        <v>1.0</v>
      </c>
      <c r="J3015" s="15">
        <v>1.0</v>
      </c>
      <c r="K3015" s="15" t="s">
        <v>31</v>
      </c>
      <c r="L3015" s="16" t="s">
        <v>16549</v>
      </c>
      <c r="M3015" s="14" t="s">
        <v>19544</v>
      </c>
      <c r="N3015" s="14" t="s">
        <v>16551</v>
      </c>
      <c r="O3015" s="16" t="s">
        <v>16552</v>
      </c>
      <c r="P3015" s="14" t="s">
        <v>16553</v>
      </c>
      <c r="Q3015" s="14" t="s">
        <v>16554</v>
      </c>
      <c r="R3015" s="14" t="s">
        <v>31</v>
      </c>
      <c r="S3015" s="16" t="s">
        <v>16555</v>
      </c>
      <c r="T3015" s="14" t="s">
        <v>16556</v>
      </c>
      <c r="U3015" s="16" t="s">
        <v>16557</v>
      </c>
      <c r="V3015" s="14" t="s">
        <v>318</v>
      </c>
      <c r="W3015" s="14" t="s">
        <v>13207</v>
      </c>
      <c r="X3015" s="17" t="str">
        <f>HYPERLINK("https://my.pitchbook.com?p=455830-48P","View People Online")</f>
        <v>View People Online</v>
      </c>
    </row>
    <row r="3016">
      <c r="A3016" s="2" t="s">
        <v>19545</v>
      </c>
      <c r="B3016" s="2" t="s">
        <v>19546</v>
      </c>
      <c r="C3016" s="2" t="s">
        <v>19547</v>
      </c>
      <c r="D3016" s="2" t="s">
        <v>19548</v>
      </c>
      <c r="E3016" s="2" t="s">
        <v>13207</v>
      </c>
      <c r="F3016" s="2" t="s">
        <v>13218</v>
      </c>
      <c r="G3016" s="2" t="s">
        <v>19549</v>
      </c>
      <c r="H3016" s="3" t="s">
        <v>31</v>
      </c>
      <c r="I3016" s="3">
        <v>1.0</v>
      </c>
      <c r="J3016" s="3">
        <v>1.0</v>
      </c>
      <c r="K3016" s="3" t="s">
        <v>31</v>
      </c>
      <c r="L3016" s="4" t="s">
        <v>13378</v>
      </c>
      <c r="M3016" s="2" t="s">
        <v>19550</v>
      </c>
      <c r="N3016" s="2" t="s">
        <v>429</v>
      </c>
      <c r="O3016" s="4" t="s">
        <v>430</v>
      </c>
      <c r="P3016" s="2" t="s">
        <v>13380</v>
      </c>
      <c r="Q3016" s="2" t="s">
        <v>31</v>
      </c>
      <c r="R3016" s="2" t="s">
        <v>31</v>
      </c>
      <c r="S3016" s="4" t="s">
        <v>13381</v>
      </c>
      <c r="T3016" s="2" t="s">
        <v>433</v>
      </c>
      <c r="U3016" s="4" t="s">
        <v>13382</v>
      </c>
      <c r="V3016" s="2" t="s">
        <v>13218</v>
      </c>
      <c r="W3016" s="2" t="s">
        <v>13207</v>
      </c>
      <c r="X3016" s="5" t="str">
        <f>HYPERLINK("https://my.pitchbook.com?p=348026-32P","View People Online")</f>
        <v>View People Online</v>
      </c>
    </row>
    <row r="3017">
      <c r="A3017" s="6" t="s">
        <v>19551</v>
      </c>
      <c r="B3017" s="6" t="s">
        <v>19552</v>
      </c>
      <c r="C3017" s="6" t="s">
        <v>19547</v>
      </c>
      <c r="D3017" s="6" t="s">
        <v>19553</v>
      </c>
      <c r="E3017" s="6" t="s">
        <v>13207</v>
      </c>
      <c r="F3017" s="6" t="s">
        <v>13218</v>
      </c>
      <c r="G3017" s="6" t="s">
        <v>19554</v>
      </c>
      <c r="H3017" s="7" t="s">
        <v>31</v>
      </c>
      <c r="I3017" s="7">
        <v>1.0</v>
      </c>
      <c r="J3017" s="7">
        <v>1.0</v>
      </c>
      <c r="K3017" s="7" t="s">
        <v>31</v>
      </c>
      <c r="L3017" s="8" t="s">
        <v>13378</v>
      </c>
      <c r="M3017" s="6" t="s">
        <v>19555</v>
      </c>
      <c r="N3017" s="6" t="s">
        <v>429</v>
      </c>
      <c r="O3017" s="8" t="s">
        <v>430</v>
      </c>
      <c r="P3017" s="6" t="s">
        <v>13380</v>
      </c>
      <c r="Q3017" s="6" t="s">
        <v>31</v>
      </c>
      <c r="R3017" s="6" t="s">
        <v>31</v>
      </c>
      <c r="S3017" s="8" t="s">
        <v>13381</v>
      </c>
      <c r="T3017" s="6" t="s">
        <v>433</v>
      </c>
      <c r="U3017" s="8" t="s">
        <v>13382</v>
      </c>
      <c r="V3017" s="6" t="s">
        <v>13218</v>
      </c>
      <c r="W3017" s="6" t="s">
        <v>13207</v>
      </c>
      <c r="X3017" s="9" t="str">
        <f>HYPERLINK("https://my.pitchbook.com?p=435599-02P","View People Online")</f>
        <v>View People Online</v>
      </c>
    </row>
    <row r="3018">
      <c r="A3018" s="2" t="s">
        <v>19556</v>
      </c>
      <c r="B3018" s="2" t="s">
        <v>19557</v>
      </c>
      <c r="C3018" s="2" t="s">
        <v>19558</v>
      </c>
      <c r="D3018" s="2" t="s">
        <v>11488</v>
      </c>
      <c r="E3018" s="2" t="s">
        <v>13207</v>
      </c>
      <c r="F3018" s="2" t="s">
        <v>3523</v>
      </c>
      <c r="G3018" s="2" t="s">
        <v>19559</v>
      </c>
      <c r="H3018" s="3" t="s">
        <v>31</v>
      </c>
      <c r="I3018" s="3">
        <v>1.0</v>
      </c>
      <c r="J3018" s="3">
        <v>1.0</v>
      </c>
      <c r="K3018" s="3" t="s">
        <v>31</v>
      </c>
      <c r="L3018" s="4" t="s">
        <v>13801</v>
      </c>
      <c r="M3018" s="2" t="s">
        <v>19560</v>
      </c>
      <c r="N3018" s="2" t="s">
        <v>1024</v>
      </c>
      <c r="O3018" s="4" t="s">
        <v>2718</v>
      </c>
      <c r="P3018" s="2" t="s">
        <v>13803</v>
      </c>
      <c r="Q3018" s="2" t="s">
        <v>13804</v>
      </c>
      <c r="R3018" s="2" t="s">
        <v>31</v>
      </c>
      <c r="S3018" s="4" t="s">
        <v>31</v>
      </c>
      <c r="T3018" s="2" t="s">
        <v>2721</v>
      </c>
      <c r="U3018" s="4" t="s">
        <v>31</v>
      </c>
      <c r="V3018" s="2" t="s">
        <v>3523</v>
      </c>
      <c r="W3018" s="2" t="s">
        <v>13207</v>
      </c>
      <c r="X3018" s="5" t="str">
        <f>HYPERLINK("https://my.pitchbook.com?p=435218-23P","View People Online")</f>
        <v>View People Online</v>
      </c>
    </row>
    <row r="3019">
      <c r="A3019" s="6" t="s">
        <v>19561</v>
      </c>
      <c r="B3019" s="6" t="s">
        <v>19562</v>
      </c>
      <c r="C3019" s="6" t="s">
        <v>3554</v>
      </c>
      <c r="D3019" s="6" t="s">
        <v>19563</v>
      </c>
      <c r="E3019" s="6" t="s">
        <v>13207</v>
      </c>
      <c r="F3019" s="6" t="s">
        <v>13240</v>
      </c>
      <c r="G3019" s="6" t="s">
        <v>19564</v>
      </c>
      <c r="H3019" s="7" t="s">
        <v>31</v>
      </c>
      <c r="I3019" s="7">
        <v>1.0</v>
      </c>
      <c r="J3019" s="7">
        <v>1.0</v>
      </c>
      <c r="K3019" s="7" t="s">
        <v>31</v>
      </c>
      <c r="L3019" s="8" t="s">
        <v>13632</v>
      </c>
      <c r="M3019" s="6" t="s">
        <v>19565</v>
      </c>
      <c r="N3019" s="6" t="s">
        <v>7690</v>
      </c>
      <c r="O3019" s="8" t="s">
        <v>7691</v>
      </c>
      <c r="P3019" s="6" t="s">
        <v>13634</v>
      </c>
      <c r="Q3019" s="6" t="s">
        <v>13635</v>
      </c>
      <c r="R3019" s="6" t="s">
        <v>7693</v>
      </c>
      <c r="S3019" s="8" t="s">
        <v>13636</v>
      </c>
      <c r="T3019" s="6" t="s">
        <v>66</v>
      </c>
      <c r="U3019" s="8" t="s">
        <v>13637</v>
      </c>
      <c r="V3019" s="6" t="s">
        <v>13247</v>
      </c>
      <c r="W3019" s="6" t="s">
        <v>13207</v>
      </c>
      <c r="X3019" s="9" t="str">
        <f>HYPERLINK("https://my.pitchbook.com?p=435429-01P","View People Online")</f>
        <v>View People Online</v>
      </c>
    </row>
    <row r="3020">
      <c r="A3020" s="10" t="s">
        <v>19566</v>
      </c>
      <c r="B3020" s="10" t="s">
        <v>19567</v>
      </c>
      <c r="C3020" s="10" t="s">
        <v>3554</v>
      </c>
      <c r="D3020" s="10" t="s">
        <v>2150</v>
      </c>
      <c r="E3020" s="10" t="s">
        <v>13207</v>
      </c>
      <c r="F3020" s="10" t="s">
        <v>3523</v>
      </c>
      <c r="G3020" s="10" t="s">
        <v>19568</v>
      </c>
      <c r="H3020" s="11" t="s">
        <v>31</v>
      </c>
      <c r="I3020" s="11">
        <v>1.0</v>
      </c>
      <c r="J3020" s="11">
        <v>1.0</v>
      </c>
      <c r="K3020" s="11" t="s">
        <v>31</v>
      </c>
      <c r="L3020" s="12" t="s">
        <v>13423</v>
      </c>
      <c r="M3020" s="10" t="s">
        <v>19569</v>
      </c>
      <c r="N3020" s="10" t="s">
        <v>243</v>
      </c>
      <c r="O3020" s="12" t="s">
        <v>244</v>
      </c>
      <c r="P3020" s="10" t="s">
        <v>13425</v>
      </c>
      <c r="Q3020" s="10" t="s">
        <v>31</v>
      </c>
      <c r="R3020" s="10" t="s">
        <v>247</v>
      </c>
      <c r="S3020" s="12" t="s">
        <v>13426</v>
      </c>
      <c r="T3020" s="10" t="s">
        <v>249</v>
      </c>
      <c r="U3020" s="12" t="s">
        <v>31</v>
      </c>
      <c r="V3020" s="10" t="s">
        <v>3523</v>
      </c>
      <c r="W3020" s="10" t="s">
        <v>13207</v>
      </c>
      <c r="X3020" s="13" t="str">
        <f>HYPERLINK("https://my.pitchbook.com?p=65103-31P","View People Online")</f>
        <v>View People Online</v>
      </c>
    </row>
    <row r="3021">
      <c r="A3021" s="6" t="s">
        <v>19570</v>
      </c>
      <c r="B3021" s="6" t="s">
        <v>19571</v>
      </c>
      <c r="C3021" s="6" t="s">
        <v>3554</v>
      </c>
      <c r="D3021" s="6" t="s">
        <v>19572</v>
      </c>
      <c r="E3021" s="6" t="s">
        <v>13207</v>
      </c>
      <c r="F3021" s="6" t="s">
        <v>3523</v>
      </c>
      <c r="G3021" s="6" t="s">
        <v>19573</v>
      </c>
      <c r="H3021" s="7" t="s">
        <v>31</v>
      </c>
      <c r="I3021" s="7">
        <v>1.0</v>
      </c>
      <c r="J3021" s="7">
        <v>1.0</v>
      </c>
      <c r="K3021" s="7" t="s">
        <v>31</v>
      </c>
      <c r="L3021" s="8" t="s">
        <v>13496</v>
      </c>
      <c r="M3021" s="6" t="s">
        <v>19574</v>
      </c>
      <c r="N3021" s="6" t="s">
        <v>75</v>
      </c>
      <c r="O3021" s="8" t="s">
        <v>76</v>
      </c>
      <c r="P3021" s="6" t="s">
        <v>13498</v>
      </c>
      <c r="Q3021" s="6" t="s">
        <v>31</v>
      </c>
      <c r="R3021" s="6" t="s">
        <v>75</v>
      </c>
      <c r="S3021" s="8" t="s">
        <v>195</v>
      </c>
      <c r="T3021" s="6" t="s">
        <v>66</v>
      </c>
      <c r="U3021" s="8" t="s">
        <v>13499</v>
      </c>
      <c r="V3021" s="6" t="s">
        <v>3523</v>
      </c>
      <c r="W3021" s="6" t="s">
        <v>13207</v>
      </c>
      <c r="X3021" s="9" t="str">
        <f>HYPERLINK("https://my.pitchbook.com?p=455396-23P","View People Online")</f>
        <v>View People Online</v>
      </c>
    </row>
    <row r="3022">
      <c r="A3022" s="2" t="s">
        <v>19575</v>
      </c>
      <c r="B3022" s="2" t="s">
        <v>19576</v>
      </c>
      <c r="C3022" s="2" t="s">
        <v>3554</v>
      </c>
      <c r="D3022" s="2" t="s">
        <v>19577</v>
      </c>
      <c r="E3022" s="2" t="s">
        <v>13207</v>
      </c>
      <c r="F3022" s="2" t="s">
        <v>3523</v>
      </c>
      <c r="G3022" s="2" t="s">
        <v>19578</v>
      </c>
      <c r="H3022" s="3" t="s">
        <v>31</v>
      </c>
      <c r="I3022" s="3">
        <v>1.0</v>
      </c>
      <c r="J3022" s="3">
        <v>1.0</v>
      </c>
      <c r="K3022" s="3" t="s">
        <v>31</v>
      </c>
      <c r="L3022" s="4" t="s">
        <v>14201</v>
      </c>
      <c r="M3022" s="2" t="s">
        <v>19579</v>
      </c>
      <c r="N3022" s="2" t="s">
        <v>14203</v>
      </c>
      <c r="O3022" s="4" t="s">
        <v>14204</v>
      </c>
      <c r="P3022" s="2" t="s">
        <v>14205</v>
      </c>
      <c r="Q3022" s="2" t="s">
        <v>14206</v>
      </c>
      <c r="R3022" s="2" t="s">
        <v>1420</v>
      </c>
      <c r="S3022" s="4" t="s">
        <v>14207</v>
      </c>
      <c r="T3022" s="2" t="s">
        <v>66</v>
      </c>
      <c r="U3022" s="4" t="s">
        <v>14208</v>
      </c>
      <c r="V3022" s="2" t="s">
        <v>13468</v>
      </c>
      <c r="W3022" s="2" t="s">
        <v>13207</v>
      </c>
      <c r="X3022" s="5" t="str">
        <f>HYPERLINK("https://my.pitchbook.com?p=456120-82P","View People Online")</f>
        <v>View People Online</v>
      </c>
    </row>
    <row r="3023">
      <c r="A3023" s="6" t="s">
        <v>19580</v>
      </c>
      <c r="B3023" s="6" t="s">
        <v>19581</v>
      </c>
      <c r="C3023" s="6" t="s">
        <v>3554</v>
      </c>
      <c r="D3023" s="6" t="s">
        <v>19582</v>
      </c>
      <c r="E3023" s="6" t="s">
        <v>13207</v>
      </c>
      <c r="F3023" s="6" t="s">
        <v>3523</v>
      </c>
      <c r="G3023" s="6" t="s">
        <v>19583</v>
      </c>
      <c r="H3023" s="7" t="s">
        <v>31</v>
      </c>
      <c r="I3023" s="7">
        <v>1.0</v>
      </c>
      <c r="J3023" s="7">
        <v>1.0</v>
      </c>
      <c r="K3023" s="7" t="s">
        <v>31</v>
      </c>
      <c r="L3023" s="8" t="s">
        <v>13274</v>
      </c>
      <c r="M3023" s="6" t="s">
        <v>19584</v>
      </c>
      <c r="N3023" s="6" t="s">
        <v>1181</v>
      </c>
      <c r="O3023" s="8" t="s">
        <v>1182</v>
      </c>
      <c r="P3023" s="6" t="s">
        <v>13276</v>
      </c>
      <c r="Q3023" s="6" t="s">
        <v>31</v>
      </c>
      <c r="R3023" s="6" t="s">
        <v>1185</v>
      </c>
      <c r="S3023" s="8" t="s">
        <v>4438</v>
      </c>
      <c r="T3023" s="6" t="s">
        <v>66</v>
      </c>
      <c r="U3023" s="8" t="s">
        <v>13277</v>
      </c>
      <c r="V3023" s="6" t="s">
        <v>3523</v>
      </c>
      <c r="W3023" s="6" t="s">
        <v>13207</v>
      </c>
      <c r="X3023" s="9" t="str">
        <f>HYPERLINK("https://my.pitchbook.com?p=434975-86P","View People Online")</f>
        <v>View People Online</v>
      </c>
    </row>
    <row r="3024">
      <c r="A3024" s="2" t="s">
        <v>19585</v>
      </c>
      <c r="B3024" s="2" t="s">
        <v>19586</v>
      </c>
      <c r="C3024" s="2" t="s">
        <v>3554</v>
      </c>
      <c r="D3024" s="2" t="s">
        <v>19587</v>
      </c>
      <c r="E3024" s="2" t="s">
        <v>13207</v>
      </c>
      <c r="F3024" s="2" t="s">
        <v>3523</v>
      </c>
      <c r="G3024" s="2" t="s">
        <v>19588</v>
      </c>
      <c r="H3024" s="3" t="s">
        <v>31</v>
      </c>
      <c r="I3024" s="3">
        <v>1.0</v>
      </c>
      <c r="J3024" s="3">
        <v>1.0</v>
      </c>
      <c r="K3024" s="3" t="s">
        <v>31</v>
      </c>
      <c r="L3024" s="4" t="s">
        <v>13263</v>
      </c>
      <c r="M3024" s="2" t="s">
        <v>19589</v>
      </c>
      <c r="N3024" s="2" t="s">
        <v>1005</v>
      </c>
      <c r="O3024" s="4" t="s">
        <v>1006</v>
      </c>
      <c r="P3024" s="2" t="s">
        <v>13265</v>
      </c>
      <c r="Q3024" s="2" t="s">
        <v>13266</v>
      </c>
      <c r="R3024" s="2" t="s">
        <v>13267</v>
      </c>
      <c r="S3024" s="4" t="s">
        <v>13268</v>
      </c>
      <c r="T3024" s="2" t="s">
        <v>1010</v>
      </c>
      <c r="U3024" s="4" t="s">
        <v>13269</v>
      </c>
      <c r="V3024" s="2" t="s">
        <v>3523</v>
      </c>
      <c r="W3024" s="2" t="s">
        <v>13207</v>
      </c>
      <c r="X3024" s="5" t="str">
        <f>HYPERLINK("https://my.pitchbook.com?p=456622-12P","View People Online")</f>
        <v>View People Online</v>
      </c>
    </row>
    <row r="3025">
      <c r="A3025" s="14" t="s">
        <v>19590</v>
      </c>
      <c r="B3025" s="14" t="s">
        <v>19591</v>
      </c>
      <c r="C3025" s="14" t="s">
        <v>3554</v>
      </c>
      <c r="D3025" s="14" t="s">
        <v>19592</v>
      </c>
      <c r="E3025" s="14" t="s">
        <v>13207</v>
      </c>
      <c r="F3025" s="14" t="s">
        <v>3523</v>
      </c>
      <c r="G3025" s="14" t="s">
        <v>19593</v>
      </c>
      <c r="H3025" s="15" t="s">
        <v>31</v>
      </c>
      <c r="I3025" s="15">
        <v>1.0</v>
      </c>
      <c r="J3025" s="15">
        <v>1.0</v>
      </c>
      <c r="K3025" s="15" t="s">
        <v>31</v>
      </c>
      <c r="L3025" s="16" t="s">
        <v>13209</v>
      </c>
      <c r="M3025" s="14" t="s">
        <v>19594</v>
      </c>
      <c r="N3025" s="14" t="s">
        <v>4232</v>
      </c>
      <c r="O3025" s="16" t="s">
        <v>4233</v>
      </c>
      <c r="P3025" s="14" t="s">
        <v>13211</v>
      </c>
      <c r="Q3025" s="14" t="s">
        <v>31</v>
      </c>
      <c r="R3025" s="14" t="s">
        <v>4236</v>
      </c>
      <c r="S3025" s="16" t="s">
        <v>13212</v>
      </c>
      <c r="T3025" s="14" t="s">
        <v>66</v>
      </c>
      <c r="U3025" s="16" t="s">
        <v>13213</v>
      </c>
      <c r="V3025" s="14" t="s">
        <v>3523</v>
      </c>
      <c r="W3025" s="14" t="s">
        <v>13207</v>
      </c>
      <c r="X3025" s="17" t="str">
        <f>HYPERLINK("https://my.pitchbook.com?p=435008-17P","View People Online")</f>
        <v>View People Online</v>
      </c>
    </row>
    <row r="3026">
      <c r="A3026" s="2" t="s">
        <v>19595</v>
      </c>
      <c r="B3026" s="2" t="s">
        <v>19596</v>
      </c>
      <c r="C3026" s="2" t="s">
        <v>19597</v>
      </c>
      <c r="D3026" s="2" t="s">
        <v>19598</v>
      </c>
      <c r="E3026" s="2" t="s">
        <v>13207</v>
      </c>
      <c r="F3026" s="2" t="s">
        <v>13218</v>
      </c>
      <c r="G3026" s="2" t="s">
        <v>19599</v>
      </c>
      <c r="H3026" s="3" t="s">
        <v>31</v>
      </c>
      <c r="I3026" s="3">
        <v>1.0</v>
      </c>
      <c r="J3026" s="3">
        <v>1.0</v>
      </c>
      <c r="K3026" s="3" t="s">
        <v>31</v>
      </c>
      <c r="L3026" s="4" t="s">
        <v>13540</v>
      </c>
      <c r="M3026" s="2" t="s">
        <v>19600</v>
      </c>
      <c r="N3026" s="2" t="s">
        <v>418</v>
      </c>
      <c r="O3026" s="4" t="s">
        <v>419</v>
      </c>
      <c r="P3026" s="2" t="s">
        <v>13542</v>
      </c>
      <c r="Q3026" s="2" t="s">
        <v>31</v>
      </c>
      <c r="R3026" s="2" t="s">
        <v>31</v>
      </c>
      <c r="S3026" s="4" t="s">
        <v>2664</v>
      </c>
      <c r="T3026" s="2" t="s">
        <v>422</v>
      </c>
      <c r="U3026" s="4" t="s">
        <v>13543</v>
      </c>
      <c r="V3026" s="2" t="s">
        <v>19601</v>
      </c>
      <c r="W3026" s="2" t="s">
        <v>13207</v>
      </c>
      <c r="X3026" s="5" t="str">
        <f>HYPERLINK("https://my.pitchbook.com?p=376540-03P","View People Online")</f>
        <v>View People Online</v>
      </c>
    </row>
    <row r="3027">
      <c r="A3027" s="14" t="s">
        <v>19602</v>
      </c>
      <c r="B3027" s="14" t="s">
        <v>19603</v>
      </c>
      <c r="C3027" s="14" t="s">
        <v>19597</v>
      </c>
      <c r="D3027" s="14" t="s">
        <v>19604</v>
      </c>
      <c r="E3027" s="14" t="s">
        <v>13207</v>
      </c>
      <c r="F3027" s="14" t="s">
        <v>3523</v>
      </c>
      <c r="G3027" s="14" t="s">
        <v>19605</v>
      </c>
      <c r="H3027" s="15" t="s">
        <v>31</v>
      </c>
      <c r="I3027" s="15">
        <v>1.0</v>
      </c>
      <c r="J3027" s="15">
        <v>1.0</v>
      </c>
      <c r="K3027" s="15" t="s">
        <v>31</v>
      </c>
      <c r="L3027" s="16" t="s">
        <v>13540</v>
      </c>
      <c r="M3027" s="14" t="s">
        <v>19606</v>
      </c>
      <c r="N3027" s="14" t="s">
        <v>418</v>
      </c>
      <c r="O3027" s="16" t="s">
        <v>419</v>
      </c>
      <c r="P3027" s="14" t="s">
        <v>13542</v>
      </c>
      <c r="Q3027" s="14" t="s">
        <v>31</v>
      </c>
      <c r="R3027" s="14" t="s">
        <v>31</v>
      </c>
      <c r="S3027" s="16" t="s">
        <v>2664</v>
      </c>
      <c r="T3027" s="14" t="s">
        <v>422</v>
      </c>
      <c r="U3027" s="16" t="s">
        <v>13543</v>
      </c>
      <c r="V3027" s="14" t="s">
        <v>3523</v>
      </c>
      <c r="W3027" s="14" t="s">
        <v>13207</v>
      </c>
      <c r="X3027" s="17" t="str">
        <f>HYPERLINK("https://my.pitchbook.com?p=436127-32P","View People Online")</f>
        <v>View People Online</v>
      </c>
    </row>
    <row r="3028">
      <c r="A3028" s="10" t="s">
        <v>19607</v>
      </c>
      <c r="B3028" s="10" t="s">
        <v>19608</v>
      </c>
      <c r="C3028" s="10" t="s">
        <v>160</v>
      </c>
      <c r="D3028" s="10" t="s">
        <v>19609</v>
      </c>
      <c r="E3028" s="10" t="s">
        <v>13207</v>
      </c>
      <c r="F3028" s="10" t="s">
        <v>13218</v>
      </c>
      <c r="G3028" s="10" t="s">
        <v>19610</v>
      </c>
      <c r="H3028" s="11" t="s">
        <v>31</v>
      </c>
      <c r="I3028" s="11">
        <v>1.0</v>
      </c>
      <c r="J3028" s="11">
        <v>1.0</v>
      </c>
      <c r="K3028" s="11" t="s">
        <v>31</v>
      </c>
      <c r="L3028" s="12" t="s">
        <v>13209</v>
      </c>
      <c r="M3028" s="10" t="s">
        <v>19611</v>
      </c>
      <c r="N3028" s="10" t="s">
        <v>4232</v>
      </c>
      <c r="O3028" s="12" t="s">
        <v>4233</v>
      </c>
      <c r="P3028" s="10" t="s">
        <v>13211</v>
      </c>
      <c r="Q3028" s="10" t="s">
        <v>31</v>
      </c>
      <c r="R3028" s="10" t="s">
        <v>4236</v>
      </c>
      <c r="S3028" s="12" t="s">
        <v>13212</v>
      </c>
      <c r="T3028" s="10" t="s">
        <v>66</v>
      </c>
      <c r="U3028" s="12" t="s">
        <v>13213</v>
      </c>
      <c r="V3028" s="10" t="s">
        <v>14182</v>
      </c>
      <c r="W3028" s="10" t="s">
        <v>13207</v>
      </c>
      <c r="X3028" s="13" t="str">
        <f>HYPERLINK("https://my.pitchbook.com?p=195938-56P","View People Online")</f>
        <v>View People Online</v>
      </c>
    </row>
    <row r="3029">
      <c r="A3029" s="14" t="s">
        <v>19612</v>
      </c>
      <c r="B3029" s="14" t="s">
        <v>19613</v>
      </c>
      <c r="C3029" s="14" t="s">
        <v>160</v>
      </c>
      <c r="D3029" s="14" t="s">
        <v>19614</v>
      </c>
      <c r="E3029" s="14" t="s">
        <v>13207</v>
      </c>
      <c r="F3029" s="14" t="s">
        <v>13218</v>
      </c>
      <c r="G3029" s="14" t="s">
        <v>19615</v>
      </c>
      <c r="H3029" s="15" t="s">
        <v>31</v>
      </c>
      <c r="I3029" s="15">
        <v>1.0</v>
      </c>
      <c r="J3029" s="15">
        <v>1.0</v>
      </c>
      <c r="K3029" s="15" t="s">
        <v>31</v>
      </c>
      <c r="L3029" s="16" t="s">
        <v>13701</v>
      </c>
      <c r="M3029" s="14" t="s">
        <v>19616</v>
      </c>
      <c r="N3029" s="14" t="s">
        <v>13703</v>
      </c>
      <c r="O3029" s="16" t="s">
        <v>13704</v>
      </c>
      <c r="P3029" s="14" t="s">
        <v>13705</v>
      </c>
      <c r="Q3029" s="14" t="s">
        <v>13706</v>
      </c>
      <c r="R3029" s="14" t="s">
        <v>13707</v>
      </c>
      <c r="S3029" s="16" t="s">
        <v>13708</v>
      </c>
      <c r="T3029" s="14" t="s">
        <v>5484</v>
      </c>
      <c r="U3029" s="16" t="s">
        <v>13709</v>
      </c>
      <c r="V3029" s="14" t="s">
        <v>13218</v>
      </c>
      <c r="W3029" s="14" t="s">
        <v>13207</v>
      </c>
      <c r="X3029" s="17" t="str">
        <f>HYPERLINK("https://my.pitchbook.com?p=456691-69P","View People Online")</f>
        <v>View People Online</v>
      </c>
    </row>
    <row r="3030">
      <c r="A3030" s="2" t="s">
        <v>19617</v>
      </c>
      <c r="B3030" s="2" t="s">
        <v>19618</v>
      </c>
      <c r="C3030" s="2" t="s">
        <v>160</v>
      </c>
      <c r="D3030" s="2" t="s">
        <v>19619</v>
      </c>
      <c r="E3030" s="2" t="s">
        <v>13207</v>
      </c>
      <c r="F3030" s="2" t="s">
        <v>318</v>
      </c>
      <c r="G3030" s="2" t="s">
        <v>19620</v>
      </c>
      <c r="H3030" s="3" t="s">
        <v>31</v>
      </c>
      <c r="I3030" s="3">
        <v>1.0</v>
      </c>
      <c r="J3030" s="3">
        <v>1.0</v>
      </c>
      <c r="K3030" s="3" t="s">
        <v>31</v>
      </c>
      <c r="L3030" s="4" t="s">
        <v>13281</v>
      </c>
      <c r="M3030" s="2" t="s">
        <v>19621</v>
      </c>
      <c r="N3030" s="2" t="s">
        <v>1277</v>
      </c>
      <c r="O3030" s="4" t="s">
        <v>1278</v>
      </c>
      <c r="P3030" s="2" t="s">
        <v>13283</v>
      </c>
      <c r="Q3030" s="2" t="s">
        <v>13284</v>
      </c>
      <c r="R3030" s="2" t="s">
        <v>1281</v>
      </c>
      <c r="S3030" s="4" t="s">
        <v>1282</v>
      </c>
      <c r="T3030" s="2" t="s">
        <v>66</v>
      </c>
      <c r="U3030" s="4" t="s">
        <v>13285</v>
      </c>
      <c r="V3030" s="2" t="s">
        <v>318</v>
      </c>
      <c r="W3030" s="2" t="s">
        <v>13207</v>
      </c>
      <c r="X3030" s="5" t="str">
        <f>HYPERLINK("https://my.pitchbook.com?p=436687-12P","View People Online")</f>
        <v>View People Online</v>
      </c>
    </row>
    <row r="3031">
      <c r="A3031" s="14" t="s">
        <v>19622</v>
      </c>
      <c r="B3031" s="14" t="s">
        <v>19623</v>
      </c>
      <c r="C3031" s="14" t="s">
        <v>160</v>
      </c>
      <c r="D3031" s="14" t="s">
        <v>19624</v>
      </c>
      <c r="E3031" s="14" t="s">
        <v>13207</v>
      </c>
      <c r="F3031" s="14" t="s">
        <v>3523</v>
      </c>
      <c r="G3031" s="14" t="s">
        <v>19625</v>
      </c>
      <c r="H3031" s="15" t="s">
        <v>31</v>
      </c>
      <c r="I3031" s="15">
        <v>1.0</v>
      </c>
      <c r="J3031" s="15">
        <v>1.0</v>
      </c>
      <c r="K3031" s="15" t="s">
        <v>31</v>
      </c>
      <c r="L3031" s="16" t="s">
        <v>13916</v>
      </c>
      <c r="M3031" s="14" t="s">
        <v>19626</v>
      </c>
      <c r="N3031" s="14" t="s">
        <v>155</v>
      </c>
      <c r="O3031" s="16" t="s">
        <v>156</v>
      </c>
      <c r="P3031" s="14" t="s">
        <v>13918</v>
      </c>
      <c r="Q3031" s="14" t="s">
        <v>13919</v>
      </c>
      <c r="R3031" s="14" t="s">
        <v>64</v>
      </c>
      <c r="S3031" s="16" t="s">
        <v>1549</v>
      </c>
      <c r="T3031" s="14" t="s">
        <v>66</v>
      </c>
      <c r="U3031" s="16" t="s">
        <v>13920</v>
      </c>
      <c r="V3031" s="14" t="s">
        <v>3523</v>
      </c>
      <c r="W3031" s="14" t="s">
        <v>13207</v>
      </c>
      <c r="X3031" s="17" t="str">
        <f>HYPERLINK("https://my.pitchbook.com?p=455518-63P","View People Online")</f>
        <v>View People Online</v>
      </c>
    </row>
    <row r="3032">
      <c r="A3032" s="10" t="s">
        <v>19627</v>
      </c>
      <c r="B3032" s="10" t="s">
        <v>19628</v>
      </c>
      <c r="C3032" s="10" t="s">
        <v>160</v>
      </c>
      <c r="D3032" s="10" t="s">
        <v>8037</v>
      </c>
      <c r="E3032" s="10" t="s">
        <v>13207</v>
      </c>
      <c r="F3032" s="10" t="s">
        <v>3523</v>
      </c>
      <c r="G3032" s="10" t="s">
        <v>19629</v>
      </c>
      <c r="H3032" s="11" t="s">
        <v>31</v>
      </c>
      <c r="I3032" s="11">
        <v>1.0</v>
      </c>
      <c r="J3032" s="11">
        <v>1.0</v>
      </c>
      <c r="K3032" s="11" t="s">
        <v>31</v>
      </c>
      <c r="L3032" s="12" t="s">
        <v>13274</v>
      </c>
      <c r="M3032" s="10" t="s">
        <v>19630</v>
      </c>
      <c r="N3032" s="10" t="s">
        <v>1181</v>
      </c>
      <c r="O3032" s="12" t="s">
        <v>1182</v>
      </c>
      <c r="P3032" s="10" t="s">
        <v>13276</v>
      </c>
      <c r="Q3032" s="10" t="s">
        <v>31</v>
      </c>
      <c r="R3032" s="10" t="s">
        <v>1185</v>
      </c>
      <c r="S3032" s="12" t="s">
        <v>4438</v>
      </c>
      <c r="T3032" s="10" t="s">
        <v>66</v>
      </c>
      <c r="U3032" s="12" t="s">
        <v>13277</v>
      </c>
      <c r="V3032" s="10" t="s">
        <v>3523</v>
      </c>
      <c r="W3032" s="10" t="s">
        <v>13207</v>
      </c>
      <c r="X3032" s="13" t="str">
        <f>HYPERLINK("https://my.pitchbook.com?p=455631-04P","View People Online")</f>
        <v>View People Online</v>
      </c>
    </row>
    <row r="3033">
      <c r="A3033" s="14" t="s">
        <v>19631</v>
      </c>
      <c r="B3033" s="14" t="s">
        <v>19632</v>
      </c>
      <c r="C3033" s="14" t="s">
        <v>160</v>
      </c>
      <c r="D3033" s="14" t="s">
        <v>19633</v>
      </c>
      <c r="E3033" s="14" t="s">
        <v>13207</v>
      </c>
      <c r="F3033" s="14" t="s">
        <v>3523</v>
      </c>
      <c r="G3033" s="14" t="s">
        <v>19634</v>
      </c>
      <c r="H3033" s="15" t="s">
        <v>31</v>
      </c>
      <c r="I3033" s="15">
        <v>1.0</v>
      </c>
      <c r="J3033" s="15">
        <v>1.0</v>
      </c>
      <c r="K3033" s="15" t="s">
        <v>31</v>
      </c>
      <c r="L3033" s="16" t="s">
        <v>13496</v>
      </c>
      <c r="M3033" s="14" t="s">
        <v>19635</v>
      </c>
      <c r="N3033" s="14" t="s">
        <v>75</v>
      </c>
      <c r="O3033" s="16" t="s">
        <v>76</v>
      </c>
      <c r="P3033" s="14" t="s">
        <v>13498</v>
      </c>
      <c r="Q3033" s="14" t="s">
        <v>31</v>
      </c>
      <c r="R3033" s="14" t="s">
        <v>75</v>
      </c>
      <c r="S3033" s="16" t="s">
        <v>195</v>
      </c>
      <c r="T3033" s="14" t="s">
        <v>66</v>
      </c>
      <c r="U3033" s="16" t="s">
        <v>13499</v>
      </c>
      <c r="V3033" s="14" t="s">
        <v>3523</v>
      </c>
      <c r="W3033" s="14" t="s">
        <v>13207</v>
      </c>
      <c r="X3033" s="17" t="str">
        <f>HYPERLINK("https://my.pitchbook.com?p=455521-87P","View People Online")</f>
        <v>View People Online</v>
      </c>
    </row>
    <row r="3034">
      <c r="A3034" s="2" t="s">
        <v>19636</v>
      </c>
      <c r="B3034" s="2" t="s">
        <v>19637</v>
      </c>
      <c r="C3034" s="2" t="s">
        <v>160</v>
      </c>
      <c r="D3034" s="2" t="s">
        <v>19638</v>
      </c>
      <c r="E3034" s="2" t="s">
        <v>13207</v>
      </c>
      <c r="F3034" s="2" t="s">
        <v>13218</v>
      </c>
      <c r="G3034" s="2" t="s">
        <v>19639</v>
      </c>
      <c r="H3034" s="3" t="s">
        <v>31</v>
      </c>
      <c r="I3034" s="3">
        <v>1.0</v>
      </c>
      <c r="J3034" s="3">
        <v>1.0</v>
      </c>
      <c r="K3034" s="3" t="s">
        <v>31</v>
      </c>
      <c r="L3034" s="4" t="s">
        <v>13916</v>
      </c>
      <c r="M3034" s="2" t="s">
        <v>19640</v>
      </c>
      <c r="N3034" s="2" t="s">
        <v>155</v>
      </c>
      <c r="O3034" s="4" t="s">
        <v>156</v>
      </c>
      <c r="P3034" s="2" t="s">
        <v>13918</v>
      </c>
      <c r="Q3034" s="2" t="s">
        <v>13919</v>
      </c>
      <c r="R3034" s="2" t="s">
        <v>64</v>
      </c>
      <c r="S3034" s="4" t="s">
        <v>1549</v>
      </c>
      <c r="T3034" s="2" t="s">
        <v>66</v>
      </c>
      <c r="U3034" s="4" t="s">
        <v>13920</v>
      </c>
      <c r="V3034" s="2" t="s">
        <v>13218</v>
      </c>
      <c r="W3034" s="2" t="s">
        <v>13207</v>
      </c>
      <c r="X3034" s="5" t="str">
        <f>HYPERLINK("https://my.pitchbook.com?p=136651-42P","View People Online")</f>
        <v>View People Online</v>
      </c>
    </row>
    <row r="3035">
      <c r="A3035" s="14" t="s">
        <v>19641</v>
      </c>
      <c r="B3035" s="14" t="s">
        <v>19642</v>
      </c>
      <c r="C3035" s="14" t="s">
        <v>160</v>
      </c>
      <c r="D3035" s="14" t="s">
        <v>19643</v>
      </c>
      <c r="E3035" s="14" t="s">
        <v>13207</v>
      </c>
      <c r="F3035" s="14" t="s">
        <v>3523</v>
      </c>
      <c r="G3035" s="14" t="s">
        <v>19644</v>
      </c>
      <c r="H3035" s="15" t="s">
        <v>31</v>
      </c>
      <c r="I3035" s="15">
        <v>1.0</v>
      </c>
      <c r="J3035" s="15">
        <v>1.0</v>
      </c>
      <c r="K3035" s="15" t="s">
        <v>31</v>
      </c>
      <c r="L3035" s="16" t="s">
        <v>13209</v>
      </c>
      <c r="M3035" s="14" t="s">
        <v>19645</v>
      </c>
      <c r="N3035" s="14" t="s">
        <v>4232</v>
      </c>
      <c r="O3035" s="16" t="s">
        <v>4233</v>
      </c>
      <c r="P3035" s="14" t="s">
        <v>13211</v>
      </c>
      <c r="Q3035" s="14" t="s">
        <v>31</v>
      </c>
      <c r="R3035" s="14" t="s">
        <v>4236</v>
      </c>
      <c r="S3035" s="16" t="s">
        <v>13212</v>
      </c>
      <c r="T3035" s="14" t="s">
        <v>66</v>
      </c>
      <c r="U3035" s="16" t="s">
        <v>13213</v>
      </c>
      <c r="V3035" s="14" t="s">
        <v>3523</v>
      </c>
      <c r="W3035" s="14" t="s">
        <v>13207</v>
      </c>
      <c r="X3035" s="17" t="str">
        <f>HYPERLINK("https://my.pitchbook.com?p=455706-28P","View People Online")</f>
        <v>View People Online</v>
      </c>
    </row>
    <row r="3036">
      <c r="A3036" s="10" t="s">
        <v>19646</v>
      </c>
      <c r="B3036" s="10" t="s">
        <v>19647</v>
      </c>
      <c r="C3036" s="10" t="s">
        <v>160</v>
      </c>
      <c r="D3036" s="10" t="s">
        <v>19648</v>
      </c>
      <c r="E3036" s="10" t="s">
        <v>13207</v>
      </c>
      <c r="F3036" s="10" t="s">
        <v>3523</v>
      </c>
      <c r="G3036" s="10" t="s">
        <v>19649</v>
      </c>
      <c r="H3036" s="11" t="s">
        <v>31</v>
      </c>
      <c r="I3036" s="11">
        <v>1.0</v>
      </c>
      <c r="J3036" s="11">
        <v>1.0</v>
      </c>
      <c r="K3036" s="11" t="s">
        <v>31</v>
      </c>
      <c r="L3036" s="12" t="s">
        <v>13701</v>
      </c>
      <c r="M3036" s="10" t="s">
        <v>19650</v>
      </c>
      <c r="N3036" s="10" t="s">
        <v>13703</v>
      </c>
      <c r="O3036" s="12" t="s">
        <v>13704</v>
      </c>
      <c r="P3036" s="10" t="s">
        <v>13705</v>
      </c>
      <c r="Q3036" s="10" t="s">
        <v>13706</v>
      </c>
      <c r="R3036" s="10" t="s">
        <v>13707</v>
      </c>
      <c r="S3036" s="12" t="s">
        <v>13708</v>
      </c>
      <c r="T3036" s="10" t="s">
        <v>5484</v>
      </c>
      <c r="U3036" s="12" t="s">
        <v>13709</v>
      </c>
      <c r="V3036" s="10" t="s">
        <v>3523</v>
      </c>
      <c r="W3036" s="10" t="s">
        <v>13207</v>
      </c>
      <c r="X3036" s="13" t="str">
        <f>HYPERLINK("https://my.pitchbook.com?p=435733-48P","View People Online")</f>
        <v>View People Online</v>
      </c>
    </row>
    <row r="3037">
      <c r="A3037" s="6" t="s">
        <v>19651</v>
      </c>
      <c r="B3037" s="6" t="s">
        <v>19652</v>
      </c>
      <c r="C3037" s="6" t="s">
        <v>160</v>
      </c>
      <c r="D3037" s="6" t="s">
        <v>19653</v>
      </c>
      <c r="E3037" s="6" t="s">
        <v>13207</v>
      </c>
      <c r="F3037" s="6" t="s">
        <v>3523</v>
      </c>
      <c r="G3037" s="6" t="s">
        <v>19654</v>
      </c>
      <c r="H3037" s="7" t="s">
        <v>31</v>
      </c>
      <c r="I3037" s="7">
        <v>1.0</v>
      </c>
      <c r="J3037" s="7">
        <v>1.0</v>
      </c>
      <c r="K3037" s="7" t="s">
        <v>31</v>
      </c>
      <c r="L3037" s="8" t="s">
        <v>13505</v>
      </c>
      <c r="M3037" s="6" t="s">
        <v>19655</v>
      </c>
      <c r="N3037" s="6" t="s">
        <v>1416</v>
      </c>
      <c r="O3037" s="8" t="s">
        <v>1417</v>
      </c>
      <c r="P3037" s="6" t="s">
        <v>13507</v>
      </c>
      <c r="Q3037" s="6" t="s">
        <v>1457</v>
      </c>
      <c r="R3037" s="6" t="s">
        <v>1420</v>
      </c>
      <c r="S3037" s="8" t="s">
        <v>13508</v>
      </c>
      <c r="T3037" s="6" t="s">
        <v>66</v>
      </c>
      <c r="U3037" s="8" t="s">
        <v>13509</v>
      </c>
      <c r="V3037" s="6" t="s">
        <v>3523</v>
      </c>
      <c r="W3037" s="6" t="s">
        <v>13207</v>
      </c>
      <c r="X3037" s="9" t="str">
        <f>HYPERLINK("https://my.pitchbook.com?p=456029-11P","View People Online")</f>
        <v>View People Online</v>
      </c>
    </row>
    <row r="3038">
      <c r="A3038" s="10" t="s">
        <v>19656</v>
      </c>
      <c r="B3038" s="10" t="s">
        <v>19657</v>
      </c>
      <c r="C3038" s="10" t="s">
        <v>160</v>
      </c>
      <c r="D3038" s="10" t="s">
        <v>19658</v>
      </c>
      <c r="E3038" s="10" t="s">
        <v>13207</v>
      </c>
      <c r="F3038" s="10" t="s">
        <v>3523</v>
      </c>
      <c r="G3038" s="10" t="s">
        <v>19659</v>
      </c>
      <c r="H3038" s="11" t="s">
        <v>31</v>
      </c>
      <c r="I3038" s="11">
        <v>1.0</v>
      </c>
      <c r="J3038" s="11">
        <v>1.0</v>
      </c>
      <c r="K3038" s="11" t="s">
        <v>31</v>
      </c>
      <c r="L3038" s="12" t="s">
        <v>13953</v>
      </c>
      <c r="M3038" s="10" t="s">
        <v>19660</v>
      </c>
      <c r="N3038" s="10" t="s">
        <v>1170</v>
      </c>
      <c r="O3038" s="12" t="s">
        <v>1171</v>
      </c>
      <c r="P3038" s="10" t="s">
        <v>13955</v>
      </c>
      <c r="Q3038" s="10" t="s">
        <v>13956</v>
      </c>
      <c r="R3038" s="10" t="s">
        <v>64</v>
      </c>
      <c r="S3038" s="12" t="s">
        <v>13957</v>
      </c>
      <c r="T3038" s="10" t="s">
        <v>66</v>
      </c>
      <c r="U3038" s="12" t="s">
        <v>13958</v>
      </c>
      <c r="V3038" s="10" t="s">
        <v>3523</v>
      </c>
      <c r="W3038" s="10" t="s">
        <v>13207</v>
      </c>
      <c r="X3038" s="13" t="str">
        <f>HYPERLINK("https://my.pitchbook.com?p=455468-41P","View People Online")</f>
        <v>View People Online</v>
      </c>
    </row>
    <row r="3039">
      <c r="A3039" s="6" t="s">
        <v>19661</v>
      </c>
      <c r="B3039" s="6" t="s">
        <v>19662</v>
      </c>
      <c r="C3039" s="6" t="s">
        <v>160</v>
      </c>
      <c r="D3039" s="6" t="s">
        <v>19663</v>
      </c>
      <c r="E3039" s="6" t="s">
        <v>13207</v>
      </c>
      <c r="F3039" s="6" t="s">
        <v>3523</v>
      </c>
      <c r="G3039" s="6" t="s">
        <v>19664</v>
      </c>
      <c r="H3039" s="7" t="s">
        <v>31</v>
      </c>
      <c r="I3039" s="7">
        <v>1.0</v>
      </c>
      <c r="J3039" s="7">
        <v>1.0</v>
      </c>
      <c r="K3039" s="7" t="s">
        <v>31</v>
      </c>
      <c r="L3039" s="8" t="s">
        <v>13496</v>
      </c>
      <c r="M3039" s="6" t="s">
        <v>19665</v>
      </c>
      <c r="N3039" s="6" t="s">
        <v>75</v>
      </c>
      <c r="O3039" s="8" t="s">
        <v>76</v>
      </c>
      <c r="P3039" s="6" t="s">
        <v>13498</v>
      </c>
      <c r="Q3039" s="6" t="s">
        <v>31</v>
      </c>
      <c r="R3039" s="6" t="s">
        <v>75</v>
      </c>
      <c r="S3039" s="8" t="s">
        <v>195</v>
      </c>
      <c r="T3039" s="6" t="s">
        <v>66</v>
      </c>
      <c r="U3039" s="8" t="s">
        <v>13499</v>
      </c>
      <c r="V3039" s="6" t="s">
        <v>3523</v>
      </c>
      <c r="W3039" s="6" t="s">
        <v>13207</v>
      </c>
      <c r="X3039" s="9" t="str">
        <f>HYPERLINK("https://my.pitchbook.com?p=435706-66P","View People Online")</f>
        <v>View People Online</v>
      </c>
    </row>
    <row r="3040">
      <c r="A3040" s="10" t="s">
        <v>19666</v>
      </c>
      <c r="B3040" s="10" t="s">
        <v>19667</v>
      </c>
      <c r="C3040" s="10" t="s">
        <v>160</v>
      </c>
      <c r="D3040" s="10" t="s">
        <v>19668</v>
      </c>
      <c r="E3040" s="10" t="s">
        <v>13207</v>
      </c>
      <c r="F3040" s="10" t="s">
        <v>3523</v>
      </c>
      <c r="G3040" s="10" t="s">
        <v>19669</v>
      </c>
      <c r="H3040" s="11" t="s">
        <v>31</v>
      </c>
      <c r="I3040" s="11">
        <v>1.0</v>
      </c>
      <c r="J3040" s="11">
        <v>1.0</v>
      </c>
      <c r="K3040" s="11" t="s">
        <v>31</v>
      </c>
      <c r="L3040" s="12" t="s">
        <v>13953</v>
      </c>
      <c r="M3040" s="10" t="s">
        <v>19670</v>
      </c>
      <c r="N3040" s="10" t="s">
        <v>1170</v>
      </c>
      <c r="O3040" s="12" t="s">
        <v>1171</v>
      </c>
      <c r="P3040" s="10" t="s">
        <v>13955</v>
      </c>
      <c r="Q3040" s="10" t="s">
        <v>13956</v>
      </c>
      <c r="R3040" s="10" t="s">
        <v>64</v>
      </c>
      <c r="S3040" s="12" t="s">
        <v>13957</v>
      </c>
      <c r="T3040" s="10" t="s">
        <v>66</v>
      </c>
      <c r="U3040" s="12" t="s">
        <v>13958</v>
      </c>
      <c r="V3040" s="10" t="s">
        <v>3523</v>
      </c>
      <c r="W3040" s="10" t="s">
        <v>13207</v>
      </c>
      <c r="X3040" s="13" t="str">
        <f>HYPERLINK("https://my.pitchbook.com?p=436348-18P","View People Online")</f>
        <v>View People Online</v>
      </c>
    </row>
    <row r="3041">
      <c r="A3041" s="14" t="s">
        <v>19671</v>
      </c>
      <c r="B3041" s="14" t="s">
        <v>19672</v>
      </c>
      <c r="C3041" s="14" t="s">
        <v>160</v>
      </c>
      <c r="D3041" s="14" t="s">
        <v>1267</v>
      </c>
      <c r="E3041" s="14" t="s">
        <v>13207</v>
      </c>
      <c r="F3041" s="14" t="s">
        <v>318</v>
      </c>
      <c r="G3041" s="14" t="s">
        <v>19673</v>
      </c>
      <c r="H3041" s="15" t="s">
        <v>31</v>
      </c>
      <c r="I3041" s="15">
        <v>1.0</v>
      </c>
      <c r="J3041" s="15">
        <v>1.0</v>
      </c>
      <c r="K3041" s="15" t="s">
        <v>31</v>
      </c>
      <c r="L3041" s="16" t="s">
        <v>13281</v>
      </c>
      <c r="M3041" s="14" t="s">
        <v>19674</v>
      </c>
      <c r="N3041" s="14" t="s">
        <v>1277</v>
      </c>
      <c r="O3041" s="16" t="s">
        <v>1278</v>
      </c>
      <c r="P3041" s="14" t="s">
        <v>13283</v>
      </c>
      <c r="Q3041" s="14" t="s">
        <v>13284</v>
      </c>
      <c r="R3041" s="14" t="s">
        <v>1281</v>
      </c>
      <c r="S3041" s="16" t="s">
        <v>1282</v>
      </c>
      <c r="T3041" s="14" t="s">
        <v>66</v>
      </c>
      <c r="U3041" s="16" t="s">
        <v>13285</v>
      </c>
      <c r="V3041" s="14" t="s">
        <v>318</v>
      </c>
      <c r="W3041" s="14" t="s">
        <v>13207</v>
      </c>
      <c r="X3041" s="17" t="str">
        <f>HYPERLINK("https://my.pitchbook.com?p=455899-69P","View People Online")</f>
        <v>View People Online</v>
      </c>
    </row>
    <row r="3042">
      <c r="A3042" s="10" t="s">
        <v>19675</v>
      </c>
      <c r="B3042" s="10" t="s">
        <v>19676</v>
      </c>
      <c r="C3042" s="10" t="s">
        <v>12912</v>
      </c>
      <c r="D3042" s="10" t="s">
        <v>19677</v>
      </c>
      <c r="E3042" s="10" t="s">
        <v>13207</v>
      </c>
      <c r="F3042" s="10" t="s">
        <v>13218</v>
      </c>
      <c r="G3042" s="10" t="s">
        <v>19678</v>
      </c>
      <c r="H3042" s="11" t="s">
        <v>31</v>
      </c>
      <c r="I3042" s="11">
        <v>1.0</v>
      </c>
      <c r="J3042" s="11">
        <v>1.0</v>
      </c>
      <c r="K3042" s="11" t="s">
        <v>31</v>
      </c>
      <c r="L3042" s="12" t="s">
        <v>13734</v>
      </c>
      <c r="M3042" s="10" t="s">
        <v>19679</v>
      </c>
      <c r="N3042" s="10" t="s">
        <v>2754</v>
      </c>
      <c r="O3042" s="12" t="s">
        <v>2755</v>
      </c>
      <c r="P3042" s="10" t="s">
        <v>13736</v>
      </c>
      <c r="Q3042" s="10" t="s">
        <v>31</v>
      </c>
      <c r="R3042" s="10" t="s">
        <v>31</v>
      </c>
      <c r="S3042" s="12" t="s">
        <v>13737</v>
      </c>
      <c r="T3042" s="10" t="s">
        <v>38</v>
      </c>
      <c r="U3042" s="12" t="s">
        <v>13738</v>
      </c>
      <c r="V3042" s="10" t="s">
        <v>13218</v>
      </c>
      <c r="W3042" s="10" t="s">
        <v>13207</v>
      </c>
      <c r="X3042" s="13" t="str">
        <f>HYPERLINK("https://my.pitchbook.com?p=456809-32P","View People Online")</f>
        <v>View People Online</v>
      </c>
    </row>
    <row r="3043">
      <c r="A3043" s="14" t="s">
        <v>19680</v>
      </c>
      <c r="B3043" s="14" t="s">
        <v>19681</v>
      </c>
      <c r="C3043" s="14" t="s">
        <v>12912</v>
      </c>
      <c r="D3043" s="14" t="s">
        <v>19682</v>
      </c>
      <c r="E3043" s="14" t="s">
        <v>13207</v>
      </c>
      <c r="F3043" s="14" t="s">
        <v>3523</v>
      </c>
      <c r="G3043" s="14" t="s">
        <v>19683</v>
      </c>
      <c r="H3043" s="15" t="s">
        <v>31</v>
      </c>
      <c r="I3043" s="15">
        <v>1.0</v>
      </c>
      <c r="J3043" s="15">
        <v>1.0</v>
      </c>
      <c r="K3043" s="15" t="s">
        <v>31</v>
      </c>
      <c r="L3043" s="16" t="s">
        <v>13220</v>
      </c>
      <c r="M3043" s="14" t="s">
        <v>19684</v>
      </c>
      <c r="N3043" s="14" t="s">
        <v>2478</v>
      </c>
      <c r="O3043" s="16" t="s">
        <v>7332</v>
      </c>
      <c r="P3043" s="14" t="s">
        <v>13222</v>
      </c>
      <c r="Q3043" s="14" t="s">
        <v>13223</v>
      </c>
      <c r="R3043" s="14" t="s">
        <v>7335</v>
      </c>
      <c r="S3043" s="16" t="s">
        <v>7336</v>
      </c>
      <c r="T3043" s="14" t="s">
        <v>5484</v>
      </c>
      <c r="U3043" s="16" t="s">
        <v>13224</v>
      </c>
      <c r="V3043" s="14" t="s">
        <v>3523</v>
      </c>
      <c r="W3043" s="14" t="s">
        <v>13207</v>
      </c>
      <c r="X3043" s="17" t="str">
        <f>HYPERLINK("https://my.pitchbook.com?p=455729-14P","View People Online")</f>
        <v>View People Online</v>
      </c>
    </row>
    <row r="3044">
      <c r="A3044" s="10" t="s">
        <v>19685</v>
      </c>
      <c r="B3044" s="10" t="s">
        <v>19686</v>
      </c>
      <c r="C3044" s="10" t="s">
        <v>12912</v>
      </c>
      <c r="D3044" s="10" t="s">
        <v>19687</v>
      </c>
      <c r="E3044" s="10" t="s">
        <v>13207</v>
      </c>
      <c r="F3044" s="10" t="s">
        <v>13240</v>
      </c>
      <c r="G3044" s="10" t="s">
        <v>19688</v>
      </c>
      <c r="H3044" s="11" t="s">
        <v>31</v>
      </c>
      <c r="I3044" s="11">
        <v>1.0</v>
      </c>
      <c r="J3044" s="11">
        <v>1.0</v>
      </c>
      <c r="K3044" s="11" t="s">
        <v>31</v>
      </c>
      <c r="L3044" s="12" t="s">
        <v>13724</v>
      </c>
      <c r="M3044" s="10" t="s">
        <v>19689</v>
      </c>
      <c r="N3044" s="10" t="s">
        <v>34</v>
      </c>
      <c r="O3044" s="12" t="s">
        <v>35</v>
      </c>
      <c r="P3044" s="10" t="s">
        <v>13726</v>
      </c>
      <c r="Q3044" s="10" t="s">
        <v>31</v>
      </c>
      <c r="R3044" s="10" t="s">
        <v>31</v>
      </c>
      <c r="S3044" s="12" t="s">
        <v>13727</v>
      </c>
      <c r="T3044" s="10" t="s">
        <v>38</v>
      </c>
      <c r="U3044" s="12" t="s">
        <v>13728</v>
      </c>
      <c r="V3044" s="10" t="s">
        <v>19690</v>
      </c>
      <c r="W3044" s="10" t="s">
        <v>13207</v>
      </c>
      <c r="X3044" s="13" t="str">
        <f>HYPERLINK("https://my.pitchbook.com?p=455197-96P","View People Online")</f>
        <v>View People Online</v>
      </c>
    </row>
    <row r="3045">
      <c r="A3045" s="14" t="s">
        <v>19691</v>
      </c>
      <c r="B3045" s="14" t="s">
        <v>19692</v>
      </c>
      <c r="C3045" s="14" t="s">
        <v>12912</v>
      </c>
      <c r="D3045" s="14" t="s">
        <v>19693</v>
      </c>
      <c r="E3045" s="14" t="s">
        <v>13207</v>
      </c>
      <c r="F3045" s="14" t="s">
        <v>13218</v>
      </c>
      <c r="G3045" s="14" t="s">
        <v>19694</v>
      </c>
      <c r="H3045" s="15" t="s">
        <v>31</v>
      </c>
      <c r="I3045" s="15">
        <v>1.0</v>
      </c>
      <c r="J3045" s="15">
        <v>1.0</v>
      </c>
      <c r="K3045" s="15" t="s">
        <v>31</v>
      </c>
      <c r="L3045" s="16" t="s">
        <v>13657</v>
      </c>
      <c r="M3045" s="14" t="s">
        <v>19695</v>
      </c>
      <c r="N3045" s="14" t="s">
        <v>13659</v>
      </c>
      <c r="O3045" s="16" t="s">
        <v>13660</v>
      </c>
      <c r="P3045" s="14" t="s">
        <v>13661</v>
      </c>
      <c r="Q3045" s="14" t="s">
        <v>31</v>
      </c>
      <c r="R3045" s="14" t="s">
        <v>31</v>
      </c>
      <c r="S3045" s="16" t="s">
        <v>13662</v>
      </c>
      <c r="T3045" s="14" t="s">
        <v>38</v>
      </c>
      <c r="U3045" s="16" t="s">
        <v>13663</v>
      </c>
      <c r="V3045" s="14" t="s">
        <v>13218</v>
      </c>
      <c r="W3045" s="14" t="s">
        <v>13207</v>
      </c>
      <c r="X3045" s="17" t="str">
        <f>HYPERLINK("https://my.pitchbook.com?p=456775-12P","View People Online")</f>
        <v>View People Online</v>
      </c>
    </row>
    <row r="3046">
      <c r="A3046" s="10" t="s">
        <v>19696</v>
      </c>
      <c r="B3046" s="10" t="s">
        <v>19697</v>
      </c>
      <c r="C3046" s="10" t="s">
        <v>12912</v>
      </c>
      <c r="D3046" s="10" t="s">
        <v>19698</v>
      </c>
      <c r="E3046" s="10" t="s">
        <v>13207</v>
      </c>
      <c r="F3046" s="10" t="s">
        <v>13218</v>
      </c>
      <c r="G3046" s="10" t="s">
        <v>19699</v>
      </c>
      <c r="H3046" s="11" t="s">
        <v>31</v>
      </c>
      <c r="I3046" s="11">
        <v>1.0</v>
      </c>
      <c r="J3046" s="11">
        <v>1.0</v>
      </c>
      <c r="K3046" s="11" t="s">
        <v>31</v>
      </c>
      <c r="L3046" s="12" t="s">
        <v>13242</v>
      </c>
      <c r="M3046" s="10" t="s">
        <v>19700</v>
      </c>
      <c r="N3046" s="10" t="s">
        <v>9865</v>
      </c>
      <c r="O3046" s="12" t="s">
        <v>9866</v>
      </c>
      <c r="P3046" s="10" t="s">
        <v>13244</v>
      </c>
      <c r="Q3046" s="10" t="s">
        <v>31</v>
      </c>
      <c r="R3046" s="10" t="s">
        <v>31</v>
      </c>
      <c r="S3046" s="12" t="s">
        <v>13245</v>
      </c>
      <c r="T3046" s="10" t="s">
        <v>38</v>
      </c>
      <c r="U3046" s="12" t="s">
        <v>13246</v>
      </c>
      <c r="V3046" s="10" t="s">
        <v>19701</v>
      </c>
      <c r="W3046" s="10" t="s">
        <v>13207</v>
      </c>
      <c r="X3046" s="13" t="str">
        <f>HYPERLINK("https://my.pitchbook.com?p=294394-24P","View People Online")</f>
        <v>View People Online</v>
      </c>
    </row>
    <row r="3047">
      <c r="A3047" s="6" t="s">
        <v>19702</v>
      </c>
      <c r="B3047" s="6" t="s">
        <v>19703</v>
      </c>
      <c r="C3047" s="6" t="s">
        <v>19704</v>
      </c>
      <c r="D3047" s="6" t="s">
        <v>19705</v>
      </c>
      <c r="E3047" s="6" t="s">
        <v>13207</v>
      </c>
      <c r="F3047" s="6" t="s">
        <v>3523</v>
      </c>
      <c r="G3047" s="6" t="s">
        <v>19706</v>
      </c>
      <c r="H3047" s="7" t="s">
        <v>31</v>
      </c>
      <c r="I3047" s="7">
        <v>1.0</v>
      </c>
      <c r="J3047" s="7">
        <v>1.0</v>
      </c>
      <c r="K3047" s="7" t="s">
        <v>31</v>
      </c>
      <c r="L3047" s="8" t="s">
        <v>14142</v>
      </c>
      <c r="M3047" s="6" t="s">
        <v>19707</v>
      </c>
      <c r="N3047" s="6" t="s">
        <v>273</v>
      </c>
      <c r="O3047" s="8" t="s">
        <v>274</v>
      </c>
      <c r="P3047" s="6" t="s">
        <v>14144</v>
      </c>
      <c r="Q3047" s="6" t="s">
        <v>31</v>
      </c>
      <c r="R3047" s="6" t="s">
        <v>31</v>
      </c>
      <c r="S3047" s="8" t="s">
        <v>14145</v>
      </c>
      <c r="T3047" s="6" t="s">
        <v>276</v>
      </c>
      <c r="U3047" s="8" t="s">
        <v>14146</v>
      </c>
      <c r="V3047" s="6" t="s">
        <v>3523</v>
      </c>
      <c r="W3047" s="6" t="s">
        <v>13207</v>
      </c>
      <c r="X3047" s="9" t="str">
        <f>HYPERLINK("https://my.pitchbook.com?p=455944-78P","View People Online")</f>
        <v>View People Online</v>
      </c>
    </row>
    <row r="3048">
      <c r="A3048" s="2" t="s">
        <v>19708</v>
      </c>
      <c r="B3048" s="2" t="s">
        <v>19709</v>
      </c>
      <c r="C3048" s="2" t="s">
        <v>19704</v>
      </c>
      <c r="D3048" s="2" t="s">
        <v>19710</v>
      </c>
      <c r="E3048" s="2" t="s">
        <v>13207</v>
      </c>
      <c r="F3048" s="2" t="s">
        <v>3523</v>
      </c>
      <c r="G3048" s="2" t="s">
        <v>19711</v>
      </c>
      <c r="H3048" s="3" t="s">
        <v>31</v>
      </c>
      <c r="I3048" s="3">
        <v>1.0</v>
      </c>
      <c r="J3048" s="3">
        <v>1.0</v>
      </c>
      <c r="K3048" s="3" t="s">
        <v>31</v>
      </c>
      <c r="L3048" s="4" t="s">
        <v>13423</v>
      </c>
      <c r="M3048" s="2" t="s">
        <v>19712</v>
      </c>
      <c r="N3048" s="2" t="s">
        <v>243</v>
      </c>
      <c r="O3048" s="4" t="s">
        <v>244</v>
      </c>
      <c r="P3048" s="2" t="s">
        <v>13425</v>
      </c>
      <c r="Q3048" s="2" t="s">
        <v>31</v>
      </c>
      <c r="R3048" s="2" t="s">
        <v>247</v>
      </c>
      <c r="S3048" s="4" t="s">
        <v>13426</v>
      </c>
      <c r="T3048" s="2" t="s">
        <v>249</v>
      </c>
      <c r="U3048" s="4" t="s">
        <v>31</v>
      </c>
      <c r="V3048" s="2" t="s">
        <v>3523</v>
      </c>
      <c r="W3048" s="2" t="s">
        <v>13207</v>
      </c>
      <c r="X3048" s="5" t="str">
        <f>HYPERLINK("https://my.pitchbook.com?p=455467-51P","View People Online")</f>
        <v>View People Online</v>
      </c>
    </row>
    <row r="3049">
      <c r="A3049" s="14" t="s">
        <v>19713</v>
      </c>
      <c r="B3049" s="14" t="s">
        <v>19714</v>
      </c>
      <c r="C3049" s="14" t="s">
        <v>19715</v>
      </c>
      <c r="D3049" s="14" t="s">
        <v>6806</v>
      </c>
      <c r="E3049" s="14" t="s">
        <v>13207</v>
      </c>
      <c r="F3049" s="14" t="s">
        <v>13218</v>
      </c>
      <c r="G3049" s="14" t="s">
        <v>19716</v>
      </c>
      <c r="H3049" s="15" t="s">
        <v>31</v>
      </c>
      <c r="I3049" s="15">
        <v>1.0</v>
      </c>
      <c r="J3049" s="15">
        <v>1.0</v>
      </c>
      <c r="K3049" s="15" t="s">
        <v>31</v>
      </c>
      <c r="L3049" s="16" t="s">
        <v>13423</v>
      </c>
      <c r="M3049" s="14" t="s">
        <v>19717</v>
      </c>
      <c r="N3049" s="14" t="s">
        <v>243</v>
      </c>
      <c r="O3049" s="16" t="s">
        <v>244</v>
      </c>
      <c r="P3049" s="14" t="s">
        <v>13425</v>
      </c>
      <c r="Q3049" s="14" t="s">
        <v>31</v>
      </c>
      <c r="R3049" s="14" t="s">
        <v>247</v>
      </c>
      <c r="S3049" s="16" t="s">
        <v>13426</v>
      </c>
      <c r="T3049" s="14" t="s">
        <v>249</v>
      </c>
      <c r="U3049" s="16" t="s">
        <v>31</v>
      </c>
      <c r="V3049" s="14" t="s">
        <v>19718</v>
      </c>
      <c r="W3049" s="14" t="s">
        <v>13207</v>
      </c>
      <c r="X3049" s="17" t="str">
        <f>HYPERLINK("https://my.pitchbook.com?p=435601-36P","View People Online")</f>
        <v>View People Online</v>
      </c>
    </row>
    <row r="3050">
      <c r="A3050" s="10" t="s">
        <v>19719</v>
      </c>
      <c r="B3050" s="10" t="s">
        <v>19720</v>
      </c>
      <c r="C3050" s="10" t="s">
        <v>369</v>
      </c>
      <c r="D3050" s="10" t="s">
        <v>19721</v>
      </c>
      <c r="E3050" s="10" t="s">
        <v>13207</v>
      </c>
      <c r="F3050" s="10" t="s">
        <v>3523</v>
      </c>
      <c r="G3050" s="10" t="s">
        <v>19722</v>
      </c>
      <c r="H3050" s="11" t="s">
        <v>31</v>
      </c>
      <c r="I3050" s="11">
        <v>1.0</v>
      </c>
      <c r="J3050" s="11">
        <v>1.0</v>
      </c>
      <c r="K3050" s="11" t="s">
        <v>31</v>
      </c>
      <c r="L3050" s="12" t="s">
        <v>13423</v>
      </c>
      <c r="M3050" s="10" t="s">
        <v>19723</v>
      </c>
      <c r="N3050" s="10" t="s">
        <v>243</v>
      </c>
      <c r="O3050" s="12" t="s">
        <v>244</v>
      </c>
      <c r="P3050" s="10" t="s">
        <v>13425</v>
      </c>
      <c r="Q3050" s="10" t="s">
        <v>31</v>
      </c>
      <c r="R3050" s="10" t="s">
        <v>247</v>
      </c>
      <c r="S3050" s="12" t="s">
        <v>13426</v>
      </c>
      <c r="T3050" s="10" t="s">
        <v>249</v>
      </c>
      <c r="U3050" s="12" t="s">
        <v>31</v>
      </c>
      <c r="V3050" s="10" t="s">
        <v>3523</v>
      </c>
      <c r="W3050" s="10" t="s">
        <v>13207</v>
      </c>
      <c r="X3050" s="13" t="str">
        <f>HYPERLINK("https://my.pitchbook.com?p=435964-42P","View People Online")</f>
        <v>View People Online</v>
      </c>
    </row>
    <row r="3051">
      <c r="A3051" s="6" t="s">
        <v>19724</v>
      </c>
      <c r="B3051" s="6" t="s">
        <v>19725</v>
      </c>
      <c r="C3051" s="6" t="s">
        <v>369</v>
      </c>
      <c r="D3051" s="6" t="s">
        <v>19726</v>
      </c>
      <c r="E3051" s="6" t="s">
        <v>13207</v>
      </c>
      <c r="F3051" s="6" t="s">
        <v>3523</v>
      </c>
      <c r="G3051" s="6" t="s">
        <v>19727</v>
      </c>
      <c r="H3051" s="7" t="s">
        <v>31</v>
      </c>
      <c r="I3051" s="7">
        <v>1.0</v>
      </c>
      <c r="J3051" s="7">
        <v>1.0</v>
      </c>
      <c r="K3051" s="7" t="s">
        <v>31</v>
      </c>
      <c r="L3051" s="8" t="s">
        <v>13839</v>
      </c>
      <c r="M3051" s="6" t="s">
        <v>19728</v>
      </c>
      <c r="N3051" s="6" t="s">
        <v>11029</v>
      </c>
      <c r="O3051" s="8" t="s">
        <v>11030</v>
      </c>
      <c r="P3051" s="6" t="s">
        <v>13841</v>
      </c>
      <c r="Q3051" s="6" t="s">
        <v>13842</v>
      </c>
      <c r="R3051" s="6" t="s">
        <v>10017</v>
      </c>
      <c r="S3051" s="8" t="s">
        <v>13843</v>
      </c>
      <c r="T3051" s="6" t="s">
        <v>66</v>
      </c>
      <c r="U3051" s="8" t="s">
        <v>13844</v>
      </c>
      <c r="V3051" s="6" t="s">
        <v>3523</v>
      </c>
      <c r="W3051" s="6" t="s">
        <v>13207</v>
      </c>
      <c r="X3051" s="9" t="str">
        <f>HYPERLINK("https://my.pitchbook.com?p=435198-25P","View People Online")</f>
        <v>View People Online</v>
      </c>
    </row>
    <row r="3052">
      <c r="A3052" s="10" t="s">
        <v>19729</v>
      </c>
      <c r="B3052" s="10" t="s">
        <v>19730</v>
      </c>
      <c r="C3052" s="10" t="s">
        <v>369</v>
      </c>
      <c r="D3052" s="10" t="s">
        <v>19731</v>
      </c>
      <c r="E3052" s="10" t="s">
        <v>13207</v>
      </c>
      <c r="F3052" s="10" t="s">
        <v>17625</v>
      </c>
      <c r="G3052" s="10" t="s">
        <v>19732</v>
      </c>
      <c r="H3052" s="11" t="s">
        <v>31</v>
      </c>
      <c r="I3052" s="11">
        <v>1.0</v>
      </c>
      <c r="J3052" s="11">
        <v>1.0</v>
      </c>
      <c r="K3052" s="11" t="s">
        <v>31</v>
      </c>
      <c r="L3052" s="12" t="s">
        <v>14173</v>
      </c>
      <c r="M3052" s="10" t="s">
        <v>19733</v>
      </c>
      <c r="N3052" s="10" t="s">
        <v>658</v>
      </c>
      <c r="O3052" s="12" t="s">
        <v>659</v>
      </c>
      <c r="P3052" s="10" t="s">
        <v>14175</v>
      </c>
      <c r="Q3052" s="10" t="s">
        <v>31</v>
      </c>
      <c r="R3052" s="10" t="s">
        <v>31</v>
      </c>
      <c r="S3052" s="12" t="s">
        <v>660</v>
      </c>
      <c r="T3052" s="10" t="s">
        <v>661</v>
      </c>
      <c r="U3052" s="12" t="s">
        <v>14176</v>
      </c>
      <c r="V3052" s="10" t="s">
        <v>17625</v>
      </c>
      <c r="W3052" s="10" t="s">
        <v>13207</v>
      </c>
      <c r="X3052" s="13" t="str">
        <f>HYPERLINK("https://my.pitchbook.com?p=434962-90P","View People Online")</f>
        <v>View People Online</v>
      </c>
    </row>
    <row r="3053">
      <c r="A3053" s="14" t="s">
        <v>19734</v>
      </c>
      <c r="B3053" s="14" t="s">
        <v>19735</v>
      </c>
      <c r="C3053" s="14" t="s">
        <v>19736</v>
      </c>
      <c r="D3053" s="14" t="s">
        <v>19737</v>
      </c>
      <c r="E3053" s="14" t="s">
        <v>13207</v>
      </c>
      <c r="F3053" s="14" t="s">
        <v>3523</v>
      </c>
      <c r="G3053" s="14" t="s">
        <v>19738</v>
      </c>
      <c r="H3053" s="15" t="s">
        <v>31</v>
      </c>
      <c r="I3053" s="15">
        <v>1.0</v>
      </c>
      <c r="J3053" s="15">
        <v>1.0</v>
      </c>
      <c r="K3053" s="15" t="s">
        <v>31</v>
      </c>
      <c r="L3053" s="16" t="s">
        <v>13242</v>
      </c>
      <c r="M3053" s="14" t="s">
        <v>19739</v>
      </c>
      <c r="N3053" s="14" t="s">
        <v>9865</v>
      </c>
      <c r="O3053" s="16" t="s">
        <v>9866</v>
      </c>
      <c r="P3053" s="14" t="s">
        <v>13244</v>
      </c>
      <c r="Q3053" s="14" t="s">
        <v>31</v>
      </c>
      <c r="R3053" s="14" t="s">
        <v>31</v>
      </c>
      <c r="S3053" s="16" t="s">
        <v>13245</v>
      </c>
      <c r="T3053" s="14" t="s">
        <v>38</v>
      </c>
      <c r="U3053" s="16" t="s">
        <v>13246</v>
      </c>
      <c r="V3053" s="14" t="s">
        <v>3523</v>
      </c>
      <c r="W3053" s="14" t="s">
        <v>13207</v>
      </c>
      <c r="X3053" s="17" t="str">
        <f>HYPERLINK("https://my.pitchbook.com?p=435652-84P","View People Online")</f>
        <v>View People Online</v>
      </c>
    </row>
    <row r="3054">
      <c r="A3054" s="10" t="s">
        <v>19740</v>
      </c>
      <c r="B3054" s="10" t="s">
        <v>19741</v>
      </c>
      <c r="C3054" s="10" t="s">
        <v>19736</v>
      </c>
      <c r="D3054" s="10" t="s">
        <v>19742</v>
      </c>
      <c r="E3054" s="10" t="s">
        <v>13207</v>
      </c>
      <c r="F3054" s="10" t="s">
        <v>3523</v>
      </c>
      <c r="G3054" s="10" t="s">
        <v>19743</v>
      </c>
      <c r="H3054" s="11" t="s">
        <v>31</v>
      </c>
      <c r="I3054" s="11">
        <v>1.0</v>
      </c>
      <c r="J3054" s="11">
        <v>1.0</v>
      </c>
      <c r="K3054" s="11" t="s">
        <v>31</v>
      </c>
      <c r="L3054" s="12" t="s">
        <v>13242</v>
      </c>
      <c r="M3054" s="10" t="s">
        <v>19744</v>
      </c>
      <c r="N3054" s="10" t="s">
        <v>9865</v>
      </c>
      <c r="O3054" s="12" t="s">
        <v>9866</v>
      </c>
      <c r="P3054" s="10" t="s">
        <v>13244</v>
      </c>
      <c r="Q3054" s="10" t="s">
        <v>31</v>
      </c>
      <c r="R3054" s="10" t="s">
        <v>31</v>
      </c>
      <c r="S3054" s="12" t="s">
        <v>13245</v>
      </c>
      <c r="T3054" s="10" t="s">
        <v>38</v>
      </c>
      <c r="U3054" s="12" t="s">
        <v>13246</v>
      </c>
      <c r="V3054" s="10" t="s">
        <v>3523</v>
      </c>
      <c r="W3054" s="10" t="s">
        <v>13207</v>
      </c>
      <c r="X3054" s="13" t="str">
        <f>HYPERLINK("https://my.pitchbook.com?p=455686-75P","View People Online")</f>
        <v>View People Online</v>
      </c>
    </row>
    <row r="3055">
      <c r="A3055" s="6" t="s">
        <v>19745</v>
      </c>
      <c r="B3055" s="6" t="s">
        <v>19746</v>
      </c>
      <c r="C3055" s="6" t="s">
        <v>19736</v>
      </c>
      <c r="D3055" s="6" t="s">
        <v>19747</v>
      </c>
      <c r="E3055" s="6" t="s">
        <v>13207</v>
      </c>
      <c r="F3055" s="6" t="s">
        <v>29</v>
      </c>
      <c r="G3055" s="6" t="s">
        <v>19748</v>
      </c>
      <c r="H3055" s="7" t="s">
        <v>31</v>
      </c>
      <c r="I3055" s="7">
        <v>1.0</v>
      </c>
      <c r="J3055" s="7">
        <v>1.0</v>
      </c>
      <c r="K3055" s="7" t="s">
        <v>31</v>
      </c>
      <c r="L3055" s="8" t="s">
        <v>13724</v>
      </c>
      <c r="M3055" s="6" t="s">
        <v>19749</v>
      </c>
      <c r="N3055" s="6" t="s">
        <v>34</v>
      </c>
      <c r="O3055" s="8" t="s">
        <v>35</v>
      </c>
      <c r="P3055" s="6" t="s">
        <v>13726</v>
      </c>
      <c r="Q3055" s="6" t="s">
        <v>31</v>
      </c>
      <c r="R3055" s="6" t="s">
        <v>31</v>
      </c>
      <c r="S3055" s="8" t="s">
        <v>13727</v>
      </c>
      <c r="T3055" s="6" t="s">
        <v>38</v>
      </c>
      <c r="U3055" s="8" t="s">
        <v>13728</v>
      </c>
      <c r="V3055" s="6" t="s">
        <v>29</v>
      </c>
      <c r="W3055" s="6" t="s">
        <v>13207</v>
      </c>
      <c r="X3055" s="9" t="str">
        <f>HYPERLINK("https://my.pitchbook.com?p=455464-18P","View People Online")</f>
        <v>View People Online</v>
      </c>
    </row>
    <row r="3056">
      <c r="A3056" s="2" t="s">
        <v>19750</v>
      </c>
      <c r="B3056" s="2" t="s">
        <v>19751</v>
      </c>
      <c r="C3056" s="2" t="s">
        <v>11919</v>
      </c>
      <c r="D3056" s="2" t="s">
        <v>19752</v>
      </c>
      <c r="E3056" s="2" t="s">
        <v>13207</v>
      </c>
      <c r="F3056" s="2" t="s">
        <v>3523</v>
      </c>
      <c r="G3056" s="2" t="s">
        <v>19753</v>
      </c>
      <c r="H3056" s="3" t="s">
        <v>31</v>
      </c>
      <c r="I3056" s="3">
        <v>1.0</v>
      </c>
      <c r="J3056" s="3">
        <v>1.0</v>
      </c>
      <c r="K3056" s="3" t="s">
        <v>31</v>
      </c>
      <c r="L3056" s="4" t="s">
        <v>13299</v>
      </c>
      <c r="M3056" s="2" t="s">
        <v>19754</v>
      </c>
      <c r="N3056" s="2" t="s">
        <v>601</v>
      </c>
      <c r="O3056" s="4" t="s">
        <v>602</v>
      </c>
      <c r="P3056" s="2" t="s">
        <v>13301</v>
      </c>
      <c r="Q3056" s="2" t="s">
        <v>13302</v>
      </c>
      <c r="R3056" s="2" t="s">
        <v>31</v>
      </c>
      <c r="S3056" s="4" t="s">
        <v>31</v>
      </c>
      <c r="T3056" s="2" t="s">
        <v>603</v>
      </c>
      <c r="U3056" s="4" t="s">
        <v>13303</v>
      </c>
      <c r="V3056" s="2" t="s">
        <v>3523</v>
      </c>
      <c r="W3056" s="2" t="s">
        <v>13207</v>
      </c>
      <c r="X3056" s="5" t="str">
        <f>HYPERLINK("https://my.pitchbook.com?p=434994-94P","View People Online")</f>
        <v>View People Online</v>
      </c>
    </row>
    <row r="3057">
      <c r="A3057" s="14" t="s">
        <v>19755</v>
      </c>
      <c r="B3057" s="14" t="s">
        <v>19756</v>
      </c>
      <c r="C3057" s="14" t="s">
        <v>19757</v>
      </c>
      <c r="D3057" s="14" t="s">
        <v>15151</v>
      </c>
      <c r="E3057" s="14" t="s">
        <v>13207</v>
      </c>
      <c r="F3057" s="14" t="s">
        <v>3523</v>
      </c>
      <c r="G3057" s="14" t="s">
        <v>19758</v>
      </c>
      <c r="H3057" s="15" t="s">
        <v>31</v>
      </c>
      <c r="I3057" s="15">
        <v>1.0</v>
      </c>
      <c r="J3057" s="15">
        <v>1.0</v>
      </c>
      <c r="K3057" s="15" t="s">
        <v>31</v>
      </c>
      <c r="L3057" s="16" t="s">
        <v>13231</v>
      </c>
      <c r="M3057" s="14" t="s">
        <v>19759</v>
      </c>
      <c r="N3057" s="14" t="s">
        <v>1203</v>
      </c>
      <c r="O3057" s="16" t="s">
        <v>1204</v>
      </c>
      <c r="P3057" s="14" t="s">
        <v>13233</v>
      </c>
      <c r="Q3057" s="14" t="s">
        <v>13234</v>
      </c>
      <c r="R3057" s="14" t="s">
        <v>1207</v>
      </c>
      <c r="S3057" s="16" t="s">
        <v>13235</v>
      </c>
      <c r="T3057" s="14" t="s">
        <v>1209</v>
      </c>
      <c r="U3057" s="16" t="s">
        <v>31</v>
      </c>
      <c r="V3057" s="14" t="s">
        <v>3523</v>
      </c>
      <c r="W3057" s="14" t="s">
        <v>13207</v>
      </c>
      <c r="X3057" s="17" t="str">
        <f>HYPERLINK("https://my.pitchbook.com?p=436286-80P","View People Online")</f>
        <v>View People Online</v>
      </c>
    </row>
    <row r="3058">
      <c r="A3058" s="10" t="s">
        <v>19760</v>
      </c>
      <c r="B3058" s="10" t="s">
        <v>19761</v>
      </c>
      <c r="C3058" s="10" t="s">
        <v>3852</v>
      </c>
      <c r="D3058" s="10" t="s">
        <v>19762</v>
      </c>
      <c r="E3058" s="10" t="s">
        <v>13207</v>
      </c>
      <c r="F3058" s="10" t="s">
        <v>3523</v>
      </c>
      <c r="G3058" s="10" t="s">
        <v>19763</v>
      </c>
      <c r="H3058" s="11" t="s">
        <v>31</v>
      </c>
      <c r="I3058" s="11">
        <v>1.0</v>
      </c>
      <c r="J3058" s="11">
        <v>1.0</v>
      </c>
      <c r="K3058" s="11" t="s">
        <v>31</v>
      </c>
      <c r="L3058" s="12" t="s">
        <v>14201</v>
      </c>
      <c r="M3058" s="10" t="s">
        <v>19764</v>
      </c>
      <c r="N3058" s="10" t="s">
        <v>14203</v>
      </c>
      <c r="O3058" s="12" t="s">
        <v>14204</v>
      </c>
      <c r="P3058" s="10" t="s">
        <v>14205</v>
      </c>
      <c r="Q3058" s="10" t="s">
        <v>14206</v>
      </c>
      <c r="R3058" s="10" t="s">
        <v>1420</v>
      </c>
      <c r="S3058" s="12" t="s">
        <v>14207</v>
      </c>
      <c r="T3058" s="10" t="s">
        <v>66</v>
      </c>
      <c r="U3058" s="12" t="s">
        <v>14208</v>
      </c>
      <c r="V3058" s="10" t="s">
        <v>3523</v>
      </c>
      <c r="W3058" s="10" t="s">
        <v>13207</v>
      </c>
      <c r="X3058" s="13" t="str">
        <f>HYPERLINK("https://my.pitchbook.com?p=456619-24P","View People Online")</f>
        <v>View People Online</v>
      </c>
    </row>
    <row r="3059">
      <c r="A3059" s="6" t="s">
        <v>19765</v>
      </c>
      <c r="B3059" s="6" t="s">
        <v>19766</v>
      </c>
      <c r="C3059" s="6" t="s">
        <v>9308</v>
      </c>
      <c r="D3059" s="6" t="s">
        <v>19767</v>
      </c>
      <c r="E3059" s="6" t="s">
        <v>13207</v>
      </c>
      <c r="F3059" s="6" t="s">
        <v>3523</v>
      </c>
      <c r="G3059" s="6" t="s">
        <v>19768</v>
      </c>
      <c r="H3059" s="7" t="s">
        <v>31</v>
      </c>
      <c r="I3059" s="7">
        <v>1.0</v>
      </c>
      <c r="J3059" s="7">
        <v>1.0</v>
      </c>
      <c r="K3059" s="7" t="s">
        <v>31</v>
      </c>
      <c r="L3059" s="8" t="s">
        <v>13953</v>
      </c>
      <c r="M3059" s="6" t="s">
        <v>19769</v>
      </c>
      <c r="N3059" s="6" t="s">
        <v>1170</v>
      </c>
      <c r="O3059" s="8" t="s">
        <v>1171</v>
      </c>
      <c r="P3059" s="6" t="s">
        <v>13955</v>
      </c>
      <c r="Q3059" s="6" t="s">
        <v>13956</v>
      </c>
      <c r="R3059" s="6" t="s">
        <v>64</v>
      </c>
      <c r="S3059" s="8" t="s">
        <v>13957</v>
      </c>
      <c r="T3059" s="6" t="s">
        <v>66</v>
      </c>
      <c r="U3059" s="8" t="s">
        <v>13958</v>
      </c>
      <c r="V3059" s="6" t="s">
        <v>3523</v>
      </c>
      <c r="W3059" s="6" t="s">
        <v>13207</v>
      </c>
      <c r="X3059" s="9" t="str">
        <f>HYPERLINK("https://my.pitchbook.com?p=456080-59P","View People Online")</f>
        <v>View People Online</v>
      </c>
    </row>
    <row r="3060">
      <c r="A3060" s="10" t="s">
        <v>19770</v>
      </c>
      <c r="B3060" s="10" t="s">
        <v>19771</v>
      </c>
      <c r="C3060" s="10" t="s">
        <v>19772</v>
      </c>
      <c r="D3060" s="10" t="s">
        <v>19773</v>
      </c>
      <c r="E3060" s="10" t="s">
        <v>13207</v>
      </c>
      <c r="F3060" s="10" t="s">
        <v>13307</v>
      </c>
      <c r="G3060" s="10" t="s">
        <v>19774</v>
      </c>
      <c r="H3060" s="11">
        <v>1.0</v>
      </c>
      <c r="I3060" s="11">
        <v>2.0</v>
      </c>
      <c r="J3060" s="11">
        <v>1.0</v>
      </c>
      <c r="K3060" s="11" t="s">
        <v>31</v>
      </c>
      <c r="L3060" s="12" t="s">
        <v>13274</v>
      </c>
      <c r="M3060" s="10" t="s">
        <v>19775</v>
      </c>
      <c r="N3060" s="10" t="s">
        <v>1181</v>
      </c>
      <c r="O3060" s="12" t="s">
        <v>1182</v>
      </c>
      <c r="P3060" s="10" t="s">
        <v>13276</v>
      </c>
      <c r="Q3060" s="10" t="s">
        <v>31</v>
      </c>
      <c r="R3060" s="10" t="s">
        <v>1185</v>
      </c>
      <c r="S3060" s="12" t="s">
        <v>4438</v>
      </c>
      <c r="T3060" s="10" t="s">
        <v>66</v>
      </c>
      <c r="U3060" s="12" t="s">
        <v>13277</v>
      </c>
      <c r="V3060" s="10" t="s">
        <v>13317</v>
      </c>
      <c r="W3060" s="10" t="s">
        <v>13207</v>
      </c>
      <c r="X3060" s="13" t="str">
        <f>HYPERLINK("https://my.pitchbook.com?p=259743-43P","View People Online")</f>
        <v>View People Online</v>
      </c>
    </row>
    <row r="3061">
      <c r="A3061" s="14" t="s">
        <v>19776</v>
      </c>
      <c r="B3061" s="14" t="s">
        <v>19777</v>
      </c>
      <c r="C3061" s="14" t="s">
        <v>19778</v>
      </c>
      <c r="D3061" s="14" t="s">
        <v>19779</v>
      </c>
      <c r="E3061" s="14" t="s">
        <v>13207</v>
      </c>
      <c r="F3061" s="14" t="s">
        <v>3523</v>
      </c>
      <c r="G3061" s="14" t="s">
        <v>19780</v>
      </c>
      <c r="H3061" s="15" t="s">
        <v>31</v>
      </c>
      <c r="I3061" s="15">
        <v>1.0</v>
      </c>
      <c r="J3061" s="15">
        <v>1.0</v>
      </c>
      <c r="K3061" s="15" t="s">
        <v>31</v>
      </c>
      <c r="L3061" s="16" t="s">
        <v>13252</v>
      </c>
      <c r="M3061" s="14" t="s">
        <v>19781</v>
      </c>
      <c r="N3061" s="14" t="s">
        <v>13254</v>
      </c>
      <c r="O3061" s="16" t="s">
        <v>13255</v>
      </c>
      <c r="P3061" s="14" t="s">
        <v>13256</v>
      </c>
      <c r="Q3061" s="14" t="s">
        <v>31</v>
      </c>
      <c r="R3061" s="14" t="s">
        <v>31</v>
      </c>
      <c r="S3061" s="16" t="s">
        <v>13257</v>
      </c>
      <c r="T3061" s="14" t="s">
        <v>13258</v>
      </c>
      <c r="U3061" s="16" t="s">
        <v>13259</v>
      </c>
      <c r="V3061" s="14" t="s">
        <v>3523</v>
      </c>
      <c r="W3061" s="14" t="s">
        <v>13207</v>
      </c>
      <c r="X3061" s="17" t="str">
        <f>HYPERLINK("https://my.pitchbook.com?p=456646-15P","View People Online")</f>
        <v>View People Online</v>
      </c>
    </row>
    <row r="3062">
      <c r="A3062" s="10" t="s">
        <v>19782</v>
      </c>
      <c r="B3062" s="10" t="s">
        <v>19783</v>
      </c>
      <c r="C3062" s="10" t="s">
        <v>19784</v>
      </c>
      <c r="D3062" s="10" t="s">
        <v>19785</v>
      </c>
      <c r="E3062" s="10" t="s">
        <v>13207</v>
      </c>
      <c r="F3062" s="10" t="s">
        <v>13218</v>
      </c>
      <c r="G3062" s="10" t="s">
        <v>19786</v>
      </c>
      <c r="H3062" s="11" t="s">
        <v>31</v>
      </c>
      <c r="I3062" s="11">
        <v>1.0</v>
      </c>
      <c r="J3062" s="11">
        <v>1.0</v>
      </c>
      <c r="K3062" s="11" t="s">
        <v>31</v>
      </c>
      <c r="L3062" s="12" t="s">
        <v>13274</v>
      </c>
      <c r="M3062" s="10" t="s">
        <v>19787</v>
      </c>
      <c r="N3062" s="10" t="s">
        <v>1181</v>
      </c>
      <c r="O3062" s="12" t="s">
        <v>1182</v>
      </c>
      <c r="P3062" s="10" t="s">
        <v>13276</v>
      </c>
      <c r="Q3062" s="10" t="s">
        <v>31</v>
      </c>
      <c r="R3062" s="10" t="s">
        <v>1185</v>
      </c>
      <c r="S3062" s="12" t="s">
        <v>4438</v>
      </c>
      <c r="T3062" s="10" t="s">
        <v>66</v>
      </c>
      <c r="U3062" s="12" t="s">
        <v>13277</v>
      </c>
      <c r="V3062" s="10" t="s">
        <v>13218</v>
      </c>
      <c r="W3062" s="10" t="s">
        <v>13207</v>
      </c>
      <c r="X3062" s="13" t="str">
        <f>HYPERLINK("https://my.pitchbook.com?p=456828-31P","View People Online")</f>
        <v>View People Online</v>
      </c>
    </row>
    <row r="3063">
      <c r="A3063" s="6" t="s">
        <v>19788</v>
      </c>
      <c r="B3063" s="6" t="s">
        <v>19789</v>
      </c>
      <c r="C3063" s="6" t="s">
        <v>11929</v>
      </c>
      <c r="D3063" s="6" t="s">
        <v>19790</v>
      </c>
      <c r="E3063" s="6" t="s">
        <v>13207</v>
      </c>
      <c r="F3063" s="6" t="s">
        <v>3523</v>
      </c>
      <c r="G3063" s="6" t="s">
        <v>19791</v>
      </c>
      <c r="H3063" s="7" t="s">
        <v>31</v>
      </c>
      <c r="I3063" s="7">
        <v>1.0</v>
      </c>
      <c r="J3063" s="7">
        <v>1.0</v>
      </c>
      <c r="K3063" s="7" t="s">
        <v>31</v>
      </c>
      <c r="L3063" s="8" t="s">
        <v>13423</v>
      </c>
      <c r="M3063" s="6" t="s">
        <v>19792</v>
      </c>
      <c r="N3063" s="6" t="s">
        <v>243</v>
      </c>
      <c r="O3063" s="8" t="s">
        <v>244</v>
      </c>
      <c r="P3063" s="6" t="s">
        <v>13425</v>
      </c>
      <c r="Q3063" s="6" t="s">
        <v>31</v>
      </c>
      <c r="R3063" s="6" t="s">
        <v>247</v>
      </c>
      <c r="S3063" s="8" t="s">
        <v>13426</v>
      </c>
      <c r="T3063" s="6" t="s">
        <v>249</v>
      </c>
      <c r="U3063" s="8" t="s">
        <v>31</v>
      </c>
      <c r="V3063" s="6" t="s">
        <v>3523</v>
      </c>
      <c r="W3063" s="6" t="s">
        <v>13207</v>
      </c>
      <c r="X3063" s="9" t="str">
        <f>HYPERLINK("https://my.pitchbook.com?p=435119-86P","View People Online")</f>
        <v>View People Online</v>
      </c>
    </row>
    <row r="3064">
      <c r="A3064" s="2" t="s">
        <v>19793</v>
      </c>
      <c r="B3064" s="2" t="s">
        <v>19794</v>
      </c>
      <c r="C3064" s="2" t="s">
        <v>19795</v>
      </c>
      <c r="D3064" s="2" t="s">
        <v>15716</v>
      </c>
      <c r="E3064" s="2" t="s">
        <v>13207</v>
      </c>
      <c r="F3064" s="2" t="s">
        <v>318</v>
      </c>
      <c r="G3064" s="2" t="s">
        <v>19796</v>
      </c>
      <c r="H3064" s="3" t="s">
        <v>31</v>
      </c>
      <c r="I3064" s="3">
        <v>1.0</v>
      </c>
      <c r="J3064" s="3">
        <v>1.0</v>
      </c>
      <c r="K3064" s="3" t="s">
        <v>31</v>
      </c>
      <c r="L3064" s="4" t="s">
        <v>15718</v>
      </c>
      <c r="M3064" s="2" t="s">
        <v>19797</v>
      </c>
      <c r="N3064" s="2" t="s">
        <v>3753</v>
      </c>
      <c r="O3064" s="4" t="s">
        <v>3754</v>
      </c>
      <c r="P3064" s="2" t="s">
        <v>15720</v>
      </c>
      <c r="Q3064" s="2" t="s">
        <v>15721</v>
      </c>
      <c r="R3064" s="2" t="s">
        <v>31</v>
      </c>
      <c r="S3064" s="4" t="s">
        <v>15722</v>
      </c>
      <c r="T3064" s="2" t="s">
        <v>3339</v>
      </c>
      <c r="U3064" s="4" t="s">
        <v>15723</v>
      </c>
      <c r="V3064" s="2" t="s">
        <v>15594</v>
      </c>
      <c r="W3064" s="2" t="s">
        <v>13207</v>
      </c>
      <c r="X3064" s="5" t="str">
        <f>HYPERLINK("https://my.pitchbook.com?p=436425-94P","View People Online")</f>
        <v>View People Online</v>
      </c>
    </row>
    <row r="3065">
      <c r="A3065" s="6" t="s">
        <v>19798</v>
      </c>
      <c r="B3065" s="6" t="s">
        <v>19799</v>
      </c>
      <c r="C3065" s="6" t="s">
        <v>19800</v>
      </c>
      <c r="D3065" s="6" t="s">
        <v>19801</v>
      </c>
      <c r="E3065" s="6" t="s">
        <v>13207</v>
      </c>
      <c r="F3065" s="6" t="s">
        <v>13307</v>
      </c>
      <c r="G3065" s="6" t="s">
        <v>19802</v>
      </c>
      <c r="H3065" s="7" t="s">
        <v>31</v>
      </c>
      <c r="I3065" s="7">
        <v>1.0</v>
      </c>
      <c r="J3065" s="7">
        <v>1.0</v>
      </c>
      <c r="K3065" s="7" t="s">
        <v>31</v>
      </c>
      <c r="L3065" s="8" t="s">
        <v>13274</v>
      </c>
      <c r="M3065" s="6" t="s">
        <v>19803</v>
      </c>
      <c r="N3065" s="6" t="s">
        <v>1181</v>
      </c>
      <c r="O3065" s="8" t="s">
        <v>1182</v>
      </c>
      <c r="P3065" s="6" t="s">
        <v>13276</v>
      </c>
      <c r="Q3065" s="6" t="s">
        <v>31</v>
      </c>
      <c r="R3065" s="6" t="s">
        <v>1185</v>
      </c>
      <c r="S3065" s="8" t="s">
        <v>4438</v>
      </c>
      <c r="T3065" s="6" t="s">
        <v>66</v>
      </c>
      <c r="U3065" s="8" t="s">
        <v>13277</v>
      </c>
      <c r="V3065" s="6" t="s">
        <v>13317</v>
      </c>
      <c r="W3065" s="6" t="s">
        <v>13207</v>
      </c>
      <c r="X3065" s="9" t="str">
        <f>HYPERLINK("https://my.pitchbook.com?p=455590-09P","View People Online")</f>
        <v>View People Online</v>
      </c>
    </row>
    <row r="3066">
      <c r="A3066" s="2" t="s">
        <v>19804</v>
      </c>
      <c r="B3066" s="2" t="s">
        <v>19805</v>
      </c>
      <c r="C3066" s="2" t="s">
        <v>19806</v>
      </c>
      <c r="D3066" s="2" t="s">
        <v>16687</v>
      </c>
      <c r="E3066" s="2" t="s">
        <v>13207</v>
      </c>
      <c r="F3066" s="2" t="s">
        <v>13218</v>
      </c>
      <c r="G3066" s="2" t="s">
        <v>19807</v>
      </c>
      <c r="H3066" s="3" t="s">
        <v>31</v>
      </c>
      <c r="I3066" s="3">
        <v>1.0</v>
      </c>
      <c r="J3066" s="3">
        <v>1.0</v>
      </c>
      <c r="K3066" s="3" t="s">
        <v>31</v>
      </c>
      <c r="L3066" s="4" t="s">
        <v>13953</v>
      </c>
      <c r="M3066" s="2" t="s">
        <v>19808</v>
      </c>
      <c r="N3066" s="2" t="s">
        <v>1170</v>
      </c>
      <c r="O3066" s="4" t="s">
        <v>1171</v>
      </c>
      <c r="P3066" s="2" t="s">
        <v>13955</v>
      </c>
      <c r="Q3066" s="2" t="s">
        <v>13956</v>
      </c>
      <c r="R3066" s="2" t="s">
        <v>64</v>
      </c>
      <c r="S3066" s="4" t="s">
        <v>13957</v>
      </c>
      <c r="T3066" s="2" t="s">
        <v>66</v>
      </c>
      <c r="U3066" s="4" t="s">
        <v>13958</v>
      </c>
      <c r="V3066" s="2" t="s">
        <v>19809</v>
      </c>
      <c r="W3066" s="2" t="s">
        <v>13207</v>
      </c>
      <c r="X3066" s="5" t="str">
        <f>HYPERLINK("https://my.pitchbook.com?p=204636-16P","View People Online")</f>
        <v>View People Online</v>
      </c>
    </row>
    <row r="3067">
      <c r="A3067" s="6" t="s">
        <v>19810</v>
      </c>
      <c r="B3067" s="6" t="s">
        <v>19811</v>
      </c>
      <c r="C3067" s="6" t="s">
        <v>126</v>
      </c>
      <c r="D3067" s="6" t="s">
        <v>19812</v>
      </c>
      <c r="E3067" s="6" t="s">
        <v>13207</v>
      </c>
      <c r="F3067" s="6" t="s">
        <v>13240</v>
      </c>
      <c r="G3067" s="6" t="s">
        <v>19813</v>
      </c>
      <c r="H3067" s="7" t="s">
        <v>31</v>
      </c>
      <c r="I3067" s="7">
        <v>1.0</v>
      </c>
      <c r="J3067" s="7">
        <v>1.0</v>
      </c>
      <c r="K3067" s="7" t="s">
        <v>31</v>
      </c>
      <c r="L3067" s="8" t="s">
        <v>13459</v>
      </c>
      <c r="M3067" s="6" t="s">
        <v>19814</v>
      </c>
      <c r="N3067" s="6" t="s">
        <v>3100</v>
      </c>
      <c r="O3067" s="8" t="s">
        <v>3101</v>
      </c>
      <c r="P3067" s="6" t="s">
        <v>13461</v>
      </c>
      <c r="Q3067" s="6" t="s">
        <v>31</v>
      </c>
      <c r="R3067" s="6" t="s">
        <v>31</v>
      </c>
      <c r="S3067" s="8" t="s">
        <v>3103</v>
      </c>
      <c r="T3067" s="6" t="s">
        <v>3104</v>
      </c>
      <c r="U3067" s="8" t="s">
        <v>13462</v>
      </c>
      <c r="V3067" s="6" t="s">
        <v>13247</v>
      </c>
      <c r="W3067" s="6" t="s">
        <v>13207</v>
      </c>
      <c r="X3067" s="9" t="str">
        <f>HYPERLINK("https://my.pitchbook.com?p=455425-48P","View People Online")</f>
        <v>View People Online</v>
      </c>
    </row>
    <row r="3068">
      <c r="A3068" s="10" t="s">
        <v>19815</v>
      </c>
      <c r="B3068" s="10" t="s">
        <v>19816</v>
      </c>
      <c r="C3068" s="10" t="s">
        <v>126</v>
      </c>
      <c r="D3068" s="10" t="s">
        <v>19817</v>
      </c>
      <c r="E3068" s="10" t="s">
        <v>13207</v>
      </c>
      <c r="F3068" s="10" t="s">
        <v>3523</v>
      </c>
      <c r="G3068" s="10" t="s">
        <v>19818</v>
      </c>
      <c r="H3068" s="11" t="s">
        <v>31</v>
      </c>
      <c r="I3068" s="11">
        <v>1.0</v>
      </c>
      <c r="J3068" s="11">
        <v>1.0</v>
      </c>
      <c r="K3068" s="11" t="s">
        <v>31</v>
      </c>
      <c r="L3068" s="12" t="s">
        <v>13673</v>
      </c>
      <c r="M3068" s="10" t="s">
        <v>19819</v>
      </c>
      <c r="N3068" s="10" t="s">
        <v>6311</v>
      </c>
      <c r="O3068" s="12" t="s">
        <v>6312</v>
      </c>
      <c r="P3068" s="10" t="s">
        <v>13675</v>
      </c>
      <c r="Q3068" s="10" t="s">
        <v>31</v>
      </c>
      <c r="R3068" s="10" t="s">
        <v>31</v>
      </c>
      <c r="S3068" s="12" t="s">
        <v>13676</v>
      </c>
      <c r="T3068" s="10" t="s">
        <v>6315</v>
      </c>
      <c r="U3068" s="12" t="s">
        <v>13677</v>
      </c>
      <c r="V3068" s="10" t="s">
        <v>3523</v>
      </c>
      <c r="W3068" s="10" t="s">
        <v>13207</v>
      </c>
      <c r="X3068" s="13" t="str">
        <f>HYPERLINK("https://my.pitchbook.com?p=435600-19P","View People Online")</f>
        <v>View People Online</v>
      </c>
    </row>
    <row r="3069">
      <c r="A3069" s="14" t="s">
        <v>19820</v>
      </c>
      <c r="B3069" s="14" t="s">
        <v>19821</v>
      </c>
      <c r="C3069" s="14" t="s">
        <v>126</v>
      </c>
      <c r="D3069" s="14" t="s">
        <v>19822</v>
      </c>
      <c r="E3069" s="14" t="s">
        <v>13207</v>
      </c>
      <c r="F3069" s="14" t="s">
        <v>13218</v>
      </c>
      <c r="G3069" s="14" t="s">
        <v>19823</v>
      </c>
      <c r="H3069" s="15" t="s">
        <v>31</v>
      </c>
      <c r="I3069" s="15">
        <v>1.0</v>
      </c>
      <c r="J3069" s="15">
        <v>1.0</v>
      </c>
      <c r="K3069" s="15" t="s">
        <v>31</v>
      </c>
      <c r="L3069" s="16" t="s">
        <v>13412</v>
      </c>
      <c r="M3069" s="14" t="s">
        <v>19824</v>
      </c>
      <c r="N3069" s="14" t="s">
        <v>13414</v>
      </c>
      <c r="O3069" s="16" t="s">
        <v>13415</v>
      </c>
      <c r="P3069" s="14" t="s">
        <v>13416</v>
      </c>
      <c r="Q3069" s="14" t="s">
        <v>31</v>
      </c>
      <c r="R3069" s="14" t="s">
        <v>209</v>
      </c>
      <c r="S3069" s="16" t="s">
        <v>13417</v>
      </c>
      <c r="T3069" s="14" t="s">
        <v>66</v>
      </c>
      <c r="U3069" s="16" t="s">
        <v>13418</v>
      </c>
      <c r="V3069" s="14" t="s">
        <v>13218</v>
      </c>
      <c r="W3069" s="14" t="s">
        <v>13207</v>
      </c>
      <c r="X3069" s="17" t="str">
        <f>HYPERLINK("https://my.pitchbook.com?p=436373-92P","View People Online")</f>
        <v>View People Online</v>
      </c>
    </row>
    <row r="3070">
      <c r="A3070" s="2" t="s">
        <v>19825</v>
      </c>
      <c r="B3070" s="2" t="s">
        <v>19826</v>
      </c>
      <c r="C3070" s="2" t="s">
        <v>126</v>
      </c>
      <c r="D3070" s="2" t="s">
        <v>19827</v>
      </c>
      <c r="E3070" s="2" t="s">
        <v>13207</v>
      </c>
      <c r="F3070" s="2" t="s">
        <v>3523</v>
      </c>
      <c r="G3070" s="2" t="s">
        <v>19828</v>
      </c>
      <c r="H3070" s="3" t="s">
        <v>31</v>
      </c>
      <c r="I3070" s="3">
        <v>1.0</v>
      </c>
      <c r="J3070" s="3">
        <v>1.0</v>
      </c>
      <c r="K3070" s="3" t="s">
        <v>31</v>
      </c>
      <c r="L3070" s="4" t="s">
        <v>15473</v>
      </c>
      <c r="M3070" s="2" t="s">
        <v>19829</v>
      </c>
      <c r="N3070" s="2" t="s">
        <v>15475</v>
      </c>
      <c r="O3070" s="4" t="s">
        <v>15476</v>
      </c>
      <c r="P3070" s="2" t="s">
        <v>15477</v>
      </c>
      <c r="Q3070" s="2" t="s">
        <v>31</v>
      </c>
      <c r="R3070" s="2" t="s">
        <v>31</v>
      </c>
      <c r="S3070" s="4" t="s">
        <v>15478</v>
      </c>
      <c r="T3070" s="2" t="s">
        <v>3104</v>
      </c>
      <c r="U3070" s="4" t="s">
        <v>15479</v>
      </c>
      <c r="V3070" s="2" t="s">
        <v>3523</v>
      </c>
      <c r="W3070" s="2" t="s">
        <v>13207</v>
      </c>
      <c r="X3070" s="5" t="str">
        <f>HYPERLINK("https://my.pitchbook.com?p=435509-74P","View People Online")</f>
        <v>View People Online</v>
      </c>
    </row>
    <row r="3071">
      <c r="A3071" s="14" t="s">
        <v>19830</v>
      </c>
      <c r="B3071" s="14" t="s">
        <v>19831</v>
      </c>
      <c r="C3071" s="14" t="s">
        <v>126</v>
      </c>
      <c r="D3071" s="14" t="s">
        <v>19832</v>
      </c>
      <c r="E3071" s="14" t="s">
        <v>13207</v>
      </c>
      <c r="F3071" s="14" t="s">
        <v>13218</v>
      </c>
      <c r="G3071" s="14" t="s">
        <v>19833</v>
      </c>
      <c r="H3071" s="15" t="s">
        <v>31</v>
      </c>
      <c r="I3071" s="15">
        <v>1.0</v>
      </c>
      <c r="J3071" s="15">
        <v>1.0</v>
      </c>
      <c r="K3071" s="15" t="s">
        <v>31</v>
      </c>
      <c r="L3071" s="16" t="s">
        <v>13632</v>
      </c>
      <c r="M3071" s="14" t="s">
        <v>19834</v>
      </c>
      <c r="N3071" s="14" t="s">
        <v>7690</v>
      </c>
      <c r="O3071" s="16" t="s">
        <v>7691</v>
      </c>
      <c r="P3071" s="14" t="s">
        <v>13634</v>
      </c>
      <c r="Q3071" s="14" t="s">
        <v>13635</v>
      </c>
      <c r="R3071" s="14" t="s">
        <v>7693</v>
      </c>
      <c r="S3071" s="16" t="s">
        <v>13636</v>
      </c>
      <c r="T3071" s="14" t="s">
        <v>66</v>
      </c>
      <c r="U3071" s="16" t="s">
        <v>13637</v>
      </c>
      <c r="V3071" s="14" t="s">
        <v>13218</v>
      </c>
      <c r="W3071" s="14" t="s">
        <v>13207</v>
      </c>
      <c r="X3071" s="17" t="str">
        <f>HYPERLINK("https://my.pitchbook.com?p=456747-31P","View People Online")</f>
        <v>View People Online</v>
      </c>
    </row>
    <row r="3072">
      <c r="A3072" s="2" t="s">
        <v>19835</v>
      </c>
      <c r="B3072" s="2" t="s">
        <v>19836</v>
      </c>
      <c r="C3072" s="2" t="s">
        <v>126</v>
      </c>
      <c r="D3072" s="2" t="s">
        <v>19837</v>
      </c>
      <c r="E3072" s="2" t="s">
        <v>13207</v>
      </c>
      <c r="F3072" s="2" t="s">
        <v>3523</v>
      </c>
      <c r="G3072" s="2" t="s">
        <v>19838</v>
      </c>
      <c r="H3072" s="3" t="s">
        <v>31</v>
      </c>
      <c r="I3072" s="3">
        <v>1.0</v>
      </c>
      <c r="J3072" s="3">
        <v>1.0</v>
      </c>
      <c r="K3072" s="3" t="s">
        <v>31</v>
      </c>
      <c r="L3072" s="4" t="s">
        <v>13953</v>
      </c>
      <c r="M3072" s="2" t="s">
        <v>19839</v>
      </c>
      <c r="N3072" s="2" t="s">
        <v>1170</v>
      </c>
      <c r="O3072" s="4" t="s">
        <v>1171</v>
      </c>
      <c r="P3072" s="2" t="s">
        <v>13955</v>
      </c>
      <c r="Q3072" s="2" t="s">
        <v>13956</v>
      </c>
      <c r="R3072" s="2" t="s">
        <v>64</v>
      </c>
      <c r="S3072" s="4" t="s">
        <v>13957</v>
      </c>
      <c r="T3072" s="2" t="s">
        <v>66</v>
      </c>
      <c r="U3072" s="4" t="s">
        <v>13958</v>
      </c>
      <c r="V3072" s="2" t="s">
        <v>19840</v>
      </c>
      <c r="W3072" s="2" t="s">
        <v>13207</v>
      </c>
      <c r="X3072" s="5" t="str">
        <f>HYPERLINK("https://my.pitchbook.com?p=455622-04P","View People Online")</f>
        <v>View People Online</v>
      </c>
    </row>
    <row r="3073">
      <c r="A3073" s="6" t="s">
        <v>19841</v>
      </c>
      <c r="B3073" s="6" t="s">
        <v>19842</v>
      </c>
      <c r="C3073" s="6" t="s">
        <v>126</v>
      </c>
      <c r="D3073" s="6" t="s">
        <v>19843</v>
      </c>
      <c r="E3073" s="6" t="s">
        <v>13207</v>
      </c>
      <c r="F3073" s="6" t="s">
        <v>1283</v>
      </c>
      <c r="G3073" s="6" t="s">
        <v>19844</v>
      </c>
      <c r="H3073" s="7" t="s">
        <v>31</v>
      </c>
      <c r="I3073" s="7">
        <v>1.0</v>
      </c>
      <c r="J3073" s="7">
        <v>1.0</v>
      </c>
      <c r="K3073" s="7" t="s">
        <v>31</v>
      </c>
      <c r="L3073" s="8" t="s">
        <v>13242</v>
      </c>
      <c r="M3073" s="6" t="s">
        <v>19845</v>
      </c>
      <c r="N3073" s="6" t="s">
        <v>9865</v>
      </c>
      <c r="O3073" s="8" t="s">
        <v>9866</v>
      </c>
      <c r="P3073" s="6" t="s">
        <v>13244</v>
      </c>
      <c r="Q3073" s="6" t="s">
        <v>31</v>
      </c>
      <c r="R3073" s="6" t="s">
        <v>31</v>
      </c>
      <c r="S3073" s="8" t="s">
        <v>13245</v>
      </c>
      <c r="T3073" s="6" t="s">
        <v>38</v>
      </c>
      <c r="U3073" s="8" t="s">
        <v>13246</v>
      </c>
      <c r="V3073" s="6" t="s">
        <v>13974</v>
      </c>
      <c r="W3073" s="6" t="s">
        <v>13207</v>
      </c>
      <c r="X3073" s="9" t="str">
        <f>HYPERLINK("https://my.pitchbook.com?p=456005-80P","View People Online")</f>
        <v>View People Online</v>
      </c>
    </row>
    <row r="3074">
      <c r="A3074" s="2" t="s">
        <v>19846</v>
      </c>
      <c r="B3074" s="2" t="s">
        <v>19847</v>
      </c>
      <c r="C3074" s="2" t="s">
        <v>126</v>
      </c>
      <c r="D3074" s="2" t="s">
        <v>9038</v>
      </c>
      <c r="E3074" s="2" t="s">
        <v>13207</v>
      </c>
      <c r="F3074" s="2" t="s">
        <v>3523</v>
      </c>
      <c r="G3074" s="2" t="s">
        <v>19848</v>
      </c>
      <c r="H3074" s="3" t="s">
        <v>31</v>
      </c>
      <c r="I3074" s="3">
        <v>1.0</v>
      </c>
      <c r="J3074" s="3">
        <v>1.0</v>
      </c>
      <c r="K3074" s="3" t="s">
        <v>31</v>
      </c>
      <c r="L3074" s="4" t="s">
        <v>14014</v>
      </c>
      <c r="M3074" s="2" t="s">
        <v>19849</v>
      </c>
      <c r="N3074" s="2" t="s">
        <v>14016</v>
      </c>
      <c r="O3074" s="4" t="s">
        <v>14017</v>
      </c>
      <c r="P3074" s="2" t="s">
        <v>14018</v>
      </c>
      <c r="Q3074" s="2" t="s">
        <v>14019</v>
      </c>
      <c r="R3074" s="2" t="s">
        <v>31</v>
      </c>
      <c r="S3074" s="4" t="s">
        <v>14020</v>
      </c>
      <c r="T3074" s="2" t="s">
        <v>38</v>
      </c>
      <c r="U3074" s="4" t="s">
        <v>14014</v>
      </c>
      <c r="V3074" s="2" t="s">
        <v>3523</v>
      </c>
      <c r="W3074" s="2" t="s">
        <v>13207</v>
      </c>
      <c r="X3074" s="5" t="str">
        <f>HYPERLINK("https://my.pitchbook.com?p=435413-44P","View People Online")</f>
        <v>View People Online</v>
      </c>
    </row>
    <row r="3075">
      <c r="A3075" s="6" t="s">
        <v>19850</v>
      </c>
      <c r="B3075" s="6" t="s">
        <v>19851</v>
      </c>
      <c r="C3075" s="6" t="s">
        <v>126</v>
      </c>
      <c r="D3075" s="6" t="s">
        <v>11337</v>
      </c>
      <c r="E3075" s="6" t="s">
        <v>13207</v>
      </c>
      <c r="F3075" s="6" t="s">
        <v>3523</v>
      </c>
      <c r="G3075" s="6" t="s">
        <v>19852</v>
      </c>
      <c r="H3075" s="7" t="s">
        <v>31</v>
      </c>
      <c r="I3075" s="7">
        <v>1.0</v>
      </c>
      <c r="J3075" s="7">
        <v>1.0</v>
      </c>
      <c r="K3075" s="7" t="s">
        <v>31</v>
      </c>
      <c r="L3075" s="8" t="s">
        <v>13953</v>
      </c>
      <c r="M3075" s="6" t="s">
        <v>19853</v>
      </c>
      <c r="N3075" s="6" t="s">
        <v>1170</v>
      </c>
      <c r="O3075" s="8" t="s">
        <v>1171</v>
      </c>
      <c r="P3075" s="6" t="s">
        <v>13955</v>
      </c>
      <c r="Q3075" s="6" t="s">
        <v>13956</v>
      </c>
      <c r="R3075" s="6" t="s">
        <v>64</v>
      </c>
      <c r="S3075" s="8" t="s">
        <v>13957</v>
      </c>
      <c r="T3075" s="6" t="s">
        <v>66</v>
      </c>
      <c r="U3075" s="8" t="s">
        <v>13958</v>
      </c>
      <c r="V3075" s="6" t="s">
        <v>3523</v>
      </c>
      <c r="W3075" s="6" t="s">
        <v>13207</v>
      </c>
      <c r="X3075" s="9" t="str">
        <f>HYPERLINK("https://my.pitchbook.com?p=435861-91P","View People Online")</f>
        <v>View People Online</v>
      </c>
    </row>
    <row r="3076">
      <c r="A3076" s="10" t="s">
        <v>19854</v>
      </c>
      <c r="B3076" s="10" t="s">
        <v>19855</v>
      </c>
      <c r="C3076" s="10" t="s">
        <v>126</v>
      </c>
      <c r="D3076" s="10" t="s">
        <v>19856</v>
      </c>
      <c r="E3076" s="10" t="s">
        <v>13207</v>
      </c>
      <c r="F3076" s="10" t="s">
        <v>13218</v>
      </c>
      <c r="G3076" s="10" t="s">
        <v>19857</v>
      </c>
      <c r="H3076" s="11" t="s">
        <v>31</v>
      </c>
      <c r="I3076" s="11">
        <v>1.0</v>
      </c>
      <c r="J3076" s="11">
        <v>1.0</v>
      </c>
      <c r="K3076" s="11" t="s">
        <v>31</v>
      </c>
      <c r="L3076" s="12" t="s">
        <v>13242</v>
      </c>
      <c r="M3076" s="10" t="s">
        <v>19858</v>
      </c>
      <c r="N3076" s="10" t="s">
        <v>9865</v>
      </c>
      <c r="O3076" s="12" t="s">
        <v>9866</v>
      </c>
      <c r="P3076" s="10" t="s">
        <v>13244</v>
      </c>
      <c r="Q3076" s="10" t="s">
        <v>31</v>
      </c>
      <c r="R3076" s="10" t="s">
        <v>31</v>
      </c>
      <c r="S3076" s="12" t="s">
        <v>13245</v>
      </c>
      <c r="T3076" s="10" t="s">
        <v>38</v>
      </c>
      <c r="U3076" s="12" t="s">
        <v>13246</v>
      </c>
      <c r="V3076" s="10" t="s">
        <v>13218</v>
      </c>
      <c r="W3076" s="10" t="s">
        <v>13207</v>
      </c>
      <c r="X3076" s="13" t="str">
        <f>HYPERLINK("https://my.pitchbook.com?p=456759-10P","View People Online")</f>
        <v>View People Online</v>
      </c>
    </row>
    <row r="3077">
      <c r="A3077" s="14" t="s">
        <v>19859</v>
      </c>
      <c r="B3077" s="14" t="s">
        <v>19860</v>
      </c>
      <c r="C3077" s="14" t="s">
        <v>126</v>
      </c>
      <c r="D3077" s="14" t="s">
        <v>19861</v>
      </c>
      <c r="E3077" s="14" t="s">
        <v>13207</v>
      </c>
      <c r="F3077" s="14" t="s">
        <v>3523</v>
      </c>
      <c r="G3077" s="14" t="s">
        <v>19862</v>
      </c>
      <c r="H3077" s="15" t="s">
        <v>31</v>
      </c>
      <c r="I3077" s="15">
        <v>1.0</v>
      </c>
      <c r="J3077" s="15">
        <v>1.0</v>
      </c>
      <c r="K3077" s="15" t="s">
        <v>31</v>
      </c>
      <c r="L3077" s="16" t="s">
        <v>13953</v>
      </c>
      <c r="M3077" s="14" t="s">
        <v>19863</v>
      </c>
      <c r="N3077" s="14" t="s">
        <v>1170</v>
      </c>
      <c r="O3077" s="16" t="s">
        <v>1171</v>
      </c>
      <c r="P3077" s="14" t="s">
        <v>13955</v>
      </c>
      <c r="Q3077" s="14" t="s">
        <v>13956</v>
      </c>
      <c r="R3077" s="14" t="s">
        <v>64</v>
      </c>
      <c r="S3077" s="16" t="s">
        <v>13957</v>
      </c>
      <c r="T3077" s="14" t="s">
        <v>66</v>
      </c>
      <c r="U3077" s="16" t="s">
        <v>13958</v>
      </c>
      <c r="V3077" s="14" t="s">
        <v>3523</v>
      </c>
      <c r="W3077" s="14" t="s">
        <v>13207</v>
      </c>
      <c r="X3077" s="17" t="str">
        <f>HYPERLINK("https://my.pitchbook.com?p=436357-00P","View People Online")</f>
        <v>View People Online</v>
      </c>
    </row>
    <row r="3078">
      <c r="A3078" s="10" t="s">
        <v>19864</v>
      </c>
      <c r="B3078" s="10" t="s">
        <v>19865</v>
      </c>
      <c r="C3078" s="10" t="s">
        <v>126</v>
      </c>
      <c r="D3078" s="10" t="s">
        <v>19866</v>
      </c>
      <c r="E3078" s="10" t="s">
        <v>13207</v>
      </c>
      <c r="F3078" s="10" t="s">
        <v>3523</v>
      </c>
      <c r="G3078" s="10" t="s">
        <v>19867</v>
      </c>
      <c r="H3078" s="11" t="s">
        <v>31</v>
      </c>
      <c r="I3078" s="11">
        <v>1.0</v>
      </c>
      <c r="J3078" s="11">
        <v>1.0</v>
      </c>
      <c r="K3078" s="11" t="s">
        <v>31</v>
      </c>
      <c r="L3078" s="12" t="s">
        <v>13459</v>
      </c>
      <c r="M3078" s="10" t="s">
        <v>19868</v>
      </c>
      <c r="N3078" s="10" t="s">
        <v>3100</v>
      </c>
      <c r="O3078" s="12" t="s">
        <v>3101</v>
      </c>
      <c r="P3078" s="10" t="s">
        <v>13461</v>
      </c>
      <c r="Q3078" s="10" t="s">
        <v>31</v>
      </c>
      <c r="R3078" s="10" t="s">
        <v>31</v>
      </c>
      <c r="S3078" s="12" t="s">
        <v>3103</v>
      </c>
      <c r="T3078" s="10" t="s">
        <v>3104</v>
      </c>
      <c r="U3078" s="12" t="s">
        <v>13462</v>
      </c>
      <c r="V3078" s="10" t="s">
        <v>3523</v>
      </c>
      <c r="W3078" s="10" t="s">
        <v>13207</v>
      </c>
      <c r="X3078" s="13" t="str">
        <f>HYPERLINK("https://my.pitchbook.com?p=455630-14P","View People Online")</f>
        <v>View People Online</v>
      </c>
    </row>
    <row r="3079">
      <c r="A3079" s="14" t="s">
        <v>19869</v>
      </c>
      <c r="B3079" s="14" t="s">
        <v>19870</v>
      </c>
      <c r="C3079" s="14" t="s">
        <v>126</v>
      </c>
      <c r="D3079" s="14" t="s">
        <v>19871</v>
      </c>
      <c r="E3079" s="14" t="s">
        <v>13207</v>
      </c>
      <c r="F3079" s="14" t="s">
        <v>13307</v>
      </c>
      <c r="G3079" s="14" t="s">
        <v>19872</v>
      </c>
      <c r="H3079" s="15" t="s">
        <v>31</v>
      </c>
      <c r="I3079" s="15">
        <v>1.0</v>
      </c>
      <c r="J3079" s="15">
        <v>1.0</v>
      </c>
      <c r="K3079" s="15" t="s">
        <v>31</v>
      </c>
      <c r="L3079" s="16" t="s">
        <v>13242</v>
      </c>
      <c r="M3079" s="14" t="s">
        <v>19873</v>
      </c>
      <c r="N3079" s="14" t="s">
        <v>9865</v>
      </c>
      <c r="O3079" s="16" t="s">
        <v>9866</v>
      </c>
      <c r="P3079" s="14" t="s">
        <v>13244</v>
      </c>
      <c r="Q3079" s="14" t="s">
        <v>31</v>
      </c>
      <c r="R3079" s="14" t="s">
        <v>31</v>
      </c>
      <c r="S3079" s="16" t="s">
        <v>13245</v>
      </c>
      <c r="T3079" s="14" t="s">
        <v>38</v>
      </c>
      <c r="U3079" s="16" t="s">
        <v>13246</v>
      </c>
      <c r="V3079" s="14" t="s">
        <v>13317</v>
      </c>
      <c r="W3079" s="14" t="s">
        <v>13207</v>
      </c>
      <c r="X3079" s="17" t="str">
        <f>HYPERLINK("https://my.pitchbook.com?p=456835-24P","View People Online")</f>
        <v>View People Online</v>
      </c>
    </row>
    <row r="3080">
      <c r="A3080" s="2" t="s">
        <v>19874</v>
      </c>
      <c r="B3080" s="2" t="s">
        <v>19875</v>
      </c>
      <c r="C3080" s="2" t="s">
        <v>126</v>
      </c>
      <c r="D3080" s="2" t="s">
        <v>19876</v>
      </c>
      <c r="E3080" s="2" t="s">
        <v>13207</v>
      </c>
      <c r="F3080" s="2" t="s">
        <v>13240</v>
      </c>
      <c r="G3080" s="2" t="s">
        <v>19877</v>
      </c>
      <c r="H3080" s="3" t="s">
        <v>31</v>
      </c>
      <c r="I3080" s="3">
        <v>1.0</v>
      </c>
      <c r="J3080" s="3">
        <v>1.0</v>
      </c>
      <c r="K3080" s="3" t="s">
        <v>31</v>
      </c>
      <c r="L3080" s="4" t="s">
        <v>14092</v>
      </c>
      <c r="M3080" s="2" t="s">
        <v>19878</v>
      </c>
      <c r="N3080" s="2" t="s">
        <v>10742</v>
      </c>
      <c r="O3080" s="4" t="s">
        <v>10743</v>
      </c>
      <c r="P3080" s="2" t="s">
        <v>14094</v>
      </c>
      <c r="Q3080" s="2" t="s">
        <v>14095</v>
      </c>
      <c r="R3080" s="2" t="s">
        <v>10745</v>
      </c>
      <c r="S3080" s="4" t="s">
        <v>14096</v>
      </c>
      <c r="T3080" s="2" t="s">
        <v>1019</v>
      </c>
      <c r="U3080" s="4" t="s">
        <v>14097</v>
      </c>
      <c r="V3080" s="2" t="s">
        <v>19879</v>
      </c>
      <c r="W3080" s="2" t="s">
        <v>13207</v>
      </c>
      <c r="X3080" s="5" t="str">
        <f>HYPERLINK("https://my.pitchbook.com?p=182120-50P","View People Online")</f>
        <v>View People Online</v>
      </c>
    </row>
    <row r="3081">
      <c r="A3081" s="6" t="s">
        <v>19880</v>
      </c>
      <c r="B3081" s="6" t="s">
        <v>19881</v>
      </c>
      <c r="C3081" s="6" t="s">
        <v>126</v>
      </c>
      <c r="D3081" s="6" t="s">
        <v>19882</v>
      </c>
      <c r="E3081" s="6" t="s">
        <v>13207</v>
      </c>
      <c r="F3081" s="6" t="s">
        <v>13218</v>
      </c>
      <c r="G3081" s="6" t="s">
        <v>19883</v>
      </c>
      <c r="H3081" s="7" t="s">
        <v>31</v>
      </c>
      <c r="I3081" s="7">
        <v>1.0</v>
      </c>
      <c r="J3081" s="7">
        <v>1.0</v>
      </c>
      <c r="K3081" s="7" t="s">
        <v>31</v>
      </c>
      <c r="L3081" s="8" t="s">
        <v>13242</v>
      </c>
      <c r="M3081" s="6" t="s">
        <v>19884</v>
      </c>
      <c r="N3081" s="6" t="s">
        <v>9865</v>
      </c>
      <c r="O3081" s="8" t="s">
        <v>9866</v>
      </c>
      <c r="P3081" s="6" t="s">
        <v>13244</v>
      </c>
      <c r="Q3081" s="6" t="s">
        <v>31</v>
      </c>
      <c r="R3081" s="6" t="s">
        <v>31</v>
      </c>
      <c r="S3081" s="8" t="s">
        <v>13245</v>
      </c>
      <c r="T3081" s="6" t="s">
        <v>38</v>
      </c>
      <c r="U3081" s="8" t="s">
        <v>13246</v>
      </c>
      <c r="V3081" s="6" t="s">
        <v>13218</v>
      </c>
      <c r="W3081" s="6" t="s">
        <v>13207</v>
      </c>
      <c r="X3081" s="9" t="str">
        <f>HYPERLINK("https://my.pitchbook.com?p=456865-30P","View People Online")</f>
        <v>View People Online</v>
      </c>
    </row>
    <row r="3082">
      <c r="A3082" s="10" t="s">
        <v>19885</v>
      </c>
      <c r="B3082" s="10" t="s">
        <v>19886</v>
      </c>
      <c r="C3082" s="10" t="s">
        <v>126</v>
      </c>
      <c r="D3082" s="10" t="s">
        <v>19887</v>
      </c>
      <c r="E3082" s="10" t="s">
        <v>13207</v>
      </c>
      <c r="F3082" s="10" t="s">
        <v>13240</v>
      </c>
      <c r="G3082" s="10" t="s">
        <v>19888</v>
      </c>
      <c r="H3082" s="11" t="s">
        <v>31</v>
      </c>
      <c r="I3082" s="11">
        <v>1.0</v>
      </c>
      <c r="J3082" s="11">
        <v>1.0</v>
      </c>
      <c r="K3082" s="11" t="s">
        <v>31</v>
      </c>
      <c r="L3082" s="12" t="s">
        <v>13412</v>
      </c>
      <c r="M3082" s="10" t="s">
        <v>19889</v>
      </c>
      <c r="N3082" s="10" t="s">
        <v>13414</v>
      </c>
      <c r="O3082" s="12" t="s">
        <v>13415</v>
      </c>
      <c r="P3082" s="10" t="s">
        <v>13416</v>
      </c>
      <c r="Q3082" s="10" t="s">
        <v>31</v>
      </c>
      <c r="R3082" s="10" t="s">
        <v>209</v>
      </c>
      <c r="S3082" s="12" t="s">
        <v>13417</v>
      </c>
      <c r="T3082" s="10" t="s">
        <v>66</v>
      </c>
      <c r="U3082" s="12" t="s">
        <v>13418</v>
      </c>
      <c r="V3082" s="10" t="s">
        <v>13247</v>
      </c>
      <c r="W3082" s="10" t="s">
        <v>13207</v>
      </c>
      <c r="X3082" s="13" t="str">
        <f>HYPERLINK("https://my.pitchbook.com?p=435442-51P","View People Online")</f>
        <v>View People Online</v>
      </c>
    </row>
    <row r="3083">
      <c r="A3083" s="6" t="s">
        <v>19890</v>
      </c>
      <c r="B3083" s="6" t="s">
        <v>19891</v>
      </c>
      <c r="C3083" s="6" t="s">
        <v>126</v>
      </c>
      <c r="D3083" s="6" t="s">
        <v>19892</v>
      </c>
      <c r="E3083" s="6" t="s">
        <v>13207</v>
      </c>
      <c r="F3083" s="6" t="s">
        <v>3523</v>
      </c>
      <c r="G3083" s="6" t="s">
        <v>19893</v>
      </c>
      <c r="H3083" s="7" t="s">
        <v>31</v>
      </c>
      <c r="I3083" s="7">
        <v>1.0</v>
      </c>
      <c r="J3083" s="7">
        <v>1.0</v>
      </c>
      <c r="K3083" s="7" t="s">
        <v>31</v>
      </c>
      <c r="L3083" s="8" t="s">
        <v>15050</v>
      </c>
      <c r="M3083" s="6" t="s">
        <v>19894</v>
      </c>
      <c r="N3083" s="6" t="s">
        <v>15052</v>
      </c>
      <c r="O3083" s="8" t="s">
        <v>15053</v>
      </c>
      <c r="P3083" s="6" t="s">
        <v>15054</v>
      </c>
      <c r="Q3083" s="6" t="s">
        <v>15055</v>
      </c>
      <c r="R3083" s="6" t="s">
        <v>31</v>
      </c>
      <c r="S3083" s="8" t="s">
        <v>15056</v>
      </c>
      <c r="T3083" s="6" t="s">
        <v>38</v>
      </c>
      <c r="U3083" s="8" t="s">
        <v>15057</v>
      </c>
      <c r="V3083" s="6" t="s">
        <v>3523</v>
      </c>
      <c r="W3083" s="6" t="s">
        <v>13207</v>
      </c>
      <c r="X3083" s="9" t="str">
        <f>HYPERLINK("https://my.pitchbook.com?p=435174-13P","View People Online")</f>
        <v>View People Online</v>
      </c>
    </row>
    <row r="3084">
      <c r="A3084" s="2" t="s">
        <v>19895</v>
      </c>
      <c r="B3084" s="2" t="s">
        <v>19896</v>
      </c>
      <c r="C3084" s="2" t="s">
        <v>126</v>
      </c>
      <c r="D3084" s="2" t="s">
        <v>19897</v>
      </c>
      <c r="E3084" s="2" t="s">
        <v>13207</v>
      </c>
      <c r="F3084" s="2" t="s">
        <v>3523</v>
      </c>
      <c r="G3084" s="2" t="s">
        <v>19898</v>
      </c>
      <c r="H3084" s="3" t="s">
        <v>31</v>
      </c>
      <c r="I3084" s="3">
        <v>1.0</v>
      </c>
      <c r="J3084" s="3">
        <v>1.0</v>
      </c>
      <c r="K3084" s="3" t="s">
        <v>31</v>
      </c>
      <c r="L3084" s="4" t="s">
        <v>13220</v>
      </c>
      <c r="M3084" s="2" t="s">
        <v>19899</v>
      </c>
      <c r="N3084" s="2" t="s">
        <v>2478</v>
      </c>
      <c r="O3084" s="4" t="s">
        <v>7332</v>
      </c>
      <c r="P3084" s="2" t="s">
        <v>13222</v>
      </c>
      <c r="Q3084" s="2" t="s">
        <v>13223</v>
      </c>
      <c r="R3084" s="2" t="s">
        <v>7335</v>
      </c>
      <c r="S3084" s="4" t="s">
        <v>7336</v>
      </c>
      <c r="T3084" s="2" t="s">
        <v>5484</v>
      </c>
      <c r="U3084" s="4" t="s">
        <v>13224</v>
      </c>
      <c r="V3084" s="2" t="s">
        <v>3523</v>
      </c>
      <c r="W3084" s="2" t="s">
        <v>13207</v>
      </c>
      <c r="X3084" s="5" t="str">
        <f>HYPERLINK("https://my.pitchbook.com?p=435451-06P","View People Online")</f>
        <v>View People Online</v>
      </c>
    </row>
    <row r="3085">
      <c r="A3085" s="6" t="s">
        <v>19900</v>
      </c>
      <c r="B3085" s="6" t="s">
        <v>19901</v>
      </c>
      <c r="C3085" s="6" t="s">
        <v>126</v>
      </c>
      <c r="D3085" s="6" t="s">
        <v>19902</v>
      </c>
      <c r="E3085" s="6" t="s">
        <v>13207</v>
      </c>
      <c r="F3085" s="6" t="s">
        <v>3523</v>
      </c>
      <c r="G3085" s="6" t="s">
        <v>19903</v>
      </c>
      <c r="H3085" s="7" t="s">
        <v>31</v>
      </c>
      <c r="I3085" s="7">
        <v>1.0</v>
      </c>
      <c r="J3085" s="7">
        <v>1.0</v>
      </c>
      <c r="K3085" s="7" t="s">
        <v>31</v>
      </c>
      <c r="L3085" s="8" t="s">
        <v>13459</v>
      </c>
      <c r="M3085" s="6" t="s">
        <v>19904</v>
      </c>
      <c r="N3085" s="6" t="s">
        <v>3100</v>
      </c>
      <c r="O3085" s="8" t="s">
        <v>3101</v>
      </c>
      <c r="P3085" s="6" t="s">
        <v>13461</v>
      </c>
      <c r="Q3085" s="6" t="s">
        <v>31</v>
      </c>
      <c r="R3085" s="6" t="s">
        <v>31</v>
      </c>
      <c r="S3085" s="8" t="s">
        <v>3103</v>
      </c>
      <c r="T3085" s="6" t="s">
        <v>3104</v>
      </c>
      <c r="U3085" s="8" t="s">
        <v>13462</v>
      </c>
      <c r="V3085" s="6" t="s">
        <v>3523</v>
      </c>
      <c r="W3085" s="6" t="s">
        <v>13207</v>
      </c>
      <c r="X3085" s="9" t="str">
        <f>HYPERLINK("https://my.pitchbook.com?p=435363-40P","View People Online")</f>
        <v>View People Online</v>
      </c>
    </row>
    <row r="3086">
      <c r="A3086" s="10" t="s">
        <v>19905</v>
      </c>
      <c r="B3086" s="10" t="s">
        <v>19906</v>
      </c>
      <c r="C3086" s="10" t="s">
        <v>126</v>
      </c>
      <c r="D3086" s="10" t="s">
        <v>19907</v>
      </c>
      <c r="E3086" s="10" t="s">
        <v>13207</v>
      </c>
      <c r="F3086" s="10" t="s">
        <v>3523</v>
      </c>
      <c r="G3086" s="10" t="s">
        <v>19908</v>
      </c>
      <c r="H3086" s="11" t="s">
        <v>31</v>
      </c>
      <c r="I3086" s="11">
        <v>1.0</v>
      </c>
      <c r="J3086" s="11">
        <v>1.0</v>
      </c>
      <c r="K3086" s="11" t="s">
        <v>31</v>
      </c>
      <c r="L3086" s="12" t="s">
        <v>14201</v>
      </c>
      <c r="M3086" s="10" t="s">
        <v>19909</v>
      </c>
      <c r="N3086" s="10" t="s">
        <v>14203</v>
      </c>
      <c r="O3086" s="12" t="s">
        <v>14204</v>
      </c>
      <c r="P3086" s="10" t="s">
        <v>14205</v>
      </c>
      <c r="Q3086" s="10" t="s">
        <v>14206</v>
      </c>
      <c r="R3086" s="10" t="s">
        <v>1420</v>
      </c>
      <c r="S3086" s="12" t="s">
        <v>14207</v>
      </c>
      <c r="T3086" s="10" t="s">
        <v>66</v>
      </c>
      <c r="U3086" s="12" t="s">
        <v>14208</v>
      </c>
      <c r="V3086" s="10" t="s">
        <v>3523</v>
      </c>
      <c r="W3086" s="10" t="s">
        <v>13207</v>
      </c>
      <c r="X3086" s="13" t="str">
        <f>HYPERLINK("https://my.pitchbook.com?p=456044-50P","View People Online")</f>
        <v>View People Online</v>
      </c>
    </row>
    <row r="3087">
      <c r="A3087" s="6" t="s">
        <v>19910</v>
      </c>
      <c r="B3087" s="6" t="s">
        <v>19911</v>
      </c>
      <c r="C3087" s="6" t="s">
        <v>126</v>
      </c>
      <c r="D3087" s="6" t="s">
        <v>19912</v>
      </c>
      <c r="E3087" s="6" t="s">
        <v>13207</v>
      </c>
      <c r="F3087" s="6" t="s">
        <v>3523</v>
      </c>
      <c r="G3087" s="6" t="s">
        <v>19913</v>
      </c>
      <c r="H3087" s="7" t="s">
        <v>31</v>
      </c>
      <c r="I3087" s="7">
        <v>1.0</v>
      </c>
      <c r="J3087" s="7">
        <v>1.0</v>
      </c>
      <c r="K3087" s="7" t="s">
        <v>31</v>
      </c>
      <c r="L3087" s="8" t="s">
        <v>13252</v>
      </c>
      <c r="M3087" s="6" t="s">
        <v>19914</v>
      </c>
      <c r="N3087" s="6" t="s">
        <v>13254</v>
      </c>
      <c r="O3087" s="8" t="s">
        <v>13255</v>
      </c>
      <c r="P3087" s="6" t="s">
        <v>13256</v>
      </c>
      <c r="Q3087" s="6" t="s">
        <v>31</v>
      </c>
      <c r="R3087" s="6" t="s">
        <v>31</v>
      </c>
      <c r="S3087" s="8" t="s">
        <v>13257</v>
      </c>
      <c r="T3087" s="6" t="s">
        <v>13258</v>
      </c>
      <c r="U3087" s="8" t="s">
        <v>13259</v>
      </c>
      <c r="V3087" s="6" t="s">
        <v>3523</v>
      </c>
      <c r="W3087" s="6" t="s">
        <v>13207</v>
      </c>
      <c r="X3087" s="9" t="str">
        <f>HYPERLINK("https://my.pitchbook.com?p=435355-48P","View People Online")</f>
        <v>View People Online</v>
      </c>
    </row>
    <row r="3088">
      <c r="A3088" s="10" t="s">
        <v>19915</v>
      </c>
      <c r="B3088" s="10" t="s">
        <v>19916</v>
      </c>
      <c r="C3088" s="10" t="s">
        <v>126</v>
      </c>
      <c r="D3088" s="10" t="s">
        <v>3671</v>
      </c>
      <c r="E3088" s="10" t="s">
        <v>13207</v>
      </c>
      <c r="F3088" s="10" t="s">
        <v>3523</v>
      </c>
      <c r="G3088" s="10" t="s">
        <v>19917</v>
      </c>
      <c r="H3088" s="11" t="s">
        <v>31</v>
      </c>
      <c r="I3088" s="11">
        <v>1.0</v>
      </c>
      <c r="J3088" s="11">
        <v>1.0</v>
      </c>
      <c r="K3088" s="11" t="s">
        <v>31</v>
      </c>
      <c r="L3088" s="12" t="s">
        <v>13916</v>
      </c>
      <c r="M3088" s="10" t="s">
        <v>19918</v>
      </c>
      <c r="N3088" s="10" t="s">
        <v>155</v>
      </c>
      <c r="O3088" s="12" t="s">
        <v>156</v>
      </c>
      <c r="P3088" s="10" t="s">
        <v>13918</v>
      </c>
      <c r="Q3088" s="10" t="s">
        <v>13919</v>
      </c>
      <c r="R3088" s="10" t="s">
        <v>64</v>
      </c>
      <c r="S3088" s="12" t="s">
        <v>1549</v>
      </c>
      <c r="T3088" s="10" t="s">
        <v>66</v>
      </c>
      <c r="U3088" s="12" t="s">
        <v>13920</v>
      </c>
      <c r="V3088" s="10" t="s">
        <v>3523</v>
      </c>
      <c r="W3088" s="10" t="s">
        <v>13207</v>
      </c>
      <c r="X3088" s="13" t="str">
        <f>HYPERLINK("https://my.pitchbook.com?p=434996-65P","View People Online")</f>
        <v>View People Online</v>
      </c>
    </row>
    <row r="3089">
      <c r="A3089" s="6" t="s">
        <v>19919</v>
      </c>
      <c r="B3089" s="6" t="s">
        <v>19920</v>
      </c>
      <c r="C3089" s="6" t="s">
        <v>19921</v>
      </c>
      <c r="D3089" s="6" t="s">
        <v>19922</v>
      </c>
      <c r="E3089" s="6" t="s">
        <v>13207</v>
      </c>
      <c r="F3089" s="6" t="s">
        <v>3523</v>
      </c>
      <c r="G3089" s="6" t="s">
        <v>19923</v>
      </c>
      <c r="H3089" s="7" t="s">
        <v>31</v>
      </c>
      <c r="I3089" s="7">
        <v>1.0</v>
      </c>
      <c r="J3089" s="7">
        <v>1.0</v>
      </c>
      <c r="K3089" s="7" t="s">
        <v>31</v>
      </c>
      <c r="L3089" s="8" t="s">
        <v>13423</v>
      </c>
      <c r="M3089" s="6" t="s">
        <v>19924</v>
      </c>
      <c r="N3089" s="6" t="s">
        <v>243</v>
      </c>
      <c r="O3089" s="8" t="s">
        <v>244</v>
      </c>
      <c r="P3089" s="6" t="s">
        <v>13425</v>
      </c>
      <c r="Q3089" s="6" t="s">
        <v>31</v>
      </c>
      <c r="R3089" s="6" t="s">
        <v>247</v>
      </c>
      <c r="S3089" s="8" t="s">
        <v>13426</v>
      </c>
      <c r="T3089" s="6" t="s">
        <v>249</v>
      </c>
      <c r="U3089" s="8" t="s">
        <v>31</v>
      </c>
      <c r="V3089" s="6" t="s">
        <v>3523</v>
      </c>
      <c r="W3089" s="6" t="s">
        <v>13207</v>
      </c>
      <c r="X3089" s="9" t="str">
        <f>HYPERLINK("https://my.pitchbook.com?p=152378-11P","View People Online")</f>
        <v>View People Online</v>
      </c>
    </row>
    <row r="3090">
      <c r="A3090" s="2" t="s">
        <v>19925</v>
      </c>
      <c r="B3090" s="2" t="s">
        <v>19926</v>
      </c>
      <c r="C3090" s="2" t="s">
        <v>10613</v>
      </c>
      <c r="D3090" s="2" t="s">
        <v>19927</v>
      </c>
      <c r="E3090" s="2" t="s">
        <v>13207</v>
      </c>
      <c r="F3090" s="2" t="s">
        <v>3523</v>
      </c>
      <c r="G3090" s="2" t="s">
        <v>19928</v>
      </c>
      <c r="H3090" s="3" t="s">
        <v>31</v>
      </c>
      <c r="I3090" s="3">
        <v>1.0</v>
      </c>
      <c r="J3090" s="3">
        <v>1.0</v>
      </c>
      <c r="K3090" s="3" t="s">
        <v>31</v>
      </c>
      <c r="L3090" s="4" t="s">
        <v>13459</v>
      </c>
      <c r="M3090" s="2" t="s">
        <v>19929</v>
      </c>
      <c r="N3090" s="2" t="s">
        <v>3100</v>
      </c>
      <c r="O3090" s="4" t="s">
        <v>3101</v>
      </c>
      <c r="P3090" s="2" t="s">
        <v>13461</v>
      </c>
      <c r="Q3090" s="2" t="s">
        <v>31</v>
      </c>
      <c r="R3090" s="2" t="s">
        <v>31</v>
      </c>
      <c r="S3090" s="4" t="s">
        <v>3103</v>
      </c>
      <c r="T3090" s="2" t="s">
        <v>3104</v>
      </c>
      <c r="U3090" s="4" t="s">
        <v>13462</v>
      </c>
      <c r="V3090" s="2" t="s">
        <v>3523</v>
      </c>
      <c r="W3090" s="2" t="s">
        <v>13207</v>
      </c>
      <c r="X3090" s="5" t="str">
        <f>HYPERLINK("https://my.pitchbook.com?p=435124-63P","View People Online")</f>
        <v>View People Online</v>
      </c>
    </row>
    <row r="3091">
      <c r="A3091" s="14" t="s">
        <v>19930</v>
      </c>
      <c r="B3091" s="14" t="s">
        <v>19931</v>
      </c>
      <c r="C3091" s="14" t="s">
        <v>4033</v>
      </c>
      <c r="D3091" s="14" t="s">
        <v>5240</v>
      </c>
      <c r="E3091" s="14" t="s">
        <v>13207</v>
      </c>
      <c r="F3091" s="14" t="s">
        <v>13218</v>
      </c>
      <c r="G3091" s="14" t="s">
        <v>19932</v>
      </c>
      <c r="H3091" s="15" t="s">
        <v>31</v>
      </c>
      <c r="I3091" s="15">
        <v>1.0</v>
      </c>
      <c r="J3091" s="15">
        <v>1.0</v>
      </c>
      <c r="K3091" s="15" t="s">
        <v>31</v>
      </c>
      <c r="L3091" s="16" t="s">
        <v>13209</v>
      </c>
      <c r="M3091" s="14" t="s">
        <v>19933</v>
      </c>
      <c r="N3091" s="14" t="s">
        <v>4232</v>
      </c>
      <c r="O3091" s="16" t="s">
        <v>4233</v>
      </c>
      <c r="P3091" s="14" t="s">
        <v>13211</v>
      </c>
      <c r="Q3091" s="14" t="s">
        <v>31</v>
      </c>
      <c r="R3091" s="14" t="s">
        <v>4236</v>
      </c>
      <c r="S3091" s="16" t="s">
        <v>13212</v>
      </c>
      <c r="T3091" s="14" t="s">
        <v>66</v>
      </c>
      <c r="U3091" s="16" t="s">
        <v>13213</v>
      </c>
      <c r="V3091" s="14" t="s">
        <v>13218</v>
      </c>
      <c r="W3091" s="14" t="s">
        <v>13207</v>
      </c>
      <c r="X3091" s="17" t="str">
        <f>HYPERLINK("https://my.pitchbook.com?p=435435-85P","View People Online")</f>
        <v>View People Online</v>
      </c>
    </row>
    <row r="3092">
      <c r="A3092" s="10" t="s">
        <v>19934</v>
      </c>
      <c r="B3092" s="10" t="s">
        <v>19935</v>
      </c>
      <c r="C3092" s="10" t="s">
        <v>19936</v>
      </c>
      <c r="D3092" s="10" t="s">
        <v>19937</v>
      </c>
      <c r="E3092" s="10" t="s">
        <v>13207</v>
      </c>
      <c r="F3092" s="10" t="s">
        <v>2731</v>
      </c>
      <c r="G3092" s="10" t="s">
        <v>19938</v>
      </c>
      <c r="H3092" s="11" t="s">
        <v>31</v>
      </c>
      <c r="I3092" s="11">
        <v>1.0</v>
      </c>
      <c r="J3092" s="11">
        <v>1.0</v>
      </c>
      <c r="K3092" s="11" t="s">
        <v>31</v>
      </c>
      <c r="L3092" s="12" t="s">
        <v>13916</v>
      </c>
      <c r="M3092" s="10" t="s">
        <v>19939</v>
      </c>
      <c r="N3092" s="10" t="s">
        <v>155</v>
      </c>
      <c r="O3092" s="12" t="s">
        <v>156</v>
      </c>
      <c r="P3092" s="10" t="s">
        <v>13918</v>
      </c>
      <c r="Q3092" s="10" t="s">
        <v>13919</v>
      </c>
      <c r="R3092" s="10" t="s">
        <v>64</v>
      </c>
      <c r="S3092" s="12" t="s">
        <v>1549</v>
      </c>
      <c r="T3092" s="10" t="s">
        <v>66</v>
      </c>
      <c r="U3092" s="12" t="s">
        <v>13920</v>
      </c>
      <c r="V3092" s="10" t="s">
        <v>2731</v>
      </c>
      <c r="W3092" s="10" t="s">
        <v>13207</v>
      </c>
      <c r="X3092" s="13" t="str">
        <f>HYPERLINK("https://my.pitchbook.com?p=125410-51P","View People Online")</f>
        <v>View People Online</v>
      </c>
    </row>
    <row r="3093">
      <c r="A3093" s="14" t="s">
        <v>19940</v>
      </c>
      <c r="B3093" s="14" t="s">
        <v>19941</v>
      </c>
      <c r="C3093" s="14" t="s">
        <v>19942</v>
      </c>
      <c r="D3093" s="14" t="s">
        <v>19943</v>
      </c>
      <c r="E3093" s="14" t="s">
        <v>13207</v>
      </c>
      <c r="F3093" s="14" t="s">
        <v>13307</v>
      </c>
      <c r="G3093" s="14" t="s">
        <v>19944</v>
      </c>
      <c r="H3093" s="15" t="s">
        <v>31</v>
      </c>
      <c r="I3093" s="15">
        <v>1.0</v>
      </c>
      <c r="J3093" s="15">
        <v>1.0</v>
      </c>
      <c r="K3093" s="15" t="s">
        <v>31</v>
      </c>
      <c r="L3093" s="16" t="s">
        <v>14331</v>
      </c>
      <c r="M3093" s="14" t="s">
        <v>19945</v>
      </c>
      <c r="N3093" s="14" t="s">
        <v>14333</v>
      </c>
      <c r="O3093" s="16" t="s">
        <v>14334</v>
      </c>
      <c r="P3093" s="14" t="s">
        <v>14335</v>
      </c>
      <c r="Q3093" s="14" t="s">
        <v>14336</v>
      </c>
      <c r="R3093" s="14" t="s">
        <v>31</v>
      </c>
      <c r="S3093" s="16" t="s">
        <v>14337</v>
      </c>
      <c r="T3093" s="14" t="s">
        <v>14338</v>
      </c>
      <c r="U3093" s="16" t="s">
        <v>31</v>
      </c>
      <c r="V3093" s="14" t="s">
        <v>19946</v>
      </c>
      <c r="W3093" s="14" t="s">
        <v>13207</v>
      </c>
      <c r="X3093" s="17" t="str">
        <f>HYPERLINK("https://my.pitchbook.com?p=455747-14P","View People Online")</f>
        <v>View People Online</v>
      </c>
    </row>
    <row r="3094">
      <c r="A3094" s="10" t="s">
        <v>19947</v>
      </c>
      <c r="B3094" s="10" t="s">
        <v>19948</v>
      </c>
      <c r="C3094" s="10" t="s">
        <v>19949</v>
      </c>
      <c r="D3094" s="10" t="s">
        <v>19950</v>
      </c>
      <c r="E3094" s="10" t="s">
        <v>13207</v>
      </c>
      <c r="F3094" s="10" t="s">
        <v>3523</v>
      </c>
      <c r="G3094" s="10" t="s">
        <v>19951</v>
      </c>
      <c r="H3094" s="11" t="s">
        <v>31</v>
      </c>
      <c r="I3094" s="11">
        <v>1.0</v>
      </c>
      <c r="J3094" s="11">
        <v>1.0</v>
      </c>
      <c r="K3094" s="11" t="s">
        <v>31</v>
      </c>
      <c r="L3094" s="12" t="s">
        <v>15504</v>
      </c>
      <c r="M3094" s="10" t="s">
        <v>19952</v>
      </c>
      <c r="N3094" s="10" t="s">
        <v>15506</v>
      </c>
      <c r="O3094" s="12" t="s">
        <v>15507</v>
      </c>
      <c r="P3094" s="10" t="s">
        <v>15508</v>
      </c>
      <c r="Q3094" s="10" t="s">
        <v>15509</v>
      </c>
      <c r="R3094" s="10" t="s">
        <v>31</v>
      </c>
      <c r="S3094" s="12" t="s">
        <v>15510</v>
      </c>
      <c r="T3094" s="10" t="s">
        <v>1010</v>
      </c>
      <c r="U3094" s="12" t="s">
        <v>15511</v>
      </c>
      <c r="V3094" s="10" t="s">
        <v>3523</v>
      </c>
      <c r="W3094" s="10" t="s">
        <v>13207</v>
      </c>
      <c r="X3094" s="13" t="str">
        <f>HYPERLINK("https://my.pitchbook.com?p=436180-96P","View People Online")</f>
        <v>View People Online</v>
      </c>
    </row>
    <row r="3095">
      <c r="A3095" s="14" t="s">
        <v>19953</v>
      </c>
      <c r="B3095" s="14" t="s">
        <v>19954</v>
      </c>
      <c r="C3095" s="14" t="s">
        <v>3202</v>
      </c>
      <c r="D3095" s="14" t="s">
        <v>19955</v>
      </c>
      <c r="E3095" s="14" t="s">
        <v>13207</v>
      </c>
      <c r="F3095" s="14" t="s">
        <v>13218</v>
      </c>
      <c r="G3095" s="14" t="s">
        <v>19956</v>
      </c>
      <c r="H3095" s="15" t="s">
        <v>31</v>
      </c>
      <c r="I3095" s="15">
        <v>1.0</v>
      </c>
      <c r="J3095" s="15">
        <v>1.0</v>
      </c>
      <c r="K3095" s="15" t="s">
        <v>31</v>
      </c>
      <c r="L3095" s="16" t="s">
        <v>13220</v>
      </c>
      <c r="M3095" s="14" t="s">
        <v>19957</v>
      </c>
      <c r="N3095" s="14" t="s">
        <v>2478</v>
      </c>
      <c r="O3095" s="16" t="s">
        <v>7332</v>
      </c>
      <c r="P3095" s="14" t="s">
        <v>13222</v>
      </c>
      <c r="Q3095" s="14" t="s">
        <v>13223</v>
      </c>
      <c r="R3095" s="14" t="s">
        <v>7335</v>
      </c>
      <c r="S3095" s="16" t="s">
        <v>7336</v>
      </c>
      <c r="T3095" s="14" t="s">
        <v>5484</v>
      </c>
      <c r="U3095" s="16" t="s">
        <v>13224</v>
      </c>
      <c r="V3095" s="14" t="s">
        <v>13218</v>
      </c>
      <c r="W3095" s="14" t="s">
        <v>13207</v>
      </c>
      <c r="X3095" s="17" t="str">
        <f>HYPERLINK("https://my.pitchbook.com?p=435505-24P","View People Online")</f>
        <v>View People Online</v>
      </c>
    </row>
    <row r="3096">
      <c r="A3096" s="10" t="s">
        <v>19958</v>
      </c>
      <c r="B3096" s="10" t="s">
        <v>19959</v>
      </c>
      <c r="C3096" s="10" t="s">
        <v>19960</v>
      </c>
      <c r="D3096" s="10" t="s">
        <v>19961</v>
      </c>
      <c r="E3096" s="10" t="s">
        <v>13207</v>
      </c>
      <c r="F3096" s="10" t="s">
        <v>3523</v>
      </c>
      <c r="G3096" s="10" t="s">
        <v>19962</v>
      </c>
      <c r="H3096" s="11" t="s">
        <v>31</v>
      </c>
      <c r="I3096" s="11">
        <v>1.0</v>
      </c>
      <c r="J3096" s="11">
        <v>1.0</v>
      </c>
      <c r="K3096" s="11" t="s">
        <v>31</v>
      </c>
      <c r="L3096" s="12" t="s">
        <v>13263</v>
      </c>
      <c r="M3096" s="10" t="s">
        <v>19963</v>
      </c>
      <c r="N3096" s="10" t="s">
        <v>1005</v>
      </c>
      <c r="O3096" s="12" t="s">
        <v>1006</v>
      </c>
      <c r="P3096" s="10" t="s">
        <v>13265</v>
      </c>
      <c r="Q3096" s="10" t="s">
        <v>13266</v>
      </c>
      <c r="R3096" s="10" t="s">
        <v>13267</v>
      </c>
      <c r="S3096" s="12" t="s">
        <v>13268</v>
      </c>
      <c r="T3096" s="10" t="s">
        <v>1010</v>
      </c>
      <c r="U3096" s="12" t="s">
        <v>13269</v>
      </c>
      <c r="V3096" s="10" t="s">
        <v>3523</v>
      </c>
      <c r="W3096" s="10" t="s">
        <v>13207</v>
      </c>
      <c r="X3096" s="13" t="str">
        <f>HYPERLINK("https://my.pitchbook.com?p=435945-43P","View People Online")</f>
        <v>View People Online</v>
      </c>
    </row>
    <row r="3097">
      <c r="A3097" s="14" t="s">
        <v>19964</v>
      </c>
      <c r="B3097" s="14" t="s">
        <v>19965</v>
      </c>
      <c r="C3097" s="14" t="s">
        <v>19966</v>
      </c>
      <c r="D3097" s="14" t="s">
        <v>19967</v>
      </c>
      <c r="E3097" s="14" t="s">
        <v>13207</v>
      </c>
      <c r="F3097" s="14" t="s">
        <v>3523</v>
      </c>
      <c r="G3097" s="14" t="s">
        <v>19968</v>
      </c>
      <c r="H3097" s="15" t="s">
        <v>31</v>
      </c>
      <c r="I3097" s="15">
        <v>1.0</v>
      </c>
      <c r="J3097" s="15">
        <v>1.0</v>
      </c>
      <c r="K3097" s="15" t="s">
        <v>31</v>
      </c>
      <c r="L3097" s="16" t="s">
        <v>13378</v>
      </c>
      <c r="M3097" s="14" t="s">
        <v>19969</v>
      </c>
      <c r="N3097" s="14" t="s">
        <v>429</v>
      </c>
      <c r="O3097" s="16" t="s">
        <v>430</v>
      </c>
      <c r="P3097" s="14" t="s">
        <v>13380</v>
      </c>
      <c r="Q3097" s="14" t="s">
        <v>31</v>
      </c>
      <c r="R3097" s="14" t="s">
        <v>31</v>
      </c>
      <c r="S3097" s="16" t="s">
        <v>13381</v>
      </c>
      <c r="T3097" s="14" t="s">
        <v>433</v>
      </c>
      <c r="U3097" s="16" t="s">
        <v>13382</v>
      </c>
      <c r="V3097" s="14" t="s">
        <v>3523</v>
      </c>
      <c r="W3097" s="14" t="s">
        <v>13207</v>
      </c>
      <c r="X3097" s="17" t="str">
        <f>HYPERLINK("https://my.pitchbook.com?p=435978-19P","View People Online")</f>
        <v>View People Online</v>
      </c>
    </row>
    <row r="3098">
      <c r="A3098" s="10" t="s">
        <v>19970</v>
      </c>
      <c r="B3098" s="10" t="s">
        <v>19971</v>
      </c>
      <c r="C3098" s="10" t="s">
        <v>19966</v>
      </c>
      <c r="D3098" s="10" t="s">
        <v>19972</v>
      </c>
      <c r="E3098" s="10" t="s">
        <v>13207</v>
      </c>
      <c r="F3098" s="10" t="s">
        <v>3523</v>
      </c>
      <c r="G3098" s="10" t="s">
        <v>19973</v>
      </c>
      <c r="H3098" s="11" t="s">
        <v>31</v>
      </c>
      <c r="I3098" s="11">
        <v>1.0</v>
      </c>
      <c r="J3098" s="11">
        <v>1.0</v>
      </c>
      <c r="K3098" s="11" t="s">
        <v>31</v>
      </c>
      <c r="L3098" s="12" t="s">
        <v>13345</v>
      </c>
      <c r="M3098" s="10" t="s">
        <v>19974</v>
      </c>
      <c r="N3098" s="10" t="s">
        <v>2764</v>
      </c>
      <c r="O3098" s="12" t="s">
        <v>2765</v>
      </c>
      <c r="P3098" s="10" t="s">
        <v>13347</v>
      </c>
      <c r="Q3098" s="10" t="s">
        <v>31</v>
      </c>
      <c r="R3098" s="10" t="s">
        <v>31</v>
      </c>
      <c r="S3098" s="12" t="s">
        <v>13348</v>
      </c>
      <c r="T3098" s="10" t="s">
        <v>2768</v>
      </c>
      <c r="U3098" s="12" t="s">
        <v>13349</v>
      </c>
      <c r="V3098" s="10" t="s">
        <v>3523</v>
      </c>
      <c r="W3098" s="10" t="s">
        <v>13207</v>
      </c>
      <c r="X3098" s="13" t="str">
        <f>HYPERLINK("https://my.pitchbook.com?p=435448-00P","View People Online")</f>
        <v>View People Online</v>
      </c>
    </row>
    <row r="3099">
      <c r="A3099" s="6" t="s">
        <v>19975</v>
      </c>
      <c r="B3099" s="6" t="s">
        <v>19976</v>
      </c>
      <c r="C3099" s="6" t="s">
        <v>1807</v>
      </c>
      <c r="D3099" s="6" t="s">
        <v>19977</v>
      </c>
      <c r="E3099" s="6" t="s">
        <v>13207</v>
      </c>
      <c r="F3099" s="6" t="s">
        <v>13218</v>
      </c>
      <c r="G3099" s="6" t="s">
        <v>19978</v>
      </c>
      <c r="H3099" s="7" t="s">
        <v>31</v>
      </c>
      <c r="I3099" s="7">
        <v>1.0</v>
      </c>
      <c r="J3099" s="7">
        <v>1.0</v>
      </c>
      <c r="K3099" s="7" t="s">
        <v>31</v>
      </c>
      <c r="L3099" s="8" t="s">
        <v>14201</v>
      </c>
      <c r="M3099" s="6" t="s">
        <v>19979</v>
      </c>
      <c r="N3099" s="6" t="s">
        <v>14203</v>
      </c>
      <c r="O3099" s="8" t="s">
        <v>14204</v>
      </c>
      <c r="P3099" s="6" t="s">
        <v>14205</v>
      </c>
      <c r="Q3099" s="6" t="s">
        <v>14206</v>
      </c>
      <c r="R3099" s="6" t="s">
        <v>1420</v>
      </c>
      <c r="S3099" s="8" t="s">
        <v>14207</v>
      </c>
      <c r="T3099" s="6" t="s">
        <v>66</v>
      </c>
      <c r="U3099" s="8" t="s">
        <v>14208</v>
      </c>
      <c r="V3099" s="6" t="s">
        <v>13218</v>
      </c>
      <c r="W3099" s="6" t="s">
        <v>13207</v>
      </c>
      <c r="X3099" s="9" t="str">
        <f>HYPERLINK("https://my.pitchbook.com?p=455405-50P","View People Online")</f>
        <v>View People Online</v>
      </c>
    </row>
    <row r="3100">
      <c r="A3100" s="10" t="s">
        <v>19980</v>
      </c>
      <c r="B3100" s="10" t="s">
        <v>19981</v>
      </c>
      <c r="C3100" s="10" t="s">
        <v>1807</v>
      </c>
      <c r="D3100" s="10" t="s">
        <v>3651</v>
      </c>
      <c r="E3100" s="10" t="s">
        <v>13207</v>
      </c>
      <c r="F3100" s="10" t="s">
        <v>3523</v>
      </c>
      <c r="G3100" s="10" t="s">
        <v>19982</v>
      </c>
      <c r="H3100" s="11" t="s">
        <v>31</v>
      </c>
      <c r="I3100" s="11">
        <v>1.0</v>
      </c>
      <c r="J3100" s="11">
        <v>1.0</v>
      </c>
      <c r="K3100" s="11" t="s">
        <v>31</v>
      </c>
      <c r="L3100" s="12" t="s">
        <v>13274</v>
      </c>
      <c r="M3100" s="10" t="s">
        <v>19983</v>
      </c>
      <c r="N3100" s="10" t="s">
        <v>1181</v>
      </c>
      <c r="O3100" s="12" t="s">
        <v>1182</v>
      </c>
      <c r="P3100" s="10" t="s">
        <v>13276</v>
      </c>
      <c r="Q3100" s="10" t="s">
        <v>31</v>
      </c>
      <c r="R3100" s="10" t="s">
        <v>1185</v>
      </c>
      <c r="S3100" s="12" t="s">
        <v>4438</v>
      </c>
      <c r="T3100" s="10" t="s">
        <v>66</v>
      </c>
      <c r="U3100" s="12" t="s">
        <v>13277</v>
      </c>
      <c r="V3100" s="10" t="s">
        <v>3523</v>
      </c>
      <c r="W3100" s="10" t="s">
        <v>13207</v>
      </c>
      <c r="X3100" s="13" t="str">
        <f>HYPERLINK("https://my.pitchbook.com?p=435090-52P","View People Online")</f>
        <v>View People Online</v>
      </c>
    </row>
    <row r="3101">
      <c r="A3101" s="6" t="s">
        <v>19984</v>
      </c>
      <c r="B3101" s="6" t="s">
        <v>19985</v>
      </c>
      <c r="C3101" s="6" t="s">
        <v>1807</v>
      </c>
      <c r="D3101" s="6" t="s">
        <v>5386</v>
      </c>
      <c r="E3101" s="6" t="s">
        <v>13207</v>
      </c>
      <c r="F3101" s="6" t="s">
        <v>13218</v>
      </c>
      <c r="G3101" s="6" t="s">
        <v>19986</v>
      </c>
      <c r="H3101" s="7" t="s">
        <v>31</v>
      </c>
      <c r="I3101" s="7">
        <v>1.0</v>
      </c>
      <c r="J3101" s="7">
        <v>1.0</v>
      </c>
      <c r="K3101" s="7" t="s">
        <v>31</v>
      </c>
      <c r="L3101" s="8" t="s">
        <v>13505</v>
      </c>
      <c r="M3101" s="6" t="s">
        <v>19987</v>
      </c>
      <c r="N3101" s="6" t="s">
        <v>1416</v>
      </c>
      <c r="O3101" s="8" t="s">
        <v>1417</v>
      </c>
      <c r="P3101" s="6" t="s">
        <v>13507</v>
      </c>
      <c r="Q3101" s="6" t="s">
        <v>1457</v>
      </c>
      <c r="R3101" s="6" t="s">
        <v>1420</v>
      </c>
      <c r="S3101" s="8" t="s">
        <v>13508</v>
      </c>
      <c r="T3101" s="6" t="s">
        <v>66</v>
      </c>
      <c r="U3101" s="8" t="s">
        <v>13509</v>
      </c>
      <c r="V3101" s="6" t="s">
        <v>19988</v>
      </c>
      <c r="W3101" s="6" t="s">
        <v>13207</v>
      </c>
      <c r="X3101" s="9" t="str">
        <f>HYPERLINK("https://my.pitchbook.com?p=435715-30P","View People Online")</f>
        <v>View People Online</v>
      </c>
    </row>
    <row r="3102">
      <c r="A3102" s="10" t="s">
        <v>19989</v>
      </c>
      <c r="B3102" s="10" t="s">
        <v>19990</v>
      </c>
      <c r="C3102" s="10" t="s">
        <v>1807</v>
      </c>
      <c r="D3102" s="10" t="s">
        <v>19991</v>
      </c>
      <c r="E3102" s="10" t="s">
        <v>13207</v>
      </c>
      <c r="F3102" s="10" t="s">
        <v>3523</v>
      </c>
      <c r="G3102" s="10" t="s">
        <v>19992</v>
      </c>
      <c r="H3102" s="11" t="s">
        <v>31</v>
      </c>
      <c r="I3102" s="11">
        <v>1.0</v>
      </c>
      <c r="J3102" s="11">
        <v>1.0</v>
      </c>
      <c r="K3102" s="11" t="s">
        <v>31</v>
      </c>
      <c r="L3102" s="12" t="s">
        <v>13281</v>
      </c>
      <c r="M3102" s="10" t="s">
        <v>19993</v>
      </c>
      <c r="N3102" s="10" t="s">
        <v>1277</v>
      </c>
      <c r="O3102" s="12" t="s">
        <v>1278</v>
      </c>
      <c r="P3102" s="10" t="s">
        <v>13283</v>
      </c>
      <c r="Q3102" s="10" t="s">
        <v>13284</v>
      </c>
      <c r="R3102" s="10" t="s">
        <v>1281</v>
      </c>
      <c r="S3102" s="12" t="s">
        <v>1282</v>
      </c>
      <c r="T3102" s="10" t="s">
        <v>66</v>
      </c>
      <c r="U3102" s="12" t="s">
        <v>13285</v>
      </c>
      <c r="V3102" s="10" t="s">
        <v>3523</v>
      </c>
      <c r="W3102" s="10" t="s">
        <v>13207</v>
      </c>
      <c r="X3102" s="13" t="str">
        <f>HYPERLINK("https://my.pitchbook.com?p=436157-29P","View People Online")</f>
        <v>View People Online</v>
      </c>
    </row>
    <row r="3103">
      <c r="A3103" s="14" t="s">
        <v>19994</v>
      </c>
      <c r="B3103" s="14" t="s">
        <v>19995</v>
      </c>
      <c r="C3103" s="14" t="s">
        <v>1807</v>
      </c>
      <c r="D3103" s="14" t="s">
        <v>19996</v>
      </c>
      <c r="E3103" s="14" t="s">
        <v>13207</v>
      </c>
      <c r="F3103" s="14" t="s">
        <v>13307</v>
      </c>
      <c r="G3103" s="14" t="s">
        <v>19997</v>
      </c>
      <c r="H3103" s="15" t="s">
        <v>31</v>
      </c>
      <c r="I3103" s="15">
        <v>1.0</v>
      </c>
      <c r="J3103" s="15">
        <v>1.0</v>
      </c>
      <c r="K3103" s="15" t="s">
        <v>31</v>
      </c>
      <c r="L3103" s="16" t="s">
        <v>15357</v>
      </c>
      <c r="M3103" s="14" t="s">
        <v>19998</v>
      </c>
      <c r="N3103" s="14" t="s">
        <v>1454</v>
      </c>
      <c r="O3103" s="16" t="s">
        <v>1455</v>
      </c>
      <c r="P3103" s="14" t="s">
        <v>15359</v>
      </c>
      <c r="Q3103" s="14" t="s">
        <v>13635</v>
      </c>
      <c r="R3103" s="14" t="s">
        <v>93</v>
      </c>
      <c r="S3103" s="16" t="s">
        <v>1458</v>
      </c>
      <c r="T3103" s="14" t="s">
        <v>66</v>
      </c>
      <c r="U3103" s="16" t="s">
        <v>15360</v>
      </c>
      <c r="V3103" s="14" t="s">
        <v>14991</v>
      </c>
      <c r="W3103" s="14" t="s">
        <v>13207</v>
      </c>
      <c r="X3103" s="17" t="str">
        <f>HYPERLINK("https://my.pitchbook.com?p=436366-27P","View People Online")</f>
        <v>View People Online</v>
      </c>
    </row>
    <row r="3104">
      <c r="A3104" s="2" t="s">
        <v>19999</v>
      </c>
      <c r="B3104" s="2" t="s">
        <v>20000</v>
      </c>
      <c r="C3104" s="2" t="s">
        <v>1807</v>
      </c>
      <c r="D3104" s="2" t="s">
        <v>20001</v>
      </c>
      <c r="E3104" s="2" t="s">
        <v>13207</v>
      </c>
      <c r="F3104" s="2" t="s">
        <v>3523</v>
      </c>
      <c r="G3104" s="2" t="s">
        <v>20002</v>
      </c>
      <c r="H3104" s="3" t="s">
        <v>31</v>
      </c>
      <c r="I3104" s="3">
        <v>1.0</v>
      </c>
      <c r="J3104" s="3">
        <v>1.0</v>
      </c>
      <c r="K3104" s="3" t="s">
        <v>31</v>
      </c>
      <c r="L3104" s="4" t="s">
        <v>15671</v>
      </c>
      <c r="M3104" s="2" t="s">
        <v>20003</v>
      </c>
      <c r="N3104" s="2" t="s">
        <v>15673</v>
      </c>
      <c r="O3104" s="4" t="s">
        <v>15674</v>
      </c>
      <c r="P3104" s="2" t="s">
        <v>15675</v>
      </c>
      <c r="Q3104" s="2" t="s">
        <v>6654</v>
      </c>
      <c r="R3104" s="2" t="s">
        <v>15676</v>
      </c>
      <c r="S3104" s="4" t="s">
        <v>15677</v>
      </c>
      <c r="T3104" s="2" t="s">
        <v>66</v>
      </c>
      <c r="U3104" s="4" t="s">
        <v>15678</v>
      </c>
      <c r="V3104" s="2" t="s">
        <v>3523</v>
      </c>
      <c r="W3104" s="2" t="s">
        <v>13207</v>
      </c>
      <c r="X3104" s="5" t="str">
        <f>HYPERLINK("https://my.pitchbook.com?p=435207-61P","View People Online")</f>
        <v>View People Online</v>
      </c>
    </row>
    <row r="3105">
      <c r="A3105" s="14" t="s">
        <v>20004</v>
      </c>
      <c r="B3105" s="14" t="s">
        <v>20005</v>
      </c>
      <c r="C3105" s="14" t="s">
        <v>20006</v>
      </c>
      <c r="D3105" s="14" t="s">
        <v>20007</v>
      </c>
      <c r="E3105" s="14" t="s">
        <v>13207</v>
      </c>
      <c r="F3105" s="14" t="s">
        <v>3523</v>
      </c>
      <c r="G3105" s="14" t="s">
        <v>20008</v>
      </c>
      <c r="H3105" s="15" t="s">
        <v>31</v>
      </c>
      <c r="I3105" s="15">
        <v>1.0</v>
      </c>
      <c r="J3105" s="15">
        <v>1.0</v>
      </c>
      <c r="K3105" s="15" t="s">
        <v>31</v>
      </c>
      <c r="L3105" s="16" t="s">
        <v>13274</v>
      </c>
      <c r="M3105" s="14" t="s">
        <v>20009</v>
      </c>
      <c r="N3105" s="14" t="s">
        <v>1181</v>
      </c>
      <c r="O3105" s="16" t="s">
        <v>1182</v>
      </c>
      <c r="P3105" s="14" t="s">
        <v>13276</v>
      </c>
      <c r="Q3105" s="14" t="s">
        <v>31</v>
      </c>
      <c r="R3105" s="14" t="s">
        <v>1185</v>
      </c>
      <c r="S3105" s="16" t="s">
        <v>4438</v>
      </c>
      <c r="T3105" s="14" t="s">
        <v>66</v>
      </c>
      <c r="U3105" s="16" t="s">
        <v>13277</v>
      </c>
      <c r="V3105" s="14" t="s">
        <v>3523</v>
      </c>
      <c r="W3105" s="14" t="s">
        <v>13207</v>
      </c>
      <c r="X3105" s="17" t="str">
        <f>HYPERLINK("https://my.pitchbook.com?p=436173-04P","View People Online")</f>
        <v>View People Online</v>
      </c>
    </row>
    <row r="3106">
      <c r="A3106" s="10" t="s">
        <v>20010</v>
      </c>
      <c r="B3106" s="10" t="s">
        <v>20011</v>
      </c>
      <c r="C3106" s="10" t="s">
        <v>20012</v>
      </c>
      <c r="D3106" s="10" t="s">
        <v>20013</v>
      </c>
      <c r="E3106" s="10" t="s">
        <v>13207</v>
      </c>
      <c r="F3106" s="10" t="s">
        <v>3523</v>
      </c>
      <c r="G3106" s="10" t="s">
        <v>20014</v>
      </c>
      <c r="H3106" s="11" t="s">
        <v>31</v>
      </c>
      <c r="I3106" s="11">
        <v>1.0</v>
      </c>
      <c r="J3106" s="11">
        <v>1.0</v>
      </c>
      <c r="K3106" s="11" t="s">
        <v>31</v>
      </c>
      <c r="L3106" s="12" t="s">
        <v>14387</v>
      </c>
      <c r="M3106" s="10" t="s">
        <v>20015</v>
      </c>
      <c r="N3106" s="10" t="s">
        <v>14389</v>
      </c>
      <c r="O3106" s="12" t="s">
        <v>14390</v>
      </c>
      <c r="P3106" s="10" t="s">
        <v>14391</v>
      </c>
      <c r="Q3106" s="10" t="s">
        <v>2403</v>
      </c>
      <c r="R3106" s="10" t="s">
        <v>31</v>
      </c>
      <c r="S3106" s="12" t="s">
        <v>14392</v>
      </c>
      <c r="T3106" s="10" t="s">
        <v>14393</v>
      </c>
      <c r="U3106" s="12" t="s">
        <v>14394</v>
      </c>
      <c r="V3106" s="10" t="s">
        <v>3523</v>
      </c>
      <c r="W3106" s="10" t="s">
        <v>13207</v>
      </c>
      <c r="X3106" s="13" t="str">
        <f>HYPERLINK("https://my.pitchbook.com?p=455461-39P","View People Online")</f>
        <v>View People Online</v>
      </c>
    </row>
    <row r="3107">
      <c r="A3107" s="6" t="s">
        <v>20016</v>
      </c>
      <c r="B3107" s="6" t="s">
        <v>20017</v>
      </c>
      <c r="C3107" s="6" t="s">
        <v>418</v>
      </c>
      <c r="D3107" s="6" t="s">
        <v>20018</v>
      </c>
      <c r="E3107" s="6" t="s">
        <v>13207</v>
      </c>
      <c r="F3107" s="6" t="s">
        <v>13307</v>
      </c>
      <c r="G3107" s="6" t="s">
        <v>20019</v>
      </c>
      <c r="H3107" s="7" t="s">
        <v>31</v>
      </c>
      <c r="I3107" s="7">
        <v>1.0</v>
      </c>
      <c r="J3107" s="7">
        <v>1.0</v>
      </c>
      <c r="K3107" s="7" t="s">
        <v>31</v>
      </c>
      <c r="L3107" s="8" t="s">
        <v>13423</v>
      </c>
      <c r="M3107" s="6" t="s">
        <v>20020</v>
      </c>
      <c r="N3107" s="6" t="s">
        <v>243</v>
      </c>
      <c r="O3107" s="8" t="s">
        <v>244</v>
      </c>
      <c r="P3107" s="6" t="s">
        <v>13425</v>
      </c>
      <c r="Q3107" s="6" t="s">
        <v>31</v>
      </c>
      <c r="R3107" s="6" t="s">
        <v>247</v>
      </c>
      <c r="S3107" s="8" t="s">
        <v>13426</v>
      </c>
      <c r="T3107" s="6" t="s">
        <v>249</v>
      </c>
      <c r="U3107" s="8" t="s">
        <v>31</v>
      </c>
      <c r="V3107" s="6" t="s">
        <v>13317</v>
      </c>
      <c r="W3107" s="6" t="s">
        <v>13207</v>
      </c>
      <c r="X3107" s="9" t="str">
        <f>HYPERLINK("https://my.pitchbook.com?p=434898-37P","View People Online")</f>
        <v>View People Online</v>
      </c>
    </row>
    <row r="3108">
      <c r="A3108" s="10" t="s">
        <v>20021</v>
      </c>
      <c r="B3108" s="10" t="s">
        <v>20022</v>
      </c>
      <c r="C3108" s="10" t="s">
        <v>8787</v>
      </c>
      <c r="D3108" s="10" t="s">
        <v>20023</v>
      </c>
      <c r="E3108" s="10" t="s">
        <v>13207</v>
      </c>
      <c r="F3108" s="10" t="s">
        <v>13218</v>
      </c>
      <c r="G3108" s="10" t="s">
        <v>20024</v>
      </c>
      <c r="H3108" s="11" t="s">
        <v>31</v>
      </c>
      <c r="I3108" s="11">
        <v>1.0</v>
      </c>
      <c r="J3108" s="11">
        <v>1.0</v>
      </c>
      <c r="K3108" s="11" t="s">
        <v>31</v>
      </c>
      <c r="L3108" s="12" t="s">
        <v>13274</v>
      </c>
      <c r="M3108" s="10" t="s">
        <v>20025</v>
      </c>
      <c r="N3108" s="10" t="s">
        <v>1181</v>
      </c>
      <c r="O3108" s="12" t="s">
        <v>1182</v>
      </c>
      <c r="P3108" s="10" t="s">
        <v>13276</v>
      </c>
      <c r="Q3108" s="10" t="s">
        <v>31</v>
      </c>
      <c r="R3108" s="10" t="s">
        <v>1185</v>
      </c>
      <c r="S3108" s="12" t="s">
        <v>4438</v>
      </c>
      <c r="T3108" s="10" t="s">
        <v>66</v>
      </c>
      <c r="U3108" s="12" t="s">
        <v>13277</v>
      </c>
      <c r="V3108" s="10" t="s">
        <v>13218</v>
      </c>
      <c r="W3108" s="10" t="s">
        <v>13207</v>
      </c>
      <c r="X3108" s="13" t="str">
        <f>HYPERLINK("https://my.pitchbook.com?p=456697-90P","View People Online")</f>
        <v>View People Online</v>
      </c>
    </row>
    <row r="3109">
      <c r="A3109" s="6" t="s">
        <v>20026</v>
      </c>
      <c r="B3109" s="6" t="s">
        <v>20027</v>
      </c>
      <c r="C3109" s="6" t="s">
        <v>20028</v>
      </c>
      <c r="D3109" s="6" t="s">
        <v>20029</v>
      </c>
      <c r="E3109" s="6" t="s">
        <v>13207</v>
      </c>
      <c r="F3109" s="6" t="s">
        <v>3523</v>
      </c>
      <c r="G3109" s="6" t="s">
        <v>20030</v>
      </c>
      <c r="H3109" s="7" t="s">
        <v>31</v>
      </c>
      <c r="I3109" s="7">
        <v>1.0</v>
      </c>
      <c r="J3109" s="7">
        <v>1.0</v>
      </c>
      <c r="K3109" s="7" t="s">
        <v>31</v>
      </c>
      <c r="L3109" s="8" t="s">
        <v>13209</v>
      </c>
      <c r="M3109" s="6" t="s">
        <v>20031</v>
      </c>
      <c r="N3109" s="6" t="s">
        <v>4232</v>
      </c>
      <c r="O3109" s="8" t="s">
        <v>4233</v>
      </c>
      <c r="P3109" s="6" t="s">
        <v>13211</v>
      </c>
      <c r="Q3109" s="6" t="s">
        <v>31</v>
      </c>
      <c r="R3109" s="6" t="s">
        <v>4236</v>
      </c>
      <c r="S3109" s="8" t="s">
        <v>13212</v>
      </c>
      <c r="T3109" s="6" t="s">
        <v>66</v>
      </c>
      <c r="U3109" s="8" t="s">
        <v>13213</v>
      </c>
      <c r="V3109" s="6" t="s">
        <v>3523</v>
      </c>
      <c r="W3109" s="6" t="s">
        <v>13207</v>
      </c>
      <c r="X3109" s="9" t="str">
        <f>HYPERLINK("https://my.pitchbook.com?p=455716-18P","View People Online")</f>
        <v>View People Online</v>
      </c>
    </row>
    <row r="3110">
      <c r="A3110" s="2" t="s">
        <v>20032</v>
      </c>
      <c r="B3110" s="2" t="s">
        <v>20033</v>
      </c>
      <c r="C3110" s="2" t="s">
        <v>20028</v>
      </c>
      <c r="D3110" s="2" t="s">
        <v>20034</v>
      </c>
      <c r="E3110" s="2" t="s">
        <v>13207</v>
      </c>
      <c r="F3110" s="2" t="s">
        <v>13307</v>
      </c>
      <c r="G3110" s="2" t="s">
        <v>20035</v>
      </c>
      <c r="H3110" s="3" t="s">
        <v>31</v>
      </c>
      <c r="I3110" s="3">
        <v>1.0</v>
      </c>
      <c r="J3110" s="3">
        <v>1.0</v>
      </c>
      <c r="K3110" s="3" t="s">
        <v>31</v>
      </c>
      <c r="L3110" s="4" t="s">
        <v>13839</v>
      </c>
      <c r="M3110" s="2" t="s">
        <v>20036</v>
      </c>
      <c r="N3110" s="2" t="s">
        <v>11029</v>
      </c>
      <c r="O3110" s="4" t="s">
        <v>11030</v>
      </c>
      <c r="P3110" s="2" t="s">
        <v>13841</v>
      </c>
      <c r="Q3110" s="2" t="s">
        <v>13842</v>
      </c>
      <c r="R3110" s="2" t="s">
        <v>10017</v>
      </c>
      <c r="S3110" s="4" t="s">
        <v>13843</v>
      </c>
      <c r="T3110" s="2" t="s">
        <v>66</v>
      </c>
      <c r="U3110" s="4" t="s">
        <v>13844</v>
      </c>
      <c r="V3110" s="2" t="s">
        <v>20037</v>
      </c>
      <c r="W3110" s="2" t="s">
        <v>13207</v>
      </c>
      <c r="X3110" s="5" t="str">
        <f>HYPERLINK("https://my.pitchbook.com?p=182001-79P","View People Online")</f>
        <v>View People Online</v>
      </c>
    </row>
    <row r="3111">
      <c r="A3111" s="6" t="s">
        <v>20038</v>
      </c>
      <c r="B3111" s="6" t="s">
        <v>20039</v>
      </c>
      <c r="C3111" s="6" t="s">
        <v>6966</v>
      </c>
      <c r="D3111" s="6" t="s">
        <v>20040</v>
      </c>
      <c r="E3111" s="6" t="s">
        <v>13207</v>
      </c>
      <c r="F3111" s="6" t="s">
        <v>29</v>
      </c>
      <c r="G3111" s="6" t="s">
        <v>20041</v>
      </c>
      <c r="H3111" s="7" t="s">
        <v>31</v>
      </c>
      <c r="I3111" s="7">
        <v>1.0</v>
      </c>
      <c r="J3111" s="7">
        <v>1.0</v>
      </c>
      <c r="K3111" s="7" t="s">
        <v>31</v>
      </c>
      <c r="L3111" s="8" t="s">
        <v>13263</v>
      </c>
      <c r="M3111" s="6" t="s">
        <v>20042</v>
      </c>
      <c r="N3111" s="6" t="s">
        <v>1005</v>
      </c>
      <c r="O3111" s="8" t="s">
        <v>1006</v>
      </c>
      <c r="P3111" s="6" t="s">
        <v>13265</v>
      </c>
      <c r="Q3111" s="6" t="s">
        <v>13266</v>
      </c>
      <c r="R3111" s="6" t="s">
        <v>13267</v>
      </c>
      <c r="S3111" s="8" t="s">
        <v>13268</v>
      </c>
      <c r="T3111" s="6" t="s">
        <v>1010</v>
      </c>
      <c r="U3111" s="8" t="s">
        <v>13269</v>
      </c>
      <c r="V3111" s="6" t="s">
        <v>29</v>
      </c>
      <c r="W3111" s="6" t="s">
        <v>13207</v>
      </c>
      <c r="X3111" s="9" t="str">
        <f>HYPERLINK("https://my.pitchbook.com?p=455365-09P","View People Online")</f>
        <v>View People Online</v>
      </c>
    </row>
    <row r="3112">
      <c r="A3112" s="2" t="s">
        <v>20043</v>
      </c>
      <c r="B3112" s="2" t="s">
        <v>20044</v>
      </c>
      <c r="C3112" s="2" t="s">
        <v>20045</v>
      </c>
      <c r="D3112" s="2" t="s">
        <v>2469</v>
      </c>
      <c r="E3112" s="2" t="s">
        <v>13207</v>
      </c>
      <c r="F3112" s="2" t="s">
        <v>3523</v>
      </c>
      <c r="G3112" s="2" t="s">
        <v>20046</v>
      </c>
      <c r="H3112" s="3" t="s">
        <v>31</v>
      </c>
      <c r="I3112" s="3">
        <v>1.0</v>
      </c>
      <c r="J3112" s="3">
        <v>1.0</v>
      </c>
      <c r="K3112" s="3" t="s">
        <v>31</v>
      </c>
      <c r="L3112" s="4" t="s">
        <v>15095</v>
      </c>
      <c r="M3112" s="2" t="s">
        <v>20047</v>
      </c>
      <c r="N3112" s="2" t="s">
        <v>6960</v>
      </c>
      <c r="O3112" s="4" t="s">
        <v>6961</v>
      </c>
      <c r="P3112" s="2" t="s">
        <v>15097</v>
      </c>
      <c r="Q3112" s="2" t="s">
        <v>15098</v>
      </c>
      <c r="R3112" s="2" t="s">
        <v>15099</v>
      </c>
      <c r="S3112" s="4" t="s">
        <v>15100</v>
      </c>
      <c r="T3112" s="2" t="s">
        <v>6962</v>
      </c>
      <c r="U3112" s="4" t="s">
        <v>15101</v>
      </c>
      <c r="V3112" s="2" t="s">
        <v>3523</v>
      </c>
      <c r="W3112" s="2" t="s">
        <v>13207</v>
      </c>
      <c r="X3112" s="5" t="str">
        <f>HYPERLINK("https://my.pitchbook.com?p=436131-64P","View People Online")</f>
        <v>View People Online</v>
      </c>
    </row>
    <row r="3113">
      <c r="A3113" s="14" t="s">
        <v>20048</v>
      </c>
      <c r="B3113" s="14" t="s">
        <v>20049</v>
      </c>
      <c r="C3113" s="14" t="s">
        <v>20050</v>
      </c>
      <c r="D3113" s="14" t="s">
        <v>20051</v>
      </c>
      <c r="E3113" s="14" t="s">
        <v>13207</v>
      </c>
      <c r="F3113" s="14" t="s">
        <v>1283</v>
      </c>
      <c r="G3113" s="14" t="s">
        <v>20052</v>
      </c>
      <c r="H3113" s="15" t="s">
        <v>31</v>
      </c>
      <c r="I3113" s="15">
        <v>1.0</v>
      </c>
      <c r="J3113" s="15">
        <v>1.0</v>
      </c>
      <c r="K3113" s="15" t="s">
        <v>31</v>
      </c>
      <c r="L3113" s="16" t="s">
        <v>17191</v>
      </c>
      <c r="M3113" s="14" t="s">
        <v>20053</v>
      </c>
      <c r="N3113" s="14" t="s">
        <v>698</v>
      </c>
      <c r="O3113" s="16" t="s">
        <v>699</v>
      </c>
      <c r="P3113" s="14" t="s">
        <v>17193</v>
      </c>
      <c r="Q3113" s="14" t="s">
        <v>17194</v>
      </c>
      <c r="R3113" s="14" t="s">
        <v>31</v>
      </c>
      <c r="S3113" s="16" t="s">
        <v>17195</v>
      </c>
      <c r="T3113" s="14" t="s">
        <v>700</v>
      </c>
      <c r="U3113" s="16" t="s">
        <v>17196</v>
      </c>
      <c r="V3113" s="14" t="s">
        <v>1283</v>
      </c>
      <c r="W3113" s="14" t="s">
        <v>13207</v>
      </c>
      <c r="X3113" s="17" t="str">
        <f>HYPERLINK("https://my.pitchbook.com?p=456214-87P","View People Online")</f>
        <v>View People Online</v>
      </c>
    </row>
    <row r="3114">
      <c r="A3114" s="10" t="s">
        <v>20054</v>
      </c>
      <c r="B3114" s="10" t="s">
        <v>20055</v>
      </c>
      <c r="C3114" s="10" t="s">
        <v>20056</v>
      </c>
      <c r="D3114" s="10" t="s">
        <v>20057</v>
      </c>
      <c r="E3114" s="10" t="s">
        <v>13207</v>
      </c>
      <c r="F3114" s="10" t="s">
        <v>3523</v>
      </c>
      <c r="G3114" s="10" t="s">
        <v>20058</v>
      </c>
      <c r="H3114" s="11" t="s">
        <v>31</v>
      </c>
      <c r="I3114" s="11">
        <v>1.0</v>
      </c>
      <c r="J3114" s="11">
        <v>1.0</v>
      </c>
      <c r="K3114" s="11" t="s">
        <v>31</v>
      </c>
      <c r="L3114" s="12" t="s">
        <v>13209</v>
      </c>
      <c r="M3114" s="10" t="s">
        <v>20059</v>
      </c>
      <c r="N3114" s="10" t="s">
        <v>4232</v>
      </c>
      <c r="O3114" s="12" t="s">
        <v>4233</v>
      </c>
      <c r="P3114" s="10" t="s">
        <v>13211</v>
      </c>
      <c r="Q3114" s="10" t="s">
        <v>31</v>
      </c>
      <c r="R3114" s="10" t="s">
        <v>4236</v>
      </c>
      <c r="S3114" s="12" t="s">
        <v>13212</v>
      </c>
      <c r="T3114" s="10" t="s">
        <v>66</v>
      </c>
      <c r="U3114" s="12" t="s">
        <v>13213</v>
      </c>
      <c r="V3114" s="10" t="s">
        <v>3523</v>
      </c>
      <c r="W3114" s="10" t="s">
        <v>13207</v>
      </c>
      <c r="X3114" s="13" t="str">
        <f>HYPERLINK("https://my.pitchbook.com?p=436433-77P","View People Online")</f>
        <v>View People Online</v>
      </c>
    </row>
    <row r="3115">
      <c r="A3115" s="14" t="s">
        <v>20060</v>
      </c>
      <c r="B3115" s="14" t="s">
        <v>20061</v>
      </c>
      <c r="C3115" s="14" t="s">
        <v>20062</v>
      </c>
      <c r="D3115" s="14" t="s">
        <v>20063</v>
      </c>
      <c r="E3115" s="14" t="s">
        <v>13207</v>
      </c>
      <c r="F3115" s="14" t="s">
        <v>3523</v>
      </c>
      <c r="G3115" s="14" t="s">
        <v>20064</v>
      </c>
      <c r="H3115" s="15" t="s">
        <v>31</v>
      </c>
      <c r="I3115" s="15">
        <v>1.0</v>
      </c>
      <c r="J3115" s="15">
        <v>1.0</v>
      </c>
      <c r="K3115" s="15" t="s">
        <v>31</v>
      </c>
      <c r="L3115" s="16" t="s">
        <v>13274</v>
      </c>
      <c r="M3115" s="14" t="s">
        <v>20065</v>
      </c>
      <c r="N3115" s="14" t="s">
        <v>1181</v>
      </c>
      <c r="O3115" s="16" t="s">
        <v>1182</v>
      </c>
      <c r="P3115" s="14" t="s">
        <v>13276</v>
      </c>
      <c r="Q3115" s="14" t="s">
        <v>31</v>
      </c>
      <c r="R3115" s="14" t="s">
        <v>1185</v>
      </c>
      <c r="S3115" s="16" t="s">
        <v>4438</v>
      </c>
      <c r="T3115" s="14" t="s">
        <v>66</v>
      </c>
      <c r="U3115" s="16" t="s">
        <v>13277</v>
      </c>
      <c r="V3115" s="14" t="s">
        <v>3523</v>
      </c>
      <c r="W3115" s="14" t="s">
        <v>13207</v>
      </c>
      <c r="X3115" s="17" t="str">
        <f>HYPERLINK("https://my.pitchbook.com?p=456114-07P","View People Online")</f>
        <v>View People Online</v>
      </c>
    </row>
    <row r="3116">
      <c r="A3116" s="2" t="s">
        <v>20066</v>
      </c>
      <c r="B3116" s="2" t="s">
        <v>20067</v>
      </c>
      <c r="C3116" s="2" t="s">
        <v>894</v>
      </c>
      <c r="D3116" s="2" t="s">
        <v>408</v>
      </c>
      <c r="E3116" s="2" t="s">
        <v>13207</v>
      </c>
      <c r="F3116" s="2" t="s">
        <v>3523</v>
      </c>
      <c r="G3116" s="2" t="s">
        <v>20068</v>
      </c>
      <c r="H3116" s="3" t="s">
        <v>31</v>
      </c>
      <c r="I3116" s="3">
        <v>1.0</v>
      </c>
      <c r="J3116" s="3">
        <v>1.0</v>
      </c>
      <c r="K3116" s="3" t="s">
        <v>31</v>
      </c>
      <c r="L3116" s="4" t="s">
        <v>13299</v>
      </c>
      <c r="M3116" s="2" t="s">
        <v>20069</v>
      </c>
      <c r="N3116" s="2" t="s">
        <v>601</v>
      </c>
      <c r="O3116" s="4" t="s">
        <v>602</v>
      </c>
      <c r="P3116" s="2" t="s">
        <v>13301</v>
      </c>
      <c r="Q3116" s="2" t="s">
        <v>13302</v>
      </c>
      <c r="R3116" s="2" t="s">
        <v>31</v>
      </c>
      <c r="S3116" s="4" t="s">
        <v>31</v>
      </c>
      <c r="T3116" s="2" t="s">
        <v>603</v>
      </c>
      <c r="U3116" s="4" t="s">
        <v>13303</v>
      </c>
      <c r="V3116" s="2" t="s">
        <v>3523</v>
      </c>
      <c r="W3116" s="2" t="s">
        <v>13207</v>
      </c>
      <c r="X3116" s="5" t="str">
        <f>HYPERLINK("https://my.pitchbook.com?p=436409-29P","View People Online")</f>
        <v>View People Online</v>
      </c>
    </row>
    <row r="3117">
      <c r="A3117" s="14" t="s">
        <v>20070</v>
      </c>
      <c r="B3117" s="14" t="s">
        <v>20071</v>
      </c>
      <c r="C3117" s="14" t="s">
        <v>20072</v>
      </c>
      <c r="D3117" s="14" t="s">
        <v>20073</v>
      </c>
      <c r="E3117" s="14" t="s">
        <v>13207</v>
      </c>
      <c r="F3117" s="14" t="s">
        <v>3523</v>
      </c>
      <c r="G3117" s="14" t="s">
        <v>20074</v>
      </c>
      <c r="H3117" s="15" t="s">
        <v>31</v>
      </c>
      <c r="I3117" s="15">
        <v>1.0</v>
      </c>
      <c r="J3117" s="15">
        <v>1.0</v>
      </c>
      <c r="K3117" s="15" t="s">
        <v>31</v>
      </c>
      <c r="L3117" s="16" t="s">
        <v>13289</v>
      </c>
      <c r="M3117" s="14" t="s">
        <v>20075</v>
      </c>
      <c r="N3117" s="14" t="s">
        <v>1348</v>
      </c>
      <c r="O3117" s="16" t="s">
        <v>1349</v>
      </c>
      <c r="P3117" s="14" t="s">
        <v>13291</v>
      </c>
      <c r="Q3117" s="14" t="s">
        <v>13292</v>
      </c>
      <c r="R3117" s="14" t="s">
        <v>1018</v>
      </c>
      <c r="S3117" s="16" t="s">
        <v>13293</v>
      </c>
      <c r="T3117" s="14" t="s">
        <v>1019</v>
      </c>
      <c r="U3117" s="16" t="s">
        <v>13294</v>
      </c>
      <c r="V3117" s="14" t="s">
        <v>3523</v>
      </c>
      <c r="W3117" s="14" t="s">
        <v>13207</v>
      </c>
      <c r="X3117" s="17" t="str">
        <f>HYPERLINK("https://my.pitchbook.com?p=436425-04P","View People Online")</f>
        <v>View People Online</v>
      </c>
    </row>
    <row r="3118">
      <c r="A3118" s="10" t="s">
        <v>20076</v>
      </c>
      <c r="B3118" s="10" t="s">
        <v>20077</v>
      </c>
      <c r="C3118" s="10" t="s">
        <v>20078</v>
      </c>
      <c r="D3118" s="10" t="s">
        <v>20079</v>
      </c>
      <c r="E3118" s="10" t="s">
        <v>13207</v>
      </c>
      <c r="F3118" s="10" t="s">
        <v>3523</v>
      </c>
      <c r="G3118" s="10" t="s">
        <v>20080</v>
      </c>
      <c r="H3118" s="11" t="s">
        <v>31</v>
      </c>
      <c r="I3118" s="11">
        <v>1.0</v>
      </c>
      <c r="J3118" s="11">
        <v>1.0</v>
      </c>
      <c r="K3118" s="11" t="s">
        <v>31</v>
      </c>
      <c r="L3118" s="12" t="s">
        <v>18810</v>
      </c>
      <c r="M3118" s="10" t="s">
        <v>20081</v>
      </c>
      <c r="N3118" s="10" t="s">
        <v>18812</v>
      </c>
      <c r="O3118" s="12" t="s">
        <v>18813</v>
      </c>
      <c r="P3118" s="10" t="s">
        <v>18814</v>
      </c>
      <c r="Q3118" s="10" t="s">
        <v>18815</v>
      </c>
      <c r="R3118" s="10" t="s">
        <v>18816</v>
      </c>
      <c r="S3118" s="12" t="s">
        <v>18817</v>
      </c>
      <c r="T3118" s="10" t="s">
        <v>66</v>
      </c>
      <c r="U3118" s="12" t="s">
        <v>18818</v>
      </c>
      <c r="V3118" s="10" t="s">
        <v>3523</v>
      </c>
      <c r="W3118" s="10" t="s">
        <v>13207</v>
      </c>
      <c r="X3118" s="13" t="str">
        <f>HYPERLINK("https://my.pitchbook.com?p=436204-27P","View People Online")</f>
        <v>View People Online</v>
      </c>
    </row>
    <row r="3119">
      <c r="A3119" s="6" t="s">
        <v>20082</v>
      </c>
      <c r="B3119" s="6" t="s">
        <v>20083</v>
      </c>
      <c r="C3119" s="6" t="s">
        <v>20084</v>
      </c>
      <c r="D3119" s="6" t="s">
        <v>20085</v>
      </c>
      <c r="E3119" s="6" t="s">
        <v>13207</v>
      </c>
      <c r="F3119" s="6" t="s">
        <v>3523</v>
      </c>
      <c r="G3119" s="6" t="s">
        <v>20086</v>
      </c>
      <c r="H3119" s="7" t="s">
        <v>31</v>
      </c>
      <c r="I3119" s="7">
        <v>1.0</v>
      </c>
      <c r="J3119" s="7">
        <v>1.0</v>
      </c>
      <c r="K3119" s="7" t="s">
        <v>31</v>
      </c>
      <c r="L3119" s="8" t="s">
        <v>15178</v>
      </c>
      <c r="M3119" s="6" t="s">
        <v>20087</v>
      </c>
      <c r="N3119" s="6" t="s">
        <v>7258</v>
      </c>
      <c r="O3119" s="8" t="s">
        <v>7259</v>
      </c>
      <c r="P3119" s="6" t="s">
        <v>15180</v>
      </c>
      <c r="Q3119" s="6" t="s">
        <v>15181</v>
      </c>
      <c r="R3119" s="6" t="s">
        <v>7262</v>
      </c>
      <c r="S3119" s="8" t="s">
        <v>7263</v>
      </c>
      <c r="T3119" s="6" t="s">
        <v>5484</v>
      </c>
      <c r="U3119" s="8" t="s">
        <v>15182</v>
      </c>
      <c r="V3119" s="6" t="s">
        <v>3523</v>
      </c>
      <c r="W3119" s="6" t="s">
        <v>13207</v>
      </c>
      <c r="X3119" s="9" t="str">
        <f>HYPERLINK("https://my.pitchbook.com?p=435373-03P","View People Online")</f>
        <v>View People Online</v>
      </c>
    </row>
    <row r="3120">
      <c r="A3120" s="10" t="s">
        <v>20088</v>
      </c>
      <c r="B3120" s="10" t="s">
        <v>20089</v>
      </c>
      <c r="C3120" s="10" t="s">
        <v>20090</v>
      </c>
      <c r="D3120" s="10" t="s">
        <v>17126</v>
      </c>
      <c r="E3120" s="10" t="s">
        <v>13207</v>
      </c>
      <c r="F3120" s="10" t="s">
        <v>13218</v>
      </c>
      <c r="G3120" s="10" t="s">
        <v>20091</v>
      </c>
      <c r="H3120" s="11" t="s">
        <v>31</v>
      </c>
      <c r="I3120" s="11">
        <v>1.0</v>
      </c>
      <c r="J3120" s="11">
        <v>1.0</v>
      </c>
      <c r="K3120" s="11" t="s">
        <v>31</v>
      </c>
      <c r="L3120" s="12" t="s">
        <v>13657</v>
      </c>
      <c r="M3120" s="10" t="s">
        <v>20092</v>
      </c>
      <c r="N3120" s="10" t="s">
        <v>13659</v>
      </c>
      <c r="O3120" s="12" t="s">
        <v>13660</v>
      </c>
      <c r="P3120" s="10" t="s">
        <v>13661</v>
      </c>
      <c r="Q3120" s="10" t="s">
        <v>31</v>
      </c>
      <c r="R3120" s="10" t="s">
        <v>31</v>
      </c>
      <c r="S3120" s="12" t="s">
        <v>13662</v>
      </c>
      <c r="T3120" s="10" t="s">
        <v>38</v>
      </c>
      <c r="U3120" s="12" t="s">
        <v>13663</v>
      </c>
      <c r="V3120" s="10" t="s">
        <v>13218</v>
      </c>
      <c r="W3120" s="10" t="s">
        <v>13207</v>
      </c>
      <c r="X3120" s="13" t="str">
        <f>HYPERLINK("https://my.pitchbook.com?p=455204-35P","View People Online")</f>
        <v>View People Online</v>
      </c>
    </row>
    <row r="3121">
      <c r="A3121" s="14" t="s">
        <v>20093</v>
      </c>
      <c r="B3121" s="14" t="s">
        <v>20094</v>
      </c>
      <c r="C3121" s="14" t="s">
        <v>20090</v>
      </c>
      <c r="D3121" s="14" t="s">
        <v>20095</v>
      </c>
      <c r="E3121" s="14" t="s">
        <v>13207</v>
      </c>
      <c r="F3121" s="14" t="s">
        <v>3523</v>
      </c>
      <c r="G3121" s="14" t="s">
        <v>20096</v>
      </c>
      <c r="H3121" s="15" t="s">
        <v>31</v>
      </c>
      <c r="I3121" s="15">
        <v>1.0</v>
      </c>
      <c r="J3121" s="15">
        <v>1.0</v>
      </c>
      <c r="K3121" s="15" t="s">
        <v>31</v>
      </c>
      <c r="L3121" s="16" t="s">
        <v>13734</v>
      </c>
      <c r="M3121" s="14" t="s">
        <v>20097</v>
      </c>
      <c r="N3121" s="14" t="s">
        <v>2754</v>
      </c>
      <c r="O3121" s="16" t="s">
        <v>2755</v>
      </c>
      <c r="P3121" s="14" t="s">
        <v>13736</v>
      </c>
      <c r="Q3121" s="14" t="s">
        <v>31</v>
      </c>
      <c r="R3121" s="14" t="s">
        <v>31</v>
      </c>
      <c r="S3121" s="16" t="s">
        <v>13737</v>
      </c>
      <c r="T3121" s="14" t="s">
        <v>38</v>
      </c>
      <c r="U3121" s="16" t="s">
        <v>13738</v>
      </c>
      <c r="V3121" s="14" t="s">
        <v>3523</v>
      </c>
      <c r="W3121" s="14" t="s">
        <v>13207</v>
      </c>
      <c r="X3121" s="17" t="str">
        <f>HYPERLINK("https://my.pitchbook.com?p=455707-27P","View People Online")</f>
        <v>View People Online</v>
      </c>
    </row>
    <row r="3122">
      <c r="A3122" s="2" t="s">
        <v>20098</v>
      </c>
      <c r="B3122" s="2" t="s">
        <v>20099</v>
      </c>
      <c r="C3122" s="2" t="s">
        <v>20100</v>
      </c>
      <c r="D3122" s="2" t="s">
        <v>20101</v>
      </c>
      <c r="E3122" s="2" t="s">
        <v>13207</v>
      </c>
      <c r="F3122" s="2" t="s">
        <v>29</v>
      </c>
      <c r="G3122" s="2" t="s">
        <v>20102</v>
      </c>
      <c r="H3122" s="3" t="s">
        <v>31</v>
      </c>
      <c r="I3122" s="3">
        <v>1.0</v>
      </c>
      <c r="J3122" s="3">
        <v>1.0</v>
      </c>
      <c r="K3122" s="3" t="s">
        <v>31</v>
      </c>
      <c r="L3122" s="4" t="s">
        <v>13673</v>
      </c>
      <c r="M3122" s="2" t="s">
        <v>20103</v>
      </c>
      <c r="N3122" s="2" t="s">
        <v>6311</v>
      </c>
      <c r="O3122" s="4" t="s">
        <v>6312</v>
      </c>
      <c r="P3122" s="2" t="s">
        <v>13675</v>
      </c>
      <c r="Q3122" s="2" t="s">
        <v>31</v>
      </c>
      <c r="R3122" s="2" t="s">
        <v>31</v>
      </c>
      <c r="S3122" s="4" t="s">
        <v>13676</v>
      </c>
      <c r="T3122" s="2" t="s">
        <v>6315</v>
      </c>
      <c r="U3122" s="4" t="s">
        <v>13677</v>
      </c>
      <c r="V3122" s="2" t="s">
        <v>29</v>
      </c>
      <c r="W3122" s="2" t="s">
        <v>13207</v>
      </c>
      <c r="X3122" s="5" t="str">
        <f>HYPERLINK("https://my.pitchbook.com?p=435420-82P","View People Online")</f>
        <v>View People Online</v>
      </c>
    </row>
    <row r="3123">
      <c r="A3123" s="6" t="s">
        <v>20104</v>
      </c>
      <c r="B3123" s="6" t="s">
        <v>20105</v>
      </c>
      <c r="C3123" s="6" t="s">
        <v>20106</v>
      </c>
      <c r="D3123" s="6" t="s">
        <v>1002</v>
      </c>
      <c r="E3123" s="6" t="s">
        <v>13207</v>
      </c>
      <c r="F3123" s="6" t="s">
        <v>29</v>
      </c>
      <c r="G3123" s="6" t="s">
        <v>20107</v>
      </c>
      <c r="H3123" s="7" t="s">
        <v>31</v>
      </c>
      <c r="I3123" s="7">
        <v>1.0</v>
      </c>
      <c r="J3123" s="7">
        <v>1.0</v>
      </c>
      <c r="K3123" s="7" t="s">
        <v>31</v>
      </c>
      <c r="L3123" s="8" t="s">
        <v>13263</v>
      </c>
      <c r="M3123" s="6" t="s">
        <v>20108</v>
      </c>
      <c r="N3123" s="6" t="s">
        <v>1005</v>
      </c>
      <c r="O3123" s="8" t="s">
        <v>1006</v>
      </c>
      <c r="P3123" s="6" t="s">
        <v>13265</v>
      </c>
      <c r="Q3123" s="6" t="s">
        <v>13266</v>
      </c>
      <c r="R3123" s="6" t="s">
        <v>13267</v>
      </c>
      <c r="S3123" s="8" t="s">
        <v>13268</v>
      </c>
      <c r="T3123" s="6" t="s">
        <v>1010</v>
      </c>
      <c r="U3123" s="8" t="s">
        <v>13269</v>
      </c>
      <c r="V3123" s="6" t="s">
        <v>29</v>
      </c>
      <c r="W3123" s="6" t="s">
        <v>13207</v>
      </c>
      <c r="X3123" s="9" t="str">
        <f>HYPERLINK("https://my.pitchbook.com?p=436435-30P","View People Online")</f>
        <v>View People Online</v>
      </c>
    </row>
    <row r="3124">
      <c r="A3124" s="10" t="s">
        <v>20109</v>
      </c>
      <c r="B3124" s="10" t="s">
        <v>20110</v>
      </c>
      <c r="C3124" s="10" t="s">
        <v>20111</v>
      </c>
      <c r="D3124" s="10" t="s">
        <v>20112</v>
      </c>
      <c r="E3124" s="10" t="s">
        <v>13207</v>
      </c>
      <c r="F3124" s="10" t="s">
        <v>13240</v>
      </c>
      <c r="G3124" s="10" t="s">
        <v>20113</v>
      </c>
      <c r="H3124" s="11" t="s">
        <v>31</v>
      </c>
      <c r="I3124" s="11">
        <v>1.0</v>
      </c>
      <c r="J3124" s="11">
        <v>1.0</v>
      </c>
      <c r="K3124" s="11" t="s">
        <v>31</v>
      </c>
      <c r="L3124" s="12" t="s">
        <v>13743</v>
      </c>
      <c r="M3124" s="10" t="s">
        <v>20114</v>
      </c>
      <c r="N3124" s="10" t="s">
        <v>1034</v>
      </c>
      <c r="O3124" s="12" t="s">
        <v>1035</v>
      </c>
      <c r="P3124" s="10" t="s">
        <v>13745</v>
      </c>
      <c r="Q3124" s="10" t="s">
        <v>13746</v>
      </c>
      <c r="R3124" s="10" t="s">
        <v>31</v>
      </c>
      <c r="S3124" s="12" t="s">
        <v>13747</v>
      </c>
      <c r="T3124" s="10" t="s">
        <v>1034</v>
      </c>
      <c r="U3124" s="12" t="s">
        <v>13748</v>
      </c>
      <c r="V3124" s="10" t="s">
        <v>13247</v>
      </c>
      <c r="W3124" s="10" t="s">
        <v>13207</v>
      </c>
      <c r="X3124" s="13" t="str">
        <f>HYPERLINK("https://my.pitchbook.com?p=436698-28P","View People Online")</f>
        <v>View People Online</v>
      </c>
    </row>
    <row r="3125">
      <c r="A3125" s="14" t="s">
        <v>20115</v>
      </c>
      <c r="B3125" s="14" t="s">
        <v>20116</v>
      </c>
      <c r="C3125" s="14" t="s">
        <v>20117</v>
      </c>
      <c r="D3125" s="14" t="s">
        <v>20118</v>
      </c>
      <c r="E3125" s="14" t="s">
        <v>13207</v>
      </c>
      <c r="F3125" s="14" t="s">
        <v>3523</v>
      </c>
      <c r="G3125" s="14" t="s">
        <v>20119</v>
      </c>
      <c r="H3125" s="15" t="s">
        <v>31</v>
      </c>
      <c r="I3125" s="15">
        <v>1.0</v>
      </c>
      <c r="J3125" s="15">
        <v>1.0</v>
      </c>
      <c r="K3125" s="15" t="s">
        <v>31</v>
      </c>
      <c r="L3125" s="16" t="s">
        <v>13289</v>
      </c>
      <c r="M3125" s="14" t="s">
        <v>20120</v>
      </c>
      <c r="N3125" s="14" t="s">
        <v>1348</v>
      </c>
      <c r="O3125" s="16" t="s">
        <v>1349</v>
      </c>
      <c r="P3125" s="14" t="s">
        <v>13291</v>
      </c>
      <c r="Q3125" s="14" t="s">
        <v>13292</v>
      </c>
      <c r="R3125" s="14" t="s">
        <v>1018</v>
      </c>
      <c r="S3125" s="16" t="s">
        <v>13293</v>
      </c>
      <c r="T3125" s="14" t="s">
        <v>1019</v>
      </c>
      <c r="U3125" s="16" t="s">
        <v>13294</v>
      </c>
      <c r="V3125" s="14" t="s">
        <v>3523</v>
      </c>
      <c r="W3125" s="14" t="s">
        <v>13207</v>
      </c>
      <c r="X3125" s="17" t="str">
        <f>HYPERLINK("https://my.pitchbook.com?p=435082-69P","View People Online")</f>
        <v>View People Online</v>
      </c>
    </row>
    <row r="3126">
      <c r="A3126" s="2" t="s">
        <v>20121</v>
      </c>
      <c r="B3126" s="2" t="s">
        <v>20122</v>
      </c>
      <c r="C3126" s="2" t="s">
        <v>20123</v>
      </c>
      <c r="D3126" s="2" t="s">
        <v>666</v>
      </c>
      <c r="E3126" s="2" t="s">
        <v>13207</v>
      </c>
      <c r="F3126" s="2" t="s">
        <v>3523</v>
      </c>
      <c r="G3126" s="2" t="s">
        <v>20124</v>
      </c>
      <c r="H3126" s="3" t="s">
        <v>31</v>
      </c>
      <c r="I3126" s="3">
        <v>1.0</v>
      </c>
      <c r="J3126" s="3">
        <v>1.0</v>
      </c>
      <c r="K3126" s="3" t="s">
        <v>31</v>
      </c>
      <c r="L3126" s="4" t="s">
        <v>13423</v>
      </c>
      <c r="M3126" s="2" t="s">
        <v>20125</v>
      </c>
      <c r="N3126" s="2" t="s">
        <v>243</v>
      </c>
      <c r="O3126" s="4" t="s">
        <v>244</v>
      </c>
      <c r="P3126" s="2" t="s">
        <v>13425</v>
      </c>
      <c r="Q3126" s="2" t="s">
        <v>31</v>
      </c>
      <c r="R3126" s="2" t="s">
        <v>247</v>
      </c>
      <c r="S3126" s="4" t="s">
        <v>13426</v>
      </c>
      <c r="T3126" s="2" t="s">
        <v>249</v>
      </c>
      <c r="U3126" s="4" t="s">
        <v>31</v>
      </c>
      <c r="V3126" s="2" t="s">
        <v>20126</v>
      </c>
      <c r="W3126" s="2" t="s">
        <v>13207</v>
      </c>
      <c r="X3126" s="5" t="str">
        <f>HYPERLINK("https://my.pitchbook.com?p=128736-01P","View People Online")</f>
        <v>View People Online</v>
      </c>
    </row>
    <row r="3127">
      <c r="A3127" s="6" t="s">
        <v>20127</v>
      </c>
      <c r="B3127" s="6" t="s">
        <v>20128</v>
      </c>
      <c r="C3127" s="6" t="s">
        <v>20129</v>
      </c>
      <c r="D3127" s="6" t="s">
        <v>20130</v>
      </c>
      <c r="E3127" s="6" t="s">
        <v>13207</v>
      </c>
      <c r="F3127" s="6" t="s">
        <v>3523</v>
      </c>
      <c r="G3127" s="6" t="s">
        <v>20131</v>
      </c>
      <c r="H3127" s="7" t="s">
        <v>31</v>
      </c>
      <c r="I3127" s="7">
        <v>1.0</v>
      </c>
      <c r="J3127" s="7">
        <v>1.0</v>
      </c>
      <c r="K3127" s="7" t="s">
        <v>31</v>
      </c>
      <c r="L3127" s="8" t="s">
        <v>13888</v>
      </c>
      <c r="M3127" s="6" t="s">
        <v>20132</v>
      </c>
      <c r="N3127" s="6" t="s">
        <v>13890</v>
      </c>
      <c r="O3127" s="8" t="s">
        <v>13891</v>
      </c>
      <c r="P3127" s="6" t="s">
        <v>13892</v>
      </c>
      <c r="Q3127" s="6" t="s">
        <v>31</v>
      </c>
      <c r="R3127" s="6" t="s">
        <v>31</v>
      </c>
      <c r="S3127" s="8" t="s">
        <v>13893</v>
      </c>
      <c r="T3127" s="6" t="s">
        <v>13894</v>
      </c>
      <c r="U3127" s="8" t="s">
        <v>31</v>
      </c>
      <c r="V3127" s="6" t="s">
        <v>3523</v>
      </c>
      <c r="W3127" s="6" t="s">
        <v>13207</v>
      </c>
      <c r="X3127" s="9" t="str">
        <f>HYPERLINK("https://my.pitchbook.com?p=456140-71P","View People Online")</f>
        <v>View People Online</v>
      </c>
    </row>
    <row r="3128">
      <c r="A3128" s="10" t="s">
        <v>20133</v>
      </c>
      <c r="B3128" s="10" t="s">
        <v>20134</v>
      </c>
      <c r="C3128" s="10" t="s">
        <v>20135</v>
      </c>
      <c r="D3128" s="10" t="s">
        <v>20136</v>
      </c>
      <c r="E3128" s="10" t="s">
        <v>13207</v>
      </c>
      <c r="F3128" s="10" t="s">
        <v>318</v>
      </c>
      <c r="G3128" s="10" t="s">
        <v>20137</v>
      </c>
      <c r="H3128" s="11" t="s">
        <v>31</v>
      </c>
      <c r="I3128" s="11">
        <v>1.0</v>
      </c>
      <c r="J3128" s="11">
        <v>1.0</v>
      </c>
      <c r="K3128" s="11" t="s">
        <v>31</v>
      </c>
      <c r="L3128" s="12" t="s">
        <v>13399</v>
      </c>
      <c r="M3128" s="10" t="s">
        <v>20138</v>
      </c>
      <c r="N3128" s="10" t="s">
        <v>13401</v>
      </c>
      <c r="O3128" s="12" t="s">
        <v>13402</v>
      </c>
      <c r="P3128" s="10" t="s">
        <v>13403</v>
      </c>
      <c r="Q3128" s="10" t="s">
        <v>13404</v>
      </c>
      <c r="R3128" s="10" t="s">
        <v>31</v>
      </c>
      <c r="S3128" s="12" t="s">
        <v>13405</v>
      </c>
      <c r="T3128" s="10" t="s">
        <v>13406</v>
      </c>
      <c r="U3128" s="12" t="s">
        <v>13407</v>
      </c>
      <c r="V3128" s="10" t="s">
        <v>318</v>
      </c>
      <c r="W3128" s="10" t="s">
        <v>13207</v>
      </c>
      <c r="X3128" s="13" t="str">
        <f>HYPERLINK("https://my.pitchbook.com?p=455349-52P","View People Online")</f>
        <v>View People Online</v>
      </c>
    </row>
    <row r="3129">
      <c r="A3129" s="6" t="s">
        <v>20139</v>
      </c>
      <c r="B3129" s="6" t="s">
        <v>20140</v>
      </c>
      <c r="C3129" s="6" t="s">
        <v>20141</v>
      </c>
      <c r="D3129" s="6" t="s">
        <v>20142</v>
      </c>
      <c r="E3129" s="6" t="s">
        <v>13207</v>
      </c>
      <c r="F3129" s="6" t="s">
        <v>3523</v>
      </c>
      <c r="G3129" s="6" t="s">
        <v>20143</v>
      </c>
      <c r="H3129" s="7" t="s">
        <v>31</v>
      </c>
      <c r="I3129" s="7">
        <v>1.0</v>
      </c>
      <c r="J3129" s="7">
        <v>1.0</v>
      </c>
      <c r="K3129" s="7" t="s">
        <v>31</v>
      </c>
      <c r="L3129" s="8" t="s">
        <v>13766</v>
      </c>
      <c r="M3129" s="6" t="s">
        <v>20144</v>
      </c>
      <c r="N3129" s="6" t="s">
        <v>13768</v>
      </c>
      <c r="O3129" s="8" t="s">
        <v>13769</v>
      </c>
      <c r="P3129" s="6" t="s">
        <v>13770</v>
      </c>
      <c r="Q3129" s="6" t="s">
        <v>13771</v>
      </c>
      <c r="R3129" s="6" t="s">
        <v>31</v>
      </c>
      <c r="S3129" s="8" t="s">
        <v>13772</v>
      </c>
      <c r="T3129" s="6" t="s">
        <v>13773</v>
      </c>
      <c r="U3129" s="8" t="s">
        <v>31</v>
      </c>
      <c r="V3129" s="6" t="s">
        <v>3523</v>
      </c>
      <c r="W3129" s="6" t="s">
        <v>13207</v>
      </c>
      <c r="X3129" s="9" t="str">
        <f>HYPERLINK("https://my.pitchbook.com?p=456531-67P","View People Online")</f>
        <v>View People Online</v>
      </c>
    </row>
    <row r="3130">
      <c r="A3130" s="2" t="s">
        <v>20145</v>
      </c>
      <c r="B3130" s="2" t="s">
        <v>20146</v>
      </c>
      <c r="C3130" s="2" t="s">
        <v>20147</v>
      </c>
      <c r="D3130" s="2" t="s">
        <v>20148</v>
      </c>
      <c r="E3130" s="2" t="s">
        <v>13207</v>
      </c>
      <c r="F3130" s="2" t="s">
        <v>29</v>
      </c>
      <c r="G3130" s="2" t="s">
        <v>20149</v>
      </c>
      <c r="H3130" s="3" t="s">
        <v>31</v>
      </c>
      <c r="I3130" s="3">
        <v>1.0</v>
      </c>
      <c r="J3130" s="3">
        <v>1.0</v>
      </c>
      <c r="K3130" s="3" t="s">
        <v>31</v>
      </c>
      <c r="L3130" s="4" t="s">
        <v>13714</v>
      </c>
      <c r="M3130" s="2" t="s">
        <v>20150</v>
      </c>
      <c r="N3130" s="2" t="s">
        <v>13716</v>
      </c>
      <c r="O3130" s="4" t="s">
        <v>13717</v>
      </c>
      <c r="P3130" s="2" t="s">
        <v>13718</v>
      </c>
      <c r="Q3130" s="2" t="s">
        <v>31</v>
      </c>
      <c r="R3130" s="2" t="s">
        <v>31</v>
      </c>
      <c r="S3130" s="4" t="s">
        <v>13719</v>
      </c>
      <c r="T3130" s="2" t="s">
        <v>38</v>
      </c>
      <c r="U3130" s="4" t="s">
        <v>13720</v>
      </c>
      <c r="V3130" s="2" t="s">
        <v>29</v>
      </c>
      <c r="W3130" s="2" t="s">
        <v>13207</v>
      </c>
      <c r="X3130" s="5" t="str">
        <f>HYPERLINK("https://my.pitchbook.com?p=434841-40P","View People Online")</f>
        <v>View People Online</v>
      </c>
    </row>
    <row r="3131">
      <c r="A3131" s="6" t="s">
        <v>20151</v>
      </c>
      <c r="B3131" s="6" t="s">
        <v>20152</v>
      </c>
      <c r="C3131" s="6" t="s">
        <v>20153</v>
      </c>
      <c r="D3131" s="6" t="s">
        <v>12822</v>
      </c>
      <c r="E3131" s="6" t="s">
        <v>13207</v>
      </c>
      <c r="F3131" s="6" t="s">
        <v>13218</v>
      </c>
      <c r="G3131" s="6" t="s">
        <v>20154</v>
      </c>
      <c r="H3131" s="7" t="s">
        <v>31</v>
      </c>
      <c r="I3131" s="7">
        <v>1.0</v>
      </c>
      <c r="J3131" s="7">
        <v>1.0</v>
      </c>
      <c r="K3131" s="7" t="s">
        <v>31</v>
      </c>
      <c r="L3131" s="8" t="s">
        <v>13209</v>
      </c>
      <c r="M3131" s="6" t="s">
        <v>20155</v>
      </c>
      <c r="N3131" s="6" t="s">
        <v>4232</v>
      </c>
      <c r="O3131" s="8" t="s">
        <v>4233</v>
      </c>
      <c r="P3131" s="6" t="s">
        <v>13211</v>
      </c>
      <c r="Q3131" s="6" t="s">
        <v>31</v>
      </c>
      <c r="R3131" s="6" t="s">
        <v>4236</v>
      </c>
      <c r="S3131" s="8" t="s">
        <v>13212</v>
      </c>
      <c r="T3131" s="6" t="s">
        <v>66</v>
      </c>
      <c r="U3131" s="8" t="s">
        <v>13213</v>
      </c>
      <c r="V3131" s="6" t="s">
        <v>13218</v>
      </c>
      <c r="W3131" s="6" t="s">
        <v>13207</v>
      </c>
      <c r="X3131" s="9" t="str">
        <f>HYPERLINK("https://my.pitchbook.com?p=435338-74P","View People Online")</f>
        <v>View People Online</v>
      </c>
    </row>
    <row r="3132">
      <c r="A3132" s="2" t="s">
        <v>20156</v>
      </c>
      <c r="B3132" s="2" t="s">
        <v>20157</v>
      </c>
      <c r="C3132" s="2" t="s">
        <v>20158</v>
      </c>
      <c r="D3132" s="2" t="s">
        <v>20159</v>
      </c>
      <c r="E3132" s="2" t="s">
        <v>13207</v>
      </c>
      <c r="F3132" s="2" t="s">
        <v>20160</v>
      </c>
      <c r="G3132" s="2" t="s">
        <v>20161</v>
      </c>
      <c r="H3132" s="3" t="s">
        <v>31</v>
      </c>
      <c r="I3132" s="3">
        <v>1.0</v>
      </c>
      <c r="J3132" s="3">
        <v>1.0</v>
      </c>
      <c r="K3132" s="3" t="s">
        <v>31</v>
      </c>
      <c r="L3132" s="4" t="s">
        <v>13423</v>
      </c>
      <c r="M3132" s="2" t="s">
        <v>20162</v>
      </c>
      <c r="N3132" s="2" t="s">
        <v>243</v>
      </c>
      <c r="O3132" s="4" t="s">
        <v>244</v>
      </c>
      <c r="P3132" s="2" t="s">
        <v>13425</v>
      </c>
      <c r="Q3132" s="2" t="s">
        <v>31</v>
      </c>
      <c r="R3132" s="2" t="s">
        <v>247</v>
      </c>
      <c r="S3132" s="4" t="s">
        <v>13426</v>
      </c>
      <c r="T3132" s="2" t="s">
        <v>249</v>
      </c>
      <c r="U3132" s="4" t="s">
        <v>31</v>
      </c>
      <c r="V3132" s="2" t="s">
        <v>20163</v>
      </c>
      <c r="W3132" s="2" t="s">
        <v>13207</v>
      </c>
      <c r="X3132" s="5" t="str">
        <f>HYPERLINK("https://my.pitchbook.com?p=324887-50P","View People Online")</f>
        <v>View People Online</v>
      </c>
    </row>
    <row r="3133">
      <c r="A3133" s="6" t="s">
        <v>20164</v>
      </c>
      <c r="B3133" s="6" t="s">
        <v>20165</v>
      </c>
      <c r="C3133" s="6" t="s">
        <v>12939</v>
      </c>
      <c r="D3133" s="6" t="s">
        <v>20166</v>
      </c>
      <c r="E3133" s="6" t="s">
        <v>13207</v>
      </c>
      <c r="F3133" s="6" t="s">
        <v>1283</v>
      </c>
      <c r="G3133" s="6" t="s">
        <v>20167</v>
      </c>
      <c r="H3133" s="7" t="s">
        <v>31</v>
      </c>
      <c r="I3133" s="7">
        <v>1.0</v>
      </c>
      <c r="J3133" s="7">
        <v>1.0</v>
      </c>
      <c r="K3133" s="7" t="s">
        <v>31</v>
      </c>
      <c r="L3133" s="8" t="s">
        <v>13281</v>
      </c>
      <c r="M3133" s="6" t="s">
        <v>20168</v>
      </c>
      <c r="N3133" s="6" t="s">
        <v>1277</v>
      </c>
      <c r="O3133" s="8" t="s">
        <v>1278</v>
      </c>
      <c r="P3133" s="6" t="s">
        <v>13283</v>
      </c>
      <c r="Q3133" s="6" t="s">
        <v>13284</v>
      </c>
      <c r="R3133" s="6" t="s">
        <v>1281</v>
      </c>
      <c r="S3133" s="8" t="s">
        <v>1282</v>
      </c>
      <c r="T3133" s="6" t="s">
        <v>66</v>
      </c>
      <c r="U3133" s="8" t="s">
        <v>13285</v>
      </c>
      <c r="V3133" s="6" t="s">
        <v>13974</v>
      </c>
      <c r="W3133" s="6" t="s">
        <v>13207</v>
      </c>
      <c r="X3133" s="9" t="str">
        <f>HYPERLINK("https://my.pitchbook.com?p=435640-69P","View People Online")</f>
        <v>View People Online</v>
      </c>
    </row>
    <row r="3134">
      <c r="A3134" s="2" t="s">
        <v>20169</v>
      </c>
      <c r="B3134" s="2" t="s">
        <v>20170</v>
      </c>
      <c r="C3134" s="2" t="s">
        <v>20171</v>
      </c>
      <c r="D3134" s="2" t="s">
        <v>20172</v>
      </c>
      <c r="E3134" s="2" t="s">
        <v>13207</v>
      </c>
      <c r="F3134" s="2" t="s">
        <v>2731</v>
      </c>
      <c r="G3134" s="2" t="s">
        <v>20173</v>
      </c>
      <c r="H3134" s="3" t="s">
        <v>31</v>
      </c>
      <c r="I3134" s="3">
        <v>1.0</v>
      </c>
      <c r="J3134" s="3">
        <v>1.0</v>
      </c>
      <c r="K3134" s="3" t="s">
        <v>31</v>
      </c>
      <c r="L3134" s="4" t="s">
        <v>13289</v>
      </c>
      <c r="M3134" s="2" t="s">
        <v>20174</v>
      </c>
      <c r="N3134" s="2" t="s">
        <v>1348</v>
      </c>
      <c r="O3134" s="4" t="s">
        <v>1349</v>
      </c>
      <c r="P3134" s="2" t="s">
        <v>13291</v>
      </c>
      <c r="Q3134" s="2" t="s">
        <v>13292</v>
      </c>
      <c r="R3134" s="2" t="s">
        <v>1018</v>
      </c>
      <c r="S3134" s="4" t="s">
        <v>13293</v>
      </c>
      <c r="T3134" s="2" t="s">
        <v>1019</v>
      </c>
      <c r="U3134" s="4" t="s">
        <v>13294</v>
      </c>
      <c r="V3134" s="2" t="s">
        <v>2731</v>
      </c>
      <c r="W3134" s="2" t="s">
        <v>13207</v>
      </c>
      <c r="X3134" s="5" t="str">
        <f>HYPERLINK("https://my.pitchbook.com?p=435780-01P","View People Online")</f>
        <v>View People Online</v>
      </c>
    </row>
    <row r="3135">
      <c r="A3135" s="6" t="s">
        <v>20175</v>
      </c>
      <c r="B3135" s="6" t="s">
        <v>20176</v>
      </c>
      <c r="C3135" s="6" t="s">
        <v>20177</v>
      </c>
      <c r="D3135" s="6" t="s">
        <v>20178</v>
      </c>
      <c r="E3135" s="6" t="s">
        <v>13207</v>
      </c>
      <c r="F3135" s="6" t="s">
        <v>3523</v>
      </c>
      <c r="G3135" s="6" t="s">
        <v>20179</v>
      </c>
      <c r="H3135" s="7" t="s">
        <v>31</v>
      </c>
      <c r="I3135" s="7">
        <v>1.0</v>
      </c>
      <c r="J3135" s="7">
        <v>1.0</v>
      </c>
      <c r="K3135" s="7" t="s">
        <v>31</v>
      </c>
      <c r="L3135" s="8" t="s">
        <v>14092</v>
      </c>
      <c r="M3135" s="6" t="s">
        <v>20180</v>
      </c>
      <c r="N3135" s="6" t="s">
        <v>10742</v>
      </c>
      <c r="O3135" s="8" t="s">
        <v>10743</v>
      </c>
      <c r="P3135" s="6" t="s">
        <v>14094</v>
      </c>
      <c r="Q3135" s="6" t="s">
        <v>14095</v>
      </c>
      <c r="R3135" s="6" t="s">
        <v>10745</v>
      </c>
      <c r="S3135" s="8" t="s">
        <v>14096</v>
      </c>
      <c r="T3135" s="6" t="s">
        <v>1019</v>
      </c>
      <c r="U3135" s="8" t="s">
        <v>14097</v>
      </c>
      <c r="V3135" s="6" t="s">
        <v>3523</v>
      </c>
      <c r="W3135" s="6" t="s">
        <v>13207</v>
      </c>
      <c r="X3135" s="9" t="str">
        <f>HYPERLINK("https://my.pitchbook.com?p=436439-53P","View People Online")</f>
        <v>View People Online</v>
      </c>
    </row>
    <row r="3136">
      <c r="A3136" s="2" t="s">
        <v>20181</v>
      </c>
      <c r="B3136" s="2" t="s">
        <v>20182</v>
      </c>
      <c r="C3136" s="2" t="s">
        <v>20183</v>
      </c>
      <c r="D3136" s="2" t="s">
        <v>20184</v>
      </c>
      <c r="E3136" s="2" t="s">
        <v>13207</v>
      </c>
      <c r="F3136" s="2" t="s">
        <v>13218</v>
      </c>
      <c r="G3136" s="2" t="s">
        <v>20185</v>
      </c>
      <c r="H3136" s="3" t="s">
        <v>31</v>
      </c>
      <c r="I3136" s="3">
        <v>1.0</v>
      </c>
      <c r="J3136" s="3">
        <v>1.0</v>
      </c>
      <c r="K3136" s="3" t="s">
        <v>31</v>
      </c>
      <c r="L3136" s="4" t="s">
        <v>13274</v>
      </c>
      <c r="M3136" s="2" t="s">
        <v>20186</v>
      </c>
      <c r="N3136" s="2" t="s">
        <v>1181</v>
      </c>
      <c r="O3136" s="4" t="s">
        <v>1182</v>
      </c>
      <c r="P3136" s="2" t="s">
        <v>13276</v>
      </c>
      <c r="Q3136" s="2" t="s">
        <v>31</v>
      </c>
      <c r="R3136" s="2" t="s">
        <v>1185</v>
      </c>
      <c r="S3136" s="4" t="s">
        <v>4438</v>
      </c>
      <c r="T3136" s="2" t="s">
        <v>66</v>
      </c>
      <c r="U3136" s="4" t="s">
        <v>13277</v>
      </c>
      <c r="V3136" s="2" t="s">
        <v>13218</v>
      </c>
      <c r="W3136" s="2" t="s">
        <v>13207</v>
      </c>
      <c r="X3136" s="5" t="str">
        <f>HYPERLINK("https://my.pitchbook.com?p=456827-50P","View People Online")</f>
        <v>View People Online</v>
      </c>
    </row>
    <row r="3137">
      <c r="A3137" s="14" t="s">
        <v>20187</v>
      </c>
      <c r="B3137" s="14" t="s">
        <v>20188</v>
      </c>
      <c r="C3137" s="14" t="s">
        <v>20189</v>
      </c>
      <c r="D3137" s="14" t="s">
        <v>4692</v>
      </c>
      <c r="E3137" s="14" t="s">
        <v>13207</v>
      </c>
      <c r="F3137" s="14" t="s">
        <v>13218</v>
      </c>
      <c r="G3137" s="14" t="s">
        <v>20190</v>
      </c>
      <c r="H3137" s="15" t="s">
        <v>31</v>
      </c>
      <c r="I3137" s="15">
        <v>1.0</v>
      </c>
      <c r="J3137" s="15">
        <v>1.0</v>
      </c>
      <c r="K3137" s="15" t="s">
        <v>31</v>
      </c>
      <c r="L3137" s="16" t="s">
        <v>15357</v>
      </c>
      <c r="M3137" s="14" t="s">
        <v>20191</v>
      </c>
      <c r="N3137" s="14" t="s">
        <v>1454</v>
      </c>
      <c r="O3137" s="16" t="s">
        <v>1455</v>
      </c>
      <c r="P3137" s="14" t="s">
        <v>15359</v>
      </c>
      <c r="Q3137" s="14" t="s">
        <v>13635</v>
      </c>
      <c r="R3137" s="14" t="s">
        <v>93</v>
      </c>
      <c r="S3137" s="16" t="s">
        <v>1458</v>
      </c>
      <c r="T3137" s="14" t="s">
        <v>66</v>
      </c>
      <c r="U3137" s="16" t="s">
        <v>15360</v>
      </c>
      <c r="V3137" s="14" t="s">
        <v>13218</v>
      </c>
      <c r="W3137" s="14" t="s">
        <v>13207</v>
      </c>
      <c r="X3137" s="17" t="str">
        <f>HYPERLINK("https://my.pitchbook.com?p=402737-41P","View People Online")</f>
        <v>View People Online</v>
      </c>
    </row>
    <row r="3138">
      <c r="A3138" s="10" t="s">
        <v>20192</v>
      </c>
      <c r="B3138" s="10" t="s">
        <v>20193</v>
      </c>
      <c r="C3138" s="10" t="s">
        <v>20194</v>
      </c>
      <c r="D3138" s="10" t="s">
        <v>20195</v>
      </c>
      <c r="E3138" s="10" t="s">
        <v>13207</v>
      </c>
      <c r="F3138" s="10" t="s">
        <v>13218</v>
      </c>
      <c r="G3138" s="10" t="s">
        <v>20196</v>
      </c>
      <c r="H3138" s="11" t="s">
        <v>31</v>
      </c>
      <c r="I3138" s="11">
        <v>1.0</v>
      </c>
      <c r="J3138" s="11">
        <v>1.0</v>
      </c>
      <c r="K3138" s="11" t="s">
        <v>31</v>
      </c>
      <c r="L3138" s="12" t="s">
        <v>14614</v>
      </c>
      <c r="M3138" s="10" t="s">
        <v>20197</v>
      </c>
      <c r="N3138" s="10" t="s">
        <v>1442</v>
      </c>
      <c r="O3138" s="12" t="s">
        <v>1443</v>
      </c>
      <c r="P3138" s="10" t="s">
        <v>14616</v>
      </c>
      <c r="Q3138" s="10" t="s">
        <v>14617</v>
      </c>
      <c r="R3138" s="10" t="s">
        <v>1277</v>
      </c>
      <c r="S3138" s="12" t="s">
        <v>14618</v>
      </c>
      <c r="T3138" s="10" t="s">
        <v>66</v>
      </c>
      <c r="U3138" s="12" t="s">
        <v>31</v>
      </c>
      <c r="V3138" s="10" t="s">
        <v>13218</v>
      </c>
      <c r="W3138" s="10" t="s">
        <v>13207</v>
      </c>
      <c r="X3138" s="13" t="str">
        <f>HYPERLINK("https://my.pitchbook.com?p=456426-82P","View People Online")</f>
        <v>View People Online</v>
      </c>
    </row>
    <row r="3139">
      <c r="A3139" s="14" t="s">
        <v>20198</v>
      </c>
      <c r="B3139" s="14" t="s">
        <v>20199</v>
      </c>
      <c r="C3139" s="14" t="s">
        <v>20194</v>
      </c>
      <c r="D3139" s="14" t="s">
        <v>20200</v>
      </c>
      <c r="E3139" s="14" t="s">
        <v>13207</v>
      </c>
      <c r="F3139" s="14" t="s">
        <v>13218</v>
      </c>
      <c r="G3139" s="14" t="s">
        <v>20201</v>
      </c>
      <c r="H3139" s="15" t="s">
        <v>31</v>
      </c>
      <c r="I3139" s="15">
        <v>1.0</v>
      </c>
      <c r="J3139" s="15">
        <v>1.0</v>
      </c>
      <c r="K3139" s="15" t="s">
        <v>31</v>
      </c>
      <c r="L3139" s="16" t="s">
        <v>13281</v>
      </c>
      <c r="M3139" s="14" t="s">
        <v>20202</v>
      </c>
      <c r="N3139" s="14" t="s">
        <v>1277</v>
      </c>
      <c r="O3139" s="16" t="s">
        <v>1278</v>
      </c>
      <c r="P3139" s="14" t="s">
        <v>13283</v>
      </c>
      <c r="Q3139" s="14" t="s">
        <v>13284</v>
      </c>
      <c r="R3139" s="14" t="s">
        <v>1281</v>
      </c>
      <c r="S3139" s="16" t="s">
        <v>1282</v>
      </c>
      <c r="T3139" s="14" t="s">
        <v>66</v>
      </c>
      <c r="U3139" s="16" t="s">
        <v>13285</v>
      </c>
      <c r="V3139" s="14" t="s">
        <v>20203</v>
      </c>
      <c r="W3139" s="14" t="s">
        <v>13207</v>
      </c>
      <c r="X3139" s="17" t="str">
        <f>HYPERLINK("https://my.pitchbook.com?p=456212-80P","View People Online")</f>
        <v>View People Online</v>
      </c>
    </row>
    <row r="3140">
      <c r="A3140" s="10" t="s">
        <v>20204</v>
      </c>
      <c r="B3140" s="10" t="s">
        <v>20205</v>
      </c>
      <c r="C3140" s="10" t="s">
        <v>20206</v>
      </c>
      <c r="D3140" s="10" t="s">
        <v>20207</v>
      </c>
      <c r="E3140" s="10" t="s">
        <v>13207</v>
      </c>
      <c r="F3140" s="10" t="s">
        <v>3523</v>
      </c>
      <c r="G3140" s="10" t="s">
        <v>20208</v>
      </c>
      <c r="H3140" s="11" t="s">
        <v>31</v>
      </c>
      <c r="I3140" s="11">
        <v>1.0</v>
      </c>
      <c r="J3140" s="11">
        <v>1.0</v>
      </c>
      <c r="K3140" s="11" t="s">
        <v>31</v>
      </c>
      <c r="L3140" s="12" t="s">
        <v>13496</v>
      </c>
      <c r="M3140" s="10" t="s">
        <v>20209</v>
      </c>
      <c r="N3140" s="10" t="s">
        <v>75</v>
      </c>
      <c r="O3140" s="12" t="s">
        <v>76</v>
      </c>
      <c r="P3140" s="10" t="s">
        <v>13498</v>
      </c>
      <c r="Q3140" s="10" t="s">
        <v>31</v>
      </c>
      <c r="R3140" s="10" t="s">
        <v>75</v>
      </c>
      <c r="S3140" s="12" t="s">
        <v>195</v>
      </c>
      <c r="T3140" s="10" t="s">
        <v>66</v>
      </c>
      <c r="U3140" s="12" t="s">
        <v>13499</v>
      </c>
      <c r="V3140" s="10" t="s">
        <v>3523</v>
      </c>
      <c r="W3140" s="10" t="s">
        <v>13207</v>
      </c>
      <c r="X3140" s="13" t="str">
        <f>HYPERLINK("https://my.pitchbook.com?p=202538-89P","View People Online")</f>
        <v>View People Online</v>
      </c>
    </row>
    <row r="3141">
      <c r="A3141" s="6" t="s">
        <v>20210</v>
      </c>
      <c r="B3141" s="6" t="s">
        <v>20211</v>
      </c>
      <c r="C3141" s="6" t="s">
        <v>20212</v>
      </c>
      <c r="D3141" s="6" t="s">
        <v>20213</v>
      </c>
      <c r="E3141" s="6" t="s">
        <v>13207</v>
      </c>
      <c r="F3141" s="6" t="s">
        <v>29</v>
      </c>
      <c r="G3141" s="6" t="s">
        <v>20214</v>
      </c>
      <c r="H3141" s="7" t="s">
        <v>31</v>
      </c>
      <c r="I3141" s="7">
        <v>1.0</v>
      </c>
      <c r="J3141" s="7">
        <v>1.0</v>
      </c>
      <c r="K3141" s="7" t="s">
        <v>31</v>
      </c>
      <c r="L3141" s="8" t="s">
        <v>13496</v>
      </c>
      <c r="M3141" s="6" t="s">
        <v>20215</v>
      </c>
      <c r="N3141" s="6" t="s">
        <v>75</v>
      </c>
      <c r="O3141" s="8" t="s">
        <v>76</v>
      </c>
      <c r="P3141" s="6" t="s">
        <v>13498</v>
      </c>
      <c r="Q3141" s="6" t="s">
        <v>31</v>
      </c>
      <c r="R3141" s="6" t="s">
        <v>75</v>
      </c>
      <c r="S3141" s="8" t="s">
        <v>195</v>
      </c>
      <c r="T3141" s="6" t="s">
        <v>66</v>
      </c>
      <c r="U3141" s="8" t="s">
        <v>13499</v>
      </c>
      <c r="V3141" s="6" t="s">
        <v>29</v>
      </c>
      <c r="W3141" s="6" t="s">
        <v>13207</v>
      </c>
      <c r="X3141" s="9" t="str">
        <f>HYPERLINK("https://my.pitchbook.com?p=455335-66P","View People Online")</f>
        <v>View People Online</v>
      </c>
    </row>
    <row r="3142">
      <c r="A3142" s="10" t="s">
        <v>20216</v>
      </c>
      <c r="B3142" s="10" t="s">
        <v>20217</v>
      </c>
      <c r="C3142" s="10" t="s">
        <v>20212</v>
      </c>
      <c r="D3142" s="10" t="s">
        <v>20218</v>
      </c>
      <c r="E3142" s="10" t="s">
        <v>13207</v>
      </c>
      <c r="F3142" s="10" t="s">
        <v>3523</v>
      </c>
      <c r="G3142" s="10" t="s">
        <v>20219</v>
      </c>
      <c r="H3142" s="11" t="s">
        <v>31</v>
      </c>
      <c r="I3142" s="11">
        <v>1.0</v>
      </c>
      <c r="J3142" s="11">
        <v>1.0</v>
      </c>
      <c r="K3142" s="11" t="s">
        <v>31</v>
      </c>
      <c r="L3142" s="12" t="s">
        <v>13209</v>
      </c>
      <c r="M3142" s="10" t="s">
        <v>20220</v>
      </c>
      <c r="N3142" s="10" t="s">
        <v>4232</v>
      </c>
      <c r="O3142" s="12" t="s">
        <v>4233</v>
      </c>
      <c r="P3142" s="10" t="s">
        <v>13211</v>
      </c>
      <c r="Q3142" s="10" t="s">
        <v>31</v>
      </c>
      <c r="R3142" s="10" t="s">
        <v>4236</v>
      </c>
      <c r="S3142" s="12" t="s">
        <v>13212</v>
      </c>
      <c r="T3142" s="10" t="s">
        <v>66</v>
      </c>
      <c r="U3142" s="12" t="s">
        <v>13213</v>
      </c>
      <c r="V3142" s="10" t="s">
        <v>3523</v>
      </c>
      <c r="W3142" s="10" t="s">
        <v>13207</v>
      </c>
      <c r="X3142" s="13" t="str">
        <f>HYPERLINK("https://my.pitchbook.com?p=435370-96P","View People Online")</f>
        <v>View People Online</v>
      </c>
    </row>
    <row r="3143">
      <c r="A3143" s="14" t="s">
        <v>20221</v>
      </c>
      <c r="B3143" s="14" t="s">
        <v>20222</v>
      </c>
      <c r="C3143" s="14" t="s">
        <v>20223</v>
      </c>
      <c r="D3143" s="14" t="s">
        <v>20224</v>
      </c>
      <c r="E3143" s="14" t="s">
        <v>13207</v>
      </c>
      <c r="F3143" s="14" t="s">
        <v>29</v>
      </c>
      <c r="G3143" s="14" t="s">
        <v>20225</v>
      </c>
      <c r="H3143" s="15" t="s">
        <v>31</v>
      </c>
      <c r="I3143" s="15">
        <v>1.0</v>
      </c>
      <c r="J3143" s="15">
        <v>1.0</v>
      </c>
      <c r="K3143" s="15" t="s">
        <v>31</v>
      </c>
      <c r="L3143" s="16" t="s">
        <v>14173</v>
      </c>
      <c r="M3143" s="14" t="s">
        <v>20226</v>
      </c>
      <c r="N3143" s="14" t="s">
        <v>658</v>
      </c>
      <c r="O3143" s="16" t="s">
        <v>659</v>
      </c>
      <c r="P3143" s="14" t="s">
        <v>14175</v>
      </c>
      <c r="Q3143" s="14" t="s">
        <v>31</v>
      </c>
      <c r="R3143" s="14" t="s">
        <v>31</v>
      </c>
      <c r="S3143" s="16" t="s">
        <v>660</v>
      </c>
      <c r="T3143" s="14" t="s">
        <v>661</v>
      </c>
      <c r="U3143" s="16" t="s">
        <v>14176</v>
      </c>
      <c r="V3143" s="14" t="s">
        <v>29</v>
      </c>
      <c r="W3143" s="14" t="s">
        <v>13207</v>
      </c>
      <c r="X3143" s="17" t="str">
        <f>HYPERLINK("https://my.pitchbook.com?p=434837-80P","View People Online")</f>
        <v>View People Online</v>
      </c>
    </row>
    <row r="3144">
      <c r="A3144" s="10" t="s">
        <v>20227</v>
      </c>
      <c r="B3144" s="10" t="s">
        <v>20228</v>
      </c>
      <c r="C3144" s="10" t="s">
        <v>7028</v>
      </c>
      <c r="D3144" s="10" t="s">
        <v>9524</v>
      </c>
      <c r="E3144" s="10" t="s">
        <v>13207</v>
      </c>
      <c r="F3144" s="10" t="s">
        <v>13240</v>
      </c>
      <c r="G3144" s="10" t="s">
        <v>20229</v>
      </c>
      <c r="H3144" s="11" t="s">
        <v>31</v>
      </c>
      <c r="I3144" s="11">
        <v>1.0</v>
      </c>
      <c r="J3144" s="11">
        <v>1.0</v>
      </c>
      <c r="K3144" s="11" t="s">
        <v>31</v>
      </c>
      <c r="L3144" s="12" t="s">
        <v>15357</v>
      </c>
      <c r="M3144" s="10" t="s">
        <v>20230</v>
      </c>
      <c r="N3144" s="10" t="s">
        <v>1454</v>
      </c>
      <c r="O3144" s="12" t="s">
        <v>1455</v>
      </c>
      <c r="P3144" s="10" t="s">
        <v>15359</v>
      </c>
      <c r="Q3144" s="10" t="s">
        <v>13635</v>
      </c>
      <c r="R3144" s="10" t="s">
        <v>93</v>
      </c>
      <c r="S3144" s="12" t="s">
        <v>1458</v>
      </c>
      <c r="T3144" s="10" t="s">
        <v>66</v>
      </c>
      <c r="U3144" s="12" t="s">
        <v>15360</v>
      </c>
      <c r="V3144" s="10" t="s">
        <v>13247</v>
      </c>
      <c r="W3144" s="10" t="s">
        <v>13207</v>
      </c>
      <c r="X3144" s="13" t="str">
        <f>HYPERLINK("https://my.pitchbook.com?p=435828-97P","View People Online")</f>
        <v>View People Online</v>
      </c>
    </row>
    <row r="3145">
      <c r="A3145" s="14" t="s">
        <v>20231</v>
      </c>
      <c r="B3145" s="14" t="s">
        <v>20232</v>
      </c>
      <c r="C3145" s="14" t="s">
        <v>7028</v>
      </c>
      <c r="D3145" s="14" t="s">
        <v>20233</v>
      </c>
      <c r="E3145" s="14" t="s">
        <v>13207</v>
      </c>
      <c r="F3145" s="14" t="s">
        <v>13218</v>
      </c>
      <c r="G3145" s="14" t="s">
        <v>20234</v>
      </c>
      <c r="H3145" s="15" t="s">
        <v>31</v>
      </c>
      <c r="I3145" s="15">
        <v>1.0</v>
      </c>
      <c r="J3145" s="15">
        <v>1.0</v>
      </c>
      <c r="K3145" s="15" t="s">
        <v>31</v>
      </c>
      <c r="L3145" s="16" t="s">
        <v>13496</v>
      </c>
      <c r="M3145" s="14" t="s">
        <v>20235</v>
      </c>
      <c r="N3145" s="14" t="s">
        <v>75</v>
      </c>
      <c r="O3145" s="16" t="s">
        <v>76</v>
      </c>
      <c r="P3145" s="14" t="s">
        <v>13498</v>
      </c>
      <c r="Q3145" s="14" t="s">
        <v>31</v>
      </c>
      <c r="R3145" s="14" t="s">
        <v>75</v>
      </c>
      <c r="S3145" s="16" t="s">
        <v>195</v>
      </c>
      <c r="T3145" s="14" t="s">
        <v>66</v>
      </c>
      <c r="U3145" s="16" t="s">
        <v>13499</v>
      </c>
      <c r="V3145" s="14" t="s">
        <v>13218</v>
      </c>
      <c r="W3145" s="14" t="s">
        <v>13207</v>
      </c>
      <c r="X3145" s="17" t="str">
        <f>HYPERLINK("https://my.pitchbook.com?p=456772-78P","View People Online")</f>
        <v>View People Online</v>
      </c>
    </row>
    <row r="3146">
      <c r="A3146" s="10" t="s">
        <v>20236</v>
      </c>
      <c r="B3146" s="10" t="s">
        <v>20237</v>
      </c>
      <c r="C3146" s="10" t="s">
        <v>20238</v>
      </c>
      <c r="D3146" s="10" t="s">
        <v>5127</v>
      </c>
      <c r="E3146" s="10" t="s">
        <v>13207</v>
      </c>
      <c r="F3146" s="10" t="s">
        <v>13218</v>
      </c>
      <c r="G3146" s="10" t="s">
        <v>20239</v>
      </c>
      <c r="H3146" s="11" t="s">
        <v>31</v>
      </c>
      <c r="I3146" s="11">
        <v>10.0</v>
      </c>
      <c r="J3146" s="11">
        <v>2.0</v>
      </c>
      <c r="K3146" s="11">
        <v>7.0</v>
      </c>
      <c r="L3146" s="12" t="s">
        <v>15848</v>
      </c>
      <c r="M3146" s="10" t="s">
        <v>20240</v>
      </c>
      <c r="N3146" s="10" t="s">
        <v>15850</v>
      </c>
      <c r="O3146" s="12" t="s">
        <v>15851</v>
      </c>
      <c r="P3146" s="10" t="s">
        <v>15852</v>
      </c>
      <c r="Q3146" s="10" t="s">
        <v>15853</v>
      </c>
      <c r="R3146" s="10" t="s">
        <v>15854</v>
      </c>
      <c r="S3146" s="12" t="s">
        <v>15855</v>
      </c>
      <c r="T3146" s="10" t="s">
        <v>1209</v>
      </c>
      <c r="U3146" s="12" t="s">
        <v>31</v>
      </c>
      <c r="V3146" s="10" t="s">
        <v>20241</v>
      </c>
      <c r="W3146" s="10" t="s">
        <v>15856</v>
      </c>
      <c r="X3146" s="13" t="str">
        <f>HYPERLINK("https://my.pitchbook.com?p=109271-44P","View People Online")</f>
        <v>View People Online</v>
      </c>
    </row>
    <row r="3147">
      <c r="A3147" s="6" t="s">
        <v>20242</v>
      </c>
      <c r="B3147" s="6" t="s">
        <v>20243</v>
      </c>
      <c r="C3147" s="6" t="s">
        <v>20244</v>
      </c>
      <c r="D3147" s="6" t="s">
        <v>3564</v>
      </c>
      <c r="E3147" s="6" t="s">
        <v>13207</v>
      </c>
      <c r="F3147" s="6" t="s">
        <v>29</v>
      </c>
      <c r="G3147" s="6" t="s">
        <v>20245</v>
      </c>
      <c r="H3147" s="7" t="s">
        <v>31</v>
      </c>
      <c r="I3147" s="7">
        <v>1.0</v>
      </c>
      <c r="J3147" s="7">
        <v>1.0</v>
      </c>
      <c r="K3147" s="7" t="s">
        <v>31</v>
      </c>
      <c r="L3147" s="8" t="s">
        <v>13916</v>
      </c>
      <c r="M3147" s="6" t="s">
        <v>20246</v>
      </c>
      <c r="N3147" s="6" t="s">
        <v>155</v>
      </c>
      <c r="O3147" s="8" t="s">
        <v>156</v>
      </c>
      <c r="P3147" s="6" t="s">
        <v>13918</v>
      </c>
      <c r="Q3147" s="6" t="s">
        <v>13919</v>
      </c>
      <c r="R3147" s="6" t="s">
        <v>64</v>
      </c>
      <c r="S3147" s="8" t="s">
        <v>1549</v>
      </c>
      <c r="T3147" s="6" t="s">
        <v>66</v>
      </c>
      <c r="U3147" s="8" t="s">
        <v>13920</v>
      </c>
      <c r="V3147" s="6" t="s">
        <v>29</v>
      </c>
      <c r="W3147" s="6" t="s">
        <v>13207</v>
      </c>
      <c r="X3147" s="9" t="str">
        <f>HYPERLINK("https://my.pitchbook.com?p=436165-84P","View People Online")</f>
        <v>View People Online</v>
      </c>
    </row>
    <row r="3148">
      <c r="A3148" s="2" t="s">
        <v>20247</v>
      </c>
      <c r="B3148" s="2" t="s">
        <v>20248</v>
      </c>
      <c r="C3148" s="2" t="s">
        <v>901</v>
      </c>
      <c r="D3148" s="2" t="s">
        <v>2432</v>
      </c>
      <c r="E3148" s="2" t="s">
        <v>13207</v>
      </c>
      <c r="F3148" s="2" t="s">
        <v>3523</v>
      </c>
      <c r="G3148" s="2" t="s">
        <v>20249</v>
      </c>
      <c r="H3148" s="3" t="s">
        <v>31</v>
      </c>
      <c r="I3148" s="3">
        <v>1.0</v>
      </c>
      <c r="J3148" s="3">
        <v>1.0</v>
      </c>
      <c r="K3148" s="3" t="s">
        <v>31</v>
      </c>
      <c r="L3148" s="4" t="s">
        <v>13274</v>
      </c>
      <c r="M3148" s="2" t="s">
        <v>20250</v>
      </c>
      <c r="N3148" s="2" t="s">
        <v>1181</v>
      </c>
      <c r="O3148" s="4" t="s">
        <v>1182</v>
      </c>
      <c r="P3148" s="2" t="s">
        <v>13276</v>
      </c>
      <c r="Q3148" s="2" t="s">
        <v>31</v>
      </c>
      <c r="R3148" s="2" t="s">
        <v>1185</v>
      </c>
      <c r="S3148" s="4" t="s">
        <v>4438</v>
      </c>
      <c r="T3148" s="2" t="s">
        <v>66</v>
      </c>
      <c r="U3148" s="4" t="s">
        <v>13277</v>
      </c>
      <c r="V3148" s="2" t="s">
        <v>3523</v>
      </c>
      <c r="W3148" s="2" t="s">
        <v>13207</v>
      </c>
      <c r="X3148" s="5" t="str">
        <f>HYPERLINK("https://my.pitchbook.com?p=455292-28P","View People Online")</f>
        <v>View People Online</v>
      </c>
    </row>
    <row r="3149">
      <c r="A3149" s="14" t="s">
        <v>20251</v>
      </c>
      <c r="B3149" s="14" t="s">
        <v>20252</v>
      </c>
      <c r="C3149" s="14" t="s">
        <v>5185</v>
      </c>
      <c r="D3149" s="14" t="s">
        <v>20253</v>
      </c>
      <c r="E3149" s="14" t="s">
        <v>13207</v>
      </c>
      <c r="F3149" s="14" t="s">
        <v>13218</v>
      </c>
      <c r="G3149" s="14" t="s">
        <v>20254</v>
      </c>
      <c r="H3149" s="15" t="s">
        <v>31</v>
      </c>
      <c r="I3149" s="15">
        <v>1.0</v>
      </c>
      <c r="J3149" s="15">
        <v>1.0</v>
      </c>
      <c r="K3149" s="15" t="s">
        <v>31</v>
      </c>
      <c r="L3149" s="16" t="s">
        <v>13953</v>
      </c>
      <c r="M3149" s="14" t="s">
        <v>20255</v>
      </c>
      <c r="N3149" s="14" t="s">
        <v>1170</v>
      </c>
      <c r="O3149" s="16" t="s">
        <v>1171</v>
      </c>
      <c r="P3149" s="14" t="s">
        <v>13955</v>
      </c>
      <c r="Q3149" s="14" t="s">
        <v>13956</v>
      </c>
      <c r="R3149" s="14" t="s">
        <v>64</v>
      </c>
      <c r="S3149" s="16" t="s">
        <v>13957</v>
      </c>
      <c r="T3149" s="14" t="s">
        <v>66</v>
      </c>
      <c r="U3149" s="16" t="s">
        <v>13958</v>
      </c>
      <c r="V3149" s="14" t="s">
        <v>13218</v>
      </c>
      <c r="W3149" s="14" t="s">
        <v>13207</v>
      </c>
      <c r="X3149" s="17" t="str">
        <f>HYPERLINK("https://my.pitchbook.com?p=456831-73P","View People Online")</f>
        <v>View People Online</v>
      </c>
    </row>
    <row r="3150">
      <c r="A3150" s="2" t="s">
        <v>20256</v>
      </c>
      <c r="B3150" s="2" t="s">
        <v>20257</v>
      </c>
      <c r="C3150" s="2" t="s">
        <v>20258</v>
      </c>
      <c r="D3150" s="2" t="s">
        <v>13483</v>
      </c>
      <c r="E3150" s="2" t="s">
        <v>13207</v>
      </c>
      <c r="F3150" s="2" t="s">
        <v>13218</v>
      </c>
      <c r="G3150" s="2" t="s">
        <v>20259</v>
      </c>
      <c r="H3150" s="3" t="s">
        <v>31</v>
      </c>
      <c r="I3150" s="3">
        <v>1.0</v>
      </c>
      <c r="J3150" s="3">
        <v>1.0</v>
      </c>
      <c r="K3150" s="3" t="s">
        <v>31</v>
      </c>
      <c r="L3150" s="4" t="s">
        <v>15671</v>
      </c>
      <c r="M3150" s="2" t="s">
        <v>20260</v>
      </c>
      <c r="N3150" s="2" t="s">
        <v>15673</v>
      </c>
      <c r="O3150" s="4" t="s">
        <v>15674</v>
      </c>
      <c r="P3150" s="2" t="s">
        <v>15675</v>
      </c>
      <c r="Q3150" s="2" t="s">
        <v>6654</v>
      </c>
      <c r="R3150" s="2" t="s">
        <v>15676</v>
      </c>
      <c r="S3150" s="4" t="s">
        <v>15677</v>
      </c>
      <c r="T3150" s="2" t="s">
        <v>66</v>
      </c>
      <c r="U3150" s="4" t="s">
        <v>15678</v>
      </c>
      <c r="V3150" s="2" t="s">
        <v>13218</v>
      </c>
      <c r="W3150" s="2" t="s">
        <v>13207</v>
      </c>
      <c r="X3150" s="5" t="str">
        <f>HYPERLINK("https://my.pitchbook.com?p=435009-52P","View People Online")</f>
        <v>View People Online</v>
      </c>
    </row>
    <row r="3151">
      <c r="A3151" s="6" t="s">
        <v>20261</v>
      </c>
      <c r="B3151" s="6" t="s">
        <v>20262</v>
      </c>
      <c r="C3151" s="6" t="s">
        <v>907</v>
      </c>
      <c r="D3151" s="6" t="s">
        <v>15398</v>
      </c>
      <c r="E3151" s="6" t="s">
        <v>13207</v>
      </c>
      <c r="F3151" s="6" t="s">
        <v>13307</v>
      </c>
      <c r="G3151" s="6" t="s">
        <v>20263</v>
      </c>
      <c r="H3151" s="7" t="s">
        <v>31</v>
      </c>
      <c r="I3151" s="7">
        <v>1.0</v>
      </c>
      <c r="J3151" s="7">
        <v>1.0</v>
      </c>
      <c r="K3151" s="7" t="s">
        <v>31</v>
      </c>
      <c r="L3151" s="8" t="s">
        <v>13423</v>
      </c>
      <c r="M3151" s="6" t="s">
        <v>20264</v>
      </c>
      <c r="N3151" s="6" t="s">
        <v>243</v>
      </c>
      <c r="O3151" s="8" t="s">
        <v>244</v>
      </c>
      <c r="P3151" s="6" t="s">
        <v>13425</v>
      </c>
      <c r="Q3151" s="6" t="s">
        <v>31</v>
      </c>
      <c r="R3151" s="6" t="s">
        <v>247</v>
      </c>
      <c r="S3151" s="8" t="s">
        <v>13426</v>
      </c>
      <c r="T3151" s="6" t="s">
        <v>249</v>
      </c>
      <c r="U3151" s="8" t="s">
        <v>31</v>
      </c>
      <c r="V3151" s="6" t="s">
        <v>20265</v>
      </c>
      <c r="W3151" s="6" t="s">
        <v>13207</v>
      </c>
      <c r="X3151" s="9" t="str">
        <f>HYPERLINK("https://my.pitchbook.com?p=435015-28P","View People Online")</f>
        <v>View People Online</v>
      </c>
    </row>
    <row r="3152">
      <c r="A3152" s="2" t="s">
        <v>20266</v>
      </c>
      <c r="B3152" s="2" t="s">
        <v>20267</v>
      </c>
      <c r="C3152" s="2" t="s">
        <v>907</v>
      </c>
      <c r="D3152" s="2" t="s">
        <v>20268</v>
      </c>
      <c r="E3152" s="2" t="s">
        <v>13207</v>
      </c>
      <c r="F3152" s="2" t="s">
        <v>13218</v>
      </c>
      <c r="G3152" s="2" t="s">
        <v>20269</v>
      </c>
      <c r="H3152" s="3" t="s">
        <v>31</v>
      </c>
      <c r="I3152" s="3">
        <v>1.0</v>
      </c>
      <c r="J3152" s="3">
        <v>1.0</v>
      </c>
      <c r="K3152" s="3" t="s">
        <v>31</v>
      </c>
      <c r="L3152" s="4" t="s">
        <v>13281</v>
      </c>
      <c r="M3152" s="2" t="s">
        <v>20270</v>
      </c>
      <c r="N3152" s="2" t="s">
        <v>1277</v>
      </c>
      <c r="O3152" s="4" t="s">
        <v>1278</v>
      </c>
      <c r="P3152" s="2" t="s">
        <v>13283</v>
      </c>
      <c r="Q3152" s="2" t="s">
        <v>13284</v>
      </c>
      <c r="R3152" s="2" t="s">
        <v>1281</v>
      </c>
      <c r="S3152" s="4" t="s">
        <v>1282</v>
      </c>
      <c r="T3152" s="2" t="s">
        <v>66</v>
      </c>
      <c r="U3152" s="4" t="s">
        <v>13285</v>
      </c>
      <c r="V3152" s="2" t="s">
        <v>13218</v>
      </c>
      <c r="W3152" s="2" t="s">
        <v>13207</v>
      </c>
      <c r="X3152" s="5" t="str">
        <f>HYPERLINK("https://my.pitchbook.com?p=435404-62P","View People Online")</f>
        <v>View People Online</v>
      </c>
    </row>
    <row r="3153">
      <c r="A3153" s="6" t="s">
        <v>20271</v>
      </c>
      <c r="B3153" s="6" t="s">
        <v>20272</v>
      </c>
      <c r="C3153" s="6" t="s">
        <v>907</v>
      </c>
      <c r="D3153" s="6" t="s">
        <v>20273</v>
      </c>
      <c r="E3153" s="6" t="s">
        <v>13207</v>
      </c>
      <c r="F3153" s="6" t="s">
        <v>3523</v>
      </c>
      <c r="G3153" s="6" t="s">
        <v>20274</v>
      </c>
      <c r="H3153" s="7" t="s">
        <v>31</v>
      </c>
      <c r="I3153" s="7">
        <v>1.0</v>
      </c>
      <c r="J3153" s="7">
        <v>1.0</v>
      </c>
      <c r="K3153" s="7" t="s">
        <v>31</v>
      </c>
      <c r="L3153" s="8" t="s">
        <v>13281</v>
      </c>
      <c r="M3153" s="6" t="s">
        <v>20275</v>
      </c>
      <c r="N3153" s="6" t="s">
        <v>1277</v>
      </c>
      <c r="O3153" s="8" t="s">
        <v>1278</v>
      </c>
      <c r="P3153" s="6" t="s">
        <v>13283</v>
      </c>
      <c r="Q3153" s="6" t="s">
        <v>13284</v>
      </c>
      <c r="R3153" s="6" t="s">
        <v>1281</v>
      </c>
      <c r="S3153" s="8" t="s">
        <v>1282</v>
      </c>
      <c r="T3153" s="6" t="s">
        <v>66</v>
      </c>
      <c r="U3153" s="8" t="s">
        <v>13285</v>
      </c>
      <c r="V3153" s="6" t="s">
        <v>3523</v>
      </c>
      <c r="W3153" s="6" t="s">
        <v>13207</v>
      </c>
      <c r="X3153" s="9" t="str">
        <f>HYPERLINK("https://my.pitchbook.com?p=436149-91P","View People Online")</f>
        <v>View People Online</v>
      </c>
    </row>
    <row r="3154">
      <c r="A3154" s="10" t="s">
        <v>20276</v>
      </c>
      <c r="B3154" s="10" t="s">
        <v>20277</v>
      </c>
      <c r="C3154" s="10" t="s">
        <v>132</v>
      </c>
      <c r="D3154" s="10" t="s">
        <v>20278</v>
      </c>
      <c r="E3154" s="10" t="s">
        <v>13207</v>
      </c>
      <c r="F3154" s="10" t="s">
        <v>3523</v>
      </c>
      <c r="G3154" s="10" t="s">
        <v>20279</v>
      </c>
      <c r="H3154" s="11" t="s">
        <v>31</v>
      </c>
      <c r="I3154" s="11">
        <v>1.0</v>
      </c>
      <c r="J3154" s="11">
        <v>1.0</v>
      </c>
      <c r="K3154" s="11" t="s">
        <v>31</v>
      </c>
      <c r="L3154" s="12" t="s">
        <v>13549</v>
      </c>
      <c r="M3154" s="10" t="s">
        <v>20280</v>
      </c>
      <c r="N3154" s="10" t="s">
        <v>794</v>
      </c>
      <c r="O3154" s="12" t="s">
        <v>795</v>
      </c>
      <c r="P3154" s="10" t="s">
        <v>13551</v>
      </c>
      <c r="Q3154" s="10" t="s">
        <v>13552</v>
      </c>
      <c r="R3154" s="10" t="s">
        <v>31</v>
      </c>
      <c r="S3154" s="12" t="s">
        <v>13553</v>
      </c>
      <c r="T3154" s="10" t="s">
        <v>796</v>
      </c>
      <c r="U3154" s="12" t="s">
        <v>13554</v>
      </c>
      <c r="V3154" s="10" t="s">
        <v>3523</v>
      </c>
      <c r="W3154" s="10" t="s">
        <v>13207</v>
      </c>
      <c r="X3154" s="13" t="str">
        <f>HYPERLINK("https://my.pitchbook.com?p=434950-66P","View People Online")</f>
        <v>View People Online</v>
      </c>
    </row>
    <row r="3155">
      <c r="A3155" s="14" t="s">
        <v>20281</v>
      </c>
      <c r="B3155" s="14" t="s">
        <v>20282</v>
      </c>
      <c r="C3155" s="14" t="s">
        <v>132</v>
      </c>
      <c r="D3155" s="14" t="s">
        <v>20283</v>
      </c>
      <c r="E3155" s="14" t="s">
        <v>13207</v>
      </c>
      <c r="F3155" s="14" t="s">
        <v>13218</v>
      </c>
      <c r="G3155" s="14" t="s">
        <v>20284</v>
      </c>
      <c r="H3155" s="15" t="s">
        <v>31</v>
      </c>
      <c r="I3155" s="15">
        <v>1.0</v>
      </c>
      <c r="J3155" s="15">
        <v>1.0</v>
      </c>
      <c r="K3155" s="15" t="s">
        <v>31</v>
      </c>
      <c r="L3155" s="16" t="s">
        <v>13423</v>
      </c>
      <c r="M3155" s="14" t="s">
        <v>20285</v>
      </c>
      <c r="N3155" s="14" t="s">
        <v>243</v>
      </c>
      <c r="O3155" s="16" t="s">
        <v>244</v>
      </c>
      <c r="P3155" s="14" t="s">
        <v>13425</v>
      </c>
      <c r="Q3155" s="14" t="s">
        <v>31</v>
      </c>
      <c r="R3155" s="14" t="s">
        <v>247</v>
      </c>
      <c r="S3155" s="16" t="s">
        <v>13426</v>
      </c>
      <c r="T3155" s="14" t="s">
        <v>249</v>
      </c>
      <c r="U3155" s="16" t="s">
        <v>31</v>
      </c>
      <c r="V3155" s="14" t="s">
        <v>13218</v>
      </c>
      <c r="W3155" s="14" t="s">
        <v>13207</v>
      </c>
      <c r="X3155" s="17" t="str">
        <f>HYPERLINK("https://my.pitchbook.com?p=188424-28P","View People Online")</f>
        <v>View People Online</v>
      </c>
    </row>
    <row r="3156">
      <c r="A3156" s="2" t="s">
        <v>20286</v>
      </c>
      <c r="B3156" s="2" t="s">
        <v>20287</v>
      </c>
      <c r="C3156" s="2" t="s">
        <v>20288</v>
      </c>
      <c r="D3156" s="2" t="s">
        <v>20289</v>
      </c>
      <c r="E3156" s="2" t="s">
        <v>13207</v>
      </c>
      <c r="F3156" s="2" t="s">
        <v>3523</v>
      </c>
      <c r="G3156" s="2" t="s">
        <v>20290</v>
      </c>
      <c r="H3156" s="3" t="s">
        <v>31</v>
      </c>
      <c r="I3156" s="3">
        <v>1.0</v>
      </c>
      <c r="J3156" s="3">
        <v>1.0</v>
      </c>
      <c r="K3156" s="3" t="s">
        <v>31</v>
      </c>
      <c r="L3156" s="4" t="s">
        <v>13242</v>
      </c>
      <c r="M3156" s="2" t="s">
        <v>20291</v>
      </c>
      <c r="N3156" s="2" t="s">
        <v>9865</v>
      </c>
      <c r="O3156" s="4" t="s">
        <v>9866</v>
      </c>
      <c r="P3156" s="2" t="s">
        <v>13244</v>
      </c>
      <c r="Q3156" s="2" t="s">
        <v>31</v>
      </c>
      <c r="R3156" s="2" t="s">
        <v>31</v>
      </c>
      <c r="S3156" s="4" t="s">
        <v>13245</v>
      </c>
      <c r="T3156" s="2" t="s">
        <v>38</v>
      </c>
      <c r="U3156" s="4" t="s">
        <v>13246</v>
      </c>
      <c r="V3156" s="2" t="s">
        <v>3523</v>
      </c>
      <c r="W3156" s="2" t="s">
        <v>13207</v>
      </c>
      <c r="X3156" s="5" t="str">
        <f>HYPERLINK("https://my.pitchbook.com?p=455860-00P","View People Online")</f>
        <v>View People Online</v>
      </c>
    </row>
    <row r="3157">
      <c r="A3157" s="14" t="s">
        <v>20292</v>
      </c>
      <c r="B3157" s="14" t="s">
        <v>20293</v>
      </c>
      <c r="C3157" s="14" t="s">
        <v>9938</v>
      </c>
      <c r="D3157" s="14" t="s">
        <v>20294</v>
      </c>
      <c r="E3157" s="14" t="s">
        <v>13207</v>
      </c>
      <c r="F3157" s="14" t="s">
        <v>3523</v>
      </c>
      <c r="G3157" s="14" t="s">
        <v>20295</v>
      </c>
      <c r="H3157" s="15" t="s">
        <v>31</v>
      </c>
      <c r="I3157" s="15">
        <v>1.0</v>
      </c>
      <c r="J3157" s="15">
        <v>1.0</v>
      </c>
      <c r="K3157" s="15" t="s">
        <v>31</v>
      </c>
      <c r="L3157" s="16" t="s">
        <v>15050</v>
      </c>
      <c r="M3157" s="14" t="s">
        <v>20296</v>
      </c>
      <c r="N3157" s="14" t="s">
        <v>15052</v>
      </c>
      <c r="O3157" s="16" t="s">
        <v>15053</v>
      </c>
      <c r="P3157" s="14" t="s">
        <v>15054</v>
      </c>
      <c r="Q3157" s="14" t="s">
        <v>15055</v>
      </c>
      <c r="R3157" s="14" t="s">
        <v>31</v>
      </c>
      <c r="S3157" s="16" t="s">
        <v>15056</v>
      </c>
      <c r="T3157" s="14" t="s">
        <v>38</v>
      </c>
      <c r="U3157" s="16" t="s">
        <v>15057</v>
      </c>
      <c r="V3157" s="14" t="s">
        <v>3523</v>
      </c>
      <c r="W3157" s="14" t="s">
        <v>13207</v>
      </c>
      <c r="X3157" s="17" t="str">
        <f>HYPERLINK("https://my.pitchbook.com?p=455727-79P","View People Online")</f>
        <v>View People Online</v>
      </c>
    </row>
    <row r="3158">
      <c r="A3158" s="2" t="s">
        <v>20297</v>
      </c>
      <c r="B3158" s="2" t="s">
        <v>20298</v>
      </c>
      <c r="C3158" s="2" t="s">
        <v>3215</v>
      </c>
      <c r="D3158" s="2" t="s">
        <v>20299</v>
      </c>
      <c r="E3158" s="2" t="s">
        <v>13207</v>
      </c>
      <c r="F3158" s="2" t="s">
        <v>13218</v>
      </c>
      <c r="G3158" s="2" t="s">
        <v>20300</v>
      </c>
      <c r="H3158" s="3" t="s">
        <v>31</v>
      </c>
      <c r="I3158" s="3">
        <v>1.0</v>
      </c>
      <c r="J3158" s="3">
        <v>1.0</v>
      </c>
      <c r="K3158" s="3" t="s">
        <v>31</v>
      </c>
      <c r="L3158" s="4" t="s">
        <v>13378</v>
      </c>
      <c r="M3158" s="2" t="s">
        <v>20301</v>
      </c>
      <c r="N3158" s="2" t="s">
        <v>429</v>
      </c>
      <c r="O3158" s="4" t="s">
        <v>430</v>
      </c>
      <c r="P3158" s="2" t="s">
        <v>13380</v>
      </c>
      <c r="Q3158" s="2" t="s">
        <v>31</v>
      </c>
      <c r="R3158" s="2" t="s">
        <v>31</v>
      </c>
      <c r="S3158" s="4" t="s">
        <v>13381</v>
      </c>
      <c r="T3158" s="2" t="s">
        <v>433</v>
      </c>
      <c r="U3158" s="4" t="s">
        <v>13382</v>
      </c>
      <c r="V3158" s="2" t="s">
        <v>13218</v>
      </c>
      <c r="W3158" s="2" t="s">
        <v>13207</v>
      </c>
      <c r="X3158" s="5" t="str">
        <f>HYPERLINK("https://my.pitchbook.com?p=435754-81P","View People Online")</f>
        <v>View People Online</v>
      </c>
    </row>
    <row r="3159">
      <c r="A3159" s="14" t="s">
        <v>20302</v>
      </c>
      <c r="B3159" s="14" t="s">
        <v>20303</v>
      </c>
      <c r="C3159" s="14" t="s">
        <v>3215</v>
      </c>
      <c r="D3159" s="14" t="s">
        <v>7225</v>
      </c>
      <c r="E3159" s="14" t="s">
        <v>13207</v>
      </c>
      <c r="F3159" s="14" t="s">
        <v>13240</v>
      </c>
      <c r="G3159" s="14" t="s">
        <v>20304</v>
      </c>
      <c r="H3159" s="15" t="s">
        <v>31</v>
      </c>
      <c r="I3159" s="15">
        <v>1.0</v>
      </c>
      <c r="J3159" s="15">
        <v>1.0</v>
      </c>
      <c r="K3159" s="15" t="s">
        <v>31</v>
      </c>
      <c r="L3159" s="16" t="s">
        <v>13242</v>
      </c>
      <c r="M3159" s="14" t="s">
        <v>20305</v>
      </c>
      <c r="N3159" s="14" t="s">
        <v>9865</v>
      </c>
      <c r="O3159" s="16" t="s">
        <v>9866</v>
      </c>
      <c r="P3159" s="14" t="s">
        <v>13244</v>
      </c>
      <c r="Q3159" s="14" t="s">
        <v>31</v>
      </c>
      <c r="R3159" s="14" t="s">
        <v>31</v>
      </c>
      <c r="S3159" s="16" t="s">
        <v>13245</v>
      </c>
      <c r="T3159" s="14" t="s">
        <v>38</v>
      </c>
      <c r="U3159" s="16" t="s">
        <v>13246</v>
      </c>
      <c r="V3159" s="14" t="s">
        <v>13247</v>
      </c>
      <c r="W3159" s="14" t="s">
        <v>13207</v>
      </c>
      <c r="X3159" s="17" t="str">
        <f>HYPERLINK("https://my.pitchbook.com?p=455854-15P","View People Online")</f>
        <v>View People Online</v>
      </c>
    </row>
    <row r="3160">
      <c r="A3160" s="10" t="s">
        <v>20306</v>
      </c>
      <c r="B3160" s="10" t="s">
        <v>20307</v>
      </c>
      <c r="C3160" s="10" t="s">
        <v>3215</v>
      </c>
      <c r="D3160" s="10" t="s">
        <v>20308</v>
      </c>
      <c r="E3160" s="10" t="s">
        <v>13207</v>
      </c>
      <c r="F3160" s="10" t="s">
        <v>3523</v>
      </c>
      <c r="G3160" s="10" t="s">
        <v>20309</v>
      </c>
      <c r="H3160" s="11" t="s">
        <v>31</v>
      </c>
      <c r="I3160" s="11">
        <v>1.0</v>
      </c>
      <c r="J3160" s="11">
        <v>1.0</v>
      </c>
      <c r="K3160" s="11" t="s">
        <v>31</v>
      </c>
      <c r="L3160" s="12" t="s">
        <v>13242</v>
      </c>
      <c r="M3160" s="10" t="s">
        <v>20310</v>
      </c>
      <c r="N3160" s="10" t="s">
        <v>9865</v>
      </c>
      <c r="O3160" s="12" t="s">
        <v>9866</v>
      </c>
      <c r="P3160" s="10" t="s">
        <v>13244</v>
      </c>
      <c r="Q3160" s="10" t="s">
        <v>31</v>
      </c>
      <c r="R3160" s="10" t="s">
        <v>31</v>
      </c>
      <c r="S3160" s="12" t="s">
        <v>13245</v>
      </c>
      <c r="T3160" s="10" t="s">
        <v>38</v>
      </c>
      <c r="U3160" s="12" t="s">
        <v>13246</v>
      </c>
      <c r="V3160" s="10" t="s">
        <v>3523</v>
      </c>
      <c r="W3160" s="10" t="s">
        <v>13207</v>
      </c>
      <c r="X3160" s="13" t="str">
        <f>HYPERLINK("https://my.pitchbook.com?p=435620-62P","View People Online")</f>
        <v>View People Online</v>
      </c>
    </row>
    <row r="3161">
      <c r="A3161" s="6" t="s">
        <v>20311</v>
      </c>
      <c r="B3161" s="6" t="s">
        <v>20312</v>
      </c>
      <c r="C3161" s="6" t="s">
        <v>3215</v>
      </c>
      <c r="D3161" s="6" t="s">
        <v>20313</v>
      </c>
      <c r="E3161" s="6" t="s">
        <v>13207</v>
      </c>
      <c r="F3161" s="6" t="s">
        <v>13218</v>
      </c>
      <c r="G3161" s="6" t="s">
        <v>20314</v>
      </c>
      <c r="H3161" s="7" t="s">
        <v>31</v>
      </c>
      <c r="I3161" s="7">
        <v>1.0</v>
      </c>
      <c r="J3161" s="7">
        <v>1.0</v>
      </c>
      <c r="K3161" s="7" t="s">
        <v>31</v>
      </c>
      <c r="L3161" s="8" t="s">
        <v>13378</v>
      </c>
      <c r="M3161" s="6" t="s">
        <v>20315</v>
      </c>
      <c r="N3161" s="6" t="s">
        <v>429</v>
      </c>
      <c r="O3161" s="8" t="s">
        <v>430</v>
      </c>
      <c r="P3161" s="6" t="s">
        <v>13380</v>
      </c>
      <c r="Q3161" s="6" t="s">
        <v>31</v>
      </c>
      <c r="R3161" s="6" t="s">
        <v>31</v>
      </c>
      <c r="S3161" s="8" t="s">
        <v>13381</v>
      </c>
      <c r="T3161" s="6" t="s">
        <v>433</v>
      </c>
      <c r="U3161" s="8" t="s">
        <v>13382</v>
      </c>
      <c r="V3161" s="6" t="s">
        <v>14182</v>
      </c>
      <c r="W3161" s="6" t="s">
        <v>13207</v>
      </c>
      <c r="X3161" s="9" t="str">
        <f>HYPERLINK("https://my.pitchbook.com?p=17450-20P","View People Online")</f>
        <v>View People Online</v>
      </c>
    </row>
    <row r="3162">
      <c r="A3162" s="2" t="s">
        <v>20316</v>
      </c>
      <c r="B3162" s="2" t="s">
        <v>20317</v>
      </c>
      <c r="C3162" s="2" t="s">
        <v>3215</v>
      </c>
      <c r="D3162" s="2" t="s">
        <v>20318</v>
      </c>
      <c r="E3162" s="2" t="s">
        <v>13207</v>
      </c>
      <c r="F3162" s="2" t="s">
        <v>3523</v>
      </c>
      <c r="G3162" s="2" t="s">
        <v>20319</v>
      </c>
      <c r="H3162" s="3" t="s">
        <v>31</v>
      </c>
      <c r="I3162" s="3">
        <v>1.0</v>
      </c>
      <c r="J3162" s="3">
        <v>1.0</v>
      </c>
      <c r="K3162" s="3" t="s">
        <v>31</v>
      </c>
      <c r="L3162" s="4" t="s">
        <v>13378</v>
      </c>
      <c r="M3162" s="2" t="s">
        <v>20320</v>
      </c>
      <c r="N3162" s="2" t="s">
        <v>429</v>
      </c>
      <c r="O3162" s="4" t="s">
        <v>430</v>
      </c>
      <c r="P3162" s="2" t="s">
        <v>13380</v>
      </c>
      <c r="Q3162" s="2" t="s">
        <v>31</v>
      </c>
      <c r="R3162" s="2" t="s">
        <v>31</v>
      </c>
      <c r="S3162" s="4" t="s">
        <v>13381</v>
      </c>
      <c r="T3162" s="2" t="s">
        <v>433</v>
      </c>
      <c r="U3162" s="4" t="s">
        <v>13382</v>
      </c>
      <c r="V3162" s="2" t="s">
        <v>3523</v>
      </c>
      <c r="W3162" s="2" t="s">
        <v>13207</v>
      </c>
      <c r="X3162" s="5" t="str">
        <f>HYPERLINK("https://my.pitchbook.com?p=455924-44P","View People Online")</f>
        <v>View People Online</v>
      </c>
    </row>
    <row r="3163">
      <c r="A3163" s="6" t="s">
        <v>20321</v>
      </c>
      <c r="B3163" s="6" t="s">
        <v>20322</v>
      </c>
      <c r="C3163" s="6" t="s">
        <v>3215</v>
      </c>
      <c r="D3163" s="6" t="s">
        <v>1583</v>
      </c>
      <c r="E3163" s="6" t="s">
        <v>13207</v>
      </c>
      <c r="F3163" s="6" t="s">
        <v>3523</v>
      </c>
      <c r="G3163" s="6" t="s">
        <v>20323</v>
      </c>
      <c r="H3163" s="7" t="s">
        <v>31</v>
      </c>
      <c r="I3163" s="7">
        <v>1.0</v>
      </c>
      <c r="J3163" s="7">
        <v>1.0</v>
      </c>
      <c r="K3163" s="7" t="s">
        <v>31</v>
      </c>
      <c r="L3163" s="8" t="s">
        <v>13354</v>
      </c>
      <c r="M3163" s="6" t="s">
        <v>20324</v>
      </c>
      <c r="N3163" s="6" t="s">
        <v>13356</v>
      </c>
      <c r="O3163" s="8" t="s">
        <v>13357</v>
      </c>
      <c r="P3163" s="6" t="s">
        <v>13358</v>
      </c>
      <c r="Q3163" s="6" t="s">
        <v>13359</v>
      </c>
      <c r="R3163" s="6" t="s">
        <v>31</v>
      </c>
      <c r="S3163" s="8" t="s">
        <v>13360</v>
      </c>
      <c r="T3163" s="6" t="s">
        <v>13361</v>
      </c>
      <c r="U3163" s="8" t="s">
        <v>13362</v>
      </c>
      <c r="V3163" s="6" t="s">
        <v>3523</v>
      </c>
      <c r="W3163" s="6" t="s">
        <v>13207</v>
      </c>
      <c r="X3163" s="9" t="str">
        <f>HYPERLINK("https://my.pitchbook.com?p=435125-53P","View People Online")</f>
        <v>View People Online</v>
      </c>
    </row>
    <row r="3164">
      <c r="A3164" s="10" t="s">
        <v>20325</v>
      </c>
      <c r="B3164" s="10" t="s">
        <v>20326</v>
      </c>
      <c r="C3164" s="10" t="s">
        <v>3215</v>
      </c>
      <c r="D3164" s="10" t="s">
        <v>20327</v>
      </c>
      <c r="E3164" s="10" t="s">
        <v>13207</v>
      </c>
      <c r="F3164" s="10" t="s">
        <v>3523</v>
      </c>
      <c r="G3164" s="10" t="s">
        <v>20328</v>
      </c>
      <c r="H3164" s="11" t="s">
        <v>31</v>
      </c>
      <c r="I3164" s="11">
        <v>1.0</v>
      </c>
      <c r="J3164" s="11">
        <v>1.0</v>
      </c>
      <c r="K3164" s="11" t="s">
        <v>31</v>
      </c>
      <c r="L3164" s="12" t="s">
        <v>13531</v>
      </c>
      <c r="M3164" s="10" t="s">
        <v>20329</v>
      </c>
      <c r="N3164" s="10" t="s">
        <v>2273</v>
      </c>
      <c r="O3164" s="12" t="s">
        <v>2274</v>
      </c>
      <c r="P3164" s="10" t="s">
        <v>13533</v>
      </c>
      <c r="Q3164" s="10" t="s">
        <v>31</v>
      </c>
      <c r="R3164" s="10" t="s">
        <v>31</v>
      </c>
      <c r="S3164" s="12" t="s">
        <v>13534</v>
      </c>
      <c r="T3164" s="10" t="s">
        <v>2278</v>
      </c>
      <c r="U3164" s="12" t="s">
        <v>13535</v>
      </c>
      <c r="V3164" s="10" t="s">
        <v>3523</v>
      </c>
      <c r="W3164" s="10" t="s">
        <v>13207</v>
      </c>
      <c r="X3164" s="13" t="str">
        <f>HYPERLINK("https://my.pitchbook.com?p=436122-73P","View People Online")</f>
        <v>View People Online</v>
      </c>
    </row>
    <row r="3165">
      <c r="A3165" s="6" t="s">
        <v>20330</v>
      </c>
      <c r="B3165" s="6" t="s">
        <v>20331</v>
      </c>
      <c r="C3165" s="6" t="s">
        <v>3215</v>
      </c>
      <c r="D3165" s="6" t="s">
        <v>3570</v>
      </c>
      <c r="E3165" s="6" t="s">
        <v>13207</v>
      </c>
      <c r="F3165" s="6" t="s">
        <v>3523</v>
      </c>
      <c r="G3165" s="6" t="s">
        <v>20332</v>
      </c>
      <c r="H3165" s="7" t="s">
        <v>31</v>
      </c>
      <c r="I3165" s="7">
        <v>1.0</v>
      </c>
      <c r="J3165" s="7">
        <v>1.0</v>
      </c>
      <c r="K3165" s="7" t="s">
        <v>31</v>
      </c>
      <c r="L3165" s="8" t="s">
        <v>13345</v>
      </c>
      <c r="M3165" s="6" t="s">
        <v>20333</v>
      </c>
      <c r="N3165" s="6" t="s">
        <v>2764</v>
      </c>
      <c r="O3165" s="8" t="s">
        <v>2765</v>
      </c>
      <c r="P3165" s="6" t="s">
        <v>13347</v>
      </c>
      <c r="Q3165" s="6" t="s">
        <v>31</v>
      </c>
      <c r="R3165" s="6" t="s">
        <v>31</v>
      </c>
      <c r="S3165" s="8" t="s">
        <v>13348</v>
      </c>
      <c r="T3165" s="6" t="s">
        <v>2768</v>
      </c>
      <c r="U3165" s="8" t="s">
        <v>13349</v>
      </c>
      <c r="V3165" s="6" t="s">
        <v>3523</v>
      </c>
      <c r="W3165" s="6" t="s">
        <v>13207</v>
      </c>
      <c r="X3165" s="9" t="str">
        <f>HYPERLINK("https://my.pitchbook.com?p=183844-72P","View People Online")</f>
        <v>View People Online</v>
      </c>
    </row>
    <row r="3166">
      <c r="A3166" s="2" t="s">
        <v>20334</v>
      </c>
      <c r="B3166" s="2" t="s">
        <v>20335</v>
      </c>
      <c r="C3166" s="2" t="s">
        <v>382</v>
      </c>
      <c r="D3166" s="2" t="s">
        <v>20336</v>
      </c>
      <c r="E3166" s="2" t="s">
        <v>13207</v>
      </c>
      <c r="F3166" s="2" t="s">
        <v>3523</v>
      </c>
      <c r="G3166" s="2" t="s">
        <v>20337</v>
      </c>
      <c r="H3166" s="3" t="s">
        <v>31</v>
      </c>
      <c r="I3166" s="3">
        <v>1.0</v>
      </c>
      <c r="J3166" s="3">
        <v>1.0</v>
      </c>
      <c r="K3166" s="3" t="s">
        <v>31</v>
      </c>
      <c r="L3166" s="4" t="s">
        <v>13423</v>
      </c>
      <c r="M3166" s="2" t="s">
        <v>20338</v>
      </c>
      <c r="N3166" s="2" t="s">
        <v>243</v>
      </c>
      <c r="O3166" s="4" t="s">
        <v>244</v>
      </c>
      <c r="P3166" s="2" t="s">
        <v>13425</v>
      </c>
      <c r="Q3166" s="2" t="s">
        <v>31</v>
      </c>
      <c r="R3166" s="2" t="s">
        <v>247</v>
      </c>
      <c r="S3166" s="4" t="s">
        <v>13426</v>
      </c>
      <c r="T3166" s="2" t="s">
        <v>249</v>
      </c>
      <c r="U3166" s="4" t="s">
        <v>31</v>
      </c>
      <c r="V3166" s="2" t="s">
        <v>3523</v>
      </c>
      <c r="W3166" s="2" t="s">
        <v>13207</v>
      </c>
      <c r="X3166" s="5" t="str">
        <f>HYPERLINK("https://my.pitchbook.com?p=82575-10P","View People Online")</f>
        <v>View People Online</v>
      </c>
    </row>
    <row r="3167">
      <c r="A3167" s="14" t="s">
        <v>20339</v>
      </c>
      <c r="B3167" s="14" t="s">
        <v>20340</v>
      </c>
      <c r="C3167" s="14" t="s">
        <v>382</v>
      </c>
      <c r="D3167" s="14" t="s">
        <v>20341</v>
      </c>
      <c r="E3167" s="14" t="s">
        <v>13207</v>
      </c>
      <c r="F3167" s="14" t="s">
        <v>3523</v>
      </c>
      <c r="G3167" s="14" t="s">
        <v>20342</v>
      </c>
      <c r="H3167" s="15" t="s">
        <v>31</v>
      </c>
      <c r="I3167" s="15">
        <v>1.0</v>
      </c>
      <c r="J3167" s="15">
        <v>1.0</v>
      </c>
      <c r="K3167" s="15" t="s">
        <v>31</v>
      </c>
      <c r="L3167" s="16" t="s">
        <v>13714</v>
      </c>
      <c r="M3167" s="14" t="s">
        <v>20343</v>
      </c>
      <c r="N3167" s="14" t="s">
        <v>13716</v>
      </c>
      <c r="O3167" s="16" t="s">
        <v>13717</v>
      </c>
      <c r="P3167" s="14" t="s">
        <v>13718</v>
      </c>
      <c r="Q3167" s="14" t="s">
        <v>31</v>
      </c>
      <c r="R3167" s="14" t="s">
        <v>31</v>
      </c>
      <c r="S3167" s="16" t="s">
        <v>13719</v>
      </c>
      <c r="T3167" s="14" t="s">
        <v>38</v>
      </c>
      <c r="U3167" s="16" t="s">
        <v>13720</v>
      </c>
      <c r="V3167" s="14" t="s">
        <v>3523</v>
      </c>
      <c r="W3167" s="14" t="s">
        <v>13207</v>
      </c>
      <c r="X3167" s="17" t="str">
        <f>HYPERLINK("https://my.pitchbook.com?p=435943-45P","View People Online")</f>
        <v>View People Online</v>
      </c>
    </row>
    <row r="3168">
      <c r="A3168" s="10" t="s">
        <v>20344</v>
      </c>
      <c r="B3168" s="10" t="s">
        <v>20345</v>
      </c>
      <c r="C3168" s="10" t="s">
        <v>20346</v>
      </c>
      <c r="D3168" s="10" t="s">
        <v>20347</v>
      </c>
      <c r="E3168" s="10" t="s">
        <v>13207</v>
      </c>
      <c r="F3168" s="10" t="s">
        <v>3523</v>
      </c>
      <c r="G3168" s="10" t="s">
        <v>20348</v>
      </c>
      <c r="H3168" s="11" t="s">
        <v>31</v>
      </c>
      <c r="I3168" s="11">
        <v>1.0</v>
      </c>
      <c r="J3168" s="11">
        <v>1.0</v>
      </c>
      <c r="K3168" s="11" t="s">
        <v>31</v>
      </c>
      <c r="L3168" s="12" t="s">
        <v>13242</v>
      </c>
      <c r="M3168" s="10" t="s">
        <v>20349</v>
      </c>
      <c r="N3168" s="10" t="s">
        <v>9865</v>
      </c>
      <c r="O3168" s="12" t="s">
        <v>9866</v>
      </c>
      <c r="P3168" s="10" t="s">
        <v>13244</v>
      </c>
      <c r="Q3168" s="10" t="s">
        <v>31</v>
      </c>
      <c r="R3168" s="10" t="s">
        <v>31</v>
      </c>
      <c r="S3168" s="12" t="s">
        <v>13245</v>
      </c>
      <c r="T3168" s="10" t="s">
        <v>38</v>
      </c>
      <c r="U3168" s="12" t="s">
        <v>13246</v>
      </c>
      <c r="V3168" s="10" t="s">
        <v>3523</v>
      </c>
      <c r="W3168" s="10" t="s">
        <v>13207</v>
      </c>
      <c r="X3168" s="13" t="str">
        <f>HYPERLINK("https://my.pitchbook.com?p=455626-81P","View People Online")</f>
        <v>View People Online</v>
      </c>
    </row>
    <row r="3169">
      <c r="A3169" s="6" t="s">
        <v>20350</v>
      </c>
      <c r="B3169" s="6" t="s">
        <v>20351</v>
      </c>
      <c r="C3169" s="6" t="s">
        <v>20352</v>
      </c>
      <c r="D3169" s="6" t="s">
        <v>20353</v>
      </c>
      <c r="E3169" s="6" t="s">
        <v>13207</v>
      </c>
      <c r="F3169" s="6" t="s">
        <v>3523</v>
      </c>
      <c r="G3169" s="6" t="s">
        <v>20354</v>
      </c>
      <c r="H3169" s="7" t="s">
        <v>31</v>
      </c>
      <c r="I3169" s="7">
        <v>1.0</v>
      </c>
      <c r="J3169" s="7">
        <v>1.0</v>
      </c>
      <c r="K3169" s="7" t="s">
        <v>31</v>
      </c>
      <c r="L3169" s="8" t="s">
        <v>13399</v>
      </c>
      <c r="M3169" s="6" t="s">
        <v>20355</v>
      </c>
      <c r="N3169" s="6" t="s">
        <v>13401</v>
      </c>
      <c r="O3169" s="8" t="s">
        <v>13402</v>
      </c>
      <c r="P3169" s="6" t="s">
        <v>13403</v>
      </c>
      <c r="Q3169" s="6" t="s">
        <v>13404</v>
      </c>
      <c r="R3169" s="6" t="s">
        <v>31</v>
      </c>
      <c r="S3169" s="8" t="s">
        <v>13405</v>
      </c>
      <c r="T3169" s="6" t="s">
        <v>13406</v>
      </c>
      <c r="U3169" s="8" t="s">
        <v>13407</v>
      </c>
      <c r="V3169" s="6" t="s">
        <v>3523</v>
      </c>
      <c r="W3169" s="6" t="s">
        <v>13207</v>
      </c>
      <c r="X3169" s="9" t="str">
        <f>HYPERLINK("https://my.pitchbook.com?p=436147-30P","View People Online")</f>
        <v>View People Online</v>
      </c>
    </row>
    <row r="3170">
      <c r="A3170" s="2" t="s">
        <v>20356</v>
      </c>
      <c r="B3170" s="2" t="s">
        <v>20357</v>
      </c>
      <c r="C3170" s="2" t="s">
        <v>6111</v>
      </c>
      <c r="D3170" s="2" t="s">
        <v>20358</v>
      </c>
      <c r="E3170" s="2" t="s">
        <v>13207</v>
      </c>
      <c r="F3170" s="2" t="s">
        <v>3523</v>
      </c>
      <c r="G3170" s="2" t="s">
        <v>20359</v>
      </c>
      <c r="H3170" s="3" t="s">
        <v>31</v>
      </c>
      <c r="I3170" s="3">
        <v>1.0</v>
      </c>
      <c r="J3170" s="3">
        <v>1.0</v>
      </c>
      <c r="K3170" s="3" t="s">
        <v>31</v>
      </c>
      <c r="L3170" s="4" t="s">
        <v>13299</v>
      </c>
      <c r="M3170" s="2" t="s">
        <v>20360</v>
      </c>
      <c r="N3170" s="2" t="s">
        <v>601</v>
      </c>
      <c r="O3170" s="4" t="s">
        <v>602</v>
      </c>
      <c r="P3170" s="2" t="s">
        <v>13301</v>
      </c>
      <c r="Q3170" s="2" t="s">
        <v>13302</v>
      </c>
      <c r="R3170" s="2" t="s">
        <v>31</v>
      </c>
      <c r="S3170" s="4" t="s">
        <v>31</v>
      </c>
      <c r="T3170" s="2" t="s">
        <v>603</v>
      </c>
      <c r="U3170" s="4" t="s">
        <v>13303</v>
      </c>
      <c r="V3170" s="2" t="s">
        <v>3523</v>
      </c>
      <c r="W3170" s="2" t="s">
        <v>13207</v>
      </c>
      <c r="X3170" s="5" t="str">
        <f>HYPERLINK("https://my.pitchbook.com?p=435022-75P","View People Online")</f>
        <v>View People Online</v>
      </c>
    </row>
    <row r="3171">
      <c r="A3171" s="14" t="s">
        <v>20361</v>
      </c>
      <c r="B3171" s="14" t="s">
        <v>20362</v>
      </c>
      <c r="C3171" s="14" t="s">
        <v>20363</v>
      </c>
      <c r="D3171" s="14" t="s">
        <v>20364</v>
      </c>
      <c r="E3171" s="14" t="s">
        <v>13207</v>
      </c>
      <c r="F3171" s="14" t="s">
        <v>13218</v>
      </c>
      <c r="G3171" s="14" t="s">
        <v>20365</v>
      </c>
      <c r="H3171" s="15" t="s">
        <v>31</v>
      </c>
      <c r="I3171" s="15">
        <v>1.0</v>
      </c>
      <c r="J3171" s="15">
        <v>1.0</v>
      </c>
      <c r="K3171" s="15" t="s">
        <v>31</v>
      </c>
      <c r="L3171" s="16" t="s">
        <v>13423</v>
      </c>
      <c r="M3171" s="14" t="s">
        <v>20366</v>
      </c>
      <c r="N3171" s="14" t="s">
        <v>243</v>
      </c>
      <c r="O3171" s="16" t="s">
        <v>244</v>
      </c>
      <c r="P3171" s="14" t="s">
        <v>13425</v>
      </c>
      <c r="Q3171" s="14" t="s">
        <v>31</v>
      </c>
      <c r="R3171" s="14" t="s">
        <v>247</v>
      </c>
      <c r="S3171" s="16" t="s">
        <v>13426</v>
      </c>
      <c r="T3171" s="14" t="s">
        <v>249</v>
      </c>
      <c r="U3171" s="16" t="s">
        <v>31</v>
      </c>
      <c r="V3171" s="14" t="s">
        <v>13218</v>
      </c>
      <c r="W3171" s="14" t="s">
        <v>13207</v>
      </c>
      <c r="X3171" s="17" t="str">
        <f>HYPERLINK("https://my.pitchbook.com?p=435713-68P","View People Online")</f>
        <v>View People Online</v>
      </c>
    </row>
    <row r="3172">
      <c r="A3172" s="2" t="s">
        <v>20367</v>
      </c>
      <c r="B3172" s="2" t="s">
        <v>20368</v>
      </c>
      <c r="C3172" s="2" t="s">
        <v>20369</v>
      </c>
      <c r="D3172" s="2" t="s">
        <v>20370</v>
      </c>
      <c r="E3172" s="2" t="s">
        <v>13207</v>
      </c>
      <c r="F3172" s="2" t="s">
        <v>3523</v>
      </c>
      <c r="G3172" s="2" t="s">
        <v>20371</v>
      </c>
      <c r="H3172" s="3" t="s">
        <v>31</v>
      </c>
      <c r="I3172" s="3">
        <v>1.0</v>
      </c>
      <c r="J3172" s="3">
        <v>1.0</v>
      </c>
      <c r="K3172" s="3" t="s">
        <v>31</v>
      </c>
      <c r="L3172" s="4" t="s">
        <v>13673</v>
      </c>
      <c r="M3172" s="2" t="s">
        <v>20372</v>
      </c>
      <c r="N3172" s="2" t="s">
        <v>6311</v>
      </c>
      <c r="O3172" s="4" t="s">
        <v>6312</v>
      </c>
      <c r="P3172" s="2" t="s">
        <v>13675</v>
      </c>
      <c r="Q3172" s="2" t="s">
        <v>31</v>
      </c>
      <c r="R3172" s="2" t="s">
        <v>31</v>
      </c>
      <c r="S3172" s="4" t="s">
        <v>13676</v>
      </c>
      <c r="T3172" s="2" t="s">
        <v>6315</v>
      </c>
      <c r="U3172" s="4" t="s">
        <v>13677</v>
      </c>
      <c r="V3172" s="2" t="s">
        <v>3523</v>
      </c>
      <c r="W3172" s="2" t="s">
        <v>13207</v>
      </c>
      <c r="X3172" s="5" t="str">
        <f>HYPERLINK("https://my.pitchbook.com?p=435853-36P","View People Online")</f>
        <v>View People Online</v>
      </c>
    </row>
    <row r="3173">
      <c r="A3173" s="14" t="s">
        <v>20373</v>
      </c>
      <c r="B3173" s="14" t="s">
        <v>20374</v>
      </c>
      <c r="C3173" s="14" t="s">
        <v>20375</v>
      </c>
      <c r="D3173" s="14" t="s">
        <v>20376</v>
      </c>
      <c r="E3173" s="14" t="s">
        <v>13207</v>
      </c>
      <c r="F3173" s="14" t="s">
        <v>3523</v>
      </c>
      <c r="G3173" s="14" t="s">
        <v>20377</v>
      </c>
      <c r="H3173" s="15" t="s">
        <v>31</v>
      </c>
      <c r="I3173" s="15">
        <v>1.0</v>
      </c>
      <c r="J3173" s="15">
        <v>1.0</v>
      </c>
      <c r="K3173" s="15" t="s">
        <v>31</v>
      </c>
      <c r="L3173" s="16" t="s">
        <v>13309</v>
      </c>
      <c r="M3173" s="14" t="s">
        <v>20378</v>
      </c>
      <c r="N3173" s="14" t="s">
        <v>13311</v>
      </c>
      <c r="O3173" s="16" t="s">
        <v>13312</v>
      </c>
      <c r="P3173" s="14" t="s">
        <v>13313</v>
      </c>
      <c r="Q3173" s="14" t="s">
        <v>31</v>
      </c>
      <c r="R3173" s="14" t="s">
        <v>31</v>
      </c>
      <c r="S3173" s="16" t="s">
        <v>13314</v>
      </c>
      <c r="T3173" s="14" t="s">
        <v>13315</v>
      </c>
      <c r="U3173" s="16" t="s">
        <v>13316</v>
      </c>
      <c r="V3173" s="14" t="s">
        <v>13218</v>
      </c>
      <c r="W3173" s="14" t="s">
        <v>13207</v>
      </c>
      <c r="X3173" s="17" t="str">
        <f>HYPERLINK("https://my.pitchbook.com?p=436298-41P","View People Online")</f>
        <v>View People Online</v>
      </c>
    </row>
    <row r="3174">
      <c r="A3174" s="10" t="s">
        <v>20379</v>
      </c>
      <c r="B3174" s="10" t="s">
        <v>20380</v>
      </c>
      <c r="C3174" s="10" t="s">
        <v>20381</v>
      </c>
      <c r="D3174" s="10" t="s">
        <v>20382</v>
      </c>
      <c r="E3174" s="10" t="s">
        <v>13207</v>
      </c>
      <c r="F3174" s="10" t="s">
        <v>3523</v>
      </c>
      <c r="G3174" s="10" t="s">
        <v>20383</v>
      </c>
      <c r="H3174" s="11" t="s">
        <v>31</v>
      </c>
      <c r="I3174" s="11">
        <v>1.0</v>
      </c>
      <c r="J3174" s="11">
        <v>1.0</v>
      </c>
      <c r="K3174" s="11" t="s">
        <v>31</v>
      </c>
      <c r="L3174" s="12" t="s">
        <v>13252</v>
      </c>
      <c r="M3174" s="10" t="s">
        <v>20384</v>
      </c>
      <c r="N3174" s="10" t="s">
        <v>13254</v>
      </c>
      <c r="O3174" s="12" t="s">
        <v>13255</v>
      </c>
      <c r="P3174" s="10" t="s">
        <v>13256</v>
      </c>
      <c r="Q3174" s="10" t="s">
        <v>31</v>
      </c>
      <c r="R3174" s="10" t="s">
        <v>31</v>
      </c>
      <c r="S3174" s="12" t="s">
        <v>13257</v>
      </c>
      <c r="T3174" s="10" t="s">
        <v>13258</v>
      </c>
      <c r="U3174" s="12" t="s">
        <v>13259</v>
      </c>
      <c r="V3174" s="10" t="s">
        <v>3523</v>
      </c>
      <c r="W3174" s="10" t="s">
        <v>13207</v>
      </c>
      <c r="X3174" s="13" t="str">
        <f>HYPERLINK("https://my.pitchbook.com?p=436382-38P","View People Online")</f>
        <v>View People Online</v>
      </c>
    </row>
    <row r="3175">
      <c r="A3175" s="14" t="s">
        <v>20385</v>
      </c>
      <c r="B3175" s="14" t="s">
        <v>20386</v>
      </c>
      <c r="C3175" s="14" t="s">
        <v>20387</v>
      </c>
      <c r="D3175" s="14" t="s">
        <v>20388</v>
      </c>
      <c r="E3175" s="14" t="s">
        <v>13207</v>
      </c>
      <c r="F3175" s="14" t="s">
        <v>3523</v>
      </c>
      <c r="G3175" s="14" t="s">
        <v>20389</v>
      </c>
      <c r="H3175" s="15" t="s">
        <v>31</v>
      </c>
      <c r="I3175" s="15">
        <v>1.0</v>
      </c>
      <c r="J3175" s="15">
        <v>1.0</v>
      </c>
      <c r="K3175" s="15" t="s">
        <v>31</v>
      </c>
      <c r="L3175" s="16" t="s">
        <v>13274</v>
      </c>
      <c r="M3175" s="14" t="s">
        <v>20390</v>
      </c>
      <c r="N3175" s="14" t="s">
        <v>1181</v>
      </c>
      <c r="O3175" s="16" t="s">
        <v>1182</v>
      </c>
      <c r="P3175" s="14" t="s">
        <v>13276</v>
      </c>
      <c r="Q3175" s="14" t="s">
        <v>31</v>
      </c>
      <c r="R3175" s="14" t="s">
        <v>1185</v>
      </c>
      <c r="S3175" s="16" t="s">
        <v>4438</v>
      </c>
      <c r="T3175" s="14" t="s">
        <v>66</v>
      </c>
      <c r="U3175" s="16" t="s">
        <v>13277</v>
      </c>
      <c r="V3175" s="14" t="s">
        <v>3523</v>
      </c>
      <c r="W3175" s="14" t="s">
        <v>13207</v>
      </c>
      <c r="X3175" s="17" t="str">
        <f>HYPERLINK("https://my.pitchbook.com?p=435000-61P","View People Online")</f>
        <v>View People Online</v>
      </c>
    </row>
    <row r="3176">
      <c r="A3176" s="2" t="s">
        <v>20391</v>
      </c>
      <c r="B3176" s="2" t="s">
        <v>20392</v>
      </c>
      <c r="C3176" s="2" t="s">
        <v>20393</v>
      </c>
      <c r="D3176" s="2" t="s">
        <v>20394</v>
      </c>
      <c r="E3176" s="2" t="s">
        <v>13207</v>
      </c>
      <c r="F3176" s="2" t="s">
        <v>3523</v>
      </c>
      <c r="G3176" s="2" t="s">
        <v>20395</v>
      </c>
      <c r="H3176" s="3" t="s">
        <v>31</v>
      </c>
      <c r="I3176" s="3">
        <v>1.0</v>
      </c>
      <c r="J3176" s="3">
        <v>1.0</v>
      </c>
      <c r="K3176" s="3" t="s">
        <v>31</v>
      </c>
      <c r="L3176" s="4" t="s">
        <v>13274</v>
      </c>
      <c r="M3176" s="2" t="s">
        <v>20396</v>
      </c>
      <c r="N3176" s="2" t="s">
        <v>1181</v>
      </c>
      <c r="O3176" s="4" t="s">
        <v>1182</v>
      </c>
      <c r="P3176" s="2" t="s">
        <v>13276</v>
      </c>
      <c r="Q3176" s="2" t="s">
        <v>31</v>
      </c>
      <c r="R3176" s="2" t="s">
        <v>1185</v>
      </c>
      <c r="S3176" s="4" t="s">
        <v>4438</v>
      </c>
      <c r="T3176" s="2" t="s">
        <v>66</v>
      </c>
      <c r="U3176" s="4" t="s">
        <v>13277</v>
      </c>
      <c r="V3176" s="2" t="s">
        <v>3523</v>
      </c>
      <c r="W3176" s="2" t="s">
        <v>13207</v>
      </c>
      <c r="X3176" s="5" t="str">
        <f>HYPERLINK("https://my.pitchbook.com?p=435504-43P","View People Online")</f>
        <v>View People Online</v>
      </c>
    </row>
    <row r="3177">
      <c r="A3177" s="6" t="s">
        <v>20397</v>
      </c>
      <c r="B3177" s="6" t="s">
        <v>20398</v>
      </c>
      <c r="C3177" s="6" t="s">
        <v>12056</v>
      </c>
      <c r="D3177" s="6" t="s">
        <v>20399</v>
      </c>
      <c r="E3177" s="6" t="s">
        <v>13207</v>
      </c>
      <c r="F3177" s="6" t="s">
        <v>13307</v>
      </c>
      <c r="G3177" s="6" t="s">
        <v>20400</v>
      </c>
      <c r="H3177" s="7" t="s">
        <v>31</v>
      </c>
      <c r="I3177" s="7">
        <v>1.0</v>
      </c>
      <c r="J3177" s="7">
        <v>1.0</v>
      </c>
      <c r="K3177" s="7" t="s">
        <v>31</v>
      </c>
      <c r="L3177" s="8" t="s">
        <v>13274</v>
      </c>
      <c r="M3177" s="6" t="s">
        <v>20401</v>
      </c>
      <c r="N3177" s="6" t="s">
        <v>1181</v>
      </c>
      <c r="O3177" s="8" t="s">
        <v>1182</v>
      </c>
      <c r="P3177" s="6" t="s">
        <v>13276</v>
      </c>
      <c r="Q3177" s="6" t="s">
        <v>31</v>
      </c>
      <c r="R3177" s="6" t="s">
        <v>1185</v>
      </c>
      <c r="S3177" s="8" t="s">
        <v>4438</v>
      </c>
      <c r="T3177" s="6" t="s">
        <v>66</v>
      </c>
      <c r="U3177" s="8" t="s">
        <v>13277</v>
      </c>
      <c r="V3177" s="6" t="s">
        <v>13317</v>
      </c>
      <c r="W3177" s="6" t="s">
        <v>13207</v>
      </c>
      <c r="X3177" s="9" t="str">
        <f>HYPERLINK("https://my.pitchbook.com?p=456137-56P","View People Online")</f>
        <v>View People Online</v>
      </c>
    </row>
    <row r="3178">
      <c r="A3178" s="2" t="s">
        <v>20402</v>
      </c>
      <c r="B3178" s="2" t="s">
        <v>20403</v>
      </c>
      <c r="C3178" s="2" t="s">
        <v>20404</v>
      </c>
      <c r="D3178" s="2" t="s">
        <v>20405</v>
      </c>
      <c r="E3178" s="2" t="s">
        <v>13207</v>
      </c>
      <c r="F3178" s="2" t="s">
        <v>318</v>
      </c>
      <c r="G3178" s="2" t="s">
        <v>20406</v>
      </c>
      <c r="H3178" s="3" t="s">
        <v>31</v>
      </c>
      <c r="I3178" s="3">
        <v>1.0</v>
      </c>
      <c r="J3178" s="3">
        <v>1.0</v>
      </c>
      <c r="K3178" s="3" t="s">
        <v>31</v>
      </c>
      <c r="L3178" s="4" t="s">
        <v>13242</v>
      </c>
      <c r="M3178" s="2" t="s">
        <v>20407</v>
      </c>
      <c r="N3178" s="2" t="s">
        <v>9865</v>
      </c>
      <c r="O3178" s="4" t="s">
        <v>9866</v>
      </c>
      <c r="P3178" s="2" t="s">
        <v>13244</v>
      </c>
      <c r="Q3178" s="2" t="s">
        <v>31</v>
      </c>
      <c r="R3178" s="2" t="s">
        <v>31</v>
      </c>
      <c r="S3178" s="4" t="s">
        <v>13245</v>
      </c>
      <c r="T3178" s="2" t="s">
        <v>38</v>
      </c>
      <c r="U3178" s="4" t="s">
        <v>13246</v>
      </c>
      <c r="V3178" s="2" t="s">
        <v>318</v>
      </c>
      <c r="W3178" s="2" t="s">
        <v>13207</v>
      </c>
      <c r="X3178" s="5" t="str">
        <f>HYPERLINK("https://my.pitchbook.com?p=455514-67P","View People Online")</f>
        <v>View People Online</v>
      </c>
    </row>
    <row r="3179">
      <c r="A3179" s="14" t="s">
        <v>20408</v>
      </c>
      <c r="B3179" s="14" t="s">
        <v>20409</v>
      </c>
      <c r="C3179" s="14" t="s">
        <v>20410</v>
      </c>
      <c r="D3179" s="14" t="s">
        <v>20411</v>
      </c>
      <c r="E3179" s="14" t="s">
        <v>13207</v>
      </c>
      <c r="F3179" s="14" t="s">
        <v>29</v>
      </c>
      <c r="G3179" s="14" t="s">
        <v>20412</v>
      </c>
      <c r="H3179" s="15" t="s">
        <v>31</v>
      </c>
      <c r="I3179" s="15">
        <v>1.0</v>
      </c>
      <c r="J3179" s="15">
        <v>1.0</v>
      </c>
      <c r="K3179" s="15" t="s">
        <v>31</v>
      </c>
      <c r="L3179" s="16" t="s">
        <v>13263</v>
      </c>
      <c r="M3179" s="14" t="s">
        <v>20413</v>
      </c>
      <c r="N3179" s="14" t="s">
        <v>1005</v>
      </c>
      <c r="O3179" s="16" t="s">
        <v>1006</v>
      </c>
      <c r="P3179" s="14" t="s">
        <v>13265</v>
      </c>
      <c r="Q3179" s="14" t="s">
        <v>13266</v>
      </c>
      <c r="R3179" s="14" t="s">
        <v>13267</v>
      </c>
      <c r="S3179" s="16" t="s">
        <v>13268</v>
      </c>
      <c r="T3179" s="14" t="s">
        <v>1010</v>
      </c>
      <c r="U3179" s="16" t="s">
        <v>13269</v>
      </c>
      <c r="V3179" s="14" t="s">
        <v>29</v>
      </c>
      <c r="W3179" s="14" t="s">
        <v>13207</v>
      </c>
      <c r="X3179" s="17" t="str">
        <f>HYPERLINK("https://my.pitchbook.com?p=455206-24P","View People Online")</f>
        <v>View People Online</v>
      </c>
    </row>
    <row r="3180">
      <c r="A3180" s="10" t="s">
        <v>20414</v>
      </c>
      <c r="B3180" s="10" t="s">
        <v>20415</v>
      </c>
      <c r="C3180" s="10" t="s">
        <v>20416</v>
      </c>
      <c r="D3180" s="10" t="s">
        <v>20417</v>
      </c>
      <c r="E3180" s="10" t="s">
        <v>13207</v>
      </c>
      <c r="F3180" s="10" t="s">
        <v>3523</v>
      </c>
      <c r="G3180" s="10" t="s">
        <v>20418</v>
      </c>
      <c r="H3180" s="11" t="s">
        <v>31</v>
      </c>
      <c r="I3180" s="11">
        <v>1.0</v>
      </c>
      <c r="J3180" s="11">
        <v>1.0</v>
      </c>
      <c r="K3180" s="11" t="s">
        <v>31</v>
      </c>
      <c r="L3180" s="12" t="s">
        <v>13274</v>
      </c>
      <c r="M3180" s="10" t="s">
        <v>20419</v>
      </c>
      <c r="N3180" s="10" t="s">
        <v>1181</v>
      </c>
      <c r="O3180" s="12" t="s">
        <v>1182</v>
      </c>
      <c r="P3180" s="10" t="s">
        <v>13276</v>
      </c>
      <c r="Q3180" s="10" t="s">
        <v>31</v>
      </c>
      <c r="R3180" s="10" t="s">
        <v>1185</v>
      </c>
      <c r="S3180" s="12" t="s">
        <v>4438</v>
      </c>
      <c r="T3180" s="10" t="s">
        <v>66</v>
      </c>
      <c r="U3180" s="12" t="s">
        <v>13277</v>
      </c>
      <c r="V3180" s="10" t="s">
        <v>3523</v>
      </c>
      <c r="W3180" s="10" t="s">
        <v>13207</v>
      </c>
      <c r="X3180" s="13" t="str">
        <f>HYPERLINK("https://my.pitchbook.com?p=436290-49P","View People Online")</f>
        <v>View People Online</v>
      </c>
    </row>
    <row r="3181">
      <c r="A3181" s="6" t="s">
        <v>20420</v>
      </c>
      <c r="B3181" s="6" t="s">
        <v>20421</v>
      </c>
      <c r="C3181" s="6" t="s">
        <v>20416</v>
      </c>
      <c r="D3181" s="6" t="s">
        <v>20422</v>
      </c>
      <c r="E3181" s="6" t="s">
        <v>13207</v>
      </c>
      <c r="F3181" s="6" t="s">
        <v>13218</v>
      </c>
      <c r="G3181" s="6" t="s">
        <v>20423</v>
      </c>
      <c r="H3181" s="7" t="s">
        <v>31</v>
      </c>
      <c r="I3181" s="7">
        <v>1.0</v>
      </c>
      <c r="J3181" s="7">
        <v>1.0</v>
      </c>
      <c r="K3181" s="7" t="s">
        <v>31</v>
      </c>
      <c r="L3181" s="8" t="s">
        <v>15012</v>
      </c>
      <c r="M3181" s="6" t="s">
        <v>20424</v>
      </c>
      <c r="N3181" s="6" t="s">
        <v>15014</v>
      </c>
      <c r="O3181" s="8" t="s">
        <v>15015</v>
      </c>
      <c r="P3181" s="6" t="s">
        <v>15016</v>
      </c>
      <c r="Q3181" s="6" t="s">
        <v>31</v>
      </c>
      <c r="R3181" s="6" t="s">
        <v>31</v>
      </c>
      <c r="S3181" s="8" t="s">
        <v>15017</v>
      </c>
      <c r="T3181" s="6" t="s">
        <v>15018</v>
      </c>
      <c r="U3181" s="8" t="s">
        <v>15019</v>
      </c>
      <c r="V3181" s="6" t="s">
        <v>14182</v>
      </c>
      <c r="W3181" s="6" t="s">
        <v>13207</v>
      </c>
      <c r="X3181" s="9" t="str">
        <f>HYPERLINK("https://my.pitchbook.com?p=195939-46P","View People Online")</f>
        <v>View People Online</v>
      </c>
    </row>
    <row r="3182">
      <c r="A3182" s="10" t="s">
        <v>20425</v>
      </c>
      <c r="B3182" s="10" t="s">
        <v>20426</v>
      </c>
      <c r="C3182" s="10" t="s">
        <v>20427</v>
      </c>
      <c r="D3182" s="10" t="s">
        <v>20428</v>
      </c>
      <c r="E3182" s="10" t="s">
        <v>13207</v>
      </c>
      <c r="F3182" s="10" t="s">
        <v>3523</v>
      </c>
      <c r="G3182" s="10" t="s">
        <v>20429</v>
      </c>
      <c r="H3182" s="11" t="s">
        <v>31</v>
      </c>
      <c r="I3182" s="11">
        <v>1.0</v>
      </c>
      <c r="J3182" s="11">
        <v>1.0</v>
      </c>
      <c r="K3182" s="11" t="s">
        <v>31</v>
      </c>
      <c r="L3182" s="12" t="s">
        <v>17191</v>
      </c>
      <c r="M3182" s="10" t="s">
        <v>20430</v>
      </c>
      <c r="N3182" s="10" t="s">
        <v>698</v>
      </c>
      <c r="O3182" s="12" t="s">
        <v>699</v>
      </c>
      <c r="P3182" s="10" t="s">
        <v>17193</v>
      </c>
      <c r="Q3182" s="10" t="s">
        <v>17194</v>
      </c>
      <c r="R3182" s="10" t="s">
        <v>31</v>
      </c>
      <c r="S3182" s="12" t="s">
        <v>17195</v>
      </c>
      <c r="T3182" s="10" t="s">
        <v>700</v>
      </c>
      <c r="U3182" s="12" t="s">
        <v>17196</v>
      </c>
      <c r="V3182" s="10" t="s">
        <v>3523</v>
      </c>
      <c r="W3182" s="10" t="s">
        <v>13207</v>
      </c>
      <c r="X3182" s="13" t="str">
        <f>HYPERLINK("https://my.pitchbook.com?p=436703-32P","View People Online")</f>
        <v>View People Online</v>
      </c>
    </row>
    <row r="3183">
      <c r="A3183" s="6" t="s">
        <v>20431</v>
      </c>
      <c r="B3183" s="6" t="s">
        <v>20432</v>
      </c>
      <c r="C3183" s="6" t="s">
        <v>20433</v>
      </c>
      <c r="D3183" s="6" t="s">
        <v>20434</v>
      </c>
      <c r="E3183" s="6" t="s">
        <v>13207</v>
      </c>
      <c r="F3183" s="6" t="s">
        <v>13218</v>
      </c>
      <c r="G3183" s="6" t="s">
        <v>20435</v>
      </c>
      <c r="H3183" s="7" t="s">
        <v>31</v>
      </c>
      <c r="I3183" s="7">
        <v>1.0</v>
      </c>
      <c r="J3183" s="7">
        <v>1.0</v>
      </c>
      <c r="K3183" s="7" t="s">
        <v>31</v>
      </c>
      <c r="L3183" s="8" t="s">
        <v>13673</v>
      </c>
      <c r="M3183" s="6" t="s">
        <v>20436</v>
      </c>
      <c r="N3183" s="6" t="s">
        <v>6311</v>
      </c>
      <c r="O3183" s="8" t="s">
        <v>6312</v>
      </c>
      <c r="P3183" s="6" t="s">
        <v>13675</v>
      </c>
      <c r="Q3183" s="6" t="s">
        <v>31</v>
      </c>
      <c r="R3183" s="6" t="s">
        <v>31</v>
      </c>
      <c r="S3183" s="8" t="s">
        <v>13676</v>
      </c>
      <c r="T3183" s="6" t="s">
        <v>6315</v>
      </c>
      <c r="U3183" s="8" t="s">
        <v>13677</v>
      </c>
      <c r="V3183" s="6" t="s">
        <v>13218</v>
      </c>
      <c r="W3183" s="6" t="s">
        <v>13207</v>
      </c>
      <c r="X3183" s="9" t="str">
        <f>HYPERLINK("https://my.pitchbook.com?p=435663-82P","View People Online")</f>
        <v>View People Online</v>
      </c>
    </row>
    <row r="3184">
      <c r="A3184" s="2" t="s">
        <v>20437</v>
      </c>
      <c r="B3184" s="2" t="s">
        <v>20438</v>
      </c>
      <c r="C3184" s="2" t="s">
        <v>20439</v>
      </c>
      <c r="D3184" s="2" t="s">
        <v>18045</v>
      </c>
      <c r="E3184" s="2" t="s">
        <v>13207</v>
      </c>
      <c r="F3184" s="2" t="s">
        <v>318</v>
      </c>
      <c r="G3184" s="2" t="s">
        <v>20440</v>
      </c>
      <c r="H3184" s="3" t="s">
        <v>31</v>
      </c>
      <c r="I3184" s="3">
        <v>1.0</v>
      </c>
      <c r="J3184" s="3">
        <v>1.0</v>
      </c>
      <c r="K3184" s="3" t="s">
        <v>31</v>
      </c>
      <c r="L3184" s="4" t="s">
        <v>13423</v>
      </c>
      <c r="M3184" s="2" t="s">
        <v>20441</v>
      </c>
      <c r="N3184" s="2" t="s">
        <v>243</v>
      </c>
      <c r="O3184" s="4" t="s">
        <v>244</v>
      </c>
      <c r="P3184" s="2" t="s">
        <v>13425</v>
      </c>
      <c r="Q3184" s="2" t="s">
        <v>31</v>
      </c>
      <c r="R3184" s="2" t="s">
        <v>247</v>
      </c>
      <c r="S3184" s="4" t="s">
        <v>13426</v>
      </c>
      <c r="T3184" s="2" t="s">
        <v>249</v>
      </c>
      <c r="U3184" s="4" t="s">
        <v>31</v>
      </c>
      <c r="V3184" s="2" t="s">
        <v>20442</v>
      </c>
      <c r="W3184" s="2" t="s">
        <v>13207</v>
      </c>
      <c r="X3184" s="5" t="str">
        <f>HYPERLINK("https://my.pitchbook.com?p=455705-02P","View People Online")</f>
        <v>View People Online</v>
      </c>
    </row>
    <row r="3185">
      <c r="A3185" s="6" t="s">
        <v>20443</v>
      </c>
      <c r="B3185" s="6" t="s">
        <v>20444</v>
      </c>
      <c r="C3185" s="6" t="s">
        <v>20445</v>
      </c>
      <c r="D3185" s="6" t="s">
        <v>20446</v>
      </c>
      <c r="E3185" s="6" t="s">
        <v>13207</v>
      </c>
      <c r="F3185" s="6" t="s">
        <v>13218</v>
      </c>
      <c r="G3185" s="6" t="s">
        <v>20447</v>
      </c>
      <c r="H3185" s="7" t="s">
        <v>31</v>
      </c>
      <c r="I3185" s="7">
        <v>1.0</v>
      </c>
      <c r="J3185" s="7">
        <v>1.0</v>
      </c>
      <c r="K3185" s="7" t="s">
        <v>31</v>
      </c>
      <c r="L3185" s="8" t="s">
        <v>16549</v>
      </c>
      <c r="M3185" s="6" t="s">
        <v>20448</v>
      </c>
      <c r="N3185" s="6" t="s">
        <v>16551</v>
      </c>
      <c r="O3185" s="8" t="s">
        <v>16552</v>
      </c>
      <c r="P3185" s="6" t="s">
        <v>16553</v>
      </c>
      <c r="Q3185" s="6" t="s">
        <v>16554</v>
      </c>
      <c r="R3185" s="6" t="s">
        <v>31</v>
      </c>
      <c r="S3185" s="8" t="s">
        <v>16555</v>
      </c>
      <c r="T3185" s="6" t="s">
        <v>16556</v>
      </c>
      <c r="U3185" s="8" t="s">
        <v>16557</v>
      </c>
      <c r="V3185" s="6" t="s">
        <v>20449</v>
      </c>
      <c r="W3185" s="6" t="s">
        <v>13207</v>
      </c>
      <c r="X3185" s="9" t="str">
        <f>HYPERLINK("https://my.pitchbook.com?p=456748-03P","View People Online")</f>
        <v>View People Online</v>
      </c>
    </row>
    <row r="3186">
      <c r="A3186" s="10" t="s">
        <v>20450</v>
      </c>
      <c r="B3186" s="10" t="s">
        <v>20451</v>
      </c>
      <c r="C3186" s="10" t="s">
        <v>20452</v>
      </c>
      <c r="D3186" s="10" t="s">
        <v>20453</v>
      </c>
      <c r="E3186" s="10" t="s">
        <v>13207</v>
      </c>
      <c r="F3186" s="10" t="s">
        <v>13218</v>
      </c>
      <c r="G3186" s="10" t="s">
        <v>20454</v>
      </c>
      <c r="H3186" s="11" t="s">
        <v>31</v>
      </c>
      <c r="I3186" s="11">
        <v>1.0</v>
      </c>
      <c r="J3186" s="11">
        <v>1.0</v>
      </c>
      <c r="K3186" s="11" t="s">
        <v>31</v>
      </c>
      <c r="L3186" s="12" t="s">
        <v>13714</v>
      </c>
      <c r="M3186" s="10" t="s">
        <v>20455</v>
      </c>
      <c r="N3186" s="10" t="s">
        <v>13716</v>
      </c>
      <c r="O3186" s="12" t="s">
        <v>13717</v>
      </c>
      <c r="P3186" s="10" t="s">
        <v>13718</v>
      </c>
      <c r="Q3186" s="10" t="s">
        <v>31</v>
      </c>
      <c r="R3186" s="10" t="s">
        <v>31</v>
      </c>
      <c r="S3186" s="12" t="s">
        <v>13719</v>
      </c>
      <c r="T3186" s="10" t="s">
        <v>38</v>
      </c>
      <c r="U3186" s="12" t="s">
        <v>13720</v>
      </c>
      <c r="V3186" s="10" t="s">
        <v>13218</v>
      </c>
      <c r="W3186" s="10" t="s">
        <v>13207</v>
      </c>
      <c r="X3186" s="13" t="str">
        <f>HYPERLINK("https://my.pitchbook.com?p=435784-42P","View People Online")</f>
        <v>View People Online</v>
      </c>
    </row>
    <row r="3187">
      <c r="A3187" s="6" t="s">
        <v>20456</v>
      </c>
      <c r="B3187" s="6" t="s">
        <v>20457</v>
      </c>
      <c r="C3187" s="6" t="s">
        <v>20458</v>
      </c>
      <c r="D3187" s="6" t="s">
        <v>20459</v>
      </c>
      <c r="E3187" s="6" t="s">
        <v>13207</v>
      </c>
      <c r="F3187" s="6" t="s">
        <v>29</v>
      </c>
      <c r="G3187" s="6" t="s">
        <v>20460</v>
      </c>
      <c r="H3187" s="7" t="s">
        <v>31</v>
      </c>
      <c r="I3187" s="7">
        <v>1.0</v>
      </c>
      <c r="J3187" s="7">
        <v>1.0</v>
      </c>
      <c r="K3187" s="7" t="s">
        <v>31</v>
      </c>
      <c r="L3187" s="8" t="s">
        <v>13864</v>
      </c>
      <c r="M3187" s="6" t="s">
        <v>20461</v>
      </c>
      <c r="N3187" s="6" t="s">
        <v>1841</v>
      </c>
      <c r="O3187" s="8" t="s">
        <v>1842</v>
      </c>
      <c r="P3187" s="6" t="s">
        <v>13866</v>
      </c>
      <c r="Q3187" s="6" t="s">
        <v>13867</v>
      </c>
      <c r="R3187" s="6" t="s">
        <v>31</v>
      </c>
      <c r="S3187" s="8" t="s">
        <v>31</v>
      </c>
      <c r="T3187" s="6" t="s">
        <v>1845</v>
      </c>
      <c r="U3187" s="8" t="s">
        <v>31</v>
      </c>
      <c r="V3187" s="6" t="s">
        <v>29</v>
      </c>
      <c r="W3187" s="6" t="s">
        <v>13207</v>
      </c>
      <c r="X3187" s="9" t="str">
        <f>HYPERLINK("https://my.pitchbook.com?p=435141-01P","View People Online")</f>
        <v>View People Online</v>
      </c>
    </row>
    <row r="3188">
      <c r="A3188" s="2" t="s">
        <v>20462</v>
      </c>
      <c r="B3188" s="2" t="s">
        <v>20463</v>
      </c>
      <c r="C3188" s="2" t="s">
        <v>20464</v>
      </c>
      <c r="D3188" s="2" t="s">
        <v>20465</v>
      </c>
      <c r="E3188" s="2" t="s">
        <v>13207</v>
      </c>
      <c r="F3188" s="2" t="s">
        <v>3523</v>
      </c>
      <c r="G3188" s="2" t="s">
        <v>20466</v>
      </c>
      <c r="H3188" s="3" t="s">
        <v>31</v>
      </c>
      <c r="I3188" s="3">
        <v>1.0</v>
      </c>
      <c r="J3188" s="3">
        <v>1.0</v>
      </c>
      <c r="K3188" s="3" t="s">
        <v>31</v>
      </c>
      <c r="L3188" s="4" t="s">
        <v>13673</v>
      </c>
      <c r="M3188" s="2" t="s">
        <v>20467</v>
      </c>
      <c r="N3188" s="2" t="s">
        <v>6311</v>
      </c>
      <c r="O3188" s="4" t="s">
        <v>6312</v>
      </c>
      <c r="P3188" s="2" t="s">
        <v>13675</v>
      </c>
      <c r="Q3188" s="2" t="s">
        <v>31</v>
      </c>
      <c r="R3188" s="2" t="s">
        <v>31</v>
      </c>
      <c r="S3188" s="4" t="s">
        <v>13676</v>
      </c>
      <c r="T3188" s="2" t="s">
        <v>6315</v>
      </c>
      <c r="U3188" s="4" t="s">
        <v>13677</v>
      </c>
      <c r="V3188" s="2" t="s">
        <v>3523</v>
      </c>
      <c r="W3188" s="2" t="s">
        <v>13207</v>
      </c>
      <c r="X3188" s="5" t="str">
        <f>HYPERLINK("https://my.pitchbook.com?p=455469-40P","View People Online")</f>
        <v>View People Online</v>
      </c>
    </row>
    <row r="3189">
      <c r="A3189" s="14" t="s">
        <v>20468</v>
      </c>
      <c r="B3189" s="14" t="s">
        <v>20469</v>
      </c>
      <c r="C3189" s="14" t="s">
        <v>3221</v>
      </c>
      <c r="D3189" s="14" t="s">
        <v>20470</v>
      </c>
      <c r="E3189" s="14" t="s">
        <v>13207</v>
      </c>
      <c r="F3189" s="14" t="s">
        <v>3523</v>
      </c>
      <c r="G3189" s="14" t="s">
        <v>20471</v>
      </c>
      <c r="H3189" s="15" t="s">
        <v>31</v>
      </c>
      <c r="I3189" s="15">
        <v>1.0</v>
      </c>
      <c r="J3189" s="15">
        <v>1.0</v>
      </c>
      <c r="K3189" s="15" t="s">
        <v>31</v>
      </c>
      <c r="L3189" s="16" t="s">
        <v>15050</v>
      </c>
      <c r="M3189" s="14" t="s">
        <v>20472</v>
      </c>
      <c r="N3189" s="14" t="s">
        <v>15052</v>
      </c>
      <c r="O3189" s="16" t="s">
        <v>15053</v>
      </c>
      <c r="P3189" s="14" t="s">
        <v>15054</v>
      </c>
      <c r="Q3189" s="14" t="s">
        <v>15055</v>
      </c>
      <c r="R3189" s="14" t="s">
        <v>31</v>
      </c>
      <c r="S3189" s="16" t="s">
        <v>15056</v>
      </c>
      <c r="T3189" s="14" t="s">
        <v>38</v>
      </c>
      <c r="U3189" s="16" t="s">
        <v>15057</v>
      </c>
      <c r="V3189" s="14" t="s">
        <v>3523</v>
      </c>
      <c r="W3189" s="14" t="s">
        <v>13207</v>
      </c>
      <c r="X3189" s="17" t="str">
        <f>HYPERLINK("https://my.pitchbook.com?p=435226-06P","View People Online")</f>
        <v>View People Online</v>
      </c>
    </row>
    <row r="3190">
      <c r="A3190" s="2" t="s">
        <v>20473</v>
      </c>
      <c r="B3190" s="2" t="s">
        <v>20474</v>
      </c>
      <c r="C3190" s="2" t="s">
        <v>3221</v>
      </c>
      <c r="D3190" s="2" t="s">
        <v>20475</v>
      </c>
      <c r="E3190" s="2" t="s">
        <v>13207</v>
      </c>
      <c r="F3190" s="2" t="s">
        <v>1283</v>
      </c>
      <c r="G3190" s="2" t="s">
        <v>20476</v>
      </c>
      <c r="H3190" s="3" t="s">
        <v>31</v>
      </c>
      <c r="I3190" s="3">
        <v>2.0</v>
      </c>
      <c r="J3190" s="3">
        <v>2.0</v>
      </c>
      <c r="K3190" s="3" t="s">
        <v>31</v>
      </c>
      <c r="L3190" s="4" t="s">
        <v>20477</v>
      </c>
      <c r="M3190" s="2" t="s">
        <v>20478</v>
      </c>
      <c r="N3190" s="2" t="s">
        <v>20479</v>
      </c>
      <c r="O3190" s="4" t="s">
        <v>20480</v>
      </c>
      <c r="P3190" s="2" t="s">
        <v>20481</v>
      </c>
      <c r="Q3190" s="2" t="s">
        <v>31</v>
      </c>
      <c r="R3190" s="2" t="s">
        <v>31</v>
      </c>
      <c r="S3190" s="4" t="s">
        <v>20482</v>
      </c>
      <c r="T3190" s="2" t="s">
        <v>38</v>
      </c>
      <c r="U3190" s="4" t="s">
        <v>20483</v>
      </c>
      <c r="V3190" s="2" t="s">
        <v>78</v>
      </c>
      <c r="W3190" s="2" t="s">
        <v>20484</v>
      </c>
      <c r="X3190" s="5" t="str">
        <f>HYPERLINK("https://my.pitchbook.com?p=416000-44P","View People Online")</f>
        <v>View People Online</v>
      </c>
    </row>
    <row r="3191">
      <c r="A3191" s="6" t="s">
        <v>20485</v>
      </c>
      <c r="B3191" s="6" t="s">
        <v>20486</v>
      </c>
      <c r="C3191" s="6" t="s">
        <v>3233</v>
      </c>
      <c r="D3191" s="6" t="s">
        <v>20487</v>
      </c>
      <c r="E3191" s="6" t="s">
        <v>13207</v>
      </c>
      <c r="F3191" s="6" t="s">
        <v>13218</v>
      </c>
      <c r="G3191" s="6" t="s">
        <v>20488</v>
      </c>
      <c r="H3191" s="7" t="s">
        <v>31</v>
      </c>
      <c r="I3191" s="7">
        <v>1.0</v>
      </c>
      <c r="J3191" s="7">
        <v>1.0</v>
      </c>
      <c r="K3191" s="7" t="s">
        <v>31</v>
      </c>
      <c r="L3191" s="8" t="s">
        <v>13378</v>
      </c>
      <c r="M3191" s="6" t="s">
        <v>20489</v>
      </c>
      <c r="N3191" s="6" t="s">
        <v>429</v>
      </c>
      <c r="O3191" s="8" t="s">
        <v>430</v>
      </c>
      <c r="P3191" s="6" t="s">
        <v>13380</v>
      </c>
      <c r="Q3191" s="6" t="s">
        <v>31</v>
      </c>
      <c r="R3191" s="6" t="s">
        <v>31</v>
      </c>
      <c r="S3191" s="8" t="s">
        <v>13381</v>
      </c>
      <c r="T3191" s="6" t="s">
        <v>433</v>
      </c>
      <c r="U3191" s="8" t="s">
        <v>13382</v>
      </c>
      <c r="V3191" s="6" t="s">
        <v>13218</v>
      </c>
      <c r="W3191" s="6" t="s">
        <v>13207</v>
      </c>
      <c r="X3191" s="9" t="str">
        <f>HYPERLINK("https://my.pitchbook.com?p=435501-91P","View People Online")</f>
        <v>View People Online</v>
      </c>
    </row>
    <row r="3192">
      <c r="A3192" s="10" t="s">
        <v>20490</v>
      </c>
      <c r="B3192" s="10" t="s">
        <v>20491</v>
      </c>
      <c r="C3192" s="10" t="s">
        <v>3233</v>
      </c>
      <c r="D3192" s="10" t="s">
        <v>20492</v>
      </c>
      <c r="E3192" s="10" t="s">
        <v>13207</v>
      </c>
      <c r="F3192" s="10" t="s">
        <v>3523</v>
      </c>
      <c r="G3192" s="10" t="s">
        <v>20493</v>
      </c>
      <c r="H3192" s="11" t="s">
        <v>31</v>
      </c>
      <c r="I3192" s="11">
        <v>1.0</v>
      </c>
      <c r="J3192" s="11">
        <v>1.0</v>
      </c>
      <c r="K3192" s="11" t="s">
        <v>31</v>
      </c>
      <c r="L3192" s="12" t="s">
        <v>13743</v>
      </c>
      <c r="M3192" s="10" t="s">
        <v>20494</v>
      </c>
      <c r="N3192" s="10" t="s">
        <v>1034</v>
      </c>
      <c r="O3192" s="12" t="s">
        <v>1035</v>
      </c>
      <c r="P3192" s="10" t="s">
        <v>13745</v>
      </c>
      <c r="Q3192" s="10" t="s">
        <v>13746</v>
      </c>
      <c r="R3192" s="10" t="s">
        <v>31</v>
      </c>
      <c r="S3192" s="12" t="s">
        <v>13747</v>
      </c>
      <c r="T3192" s="10" t="s">
        <v>1034</v>
      </c>
      <c r="U3192" s="12" t="s">
        <v>13748</v>
      </c>
      <c r="V3192" s="10" t="s">
        <v>3523</v>
      </c>
      <c r="W3192" s="10" t="s">
        <v>13207</v>
      </c>
      <c r="X3192" s="13" t="str">
        <f>HYPERLINK("https://my.pitchbook.com?p=436297-60P","View People Online")</f>
        <v>View People Online</v>
      </c>
    </row>
    <row r="3193">
      <c r="A3193" s="14" t="s">
        <v>20495</v>
      </c>
      <c r="B3193" s="14" t="s">
        <v>20496</v>
      </c>
      <c r="C3193" s="14" t="s">
        <v>3233</v>
      </c>
      <c r="D3193" s="14" t="s">
        <v>20497</v>
      </c>
      <c r="E3193" s="14" t="s">
        <v>13207</v>
      </c>
      <c r="F3193" s="14" t="s">
        <v>3523</v>
      </c>
      <c r="G3193" s="14" t="s">
        <v>20498</v>
      </c>
      <c r="H3193" s="15" t="s">
        <v>31</v>
      </c>
      <c r="I3193" s="15">
        <v>1.0</v>
      </c>
      <c r="J3193" s="15">
        <v>1.0</v>
      </c>
      <c r="K3193" s="15" t="s">
        <v>31</v>
      </c>
      <c r="L3193" s="16" t="s">
        <v>13743</v>
      </c>
      <c r="M3193" s="14" t="s">
        <v>20499</v>
      </c>
      <c r="N3193" s="14" t="s">
        <v>1034</v>
      </c>
      <c r="O3193" s="16" t="s">
        <v>1035</v>
      </c>
      <c r="P3193" s="14" t="s">
        <v>13745</v>
      </c>
      <c r="Q3193" s="14" t="s">
        <v>13746</v>
      </c>
      <c r="R3193" s="14" t="s">
        <v>31</v>
      </c>
      <c r="S3193" s="16" t="s">
        <v>13747</v>
      </c>
      <c r="T3193" s="14" t="s">
        <v>1034</v>
      </c>
      <c r="U3193" s="16" t="s">
        <v>13748</v>
      </c>
      <c r="V3193" s="14" t="s">
        <v>3523</v>
      </c>
      <c r="W3193" s="14" t="s">
        <v>13207</v>
      </c>
      <c r="X3193" s="17" t="str">
        <f>HYPERLINK("https://my.pitchbook.com?p=455468-14P","View People Online")</f>
        <v>View People Online</v>
      </c>
    </row>
    <row r="3194">
      <c r="A3194" s="10" t="s">
        <v>20500</v>
      </c>
      <c r="B3194" s="10" t="s">
        <v>20501</v>
      </c>
      <c r="C3194" s="10" t="s">
        <v>3233</v>
      </c>
      <c r="D3194" s="10" t="s">
        <v>20502</v>
      </c>
      <c r="E3194" s="10" t="s">
        <v>13207</v>
      </c>
      <c r="F3194" s="10" t="s">
        <v>13218</v>
      </c>
      <c r="G3194" s="10" t="s">
        <v>20503</v>
      </c>
      <c r="H3194" s="11" t="s">
        <v>31</v>
      </c>
      <c r="I3194" s="11">
        <v>1.0</v>
      </c>
      <c r="J3194" s="11">
        <v>1.0</v>
      </c>
      <c r="K3194" s="11" t="s">
        <v>31</v>
      </c>
      <c r="L3194" s="12" t="s">
        <v>13378</v>
      </c>
      <c r="M3194" s="10" t="s">
        <v>20504</v>
      </c>
      <c r="N3194" s="10" t="s">
        <v>429</v>
      </c>
      <c r="O3194" s="12" t="s">
        <v>430</v>
      </c>
      <c r="P3194" s="10" t="s">
        <v>13380</v>
      </c>
      <c r="Q3194" s="10" t="s">
        <v>31</v>
      </c>
      <c r="R3194" s="10" t="s">
        <v>31</v>
      </c>
      <c r="S3194" s="12" t="s">
        <v>13381</v>
      </c>
      <c r="T3194" s="10" t="s">
        <v>433</v>
      </c>
      <c r="U3194" s="12" t="s">
        <v>13382</v>
      </c>
      <c r="V3194" s="10" t="s">
        <v>13218</v>
      </c>
      <c r="W3194" s="10" t="s">
        <v>13207</v>
      </c>
      <c r="X3194" s="13" t="str">
        <f>HYPERLINK("https://my.pitchbook.com?p=456757-84P","View People Online")</f>
        <v>View People Online</v>
      </c>
    </row>
    <row r="3195">
      <c r="A3195" s="14" t="s">
        <v>20505</v>
      </c>
      <c r="B3195" s="14" t="s">
        <v>20506</v>
      </c>
      <c r="C3195" s="14" t="s">
        <v>3233</v>
      </c>
      <c r="D3195" s="14" t="s">
        <v>20507</v>
      </c>
      <c r="E3195" s="14" t="s">
        <v>13207</v>
      </c>
      <c r="F3195" s="14" t="s">
        <v>2652</v>
      </c>
      <c r="G3195" s="14" t="s">
        <v>20508</v>
      </c>
      <c r="H3195" s="15" t="s">
        <v>31</v>
      </c>
      <c r="I3195" s="15">
        <v>1.0</v>
      </c>
      <c r="J3195" s="15">
        <v>1.0</v>
      </c>
      <c r="K3195" s="15" t="s">
        <v>31</v>
      </c>
      <c r="L3195" s="16" t="s">
        <v>13378</v>
      </c>
      <c r="M3195" s="14" t="s">
        <v>20509</v>
      </c>
      <c r="N3195" s="14" t="s">
        <v>429</v>
      </c>
      <c r="O3195" s="16" t="s">
        <v>430</v>
      </c>
      <c r="P3195" s="14" t="s">
        <v>13380</v>
      </c>
      <c r="Q3195" s="14" t="s">
        <v>31</v>
      </c>
      <c r="R3195" s="14" t="s">
        <v>31</v>
      </c>
      <c r="S3195" s="16" t="s">
        <v>13381</v>
      </c>
      <c r="T3195" s="14" t="s">
        <v>433</v>
      </c>
      <c r="U3195" s="16" t="s">
        <v>13382</v>
      </c>
      <c r="V3195" s="14" t="s">
        <v>20510</v>
      </c>
      <c r="W3195" s="14" t="s">
        <v>13207</v>
      </c>
      <c r="X3195" s="17" t="str">
        <f>HYPERLINK("https://my.pitchbook.com?p=456839-29P","View People Online")</f>
        <v>View People Online</v>
      </c>
    </row>
    <row r="3196">
      <c r="A3196" s="2" t="s">
        <v>20511</v>
      </c>
      <c r="B3196" s="2" t="s">
        <v>20512</v>
      </c>
      <c r="C3196" s="2" t="s">
        <v>3233</v>
      </c>
      <c r="D3196" s="2" t="s">
        <v>20513</v>
      </c>
      <c r="E3196" s="2" t="s">
        <v>13207</v>
      </c>
      <c r="F3196" s="2" t="s">
        <v>13218</v>
      </c>
      <c r="G3196" s="2" t="s">
        <v>20514</v>
      </c>
      <c r="H3196" s="3" t="s">
        <v>31</v>
      </c>
      <c r="I3196" s="3">
        <v>1.0</v>
      </c>
      <c r="J3196" s="3">
        <v>1.0</v>
      </c>
      <c r="K3196" s="3" t="s">
        <v>31</v>
      </c>
      <c r="L3196" s="4" t="s">
        <v>13378</v>
      </c>
      <c r="M3196" s="2" t="s">
        <v>20515</v>
      </c>
      <c r="N3196" s="2" t="s">
        <v>429</v>
      </c>
      <c r="O3196" s="4" t="s">
        <v>430</v>
      </c>
      <c r="P3196" s="2" t="s">
        <v>13380</v>
      </c>
      <c r="Q3196" s="2" t="s">
        <v>31</v>
      </c>
      <c r="R3196" s="2" t="s">
        <v>31</v>
      </c>
      <c r="S3196" s="4" t="s">
        <v>13381</v>
      </c>
      <c r="T3196" s="2" t="s">
        <v>433</v>
      </c>
      <c r="U3196" s="4" t="s">
        <v>13382</v>
      </c>
      <c r="V3196" s="2" t="s">
        <v>13218</v>
      </c>
      <c r="W3196" s="2" t="s">
        <v>13207</v>
      </c>
      <c r="X3196" s="5" t="str">
        <f>HYPERLINK("https://my.pitchbook.com?p=456766-93P","View People Online")</f>
        <v>View People Online</v>
      </c>
    </row>
    <row r="3197">
      <c r="A3197" s="6" t="s">
        <v>20516</v>
      </c>
      <c r="B3197" s="6" t="s">
        <v>20517</v>
      </c>
      <c r="C3197" s="6" t="s">
        <v>20518</v>
      </c>
      <c r="D3197" s="6" t="s">
        <v>20519</v>
      </c>
      <c r="E3197" s="6" t="s">
        <v>13207</v>
      </c>
      <c r="F3197" s="6" t="s">
        <v>3523</v>
      </c>
      <c r="G3197" s="6" t="s">
        <v>20520</v>
      </c>
      <c r="H3197" s="7" t="s">
        <v>31</v>
      </c>
      <c r="I3197" s="7">
        <v>1.0</v>
      </c>
      <c r="J3197" s="7">
        <v>1.0</v>
      </c>
      <c r="K3197" s="7" t="s">
        <v>31</v>
      </c>
      <c r="L3197" s="8" t="s">
        <v>13345</v>
      </c>
      <c r="M3197" s="6" t="s">
        <v>20521</v>
      </c>
      <c r="N3197" s="6" t="s">
        <v>2764</v>
      </c>
      <c r="O3197" s="8" t="s">
        <v>2765</v>
      </c>
      <c r="P3197" s="6" t="s">
        <v>13347</v>
      </c>
      <c r="Q3197" s="6" t="s">
        <v>31</v>
      </c>
      <c r="R3197" s="6" t="s">
        <v>31</v>
      </c>
      <c r="S3197" s="8" t="s">
        <v>13348</v>
      </c>
      <c r="T3197" s="6" t="s">
        <v>2768</v>
      </c>
      <c r="U3197" s="8" t="s">
        <v>13349</v>
      </c>
      <c r="V3197" s="6" t="s">
        <v>3523</v>
      </c>
      <c r="W3197" s="6" t="s">
        <v>13207</v>
      </c>
      <c r="X3197" s="9" t="str">
        <f>HYPERLINK("https://my.pitchbook.com?p=456840-64P","View People Online")</f>
        <v>View People Online</v>
      </c>
    </row>
    <row r="3198">
      <c r="A3198" s="2" t="s">
        <v>20522</v>
      </c>
      <c r="B3198" s="2" t="s">
        <v>20523</v>
      </c>
      <c r="C3198" s="2" t="s">
        <v>20518</v>
      </c>
      <c r="D3198" s="2" t="s">
        <v>20524</v>
      </c>
      <c r="E3198" s="2" t="s">
        <v>13207</v>
      </c>
      <c r="F3198" s="2" t="s">
        <v>3523</v>
      </c>
      <c r="G3198" s="2" t="s">
        <v>20525</v>
      </c>
      <c r="H3198" s="3" t="s">
        <v>31</v>
      </c>
      <c r="I3198" s="3">
        <v>1.0</v>
      </c>
      <c r="J3198" s="3">
        <v>1.0</v>
      </c>
      <c r="K3198" s="3" t="s">
        <v>31</v>
      </c>
      <c r="L3198" s="4" t="s">
        <v>13916</v>
      </c>
      <c r="M3198" s="2" t="s">
        <v>20526</v>
      </c>
      <c r="N3198" s="2" t="s">
        <v>155</v>
      </c>
      <c r="O3198" s="4" t="s">
        <v>156</v>
      </c>
      <c r="P3198" s="2" t="s">
        <v>13918</v>
      </c>
      <c r="Q3198" s="2" t="s">
        <v>13919</v>
      </c>
      <c r="R3198" s="2" t="s">
        <v>64</v>
      </c>
      <c r="S3198" s="4" t="s">
        <v>1549</v>
      </c>
      <c r="T3198" s="2" t="s">
        <v>66</v>
      </c>
      <c r="U3198" s="4" t="s">
        <v>13920</v>
      </c>
      <c r="V3198" s="2" t="s">
        <v>3523</v>
      </c>
      <c r="W3198" s="2" t="s">
        <v>13207</v>
      </c>
      <c r="X3198" s="5" t="str">
        <f>HYPERLINK("https://my.pitchbook.com?p=455287-96P","View People Online")</f>
        <v>View People Online</v>
      </c>
    </row>
    <row r="3199">
      <c r="A3199" s="14" t="s">
        <v>20527</v>
      </c>
      <c r="B3199" s="14" t="s">
        <v>20528</v>
      </c>
      <c r="C3199" s="14" t="s">
        <v>20529</v>
      </c>
      <c r="D3199" s="14" t="s">
        <v>20530</v>
      </c>
      <c r="E3199" s="14" t="s">
        <v>13207</v>
      </c>
      <c r="F3199" s="14" t="s">
        <v>3523</v>
      </c>
      <c r="G3199" s="14" t="s">
        <v>20531</v>
      </c>
      <c r="H3199" s="15" t="s">
        <v>31</v>
      </c>
      <c r="I3199" s="15">
        <v>1.0</v>
      </c>
      <c r="J3199" s="15">
        <v>1.0</v>
      </c>
      <c r="K3199" s="15" t="s">
        <v>31</v>
      </c>
      <c r="L3199" s="16" t="s">
        <v>14498</v>
      </c>
      <c r="M3199" s="14" t="s">
        <v>20532</v>
      </c>
      <c r="N3199" s="14" t="s">
        <v>10290</v>
      </c>
      <c r="O3199" s="16" t="s">
        <v>10291</v>
      </c>
      <c r="P3199" s="14" t="s">
        <v>14500</v>
      </c>
      <c r="Q3199" s="14" t="s">
        <v>14501</v>
      </c>
      <c r="R3199" s="14" t="s">
        <v>31</v>
      </c>
      <c r="S3199" s="16" t="s">
        <v>14502</v>
      </c>
      <c r="T3199" s="14" t="s">
        <v>10295</v>
      </c>
      <c r="U3199" s="16" t="s">
        <v>14503</v>
      </c>
      <c r="V3199" s="14" t="s">
        <v>3523</v>
      </c>
      <c r="W3199" s="14" t="s">
        <v>13207</v>
      </c>
      <c r="X3199" s="17" t="str">
        <f>HYPERLINK("https://my.pitchbook.com?p=435538-99P","View People Online")</f>
        <v>View People Online</v>
      </c>
    </row>
    <row r="3200">
      <c r="A3200" s="2" t="s">
        <v>20533</v>
      </c>
      <c r="B3200" s="2" t="s">
        <v>20534</v>
      </c>
      <c r="C3200" s="2" t="s">
        <v>20535</v>
      </c>
      <c r="D3200" s="2" t="s">
        <v>20536</v>
      </c>
      <c r="E3200" s="2" t="s">
        <v>13207</v>
      </c>
      <c r="F3200" s="2" t="s">
        <v>3523</v>
      </c>
      <c r="G3200" s="2" t="s">
        <v>20537</v>
      </c>
      <c r="H3200" s="3" t="s">
        <v>31</v>
      </c>
      <c r="I3200" s="3">
        <v>1.0</v>
      </c>
      <c r="J3200" s="3">
        <v>1.0</v>
      </c>
      <c r="K3200" s="3" t="s">
        <v>31</v>
      </c>
      <c r="L3200" s="4" t="s">
        <v>13263</v>
      </c>
      <c r="M3200" s="2" t="s">
        <v>20538</v>
      </c>
      <c r="N3200" s="2" t="s">
        <v>1005</v>
      </c>
      <c r="O3200" s="4" t="s">
        <v>1006</v>
      </c>
      <c r="P3200" s="2" t="s">
        <v>13265</v>
      </c>
      <c r="Q3200" s="2" t="s">
        <v>13266</v>
      </c>
      <c r="R3200" s="2" t="s">
        <v>13267</v>
      </c>
      <c r="S3200" s="4" t="s">
        <v>13268</v>
      </c>
      <c r="T3200" s="2" t="s">
        <v>1010</v>
      </c>
      <c r="U3200" s="4" t="s">
        <v>13269</v>
      </c>
      <c r="V3200" s="2" t="s">
        <v>3523</v>
      </c>
      <c r="W3200" s="2" t="s">
        <v>13207</v>
      </c>
      <c r="X3200" s="5" t="str">
        <f>HYPERLINK("https://my.pitchbook.com?p=435174-94P","View People Online")</f>
        <v>View People Online</v>
      </c>
    </row>
    <row r="3201">
      <c r="A3201" s="14" t="s">
        <v>20539</v>
      </c>
      <c r="B3201" s="14" t="s">
        <v>20540</v>
      </c>
      <c r="C3201" s="14" t="s">
        <v>150</v>
      </c>
      <c r="D3201" s="14" t="s">
        <v>20541</v>
      </c>
      <c r="E3201" s="14" t="s">
        <v>13207</v>
      </c>
      <c r="F3201" s="14" t="s">
        <v>3523</v>
      </c>
      <c r="G3201" s="14" t="s">
        <v>20542</v>
      </c>
      <c r="H3201" s="15" t="s">
        <v>31</v>
      </c>
      <c r="I3201" s="15">
        <v>1.0</v>
      </c>
      <c r="J3201" s="15">
        <v>1.0</v>
      </c>
      <c r="K3201" s="15" t="s">
        <v>31</v>
      </c>
      <c r="L3201" s="16" t="s">
        <v>13888</v>
      </c>
      <c r="M3201" s="14" t="s">
        <v>20543</v>
      </c>
      <c r="N3201" s="14" t="s">
        <v>13890</v>
      </c>
      <c r="O3201" s="16" t="s">
        <v>13891</v>
      </c>
      <c r="P3201" s="14" t="s">
        <v>13892</v>
      </c>
      <c r="Q3201" s="14" t="s">
        <v>31</v>
      </c>
      <c r="R3201" s="14" t="s">
        <v>31</v>
      </c>
      <c r="S3201" s="16" t="s">
        <v>13893</v>
      </c>
      <c r="T3201" s="14" t="s">
        <v>13894</v>
      </c>
      <c r="U3201" s="16" t="s">
        <v>31</v>
      </c>
      <c r="V3201" s="14" t="s">
        <v>3523</v>
      </c>
      <c r="W3201" s="14" t="s">
        <v>13207</v>
      </c>
      <c r="X3201" s="17" t="str">
        <f>HYPERLINK("https://my.pitchbook.com?p=456620-86P","View People Online")</f>
        <v>View People Online</v>
      </c>
    </row>
    <row r="3202">
      <c r="A3202" s="10" t="s">
        <v>20544</v>
      </c>
      <c r="B3202" s="10" t="s">
        <v>20545</v>
      </c>
      <c r="C3202" s="10" t="s">
        <v>20546</v>
      </c>
      <c r="D3202" s="10" t="s">
        <v>20547</v>
      </c>
      <c r="E3202" s="10" t="s">
        <v>13207</v>
      </c>
      <c r="F3202" s="10" t="s">
        <v>13218</v>
      </c>
      <c r="G3202" s="10" t="s">
        <v>20548</v>
      </c>
      <c r="H3202" s="11" t="s">
        <v>31</v>
      </c>
      <c r="I3202" s="11">
        <v>1.0</v>
      </c>
      <c r="J3202" s="11">
        <v>1.0</v>
      </c>
      <c r="K3202" s="11" t="s">
        <v>31</v>
      </c>
      <c r="L3202" s="12" t="s">
        <v>13209</v>
      </c>
      <c r="M3202" s="10" t="s">
        <v>20549</v>
      </c>
      <c r="N3202" s="10" t="s">
        <v>4232</v>
      </c>
      <c r="O3202" s="12" t="s">
        <v>4233</v>
      </c>
      <c r="P3202" s="10" t="s">
        <v>13211</v>
      </c>
      <c r="Q3202" s="10" t="s">
        <v>31</v>
      </c>
      <c r="R3202" s="10" t="s">
        <v>4236</v>
      </c>
      <c r="S3202" s="12" t="s">
        <v>13212</v>
      </c>
      <c r="T3202" s="10" t="s">
        <v>66</v>
      </c>
      <c r="U3202" s="12" t="s">
        <v>13213</v>
      </c>
      <c r="V3202" s="10" t="s">
        <v>13218</v>
      </c>
      <c r="W3202" s="10" t="s">
        <v>13207</v>
      </c>
      <c r="X3202" s="13" t="str">
        <f>HYPERLINK("https://my.pitchbook.com?p=435965-32P","View People Online")</f>
        <v>View People Online</v>
      </c>
    </row>
    <row r="3203">
      <c r="A3203" s="14" t="s">
        <v>20550</v>
      </c>
      <c r="B3203" s="14" t="s">
        <v>20551</v>
      </c>
      <c r="C3203" s="14" t="s">
        <v>20552</v>
      </c>
      <c r="D3203" s="14" t="s">
        <v>20553</v>
      </c>
      <c r="E3203" s="14" t="s">
        <v>13207</v>
      </c>
      <c r="F3203" s="14" t="s">
        <v>3523</v>
      </c>
      <c r="G3203" s="14" t="s">
        <v>20554</v>
      </c>
      <c r="H3203" s="15" t="s">
        <v>31</v>
      </c>
      <c r="I3203" s="15">
        <v>1.0</v>
      </c>
      <c r="J3203" s="15">
        <v>1.0</v>
      </c>
      <c r="K3203" s="15" t="s">
        <v>31</v>
      </c>
      <c r="L3203" s="16" t="s">
        <v>13916</v>
      </c>
      <c r="M3203" s="14" t="s">
        <v>20555</v>
      </c>
      <c r="N3203" s="14" t="s">
        <v>155</v>
      </c>
      <c r="O3203" s="16" t="s">
        <v>156</v>
      </c>
      <c r="P3203" s="14" t="s">
        <v>13918</v>
      </c>
      <c r="Q3203" s="14" t="s">
        <v>13919</v>
      </c>
      <c r="R3203" s="14" t="s">
        <v>64</v>
      </c>
      <c r="S3203" s="16" t="s">
        <v>1549</v>
      </c>
      <c r="T3203" s="14" t="s">
        <v>66</v>
      </c>
      <c r="U3203" s="16" t="s">
        <v>13920</v>
      </c>
      <c r="V3203" s="14" t="s">
        <v>3523</v>
      </c>
      <c r="W3203" s="14" t="s">
        <v>13207</v>
      </c>
      <c r="X3203" s="17" t="str">
        <f>HYPERLINK("https://my.pitchbook.com?p=455596-39P","View People Online")</f>
        <v>View People Online</v>
      </c>
    </row>
    <row r="3204">
      <c r="A3204" s="10" t="s">
        <v>20556</v>
      </c>
      <c r="B3204" s="10" t="s">
        <v>20557</v>
      </c>
      <c r="C3204" s="10" t="s">
        <v>3245</v>
      </c>
      <c r="D3204" s="10" t="s">
        <v>14244</v>
      </c>
      <c r="E3204" s="10" t="s">
        <v>13207</v>
      </c>
      <c r="F3204" s="10" t="s">
        <v>13218</v>
      </c>
      <c r="G3204" s="10" t="s">
        <v>20558</v>
      </c>
      <c r="H3204" s="11" t="s">
        <v>31</v>
      </c>
      <c r="I3204" s="11">
        <v>1.0</v>
      </c>
      <c r="J3204" s="11">
        <v>1.0</v>
      </c>
      <c r="K3204" s="11" t="s">
        <v>31</v>
      </c>
      <c r="L3204" s="12" t="s">
        <v>13299</v>
      </c>
      <c r="M3204" s="10" t="s">
        <v>20559</v>
      </c>
      <c r="N3204" s="10" t="s">
        <v>601</v>
      </c>
      <c r="O3204" s="12" t="s">
        <v>602</v>
      </c>
      <c r="P3204" s="10" t="s">
        <v>13301</v>
      </c>
      <c r="Q3204" s="10" t="s">
        <v>13302</v>
      </c>
      <c r="R3204" s="10" t="s">
        <v>31</v>
      </c>
      <c r="S3204" s="12" t="s">
        <v>31</v>
      </c>
      <c r="T3204" s="10" t="s">
        <v>603</v>
      </c>
      <c r="U3204" s="12" t="s">
        <v>13303</v>
      </c>
      <c r="V3204" s="10" t="s">
        <v>20560</v>
      </c>
      <c r="W3204" s="10" t="s">
        <v>13207</v>
      </c>
      <c r="X3204" s="13" t="str">
        <f>HYPERLINK("https://my.pitchbook.com?p=435617-02P","View People Online")</f>
        <v>View People Online</v>
      </c>
    </row>
    <row r="3205">
      <c r="A3205" s="14" t="s">
        <v>20561</v>
      </c>
      <c r="B3205" s="14" t="s">
        <v>20562</v>
      </c>
      <c r="C3205" s="14" t="s">
        <v>12657</v>
      </c>
      <c r="D3205" s="14" t="s">
        <v>20563</v>
      </c>
      <c r="E3205" s="14" t="s">
        <v>13207</v>
      </c>
      <c r="F3205" s="14" t="s">
        <v>825</v>
      </c>
      <c r="G3205" s="14" t="s">
        <v>20564</v>
      </c>
      <c r="H3205" s="15" t="s">
        <v>31</v>
      </c>
      <c r="I3205" s="15">
        <v>1.0</v>
      </c>
      <c r="J3205" s="15">
        <v>1.0</v>
      </c>
      <c r="K3205" s="15" t="s">
        <v>31</v>
      </c>
      <c r="L3205" s="16" t="s">
        <v>13496</v>
      </c>
      <c r="M3205" s="14" t="s">
        <v>20565</v>
      </c>
      <c r="N3205" s="14" t="s">
        <v>75</v>
      </c>
      <c r="O3205" s="16" t="s">
        <v>76</v>
      </c>
      <c r="P3205" s="14" t="s">
        <v>13498</v>
      </c>
      <c r="Q3205" s="14" t="s">
        <v>31</v>
      </c>
      <c r="R3205" s="14" t="s">
        <v>75</v>
      </c>
      <c r="S3205" s="16" t="s">
        <v>195</v>
      </c>
      <c r="T3205" s="14" t="s">
        <v>66</v>
      </c>
      <c r="U3205" s="16" t="s">
        <v>13499</v>
      </c>
      <c r="V3205" s="14" t="s">
        <v>20566</v>
      </c>
      <c r="W3205" s="14" t="s">
        <v>13207</v>
      </c>
      <c r="X3205" s="17" t="str">
        <f>HYPERLINK("https://my.pitchbook.com?p=303621-31P","View People Online")</f>
        <v>View People Online</v>
      </c>
    </row>
    <row r="3206">
      <c r="A3206" s="10" t="s">
        <v>20567</v>
      </c>
      <c r="B3206" s="10" t="s">
        <v>20568</v>
      </c>
      <c r="C3206" s="10" t="s">
        <v>20569</v>
      </c>
      <c r="D3206" s="10" t="s">
        <v>20570</v>
      </c>
      <c r="E3206" s="10" t="s">
        <v>13207</v>
      </c>
      <c r="F3206" s="10" t="s">
        <v>3523</v>
      </c>
      <c r="G3206" s="10" t="s">
        <v>20571</v>
      </c>
      <c r="H3206" s="11" t="s">
        <v>31</v>
      </c>
      <c r="I3206" s="11">
        <v>1.0</v>
      </c>
      <c r="J3206" s="11">
        <v>1.0</v>
      </c>
      <c r="K3206" s="11" t="s">
        <v>31</v>
      </c>
      <c r="L3206" s="12" t="s">
        <v>13540</v>
      </c>
      <c r="M3206" s="10" t="s">
        <v>20572</v>
      </c>
      <c r="N3206" s="10" t="s">
        <v>418</v>
      </c>
      <c r="O3206" s="12" t="s">
        <v>419</v>
      </c>
      <c r="P3206" s="10" t="s">
        <v>13542</v>
      </c>
      <c r="Q3206" s="10" t="s">
        <v>31</v>
      </c>
      <c r="R3206" s="10" t="s">
        <v>31</v>
      </c>
      <c r="S3206" s="12" t="s">
        <v>2664</v>
      </c>
      <c r="T3206" s="10" t="s">
        <v>422</v>
      </c>
      <c r="U3206" s="12" t="s">
        <v>13543</v>
      </c>
      <c r="V3206" s="10" t="s">
        <v>3523</v>
      </c>
      <c r="W3206" s="10" t="s">
        <v>13207</v>
      </c>
      <c r="X3206" s="13" t="str">
        <f>HYPERLINK("https://my.pitchbook.com?p=291754-99P","View People Online")</f>
        <v>View People Online</v>
      </c>
    </row>
    <row r="3207">
      <c r="A3207" s="14" t="s">
        <v>20573</v>
      </c>
      <c r="B3207" s="14" t="s">
        <v>20574</v>
      </c>
      <c r="C3207" s="14" t="s">
        <v>9417</v>
      </c>
      <c r="D3207" s="14" t="s">
        <v>20575</v>
      </c>
      <c r="E3207" s="14" t="s">
        <v>13207</v>
      </c>
      <c r="F3207" s="14" t="s">
        <v>1283</v>
      </c>
      <c r="G3207" s="14" t="s">
        <v>20576</v>
      </c>
      <c r="H3207" s="15" t="s">
        <v>31</v>
      </c>
      <c r="I3207" s="15">
        <v>1.0</v>
      </c>
      <c r="J3207" s="15">
        <v>1.0</v>
      </c>
      <c r="K3207" s="15" t="s">
        <v>31</v>
      </c>
      <c r="L3207" s="16" t="s">
        <v>13540</v>
      </c>
      <c r="M3207" s="14" t="s">
        <v>20577</v>
      </c>
      <c r="N3207" s="14" t="s">
        <v>418</v>
      </c>
      <c r="O3207" s="16" t="s">
        <v>419</v>
      </c>
      <c r="P3207" s="14" t="s">
        <v>13542</v>
      </c>
      <c r="Q3207" s="14" t="s">
        <v>31</v>
      </c>
      <c r="R3207" s="14" t="s">
        <v>31</v>
      </c>
      <c r="S3207" s="16" t="s">
        <v>2664</v>
      </c>
      <c r="T3207" s="14" t="s">
        <v>422</v>
      </c>
      <c r="U3207" s="16" t="s">
        <v>13543</v>
      </c>
      <c r="V3207" s="14" t="s">
        <v>13974</v>
      </c>
      <c r="W3207" s="14" t="s">
        <v>13207</v>
      </c>
      <c r="X3207" s="17" t="str">
        <f>HYPERLINK("https://my.pitchbook.com?p=455517-55P","View People Online")</f>
        <v>View People Online</v>
      </c>
    </row>
    <row r="3208">
      <c r="A3208" s="10" t="s">
        <v>20578</v>
      </c>
      <c r="B3208" s="10" t="s">
        <v>20579</v>
      </c>
      <c r="C3208" s="10" t="s">
        <v>9417</v>
      </c>
      <c r="D3208" s="10" t="s">
        <v>20580</v>
      </c>
      <c r="E3208" s="10" t="s">
        <v>13207</v>
      </c>
      <c r="F3208" s="10" t="s">
        <v>3523</v>
      </c>
      <c r="G3208" s="10" t="s">
        <v>20581</v>
      </c>
      <c r="H3208" s="11" t="s">
        <v>31</v>
      </c>
      <c r="I3208" s="11">
        <v>1.0</v>
      </c>
      <c r="J3208" s="11">
        <v>1.0</v>
      </c>
      <c r="K3208" s="11" t="s">
        <v>31</v>
      </c>
      <c r="L3208" s="12" t="s">
        <v>13412</v>
      </c>
      <c r="M3208" s="10" t="s">
        <v>20582</v>
      </c>
      <c r="N3208" s="10" t="s">
        <v>13414</v>
      </c>
      <c r="O3208" s="12" t="s">
        <v>13415</v>
      </c>
      <c r="P3208" s="10" t="s">
        <v>13416</v>
      </c>
      <c r="Q3208" s="10" t="s">
        <v>31</v>
      </c>
      <c r="R3208" s="10" t="s">
        <v>209</v>
      </c>
      <c r="S3208" s="12" t="s">
        <v>13417</v>
      </c>
      <c r="T3208" s="10" t="s">
        <v>66</v>
      </c>
      <c r="U3208" s="12" t="s">
        <v>13418</v>
      </c>
      <c r="V3208" s="10" t="s">
        <v>3523</v>
      </c>
      <c r="W3208" s="10" t="s">
        <v>13207</v>
      </c>
      <c r="X3208" s="13" t="str">
        <f>HYPERLINK("https://my.pitchbook.com?p=455466-61P","View People Online")</f>
        <v>View People Online</v>
      </c>
    </row>
    <row r="3209">
      <c r="A3209" s="6" t="s">
        <v>20583</v>
      </c>
      <c r="B3209" s="6" t="s">
        <v>20584</v>
      </c>
      <c r="C3209" s="6" t="s">
        <v>20585</v>
      </c>
      <c r="D3209" s="6" t="s">
        <v>20586</v>
      </c>
      <c r="E3209" s="6" t="s">
        <v>13207</v>
      </c>
      <c r="F3209" s="6" t="s">
        <v>13218</v>
      </c>
      <c r="G3209" s="6" t="s">
        <v>20587</v>
      </c>
      <c r="H3209" s="7" t="s">
        <v>31</v>
      </c>
      <c r="I3209" s="7">
        <v>1.0</v>
      </c>
      <c r="J3209" s="7">
        <v>1.0</v>
      </c>
      <c r="K3209" s="7" t="s">
        <v>31</v>
      </c>
      <c r="L3209" s="8" t="s">
        <v>13632</v>
      </c>
      <c r="M3209" s="6" t="s">
        <v>20588</v>
      </c>
      <c r="N3209" s="6" t="s">
        <v>7690</v>
      </c>
      <c r="O3209" s="8" t="s">
        <v>7691</v>
      </c>
      <c r="P3209" s="6" t="s">
        <v>13634</v>
      </c>
      <c r="Q3209" s="6" t="s">
        <v>13635</v>
      </c>
      <c r="R3209" s="6" t="s">
        <v>7693</v>
      </c>
      <c r="S3209" s="8" t="s">
        <v>13636</v>
      </c>
      <c r="T3209" s="6" t="s">
        <v>66</v>
      </c>
      <c r="U3209" s="8" t="s">
        <v>13637</v>
      </c>
      <c r="V3209" s="6" t="s">
        <v>13218</v>
      </c>
      <c r="W3209" s="6" t="s">
        <v>13207</v>
      </c>
      <c r="X3209" s="9" t="str">
        <f>HYPERLINK("https://my.pitchbook.com?p=435778-39P","View People Online")</f>
        <v>View People Online</v>
      </c>
    </row>
    <row r="3210">
      <c r="A3210" s="2" t="s">
        <v>20589</v>
      </c>
      <c r="B3210" s="2" t="s">
        <v>20590</v>
      </c>
      <c r="C3210" s="2" t="s">
        <v>20591</v>
      </c>
      <c r="D3210" s="2" t="s">
        <v>9309</v>
      </c>
      <c r="E3210" s="2" t="s">
        <v>13207</v>
      </c>
      <c r="F3210" s="2" t="s">
        <v>13307</v>
      </c>
      <c r="G3210" s="2" t="s">
        <v>20592</v>
      </c>
      <c r="H3210" s="3" t="s">
        <v>31</v>
      </c>
      <c r="I3210" s="3">
        <v>1.0</v>
      </c>
      <c r="J3210" s="3">
        <v>1.0</v>
      </c>
      <c r="K3210" s="3" t="s">
        <v>31</v>
      </c>
      <c r="L3210" s="4" t="s">
        <v>13209</v>
      </c>
      <c r="M3210" s="2" t="s">
        <v>20593</v>
      </c>
      <c r="N3210" s="2" t="s">
        <v>4232</v>
      </c>
      <c r="O3210" s="4" t="s">
        <v>4233</v>
      </c>
      <c r="P3210" s="2" t="s">
        <v>13211</v>
      </c>
      <c r="Q3210" s="2" t="s">
        <v>31</v>
      </c>
      <c r="R3210" s="2" t="s">
        <v>4236</v>
      </c>
      <c r="S3210" s="4" t="s">
        <v>13212</v>
      </c>
      <c r="T3210" s="2" t="s">
        <v>66</v>
      </c>
      <c r="U3210" s="4" t="s">
        <v>13213</v>
      </c>
      <c r="V3210" s="2" t="s">
        <v>13317</v>
      </c>
      <c r="W3210" s="2" t="s">
        <v>13207</v>
      </c>
      <c r="X3210" s="5" t="str">
        <f>HYPERLINK("https://my.pitchbook.com?p=455946-13P","View People Online")</f>
        <v>View People Online</v>
      </c>
    </row>
    <row r="3211">
      <c r="A3211" s="14" t="s">
        <v>20594</v>
      </c>
      <c r="B3211" s="14" t="s">
        <v>20595</v>
      </c>
      <c r="C3211" s="14" t="s">
        <v>7584</v>
      </c>
      <c r="D3211" s="14" t="s">
        <v>20596</v>
      </c>
      <c r="E3211" s="14" t="s">
        <v>13207</v>
      </c>
      <c r="F3211" s="14" t="s">
        <v>13240</v>
      </c>
      <c r="G3211" s="14" t="s">
        <v>20597</v>
      </c>
      <c r="H3211" s="15" t="s">
        <v>31</v>
      </c>
      <c r="I3211" s="15">
        <v>1.0</v>
      </c>
      <c r="J3211" s="15">
        <v>1.0</v>
      </c>
      <c r="K3211" s="15" t="s">
        <v>31</v>
      </c>
      <c r="L3211" s="16" t="s">
        <v>14014</v>
      </c>
      <c r="M3211" s="14" t="s">
        <v>20598</v>
      </c>
      <c r="N3211" s="14" t="s">
        <v>14016</v>
      </c>
      <c r="O3211" s="16" t="s">
        <v>14017</v>
      </c>
      <c r="P3211" s="14" t="s">
        <v>14018</v>
      </c>
      <c r="Q3211" s="14" t="s">
        <v>14019</v>
      </c>
      <c r="R3211" s="14" t="s">
        <v>31</v>
      </c>
      <c r="S3211" s="16" t="s">
        <v>14020</v>
      </c>
      <c r="T3211" s="14" t="s">
        <v>38</v>
      </c>
      <c r="U3211" s="16" t="s">
        <v>14014</v>
      </c>
      <c r="V3211" s="14" t="s">
        <v>13247</v>
      </c>
      <c r="W3211" s="14" t="s">
        <v>13207</v>
      </c>
      <c r="X3211" s="17" t="str">
        <f>HYPERLINK("https://my.pitchbook.com?p=455266-63P","View People Online")</f>
        <v>View People Online</v>
      </c>
    </row>
    <row r="3212">
      <c r="A3212" s="2" t="s">
        <v>20599</v>
      </c>
      <c r="B3212" s="2" t="s">
        <v>20600</v>
      </c>
      <c r="C3212" s="2" t="s">
        <v>167</v>
      </c>
      <c r="D3212" s="2" t="s">
        <v>20601</v>
      </c>
      <c r="E3212" s="2" t="s">
        <v>13207</v>
      </c>
      <c r="F3212" s="2" t="s">
        <v>13218</v>
      </c>
      <c r="G3212" s="2" t="s">
        <v>20602</v>
      </c>
      <c r="H3212" s="3" t="s">
        <v>31</v>
      </c>
      <c r="I3212" s="3">
        <v>1.0</v>
      </c>
      <c r="J3212" s="3">
        <v>1.0</v>
      </c>
      <c r="K3212" s="3" t="s">
        <v>31</v>
      </c>
      <c r="L3212" s="4" t="s">
        <v>13378</v>
      </c>
      <c r="M3212" s="2" t="s">
        <v>20603</v>
      </c>
      <c r="N3212" s="2" t="s">
        <v>429</v>
      </c>
      <c r="O3212" s="4" t="s">
        <v>430</v>
      </c>
      <c r="P3212" s="2" t="s">
        <v>13380</v>
      </c>
      <c r="Q3212" s="2" t="s">
        <v>31</v>
      </c>
      <c r="R3212" s="2" t="s">
        <v>31</v>
      </c>
      <c r="S3212" s="4" t="s">
        <v>13381</v>
      </c>
      <c r="T3212" s="2" t="s">
        <v>433</v>
      </c>
      <c r="U3212" s="4" t="s">
        <v>13382</v>
      </c>
      <c r="V3212" s="2" t="s">
        <v>20604</v>
      </c>
      <c r="W3212" s="2" t="s">
        <v>13207</v>
      </c>
      <c r="X3212" s="5" t="str">
        <f>HYPERLINK("https://my.pitchbook.com?p=315503-83P","View People Online")</f>
        <v>View People Online</v>
      </c>
    </row>
    <row r="3213">
      <c r="A3213" s="6" t="s">
        <v>20605</v>
      </c>
      <c r="B3213" s="6" t="s">
        <v>20606</v>
      </c>
      <c r="C3213" s="6" t="s">
        <v>167</v>
      </c>
      <c r="D3213" s="6" t="s">
        <v>20607</v>
      </c>
      <c r="E3213" s="6" t="s">
        <v>13207</v>
      </c>
      <c r="F3213" s="6" t="s">
        <v>81</v>
      </c>
      <c r="G3213" s="6" t="s">
        <v>20608</v>
      </c>
      <c r="H3213" s="7">
        <v>1.0</v>
      </c>
      <c r="I3213" s="7">
        <v>3.0</v>
      </c>
      <c r="J3213" s="7">
        <v>2.0</v>
      </c>
      <c r="K3213" s="7" t="s">
        <v>31</v>
      </c>
      <c r="L3213" s="8" t="s">
        <v>13220</v>
      </c>
      <c r="M3213" s="6" t="s">
        <v>20609</v>
      </c>
      <c r="N3213" s="6" t="s">
        <v>2478</v>
      </c>
      <c r="O3213" s="8" t="s">
        <v>7332</v>
      </c>
      <c r="P3213" s="6" t="s">
        <v>13222</v>
      </c>
      <c r="Q3213" s="6" t="s">
        <v>13223</v>
      </c>
      <c r="R3213" s="6" t="s">
        <v>7335</v>
      </c>
      <c r="S3213" s="8" t="s">
        <v>7336</v>
      </c>
      <c r="T3213" s="6" t="s">
        <v>5484</v>
      </c>
      <c r="U3213" s="8" t="s">
        <v>13224</v>
      </c>
      <c r="V3213" s="6" t="s">
        <v>2731</v>
      </c>
      <c r="W3213" s="6" t="s">
        <v>13207</v>
      </c>
      <c r="X3213" s="9" t="str">
        <f>HYPERLINK("https://my.pitchbook.com?p=55381-33P","View People Online")</f>
        <v>View People Online</v>
      </c>
    </row>
    <row r="3214">
      <c r="A3214" s="2" t="s">
        <v>20610</v>
      </c>
      <c r="B3214" s="2" t="s">
        <v>20611</v>
      </c>
      <c r="C3214" s="2" t="s">
        <v>167</v>
      </c>
      <c r="D3214" s="2" t="s">
        <v>20612</v>
      </c>
      <c r="E3214" s="2" t="s">
        <v>13207</v>
      </c>
      <c r="F3214" s="2" t="s">
        <v>13218</v>
      </c>
      <c r="G3214" s="2" t="s">
        <v>20613</v>
      </c>
      <c r="H3214" s="3" t="s">
        <v>31</v>
      </c>
      <c r="I3214" s="3">
        <v>1.0</v>
      </c>
      <c r="J3214" s="3">
        <v>1.0</v>
      </c>
      <c r="K3214" s="3" t="s">
        <v>31</v>
      </c>
      <c r="L3214" s="4" t="s">
        <v>13242</v>
      </c>
      <c r="M3214" s="2" t="s">
        <v>20614</v>
      </c>
      <c r="N3214" s="2" t="s">
        <v>9865</v>
      </c>
      <c r="O3214" s="4" t="s">
        <v>9866</v>
      </c>
      <c r="P3214" s="2" t="s">
        <v>13244</v>
      </c>
      <c r="Q3214" s="2" t="s">
        <v>31</v>
      </c>
      <c r="R3214" s="2" t="s">
        <v>31</v>
      </c>
      <c r="S3214" s="4" t="s">
        <v>13245</v>
      </c>
      <c r="T3214" s="2" t="s">
        <v>38</v>
      </c>
      <c r="U3214" s="4" t="s">
        <v>13246</v>
      </c>
      <c r="V3214" s="2" t="s">
        <v>13218</v>
      </c>
      <c r="W3214" s="2" t="s">
        <v>13207</v>
      </c>
      <c r="X3214" s="5" t="str">
        <f>HYPERLINK("https://my.pitchbook.com?p=56984-59P","View People Online")</f>
        <v>View People Online</v>
      </c>
    </row>
    <row r="3215">
      <c r="A3215" s="6" t="s">
        <v>20615</v>
      </c>
      <c r="B3215" s="6" t="s">
        <v>20616</v>
      </c>
      <c r="C3215" s="6" t="s">
        <v>167</v>
      </c>
      <c r="D3215" s="6" t="s">
        <v>20617</v>
      </c>
      <c r="E3215" s="6" t="s">
        <v>13207</v>
      </c>
      <c r="F3215" s="6" t="s">
        <v>13218</v>
      </c>
      <c r="G3215" s="6" t="s">
        <v>20618</v>
      </c>
      <c r="H3215" s="7" t="s">
        <v>31</v>
      </c>
      <c r="I3215" s="7">
        <v>1.0</v>
      </c>
      <c r="J3215" s="7">
        <v>1.0</v>
      </c>
      <c r="K3215" s="7" t="s">
        <v>31</v>
      </c>
      <c r="L3215" s="8" t="s">
        <v>13423</v>
      </c>
      <c r="M3215" s="6" t="s">
        <v>20619</v>
      </c>
      <c r="N3215" s="6" t="s">
        <v>243</v>
      </c>
      <c r="O3215" s="8" t="s">
        <v>244</v>
      </c>
      <c r="P3215" s="6" t="s">
        <v>13425</v>
      </c>
      <c r="Q3215" s="6" t="s">
        <v>31</v>
      </c>
      <c r="R3215" s="6" t="s">
        <v>247</v>
      </c>
      <c r="S3215" s="8" t="s">
        <v>13426</v>
      </c>
      <c r="T3215" s="6" t="s">
        <v>249</v>
      </c>
      <c r="U3215" s="8" t="s">
        <v>31</v>
      </c>
      <c r="V3215" s="6" t="s">
        <v>13218</v>
      </c>
      <c r="W3215" s="6" t="s">
        <v>13207</v>
      </c>
      <c r="X3215" s="9" t="str">
        <f>HYPERLINK("https://my.pitchbook.com?p=435980-44P","View People Online")</f>
        <v>View People Online</v>
      </c>
    </row>
    <row r="3216">
      <c r="A3216" s="10" t="s">
        <v>20620</v>
      </c>
      <c r="B3216" s="10" t="s">
        <v>20621</v>
      </c>
      <c r="C3216" s="10" t="s">
        <v>167</v>
      </c>
      <c r="D3216" s="10" t="s">
        <v>9860</v>
      </c>
      <c r="E3216" s="10" t="s">
        <v>13207</v>
      </c>
      <c r="F3216" s="10" t="s">
        <v>3523</v>
      </c>
      <c r="G3216" s="10" t="s">
        <v>20622</v>
      </c>
      <c r="H3216" s="11" t="s">
        <v>31</v>
      </c>
      <c r="I3216" s="11">
        <v>1.0</v>
      </c>
      <c r="J3216" s="11">
        <v>1.0</v>
      </c>
      <c r="K3216" s="11" t="s">
        <v>31</v>
      </c>
      <c r="L3216" s="12" t="s">
        <v>13209</v>
      </c>
      <c r="M3216" s="10" t="s">
        <v>20623</v>
      </c>
      <c r="N3216" s="10" t="s">
        <v>4232</v>
      </c>
      <c r="O3216" s="12" t="s">
        <v>4233</v>
      </c>
      <c r="P3216" s="10" t="s">
        <v>13211</v>
      </c>
      <c r="Q3216" s="10" t="s">
        <v>31</v>
      </c>
      <c r="R3216" s="10" t="s">
        <v>4236</v>
      </c>
      <c r="S3216" s="12" t="s">
        <v>13212</v>
      </c>
      <c r="T3216" s="10" t="s">
        <v>66</v>
      </c>
      <c r="U3216" s="12" t="s">
        <v>13213</v>
      </c>
      <c r="V3216" s="10" t="s">
        <v>3523</v>
      </c>
      <c r="W3216" s="10" t="s">
        <v>13207</v>
      </c>
      <c r="X3216" s="13" t="str">
        <f>HYPERLINK("https://my.pitchbook.com?p=455429-53P","View People Online")</f>
        <v>View People Online</v>
      </c>
    </row>
    <row r="3217">
      <c r="A3217" s="6" t="s">
        <v>20624</v>
      </c>
      <c r="B3217" s="6" t="s">
        <v>20625</v>
      </c>
      <c r="C3217" s="6" t="s">
        <v>20626</v>
      </c>
      <c r="D3217" s="6" t="s">
        <v>20627</v>
      </c>
      <c r="E3217" s="6" t="s">
        <v>13207</v>
      </c>
      <c r="F3217" s="6" t="s">
        <v>13218</v>
      </c>
      <c r="G3217" s="6" t="s">
        <v>20628</v>
      </c>
      <c r="H3217" s="7" t="s">
        <v>31</v>
      </c>
      <c r="I3217" s="7">
        <v>1.0</v>
      </c>
      <c r="J3217" s="7">
        <v>1.0</v>
      </c>
      <c r="K3217" s="7" t="s">
        <v>31</v>
      </c>
      <c r="L3217" s="8" t="s">
        <v>14201</v>
      </c>
      <c r="M3217" s="6" t="s">
        <v>20629</v>
      </c>
      <c r="N3217" s="6" t="s">
        <v>14203</v>
      </c>
      <c r="O3217" s="8" t="s">
        <v>14204</v>
      </c>
      <c r="P3217" s="6" t="s">
        <v>14205</v>
      </c>
      <c r="Q3217" s="6" t="s">
        <v>14206</v>
      </c>
      <c r="R3217" s="6" t="s">
        <v>1420</v>
      </c>
      <c r="S3217" s="8" t="s">
        <v>14207</v>
      </c>
      <c r="T3217" s="6" t="s">
        <v>66</v>
      </c>
      <c r="U3217" s="8" t="s">
        <v>14208</v>
      </c>
      <c r="V3217" s="6" t="s">
        <v>13218</v>
      </c>
      <c r="W3217" s="6" t="s">
        <v>13207</v>
      </c>
      <c r="X3217" s="9" t="str">
        <f>HYPERLINK("https://my.pitchbook.com?p=434800-81P","View People Online")</f>
        <v>View People Online</v>
      </c>
    </row>
    <row r="3218">
      <c r="A3218" s="10" t="s">
        <v>20630</v>
      </c>
      <c r="B3218" s="10" t="s">
        <v>20631</v>
      </c>
      <c r="C3218" s="10" t="s">
        <v>934</v>
      </c>
      <c r="D3218" s="10" t="s">
        <v>13666</v>
      </c>
      <c r="E3218" s="10" t="s">
        <v>13207</v>
      </c>
      <c r="F3218" s="10" t="s">
        <v>2731</v>
      </c>
      <c r="G3218" s="10" t="s">
        <v>20632</v>
      </c>
      <c r="H3218" s="11" t="s">
        <v>31</v>
      </c>
      <c r="I3218" s="11">
        <v>1.0</v>
      </c>
      <c r="J3218" s="11">
        <v>1.0</v>
      </c>
      <c r="K3218" s="11" t="s">
        <v>31</v>
      </c>
      <c r="L3218" s="12" t="s">
        <v>13263</v>
      </c>
      <c r="M3218" s="10" t="s">
        <v>20633</v>
      </c>
      <c r="N3218" s="10" t="s">
        <v>1005</v>
      </c>
      <c r="O3218" s="12" t="s">
        <v>1006</v>
      </c>
      <c r="P3218" s="10" t="s">
        <v>13265</v>
      </c>
      <c r="Q3218" s="10" t="s">
        <v>13266</v>
      </c>
      <c r="R3218" s="10" t="s">
        <v>13267</v>
      </c>
      <c r="S3218" s="12" t="s">
        <v>13268</v>
      </c>
      <c r="T3218" s="10" t="s">
        <v>1010</v>
      </c>
      <c r="U3218" s="12" t="s">
        <v>13269</v>
      </c>
      <c r="V3218" s="10" t="s">
        <v>2731</v>
      </c>
      <c r="W3218" s="10" t="s">
        <v>13207</v>
      </c>
      <c r="X3218" s="13" t="str">
        <f>HYPERLINK("https://my.pitchbook.com?p=195958-00P","View People Online")</f>
        <v>View People Online</v>
      </c>
    </row>
    <row r="3219">
      <c r="A3219" s="6" t="s">
        <v>20634</v>
      </c>
      <c r="B3219" s="6" t="s">
        <v>20635</v>
      </c>
      <c r="C3219" s="6" t="s">
        <v>934</v>
      </c>
      <c r="D3219" s="6" t="s">
        <v>1849</v>
      </c>
      <c r="E3219" s="6" t="s">
        <v>13207</v>
      </c>
      <c r="F3219" s="6" t="s">
        <v>13218</v>
      </c>
      <c r="G3219" s="6" t="s">
        <v>20636</v>
      </c>
      <c r="H3219" s="7" t="s">
        <v>31</v>
      </c>
      <c r="I3219" s="7">
        <v>1.0</v>
      </c>
      <c r="J3219" s="7">
        <v>1.0</v>
      </c>
      <c r="K3219" s="7" t="s">
        <v>31</v>
      </c>
      <c r="L3219" s="8" t="s">
        <v>13209</v>
      </c>
      <c r="M3219" s="6" t="s">
        <v>20637</v>
      </c>
      <c r="N3219" s="6" t="s">
        <v>4232</v>
      </c>
      <c r="O3219" s="8" t="s">
        <v>4233</v>
      </c>
      <c r="P3219" s="6" t="s">
        <v>13211</v>
      </c>
      <c r="Q3219" s="6" t="s">
        <v>31</v>
      </c>
      <c r="R3219" s="6" t="s">
        <v>4236</v>
      </c>
      <c r="S3219" s="8" t="s">
        <v>13212</v>
      </c>
      <c r="T3219" s="6" t="s">
        <v>66</v>
      </c>
      <c r="U3219" s="8" t="s">
        <v>13213</v>
      </c>
      <c r="V3219" s="6" t="s">
        <v>14182</v>
      </c>
      <c r="W3219" s="6" t="s">
        <v>13207</v>
      </c>
      <c r="X3219" s="9" t="str">
        <f>HYPERLINK("https://my.pitchbook.com?p=195957-46P","View People Online")</f>
        <v>View People Online</v>
      </c>
    </row>
    <row r="3220">
      <c r="A3220" s="2" t="s">
        <v>20638</v>
      </c>
      <c r="B3220" s="2" t="s">
        <v>20639</v>
      </c>
      <c r="C3220" s="2" t="s">
        <v>934</v>
      </c>
      <c r="D3220" s="2" t="s">
        <v>20640</v>
      </c>
      <c r="E3220" s="2" t="s">
        <v>13207</v>
      </c>
      <c r="F3220" s="2" t="s">
        <v>3523</v>
      </c>
      <c r="G3220" s="2" t="s">
        <v>20641</v>
      </c>
      <c r="H3220" s="3" t="s">
        <v>31</v>
      </c>
      <c r="I3220" s="3">
        <v>1.0</v>
      </c>
      <c r="J3220" s="3">
        <v>1.0</v>
      </c>
      <c r="K3220" s="3" t="s">
        <v>31</v>
      </c>
      <c r="L3220" s="4" t="s">
        <v>13423</v>
      </c>
      <c r="M3220" s="2" t="s">
        <v>20642</v>
      </c>
      <c r="N3220" s="2" t="s">
        <v>243</v>
      </c>
      <c r="O3220" s="4" t="s">
        <v>244</v>
      </c>
      <c r="P3220" s="2" t="s">
        <v>13425</v>
      </c>
      <c r="Q3220" s="2" t="s">
        <v>31</v>
      </c>
      <c r="R3220" s="2" t="s">
        <v>247</v>
      </c>
      <c r="S3220" s="4" t="s">
        <v>13426</v>
      </c>
      <c r="T3220" s="2" t="s">
        <v>249</v>
      </c>
      <c r="U3220" s="4" t="s">
        <v>31</v>
      </c>
      <c r="V3220" s="2" t="s">
        <v>3523</v>
      </c>
      <c r="W3220" s="2" t="s">
        <v>13207</v>
      </c>
      <c r="X3220" s="5" t="str">
        <f>HYPERLINK("https://my.pitchbook.com?p=434918-80P","View People Online")</f>
        <v>View People Online</v>
      </c>
    </row>
    <row r="3221">
      <c r="A3221" s="6" t="s">
        <v>20643</v>
      </c>
      <c r="B3221" s="6" t="s">
        <v>20644</v>
      </c>
      <c r="C3221" s="6" t="s">
        <v>934</v>
      </c>
      <c r="D3221" s="6" t="s">
        <v>13005</v>
      </c>
      <c r="E3221" s="6" t="s">
        <v>13207</v>
      </c>
      <c r="F3221" s="6" t="s">
        <v>1283</v>
      </c>
      <c r="G3221" s="6" t="s">
        <v>20645</v>
      </c>
      <c r="H3221" s="7" t="s">
        <v>31</v>
      </c>
      <c r="I3221" s="7">
        <v>1.0</v>
      </c>
      <c r="J3221" s="7">
        <v>1.0</v>
      </c>
      <c r="K3221" s="7" t="s">
        <v>31</v>
      </c>
      <c r="L3221" s="8" t="s">
        <v>13632</v>
      </c>
      <c r="M3221" s="6" t="s">
        <v>20646</v>
      </c>
      <c r="N3221" s="6" t="s">
        <v>7690</v>
      </c>
      <c r="O3221" s="8" t="s">
        <v>7691</v>
      </c>
      <c r="P3221" s="6" t="s">
        <v>13634</v>
      </c>
      <c r="Q3221" s="6" t="s">
        <v>13635</v>
      </c>
      <c r="R3221" s="6" t="s">
        <v>7693</v>
      </c>
      <c r="S3221" s="8" t="s">
        <v>13636</v>
      </c>
      <c r="T3221" s="6" t="s">
        <v>66</v>
      </c>
      <c r="U3221" s="8" t="s">
        <v>13637</v>
      </c>
      <c r="V3221" s="6" t="s">
        <v>1283</v>
      </c>
      <c r="W3221" s="6" t="s">
        <v>13207</v>
      </c>
      <c r="X3221" s="9" t="str">
        <f>HYPERLINK("https://my.pitchbook.com?p=435160-00P","View People Online")</f>
        <v>View People Online</v>
      </c>
    </row>
    <row r="3222">
      <c r="A3222" s="2" t="s">
        <v>20647</v>
      </c>
      <c r="B3222" s="2" t="s">
        <v>20648</v>
      </c>
      <c r="C3222" s="2" t="s">
        <v>934</v>
      </c>
      <c r="D3222" s="2" t="s">
        <v>20649</v>
      </c>
      <c r="E3222" s="2" t="s">
        <v>13207</v>
      </c>
      <c r="F3222" s="2" t="s">
        <v>13218</v>
      </c>
      <c r="G3222" s="2" t="s">
        <v>20650</v>
      </c>
      <c r="H3222" s="3" t="s">
        <v>31</v>
      </c>
      <c r="I3222" s="3">
        <v>1.0</v>
      </c>
      <c r="J3222" s="3">
        <v>1.0</v>
      </c>
      <c r="K3222" s="3" t="s">
        <v>31</v>
      </c>
      <c r="L3222" s="4" t="s">
        <v>13274</v>
      </c>
      <c r="M3222" s="2" t="s">
        <v>20651</v>
      </c>
      <c r="N3222" s="2" t="s">
        <v>1181</v>
      </c>
      <c r="O3222" s="4" t="s">
        <v>1182</v>
      </c>
      <c r="P3222" s="2" t="s">
        <v>13276</v>
      </c>
      <c r="Q3222" s="2" t="s">
        <v>31</v>
      </c>
      <c r="R3222" s="2" t="s">
        <v>1185</v>
      </c>
      <c r="S3222" s="4" t="s">
        <v>4438</v>
      </c>
      <c r="T3222" s="2" t="s">
        <v>66</v>
      </c>
      <c r="U3222" s="4" t="s">
        <v>13277</v>
      </c>
      <c r="V3222" s="2" t="s">
        <v>13218</v>
      </c>
      <c r="W3222" s="2" t="s">
        <v>13207</v>
      </c>
      <c r="X3222" s="5" t="str">
        <f>HYPERLINK("https://my.pitchbook.com?p=435328-57P","View People Online")</f>
        <v>View People Online</v>
      </c>
    </row>
    <row r="3223">
      <c r="A3223" s="6" t="s">
        <v>20652</v>
      </c>
      <c r="B3223" s="6" t="s">
        <v>20653</v>
      </c>
      <c r="C3223" s="6" t="s">
        <v>934</v>
      </c>
      <c r="D3223" s="6" t="s">
        <v>20654</v>
      </c>
      <c r="E3223" s="6" t="s">
        <v>13207</v>
      </c>
      <c r="F3223" s="6" t="s">
        <v>20655</v>
      </c>
      <c r="G3223" s="6" t="s">
        <v>20656</v>
      </c>
      <c r="H3223" s="7" t="s">
        <v>31</v>
      </c>
      <c r="I3223" s="7">
        <v>1.0</v>
      </c>
      <c r="J3223" s="7">
        <v>1.0</v>
      </c>
      <c r="K3223" s="7" t="s">
        <v>31</v>
      </c>
      <c r="L3223" s="8" t="s">
        <v>13274</v>
      </c>
      <c r="M3223" s="6" t="s">
        <v>20657</v>
      </c>
      <c r="N3223" s="6" t="s">
        <v>1181</v>
      </c>
      <c r="O3223" s="8" t="s">
        <v>1182</v>
      </c>
      <c r="P3223" s="6" t="s">
        <v>13276</v>
      </c>
      <c r="Q3223" s="6" t="s">
        <v>31</v>
      </c>
      <c r="R3223" s="6" t="s">
        <v>1185</v>
      </c>
      <c r="S3223" s="8" t="s">
        <v>4438</v>
      </c>
      <c r="T3223" s="6" t="s">
        <v>66</v>
      </c>
      <c r="U3223" s="8" t="s">
        <v>13277</v>
      </c>
      <c r="V3223" s="6" t="s">
        <v>20658</v>
      </c>
      <c r="W3223" s="6" t="s">
        <v>13207</v>
      </c>
      <c r="X3223" s="9" t="str">
        <f>HYPERLINK("https://my.pitchbook.com?p=57036-88P","View People Online")</f>
        <v>View People Online</v>
      </c>
    </row>
    <row r="3224">
      <c r="A3224" s="2" t="s">
        <v>20659</v>
      </c>
      <c r="B3224" s="2" t="s">
        <v>20660</v>
      </c>
      <c r="C3224" s="2" t="s">
        <v>20661</v>
      </c>
      <c r="D3224" s="2" t="s">
        <v>20662</v>
      </c>
      <c r="E3224" s="2" t="s">
        <v>13207</v>
      </c>
      <c r="F3224" s="2" t="s">
        <v>3523</v>
      </c>
      <c r="G3224" s="2" t="s">
        <v>20663</v>
      </c>
      <c r="H3224" s="3" t="s">
        <v>31</v>
      </c>
      <c r="I3224" s="3">
        <v>1.0</v>
      </c>
      <c r="J3224" s="3">
        <v>1.0</v>
      </c>
      <c r="K3224" s="3" t="s">
        <v>31</v>
      </c>
      <c r="L3224" s="4" t="s">
        <v>13496</v>
      </c>
      <c r="M3224" s="2" t="s">
        <v>20664</v>
      </c>
      <c r="N3224" s="2" t="s">
        <v>75</v>
      </c>
      <c r="O3224" s="4" t="s">
        <v>76</v>
      </c>
      <c r="P3224" s="2" t="s">
        <v>13498</v>
      </c>
      <c r="Q3224" s="2" t="s">
        <v>31</v>
      </c>
      <c r="R3224" s="2" t="s">
        <v>75</v>
      </c>
      <c r="S3224" s="4" t="s">
        <v>195</v>
      </c>
      <c r="T3224" s="2" t="s">
        <v>66</v>
      </c>
      <c r="U3224" s="4" t="s">
        <v>13499</v>
      </c>
      <c r="V3224" s="2" t="s">
        <v>3523</v>
      </c>
      <c r="W3224" s="2" t="s">
        <v>13207</v>
      </c>
      <c r="X3224" s="5" t="str">
        <f>HYPERLINK("https://my.pitchbook.com?p=435002-59P","View People Online")</f>
        <v>View People Online</v>
      </c>
    </row>
    <row r="3225">
      <c r="A3225" s="14" t="s">
        <v>20665</v>
      </c>
      <c r="B3225" s="14" t="s">
        <v>20666</v>
      </c>
      <c r="C3225" s="14" t="s">
        <v>20667</v>
      </c>
      <c r="D3225" s="14" t="s">
        <v>20668</v>
      </c>
      <c r="E3225" s="14" t="s">
        <v>13207</v>
      </c>
      <c r="F3225" s="14" t="s">
        <v>3523</v>
      </c>
      <c r="G3225" s="14" t="s">
        <v>20669</v>
      </c>
      <c r="H3225" s="15" t="s">
        <v>31</v>
      </c>
      <c r="I3225" s="15">
        <v>1.0</v>
      </c>
      <c r="J3225" s="15">
        <v>1.0</v>
      </c>
      <c r="K3225" s="15" t="s">
        <v>31</v>
      </c>
      <c r="L3225" s="16" t="s">
        <v>13916</v>
      </c>
      <c r="M3225" s="14" t="s">
        <v>20670</v>
      </c>
      <c r="N3225" s="14" t="s">
        <v>155</v>
      </c>
      <c r="O3225" s="16" t="s">
        <v>156</v>
      </c>
      <c r="P3225" s="14" t="s">
        <v>13918</v>
      </c>
      <c r="Q3225" s="14" t="s">
        <v>13919</v>
      </c>
      <c r="R3225" s="14" t="s">
        <v>64</v>
      </c>
      <c r="S3225" s="16" t="s">
        <v>1549</v>
      </c>
      <c r="T3225" s="14" t="s">
        <v>66</v>
      </c>
      <c r="U3225" s="16" t="s">
        <v>13920</v>
      </c>
      <c r="V3225" s="14" t="s">
        <v>3523</v>
      </c>
      <c r="W3225" s="14" t="s">
        <v>13207</v>
      </c>
      <c r="X3225" s="17" t="str">
        <f>HYPERLINK("https://my.pitchbook.com?p=456007-15P","View People Online")</f>
        <v>View People Online</v>
      </c>
    </row>
    <row r="3226">
      <c r="A3226" s="2" t="s">
        <v>20671</v>
      </c>
      <c r="B3226" s="2" t="s">
        <v>20672</v>
      </c>
      <c r="C3226" s="2" t="s">
        <v>20673</v>
      </c>
      <c r="D3226" s="2" t="s">
        <v>20674</v>
      </c>
      <c r="E3226" s="2" t="s">
        <v>13207</v>
      </c>
      <c r="F3226" s="2" t="s">
        <v>3523</v>
      </c>
      <c r="G3226" s="2" t="s">
        <v>20675</v>
      </c>
      <c r="H3226" s="3" t="s">
        <v>31</v>
      </c>
      <c r="I3226" s="3">
        <v>1.0</v>
      </c>
      <c r="J3226" s="3">
        <v>1.0</v>
      </c>
      <c r="K3226" s="3" t="s">
        <v>31</v>
      </c>
      <c r="L3226" s="4" t="s">
        <v>13766</v>
      </c>
      <c r="M3226" s="2" t="s">
        <v>20676</v>
      </c>
      <c r="N3226" s="2" t="s">
        <v>13768</v>
      </c>
      <c r="O3226" s="4" t="s">
        <v>13769</v>
      </c>
      <c r="P3226" s="2" t="s">
        <v>13770</v>
      </c>
      <c r="Q3226" s="2" t="s">
        <v>13771</v>
      </c>
      <c r="R3226" s="2" t="s">
        <v>31</v>
      </c>
      <c r="S3226" s="4" t="s">
        <v>13772</v>
      </c>
      <c r="T3226" s="2" t="s">
        <v>13773</v>
      </c>
      <c r="U3226" s="4" t="s">
        <v>31</v>
      </c>
      <c r="V3226" s="2" t="s">
        <v>3523</v>
      </c>
      <c r="W3226" s="2" t="s">
        <v>13207</v>
      </c>
      <c r="X3226" s="5" t="str">
        <f>HYPERLINK("https://my.pitchbook.com?p=436315-15P","View People Online")</f>
        <v>View People Online</v>
      </c>
    </row>
    <row r="3227">
      <c r="A3227" s="6" t="s">
        <v>20677</v>
      </c>
      <c r="B3227" s="6" t="s">
        <v>20678</v>
      </c>
      <c r="C3227" s="6" t="s">
        <v>20673</v>
      </c>
      <c r="D3227" s="6" t="s">
        <v>20679</v>
      </c>
      <c r="E3227" s="6" t="s">
        <v>13207</v>
      </c>
      <c r="F3227" s="6" t="s">
        <v>13240</v>
      </c>
      <c r="G3227" s="6" t="s">
        <v>20680</v>
      </c>
      <c r="H3227" s="7" t="s">
        <v>31</v>
      </c>
      <c r="I3227" s="7">
        <v>1.0</v>
      </c>
      <c r="J3227" s="7">
        <v>1.0</v>
      </c>
      <c r="K3227" s="7" t="s">
        <v>31</v>
      </c>
      <c r="L3227" s="8" t="s">
        <v>13766</v>
      </c>
      <c r="M3227" s="6" t="s">
        <v>20681</v>
      </c>
      <c r="N3227" s="6" t="s">
        <v>13768</v>
      </c>
      <c r="O3227" s="8" t="s">
        <v>13769</v>
      </c>
      <c r="P3227" s="6" t="s">
        <v>13770</v>
      </c>
      <c r="Q3227" s="6" t="s">
        <v>13771</v>
      </c>
      <c r="R3227" s="6" t="s">
        <v>31</v>
      </c>
      <c r="S3227" s="8" t="s">
        <v>13772</v>
      </c>
      <c r="T3227" s="6" t="s">
        <v>13773</v>
      </c>
      <c r="U3227" s="8" t="s">
        <v>31</v>
      </c>
      <c r="V3227" s="6" t="s">
        <v>20682</v>
      </c>
      <c r="W3227" s="6" t="s">
        <v>13207</v>
      </c>
      <c r="X3227" s="9" t="str">
        <f>HYPERLINK("https://my.pitchbook.com?p=455199-31P","View People Online")</f>
        <v>View People Online</v>
      </c>
    </row>
    <row r="3228">
      <c r="A3228" s="10" t="s">
        <v>20683</v>
      </c>
      <c r="B3228" s="10" t="s">
        <v>20684</v>
      </c>
      <c r="C3228" s="10" t="s">
        <v>20685</v>
      </c>
      <c r="D3228" s="10" t="s">
        <v>20686</v>
      </c>
      <c r="E3228" s="10" t="s">
        <v>13207</v>
      </c>
      <c r="F3228" s="10" t="s">
        <v>29</v>
      </c>
      <c r="G3228" s="10" t="s">
        <v>20687</v>
      </c>
      <c r="H3228" s="11" t="s">
        <v>31</v>
      </c>
      <c r="I3228" s="11">
        <v>1.0</v>
      </c>
      <c r="J3228" s="11">
        <v>1.0</v>
      </c>
      <c r="K3228" s="11" t="s">
        <v>31</v>
      </c>
      <c r="L3228" s="12" t="s">
        <v>16549</v>
      </c>
      <c r="M3228" s="10" t="s">
        <v>20688</v>
      </c>
      <c r="N3228" s="10" t="s">
        <v>16551</v>
      </c>
      <c r="O3228" s="12" t="s">
        <v>16552</v>
      </c>
      <c r="P3228" s="10" t="s">
        <v>16553</v>
      </c>
      <c r="Q3228" s="10" t="s">
        <v>16554</v>
      </c>
      <c r="R3228" s="10" t="s">
        <v>31</v>
      </c>
      <c r="S3228" s="12" t="s">
        <v>16555</v>
      </c>
      <c r="T3228" s="10" t="s">
        <v>16556</v>
      </c>
      <c r="U3228" s="12" t="s">
        <v>16557</v>
      </c>
      <c r="V3228" s="10" t="s">
        <v>29</v>
      </c>
      <c r="W3228" s="10" t="s">
        <v>13207</v>
      </c>
      <c r="X3228" s="13" t="str">
        <f>HYPERLINK("https://my.pitchbook.com?p=435158-74P","View People Online")</f>
        <v>View People Online</v>
      </c>
    </row>
    <row r="3229">
      <c r="A3229" s="6" t="s">
        <v>20689</v>
      </c>
      <c r="B3229" s="6" t="s">
        <v>20690</v>
      </c>
      <c r="C3229" s="6" t="s">
        <v>10533</v>
      </c>
      <c r="D3229" s="6" t="s">
        <v>20691</v>
      </c>
      <c r="E3229" s="6" t="s">
        <v>13207</v>
      </c>
      <c r="F3229" s="6" t="s">
        <v>13240</v>
      </c>
      <c r="G3229" s="6" t="s">
        <v>20692</v>
      </c>
      <c r="H3229" s="7" t="s">
        <v>31</v>
      </c>
      <c r="I3229" s="7">
        <v>1.0</v>
      </c>
      <c r="J3229" s="7">
        <v>1.0</v>
      </c>
      <c r="K3229" s="7" t="s">
        <v>31</v>
      </c>
      <c r="L3229" s="8" t="s">
        <v>13549</v>
      </c>
      <c r="M3229" s="6" t="s">
        <v>20693</v>
      </c>
      <c r="N3229" s="6" t="s">
        <v>794</v>
      </c>
      <c r="O3229" s="8" t="s">
        <v>795</v>
      </c>
      <c r="P3229" s="6" t="s">
        <v>13551</v>
      </c>
      <c r="Q3229" s="6" t="s">
        <v>13552</v>
      </c>
      <c r="R3229" s="6" t="s">
        <v>31</v>
      </c>
      <c r="S3229" s="8" t="s">
        <v>13553</v>
      </c>
      <c r="T3229" s="6" t="s">
        <v>796</v>
      </c>
      <c r="U3229" s="8" t="s">
        <v>13554</v>
      </c>
      <c r="V3229" s="6" t="s">
        <v>20694</v>
      </c>
      <c r="W3229" s="6" t="s">
        <v>13207</v>
      </c>
      <c r="X3229" s="9" t="str">
        <f>HYPERLINK("https://my.pitchbook.com?p=436399-12P","View People Online")</f>
        <v>View People Online</v>
      </c>
    </row>
    <row r="3230">
      <c r="A3230" s="2" t="s">
        <v>20695</v>
      </c>
      <c r="B3230" s="2" t="s">
        <v>20696</v>
      </c>
      <c r="C3230" s="2" t="s">
        <v>941</v>
      </c>
      <c r="D3230" s="2" t="s">
        <v>12868</v>
      </c>
      <c r="E3230" s="2" t="s">
        <v>13207</v>
      </c>
      <c r="F3230" s="2" t="s">
        <v>13218</v>
      </c>
      <c r="G3230" s="2" t="s">
        <v>20697</v>
      </c>
      <c r="H3230" s="3" t="s">
        <v>31</v>
      </c>
      <c r="I3230" s="3">
        <v>1.0</v>
      </c>
      <c r="J3230" s="3">
        <v>1.0</v>
      </c>
      <c r="K3230" s="3" t="s">
        <v>31</v>
      </c>
      <c r="L3230" s="4" t="s">
        <v>15012</v>
      </c>
      <c r="M3230" s="2" t="s">
        <v>20698</v>
      </c>
      <c r="N3230" s="2" t="s">
        <v>15014</v>
      </c>
      <c r="O3230" s="4" t="s">
        <v>15015</v>
      </c>
      <c r="P3230" s="2" t="s">
        <v>15016</v>
      </c>
      <c r="Q3230" s="2" t="s">
        <v>31</v>
      </c>
      <c r="R3230" s="2" t="s">
        <v>31</v>
      </c>
      <c r="S3230" s="4" t="s">
        <v>15017</v>
      </c>
      <c r="T3230" s="2" t="s">
        <v>15018</v>
      </c>
      <c r="U3230" s="4" t="s">
        <v>15019</v>
      </c>
      <c r="V3230" s="2" t="s">
        <v>13218</v>
      </c>
      <c r="W3230" s="2" t="s">
        <v>13207</v>
      </c>
      <c r="X3230" s="5" t="str">
        <f>HYPERLINK("https://my.pitchbook.com?p=435605-14P","View People Online")</f>
        <v>View People Online</v>
      </c>
    </row>
    <row r="3231">
      <c r="A3231" s="14" t="s">
        <v>20699</v>
      </c>
      <c r="B3231" s="14" t="s">
        <v>20700</v>
      </c>
      <c r="C3231" s="14" t="s">
        <v>20701</v>
      </c>
      <c r="D3231" s="14" t="s">
        <v>20702</v>
      </c>
      <c r="E3231" s="14" t="s">
        <v>13207</v>
      </c>
      <c r="F3231" s="14" t="s">
        <v>3523</v>
      </c>
      <c r="G3231" s="14" t="s">
        <v>20703</v>
      </c>
      <c r="H3231" s="15" t="s">
        <v>31</v>
      </c>
      <c r="I3231" s="15">
        <v>1.0</v>
      </c>
      <c r="J3231" s="15">
        <v>1.0</v>
      </c>
      <c r="K3231" s="15" t="s">
        <v>31</v>
      </c>
      <c r="L3231" s="16" t="s">
        <v>13531</v>
      </c>
      <c r="M3231" s="14" t="s">
        <v>20704</v>
      </c>
      <c r="N3231" s="14" t="s">
        <v>2273</v>
      </c>
      <c r="O3231" s="16" t="s">
        <v>2274</v>
      </c>
      <c r="P3231" s="14" t="s">
        <v>13533</v>
      </c>
      <c r="Q3231" s="14" t="s">
        <v>31</v>
      </c>
      <c r="R3231" s="14" t="s">
        <v>31</v>
      </c>
      <c r="S3231" s="16" t="s">
        <v>13534</v>
      </c>
      <c r="T3231" s="14" t="s">
        <v>2278</v>
      </c>
      <c r="U3231" s="16" t="s">
        <v>13535</v>
      </c>
      <c r="V3231" s="14" t="s">
        <v>3523</v>
      </c>
      <c r="W3231" s="14" t="s">
        <v>13207</v>
      </c>
      <c r="X3231" s="17" t="str">
        <f>HYPERLINK("https://my.pitchbook.com?p=435602-35P","View People Online")</f>
        <v>View People Online</v>
      </c>
    </row>
    <row r="3232">
      <c r="A3232" s="2" t="s">
        <v>20705</v>
      </c>
      <c r="B3232" s="2" t="s">
        <v>20706</v>
      </c>
      <c r="C3232" s="2" t="s">
        <v>20707</v>
      </c>
      <c r="D3232" s="2" t="s">
        <v>5425</v>
      </c>
      <c r="E3232" s="2" t="s">
        <v>13207</v>
      </c>
      <c r="F3232" s="2" t="s">
        <v>3523</v>
      </c>
      <c r="G3232" s="2" t="s">
        <v>20708</v>
      </c>
      <c r="H3232" s="3" t="s">
        <v>31</v>
      </c>
      <c r="I3232" s="3">
        <v>1.0</v>
      </c>
      <c r="J3232" s="3">
        <v>1.0</v>
      </c>
      <c r="K3232" s="3" t="s">
        <v>31</v>
      </c>
      <c r="L3232" s="4" t="s">
        <v>13412</v>
      </c>
      <c r="M3232" s="2" t="s">
        <v>20709</v>
      </c>
      <c r="N3232" s="2" t="s">
        <v>13414</v>
      </c>
      <c r="O3232" s="4" t="s">
        <v>13415</v>
      </c>
      <c r="P3232" s="2" t="s">
        <v>13416</v>
      </c>
      <c r="Q3232" s="2" t="s">
        <v>31</v>
      </c>
      <c r="R3232" s="2" t="s">
        <v>209</v>
      </c>
      <c r="S3232" s="4" t="s">
        <v>13417</v>
      </c>
      <c r="T3232" s="2" t="s">
        <v>66</v>
      </c>
      <c r="U3232" s="4" t="s">
        <v>13418</v>
      </c>
      <c r="V3232" s="2" t="s">
        <v>3523</v>
      </c>
      <c r="W3232" s="2" t="s">
        <v>13207</v>
      </c>
      <c r="X3232" s="5" t="str">
        <f>HYPERLINK("https://my.pitchbook.com?p=435629-08P","View People Online")</f>
        <v>View People Online</v>
      </c>
    </row>
    <row r="3233">
      <c r="A3233" s="6" t="s">
        <v>20710</v>
      </c>
      <c r="B3233" s="6" t="s">
        <v>20711</v>
      </c>
      <c r="C3233" s="6" t="s">
        <v>4538</v>
      </c>
      <c r="D3233" s="6" t="s">
        <v>20712</v>
      </c>
      <c r="E3233" s="6" t="s">
        <v>13207</v>
      </c>
      <c r="F3233" s="6" t="s">
        <v>13218</v>
      </c>
      <c r="G3233" s="6" t="s">
        <v>20713</v>
      </c>
      <c r="H3233" s="7" t="s">
        <v>31</v>
      </c>
      <c r="I3233" s="7">
        <v>1.0</v>
      </c>
      <c r="J3233" s="7">
        <v>1.0</v>
      </c>
      <c r="K3233" s="7" t="s">
        <v>31</v>
      </c>
      <c r="L3233" s="8" t="s">
        <v>13496</v>
      </c>
      <c r="M3233" s="6" t="s">
        <v>20714</v>
      </c>
      <c r="N3233" s="6" t="s">
        <v>75</v>
      </c>
      <c r="O3233" s="8" t="s">
        <v>76</v>
      </c>
      <c r="P3233" s="6" t="s">
        <v>13498</v>
      </c>
      <c r="Q3233" s="6" t="s">
        <v>31</v>
      </c>
      <c r="R3233" s="6" t="s">
        <v>75</v>
      </c>
      <c r="S3233" s="8" t="s">
        <v>195</v>
      </c>
      <c r="T3233" s="6" t="s">
        <v>66</v>
      </c>
      <c r="U3233" s="8" t="s">
        <v>13499</v>
      </c>
      <c r="V3233" s="6" t="s">
        <v>13218</v>
      </c>
      <c r="W3233" s="6" t="s">
        <v>13207</v>
      </c>
      <c r="X3233" s="9" t="str">
        <f>HYPERLINK("https://my.pitchbook.com?p=456807-61P","View People Online")</f>
        <v>View People Online</v>
      </c>
    </row>
    <row r="3234">
      <c r="A3234" s="10" t="s">
        <v>20715</v>
      </c>
      <c r="B3234" s="10" t="s">
        <v>20716</v>
      </c>
      <c r="C3234" s="10" t="s">
        <v>2388</v>
      </c>
      <c r="D3234" s="10" t="s">
        <v>6893</v>
      </c>
      <c r="E3234" s="10" t="s">
        <v>13207</v>
      </c>
      <c r="F3234" s="10" t="s">
        <v>13218</v>
      </c>
      <c r="G3234" s="10" t="s">
        <v>20717</v>
      </c>
      <c r="H3234" s="11" t="s">
        <v>31</v>
      </c>
      <c r="I3234" s="11">
        <v>1.0</v>
      </c>
      <c r="J3234" s="11">
        <v>1.0</v>
      </c>
      <c r="K3234" s="11" t="s">
        <v>31</v>
      </c>
      <c r="L3234" s="12" t="s">
        <v>13743</v>
      </c>
      <c r="M3234" s="10" t="s">
        <v>20718</v>
      </c>
      <c r="N3234" s="10" t="s">
        <v>1034</v>
      </c>
      <c r="O3234" s="12" t="s">
        <v>1035</v>
      </c>
      <c r="P3234" s="10" t="s">
        <v>13745</v>
      </c>
      <c r="Q3234" s="10" t="s">
        <v>13746</v>
      </c>
      <c r="R3234" s="10" t="s">
        <v>31</v>
      </c>
      <c r="S3234" s="12" t="s">
        <v>13747</v>
      </c>
      <c r="T3234" s="10" t="s">
        <v>1034</v>
      </c>
      <c r="U3234" s="12" t="s">
        <v>13748</v>
      </c>
      <c r="V3234" s="10" t="s">
        <v>13218</v>
      </c>
      <c r="W3234" s="10" t="s">
        <v>13207</v>
      </c>
      <c r="X3234" s="13" t="str">
        <f>HYPERLINK("https://my.pitchbook.com?p=325592-11P","View People Online")</f>
        <v>View People Online</v>
      </c>
    </row>
    <row r="3235">
      <c r="A3235" s="14" t="s">
        <v>20719</v>
      </c>
      <c r="B3235" s="14" t="s">
        <v>20720</v>
      </c>
      <c r="C3235" s="14" t="s">
        <v>2388</v>
      </c>
      <c r="D3235" s="14" t="s">
        <v>20721</v>
      </c>
      <c r="E3235" s="14" t="s">
        <v>13207</v>
      </c>
      <c r="F3235" s="14" t="s">
        <v>3523</v>
      </c>
      <c r="G3235" s="14" t="s">
        <v>20722</v>
      </c>
      <c r="H3235" s="15" t="s">
        <v>31</v>
      </c>
      <c r="I3235" s="15">
        <v>1.0</v>
      </c>
      <c r="J3235" s="15">
        <v>1.0</v>
      </c>
      <c r="K3235" s="15" t="s">
        <v>31</v>
      </c>
      <c r="L3235" s="16" t="s">
        <v>13399</v>
      </c>
      <c r="M3235" s="14" t="s">
        <v>20723</v>
      </c>
      <c r="N3235" s="14" t="s">
        <v>13401</v>
      </c>
      <c r="O3235" s="16" t="s">
        <v>13402</v>
      </c>
      <c r="P3235" s="14" t="s">
        <v>13403</v>
      </c>
      <c r="Q3235" s="14" t="s">
        <v>13404</v>
      </c>
      <c r="R3235" s="14" t="s">
        <v>31</v>
      </c>
      <c r="S3235" s="16" t="s">
        <v>13405</v>
      </c>
      <c r="T3235" s="14" t="s">
        <v>13406</v>
      </c>
      <c r="U3235" s="16" t="s">
        <v>13407</v>
      </c>
      <c r="V3235" s="14" t="s">
        <v>3523</v>
      </c>
      <c r="W3235" s="14" t="s">
        <v>13207</v>
      </c>
      <c r="X3235" s="17" t="str">
        <f>HYPERLINK("https://my.pitchbook.com?p=435402-91P","View People Online")</f>
        <v>View People Online</v>
      </c>
    </row>
    <row r="3236">
      <c r="A3236" s="10" t="s">
        <v>20724</v>
      </c>
      <c r="B3236" s="10" t="s">
        <v>20725</v>
      </c>
      <c r="C3236" s="10" t="s">
        <v>2388</v>
      </c>
      <c r="D3236" s="10" t="s">
        <v>20726</v>
      </c>
      <c r="E3236" s="10" t="s">
        <v>13207</v>
      </c>
      <c r="F3236" s="10" t="s">
        <v>13218</v>
      </c>
      <c r="G3236" s="10" t="s">
        <v>20727</v>
      </c>
      <c r="H3236" s="11" t="s">
        <v>31</v>
      </c>
      <c r="I3236" s="11">
        <v>1.0</v>
      </c>
      <c r="J3236" s="11">
        <v>1.0</v>
      </c>
      <c r="K3236" s="11" t="s">
        <v>31</v>
      </c>
      <c r="L3236" s="12" t="s">
        <v>13274</v>
      </c>
      <c r="M3236" s="10" t="s">
        <v>20728</v>
      </c>
      <c r="N3236" s="10" t="s">
        <v>1181</v>
      </c>
      <c r="O3236" s="12" t="s">
        <v>1182</v>
      </c>
      <c r="P3236" s="10" t="s">
        <v>13276</v>
      </c>
      <c r="Q3236" s="10" t="s">
        <v>31</v>
      </c>
      <c r="R3236" s="10" t="s">
        <v>1185</v>
      </c>
      <c r="S3236" s="12" t="s">
        <v>4438</v>
      </c>
      <c r="T3236" s="10" t="s">
        <v>66</v>
      </c>
      <c r="U3236" s="12" t="s">
        <v>13277</v>
      </c>
      <c r="V3236" s="10" t="s">
        <v>13218</v>
      </c>
      <c r="W3236" s="10" t="s">
        <v>13207</v>
      </c>
      <c r="X3236" s="13" t="str">
        <f>HYPERLINK("https://my.pitchbook.com?p=456830-29P","View People Online")</f>
        <v>View People Online</v>
      </c>
    </row>
    <row r="3237">
      <c r="A3237" s="6" t="s">
        <v>20729</v>
      </c>
      <c r="B3237" s="6" t="s">
        <v>20730</v>
      </c>
      <c r="C3237" s="6" t="s">
        <v>2388</v>
      </c>
      <c r="D3237" s="6" t="s">
        <v>69</v>
      </c>
      <c r="E3237" s="6" t="s">
        <v>13207</v>
      </c>
      <c r="F3237" s="6" t="s">
        <v>13240</v>
      </c>
      <c r="G3237" s="6" t="s">
        <v>20731</v>
      </c>
      <c r="H3237" s="7" t="s">
        <v>31</v>
      </c>
      <c r="I3237" s="7">
        <v>1.0</v>
      </c>
      <c r="J3237" s="7">
        <v>1.0</v>
      </c>
      <c r="K3237" s="7" t="s">
        <v>31</v>
      </c>
      <c r="L3237" s="8" t="s">
        <v>13281</v>
      </c>
      <c r="M3237" s="6" t="s">
        <v>20732</v>
      </c>
      <c r="N3237" s="6" t="s">
        <v>1277</v>
      </c>
      <c r="O3237" s="8" t="s">
        <v>1278</v>
      </c>
      <c r="P3237" s="6" t="s">
        <v>13283</v>
      </c>
      <c r="Q3237" s="6" t="s">
        <v>13284</v>
      </c>
      <c r="R3237" s="6" t="s">
        <v>1281</v>
      </c>
      <c r="S3237" s="8" t="s">
        <v>1282</v>
      </c>
      <c r="T3237" s="6" t="s">
        <v>66</v>
      </c>
      <c r="U3237" s="8" t="s">
        <v>13285</v>
      </c>
      <c r="V3237" s="6" t="s">
        <v>13247</v>
      </c>
      <c r="W3237" s="6" t="s">
        <v>13207</v>
      </c>
      <c r="X3237" s="9" t="str">
        <f>HYPERLINK("https://my.pitchbook.com?p=456254-83P","View People Online")</f>
        <v>View People Online</v>
      </c>
    </row>
    <row r="3238">
      <c r="A3238" s="10" t="s">
        <v>20733</v>
      </c>
      <c r="B3238" s="10" t="s">
        <v>20734</v>
      </c>
      <c r="C3238" s="10" t="s">
        <v>2388</v>
      </c>
      <c r="D3238" s="10" t="s">
        <v>18117</v>
      </c>
      <c r="E3238" s="10" t="s">
        <v>13207</v>
      </c>
      <c r="F3238" s="10" t="s">
        <v>2731</v>
      </c>
      <c r="G3238" s="10" t="s">
        <v>20735</v>
      </c>
      <c r="H3238" s="11">
        <v>2.0</v>
      </c>
      <c r="I3238" s="11">
        <v>10.0</v>
      </c>
      <c r="J3238" s="11">
        <v>1.0</v>
      </c>
      <c r="K3238" s="11">
        <v>3.0</v>
      </c>
      <c r="L3238" s="12" t="s">
        <v>31</v>
      </c>
      <c r="M3238" s="10" t="s">
        <v>31</v>
      </c>
      <c r="N3238" s="10" t="s">
        <v>1170</v>
      </c>
      <c r="O3238" s="12" t="s">
        <v>1171</v>
      </c>
      <c r="P3238" s="10" t="s">
        <v>20736</v>
      </c>
      <c r="Q3238" s="10" t="s">
        <v>20737</v>
      </c>
      <c r="R3238" s="10" t="s">
        <v>64</v>
      </c>
      <c r="S3238" s="12" t="s">
        <v>12621</v>
      </c>
      <c r="T3238" s="10" t="s">
        <v>66</v>
      </c>
      <c r="U3238" s="12" t="s">
        <v>31</v>
      </c>
      <c r="V3238" s="10" t="s">
        <v>20738</v>
      </c>
      <c r="W3238" s="10" t="s">
        <v>20739</v>
      </c>
      <c r="X3238" s="13" t="str">
        <f>HYPERLINK("https://my.pitchbook.com?p=35596-09P","View People Online")</f>
        <v>View People Online</v>
      </c>
    </row>
    <row r="3239">
      <c r="A3239" s="14" t="s">
        <v>20740</v>
      </c>
      <c r="B3239" s="14" t="s">
        <v>20741</v>
      </c>
      <c r="C3239" s="14" t="s">
        <v>2388</v>
      </c>
      <c r="D3239" s="14" t="s">
        <v>20742</v>
      </c>
      <c r="E3239" s="14" t="s">
        <v>13207</v>
      </c>
      <c r="F3239" s="14" t="s">
        <v>3523</v>
      </c>
      <c r="G3239" s="14" t="s">
        <v>20743</v>
      </c>
      <c r="H3239" s="15" t="s">
        <v>31</v>
      </c>
      <c r="I3239" s="15">
        <v>1.0</v>
      </c>
      <c r="J3239" s="15">
        <v>1.0</v>
      </c>
      <c r="K3239" s="15" t="s">
        <v>31</v>
      </c>
      <c r="L3239" s="16" t="s">
        <v>13632</v>
      </c>
      <c r="M3239" s="14" t="s">
        <v>20744</v>
      </c>
      <c r="N3239" s="14" t="s">
        <v>7690</v>
      </c>
      <c r="O3239" s="16" t="s">
        <v>7691</v>
      </c>
      <c r="P3239" s="14" t="s">
        <v>13634</v>
      </c>
      <c r="Q3239" s="14" t="s">
        <v>13635</v>
      </c>
      <c r="R3239" s="14" t="s">
        <v>7693</v>
      </c>
      <c r="S3239" s="16" t="s">
        <v>13636</v>
      </c>
      <c r="T3239" s="14" t="s">
        <v>66</v>
      </c>
      <c r="U3239" s="16" t="s">
        <v>13637</v>
      </c>
      <c r="V3239" s="14" t="s">
        <v>3523</v>
      </c>
      <c r="W3239" s="14" t="s">
        <v>13207</v>
      </c>
      <c r="X3239" s="17" t="str">
        <f>HYPERLINK("https://my.pitchbook.com?p=436116-43P","View People Online")</f>
        <v>View People Online</v>
      </c>
    </row>
    <row r="3240">
      <c r="A3240" s="2" t="s">
        <v>20745</v>
      </c>
      <c r="B3240" s="2" t="s">
        <v>20746</v>
      </c>
      <c r="C3240" s="2" t="s">
        <v>2388</v>
      </c>
      <c r="D3240" s="2" t="s">
        <v>20747</v>
      </c>
      <c r="E3240" s="2" t="s">
        <v>13207</v>
      </c>
      <c r="F3240" s="2" t="s">
        <v>13218</v>
      </c>
      <c r="G3240" s="2" t="s">
        <v>20748</v>
      </c>
      <c r="H3240" s="3" t="s">
        <v>31</v>
      </c>
      <c r="I3240" s="3">
        <v>1.0</v>
      </c>
      <c r="J3240" s="3">
        <v>1.0</v>
      </c>
      <c r="K3240" s="3" t="s">
        <v>31</v>
      </c>
      <c r="L3240" s="4" t="s">
        <v>13549</v>
      </c>
      <c r="M3240" s="2" t="s">
        <v>20749</v>
      </c>
      <c r="N3240" s="2" t="s">
        <v>794</v>
      </c>
      <c r="O3240" s="4" t="s">
        <v>795</v>
      </c>
      <c r="P3240" s="2" t="s">
        <v>13551</v>
      </c>
      <c r="Q3240" s="2" t="s">
        <v>13552</v>
      </c>
      <c r="R3240" s="2" t="s">
        <v>31</v>
      </c>
      <c r="S3240" s="4" t="s">
        <v>13553</v>
      </c>
      <c r="T3240" s="2" t="s">
        <v>796</v>
      </c>
      <c r="U3240" s="4" t="s">
        <v>13554</v>
      </c>
      <c r="V3240" s="2" t="s">
        <v>13218</v>
      </c>
      <c r="W3240" s="2" t="s">
        <v>13207</v>
      </c>
      <c r="X3240" s="5" t="str">
        <f>HYPERLINK("https://my.pitchbook.com?p=435918-43P","View People Online")</f>
        <v>View People Online</v>
      </c>
    </row>
    <row r="3241">
      <c r="A3241" s="6" t="s">
        <v>20750</v>
      </c>
      <c r="B3241" s="6" t="s">
        <v>20751</v>
      </c>
      <c r="C3241" s="6" t="s">
        <v>2388</v>
      </c>
      <c r="D3241" s="6" t="s">
        <v>20752</v>
      </c>
      <c r="E3241" s="6" t="s">
        <v>13207</v>
      </c>
      <c r="F3241" s="6" t="s">
        <v>3523</v>
      </c>
      <c r="G3241" s="6" t="s">
        <v>20753</v>
      </c>
      <c r="H3241" s="7" t="s">
        <v>31</v>
      </c>
      <c r="I3241" s="7">
        <v>1.0</v>
      </c>
      <c r="J3241" s="7">
        <v>1.0</v>
      </c>
      <c r="K3241" s="7" t="s">
        <v>31</v>
      </c>
      <c r="L3241" s="8" t="s">
        <v>14142</v>
      </c>
      <c r="M3241" s="6" t="s">
        <v>20754</v>
      </c>
      <c r="N3241" s="6" t="s">
        <v>273</v>
      </c>
      <c r="O3241" s="8" t="s">
        <v>274</v>
      </c>
      <c r="P3241" s="6" t="s">
        <v>14144</v>
      </c>
      <c r="Q3241" s="6" t="s">
        <v>31</v>
      </c>
      <c r="R3241" s="6" t="s">
        <v>31</v>
      </c>
      <c r="S3241" s="8" t="s">
        <v>14145</v>
      </c>
      <c r="T3241" s="6" t="s">
        <v>276</v>
      </c>
      <c r="U3241" s="8" t="s">
        <v>14146</v>
      </c>
      <c r="V3241" s="6" t="s">
        <v>3523</v>
      </c>
      <c r="W3241" s="6" t="s">
        <v>13207</v>
      </c>
      <c r="X3241" s="9" t="str">
        <f>HYPERLINK("https://my.pitchbook.com?p=456504-85P","View People Online")</f>
        <v>View People Online</v>
      </c>
    </row>
    <row r="3242">
      <c r="A3242" s="2" t="s">
        <v>20755</v>
      </c>
      <c r="B3242" s="2" t="s">
        <v>20756</v>
      </c>
      <c r="C3242" s="2" t="s">
        <v>2388</v>
      </c>
      <c r="D3242" s="2" t="s">
        <v>20757</v>
      </c>
      <c r="E3242" s="2" t="s">
        <v>13207</v>
      </c>
      <c r="F3242" s="2" t="s">
        <v>3523</v>
      </c>
      <c r="G3242" s="2" t="s">
        <v>20758</v>
      </c>
      <c r="H3242" s="3" t="s">
        <v>31</v>
      </c>
      <c r="I3242" s="3">
        <v>1.0</v>
      </c>
      <c r="J3242" s="3">
        <v>1.0</v>
      </c>
      <c r="K3242" s="3" t="s">
        <v>31</v>
      </c>
      <c r="L3242" s="4" t="s">
        <v>13345</v>
      </c>
      <c r="M3242" s="2" t="s">
        <v>20759</v>
      </c>
      <c r="N3242" s="2" t="s">
        <v>2764</v>
      </c>
      <c r="O3242" s="4" t="s">
        <v>2765</v>
      </c>
      <c r="P3242" s="2" t="s">
        <v>13347</v>
      </c>
      <c r="Q3242" s="2" t="s">
        <v>31</v>
      </c>
      <c r="R3242" s="2" t="s">
        <v>31</v>
      </c>
      <c r="S3242" s="4" t="s">
        <v>13348</v>
      </c>
      <c r="T3242" s="2" t="s">
        <v>2768</v>
      </c>
      <c r="U3242" s="4" t="s">
        <v>13349</v>
      </c>
      <c r="V3242" s="2" t="s">
        <v>3523</v>
      </c>
      <c r="W3242" s="2" t="s">
        <v>13207</v>
      </c>
      <c r="X3242" s="5" t="str">
        <f>HYPERLINK("https://my.pitchbook.com?p=455642-74P","View People Online")</f>
        <v>View People Online</v>
      </c>
    </row>
    <row r="3243">
      <c r="A3243" s="6" t="s">
        <v>20760</v>
      </c>
      <c r="B3243" s="6" t="s">
        <v>20761</v>
      </c>
      <c r="C3243" s="6" t="s">
        <v>2388</v>
      </c>
      <c r="D3243" s="6" t="s">
        <v>20762</v>
      </c>
      <c r="E3243" s="6" t="s">
        <v>13207</v>
      </c>
      <c r="F3243" s="6" t="s">
        <v>3523</v>
      </c>
      <c r="G3243" s="6" t="s">
        <v>20763</v>
      </c>
      <c r="H3243" s="7" t="s">
        <v>31</v>
      </c>
      <c r="I3243" s="7">
        <v>1.0</v>
      </c>
      <c r="J3243" s="7">
        <v>1.0</v>
      </c>
      <c r="K3243" s="7" t="s">
        <v>31</v>
      </c>
      <c r="L3243" s="8" t="s">
        <v>14173</v>
      </c>
      <c r="M3243" s="6" t="s">
        <v>20764</v>
      </c>
      <c r="N3243" s="6" t="s">
        <v>658</v>
      </c>
      <c r="O3243" s="8" t="s">
        <v>659</v>
      </c>
      <c r="P3243" s="6" t="s">
        <v>14175</v>
      </c>
      <c r="Q3243" s="6" t="s">
        <v>31</v>
      </c>
      <c r="R3243" s="6" t="s">
        <v>31</v>
      </c>
      <c r="S3243" s="8" t="s">
        <v>660</v>
      </c>
      <c r="T3243" s="6" t="s">
        <v>661</v>
      </c>
      <c r="U3243" s="8" t="s">
        <v>14176</v>
      </c>
      <c r="V3243" s="6" t="s">
        <v>3523</v>
      </c>
      <c r="W3243" s="6" t="s">
        <v>13207</v>
      </c>
      <c r="X3243" s="9" t="str">
        <f>HYPERLINK("https://my.pitchbook.com?p=455775-13P","View People Online")</f>
        <v>View People Online</v>
      </c>
    </row>
    <row r="3244">
      <c r="A3244" s="2" t="s">
        <v>20765</v>
      </c>
      <c r="B3244" s="2" t="s">
        <v>20766</v>
      </c>
      <c r="C3244" s="2" t="s">
        <v>2388</v>
      </c>
      <c r="D3244" s="2" t="s">
        <v>20767</v>
      </c>
      <c r="E3244" s="2" t="s">
        <v>13207</v>
      </c>
      <c r="F3244" s="2" t="s">
        <v>3523</v>
      </c>
      <c r="G3244" s="2" t="s">
        <v>20768</v>
      </c>
      <c r="H3244" s="3" t="s">
        <v>31</v>
      </c>
      <c r="I3244" s="3">
        <v>1.0</v>
      </c>
      <c r="J3244" s="3">
        <v>1.0</v>
      </c>
      <c r="K3244" s="3" t="s">
        <v>31</v>
      </c>
      <c r="L3244" s="4" t="s">
        <v>13345</v>
      </c>
      <c r="M3244" s="2" t="s">
        <v>20769</v>
      </c>
      <c r="N3244" s="2" t="s">
        <v>2764</v>
      </c>
      <c r="O3244" s="4" t="s">
        <v>2765</v>
      </c>
      <c r="P3244" s="2" t="s">
        <v>13347</v>
      </c>
      <c r="Q3244" s="2" t="s">
        <v>31</v>
      </c>
      <c r="R3244" s="2" t="s">
        <v>31</v>
      </c>
      <c r="S3244" s="4" t="s">
        <v>13348</v>
      </c>
      <c r="T3244" s="2" t="s">
        <v>2768</v>
      </c>
      <c r="U3244" s="4" t="s">
        <v>13349</v>
      </c>
      <c r="V3244" s="2" t="s">
        <v>3523</v>
      </c>
      <c r="W3244" s="2" t="s">
        <v>13207</v>
      </c>
      <c r="X3244" s="5" t="str">
        <f>HYPERLINK("https://my.pitchbook.com?p=434929-78P","View People Online")</f>
        <v>View People Online</v>
      </c>
    </row>
    <row r="3245">
      <c r="A3245" s="6" t="s">
        <v>20770</v>
      </c>
      <c r="B3245" s="6" t="s">
        <v>20771</v>
      </c>
      <c r="C3245" s="6" t="s">
        <v>2388</v>
      </c>
      <c r="D3245" s="6" t="s">
        <v>20772</v>
      </c>
      <c r="E3245" s="6" t="s">
        <v>13207</v>
      </c>
      <c r="F3245" s="6" t="s">
        <v>3523</v>
      </c>
      <c r="G3245" s="6" t="s">
        <v>20773</v>
      </c>
      <c r="H3245" s="7" t="s">
        <v>31</v>
      </c>
      <c r="I3245" s="7">
        <v>1.0</v>
      </c>
      <c r="J3245" s="7">
        <v>1.0</v>
      </c>
      <c r="K3245" s="7" t="s">
        <v>31</v>
      </c>
      <c r="L3245" s="8" t="s">
        <v>13242</v>
      </c>
      <c r="M3245" s="6" t="s">
        <v>20774</v>
      </c>
      <c r="N3245" s="6" t="s">
        <v>9865</v>
      </c>
      <c r="O3245" s="8" t="s">
        <v>9866</v>
      </c>
      <c r="P3245" s="6" t="s">
        <v>13244</v>
      </c>
      <c r="Q3245" s="6" t="s">
        <v>31</v>
      </c>
      <c r="R3245" s="6" t="s">
        <v>31</v>
      </c>
      <c r="S3245" s="8" t="s">
        <v>13245</v>
      </c>
      <c r="T3245" s="6" t="s">
        <v>38</v>
      </c>
      <c r="U3245" s="8" t="s">
        <v>13246</v>
      </c>
      <c r="V3245" s="6" t="s">
        <v>3523</v>
      </c>
      <c r="W3245" s="6" t="s">
        <v>13207</v>
      </c>
      <c r="X3245" s="9" t="str">
        <f>HYPERLINK("https://my.pitchbook.com?p=435774-43P","View People Online")</f>
        <v>View People Online</v>
      </c>
    </row>
    <row r="3246">
      <c r="A3246" s="2" t="s">
        <v>20775</v>
      </c>
      <c r="B3246" s="2" t="s">
        <v>20776</v>
      </c>
      <c r="C3246" s="2" t="s">
        <v>3274</v>
      </c>
      <c r="D3246" s="2" t="s">
        <v>3941</v>
      </c>
      <c r="E3246" s="2" t="s">
        <v>13207</v>
      </c>
      <c r="F3246" s="2" t="s">
        <v>13307</v>
      </c>
      <c r="G3246" s="2" t="s">
        <v>20777</v>
      </c>
      <c r="H3246" s="3" t="s">
        <v>31</v>
      </c>
      <c r="I3246" s="3">
        <v>1.0</v>
      </c>
      <c r="J3246" s="3">
        <v>1.0</v>
      </c>
      <c r="K3246" s="3" t="s">
        <v>31</v>
      </c>
      <c r="L3246" s="4" t="s">
        <v>13423</v>
      </c>
      <c r="M3246" s="2" t="s">
        <v>20778</v>
      </c>
      <c r="N3246" s="2" t="s">
        <v>243</v>
      </c>
      <c r="O3246" s="4" t="s">
        <v>244</v>
      </c>
      <c r="P3246" s="2" t="s">
        <v>13425</v>
      </c>
      <c r="Q3246" s="2" t="s">
        <v>31</v>
      </c>
      <c r="R3246" s="2" t="s">
        <v>247</v>
      </c>
      <c r="S3246" s="4" t="s">
        <v>13426</v>
      </c>
      <c r="T3246" s="2" t="s">
        <v>249</v>
      </c>
      <c r="U3246" s="4" t="s">
        <v>31</v>
      </c>
      <c r="V3246" s="2" t="s">
        <v>13317</v>
      </c>
      <c r="W3246" s="2" t="s">
        <v>13207</v>
      </c>
      <c r="X3246" s="5" t="str">
        <f>HYPERLINK("https://my.pitchbook.com?p=436285-27P","View People Online")</f>
        <v>View People Online</v>
      </c>
    </row>
    <row r="3247">
      <c r="A3247" s="14" t="s">
        <v>20779</v>
      </c>
      <c r="B3247" s="14" t="s">
        <v>20780</v>
      </c>
      <c r="C3247" s="14" t="s">
        <v>3274</v>
      </c>
      <c r="D3247" s="14" t="s">
        <v>11218</v>
      </c>
      <c r="E3247" s="14" t="s">
        <v>13207</v>
      </c>
      <c r="F3247" s="14" t="s">
        <v>13240</v>
      </c>
      <c r="G3247" s="14" t="s">
        <v>20781</v>
      </c>
      <c r="H3247" s="15" t="s">
        <v>31</v>
      </c>
      <c r="I3247" s="15">
        <v>1.0</v>
      </c>
      <c r="J3247" s="15">
        <v>1.0</v>
      </c>
      <c r="K3247" s="15" t="s">
        <v>31</v>
      </c>
      <c r="L3247" s="16" t="s">
        <v>13423</v>
      </c>
      <c r="M3247" s="14" t="s">
        <v>20782</v>
      </c>
      <c r="N3247" s="14" t="s">
        <v>243</v>
      </c>
      <c r="O3247" s="16" t="s">
        <v>244</v>
      </c>
      <c r="P3247" s="14" t="s">
        <v>13425</v>
      </c>
      <c r="Q3247" s="14" t="s">
        <v>31</v>
      </c>
      <c r="R3247" s="14" t="s">
        <v>247</v>
      </c>
      <c r="S3247" s="16" t="s">
        <v>13426</v>
      </c>
      <c r="T3247" s="14" t="s">
        <v>249</v>
      </c>
      <c r="U3247" s="16" t="s">
        <v>31</v>
      </c>
      <c r="V3247" s="14" t="s">
        <v>20783</v>
      </c>
      <c r="W3247" s="14" t="s">
        <v>13207</v>
      </c>
      <c r="X3247" s="17" t="str">
        <f>HYPERLINK("https://my.pitchbook.com?p=435631-24P","View People Online")</f>
        <v>View People Online</v>
      </c>
    </row>
    <row r="3248">
      <c r="A3248" s="10" t="s">
        <v>20784</v>
      </c>
      <c r="B3248" s="10" t="s">
        <v>20785</v>
      </c>
      <c r="C3248" s="10" t="s">
        <v>3274</v>
      </c>
      <c r="D3248" s="10" t="s">
        <v>20786</v>
      </c>
      <c r="E3248" s="10" t="s">
        <v>13207</v>
      </c>
      <c r="F3248" s="10" t="s">
        <v>3523</v>
      </c>
      <c r="G3248" s="10" t="s">
        <v>20787</v>
      </c>
      <c r="H3248" s="11" t="s">
        <v>31</v>
      </c>
      <c r="I3248" s="11">
        <v>1.0</v>
      </c>
      <c r="J3248" s="11">
        <v>1.0</v>
      </c>
      <c r="K3248" s="11" t="s">
        <v>31</v>
      </c>
      <c r="L3248" s="12" t="s">
        <v>13496</v>
      </c>
      <c r="M3248" s="10" t="s">
        <v>20788</v>
      </c>
      <c r="N3248" s="10" t="s">
        <v>75</v>
      </c>
      <c r="O3248" s="12" t="s">
        <v>76</v>
      </c>
      <c r="P3248" s="10" t="s">
        <v>13498</v>
      </c>
      <c r="Q3248" s="10" t="s">
        <v>31</v>
      </c>
      <c r="R3248" s="10" t="s">
        <v>75</v>
      </c>
      <c r="S3248" s="12" t="s">
        <v>195</v>
      </c>
      <c r="T3248" s="10" t="s">
        <v>66</v>
      </c>
      <c r="U3248" s="12" t="s">
        <v>13499</v>
      </c>
      <c r="V3248" s="10" t="s">
        <v>3523</v>
      </c>
      <c r="W3248" s="10" t="s">
        <v>13207</v>
      </c>
      <c r="X3248" s="13" t="str">
        <f>HYPERLINK("https://my.pitchbook.com?p=455366-17P","View People Online")</f>
        <v>View People Online</v>
      </c>
    </row>
    <row r="3249">
      <c r="A3249" s="14" t="s">
        <v>20789</v>
      </c>
      <c r="B3249" s="14" t="s">
        <v>20790</v>
      </c>
      <c r="C3249" s="14" t="s">
        <v>3279</v>
      </c>
      <c r="D3249" s="14" t="s">
        <v>20791</v>
      </c>
      <c r="E3249" s="14" t="s">
        <v>13207</v>
      </c>
      <c r="F3249" s="14" t="s">
        <v>3523</v>
      </c>
      <c r="G3249" s="14" t="s">
        <v>20792</v>
      </c>
      <c r="H3249" s="15" t="s">
        <v>31</v>
      </c>
      <c r="I3249" s="15">
        <v>1.0</v>
      </c>
      <c r="J3249" s="15">
        <v>1.0</v>
      </c>
      <c r="K3249" s="15" t="s">
        <v>31</v>
      </c>
      <c r="L3249" s="16" t="s">
        <v>13496</v>
      </c>
      <c r="M3249" s="14" t="s">
        <v>20793</v>
      </c>
      <c r="N3249" s="14" t="s">
        <v>75</v>
      </c>
      <c r="O3249" s="16" t="s">
        <v>76</v>
      </c>
      <c r="P3249" s="14" t="s">
        <v>13498</v>
      </c>
      <c r="Q3249" s="14" t="s">
        <v>31</v>
      </c>
      <c r="R3249" s="14" t="s">
        <v>75</v>
      </c>
      <c r="S3249" s="16" t="s">
        <v>195</v>
      </c>
      <c r="T3249" s="14" t="s">
        <v>66</v>
      </c>
      <c r="U3249" s="16" t="s">
        <v>13499</v>
      </c>
      <c r="V3249" s="14" t="s">
        <v>20794</v>
      </c>
      <c r="W3249" s="14" t="s">
        <v>13207</v>
      </c>
      <c r="X3249" s="17" t="str">
        <f>HYPERLINK("https://my.pitchbook.com?p=456651-64P","View People Online")</f>
        <v>View People Online</v>
      </c>
    </row>
    <row r="3250">
      <c r="A3250" s="10" t="s">
        <v>20795</v>
      </c>
      <c r="B3250" s="10" t="s">
        <v>20796</v>
      </c>
      <c r="C3250" s="10" t="s">
        <v>3279</v>
      </c>
      <c r="D3250" s="10" t="s">
        <v>20797</v>
      </c>
      <c r="E3250" s="10" t="s">
        <v>13207</v>
      </c>
      <c r="F3250" s="10" t="s">
        <v>3523</v>
      </c>
      <c r="G3250" s="10" t="s">
        <v>20798</v>
      </c>
      <c r="H3250" s="11" t="s">
        <v>31</v>
      </c>
      <c r="I3250" s="11">
        <v>1.0</v>
      </c>
      <c r="J3250" s="11">
        <v>1.0</v>
      </c>
      <c r="K3250" s="11" t="s">
        <v>31</v>
      </c>
      <c r="L3250" s="12" t="s">
        <v>13242</v>
      </c>
      <c r="M3250" s="10" t="s">
        <v>20799</v>
      </c>
      <c r="N3250" s="10" t="s">
        <v>9865</v>
      </c>
      <c r="O3250" s="12" t="s">
        <v>9866</v>
      </c>
      <c r="P3250" s="10" t="s">
        <v>13244</v>
      </c>
      <c r="Q3250" s="10" t="s">
        <v>31</v>
      </c>
      <c r="R3250" s="10" t="s">
        <v>31</v>
      </c>
      <c r="S3250" s="12" t="s">
        <v>13245</v>
      </c>
      <c r="T3250" s="10" t="s">
        <v>38</v>
      </c>
      <c r="U3250" s="12" t="s">
        <v>13246</v>
      </c>
      <c r="V3250" s="10" t="s">
        <v>13218</v>
      </c>
      <c r="W3250" s="10" t="s">
        <v>13207</v>
      </c>
      <c r="X3250" s="13" t="str">
        <f>HYPERLINK("https://my.pitchbook.com?p=195924-07P","View People Online")</f>
        <v>View People Online</v>
      </c>
    </row>
    <row r="3251">
      <c r="A3251" s="14" t="s">
        <v>20800</v>
      </c>
      <c r="B3251" s="14" t="s">
        <v>20801</v>
      </c>
      <c r="C3251" s="14" t="s">
        <v>541</v>
      </c>
      <c r="D3251" s="14" t="s">
        <v>20802</v>
      </c>
      <c r="E3251" s="14" t="s">
        <v>13207</v>
      </c>
      <c r="F3251" s="14" t="s">
        <v>13218</v>
      </c>
      <c r="G3251" s="14" t="s">
        <v>20803</v>
      </c>
      <c r="H3251" s="15" t="s">
        <v>31</v>
      </c>
      <c r="I3251" s="15">
        <v>1.0</v>
      </c>
      <c r="J3251" s="15">
        <v>1.0</v>
      </c>
      <c r="K3251" s="15" t="s">
        <v>31</v>
      </c>
      <c r="L3251" s="16" t="s">
        <v>14419</v>
      </c>
      <c r="M3251" s="14" t="s">
        <v>20804</v>
      </c>
      <c r="N3251" s="14" t="s">
        <v>637</v>
      </c>
      <c r="O3251" s="16" t="s">
        <v>638</v>
      </c>
      <c r="P3251" s="14" t="s">
        <v>14421</v>
      </c>
      <c r="Q3251" s="14" t="s">
        <v>14422</v>
      </c>
      <c r="R3251" s="14" t="s">
        <v>31</v>
      </c>
      <c r="S3251" s="16" t="s">
        <v>31</v>
      </c>
      <c r="T3251" s="14" t="s">
        <v>639</v>
      </c>
      <c r="U3251" s="16" t="s">
        <v>14423</v>
      </c>
      <c r="V3251" s="14" t="s">
        <v>13218</v>
      </c>
      <c r="W3251" s="14" t="s">
        <v>13207</v>
      </c>
      <c r="X3251" s="17" t="str">
        <f>HYPERLINK("https://my.pitchbook.com?p=435322-09P","View People Online")</f>
        <v>View People Online</v>
      </c>
    </row>
    <row r="3252">
      <c r="A3252" s="10" t="s">
        <v>20805</v>
      </c>
      <c r="B3252" s="10" t="s">
        <v>20806</v>
      </c>
      <c r="C3252" s="10" t="s">
        <v>541</v>
      </c>
      <c r="D3252" s="10" t="s">
        <v>20807</v>
      </c>
      <c r="E3252" s="10" t="s">
        <v>13207</v>
      </c>
      <c r="F3252" s="10" t="s">
        <v>3523</v>
      </c>
      <c r="G3252" s="10" t="s">
        <v>20808</v>
      </c>
      <c r="H3252" s="11" t="s">
        <v>31</v>
      </c>
      <c r="I3252" s="11">
        <v>3.0</v>
      </c>
      <c r="J3252" s="11">
        <v>1.0</v>
      </c>
      <c r="K3252" s="11">
        <v>2.0</v>
      </c>
      <c r="L3252" s="12" t="s">
        <v>20809</v>
      </c>
      <c r="M3252" s="10" t="s">
        <v>20810</v>
      </c>
      <c r="N3252" s="10" t="s">
        <v>429</v>
      </c>
      <c r="O3252" s="12" t="s">
        <v>430</v>
      </c>
      <c r="P3252" s="10" t="s">
        <v>13380</v>
      </c>
      <c r="Q3252" s="10" t="s">
        <v>31</v>
      </c>
      <c r="R3252" s="10" t="s">
        <v>31</v>
      </c>
      <c r="S3252" s="12" t="s">
        <v>13381</v>
      </c>
      <c r="T3252" s="10" t="s">
        <v>433</v>
      </c>
      <c r="U3252" s="12" t="s">
        <v>13382</v>
      </c>
      <c r="V3252" s="10" t="s">
        <v>3523</v>
      </c>
      <c r="W3252" s="10" t="s">
        <v>13207</v>
      </c>
      <c r="X3252" s="13" t="str">
        <f>HYPERLINK("https://my.pitchbook.com?p=104574-34P","View People Online")</f>
        <v>View People Online</v>
      </c>
    </row>
    <row r="3253">
      <c r="A3253" s="14" t="s">
        <v>20811</v>
      </c>
      <c r="B3253" s="14" t="s">
        <v>20812</v>
      </c>
      <c r="C3253" s="14" t="s">
        <v>2329</v>
      </c>
      <c r="D3253" s="14" t="s">
        <v>20813</v>
      </c>
      <c r="E3253" s="14" t="s">
        <v>13207</v>
      </c>
      <c r="F3253" s="14" t="s">
        <v>13218</v>
      </c>
      <c r="G3253" s="14" t="s">
        <v>20814</v>
      </c>
      <c r="H3253" s="15" t="s">
        <v>31</v>
      </c>
      <c r="I3253" s="15">
        <v>1.0</v>
      </c>
      <c r="J3253" s="15">
        <v>1.0</v>
      </c>
      <c r="K3253" s="15" t="s">
        <v>31</v>
      </c>
      <c r="L3253" s="16" t="s">
        <v>14614</v>
      </c>
      <c r="M3253" s="14" t="s">
        <v>20815</v>
      </c>
      <c r="N3253" s="14" t="s">
        <v>1442</v>
      </c>
      <c r="O3253" s="16" t="s">
        <v>1443</v>
      </c>
      <c r="P3253" s="14" t="s">
        <v>14616</v>
      </c>
      <c r="Q3253" s="14" t="s">
        <v>14617</v>
      </c>
      <c r="R3253" s="14" t="s">
        <v>1277</v>
      </c>
      <c r="S3253" s="16" t="s">
        <v>14618</v>
      </c>
      <c r="T3253" s="14" t="s">
        <v>66</v>
      </c>
      <c r="U3253" s="16" t="s">
        <v>31</v>
      </c>
      <c r="V3253" s="14" t="s">
        <v>13218</v>
      </c>
      <c r="W3253" s="14" t="s">
        <v>13207</v>
      </c>
      <c r="X3253" s="17" t="str">
        <f>HYPERLINK("https://my.pitchbook.com?p=435340-72P","View People Online")</f>
        <v>View People Online</v>
      </c>
    </row>
    <row r="3254">
      <c r="A3254" s="2" t="s">
        <v>20816</v>
      </c>
      <c r="B3254" s="2" t="s">
        <v>20817</v>
      </c>
      <c r="C3254" s="2" t="s">
        <v>2329</v>
      </c>
      <c r="D3254" s="2" t="s">
        <v>20818</v>
      </c>
      <c r="E3254" s="2" t="s">
        <v>13207</v>
      </c>
      <c r="F3254" s="2" t="s">
        <v>2731</v>
      </c>
      <c r="G3254" s="2" t="s">
        <v>20819</v>
      </c>
      <c r="H3254" s="3" t="s">
        <v>31</v>
      </c>
      <c r="I3254" s="3">
        <v>1.0</v>
      </c>
      <c r="J3254" s="3">
        <v>1.0</v>
      </c>
      <c r="K3254" s="3" t="s">
        <v>31</v>
      </c>
      <c r="L3254" s="4" t="s">
        <v>18518</v>
      </c>
      <c r="M3254" s="2" t="s">
        <v>20820</v>
      </c>
      <c r="N3254" s="2" t="s">
        <v>18520</v>
      </c>
      <c r="O3254" s="4" t="s">
        <v>18521</v>
      </c>
      <c r="P3254" s="2" t="s">
        <v>18522</v>
      </c>
      <c r="Q3254" s="2" t="s">
        <v>18523</v>
      </c>
      <c r="R3254" s="2" t="s">
        <v>31</v>
      </c>
      <c r="S3254" s="4" t="s">
        <v>31</v>
      </c>
      <c r="T3254" s="2" t="s">
        <v>18524</v>
      </c>
      <c r="U3254" s="4" t="s">
        <v>18525</v>
      </c>
      <c r="V3254" s="2" t="s">
        <v>2731</v>
      </c>
      <c r="W3254" s="2" t="s">
        <v>13207</v>
      </c>
      <c r="X3254" s="5" t="str">
        <f>HYPERLINK("https://my.pitchbook.com?p=281627-56P","View People Online")</f>
        <v>View People Online</v>
      </c>
    </row>
    <row r="3255">
      <c r="A3255" s="6" t="s">
        <v>20821</v>
      </c>
      <c r="B3255" s="6" t="s">
        <v>20822</v>
      </c>
      <c r="C3255" s="6" t="s">
        <v>2329</v>
      </c>
      <c r="D3255" s="6" t="s">
        <v>20823</v>
      </c>
      <c r="E3255" s="6" t="s">
        <v>13207</v>
      </c>
      <c r="F3255" s="6" t="s">
        <v>13218</v>
      </c>
      <c r="G3255" s="6" t="s">
        <v>20824</v>
      </c>
      <c r="H3255" s="7" t="s">
        <v>31</v>
      </c>
      <c r="I3255" s="7">
        <v>1.0</v>
      </c>
      <c r="J3255" s="7">
        <v>1.0</v>
      </c>
      <c r="K3255" s="7" t="s">
        <v>31</v>
      </c>
      <c r="L3255" s="8" t="s">
        <v>13209</v>
      </c>
      <c r="M3255" s="6" t="s">
        <v>20825</v>
      </c>
      <c r="N3255" s="6" t="s">
        <v>4232</v>
      </c>
      <c r="O3255" s="8" t="s">
        <v>4233</v>
      </c>
      <c r="P3255" s="6" t="s">
        <v>13211</v>
      </c>
      <c r="Q3255" s="6" t="s">
        <v>31</v>
      </c>
      <c r="R3255" s="6" t="s">
        <v>4236</v>
      </c>
      <c r="S3255" s="8" t="s">
        <v>13212</v>
      </c>
      <c r="T3255" s="6" t="s">
        <v>66</v>
      </c>
      <c r="U3255" s="8" t="s">
        <v>13213</v>
      </c>
      <c r="V3255" s="6" t="s">
        <v>13218</v>
      </c>
      <c r="W3255" s="6" t="s">
        <v>13207</v>
      </c>
      <c r="X3255" s="9" t="str">
        <f>HYPERLINK("https://my.pitchbook.com?p=435744-28P","View People Online")</f>
        <v>View People Online</v>
      </c>
    </row>
    <row r="3256">
      <c r="A3256" s="10" t="s">
        <v>20826</v>
      </c>
      <c r="B3256" s="10" t="s">
        <v>20827</v>
      </c>
      <c r="C3256" s="10" t="s">
        <v>20828</v>
      </c>
      <c r="D3256" s="10" t="s">
        <v>20829</v>
      </c>
      <c r="E3256" s="10" t="s">
        <v>13207</v>
      </c>
      <c r="F3256" s="10" t="s">
        <v>29</v>
      </c>
      <c r="G3256" s="10" t="s">
        <v>20830</v>
      </c>
      <c r="H3256" s="11" t="s">
        <v>31</v>
      </c>
      <c r="I3256" s="11">
        <v>1.0</v>
      </c>
      <c r="J3256" s="11">
        <v>1.0</v>
      </c>
      <c r="K3256" s="11" t="s">
        <v>31</v>
      </c>
      <c r="L3256" s="12" t="s">
        <v>13864</v>
      </c>
      <c r="M3256" s="10" t="s">
        <v>20831</v>
      </c>
      <c r="N3256" s="10" t="s">
        <v>1841</v>
      </c>
      <c r="O3256" s="12" t="s">
        <v>1842</v>
      </c>
      <c r="P3256" s="10" t="s">
        <v>13866</v>
      </c>
      <c r="Q3256" s="10" t="s">
        <v>13867</v>
      </c>
      <c r="R3256" s="10" t="s">
        <v>31</v>
      </c>
      <c r="S3256" s="12" t="s">
        <v>31</v>
      </c>
      <c r="T3256" s="10" t="s">
        <v>1845</v>
      </c>
      <c r="U3256" s="12" t="s">
        <v>31</v>
      </c>
      <c r="V3256" s="10" t="s">
        <v>29</v>
      </c>
      <c r="W3256" s="10" t="s">
        <v>13207</v>
      </c>
      <c r="X3256" s="13" t="str">
        <f>HYPERLINK("https://my.pitchbook.com?p=455908-69P","View People Online")</f>
        <v>View People Online</v>
      </c>
    </row>
    <row r="3257">
      <c r="A3257" s="14" t="s">
        <v>20832</v>
      </c>
      <c r="B3257" s="14" t="s">
        <v>20833</v>
      </c>
      <c r="C3257" s="14" t="s">
        <v>12149</v>
      </c>
      <c r="D3257" s="14" t="s">
        <v>20834</v>
      </c>
      <c r="E3257" s="14" t="s">
        <v>13207</v>
      </c>
      <c r="F3257" s="14" t="s">
        <v>29</v>
      </c>
      <c r="G3257" s="14" t="s">
        <v>20835</v>
      </c>
      <c r="H3257" s="15" t="s">
        <v>31</v>
      </c>
      <c r="I3257" s="15">
        <v>1.0</v>
      </c>
      <c r="J3257" s="15">
        <v>1.0</v>
      </c>
      <c r="K3257" s="15" t="s">
        <v>31</v>
      </c>
      <c r="L3257" s="16" t="s">
        <v>13274</v>
      </c>
      <c r="M3257" s="14" t="s">
        <v>20836</v>
      </c>
      <c r="N3257" s="14" t="s">
        <v>1181</v>
      </c>
      <c r="O3257" s="16" t="s">
        <v>1182</v>
      </c>
      <c r="P3257" s="14" t="s">
        <v>13276</v>
      </c>
      <c r="Q3257" s="14" t="s">
        <v>31</v>
      </c>
      <c r="R3257" s="14" t="s">
        <v>1185</v>
      </c>
      <c r="S3257" s="16" t="s">
        <v>4438</v>
      </c>
      <c r="T3257" s="14" t="s">
        <v>66</v>
      </c>
      <c r="U3257" s="16" t="s">
        <v>13277</v>
      </c>
      <c r="V3257" s="14" t="s">
        <v>29</v>
      </c>
      <c r="W3257" s="14" t="s">
        <v>13207</v>
      </c>
      <c r="X3257" s="17" t="str">
        <f>HYPERLINK("https://my.pitchbook.com?p=435024-46P","View People Online")</f>
        <v>View People Online</v>
      </c>
    </row>
    <row r="3258">
      <c r="A3258" s="10" t="s">
        <v>20837</v>
      </c>
      <c r="B3258" s="10" t="s">
        <v>20838</v>
      </c>
      <c r="C3258" s="10" t="s">
        <v>12149</v>
      </c>
      <c r="D3258" s="10" t="s">
        <v>20839</v>
      </c>
      <c r="E3258" s="10" t="s">
        <v>13207</v>
      </c>
      <c r="F3258" s="10" t="s">
        <v>13218</v>
      </c>
      <c r="G3258" s="10" t="s">
        <v>20840</v>
      </c>
      <c r="H3258" s="11">
        <v>1.0</v>
      </c>
      <c r="I3258" s="11">
        <v>2.0</v>
      </c>
      <c r="J3258" s="11">
        <v>1.0</v>
      </c>
      <c r="K3258" s="11" t="s">
        <v>31</v>
      </c>
      <c r="L3258" s="12" t="s">
        <v>13459</v>
      </c>
      <c r="M3258" s="10" t="s">
        <v>20841</v>
      </c>
      <c r="N3258" s="10" t="s">
        <v>3100</v>
      </c>
      <c r="O3258" s="12" t="s">
        <v>3101</v>
      </c>
      <c r="P3258" s="10" t="s">
        <v>13461</v>
      </c>
      <c r="Q3258" s="10" t="s">
        <v>31</v>
      </c>
      <c r="R3258" s="10" t="s">
        <v>31</v>
      </c>
      <c r="S3258" s="12" t="s">
        <v>3103</v>
      </c>
      <c r="T3258" s="10" t="s">
        <v>3104</v>
      </c>
      <c r="U3258" s="12" t="s">
        <v>13462</v>
      </c>
      <c r="V3258" s="10" t="s">
        <v>20842</v>
      </c>
      <c r="W3258" s="10" t="s">
        <v>13207</v>
      </c>
      <c r="X3258" s="13" t="str">
        <f>HYPERLINK("https://my.pitchbook.com?p=174985-39P","View People Online")</f>
        <v>View People Online</v>
      </c>
    </row>
    <row r="3259">
      <c r="A3259" s="14" t="s">
        <v>20843</v>
      </c>
      <c r="B3259" s="14" t="s">
        <v>20844</v>
      </c>
      <c r="C3259" s="14" t="s">
        <v>3286</v>
      </c>
      <c r="D3259" s="14" t="s">
        <v>20845</v>
      </c>
      <c r="E3259" s="14" t="s">
        <v>13207</v>
      </c>
      <c r="F3259" s="14" t="s">
        <v>3523</v>
      </c>
      <c r="G3259" s="14" t="s">
        <v>20846</v>
      </c>
      <c r="H3259" s="15" t="s">
        <v>31</v>
      </c>
      <c r="I3259" s="15">
        <v>1.0</v>
      </c>
      <c r="J3259" s="15">
        <v>1.0</v>
      </c>
      <c r="K3259" s="15" t="s">
        <v>31</v>
      </c>
      <c r="L3259" s="16" t="s">
        <v>13496</v>
      </c>
      <c r="M3259" s="14" t="s">
        <v>20847</v>
      </c>
      <c r="N3259" s="14" t="s">
        <v>75</v>
      </c>
      <c r="O3259" s="16" t="s">
        <v>76</v>
      </c>
      <c r="P3259" s="14" t="s">
        <v>13498</v>
      </c>
      <c r="Q3259" s="14" t="s">
        <v>31</v>
      </c>
      <c r="R3259" s="14" t="s">
        <v>75</v>
      </c>
      <c r="S3259" s="16" t="s">
        <v>195</v>
      </c>
      <c r="T3259" s="14" t="s">
        <v>66</v>
      </c>
      <c r="U3259" s="16" t="s">
        <v>13499</v>
      </c>
      <c r="V3259" s="14" t="s">
        <v>3523</v>
      </c>
      <c r="W3259" s="14" t="s">
        <v>13207</v>
      </c>
      <c r="X3259" s="17" t="str">
        <f>HYPERLINK("https://my.pitchbook.com?p=435665-17P","View People Online")</f>
        <v>View People Online</v>
      </c>
    </row>
    <row r="3260">
      <c r="A3260" s="2" t="s">
        <v>20848</v>
      </c>
      <c r="B3260" s="2" t="s">
        <v>20849</v>
      </c>
      <c r="C3260" s="2" t="s">
        <v>3286</v>
      </c>
      <c r="D3260" s="2" t="s">
        <v>20850</v>
      </c>
      <c r="E3260" s="2" t="s">
        <v>13207</v>
      </c>
      <c r="F3260" s="2" t="s">
        <v>13240</v>
      </c>
      <c r="G3260" s="2" t="s">
        <v>20851</v>
      </c>
      <c r="H3260" s="3" t="s">
        <v>31</v>
      </c>
      <c r="I3260" s="3">
        <v>1.0</v>
      </c>
      <c r="J3260" s="3">
        <v>1.0</v>
      </c>
      <c r="K3260" s="3" t="s">
        <v>31</v>
      </c>
      <c r="L3260" s="4" t="s">
        <v>15473</v>
      </c>
      <c r="M3260" s="2" t="s">
        <v>20852</v>
      </c>
      <c r="N3260" s="2" t="s">
        <v>15475</v>
      </c>
      <c r="O3260" s="4" t="s">
        <v>15476</v>
      </c>
      <c r="P3260" s="2" t="s">
        <v>15477</v>
      </c>
      <c r="Q3260" s="2" t="s">
        <v>31</v>
      </c>
      <c r="R3260" s="2" t="s">
        <v>31</v>
      </c>
      <c r="S3260" s="4" t="s">
        <v>15478</v>
      </c>
      <c r="T3260" s="2" t="s">
        <v>3104</v>
      </c>
      <c r="U3260" s="4" t="s">
        <v>15479</v>
      </c>
      <c r="V3260" s="2" t="s">
        <v>13247</v>
      </c>
      <c r="W3260" s="2" t="s">
        <v>13207</v>
      </c>
      <c r="X3260" s="5" t="str">
        <f>HYPERLINK("https://my.pitchbook.com?p=164426-68P","View People Online")</f>
        <v>View People Online</v>
      </c>
    </row>
    <row r="3261">
      <c r="A3261" s="14" t="s">
        <v>20853</v>
      </c>
      <c r="B3261" s="14" t="s">
        <v>20854</v>
      </c>
      <c r="C3261" s="14" t="s">
        <v>3286</v>
      </c>
      <c r="D3261" s="14" t="s">
        <v>20855</v>
      </c>
      <c r="E3261" s="14" t="s">
        <v>13207</v>
      </c>
      <c r="F3261" s="14" t="s">
        <v>13218</v>
      </c>
      <c r="G3261" s="14" t="s">
        <v>20856</v>
      </c>
      <c r="H3261" s="15" t="s">
        <v>31</v>
      </c>
      <c r="I3261" s="15">
        <v>1.0</v>
      </c>
      <c r="J3261" s="15">
        <v>1.0</v>
      </c>
      <c r="K3261" s="15" t="s">
        <v>31</v>
      </c>
      <c r="L3261" s="16" t="s">
        <v>13423</v>
      </c>
      <c r="M3261" s="14" t="s">
        <v>20857</v>
      </c>
      <c r="N3261" s="14" t="s">
        <v>243</v>
      </c>
      <c r="O3261" s="16" t="s">
        <v>244</v>
      </c>
      <c r="P3261" s="14" t="s">
        <v>13425</v>
      </c>
      <c r="Q3261" s="14" t="s">
        <v>31</v>
      </c>
      <c r="R3261" s="14" t="s">
        <v>247</v>
      </c>
      <c r="S3261" s="16" t="s">
        <v>13426</v>
      </c>
      <c r="T3261" s="14" t="s">
        <v>249</v>
      </c>
      <c r="U3261" s="16" t="s">
        <v>31</v>
      </c>
      <c r="V3261" s="14" t="s">
        <v>13218</v>
      </c>
      <c r="W3261" s="14" t="s">
        <v>13207</v>
      </c>
      <c r="X3261" s="17" t="str">
        <f>HYPERLINK("https://my.pitchbook.com?p=456586-84P","View People Online")</f>
        <v>View People Online</v>
      </c>
    </row>
    <row r="3262">
      <c r="A3262" s="10" t="s">
        <v>20858</v>
      </c>
      <c r="B3262" s="10" t="s">
        <v>20859</v>
      </c>
      <c r="C3262" s="10" t="s">
        <v>3286</v>
      </c>
      <c r="D3262" s="10" t="s">
        <v>20860</v>
      </c>
      <c r="E3262" s="10" t="s">
        <v>13207</v>
      </c>
      <c r="F3262" s="10" t="s">
        <v>13218</v>
      </c>
      <c r="G3262" s="10" t="s">
        <v>20861</v>
      </c>
      <c r="H3262" s="11" t="s">
        <v>31</v>
      </c>
      <c r="I3262" s="11">
        <v>1.0</v>
      </c>
      <c r="J3262" s="11">
        <v>1.0</v>
      </c>
      <c r="K3262" s="11" t="s">
        <v>31</v>
      </c>
      <c r="L3262" s="12" t="s">
        <v>13378</v>
      </c>
      <c r="M3262" s="10" t="s">
        <v>20862</v>
      </c>
      <c r="N3262" s="10" t="s">
        <v>429</v>
      </c>
      <c r="O3262" s="12" t="s">
        <v>430</v>
      </c>
      <c r="P3262" s="10" t="s">
        <v>13380</v>
      </c>
      <c r="Q3262" s="10" t="s">
        <v>31</v>
      </c>
      <c r="R3262" s="10" t="s">
        <v>31</v>
      </c>
      <c r="S3262" s="12" t="s">
        <v>13381</v>
      </c>
      <c r="T3262" s="10" t="s">
        <v>433</v>
      </c>
      <c r="U3262" s="12" t="s">
        <v>13382</v>
      </c>
      <c r="V3262" s="10" t="s">
        <v>13218</v>
      </c>
      <c r="W3262" s="10" t="s">
        <v>13207</v>
      </c>
      <c r="X3262" s="13" t="str">
        <f>HYPERLINK("https://my.pitchbook.com?p=456588-28P","View People Online")</f>
        <v>View People Online</v>
      </c>
    </row>
    <row r="3263">
      <c r="A3263" s="14" t="s">
        <v>20863</v>
      </c>
      <c r="B3263" s="14" t="s">
        <v>20864</v>
      </c>
      <c r="C3263" s="14" t="s">
        <v>20865</v>
      </c>
      <c r="D3263" s="14" t="s">
        <v>20866</v>
      </c>
      <c r="E3263" s="14" t="s">
        <v>13207</v>
      </c>
      <c r="F3263" s="14" t="s">
        <v>3523</v>
      </c>
      <c r="G3263" s="14" t="s">
        <v>20867</v>
      </c>
      <c r="H3263" s="15" t="s">
        <v>31</v>
      </c>
      <c r="I3263" s="15">
        <v>1.0</v>
      </c>
      <c r="J3263" s="15">
        <v>1.0</v>
      </c>
      <c r="K3263" s="15" t="s">
        <v>31</v>
      </c>
      <c r="L3263" s="16" t="s">
        <v>13496</v>
      </c>
      <c r="M3263" s="14" t="s">
        <v>20868</v>
      </c>
      <c r="N3263" s="14" t="s">
        <v>75</v>
      </c>
      <c r="O3263" s="16" t="s">
        <v>76</v>
      </c>
      <c r="P3263" s="14" t="s">
        <v>13498</v>
      </c>
      <c r="Q3263" s="14" t="s">
        <v>31</v>
      </c>
      <c r="R3263" s="14" t="s">
        <v>75</v>
      </c>
      <c r="S3263" s="16" t="s">
        <v>195</v>
      </c>
      <c r="T3263" s="14" t="s">
        <v>66</v>
      </c>
      <c r="U3263" s="16" t="s">
        <v>13499</v>
      </c>
      <c r="V3263" s="14" t="s">
        <v>3523</v>
      </c>
      <c r="W3263" s="14" t="s">
        <v>13207</v>
      </c>
      <c r="X3263" s="17" t="str">
        <f>HYPERLINK("https://my.pitchbook.com?p=435367-63P","View People Online")</f>
        <v>View People Online</v>
      </c>
    </row>
    <row r="3264">
      <c r="A3264" s="10" t="s">
        <v>20869</v>
      </c>
      <c r="B3264" s="10" t="s">
        <v>20870</v>
      </c>
      <c r="C3264" s="10" t="s">
        <v>20865</v>
      </c>
      <c r="D3264" s="10" t="s">
        <v>20871</v>
      </c>
      <c r="E3264" s="10" t="s">
        <v>13207</v>
      </c>
      <c r="F3264" s="10" t="s">
        <v>3523</v>
      </c>
      <c r="G3264" s="10" t="s">
        <v>20872</v>
      </c>
      <c r="H3264" s="11" t="s">
        <v>31</v>
      </c>
      <c r="I3264" s="11">
        <v>1.0</v>
      </c>
      <c r="J3264" s="11">
        <v>1.0</v>
      </c>
      <c r="K3264" s="11" t="s">
        <v>31</v>
      </c>
      <c r="L3264" s="12" t="s">
        <v>14331</v>
      </c>
      <c r="M3264" s="10" t="s">
        <v>20873</v>
      </c>
      <c r="N3264" s="10" t="s">
        <v>14333</v>
      </c>
      <c r="O3264" s="12" t="s">
        <v>14334</v>
      </c>
      <c r="P3264" s="10" t="s">
        <v>14335</v>
      </c>
      <c r="Q3264" s="10" t="s">
        <v>14336</v>
      </c>
      <c r="R3264" s="10" t="s">
        <v>31</v>
      </c>
      <c r="S3264" s="12" t="s">
        <v>14337</v>
      </c>
      <c r="T3264" s="10" t="s">
        <v>14338</v>
      </c>
      <c r="U3264" s="12" t="s">
        <v>31</v>
      </c>
      <c r="V3264" s="10" t="s">
        <v>3523</v>
      </c>
      <c r="W3264" s="10" t="s">
        <v>13207</v>
      </c>
      <c r="X3264" s="13" t="str">
        <f>HYPERLINK("https://my.pitchbook.com?p=456095-35P","View People Online")</f>
        <v>View People Online</v>
      </c>
    </row>
    <row r="3265">
      <c r="A3265" s="14" t="s">
        <v>20874</v>
      </c>
      <c r="B3265" s="14" t="s">
        <v>20875</v>
      </c>
      <c r="C3265" s="14" t="s">
        <v>20876</v>
      </c>
      <c r="D3265" s="14" t="s">
        <v>20877</v>
      </c>
      <c r="E3265" s="14" t="s">
        <v>13207</v>
      </c>
      <c r="F3265" s="14" t="s">
        <v>3523</v>
      </c>
      <c r="G3265" s="14" t="s">
        <v>20878</v>
      </c>
      <c r="H3265" s="15" t="s">
        <v>31</v>
      </c>
      <c r="I3265" s="15">
        <v>1.0</v>
      </c>
      <c r="J3265" s="15">
        <v>1.0</v>
      </c>
      <c r="K3265" s="15" t="s">
        <v>31</v>
      </c>
      <c r="L3265" s="16" t="s">
        <v>13540</v>
      </c>
      <c r="M3265" s="14" t="s">
        <v>20879</v>
      </c>
      <c r="N3265" s="14" t="s">
        <v>418</v>
      </c>
      <c r="O3265" s="16" t="s">
        <v>419</v>
      </c>
      <c r="P3265" s="14" t="s">
        <v>13542</v>
      </c>
      <c r="Q3265" s="14" t="s">
        <v>31</v>
      </c>
      <c r="R3265" s="14" t="s">
        <v>31</v>
      </c>
      <c r="S3265" s="16" t="s">
        <v>2664</v>
      </c>
      <c r="T3265" s="14" t="s">
        <v>422</v>
      </c>
      <c r="U3265" s="16" t="s">
        <v>13543</v>
      </c>
      <c r="V3265" s="14" t="s">
        <v>3523</v>
      </c>
      <c r="W3265" s="14" t="s">
        <v>13207</v>
      </c>
      <c r="X3265" s="17" t="str">
        <f>HYPERLINK("https://my.pitchbook.com?p=455966-47P","View People Online")</f>
        <v>View People Online</v>
      </c>
    </row>
    <row r="3266">
      <c r="A3266" s="2" t="s">
        <v>20880</v>
      </c>
      <c r="B3266" s="2" t="s">
        <v>20881</v>
      </c>
      <c r="C3266" s="2" t="s">
        <v>20882</v>
      </c>
      <c r="D3266" s="2" t="s">
        <v>20883</v>
      </c>
      <c r="E3266" s="2" t="s">
        <v>13207</v>
      </c>
      <c r="F3266" s="2" t="s">
        <v>3523</v>
      </c>
      <c r="G3266" s="2" t="s">
        <v>20884</v>
      </c>
      <c r="H3266" s="3" t="s">
        <v>31</v>
      </c>
      <c r="I3266" s="3">
        <v>1.0</v>
      </c>
      <c r="J3266" s="3">
        <v>1.0</v>
      </c>
      <c r="K3266" s="3" t="s">
        <v>31</v>
      </c>
      <c r="L3266" s="4" t="s">
        <v>13549</v>
      </c>
      <c r="M3266" s="2" t="s">
        <v>20885</v>
      </c>
      <c r="N3266" s="2" t="s">
        <v>794</v>
      </c>
      <c r="O3266" s="4" t="s">
        <v>795</v>
      </c>
      <c r="P3266" s="2" t="s">
        <v>13551</v>
      </c>
      <c r="Q3266" s="2" t="s">
        <v>13552</v>
      </c>
      <c r="R3266" s="2" t="s">
        <v>31</v>
      </c>
      <c r="S3266" s="4" t="s">
        <v>13553</v>
      </c>
      <c r="T3266" s="2" t="s">
        <v>796</v>
      </c>
      <c r="U3266" s="4" t="s">
        <v>13554</v>
      </c>
      <c r="V3266" s="2" t="s">
        <v>3523</v>
      </c>
      <c r="W3266" s="2" t="s">
        <v>13207</v>
      </c>
      <c r="X3266" s="5" t="str">
        <f>HYPERLINK("https://my.pitchbook.com?p=436437-73P","View People Online")</f>
        <v>View People Online</v>
      </c>
    </row>
    <row r="3267">
      <c r="A3267" s="6" t="s">
        <v>20886</v>
      </c>
      <c r="B3267" s="6" t="s">
        <v>20887</v>
      </c>
      <c r="C3267" s="6" t="s">
        <v>20888</v>
      </c>
      <c r="D3267" s="6" t="s">
        <v>20889</v>
      </c>
      <c r="E3267" s="6" t="s">
        <v>13207</v>
      </c>
      <c r="F3267" s="6" t="s">
        <v>3523</v>
      </c>
      <c r="G3267" s="6" t="s">
        <v>20890</v>
      </c>
      <c r="H3267" s="7" t="s">
        <v>31</v>
      </c>
      <c r="I3267" s="7">
        <v>1.0</v>
      </c>
      <c r="J3267" s="7">
        <v>1.0</v>
      </c>
      <c r="K3267" s="7" t="s">
        <v>31</v>
      </c>
      <c r="L3267" s="8" t="s">
        <v>13496</v>
      </c>
      <c r="M3267" s="6" t="s">
        <v>20891</v>
      </c>
      <c r="N3267" s="6" t="s">
        <v>75</v>
      </c>
      <c r="O3267" s="8" t="s">
        <v>76</v>
      </c>
      <c r="P3267" s="6" t="s">
        <v>13498</v>
      </c>
      <c r="Q3267" s="6" t="s">
        <v>31</v>
      </c>
      <c r="R3267" s="6" t="s">
        <v>75</v>
      </c>
      <c r="S3267" s="8" t="s">
        <v>195</v>
      </c>
      <c r="T3267" s="6" t="s">
        <v>66</v>
      </c>
      <c r="U3267" s="8" t="s">
        <v>13499</v>
      </c>
      <c r="V3267" s="6" t="s">
        <v>3523</v>
      </c>
      <c r="W3267" s="6" t="s">
        <v>13207</v>
      </c>
      <c r="X3267" s="9" t="str">
        <f>HYPERLINK("https://my.pitchbook.com?p=435642-40P","View People Online")</f>
        <v>View People Online</v>
      </c>
    </row>
    <row r="3268">
      <c r="A3268" s="10" t="s">
        <v>20892</v>
      </c>
      <c r="B3268" s="10" t="s">
        <v>20893</v>
      </c>
      <c r="C3268" s="10" t="s">
        <v>20894</v>
      </c>
      <c r="D3268" s="10" t="s">
        <v>20895</v>
      </c>
      <c r="E3268" s="10" t="s">
        <v>13207</v>
      </c>
      <c r="F3268" s="10" t="s">
        <v>20896</v>
      </c>
      <c r="G3268" s="10" t="s">
        <v>20897</v>
      </c>
      <c r="H3268" s="11" t="s">
        <v>31</v>
      </c>
      <c r="I3268" s="11">
        <v>1.0</v>
      </c>
      <c r="J3268" s="11">
        <v>1.0</v>
      </c>
      <c r="K3268" s="11" t="s">
        <v>31</v>
      </c>
      <c r="L3268" s="12" t="s">
        <v>13505</v>
      </c>
      <c r="M3268" s="10" t="s">
        <v>20898</v>
      </c>
      <c r="N3268" s="10" t="s">
        <v>1416</v>
      </c>
      <c r="O3268" s="12" t="s">
        <v>1417</v>
      </c>
      <c r="P3268" s="10" t="s">
        <v>13507</v>
      </c>
      <c r="Q3268" s="10" t="s">
        <v>1457</v>
      </c>
      <c r="R3268" s="10" t="s">
        <v>1420</v>
      </c>
      <c r="S3268" s="12" t="s">
        <v>13508</v>
      </c>
      <c r="T3268" s="10" t="s">
        <v>66</v>
      </c>
      <c r="U3268" s="12" t="s">
        <v>13509</v>
      </c>
      <c r="V3268" s="10" t="s">
        <v>20899</v>
      </c>
      <c r="W3268" s="10" t="s">
        <v>13207</v>
      </c>
      <c r="X3268" s="13" t="str">
        <f>HYPERLINK("https://my.pitchbook.com?p=340265-62P","View People Online")</f>
        <v>View People Online</v>
      </c>
    </row>
    <row r="3269">
      <c r="A3269" s="14" t="s">
        <v>20900</v>
      </c>
      <c r="B3269" s="14" t="s">
        <v>20901</v>
      </c>
      <c r="C3269" s="14" t="s">
        <v>20902</v>
      </c>
      <c r="D3269" s="14" t="s">
        <v>20903</v>
      </c>
      <c r="E3269" s="14" t="s">
        <v>13207</v>
      </c>
      <c r="F3269" s="14" t="s">
        <v>13218</v>
      </c>
      <c r="G3269" s="14" t="s">
        <v>20904</v>
      </c>
      <c r="H3269" s="15" t="s">
        <v>31</v>
      </c>
      <c r="I3269" s="15">
        <v>1.0</v>
      </c>
      <c r="J3269" s="15">
        <v>1.0</v>
      </c>
      <c r="K3269" s="15" t="s">
        <v>31</v>
      </c>
      <c r="L3269" s="16" t="s">
        <v>13423</v>
      </c>
      <c r="M3269" s="14" t="s">
        <v>20905</v>
      </c>
      <c r="N3269" s="14" t="s">
        <v>243</v>
      </c>
      <c r="O3269" s="16" t="s">
        <v>244</v>
      </c>
      <c r="P3269" s="14" t="s">
        <v>13425</v>
      </c>
      <c r="Q3269" s="14" t="s">
        <v>31</v>
      </c>
      <c r="R3269" s="14" t="s">
        <v>247</v>
      </c>
      <c r="S3269" s="16" t="s">
        <v>13426</v>
      </c>
      <c r="T3269" s="14" t="s">
        <v>249</v>
      </c>
      <c r="U3269" s="16" t="s">
        <v>31</v>
      </c>
      <c r="V3269" s="14" t="s">
        <v>13218</v>
      </c>
      <c r="W3269" s="14" t="s">
        <v>13207</v>
      </c>
      <c r="X3269" s="17" t="str">
        <f>HYPERLINK("https://my.pitchbook.com?p=435657-34P","View People Online")</f>
        <v>View People Online</v>
      </c>
    </row>
    <row r="3270">
      <c r="A3270" s="2" t="s">
        <v>20906</v>
      </c>
      <c r="B3270" s="2" t="s">
        <v>20907</v>
      </c>
      <c r="C3270" s="2" t="s">
        <v>20908</v>
      </c>
      <c r="D3270" s="2" t="s">
        <v>14405</v>
      </c>
      <c r="E3270" s="2" t="s">
        <v>13207</v>
      </c>
      <c r="F3270" s="2" t="s">
        <v>3523</v>
      </c>
      <c r="G3270" s="2" t="s">
        <v>20909</v>
      </c>
      <c r="H3270" s="3" t="s">
        <v>31</v>
      </c>
      <c r="I3270" s="3">
        <v>1.0</v>
      </c>
      <c r="J3270" s="3">
        <v>1.0</v>
      </c>
      <c r="K3270" s="3" t="s">
        <v>31</v>
      </c>
      <c r="L3270" s="4" t="s">
        <v>13743</v>
      </c>
      <c r="M3270" s="2" t="s">
        <v>20910</v>
      </c>
      <c r="N3270" s="2" t="s">
        <v>1034</v>
      </c>
      <c r="O3270" s="4" t="s">
        <v>1035</v>
      </c>
      <c r="P3270" s="2" t="s">
        <v>13745</v>
      </c>
      <c r="Q3270" s="2" t="s">
        <v>13746</v>
      </c>
      <c r="R3270" s="2" t="s">
        <v>31</v>
      </c>
      <c r="S3270" s="4" t="s">
        <v>13747</v>
      </c>
      <c r="T3270" s="2" t="s">
        <v>1034</v>
      </c>
      <c r="U3270" s="4" t="s">
        <v>13748</v>
      </c>
      <c r="V3270" s="2" t="s">
        <v>3523</v>
      </c>
      <c r="W3270" s="2" t="s">
        <v>13207</v>
      </c>
      <c r="X3270" s="5" t="str">
        <f>HYPERLINK("https://my.pitchbook.com?p=434818-63P","View People Online")</f>
        <v>View People Online</v>
      </c>
    </row>
    <row r="3271">
      <c r="A3271" s="6" t="s">
        <v>20911</v>
      </c>
      <c r="B3271" s="6" t="s">
        <v>20912</v>
      </c>
      <c r="C3271" s="6" t="s">
        <v>20908</v>
      </c>
      <c r="D3271" s="6" t="s">
        <v>20913</v>
      </c>
      <c r="E3271" s="6" t="s">
        <v>13207</v>
      </c>
      <c r="F3271" s="6" t="s">
        <v>3523</v>
      </c>
      <c r="G3271" s="6" t="s">
        <v>20914</v>
      </c>
      <c r="H3271" s="7" t="s">
        <v>31</v>
      </c>
      <c r="I3271" s="7">
        <v>1.0</v>
      </c>
      <c r="J3271" s="7">
        <v>1.0</v>
      </c>
      <c r="K3271" s="7" t="s">
        <v>31</v>
      </c>
      <c r="L3271" s="8" t="s">
        <v>13505</v>
      </c>
      <c r="M3271" s="6" t="s">
        <v>20915</v>
      </c>
      <c r="N3271" s="6" t="s">
        <v>1416</v>
      </c>
      <c r="O3271" s="8" t="s">
        <v>1417</v>
      </c>
      <c r="P3271" s="6" t="s">
        <v>13507</v>
      </c>
      <c r="Q3271" s="6" t="s">
        <v>1457</v>
      </c>
      <c r="R3271" s="6" t="s">
        <v>1420</v>
      </c>
      <c r="S3271" s="8" t="s">
        <v>13508</v>
      </c>
      <c r="T3271" s="6" t="s">
        <v>66</v>
      </c>
      <c r="U3271" s="8" t="s">
        <v>13509</v>
      </c>
      <c r="V3271" s="6" t="s">
        <v>3523</v>
      </c>
      <c r="W3271" s="6" t="s">
        <v>13207</v>
      </c>
      <c r="X3271" s="9" t="str">
        <f>HYPERLINK("https://my.pitchbook.com?p=455962-33P","View People Online")</f>
        <v>View People Online</v>
      </c>
    </row>
    <row r="3272">
      <c r="A3272" s="2" t="s">
        <v>20916</v>
      </c>
      <c r="B3272" s="2" t="s">
        <v>20917</v>
      </c>
      <c r="C3272" s="2" t="s">
        <v>20918</v>
      </c>
      <c r="D3272" s="2" t="s">
        <v>20919</v>
      </c>
      <c r="E3272" s="2" t="s">
        <v>13207</v>
      </c>
      <c r="F3272" s="2" t="s">
        <v>13218</v>
      </c>
      <c r="G3272" s="2" t="s">
        <v>20920</v>
      </c>
      <c r="H3272" s="3" t="s">
        <v>31</v>
      </c>
      <c r="I3272" s="3">
        <v>1.0</v>
      </c>
      <c r="J3272" s="3">
        <v>1.0</v>
      </c>
      <c r="K3272" s="3" t="s">
        <v>31</v>
      </c>
      <c r="L3272" s="4" t="s">
        <v>13412</v>
      </c>
      <c r="M3272" s="2" t="s">
        <v>20921</v>
      </c>
      <c r="N3272" s="2" t="s">
        <v>13414</v>
      </c>
      <c r="O3272" s="4" t="s">
        <v>13415</v>
      </c>
      <c r="P3272" s="2" t="s">
        <v>13416</v>
      </c>
      <c r="Q3272" s="2" t="s">
        <v>31</v>
      </c>
      <c r="R3272" s="2" t="s">
        <v>209</v>
      </c>
      <c r="S3272" s="4" t="s">
        <v>13417</v>
      </c>
      <c r="T3272" s="2" t="s">
        <v>66</v>
      </c>
      <c r="U3272" s="4" t="s">
        <v>13418</v>
      </c>
      <c r="V3272" s="2" t="s">
        <v>20922</v>
      </c>
      <c r="W3272" s="2" t="s">
        <v>13207</v>
      </c>
      <c r="X3272" s="5" t="str">
        <f>HYPERLINK("https://my.pitchbook.com?p=436156-12P","View People Online")</f>
        <v>View People Online</v>
      </c>
    </row>
    <row r="3273">
      <c r="A3273" s="14" t="s">
        <v>20923</v>
      </c>
      <c r="B3273" s="14" t="s">
        <v>20924</v>
      </c>
      <c r="C3273" s="14" t="s">
        <v>20925</v>
      </c>
      <c r="D3273" s="14" t="s">
        <v>20926</v>
      </c>
      <c r="E3273" s="14" t="s">
        <v>13207</v>
      </c>
      <c r="F3273" s="14" t="s">
        <v>29</v>
      </c>
      <c r="G3273" s="14" t="s">
        <v>20927</v>
      </c>
      <c r="H3273" s="15" t="s">
        <v>31</v>
      </c>
      <c r="I3273" s="15">
        <v>1.0</v>
      </c>
      <c r="J3273" s="15">
        <v>1.0</v>
      </c>
      <c r="K3273" s="15" t="s">
        <v>31</v>
      </c>
      <c r="L3273" s="16" t="s">
        <v>13399</v>
      </c>
      <c r="M3273" s="14" t="s">
        <v>20928</v>
      </c>
      <c r="N3273" s="14" t="s">
        <v>13401</v>
      </c>
      <c r="O3273" s="16" t="s">
        <v>13402</v>
      </c>
      <c r="P3273" s="14" t="s">
        <v>13403</v>
      </c>
      <c r="Q3273" s="14" t="s">
        <v>13404</v>
      </c>
      <c r="R3273" s="14" t="s">
        <v>31</v>
      </c>
      <c r="S3273" s="16" t="s">
        <v>13405</v>
      </c>
      <c r="T3273" s="14" t="s">
        <v>13406</v>
      </c>
      <c r="U3273" s="16" t="s">
        <v>13407</v>
      </c>
      <c r="V3273" s="14" t="s">
        <v>29</v>
      </c>
      <c r="W3273" s="14" t="s">
        <v>13207</v>
      </c>
      <c r="X3273" s="17" t="str">
        <f>HYPERLINK("https://my.pitchbook.com?p=455519-98P","View People Online")</f>
        <v>View People Online</v>
      </c>
    </row>
    <row r="3274">
      <c r="A3274" s="2" t="s">
        <v>20929</v>
      </c>
      <c r="B3274" s="2" t="s">
        <v>20930</v>
      </c>
      <c r="C3274" s="2" t="s">
        <v>20931</v>
      </c>
      <c r="D3274" s="2" t="s">
        <v>19861</v>
      </c>
      <c r="E3274" s="2" t="s">
        <v>13207</v>
      </c>
      <c r="F3274" s="2" t="s">
        <v>3523</v>
      </c>
      <c r="G3274" s="2" t="s">
        <v>20932</v>
      </c>
      <c r="H3274" s="3" t="s">
        <v>31</v>
      </c>
      <c r="I3274" s="3">
        <v>1.0</v>
      </c>
      <c r="J3274" s="3">
        <v>1.0</v>
      </c>
      <c r="K3274" s="3" t="s">
        <v>31</v>
      </c>
      <c r="L3274" s="4" t="s">
        <v>13642</v>
      </c>
      <c r="M3274" s="2" t="s">
        <v>20933</v>
      </c>
      <c r="N3274" s="2" t="s">
        <v>3334</v>
      </c>
      <c r="O3274" s="4" t="s">
        <v>3335</v>
      </c>
      <c r="P3274" s="2" t="s">
        <v>13644</v>
      </c>
      <c r="Q3274" s="2" t="s">
        <v>13645</v>
      </c>
      <c r="R3274" s="2" t="s">
        <v>31</v>
      </c>
      <c r="S3274" s="4" t="s">
        <v>13646</v>
      </c>
      <c r="T3274" s="2" t="s">
        <v>3339</v>
      </c>
      <c r="U3274" s="4" t="s">
        <v>13647</v>
      </c>
      <c r="V3274" s="2" t="s">
        <v>3523</v>
      </c>
      <c r="W3274" s="2" t="s">
        <v>13207</v>
      </c>
      <c r="X3274" s="5" t="str">
        <f>HYPERLINK("https://my.pitchbook.com?p=455583-07P","View People Online")</f>
        <v>View People Online</v>
      </c>
    </row>
    <row r="3275">
      <c r="A3275" s="6" t="s">
        <v>20934</v>
      </c>
      <c r="B3275" s="6" t="s">
        <v>20935</v>
      </c>
      <c r="C3275" s="6" t="s">
        <v>20936</v>
      </c>
      <c r="D3275" s="6" t="s">
        <v>20937</v>
      </c>
      <c r="E3275" s="6" t="s">
        <v>13207</v>
      </c>
      <c r="F3275" s="6" t="s">
        <v>13218</v>
      </c>
      <c r="G3275" s="6" t="s">
        <v>20938</v>
      </c>
      <c r="H3275" s="7" t="s">
        <v>31</v>
      </c>
      <c r="I3275" s="7">
        <v>1.0</v>
      </c>
      <c r="J3275" s="7">
        <v>1.0</v>
      </c>
      <c r="K3275" s="7" t="s">
        <v>31</v>
      </c>
      <c r="L3275" s="8" t="s">
        <v>13378</v>
      </c>
      <c r="M3275" s="6" t="s">
        <v>20939</v>
      </c>
      <c r="N3275" s="6" t="s">
        <v>429</v>
      </c>
      <c r="O3275" s="8" t="s">
        <v>430</v>
      </c>
      <c r="P3275" s="6" t="s">
        <v>13380</v>
      </c>
      <c r="Q3275" s="6" t="s">
        <v>31</v>
      </c>
      <c r="R3275" s="6" t="s">
        <v>31</v>
      </c>
      <c r="S3275" s="8" t="s">
        <v>13381</v>
      </c>
      <c r="T3275" s="6" t="s">
        <v>433</v>
      </c>
      <c r="U3275" s="8" t="s">
        <v>13382</v>
      </c>
      <c r="V3275" s="6" t="s">
        <v>13218</v>
      </c>
      <c r="W3275" s="6" t="s">
        <v>13207</v>
      </c>
      <c r="X3275" s="9" t="str">
        <f>HYPERLINK("https://my.pitchbook.com?p=436205-26P","View People Online")</f>
        <v>View People Online</v>
      </c>
    </row>
    <row r="3276">
      <c r="A3276" s="2" t="s">
        <v>20940</v>
      </c>
      <c r="B3276" s="2" t="s">
        <v>20941</v>
      </c>
      <c r="C3276" s="2" t="s">
        <v>20942</v>
      </c>
      <c r="D3276" s="2" t="s">
        <v>20943</v>
      </c>
      <c r="E3276" s="2" t="s">
        <v>13207</v>
      </c>
      <c r="F3276" s="2" t="s">
        <v>3523</v>
      </c>
      <c r="G3276" s="2" t="s">
        <v>20944</v>
      </c>
      <c r="H3276" s="3" t="s">
        <v>31</v>
      </c>
      <c r="I3276" s="3">
        <v>1.0</v>
      </c>
      <c r="J3276" s="3">
        <v>1.0</v>
      </c>
      <c r="K3276" s="3" t="s">
        <v>31</v>
      </c>
      <c r="L3276" s="4" t="s">
        <v>13274</v>
      </c>
      <c r="M3276" s="2" t="s">
        <v>20945</v>
      </c>
      <c r="N3276" s="2" t="s">
        <v>1181</v>
      </c>
      <c r="O3276" s="4" t="s">
        <v>1182</v>
      </c>
      <c r="P3276" s="2" t="s">
        <v>13276</v>
      </c>
      <c r="Q3276" s="2" t="s">
        <v>31</v>
      </c>
      <c r="R3276" s="2" t="s">
        <v>1185</v>
      </c>
      <c r="S3276" s="4" t="s">
        <v>4438</v>
      </c>
      <c r="T3276" s="2" t="s">
        <v>66</v>
      </c>
      <c r="U3276" s="4" t="s">
        <v>13277</v>
      </c>
      <c r="V3276" s="2" t="s">
        <v>13468</v>
      </c>
      <c r="W3276" s="2" t="s">
        <v>13207</v>
      </c>
      <c r="X3276" s="5" t="str">
        <f>HYPERLINK("https://my.pitchbook.com?p=455943-70P","View People Online")</f>
        <v>View People Online</v>
      </c>
    </row>
    <row r="3277">
      <c r="A3277" s="14" t="s">
        <v>20946</v>
      </c>
      <c r="B3277" s="14" t="s">
        <v>20947</v>
      </c>
      <c r="C3277" s="14" t="s">
        <v>3875</v>
      </c>
      <c r="D3277" s="14" t="s">
        <v>807</v>
      </c>
      <c r="E3277" s="14" t="s">
        <v>13207</v>
      </c>
      <c r="F3277" s="14" t="s">
        <v>3523</v>
      </c>
      <c r="G3277" s="14" t="s">
        <v>20948</v>
      </c>
      <c r="H3277" s="15" t="s">
        <v>31</v>
      </c>
      <c r="I3277" s="15">
        <v>1.0</v>
      </c>
      <c r="J3277" s="15">
        <v>1.0</v>
      </c>
      <c r="K3277" s="15" t="s">
        <v>31</v>
      </c>
      <c r="L3277" s="16" t="s">
        <v>13281</v>
      </c>
      <c r="M3277" s="14" t="s">
        <v>20949</v>
      </c>
      <c r="N3277" s="14" t="s">
        <v>1277</v>
      </c>
      <c r="O3277" s="16" t="s">
        <v>1278</v>
      </c>
      <c r="P3277" s="14" t="s">
        <v>13283</v>
      </c>
      <c r="Q3277" s="14" t="s">
        <v>13284</v>
      </c>
      <c r="R3277" s="14" t="s">
        <v>1281</v>
      </c>
      <c r="S3277" s="16" t="s">
        <v>1282</v>
      </c>
      <c r="T3277" s="14" t="s">
        <v>66</v>
      </c>
      <c r="U3277" s="16" t="s">
        <v>13285</v>
      </c>
      <c r="V3277" s="14" t="s">
        <v>3523</v>
      </c>
      <c r="W3277" s="14" t="s">
        <v>13207</v>
      </c>
      <c r="X3277" s="17" t="str">
        <f>HYPERLINK("https://my.pitchbook.com?p=455909-32P","View People Online")</f>
        <v>View People Online</v>
      </c>
    </row>
    <row r="3278">
      <c r="A3278" s="10" t="s">
        <v>20950</v>
      </c>
      <c r="B3278" s="10" t="s">
        <v>20951</v>
      </c>
      <c r="C3278" s="10" t="s">
        <v>20952</v>
      </c>
      <c r="D3278" s="10" t="s">
        <v>20953</v>
      </c>
      <c r="E3278" s="10" t="s">
        <v>13207</v>
      </c>
      <c r="F3278" s="10" t="s">
        <v>13218</v>
      </c>
      <c r="G3278" s="10" t="s">
        <v>20954</v>
      </c>
      <c r="H3278" s="11" t="s">
        <v>31</v>
      </c>
      <c r="I3278" s="11">
        <v>1.0</v>
      </c>
      <c r="J3278" s="11">
        <v>1.0</v>
      </c>
      <c r="K3278" s="11" t="s">
        <v>31</v>
      </c>
      <c r="L3278" s="12" t="s">
        <v>13274</v>
      </c>
      <c r="M3278" s="10" t="s">
        <v>20955</v>
      </c>
      <c r="N3278" s="10" t="s">
        <v>1181</v>
      </c>
      <c r="O3278" s="12" t="s">
        <v>1182</v>
      </c>
      <c r="P3278" s="10" t="s">
        <v>13276</v>
      </c>
      <c r="Q3278" s="10" t="s">
        <v>31</v>
      </c>
      <c r="R3278" s="10" t="s">
        <v>1185</v>
      </c>
      <c r="S3278" s="12" t="s">
        <v>4438</v>
      </c>
      <c r="T3278" s="10" t="s">
        <v>66</v>
      </c>
      <c r="U3278" s="12" t="s">
        <v>13277</v>
      </c>
      <c r="V3278" s="10" t="s">
        <v>13218</v>
      </c>
      <c r="W3278" s="10" t="s">
        <v>13207</v>
      </c>
      <c r="X3278" s="13" t="str">
        <f>HYPERLINK("https://my.pitchbook.com?p=435326-05P","View People Online")</f>
        <v>View People Online</v>
      </c>
    </row>
    <row r="3279">
      <c r="A3279" s="6" t="s">
        <v>20956</v>
      </c>
      <c r="B3279" s="6" t="s">
        <v>20957</v>
      </c>
      <c r="C3279" s="6" t="s">
        <v>20958</v>
      </c>
      <c r="D3279" s="6" t="s">
        <v>4314</v>
      </c>
      <c r="E3279" s="6" t="s">
        <v>13207</v>
      </c>
      <c r="F3279" s="6" t="s">
        <v>3523</v>
      </c>
      <c r="G3279" s="6" t="s">
        <v>20959</v>
      </c>
      <c r="H3279" s="7" t="s">
        <v>31</v>
      </c>
      <c r="I3279" s="7">
        <v>1.0</v>
      </c>
      <c r="J3279" s="7">
        <v>1.0</v>
      </c>
      <c r="K3279" s="7" t="s">
        <v>31</v>
      </c>
      <c r="L3279" s="8" t="s">
        <v>15718</v>
      </c>
      <c r="M3279" s="6" t="s">
        <v>20960</v>
      </c>
      <c r="N3279" s="6" t="s">
        <v>3753</v>
      </c>
      <c r="O3279" s="8" t="s">
        <v>3754</v>
      </c>
      <c r="P3279" s="6" t="s">
        <v>15720</v>
      </c>
      <c r="Q3279" s="6" t="s">
        <v>15721</v>
      </c>
      <c r="R3279" s="6" t="s">
        <v>31</v>
      </c>
      <c r="S3279" s="8" t="s">
        <v>15722</v>
      </c>
      <c r="T3279" s="6" t="s">
        <v>3339</v>
      </c>
      <c r="U3279" s="8" t="s">
        <v>15723</v>
      </c>
      <c r="V3279" s="6" t="s">
        <v>3523</v>
      </c>
      <c r="W3279" s="6" t="s">
        <v>13207</v>
      </c>
      <c r="X3279" s="9" t="str">
        <f>HYPERLINK("https://my.pitchbook.com?p=456490-63P","View People Online")</f>
        <v>View People Online</v>
      </c>
    </row>
    <row r="3280">
      <c r="A3280" s="2" t="s">
        <v>20961</v>
      </c>
      <c r="B3280" s="2" t="s">
        <v>20962</v>
      </c>
      <c r="C3280" s="2" t="s">
        <v>20963</v>
      </c>
      <c r="D3280" s="2" t="s">
        <v>20964</v>
      </c>
      <c r="E3280" s="2" t="s">
        <v>13207</v>
      </c>
      <c r="F3280" s="2" t="s">
        <v>3523</v>
      </c>
      <c r="G3280" s="2" t="s">
        <v>20965</v>
      </c>
      <c r="H3280" s="3" t="s">
        <v>31</v>
      </c>
      <c r="I3280" s="3">
        <v>1.0</v>
      </c>
      <c r="J3280" s="3">
        <v>1.0</v>
      </c>
      <c r="K3280" s="3" t="s">
        <v>31</v>
      </c>
      <c r="L3280" s="4" t="s">
        <v>13423</v>
      </c>
      <c r="M3280" s="2" t="s">
        <v>20966</v>
      </c>
      <c r="N3280" s="2" t="s">
        <v>243</v>
      </c>
      <c r="O3280" s="4" t="s">
        <v>244</v>
      </c>
      <c r="P3280" s="2" t="s">
        <v>13425</v>
      </c>
      <c r="Q3280" s="2" t="s">
        <v>31</v>
      </c>
      <c r="R3280" s="2" t="s">
        <v>247</v>
      </c>
      <c r="S3280" s="4" t="s">
        <v>13426</v>
      </c>
      <c r="T3280" s="2" t="s">
        <v>249</v>
      </c>
      <c r="U3280" s="4" t="s">
        <v>31</v>
      </c>
      <c r="V3280" s="2" t="s">
        <v>3523</v>
      </c>
      <c r="W3280" s="2" t="s">
        <v>13207</v>
      </c>
      <c r="X3280" s="5" t="str">
        <f>HYPERLINK("https://my.pitchbook.com?p=455724-37P","View People Online")</f>
        <v>View People Online</v>
      </c>
    </row>
    <row r="3281">
      <c r="A3281" s="6" t="s">
        <v>20967</v>
      </c>
      <c r="B3281" s="6" t="s">
        <v>20968</v>
      </c>
      <c r="C3281" s="6" t="s">
        <v>20963</v>
      </c>
      <c r="D3281" s="6" t="s">
        <v>20969</v>
      </c>
      <c r="E3281" s="6" t="s">
        <v>13207</v>
      </c>
      <c r="F3281" s="6" t="s">
        <v>13218</v>
      </c>
      <c r="G3281" s="6" t="s">
        <v>20970</v>
      </c>
      <c r="H3281" s="7" t="s">
        <v>31</v>
      </c>
      <c r="I3281" s="7">
        <v>1.0</v>
      </c>
      <c r="J3281" s="7">
        <v>1.0</v>
      </c>
      <c r="K3281" s="7" t="s">
        <v>31</v>
      </c>
      <c r="L3281" s="8" t="s">
        <v>13531</v>
      </c>
      <c r="M3281" s="6" t="s">
        <v>20971</v>
      </c>
      <c r="N3281" s="6" t="s">
        <v>2273</v>
      </c>
      <c r="O3281" s="8" t="s">
        <v>2274</v>
      </c>
      <c r="P3281" s="6" t="s">
        <v>13533</v>
      </c>
      <c r="Q3281" s="6" t="s">
        <v>31</v>
      </c>
      <c r="R3281" s="6" t="s">
        <v>31</v>
      </c>
      <c r="S3281" s="8" t="s">
        <v>13534</v>
      </c>
      <c r="T3281" s="6" t="s">
        <v>2278</v>
      </c>
      <c r="U3281" s="8" t="s">
        <v>13535</v>
      </c>
      <c r="V3281" s="6" t="s">
        <v>13218</v>
      </c>
      <c r="W3281" s="6" t="s">
        <v>13207</v>
      </c>
      <c r="X3281" s="9" t="str">
        <f>HYPERLINK("https://my.pitchbook.com?p=435341-71P","View People Online")</f>
        <v>View People Online</v>
      </c>
    </row>
    <row r="3282">
      <c r="A3282" s="2" t="s">
        <v>20972</v>
      </c>
      <c r="B3282" s="2" t="s">
        <v>20973</v>
      </c>
      <c r="C3282" s="2" t="s">
        <v>20963</v>
      </c>
      <c r="D3282" s="2" t="s">
        <v>20974</v>
      </c>
      <c r="E3282" s="2" t="s">
        <v>13207</v>
      </c>
      <c r="F3282" s="2" t="s">
        <v>3523</v>
      </c>
      <c r="G3282" s="2" t="s">
        <v>20975</v>
      </c>
      <c r="H3282" s="3" t="s">
        <v>31</v>
      </c>
      <c r="I3282" s="3">
        <v>1.0</v>
      </c>
      <c r="J3282" s="3">
        <v>1.0</v>
      </c>
      <c r="K3282" s="3" t="s">
        <v>31</v>
      </c>
      <c r="L3282" s="4" t="s">
        <v>14050</v>
      </c>
      <c r="M3282" s="2" t="s">
        <v>20976</v>
      </c>
      <c r="N3282" s="2" t="s">
        <v>14052</v>
      </c>
      <c r="O3282" s="4" t="s">
        <v>14053</v>
      </c>
      <c r="P3282" s="2" t="s">
        <v>14054</v>
      </c>
      <c r="Q3282" s="2" t="s">
        <v>14055</v>
      </c>
      <c r="R3282" s="2" t="s">
        <v>31</v>
      </c>
      <c r="S3282" s="4" t="s">
        <v>14056</v>
      </c>
      <c r="T3282" s="2" t="s">
        <v>13773</v>
      </c>
      <c r="U3282" s="4" t="s">
        <v>14057</v>
      </c>
      <c r="V3282" s="2" t="s">
        <v>3523</v>
      </c>
      <c r="W3282" s="2" t="s">
        <v>13207</v>
      </c>
      <c r="X3282" s="5" t="str">
        <f>HYPERLINK("https://my.pitchbook.com?p=455656-42P","View People Online")</f>
        <v>View People Online</v>
      </c>
    </row>
    <row r="3283">
      <c r="A3283" s="6" t="s">
        <v>20977</v>
      </c>
      <c r="B3283" s="6" t="s">
        <v>20978</v>
      </c>
      <c r="C3283" s="6" t="s">
        <v>20979</v>
      </c>
      <c r="D3283" s="6" t="s">
        <v>20980</v>
      </c>
      <c r="E3283" s="6" t="s">
        <v>13207</v>
      </c>
      <c r="F3283" s="6" t="s">
        <v>1283</v>
      </c>
      <c r="G3283" s="6" t="s">
        <v>20981</v>
      </c>
      <c r="H3283" s="7" t="s">
        <v>31</v>
      </c>
      <c r="I3283" s="7">
        <v>1.0</v>
      </c>
      <c r="J3283" s="7">
        <v>1.0</v>
      </c>
      <c r="K3283" s="7" t="s">
        <v>31</v>
      </c>
      <c r="L3283" s="8" t="s">
        <v>13734</v>
      </c>
      <c r="M3283" s="6" t="s">
        <v>20982</v>
      </c>
      <c r="N3283" s="6" t="s">
        <v>2754</v>
      </c>
      <c r="O3283" s="8" t="s">
        <v>2755</v>
      </c>
      <c r="P3283" s="6" t="s">
        <v>13736</v>
      </c>
      <c r="Q3283" s="6" t="s">
        <v>31</v>
      </c>
      <c r="R3283" s="6" t="s">
        <v>31</v>
      </c>
      <c r="S3283" s="8" t="s">
        <v>13737</v>
      </c>
      <c r="T3283" s="6" t="s">
        <v>38</v>
      </c>
      <c r="U3283" s="8" t="s">
        <v>13738</v>
      </c>
      <c r="V3283" s="6" t="s">
        <v>13974</v>
      </c>
      <c r="W3283" s="6" t="s">
        <v>13207</v>
      </c>
      <c r="X3283" s="9" t="str">
        <f>HYPERLINK("https://my.pitchbook.com?p=455258-35P","View People Online")</f>
        <v>View People Online</v>
      </c>
    </row>
    <row r="3284">
      <c r="A3284" s="10" t="s">
        <v>20983</v>
      </c>
      <c r="B3284" s="10" t="s">
        <v>20984</v>
      </c>
      <c r="C3284" s="10" t="s">
        <v>20985</v>
      </c>
      <c r="D3284" s="10" t="s">
        <v>20986</v>
      </c>
      <c r="E3284" s="10" t="s">
        <v>13207</v>
      </c>
      <c r="F3284" s="10" t="s">
        <v>13218</v>
      </c>
      <c r="G3284" s="10" t="s">
        <v>20987</v>
      </c>
      <c r="H3284" s="11" t="s">
        <v>31</v>
      </c>
      <c r="I3284" s="11">
        <v>1.0</v>
      </c>
      <c r="J3284" s="11">
        <v>1.0</v>
      </c>
      <c r="K3284" s="11" t="s">
        <v>31</v>
      </c>
      <c r="L3284" s="12" t="s">
        <v>13231</v>
      </c>
      <c r="M3284" s="10" t="s">
        <v>20988</v>
      </c>
      <c r="N3284" s="10" t="s">
        <v>1203</v>
      </c>
      <c r="O3284" s="12" t="s">
        <v>1204</v>
      </c>
      <c r="P3284" s="10" t="s">
        <v>13233</v>
      </c>
      <c r="Q3284" s="10" t="s">
        <v>13234</v>
      </c>
      <c r="R3284" s="10" t="s">
        <v>1207</v>
      </c>
      <c r="S3284" s="12" t="s">
        <v>13235</v>
      </c>
      <c r="T3284" s="10" t="s">
        <v>1209</v>
      </c>
      <c r="U3284" s="12" t="s">
        <v>31</v>
      </c>
      <c r="V3284" s="10" t="s">
        <v>13218</v>
      </c>
      <c r="W3284" s="10" t="s">
        <v>13207</v>
      </c>
      <c r="X3284" s="13" t="str">
        <f>HYPERLINK("https://my.pitchbook.com?p=435764-89P","View People Online")</f>
        <v>View People Online</v>
      </c>
    </row>
    <row r="3285">
      <c r="A3285" s="14" t="s">
        <v>20989</v>
      </c>
      <c r="B3285" s="14" t="s">
        <v>20990</v>
      </c>
      <c r="C3285" s="14" t="s">
        <v>388</v>
      </c>
      <c r="D3285" s="14" t="s">
        <v>5127</v>
      </c>
      <c r="E3285" s="14" t="s">
        <v>13207</v>
      </c>
      <c r="F3285" s="14" t="s">
        <v>13218</v>
      </c>
      <c r="G3285" s="14" t="s">
        <v>20991</v>
      </c>
      <c r="H3285" s="15" t="s">
        <v>31</v>
      </c>
      <c r="I3285" s="15">
        <v>1.0</v>
      </c>
      <c r="J3285" s="15">
        <v>1.0</v>
      </c>
      <c r="K3285" s="15" t="s">
        <v>31</v>
      </c>
      <c r="L3285" s="16" t="s">
        <v>13743</v>
      </c>
      <c r="M3285" s="14" t="s">
        <v>20992</v>
      </c>
      <c r="N3285" s="14" t="s">
        <v>1034</v>
      </c>
      <c r="O3285" s="16" t="s">
        <v>1035</v>
      </c>
      <c r="P3285" s="14" t="s">
        <v>13745</v>
      </c>
      <c r="Q3285" s="14" t="s">
        <v>13746</v>
      </c>
      <c r="R3285" s="14" t="s">
        <v>31</v>
      </c>
      <c r="S3285" s="16" t="s">
        <v>13747</v>
      </c>
      <c r="T3285" s="14" t="s">
        <v>1034</v>
      </c>
      <c r="U3285" s="16" t="s">
        <v>13748</v>
      </c>
      <c r="V3285" s="14" t="s">
        <v>13218</v>
      </c>
      <c r="W3285" s="14" t="s">
        <v>13207</v>
      </c>
      <c r="X3285" s="17" t="str">
        <f>HYPERLINK("https://my.pitchbook.com?p=456468-85P","View People Online")</f>
        <v>View People Online</v>
      </c>
    </row>
    <row r="3286">
      <c r="A3286" s="2" t="s">
        <v>20993</v>
      </c>
      <c r="B3286" s="2" t="s">
        <v>20994</v>
      </c>
      <c r="C3286" s="2" t="s">
        <v>388</v>
      </c>
      <c r="D3286" s="2" t="s">
        <v>20995</v>
      </c>
      <c r="E3286" s="2" t="s">
        <v>13207</v>
      </c>
      <c r="F3286" s="2" t="s">
        <v>13307</v>
      </c>
      <c r="G3286" s="2" t="s">
        <v>20996</v>
      </c>
      <c r="H3286" s="3" t="s">
        <v>31</v>
      </c>
      <c r="I3286" s="3">
        <v>1.0</v>
      </c>
      <c r="J3286" s="3">
        <v>1.0</v>
      </c>
      <c r="K3286" s="3" t="s">
        <v>31</v>
      </c>
      <c r="L3286" s="4" t="s">
        <v>13423</v>
      </c>
      <c r="M3286" s="2" t="s">
        <v>20997</v>
      </c>
      <c r="N3286" s="2" t="s">
        <v>243</v>
      </c>
      <c r="O3286" s="4" t="s">
        <v>244</v>
      </c>
      <c r="P3286" s="2" t="s">
        <v>13425</v>
      </c>
      <c r="Q3286" s="2" t="s">
        <v>31</v>
      </c>
      <c r="R3286" s="2" t="s">
        <v>247</v>
      </c>
      <c r="S3286" s="4" t="s">
        <v>13426</v>
      </c>
      <c r="T3286" s="2" t="s">
        <v>249</v>
      </c>
      <c r="U3286" s="4" t="s">
        <v>31</v>
      </c>
      <c r="V3286" s="2" t="s">
        <v>13317</v>
      </c>
      <c r="W3286" s="2" t="s">
        <v>13207</v>
      </c>
      <c r="X3286" s="5" t="str">
        <f>HYPERLINK("https://my.pitchbook.com?p=456409-09P","View People Online")</f>
        <v>View People Online</v>
      </c>
    </row>
    <row r="3287">
      <c r="A3287" s="6" t="s">
        <v>20998</v>
      </c>
      <c r="B3287" s="6" t="s">
        <v>20999</v>
      </c>
      <c r="C3287" s="6" t="s">
        <v>388</v>
      </c>
      <c r="D3287" s="6" t="s">
        <v>21000</v>
      </c>
      <c r="E3287" s="6" t="s">
        <v>13207</v>
      </c>
      <c r="F3287" s="6" t="s">
        <v>3523</v>
      </c>
      <c r="G3287" s="6" t="s">
        <v>21001</v>
      </c>
      <c r="H3287" s="7" t="s">
        <v>31</v>
      </c>
      <c r="I3287" s="7">
        <v>1.0</v>
      </c>
      <c r="J3287" s="7">
        <v>1.0</v>
      </c>
      <c r="K3287" s="7" t="s">
        <v>31</v>
      </c>
      <c r="L3287" s="8" t="s">
        <v>13231</v>
      </c>
      <c r="M3287" s="6" t="s">
        <v>21002</v>
      </c>
      <c r="N3287" s="6" t="s">
        <v>1203</v>
      </c>
      <c r="O3287" s="8" t="s">
        <v>1204</v>
      </c>
      <c r="P3287" s="6" t="s">
        <v>13233</v>
      </c>
      <c r="Q3287" s="6" t="s">
        <v>13234</v>
      </c>
      <c r="R3287" s="6" t="s">
        <v>1207</v>
      </c>
      <c r="S3287" s="8" t="s">
        <v>13235</v>
      </c>
      <c r="T3287" s="6" t="s">
        <v>1209</v>
      </c>
      <c r="U3287" s="8" t="s">
        <v>31</v>
      </c>
      <c r="V3287" s="6" t="s">
        <v>3523</v>
      </c>
      <c r="W3287" s="6" t="s">
        <v>13207</v>
      </c>
      <c r="X3287" s="9" t="str">
        <f>HYPERLINK("https://my.pitchbook.com?p=436184-38P","View People Online")</f>
        <v>View People Online</v>
      </c>
    </row>
    <row r="3288">
      <c r="A3288" s="10" t="s">
        <v>21003</v>
      </c>
      <c r="B3288" s="10" t="s">
        <v>21004</v>
      </c>
      <c r="C3288" s="10" t="s">
        <v>21005</v>
      </c>
      <c r="D3288" s="10" t="s">
        <v>21006</v>
      </c>
      <c r="E3288" s="10" t="s">
        <v>13207</v>
      </c>
      <c r="F3288" s="10" t="s">
        <v>3523</v>
      </c>
      <c r="G3288" s="10" t="s">
        <v>21007</v>
      </c>
      <c r="H3288" s="11" t="s">
        <v>31</v>
      </c>
      <c r="I3288" s="11">
        <v>1.0</v>
      </c>
      <c r="J3288" s="11">
        <v>1.0</v>
      </c>
      <c r="K3288" s="11" t="s">
        <v>31</v>
      </c>
      <c r="L3288" s="12" t="s">
        <v>13274</v>
      </c>
      <c r="M3288" s="10" t="s">
        <v>21008</v>
      </c>
      <c r="N3288" s="10" t="s">
        <v>1181</v>
      </c>
      <c r="O3288" s="12" t="s">
        <v>1182</v>
      </c>
      <c r="P3288" s="10" t="s">
        <v>13276</v>
      </c>
      <c r="Q3288" s="10" t="s">
        <v>31</v>
      </c>
      <c r="R3288" s="10" t="s">
        <v>1185</v>
      </c>
      <c r="S3288" s="12" t="s">
        <v>4438</v>
      </c>
      <c r="T3288" s="10" t="s">
        <v>66</v>
      </c>
      <c r="U3288" s="12" t="s">
        <v>13277</v>
      </c>
      <c r="V3288" s="10" t="s">
        <v>3523</v>
      </c>
      <c r="W3288" s="10" t="s">
        <v>13207</v>
      </c>
      <c r="X3288" s="13" t="str">
        <f>HYPERLINK("https://my.pitchbook.com?p=456720-94P","View People Online")</f>
        <v>View People Online</v>
      </c>
    </row>
    <row r="3289">
      <c r="A3289" s="6" t="s">
        <v>21009</v>
      </c>
      <c r="B3289" s="6" t="s">
        <v>21010</v>
      </c>
      <c r="C3289" s="6" t="s">
        <v>21011</v>
      </c>
      <c r="D3289" s="6" t="s">
        <v>1866</v>
      </c>
      <c r="E3289" s="6" t="s">
        <v>13207</v>
      </c>
      <c r="F3289" s="6" t="s">
        <v>1283</v>
      </c>
      <c r="G3289" s="6" t="s">
        <v>21012</v>
      </c>
      <c r="H3289" s="7" t="s">
        <v>31</v>
      </c>
      <c r="I3289" s="7">
        <v>1.0</v>
      </c>
      <c r="J3289" s="7">
        <v>1.0</v>
      </c>
      <c r="K3289" s="7" t="s">
        <v>31</v>
      </c>
      <c r="L3289" s="8" t="s">
        <v>14201</v>
      </c>
      <c r="M3289" s="6" t="s">
        <v>21013</v>
      </c>
      <c r="N3289" s="6" t="s">
        <v>14203</v>
      </c>
      <c r="O3289" s="8" t="s">
        <v>14204</v>
      </c>
      <c r="P3289" s="6" t="s">
        <v>14205</v>
      </c>
      <c r="Q3289" s="6" t="s">
        <v>14206</v>
      </c>
      <c r="R3289" s="6" t="s">
        <v>1420</v>
      </c>
      <c r="S3289" s="8" t="s">
        <v>14207</v>
      </c>
      <c r="T3289" s="6" t="s">
        <v>66</v>
      </c>
      <c r="U3289" s="8" t="s">
        <v>14208</v>
      </c>
      <c r="V3289" s="6" t="s">
        <v>14540</v>
      </c>
      <c r="W3289" s="6" t="s">
        <v>13207</v>
      </c>
      <c r="X3289" s="9" t="str">
        <f>HYPERLINK("https://my.pitchbook.com?p=455181-67P","View People Online")</f>
        <v>View People Online</v>
      </c>
    </row>
    <row r="3290">
      <c r="A3290" s="2" t="s">
        <v>21014</v>
      </c>
      <c r="B3290" s="2" t="s">
        <v>21015</v>
      </c>
      <c r="C3290" s="2" t="s">
        <v>1677</v>
      </c>
      <c r="D3290" s="2" t="s">
        <v>2493</v>
      </c>
      <c r="E3290" s="2" t="s">
        <v>13207</v>
      </c>
      <c r="F3290" s="2" t="s">
        <v>13307</v>
      </c>
      <c r="G3290" s="2" t="s">
        <v>21016</v>
      </c>
      <c r="H3290" s="3" t="s">
        <v>31</v>
      </c>
      <c r="I3290" s="3">
        <v>1.0</v>
      </c>
      <c r="J3290" s="3">
        <v>1.0</v>
      </c>
      <c r="K3290" s="3" t="s">
        <v>31</v>
      </c>
      <c r="L3290" s="4" t="s">
        <v>14201</v>
      </c>
      <c r="M3290" s="2" t="s">
        <v>21017</v>
      </c>
      <c r="N3290" s="2" t="s">
        <v>14203</v>
      </c>
      <c r="O3290" s="4" t="s">
        <v>14204</v>
      </c>
      <c r="P3290" s="2" t="s">
        <v>14205</v>
      </c>
      <c r="Q3290" s="2" t="s">
        <v>14206</v>
      </c>
      <c r="R3290" s="2" t="s">
        <v>1420</v>
      </c>
      <c r="S3290" s="4" t="s">
        <v>14207</v>
      </c>
      <c r="T3290" s="2" t="s">
        <v>66</v>
      </c>
      <c r="U3290" s="4" t="s">
        <v>14208</v>
      </c>
      <c r="V3290" s="2" t="s">
        <v>13317</v>
      </c>
      <c r="W3290" s="2" t="s">
        <v>13207</v>
      </c>
      <c r="X3290" s="5" t="str">
        <f>HYPERLINK("https://my.pitchbook.com?p=435707-83P","View People Online")</f>
        <v>View People Online</v>
      </c>
    </row>
    <row r="3291">
      <c r="A3291" s="6" t="s">
        <v>21018</v>
      </c>
      <c r="B3291" s="6" t="s">
        <v>21019</v>
      </c>
      <c r="C3291" s="6" t="s">
        <v>21020</v>
      </c>
      <c r="D3291" s="6" t="s">
        <v>21021</v>
      </c>
      <c r="E3291" s="6" t="s">
        <v>13207</v>
      </c>
      <c r="F3291" s="6" t="s">
        <v>3523</v>
      </c>
      <c r="G3291" s="6" t="s">
        <v>21022</v>
      </c>
      <c r="H3291" s="7" t="s">
        <v>31</v>
      </c>
      <c r="I3291" s="7">
        <v>1.0</v>
      </c>
      <c r="J3291" s="7">
        <v>1.0</v>
      </c>
      <c r="K3291" s="7" t="s">
        <v>31</v>
      </c>
      <c r="L3291" s="8" t="s">
        <v>13916</v>
      </c>
      <c r="M3291" s="6" t="s">
        <v>21023</v>
      </c>
      <c r="N3291" s="6" t="s">
        <v>155</v>
      </c>
      <c r="O3291" s="8" t="s">
        <v>156</v>
      </c>
      <c r="P3291" s="6" t="s">
        <v>13918</v>
      </c>
      <c r="Q3291" s="6" t="s">
        <v>13919</v>
      </c>
      <c r="R3291" s="6" t="s">
        <v>64</v>
      </c>
      <c r="S3291" s="8" t="s">
        <v>1549</v>
      </c>
      <c r="T3291" s="6" t="s">
        <v>66</v>
      </c>
      <c r="U3291" s="8" t="s">
        <v>13920</v>
      </c>
      <c r="V3291" s="6" t="s">
        <v>3523</v>
      </c>
      <c r="W3291" s="6" t="s">
        <v>13207</v>
      </c>
      <c r="X3291" s="9" t="str">
        <f>HYPERLINK("https://my.pitchbook.com?p=435205-72P","View People Online")</f>
        <v>View People Online</v>
      </c>
    </row>
    <row r="3292">
      <c r="A3292" s="2" t="s">
        <v>21024</v>
      </c>
      <c r="B3292" s="2" t="s">
        <v>21025</v>
      </c>
      <c r="C3292" s="2" t="s">
        <v>21026</v>
      </c>
      <c r="D3292" s="2" t="s">
        <v>20953</v>
      </c>
      <c r="E3292" s="2" t="s">
        <v>13207</v>
      </c>
      <c r="F3292" s="2" t="s">
        <v>13240</v>
      </c>
      <c r="G3292" s="2" t="s">
        <v>21027</v>
      </c>
      <c r="H3292" s="3" t="s">
        <v>31</v>
      </c>
      <c r="I3292" s="3">
        <v>1.0</v>
      </c>
      <c r="J3292" s="3">
        <v>1.0</v>
      </c>
      <c r="K3292" s="3" t="s">
        <v>31</v>
      </c>
      <c r="L3292" s="4" t="s">
        <v>13281</v>
      </c>
      <c r="M3292" s="2" t="s">
        <v>21028</v>
      </c>
      <c r="N3292" s="2" t="s">
        <v>1277</v>
      </c>
      <c r="O3292" s="4" t="s">
        <v>1278</v>
      </c>
      <c r="P3292" s="2" t="s">
        <v>13283</v>
      </c>
      <c r="Q3292" s="2" t="s">
        <v>13284</v>
      </c>
      <c r="R3292" s="2" t="s">
        <v>1281</v>
      </c>
      <c r="S3292" s="4" t="s">
        <v>1282</v>
      </c>
      <c r="T3292" s="2" t="s">
        <v>66</v>
      </c>
      <c r="U3292" s="4" t="s">
        <v>13285</v>
      </c>
      <c r="V3292" s="2" t="s">
        <v>21029</v>
      </c>
      <c r="W3292" s="2" t="s">
        <v>13207</v>
      </c>
      <c r="X3292" s="5" t="str">
        <f>HYPERLINK("https://my.pitchbook.com?p=456195-88P","View People Online")</f>
        <v>View People Online</v>
      </c>
    </row>
    <row r="3293">
      <c r="A3293" s="14" t="s">
        <v>21030</v>
      </c>
      <c r="B3293" s="14" t="s">
        <v>21031</v>
      </c>
      <c r="C3293" s="14" t="s">
        <v>21032</v>
      </c>
      <c r="D3293" s="14" t="s">
        <v>21033</v>
      </c>
      <c r="E3293" s="14" t="s">
        <v>13207</v>
      </c>
      <c r="F3293" s="14" t="s">
        <v>13218</v>
      </c>
      <c r="G3293" s="14" t="s">
        <v>21034</v>
      </c>
      <c r="H3293" s="15" t="s">
        <v>31</v>
      </c>
      <c r="I3293" s="15">
        <v>3.0</v>
      </c>
      <c r="J3293" s="15">
        <v>1.0</v>
      </c>
      <c r="K3293" s="15">
        <v>2.0</v>
      </c>
      <c r="L3293" s="16" t="s">
        <v>13734</v>
      </c>
      <c r="M3293" s="14" t="s">
        <v>21035</v>
      </c>
      <c r="N3293" s="14" t="s">
        <v>2754</v>
      </c>
      <c r="O3293" s="16" t="s">
        <v>2755</v>
      </c>
      <c r="P3293" s="14" t="s">
        <v>13736</v>
      </c>
      <c r="Q3293" s="14" t="s">
        <v>31</v>
      </c>
      <c r="R3293" s="14" t="s">
        <v>31</v>
      </c>
      <c r="S3293" s="16" t="s">
        <v>13737</v>
      </c>
      <c r="T3293" s="14" t="s">
        <v>38</v>
      </c>
      <c r="U3293" s="16" t="s">
        <v>13738</v>
      </c>
      <c r="V3293" s="14" t="s">
        <v>14182</v>
      </c>
      <c r="W3293" s="14" t="s">
        <v>13207</v>
      </c>
      <c r="X3293" s="17" t="str">
        <f>HYPERLINK("https://my.pitchbook.com?p=114326-92P","View People Online")</f>
        <v>View People Online</v>
      </c>
    </row>
    <row r="3294">
      <c r="A3294" s="2" t="s">
        <v>21036</v>
      </c>
      <c r="B3294" s="2" t="s">
        <v>21037</v>
      </c>
      <c r="C3294" s="2" t="s">
        <v>6483</v>
      </c>
      <c r="D3294" s="2" t="s">
        <v>21038</v>
      </c>
      <c r="E3294" s="2" t="s">
        <v>13207</v>
      </c>
      <c r="F3294" s="2" t="s">
        <v>13240</v>
      </c>
      <c r="G3294" s="2" t="s">
        <v>21039</v>
      </c>
      <c r="H3294" s="3" t="s">
        <v>31</v>
      </c>
      <c r="I3294" s="3">
        <v>1.0</v>
      </c>
      <c r="J3294" s="3">
        <v>1.0</v>
      </c>
      <c r="K3294" s="3" t="s">
        <v>31</v>
      </c>
      <c r="L3294" s="4" t="s">
        <v>13299</v>
      </c>
      <c r="M3294" s="2" t="s">
        <v>21040</v>
      </c>
      <c r="N3294" s="2" t="s">
        <v>601</v>
      </c>
      <c r="O3294" s="4" t="s">
        <v>602</v>
      </c>
      <c r="P3294" s="2" t="s">
        <v>13301</v>
      </c>
      <c r="Q3294" s="2" t="s">
        <v>13302</v>
      </c>
      <c r="R3294" s="2" t="s">
        <v>31</v>
      </c>
      <c r="S3294" s="4" t="s">
        <v>31</v>
      </c>
      <c r="T3294" s="2" t="s">
        <v>603</v>
      </c>
      <c r="U3294" s="4" t="s">
        <v>13303</v>
      </c>
      <c r="V3294" s="2" t="s">
        <v>21041</v>
      </c>
      <c r="W3294" s="2" t="s">
        <v>13207</v>
      </c>
      <c r="X3294" s="5" t="str">
        <f>HYPERLINK("https://my.pitchbook.com?p=456499-18P","View People Online")</f>
        <v>View People Online</v>
      </c>
    </row>
    <row r="3295">
      <c r="A3295" s="6" t="s">
        <v>21042</v>
      </c>
      <c r="B3295" s="6" t="s">
        <v>21043</v>
      </c>
      <c r="C3295" s="6" t="s">
        <v>6483</v>
      </c>
      <c r="D3295" s="6" t="s">
        <v>21044</v>
      </c>
      <c r="E3295" s="6" t="s">
        <v>13207</v>
      </c>
      <c r="F3295" s="6" t="s">
        <v>3523</v>
      </c>
      <c r="G3295" s="6" t="s">
        <v>21045</v>
      </c>
      <c r="H3295" s="7" t="s">
        <v>31</v>
      </c>
      <c r="I3295" s="7">
        <v>1.0</v>
      </c>
      <c r="J3295" s="7">
        <v>1.0</v>
      </c>
      <c r="K3295" s="7" t="s">
        <v>31</v>
      </c>
      <c r="L3295" s="8" t="s">
        <v>14419</v>
      </c>
      <c r="M3295" s="6" t="s">
        <v>21046</v>
      </c>
      <c r="N3295" s="6" t="s">
        <v>637</v>
      </c>
      <c r="O3295" s="8" t="s">
        <v>638</v>
      </c>
      <c r="P3295" s="6" t="s">
        <v>14421</v>
      </c>
      <c r="Q3295" s="6" t="s">
        <v>14422</v>
      </c>
      <c r="R3295" s="6" t="s">
        <v>31</v>
      </c>
      <c r="S3295" s="8" t="s">
        <v>31</v>
      </c>
      <c r="T3295" s="6" t="s">
        <v>639</v>
      </c>
      <c r="U3295" s="8" t="s">
        <v>14423</v>
      </c>
      <c r="V3295" s="6" t="s">
        <v>3523</v>
      </c>
      <c r="W3295" s="6" t="s">
        <v>13207</v>
      </c>
      <c r="X3295" s="9" t="str">
        <f>HYPERLINK("https://my.pitchbook.com?p=435618-19P","View People Online")</f>
        <v>View People Online</v>
      </c>
    </row>
    <row r="3296">
      <c r="A3296" s="10" t="s">
        <v>21047</v>
      </c>
      <c r="B3296" s="10" t="s">
        <v>21048</v>
      </c>
      <c r="C3296" s="10" t="s">
        <v>21049</v>
      </c>
      <c r="D3296" s="10" t="s">
        <v>21050</v>
      </c>
      <c r="E3296" s="10" t="s">
        <v>13207</v>
      </c>
      <c r="F3296" s="10" t="s">
        <v>3523</v>
      </c>
      <c r="G3296" s="10" t="s">
        <v>21051</v>
      </c>
      <c r="H3296" s="11" t="s">
        <v>31</v>
      </c>
      <c r="I3296" s="11">
        <v>1.0</v>
      </c>
      <c r="J3296" s="11">
        <v>1.0</v>
      </c>
      <c r="K3296" s="11" t="s">
        <v>31</v>
      </c>
      <c r="L3296" s="12" t="s">
        <v>13274</v>
      </c>
      <c r="M3296" s="10" t="s">
        <v>21052</v>
      </c>
      <c r="N3296" s="10" t="s">
        <v>1181</v>
      </c>
      <c r="O3296" s="12" t="s">
        <v>1182</v>
      </c>
      <c r="P3296" s="10" t="s">
        <v>13276</v>
      </c>
      <c r="Q3296" s="10" t="s">
        <v>31</v>
      </c>
      <c r="R3296" s="10" t="s">
        <v>1185</v>
      </c>
      <c r="S3296" s="12" t="s">
        <v>4438</v>
      </c>
      <c r="T3296" s="10" t="s">
        <v>66</v>
      </c>
      <c r="U3296" s="12" t="s">
        <v>13277</v>
      </c>
      <c r="V3296" s="10" t="s">
        <v>3523</v>
      </c>
      <c r="W3296" s="10" t="s">
        <v>13207</v>
      </c>
      <c r="X3296" s="13" t="str">
        <f>HYPERLINK("https://my.pitchbook.com?p=435449-26P","View People Online")</f>
        <v>View People Online</v>
      </c>
    </row>
    <row r="3297">
      <c r="A3297" s="14" t="s">
        <v>21053</v>
      </c>
      <c r="B3297" s="14" t="s">
        <v>21054</v>
      </c>
      <c r="C3297" s="14" t="s">
        <v>21055</v>
      </c>
      <c r="D3297" s="14" t="s">
        <v>4338</v>
      </c>
      <c r="E3297" s="14" t="s">
        <v>13207</v>
      </c>
      <c r="F3297" s="14" t="s">
        <v>3523</v>
      </c>
      <c r="G3297" s="14" t="s">
        <v>21056</v>
      </c>
      <c r="H3297" s="15" t="s">
        <v>31</v>
      </c>
      <c r="I3297" s="15">
        <v>1.0</v>
      </c>
      <c r="J3297" s="15">
        <v>1.0</v>
      </c>
      <c r="K3297" s="15" t="s">
        <v>31</v>
      </c>
      <c r="L3297" s="16" t="s">
        <v>13632</v>
      </c>
      <c r="M3297" s="14" t="s">
        <v>21057</v>
      </c>
      <c r="N3297" s="14" t="s">
        <v>7690</v>
      </c>
      <c r="O3297" s="16" t="s">
        <v>7691</v>
      </c>
      <c r="P3297" s="14" t="s">
        <v>13634</v>
      </c>
      <c r="Q3297" s="14" t="s">
        <v>13635</v>
      </c>
      <c r="R3297" s="14" t="s">
        <v>7693</v>
      </c>
      <c r="S3297" s="16" t="s">
        <v>13636</v>
      </c>
      <c r="T3297" s="14" t="s">
        <v>66</v>
      </c>
      <c r="U3297" s="16" t="s">
        <v>13637</v>
      </c>
      <c r="V3297" s="14" t="s">
        <v>3523</v>
      </c>
      <c r="W3297" s="14" t="s">
        <v>13207</v>
      </c>
      <c r="X3297" s="17" t="str">
        <f>HYPERLINK("https://my.pitchbook.com?p=435017-71P","View People Online")</f>
        <v>View People Online</v>
      </c>
    </row>
    <row r="3298">
      <c r="A3298" s="2" t="s">
        <v>21058</v>
      </c>
      <c r="B3298" s="2" t="s">
        <v>21059</v>
      </c>
      <c r="C3298" s="2" t="s">
        <v>7340</v>
      </c>
      <c r="D3298" s="2" t="s">
        <v>21060</v>
      </c>
      <c r="E3298" s="2" t="s">
        <v>13207</v>
      </c>
      <c r="F3298" s="2" t="s">
        <v>3523</v>
      </c>
      <c r="G3298" s="2" t="s">
        <v>21061</v>
      </c>
      <c r="H3298" s="3" t="s">
        <v>31</v>
      </c>
      <c r="I3298" s="3">
        <v>1.0</v>
      </c>
      <c r="J3298" s="3">
        <v>1.0</v>
      </c>
      <c r="K3298" s="3" t="s">
        <v>31</v>
      </c>
      <c r="L3298" s="4" t="s">
        <v>13378</v>
      </c>
      <c r="M3298" s="2" t="s">
        <v>21062</v>
      </c>
      <c r="N3298" s="2" t="s">
        <v>429</v>
      </c>
      <c r="O3298" s="4" t="s">
        <v>430</v>
      </c>
      <c r="P3298" s="2" t="s">
        <v>13380</v>
      </c>
      <c r="Q3298" s="2" t="s">
        <v>31</v>
      </c>
      <c r="R3298" s="2" t="s">
        <v>31</v>
      </c>
      <c r="S3298" s="4" t="s">
        <v>13381</v>
      </c>
      <c r="T3298" s="2" t="s">
        <v>433</v>
      </c>
      <c r="U3298" s="4" t="s">
        <v>13382</v>
      </c>
      <c r="V3298" s="2" t="s">
        <v>3523</v>
      </c>
      <c r="W3298" s="2" t="s">
        <v>13207</v>
      </c>
      <c r="X3298" s="5" t="str">
        <f>HYPERLINK("https://my.pitchbook.com?p=456096-61P","View People Online")</f>
        <v>View People Online</v>
      </c>
    </row>
    <row r="3299">
      <c r="A3299" s="6" t="s">
        <v>21063</v>
      </c>
      <c r="B3299" s="6" t="s">
        <v>21064</v>
      </c>
      <c r="C3299" s="6" t="s">
        <v>7340</v>
      </c>
      <c r="D3299" s="6" t="s">
        <v>21065</v>
      </c>
      <c r="E3299" s="6" t="s">
        <v>13207</v>
      </c>
      <c r="F3299" s="6" t="s">
        <v>29</v>
      </c>
      <c r="G3299" s="6" t="s">
        <v>21066</v>
      </c>
      <c r="H3299" s="7" t="s">
        <v>31</v>
      </c>
      <c r="I3299" s="7">
        <v>1.0</v>
      </c>
      <c r="J3299" s="7">
        <v>1.0</v>
      </c>
      <c r="K3299" s="7" t="s">
        <v>31</v>
      </c>
      <c r="L3299" s="8" t="s">
        <v>13423</v>
      </c>
      <c r="M3299" s="6" t="s">
        <v>21067</v>
      </c>
      <c r="N3299" s="6" t="s">
        <v>243</v>
      </c>
      <c r="O3299" s="8" t="s">
        <v>244</v>
      </c>
      <c r="P3299" s="6" t="s">
        <v>13425</v>
      </c>
      <c r="Q3299" s="6" t="s">
        <v>31</v>
      </c>
      <c r="R3299" s="6" t="s">
        <v>247</v>
      </c>
      <c r="S3299" s="8" t="s">
        <v>13426</v>
      </c>
      <c r="T3299" s="6" t="s">
        <v>249</v>
      </c>
      <c r="U3299" s="8" t="s">
        <v>31</v>
      </c>
      <c r="V3299" s="6" t="s">
        <v>29</v>
      </c>
      <c r="W3299" s="6" t="s">
        <v>13207</v>
      </c>
      <c r="X3299" s="9" t="str">
        <f>HYPERLINK("https://my.pitchbook.com?p=435019-33P","View People Online")</f>
        <v>View People Online</v>
      </c>
    </row>
    <row r="3300">
      <c r="A3300" s="2" t="s">
        <v>21068</v>
      </c>
      <c r="B3300" s="2" t="s">
        <v>21069</v>
      </c>
      <c r="C3300" s="2" t="s">
        <v>7340</v>
      </c>
      <c r="D3300" s="2" t="s">
        <v>21070</v>
      </c>
      <c r="E3300" s="2" t="s">
        <v>13207</v>
      </c>
      <c r="F3300" s="2" t="s">
        <v>3523</v>
      </c>
      <c r="G3300" s="2" t="s">
        <v>21071</v>
      </c>
      <c r="H3300" s="3" t="s">
        <v>31</v>
      </c>
      <c r="I3300" s="3">
        <v>1.0</v>
      </c>
      <c r="J3300" s="3">
        <v>1.0</v>
      </c>
      <c r="K3300" s="3" t="s">
        <v>31</v>
      </c>
      <c r="L3300" s="4" t="s">
        <v>13274</v>
      </c>
      <c r="M3300" s="2" t="s">
        <v>21072</v>
      </c>
      <c r="N3300" s="2" t="s">
        <v>1181</v>
      </c>
      <c r="O3300" s="4" t="s">
        <v>1182</v>
      </c>
      <c r="P3300" s="2" t="s">
        <v>13276</v>
      </c>
      <c r="Q3300" s="2" t="s">
        <v>31</v>
      </c>
      <c r="R3300" s="2" t="s">
        <v>1185</v>
      </c>
      <c r="S3300" s="4" t="s">
        <v>4438</v>
      </c>
      <c r="T3300" s="2" t="s">
        <v>66</v>
      </c>
      <c r="U3300" s="4" t="s">
        <v>13277</v>
      </c>
      <c r="V3300" s="2" t="s">
        <v>3523</v>
      </c>
      <c r="W3300" s="2" t="s">
        <v>13207</v>
      </c>
      <c r="X3300" s="5" t="str">
        <f>HYPERLINK("https://my.pitchbook.com?p=426882-88P","View People Online")</f>
        <v>View People Online</v>
      </c>
    </row>
    <row r="3301">
      <c r="A3301" s="6" t="s">
        <v>21073</v>
      </c>
      <c r="B3301" s="6" t="s">
        <v>21074</v>
      </c>
      <c r="C3301" s="6" t="s">
        <v>21075</v>
      </c>
      <c r="D3301" s="6" t="s">
        <v>21076</v>
      </c>
      <c r="E3301" s="6" t="s">
        <v>13207</v>
      </c>
      <c r="F3301" s="6" t="s">
        <v>29</v>
      </c>
      <c r="G3301" s="6" t="s">
        <v>21077</v>
      </c>
      <c r="H3301" s="7" t="s">
        <v>31</v>
      </c>
      <c r="I3301" s="7">
        <v>1.0</v>
      </c>
      <c r="J3301" s="7">
        <v>1.0</v>
      </c>
      <c r="K3301" s="7" t="s">
        <v>31</v>
      </c>
      <c r="L3301" s="8" t="s">
        <v>13766</v>
      </c>
      <c r="M3301" s="6" t="s">
        <v>21078</v>
      </c>
      <c r="N3301" s="6" t="s">
        <v>13768</v>
      </c>
      <c r="O3301" s="8" t="s">
        <v>13769</v>
      </c>
      <c r="P3301" s="6" t="s">
        <v>13770</v>
      </c>
      <c r="Q3301" s="6" t="s">
        <v>13771</v>
      </c>
      <c r="R3301" s="6" t="s">
        <v>31</v>
      </c>
      <c r="S3301" s="8" t="s">
        <v>13772</v>
      </c>
      <c r="T3301" s="6" t="s">
        <v>13773</v>
      </c>
      <c r="U3301" s="8" t="s">
        <v>31</v>
      </c>
      <c r="V3301" s="6" t="s">
        <v>29</v>
      </c>
      <c r="W3301" s="6" t="s">
        <v>13207</v>
      </c>
      <c r="X3301" s="9" t="str">
        <f>HYPERLINK("https://my.pitchbook.com?p=455963-32P","View People Online")</f>
        <v>View People Online</v>
      </c>
    </row>
    <row r="3302">
      <c r="A3302" s="2" t="s">
        <v>21079</v>
      </c>
      <c r="B3302" s="2" t="s">
        <v>21080</v>
      </c>
      <c r="C3302" s="2" t="s">
        <v>21081</v>
      </c>
      <c r="D3302" s="2" t="s">
        <v>4799</v>
      </c>
      <c r="E3302" s="2" t="s">
        <v>13207</v>
      </c>
      <c r="F3302" s="2" t="s">
        <v>3523</v>
      </c>
      <c r="G3302" s="2" t="s">
        <v>21082</v>
      </c>
      <c r="H3302" s="3" t="s">
        <v>31</v>
      </c>
      <c r="I3302" s="3">
        <v>1.0</v>
      </c>
      <c r="J3302" s="3">
        <v>1.0</v>
      </c>
      <c r="K3302" s="3" t="s">
        <v>31</v>
      </c>
      <c r="L3302" s="4" t="s">
        <v>13496</v>
      </c>
      <c r="M3302" s="2" t="s">
        <v>21083</v>
      </c>
      <c r="N3302" s="2" t="s">
        <v>75</v>
      </c>
      <c r="O3302" s="4" t="s">
        <v>76</v>
      </c>
      <c r="P3302" s="2" t="s">
        <v>13498</v>
      </c>
      <c r="Q3302" s="2" t="s">
        <v>31</v>
      </c>
      <c r="R3302" s="2" t="s">
        <v>75</v>
      </c>
      <c r="S3302" s="4" t="s">
        <v>195</v>
      </c>
      <c r="T3302" s="2" t="s">
        <v>66</v>
      </c>
      <c r="U3302" s="4" t="s">
        <v>13499</v>
      </c>
      <c r="V3302" s="2" t="s">
        <v>3523</v>
      </c>
      <c r="W3302" s="2" t="s">
        <v>13207</v>
      </c>
      <c r="X3302" s="5" t="str">
        <f>HYPERLINK("https://my.pitchbook.com?p=435495-79P","View People Online")</f>
        <v>View People Online</v>
      </c>
    </row>
    <row r="3303">
      <c r="A3303" s="6" t="s">
        <v>21084</v>
      </c>
      <c r="B3303" s="6" t="s">
        <v>21085</v>
      </c>
      <c r="C3303" s="6" t="s">
        <v>21086</v>
      </c>
      <c r="D3303" s="6" t="s">
        <v>2432</v>
      </c>
      <c r="E3303" s="6" t="s">
        <v>13207</v>
      </c>
      <c r="F3303" s="6" t="s">
        <v>3523</v>
      </c>
      <c r="G3303" s="6" t="s">
        <v>21087</v>
      </c>
      <c r="H3303" s="7" t="s">
        <v>31</v>
      </c>
      <c r="I3303" s="7">
        <v>1.0</v>
      </c>
      <c r="J3303" s="7">
        <v>1.0</v>
      </c>
      <c r="K3303" s="7" t="s">
        <v>31</v>
      </c>
      <c r="L3303" s="8" t="s">
        <v>13231</v>
      </c>
      <c r="M3303" s="6" t="s">
        <v>21088</v>
      </c>
      <c r="N3303" s="6" t="s">
        <v>1203</v>
      </c>
      <c r="O3303" s="8" t="s">
        <v>1204</v>
      </c>
      <c r="P3303" s="6" t="s">
        <v>13233</v>
      </c>
      <c r="Q3303" s="6" t="s">
        <v>13234</v>
      </c>
      <c r="R3303" s="6" t="s">
        <v>1207</v>
      </c>
      <c r="S3303" s="8" t="s">
        <v>13235</v>
      </c>
      <c r="T3303" s="6" t="s">
        <v>1209</v>
      </c>
      <c r="U3303" s="8" t="s">
        <v>31</v>
      </c>
      <c r="V3303" s="6" t="s">
        <v>3523</v>
      </c>
      <c r="W3303" s="6" t="s">
        <v>13207</v>
      </c>
      <c r="X3303" s="9" t="str">
        <f>HYPERLINK("https://my.pitchbook.com?p=436383-64P","View People Online")</f>
        <v>View People Online</v>
      </c>
    </row>
    <row r="3304">
      <c r="A3304" s="10" t="s">
        <v>21089</v>
      </c>
      <c r="B3304" s="10" t="s">
        <v>21090</v>
      </c>
      <c r="C3304" s="10" t="s">
        <v>21091</v>
      </c>
      <c r="D3304" s="10" t="s">
        <v>13621</v>
      </c>
      <c r="E3304" s="10" t="s">
        <v>13207</v>
      </c>
      <c r="F3304" s="10" t="s">
        <v>3523</v>
      </c>
      <c r="G3304" s="10" t="s">
        <v>21092</v>
      </c>
      <c r="H3304" s="11" t="s">
        <v>31</v>
      </c>
      <c r="I3304" s="11">
        <v>1.0</v>
      </c>
      <c r="J3304" s="11">
        <v>1.0</v>
      </c>
      <c r="K3304" s="11" t="s">
        <v>31</v>
      </c>
      <c r="L3304" s="12" t="s">
        <v>13496</v>
      </c>
      <c r="M3304" s="10" t="s">
        <v>21093</v>
      </c>
      <c r="N3304" s="10" t="s">
        <v>75</v>
      </c>
      <c r="O3304" s="12" t="s">
        <v>76</v>
      </c>
      <c r="P3304" s="10" t="s">
        <v>13498</v>
      </c>
      <c r="Q3304" s="10" t="s">
        <v>31</v>
      </c>
      <c r="R3304" s="10" t="s">
        <v>75</v>
      </c>
      <c r="S3304" s="12" t="s">
        <v>195</v>
      </c>
      <c r="T3304" s="10" t="s">
        <v>66</v>
      </c>
      <c r="U3304" s="12" t="s">
        <v>13499</v>
      </c>
      <c r="V3304" s="10" t="s">
        <v>3523</v>
      </c>
      <c r="W3304" s="10" t="s">
        <v>13207</v>
      </c>
      <c r="X3304" s="13" t="str">
        <f>HYPERLINK("https://my.pitchbook.com?p=455958-19P","View People Online")</f>
        <v>View People Online</v>
      </c>
    </row>
    <row r="3305">
      <c r="A3305" s="6" t="s">
        <v>21094</v>
      </c>
      <c r="B3305" s="6" t="s">
        <v>21095</v>
      </c>
      <c r="C3305" s="6" t="s">
        <v>3564</v>
      </c>
      <c r="D3305" s="6" t="s">
        <v>21096</v>
      </c>
      <c r="E3305" s="6" t="s">
        <v>13207</v>
      </c>
      <c r="F3305" s="6" t="s">
        <v>29</v>
      </c>
      <c r="G3305" s="6" t="s">
        <v>21097</v>
      </c>
      <c r="H3305" s="7" t="s">
        <v>31</v>
      </c>
      <c r="I3305" s="7">
        <v>1.0</v>
      </c>
      <c r="J3305" s="7">
        <v>1.0</v>
      </c>
      <c r="K3305" s="7" t="s">
        <v>31</v>
      </c>
      <c r="L3305" s="8" t="s">
        <v>13423</v>
      </c>
      <c r="M3305" s="6" t="s">
        <v>21098</v>
      </c>
      <c r="N3305" s="6" t="s">
        <v>243</v>
      </c>
      <c r="O3305" s="8" t="s">
        <v>244</v>
      </c>
      <c r="P3305" s="6" t="s">
        <v>13425</v>
      </c>
      <c r="Q3305" s="6" t="s">
        <v>31</v>
      </c>
      <c r="R3305" s="6" t="s">
        <v>247</v>
      </c>
      <c r="S3305" s="8" t="s">
        <v>13426</v>
      </c>
      <c r="T3305" s="6" t="s">
        <v>249</v>
      </c>
      <c r="U3305" s="8" t="s">
        <v>31</v>
      </c>
      <c r="V3305" s="6" t="s">
        <v>29</v>
      </c>
      <c r="W3305" s="6" t="s">
        <v>13207</v>
      </c>
      <c r="X3305" s="9" t="str">
        <f>HYPERLINK("https://my.pitchbook.com?p=434812-78P","View People Online")</f>
        <v>View People Online</v>
      </c>
    </row>
    <row r="3306">
      <c r="A3306" s="2" t="s">
        <v>21099</v>
      </c>
      <c r="B3306" s="2" t="s">
        <v>21100</v>
      </c>
      <c r="C3306" s="2" t="s">
        <v>3564</v>
      </c>
      <c r="D3306" s="2" t="s">
        <v>21101</v>
      </c>
      <c r="E3306" s="2" t="s">
        <v>13207</v>
      </c>
      <c r="F3306" s="2" t="s">
        <v>3523</v>
      </c>
      <c r="G3306" s="2" t="s">
        <v>21102</v>
      </c>
      <c r="H3306" s="3" t="s">
        <v>31</v>
      </c>
      <c r="I3306" s="3">
        <v>1.0</v>
      </c>
      <c r="J3306" s="3">
        <v>1.0</v>
      </c>
      <c r="K3306" s="3" t="s">
        <v>31</v>
      </c>
      <c r="L3306" s="4" t="s">
        <v>13289</v>
      </c>
      <c r="M3306" s="2" t="s">
        <v>21103</v>
      </c>
      <c r="N3306" s="2" t="s">
        <v>1348</v>
      </c>
      <c r="O3306" s="4" t="s">
        <v>1349</v>
      </c>
      <c r="P3306" s="2" t="s">
        <v>13291</v>
      </c>
      <c r="Q3306" s="2" t="s">
        <v>13292</v>
      </c>
      <c r="R3306" s="2" t="s">
        <v>1018</v>
      </c>
      <c r="S3306" s="4" t="s">
        <v>13293</v>
      </c>
      <c r="T3306" s="2" t="s">
        <v>1019</v>
      </c>
      <c r="U3306" s="4" t="s">
        <v>13294</v>
      </c>
      <c r="V3306" s="2" t="s">
        <v>3523</v>
      </c>
      <c r="W3306" s="2" t="s">
        <v>13207</v>
      </c>
      <c r="X3306" s="5" t="str">
        <f>HYPERLINK("https://my.pitchbook.com?p=435118-96P","View People Online")</f>
        <v>View People Online</v>
      </c>
    </row>
    <row r="3307">
      <c r="A3307" s="14" t="s">
        <v>21104</v>
      </c>
      <c r="B3307" s="14" t="s">
        <v>21105</v>
      </c>
      <c r="C3307" s="14" t="s">
        <v>3564</v>
      </c>
      <c r="D3307" s="14" t="s">
        <v>17574</v>
      </c>
      <c r="E3307" s="14" t="s">
        <v>13207</v>
      </c>
      <c r="F3307" s="14" t="s">
        <v>13218</v>
      </c>
      <c r="G3307" s="14" t="s">
        <v>21106</v>
      </c>
      <c r="H3307" s="15" t="s">
        <v>31</v>
      </c>
      <c r="I3307" s="15">
        <v>1.0</v>
      </c>
      <c r="J3307" s="15">
        <v>1.0</v>
      </c>
      <c r="K3307" s="15" t="s">
        <v>31</v>
      </c>
      <c r="L3307" s="16" t="s">
        <v>13274</v>
      </c>
      <c r="M3307" s="14" t="s">
        <v>21107</v>
      </c>
      <c r="N3307" s="14" t="s">
        <v>1181</v>
      </c>
      <c r="O3307" s="16" t="s">
        <v>1182</v>
      </c>
      <c r="P3307" s="14" t="s">
        <v>13276</v>
      </c>
      <c r="Q3307" s="14" t="s">
        <v>31</v>
      </c>
      <c r="R3307" s="14" t="s">
        <v>1185</v>
      </c>
      <c r="S3307" s="16" t="s">
        <v>4438</v>
      </c>
      <c r="T3307" s="14" t="s">
        <v>66</v>
      </c>
      <c r="U3307" s="16" t="s">
        <v>13277</v>
      </c>
      <c r="V3307" s="14" t="s">
        <v>21108</v>
      </c>
      <c r="W3307" s="14" t="s">
        <v>13207</v>
      </c>
      <c r="X3307" s="17" t="str">
        <f>HYPERLINK("https://my.pitchbook.com?p=455176-45P","View People Online")</f>
        <v>View People Online</v>
      </c>
    </row>
    <row r="3308">
      <c r="A3308" s="2" t="s">
        <v>21109</v>
      </c>
      <c r="B3308" s="2" t="s">
        <v>21110</v>
      </c>
      <c r="C3308" s="2" t="s">
        <v>3377</v>
      </c>
      <c r="D3308" s="2" t="s">
        <v>1317</v>
      </c>
      <c r="E3308" s="2" t="s">
        <v>13207</v>
      </c>
      <c r="F3308" s="2" t="s">
        <v>3523</v>
      </c>
      <c r="G3308" s="2" t="s">
        <v>21111</v>
      </c>
      <c r="H3308" s="3" t="s">
        <v>31</v>
      </c>
      <c r="I3308" s="3">
        <v>1.0</v>
      </c>
      <c r="J3308" s="3">
        <v>1.0</v>
      </c>
      <c r="K3308" s="3" t="s">
        <v>31</v>
      </c>
      <c r="L3308" s="4" t="s">
        <v>13632</v>
      </c>
      <c r="M3308" s="2" t="s">
        <v>21112</v>
      </c>
      <c r="N3308" s="2" t="s">
        <v>7690</v>
      </c>
      <c r="O3308" s="4" t="s">
        <v>7691</v>
      </c>
      <c r="P3308" s="2" t="s">
        <v>13634</v>
      </c>
      <c r="Q3308" s="2" t="s">
        <v>13635</v>
      </c>
      <c r="R3308" s="2" t="s">
        <v>7693</v>
      </c>
      <c r="S3308" s="4" t="s">
        <v>13636</v>
      </c>
      <c r="T3308" s="2" t="s">
        <v>66</v>
      </c>
      <c r="U3308" s="4" t="s">
        <v>13637</v>
      </c>
      <c r="V3308" s="2" t="s">
        <v>3523</v>
      </c>
      <c r="W3308" s="2" t="s">
        <v>13207</v>
      </c>
      <c r="X3308" s="5" t="str">
        <f>HYPERLINK("https://my.pitchbook.com?p=435199-06P","View People Online")</f>
        <v>View People Online</v>
      </c>
    </row>
    <row r="3309">
      <c r="A3309" s="14" t="s">
        <v>21113</v>
      </c>
      <c r="B3309" s="14" t="s">
        <v>21114</v>
      </c>
      <c r="C3309" s="14" t="s">
        <v>2412</v>
      </c>
      <c r="D3309" s="14" t="s">
        <v>21115</v>
      </c>
      <c r="E3309" s="14" t="s">
        <v>13207</v>
      </c>
      <c r="F3309" s="14" t="s">
        <v>13240</v>
      </c>
      <c r="G3309" s="14" t="s">
        <v>21116</v>
      </c>
      <c r="H3309" s="15" t="s">
        <v>31</v>
      </c>
      <c r="I3309" s="15">
        <v>1.0</v>
      </c>
      <c r="J3309" s="15">
        <v>1.0</v>
      </c>
      <c r="K3309" s="15" t="s">
        <v>31</v>
      </c>
      <c r="L3309" s="16" t="s">
        <v>13281</v>
      </c>
      <c r="M3309" s="14" t="s">
        <v>21117</v>
      </c>
      <c r="N3309" s="14" t="s">
        <v>1277</v>
      </c>
      <c r="O3309" s="16" t="s">
        <v>1278</v>
      </c>
      <c r="P3309" s="14" t="s">
        <v>13283</v>
      </c>
      <c r="Q3309" s="14" t="s">
        <v>13284</v>
      </c>
      <c r="R3309" s="14" t="s">
        <v>1281</v>
      </c>
      <c r="S3309" s="16" t="s">
        <v>1282</v>
      </c>
      <c r="T3309" s="14" t="s">
        <v>66</v>
      </c>
      <c r="U3309" s="16" t="s">
        <v>13285</v>
      </c>
      <c r="V3309" s="14" t="s">
        <v>21118</v>
      </c>
      <c r="W3309" s="14" t="s">
        <v>13207</v>
      </c>
      <c r="X3309" s="17" t="str">
        <f>HYPERLINK("https://my.pitchbook.com?p=456627-34P","View People Online")</f>
        <v>View People Online</v>
      </c>
    </row>
    <row r="3310">
      <c r="A3310" s="10" t="s">
        <v>21119</v>
      </c>
      <c r="B3310" s="10" t="s">
        <v>21120</v>
      </c>
      <c r="C3310" s="10" t="s">
        <v>2412</v>
      </c>
      <c r="D3310" s="10" t="s">
        <v>21121</v>
      </c>
      <c r="E3310" s="10" t="s">
        <v>13207</v>
      </c>
      <c r="F3310" s="10" t="s">
        <v>3523</v>
      </c>
      <c r="G3310" s="10" t="s">
        <v>21122</v>
      </c>
      <c r="H3310" s="11" t="s">
        <v>31</v>
      </c>
      <c r="I3310" s="11">
        <v>1.0</v>
      </c>
      <c r="J3310" s="11">
        <v>1.0</v>
      </c>
      <c r="K3310" s="11" t="s">
        <v>31</v>
      </c>
      <c r="L3310" s="12" t="s">
        <v>13505</v>
      </c>
      <c r="M3310" s="10" t="s">
        <v>21123</v>
      </c>
      <c r="N3310" s="10" t="s">
        <v>1416</v>
      </c>
      <c r="O3310" s="12" t="s">
        <v>1417</v>
      </c>
      <c r="P3310" s="10" t="s">
        <v>13507</v>
      </c>
      <c r="Q3310" s="10" t="s">
        <v>1457</v>
      </c>
      <c r="R3310" s="10" t="s">
        <v>1420</v>
      </c>
      <c r="S3310" s="12" t="s">
        <v>13508</v>
      </c>
      <c r="T3310" s="10" t="s">
        <v>66</v>
      </c>
      <c r="U3310" s="12" t="s">
        <v>13509</v>
      </c>
      <c r="V3310" s="10" t="s">
        <v>3523</v>
      </c>
      <c r="W3310" s="10" t="s">
        <v>13207</v>
      </c>
      <c r="X3310" s="13" t="str">
        <f>HYPERLINK("https://my.pitchbook.com?p=455704-48P","View People Online")</f>
        <v>View People Online</v>
      </c>
    </row>
    <row r="3311">
      <c r="A3311" s="14" t="s">
        <v>21124</v>
      </c>
      <c r="B3311" s="14" t="s">
        <v>21125</v>
      </c>
      <c r="C3311" s="14" t="s">
        <v>2412</v>
      </c>
      <c r="D3311" s="14" t="s">
        <v>5240</v>
      </c>
      <c r="E3311" s="14" t="s">
        <v>13207</v>
      </c>
      <c r="F3311" s="14" t="s">
        <v>3523</v>
      </c>
      <c r="G3311" s="14" t="s">
        <v>21126</v>
      </c>
      <c r="H3311" s="15" t="s">
        <v>31</v>
      </c>
      <c r="I3311" s="15">
        <v>1.0</v>
      </c>
      <c r="J3311" s="15">
        <v>1.0</v>
      </c>
      <c r="K3311" s="15" t="s">
        <v>31</v>
      </c>
      <c r="L3311" s="16" t="s">
        <v>15178</v>
      </c>
      <c r="M3311" s="14" t="s">
        <v>21127</v>
      </c>
      <c r="N3311" s="14" t="s">
        <v>7258</v>
      </c>
      <c r="O3311" s="16" t="s">
        <v>7259</v>
      </c>
      <c r="P3311" s="14" t="s">
        <v>15180</v>
      </c>
      <c r="Q3311" s="14" t="s">
        <v>15181</v>
      </c>
      <c r="R3311" s="14" t="s">
        <v>7262</v>
      </c>
      <c r="S3311" s="16" t="s">
        <v>7263</v>
      </c>
      <c r="T3311" s="14" t="s">
        <v>5484</v>
      </c>
      <c r="U3311" s="16" t="s">
        <v>15182</v>
      </c>
      <c r="V3311" s="14" t="s">
        <v>3523</v>
      </c>
      <c r="W3311" s="14" t="s">
        <v>13207</v>
      </c>
      <c r="X3311" s="17" t="str">
        <f>HYPERLINK("https://my.pitchbook.com?p=456139-81P","View People Online")</f>
        <v>View People Online</v>
      </c>
    </row>
    <row r="3312">
      <c r="A3312" s="2" t="s">
        <v>21128</v>
      </c>
      <c r="B3312" s="2" t="s">
        <v>21129</v>
      </c>
      <c r="C3312" s="2" t="s">
        <v>21130</v>
      </c>
      <c r="D3312" s="2" t="s">
        <v>21131</v>
      </c>
      <c r="E3312" s="2" t="s">
        <v>13207</v>
      </c>
      <c r="F3312" s="2" t="s">
        <v>13218</v>
      </c>
      <c r="G3312" s="2" t="s">
        <v>21132</v>
      </c>
      <c r="H3312" s="3" t="s">
        <v>31</v>
      </c>
      <c r="I3312" s="3">
        <v>1.0</v>
      </c>
      <c r="J3312" s="3">
        <v>1.0</v>
      </c>
      <c r="K3312" s="3" t="s">
        <v>31</v>
      </c>
      <c r="L3312" s="4" t="s">
        <v>13766</v>
      </c>
      <c r="M3312" s="2" t="s">
        <v>21133</v>
      </c>
      <c r="N3312" s="2" t="s">
        <v>13768</v>
      </c>
      <c r="O3312" s="4" t="s">
        <v>13769</v>
      </c>
      <c r="P3312" s="2" t="s">
        <v>13770</v>
      </c>
      <c r="Q3312" s="2" t="s">
        <v>13771</v>
      </c>
      <c r="R3312" s="2" t="s">
        <v>31</v>
      </c>
      <c r="S3312" s="4" t="s">
        <v>13772</v>
      </c>
      <c r="T3312" s="2" t="s">
        <v>13773</v>
      </c>
      <c r="U3312" s="4" t="s">
        <v>31</v>
      </c>
      <c r="V3312" s="2" t="s">
        <v>13218</v>
      </c>
      <c r="W3312" s="2" t="s">
        <v>13207</v>
      </c>
      <c r="X3312" s="5" t="str">
        <f>HYPERLINK("https://my.pitchbook.com?p=435278-08P","View People Online")</f>
        <v>View People Online</v>
      </c>
    </row>
    <row r="3313">
      <c r="A3313" s="14" t="s">
        <v>21134</v>
      </c>
      <c r="B3313" s="14" t="s">
        <v>21135</v>
      </c>
      <c r="C3313" s="14" t="s">
        <v>21136</v>
      </c>
      <c r="D3313" s="14" t="s">
        <v>21137</v>
      </c>
      <c r="E3313" s="14" t="s">
        <v>13207</v>
      </c>
      <c r="F3313" s="14" t="s">
        <v>3523</v>
      </c>
      <c r="G3313" s="14" t="s">
        <v>21138</v>
      </c>
      <c r="H3313" s="15" t="s">
        <v>31</v>
      </c>
      <c r="I3313" s="15">
        <v>1.0</v>
      </c>
      <c r="J3313" s="15">
        <v>1.0</v>
      </c>
      <c r="K3313" s="15" t="s">
        <v>31</v>
      </c>
      <c r="L3313" s="16" t="s">
        <v>13549</v>
      </c>
      <c r="M3313" s="14" t="s">
        <v>21139</v>
      </c>
      <c r="N3313" s="14" t="s">
        <v>794</v>
      </c>
      <c r="O3313" s="16" t="s">
        <v>795</v>
      </c>
      <c r="P3313" s="14" t="s">
        <v>13551</v>
      </c>
      <c r="Q3313" s="14" t="s">
        <v>13552</v>
      </c>
      <c r="R3313" s="14" t="s">
        <v>31</v>
      </c>
      <c r="S3313" s="16" t="s">
        <v>13553</v>
      </c>
      <c r="T3313" s="14" t="s">
        <v>796</v>
      </c>
      <c r="U3313" s="16" t="s">
        <v>13554</v>
      </c>
      <c r="V3313" s="14" t="s">
        <v>3523</v>
      </c>
      <c r="W3313" s="14" t="s">
        <v>13207</v>
      </c>
      <c r="X3313" s="17" t="str">
        <f>HYPERLINK("https://my.pitchbook.com?p=435398-86P","View People Online")</f>
        <v>View People Online</v>
      </c>
    </row>
    <row r="3314">
      <c r="A3314" s="10" t="s">
        <v>21140</v>
      </c>
      <c r="B3314" s="10" t="s">
        <v>21141</v>
      </c>
      <c r="C3314" s="10" t="s">
        <v>21142</v>
      </c>
      <c r="D3314" s="10" t="s">
        <v>21143</v>
      </c>
      <c r="E3314" s="10" t="s">
        <v>13207</v>
      </c>
      <c r="F3314" s="10" t="s">
        <v>3523</v>
      </c>
      <c r="G3314" s="10" t="s">
        <v>21144</v>
      </c>
      <c r="H3314" s="11" t="s">
        <v>31</v>
      </c>
      <c r="I3314" s="11">
        <v>1.0</v>
      </c>
      <c r="J3314" s="11">
        <v>1.0</v>
      </c>
      <c r="K3314" s="11" t="s">
        <v>31</v>
      </c>
      <c r="L3314" s="12" t="s">
        <v>13378</v>
      </c>
      <c r="M3314" s="10" t="s">
        <v>21145</v>
      </c>
      <c r="N3314" s="10" t="s">
        <v>429</v>
      </c>
      <c r="O3314" s="12" t="s">
        <v>430</v>
      </c>
      <c r="P3314" s="10" t="s">
        <v>13380</v>
      </c>
      <c r="Q3314" s="10" t="s">
        <v>31</v>
      </c>
      <c r="R3314" s="10" t="s">
        <v>31</v>
      </c>
      <c r="S3314" s="12" t="s">
        <v>13381</v>
      </c>
      <c r="T3314" s="10" t="s">
        <v>433</v>
      </c>
      <c r="U3314" s="12" t="s">
        <v>13382</v>
      </c>
      <c r="V3314" s="10" t="s">
        <v>3523</v>
      </c>
      <c r="W3314" s="10" t="s">
        <v>13207</v>
      </c>
      <c r="X3314" s="13" t="str">
        <f>HYPERLINK("https://my.pitchbook.com?p=455415-40P","View People Online")</f>
        <v>View People Online</v>
      </c>
    </row>
    <row r="3315">
      <c r="A3315" s="6" t="s">
        <v>21146</v>
      </c>
      <c r="B3315" s="6" t="s">
        <v>21147</v>
      </c>
      <c r="C3315" s="6" t="s">
        <v>21148</v>
      </c>
      <c r="D3315" s="6" t="s">
        <v>21149</v>
      </c>
      <c r="E3315" s="6" t="s">
        <v>13207</v>
      </c>
      <c r="F3315" s="6" t="s">
        <v>3523</v>
      </c>
      <c r="G3315" s="6" t="s">
        <v>21150</v>
      </c>
      <c r="H3315" s="7" t="s">
        <v>31</v>
      </c>
      <c r="I3315" s="7">
        <v>1.0</v>
      </c>
      <c r="J3315" s="7">
        <v>1.0</v>
      </c>
      <c r="K3315" s="7" t="s">
        <v>31</v>
      </c>
      <c r="L3315" s="8" t="s">
        <v>13953</v>
      </c>
      <c r="M3315" s="6" t="s">
        <v>21151</v>
      </c>
      <c r="N3315" s="6" t="s">
        <v>1170</v>
      </c>
      <c r="O3315" s="8" t="s">
        <v>1171</v>
      </c>
      <c r="P3315" s="6" t="s">
        <v>13955</v>
      </c>
      <c r="Q3315" s="6" t="s">
        <v>13956</v>
      </c>
      <c r="R3315" s="6" t="s">
        <v>64</v>
      </c>
      <c r="S3315" s="8" t="s">
        <v>13957</v>
      </c>
      <c r="T3315" s="6" t="s">
        <v>66</v>
      </c>
      <c r="U3315" s="8" t="s">
        <v>13958</v>
      </c>
      <c r="V3315" s="6" t="s">
        <v>312</v>
      </c>
      <c r="W3315" s="6" t="s">
        <v>21152</v>
      </c>
      <c r="X3315" s="9" t="str">
        <f>HYPERLINK("https://my.pitchbook.com?p=284306-14P","View People Online")</f>
        <v>View People Online</v>
      </c>
    </row>
    <row r="3316">
      <c r="A3316" s="2" t="s">
        <v>21153</v>
      </c>
      <c r="B3316" s="2" t="s">
        <v>21154</v>
      </c>
      <c r="C3316" s="2" t="s">
        <v>21148</v>
      </c>
      <c r="D3316" s="2" t="s">
        <v>21155</v>
      </c>
      <c r="E3316" s="2" t="s">
        <v>13207</v>
      </c>
      <c r="F3316" s="2" t="s">
        <v>13218</v>
      </c>
      <c r="G3316" s="2" t="s">
        <v>21156</v>
      </c>
      <c r="H3316" s="3" t="s">
        <v>31</v>
      </c>
      <c r="I3316" s="3">
        <v>1.0</v>
      </c>
      <c r="J3316" s="3">
        <v>1.0</v>
      </c>
      <c r="K3316" s="3" t="s">
        <v>31</v>
      </c>
      <c r="L3316" s="4" t="s">
        <v>13378</v>
      </c>
      <c r="M3316" s="2" t="s">
        <v>21157</v>
      </c>
      <c r="N3316" s="2" t="s">
        <v>429</v>
      </c>
      <c r="O3316" s="4" t="s">
        <v>430</v>
      </c>
      <c r="P3316" s="2" t="s">
        <v>13380</v>
      </c>
      <c r="Q3316" s="2" t="s">
        <v>31</v>
      </c>
      <c r="R3316" s="2" t="s">
        <v>31</v>
      </c>
      <c r="S3316" s="4" t="s">
        <v>13381</v>
      </c>
      <c r="T3316" s="2" t="s">
        <v>433</v>
      </c>
      <c r="U3316" s="4" t="s">
        <v>13382</v>
      </c>
      <c r="V3316" s="2" t="s">
        <v>13218</v>
      </c>
      <c r="W3316" s="2" t="s">
        <v>13207</v>
      </c>
      <c r="X3316" s="5" t="str">
        <f>HYPERLINK("https://my.pitchbook.com?p=456702-22P","View People Online")</f>
        <v>View People Online</v>
      </c>
    </row>
    <row r="3317">
      <c r="A3317" s="14" t="s">
        <v>21158</v>
      </c>
      <c r="B3317" s="14" t="s">
        <v>21159</v>
      </c>
      <c r="C3317" s="14" t="s">
        <v>3307</v>
      </c>
      <c r="D3317" s="14" t="s">
        <v>21160</v>
      </c>
      <c r="E3317" s="14" t="s">
        <v>13207</v>
      </c>
      <c r="F3317" s="14" t="s">
        <v>3523</v>
      </c>
      <c r="G3317" s="14" t="s">
        <v>21161</v>
      </c>
      <c r="H3317" s="15" t="s">
        <v>31</v>
      </c>
      <c r="I3317" s="15">
        <v>1.0</v>
      </c>
      <c r="J3317" s="15">
        <v>1.0</v>
      </c>
      <c r="K3317" s="15" t="s">
        <v>31</v>
      </c>
      <c r="L3317" s="16" t="s">
        <v>13505</v>
      </c>
      <c r="M3317" s="14" t="s">
        <v>21162</v>
      </c>
      <c r="N3317" s="14" t="s">
        <v>1416</v>
      </c>
      <c r="O3317" s="16" t="s">
        <v>1417</v>
      </c>
      <c r="P3317" s="14" t="s">
        <v>13507</v>
      </c>
      <c r="Q3317" s="14" t="s">
        <v>1457</v>
      </c>
      <c r="R3317" s="14" t="s">
        <v>1420</v>
      </c>
      <c r="S3317" s="16" t="s">
        <v>13508</v>
      </c>
      <c r="T3317" s="14" t="s">
        <v>66</v>
      </c>
      <c r="U3317" s="16" t="s">
        <v>13509</v>
      </c>
      <c r="V3317" s="14" t="s">
        <v>3523</v>
      </c>
      <c r="W3317" s="14" t="s">
        <v>13207</v>
      </c>
      <c r="X3317" s="17" t="str">
        <f>HYPERLINK("https://my.pitchbook.com?p=435914-74P","View People Online")</f>
        <v>View People Online</v>
      </c>
    </row>
    <row r="3318">
      <c r="A3318" s="2" t="s">
        <v>21163</v>
      </c>
      <c r="B3318" s="2" t="s">
        <v>21164</v>
      </c>
      <c r="C3318" s="2" t="s">
        <v>9511</v>
      </c>
      <c r="D3318" s="2" t="s">
        <v>21165</v>
      </c>
      <c r="E3318" s="2" t="s">
        <v>13207</v>
      </c>
      <c r="F3318" s="2" t="s">
        <v>3523</v>
      </c>
      <c r="G3318" s="2" t="s">
        <v>21166</v>
      </c>
      <c r="H3318" s="3" t="s">
        <v>31</v>
      </c>
      <c r="I3318" s="3">
        <v>1.0</v>
      </c>
      <c r="J3318" s="3">
        <v>1.0</v>
      </c>
      <c r="K3318" s="3" t="s">
        <v>31</v>
      </c>
      <c r="L3318" s="4" t="s">
        <v>13766</v>
      </c>
      <c r="M3318" s="2" t="s">
        <v>21167</v>
      </c>
      <c r="N3318" s="2" t="s">
        <v>13768</v>
      </c>
      <c r="O3318" s="4" t="s">
        <v>13769</v>
      </c>
      <c r="P3318" s="2" t="s">
        <v>13770</v>
      </c>
      <c r="Q3318" s="2" t="s">
        <v>13771</v>
      </c>
      <c r="R3318" s="2" t="s">
        <v>31</v>
      </c>
      <c r="S3318" s="4" t="s">
        <v>13772</v>
      </c>
      <c r="T3318" s="2" t="s">
        <v>13773</v>
      </c>
      <c r="U3318" s="4" t="s">
        <v>31</v>
      </c>
      <c r="V3318" s="2" t="s">
        <v>3523</v>
      </c>
      <c r="W3318" s="2" t="s">
        <v>13207</v>
      </c>
      <c r="X3318" s="5" t="str">
        <f>HYPERLINK("https://my.pitchbook.com?p=455961-61P","View People Online")</f>
        <v>View People Online</v>
      </c>
    </row>
    <row r="3319">
      <c r="A3319" s="6" t="s">
        <v>21168</v>
      </c>
      <c r="B3319" s="6" t="s">
        <v>21169</v>
      </c>
      <c r="C3319" s="6" t="s">
        <v>9511</v>
      </c>
      <c r="D3319" s="6" t="s">
        <v>21170</v>
      </c>
      <c r="E3319" s="6" t="s">
        <v>13207</v>
      </c>
      <c r="F3319" s="6" t="s">
        <v>29</v>
      </c>
      <c r="G3319" s="6" t="s">
        <v>21171</v>
      </c>
      <c r="H3319" s="7" t="s">
        <v>31</v>
      </c>
      <c r="I3319" s="7">
        <v>1.0</v>
      </c>
      <c r="J3319" s="7">
        <v>1.0</v>
      </c>
      <c r="K3319" s="7" t="s">
        <v>31</v>
      </c>
      <c r="L3319" s="8" t="s">
        <v>13766</v>
      </c>
      <c r="M3319" s="6" t="s">
        <v>21172</v>
      </c>
      <c r="N3319" s="6" t="s">
        <v>13768</v>
      </c>
      <c r="O3319" s="8" t="s">
        <v>13769</v>
      </c>
      <c r="P3319" s="6" t="s">
        <v>13770</v>
      </c>
      <c r="Q3319" s="6" t="s">
        <v>13771</v>
      </c>
      <c r="R3319" s="6" t="s">
        <v>31</v>
      </c>
      <c r="S3319" s="8" t="s">
        <v>13772</v>
      </c>
      <c r="T3319" s="6" t="s">
        <v>13773</v>
      </c>
      <c r="U3319" s="8" t="s">
        <v>31</v>
      </c>
      <c r="V3319" s="6" t="s">
        <v>29</v>
      </c>
      <c r="W3319" s="6" t="s">
        <v>13207</v>
      </c>
      <c r="X3319" s="9" t="str">
        <f>HYPERLINK("https://my.pitchbook.com?p=455362-57P","View People Online")</f>
        <v>View People Online</v>
      </c>
    </row>
    <row r="3320">
      <c r="A3320" s="10" t="s">
        <v>21173</v>
      </c>
      <c r="B3320" s="10" t="s">
        <v>21174</v>
      </c>
      <c r="C3320" s="10" t="s">
        <v>9511</v>
      </c>
      <c r="D3320" s="10" t="s">
        <v>21175</v>
      </c>
      <c r="E3320" s="10" t="s">
        <v>13207</v>
      </c>
      <c r="F3320" s="10" t="s">
        <v>3523</v>
      </c>
      <c r="G3320" s="10" t="s">
        <v>21176</v>
      </c>
      <c r="H3320" s="11" t="s">
        <v>31</v>
      </c>
      <c r="I3320" s="11">
        <v>1.0</v>
      </c>
      <c r="J3320" s="11">
        <v>1.0</v>
      </c>
      <c r="K3320" s="11" t="s">
        <v>31</v>
      </c>
      <c r="L3320" s="12" t="s">
        <v>13766</v>
      </c>
      <c r="M3320" s="10" t="s">
        <v>21177</v>
      </c>
      <c r="N3320" s="10" t="s">
        <v>13768</v>
      </c>
      <c r="O3320" s="12" t="s">
        <v>13769</v>
      </c>
      <c r="P3320" s="10" t="s">
        <v>13770</v>
      </c>
      <c r="Q3320" s="10" t="s">
        <v>13771</v>
      </c>
      <c r="R3320" s="10" t="s">
        <v>31</v>
      </c>
      <c r="S3320" s="12" t="s">
        <v>13772</v>
      </c>
      <c r="T3320" s="10" t="s">
        <v>13773</v>
      </c>
      <c r="U3320" s="12" t="s">
        <v>31</v>
      </c>
      <c r="V3320" s="10" t="s">
        <v>3523</v>
      </c>
      <c r="W3320" s="10" t="s">
        <v>13207</v>
      </c>
      <c r="X3320" s="13" t="str">
        <f>HYPERLINK("https://my.pitchbook.com?p=435658-24P","View People Online")</f>
        <v>View People Online</v>
      </c>
    </row>
    <row r="3321">
      <c r="A3321" s="14" t="s">
        <v>21178</v>
      </c>
      <c r="B3321" s="14" t="s">
        <v>21179</v>
      </c>
      <c r="C3321" s="14" t="s">
        <v>9524</v>
      </c>
      <c r="D3321" s="14" t="s">
        <v>20640</v>
      </c>
      <c r="E3321" s="14" t="s">
        <v>13207</v>
      </c>
      <c r="F3321" s="14" t="s">
        <v>13218</v>
      </c>
      <c r="G3321" s="14" t="s">
        <v>21180</v>
      </c>
      <c r="H3321" s="15" t="s">
        <v>31</v>
      </c>
      <c r="I3321" s="15">
        <v>1.0</v>
      </c>
      <c r="J3321" s="15">
        <v>1.0</v>
      </c>
      <c r="K3321" s="15" t="s">
        <v>31</v>
      </c>
      <c r="L3321" s="16" t="s">
        <v>13632</v>
      </c>
      <c r="M3321" s="14" t="s">
        <v>21181</v>
      </c>
      <c r="N3321" s="14" t="s">
        <v>7690</v>
      </c>
      <c r="O3321" s="16" t="s">
        <v>7691</v>
      </c>
      <c r="P3321" s="14" t="s">
        <v>13634</v>
      </c>
      <c r="Q3321" s="14" t="s">
        <v>13635</v>
      </c>
      <c r="R3321" s="14" t="s">
        <v>7693</v>
      </c>
      <c r="S3321" s="16" t="s">
        <v>13636</v>
      </c>
      <c r="T3321" s="14" t="s">
        <v>66</v>
      </c>
      <c r="U3321" s="16" t="s">
        <v>13637</v>
      </c>
      <c r="V3321" s="14" t="s">
        <v>13218</v>
      </c>
      <c r="W3321" s="14" t="s">
        <v>13207</v>
      </c>
      <c r="X3321" s="17" t="str">
        <f>HYPERLINK("https://my.pitchbook.com?p=434805-22P","View People Online")</f>
        <v>View People Online</v>
      </c>
    </row>
    <row r="3322">
      <c r="A3322" s="10" t="s">
        <v>21182</v>
      </c>
      <c r="B3322" s="10" t="s">
        <v>21183</v>
      </c>
      <c r="C3322" s="10" t="s">
        <v>395</v>
      </c>
      <c r="D3322" s="10" t="s">
        <v>21184</v>
      </c>
      <c r="E3322" s="10" t="s">
        <v>13207</v>
      </c>
      <c r="F3322" s="10" t="s">
        <v>29</v>
      </c>
      <c r="G3322" s="10" t="s">
        <v>21185</v>
      </c>
      <c r="H3322" s="11" t="s">
        <v>31</v>
      </c>
      <c r="I3322" s="11">
        <v>1.0</v>
      </c>
      <c r="J3322" s="11">
        <v>1.0</v>
      </c>
      <c r="K3322" s="11" t="s">
        <v>31</v>
      </c>
      <c r="L3322" s="12" t="s">
        <v>13423</v>
      </c>
      <c r="M3322" s="10" t="s">
        <v>21186</v>
      </c>
      <c r="N3322" s="10" t="s">
        <v>243</v>
      </c>
      <c r="O3322" s="12" t="s">
        <v>244</v>
      </c>
      <c r="P3322" s="10" t="s">
        <v>13425</v>
      </c>
      <c r="Q3322" s="10" t="s">
        <v>31</v>
      </c>
      <c r="R3322" s="10" t="s">
        <v>247</v>
      </c>
      <c r="S3322" s="12" t="s">
        <v>13426</v>
      </c>
      <c r="T3322" s="10" t="s">
        <v>249</v>
      </c>
      <c r="U3322" s="12" t="s">
        <v>31</v>
      </c>
      <c r="V3322" s="10" t="s">
        <v>29</v>
      </c>
      <c r="W3322" s="10" t="s">
        <v>13207</v>
      </c>
      <c r="X3322" s="13" t="str">
        <f>HYPERLINK("https://my.pitchbook.com?p=435223-27P","View People Online")</f>
        <v>View People Online</v>
      </c>
    </row>
    <row r="3323">
      <c r="A3323" s="6" t="s">
        <v>21187</v>
      </c>
      <c r="B3323" s="6" t="s">
        <v>21188</v>
      </c>
      <c r="C3323" s="6" t="s">
        <v>395</v>
      </c>
      <c r="D3323" s="6" t="s">
        <v>21189</v>
      </c>
      <c r="E3323" s="6" t="s">
        <v>13207</v>
      </c>
      <c r="F3323" s="6" t="s">
        <v>2199</v>
      </c>
      <c r="G3323" s="6" t="s">
        <v>21190</v>
      </c>
      <c r="H3323" s="7">
        <v>2.0</v>
      </c>
      <c r="I3323" s="7">
        <v>5.0</v>
      </c>
      <c r="J3323" s="7">
        <v>1.0</v>
      </c>
      <c r="K3323" s="7">
        <v>2.0</v>
      </c>
      <c r="L3323" s="8" t="s">
        <v>13496</v>
      </c>
      <c r="M3323" s="6" t="s">
        <v>21191</v>
      </c>
      <c r="N3323" s="6" t="s">
        <v>75</v>
      </c>
      <c r="O3323" s="8" t="s">
        <v>76</v>
      </c>
      <c r="P3323" s="6" t="s">
        <v>13498</v>
      </c>
      <c r="Q3323" s="6" t="s">
        <v>31</v>
      </c>
      <c r="R3323" s="6" t="s">
        <v>75</v>
      </c>
      <c r="S3323" s="8" t="s">
        <v>195</v>
      </c>
      <c r="T3323" s="6" t="s">
        <v>66</v>
      </c>
      <c r="U3323" s="8" t="s">
        <v>13499</v>
      </c>
      <c r="V3323" s="6" t="s">
        <v>21192</v>
      </c>
      <c r="W3323" s="6" t="s">
        <v>13207</v>
      </c>
      <c r="X3323" s="9" t="str">
        <f>HYPERLINK("https://my.pitchbook.com?p=297062-65P","View People Online")</f>
        <v>View People Online</v>
      </c>
    </row>
    <row r="3324">
      <c r="A3324" s="2" t="s">
        <v>21193</v>
      </c>
      <c r="B3324" s="2" t="s">
        <v>21194</v>
      </c>
      <c r="C3324" s="2" t="s">
        <v>395</v>
      </c>
      <c r="D3324" s="2" t="s">
        <v>21195</v>
      </c>
      <c r="E3324" s="2" t="s">
        <v>13207</v>
      </c>
      <c r="F3324" s="2" t="s">
        <v>3523</v>
      </c>
      <c r="G3324" s="2" t="s">
        <v>21196</v>
      </c>
      <c r="H3324" s="3" t="s">
        <v>31</v>
      </c>
      <c r="I3324" s="3">
        <v>1.0</v>
      </c>
      <c r="J3324" s="3">
        <v>1.0</v>
      </c>
      <c r="K3324" s="3" t="s">
        <v>31</v>
      </c>
      <c r="L3324" s="4" t="s">
        <v>13423</v>
      </c>
      <c r="M3324" s="2" t="s">
        <v>21197</v>
      </c>
      <c r="N3324" s="2" t="s">
        <v>243</v>
      </c>
      <c r="O3324" s="4" t="s">
        <v>244</v>
      </c>
      <c r="P3324" s="2" t="s">
        <v>13425</v>
      </c>
      <c r="Q3324" s="2" t="s">
        <v>31</v>
      </c>
      <c r="R3324" s="2" t="s">
        <v>247</v>
      </c>
      <c r="S3324" s="4" t="s">
        <v>13426</v>
      </c>
      <c r="T3324" s="2" t="s">
        <v>249</v>
      </c>
      <c r="U3324" s="4" t="s">
        <v>31</v>
      </c>
      <c r="V3324" s="2" t="s">
        <v>21198</v>
      </c>
      <c r="W3324" s="2" t="s">
        <v>13207</v>
      </c>
      <c r="X3324" s="5" t="str">
        <f>HYPERLINK("https://my.pitchbook.com?p=260060-68P","View People Online")</f>
        <v>View People Online</v>
      </c>
    </row>
    <row r="3325">
      <c r="A3325" s="6" t="s">
        <v>21199</v>
      </c>
      <c r="B3325" s="6" t="s">
        <v>21200</v>
      </c>
      <c r="C3325" s="6" t="s">
        <v>21201</v>
      </c>
      <c r="D3325" s="6" t="s">
        <v>1085</v>
      </c>
      <c r="E3325" s="6" t="s">
        <v>13207</v>
      </c>
      <c r="F3325" s="6" t="s">
        <v>13240</v>
      </c>
      <c r="G3325" s="6" t="s">
        <v>21202</v>
      </c>
      <c r="H3325" s="7" t="s">
        <v>31</v>
      </c>
      <c r="I3325" s="7">
        <v>1.0</v>
      </c>
      <c r="J3325" s="7">
        <v>1.0</v>
      </c>
      <c r="K3325" s="7" t="s">
        <v>31</v>
      </c>
      <c r="L3325" s="8" t="s">
        <v>13743</v>
      </c>
      <c r="M3325" s="6" t="s">
        <v>21203</v>
      </c>
      <c r="N3325" s="6" t="s">
        <v>1034</v>
      </c>
      <c r="O3325" s="8" t="s">
        <v>1035</v>
      </c>
      <c r="P3325" s="6" t="s">
        <v>13745</v>
      </c>
      <c r="Q3325" s="6" t="s">
        <v>13746</v>
      </c>
      <c r="R3325" s="6" t="s">
        <v>31</v>
      </c>
      <c r="S3325" s="8" t="s">
        <v>13747</v>
      </c>
      <c r="T3325" s="6" t="s">
        <v>1034</v>
      </c>
      <c r="U3325" s="8" t="s">
        <v>13748</v>
      </c>
      <c r="V3325" s="6" t="s">
        <v>13247</v>
      </c>
      <c r="W3325" s="6" t="s">
        <v>13207</v>
      </c>
      <c r="X3325" s="9" t="str">
        <f>HYPERLINK("https://my.pitchbook.com?p=456136-57P","View People Online")</f>
        <v>View People Online</v>
      </c>
    </row>
    <row r="3326">
      <c r="A3326" s="2" t="s">
        <v>21204</v>
      </c>
      <c r="B3326" s="2" t="s">
        <v>21205</v>
      </c>
      <c r="C3326" s="2" t="s">
        <v>21206</v>
      </c>
      <c r="D3326" s="2" t="s">
        <v>21207</v>
      </c>
      <c r="E3326" s="2" t="s">
        <v>13207</v>
      </c>
      <c r="F3326" s="2" t="s">
        <v>13218</v>
      </c>
      <c r="G3326" s="2" t="s">
        <v>21208</v>
      </c>
      <c r="H3326" s="3" t="s">
        <v>31</v>
      </c>
      <c r="I3326" s="3">
        <v>1.0</v>
      </c>
      <c r="J3326" s="3">
        <v>1.0</v>
      </c>
      <c r="K3326" s="3" t="s">
        <v>31</v>
      </c>
      <c r="L3326" s="4" t="s">
        <v>15671</v>
      </c>
      <c r="M3326" s="2" t="s">
        <v>21209</v>
      </c>
      <c r="N3326" s="2" t="s">
        <v>15673</v>
      </c>
      <c r="O3326" s="4" t="s">
        <v>15674</v>
      </c>
      <c r="P3326" s="2" t="s">
        <v>15675</v>
      </c>
      <c r="Q3326" s="2" t="s">
        <v>6654</v>
      </c>
      <c r="R3326" s="2" t="s">
        <v>15676</v>
      </c>
      <c r="S3326" s="4" t="s">
        <v>15677</v>
      </c>
      <c r="T3326" s="2" t="s">
        <v>66</v>
      </c>
      <c r="U3326" s="4" t="s">
        <v>15678</v>
      </c>
      <c r="V3326" s="2" t="s">
        <v>13218</v>
      </c>
      <c r="W3326" s="2" t="s">
        <v>13207</v>
      </c>
      <c r="X3326" s="5" t="str">
        <f>HYPERLINK("https://my.pitchbook.com?p=36431-56P","View People Online")</f>
        <v>View People Online</v>
      </c>
    </row>
    <row r="3327">
      <c r="A3327" s="14" t="s">
        <v>21210</v>
      </c>
      <c r="B3327" s="14" t="s">
        <v>21211</v>
      </c>
      <c r="C3327" s="14" t="s">
        <v>21212</v>
      </c>
      <c r="D3327" s="14" t="s">
        <v>21213</v>
      </c>
      <c r="E3327" s="14" t="s">
        <v>13207</v>
      </c>
      <c r="F3327" s="14" t="s">
        <v>3523</v>
      </c>
      <c r="G3327" s="14" t="s">
        <v>21214</v>
      </c>
      <c r="H3327" s="15" t="s">
        <v>31</v>
      </c>
      <c r="I3327" s="15">
        <v>1.0</v>
      </c>
      <c r="J3327" s="15">
        <v>1.0</v>
      </c>
      <c r="K3327" s="15" t="s">
        <v>31</v>
      </c>
      <c r="L3327" s="16" t="s">
        <v>13231</v>
      </c>
      <c r="M3327" s="14" t="s">
        <v>21215</v>
      </c>
      <c r="N3327" s="14" t="s">
        <v>1203</v>
      </c>
      <c r="O3327" s="16" t="s">
        <v>1204</v>
      </c>
      <c r="P3327" s="14" t="s">
        <v>13233</v>
      </c>
      <c r="Q3327" s="14" t="s">
        <v>13234</v>
      </c>
      <c r="R3327" s="14" t="s">
        <v>1207</v>
      </c>
      <c r="S3327" s="16" t="s">
        <v>13235</v>
      </c>
      <c r="T3327" s="14" t="s">
        <v>1209</v>
      </c>
      <c r="U3327" s="16" t="s">
        <v>31</v>
      </c>
      <c r="V3327" s="14" t="s">
        <v>3523</v>
      </c>
      <c r="W3327" s="14" t="s">
        <v>13207</v>
      </c>
      <c r="X3327" s="17" t="str">
        <f>HYPERLINK("https://my.pitchbook.com?p=435204-82P","View People Online")</f>
        <v>View People Online</v>
      </c>
    </row>
    <row r="3328">
      <c r="A3328" s="2" t="s">
        <v>21216</v>
      </c>
      <c r="B3328" s="2" t="s">
        <v>21217</v>
      </c>
      <c r="C3328" s="2" t="s">
        <v>972</v>
      </c>
      <c r="D3328" s="2" t="s">
        <v>21218</v>
      </c>
      <c r="E3328" s="2" t="s">
        <v>13207</v>
      </c>
      <c r="F3328" s="2" t="s">
        <v>3523</v>
      </c>
      <c r="G3328" s="2" t="s">
        <v>21219</v>
      </c>
      <c r="H3328" s="3" t="s">
        <v>31</v>
      </c>
      <c r="I3328" s="3">
        <v>1.0</v>
      </c>
      <c r="J3328" s="3">
        <v>1.0</v>
      </c>
      <c r="K3328" s="3" t="s">
        <v>31</v>
      </c>
      <c r="L3328" s="4" t="s">
        <v>13289</v>
      </c>
      <c r="M3328" s="2" t="s">
        <v>21220</v>
      </c>
      <c r="N3328" s="2" t="s">
        <v>1348</v>
      </c>
      <c r="O3328" s="4" t="s">
        <v>1349</v>
      </c>
      <c r="P3328" s="2" t="s">
        <v>13291</v>
      </c>
      <c r="Q3328" s="2" t="s">
        <v>13292</v>
      </c>
      <c r="R3328" s="2" t="s">
        <v>1018</v>
      </c>
      <c r="S3328" s="4" t="s">
        <v>13293</v>
      </c>
      <c r="T3328" s="2" t="s">
        <v>1019</v>
      </c>
      <c r="U3328" s="4" t="s">
        <v>13294</v>
      </c>
      <c r="V3328" s="2" t="s">
        <v>3523</v>
      </c>
      <c r="W3328" s="2" t="s">
        <v>13207</v>
      </c>
      <c r="X3328" s="5" t="str">
        <f>HYPERLINK("https://my.pitchbook.com?p=456553-18P","View People Online")</f>
        <v>View People Online</v>
      </c>
    </row>
    <row r="3329">
      <c r="A3329" s="6" t="s">
        <v>21221</v>
      </c>
      <c r="B3329" s="6" t="s">
        <v>21222</v>
      </c>
      <c r="C3329" s="6" t="s">
        <v>972</v>
      </c>
      <c r="D3329" s="6" t="s">
        <v>21223</v>
      </c>
      <c r="E3329" s="6" t="s">
        <v>13207</v>
      </c>
      <c r="F3329" s="6" t="s">
        <v>13218</v>
      </c>
      <c r="G3329" s="6" t="s">
        <v>21224</v>
      </c>
      <c r="H3329" s="7" t="s">
        <v>31</v>
      </c>
      <c r="I3329" s="7">
        <v>1.0</v>
      </c>
      <c r="J3329" s="7">
        <v>1.0</v>
      </c>
      <c r="K3329" s="7" t="s">
        <v>31</v>
      </c>
      <c r="L3329" s="8" t="s">
        <v>13274</v>
      </c>
      <c r="M3329" s="6" t="s">
        <v>21225</v>
      </c>
      <c r="N3329" s="6" t="s">
        <v>1181</v>
      </c>
      <c r="O3329" s="8" t="s">
        <v>1182</v>
      </c>
      <c r="P3329" s="6" t="s">
        <v>13276</v>
      </c>
      <c r="Q3329" s="6" t="s">
        <v>31</v>
      </c>
      <c r="R3329" s="6" t="s">
        <v>1185</v>
      </c>
      <c r="S3329" s="8" t="s">
        <v>4438</v>
      </c>
      <c r="T3329" s="6" t="s">
        <v>66</v>
      </c>
      <c r="U3329" s="8" t="s">
        <v>13277</v>
      </c>
      <c r="V3329" s="6" t="s">
        <v>21226</v>
      </c>
      <c r="W3329" s="6" t="s">
        <v>13207</v>
      </c>
      <c r="X3329" s="9" t="str">
        <f>HYPERLINK("https://my.pitchbook.com?p=456555-34P","View People Online")</f>
        <v>View People Online</v>
      </c>
    </row>
    <row r="3330">
      <c r="A3330" s="2" t="s">
        <v>21227</v>
      </c>
      <c r="B3330" s="2" t="s">
        <v>21228</v>
      </c>
      <c r="C3330" s="2" t="s">
        <v>536</v>
      </c>
      <c r="D3330" s="2" t="s">
        <v>21229</v>
      </c>
      <c r="E3330" s="2" t="s">
        <v>13207</v>
      </c>
      <c r="F3330" s="2" t="s">
        <v>13307</v>
      </c>
      <c r="G3330" s="2" t="s">
        <v>21230</v>
      </c>
      <c r="H3330" s="3" t="s">
        <v>31</v>
      </c>
      <c r="I3330" s="3">
        <v>1.0</v>
      </c>
      <c r="J3330" s="3">
        <v>1.0</v>
      </c>
      <c r="K3330" s="3" t="s">
        <v>31</v>
      </c>
      <c r="L3330" s="4" t="s">
        <v>13274</v>
      </c>
      <c r="M3330" s="2" t="s">
        <v>21231</v>
      </c>
      <c r="N3330" s="2" t="s">
        <v>1181</v>
      </c>
      <c r="O3330" s="4" t="s">
        <v>1182</v>
      </c>
      <c r="P3330" s="2" t="s">
        <v>13276</v>
      </c>
      <c r="Q3330" s="2" t="s">
        <v>31</v>
      </c>
      <c r="R3330" s="2" t="s">
        <v>1185</v>
      </c>
      <c r="S3330" s="4" t="s">
        <v>4438</v>
      </c>
      <c r="T3330" s="2" t="s">
        <v>66</v>
      </c>
      <c r="U3330" s="4" t="s">
        <v>13277</v>
      </c>
      <c r="V3330" s="2" t="s">
        <v>21232</v>
      </c>
      <c r="W3330" s="2" t="s">
        <v>13207</v>
      </c>
      <c r="X3330" s="5" t="str">
        <f>HYPERLINK("https://my.pitchbook.com?p=435856-60P","View People Online")</f>
        <v>View People Online</v>
      </c>
    </row>
    <row r="3331">
      <c r="A3331" s="6" t="s">
        <v>21233</v>
      </c>
      <c r="B3331" s="6" t="s">
        <v>21234</v>
      </c>
      <c r="C3331" s="6" t="s">
        <v>536</v>
      </c>
      <c r="D3331" s="6" t="s">
        <v>21235</v>
      </c>
      <c r="E3331" s="6" t="s">
        <v>13207</v>
      </c>
      <c r="F3331" s="6" t="s">
        <v>3523</v>
      </c>
      <c r="G3331" s="6" t="s">
        <v>21236</v>
      </c>
      <c r="H3331" s="7">
        <v>1.0</v>
      </c>
      <c r="I3331" s="7">
        <v>4.0</v>
      </c>
      <c r="J3331" s="7">
        <v>2.0</v>
      </c>
      <c r="K3331" s="7">
        <v>1.0</v>
      </c>
      <c r="L3331" s="8" t="s">
        <v>15689</v>
      </c>
      <c r="M3331" s="6" t="s">
        <v>21237</v>
      </c>
      <c r="N3331" s="6" t="s">
        <v>15691</v>
      </c>
      <c r="O3331" s="8" t="s">
        <v>15692</v>
      </c>
      <c r="P3331" s="6" t="s">
        <v>15693</v>
      </c>
      <c r="Q3331" s="6" t="s">
        <v>7094</v>
      </c>
      <c r="R3331" s="6" t="s">
        <v>64</v>
      </c>
      <c r="S3331" s="8" t="s">
        <v>15694</v>
      </c>
      <c r="T3331" s="6" t="s">
        <v>66</v>
      </c>
      <c r="U3331" s="8" t="s">
        <v>31</v>
      </c>
      <c r="V3331" s="6" t="s">
        <v>17571</v>
      </c>
      <c r="W3331" s="6" t="s">
        <v>13904</v>
      </c>
      <c r="X3331" s="9" t="str">
        <f>HYPERLINK("https://my.pitchbook.com?p=76647-52P","View People Online")</f>
        <v>View People Online</v>
      </c>
    </row>
    <row r="3332">
      <c r="A3332" s="10" t="s">
        <v>21238</v>
      </c>
      <c r="B3332" s="10" t="s">
        <v>21239</v>
      </c>
      <c r="C3332" s="10" t="s">
        <v>536</v>
      </c>
      <c r="D3332" s="10" t="s">
        <v>21240</v>
      </c>
      <c r="E3332" s="10" t="s">
        <v>13207</v>
      </c>
      <c r="F3332" s="10" t="s">
        <v>3523</v>
      </c>
      <c r="G3332" s="10" t="s">
        <v>21241</v>
      </c>
      <c r="H3332" s="11" t="s">
        <v>31</v>
      </c>
      <c r="I3332" s="11">
        <v>1.0</v>
      </c>
      <c r="J3332" s="11">
        <v>1.0</v>
      </c>
      <c r="K3332" s="11" t="s">
        <v>31</v>
      </c>
      <c r="L3332" s="12" t="s">
        <v>13274</v>
      </c>
      <c r="M3332" s="10" t="s">
        <v>21242</v>
      </c>
      <c r="N3332" s="10" t="s">
        <v>1181</v>
      </c>
      <c r="O3332" s="12" t="s">
        <v>1182</v>
      </c>
      <c r="P3332" s="10" t="s">
        <v>13276</v>
      </c>
      <c r="Q3332" s="10" t="s">
        <v>31</v>
      </c>
      <c r="R3332" s="10" t="s">
        <v>1185</v>
      </c>
      <c r="S3332" s="12" t="s">
        <v>4438</v>
      </c>
      <c r="T3332" s="10" t="s">
        <v>66</v>
      </c>
      <c r="U3332" s="12" t="s">
        <v>13277</v>
      </c>
      <c r="V3332" s="10" t="s">
        <v>3523</v>
      </c>
      <c r="W3332" s="10" t="s">
        <v>13207</v>
      </c>
      <c r="X3332" s="13" t="str">
        <f>HYPERLINK("https://my.pitchbook.com?p=455954-14P","View People Online")</f>
        <v>View People Online</v>
      </c>
    </row>
    <row r="3333">
      <c r="A3333" s="14" t="s">
        <v>21243</v>
      </c>
      <c r="B3333" s="14" t="s">
        <v>21244</v>
      </c>
      <c r="C3333" s="14" t="s">
        <v>536</v>
      </c>
      <c r="D3333" s="14" t="s">
        <v>21245</v>
      </c>
      <c r="E3333" s="14" t="s">
        <v>13207</v>
      </c>
      <c r="F3333" s="14" t="s">
        <v>3523</v>
      </c>
      <c r="G3333" s="14" t="s">
        <v>21246</v>
      </c>
      <c r="H3333" s="15" t="s">
        <v>31</v>
      </c>
      <c r="I3333" s="15">
        <v>1.0</v>
      </c>
      <c r="J3333" s="15">
        <v>1.0</v>
      </c>
      <c r="K3333" s="15" t="s">
        <v>31</v>
      </c>
      <c r="L3333" s="16" t="s">
        <v>13673</v>
      </c>
      <c r="M3333" s="14" t="s">
        <v>21247</v>
      </c>
      <c r="N3333" s="14" t="s">
        <v>6311</v>
      </c>
      <c r="O3333" s="16" t="s">
        <v>6312</v>
      </c>
      <c r="P3333" s="14" t="s">
        <v>13675</v>
      </c>
      <c r="Q3333" s="14" t="s">
        <v>31</v>
      </c>
      <c r="R3333" s="14" t="s">
        <v>31</v>
      </c>
      <c r="S3333" s="16" t="s">
        <v>13676</v>
      </c>
      <c r="T3333" s="14" t="s">
        <v>6315</v>
      </c>
      <c r="U3333" s="16" t="s">
        <v>13677</v>
      </c>
      <c r="V3333" s="14" t="s">
        <v>3523</v>
      </c>
      <c r="W3333" s="14" t="s">
        <v>13207</v>
      </c>
      <c r="X3333" s="17" t="str">
        <f>HYPERLINK("https://my.pitchbook.com?p=435134-80P","View People Online")</f>
        <v>View People Online</v>
      </c>
    </row>
    <row r="3334">
      <c r="A3334" s="10" t="s">
        <v>21248</v>
      </c>
      <c r="B3334" s="10" t="s">
        <v>21249</v>
      </c>
      <c r="C3334" s="10" t="s">
        <v>536</v>
      </c>
      <c r="D3334" s="10" t="s">
        <v>21250</v>
      </c>
      <c r="E3334" s="10" t="s">
        <v>13207</v>
      </c>
      <c r="F3334" s="10" t="s">
        <v>14489</v>
      </c>
      <c r="G3334" s="10" t="s">
        <v>21251</v>
      </c>
      <c r="H3334" s="11" t="s">
        <v>31</v>
      </c>
      <c r="I3334" s="11">
        <v>1.0</v>
      </c>
      <c r="J3334" s="11">
        <v>1.0</v>
      </c>
      <c r="K3334" s="11" t="s">
        <v>31</v>
      </c>
      <c r="L3334" s="12" t="s">
        <v>13839</v>
      </c>
      <c r="M3334" s="10" t="s">
        <v>21252</v>
      </c>
      <c r="N3334" s="10" t="s">
        <v>11029</v>
      </c>
      <c r="O3334" s="12" t="s">
        <v>11030</v>
      </c>
      <c r="P3334" s="10" t="s">
        <v>13841</v>
      </c>
      <c r="Q3334" s="10" t="s">
        <v>13842</v>
      </c>
      <c r="R3334" s="10" t="s">
        <v>10017</v>
      </c>
      <c r="S3334" s="12" t="s">
        <v>13843</v>
      </c>
      <c r="T3334" s="10" t="s">
        <v>66</v>
      </c>
      <c r="U3334" s="12" t="s">
        <v>13844</v>
      </c>
      <c r="V3334" s="10" t="s">
        <v>14489</v>
      </c>
      <c r="W3334" s="10" t="s">
        <v>13207</v>
      </c>
      <c r="X3334" s="13" t="str">
        <f>HYPERLINK("https://my.pitchbook.com?p=456626-26P","View People Online")</f>
        <v>View People Online</v>
      </c>
    </row>
    <row r="3335">
      <c r="A3335" s="6" t="s">
        <v>21253</v>
      </c>
      <c r="B3335" s="6" t="s">
        <v>21254</v>
      </c>
      <c r="C3335" s="6" t="s">
        <v>536</v>
      </c>
      <c r="D3335" s="6" t="s">
        <v>5327</v>
      </c>
      <c r="E3335" s="6" t="s">
        <v>13207</v>
      </c>
      <c r="F3335" s="6" t="s">
        <v>13240</v>
      </c>
      <c r="G3335" s="6" t="s">
        <v>21255</v>
      </c>
      <c r="H3335" s="7" t="s">
        <v>31</v>
      </c>
      <c r="I3335" s="7">
        <v>1.0</v>
      </c>
      <c r="J3335" s="7">
        <v>1.0</v>
      </c>
      <c r="K3335" s="7" t="s">
        <v>31</v>
      </c>
      <c r="L3335" s="8" t="s">
        <v>13496</v>
      </c>
      <c r="M3335" s="6" t="s">
        <v>21256</v>
      </c>
      <c r="N3335" s="6" t="s">
        <v>75</v>
      </c>
      <c r="O3335" s="8" t="s">
        <v>76</v>
      </c>
      <c r="P3335" s="6" t="s">
        <v>13498</v>
      </c>
      <c r="Q3335" s="6" t="s">
        <v>31</v>
      </c>
      <c r="R3335" s="6" t="s">
        <v>75</v>
      </c>
      <c r="S3335" s="8" t="s">
        <v>195</v>
      </c>
      <c r="T3335" s="6" t="s">
        <v>66</v>
      </c>
      <c r="U3335" s="8" t="s">
        <v>13499</v>
      </c>
      <c r="V3335" s="6" t="s">
        <v>13247</v>
      </c>
      <c r="W3335" s="6" t="s">
        <v>13207</v>
      </c>
      <c r="X3335" s="9" t="str">
        <f>HYPERLINK("https://my.pitchbook.com?p=436216-60P","View People Online")</f>
        <v>View People Online</v>
      </c>
    </row>
    <row r="3336">
      <c r="A3336" s="10" t="s">
        <v>21257</v>
      </c>
      <c r="B3336" s="10" t="s">
        <v>21258</v>
      </c>
      <c r="C3336" s="10" t="s">
        <v>3359</v>
      </c>
      <c r="D3336" s="10" t="s">
        <v>21259</v>
      </c>
      <c r="E3336" s="10" t="s">
        <v>13207</v>
      </c>
      <c r="F3336" s="10" t="s">
        <v>3523</v>
      </c>
      <c r="G3336" s="10" t="s">
        <v>21260</v>
      </c>
      <c r="H3336" s="11" t="s">
        <v>31</v>
      </c>
      <c r="I3336" s="11">
        <v>1.0</v>
      </c>
      <c r="J3336" s="11">
        <v>1.0</v>
      </c>
      <c r="K3336" s="11" t="s">
        <v>31</v>
      </c>
      <c r="L3336" s="12" t="s">
        <v>13540</v>
      </c>
      <c r="M3336" s="10" t="s">
        <v>21261</v>
      </c>
      <c r="N3336" s="10" t="s">
        <v>418</v>
      </c>
      <c r="O3336" s="12" t="s">
        <v>419</v>
      </c>
      <c r="P3336" s="10" t="s">
        <v>13542</v>
      </c>
      <c r="Q3336" s="10" t="s">
        <v>31</v>
      </c>
      <c r="R3336" s="10" t="s">
        <v>31</v>
      </c>
      <c r="S3336" s="12" t="s">
        <v>2664</v>
      </c>
      <c r="T3336" s="10" t="s">
        <v>422</v>
      </c>
      <c r="U3336" s="12" t="s">
        <v>13543</v>
      </c>
      <c r="V3336" s="10" t="s">
        <v>3523</v>
      </c>
      <c r="W3336" s="10" t="s">
        <v>13207</v>
      </c>
      <c r="X3336" s="13" t="str">
        <f>HYPERLINK("https://my.pitchbook.com?p=455947-75P","View People Online")</f>
        <v>View People Online</v>
      </c>
    </row>
    <row r="3337">
      <c r="A3337" s="14" t="s">
        <v>21262</v>
      </c>
      <c r="B3337" s="14" t="s">
        <v>21263</v>
      </c>
      <c r="C3337" s="14" t="s">
        <v>3359</v>
      </c>
      <c r="D3337" s="14" t="s">
        <v>21264</v>
      </c>
      <c r="E3337" s="14" t="s">
        <v>13207</v>
      </c>
      <c r="F3337" s="14" t="s">
        <v>3523</v>
      </c>
      <c r="G3337" s="14" t="s">
        <v>21265</v>
      </c>
      <c r="H3337" s="15" t="s">
        <v>31</v>
      </c>
      <c r="I3337" s="15">
        <v>1.0</v>
      </c>
      <c r="J3337" s="15">
        <v>1.0</v>
      </c>
      <c r="K3337" s="15" t="s">
        <v>31</v>
      </c>
      <c r="L3337" s="16" t="s">
        <v>13459</v>
      </c>
      <c r="M3337" s="14" t="s">
        <v>21266</v>
      </c>
      <c r="N3337" s="14" t="s">
        <v>3100</v>
      </c>
      <c r="O3337" s="16" t="s">
        <v>3101</v>
      </c>
      <c r="P3337" s="14" t="s">
        <v>13461</v>
      </c>
      <c r="Q3337" s="14" t="s">
        <v>31</v>
      </c>
      <c r="R3337" s="14" t="s">
        <v>31</v>
      </c>
      <c r="S3337" s="16" t="s">
        <v>3103</v>
      </c>
      <c r="T3337" s="14" t="s">
        <v>3104</v>
      </c>
      <c r="U3337" s="16" t="s">
        <v>13462</v>
      </c>
      <c r="V3337" s="14" t="s">
        <v>3523</v>
      </c>
      <c r="W3337" s="14" t="s">
        <v>13207</v>
      </c>
      <c r="X3337" s="17" t="str">
        <f>HYPERLINK("https://my.pitchbook.com?p=456007-96P","View People Online")</f>
        <v>View People Online</v>
      </c>
    </row>
    <row r="3338">
      <c r="A3338" s="10" t="s">
        <v>21267</v>
      </c>
      <c r="B3338" s="10" t="s">
        <v>21268</v>
      </c>
      <c r="C3338" s="10" t="s">
        <v>3359</v>
      </c>
      <c r="D3338" s="10" t="s">
        <v>14084</v>
      </c>
      <c r="E3338" s="10" t="s">
        <v>13207</v>
      </c>
      <c r="F3338" s="10" t="s">
        <v>3523</v>
      </c>
      <c r="G3338" s="10" t="s">
        <v>21269</v>
      </c>
      <c r="H3338" s="11" t="s">
        <v>31</v>
      </c>
      <c r="I3338" s="11">
        <v>1.0</v>
      </c>
      <c r="J3338" s="11">
        <v>1.0</v>
      </c>
      <c r="K3338" s="11" t="s">
        <v>31</v>
      </c>
      <c r="L3338" s="12" t="s">
        <v>13540</v>
      </c>
      <c r="M3338" s="10" t="s">
        <v>21270</v>
      </c>
      <c r="N3338" s="10" t="s">
        <v>418</v>
      </c>
      <c r="O3338" s="12" t="s">
        <v>419</v>
      </c>
      <c r="P3338" s="10" t="s">
        <v>13542</v>
      </c>
      <c r="Q3338" s="10" t="s">
        <v>31</v>
      </c>
      <c r="R3338" s="10" t="s">
        <v>31</v>
      </c>
      <c r="S3338" s="12" t="s">
        <v>2664</v>
      </c>
      <c r="T3338" s="10" t="s">
        <v>422</v>
      </c>
      <c r="U3338" s="12" t="s">
        <v>13543</v>
      </c>
      <c r="V3338" s="10" t="s">
        <v>3523</v>
      </c>
      <c r="W3338" s="10" t="s">
        <v>13207</v>
      </c>
      <c r="X3338" s="13" t="str">
        <f>HYPERLINK("https://my.pitchbook.com?p=455957-11P","View People Online")</f>
        <v>View People Online</v>
      </c>
    </row>
    <row r="3339">
      <c r="A3339" s="14" t="s">
        <v>21271</v>
      </c>
      <c r="B3339" s="14" t="s">
        <v>21272</v>
      </c>
      <c r="C3339" s="14" t="s">
        <v>21273</v>
      </c>
      <c r="D3339" s="14" t="s">
        <v>21274</v>
      </c>
      <c r="E3339" s="14" t="s">
        <v>13207</v>
      </c>
      <c r="F3339" s="14" t="s">
        <v>13218</v>
      </c>
      <c r="G3339" s="14" t="s">
        <v>21275</v>
      </c>
      <c r="H3339" s="15" t="s">
        <v>31</v>
      </c>
      <c r="I3339" s="15">
        <v>1.0</v>
      </c>
      <c r="J3339" s="15">
        <v>1.0</v>
      </c>
      <c r="K3339" s="15" t="s">
        <v>31</v>
      </c>
      <c r="L3339" s="16" t="s">
        <v>13632</v>
      </c>
      <c r="M3339" s="14" t="s">
        <v>21276</v>
      </c>
      <c r="N3339" s="14" t="s">
        <v>7690</v>
      </c>
      <c r="O3339" s="16" t="s">
        <v>7691</v>
      </c>
      <c r="P3339" s="14" t="s">
        <v>13634</v>
      </c>
      <c r="Q3339" s="14" t="s">
        <v>13635</v>
      </c>
      <c r="R3339" s="14" t="s">
        <v>7693</v>
      </c>
      <c r="S3339" s="16" t="s">
        <v>13636</v>
      </c>
      <c r="T3339" s="14" t="s">
        <v>66</v>
      </c>
      <c r="U3339" s="16" t="s">
        <v>13637</v>
      </c>
      <c r="V3339" s="14" t="s">
        <v>13218</v>
      </c>
      <c r="W3339" s="14" t="s">
        <v>13207</v>
      </c>
      <c r="X3339" s="17" t="str">
        <f>HYPERLINK("https://my.pitchbook.com?p=435854-17P","View People Online")</f>
        <v>View People Online</v>
      </c>
    </row>
    <row r="3340">
      <c r="A3340" s="2" t="s">
        <v>21277</v>
      </c>
      <c r="B3340" s="2" t="s">
        <v>21278</v>
      </c>
      <c r="C3340" s="2" t="s">
        <v>21273</v>
      </c>
      <c r="D3340" s="2" t="s">
        <v>21279</v>
      </c>
      <c r="E3340" s="2" t="s">
        <v>13207</v>
      </c>
      <c r="F3340" s="2" t="s">
        <v>3523</v>
      </c>
      <c r="G3340" s="2" t="s">
        <v>21280</v>
      </c>
      <c r="H3340" s="3" t="s">
        <v>31</v>
      </c>
      <c r="I3340" s="3">
        <v>1.0</v>
      </c>
      <c r="J3340" s="3">
        <v>1.0</v>
      </c>
      <c r="K3340" s="3" t="s">
        <v>31</v>
      </c>
      <c r="L3340" s="4" t="s">
        <v>13766</v>
      </c>
      <c r="M3340" s="2" t="s">
        <v>21281</v>
      </c>
      <c r="N3340" s="2" t="s">
        <v>13768</v>
      </c>
      <c r="O3340" s="4" t="s">
        <v>13769</v>
      </c>
      <c r="P3340" s="2" t="s">
        <v>13770</v>
      </c>
      <c r="Q3340" s="2" t="s">
        <v>13771</v>
      </c>
      <c r="R3340" s="2" t="s">
        <v>31</v>
      </c>
      <c r="S3340" s="4" t="s">
        <v>13772</v>
      </c>
      <c r="T3340" s="2" t="s">
        <v>13773</v>
      </c>
      <c r="U3340" s="4" t="s">
        <v>31</v>
      </c>
      <c r="V3340" s="2" t="s">
        <v>3523</v>
      </c>
      <c r="W3340" s="2" t="s">
        <v>13207</v>
      </c>
      <c r="X3340" s="5" t="str">
        <f>HYPERLINK("https://my.pitchbook.com?p=455648-86P","View People Online")</f>
        <v>View People Online</v>
      </c>
    </row>
    <row r="3341">
      <c r="A3341" s="6" t="s">
        <v>21282</v>
      </c>
      <c r="B3341" s="6" t="s">
        <v>21283</v>
      </c>
      <c r="C3341" s="6" t="s">
        <v>6148</v>
      </c>
      <c r="D3341" s="6" t="s">
        <v>19861</v>
      </c>
      <c r="E3341" s="6" t="s">
        <v>13207</v>
      </c>
      <c r="F3341" s="6" t="s">
        <v>3523</v>
      </c>
      <c r="G3341" s="6" t="s">
        <v>21284</v>
      </c>
      <c r="H3341" s="7" t="s">
        <v>31</v>
      </c>
      <c r="I3341" s="7">
        <v>1.0</v>
      </c>
      <c r="J3341" s="7">
        <v>1.0</v>
      </c>
      <c r="K3341" s="7" t="s">
        <v>31</v>
      </c>
      <c r="L3341" s="8" t="s">
        <v>13642</v>
      </c>
      <c r="M3341" s="6" t="s">
        <v>21285</v>
      </c>
      <c r="N3341" s="6" t="s">
        <v>3334</v>
      </c>
      <c r="O3341" s="8" t="s">
        <v>3335</v>
      </c>
      <c r="P3341" s="6" t="s">
        <v>13644</v>
      </c>
      <c r="Q3341" s="6" t="s">
        <v>13645</v>
      </c>
      <c r="R3341" s="6" t="s">
        <v>31</v>
      </c>
      <c r="S3341" s="8" t="s">
        <v>13646</v>
      </c>
      <c r="T3341" s="6" t="s">
        <v>3339</v>
      </c>
      <c r="U3341" s="8" t="s">
        <v>13647</v>
      </c>
      <c r="V3341" s="6" t="s">
        <v>3523</v>
      </c>
      <c r="W3341" s="6" t="s">
        <v>13207</v>
      </c>
      <c r="X3341" s="9" t="str">
        <f>HYPERLINK("https://my.pitchbook.com?p=456253-75P","View People Online")</f>
        <v>View People Online</v>
      </c>
    </row>
    <row r="3342">
      <c r="A3342" s="2" t="s">
        <v>21286</v>
      </c>
      <c r="B3342" s="2" t="s">
        <v>21287</v>
      </c>
      <c r="C3342" s="2" t="s">
        <v>12242</v>
      </c>
      <c r="D3342" s="2" t="s">
        <v>21288</v>
      </c>
      <c r="E3342" s="2" t="s">
        <v>13207</v>
      </c>
      <c r="F3342" s="2" t="s">
        <v>3523</v>
      </c>
      <c r="G3342" s="2" t="s">
        <v>21289</v>
      </c>
      <c r="H3342" s="3" t="s">
        <v>31</v>
      </c>
      <c r="I3342" s="3">
        <v>1.0</v>
      </c>
      <c r="J3342" s="3">
        <v>1.0</v>
      </c>
      <c r="K3342" s="3" t="s">
        <v>31</v>
      </c>
      <c r="L3342" s="4" t="s">
        <v>13209</v>
      </c>
      <c r="M3342" s="2" t="s">
        <v>21290</v>
      </c>
      <c r="N3342" s="2" t="s">
        <v>4232</v>
      </c>
      <c r="O3342" s="4" t="s">
        <v>4233</v>
      </c>
      <c r="P3342" s="2" t="s">
        <v>13211</v>
      </c>
      <c r="Q3342" s="2" t="s">
        <v>31</v>
      </c>
      <c r="R3342" s="2" t="s">
        <v>4236</v>
      </c>
      <c r="S3342" s="4" t="s">
        <v>13212</v>
      </c>
      <c r="T3342" s="2" t="s">
        <v>66</v>
      </c>
      <c r="U3342" s="4" t="s">
        <v>13213</v>
      </c>
      <c r="V3342" s="2" t="s">
        <v>3523</v>
      </c>
      <c r="W3342" s="2" t="s">
        <v>13207</v>
      </c>
      <c r="X3342" s="5" t="str">
        <f>HYPERLINK("https://my.pitchbook.com?p=40919-32P","View People Online")</f>
        <v>View People Online</v>
      </c>
    </row>
    <row r="3343">
      <c r="A3343" s="14" t="s">
        <v>21291</v>
      </c>
      <c r="B3343" s="14" t="s">
        <v>21292</v>
      </c>
      <c r="C3343" s="14" t="s">
        <v>12242</v>
      </c>
      <c r="D3343" s="14" t="s">
        <v>21293</v>
      </c>
      <c r="E3343" s="14" t="s">
        <v>13207</v>
      </c>
      <c r="F3343" s="14" t="s">
        <v>13218</v>
      </c>
      <c r="G3343" s="14" t="s">
        <v>21294</v>
      </c>
      <c r="H3343" s="15" t="s">
        <v>31</v>
      </c>
      <c r="I3343" s="15">
        <v>1.0</v>
      </c>
      <c r="J3343" s="15">
        <v>1.0</v>
      </c>
      <c r="K3343" s="15" t="s">
        <v>31</v>
      </c>
      <c r="L3343" s="16" t="s">
        <v>13209</v>
      </c>
      <c r="M3343" s="14" t="s">
        <v>21295</v>
      </c>
      <c r="N3343" s="14" t="s">
        <v>4232</v>
      </c>
      <c r="O3343" s="16" t="s">
        <v>4233</v>
      </c>
      <c r="P3343" s="14" t="s">
        <v>13211</v>
      </c>
      <c r="Q3343" s="14" t="s">
        <v>31</v>
      </c>
      <c r="R3343" s="14" t="s">
        <v>4236</v>
      </c>
      <c r="S3343" s="16" t="s">
        <v>13212</v>
      </c>
      <c r="T3343" s="14" t="s">
        <v>66</v>
      </c>
      <c r="U3343" s="16" t="s">
        <v>13213</v>
      </c>
      <c r="V3343" s="14" t="s">
        <v>13218</v>
      </c>
      <c r="W3343" s="14" t="s">
        <v>13207</v>
      </c>
      <c r="X3343" s="17" t="str">
        <f>HYPERLINK("https://my.pitchbook.com?p=434806-03P","View People Online")</f>
        <v>View People Online</v>
      </c>
    </row>
    <row r="3344">
      <c r="A3344" s="10" t="s">
        <v>21296</v>
      </c>
      <c r="B3344" s="10" t="s">
        <v>21297</v>
      </c>
      <c r="C3344" s="10" t="s">
        <v>21298</v>
      </c>
      <c r="D3344" s="10" t="s">
        <v>21299</v>
      </c>
      <c r="E3344" s="10" t="s">
        <v>13207</v>
      </c>
      <c r="F3344" s="10" t="s">
        <v>3523</v>
      </c>
      <c r="G3344" s="10" t="s">
        <v>21300</v>
      </c>
      <c r="H3344" s="11" t="s">
        <v>31</v>
      </c>
      <c r="I3344" s="11">
        <v>1.0</v>
      </c>
      <c r="J3344" s="11">
        <v>1.0</v>
      </c>
      <c r="K3344" s="11" t="s">
        <v>31</v>
      </c>
      <c r="L3344" s="12" t="s">
        <v>13701</v>
      </c>
      <c r="M3344" s="10" t="s">
        <v>21301</v>
      </c>
      <c r="N3344" s="10" t="s">
        <v>13703</v>
      </c>
      <c r="O3344" s="12" t="s">
        <v>13704</v>
      </c>
      <c r="P3344" s="10" t="s">
        <v>13705</v>
      </c>
      <c r="Q3344" s="10" t="s">
        <v>13706</v>
      </c>
      <c r="R3344" s="10" t="s">
        <v>13707</v>
      </c>
      <c r="S3344" s="12" t="s">
        <v>13708</v>
      </c>
      <c r="T3344" s="10" t="s">
        <v>5484</v>
      </c>
      <c r="U3344" s="12" t="s">
        <v>13709</v>
      </c>
      <c r="V3344" s="10" t="s">
        <v>3523</v>
      </c>
      <c r="W3344" s="10" t="s">
        <v>13207</v>
      </c>
      <c r="X3344" s="13" t="str">
        <f>HYPERLINK("https://my.pitchbook.com?p=436332-43P","View People Online")</f>
        <v>View People Online</v>
      </c>
    </row>
    <row r="3345">
      <c r="A3345" s="14" t="s">
        <v>21302</v>
      </c>
      <c r="B3345" s="14" t="s">
        <v>21303</v>
      </c>
      <c r="C3345" s="14" t="s">
        <v>21304</v>
      </c>
      <c r="D3345" s="14" t="s">
        <v>21305</v>
      </c>
      <c r="E3345" s="14" t="s">
        <v>13207</v>
      </c>
      <c r="F3345" s="14" t="s">
        <v>13218</v>
      </c>
      <c r="G3345" s="14" t="s">
        <v>21306</v>
      </c>
      <c r="H3345" s="15" t="s">
        <v>31</v>
      </c>
      <c r="I3345" s="15">
        <v>1.0</v>
      </c>
      <c r="J3345" s="15">
        <v>1.0</v>
      </c>
      <c r="K3345" s="15" t="s">
        <v>31</v>
      </c>
      <c r="L3345" s="16" t="s">
        <v>13916</v>
      </c>
      <c r="M3345" s="14" t="s">
        <v>21307</v>
      </c>
      <c r="N3345" s="14" t="s">
        <v>155</v>
      </c>
      <c r="O3345" s="16" t="s">
        <v>156</v>
      </c>
      <c r="P3345" s="14" t="s">
        <v>13918</v>
      </c>
      <c r="Q3345" s="14" t="s">
        <v>13919</v>
      </c>
      <c r="R3345" s="14" t="s">
        <v>64</v>
      </c>
      <c r="S3345" s="16" t="s">
        <v>1549</v>
      </c>
      <c r="T3345" s="14" t="s">
        <v>66</v>
      </c>
      <c r="U3345" s="16" t="s">
        <v>13920</v>
      </c>
      <c r="V3345" s="14" t="s">
        <v>13218</v>
      </c>
      <c r="W3345" s="14" t="s">
        <v>13207</v>
      </c>
      <c r="X3345" s="17" t="str">
        <f>HYPERLINK("https://my.pitchbook.com?p=456385-15P","View People Online")</f>
        <v>View People Online</v>
      </c>
    </row>
    <row r="3346">
      <c r="A3346" s="10" t="s">
        <v>21308</v>
      </c>
      <c r="B3346" s="10" t="s">
        <v>21309</v>
      </c>
      <c r="C3346" s="10" t="s">
        <v>21304</v>
      </c>
      <c r="D3346" s="10" t="s">
        <v>21310</v>
      </c>
      <c r="E3346" s="10" t="s">
        <v>13207</v>
      </c>
      <c r="F3346" s="10" t="s">
        <v>13218</v>
      </c>
      <c r="G3346" s="10" t="s">
        <v>21311</v>
      </c>
      <c r="H3346" s="11" t="s">
        <v>31</v>
      </c>
      <c r="I3346" s="11">
        <v>1.0</v>
      </c>
      <c r="J3346" s="11">
        <v>1.0</v>
      </c>
      <c r="K3346" s="11" t="s">
        <v>31</v>
      </c>
      <c r="L3346" s="12" t="s">
        <v>13231</v>
      </c>
      <c r="M3346" s="10" t="s">
        <v>21312</v>
      </c>
      <c r="N3346" s="10" t="s">
        <v>1203</v>
      </c>
      <c r="O3346" s="12" t="s">
        <v>1204</v>
      </c>
      <c r="P3346" s="10" t="s">
        <v>13233</v>
      </c>
      <c r="Q3346" s="10" t="s">
        <v>13234</v>
      </c>
      <c r="R3346" s="10" t="s">
        <v>1207</v>
      </c>
      <c r="S3346" s="12" t="s">
        <v>13235</v>
      </c>
      <c r="T3346" s="10" t="s">
        <v>1209</v>
      </c>
      <c r="U3346" s="12" t="s">
        <v>31</v>
      </c>
      <c r="V3346" s="10" t="s">
        <v>13218</v>
      </c>
      <c r="W3346" s="10" t="s">
        <v>13207</v>
      </c>
      <c r="X3346" s="13" t="str">
        <f>HYPERLINK("https://my.pitchbook.com?p=435331-54P","View People Online")</f>
        <v>View People Online</v>
      </c>
    </row>
    <row r="3347">
      <c r="A3347" s="6" t="s">
        <v>21313</v>
      </c>
      <c r="B3347" s="6" t="s">
        <v>21314</v>
      </c>
      <c r="C3347" s="6" t="s">
        <v>21304</v>
      </c>
      <c r="D3347" s="6" t="s">
        <v>8484</v>
      </c>
      <c r="E3347" s="6" t="s">
        <v>13207</v>
      </c>
      <c r="F3347" s="6" t="s">
        <v>13218</v>
      </c>
      <c r="G3347" s="6" t="s">
        <v>21315</v>
      </c>
      <c r="H3347" s="7" t="s">
        <v>31</v>
      </c>
      <c r="I3347" s="7">
        <v>1.0</v>
      </c>
      <c r="J3347" s="7">
        <v>1.0</v>
      </c>
      <c r="K3347" s="7" t="s">
        <v>31</v>
      </c>
      <c r="L3347" s="8" t="s">
        <v>13743</v>
      </c>
      <c r="M3347" s="6" t="s">
        <v>21316</v>
      </c>
      <c r="N3347" s="6" t="s">
        <v>1034</v>
      </c>
      <c r="O3347" s="8" t="s">
        <v>1035</v>
      </c>
      <c r="P3347" s="6" t="s">
        <v>13745</v>
      </c>
      <c r="Q3347" s="6" t="s">
        <v>13746</v>
      </c>
      <c r="R3347" s="6" t="s">
        <v>31</v>
      </c>
      <c r="S3347" s="8" t="s">
        <v>13747</v>
      </c>
      <c r="T3347" s="6" t="s">
        <v>1034</v>
      </c>
      <c r="U3347" s="8" t="s">
        <v>13748</v>
      </c>
      <c r="V3347" s="6" t="s">
        <v>13218</v>
      </c>
      <c r="W3347" s="6" t="s">
        <v>13207</v>
      </c>
      <c r="X3347" s="9" t="str">
        <f>HYPERLINK("https://my.pitchbook.com?p=435787-84P","View People Online")</f>
        <v>View People Online</v>
      </c>
    </row>
    <row r="3348">
      <c r="A3348" s="10" t="s">
        <v>21317</v>
      </c>
      <c r="B3348" s="10" t="s">
        <v>21318</v>
      </c>
      <c r="C3348" s="10" t="s">
        <v>995</v>
      </c>
      <c r="D3348" s="10" t="s">
        <v>21319</v>
      </c>
      <c r="E3348" s="10" t="s">
        <v>13207</v>
      </c>
      <c r="F3348" s="10" t="s">
        <v>13218</v>
      </c>
      <c r="G3348" s="10" t="s">
        <v>21320</v>
      </c>
      <c r="H3348" s="11" t="s">
        <v>31</v>
      </c>
      <c r="I3348" s="11">
        <v>1.0</v>
      </c>
      <c r="J3348" s="11">
        <v>1.0</v>
      </c>
      <c r="K3348" s="11" t="s">
        <v>31</v>
      </c>
      <c r="L3348" s="12" t="s">
        <v>13252</v>
      </c>
      <c r="M3348" s="10" t="s">
        <v>21321</v>
      </c>
      <c r="N3348" s="10" t="s">
        <v>13254</v>
      </c>
      <c r="O3348" s="12" t="s">
        <v>13255</v>
      </c>
      <c r="P3348" s="10" t="s">
        <v>13256</v>
      </c>
      <c r="Q3348" s="10" t="s">
        <v>31</v>
      </c>
      <c r="R3348" s="10" t="s">
        <v>31</v>
      </c>
      <c r="S3348" s="12" t="s">
        <v>13257</v>
      </c>
      <c r="T3348" s="10" t="s">
        <v>13258</v>
      </c>
      <c r="U3348" s="12" t="s">
        <v>13259</v>
      </c>
      <c r="V3348" s="10" t="s">
        <v>13218</v>
      </c>
      <c r="W3348" s="10" t="s">
        <v>13207</v>
      </c>
      <c r="X3348" s="13" t="str">
        <f>HYPERLINK("https://my.pitchbook.com?p=435590-20P","View People Online")</f>
        <v>View People Online</v>
      </c>
    </row>
    <row r="3349">
      <c r="A3349" s="6" t="s">
        <v>21322</v>
      </c>
      <c r="B3349" s="6" t="s">
        <v>21323</v>
      </c>
      <c r="C3349" s="6" t="s">
        <v>21324</v>
      </c>
      <c r="D3349" s="6" t="s">
        <v>21325</v>
      </c>
      <c r="E3349" s="6" t="s">
        <v>13207</v>
      </c>
      <c r="F3349" s="6" t="s">
        <v>13218</v>
      </c>
      <c r="G3349" s="6" t="s">
        <v>21326</v>
      </c>
      <c r="H3349" s="7" t="s">
        <v>31</v>
      </c>
      <c r="I3349" s="7">
        <v>1.0</v>
      </c>
      <c r="J3349" s="7">
        <v>1.0</v>
      </c>
      <c r="K3349" s="7" t="s">
        <v>31</v>
      </c>
      <c r="L3349" s="8" t="s">
        <v>15050</v>
      </c>
      <c r="M3349" s="6" t="s">
        <v>21327</v>
      </c>
      <c r="N3349" s="6" t="s">
        <v>15052</v>
      </c>
      <c r="O3349" s="8" t="s">
        <v>15053</v>
      </c>
      <c r="P3349" s="6" t="s">
        <v>15054</v>
      </c>
      <c r="Q3349" s="6" t="s">
        <v>15055</v>
      </c>
      <c r="R3349" s="6" t="s">
        <v>31</v>
      </c>
      <c r="S3349" s="8" t="s">
        <v>15056</v>
      </c>
      <c r="T3349" s="6" t="s">
        <v>38</v>
      </c>
      <c r="U3349" s="8" t="s">
        <v>15057</v>
      </c>
      <c r="V3349" s="6" t="s">
        <v>13218</v>
      </c>
      <c r="W3349" s="6" t="s">
        <v>13207</v>
      </c>
      <c r="X3349" s="9" t="str">
        <f>HYPERLINK("https://my.pitchbook.com?p=435548-98P","View People Online")</f>
        <v>View People Online</v>
      </c>
    </row>
    <row r="3350">
      <c r="A3350" s="2" t="s">
        <v>21328</v>
      </c>
      <c r="B3350" s="2" t="s">
        <v>21329</v>
      </c>
      <c r="C3350" s="2" t="s">
        <v>21324</v>
      </c>
      <c r="D3350" s="2" t="s">
        <v>21330</v>
      </c>
      <c r="E3350" s="2" t="s">
        <v>13207</v>
      </c>
      <c r="F3350" s="2" t="s">
        <v>3523</v>
      </c>
      <c r="G3350" s="2" t="s">
        <v>21331</v>
      </c>
      <c r="H3350" s="3" t="s">
        <v>31</v>
      </c>
      <c r="I3350" s="3">
        <v>1.0</v>
      </c>
      <c r="J3350" s="3">
        <v>1.0</v>
      </c>
      <c r="K3350" s="3" t="s">
        <v>31</v>
      </c>
      <c r="L3350" s="4" t="s">
        <v>13673</v>
      </c>
      <c r="M3350" s="2" t="s">
        <v>21332</v>
      </c>
      <c r="N3350" s="2" t="s">
        <v>6311</v>
      </c>
      <c r="O3350" s="4" t="s">
        <v>6312</v>
      </c>
      <c r="P3350" s="2" t="s">
        <v>13675</v>
      </c>
      <c r="Q3350" s="2" t="s">
        <v>31</v>
      </c>
      <c r="R3350" s="2" t="s">
        <v>31</v>
      </c>
      <c r="S3350" s="4" t="s">
        <v>13676</v>
      </c>
      <c r="T3350" s="2" t="s">
        <v>6315</v>
      </c>
      <c r="U3350" s="4" t="s">
        <v>13677</v>
      </c>
      <c r="V3350" s="2" t="s">
        <v>3523</v>
      </c>
      <c r="W3350" s="2" t="s">
        <v>13207</v>
      </c>
      <c r="X3350" s="5" t="str">
        <f>HYPERLINK("https://my.pitchbook.com?p=455549-68P","View People Online")</f>
        <v>View People Online</v>
      </c>
    </row>
    <row r="3351">
      <c r="A3351" s="6" t="s">
        <v>21333</v>
      </c>
      <c r="B3351" s="6" t="s">
        <v>21334</v>
      </c>
      <c r="C3351" s="6" t="s">
        <v>21335</v>
      </c>
      <c r="D3351" s="6" t="s">
        <v>16640</v>
      </c>
      <c r="E3351" s="6" t="s">
        <v>13207</v>
      </c>
      <c r="F3351" s="6" t="s">
        <v>3523</v>
      </c>
      <c r="G3351" s="6" t="s">
        <v>21336</v>
      </c>
      <c r="H3351" s="7" t="s">
        <v>31</v>
      </c>
      <c r="I3351" s="7">
        <v>1.0</v>
      </c>
      <c r="J3351" s="7">
        <v>1.0</v>
      </c>
      <c r="K3351" s="7" t="s">
        <v>31</v>
      </c>
      <c r="L3351" s="8" t="s">
        <v>13714</v>
      </c>
      <c r="M3351" s="6" t="s">
        <v>21337</v>
      </c>
      <c r="N3351" s="6" t="s">
        <v>13716</v>
      </c>
      <c r="O3351" s="8" t="s">
        <v>13717</v>
      </c>
      <c r="P3351" s="6" t="s">
        <v>13718</v>
      </c>
      <c r="Q3351" s="6" t="s">
        <v>31</v>
      </c>
      <c r="R3351" s="6" t="s">
        <v>31</v>
      </c>
      <c r="S3351" s="8" t="s">
        <v>13719</v>
      </c>
      <c r="T3351" s="6" t="s">
        <v>38</v>
      </c>
      <c r="U3351" s="8" t="s">
        <v>13720</v>
      </c>
      <c r="V3351" s="6" t="s">
        <v>3523</v>
      </c>
      <c r="W3351" s="6" t="s">
        <v>13207</v>
      </c>
      <c r="X3351" s="9" t="str">
        <f>HYPERLINK("https://my.pitchbook.com?p=456085-27P","View People Online")</f>
        <v>View People Online</v>
      </c>
    </row>
    <row r="3352">
      <c r="A3352" s="2" t="s">
        <v>21338</v>
      </c>
      <c r="B3352" s="2" t="s">
        <v>21339</v>
      </c>
      <c r="C3352" s="2" t="s">
        <v>21340</v>
      </c>
      <c r="D3352" s="2" t="s">
        <v>21341</v>
      </c>
      <c r="E3352" s="2" t="s">
        <v>13207</v>
      </c>
      <c r="F3352" s="2" t="s">
        <v>3523</v>
      </c>
      <c r="G3352" s="2" t="s">
        <v>21342</v>
      </c>
      <c r="H3352" s="3" t="s">
        <v>31</v>
      </c>
      <c r="I3352" s="3">
        <v>1.0</v>
      </c>
      <c r="J3352" s="3">
        <v>1.0</v>
      </c>
      <c r="K3352" s="3" t="s">
        <v>31</v>
      </c>
      <c r="L3352" s="4" t="s">
        <v>13378</v>
      </c>
      <c r="M3352" s="2" t="s">
        <v>21343</v>
      </c>
      <c r="N3352" s="2" t="s">
        <v>429</v>
      </c>
      <c r="O3352" s="4" t="s">
        <v>430</v>
      </c>
      <c r="P3352" s="2" t="s">
        <v>13380</v>
      </c>
      <c r="Q3352" s="2" t="s">
        <v>31</v>
      </c>
      <c r="R3352" s="2" t="s">
        <v>31</v>
      </c>
      <c r="S3352" s="4" t="s">
        <v>13381</v>
      </c>
      <c r="T3352" s="2" t="s">
        <v>433</v>
      </c>
      <c r="U3352" s="4" t="s">
        <v>13382</v>
      </c>
      <c r="V3352" s="2" t="s">
        <v>3523</v>
      </c>
      <c r="W3352" s="2" t="s">
        <v>13207</v>
      </c>
      <c r="X3352" s="5" t="str">
        <f>HYPERLINK("https://my.pitchbook.com?p=436437-37P","View People Online")</f>
        <v>View People Online</v>
      </c>
    </row>
    <row r="3353">
      <c r="A3353" s="6" t="s">
        <v>21344</v>
      </c>
      <c r="B3353" s="6" t="s">
        <v>21345</v>
      </c>
      <c r="C3353" s="6" t="s">
        <v>21346</v>
      </c>
      <c r="D3353" s="6" t="s">
        <v>21347</v>
      </c>
      <c r="E3353" s="6" t="s">
        <v>13207</v>
      </c>
      <c r="F3353" s="6" t="s">
        <v>13218</v>
      </c>
      <c r="G3353" s="6" t="s">
        <v>21348</v>
      </c>
      <c r="H3353" s="7" t="s">
        <v>31</v>
      </c>
      <c r="I3353" s="7">
        <v>1.0</v>
      </c>
      <c r="J3353" s="7">
        <v>1.0</v>
      </c>
      <c r="K3353" s="7" t="s">
        <v>31</v>
      </c>
      <c r="L3353" s="8" t="s">
        <v>13916</v>
      </c>
      <c r="M3353" s="6" t="s">
        <v>21349</v>
      </c>
      <c r="N3353" s="6" t="s">
        <v>155</v>
      </c>
      <c r="O3353" s="8" t="s">
        <v>156</v>
      </c>
      <c r="P3353" s="6" t="s">
        <v>13918</v>
      </c>
      <c r="Q3353" s="6" t="s">
        <v>13919</v>
      </c>
      <c r="R3353" s="6" t="s">
        <v>64</v>
      </c>
      <c r="S3353" s="8" t="s">
        <v>1549</v>
      </c>
      <c r="T3353" s="6" t="s">
        <v>66</v>
      </c>
      <c r="U3353" s="8" t="s">
        <v>13920</v>
      </c>
      <c r="V3353" s="6" t="s">
        <v>13218</v>
      </c>
      <c r="W3353" s="6" t="s">
        <v>13207</v>
      </c>
      <c r="X3353" s="9" t="str">
        <f>HYPERLINK("https://my.pitchbook.com?p=455397-58P","View People Online")</f>
        <v>View People Online</v>
      </c>
    </row>
    <row r="3354">
      <c r="A3354" s="2" t="s">
        <v>21350</v>
      </c>
      <c r="B3354" s="2" t="s">
        <v>21351</v>
      </c>
      <c r="C3354" s="2" t="s">
        <v>4611</v>
      </c>
      <c r="D3354" s="2" t="s">
        <v>21352</v>
      </c>
      <c r="E3354" s="2" t="s">
        <v>13207</v>
      </c>
      <c r="F3354" s="2" t="s">
        <v>81</v>
      </c>
      <c r="G3354" s="2" t="s">
        <v>21353</v>
      </c>
      <c r="H3354" s="3" t="s">
        <v>31</v>
      </c>
      <c r="I3354" s="3">
        <v>2.0</v>
      </c>
      <c r="J3354" s="3" t="s">
        <v>31</v>
      </c>
      <c r="K3354" s="3" t="s">
        <v>31</v>
      </c>
      <c r="L3354" s="4" t="s">
        <v>21354</v>
      </c>
      <c r="M3354" s="2" t="s">
        <v>21355</v>
      </c>
      <c r="N3354" s="2" t="s">
        <v>1277</v>
      </c>
      <c r="O3354" s="4" t="s">
        <v>1278</v>
      </c>
      <c r="P3354" s="2" t="s">
        <v>21356</v>
      </c>
      <c r="Q3354" s="2" t="s">
        <v>1719</v>
      </c>
      <c r="R3354" s="2" t="s">
        <v>1281</v>
      </c>
      <c r="S3354" s="4" t="s">
        <v>21357</v>
      </c>
      <c r="T3354" s="2" t="s">
        <v>66</v>
      </c>
      <c r="U3354" s="4" t="s">
        <v>31</v>
      </c>
      <c r="V3354" s="2" t="s">
        <v>6793</v>
      </c>
      <c r="W3354" s="2" t="s">
        <v>21358</v>
      </c>
      <c r="X3354" s="5" t="str">
        <f>HYPERLINK("https://my.pitchbook.com?p=113156-74P","View People Online")</f>
        <v>View People Online</v>
      </c>
    </row>
    <row r="3355">
      <c r="A3355" s="14" t="s">
        <v>21359</v>
      </c>
      <c r="B3355" s="14" t="s">
        <v>21360</v>
      </c>
      <c r="C3355" s="14" t="s">
        <v>12257</v>
      </c>
      <c r="D3355" s="14" t="s">
        <v>21361</v>
      </c>
      <c r="E3355" s="14" t="s">
        <v>13207</v>
      </c>
      <c r="F3355" s="14" t="s">
        <v>13218</v>
      </c>
      <c r="G3355" s="14" t="s">
        <v>21362</v>
      </c>
      <c r="H3355" s="15" t="s">
        <v>31</v>
      </c>
      <c r="I3355" s="15">
        <v>1.0</v>
      </c>
      <c r="J3355" s="15">
        <v>1.0</v>
      </c>
      <c r="K3355" s="15" t="s">
        <v>31</v>
      </c>
      <c r="L3355" s="16" t="s">
        <v>13299</v>
      </c>
      <c r="M3355" s="14" t="s">
        <v>21363</v>
      </c>
      <c r="N3355" s="14" t="s">
        <v>601</v>
      </c>
      <c r="O3355" s="16" t="s">
        <v>602</v>
      </c>
      <c r="P3355" s="14" t="s">
        <v>13301</v>
      </c>
      <c r="Q3355" s="14" t="s">
        <v>13302</v>
      </c>
      <c r="R3355" s="14" t="s">
        <v>31</v>
      </c>
      <c r="S3355" s="16" t="s">
        <v>31</v>
      </c>
      <c r="T3355" s="14" t="s">
        <v>603</v>
      </c>
      <c r="U3355" s="16" t="s">
        <v>13303</v>
      </c>
      <c r="V3355" s="14" t="s">
        <v>13218</v>
      </c>
      <c r="W3355" s="14" t="s">
        <v>13207</v>
      </c>
      <c r="X3355" s="17" t="str">
        <f>HYPERLINK("https://my.pitchbook.com?p=148913-47P","View People Online")</f>
        <v>View People Online</v>
      </c>
    </row>
    <row r="3356">
      <c r="A3356" s="10" t="s">
        <v>21364</v>
      </c>
      <c r="B3356" s="10" t="s">
        <v>21365</v>
      </c>
      <c r="C3356" s="10" t="s">
        <v>21366</v>
      </c>
      <c r="D3356" s="10" t="s">
        <v>21367</v>
      </c>
      <c r="E3356" s="10" t="s">
        <v>13207</v>
      </c>
      <c r="F3356" s="10" t="s">
        <v>13240</v>
      </c>
      <c r="G3356" s="10" t="s">
        <v>21368</v>
      </c>
      <c r="H3356" s="11">
        <v>1.0</v>
      </c>
      <c r="I3356" s="11">
        <v>2.0</v>
      </c>
      <c r="J3356" s="11">
        <v>1.0</v>
      </c>
      <c r="K3356" s="11" t="s">
        <v>31</v>
      </c>
      <c r="L3356" s="12" t="s">
        <v>13242</v>
      </c>
      <c r="M3356" s="10" t="s">
        <v>21369</v>
      </c>
      <c r="N3356" s="10" t="s">
        <v>9865</v>
      </c>
      <c r="O3356" s="12" t="s">
        <v>9866</v>
      </c>
      <c r="P3356" s="10" t="s">
        <v>13244</v>
      </c>
      <c r="Q3356" s="10" t="s">
        <v>31</v>
      </c>
      <c r="R3356" s="10" t="s">
        <v>31</v>
      </c>
      <c r="S3356" s="12" t="s">
        <v>13245</v>
      </c>
      <c r="T3356" s="10" t="s">
        <v>38</v>
      </c>
      <c r="U3356" s="12" t="s">
        <v>13246</v>
      </c>
      <c r="V3356" s="10" t="s">
        <v>13247</v>
      </c>
      <c r="W3356" s="10" t="s">
        <v>13207</v>
      </c>
      <c r="X3356" s="13" t="str">
        <f>HYPERLINK("https://my.pitchbook.com?p=268970-05P","View People Online")</f>
        <v>View People Online</v>
      </c>
    </row>
    <row r="3357">
      <c r="A3357" s="14" t="s">
        <v>21370</v>
      </c>
      <c r="B3357" s="14" t="s">
        <v>21371</v>
      </c>
      <c r="C3357" s="14" t="s">
        <v>21372</v>
      </c>
      <c r="D3357" s="14" t="s">
        <v>21373</v>
      </c>
      <c r="E3357" s="14" t="s">
        <v>13207</v>
      </c>
      <c r="F3357" s="14" t="s">
        <v>3523</v>
      </c>
      <c r="G3357" s="14" t="s">
        <v>21374</v>
      </c>
      <c r="H3357" s="15" t="s">
        <v>31</v>
      </c>
      <c r="I3357" s="15">
        <v>1.0</v>
      </c>
      <c r="J3357" s="15">
        <v>1.0</v>
      </c>
      <c r="K3357" s="15" t="s">
        <v>31</v>
      </c>
      <c r="L3357" s="16" t="s">
        <v>14387</v>
      </c>
      <c r="M3357" s="14" t="s">
        <v>21375</v>
      </c>
      <c r="N3357" s="14" t="s">
        <v>14389</v>
      </c>
      <c r="O3357" s="16" t="s">
        <v>14390</v>
      </c>
      <c r="P3357" s="14" t="s">
        <v>14391</v>
      </c>
      <c r="Q3357" s="14" t="s">
        <v>2403</v>
      </c>
      <c r="R3357" s="14" t="s">
        <v>31</v>
      </c>
      <c r="S3357" s="16" t="s">
        <v>14392</v>
      </c>
      <c r="T3357" s="14" t="s">
        <v>14393</v>
      </c>
      <c r="U3357" s="16" t="s">
        <v>14394</v>
      </c>
      <c r="V3357" s="14" t="s">
        <v>3523</v>
      </c>
      <c r="W3357" s="14" t="s">
        <v>13207</v>
      </c>
      <c r="X3357" s="17" t="str">
        <f>HYPERLINK("https://my.pitchbook.com?p=456714-64P","View People Online")</f>
        <v>View People Online</v>
      </c>
    </row>
    <row r="3358">
      <c r="A3358" s="10" t="s">
        <v>21376</v>
      </c>
      <c r="B3358" s="10" t="s">
        <v>21377</v>
      </c>
      <c r="C3358" s="10" t="s">
        <v>21378</v>
      </c>
      <c r="D3358" s="10" t="s">
        <v>21379</v>
      </c>
      <c r="E3358" s="10" t="s">
        <v>13207</v>
      </c>
      <c r="F3358" s="10" t="s">
        <v>3523</v>
      </c>
      <c r="G3358" s="10" t="s">
        <v>21380</v>
      </c>
      <c r="H3358" s="11" t="s">
        <v>31</v>
      </c>
      <c r="I3358" s="11">
        <v>3.0</v>
      </c>
      <c r="J3358" s="11">
        <v>1.0</v>
      </c>
      <c r="K3358" s="11">
        <v>1.0</v>
      </c>
      <c r="L3358" s="12" t="s">
        <v>13231</v>
      </c>
      <c r="M3358" s="10" t="s">
        <v>21381</v>
      </c>
      <c r="N3358" s="10" t="s">
        <v>1203</v>
      </c>
      <c r="O3358" s="12" t="s">
        <v>1204</v>
      </c>
      <c r="P3358" s="10" t="s">
        <v>13233</v>
      </c>
      <c r="Q3358" s="10" t="s">
        <v>13234</v>
      </c>
      <c r="R3358" s="10" t="s">
        <v>1207</v>
      </c>
      <c r="S3358" s="12" t="s">
        <v>13235</v>
      </c>
      <c r="T3358" s="10" t="s">
        <v>1209</v>
      </c>
      <c r="U3358" s="12" t="s">
        <v>31</v>
      </c>
      <c r="V3358" s="10" t="s">
        <v>3523</v>
      </c>
      <c r="W3358" s="10" t="s">
        <v>13207</v>
      </c>
      <c r="X3358" s="13" t="str">
        <f>HYPERLINK("https://my.pitchbook.com?p=273545-29P","View People Online")</f>
        <v>View People Online</v>
      </c>
    </row>
    <row r="3359">
      <c r="A3359" s="6" t="s">
        <v>21382</v>
      </c>
      <c r="B3359" s="6" t="s">
        <v>21383</v>
      </c>
      <c r="C3359" s="6" t="s">
        <v>21384</v>
      </c>
      <c r="D3359" s="6" t="s">
        <v>21195</v>
      </c>
      <c r="E3359" s="6" t="s">
        <v>13207</v>
      </c>
      <c r="F3359" s="6" t="s">
        <v>318</v>
      </c>
      <c r="G3359" s="6" t="s">
        <v>21385</v>
      </c>
      <c r="H3359" s="7" t="s">
        <v>31</v>
      </c>
      <c r="I3359" s="7">
        <v>1.0</v>
      </c>
      <c r="J3359" s="7">
        <v>1.0</v>
      </c>
      <c r="K3359" s="7" t="s">
        <v>31</v>
      </c>
      <c r="L3359" s="8" t="s">
        <v>13274</v>
      </c>
      <c r="M3359" s="6" t="s">
        <v>31</v>
      </c>
      <c r="N3359" s="6" t="s">
        <v>1181</v>
      </c>
      <c r="O3359" s="8" t="s">
        <v>1182</v>
      </c>
      <c r="P3359" s="6" t="s">
        <v>13276</v>
      </c>
      <c r="Q3359" s="6" t="s">
        <v>31</v>
      </c>
      <c r="R3359" s="6" t="s">
        <v>1185</v>
      </c>
      <c r="S3359" s="8" t="s">
        <v>4438</v>
      </c>
      <c r="T3359" s="6" t="s">
        <v>66</v>
      </c>
      <c r="U3359" s="8" t="s">
        <v>13277</v>
      </c>
      <c r="V3359" s="6" t="s">
        <v>318</v>
      </c>
      <c r="W3359" s="6" t="s">
        <v>13207</v>
      </c>
      <c r="X3359" s="9" t="str">
        <f>HYPERLINK("https://my.pitchbook.com?p=456016-87P","View People Online")</f>
        <v>View People Online</v>
      </c>
    </row>
    <row r="3360">
      <c r="A3360" s="10" t="s">
        <v>21386</v>
      </c>
      <c r="B3360" s="10" t="s">
        <v>21387</v>
      </c>
      <c r="C3360" s="10" t="s">
        <v>9546</v>
      </c>
      <c r="D3360" s="10" t="s">
        <v>21388</v>
      </c>
      <c r="E3360" s="10" t="s">
        <v>13207</v>
      </c>
      <c r="F3360" s="10" t="s">
        <v>13218</v>
      </c>
      <c r="G3360" s="10" t="s">
        <v>21389</v>
      </c>
      <c r="H3360" s="11" t="s">
        <v>31</v>
      </c>
      <c r="I3360" s="11">
        <v>1.0</v>
      </c>
      <c r="J3360" s="11">
        <v>1.0</v>
      </c>
      <c r="K3360" s="11" t="s">
        <v>31</v>
      </c>
      <c r="L3360" s="12" t="s">
        <v>15991</v>
      </c>
      <c r="M3360" s="10" t="s">
        <v>21390</v>
      </c>
      <c r="N3360" s="10" t="s">
        <v>15993</v>
      </c>
      <c r="O3360" s="12" t="s">
        <v>15994</v>
      </c>
      <c r="P3360" s="10" t="s">
        <v>15995</v>
      </c>
      <c r="Q3360" s="10" t="s">
        <v>15996</v>
      </c>
      <c r="R3360" s="10" t="s">
        <v>15997</v>
      </c>
      <c r="S3360" s="12" t="s">
        <v>15998</v>
      </c>
      <c r="T3360" s="10" t="s">
        <v>1019</v>
      </c>
      <c r="U3360" s="12" t="s">
        <v>15999</v>
      </c>
      <c r="V3360" s="10" t="s">
        <v>13218</v>
      </c>
      <c r="W3360" s="10" t="s">
        <v>13207</v>
      </c>
      <c r="X3360" s="13" t="str">
        <f>HYPERLINK("https://my.pitchbook.com?p=435606-22P","View People Online")</f>
        <v>View People Online</v>
      </c>
    </row>
    <row r="3361">
      <c r="A3361" s="6" t="s">
        <v>21391</v>
      </c>
      <c r="B3361" s="6" t="s">
        <v>21392</v>
      </c>
      <c r="C3361" s="6" t="s">
        <v>21393</v>
      </c>
      <c r="D3361" s="6" t="s">
        <v>21394</v>
      </c>
      <c r="E3361" s="6" t="s">
        <v>13207</v>
      </c>
      <c r="F3361" s="6" t="s">
        <v>21395</v>
      </c>
      <c r="G3361" s="6" t="s">
        <v>21396</v>
      </c>
      <c r="H3361" s="7" t="s">
        <v>31</v>
      </c>
      <c r="I3361" s="7">
        <v>1.0</v>
      </c>
      <c r="J3361" s="7">
        <v>1.0</v>
      </c>
      <c r="K3361" s="7" t="s">
        <v>31</v>
      </c>
      <c r="L3361" s="8" t="s">
        <v>13345</v>
      </c>
      <c r="M3361" s="6" t="s">
        <v>21397</v>
      </c>
      <c r="N3361" s="6" t="s">
        <v>2764</v>
      </c>
      <c r="O3361" s="8" t="s">
        <v>2765</v>
      </c>
      <c r="P3361" s="6" t="s">
        <v>13347</v>
      </c>
      <c r="Q3361" s="6" t="s">
        <v>31</v>
      </c>
      <c r="R3361" s="6" t="s">
        <v>31</v>
      </c>
      <c r="S3361" s="8" t="s">
        <v>13348</v>
      </c>
      <c r="T3361" s="6" t="s">
        <v>2768</v>
      </c>
      <c r="U3361" s="8" t="s">
        <v>13349</v>
      </c>
      <c r="V3361" s="6" t="s">
        <v>21398</v>
      </c>
      <c r="W3361" s="6" t="s">
        <v>13207</v>
      </c>
      <c r="X3361" s="9" t="str">
        <f>HYPERLINK("https://my.pitchbook.com?p=444282-94P","View People Online")</f>
        <v>View People Online</v>
      </c>
    </row>
    <row r="3362">
      <c r="A3362" s="2" t="s">
        <v>21399</v>
      </c>
      <c r="B3362" s="2" t="s">
        <v>21400</v>
      </c>
      <c r="C3362" s="2" t="s">
        <v>21401</v>
      </c>
      <c r="D3362" s="2" t="s">
        <v>15846</v>
      </c>
      <c r="E3362" s="2" t="s">
        <v>13207</v>
      </c>
      <c r="F3362" s="2" t="s">
        <v>13218</v>
      </c>
      <c r="G3362" s="2" t="s">
        <v>21402</v>
      </c>
      <c r="H3362" s="3" t="s">
        <v>31</v>
      </c>
      <c r="I3362" s="3">
        <v>1.0</v>
      </c>
      <c r="J3362" s="3">
        <v>1.0</v>
      </c>
      <c r="K3362" s="3" t="s">
        <v>31</v>
      </c>
      <c r="L3362" s="4" t="s">
        <v>13231</v>
      </c>
      <c r="M3362" s="2" t="s">
        <v>21403</v>
      </c>
      <c r="N3362" s="2" t="s">
        <v>1203</v>
      </c>
      <c r="O3362" s="4" t="s">
        <v>1204</v>
      </c>
      <c r="P3362" s="2" t="s">
        <v>13233</v>
      </c>
      <c r="Q3362" s="2" t="s">
        <v>13234</v>
      </c>
      <c r="R3362" s="2" t="s">
        <v>1207</v>
      </c>
      <c r="S3362" s="4" t="s">
        <v>13235</v>
      </c>
      <c r="T3362" s="2" t="s">
        <v>1209</v>
      </c>
      <c r="U3362" s="4" t="s">
        <v>31</v>
      </c>
      <c r="V3362" s="2" t="s">
        <v>13218</v>
      </c>
      <c r="W3362" s="2" t="s">
        <v>13207</v>
      </c>
      <c r="X3362" s="5" t="str">
        <f>HYPERLINK("https://my.pitchbook.com?p=435427-66P","View People Online")</f>
        <v>View People Online</v>
      </c>
    </row>
    <row r="3363">
      <c r="A3363" s="6" t="s">
        <v>21404</v>
      </c>
      <c r="B3363" s="6" t="s">
        <v>21405</v>
      </c>
      <c r="C3363" s="6" t="s">
        <v>21406</v>
      </c>
      <c r="D3363" s="6" t="s">
        <v>21407</v>
      </c>
      <c r="E3363" s="6" t="s">
        <v>13207</v>
      </c>
      <c r="F3363" s="6" t="s">
        <v>29</v>
      </c>
      <c r="G3363" s="6" t="s">
        <v>21408</v>
      </c>
      <c r="H3363" s="7" t="s">
        <v>31</v>
      </c>
      <c r="I3363" s="7">
        <v>1.0</v>
      </c>
      <c r="J3363" s="7">
        <v>1.0</v>
      </c>
      <c r="K3363" s="7" t="s">
        <v>31</v>
      </c>
      <c r="L3363" s="8" t="s">
        <v>13399</v>
      </c>
      <c r="M3363" s="6" t="s">
        <v>21409</v>
      </c>
      <c r="N3363" s="6" t="s">
        <v>13401</v>
      </c>
      <c r="O3363" s="8" t="s">
        <v>13402</v>
      </c>
      <c r="P3363" s="6" t="s">
        <v>13403</v>
      </c>
      <c r="Q3363" s="6" t="s">
        <v>13404</v>
      </c>
      <c r="R3363" s="6" t="s">
        <v>31</v>
      </c>
      <c r="S3363" s="8" t="s">
        <v>13405</v>
      </c>
      <c r="T3363" s="6" t="s">
        <v>13406</v>
      </c>
      <c r="U3363" s="8" t="s">
        <v>13407</v>
      </c>
      <c r="V3363" s="6" t="s">
        <v>29</v>
      </c>
      <c r="W3363" s="6" t="s">
        <v>13207</v>
      </c>
      <c r="X3363" s="9" t="str">
        <f>HYPERLINK("https://my.pitchbook.com?p=435221-56P","View People Online")</f>
        <v>View People Online</v>
      </c>
    </row>
    <row r="3364">
      <c r="A3364" s="2" t="s">
        <v>21410</v>
      </c>
      <c r="B3364" s="2" t="s">
        <v>21411</v>
      </c>
      <c r="C3364" s="2" t="s">
        <v>21412</v>
      </c>
      <c r="D3364" s="2" t="s">
        <v>214</v>
      </c>
      <c r="E3364" s="2" t="s">
        <v>13207</v>
      </c>
      <c r="F3364" s="2" t="s">
        <v>13218</v>
      </c>
      <c r="G3364" s="2" t="s">
        <v>21413</v>
      </c>
      <c r="H3364" s="3" t="s">
        <v>31</v>
      </c>
      <c r="I3364" s="3">
        <v>1.0</v>
      </c>
      <c r="J3364" s="3">
        <v>1.0</v>
      </c>
      <c r="K3364" s="3" t="s">
        <v>31</v>
      </c>
      <c r="L3364" s="4" t="s">
        <v>13657</v>
      </c>
      <c r="M3364" s="2" t="s">
        <v>21414</v>
      </c>
      <c r="N3364" s="2" t="s">
        <v>13659</v>
      </c>
      <c r="O3364" s="4" t="s">
        <v>13660</v>
      </c>
      <c r="P3364" s="2" t="s">
        <v>13661</v>
      </c>
      <c r="Q3364" s="2" t="s">
        <v>31</v>
      </c>
      <c r="R3364" s="2" t="s">
        <v>31</v>
      </c>
      <c r="S3364" s="4" t="s">
        <v>13662</v>
      </c>
      <c r="T3364" s="2" t="s">
        <v>38</v>
      </c>
      <c r="U3364" s="4" t="s">
        <v>13663</v>
      </c>
      <c r="V3364" s="2" t="s">
        <v>13218</v>
      </c>
      <c r="W3364" s="2" t="s">
        <v>13207</v>
      </c>
      <c r="X3364" s="5" t="str">
        <f>HYPERLINK("https://my.pitchbook.com?p=456876-73P","View People Online")</f>
        <v>View People Online</v>
      </c>
    </row>
    <row r="3365">
      <c r="A3365" s="6" t="s">
        <v>21415</v>
      </c>
      <c r="B3365" s="6" t="s">
        <v>21416</v>
      </c>
      <c r="C3365" s="6" t="s">
        <v>5240</v>
      </c>
      <c r="D3365" s="6" t="s">
        <v>21417</v>
      </c>
      <c r="E3365" s="6" t="s">
        <v>13207</v>
      </c>
      <c r="F3365" s="6" t="s">
        <v>13218</v>
      </c>
      <c r="G3365" s="6" t="s">
        <v>21418</v>
      </c>
      <c r="H3365" s="7" t="s">
        <v>31</v>
      </c>
      <c r="I3365" s="7">
        <v>1.0</v>
      </c>
      <c r="J3365" s="7">
        <v>1.0</v>
      </c>
      <c r="K3365" s="7" t="s">
        <v>31</v>
      </c>
      <c r="L3365" s="8" t="s">
        <v>13496</v>
      </c>
      <c r="M3365" s="6" t="s">
        <v>21419</v>
      </c>
      <c r="N3365" s="6" t="s">
        <v>75</v>
      </c>
      <c r="O3365" s="8" t="s">
        <v>76</v>
      </c>
      <c r="P3365" s="6" t="s">
        <v>13498</v>
      </c>
      <c r="Q3365" s="6" t="s">
        <v>31</v>
      </c>
      <c r="R3365" s="6" t="s">
        <v>75</v>
      </c>
      <c r="S3365" s="8" t="s">
        <v>195</v>
      </c>
      <c r="T3365" s="6" t="s">
        <v>66</v>
      </c>
      <c r="U3365" s="8" t="s">
        <v>13499</v>
      </c>
      <c r="V3365" s="6" t="s">
        <v>21420</v>
      </c>
      <c r="W3365" s="6" t="s">
        <v>13207</v>
      </c>
      <c r="X3365" s="9" t="str">
        <f>HYPERLINK("https://my.pitchbook.com?p=118757-17P","View People Online")</f>
        <v>View People Online</v>
      </c>
    </row>
    <row r="3366">
      <c r="A3366" s="10" t="s">
        <v>21421</v>
      </c>
      <c r="B3366" s="10" t="s">
        <v>21422</v>
      </c>
      <c r="C3366" s="10" t="s">
        <v>5240</v>
      </c>
      <c r="D3366" s="10" t="s">
        <v>21423</v>
      </c>
      <c r="E3366" s="10" t="s">
        <v>13207</v>
      </c>
      <c r="F3366" s="10" t="s">
        <v>13218</v>
      </c>
      <c r="G3366" s="10" t="s">
        <v>21424</v>
      </c>
      <c r="H3366" s="11" t="s">
        <v>31</v>
      </c>
      <c r="I3366" s="11">
        <v>1.0</v>
      </c>
      <c r="J3366" s="11">
        <v>1.0</v>
      </c>
      <c r="K3366" s="11" t="s">
        <v>31</v>
      </c>
      <c r="L3366" s="12" t="s">
        <v>13274</v>
      </c>
      <c r="M3366" s="10" t="s">
        <v>21425</v>
      </c>
      <c r="N3366" s="10" t="s">
        <v>1181</v>
      </c>
      <c r="O3366" s="12" t="s">
        <v>1182</v>
      </c>
      <c r="P3366" s="10" t="s">
        <v>13276</v>
      </c>
      <c r="Q3366" s="10" t="s">
        <v>31</v>
      </c>
      <c r="R3366" s="10" t="s">
        <v>1185</v>
      </c>
      <c r="S3366" s="12" t="s">
        <v>4438</v>
      </c>
      <c r="T3366" s="10" t="s">
        <v>66</v>
      </c>
      <c r="U3366" s="12" t="s">
        <v>13277</v>
      </c>
      <c r="V3366" s="10" t="s">
        <v>14182</v>
      </c>
      <c r="W3366" s="10" t="s">
        <v>13207</v>
      </c>
      <c r="X3366" s="13" t="str">
        <f>HYPERLINK("https://my.pitchbook.com?p=44351-11P","View People Online")</f>
        <v>View People Online</v>
      </c>
    </row>
    <row r="3367">
      <c r="A3367" s="6" t="s">
        <v>21426</v>
      </c>
      <c r="B3367" s="6" t="s">
        <v>21427</v>
      </c>
      <c r="C3367" s="6" t="s">
        <v>4015</v>
      </c>
      <c r="D3367" s="6" t="s">
        <v>21428</v>
      </c>
      <c r="E3367" s="6" t="s">
        <v>13207</v>
      </c>
      <c r="F3367" s="6" t="s">
        <v>3523</v>
      </c>
      <c r="G3367" s="6" t="s">
        <v>21429</v>
      </c>
      <c r="H3367" s="7" t="s">
        <v>31</v>
      </c>
      <c r="I3367" s="7">
        <v>1.0</v>
      </c>
      <c r="J3367" s="7">
        <v>1.0</v>
      </c>
      <c r="K3367" s="7" t="s">
        <v>31</v>
      </c>
      <c r="L3367" s="8" t="s">
        <v>13209</v>
      </c>
      <c r="M3367" s="6" t="s">
        <v>21430</v>
      </c>
      <c r="N3367" s="6" t="s">
        <v>4232</v>
      </c>
      <c r="O3367" s="8" t="s">
        <v>4233</v>
      </c>
      <c r="P3367" s="6" t="s">
        <v>13211</v>
      </c>
      <c r="Q3367" s="6" t="s">
        <v>31</v>
      </c>
      <c r="R3367" s="6" t="s">
        <v>4236</v>
      </c>
      <c r="S3367" s="8" t="s">
        <v>13212</v>
      </c>
      <c r="T3367" s="6" t="s">
        <v>66</v>
      </c>
      <c r="U3367" s="8" t="s">
        <v>13213</v>
      </c>
      <c r="V3367" s="6" t="s">
        <v>3523</v>
      </c>
      <c r="W3367" s="6" t="s">
        <v>13207</v>
      </c>
      <c r="X3367" s="9" t="str">
        <f>HYPERLINK("https://my.pitchbook.com?p=456706-45P","View People Online")</f>
        <v>View People Online</v>
      </c>
    </row>
    <row r="3368">
      <c r="A3368" s="10" t="s">
        <v>21431</v>
      </c>
      <c r="B3368" s="10" t="s">
        <v>21432</v>
      </c>
      <c r="C3368" s="10" t="s">
        <v>4015</v>
      </c>
      <c r="D3368" s="10" t="s">
        <v>21433</v>
      </c>
      <c r="E3368" s="10" t="s">
        <v>13207</v>
      </c>
      <c r="F3368" s="10" t="s">
        <v>3523</v>
      </c>
      <c r="G3368" s="10" t="s">
        <v>21434</v>
      </c>
      <c r="H3368" s="11" t="s">
        <v>31</v>
      </c>
      <c r="I3368" s="11">
        <v>1.0</v>
      </c>
      <c r="J3368" s="11">
        <v>1.0</v>
      </c>
      <c r="K3368" s="11" t="s">
        <v>31</v>
      </c>
      <c r="L3368" s="12" t="s">
        <v>13281</v>
      </c>
      <c r="M3368" s="10" t="s">
        <v>31</v>
      </c>
      <c r="N3368" s="10" t="s">
        <v>1277</v>
      </c>
      <c r="O3368" s="12" t="s">
        <v>1278</v>
      </c>
      <c r="P3368" s="10" t="s">
        <v>13283</v>
      </c>
      <c r="Q3368" s="10" t="s">
        <v>13284</v>
      </c>
      <c r="R3368" s="10" t="s">
        <v>1281</v>
      </c>
      <c r="S3368" s="12" t="s">
        <v>1282</v>
      </c>
      <c r="T3368" s="10" t="s">
        <v>66</v>
      </c>
      <c r="U3368" s="12" t="s">
        <v>13285</v>
      </c>
      <c r="V3368" s="10" t="s">
        <v>3523</v>
      </c>
      <c r="W3368" s="10" t="s">
        <v>13207</v>
      </c>
      <c r="X3368" s="13" t="str">
        <f>HYPERLINK("https://my.pitchbook.com?p=434945-71P","View People Online")</f>
        <v>View People Online</v>
      </c>
    </row>
    <row r="3369">
      <c r="A3369" s="14" t="s">
        <v>21435</v>
      </c>
      <c r="B3369" s="14" t="s">
        <v>21436</v>
      </c>
      <c r="C3369" s="14" t="s">
        <v>4015</v>
      </c>
      <c r="D3369" s="14" t="s">
        <v>21437</v>
      </c>
      <c r="E3369" s="14" t="s">
        <v>13207</v>
      </c>
      <c r="F3369" s="14" t="s">
        <v>3523</v>
      </c>
      <c r="G3369" s="14" t="s">
        <v>21438</v>
      </c>
      <c r="H3369" s="15" t="s">
        <v>31</v>
      </c>
      <c r="I3369" s="15">
        <v>1.0</v>
      </c>
      <c r="J3369" s="15">
        <v>1.0</v>
      </c>
      <c r="K3369" s="15" t="s">
        <v>31</v>
      </c>
      <c r="L3369" s="16" t="s">
        <v>13209</v>
      </c>
      <c r="M3369" s="14" t="s">
        <v>21439</v>
      </c>
      <c r="N3369" s="14" t="s">
        <v>4232</v>
      </c>
      <c r="O3369" s="16" t="s">
        <v>4233</v>
      </c>
      <c r="P3369" s="14" t="s">
        <v>13211</v>
      </c>
      <c r="Q3369" s="14" t="s">
        <v>31</v>
      </c>
      <c r="R3369" s="14" t="s">
        <v>4236</v>
      </c>
      <c r="S3369" s="16" t="s">
        <v>13212</v>
      </c>
      <c r="T3369" s="14" t="s">
        <v>66</v>
      </c>
      <c r="U3369" s="16" t="s">
        <v>13213</v>
      </c>
      <c r="V3369" s="14" t="s">
        <v>3523</v>
      </c>
      <c r="W3369" s="14" t="s">
        <v>13207</v>
      </c>
      <c r="X3369" s="17" t="str">
        <f>HYPERLINK("https://my.pitchbook.com?p=455599-09P","View People Online")</f>
        <v>View People Online</v>
      </c>
    </row>
    <row r="3370">
      <c r="A3370" s="2" t="s">
        <v>21440</v>
      </c>
      <c r="B3370" s="2" t="s">
        <v>21441</v>
      </c>
      <c r="C3370" s="2" t="s">
        <v>4015</v>
      </c>
      <c r="D3370" s="2" t="s">
        <v>4692</v>
      </c>
      <c r="E3370" s="2" t="s">
        <v>13207</v>
      </c>
      <c r="F3370" s="2" t="s">
        <v>3523</v>
      </c>
      <c r="G3370" s="2" t="s">
        <v>21442</v>
      </c>
      <c r="H3370" s="3" t="s">
        <v>31</v>
      </c>
      <c r="I3370" s="3">
        <v>1.0</v>
      </c>
      <c r="J3370" s="3">
        <v>1.0</v>
      </c>
      <c r="K3370" s="3" t="s">
        <v>31</v>
      </c>
      <c r="L3370" s="4" t="s">
        <v>13299</v>
      </c>
      <c r="M3370" s="2" t="s">
        <v>21443</v>
      </c>
      <c r="N3370" s="2" t="s">
        <v>601</v>
      </c>
      <c r="O3370" s="4" t="s">
        <v>602</v>
      </c>
      <c r="P3370" s="2" t="s">
        <v>13301</v>
      </c>
      <c r="Q3370" s="2" t="s">
        <v>13302</v>
      </c>
      <c r="R3370" s="2" t="s">
        <v>31</v>
      </c>
      <c r="S3370" s="4" t="s">
        <v>31</v>
      </c>
      <c r="T3370" s="2" t="s">
        <v>603</v>
      </c>
      <c r="U3370" s="4" t="s">
        <v>13303</v>
      </c>
      <c r="V3370" s="2" t="s">
        <v>3523</v>
      </c>
      <c r="W3370" s="2" t="s">
        <v>13207</v>
      </c>
      <c r="X3370" s="5" t="str">
        <f>HYPERLINK("https://my.pitchbook.com?p=456517-99P","View People Online")</f>
        <v>View People Online</v>
      </c>
    </row>
    <row r="3371">
      <c r="A3371" s="14" t="s">
        <v>21444</v>
      </c>
      <c r="B3371" s="14" t="s">
        <v>21445</v>
      </c>
      <c r="C3371" s="14" t="s">
        <v>21446</v>
      </c>
      <c r="D3371" s="14" t="s">
        <v>21447</v>
      </c>
      <c r="E3371" s="14" t="s">
        <v>13207</v>
      </c>
      <c r="F3371" s="14" t="s">
        <v>29</v>
      </c>
      <c r="G3371" s="14" t="s">
        <v>21448</v>
      </c>
      <c r="H3371" s="15" t="s">
        <v>31</v>
      </c>
      <c r="I3371" s="15">
        <v>1.0</v>
      </c>
      <c r="J3371" s="15">
        <v>1.0</v>
      </c>
      <c r="K3371" s="15" t="s">
        <v>31</v>
      </c>
      <c r="L3371" s="16" t="s">
        <v>13263</v>
      </c>
      <c r="M3371" s="14" t="s">
        <v>21449</v>
      </c>
      <c r="N3371" s="14" t="s">
        <v>1005</v>
      </c>
      <c r="O3371" s="16" t="s">
        <v>1006</v>
      </c>
      <c r="P3371" s="14" t="s">
        <v>13265</v>
      </c>
      <c r="Q3371" s="14" t="s">
        <v>13266</v>
      </c>
      <c r="R3371" s="14" t="s">
        <v>13267</v>
      </c>
      <c r="S3371" s="16" t="s">
        <v>13268</v>
      </c>
      <c r="T3371" s="14" t="s">
        <v>1010</v>
      </c>
      <c r="U3371" s="16" t="s">
        <v>13269</v>
      </c>
      <c r="V3371" s="14" t="s">
        <v>29</v>
      </c>
      <c r="W3371" s="14" t="s">
        <v>13207</v>
      </c>
      <c r="X3371" s="17" t="str">
        <f>HYPERLINK("https://my.pitchbook.com?p=456228-10P","View People Online")</f>
        <v>View People Online</v>
      </c>
    </row>
    <row r="3372">
      <c r="A3372" s="10" t="s">
        <v>21450</v>
      </c>
      <c r="B3372" s="10" t="s">
        <v>21451</v>
      </c>
      <c r="C3372" s="10" t="s">
        <v>21446</v>
      </c>
      <c r="D3372" s="10" t="s">
        <v>21452</v>
      </c>
      <c r="E3372" s="10" t="s">
        <v>13207</v>
      </c>
      <c r="F3372" s="10" t="s">
        <v>13218</v>
      </c>
      <c r="G3372" s="10" t="s">
        <v>21453</v>
      </c>
      <c r="H3372" s="11" t="s">
        <v>31</v>
      </c>
      <c r="I3372" s="11">
        <v>1.0</v>
      </c>
      <c r="J3372" s="11">
        <v>1.0</v>
      </c>
      <c r="K3372" s="11" t="s">
        <v>31</v>
      </c>
      <c r="L3372" s="12" t="s">
        <v>13263</v>
      </c>
      <c r="M3372" s="10" t="s">
        <v>21454</v>
      </c>
      <c r="N3372" s="10" t="s">
        <v>1005</v>
      </c>
      <c r="O3372" s="12" t="s">
        <v>1006</v>
      </c>
      <c r="P3372" s="10" t="s">
        <v>13265</v>
      </c>
      <c r="Q3372" s="10" t="s">
        <v>13266</v>
      </c>
      <c r="R3372" s="10" t="s">
        <v>13267</v>
      </c>
      <c r="S3372" s="12" t="s">
        <v>13268</v>
      </c>
      <c r="T3372" s="10" t="s">
        <v>1010</v>
      </c>
      <c r="U3372" s="12" t="s">
        <v>13269</v>
      </c>
      <c r="V3372" s="10" t="s">
        <v>13218</v>
      </c>
      <c r="W3372" s="10" t="s">
        <v>13207</v>
      </c>
      <c r="X3372" s="13" t="str">
        <f>HYPERLINK("https://my.pitchbook.com?p=456832-81P","View People Online")</f>
        <v>View People Online</v>
      </c>
    </row>
    <row r="3373">
      <c r="A3373" s="6" t="s">
        <v>21455</v>
      </c>
      <c r="B3373" s="6" t="s">
        <v>21456</v>
      </c>
      <c r="C3373" s="6" t="s">
        <v>21457</v>
      </c>
      <c r="D3373" s="6" t="s">
        <v>21458</v>
      </c>
      <c r="E3373" s="6" t="s">
        <v>13207</v>
      </c>
      <c r="F3373" s="6" t="s">
        <v>13307</v>
      </c>
      <c r="G3373" s="6" t="s">
        <v>21459</v>
      </c>
      <c r="H3373" s="7" t="s">
        <v>31</v>
      </c>
      <c r="I3373" s="7">
        <v>1.0</v>
      </c>
      <c r="J3373" s="7">
        <v>1.0</v>
      </c>
      <c r="K3373" s="7" t="s">
        <v>31</v>
      </c>
      <c r="L3373" s="8" t="s">
        <v>13263</v>
      </c>
      <c r="M3373" s="6" t="s">
        <v>21460</v>
      </c>
      <c r="N3373" s="6" t="s">
        <v>1005</v>
      </c>
      <c r="O3373" s="8" t="s">
        <v>1006</v>
      </c>
      <c r="P3373" s="6" t="s">
        <v>13265</v>
      </c>
      <c r="Q3373" s="6" t="s">
        <v>13266</v>
      </c>
      <c r="R3373" s="6" t="s">
        <v>13267</v>
      </c>
      <c r="S3373" s="8" t="s">
        <v>13268</v>
      </c>
      <c r="T3373" s="6" t="s">
        <v>1010</v>
      </c>
      <c r="U3373" s="8" t="s">
        <v>13269</v>
      </c>
      <c r="V3373" s="6" t="s">
        <v>13317</v>
      </c>
      <c r="W3373" s="6" t="s">
        <v>13207</v>
      </c>
      <c r="X3373" s="9" t="str">
        <f>HYPERLINK("https://my.pitchbook.com?p=455470-84P","View People Online")</f>
        <v>View People Online</v>
      </c>
    </row>
    <row r="3374">
      <c r="A3374" s="2" t="s">
        <v>21461</v>
      </c>
      <c r="B3374" s="2" t="s">
        <v>21462</v>
      </c>
      <c r="C3374" s="2" t="s">
        <v>21463</v>
      </c>
      <c r="D3374" s="2" t="s">
        <v>21464</v>
      </c>
      <c r="E3374" s="2" t="s">
        <v>13207</v>
      </c>
      <c r="F3374" s="2" t="s">
        <v>3523</v>
      </c>
      <c r="G3374" s="2" t="s">
        <v>21465</v>
      </c>
      <c r="H3374" s="3" t="s">
        <v>31</v>
      </c>
      <c r="I3374" s="3">
        <v>1.0</v>
      </c>
      <c r="J3374" s="3">
        <v>1.0</v>
      </c>
      <c r="K3374" s="3" t="s">
        <v>31</v>
      </c>
      <c r="L3374" s="4" t="s">
        <v>13734</v>
      </c>
      <c r="M3374" s="2" t="s">
        <v>21466</v>
      </c>
      <c r="N3374" s="2" t="s">
        <v>2754</v>
      </c>
      <c r="O3374" s="4" t="s">
        <v>2755</v>
      </c>
      <c r="P3374" s="2" t="s">
        <v>13736</v>
      </c>
      <c r="Q3374" s="2" t="s">
        <v>31</v>
      </c>
      <c r="R3374" s="2" t="s">
        <v>31</v>
      </c>
      <c r="S3374" s="4" t="s">
        <v>13737</v>
      </c>
      <c r="T3374" s="2" t="s">
        <v>38</v>
      </c>
      <c r="U3374" s="4" t="s">
        <v>13738</v>
      </c>
      <c r="V3374" s="2" t="s">
        <v>3523</v>
      </c>
      <c r="W3374" s="2" t="s">
        <v>13207</v>
      </c>
      <c r="X3374" s="5" t="str">
        <f>HYPERLINK("https://my.pitchbook.com?p=455356-72P","View People Online")</f>
        <v>View People Online</v>
      </c>
    </row>
    <row r="3375">
      <c r="A3375" s="6" t="s">
        <v>21467</v>
      </c>
      <c r="B3375" s="6" t="s">
        <v>21468</v>
      </c>
      <c r="C3375" s="6" t="s">
        <v>21469</v>
      </c>
      <c r="D3375" s="6" t="s">
        <v>21470</v>
      </c>
      <c r="E3375" s="6" t="s">
        <v>13207</v>
      </c>
      <c r="F3375" s="6" t="s">
        <v>3523</v>
      </c>
      <c r="G3375" s="6" t="s">
        <v>21471</v>
      </c>
      <c r="H3375" s="7" t="s">
        <v>31</v>
      </c>
      <c r="I3375" s="7">
        <v>1.0</v>
      </c>
      <c r="J3375" s="7">
        <v>1.0</v>
      </c>
      <c r="K3375" s="7" t="s">
        <v>31</v>
      </c>
      <c r="L3375" s="8" t="s">
        <v>13743</v>
      </c>
      <c r="M3375" s="6" t="s">
        <v>21472</v>
      </c>
      <c r="N3375" s="6" t="s">
        <v>1034</v>
      </c>
      <c r="O3375" s="8" t="s">
        <v>1035</v>
      </c>
      <c r="P3375" s="6" t="s">
        <v>13745</v>
      </c>
      <c r="Q3375" s="6" t="s">
        <v>13746</v>
      </c>
      <c r="R3375" s="6" t="s">
        <v>31</v>
      </c>
      <c r="S3375" s="8" t="s">
        <v>13747</v>
      </c>
      <c r="T3375" s="6" t="s">
        <v>1034</v>
      </c>
      <c r="U3375" s="8" t="s">
        <v>13748</v>
      </c>
      <c r="V3375" s="6" t="s">
        <v>21473</v>
      </c>
      <c r="W3375" s="6" t="s">
        <v>13207</v>
      </c>
      <c r="X3375" s="9" t="str">
        <f>HYPERLINK("https://my.pitchbook.com?p=435756-79P","View People Online")</f>
        <v>View People Online</v>
      </c>
    </row>
    <row r="3376">
      <c r="A3376" s="2" t="s">
        <v>21474</v>
      </c>
      <c r="B3376" s="2" t="s">
        <v>21475</v>
      </c>
      <c r="C3376" s="2" t="s">
        <v>21476</v>
      </c>
      <c r="D3376" s="2" t="s">
        <v>21000</v>
      </c>
      <c r="E3376" s="2" t="s">
        <v>13207</v>
      </c>
      <c r="F3376" s="2" t="s">
        <v>3523</v>
      </c>
      <c r="G3376" s="2" t="s">
        <v>21477</v>
      </c>
      <c r="H3376" s="3" t="s">
        <v>31</v>
      </c>
      <c r="I3376" s="3">
        <v>1.0</v>
      </c>
      <c r="J3376" s="3">
        <v>1.0</v>
      </c>
      <c r="K3376" s="3" t="s">
        <v>31</v>
      </c>
      <c r="L3376" s="4" t="s">
        <v>18810</v>
      </c>
      <c r="M3376" s="2" t="s">
        <v>21478</v>
      </c>
      <c r="N3376" s="2" t="s">
        <v>18812</v>
      </c>
      <c r="O3376" s="4" t="s">
        <v>18813</v>
      </c>
      <c r="P3376" s="2" t="s">
        <v>18814</v>
      </c>
      <c r="Q3376" s="2" t="s">
        <v>18815</v>
      </c>
      <c r="R3376" s="2" t="s">
        <v>18816</v>
      </c>
      <c r="S3376" s="4" t="s">
        <v>18817</v>
      </c>
      <c r="T3376" s="2" t="s">
        <v>66</v>
      </c>
      <c r="U3376" s="4" t="s">
        <v>18818</v>
      </c>
      <c r="V3376" s="2" t="s">
        <v>3523</v>
      </c>
      <c r="W3376" s="2" t="s">
        <v>13207</v>
      </c>
      <c r="X3376" s="5" t="str">
        <f>HYPERLINK("https://my.pitchbook.com?p=455394-61P","View People Online")</f>
        <v>View People Online</v>
      </c>
    </row>
    <row r="3377">
      <c r="A3377" s="6" t="s">
        <v>21479</v>
      </c>
      <c r="B3377" s="6" t="s">
        <v>21480</v>
      </c>
      <c r="C3377" s="6" t="s">
        <v>21481</v>
      </c>
      <c r="D3377" s="6" t="s">
        <v>21482</v>
      </c>
      <c r="E3377" s="6" t="s">
        <v>13207</v>
      </c>
      <c r="F3377" s="6" t="s">
        <v>29</v>
      </c>
      <c r="G3377" s="6" t="s">
        <v>21483</v>
      </c>
      <c r="H3377" s="7" t="s">
        <v>31</v>
      </c>
      <c r="I3377" s="7">
        <v>1.0</v>
      </c>
      <c r="J3377" s="7">
        <v>1.0</v>
      </c>
      <c r="K3377" s="7" t="s">
        <v>31</v>
      </c>
      <c r="L3377" s="8" t="s">
        <v>13423</v>
      </c>
      <c r="M3377" s="6" t="s">
        <v>21484</v>
      </c>
      <c r="N3377" s="6" t="s">
        <v>243</v>
      </c>
      <c r="O3377" s="8" t="s">
        <v>244</v>
      </c>
      <c r="P3377" s="6" t="s">
        <v>13425</v>
      </c>
      <c r="Q3377" s="6" t="s">
        <v>31</v>
      </c>
      <c r="R3377" s="6" t="s">
        <v>247</v>
      </c>
      <c r="S3377" s="8" t="s">
        <v>13426</v>
      </c>
      <c r="T3377" s="6" t="s">
        <v>249</v>
      </c>
      <c r="U3377" s="8" t="s">
        <v>31</v>
      </c>
      <c r="V3377" s="6" t="s">
        <v>29</v>
      </c>
      <c r="W3377" s="6" t="s">
        <v>13207</v>
      </c>
      <c r="X3377" s="9" t="str">
        <f>HYPERLINK("https://my.pitchbook.com?p=436417-84P","View People Online")</f>
        <v>View People Online</v>
      </c>
    </row>
    <row r="3378">
      <c r="A3378" s="2" t="s">
        <v>21485</v>
      </c>
      <c r="B3378" s="2" t="s">
        <v>21486</v>
      </c>
      <c r="C3378" s="2" t="s">
        <v>21487</v>
      </c>
      <c r="D3378" s="2" t="s">
        <v>21488</v>
      </c>
      <c r="E3378" s="2" t="s">
        <v>13207</v>
      </c>
      <c r="F3378" s="2" t="s">
        <v>3523</v>
      </c>
      <c r="G3378" s="2" t="s">
        <v>21489</v>
      </c>
      <c r="H3378" s="3" t="s">
        <v>31</v>
      </c>
      <c r="I3378" s="3">
        <v>1.0</v>
      </c>
      <c r="J3378" s="3">
        <v>1.0</v>
      </c>
      <c r="K3378" s="3" t="s">
        <v>31</v>
      </c>
      <c r="L3378" s="4" t="s">
        <v>13299</v>
      </c>
      <c r="M3378" s="2" t="s">
        <v>21490</v>
      </c>
      <c r="N3378" s="2" t="s">
        <v>601</v>
      </c>
      <c r="O3378" s="4" t="s">
        <v>602</v>
      </c>
      <c r="P3378" s="2" t="s">
        <v>13301</v>
      </c>
      <c r="Q3378" s="2" t="s">
        <v>13302</v>
      </c>
      <c r="R3378" s="2" t="s">
        <v>31</v>
      </c>
      <c r="S3378" s="4" t="s">
        <v>31</v>
      </c>
      <c r="T3378" s="2" t="s">
        <v>603</v>
      </c>
      <c r="U3378" s="4" t="s">
        <v>13303</v>
      </c>
      <c r="V3378" s="2" t="s">
        <v>3523</v>
      </c>
      <c r="W3378" s="2" t="s">
        <v>13207</v>
      </c>
      <c r="X3378" s="5" t="str">
        <f>HYPERLINK("https://my.pitchbook.com?p=187807-15P","View People Online")</f>
        <v>View People Online</v>
      </c>
    </row>
    <row r="3379">
      <c r="A3379" s="6" t="s">
        <v>21491</v>
      </c>
      <c r="B3379" s="6" t="s">
        <v>21492</v>
      </c>
      <c r="C3379" s="6" t="s">
        <v>21493</v>
      </c>
      <c r="D3379" s="6" t="s">
        <v>21494</v>
      </c>
      <c r="E3379" s="6" t="s">
        <v>13207</v>
      </c>
      <c r="F3379" s="6" t="s">
        <v>14227</v>
      </c>
      <c r="G3379" s="6" t="s">
        <v>21495</v>
      </c>
      <c r="H3379" s="7" t="s">
        <v>31</v>
      </c>
      <c r="I3379" s="7">
        <v>1.0</v>
      </c>
      <c r="J3379" s="7">
        <v>1.0</v>
      </c>
      <c r="K3379" s="7" t="s">
        <v>31</v>
      </c>
      <c r="L3379" s="8" t="s">
        <v>16040</v>
      </c>
      <c r="M3379" s="6" t="s">
        <v>21496</v>
      </c>
      <c r="N3379" s="6" t="s">
        <v>465</v>
      </c>
      <c r="O3379" s="8" t="s">
        <v>466</v>
      </c>
      <c r="P3379" s="6" t="s">
        <v>16042</v>
      </c>
      <c r="Q3379" s="6" t="s">
        <v>31</v>
      </c>
      <c r="R3379" s="6" t="s">
        <v>31</v>
      </c>
      <c r="S3379" s="8" t="s">
        <v>16043</v>
      </c>
      <c r="T3379" s="6" t="s">
        <v>422</v>
      </c>
      <c r="U3379" s="8" t="s">
        <v>16044</v>
      </c>
      <c r="V3379" s="6" t="s">
        <v>14230</v>
      </c>
      <c r="W3379" s="6" t="s">
        <v>13207</v>
      </c>
      <c r="X3379" s="9" t="str">
        <f>HYPERLINK("https://my.pitchbook.com?p=455809-15P","View People Online")</f>
        <v>View People Online</v>
      </c>
    </row>
    <row r="3380">
      <c r="A3380" s="10" t="s">
        <v>21497</v>
      </c>
      <c r="B3380" s="10" t="s">
        <v>21498</v>
      </c>
      <c r="C3380" s="10" t="s">
        <v>180</v>
      </c>
      <c r="D3380" s="10" t="s">
        <v>21499</v>
      </c>
      <c r="E3380" s="10" t="s">
        <v>13207</v>
      </c>
      <c r="F3380" s="10" t="s">
        <v>13218</v>
      </c>
      <c r="G3380" s="10" t="s">
        <v>21500</v>
      </c>
      <c r="H3380" s="11" t="s">
        <v>31</v>
      </c>
      <c r="I3380" s="11">
        <v>1.0</v>
      </c>
      <c r="J3380" s="11">
        <v>1.0</v>
      </c>
      <c r="K3380" s="11" t="s">
        <v>31</v>
      </c>
      <c r="L3380" s="12" t="s">
        <v>15178</v>
      </c>
      <c r="M3380" s="10" t="s">
        <v>21501</v>
      </c>
      <c r="N3380" s="10" t="s">
        <v>7258</v>
      </c>
      <c r="O3380" s="12" t="s">
        <v>7259</v>
      </c>
      <c r="P3380" s="10" t="s">
        <v>15180</v>
      </c>
      <c r="Q3380" s="10" t="s">
        <v>15181</v>
      </c>
      <c r="R3380" s="10" t="s">
        <v>7262</v>
      </c>
      <c r="S3380" s="12" t="s">
        <v>7263</v>
      </c>
      <c r="T3380" s="10" t="s">
        <v>5484</v>
      </c>
      <c r="U3380" s="12" t="s">
        <v>15182</v>
      </c>
      <c r="V3380" s="10" t="s">
        <v>13218</v>
      </c>
      <c r="W3380" s="10" t="s">
        <v>13207</v>
      </c>
      <c r="X3380" s="13" t="str">
        <f>HYPERLINK("https://my.pitchbook.com?p=456275-98P","View People Online")</f>
        <v>View People Online</v>
      </c>
    </row>
    <row r="3381">
      <c r="A3381" s="6" t="s">
        <v>21502</v>
      </c>
      <c r="B3381" s="6" t="s">
        <v>21503</v>
      </c>
      <c r="C3381" s="6" t="s">
        <v>180</v>
      </c>
      <c r="D3381" s="6" t="s">
        <v>21504</v>
      </c>
      <c r="E3381" s="6" t="s">
        <v>13207</v>
      </c>
      <c r="F3381" s="6" t="s">
        <v>13218</v>
      </c>
      <c r="G3381" s="6" t="s">
        <v>21505</v>
      </c>
      <c r="H3381" s="7" t="s">
        <v>31</v>
      </c>
      <c r="I3381" s="7">
        <v>1.0</v>
      </c>
      <c r="J3381" s="7">
        <v>1.0</v>
      </c>
      <c r="K3381" s="7" t="s">
        <v>31</v>
      </c>
      <c r="L3381" s="8" t="s">
        <v>13289</v>
      </c>
      <c r="M3381" s="6" t="s">
        <v>21506</v>
      </c>
      <c r="N3381" s="6" t="s">
        <v>1348</v>
      </c>
      <c r="O3381" s="8" t="s">
        <v>1349</v>
      </c>
      <c r="P3381" s="6" t="s">
        <v>13291</v>
      </c>
      <c r="Q3381" s="6" t="s">
        <v>13292</v>
      </c>
      <c r="R3381" s="6" t="s">
        <v>1018</v>
      </c>
      <c r="S3381" s="8" t="s">
        <v>13293</v>
      </c>
      <c r="T3381" s="6" t="s">
        <v>1019</v>
      </c>
      <c r="U3381" s="8" t="s">
        <v>13294</v>
      </c>
      <c r="V3381" s="6" t="s">
        <v>13218</v>
      </c>
      <c r="W3381" s="6" t="s">
        <v>13207</v>
      </c>
      <c r="X3381" s="9" t="str">
        <f>HYPERLINK("https://my.pitchbook.com?p=456915-25P","View People Online")</f>
        <v>View People Online</v>
      </c>
    </row>
    <row r="3382">
      <c r="A3382" s="10" t="s">
        <v>21507</v>
      </c>
      <c r="B3382" s="10" t="s">
        <v>21508</v>
      </c>
      <c r="C3382" s="10" t="s">
        <v>180</v>
      </c>
      <c r="D3382" s="10" t="s">
        <v>9675</v>
      </c>
      <c r="E3382" s="10" t="s">
        <v>13207</v>
      </c>
      <c r="F3382" s="10" t="s">
        <v>13218</v>
      </c>
      <c r="G3382" s="10" t="s">
        <v>21509</v>
      </c>
      <c r="H3382" s="11" t="s">
        <v>31</v>
      </c>
      <c r="I3382" s="11">
        <v>1.0</v>
      </c>
      <c r="J3382" s="11">
        <v>1.0</v>
      </c>
      <c r="K3382" s="11" t="s">
        <v>31</v>
      </c>
      <c r="L3382" s="12" t="s">
        <v>13220</v>
      </c>
      <c r="M3382" s="10" t="s">
        <v>21510</v>
      </c>
      <c r="N3382" s="10" t="s">
        <v>2478</v>
      </c>
      <c r="O3382" s="12" t="s">
        <v>7332</v>
      </c>
      <c r="P3382" s="10" t="s">
        <v>13222</v>
      </c>
      <c r="Q3382" s="10" t="s">
        <v>13223</v>
      </c>
      <c r="R3382" s="10" t="s">
        <v>7335</v>
      </c>
      <c r="S3382" s="12" t="s">
        <v>7336</v>
      </c>
      <c r="T3382" s="10" t="s">
        <v>5484</v>
      </c>
      <c r="U3382" s="12" t="s">
        <v>13224</v>
      </c>
      <c r="V3382" s="10" t="s">
        <v>13218</v>
      </c>
      <c r="W3382" s="10" t="s">
        <v>13207</v>
      </c>
      <c r="X3382" s="13" t="str">
        <f>HYPERLINK("https://my.pitchbook.com?p=456421-51P","View People Online")</f>
        <v>View People Online</v>
      </c>
    </row>
    <row r="3383">
      <c r="A3383" s="14" t="s">
        <v>21511</v>
      </c>
      <c r="B3383" s="14" t="s">
        <v>21512</v>
      </c>
      <c r="C3383" s="14" t="s">
        <v>21513</v>
      </c>
      <c r="D3383" s="14" t="s">
        <v>4586</v>
      </c>
      <c r="E3383" s="14" t="s">
        <v>13207</v>
      </c>
      <c r="F3383" s="14" t="s">
        <v>3523</v>
      </c>
      <c r="G3383" s="14" t="s">
        <v>21514</v>
      </c>
      <c r="H3383" s="15" t="s">
        <v>31</v>
      </c>
      <c r="I3383" s="15">
        <v>1.0</v>
      </c>
      <c r="J3383" s="15">
        <v>1.0</v>
      </c>
      <c r="K3383" s="15" t="s">
        <v>31</v>
      </c>
      <c r="L3383" s="16" t="s">
        <v>13274</v>
      </c>
      <c r="M3383" s="14" t="s">
        <v>21515</v>
      </c>
      <c r="N3383" s="14" t="s">
        <v>1181</v>
      </c>
      <c r="O3383" s="16" t="s">
        <v>1182</v>
      </c>
      <c r="P3383" s="14" t="s">
        <v>13276</v>
      </c>
      <c r="Q3383" s="14" t="s">
        <v>31</v>
      </c>
      <c r="R3383" s="14" t="s">
        <v>1185</v>
      </c>
      <c r="S3383" s="16" t="s">
        <v>4438</v>
      </c>
      <c r="T3383" s="14" t="s">
        <v>66</v>
      </c>
      <c r="U3383" s="16" t="s">
        <v>13277</v>
      </c>
      <c r="V3383" s="14" t="s">
        <v>3523</v>
      </c>
      <c r="W3383" s="14" t="s">
        <v>13207</v>
      </c>
      <c r="X3383" s="17" t="str">
        <f>HYPERLINK("https://my.pitchbook.com?p=456043-60P","View People Online")</f>
        <v>View People Online</v>
      </c>
    </row>
    <row r="3384">
      <c r="A3384" s="2" t="s">
        <v>21516</v>
      </c>
      <c r="B3384" s="2" t="s">
        <v>21517</v>
      </c>
      <c r="C3384" s="2" t="s">
        <v>21518</v>
      </c>
      <c r="D3384" s="2" t="s">
        <v>21519</v>
      </c>
      <c r="E3384" s="2" t="s">
        <v>13207</v>
      </c>
      <c r="F3384" s="2" t="s">
        <v>3429</v>
      </c>
      <c r="G3384" s="2" t="s">
        <v>21520</v>
      </c>
      <c r="H3384" s="3" t="s">
        <v>31</v>
      </c>
      <c r="I3384" s="3">
        <v>1.0</v>
      </c>
      <c r="J3384" s="3">
        <v>1.0</v>
      </c>
      <c r="K3384" s="3" t="s">
        <v>31</v>
      </c>
      <c r="L3384" s="4" t="s">
        <v>13281</v>
      </c>
      <c r="M3384" s="2" t="s">
        <v>21521</v>
      </c>
      <c r="N3384" s="2" t="s">
        <v>1277</v>
      </c>
      <c r="O3384" s="4" t="s">
        <v>1278</v>
      </c>
      <c r="P3384" s="2" t="s">
        <v>13283</v>
      </c>
      <c r="Q3384" s="2" t="s">
        <v>13284</v>
      </c>
      <c r="R3384" s="2" t="s">
        <v>1281</v>
      </c>
      <c r="S3384" s="4" t="s">
        <v>1282</v>
      </c>
      <c r="T3384" s="2" t="s">
        <v>66</v>
      </c>
      <c r="U3384" s="4" t="s">
        <v>13285</v>
      </c>
      <c r="V3384" s="2" t="s">
        <v>21522</v>
      </c>
      <c r="W3384" s="2" t="s">
        <v>13207</v>
      </c>
      <c r="X3384" s="5" t="str">
        <f>HYPERLINK("https://my.pitchbook.com?p=436277-17P","View People Online")</f>
        <v>View People Online</v>
      </c>
    </row>
    <row r="3385">
      <c r="A3385" s="6" t="s">
        <v>21523</v>
      </c>
      <c r="B3385" s="6" t="s">
        <v>21524</v>
      </c>
      <c r="C3385" s="6" t="s">
        <v>21525</v>
      </c>
      <c r="D3385" s="6" t="s">
        <v>21526</v>
      </c>
      <c r="E3385" s="6" t="s">
        <v>13207</v>
      </c>
      <c r="F3385" s="6" t="s">
        <v>13218</v>
      </c>
      <c r="G3385" s="6" t="s">
        <v>21527</v>
      </c>
      <c r="H3385" s="7" t="s">
        <v>31</v>
      </c>
      <c r="I3385" s="7">
        <v>1.0</v>
      </c>
      <c r="J3385" s="7">
        <v>1.0</v>
      </c>
      <c r="K3385" s="7" t="s">
        <v>31</v>
      </c>
      <c r="L3385" s="8" t="s">
        <v>13432</v>
      </c>
      <c r="M3385" s="6" t="s">
        <v>21528</v>
      </c>
      <c r="N3385" s="6" t="s">
        <v>2599</v>
      </c>
      <c r="O3385" s="8" t="s">
        <v>2600</v>
      </c>
      <c r="P3385" s="6" t="s">
        <v>13434</v>
      </c>
      <c r="Q3385" s="6" t="s">
        <v>4235</v>
      </c>
      <c r="R3385" s="6" t="s">
        <v>396</v>
      </c>
      <c r="S3385" s="8" t="s">
        <v>13435</v>
      </c>
      <c r="T3385" s="6" t="s">
        <v>66</v>
      </c>
      <c r="U3385" s="8" t="s">
        <v>13436</v>
      </c>
      <c r="V3385" s="6" t="s">
        <v>13218</v>
      </c>
      <c r="W3385" s="6" t="s">
        <v>13207</v>
      </c>
      <c r="X3385" s="9" t="str">
        <f>HYPERLINK("https://my.pitchbook.com?p=436284-46P","View People Online")</f>
        <v>View People Online</v>
      </c>
    </row>
    <row r="3386">
      <c r="A3386" s="10" t="s">
        <v>21529</v>
      </c>
      <c r="B3386" s="10" t="s">
        <v>21530</v>
      </c>
      <c r="C3386" s="10" t="s">
        <v>21531</v>
      </c>
      <c r="D3386" s="10" t="s">
        <v>21532</v>
      </c>
      <c r="E3386" s="10" t="s">
        <v>13207</v>
      </c>
      <c r="F3386" s="10" t="s">
        <v>3523</v>
      </c>
      <c r="G3386" s="10" t="s">
        <v>21533</v>
      </c>
      <c r="H3386" s="11" t="s">
        <v>31</v>
      </c>
      <c r="I3386" s="11">
        <v>1.0</v>
      </c>
      <c r="J3386" s="11">
        <v>1.0</v>
      </c>
      <c r="K3386" s="11" t="s">
        <v>31</v>
      </c>
      <c r="L3386" s="12" t="s">
        <v>13855</v>
      </c>
      <c r="M3386" s="10" t="s">
        <v>21534</v>
      </c>
      <c r="N3386" s="10" t="s">
        <v>2017</v>
      </c>
      <c r="O3386" s="12" t="s">
        <v>2018</v>
      </c>
      <c r="P3386" s="10" t="s">
        <v>13857</v>
      </c>
      <c r="Q3386" s="10" t="s">
        <v>13858</v>
      </c>
      <c r="R3386" s="10" t="s">
        <v>31</v>
      </c>
      <c r="S3386" s="12" t="s">
        <v>31</v>
      </c>
      <c r="T3386" s="10" t="s">
        <v>2022</v>
      </c>
      <c r="U3386" s="12" t="s">
        <v>31</v>
      </c>
      <c r="V3386" s="10" t="s">
        <v>3523</v>
      </c>
      <c r="W3386" s="10" t="s">
        <v>13207</v>
      </c>
      <c r="X3386" s="13" t="str">
        <f>HYPERLINK("https://my.pitchbook.com?p=435628-36P","View People Online")</f>
        <v>View People Online</v>
      </c>
    </row>
    <row r="3387">
      <c r="A3387" s="14" t="s">
        <v>21535</v>
      </c>
      <c r="B3387" s="14" t="s">
        <v>21536</v>
      </c>
      <c r="C3387" s="14" t="s">
        <v>1013</v>
      </c>
      <c r="D3387" s="14" t="s">
        <v>21537</v>
      </c>
      <c r="E3387" s="14" t="s">
        <v>13207</v>
      </c>
      <c r="F3387" s="14" t="s">
        <v>3523</v>
      </c>
      <c r="G3387" s="14" t="s">
        <v>21538</v>
      </c>
      <c r="H3387" s="15" t="s">
        <v>31</v>
      </c>
      <c r="I3387" s="15">
        <v>1.0</v>
      </c>
      <c r="J3387" s="15">
        <v>1.0</v>
      </c>
      <c r="K3387" s="15" t="s">
        <v>31</v>
      </c>
      <c r="L3387" s="16" t="s">
        <v>15178</v>
      </c>
      <c r="M3387" s="14" t="s">
        <v>21539</v>
      </c>
      <c r="N3387" s="14" t="s">
        <v>7258</v>
      </c>
      <c r="O3387" s="16" t="s">
        <v>7259</v>
      </c>
      <c r="P3387" s="14" t="s">
        <v>15180</v>
      </c>
      <c r="Q3387" s="14" t="s">
        <v>15181</v>
      </c>
      <c r="R3387" s="14" t="s">
        <v>7262</v>
      </c>
      <c r="S3387" s="16" t="s">
        <v>7263</v>
      </c>
      <c r="T3387" s="14" t="s">
        <v>5484</v>
      </c>
      <c r="U3387" s="16" t="s">
        <v>15182</v>
      </c>
      <c r="V3387" s="14" t="s">
        <v>3523</v>
      </c>
      <c r="W3387" s="14" t="s">
        <v>13207</v>
      </c>
      <c r="X3387" s="17" t="str">
        <f>HYPERLINK("https://my.pitchbook.com?p=455828-50P","View People Online")</f>
        <v>View People Online</v>
      </c>
    </row>
    <row r="3388">
      <c r="A3388" s="10" t="s">
        <v>21540</v>
      </c>
      <c r="B3388" s="10" t="s">
        <v>21541</v>
      </c>
      <c r="C3388" s="10" t="s">
        <v>1013</v>
      </c>
      <c r="D3388" s="10" t="s">
        <v>21542</v>
      </c>
      <c r="E3388" s="10" t="s">
        <v>13207</v>
      </c>
      <c r="F3388" s="10" t="s">
        <v>13218</v>
      </c>
      <c r="G3388" s="10" t="s">
        <v>21543</v>
      </c>
      <c r="H3388" s="11" t="s">
        <v>31</v>
      </c>
      <c r="I3388" s="11">
        <v>1.0</v>
      </c>
      <c r="J3388" s="11">
        <v>1.0</v>
      </c>
      <c r="K3388" s="11" t="s">
        <v>31</v>
      </c>
      <c r="L3388" s="12" t="s">
        <v>13916</v>
      </c>
      <c r="M3388" s="10" t="s">
        <v>21544</v>
      </c>
      <c r="N3388" s="10" t="s">
        <v>155</v>
      </c>
      <c r="O3388" s="12" t="s">
        <v>156</v>
      </c>
      <c r="P3388" s="10" t="s">
        <v>13918</v>
      </c>
      <c r="Q3388" s="10" t="s">
        <v>13919</v>
      </c>
      <c r="R3388" s="10" t="s">
        <v>64</v>
      </c>
      <c r="S3388" s="12" t="s">
        <v>1549</v>
      </c>
      <c r="T3388" s="10" t="s">
        <v>66</v>
      </c>
      <c r="U3388" s="12" t="s">
        <v>13920</v>
      </c>
      <c r="V3388" s="10" t="s">
        <v>13218</v>
      </c>
      <c r="W3388" s="10" t="s">
        <v>13207</v>
      </c>
      <c r="X3388" s="13" t="str">
        <f>HYPERLINK("https://my.pitchbook.com?p=436169-80P","View People Online")</f>
        <v>View People Online</v>
      </c>
    </row>
    <row r="3389">
      <c r="A3389" s="14" t="s">
        <v>21545</v>
      </c>
      <c r="B3389" s="14" t="s">
        <v>21546</v>
      </c>
      <c r="C3389" s="14" t="s">
        <v>21547</v>
      </c>
      <c r="D3389" s="14" t="s">
        <v>21548</v>
      </c>
      <c r="E3389" s="14" t="s">
        <v>13207</v>
      </c>
      <c r="F3389" s="14" t="s">
        <v>3523</v>
      </c>
      <c r="G3389" s="14" t="s">
        <v>21549</v>
      </c>
      <c r="H3389" s="15" t="s">
        <v>31</v>
      </c>
      <c r="I3389" s="15">
        <v>1.0</v>
      </c>
      <c r="J3389" s="15">
        <v>1.0</v>
      </c>
      <c r="K3389" s="15" t="s">
        <v>31</v>
      </c>
      <c r="L3389" s="16" t="s">
        <v>13743</v>
      </c>
      <c r="M3389" s="14" t="s">
        <v>21550</v>
      </c>
      <c r="N3389" s="14" t="s">
        <v>1034</v>
      </c>
      <c r="O3389" s="16" t="s">
        <v>1035</v>
      </c>
      <c r="P3389" s="14" t="s">
        <v>13745</v>
      </c>
      <c r="Q3389" s="14" t="s">
        <v>13746</v>
      </c>
      <c r="R3389" s="14" t="s">
        <v>31</v>
      </c>
      <c r="S3389" s="16" t="s">
        <v>13747</v>
      </c>
      <c r="T3389" s="14" t="s">
        <v>1034</v>
      </c>
      <c r="U3389" s="16" t="s">
        <v>13748</v>
      </c>
      <c r="V3389" s="14" t="s">
        <v>3523</v>
      </c>
      <c r="W3389" s="14" t="s">
        <v>13207</v>
      </c>
      <c r="X3389" s="17" t="str">
        <f>HYPERLINK("https://my.pitchbook.com?p=436181-68P","View People Online")</f>
        <v>View People Online</v>
      </c>
    </row>
    <row r="3390">
      <c r="A3390" s="10" t="s">
        <v>21551</v>
      </c>
      <c r="B3390" s="10" t="s">
        <v>21552</v>
      </c>
      <c r="C3390" s="10" t="s">
        <v>1024</v>
      </c>
      <c r="D3390" s="10" t="s">
        <v>21553</v>
      </c>
      <c r="E3390" s="10" t="s">
        <v>13207</v>
      </c>
      <c r="F3390" s="10" t="s">
        <v>3523</v>
      </c>
      <c r="G3390" s="10" t="s">
        <v>21554</v>
      </c>
      <c r="H3390" s="11" t="s">
        <v>31</v>
      </c>
      <c r="I3390" s="11">
        <v>1.0</v>
      </c>
      <c r="J3390" s="11">
        <v>1.0</v>
      </c>
      <c r="K3390" s="11" t="s">
        <v>31</v>
      </c>
      <c r="L3390" s="12" t="s">
        <v>13632</v>
      </c>
      <c r="M3390" s="10" t="s">
        <v>21555</v>
      </c>
      <c r="N3390" s="10" t="s">
        <v>7690</v>
      </c>
      <c r="O3390" s="12" t="s">
        <v>7691</v>
      </c>
      <c r="P3390" s="10" t="s">
        <v>13634</v>
      </c>
      <c r="Q3390" s="10" t="s">
        <v>13635</v>
      </c>
      <c r="R3390" s="10" t="s">
        <v>7693</v>
      </c>
      <c r="S3390" s="12" t="s">
        <v>13636</v>
      </c>
      <c r="T3390" s="10" t="s">
        <v>66</v>
      </c>
      <c r="U3390" s="12" t="s">
        <v>13637</v>
      </c>
      <c r="V3390" s="10" t="s">
        <v>3523</v>
      </c>
      <c r="W3390" s="10" t="s">
        <v>13207</v>
      </c>
      <c r="X3390" s="13" t="str">
        <f>HYPERLINK("https://my.pitchbook.com?p=48262-87P","View People Online")</f>
        <v>View People Online</v>
      </c>
    </row>
    <row r="3391">
      <c r="A3391" s="6" t="s">
        <v>21556</v>
      </c>
      <c r="B3391" s="6" t="s">
        <v>21557</v>
      </c>
      <c r="C3391" s="6" t="s">
        <v>1024</v>
      </c>
      <c r="D3391" s="6" t="s">
        <v>18143</v>
      </c>
      <c r="E3391" s="6" t="s">
        <v>13207</v>
      </c>
      <c r="F3391" s="6" t="s">
        <v>13218</v>
      </c>
      <c r="G3391" s="6" t="s">
        <v>21558</v>
      </c>
      <c r="H3391" s="7">
        <v>1.0</v>
      </c>
      <c r="I3391" s="7">
        <v>2.0</v>
      </c>
      <c r="J3391" s="7">
        <v>1.0</v>
      </c>
      <c r="K3391" s="7" t="s">
        <v>31</v>
      </c>
      <c r="L3391" s="8" t="s">
        <v>13953</v>
      </c>
      <c r="M3391" s="6" t="s">
        <v>21559</v>
      </c>
      <c r="N3391" s="6" t="s">
        <v>1170</v>
      </c>
      <c r="O3391" s="8" t="s">
        <v>1171</v>
      </c>
      <c r="P3391" s="6" t="s">
        <v>13955</v>
      </c>
      <c r="Q3391" s="6" t="s">
        <v>13956</v>
      </c>
      <c r="R3391" s="6" t="s">
        <v>64</v>
      </c>
      <c r="S3391" s="8" t="s">
        <v>13957</v>
      </c>
      <c r="T3391" s="6" t="s">
        <v>66</v>
      </c>
      <c r="U3391" s="8" t="s">
        <v>13958</v>
      </c>
      <c r="V3391" s="6" t="s">
        <v>13218</v>
      </c>
      <c r="W3391" s="6" t="s">
        <v>13207</v>
      </c>
      <c r="X3391" s="9" t="str">
        <f>HYPERLINK("https://my.pitchbook.com?p=417824-11P","View People Online")</f>
        <v>View People Online</v>
      </c>
    </row>
    <row r="3392">
      <c r="A3392" s="2" t="s">
        <v>21560</v>
      </c>
      <c r="B3392" s="2" t="s">
        <v>21561</v>
      </c>
      <c r="C3392" s="2" t="s">
        <v>1024</v>
      </c>
      <c r="D3392" s="2" t="s">
        <v>21562</v>
      </c>
      <c r="E3392" s="2" t="s">
        <v>13207</v>
      </c>
      <c r="F3392" s="2" t="s">
        <v>13307</v>
      </c>
      <c r="G3392" s="2" t="s">
        <v>21563</v>
      </c>
      <c r="H3392" s="3" t="s">
        <v>31</v>
      </c>
      <c r="I3392" s="3">
        <v>1.0</v>
      </c>
      <c r="J3392" s="3">
        <v>1.0</v>
      </c>
      <c r="K3392" s="3" t="s">
        <v>31</v>
      </c>
      <c r="L3392" s="4" t="s">
        <v>13531</v>
      </c>
      <c r="M3392" s="2" t="s">
        <v>21564</v>
      </c>
      <c r="N3392" s="2" t="s">
        <v>2273</v>
      </c>
      <c r="O3392" s="4" t="s">
        <v>2274</v>
      </c>
      <c r="P3392" s="2" t="s">
        <v>13533</v>
      </c>
      <c r="Q3392" s="2" t="s">
        <v>31</v>
      </c>
      <c r="R3392" s="2" t="s">
        <v>31</v>
      </c>
      <c r="S3392" s="4" t="s">
        <v>13534</v>
      </c>
      <c r="T3392" s="2" t="s">
        <v>2278</v>
      </c>
      <c r="U3392" s="4" t="s">
        <v>13535</v>
      </c>
      <c r="V3392" s="2" t="s">
        <v>13317</v>
      </c>
      <c r="W3392" s="2" t="s">
        <v>13207</v>
      </c>
      <c r="X3392" s="5" t="str">
        <f>HYPERLINK("https://my.pitchbook.com?p=455969-17P","View People Online")</f>
        <v>View People Online</v>
      </c>
    </row>
    <row r="3393">
      <c r="A3393" s="14" t="s">
        <v>21565</v>
      </c>
      <c r="B3393" s="14" t="s">
        <v>21566</v>
      </c>
      <c r="C3393" s="14" t="s">
        <v>1024</v>
      </c>
      <c r="D3393" s="14" t="s">
        <v>21567</v>
      </c>
      <c r="E3393" s="14" t="s">
        <v>13207</v>
      </c>
      <c r="F3393" s="14" t="s">
        <v>3523</v>
      </c>
      <c r="G3393" s="14" t="s">
        <v>21568</v>
      </c>
      <c r="H3393" s="15" t="s">
        <v>31</v>
      </c>
      <c r="I3393" s="15">
        <v>1.0</v>
      </c>
      <c r="J3393" s="15">
        <v>1.0</v>
      </c>
      <c r="K3393" s="15" t="s">
        <v>31</v>
      </c>
      <c r="L3393" s="16" t="s">
        <v>31</v>
      </c>
      <c r="M3393" s="14" t="s">
        <v>21569</v>
      </c>
      <c r="N3393" s="14" t="s">
        <v>2913</v>
      </c>
      <c r="O3393" s="16" t="s">
        <v>2914</v>
      </c>
      <c r="P3393" s="14" t="s">
        <v>13560</v>
      </c>
      <c r="Q3393" s="14" t="s">
        <v>13561</v>
      </c>
      <c r="R3393" s="14" t="s">
        <v>31</v>
      </c>
      <c r="S3393" s="16" t="s">
        <v>31</v>
      </c>
      <c r="T3393" s="14" t="s">
        <v>2917</v>
      </c>
      <c r="U3393" s="16" t="s">
        <v>31</v>
      </c>
      <c r="V3393" s="14" t="s">
        <v>3523</v>
      </c>
      <c r="W3393" s="14" t="s">
        <v>13207</v>
      </c>
      <c r="X3393" s="17" t="str">
        <f>HYPERLINK("https://my.pitchbook.com?p=434926-54P","View People Online")</f>
        <v>View People Online</v>
      </c>
    </row>
    <row r="3394">
      <c r="A3394" s="2" t="s">
        <v>21570</v>
      </c>
      <c r="B3394" s="2" t="s">
        <v>21571</v>
      </c>
      <c r="C3394" s="2" t="s">
        <v>21572</v>
      </c>
      <c r="D3394" s="2" t="s">
        <v>21573</v>
      </c>
      <c r="E3394" s="2" t="s">
        <v>13207</v>
      </c>
      <c r="F3394" s="2" t="s">
        <v>3523</v>
      </c>
      <c r="G3394" s="2" t="s">
        <v>21574</v>
      </c>
      <c r="H3394" s="3" t="s">
        <v>31</v>
      </c>
      <c r="I3394" s="3">
        <v>1.0</v>
      </c>
      <c r="J3394" s="3">
        <v>1.0</v>
      </c>
      <c r="K3394" s="3" t="s">
        <v>31</v>
      </c>
      <c r="L3394" s="4" t="s">
        <v>13766</v>
      </c>
      <c r="M3394" s="2" t="s">
        <v>21575</v>
      </c>
      <c r="N3394" s="2" t="s">
        <v>13768</v>
      </c>
      <c r="O3394" s="4" t="s">
        <v>13769</v>
      </c>
      <c r="P3394" s="2" t="s">
        <v>13770</v>
      </c>
      <c r="Q3394" s="2" t="s">
        <v>13771</v>
      </c>
      <c r="R3394" s="2" t="s">
        <v>31</v>
      </c>
      <c r="S3394" s="4" t="s">
        <v>13772</v>
      </c>
      <c r="T3394" s="2" t="s">
        <v>13773</v>
      </c>
      <c r="U3394" s="4" t="s">
        <v>31</v>
      </c>
      <c r="V3394" s="2" t="s">
        <v>3523</v>
      </c>
      <c r="W3394" s="2" t="s">
        <v>13207</v>
      </c>
      <c r="X3394" s="5" t="str">
        <f>HYPERLINK("https://my.pitchbook.com?p=456284-35P","View People Online")</f>
        <v>View People Online</v>
      </c>
    </row>
    <row r="3395">
      <c r="A3395" s="14" t="s">
        <v>21576</v>
      </c>
      <c r="B3395" s="14" t="s">
        <v>21577</v>
      </c>
      <c r="C3395" s="14" t="s">
        <v>1388</v>
      </c>
      <c r="D3395" s="14" t="s">
        <v>21578</v>
      </c>
      <c r="E3395" s="14" t="s">
        <v>13207</v>
      </c>
      <c r="F3395" s="14" t="s">
        <v>3523</v>
      </c>
      <c r="G3395" s="14" t="s">
        <v>21579</v>
      </c>
      <c r="H3395" s="15" t="s">
        <v>31</v>
      </c>
      <c r="I3395" s="15">
        <v>1.0</v>
      </c>
      <c r="J3395" s="15">
        <v>1.0</v>
      </c>
      <c r="K3395" s="15" t="s">
        <v>31</v>
      </c>
      <c r="L3395" s="16" t="s">
        <v>13632</v>
      </c>
      <c r="M3395" s="14" t="s">
        <v>21580</v>
      </c>
      <c r="N3395" s="14" t="s">
        <v>7690</v>
      </c>
      <c r="O3395" s="16" t="s">
        <v>7691</v>
      </c>
      <c r="P3395" s="14" t="s">
        <v>13634</v>
      </c>
      <c r="Q3395" s="14" t="s">
        <v>13635</v>
      </c>
      <c r="R3395" s="14" t="s">
        <v>7693</v>
      </c>
      <c r="S3395" s="16" t="s">
        <v>13636</v>
      </c>
      <c r="T3395" s="14" t="s">
        <v>66</v>
      </c>
      <c r="U3395" s="16" t="s">
        <v>13637</v>
      </c>
      <c r="V3395" s="14" t="s">
        <v>3523</v>
      </c>
      <c r="W3395" s="14" t="s">
        <v>13207</v>
      </c>
      <c r="X3395" s="17" t="str">
        <f>HYPERLINK("https://my.pitchbook.com?p=455641-30P","View People Online")</f>
        <v>View People Online</v>
      </c>
    </row>
    <row r="3396">
      <c r="A3396" s="10" t="s">
        <v>21581</v>
      </c>
      <c r="B3396" s="10" t="s">
        <v>21582</v>
      </c>
      <c r="C3396" s="10" t="s">
        <v>1388</v>
      </c>
      <c r="D3396" s="10" t="s">
        <v>21583</v>
      </c>
      <c r="E3396" s="10" t="s">
        <v>13207</v>
      </c>
      <c r="F3396" s="10" t="s">
        <v>3523</v>
      </c>
      <c r="G3396" s="10" t="s">
        <v>21584</v>
      </c>
      <c r="H3396" s="11" t="s">
        <v>31</v>
      </c>
      <c r="I3396" s="11">
        <v>1.0</v>
      </c>
      <c r="J3396" s="11">
        <v>1.0</v>
      </c>
      <c r="K3396" s="11" t="s">
        <v>31</v>
      </c>
      <c r="L3396" s="12" t="s">
        <v>13242</v>
      </c>
      <c r="M3396" s="10" t="s">
        <v>21585</v>
      </c>
      <c r="N3396" s="10" t="s">
        <v>9865</v>
      </c>
      <c r="O3396" s="12" t="s">
        <v>9866</v>
      </c>
      <c r="P3396" s="10" t="s">
        <v>13244</v>
      </c>
      <c r="Q3396" s="10" t="s">
        <v>31</v>
      </c>
      <c r="R3396" s="10" t="s">
        <v>31</v>
      </c>
      <c r="S3396" s="12" t="s">
        <v>13245</v>
      </c>
      <c r="T3396" s="10" t="s">
        <v>38</v>
      </c>
      <c r="U3396" s="12" t="s">
        <v>13246</v>
      </c>
      <c r="V3396" s="10" t="s">
        <v>3523</v>
      </c>
      <c r="W3396" s="10" t="s">
        <v>13207</v>
      </c>
      <c r="X3396" s="13" t="str">
        <f>HYPERLINK("https://my.pitchbook.com?p=436337-20P","View People Online")</f>
        <v>View People Online</v>
      </c>
    </row>
    <row r="3397">
      <c r="A3397" s="14" t="s">
        <v>21586</v>
      </c>
      <c r="B3397" s="14" t="s">
        <v>21587</v>
      </c>
      <c r="C3397" s="14" t="s">
        <v>21588</v>
      </c>
      <c r="D3397" s="14" t="s">
        <v>21589</v>
      </c>
      <c r="E3397" s="14" t="s">
        <v>13207</v>
      </c>
      <c r="F3397" s="14" t="s">
        <v>13218</v>
      </c>
      <c r="G3397" s="14" t="s">
        <v>21590</v>
      </c>
      <c r="H3397" s="15" t="s">
        <v>31</v>
      </c>
      <c r="I3397" s="15">
        <v>1.0</v>
      </c>
      <c r="J3397" s="15">
        <v>1.0</v>
      </c>
      <c r="K3397" s="15" t="s">
        <v>31</v>
      </c>
      <c r="L3397" s="16" t="s">
        <v>15504</v>
      </c>
      <c r="M3397" s="14" t="s">
        <v>21591</v>
      </c>
      <c r="N3397" s="14" t="s">
        <v>15506</v>
      </c>
      <c r="O3397" s="16" t="s">
        <v>15507</v>
      </c>
      <c r="P3397" s="14" t="s">
        <v>15508</v>
      </c>
      <c r="Q3397" s="14" t="s">
        <v>15509</v>
      </c>
      <c r="R3397" s="14" t="s">
        <v>31</v>
      </c>
      <c r="S3397" s="16" t="s">
        <v>15510</v>
      </c>
      <c r="T3397" s="14" t="s">
        <v>1010</v>
      </c>
      <c r="U3397" s="16" t="s">
        <v>15511</v>
      </c>
      <c r="V3397" s="14" t="s">
        <v>13218</v>
      </c>
      <c r="W3397" s="14" t="s">
        <v>13207</v>
      </c>
      <c r="X3397" s="17" t="str">
        <f>HYPERLINK("https://my.pitchbook.com?p=456808-33P","View People Online")</f>
        <v>View People Online</v>
      </c>
    </row>
    <row r="3398">
      <c r="A3398" s="10" t="s">
        <v>21592</v>
      </c>
      <c r="B3398" s="10" t="s">
        <v>21593</v>
      </c>
      <c r="C3398" s="10" t="s">
        <v>21588</v>
      </c>
      <c r="D3398" s="10" t="s">
        <v>21594</v>
      </c>
      <c r="E3398" s="10" t="s">
        <v>13207</v>
      </c>
      <c r="F3398" s="10" t="s">
        <v>13218</v>
      </c>
      <c r="G3398" s="10" t="s">
        <v>21595</v>
      </c>
      <c r="H3398" s="11" t="s">
        <v>31</v>
      </c>
      <c r="I3398" s="11">
        <v>1.0</v>
      </c>
      <c r="J3398" s="11">
        <v>1.0</v>
      </c>
      <c r="K3398" s="11" t="s">
        <v>31</v>
      </c>
      <c r="L3398" s="12" t="s">
        <v>13263</v>
      </c>
      <c r="M3398" s="10" t="s">
        <v>21596</v>
      </c>
      <c r="N3398" s="10" t="s">
        <v>1005</v>
      </c>
      <c r="O3398" s="12" t="s">
        <v>1006</v>
      </c>
      <c r="P3398" s="10" t="s">
        <v>13265</v>
      </c>
      <c r="Q3398" s="10" t="s">
        <v>13266</v>
      </c>
      <c r="R3398" s="10" t="s">
        <v>13267</v>
      </c>
      <c r="S3398" s="12" t="s">
        <v>13268</v>
      </c>
      <c r="T3398" s="10" t="s">
        <v>1010</v>
      </c>
      <c r="U3398" s="12" t="s">
        <v>13269</v>
      </c>
      <c r="V3398" s="10" t="s">
        <v>13218</v>
      </c>
      <c r="W3398" s="10" t="s">
        <v>13207</v>
      </c>
      <c r="X3398" s="13" t="str">
        <f>HYPERLINK("https://my.pitchbook.com?p=435735-10P","View People Online")</f>
        <v>View People Online</v>
      </c>
    </row>
    <row r="3399">
      <c r="A3399" s="14" t="s">
        <v>21597</v>
      </c>
      <c r="B3399" s="14" t="s">
        <v>21598</v>
      </c>
      <c r="C3399" s="14" t="s">
        <v>21588</v>
      </c>
      <c r="D3399" s="14" t="s">
        <v>21599</v>
      </c>
      <c r="E3399" s="14" t="s">
        <v>13207</v>
      </c>
      <c r="F3399" s="14" t="s">
        <v>29</v>
      </c>
      <c r="G3399" s="14" t="s">
        <v>21600</v>
      </c>
      <c r="H3399" s="15" t="s">
        <v>31</v>
      </c>
      <c r="I3399" s="15">
        <v>1.0</v>
      </c>
      <c r="J3399" s="15">
        <v>1.0</v>
      </c>
      <c r="K3399" s="15" t="s">
        <v>31</v>
      </c>
      <c r="L3399" s="16" t="s">
        <v>13263</v>
      </c>
      <c r="M3399" s="14" t="s">
        <v>21601</v>
      </c>
      <c r="N3399" s="14" t="s">
        <v>1005</v>
      </c>
      <c r="O3399" s="16" t="s">
        <v>1006</v>
      </c>
      <c r="P3399" s="14" t="s">
        <v>13265</v>
      </c>
      <c r="Q3399" s="14" t="s">
        <v>13266</v>
      </c>
      <c r="R3399" s="14" t="s">
        <v>13267</v>
      </c>
      <c r="S3399" s="16" t="s">
        <v>13268</v>
      </c>
      <c r="T3399" s="14" t="s">
        <v>1010</v>
      </c>
      <c r="U3399" s="16" t="s">
        <v>13269</v>
      </c>
      <c r="V3399" s="14" t="s">
        <v>29</v>
      </c>
      <c r="W3399" s="14" t="s">
        <v>13207</v>
      </c>
      <c r="X3399" s="17" t="str">
        <f>HYPERLINK("https://my.pitchbook.com?p=456216-40P","View People Online")</f>
        <v>View People Online</v>
      </c>
    </row>
    <row r="3400">
      <c r="A3400" s="10" t="s">
        <v>21602</v>
      </c>
      <c r="B3400" s="10" t="s">
        <v>21603</v>
      </c>
      <c r="C3400" s="10" t="s">
        <v>21604</v>
      </c>
      <c r="D3400" s="10" t="s">
        <v>21605</v>
      </c>
      <c r="E3400" s="10" t="s">
        <v>13207</v>
      </c>
      <c r="F3400" s="10" t="s">
        <v>13218</v>
      </c>
      <c r="G3400" s="10" t="s">
        <v>21606</v>
      </c>
      <c r="H3400" s="11" t="s">
        <v>31</v>
      </c>
      <c r="I3400" s="11">
        <v>1.0</v>
      </c>
      <c r="J3400" s="11">
        <v>1.0</v>
      </c>
      <c r="K3400" s="11" t="s">
        <v>31</v>
      </c>
      <c r="L3400" s="12" t="s">
        <v>13231</v>
      </c>
      <c r="M3400" s="10" t="s">
        <v>21607</v>
      </c>
      <c r="N3400" s="10" t="s">
        <v>1203</v>
      </c>
      <c r="O3400" s="12" t="s">
        <v>1204</v>
      </c>
      <c r="P3400" s="10" t="s">
        <v>13233</v>
      </c>
      <c r="Q3400" s="10" t="s">
        <v>13234</v>
      </c>
      <c r="R3400" s="10" t="s">
        <v>1207</v>
      </c>
      <c r="S3400" s="12" t="s">
        <v>13235</v>
      </c>
      <c r="T3400" s="10" t="s">
        <v>1209</v>
      </c>
      <c r="U3400" s="12" t="s">
        <v>31</v>
      </c>
      <c r="V3400" s="10" t="s">
        <v>21608</v>
      </c>
      <c r="W3400" s="10" t="s">
        <v>13207</v>
      </c>
      <c r="X3400" s="13" t="str">
        <f>HYPERLINK("https://my.pitchbook.com?p=455178-25P","View People Online")</f>
        <v>View People Online</v>
      </c>
    </row>
    <row r="3401">
      <c r="A3401" s="6" t="s">
        <v>21609</v>
      </c>
      <c r="B3401" s="6" t="s">
        <v>21610</v>
      </c>
      <c r="C3401" s="6" t="s">
        <v>3716</v>
      </c>
      <c r="D3401" s="6" t="s">
        <v>21611</v>
      </c>
      <c r="E3401" s="6" t="s">
        <v>13207</v>
      </c>
      <c r="F3401" s="6" t="s">
        <v>3523</v>
      </c>
      <c r="G3401" s="6" t="s">
        <v>21612</v>
      </c>
      <c r="H3401" s="7" t="s">
        <v>31</v>
      </c>
      <c r="I3401" s="7">
        <v>1.0</v>
      </c>
      <c r="J3401" s="7">
        <v>1.0</v>
      </c>
      <c r="K3401" s="7" t="s">
        <v>31</v>
      </c>
      <c r="L3401" s="8" t="s">
        <v>13274</v>
      </c>
      <c r="M3401" s="6" t="s">
        <v>21613</v>
      </c>
      <c r="N3401" s="6" t="s">
        <v>1181</v>
      </c>
      <c r="O3401" s="8" t="s">
        <v>1182</v>
      </c>
      <c r="P3401" s="6" t="s">
        <v>13276</v>
      </c>
      <c r="Q3401" s="6" t="s">
        <v>31</v>
      </c>
      <c r="R3401" s="6" t="s">
        <v>1185</v>
      </c>
      <c r="S3401" s="8" t="s">
        <v>4438</v>
      </c>
      <c r="T3401" s="6" t="s">
        <v>66</v>
      </c>
      <c r="U3401" s="8" t="s">
        <v>13277</v>
      </c>
      <c r="V3401" s="6" t="s">
        <v>3523</v>
      </c>
      <c r="W3401" s="6" t="s">
        <v>13207</v>
      </c>
      <c r="X3401" s="9" t="str">
        <f>HYPERLINK("https://my.pitchbook.com?p=455267-98P","View People Online")</f>
        <v>View People Online</v>
      </c>
    </row>
    <row r="3402">
      <c r="A3402" s="10" t="s">
        <v>21614</v>
      </c>
      <c r="B3402" s="10" t="s">
        <v>21615</v>
      </c>
      <c r="C3402" s="10" t="s">
        <v>6855</v>
      </c>
      <c r="D3402" s="10" t="s">
        <v>21616</v>
      </c>
      <c r="E3402" s="10" t="s">
        <v>13207</v>
      </c>
      <c r="F3402" s="10" t="s">
        <v>3523</v>
      </c>
      <c r="G3402" s="10" t="s">
        <v>21617</v>
      </c>
      <c r="H3402" s="11" t="s">
        <v>31</v>
      </c>
      <c r="I3402" s="11">
        <v>1.0</v>
      </c>
      <c r="J3402" s="11">
        <v>1.0</v>
      </c>
      <c r="K3402" s="11" t="s">
        <v>31</v>
      </c>
      <c r="L3402" s="12" t="s">
        <v>14614</v>
      </c>
      <c r="M3402" s="10" t="s">
        <v>21618</v>
      </c>
      <c r="N3402" s="10" t="s">
        <v>1442</v>
      </c>
      <c r="O3402" s="12" t="s">
        <v>1443</v>
      </c>
      <c r="P3402" s="10" t="s">
        <v>14616</v>
      </c>
      <c r="Q3402" s="10" t="s">
        <v>14617</v>
      </c>
      <c r="R3402" s="10" t="s">
        <v>1277</v>
      </c>
      <c r="S3402" s="12" t="s">
        <v>14618</v>
      </c>
      <c r="T3402" s="10" t="s">
        <v>66</v>
      </c>
      <c r="U3402" s="12" t="s">
        <v>31</v>
      </c>
      <c r="V3402" s="10" t="s">
        <v>3523</v>
      </c>
      <c r="W3402" s="10" t="s">
        <v>13207</v>
      </c>
      <c r="X3402" s="13" t="str">
        <f>HYPERLINK("https://my.pitchbook.com?p=435217-60P","View People Online")</f>
        <v>View People Online</v>
      </c>
    </row>
    <row r="3403">
      <c r="A3403" s="6" t="s">
        <v>21619</v>
      </c>
      <c r="B3403" s="6" t="s">
        <v>21620</v>
      </c>
      <c r="C3403" s="6" t="s">
        <v>3888</v>
      </c>
      <c r="D3403" s="6" t="s">
        <v>21621</v>
      </c>
      <c r="E3403" s="6" t="s">
        <v>13207</v>
      </c>
      <c r="F3403" s="6" t="s">
        <v>3523</v>
      </c>
      <c r="G3403" s="6" t="s">
        <v>21622</v>
      </c>
      <c r="H3403" s="7" t="s">
        <v>31</v>
      </c>
      <c r="I3403" s="7">
        <v>1.0</v>
      </c>
      <c r="J3403" s="7">
        <v>1.0</v>
      </c>
      <c r="K3403" s="7" t="s">
        <v>31</v>
      </c>
      <c r="L3403" s="8" t="s">
        <v>13953</v>
      </c>
      <c r="M3403" s="6" t="s">
        <v>21623</v>
      </c>
      <c r="N3403" s="6" t="s">
        <v>1170</v>
      </c>
      <c r="O3403" s="8" t="s">
        <v>1171</v>
      </c>
      <c r="P3403" s="6" t="s">
        <v>13955</v>
      </c>
      <c r="Q3403" s="6" t="s">
        <v>13956</v>
      </c>
      <c r="R3403" s="6" t="s">
        <v>64</v>
      </c>
      <c r="S3403" s="8" t="s">
        <v>13957</v>
      </c>
      <c r="T3403" s="6" t="s">
        <v>66</v>
      </c>
      <c r="U3403" s="8" t="s">
        <v>13958</v>
      </c>
      <c r="V3403" s="6" t="s">
        <v>3523</v>
      </c>
      <c r="W3403" s="6" t="s">
        <v>13207</v>
      </c>
      <c r="X3403" s="9" t="str">
        <f>HYPERLINK("https://my.pitchbook.com?p=434811-79P","View People Online")</f>
        <v>View People Online</v>
      </c>
    </row>
    <row r="3404">
      <c r="A3404" s="2" t="s">
        <v>21624</v>
      </c>
      <c r="B3404" s="2" t="s">
        <v>21625</v>
      </c>
      <c r="C3404" s="2" t="s">
        <v>3888</v>
      </c>
      <c r="D3404" s="2" t="s">
        <v>21626</v>
      </c>
      <c r="E3404" s="2" t="s">
        <v>13207</v>
      </c>
      <c r="F3404" s="2" t="s">
        <v>3523</v>
      </c>
      <c r="G3404" s="2" t="s">
        <v>21627</v>
      </c>
      <c r="H3404" s="3" t="s">
        <v>31</v>
      </c>
      <c r="I3404" s="3">
        <v>2.0</v>
      </c>
      <c r="J3404" s="3">
        <v>1.0</v>
      </c>
      <c r="K3404" s="3">
        <v>1.0</v>
      </c>
      <c r="L3404" s="4" t="s">
        <v>13242</v>
      </c>
      <c r="M3404" s="2" t="s">
        <v>21628</v>
      </c>
      <c r="N3404" s="2" t="s">
        <v>9865</v>
      </c>
      <c r="O3404" s="4" t="s">
        <v>9866</v>
      </c>
      <c r="P3404" s="2" t="s">
        <v>13244</v>
      </c>
      <c r="Q3404" s="2" t="s">
        <v>31</v>
      </c>
      <c r="R3404" s="2" t="s">
        <v>31</v>
      </c>
      <c r="S3404" s="4" t="s">
        <v>13245</v>
      </c>
      <c r="T3404" s="2" t="s">
        <v>38</v>
      </c>
      <c r="U3404" s="4" t="s">
        <v>13246</v>
      </c>
      <c r="V3404" s="2" t="s">
        <v>13218</v>
      </c>
      <c r="W3404" s="2" t="s">
        <v>13207</v>
      </c>
      <c r="X3404" s="5" t="str">
        <f>HYPERLINK("https://my.pitchbook.com?p=204732-37P","View People Online")</f>
        <v>View People Online</v>
      </c>
    </row>
    <row r="3405">
      <c r="A3405" s="14" t="s">
        <v>21629</v>
      </c>
      <c r="B3405" s="14" t="s">
        <v>21630</v>
      </c>
      <c r="C3405" s="14" t="s">
        <v>3888</v>
      </c>
      <c r="D3405" s="14" t="s">
        <v>21631</v>
      </c>
      <c r="E3405" s="14" t="s">
        <v>13207</v>
      </c>
      <c r="F3405" s="14" t="s">
        <v>3523</v>
      </c>
      <c r="G3405" s="14" t="s">
        <v>21632</v>
      </c>
      <c r="H3405" s="15" t="s">
        <v>31</v>
      </c>
      <c r="I3405" s="15">
        <v>1.0</v>
      </c>
      <c r="J3405" s="15">
        <v>1.0</v>
      </c>
      <c r="K3405" s="15" t="s">
        <v>31</v>
      </c>
      <c r="L3405" s="16" t="s">
        <v>13242</v>
      </c>
      <c r="M3405" s="14" t="s">
        <v>21633</v>
      </c>
      <c r="N3405" s="14" t="s">
        <v>9865</v>
      </c>
      <c r="O3405" s="16" t="s">
        <v>9866</v>
      </c>
      <c r="P3405" s="14" t="s">
        <v>13244</v>
      </c>
      <c r="Q3405" s="14" t="s">
        <v>31</v>
      </c>
      <c r="R3405" s="14" t="s">
        <v>31</v>
      </c>
      <c r="S3405" s="16" t="s">
        <v>13245</v>
      </c>
      <c r="T3405" s="14" t="s">
        <v>38</v>
      </c>
      <c r="U3405" s="16" t="s">
        <v>13246</v>
      </c>
      <c r="V3405" s="14" t="s">
        <v>3523</v>
      </c>
      <c r="W3405" s="14" t="s">
        <v>13207</v>
      </c>
      <c r="X3405" s="17" t="str">
        <f>HYPERLINK("https://my.pitchbook.com?p=435126-52P","View People Online")</f>
        <v>View People Online</v>
      </c>
    </row>
    <row r="3406">
      <c r="A3406" s="10" t="s">
        <v>21634</v>
      </c>
      <c r="B3406" s="10" t="s">
        <v>21635</v>
      </c>
      <c r="C3406" s="10" t="s">
        <v>3888</v>
      </c>
      <c r="D3406" s="10" t="s">
        <v>21636</v>
      </c>
      <c r="E3406" s="10" t="s">
        <v>13207</v>
      </c>
      <c r="F3406" s="10" t="s">
        <v>3523</v>
      </c>
      <c r="G3406" s="10" t="s">
        <v>21637</v>
      </c>
      <c r="H3406" s="11" t="s">
        <v>31</v>
      </c>
      <c r="I3406" s="11">
        <v>1.0</v>
      </c>
      <c r="J3406" s="11">
        <v>1.0</v>
      </c>
      <c r="K3406" s="11" t="s">
        <v>31</v>
      </c>
      <c r="L3406" s="12" t="s">
        <v>13242</v>
      </c>
      <c r="M3406" s="10" t="s">
        <v>21638</v>
      </c>
      <c r="N3406" s="10" t="s">
        <v>9865</v>
      </c>
      <c r="O3406" s="12" t="s">
        <v>9866</v>
      </c>
      <c r="P3406" s="10" t="s">
        <v>13244</v>
      </c>
      <c r="Q3406" s="10" t="s">
        <v>31</v>
      </c>
      <c r="R3406" s="10" t="s">
        <v>31</v>
      </c>
      <c r="S3406" s="12" t="s">
        <v>13245</v>
      </c>
      <c r="T3406" s="10" t="s">
        <v>38</v>
      </c>
      <c r="U3406" s="12" t="s">
        <v>13246</v>
      </c>
      <c r="V3406" s="10" t="s">
        <v>3523</v>
      </c>
      <c r="W3406" s="10" t="s">
        <v>13207</v>
      </c>
      <c r="X3406" s="13" t="str">
        <f>HYPERLINK("https://my.pitchbook.com?p=456211-27P","View People Online")</f>
        <v>View People Online</v>
      </c>
    </row>
    <row r="3407">
      <c r="A3407" s="6" t="s">
        <v>21639</v>
      </c>
      <c r="B3407" s="6" t="s">
        <v>21640</v>
      </c>
      <c r="C3407" s="6" t="s">
        <v>3888</v>
      </c>
      <c r="D3407" s="6" t="s">
        <v>21641</v>
      </c>
      <c r="E3407" s="6" t="s">
        <v>13207</v>
      </c>
      <c r="F3407" s="6" t="s">
        <v>3523</v>
      </c>
      <c r="G3407" s="6" t="s">
        <v>21642</v>
      </c>
      <c r="H3407" s="7" t="s">
        <v>31</v>
      </c>
      <c r="I3407" s="7">
        <v>1.0</v>
      </c>
      <c r="J3407" s="7">
        <v>1.0</v>
      </c>
      <c r="K3407" s="7" t="s">
        <v>31</v>
      </c>
      <c r="L3407" s="8" t="s">
        <v>13242</v>
      </c>
      <c r="M3407" s="6" t="s">
        <v>21643</v>
      </c>
      <c r="N3407" s="6" t="s">
        <v>9865</v>
      </c>
      <c r="O3407" s="8" t="s">
        <v>9866</v>
      </c>
      <c r="P3407" s="6" t="s">
        <v>13244</v>
      </c>
      <c r="Q3407" s="6" t="s">
        <v>31</v>
      </c>
      <c r="R3407" s="6" t="s">
        <v>31</v>
      </c>
      <c r="S3407" s="8" t="s">
        <v>13245</v>
      </c>
      <c r="T3407" s="6" t="s">
        <v>38</v>
      </c>
      <c r="U3407" s="8" t="s">
        <v>13246</v>
      </c>
      <c r="V3407" s="6" t="s">
        <v>3523</v>
      </c>
      <c r="W3407" s="6" t="s">
        <v>13207</v>
      </c>
      <c r="X3407" s="9" t="str">
        <f>HYPERLINK("https://my.pitchbook.com?p=434888-47P","View People Online")</f>
        <v>View People Online</v>
      </c>
    </row>
    <row r="3408">
      <c r="A3408" s="10" t="s">
        <v>21644</v>
      </c>
      <c r="B3408" s="10" t="s">
        <v>21645</v>
      </c>
      <c r="C3408" s="10" t="s">
        <v>3888</v>
      </c>
      <c r="D3408" s="10" t="s">
        <v>21646</v>
      </c>
      <c r="E3408" s="10" t="s">
        <v>13207</v>
      </c>
      <c r="F3408" s="10" t="s">
        <v>13240</v>
      </c>
      <c r="G3408" s="10" t="s">
        <v>21647</v>
      </c>
      <c r="H3408" s="11" t="s">
        <v>31</v>
      </c>
      <c r="I3408" s="11">
        <v>1.0</v>
      </c>
      <c r="J3408" s="11">
        <v>1.0</v>
      </c>
      <c r="K3408" s="11" t="s">
        <v>31</v>
      </c>
      <c r="L3408" s="12" t="s">
        <v>13242</v>
      </c>
      <c r="M3408" s="10" t="s">
        <v>21648</v>
      </c>
      <c r="N3408" s="10" t="s">
        <v>9865</v>
      </c>
      <c r="O3408" s="12" t="s">
        <v>9866</v>
      </c>
      <c r="P3408" s="10" t="s">
        <v>13244</v>
      </c>
      <c r="Q3408" s="10" t="s">
        <v>31</v>
      </c>
      <c r="R3408" s="10" t="s">
        <v>31</v>
      </c>
      <c r="S3408" s="12" t="s">
        <v>13245</v>
      </c>
      <c r="T3408" s="10" t="s">
        <v>38</v>
      </c>
      <c r="U3408" s="12" t="s">
        <v>13246</v>
      </c>
      <c r="V3408" s="10" t="s">
        <v>21649</v>
      </c>
      <c r="W3408" s="10" t="s">
        <v>13207</v>
      </c>
      <c r="X3408" s="13" t="str">
        <f>HYPERLINK("https://my.pitchbook.com?p=456434-20P","View People Online")</f>
        <v>View People Online</v>
      </c>
    </row>
    <row r="3409">
      <c r="A3409" s="6" t="s">
        <v>21650</v>
      </c>
      <c r="B3409" s="6" t="s">
        <v>21651</v>
      </c>
      <c r="C3409" s="6" t="s">
        <v>3888</v>
      </c>
      <c r="D3409" s="6" t="s">
        <v>20772</v>
      </c>
      <c r="E3409" s="6" t="s">
        <v>13207</v>
      </c>
      <c r="F3409" s="6" t="s">
        <v>3523</v>
      </c>
      <c r="G3409" s="6" t="s">
        <v>21652</v>
      </c>
      <c r="H3409" s="7" t="s">
        <v>31</v>
      </c>
      <c r="I3409" s="7">
        <v>1.0</v>
      </c>
      <c r="J3409" s="7">
        <v>1.0</v>
      </c>
      <c r="K3409" s="7" t="s">
        <v>31</v>
      </c>
      <c r="L3409" s="8" t="s">
        <v>13714</v>
      </c>
      <c r="M3409" s="6" t="s">
        <v>21653</v>
      </c>
      <c r="N3409" s="6" t="s">
        <v>13716</v>
      </c>
      <c r="O3409" s="8" t="s">
        <v>13717</v>
      </c>
      <c r="P3409" s="6" t="s">
        <v>13718</v>
      </c>
      <c r="Q3409" s="6" t="s">
        <v>31</v>
      </c>
      <c r="R3409" s="6" t="s">
        <v>31</v>
      </c>
      <c r="S3409" s="8" t="s">
        <v>13719</v>
      </c>
      <c r="T3409" s="6" t="s">
        <v>38</v>
      </c>
      <c r="U3409" s="8" t="s">
        <v>13720</v>
      </c>
      <c r="V3409" s="6" t="s">
        <v>3523</v>
      </c>
      <c r="W3409" s="6" t="s">
        <v>13207</v>
      </c>
      <c r="X3409" s="9" t="str">
        <f>HYPERLINK("https://my.pitchbook.com?p=436378-96P","View People Online")</f>
        <v>View People Online</v>
      </c>
    </row>
    <row r="3410">
      <c r="A3410" s="2" t="s">
        <v>21654</v>
      </c>
      <c r="B3410" s="2" t="s">
        <v>21655</v>
      </c>
      <c r="C3410" s="2" t="s">
        <v>21656</v>
      </c>
      <c r="D3410" s="2" t="s">
        <v>21657</v>
      </c>
      <c r="E3410" s="2" t="s">
        <v>13207</v>
      </c>
      <c r="F3410" s="2" t="s">
        <v>13240</v>
      </c>
      <c r="G3410" s="2" t="s">
        <v>21658</v>
      </c>
      <c r="H3410" s="3" t="s">
        <v>31</v>
      </c>
      <c r="I3410" s="3">
        <v>1.0</v>
      </c>
      <c r="J3410" s="3">
        <v>1.0</v>
      </c>
      <c r="K3410" s="3" t="s">
        <v>31</v>
      </c>
      <c r="L3410" s="4" t="s">
        <v>13378</v>
      </c>
      <c r="M3410" s="2" t="s">
        <v>21659</v>
      </c>
      <c r="N3410" s="2" t="s">
        <v>429</v>
      </c>
      <c r="O3410" s="4" t="s">
        <v>430</v>
      </c>
      <c r="P3410" s="2" t="s">
        <v>13380</v>
      </c>
      <c r="Q3410" s="2" t="s">
        <v>31</v>
      </c>
      <c r="R3410" s="2" t="s">
        <v>31</v>
      </c>
      <c r="S3410" s="4" t="s">
        <v>13381</v>
      </c>
      <c r="T3410" s="2" t="s">
        <v>433</v>
      </c>
      <c r="U3410" s="4" t="s">
        <v>13382</v>
      </c>
      <c r="V3410" s="2" t="s">
        <v>21660</v>
      </c>
      <c r="W3410" s="2" t="s">
        <v>13207</v>
      </c>
      <c r="X3410" s="5" t="str">
        <f>HYPERLINK("https://my.pitchbook.com?p=455708-44P","View People Online")</f>
        <v>View People Online</v>
      </c>
    </row>
    <row r="3411">
      <c r="A3411" s="6" t="s">
        <v>21661</v>
      </c>
      <c r="B3411" s="6" t="s">
        <v>21662</v>
      </c>
      <c r="C3411" s="6" t="s">
        <v>21656</v>
      </c>
      <c r="D3411" s="6" t="s">
        <v>21663</v>
      </c>
      <c r="E3411" s="6" t="s">
        <v>13207</v>
      </c>
      <c r="F3411" s="6" t="s">
        <v>13218</v>
      </c>
      <c r="G3411" s="6" t="s">
        <v>21664</v>
      </c>
      <c r="H3411" s="7" t="s">
        <v>31</v>
      </c>
      <c r="I3411" s="7">
        <v>1.0</v>
      </c>
      <c r="J3411" s="7">
        <v>1.0</v>
      </c>
      <c r="K3411" s="7" t="s">
        <v>31</v>
      </c>
      <c r="L3411" s="8" t="s">
        <v>14014</v>
      </c>
      <c r="M3411" s="6" t="s">
        <v>21665</v>
      </c>
      <c r="N3411" s="6" t="s">
        <v>14016</v>
      </c>
      <c r="O3411" s="8" t="s">
        <v>14017</v>
      </c>
      <c r="P3411" s="6" t="s">
        <v>14018</v>
      </c>
      <c r="Q3411" s="6" t="s">
        <v>14019</v>
      </c>
      <c r="R3411" s="6" t="s">
        <v>31</v>
      </c>
      <c r="S3411" s="8" t="s">
        <v>14020</v>
      </c>
      <c r="T3411" s="6" t="s">
        <v>38</v>
      </c>
      <c r="U3411" s="8" t="s">
        <v>14014</v>
      </c>
      <c r="V3411" s="6" t="s">
        <v>13218</v>
      </c>
      <c r="W3411" s="6" t="s">
        <v>13207</v>
      </c>
      <c r="X3411" s="9" t="str">
        <f>HYPERLINK("https://my.pitchbook.com?p=435966-13P","View People Online")</f>
        <v>View People Online</v>
      </c>
    </row>
    <row r="3412">
      <c r="A3412" s="2" t="s">
        <v>21666</v>
      </c>
      <c r="B3412" s="2" t="s">
        <v>21667</v>
      </c>
      <c r="C3412" s="2" t="s">
        <v>21668</v>
      </c>
      <c r="D3412" s="2" t="s">
        <v>21669</v>
      </c>
      <c r="E3412" s="2" t="s">
        <v>13207</v>
      </c>
      <c r="F3412" s="2" t="s">
        <v>3523</v>
      </c>
      <c r="G3412" s="2" t="s">
        <v>21670</v>
      </c>
      <c r="H3412" s="3" t="s">
        <v>31</v>
      </c>
      <c r="I3412" s="3">
        <v>1.0</v>
      </c>
      <c r="J3412" s="3">
        <v>1.0</v>
      </c>
      <c r="K3412" s="3" t="s">
        <v>31</v>
      </c>
      <c r="L3412" s="4" t="s">
        <v>13888</v>
      </c>
      <c r="M3412" s="2" t="s">
        <v>21671</v>
      </c>
      <c r="N3412" s="2" t="s">
        <v>13890</v>
      </c>
      <c r="O3412" s="4" t="s">
        <v>13891</v>
      </c>
      <c r="P3412" s="2" t="s">
        <v>13892</v>
      </c>
      <c r="Q3412" s="2" t="s">
        <v>31</v>
      </c>
      <c r="R3412" s="2" t="s">
        <v>31</v>
      </c>
      <c r="S3412" s="4" t="s">
        <v>13893</v>
      </c>
      <c r="T3412" s="2" t="s">
        <v>13894</v>
      </c>
      <c r="U3412" s="4" t="s">
        <v>31</v>
      </c>
      <c r="V3412" s="2" t="s">
        <v>3523</v>
      </c>
      <c r="W3412" s="2" t="s">
        <v>13207</v>
      </c>
      <c r="X3412" s="5" t="str">
        <f>HYPERLINK("https://my.pitchbook.com?p=332436-25P","View People Online")</f>
        <v>View People Online</v>
      </c>
    </row>
    <row r="3413">
      <c r="A3413" s="14" t="s">
        <v>21672</v>
      </c>
      <c r="B3413" s="14" t="s">
        <v>21673</v>
      </c>
      <c r="C3413" s="14" t="s">
        <v>21674</v>
      </c>
      <c r="D3413" s="14" t="s">
        <v>21675</v>
      </c>
      <c r="E3413" s="14" t="s">
        <v>13207</v>
      </c>
      <c r="F3413" s="14" t="s">
        <v>3523</v>
      </c>
      <c r="G3413" s="14" t="s">
        <v>21676</v>
      </c>
      <c r="H3413" s="15" t="s">
        <v>31</v>
      </c>
      <c r="I3413" s="15">
        <v>1.0</v>
      </c>
      <c r="J3413" s="15">
        <v>1.0</v>
      </c>
      <c r="K3413" s="15" t="s">
        <v>31</v>
      </c>
      <c r="L3413" s="16" t="s">
        <v>13263</v>
      </c>
      <c r="M3413" s="14" t="s">
        <v>21677</v>
      </c>
      <c r="N3413" s="14" t="s">
        <v>1005</v>
      </c>
      <c r="O3413" s="16" t="s">
        <v>1006</v>
      </c>
      <c r="P3413" s="14" t="s">
        <v>13265</v>
      </c>
      <c r="Q3413" s="14" t="s">
        <v>13266</v>
      </c>
      <c r="R3413" s="14" t="s">
        <v>13267</v>
      </c>
      <c r="S3413" s="16" t="s">
        <v>13268</v>
      </c>
      <c r="T3413" s="14" t="s">
        <v>1010</v>
      </c>
      <c r="U3413" s="16" t="s">
        <v>13269</v>
      </c>
      <c r="V3413" s="14" t="s">
        <v>3523</v>
      </c>
      <c r="W3413" s="14" t="s">
        <v>13207</v>
      </c>
      <c r="X3413" s="17" t="str">
        <f>HYPERLINK("https://my.pitchbook.com?p=456218-74P","View People Online")</f>
        <v>View People Online</v>
      </c>
    </row>
    <row r="3414">
      <c r="A3414" s="10" t="s">
        <v>21678</v>
      </c>
      <c r="B3414" s="10" t="s">
        <v>21679</v>
      </c>
      <c r="C3414" s="10" t="s">
        <v>21680</v>
      </c>
      <c r="D3414" s="10" t="s">
        <v>21681</v>
      </c>
      <c r="E3414" s="10" t="s">
        <v>13207</v>
      </c>
      <c r="F3414" s="10" t="s">
        <v>13218</v>
      </c>
      <c r="G3414" s="10" t="s">
        <v>21682</v>
      </c>
      <c r="H3414" s="11" t="s">
        <v>31</v>
      </c>
      <c r="I3414" s="11">
        <v>1.0</v>
      </c>
      <c r="J3414" s="11">
        <v>1.0</v>
      </c>
      <c r="K3414" s="11" t="s">
        <v>31</v>
      </c>
      <c r="L3414" s="12" t="s">
        <v>13274</v>
      </c>
      <c r="M3414" s="10" t="s">
        <v>21683</v>
      </c>
      <c r="N3414" s="10" t="s">
        <v>1181</v>
      </c>
      <c r="O3414" s="12" t="s">
        <v>1182</v>
      </c>
      <c r="P3414" s="10" t="s">
        <v>13276</v>
      </c>
      <c r="Q3414" s="10" t="s">
        <v>31</v>
      </c>
      <c r="R3414" s="10" t="s">
        <v>1185</v>
      </c>
      <c r="S3414" s="12" t="s">
        <v>4438</v>
      </c>
      <c r="T3414" s="10" t="s">
        <v>66</v>
      </c>
      <c r="U3414" s="12" t="s">
        <v>13277</v>
      </c>
      <c r="V3414" s="10" t="s">
        <v>13218</v>
      </c>
      <c r="W3414" s="10" t="s">
        <v>13207</v>
      </c>
      <c r="X3414" s="13" t="str">
        <f>HYPERLINK("https://my.pitchbook.com?p=435283-84P","View People Online")</f>
        <v>View People Online</v>
      </c>
    </row>
    <row r="3415">
      <c r="A3415" s="6" t="s">
        <v>21684</v>
      </c>
      <c r="B3415" s="6" t="s">
        <v>21685</v>
      </c>
      <c r="C3415" s="6" t="s">
        <v>21686</v>
      </c>
      <c r="D3415" s="6" t="s">
        <v>21687</v>
      </c>
      <c r="E3415" s="6" t="s">
        <v>13207</v>
      </c>
      <c r="F3415" s="6" t="s">
        <v>13307</v>
      </c>
      <c r="G3415" s="6" t="s">
        <v>21688</v>
      </c>
      <c r="H3415" s="7" t="s">
        <v>31</v>
      </c>
      <c r="I3415" s="7">
        <v>1.0</v>
      </c>
      <c r="J3415" s="7">
        <v>1.0</v>
      </c>
      <c r="K3415" s="7" t="s">
        <v>31</v>
      </c>
      <c r="L3415" s="8" t="s">
        <v>13263</v>
      </c>
      <c r="M3415" s="6" t="s">
        <v>21689</v>
      </c>
      <c r="N3415" s="6" t="s">
        <v>1005</v>
      </c>
      <c r="O3415" s="8" t="s">
        <v>1006</v>
      </c>
      <c r="P3415" s="6" t="s">
        <v>13265</v>
      </c>
      <c r="Q3415" s="6" t="s">
        <v>13266</v>
      </c>
      <c r="R3415" s="6" t="s">
        <v>13267</v>
      </c>
      <c r="S3415" s="8" t="s">
        <v>13268</v>
      </c>
      <c r="T3415" s="6" t="s">
        <v>1010</v>
      </c>
      <c r="U3415" s="8" t="s">
        <v>13269</v>
      </c>
      <c r="V3415" s="6" t="s">
        <v>13317</v>
      </c>
      <c r="W3415" s="6" t="s">
        <v>13207</v>
      </c>
      <c r="X3415" s="9" t="str">
        <f>HYPERLINK("https://my.pitchbook.com?p=436230-73P","View People Online")</f>
        <v>View People Online</v>
      </c>
    </row>
    <row r="3416">
      <c r="A3416" s="10" t="s">
        <v>21690</v>
      </c>
      <c r="B3416" s="10" t="s">
        <v>21691</v>
      </c>
      <c r="C3416" s="10" t="s">
        <v>3402</v>
      </c>
      <c r="D3416" s="10" t="s">
        <v>21692</v>
      </c>
      <c r="E3416" s="10" t="s">
        <v>13207</v>
      </c>
      <c r="F3416" s="10" t="s">
        <v>13240</v>
      </c>
      <c r="G3416" s="10" t="s">
        <v>21693</v>
      </c>
      <c r="H3416" s="11" t="s">
        <v>31</v>
      </c>
      <c r="I3416" s="11">
        <v>1.0</v>
      </c>
      <c r="J3416" s="11">
        <v>1.0</v>
      </c>
      <c r="K3416" s="11" t="s">
        <v>31</v>
      </c>
      <c r="L3416" s="12" t="s">
        <v>13531</v>
      </c>
      <c r="M3416" s="10" t="s">
        <v>21694</v>
      </c>
      <c r="N3416" s="10" t="s">
        <v>2273</v>
      </c>
      <c r="O3416" s="12" t="s">
        <v>2274</v>
      </c>
      <c r="P3416" s="10" t="s">
        <v>13533</v>
      </c>
      <c r="Q3416" s="10" t="s">
        <v>31</v>
      </c>
      <c r="R3416" s="10" t="s">
        <v>31</v>
      </c>
      <c r="S3416" s="12" t="s">
        <v>13534</v>
      </c>
      <c r="T3416" s="10" t="s">
        <v>2278</v>
      </c>
      <c r="U3416" s="12" t="s">
        <v>13535</v>
      </c>
      <c r="V3416" s="10" t="s">
        <v>21695</v>
      </c>
      <c r="W3416" s="10" t="s">
        <v>13207</v>
      </c>
      <c r="X3416" s="13" t="str">
        <f>HYPERLINK("https://my.pitchbook.com?p=435603-61P","View People Online")</f>
        <v>View People Online</v>
      </c>
    </row>
    <row r="3417">
      <c r="A3417" s="14" t="s">
        <v>21696</v>
      </c>
      <c r="B3417" s="14" t="s">
        <v>21697</v>
      </c>
      <c r="C3417" s="14" t="s">
        <v>21698</v>
      </c>
      <c r="D3417" s="14" t="s">
        <v>21699</v>
      </c>
      <c r="E3417" s="14" t="s">
        <v>13207</v>
      </c>
      <c r="F3417" s="14" t="s">
        <v>13218</v>
      </c>
      <c r="G3417" s="14" t="s">
        <v>21700</v>
      </c>
      <c r="H3417" s="15" t="s">
        <v>31</v>
      </c>
      <c r="I3417" s="15">
        <v>1.0</v>
      </c>
      <c r="J3417" s="15">
        <v>1.0</v>
      </c>
      <c r="K3417" s="15" t="s">
        <v>31</v>
      </c>
      <c r="L3417" s="16" t="s">
        <v>13281</v>
      </c>
      <c r="M3417" s="14" t="s">
        <v>21701</v>
      </c>
      <c r="N3417" s="14" t="s">
        <v>1277</v>
      </c>
      <c r="O3417" s="16" t="s">
        <v>1278</v>
      </c>
      <c r="P3417" s="14" t="s">
        <v>13283</v>
      </c>
      <c r="Q3417" s="14" t="s">
        <v>13284</v>
      </c>
      <c r="R3417" s="14" t="s">
        <v>1281</v>
      </c>
      <c r="S3417" s="16" t="s">
        <v>1282</v>
      </c>
      <c r="T3417" s="14" t="s">
        <v>66</v>
      </c>
      <c r="U3417" s="16" t="s">
        <v>13285</v>
      </c>
      <c r="V3417" s="14" t="s">
        <v>13218</v>
      </c>
      <c r="W3417" s="14" t="s">
        <v>13207</v>
      </c>
      <c r="X3417" s="17" t="str">
        <f>HYPERLINK("https://my.pitchbook.com?p=435926-53P","View People Online")</f>
        <v>View People Online</v>
      </c>
    </row>
    <row r="3418">
      <c r="A3418" s="10" t="s">
        <v>21702</v>
      </c>
      <c r="B3418" s="10" t="s">
        <v>21703</v>
      </c>
      <c r="C3418" s="10" t="s">
        <v>21704</v>
      </c>
      <c r="D3418" s="10" t="s">
        <v>21705</v>
      </c>
      <c r="E3418" s="10" t="s">
        <v>13207</v>
      </c>
      <c r="F3418" s="10" t="s">
        <v>13218</v>
      </c>
      <c r="G3418" s="10" t="s">
        <v>21706</v>
      </c>
      <c r="H3418" s="11" t="s">
        <v>31</v>
      </c>
      <c r="I3418" s="11">
        <v>1.0</v>
      </c>
      <c r="J3418" s="11">
        <v>1.0</v>
      </c>
      <c r="K3418" s="11" t="s">
        <v>31</v>
      </c>
      <c r="L3418" s="12" t="s">
        <v>13274</v>
      </c>
      <c r="M3418" s="10" t="s">
        <v>21707</v>
      </c>
      <c r="N3418" s="10" t="s">
        <v>1181</v>
      </c>
      <c r="O3418" s="12" t="s">
        <v>1182</v>
      </c>
      <c r="P3418" s="10" t="s">
        <v>13276</v>
      </c>
      <c r="Q3418" s="10" t="s">
        <v>31</v>
      </c>
      <c r="R3418" s="10" t="s">
        <v>1185</v>
      </c>
      <c r="S3418" s="12" t="s">
        <v>4438</v>
      </c>
      <c r="T3418" s="10" t="s">
        <v>66</v>
      </c>
      <c r="U3418" s="12" t="s">
        <v>13277</v>
      </c>
      <c r="V3418" s="10" t="s">
        <v>13218</v>
      </c>
      <c r="W3418" s="10" t="s">
        <v>13207</v>
      </c>
      <c r="X3418" s="13" t="str">
        <f>HYPERLINK("https://my.pitchbook.com?p=191805-94P","View People Online")</f>
        <v>View People Online</v>
      </c>
    </row>
    <row r="3419">
      <c r="A3419" s="14" t="s">
        <v>21708</v>
      </c>
      <c r="B3419" s="14" t="s">
        <v>21709</v>
      </c>
      <c r="C3419" s="14" t="s">
        <v>21710</v>
      </c>
      <c r="D3419" s="14" t="s">
        <v>21711</v>
      </c>
      <c r="E3419" s="14" t="s">
        <v>13207</v>
      </c>
      <c r="F3419" s="14" t="s">
        <v>3523</v>
      </c>
      <c r="G3419" s="14" t="s">
        <v>21712</v>
      </c>
      <c r="H3419" s="15" t="s">
        <v>31</v>
      </c>
      <c r="I3419" s="15">
        <v>1.0</v>
      </c>
      <c r="J3419" s="15">
        <v>1.0</v>
      </c>
      <c r="K3419" s="15" t="s">
        <v>31</v>
      </c>
      <c r="L3419" s="16" t="s">
        <v>14614</v>
      </c>
      <c r="M3419" s="14" t="s">
        <v>21713</v>
      </c>
      <c r="N3419" s="14" t="s">
        <v>1442</v>
      </c>
      <c r="O3419" s="16" t="s">
        <v>1443</v>
      </c>
      <c r="P3419" s="14" t="s">
        <v>14616</v>
      </c>
      <c r="Q3419" s="14" t="s">
        <v>14617</v>
      </c>
      <c r="R3419" s="14" t="s">
        <v>1277</v>
      </c>
      <c r="S3419" s="16" t="s">
        <v>14618</v>
      </c>
      <c r="T3419" s="14" t="s">
        <v>66</v>
      </c>
      <c r="U3419" s="16" t="s">
        <v>31</v>
      </c>
      <c r="V3419" s="14" t="s">
        <v>3523</v>
      </c>
      <c r="W3419" s="14" t="s">
        <v>13207</v>
      </c>
      <c r="X3419" s="17" t="str">
        <f>HYPERLINK("https://my.pitchbook.com?p=455947-21P","View People Online")</f>
        <v>View People Online</v>
      </c>
    </row>
    <row r="3420">
      <c r="A3420" s="2" t="s">
        <v>21714</v>
      </c>
      <c r="B3420" s="2" t="s">
        <v>21715</v>
      </c>
      <c r="C3420" s="2" t="s">
        <v>21716</v>
      </c>
      <c r="D3420" s="2" t="s">
        <v>14513</v>
      </c>
      <c r="E3420" s="2" t="s">
        <v>13207</v>
      </c>
      <c r="F3420" s="2" t="s">
        <v>13218</v>
      </c>
      <c r="G3420" s="2" t="s">
        <v>21717</v>
      </c>
      <c r="H3420" s="3" t="s">
        <v>31</v>
      </c>
      <c r="I3420" s="3">
        <v>3.0</v>
      </c>
      <c r="J3420" s="3">
        <v>1.0</v>
      </c>
      <c r="K3420" s="3">
        <v>1.0</v>
      </c>
      <c r="L3420" s="4" t="s">
        <v>13953</v>
      </c>
      <c r="M3420" s="2" t="s">
        <v>21718</v>
      </c>
      <c r="N3420" s="2" t="s">
        <v>1170</v>
      </c>
      <c r="O3420" s="4" t="s">
        <v>1171</v>
      </c>
      <c r="P3420" s="2" t="s">
        <v>13955</v>
      </c>
      <c r="Q3420" s="2" t="s">
        <v>13956</v>
      </c>
      <c r="R3420" s="2" t="s">
        <v>64</v>
      </c>
      <c r="S3420" s="4" t="s">
        <v>13957</v>
      </c>
      <c r="T3420" s="2" t="s">
        <v>66</v>
      </c>
      <c r="U3420" s="4" t="s">
        <v>13958</v>
      </c>
      <c r="V3420" s="2" t="s">
        <v>13218</v>
      </c>
      <c r="W3420" s="2" t="s">
        <v>13207</v>
      </c>
      <c r="X3420" s="5" t="str">
        <f>HYPERLINK("https://my.pitchbook.com?p=304265-98P","View People Online")</f>
        <v>View People Online</v>
      </c>
    </row>
    <row r="3421">
      <c r="A3421" s="6" t="s">
        <v>21719</v>
      </c>
      <c r="B3421" s="6" t="s">
        <v>21720</v>
      </c>
      <c r="C3421" s="6" t="s">
        <v>21721</v>
      </c>
      <c r="D3421" s="6" t="s">
        <v>21722</v>
      </c>
      <c r="E3421" s="6" t="s">
        <v>13207</v>
      </c>
      <c r="F3421" s="6" t="s">
        <v>13218</v>
      </c>
      <c r="G3421" s="6" t="s">
        <v>21723</v>
      </c>
      <c r="H3421" s="7" t="s">
        <v>31</v>
      </c>
      <c r="I3421" s="7">
        <v>1.0</v>
      </c>
      <c r="J3421" s="7">
        <v>1.0</v>
      </c>
      <c r="K3421" s="7" t="s">
        <v>31</v>
      </c>
      <c r="L3421" s="8" t="s">
        <v>13274</v>
      </c>
      <c r="M3421" s="6" t="s">
        <v>21724</v>
      </c>
      <c r="N3421" s="6" t="s">
        <v>1181</v>
      </c>
      <c r="O3421" s="8" t="s">
        <v>1182</v>
      </c>
      <c r="P3421" s="6" t="s">
        <v>13276</v>
      </c>
      <c r="Q3421" s="6" t="s">
        <v>31</v>
      </c>
      <c r="R3421" s="6" t="s">
        <v>1185</v>
      </c>
      <c r="S3421" s="8" t="s">
        <v>4438</v>
      </c>
      <c r="T3421" s="6" t="s">
        <v>66</v>
      </c>
      <c r="U3421" s="8" t="s">
        <v>13277</v>
      </c>
      <c r="V3421" s="6" t="s">
        <v>13218</v>
      </c>
      <c r="W3421" s="6" t="s">
        <v>13207</v>
      </c>
      <c r="X3421" s="9" t="str">
        <f>HYPERLINK("https://my.pitchbook.com?p=435581-92P","View People Online")</f>
        <v>View People Online</v>
      </c>
    </row>
    <row r="3422">
      <c r="A3422" s="2" t="s">
        <v>21725</v>
      </c>
      <c r="B3422" s="2" t="s">
        <v>21726</v>
      </c>
      <c r="C3422" s="2" t="s">
        <v>21727</v>
      </c>
      <c r="D3422" s="2" t="s">
        <v>21728</v>
      </c>
      <c r="E3422" s="2" t="s">
        <v>13207</v>
      </c>
      <c r="F3422" s="2" t="s">
        <v>13218</v>
      </c>
      <c r="G3422" s="2" t="s">
        <v>21729</v>
      </c>
      <c r="H3422" s="3" t="s">
        <v>31</v>
      </c>
      <c r="I3422" s="3">
        <v>1.0</v>
      </c>
      <c r="J3422" s="3">
        <v>1.0</v>
      </c>
      <c r="K3422" s="3" t="s">
        <v>31</v>
      </c>
      <c r="L3422" s="4" t="s">
        <v>13274</v>
      </c>
      <c r="M3422" s="2" t="s">
        <v>21730</v>
      </c>
      <c r="N3422" s="2" t="s">
        <v>1181</v>
      </c>
      <c r="O3422" s="4" t="s">
        <v>1182</v>
      </c>
      <c r="P3422" s="2" t="s">
        <v>13276</v>
      </c>
      <c r="Q3422" s="2" t="s">
        <v>31</v>
      </c>
      <c r="R3422" s="2" t="s">
        <v>1185</v>
      </c>
      <c r="S3422" s="4" t="s">
        <v>4438</v>
      </c>
      <c r="T3422" s="2" t="s">
        <v>66</v>
      </c>
      <c r="U3422" s="4" t="s">
        <v>13277</v>
      </c>
      <c r="V3422" s="2" t="s">
        <v>21731</v>
      </c>
      <c r="W3422" s="2" t="s">
        <v>13207</v>
      </c>
      <c r="X3422" s="5" t="str">
        <f>HYPERLINK("https://my.pitchbook.com?p=55380-34P","View People Online")</f>
        <v>View People Online</v>
      </c>
    </row>
    <row r="3423">
      <c r="A3423" s="14" t="s">
        <v>21732</v>
      </c>
      <c r="B3423" s="14" t="s">
        <v>21733</v>
      </c>
      <c r="C3423" s="14" t="s">
        <v>21727</v>
      </c>
      <c r="D3423" s="14" t="s">
        <v>21734</v>
      </c>
      <c r="E3423" s="14" t="s">
        <v>13207</v>
      </c>
      <c r="F3423" s="14" t="s">
        <v>29</v>
      </c>
      <c r="G3423" s="14" t="s">
        <v>21735</v>
      </c>
      <c r="H3423" s="15" t="s">
        <v>31</v>
      </c>
      <c r="I3423" s="15">
        <v>1.0</v>
      </c>
      <c r="J3423" s="15">
        <v>1.0</v>
      </c>
      <c r="K3423" s="15" t="s">
        <v>31</v>
      </c>
      <c r="L3423" s="16" t="s">
        <v>13423</v>
      </c>
      <c r="M3423" s="14" t="s">
        <v>21736</v>
      </c>
      <c r="N3423" s="14" t="s">
        <v>243</v>
      </c>
      <c r="O3423" s="16" t="s">
        <v>244</v>
      </c>
      <c r="P3423" s="14" t="s">
        <v>13425</v>
      </c>
      <c r="Q3423" s="14" t="s">
        <v>31</v>
      </c>
      <c r="R3423" s="14" t="s">
        <v>247</v>
      </c>
      <c r="S3423" s="16" t="s">
        <v>13426</v>
      </c>
      <c r="T3423" s="14" t="s">
        <v>249</v>
      </c>
      <c r="U3423" s="16" t="s">
        <v>31</v>
      </c>
      <c r="V3423" s="14" t="s">
        <v>29</v>
      </c>
      <c r="W3423" s="14" t="s">
        <v>13207</v>
      </c>
      <c r="X3423" s="17" t="str">
        <f>HYPERLINK("https://my.pitchbook.com?p=436124-98P","View People Online")</f>
        <v>View People Online</v>
      </c>
    </row>
    <row r="3424">
      <c r="A3424" s="10" t="s">
        <v>21737</v>
      </c>
      <c r="B3424" s="10" t="s">
        <v>21738</v>
      </c>
      <c r="C3424" s="10" t="s">
        <v>21739</v>
      </c>
      <c r="D3424" s="10" t="s">
        <v>21740</v>
      </c>
      <c r="E3424" s="10" t="s">
        <v>13207</v>
      </c>
      <c r="F3424" s="10" t="s">
        <v>1283</v>
      </c>
      <c r="G3424" s="10" t="s">
        <v>21741</v>
      </c>
      <c r="H3424" s="11" t="s">
        <v>31</v>
      </c>
      <c r="I3424" s="11">
        <v>1.0</v>
      </c>
      <c r="J3424" s="11">
        <v>1.0</v>
      </c>
      <c r="K3424" s="11" t="s">
        <v>31</v>
      </c>
      <c r="L3424" s="12" t="s">
        <v>13423</v>
      </c>
      <c r="M3424" s="10" t="s">
        <v>21742</v>
      </c>
      <c r="N3424" s="10" t="s">
        <v>243</v>
      </c>
      <c r="O3424" s="12" t="s">
        <v>244</v>
      </c>
      <c r="P3424" s="10" t="s">
        <v>13425</v>
      </c>
      <c r="Q3424" s="10" t="s">
        <v>31</v>
      </c>
      <c r="R3424" s="10" t="s">
        <v>247</v>
      </c>
      <c r="S3424" s="12" t="s">
        <v>13426</v>
      </c>
      <c r="T3424" s="10" t="s">
        <v>249</v>
      </c>
      <c r="U3424" s="12" t="s">
        <v>31</v>
      </c>
      <c r="V3424" s="10" t="s">
        <v>13974</v>
      </c>
      <c r="W3424" s="10" t="s">
        <v>13207</v>
      </c>
      <c r="X3424" s="13" t="str">
        <f>HYPERLINK("https://my.pitchbook.com?p=455767-03P","View People Online")</f>
        <v>View People Online</v>
      </c>
    </row>
    <row r="3425">
      <c r="A3425" s="14" t="s">
        <v>21743</v>
      </c>
      <c r="B3425" s="14" t="s">
        <v>21744</v>
      </c>
      <c r="C3425" s="14" t="s">
        <v>21745</v>
      </c>
      <c r="D3425" s="14" t="s">
        <v>13875</v>
      </c>
      <c r="E3425" s="14" t="s">
        <v>13207</v>
      </c>
      <c r="F3425" s="14" t="s">
        <v>3523</v>
      </c>
      <c r="G3425" s="14" t="s">
        <v>21746</v>
      </c>
      <c r="H3425" s="15" t="s">
        <v>31</v>
      </c>
      <c r="I3425" s="15">
        <v>1.0</v>
      </c>
      <c r="J3425" s="15">
        <v>1.0</v>
      </c>
      <c r="K3425" s="15" t="s">
        <v>31</v>
      </c>
      <c r="L3425" s="16" t="s">
        <v>13496</v>
      </c>
      <c r="M3425" s="14" t="s">
        <v>21747</v>
      </c>
      <c r="N3425" s="14" t="s">
        <v>75</v>
      </c>
      <c r="O3425" s="16" t="s">
        <v>76</v>
      </c>
      <c r="P3425" s="14" t="s">
        <v>13498</v>
      </c>
      <c r="Q3425" s="14" t="s">
        <v>31</v>
      </c>
      <c r="R3425" s="14" t="s">
        <v>75</v>
      </c>
      <c r="S3425" s="16" t="s">
        <v>195</v>
      </c>
      <c r="T3425" s="14" t="s">
        <v>66</v>
      </c>
      <c r="U3425" s="16" t="s">
        <v>13499</v>
      </c>
      <c r="V3425" s="14" t="s">
        <v>3523</v>
      </c>
      <c r="W3425" s="14" t="s">
        <v>13207</v>
      </c>
      <c r="X3425" s="17" t="str">
        <f>HYPERLINK("https://my.pitchbook.com?p=436197-79P","View People Online")</f>
        <v>View People Online</v>
      </c>
    </row>
    <row r="3426">
      <c r="A3426" s="2" t="s">
        <v>21748</v>
      </c>
      <c r="B3426" s="2" t="s">
        <v>21749</v>
      </c>
      <c r="C3426" s="2" t="s">
        <v>21750</v>
      </c>
      <c r="D3426" s="2" t="s">
        <v>21751</v>
      </c>
      <c r="E3426" s="2" t="s">
        <v>13207</v>
      </c>
      <c r="F3426" s="2" t="s">
        <v>3523</v>
      </c>
      <c r="G3426" s="2" t="s">
        <v>21752</v>
      </c>
      <c r="H3426" s="3" t="s">
        <v>31</v>
      </c>
      <c r="I3426" s="3">
        <v>1.0</v>
      </c>
      <c r="J3426" s="3">
        <v>1.0</v>
      </c>
      <c r="K3426" s="3" t="s">
        <v>31</v>
      </c>
      <c r="L3426" s="4" t="s">
        <v>13423</v>
      </c>
      <c r="M3426" s="2" t="s">
        <v>21753</v>
      </c>
      <c r="N3426" s="2" t="s">
        <v>243</v>
      </c>
      <c r="O3426" s="4" t="s">
        <v>244</v>
      </c>
      <c r="P3426" s="2" t="s">
        <v>13425</v>
      </c>
      <c r="Q3426" s="2" t="s">
        <v>31</v>
      </c>
      <c r="R3426" s="2" t="s">
        <v>247</v>
      </c>
      <c r="S3426" s="4" t="s">
        <v>13426</v>
      </c>
      <c r="T3426" s="2" t="s">
        <v>249</v>
      </c>
      <c r="U3426" s="4" t="s">
        <v>31</v>
      </c>
      <c r="V3426" s="2" t="s">
        <v>3523</v>
      </c>
      <c r="W3426" s="2" t="s">
        <v>13207</v>
      </c>
      <c r="X3426" s="5" t="str">
        <f>HYPERLINK("https://my.pitchbook.com?p=456559-48P","View People Online")</f>
        <v>View People Online</v>
      </c>
    </row>
    <row r="3427">
      <c r="A3427" s="6" t="s">
        <v>21754</v>
      </c>
      <c r="B3427" s="6" t="s">
        <v>21755</v>
      </c>
      <c r="C3427" s="6" t="s">
        <v>21756</v>
      </c>
      <c r="D3427" s="6" t="s">
        <v>14513</v>
      </c>
      <c r="E3427" s="6" t="s">
        <v>13207</v>
      </c>
      <c r="F3427" s="6" t="s">
        <v>3523</v>
      </c>
      <c r="G3427" s="6" t="s">
        <v>21757</v>
      </c>
      <c r="H3427" s="7" t="s">
        <v>31</v>
      </c>
      <c r="I3427" s="7">
        <v>1.0</v>
      </c>
      <c r="J3427" s="7">
        <v>1.0</v>
      </c>
      <c r="K3427" s="7" t="s">
        <v>31</v>
      </c>
      <c r="L3427" s="8" t="s">
        <v>13274</v>
      </c>
      <c r="M3427" s="6" t="s">
        <v>21758</v>
      </c>
      <c r="N3427" s="6" t="s">
        <v>1181</v>
      </c>
      <c r="O3427" s="8" t="s">
        <v>1182</v>
      </c>
      <c r="P3427" s="6" t="s">
        <v>13276</v>
      </c>
      <c r="Q3427" s="6" t="s">
        <v>31</v>
      </c>
      <c r="R3427" s="6" t="s">
        <v>1185</v>
      </c>
      <c r="S3427" s="8" t="s">
        <v>4438</v>
      </c>
      <c r="T3427" s="6" t="s">
        <v>66</v>
      </c>
      <c r="U3427" s="8" t="s">
        <v>13277</v>
      </c>
      <c r="V3427" s="6" t="s">
        <v>3523</v>
      </c>
      <c r="W3427" s="6" t="s">
        <v>13207</v>
      </c>
      <c r="X3427" s="9" t="str">
        <f>HYPERLINK("https://my.pitchbook.com?p=435862-36P","View People Online")</f>
        <v>View People Online</v>
      </c>
    </row>
    <row r="3428">
      <c r="A3428" s="2" t="s">
        <v>21759</v>
      </c>
      <c r="B3428" s="2" t="s">
        <v>21760</v>
      </c>
      <c r="C3428" s="2" t="s">
        <v>21761</v>
      </c>
      <c r="D3428" s="2" t="s">
        <v>21762</v>
      </c>
      <c r="E3428" s="2" t="s">
        <v>13207</v>
      </c>
      <c r="F3428" s="2" t="s">
        <v>3523</v>
      </c>
      <c r="G3428" s="2" t="s">
        <v>21763</v>
      </c>
      <c r="H3428" s="3" t="s">
        <v>31</v>
      </c>
      <c r="I3428" s="3">
        <v>1.0</v>
      </c>
      <c r="J3428" s="3">
        <v>1.0</v>
      </c>
      <c r="K3428" s="3" t="s">
        <v>31</v>
      </c>
      <c r="L3428" s="4" t="s">
        <v>13632</v>
      </c>
      <c r="M3428" s="2" t="s">
        <v>21764</v>
      </c>
      <c r="N3428" s="2" t="s">
        <v>7690</v>
      </c>
      <c r="O3428" s="4" t="s">
        <v>7691</v>
      </c>
      <c r="P3428" s="2" t="s">
        <v>13634</v>
      </c>
      <c r="Q3428" s="2" t="s">
        <v>13635</v>
      </c>
      <c r="R3428" s="2" t="s">
        <v>7693</v>
      </c>
      <c r="S3428" s="4" t="s">
        <v>13636</v>
      </c>
      <c r="T3428" s="2" t="s">
        <v>66</v>
      </c>
      <c r="U3428" s="4" t="s">
        <v>13637</v>
      </c>
      <c r="V3428" s="2" t="s">
        <v>3523</v>
      </c>
      <c r="W3428" s="2" t="s">
        <v>13207</v>
      </c>
      <c r="X3428" s="5" t="str">
        <f>HYPERLINK("https://my.pitchbook.com?p=147669-85P","View People Online")</f>
        <v>View People Online</v>
      </c>
    </row>
    <row r="3429">
      <c r="A3429" s="14" t="s">
        <v>21765</v>
      </c>
      <c r="B3429" s="14" t="s">
        <v>21766</v>
      </c>
      <c r="C3429" s="14" t="s">
        <v>21767</v>
      </c>
      <c r="D3429" s="14" t="s">
        <v>21768</v>
      </c>
      <c r="E3429" s="14" t="s">
        <v>13207</v>
      </c>
      <c r="F3429" s="14" t="s">
        <v>13218</v>
      </c>
      <c r="G3429" s="14" t="s">
        <v>21769</v>
      </c>
      <c r="H3429" s="15" t="s">
        <v>31</v>
      </c>
      <c r="I3429" s="15">
        <v>1.0</v>
      </c>
      <c r="J3429" s="15">
        <v>1.0</v>
      </c>
      <c r="K3429" s="15" t="s">
        <v>31</v>
      </c>
      <c r="L3429" s="16" t="s">
        <v>13299</v>
      </c>
      <c r="M3429" s="14" t="s">
        <v>21770</v>
      </c>
      <c r="N3429" s="14" t="s">
        <v>601</v>
      </c>
      <c r="O3429" s="16" t="s">
        <v>602</v>
      </c>
      <c r="P3429" s="14" t="s">
        <v>13301</v>
      </c>
      <c r="Q3429" s="14" t="s">
        <v>13302</v>
      </c>
      <c r="R3429" s="14" t="s">
        <v>31</v>
      </c>
      <c r="S3429" s="16" t="s">
        <v>31</v>
      </c>
      <c r="T3429" s="14" t="s">
        <v>603</v>
      </c>
      <c r="U3429" s="16" t="s">
        <v>13303</v>
      </c>
      <c r="V3429" s="14" t="s">
        <v>13218</v>
      </c>
      <c r="W3429" s="14" t="s">
        <v>13207</v>
      </c>
      <c r="X3429" s="17" t="str">
        <f>HYPERLINK("https://my.pitchbook.com?p=435312-37P","View People Online")</f>
        <v>View People Online</v>
      </c>
    </row>
    <row r="3430">
      <c r="A3430" s="2" t="s">
        <v>21771</v>
      </c>
      <c r="B3430" s="2" t="s">
        <v>21772</v>
      </c>
      <c r="C3430" s="2" t="s">
        <v>21773</v>
      </c>
      <c r="D3430" s="2" t="s">
        <v>3744</v>
      </c>
      <c r="E3430" s="2" t="s">
        <v>13207</v>
      </c>
      <c r="F3430" s="2" t="s">
        <v>3523</v>
      </c>
      <c r="G3430" s="2" t="s">
        <v>21774</v>
      </c>
      <c r="H3430" s="3" t="s">
        <v>31</v>
      </c>
      <c r="I3430" s="3">
        <v>1.0</v>
      </c>
      <c r="J3430" s="3">
        <v>1.0</v>
      </c>
      <c r="K3430" s="3" t="s">
        <v>31</v>
      </c>
      <c r="L3430" s="4" t="s">
        <v>13642</v>
      </c>
      <c r="M3430" s="2" t="s">
        <v>21775</v>
      </c>
      <c r="N3430" s="2" t="s">
        <v>3334</v>
      </c>
      <c r="O3430" s="4" t="s">
        <v>3335</v>
      </c>
      <c r="P3430" s="2" t="s">
        <v>13644</v>
      </c>
      <c r="Q3430" s="2" t="s">
        <v>13645</v>
      </c>
      <c r="R3430" s="2" t="s">
        <v>31</v>
      </c>
      <c r="S3430" s="4" t="s">
        <v>13646</v>
      </c>
      <c r="T3430" s="2" t="s">
        <v>3339</v>
      </c>
      <c r="U3430" s="4" t="s">
        <v>13647</v>
      </c>
      <c r="V3430" s="2" t="s">
        <v>3523</v>
      </c>
      <c r="W3430" s="2" t="s">
        <v>13207</v>
      </c>
      <c r="X3430" s="5" t="str">
        <f>HYPERLINK("https://my.pitchbook.com?p=436235-32P","View People Online")</f>
        <v>View People Online</v>
      </c>
    </row>
    <row r="3431">
      <c r="A3431" s="14" t="s">
        <v>21776</v>
      </c>
      <c r="B3431" s="14" t="s">
        <v>21777</v>
      </c>
      <c r="C3431" s="14" t="s">
        <v>21778</v>
      </c>
      <c r="D3431" s="14" t="s">
        <v>21779</v>
      </c>
      <c r="E3431" s="14" t="s">
        <v>13207</v>
      </c>
      <c r="F3431" s="14" t="s">
        <v>13218</v>
      </c>
      <c r="G3431" s="14" t="s">
        <v>21780</v>
      </c>
      <c r="H3431" s="15" t="s">
        <v>31</v>
      </c>
      <c r="I3431" s="15">
        <v>1.0</v>
      </c>
      <c r="J3431" s="15">
        <v>1.0</v>
      </c>
      <c r="K3431" s="15" t="s">
        <v>31</v>
      </c>
      <c r="L3431" s="16" t="s">
        <v>13953</v>
      </c>
      <c r="M3431" s="14" t="s">
        <v>21781</v>
      </c>
      <c r="N3431" s="14" t="s">
        <v>1170</v>
      </c>
      <c r="O3431" s="16" t="s">
        <v>1171</v>
      </c>
      <c r="P3431" s="14" t="s">
        <v>13955</v>
      </c>
      <c r="Q3431" s="14" t="s">
        <v>13956</v>
      </c>
      <c r="R3431" s="14" t="s">
        <v>64</v>
      </c>
      <c r="S3431" s="16" t="s">
        <v>13957</v>
      </c>
      <c r="T3431" s="14" t="s">
        <v>66</v>
      </c>
      <c r="U3431" s="16" t="s">
        <v>13958</v>
      </c>
      <c r="V3431" s="14" t="s">
        <v>13218</v>
      </c>
      <c r="W3431" s="14" t="s">
        <v>13207</v>
      </c>
      <c r="X3431" s="17" t="str">
        <f>HYPERLINK("https://my.pitchbook.com?p=435390-04P","View People Online")</f>
        <v>View People Online</v>
      </c>
    </row>
    <row r="3432">
      <c r="A3432" s="2" t="s">
        <v>21782</v>
      </c>
      <c r="B3432" s="2" t="s">
        <v>21783</v>
      </c>
      <c r="C3432" s="2" t="s">
        <v>21784</v>
      </c>
      <c r="D3432" s="2" t="s">
        <v>21785</v>
      </c>
      <c r="E3432" s="2" t="s">
        <v>13207</v>
      </c>
      <c r="F3432" s="2" t="s">
        <v>3523</v>
      </c>
      <c r="G3432" s="2" t="s">
        <v>21786</v>
      </c>
      <c r="H3432" s="3" t="s">
        <v>31</v>
      </c>
      <c r="I3432" s="3">
        <v>1.0</v>
      </c>
      <c r="J3432" s="3">
        <v>1.0</v>
      </c>
      <c r="K3432" s="3" t="s">
        <v>31</v>
      </c>
      <c r="L3432" s="4" t="s">
        <v>13263</v>
      </c>
      <c r="M3432" s="2" t="s">
        <v>21787</v>
      </c>
      <c r="N3432" s="2" t="s">
        <v>1005</v>
      </c>
      <c r="O3432" s="4" t="s">
        <v>1006</v>
      </c>
      <c r="P3432" s="2" t="s">
        <v>13265</v>
      </c>
      <c r="Q3432" s="2" t="s">
        <v>13266</v>
      </c>
      <c r="R3432" s="2" t="s">
        <v>13267</v>
      </c>
      <c r="S3432" s="4" t="s">
        <v>13268</v>
      </c>
      <c r="T3432" s="2" t="s">
        <v>1010</v>
      </c>
      <c r="U3432" s="4" t="s">
        <v>13269</v>
      </c>
      <c r="V3432" s="2" t="s">
        <v>3523</v>
      </c>
      <c r="W3432" s="2" t="s">
        <v>13207</v>
      </c>
      <c r="X3432" s="5" t="str">
        <f>HYPERLINK("https://my.pitchbook.com?p=455512-24P","View People Online")</f>
        <v>View People Online</v>
      </c>
    </row>
    <row r="3433">
      <c r="A3433" s="6" t="s">
        <v>21788</v>
      </c>
      <c r="B3433" s="6" t="s">
        <v>21789</v>
      </c>
      <c r="C3433" s="6" t="s">
        <v>801</v>
      </c>
      <c r="D3433" s="6" t="s">
        <v>21790</v>
      </c>
      <c r="E3433" s="6" t="s">
        <v>13207</v>
      </c>
      <c r="F3433" s="6" t="s">
        <v>3523</v>
      </c>
      <c r="G3433" s="6" t="s">
        <v>21791</v>
      </c>
      <c r="H3433" s="7" t="s">
        <v>31</v>
      </c>
      <c r="I3433" s="7">
        <v>1.0</v>
      </c>
      <c r="J3433" s="7">
        <v>1.0</v>
      </c>
      <c r="K3433" s="7" t="s">
        <v>31</v>
      </c>
      <c r="L3433" s="8" t="s">
        <v>13263</v>
      </c>
      <c r="M3433" s="6" t="s">
        <v>21792</v>
      </c>
      <c r="N3433" s="6" t="s">
        <v>1005</v>
      </c>
      <c r="O3433" s="8" t="s">
        <v>1006</v>
      </c>
      <c r="P3433" s="6" t="s">
        <v>13265</v>
      </c>
      <c r="Q3433" s="6" t="s">
        <v>13266</v>
      </c>
      <c r="R3433" s="6" t="s">
        <v>13267</v>
      </c>
      <c r="S3433" s="8" t="s">
        <v>13268</v>
      </c>
      <c r="T3433" s="6" t="s">
        <v>1010</v>
      </c>
      <c r="U3433" s="8" t="s">
        <v>13269</v>
      </c>
      <c r="V3433" s="6" t="s">
        <v>3523</v>
      </c>
      <c r="W3433" s="6" t="s">
        <v>13207</v>
      </c>
      <c r="X3433" s="9" t="str">
        <f>HYPERLINK("https://my.pitchbook.com?p=435146-59P","View People Online")</f>
        <v>View People Online</v>
      </c>
    </row>
    <row r="3434">
      <c r="A3434" s="2" t="s">
        <v>21793</v>
      </c>
      <c r="B3434" s="2" t="s">
        <v>21794</v>
      </c>
      <c r="C3434" s="2" t="s">
        <v>21795</v>
      </c>
      <c r="D3434" s="2" t="s">
        <v>6868</v>
      </c>
      <c r="E3434" s="2" t="s">
        <v>13207</v>
      </c>
      <c r="F3434" s="2" t="s">
        <v>29</v>
      </c>
      <c r="G3434" s="2" t="s">
        <v>21796</v>
      </c>
      <c r="H3434" s="3" t="s">
        <v>31</v>
      </c>
      <c r="I3434" s="3">
        <v>1.0</v>
      </c>
      <c r="J3434" s="3">
        <v>1.0</v>
      </c>
      <c r="K3434" s="3" t="s">
        <v>31</v>
      </c>
      <c r="L3434" s="4" t="s">
        <v>13263</v>
      </c>
      <c r="M3434" s="2" t="s">
        <v>21797</v>
      </c>
      <c r="N3434" s="2" t="s">
        <v>1005</v>
      </c>
      <c r="O3434" s="4" t="s">
        <v>1006</v>
      </c>
      <c r="P3434" s="2" t="s">
        <v>13265</v>
      </c>
      <c r="Q3434" s="2" t="s">
        <v>13266</v>
      </c>
      <c r="R3434" s="2" t="s">
        <v>13267</v>
      </c>
      <c r="S3434" s="4" t="s">
        <v>13268</v>
      </c>
      <c r="T3434" s="2" t="s">
        <v>1010</v>
      </c>
      <c r="U3434" s="4" t="s">
        <v>13269</v>
      </c>
      <c r="V3434" s="2" t="s">
        <v>29</v>
      </c>
      <c r="W3434" s="2" t="s">
        <v>13207</v>
      </c>
      <c r="X3434" s="5" t="str">
        <f>HYPERLINK("https://my.pitchbook.com?p=436355-47P","View People Online")</f>
        <v>View People Online</v>
      </c>
    </row>
    <row r="3435">
      <c r="A3435" s="14" t="s">
        <v>21798</v>
      </c>
      <c r="B3435" s="14" t="s">
        <v>21799</v>
      </c>
      <c r="C3435" s="14" t="s">
        <v>1311</v>
      </c>
      <c r="D3435" s="14" t="s">
        <v>21800</v>
      </c>
      <c r="E3435" s="14" t="s">
        <v>13207</v>
      </c>
      <c r="F3435" s="14" t="s">
        <v>3523</v>
      </c>
      <c r="G3435" s="14" t="s">
        <v>21801</v>
      </c>
      <c r="H3435" s="15" t="s">
        <v>31</v>
      </c>
      <c r="I3435" s="15">
        <v>1.0</v>
      </c>
      <c r="J3435" s="15">
        <v>1.0</v>
      </c>
      <c r="K3435" s="15" t="s">
        <v>31</v>
      </c>
      <c r="L3435" s="16" t="s">
        <v>13263</v>
      </c>
      <c r="M3435" s="14" t="s">
        <v>21802</v>
      </c>
      <c r="N3435" s="14" t="s">
        <v>1005</v>
      </c>
      <c r="O3435" s="16" t="s">
        <v>1006</v>
      </c>
      <c r="P3435" s="14" t="s">
        <v>13265</v>
      </c>
      <c r="Q3435" s="14" t="s">
        <v>13266</v>
      </c>
      <c r="R3435" s="14" t="s">
        <v>13267</v>
      </c>
      <c r="S3435" s="16" t="s">
        <v>13268</v>
      </c>
      <c r="T3435" s="14" t="s">
        <v>1010</v>
      </c>
      <c r="U3435" s="16" t="s">
        <v>13269</v>
      </c>
      <c r="V3435" s="14" t="s">
        <v>3523</v>
      </c>
      <c r="W3435" s="14" t="s">
        <v>13207</v>
      </c>
      <c r="X3435" s="17" t="str">
        <f>HYPERLINK("https://my.pitchbook.com?p=435833-92P","View People Online")</f>
        <v>View People Online</v>
      </c>
    </row>
    <row r="3436">
      <c r="A3436" s="10" t="s">
        <v>21803</v>
      </c>
      <c r="B3436" s="10" t="s">
        <v>21804</v>
      </c>
      <c r="C3436" s="10" t="s">
        <v>21805</v>
      </c>
      <c r="D3436" s="10" t="s">
        <v>21806</v>
      </c>
      <c r="E3436" s="10" t="s">
        <v>13207</v>
      </c>
      <c r="F3436" s="10" t="s">
        <v>29</v>
      </c>
      <c r="G3436" s="10" t="s">
        <v>21807</v>
      </c>
      <c r="H3436" s="11" t="s">
        <v>31</v>
      </c>
      <c r="I3436" s="11">
        <v>1.0</v>
      </c>
      <c r="J3436" s="11">
        <v>1.0</v>
      </c>
      <c r="K3436" s="11" t="s">
        <v>31</v>
      </c>
      <c r="L3436" s="12" t="s">
        <v>13263</v>
      </c>
      <c r="M3436" s="10" t="s">
        <v>21808</v>
      </c>
      <c r="N3436" s="10" t="s">
        <v>1005</v>
      </c>
      <c r="O3436" s="12" t="s">
        <v>1006</v>
      </c>
      <c r="P3436" s="10" t="s">
        <v>13265</v>
      </c>
      <c r="Q3436" s="10" t="s">
        <v>13266</v>
      </c>
      <c r="R3436" s="10" t="s">
        <v>13267</v>
      </c>
      <c r="S3436" s="12" t="s">
        <v>13268</v>
      </c>
      <c r="T3436" s="10" t="s">
        <v>1010</v>
      </c>
      <c r="U3436" s="12" t="s">
        <v>13269</v>
      </c>
      <c r="V3436" s="10" t="s">
        <v>29</v>
      </c>
      <c r="W3436" s="10" t="s">
        <v>13207</v>
      </c>
      <c r="X3436" s="13" t="str">
        <f>HYPERLINK("https://my.pitchbook.com?p=455953-60P","View People Online")</f>
        <v>View People Online</v>
      </c>
    </row>
    <row r="3437">
      <c r="A3437" s="6" t="s">
        <v>21809</v>
      </c>
      <c r="B3437" s="6" t="s">
        <v>21810</v>
      </c>
      <c r="C3437" s="6" t="s">
        <v>21811</v>
      </c>
      <c r="D3437" s="6" t="s">
        <v>21812</v>
      </c>
      <c r="E3437" s="6" t="s">
        <v>13207</v>
      </c>
      <c r="F3437" s="6" t="s">
        <v>3523</v>
      </c>
      <c r="G3437" s="6" t="s">
        <v>21813</v>
      </c>
      <c r="H3437" s="7" t="s">
        <v>31</v>
      </c>
      <c r="I3437" s="7">
        <v>1.0</v>
      </c>
      <c r="J3437" s="7">
        <v>1.0</v>
      </c>
      <c r="K3437" s="7" t="s">
        <v>31</v>
      </c>
      <c r="L3437" s="8" t="s">
        <v>13423</v>
      </c>
      <c r="M3437" s="6" t="s">
        <v>21814</v>
      </c>
      <c r="N3437" s="6" t="s">
        <v>243</v>
      </c>
      <c r="O3437" s="8" t="s">
        <v>244</v>
      </c>
      <c r="P3437" s="6" t="s">
        <v>13425</v>
      </c>
      <c r="Q3437" s="6" t="s">
        <v>31</v>
      </c>
      <c r="R3437" s="6" t="s">
        <v>247</v>
      </c>
      <c r="S3437" s="8" t="s">
        <v>13426</v>
      </c>
      <c r="T3437" s="6" t="s">
        <v>249</v>
      </c>
      <c r="U3437" s="8" t="s">
        <v>31</v>
      </c>
      <c r="V3437" s="6" t="s">
        <v>3523</v>
      </c>
      <c r="W3437" s="6" t="s">
        <v>13207</v>
      </c>
      <c r="X3437" s="9" t="str">
        <f>HYPERLINK("https://my.pitchbook.com?p=436359-16P","View People Online")</f>
        <v>View People Online</v>
      </c>
    </row>
    <row r="3438">
      <c r="A3438" s="2" t="s">
        <v>21815</v>
      </c>
      <c r="B3438" s="2" t="s">
        <v>21816</v>
      </c>
      <c r="C3438" s="2" t="s">
        <v>21817</v>
      </c>
      <c r="D3438" s="2" t="s">
        <v>21818</v>
      </c>
      <c r="E3438" s="2" t="s">
        <v>13207</v>
      </c>
      <c r="F3438" s="2" t="s">
        <v>3523</v>
      </c>
      <c r="G3438" s="2" t="s">
        <v>21819</v>
      </c>
      <c r="H3438" s="3" t="s">
        <v>31</v>
      </c>
      <c r="I3438" s="3">
        <v>1.0</v>
      </c>
      <c r="J3438" s="3">
        <v>1.0</v>
      </c>
      <c r="K3438" s="3" t="s">
        <v>31</v>
      </c>
      <c r="L3438" s="4" t="s">
        <v>13299</v>
      </c>
      <c r="M3438" s="2" t="s">
        <v>21820</v>
      </c>
      <c r="N3438" s="2" t="s">
        <v>601</v>
      </c>
      <c r="O3438" s="4" t="s">
        <v>602</v>
      </c>
      <c r="P3438" s="2" t="s">
        <v>13301</v>
      </c>
      <c r="Q3438" s="2" t="s">
        <v>13302</v>
      </c>
      <c r="R3438" s="2" t="s">
        <v>31</v>
      </c>
      <c r="S3438" s="4" t="s">
        <v>31</v>
      </c>
      <c r="T3438" s="2" t="s">
        <v>603</v>
      </c>
      <c r="U3438" s="4" t="s">
        <v>13303</v>
      </c>
      <c r="V3438" s="2" t="s">
        <v>3523</v>
      </c>
      <c r="W3438" s="2" t="s">
        <v>13207</v>
      </c>
      <c r="X3438" s="5" t="str">
        <f>HYPERLINK("https://my.pitchbook.com?p=456193-36P","View People Online")</f>
        <v>View People Online</v>
      </c>
    </row>
    <row r="3439">
      <c r="A3439" s="6" t="s">
        <v>21821</v>
      </c>
      <c r="B3439" s="6" t="s">
        <v>21822</v>
      </c>
      <c r="C3439" s="6" t="s">
        <v>21823</v>
      </c>
      <c r="D3439" s="6" t="s">
        <v>21824</v>
      </c>
      <c r="E3439" s="6" t="s">
        <v>13207</v>
      </c>
      <c r="F3439" s="6" t="s">
        <v>29</v>
      </c>
      <c r="G3439" s="6" t="s">
        <v>21825</v>
      </c>
      <c r="H3439" s="7" t="s">
        <v>31</v>
      </c>
      <c r="I3439" s="7">
        <v>1.0</v>
      </c>
      <c r="J3439" s="7">
        <v>1.0</v>
      </c>
      <c r="K3439" s="7" t="s">
        <v>31</v>
      </c>
      <c r="L3439" s="8" t="s">
        <v>14614</v>
      </c>
      <c r="M3439" s="6" t="s">
        <v>21826</v>
      </c>
      <c r="N3439" s="6" t="s">
        <v>1442</v>
      </c>
      <c r="O3439" s="8" t="s">
        <v>1443</v>
      </c>
      <c r="P3439" s="6" t="s">
        <v>14616</v>
      </c>
      <c r="Q3439" s="6" t="s">
        <v>14617</v>
      </c>
      <c r="R3439" s="6" t="s">
        <v>1277</v>
      </c>
      <c r="S3439" s="8" t="s">
        <v>14618</v>
      </c>
      <c r="T3439" s="6" t="s">
        <v>66</v>
      </c>
      <c r="U3439" s="8" t="s">
        <v>31</v>
      </c>
      <c r="V3439" s="6" t="s">
        <v>29</v>
      </c>
      <c r="W3439" s="6" t="s">
        <v>13207</v>
      </c>
      <c r="X3439" s="9" t="str">
        <f>HYPERLINK("https://my.pitchbook.com?p=435632-77P","View People Online")</f>
        <v>View People Online</v>
      </c>
    </row>
    <row r="3440">
      <c r="A3440" s="10" t="s">
        <v>21827</v>
      </c>
      <c r="B3440" s="10" t="s">
        <v>21828</v>
      </c>
      <c r="C3440" s="10" t="s">
        <v>21829</v>
      </c>
      <c r="D3440" s="10" t="s">
        <v>6900</v>
      </c>
      <c r="E3440" s="10" t="s">
        <v>13207</v>
      </c>
      <c r="F3440" s="10" t="s">
        <v>3523</v>
      </c>
      <c r="G3440" s="10" t="s">
        <v>21830</v>
      </c>
      <c r="H3440" s="11" t="s">
        <v>31</v>
      </c>
      <c r="I3440" s="11">
        <v>1.0</v>
      </c>
      <c r="J3440" s="11">
        <v>1.0</v>
      </c>
      <c r="K3440" s="11" t="s">
        <v>31</v>
      </c>
      <c r="L3440" s="12" t="s">
        <v>13505</v>
      </c>
      <c r="M3440" s="10" t="s">
        <v>21831</v>
      </c>
      <c r="N3440" s="10" t="s">
        <v>1416</v>
      </c>
      <c r="O3440" s="12" t="s">
        <v>1417</v>
      </c>
      <c r="P3440" s="10" t="s">
        <v>13507</v>
      </c>
      <c r="Q3440" s="10" t="s">
        <v>1457</v>
      </c>
      <c r="R3440" s="10" t="s">
        <v>1420</v>
      </c>
      <c r="S3440" s="12" t="s">
        <v>13508</v>
      </c>
      <c r="T3440" s="10" t="s">
        <v>66</v>
      </c>
      <c r="U3440" s="12" t="s">
        <v>13509</v>
      </c>
      <c r="V3440" s="10" t="s">
        <v>3523</v>
      </c>
      <c r="W3440" s="10" t="s">
        <v>13207</v>
      </c>
      <c r="X3440" s="13" t="str">
        <f>HYPERLINK("https://my.pitchbook.com?p=434829-52P","View People Online")</f>
        <v>View People Online</v>
      </c>
    </row>
    <row r="3441">
      <c r="A3441" s="6" t="s">
        <v>21832</v>
      </c>
      <c r="B3441" s="6" t="s">
        <v>21833</v>
      </c>
      <c r="C3441" s="6" t="s">
        <v>21834</v>
      </c>
      <c r="D3441" s="6" t="s">
        <v>18658</v>
      </c>
      <c r="E3441" s="6" t="s">
        <v>13207</v>
      </c>
      <c r="F3441" s="6" t="s">
        <v>3523</v>
      </c>
      <c r="G3441" s="6" t="s">
        <v>21835</v>
      </c>
      <c r="H3441" s="7" t="s">
        <v>31</v>
      </c>
      <c r="I3441" s="7">
        <v>1.0</v>
      </c>
      <c r="J3441" s="7">
        <v>1.0</v>
      </c>
      <c r="K3441" s="7" t="s">
        <v>31</v>
      </c>
      <c r="L3441" s="8" t="s">
        <v>13263</v>
      </c>
      <c r="M3441" s="6" t="s">
        <v>21836</v>
      </c>
      <c r="N3441" s="6" t="s">
        <v>1005</v>
      </c>
      <c r="O3441" s="8" t="s">
        <v>1006</v>
      </c>
      <c r="P3441" s="6" t="s">
        <v>13265</v>
      </c>
      <c r="Q3441" s="6" t="s">
        <v>13266</v>
      </c>
      <c r="R3441" s="6" t="s">
        <v>13267</v>
      </c>
      <c r="S3441" s="8" t="s">
        <v>13268</v>
      </c>
      <c r="T3441" s="6" t="s">
        <v>1010</v>
      </c>
      <c r="U3441" s="8" t="s">
        <v>13269</v>
      </c>
      <c r="V3441" s="6" t="s">
        <v>3523</v>
      </c>
      <c r="W3441" s="6" t="s">
        <v>13207</v>
      </c>
      <c r="X3441" s="9" t="str">
        <f>HYPERLINK("https://my.pitchbook.com?p=455259-43P","View People Online")</f>
        <v>View People Online</v>
      </c>
    </row>
    <row r="3442">
      <c r="A3442" s="2" t="s">
        <v>21837</v>
      </c>
      <c r="B3442" s="2" t="s">
        <v>21838</v>
      </c>
      <c r="C3442" s="2" t="s">
        <v>21839</v>
      </c>
      <c r="D3442" s="2" t="s">
        <v>21840</v>
      </c>
      <c r="E3442" s="2" t="s">
        <v>13207</v>
      </c>
      <c r="F3442" s="2" t="s">
        <v>3523</v>
      </c>
      <c r="G3442" s="2" t="s">
        <v>21841</v>
      </c>
      <c r="H3442" s="3" t="s">
        <v>31</v>
      </c>
      <c r="I3442" s="3">
        <v>1.0</v>
      </c>
      <c r="J3442" s="3">
        <v>1.0</v>
      </c>
      <c r="K3442" s="3" t="s">
        <v>31</v>
      </c>
      <c r="L3442" s="4" t="s">
        <v>13496</v>
      </c>
      <c r="M3442" s="2" t="s">
        <v>21842</v>
      </c>
      <c r="N3442" s="2" t="s">
        <v>75</v>
      </c>
      <c r="O3442" s="4" t="s">
        <v>76</v>
      </c>
      <c r="P3442" s="2" t="s">
        <v>13498</v>
      </c>
      <c r="Q3442" s="2" t="s">
        <v>31</v>
      </c>
      <c r="R3442" s="2" t="s">
        <v>75</v>
      </c>
      <c r="S3442" s="4" t="s">
        <v>195</v>
      </c>
      <c r="T3442" s="2" t="s">
        <v>66</v>
      </c>
      <c r="U3442" s="4" t="s">
        <v>13499</v>
      </c>
      <c r="V3442" s="2" t="s">
        <v>13468</v>
      </c>
      <c r="W3442" s="2" t="s">
        <v>13207</v>
      </c>
      <c r="X3442" s="5" t="str">
        <f>HYPERLINK("https://my.pitchbook.com?p=43080-31P","View People Online")</f>
        <v>View People Online</v>
      </c>
    </row>
    <row r="3443">
      <c r="A3443" s="6" t="s">
        <v>21843</v>
      </c>
      <c r="B3443" s="6" t="s">
        <v>21844</v>
      </c>
      <c r="C3443" s="6" t="s">
        <v>21845</v>
      </c>
      <c r="D3443" s="6" t="s">
        <v>21846</v>
      </c>
      <c r="E3443" s="6" t="s">
        <v>13207</v>
      </c>
      <c r="F3443" s="6" t="s">
        <v>3523</v>
      </c>
      <c r="G3443" s="6" t="s">
        <v>21847</v>
      </c>
      <c r="H3443" s="7" t="s">
        <v>31</v>
      </c>
      <c r="I3443" s="7">
        <v>1.0</v>
      </c>
      <c r="J3443" s="7">
        <v>1.0</v>
      </c>
      <c r="K3443" s="7" t="s">
        <v>31</v>
      </c>
      <c r="L3443" s="8" t="s">
        <v>13540</v>
      </c>
      <c r="M3443" s="6" t="s">
        <v>21848</v>
      </c>
      <c r="N3443" s="6" t="s">
        <v>418</v>
      </c>
      <c r="O3443" s="8" t="s">
        <v>419</v>
      </c>
      <c r="P3443" s="6" t="s">
        <v>13542</v>
      </c>
      <c r="Q3443" s="6" t="s">
        <v>31</v>
      </c>
      <c r="R3443" s="6" t="s">
        <v>31</v>
      </c>
      <c r="S3443" s="8" t="s">
        <v>2664</v>
      </c>
      <c r="T3443" s="6" t="s">
        <v>422</v>
      </c>
      <c r="U3443" s="8" t="s">
        <v>13543</v>
      </c>
      <c r="V3443" s="6" t="s">
        <v>3523</v>
      </c>
      <c r="W3443" s="6" t="s">
        <v>13207</v>
      </c>
      <c r="X3443" s="9" t="str">
        <f>HYPERLINK("https://my.pitchbook.com?p=456102-19P","View People Online")</f>
        <v>View People Online</v>
      </c>
    </row>
    <row r="3444">
      <c r="A3444" s="2" t="s">
        <v>21849</v>
      </c>
      <c r="B3444" s="2" t="s">
        <v>21850</v>
      </c>
      <c r="C3444" s="2" t="s">
        <v>21845</v>
      </c>
      <c r="D3444" s="2" t="s">
        <v>21851</v>
      </c>
      <c r="E3444" s="2" t="s">
        <v>13207</v>
      </c>
      <c r="F3444" s="2" t="s">
        <v>13218</v>
      </c>
      <c r="G3444" s="2" t="s">
        <v>21852</v>
      </c>
      <c r="H3444" s="3" t="s">
        <v>31</v>
      </c>
      <c r="I3444" s="3">
        <v>1.0</v>
      </c>
      <c r="J3444" s="3">
        <v>1.0</v>
      </c>
      <c r="K3444" s="3" t="s">
        <v>31</v>
      </c>
      <c r="L3444" s="4" t="s">
        <v>13496</v>
      </c>
      <c r="M3444" s="2" t="s">
        <v>21853</v>
      </c>
      <c r="N3444" s="2" t="s">
        <v>75</v>
      </c>
      <c r="O3444" s="4" t="s">
        <v>76</v>
      </c>
      <c r="P3444" s="2" t="s">
        <v>13498</v>
      </c>
      <c r="Q3444" s="2" t="s">
        <v>31</v>
      </c>
      <c r="R3444" s="2" t="s">
        <v>75</v>
      </c>
      <c r="S3444" s="4" t="s">
        <v>195</v>
      </c>
      <c r="T3444" s="2" t="s">
        <v>66</v>
      </c>
      <c r="U3444" s="4" t="s">
        <v>13499</v>
      </c>
      <c r="V3444" s="2" t="s">
        <v>13218</v>
      </c>
      <c r="W3444" s="2" t="s">
        <v>13207</v>
      </c>
      <c r="X3444" s="5" t="str">
        <f>HYPERLINK("https://my.pitchbook.com?p=435326-77P","View People Online")</f>
        <v>View People Online</v>
      </c>
    </row>
    <row r="3445">
      <c r="A3445" s="6" t="s">
        <v>21854</v>
      </c>
      <c r="B3445" s="6" t="s">
        <v>21855</v>
      </c>
      <c r="C3445" s="6" t="s">
        <v>1411</v>
      </c>
      <c r="D3445" s="6" t="s">
        <v>21856</v>
      </c>
      <c r="E3445" s="6" t="s">
        <v>13207</v>
      </c>
      <c r="F3445" s="6" t="s">
        <v>3523</v>
      </c>
      <c r="G3445" s="6" t="s">
        <v>21857</v>
      </c>
      <c r="H3445" s="7" t="s">
        <v>31</v>
      </c>
      <c r="I3445" s="7">
        <v>1.0</v>
      </c>
      <c r="J3445" s="7">
        <v>1.0</v>
      </c>
      <c r="K3445" s="7" t="s">
        <v>31</v>
      </c>
      <c r="L3445" s="8" t="s">
        <v>14092</v>
      </c>
      <c r="M3445" s="6" t="s">
        <v>21858</v>
      </c>
      <c r="N3445" s="6" t="s">
        <v>10742</v>
      </c>
      <c r="O3445" s="8" t="s">
        <v>10743</v>
      </c>
      <c r="P3445" s="6" t="s">
        <v>14094</v>
      </c>
      <c r="Q3445" s="6" t="s">
        <v>14095</v>
      </c>
      <c r="R3445" s="6" t="s">
        <v>10745</v>
      </c>
      <c r="S3445" s="8" t="s">
        <v>14096</v>
      </c>
      <c r="T3445" s="6" t="s">
        <v>1019</v>
      </c>
      <c r="U3445" s="8" t="s">
        <v>14097</v>
      </c>
      <c r="V3445" s="6" t="s">
        <v>3523</v>
      </c>
      <c r="W3445" s="6" t="s">
        <v>13207</v>
      </c>
      <c r="X3445" s="9" t="str">
        <f>HYPERLINK("https://my.pitchbook.com?p=435588-04P","View People Online")</f>
        <v>View People Online</v>
      </c>
    </row>
    <row r="3446">
      <c r="A3446" s="2" t="s">
        <v>21859</v>
      </c>
      <c r="B3446" s="2" t="s">
        <v>21860</v>
      </c>
      <c r="C3446" s="2" t="s">
        <v>1411</v>
      </c>
      <c r="D3446" s="2" t="s">
        <v>12822</v>
      </c>
      <c r="E3446" s="2" t="s">
        <v>13207</v>
      </c>
      <c r="F3446" s="2" t="s">
        <v>13307</v>
      </c>
      <c r="G3446" s="2" t="s">
        <v>21861</v>
      </c>
      <c r="H3446" s="3" t="s">
        <v>31</v>
      </c>
      <c r="I3446" s="3">
        <v>1.0</v>
      </c>
      <c r="J3446" s="3">
        <v>1.0</v>
      </c>
      <c r="K3446" s="3" t="s">
        <v>31</v>
      </c>
      <c r="L3446" s="4" t="s">
        <v>15178</v>
      </c>
      <c r="M3446" s="2" t="s">
        <v>21862</v>
      </c>
      <c r="N3446" s="2" t="s">
        <v>7258</v>
      </c>
      <c r="O3446" s="4" t="s">
        <v>7259</v>
      </c>
      <c r="P3446" s="2" t="s">
        <v>15180</v>
      </c>
      <c r="Q3446" s="2" t="s">
        <v>15181</v>
      </c>
      <c r="R3446" s="2" t="s">
        <v>7262</v>
      </c>
      <c r="S3446" s="4" t="s">
        <v>7263</v>
      </c>
      <c r="T3446" s="2" t="s">
        <v>5484</v>
      </c>
      <c r="U3446" s="4" t="s">
        <v>15182</v>
      </c>
      <c r="V3446" s="2" t="s">
        <v>13317</v>
      </c>
      <c r="W3446" s="2" t="s">
        <v>13207</v>
      </c>
      <c r="X3446" s="5" t="str">
        <f>HYPERLINK("https://my.pitchbook.com?p=455874-58P","View People Online")</f>
        <v>View People Online</v>
      </c>
    </row>
    <row r="3447">
      <c r="A3447" s="6" t="s">
        <v>21863</v>
      </c>
      <c r="B3447" s="6" t="s">
        <v>21864</v>
      </c>
      <c r="C3447" s="6" t="s">
        <v>1411</v>
      </c>
      <c r="D3447" s="6" t="s">
        <v>10412</v>
      </c>
      <c r="E3447" s="6" t="s">
        <v>13207</v>
      </c>
      <c r="F3447" s="6" t="s">
        <v>13218</v>
      </c>
      <c r="G3447" s="6" t="s">
        <v>21865</v>
      </c>
      <c r="H3447" s="7" t="s">
        <v>31</v>
      </c>
      <c r="I3447" s="7">
        <v>1.0</v>
      </c>
      <c r="J3447" s="7">
        <v>1.0</v>
      </c>
      <c r="K3447" s="7" t="s">
        <v>31</v>
      </c>
      <c r="L3447" s="8" t="s">
        <v>13220</v>
      </c>
      <c r="M3447" s="6" t="s">
        <v>21866</v>
      </c>
      <c r="N3447" s="6" t="s">
        <v>2478</v>
      </c>
      <c r="O3447" s="8" t="s">
        <v>7332</v>
      </c>
      <c r="P3447" s="6" t="s">
        <v>13222</v>
      </c>
      <c r="Q3447" s="6" t="s">
        <v>13223</v>
      </c>
      <c r="R3447" s="6" t="s">
        <v>7335</v>
      </c>
      <c r="S3447" s="8" t="s">
        <v>7336</v>
      </c>
      <c r="T3447" s="6" t="s">
        <v>5484</v>
      </c>
      <c r="U3447" s="8" t="s">
        <v>13224</v>
      </c>
      <c r="V3447" s="6" t="s">
        <v>13218</v>
      </c>
      <c r="W3447" s="6" t="s">
        <v>13207</v>
      </c>
      <c r="X3447" s="9" t="str">
        <f>HYPERLINK("https://my.pitchbook.com?p=436234-87P","View People Online")</f>
        <v>View People Online</v>
      </c>
    </row>
    <row r="3448">
      <c r="A3448" s="10" t="s">
        <v>21867</v>
      </c>
      <c r="B3448" s="10" t="s">
        <v>21868</v>
      </c>
      <c r="C3448" s="10" t="s">
        <v>1411</v>
      </c>
      <c r="D3448" s="10" t="s">
        <v>21869</v>
      </c>
      <c r="E3448" s="10" t="s">
        <v>13207</v>
      </c>
      <c r="F3448" s="10" t="s">
        <v>3523</v>
      </c>
      <c r="G3448" s="10" t="s">
        <v>21870</v>
      </c>
      <c r="H3448" s="11" t="s">
        <v>31</v>
      </c>
      <c r="I3448" s="11">
        <v>1.0</v>
      </c>
      <c r="J3448" s="11">
        <v>1.0</v>
      </c>
      <c r="K3448" s="11" t="s">
        <v>31</v>
      </c>
      <c r="L3448" s="12" t="s">
        <v>13274</v>
      </c>
      <c r="M3448" s="10" t="s">
        <v>21871</v>
      </c>
      <c r="N3448" s="10" t="s">
        <v>1181</v>
      </c>
      <c r="O3448" s="12" t="s">
        <v>1182</v>
      </c>
      <c r="P3448" s="10" t="s">
        <v>13276</v>
      </c>
      <c r="Q3448" s="10" t="s">
        <v>31</v>
      </c>
      <c r="R3448" s="10" t="s">
        <v>1185</v>
      </c>
      <c r="S3448" s="12" t="s">
        <v>4438</v>
      </c>
      <c r="T3448" s="10" t="s">
        <v>66</v>
      </c>
      <c r="U3448" s="12" t="s">
        <v>13277</v>
      </c>
      <c r="V3448" s="10" t="s">
        <v>3523</v>
      </c>
      <c r="W3448" s="10" t="s">
        <v>13207</v>
      </c>
      <c r="X3448" s="13" t="str">
        <f>HYPERLINK("https://my.pitchbook.com?p=456684-67P","View People Online")</f>
        <v>View People Online</v>
      </c>
    </row>
    <row r="3449">
      <c r="A3449" s="14" t="s">
        <v>21872</v>
      </c>
      <c r="B3449" s="14" t="s">
        <v>21873</v>
      </c>
      <c r="C3449" s="14" t="s">
        <v>1411</v>
      </c>
      <c r="D3449" s="14" t="s">
        <v>21874</v>
      </c>
      <c r="E3449" s="14" t="s">
        <v>13207</v>
      </c>
      <c r="F3449" s="14" t="s">
        <v>3523</v>
      </c>
      <c r="G3449" s="14" t="s">
        <v>21875</v>
      </c>
      <c r="H3449" s="15" t="s">
        <v>31</v>
      </c>
      <c r="I3449" s="15">
        <v>1.0</v>
      </c>
      <c r="J3449" s="15">
        <v>1.0</v>
      </c>
      <c r="K3449" s="15" t="s">
        <v>31</v>
      </c>
      <c r="L3449" s="16" t="s">
        <v>13423</v>
      </c>
      <c r="M3449" s="14" t="s">
        <v>21876</v>
      </c>
      <c r="N3449" s="14" t="s">
        <v>243</v>
      </c>
      <c r="O3449" s="16" t="s">
        <v>244</v>
      </c>
      <c r="P3449" s="14" t="s">
        <v>13425</v>
      </c>
      <c r="Q3449" s="14" t="s">
        <v>31</v>
      </c>
      <c r="R3449" s="14" t="s">
        <v>247</v>
      </c>
      <c r="S3449" s="16" t="s">
        <v>13426</v>
      </c>
      <c r="T3449" s="14" t="s">
        <v>249</v>
      </c>
      <c r="U3449" s="16" t="s">
        <v>31</v>
      </c>
      <c r="V3449" s="14" t="s">
        <v>3523</v>
      </c>
      <c r="W3449" s="14" t="s">
        <v>13207</v>
      </c>
      <c r="X3449" s="17" t="str">
        <f>HYPERLINK("https://my.pitchbook.com?p=435709-00P","View People Online")</f>
        <v>View People Online</v>
      </c>
    </row>
    <row r="3450">
      <c r="A3450" s="10" t="s">
        <v>21877</v>
      </c>
      <c r="B3450" s="10" t="s">
        <v>21878</v>
      </c>
      <c r="C3450" s="10" t="s">
        <v>1411</v>
      </c>
      <c r="D3450" s="10" t="s">
        <v>21879</v>
      </c>
      <c r="E3450" s="10" t="s">
        <v>13207</v>
      </c>
      <c r="F3450" s="10" t="s">
        <v>3523</v>
      </c>
      <c r="G3450" s="10" t="s">
        <v>21880</v>
      </c>
      <c r="H3450" s="11" t="s">
        <v>31</v>
      </c>
      <c r="I3450" s="11">
        <v>1.0</v>
      </c>
      <c r="J3450" s="11">
        <v>1.0</v>
      </c>
      <c r="K3450" s="11" t="s">
        <v>31</v>
      </c>
      <c r="L3450" s="12" t="s">
        <v>13242</v>
      </c>
      <c r="M3450" s="10" t="s">
        <v>21881</v>
      </c>
      <c r="N3450" s="10" t="s">
        <v>9865</v>
      </c>
      <c r="O3450" s="12" t="s">
        <v>9866</v>
      </c>
      <c r="P3450" s="10" t="s">
        <v>13244</v>
      </c>
      <c r="Q3450" s="10" t="s">
        <v>31</v>
      </c>
      <c r="R3450" s="10" t="s">
        <v>31</v>
      </c>
      <c r="S3450" s="12" t="s">
        <v>13245</v>
      </c>
      <c r="T3450" s="10" t="s">
        <v>38</v>
      </c>
      <c r="U3450" s="12" t="s">
        <v>13246</v>
      </c>
      <c r="V3450" s="10" t="s">
        <v>3523</v>
      </c>
      <c r="W3450" s="10" t="s">
        <v>13207</v>
      </c>
      <c r="X3450" s="13" t="str">
        <f>HYPERLINK("https://my.pitchbook.com?p=455469-04P","View People Online")</f>
        <v>View People Online</v>
      </c>
    </row>
    <row r="3451">
      <c r="A3451" s="14" t="s">
        <v>21882</v>
      </c>
      <c r="B3451" s="14" t="s">
        <v>21883</v>
      </c>
      <c r="C3451" s="14" t="s">
        <v>1411</v>
      </c>
      <c r="D3451" s="14" t="s">
        <v>21884</v>
      </c>
      <c r="E3451" s="14" t="s">
        <v>13207</v>
      </c>
      <c r="F3451" s="14" t="s">
        <v>29</v>
      </c>
      <c r="G3451" s="14" t="s">
        <v>21885</v>
      </c>
      <c r="H3451" s="15" t="s">
        <v>31</v>
      </c>
      <c r="I3451" s="15">
        <v>1.0</v>
      </c>
      <c r="J3451" s="15">
        <v>1.0</v>
      </c>
      <c r="K3451" s="15" t="s">
        <v>31</v>
      </c>
      <c r="L3451" s="16" t="s">
        <v>13423</v>
      </c>
      <c r="M3451" s="14" t="s">
        <v>21886</v>
      </c>
      <c r="N3451" s="14" t="s">
        <v>243</v>
      </c>
      <c r="O3451" s="16" t="s">
        <v>244</v>
      </c>
      <c r="P3451" s="14" t="s">
        <v>13425</v>
      </c>
      <c r="Q3451" s="14" t="s">
        <v>31</v>
      </c>
      <c r="R3451" s="14" t="s">
        <v>247</v>
      </c>
      <c r="S3451" s="16" t="s">
        <v>13426</v>
      </c>
      <c r="T3451" s="14" t="s">
        <v>249</v>
      </c>
      <c r="U3451" s="16" t="s">
        <v>31</v>
      </c>
      <c r="V3451" s="14" t="s">
        <v>29</v>
      </c>
      <c r="W3451" s="14" t="s">
        <v>13207</v>
      </c>
      <c r="X3451" s="17" t="str">
        <f>HYPERLINK("https://my.pitchbook.com?p=435014-11P","View People Online")</f>
        <v>View People Online</v>
      </c>
    </row>
    <row r="3452">
      <c r="A3452" s="2" t="s">
        <v>21887</v>
      </c>
      <c r="B3452" s="2" t="s">
        <v>21888</v>
      </c>
      <c r="C3452" s="2" t="s">
        <v>1411</v>
      </c>
      <c r="D3452" s="2" t="s">
        <v>21889</v>
      </c>
      <c r="E3452" s="2" t="s">
        <v>13207</v>
      </c>
      <c r="F3452" s="2" t="s">
        <v>13218</v>
      </c>
      <c r="G3452" s="2" t="s">
        <v>21890</v>
      </c>
      <c r="H3452" s="3" t="s">
        <v>31</v>
      </c>
      <c r="I3452" s="3">
        <v>1.0</v>
      </c>
      <c r="J3452" s="3">
        <v>1.0</v>
      </c>
      <c r="K3452" s="3" t="s">
        <v>31</v>
      </c>
      <c r="L3452" s="4" t="s">
        <v>13724</v>
      </c>
      <c r="M3452" s="2" t="s">
        <v>21891</v>
      </c>
      <c r="N3452" s="2" t="s">
        <v>34</v>
      </c>
      <c r="O3452" s="4" t="s">
        <v>35</v>
      </c>
      <c r="P3452" s="2" t="s">
        <v>13726</v>
      </c>
      <c r="Q3452" s="2" t="s">
        <v>31</v>
      </c>
      <c r="R3452" s="2" t="s">
        <v>31</v>
      </c>
      <c r="S3452" s="4" t="s">
        <v>13727</v>
      </c>
      <c r="T3452" s="2" t="s">
        <v>38</v>
      </c>
      <c r="U3452" s="4" t="s">
        <v>13728</v>
      </c>
      <c r="V3452" s="2" t="s">
        <v>13218</v>
      </c>
      <c r="W3452" s="2" t="s">
        <v>13207</v>
      </c>
      <c r="X3452" s="5" t="str">
        <f>HYPERLINK("https://my.pitchbook.com?p=435317-14P","View People Online")</f>
        <v>View People Online</v>
      </c>
    </row>
    <row r="3453">
      <c r="A3453" s="14" t="s">
        <v>21892</v>
      </c>
      <c r="B3453" s="14" t="s">
        <v>21893</v>
      </c>
      <c r="C3453" s="14" t="s">
        <v>1411</v>
      </c>
      <c r="D3453" s="14" t="s">
        <v>21894</v>
      </c>
      <c r="E3453" s="14" t="s">
        <v>13207</v>
      </c>
      <c r="F3453" s="14" t="s">
        <v>3523</v>
      </c>
      <c r="G3453" s="14" t="s">
        <v>21895</v>
      </c>
      <c r="H3453" s="15" t="s">
        <v>31</v>
      </c>
      <c r="I3453" s="15">
        <v>1.0</v>
      </c>
      <c r="J3453" s="15">
        <v>1.0</v>
      </c>
      <c r="K3453" s="15" t="s">
        <v>31</v>
      </c>
      <c r="L3453" s="16" t="s">
        <v>14614</v>
      </c>
      <c r="M3453" s="14" t="s">
        <v>21896</v>
      </c>
      <c r="N3453" s="14" t="s">
        <v>1442</v>
      </c>
      <c r="O3453" s="16" t="s">
        <v>1443</v>
      </c>
      <c r="P3453" s="14" t="s">
        <v>14616</v>
      </c>
      <c r="Q3453" s="14" t="s">
        <v>14617</v>
      </c>
      <c r="R3453" s="14" t="s">
        <v>1277</v>
      </c>
      <c r="S3453" s="16" t="s">
        <v>14618</v>
      </c>
      <c r="T3453" s="14" t="s">
        <v>66</v>
      </c>
      <c r="U3453" s="16" t="s">
        <v>31</v>
      </c>
      <c r="V3453" s="14" t="s">
        <v>3523</v>
      </c>
      <c r="W3453" s="14" t="s">
        <v>13207</v>
      </c>
      <c r="X3453" s="17" t="str">
        <f>HYPERLINK("https://my.pitchbook.com?p=455879-08P","View People Online")</f>
        <v>View People Online</v>
      </c>
    </row>
    <row r="3454">
      <c r="A3454" s="2" t="s">
        <v>21897</v>
      </c>
      <c r="B3454" s="2" t="s">
        <v>21898</v>
      </c>
      <c r="C3454" s="2" t="s">
        <v>6192</v>
      </c>
      <c r="D3454" s="2" t="s">
        <v>21899</v>
      </c>
      <c r="E3454" s="2" t="s">
        <v>13207</v>
      </c>
      <c r="F3454" s="2" t="s">
        <v>29</v>
      </c>
      <c r="G3454" s="2" t="s">
        <v>21900</v>
      </c>
      <c r="H3454" s="3" t="s">
        <v>31</v>
      </c>
      <c r="I3454" s="3">
        <v>1.0</v>
      </c>
      <c r="J3454" s="3">
        <v>1.0</v>
      </c>
      <c r="K3454" s="3" t="s">
        <v>31</v>
      </c>
      <c r="L3454" s="4" t="s">
        <v>13801</v>
      </c>
      <c r="M3454" s="2" t="s">
        <v>21901</v>
      </c>
      <c r="N3454" s="2" t="s">
        <v>1024</v>
      </c>
      <c r="O3454" s="4" t="s">
        <v>2718</v>
      </c>
      <c r="P3454" s="2" t="s">
        <v>13803</v>
      </c>
      <c r="Q3454" s="2" t="s">
        <v>13804</v>
      </c>
      <c r="R3454" s="2" t="s">
        <v>31</v>
      </c>
      <c r="S3454" s="4" t="s">
        <v>31</v>
      </c>
      <c r="T3454" s="2" t="s">
        <v>2721</v>
      </c>
      <c r="U3454" s="4" t="s">
        <v>31</v>
      </c>
      <c r="V3454" s="2" t="s">
        <v>29</v>
      </c>
      <c r="W3454" s="2" t="s">
        <v>13207</v>
      </c>
      <c r="X3454" s="5" t="str">
        <f>HYPERLINK("https://my.pitchbook.com?p=436177-99P","View People Online")</f>
        <v>View People Online</v>
      </c>
    </row>
    <row r="3455">
      <c r="A3455" s="6" t="s">
        <v>21902</v>
      </c>
      <c r="B3455" s="6" t="s">
        <v>21903</v>
      </c>
      <c r="C3455" s="6" t="s">
        <v>6192</v>
      </c>
      <c r="D3455" s="6" t="s">
        <v>21904</v>
      </c>
      <c r="E3455" s="6" t="s">
        <v>13207</v>
      </c>
      <c r="F3455" s="6" t="s">
        <v>3523</v>
      </c>
      <c r="G3455" s="6" t="s">
        <v>21905</v>
      </c>
      <c r="H3455" s="7" t="s">
        <v>31</v>
      </c>
      <c r="I3455" s="7">
        <v>1.0</v>
      </c>
      <c r="J3455" s="7">
        <v>1.0</v>
      </c>
      <c r="K3455" s="7" t="s">
        <v>31</v>
      </c>
      <c r="L3455" s="8" t="s">
        <v>13242</v>
      </c>
      <c r="M3455" s="6" t="s">
        <v>21906</v>
      </c>
      <c r="N3455" s="6" t="s">
        <v>9865</v>
      </c>
      <c r="O3455" s="8" t="s">
        <v>9866</v>
      </c>
      <c r="P3455" s="6" t="s">
        <v>13244</v>
      </c>
      <c r="Q3455" s="6" t="s">
        <v>31</v>
      </c>
      <c r="R3455" s="6" t="s">
        <v>31</v>
      </c>
      <c r="S3455" s="8" t="s">
        <v>13245</v>
      </c>
      <c r="T3455" s="6" t="s">
        <v>38</v>
      </c>
      <c r="U3455" s="8" t="s">
        <v>13246</v>
      </c>
      <c r="V3455" s="6" t="s">
        <v>3523</v>
      </c>
      <c r="W3455" s="6" t="s">
        <v>13207</v>
      </c>
      <c r="X3455" s="9" t="str">
        <f>HYPERLINK("https://my.pitchbook.com?p=436699-45P","View People Online")</f>
        <v>View People Online</v>
      </c>
    </row>
    <row r="3456">
      <c r="A3456" s="10" t="s">
        <v>21907</v>
      </c>
      <c r="B3456" s="10" t="s">
        <v>21908</v>
      </c>
      <c r="C3456" s="10" t="s">
        <v>21909</v>
      </c>
      <c r="D3456" s="10" t="s">
        <v>21910</v>
      </c>
      <c r="E3456" s="10" t="s">
        <v>13207</v>
      </c>
      <c r="F3456" s="10" t="s">
        <v>29</v>
      </c>
      <c r="G3456" s="10" t="s">
        <v>21911</v>
      </c>
      <c r="H3456" s="11" t="s">
        <v>31</v>
      </c>
      <c r="I3456" s="11">
        <v>1.0</v>
      </c>
      <c r="J3456" s="11">
        <v>1.0</v>
      </c>
      <c r="K3456" s="11" t="s">
        <v>31</v>
      </c>
      <c r="L3456" s="12" t="s">
        <v>13549</v>
      </c>
      <c r="M3456" s="10" t="s">
        <v>21912</v>
      </c>
      <c r="N3456" s="10" t="s">
        <v>794</v>
      </c>
      <c r="O3456" s="12" t="s">
        <v>795</v>
      </c>
      <c r="P3456" s="10" t="s">
        <v>13551</v>
      </c>
      <c r="Q3456" s="10" t="s">
        <v>13552</v>
      </c>
      <c r="R3456" s="10" t="s">
        <v>31</v>
      </c>
      <c r="S3456" s="12" t="s">
        <v>13553</v>
      </c>
      <c r="T3456" s="10" t="s">
        <v>796</v>
      </c>
      <c r="U3456" s="12" t="s">
        <v>13554</v>
      </c>
      <c r="V3456" s="10" t="s">
        <v>29</v>
      </c>
      <c r="W3456" s="10" t="s">
        <v>13207</v>
      </c>
      <c r="X3456" s="13" t="str">
        <f>HYPERLINK("https://my.pitchbook.com?p=435024-91P","View People Online")</f>
        <v>View People Online</v>
      </c>
    </row>
    <row r="3457">
      <c r="A3457" s="6" t="s">
        <v>21913</v>
      </c>
      <c r="B3457" s="6" t="s">
        <v>21914</v>
      </c>
      <c r="C3457" s="6" t="s">
        <v>21915</v>
      </c>
      <c r="D3457" s="6" t="s">
        <v>21916</v>
      </c>
      <c r="E3457" s="6" t="s">
        <v>13207</v>
      </c>
      <c r="F3457" s="6" t="s">
        <v>29</v>
      </c>
      <c r="G3457" s="6" t="s">
        <v>21917</v>
      </c>
      <c r="H3457" s="7" t="s">
        <v>31</v>
      </c>
      <c r="I3457" s="7">
        <v>1.0</v>
      </c>
      <c r="J3457" s="7">
        <v>1.0</v>
      </c>
      <c r="K3457" s="7" t="s">
        <v>31</v>
      </c>
      <c r="L3457" s="8" t="s">
        <v>13412</v>
      </c>
      <c r="M3457" s="6" t="s">
        <v>21918</v>
      </c>
      <c r="N3457" s="6" t="s">
        <v>13414</v>
      </c>
      <c r="O3457" s="8" t="s">
        <v>13415</v>
      </c>
      <c r="P3457" s="6" t="s">
        <v>13416</v>
      </c>
      <c r="Q3457" s="6" t="s">
        <v>31</v>
      </c>
      <c r="R3457" s="6" t="s">
        <v>209</v>
      </c>
      <c r="S3457" s="8" t="s">
        <v>13417</v>
      </c>
      <c r="T3457" s="6" t="s">
        <v>66</v>
      </c>
      <c r="U3457" s="8" t="s">
        <v>13418</v>
      </c>
      <c r="V3457" s="6" t="s">
        <v>29</v>
      </c>
      <c r="W3457" s="6" t="s">
        <v>13207</v>
      </c>
      <c r="X3457" s="9" t="str">
        <f>HYPERLINK("https://my.pitchbook.com?p=435167-83P","View People Online")</f>
        <v>View People Online</v>
      </c>
    </row>
    <row r="3458">
      <c r="A3458" s="2" t="s">
        <v>21919</v>
      </c>
      <c r="B3458" s="2" t="s">
        <v>21920</v>
      </c>
      <c r="C3458" s="2" t="s">
        <v>21921</v>
      </c>
      <c r="D3458" s="2" t="s">
        <v>21922</v>
      </c>
      <c r="E3458" s="2" t="s">
        <v>13207</v>
      </c>
      <c r="F3458" s="2" t="s">
        <v>13240</v>
      </c>
      <c r="G3458" s="2" t="s">
        <v>21923</v>
      </c>
      <c r="H3458" s="3" t="s">
        <v>31</v>
      </c>
      <c r="I3458" s="3">
        <v>1.0</v>
      </c>
      <c r="J3458" s="3">
        <v>1.0</v>
      </c>
      <c r="K3458" s="3" t="s">
        <v>31</v>
      </c>
      <c r="L3458" s="4" t="s">
        <v>13274</v>
      </c>
      <c r="M3458" s="2" t="s">
        <v>21924</v>
      </c>
      <c r="N3458" s="2" t="s">
        <v>1181</v>
      </c>
      <c r="O3458" s="4" t="s">
        <v>1182</v>
      </c>
      <c r="P3458" s="2" t="s">
        <v>13276</v>
      </c>
      <c r="Q3458" s="2" t="s">
        <v>31</v>
      </c>
      <c r="R3458" s="2" t="s">
        <v>1185</v>
      </c>
      <c r="S3458" s="4" t="s">
        <v>4438</v>
      </c>
      <c r="T3458" s="2" t="s">
        <v>66</v>
      </c>
      <c r="U3458" s="4" t="s">
        <v>13277</v>
      </c>
      <c r="V3458" s="2" t="s">
        <v>21925</v>
      </c>
      <c r="W3458" s="2" t="s">
        <v>13207</v>
      </c>
      <c r="X3458" s="5" t="str">
        <f>HYPERLINK("https://my.pitchbook.com?p=109525-60P","View People Online")</f>
        <v>View People Online</v>
      </c>
    </row>
    <row r="3459">
      <c r="A3459" s="6" t="s">
        <v>21926</v>
      </c>
      <c r="B3459" s="6" t="s">
        <v>21927</v>
      </c>
      <c r="C3459" s="6" t="s">
        <v>21928</v>
      </c>
      <c r="D3459" s="6" t="s">
        <v>21929</v>
      </c>
      <c r="E3459" s="6" t="s">
        <v>13207</v>
      </c>
      <c r="F3459" s="6" t="s">
        <v>318</v>
      </c>
      <c r="G3459" s="6" t="s">
        <v>21930</v>
      </c>
      <c r="H3459" s="7" t="s">
        <v>31</v>
      </c>
      <c r="I3459" s="7">
        <v>1.0</v>
      </c>
      <c r="J3459" s="7">
        <v>1.0</v>
      </c>
      <c r="K3459" s="7" t="s">
        <v>31</v>
      </c>
      <c r="L3459" s="8" t="s">
        <v>13423</v>
      </c>
      <c r="M3459" s="6" t="s">
        <v>21931</v>
      </c>
      <c r="N3459" s="6" t="s">
        <v>243</v>
      </c>
      <c r="O3459" s="8" t="s">
        <v>244</v>
      </c>
      <c r="P3459" s="6" t="s">
        <v>13425</v>
      </c>
      <c r="Q3459" s="6" t="s">
        <v>31</v>
      </c>
      <c r="R3459" s="6" t="s">
        <v>247</v>
      </c>
      <c r="S3459" s="8" t="s">
        <v>13426</v>
      </c>
      <c r="T3459" s="6" t="s">
        <v>249</v>
      </c>
      <c r="U3459" s="8" t="s">
        <v>31</v>
      </c>
      <c r="V3459" s="6" t="s">
        <v>15733</v>
      </c>
      <c r="W3459" s="6" t="s">
        <v>13207</v>
      </c>
      <c r="X3459" s="9" t="str">
        <f>HYPERLINK("https://my.pitchbook.com?p=434947-69P","View People Online")</f>
        <v>View People Online</v>
      </c>
    </row>
    <row r="3460">
      <c r="A3460" s="10" t="s">
        <v>21932</v>
      </c>
      <c r="B3460" s="10" t="s">
        <v>21933</v>
      </c>
      <c r="C3460" s="10" t="s">
        <v>21934</v>
      </c>
      <c r="D3460" s="10" t="s">
        <v>18942</v>
      </c>
      <c r="E3460" s="10" t="s">
        <v>13207</v>
      </c>
      <c r="F3460" s="10" t="s">
        <v>13240</v>
      </c>
      <c r="G3460" s="10" t="s">
        <v>21935</v>
      </c>
      <c r="H3460" s="11" t="s">
        <v>31</v>
      </c>
      <c r="I3460" s="11">
        <v>1.0</v>
      </c>
      <c r="J3460" s="11">
        <v>1.0</v>
      </c>
      <c r="K3460" s="11" t="s">
        <v>31</v>
      </c>
      <c r="L3460" s="12" t="s">
        <v>13724</v>
      </c>
      <c r="M3460" s="10" t="s">
        <v>21936</v>
      </c>
      <c r="N3460" s="10" t="s">
        <v>34</v>
      </c>
      <c r="O3460" s="12" t="s">
        <v>35</v>
      </c>
      <c r="P3460" s="10" t="s">
        <v>13726</v>
      </c>
      <c r="Q3460" s="10" t="s">
        <v>31</v>
      </c>
      <c r="R3460" s="10" t="s">
        <v>31</v>
      </c>
      <c r="S3460" s="12" t="s">
        <v>13727</v>
      </c>
      <c r="T3460" s="10" t="s">
        <v>38</v>
      </c>
      <c r="U3460" s="12" t="s">
        <v>13728</v>
      </c>
      <c r="V3460" s="10" t="s">
        <v>21937</v>
      </c>
      <c r="W3460" s="10" t="s">
        <v>13207</v>
      </c>
      <c r="X3460" s="13" t="str">
        <f>HYPERLINK("https://my.pitchbook.com?p=435361-96P","View People Online")</f>
        <v>View People Online</v>
      </c>
    </row>
    <row r="3461">
      <c r="A3461" s="6" t="s">
        <v>21938</v>
      </c>
      <c r="B3461" s="6" t="s">
        <v>21939</v>
      </c>
      <c r="C3461" s="6" t="s">
        <v>21940</v>
      </c>
      <c r="D3461" s="6" t="s">
        <v>21941</v>
      </c>
      <c r="E3461" s="6" t="s">
        <v>13207</v>
      </c>
      <c r="F3461" s="6" t="s">
        <v>3523</v>
      </c>
      <c r="G3461" s="6" t="s">
        <v>21942</v>
      </c>
      <c r="H3461" s="7" t="s">
        <v>31</v>
      </c>
      <c r="I3461" s="7">
        <v>1.0</v>
      </c>
      <c r="J3461" s="7">
        <v>1.0</v>
      </c>
      <c r="K3461" s="7" t="s">
        <v>31</v>
      </c>
      <c r="L3461" s="8" t="s">
        <v>13281</v>
      </c>
      <c r="M3461" s="6" t="s">
        <v>21943</v>
      </c>
      <c r="N3461" s="6" t="s">
        <v>1277</v>
      </c>
      <c r="O3461" s="8" t="s">
        <v>1278</v>
      </c>
      <c r="P3461" s="6" t="s">
        <v>13283</v>
      </c>
      <c r="Q3461" s="6" t="s">
        <v>13284</v>
      </c>
      <c r="R3461" s="6" t="s">
        <v>1281</v>
      </c>
      <c r="S3461" s="8" t="s">
        <v>1282</v>
      </c>
      <c r="T3461" s="6" t="s">
        <v>66</v>
      </c>
      <c r="U3461" s="8" t="s">
        <v>13285</v>
      </c>
      <c r="V3461" s="6" t="s">
        <v>3523</v>
      </c>
      <c r="W3461" s="6" t="s">
        <v>13207</v>
      </c>
      <c r="X3461" s="9" t="str">
        <f>HYPERLINK("https://my.pitchbook.com?p=456523-48P","View People Online")</f>
        <v>View People Online</v>
      </c>
    </row>
    <row r="3462">
      <c r="A3462" s="10" t="s">
        <v>21944</v>
      </c>
      <c r="B3462" s="10" t="s">
        <v>21945</v>
      </c>
      <c r="C3462" s="10" t="s">
        <v>1824</v>
      </c>
      <c r="D3462" s="10" t="s">
        <v>21946</v>
      </c>
      <c r="E3462" s="10" t="s">
        <v>13207</v>
      </c>
      <c r="F3462" s="10" t="s">
        <v>13307</v>
      </c>
      <c r="G3462" s="10" t="s">
        <v>21947</v>
      </c>
      <c r="H3462" s="11" t="s">
        <v>31</v>
      </c>
      <c r="I3462" s="11">
        <v>1.0</v>
      </c>
      <c r="J3462" s="11">
        <v>1.0</v>
      </c>
      <c r="K3462" s="11" t="s">
        <v>31</v>
      </c>
      <c r="L3462" s="12" t="s">
        <v>13423</v>
      </c>
      <c r="M3462" s="10" t="s">
        <v>21948</v>
      </c>
      <c r="N3462" s="10" t="s">
        <v>243</v>
      </c>
      <c r="O3462" s="12" t="s">
        <v>244</v>
      </c>
      <c r="P3462" s="10" t="s">
        <v>13425</v>
      </c>
      <c r="Q3462" s="10" t="s">
        <v>31</v>
      </c>
      <c r="R3462" s="10" t="s">
        <v>247</v>
      </c>
      <c r="S3462" s="12" t="s">
        <v>13426</v>
      </c>
      <c r="T3462" s="10" t="s">
        <v>249</v>
      </c>
      <c r="U3462" s="12" t="s">
        <v>31</v>
      </c>
      <c r="V3462" s="10" t="s">
        <v>13317</v>
      </c>
      <c r="W3462" s="10" t="s">
        <v>13207</v>
      </c>
      <c r="X3462" s="13" t="str">
        <f>HYPERLINK("https://my.pitchbook.com?p=434840-32P","View People Online")</f>
        <v>View People Online</v>
      </c>
    </row>
    <row r="3463">
      <c r="A3463" s="14" t="s">
        <v>21949</v>
      </c>
      <c r="B3463" s="14" t="s">
        <v>21950</v>
      </c>
      <c r="C3463" s="14" t="s">
        <v>1824</v>
      </c>
      <c r="D3463" s="14" t="s">
        <v>11930</v>
      </c>
      <c r="E3463" s="14" t="s">
        <v>13207</v>
      </c>
      <c r="F3463" s="14" t="s">
        <v>318</v>
      </c>
      <c r="G3463" s="14" t="s">
        <v>21951</v>
      </c>
      <c r="H3463" s="15" t="s">
        <v>31</v>
      </c>
      <c r="I3463" s="15">
        <v>1.0</v>
      </c>
      <c r="J3463" s="15">
        <v>1.0</v>
      </c>
      <c r="K3463" s="15" t="s">
        <v>31</v>
      </c>
      <c r="L3463" s="16" t="s">
        <v>13274</v>
      </c>
      <c r="M3463" s="14" t="s">
        <v>21952</v>
      </c>
      <c r="N3463" s="14" t="s">
        <v>1181</v>
      </c>
      <c r="O3463" s="16" t="s">
        <v>1182</v>
      </c>
      <c r="P3463" s="14" t="s">
        <v>13276</v>
      </c>
      <c r="Q3463" s="14" t="s">
        <v>31</v>
      </c>
      <c r="R3463" s="14" t="s">
        <v>1185</v>
      </c>
      <c r="S3463" s="16" t="s">
        <v>4438</v>
      </c>
      <c r="T3463" s="14" t="s">
        <v>66</v>
      </c>
      <c r="U3463" s="16" t="s">
        <v>13277</v>
      </c>
      <c r="V3463" s="14" t="s">
        <v>318</v>
      </c>
      <c r="W3463" s="14" t="s">
        <v>13207</v>
      </c>
      <c r="X3463" s="17" t="str">
        <f>HYPERLINK("https://my.pitchbook.com?p=435157-66P","View People Online")</f>
        <v>View People Online</v>
      </c>
    </row>
    <row r="3464">
      <c r="A3464" s="2" t="s">
        <v>21953</v>
      </c>
      <c r="B3464" s="2" t="s">
        <v>21954</v>
      </c>
      <c r="C3464" s="2" t="s">
        <v>1824</v>
      </c>
      <c r="D3464" s="2" t="s">
        <v>21955</v>
      </c>
      <c r="E3464" s="2" t="s">
        <v>13207</v>
      </c>
      <c r="F3464" s="2" t="s">
        <v>3523</v>
      </c>
      <c r="G3464" s="2" t="s">
        <v>21956</v>
      </c>
      <c r="H3464" s="3" t="s">
        <v>31</v>
      </c>
      <c r="I3464" s="3">
        <v>1.0</v>
      </c>
      <c r="J3464" s="3">
        <v>1.0</v>
      </c>
      <c r="K3464" s="3" t="s">
        <v>31</v>
      </c>
      <c r="L3464" s="4" t="s">
        <v>13378</v>
      </c>
      <c r="M3464" s="2" t="s">
        <v>21957</v>
      </c>
      <c r="N3464" s="2" t="s">
        <v>429</v>
      </c>
      <c r="O3464" s="4" t="s">
        <v>430</v>
      </c>
      <c r="P3464" s="2" t="s">
        <v>13380</v>
      </c>
      <c r="Q3464" s="2" t="s">
        <v>31</v>
      </c>
      <c r="R3464" s="2" t="s">
        <v>31</v>
      </c>
      <c r="S3464" s="4" t="s">
        <v>13381</v>
      </c>
      <c r="T3464" s="2" t="s">
        <v>433</v>
      </c>
      <c r="U3464" s="4" t="s">
        <v>13382</v>
      </c>
      <c r="V3464" s="2" t="s">
        <v>3523</v>
      </c>
      <c r="W3464" s="2" t="s">
        <v>13207</v>
      </c>
      <c r="X3464" s="5" t="str">
        <f>HYPERLINK("https://my.pitchbook.com?p=456027-40P","View People Online")</f>
        <v>View People Online</v>
      </c>
    </row>
    <row r="3465">
      <c r="A3465" s="6" t="s">
        <v>21958</v>
      </c>
      <c r="B3465" s="6" t="s">
        <v>21959</v>
      </c>
      <c r="C3465" s="6" t="s">
        <v>21960</v>
      </c>
      <c r="D3465" s="6" t="s">
        <v>21961</v>
      </c>
      <c r="E3465" s="6" t="s">
        <v>13207</v>
      </c>
      <c r="F3465" s="6" t="s">
        <v>3523</v>
      </c>
      <c r="G3465" s="6" t="s">
        <v>21962</v>
      </c>
      <c r="H3465" s="7" t="s">
        <v>31</v>
      </c>
      <c r="I3465" s="7">
        <v>1.0</v>
      </c>
      <c r="J3465" s="7">
        <v>1.0</v>
      </c>
      <c r="K3465" s="7" t="s">
        <v>31</v>
      </c>
      <c r="L3465" s="8" t="s">
        <v>13378</v>
      </c>
      <c r="M3465" s="6" t="s">
        <v>21963</v>
      </c>
      <c r="N3465" s="6" t="s">
        <v>429</v>
      </c>
      <c r="O3465" s="8" t="s">
        <v>430</v>
      </c>
      <c r="P3465" s="6" t="s">
        <v>13380</v>
      </c>
      <c r="Q3465" s="6" t="s">
        <v>31</v>
      </c>
      <c r="R3465" s="6" t="s">
        <v>31</v>
      </c>
      <c r="S3465" s="8" t="s">
        <v>13381</v>
      </c>
      <c r="T3465" s="6" t="s">
        <v>433</v>
      </c>
      <c r="U3465" s="8" t="s">
        <v>13382</v>
      </c>
      <c r="V3465" s="6" t="s">
        <v>3523</v>
      </c>
      <c r="W3465" s="6" t="s">
        <v>13207</v>
      </c>
      <c r="X3465" s="9" t="str">
        <f>HYPERLINK("https://my.pitchbook.com?p=434932-57P","View People Online")</f>
        <v>View People Online</v>
      </c>
    </row>
    <row r="3466">
      <c r="A3466" s="10" t="s">
        <v>21964</v>
      </c>
      <c r="B3466" s="10" t="s">
        <v>21965</v>
      </c>
      <c r="C3466" s="10" t="s">
        <v>21966</v>
      </c>
      <c r="D3466" s="10" t="s">
        <v>21967</v>
      </c>
      <c r="E3466" s="10" t="s">
        <v>13207</v>
      </c>
      <c r="F3466" s="10" t="s">
        <v>29</v>
      </c>
      <c r="G3466" s="10" t="s">
        <v>21968</v>
      </c>
      <c r="H3466" s="11" t="s">
        <v>31</v>
      </c>
      <c r="I3466" s="11">
        <v>1.0</v>
      </c>
      <c r="J3466" s="11">
        <v>1.0</v>
      </c>
      <c r="K3466" s="11" t="s">
        <v>31</v>
      </c>
      <c r="L3466" s="12" t="s">
        <v>13263</v>
      </c>
      <c r="M3466" s="10" t="s">
        <v>21969</v>
      </c>
      <c r="N3466" s="10" t="s">
        <v>1005</v>
      </c>
      <c r="O3466" s="12" t="s">
        <v>1006</v>
      </c>
      <c r="P3466" s="10" t="s">
        <v>13265</v>
      </c>
      <c r="Q3466" s="10" t="s">
        <v>13266</v>
      </c>
      <c r="R3466" s="10" t="s">
        <v>13267</v>
      </c>
      <c r="S3466" s="12" t="s">
        <v>13268</v>
      </c>
      <c r="T3466" s="10" t="s">
        <v>1010</v>
      </c>
      <c r="U3466" s="12" t="s">
        <v>13269</v>
      </c>
      <c r="V3466" s="10" t="s">
        <v>29</v>
      </c>
      <c r="W3466" s="10" t="s">
        <v>13207</v>
      </c>
      <c r="X3466" s="13" t="str">
        <f>HYPERLINK("https://my.pitchbook.com?p=455497-66P","View People Online")</f>
        <v>View People Online</v>
      </c>
    </row>
    <row r="3467">
      <c r="A3467" s="6" t="s">
        <v>21970</v>
      </c>
      <c r="B3467" s="6" t="s">
        <v>21971</v>
      </c>
      <c r="C3467" s="6" t="s">
        <v>21972</v>
      </c>
      <c r="D3467" s="6" t="s">
        <v>2871</v>
      </c>
      <c r="E3467" s="6" t="s">
        <v>13207</v>
      </c>
      <c r="F3467" s="6" t="s">
        <v>3523</v>
      </c>
      <c r="G3467" s="6" t="s">
        <v>21973</v>
      </c>
      <c r="H3467" s="7" t="s">
        <v>31</v>
      </c>
      <c r="I3467" s="7">
        <v>1.0</v>
      </c>
      <c r="J3467" s="7">
        <v>1.0</v>
      </c>
      <c r="K3467" s="7" t="s">
        <v>31</v>
      </c>
      <c r="L3467" s="8" t="s">
        <v>13274</v>
      </c>
      <c r="M3467" s="6" t="s">
        <v>21974</v>
      </c>
      <c r="N3467" s="6" t="s">
        <v>1181</v>
      </c>
      <c r="O3467" s="8" t="s">
        <v>1182</v>
      </c>
      <c r="P3467" s="6" t="s">
        <v>13276</v>
      </c>
      <c r="Q3467" s="6" t="s">
        <v>31</v>
      </c>
      <c r="R3467" s="6" t="s">
        <v>1185</v>
      </c>
      <c r="S3467" s="8" t="s">
        <v>4438</v>
      </c>
      <c r="T3467" s="6" t="s">
        <v>66</v>
      </c>
      <c r="U3467" s="8" t="s">
        <v>13277</v>
      </c>
      <c r="V3467" s="6" t="s">
        <v>3523</v>
      </c>
      <c r="W3467" s="6" t="s">
        <v>13207</v>
      </c>
      <c r="X3467" s="9" t="str">
        <f>HYPERLINK("https://my.pitchbook.com?p=436702-60P","View People Online")</f>
        <v>View People Online</v>
      </c>
    </row>
    <row r="3468">
      <c r="A3468" s="2" t="s">
        <v>21975</v>
      </c>
      <c r="B3468" s="2" t="s">
        <v>21976</v>
      </c>
      <c r="C3468" s="2" t="s">
        <v>7838</v>
      </c>
      <c r="D3468" s="2" t="s">
        <v>21977</v>
      </c>
      <c r="E3468" s="2" t="s">
        <v>13207</v>
      </c>
      <c r="F3468" s="2" t="s">
        <v>13218</v>
      </c>
      <c r="G3468" s="2" t="s">
        <v>21978</v>
      </c>
      <c r="H3468" s="3" t="s">
        <v>31</v>
      </c>
      <c r="I3468" s="3">
        <v>1.0</v>
      </c>
      <c r="J3468" s="3">
        <v>1.0</v>
      </c>
      <c r="K3468" s="3" t="s">
        <v>31</v>
      </c>
      <c r="L3468" s="4" t="s">
        <v>13459</v>
      </c>
      <c r="M3468" s="2" t="s">
        <v>21979</v>
      </c>
      <c r="N3468" s="2" t="s">
        <v>3100</v>
      </c>
      <c r="O3468" s="4" t="s">
        <v>3101</v>
      </c>
      <c r="P3468" s="2" t="s">
        <v>13461</v>
      </c>
      <c r="Q3468" s="2" t="s">
        <v>31</v>
      </c>
      <c r="R3468" s="2" t="s">
        <v>31</v>
      </c>
      <c r="S3468" s="4" t="s">
        <v>3103</v>
      </c>
      <c r="T3468" s="2" t="s">
        <v>3104</v>
      </c>
      <c r="U3468" s="4" t="s">
        <v>13462</v>
      </c>
      <c r="V3468" s="2" t="s">
        <v>13218</v>
      </c>
      <c r="W3468" s="2" t="s">
        <v>13207</v>
      </c>
      <c r="X3468" s="5" t="str">
        <f>HYPERLINK("https://my.pitchbook.com?p=435645-37P","View People Online")</f>
        <v>View People Online</v>
      </c>
    </row>
    <row r="3469">
      <c r="A3469" s="6" t="s">
        <v>21980</v>
      </c>
      <c r="B3469" s="6" t="s">
        <v>21981</v>
      </c>
      <c r="C3469" s="6" t="s">
        <v>12386</v>
      </c>
      <c r="D3469" s="6" t="s">
        <v>21982</v>
      </c>
      <c r="E3469" s="6" t="s">
        <v>13207</v>
      </c>
      <c r="F3469" s="6" t="s">
        <v>13218</v>
      </c>
      <c r="G3469" s="6" t="s">
        <v>21983</v>
      </c>
      <c r="H3469" s="7" t="s">
        <v>31</v>
      </c>
      <c r="I3469" s="7">
        <v>1.0</v>
      </c>
      <c r="J3469" s="7">
        <v>1.0</v>
      </c>
      <c r="K3469" s="7" t="s">
        <v>31</v>
      </c>
      <c r="L3469" s="8" t="s">
        <v>13724</v>
      </c>
      <c r="M3469" s="6" t="s">
        <v>21984</v>
      </c>
      <c r="N3469" s="6" t="s">
        <v>34</v>
      </c>
      <c r="O3469" s="8" t="s">
        <v>35</v>
      </c>
      <c r="P3469" s="6" t="s">
        <v>13726</v>
      </c>
      <c r="Q3469" s="6" t="s">
        <v>31</v>
      </c>
      <c r="R3469" s="6" t="s">
        <v>31</v>
      </c>
      <c r="S3469" s="8" t="s">
        <v>13727</v>
      </c>
      <c r="T3469" s="6" t="s">
        <v>38</v>
      </c>
      <c r="U3469" s="8" t="s">
        <v>13728</v>
      </c>
      <c r="V3469" s="6" t="s">
        <v>13218</v>
      </c>
      <c r="W3469" s="6" t="s">
        <v>13207</v>
      </c>
      <c r="X3469" s="9" t="str">
        <f>HYPERLINK("https://my.pitchbook.com?p=456836-86P","View People Online")</f>
        <v>View People Online</v>
      </c>
    </row>
    <row r="3470">
      <c r="A3470" s="2" t="s">
        <v>21985</v>
      </c>
      <c r="B3470" s="2" t="s">
        <v>21986</v>
      </c>
      <c r="C3470" s="2" t="s">
        <v>12386</v>
      </c>
      <c r="D3470" s="2" t="s">
        <v>21987</v>
      </c>
      <c r="E3470" s="2" t="s">
        <v>13207</v>
      </c>
      <c r="F3470" s="2" t="s">
        <v>3523</v>
      </c>
      <c r="G3470" s="2" t="s">
        <v>21988</v>
      </c>
      <c r="H3470" s="3" t="s">
        <v>31</v>
      </c>
      <c r="I3470" s="3">
        <v>1.0</v>
      </c>
      <c r="J3470" s="3">
        <v>1.0</v>
      </c>
      <c r="K3470" s="3" t="s">
        <v>31</v>
      </c>
      <c r="L3470" s="4" t="s">
        <v>13242</v>
      </c>
      <c r="M3470" s="2" t="s">
        <v>21989</v>
      </c>
      <c r="N3470" s="2" t="s">
        <v>9865</v>
      </c>
      <c r="O3470" s="4" t="s">
        <v>9866</v>
      </c>
      <c r="P3470" s="2" t="s">
        <v>13244</v>
      </c>
      <c r="Q3470" s="2" t="s">
        <v>31</v>
      </c>
      <c r="R3470" s="2" t="s">
        <v>31</v>
      </c>
      <c r="S3470" s="4" t="s">
        <v>13245</v>
      </c>
      <c r="T3470" s="2" t="s">
        <v>38</v>
      </c>
      <c r="U3470" s="4" t="s">
        <v>13246</v>
      </c>
      <c r="V3470" s="2" t="s">
        <v>3523</v>
      </c>
      <c r="W3470" s="2" t="s">
        <v>13207</v>
      </c>
      <c r="X3470" s="5" t="str">
        <f>HYPERLINK("https://my.pitchbook.com?p=435425-05P","View People Online")</f>
        <v>View People Online</v>
      </c>
    </row>
    <row r="3471">
      <c r="A3471" s="6" t="s">
        <v>21990</v>
      </c>
      <c r="B3471" s="6" t="s">
        <v>21991</v>
      </c>
      <c r="C3471" s="6" t="s">
        <v>12386</v>
      </c>
      <c r="D3471" s="6" t="s">
        <v>21992</v>
      </c>
      <c r="E3471" s="6" t="s">
        <v>13207</v>
      </c>
      <c r="F3471" s="6" t="s">
        <v>13218</v>
      </c>
      <c r="G3471" s="6" t="s">
        <v>21993</v>
      </c>
      <c r="H3471" s="7" t="s">
        <v>31</v>
      </c>
      <c r="I3471" s="7">
        <v>1.0</v>
      </c>
      <c r="J3471" s="7">
        <v>1.0</v>
      </c>
      <c r="K3471" s="7" t="s">
        <v>31</v>
      </c>
      <c r="L3471" s="8" t="s">
        <v>14331</v>
      </c>
      <c r="M3471" s="6" t="s">
        <v>21994</v>
      </c>
      <c r="N3471" s="6" t="s">
        <v>14333</v>
      </c>
      <c r="O3471" s="8" t="s">
        <v>14334</v>
      </c>
      <c r="P3471" s="6" t="s">
        <v>14335</v>
      </c>
      <c r="Q3471" s="6" t="s">
        <v>14336</v>
      </c>
      <c r="R3471" s="6" t="s">
        <v>31</v>
      </c>
      <c r="S3471" s="8" t="s">
        <v>14337</v>
      </c>
      <c r="T3471" s="6" t="s">
        <v>14338</v>
      </c>
      <c r="U3471" s="8" t="s">
        <v>31</v>
      </c>
      <c r="V3471" s="6" t="s">
        <v>13218</v>
      </c>
      <c r="W3471" s="6" t="s">
        <v>13207</v>
      </c>
      <c r="X3471" s="9" t="str">
        <f>HYPERLINK("https://my.pitchbook.com?p=435767-32P","View People Online")</f>
        <v>View People Online</v>
      </c>
    </row>
    <row r="3472">
      <c r="A3472" s="2" t="s">
        <v>21995</v>
      </c>
      <c r="B3472" s="2" t="s">
        <v>21996</v>
      </c>
      <c r="C3472" s="2" t="s">
        <v>12386</v>
      </c>
      <c r="D3472" s="2" t="s">
        <v>21997</v>
      </c>
      <c r="E3472" s="2" t="s">
        <v>13207</v>
      </c>
      <c r="F3472" s="2" t="s">
        <v>13240</v>
      </c>
      <c r="G3472" s="2" t="s">
        <v>21998</v>
      </c>
      <c r="H3472" s="3" t="s">
        <v>31</v>
      </c>
      <c r="I3472" s="3">
        <v>1.0</v>
      </c>
      <c r="J3472" s="3">
        <v>1.0</v>
      </c>
      <c r="K3472" s="3" t="s">
        <v>31</v>
      </c>
      <c r="L3472" s="4" t="s">
        <v>13724</v>
      </c>
      <c r="M3472" s="2" t="s">
        <v>21999</v>
      </c>
      <c r="N3472" s="2" t="s">
        <v>34</v>
      </c>
      <c r="O3472" s="4" t="s">
        <v>35</v>
      </c>
      <c r="P3472" s="2" t="s">
        <v>13726</v>
      </c>
      <c r="Q3472" s="2" t="s">
        <v>31</v>
      </c>
      <c r="R3472" s="2" t="s">
        <v>31</v>
      </c>
      <c r="S3472" s="4" t="s">
        <v>13727</v>
      </c>
      <c r="T3472" s="2" t="s">
        <v>38</v>
      </c>
      <c r="U3472" s="4" t="s">
        <v>13728</v>
      </c>
      <c r="V3472" s="2" t="s">
        <v>13247</v>
      </c>
      <c r="W3472" s="2" t="s">
        <v>13207</v>
      </c>
      <c r="X3472" s="5" t="str">
        <f>HYPERLINK("https://my.pitchbook.com?p=435736-27P","View People Online")</f>
        <v>View People Online</v>
      </c>
    </row>
    <row r="3473">
      <c r="A3473" s="14" t="s">
        <v>22000</v>
      </c>
      <c r="B3473" s="14" t="s">
        <v>22001</v>
      </c>
      <c r="C3473" s="14" t="s">
        <v>12386</v>
      </c>
      <c r="D3473" s="14" t="s">
        <v>22002</v>
      </c>
      <c r="E3473" s="14" t="s">
        <v>13207</v>
      </c>
      <c r="F3473" s="14" t="s">
        <v>13240</v>
      </c>
      <c r="G3473" s="14" t="s">
        <v>22003</v>
      </c>
      <c r="H3473" s="15" t="s">
        <v>31</v>
      </c>
      <c r="I3473" s="15">
        <v>1.0</v>
      </c>
      <c r="J3473" s="15">
        <v>1.0</v>
      </c>
      <c r="K3473" s="15" t="s">
        <v>31</v>
      </c>
      <c r="L3473" s="16" t="s">
        <v>13734</v>
      </c>
      <c r="M3473" s="14" t="s">
        <v>22004</v>
      </c>
      <c r="N3473" s="14" t="s">
        <v>2754</v>
      </c>
      <c r="O3473" s="16" t="s">
        <v>2755</v>
      </c>
      <c r="P3473" s="14" t="s">
        <v>13736</v>
      </c>
      <c r="Q3473" s="14" t="s">
        <v>31</v>
      </c>
      <c r="R3473" s="14" t="s">
        <v>31</v>
      </c>
      <c r="S3473" s="16" t="s">
        <v>13737</v>
      </c>
      <c r="T3473" s="14" t="s">
        <v>38</v>
      </c>
      <c r="U3473" s="16" t="s">
        <v>13738</v>
      </c>
      <c r="V3473" s="14" t="s">
        <v>13247</v>
      </c>
      <c r="W3473" s="14" t="s">
        <v>13207</v>
      </c>
      <c r="X3473" s="17" t="str">
        <f>HYPERLINK("https://my.pitchbook.com?p=435429-82P","View People Online")</f>
        <v>View People Online</v>
      </c>
    </row>
    <row r="3474">
      <c r="A3474" s="10" t="s">
        <v>22005</v>
      </c>
      <c r="B3474" s="10" t="s">
        <v>22006</v>
      </c>
      <c r="C3474" s="10" t="s">
        <v>12386</v>
      </c>
      <c r="D3474" s="10" t="s">
        <v>22007</v>
      </c>
      <c r="E3474" s="10" t="s">
        <v>13207</v>
      </c>
      <c r="F3474" s="10" t="s">
        <v>3523</v>
      </c>
      <c r="G3474" s="10" t="s">
        <v>22008</v>
      </c>
      <c r="H3474" s="11" t="s">
        <v>31</v>
      </c>
      <c r="I3474" s="11">
        <v>1.0</v>
      </c>
      <c r="J3474" s="11">
        <v>1.0</v>
      </c>
      <c r="K3474" s="11" t="s">
        <v>31</v>
      </c>
      <c r="L3474" s="12" t="s">
        <v>13274</v>
      </c>
      <c r="M3474" s="10" t="s">
        <v>22009</v>
      </c>
      <c r="N3474" s="10" t="s">
        <v>1181</v>
      </c>
      <c r="O3474" s="12" t="s">
        <v>1182</v>
      </c>
      <c r="P3474" s="10" t="s">
        <v>13276</v>
      </c>
      <c r="Q3474" s="10" t="s">
        <v>31</v>
      </c>
      <c r="R3474" s="10" t="s">
        <v>1185</v>
      </c>
      <c r="S3474" s="12" t="s">
        <v>4438</v>
      </c>
      <c r="T3474" s="10" t="s">
        <v>66</v>
      </c>
      <c r="U3474" s="12" t="s">
        <v>13277</v>
      </c>
      <c r="V3474" s="10" t="s">
        <v>3523</v>
      </c>
      <c r="W3474" s="10" t="s">
        <v>13207</v>
      </c>
      <c r="X3474" s="13" t="str">
        <f>HYPERLINK("https://my.pitchbook.com?p=434835-46P","View People Online")</f>
        <v>View People Online</v>
      </c>
    </row>
    <row r="3475">
      <c r="A3475" s="14" t="s">
        <v>22010</v>
      </c>
      <c r="B3475" s="14" t="s">
        <v>22011</v>
      </c>
      <c r="C3475" s="14" t="s">
        <v>12386</v>
      </c>
      <c r="D3475" s="14" t="s">
        <v>17504</v>
      </c>
      <c r="E3475" s="14" t="s">
        <v>13207</v>
      </c>
      <c r="F3475" s="14" t="s">
        <v>13218</v>
      </c>
      <c r="G3475" s="14" t="s">
        <v>22012</v>
      </c>
      <c r="H3475" s="15" t="s">
        <v>31</v>
      </c>
      <c r="I3475" s="15">
        <v>1.0</v>
      </c>
      <c r="J3475" s="15">
        <v>1.0</v>
      </c>
      <c r="K3475" s="15" t="s">
        <v>31</v>
      </c>
      <c r="L3475" s="16" t="s">
        <v>13220</v>
      </c>
      <c r="M3475" s="14" t="s">
        <v>22013</v>
      </c>
      <c r="N3475" s="14" t="s">
        <v>2478</v>
      </c>
      <c r="O3475" s="16" t="s">
        <v>7332</v>
      </c>
      <c r="P3475" s="14" t="s">
        <v>13222</v>
      </c>
      <c r="Q3475" s="14" t="s">
        <v>13223</v>
      </c>
      <c r="R3475" s="14" t="s">
        <v>7335</v>
      </c>
      <c r="S3475" s="16" t="s">
        <v>7336</v>
      </c>
      <c r="T3475" s="14" t="s">
        <v>5484</v>
      </c>
      <c r="U3475" s="16" t="s">
        <v>13224</v>
      </c>
      <c r="V3475" s="14" t="s">
        <v>13218</v>
      </c>
      <c r="W3475" s="14" t="s">
        <v>13207</v>
      </c>
      <c r="X3475" s="17" t="str">
        <f>HYPERLINK("https://my.pitchbook.com?p=435970-27P","View People Online")</f>
        <v>View People Online</v>
      </c>
    </row>
    <row r="3476">
      <c r="A3476" s="10" t="s">
        <v>22014</v>
      </c>
      <c r="B3476" s="10" t="s">
        <v>22015</v>
      </c>
      <c r="C3476" s="10" t="s">
        <v>22016</v>
      </c>
      <c r="D3476" s="10" t="s">
        <v>16135</v>
      </c>
      <c r="E3476" s="10" t="s">
        <v>13207</v>
      </c>
      <c r="F3476" s="10" t="s">
        <v>3523</v>
      </c>
      <c r="G3476" s="10" t="s">
        <v>22017</v>
      </c>
      <c r="H3476" s="11" t="s">
        <v>31</v>
      </c>
      <c r="I3476" s="11">
        <v>1.0</v>
      </c>
      <c r="J3476" s="11">
        <v>1.0</v>
      </c>
      <c r="K3476" s="11" t="s">
        <v>31</v>
      </c>
      <c r="L3476" s="12" t="s">
        <v>13540</v>
      </c>
      <c r="M3476" s="10" t="s">
        <v>22018</v>
      </c>
      <c r="N3476" s="10" t="s">
        <v>418</v>
      </c>
      <c r="O3476" s="12" t="s">
        <v>419</v>
      </c>
      <c r="P3476" s="10" t="s">
        <v>13542</v>
      </c>
      <c r="Q3476" s="10" t="s">
        <v>31</v>
      </c>
      <c r="R3476" s="10" t="s">
        <v>31</v>
      </c>
      <c r="S3476" s="12" t="s">
        <v>2664</v>
      </c>
      <c r="T3476" s="10" t="s">
        <v>422</v>
      </c>
      <c r="U3476" s="12" t="s">
        <v>13543</v>
      </c>
      <c r="V3476" s="10" t="s">
        <v>3523</v>
      </c>
      <c r="W3476" s="10" t="s">
        <v>13207</v>
      </c>
      <c r="X3476" s="13" t="str">
        <f>HYPERLINK("https://my.pitchbook.com?p=456141-88P","View People Online")</f>
        <v>View People Online</v>
      </c>
    </row>
    <row r="3477">
      <c r="A3477" s="6" t="s">
        <v>22019</v>
      </c>
      <c r="B3477" s="6" t="s">
        <v>22020</v>
      </c>
      <c r="C3477" s="6" t="s">
        <v>3409</v>
      </c>
      <c r="D3477" s="6" t="s">
        <v>22021</v>
      </c>
      <c r="E3477" s="6" t="s">
        <v>13207</v>
      </c>
      <c r="F3477" s="6" t="s">
        <v>3523</v>
      </c>
      <c r="G3477" s="6" t="s">
        <v>22022</v>
      </c>
      <c r="H3477" s="7" t="s">
        <v>31</v>
      </c>
      <c r="I3477" s="7">
        <v>1.0</v>
      </c>
      <c r="J3477" s="7">
        <v>1.0</v>
      </c>
      <c r="K3477" s="7" t="s">
        <v>31</v>
      </c>
      <c r="L3477" s="8" t="s">
        <v>13540</v>
      </c>
      <c r="M3477" s="6" t="s">
        <v>22023</v>
      </c>
      <c r="N3477" s="6" t="s">
        <v>418</v>
      </c>
      <c r="O3477" s="8" t="s">
        <v>419</v>
      </c>
      <c r="P3477" s="6" t="s">
        <v>13542</v>
      </c>
      <c r="Q3477" s="6" t="s">
        <v>31</v>
      </c>
      <c r="R3477" s="6" t="s">
        <v>31</v>
      </c>
      <c r="S3477" s="8" t="s">
        <v>2664</v>
      </c>
      <c r="T3477" s="6" t="s">
        <v>422</v>
      </c>
      <c r="U3477" s="8" t="s">
        <v>13543</v>
      </c>
      <c r="V3477" s="6" t="s">
        <v>3523</v>
      </c>
      <c r="W3477" s="6" t="s">
        <v>13207</v>
      </c>
      <c r="X3477" s="9" t="str">
        <f>HYPERLINK("https://my.pitchbook.com?p=455412-61P","View People Online")</f>
        <v>View People Online</v>
      </c>
    </row>
    <row r="3478">
      <c r="A3478" s="10" t="s">
        <v>22024</v>
      </c>
      <c r="B3478" s="10" t="s">
        <v>22025</v>
      </c>
      <c r="C3478" s="10" t="s">
        <v>3409</v>
      </c>
      <c r="D3478" s="10" t="s">
        <v>22026</v>
      </c>
      <c r="E3478" s="10" t="s">
        <v>13207</v>
      </c>
      <c r="F3478" s="10" t="s">
        <v>13307</v>
      </c>
      <c r="G3478" s="10" t="s">
        <v>22027</v>
      </c>
      <c r="H3478" s="11" t="s">
        <v>31</v>
      </c>
      <c r="I3478" s="11">
        <v>1.0</v>
      </c>
      <c r="J3478" s="11">
        <v>1.0</v>
      </c>
      <c r="K3478" s="11" t="s">
        <v>31</v>
      </c>
      <c r="L3478" s="12" t="s">
        <v>13540</v>
      </c>
      <c r="M3478" s="10" t="s">
        <v>22028</v>
      </c>
      <c r="N3478" s="10" t="s">
        <v>418</v>
      </c>
      <c r="O3478" s="12" t="s">
        <v>419</v>
      </c>
      <c r="P3478" s="10" t="s">
        <v>13542</v>
      </c>
      <c r="Q3478" s="10" t="s">
        <v>31</v>
      </c>
      <c r="R3478" s="10" t="s">
        <v>31</v>
      </c>
      <c r="S3478" s="12" t="s">
        <v>2664</v>
      </c>
      <c r="T3478" s="10" t="s">
        <v>422</v>
      </c>
      <c r="U3478" s="12" t="s">
        <v>13543</v>
      </c>
      <c r="V3478" s="10" t="s">
        <v>13317</v>
      </c>
      <c r="W3478" s="10" t="s">
        <v>13207</v>
      </c>
      <c r="X3478" s="13" t="str">
        <f>HYPERLINK("https://my.pitchbook.com?p=456039-82P","View People Online")</f>
        <v>View People Online</v>
      </c>
    </row>
    <row r="3479">
      <c r="A3479" s="14" t="s">
        <v>22029</v>
      </c>
      <c r="B3479" s="14" t="s">
        <v>22030</v>
      </c>
      <c r="C3479" s="14" t="s">
        <v>3409</v>
      </c>
      <c r="D3479" s="14" t="s">
        <v>22031</v>
      </c>
      <c r="E3479" s="14" t="s">
        <v>13207</v>
      </c>
      <c r="F3479" s="14" t="s">
        <v>13218</v>
      </c>
      <c r="G3479" s="14" t="s">
        <v>22032</v>
      </c>
      <c r="H3479" s="15" t="s">
        <v>31</v>
      </c>
      <c r="I3479" s="15">
        <v>1.0</v>
      </c>
      <c r="J3479" s="15">
        <v>1.0</v>
      </c>
      <c r="K3479" s="15" t="s">
        <v>31</v>
      </c>
      <c r="L3479" s="16" t="s">
        <v>13864</v>
      </c>
      <c r="M3479" s="14" t="s">
        <v>22033</v>
      </c>
      <c r="N3479" s="14" t="s">
        <v>1841</v>
      </c>
      <c r="O3479" s="16" t="s">
        <v>1842</v>
      </c>
      <c r="P3479" s="14" t="s">
        <v>13866</v>
      </c>
      <c r="Q3479" s="14" t="s">
        <v>13867</v>
      </c>
      <c r="R3479" s="14" t="s">
        <v>31</v>
      </c>
      <c r="S3479" s="16" t="s">
        <v>31</v>
      </c>
      <c r="T3479" s="14" t="s">
        <v>1845</v>
      </c>
      <c r="U3479" s="16" t="s">
        <v>31</v>
      </c>
      <c r="V3479" s="14" t="s">
        <v>13218</v>
      </c>
      <c r="W3479" s="14" t="s">
        <v>13207</v>
      </c>
      <c r="X3479" s="17" t="str">
        <f>HYPERLINK("https://my.pitchbook.com?p=435640-15P","View People Online")</f>
        <v>View People Online</v>
      </c>
    </row>
    <row r="3480">
      <c r="A3480" s="10" t="s">
        <v>22034</v>
      </c>
      <c r="B3480" s="10" t="s">
        <v>22035</v>
      </c>
      <c r="C3480" s="10" t="s">
        <v>3409</v>
      </c>
      <c r="D3480" s="10" t="s">
        <v>22036</v>
      </c>
      <c r="E3480" s="10" t="s">
        <v>13207</v>
      </c>
      <c r="F3480" s="10" t="s">
        <v>3523</v>
      </c>
      <c r="G3480" s="10" t="s">
        <v>22037</v>
      </c>
      <c r="H3480" s="11" t="s">
        <v>31</v>
      </c>
      <c r="I3480" s="11">
        <v>1.0</v>
      </c>
      <c r="J3480" s="11">
        <v>1.0</v>
      </c>
      <c r="K3480" s="11" t="s">
        <v>31</v>
      </c>
      <c r="L3480" s="12" t="s">
        <v>13540</v>
      </c>
      <c r="M3480" s="10" t="s">
        <v>22038</v>
      </c>
      <c r="N3480" s="10" t="s">
        <v>418</v>
      </c>
      <c r="O3480" s="12" t="s">
        <v>419</v>
      </c>
      <c r="P3480" s="10" t="s">
        <v>13542</v>
      </c>
      <c r="Q3480" s="10" t="s">
        <v>31</v>
      </c>
      <c r="R3480" s="10" t="s">
        <v>31</v>
      </c>
      <c r="S3480" s="12" t="s">
        <v>2664</v>
      </c>
      <c r="T3480" s="10" t="s">
        <v>422</v>
      </c>
      <c r="U3480" s="12" t="s">
        <v>13543</v>
      </c>
      <c r="V3480" s="10" t="s">
        <v>3523</v>
      </c>
      <c r="W3480" s="10" t="s">
        <v>13207</v>
      </c>
      <c r="X3480" s="13" t="str">
        <f>HYPERLINK("https://my.pitchbook.com?p=435165-58P","View People Online")</f>
        <v>View People Online</v>
      </c>
    </row>
    <row r="3481">
      <c r="A3481" s="14" t="s">
        <v>22039</v>
      </c>
      <c r="B3481" s="14" t="s">
        <v>22040</v>
      </c>
      <c r="C3481" s="14" t="s">
        <v>3409</v>
      </c>
      <c r="D3481" s="14" t="s">
        <v>22041</v>
      </c>
      <c r="E3481" s="14" t="s">
        <v>13207</v>
      </c>
      <c r="F3481" s="14" t="s">
        <v>13307</v>
      </c>
      <c r="G3481" s="14" t="s">
        <v>22042</v>
      </c>
      <c r="H3481" s="15" t="s">
        <v>31</v>
      </c>
      <c r="I3481" s="15">
        <v>1.0</v>
      </c>
      <c r="J3481" s="15">
        <v>1.0</v>
      </c>
      <c r="K3481" s="15" t="s">
        <v>31</v>
      </c>
      <c r="L3481" s="16" t="s">
        <v>16040</v>
      </c>
      <c r="M3481" s="14" t="s">
        <v>22043</v>
      </c>
      <c r="N3481" s="14" t="s">
        <v>465</v>
      </c>
      <c r="O3481" s="16" t="s">
        <v>466</v>
      </c>
      <c r="P3481" s="14" t="s">
        <v>16042</v>
      </c>
      <c r="Q3481" s="14" t="s">
        <v>31</v>
      </c>
      <c r="R3481" s="14" t="s">
        <v>31</v>
      </c>
      <c r="S3481" s="16" t="s">
        <v>16043</v>
      </c>
      <c r="T3481" s="14" t="s">
        <v>422</v>
      </c>
      <c r="U3481" s="16" t="s">
        <v>16044</v>
      </c>
      <c r="V3481" s="14" t="s">
        <v>13317</v>
      </c>
      <c r="W3481" s="14" t="s">
        <v>13207</v>
      </c>
      <c r="X3481" s="17" t="str">
        <f>HYPERLINK("https://my.pitchbook.com?p=455810-32P","View People Online")</f>
        <v>View People Online</v>
      </c>
    </row>
    <row r="3482">
      <c r="A3482" s="2" t="s">
        <v>22044</v>
      </c>
      <c r="B3482" s="2" t="s">
        <v>22045</v>
      </c>
      <c r="C3482" s="2" t="s">
        <v>3409</v>
      </c>
      <c r="D3482" s="2" t="s">
        <v>22046</v>
      </c>
      <c r="E3482" s="2" t="s">
        <v>13207</v>
      </c>
      <c r="F3482" s="2" t="s">
        <v>3523</v>
      </c>
      <c r="G3482" s="2" t="s">
        <v>22047</v>
      </c>
      <c r="H3482" s="3" t="s">
        <v>31</v>
      </c>
      <c r="I3482" s="3">
        <v>1.0</v>
      </c>
      <c r="J3482" s="3">
        <v>1.0</v>
      </c>
      <c r="K3482" s="3" t="s">
        <v>31</v>
      </c>
      <c r="L3482" s="4" t="s">
        <v>13540</v>
      </c>
      <c r="M3482" s="2" t="s">
        <v>22048</v>
      </c>
      <c r="N3482" s="2" t="s">
        <v>418</v>
      </c>
      <c r="O3482" s="4" t="s">
        <v>419</v>
      </c>
      <c r="P3482" s="2" t="s">
        <v>13542</v>
      </c>
      <c r="Q3482" s="2" t="s">
        <v>31</v>
      </c>
      <c r="R3482" s="2" t="s">
        <v>31</v>
      </c>
      <c r="S3482" s="4" t="s">
        <v>2664</v>
      </c>
      <c r="T3482" s="2" t="s">
        <v>422</v>
      </c>
      <c r="U3482" s="4" t="s">
        <v>13543</v>
      </c>
      <c r="V3482" s="2" t="s">
        <v>3523</v>
      </c>
      <c r="W3482" s="2" t="s">
        <v>13207</v>
      </c>
      <c r="X3482" s="5" t="str">
        <f>HYPERLINK("https://my.pitchbook.com?p=435613-24P","View People Online")</f>
        <v>View People Online</v>
      </c>
    </row>
    <row r="3483">
      <c r="A3483" s="6" t="s">
        <v>22049</v>
      </c>
      <c r="B3483" s="6" t="s">
        <v>22050</v>
      </c>
      <c r="C3483" s="6" t="s">
        <v>9645</v>
      </c>
      <c r="D3483" s="6" t="s">
        <v>22051</v>
      </c>
      <c r="E3483" s="6" t="s">
        <v>13207</v>
      </c>
      <c r="F3483" s="6" t="s">
        <v>13218</v>
      </c>
      <c r="G3483" s="6" t="s">
        <v>22052</v>
      </c>
      <c r="H3483" s="7" t="s">
        <v>31</v>
      </c>
      <c r="I3483" s="7">
        <v>1.0</v>
      </c>
      <c r="J3483" s="7">
        <v>1.0</v>
      </c>
      <c r="K3483" s="7" t="s">
        <v>31</v>
      </c>
      <c r="L3483" s="8" t="s">
        <v>13378</v>
      </c>
      <c r="M3483" s="6" t="s">
        <v>22053</v>
      </c>
      <c r="N3483" s="6" t="s">
        <v>429</v>
      </c>
      <c r="O3483" s="8" t="s">
        <v>430</v>
      </c>
      <c r="P3483" s="6" t="s">
        <v>13380</v>
      </c>
      <c r="Q3483" s="6" t="s">
        <v>31</v>
      </c>
      <c r="R3483" s="6" t="s">
        <v>31</v>
      </c>
      <c r="S3483" s="8" t="s">
        <v>13381</v>
      </c>
      <c r="T3483" s="6" t="s">
        <v>433</v>
      </c>
      <c r="U3483" s="8" t="s">
        <v>13382</v>
      </c>
      <c r="V3483" s="6" t="s">
        <v>13218</v>
      </c>
      <c r="W3483" s="6" t="s">
        <v>13207</v>
      </c>
      <c r="X3483" s="9" t="str">
        <f>HYPERLINK("https://my.pitchbook.com?p=435717-01P","View People Online")</f>
        <v>View People Online</v>
      </c>
    </row>
    <row r="3484">
      <c r="A3484" s="10" t="s">
        <v>22054</v>
      </c>
      <c r="B3484" s="10" t="s">
        <v>22055</v>
      </c>
      <c r="C3484" s="10" t="s">
        <v>9645</v>
      </c>
      <c r="D3484" s="10" t="s">
        <v>10295</v>
      </c>
      <c r="E3484" s="10" t="s">
        <v>13207</v>
      </c>
      <c r="F3484" s="10" t="s">
        <v>3523</v>
      </c>
      <c r="G3484" s="10" t="s">
        <v>22056</v>
      </c>
      <c r="H3484" s="11">
        <v>1.0</v>
      </c>
      <c r="I3484" s="11">
        <v>2.0</v>
      </c>
      <c r="J3484" s="11">
        <v>1.0</v>
      </c>
      <c r="K3484" s="11" t="s">
        <v>31</v>
      </c>
      <c r="L3484" s="12" t="s">
        <v>22057</v>
      </c>
      <c r="M3484" s="10" t="s">
        <v>22058</v>
      </c>
      <c r="N3484" s="10" t="s">
        <v>22059</v>
      </c>
      <c r="O3484" s="12" t="s">
        <v>22060</v>
      </c>
      <c r="P3484" s="10" t="s">
        <v>22061</v>
      </c>
      <c r="Q3484" s="10" t="s">
        <v>22062</v>
      </c>
      <c r="R3484" s="10" t="s">
        <v>31</v>
      </c>
      <c r="S3484" s="12" t="s">
        <v>22063</v>
      </c>
      <c r="T3484" s="10" t="s">
        <v>433</v>
      </c>
      <c r="U3484" s="12" t="s">
        <v>31</v>
      </c>
      <c r="V3484" s="10" t="s">
        <v>2379</v>
      </c>
      <c r="W3484" s="10" t="s">
        <v>22064</v>
      </c>
      <c r="X3484" s="13" t="str">
        <f>HYPERLINK("https://my.pitchbook.com?p=229623-67P","View People Online")</f>
        <v>View People Online</v>
      </c>
    </row>
    <row r="3485">
      <c r="A3485" s="6" t="s">
        <v>22065</v>
      </c>
      <c r="B3485" s="6" t="s">
        <v>22066</v>
      </c>
      <c r="C3485" s="6" t="s">
        <v>4673</v>
      </c>
      <c r="D3485" s="6" t="s">
        <v>22067</v>
      </c>
      <c r="E3485" s="6" t="s">
        <v>13207</v>
      </c>
      <c r="F3485" s="6" t="s">
        <v>13307</v>
      </c>
      <c r="G3485" s="6" t="s">
        <v>22068</v>
      </c>
      <c r="H3485" s="7" t="s">
        <v>31</v>
      </c>
      <c r="I3485" s="7">
        <v>1.0</v>
      </c>
      <c r="J3485" s="7">
        <v>1.0</v>
      </c>
      <c r="K3485" s="7" t="s">
        <v>31</v>
      </c>
      <c r="L3485" s="8" t="s">
        <v>13423</v>
      </c>
      <c r="M3485" s="6" t="s">
        <v>22069</v>
      </c>
      <c r="N3485" s="6" t="s">
        <v>243</v>
      </c>
      <c r="O3485" s="8" t="s">
        <v>244</v>
      </c>
      <c r="P3485" s="6" t="s">
        <v>13425</v>
      </c>
      <c r="Q3485" s="6" t="s">
        <v>31</v>
      </c>
      <c r="R3485" s="6" t="s">
        <v>247</v>
      </c>
      <c r="S3485" s="8" t="s">
        <v>13426</v>
      </c>
      <c r="T3485" s="6" t="s">
        <v>249</v>
      </c>
      <c r="U3485" s="8" t="s">
        <v>31</v>
      </c>
      <c r="V3485" s="6" t="s">
        <v>22070</v>
      </c>
      <c r="W3485" s="6" t="s">
        <v>13207</v>
      </c>
      <c r="X3485" s="9" t="str">
        <f>HYPERLINK("https://my.pitchbook.com?p=436702-06P","View People Online")</f>
        <v>View People Online</v>
      </c>
    </row>
    <row r="3486">
      <c r="A3486" s="10" t="s">
        <v>22071</v>
      </c>
      <c r="B3486" s="10" t="s">
        <v>22072</v>
      </c>
      <c r="C3486" s="10" t="s">
        <v>4673</v>
      </c>
      <c r="D3486" s="10" t="s">
        <v>22073</v>
      </c>
      <c r="E3486" s="10" t="s">
        <v>13207</v>
      </c>
      <c r="F3486" s="10" t="s">
        <v>13218</v>
      </c>
      <c r="G3486" s="10" t="s">
        <v>22074</v>
      </c>
      <c r="H3486" s="11" t="s">
        <v>31</v>
      </c>
      <c r="I3486" s="11">
        <v>1.0</v>
      </c>
      <c r="J3486" s="11">
        <v>1.0</v>
      </c>
      <c r="K3486" s="11" t="s">
        <v>31</v>
      </c>
      <c r="L3486" s="12" t="s">
        <v>13378</v>
      </c>
      <c r="M3486" s="10" t="s">
        <v>22075</v>
      </c>
      <c r="N3486" s="10" t="s">
        <v>429</v>
      </c>
      <c r="O3486" s="12" t="s">
        <v>430</v>
      </c>
      <c r="P3486" s="10" t="s">
        <v>13380</v>
      </c>
      <c r="Q3486" s="10" t="s">
        <v>31</v>
      </c>
      <c r="R3486" s="10" t="s">
        <v>31</v>
      </c>
      <c r="S3486" s="12" t="s">
        <v>13381</v>
      </c>
      <c r="T3486" s="10" t="s">
        <v>433</v>
      </c>
      <c r="U3486" s="12" t="s">
        <v>13382</v>
      </c>
      <c r="V3486" s="10" t="s">
        <v>22076</v>
      </c>
      <c r="W3486" s="10" t="s">
        <v>13207</v>
      </c>
      <c r="X3486" s="13" t="str">
        <f>HYPERLINK("https://my.pitchbook.com?p=435643-66P","View People Online")</f>
        <v>View People Online</v>
      </c>
    </row>
    <row r="3487">
      <c r="A3487" s="14" t="s">
        <v>22077</v>
      </c>
      <c r="B3487" s="14" t="s">
        <v>22078</v>
      </c>
      <c r="C3487" s="14" t="s">
        <v>3722</v>
      </c>
      <c r="D3487" s="14" t="s">
        <v>22079</v>
      </c>
      <c r="E3487" s="14" t="s">
        <v>13207</v>
      </c>
      <c r="F3487" s="14" t="s">
        <v>13218</v>
      </c>
      <c r="G3487" s="14" t="s">
        <v>22080</v>
      </c>
      <c r="H3487" s="15" t="s">
        <v>31</v>
      </c>
      <c r="I3487" s="15">
        <v>1.0</v>
      </c>
      <c r="J3487" s="15">
        <v>1.0</v>
      </c>
      <c r="K3487" s="15" t="s">
        <v>31</v>
      </c>
      <c r="L3487" s="16" t="s">
        <v>14201</v>
      </c>
      <c r="M3487" s="14" t="s">
        <v>22081</v>
      </c>
      <c r="N3487" s="14" t="s">
        <v>14203</v>
      </c>
      <c r="O3487" s="16" t="s">
        <v>14204</v>
      </c>
      <c r="P3487" s="14" t="s">
        <v>14205</v>
      </c>
      <c r="Q3487" s="14" t="s">
        <v>14206</v>
      </c>
      <c r="R3487" s="14" t="s">
        <v>1420</v>
      </c>
      <c r="S3487" s="16" t="s">
        <v>14207</v>
      </c>
      <c r="T3487" s="14" t="s">
        <v>66</v>
      </c>
      <c r="U3487" s="16" t="s">
        <v>14208</v>
      </c>
      <c r="V3487" s="14" t="s">
        <v>13218</v>
      </c>
      <c r="W3487" s="14" t="s">
        <v>13207</v>
      </c>
      <c r="X3487" s="17" t="str">
        <f>HYPERLINK("https://my.pitchbook.com?p=436421-53P","View People Online")</f>
        <v>View People Online</v>
      </c>
    </row>
    <row r="3488">
      <c r="A3488" s="10" t="s">
        <v>22082</v>
      </c>
      <c r="B3488" s="10" t="s">
        <v>22083</v>
      </c>
      <c r="C3488" s="10" t="s">
        <v>3722</v>
      </c>
      <c r="D3488" s="10" t="s">
        <v>22084</v>
      </c>
      <c r="E3488" s="10" t="s">
        <v>13207</v>
      </c>
      <c r="F3488" s="10" t="s">
        <v>13307</v>
      </c>
      <c r="G3488" s="10" t="s">
        <v>22085</v>
      </c>
      <c r="H3488" s="11" t="s">
        <v>31</v>
      </c>
      <c r="I3488" s="11">
        <v>1.0</v>
      </c>
      <c r="J3488" s="11">
        <v>1.0</v>
      </c>
      <c r="K3488" s="11" t="s">
        <v>31</v>
      </c>
      <c r="L3488" s="12" t="s">
        <v>13432</v>
      </c>
      <c r="M3488" s="10" t="s">
        <v>22086</v>
      </c>
      <c r="N3488" s="10" t="s">
        <v>2599</v>
      </c>
      <c r="O3488" s="12" t="s">
        <v>2600</v>
      </c>
      <c r="P3488" s="10" t="s">
        <v>13434</v>
      </c>
      <c r="Q3488" s="10" t="s">
        <v>4235</v>
      </c>
      <c r="R3488" s="10" t="s">
        <v>396</v>
      </c>
      <c r="S3488" s="12" t="s">
        <v>13435</v>
      </c>
      <c r="T3488" s="10" t="s">
        <v>66</v>
      </c>
      <c r="U3488" s="12" t="s">
        <v>13436</v>
      </c>
      <c r="V3488" s="10" t="s">
        <v>22087</v>
      </c>
      <c r="W3488" s="10" t="s">
        <v>13207</v>
      </c>
      <c r="X3488" s="13" t="str">
        <f>HYPERLINK("https://my.pitchbook.com?p=435644-83P","View People Online")</f>
        <v>View People Online</v>
      </c>
    </row>
    <row r="3489">
      <c r="A3489" s="6" t="s">
        <v>22088</v>
      </c>
      <c r="B3489" s="6" t="s">
        <v>22089</v>
      </c>
      <c r="C3489" s="6" t="s">
        <v>3722</v>
      </c>
      <c r="D3489" s="6" t="s">
        <v>22090</v>
      </c>
      <c r="E3489" s="6" t="s">
        <v>13207</v>
      </c>
      <c r="F3489" s="6" t="s">
        <v>3523</v>
      </c>
      <c r="G3489" s="6" t="s">
        <v>22091</v>
      </c>
      <c r="H3489" s="7" t="s">
        <v>31</v>
      </c>
      <c r="I3489" s="7">
        <v>1.0</v>
      </c>
      <c r="J3489" s="7">
        <v>1.0</v>
      </c>
      <c r="K3489" s="7" t="s">
        <v>31</v>
      </c>
      <c r="L3489" s="8" t="s">
        <v>15357</v>
      </c>
      <c r="M3489" s="6" t="s">
        <v>22092</v>
      </c>
      <c r="N3489" s="6" t="s">
        <v>1454</v>
      </c>
      <c r="O3489" s="8" t="s">
        <v>1455</v>
      </c>
      <c r="P3489" s="6" t="s">
        <v>15359</v>
      </c>
      <c r="Q3489" s="6" t="s">
        <v>13635</v>
      </c>
      <c r="R3489" s="6" t="s">
        <v>93</v>
      </c>
      <c r="S3489" s="8" t="s">
        <v>1458</v>
      </c>
      <c r="T3489" s="6" t="s">
        <v>66</v>
      </c>
      <c r="U3489" s="8" t="s">
        <v>15360</v>
      </c>
      <c r="V3489" s="6" t="s">
        <v>3523</v>
      </c>
      <c r="W3489" s="6" t="s">
        <v>13207</v>
      </c>
      <c r="X3489" s="9" t="str">
        <f>HYPERLINK("https://my.pitchbook.com?p=455491-45P","View People Online")</f>
        <v>View People Online</v>
      </c>
    </row>
    <row r="3490">
      <c r="A3490" s="2" t="s">
        <v>22093</v>
      </c>
      <c r="B3490" s="2" t="s">
        <v>22094</v>
      </c>
      <c r="C3490" s="2" t="s">
        <v>3722</v>
      </c>
      <c r="D3490" s="2" t="s">
        <v>22095</v>
      </c>
      <c r="E3490" s="2" t="s">
        <v>13207</v>
      </c>
      <c r="F3490" s="2" t="s">
        <v>13218</v>
      </c>
      <c r="G3490" s="2" t="s">
        <v>22096</v>
      </c>
      <c r="H3490" s="3" t="s">
        <v>31</v>
      </c>
      <c r="I3490" s="3">
        <v>1.0</v>
      </c>
      <c r="J3490" s="3">
        <v>1.0</v>
      </c>
      <c r="K3490" s="3" t="s">
        <v>31</v>
      </c>
      <c r="L3490" s="4" t="s">
        <v>13274</v>
      </c>
      <c r="M3490" s="2" t="s">
        <v>22097</v>
      </c>
      <c r="N3490" s="2" t="s">
        <v>1181</v>
      </c>
      <c r="O3490" s="4" t="s">
        <v>1182</v>
      </c>
      <c r="P3490" s="2" t="s">
        <v>13276</v>
      </c>
      <c r="Q3490" s="2" t="s">
        <v>31</v>
      </c>
      <c r="R3490" s="2" t="s">
        <v>1185</v>
      </c>
      <c r="S3490" s="4" t="s">
        <v>4438</v>
      </c>
      <c r="T3490" s="2" t="s">
        <v>66</v>
      </c>
      <c r="U3490" s="4" t="s">
        <v>13277</v>
      </c>
      <c r="V3490" s="2" t="s">
        <v>13218</v>
      </c>
      <c r="W3490" s="2" t="s">
        <v>13207</v>
      </c>
      <c r="X3490" s="5" t="str">
        <f>HYPERLINK("https://my.pitchbook.com?p=435734-20P","View People Online")</f>
        <v>View People Online</v>
      </c>
    </row>
    <row r="3491">
      <c r="A3491" s="14" t="s">
        <v>22098</v>
      </c>
      <c r="B3491" s="14" t="s">
        <v>22099</v>
      </c>
      <c r="C3491" s="14" t="s">
        <v>6199</v>
      </c>
      <c r="D3491" s="14" t="s">
        <v>22100</v>
      </c>
      <c r="E3491" s="14" t="s">
        <v>13207</v>
      </c>
      <c r="F3491" s="14" t="s">
        <v>13218</v>
      </c>
      <c r="G3491" s="14" t="s">
        <v>22101</v>
      </c>
      <c r="H3491" s="15" t="s">
        <v>31</v>
      </c>
      <c r="I3491" s="15">
        <v>1.0</v>
      </c>
      <c r="J3491" s="15">
        <v>1.0</v>
      </c>
      <c r="K3491" s="15" t="s">
        <v>31</v>
      </c>
      <c r="L3491" s="16" t="s">
        <v>14614</v>
      </c>
      <c r="M3491" s="14" t="s">
        <v>22102</v>
      </c>
      <c r="N3491" s="14" t="s">
        <v>1442</v>
      </c>
      <c r="O3491" s="16" t="s">
        <v>1443</v>
      </c>
      <c r="P3491" s="14" t="s">
        <v>14616</v>
      </c>
      <c r="Q3491" s="14" t="s">
        <v>14617</v>
      </c>
      <c r="R3491" s="14" t="s">
        <v>1277</v>
      </c>
      <c r="S3491" s="16" t="s">
        <v>14618</v>
      </c>
      <c r="T3491" s="14" t="s">
        <v>66</v>
      </c>
      <c r="U3491" s="16" t="s">
        <v>31</v>
      </c>
      <c r="V3491" s="14" t="s">
        <v>13218</v>
      </c>
      <c r="W3491" s="14" t="s">
        <v>13207</v>
      </c>
      <c r="X3491" s="17" t="str">
        <f>HYPERLINK("https://my.pitchbook.com?p=435662-83P","View People Online")</f>
        <v>View People Online</v>
      </c>
    </row>
    <row r="3492">
      <c r="A3492" s="2" t="s">
        <v>22103</v>
      </c>
      <c r="B3492" s="2" t="s">
        <v>22104</v>
      </c>
      <c r="C3492" s="2" t="s">
        <v>6199</v>
      </c>
      <c r="D3492" s="2" t="s">
        <v>22105</v>
      </c>
      <c r="E3492" s="2" t="s">
        <v>13207</v>
      </c>
      <c r="F3492" s="2" t="s">
        <v>3523</v>
      </c>
      <c r="G3492" s="2" t="s">
        <v>22106</v>
      </c>
      <c r="H3492" s="3" t="s">
        <v>31</v>
      </c>
      <c r="I3492" s="3">
        <v>1.0</v>
      </c>
      <c r="J3492" s="3">
        <v>1.0</v>
      </c>
      <c r="K3492" s="3" t="s">
        <v>31</v>
      </c>
      <c r="L3492" s="4" t="s">
        <v>13505</v>
      </c>
      <c r="M3492" s="2" t="s">
        <v>22107</v>
      </c>
      <c r="N3492" s="2" t="s">
        <v>1416</v>
      </c>
      <c r="O3492" s="4" t="s">
        <v>1417</v>
      </c>
      <c r="P3492" s="2" t="s">
        <v>13507</v>
      </c>
      <c r="Q3492" s="2" t="s">
        <v>1457</v>
      </c>
      <c r="R3492" s="2" t="s">
        <v>1420</v>
      </c>
      <c r="S3492" s="4" t="s">
        <v>13508</v>
      </c>
      <c r="T3492" s="2" t="s">
        <v>66</v>
      </c>
      <c r="U3492" s="4" t="s">
        <v>13509</v>
      </c>
      <c r="V3492" s="2" t="s">
        <v>3523</v>
      </c>
      <c r="W3492" s="2" t="s">
        <v>13207</v>
      </c>
      <c r="X3492" s="5" t="str">
        <f>HYPERLINK("https://my.pitchbook.com?p=436219-39P","View People Online")</f>
        <v>View People Online</v>
      </c>
    </row>
    <row r="3493">
      <c r="A3493" s="6" t="s">
        <v>22108</v>
      </c>
      <c r="B3493" s="6" t="s">
        <v>22109</v>
      </c>
      <c r="C3493" s="6" t="s">
        <v>6199</v>
      </c>
      <c r="D3493" s="6" t="s">
        <v>22110</v>
      </c>
      <c r="E3493" s="6" t="s">
        <v>13207</v>
      </c>
      <c r="F3493" s="6" t="s">
        <v>13218</v>
      </c>
      <c r="G3493" s="6" t="s">
        <v>22111</v>
      </c>
      <c r="H3493" s="7" t="s">
        <v>31</v>
      </c>
      <c r="I3493" s="7">
        <v>1.0</v>
      </c>
      <c r="J3493" s="7">
        <v>1.0</v>
      </c>
      <c r="K3493" s="7" t="s">
        <v>31</v>
      </c>
      <c r="L3493" s="8" t="s">
        <v>13496</v>
      </c>
      <c r="M3493" s="6" t="s">
        <v>22112</v>
      </c>
      <c r="N3493" s="6" t="s">
        <v>75</v>
      </c>
      <c r="O3493" s="8" t="s">
        <v>76</v>
      </c>
      <c r="P3493" s="6" t="s">
        <v>13498</v>
      </c>
      <c r="Q3493" s="6" t="s">
        <v>31</v>
      </c>
      <c r="R3493" s="6" t="s">
        <v>75</v>
      </c>
      <c r="S3493" s="8" t="s">
        <v>195</v>
      </c>
      <c r="T3493" s="6" t="s">
        <v>66</v>
      </c>
      <c r="U3493" s="8" t="s">
        <v>13499</v>
      </c>
      <c r="V3493" s="6" t="s">
        <v>13218</v>
      </c>
      <c r="W3493" s="6" t="s">
        <v>13207</v>
      </c>
      <c r="X3493" s="9" t="str">
        <f>HYPERLINK("https://my.pitchbook.com?p=435829-51P","View People Online")</f>
        <v>View People Online</v>
      </c>
    </row>
    <row r="3494">
      <c r="A3494" s="2" t="s">
        <v>22113</v>
      </c>
      <c r="B3494" s="2" t="s">
        <v>22114</v>
      </c>
      <c r="C3494" s="2" t="s">
        <v>4679</v>
      </c>
      <c r="D3494" s="2" t="s">
        <v>22115</v>
      </c>
      <c r="E3494" s="2" t="s">
        <v>13207</v>
      </c>
      <c r="F3494" s="2" t="s">
        <v>13307</v>
      </c>
      <c r="G3494" s="2" t="s">
        <v>22116</v>
      </c>
      <c r="H3494" s="3" t="s">
        <v>31</v>
      </c>
      <c r="I3494" s="3">
        <v>1.0</v>
      </c>
      <c r="J3494" s="3">
        <v>1.0</v>
      </c>
      <c r="K3494" s="3" t="s">
        <v>31</v>
      </c>
      <c r="L3494" s="4" t="s">
        <v>13423</v>
      </c>
      <c r="M3494" s="2" t="s">
        <v>22117</v>
      </c>
      <c r="N3494" s="2" t="s">
        <v>243</v>
      </c>
      <c r="O3494" s="4" t="s">
        <v>244</v>
      </c>
      <c r="P3494" s="2" t="s">
        <v>13425</v>
      </c>
      <c r="Q3494" s="2" t="s">
        <v>31</v>
      </c>
      <c r="R3494" s="2" t="s">
        <v>247</v>
      </c>
      <c r="S3494" s="4" t="s">
        <v>13426</v>
      </c>
      <c r="T3494" s="2" t="s">
        <v>249</v>
      </c>
      <c r="U3494" s="4" t="s">
        <v>31</v>
      </c>
      <c r="V3494" s="2" t="s">
        <v>13317</v>
      </c>
      <c r="W3494" s="2" t="s">
        <v>13207</v>
      </c>
      <c r="X3494" s="5" t="str">
        <f>HYPERLINK("https://my.pitchbook.com?p=435940-75P","View People Online")</f>
        <v>View People Online</v>
      </c>
    </row>
    <row r="3495">
      <c r="A3495" s="6" t="s">
        <v>22118</v>
      </c>
      <c r="B3495" s="6" t="s">
        <v>22119</v>
      </c>
      <c r="C3495" s="6" t="s">
        <v>4679</v>
      </c>
      <c r="D3495" s="6" t="s">
        <v>8787</v>
      </c>
      <c r="E3495" s="6" t="s">
        <v>13207</v>
      </c>
      <c r="F3495" s="6" t="s">
        <v>3523</v>
      </c>
      <c r="G3495" s="6" t="s">
        <v>22120</v>
      </c>
      <c r="H3495" s="7" t="s">
        <v>31</v>
      </c>
      <c r="I3495" s="7">
        <v>1.0</v>
      </c>
      <c r="J3495" s="7">
        <v>1.0</v>
      </c>
      <c r="K3495" s="7" t="s">
        <v>31</v>
      </c>
      <c r="L3495" s="8" t="s">
        <v>13281</v>
      </c>
      <c r="M3495" s="6" t="s">
        <v>22121</v>
      </c>
      <c r="N3495" s="6" t="s">
        <v>1277</v>
      </c>
      <c r="O3495" s="8" t="s">
        <v>1278</v>
      </c>
      <c r="P3495" s="6" t="s">
        <v>13283</v>
      </c>
      <c r="Q3495" s="6" t="s">
        <v>13284</v>
      </c>
      <c r="R3495" s="6" t="s">
        <v>1281</v>
      </c>
      <c r="S3495" s="8" t="s">
        <v>1282</v>
      </c>
      <c r="T3495" s="6" t="s">
        <v>66</v>
      </c>
      <c r="U3495" s="8" t="s">
        <v>13285</v>
      </c>
      <c r="V3495" s="6" t="s">
        <v>22122</v>
      </c>
      <c r="W3495" s="6" t="s">
        <v>13207</v>
      </c>
      <c r="X3495" s="9" t="str">
        <f>HYPERLINK("https://my.pitchbook.com?p=435446-20P","View People Online")</f>
        <v>View People Online</v>
      </c>
    </row>
    <row r="3496">
      <c r="A3496" s="2" t="s">
        <v>22123</v>
      </c>
      <c r="B3496" s="2" t="s">
        <v>22124</v>
      </c>
      <c r="C3496" s="2" t="s">
        <v>2456</v>
      </c>
      <c r="D3496" s="2" t="s">
        <v>9609</v>
      </c>
      <c r="E3496" s="2" t="s">
        <v>13207</v>
      </c>
      <c r="F3496" s="2" t="s">
        <v>3523</v>
      </c>
      <c r="G3496" s="2" t="s">
        <v>22125</v>
      </c>
      <c r="H3496" s="3" t="s">
        <v>31</v>
      </c>
      <c r="I3496" s="3">
        <v>1.0</v>
      </c>
      <c r="J3496" s="3">
        <v>1.0</v>
      </c>
      <c r="K3496" s="3" t="s">
        <v>31</v>
      </c>
      <c r="L3496" s="4" t="s">
        <v>13423</v>
      </c>
      <c r="M3496" s="2" t="s">
        <v>22126</v>
      </c>
      <c r="N3496" s="2" t="s">
        <v>243</v>
      </c>
      <c r="O3496" s="4" t="s">
        <v>244</v>
      </c>
      <c r="P3496" s="2" t="s">
        <v>13425</v>
      </c>
      <c r="Q3496" s="2" t="s">
        <v>31</v>
      </c>
      <c r="R3496" s="2" t="s">
        <v>247</v>
      </c>
      <c r="S3496" s="4" t="s">
        <v>13426</v>
      </c>
      <c r="T3496" s="2" t="s">
        <v>249</v>
      </c>
      <c r="U3496" s="4" t="s">
        <v>31</v>
      </c>
      <c r="V3496" s="2" t="s">
        <v>3523</v>
      </c>
      <c r="W3496" s="2" t="s">
        <v>13207</v>
      </c>
      <c r="X3496" s="5" t="str">
        <f>HYPERLINK("https://my.pitchbook.com?p=455392-09P","View People Online")</f>
        <v>View People Online</v>
      </c>
    </row>
    <row r="3497">
      <c r="A3497" s="6" t="s">
        <v>22127</v>
      </c>
      <c r="B3497" s="6" t="s">
        <v>22128</v>
      </c>
      <c r="C3497" s="6" t="s">
        <v>2456</v>
      </c>
      <c r="D3497" s="6" t="s">
        <v>22129</v>
      </c>
      <c r="E3497" s="6" t="s">
        <v>13207</v>
      </c>
      <c r="F3497" s="6" t="s">
        <v>13240</v>
      </c>
      <c r="G3497" s="6" t="s">
        <v>22130</v>
      </c>
      <c r="H3497" s="7" t="s">
        <v>31</v>
      </c>
      <c r="I3497" s="7">
        <v>1.0</v>
      </c>
      <c r="J3497" s="7">
        <v>1.0</v>
      </c>
      <c r="K3497" s="7" t="s">
        <v>31</v>
      </c>
      <c r="L3497" s="8" t="s">
        <v>13423</v>
      </c>
      <c r="M3497" s="6" t="s">
        <v>22131</v>
      </c>
      <c r="N3497" s="6" t="s">
        <v>243</v>
      </c>
      <c r="O3497" s="8" t="s">
        <v>244</v>
      </c>
      <c r="P3497" s="6" t="s">
        <v>13425</v>
      </c>
      <c r="Q3497" s="6" t="s">
        <v>31</v>
      </c>
      <c r="R3497" s="6" t="s">
        <v>247</v>
      </c>
      <c r="S3497" s="8" t="s">
        <v>13426</v>
      </c>
      <c r="T3497" s="6" t="s">
        <v>249</v>
      </c>
      <c r="U3497" s="8" t="s">
        <v>31</v>
      </c>
      <c r="V3497" s="6" t="s">
        <v>13247</v>
      </c>
      <c r="W3497" s="6" t="s">
        <v>13207</v>
      </c>
      <c r="X3497" s="9" t="str">
        <f>HYPERLINK("https://my.pitchbook.com?p=436724-47P","View People Online")</f>
        <v>View People Online</v>
      </c>
    </row>
    <row r="3498">
      <c r="A3498" s="10" t="s">
        <v>22132</v>
      </c>
      <c r="B3498" s="10" t="s">
        <v>22133</v>
      </c>
      <c r="C3498" s="10" t="s">
        <v>22134</v>
      </c>
      <c r="D3498" s="10" t="s">
        <v>9309</v>
      </c>
      <c r="E3498" s="10" t="s">
        <v>13207</v>
      </c>
      <c r="F3498" s="10" t="s">
        <v>3523</v>
      </c>
      <c r="G3498" s="10" t="s">
        <v>22135</v>
      </c>
      <c r="H3498" s="11" t="s">
        <v>31</v>
      </c>
      <c r="I3498" s="11">
        <v>1.0</v>
      </c>
      <c r="J3498" s="11">
        <v>1.0</v>
      </c>
      <c r="K3498" s="11" t="s">
        <v>31</v>
      </c>
      <c r="L3498" s="12" t="s">
        <v>13209</v>
      </c>
      <c r="M3498" s="10" t="s">
        <v>22136</v>
      </c>
      <c r="N3498" s="10" t="s">
        <v>4232</v>
      </c>
      <c r="O3498" s="12" t="s">
        <v>4233</v>
      </c>
      <c r="P3498" s="10" t="s">
        <v>13211</v>
      </c>
      <c r="Q3498" s="10" t="s">
        <v>31</v>
      </c>
      <c r="R3498" s="10" t="s">
        <v>4236</v>
      </c>
      <c r="S3498" s="12" t="s">
        <v>13212</v>
      </c>
      <c r="T3498" s="10" t="s">
        <v>66</v>
      </c>
      <c r="U3498" s="12" t="s">
        <v>13213</v>
      </c>
      <c r="V3498" s="10" t="s">
        <v>3523</v>
      </c>
      <c r="W3498" s="10" t="s">
        <v>13207</v>
      </c>
      <c r="X3498" s="13" t="str">
        <f>HYPERLINK("https://my.pitchbook.com?p=456279-49P","View People Online")</f>
        <v>View People Online</v>
      </c>
    </row>
    <row r="3499">
      <c r="A3499" s="14" t="s">
        <v>22137</v>
      </c>
      <c r="B3499" s="14" t="s">
        <v>22138</v>
      </c>
      <c r="C3499" s="14" t="s">
        <v>22139</v>
      </c>
      <c r="D3499" s="14" t="s">
        <v>22140</v>
      </c>
      <c r="E3499" s="14" t="s">
        <v>13207</v>
      </c>
      <c r="F3499" s="14" t="s">
        <v>3523</v>
      </c>
      <c r="G3499" s="14" t="s">
        <v>22141</v>
      </c>
      <c r="H3499" s="15" t="s">
        <v>31</v>
      </c>
      <c r="I3499" s="15">
        <v>1.0</v>
      </c>
      <c r="J3499" s="15">
        <v>1.0</v>
      </c>
      <c r="K3499" s="15" t="s">
        <v>31</v>
      </c>
      <c r="L3499" s="16" t="s">
        <v>13423</v>
      </c>
      <c r="M3499" s="14" t="s">
        <v>22142</v>
      </c>
      <c r="N3499" s="14" t="s">
        <v>243</v>
      </c>
      <c r="O3499" s="16" t="s">
        <v>244</v>
      </c>
      <c r="P3499" s="14" t="s">
        <v>13425</v>
      </c>
      <c r="Q3499" s="14" t="s">
        <v>31</v>
      </c>
      <c r="R3499" s="14" t="s">
        <v>247</v>
      </c>
      <c r="S3499" s="16" t="s">
        <v>13426</v>
      </c>
      <c r="T3499" s="14" t="s">
        <v>249</v>
      </c>
      <c r="U3499" s="16" t="s">
        <v>31</v>
      </c>
      <c r="V3499" s="14" t="s">
        <v>3523</v>
      </c>
      <c r="W3499" s="14" t="s">
        <v>13207</v>
      </c>
      <c r="X3499" s="17" t="str">
        <f>HYPERLINK("https://my.pitchbook.com?p=434837-08P","View People Online")</f>
        <v>View People Online</v>
      </c>
    </row>
    <row r="3500">
      <c r="A3500" s="2" t="s">
        <v>22143</v>
      </c>
      <c r="B3500" s="2" t="s">
        <v>22144</v>
      </c>
      <c r="C3500" s="2" t="s">
        <v>22145</v>
      </c>
      <c r="D3500" s="2" t="s">
        <v>22146</v>
      </c>
      <c r="E3500" s="2" t="s">
        <v>13207</v>
      </c>
      <c r="F3500" s="2" t="s">
        <v>3523</v>
      </c>
      <c r="G3500" s="2" t="s">
        <v>22147</v>
      </c>
      <c r="H3500" s="3" t="s">
        <v>31</v>
      </c>
      <c r="I3500" s="3">
        <v>1.0</v>
      </c>
      <c r="J3500" s="3">
        <v>1.0</v>
      </c>
      <c r="K3500" s="3" t="s">
        <v>31</v>
      </c>
      <c r="L3500" s="4" t="s">
        <v>13274</v>
      </c>
      <c r="M3500" s="2" t="s">
        <v>22148</v>
      </c>
      <c r="N3500" s="2" t="s">
        <v>1181</v>
      </c>
      <c r="O3500" s="4" t="s">
        <v>1182</v>
      </c>
      <c r="P3500" s="2" t="s">
        <v>13276</v>
      </c>
      <c r="Q3500" s="2" t="s">
        <v>31</v>
      </c>
      <c r="R3500" s="2" t="s">
        <v>1185</v>
      </c>
      <c r="S3500" s="4" t="s">
        <v>4438</v>
      </c>
      <c r="T3500" s="2" t="s">
        <v>66</v>
      </c>
      <c r="U3500" s="4" t="s">
        <v>13277</v>
      </c>
      <c r="V3500" s="2" t="s">
        <v>3523</v>
      </c>
      <c r="W3500" s="2" t="s">
        <v>13207</v>
      </c>
      <c r="X3500" s="5" t="str">
        <f>HYPERLINK("https://my.pitchbook.com?p=455951-35P","View People Online")</f>
        <v>View People Online</v>
      </c>
    </row>
    <row r="3501">
      <c r="A3501" s="6" t="s">
        <v>22149</v>
      </c>
      <c r="B3501" s="6" t="s">
        <v>22150</v>
      </c>
      <c r="C3501" s="6" t="s">
        <v>22151</v>
      </c>
      <c r="D3501" s="6" t="s">
        <v>18707</v>
      </c>
      <c r="E3501" s="6" t="s">
        <v>13207</v>
      </c>
      <c r="F3501" s="6" t="s">
        <v>13218</v>
      </c>
      <c r="G3501" s="6" t="s">
        <v>22152</v>
      </c>
      <c r="H3501" s="7" t="s">
        <v>31</v>
      </c>
      <c r="I3501" s="7">
        <v>1.0</v>
      </c>
      <c r="J3501" s="7">
        <v>1.0</v>
      </c>
      <c r="K3501" s="7" t="s">
        <v>31</v>
      </c>
      <c r="L3501" s="8" t="s">
        <v>13423</v>
      </c>
      <c r="M3501" s="6" t="s">
        <v>22153</v>
      </c>
      <c r="N3501" s="6" t="s">
        <v>243</v>
      </c>
      <c r="O3501" s="8" t="s">
        <v>244</v>
      </c>
      <c r="P3501" s="6" t="s">
        <v>13425</v>
      </c>
      <c r="Q3501" s="6" t="s">
        <v>31</v>
      </c>
      <c r="R3501" s="6" t="s">
        <v>247</v>
      </c>
      <c r="S3501" s="8" t="s">
        <v>13426</v>
      </c>
      <c r="T3501" s="6" t="s">
        <v>249</v>
      </c>
      <c r="U3501" s="8" t="s">
        <v>31</v>
      </c>
      <c r="V3501" s="6" t="s">
        <v>13218</v>
      </c>
      <c r="W3501" s="6" t="s">
        <v>13207</v>
      </c>
      <c r="X3501" s="9" t="str">
        <f>HYPERLINK("https://my.pitchbook.com?p=435560-86P","View People Online")</f>
        <v>View People Online</v>
      </c>
    </row>
    <row r="3502">
      <c r="A3502" s="10" t="s">
        <v>22154</v>
      </c>
      <c r="B3502" s="10" t="s">
        <v>22155</v>
      </c>
      <c r="C3502" s="10" t="s">
        <v>22156</v>
      </c>
      <c r="D3502" s="10" t="s">
        <v>9309</v>
      </c>
      <c r="E3502" s="10" t="s">
        <v>13207</v>
      </c>
      <c r="F3502" s="10" t="s">
        <v>3523</v>
      </c>
      <c r="G3502" s="10" t="s">
        <v>22157</v>
      </c>
      <c r="H3502" s="11" t="s">
        <v>31</v>
      </c>
      <c r="I3502" s="11">
        <v>1.0</v>
      </c>
      <c r="J3502" s="11">
        <v>1.0</v>
      </c>
      <c r="K3502" s="11" t="s">
        <v>31</v>
      </c>
      <c r="L3502" s="12" t="s">
        <v>14201</v>
      </c>
      <c r="M3502" s="10" t="s">
        <v>22158</v>
      </c>
      <c r="N3502" s="10" t="s">
        <v>14203</v>
      </c>
      <c r="O3502" s="12" t="s">
        <v>14204</v>
      </c>
      <c r="P3502" s="10" t="s">
        <v>14205</v>
      </c>
      <c r="Q3502" s="10" t="s">
        <v>14206</v>
      </c>
      <c r="R3502" s="10" t="s">
        <v>1420</v>
      </c>
      <c r="S3502" s="12" t="s">
        <v>14207</v>
      </c>
      <c r="T3502" s="10" t="s">
        <v>66</v>
      </c>
      <c r="U3502" s="12" t="s">
        <v>14208</v>
      </c>
      <c r="V3502" s="10" t="s">
        <v>3523</v>
      </c>
      <c r="W3502" s="10" t="s">
        <v>13207</v>
      </c>
      <c r="X3502" s="13" t="str">
        <f>HYPERLINK("https://my.pitchbook.com?p=455551-12P","View People Online")</f>
        <v>View People Online</v>
      </c>
    </row>
    <row r="3503">
      <c r="A3503" s="6" t="s">
        <v>22159</v>
      </c>
      <c r="B3503" s="6" t="s">
        <v>22160</v>
      </c>
      <c r="C3503" s="6" t="s">
        <v>6523</v>
      </c>
      <c r="D3503" s="6" t="s">
        <v>22161</v>
      </c>
      <c r="E3503" s="6" t="s">
        <v>13207</v>
      </c>
      <c r="F3503" s="6" t="s">
        <v>3523</v>
      </c>
      <c r="G3503" s="6" t="s">
        <v>22162</v>
      </c>
      <c r="H3503" s="7" t="s">
        <v>31</v>
      </c>
      <c r="I3503" s="7">
        <v>1.0</v>
      </c>
      <c r="J3503" s="7">
        <v>1.0</v>
      </c>
      <c r="K3503" s="7" t="s">
        <v>31</v>
      </c>
      <c r="L3503" s="8" t="s">
        <v>13459</v>
      </c>
      <c r="M3503" s="6" t="s">
        <v>22163</v>
      </c>
      <c r="N3503" s="6" t="s">
        <v>3100</v>
      </c>
      <c r="O3503" s="8" t="s">
        <v>3101</v>
      </c>
      <c r="P3503" s="6" t="s">
        <v>13461</v>
      </c>
      <c r="Q3503" s="6" t="s">
        <v>31</v>
      </c>
      <c r="R3503" s="6" t="s">
        <v>31</v>
      </c>
      <c r="S3503" s="8" t="s">
        <v>3103</v>
      </c>
      <c r="T3503" s="6" t="s">
        <v>3104</v>
      </c>
      <c r="U3503" s="8" t="s">
        <v>13462</v>
      </c>
      <c r="V3503" s="6" t="s">
        <v>3523</v>
      </c>
      <c r="W3503" s="6" t="s">
        <v>13207</v>
      </c>
      <c r="X3503" s="9" t="str">
        <f>HYPERLINK("https://my.pitchbook.com?p=435276-73P","View People Online")</f>
        <v>View People Online</v>
      </c>
    </row>
    <row r="3504">
      <c r="A3504" s="2" t="s">
        <v>22164</v>
      </c>
      <c r="B3504" s="2" t="s">
        <v>22165</v>
      </c>
      <c r="C3504" s="2" t="s">
        <v>22166</v>
      </c>
      <c r="D3504" s="2" t="s">
        <v>22167</v>
      </c>
      <c r="E3504" s="2" t="s">
        <v>13207</v>
      </c>
      <c r="F3504" s="2" t="s">
        <v>3523</v>
      </c>
      <c r="G3504" s="2" t="s">
        <v>22168</v>
      </c>
      <c r="H3504" s="3" t="s">
        <v>31</v>
      </c>
      <c r="I3504" s="3">
        <v>1.0</v>
      </c>
      <c r="J3504" s="3">
        <v>1.0</v>
      </c>
      <c r="K3504" s="3" t="s">
        <v>31</v>
      </c>
      <c r="L3504" s="4" t="s">
        <v>13354</v>
      </c>
      <c r="M3504" s="2" t="s">
        <v>22169</v>
      </c>
      <c r="N3504" s="2" t="s">
        <v>13356</v>
      </c>
      <c r="O3504" s="4" t="s">
        <v>13357</v>
      </c>
      <c r="P3504" s="2" t="s">
        <v>13358</v>
      </c>
      <c r="Q3504" s="2" t="s">
        <v>13359</v>
      </c>
      <c r="R3504" s="2" t="s">
        <v>31</v>
      </c>
      <c r="S3504" s="4" t="s">
        <v>13360</v>
      </c>
      <c r="T3504" s="2" t="s">
        <v>13361</v>
      </c>
      <c r="U3504" s="4" t="s">
        <v>13362</v>
      </c>
      <c r="V3504" s="2" t="s">
        <v>3523</v>
      </c>
      <c r="W3504" s="2" t="s">
        <v>13207</v>
      </c>
      <c r="X3504" s="5" t="str">
        <f>HYPERLINK("https://my.pitchbook.com?p=455773-06P","View People Online")</f>
        <v>View People Online</v>
      </c>
    </row>
    <row r="3505">
      <c r="A3505" s="14" t="s">
        <v>22170</v>
      </c>
      <c r="B3505" s="14" t="s">
        <v>22171</v>
      </c>
      <c r="C3505" s="14" t="s">
        <v>22172</v>
      </c>
      <c r="D3505" s="14" t="s">
        <v>22173</v>
      </c>
      <c r="E3505" s="14" t="s">
        <v>13207</v>
      </c>
      <c r="F3505" s="14" t="s">
        <v>13218</v>
      </c>
      <c r="G3505" s="14" t="s">
        <v>22174</v>
      </c>
      <c r="H3505" s="15" t="s">
        <v>31</v>
      </c>
      <c r="I3505" s="15">
        <v>1.0</v>
      </c>
      <c r="J3505" s="15">
        <v>1.0</v>
      </c>
      <c r="K3505" s="15" t="s">
        <v>31</v>
      </c>
      <c r="L3505" s="16" t="s">
        <v>13299</v>
      </c>
      <c r="M3505" s="14" t="s">
        <v>22175</v>
      </c>
      <c r="N3505" s="14" t="s">
        <v>601</v>
      </c>
      <c r="O3505" s="16" t="s">
        <v>602</v>
      </c>
      <c r="P3505" s="14" t="s">
        <v>13301</v>
      </c>
      <c r="Q3505" s="14" t="s">
        <v>13302</v>
      </c>
      <c r="R3505" s="14" t="s">
        <v>31</v>
      </c>
      <c r="S3505" s="16" t="s">
        <v>31</v>
      </c>
      <c r="T3505" s="14" t="s">
        <v>603</v>
      </c>
      <c r="U3505" s="16" t="s">
        <v>13303</v>
      </c>
      <c r="V3505" s="14" t="s">
        <v>13218</v>
      </c>
      <c r="W3505" s="14" t="s">
        <v>13207</v>
      </c>
      <c r="X3505" s="17" t="str">
        <f>HYPERLINK("https://my.pitchbook.com?p=434807-11P","View People Online")</f>
        <v>View People Online</v>
      </c>
    </row>
    <row r="3506">
      <c r="A3506" s="2" t="s">
        <v>22176</v>
      </c>
      <c r="B3506" s="2" t="s">
        <v>22177</v>
      </c>
      <c r="C3506" s="2" t="s">
        <v>1683</v>
      </c>
      <c r="D3506" s="2" t="s">
        <v>22178</v>
      </c>
      <c r="E3506" s="2" t="s">
        <v>13207</v>
      </c>
      <c r="F3506" s="2" t="s">
        <v>13218</v>
      </c>
      <c r="G3506" s="2" t="s">
        <v>22179</v>
      </c>
      <c r="H3506" s="3" t="s">
        <v>31</v>
      </c>
      <c r="I3506" s="3">
        <v>1.0</v>
      </c>
      <c r="J3506" s="3">
        <v>1.0</v>
      </c>
      <c r="K3506" s="3" t="s">
        <v>31</v>
      </c>
      <c r="L3506" s="4" t="s">
        <v>13496</v>
      </c>
      <c r="M3506" s="2" t="s">
        <v>22180</v>
      </c>
      <c r="N3506" s="2" t="s">
        <v>75</v>
      </c>
      <c r="O3506" s="4" t="s">
        <v>76</v>
      </c>
      <c r="P3506" s="2" t="s">
        <v>13498</v>
      </c>
      <c r="Q3506" s="2" t="s">
        <v>31</v>
      </c>
      <c r="R3506" s="2" t="s">
        <v>75</v>
      </c>
      <c r="S3506" s="4" t="s">
        <v>195</v>
      </c>
      <c r="T3506" s="2" t="s">
        <v>66</v>
      </c>
      <c r="U3506" s="4" t="s">
        <v>13499</v>
      </c>
      <c r="V3506" s="2" t="s">
        <v>13218</v>
      </c>
      <c r="W3506" s="2" t="s">
        <v>13207</v>
      </c>
      <c r="X3506" s="5" t="str">
        <f>HYPERLINK("https://my.pitchbook.com?p=455430-61P","View People Online")</f>
        <v>View People Online</v>
      </c>
    </row>
    <row r="3507">
      <c r="A3507" s="6" t="s">
        <v>22181</v>
      </c>
      <c r="B3507" s="6" t="s">
        <v>22182</v>
      </c>
      <c r="C3507" s="6" t="s">
        <v>22183</v>
      </c>
      <c r="D3507" s="6" t="s">
        <v>22184</v>
      </c>
      <c r="E3507" s="6" t="s">
        <v>13207</v>
      </c>
      <c r="F3507" s="6" t="s">
        <v>13218</v>
      </c>
      <c r="G3507" s="6" t="s">
        <v>22185</v>
      </c>
      <c r="H3507" s="7" t="s">
        <v>31</v>
      </c>
      <c r="I3507" s="7">
        <v>1.0</v>
      </c>
      <c r="J3507" s="7">
        <v>1.0</v>
      </c>
      <c r="K3507" s="7" t="s">
        <v>31</v>
      </c>
      <c r="L3507" s="8" t="s">
        <v>13496</v>
      </c>
      <c r="M3507" s="6" t="s">
        <v>22186</v>
      </c>
      <c r="N3507" s="6" t="s">
        <v>75</v>
      </c>
      <c r="O3507" s="8" t="s">
        <v>76</v>
      </c>
      <c r="P3507" s="6" t="s">
        <v>13498</v>
      </c>
      <c r="Q3507" s="6" t="s">
        <v>31</v>
      </c>
      <c r="R3507" s="6" t="s">
        <v>75</v>
      </c>
      <c r="S3507" s="8" t="s">
        <v>195</v>
      </c>
      <c r="T3507" s="6" t="s">
        <v>66</v>
      </c>
      <c r="U3507" s="8" t="s">
        <v>13499</v>
      </c>
      <c r="V3507" s="6" t="s">
        <v>22187</v>
      </c>
      <c r="W3507" s="6" t="s">
        <v>13207</v>
      </c>
      <c r="X3507" s="9" t="str">
        <f>HYPERLINK("https://my.pitchbook.com?p=435339-91P","View People Online")</f>
        <v>View People Online</v>
      </c>
    </row>
    <row r="3508">
      <c r="A3508" s="10" t="s">
        <v>22188</v>
      </c>
      <c r="B3508" s="10" t="s">
        <v>22189</v>
      </c>
      <c r="C3508" s="10" t="s">
        <v>22190</v>
      </c>
      <c r="D3508" s="10" t="s">
        <v>22191</v>
      </c>
      <c r="E3508" s="10" t="s">
        <v>13207</v>
      </c>
      <c r="F3508" s="10" t="s">
        <v>3523</v>
      </c>
      <c r="G3508" s="10" t="s">
        <v>22192</v>
      </c>
      <c r="H3508" s="11" t="s">
        <v>31</v>
      </c>
      <c r="I3508" s="11">
        <v>1.0</v>
      </c>
      <c r="J3508" s="11">
        <v>1.0</v>
      </c>
      <c r="K3508" s="11" t="s">
        <v>31</v>
      </c>
      <c r="L3508" s="12" t="s">
        <v>13242</v>
      </c>
      <c r="M3508" s="10" t="s">
        <v>22193</v>
      </c>
      <c r="N3508" s="10" t="s">
        <v>9865</v>
      </c>
      <c r="O3508" s="12" t="s">
        <v>9866</v>
      </c>
      <c r="P3508" s="10" t="s">
        <v>13244</v>
      </c>
      <c r="Q3508" s="10" t="s">
        <v>31</v>
      </c>
      <c r="R3508" s="10" t="s">
        <v>31</v>
      </c>
      <c r="S3508" s="12" t="s">
        <v>13245</v>
      </c>
      <c r="T3508" s="10" t="s">
        <v>38</v>
      </c>
      <c r="U3508" s="12" t="s">
        <v>13246</v>
      </c>
      <c r="V3508" s="10" t="s">
        <v>3523</v>
      </c>
      <c r="W3508" s="10" t="s">
        <v>13207</v>
      </c>
      <c r="X3508" s="13" t="str">
        <f>HYPERLINK("https://my.pitchbook.com?p=435004-39P","View People Online")</f>
        <v>View People Online</v>
      </c>
    </row>
    <row r="3509">
      <c r="A3509" s="14" t="s">
        <v>22194</v>
      </c>
      <c r="B3509" s="14" t="s">
        <v>22195</v>
      </c>
      <c r="C3509" s="14" t="s">
        <v>22196</v>
      </c>
      <c r="D3509" s="14" t="s">
        <v>22197</v>
      </c>
      <c r="E3509" s="14" t="s">
        <v>13207</v>
      </c>
      <c r="F3509" s="14" t="s">
        <v>3523</v>
      </c>
      <c r="G3509" s="14" t="s">
        <v>22198</v>
      </c>
      <c r="H3509" s="15" t="s">
        <v>31</v>
      </c>
      <c r="I3509" s="15">
        <v>1.0</v>
      </c>
      <c r="J3509" s="15">
        <v>1.0</v>
      </c>
      <c r="K3509" s="15" t="s">
        <v>31</v>
      </c>
      <c r="L3509" s="16" t="s">
        <v>13673</v>
      </c>
      <c r="M3509" s="14" t="s">
        <v>22199</v>
      </c>
      <c r="N3509" s="14" t="s">
        <v>6311</v>
      </c>
      <c r="O3509" s="16" t="s">
        <v>6312</v>
      </c>
      <c r="P3509" s="14" t="s">
        <v>13675</v>
      </c>
      <c r="Q3509" s="14" t="s">
        <v>31</v>
      </c>
      <c r="R3509" s="14" t="s">
        <v>31</v>
      </c>
      <c r="S3509" s="16" t="s">
        <v>13676</v>
      </c>
      <c r="T3509" s="14" t="s">
        <v>6315</v>
      </c>
      <c r="U3509" s="16" t="s">
        <v>13677</v>
      </c>
      <c r="V3509" s="14" t="s">
        <v>3523</v>
      </c>
      <c r="W3509" s="14" t="s">
        <v>13207</v>
      </c>
      <c r="X3509" s="17" t="str">
        <f>HYPERLINK("https://my.pitchbook.com?p=435397-51P","View People Online")</f>
        <v>View People Online</v>
      </c>
    </row>
    <row r="3510">
      <c r="A3510" s="10" t="s">
        <v>22200</v>
      </c>
      <c r="B3510" s="10" t="s">
        <v>22201</v>
      </c>
      <c r="C3510" s="10" t="s">
        <v>22196</v>
      </c>
      <c r="D3510" s="10" t="s">
        <v>22202</v>
      </c>
      <c r="E3510" s="10" t="s">
        <v>13207</v>
      </c>
      <c r="F3510" s="10" t="s">
        <v>3523</v>
      </c>
      <c r="G3510" s="10" t="s">
        <v>22203</v>
      </c>
      <c r="H3510" s="11" t="s">
        <v>31</v>
      </c>
      <c r="I3510" s="11">
        <v>1.0</v>
      </c>
      <c r="J3510" s="11">
        <v>1.0</v>
      </c>
      <c r="K3510" s="11" t="s">
        <v>31</v>
      </c>
      <c r="L3510" s="12" t="s">
        <v>13673</v>
      </c>
      <c r="M3510" s="10" t="s">
        <v>22204</v>
      </c>
      <c r="N3510" s="10" t="s">
        <v>6311</v>
      </c>
      <c r="O3510" s="12" t="s">
        <v>6312</v>
      </c>
      <c r="P3510" s="10" t="s">
        <v>13675</v>
      </c>
      <c r="Q3510" s="10" t="s">
        <v>31</v>
      </c>
      <c r="R3510" s="10" t="s">
        <v>31</v>
      </c>
      <c r="S3510" s="12" t="s">
        <v>13676</v>
      </c>
      <c r="T3510" s="10" t="s">
        <v>6315</v>
      </c>
      <c r="U3510" s="12" t="s">
        <v>13677</v>
      </c>
      <c r="V3510" s="10" t="s">
        <v>3523</v>
      </c>
      <c r="W3510" s="10" t="s">
        <v>13207</v>
      </c>
      <c r="X3510" s="13" t="str">
        <f>HYPERLINK("https://my.pitchbook.com?p=246016-00P","View People Online")</f>
        <v>View People Online</v>
      </c>
    </row>
    <row r="3511">
      <c r="A3511" s="6" t="s">
        <v>22205</v>
      </c>
      <c r="B3511" s="6" t="s">
        <v>22206</v>
      </c>
      <c r="C3511" s="6" t="s">
        <v>12431</v>
      </c>
      <c r="D3511" s="6" t="s">
        <v>22207</v>
      </c>
      <c r="E3511" s="6" t="s">
        <v>13207</v>
      </c>
      <c r="F3511" s="6" t="s">
        <v>13218</v>
      </c>
      <c r="G3511" s="6" t="s">
        <v>22208</v>
      </c>
      <c r="H3511" s="7" t="s">
        <v>31</v>
      </c>
      <c r="I3511" s="7">
        <v>3.0</v>
      </c>
      <c r="J3511" s="7">
        <v>1.0</v>
      </c>
      <c r="K3511" s="7">
        <v>2.0</v>
      </c>
      <c r="L3511" s="8" t="s">
        <v>13378</v>
      </c>
      <c r="M3511" s="6" t="s">
        <v>22209</v>
      </c>
      <c r="N3511" s="6" t="s">
        <v>429</v>
      </c>
      <c r="O3511" s="8" t="s">
        <v>430</v>
      </c>
      <c r="P3511" s="6" t="s">
        <v>13380</v>
      </c>
      <c r="Q3511" s="6" t="s">
        <v>31</v>
      </c>
      <c r="R3511" s="6" t="s">
        <v>31</v>
      </c>
      <c r="S3511" s="8" t="s">
        <v>13381</v>
      </c>
      <c r="T3511" s="6" t="s">
        <v>433</v>
      </c>
      <c r="U3511" s="8" t="s">
        <v>13382</v>
      </c>
      <c r="V3511" s="6" t="s">
        <v>14182</v>
      </c>
      <c r="W3511" s="6" t="s">
        <v>13207</v>
      </c>
      <c r="X3511" s="9" t="str">
        <f>HYPERLINK("https://my.pitchbook.com?p=304605-46P","View People Online")</f>
        <v>View People Online</v>
      </c>
    </row>
    <row r="3512">
      <c r="A3512" s="2" t="s">
        <v>22210</v>
      </c>
      <c r="B3512" s="2" t="s">
        <v>22211</v>
      </c>
      <c r="C3512" s="2" t="s">
        <v>12431</v>
      </c>
      <c r="D3512" s="2" t="s">
        <v>22212</v>
      </c>
      <c r="E3512" s="2" t="s">
        <v>13207</v>
      </c>
      <c r="F3512" s="2" t="s">
        <v>13218</v>
      </c>
      <c r="G3512" s="2" t="s">
        <v>22213</v>
      </c>
      <c r="H3512" s="3" t="s">
        <v>31</v>
      </c>
      <c r="I3512" s="3">
        <v>2.0</v>
      </c>
      <c r="J3512" s="3">
        <v>1.0</v>
      </c>
      <c r="K3512" s="3">
        <v>1.0</v>
      </c>
      <c r="L3512" s="4" t="s">
        <v>13549</v>
      </c>
      <c r="M3512" s="2" t="s">
        <v>22214</v>
      </c>
      <c r="N3512" s="2" t="s">
        <v>794</v>
      </c>
      <c r="O3512" s="4" t="s">
        <v>795</v>
      </c>
      <c r="P3512" s="2" t="s">
        <v>13551</v>
      </c>
      <c r="Q3512" s="2" t="s">
        <v>13552</v>
      </c>
      <c r="R3512" s="2" t="s">
        <v>31</v>
      </c>
      <c r="S3512" s="4" t="s">
        <v>13553</v>
      </c>
      <c r="T3512" s="2" t="s">
        <v>796</v>
      </c>
      <c r="U3512" s="4" t="s">
        <v>13554</v>
      </c>
      <c r="V3512" s="2" t="s">
        <v>13218</v>
      </c>
      <c r="W3512" s="2" t="s">
        <v>13207</v>
      </c>
      <c r="X3512" s="5" t="str">
        <f>HYPERLINK("https://my.pitchbook.com?p=304516-72P","View People Online")</f>
        <v>View People Online</v>
      </c>
    </row>
    <row r="3513">
      <c r="A3513" s="6" t="s">
        <v>22215</v>
      </c>
      <c r="B3513" s="6" t="s">
        <v>22216</v>
      </c>
      <c r="C3513" s="6" t="s">
        <v>22217</v>
      </c>
      <c r="D3513" s="6" t="s">
        <v>22218</v>
      </c>
      <c r="E3513" s="6" t="s">
        <v>13207</v>
      </c>
      <c r="F3513" s="6" t="s">
        <v>3523</v>
      </c>
      <c r="G3513" s="6" t="s">
        <v>22219</v>
      </c>
      <c r="H3513" s="7" t="s">
        <v>31</v>
      </c>
      <c r="I3513" s="7">
        <v>1.0</v>
      </c>
      <c r="J3513" s="7">
        <v>1.0</v>
      </c>
      <c r="K3513" s="7" t="s">
        <v>31</v>
      </c>
      <c r="L3513" s="8" t="s">
        <v>13274</v>
      </c>
      <c r="M3513" s="6" t="s">
        <v>22220</v>
      </c>
      <c r="N3513" s="6" t="s">
        <v>1181</v>
      </c>
      <c r="O3513" s="8" t="s">
        <v>1182</v>
      </c>
      <c r="P3513" s="6" t="s">
        <v>13276</v>
      </c>
      <c r="Q3513" s="6" t="s">
        <v>31</v>
      </c>
      <c r="R3513" s="6" t="s">
        <v>1185</v>
      </c>
      <c r="S3513" s="8" t="s">
        <v>4438</v>
      </c>
      <c r="T3513" s="6" t="s">
        <v>66</v>
      </c>
      <c r="U3513" s="8" t="s">
        <v>13277</v>
      </c>
      <c r="V3513" s="6" t="s">
        <v>3523</v>
      </c>
      <c r="W3513" s="6" t="s">
        <v>13207</v>
      </c>
      <c r="X3513" s="9" t="str">
        <f>HYPERLINK("https://my.pitchbook.com?p=435706-12P","View People Online")</f>
        <v>View People Online</v>
      </c>
    </row>
    <row r="3514">
      <c r="A3514" s="2" t="s">
        <v>22221</v>
      </c>
      <c r="B3514" s="2" t="s">
        <v>22222</v>
      </c>
      <c r="C3514" s="2" t="s">
        <v>22217</v>
      </c>
      <c r="D3514" s="2" t="s">
        <v>22223</v>
      </c>
      <c r="E3514" s="2" t="s">
        <v>13207</v>
      </c>
      <c r="F3514" s="2" t="s">
        <v>13307</v>
      </c>
      <c r="G3514" s="2" t="s">
        <v>22224</v>
      </c>
      <c r="H3514" s="3" t="s">
        <v>31</v>
      </c>
      <c r="I3514" s="3">
        <v>1.0</v>
      </c>
      <c r="J3514" s="3">
        <v>1.0</v>
      </c>
      <c r="K3514" s="3" t="s">
        <v>31</v>
      </c>
      <c r="L3514" s="4" t="s">
        <v>13299</v>
      </c>
      <c r="M3514" s="2" t="s">
        <v>22225</v>
      </c>
      <c r="N3514" s="2" t="s">
        <v>601</v>
      </c>
      <c r="O3514" s="4" t="s">
        <v>602</v>
      </c>
      <c r="P3514" s="2" t="s">
        <v>13301</v>
      </c>
      <c r="Q3514" s="2" t="s">
        <v>13302</v>
      </c>
      <c r="R3514" s="2" t="s">
        <v>31</v>
      </c>
      <c r="S3514" s="4" t="s">
        <v>31</v>
      </c>
      <c r="T3514" s="2" t="s">
        <v>603</v>
      </c>
      <c r="U3514" s="4" t="s">
        <v>13303</v>
      </c>
      <c r="V3514" s="2" t="s">
        <v>13317</v>
      </c>
      <c r="W3514" s="2" t="s">
        <v>13207</v>
      </c>
      <c r="X3514" s="5" t="str">
        <f>HYPERLINK("https://my.pitchbook.com?p=455731-39P","View People Online")</f>
        <v>View People Online</v>
      </c>
    </row>
    <row r="3515">
      <c r="A3515" s="6" t="s">
        <v>22226</v>
      </c>
      <c r="B3515" s="6" t="s">
        <v>22227</v>
      </c>
      <c r="C3515" s="6" t="s">
        <v>22217</v>
      </c>
      <c r="D3515" s="6" t="s">
        <v>22228</v>
      </c>
      <c r="E3515" s="6" t="s">
        <v>13207</v>
      </c>
      <c r="F3515" s="6" t="s">
        <v>13307</v>
      </c>
      <c r="G3515" s="6" t="s">
        <v>22229</v>
      </c>
      <c r="H3515" s="7" t="s">
        <v>31</v>
      </c>
      <c r="I3515" s="7">
        <v>1.0</v>
      </c>
      <c r="J3515" s="7">
        <v>1.0</v>
      </c>
      <c r="K3515" s="7" t="s">
        <v>31</v>
      </c>
      <c r="L3515" s="8" t="s">
        <v>13309</v>
      </c>
      <c r="M3515" s="6" t="s">
        <v>22230</v>
      </c>
      <c r="N3515" s="6" t="s">
        <v>13311</v>
      </c>
      <c r="O3515" s="8" t="s">
        <v>13312</v>
      </c>
      <c r="P3515" s="6" t="s">
        <v>13313</v>
      </c>
      <c r="Q3515" s="6" t="s">
        <v>31</v>
      </c>
      <c r="R3515" s="6" t="s">
        <v>31</v>
      </c>
      <c r="S3515" s="8" t="s">
        <v>13314</v>
      </c>
      <c r="T3515" s="6" t="s">
        <v>13315</v>
      </c>
      <c r="U3515" s="8" t="s">
        <v>13316</v>
      </c>
      <c r="V3515" s="6" t="s">
        <v>13317</v>
      </c>
      <c r="W3515" s="6" t="s">
        <v>13207</v>
      </c>
      <c r="X3515" s="9" t="str">
        <f>HYPERLINK("https://my.pitchbook.com?p=456914-17P","View People Online")</f>
        <v>View People Online</v>
      </c>
    </row>
    <row r="3516">
      <c r="A3516" s="2" t="s">
        <v>22231</v>
      </c>
      <c r="B3516" s="2" t="s">
        <v>22232</v>
      </c>
      <c r="C3516" s="2" t="s">
        <v>22233</v>
      </c>
      <c r="D3516" s="2" t="s">
        <v>22234</v>
      </c>
      <c r="E3516" s="2" t="s">
        <v>13207</v>
      </c>
      <c r="F3516" s="2" t="s">
        <v>3523</v>
      </c>
      <c r="G3516" s="2" t="s">
        <v>22235</v>
      </c>
      <c r="H3516" s="3" t="s">
        <v>31</v>
      </c>
      <c r="I3516" s="3">
        <v>1.0</v>
      </c>
      <c r="J3516" s="3">
        <v>1.0</v>
      </c>
      <c r="K3516" s="3" t="s">
        <v>31</v>
      </c>
      <c r="L3516" s="4" t="s">
        <v>14614</v>
      </c>
      <c r="M3516" s="2" t="s">
        <v>22236</v>
      </c>
      <c r="N3516" s="2" t="s">
        <v>1442</v>
      </c>
      <c r="O3516" s="4" t="s">
        <v>1443</v>
      </c>
      <c r="P3516" s="2" t="s">
        <v>14616</v>
      </c>
      <c r="Q3516" s="2" t="s">
        <v>14617</v>
      </c>
      <c r="R3516" s="2" t="s">
        <v>1277</v>
      </c>
      <c r="S3516" s="4" t="s">
        <v>14618</v>
      </c>
      <c r="T3516" s="2" t="s">
        <v>66</v>
      </c>
      <c r="U3516" s="4" t="s">
        <v>31</v>
      </c>
      <c r="V3516" s="2" t="s">
        <v>3523</v>
      </c>
      <c r="W3516" s="2" t="s">
        <v>13207</v>
      </c>
      <c r="X3516" s="5" t="str">
        <f>HYPERLINK("https://my.pitchbook.com?p=436157-83P","View People Online")</f>
        <v>View People Online</v>
      </c>
    </row>
    <row r="3517">
      <c r="A3517" s="6" t="s">
        <v>22237</v>
      </c>
      <c r="B3517" s="6" t="s">
        <v>22238</v>
      </c>
      <c r="C3517" s="6" t="s">
        <v>22239</v>
      </c>
      <c r="D3517" s="6" t="s">
        <v>22240</v>
      </c>
      <c r="E3517" s="6" t="s">
        <v>13207</v>
      </c>
      <c r="F3517" s="6" t="s">
        <v>13218</v>
      </c>
      <c r="G3517" s="6" t="s">
        <v>22241</v>
      </c>
      <c r="H3517" s="7" t="s">
        <v>31</v>
      </c>
      <c r="I3517" s="7">
        <v>1.0</v>
      </c>
      <c r="J3517" s="7">
        <v>1.0</v>
      </c>
      <c r="K3517" s="7" t="s">
        <v>31</v>
      </c>
      <c r="L3517" s="8" t="s">
        <v>13412</v>
      </c>
      <c r="M3517" s="6" t="s">
        <v>22242</v>
      </c>
      <c r="N3517" s="6" t="s">
        <v>13414</v>
      </c>
      <c r="O3517" s="8" t="s">
        <v>13415</v>
      </c>
      <c r="P3517" s="6" t="s">
        <v>13416</v>
      </c>
      <c r="Q3517" s="6" t="s">
        <v>31</v>
      </c>
      <c r="R3517" s="6" t="s">
        <v>209</v>
      </c>
      <c r="S3517" s="8" t="s">
        <v>13417</v>
      </c>
      <c r="T3517" s="6" t="s">
        <v>66</v>
      </c>
      <c r="U3517" s="8" t="s">
        <v>13418</v>
      </c>
      <c r="V3517" s="6" t="s">
        <v>13218</v>
      </c>
      <c r="W3517" s="6" t="s">
        <v>13207</v>
      </c>
      <c r="X3517" s="9" t="str">
        <f>HYPERLINK("https://my.pitchbook.com?p=435444-40P","View People Online")</f>
        <v>View People Online</v>
      </c>
    </row>
    <row r="3518">
      <c r="A3518" s="2" t="s">
        <v>22243</v>
      </c>
      <c r="B3518" s="2" t="s">
        <v>22244</v>
      </c>
      <c r="C3518" s="2" t="s">
        <v>22245</v>
      </c>
      <c r="D3518" s="2" t="s">
        <v>22246</v>
      </c>
      <c r="E3518" s="2" t="s">
        <v>13207</v>
      </c>
      <c r="F3518" s="2" t="s">
        <v>3523</v>
      </c>
      <c r="G3518" s="2" t="s">
        <v>22247</v>
      </c>
      <c r="H3518" s="3" t="s">
        <v>31</v>
      </c>
      <c r="I3518" s="3">
        <v>1.0</v>
      </c>
      <c r="J3518" s="3">
        <v>1.0</v>
      </c>
      <c r="K3518" s="3" t="s">
        <v>31</v>
      </c>
      <c r="L3518" s="4" t="s">
        <v>13263</v>
      </c>
      <c r="M3518" s="2" t="s">
        <v>22248</v>
      </c>
      <c r="N3518" s="2" t="s">
        <v>1005</v>
      </c>
      <c r="O3518" s="4" t="s">
        <v>1006</v>
      </c>
      <c r="P3518" s="2" t="s">
        <v>13265</v>
      </c>
      <c r="Q3518" s="2" t="s">
        <v>13266</v>
      </c>
      <c r="R3518" s="2" t="s">
        <v>13267</v>
      </c>
      <c r="S3518" s="4" t="s">
        <v>13268</v>
      </c>
      <c r="T3518" s="2" t="s">
        <v>1010</v>
      </c>
      <c r="U3518" s="4" t="s">
        <v>13269</v>
      </c>
      <c r="V3518" s="2" t="s">
        <v>3523</v>
      </c>
      <c r="W3518" s="2" t="s">
        <v>13207</v>
      </c>
      <c r="X3518" s="5" t="str">
        <f>HYPERLINK("https://my.pitchbook.com?p=455818-60P","View People Online")</f>
        <v>View People Online</v>
      </c>
    </row>
    <row r="3519">
      <c r="A3519" s="14" t="s">
        <v>22249</v>
      </c>
      <c r="B3519" s="14" t="s">
        <v>22250</v>
      </c>
      <c r="C3519" s="14" t="s">
        <v>22251</v>
      </c>
      <c r="D3519" s="14" t="s">
        <v>22252</v>
      </c>
      <c r="E3519" s="14" t="s">
        <v>13207</v>
      </c>
      <c r="F3519" s="14" t="s">
        <v>29</v>
      </c>
      <c r="G3519" s="14" t="s">
        <v>22253</v>
      </c>
      <c r="H3519" s="15" t="s">
        <v>31</v>
      </c>
      <c r="I3519" s="15">
        <v>1.0</v>
      </c>
      <c r="J3519" s="15">
        <v>1.0</v>
      </c>
      <c r="K3519" s="15" t="s">
        <v>31</v>
      </c>
      <c r="L3519" s="16" t="s">
        <v>13263</v>
      </c>
      <c r="M3519" s="14" t="s">
        <v>22254</v>
      </c>
      <c r="N3519" s="14" t="s">
        <v>1005</v>
      </c>
      <c r="O3519" s="16" t="s">
        <v>1006</v>
      </c>
      <c r="P3519" s="14" t="s">
        <v>13265</v>
      </c>
      <c r="Q3519" s="14" t="s">
        <v>13266</v>
      </c>
      <c r="R3519" s="14" t="s">
        <v>13267</v>
      </c>
      <c r="S3519" s="16" t="s">
        <v>13268</v>
      </c>
      <c r="T3519" s="14" t="s">
        <v>1010</v>
      </c>
      <c r="U3519" s="16" t="s">
        <v>13269</v>
      </c>
      <c r="V3519" s="14" t="s">
        <v>29</v>
      </c>
      <c r="W3519" s="14" t="s">
        <v>13207</v>
      </c>
      <c r="X3519" s="17" t="str">
        <f>HYPERLINK("https://my.pitchbook.com?p=455254-84P","View People Online")</f>
        <v>View People Online</v>
      </c>
    </row>
    <row r="3520">
      <c r="A3520" s="10" t="s">
        <v>22255</v>
      </c>
      <c r="B3520" s="10" t="s">
        <v>22256</v>
      </c>
      <c r="C3520" s="10" t="s">
        <v>22257</v>
      </c>
      <c r="D3520" s="10" t="s">
        <v>22258</v>
      </c>
      <c r="E3520" s="10" t="s">
        <v>13207</v>
      </c>
      <c r="F3520" s="10" t="s">
        <v>3523</v>
      </c>
      <c r="G3520" s="10" t="s">
        <v>22259</v>
      </c>
      <c r="H3520" s="11" t="s">
        <v>31</v>
      </c>
      <c r="I3520" s="11">
        <v>1.0</v>
      </c>
      <c r="J3520" s="11">
        <v>1.0</v>
      </c>
      <c r="K3520" s="11" t="s">
        <v>31</v>
      </c>
      <c r="L3520" s="12" t="s">
        <v>13263</v>
      </c>
      <c r="M3520" s="10" t="s">
        <v>22260</v>
      </c>
      <c r="N3520" s="10" t="s">
        <v>1005</v>
      </c>
      <c r="O3520" s="12" t="s">
        <v>1006</v>
      </c>
      <c r="P3520" s="10" t="s">
        <v>13265</v>
      </c>
      <c r="Q3520" s="10" t="s">
        <v>13266</v>
      </c>
      <c r="R3520" s="10" t="s">
        <v>13267</v>
      </c>
      <c r="S3520" s="12" t="s">
        <v>13268</v>
      </c>
      <c r="T3520" s="10" t="s">
        <v>1010</v>
      </c>
      <c r="U3520" s="12" t="s">
        <v>13269</v>
      </c>
      <c r="V3520" s="10" t="s">
        <v>3523</v>
      </c>
      <c r="W3520" s="10" t="s">
        <v>13207</v>
      </c>
      <c r="X3520" s="13" t="str">
        <f>HYPERLINK("https://my.pitchbook.com?p=455652-91P","View People Online")</f>
        <v>View People Online</v>
      </c>
    </row>
    <row r="3521">
      <c r="A3521" s="6" t="s">
        <v>22261</v>
      </c>
      <c r="B3521" s="6" t="s">
        <v>22262</v>
      </c>
      <c r="C3521" s="6" t="s">
        <v>22263</v>
      </c>
      <c r="D3521" s="6" t="s">
        <v>22264</v>
      </c>
      <c r="E3521" s="6" t="s">
        <v>13207</v>
      </c>
      <c r="F3521" s="6" t="s">
        <v>3523</v>
      </c>
      <c r="G3521" s="6" t="s">
        <v>22265</v>
      </c>
      <c r="H3521" s="7" t="s">
        <v>31</v>
      </c>
      <c r="I3521" s="7">
        <v>1.0</v>
      </c>
      <c r="J3521" s="7">
        <v>1.0</v>
      </c>
      <c r="K3521" s="7" t="s">
        <v>31</v>
      </c>
      <c r="L3521" s="8" t="s">
        <v>13263</v>
      </c>
      <c r="M3521" s="6" t="s">
        <v>22266</v>
      </c>
      <c r="N3521" s="6" t="s">
        <v>1005</v>
      </c>
      <c r="O3521" s="8" t="s">
        <v>1006</v>
      </c>
      <c r="P3521" s="6" t="s">
        <v>13265</v>
      </c>
      <c r="Q3521" s="6" t="s">
        <v>13266</v>
      </c>
      <c r="R3521" s="6" t="s">
        <v>13267</v>
      </c>
      <c r="S3521" s="8" t="s">
        <v>13268</v>
      </c>
      <c r="T3521" s="6" t="s">
        <v>1010</v>
      </c>
      <c r="U3521" s="8" t="s">
        <v>13269</v>
      </c>
      <c r="V3521" s="6" t="s">
        <v>3523</v>
      </c>
      <c r="W3521" s="6" t="s">
        <v>13207</v>
      </c>
      <c r="X3521" s="9" t="str">
        <f>HYPERLINK("https://my.pitchbook.com?p=436183-75P","View People Online")</f>
        <v>View People Online</v>
      </c>
    </row>
    <row r="3522">
      <c r="A3522" s="10" t="s">
        <v>22267</v>
      </c>
      <c r="B3522" s="10" t="s">
        <v>22268</v>
      </c>
      <c r="C3522" s="10" t="s">
        <v>22263</v>
      </c>
      <c r="D3522" s="10" t="s">
        <v>22269</v>
      </c>
      <c r="E3522" s="10" t="s">
        <v>13207</v>
      </c>
      <c r="F3522" s="10" t="s">
        <v>3523</v>
      </c>
      <c r="G3522" s="10" t="s">
        <v>22270</v>
      </c>
      <c r="H3522" s="11" t="s">
        <v>31</v>
      </c>
      <c r="I3522" s="11">
        <v>1.0</v>
      </c>
      <c r="J3522" s="11">
        <v>1.0</v>
      </c>
      <c r="K3522" s="11" t="s">
        <v>31</v>
      </c>
      <c r="L3522" s="12" t="s">
        <v>13263</v>
      </c>
      <c r="M3522" s="10" t="s">
        <v>22271</v>
      </c>
      <c r="N3522" s="10" t="s">
        <v>1005</v>
      </c>
      <c r="O3522" s="12" t="s">
        <v>1006</v>
      </c>
      <c r="P3522" s="10" t="s">
        <v>13265</v>
      </c>
      <c r="Q3522" s="10" t="s">
        <v>13266</v>
      </c>
      <c r="R3522" s="10" t="s">
        <v>13267</v>
      </c>
      <c r="S3522" s="12" t="s">
        <v>13268</v>
      </c>
      <c r="T3522" s="10" t="s">
        <v>1010</v>
      </c>
      <c r="U3522" s="12" t="s">
        <v>13269</v>
      </c>
      <c r="V3522" s="10" t="s">
        <v>3523</v>
      </c>
      <c r="W3522" s="10" t="s">
        <v>13207</v>
      </c>
      <c r="X3522" s="13" t="str">
        <f>HYPERLINK("https://my.pitchbook.com?p=455655-43P","View People Online")</f>
        <v>View People Online</v>
      </c>
    </row>
    <row r="3523">
      <c r="A3523" s="14" t="s">
        <v>22272</v>
      </c>
      <c r="B3523" s="14" t="s">
        <v>22273</v>
      </c>
      <c r="C3523" s="14" t="s">
        <v>22263</v>
      </c>
      <c r="D3523" s="14" t="s">
        <v>19525</v>
      </c>
      <c r="E3523" s="14" t="s">
        <v>13207</v>
      </c>
      <c r="F3523" s="14" t="s">
        <v>3523</v>
      </c>
      <c r="G3523" s="14" t="s">
        <v>22274</v>
      </c>
      <c r="H3523" s="15" t="s">
        <v>31</v>
      </c>
      <c r="I3523" s="15">
        <v>1.0</v>
      </c>
      <c r="J3523" s="15">
        <v>1.0</v>
      </c>
      <c r="K3523" s="15" t="s">
        <v>31</v>
      </c>
      <c r="L3523" s="16" t="s">
        <v>13263</v>
      </c>
      <c r="M3523" s="14" t="s">
        <v>22275</v>
      </c>
      <c r="N3523" s="14" t="s">
        <v>1005</v>
      </c>
      <c r="O3523" s="16" t="s">
        <v>1006</v>
      </c>
      <c r="P3523" s="14" t="s">
        <v>13265</v>
      </c>
      <c r="Q3523" s="14" t="s">
        <v>13266</v>
      </c>
      <c r="R3523" s="14" t="s">
        <v>13267</v>
      </c>
      <c r="S3523" s="16" t="s">
        <v>13268</v>
      </c>
      <c r="T3523" s="14" t="s">
        <v>1010</v>
      </c>
      <c r="U3523" s="16" t="s">
        <v>13269</v>
      </c>
      <c r="V3523" s="14" t="s">
        <v>3523</v>
      </c>
      <c r="W3523" s="14" t="s">
        <v>13207</v>
      </c>
      <c r="X3523" s="17" t="str">
        <f>HYPERLINK("https://my.pitchbook.com?p=435185-74P","View People Online")</f>
        <v>View People Online</v>
      </c>
    </row>
    <row r="3524">
      <c r="A3524" s="10" t="s">
        <v>22276</v>
      </c>
      <c r="B3524" s="10" t="s">
        <v>22277</v>
      </c>
      <c r="C3524" s="10" t="s">
        <v>22278</v>
      </c>
      <c r="D3524" s="10" t="s">
        <v>22279</v>
      </c>
      <c r="E3524" s="10" t="s">
        <v>13207</v>
      </c>
      <c r="F3524" s="10" t="s">
        <v>3523</v>
      </c>
      <c r="G3524" s="10" t="s">
        <v>22280</v>
      </c>
      <c r="H3524" s="11" t="s">
        <v>31</v>
      </c>
      <c r="I3524" s="11">
        <v>1.0</v>
      </c>
      <c r="J3524" s="11">
        <v>1.0</v>
      </c>
      <c r="K3524" s="11" t="s">
        <v>31</v>
      </c>
      <c r="L3524" s="12" t="s">
        <v>13263</v>
      </c>
      <c r="M3524" s="10" t="s">
        <v>22281</v>
      </c>
      <c r="N3524" s="10" t="s">
        <v>1005</v>
      </c>
      <c r="O3524" s="12" t="s">
        <v>1006</v>
      </c>
      <c r="P3524" s="10" t="s">
        <v>13265</v>
      </c>
      <c r="Q3524" s="10" t="s">
        <v>13266</v>
      </c>
      <c r="R3524" s="10" t="s">
        <v>13267</v>
      </c>
      <c r="S3524" s="12" t="s">
        <v>13268</v>
      </c>
      <c r="T3524" s="10" t="s">
        <v>1010</v>
      </c>
      <c r="U3524" s="12" t="s">
        <v>13269</v>
      </c>
      <c r="V3524" s="10" t="s">
        <v>3523</v>
      </c>
      <c r="W3524" s="10" t="s">
        <v>13207</v>
      </c>
      <c r="X3524" s="13" t="str">
        <f>HYPERLINK("https://my.pitchbook.com?p=435195-55P","View People Online")</f>
        <v>View People Online</v>
      </c>
    </row>
    <row r="3525">
      <c r="A3525" s="6" t="s">
        <v>22282</v>
      </c>
      <c r="B3525" s="6" t="s">
        <v>22283</v>
      </c>
      <c r="C3525" s="6" t="s">
        <v>22284</v>
      </c>
      <c r="D3525" s="6" t="s">
        <v>8356</v>
      </c>
      <c r="E3525" s="6" t="s">
        <v>13207</v>
      </c>
      <c r="F3525" s="6" t="s">
        <v>3523</v>
      </c>
      <c r="G3525" s="6" t="s">
        <v>22285</v>
      </c>
      <c r="H3525" s="7" t="s">
        <v>31</v>
      </c>
      <c r="I3525" s="7">
        <v>1.0</v>
      </c>
      <c r="J3525" s="7">
        <v>1.0</v>
      </c>
      <c r="K3525" s="7" t="s">
        <v>31</v>
      </c>
      <c r="L3525" s="8" t="s">
        <v>13263</v>
      </c>
      <c r="M3525" s="6" t="s">
        <v>22286</v>
      </c>
      <c r="N3525" s="6" t="s">
        <v>1005</v>
      </c>
      <c r="O3525" s="8" t="s">
        <v>1006</v>
      </c>
      <c r="P3525" s="6" t="s">
        <v>13265</v>
      </c>
      <c r="Q3525" s="6" t="s">
        <v>13266</v>
      </c>
      <c r="R3525" s="6" t="s">
        <v>13267</v>
      </c>
      <c r="S3525" s="8" t="s">
        <v>13268</v>
      </c>
      <c r="T3525" s="6" t="s">
        <v>1010</v>
      </c>
      <c r="U3525" s="8" t="s">
        <v>13269</v>
      </c>
      <c r="V3525" s="6" t="s">
        <v>3523</v>
      </c>
      <c r="W3525" s="6" t="s">
        <v>13207</v>
      </c>
      <c r="X3525" s="9" t="str">
        <f>HYPERLINK("https://my.pitchbook.com?p=436208-23P","View People Online")</f>
        <v>View People Online</v>
      </c>
    </row>
    <row r="3526">
      <c r="A3526" s="2" t="s">
        <v>22287</v>
      </c>
      <c r="B3526" s="2" t="s">
        <v>22288</v>
      </c>
      <c r="C3526" s="2" t="s">
        <v>22289</v>
      </c>
      <c r="D3526" s="2" t="s">
        <v>22290</v>
      </c>
      <c r="E3526" s="2" t="s">
        <v>13207</v>
      </c>
      <c r="F3526" s="2" t="s">
        <v>3523</v>
      </c>
      <c r="G3526" s="2" t="s">
        <v>22291</v>
      </c>
      <c r="H3526" s="3" t="s">
        <v>31</v>
      </c>
      <c r="I3526" s="3">
        <v>1.0</v>
      </c>
      <c r="J3526" s="3">
        <v>1.0</v>
      </c>
      <c r="K3526" s="3" t="s">
        <v>31</v>
      </c>
      <c r="L3526" s="4" t="s">
        <v>13263</v>
      </c>
      <c r="M3526" s="2" t="s">
        <v>22292</v>
      </c>
      <c r="N3526" s="2" t="s">
        <v>1005</v>
      </c>
      <c r="O3526" s="4" t="s">
        <v>1006</v>
      </c>
      <c r="P3526" s="2" t="s">
        <v>13265</v>
      </c>
      <c r="Q3526" s="2" t="s">
        <v>13266</v>
      </c>
      <c r="R3526" s="2" t="s">
        <v>13267</v>
      </c>
      <c r="S3526" s="4" t="s">
        <v>13268</v>
      </c>
      <c r="T3526" s="2" t="s">
        <v>1010</v>
      </c>
      <c r="U3526" s="4" t="s">
        <v>13269</v>
      </c>
      <c r="V3526" s="2" t="s">
        <v>3523</v>
      </c>
      <c r="W3526" s="2" t="s">
        <v>13207</v>
      </c>
      <c r="X3526" s="5" t="str">
        <f>HYPERLINK("https://my.pitchbook.com?p=436403-98P","View People Online")</f>
        <v>View People Online</v>
      </c>
    </row>
    <row r="3527">
      <c r="A3527" s="6" t="s">
        <v>22293</v>
      </c>
      <c r="B3527" s="6" t="s">
        <v>22294</v>
      </c>
      <c r="C3527" s="6" t="s">
        <v>22289</v>
      </c>
      <c r="D3527" s="6" t="s">
        <v>22295</v>
      </c>
      <c r="E3527" s="6" t="s">
        <v>13207</v>
      </c>
      <c r="F3527" s="6" t="s">
        <v>3523</v>
      </c>
      <c r="G3527" s="6" t="s">
        <v>22296</v>
      </c>
      <c r="H3527" s="7" t="s">
        <v>31</v>
      </c>
      <c r="I3527" s="7">
        <v>1.0</v>
      </c>
      <c r="J3527" s="7">
        <v>1.0</v>
      </c>
      <c r="K3527" s="7" t="s">
        <v>31</v>
      </c>
      <c r="L3527" s="8" t="s">
        <v>13274</v>
      </c>
      <c r="M3527" s="6" t="s">
        <v>22297</v>
      </c>
      <c r="N3527" s="6" t="s">
        <v>1181</v>
      </c>
      <c r="O3527" s="8" t="s">
        <v>1182</v>
      </c>
      <c r="P3527" s="6" t="s">
        <v>13276</v>
      </c>
      <c r="Q3527" s="6" t="s">
        <v>31</v>
      </c>
      <c r="R3527" s="6" t="s">
        <v>1185</v>
      </c>
      <c r="S3527" s="8" t="s">
        <v>4438</v>
      </c>
      <c r="T3527" s="6" t="s">
        <v>66</v>
      </c>
      <c r="U3527" s="8" t="s">
        <v>13277</v>
      </c>
      <c r="V3527" s="6" t="s">
        <v>3523</v>
      </c>
      <c r="W3527" s="6" t="s">
        <v>13207</v>
      </c>
      <c r="X3527" s="9" t="str">
        <f>HYPERLINK("https://my.pitchbook.com?p=456753-88P","View People Online")</f>
        <v>View People Online</v>
      </c>
    </row>
    <row r="3528">
      <c r="A3528" s="2" t="s">
        <v>22298</v>
      </c>
      <c r="B3528" s="2" t="s">
        <v>22299</v>
      </c>
      <c r="C3528" s="2" t="s">
        <v>22289</v>
      </c>
      <c r="D3528" s="2" t="s">
        <v>18492</v>
      </c>
      <c r="E3528" s="2" t="s">
        <v>13207</v>
      </c>
      <c r="F3528" s="2" t="s">
        <v>3523</v>
      </c>
      <c r="G3528" s="2" t="s">
        <v>22300</v>
      </c>
      <c r="H3528" s="3" t="s">
        <v>31</v>
      </c>
      <c r="I3528" s="3">
        <v>1.0</v>
      </c>
      <c r="J3528" s="3">
        <v>1.0</v>
      </c>
      <c r="K3528" s="3" t="s">
        <v>31</v>
      </c>
      <c r="L3528" s="4" t="s">
        <v>13263</v>
      </c>
      <c r="M3528" s="2" t="s">
        <v>22301</v>
      </c>
      <c r="N3528" s="2" t="s">
        <v>1005</v>
      </c>
      <c r="O3528" s="4" t="s">
        <v>1006</v>
      </c>
      <c r="P3528" s="2" t="s">
        <v>13265</v>
      </c>
      <c r="Q3528" s="2" t="s">
        <v>13266</v>
      </c>
      <c r="R3528" s="2" t="s">
        <v>13267</v>
      </c>
      <c r="S3528" s="4" t="s">
        <v>13268</v>
      </c>
      <c r="T3528" s="2" t="s">
        <v>1010</v>
      </c>
      <c r="U3528" s="4" t="s">
        <v>13269</v>
      </c>
      <c r="V3528" s="2" t="s">
        <v>3523</v>
      </c>
      <c r="W3528" s="2" t="s">
        <v>13207</v>
      </c>
      <c r="X3528" s="5" t="str">
        <f>HYPERLINK("https://my.pitchbook.com?p=436691-08P","View People Online")</f>
        <v>View People Online</v>
      </c>
    </row>
    <row r="3529">
      <c r="A3529" s="6" t="s">
        <v>22302</v>
      </c>
      <c r="B3529" s="6" t="s">
        <v>22303</v>
      </c>
      <c r="C3529" s="6" t="s">
        <v>22289</v>
      </c>
      <c r="D3529" s="6" t="s">
        <v>22304</v>
      </c>
      <c r="E3529" s="6" t="s">
        <v>13207</v>
      </c>
      <c r="F3529" s="6" t="s">
        <v>3523</v>
      </c>
      <c r="G3529" s="6" t="s">
        <v>22305</v>
      </c>
      <c r="H3529" s="7" t="s">
        <v>31</v>
      </c>
      <c r="I3529" s="7">
        <v>1.0</v>
      </c>
      <c r="J3529" s="7">
        <v>1.0</v>
      </c>
      <c r="K3529" s="7" t="s">
        <v>31</v>
      </c>
      <c r="L3529" s="8" t="s">
        <v>13263</v>
      </c>
      <c r="M3529" s="6" t="s">
        <v>22306</v>
      </c>
      <c r="N3529" s="6" t="s">
        <v>1005</v>
      </c>
      <c r="O3529" s="8" t="s">
        <v>1006</v>
      </c>
      <c r="P3529" s="6" t="s">
        <v>13265</v>
      </c>
      <c r="Q3529" s="6" t="s">
        <v>13266</v>
      </c>
      <c r="R3529" s="6" t="s">
        <v>13267</v>
      </c>
      <c r="S3529" s="8" t="s">
        <v>13268</v>
      </c>
      <c r="T3529" s="6" t="s">
        <v>1010</v>
      </c>
      <c r="U3529" s="8" t="s">
        <v>13269</v>
      </c>
      <c r="V3529" s="6" t="s">
        <v>3523</v>
      </c>
      <c r="W3529" s="6" t="s">
        <v>13207</v>
      </c>
      <c r="X3529" s="9" t="str">
        <f>HYPERLINK("https://my.pitchbook.com?p=435089-35P","View People Online")</f>
        <v>View People Online</v>
      </c>
    </row>
    <row r="3530">
      <c r="A3530" s="10" t="s">
        <v>22307</v>
      </c>
      <c r="B3530" s="10" t="s">
        <v>22308</v>
      </c>
      <c r="C3530" s="10" t="s">
        <v>22309</v>
      </c>
      <c r="D3530" s="10" t="s">
        <v>22310</v>
      </c>
      <c r="E3530" s="10" t="s">
        <v>13207</v>
      </c>
      <c r="F3530" s="10" t="s">
        <v>13307</v>
      </c>
      <c r="G3530" s="10" t="s">
        <v>22311</v>
      </c>
      <c r="H3530" s="11" t="s">
        <v>31</v>
      </c>
      <c r="I3530" s="11">
        <v>1.0</v>
      </c>
      <c r="J3530" s="11">
        <v>1.0</v>
      </c>
      <c r="K3530" s="11" t="s">
        <v>31</v>
      </c>
      <c r="L3530" s="12" t="s">
        <v>13263</v>
      </c>
      <c r="M3530" s="10" t="s">
        <v>22312</v>
      </c>
      <c r="N3530" s="10" t="s">
        <v>1005</v>
      </c>
      <c r="O3530" s="12" t="s">
        <v>1006</v>
      </c>
      <c r="P3530" s="10" t="s">
        <v>13265</v>
      </c>
      <c r="Q3530" s="10" t="s">
        <v>13266</v>
      </c>
      <c r="R3530" s="10" t="s">
        <v>13267</v>
      </c>
      <c r="S3530" s="12" t="s">
        <v>13268</v>
      </c>
      <c r="T3530" s="10" t="s">
        <v>1010</v>
      </c>
      <c r="U3530" s="12" t="s">
        <v>13269</v>
      </c>
      <c r="V3530" s="10" t="s">
        <v>13317</v>
      </c>
      <c r="W3530" s="10" t="s">
        <v>13207</v>
      </c>
      <c r="X3530" s="13" t="str">
        <f>HYPERLINK("https://my.pitchbook.com?p=436687-84P","View People Online")</f>
        <v>View People Online</v>
      </c>
    </row>
    <row r="3531">
      <c r="A3531" s="14" t="s">
        <v>22313</v>
      </c>
      <c r="B3531" s="14" t="s">
        <v>22314</v>
      </c>
      <c r="C3531" s="14" t="s">
        <v>22315</v>
      </c>
      <c r="D3531" s="14" t="s">
        <v>12137</v>
      </c>
      <c r="E3531" s="14" t="s">
        <v>13207</v>
      </c>
      <c r="F3531" s="14" t="s">
        <v>29</v>
      </c>
      <c r="G3531" s="14" t="s">
        <v>22316</v>
      </c>
      <c r="H3531" s="15" t="s">
        <v>31</v>
      </c>
      <c r="I3531" s="15">
        <v>1.0</v>
      </c>
      <c r="J3531" s="15">
        <v>1.0</v>
      </c>
      <c r="K3531" s="15" t="s">
        <v>31</v>
      </c>
      <c r="L3531" s="16" t="s">
        <v>13263</v>
      </c>
      <c r="M3531" s="14" t="s">
        <v>22317</v>
      </c>
      <c r="N3531" s="14" t="s">
        <v>1005</v>
      </c>
      <c r="O3531" s="16" t="s">
        <v>1006</v>
      </c>
      <c r="P3531" s="14" t="s">
        <v>13265</v>
      </c>
      <c r="Q3531" s="14" t="s">
        <v>13266</v>
      </c>
      <c r="R3531" s="14" t="s">
        <v>13267</v>
      </c>
      <c r="S3531" s="16" t="s">
        <v>13268</v>
      </c>
      <c r="T3531" s="14" t="s">
        <v>1010</v>
      </c>
      <c r="U3531" s="16" t="s">
        <v>13269</v>
      </c>
      <c r="V3531" s="14" t="s">
        <v>29</v>
      </c>
      <c r="W3531" s="14" t="s">
        <v>13207</v>
      </c>
      <c r="X3531" s="17" t="str">
        <f>HYPERLINK("https://my.pitchbook.com?p=455898-70P","View People Online")</f>
        <v>View People Online</v>
      </c>
    </row>
    <row r="3532">
      <c r="A3532" s="10" t="s">
        <v>22318</v>
      </c>
      <c r="B3532" s="10" t="s">
        <v>22319</v>
      </c>
      <c r="C3532" s="10" t="s">
        <v>22320</v>
      </c>
      <c r="D3532" s="10" t="s">
        <v>22321</v>
      </c>
      <c r="E3532" s="10" t="s">
        <v>13207</v>
      </c>
      <c r="F3532" s="10" t="s">
        <v>3523</v>
      </c>
      <c r="G3532" s="10" t="s">
        <v>22322</v>
      </c>
      <c r="H3532" s="11" t="s">
        <v>31</v>
      </c>
      <c r="I3532" s="11">
        <v>1.0</v>
      </c>
      <c r="J3532" s="11">
        <v>1.0</v>
      </c>
      <c r="K3532" s="11" t="s">
        <v>31</v>
      </c>
      <c r="L3532" s="12" t="s">
        <v>13299</v>
      </c>
      <c r="M3532" s="10" t="s">
        <v>22323</v>
      </c>
      <c r="N3532" s="10" t="s">
        <v>601</v>
      </c>
      <c r="O3532" s="12" t="s">
        <v>602</v>
      </c>
      <c r="P3532" s="10" t="s">
        <v>13301</v>
      </c>
      <c r="Q3532" s="10" t="s">
        <v>13302</v>
      </c>
      <c r="R3532" s="10" t="s">
        <v>31</v>
      </c>
      <c r="S3532" s="12" t="s">
        <v>31</v>
      </c>
      <c r="T3532" s="10" t="s">
        <v>603</v>
      </c>
      <c r="U3532" s="12" t="s">
        <v>13303</v>
      </c>
      <c r="V3532" s="10" t="s">
        <v>3523</v>
      </c>
      <c r="W3532" s="10" t="s">
        <v>13207</v>
      </c>
      <c r="X3532" s="13" t="str">
        <f>HYPERLINK("https://my.pitchbook.com?p=435022-12P","View People Online")</f>
        <v>View People Online</v>
      </c>
    </row>
    <row r="3533">
      <c r="A3533" s="14" t="s">
        <v>22324</v>
      </c>
      <c r="B3533" s="14" t="s">
        <v>22325</v>
      </c>
      <c r="C3533" s="14" t="s">
        <v>22326</v>
      </c>
      <c r="D3533" s="14" t="s">
        <v>4586</v>
      </c>
      <c r="E3533" s="14" t="s">
        <v>13207</v>
      </c>
      <c r="F3533" s="14" t="s">
        <v>29</v>
      </c>
      <c r="G3533" s="14" t="s">
        <v>22327</v>
      </c>
      <c r="H3533" s="15" t="s">
        <v>31</v>
      </c>
      <c r="I3533" s="15">
        <v>1.0</v>
      </c>
      <c r="J3533" s="15">
        <v>1.0</v>
      </c>
      <c r="K3533" s="15" t="s">
        <v>31</v>
      </c>
      <c r="L3533" s="16" t="s">
        <v>13423</v>
      </c>
      <c r="M3533" s="14" t="s">
        <v>22328</v>
      </c>
      <c r="N3533" s="14" t="s">
        <v>243</v>
      </c>
      <c r="O3533" s="16" t="s">
        <v>244</v>
      </c>
      <c r="P3533" s="14" t="s">
        <v>13425</v>
      </c>
      <c r="Q3533" s="14" t="s">
        <v>31</v>
      </c>
      <c r="R3533" s="14" t="s">
        <v>247</v>
      </c>
      <c r="S3533" s="16" t="s">
        <v>13426</v>
      </c>
      <c r="T3533" s="14" t="s">
        <v>249</v>
      </c>
      <c r="U3533" s="16" t="s">
        <v>31</v>
      </c>
      <c r="V3533" s="14" t="s">
        <v>29</v>
      </c>
      <c r="W3533" s="14" t="s">
        <v>13207</v>
      </c>
      <c r="X3533" s="17" t="str">
        <f>HYPERLINK("https://my.pitchbook.com?p=435023-29P","View People Online")</f>
        <v>View People Online</v>
      </c>
    </row>
    <row r="3534">
      <c r="A3534" s="10" t="s">
        <v>22329</v>
      </c>
      <c r="B3534" s="10" t="s">
        <v>22330</v>
      </c>
      <c r="C3534" s="10" t="s">
        <v>22331</v>
      </c>
      <c r="D3534" s="10" t="s">
        <v>22332</v>
      </c>
      <c r="E3534" s="10" t="s">
        <v>13207</v>
      </c>
      <c r="F3534" s="10" t="s">
        <v>13307</v>
      </c>
      <c r="G3534" s="10" t="s">
        <v>22333</v>
      </c>
      <c r="H3534" s="11" t="s">
        <v>31</v>
      </c>
      <c r="I3534" s="11">
        <v>1.0</v>
      </c>
      <c r="J3534" s="11">
        <v>1.0</v>
      </c>
      <c r="K3534" s="11" t="s">
        <v>31</v>
      </c>
      <c r="L3534" s="12" t="s">
        <v>14387</v>
      </c>
      <c r="M3534" s="10" t="s">
        <v>22334</v>
      </c>
      <c r="N3534" s="10" t="s">
        <v>14389</v>
      </c>
      <c r="O3534" s="12" t="s">
        <v>14390</v>
      </c>
      <c r="P3534" s="10" t="s">
        <v>14391</v>
      </c>
      <c r="Q3534" s="10" t="s">
        <v>2403</v>
      </c>
      <c r="R3534" s="10" t="s">
        <v>31</v>
      </c>
      <c r="S3534" s="12" t="s">
        <v>14392</v>
      </c>
      <c r="T3534" s="10" t="s">
        <v>14393</v>
      </c>
      <c r="U3534" s="12" t="s">
        <v>14394</v>
      </c>
      <c r="V3534" s="10" t="s">
        <v>22335</v>
      </c>
      <c r="W3534" s="10" t="s">
        <v>13207</v>
      </c>
      <c r="X3534" s="13" t="str">
        <f>HYPERLINK("https://my.pitchbook.com?p=435450-43P","View People Online")</f>
        <v>View People Online</v>
      </c>
    </row>
    <row r="3535">
      <c r="A3535" s="6" t="s">
        <v>22336</v>
      </c>
      <c r="B3535" s="6" t="s">
        <v>22337</v>
      </c>
      <c r="C3535" s="6" t="s">
        <v>22338</v>
      </c>
      <c r="D3535" s="6" t="s">
        <v>1866</v>
      </c>
      <c r="E3535" s="6" t="s">
        <v>13207</v>
      </c>
      <c r="F3535" s="6" t="s">
        <v>3523</v>
      </c>
      <c r="G3535" s="6" t="s">
        <v>22339</v>
      </c>
      <c r="H3535" s="7" t="s">
        <v>31</v>
      </c>
      <c r="I3535" s="7">
        <v>1.0</v>
      </c>
      <c r="J3535" s="7">
        <v>1.0</v>
      </c>
      <c r="K3535" s="7" t="s">
        <v>31</v>
      </c>
      <c r="L3535" s="8" t="s">
        <v>13743</v>
      </c>
      <c r="M3535" s="6" t="s">
        <v>22340</v>
      </c>
      <c r="N3535" s="6" t="s">
        <v>1034</v>
      </c>
      <c r="O3535" s="8" t="s">
        <v>1035</v>
      </c>
      <c r="P3535" s="6" t="s">
        <v>13745</v>
      </c>
      <c r="Q3535" s="6" t="s">
        <v>13746</v>
      </c>
      <c r="R3535" s="6" t="s">
        <v>31</v>
      </c>
      <c r="S3535" s="8" t="s">
        <v>13747</v>
      </c>
      <c r="T3535" s="6" t="s">
        <v>1034</v>
      </c>
      <c r="U3535" s="8" t="s">
        <v>13748</v>
      </c>
      <c r="V3535" s="6" t="s">
        <v>3523</v>
      </c>
      <c r="W3535" s="6" t="s">
        <v>13207</v>
      </c>
      <c r="X3535" s="9" t="str">
        <f>HYPERLINK("https://my.pitchbook.com?p=435078-37P","View People Online")</f>
        <v>View People Online</v>
      </c>
    </row>
    <row r="3536">
      <c r="A3536" s="10" t="s">
        <v>22341</v>
      </c>
      <c r="B3536" s="10" t="s">
        <v>22342</v>
      </c>
      <c r="C3536" s="10" t="s">
        <v>22343</v>
      </c>
      <c r="D3536" s="10" t="s">
        <v>22344</v>
      </c>
      <c r="E3536" s="10" t="s">
        <v>13207</v>
      </c>
      <c r="F3536" s="10" t="s">
        <v>13307</v>
      </c>
      <c r="G3536" s="10" t="s">
        <v>22345</v>
      </c>
      <c r="H3536" s="11" t="s">
        <v>31</v>
      </c>
      <c r="I3536" s="11">
        <v>1.0</v>
      </c>
      <c r="J3536" s="11">
        <v>1.0</v>
      </c>
      <c r="K3536" s="11" t="s">
        <v>31</v>
      </c>
      <c r="L3536" s="12" t="s">
        <v>13289</v>
      </c>
      <c r="M3536" s="10" t="s">
        <v>22346</v>
      </c>
      <c r="N3536" s="10" t="s">
        <v>1348</v>
      </c>
      <c r="O3536" s="12" t="s">
        <v>1349</v>
      </c>
      <c r="P3536" s="10" t="s">
        <v>13291</v>
      </c>
      <c r="Q3536" s="10" t="s">
        <v>13292</v>
      </c>
      <c r="R3536" s="10" t="s">
        <v>1018</v>
      </c>
      <c r="S3536" s="12" t="s">
        <v>13293</v>
      </c>
      <c r="T3536" s="10" t="s">
        <v>1019</v>
      </c>
      <c r="U3536" s="12" t="s">
        <v>13294</v>
      </c>
      <c r="V3536" s="10" t="s">
        <v>13317</v>
      </c>
      <c r="W3536" s="10" t="s">
        <v>13207</v>
      </c>
      <c r="X3536" s="13" t="str">
        <f>HYPERLINK("https://my.pitchbook.com?p=456260-50P","View People Online")</f>
        <v>View People Online</v>
      </c>
    </row>
    <row r="3537">
      <c r="A3537" s="14" t="s">
        <v>22347</v>
      </c>
      <c r="B3537" s="14" t="s">
        <v>22348</v>
      </c>
      <c r="C3537" s="14" t="s">
        <v>18601</v>
      </c>
      <c r="D3537" s="14" t="s">
        <v>22349</v>
      </c>
      <c r="E3537" s="14" t="s">
        <v>13207</v>
      </c>
      <c r="F3537" s="14" t="s">
        <v>13218</v>
      </c>
      <c r="G3537" s="14" t="s">
        <v>22350</v>
      </c>
      <c r="H3537" s="15" t="s">
        <v>31</v>
      </c>
      <c r="I3537" s="15">
        <v>1.0</v>
      </c>
      <c r="J3537" s="15">
        <v>1.0</v>
      </c>
      <c r="K3537" s="15" t="s">
        <v>31</v>
      </c>
      <c r="L3537" s="16" t="s">
        <v>13289</v>
      </c>
      <c r="M3537" s="14" t="s">
        <v>22351</v>
      </c>
      <c r="N3537" s="14" t="s">
        <v>1348</v>
      </c>
      <c r="O3537" s="16" t="s">
        <v>1349</v>
      </c>
      <c r="P3537" s="14" t="s">
        <v>13291</v>
      </c>
      <c r="Q3537" s="14" t="s">
        <v>13292</v>
      </c>
      <c r="R3537" s="14" t="s">
        <v>1018</v>
      </c>
      <c r="S3537" s="16" t="s">
        <v>13293</v>
      </c>
      <c r="T3537" s="14" t="s">
        <v>1019</v>
      </c>
      <c r="U3537" s="16" t="s">
        <v>13294</v>
      </c>
      <c r="V3537" s="14" t="s">
        <v>22352</v>
      </c>
      <c r="W3537" s="14" t="s">
        <v>13207</v>
      </c>
      <c r="X3537" s="17" t="str">
        <f>HYPERLINK("https://my.pitchbook.com?p=55378-09P","View People Online")</f>
        <v>View People Online</v>
      </c>
    </row>
    <row r="3538">
      <c r="A3538" s="2" t="s">
        <v>22353</v>
      </c>
      <c r="B3538" s="2" t="s">
        <v>22354</v>
      </c>
      <c r="C3538" s="2" t="s">
        <v>4692</v>
      </c>
      <c r="D3538" s="2" t="s">
        <v>3275</v>
      </c>
      <c r="E3538" s="2" t="s">
        <v>13207</v>
      </c>
      <c r="F3538" s="2" t="s">
        <v>13218</v>
      </c>
      <c r="G3538" s="2" t="s">
        <v>22355</v>
      </c>
      <c r="H3538" s="3" t="s">
        <v>31</v>
      </c>
      <c r="I3538" s="3">
        <v>1.0</v>
      </c>
      <c r="J3538" s="3">
        <v>1.0</v>
      </c>
      <c r="K3538" s="3" t="s">
        <v>31</v>
      </c>
      <c r="L3538" s="4" t="s">
        <v>13274</v>
      </c>
      <c r="M3538" s="2" t="s">
        <v>22356</v>
      </c>
      <c r="N3538" s="2" t="s">
        <v>1181</v>
      </c>
      <c r="O3538" s="4" t="s">
        <v>1182</v>
      </c>
      <c r="P3538" s="2" t="s">
        <v>13276</v>
      </c>
      <c r="Q3538" s="2" t="s">
        <v>31</v>
      </c>
      <c r="R3538" s="2" t="s">
        <v>1185</v>
      </c>
      <c r="S3538" s="4" t="s">
        <v>4438</v>
      </c>
      <c r="T3538" s="2" t="s">
        <v>66</v>
      </c>
      <c r="U3538" s="4" t="s">
        <v>13277</v>
      </c>
      <c r="V3538" s="2" t="s">
        <v>13218</v>
      </c>
      <c r="W3538" s="2" t="s">
        <v>13207</v>
      </c>
      <c r="X3538" s="5" t="str">
        <f>HYPERLINK("https://my.pitchbook.com?p=436171-69P","View People Online")</f>
        <v>View People Online</v>
      </c>
    </row>
    <row r="3539">
      <c r="A3539" s="6" t="s">
        <v>22357</v>
      </c>
      <c r="B3539" s="6" t="s">
        <v>22358</v>
      </c>
      <c r="C3539" s="6" t="s">
        <v>12457</v>
      </c>
      <c r="D3539" s="6" t="s">
        <v>8016</v>
      </c>
      <c r="E3539" s="6" t="s">
        <v>13207</v>
      </c>
      <c r="F3539" s="6" t="s">
        <v>13218</v>
      </c>
      <c r="G3539" s="6" t="s">
        <v>22359</v>
      </c>
      <c r="H3539" s="7" t="s">
        <v>31</v>
      </c>
      <c r="I3539" s="7">
        <v>1.0</v>
      </c>
      <c r="J3539" s="7">
        <v>1.0</v>
      </c>
      <c r="K3539" s="7" t="s">
        <v>31</v>
      </c>
      <c r="L3539" s="8" t="s">
        <v>13688</v>
      </c>
      <c r="M3539" s="6" t="s">
        <v>22360</v>
      </c>
      <c r="N3539" s="6" t="s">
        <v>3603</v>
      </c>
      <c r="O3539" s="8" t="s">
        <v>3604</v>
      </c>
      <c r="P3539" s="6" t="s">
        <v>13690</v>
      </c>
      <c r="Q3539" s="6" t="s">
        <v>13691</v>
      </c>
      <c r="R3539" s="6" t="s">
        <v>31</v>
      </c>
      <c r="S3539" s="8" t="s">
        <v>31</v>
      </c>
      <c r="T3539" s="6" t="s">
        <v>3603</v>
      </c>
      <c r="U3539" s="8" t="s">
        <v>13692</v>
      </c>
      <c r="V3539" s="6" t="s">
        <v>13218</v>
      </c>
      <c r="W3539" s="6" t="s">
        <v>13207</v>
      </c>
      <c r="X3539" s="9" t="str">
        <f>HYPERLINK("https://my.pitchbook.com?p=436130-38P","View People Online")</f>
        <v>View People Online</v>
      </c>
    </row>
    <row r="3540">
      <c r="A3540" s="10" t="s">
        <v>22361</v>
      </c>
      <c r="B3540" s="10" t="s">
        <v>22362</v>
      </c>
      <c r="C3540" s="10" t="s">
        <v>22363</v>
      </c>
      <c r="D3540" s="10" t="s">
        <v>22364</v>
      </c>
      <c r="E3540" s="10" t="s">
        <v>13207</v>
      </c>
      <c r="F3540" s="10" t="s">
        <v>17625</v>
      </c>
      <c r="G3540" s="10" t="s">
        <v>22365</v>
      </c>
      <c r="H3540" s="11" t="s">
        <v>31</v>
      </c>
      <c r="I3540" s="11">
        <v>1.0</v>
      </c>
      <c r="J3540" s="11">
        <v>1.0</v>
      </c>
      <c r="K3540" s="11" t="s">
        <v>31</v>
      </c>
      <c r="L3540" s="12" t="s">
        <v>14387</v>
      </c>
      <c r="M3540" s="10" t="s">
        <v>22366</v>
      </c>
      <c r="N3540" s="10" t="s">
        <v>14389</v>
      </c>
      <c r="O3540" s="12" t="s">
        <v>14390</v>
      </c>
      <c r="P3540" s="10" t="s">
        <v>14391</v>
      </c>
      <c r="Q3540" s="10" t="s">
        <v>2403</v>
      </c>
      <c r="R3540" s="10" t="s">
        <v>31</v>
      </c>
      <c r="S3540" s="12" t="s">
        <v>14392</v>
      </c>
      <c r="T3540" s="10" t="s">
        <v>14393</v>
      </c>
      <c r="U3540" s="12" t="s">
        <v>14394</v>
      </c>
      <c r="V3540" s="10" t="s">
        <v>22367</v>
      </c>
      <c r="W3540" s="10" t="s">
        <v>13207</v>
      </c>
      <c r="X3540" s="13" t="str">
        <f>HYPERLINK("https://my.pitchbook.com?p=456867-28P","View People Online")</f>
        <v>View People Online</v>
      </c>
    </row>
    <row r="3541">
      <c r="A3541" s="6" t="s">
        <v>22368</v>
      </c>
      <c r="B3541" s="6" t="s">
        <v>22369</v>
      </c>
      <c r="C3541" s="6" t="s">
        <v>22370</v>
      </c>
      <c r="D3541" s="6" t="s">
        <v>22371</v>
      </c>
      <c r="E3541" s="6" t="s">
        <v>13207</v>
      </c>
      <c r="F3541" s="6" t="s">
        <v>3523</v>
      </c>
      <c r="G3541" s="6" t="s">
        <v>22372</v>
      </c>
      <c r="H3541" s="7" t="s">
        <v>31</v>
      </c>
      <c r="I3541" s="7">
        <v>1.0</v>
      </c>
      <c r="J3541" s="7">
        <v>1.0</v>
      </c>
      <c r="K3541" s="7" t="s">
        <v>31</v>
      </c>
      <c r="L3541" s="8" t="s">
        <v>13209</v>
      </c>
      <c r="M3541" s="6" t="s">
        <v>22373</v>
      </c>
      <c r="N3541" s="6" t="s">
        <v>4232</v>
      </c>
      <c r="O3541" s="8" t="s">
        <v>4233</v>
      </c>
      <c r="P3541" s="6" t="s">
        <v>13211</v>
      </c>
      <c r="Q3541" s="6" t="s">
        <v>31</v>
      </c>
      <c r="R3541" s="6" t="s">
        <v>4236</v>
      </c>
      <c r="S3541" s="8" t="s">
        <v>13212</v>
      </c>
      <c r="T3541" s="6" t="s">
        <v>66</v>
      </c>
      <c r="U3541" s="8" t="s">
        <v>13213</v>
      </c>
      <c r="V3541" s="6" t="s">
        <v>3523</v>
      </c>
      <c r="W3541" s="6" t="s">
        <v>13207</v>
      </c>
      <c r="X3541" s="9" t="str">
        <f>HYPERLINK("https://my.pitchbook.com?p=435979-09P","View People Online")</f>
        <v>View People Online</v>
      </c>
    </row>
    <row r="3542">
      <c r="A3542" s="10" t="s">
        <v>22374</v>
      </c>
      <c r="B3542" s="10" t="s">
        <v>22375</v>
      </c>
      <c r="C3542" s="10" t="s">
        <v>22376</v>
      </c>
      <c r="D3542" s="10" t="s">
        <v>22377</v>
      </c>
      <c r="E3542" s="10" t="s">
        <v>13207</v>
      </c>
      <c r="F3542" s="10" t="s">
        <v>3523</v>
      </c>
      <c r="G3542" s="10" t="s">
        <v>22378</v>
      </c>
      <c r="H3542" s="11" t="s">
        <v>31</v>
      </c>
      <c r="I3542" s="11">
        <v>1.0</v>
      </c>
      <c r="J3542" s="11">
        <v>1.0</v>
      </c>
      <c r="K3542" s="11" t="s">
        <v>31</v>
      </c>
      <c r="L3542" s="12" t="s">
        <v>15012</v>
      </c>
      <c r="M3542" s="10" t="s">
        <v>22379</v>
      </c>
      <c r="N3542" s="10" t="s">
        <v>15014</v>
      </c>
      <c r="O3542" s="12" t="s">
        <v>15015</v>
      </c>
      <c r="P3542" s="10" t="s">
        <v>15016</v>
      </c>
      <c r="Q3542" s="10" t="s">
        <v>31</v>
      </c>
      <c r="R3542" s="10" t="s">
        <v>31</v>
      </c>
      <c r="S3542" s="12" t="s">
        <v>15017</v>
      </c>
      <c r="T3542" s="10" t="s">
        <v>15018</v>
      </c>
      <c r="U3542" s="12" t="s">
        <v>15019</v>
      </c>
      <c r="V3542" s="10" t="s">
        <v>22380</v>
      </c>
      <c r="W3542" s="10" t="s">
        <v>13207</v>
      </c>
      <c r="X3542" s="13" t="str">
        <f>HYPERLINK("https://my.pitchbook.com?p=434795-32P","View People Online")</f>
        <v>View People Online</v>
      </c>
    </row>
    <row r="3543">
      <c r="A3543" s="14" t="s">
        <v>22381</v>
      </c>
      <c r="B3543" s="14" t="s">
        <v>22382</v>
      </c>
      <c r="C3543" s="14" t="s">
        <v>22383</v>
      </c>
      <c r="D3543" s="14" t="s">
        <v>22384</v>
      </c>
      <c r="E3543" s="14" t="s">
        <v>13207</v>
      </c>
      <c r="F3543" s="14" t="s">
        <v>13240</v>
      </c>
      <c r="G3543" s="14" t="s">
        <v>22385</v>
      </c>
      <c r="H3543" s="15" t="s">
        <v>31</v>
      </c>
      <c r="I3543" s="15">
        <v>1.0</v>
      </c>
      <c r="J3543" s="15">
        <v>1.0</v>
      </c>
      <c r="K3543" s="15" t="s">
        <v>31</v>
      </c>
      <c r="L3543" s="16" t="s">
        <v>13540</v>
      </c>
      <c r="M3543" s="14" t="s">
        <v>22386</v>
      </c>
      <c r="N3543" s="14" t="s">
        <v>418</v>
      </c>
      <c r="O3543" s="16" t="s">
        <v>419</v>
      </c>
      <c r="P3543" s="14" t="s">
        <v>13542</v>
      </c>
      <c r="Q3543" s="14" t="s">
        <v>31</v>
      </c>
      <c r="R3543" s="14" t="s">
        <v>31</v>
      </c>
      <c r="S3543" s="16" t="s">
        <v>2664</v>
      </c>
      <c r="T3543" s="14" t="s">
        <v>422</v>
      </c>
      <c r="U3543" s="16" t="s">
        <v>13543</v>
      </c>
      <c r="V3543" s="14" t="s">
        <v>22387</v>
      </c>
      <c r="W3543" s="14" t="s">
        <v>13207</v>
      </c>
      <c r="X3543" s="17" t="str">
        <f>HYPERLINK("https://my.pitchbook.com?p=455806-36P","View People Online")</f>
        <v>View People Online</v>
      </c>
    </row>
    <row r="3544">
      <c r="A3544" s="2" t="s">
        <v>22388</v>
      </c>
      <c r="B3544" s="2" t="s">
        <v>22389</v>
      </c>
      <c r="C3544" s="2" t="s">
        <v>22390</v>
      </c>
      <c r="D3544" s="2" t="s">
        <v>22391</v>
      </c>
      <c r="E3544" s="2" t="s">
        <v>13207</v>
      </c>
      <c r="F3544" s="2" t="s">
        <v>3523</v>
      </c>
      <c r="G3544" s="2" t="s">
        <v>22392</v>
      </c>
      <c r="H3544" s="3" t="s">
        <v>31</v>
      </c>
      <c r="I3544" s="3">
        <v>1.0</v>
      </c>
      <c r="J3544" s="3">
        <v>1.0</v>
      </c>
      <c r="K3544" s="3" t="s">
        <v>31</v>
      </c>
      <c r="L3544" s="4" t="s">
        <v>13549</v>
      </c>
      <c r="M3544" s="2" t="s">
        <v>22393</v>
      </c>
      <c r="N3544" s="2" t="s">
        <v>794</v>
      </c>
      <c r="O3544" s="4" t="s">
        <v>795</v>
      </c>
      <c r="P3544" s="2" t="s">
        <v>13551</v>
      </c>
      <c r="Q3544" s="2" t="s">
        <v>13552</v>
      </c>
      <c r="R3544" s="2" t="s">
        <v>31</v>
      </c>
      <c r="S3544" s="4" t="s">
        <v>13553</v>
      </c>
      <c r="T3544" s="2" t="s">
        <v>796</v>
      </c>
      <c r="U3544" s="4" t="s">
        <v>13554</v>
      </c>
      <c r="V3544" s="2" t="s">
        <v>3523</v>
      </c>
      <c r="W3544" s="2" t="s">
        <v>13207</v>
      </c>
      <c r="X3544" s="5" t="str">
        <f>HYPERLINK("https://my.pitchbook.com?p=456059-44P","View People Online")</f>
        <v>View People Online</v>
      </c>
    </row>
    <row r="3545">
      <c r="A3545" s="14" t="s">
        <v>22394</v>
      </c>
      <c r="B3545" s="14" t="s">
        <v>22395</v>
      </c>
      <c r="C3545" s="14" t="s">
        <v>22396</v>
      </c>
      <c r="D3545" s="14" t="s">
        <v>22397</v>
      </c>
      <c r="E3545" s="14" t="s">
        <v>13207</v>
      </c>
      <c r="F3545" s="14" t="s">
        <v>3523</v>
      </c>
      <c r="G3545" s="14" t="s">
        <v>22398</v>
      </c>
      <c r="H3545" s="15" t="s">
        <v>31</v>
      </c>
      <c r="I3545" s="15">
        <v>1.0</v>
      </c>
      <c r="J3545" s="15">
        <v>1.0</v>
      </c>
      <c r="K3545" s="15" t="s">
        <v>31</v>
      </c>
      <c r="L3545" s="16" t="s">
        <v>13263</v>
      </c>
      <c r="M3545" s="14" t="s">
        <v>22399</v>
      </c>
      <c r="N3545" s="14" t="s">
        <v>1005</v>
      </c>
      <c r="O3545" s="16" t="s">
        <v>1006</v>
      </c>
      <c r="P3545" s="14" t="s">
        <v>13265</v>
      </c>
      <c r="Q3545" s="14" t="s">
        <v>13266</v>
      </c>
      <c r="R3545" s="14" t="s">
        <v>13267</v>
      </c>
      <c r="S3545" s="16" t="s">
        <v>13268</v>
      </c>
      <c r="T3545" s="14" t="s">
        <v>1010</v>
      </c>
      <c r="U3545" s="16" t="s">
        <v>13269</v>
      </c>
      <c r="V3545" s="14" t="s">
        <v>3523</v>
      </c>
      <c r="W3545" s="14" t="s">
        <v>13207</v>
      </c>
      <c r="X3545" s="17" t="str">
        <f>HYPERLINK("https://my.pitchbook.com?p=435705-04P","View People Online")</f>
        <v>View People Online</v>
      </c>
    </row>
    <row r="3546">
      <c r="A3546" s="10" t="s">
        <v>22400</v>
      </c>
      <c r="B3546" s="10" t="s">
        <v>22401</v>
      </c>
      <c r="C3546" s="10" t="s">
        <v>22396</v>
      </c>
      <c r="D3546" s="10" t="s">
        <v>22402</v>
      </c>
      <c r="E3546" s="10" t="s">
        <v>13207</v>
      </c>
      <c r="F3546" s="10" t="s">
        <v>13218</v>
      </c>
      <c r="G3546" s="10" t="s">
        <v>22403</v>
      </c>
      <c r="H3546" s="11" t="s">
        <v>31</v>
      </c>
      <c r="I3546" s="11">
        <v>1.0</v>
      </c>
      <c r="J3546" s="11">
        <v>1.0</v>
      </c>
      <c r="K3546" s="11" t="s">
        <v>31</v>
      </c>
      <c r="L3546" s="12" t="s">
        <v>13263</v>
      </c>
      <c r="M3546" s="10" t="s">
        <v>22404</v>
      </c>
      <c r="N3546" s="10" t="s">
        <v>1005</v>
      </c>
      <c r="O3546" s="12" t="s">
        <v>1006</v>
      </c>
      <c r="P3546" s="10" t="s">
        <v>13265</v>
      </c>
      <c r="Q3546" s="10" t="s">
        <v>13266</v>
      </c>
      <c r="R3546" s="10" t="s">
        <v>13267</v>
      </c>
      <c r="S3546" s="12" t="s">
        <v>13268</v>
      </c>
      <c r="T3546" s="10" t="s">
        <v>1010</v>
      </c>
      <c r="U3546" s="12" t="s">
        <v>13269</v>
      </c>
      <c r="V3546" s="10" t="s">
        <v>13218</v>
      </c>
      <c r="W3546" s="10" t="s">
        <v>13207</v>
      </c>
      <c r="X3546" s="13" t="str">
        <f>HYPERLINK("https://my.pitchbook.com?p=456827-32P","View People Online")</f>
        <v>View People Online</v>
      </c>
    </row>
    <row r="3547">
      <c r="A3547" s="6" t="s">
        <v>22405</v>
      </c>
      <c r="B3547" s="6" t="s">
        <v>22406</v>
      </c>
      <c r="C3547" s="6" t="s">
        <v>22407</v>
      </c>
      <c r="D3547" s="6" t="s">
        <v>22408</v>
      </c>
      <c r="E3547" s="6" t="s">
        <v>13207</v>
      </c>
      <c r="F3547" s="6" t="s">
        <v>318</v>
      </c>
      <c r="G3547" s="6" t="s">
        <v>22409</v>
      </c>
      <c r="H3547" s="7" t="s">
        <v>31</v>
      </c>
      <c r="I3547" s="7">
        <v>1.0</v>
      </c>
      <c r="J3547" s="7">
        <v>1.0</v>
      </c>
      <c r="K3547" s="7" t="s">
        <v>31</v>
      </c>
      <c r="L3547" s="8" t="s">
        <v>14050</v>
      </c>
      <c r="M3547" s="6" t="s">
        <v>22410</v>
      </c>
      <c r="N3547" s="6" t="s">
        <v>14052</v>
      </c>
      <c r="O3547" s="8" t="s">
        <v>14053</v>
      </c>
      <c r="P3547" s="6" t="s">
        <v>14054</v>
      </c>
      <c r="Q3547" s="6" t="s">
        <v>14055</v>
      </c>
      <c r="R3547" s="6" t="s">
        <v>31</v>
      </c>
      <c r="S3547" s="8" t="s">
        <v>14056</v>
      </c>
      <c r="T3547" s="6" t="s">
        <v>13773</v>
      </c>
      <c r="U3547" s="8" t="s">
        <v>14057</v>
      </c>
      <c r="V3547" s="6" t="s">
        <v>318</v>
      </c>
      <c r="W3547" s="6" t="s">
        <v>13207</v>
      </c>
      <c r="X3547" s="9" t="str">
        <f>HYPERLINK("https://my.pitchbook.com?p=231852-79P","View People Online")</f>
        <v>View People Online</v>
      </c>
    </row>
    <row r="3548">
      <c r="A3548" s="10" t="s">
        <v>22411</v>
      </c>
      <c r="B3548" s="10" t="s">
        <v>22412</v>
      </c>
      <c r="C3548" s="10" t="s">
        <v>22413</v>
      </c>
      <c r="D3548" s="10" t="s">
        <v>22414</v>
      </c>
      <c r="E3548" s="10" t="s">
        <v>13207</v>
      </c>
      <c r="F3548" s="10" t="s">
        <v>13240</v>
      </c>
      <c r="G3548" s="10" t="s">
        <v>22415</v>
      </c>
      <c r="H3548" s="11" t="s">
        <v>31</v>
      </c>
      <c r="I3548" s="11">
        <v>1.0</v>
      </c>
      <c r="J3548" s="11">
        <v>1.0</v>
      </c>
      <c r="K3548" s="11" t="s">
        <v>31</v>
      </c>
      <c r="L3548" s="12" t="s">
        <v>14050</v>
      </c>
      <c r="M3548" s="10" t="s">
        <v>22416</v>
      </c>
      <c r="N3548" s="10" t="s">
        <v>14052</v>
      </c>
      <c r="O3548" s="12" t="s">
        <v>14053</v>
      </c>
      <c r="P3548" s="10" t="s">
        <v>14054</v>
      </c>
      <c r="Q3548" s="10" t="s">
        <v>14055</v>
      </c>
      <c r="R3548" s="10" t="s">
        <v>31</v>
      </c>
      <c r="S3548" s="12" t="s">
        <v>14056</v>
      </c>
      <c r="T3548" s="10" t="s">
        <v>13773</v>
      </c>
      <c r="U3548" s="12" t="s">
        <v>14057</v>
      </c>
      <c r="V3548" s="10" t="s">
        <v>13247</v>
      </c>
      <c r="W3548" s="10" t="s">
        <v>13207</v>
      </c>
      <c r="X3548" s="13" t="str">
        <f>HYPERLINK("https://my.pitchbook.com?p=435707-29P","View People Online")</f>
        <v>View People Online</v>
      </c>
    </row>
    <row r="3549">
      <c r="A3549" s="6" t="s">
        <v>22417</v>
      </c>
      <c r="B3549" s="6" t="s">
        <v>22418</v>
      </c>
      <c r="C3549" s="6" t="s">
        <v>22419</v>
      </c>
      <c r="D3549" s="6" t="s">
        <v>22420</v>
      </c>
      <c r="E3549" s="6" t="s">
        <v>13207</v>
      </c>
      <c r="F3549" s="6" t="s">
        <v>318</v>
      </c>
      <c r="G3549" s="6" t="s">
        <v>22421</v>
      </c>
      <c r="H3549" s="7" t="s">
        <v>31</v>
      </c>
      <c r="I3549" s="7">
        <v>1.0</v>
      </c>
      <c r="J3549" s="7">
        <v>1.0</v>
      </c>
      <c r="K3549" s="7" t="s">
        <v>31</v>
      </c>
      <c r="L3549" s="8" t="s">
        <v>13888</v>
      </c>
      <c r="M3549" s="6" t="s">
        <v>22422</v>
      </c>
      <c r="N3549" s="6" t="s">
        <v>13890</v>
      </c>
      <c r="O3549" s="8" t="s">
        <v>13891</v>
      </c>
      <c r="P3549" s="6" t="s">
        <v>13892</v>
      </c>
      <c r="Q3549" s="6" t="s">
        <v>31</v>
      </c>
      <c r="R3549" s="6" t="s">
        <v>31</v>
      </c>
      <c r="S3549" s="8" t="s">
        <v>13893</v>
      </c>
      <c r="T3549" s="6" t="s">
        <v>13894</v>
      </c>
      <c r="U3549" s="8" t="s">
        <v>31</v>
      </c>
      <c r="V3549" s="6" t="s">
        <v>318</v>
      </c>
      <c r="W3549" s="6" t="s">
        <v>13207</v>
      </c>
      <c r="X3549" s="9" t="str">
        <f>HYPERLINK("https://my.pitchbook.com?p=456124-60P","View People Online")</f>
        <v>View People Online</v>
      </c>
    </row>
    <row r="3550">
      <c r="A3550" s="2" t="s">
        <v>22423</v>
      </c>
      <c r="B3550" s="2" t="s">
        <v>22424</v>
      </c>
      <c r="C3550" s="2" t="s">
        <v>22425</v>
      </c>
      <c r="D3550" s="2" t="s">
        <v>22426</v>
      </c>
      <c r="E3550" s="2" t="s">
        <v>13207</v>
      </c>
      <c r="F3550" s="2" t="s">
        <v>29</v>
      </c>
      <c r="G3550" s="2" t="s">
        <v>22427</v>
      </c>
      <c r="H3550" s="3" t="s">
        <v>31</v>
      </c>
      <c r="I3550" s="3">
        <v>1.0</v>
      </c>
      <c r="J3550" s="3">
        <v>1.0</v>
      </c>
      <c r="K3550" s="3" t="s">
        <v>31</v>
      </c>
      <c r="L3550" s="4" t="s">
        <v>13378</v>
      </c>
      <c r="M3550" s="2" t="s">
        <v>22428</v>
      </c>
      <c r="N3550" s="2" t="s">
        <v>429</v>
      </c>
      <c r="O3550" s="4" t="s">
        <v>430</v>
      </c>
      <c r="P3550" s="2" t="s">
        <v>13380</v>
      </c>
      <c r="Q3550" s="2" t="s">
        <v>31</v>
      </c>
      <c r="R3550" s="2" t="s">
        <v>31</v>
      </c>
      <c r="S3550" s="4" t="s">
        <v>13381</v>
      </c>
      <c r="T3550" s="2" t="s">
        <v>433</v>
      </c>
      <c r="U3550" s="4" t="s">
        <v>13382</v>
      </c>
      <c r="V3550" s="2" t="s">
        <v>29</v>
      </c>
      <c r="W3550" s="2" t="s">
        <v>13207</v>
      </c>
      <c r="X3550" s="5" t="str">
        <f>HYPERLINK("https://my.pitchbook.com?p=436203-46P","View People Online")</f>
        <v>View People Online</v>
      </c>
    </row>
    <row r="3551">
      <c r="A3551" s="6" t="s">
        <v>22429</v>
      </c>
      <c r="B3551" s="6" t="s">
        <v>22430</v>
      </c>
      <c r="C3551" s="6" t="s">
        <v>22425</v>
      </c>
      <c r="D3551" s="6" t="s">
        <v>22431</v>
      </c>
      <c r="E3551" s="6" t="s">
        <v>13207</v>
      </c>
      <c r="F3551" s="6" t="s">
        <v>3523</v>
      </c>
      <c r="G3551" s="6" t="s">
        <v>22432</v>
      </c>
      <c r="H3551" s="7" t="s">
        <v>31</v>
      </c>
      <c r="I3551" s="7">
        <v>1.0</v>
      </c>
      <c r="J3551" s="7">
        <v>1.0</v>
      </c>
      <c r="K3551" s="7" t="s">
        <v>31</v>
      </c>
      <c r="L3551" s="8" t="s">
        <v>13378</v>
      </c>
      <c r="M3551" s="6" t="s">
        <v>22433</v>
      </c>
      <c r="N3551" s="6" t="s">
        <v>429</v>
      </c>
      <c r="O3551" s="8" t="s">
        <v>430</v>
      </c>
      <c r="P3551" s="6" t="s">
        <v>13380</v>
      </c>
      <c r="Q3551" s="6" t="s">
        <v>31</v>
      </c>
      <c r="R3551" s="6" t="s">
        <v>31</v>
      </c>
      <c r="S3551" s="8" t="s">
        <v>13381</v>
      </c>
      <c r="T3551" s="6" t="s">
        <v>433</v>
      </c>
      <c r="U3551" s="8" t="s">
        <v>13382</v>
      </c>
      <c r="V3551" s="6" t="s">
        <v>3523</v>
      </c>
      <c r="W3551" s="6" t="s">
        <v>13207</v>
      </c>
      <c r="X3551" s="9" t="str">
        <f>HYPERLINK("https://my.pitchbook.com?p=435001-60P","View People Online")</f>
        <v>View People Online</v>
      </c>
    </row>
    <row r="3552">
      <c r="A3552" s="2" t="s">
        <v>22434</v>
      </c>
      <c r="B3552" s="2" t="s">
        <v>22435</v>
      </c>
      <c r="C3552" s="2" t="s">
        <v>22436</v>
      </c>
      <c r="D3552" s="2" t="s">
        <v>22437</v>
      </c>
      <c r="E3552" s="2" t="s">
        <v>13207</v>
      </c>
      <c r="F3552" s="2" t="s">
        <v>3523</v>
      </c>
      <c r="G3552" s="2" t="s">
        <v>22438</v>
      </c>
      <c r="H3552" s="3" t="s">
        <v>31</v>
      </c>
      <c r="I3552" s="3">
        <v>1.0</v>
      </c>
      <c r="J3552" s="3">
        <v>1.0</v>
      </c>
      <c r="K3552" s="3" t="s">
        <v>31</v>
      </c>
      <c r="L3552" s="4" t="s">
        <v>13724</v>
      </c>
      <c r="M3552" s="2" t="s">
        <v>22439</v>
      </c>
      <c r="N3552" s="2" t="s">
        <v>34</v>
      </c>
      <c r="O3552" s="4" t="s">
        <v>35</v>
      </c>
      <c r="P3552" s="2" t="s">
        <v>13726</v>
      </c>
      <c r="Q3552" s="2" t="s">
        <v>31</v>
      </c>
      <c r="R3552" s="2" t="s">
        <v>31</v>
      </c>
      <c r="S3552" s="4" t="s">
        <v>13727</v>
      </c>
      <c r="T3552" s="2" t="s">
        <v>38</v>
      </c>
      <c r="U3552" s="4" t="s">
        <v>13728</v>
      </c>
      <c r="V3552" s="2" t="s">
        <v>3523</v>
      </c>
      <c r="W3552" s="2" t="s">
        <v>13207</v>
      </c>
      <c r="X3552" s="5" t="str">
        <f>HYPERLINK("https://my.pitchbook.com?p=435586-15P","View People Online")</f>
        <v>View People Online</v>
      </c>
    </row>
    <row r="3553">
      <c r="A3553" s="14" t="s">
        <v>22440</v>
      </c>
      <c r="B3553" s="14" t="s">
        <v>22441</v>
      </c>
      <c r="C3553" s="14" t="s">
        <v>562</v>
      </c>
      <c r="D3553" s="14" t="s">
        <v>4338</v>
      </c>
      <c r="E3553" s="14" t="s">
        <v>13207</v>
      </c>
      <c r="F3553" s="14" t="s">
        <v>13218</v>
      </c>
      <c r="G3553" s="14" t="s">
        <v>22442</v>
      </c>
      <c r="H3553" s="15" t="s">
        <v>31</v>
      </c>
      <c r="I3553" s="15">
        <v>1.0</v>
      </c>
      <c r="J3553" s="15">
        <v>1.0</v>
      </c>
      <c r="K3553" s="15" t="s">
        <v>31</v>
      </c>
      <c r="L3553" s="16" t="s">
        <v>13916</v>
      </c>
      <c r="M3553" s="14" t="s">
        <v>22443</v>
      </c>
      <c r="N3553" s="14" t="s">
        <v>155</v>
      </c>
      <c r="O3553" s="16" t="s">
        <v>156</v>
      </c>
      <c r="P3553" s="14" t="s">
        <v>13918</v>
      </c>
      <c r="Q3553" s="14" t="s">
        <v>13919</v>
      </c>
      <c r="R3553" s="14" t="s">
        <v>64</v>
      </c>
      <c r="S3553" s="16" t="s">
        <v>1549</v>
      </c>
      <c r="T3553" s="14" t="s">
        <v>66</v>
      </c>
      <c r="U3553" s="16" t="s">
        <v>13920</v>
      </c>
      <c r="V3553" s="14" t="s">
        <v>13218</v>
      </c>
      <c r="W3553" s="14" t="s">
        <v>13207</v>
      </c>
      <c r="X3553" s="17" t="str">
        <f>HYPERLINK("https://my.pitchbook.com?p=435731-59P","View People Online")</f>
        <v>View People Online</v>
      </c>
    </row>
    <row r="3554">
      <c r="A3554" s="2" t="s">
        <v>22444</v>
      </c>
      <c r="B3554" s="2" t="s">
        <v>22445</v>
      </c>
      <c r="C3554" s="2" t="s">
        <v>562</v>
      </c>
      <c r="D3554" s="2" t="s">
        <v>22446</v>
      </c>
      <c r="E3554" s="2" t="s">
        <v>13207</v>
      </c>
      <c r="F3554" s="2" t="s">
        <v>3523</v>
      </c>
      <c r="G3554" s="2" t="s">
        <v>22447</v>
      </c>
      <c r="H3554" s="3" t="s">
        <v>31</v>
      </c>
      <c r="I3554" s="3">
        <v>1.0</v>
      </c>
      <c r="J3554" s="3">
        <v>1.0</v>
      </c>
      <c r="K3554" s="3" t="s">
        <v>31</v>
      </c>
      <c r="L3554" s="4" t="s">
        <v>13378</v>
      </c>
      <c r="M3554" s="2" t="s">
        <v>22448</v>
      </c>
      <c r="N3554" s="2" t="s">
        <v>429</v>
      </c>
      <c r="O3554" s="4" t="s">
        <v>430</v>
      </c>
      <c r="P3554" s="2" t="s">
        <v>13380</v>
      </c>
      <c r="Q3554" s="2" t="s">
        <v>31</v>
      </c>
      <c r="R3554" s="2" t="s">
        <v>31</v>
      </c>
      <c r="S3554" s="4" t="s">
        <v>13381</v>
      </c>
      <c r="T3554" s="2" t="s">
        <v>433</v>
      </c>
      <c r="U3554" s="4" t="s">
        <v>13382</v>
      </c>
      <c r="V3554" s="2" t="s">
        <v>3523</v>
      </c>
      <c r="W3554" s="2" t="s">
        <v>13207</v>
      </c>
      <c r="X3554" s="5" t="str">
        <f>HYPERLINK("https://my.pitchbook.com?p=455295-25P","View People Online")</f>
        <v>View People Online</v>
      </c>
    </row>
    <row r="3555">
      <c r="A3555" s="14" t="s">
        <v>22449</v>
      </c>
      <c r="B3555" s="14" t="s">
        <v>22450</v>
      </c>
      <c r="C3555" s="14" t="s">
        <v>562</v>
      </c>
      <c r="D3555" s="14" t="s">
        <v>22451</v>
      </c>
      <c r="E3555" s="14" t="s">
        <v>13207</v>
      </c>
      <c r="F3555" s="14" t="s">
        <v>3523</v>
      </c>
      <c r="G3555" s="14" t="s">
        <v>22452</v>
      </c>
      <c r="H3555" s="15" t="s">
        <v>31</v>
      </c>
      <c r="I3555" s="15">
        <v>1.0</v>
      </c>
      <c r="J3555" s="15">
        <v>1.0</v>
      </c>
      <c r="K3555" s="15" t="s">
        <v>31</v>
      </c>
      <c r="L3555" s="16" t="s">
        <v>13378</v>
      </c>
      <c r="M3555" s="14" t="s">
        <v>22453</v>
      </c>
      <c r="N3555" s="14" t="s">
        <v>429</v>
      </c>
      <c r="O3555" s="16" t="s">
        <v>430</v>
      </c>
      <c r="P3555" s="14" t="s">
        <v>13380</v>
      </c>
      <c r="Q3555" s="14" t="s">
        <v>31</v>
      </c>
      <c r="R3555" s="14" t="s">
        <v>31</v>
      </c>
      <c r="S3555" s="16" t="s">
        <v>13381</v>
      </c>
      <c r="T3555" s="14" t="s">
        <v>433</v>
      </c>
      <c r="U3555" s="16" t="s">
        <v>13382</v>
      </c>
      <c r="V3555" s="14" t="s">
        <v>3523</v>
      </c>
      <c r="W3555" s="14" t="s">
        <v>13207</v>
      </c>
      <c r="X3555" s="17" t="str">
        <f>HYPERLINK("https://my.pitchbook.com?p=455714-92P","View People Online")</f>
        <v>View People Online</v>
      </c>
    </row>
    <row r="3556">
      <c r="A3556" s="10" t="s">
        <v>22454</v>
      </c>
      <c r="B3556" s="10" t="s">
        <v>22455</v>
      </c>
      <c r="C3556" s="10" t="s">
        <v>562</v>
      </c>
      <c r="D3556" s="10" t="s">
        <v>22456</v>
      </c>
      <c r="E3556" s="10" t="s">
        <v>13207</v>
      </c>
      <c r="F3556" s="10" t="s">
        <v>3523</v>
      </c>
      <c r="G3556" s="10" t="s">
        <v>22457</v>
      </c>
      <c r="H3556" s="11" t="s">
        <v>31</v>
      </c>
      <c r="I3556" s="11">
        <v>1.0</v>
      </c>
      <c r="J3556" s="11">
        <v>1.0</v>
      </c>
      <c r="K3556" s="11" t="s">
        <v>31</v>
      </c>
      <c r="L3556" s="12" t="s">
        <v>13423</v>
      </c>
      <c r="M3556" s="10" t="s">
        <v>22458</v>
      </c>
      <c r="N3556" s="10" t="s">
        <v>243</v>
      </c>
      <c r="O3556" s="12" t="s">
        <v>244</v>
      </c>
      <c r="P3556" s="10" t="s">
        <v>13425</v>
      </c>
      <c r="Q3556" s="10" t="s">
        <v>31</v>
      </c>
      <c r="R3556" s="10" t="s">
        <v>247</v>
      </c>
      <c r="S3556" s="12" t="s">
        <v>13426</v>
      </c>
      <c r="T3556" s="10" t="s">
        <v>249</v>
      </c>
      <c r="U3556" s="12" t="s">
        <v>31</v>
      </c>
      <c r="V3556" s="10" t="s">
        <v>3523</v>
      </c>
      <c r="W3556" s="10" t="s">
        <v>13207</v>
      </c>
      <c r="X3556" s="13" t="str">
        <f>HYPERLINK("https://my.pitchbook.com?p=436152-79P","View People Online")</f>
        <v>View People Online</v>
      </c>
    </row>
    <row r="3557">
      <c r="A3557" s="14" t="s">
        <v>22459</v>
      </c>
      <c r="B3557" s="14" t="s">
        <v>22460</v>
      </c>
      <c r="C3557" s="14" t="s">
        <v>562</v>
      </c>
      <c r="D3557" s="14" t="s">
        <v>18808</v>
      </c>
      <c r="E3557" s="14" t="s">
        <v>13207</v>
      </c>
      <c r="F3557" s="14" t="s">
        <v>13218</v>
      </c>
      <c r="G3557" s="14" t="s">
        <v>22461</v>
      </c>
      <c r="H3557" s="15" t="s">
        <v>31</v>
      </c>
      <c r="I3557" s="15">
        <v>1.0</v>
      </c>
      <c r="J3557" s="15">
        <v>1.0</v>
      </c>
      <c r="K3557" s="15" t="s">
        <v>31</v>
      </c>
      <c r="L3557" s="16" t="s">
        <v>13345</v>
      </c>
      <c r="M3557" s="14" t="s">
        <v>22462</v>
      </c>
      <c r="N3557" s="14" t="s">
        <v>2764</v>
      </c>
      <c r="O3557" s="16" t="s">
        <v>2765</v>
      </c>
      <c r="P3557" s="14" t="s">
        <v>13347</v>
      </c>
      <c r="Q3557" s="14" t="s">
        <v>31</v>
      </c>
      <c r="R3557" s="14" t="s">
        <v>31</v>
      </c>
      <c r="S3557" s="16" t="s">
        <v>13348</v>
      </c>
      <c r="T3557" s="14" t="s">
        <v>2768</v>
      </c>
      <c r="U3557" s="16" t="s">
        <v>13349</v>
      </c>
      <c r="V3557" s="14" t="s">
        <v>13218</v>
      </c>
      <c r="W3557" s="14" t="s">
        <v>13207</v>
      </c>
      <c r="X3557" s="17" t="str">
        <f>HYPERLINK("https://my.pitchbook.com?p=435788-74P","View People Online")</f>
        <v>View People Online</v>
      </c>
    </row>
    <row r="3558">
      <c r="A3558" s="2" t="s">
        <v>22463</v>
      </c>
      <c r="B3558" s="2" t="s">
        <v>22464</v>
      </c>
      <c r="C3558" s="2" t="s">
        <v>562</v>
      </c>
      <c r="D3558" s="2" t="s">
        <v>12570</v>
      </c>
      <c r="E3558" s="2" t="s">
        <v>13207</v>
      </c>
      <c r="F3558" s="2" t="s">
        <v>13240</v>
      </c>
      <c r="G3558" s="2" t="s">
        <v>22465</v>
      </c>
      <c r="H3558" s="3" t="s">
        <v>31</v>
      </c>
      <c r="I3558" s="3">
        <v>1.0</v>
      </c>
      <c r="J3558" s="3">
        <v>1.0</v>
      </c>
      <c r="K3558" s="3" t="s">
        <v>31</v>
      </c>
      <c r="L3558" s="4" t="s">
        <v>13714</v>
      </c>
      <c r="M3558" s="2" t="s">
        <v>22466</v>
      </c>
      <c r="N3558" s="2" t="s">
        <v>13716</v>
      </c>
      <c r="O3558" s="4" t="s">
        <v>13717</v>
      </c>
      <c r="P3558" s="2" t="s">
        <v>13718</v>
      </c>
      <c r="Q3558" s="2" t="s">
        <v>31</v>
      </c>
      <c r="R3558" s="2" t="s">
        <v>31</v>
      </c>
      <c r="S3558" s="4" t="s">
        <v>13719</v>
      </c>
      <c r="T3558" s="2" t="s">
        <v>38</v>
      </c>
      <c r="U3558" s="4" t="s">
        <v>13720</v>
      </c>
      <c r="V3558" s="2" t="s">
        <v>13247</v>
      </c>
      <c r="W3558" s="2" t="s">
        <v>13207</v>
      </c>
      <c r="X3558" s="5" t="str">
        <f>HYPERLINK("https://my.pitchbook.com?p=455902-57P","View People Online")</f>
        <v>View People Online</v>
      </c>
    </row>
    <row r="3559">
      <c r="A3559" s="6" t="s">
        <v>22467</v>
      </c>
      <c r="B3559" s="6" t="s">
        <v>22464</v>
      </c>
      <c r="C3559" s="6" t="s">
        <v>562</v>
      </c>
      <c r="D3559" s="6" t="s">
        <v>12570</v>
      </c>
      <c r="E3559" s="6" t="s">
        <v>13207</v>
      </c>
      <c r="F3559" s="6" t="s">
        <v>29</v>
      </c>
      <c r="G3559" s="6" t="s">
        <v>22468</v>
      </c>
      <c r="H3559" s="7" t="s">
        <v>31</v>
      </c>
      <c r="I3559" s="7">
        <v>1.0</v>
      </c>
      <c r="J3559" s="7">
        <v>1.0</v>
      </c>
      <c r="K3559" s="7" t="s">
        <v>31</v>
      </c>
      <c r="L3559" s="8" t="s">
        <v>13734</v>
      </c>
      <c r="M3559" s="6" t="s">
        <v>22469</v>
      </c>
      <c r="N3559" s="6" t="s">
        <v>2754</v>
      </c>
      <c r="O3559" s="8" t="s">
        <v>2755</v>
      </c>
      <c r="P3559" s="6" t="s">
        <v>13736</v>
      </c>
      <c r="Q3559" s="6" t="s">
        <v>31</v>
      </c>
      <c r="R3559" s="6" t="s">
        <v>31</v>
      </c>
      <c r="S3559" s="8" t="s">
        <v>13737</v>
      </c>
      <c r="T3559" s="6" t="s">
        <v>38</v>
      </c>
      <c r="U3559" s="8" t="s">
        <v>13738</v>
      </c>
      <c r="V3559" s="6" t="s">
        <v>29</v>
      </c>
      <c r="W3559" s="6" t="s">
        <v>13207</v>
      </c>
      <c r="X3559" s="9" t="str">
        <f>HYPERLINK("https://my.pitchbook.com?p=456768-46P","View People Online")</f>
        <v>View People Online</v>
      </c>
    </row>
    <row r="3560">
      <c r="A3560" s="10" t="s">
        <v>22470</v>
      </c>
      <c r="B3560" s="10" t="s">
        <v>22471</v>
      </c>
      <c r="C3560" s="10" t="s">
        <v>562</v>
      </c>
      <c r="D3560" s="10" t="s">
        <v>22472</v>
      </c>
      <c r="E3560" s="10" t="s">
        <v>13207</v>
      </c>
      <c r="F3560" s="10" t="s">
        <v>3523</v>
      </c>
      <c r="G3560" s="10" t="s">
        <v>22473</v>
      </c>
      <c r="H3560" s="11" t="s">
        <v>31</v>
      </c>
      <c r="I3560" s="11">
        <v>1.0</v>
      </c>
      <c r="J3560" s="11">
        <v>1.0</v>
      </c>
      <c r="K3560" s="11" t="s">
        <v>31</v>
      </c>
      <c r="L3560" s="12" t="s">
        <v>13378</v>
      </c>
      <c r="M3560" s="10" t="s">
        <v>22474</v>
      </c>
      <c r="N3560" s="10" t="s">
        <v>429</v>
      </c>
      <c r="O3560" s="12" t="s">
        <v>430</v>
      </c>
      <c r="P3560" s="10" t="s">
        <v>13380</v>
      </c>
      <c r="Q3560" s="10" t="s">
        <v>31</v>
      </c>
      <c r="R3560" s="10" t="s">
        <v>31</v>
      </c>
      <c r="S3560" s="12" t="s">
        <v>13381</v>
      </c>
      <c r="T3560" s="10" t="s">
        <v>433</v>
      </c>
      <c r="U3560" s="12" t="s">
        <v>13382</v>
      </c>
      <c r="V3560" s="10" t="s">
        <v>3523</v>
      </c>
      <c r="W3560" s="10" t="s">
        <v>13207</v>
      </c>
      <c r="X3560" s="13" t="str">
        <f>HYPERLINK("https://my.pitchbook.com?p=436725-10P","View People Online")</f>
        <v>View People Online</v>
      </c>
    </row>
    <row r="3561">
      <c r="A3561" s="14" t="s">
        <v>22475</v>
      </c>
      <c r="B3561" s="14" t="s">
        <v>22476</v>
      </c>
      <c r="C3561" s="14" t="s">
        <v>562</v>
      </c>
      <c r="D3561" s="14" t="s">
        <v>22477</v>
      </c>
      <c r="E3561" s="14" t="s">
        <v>13207</v>
      </c>
      <c r="F3561" s="14" t="s">
        <v>13218</v>
      </c>
      <c r="G3561" s="14" t="s">
        <v>22478</v>
      </c>
      <c r="H3561" s="15" t="s">
        <v>31</v>
      </c>
      <c r="I3561" s="15">
        <v>1.0</v>
      </c>
      <c r="J3561" s="15">
        <v>1.0</v>
      </c>
      <c r="K3561" s="15" t="s">
        <v>31</v>
      </c>
      <c r="L3561" s="16" t="s">
        <v>13281</v>
      </c>
      <c r="M3561" s="14" t="s">
        <v>22479</v>
      </c>
      <c r="N3561" s="14" t="s">
        <v>1277</v>
      </c>
      <c r="O3561" s="16" t="s">
        <v>1278</v>
      </c>
      <c r="P3561" s="14" t="s">
        <v>13283</v>
      </c>
      <c r="Q3561" s="14" t="s">
        <v>13284</v>
      </c>
      <c r="R3561" s="14" t="s">
        <v>1281</v>
      </c>
      <c r="S3561" s="16" t="s">
        <v>1282</v>
      </c>
      <c r="T3561" s="14" t="s">
        <v>66</v>
      </c>
      <c r="U3561" s="16" t="s">
        <v>13285</v>
      </c>
      <c r="V3561" s="14" t="s">
        <v>13218</v>
      </c>
      <c r="W3561" s="14" t="s">
        <v>13207</v>
      </c>
      <c r="X3561" s="17" t="str">
        <f>HYPERLINK("https://my.pitchbook.com?p=435750-31P","View People Online")</f>
        <v>View People Online</v>
      </c>
    </row>
    <row r="3562">
      <c r="A3562" s="10" t="s">
        <v>22480</v>
      </c>
      <c r="B3562" s="10" t="s">
        <v>22481</v>
      </c>
      <c r="C3562" s="10" t="s">
        <v>562</v>
      </c>
      <c r="D3562" s="10" t="s">
        <v>22482</v>
      </c>
      <c r="E3562" s="10" t="s">
        <v>13207</v>
      </c>
      <c r="F3562" s="10" t="s">
        <v>13218</v>
      </c>
      <c r="G3562" s="10" t="s">
        <v>22483</v>
      </c>
      <c r="H3562" s="11" t="s">
        <v>31</v>
      </c>
      <c r="I3562" s="11">
        <v>1.0</v>
      </c>
      <c r="J3562" s="11">
        <v>1.0</v>
      </c>
      <c r="K3562" s="11" t="s">
        <v>31</v>
      </c>
      <c r="L3562" s="12" t="s">
        <v>13242</v>
      </c>
      <c r="M3562" s="10" t="s">
        <v>22484</v>
      </c>
      <c r="N3562" s="10" t="s">
        <v>9865</v>
      </c>
      <c r="O3562" s="12" t="s">
        <v>9866</v>
      </c>
      <c r="P3562" s="10" t="s">
        <v>13244</v>
      </c>
      <c r="Q3562" s="10" t="s">
        <v>31</v>
      </c>
      <c r="R3562" s="10" t="s">
        <v>31</v>
      </c>
      <c r="S3562" s="12" t="s">
        <v>13245</v>
      </c>
      <c r="T3562" s="10" t="s">
        <v>38</v>
      </c>
      <c r="U3562" s="12" t="s">
        <v>13246</v>
      </c>
      <c r="V3562" s="10" t="s">
        <v>13218</v>
      </c>
      <c r="W3562" s="10" t="s">
        <v>13207</v>
      </c>
      <c r="X3562" s="13" t="str">
        <f>HYPERLINK("https://my.pitchbook.com?p=435330-64P","View People Online")</f>
        <v>View People Online</v>
      </c>
    </row>
    <row r="3563">
      <c r="A3563" s="6" t="s">
        <v>22485</v>
      </c>
      <c r="B3563" s="6" t="s">
        <v>22486</v>
      </c>
      <c r="C3563" s="6" t="s">
        <v>562</v>
      </c>
      <c r="D3563" s="6" t="s">
        <v>22487</v>
      </c>
      <c r="E3563" s="6" t="s">
        <v>13207</v>
      </c>
      <c r="F3563" s="6" t="s">
        <v>13307</v>
      </c>
      <c r="G3563" s="6" t="s">
        <v>22488</v>
      </c>
      <c r="H3563" s="7" t="s">
        <v>31</v>
      </c>
      <c r="I3563" s="7">
        <v>1.0</v>
      </c>
      <c r="J3563" s="7">
        <v>1.0</v>
      </c>
      <c r="K3563" s="7" t="s">
        <v>31</v>
      </c>
      <c r="L3563" s="8" t="s">
        <v>13496</v>
      </c>
      <c r="M3563" s="6" t="s">
        <v>22489</v>
      </c>
      <c r="N3563" s="6" t="s">
        <v>75</v>
      </c>
      <c r="O3563" s="8" t="s">
        <v>76</v>
      </c>
      <c r="P3563" s="6" t="s">
        <v>13498</v>
      </c>
      <c r="Q3563" s="6" t="s">
        <v>31</v>
      </c>
      <c r="R3563" s="6" t="s">
        <v>75</v>
      </c>
      <c r="S3563" s="8" t="s">
        <v>195</v>
      </c>
      <c r="T3563" s="6" t="s">
        <v>66</v>
      </c>
      <c r="U3563" s="8" t="s">
        <v>13499</v>
      </c>
      <c r="V3563" s="6" t="s">
        <v>13317</v>
      </c>
      <c r="W3563" s="6" t="s">
        <v>13207</v>
      </c>
      <c r="X3563" s="9" t="str">
        <f>HYPERLINK("https://my.pitchbook.com?p=435618-64P","View People Online")</f>
        <v>View People Online</v>
      </c>
    </row>
    <row r="3564">
      <c r="A3564" s="10" t="s">
        <v>22490</v>
      </c>
      <c r="B3564" s="10" t="s">
        <v>22491</v>
      </c>
      <c r="C3564" s="10" t="s">
        <v>562</v>
      </c>
      <c r="D3564" s="10" t="s">
        <v>22492</v>
      </c>
      <c r="E3564" s="10" t="s">
        <v>13207</v>
      </c>
      <c r="F3564" s="10" t="s">
        <v>29</v>
      </c>
      <c r="G3564" s="10" t="s">
        <v>22493</v>
      </c>
      <c r="H3564" s="11" t="s">
        <v>31</v>
      </c>
      <c r="I3564" s="11">
        <v>1.0</v>
      </c>
      <c r="J3564" s="11">
        <v>1.0</v>
      </c>
      <c r="K3564" s="11" t="s">
        <v>31</v>
      </c>
      <c r="L3564" s="12" t="s">
        <v>13673</v>
      </c>
      <c r="M3564" s="10" t="s">
        <v>22494</v>
      </c>
      <c r="N3564" s="10" t="s">
        <v>6311</v>
      </c>
      <c r="O3564" s="12" t="s">
        <v>6312</v>
      </c>
      <c r="P3564" s="10" t="s">
        <v>13675</v>
      </c>
      <c r="Q3564" s="10" t="s">
        <v>31</v>
      </c>
      <c r="R3564" s="10" t="s">
        <v>31</v>
      </c>
      <c r="S3564" s="12" t="s">
        <v>13676</v>
      </c>
      <c r="T3564" s="10" t="s">
        <v>6315</v>
      </c>
      <c r="U3564" s="12" t="s">
        <v>13677</v>
      </c>
      <c r="V3564" s="10" t="s">
        <v>29</v>
      </c>
      <c r="W3564" s="10" t="s">
        <v>13207</v>
      </c>
      <c r="X3564" s="13" t="str">
        <f>HYPERLINK("https://my.pitchbook.com?p=456093-91P","View People Online")</f>
        <v>View People Online</v>
      </c>
    </row>
    <row r="3565">
      <c r="A3565" s="14" t="s">
        <v>22495</v>
      </c>
      <c r="B3565" s="14" t="s">
        <v>22496</v>
      </c>
      <c r="C3565" s="14" t="s">
        <v>562</v>
      </c>
      <c r="D3565" s="14" t="s">
        <v>20596</v>
      </c>
      <c r="E3565" s="14" t="s">
        <v>13207</v>
      </c>
      <c r="F3565" s="14" t="s">
        <v>3523</v>
      </c>
      <c r="G3565" s="14" t="s">
        <v>22497</v>
      </c>
      <c r="H3565" s="15" t="s">
        <v>31</v>
      </c>
      <c r="I3565" s="15">
        <v>1.0</v>
      </c>
      <c r="J3565" s="15">
        <v>1.0</v>
      </c>
      <c r="K3565" s="15" t="s">
        <v>31</v>
      </c>
      <c r="L3565" s="16" t="s">
        <v>13209</v>
      </c>
      <c r="M3565" s="14" t="s">
        <v>22498</v>
      </c>
      <c r="N3565" s="14" t="s">
        <v>4232</v>
      </c>
      <c r="O3565" s="16" t="s">
        <v>4233</v>
      </c>
      <c r="P3565" s="14" t="s">
        <v>13211</v>
      </c>
      <c r="Q3565" s="14" t="s">
        <v>31</v>
      </c>
      <c r="R3565" s="14" t="s">
        <v>4236</v>
      </c>
      <c r="S3565" s="16" t="s">
        <v>13212</v>
      </c>
      <c r="T3565" s="14" t="s">
        <v>66</v>
      </c>
      <c r="U3565" s="16" t="s">
        <v>13213</v>
      </c>
      <c r="V3565" s="14" t="s">
        <v>3523</v>
      </c>
      <c r="W3565" s="14" t="s">
        <v>13207</v>
      </c>
      <c r="X3565" s="17" t="str">
        <f>HYPERLINK("https://my.pitchbook.com?p=435496-42P","View People Online")</f>
        <v>View People Online</v>
      </c>
    </row>
    <row r="3566">
      <c r="A3566" s="2" t="s">
        <v>22499</v>
      </c>
      <c r="B3566" s="2" t="s">
        <v>22500</v>
      </c>
      <c r="C3566" s="2" t="s">
        <v>562</v>
      </c>
      <c r="D3566" s="2" t="s">
        <v>17903</v>
      </c>
      <c r="E3566" s="2" t="s">
        <v>13207</v>
      </c>
      <c r="F3566" s="2" t="s">
        <v>3523</v>
      </c>
      <c r="G3566" s="2" t="s">
        <v>22501</v>
      </c>
      <c r="H3566" s="3" t="s">
        <v>31</v>
      </c>
      <c r="I3566" s="3">
        <v>1.0</v>
      </c>
      <c r="J3566" s="3">
        <v>1.0</v>
      </c>
      <c r="K3566" s="3" t="s">
        <v>31</v>
      </c>
      <c r="L3566" s="4" t="s">
        <v>13378</v>
      </c>
      <c r="M3566" s="2" t="s">
        <v>22502</v>
      </c>
      <c r="N3566" s="2" t="s">
        <v>429</v>
      </c>
      <c r="O3566" s="4" t="s">
        <v>430</v>
      </c>
      <c r="P3566" s="2" t="s">
        <v>13380</v>
      </c>
      <c r="Q3566" s="2" t="s">
        <v>31</v>
      </c>
      <c r="R3566" s="2" t="s">
        <v>31</v>
      </c>
      <c r="S3566" s="4" t="s">
        <v>13381</v>
      </c>
      <c r="T3566" s="2" t="s">
        <v>433</v>
      </c>
      <c r="U3566" s="4" t="s">
        <v>13382</v>
      </c>
      <c r="V3566" s="2" t="s">
        <v>3523</v>
      </c>
      <c r="W3566" s="2" t="s">
        <v>13207</v>
      </c>
      <c r="X3566" s="5" t="str">
        <f>HYPERLINK("https://my.pitchbook.com?p=436001-41P","View People Online")</f>
        <v>View People Online</v>
      </c>
    </row>
    <row r="3567">
      <c r="A3567" s="6" t="s">
        <v>22503</v>
      </c>
      <c r="B3567" s="6" t="s">
        <v>22504</v>
      </c>
      <c r="C3567" s="6" t="s">
        <v>562</v>
      </c>
      <c r="D3567" s="6" t="s">
        <v>22505</v>
      </c>
      <c r="E3567" s="6" t="s">
        <v>13207</v>
      </c>
      <c r="F3567" s="6" t="s">
        <v>3523</v>
      </c>
      <c r="G3567" s="6" t="s">
        <v>22506</v>
      </c>
      <c r="H3567" s="7" t="s">
        <v>31</v>
      </c>
      <c r="I3567" s="7">
        <v>1.0</v>
      </c>
      <c r="J3567" s="7">
        <v>1.0</v>
      </c>
      <c r="K3567" s="7" t="s">
        <v>31</v>
      </c>
      <c r="L3567" s="8" t="s">
        <v>14142</v>
      </c>
      <c r="M3567" s="6" t="s">
        <v>22507</v>
      </c>
      <c r="N3567" s="6" t="s">
        <v>273</v>
      </c>
      <c r="O3567" s="8" t="s">
        <v>274</v>
      </c>
      <c r="P3567" s="6" t="s">
        <v>14144</v>
      </c>
      <c r="Q3567" s="6" t="s">
        <v>31</v>
      </c>
      <c r="R3567" s="6" t="s">
        <v>31</v>
      </c>
      <c r="S3567" s="8" t="s">
        <v>14145</v>
      </c>
      <c r="T3567" s="6" t="s">
        <v>276</v>
      </c>
      <c r="U3567" s="8" t="s">
        <v>14146</v>
      </c>
      <c r="V3567" s="6" t="s">
        <v>3523</v>
      </c>
      <c r="W3567" s="6" t="s">
        <v>13207</v>
      </c>
      <c r="X3567" s="9" t="str">
        <f>HYPERLINK("https://my.pitchbook.com?p=436197-07P","View People Online")</f>
        <v>View People Online</v>
      </c>
    </row>
    <row r="3568">
      <c r="A3568" s="10" t="s">
        <v>22508</v>
      </c>
      <c r="B3568" s="10" t="s">
        <v>22509</v>
      </c>
      <c r="C3568" s="10" t="s">
        <v>9967</v>
      </c>
      <c r="D3568" s="10" t="s">
        <v>22510</v>
      </c>
      <c r="E3568" s="10" t="s">
        <v>13207</v>
      </c>
      <c r="F3568" s="10" t="s">
        <v>3523</v>
      </c>
      <c r="G3568" s="10" t="s">
        <v>22511</v>
      </c>
      <c r="H3568" s="11" t="s">
        <v>31</v>
      </c>
      <c r="I3568" s="11">
        <v>1.0</v>
      </c>
      <c r="J3568" s="11">
        <v>1.0</v>
      </c>
      <c r="K3568" s="11" t="s">
        <v>31</v>
      </c>
      <c r="L3568" s="12" t="s">
        <v>15012</v>
      </c>
      <c r="M3568" s="10" t="s">
        <v>22512</v>
      </c>
      <c r="N3568" s="10" t="s">
        <v>15014</v>
      </c>
      <c r="O3568" s="12" t="s">
        <v>15015</v>
      </c>
      <c r="P3568" s="10" t="s">
        <v>15016</v>
      </c>
      <c r="Q3568" s="10" t="s">
        <v>31</v>
      </c>
      <c r="R3568" s="10" t="s">
        <v>31</v>
      </c>
      <c r="S3568" s="12" t="s">
        <v>15017</v>
      </c>
      <c r="T3568" s="10" t="s">
        <v>15018</v>
      </c>
      <c r="U3568" s="12" t="s">
        <v>15019</v>
      </c>
      <c r="V3568" s="10" t="s">
        <v>3523</v>
      </c>
      <c r="W3568" s="10" t="s">
        <v>13207</v>
      </c>
      <c r="X3568" s="13" t="str">
        <f>HYPERLINK("https://my.pitchbook.com?p=435213-28P","View People Online")</f>
        <v>View People Online</v>
      </c>
    </row>
    <row r="3569">
      <c r="A3569" s="6" t="s">
        <v>22513</v>
      </c>
      <c r="B3569" s="6" t="s">
        <v>22514</v>
      </c>
      <c r="C3569" s="6" t="s">
        <v>22515</v>
      </c>
      <c r="D3569" s="6" t="s">
        <v>17840</v>
      </c>
      <c r="E3569" s="6" t="s">
        <v>13207</v>
      </c>
      <c r="F3569" s="6" t="s">
        <v>29</v>
      </c>
      <c r="G3569" s="6" t="s">
        <v>22516</v>
      </c>
      <c r="H3569" s="7" t="s">
        <v>31</v>
      </c>
      <c r="I3569" s="7">
        <v>1.0</v>
      </c>
      <c r="J3569" s="7">
        <v>1.0</v>
      </c>
      <c r="K3569" s="7" t="s">
        <v>31</v>
      </c>
      <c r="L3569" s="8" t="s">
        <v>13274</v>
      </c>
      <c r="M3569" s="6" t="s">
        <v>22517</v>
      </c>
      <c r="N3569" s="6" t="s">
        <v>1181</v>
      </c>
      <c r="O3569" s="8" t="s">
        <v>1182</v>
      </c>
      <c r="P3569" s="6" t="s">
        <v>13276</v>
      </c>
      <c r="Q3569" s="6" t="s">
        <v>31</v>
      </c>
      <c r="R3569" s="6" t="s">
        <v>1185</v>
      </c>
      <c r="S3569" s="8" t="s">
        <v>4438</v>
      </c>
      <c r="T3569" s="6" t="s">
        <v>66</v>
      </c>
      <c r="U3569" s="8" t="s">
        <v>13277</v>
      </c>
      <c r="V3569" s="6" t="s">
        <v>29</v>
      </c>
      <c r="W3569" s="6" t="s">
        <v>13207</v>
      </c>
      <c r="X3569" s="9" t="str">
        <f>HYPERLINK("https://my.pitchbook.com?p=456545-89P","View People Online")</f>
        <v>View People Online</v>
      </c>
    </row>
    <row r="3570">
      <c r="A3570" s="10" t="s">
        <v>22518</v>
      </c>
      <c r="B3570" s="10" t="s">
        <v>22519</v>
      </c>
      <c r="C3570" s="10" t="s">
        <v>6542</v>
      </c>
      <c r="D3570" s="10" t="s">
        <v>22520</v>
      </c>
      <c r="E3570" s="10" t="s">
        <v>13207</v>
      </c>
      <c r="F3570" s="10" t="s">
        <v>3523</v>
      </c>
      <c r="G3570" s="10" t="s">
        <v>22521</v>
      </c>
      <c r="H3570" s="11" t="s">
        <v>31</v>
      </c>
      <c r="I3570" s="11">
        <v>1.0</v>
      </c>
      <c r="J3570" s="11">
        <v>1.0</v>
      </c>
      <c r="K3570" s="11" t="s">
        <v>31</v>
      </c>
      <c r="L3570" s="12" t="s">
        <v>13252</v>
      </c>
      <c r="M3570" s="10" t="s">
        <v>22522</v>
      </c>
      <c r="N3570" s="10" t="s">
        <v>13254</v>
      </c>
      <c r="O3570" s="12" t="s">
        <v>13255</v>
      </c>
      <c r="P3570" s="10" t="s">
        <v>13256</v>
      </c>
      <c r="Q3570" s="10" t="s">
        <v>31</v>
      </c>
      <c r="R3570" s="10" t="s">
        <v>31</v>
      </c>
      <c r="S3570" s="12" t="s">
        <v>13257</v>
      </c>
      <c r="T3570" s="10" t="s">
        <v>13258</v>
      </c>
      <c r="U3570" s="12" t="s">
        <v>13259</v>
      </c>
      <c r="V3570" s="10" t="s">
        <v>3523</v>
      </c>
      <c r="W3570" s="10" t="s">
        <v>13207</v>
      </c>
      <c r="X3570" s="13" t="str">
        <f>HYPERLINK("https://my.pitchbook.com?p=435214-27P","View People Online")</f>
        <v>View People Online</v>
      </c>
    </row>
    <row r="3571">
      <c r="A3571" s="6" t="s">
        <v>22523</v>
      </c>
      <c r="B3571" s="6" t="s">
        <v>22524</v>
      </c>
      <c r="C3571" s="6" t="s">
        <v>6205</v>
      </c>
      <c r="D3571" s="6" t="s">
        <v>22525</v>
      </c>
      <c r="E3571" s="6" t="s">
        <v>13207</v>
      </c>
      <c r="F3571" s="6" t="s">
        <v>3523</v>
      </c>
      <c r="G3571" s="6" t="s">
        <v>22526</v>
      </c>
      <c r="H3571" s="7" t="s">
        <v>31</v>
      </c>
      <c r="I3571" s="7">
        <v>1.0</v>
      </c>
      <c r="J3571" s="7">
        <v>1.0</v>
      </c>
      <c r="K3571" s="7" t="s">
        <v>31</v>
      </c>
      <c r="L3571" s="8" t="s">
        <v>14201</v>
      </c>
      <c r="M3571" s="6" t="s">
        <v>22527</v>
      </c>
      <c r="N3571" s="6" t="s">
        <v>14203</v>
      </c>
      <c r="O3571" s="8" t="s">
        <v>14204</v>
      </c>
      <c r="P3571" s="6" t="s">
        <v>14205</v>
      </c>
      <c r="Q3571" s="6" t="s">
        <v>14206</v>
      </c>
      <c r="R3571" s="6" t="s">
        <v>1420</v>
      </c>
      <c r="S3571" s="8" t="s">
        <v>14207</v>
      </c>
      <c r="T3571" s="6" t="s">
        <v>66</v>
      </c>
      <c r="U3571" s="8" t="s">
        <v>14208</v>
      </c>
      <c r="V3571" s="6" t="s">
        <v>3523</v>
      </c>
      <c r="W3571" s="6" t="s">
        <v>13207</v>
      </c>
      <c r="X3571" s="9" t="str">
        <f>HYPERLINK("https://my.pitchbook.com?p=434832-76P","View People Online")</f>
        <v>View People Online</v>
      </c>
    </row>
    <row r="3572">
      <c r="A3572" s="10" t="s">
        <v>22528</v>
      </c>
      <c r="B3572" s="10" t="s">
        <v>22529</v>
      </c>
      <c r="C3572" s="10" t="s">
        <v>7109</v>
      </c>
      <c r="D3572" s="10" t="s">
        <v>22530</v>
      </c>
      <c r="E3572" s="10" t="s">
        <v>13207</v>
      </c>
      <c r="F3572" s="10" t="s">
        <v>3523</v>
      </c>
      <c r="G3572" s="10" t="s">
        <v>22531</v>
      </c>
      <c r="H3572" s="11" t="s">
        <v>31</v>
      </c>
      <c r="I3572" s="11">
        <v>1.0</v>
      </c>
      <c r="J3572" s="11">
        <v>1.0</v>
      </c>
      <c r="K3572" s="11" t="s">
        <v>31</v>
      </c>
      <c r="L3572" s="12" t="s">
        <v>14142</v>
      </c>
      <c r="M3572" s="10" t="s">
        <v>22532</v>
      </c>
      <c r="N3572" s="10" t="s">
        <v>273</v>
      </c>
      <c r="O3572" s="12" t="s">
        <v>274</v>
      </c>
      <c r="P3572" s="10" t="s">
        <v>14144</v>
      </c>
      <c r="Q3572" s="10" t="s">
        <v>31</v>
      </c>
      <c r="R3572" s="10" t="s">
        <v>31</v>
      </c>
      <c r="S3572" s="12" t="s">
        <v>14145</v>
      </c>
      <c r="T3572" s="10" t="s">
        <v>276</v>
      </c>
      <c r="U3572" s="12" t="s">
        <v>14146</v>
      </c>
      <c r="V3572" s="10" t="s">
        <v>3523</v>
      </c>
      <c r="W3572" s="10" t="s">
        <v>13207</v>
      </c>
      <c r="X3572" s="13" t="str">
        <f>HYPERLINK("https://my.pitchbook.com?p=455439-43P","View People Online")</f>
        <v>View People Online</v>
      </c>
    </row>
    <row r="3573">
      <c r="A3573" s="14" t="s">
        <v>22533</v>
      </c>
      <c r="B3573" s="14" t="s">
        <v>22534</v>
      </c>
      <c r="C3573" s="14" t="s">
        <v>22535</v>
      </c>
      <c r="D3573" s="14" t="s">
        <v>22536</v>
      </c>
      <c r="E3573" s="14" t="s">
        <v>13207</v>
      </c>
      <c r="F3573" s="14" t="s">
        <v>13240</v>
      </c>
      <c r="G3573" s="14" t="s">
        <v>22537</v>
      </c>
      <c r="H3573" s="15" t="s">
        <v>31</v>
      </c>
      <c r="I3573" s="15">
        <v>1.0</v>
      </c>
      <c r="J3573" s="15">
        <v>1.0</v>
      </c>
      <c r="K3573" s="15" t="s">
        <v>31</v>
      </c>
      <c r="L3573" s="16" t="s">
        <v>13242</v>
      </c>
      <c r="M3573" s="14" t="s">
        <v>22538</v>
      </c>
      <c r="N3573" s="14" t="s">
        <v>9865</v>
      </c>
      <c r="O3573" s="16" t="s">
        <v>9866</v>
      </c>
      <c r="P3573" s="14" t="s">
        <v>13244</v>
      </c>
      <c r="Q3573" s="14" t="s">
        <v>31</v>
      </c>
      <c r="R3573" s="14" t="s">
        <v>31</v>
      </c>
      <c r="S3573" s="16" t="s">
        <v>13245</v>
      </c>
      <c r="T3573" s="14" t="s">
        <v>38</v>
      </c>
      <c r="U3573" s="16" t="s">
        <v>13246</v>
      </c>
      <c r="V3573" s="14" t="s">
        <v>13247</v>
      </c>
      <c r="W3573" s="14" t="s">
        <v>13207</v>
      </c>
      <c r="X3573" s="17" t="str">
        <f>HYPERLINK("https://my.pitchbook.com?p=434963-80P","View People Online")</f>
        <v>View People Online</v>
      </c>
    </row>
    <row r="3574">
      <c r="A3574" s="10" t="s">
        <v>22539</v>
      </c>
      <c r="B3574" s="10" t="s">
        <v>22540</v>
      </c>
      <c r="C3574" s="10" t="s">
        <v>2483</v>
      </c>
      <c r="D3574" s="10" t="s">
        <v>7545</v>
      </c>
      <c r="E3574" s="10" t="s">
        <v>13207</v>
      </c>
      <c r="F3574" s="10" t="s">
        <v>13240</v>
      </c>
      <c r="G3574" s="10" t="s">
        <v>22541</v>
      </c>
      <c r="H3574" s="11" t="s">
        <v>31</v>
      </c>
      <c r="I3574" s="11">
        <v>1.0</v>
      </c>
      <c r="J3574" s="11">
        <v>1.0</v>
      </c>
      <c r="K3574" s="11" t="s">
        <v>31</v>
      </c>
      <c r="L3574" s="12" t="s">
        <v>13423</v>
      </c>
      <c r="M3574" s="10" t="s">
        <v>22542</v>
      </c>
      <c r="N3574" s="10" t="s">
        <v>243</v>
      </c>
      <c r="O3574" s="12" t="s">
        <v>244</v>
      </c>
      <c r="P3574" s="10" t="s">
        <v>13425</v>
      </c>
      <c r="Q3574" s="10" t="s">
        <v>31</v>
      </c>
      <c r="R3574" s="10" t="s">
        <v>247</v>
      </c>
      <c r="S3574" s="12" t="s">
        <v>13426</v>
      </c>
      <c r="T3574" s="10" t="s">
        <v>249</v>
      </c>
      <c r="U3574" s="12" t="s">
        <v>31</v>
      </c>
      <c r="V3574" s="10" t="s">
        <v>13247</v>
      </c>
      <c r="W3574" s="10" t="s">
        <v>13207</v>
      </c>
      <c r="X3574" s="13" t="str">
        <f>HYPERLINK("https://my.pitchbook.com?p=456497-29P","View People Online")</f>
        <v>View People Online</v>
      </c>
    </row>
    <row r="3575">
      <c r="A3575" s="6" t="s">
        <v>22543</v>
      </c>
      <c r="B3575" s="6" t="s">
        <v>22544</v>
      </c>
      <c r="C3575" s="6" t="s">
        <v>2483</v>
      </c>
      <c r="D3575" s="6" t="s">
        <v>22545</v>
      </c>
      <c r="E3575" s="6" t="s">
        <v>13207</v>
      </c>
      <c r="F3575" s="6" t="s">
        <v>13307</v>
      </c>
      <c r="G3575" s="6" t="s">
        <v>22546</v>
      </c>
      <c r="H3575" s="7" t="s">
        <v>31</v>
      </c>
      <c r="I3575" s="7">
        <v>1.0</v>
      </c>
      <c r="J3575" s="7">
        <v>1.0</v>
      </c>
      <c r="K3575" s="7" t="s">
        <v>31</v>
      </c>
      <c r="L3575" s="8" t="s">
        <v>13423</v>
      </c>
      <c r="M3575" s="6" t="s">
        <v>22547</v>
      </c>
      <c r="N3575" s="6" t="s">
        <v>243</v>
      </c>
      <c r="O3575" s="8" t="s">
        <v>244</v>
      </c>
      <c r="P3575" s="6" t="s">
        <v>13425</v>
      </c>
      <c r="Q3575" s="6" t="s">
        <v>31</v>
      </c>
      <c r="R3575" s="6" t="s">
        <v>247</v>
      </c>
      <c r="S3575" s="8" t="s">
        <v>13426</v>
      </c>
      <c r="T3575" s="6" t="s">
        <v>249</v>
      </c>
      <c r="U3575" s="8" t="s">
        <v>31</v>
      </c>
      <c r="V3575" s="6" t="s">
        <v>22548</v>
      </c>
      <c r="W3575" s="6" t="s">
        <v>13207</v>
      </c>
      <c r="X3575" s="9" t="str">
        <f>HYPERLINK("https://my.pitchbook.com?p=435020-50P","View People Online")</f>
        <v>View People Online</v>
      </c>
    </row>
    <row r="3576">
      <c r="A3576" s="2" t="s">
        <v>22549</v>
      </c>
      <c r="B3576" s="2" t="s">
        <v>22550</v>
      </c>
      <c r="C3576" s="2" t="s">
        <v>2483</v>
      </c>
      <c r="D3576" s="2" t="s">
        <v>22551</v>
      </c>
      <c r="E3576" s="2" t="s">
        <v>13207</v>
      </c>
      <c r="F3576" s="2" t="s">
        <v>1283</v>
      </c>
      <c r="G3576" s="2" t="s">
        <v>22552</v>
      </c>
      <c r="H3576" s="3" t="s">
        <v>31</v>
      </c>
      <c r="I3576" s="3">
        <v>1.0</v>
      </c>
      <c r="J3576" s="3">
        <v>1.0</v>
      </c>
      <c r="K3576" s="3" t="s">
        <v>31</v>
      </c>
      <c r="L3576" s="4" t="s">
        <v>13724</v>
      </c>
      <c r="M3576" s="2" t="s">
        <v>22553</v>
      </c>
      <c r="N3576" s="2" t="s">
        <v>34</v>
      </c>
      <c r="O3576" s="4" t="s">
        <v>35</v>
      </c>
      <c r="P3576" s="2" t="s">
        <v>13726</v>
      </c>
      <c r="Q3576" s="2" t="s">
        <v>31</v>
      </c>
      <c r="R3576" s="2" t="s">
        <v>31</v>
      </c>
      <c r="S3576" s="4" t="s">
        <v>13727</v>
      </c>
      <c r="T3576" s="2" t="s">
        <v>38</v>
      </c>
      <c r="U3576" s="4" t="s">
        <v>13728</v>
      </c>
      <c r="V3576" s="2" t="s">
        <v>22554</v>
      </c>
      <c r="W3576" s="2" t="s">
        <v>13207</v>
      </c>
      <c r="X3576" s="5" t="str">
        <f>HYPERLINK("https://my.pitchbook.com?p=455705-83P","View People Online")</f>
        <v>View People Online</v>
      </c>
    </row>
    <row r="3577">
      <c r="A3577" s="6" t="s">
        <v>22555</v>
      </c>
      <c r="B3577" s="6" t="s">
        <v>22556</v>
      </c>
      <c r="C3577" s="6" t="s">
        <v>2483</v>
      </c>
      <c r="D3577" s="6" t="s">
        <v>22557</v>
      </c>
      <c r="E3577" s="6" t="s">
        <v>13207</v>
      </c>
      <c r="F3577" s="6" t="s">
        <v>1283</v>
      </c>
      <c r="G3577" s="6" t="s">
        <v>22558</v>
      </c>
      <c r="H3577" s="7" t="s">
        <v>31</v>
      </c>
      <c r="I3577" s="7">
        <v>1.0</v>
      </c>
      <c r="J3577" s="7">
        <v>1.0</v>
      </c>
      <c r="K3577" s="7" t="s">
        <v>31</v>
      </c>
      <c r="L3577" s="8" t="s">
        <v>13724</v>
      </c>
      <c r="M3577" s="6" t="s">
        <v>22559</v>
      </c>
      <c r="N3577" s="6" t="s">
        <v>34</v>
      </c>
      <c r="O3577" s="8" t="s">
        <v>35</v>
      </c>
      <c r="P3577" s="6" t="s">
        <v>13726</v>
      </c>
      <c r="Q3577" s="6" t="s">
        <v>31</v>
      </c>
      <c r="R3577" s="6" t="s">
        <v>31</v>
      </c>
      <c r="S3577" s="8" t="s">
        <v>13727</v>
      </c>
      <c r="T3577" s="6" t="s">
        <v>38</v>
      </c>
      <c r="U3577" s="8" t="s">
        <v>13728</v>
      </c>
      <c r="V3577" s="6" t="s">
        <v>1283</v>
      </c>
      <c r="W3577" s="6" t="s">
        <v>13207</v>
      </c>
      <c r="X3577" s="9" t="str">
        <f>HYPERLINK("https://my.pitchbook.com?p=435164-32P","View People Online")</f>
        <v>View People Online</v>
      </c>
    </row>
    <row r="3578">
      <c r="A3578" s="2" t="s">
        <v>22560</v>
      </c>
      <c r="B3578" s="2" t="s">
        <v>22561</v>
      </c>
      <c r="C3578" s="2" t="s">
        <v>2483</v>
      </c>
      <c r="D3578" s="2" t="s">
        <v>19648</v>
      </c>
      <c r="E3578" s="2" t="s">
        <v>13207</v>
      </c>
      <c r="F3578" s="2" t="s">
        <v>3523</v>
      </c>
      <c r="G3578" s="2" t="s">
        <v>22562</v>
      </c>
      <c r="H3578" s="3" t="s">
        <v>31</v>
      </c>
      <c r="I3578" s="3">
        <v>1.0</v>
      </c>
      <c r="J3578" s="3">
        <v>1.0</v>
      </c>
      <c r="K3578" s="3" t="s">
        <v>31</v>
      </c>
      <c r="L3578" s="4" t="s">
        <v>13423</v>
      </c>
      <c r="M3578" s="2" t="s">
        <v>22563</v>
      </c>
      <c r="N3578" s="2" t="s">
        <v>243</v>
      </c>
      <c r="O3578" s="4" t="s">
        <v>244</v>
      </c>
      <c r="P3578" s="2" t="s">
        <v>13425</v>
      </c>
      <c r="Q3578" s="2" t="s">
        <v>31</v>
      </c>
      <c r="R3578" s="2" t="s">
        <v>247</v>
      </c>
      <c r="S3578" s="4" t="s">
        <v>13426</v>
      </c>
      <c r="T3578" s="2" t="s">
        <v>249</v>
      </c>
      <c r="U3578" s="4" t="s">
        <v>31</v>
      </c>
      <c r="V3578" s="2" t="s">
        <v>3523</v>
      </c>
      <c r="W3578" s="2" t="s">
        <v>13207</v>
      </c>
      <c r="X3578" s="5" t="str">
        <f>HYPERLINK("https://my.pitchbook.com?p=436154-41P","View People Online")</f>
        <v>View People Online</v>
      </c>
    </row>
    <row r="3579">
      <c r="A3579" s="14" t="s">
        <v>22564</v>
      </c>
      <c r="B3579" s="14" t="s">
        <v>22565</v>
      </c>
      <c r="C3579" s="14" t="s">
        <v>2483</v>
      </c>
      <c r="D3579" s="14" t="s">
        <v>22566</v>
      </c>
      <c r="E3579" s="14" t="s">
        <v>13207</v>
      </c>
      <c r="F3579" s="14" t="s">
        <v>13240</v>
      </c>
      <c r="G3579" s="14" t="s">
        <v>22567</v>
      </c>
      <c r="H3579" s="15" t="s">
        <v>31</v>
      </c>
      <c r="I3579" s="15">
        <v>1.0</v>
      </c>
      <c r="J3579" s="15">
        <v>1.0</v>
      </c>
      <c r="K3579" s="15" t="s">
        <v>31</v>
      </c>
      <c r="L3579" s="16" t="s">
        <v>13274</v>
      </c>
      <c r="M3579" s="14" t="s">
        <v>22568</v>
      </c>
      <c r="N3579" s="14" t="s">
        <v>1181</v>
      </c>
      <c r="O3579" s="16" t="s">
        <v>1182</v>
      </c>
      <c r="P3579" s="14" t="s">
        <v>13276</v>
      </c>
      <c r="Q3579" s="14" t="s">
        <v>31</v>
      </c>
      <c r="R3579" s="14" t="s">
        <v>1185</v>
      </c>
      <c r="S3579" s="16" t="s">
        <v>4438</v>
      </c>
      <c r="T3579" s="14" t="s">
        <v>66</v>
      </c>
      <c r="U3579" s="16" t="s">
        <v>13277</v>
      </c>
      <c r="V3579" s="14" t="s">
        <v>13247</v>
      </c>
      <c r="W3579" s="14" t="s">
        <v>13207</v>
      </c>
      <c r="X3579" s="17" t="str">
        <f>HYPERLINK("https://my.pitchbook.com?p=257462-20P","View People Online")</f>
        <v>View People Online</v>
      </c>
    </row>
    <row r="3580">
      <c r="A3580" s="2" t="s">
        <v>22569</v>
      </c>
      <c r="B3580" s="2" t="s">
        <v>22570</v>
      </c>
      <c r="C3580" s="2" t="s">
        <v>2483</v>
      </c>
      <c r="D3580" s="2" t="s">
        <v>8140</v>
      </c>
      <c r="E3580" s="2" t="s">
        <v>13207</v>
      </c>
      <c r="F3580" s="2" t="s">
        <v>13218</v>
      </c>
      <c r="G3580" s="2" t="s">
        <v>22571</v>
      </c>
      <c r="H3580" s="3" t="s">
        <v>31</v>
      </c>
      <c r="I3580" s="3">
        <v>1.0</v>
      </c>
      <c r="J3580" s="3">
        <v>1.0</v>
      </c>
      <c r="K3580" s="3" t="s">
        <v>31</v>
      </c>
      <c r="L3580" s="4" t="s">
        <v>13496</v>
      </c>
      <c r="M3580" s="2" t="s">
        <v>22572</v>
      </c>
      <c r="N3580" s="2" t="s">
        <v>75</v>
      </c>
      <c r="O3580" s="4" t="s">
        <v>76</v>
      </c>
      <c r="P3580" s="2" t="s">
        <v>13498</v>
      </c>
      <c r="Q3580" s="2" t="s">
        <v>31</v>
      </c>
      <c r="R3580" s="2" t="s">
        <v>75</v>
      </c>
      <c r="S3580" s="4" t="s">
        <v>195</v>
      </c>
      <c r="T3580" s="2" t="s">
        <v>66</v>
      </c>
      <c r="U3580" s="4" t="s">
        <v>13499</v>
      </c>
      <c r="V3580" s="2" t="s">
        <v>13218</v>
      </c>
      <c r="W3580" s="2" t="s">
        <v>13207</v>
      </c>
      <c r="X3580" s="5" t="str">
        <f>HYPERLINK("https://my.pitchbook.com?p=456524-83P","View People Online")</f>
        <v>View People Online</v>
      </c>
    </row>
    <row r="3581">
      <c r="A3581" s="14" t="s">
        <v>22573</v>
      </c>
      <c r="B3581" s="14" t="s">
        <v>22574</v>
      </c>
      <c r="C3581" s="14" t="s">
        <v>22575</v>
      </c>
      <c r="D3581" s="14" t="s">
        <v>22576</v>
      </c>
      <c r="E3581" s="14" t="s">
        <v>13207</v>
      </c>
      <c r="F3581" s="14" t="s">
        <v>3523</v>
      </c>
      <c r="G3581" s="14" t="s">
        <v>22577</v>
      </c>
      <c r="H3581" s="15" t="s">
        <v>31</v>
      </c>
      <c r="I3581" s="15">
        <v>1.0</v>
      </c>
      <c r="J3581" s="15">
        <v>1.0</v>
      </c>
      <c r="K3581" s="15" t="s">
        <v>31</v>
      </c>
      <c r="L3581" s="16" t="s">
        <v>13242</v>
      </c>
      <c r="M3581" s="14" t="s">
        <v>22578</v>
      </c>
      <c r="N3581" s="14" t="s">
        <v>9865</v>
      </c>
      <c r="O3581" s="16" t="s">
        <v>9866</v>
      </c>
      <c r="P3581" s="14" t="s">
        <v>13244</v>
      </c>
      <c r="Q3581" s="14" t="s">
        <v>31</v>
      </c>
      <c r="R3581" s="14" t="s">
        <v>31</v>
      </c>
      <c r="S3581" s="16" t="s">
        <v>13245</v>
      </c>
      <c r="T3581" s="14" t="s">
        <v>38</v>
      </c>
      <c r="U3581" s="16" t="s">
        <v>13246</v>
      </c>
      <c r="V3581" s="14" t="s">
        <v>3523</v>
      </c>
      <c r="W3581" s="14" t="s">
        <v>13207</v>
      </c>
      <c r="X3581" s="17" t="str">
        <f>HYPERLINK("https://my.pitchbook.com?p=455433-76P","View People Online")</f>
        <v>View People Online</v>
      </c>
    </row>
    <row r="3582">
      <c r="A3582" s="10" t="s">
        <v>22579</v>
      </c>
      <c r="B3582" s="10" t="s">
        <v>22580</v>
      </c>
      <c r="C3582" s="10" t="s">
        <v>12490</v>
      </c>
      <c r="D3582" s="10" t="s">
        <v>22581</v>
      </c>
      <c r="E3582" s="10" t="s">
        <v>13207</v>
      </c>
      <c r="F3582" s="10" t="s">
        <v>3523</v>
      </c>
      <c r="G3582" s="10" t="s">
        <v>22582</v>
      </c>
      <c r="H3582" s="11" t="s">
        <v>31</v>
      </c>
      <c r="I3582" s="11">
        <v>1.0</v>
      </c>
      <c r="J3582" s="11">
        <v>1.0</v>
      </c>
      <c r="K3582" s="11" t="s">
        <v>31</v>
      </c>
      <c r="L3582" s="12" t="s">
        <v>13242</v>
      </c>
      <c r="M3582" s="10" t="s">
        <v>22583</v>
      </c>
      <c r="N3582" s="10" t="s">
        <v>9865</v>
      </c>
      <c r="O3582" s="12" t="s">
        <v>9866</v>
      </c>
      <c r="P3582" s="10" t="s">
        <v>13244</v>
      </c>
      <c r="Q3582" s="10" t="s">
        <v>31</v>
      </c>
      <c r="R3582" s="10" t="s">
        <v>31</v>
      </c>
      <c r="S3582" s="12" t="s">
        <v>13245</v>
      </c>
      <c r="T3582" s="10" t="s">
        <v>38</v>
      </c>
      <c r="U3582" s="12" t="s">
        <v>13246</v>
      </c>
      <c r="V3582" s="10" t="s">
        <v>3523</v>
      </c>
      <c r="W3582" s="10" t="s">
        <v>13207</v>
      </c>
      <c r="X3582" s="13" t="str">
        <f>HYPERLINK("https://my.pitchbook.com?p=455462-20P","View People Online")</f>
        <v>View People Online</v>
      </c>
    </row>
    <row r="3583">
      <c r="A3583" s="6" t="s">
        <v>22584</v>
      </c>
      <c r="B3583" s="6" t="s">
        <v>22585</v>
      </c>
      <c r="C3583" s="6" t="s">
        <v>22586</v>
      </c>
      <c r="D3583" s="6" t="s">
        <v>17678</v>
      </c>
      <c r="E3583" s="6" t="s">
        <v>13207</v>
      </c>
      <c r="F3583" s="6" t="s">
        <v>13218</v>
      </c>
      <c r="G3583" s="6" t="s">
        <v>22587</v>
      </c>
      <c r="H3583" s="7" t="s">
        <v>31</v>
      </c>
      <c r="I3583" s="7">
        <v>1.0</v>
      </c>
      <c r="J3583" s="7">
        <v>1.0</v>
      </c>
      <c r="K3583" s="7" t="s">
        <v>31</v>
      </c>
      <c r="L3583" s="8" t="s">
        <v>13281</v>
      </c>
      <c r="M3583" s="6" t="s">
        <v>22588</v>
      </c>
      <c r="N3583" s="6" t="s">
        <v>1277</v>
      </c>
      <c r="O3583" s="8" t="s">
        <v>1278</v>
      </c>
      <c r="P3583" s="6" t="s">
        <v>13283</v>
      </c>
      <c r="Q3583" s="6" t="s">
        <v>13284</v>
      </c>
      <c r="R3583" s="6" t="s">
        <v>1281</v>
      </c>
      <c r="S3583" s="8" t="s">
        <v>1282</v>
      </c>
      <c r="T3583" s="6" t="s">
        <v>66</v>
      </c>
      <c r="U3583" s="8" t="s">
        <v>13285</v>
      </c>
      <c r="V3583" s="6" t="s">
        <v>13218</v>
      </c>
      <c r="W3583" s="6" t="s">
        <v>13207</v>
      </c>
      <c r="X3583" s="9" t="str">
        <f>HYPERLINK("https://my.pitchbook.com?p=456385-96P","View People Online")</f>
        <v>View People Online</v>
      </c>
    </row>
    <row r="3584">
      <c r="A3584" s="10" t="s">
        <v>22589</v>
      </c>
      <c r="B3584" s="10" t="s">
        <v>22590</v>
      </c>
      <c r="C3584" s="10" t="s">
        <v>22586</v>
      </c>
      <c r="D3584" s="10" t="s">
        <v>22591</v>
      </c>
      <c r="E3584" s="10" t="s">
        <v>13207</v>
      </c>
      <c r="F3584" s="10" t="s">
        <v>1283</v>
      </c>
      <c r="G3584" s="10" t="s">
        <v>22592</v>
      </c>
      <c r="H3584" s="11" t="s">
        <v>31</v>
      </c>
      <c r="I3584" s="11">
        <v>1.0</v>
      </c>
      <c r="J3584" s="11">
        <v>1.0</v>
      </c>
      <c r="K3584" s="11" t="s">
        <v>31</v>
      </c>
      <c r="L3584" s="12" t="s">
        <v>13274</v>
      </c>
      <c r="M3584" s="10" t="s">
        <v>22593</v>
      </c>
      <c r="N3584" s="10" t="s">
        <v>1181</v>
      </c>
      <c r="O3584" s="12" t="s">
        <v>1182</v>
      </c>
      <c r="P3584" s="10" t="s">
        <v>13276</v>
      </c>
      <c r="Q3584" s="10" t="s">
        <v>31</v>
      </c>
      <c r="R3584" s="10" t="s">
        <v>1185</v>
      </c>
      <c r="S3584" s="12" t="s">
        <v>4438</v>
      </c>
      <c r="T3584" s="10" t="s">
        <v>66</v>
      </c>
      <c r="U3584" s="12" t="s">
        <v>13277</v>
      </c>
      <c r="V3584" s="10" t="s">
        <v>1283</v>
      </c>
      <c r="W3584" s="10" t="s">
        <v>13207</v>
      </c>
      <c r="X3584" s="13" t="str">
        <f>HYPERLINK("https://my.pitchbook.com?p=456274-72P","View People Online")</f>
        <v>View People Online</v>
      </c>
    </row>
    <row r="3585">
      <c r="A3585" s="6" t="s">
        <v>22594</v>
      </c>
      <c r="B3585" s="6" t="s">
        <v>22595</v>
      </c>
      <c r="C3585" s="6" t="s">
        <v>22596</v>
      </c>
      <c r="D3585" s="6" t="s">
        <v>3729</v>
      </c>
      <c r="E3585" s="6" t="s">
        <v>13207</v>
      </c>
      <c r="F3585" s="6" t="s">
        <v>13218</v>
      </c>
      <c r="G3585" s="6" t="s">
        <v>22597</v>
      </c>
      <c r="H3585" s="7" t="s">
        <v>31</v>
      </c>
      <c r="I3585" s="7">
        <v>1.0</v>
      </c>
      <c r="J3585" s="7">
        <v>1.0</v>
      </c>
      <c r="K3585" s="7" t="s">
        <v>31</v>
      </c>
      <c r="L3585" s="8" t="s">
        <v>13688</v>
      </c>
      <c r="M3585" s="6" t="s">
        <v>22598</v>
      </c>
      <c r="N3585" s="6" t="s">
        <v>3603</v>
      </c>
      <c r="O3585" s="8" t="s">
        <v>3604</v>
      </c>
      <c r="P3585" s="6" t="s">
        <v>13690</v>
      </c>
      <c r="Q3585" s="6" t="s">
        <v>13691</v>
      </c>
      <c r="R3585" s="6" t="s">
        <v>31</v>
      </c>
      <c r="S3585" s="8" t="s">
        <v>31</v>
      </c>
      <c r="T3585" s="6" t="s">
        <v>3603</v>
      </c>
      <c r="U3585" s="8" t="s">
        <v>13692</v>
      </c>
      <c r="V3585" s="6" t="s">
        <v>13218</v>
      </c>
      <c r="W3585" s="6" t="s">
        <v>13207</v>
      </c>
      <c r="X3585" s="9" t="str">
        <f>HYPERLINK("https://my.pitchbook.com?p=456492-34P","View People Online")</f>
        <v>View People Online</v>
      </c>
    </row>
    <row r="3586">
      <c r="A3586" s="2" t="s">
        <v>22599</v>
      </c>
      <c r="B3586" s="2" t="s">
        <v>22600</v>
      </c>
      <c r="C3586" s="2" t="s">
        <v>48</v>
      </c>
      <c r="D3586" s="2" t="s">
        <v>22601</v>
      </c>
      <c r="E3586" s="2" t="s">
        <v>13207</v>
      </c>
      <c r="F3586" s="2" t="s">
        <v>13307</v>
      </c>
      <c r="G3586" s="2" t="s">
        <v>22602</v>
      </c>
      <c r="H3586" s="3" t="s">
        <v>31</v>
      </c>
      <c r="I3586" s="3">
        <v>1.0</v>
      </c>
      <c r="J3586" s="3">
        <v>1.0</v>
      </c>
      <c r="K3586" s="3" t="s">
        <v>31</v>
      </c>
      <c r="L3586" s="4" t="s">
        <v>13459</v>
      </c>
      <c r="M3586" s="2" t="s">
        <v>22603</v>
      </c>
      <c r="N3586" s="2" t="s">
        <v>3100</v>
      </c>
      <c r="O3586" s="4" t="s">
        <v>3101</v>
      </c>
      <c r="P3586" s="2" t="s">
        <v>13461</v>
      </c>
      <c r="Q3586" s="2" t="s">
        <v>31</v>
      </c>
      <c r="R3586" s="2" t="s">
        <v>31</v>
      </c>
      <c r="S3586" s="4" t="s">
        <v>3103</v>
      </c>
      <c r="T3586" s="2" t="s">
        <v>3104</v>
      </c>
      <c r="U3586" s="4" t="s">
        <v>13462</v>
      </c>
      <c r="V3586" s="2" t="s">
        <v>13317</v>
      </c>
      <c r="W3586" s="2" t="s">
        <v>13207</v>
      </c>
      <c r="X3586" s="5" t="str">
        <f>HYPERLINK("https://my.pitchbook.com?p=455418-55P","View People Online")</f>
        <v>View People Online</v>
      </c>
    </row>
    <row r="3587">
      <c r="A3587" s="14" t="s">
        <v>22604</v>
      </c>
      <c r="B3587" s="14" t="s">
        <v>22605</v>
      </c>
      <c r="C3587" s="14" t="s">
        <v>48</v>
      </c>
      <c r="D3587" s="14" t="s">
        <v>22606</v>
      </c>
      <c r="E3587" s="14" t="s">
        <v>13207</v>
      </c>
      <c r="F3587" s="14" t="s">
        <v>3523</v>
      </c>
      <c r="G3587" s="14" t="s">
        <v>22607</v>
      </c>
      <c r="H3587" s="15" t="s">
        <v>31</v>
      </c>
      <c r="I3587" s="15">
        <v>1.0</v>
      </c>
      <c r="J3587" s="15">
        <v>1.0</v>
      </c>
      <c r="K3587" s="15" t="s">
        <v>31</v>
      </c>
      <c r="L3587" s="16" t="s">
        <v>13242</v>
      </c>
      <c r="M3587" s="14" t="s">
        <v>22608</v>
      </c>
      <c r="N3587" s="14" t="s">
        <v>9865</v>
      </c>
      <c r="O3587" s="16" t="s">
        <v>9866</v>
      </c>
      <c r="P3587" s="14" t="s">
        <v>13244</v>
      </c>
      <c r="Q3587" s="14" t="s">
        <v>31</v>
      </c>
      <c r="R3587" s="14" t="s">
        <v>31</v>
      </c>
      <c r="S3587" s="16" t="s">
        <v>13245</v>
      </c>
      <c r="T3587" s="14" t="s">
        <v>38</v>
      </c>
      <c r="U3587" s="16" t="s">
        <v>13246</v>
      </c>
      <c r="V3587" s="14" t="s">
        <v>3523</v>
      </c>
      <c r="W3587" s="14" t="s">
        <v>13207</v>
      </c>
      <c r="X3587" s="17" t="str">
        <f>HYPERLINK("https://my.pitchbook.com?p=456711-22P","View People Online")</f>
        <v>View People Online</v>
      </c>
    </row>
    <row r="3588">
      <c r="A3588" s="10" t="s">
        <v>22609</v>
      </c>
      <c r="B3588" s="10" t="s">
        <v>22610</v>
      </c>
      <c r="C3588" s="10" t="s">
        <v>48</v>
      </c>
      <c r="D3588" s="10" t="s">
        <v>3570</v>
      </c>
      <c r="E3588" s="10" t="s">
        <v>13207</v>
      </c>
      <c r="F3588" s="10" t="s">
        <v>3523</v>
      </c>
      <c r="G3588" s="10" t="s">
        <v>22611</v>
      </c>
      <c r="H3588" s="11" t="s">
        <v>31</v>
      </c>
      <c r="I3588" s="11">
        <v>1.0</v>
      </c>
      <c r="J3588" s="11">
        <v>1.0</v>
      </c>
      <c r="K3588" s="11" t="s">
        <v>31</v>
      </c>
      <c r="L3588" s="12" t="s">
        <v>13657</v>
      </c>
      <c r="M3588" s="10" t="s">
        <v>22612</v>
      </c>
      <c r="N3588" s="10" t="s">
        <v>13659</v>
      </c>
      <c r="O3588" s="12" t="s">
        <v>13660</v>
      </c>
      <c r="P3588" s="10" t="s">
        <v>13661</v>
      </c>
      <c r="Q3588" s="10" t="s">
        <v>31</v>
      </c>
      <c r="R3588" s="10" t="s">
        <v>31</v>
      </c>
      <c r="S3588" s="12" t="s">
        <v>13662</v>
      </c>
      <c r="T3588" s="10" t="s">
        <v>38</v>
      </c>
      <c r="U3588" s="12" t="s">
        <v>13663</v>
      </c>
      <c r="V3588" s="10" t="s">
        <v>3523</v>
      </c>
      <c r="W3588" s="10" t="s">
        <v>13207</v>
      </c>
      <c r="X3588" s="13" t="str">
        <f>HYPERLINK("https://my.pitchbook.com?p=455189-59P","View People Online")</f>
        <v>View People Online</v>
      </c>
    </row>
    <row r="3589">
      <c r="A3589" s="14" t="s">
        <v>22613</v>
      </c>
      <c r="B3589" s="14" t="s">
        <v>22614</v>
      </c>
      <c r="C3589" s="14" t="s">
        <v>48</v>
      </c>
      <c r="D3589" s="14" t="s">
        <v>22615</v>
      </c>
      <c r="E3589" s="14" t="s">
        <v>13207</v>
      </c>
      <c r="F3589" s="14" t="s">
        <v>3523</v>
      </c>
      <c r="G3589" s="14" t="s">
        <v>22616</v>
      </c>
      <c r="H3589" s="15" t="s">
        <v>31</v>
      </c>
      <c r="I3589" s="15">
        <v>2.0</v>
      </c>
      <c r="J3589" s="15">
        <v>1.0</v>
      </c>
      <c r="K3589" s="15">
        <v>1.0</v>
      </c>
      <c r="L3589" s="16" t="s">
        <v>13242</v>
      </c>
      <c r="M3589" s="14" t="s">
        <v>22617</v>
      </c>
      <c r="N3589" s="14" t="s">
        <v>9865</v>
      </c>
      <c r="O3589" s="16" t="s">
        <v>9866</v>
      </c>
      <c r="P3589" s="14" t="s">
        <v>13244</v>
      </c>
      <c r="Q3589" s="14" t="s">
        <v>31</v>
      </c>
      <c r="R3589" s="14" t="s">
        <v>31</v>
      </c>
      <c r="S3589" s="16" t="s">
        <v>13245</v>
      </c>
      <c r="T3589" s="14" t="s">
        <v>38</v>
      </c>
      <c r="U3589" s="16" t="s">
        <v>13246</v>
      </c>
      <c r="V3589" s="14" t="s">
        <v>3523</v>
      </c>
      <c r="W3589" s="14" t="s">
        <v>13207</v>
      </c>
      <c r="X3589" s="17" t="str">
        <f>HYPERLINK("https://my.pitchbook.com?p=300336-76P","View People Online")</f>
        <v>View People Online</v>
      </c>
    </row>
    <row r="3590">
      <c r="A3590" s="10" t="s">
        <v>22618</v>
      </c>
      <c r="B3590" s="10" t="s">
        <v>22619</v>
      </c>
      <c r="C3590" s="10" t="s">
        <v>48</v>
      </c>
      <c r="D3590" s="10" t="s">
        <v>22620</v>
      </c>
      <c r="E3590" s="10" t="s">
        <v>13207</v>
      </c>
      <c r="F3590" s="10" t="s">
        <v>13307</v>
      </c>
      <c r="G3590" s="10" t="s">
        <v>22621</v>
      </c>
      <c r="H3590" s="11" t="s">
        <v>31</v>
      </c>
      <c r="I3590" s="11">
        <v>1.0</v>
      </c>
      <c r="J3590" s="11">
        <v>1.0</v>
      </c>
      <c r="K3590" s="11" t="s">
        <v>31</v>
      </c>
      <c r="L3590" s="12" t="s">
        <v>13242</v>
      </c>
      <c r="M3590" s="10" t="s">
        <v>22622</v>
      </c>
      <c r="N3590" s="10" t="s">
        <v>9865</v>
      </c>
      <c r="O3590" s="12" t="s">
        <v>9866</v>
      </c>
      <c r="P3590" s="10" t="s">
        <v>13244</v>
      </c>
      <c r="Q3590" s="10" t="s">
        <v>31</v>
      </c>
      <c r="R3590" s="10" t="s">
        <v>31</v>
      </c>
      <c r="S3590" s="12" t="s">
        <v>13245</v>
      </c>
      <c r="T3590" s="10" t="s">
        <v>38</v>
      </c>
      <c r="U3590" s="12" t="s">
        <v>13246</v>
      </c>
      <c r="V3590" s="10" t="s">
        <v>13317</v>
      </c>
      <c r="W3590" s="10" t="s">
        <v>13207</v>
      </c>
      <c r="X3590" s="13" t="str">
        <f>HYPERLINK("https://my.pitchbook.com?p=455462-56P","View People Online")</f>
        <v>View People Online</v>
      </c>
    </row>
    <row r="3591">
      <c r="A3591" s="6" t="s">
        <v>22623</v>
      </c>
      <c r="B3591" s="6" t="s">
        <v>22624</v>
      </c>
      <c r="C3591" s="6" t="s">
        <v>48</v>
      </c>
      <c r="D3591" s="6" t="s">
        <v>22625</v>
      </c>
      <c r="E3591" s="6" t="s">
        <v>13207</v>
      </c>
      <c r="F3591" s="6" t="s">
        <v>13218</v>
      </c>
      <c r="G3591" s="6" t="s">
        <v>22626</v>
      </c>
      <c r="H3591" s="7" t="s">
        <v>31</v>
      </c>
      <c r="I3591" s="7">
        <v>1.0</v>
      </c>
      <c r="J3591" s="7">
        <v>1.0</v>
      </c>
      <c r="K3591" s="7" t="s">
        <v>31</v>
      </c>
      <c r="L3591" s="8" t="s">
        <v>13734</v>
      </c>
      <c r="M3591" s="6" t="s">
        <v>22627</v>
      </c>
      <c r="N3591" s="6" t="s">
        <v>2754</v>
      </c>
      <c r="O3591" s="8" t="s">
        <v>2755</v>
      </c>
      <c r="P3591" s="6" t="s">
        <v>13736</v>
      </c>
      <c r="Q3591" s="6" t="s">
        <v>31</v>
      </c>
      <c r="R3591" s="6" t="s">
        <v>31</v>
      </c>
      <c r="S3591" s="8" t="s">
        <v>13737</v>
      </c>
      <c r="T3591" s="6" t="s">
        <v>38</v>
      </c>
      <c r="U3591" s="8" t="s">
        <v>13738</v>
      </c>
      <c r="V3591" s="6" t="s">
        <v>13218</v>
      </c>
      <c r="W3591" s="6" t="s">
        <v>13207</v>
      </c>
      <c r="X3591" s="9" t="str">
        <f>HYPERLINK("https://my.pitchbook.com?p=436299-76P","View People Online")</f>
        <v>View People Online</v>
      </c>
    </row>
    <row r="3592">
      <c r="A3592" s="2" t="s">
        <v>22628</v>
      </c>
      <c r="B3592" s="2" t="s">
        <v>22629</v>
      </c>
      <c r="C3592" s="2" t="s">
        <v>48</v>
      </c>
      <c r="D3592" s="2" t="s">
        <v>22630</v>
      </c>
      <c r="E3592" s="2" t="s">
        <v>13207</v>
      </c>
      <c r="F3592" s="2" t="s">
        <v>3523</v>
      </c>
      <c r="G3592" s="2" t="s">
        <v>22631</v>
      </c>
      <c r="H3592" s="3" t="s">
        <v>31</v>
      </c>
      <c r="I3592" s="3">
        <v>1.0</v>
      </c>
      <c r="J3592" s="3">
        <v>1.0</v>
      </c>
      <c r="K3592" s="3" t="s">
        <v>31</v>
      </c>
      <c r="L3592" s="4" t="s">
        <v>13459</v>
      </c>
      <c r="M3592" s="2" t="s">
        <v>22632</v>
      </c>
      <c r="N3592" s="2" t="s">
        <v>3100</v>
      </c>
      <c r="O3592" s="4" t="s">
        <v>3101</v>
      </c>
      <c r="P3592" s="2" t="s">
        <v>13461</v>
      </c>
      <c r="Q3592" s="2" t="s">
        <v>31</v>
      </c>
      <c r="R3592" s="2" t="s">
        <v>31</v>
      </c>
      <c r="S3592" s="4" t="s">
        <v>3103</v>
      </c>
      <c r="T3592" s="2" t="s">
        <v>3104</v>
      </c>
      <c r="U3592" s="4" t="s">
        <v>13462</v>
      </c>
      <c r="V3592" s="2" t="s">
        <v>3523</v>
      </c>
      <c r="W3592" s="2" t="s">
        <v>13207</v>
      </c>
      <c r="X3592" s="5" t="str">
        <f>HYPERLINK("https://my.pitchbook.com?p=436376-98P","View People Online")</f>
        <v>View People Online</v>
      </c>
    </row>
    <row r="3593">
      <c r="A3593" s="6" t="s">
        <v>22633</v>
      </c>
      <c r="B3593" s="6" t="s">
        <v>22634</v>
      </c>
      <c r="C3593" s="6" t="s">
        <v>1533</v>
      </c>
      <c r="D3593" s="6" t="s">
        <v>10680</v>
      </c>
      <c r="E3593" s="6" t="s">
        <v>13207</v>
      </c>
      <c r="F3593" s="6" t="s">
        <v>3523</v>
      </c>
      <c r="G3593" s="6" t="s">
        <v>22635</v>
      </c>
      <c r="H3593" s="7" t="s">
        <v>31</v>
      </c>
      <c r="I3593" s="7">
        <v>1.0</v>
      </c>
      <c r="J3593" s="7">
        <v>1.0</v>
      </c>
      <c r="K3593" s="7" t="s">
        <v>31</v>
      </c>
      <c r="L3593" s="8" t="s">
        <v>14201</v>
      </c>
      <c r="M3593" s="6" t="s">
        <v>22636</v>
      </c>
      <c r="N3593" s="6" t="s">
        <v>14203</v>
      </c>
      <c r="O3593" s="8" t="s">
        <v>14204</v>
      </c>
      <c r="P3593" s="6" t="s">
        <v>14205</v>
      </c>
      <c r="Q3593" s="6" t="s">
        <v>14206</v>
      </c>
      <c r="R3593" s="6" t="s">
        <v>1420</v>
      </c>
      <c r="S3593" s="8" t="s">
        <v>14207</v>
      </c>
      <c r="T3593" s="6" t="s">
        <v>66</v>
      </c>
      <c r="U3593" s="8" t="s">
        <v>14208</v>
      </c>
      <c r="V3593" s="6" t="s">
        <v>3523</v>
      </c>
      <c r="W3593" s="6" t="s">
        <v>13207</v>
      </c>
      <c r="X3593" s="9" t="str">
        <f>HYPERLINK("https://my.pitchbook.com?p=435987-55P","View People Online")</f>
        <v>View People Online</v>
      </c>
    </row>
    <row r="3594">
      <c r="A3594" s="2" t="s">
        <v>22637</v>
      </c>
      <c r="B3594" s="2" t="s">
        <v>22638</v>
      </c>
      <c r="C3594" s="2" t="s">
        <v>22639</v>
      </c>
      <c r="D3594" s="2" t="s">
        <v>22640</v>
      </c>
      <c r="E3594" s="2" t="s">
        <v>13207</v>
      </c>
      <c r="F3594" s="2" t="s">
        <v>3523</v>
      </c>
      <c r="G3594" s="2" t="s">
        <v>22641</v>
      </c>
      <c r="H3594" s="3" t="s">
        <v>31</v>
      </c>
      <c r="I3594" s="3">
        <v>1.0</v>
      </c>
      <c r="J3594" s="3">
        <v>1.0</v>
      </c>
      <c r="K3594" s="3" t="s">
        <v>31</v>
      </c>
      <c r="L3594" s="4" t="s">
        <v>13864</v>
      </c>
      <c r="M3594" s="2" t="s">
        <v>22642</v>
      </c>
      <c r="N3594" s="2" t="s">
        <v>1841</v>
      </c>
      <c r="O3594" s="4" t="s">
        <v>1842</v>
      </c>
      <c r="P3594" s="2" t="s">
        <v>13866</v>
      </c>
      <c r="Q3594" s="2" t="s">
        <v>13867</v>
      </c>
      <c r="R3594" s="2" t="s">
        <v>31</v>
      </c>
      <c r="S3594" s="4" t="s">
        <v>31</v>
      </c>
      <c r="T3594" s="2" t="s">
        <v>1845</v>
      </c>
      <c r="U3594" s="4" t="s">
        <v>31</v>
      </c>
      <c r="V3594" s="2" t="s">
        <v>3523</v>
      </c>
      <c r="W3594" s="2" t="s">
        <v>13207</v>
      </c>
      <c r="X3594" s="5" t="str">
        <f>HYPERLINK("https://my.pitchbook.com?p=456394-06P","View People Online")</f>
        <v>View People Online</v>
      </c>
    </row>
    <row r="3595">
      <c r="A3595" s="14" t="s">
        <v>22643</v>
      </c>
      <c r="B3595" s="14" t="s">
        <v>22644</v>
      </c>
      <c r="C3595" s="14" t="s">
        <v>1830</v>
      </c>
      <c r="D3595" s="14" t="s">
        <v>22645</v>
      </c>
      <c r="E3595" s="14" t="s">
        <v>13207</v>
      </c>
      <c r="F3595" s="14" t="s">
        <v>29</v>
      </c>
      <c r="G3595" s="14" t="s">
        <v>22646</v>
      </c>
      <c r="H3595" s="15" t="s">
        <v>31</v>
      </c>
      <c r="I3595" s="15">
        <v>1.0</v>
      </c>
      <c r="J3595" s="15">
        <v>1.0</v>
      </c>
      <c r="K3595" s="15" t="s">
        <v>31</v>
      </c>
      <c r="L3595" s="16" t="s">
        <v>14331</v>
      </c>
      <c r="M3595" s="14" t="s">
        <v>22647</v>
      </c>
      <c r="N3595" s="14" t="s">
        <v>14333</v>
      </c>
      <c r="O3595" s="16" t="s">
        <v>14334</v>
      </c>
      <c r="P3595" s="14" t="s">
        <v>14335</v>
      </c>
      <c r="Q3595" s="14" t="s">
        <v>14336</v>
      </c>
      <c r="R3595" s="14" t="s">
        <v>31</v>
      </c>
      <c r="S3595" s="16" t="s">
        <v>14337</v>
      </c>
      <c r="T3595" s="14" t="s">
        <v>14338</v>
      </c>
      <c r="U3595" s="16" t="s">
        <v>31</v>
      </c>
      <c r="V3595" s="14" t="s">
        <v>29</v>
      </c>
      <c r="W3595" s="14" t="s">
        <v>13207</v>
      </c>
      <c r="X3595" s="17" t="str">
        <f>HYPERLINK("https://my.pitchbook.com?p=456525-46P","View People Online")</f>
        <v>View People Online</v>
      </c>
    </row>
    <row r="3596">
      <c r="A3596" s="10" t="s">
        <v>22648</v>
      </c>
      <c r="B3596" s="10" t="s">
        <v>22649</v>
      </c>
      <c r="C3596" s="10" t="s">
        <v>1830</v>
      </c>
      <c r="D3596" s="10" t="s">
        <v>19871</v>
      </c>
      <c r="E3596" s="10" t="s">
        <v>13207</v>
      </c>
      <c r="F3596" s="10" t="s">
        <v>13218</v>
      </c>
      <c r="G3596" s="10" t="s">
        <v>22650</v>
      </c>
      <c r="H3596" s="11" t="s">
        <v>31</v>
      </c>
      <c r="I3596" s="11">
        <v>1.0</v>
      </c>
      <c r="J3596" s="11">
        <v>1.0</v>
      </c>
      <c r="K3596" s="11" t="s">
        <v>31</v>
      </c>
      <c r="L3596" s="12" t="s">
        <v>14201</v>
      </c>
      <c r="M3596" s="10" t="s">
        <v>22651</v>
      </c>
      <c r="N3596" s="10" t="s">
        <v>14203</v>
      </c>
      <c r="O3596" s="12" t="s">
        <v>14204</v>
      </c>
      <c r="P3596" s="10" t="s">
        <v>14205</v>
      </c>
      <c r="Q3596" s="10" t="s">
        <v>14206</v>
      </c>
      <c r="R3596" s="10" t="s">
        <v>1420</v>
      </c>
      <c r="S3596" s="12" t="s">
        <v>14207</v>
      </c>
      <c r="T3596" s="10" t="s">
        <v>66</v>
      </c>
      <c r="U3596" s="12" t="s">
        <v>14208</v>
      </c>
      <c r="V3596" s="10" t="s">
        <v>22652</v>
      </c>
      <c r="W3596" s="10" t="s">
        <v>13207</v>
      </c>
      <c r="X3596" s="13" t="str">
        <f>HYPERLINK("https://my.pitchbook.com?p=17450-29P","View People Online")</f>
        <v>View People Online</v>
      </c>
    </row>
    <row r="3597">
      <c r="A3597" s="6" t="s">
        <v>22653</v>
      </c>
      <c r="B3597" s="6" t="s">
        <v>22654</v>
      </c>
      <c r="C3597" s="6" t="s">
        <v>1830</v>
      </c>
      <c r="D3597" s="6" t="s">
        <v>22655</v>
      </c>
      <c r="E3597" s="6" t="s">
        <v>13207</v>
      </c>
      <c r="F3597" s="6" t="s">
        <v>3523</v>
      </c>
      <c r="G3597" s="6" t="s">
        <v>22656</v>
      </c>
      <c r="H3597" s="7" t="s">
        <v>31</v>
      </c>
      <c r="I3597" s="7">
        <v>1.0</v>
      </c>
      <c r="J3597" s="7">
        <v>1.0</v>
      </c>
      <c r="K3597" s="7" t="s">
        <v>31</v>
      </c>
      <c r="L3597" s="8" t="s">
        <v>13632</v>
      </c>
      <c r="M3597" s="6" t="s">
        <v>22657</v>
      </c>
      <c r="N3597" s="6" t="s">
        <v>7690</v>
      </c>
      <c r="O3597" s="8" t="s">
        <v>7691</v>
      </c>
      <c r="P3597" s="6" t="s">
        <v>13634</v>
      </c>
      <c r="Q3597" s="6" t="s">
        <v>13635</v>
      </c>
      <c r="R3597" s="6" t="s">
        <v>7693</v>
      </c>
      <c r="S3597" s="8" t="s">
        <v>13636</v>
      </c>
      <c r="T3597" s="6" t="s">
        <v>66</v>
      </c>
      <c r="U3597" s="8" t="s">
        <v>13637</v>
      </c>
      <c r="V3597" s="6" t="s">
        <v>3523</v>
      </c>
      <c r="W3597" s="6" t="s">
        <v>13207</v>
      </c>
      <c r="X3597" s="9" t="str">
        <f>HYPERLINK("https://my.pitchbook.com?p=435650-59P","View People Online")</f>
        <v>View People Online</v>
      </c>
    </row>
    <row r="3598">
      <c r="A3598" s="2" t="s">
        <v>22658</v>
      </c>
      <c r="B3598" s="2" t="s">
        <v>22659</v>
      </c>
      <c r="C3598" s="2" t="s">
        <v>1830</v>
      </c>
      <c r="D3598" s="2" t="s">
        <v>22660</v>
      </c>
      <c r="E3598" s="2" t="s">
        <v>13207</v>
      </c>
      <c r="F3598" s="2" t="s">
        <v>3523</v>
      </c>
      <c r="G3598" s="2" t="s">
        <v>22661</v>
      </c>
      <c r="H3598" s="3" t="s">
        <v>31</v>
      </c>
      <c r="I3598" s="3">
        <v>1.0</v>
      </c>
      <c r="J3598" s="3">
        <v>1.0</v>
      </c>
      <c r="K3598" s="3" t="s">
        <v>31</v>
      </c>
      <c r="L3598" s="4" t="s">
        <v>14614</v>
      </c>
      <c r="M3598" s="2" t="s">
        <v>22662</v>
      </c>
      <c r="N3598" s="2" t="s">
        <v>1442</v>
      </c>
      <c r="O3598" s="4" t="s">
        <v>1443</v>
      </c>
      <c r="P3598" s="2" t="s">
        <v>14616</v>
      </c>
      <c r="Q3598" s="2" t="s">
        <v>14617</v>
      </c>
      <c r="R3598" s="2" t="s">
        <v>1277</v>
      </c>
      <c r="S3598" s="4" t="s">
        <v>14618</v>
      </c>
      <c r="T3598" s="2" t="s">
        <v>66</v>
      </c>
      <c r="U3598" s="4" t="s">
        <v>31</v>
      </c>
      <c r="V3598" s="2" t="s">
        <v>3523</v>
      </c>
      <c r="W3598" s="2" t="s">
        <v>13207</v>
      </c>
      <c r="X3598" s="5" t="str">
        <f>HYPERLINK("https://my.pitchbook.com?p=456548-41P","View People Online")</f>
        <v>View People Online</v>
      </c>
    </row>
    <row r="3599">
      <c r="A3599" s="6" t="s">
        <v>22663</v>
      </c>
      <c r="B3599" s="6" t="s">
        <v>22664</v>
      </c>
      <c r="C3599" s="6" t="s">
        <v>1830</v>
      </c>
      <c r="D3599" s="6" t="s">
        <v>22665</v>
      </c>
      <c r="E3599" s="6" t="s">
        <v>13207</v>
      </c>
      <c r="F3599" s="6" t="s">
        <v>3523</v>
      </c>
      <c r="G3599" s="6" t="s">
        <v>22666</v>
      </c>
      <c r="H3599" s="7" t="s">
        <v>31</v>
      </c>
      <c r="I3599" s="7">
        <v>1.0</v>
      </c>
      <c r="J3599" s="7">
        <v>1.0</v>
      </c>
      <c r="K3599" s="7" t="s">
        <v>31</v>
      </c>
      <c r="L3599" s="8" t="s">
        <v>13209</v>
      </c>
      <c r="M3599" s="6" t="s">
        <v>22667</v>
      </c>
      <c r="N3599" s="6" t="s">
        <v>4232</v>
      </c>
      <c r="O3599" s="8" t="s">
        <v>4233</v>
      </c>
      <c r="P3599" s="6" t="s">
        <v>13211</v>
      </c>
      <c r="Q3599" s="6" t="s">
        <v>31</v>
      </c>
      <c r="R3599" s="6" t="s">
        <v>4236</v>
      </c>
      <c r="S3599" s="8" t="s">
        <v>13212</v>
      </c>
      <c r="T3599" s="6" t="s">
        <v>66</v>
      </c>
      <c r="U3599" s="8" t="s">
        <v>13213</v>
      </c>
      <c r="V3599" s="6" t="s">
        <v>3523</v>
      </c>
      <c r="W3599" s="6" t="s">
        <v>13207</v>
      </c>
      <c r="X3599" s="9" t="str">
        <f>HYPERLINK("https://my.pitchbook.com?p=436435-75P","View People Online")</f>
        <v>View People Online</v>
      </c>
    </row>
    <row r="3600">
      <c r="A3600" s="10" t="s">
        <v>22668</v>
      </c>
      <c r="B3600" s="10" t="s">
        <v>22669</v>
      </c>
      <c r="C3600" s="10" t="s">
        <v>22670</v>
      </c>
      <c r="D3600" s="10" t="s">
        <v>22671</v>
      </c>
      <c r="E3600" s="10" t="s">
        <v>13207</v>
      </c>
      <c r="F3600" s="10" t="s">
        <v>3523</v>
      </c>
      <c r="G3600" s="10" t="s">
        <v>22672</v>
      </c>
      <c r="H3600" s="11" t="s">
        <v>31</v>
      </c>
      <c r="I3600" s="11">
        <v>1.0</v>
      </c>
      <c r="J3600" s="11">
        <v>1.0</v>
      </c>
      <c r="K3600" s="11" t="s">
        <v>31</v>
      </c>
      <c r="L3600" s="12" t="s">
        <v>13274</v>
      </c>
      <c r="M3600" s="10" t="s">
        <v>22673</v>
      </c>
      <c r="N3600" s="10" t="s">
        <v>1181</v>
      </c>
      <c r="O3600" s="12" t="s">
        <v>1182</v>
      </c>
      <c r="P3600" s="10" t="s">
        <v>13276</v>
      </c>
      <c r="Q3600" s="10" t="s">
        <v>31</v>
      </c>
      <c r="R3600" s="10" t="s">
        <v>1185</v>
      </c>
      <c r="S3600" s="12" t="s">
        <v>4438</v>
      </c>
      <c r="T3600" s="10" t="s">
        <v>66</v>
      </c>
      <c r="U3600" s="12" t="s">
        <v>13277</v>
      </c>
      <c r="V3600" s="10" t="s">
        <v>3523</v>
      </c>
      <c r="W3600" s="10" t="s">
        <v>13207</v>
      </c>
      <c r="X3600" s="13" t="str">
        <f>HYPERLINK("https://my.pitchbook.com?p=455956-03P","View People Online")</f>
        <v>View People Online</v>
      </c>
    </row>
    <row r="3601">
      <c r="A3601" s="14" t="s">
        <v>22674</v>
      </c>
      <c r="B3601" s="14" t="s">
        <v>22675</v>
      </c>
      <c r="C3601" s="14" t="s">
        <v>22670</v>
      </c>
      <c r="D3601" s="14" t="s">
        <v>22676</v>
      </c>
      <c r="E3601" s="14" t="s">
        <v>13207</v>
      </c>
      <c r="F3601" s="14" t="s">
        <v>13218</v>
      </c>
      <c r="G3601" s="14" t="s">
        <v>22677</v>
      </c>
      <c r="H3601" s="15" t="s">
        <v>31</v>
      </c>
      <c r="I3601" s="15">
        <v>1.0</v>
      </c>
      <c r="J3601" s="15">
        <v>1.0</v>
      </c>
      <c r="K3601" s="15" t="s">
        <v>31</v>
      </c>
      <c r="L3601" s="16" t="s">
        <v>13345</v>
      </c>
      <c r="M3601" s="14" t="s">
        <v>22678</v>
      </c>
      <c r="N3601" s="14" t="s">
        <v>2764</v>
      </c>
      <c r="O3601" s="16" t="s">
        <v>2765</v>
      </c>
      <c r="P3601" s="14" t="s">
        <v>13347</v>
      </c>
      <c r="Q3601" s="14" t="s">
        <v>31</v>
      </c>
      <c r="R3601" s="14" t="s">
        <v>31</v>
      </c>
      <c r="S3601" s="16" t="s">
        <v>13348</v>
      </c>
      <c r="T3601" s="14" t="s">
        <v>2768</v>
      </c>
      <c r="U3601" s="16" t="s">
        <v>13349</v>
      </c>
      <c r="V3601" s="14" t="s">
        <v>13218</v>
      </c>
      <c r="W3601" s="14" t="s">
        <v>13207</v>
      </c>
      <c r="X3601" s="17" t="str">
        <f>HYPERLINK("https://my.pitchbook.com?p=456628-06P","View People Online")</f>
        <v>View People Online</v>
      </c>
    </row>
    <row r="3602">
      <c r="A3602" s="2" t="s">
        <v>22679</v>
      </c>
      <c r="B3602" s="2" t="s">
        <v>22680</v>
      </c>
      <c r="C3602" s="2" t="s">
        <v>22681</v>
      </c>
      <c r="D3602" s="2" t="s">
        <v>22682</v>
      </c>
      <c r="E3602" s="2" t="s">
        <v>13207</v>
      </c>
      <c r="F3602" s="2" t="s">
        <v>3523</v>
      </c>
      <c r="G3602" s="2" t="s">
        <v>22683</v>
      </c>
      <c r="H3602" s="3" t="s">
        <v>31</v>
      </c>
      <c r="I3602" s="3">
        <v>1.0</v>
      </c>
      <c r="J3602" s="3">
        <v>1.0</v>
      </c>
      <c r="K3602" s="3" t="s">
        <v>31</v>
      </c>
      <c r="L3602" s="4" t="s">
        <v>14387</v>
      </c>
      <c r="M3602" s="2" t="s">
        <v>22684</v>
      </c>
      <c r="N3602" s="2" t="s">
        <v>14389</v>
      </c>
      <c r="O3602" s="4" t="s">
        <v>14390</v>
      </c>
      <c r="P3602" s="2" t="s">
        <v>14391</v>
      </c>
      <c r="Q3602" s="2" t="s">
        <v>2403</v>
      </c>
      <c r="R3602" s="2" t="s">
        <v>31</v>
      </c>
      <c r="S3602" s="4" t="s">
        <v>14392</v>
      </c>
      <c r="T3602" s="2" t="s">
        <v>14393</v>
      </c>
      <c r="U3602" s="4" t="s">
        <v>14394</v>
      </c>
      <c r="V3602" s="2" t="s">
        <v>3523</v>
      </c>
      <c r="W3602" s="2" t="s">
        <v>13207</v>
      </c>
      <c r="X3602" s="5" t="str">
        <f>HYPERLINK("https://my.pitchbook.com?p=436303-18P","View People Online")</f>
        <v>View People Online</v>
      </c>
    </row>
    <row r="3603">
      <c r="A3603" s="6" t="s">
        <v>22685</v>
      </c>
      <c r="B3603" s="6" t="s">
        <v>22686</v>
      </c>
      <c r="C3603" s="6" t="s">
        <v>22687</v>
      </c>
      <c r="D3603" s="6" t="s">
        <v>17154</v>
      </c>
      <c r="E3603" s="6" t="s">
        <v>13207</v>
      </c>
      <c r="F3603" s="6" t="s">
        <v>29</v>
      </c>
      <c r="G3603" s="6" t="s">
        <v>22688</v>
      </c>
      <c r="H3603" s="7" t="s">
        <v>31</v>
      </c>
      <c r="I3603" s="7">
        <v>1.0</v>
      </c>
      <c r="J3603" s="7">
        <v>1.0</v>
      </c>
      <c r="K3603" s="7" t="s">
        <v>31</v>
      </c>
      <c r="L3603" s="8" t="s">
        <v>13263</v>
      </c>
      <c r="M3603" s="6" t="s">
        <v>22689</v>
      </c>
      <c r="N3603" s="6" t="s">
        <v>1005</v>
      </c>
      <c r="O3603" s="8" t="s">
        <v>1006</v>
      </c>
      <c r="P3603" s="6" t="s">
        <v>13265</v>
      </c>
      <c r="Q3603" s="6" t="s">
        <v>13266</v>
      </c>
      <c r="R3603" s="6" t="s">
        <v>13267</v>
      </c>
      <c r="S3603" s="8" t="s">
        <v>13268</v>
      </c>
      <c r="T3603" s="6" t="s">
        <v>1010</v>
      </c>
      <c r="U3603" s="8" t="s">
        <v>13269</v>
      </c>
      <c r="V3603" s="6" t="s">
        <v>29</v>
      </c>
      <c r="W3603" s="6" t="s">
        <v>13207</v>
      </c>
      <c r="X3603" s="9" t="str">
        <f>HYPERLINK("https://my.pitchbook.com?p=455253-76P","View People Online")</f>
        <v>View People Online</v>
      </c>
    </row>
    <row r="3604">
      <c r="A3604" s="2" t="s">
        <v>22690</v>
      </c>
      <c r="B3604" s="2" t="s">
        <v>22691</v>
      </c>
      <c r="C3604" s="2" t="s">
        <v>22692</v>
      </c>
      <c r="D3604" s="2" t="s">
        <v>22693</v>
      </c>
      <c r="E3604" s="2" t="s">
        <v>13207</v>
      </c>
      <c r="F3604" s="2" t="s">
        <v>3523</v>
      </c>
      <c r="G3604" s="2" t="s">
        <v>22694</v>
      </c>
      <c r="H3604" s="3" t="s">
        <v>31</v>
      </c>
      <c r="I3604" s="3">
        <v>1.0</v>
      </c>
      <c r="J3604" s="3">
        <v>1.0</v>
      </c>
      <c r="K3604" s="3" t="s">
        <v>31</v>
      </c>
      <c r="L3604" s="4" t="s">
        <v>13263</v>
      </c>
      <c r="M3604" s="2" t="s">
        <v>22695</v>
      </c>
      <c r="N3604" s="2" t="s">
        <v>1005</v>
      </c>
      <c r="O3604" s="4" t="s">
        <v>1006</v>
      </c>
      <c r="P3604" s="2" t="s">
        <v>13265</v>
      </c>
      <c r="Q3604" s="2" t="s">
        <v>13266</v>
      </c>
      <c r="R3604" s="2" t="s">
        <v>13267</v>
      </c>
      <c r="S3604" s="4" t="s">
        <v>13268</v>
      </c>
      <c r="T3604" s="2" t="s">
        <v>1010</v>
      </c>
      <c r="U3604" s="4" t="s">
        <v>13269</v>
      </c>
      <c r="V3604" s="2" t="s">
        <v>3523</v>
      </c>
      <c r="W3604" s="2" t="s">
        <v>13207</v>
      </c>
      <c r="X3604" s="5" t="str">
        <f>HYPERLINK("https://my.pitchbook.com?p=455293-54P","View People Online")</f>
        <v>View People Online</v>
      </c>
    </row>
    <row r="3605">
      <c r="A3605" s="14" t="s">
        <v>22696</v>
      </c>
      <c r="B3605" s="14" t="s">
        <v>22697</v>
      </c>
      <c r="C3605" s="14" t="s">
        <v>22698</v>
      </c>
      <c r="D3605" s="14" t="s">
        <v>22699</v>
      </c>
      <c r="E3605" s="14" t="s">
        <v>13207</v>
      </c>
      <c r="F3605" s="14" t="s">
        <v>13218</v>
      </c>
      <c r="G3605" s="14" t="s">
        <v>22700</v>
      </c>
      <c r="H3605" s="15" t="s">
        <v>31</v>
      </c>
      <c r="I3605" s="15">
        <v>1.0</v>
      </c>
      <c r="J3605" s="15">
        <v>1.0</v>
      </c>
      <c r="K3605" s="15" t="s">
        <v>31</v>
      </c>
      <c r="L3605" s="16" t="s">
        <v>13496</v>
      </c>
      <c r="M3605" s="14" t="s">
        <v>22701</v>
      </c>
      <c r="N3605" s="14" t="s">
        <v>75</v>
      </c>
      <c r="O3605" s="16" t="s">
        <v>76</v>
      </c>
      <c r="P3605" s="14" t="s">
        <v>13498</v>
      </c>
      <c r="Q3605" s="14" t="s">
        <v>31</v>
      </c>
      <c r="R3605" s="14" t="s">
        <v>75</v>
      </c>
      <c r="S3605" s="16" t="s">
        <v>195</v>
      </c>
      <c r="T3605" s="14" t="s">
        <v>66</v>
      </c>
      <c r="U3605" s="16" t="s">
        <v>13499</v>
      </c>
      <c r="V3605" s="14" t="s">
        <v>22702</v>
      </c>
      <c r="W3605" s="14" t="s">
        <v>13207</v>
      </c>
      <c r="X3605" s="17" t="str">
        <f>HYPERLINK("https://my.pitchbook.com?p=343306-18P","View People Online")</f>
        <v>View People Online</v>
      </c>
    </row>
    <row r="3606">
      <c r="A3606" s="2" t="s">
        <v>22703</v>
      </c>
      <c r="B3606" s="2" t="s">
        <v>22704</v>
      </c>
      <c r="C3606" s="2" t="s">
        <v>22705</v>
      </c>
      <c r="D3606" s="2" t="s">
        <v>22706</v>
      </c>
      <c r="E3606" s="2" t="s">
        <v>13207</v>
      </c>
      <c r="F3606" s="2" t="s">
        <v>29</v>
      </c>
      <c r="G3606" s="2" t="s">
        <v>22707</v>
      </c>
      <c r="H3606" s="3" t="s">
        <v>31</v>
      </c>
      <c r="I3606" s="3">
        <v>1.0</v>
      </c>
      <c r="J3606" s="3">
        <v>1.0</v>
      </c>
      <c r="K3606" s="3" t="s">
        <v>31</v>
      </c>
      <c r="L3606" s="4" t="s">
        <v>13263</v>
      </c>
      <c r="M3606" s="2" t="s">
        <v>22708</v>
      </c>
      <c r="N3606" s="2" t="s">
        <v>1005</v>
      </c>
      <c r="O3606" s="4" t="s">
        <v>1006</v>
      </c>
      <c r="P3606" s="2" t="s">
        <v>13265</v>
      </c>
      <c r="Q3606" s="2" t="s">
        <v>13266</v>
      </c>
      <c r="R3606" s="2" t="s">
        <v>13267</v>
      </c>
      <c r="S3606" s="4" t="s">
        <v>13268</v>
      </c>
      <c r="T3606" s="2" t="s">
        <v>1010</v>
      </c>
      <c r="U3606" s="4" t="s">
        <v>13269</v>
      </c>
      <c r="V3606" s="2" t="s">
        <v>29</v>
      </c>
      <c r="W3606" s="2" t="s">
        <v>13207</v>
      </c>
      <c r="X3606" s="5" t="str">
        <f>HYPERLINK("https://my.pitchbook.com?p=455960-44P","View People Online")</f>
        <v>View People Online</v>
      </c>
    </row>
    <row r="3607">
      <c r="A3607" s="14" t="s">
        <v>22709</v>
      </c>
      <c r="B3607" s="14" t="s">
        <v>22710</v>
      </c>
      <c r="C3607" s="14" t="s">
        <v>22711</v>
      </c>
      <c r="D3607" s="14" t="s">
        <v>22712</v>
      </c>
      <c r="E3607" s="14" t="s">
        <v>13207</v>
      </c>
      <c r="F3607" s="14" t="s">
        <v>3523</v>
      </c>
      <c r="G3607" s="14" t="s">
        <v>22713</v>
      </c>
      <c r="H3607" s="15" t="s">
        <v>31</v>
      </c>
      <c r="I3607" s="15">
        <v>1.0</v>
      </c>
      <c r="J3607" s="15">
        <v>1.0</v>
      </c>
      <c r="K3607" s="15" t="s">
        <v>31</v>
      </c>
      <c r="L3607" s="16" t="s">
        <v>13263</v>
      </c>
      <c r="M3607" s="14" t="s">
        <v>22714</v>
      </c>
      <c r="N3607" s="14" t="s">
        <v>1005</v>
      </c>
      <c r="O3607" s="16" t="s">
        <v>1006</v>
      </c>
      <c r="P3607" s="14" t="s">
        <v>13265</v>
      </c>
      <c r="Q3607" s="14" t="s">
        <v>13266</v>
      </c>
      <c r="R3607" s="14" t="s">
        <v>13267</v>
      </c>
      <c r="S3607" s="16" t="s">
        <v>13268</v>
      </c>
      <c r="T3607" s="14" t="s">
        <v>1010</v>
      </c>
      <c r="U3607" s="16" t="s">
        <v>13269</v>
      </c>
      <c r="V3607" s="14" t="s">
        <v>3523</v>
      </c>
      <c r="W3607" s="14" t="s">
        <v>13207</v>
      </c>
      <c r="X3607" s="17" t="str">
        <f>HYPERLINK("https://my.pitchbook.com?p=435419-83P","View People Online")</f>
        <v>View People Online</v>
      </c>
    </row>
    <row r="3608">
      <c r="A3608" s="10" t="s">
        <v>22715</v>
      </c>
      <c r="B3608" s="10" t="s">
        <v>22716</v>
      </c>
      <c r="C3608" s="10" t="s">
        <v>22717</v>
      </c>
      <c r="D3608" s="10" t="s">
        <v>20184</v>
      </c>
      <c r="E3608" s="10" t="s">
        <v>13207</v>
      </c>
      <c r="F3608" s="10" t="s">
        <v>1283</v>
      </c>
      <c r="G3608" s="10" t="s">
        <v>22718</v>
      </c>
      <c r="H3608" s="11" t="s">
        <v>31</v>
      </c>
      <c r="I3608" s="11">
        <v>1.0</v>
      </c>
      <c r="J3608" s="11">
        <v>1.0</v>
      </c>
      <c r="K3608" s="11" t="s">
        <v>31</v>
      </c>
      <c r="L3608" s="12" t="s">
        <v>13263</v>
      </c>
      <c r="M3608" s="10" t="s">
        <v>22719</v>
      </c>
      <c r="N3608" s="10" t="s">
        <v>1005</v>
      </c>
      <c r="O3608" s="12" t="s">
        <v>1006</v>
      </c>
      <c r="P3608" s="10" t="s">
        <v>13265</v>
      </c>
      <c r="Q3608" s="10" t="s">
        <v>13266</v>
      </c>
      <c r="R3608" s="10" t="s">
        <v>13267</v>
      </c>
      <c r="S3608" s="12" t="s">
        <v>13268</v>
      </c>
      <c r="T3608" s="10" t="s">
        <v>1010</v>
      </c>
      <c r="U3608" s="12" t="s">
        <v>13269</v>
      </c>
      <c r="V3608" s="10" t="s">
        <v>14835</v>
      </c>
      <c r="W3608" s="10" t="s">
        <v>13207</v>
      </c>
      <c r="X3608" s="13" t="str">
        <f>HYPERLINK("https://my.pitchbook.com?p=455352-85P","View People Online")</f>
        <v>View People Online</v>
      </c>
    </row>
    <row r="3609">
      <c r="A3609" s="6" t="s">
        <v>22720</v>
      </c>
      <c r="B3609" s="6" t="s">
        <v>22721</v>
      </c>
      <c r="C3609" s="6" t="s">
        <v>22722</v>
      </c>
      <c r="D3609" s="6" t="s">
        <v>22723</v>
      </c>
      <c r="E3609" s="6" t="s">
        <v>13207</v>
      </c>
      <c r="F3609" s="6" t="s">
        <v>3523</v>
      </c>
      <c r="G3609" s="6" t="s">
        <v>22724</v>
      </c>
      <c r="H3609" s="7" t="s">
        <v>31</v>
      </c>
      <c r="I3609" s="7">
        <v>1.0</v>
      </c>
      <c r="J3609" s="7">
        <v>1.0</v>
      </c>
      <c r="K3609" s="7" t="s">
        <v>31</v>
      </c>
      <c r="L3609" s="8" t="s">
        <v>13289</v>
      </c>
      <c r="M3609" s="6" t="s">
        <v>22725</v>
      </c>
      <c r="N3609" s="6" t="s">
        <v>1348</v>
      </c>
      <c r="O3609" s="8" t="s">
        <v>1349</v>
      </c>
      <c r="P3609" s="6" t="s">
        <v>13291</v>
      </c>
      <c r="Q3609" s="6" t="s">
        <v>13292</v>
      </c>
      <c r="R3609" s="6" t="s">
        <v>1018</v>
      </c>
      <c r="S3609" s="8" t="s">
        <v>13293</v>
      </c>
      <c r="T3609" s="6" t="s">
        <v>1019</v>
      </c>
      <c r="U3609" s="8" t="s">
        <v>13294</v>
      </c>
      <c r="V3609" s="6" t="s">
        <v>3523</v>
      </c>
      <c r="W3609" s="6" t="s">
        <v>13207</v>
      </c>
      <c r="X3609" s="9" t="str">
        <f>HYPERLINK("https://my.pitchbook.com?p=434992-87P","View People Online")</f>
        <v>View People Online</v>
      </c>
    </row>
    <row r="3610">
      <c r="A3610" s="10" t="s">
        <v>22726</v>
      </c>
      <c r="B3610" s="10" t="s">
        <v>22727</v>
      </c>
      <c r="C3610" s="10" t="s">
        <v>1395</v>
      </c>
      <c r="D3610" s="10" t="s">
        <v>22728</v>
      </c>
      <c r="E3610" s="10" t="s">
        <v>13207</v>
      </c>
      <c r="F3610" s="10" t="s">
        <v>3523</v>
      </c>
      <c r="G3610" s="10" t="s">
        <v>22729</v>
      </c>
      <c r="H3610" s="11" t="s">
        <v>31</v>
      </c>
      <c r="I3610" s="11">
        <v>1.0</v>
      </c>
      <c r="J3610" s="11">
        <v>1.0</v>
      </c>
      <c r="K3610" s="11" t="s">
        <v>31</v>
      </c>
      <c r="L3610" s="12" t="s">
        <v>13281</v>
      </c>
      <c r="M3610" s="10" t="s">
        <v>22730</v>
      </c>
      <c r="N3610" s="10" t="s">
        <v>1277</v>
      </c>
      <c r="O3610" s="12" t="s">
        <v>1278</v>
      </c>
      <c r="P3610" s="10" t="s">
        <v>13283</v>
      </c>
      <c r="Q3610" s="10" t="s">
        <v>13284</v>
      </c>
      <c r="R3610" s="10" t="s">
        <v>1281</v>
      </c>
      <c r="S3610" s="12" t="s">
        <v>1282</v>
      </c>
      <c r="T3610" s="10" t="s">
        <v>66</v>
      </c>
      <c r="U3610" s="12" t="s">
        <v>13285</v>
      </c>
      <c r="V3610" s="10" t="s">
        <v>3523</v>
      </c>
      <c r="W3610" s="10" t="s">
        <v>13207</v>
      </c>
      <c r="X3610" s="13" t="str">
        <f>HYPERLINK("https://my.pitchbook.com?p=456038-56P","View People Online")</f>
        <v>View People Online</v>
      </c>
    </row>
    <row r="3611">
      <c r="A3611" s="6" t="s">
        <v>22731</v>
      </c>
      <c r="B3611" s="6" t="s">
        <v>22732</v>
      </c>
      <c r="C3611" s="6" t="s">
        <v>1395</v>
      </c>
      <c r="D3611" s="6" t="s">
        <v>1583</v>
      </c>
      <c r="E3611" s="6" t="s">
        <v>13207</v>
      </c>
      <c r="F3611" s="6" t="s">
        <v>3523</v>
      </c>
      <c r="G3611" s="6" t="s">
        <v>22733</v>
      </c>
      <c r="H3611" s="7" t="s">
        <v>31</v>
      </c>
      <c r="I3611" s="7">
        <v>1.0</v>
      </c>
      <c r="J3611" s="7">
        <v>1.0</v>
      </c>
      <c r="K3611" s="7" t="s">
        <v>31</v>
      </c>
      <c r="L3611" s="8" t="s">
        <v>13209</v>
      </c>
      <c r="M3611" s="6" t="s">
        <v>22734</v>
      </c>
      <c r="N3611" s="6" t="s">
        <v>4232</v>
      </c>
      <c r="O3611" s="8" t="s">
        <v>4233</v>
      </c>
      <c r="P3611" s="6" t="s">
        <v>13211</v>
      </c>
      <c r="Q3611" s="6" t="s">
        <v>31</v>
      </c>
      <c r="R3611" s="6" t="s">
        <v>4236</v>
      </c>
      <c r="S3611" s="8" t="s">
        <v>13212</v>
      </c>
      <c r="T3611" s="6" t="s">
        <v>66</v>
      </c>
      <c r="U3611" s="8" t="s">
        <v>13213</v>
      </c>
      <c r="V3611" s="6" t="s">
        <v>3523</v>
      </c>
      <c r="W3611" s="6" t="s">
        <v>13207</v>
      </c>
      <c r="X3611" s="9" t="str">
        <f>HYPERLINK("https://my.pitchbook.com?p=435118-06P","View People Online")</f>
        <v>View People Online</v>
      </c>
    </row>
    <row r="3612">
      <c r="A3612" s="2" t="s">
        <v>22735</v>
      </c>
      <c r="B3612" s="2" t="s">
        <v>22736</v>
      </c>
      <c r="C3612" s="2" t="s">
        <v>7673</v>
      </c>
      <c r="D3612" s="2" t="s">
        <v>22737</v>
      </c>
      <c r="E3612" s="2" t="s">
        <v>13207</v>
      </c>
      <c r="F3612" s="2" t="s">
        <v>13218</v>
      </c>
      <c r="G3612" s="2" t="s">
        <v>22738</v>
      </c>
      <c r="H3612" s="3" t="s">
        <v>31</v>
      </c>
      <c r="I3612" s="3">
        <v>1.0</v>
      </c>
      <c r="J3612" s="3">
        <v>1.0</v>
      </c>
      <c r="K3612" s="3" t="s">
        <v>31</v>
      </c>
      <c r="L3612" s="4" t="s">
        <v>13281</v>
      </c>
      <c r="M3612" s="2" t="s">
        <v>22739</v>
      </c>
      <c r="N3612" s="2" t="s">
        <v>1277</v>
      </c>
      <c r="O3612" s="4" t="s">
        <v>1278</v>
      </c>
      <c r="P3612" s="2" t="s">
        <v>13283</v>
      </c>
      <c r="Q3612" s="2" t="s">
        <v>13284</v>
      </c>
      <c r="R3612" s="2" t="s">
        <v>1281</v>
      </c>
      <c r="S3612" s="4" t="s">
        <v>1282</v>
      </c>
      <c r="T3612" s="2" t="s">
        <v>66</v>
      </c>
      <c r="U3612" s="4" t="s">
        <v>13285</v>
      </c>
      <c r="V3612" s="2" t="s">
        <v>13218</v>
      </c>
      <c r="W3612" s="2" t="s">
        <v>13207</v>
      </c>
      <c r="X3612" s="5" t="str">
        <f>HYPERLINK("https://my.pitchbook.com?p=456699-70P","View People Online")</f>
        <v>View People Online</v>
      </c>
    </row>
    <row r="3613">
      <c r="A3613" s="14" t="s">
        <v>22740</v>
      </c>
      <c r="B3613" s="14" t="s">
        <v>22741</v>
      </c>
      <c r="C3613" s="14" t="s">
        <v>22742</v>
      </c>
      <c r="D3613" s="14" t="s">
        <v>22743</v>
      </c>
      <c r="E3613" s="14" t="s">
        <v>13207</v>
      </c>
      <c r="F3613" s="14" t="s">
        <v>3523</v>
      </c>
      <c r="G3613" s="14" t="s">
        <v>22744</v>
      </c>
      <c r="H3613" s="15" t="s">
        <v>31</v>
      </c>
      <c r="I3613" s="15">
        <v>1.0</v>
      </c>
      <c r="J3613" s="15">
        <v>1.0</v>
      </c>
      <c r="K3613" s="15" t="s">
        <v>31</v>
      </c>
      <c r="L3613" s="16" t="s">
        <v>13209</v>
      </c>
      <c r="M3613" s="14" t="s">
        <v>22745</v>
      </c>
      <c r="N3613" s="14" t="s">
        <v>4232</v>
      </c>
      <c r="O3613" s="16" t="s">
        <v>4233</v>
      </c>
      <c r="P3613" s="14" t="s">
        <v>13211</v>
      </c>
      <c r="Q3613" s="14" t="s">
        <v>31</v>
      </c>
      <c r="R3613" s="14" t="s">
        <v>4236</v>
      </c>
      <c r="S3613" s="16" t="s">
        <v>13212</v>
      </c>
      <c r="T3613" s="14" t="s">
        <v>66</v>
      </c>
      <c r="U3613" s="16" t="s">
        <v>13213</v>
      </c>
      <c r="V3613" s="14" t="s">
        <v>22746</v>
      </c>
      <c r="W3613" s="14" t="s">
        <v>13207</v>
      </c>
      <c r="X3613" s="17" t="str">
        <f>HYPERLINK("https://my.pitchbook.com?p=435941-74P","View People Online")</f>
        <v>View People Online</v>
      </c>
    </row>
    <row r="3614">
      <c r="A3614" s="10" t="s">
        <v>22747</v>
      </c>
      <c r="B3614" s="10" t="s">
        <v>22748</v>
      </c>
      <c r="C3614" s="10" t="s">
        <v>22742</v>
      </c>
      <c r="D3614" s="10" t="s">
        <v>22749</v>
      </c>
      <c r="E3614" s="10" t="s">
        <v>13207</v>
      </c>
      <c r="F3614" s="10" t="s">
        <v>3523</v>
      </c>
      <c r="G3614" s="10" t="s">
        <v>22750</v>
      </c>
      <c r="H3614" s="11" t="s">
        <v>31</v>
      </c>
      <c r="I3614" s="11">
        <v>1.0</v>
      </c>
      <c r="J3614" s="11">
        <v>1.0</v>
      </c>
      <c r="K3614" s="11" t="s">
        <v>31</v>
      </c>
      <c r="L3614" s="12" t="s">
        <v>13378</v>
      </c>
      <c r="M3614" s="10" t="s">
        <v>22751</v>
      </c>
      <c r="N3614" s="10" t="s">
        <v>429</v>
      </c>
      <c r="O3614" s="12" t="s">
        <v>430</v>
      </c>
      <c r="P3614" s="10" t="s">
        <v>13380</v>
      </c>
      <c r="Q3614" s="10" t="s">
        <v>31</v>
      </c>
      <c r="R3614" s="10" t="s">
        <v>31</v>
      </c>
      <c r="S3614" s="12" t="s">
        <v>13381</v>
      </c>
      <c r="T3614" s="10" t="s">
        <v>433</v>
      </c>
      <c r="U3614" s="12" t="s">
        <v>13382</v>
      </c>
      <c r="V3614" s="10" t="s">
        <v>3523</v>
      </c>
      <c r="W3614" s="10" t="s">
        <v>13207</v>
      </c>
      <c r="X3614" s="13" t="str">
        <f>HYPERLINK("https://my.pitchbook.com?p=435402-28P","View People Online")</f>
        <v>View People Online</v>
      </c>
    </row>
    <row r="3615">
      <c r="A3615" s="6" t="s">
        <v>22752</v>
      </c>
      <c r="B3615" s="6" t="s">
        <v>22753</v>
      </c>
      <c r="C3615" s="6" t="s">
        <v>22754</v>
      </c>
      <c r="D3615" s="6" t="s">
        <v>22755</v>
      </c>
      <c r="E3615" s="6" t="s">
        <v>13207</v>
      </c>
      <c r="F3615" s="6" t="s">
        <v>3523</v>
      </c>
      <c r="G3615" s="6" t="s">
        <v>22756</v>
      </c>
      <c r="H3615" s="7" t="s">
        <v>31</v>
      </c>
      <c r="I3615" s="7">
        <v>1.0</v>
      </c>
      <c r="J3615" s="7">
        <v>1.0</v>
      </c>
      <c r="K3615" s="7" t="s">
        <v>31</v>
      </c>
      <c r="L3615" s="8" t="s">
        <v>13839</v>
      </c>
      <c r="M3615" s="6" t="s">
        <v>22757</v>
      </c>
      <c r="N3615" s="6" t="s">
        <v>11029</v>
      </c>
      <c r="O3615" s="8" t="s">
        <v>11030</v>
      </c>
      <c r="P3615" s="6" t="s">
        <v>13841</v>
      </c>
      <c r="Q3615" s="6" t="s">
        <v>13842</v>
      </c>
      <c r="R3615" s="6" t="s">
        <v>10017</v>
      </c>
      <c r="S3615" s="8" t="s">
        <v>13843</v>
      </c>
      <c r="T3615" s="6" t="s">
        <v>66</v>
      </c>
      <c r="U3615" s="8" t="s">
        <v>13844</v>
      </c>
      <c r="V3615" s="6" t="s">
        <v>3523</v>
      </c>
      <c r="W3615" s="6" t="s">
        <v>13207</v>
      </c>
      <c r="X3615" s="9" t="str">
        <f>HYPERLINK("https://my.pitchbook.com?p=436160-62P","View People Online")</f>
        <v>View People Online</v>
      </c>
    </row>
    <row r="3616">
      <c r="A3616" s="10" t="s">
        <v>22758</v>
      </c>
      <c r="B3616" s="10" t="s">
        <v>22759</v>
      </c>
      <c r="C3616" s="10" t="s">
        <v>22754</v>
      </c>
      <c r="D3616" s="10" t="s">
        <v>562</v>
      </c>
      <c r="E3616" s="10" t="s">
        <v>13207</v>
      </c>
      <c r="F3616" s="10" t="s">
        <v>3523</v>
      </c>
      <c r="G3616" s="10" t="s">
        <v>22760</v>
      </c>
      <c r="H3616" s="11" t="s">
        <v>31</v>
      </c>
      <c r="I3616" s="11">
        <v>1.0</v>
      </c>
      <c r="J3616" s="11">
        <v>1.0</v>
      </c>
      <c r="K3616" s="11" t="s">
        <v>31</v>
      </c>
      <c r="L3616" s="12" t="s">
        <v>13281</v>
      </c>
      <c r="M3616" s="10" t="s">
        <v>22761</v>
      </c>
      <c r="N3616" s="10" t="s">
        <v>1277</v>
      </c>
      <c r="O3616" s="12" t="s">
        <v>1278</v>
      </c>
      <c r="P3616" s="10" t="s">
        <v>13283</v>
      </c>
      <c r="Q3616" s="10" t="s">
        <v>13284</v>
      </c>
      <c r="R3616" s="10" t="s">
        <v>1281</v>
      </c>
      <c r="S3616" s="12" t="s">
        <v>1282</v>
      </c>
      <c r="T3616" s="10" t="s">
        <v>66</v>
      </c>
      <c r="U3616" s="12" t="s">
        <v>13285</v>
      </c>
      <c r="V3616" s="10" t="s">
        <v>3523</v>
      </c>
      <c r="W3616" s="10" t="s">
        <v>13207</v>
      </c>
      <c r="X3616" s="13" t="str">
        <f>HYPERLINK("https://my.pitchbook.com?p=435448-45P","View People Online")</f>
        <v>View People Online</v>
      </c>
    </row>
    <row r="3617">
      <c r="A3617" s="6" t="s">
        <v>22762</v>
      </c>
      <c r="B3617" s="6" t="s">
        <v>22763</v>
      </c>
      <c r="C3617" s="6" t="s">
        <v>22764</v>
      </c>
      <c r="D3617" s="6" t="s">
        <v>22765</v>
      </c>
      <c r="E3617" s="6" t="s">
        <v>13207</v>
      </c>
      <c r="F3617" s="6" t="s">
        <v>29</v>
      </c>
      <c r="G3617" s="6" t="s">
        <v>22766</v>
      </c>
      <c r="H3617" s="7" t="s">
        <v>31</v>
      </c>
      <c r="I3617" s="7">
        <v>1.0</v>
      </c>
      <c r="J3617" s="7">
        <v>1.0</v>
      </c>
      <c r="K3617" s="7" t="s">
        <v>31</v>
      </c>
      <c r="L3617" s="8" t="s">
        <v>13263</v>
      </c>
      <c r="M3617" s="6" t="s">
        <v>22767</v>
      </c>
      <c r="N3617" s="6" t="s">
        <v>1005</v>
      </c>
      <c r="O3617" s="8" t="s">
        <v>1006</v>
      </c>
      <c r="P3617" s="6" t="s">
        <v>13265</v>
      </c>
      <c r="Q3617" s="6" t="s">
        <v>13266</v>
      </c>
      <c r="R3617" s="6" t="s">
        <v>13267</v>
      </c>
      <c r="S3617" s="8" t="s">
        <v>13268</v>
      </c>
      <c r="T3617" s="6" t="s">
        <v>1010</v>
      </c>
      <c r="U3617" s="8" t="s">
        <v>13269</v>
      </c>
      <c r="V3617" s="6" t="s">
        <v>29</v>
      </c>
      <c r="W3617" s="6" t="s">
        <v>13207</v>
      </c>
      <c r="X3617" s="9" t="str">
        <f>HYPERLINK("https://my.pitchbook.com?p=436433-32P","View People Online")</f>
        <v>View People Online</v>
      </c>
    </row>
    <row r="3618">
      <c r="A3618" s="10" t="s">
        <v>22768</v>
      </c>
      <c r="B3618" s="10" t="s">
        <v>22769</v>
      </c>
      <c r="C3618" s="10" t="s">
        <v>22764</v>
      </c>
      <c r="D3618" s="10" t="s">
        <v>22770</v>
      </c>
      <c r="E3618" s="10" t="s">
        <v>13207</v>
      </c>
      <c r="F3618" s="10" t="s">
        <v>13307</v>
      </c>
      <c r="G3618" s="10" t="s">
        <v>22771</v>
      </c>
      <c r="H3618" s="11" t="s">
        <v>31</v>
      </c>
      <c r="I3618" s="11">
        <v>1.0</v>
      </c>
      <c r="J3618" s="11">
        <v>1.0</v>
      </c>
      <c r="K3618" s="11" t="s">
        <v>31</v>
      </c>
      <c r="L3618" s="12" t="s">
        <v>13263</v>
      </c>
      <c r="M3618" s="10" t="s">
        <v>22772</v>
      </c>
      <c r="N3618" s="10" t="s">
        <v>1005</v>
      </c>
      <c r="O3618" s="12" t="s">
        <v>1006</v>
      </c>
      <c r="P3618" s="10" t="s">
        <v>13265</v>
      </c>
      <c r="Q3618" s="10" t="s">
        <v>13266</v>
      </c>
      <c r="R3618" s="10" t="s">
        <v>13267</v>
      </c>
      <c r="S3618" s="12" t="s">
        <v>13268</v>
      </c>
      <c r="T3618" s="10" t="s">
        <v>1010</v>
      </c>
      <c r="U3618" s="12" t="s">
        <v>13269</v>
      </c>
      <c r="V3618" s="10" t="s">
        <v>13317</v>
      </c>
      <c r="W3618" s="10" t="s">
        <v>13207</v>
      </c>
      <c r="X3618" s="13" t="str">
        <f>HYPERLINK("https://my.pitchbook.com?p=455271-40P","View People Online")</f>
        <v>View People Online</v>
      </c>
    </row>
    <row r="3619">
      <c r="A3619" s="6" t="s">
        <v>22773</v>
      </c>
      <c r="B3619" s="6" t="s">
        <v>22774</v>
      </c>
      <c r="C3619" s="6" t="s">
        <v>22775</v>
      </c>
      <c r="D3619" s="6" t="s">
        <v>4799</v>
      </c>
      <c r="E3619" s="6" t="s">
        <v>13207</v>
      </c>
      <c r="F3619" s="6" t="s">
        <v>3523</v>
      </c>
      <c r="G3619" s="6" t="s">
        <v>22776</v>
      </c>
      <c r="H3619" s="7" t="s">
        <v>31</v>
      </c>
      <c r="I3619" s="7">
        <v>1.0</v>
      </c>
      <c r="J3619" s="7">
        <v>1.0</v>
      </c>
      <c r="K3619" s="7" t="s">
        <v>31</v>
      </c>
      <c r="L3619" s="8" t="s">
        <v>13354</v>
      </c>
      <c r="M3619" s="6" t="s">
        <v>22777</v>
      </c>
      <c r="N3619" s="6" t="s">
        <v>13356</v>
      </c>
      <c r="O3619" s="8" t="s">
        <v>13357</v>
      </c>
      <c r="P3619" s="6" t="s">
        <v>13358</v>
      </c>
      <c r="Q3619" s="6" t="s">
        <v>13359</v>
      </c>
      <c r="R3619" s="6" t="s">
        <v>31</v>
      </c>
      <c r="S3619" s="8" t="s">
        <v>13360</v>
      </c>
      <c r="T3619" s="6" t="s">
        <v>13361</v>
      </c>
      <c r="U3619" s="8" t="s">
        <v>13362</v>
      </c>
      <c r="V3619" s="6" t="s">
        <v>3523</v>
      </c>
      <c r="W3619" s="6" t="s">
        <v>13207</v>
      </c>
      <c r="X3619" s="9" t="str">
        <f>HYPERLINK("https://my.pitchbook.com?p=436297-87P","View People Online")</f>
        <v>View People Online</v>
      </c>
    </row>
    <row r="3620">
      <c r="A3620" s="10" t="s">
        <v>22778</v>
      </c>
      <c r="B3620" s="10" t="s">
        <v>22779</v>
      </c>
      <c r="C3620" s="10" t="s">
        <v>22780</v>
      </c>
      <c r="D3620" s="10" t="s">
        <v>22781</v>
      </c>
      <c r="E3620" s="10" t="s">
        <v>13207</v>
      </c>
      <c r="F3620" s="10" t="s">
        <v>13218</v>
      </c>
      <c r="G3620" s="10" t="s">
        <v>22782</v>
      </c>
      <c r="H3620" s="11" t="s">
        <v>31</v>
      </c>
      <c r="I3620" s="11">
        <v>1.0</v>
      </c>
      <c r="J3620" s="11">
        <v>1.0</v>
      </c>
      <c r="K3620" s="11" t="s">
        <v>31</v>
      </c>
      <c r="L3620" s="12" t="s">
        <v>14387</v>
      </c>
      <c r="M3620" s="10" t="s">
        <v>22783</v>
      </c>
      <c r="N3620" s="10" t="s">
        <v>14389</v>
      </c>
      <c r="O3620" s="12" t="s">
        <v>14390</v>
      </c>
      <c r="P3620" s="10" t="s">
        <v>14391</v>
      </c>
      <c r="Q3620" s="10" t="s">
        <v>2403</v>
      </c>
      <c r="R3620" s="10" t="s">
        <v>31</v>
      </c>
      <c r="S3620" s="12" t="s">
        <v>14392</v>
      </c>
      <c r="T3620" s="10" t="s">
        <v>14393</v>
      </c>
      <c r="U3620" s="12" t="s">
        <v>14394</v>
      </c>
      <c r="V3620" s="10" t="s">
        <v>22784</v>
      </c>
      <c r="W3620" s="10" t="s">
        <v>13207</v>
      </c>
      <c r="X3620" s="13" t="str">
        <f>HYPERLINK("https://my.pitchbook.com?p=402737-95P","View People Online")</f>
        <v>View People Online</v>
      </c>
    </row>
    <row r="3621">
      <c r="A3621" s="14" t="s">
        <v>22785</v>
      </c>
      <c r="B3621" s="14" t="s">
        <v>22786</v>
      </c>
      <c r="C3621" s="14" t="s">
        <v>22787</v>
      </c>
      <c r="D3621" s="14" t="s">
        <v>22788</v>
      </c>
      <c r="E3621" s="14" t="s">
        <v>13207</v>
      </c>
      <c r="F3621" s="14" t="s">
        <v>3523</v>
      </c>
      <c r="G3621" s="14" t="s">
        <v>22789</v>
      </c>
      <c r="H3621" s="15" t="s">
        <v>31</v>
      </c>
      <c r="I3621" s="15">
        <v>1.0</v>
      </c>
      <c r="J3621" s="15">
        <v>1.0</v>
      </c>
      <c r="K3621" s="15" t="s">
        <v>31</v>
      </c>
      <c r="L3621" s="16" t="s">
        <v>13399</v>
      </c>
      <c r="M3621" s="14" t="s">
        <v>22790</v>
      </c>
      <c r="N3621" s="14" t="s">
        <v>13401</v>
      </c>
      <c r="O3621" s="16" t="s">
        <v>13402</v>
      </c>
      <c r="P3621" s="14" t="s">
        <v>13403</v>
      </c>
      <c r="Q3621" s="14" t="s">
        <v>13404</v>
      </c>
      <c r="R3621" s="14" t="s">
        <v>31</v>
      </c>
      <c r="S3621" s="16" t="s">
        <v>13405</v>
      </c>
      <c r="T3621" s="14" t="s">
        <v>13406</v>
      </c>
      <c r="U3621" s="16" t="s">
        <v>13407</v>
      </c>
      <c r="V3621" s="14" t="s">
        <v>3523</v>
      </c>
      <c r="W3621" s="14" t="s">
        <v>13207</v>
      </c>
      <c r="X3621" s="17" t="str">
        <f>HYPERLINK("https://my.pitchbook.com?p=456631-48P","View People Online")</f>
        <v>View People Online</v>
      </c>
    </row>
    <row r="3622">
      <c r="A3622" s="2" t="s">
        <v>22791</v>
      </c>
      <c r="B3622" s="2" t="s">
        <v>22792</v>
      </c>
      <c r="C3622" s="2" t="s">
        <v>22793</v>
      </c>
      <c r="D3622" s="2" t="s">
        <v>22794</v>
      </c>
      <c r="E3622" s="2" t="s">
        <v>13207</v>
      </c>
      <c r="F3622" s="2" t="s">
        <v>13218</v>
      </c>
      <c r="G3622" s="2" t="s">
        <v>22795</v>
      </c>
      <c r="H3622" s="3" t="s">
        <v>31</v>
      </c>
      <c r="I3622" s="3">
        <v>1.0</v>
      </c>
      <c r="J3622" s="3">
        <v>1.0</v>
      </c>
      <c r="K3622" s="3" t="s">
        <v>31</v>
      </c>
      <c r="L3622" s="4" t="s">
        <v>13540</v>
      </c>
      <c r="M3622" s="2" t="s">
        <v>22796</v>
      </c>
      <c r="N3622" s="2" t="s">
        <v>418</v>
      </c>
      <c r="O3622" s="4" t="s">
        <v>419</v>
      </c>
      <c r="P3622" s="2" t="s">
        <v>13542</v>
      </c>
      <c r="Q3622" s="2" t="s">
        <v>31</v>
      </c>
      <c r="R3622" s="2" t="s">
        <v>31</v>
      </c>
      <c r="S3622" s="4" t="s">
        <v>2664</v>
      </c>
      <c r="T3622" s="2" t="s">
        <v>422</v>
      </c>
      <c r="U3622" s="4" t="s">
        <v>13543</v>
      </c>
      <c r="V3622" s="2" t="s">
        <v>13218</v>
      </c>
      <c r="W3622" s="2" t="s">
        <v>13207</v>
      </c>
      <c r="X3622" s="5" t="str">
        <f>HYPERLINK("https://my.pitchbook.com?p=435443-86P","View People Online")</f>
        <v>View People Online</v>
      </c>
    </row>
    <row r="3623">
      <c r="A3623" s="14" t="s">
        <v>22797</v>
      </c>
      <c r="B3623" s="14" t="s">
        <v>22798</v>
      </c>
      <c r="C3623" s="14" t="s">
        <v>22799</v>
      </c>
      <c r="D3623" s="14" t="s">
        <v>22800</v>
      </c>
      <c r="E3623" s="14" t="s">
        <v>13207</v>
      </c>
      <c r="F3623" s="14" t="s">
        <v>13240</v>
      </c>
      <c r="G3623" s="14" t="s">
        <v>22801</v>
      </c>
      <c r="H3623" s="15" t="s">
        <v>31</v>
      </c>
      <c r="I3623" s="15">
        <v>1.0</v>
      </c>
      <c r="J3623" s="15">
        <v>1.0</v>
      </c>
      <c r="K3623" s="15" t="s">
        <v>31</v>
      </c>
      <c r="L3623" s="16" t="s">
        <v>13734</v>
      </c>
      <c r="M3623" s="14" t="s">
        <v>22802</v>
      </c>
      <c r="N3623" s="14" t="s">
        <v>2754</v>
      </c>
      <c r="O3623" s="16" t="s">
        <v>2755</v>
      </c>
      <c r="P3623" s="14" t="s">
        <v>13736</v>
      </c>
      <c r="Q3623" s="14" t="s">
        <v>31</v>
      </c>
      <c r="R3623" s="14" t="s">
        <v>31</v>
      </c>
      <c r="S3623" s="16" t="s">
        <v>13737</v>
      </c>
      <c r="T3623" s="14" t="s">
        <v>38</v>
      </c>
      <c r="U3623" s="16" t="s">
        <v>13738</v>
      </c>
      <c r="V3623" s="14" t="s">
        <v>13247</v>
      </c>
      <c r="W3623" s="14" t="s">
        <v>13207</v>
      </c>
      <c r="X3623" s="17" t="str">
        <f>HYPERLINK("https://my.pitchbook.com?p=435916-63P","View People Online")</f>
        <v>View People Online</v>
      </c>
    </row>
    <row r="3624">
      <c r="A3624" s="10" t="s">
        <v>22803</v>
      </c>
      <c r="B3624" s="10" t="s">
        <v>22804</v>
      </c>
      <c r="C3624" s="10" t="s">
        <v>22799</v>
      </c>
      <c r="D3624" s="10" t="s">
        <v>22805</v>
      </c>
      <c r="E3624" s="10" t="s">
        <v>13207</v>
      </c>
      <c r="F3624" s="10" t="s">
        <v>29</v>
      </c>
      <c r="G3624" s="10" t="s">
        <v>22806</v>
      </c>
      <c r="H3624" s="11" t="s">
        <v>31</v>
      </c>
      <c r="I3624" s="11">
        <v>1.0</v>
      </c>
      <c r="J3624" s="11">
        <v>1.0</v>
      </c>
      <c r="K3624" s="11" t="s">
        <v>31</v>
      </c>
      <c r="L3624" s="12" t="s">
        <v>13242</v>
      </c>
      <c r="M3624" s="10" t="s">
        <v>22807</v>
      </c>
      <c r="N3624" s="10" t="s">
        <v>9865</v>
      </c>
      <c r="O3624" s="12" t="s">
        <v>9866</v>
      </c>
      <c r="P3624" s="10" t="s">
        <v>13244</v>
      </c>
      <c r="Q3624" s="10" t="s">
        <v>31</v>
      </c>
      <c r="R3624" s="10" t="s">
        <v>31</v>
      </c>
      <c r="S3624" s="12" t="s">
        <v>13245</v>
      </c>
      <c r="T3624" s="10" t="s">
        <v>38</v>
      </c>
      <c r="U3624" s="12" t="s">
        <v>13246</v>
      </c>
      <c r="V3624" s="10" t="s">
        <v>29</v>
      </c>
      <c r="W3624" s="10" t="s">
        <v>13207</v>
      </c>
      <c r="X3624" s="13" t="str">
        <f>HYPERLINK("https://my.pitchbook.com?p=435840-04P","View People Online")</f>
        <v>View People Online</v>
      </c>
    </row>
    <row r="3625">
      <c r="A3625" s="14" t="s">
        <v>22808</v>
      </c>
      <c r="B3625" s="14" t="s">
        <v>22809</v>
      </c>
      <c r="C3625" s="14" t="s">
        <v>22810</v>
      </c>
      <c r="D3625" s="14" t="s">
        <v>22811</v>
      </c>
      <c r="E3625" s="14" t="s">
        <v>13207</v>
      </c>
      <c r="F3625" s="14" t="s">
        <v>13218</v>
      </c>
      <c r="G3625" s="14" t="s">
        <v>22812</v>
      </c>
      <c r="H3625" s="15" t="s">
        <v>31</v>
      </c>
      <c r="I3625" s="15">
        <v>1.0</v>
      </c>
      <c r="J3625" s="15">
        <v>1.0</v>
      </c>
      <c r="K3625" s="15" t="s">
        <v>31</v>
      </c>
      <c r="L3625" s="16" t="s">
        <v>14142</v>
      </c>
      <c r="M3625" s="14" t="s">
        <v>22813</v>
      </c>
      <c r="N3625" s="14" t="s">
        <v>273</v>
      </c>
      <c r="O3625" s="16" t="s">
        <v>274</v>
      </c>
      <c r="P3625" s="14" t="s">
        <v>14144</v>
      </c>
      <c r="Q3625" s="14" t="s">
        <v>31</v>
      </c>
      <c r="R3625" s="14" t="s">
        <v>31</v>
      </c>
      <c r="S3625" s="16" t="s">
        <v>14145</v>
      </c>
      <c r="T3625" s="14" t="s">
        <v>276</v>
      </c>
      <c r="U3625" s="16" t="s">
        <v>14146</v>
      </c>
      <c r="V3625" s="14" t="s">
        <v>13218</v>
      </c>
      <c r="W3625" s="14" t="s">
        <v>13207</v>
      </c>
      <c r="X3625" s="17" t="str">
        <f>HYPERLINK("https://my.pitchbook.com?p=436173-94P","View People Online")</f>
        <v>View People Online</v>
      </c>
    </row>
    <row r="3626">
      <c r="A3626" s="2" t="s">
        <v>22814</v>
      </c>
      <c r="B3626" s="2" t="s">
        <v>22815</v>
      </c>
      <c r="C3626" s="2" t="s">
        <v>9972</v>
      </c>
      <c r="D3626" s="2" t="s">
        <v>22816</v>
      </c>
      <c r="E3626" s="2" t="s">
        <v>13207</v>
      </c>
      <c r="F3626" s="2" t="s">
        <v>13218</v>
      </c>
      <c r="G3626" s="2" t="s">
        <v>22817</v>
      </c>
      <c r="H3626" s="3">
        <v>1.0</v>
      </c>
      <c r="I3626" s="3">
        <v>2.0</v>
      </c>
      <c r="J3626" s="3">
        <v>1.0</v>
      </c>
      <c r="K3626" s="3" t="s">
        <v>31</v>
      </c>
      <c r="L3626" s="4" t="s">
        <v>13423</v>
      </c>
      <c r="M3626" s="2" t="s">
        <v>22818</v>
      </c>
      <c r="N3626" s="2" t="s">
        <v>243</v>
      </c>
      <c r="O3626" s="4" t="s">
        <v>244</v>
      </c>
      <c r="P3626" s="2" t="s">
        <v>13425</v>
      </c>
      <c r="Q3626" s="2" t="s">
        <v>31</v>
      </c>
      <c r="R3626" s="2" t="s">
        <v>247</v>
      </c>
      <c r="S3626" s="4" t="s">
        <v>13426</v>
      </c>
      <c r="T3626" s="2" t="s">
        <v>249</v>
      </c>
      <c r="U3626" s="4" t="s">
        <v>31</v>
      </c>
      <c r="V3626" s="2" t="s">
        <v>22819</v>
      </c>
      <c r="W3626" s="2" t="s">
        <v>13207</v>
      </c>
      <c r="X3626" s="5" t="str">
        <f>HYPERLINK("https://my.pitchbook.com?p=63545-95P","View People Online")</f>
        <v>View People Online</v>
      </c>
    </row>
    <row r="3627">
      <c r="A3627" s="14" t="s">
        <v>22820</v>
      </c>
      <c r="B3627" s="14" t="s">
        <v>22821</v>
      </c>
      <c r="C3627" s="14" t="s">
        <v>22822</v>
      </c>
      <c r="D3627" s="14" t="s">
        <v>9309</v>
      </c>
      <c r="E3627" s="14" t="s">
        <v>13207</v>
      </c>
      <c r="F3627" s="14" t="s">
        <v>3523</v>
      </c>
      <c r="G3627" s="14" t="s">
        <v>22823</v>
      </c>
      <c r="H3627" s="15" t="s">
        <v>31</v>
      </c>
      <c r="I3627" s="15">
        <v>1.0</v>
      </c>
      <c r="J3627" s="15">
        <v>1.0</v>
      </c>
      <c r="K3627" s="15" t="s">
        <v>31</v>
      </c>
      <c r="L3627" s="16" t="s">
        <v>13274</v>
      </c>
      <c r="M3627" s="14" t="s">
        <v>22824</v>
      </c>
      <c r="N3627" s="14" t="s">
        <v>1181</v>
      </c>
      <c r="O3627" s="16" t="s">
        <v>1182</v>
      </c>
      <c r="P3627" s="14" t="s">
        <v>13276</v>
      </c>
      <c r="Q3627" s="14" t="s">
        <v>31</v>
      </c>
      <c r="R3627" s="14" t="s">
        <v>1185</v>
      </c>
      <c r="S3627" s="16" t="s">
        <v>4438</v>
      </c>
      <c r="T3627" s="14" t="s">
        <v>66</v>
      </c>
      <c r="U3627" s="16" t="s">
        <v>13277</v>
      </c>
      <c r="V3627" s="14" t="s">
        <v>3523</v>
      </c>
      <c r="W3627" s="14" t="s">
        <v>13207</v>
      </c>
      <c r="X3627" s="17" t="str">
        <f>HYPERLINK("https://my.pitchbook.com?p=434999-89P","View People Online")</f>
        <v>View People Online</v>
      </c>
    </row>
    <row r="3628">
      <c r="A3628" s="10" t="s">
        <v>22825</v>
      </c>
      <c r="B3628" s="10" t="s">
        <v>22826</v>
      </c>
      <c r="C3628" s="10" t="s">
        <v>22827</v>
      </c>
      <c r="D3628" s="10" t="s">
        <v>22828</v>
      </c>
      <c r="E3628" s="10" t="s">
        <v>13207</v>
      </c>
      <c r="F3628" s="10" t="s">
        <v>3523</v>
      </c>
      <c r="G3628" s="10" t="s">
        <v>22829</v>
      </c>
      <c r="H3628" s="11" t="s">
        <v>31</v>
      </c>
      <c r="I3628" s="11">
        <v>1.0</v>
      </c>
      <c r="J3628" s="11">
        <v>1.0</v>
      </c>
      <c r="K3628" s="11" t="s">
        <v>31</v>
      </c>
      <c r="L3628" s="12" t="s">
        <v>13714</v>
      </c>
      <c r="M3628" s="10" t="s">
        <v>22830</v>
      </c>
      <c r="N3628" s="10" t="s">
        <v>13716</v>
      </c>
      <c r="O3628" s="12" t="s">
        <v>13717</v>
      </c>
      <c r="P3628" s="10" t="s">
        <v>13718</v>
      </c>
      <c r="Q3628" s="10" t="s">
        <v>31</v>
      </c>
      <c r="R3628" s="10" t="s">
        <v>31</v>
      </c>
      <c r="S3628" s="12" t="s">
        <v>13719</v>
      </c>
      <c r="T3628" s="10" t="s">
        <v>38</v>
      </c>
      <c r="U3628" s="12" t="s">
        <v>13720</v>
      </c>
      <c r="V3628" s="10" t="s">
        <v>3523</v>
      </c>
      <c r="W3628" s="10" t="s">
        <v>13207</v>
      </c>
      <c r="X3628" s="13" t="str">
        <f>HYPERLINK("https://my.pitchbook.com?p=456846-49P","View People Online")</f>
        <v>View People Online</v>
      </c>
    </row>
    <row r="3629">
      <c r="A3629" s="14" t="s">
        <v>22831</v>
      </c>
      <c r="B3629" s="14" t="s">
        <v>22832</v>
      </c>
      <c r="C3629" s="14" t="s">
        <v>22833</v>
      </c>
      <c r="D3629" s="14" t="s">
        <v>22834</v>
      </c>
      <c r="E3629" s="14" t="s">
        <v>13207</v>
      </c>
      <c r="F3629" s="14" t="s">
        <v>13218</v>
      </c>
      <c r="G3629" s="14" t="s">
        <v>22835</v>
      </c>
      <c r="H3629" s="15" t="s">
        <v>31</v>
      </c>
      <c r="I3629" s="15">
        <v>3.0</v>
      </c>
      <c r="J3629" s="15">
        <v>1.0</v>
      </c>
      <c r="K3629" s="15">
        <v>1.0</v>
      </c>
      <c r="L3629" s="16" t="s">
        <v>13743</v>
      </c>
      <c r="M3629" s="14" t="s">
        <v>22836</v>
      </c>
      <c r="N3629" s="14" t="s">
        <v>1034</v>
      </c>
      <c r="O3629" s="16" t="s">
        <v>1035</v>
      </c>
      <c r="P3629" s="14" t="s">
        <v>13745</v>
      </c>
      <c r="Q3629" s="14" t="s">
        <v>13746</v>
      </c>
      <c r="R3629" s="14" t="s">
        <v>31</v>
      </c>
      <c r="S3629" s="16" t="s">
        <v>13747</v>
      </c>
      <c r="T3629" s="14" t="s">
        <v>1034</v>
      </c>
      <c r="U3629" s="16" t="s">
        <v>13748</v>
      </c>
      <c r="V3629" s="14" t="s">
        <v>22837</v>
      </c>
      <c r="W3629" s="14" t="s">
        <v>13207</v>
      </c>
      <c r="X3629" s="17" t="str">
        <f>HYPERLINK("https://my.pitchbook.com?p=57037-42P","View People Online")</f>
        <v>View People Online</v>
      </c>
    </row>
    <row r="3630">
      <c r="A3630" s="10" t="s">
        <v>22838</v>
      </c>
      <c r="B3630" s="10" t="s">
        <v>22839</v>
      </c>
      <c r="C3630" s="10" t="s">
        <v>22840</v>
      </c>
      <c r="D3630" s="10" t="s">
        <v>22841</v>
      </c>
      <c r="E3630" s="10" t="s">
        <v>13207</v>
      </c>
      <c r="F3630" s="10" t="s">
        <v>3523</v>
      </c>
      <c r="G3630" s="10" t="s">
        <v>22842</v>
      </c>
      <c r="H3630" s="11" t="s">
        <v>31</v>
      </c>
      <c r="I3630" s="11">
        <v>1.0</v>
      </c>
      <c r="J3630" s="11">
        <v>1.0</v>
      </c>
      <c r="K3630" s="11" t="s">
        <v>31</v>
      </c>
      <c r="L3630" s="12" t="s">
        <v>13540</v>
      </c>
      <c r="M3630" s="10" t="s">
        <v>22843</v>
      </c>
      <c r="N3630" s="10" t="s">
        <v>418</v>
      </c>
      <c r="O3630" s="12" t="s">
        <v>419</v>
      </c>
      <c r="P3630" s="10" t="s">
        <v>13542</v>
      </c>
      <c r="Q3630" s="10" t="s">
        <v>31</v>
      </c>
      <c r="R3630" s="10" t="s">
        <v>31</v>
      </c>
      <c r="S3630" s="12" t="s">
        <v>2664</v>
      </c>
      <c r="T3630" s="10" t="s">
        <v>422</v>
      </c>
      <c r="U3630" s="12" t="s">
        <v>13543</v>
      </c>
      <c r="V3630" s="10" t="s">
        <v>3523</v>
      </c>
      <c r="W3630" s="10" t="s">
        <v>13207</v>
      </c>
      <c r="X3630" s="13" t="str">
        <f>HYPERLINK("https://my.pitchbook.com?p=455290-75P","View People Online")</f>
        <v>View People Online</v>
      </c>
    </row>
    <row r="3631">
      <c r="A3631" s="14" t="s">
        <v>22844</v>
      </c>
      <c r="B3631" s="14" t="s">
        <v>22845</v>
      </c>
      <c r="C3631" s="14" t="s">
        <v>22846</v>
      </c>
      <c r="D3631" s="14" t="s">
        <v>22847</v>
      </c>
      <c r="E3631" s="14" t="s">
        <v>13207</v>
      </c>
      <c r="F3631" s="14" t="s">
        <v>13218</v>
      </c>
      <c r="G3631" s="14" t="s">
        <v>22848</v>
      </c>
      <c r="H3631" s="15" t="s">
        <v>31</v>
      </c>
      <c r="I3631" s="15">
        <v>1.0</v>
      </c>
      <c r="J3631" s="15">
        <v>1.0</v>
      </c>
      <c r="K3631" s="15" t="s">
        <v>31</v>
      </c>
      <c r="L3631" s="16" t="s">
        <v>13274</v>
      </c>
      <c r="M3631" s="14" t="s">
        <v>22849</v>
      </c>
      <c r="N3631" s="14" t="s">
        <v>1181</v>
      </c>
      <c r="O3631" s="16" t="s">
        <v>1182</v>
      </c>
      <c r="P3631" s="14" t="s">
        <v>13276</v>
      </c>
      <c r="Q3631" s="14" t="s">
        <v>31</v>
      </c>
      <c r="R3631" s="14" t="s">
        <v>1185</v>
      </c>
      <c r="S3631" s="16" t="s">
        <v>4438</v>
      </c>
      <c r="T3631" s="14" t="s">
        <v>66</v>
      </c>
      <c r="U3631" s="16" t="s">
        <v>13277</v>
      </c>
      <c r="V3631" s="14" t="s">
        <v>13218</v>
      </c>
      <c r="W3631" s="14" t="s">
        <v>13207</v>
      </c>
      <c r="X3631" s="17" t="str">
        <f>HYPERLINK("https://my.pitchbook.com?p=435449-80P","View People Online")</f>
        <v>View People Online</v>
      </c>
    </row>
    <row r="3632">
      <c r="A3632" s="2" t="s">
        <v>22850</v>
      </c>
      <c r="B3632" s="2" t="s">
        <v>22851</v>
      </c>
      <c r="C3632" s="2" t="s">
        <v>5321</v>
      </c>
      <c r="D3632" s="2" t="s">
        <v>22852</v>
      </c>
      <c r="E3632" s="2" t="s">
        <v>13207</v>
      </c>
      <c r="F3632" s="2" t="s">
        <v>13218</v>
      </c>
      <c r="G3632" s="2" t="s">
        <v>22853</v>
      </c>
      <c r="H3632" s="3" t="s">
        <v>31</v>
      </c>
      <c r="I3632" s="3">
        <v>1.0</v>
      </c>
      <c r="J3632" s="3">
        <v>1.0</v>
      </c>
      <c r="K3632" s="3" t="s">
        <v>31</v>
      </c>
      <c r="L3632" s="4" t="s">
        <v>13496</v>
      </c>
      <c r="M3632" s="2" t="s">
        <v>22854</v>
      </c>
      <c r="N3632" s="2" t="s">
        <v>75</v>
      </c>
      <c r="O3632" s="4" t="s">
        <v>76</v>
      </c>
      <c r="P3632" s="2" t="s">
        <v>13498</v>
      </c>
      <c r="Q3632" s="2" t="s">
        <v>31</v>
      </c>
      <c r="R3632" s="2" t="s">
        <v>75</v>
      </c>
      <c r="S3632" s="4" t="s">
        <v>195</v>
      </c>
      <c r="T3632" s="2" t="s">
        <v>66</v>
      </c>
      <c r="U3632" s="4" t="s">
        <v>13499</v>
      </c>
      <c r="V3632" s="2" t="s">
        <v>13218</v>
      </c>
      <c r="W3632" s="2" t="s">
        <v>13207</v>
      </c>
      <c r="X3632" s="5" t="str">
        <f>HYPERLINK("https://my.pitchbook.com?p=456648-85P","View People Online")</f>
        <v>View People Online</v>
      </c>
    </row>
    <row r="3633">
      <c r="A3633" s="14" t="s">
        <v>22855</v>
      </c>
      <c r="B3633" s="14" t="s">
        <v>22856</v>
      </c>
      <c r="C3633" s="14" t="s">
        <v>22857</v>
      </c>
      <c r="D3633" s="14" t="s">
        <v>22858</v>
      </c>
      <c r="E3633" s="14" t="s">
        <v>13207</v>
      </c>
      <c r="F3633" s="14" t="s">
        <v>13240</v>
      </c>
      <c r="G3633" s="14" t="s">
        <v>22859</v>
      </c>
      <c r="H3633" s="15" t="s">
        <v>31</v>
      </c>
      <c r="I3633" s="15">
        <v>1.0</v>
      </c>
      <c r="J3633" s="15">
        <v>1.0</v>
      </c>
      <c r="K3633" s="15" t="s">
        <v>31</v>
      </c>
      <c r="L3633" s="16" t="s">
        <v>13743</v>
      </c>
      <c r="M3633" s="14" t="s">
        <v>22860</v>
      </c>
      <c r="N3633" s="14" t="s">
        <v>1034</v>
      </c>
      <c r="O3633" s="16" t="s">
        <v>1035</v>
      </c>
      <c r="P3633" s="14" t="s">
        <v>13745</v>
      </c>
      <c r="Q3633" s="14" t="s">
        <v>13746</v>
      </c>
      <c r="R3633" s="14" t="s">
        <v>31</v>
      </c>
      <c r="S3633" s="16" t="s">
        <v>13747</v>
      </c>
      <c r="T3633" s="14" t="s">
        <v>1034</v>
      </c>
      <c r="U3633" s="16" t="s">
        <v>13748</v>
      </c>
      <c r="V3633" s="14" t="s">
        <v>13247</v>
      </c>
      <c r="W3633" s="14" t="s">
        <v>13207</v>
      </c>
      <c r="X3633" s="17" t="str">
        <f>HYPERLINK("https://my.pitchbook.com?p=162092-26P","View People Online")</f>
        <v>View People Online</v>
      </c>
    </row>
    <row r="3634">
      <c r="A3634" s="2" t="s">
        <v>22861</v>
      </c>
      <c r="B3634" s="2" t="s">
        <v>22862</v>
      </c>
      <c r="C3634" s="2" t="s">
        <v>22863</v>
      </c>
      <c r="D3634" s="2" t="s">
        <v>22864</v>
      </c>
      <c r="E3634" s="2" t="s">
        <v>13207</v>
      </c>
      <c r="F3634" s="2" t="s">
        <v>3523</v>
      </c>
      <c r="G3634" s="2" t="s">
        <v>22865</v>
      </c>
      <c r="H3634" s="3" t="s">
        <v>31</v>
      </c>
      <c r="I3634" s="3">
        <v>1.0</v>
      </c>
      <c r="J3634" s="3">
        <v>1.0</v>
      </c>
      <c r="K3634" s="3" t="s">
        <v>31</v>
      </c>
      <c r="L3634" s="4" t="s">
        <v>13274</v>
      </c>
      <c r="M3634" s="2" t="s">
        <v>22866</v>
      </c>
      <c r="N3634" s="2" t="s">
        <v>1181</v>
      </c>
      <c r="O3634" s="4" t="s">
        <v>1182</v>
      </c>
      <c r="P3634" s="2" t="s">
        <v>13276</v>
      </c>
      <c r="Q3634" s="2" t="s">
        <v>31</v>
      </c>
      <c r="R3634" s="2" t="s">
        <v>1185</v>
      </c>
      <c r="S3634" s="4" t="s">
        <v>4438</v>
      </c>
      <c r="T3634" s="2" t="s">
        <v>66</v>
      </c>
      <c r="U3634" s="4" t="s">
        <v>13277</v>
      </c>
      <c r="V3634" s="2" t="s">
        <v>3523</v>
      </c>
      <c r="W3634" s="2" t="s">
        <v>13207</v>
      </c>
      <c r="X3634" s="5" t="str">
        <f>HYPERLINK("https://my.pitchbook.com?p=436302-10P","View People Online")</f>
        <v>View People Online</v>
      </c>
    </row>
    <row r="3635">
      <c r="A3635" s="6" t="s">
        <v>22867</v>
      </c>
      <c r="B3635" s="6" t="s">
        <v>22868</v>
      </c>
      <c r="C3635" s="6" t="s">
        <v>22863</v>
      </c>
      <c r="D3635" s="6" t="s">
        <v>22869</v>
      </c>
      <c r="E3635" s="6" t="s">
        <v>13207</v>
      </c>
      <c r="F3635" s="6" t="s">
        <v>3523</v>
      </c>
      <c r="G3635" s="6" t="s">
        <v>22870</v>
      </c>
      <c r="H3635" s="7" t="s">
        <v>31</v>
      </c>
      <c r="I3635" s="7">
        <v>1.0</v>
      </c>
      <c r="J3635" s="7">
        <v>1.0</v>
      </c>
      <c r="K3635" s="7" t="s">
        <v>31</v>
      </c>
      <c r="L3635" s="8" t="s">
        <v>13231</v>
      </c>
      <c r="M3635" s="6" t="s">
        <v>22871</v>
      </c>
      <c r="N3635" s="6" t="s">
        <v>1203</v>
      </c>
      <c r="O3635" s="8" t="s">
        <v>1204</v>
      </c>
      <c r="P3635" s="6" t="s">
        <v>13233</v>
      </c>
      <c r="Q3635" s="6" t="s">
        <v>13234</v>
      </c>
      <c r="R3635" s="6" t="s">
        <v>1207</v>
      </c>
      <c r="S3635" s="8" t="s">
        <v>13235</v>
      </c>
      <c r="T3635" s="6" t="s">
        <v>1209</v>
      </c>
      <c r="U3635" s="8" t="s">
        <v>31</v>
      </c>
      <c r="V3635" s="6" t="s">
        <v>3523</v>
      </c>
      <c r="W3635" s="6" t="s">
        <v>13207</v>
      </c>
      <c r="X3635" s="9" t="str">
        <f>HYPERLINK("https://my.pitchbook.com?p=456713-92P","View People Online")</f>
        <v>View People Online</v>
      </c>
    </row>
    <row r="3636">
      <c r="A3636" s="10" t="s">
        <v>22872</v>
      </c>
      <c r="B3636" s="10" t="s">
        <v>22873</v>
      </c>
      <c r="C3636" s="10" t="s">
        <v>22874</v>
      </c>
      <c r="D3636" s="10" t="s">
        <v>22875</v>
      </c>
      <c r="E3636" s="10" t="s">
        <v>13207</v>
      </c>
      <c r="F3636" s="10" t="s">
        <v>13218</v>
      </c>
      <c r="G3636" s="10" t="s">
        <v>22876</v>
      </c>
      <c r="H3636" s="11" t="s">
        <v>31</v>
      </c>
      <c r="I3636" s="11">
        <v>1.0</v>
      </c>
      <c r="J3636" s="11">
        <v>1.0</v>
      </c>
      <c r="K3636" s="11" t="s">
        <v>31</v>
      </c>
      <c r="L3636" s="12" t="s">
        <v>15380</v>
      </c>
      <c r="M3636" s="10" t="s">
        <v>22877</v>
      </c>
      <c r="N3636" s="10" t="s">
        <v>2876</v>
      </c>
      <c r="O3636" s="12" t="s">
        <v>2877</v>
      </c>
      <c r="P3636" s="10" t="s">
        <v>15382</v>
      </c>
      <c r="Q3636" s="10" t="s">
        <v>31</v>
      </c>
      <c r="R3636" s="10" t="s">
        <v>31</v>
      </c>
      <c r="S3636" s="12" t="s">
        <v>15383</v>
      </c>
      <c r="T3636" s="10" t="s">
        <v>2880</v>
      </c>
      <c r="U3636" s="12" t="s">
        <v>15384</v>
      </c>
      <c r="V3636" s="10" t="s">
        <v>13218</v>
      </c>
      <c r="W3636" s="10" t="s">
        <v>13207</v>
      </c>
      <c r="X3636" s="13" t="str">
        <f>HYPERLINK("https://my.pitchbook.com?p=456654-70P","View People Online")</f>
        <v>View People Online</v>
      </c>
    </row>
    <row r="3637">
      <c r="A3637" s="14" t="s">
        <v>22878</v>
      </c>
      <c r="B3637" s="14" t="s">
        <v>22879</v>
      </c>
      <c r="C3637" s="14" t="s">
        <v>22880</v>
      </c>
      <c r="D3637" s="14" t="s">
        <v>22881</v>
      </c>
      <c r="E3637" s="14" t="s">
        <v>13207</v>
      </c>
      <c r="F3637" s="14" t="s">
        <v>13240</v>
      </c>
      <c r="G3637" s="14" t="s">
        <v>22882</v>
      </c>
      <c r="H3637" s="15" t="s">
        <v>31</v>
      </c>
      <c r="I3637" s="15">
        <v>1.0</v>
      </c>
      <c r="J3637" s="15">
        <v>1.0</v>
      </c>
      <c r="K3637" s="15" t="s">
        <v>31</v>
      </c>
      <c r="L3637" s="16" t="s">
        <v>13289</v>
      </c>
      <c r="M3637" s="14" t="s">
        <v>22883</v>
      </c>
      <c r="N3637" s="14" t="s">
        <v>1348</v>
      </c>
      <c r="O3637" s="16" t="s">
        <v>1349</v>
      </c>
      <c r="P3637" s="14" t="s">
        <v>13291</v>
      </c>
      <c r="Q3637" s="14" t="s">
        <v>13292</v>
      </c>
      <c r="R3637" s="14" t="s">
        <v>1018</v>
      </c>
      <c r="S3637" s="16" t="s">
        <v>13293</v>
      </c>
      <c r="T3637" s="14" t="s">
        <v>1019</v>
      </c>
      <c r="U3637" s="16" t="s">
        <v>13294</v>
      </c>
      <c r="V3637" s="14" t="s">
        <v>22884</v>
      </c>
      <c r="W3637" s="14" t="s">
        <v>13207</v>
      </c>
      <c r="X3637" s="17" t="str">
        <f>HYPERLINK("https://my.pitchbook.com?p=162085-60P","View People Online")</f>
        <v>View People Online</v>
      </c>
    </row>
    <row r="3638">
      <c r="A3638" s="2" t="s">
        <v>22885</v>
      </c>
      <c r="B3638" s="2" t="s">
        <v>22886</v>
      </c>
      <c r="C3638" s="2" t="s">
        <v>22887</v>
      </c>
      <c r="D3638" s="2" t="s">
        <v>673</v>
      </c>
      <c r="E3638" s="2" t="s">
        <v>13207</v>
      </c>
      <c r="F3638" s="2" t="s">
        <v>13218</v>
      </c>
      <c r="G3638" s="2" t="s">
        <v>22888</v>
      </c>
      <c r="H3638" s="3" t="s">
        <v>31</v>
      </c>
      <c r="I3638" s="3">
        <v>1.0</v>
      </c>
      <c r="J3638" s="3">
        <v>1.0</v>
      </c>
      <c r="K3638" s="3" t="s">
        <v>31</v>
      </c>
      <c r="L3638" s="4" t="s">
        <v>13642</v>
      </c>
      <c r="M3638" s="2" t="s">
        <v>22889</v>
      </c>
      <c r="N3638" s="2" t="s">
        <v>3334</v>
      </c>
      <c r="O3638" s="4" t="s">
        <v>3335</v>
      </c>
      <c r="P3638" s="2" t="s">
        <v>13644</v>
      </c>
      <c r="Q3638" s="2" t="s">
        <v>13645</v>
      </c>
      <c r="R3638" s="2" t="s">
        <v>31</v>
      </c>
      <c r="S3638" s="4" t="s">
        <v>13646</v>
      </c>
      <c r="T3638" s="2" t="s">
        <v>3339</v>
      </c>
      <c r="U3638" s="4" t="s">
        <v>13647</v>
      </c>
      <c r="V3638" s="2" t="s">
        <v>13218</v>
      </c>
      <c r="W3638" s="2" t="s">
        <v>13207</v>
      </c>
      <c r="X3638" s="5" t="str">
        <f>HYPERLINK("https://my.pitchbook.com?p=456755-05P","View People Online")</f>
        <v>View People Online</v>
      </c>
    </row>
    <row r="3639">
      <c r="A3639" s="14" t="s">
        <v>22890</v>
      </c>
      <c r="B3639" s="14" t="s">
        <v>22891</v>
      </c>
      <c r="C3639" s="14" t="s">
        <v>3728</v>
      </c>
      <c r="D3639" s="14" t="s">
        <v>22892</v>
      </c>
      <c r="E3639" s="14" t="s">
        <v>13207</v>
      </c>
      <c r="F3639" s="14" t="s">
        <v>3523</v>
      </c>
      <c r="G3639" s="14" t="s">
        <v>22893</v>
      </c>
      <c r="H3639" s="15" t="s">
        <v>31</v>
      </c>
      <c r="I3639" s="15">
        <v>1.0</v>
      </c>
      <c r="J3639" s="15">
        <v>1.0</v>
      </c>
      <c r="K3639" s="15" t="s">
        <v>31</v>
      </c>
      <c r="L3639" s="16" t="s">
        <v>13345</v>
      </c>
      <c r="M3639" s="14" t="s">
        <v>22894</v>
      </c>
      <c r="N3639" s="14" t="s">
        <v>2764</v>
      </c>
      <c r="O3639" s="16" t="s">
        <v>2765</v>
      </c>
      <c r="P3639" s="14" t="s">
        <v>13347</v>
      </c>
      <c r="Q3639" s="14" t="s">
        <v>31</v>
      </c>
      <c r="R3639" s="14" t="s">
        <v>31</v>
      </c>
      <c r="S3639" s="16" t="s">
        <v>13348</v>
      </c>
      <c r="T3639" s="14" t="s">
        <v>2768</v>
      </c>
      <c r="U3639" s="16" t="s">
        <v>13349</v>
      </c>
      <c r="V3639" s="14" t="s">
        <v>3523</v>
      </c>
      <c r="W3639" s="14" t="s">
        <v>13207</v>
      </c>
      <c r="X3639" s="17" t="str">
        <f>HYPERLINK("https://my.pitchbook.com?p=436158-64P","View People Online")</f>
        <v>View People Online</v>
      </c>
    </row>
    <row r="3640">
      <c r="A3640" s="10" t="s">
        <v>22895</v>
      </c>
      <c r="B3640" s="10" t="s">
        <v>22896</v>
      </c>
      <c r="C3640" s="10" t="s">
        <v>7262</v>
      </c>
      <c r="D3640" s="10" t="s">
        <v>3901</v>
      </c>
      <c r="E3640" s="10" t="s">
        <v>13207</v>
      </c>
      <c r="F3640" s="10" t="s">
        <v>318</v>
      </c>
      <c r="G3640" s="10" t="s">
        <v>22897</v>
      </c>
      <c r="H3640" s="11" t="s">
        <v>31</v>
      </c>
      <c r="I3640" s="11">
        <v>1.0</v>
      </c>
      <c r="J3640" s="11">
        <v>1.0</v>
      </c>
      <c r="K3640" s="11" t="s">
        <v>31</v>
      </c>
      <c r="L3640" s="12" t="s">
        <v>13423</v>
      </c>
      <c r="M3640" s="10" t="s">
        <v>22898</v>
      </c>
      <c r="N3640" s="10" t="s">
        <v>243</v>
      </c>
      <c r="O3640" s="12" t="s">
        <v>244</v>
      </c>
      <c r="P3640" s="10" t="s">
        <v>13425</v>
      </c>
      <c r="Q3640" s="10" t="s">
        <v>31</v>
      </c>
      <c r="R3640" s="10" t="s">
        <v>247</v>
      </c>
      <c r="S3640" s="12" t="s">
        <v>13426</v>
      </c>
      <c r="T3640" s="10" t="s">
        <v>249</v>
      </c>
      <c r="U3640" s="12" t="s">
        <v>31</v>
      </c>
      <c r="V3640" s="10" t="s">
        <v>318</v>
      </c>
      <c r="W3640" s="10" t="s">
        <v>13207</v>
      </c>
      <c r="X3640" s="13" t="str">
        <f>HYPERLINK("https://my.pitchbook.com?p=435161-26P","View People Online")</f>
        <v>View People Online</v>
      </c>
    </row>
    <row r="3641">
      <c r="A3641" s="14" t="s">
        <v>22899</v>
      </c>
      <c r="B3641" s="14" t="s">
        <v>22900</v>
      </c>
      <c r="C3641" s="14" t="s">
        <v>22901</v>
      </c>
      <c r="D3641" s="14" t="s">
        <v>22902</v>
      </c>
      <c r="E3641" s="14" t="s">
        <v>13207</v>
      </c>
      <c r="F3641" s="14" t="s">
        <v>13218</v>
      </c>
      <c r="G3641" s="14" t="s">
        <v>22903</v>
      </c>
      <c r="H3641" s="15" t="s">
        <v>31</v>
      </c>
      <c r="I3641" s="15">
        <v>42.0</v>
      </c>
      <c r="J3641" s="15">
        <v>3.0</v>
      </c>
      <c r="K3641" s="15">
        <v>37.0</v>
      </c>
      <c r="L3641" s="16" t="s">
        <v>15848</v>
      </c>
      <c r="M3641" s="14" t="s">
        <v>31</v>
      </c>
      <c r="N3641" s="14" t="s">
        <v>15850</v>
      </c>
      <c r="O3641" s="16" t="s">
        <v>15851</v>
      </c>
      <c r="P3641" s="14" t="s">
        <v>15852</v>
      </c>
      <c r="Q3641" s="14" t="s">
        <v>15853</v>
      </c>
      <c r="R3641" s="14" t="s">
        <v>15854</v>
      </c>
      <c r="S3641" s="16" t="s">
        <v>15855</v>
      </c>
      <c r="T3641" s="14" t="s">
        <v>1209</v>
      </c>
      <c r="U3641" s="16" t="s">
        <v>31</v>
      </c>
      <c r="V3641" s="14" t="s">
        <v>157</v>
      </c>
      <c r="W3641" s="14" t="s">
        <v>15856</v>
      </c>
      <c r="X3641" s="17" t="str">
        <f>HYPERLINK("https://my.pitchbook.com?p=88830-46P","View People Online")</f>
        <v>View People Online</v>
      </c>
    </row>
    <row r="3642">
      <c r="A3642" s="10" t="s">
        <v>22904</v>
      </c>
      <c r="B3642" s="10" t="s">
        <v>22905</v>
      </c>
      <c r="C3642" s="10" t="s">
        <v>22906</v>
      </c>
      <c r="D3642" s="10" t="s">
        <v>22907</v>
      </c>
      <c r="E3642" s="10" t="s">
        <v>13207</v>
      </c>
      <c r="F3642" s="10" t="s">
        <v>3523</v>
      </c>
      <c r="G3642" s="10" t="s">
        <v>22908</v>
      </c>
      <c r="H3642" s="11" t="s">
        <v>31</v>
      </c>
      <c r="I3642" s="11">
        <v>1.0</v>
      </c>
      <c r="J3642" s="11">
        <v>1.0</v>
      </c>
      <c r="K3642" s="11" t="s">
        <v>31</v>
      </c>
      <c r="L3642" s="12" t="s">
        <v>13274</v>
      </c>
      <c r="M3642" s="10" t="s">
        <v>22909</v>
      </c>
      <c r="N3642" s="10" t="s">
        <v>1181</v>
      </c>
      <c r="O3642" s="12" t="s">
        <v>1182</v>
      </c>
      <c r="P3642" s="10" t="s">
        <v>13276</v>
      </c>
      <c r="Q3642" s="10" t="s">
        <v>31</v>
      </c>
      <c r="R3642" s="10" t="s">
        <v>1185</v>
      </c>
      <c r="S3642" s="12" t="s">
        <v>4438</v>
      </c>
      <c r="T3642" s="10" t="s">
        <v>66</v>
      </c>
      <c r="U3642" s="12" t="s">
        <v>13277</v>
      </c>
      <c r="V3642" s="10" t="s">
        <v>3523</v>
      </c>
      <c r="W3642" s="10" t="s">
        <v>13207</v>
      </c>
      <c r="X3642" s="13" t="str">
        <f>HYPERLINK("https://my.pitchbook.com?p=436300-48P","View People Online")</f>
        <v>View People Online</v>
      </c>
    </row>
    <row r="3643">
      <c r="A3643" s="14" t="s">
        <v>22910</v>
      </c>
      <c r="B3643" s="14" t="s">
        <v>22911</v>
      </c>
      <c r="C3643" s="14" t="s">
        <v>22906</v>
      </c>
      <c r="D3643" s="14" t="s">
        <v>4586</v>
      </c>
      <c r="E3643" s="14" t="s">
        <v>13207</v>
      </c>
      <c r="F3643" s="14" t="s">
        <v>13218</v>
      </c>
      <c r="G3643" s="14" t="s">
        <v>22912</v>
      </c>
      <c r="H3643" s="15" t="s">
        <v>31</v>
      </c>
      <c r="I3643" s="15">
        <v>1.0</v>
      </c>
      <c r="J3643" s="15">
        <v>1.0</v>
      </c>
      <c r="K3643" s="15" t="s">
        <v>31</v>
      </c>
      <c r="L3643" s="16" t="s">
        <v>13412</v>
      </c>
      <c r="M3643" s="14" t="s">
        <v>22913</v>
      </c>
      <c r="N3643" s="14" t="s">
        <v>13414</v>
      </c>
      <c r="O3643" s="16" t="s">
        <v>13415</v>
      </c>
      <c r="P3643" s="14" t="s">
        <v>13416</v>
      </c>
      <c r="Q3643" s="14" t="s">
        <v>31</v>
      </c>
      <c r="R3643" s="14" t="s">
        <v>209</v>
      </c>
      <c r="S3643" s="16" t="s">
        <v>13417</v>
      </c>
      <c r="T3643" s="14" t="s">
        <v>66</v>
      </c>
      <c r="U3643" s="16" t="s">
        <v>13418</v>
      </c>
      <c r="V3643" s="14" t="s">
        <v>13218</v>
      </c>
      <c r="W3643" s="14" t="s">
        <v>13207</v>
      </c>
      <c r="X3643" s="17" t="str">
        <f>HYPERLINK("https://my.pitchbook.com?p=435861-10P","View People Online")</f>
        <v>View People Online</v>
      </c>
    </row>
    <row r="3644">
      <c r="A3644" s="2" t="s">
        <v>22914</v>
      </c>
      <c r="B3644" s="2" t="s">
        <v>22915</v>
      </c>
      <c r="C3644" s="2" t="s">
        <v>22916</v>
      </c>
      <c r="D3644" s="2" t="s">
        <v>5127</v>
      </c>
      <c r="E3644" s="2" t="s">
        <v>13207</v>
      </c>
      <c r="F3644" s="2" t="s">
        <v>3523</v>
      </c>
      <c r="G3644" s="2" t="s">
        <v>22917</v>
      </c>
      <c r="H3644" s="3" t="s">
        <v>31</v>
      </c>
      <c r="I3644" s="3">
        <v>1.0</v>
      </c>
      <c r="J3644" s="3">
        <v>1.0</v>
      </c>
      <c r="K3644" s="3" t="s">
        <v>31</v>
      </c>
      <c r="L3644" s="4" t="s">
        <v>13496</v>
      </c>
      <c r="M3644" s="2" t="s">
        <v>22918</v>
      </c>
      <c r="N3644" s="2" t="s">
        <v>75</v>
      </c>
      <c r="O3644" s="4" t="s">
        <v>76</v>
      </c>
      <c r="P3644" s="2" t="s">
        <v>13498</v>
      </c>
      <c r="Q3644" s="2" t="s">
        <v>31</v>
      </c>
      <c r="R3644" s="2" t="s">
        <v>75</v>
      </c>
      <c r="S3644" s="4" t="s">
        <v>195</v>
      </c>
      <c r="T3644" s="2" t="s">
        <v>66</v>
      </c>
      <c r="U3644" s="4" t="s">
        <v>13499</v>
      </c>
      <c r="V3644" s="2" t="s">
        <v>3523</v>
      </c>
      <c r="W3644" s="2" t="s">
        <v>13207</v>
      </c>
      <c r="X3644" s="5" t="str">
        <f>HYPERLINK("https://my.pitchbook.com?p=434810-26P","View People Online")</f>
        <v>View People Online</v>
      </c>
    </row>
    <row r="3645">
      <c r="A3645" s="6" t="s">
        <v>22919</v>
      </c>
      <c r="B3645" s="6" t="s">
        <v>22920</v>
      </c>
      <c r="C3645" s="6" t="s">
        <v>22916</v>
      </c>
      <c r="D3645" s="6" t="s">
        <v>22921</v>
      </c>
      <c r="E3645" s="6" t="s">
        <v>13207</v>
      </c>
      <c r="F3645" s="6" t="s">
        <v>13218</v>
      </c>
      <c r="G3645" s="6" t="s">
        <v>22922</v>
      </c>
      <c r="H3645" s="7" t="s">
        <v>31</v>
      </c>
      <c r="I3645" s="7">
        <v>1.0</v>
      </c>
      <c r="J3645" s="7">
        <v>1.0</v>
      </c>
      <c r="K3645" s="7" t="s">
        <v>31</v>
      </c>
      <c r="L3645" s="8" t="s">
        <v>13231</v>
      </c>
      <c r="M3645" s="6" t="s">
        <v>22923</v>
      </c>
      <c r="N3645" s="6" t="s">
        <v>1203</v>
      </c>
      <c r="O3645" s="8" t="s">
        <v>1204</v>
      </c>
      <c r="P3645" s="6" t="s">
        <v>13233</v>
      </c>
      <c r="Q3645" s="6" t="s">
        <v>13234</v>
      </c>
      <c r="R3645" s="6" t="s">
        <v>1207</v>
      </c>
      <c r="S3645" s="8" t="s">
        <v>13235</v>
      </c>
      <c r="T3645" s="6" t="s">
        <v>1209</v>
      </c>
      <c r="U3645" s="8" t="s">
        <v>31</v>
      </c>
      <c r="V3645" s="6" t="s">
        <v>13218</v>
      </c>
      <c r="W3645" s="6" t="s">
        <v>13207</v>
      </c>
      <c r="X3645" s="9" t="str">
        <f>HYPERLINK("https://my.pitchbook.com?p=435967-48P","View People Online")</f>
        <v>View People Online</v>
      </c>
    </row>
    <row r="3646">
      <c r="A3646" s="10" t="s">
        <v>22924</v>
      </c>
      <c r="B3646" s="10" t="s">
        <v>22925</v>
      </c>
      <c r="C3646" s="10" t="s">
        <v>22926</v>
      </c>
      <c r="D3646" s="10" t="s">
        <v>10514</v>
      </c>
      <c r="E3646" s="10" t="s">
        <v>13207</v>
      </c>
      <c r="F3646" s="10" t="s">
        <v>3523</v>
      </c>
      <c r="G3646" s="10" t="s">
        <v>22927</v>
      </c>
      <c r="H3646" s="11" t="s">
        <v>31</v>
      </c>
      <c r="I3646" s="11">
        <v>1.0</v>
      </c>
      <c r="J3646" s="11">
        <v>1.0</v>
      </c>
      <c r="K3646" s="11" t="s">
        <v>31</v>
      </c>
      <c r="L3646" s="12" t="s">
        <v>13701</v>
      </c>
      <c r="M3646" s="10" t="s">
        <v>22928</v>
      </c>
      <c r="N3646" s="10" t="s">
        <v>13703</v>
      </c>
      <c r="O3646" s="12" t="s">
        <v>13704</v>
      </c>
      <c r="P3646" s="10" t="s">
        <v>13705</v>
      </c>
      <c r="Q3646" s="10" t="s">
        <v>13706</v>
      </c>
      <c r="R3646" s="10" t="s">
        <v>13707</v>
      </c>
      <c r="S3646" s="12" t="s">
        <v>13708</v>
      </c>
      <c r="T3646" s="10" t="s">
        <v>5484</v>
      </c>
      <c r="U3646" s="12" t="s">
        <v>13709</v>
      </c>
      <c r="V3646" s="10" t="s">
        <v>3523</v>
      </c>
      <c r="W3646" s="10" t="s">
        <v>13207</v>
      </c>
      <c r="X3646" s="13" t="str">
        <f>HYPERLINK("https://my.pitchbook.com?p=455659-03P","View People Online")</f>
        <v>View People Online</v>
      </c>
    </row>
    <row r="3647">
      <c r="A3647" s="6" t="s">
        <v>22929</v>
      </c>
      <c r="B3647" s="6" t="s">
        <v>22930</v>
      </c>
      <c r="C3647" s="6" t="s">
        <v>2504</v>
      </c>
      <c r="D3647" s="6" t="s">
        <v>22931</v>
      </c>
      <c r="E3647" s="6" t="s">
        <v>13207</v>
      </c>
      <c r="F3647" s="6" t="s">
        <v>13218</v>
      </c>
      <c r="G3647" s="6" t="s">
        <v>22932</v>
      </c>
      <c r="H3647" s="7" t="s">
        <v>31</v>
      </c>
      <c r="I3647" s="7">
        <v>3.0</v>
      </c>
      <c r="J3647" s="7">
        <v>1.0</v>
      </c>
      <c r="K3647" s="7" t="s">
        <v>31</v>
      </c>
      <c r="L3647" s="8" t="s">
        <v>13289</v>
      </c>
      <c r="M3647" s="6" t="s">
        <v>22933</v>
      </c>
      <c r="N3647" s="6" t="s">
        <v>1348</v>
      </c>
      <c r="O3647" s="8" t="s">
        <v>1349</v>
      </c>
      <c r="P3647" s="6" t="s">
        <v>13291</v>
      </c>
      <c r="Q3647" s="6" t="s">
        <v>13292</v>
      </c>
      <c r="R3647" s="6" t="s">
        <v>1018</v>
      </c>
      <c r="S3647" s="8" t="s">
        <v>13293</v>
      </c>
      <c r="T3647" s="6" t="s">
        <v>1019</v>
      </c>
      <c r="U3647" s="8" t="s">
        <v>13294</v>
      </c>
      <c r="V3647" s="6" t="s">
        <v>14182</v>
      </c>
      <c r="W3647" s="6" t="s">
        <v>13207</v>
      </c>
      <c r="X3647" s="9" t="str">
        <f>HYPERLINK("https://my.pitchbook.com?p=155206-63P","View People Online")</f>
        <v>View People Online</v>
      </c>
    </row>
    <row r="3648">
      <c r="A3648" s="2" t="s">
        <v>22934</v>
      </c>
      <c r="B3648" s="2" t="s">
        <v>22935</v>
      </c>
      <c r="C3648" s="2" t="s">
        <v>22936</v>
      </c>
      <c r="D3648" s="2" t="s">
        <v>22937</v>
      </c>
      <c r="E3648" s="2" t="s">
        <v>13207</v>
      </c>
      <c r="F3648" s="2" t="s">
        <v>3523</v>
      </c>
      <c r="G3648" s="2" t="s">
        <v>22938</v>
      </c>
      <c r="H3648" s="3" t="s">
        <v>31</v>
      </c>
      <c r="I3648" s="3">
        <v>1.0</v>
      </c>
      <c r="J3648" s="3">
        <v>1.0</v>
      </c>
      <c r="K3648" s="3" t="s">
        <v>31</v>
      </c>
      <c r="L3648" s="4" t="s">
        <v>13378</v>
      </c>
      <c r="M3648" s="2" t="s">
        <v>22939</v>
      </c>
      <c r="N3648" s="2" t="s">
        <v>429</v>
      </c>
      <c r="O3648" s="4" t="s">
        <v>430</v>
      </c>
      <c r="P3648" s="2" t="s">
        <v>13380</v>
      </c>
      <c r="Q3648" s="2" t="s">
        <v>31</v>
      </c>
      <c r="R3648" s="2" t="s">
        <v>31</v>
      </c>
      <c r="S3648" s="4" t="s">
        <v>13381</v>
      </c>
      <c r="T3648" s="2" t="s">
        <v>433</v>
      </c>
      <c r="U3648" s="4" t="s">
        <v>13382</v>
      </c>
      <c r="V3648" s="2" t="s">
        <v>3523</v>
      </c>
      <c r="W3648" s="2" t="s">
        <v>13207</v>
      </c>
      <c r="X3648" s="5" t="str">
        <f>HYPERLINK("https://my.pitchbook.com?p=435763-54P","View People Online")</f>
        <v>View People Online</v>
      </c>
    </row>
    <row r="3649">
      <c r="A3649" s="6" t="s">
        <v>22940</v>
      </c>
      <c r="B3649" s="6" t="s">
        <v>22941</v>
      </c>
      <c r="C3649" s="6" t="s">
        <v>22942</v>
      </c>
      <c r="D3649" s="6" t="s">
        <v>22943</v>
      </c>
      <c r="E3649" s="6" t="s">
        <v>13207</v>
      </c>
      <c r="F3649" s="6" t="s">
        <v>3523</v>
      </c>
      <c r="G3649" s="6" t="s">
        <v>22944</v>
      </c>
      <c r="H3649" s="7" t="s">
        <v>31</v>
      </c>
      <c r="I3649" s="7">
        <v>1.0</v>
      </c>
      <c r="J3649" s="7">
        <v>1.0</v>
      </c>
      <c r="K3649" s="7" t="s">
        <v>31</v>
      </c>
      <c r="L3649" s="8" t="s">
        <v>13274</v>
      </c>
      <c r="M3649" s="6" t="s">
        <v>22945</v>
      </c>
      <c r="N3649" s="6" t="s">
        <v>1181</v>
      </c>
      <c r="O3649" s="8" t="s">
        <v>1182</v>
      </c>
      <c r="P3649" s="6" t="s">
        <v>13276</v>
      </c>
      <c r="Q3649" s="6" t="s">
        <v>31</v>
      </c>
      <c r="R3649" s="6" t="s">
        <v>1185</v>
      </c>
      <c r="S3649" s="8" t="s">
        <v>4438</v>
      </c>
      <c r="T3649" s="6" t="s">
        <v>66</v>
      </c>
      <c r="U3649" s="8" t="s">
        <v>13277</v>
      </c>
      <c r="V3649" s="6" t="s">
        <v>3523</v>
      </c>
      <c r="W3649" s="6" t="s">
        <v>13207</v>
      </c>
      <c r="X3649" s="9" t="str">
        <f>HYPERLINK("https://my.pitchbook.com?p=456517-09P","View People Online")</f>
        <v>View People Online</v>
      </c>
    </row>
    <row r="3650">
      <c r="A3650" s="10" t="s">
        <v>22946</v>
      </c>
      <c r="B3650" s="10" t="s">
        <v>22947</v>
      </c>
      <c r="C3650" s="10" t="s">
        <v>22948</v>
      </c>
      <c r="D3650" s="10" t="s">
        <v>2432</v>
      </c>
      <c r="E3650" s="10" t="s">
        <v>13207</v>
      </c>
      <c r="F3650" s="10" t="s">
        <v>3523</v>
      </c>
      <c r="G3650" s="10" t="s">
        <v>22949</v>
      </c>
      <c r="H3650" s="11" t="s">
        <v>31</v>
      </c>
      <c r="I3650" s="11">
        <v>1.0</v>
      </c>
      <c r="J3650" s="11">
        <v>1.0</v>
      </c>
      <c r="K3650" s="11" t="s">
        <v>31</v>
      </c>
      <c r="L3650" s="12" t="s">
        <v>13274</v>
      </c>
      <c r="M3650" s="10" t="s">
        <v>22950</v>
      </c>
      <c r="N3650" s="10" t="s">
        <v>1181</v>
      </c>
      <c r="O3650" s="12" t="s">
        <v>1182</v>
      </c>
      <c r="P3650" s="10" t="s">
        <v>13276</v>
      </c>
      <c r="Q3650" s="10" t="s">
        <v>31</v>
      </c>
      <c r="R3650" s="10" t="s">
        <v>1185</v>
      </c>
      <c r="S3650" s="12" t="s">
        <v>4438</v>
      </c>
      <c r="T3650" s="10" t="s">
        <v>66</v>
      </c>
      <c r="U3650" s="12" t="s">
        <v>13277</v>
      </c>
      <c r="V3650" s="10" t="s">
        <v>3523</v>
      </c>
      <c r="W3650" s="10" t="s">
        <v>13207</v>
      </c>
      <c r="X3650" s="13" t="str">
        <f>HYPERLINK("https://my.pitchbook.com?p=435622-42P","View People Online")</f>
        <v>View People Online</v>
      </c>
    </row>
    <row r="3651">
      <c r="A3651" s="14" t="s">
        <v>22951</v>
      </c>
      <c r="B3651" s="14" t="s">
        <v>22952</v>
      </c>
      <c r="C3651" s="14" t="s">
        <v>22948</v>
      </c>
      <c r="D3651" s="14" t="s">
        <v>22953</v>
      </c>
      <c r="E3651" s="14" t="s">
        <v>13207</v>
      </c>
      <c r="F3651" s="14" t="s">
        <v>3523</v>
      </c>
      <c r="G3651" s="14" t="s">
        <v>22954</v>
      </c>
      <c r="H3651" s="15" t="s">
        <v>31</v>
      </c>
      <c r="I3651" s="15">
        <v>1.0</v>
      </c>
      <c r="J3651" s="15">
        <v>1.0</v>
      </c>
      <c r="K3651" s="15" t="s">
        <v>31</v>
      </c>
      <c r="L3651" s="16" t="s">
        <v>13274</v>
      </c>
      <c r="M3651" s="14" t="s">
        <v>22955</v>
      </c>
      <c r="N3651" s="14" t="s">
        <v>1181</v>
      </c>
      <c r="O3651" s="16" t="s">
        <v>1182</v>
      </c>
      <c r="P3651" s="14" t="s">
        <v>13276</v>
      </c>
      <c r="Q3651" s="14" t="s">
        <v>31</v>
      </c>
      <c r="R3651" s="14" t="s">
        <v>1185</v>
      </c>
      <c r="S3651" s="16" t="s">
        <v>4438</v>
      </c>
      <c r="T3651" s="14" t="s">
        <v>66</v>
      </c>
      <c r="U3651" s="16" t="s">
        <v>13277</v>
      </c>
      <c r="V3651" s="14" t="s">
        <v>3523</v>
      </c>
      <c r="W3651" s="14" t="s">
        <v>13207</v>
      </c>
      <c r="X3651" s="17" t="str">
        <f>HYPERLINK("https://my.pitchbook.com?p=435200-41P","View People Online")</f>
        <v>View People Online</v>
      </c>
    </row>
    <row r="3652">
      <c r="A3652" s="10" t="s">
        <v>22956</v>
      </c>
      <c r="B3652" s="10" t="s">
        <v>22957</v>
      </c>
      <c r="C3652" s="10" t="s">
        <v>1078</v>
      </c>
      <c r="D3652" s="10" t="s">
        <v>22958</v>
      </c>
      <c r="E3652" s="10" t="s">
        <v>13207</v>
      </c>
      <c r="F3652" s="10" t="s">
        <v>3523</v>
      </c>
      <c r="G3652" s="10" t="s">
        <v>22959</v>
      </c>
      <c r="H3652" s="11" t="s">
        <v>31</v>
      </c>
      <c r="I3652" s="11">
        <v>1.0</v>
      </c>
      <c r="J3652" s="11">
        <v>1.0</v>
      </c>
      <c r="K3652" s="11" t="s">
        <v>31</v>
      </c>
      <c r="L3652" s="12" t="s">
        <v>13274</v>
      </c>
      <c r="M3652" s="10" t="s">
        <v>22960</v>
      </c>
      <c r="N3652" s="10" t="s">
        <v>1181</v>
      </c>
      <c r="O3652" s="12" t="s">
        <v>1182</v>
      </c>
      <c r="P3652" s="10" t="s">
        <v>13276</v>
      </c>
      <c r="Q3652" s="10" t="s">
        <v>31</v>
      </c>
      <c r="R3652" s="10" t="s">
        <v>1185</v>
      </c>
      <c r="S3652" s="12" t="s">
        <v>4438</v>
      </c>
      <c r="T3652" s="10" t="s">
        <v>66</v>
      </c>
      <c r="U3652" s="12" t="s">
        <v>13277</v>
      </c>
      <c r="V3652" s="10" t="s">
        <v>3523</v>
      </c>
      <c r="W3652" s="10" t="s">
        <v>13207</v>
      </c>
      <c r="X3652" s="13" t="str">
        <f>HYPERLINK("https://my.pitchbook.com?p=436367-80P","View People Online")</f>
        <v>View People Online</v>
      </c>
    </row>
    <row r="3653">
      <c r="A3653" s="6" t="s">
        <v>22961</v>
      </c>
      <c r="B3653" s="6" t="s">
        <v>22962</v>
      </c>
      <c r="C3653" s="6" t="s">
        <v>22963</v>
      </c>
      <c r="D3653" s="6" t="s">
        <v>22964</v>
      </c>
      <c r="E3653" s="6" t="s">
        <v>13207</v>
      </c>
      <c r="F3653" s="6" t="s">
        <v>3523</v>
      </c>
      <c r="G3653" s="6" t="s">
        <v>22965</v>
      </c>
      <c r="H3653" s="7" t="s">
        <v>31</v>
      </c>
      <c r="I3653" s="7">
        <v>1.0</v>
      </c>
      <c r="J3653" s="7">
        <v>1.0</v>
      </c>
      <c r="K3653" s="7" t="s">
        <v>31</v>
      </c>
      <c r="L3653" s="8" t="s">
        <v>13412</v>
      </c>
      <c r="M3653" s="6" t="s">
        <v>22966</v>
      </c>
      <c r="N3653" s="6" t="s">
        <v>13414</v>
      </c>
      <c r="O3653" s="8" t="s">
        <v>13415</v>
      </c>
      <c r="P3653" s="6" t="s">
        <v>13416</v>
      </c>
      <c r="Q3653" s="6" t="s">
        <v>31</v>
      </c>
      <c r="R3653" s="6" t="s">
        <v>209</v>
      </c>
      <c r="S3653" s="8" t="s">
        <v>13417</v>
      </c>
      <c r="T3653" s="6" t="s">
        <v>66</v>
      </c>
      <c r="U3653" s="8" t="s">
        <v>13418</v>
      </c>
      <c r="V3653" s="6" t="s">
        <v>3523</v>
      </c>
      <c r="W3653" s="6" t="s">
        <v>13207</v>
      </c>
      <c r="X3653" s="9" t="str">
        <f>HYPERLINK("https://my.pitchbook.com?p=434951-29P","View People Online")</f>
        <v>View People Online</v>
      </c>
    </row>
    <row r="3654">
      <c r="A3654" s="2" t="s">
        <v>22967</v>
      </c>
      <c r="B3654" s="2" t="s">
        <v>22968</v>
      </c>
      <c r="C3654" s="2" t="s">
        <v>22969</v>
      </c>
      <c r="D3654" s="2" t="s">
        <v>22970</v>
      </c>
      <c r="E3654" s="2" t="s">
        <v>13207</v>
      </c>
      <c r="F3654" s="2" t="s">
        <v>13240</v>
      </c>
      <c r="G3654" s="2" t="s">
        <v>22971</v>
      </c>
      <c r="H3654" s="3" t="s">
        <v>31</v>
      </c>
      <c r="I3654" s="3">
        <v>1.0</v>
      </c>
      <c r="J3654" s="3">
        <v>1.0</v>
      </c>
      <c r="K3654" s="3" t="s">
        <v>31</v>
      </c>
      <c r="L3654" s="4" t="s">
        <v>17451</v>
      </c>
      <c r="M3654" s="2" t="s">
        <v>22972</v>
      </c>
      <c r="N3654" s="2" t="s">
        <v>12648</v>
      </c>
      <c r="O3654" s="4" t="s">
        <v>12649</v>
      </c>
      <c r="P3654" s="2" t="s">
        <v>17453</v>
      </c>
      <c r="Q3654" s="2" t="s">
        <v>31</v>
      </c>
      <c r="R3654" s="2" t="s">
        <v>31</v>
      </c>
      <c r="S3654" s="4" t="s">
        <v>17454</v>
      </c>
      <c r="T3654" s="2" t="s">
        <v>12653</v>
      </c>
      <c r="U3654" s="4" t="s">
        <v>17455</v>
      </c>
      <c r="V3654" s="2" t="s">
        <v>22973</v>
      </c>
      <c r="W3654" s="2" t="s">
        <v>13207</v>
      </c>
      <c r="X3654" s="5" t="str">
        <f>HYPERLINK("https://my.pitchbook.com?p=456870-97P","View People Online")</f>
        <v>View People Online</v>
      </c>
    </row>
    <row r="3655">
      <c r="A3655" s="6" t="s">
        <v>22974</v>
      </c>
      <c r="B3655" s="6" t="s">
        <v>22975</v>
      </c>
      <c r="C3655" s="6" t="s">
        <v>22976</v>
      </c>
      <c r="D3655" s="6" t="s">
        <v>22977</v>
      </c>
      <c r="E3655" s="6" t="s">
        <v>13207</v>
      </c>
      <c r="F3655" s="6" t="s">
        <v>3523</v>
      </c>
      <c r="G3655" s="6" t="s">
        <v>22978</v>
      </c>
      <c r="H3655" s="7" t="s">
        <v>31</v>
      </c>
      <c r="I3655" s="7">
        <v>1.0</v>
      </c>
      <c r="J3655" s="7">
        <v>1.0</v>
      </c>
      <c r="K3655" s="7" t="s">
        <v>31</v>
      </c>
      <c r="L3655" s="8" t="s">
        <v>22979</v>
      </c>
      <c r="M3655" s="6" t="s">
        <v>22980</v>
      </c>
      <c r="N3655" s="6" t="s">
        <v>22981</v>
      </c>
      <c r="O3655" s="8" t="s">
        <v>22982</v>
      </c>
      <c r="P3655" s="6" t="s">
        <v>22983</v>
      </c>
      <c r="Q3655" s="6" t="s">
        <v>22984</v>
      </c>
      <c r="R3655" s="6" t="s">
        <v>22985</v>
      </c>
      <c r="S3655" s="8" t="s">
        <v>22986</v>
      </c>
      <c r="T3655" s="6" t="s">
        <v>1209</v>
      </c>
      <c r="U3655" s="8" t="s">
        <v>22987</v>
      </c>
      <c r="V3655" s="6" t="s">
        <v>3523</v>
      </c>
      <c r="W3655" s="6" t="s">
        <v>13207</v>
      </c>
      <c r="X3655" s="9" t="str">
        <f>HYPERLINK("https://my.pitchbook.com?p=435177-55P","View People Online")</f>
        <v>View People Online</v>
      </c>
    </row>
    <row r="3656">
      <c r="A3656" s="2" t="s">
        <v>22988</v>
      </c>
      <c r="B3656" s="2" t="s">
        <v>22989</v>
      </c>
      <c r="C3656" s="2" t="s">
        <v>22976</v>
      </c>
      <c r="D3656" s="2" t="s">
        <v>22990</v>
      </c>
      <c r="E3656" s="2" t="s">
        <v>13207</v>
      </c>
      <c r="F3656" s="2" t="s">
        <v>3523</v>
      </c>
      <c r="G3656" s="2" t="s">
        <v>22991</v>
      </c>
      <c r="H3656" s="3" t="s">
        <v>31</v>
      </c>
      <c r="I3656" s="3">
        <v>1.0</v>
      </c>
      <c r="J3656" s="3">
        <v>1.0</v>
      </c>
      <c r="K3656" s="3" t="s">
        <v>31</v>
      </c>
      <c r="L3656" s="4" t="s">
        <v>13289</v>
      </c>
      <c r="M3656" s="2" t="s">
        <v>22992</v>
      </c>
      <c r="N3656" s="2" t="s">
        <v>1348</v>
      </c>
      <c r="O3656" s="4" t="s">
        <v>1349</v>
      </c>
      <c r="P3656" s="2" t="s">
        <v>13291</v>
      </c>
      <c r="Q3656" s="2" t="s">
        <v>13292</v>
      </c>
      <c r="R3656" s="2" t="s">
        <v>1018</v>
      </c>
      <c r="S3656" s="4" t="s">
        <v>13293</v>
      </c>
      <c r="T3656" s="2" t="s">
        <v>1019</v>
      </c>
      <c r="U3656" s="4" t="s">
        <v>13294</v>
      </c>
      <c r="V3656" s="2" t="s">
        <v>3523</v>
      </c>
      <c r="W3656" s="2" t="s">
        <v>13207</v>
      </c>
      <c r="X3656" s="5" t="str">
        <f>HYPERLINK("https://my.pitchbook.com?p=456055-75P","View People Online")</f>
        <v>View People Online</v>
      </c>
    </row>
    <row r="3657">
      <c r="A3657" s="6" t="s">
        <v>22993</v>
      </c>
      <c r="B3657" s="6" t="s">
        <v>22994</v>
      </c>
      <c r="C3657" s="6" t="s">
        <v>9814</v>
      </c>
      <c r="D3657" s="6" t="s">
        <v>22995</v>
      </c>
      <c r="E3657" s="6" t="s">
        <v>13207</v>
      </c>
      <c r="F3657" s="6" t="s">
        <v>13218</v>
      </c>
      <c r="G3657" s="6" t="s">
        <v>22996</v>
      </c>
      <c r="H3657" s="7" t="s">
        <v>31</v>
      </c>
      <c r="I3657" s="7">
        <v>1.0</v>
      </c>
      <c r="J3657" s="7">
        <v>1.0</v>
      </c>
      <c r="K3657" s="7" t="s">
        <v>31</v>
      </c>
      <c r="L3657" s="8" t="s">
        <v>13274</v>
      </c>
      <c r="M3657" s="6" t="s">
        <v>22997</v>
      </c>
      <c r="N3657" s="6" t="s">
        <v>1181</v>
      </c>
      <c r="O3657" s="8" t="s">
        <v>1182</v>
      </c>
      <c r="P3657" s="6" t="s">
        <v>13276</v>
      </c>
      <c r="Q3657" s="6" t="s">
        <v>31</v>
      </c>
      <c r="R3657" s="6" t="s">
        <v>1185</v>
      </c>
      <c r="S3657" s="8" t="s">
        <v>4438</v>
      </c>
      <c r="T3657" s="6" t="s">
        <v>66</v>
      </c>
      <c r="U3657" s="8" t="s">
        <v>13277</v>
      </c>
      <c r="V3657" s="6" t="s">
        <v>22998</v>
      </c>
      <c r="W3657" s="6" t="s">
        <v>13207</v>
      </c>
      <c r="X3657" s="9" t="str">
        <f>HYPERLINK("https://my.pitchbook.com?p=315504-64P","View People Online")</f>
        <v>View People Online</v>
      </c>
    </row>
    <row r="3658">
      <c r="A3658" s="2" t="s">
        <v>22999</v>
      </c>
      <c r="B3658" s="2" t="s">
        <v>23000</v>
      </c>
      <c r="C3658" s="2" t="s">
        <v>9814</v>
      </c>
      <c r="D3658" s="2" t="s">
        <v>23001</v>
      </c>
      <c r="E3658" s="2" t="s">
        <v>13207</v>
      </c>
      <c r="F3658" s="2" t="s">
        <v>3523</v>
      </c>
      <c r="G3658" s="2" t="s">
        <v>23002</v>
      </c>
      <c r="H3658" s="3" t="s">
        <v>31</v>
      </c>
      <c r="I3658" s="3">
        <v>1.0</v>
      </c>
      <c r="J3658" s="3">
        <v>1.0</v>
      </c>
      <c r="K3658" s="3" t="s">
        <v>31</v>
      </c>
      <c r="L3658" s="4" t="s">
        <v>13274</v>
      </c>
      <c r="M3658" s="2" t="s">
        <v>23003</v>
      </c>
      <c r="N3658" s="2" t="s">
        <v>1181</v>
      </c>
      <c r="O3658" s="4" t="s">
        <v>1182</v>
      </c>
      <c r="P3658" s="2" t="s">
        <v>13276</v>
      </c>
      <c r="Q3658" s="2" t="s">
        <v>31</v>
      </c>
      <c r="R3658" s="2" t="s">
        <v>1185</v>
      </c>
      <c r="S3658" s="4" t="s">
        <v>4438</v>
      </c>
      <c r="T3658" s="2" t="s">
        <v>66</v>
      </c>
      <c r="U3658" s="4" t="s">
        <v>13277</v>
      </c>
      <c r="V3658" s="2" t="s">
        <v>3523</v>
      </c>
      <c r="W3658" s="2" t="s">
        <v>13207</v>
      </c>
      <c r="X3658" s="5" t="str">
        <f>HYPERLINK("https://my.pitchbook.com?p=456838-39P","View People Online")</f>
        <v>View People Online</v>
      </c>
    </row>
    <row r="3659">
      <c r="A3659" s="6" t="s">
        <v>23004</v>
      </c>
      <c r="B3659" s="6" t="s">
        <v>23005</v>
      </c>
      <c r="C3659" s="6" t="s">
        <v>23006</v>
      </c>
      <c r="D3659" s="6" t="s">
        <v>23007</v>
      </c>
      <c r="E3659" s="6" t="s">
        <v>13207</v>
      </c>
      <c r="F3659" s="6" t="s">
        <v>13218</v>
      </c>
      <c r="G3659" s="6" t="s">
        <v>23008</v>
      </c>
      <c r="H3659" s="7" t="s">
        <v>31</v>
      </c>
      <c r="I3659" s="7">
        <v>1.0</v>
      </c>
      <c r="J3659" s="7">
        <v>1.0</v>
      </c>
      <c r="K3659" s="7" t="s">
        <v>31</v>
      </c>
      <c r="L3659" s="8" t="s">
        <v>14419</v>
      </c>
      <c r="M3659" s="6" t="s">
        <v>23009</v>
      </c>
      <c r="N3659" s="6" t="s">
        <v>637</v>
      </c>
      <c r="O3659" s="8" t="s">
        <v>638</v>
      </c>
      <c r="P3659" s="6" t="s">
        <v>14421</v>
      </c>
      <c r="Q3659" s="6" t="s">
        <v>14422</v>
      </c>
      <c r="R3659" s="6" t="s">
        <v>31</v>
      </c>
      <c r="S3659" s="8" t="s">
        <v>31</v>
      </c>
      <c r="T3659" s="6" t="s">
        <v>639</v>
      </c>
      <c r="U3659" s="8" t="s">
        <v>14423</v>
      </c>
      <c r="V3659" s="6" t="s">
        <v>23010</v>
      </c>
      <c r="W3659" s="6" t="s">
        <v>13207</v>
      </c>
      <c r="X3659" s="9" t="str">
        <f>HYPERLINK("https://my.pitchbook.com?p=456387-58P","View People Online")</f>
        <v>View People Online</v>
      </c>
    </row>
    <row r="3660">
      <c r="A3660" s="2" t="s">
        <v>23011</v>
      </c>
      <c r="B3660" s="2" t="s">
        <v>23012</v>
      </c>
      <c r="C3660" s="2" t="s">
        <v>23013</v>
      </c>
      <c r="D3660" s="2" t="s">
        <v>23014</v>
      </c>
      <c r="E3660" s="2" t="s">
        <v>13207</v>
      </c>
      <c r="F3660" s="2" t="s">
        <v>3523</v>
      </c>
      <c r="G3660" s="2" t="s">
        <v>23015</v>
      </c>
      <c r="H3660" s="3" t="s">
        <v>31</v>
      </c>
      <c r="I3660" s="3">
        <v>2.0</v>
      </c>
      <c r="J3660" s="3">
        <v>2.0</v>
      </c>
      <c r="K3660" s="3" t="s">
        <v>31</v>
      </c>
      <c r="L3660" s="4" t="s">
        <v>13724</v>
      </c>
      <c r="M3660" s="2" t="s">
        <v>23016</v>
      </c>
      <c r="N3660" s="2" t="s">
        <v>34</v>
      </c>
      <c r="O3660" s="4" t="s">
        <v>35</v>
      </c>
      <c r="P3660" s="2" t="s">
        <v>13726</v>
      </c>
      <c r="Q3660" s="2" t="s">
        <v>31</v>
      </c>
      <c r="R3660" s="2" t="s">
        <v>31</v>
      </c>
      <c r="S3660" s="4" t="s">
        <v>13727</v>
      </c>
      <c r="T3660" s="2" t="s">
        <v>38</v>
      </c>
      <c r="U3660" s="4" t="s">
        <v>13728</v>
      </c>
      <c r="V3660" s="2" t="s">
        <v>13468</v>
      </c>
      <c r="W3660" s="2" t="s">
        <v>13207</v>
      </c>
      <c r="X3660" s="5" t="str">
        <f>HYPERLINK("https://my.pitchbook.com?p=81897-67P","View People Online")</f>
        <v>View People Online</v>
      </c>
    </row>
    <row r="3661">
      <c r="A3661" s="14" t="s">
        <v>23017</v>
      </c>
      <c r="B3661" s="14" t="s">
        <v>23018</v>
      </c>
      <c r="C3661" s="14" t="s">
        <v>3419</v>
      </c>
      <c r="D3661" s="14" t="s">
        <v>9386</v>
      </c>
      <c r="E3661" s="14" t="s">
        <v>13207</v>
      </c>
      <c r="F3661" s="14" t="s">
        <v>3523</v>
      </c>
      <c r="G3661" s="14" t="s">
        <v>23019</v>
      </c>
      <c r="H3661" s="15" t="s">
        <v>31</v>
      </c>
      <c r="I3661" s="15">
        <v>1.0</v>
      </c>
      <c r="J3661" s="15">
        <v>1.0</v>
      </c>
      <c r="K3661" s="15" t="s">
        <v>31</v>
      </c>
      <c r="L3661" s="16" t="s">
        <v>15357</v>
      </c>
      <c r="M3661" s="14" t="s">
        <v>23020</v>
      </c>
      <c r="N3661" s="14" t="s">
        <v>1454</v>
      </c>
      <c r="O3661" s="16" t="s">
        <v>1455</v>
      </c>
      <c r="P3661" s="14" t="s">
        <v>15359</v>
      </c>
      <c r="Q3661" s="14" t="s">
        <v>13635</v>
      </c>
      <c r="R3661" s="14" t="s">
        <v>93</v>
      </c>
      <c r="S3661" s="16" t="s">
        <v>1458</v>
      </c>
      <c r="T3661" s="14" t="s">
        <v>66</v>
      </c>
      <c r="U3661" s="16" t="s">
        <v>15360</v>
      </c>
      <c r="V3661" s="14" t="s">
        <v>3523</v>
      </c>
      <c r="W3661" s="14" t="s">
        <v>13207</v>
      </c>
      <c r="X3661" s="17" t="str">
        <f>HYPERLINK("https://my.pitchbook.com?p=436175-74P","View People Online")</f>
        <v>View People Online</v>
      </c>
    </row>
    <row r="3662">
      <c r="A3662" s="2" t="s">
        <v>23021</v>
      </c>
      <c r="B3662" s="2" t="s">
        <v>23022</v>
      </c>
      <c r="C3662" s="2" t="s">
        <v>23023</v>
      </c>
      <c r="D3662" s="2" t="s">
        <v>9373</v>
      </c>
      <c r="E3662" s="2" t="s">
        <v>13207</v>
      </c>
      <c r="F3662" s="2" t="s">
        <v>3523</v>
      </c>
      <c r="G3662" s="2" t="s">
        <v>23024</v>
      </c>
      <c r="H3662" s="3" t="s">
        <v>31</v>
      </c>
      <c r="I3662" s="3">
        <v>1.0</v>
      </c>
      <c r="J3662" s="3">
        <v>1.0</v>
      </c>
      <c r="K3662" s="3" t="s">
        <v>31</v>
      </c>
      <c r="L3662" s="4" t="s">
        <v>13688</v>
      </c>
      <c r="M3662" s="2" t="s">
        <v>23025</v>
      </c>
      <c r="N3662" s="2" t="s">
        <v>3603</v>
      </c>
      <c r="O3662" s="4" t="s">
        <v>3604</v>
      </c>
      <c r="P3662" s="2" t="s">
        <v>13690</v>
      </c>
      <c r="Q3662" s="2" t="s">
        <v>13691</v>
      </c>
      <c r="R3662" s="2" t="s">
        <v>31</v>
      </c>
      <c r="S3662" s="4" t="s">
        <v>31</v>
      </c>
      <c r="T3662" s="2" t="s">
        <v>3603</v>
      </c>
      <c r="U3662" s="4" t="s">
        <v>13692</v>
      </c>
      <c r="V3662" s="2" t="s">
        <v>3523</v>
      </c>
      <c r="W3662" s="2" t="s">
        <v>13207</v>
      </c>
      <c r="X3662" s="5" t="str">
        <f>HYPERLINK("https://my.pitchbook.com?p=436690-72P","View People Online")</f>
        <v>View People Online</v>
      </c>
    </row>
    <row r="3663">
      <c r="A3663" s="6" t="s">
        <v>23026</v>
      </c>
      <c r="B3663" s="6" t="s">
        <v>23027</v>
      </c>
      <c r="C3663" s="6" t="s">
        <v>23028</v>
      </c>
      <c r="D3663" s="6" t="s">
        <v>23029</v>
      </c>
      <c r="E3663" s="6" t="s">
        <v>13207</v>
      </c>
      <c r="F3663" s="6" t="s">
        <v>3523</v>
      </c>
      <c r="G3663" s="6" t="s">
        <v>23030</v>
      </c>
      <c r="H3663" s="7" t="s">
        <v>31</v>
      </c>
      <c r="I3663" s="7">
        <v>1.0</v>
      </c>
      <c r="J3663" s="7">
        <v>1.0</v>
      </c>
      <c r="K3663" s="7" t="s">
        <v>31</v>
      </c>
      <c r="L3663" s="8" t="s">
        <v>13399</v>
      </c>
      <c r="M3663" s="6" t="s">
        <v>23031</v>
      </c>
      <c r="N3663" s="6" t="s">
        <v>13401</v>
      </c>
      <c r="O3663" s="8" t="s">
        <v>13402</v>
      </c>
      <c r="P3663" s="6" t="s">
        <v>13403</v>
      </c>
      <c r="Q3663" s="6" t="s">
        <v>13404</v>
      </c>
      <c r="R3663" s="6" t="s">
        <v>31</v>
      </c>
      <c r="S3663" s="8" t="s">
        <v>13405</v>
      </c>
      <c r="T3663" s="6" t="s">
        <v>13406</v>
      </c>
      <c r="U3663" s="8" t="s">
        <v>13407</v>
      </c>
      <c r="V3663" s="6" t="s">
        <v>3523</v>
      </c>
      <c r="W3663" s="6" t="s">
        <v>13207</v>
      </c>
      <c r="X3663" s="9" t="str">
        <f>HYPERLINK("https://my.pitchbook.com?p=435163-60P","View People Online")</f>
        <v>View People Online</v>
      </c>
    </row>
    <row r="3664">
      <c r="A3664" s="10" t="s">
        <v>23032</v>
      </c>
      <c r="B3664" s="10" t="s">
        <v>23033</v>
      </c>
      <c r="C3664" s="10" t="s">
        <v>23034</v>
      </c>
      <c r="D3664" s="10" t="s">
        <v>23035</v>
      </c>
      <c r="E3664" s="10" t="s">
        <v>13207</v>
      </c>
      <c r="F3664" s="10" t="s">
        <v>13240</v>
      </c>
      <c r="G3664" s="10" t="s">
        <v>23036</v>
      </c>
      <c r="H3664" s="11" t="s">
        <v>31</v>
      </c>
      <c r="I3664" s="11">
        <v>1.0</v>
      </c>
      <c r="J3664" s="11">
        <v>1.0</v>
      </c>
      <c r="K3664" s="11" t="s">
        <v>31</v>
      </c>
      <c r="L3664" s="12" t="s">
        <v>13289</v>
      </c>
      <c r="M3664" s="10" t="s">
        <v>23037</v>
      </c>
      <c r="N3664" s="10" t="s">
        <v>1348</v>
      </c>
      <c r="O3664" s="12" t="s">
        <v>1349</v>
      </c>
      <c r="P3664" s="10" t="s">
        <v>13291</v>
      </c>
      <c r="Q3664" s="10" t="s">
        <v>13292</v>
      </c>
      <c r="R3664" s="10" t="s">
        <v>1018</v>
      </c>
      <c r="S3664" s="12" t="s">
        <v>13293</v>
      </c>
      <c r="T3664" s="10" t="s">
        <v>1019</v>
      </c>
      <c r="U3664" s="12" t="s">
        <v>13294</v>
      </c>
      <c r="V3664" s="10" t="s">
        <v>23038</v>
      </c>
      <c r="W3664" s="10" t="s">
        <v>13207</v>
      </c>
      <c r="X3664" s="13" t="str">
        <f>HYPERLINK("https://my.pitchbook.com?p=436141-99P","View People Online")</f>
        <v>View People Online</v>
      </c>
    </row>
    <row r="3665">
      <c r="A3665" s="14" t="s">
        <v>23039</v>
      </c>
      <c r="B3665" s="14" t="s">
        <v>23040</v>
      </c>
      <c r="C3665" s="14" t="s">
        <v>23041</v>
      </c>
      <c r="D3665" s="14" t="s">
        <v>23042</v>
      </c>
      <c r="E3665" s="14" t="s">
        <v>13207</v>
      </c>
      <c r="F3665" s="14" t="s">
        <v>3523</v>
      </c>
      <c r="G3665" s="14" t="s">
        <v>23043</v>
      </c>
      <c r="H3665" s="15" t="s">
        <v>31</v>
      </c>
      <c r="I3665" s="15">
        <v>1.0</v>
      </c>
      <c r="J3665" s="15">
        <v>1.0</v>
      </c>
      <c r="K3665" s="15" t="s">
        <v>31</v>
      </c>
      <c r="L3665" s="16" t="s">
        <v>15991</v>
      </c>
      <c r="M3665" s="14" t="s">
        <v>31</v>
      </c>
      <c r="N3665" s="14" t="s">
        <v>15993</v>
      </c>
      <c r="O3665" s="16" t="s">
        <v>15994</v>
      </c>
      <c r="P3665" s="14" t="s">
        <v>15995</v>
      </c>
      <c r="Q3665" s="14" t="s">
        <v>15996</v>
      </c>
      <c r="R3665" s="14" t="s">
        <v>15997</v>
      </c>
      <c r="S3665" s="16" t="s">
        <v>15998</v>
      </c>
      <c r="T3665" s="14" t="s">
        <v>1019</v>
      </c>
      <c r="U3665" s="16" t="s">
        <v>15999</v>
      </c>
      <c r="V3665" s="14" t="s">
        <v>3523</v>
      </c>
      <c r="W3665" s="14" t="s">
        <v>13207</v>
      </c>
      <c r="X3665" s="17" t="str">
        <f>HYPERLINK("https://my.pitchbook.com?p=436701-25P","View People Online")</f>
        <v>View People Online</v>
      </c>
    </row>
    <row r="3666">
      <c r="A3666" s="10" t="s">
        <v>23044</v>
      </c>
      <c r="B3666" s="10" t="s">
        <v>23045</v>
      </c>
      <c r="C3666" s="10" t="s">
        <v>23041</v>
      </c>
      <c r="D3666" s="10" t="s">
        <v>23046</v>
      </c>
      <c r="E3666" s="10" t="s">
        <v>13207</v>
      </c>
      <c r="F3666" s="10" t="s">
        <v>3523</v>
      </c>
      <c r="G3666" s="10" t="s">
        <v>23047</v>
      </c>
      <c r="H3666" s="11" t="s">
        <v>31</v>
      </c>
      <c r="I3666" s="11">
        <v>1.0</v>
      </c>
      <c r="J3666" s="11">
        <v>1.0</v>
      </c>
      <c r="K3666" s="11" t="s">
        <v>31</v>
      </c>
      <c r="L3666" s="12" t="s">
        <v>13220</v>
      </c>
      <c r="M3666" s="10" t="s">
        <v>23048</v>
      </c>
      <c r="N3666" s="10" t="s">
        <v>2478</v>
      </c>
      <c r="O3666" s="12" t="s">
        <v>7332</v>
      </c>
      <c r="P3666" s="10" t="s">
        <v>13222</v>
      </c>
      <c r="Q3666" s="10" t="s">
        <v>13223</v>
      </c>
      <c r="R3666" s="10" t="s">
        <v>7335</v>
      </c>
      <c r="S3666" s="12" t="s">
        <v>7336</v>
      </c>
      <c r="T3666" s="10" t="s">
        <v>5484</v>
      </c>
      <c r="U3666" s="12" t="s">
        <v>13224</v>
      </c>
      <c r="V3666" s="10" t="s">
        <v>3523</v>
      </c>
      <c r="W3666" s="10" t="s">
        <v>13207</v>
      </c>
      <c r="X3666" s="13" t="str">
        <f>HYPERLINK("https://my.pitchbook.com?p=455437-18P","View People Online")</f>
        <v>View People Online</v>
      </c>
    </row>
    <row r="3667">
      <c r="A3667" s="6" t="s">
        <v>23049</v>
      </c>
      <c r="B3667" s="6" t="s">
        <v>23050</v>
      </c>
      <c r="C3667" s="6" t="s">
        <v>23051</v>
      </c>
      <c r="D3667" s="6" t="s">
        <v>23052</v>
      </c>
      <c r="E3667" s="6" t="s">
        <v>13207</v>
      </c>
      <c r="F3667" s="6" t="s">
        <v>3523</v>
      </c>
      <c r="G3667" s="6" t="s">
        <v>23053</v>
      </c>
      <c r="H3667" s="7" t="s">
        <v>31</v>
      </c>
      <c r="I3667" s="7">
        <v>1.0</v>
      </c>
      <c r="J3667" s="7">
        <v>1.0</v>
      </c>
      <c r="K3667" s="7" t="s">
        <v>31</v>
      </c>
      <c r="L3667" s="8" t="s">
        <v>13299</v>
      </c>
      <c r="M3667" s="6" t="s">
        <v>23054</v>
      </c>
      <c r="N3667" s="6" t="s">
        <v>601</v>
      </c>
      <c r="O3667" s="8" t="s">
        <v>602</v>
      </c>
      <c r="P3667" s="6" t="s">
        <v>13301</v>
      </c>
      <c r="Q3667" s="6" t="s">
        <v>13302</v>
      </c>
      <c r="R3667" s="6" t="s">
        <v>31</v>
      </c>
      <c r="S3667" s="8" t="s">
        <v>31</v>
      </c>
      <c r="T3667" s="6" t="s">
        <v>603</v>
      </c>
      <c r="U3667" s="8" t="s">
        <v>13303</v>
      </c>
      <c r="V3667" s="6" t="s">
        <v>13468</v>
      </c>
      <c r="W3667" s="6" t="s">
        <v>13207</v>
      </c>
      <c r="X3667" s="9" t="str">
        <f>HYPERLINK("https://my.pitchbook.com?p=455338-72P","View People Online")</f>
        <v>View People Online</v>
      </c>
    </row>
    <row r="3668">
      <c r="A3668" s="2" t="s">
        <v>23055</v>
      </c>
      <c r="B3668" s="2" t="s">
        <v>23056</v>
      </c>
      <c r="C3668" s="2" t="s">
        <v>23057</v>
      </c>
      <c r="D3668" s="2" t="s">
        <v>23058</v>
      </c>
      <c r="E3668" s="2" t="s">
        <v>13207</v>
      </c>
      <c r="F3668" s="2" t="s">
        <v>13240</v>
      </c>
      <c r="G3668" s="2" t="s">
        <v>23059</v>
      </c>
      <c r="H3668" s="3" t="s">
        <v>31</v>
      </c>
      <c r="I3668" s="3">
        <v>1.0</v>
      </c>
      <c r="J3668" s="3">
        <v>1.0</v>
      </c>
      <c r="K3668" s="3" t="s">
        <v>31</v>
      </c>
      <c r="L3668" s="4" t="s">
        <v>13734</v>
      </c>
      <c r="M3668" s="2" t="s">
        <v>23060</v>
      </c>
      <c r="N3668" s="2" t="s">
        <v>2754</v>
      </c>
      <c r="O3668" s="4" t="s">
        <v>2755</v>
      </c>
      <c r="P3668" s="2" t="s">
        <v>13736</v>
      </c>
      <c r="Q3668" s="2" t="s">
        <v>31</v>
      </c>
      <c r="R3668" s="2" t="s">
        <v>31</v>
      </c>
      <c r="S3668" s="4" t="s">
        <v>13737</v>
      </c>
      <c r="T3668" s="2" t="s">
        <v>38</v>
      </c>
      <c r="U3668" s="4" t="s">
        <v>13738</v>
      </c>
      <c r="V3668" s="2" t="s">
        <v>23061</v>
      </c>
      <c r="W3668" s="2" t="s">
        <v>13207</v>
      </c>
      <c r="X3668" s="5" t="str">
        <f>HYPERLINK("https://my.pitchbook.com?p=456585-67P","View People Online")</f>
        <v>View People Online</v>
      </c>
    </row>
    <row r="3669">
      <c r="A3669" s="14" t="s">
        <v>23062</v>
      </c>
      <c r="B3669" s="14" t="s">
        <v>23063</v>
      </c>
      <c r="C3669" s="14" t="s">
        <v>23064</v>
      </c>
      <c r="D3669" s="14" t="s">
        <v>23065</v>
      </c>
      <c r="E3669" s="14" t="s">
        <v>13207</v>
      </c>
      <c r="F3669" s="14" t="s">
        <v>13218</v>
      </c>
      <c r="G3669" s="14" t="s">
        <v>23066</v>
      </c>
      <c r="H3669" s="15" t="s">
        <v>31</v>
      </c>
      <c r="I3669" s="15">
        <v>1.0</v>
      </c>
      <c r="J3669" s="15">
        <v>1.0</v>
      </c>
      <c r="K3669" s="15" t="s">
        <v>31</v>
      </c>
      <c r="L3669" s="16" t="s">
        <v>13242</v>
      </c>
      <c r="M3669" s="14" t="s">
        <v>23067</v>
      </c>
      <c r="N3669" s="14" t="s">
        <v>9865</v>
      </c>
      <c r="O3669" s="16" t="s">
        <v>9866</v>
      </c>
      <c r="P3669" s="14" t="s">
        <v>13244</v>
      </c>
      <c r="Q3669" s="14" t="s">
        <v>31</v>
      </c>
      <c r="R3669" s="14" t="s">
        <v>31</v>
      </c>
      <c r="S3669" s="16" t="s">
        <v>13245</v>
      </c>
      <c r="T3669" s="14" t="s">
        <v>38</v>
      </c>
      <c r="U3669" s="16" t="s">
        <v>13246</v>
      </c>
      <c r="V3669" s="14" t="s">
        <v>13218</v>
      </c>
      <c r="W3669" s="14" t="s">
        <v>13207</v>
      </c>
      <c r="X3669" s="17" t="str">
        <f>HYPERLINK("https://my.pitchbook.com?p=456266-62P","View People Online")</f>
        <v>View People Online</v>
      </c>
    </row>
    <row r="3670">
      <c r="A3670" s="10" t="s">
        <v>23068</v>
      </c>
      <c r="B3670" s="10" t="s">
        <v>23069</v>
      </c>
      <c r="C3670" s="10" t="s">
        <v>7372</v>
      </c>
      <c r="D3670" s="10" t="s">
        <v>23070</v>
      </c>
      <c r="E3670" s="10" t="s">
        <v>13207</v>
      </c>
      <c r="F3670" s="10" t="s">
        <v>3523</v>
      </c>
      <c r="G3670" s="10" t="s">
        <v>23071</v>
      </c>
      <c r="H3670" s="11" t="s">
        <v>31</v>
      </c>
      <c r="I3670" s="11">
        <v>1.0</v>
      </c>
      <c r="J3670" s="11">
        <v>1.0</v>
      </c>
      <c r="K3670" s="11" t="s">
        <v>31</v>
      </c>
      <c r="L3670" s="12" t="s">
        <v>13281</v>
      </c>
      <c r="M3670" s="10" t="s">
        <v>23072</v>
      </c>
      <c r="N3670" s="10" t="s">
        <v>1277</v>
      </c>
      <c r="O3670" s="12" t="s">
        <v>1278</v>
      </c>
      <c r="P3670" s="10" t="s">
        <v>13283</v>
      </c>
      <c r="Q3670" s="10" t="s">
        <v>13284</v>
      </c>
      <c r="R3670" s="10" t="s">
        <v>1281</v>
      </c>
      <c r="S3670" s="12" t="s">
        <v>1282</v>
      </c>
      <c r="T3670" s="10" t="s">
        <v>66</v>
      </c>
      <c r="U3670" s="12" t="s">
        <v>13285</v>
      </c>
      <c r="V3670" s="10" t="s">
        <v>3523</v>
      </c>
      <c r="W3670" s="10" t="s">
        <v>13207</v>
      </c>
      <c r="X3670" s="13" t="str">
        <f>HYPERLINK("https://my.pitchbook.com?p=456526-81P","View People Online")</f>
        <v>View People Online</v>
      </c>
    </row>
    <row r="3671">
      <c r="A3671" s="6" t="s">
        <v>23073</v>
      </c>
      <c r="B3671" s="6" t="s">
        <v>23074</v>
      </c>
      <c r="C3671" s="6" t="s">
        <v>23075</v>
      </c>
      <c r="D3671" s="6" t="s">
        <v>23076</v>
      </c>
      <c r="E3671" s="6" t="s">
        <v>13207</v>
      </c>
      <c r="F3671" s="6" t="s">
        <v>3523</v>
      </c>
      <c r="G3671" s="6" t="s">
        <v>23077</v>
      </c>
      <c r="H3671" s="7" t="s">
        <v>31</v>
      </c>
      <c r="I3671" s="7">
        <v>1.0</v>
      </c>
      <c r="J3671" s="7">
        <v>1.0</v>
      </c>
      <c r="K3671" s="7" t="s">
        <v>31</v>
      </c>
      <c r="L3671" s="8" t="s">
        <v>13412</v>
      </c>
      <c r="M3671" s="6" t="s">
        <v>23078</v>
      </c>
      <c r="N3671" s="6" t="s">
        <v>13414</v>
      </c>
      <c r="O3671" s="8" t="s">
        <v>13415</v>
      </c>
      <c r="P3671" s="6" t="s">
        <v>13416</v>
      </c>
      <c r="Q3671" s="6" t="s">
        <v>31</v>
      </c>
      <c r="R3671" s="6" t="s">
        <v>209</v>
      </c>
      <c r="S3671" s="8" t="s">
        <v>13417</v>
      </c>
      <c r="T3671" s="6" t="s">
        <v>66</v>
      </c>
      <c r="U3671" s="8" t="s">
        <v>13418</v>
      </c>
      <c r="V3671" s="6" t="s">
        <v>3523</v>
      </c>
      <c r="W3671" s="6" t="s">
        <v>13207</v>
      </c>
      <c r="X3671" s="9" t="str">
        <f>HYPERLINK("https://my.pitchbook.com?p=435545-38P","View People Online")</f>
        <v>View People Online</v>
      </c>
    </row>
    <row r="3672">
      <c r="A3672" s="2" t="s">
        <v>23079</v>
      </c>
      <c r="B3672" s="2" t="s">
        <v>23080</v>
      </c>
      <c r="C3672" s="2" t="s">
        <v>19785</v>
      </c>
      <c r="D3672" s="2" t="s">
        <v>23081</v>
      </c>
      <c r="E3672" s="2" t="s">
        <v>13207</v>
      </c>
      <c r="F3672" s="2" t="s">
        <v>13218</v>
      </c>
      <c r="G3672" s="2" t="s">
        <v>23082</v>
      </c>
      <c r="H3672" s="3" t="s">
        <v>31</v>
      </c>
      <c r="I3672" s="3">
        <v>1.0</v>
      </c>
      <c r="J3672" s="3">
        <v>1.0</v>
      </c>
      <c r="K3672" s="3" t="s">
        <v>31</v>
      </c>
      <c r="L3672" s="4" t="s">
        <v>15050</v>
      </c>
      <c r="M3672" s="2" t="s">
        <v>23083</v>
      </c>
      <c r="N3672" s="2" t="s">
        <v>15052</v>
      </c>
      <c r="O3672" s="4" t="s">
        <v>15053</v>
      </c>
      <c r="P3672" s="2" t="s">
        <v>15054</v>
      </c>
      <c r="Q3672" s="2" t="s">
        <v>15055</v>
      </c>
      <c r="R3672" s="2" t="s">
        <v>31</v>
      </c>
      <c r="S3672" s="4" t="s">
        <v>15056</v>
      </c>
      <c r="T3672" s="2" t="s">
        <v>38</v>
      </c>
      <c r="U3672" s="4" t="s">
        <v>15057</v>
      </c>
      <c r="V3672" s="2" t="s">
        <v>13218</v>
      </c>
      <c r="W3672" s="2" t="s">
        <v>13207</v>
      </c>
      <c r="X3672" s="5" t="str">
        <f>HYPERLINK("https://my.pitchbook.com?p=436129-75P","View People Online")</f>
        <v>View People Online</v>
      </c>
    </row>
    <row r="3673">
      <c r="A3673" s="14" t="s">
        <v>23084</v>
      </c>
      <c r="B3673" s="14" t="s">
        <v>23085</v>
      </c>
      <c r="C3673" s="14" t="s">
        <v>19785</v>
      </c>
      <c r="D3673" s="14" t="s">
        <v>23086</v>
      </c>
      <c r="E3673" s="14" t="s">
        <v>13207</v>
      </c>
      <c r="F3673" s="14" t="s">
        <v>13307</v>
      </c>
      <c r="G3673" s="14" t="s">
        <v>23087</v>
      </c>
      <c r="H3673" s="15" t="s">
        <v>31</v>
      </c>
      <c r="I3673" s="15">
        <v>1.0</v>
      </c>
      <c r="J3673" s="15">
        <v>1.0</v>
      </c>
      <c r="K3673" s="15" t="s">
        <v>31</v>
      </c>
      <c r="L3673" s="16" t="s">
        <v>13714</v>
      </c>
      <c r="M3673" s="14" t="s">
        <v>23088</v>
      </c>
      <c r="N3673" s="14" t="s">
        <v>13716</v>
      </c>
      <c r="O3673" s="16" t="s">
        <v>13717</v>
      </c>
      <c r="P3673" s="14" t="s">
        <v>13718</v>
      </c>
      <c r="Q3673" s="14" t="s">
        <v>31</v>
      </c>
      <c r="R3673" s="14" t="s">
        <v>31</v>
      </c>
      <c r="S3673" s="16" t="s">
        <v>13719</v>
      </c>
      <c r="T3673" s="14" t="s">
        <v>38</v>
      </c>
      <c r="U3673" s="16" t="s">
        <v>13720</v>
      </c>
      <c r="V3673" s="14" t="s">
        <v>13317</v>
      </c>
      <c r="W3673" s="14" t="s">
        <v>13207</v>
      </c>
      <c r="X3673" s="17" t="str">
        <f>HYPERLINK("https://my.pitchbook.com?p=455209-39P","View People Online")</f>
        <v>View People Online</v>
      </c>
    </row>
    <row r="3674">
      <c r="A3674" s="10" t="s">
        <v>23089</v>
      </c>
      <c r="B3674" s="10" t="s">
        <v>23090</v>
      </c>
      <c r="C3674" s="10" t="s">
        <v>23091</v>
      </c>
      <c r="D3674" s="10" t="s">
        <v>831</v>
      </c>
      <c r="E3674" s="10" t="s">
        <v>13207</v>
      </c>
      <c r="F3674" s="10" t="s">
        <v>3523</v>
      </c>
      <c r="G3674" s="10" t="s">
        <v>23092</v>
      </c>
      <c r="H3674" s="11" t="s">
        <v>31</v>
      </c>
      <c r="I3674" s="11">
        <v>1.0</v>
      </c>
      <c r="J3674" s="11">
        <v>1.0</v>
      </c>
      <c r="K3674" s="11" t="s">
        <v>31</v>
      </c>
      <c r="L3674" s="12" t="s">
        <v>13209</v>
      </c>
      <c r="M3674" s="10" t="s">
        <v>23093</v>
      </c>
      <c r="N3674" s="10" t="s">
        <v>4232</v>
      </c>
      <c r="O3674" s="12" t="s">
        <v>4233</v>
      </c>
      <c r="P3674" s="10" t="s">
        <v>13211</v>
      </c>
      <c r="Q3674" s="10" t="s">
        <v>31</v>
      </c>
      <c r="R3674" s="10" t="s">
        <v>4236</v>
      </c>
      <c r="S3674" s="12" t="s">
        <v>13212</v>
      </c>
      <c r="T3674" s="10" t="s">
        <v>66</v>
      </c>
      <c r="U3674" s="12" t="s">
        <v>13213</v>
      </c>
      <c r="V3674" s="10" t="s">
        <v>3523</v>
      </c>
      <c r="W3674" s="10" t="s">
        <v>13207</v>
      </c>
      <c r="X3674" s="13" t="str">
        <f>HYPERLINK("https://my.pitchbook.com?p=456550-30P","View People Online")</f>
        <v>View People Online</v>
      </c>
    </row>
    <row r="3675">
      <c r="A3675" s="6" t="s">
        <v>23094</v>
      </c>
      <c r="B3675" s="6" t="s">
        <v>23095</v>
      </c>
      <c r="C3675" s="6" t="s">
        <v>3427</v>
      </c>
      <c r="D3675" s="6" t="s">
        <v>23096</v>
      </c>
      <c r="E3675" s="6" t="s">
        <v>13207</v>
      </c>
      <c r="F3675" s="6" t="s">
        <v>3523</v>
      </c>
      <c r="G3675" s="6" t="s">
        <v>23097</v>
      </c>
      <c r="H3675" s="7" t="s">
        <v>31</v>
      </c>
      <c r="I3675" s="7">
        <v>1.0</v>
      </c>
      <c r="J3675" s="7">
        <v>1.0</v>
      </c>
      <c r="K3675" s="7" t="s">
        <v>31</v>
      </c>
      <c r="L3675" s="8" t="s">
        <v>13855</v>
      </c>
      <c r="M3675" s="6" t="s">
        <v>23098</v>
      </c>
      <c r="N3675" s="6" t="s">
        <v>2017</v>
      </c>
      <c r="O3675" s="8" t="s">
        <v>2018</v>
      </c>
      <c r="P3675" s="6" t="s">
        <v>13857</v>
      </c>
      <c r="Q3675" s="6" t="s">
        <v>13858</v>
      </c>
      <c r="R3675" s="6" t="s">
        <v>31</v>
      </c>
      <c r="S3675" s="8" t="s">
        <v>31</v>
      </c>
      <c r="T3675" s="6" t="s">
        <v>2022</v>
      </c>
      <c r="U3675" s="8" t="s">
        <v>31</v>
      </c>
      <c r="V3675" s="6" t="s">
        <v>3523</v>
      </c>
      <c r="W3675" s="6" t="s">
        <v>13207</v>
      </c>
      <c r="X3675" s="9" t="str">
        <f>HYPERLINK("https://my.pitchbook.com?p=455584-78P","View People Online")</f>
        <v>View People Online</v>
      </c>
    </row>
    <row r="3676">
      <c r="A3676" s="2" t="s">
        <v>23099</v>
      </c>
      <c r="B3676" s="2" t="s">
        <v>23100</v>
      </c>
      <c r="C3676" s="2" t="s">
        <v>23101</v>
      </c>
      <c r="D3676" s="2" t="s">
        <v>23102</v>
      </c>
      <c r="E3676" s="2" t="s">
        <v>13207</v>
      </c>
      <c r="F3676" s="2" t="s">
        <v>3523</v>
      </c>
      <c r="G3676" s="2" t="s">
        <v>23103</v>
      </c>
      <c r="H3676" s="3" t="s">
        <v>31</v>
      </c>
      <c r="I3676" s="3">
        <v>1.0</v>
      </c>
      <c r="J3676" s="3">
        <v>1.0</v>
      </c>
      <c r="K3676" s="3" t="s">
        <v>31</v>
      </c>
      <c r="L3676" s="4" t="s">
        <v>13743</v>
      </c>
      <c r="M3676" s="2" t="s">
        <v>23104</v>
      </c>
      <c r="N3676" s="2" t="s">
        <v>1034</v>
      </c>
      <c r="O3676" s="4" t="s">
        <v>1035</v>
      </c>
      <c r="P3676" s="2" t="s">
        <v>13745</v>
      </c>
      <c r="Q3676" s="2" t="s">
        <v>13746</v>
      </c>
      <c r="R3676" s="2" t="s">
        <v>31</v>
      </c>
      <c r="S3676" s="4" t="s">
        <v>13747</v>
      </c>
      <c r="T3676" s="2" t="s">
        <v>1034</v>
      </c>
      <c r="U3676" s="4" t="s">
        <v>13748</v>
      </c>
      <c r="V3676" s="2" t="s">
        <v>3523</v>
      </c>
      <c r="W3676" s="2" t="s">
        <v>13207</v>
      </c>
      <c r="X3676" s="5" t="str">
        <f>HYPERLINK("https://my.pitchbook.com?p=456479-74P","View People Online")</f>
        <v>View People Online</v>
      </c>
    </row>
    <row r="3677">
      <c r="A3677" s="6" t="s">
        <v>23105</v>
      </c>
      <c r="B3677" s="6" t="s">
        <v>23106</v>
      </c>
      <c r="C3677" s="6" t="s">
        <v>9828</v>
      </c>
      <c r="D3677" s="6" t="s">
        <v>23107</v>
      </c>
      <c r="E3677" s="6" t="s">
        <v>13207</v>
      </c>
      <c r="F3677" s="6" t="s">
        <v>3523</v>
      </c>
      <c r="G3677" s="6" t="s">
        <v>23108</v>
      </c>
      <c r="H3677" s="7" t="s">
        <v>31</v>
      </c>
      <c r="I3677" s="7">
        <v>1.0</v>
      </c>
      <c r="J3677" s="7">
        <v>1.0</v>
      </c>
      <c r="K3677" s="7" t="s">
        <v>31</v>
      </c>
      <c r="L3677" s="8" t="s">
        <v>13423</v>
      </c>
      <c r="M3677" s="6" t="s">
        <v>23109</v>
      </c>
      <c r="N3677" s="6" t="s">
        <v>243</v>
      </c>
      <c r="O3677" s="8" t="s">
        <v>244</v>
      </c>
      <c r="P3677" s="6" t="s">
        <v>13425</v>
      </c>
      <c r="Q3677" s="6" t="s">
        <v>31</v>
      </c>
      <c r="R3677" s="6" t="s">
        <v>247</v>
      </c>
      <c r="S3677" s="8" t="s">
        <v>13426</v>
      </c>
      <c r="T3677" s="6" t="s">
        <v>249</v>
      </c>
      <c r="U3677" s="8" t="s">
        <v>31</v>
      </c>
      <c r="V3677" s="6" t="s">
        <v>3523</v>
      </c>
      <c r="W3677" s="6" t="s">
        <v>13207</v>
      </c>
      <c r="X3677" s="9" t="str">
        <f>HYPERLINK("https://my.pitchbook.com?p=435190-87P","View People Online")</f>
        <v>View People Online</v>
      </c>
    </row>
    <row r="3678">
      <c r="A3678" s="2" t="s">
        <v>23110</v>
      </c>
      <c r="B3678" s="2" t="s">
        <v>23111</v>
      </c>
      <c r="C3678" s="2" t="s">
        <v>23112</v>
      </c>
      <c r="D3678" s="2" t="s">
        <v>23113</v>
      </c>
      <c r="E3678" s="2" t="s">
        <v>13207</v>
      </c>
      <c r="F3678" s="2" t="s">
        <v>29</v>
      </c>
      <c r="G3678" s="2" t="s">
        <v>23114</v>
      </c>
      <c r="H3678" s="3" t="s">
        <v>31</v>
      </c>
      <c r="I3678" s="3">
        <v>1.0</v>
      </c>
      <c r="J3678" s="3">
        <v>1.0</v>
      </c>
      <c r="K3678" s="3" t="s">
        <v>31</v>
      </c>
      <c r="L3678" s="4" t="s">
        <v>13399</v>
      </c>
      <c r="M3678" s="2" t="s">
        <v>23115</v>
      </c>
      <c r="N3678" s="2" t="s">
        <v>13401</v>
      </c>
      <c r="O3678" s="4" t="s">
        <v>13402</v>
      </c>
      <c r="P3678" s="2" t="s">
        <v>13403</v>
      </c>
      <c r="Q3678" s="2" t="s">
        <v>13404</v>
      </c>
      <c r="R3678" s="2" t="s">
        <v>31</v>
      </c>
      <c r="S3678" s="4" t="s">
        <v>13405</v>
      </c>
      <c r="T3678" s="2" t="s">
        <v>13406</v>
      </c>
      <c r="U3678" s="4" t="s">
        <v>13407</v>
      </c>
      <c r="V3678" s="2" t="s">
        <v>29</v>
      </c>
      <c r="W3678" s="2" t="s">
        <v>13207</v>
      </c>
      <c r="X3678" s="5" t="str">
        <f>HYPERLINK("https://my.pitchbook.com?p=434947-15P","View People Online")</f>
        <v>View People Online</v>
      </c>
    </row>
    <row r="3679">
      <c r="A3679" s="6" t="s">
        <v>23116</v>
      </c>
      <c r="B3679" s="6" t="s">
        <v>23117</v>
      </c>
      <c r="C3679" s="6" t="s">
        <v>23118</v>
      </c>
      <c r="D3679" s="6" t="s">
        <v>23119</v>
      </c>
      <c r="E3679" s="6" t="s">
        <v>13207</v>
      </c>
      <c r="F3679" s="6" t="s">
        <v>13240</v>
      </c>
      <c r="G3679" s="6" t="s">
        <v>23120</v>
      </c>
      <c r="H3679" s="7" t="s">
        <v>31</v>
      </c>
      <c r="I3679" s="7">
        <v>1.0</v>
      </c>
      <c r="J3679" s="7">
        <v>1.0</v>
      </c>
      <c r="K3679" s="7" t="s">
        <v>31</v>
      </c>
      <c r="L3679" s="8" t="s">
        <v>13378</v>
      </c>
      <c r="M3679" s="6" t="s">
        <v>23121</v>
      </c>
      <c r="N3679" s="6" t="s">
        <v>429</v>
      </c>
      <c r="O3679" s="8" t="s">
        <v>430</v>
      </c>
      <c r="P3679" s="6" t="s">
        <v>13380</v>
      </c>
      <c r="Q3679" s="6" t="s">
        <v>31</v>
      </c>
      <c r="R3679" s="6" t="s">
        <v>31</v>
      </c>
      <c r="S3679" s="8" t="s">
        <v>13381</v>
      </c>
      <c r="T3679" s="6" t="s">
        <v>433</v>
      </c>
      <c r="U3679" s="8" t="s">
        <v>13382</v>
      </c>
      <c r="V3679" s="6" t="s">
        <v>13247</v>
      </c>
      <c r="W3679" s="6" t="s">
        <v>13207</v>
      </c>
      <c r="X3679" s="9" t="str">
        <f>HYPERLINK("https://my.pitchbook.com?p=435743-65P","View People Online")</f>
        <v>View People Online</v>
      </c>
    </row>
    <row r="3680">
      <c r="A3680" s="2" t="s">
        <v>23122</v>
      </c>
      <c r="B3680" s="2" t="s">
        <v>23123</v>
      </c>
      <c r="C3680" s="2" t="s">
        <v>8209</v>
      </c>
      <c r="D3680" s="2" t="s">
        <v>23124</v>
      </c>
      <c r="E3680" s="2" t="s">
        <v>13207</v>
      </c>
      <c r="F3680" s="2" t="s">
        <v>318</v>
      </c>
      <c r="G3680" s="2" t="s">
        <v>23125</v>
      </c>
      <c r="H3680" s="3" t="s">
        <v>31</v>
      </c>
      <c r="I3680" s="3">
        <v>1.0</v>
      </c>
      <c r="J3680" s="3">
        <v>1.0</v>
      </c>
      <c r="K3680" s="3" t="s">
        <v>31</v>
      </c>
      <c r="L3680" s="4" t="s">
        <v>13724</v>
      </c>
      <c r="M3680" s="2" t="s">
        <v>23126</v>
      </c>
      <c r="N3680" s="2" t="s">
        <v>34</v>
      </c>
      <c r="O3680" s="4" t="s">
        <v>35</v>
      </c>
      <c r="P3680" s="2" t="s">
        <v>13726</v>
      </c>
      <c r="Q3680" s="2" t="s">
        <v>31</v>
      </c>
      <c r="R3680" s="2" t="s">
        <v>31</v>
      </c>
      <c r="S3680" s="4" t="s">
        <v>13727</v>
      </c>
      <c r="T3680" s="2" t="s">
        <v>38</v>
      </c>
      <c r="U3680" s="4" t="s">
        <v>13728</v>
      </c>
      <c r="V3680" s="2" t="s">
        <v>318</v>
      </c>
      <c r="W3680" s="2" t="s">
        <v>13207</v>
      </c>
      <c r="X3680" s="5" t="str">
        <f>HYPERLINK("https://my.pitchbook.com?p=436276-54P","View People Online")</f>
        <v>View People Online</v>
      </c>
    </row>
    <row r="3681">
      <c r="A3681" s="6" t="s">
        <v>23127</v>
      </c>
      <c r="B3681" s="6" t="s">
        <v>23128</v>
      </c>
      <c r="C3681" s="6" t="s">
        <v>23129</v>
      </c>
      <c r="D3681" s="6" t="s">
        <v>23130</v>
      </c>
      <c r="E3681" s="6" t="s">
        <v>13207</v>
      </c>
      <c r="F3681" s="6" t="s">
        <v>3523</v>
      </c>
      <c r="G3681" s="6" t="s">
        <v>23131</v>
      </c>
      <c r="H3681" s="7" t="s">
        <v>31</v>
      </c>
      <c r="I3681" s="7">
        <v>1.0</v>
      </c>
      <c r="J3681" s="7">
        <v>1.0</v>
      </c>
      <c r="K3681" s="7" t="s">
        <v>31</v>
      </c>
      <c r="L3681" s="8" t="s">
        <v>13432</v>
      </c>
      <c r="M3681" s="6" t="s">
        <v>23132</v>
      </c>
      <c r="N3681" s="6" t="s">
        <v>2599</v>
      </c>
      <c r="O3681" s="8" t="s">
        <v>2600</v>
      </c>
      <c r="P3681" s="6" t="s">
        <v>13434</v>
      </c>
      <c r="Q3681" s="6" t="s">
        <v>4235</v>
      </c>
      <c r="R3681" s="6" t="s">
        <v>396</v>
      </c>
      <c r="S3681" s="8" t="s">
        <v>13435</v>
      </c>
      <c r="T3681" s="6" t="s">
        <v>66</v>
      </c>
      <c r="U3681" s="8" t="s">
        <v>13436</v>
      </c>
      <c r="V3681" s="6" t="s">
        <v>3523</v>
      </c>
      <c r="W3681" s="6" t="s">
        <v>13207</v>
      </c>
      <c r="X3681" s="9" t="str">
        <f>HYPERLINK("https://my.pitchbook.com?p=435831-76P","View People Online")</f>
        <v>View People Online</v>
      </c>
    </row>
    <row r="3682">
      <c r="A3682" s="2" t="s">
        <v>23133</v>
      </c>
      <c r="B3682" s="2" t="s">
        <v>23134</v>
      </c>
      <c r="C3682" s="2" t="s">
        <v>23135</v>
      </c>
      <c r="D3682" s="2" t="s">
        <v>23136</v>
      </c>
      <c r="E3682" s="2" t="s">
        <v>13207</v>
      </c>
      <c r="F3682" s="2" t="s">
        <v>3523</v>
      </c>
      <c r="G3682" s="2" t="s">
        <v>23137</v>
      </c>
      <c r="H3682" s="3" t="s">
        <v>31</v>
      </c>
      <c r="I3682" s="3">
        <v>1.0</v>
      </c>
      <c r="J3682" s="3">
        <v>1.0</v>
      </c>
      <c r="K3682" s="3" t="s">
        <v>31</v>
      </c>
      <c r="L3682" s="4" t="s">
        <v>13378</v>
      </c>
      <c r="M3682" s="2" t="s">
        <v>23138</v>
      </c>
      <c r="N3682" s="2" t="s">
        <v>429</v>
      </c>
      <c r="O3682" s="4" t="s">
        <v>430</v>
      </c>
      <c r="P3682" s="2" t="s">
        <v>13380</v>
      </c>
      <c r="Q3682" s="2" t="s">
        <v>31</v>
      </c>
      <c r="R3682" s="2" t="s">
        <v>31</v>
      </c>
      <c r="S3682" s="4" t="s">
        <v>13381</v>
      </c>
      <c r="T3682" s="2" t="s">
        <v>433</v>
      </c>
      <c r="U3682" s="4" t="s">
        <v>13382</v>
      </c>
      <c r="V3682" s="2" t="s">
        <v>3523</v>
      </c>
      <c r="W3682" s="2" t="s">
        <v>13207</v>
      </c>
      <c r="X3682" s="5" t="str">
        <f>HYPERLINK("https://my.pitchbook.com?p=434945-17P","View People Online")</f>
        <v>View People Online</v>
      </c>
    </row>
    <row r="3683">
      <c r="A3683" s="14" t="s">
        <v>23139</v>
      </c>
      <c r="B3683" s="14" t="s">
        <v>23140</v>
      </c>
      <c r="C3683" s="14" t="s">
        <v>23141</v>
      </c>
      <c r="D3683" s="14" t="s">
        <v>23142</v>
      </c>
      <c r="E3683" s="14" t="s">
        <v>13207</v>
      </c>
      <c r="F3683" s="14" t="s">
        <v>29</v>
      </c>
      <c r="G3683" s="14" t="s">
        <v>23143</v>
      </c>
      <c r="H3683" s="15" t="s">
        <v>31</v>
      </c>
      <c r="I3683" s="15">
        <v>1.0</v>
      </c>
      <c r="J3683" s="15">
        <v>1.0</v>
      </c>
      <c r="K3683" s="15" t="s">
        <v>31</v>
      </c>
      <c r="L3683" s="16" t="s">
        <v>13263</v>
      </c>
      <c r="M3683" s="14" t="s">
        <v>23144</v>
      </c>
      <c r="N3683" s="14" t="s">
        <v>1005</v>
      </c>
      <c r="O3683" s="16" t="s">
        <v>1006</v>
      </c>
      <c r="P3683" s="14" t="s">
        <v>13265</v>
      </c>
      <c r="Q3683" s="14" t="s">
        <v>13266</v>
      </c>
      <c r="R3683" s="14" t="s">
        <v>13267</v>
      </c>
      <c r="S3683" s="16" t="s">
        <v>13268</v>
      </c>
      <c r="T3683" s="14" t="s">
        <v>1010</v>
      </c>
      <c r="U3683" s="16" t="s">
        <v>13269</v>
      </c>
      <c r="V3683" s="14" t="s">
        <v>16411</v>
      </c>
      <c r="W3683" s="14" t="s">
        <v>13207</v>
      </c>
      <c r="X3683" s="17" t="str">
        <f>HYPERLINK("https://my.pitchbook.com?p=456217-75P","View People Online")</f>
        <v>View People Online</v>
      </c>
    </row>
    <row r="3684">
      <c r="A3684" s="10" t="s">
        <v>23145</v>
      </c>
      <c r="B3684" s="10" t="s">
        <v>23146</v>
      </c>
      <c r="C3684" s="10" t="s">
        <v>23147</v>
      </c>
      <c r="D3684" s="10" t="s">
        <v>23148</v>
      </c>
      <c r="E3684" s="10" t="s">
        <v>13207</v>
      </c>
      <c r="F3684" s="10" t="s">
        <v>13218</v>
      </c>
      <c r="G3684" s="10" t="s">
        <v>23149</v>
      </c>
      <c r="H3684" s="11" t="s">
        <v>31</v>
      </c>
      <c r="I3684" s="11">
        <v>1.0</v>
      </c>
      <c r="J3684" s="11">
        <v>1.0</v>
      </c>
      <c r="K3684" s="11" t="s">
        <v>31</v>
      </c>
      <c r="L3684" s="12" t="s">
        <v>13263</v>
      </c>
      <c r="M3684" s="10" t="s">
        <v>23150</v>
      </c>
      <c r="N3684" s="10" t="s">
        <v>1005</v>
      </c>
      <c r="O3684" s="12" t="s">
        <v>1006</v>
      </c>
      <c r="P3684" s="10" t="s">
        <v>13265</v>
      </c>
      <c r="Q3684" s="10" t="s">
        <v>13266</v>
      </c>
      <c r="R3684" s="10" t="s">
        <v>13267</v>
      </c>
      <c r="S3684" s="12" t="s">
        <v>13268</v>
      </c>
      <c r="T3684" s="10" t="s">
        <v>1010</v>
      </c>
      <c r="U3684" s="12" t="s">
        <v>13269</v>
      </c>
      <c r="V3684" s="10" t="s">
        <v>13218</v>
      </c>
      <c r="W3684" s="10" t="s">
        <v>13207</v>
      </c>
      <c r="X3684" s="13" t="str">
        <f>HYPERLINK("https://my.pitchbook.com?p=435735-82P","View People Online")</f>
        <v>View People Online</v>
      </c>
    </row>
    <row r="3685">
      <c r="A3685" s="14" t="s">
        <v>23151</v>
      </c>
      <c r="B3685" s="14" t="s">
        <v>23152</v>
      </c>
      <c r="C3685" s="14" t="s">
        <v>23153</v>
      </c>
      <c r="D3685" s="14" t="s">
        <v>23154</v>
      </c>
      <c r="E3685" s="14" t="s">
        <v>13207</v>
      </c>
      <c r="F3685" s="14" t="s">
        <v>2731</v>
      </c>
      <c r="G3685" s="14" t="s">
        <v>23155</v>
      </c>
      <c r="H3685" s="15" t="s">
        <v>31</v>
      </c>
      <c r="I3685" s="15">
        <v>1.0</v>
      </c>
      <c r="J3685" s="15">
        <v>1.0</v>
      </c>
      <c r="K3685" s="15" t="s">
        <v>31</v>
      </c>
      <c r="L3685" s="16" t="s">
        <v>13263</v>
      </c>
      <c r="M3685" s="14" t="s">
        <v>23156</v>
      </c>
      <c r="N3685" s="14" t="s">
        <v>1005</v>
      </c>
      <c r="O3685" s="16" t="s">
        <v>1006</v>
      </c>
      <c r="P3685" s="14" t="s">
        <v>13265</v>
      </c>
      <c r="Q3685" s="14" t="s">
        <v>13266</v>
      </c>
      <c r="R3685" s="14" t="s">
        <v>13267</v>
      </c>
      <c r="S3685" s="16" t="s">
        <v>13268</v>
      </c>
      <c r="T3685" s="14" t="s">
        <v>1010</v>
      </c>
      <c r="U3685" s="16" t="s">
        <v>13269</v>
      </c>
      <c r="V3685" s="14" t="s">
        <v>2731</v>
      </c>
      <c r="W3685" s="14" t="s">
        <v>13207</v>
      </c>
      <c r="X3685" s="17" t="str">
        <f>HYPERLINK("https://my.pitchbook.com?p=434893-69P","View People Online")</f>
        <v>View People Online</v>
      </c>
    </row>
    <row r="3686">
      <c r="A3686" s="10" t="s">
        <v>23157</v>
      </c>
      <c r="B3686" s="10" t="s">
        <v>23158</v>
      </c>
      <c r="C3686" s="10" t="s">
        <v>23159</v>
      </c>
      <c r="D3686" s="10" t="s">
        <v>23160</v>
      </c>
      <c r="E3686" s="10" t="s">
        <v>13207</v>
      </c>
      <c r="F3686" s="10" t="s">
        <v>318</v>
      </c>
      <c r="G3686" s="10" t="s">
        <v>23161</v>
      </c>
      <c r="H3686" s="11" t="s">
        <v>31</v>
      </c>
      <c r="I3686" s="11">
        <v>1.0</v>
      </c>
      <c r="J3686" s="11">
        <v>1.0</v>
      </c>
      <c r="K3686" s="11" t="s">
        <v>31</v>
      </c>
      <c r="L3686" s="12" t="s">
        <v>13734</v>
      </c>
      <c r="M3686" s="10" t="s">
        <v>23162</v>
      </c>
      <c r="N3686" s="10" t="s">
        <v>2754</v>
      </c>
      <c r="O3686" s="12" t="s">
        <v>2755</v>
      </c>
      <c r="P3686" s="10" t="s">
        <v>13736</v>
      </c>
      <c r="Q3686" s="10" t="s">
        <v>31</v>
      </c>
      <c r="R3686" s="10" t="s">
        <v>31</v>
      </c>
      <c r="S3686" s="12" t="s">
        <v>13737</v>
      </c>
      <c r="T3686" s="10" t="s">
        <v>38</v>
      </c>
      <c r="U3686" s="12" t="s">
        <v>13738</v>
      </c>
      <c r="V3686" s="10" t="s">
        <v>318</v>
      </c>
      <c r="W3686" s="10" t="s">
        <v>13207</v>
      </c>
      <c r="X3686" s="13" t="str">
        <f>HYPERLINK("https://my.pitchbook.com?p=456065-02P","View People Online")</f>
        <v>View People Online</v>
      </c>
    </row>
    <row r="3687">
      <c r="A3687" s="6" t="s">
        <v>23163</v>
      </c>
      <c r="B3687" s="6" t="s">
        <v>23164</v>
      </c>
      <c r="C3687" s="6" t="s">
        <v>23165</v>
      </c>
      <c r="D3687" s="6" t="s">
        <v>2469</v>
      </c>
      <c r="E3687" s="6" t="s">
        <v>13207</v>
      </c>
      <c r="F3687" s="6" t="s">
        <v>13218</v>
      </c>
      <c r="G3687" s="6" t="s">
        <v>23166</v>
      </c>
      <c r="H3687" s="7" t="s">
        <v>31</v>
      </c>
      <c r="I3687" s="7">
        <v>1.0</v>
      </c>
      <c r="J3687" s="7">
        <v>1.0</v>
      </c>
      <c r="K3687" s="7" t="s">
        <v>31</v>
      </c>
      <c r="L3687" s="8" t="s">
        <v>15095</v>
      </c>
      <c r="M3687" s="6" t="s">
        <v>23167</v>
      </c>
      <c r="N3687" s="6" t="s">
        <v>6960</v>
      </c>
      <c r="O3687" s="8" t="s">
        <v>6961</v>
      </c>
      <c r="P3687" s="6" t="s">
        <v>15097</v>
      </c>
      <c r="Q3687" s="6" t="s">
        <v>15098</v>
      </c>
      <c r="R3687" s="6" t="s">
        <v>15099</v>
      </c>
      <c r="S3687" s="8" t="s">
        <v>15100</v>
      </c>
      <c r="T3687" s="6" t="s">
        <v>6962</v>
      </c>
      <c r="U3687" s="8" t="s">
        <v>15101</v>
      </c>
      <c r="V3687" s="6" t="s">
        <v>13218</v>
      </c>
      <c r="W3687" s="6" t="s">
        <v>13207</v>
      </c>
      <c r="X3687" s="9" t="str">
        <f>HYPERLINK("https://my.pitchbook.com?p=435736-81P","View People Online")</f>
        <v>View People Online</v>
      </c>
    </row>
    <row r="3688">
      <c r="A3688" s="2" t="s">
        <v>23168</v>
      </c>
      <c r="B3688" s="2" t="s">
        <v>23169</v>
      </c>
      <c r="C3688" s="2" t="s">
        <v>23170</v>
      </c>
      <c r="D3688" s="2" t="s">
        <v>23171</v>
      </c>
      <c r="E3688" s="2" t="s">
        <v>13207</v>
      </c>
      <c r="F3688" s="2" t="s">
        <v>3523</v>
      </c>
      <c r="G3688" s="2" t="s">
        <v>23172</v>
      </c>
      <c r="H3688" s="3" t="s">
        <v>31</v>
      </c>
      <c r="I3688" s="3">
        <v>1.0</v>
      </c>
      <c r="J3688" s="3">
        <v>1.0</v>
      </c>
      <c r="K3688" s="3" t="s">
        <v>31</v>
      </c>
      <c r="L3688" s="4" t="s">
        <v>13274</v>
      </c>
      <c r="M3688" s="2" t="s">
        <v>23173</v>
      </c>
      <c r="N3688" s="2" t="s">
        <v>1181</v>
      </c>
      <c r="O3688" s="4" t="s">
        <v>1182</v>
      </c>
      <c r="P3688" s="2" t="s">
        <v>13276</v>
      </c>
      <c r="Q3688" s="2" t="s">
        <v>31</v>
      </c>
      <c r="R3688" s="2" t="s">
        <v>1185</v>
      </c>
      <c r="S3688" s="4" t="s">
        <v>4438</v>
      </c>
      <c r="T3688" s="2" t="s">
        <v>66</v>
      </c>
      <c r="U3688" s="4" t="s">
        <v>13277</v>
      </c>
      <c r="V3688" s="2" t="s">
        <v>3523</v>
      </c>
      <c r="W3688" s="2" t="s">
        <v>13207</v>
      </c>
      <c r="X3688" s="5" t="str">
        <f>HYPERLINK("https://my.pitchbook.com?p=456537-16P","View People Online")</f>
        <v>View People Online</v>
      </c>
    </row>
    <row r="3689">
      <c r="A3689" s="14" t="s">
        <v>23174</v>
      </c>
      <c r="B3689" s="14" t="s">
        <v>23175</v>
      </c>
      <c r="C3689" s="14" t="s">
        <v>23176</v>
      </c>
      <c r="D3689" s="14" t="s">
        <v>6341</v>
      </c>
      <c r="E3689" s="14" t="s">
        <v>13207</v>
      </c>
      <c r="F3689" s="14" t="s">
        <v>3523</v>
      </c>
      <c r="G3689" s="14" t="s">
        <v>23177</v>
      </c>
      <c r="H3689" s="15" t="s">
        <v>31</v>
      </c>
      <c r="I3689" s="15">
        <v>1.0</v>
      </c>
      <c r="J3689" s="15">
        <v>1.0</v>
      </c>
      <c r="K3689" s="15" t="s">
        <v>31</v>
      </c>
      <c r="L3689" s="16" t="s">
        <v>13642</v>
      </c>
      <c r="M3689" s="14" t="s">
        <v>23178</v>
      </c>
      <c r="N3689" s="14" t="s">
        <v>3334</v>
      </c>
      <c r="O3689" s="16" t="s">
        <v>3335</v>
      </c>
      <c r="P3689" s="14" t="s">
        <v>13644</v>
      </c>
      <c r="Q3689" s="14" t="s">
        <v>13645</v>
      </c>
      <c r="R3689" s="14" t="s">
        <v>31</v>
      </c>
      <c r="S3689" s="16" t="s">
        <v>13646</v>
      </c>
      <c r="T3689" s="14" t="s">
        <v>3339</v>
      </c>
      <c r="U3689" s="16" t="s">
        <v>13647</v>
      </c>
      <c r="V3689" s="14" t="s">
        <v>3523</v>
      </c>
      <c r="W3689" s="14" t="s">
        <v>13207</v>
      </c>
      <c r="X3689" s="17" t="str">
        <f>HYPERLINK("https://my.pitchbook.com?p=435839-50P","View People Online")</f>
        <v>View People Online</v>
      </c>
    </row>
    <row r="3690">
      <c r="A3690" s="10" t="s">
        <v>23179</v>
      </c>
      <c r="B3690" s="10" t="s">
        <v>23180</v>
      </c>
      <c r="C3690" s="10" t="s">
        <v>23181</v>
      </c>
      <c r="D3690" s="10" t="s">
        <v>3677</v>
      </c>
      <c r="E3690" s="10" t="s">
        <v>13207</v>
      </c>
      <c r="F3690" s="10" t="s">
        <v>3523</v>
      </c>
      <c r="G3690" s="10" t="s">
        <v>23182</v>
      </c>
      <c r="H3690" s="11">
        <v>1.0</v>
      </c>
      <c r="I3690" s="11">
        <v>2.0</v>
      </c>
      <c r="J3690" s="11">
        <v>1.0</v>
      </c>
      <c r="K3690" s="11" t="s">
        <v>31</v>
      </c>
      <c r="L3690" s="12" t="s">
        <v>15270</v>
      </c>
      <c r="M3690" s="10" t="s">
        <v>23183</v>
      </c>
      <c r="N3690" s="10" t="s">
        <v>15272</v>
      </c>
      <c r="O3690" s="12" t="s">
        <v>15273</v>
      </c>
      <c r="P3690" s="10" t="s">
        <v>15274</v>
      </c>
      <c r="Q3690" s="10" t="s">
        <v>1955</v>
      </c>
      <c r="R3690" s="10" t="s">
        <v>15275</v>
      </c>
      <c r="S3690" s="12" t="s">
        <v>15276</v>
      </c>
      <c r="T3690" s="10" t="s">
        <v>66</v>
      </c>
      <c r="U3690" s="12" t="s">
        <v>31</v>
      </c>
      <c r="V3690" s="10" t="s">
        <v>3523</v>
      </c>
      <c r="W3690" s="10" t="s">
        <v>13207</v>
      </c>
      <c r="X3690" s="13" t="str">
        <f>HYPERLINK("https://my.pitchbook.com?p=333783-64P","View People Online")</f>
        <v>View People Online</v>
      </c>
    </row>
    <row r="3691">
      <c r="A3691" s="14" t="s">
        <v>23184</v>
      </c>
      <c r="B3691" s="14" t="s">
        <v>23185</v>
      </c>
      <c r="C3691" s="14" t="s">
        <v>23186</v>
      </c>
      <c r="D3691" s="14" t="s">
        <v>5294</v>
      </c>
      <c r="E3691" s="14" t="s">
        <v>13207</v>
      </c>
      <c r="F3691" s="14" t="s">
        <v>3523</v>
      </c>
      <c r="G3691" s="14" t="s">
        <v>23187</v>
      </c>
      <c r="H3691" s="15" t="s">
        <v>31</v>
      </c>
      <c r="I3691" s="15">
        <v>1.0</v>
      </c>
      <c r="J3691" s="15">
        <v>1.0</v>
      </c>
      <c r="K3691" s="15" t="s">
        <v>31</v>
      </c>
      <c r="L3691" s="16" t="s">
        <v>14201</v>
      </c>
      <c r="M3691" s="14" t="s">
        <v>23188</v>
      </c>
      <c r="N3691" s="14" t="s">
        <v>14203</v>
      </c>
      <c r="O3691" s="16" t="s">
        <v>14204</v>
      </c>
      <c r="P3691" s="14" t="s">
        <v>14205</v>
      </c>
      <c r="Q3691" s="14" t="s">
        <v>14206</v>
      </c>
      <c r="R3691" s="14" t="s">
        <v>1420</v>
      </c>
      <c r="S3691" s="16" t="s">
        <v>14207</v>
      </c>
      <c r="T3691" s="14" t="s">
        <v>66</v>
      </c>
      <c r="U3691" s="16" t="s">
        <v>14208</v>
      </c>
      <c r="V3691" s="14" t="s">
        <v>3523</v>
      </c>
      <c r="W3691" s="14" t="s">
        <v>13207</v>
      </c>
      <c r="X3691" s="17" t="str">
        <f>HYPERLINK("https://my.pitchbook.com?p=435782-08P","View People Online")</f>
        <v>View People Online</v>
      </c>
    </row>
    <row r="3692">
      <c r="A3692" s="10" t="s">
        <v>23189</v>
      </c>
      <c r="B3692" s="10" t="s">
        <v>23190</v>
      </c>
      <c r="C3692" s="10" t="s">
        <v>23191</v>
      </c>
      <c r="D3692" s="10" t="s">
        <v>23192</v>
      </c>
      <c r="E3692" s="10" t="s">
        <v>13207</v>
      </c>
      <c r="F3692" s="10" t="s">
        <v>3523</v>
      </c>
      <c r="G3692" s="10" t="s">
        <v>23193</v>
      </c>
      <c r="H3692" s="11" t="s">
        <v>31</v>
      </c>
      <c r="I3692" s="11">
        <v>1.0</v>
      </c>
      <c r="J3692" s="11">
        <v>1.0</v>
      </c>
      <c r="K3692" s="11" t="s">
        <v>31</v>
      </c>
      <c r="L3692" s="12" t="s">
        <v>13263</v>
      </c>
      <c r="M3692" s="10" t="s">
        <v>23194</v>
      </c>
      <c r="N3692" s="10" t="s">
        <v>1005</v>
      </c>
      <c r="O3692" s="12" t="s">
        <v>1006</v>
      </c>
      <c r="P3692" s="10" t="s">
        <v>13265</v>
      </c>
      <c r="Q3692" s="10" t="s">
        <v>13266</v>
      </c>
      <c r="R3692" s="10" t="s">
        <v>13267</v>
      </c>
      <c r="S3692" s="12" t="s">
        <v>13268</v>
      </c>
      <c r="T3692" s="10" t="s">
        <v>1010</v>
      </c>
      <c r="U3692" s="12" t="s">
        <v>13269</v>
      </c>
      <c r="V3692" s="10" t="s">
        <v>3523</v>
      </c>
      <c r="W3692" s="10" t="s">
        <v>13207</v>
      </c>
      <c r="X3692" s="13" t="str">
        <f>HYPERLINK("https://my.pitchbook.com?p=435412-36P","View People Online")</f>
        <v>View People Online</v>
      </c>
    </row>
    <row r="3693">
      <c r="A3693" s="14" t="s">
        <v>23195</v>
      </c>
      <c r="B3693" s="14" t="s">
        <v>23196</v>
      </c>
      <c r="C3693" s="14" t="s">
        <v>1092</v>
      </c>
      <c r="D3693" s="14" t="s">
        <v>23197</v>
      </c>
      <c r="E3693" s="14" t="s">
        <v>13207</v>
      </c>
      <c r="F3693" s="14" t="s">
        <v>3523</v>
      </c>
      <c r="G3693" s="14" t="s">
        <v>23198</v>
      </c>
      <c r="H3693" s="15" t="s">
        <v>31</v>
      </c>
      <c r="I3693" s="15">
        <v>1.0</v>
      </c>
      <c r="J3693" s="15">
        <v>1.0</v>
      </c>
      <c r="K3693" s="15" t="s">
        <v>31</v>
      </c>
      <c r="L3693" s="16" t="s">
        <v>13263</v>
      </c>
      <c r="M3693" s="14" t="s">
        <v>23199</v>
      </c>
      <c r="N3693" s="14" t="s">
        <v>1005</v>
      </c>
      <c r="O3693" s="16" t="s">
        <v>1006</v>
      </c>
      <c r="P3693" s="14" t="s">
        <v>13265</v>
      </c>
      <c r="Q3693" s="14" t="s">
        <v>13266</v>
      </c>
      <c r="R3693" s="14" t="s">
        <v>13267</v>
      </c>
      <c r="S3693" s="16" t="s">
        <v>13268</v>
      </c>
      <c r="T3693" s="14" t="s">
        <v>1010</v>
      </c>
      <c r="U3693" s="16" t="s">
        <v>13269</v>
      </c>
      <c r="V3693" s="14" t="s">
        <v>3523</v>
      </c>
      <c r="W3693" s="14" t="s">
        <v>13207</v>
      </c>
      <c r="X3693" s="17" t="str">
        <f>HYPERLINK("https://my.pitchbook.com?p=455470-48P","View People Online")</f>
        <v>View People Online</v>
      </c>
    </row>
    <row r="3694">
      <c r="A3694" s="10" t="s">
        <v>23200</v>
      </c>
      <c r="B3694" s="10" t="s">
        <v>23201</v>
      </c>
      <c r="C3694" s="10" t="s">
        <v>1092</v>
      </c>
      <c r="D3694" s="10" t="s">
        <v>23202</v>
      </c>
      <c r="E3694" s="10" t="s">
        <v>13207</v>
      </c>
      <c r="F3694" s="10" t="s">
        <v>3523</v>
      </c>
      <c r="G3694" s="10" t="s">
        <v>23203</v>
      </c>
      <c r="H3694" s="11" t="s">
        <v>31</v>
      </c>
      <c r="I3694" s="11">
        <v>1.0</v>
      </c>
      <c r="J3694" s="11">
        <v>1.0</v>
      </c>
      <c r="K3694" s="11" t="s">
        <v>31</v>
      </c>
      <c r="L3694" s="12" t="s">
        <v>13263</v>
      </c>
      <c r="M3694" s="10" t="s">
        <v>23204</v>
      </c>
      <c r="N3694" s="10" t="s">
        <v>1005</v>
      </c>
      <c r="O3694" s="12" t="s">
        <v>1006</v>
      </c>
      <c r="P3694" s="10" t="s">
        <v>13265</v>
      </c>
      <c r="Q3694" s="10" t="s">
        <v>13266</v>
      </c>
      <c r="R3694" s="10" t="s">
        <v>13267</v>
      </c>
      <c r="S3694" s="12" t="s">
        <v>13268</v>
      </c>
      <c r="T3694" s="10" t="s">
        <v>1010</v>
      </c>
      <c r="U3694" s="12" t="s">
        <v>13269</v>
      </c>
      <c r="V3694" s="10" t="s">
        <v>3523</v>
      </c>
      <c r="W3694" s="10" t="s">
        <v>13207</v>
      </c>
      <c r="X3694" s="13" t="str">
        <f>HYPERLINK("https://my.pitchbook.com?p=434894-68P","View People Online")</f>
        <v>View People Online</v>
      </c>
    </row>
    <row r="3695">
      <c r="A3695" s="6" t="s">
        <v>23205</v>
      </c>
      <c r="B3695" s="6" t="s">
        <v>23206</v>
      </c>
      <c r="C3695" s="6" t="s">
        <v>1092</v>
      </c>
      <c r="D3695" s="6" t="s">
        <v>23207</v>
      </c>
      <c r="E3695" s="6" t="s">
        <v>13207</v>
      </c>
      <c r="F3695" s="6" t="s">
        <v>13218</v>
      </c>
      <c r="G3695" s="6" t="s">
        <v>23208</v>
      </c>
      <c r="H3695" s="7" t="s">
        <v>31</v>
      </c>
      <c r="I3695" s="7">
        <v>1.0</v>
      </c>
      <c r="J3695" s="7">
        <v>1.0</v>
      </c>
      <c r="K3695" s="7" t="s">
        <v>31</v>
      </c>
      <c r="L3695" s="8" t="s">
        <v>13263</v>
      </c>
      <c r="M3695" s="6" t="s">
        <v>23209</v>
      </c>
      <c r="N3695" s="6" t="s">
        <v>1005</v>
      </c>
      <c r="O3695" s="8" t="s">
        <v>1006</v>
      </c>
      <c r="P3695" s="6" t="s">
        <v>13265</v>
      </c>
      <c r="Q3695" s="6" t="s">
        <v>13266</v>
      </c>
      <c r="R3695" s="6" t="s">
        <v>13267</v>
      </c>
      <c r="S3695" s="8" t="s">
        <v>13268</v>
      </c>
      <c r="T3695" s="6" t="s">
        <v>1010</v>
      </c>
      <c r="U3695" s="8" t="s">
        <v>13269</v>
      </c>
      <c r="V3695" s="6" t="s">
        <v>23210</v>
      </c>
      <c r="W3695" s="6" t="s">
        <v>13207</v>
      </c>
      <c r="X3695" s="9" t="str">
        <f>HYPERLINK("https://my.pitchbook.com?p=315505-81P","View People Online")</f>
        <v>View People Online</v>
      </c>
    </row>
    <row r="3696">
      <c r="A3696" s="2" t="s">
        <v>23211</v>
      </c>
      <c r="B3696" s="2" t="s">
        <v>23212</v>
      </c>
      <c r="C3696" s="2" t="s">
        <v>23213</v>
      </c>
      <c r="D3696" s="2" t="s">
        <v>23214</v>
      </c>
      <c r="E3696" s="2" t="s">
        <v>13207</v>
      </c>
      <c r="F3696" s="2" t="s">
        <v>3523</v>
      </c>
      <c r="G3696" s="2" t="s">
        <v>23215</v>
      </c>
      <c r="H3696" s="3" t="s">
        <v>31</v>
      </c>
      <c r="I3696" s="3">
        <v>1.0</v>
      </c>
      <c r="J3696" s="3">
        <v>1.0</v>
      </c>
      <c r="K3696" s="3" t="s">
        <v>31</v>
      </c>
      <c r="L3696" s="4" t="s">
        <v>13274</v>
      </c>
      <c r="M3696" s="2" t="s">
        <v>23216</v>
      </c>
      <c r="N3696" s="2" t="s">
        <v>1181</v>
      </c>
      <c r="O3696" s="4" t="s">
        <v>1182</v>
      </c>
      <c r="P3696" s="2" t="s">
        <v>13276</v>
      </c>
      <c r="Q3696" s="2" t="s">
        <v>31</v>
      </c>
      <c r="R3696" s="2" t="s">
        <v>1185</v>
      </c>
      <c r="S3696" s="4" t="s">
        <v>4438</v>
      </c>
      <c r="T3696" s="2" t="s">
        <v>66</v>
      </c>
      <c r="U3696" s="4" t="s">
        <v>13277</v>
      </c>
      <c r="V3696" s="2" t="s">
        <v>3523</v>
      </c>
      <c r="W3696" s="2" t="s">
        <v>13207</v>
      </c>
      <c r="X3696" s="5" t="str">
        <f>HYPERLINK("https://my.pitchbook.com?p=455881-60P","View People Online")</f>
        <v>View People Online</v>
      </c>
    </row>
    <row r="3697">
      <c r="A3697" s="6" t="s">
        <v>23217</v>
      </c>
      <c r="B3697" s="6" t="s">
        <v>23218</v>
      </c>
      <c r="C3697" s="6" t="s">
        <v>23219</v>
      </c>
      <c r="D3697" s="6" t="s">
        <v>23220</v>
      </c>
      <c r="E3697" s="6" t="s">
        <v>13207</v>
      </c>
      <c r="F3697" s="6" t="s">
        <v>13307</v>
      </c>
      <c r="G3697" s="6" t="s">
        <v>23221</v>
      </c>
      <c r="H3697" s="7" t="s">
        <v>31</v>
      </c>
      <c r="I3697" s="7">
        <v>1.0</v>
      </c>
      <c r="J3697" s="7">
        <v>1.0</v>
      </c>
      <c r="K3697" s="7" t="s">
        <v>31</v>
      </c>
      <c r="L3697" s="8" t="s">
        <v>13263</v>
      </c>
      <c r="M3697" s="6" t="s">
        <v>23222</v>
      </c>
      <c r="N3697" s="6" t="s">
        <v>1005</v>
      </c>
      <c r="O3697" s="8" t="s">
        <v>1006</v>
      </c>
      <c r="P3697" s="6" t="s">
        <v>13265</v>
      </c>
      <c r="Q3697" s="6" t="s">
        <v>13266</v>
      </c>
      <c r="R3697" s="6" t="s">
        <v>13267</v>
      </c>
      <c r="S3697" s="8" t="s">
        <v>13268</v>
      </c>
      <c r="T3697" s="6" t="s">
        <v>1010</v>
      </c>
      <c r="U3697" s="8" t="s">
        <v>13269</v>
      </c>
      <c r="V3697" s="6" t="s">
        <v>13317</v>
      </c>
      <c r="W3697" s="6" t="s">
        <v>13207</v>
      </c>
      <c r="X3697" s="9" t="str">
        <f>HYPERLINK("https://my.pitchbook.com?p=455500-90P","View People Online")</f>
        <v>View People Online</v>
      </c>
    </row>
    <row r="3698">
      <c r="A3698" s="10" t="s">
        <v>23223</v>
      </c>
      <c r="B3698" s="10" t="s">
        <v>23224</v>
      </c>
      <c r="C3698" s="10" t="s">
        <v>23219</v>
      </c>
      <c r="D3698" s="10" t="s">
        <v>23225</v>
      </c>
      <c r="E3698" s="10" t="s">
        <v>13207</v>
      </c>
      <c r="F3698" s="10" t="s">
        <v>3523</v>
      </c>
      <c r="G3698" s="10" t="s">
        <v>23226</v>
      </c>
      <c r="H3698" s="11" t="s">
        <v>31</v>
      </c>
      <c r="I3698" s="11">
        <v>1.0</v>
      </c>
      <c r="J3698" s="11">
        <v>1.0</v>
      </c>
      <c r="K3698" s="11" t="s">
        <v>31</v>
      </c>
      <c r="L3698" s="12" t="s">
        <v>13263</v>
      </c>
      <c r="M3698" s="10" t="s">
        <v>23227</v>
      </c>
      <c r="N3698" s="10" t="s">
        <v>1005</v>
      </c>
      <c r="O3698" s="12" t="s">
        <v>1006</v>
      </c>
      <c r="P3698" s="10" t="s">
        <v>13265</v>
      </c>
      <c r="Q3698" s="10" t="s">
        <v>13266</v>
      </c>
      <c r="R3698" s="10" t="s">
        <v>13267</v>
      </c>
      <c r="S3698" s="12" t="s">
        <v>13268</v>
      </c>
      <c r="T3698" s="10" t="s">
        <v>1010</v>
      </c>
      <c r="U3698" s="12" t="s">
        <v>13269</v>
      </c>
      <c r="V3698" s="10" t="s">
        <v>3523</v>
      </c>
      <c r="W3698" s="10" t="s">
        <v>13207</v>
      </c>
      <c r="X3698" s="13" t="str">
        <f>HYPERLINK("https://my.pitchbook.com?p=456391-81P","View People Online")</f>
        <v>View People Online</v>
      </c>
    </row>
    <row r="3699">
      <c r="A3699" s="14" t="s">
        <v>23228</v>
      </c>
      <c r="B3699" s="14" t="s">
        <v>23229</v>
      </c>
      <c r="C3699" s="14" t="s">
        <v>23230</v>
      </c>
      <c r="D3699" s="14" t="s">
        <v>23231</v>
      </c>
      <c r="E3699" s="14" t="s">
        <v>13207</v>
      </c>
      <c r="F3699" s="14" t="s">
        <v>3523</v>
      </c>
      <c r="G3699" s="14" t="s">
        <v>23232</v>
      </c>
      <c r="H3699" s="15" t="s">
        <v>31</v>
      </c>
      <c r="I3699" s="15">
        <v>1.0</v>
      </c>
      <c r="J3699" s="15">
        <v>1.0</v>
      </c>
      <c r="K3699" s="15" t="s">
        <v>31</v>
      </c>
      <c r="L3699" s="16" t="s">
        <v>13263</v>
      </c>
      <c r="M3699" s="14" t="s">
        <v>23233</v>
      </c>
      <c r="N3699" s="14" t="s">
        <v>1005</v>
      </c>
      <c r="O3699" s="16" t="s">
        <v>1006</v>
      </c>
      <c r="P3699" s="14" t="s">
        <v>13265</v>
      </c>
      <c r="Q3699" s="14" t="s">
        <v>13266</v>
      </c>
      <c r="R3699" s="14" t="s">
        <v>13267</v>
      </c>
      <c r="S3699" s="16" t="s">
        <v>13268</v>
      </c>
      <c r="T3699" s="14" t="s">
        <v>1010</v>
      </c>
      <c r="U3699" s="16" t="s">
        <v>13269</v>
      </c>
      <c r="V3699" s="14" t="s">
        <v>3523</v>
      </c>
      <c r="W3699" s="14" t="s">
        <v>13207</v>
      </c>
      <c r="X3699" s="17" t="str">
        <f>HYPERLINK("https://my.pitchbook.com?p=435647-44P","View People Online")</f>
        <v>View People Online</v>
      </c>
    </row>
    <row r="3700">
      <c r="A3700" s="10" t="s">
        <v>23234</v>
      </c>
      <c r="B3700" s="10" t="s">
        <v>23235</v>
      </c>
      <c r="C3700" s="10" t="s">
        <v>23236</v>
      </c>
      <c r="D3700" s="10" t="s">
        <v>23237</v>
      </c>
      <c r="E3700" s="10" t="s">
        <v>13207</v>
      </c>
      <c r="F3700" s="10" t="s">
        <v>3523</v>
      </c>
      <c r="G3700" s="10" t="s">
        <v>23238</v>
      </c>
      <c r="H3700" s="11" t="s">
        <v>31</v>
      </c>
      <c r="I3700" s="11">
        <v>1.0</v>
      </c>
      <c r="J3700" s="11">
        <v>1.0</v>
      </c>
      <c r="K3700" s="11" t="s">
        <v>31</v>
      </c>
      <c r="L3700" s="12" t="s">
        <v>13263</v>
      </c>
      <c r="M3700" s="10" t="s">
        <v>23239</v>
      </c>
      <c r="N3700" s="10" t="s">
        <v>1005</v>
      </c>
      <c r="O3700" s="12" t="s">
        <v>1006</v>
      </c>
      <c r="P3700" s="10" t="s">
        <v>13265</v>
      </c>
      <c r="Q3700" s="10" t="s">
        <v>13266</v>
      </c>
      <c r="R3700" s="10" t="s">
        <v>13267</v>
      </c>
      <c r="S3700" s="12" t="s">
        <v>13268</v>
      </c>
      <c r="T3700" s="10" t="s">
        <v>1010</v>
      </c>
      <c r="U3700" s="12" t="s">
        <v>13269</v>
      </c>
      <c r="V3700" s="10" t="s">
        <v>3523</v>
      </c>
      <c r="W3700" s="10" t="s">
        <v>13207</v>
      </c>
      <c r="X3700" s="13" t="str">
        <f>HYPERLINK("https://my.pitchbook.com?p=455950-54P","View People Online")</f>
        <v>View People Online</v>
      </c>
    </row>
    <row r="3701">
      <c r="A3701" s="14" t="s">
        <v>23240</v>
      </c>
      <c r="B3701" s="14" t="s">
        <v>23241</v>
      </c>
      <c r="C3701" s="14" t="s">
        <v>23242</v>
      </c>
      <c r="D3701" s="14" t="s">
        <v>23243</v>
      </c>
      <c r="E3701" s="14" t="s">
        <v>13207</v>
      </c>
      <c r="F3701" s="14" t="s">
        <v>29</v>
      </c>
      <c r="G3701" s="14" t="s">
        <v>23244</v>
      </c>
      <c r="H3701" s="15" t="s">
        <v>31</v>
      </c>
      <c r="I3701" s="15">
        <v>1.0</v>
      </c>
      <c r="J3701" s="15">
        <v>1.0</v>
      </c>
      <c r="K3701" s="15" t="s">
        <v>31</v>
      </c>
      <c r="L3701" s="16" t="s">
        <v>13263</v>
      </c>
      <c r="M3701" s="14" t="s">
        <v>23245</v>
      </c>
      <c r="N3701" s="14" t="s">
        <v>1005</v>
      </c>
      <c r="O3701" s="16" t="s">
        <v>1006</v>
      </c>
      <c r="P3701" s="14" t="s">
        <v>13265</v>
      </c>
      <c r="Q3701" s="14" t="s">
        <v>13266</v>
      </c>
      <c r="R3701" s="14" t="s">
        <v>13267</v>
      </c>
      <c r="S3701" s="16" t="s">
        <v>13268</v>
      </c>
      <c r="T3701" s="14" t="s">
        <v>1010</v>
      </c>
      <c r="U3701" s="16" t="s">
        <v>13269</v>
      </c>
      <c r="V3701" s="14" t="s">
        <v>29</v>
      </c>
      <c r="W3701" s="14" t="s">
        <v>13207</v>
      </c>
      <c r="X3701" s="17" t="str">
        <f>HYPERLINK("https://my.pitchbook.com?p=436432-69P","View People Online")</f>
        <v>View People Online</v>
      </c>
    </row>
    <row r="3702">
      <c r="A3702" s="10" t="s">
        <v>23246</v>
      </c>
      <c r="B3702" s="10" t="s">
        <v>23247</v>
      </c>
      <c r="C3702" s="10" t="s">
        <v>23248</v>
      </c>
      <c r="D3702" s="10" t="s">
        <v>23249</v>
      </c>
      <c r="E3702" s="10" t="s">
        <v>13207</v>
      </c>
      <c r="F3702" s="10" t="s">
        <v>13218</v>
      </c>
      <c r="G3702" s="10" t="s">
        <v>23250</v>
      </c>
      <c r="H3702" s="11" t="s">
        <v>31</v>
      </c>
      <c r="I3702" s="11">
        <v>1.0</v>
      </c>
      <c r="J3702" s="11">
        <v>1.0</v>
      </c>
      <c r="K3702" s="11" t="s">
        <v>31</v>
      </c>
      <c r="L3702" s="12" t="s">
        <v>13209</v>
      </c>
      <c r="M3702" s="10" t="s">
        <v>23251</v>
      </c>
      <c r="N3702" s="10" t="s">
        <v>4232</v>
      </c>
      <c r="O3702" s="12" t="s">
        <v>4233</v>
      </c>
      <c r="P3702" s="10" t="s">
        <v>13211</v>
      </c>
      <c r="Q3702" s="10" t="s">
        <v>31</v>
      </c>
      <c r="R3702" s="10" t="s">
        <v>4236</v>
      </c>
      <c r="S3702" s="12" t="s">
        <v>13212</v>
      </c>
      <c r="T3702" s="10" t="s">
        <v>66</v>
      </c>
      <c r="U3702" s="12" t="s">
        <v>13213</v>
      </c>
      <c r="V3702" s="10" t="s">
        <v>23252</v>
      </c>
      <c r="W3702" s="10" t="s">
        <v>13207</v>
      </c>
      <c r="X3702" s="13" t="str">
        <f>HYPERLINK("https://my.pitchbook.com?p=436345-75P","View People Online")</f>
        <v>View People Online</v>
      </c>
    </row>
    <row r="3703">
      <c r="A3703" s="14" t="s">
        <v>23253</v>
      </c>
      <c r="B3703" s="14" t="s">
        <v>23254</v>
      </c>
      <c r="C3703" s="14" t="s">
        <v>23255</v>
      </c>
      <c r="D3703" s="14" t="s">
        <v>23256</v>
      </c>
      <c r="E3703" s="14" t="s">
        <v>13207</v>
      </c>
      <c r="F3703" s="14" t="s">
        <v>3523</v>
      </c>
      <c r="G3703" s="14" t="s">
        <v>23257</v>
      </c>
      <c r="H3703" s="15" t="s">
        <v>31</v>
      </c>
      <c r="I3703" s="15">
        <v>1.0</v>
      </c>
      <c r="J3703" s="15">
        <v>1.0</v>
      </c>
      <c r="K3703" s="15" t="s">
        <v>31</v>
      </c>
      <c r="L3703" s="16" t="s">
        <v>13888</v>
      </c>
      <c r="M3703" s="14" t="s">
        <v>23258</v>
      </c>
      <c r="N3703" s="14" t="s">
        <v>13890</v>
      </c>
      <c r="O3703" s="16" t="s">
        <v>13891</v>
      </c>
      <c r="P3703" s="14" t="s">
        <v>13892</v>
      </c>
      <c r="Q3703" s="14" t="s">
        <v>31</v>
      </c>
      <c r="R3703" s="14" t="s">
        <v>31</v>
      </c>
      <c r="S3703" s="16" t="s">
        <v>13893</v>
      </c>
      <c r="T3703" s="14" t="s">
        <v>13894</v>
      </c>
      <c r="U3703" s="16" t="s">
        <v>31</v>
      </c>
      <c r="V3703" s="14" t="s">
        <v>3523</v>
      </c>
      <c r="W3703" s="14" t="s">
        <v>13207</v>
      </c>
      <c r="X3703" s="17" t="str">
        <f>HYPERLINK("https://my.pitchbook.com?p=456808-42P","View People Online")</f>
        <v>View People Online</v>
      </c>
    </row>
    <row r="3704">
      <c r="A3704" s="10" t="s">
        <v>23259</v>
      </c>
      <c r="B3704" s="10" t="s">
        <v>23260</v>
      </c>
      <c r="C3704" s="10" t="s">
        <v>23261</v>
      </c>
      <c r="D3704" s="10" t="s">
        <v>3671</v>
      </c>
      <c r="E3704" s="10" t="s">
        <v>13207</v>
      </c>
      <c r="F3704" s="10" t="s">
        <v>3523</v>
      </c>
      <c r="G3704" s="10" t="s">
        <v>23262</v>
      </c>
      <c r="H3704" s="11" t="s">
        <v>31</v>
      </c>
      <c r="I3704" s="11">
        <v>1.0</v>
      </c>
      <c r="J3704" s="11">
        <v>1.0</v>
      </c>
      <c r="K3704" s="11" t="s">
        <v>31</v>
      </c>
      <c r="L3704" s="12" t="s">
        <v>13688</v>
      </c>
      <c r="M3704" s="10" t="s">
        <v>23263</v>
      </c>
      <c r="N3704" s="10" t="s">
        <v>3603</v>
      </c>
      <c r="O3704" s="12" t="s">
        <v>3604</v>
      </c>
      <c r="P3704" s="10" t="s">
        <v>13690</v>
      </c>
      <c r="Q3704" s="10" t="s">
        <v>13691</v>
      </c>
      <c r="R3704" s="10" t="s">
        <v>31</v>
      </c>
      <c r="S3704" s="12" t="s">
        <v>31</v>
      </c>
      <c r="T3704" s="10" t="s">
        <v>3603</v>
      </c>
      <c r="U3704" s="12" t="s">
        <v>13692</v>
      </c>
      <c r="V3704" s="10" t="s">
        <v>3523</v>
      </c>
      <c r="W3704" s="10" t="s">
        <v>13207</v>
      </c>
      <c r="X3704" s="13" t="str">
        <f>HYPERLINK("https://my.pitchbook.com?p=456471-55P","View People Online")</f>
        <v>View People Online</v>
      </c>
    </row>
    <row r="3705">
      <c r="A3705" s="6" t="s">
        <v>23264</v>
      </c>
      <c r="B3705" s="6" t="s">
        <v>23265</v>
      </c>
      <c r="C3705" s="6" t="s">
        <v>23266</v>
      </c>
      <c r="D3705" s="6" t="s">
        <v>23267</v>
      </c>
      <c r="E3705" s="6" t="s">
        <v>13207</v>
      </c>
      <c r="F3705" s="6" t="s">
        <v>3523</v>
      </c>
      <c r="G3705" s="6" t="s">
        <v>23268</v>
      </c>
      <c r="H3705" s="7" t="s">
        <v>31</v>
      </c>
      <c r="I3705" s="7">
        <v>1.0</v>
      </c>
      <c r="J3705" s="7">
        <v>1.0</v>
      </c>
      <c r="K3705" s="7" t="s">
        <v>31</v>
      </c>
      <c r="L3705" s="8" t="s">
        <v>13263</v>
      </c>
      <c r="M3705" s="6" t="s">
        <v>23269</v>
      </c>
      <c r="N3705" s="6" t="s">
        <v>1005</v>
      </c>
      <c r="O3705" s="8" t="s">
        <v>1006</v>
      </c>
      <c r="P3705" s="6" t="s">
        <v>13265</v>
      </c>
      <c r="Q3705" s="6" t="s">
        <v>13266</v>
      </c>
      <c r="R3705" s="6" t="s">
        <v>13267</v>
      </c>
      <c r="S3705" s="8" t="s">
        <v>13268</v>
      </c>
      <c r="T3705" s="6" t="s">
        <v>1010</v>
      </c>
      <c r="U3705" s="8" t="s">
        <v>13269</v>
      </c>
      <c r="V3705" s="6" t="s">
        <v>3523</v>
      </c>
      <c r="W3705" s="6" t="s">
        <v>13207</v>
      </c>
      <c r="X3705" s="9" t="str">
        <f>HYPERLINK("https://my.pitchbook.com?p=435194-20P","View People Online")</f>
        <v>View People Online</v>
      </c>
    </row>
    <row r="3706">
      <c r="A3706" s="2" t="s">
        <v>23270</v>
      </c>
      <c r="B3706" s="2" t="s">
        <v>23271</v>
      </c>
      <c r="C3706" s="2" t="s">
        <v>23272</v>
      </c>
      <c r="D3706" s="2" t="s">
        <v>23273</v>
      </c>
      <c r="E3706" s="2" t="s">
        <v>13207</v>
      </c>
      <c r="F3706" s="2" t="s">
        <v>3523</v>
      </c>
      <c r="G3706" s="2" t="s">
        <v>23274</v>
      </c>
      <c r="H3706" s="3" t="s">
        <v>31</v>
      </c>
      <c r="I3706" s="3">
        <v>1.0</v>
      </c>
      <c r="J3706" s="3">
        <v>1.0</v>
      </c>
      <c r="K3706" s="3" t="s">
        <v>31</v>
      </c>
      <c r="L3706" s="4" t="s">
        <v>13263</v>
      </c>
      <c r="M3706" s="2" t="s">
        <v>23275</v>
      </c>
      <c r="N3706" s="2" t="s">
        <v>1005</v>
      </c>
      <c r="O3706" s="4" t="s">
        <v>1006</v>
      </c>
      <c r="P3706" s="2" t="s">
        <v>13265</v>
      </c>
      <c r="Q3706" s="2" t="s">
        <v>13266</v>
      </c>
      <c r="R3706" s="2" t="s">
        <v>13267</v>
      </c>
      <c r="S3706" s="4" t="s">
        <v>13268</v>
      </c>
      <c r="T3706" s="2" t="s">
        <v>1010</v>
      </c>
      <c r="U3706" s="4" t="s">
        <v>13269</v>
      </c>
      <c r="V3706" s="2" t="s">
        <v>3523</v>
      </c>
      <c r="W3706" s="2" t="s">
        <v>13207</v>
      </c>
      <c r="X3706" s="5" t="str">
        <f>HYPERLINK("https://my.pitchbook.com?p=455617-81P","View People Online")</f>
        <v>View People Online</v>
      </c>
    </row>
    <row r="3707">
      <c r="A3707" s="6" t="s">
        <v>23276</v>
      </c>
      <c r="B3707" s="6" t="s">
        <v>23277</v>
      </c>
      <c r="C3707" s="6" t="s">
        <v>23278</v>
      </c>
      <c r="D3707" s="6" t="s">
        <v>23279</v>
      </c>
      <c r="E3707" s="6" t="s">
        <v>13207</v>
      </c>
      <c r="F3707" s="6" t="s">
        <v>3523</v>
      </c>
      <c r="G3707" s="6" t="s">
        <v>23280</v>
      </c>
      <c r="H3707" s="7" t="s">
        <v>31</v>
      </c>
      <c r="I3707" s="7">
        <v>1.0</v>
      </c>
      <c r="J3707" s="7">
        <v>1.0</v>
      </c>
      <c r="K3707" s="7" t="s">
        <v>31</v>
      </c>
      <c r="L3707" s="8" t="s">
        <v>13263</v>
      </c>
      <c r="M3707" s="6" t="s">
        <v>23281</v>
      </c>
      <c r="N3707" s="6" t="s">
        <v>1005</v>
      </c>
      <c r="O3707" s="8" t="s">
        <v>1006</v>
      </c>
      <c r="P3707" s="6" t="s">
        <v>13265</v>
      </c>
      <c r="Q3707" s="6" t="s">
        <v>13266</v>
      </c>
      <c r="R3707" s="6" t="s">
        <v>13267</v>
      </c>
      <c r="S3707" s="8" t="s">
        <v>13268</v>
      </c>
      <c r="T3707" s="6" t="s">
        <v>1010</v>
      </c>
      <c r="U3707" s="8" t="s">
        <v>13269</v>
      </c>
      <c r="V3707" s="6" t="s">
        <v>3523</v>
      </c>
      <c r="W3707" s="6" t="s">
        <v>13207</v>
      </c>
      <c r="X3707" s="9" t="str">
        <f>HYPERLINK("https://my.pitchbook.com?p=435394-00P","View People Online")</f>
        <v>View People Online</v>
      </c>
    </row>
    <row r="3708">
      <c r="A3708" s="10" t="s">
        <v>23282</v>
      </c>
      <c r="B3708" s="10" t="s">
        <v>23283</v>
      </c>
      <c r="C3708" s="10" t="s">
        <v>23284</v>
      </c>
      <c r="D3708" s="10" t="s">
        <v>23285</v>
      </c>
      <c r="E3708" s="10" t="s">
        <v>13207</v>
      </c>
      <c r="F3708" s="10" t="s">
        <v>13218</v>
      </c>
      <c r="G3708" s="10" t="s">
        <v>23286</v>
      </c>
      <c r="H3708" s="11" t="s">
        <v>31</v>
      </c>
      <c r="I3708" s="11">
        <v>1.0</v>
      </c>
      <c r="J3708" s="11">
        <v>1.0</v>
      </c>
      <c r="K3708" s="11" t="s">
        <v>31</v>
      </c>
      <c r="L3708" s="12" t="s">
        <v>13263</v>
      </c>
      <c r="M3708" s="10" t="s">
        <v>23287</v>
      </c>
      <c r="N3708" s="10" t="s">
        <v>1005</v>
      </c>
      <c r="O3708" s="12" t="s">
        <v>1006</v>
      </c>
      <c r="P3708" s="10" t="s">
        <v>13265</v>
      </c>
      <c r="Q3708" s="10" t="s">
        <v>13266</v>
      </c>
      <c r="R3708" s="10" t="s">
        <v>13267</v>
      </c>
      <c r="S3708" s="12" t="s">
        <v>13268</v>
      </c>
      <c r="T3708" s="10" t="s">
        <v>1010</v>
      </c>
      <c r="U3708" s="12" t="s">
        <v>13269</v>
      </c>
      <c r="V3708" s="10" t="s">
        <v>13218</v>
      </c>
      <c r="W3708" s="10" t="s">
        <v>13207</v>
      </c>
      <c r="X3708" s="13" t="str">
        <f>HYPERLINK("https://my.pitchbook.com?p=435920-77P","View People Online")</f>
        <v>View People Online</v>
      </c>
    </row>
    <row r="3709">
      <c r="A3709" s="14" t="s">
        <v>23288</v>
      </c>
      <c r="B3709" s="14" t="s">
        <v>23289</v>
      </c>
      <c r="C3709" s="14" t="s">
        <v>23290</v>
      </c>
      <c r="D3709" s="14" t="s">
        <v>23291</v>
      </c>
      <c r="E3709" s="14" t="s">
        <v>13207</v>
      </c>
      <c r="F3709" s="14" t="s">
        <v>29</v>
      </c>
      <c r="G3709" s="14" t="s">
        <v>23292</v>
      </c>
      <c r="H3709" s="15" t="s">
        <v>31</v>
      </c>
      <c r="I3709" s="15">
        <v>1.0</v>
      </c>
      <c r="J3709" s="15">
        <v>1.0</v>
      </c>
      <c r="K3709" s="15" t="s">
        <v>31</v>
      </c>
      <c r="L3709" s="16" t="s">
        <v>13263</v>
      </c>
      <c r="M3709" s="14" t="s">
        <v>23293</v>
      </c>
      <c r="N3709" s="14" t="s">
        <v>1005</v>
      </c>
      <c r="O3709" s="16" t="s">
        <v>1006</v>
      </c>
      <c r="P3709" s="14" t="s">
        <v>13265</v>
      </c>
      <c r="Q3709" s="14" t="s">
        <v>13266</v>
      </c>
      <c r="R3709" s="14" t="s">
        <v>13267</v>
      </c>
      <c r="S3709" s="16" t="s">
        <v>13268</v>
      </c>
      <c r="T3709" s="14" t="s">
        <v>1010</v>
      </c>
      <c r="U3709" s="16" t="s">
        <v>13269</v>
      </c>
      <c r="V3709" s="14" t="s">
        <v>16411</v>
      </c>
      <c r="W3709" s="14" t="s">
        <v>13207</v>
      </c>
      <c r="X3709" s="17" t="str">
        <f>HYPERLINK("https://my.pitchbook.com?p=455786-11P","View People Online")</f>
        <v>View People Online</v>
      </c>
    </row>
    <row r="3710">
      <c r="A3710" s="10" t="s">
        <v>23294</v>
      </c>
      <c r="B3710" s="10" t="s">
        <v>23295</v>
      </c>
      <c r="C3710" s="10" t="s">
        <v>23290</v>
      </c>
      <c r="D3710" s="10" t="s">
        <v>23296</v>
      </c>
      <c r="E3710" s="10" t="s">
        <v>13207</v>
      </c>
      <c r="F3710" s="10" t="s">
        <v>29</v>
      </c>
      <c r="G3710" s="10" t="s">
        <v>23297</v>
      </c>
      <c r="H3710" s="11" t="s">
        <v>31</v>
      </c>
      <c r="I3710" s="11">
        <v>1.0</v>
      </c>
      <c r="J3710" s="11">
        <v>1.0</v>
      </c>
      <c r="K3710" s="11" t="s">
        <v>31</v>
      </c>
      <c r="L3710" s="12" t="s">
        <v>13263</v>
      </c>
      <c r="M3710" s="10" t="s">
        <v>23298</v>
      </c>
      <c r="N3710" s="10" t="s">
        <v>1005</v>
      </c>
      <c r="O3710" s="12" t="s">
        <v>1006</v>
      </c>
      <c r="P3710" s="10" t="s">
        <v>13265</v>
      </c>
      <c r="Q3710" s="10" t="s">
        <v>13266</v>
      </c>
      <c r="R3710" s="10" t="s">
        <v>13267</v>
      </c>
      <c r="S3710" s="12" t="s">
        <v>13268</v>
      </c>
      <c r="T3710" s="10" t="s">
        <v>1010</v>
      </c>
      <c r="U3710" s="12" t="s">
        <v>13269</v>
      </c>
      <c r="V3710" s="10" t="s">
        <v>29</v>
      </c>
      <c r="W3710" s="10" t="s">
        <v>13207</v>
      </c>
      <c r="X3710" s="13" t="str">
        <f>HYPERLINK("https://my.pitchbook.com?p=455208-04P","View People Online")</f>
        <v>View People Online</v>
      </c>
    </row>
    <row r="3711">
      <c r="A3711" s="14" t="s">
        <v>23299</v>
      </c>
      <c r="B3711" s="14" t="s">
        <v>23300</v>
      </c>
      <c r="C3711" s="14" t="s">
        <v>23301</v>
      </c>
      <c r="D3711" s="14" t="s">
        <v>23301</v>
      </c>
      <c r="E3711" s="14" t="s">
        <v>13207</v>
      </c>
      <c r="F3711" s="14" t="s">
        <v>13218</v>
      </c>
      <c r="G3711" s="14" t="s">
        <v>23302</v>
      </c>
      <c r="H3711" s="15" t="s">
        <v>31</v>
      </c>
      <c r="I3711" s="15">
        <v>1.0</v>
      </c>
      <c r="J3711" s="15">
        <v>1.0</v>
      </c>
      <c r="K3711" s="15" t="s">
        <v>31</v>
      </c>
      <c r="L3711" s="16" t="s">
        <v>13354</v>
      </c>
      <c r="M3711" s="14" t="s">
        <v>23303</v>
      </c>
      <c r="N3711" s="14" t="s">
        <v>13356</v>
      </c>
      <c r="O3711" s="16" t="s">
        <v>13357</v>
      </c>
      <c r="P3711" s="14" t="s">
        <v>13358</v>
      </c>
      <c r="Q3711" s="14" t="s">
        <v>13359</v>
      </c>
      <c r="R3711" s="14" t="s">
        <v>31</v>
      </c>
      <c r="S3711" s="16" t="s">
        <v>13360</v>
      </c>
      <c r="T3711" s="14" t="s">
        <v>13361</v>
      </c>
      <c r="U3711" s="16" t="s">
        <v>13362</v>
      </c>
      <c r="V3711" s="14" t="s">
        <v>13218</v>
      </c>
      <c r="W3711" s="14" t="s">
        <v>13207</v>
      </c>
      <c r="X3711" s="17" t="str">
        <f>HYPERLINK("https://my.pitchbook.com?p=435536-74P","View People Online")</f>
        <v>View People Online</v>
      </c>
    </row>
    <row r="3712">
      <c r="A3712" s="2" t="s">
        <v>23304</v>
      </c>
      <c r="B3712" s="2" t="s">
        <v>23305</v>
      </c>
      <c r="C3712" s="2" t="s">
        <v>23306</v>
      </c>
      <c r="D3712" s="2" t="s">
        <v>23307</v>
      </c>
      <c r="E3712" s="2" t="s">
        <v>13207</v>
      </c>
      <c r="F3712" s="2" t="s">
        <v>13218</v>
      </c>
      <c r="G3712" s="2" t="s">
        <v>23308</v>
      </c>
      <c r="H3712" s="3" t="s">
        <v>31</v>
      </c>
      <c r="I3712" s="3">
        <v>1.0</v>
      </c>
      <c r="J3712" s="3">
        <v>1.0</v>
      </c>
      <c r="K3712" s="3" t="s">
        <v>31</v>
      </c>
      <c r="L3712" s="4" t="s">
        <v>13263</v>
      </c>
      <c r="M3712" s="2" t="s">
        <v>23309</v>
      </c>
      <c r="N3712" s="2" t="s">
        <v>1005</v>
      </c>
      <c r="O3712" s="4" t="s">
        <v>1006</v>
      </c>
      <c r="P3712" s="2" t="s">
        <v>13265</v>
      </c>
      <c r="Q3712" s="2" t="s">
        <v>13266</v>
      </c>
      <c r="R3712" s="2" t="s">
        <v>13267</v>
      </c>
      <c r="S3712" s="4" t="s">
        <v>13268</v>
      </c>
      <c r="T3712" s="2" t="s">
        <v>1010</v>
      </c>
      <c r="U3712" s="4" t="s">
        <v>13269</v>
      </c>
      <c r="V3712" s="2" t="s">
        <v>13218</v>
      </c>
      <c r="W3712" s="2" t="s">
        <v>13207</v>
      </c>
      <c r="X3712" s="5" t="str">
        <f>HYPERLINK("https://my.pitchbook.com?p=456762-43P","View People Online")</f>
        <v>View People Online</v>
      </c>
    </row>
    <row r="3713">
      <c r="A3713" s="6" t="s">
        <v>23310</v>
      </c>
      <c r="B3713" s="6" t="s">
        <v>23311</v>
      </c>
      <c r="C3713" s="6" t="s">
        <v>23312</v>
      </c>
      <c r="D3713" s="6" t="s">
        <v>22252</v>
      </c>
      <c r="E3713" s="6" t="s">
        <v>13207</v>
      </c>
      <c r="F3713" s="6" t="s">
        <v>29</v>
      </c>
      <c r="G3713" s="6" t="s">
        <v>23313</v>
      </c>
      <c r="H3713" s="7" t="s">
        <v>31</v>
      </c>
      <c r="I3713" s="7">
        <v>1.0</v>
      </c>
      <c r="J3713" s="7">
        <v>1.0</v>
      </c>
      <c r="K3713" s="7" t="s">
        <v>31</v>
      </c>
      <c r="L3713" s="8" t="s">
        <v>13263</v>
      </c>
      <c r="M3713" s="6" t="s">
        <v>23314</v>
      </c>
      <c r="N3713" s="6" t="s">
        <v>1005</v>
      </c>
      <c r="O3713" s="8" t="s">
        <v>1006</v>
      </c>
      <c r="P3713" s="6" t="s">
        <v>13265</v>
      </c>
      <c r="Q3713" s="6" t="s">
        <v>13266</v>
      </c>
      <c r="R3713" s="6" t="s">
        <v>13267</v>
      </c>
      <c r="S3713" s="8" t="s">
        <v>13268</v>
      </c>
      <c r="T3713" s="6" t="s">
        <v>1010</v>
      </c>
      <c r="U3713" s="8" t="s">
        <v>13269</v>
      </c>
      <c r="V3713" s="6" t="s">
        <v>29</v>
      </c>
      <c r="W3713" s="6" t="s">
        <v>13207</v>
      </c>
      <c r="X3713" s="9" t="str">
        <f>HYPERLINK("https://my.pitchbook.com?p=456118-39P","View People Online")</f>
        <v>View People Online</v>
      </c>
    </row>
    <row r="3714">
      <c r="A3714" s="2" t="s">
        <v>23315</v>
      </c>
      <c r="B3714" s="2" t="s">
        <v>23316</v>
      </c>
      <c r="C3714" s="2" t="s">
        <v>23312</v>
      </c>
      <c r="D3714" s="2" t="s">
        <v>23317</v>
      </c>
      <c r="E3714" s="2" t="s">
        <v>13207</v>
      </c>
      <c r="F3714" s="2" t="s">
        <v>29</v>
      </c>
      <c r="G3714" s="2" t="s">
        <v>23318</v>
      </c>
      <c r="H3714" s="3" t="s">
        <v>31</v>
      </c>
      <c r="I3714" s="3">
        <v>1.0</v>
      </c>
      <c r="J3714" s="3">
        <v>1.0</v>
      </c>
      <c r="K3714" s="3" t="s">
        <v>31</v>
      </c>
      <c r="L3714" s="4" t="s">
        <v>13263</v>
      </c>
      <c r="M3714" s="2" t="s">
        <v>23319</v>
      </c>
      <c r="N3714" s="2" t="s">
        <v>1005</v>
      </c>
      <c r="O3714" s="4" t="s">
        <v>1006</v>
      </c>
      <c r="P3714" s="2" t="s">
        <v>13265</v>
      </c>
      <c r="Q3714" s="2" t="s">
        <v>13266</v>
      </c>
      <c r="R3714" s="2" t="s">
        <v>13267</v>
      </c>
      <c r="S3714" s="4" t="s">
        <v>13268</v>
      </c>
      <c r="T3714" s="2" t="s">
        <v>1010</v>
      </c>
      <c r="U3714" s="4" t="s">
        <v>13269</v>
      </c>
      <c r="V3714" s="2" t="s">
        <v>29</v>
      </c>
      <c r="W3714" s="2" t="s">
        <v>13207</v>
      </c>
      <c r="X3714" s="5" t="str">
        <f>HYPERLINK("https://my.pitchbook.com?p=436353-94P","View People Online")</f>
        <v>View People Online</v>
      </c>
    </row>
    <row r="3715">
      <c r="A3715" s="6" t="s">
        <v>23320</v>
      </c>
      <c r="B3715" s="6" t="s">
        <v>23321</v>
      </c>
      <c r="C3715" s="6" t="s">
        <v>23322</v>
      </c>
      <c r="D3715" s="6" t="s">
        <v>23323</v>
      </c>
      <c r="E3715" s="6" t="s">
        <v>13207</v>
      </c>
      <c r="F3715" s="6" t="s">
        <v>13307</v>
      </c>
      <c r="G3715" s="6" t="s">
        <v>23324</v>
      </c>
      <c r="H3715" s="7" t="s">
        <v>31</v>
      </c>
      <c r="I3715" s="7">
        <v>1.0</v>
      </c>
      <c r="J3715" s="7">
        <v>1.0</v>
      </c>
      <c r="K3715" s="7" t="s">
        <v>31</v>
      </c>
      <c r="L3715" s="8" t="s">
        <v>13263</v>
      </c>
      <c r="M3715" s="6" t="s">
        <v>23325</v>
      </c>
      <c r="N3715" s="6" t="s">
        <v>1005</v>
      </c>
      <c r="O3715" s="8" t="s">
        <v>1006</v>
      </c>
      <c r="P3715" s="6" t="s">
        <v>13265</v>
      </c>
      <c r="Q3715" s="6" t="s">
        <v>13266</v>
      </c>
      <c r="R3715" s="6" t="s">
        <v>13267</v>
      </c>
      <c r="S3715" s="8" t="s">
        <v>13268</v>
      </c>
      <c r="T3715" s="6" t="s">
        <v>1010</v>
      </c>
      <c r="U3715" s="8" t="s">
        <v>13269</v>
      </c>
      <c r="V3715" s="6" t="s">
        <v>13317</v>
      </c>
      <c r="W3715" s="6" t="s">
        <v>13207</v>
      </c>
      <c r="X3715" s="9" t="str">
        <f>HYPERLINK("https://my.pitchbook.com?p=455723-56P","View People Online")</f>
        <v>View People Online</v>
      </c>
    </row>
    <row r="3716">
      <c r="A3716" s="2" t="s">
        <v>23326</v>
      </c>
      <c r="B3716" s="2" t="s">
        <v>23327</v>
      </c>
      <c r="C3716" s="2" t="s">
        <v>23328</v>
      </c>
      <c r="D3716" s="2" t="s">
        <v>23329</v>
      </c>
      <c r="E3716" s="2" t="s">
        <v>13207</v>
      </c>
      <c r="F3716" s="2" t="s">
        <v>3523</v>
      </c>
      <c r="G3716" s="2" t="s">
        <v>23330</v>
      </c>
      <c r="H3716" s="3" t="s">
        <v>31</v>
      </c>
      <c r="I3716" s="3">
        <v>1.0</v>
      </c>
      <c r="J3716" s="3">
        <v>1.0</v>
      </c>
      <c r="K3716" s="3" t="s">
        <v>31</v>
      </c>
      <c r="L3716" s="4" t="s">
        <v>13299</v>
      </c>
      <c r="M3716" s="2" t="s">
        <v>23331</v>
      </c>
      <c r="N3716" s="2" t="s">
        <v>601</v>
      </c>
      <c r="O3716" s="4" t="s">
        <v>602</v>
      </c>
      <c r="P3716" s="2" t="s">
        <v>13301</v>
      </c>
      <c r="Q3716" s="2" t="s">
        <v>13302</v>
      </c>
      <c r="R3716" s="2" t="s">
        <v>31</v>
      </c>
      <c r="S3716" s="4" t="s">
        <v>31</v>
      </c>
      <c r="T3716" s="2" t="s">
        <v>603</v>
      </c>
      <c r="U3716" s="4" t="s">
        <v>13303</v>
      </c>
      <c r="V3716" s="2" t="s">
        <v>3523</v>
      </c>
      <c r="W3716" s="2" t="s">
        <v>13207</v>
      </c>
      <c r="X3716" s="5" t="str">
        <f>HYPERLINK("https://my.pitchbook.com?p=435759-58P","View People Online")</f>
        <v>View People Online</v>
      </c>
    </row>
    <row r="3717">
      <c r="A3717" s="14" t="s">
        <v>23332</v>
      </c>
      <c r="B3717" s="14" t="s">
        <v>23333</v>
      </c>
      <c r="C3717" s="14" t="s">
        <v>1401</v>
      </c>
      <c r="D3717" s="14" t="s">
        <v>23334</v>
      </c>
      <c r="E3717" s="14" t="s">
        <v>13207</v>
      </c>
      <c r="F3717" s="14" t="s">
        <v>3523</v>
      </c>
      <c r="G3717" s="14" t="s">
        <v>23335</v>
      </c>
      <c r="H3717" s="15" t="s">
        <v>31</v>
      </c>
      <c r="I3717" s="15">
        <v>1.0</v>
      </c>
      <c r="J3717" s="15">
        <v>1.0</v>
      </c>
      <c r="K3717" s="15" t="s">
        <v>31</v>
      </c>
      <c r="L3717" s="16" t="s">
        <v>13274</v>
      </c>
      <c r="M3717" s="14" t="s">
        <v>23336</v>
      </c>
      <c r="N3717" s="14" t="s">
        <v>1181</v>
      </c>
      <c r="O3717" s="16" t="s">
        <v>1182</v>
      </c>
      <c r="P3717" s="14" t="s">
        <v>13276</v>
      </c>
      <c r="Q3717" s="14" t="s">
        <v>31</v>
      </c>
      <c r="R3717" s="14" t="s">
        <v>1185</v>
      </c>
      <c r="S3717" s="16" t="s">
        <v>4438</v>
      </c>
      <c r="T3717" s="14" t="s">
        <v>66</v>
      </c>
      <c r="U3717" s="16" t="s">
        <v>13277</v>
      </c>
      <c r="V3717" s="14" t="s">
        <v>3523</v>
      </c>
      <c r="W3717" s="14" t="s">
        <v>13207</v>
      </c>
      <c r="X3717" s="17" t="str">
        <f>HYPERLINK("https://my.pitchbook.com?p=455851-81P","View People Online")</f>
        <v>View People Online</v>
      </c>
    </row>
    <row r="3718">
      <c r="A3718" s="10" t="s">
        <v>23337</v>
      </c>
      <c r="B3718" s="10" t="s">
        <v>23338</v>
      </c>
      <c r="C3718" s="10" t="s">
        <v>23339</v>
      </c>
      <c r="D3718" s="10" t="s">
        <v>23340</v>
      </c>
      <c r="E3718" s="10" t="s">
        <v>23341</v>
      </c>
      <c r="F3718" s="10" t="s">
        <v>548</v>
      </c>
      <c r="G3718" s="10" t="s">
        <v>23342</v>
      </c>
      <c r="H3718" s="11" t="s">
        <v>31</v>
      </c>
      <c r="I3718" s="11">
        <v>1.0</v>
      </c>
      <c r="J3718" s="11">
        <v>1.0</v>
      </c>
      <c r="K3718" s="11" t="s">
        <v>31</v>
      </c>
      <c r="L3718" s="12" t="s">
        <v>23343</v>
      </c>
      <c r="M3718" s="10" t="s">
        <v>23344</v>
      </c>
      <c r="N3718" s="10" t="s">
        <v>23345</v>
      </c>
      <c r="O3718" s="12" t="s">
        <v>23346</v>
      </c>
      <c r="P3718" s="10" t="s">
        <v>23347</v>
      </c>
      <c r="Q3718" s="10" t="s">
        <v>6831</v>
      </c>
      <c r="R3718" s="10" t="s">
        <v>1185</v>
      </c>
      <c r="S3718" s="12" t="s">
        <v>23348</v>
      </c>
      <c r="T3718" s="10" t="s">
        <v>66</v>
      </c>
      <c r="U3718" s="12" t="s">
        <v>31</v>
      </c>
      <c r="V3718" s="10" t="s">
        <v>23349</v>
      </c>
      <c r="W3718" s="10" t="s">
        <v>23341</v>
      </c>
      <c r="X3718" s="13" t="str">
        <f>HYPERLINK("https://my.pitchbook.com?p=266180-95P","View People Online")</f>
        <v>View People Online</v>
      </c>
    </row>
    <row r="3719">
      <c r="A3719" s="6" t="s">
        <v>23350</v>
      </c>
      <c r="B3719" s="6" t="s">
        <v>23351</v>
      </c>
      <c r="C3719" s="6" t="s">
        <v>5721</v>
      </c>
      <c r="D3719" s="6" t="s">
        <v>1147</v>
      </c>
      <c r="E3719" s="6" t="s">
        <v>23341</v>
      </c>
      <c r="F3719" s="6" t="s">
        <v>270</v>
      </c>
      <c r="G3719" s="6" t="s">
        <v>23352</v>
      </c>
      <c r="H3719" s="7" t="s">
        <v>31</v>
      </c>
      <c r="I3719" s="7">
        <v>1.0</v>
      </c>
      <c r="J3719" s="7">
        <v>1.0</v>
      </c>
      <c r="K3719" s="7" t="s">
        <v>31</v>
      </c>
      <c r="L3719" s="8" t="s">
        <v>23343</v>
      </c>
      <c r="M3719" s="6" t="s">
        <v>31</v>
      </c>
      <c r="N3719" s="6" t="s">
        <v>23345</v>
      </c>
      <c r="O3719" s="8" t="s">
        <v>23346</v>
      </c>
      <c r="P3719" s="6" t="s">
        <v>23347</v>
      </c>
      <c r="Q3719" s="6" t="s">
        <v>6831</v>
      </c>
      <c r="R3719" s="6" t="s">
        <v>1185</v>
      </c>
      <c r="S3719" s="8" t="s">
        <v>23348</v>
      </c>
      <c r="T3719" s="6" t="s">
        <v>66</v>
      </c>
      <c r="U3719" s="8" t="s">
        <v>31</v>
      </c>
      <c r="V3719" s="6" t="s">
        <v>23353</v>
      </c>
      <c r="W3719" s="6" t="s">
        <v>23341</v>
      </c>
      <c r="X3719" s="9" t="str">
        <f>HYPERLINK("https://my.pitchbook.com?p=51587-29P","View People Online")</f>
        <v>View People Online</v>
      </c>
    </row>
    <row r="3720">
      <c r="A3720" s="10" t="s">
        <v>23354</v>
      </c>
      <c r="B3720" s="10" t="s">
        <v>23355</v>
      </c>
      <c r="C3720" s="10" t="s">
        <v>23356</v>
      </c>
      <c r="D3720" s="10" t="s">
        <v>2833</v>
      </c>
      <c r="E3720" s="10" t="s">
        <v>23341</v>
      </c>
      <c r="F3720" s="10" t="s">
        <v>1249</v>
      </c>
      <c r="G3720" s="10" t="s">
        <v>23357</v>
      </c>
      <c r="H3720" s="11">
        <v>3.0</v>
      </c>
      <c r="I3720" s="11">
        <v>6.0</v>
      </c>
      <c r="J3720" s="11">
        <v>1.0</v>
      </c>
      <c r="K3720" s="11">
        <v>2.0</v>
      </c>
      <c r="L3720" s="12" t="s">
        <v>23343</v>
      </c>
      <c r="M3720" s="10" t="s">
        <v>23358</v>
      </c>
      <c r="N3720" s="10" t="s">
        <v>23345</v>
      </c>
      <c r="O3720" s="12" t="s">
        <v>23346</v>
      </c>
      <c r="P3720" s="10" t="s">
        <v>23347</v>
      </c>
      <c r="Q3720" s="10" t="s">
        <v>6831</v>
      </c>
      <c r="R3720" s="10" t="s">
        <v>1185</v>
      </c>
      <c r="S3720" s="12" t="s">
        <v>23348</v>
      </c>
      <c r="T3720" s="10" t="s">
        <v>66</v>
      </c>
      <c r="U3720" s="12" t="s">
        <v>31</v>
      </c>
      <c r="V3720" s="10" t="s">
        <v>23359</v>
      </c>
      <c r="W3720" s="10" t="s">
        <v>23341</v>
      </c>
      <c r="X3720" s="13" t="str">
        <f>HYPERLINK("https://my.pitchbook.com?p=281700-46P","View People Online")</f>
        <v>View People Online</v>
      </c>
    </row>
    <row r="3721">
      <c r="A3721" s="6" t="s">
        <v>23360</v>
      </c>
      <c r="B3721" s="6" t="s">
        <v>23361</v>
      </c>
      <c r="C3721" s="6" t="s">
        <v>7464</v>
      </c>
      <c r="D3721" s="6" t="s">
        <v>23362</v>
      </c>
      <c r="E3721" s="6" t="s">
        <v>23341</v>
      </c>
      <c r="F3721" s="6" t="s">
        <v>152</v>
      </c>
      <c r="G3721" s="6" t="s">
        <v>23363</v>
      </c>
      <c r="H3721" s="7" t="s">
        <v>31</v>
      </c>
      <c r="I3721" s="7">
        <v>5.0</v>
      </c>
      <c r="J3721" s="7">
        <v>1.0</v>
      </c>
      <c r="K3721" s="7">
        <v>3.0</v>
      </c>
      <c r="L3721" s="8" t="s">
        <v>23364</v>
      </c>
      <c r="M3721" s="6" t="s">
        <v>23365</v>
      </c>
      <c r="N3721" s="6" t="s">
        <v>23345</v>
      </c>
      <c r="O3721" s="8" t="s">
        <v>23346</v>
      </c>
      <c r="P3721" s="6" t="s">
        <v>23347</v>
      </c>
      <c r="Q3721" s="6" t="s">
        <v>6831</v>
      </c>
      <c r="R3721" s="6" t="s">
        <v>1185</v>
      </c>
      <c r="S3721" s="8" t="s">
        <v>23348</v>
      </c>
      <c r="T3721" s="6" t="s">
        <v>66</v>
      </c>
      <c r="U3721" s="8" t="s">
        <v>31</v>
      </c>
      <c r="V3721" s="6" t="s">
        <v>157</v>
      </c>
      <c r="W3721" s="6" t="s">
        <v>23341</v>
      </c>
      <c r="X3721" s="9" t="str">
        <f>HYPERLINK("https://my.pitchbook.com?p=169227-91P","View People Online")</f>
        <v>View People Online</v>
      </c>
    </row>
    <row r="3722">
      <c r="A3722" s="2" t="s">
        <v>23366</v>
      </c>
      <c r="B3722" s="2" t="s">
        <v>23367</v>
      </c>
      <c r="C3722" s="2" t="s">
        <v>323</v>
      </c>
      <c r="D3722" s="2" t="s">
        <v>22408</v>
      </c>
      <c r="E3722" s="2" t="s">
        <v>23341</v>
      </c>
      <c r="F3722" s="2" t="s">
        <v>81</v>
      </c>
      <c r="G3722" s="2" t="s">
        <v>23368</v>
      </c>
      <c r="H3722" s="3" t="s">
        <v>31</v>
      </c>
      <c r="I3722" s="3">
        <v>1.0</v>
      </c>
      <c r="J3722" s="3" t="s">
        <v>31</v>
      </c>
      <c r="K3722" s="3" t="s">
        <v>31</v>
      </c>
      <c r="L3722" s="4" t="s">
        <v>23343</v>
      </c>
      <c r="M3722" s="2" t="s">
        <v>31</v>
      </c>
      <c r="N3722" s="2" t="s">
        <v>23345</v>
      </c>
      <c r="O3722" s="4" t="s">
        <v>23346</v>
      </c>
      <c r="P3722" s="2" t="s">
        <v>23347</v>
      </c>
      <c r="Q3722" s="2" t="s">
        <v>6831</v>
      </c>
      <c r="R3722" s="2" t="s">
        <v>1185</v>
      </c>
      <c r="S3722" s="4" t="s">
        <v>23348</v>
      </c>
      <c r="T3722" s="2" t="s">
        <v>66</v>
      </c>
      <c r="U3722" s="4" t="s">
        <v>31</v>
      </c>
      <c r="V3722" s="2" t="s">
        <v>81</v>
      </c>
      <c r="W3722" s="2" t="s">
        <v>23341</v>
      </c>
      <c r="X3722" s="5" t="str">
        <f>HYPERLINK("https://my.pitchbook.com?p=281720-80P","View People Online")</f>
        <v>View People Online</v>
      </c>
    </row>
    <row r="3723">
      <c r="A3723" s="14" t="s">
        <v>23369</v>
      </c>
      <c r="B3723" s="14" t="s">
        <v>23370</v>
      </c>
      <c r="C3723" s="14" t="s">
        <v>2895</v>
      </c>
      <c r="D3723" s="14" t="s">
        <v>23371</v>
      </c>
      <c r="E3723" s="14" t="s">
        <v>23341</v>
      </c>
      <c r="F3723" s="14" t="s">
        <v>23372</v>
      </c>
      <c r="G3723" s="14" t="s">
        <v>23373</v>
      </c>
      <c r="H3723" s="15">
        <v>1.0</v>
      </c>
      <c r="I3723" s="15">
        <v>2.0</v>
      </c>
      <c r="J3723" s="15">
        <v>2.0</v>
      </c>
      <c r="K3723" s="15" t="s">
        <v>31</v>
      </c>
      <c r="L3723" s="16" t="s">
        <v>23343</v>
      </c>
      <c r="M3723" s="14" t="s">
        <v>31</v>
      </c>
      <c r="N3723" s="14" t="s">
        <v>23345</v>
      </c>
      <c r="O3723" s="16" t="s">
        <v>23346</v>
      </c>
      <c r="P3723" s="14" t="s">
        <v>23347</v>
      </c>
      <c r="Q3723" s="14" t="s">
        <v>6831</v>
      </c>
      <c r="R3723" s="14" t="s">
        <v>1185</v>
      </c>
      <c r="S3723" s="16" t="s">
        <v>23348</v>
      </c>
      <c r="T3723" s="14" t="s">
        <v>66</v>
      </c>
      <c r="U3723" s="16" t="s">
        <v>31</v>
      </c>
      <c r="V3723" s="14" t="s">
        <v>23374</v>
      </c>
      <c r="W3723" s="14" t="s">
        <v>23341</v>
      </c>
      <c r="X3723" s="17" t="str">
        <f>HYPERLINK("https://my.pitchbook.com?p=353881-27P","View People Online")</f>
        <v>View People Online</v>
      </c>
    </row>
    <row r="3724">
      <c r="A3724" s="10" t="s">
        <v>23375</v>
      </c>
      <c r="B3724" s="10" t="s">
        <v>23376</v>
      </c>
      <c r="C3724" s="10" t="s">
        <v>4345</v>
      </c>
      <c r="D3724" s="10" t="s">
        <v>23377</v>
      </c>
      <c r="E3724" s="10" t="s">
        <v>23341</v>
      </c>
      <c r="F3724" s="10" t="s">
        <v>548</v>
      </c>
      <c r="G3724" s="10" t="s">
        <v>23378</v>
      </c>
      <c r="H3724" s="11" t="s">
        <v>31</v>
      </c>
      <c r="I3724" s="11">
        <v>3.0</v>
      </c>
      <c r="J3724" s="11">
        <v>1.0</v>
      </c>
      <c r="K3724" s="11" t="s">
        <v>31</v>
      </c>
      <c r="L3724" s="12" t="s">
        <v>23379</v>
      </c>
      <c r="M3724" s="10" t="s">
        <v>23380</v>
      </c>
      <c r="N3724" s="10" t="s">
        <v>23345</v>
      </c>
      <c r="O3724" s="12" t="s">
        <v>23346</v>
      </c>
      <c r="P3724" s="10" t="s">
        <v>23347</v>
      </c>
      <c r="Q3724" s="10" t="s">
        <v>6831</v>
      </c>
      <c r="R3724" s="10" t="s">
        <v>1185</v>
      </c>
      <c r="S3724" s="12" t="s">
        <v>23348</v>
      </c>
      <c r="T3724" s="10" t="s">
        <v>66</v>
      </c>
      <c r="U3724" s="12" t="s">
        <v>31</v>
      </c>
      <c r="V3724" s="10" t="s">
        <v>2422</v>
      </c>
      <c r="W3724" s="10" t="s">
        <v>23341</v>
      </c>
      <c r="X3724" s="13" t="str">
        <f>HYPERLINK("https://my.pitchbook.com?p=258062-86P","View People Online")</f>
        <v>View People Online</v>
      </c>
    </row>
    <row r="3725">
      <c r="A3725" s="6" t="s">
        <v>23381</v>
      </c>
      <c r="B3725" s="6" t="s">
        <v>23382</v>
      </c>
      <c r="C3725" s="6" t="s">
        <v>3058</v>
      </c>
      <c r="D3725" s="6" t="s">
        <v>23383</v>
      </c>
      <c r="E3725" s="6" t="s">
        <v>23341</v>
      </c>
      <c r="F3725" s="6" t="s">
        <v>23384</v>
      </c>
      <c r="G3725" s="6" t="s">
        <v>23385</v>
      </c>
      <c r="H3725" s="7">
        <v>1.0</v>
      </c>
      <c r="I3725" s="7">
        <v>1.0</v>
      </c>
      <c r="J3725" s="7">
        <v>1.0</v>
      </c>
      <c r="K3725" s="7" t="s">
        <v>31</v>
      </c>
      <c r="L3725" s="8" t="s">
        <v>23343</v>
      </c>
      <c r="M3725" s="6" t="s">
        <v>31</v>
      </c>
      <c r="N3725" s="6" t="s">
        <v>23345</v>
      </c>
      <c r="O3725" s="8" t="s">
        <v>23346</v>
      </c>
      <c r="P3725" s="6" t="s">
        <v>23347</v>
      </c>
      <c r="Q3725" s="6" t="s">
        <v>6831</v>
      </c>
      <c r="R3725" s="6" t="s">
        <v>1185</v>
      </c>
      <c r="S3725" s="8" t="s">
        <v>23348</v>
      </c>
      <c r="T3725" s="6" t="s">
        <v>66</v>
      </c>
      <c r="U3725" s="8" t="s">
        <v>31</v>
      </c>
      <c r="V3725" s="6" t="s">
        <v>23386</v>
      </c>
      <c r="W3725" s="6" t="s">
        <v>23341</v>
      </c>
      <c r="X3725" s="9" t="str">
        <f>HYPERLINK("https://my.pitchbook.com?p=353880-64P","View People Online")</f>
        <v>View People Online</v>
      </c>
    </row>
    <row r="3726">
      <c r="A3726" s="10" t="s">
        <v>23387</v>
      </c>
      <c r="B3726" s="10" t="s">
        <v>23388</v>
      </c>
      <c r="C3726" s="10" t="s">
        <v>23389</v>
      </c>
      <c r="D3726" s="10" t="s">
        <v>23390</v>
      </c>
      <c r="E3726" s="10" t="s">
        <v>23341</v>
      </c>
      <c r="F3726" s="10" t="s">
        <v>6567</v>
      </c>
      <c r="G3726" s="10" t="s">
        <v>23391</v>
      </c>
      <c r="H3726" s="11" t="s">
        <v>31</v>
      </c>
      <c r="I3726" s="11">
        <v>1.0</v>
      </c>
      <c r="J3726" s="11">
        <v>1.0</v>
      </c>
      <c r="K3726" s="11" t="s">
        <v>31</v>
      </c>
      <c r="L3726" s="12" t="s">
        <v>23343</v>
      </c>
      <c r="M3726" s="10" t="s">
        <v>23392</v>
      </c>
      <c r="N3726" s="10" t="s">
        <v>23345</v>
      </c>
      <c r="O3726" s="12" t="s">
        <v>23346</v>
      </c>
      <c r="P3726" s="10" t="s">
        <v>23347</v>
      </c>
      <c r="Q3726" s="10" t="s">
        <v>6831</v>
      </c>
      <c r="R3726" s="10" t="s">
        <v>1185</v>
      </c>
      <c r="S3726" s="12" t="s">
        <v>23348</v>
      </c>
      <c r="T3726" s="10" t="s">
        <v>66</v>
      </c>
      <c r="U3726" s="12" t="s">
        <v>31</v>
      </c>
      <c r="V3726" s="10" t="s">
        <v>23393</v>
      </c>
      <c r="W3726" s="10" t="s">
        <v>23341</v>
      </c>
      <c r="X3726" s="13" t="str">
        <f>HYPERLINK("https://my.pitchbook.com?p=294232-06P","View People Online")</f>
        <v>View People Online</v>
      </c>
    </row>
    <row r="3727">
      <c r="A3727" s="6" t="s">
        <v>23394</v>
      </c>
      <c r="B3727" s="6" t="s">
        <v>23395</v>
      </c>
      <c r="C3727" s="6" t="s">
        <v>5923</v>
      </c>
      <c r="D3727" s="6" t="s">
        <v>23396</v>
      </c>
      <c r="E3727" s="6" t="s">
        <v>23341</v>
      </c>
      <c r="F3727" s="6" t="s">
        <v>270</v>
      </c>
      <c r="G3727" s="6" t="s">
        <v>23397</v>
      </c>
      <c r="H3727" s="7" t="s">
        <v>31</v>
      </c>
      <c r="I3727" s="7">
        <v>1.0</v>
      </c>
      <c r="J3727" s="7">
        <v>1.0</v>
      </c>
      <c r="K3727" s="7" t="s">
        <v>31</v>
      </c>
      <c r="L3727" s="8" t="s">
        <v>23343</v>
      </c>
      <c r="M3727" s="6" t="s">
        <v>31</v>
      </c>
      <c r="N3727" s="6" t="s">
        <v>23345</v>
      </c>
      <c r="O3727" s="8" t="s">
        <v>23346</v>
      </c>
      <c r="P3727" s="6" t="s">
        <v>23347</v>
      </c>
      <c r="Q3727" s="6" t="s">
        <v>6831</v>
      </c>
      <c r="R3727" s="6" t="s">
        <v>1185</v>
      </c>
      <c r="S3727" s="8" t="s">
        <v>23348</v>
      </c>
      <c r="T3727" s="6" t="s">
        <v>66</v>
      </c>
      <c r="U3727" s="8" t="s">
        <v>31</v>
      </c>
      <c r="V3727" s="6" t="s">
        <v>1886</v>
      </c>
      <c r="W3727" s="6" t="s">
        <v>23341</v>
      </c>
      <c r="X3727" s="9" t="str">
        <f>HYPERLINK("https://my.pitchbook.com?p=311325-22P","View People Online")</f>
        <v>View People Online</v>
      </c>
    </row>
    <row r="3728">
      <c r="A3728" s="2" t="s">
        <v>23398</v>
      </c>
      <c r="B3728" s="2" t="s">
        <v>23399</v>
      </c>
      <c r="C3728" s="2" t="s">
        <v>3554</v>
      </c>
      <c r="D3728" s="2" t="s">
        <v>16526</v>
      </c>
      <c r="E3728" s="2" t="s">
        <v>23341</v>
      </c>
      <c r="F3728" s="2" t="s">
        <v>23400</v>
      </c>
      <c r="G3728" s="2" t="s">
        <v>23401</v>
      </c>
      <c r="H3728" s="3" t="s">
        <v>31</v>
      </c>
      <c r="I3728" s="3">
        <v>1.0</v>
      </c>
      <c r="J3728" s="3">
        <v>1.0</v>
      </c>
      <c r="K3728" s="3" t="s">
        <v>31</v>
      </c>
      <c r="L3728" s="4" t="s">
        <v>23343</v>
      </c>
      <c r="M3728" s="2" t="s">
        <v>31</v>
      </c>
      <c r="N3728" s="2" t="s">
        <v>23345</v>
      </c>
      <c r="O3728" s="4" t="s">
        <v>23346</v>
      </c>
      <c r="P3728" s="2" t="s">
        <v>23347</v>
      </c>
      <c r="Q3728" s="2" t="s">
        <v>6831</v>
      </c>
      <c r="R3728" s="2" t="s">
        <v>1185</v>
      </c>
      <c r="S3728" s="4" t="s">
        <v>23348</v>
      </c>
      <c r="T3728" s="2" t="s">
        <v>66</v>
      </c>
      <c r="U3728" s="4" t="s">
        <v>31</v>
      </c>
      <c r="V3728" s="2" t="s">
        <v>23402</v>
      </c>
      <c r="W3728" s="2" t="s">
        <v>23341</v>
      </c>
      <c r="X3728" s="5" t="str">
        <f>HYPERLINK("https://my.pitchbook.com?p=311324-41P","View People Online")</f>
        <v>View People Online</v>
      </c>
    </row>
    <row r="3729">
      <c r="A3729" s="14" t="s">
        <v>23403</v>
      </c>
      <c r="B3729" s="14" t="s">
        <v>23404</v>
      </c>
      <c r="C3729" s="14" t="s">
        <v>126</v>
      </c>
      <c r="D3729" s="14" t="s">
        <v>23362</v>
      </c>
      <c r="E3729" s="14" t="s">
        <v>23341</v>
      </c>
      <c r="F3729" s="14" t="s">
        <v>1730</v>
      </c>
      <c r="G3729" s="14" t="s">
        <v>23405</v>
      </c>
      <c r="H3729" s="15" t="s">
        <v>31</v>
      </c>
      <c r="I3729" s="15">
        <v>3.0</v>
      </c>
      <c r="J3729" s="15">
        <v>2.0</v>
      </c>
      <c r="K3729" s="15">
        <v>1.0</v>
      </c>
      <c r="L3729" s="16" t="s">
        <v>23406</v>
      </c>
      <c r="M3729" s="14" t="s">
        <v>23407</v>
      </c>
      <c r="N3729" s="14" t="s">
        <v>23345</v>
      </c>
      <c r="O3729" s="16" t="s">
        <v>23346</v>
      </c>
      <c r="P3729" s="14" t="s">
        <v>23347</v>
      </c>
      <c r="Q3729" s="14" t="s">
        <v>6831</v>
      </c>
      <c r="R3729" s="14" t="s">
        <v>1185</v>
      </c>
      <c r="S3729" s="16" t="s">
        <v>23348</v>
      </c>
      <c r="T3729" s="14" t="s">
        <v>66</v>
      </c>
      <c r="U3729" s="16" t="s">
        <v>31</v>
      </c>
      <c r="V3729" s="14" t="s">
        <v>23408</v>
      </c>
      <c r="W3729" s="14" t="s">
        <v>23341</v>
      </c>
      <c r="X3729" s="17" t="str">
        <f>HYPERLINK("https://my.pitchbook.com?p=21604-42P","View People Online")</f>
        <v>View People Online</v>
      </c>
    </row>
    <row r="3730">
      <c r="A3730" s="2" t="s">
        <v>23409</v>
      </c>
      <c r="B3730" s="2" t="s">
        <v>23410</v>
      </c>
      <c r="C3730" s="2" t="s">
        <v>1807</v>
      </c>
      <c r="D3730" s="2" t="s">
        <v>23411</v>
      </c>
      <c r="E3730" s="2" t="s">
        <v>23341</v>
      </c>
      <c r="F3730" s="2" t="s">
        <v>270</v>
      </c>
      <c r="G3730" s="2" t="s">
        <v>23412</v>
      </c>
      <c r="H3730" s="3" t="s">
        <v>31</v>
      </c>
      <c r="I3730" s="3">
        <v>1.0</v>
      </c>
      <c r="J3730" s="3">
        <v>1.0</v>
      </c>
      <c r="K3730" s="3" t="s">
        <v>31</v>
      </c>
      <c r="L3730" s="4" t="s">
        <v>23343</v>
      </c>
      <c r="M3730" s="2" t="s">
        <v>31</v>
      </c>
      <c r="N3730" s="2" t="s">
        <v>23345</v>
      </c>
      <c r="O3730" s="4" t="s">
        <v>23346</v>
      </c>
      <c r="P3730" s="2" t="s">
        <v>23347</v>
      </c>
      <c r="Q3730" s="2" t="s">
        <v>6831</v>
      </c>
      <c r="R3730" s="2" t="s">
        <v>1185</v>
      </c>
      <c r="S3730" s="4" t="s">
        <v>23348</v>
      </c>
      <c r="T3730" s="2" t="s">
        <v>66</v>
      </c>
      <c r="U3730" s="4" t="s">
        <v>31</v>
      </c>
      <c r="V3730" s="2" t="s">
        <v>1886</v>
      </c>
      <c r="W3730" s="2" t="s">
        <v>23341</v>
      </c>
      <c r="X3730" s="5" t="str">
        <f>HYPERLINK("https://my.pitchbook.com?p=281719-54P","View People Online")</f>
        <v>View People Online</v>
      </c>
    </row>
    <row r="3731">
      <c r="A3731" s="14" t="s">
        <v>23413</v>
      </c>
      <c r="B3731" s="14" t="s">
        <v>23414</v>
      </c>
      <c r="C3731" s="14" t="s">
        <v>3245</v>
      </c>
      <c r="D3731" s="14" t="s">
        <v>23415</v>
      </c>
      <c r="E3731" s="14" t="s">
        <v>23341</v>
      </c>
      <c r="F3731" s="14" t="s">
        <v>3472</v>
      </c>
      <c r="G3731" s="14" t="s">
        <v>23416</v>
      </c>
      <c r="H3731" s="15" t="s">
        <v>31</v>
      </c>
      <c r="I3731" s="15">
        <v>1.0</v>
      </c>
      <c r="J3731" s="15" t="s">
        <v>31</v>
      </c>
      <c r="K3731" s="15" t="s">
        <v>31</v>
      </c>
      <c r="L3731" s="16" t="s">
        <v>23343</v>
      </c>
      <c r="M3731" s="14" t="s">
        <v>23417</v>
      </c>
      <c r="N3731" s="14" t="s">
        <v>23345</v>
      </c>
      <c r="O3731" s="16" t="s">
        <v>23346</v>
      </c>
      <c r="P3731" s="14" t="s">
        <v>23347</v>
      </c>
      <c r="Q3731" s="14" t="s">
        <v>6831</v>
      </c>
      <c r="R3731" s="14" t="s">
        <v>1185</v>
      </c>
      <c r="S3731" s="16" t="s">
        <v>23348</v>
      </c>
      <c r="T3731" s="14" t="s">
        <v>66</v>
      </c>
      <c r="U3731" s="16" t="s">
        <v>31</v>
      </c>
      <c r="V3731" s="14" t="s">
        <v>23418</v>
      </c>
      <c r="W3731" s="14" t="s">
        <v>23341</v>
      </c>
      <c r="X3731" s="17" t="str">
        <f>HYPERLINK("https://my.pitchbook.com?p=281702-98P","View People Online")</f>
        <v>View People Online</v>
      </c>
    </row>
    <row r="3732">
      <c r="A3732" s="10" t="s">
        <v>23419</v>
      </c>
      <c r="B3732" s="10" t="s">
        <v>23420</v>
      </c>
      <c r="C3732" s="10" t="s">
        <v>20667</v>
      </c>
      <c r="D3732" s="10" t="s">
        <v>23421</v>
      </c>
      <c r="E3732" s="10" t="s">
        <v>23341</v>
      </c>
      <c r="F3732" s="10" t="s">
        <v>221</v>
      </c>
      <c r="G3732" s="10" t="s">
        <v>23422</v>
      </c>
      <c r="H3732" s="11" t="s">
        <v>31</v>
      </c>
      <c r="I3732" s="11">
        <v>1.0</v>
      </c>
      <c r="J3732" s="11">
        <v>1.0</v>
      </c>
      <c r="K3732" s="11" t="s">
        <v>31</v>
      </c>
      <c r="L3732" s="12" t="s">
        <v>23343</v>
      </c>
      <c r="M3732" s="10" t="s">
        <v>23423</v>
      </c>
      <c r="N3732" s="10" t="s">
        <v>23345</v>
      </c>
      <c r="O3732" s="12" t="s">
        <v>23346</v>
      </c>
      <c r="P3732" s="10" t="s">
        <v>23347</v>
      </c>
      <c r="Q3732" s="10" t="s">
        <v>6831</v>
      </c>
      <c r="R3732" s="10" t="s">
        <v>1185</v>
      </c>
      <c r="S3732" s="12" t="s">
        <v>23348</v>
      </c>
      <c r="T3732" s="10" t="s">
        <v>66</v>
      </c>
      <c r="U3732" s="12" t="s">
        <v>31</v>
      </c>
      <c r="V3732" s="10" t="s">
        <v>23424</v>
      </c>
      <c r="W3732" s="10" t="s">
        <v>23341</v>
      </c>
      <c r="X3732" s="13" t="str">
        <f>HYPERLINK("https://my.pitchbook.com?p=353882-44P","View People Online")</f>
        <v>View People Online</v>
      </c>
    </row>
    <row r="3733">
      <c r="A3733" s="14" t="s">
        <v>23425</v>
      </c>
      <c r="B3733" s="14" t="s">
        <v>23426</v>
      </c>
      <c r="C3733" s="14" t="s">
        <v>6270</v>
      </c>
      <c r="D3733" s="14" t="s">
        <v>3354</v>
      </c>
      <c r="E3733" s="14" t="s">
        <v>23341</v>
      </c>
      <c r="F3733" s="14" t="s">
        <v>23427</v>
      </c>
      <c r="G3733" s="14" t="s">
        <v>23428</v>
      </c>
      <c r="H3733" s="15" t="s">
        <v>31</v>
      </c>
      <c r="I3733" s="15">
        <v>1.0</v>
      </c>
      <c r="J3733" s="15">
        <v>1.0</v>
      </c>
      <c r="K3733" s="15" t="s">
        <v>31</v>
      </c>
      <c r="L3733" s="16" t="s">
        <v>23343</v>
      </c>
      <c r="M3733" s="14" t="s">
        <v>23429</v>
      </c>
      <c r="N3733" s="14" t="s">
        <v>23345</v>
      </c>
      <c r="O3733" s="16" t="s">
        <v>23346</v>
      </c>
      <c r="P3733" s="14" t="s">
        <v>23347</v>
      </c>
      <c r="Q3733" s="14" t="s">
        <v>6831</v>
      </c>
      <c r="R3733" s="14" t="s">
        <v>1185</v>
      </c>
      <c r="S3733" s="16" t="s">
        <v>23348</v>
      </c>
      <c r="T3733" s="14" t="s">
        <v>66</v>
      </c>
      <c r="U3733" s="16" t="s">
        <v>31</v>
      </c>
      <c r="V3733" s="14" t="s">
        <v>23430</v>
      </c>
      <c r="W3733" s="14" t="s">
        <v>23341</v>
      </c>
      <c r="X3733" s="17" t="str">
        <f>HYPERLINK("https://my.pitchbook.com?p=281716-30P","View People Online")</f>
        <v>View People Online</v>
      </c>
    </row>
    <row r="3734">
      <c r="A3734" s="10" t="s">
        <v>23431</v>
      </c>
      <c r="B3734" s="10" t="s">
        <v>23432</v>
      </c>
      <c r="C3734" s="10" t="s">
        <v>4731</v>
      </c>
      <c r="D3734" s="10" t="s">
        <v>23433</v>
      </c>
      <c r="E3734" s="10" t="s">
        <v>23434</v>
      </c>
      <c r="F3734" s="10" t="s">
        <v>371</v>
      </c>
      <c r="G3734" s="10" t="s">
        <v>23435</v>
      </c>
      <c r="H3734" s="11" t="s">
        <v>31</v>
      </c>
      <c r="I3734" s="11">
        <v>1.0</v>
      </c>
      <c r="J3734" s="11">
        <v>1.0</v>
      </c>
      <c r="K3734" s="11" t="s">
        <v>31</v>
      </c>
      <c r="L3734" s="12" t="s">
        <v>23436</v>
      </c>
      <c r="M3734" s="10" t="s">
        <v>31</v>
      </c>
      <c r="N3734" s="10" t="s">
        <v>1181</v>
      </c>
      <c r="O3734" s="12" t="s">
        <v>1182</v>
      </c>
      <c r="P3734" s="10" t="s">
        <v>23437</v>
      </c>
      <c r="Q3734" s="10" t="s">
        <v>31</v>
      </c>
      <c r="R3734" s="10" t="s">
        <v>1185</v>
      </c>
      <c r="S3734" s="12" t="s">
        <v>23438</v>
      </c>
      <c r="T3734" s="10" t="s">
        <v>66</v>
      </c>
      <c r="U3734" s="12" t="s">
        <v>31</v>
      </c>
      <c r="V3734" s="10" t="s">
        <v>23439</v>
      </c>
      <c r="W3734" s="10" t="s">
        <v>23434</v>
      </c>
      <c r="X3734" s="13" t="str">
        <f>HYPERLINK("https://my.pitchbook.com?p=249216-85P","View People Online")</f>
        <v>View People Online</v>
      </c>
    </row>
    <row r="3735">
      <c r="A3735" s="14" t="s">
        <v>23440</v>
      </c>
      <c r="B3735" s="14" t="s">
        <v>23441</v>
      </c>
      <c r="C3735" s="14" t="s">
        <v>23442</v>
      </c>
      <c r="D3735" s="14" t="s">
        <v>23443</v>
      </c>
      <c r="E3735" s="14" t="s">
        <v>23434</v>
      </c>
      <c r="F3735" s="14" t="s">
        <v>3823</v>
      </c>
      <c r="G3735" s="14" t="s">
        <v>23444</v>
      </c>
      <c r="H3735" s="15" t="s">
        <v>31</v>
      </c>
      <c r="I3735" s="15">
        <v>2.0</v>
      </c>
      <c r="J3735" s="15">
        <v>2.0</v>
      </c>
      <c r="K3735" s="15" t="s">
        <v>31</v>
      </c>
      <c r="L3735" s="16" t="s">
        <v>23445</v>
      </c>
      <c r="M3735" s="14" t="s">
        <v>23446</v>
      </c>
      <c r="N3735" s="14" t="s">
        <v>1181</v>
      </c>
      <c r="O3735" s="16" t="s">
        <v>1182</v>
      </c>
      <c r="P3735" s="14" t="s">
        <v>23437</v>
      </c>
      <c r="Q3735" s="14" t="s">
        <v>31</v>
      </c>
      <c r="R3735" s="14" t="s">
        <v>1185</v>
      </c>
      <c r="S3735" s="16" t="s">
        <v>23438</v>
      </c>
      <c r="T3735" s="14" t="s">
        <v>66</v>
      </c>
      <c r="U3735" s="16" t="s">
        <v>23447</v>
      </c>
      <c r="V3735" s="14" t="s">
        <v>3823</v>
      </c>
      <c r="W3735" s="14" t="s">
        <v>23434</v>
      </c>
      <c r="X3735" s="17" t="str">
        <f>HYPERLINK("https://my.pitchbook.com?p=36705-16P","View People Online")</f>
        <v>View People Online</v>
      </c>
    </row>
    <row r="3736">
      <c r="A3736" s="10" t="s">
        <v>23448</v>
      </c>
      <c r="B3736" s="10" t="s">
        <v>23449</v>
      </c>
      <c r="C3736" s="10" t="s">
        <v>11929</v>
      </c>
      <c r="D3736" s="10" t="s">
        <v>23450</v>
      </c>
      <c r="E3736" s="10" t="s">
        <v>23434</v>
      </c>
      <c r="F3736" s="10" t="s">
        <v>583</v>
      </c>
      <c r="G3736" s="10" t="s">
        <v>23451</v>
      </c>
      <c r="H3736" s="11" t="s">
        <v>31</v>
      </c>
      <c r="I3736" s="11">
        <v>2.0</v>
      </c>
      <c r="J3736" s="11">
        <v>2.0</v>
      </c>
      <c r="K3736" s="11" t="s">
        <v>31</v>
      </c>
      <c r="L3736" s="12" t="s">
        <v>23452</v>
      </c>
      <c r="M3736" s="10" t="s">
        <v>23453</v>
      </c>
      <c r="N3736" s="10" t="s">
        <v>1181</v>
      </c>
      <c r="O3736" s="12" t="s">
        <v>1182</v>
      </c>
      <c r="P3736" s="10" t="s">
        <v>23437</v>
      </c>
      <c r="Q3736" s="10" t="s">
        <v>31</v>
      </c>
      <c r="R3736" s="10" t="s">
        <v>1185</v>
      </c>
      <c r="S3736" s="12" t="s">
        <v>23438</v>
      </c>
      <c r="T3736" s="10" t="s">
        <v>66</v>
      </c>
      <c r="U3736" s="12" t="s">
        <v>31</v>
      </c>
      <c r="V3736" s="10" t="s">
        <v>583</v>
      </c>
      <c r="W3736" s="10" t="s">
        <v>23434</v>
      </c>
      <c r="X3736" s="13" t="str">
        <f>HYPERLINK("https://my.pitchbook.com?p=414541-00P","View People Online")</f>
        <v>View People Online</v>
      </c>
    </row>
    <row r="3737">
      <c r="A3737" s="6" t="s">
        <v>23454</v>
      </c>
      <c r="B3737" s="6" t="s">
        <v>23455</v>
      </c>
      <c r="C3737" s="6" t="s">
        <v>126</v>
      </c>
      <c r="D3737" s="6" t="s">
        <v>23456</v>
      </c>
      <c r="E3737" s="6" t="s">
        <v>23434</v>
      </c>
      <c r="F3737" s="6" t="s">
        <v>1283</v>
      </c>
      <c r="G3737" s="6" t="s">
        <v>23457</v>
      </c>
      <c r="H3737" s="7">
        <v>1.0</v>
      </c>
      <c r="I3737" s="7">
        <v>2.0</v>
      </c>
      <c r="J3737" s="7">
        <v>1.0</v>
      </c>
      <c r="K3737" s="7" t="s">
        <v>31</v>
      </c>
      <c r="L3737" s="8" t="s">
        <v>23458</v>
      </c>
      <c r="M3737" s="6" t="s">
        <v>23459</v>
      </c>
      <c r="N3737" s="6" t="s">
        <v>1181</v>
      </c>
      <c r="O3737" s="8" t="s">
        <v>1182</v>
      </c>
      <c r="P3737" s="6" t="s">
        <v>23437</v>
      </c>
      <c r="Q3737" s="6" t="s">
        <v>31</v>
      </c>
      <c r="R3737" s="6" t="s">
        <v>1185</v>
      </c>
      <c r="S3737" s="8" t="s">
        <v>23438</v>
      </c>
      <c r="T3737" s="6" t="s">
        <v>66</v>
      </c>
      <c r="U3737" s="8" t="s">
        <v>31</v>
      </c>
      <c r="V3737" s="6" t="s">
        <v>23460</v>
      </c>
      <c r="W3737" s="6" t="s">
        <v>23434</v>
      </c>
      <c r="X3737" s="9" t="str">
        <f>HYPERLINK("https://my.pitchbook.com?p=143434-00P","View People Online")</f>
        <v>View People Online</v>
      </c>
    </row>
    <row r="3738">
      <c r="A3738" s="2" t="s">
        <v>23461</v>
      </c>
      <c r="B3738" s="2" t="s">
        <v>23462</v>
      </c>
      <c r="C3738" s="2" t="s">
        <v>382</v>
      </c>
      <c r="D3738" s="2" t="s">
        <v>23463</v>
      </c>
      <c r="E3738" s="2" t="s">
        <v>23434</v>
      </c>
      <c r="F3738" s="2" t="s">
        <v>4868</v>
      </c>
      <c r="G3738" s="2" t="s">
        <v>23464</v>
      </c>
      <c r="H3738" s="3" t="s">
        <v>31</v>
      </c>
      <c r="I3738" s="3">
        <v>2.0</v>
      </c>
      <c r="J3738" s="3">
        <v>2.0</v>
      </c>
      <c r="K3738" s="3" t="s">
        <v>31</v>
      </c>
      <c r="L3738" s="4" t="s">
        <v>23436</v>
      </c>
      <c r="M3738" s="2" t="s">
        <v>23465</v>
      </c>
      <c r="N3738" s="2" t="s">
        <v>1181</v>
      </c>
      <c r="O3738" s="4" t="s">
        <v>1182</v>
      </c>
      <c r="P3738" s="2" t="s">
        <v>23437</v>
      </c>
      <c r="Q3738" s="2" t="s">
        <v>31</v>
      </c>
      <c r="R3738" s="2" t="s">
        <v>1185</v>
      </c>
      <c r="S3738" s="4" t="s">
        <v>23438</v>
      </c>
      <c r="T3738" s="2" t="s">
        <v>66</v>
      </c>
      <c r="U3738" s="4" t="s">
        <v>31</v>
      </c>
      <c r="V3738" s="2" t="s">
        <v>23466</v>
      </c>
      <c r="W3738" s="2" t="s">
        <v>23434</v>
      </c>
      <c r="X3738" s="5" t="str">
        <f>HYPERLINK("https://my.pitchbook.com?p=380954-80P","View People Online")</f>
        <v>View People Online</v>
      </c>
    </row>
    <row r="3739">
      <c r="A3739" s="14" t="s">
        <v>23467</v>
      </c>
      <c r="B3739" s="14" t="s">
        <v>23468</v>
      </c>
      <c r="C3739" s="14" t="s">
        <v>536</v>
      </c>
      <c r="D3739" s="14" t="s">
        <v>1147</v>
      </c>
      <c r="E3739" s="14" t="s">
        <v>23434</v>
      </c>
      <c r="F3739" s="14" t="s">
        <v>583</v>
      </c>
      <c r="G3739" s="14" t="s">
        <v>23469</v>
      </c>
      <c r="H3739" s="15" t="s">
        <v>31</v>
      </c>
      <c r="I3739" s="15">
        <v>2.0</v>
      </c>
      <c r="J3739" s="15">
        <v>1.0</v>
      </c>
      <c r="K3739" s="15">
        <v>1.0</v>
      </c>
      <c r="L3739" s="16" t="s">
        <v>23452</v>
      </c>
      <c r="M3739" s="14" t="s">
        <v>23470</v>
      </c>
      <c r="N3739" s="14" t="s">
        <v>1181</v>
      </c>
      <c r="O3739" s="16" t="s">
        <v>1182</v>
      </c>
      <c r="P3739" s="14" t="s">
        <v>23437</v>
      </c>
      <c r="Q3739" s="14" t="s">
        <v>31</v>
      </c>
      <c r="R3739" s="14" t="s">
        <v>1185</v>
      </c>
      <c r="S3739" s="16" t="s">
        <v>23438</v>
      </c>
      <c r="T3739" s="14" t="s">
        <v>66</v>
      </c>
      <c r="U3739" s="16" t="s">
        <v>31</v>
      </c>
      <c r="V3739" s="14" t="s">
        <v>583</v>
      </c>
      <c r="W3739" s="14" t="s">
        <v>23471</v>
      </c>
      <c r="X3739" s="17" t="str">
        <f>HYPERLINK("https://my.pitchbook.com?p=77101-12P","View People Online")</f>
        <v>View People Online</v>
      </c>
    </row>
    <row r="3740">
      <c r="A3740" s="2" t="s">
        <v>23472</v>
      </c>
      <c r="B3740" s="2" t="s">
        <v>23473</v>
      </c>
      <c r="C3740" s="2" t="s">
        <v>22976</v>
      </c>
      <c r="D3740" s="2" t="s">
        <v>23474</v>
      </c>
      <c r="E3740" s="2" t="s">
        <v>23434</v>
      </c>
      <c r="F3740" s="2" t="s">
        <v>548</v>
      </c>
      <c r="G3740" s="2" t="s">
        <v>23475</v>
      </c>
      <c r="H3740" s="3" t="s">
        <v>31</v>
      </c>
      <c r="I3740" s="3">
        <v>1.0</v>
      </c>
      <c r="J3740" s="3">
        <v>1.0</v>
      </c>
      <c r="K3740" s="3" t="s">
        <v>31</v>
      </c>
      <c r="L3740" s="4" t="s">
        <v>23436</v>
      </c>
      <c r="M3740" s="2" t="s">
        <v>23476</v>
      </c>
      <c r="N3740" s="2" t="s">
        <v>1181</v>
      </c>
      <c r="O3740" s="4" t="s">
        <v>1182</v>
      </c>
      <c r="P3740" s="2" t="s">
        <v>23437</v>
      </c>
      <c r="Q3740" s="2" t="s">
        <v>31</v>
      </c>
      <c r="R3740" s="2" t="s">
        <v>1185</v>
      </c>
      <c r="S3740" s="4" t="s">
        <v>23438</v>
      </c>
      <c r="T3740" s="2" t="s">
        <v>66</v>
      </c>
      <c r="U3740" s="4" t="s">
        <v>31</v>
      </c>
      <c r="V3740" s="2" t="s">
        <v>23477</v>
      </c>
      <c r="W3740" s="2" t="s">
        <v>23434</v>
      </c>
      <c r="X3740" s="5" t="str">
        <f>HYPERLINK("https://my.pitchbook.com?p=340663-33P","View People Online")</f>
        <v>View People Online</v>
      </c>
    </row>
    <row r="3741">
      <c r="A3741" s="6" t="s">
        <v>23478</v>
      </c>
      <c r="B3741" s="6" t="s">
        <v>23479</v>
      </c>
      <c r="C3741" s="6" t="s">
        <v>23480</v>
      </c>
      <c r="D3741" s="6" t="s">
        <v>23481</v>
      </c>
      <c r="E3741" s="6" t="s">
        <v>23482</v>
      </c>
      <c r="F3741" s="6" t="s">
        <v>114</v>
      </c>
      <c r="G3741" s="6" t="s">
        <v>23483</v>
      </c>
      <c r="H3741" s="7" t="s">
        <v>31</v>
      </c>
      <c r="I3741" s="7">
        <v>1.0</v>
      </c>
      <c r="J3741" s="7">
        <v>1.0</v>
      </c>
      <c r="K3741" s="7" t="s">
        <v>31</v>
      </c>
      <c r="L3741" s="8" t="s">
        <v>23484</v>
      </c>
      <c r="M3741" s="6" t="s">
        <v>31</v>
      </c>
      <c r="N3741" s="6" t="s">
        <v>75</v>
      </c>
      <c r="O3741" s="8" t="s">
        <v>76</v>
      </c>
      <c r="P3741" s="6" t="s">
        <v>23485</v>
      </c>
      <c r="Q3741" s="6" t="s">
        <v>31</v>
      </c>
      <c r="R3741" s="6" t="s">
        <v>75</v>
      </c>
      <c r="S3741" s="8" t="s">
        <v>1855</v>
      </c>
      <c r="T3741" s="6" t="s">
        <v>66</v>
      </c>
      <c r="U3741" s="8" t="s">
        <v>31</v>
      </c>
      <c r="V3741" s="6" t="s">
        <v>114</v>
      </c>
      <c r="W3741" s="6" t="s">
        <v>23482</v>
      </c>
      <c r="X3741" s="9" t="str">
        <f>HYPERLINK("https://my.pitchbook.com?p=288809-11P","View People Online")</f>
        <v>View People Online</v>
      </c>
    </row>
    <row r="3742">
      <c r="A3742" s="2" t="s">
        <v>23486</v>
      </c>
      <c r="B3742" s="2" t="s">
        <v>23487</v>
      </c>
      <c r="C3742" s="2" t="s">
        <v>1576</v>
      </c>
      <c r="D3742" s="2" t="s">
        <v>23488</v>
      </c>
      <c r="E3742" s="2" t="s">
        <v>23482</v>
      </c>
      <c r="F3742" s="2" t="s">
        <v>270</v>
      </c>
      <c r="G3742" s="2" t="s">
        <v>23489</v>
      </c>
      <c r="H3742" s="3">
        <v>2.0</v>
      </c>
      <c r="I3742" s="3">
        <v>5.0</v>
      </c>
      <c r="J3742" s="3">
        <v>1.0</v>
      </c>
      <c r="K3742" s="3">
        <v>1.0</v>
      </c>
      <c r="L3742" s="4" t="s">
        <v>23490</v>
      </c>
      <c r="M3742" s="2" t="s">
        <v>31</v>
      </c>
      <c r="N3742" s="2" t="s">
        <v>75</v>
      </c>
      <c r="O3742" s="4" t="s">
        <v>76</v>
      </c>
      <c r="P3742" s="2" t="s">
        <v>23491</v>
      </c>
      <c r="Q3742" s="2" t="s">
        <v>8191</v>
      </c>
      <c r="R3742" s="2" t="s">
        <v>75</v>
      </c>
      <c r="S3742" s="4" t="s">
        <v>13204</v>
      </c>
      <c r="T3742" s="2" t="s">
        <v>66</v>
      </c>
      <c r="U3742" s="4" t="s">
        <v>31</v>
      </c>
      <c r="V3742" s="2" t="s">
        <v>2379</v>
      </c>
      <c r="W3742" s="2" t="s">
        <v>23492</v>
      </c>
      <c r="X3742" s="5" t="str">
        <f>HYPERLINK("https://my.pitchbook.com?p=77107-24P","View People Online")</f>
        <v>View People Online</v>
      </c>
    </row>
    <row r="3743">
      <c r="A3743" s="6" t="s">
        <v>23493</v>
      </c>
      <c r="B3743" s="6" t="s">
        <v>23494</v>
      </c>
      <c r="C3743" s="6" t="s">
        <v>5071</v>
      </c>
      <c r="D3743" s="6" t="s">
        <v>23495</v>
      </c>
      <c r="E3743" s="6" t="s">
        <v>23482</v>
      </c>
      <c r="F3743" s="6" t="s">
        <v>371</v>
      </c>
      <c r="G3743" s="6" t="s">
        <v>23496</v>
      </c>
      <c r="H3743" s="7" t="s">
        <v>31</v>
      </c>
      <c r="I3743" s="7">
        <v>1.0</v>
      </c>
      <c r="J3743" s="7">
        <v>1.0</v>
      </c>
      <c r="K3743" s="7" t="s">
        <v>31</v>
      </c>
      <c r="L3743" s="8" t="s">
        <v>23497</v>
      </c>
      <c r="M3743" s="6" t="s">
        <v>23498</v>
      </c>
      <c r="N3743" s="6" t="s">
        <v>75</v>
      </c>
      <c r="O3743" s="8" t="s">
        <v>76</v>
      </c>
      <c r="P3743" s="6" t="s">
        <v>23485</v>
      </c>
      <c r="Q3743" s="6" t="s">
        <v>31</v>
      </c>
      <c r="R3743" s="6" t="s">
        <v>75</v>
      </c>
      <c r="S3743" s="8" t="s">
        <v>1855</v>
      </c>
      <c r="T3743" s="6" t="s">
        <v>66</v>
      </c>
      <c r="U3743" s="8" t="s">
        <v>31</v>
      </c>
      <c r="V3743" s="6" t="s">
        <v>23499</v>
      </c>
      <c r="W3743" s="6" t="s">
        <v>23482</v>
      </c>
      <c r="X3743" s="9" t="str">
        <f>HYPERLINK("https://my.pitchbook.com?p=207264-25P","View People Online")</f>
        <v>View People Online</v>
      </c>
    </row>
    <row r="3744">
      <c r="A3744" s="10" t="s">
        <v>23500</v>
      </c>
      <c r="B3744" s="10" t="s">
        <v>23501</v>
      </c>
      <c r="C3744" s="10" t="s">
        <v>23502</v>
      </c>
      <c r="D3744" s="10" t="s">
        <v>23503</v>
      </c>
      <c r="E3744" s="10" t="s">
        <v>23482</v>
      </c>
      <c r="F3744" s="10" t="s">
        <v>43</v>
      </c>
      <c r="G3744" s="10" t="s">
        <v>23504</v>
      </c>
      <c r="H3744" s="11">
        <v>9.0</v>
      </c>
      <c r="I3744" s="11">
        <v>32.0</v>
      </c>
      <c r="J3744" s="11">
        <v>1.0</v>
      </c>
      <c r="K3744" s="11">
        <v>20.0</v>
      </c>
      <c r="L3744" s="12" t="s">
        <v>23505</v>
      </c>
      <c r="M3744" s="10" t="s">
        <v>23506</v>
      </c>
      <c r="N3744" s="10" t="s">
        <v>75</v>
      </c>
      <c r="O3744" s="12" t="s">
        <v>76</v>
      </c>
      <c r="P3744" s="10" t="s">
        <v>23485</v>
      </c>
      <c r="Q3744" s="10" t="s">
        <v>31</v>
      </c>
      <c r="R3744" s="10" t="s">
        <v>75</v>
      </c>
      <c r="S3744" s="12" t="s">
        <v>1855</v>
      </c>
      <c r="T3744" s="10" t="s">
        <v>66</v>
      </c>
      <c r="U3744" s="12" t="s">
        <v>31</v>
      </c>
      <c r="V3744" s="10" t="s">
        <v>43</v>
      </c>
      <c r="W3744" s="10" t="s">
        <v>23482</v>
      </c>
      <c r="X3744" s="13" t="str">
        <f>HYPERLINK("https://my.pitchbook.com?p=139374-46P","View People Online")</f>
        <v>View People Online</v>
      </c>
    </row>
    <row r="3745">
      <c r="A3745" s="6" t="s">
        <v>23507</v>
      </c>
      <c r="B3745" s="6" t="s">
        <v>23508</v>
      </c>
      <c r="C3745" s="6" t="s">
        <v>2288</v>
      </c>
      <c r="D3745" s="6" t="s">
        <v>23509</v>
      </c>
      <c r="E3745" s="6" t="s">
        <v>23482</v>
      </c>
      <c r="F3745" s="6" t="s">
        <v>270</v>
      </c>
      <c r="G3745" s="6" t="s">
        <v>23510</v>
      </c>
      <c r="H3745" s="7">
        <v>1.0</v>
      </c>
      <c r="I3745" s="7">
        <v>8.0</v>
      </c>
      <c r="J3745" s="7">
        <v>2.0</v>
      </c>
      <c r="K3745" s="7">
        <v>3.0</v>
      </c>
      <c r="L3745" s="8" t="s">
        <v>23511</v>
      </c>
      <c r="M3745" s="6" t="s">
        <v>23512</v>
      </c>
      <c r="N3745" s="6" t="s">
        <v>75</v>
      </c>
      <c r="O3745" s="8" t="s">
        <v>76</v>
      </c>
      <c r="P3745" s="6" t="s">
        <v>23513</v>
      </c>
      <c r="Q3745" s="6" t="s">
        <v>23514</v>
      </c>
      <c r="R3745" s="6" t="s">
        <v>75</v>
      </c>
      <c r="S3745" s="8" t="s">
        <v>4581</v>
      </c>
      <c r="T3745" s="6" t="s">
        <v>66</v>
      </c>
      <c r="U3745" s="8" t="s">
        <v>31</v>
      </c>
      <c r="V3745" s="6" t="s">
        <v>23515</v>
      </c>
      <c r="W3745" s="6" t="s">
        <v>23516</v>
      </c>
      <c r="X3745" s="9" t="str">
        <f>HYPERLINK("https://my.pitchbook.com?p=221928-22P","View People Online")</f>
        <v>View People Online</v>
      </c>
    </row>
    <row r="3746">
      <c r="A3746" s="2" t="s">
        <v>23517</v>
      </c>
      <c r="B3746" s="2" t="s">
        <v>23518</v>
      </c>
      <c r="C3746" s="2" t="s">
        <v>126</v>
      </c>
      <c r="D3746" s="2" t="s">
        <v>1147</v>
      </c>
      <c r="E3746" s="2" t="s">
        <v>23482</v>
      </c>
      <c r="F3746" s="2" t="s">
        <v>86</v>
      </c>
      <c r="G3746" s="2" t="s">
        <v>23519</v>
      </c>
      <c r="H3746" s="3">
        <v>3.0</v>
      </c>
      <c r="I3746" s="3">
        <v>37.0</v>
      </c>
      <c r="J3746" s="3">
        <v>1.0</v>
      </c>
      <c r="K3746" s="3">
        <v>30.0</v>
      </c>
      <c r="L3746" s="4" t="s">
        <v>23520</v>
      </c>
      <c r="M3746" s="2" t="s">
        <v>23521</v>
      </c>
      <c r="N3746" s="2" t="s">
        <v>75</v>
      </c>
      <c r="O3746" s="4" t="s">
        <v>76</v>
      </c>
      <c r="P3746" s="2" t="s">
        <v>23485</v>
      </c>
      <c r="Q3746" s="2" t="s">
        <v>31</v>
      </c>
      <c r="R3746" s="2" t="s">
        <v>75</v>
      </c>
      <c r="S3746" s="4" t="s">
        <v>1855</v>
      </c>
      <c r="T3746" s="2" t="s">
        <v>66</v>
      </c>
      <c r="U3746" s="4" t="s">
        <v>31</v>
      </c>
      <c r="V3746" s="2" t="s">
        <v>86</v>
      </c>
      <c r="W3746" s="2" t="s">
        <v>23482</v>
      </c>
      <c r="X3746" s="5" t="str">
        <f>HYPERLINK("https://my.pitchbook.com?p=202847-77P","View People Online")</f>
        <v>View People Online</v>
      </c>
    </row>
    <row r="3747">
      <c r="A3747" s="6" t="s">
        <v>23522</v>
      </c>
      <c r="B3747" s="6" t="s">
        <v>23523</v>
      </c>
      <c r="C3747" s="6" t="s">
        <v>5185</v>
      </c>
      <c r="D3747" s="6" t="s">
        <v>23524</v>
      </c>
      <c r="E3747" s="6" t="s">
        <v>23482</v>
      </c>
      <c r="F3747" s="6" t="s">
        <v>114</v>
      </c>
      <c r="G3747" s="6" t="s">
        <v>23525</v>
      </c>
      <c r="H3747" s="7" t="s">
        <v>31</v>
      </c>
      <c r="I3747" s="7">
        <v>3.0</v>
      </c>
      <c r="J3747" s="7">
        <v>1.0</v>
      </c>
      <c r="K3747" s="7">
        <v>1.0</v>
      </c>
      <c r="L3747" s="8" t="s">
        <v>23526</v>
      </c>
      <c r="M3747" s="6" t="s">
        <v>31</v>
      </c>
      <c r="N3747" s="6" t="s">
        <v>75</v>
      </c>
      <c r="O3747" s="8" t="s">
        <v>76</v>
      </c>
      <c r="P3747" s="6" t="s">
        <v>23485</v>
      </c>
      <c r="Q3747" s="6" t="s">
        <v>31</v>
      </c>
      <c r="R3747" s="6" t="s">
        <v>75</v>
      </c>
      <c r="S3747" s="8" t="s">
        <v>1855</v>
      </c>
      <c r="T3747" s="6" t="s">
        <v>66</v>
      </c>
      <c r="U3747" s="8" t="s">
        <v>31</v>
      </c>
      <c r="V3747" s="6" t="s">
        <v>114</v>
      </c>
      <c r="W3747" s="6" t="s">
        <v>23482</v>
      </c>
      <c r="X3747" s="9" t="str">
        <f>HYPERLINK("https://my.pitchbook.com?p=38740-78P","View People Online")</f>
        <v>View People Online</v>
      </c>
    </row>
    <row r="3748">
      <c r="A3748" s="10" t="s">
        <v>23527</v>
      </c>
      <c r="B3748" s="10" t="s">
        <v>23528</v>
      </c>
      <c r="C3748" s="10" t="s">
        <v>167</v>
      </c>
      <c r="D3748" s="10" t="s">
        <v>23529</v>
      </c>
      <c r="E3748" s="10" t="s">
        <v>23482</v>
      </c>
      <c r="F3748" s="10" t="s">
        <v>318</v>
      </c>
      <c r="G3748" s="10" t="s">
        <v>23530</v>
      </c>
      <c r="H3748" s="11" t="s">
        <v>31</v>
      </c>
      <c r="I3748" s="11">
        <v>1.0</v>
      </c>
      <c r="J3748" s="11">
        <v>1.0</v>
      </c>
      <c r="K3748" s="11" t="s">
        <v>31</v>
      </c>
      <c r="L3748" s="12" t="s">
        <v>23520</v>
      </c>
      <c r="M3748" s="10" t="s">
        <v>23531</v>
      </c>
      <c r="N3748" s="10" t="s">
        <v>75</v>
      </c>
      <c r="O3748" s="12" t="s">
        <v>76</v>
      </c>
      <c r="P3748" s="10" t="s">
        <v>23485</v>
      </c>
      <c r="Q3748" s="10" t="s">
        <v>31</v>
      </c>
      <c r="R3748" s="10" t="s">
        <v>75</v>
      </c>
      <c r="S3748" s="12" t="s">
        <v>1855</v>
      </c>
      <c r="T3748" s="10" t="s">
        <v>66</v>
      </c>
      <c r="U3748" s="12" t="s">
        <v>31</v>
      </c>
      <c r="V3748" s="10" t="s">
        <v>318</v>
      </c>
      <c r="W3748" s="10" t="s">
        <v>23482</v>
      </c>
      <c r="X3748" s="13" t="str">
        <f>HYPERLINK("https://my.pitchbook.com?p=353261-44P","View People Online")</f>
        <v>View People Online</v>
      </c>
    </row>
    <row r="3749">
      <c r="A3749" s="14" t="s">
        <v>23532</v>
      </c>
      <c r="B3749" s="14" t="s">
        <v>23533</v>
      </c>
      <c r="C3749" s="14" t="s">
        <v>2456</v>
      </c>
      <c r="D3749" s="14" t="s">
        <v>23534</v>
      </c>
      <c r="E3749" s="14" t="s">
        <v>23482</v>
      </c>
      <c r="F3749" s="14" t="s">
        <v>114</v>
      </c>
      <c r="G3749" s="14" t="s">
        <v>23535</v>
      </c>
      <c r="H3749" s="15">
        <v>1.0</v>
      </c>
      <c r="I3749" s="15">
        <v>3.0</v>
      </c>
      <c r="J3749" s="15">
        <v>2.0</v>
      </c>
      <c r="K3749" s="15" t="s">
        <v>31</v>
      </c>
      <c r="L3749" s="16" t="s">
        <v>23536</v>
      </c>
      <c r="M3749" s="14" t="s">
        <v>23537</v>
      </c>
      <c r="N3749" s="14" t="s">
        <v>665</v>
      </c>
      <c r="O3749" s="16" t="s">
        <v>3857</v>
      </c>
      <c r="P3749" s="14" t="s">
        <v>23538</v>
      </c>
      <c r="Q3749" s="14" t="s">
        <v>310</v>
      </c>
      <c r="R3749" s="14" t="s">
        <v>1420</v>
      </c>
      <c r="S3749" s="16" t="s">
        <v>23539</v>
      </c>
      <c r="T3749" s="14" t="s">
        <v>66</v>
      </c>
      <c r="U3749" s="16" t="s">
        <v>31</v>
      </c>
      <c r="V3749" s="14" t="s">
        <v>1384</v>
      </c>
      <c r="W3749" s="14" t="s">
        <v>23540</v>
      </c>
      <c r="X3749" s="17" t="str">
        <f>HYPERLINK("https://my.pitchbook.com?p=37203-31P","View People Online")</f>
        <v>View People Online</v>
      </c>
    </row>
    <row r="3750">
      <c r="A3750" s="10" t="s">
        <v>23541</v>
      </c>
      <c r="B3750" s="10" t="s">
        <v>23542</v>
      </c>
      <c r="C3750" s="10" t="s">
        <v>12548</v>
      </c>
      <c r="D3750" s="10" t="s">
        <v>21218</v>
      </c>
      <c r="E3750" s="10" t="s">
        <v>23482</v>
      </c>
      <c r="F3750" s="10" t="s">
        <v>114</v>
      </c>
      <c r="G3750" s="10" t="s">
        <v>23543</v>
      </c>
      <c r="H3750" s="11" t="s">
        <v>31</v>
      </c>
      <c r="I3750" s="11">
        <v>19.0</v>
      </c>
      <c r="J3750" s="11">
        <v>1.0</v>
      </c>
      <c r="K3750" s="11">
        <v>17.0</v>
      </c>
      <c r="L3750" s="12" t="s">
        <v>23497</v>
      </c>
      <c r="M3750" s="10" t="s">
        <v>31</v>
      </c>
      <c r="N3750" s="10" t="s">
        <v>75</v>
      </c>
      <c r="O3750" s="12" t="s">
        <v>76</v>
      </c>
      <c r="P3750" s="10" t="s">
        <v>23485</v>
      </c>
      <c r="Q3750" s="10" t="s">
        <v>31</v>
      </c>
      <c r="R3750" s="10" t="s">
        <v>75</v>
      </c>
      <c r="S3750" s="12" t="s">
        <v>1855</v>
      </c>
      <c r="T3750" s="10" t="s">
        <v>66</v>
      </c>
      <c r="U3750" s="12" t="s">
        <v>31</v>
      </c>
      <c r="V3750" s="10" t="s">
        <v>114</v>
      </c>
      <c r="W3750" s="10" t="s">
        <v>23482</v>
      </c>
      <c r="X3750" s="13" t="str">
        <f>HYPERLINK("https://my.pitchbook.com?p=39012-49P","View People Online")</f>
        <v>View People Online</v>
      </c>
    </row>
    <row r="3751">
      <c r="A3751" s="14" t="s">
        <v>23544</v>
      </c>
      <c r="B3751" s="14" t="s">
        <v>23545</v>
      </c>
      <c r="C3751" s="14" t="s">
        <v>568</v>
      </c>
      <c r="D3751" s="14" t="s">
        <v>23546</v>
      </c>
      <c r="E3751" s="14" t="s">
        <v>23547</v>
      </c>
      <c r="F3751" s="14" t="s">
        <v>189</v>
      </c>
      <c r="G3751" s="14" t="s">
        <v>23548</v>
      </c>
      <c r="H3751" s="15">
        <v>1.0</v>
      </c>
      <c r="I3751" s="15">
        <v>27.0</v>
      </c>
      <c r="J3751" s="15">
        <v>1.0</v>
      </c>
      <c r="K3751" s="15">
        <v>23.0</v>
      </c>
      <c r="L3751" s="16" t="s">
        <v>23549</v>
      </c>
      <c r="M3751" s="14" t="s">
        <v>23550</v>
      </c>
      <c r="N3751" s="14" t="s">
        <v>75</v>
      </c>
      <c r="O3751" s="16" t="s">
        <v>76</v>
      </c>
      <c r="P3751" s="14" t="s">
        <v>23551</v>
      </c>
      <c r="Q3751" s="14" t="s">
        <v>23552</v>
      </c>
      <c r="R3751" s="14" t="s">
        <v>75</v>
      </c>
      <c r="S3751" s="16" t="s">
        <v>1263</v>
      </c>
      <c r="T3751" s="14" t="s">
        <v>66</v>
      </c>
      <c r="U3751" s="16" t="s">
        <v>31</v>
      </c>
      <c r="V3751" s="14" t="s">
        <v>23553</v>
      </c>
      <c r="W3751" s="14" t="s">
        <v>23547</v>
      </c>
      <c r="X3751" s="17" t="str">
        <f>HYPERLINK("https://my.pitchbook.com?p=100488-52P","View People Online")</f>
        <v>View People Online</v>
      </c>
    </row>
    <row r="3752">
      <c r="A3752" s="2" t="s">
        <v>23554</v>
      </c>
      <c r="B3752" s="2" t="s">
        <v>23555</v>
      </c>
      <c r="C3752" s="2" t="s">
        <v>13342</v>
      </c>
      <c r="D3752" s="2" t="s">
        <v>18117</v>
      </c>
      <c r="E3752" s="2" t="s">
        <v>23547</v>
      </c>
      <c r="F3752" s="2" t="s">
        <v>270</v>
      </c>
      <c r="G3752" s="2" t="s">
        <v>23556</v>
      </c>
      <c r="H3752" s="3" t="s">
        <v>31</v>
      </c>
      <c r="I3752" s="3">
        <v>1.0</v>
      </c>
      <c r="J3752" s="3">
        <v>1.0</v>
      </c>
      <c r="K3752" s="3" t="s">
        <v>31</v>
      </c>
      <c r="L3752" s="4" t="s">
        <v>23549</v>
      </c>
      <c r="M3752" s="2" t="s">
        <v>23557</v>
      </c>
      <c r="N3752" s="2" t="s">
        <v>75</v>
      </c>
      <c r="O3752" s="4" t="s">
        <v>76</v>
      </c>
      <c r="P3752" s="2" t="s">
        <v>23551</v>
      </c>
      <c r="Q3752" s="2" t="s">
        <v>23552</v>
      </c>
      <c r="R3752" s="2" t="s">
        <v>75</v>
      </c>
      <c r="S3752" s="4" t="s">
        <v>1263</v>
      </c>
      <c r="T3752" s="2" t="s">
        <v>66</v>
      </c>
      <c r="U3752" s="4" t="s">
        <v>31</v>
      </c>
      <c r="V3752" s="2" t="s">
        <v>440</v>
      </c>
      <c r="W3752" s="2" t="s">
        <v>23547</v>
      </c>
      <c r="X3752" s="5" t="str">
        <f>HYPERLINK("https://my.pitchbook.com?p=211418-11P","View People Online")</f>
        <v>View People Online</v>
      </c>
    </row>
    <row r="3753">
      <c r="A3753" s="14" t="s">
        <v>23558</v>
      </c>
      <c r="B3753" s="14" t="s">
        <v>23559</v>
      </c>
      <c r="C3753" s="14" t="s">
        <v>1929</v>
      </c>
      <c r="D3753" s="14" t="s">
        <v>23560</v>
      </c>
      <c r="E3753" s="14" t="s">
        <v>23547</v>
      </c>
      <c r="F3753" s="14" t="s">
        <v>502</v>
      </c>
      <c r="G3753" s="14" t="s">
        <v>23561</v>
      </c>
      <c r="H3753" s="15" t="s">
        <v>31</v>
      </c>
      <c r="I3753" s="15">
        <v>1.0</v>
      </c>
      <c r="J3753" s="15">
        <v>1.0</v>
      </c>
      <c r="K3753" s="15" t="s">
        <v>31</v>
      </c>
      <c r="L3753" s="16" t="s">
        <v>23549</v>
      </c>
      <c r="M3753" s="14" t="s">
        <v>23562</v>
      </c>
      <c r="N3753" s="14" t="s">
        <v>75</v>
      </c>
      <c r="O3753" s="16" t="s">
        <v>76</v>
      </c>
      <c r="P3753" s="14" t="s">
        <v>23551</v>
      </c>
      <c r="Q3753" s="14" t="s">
        <v>23552</v>
      </c>
      <c r="R3753" s="14" t="s">
        <v>75</v>
      </c>
      <c r="S3753" s="16" t="s">
        <v>1263</v>
      </c>
      <c r="T3753" s="14" t="s">
        <v>66</v>
      </c>
      <c r="U3753" s="16" t="s">
        <v>31</v>
      </c>
      <c r="V3753" s="14" t="s">
        <v>502</v>
      </c>
      <c r="W3753" s="14" t="s">
        <v>23547</v>
      </c>
      <c r="X3753" s="17" t="str">
        <f>HYPERLINK("https://my.pitchbook.com?p=67809-52P","View People Online")</f>
        <v>View People Online</v>
      </c>
    </row>
    <row r="3754">
      <c r="A3754" s="10" t="s">
        <v>23563</v>
      </c>
      <c r="B3754" s="10" t="s">
        <v>23564</v>
      </c>
      <c r="C3754" s="10" t="s">
        <v>4923</v>
      </c>
      <c r="D3754" s="10" t="s">
        <v>23565</v>
      </c>
      <c r="E3754" s="10" t="s">
        <v>23547</v>
      </c>
      <c r="F3754" s="10" t="s">
        <v>270</v>
      </c>
      <c r="G3754" s="10" t="s">
        <v>23566</v>
      </c>
      <c r="H3754" s="11" t="s">
        <v>31</v>
      </c>
      <c r="I3754" s="11">
        <v>2.0</v>
      </c>
      <c r="J3754" s="11">
        <v>1.0</v>
      </c>
      <c r="K3754" s="11">
        <v>1.0</v>
      </c>
      <c r="L3754" s="12" t="s">
        <v>23549</v>
      </c>
      <c r="M3754" s="10" t="s">
        <v>23567</v>
      </c>
      <c r="N3754" s="10" t="s">
        <v>75</v>
      </c>
      <c r="O3754" s="12" t="s">
        <v>76</v>
      </c>
      <c r="P3754" s="10" t="s">
        <v>23551</v>
      </c>
      <c r="Q3754" s="10" t="s">
        <v>23552</v>
      </c>
      <c r="R3754" s="10" t="s">
        <v>75</v>
      </c>
      <c r="S3754" s="12" t="s">
        <v>1263</v>
      </c>
      <c r="T3754" s="10" t="s">
        <v>66</v>
      </c>
      <c r="U3754" s="12" t="s">
        <v>31</v>
      </c>
      <c r="V3754" s="10" t="s">
        <v>440</v>
      </c>
      <c r="W3754" s="10" t="s">
        <v>23547</v>
      </c>
      <c r="X3754" s="13" t="str">
        <f>HYPERLINK("https://my.pitchbook.com?p=318887-11P","View People Online")</f>
        <v>View People Online</v>
      </c>
    </row>
    <row r="3755">
      <c r="A3755" s="14" t="s">
        <v>23568</v>
      </c>
      <c r="B3755" s="14" t="s">
        <v>23569</v>
      </c>
      <c r="C3755" s="14" t="s">
        <v>4923</v>
      </c>
      <c r="D3755" s="14" t="s">
        <v>23570</v>
      </c>
      <c r="E3755" s="14" t="s">
        <v>23547</v>
      </c>
      <c r="F3755" s="14" t="s">
        <v>270</v>
      </c>
      <c r="G3755" s="14" t="s">
        <v>23571</v>
      </c>
      <c r="H3755" s="15" t="s">
        <v>31</v>
      </c>
      <c r="I3755" s="15">
        <v>5.0</v>
      </c>
      <c r="J3755" s="15">
        <v>1.0</v>
      </c>
      <c r="K3755" s="15">
        <v>3.0</v>
      </c>
      <c r="L3755" s="16" t="s">
        <v>23572</v>
      </c>
      <c r="M3755" s="14" t="s">
        <v>23573</v>
      </c>
      <c r="N3755" s="14" t="s">
        <v>75</v>
      </c>
      <c r="O3755" s="16" t="s">
        <v>76</v>
      </c>
      <c r="P3755" s="14" t="s">
        <v>23551</v>
      </c>
      <c r="Q3755" s="14" t="s">
        <v>23552</v>
      </c>
      <c r="R3755" s="14" t="s">
        <v>75</v>
      </c>
      <c r="S3755" s="16" t="s">
        <v>1263</v>
      </c>
      <c r="T3755" s="14" t="s">
        <v>66</v>
      </c>
      <c r="U3755" s="16" t="s">
        <v>31</v>
      </c>
      <c r="V3755" s="14" t="s">
        <v>440</v>
      </c>
      <c r="W3755" s="14" t="s">
        <v>23547</v>
      </c>
      <c r="X3755" s="17" t="str">
        <f>HYPERLINK("https://my.pitchbook.com?p=211573-27P","View People Online")</f>
        <v>View People Online</v>
      </c>
    </row>
    <row r="3756">
      <c r="A3756" s="2" t="s">
        <v>23574</v>
      </c>
      <c r="B3756" s="2" t="s">
        <v>23575</v>
      </c>
      <c r="C3756" s="2" t="s">
        <v>1449</v>
      </c>
      <c r="D3756" s="2" t="s">
        <v>23576</v>
      </c>
      <c r="E3756" s="2" t="s">
        <v>23547</v>
      </c>
      <c r="F3756" s="2" t="s">
        <v>3411</v>
      </c>
      <c r="G3756" s="2" t="s">
        <v>23577</v>
      </c>
      <c r="H3756" s="3">
        <v>1.0</v>
      </c>
      <c r="I3756" s="3">
        <v>183.0</v>
      </c>
      <c r="J3756" s="3">
        <v>1.0</v>
      </c>
      <c r="K3756" s="3">
        <v>177.0</v>
      </c>
      <c r="L3756" s="4" t="s">
        <v>23549</v>
      </c>
      <c r="M3756" s="2" t="s">
        <v>23578</v>
      </c>
      <c r="N3756" s="2" t="s">
        <v>75</v>
      </c>
      <c r="O3756" s="4" t="s">
        <v>76</v>
      </c>
      <c r="P3756" s="2" t="s">
        <v>23551</v>
      </c>
      <c r="Q3756" s="2" t="s">
        <v>23552</v>
      </c>
      <c r="R3756" s="2" t="s">
        <v>75</v>
      </c>
      <c r="S3756" s="4" t="s">
        <v>1263</v>
      </c>
      <c r="T3756" s="2" t="s">
        <v>66</v>
      </c>
      <c r="U3756" s="4" t="s">
        <v>31</v>
      </c>
      <c r="V3756" s="2" t="s">
        <v>23579</v>
      </c>
      <c r="W3756" s="2" t="s">
        <v>23547</v>
      </c>
      <c r="X3756" s="5" t="str">
        <f>HYPERLINK("https://my.pitchbook.com?p=40354-84P","View People Online")</f>
        <v>View People Online</v>
      </c>
    </row>
    <row r="3757">
      <c r="A3757" s="6" t="s">
        <v>23580</v>
      </c>
      <c r="B3757" s="6" t="s">
        <v>23581</v>
      </c>
      <c r="C3757" s="6" t="s">
        <v>23582</v>
      </c>
      <c r="D3757" s="6" t="s">
        <v>23583</v>
      </c>
      <c r="E3757" s="6" t="s">
        <v>23547</v>
      </c>
      <c r="F3757" s="6" t="s">
        <v>270</v>
      </c>
      <c r="G3757" s="6" t="s">
        <v>23584</v>
      </c>
      <c r="H3757" s="7" t="s">
        <v>31</v>
      </c>
      <c r="I3757" s="7">
        <v>1.0</v>
      </c>
      <c r="J3757" s="7">
        <v>1.0</v>
      </c>
      <c r="K3757" s="7" t="s">
        <v>31</v>
      </c>
      <c r="L3757" s="8" t="s">
        <v>23549</v>
      </c>
      <c r="M3757" s="6" t="s">
        <v>23585</v>
      </c>
      <c r="N3757" s="6" t="s">
        <v>75</v>
      </c>
      <c r="O3757" s="8" t="s">
        <v>76</v>
      </c>
      <c r="P3757" s="6" t="s">
        <v>23551</v>
      </c>
      <c r="Q3757" s="6" t="s">
        <v>23552</v>
      </c>
      <c r="R3757" s="6" t="s">
        <v>75</v>
      </c>
      <c r="S3757" s="8" t="s">
        <v>1263</v>
      </c>
      <c r="T3757" s="6" t="s">
        <v>66</v>
      </c>
      <c r="U3757" s="8" t="s">
        <v>31</v>
      </c>
      <c r="V3757" s="6" t="s">
        <v>440</v>
      </c>
      <c r="W3757" s="6" t="s">
        <v>23547</v>
      </c>
      <c r="X3757" s="9" t="str">
        <f>HYPERLINK("https://my.pitchbook.com?p=406257-13P","View People Online")</f>
        <v>View People Online</v>
      </c>
    </row>
    <row r="3758">
      <c r="A3758" s="2" t="s">
        <v>23586</v>
      </c>
      <c r="B3758" s="2" t="s">
        <v>23587</v>
      </c>
      <c r="C3758" s="2" t="s">
        <v>1471</v>
      </c>
      <c r="D3758" s="2" t="s">
        <v>12452</v>
      </c>
      <c r="E3758" s="2" t="s">
        <v>23547</v>
      </c>
      <c r="F3758" s="2" t="s">
        <v>3429</v>
      </c>
      <c r="G3758" s="2" t="s">
        <v>23588</v>
      </c>
      <c r="H3758" s="3">
        <v>1.0</v>
      </c>
      <c r="I3758" s="3">
        <v>12.0</v>
      </c>
      <c r="J3758" s="3">
        <v>1.0</v>
      </c>
      <c r="K3758" s="3">
        <v>8.0</v>
      </c>
      <c r="L3758" s="4" t="s">
        <v>23549</v>
      </c>
      <c r="M3758" s="2" t="s">
        <v>23589</v>
      </c>
      <c r="N3758" s="2" t="s">
        <v>75</v>
      </c>
      <c r="O3758" s="4" t="s">
        <v>76</v>
      </c>
      <c r="P3758" s="2" t="s">
        <v>23551</v>
      </c>
      <c r="Q3758" s="2" t="s">
        <v>23552</v>
      </c>
      <c r="R3758" s="2" t="s">
        <v>75</v>
      </c>
      <c r="S3758" s="4" t="s">
        <v>1263</v>
      </c>
      <c r="T3758" s="2" t="s">
        <v>66</v>
      </c>
      <c r="U3758" s="4" t="s">
        <v>31</v>
      </c>
      <c r="V3758" s="2" t="s">
        <v>23590</v>
      </c>
      <c r="W3758" s="2" t="s">
        <v>23547</v>
      </c>
      <c r="X3758" s="5" t="str">
        <f>HYPERLINK("https://my.pitchbook.com?p=104733-64P","View People Online")</f>
        <v>View People Online</v>
      </c>
    </row>
    <row r="3759">
      <c r="A3759" s="6" t="s">
        <v>23591</v>
      </c>
      <c r="B3759" s="6" t="s">
        <v>23592</v>
      </c>
      <c r="C3759" s="6" t="s">
        <v>3670</v>
      </c>
      <c r="D3759" s="6" t="s">
        <v>23593</v>
      </c>
      <c r="E3759" s="6" t="s">
        <v>23547</v>
      </c>
      <c r="F3759" s="6" t="s">
        <v>270</v>
      </c>
      <c r="G3759" s="6" t="s">
        <v>23594</v>
      </c>
      <c r="H3759" s="7" t="s">
        <v>31</v>
      </c>
      <c r="I3759" s="7">
        <v>10.0</v>
      </c>
      <c r="J3759" s="7">
        <v>1.0</v>
      </c>
      <c r="K3759" s="7">
        <v>7.0</v>
      </c>
      <c r="L3759" s="8" t="s">
        <v>23595</v>
      </c>
      <c r="M3759" s="6" t="s">
        <v>31</v>
      </c>
      <c r="N3759" s="6" t="s">
        <v>75</v>
      </c>
      <c r="O3759" s="8" t="s">
        <v>76</v>
      </c>
      <c r="P3759" s="6" t="s">
        <v>23551</v>
      </c>
      <c r="Q3759" s="6" t="s">
        <v>23552</v>
      </c>
      <c r="R3759" s="6" t="s">
        <v>75</v>
      </c>
      <c r="S3759" s="8" t="s">
        <v>1263</v>
      </c>
      <c r="T3759" s="6" t="s">
        <v>66</v>
      </c>
      <c r="U3759" s="8" t="s">
        <v>31</v>
      </c>
      <c r="V3759" s="6" t="s">
        <v>440</v>
      </c>
      <c r="W3759" s="6" t="s">
        <v>23547</v>
      </c>
      <c r="X3759" s="9" t="str">
        <f>HYPERLINK("https://my.pitchbook.com?p=254527-39P","View People Online")</f>
        <v>View People Online</v>
      </c>
    </row>
    <row r="3760">
      <c r="A3760" s="10" t="s">
        <v>23596</v>
      </c>
      <c r="B3760" s="10" t="s">
        <v>23597</v>
      </c>
      <c r="C3760" s="10" t="s">
        <v>23598</v>
      </c>
      <c r="D3760" s="10" t="s">
        <v>23599</v>
      </c>
      <c r="E3760" s="10" t="s">
        <v>23547</v>
      </c>
      <c r="F3760" s="10" t="s">
        <v>3429</v>
      </c>
      <c r="G3760" s="10" t="s">
        <v>23600</v>
      </c>
      <c r="H3760" s="11" t="s">
        <v>31</v>
      </c>
      <c r="I3760" s="11">
        <v>7.0</v>
      </c>
      <c r="J3760" s="11">
        <v>1.0</v>
      </c>
      <c r="K3760" s="11">
        <v>5.0</v>
      </c>
      <c r="L3760" s="12" t="s">
        <v>23549</v>
      </c>
      <c r="M3760" s="10" t="s">
        <v>23601</v>
      </c>
      <c r="N3760" s="10" t="s">
        <v>75</v>
      </c>
      <c r="O3760" s="12" t="s">
        <v>76</v>
      </c>
      <c r="P3760" s="10" t="s">
        <v>23551</v>
      </c>
      <c r="Q3760" s="10" t="s">
        <v>23552</v>
      </c>
      <c r="R3760" s="10" t="s">
        <v>75</v>
      </c>
      <c r="S3760" s="12" t="s">
        <v>1263</v>
      </c>
      <c r="T3760" s="10" t="s">
        <v>66</v>
      </c>
      <c r="U3760" s="12" t="s">
        <v>31</v>
      </c>
      <c r="V3760" s="10" t="s">
        <v>23602</v>
      </c>
      <c r="W3760" s="10" t="s">
        <v>23547</v>
      </c>
      <c r="X3760" s="13" t="str">
        <f>HYPERLINK("https://my.pitchbook.com?p=90784-99P","View People Online")</f>
        <v>View People Online</v>
      </c>
    </row>
    <row r="3761">
      <c r="A3761" s="14" t="s">
        <v>23603</v>
      </c>
      <c r="B3761" s="14" t="s">
        <v>23604</v>
      </c>
      <c r="C3761" s="14" t="s">
        <v>23605</v>
      </c>
      <c r="D3761" s="14" t="s">
        <v>23606</v>
      </c>
      <c r="E3761" s="14" t="s">
        <v>23607</v>
      </c>
      <c r="F3761" s="14" t="s">
        <v>152</v>
      </c>
      <c r="G3761" s="14" t="s">
        <v>23608</v>
      </c>
      <c r="H3761" s="15" t="s">
        <v>31</v>
      </c>
      <c r="I3761" s="15">
        <v>9.0</v>
      </c>
      <c r="J3761" s="15">
        <v>1.0</v>
      </c>
      <c r="K3761" s="15">
        <v>8.0</v>
      </c>
      <c r="L3761" s="16" t="s">
        <v>31</v>
      </c>
      <c r="M3761" s="14" t="s">
        <v>23609</v>
      </c>
      <c r="N3761" s="14" t="s">
        <v>10742</v>
      </c>
      <c r="O3761" s="16" t="s">
        <v>10743</v>
      </c>
      <c r="P3761" s="14" t="s">
        <v>23610</v>
      </c>
      <c r="Q3761" s="14" t="s">
        <v>23611</v>
      </c>
      <c r="R3761" s="14" t="s">
        <v>10745</v>
      </c>
      <c r="S3761" s="16" t="s">
        <v>23612</v>
      </c>
      <c r="T3761" s="14" t="s">
        <v>1019</v>
      </c>
      <c r="U3761" s="16" t="s">
        <v>31</v>
      </c>
      <c r="V3761" s="14" t="s">
        <v>157</v>
      </c>
      <c r="W3761" s="14" t="s">
        <v>23607</v>
      </c>
      <c r="X3761" s="17" t="str">
        <f>HYPERLINK("https://my.pitchbook.com?p=291891-79P","View People Online")</f>
        <v>View People Online</v>
      </c>
    </row>
    <row r="3762">
      <c r="A3762" s="2" t="s">
        <v>23613</v>
      </c>
      <c r="B3762" s="2" t="s">
        <v>23614</v>
      </c>
      <c r="C3762" s="2" t="s">
        <v>23615</v>
      </c>
      <c r="D3762" s="2" t="s">
        <v>1583</v>
      </c>
      <c r="E3762" s="2" t="s">
        <v>23607</v>
      </c>
      <c r="F3762" s="2" t="s">
        <v>802</v>
      </c>
      <c r="G3762" s="2" t="s">
        <v>23616</v>
      </c>
      <c r="H3762" s="3" t="s">
        <v>31</v>
      </c>
      <c r="I3762" s="3">
        <v>5.0</v>
      </c>
      <c r="J3762" s="3">
        <v>1.0</v>
      </c>
      <c r="K3762" s="3">
        <v>4.0</v>
      </c>
      <c r="L3762" s="4" t="s">
        <v>31</v>
      </c>
      <c r="M3762" s="2" t="s">
        <v>23617</v>
      </c>
      <c r="N3762" s="2" t="s">
        <v>10742</v>
      </c>
      <c r="O3762" s="4" t="s">
        <v>10743</v>
      </c>
      <c r="P3762" s="2" t="s">
        <v>23610</v>
      </c>
      <c r="Q3762" s="2" t="s">
        <v>23611</v>
      </c>
      <c r="R3762" s="2" t="s">
        <v>10745</v>
      </c>
      <c r="S3762" s="4" t="s">
        <v>23612</v>
      </c>
      <c r="T3762" s="2" t="s">
        <v>1019</v>
      </c>
      <c r="U3762" s="4" t="s">
        <v>31</v>
      </c>
      <c r="V3762" s="2" t="s">
        <v>23618</v>
      </c>
      <c r="W3762" s="2" t="s">
        <v>23607</v>
      </c>
      <c r="X3762" s="5" t="str">
        <f>HYPERLINK("https://my.pitchbook.com?p=344509-12P","View People Online")</f>
        <v>View People Online</v>
      </c>
    </row>
    <row r="3763">
      <c r="A3763" s="6" t="s">
        <v>23619</v>
      </c>
      <c r="B3763" s="6" t="s">
        <v>23620</v>
      </c>
      <c r="C3763" s="6" t="s">
        <v>18127</v>
      </c>
      <c r="D3763" s="6" t="s">
        <v>23621</v>
      </c>
      <c r="E3763" s="6" t="s">
        <v>23607</v>
      </c>
      <c r="F3763" s="6" t="s">
        <v>674</v>
      </c>
      <c r="G3763" s="6" t="s">
        <v>23622</v>
      </c>
      <c r="H3763" s="7" t="s">
        <v>31</v>
      </c>
      <c r="I3763" s="7">
        <v>64.0</v>
      </c>
      <c r="J3763" s="7">
        <v>2.0</v>
      </c>
      <c r="K3763" s="7">
        <v>61.0</v>
      </c>
      <c r="L3763" s="8" t="s">
        <v>31</v>
      </c>
      <c r="M3763" s="6" t="s">
        <v>23623</v>
      </c>
      <c r="N3763" s="6" t="s">
        <v>10742</v>
      </c>
      <c r="O3763" s="8" t="s">
        <v>10743</v>
      </c>
      <c r="P3763" s="6" t="s">
        <v>31</v>
      </c>
      <c r="Q3763" s="6" t="s">
        <v>31</v>
      </c>
      <c r="R3763" s="6" t="s">
        <v>10745</v>
      </c>
      <c r="S3763" s="8" t="s">
        <v>31</v>
      </c>
      <c r="T3763" s="6" t="s">
        <v>1019</v>
      </c>
      <c r="U3763" s="8" t="s">
        <v>31</v>
      </c>
      <c r="V3763" s="6" t="s">
        <v>157</v>
      </c>
      <c r="W3763" s="6" t="s">
        <v>23624</v>
      </c>
      <c r="X3763" s="9" t="str">
        <f>HYPERLINK("https://my.pitchbook.com?p=162904-42P","View People Online")</f>
        <v>View People Online</v>
      </c>
    </row>
    <row r="3764">
      <c r="A3764" s="10" t="s">
        <v>23625</v>
      </c>
      <c r="B3764" s="10" t="s">
        <v>23626</v>
      </c>
      <c r="C3764" s="10" t="s">
        <v>20223</v>
      </c>
      <c r="D3764" s="10" t="s">
        <v>23627</v>
      </c>
      <c r="E3764" s="10" t="s">
        <v>23607</v>
      </c>
      <c r="F3764" s="10" t="s">
        <v>825</v>
      </c>
      <c r="G3764" s="10" t="s">
        <v>23628</v>
      </c>
      <c r="H3764" s="11" t="s">
        <v>31</v>
      </c>
      <c r="I3764" s="11">
        <v>1.0</v>
      </c>
      <c r="J3764" s="11">
        <v>1.0</v>
      </c>
      <c r="K3764" s="11" t="s">
        <v>31</v>
      </c>
      <c r="L3764" s="12" t="s">
        <v>23629</v>
      </c>
      <c r="M3764" s="10" t="s">
        <v>23630</v>
      </c>
      <c r="N3764" s="10" t="s">
        <v>10742</v>
      </c>
      <c r="O3764" s="12" t="s">
        <v>10743</v>
      </c>
      <c r="P3764" s="10" t="s">
        <v>23610</v>
      </c>
      <c r="Q3764" s="10" t="s">
        <v>23611</v>
      </c>
      <c r="R3764" s="10" t="s">
        <v>10745</v>
      </c>
      <c r="S3764" s="12" t="s">
        <v>23612</v>
      </c>
      <c r="T3764" s="10" t="s">
        <v>1019</v>
      </c>
      <c r="U3764" s="12" t="s">
        <v>31</v>
      </c>
      <c r="V3764" s="10" t="s">
        <v>23631</v>
      </c>
      <c r="W3764" s="10" t="s">
        <v>23607</v>
      </c>
      <c r="X3764" s="13" t="str">
        <f>HYPERLINK("https://my.pitchbook.com?p=185162-77P","View People Online")</f>
        <v>View People Online</v>
      </c>
    </row>
    <row r="3765">
      <c r="A3765" s="14" t="s">
        <v>23632</v>
      </c>
      <c r="B3765" s="14" t="s">
        <v>23633</v>
      </c>
      <c r="C3765" s="14" t="s">
        <v>2412</v>
      </c>
      <c r="D3765" s="14" t="s">
        <v>23634</v>
      </c>
      <c r="E3765" s="14" t="s">
        <v>23607</v>
      </c>
      <c r="F3765" s="14" t="s">
        <v>802</v>
      </c>
      <c r="G3765" s="14" t="s">
        <v>23635</v>
      </c>
      <c r="H3765" s="15" t="s">
        <v>31</v>
      </c>
      <c r="I3765" s="15">
        <v>5.0</v>
      </c>
      <c r="J3765" s="15">
        <v>1.0</v>
      </c>
      <c r="K3765" s="15">
        <v>4.0</v>
      </c>
      <c r="L3765" s="16" t="s">
        <v>31</v>
      </c>
      <c r="M3765" s="14" t="s">
        <v>23636</v>
      </c>
      <c r="N3765" s="14" t="s">
        <v>10742</v>
      </c>
      <c r="O3765" s="16" t="s">
        <v>10743</v>
      </c>
      <c r="P3765" s="14" t="s">
        <v>23610</v>
      </c>
      <c r="Q3765" s="14" t="s">
        <v>23611</v>
      </c>
      <c r="R3765" s="14" t="s">
        <v>10745</v>
      </c>
      <c r="S3765" s="16" t="s">
        <v>23612</v>
      </c>
      <c r="T3765" s="14" t="s">
        <v>1019</v>
      </c>
      <c r="U3765" s="16" t="s">
        <v>31</v>
      </c>
      <c r="V3765" s="14" t="s">
        <v>23637</v>
      </c>
      <c r="W3765" s="14" t="s">
        <v>23607</v>
      </c>
      <c r="X3765" s="17" t="str">
        <f>HYPERLINK("https://my.pitchbook.com?p=408692-53P","View People Online")</f>
        <v>View People Online</v>
      </c>
    </row>
    <row r="3766">
      <c r="A3766" s="10" t="s">
        <v>23638</v>
      </c>
      <c r="B3766" s="10" t="s">
        <v>23639</v>
      </c>
      <c r="C3766" s="10" t="s">
        <v>23640</v>
      </c>
      <c r="D3766" s="10" t="s">
        <v>23641</v>
      </c>
      <c r="E3766" s="10" t="s">
        <v>23642</v>
      </c>
      <c r="F3766" s="10" t="s">
        <v>6552</v>
      </c>
      <c r="G3766" s="10" t="s">
        <v>23643</v>
      </c>
      <c r="H3766" s="11">
        <v>1.0</v>
      </c>
      <c r="I3766" s="11">
        <v>7.0</v>
      </c>
      <c r="J3766" s="11">
        <v>1.0</v>
      </c>
      <c r="K3766" s="11">
        <v>4.0</v>
      </c>
      <c r="L3766" s="12" t="s">
        <v>23644</v>
      </c>
      <c r="M3766" s="10" t="s">
        <v>23645</v>
      </c>
      <c r="N3766" s="10" t="s">
        <v>23646</v>
      </c>
      <c r="O3766" s="12" t="s">
        <v>23647</v>
      </c>
      <c r="P3766" s="10" t="s">
        <v>23648</v>
      </c>
      <c r="Q3766" s="10" t="s">
        <v>31</v>
      </c>
      <c r="R3766" s="10" t="s">
        <v>31</v>
      </c>
      <c r="S3766" s="12" t="s">
        <v>23649</v>
      </c>
      <c r="T3766" s="10" t="s">
        <v>796</v>
      </c>
      <c r="U3766" s="12" t="s">
        <v>31</v>
      </c>
      <c r="V3766" s="10" t="s">
        <v>6552</v>
      </c>
      <c r="W3766" s="10" t="s">
        <v>23642</v>
      </c>
      <c r="X3766" s="13" t="str">
        <f>HYPERLINK("https://my.pitchbook.com?p=164159-74P","View People Online")</f>
        <v>View People Online</v>
      </c>
    </row>
    <row r="3767">
      <c r="A3767" s="6" t="s">
        <v>23650</v>
      </c>
      <c r="B3767" s="6" t="s">
        <v>23651</v>
      </c>
      <c r="C3767" s="6" t="s">
        <v>23652</v>
      </c>
      <c r="D3767" s="6" t="s">
        <v>23653</v>
      </c>
      <c r="E3767" s="6" t="s">
        <v>23642</v>
      </c>
      <c r="F3767" s="6" t="s">
        <v>6567</v>
      </c>
      <c r="G3767" s="6" t="s">
        <v>23654</v>
      </c>
      <c r="H3767" s="7" t="s">
        <v>31</v>
      </c>
      <c r="I3767" s="7">
        <v>1.0</v>
      </c>
      <c r="J3767" s="7">
        <v>1.0</v>
      </c>
      <c r="K3767" s="7" t="s">
        <v>31</v>
      </c>
      <c r="L3767" s="8" t="s">
        <v>23655</v>
      </c>
      <c r="M3767" s="6" t="s">
        <v>23656</v>
      </c>
      <c r="N3767" s="6" t="s">
        <v>23646</v>
      </c>
      <c r="O3767" s="8" t="s">
        <v>23647</v>
      </c>
      <c r="P3767" s="6" t="s">
        <v>23648</v>
      </c>
      <c r="Q3767" s="6" t="s">
        <v>31</v>
      </c>
      <c r="R3767" s="6" t="s">
        <v>31</v>
      </c>
      <c r="S3767" s="8" t="s">
        <v>23649</v>
      </c>
      <c r="T3767" s="6" t="s">
        <v>796</v>
      </c>
      <c r="U3767" s="8" t="s">
        <v>31</v>
      </c>
      <c r="V3767" s="6" t="s">
        <v>23657</v>
      </c>
      <c r="W3767" s="6" t="s">
        <v>23642</v>
      </c>
      <c r="X3767" s="9" t="str">
        <f>HYPERLINK("https://my.pitchbook.com?p=151820-38P","View People Online")</f>
        <v>View People Online</v>
      </c>
    </row>
    <row r="3768">
      <c r="A3768" s="10" t="s">
        <v>23658</v>
      </c>
      <c r="B3768" s="10" t="s">
        <v>23659</v>
      </c>
      <c r="C3768" s="10" t="s">
        <v>23660</v>
      </c>
      <c r="D3768" s="10" t="s">
        <v>23661</v>
      </c>
      <c r="E3768" s="10" t="s">
        <v>23642</v>
      </c>
      <c r="F3768" s="10" t="s">
        <v>6552</v>
      </c>
      <c r="G3768" s="10" t="s">
        <v>23662</v>
      </c>
      <c r="H3768" s="11" t="s">
        <v>31</v>
      </c>
      <c r="I3768" s="11">
        <v>5.0</v>
      </c>
      <c r="J3768" s="11">
        <v>2.0</v>
      </c>
      <c r="K3768" s="11">
        <v>1.0</v>
      </c>
      <c r="L3768" s="12" t="s">
        <v>23663</v>
      </c>
      <c r="M3768" s="10" t="s">
        <v>23664</v>
      </c>
      <c r="N3768" s="10" t="s">
        <v>23646</v>
      </c>
      <c r="O3768" s="12" t="s">
        <v>23647</v>
      </c>
      <c r="P3768" s="10" t="s">
        <v>23648</v>
      </c>
      <c r="Q3768" s="10" t="s">
        <v>31</v>
      </c>
      <c r="R3768" s="10" t="s">
        <v>31</v>
      </c>
      <c r="S3768" s="12" t="s">
        <v>23649</v>
      </c>
      <c r="T3768" s="10" t="s">
        <v>796</v>
      </c>
      <c r="U3768" s="12" t="s">
        <v>31</v>
      </c>
      <c r="V3768" s="10" t="s">
        <v>23665</v>
      </c>
      <c r="W3768" s="10" t="s">
        <v>23642</v>
      </c>
      <c r="X3768" s="13" t="str">
        <f>HYPERLINK("https://my.pitchbook.com?p=151828-12P","View People Online")</f>
        <v>View People Online</v>
      </c>
    </row>
    <row r="3769">
      <c r="A3769" s="14" t="s">
        <v>23666</v>
      </c>
      <c r="B3769" s="14" t="s">
        <v>23667</v>
      </c>
      <c r="C3769" s="14" t="s">
        <v>23668</v>
      </c>
      <c r="D3769" s="14" t="s">
        <v>23669</v>
      </c>
      <c r="E3769" s="14" t="s">
        <v>23642</v>
      </c>
      <c r="F3769" s="14" t="s">
        <v>1801</v>
      </c>
      <c r="G3769" s="14" t="s">
        <v>23670</v>
      </c>
      <c r="H3769" s="15" t="s">
        <v>31</v>
      </c>
      <c r="I3769" s="15">
        <v>1.0</v>
      </c>
      <c r="J3769" s="15">
        <v>1.0</v>
      </c>
      <c r="K3769" s="15" t="s">
        <v>31</v>
      </c>
      <c r="L3769" s="16" t="s">
        <v>23671</v>
      </c>
      <c r="M3769" s="14" t="s">
        <v>23672</v>
      </c>
      <c r="N3769" s="14" t="s">
        <v>23646</v>
      </c>
      <c r="O3769" s="16" t="s">
        <v>23647</v>
      </c>
      <c r="P3769" s="14" t="s">
        <v>23648</v>
      </c>
      <c r="Q3769" s="14" t="s">
        <v>31</v>
      </c>
      <c r="R3769" s="14" t="s">
        <v>31</v>
      </c>
      <c r="S3769" s="16" t="s">
        <v>23649</v>
      </c>
      <c r="T3769" s="14" t="s">
        <v>796</v>
      </c>
      <c r="U3769" s="16" t="s">
        <v>31</v>
      </c>
      <c r="V3769" s="14" t="s">
        <v>23673</v>
      </c>
      <c r="W3769" s="14" t="s">
        <v>23642</v>
      </c>
      <c r="X3769" s="17" t="str">
        <f>HYPERLINK("https://my.pitchbook.com?p=151823-71P","View People Online")</f>
        <v>View People Online</v>
      </c>
    </row>
    <row r="3770">
      <c r="A3770" s="2" t="s">
        <v>23674</v>
      </c>
      <c r="B3770" s="2" t="s">
        <v>23675</v>
      </c>
      <c r="C3770" s="2" t="s">
        <v>23676</v>
      </c>
      <c r="D3770" s="2" t="s">
        <v>23677</v>
      </c>
      <c r="E3770" s="2" t="s">
        <v>23642</v>
      </c>
      <c r="F3770" s="2" t="s">
        <v>470</v>
      </c>
      <c r="G3770" s="2" t="s">
        <v>23678</v>
      </c>
      <c r="H3770" s="3" t="s">
        <v>31</v>
      </c>
      <c r="I3770" s="3">
        <v>13.0</v>
      </c>
      <c r="J3770" s="3">
        <v>1.0</v>
      </c>
      <c r="K3770" s="3">
        <v>12.0</v>
      </c>
      <c r="L3770" s="4" t="s">
        <v>23679</v>
      </c>
      <c r="M3770" s="2" t="s">
        <v>23680</v>
      </c>
      <c r="N3770" s="2" t="s">
        <v>23646</v>
      </c>
      <c r="O3770" s="4" t="s">
        <v>23647</v>
      </c>
      <c r="P3770" s="2" t="s">
        <v>23648</v>
      </c>
      <c r="Q3770" s="2" t="s">
        <v>31</v>
      </c>
      <c r="R3770" s="2" t="s">
        <v>31</v>
      </c>
      <c r="S3770" s="4" t="s">
        <v>23649</v>
      </c>
      <c r="T3770" s="2" t="s">
        <v>796</v>
      </c>
      <c r="U3770" s="4" t="s">
        <v>31</v>
      </c>
      <c r="V3770" s="2" t="s">
        <v>470</v>
      </c>
      <c r="W3770" s="2" t="s">
        <v>23642</v>
      </c>
      <c r="X3770" s="5" t="str">
        <f>HYPERLINK("https://my.pitchbook.com?p=143570-98P","View People Online")</f>
        <v>View People Online</v>
      </c>
    </row>
    <row r="3771">
      <c r="A3771" s="14" t="s">
        <v>23681</v>
      </c>
      <c r="B3771" s="14" t="s">
        <v>23682</v>
      </c>
      <c r="C3771" s="14" t="s">
        <v>23683</v>
      </c>
      <c r="D3771" s="14" t="s">
        <v>23684</v>
      </c>
      <c r="E3771" s="14" t="s">
        <v>23642</v>
      </c>
      <c r="F3771" s="14" t="s">
        <v>270</v>
      </c>
      <c r="G3771" s="14" t="s">
        <v>23685</v>
      </c>
      <c r="H3771" s="15" t="s">
        <v>31</v>
      </c>
      <c r="I3771" s="15">
        <v>1.0</v>
      </c>
      <c r="J3771" s="15">
        <v>1.0</v>
      </c>
      <c r="K3771" s="15" t="s">
        <v>31</v>
      </c>
      <c r="L3771" s="16" t="s">
        <v>23686</v>
      </c>
      <c r="M3771" s="14" t="s">
        <v>23687</v>
      </c>
      <c r="N3771" s="14" t="s">
        <v>23646</v>
      </c>
      <c r="O3771" s="16" t="s">
        <v>23647</v>
      </c>
      <c r="P3771" s="14" t="s">
        <v>23648</v>
      </c>
      <c r="Q3771" s="14" t="s">
        <v>31</v>
      </c>
      <c r="R3771" s="14" t="s">
        <v>31</v>
      </c>
      <c r="S3771" s="16" t="s">
        <v>23649</v>
      </c>
      <c r="T3771" s="14" t="s">
        <v>796</v>
      </c>
      <c r="U3771" s="16" t="s">
        <v>31</v>
      </c>
      <c r="V3771" s="14" t="s">
        <v>23688</v>
      </c>
      <c r="W3771" s="14" t="s">
        <v>23642</v>
      </c>
      <c r="X3771" s="17" t="str">
        <f>HYPERLINK("https://my.pitchbook.com?p=263852-20P","View People Online")</f>
        <v>View People Online</v>
      </c>
    </row>
    <row r="3772">
      <c r="A3772" s="2" t="s">
        <v>23689</v>
      </c>
      <c r="B3772" s="2" t="s">
        <v>23690</v>
      </c>
      <c r="C3772" s="2" t="s">
        <v>23691</v>
      </c>
      <c r="D3772" s="2" t="s">
        <v>23692</v>
      </c>
      <c r="E3772" s="2" t="s">
        <v>23642</v>
      </c>
      <c r="F3772" s="2" t="s">
        <v>8581</v>
      </c>
      <c r="G3772" s="2" t="s">
        <v>23693</v>
      </c>
      <c r="H3772" s="3" t="s">
        <v>31</v>
      </c>
      <c r="I3772" s="3">
        <v>1.0</v>
      </c>
      <c r="J3772" s="3">
        <v>1.0</v>
      </c>
      <c r="K3772" s="3" t="s">
        <v>31</v>
      </c>
      <c r="L3772" s="4" t="s">
        <v>23694</v>
      </c>
      <c r="M3772" s="2" t="s">
        <v>23695</v>
      </c>
      <c r="N3772" s="2" t="s">
        <v>23646</v>
      </c>
      <c r="O3772" s="4" t="s">
        <v>23647</v>
      </c>
      <c r="P3772" s="2" t="s">
        <v>23648</v>
      </c>
      <c r="Q3772" s="2" t="s">
        <v>31</v>
      </c>
      <c r="R3772" s="2" t="s">
        <v>31</v>
      </c>
      <c r="S3772" s="4" t="s">
        <v>23649</v>
      </c>
      <c r="T3772" s="2" t="s">
        <v>796</v>
      </c>
      <c r="U3772" s="4" t="s">
        <v>31</v>
      </c>
      <c r="V3772" s="2" t="s">
        <v>23696</v>
      </c>
      <c r="W3772" s="2" t="s">
        <v>23642</v>
      </c>
      <c r="X3772" s="5" t="str">
        <f>HYPERLINK("https://my.pitchbook.com?p=279976-33P","View People Online")</f>
        <v>View People Online</v>
      </c>
    </row>
    <row r="3773">
      <c r="A3773" s="6" t="s">
        <v>23697</v>
      </c>
      <c r="B3773" s="6" t="s">
        <v>23698</v>
      </c>
      <c r="C3773" s="6" t="s">
        <v>23691</v>
      </c>
      <c r="D3773" s="6" t="s">
        <v>23699</v>
      </c>
      <c r="E3773" s="6" t="s">
        <v>23642</v>
      </c>
      <c r="F3773" s="6" t="s">
        <v>23700</v>
      </c>
      <c r="G3773" s="6" t="s">
        <v>23701</v>
      </c>
      <c r="H3773" s="7" t="s">
        <v>31</v>
      </c>
      <c r="I3773" s="7">
        <v>3.0</v>
      </c>
      <c r="J3773" s="7">
        <v>1.0</v>
      </c>
      <c r="K3773" s="7">
        <v>1.0</v>
      </c>
      <c r="L3773" s="8" t="s">
        <v>23702</v>
      </c>
      <c r="M3773" s="6" t="s">
        <v>23703</v>
      </c>
      <c r="N3773" s="6" t="s">
        <v>23646</v>
      </c>
      <c r="O3773" s="8" t="s">
        <v>23647</v>
      </c>
      <c r="P3773" s="6" t="s">
        <v>23648</v>
      </c>
      <c r="Q3773" s="6" t="s">
        <v>31</v>
      </c>
      <c r="R3773" s="6" t="s">
        <v>31</v>
      </c>
      <c r="S3773" s="8" t="s">
        <v>23649</v>
      </c>
      <c r="T3773" s="6" t="s">
        <v>796</v>
      </c>
      <c r="U3773" s="8" t="s">
        <v>31</v>
      </c>
      <c r="V3773" s="6" t="s">
        <v>23704</v>
      </c>
      <c r="W3773" s="6" t="s">
        <v>23642</v>
      </c>
      <c r="X3773" s="9" t="str">
        <f>HYPERLINK("https://my.pitchbook.com?p=240729-85P","View People Online")</f>
        <v>View People Online</v>
      </c>
    </row>
    <row r="3774">
      <c r="A3774" s="2" t="s">
        <v>23705</v>
      </c>
      <c r="B3774" s="2" t="s">
        <v>23706</v>
      </c>
      <c r="C3774" s="2" t="s">
        <v>1449</v>
      </c>
      <c r="D3774" s="2" t="s">
        <v>23707</v>
      </c>
      <c r="E3774" s="2" t="s">
        <v>23642</v>
      </c>
      <c r="F3774" s="2" t="s">
        <v>802</v>
      </c>
      <c r="G3774" s="2" t="s">
        <v>23708</v>
      </c>
      <c r="H3774" s="3" t="s">
        <v>31</v>
      </c>
      <c r="I3774" s="3">
        <v>1.0</v>
      </c>
      <c r="J3774" s="3">
        <v>1.0</v>
      </c>
      <c r="K3774" s="3" t="s">
        <v>31</v>
      </c>
      <c r="L3774" s="4" t="s">
        <v>23709</v>
      </c>
      <c r="M3774" s="2" t="s">
        <v>23710</v>
      </c>
      <c r="N3774" s="2" t="s">
        <v>23646</v>
      </c>
      <c r="O3774" s="4" t="s">
        <v>23647</v>
      </c>
      <c r="P3774" s="2" t="s">
        <v>23648</v>
      </c>
      <c r="Q3774" s="2" t="s">
        <v>31</v>
      </c>
      <c r="R3774" s="2" t="s">
        <v>31</v>
      </c>
      <c r="S3774" s="4" t="s">
        <v>23649</v>
      </c>
      <c r="T3774" s="2" t="s">
        <v>796</v>
      </c>
      <c r="U3774" s="4" t="s">
        <v>31</v>
      </c>
      <c r="V3774" s="2" t="s">
        <v>802</v>
      </c>
      <c r="W3774" s="2" t="s">
        <v>23642</v>
      </c>
      <c r="X3774" s="5" t="str">
        <f>HYPERLINK("https://my.pitchbook.com?p=315508-33P","View People Online")</f>
        <v>View People Online</v>
      </c>
    </row>
    <row r="3775">
      <c r="A3775" s="14" t="s">
        <v>23711</v>
      </c>
      <c r="B3775" s="14" t="s">
        <v>23712</v>
      </c>
      <c r="C3775" s="14" t="s">
        <v>11186</v>
      </c>
      <c r="D3775" s="14" t="s">
        <v>23713</v>
      </c>
      <c r="E3775" s="14" t="s">
        <v>23642</v>
      </c>
      <c r="F3775" s="14" t="s">
        <v>1283</v>
      </c>
      <c r="G3775" s="14" t="s">
        <v>23714</v>
      </c>
      <c r="H3775" s="15" t="s">
        <v>31</v>
      </c>
      <c r="I3775" s="15">
        <v>1.0</v>
      </c>
      <c r="J3775" s="15">
        <v>1.0</v>
      </c>
      <c r="K3775" s="15" t="s">
        <v>31</v>
      </c>
      <c r="L3775" s="16" t="s">
        <v>23715</v>
      </c>
      <c r="M3775" s="14" t="s">
        <v>23716</v>
      </c>
      <c r="N3775" s="14" t="s">
        <v>23646</v>
      </c>
      <c r="O3775" s="16" t="s">
        <v>23647</v>
      </c>
      <c r="P3775" s="14" t="s">
        <v>23648</v>
      </c>
      <c r="Q3775" s="14" t="s">
        <v>31</v>
      </c>
      <c r="R3775" s="14" t="s">
        <v>31</v>
      </c>
      <c r="S3775" s="16" t="s">
        <v>23649</v>
      </c>
      <c r="T3775" s="14" t="s">
        <v>796</v>
      </c>
      <c r="U3775" s="16" t="s">
        <v>31</v>
      </c>
      <c r="V3775" s="14" t="s">
        <v>23717</v>
      </c>
      <c r="W3775" s="14" t="s">
        <v>23642</v>
      </c>
      <c r="X3775" s="17" t="str">
        <f>HYPERLINK("https://my.pitchbook.com?p=368086-24P","View People Online")</f>
        <v>View People Online</v>
      </c>
    </row>
    <row r="3776">
      <c r="A3776" s="10" t="s">
        <v>23718</v>
      </c>
      <c r="B3776" s="10" t="s">
        <v>23719</v>
      </c>
      <c r="C3776" s="10" t="s">
        <v>769</v>
      </c>
      <c r="D3776" s="10" t="s">
        <v>23720</v>
      </c>
      <c r="E3776" s="10" t="s">
        <v>23642</v>
      </c>
      <c r="F3776" s="10" t="s">
        <v>270</v>
      </c>
      <c r="G3776" s="10" t="s">
        <v>23721</v>
      </c>
      <c r="H3776" s="11" t="s">
        <v>31</v>
      </c>
      <c r="I3776" s="11">
        <v>1.0</v>
      </c>
      <c r="J3776" s="11">
        <v>1.0</v>
      </c>
      <c r="K3776" s="11" t="s">
        <v>31</v>
      </c>
      <c r="L3776" s="12" t="s">
        <v>23722</v>
      </c>
      <c r="M3776" s="10" t="s">
        <v>23723</v>
      </c>
      <c r="N3776" s="10" t="s">
        <v>23646</v>
      </c>
      <c r="O3776" s="12" t="s">
        <v>23647</v>
      </c>
      <c r="P3776" s="10" t="s">
        <v>23648</v>
      </c>
      <c r="Q3776" s="10" t="s">
        <v>31</v>
      </c>
      <c r="R3776" s="10" t="s">
        <v>31</v>
      </c>
      <c r="S3776" s="12" t="s">
        <v>23649</v>
      </c>
      <c r="T3776" s="10" t="s">
        <v>796</v>
      </c>
      <c r="U3776" s="12" t="s">
        <v>31</v>
      </c>
      <c r="V3776" s="10" t="s">
        <v>23724</v>
      </c>
      <c r="W3776" s="10" t="s">
        <v>23642</v>
      </c>
      <c r="X3776" s="13" t="str">
        <f>HYPERLINK("https://my.pitchbook.com?p=151820-11P","View People Online")</f>
        <v>View People Online</v>
      </c>
    </row>
    <row r="3777">
      <c r="A3777" s="14" t="s">
        <v>23725</v>
      </c>
      <c r="B3777" s="14" t="s">
        <v>23726</v>
      </c>
      <c r="C3777" s="14" t="s">
        <v>11231</v>
      </c>
      <c r="D3777" s="14" t="s">
        <v>23727</v>
      </c>
      <c r="E3777" s="14" t="s">
        <v>23642</v>
      </c>
      <c r="F3777" s="14" t="s">
        <v>6567</v>
      </c>
      <c r="G3777" s="14" t="s">
        <v>23728</v>
      </c>
      <c r="H3777" s="15" t="s">
        <v>31</v>
      </c>
      <c r="I3777" s="15">
        <v>1.0</v>
      </c>
      <c r="J3777" s="15">
        <v>1.0</v>
      </c>
      <c r="K3777" s="15" t="s">
        <v>31</v>
      </c>
      <c r="L3777" s="16" t="s">
        <v>23729</v>
      </c>
      <c r="M3777" s="14" t="s">
        <v>23730</v>
      </c>
      <c r="N3777" s="14" t="s">
        <v>23646</v>
      </c>
      <c r="O3777" s="16" t="s">
        <v>23647</v>
      </c>
      <c r="P3777" s="14" t="s">
        <v>23648</v>
      </c>
      <c r="Q3777" s="14" t="s">
        <v>31</v>
      </c>
      <c r="R3777" s="14" t="s">
        <v>31</v>
      </c>
      <c r="S3777" s="16" t="s">
        <v>23649</v>
      </c>
      <c r="T3777" s="14" t="s">
        <v>796</v>
      </c>
      <c r="U3777" s="16" t="s">
        <v>31</v>
      </c>
      <c r="V3777" s="14" t="s">
        <v>23393</v>
      </c>
      <c r="W3777" s="14" t="s">
        <v>23642</v>
      </c>
      <c r="X3777" s="17" t="str">
        <f>HYPERLINK("https://my.pitchbook.com?p=368090-20P","View People Online")</f>
        <v>View People Online</v>
      </c>
    </row>
    <row r="3778">
      <c r="A3778" s="10" t="s">
        <v>23731</v>
      </c>
      <c r="B3778" s="10" t="s">
        <v>23732</v>
      </c>
      <c r="C3778" s="10" t="s">
        <v>11231</v>
      </c>
      <c r="D3778" s="10" t="s">
        <v>23733</v>
      </c>
      <c r="E3778" s="10" t="s">
        <v>23642</v>
      </c>
      <c r="F3778" s="10" t="s">
        <v>1086</v>
      </c>
      <c r="G3778" s="10" t="s">
        <v>23734</v>
      </c>
      <c r="H3778" s="11" t="s">
        <v>31</v>
      </c>
      <c r="I3778" s="11">
        <v>1.0</v>
      </c>
      <c r="J3778" s="11">
        <v>1.0</v>
      </c>
      <c r="K3778" s="11" t="s">
        <v>31</v>
      </c>
      <c r="L3778" s="12" t="s">
        <v>23735</v>
      </c>
      <c r="M3778" s="10" t="s">
        <v>23736</v>
      </c>
      <c r="N3778" s="10" t="s">
        <v>23646</v>
      </c>
      <c r="O3778" s="12" t="s">
        <v>23647</v>
      </c>
      <c r="P3778" s="10" t="s">
        <v>23648</v>
      </c>
      <c r="Q3778" s="10" t="s">
        <v>31</v>
      </c>
      <c r="R3778" s="10" t="s">
        <v>31</v>
      </c>
      <c r="S3778" s="12" t="s">
        <v>23649</v>
      </c>
      <c r="T3778" s="10" t="s">
        <v>796</v>
      </c>
      <c r="U3778" s="12" t="s">
        <v>31</v>
      </c>
      <c r="V3778" s="10" t="s">
        <v>23737</v>
      </c>
      <c r="W3778" s="10" t="s">
        <v>23642</v>
      </c>
      <c r="X3778" s="13" t="str">
        <f>HYPERLINK("https://my.pitchbook.com?p=151839-37P","View People Online")</f>
        <v>View People Online</v>
      </c>
    </row>
    <row r="3779">
      <c r="A3779" s="14" t="s">
        <v>23738</v>
      </c>
      <c r="B3779" s="14" t="s">
        <v>23739</v>
      </c>
      <c r="C3779" s="14" t="s">
        <v>23740</v>
      </c>
      <c r="D3779" s="14" t="s">
        <v>23741</v>
      </c>
      <c r="E3779" s="14" t="s">
        <v>23642</v>
      </c>
      <c r="F3779" s="14" t="s">
        <v>221</v>
      </c>
      <c r="G3779" s="14" t="s">
        <v>23742</v>
      </c>
      <c r="H3779" s="15" t="s">
        <v>31</v>
      </c>
      <c r="I3779" s="15">
        <v>1.0</v>
      </c>
      <c r="J3779" s="15">
        <v>1.0</v>
      </c>
      <c r="K3779" s="15" t="s">
        <v>31</v>
      </c>
      <c r="L3779" s="16" t="s">
        <v>23743</v>
      </c>
      <c r="M3779" s="14" t="s">
        <v>23744</v>
      </c>
      <c r="N3779" s="14" t="s">
        <v>23646</v>
      </c>
      <c r="O3779" s="16" t="s">
        <v>23647</v>
      </c>
      <c r="P3779" s="14" t="s">
        <v>23648</v>
      </c>
      <c r="Q3779" s="14" t="s">
        <v>31</v>
      </c>
      <c r="R3779" s="14" t="s">
        <v>31</v>
      </c>
      <c r="S3779" s="16" t="s">
        <v>23649</v>
      </c>
      <c r="T3779" s="14" t="s">
        <v>796</v>
      </c>
      <c r="U3779" s="16" t="s">
        <v>31</v>
      </c>
      <c r="V3779" s="14" t="s">
        <v>221</v>
      </c>
      <c r="W3779" s="14" t="s">
        <v>23642</v>
      </c>
      <c r="X3779" s="17" t="str">
        <f>HYPERLINK("https://my.pitchbook.com?p=426116-26P","View People Online")</f>
        <v>View People Online</v>
      </c>
    </row>
    <row r="3780">
      <c r="A3780" s="10" t="s">
        <v>23745</v>
      </c>
      <c r="B3780" s="10" t="s">
        <v>23746</v>
      </c>
      <c r="C3780" s="10" t="s">
        <v>23747</v>
      </c>
      <c r="D3780" s="10" t="s">
        <v>23748</v>
      </c>
      <c r="E3780" s="10" t="s">
        <v>23642</v>
      </c>
      <c r="F3780" s="10" t="s">
        <v>23749</v>
      </c>
      <c r="G3780" s="10" t="s">
        <v>23750</v>
      </c>
      <c r="H3780" s="11">
        <v>1.0</v>
      </c>
      <c r="I3780" s="11">
        <v>2.0</v>
      </c>
      <c r="J3780" s="11">
        <v>1.0</v>
      </c>
      <c r="K3780" s="11" t="s">
        <v>31</v>
      </c>
      <c r="L3780" s="12" t="s">
        <v>23751</v>
      </c>
      <c r="M3780" s="10" t="s">
        <v>23752</v>
      </c>
      <c r="N3780" s="10" t="s">
        <v>31</v>
      </c>
      <c r="O3780" s="12" t="s">
        <v>796</v>
      </c>
      <c r="P3780" s="10" t="s">
        <v>31</v>
      </c>
      <c r="Q3780" s="10" t="s">
        <v>31</v>
      </c>
      <c r="R3780" s="10" t="s">
        <v>31</v>
      </c>
      <c r="S3780" s="12" t="s">
        <v>31</v>
      </c>
      <c r="T3780" s="10" t="s">
        <v>796</v>
      </c>
      <c r="U3780" s="12" t="s">
        <v>31</v>
      </c>
      <c r="V3780" s="10" t="s">
        <v>23753</v>
      </c>
      <c r="W3780" s="10" t="s">
        <v>23754</v>
      </c>
      <c r="X3780" s="13" t="str">
        <f>HYPERLINK("https://my.pitchbook.com?p=254820-52P","View People Online")</f>
        <v>View People Online</v>
      </c>
    </row>
    <row r="3781">
      <c r="A3781" s="14" t="s">
        <v>23755</v>
      </c>
      <c r="B3781" s="14" t="s">
        <v>23756</v>
      </c>
      <c r="C3781" s="14" t="s">
        <v>12601</v>
      </c>
      <c r="D3781" s="14" t="s">
        <v>23757</v>
      </c>
      <c r="E3781" s="14" t="s">
        <v>23642</v>
      </c>
      <c r="F3781" s="14" t="s">
        <v>23758</v>
      </c>
      <c r="G3781" s="14" t="s">
        <v>23759</v>
      </c>
      <c r="H3781" s="15" t="s">
        <v>31</v>
      </c>
      <c r="I3781" s="15">
        <v>3.0</v>
      </c>
      <c r="J3781" s="15">
        <v>2.0</v>
      </c>
      <c r="K3781" s="15">
        <v>1.0</v>
      </c>
      <c r="L3781" s="16" t="s">
        <v>23760</v>
      </c>
      <c r="M3781" s="14" t="s">
        <v>23761</v>
      </c>
      <c r="N3781" s="14" t="s">
        <v>23646</v>
      </c>
      <c r="O3781" s="16" t="s">
        <v>23647</v>
      </c>
      <c r="P3781" s="14" t="s">
        <v>23648</v>
      </c>
      <c r="Q3781" s="14" t="s">
        <v>31</v>
      </c>
      <c r="R3781" s="14" t="s">
        <v>31</v>
      </c>
      <c r="S3781" s="16" t="s">
        <v>23649</v>
      </c>
      <c r="T3781" s="14" t="s">
        <v>796</v>
      </c>
      <c r="U3781" s="16" t="s">
        <v>31</v>
      </c>
      <c r="V3781" s="14" t="s">
        <v>23762</v>
      </c>
      <c r="W3781" s="14" t="s">
        <v>23642</v>
      </c>
      <c r="X3781" s="17" t="str">
        <f>HYPERLINK("https://my.pitchbook.com?p=203659-93P","View People Online")</f>
        <v>View People Online</v>
      </c>
    </row>
    <row r="3782">
      <c r="A3782" s="10" t="s">
        <v>23763</v>
      </c>
      <c r="B3782" s="10" t="s">
        <v>23764</v>
      </c>
      <c r="C3782" s="10" t="s">
        <v>23765</v>
      </c>
      <c r="D3782" s="10" t="s">
        <v>23766</v>
      </c>
      <c r="E3782" s="10" t="s">
        <v>23642</v>
      </c>
      <c r="F3782" s="10" t="s">
        <v>23749</v>
      </c>
      <c r="G3782" s="10" t="s">
        <v>23767</v>
      </c>
      <c r="H3782" s="11" t="s">
        <v>31</v>
      </c>
      <c r="I3782" s="11">
        <v>1.0</v>
      </c>
      <c r="J3782" s="11">
        <v>1.0</v>
      </c>
      <c r="K3782" s="11" t="s">
        <v>31</v>
      </c>
      <c r="L3782" s="12" t="s">
        <v>23768</v>
      </c>
      <c r="M3782" s="10" t="s">
        <v>31</v>
      </c>
      <c r="N3782" s="10" t="s">
        <v>23646</v>
      </c>
      <c r="O3782" s="12" t="s">
        <v>23647</v>
      </c>
      <c r="P3782" s="10" t="s">
        <v>23648</v>
      </c>
      <c r="Q3782" s="10" t="s">
        <v>31</v>
      </c>
      <c r="R3782" s="10" t="s">
        <v>31</v>
      </c>
      <c r="S3782" s="12" t="s">
        <v>23649</v>
      </c>
      <c r="T3782" s="10" t="s">
        <v>796</v>
      </c>
      <c r="U3782" s="12" t="s">
        <v>31</v>
      </c>
      <c r="V3782" s="10" t="s">
        <v>23749</v>
      </c>
      <c r="W3782" s="10" t="s">
        <v>23642</v>
      </c>
      <c r="X3782" s="13" t="str">
        <f>HYPERLINK("https://my.pitchbook.com?p=203659-12P","View People Online")</f>
        <v>View People Online</v>
      </c>
    </row>
    <row r="3783">
      <c r="A3783" s="6" t="s">
        <v>23769</v>
      </c>
      <c r="B3783" s="6" t="s">
        <v>23770</v>
      </c>
      <c r="C3783" s="6" t="s">
        <v>23771</v>
      </c>
      <c r="D3783" s="6" t="s">
        <v>19861</v>
      </c>
      <c r="E3783" s="6" t="s">
        <v>23642</v>
      </c>
      <c r="F3783" s="6" t="s">
        <v>695</v>
      </c>
      <c r="G3783" s="6" t="s">
        <v>23772</v>
      </c>
      <c r="H3783" s="7" t="s">
        <v>31</v>
      </c>
      <c r="I3783" s="7">
        <v>1.0</v>
      </c>
      <c r="J3783" s="7">
        <v>1.0</v>
      </c>
      <c r="K3783" s="7" t="s">
        <v>31</v>
      </c>
      <c r="L3783" s="8" t="s">
        <v>23773</v>
      </c>
      <c r="M3783" s="6" t="s">
        <v>23774</v>
      </c>
      <c r="N3783" s="6" t="s">
        <v>23646</v>
      </c>
      <c r="O3783" s="8" t="s">
        <v>23647</v>
      </c>
      <c r="P3783" s="6" t="s">
        <v>23648</v>
      </c>
      <c r="Q3783" s="6" t="s">
        <v>31</v>
      </c>
      <c r="R3783" s="6" t="s">
        <v>31</v>
      </c>
      <c r="S3783" s="8" t="s">
        <v>23649</v>
      </c>
      <c r="T3783" s="6" t="s">
        <v>796</v>
      </c>
      <c r="U3783" s="8" t="s">
        <v>31</v>
      </c>
      <c r="V3783" s="6" t="s">
        <v>695</v>
      </c>
      <c r="W3783" s="6" t="s">
        <v>23642</v>
      </c>
      <c r="X3783" s="9" t="str">
        <f>HYPERLINK("https://my.pitchbook.com?p=426118-24P","View People Online")</f>
        <v>View People Online</v>
      </c>
    </row>
    <row r="3784">
      <c r="A3784" s="2" t="s">
        <v>23775</v>
      </c>
      <c r="B3784" s="2" t="s">
        <v>23776</v>
      </c>
      <c r="C3784" s="2" t="s">
        <v>12835</v>
      </c>
      <c r="D3784" s="2" t="s">
        <v>17760</v>
      </c>
      <c r="E3784" s="2" t="s">
        <v>23642</v>
      </c>
      <c r="F3784" s="2" t="s">
        <v>802</v>
      </c>
      <c r="G3784" s="2" t="s">
        <v>23777</v>
      </c>
      <c r="H3784" s="3" t="s">
        <v>31</v>
      </c>
      <c r="I3784" s="3">
        <v>1.0</v>
      </c>
      <c r="J3784" s="3">
        <v>1.0</v>
      </c>
      <c r="K3784" s="3" t="s">
        <v>31</v>
      </c>
      <c r="L3784" s="4" t="s">
        <v>23778</v>
      </c>
      <c r="M3784" s="2" t="s">
        <v>23779</v>
      </c>
      <c r="N3784" s="2" t="s">
        <v>23646</v>
      </c>
      <c r="O3784" s="4" t="s">
        <v>23647</v>
      </c>
      <c r="P3784" s="2" t="s">
        <v>23648</v>
      </c>
      <c r="Q3784" s="2" t="s">
        <v>31</v>
      </c>
      <c r="R3784" s="2" t="s">
        <v>31</v>
      </c>
      <c r="S3784" s="4" t="s">
        <v>23649</v>
      </c>
      <c r="T3784" s="2" t="s">
        <v>796</v>
      </c>
      <c r="U3784" s="4" t="s">
        <v>31</v>
      </c>
      <c r="V3784" s="2" t="s">
        <v>23780</v>
      </c>
      <c r="W3784" s="2" t="s">
        <v>23642</v>
      </c>
      <c r="X3784" s="5" t="str">
        <f>HYPERLINK("https://my.pitchbook.com?p=189414-37P","View People Online")</f>
        <v>View People Online</v>
      </c>
    </row>
    <row r="3785">
      <c r="A3785" s="14" t="s">
        <v>23781</v>
      </c>
      <c r="B3785" s="14" t="s">
        <v>23782</v>
      </c>
      <c r="C3785" s="14" t="s">
        <v>23783</v>
      </c>
      <c r="D3785" s="14" t="s">
        <v>23784</v>
      </c>
      <c r="E3785" s="14" t="s">
        <v>23642</v>
      </c>
      <c r="F3785" s="14" t="s">
        <v>2199</v>
      </c>
      <c r="G3785" s="14" t="s">
        <v>23785</v>
      </c>
      <c r="H3785" s="15">
        <v>1.0</v>
      </c>
      <c r="I3785" s="15">
        <v>3.0</v>
      </c>
      <c r="J3785" s="15">
        <v>2.0</v>
      </c>
      <c r="K3785" s="15">
        <v>1.0</v>
      </c>
      <c r="L3785" s="16" t="s">
        <v>23786</v>
      </c>
      <c r="M3785" s="14" t="s">
        <v>23787</v>
      </c>
      <c r="N3785" s="14" t="s">
        <v>4756</v>
      </c>
      <c r="O3785" s="16" t="s">
        <v>4757</v>
      </c>
      <c r="P3785" s="14" t="s">
        <v>23788</v>
      </c>
      <c r="Q3785" s="14" t="s">
        <v>31</v>
      </c>
      <c r="R3785" s="14" t="s">
        <v>23789</v>
      </c>
      <c r="S3785" s="16" t="s">
        <v>23790</v>
      </c>
      <c r="T3785" s="14" t="s">
        <v>796</v>
      </c>
      <c r="U3785" s="16" t="s">
        <v>31</v>
      </c>
      <c r="V3785" s="14" t="s">
        <v>470</v>
      </c>
      <c r="W3785" s="14" t="s">
        <v>23791</v>
      </c>
      <c r="X3785" s="17" t="str">
        <f>HYPERLINK("https://my.pitchbook.com?p=218349-55P","View People Online")</f>
        <v>View People Online</v>
      </c>
    </row>
    <row r="3786">
      <c r="A3786" s="10" t="s">
        <v>23792</v>
      </c>
      <c r="B3786" s="10" t="s">
        <v>23793</v>
      </c>
      <c r="C3786" s="10" t="s">
        <v>23794</v>
      </c>
      <c r="D3786" s="10" t="s">
        <v>23795</v>
      </c>
      <c r="E3786" s="10" t="s">
        <v>23642</v>
      </c>
      <c r="F3786" s="10" t="s">
        <v>6552</v>
      </c>
      <c r="G3786" s="10" t="s">
        <v>23796</v>
      </c>
      <c r="H3786" s="11" t="s">
        <v>31</v>
      </c>
      <c r="I3786" s="11">
        <v>8.0</v>
      </c>
      <c r="J3786" s="11">
        <v>1.0</v>
      </c>
      <c r="K3786" s="11">
        <v>6.0</v>
      </c>
      <c r="L3786" s="12" t="s">
        <v>23797</v>
      </c>
      <c r="M3786" s="10" t="s">
        <v>23798</v>
      </c>
      <c r="N3786" s="10" t="s">
        <v>23646</v>
      </c>
      <c r="O3786" s="12" t="s">
        <v>23647</v>
      </c>
      <c r="P3786" s="10" t="s">
        <v>23648</v>
      </c>
      <c r="Q3786" s="10" t="s">
        <v>31</v>
      </c>
      <c r="R3786" s="10" t="s">
        <v>31</v>
      </c>
      <c r="S3786" s="12" t="s">
        <v>23649</v>
      </c>
      <c r="T3786" s="10" t="s">
        <v>796</v>
      </c>
      <c r="U3786" s="12" t="s">
        <v>31</v>
      </c>
      <c r="V3786" s="10" t="s">
        <v>23799</v>
      </c>
      <c r="W3786" s="10" t="s">
        <v>23642</v>
      </c>
      <c r="X3786" s="13" t="str">
        <f>HYPERLINK("https://my.pitchbook.com?p=165252-52P","View People Online")</f>
        <v>View People Online</v>
      </c>
    </row>
    <row r="3787">
      <c r="A3787" s="14" t="s">
        <v>23800</v>
      </c>
      <c r="B3787" s="14" t="s">
        <v>23801</v>
      </c>
      <c r="C3787" s="14" t="s">
        <v>23802</v>
      </c>
      <c r="D3787" s="14" t="s">
        <v>23803</v>
      </c>
      <c r="E3787" s="14" t="s">
        <v>23642</v>
      </c>
      <c r="F3787" s="14" t="s">
        <v>1801</v>
      </c>
      <c r="G3787" s="14" t="s">
        <v>23804</v>
      </c>
      <c r="H3787" s="15" t="s">
        <v>31</v>
      </c>
      <c r="I3787" s="15">
        <v>1.0</v>
      </c>
      <c r="J3787" s="15">
        <v>1.0</v>
      </c>
      <c r="K3787" s="15" t="s">
        <v>31</v>
      </c>
      <c r="L3787" s="16" t="s">
        <v>23805</v>
      </c>
      <c r="M3787" s="14" t="s">
        <v>23806</v>
      </c>
      <c r="N3787" s="14" t="s">
        <v>23646</v>
      </c>
      <c r="O3787" s="16" t="s">
        <v>23647</v>
      </c>
      <c r="P3787" s="14" t="s">
        <v>23648</v>
      </c>
      <c r="Q3787" s="14" t="s">
        <v>31</v>
      </c>
      <c r="R3787" s="14" t="s">
        <v>31</v>
      </c>
      <c r="S3787" s="16" t="s">
        <v>23649</v>
      </c>
      <c r="T3787" s="14" t="s">
        <v>796</v>
      </c>
      <c r="U3787" s="16" t="s">
        <v>31</v>
      </c>
      <c r="V3787" s="14" t="s">
        <v>23807</v>
      </c>
      <c r="W3787" s="14" t="s">
        <v>23642</v>
      </c>
      <c r="X3787" s="17" t="str">
        <f>HYPERLINK("https://my.pitchbook.com?p=151824-07P","View People Online")</f>
        <v>View People Online</v>
      </c>
    </row>
    <row r="3788">
      <c r="A3788" s="2" t="s">
        <v>23808</v>
      </c>
      <c r="B3788" s="2" t="s">
        <v>23809</v>
      </c>
      <c r="C3788" s="2" t="s">
        <v>23810</v>
      </c>
      <c r="D3788" s="2" t="s">
        <v>23811</v>
      </c>
      <c r="E3788" s="2" t="s">
        <v>23642</v>
      </c>
      <c r="F3788" s="2" t="s">
        <v>270</v>
      </c>
      <c r="G3788" s="2" t="s">
        <v>23812</v>
      </c>
      <c r="H3788" s="3" t="s">
        <v>31</v>
      </c>
      <c r="I3788" s="3">
        <v>1.0</v>
      </c>
      <c r="J3788" s="3">
        <v>1.0</v>
      </c>
      <c r="K3788" s="3" t="s">
        <v>31</v>
      </c>
      <c r="L3788" s="4" t="s">
        <v>23813</v>
      </c>
      <c r="M3788" s="2" t="s">
        <v>23814</v>
      </c>
      <c r="N3788" s="2" t="s">
        <v>23646</v>
      </c>
      <c r="O3788" s="4" t="s">
        <v>23647</v>
      </c>
      <c r="P3788" s="2" t="s">
        <v>23648</v>
      </c>
      <c r="Q3788" s="2" t="s">
        <v>31</v>
      </c>
      <c r="R3788" s="2" t="s">
        <v>31</v>
      </c>
      <c r="S3788" s="4" t="s">
        <v>23649</v>
      </c>
      <c r="T3788" s="2" t="s">
        <v>796</v>
      </c>
      <c r="U3788" s="4" t="s">
        <v>31</v>
      </c>
      <c r="V3788" s="2" t="s">
        <v>23815</v>
      </c>
      <c r="W3788" s="2" t="s">
        <v>23642</v>
      </c>
      <c r="X3788" s="5" t="str">
        <f>HYPERLINK("https://my.pitchbook.com?p=263851-30P","View People Online")</f>
        <v>View People Online</v>
      </c>
    </row>
    <row r="3789">
      <c r="A3789" s="14" t="s">
        <v>23816</v>
      </c>
      <c r="B3789" s="14" t="s">
        <v>23817</v>
      </c>
      <c r="C3789" s="14" t="s">
        <v>23818</v>
      </c>
      <c r="D3789" s="14" t="s">
        <v>23819</v>
      </c>
      <c r="E3789" s="14" t="s">
        <v>23642</v>
      </c>
      <c r="F3789" s="14" t="s">
        <v>2379</v>
      </c>
      <c r="G3789" s="14" t="s">
        <v>23820</v>
      </c>
      <c r="H3789" s="15">
        <v>1.0</v>
      </c>
      <c r="I3789" s="15">
        <v>37.0</v>
      </c>
      <c r="J3789" s="15">
        <v>2.0</v>
      </c>
      <c r="K3789" s="15">
        <v>35.0</v>
      </c>
      <c r="L3789" s="16" t="s">
        <v>23821</v>
      </c>
      <c r="M3789" s="14" t="s">
        <v>23822</v>
      </c>
      <c r="N3789" s="14" t="s">
        <v>243</v>
      </c>
      <c r="O3789" s="16" t="s">
        <v>244</v>
      </c>
      <c r="P3789" s="14" t="s">
        <v>23823</v>
      </c>
      <c r="Q3789" s="14" t="s">
        <v>31</v>
      </c>
      <c r="R3789" s="14" t="s">
        <v>247</v>
      </c>
      <c r="S3789" s="16" t="s">
        <v>23824</v>
      </c>
      <c r="T3789" s="14" t="s">
        <v>249</v>
      </c>
      <c r="U3789" s="16" t="s">
        <v>31</v>
      </c>
      <c r="V3789" s="14" t="s">
        <v>23825</v>
      </c>
      <c r="W3789" s="14" t="s">
        <v>23826</v>
      </c>
      <c r="X3789" s="17" t="str">
        <f>HYPERLINK("https://my.pitchbook.com?p=174958-39P","View People Online")</f>
        <v>View People Online</v>
      </c>
    </row>
    <row r="3790">
      <c r="A3790" s="10" t="s">
        <v>23827</v>
      </c>
      <c r="B3790" s="10" t="s">
        <v>23828</v>
      </c>
      <c r="C3790" s="10" t="s">
        <v>23829</v>
      </c>
      <c r="D3790" s="10" t="s">
        <v>23830</v>
      </c>
      <c r="E3790" s="10" t="s">
        <v>23642</v>
      </c>
      <c r="F3790" s="10" t="s">
        <v>6552</v>
      </c>
      <c r="G3790" s="10" t="s">
        <v>23831</v>
      </c>
      <c r="H3790" s="11" t="s">
        <v>31</v>
      </c>
      <c r="I3790" s="11">
        <v>7.0</v>
      </c>
      <c r="J3790" s="11">
        <v>1.0</v>
      </c>
      <c r="K3790" s="11">
        <v>5.0</v>
      </c>
      <c r="L3790" s="12" t="s">
        <v>23832</v>
      </c>
      <c r="M3790" s="10" t="s">
        <v>23833</v>
      </c>
      <c r="N3790" s="10" t="s">
        <v>23646</v>
      </c>
      <c r="O3790" s="12" t="s">
        <v>23647</v>
      </c>
      <c r="P3790" s="10" t="s">
        <v>23648</v>
      </c>
      <c r="Q3790" s="10" t="s">
        <v>31</v>
      </c>
      <c r="R3790" s="10" t="s">
        <v>31</v>
      </c>
      <c r="S3790" s="12" t="s">
        <v>23649</v>
      </c>
      <c r="T3790" s="10" t="s">
        <v>796</v>
      </c>
      <c r="U3790" s="12" t="s">
        <v>31</v>
      </c>
      <c r="V3790" s="10" t="s">
        <v>23834</v>
      </c>
      <c r="W3790" s="10" t="s">
        <v>23642</v>
      </c>
      <c r="X3790" s="13" t="str">
        <f>HYPERLINK("https://my.pitchbook.com?p=69549-58P","View People Online")</f>
        <v>View People Online</v>
      </c>
    </row>
    <row r="3791">
      <c r="A3791" s="6" t="s">
        <v>23835</v>
      </c>
      <c r="B3791" s="6" t="s">
        <v>23836</v>
      </c>
      <c r="C3791" s="6" t="s">
        <v>8948</v>
      </c>
      <c r="D3791" s="6" t="s">
        <v>23837</v>
      </c>
      <c r="E3791" s="6" t="s">
        <v>23642</v>
      </c>
      <c r="F3791" s="6" t="s">
        <v>802</v>
      </c>
      <c r="G3791" s="6" t="s">
        <v>23838</v>
      </c>
      <c r="H3791" s="7" t="s">
        <v>31</v>
      </c>
      <c r="I3791" s="7">
        <v>1.0</v>
      </c>
      <c r="J3791" s="7">
        <v>1.0</v>
      </c>
      <c r="K3791" s="7" t="s">
        <v>31</v>
      </c>
      <c r="L3791" s="8" t="s">
        <v>23839</v>
      </c>
      <c r="M3791" s="6" t="s">
        <v>23840</v>
      </c>
      <c r="N3791" s="6" t="s">
        <v>23646</v>
      </c>
      <c r="O3791" s="8" t="s">
        <v>23647</v>
      </c>
      <c r="P3791" s="6" t="s">
        <v>23648</v>
      </c>
      <c r="Q3791" s="6" t="s">
        <v>31</v>
      </c>
      <c r="R3791" s="6" t="s">
        <v>31</v>
      </c>
      <c r="S3791" s="8" t="s">
        <v>23649</v>
      </c>
      <c r="T3791" s="6" t="s">
        <v>796</v>
      </c>
      <c r="U3791" s="8" t="s">
        <v>31</v>
      </c>
      <c r="V3791" s="6" t="s">
        <v>23841</v>
      </c>
      <c r="W3791" s="6" t="s">
        <v>23642</v>
      </c>
      <c r="X3791" s="9" t="str">
        <f>HYPERLINK("https://my.pitchbook.com?p=263854-99P","View People Online")</f>
        <v>View People Online</v>
      </c>
    </row>
    <row r="3792">
      <c r="A3792" s="10" t="s">
        <v>23842</v>
      </c>
      <c r="B3792" s="10" t="s">
        <v>23843</v>
      </c>
      <c r="C3792" s="10" t="s">
        <v>11451</v>
      </c>
      <c r="D3792" s="10" t="s">
        <v>23844</v>
      </c>
      <c r="E3792" s="10" t="s">
        <v>23642</v>
      </c>
      <c r="F3792" s="10" t="s">
        <v>802</v>
      </c>
      <c r="G3792" s="10" t="s">
        <v>23845</v>
      </c>
      <c r="H3792" s="11" t="s">
        <v>31</v>
      </c>
      <c r="I3792" s="11">
        <v>2.0</v>
      </c>
      <c r="J3792" s="11">
        <v>1.0</v>
      </c>
      <c r="K3792" s="11">
        <v>1.0</v>
      </c>
      <c r="L3792" s="12" t="s">
        <v>23846</v>
      </c>
      <c r="M3792" s="10" t="s">
        <v>23847</v>
      </c>
      <c r="N3792" s="10" t="s">
        <v>23646</v>
      </c>
      <c r="O3792" s="12" t="s">
        <v>23647</v>
      </c>
      <c r="P3792" s="10" t="s">
        <v>23648</v>
      </c>
      <c r="Q3792" s="10" t="s">
        <v>31</v>
      </c>
      <c r="R3792" s="10" t="s">
        <v>31</v>
      </c>
      <c r="S3792" s="12" t="s">
        <v>23649</v>
      </c>
      <c r="T3792" s="10" t="s">
        <v>796</v>
      </c>
      <c r="U3792" s="12" t="s">
        <v>31</v>
      </c>
      <c r="V3792" s="10" t="s">
        <v>23848</v>
      </c>
      <c r="W3792" s="10" t="s">
        <v>23642</v>
      </c>
      <c r="X3792" s="13" t="str">
        <f>HYPERLINK("https://my.pitchbook.com?p=426232-90P","View People Online")</f>
        <v>View People Online</v>
      </c>
    </row>
    <row r="3793">
      <c r="A3793" s="6" t="s">
        <v>23849</v>
      </c>
      <c r="B3793" s="6" t="s">
        <v>23850</v>
      </c>
      <c r="C3793" s="6" t="s">
        <v>17759</v>
      </c>
      <c r="D3793" s="6" t="s">
        <v>23851</v>
      </c>
      <c r="E3793" s="6" t="s">
        <v>23642</v>
      </c>
      <c r="F3793" s="6" t="s">
        <v>6552</v>
      </c>
      <c r="G3793" s="6" t="s">
        <v>23852</v>
      </c>
      <c r="H3793" s="7" t="s">
        <v>31</v>
      </c>
      <c r="I3793" s="7">
        <v>3.0</v>
      </c>
      <c r="J3793" s="7">
        <v>1.0</v>
      </c>
      <c r="K3793" s="7">
        <v>1.0</v>
      </c>
      <c r="L3793" s="8" t="s">
        <v>23853</v>
      </c>
      <c r="M3793" s="6" t="s">
        <v>23854</v>
      </c>
      <c r="N3793" s="6" t="s">
        <v>23646</v>
      </c>
      <c r="O3793" s="8" t="s">
        <v>23647</v>
      </c>
      <c r="P3793" s="6" t="s">
        <v>23648</v>
      </c>
      <c r="Q3793" s="6" t="s">
        <v>31</v>
      </c>
      <c r="R3793" s="6" t="s">
        <v>31</v>
      </c>
      <c r="S3793" s="8" t="s">
        <v>23649</v>
      </c>
      <c r="T3793" s="6" t="s">
        <v>796</v>
      </c>
      <c r="U3793" s="8" t="s">
        <v>31</v>
      </c>
      <c r="V3793" s="6" t="s">
        <v>6552</v>
      </c>
      <c r="W3793" s="6" t="s">
        <v>23642</v>
      </c>
      <c r="X3793" s="9" t="str">
        <f>HYPERLINK("https://my.pitchbook.com?p=232651-18P","View People Online")</f>
        <v>View People Online</v>
      </c>
    </row>
    <row r="3794">
      <c r="A3794" s="10" t="s">
        <v>23855</v>
      </c>
      <c r="B3794" s="10" t="s">
        <v>23856</v>
      </c>
      <c r="C3794" s="10" t="s">
        <v>18322</v>
      </c>
      <c r="D3794" s="10" t="s">
        <v>23857</v>
      </c>
      <c r="E3794" s="10" t="s">
        <v>23642</v>
      </c>
      <c r="F3794" s="10" t="s">
        <v>23700</v>
      </c>
      <c r="G3794" s="10" t="s">
        <v>23858</v>
      </c>
      <c r="H3794" s="11">
        <v>1.0</v>
      </c>
      <c r="I3794" s="11">
        <v>12.0</v>
      </c>
      <c r="J3794" s="11">
        <v>1.0</v>
      </c>
      <c r="K3794" s="11">
        <v>7.0</v>
      </c>
      <c r="L3794" s="12" t="s">
        <v>23859</v>
      </c>
      <c r="M3794" s="10" t="s">
        <v>23860</v>
      </c>
      <c r="N3794" s="10" t="s">
        <v>23646</v>
      </c>
      <c r="O3794" s="12" t="s">
        <v>23647</v>
      </c>
      <c r="P3794" s="10" t="s">
        <v>23648</v>
      </c>
      <c r="Q3794" s="10" t="s">
        <v>31</v>
      </c>
      <c r="R3794" s="10" t="s">
        <v>31</v>
      </c>
      <c r="S3794" s="12" t="s">
        <v>23649</v>
      </c>
      <c r="T3794" s="10" t="s">
        <v>796</v>
      </c>
      <c r="U3794" s="12" t="s">
        <v>31</v>
      </c>
      <c r="V3794" s="10" t="s">
        <v>23861</v>
      </c>
      <c r="W3794" s="10" t="s">
        <v>23642</v>
      </c>
      <c r="X3794" s="13" t="str">
        <f>HYPERLINK("https://my.pitchbook.com?p=69548-32P","View People Online")</f>
        <v>View People Online</v>
      </c>
    </row>
    <row r="3795">
      <c r="A3795" s="6" t="s">
        <v>23862</v>
      </c>
      <c r="B3795" s="6" t="s">
        <v>23863</v>
      </c>
      <c r="C3795" s="6" t="s">
        <v>18645</v>
      </c>
      <c r="D3795" s="6" t="s">
        <v>23864</v>
      </c>
      <c r="E3795" s="6" t="s">
        <v>23642</v>
      </c>
      <c r="F3795" s="6" t="s">
        <v>695</v>
      </c>
      <c r="G3795" s="6" t="s">
        <v>23865</v>
      </c>
      <c r="H3795" s="7" t="s">
        <v>31</v>
      </c>
      <c r="I3795" s="7">
        <v>2.0</v>
      </c>
      <c r="J3795" s="7">
        <v>1.0</v>
      </c>
      <c r="K3795" s="7">
        <v>1.0</v>
      </c>
      <c r="L3795" s="8" t="s">
        <v>23866</v>
      </c>
      <c r="M3795" s="6" t="s">
        <v>23867</v>
      </c>
      <c r="N3795" s="6" t="s">
        <v>23646</v>
      </c>
      <c r="O3795" s="8" t="s">
        <v>23647</v>
      </c>
      <c r="P3795" s="6" t="s">
        <v>23648</v>
      </c>
      <c r="Q3795" s="6" t="s">
        <v>31</v>
      </c>
      <c r="R3795" s="6" t="s">
        <v>31</v>
      </c>
      <c r="S3795" s="8" t="s">
        <v>23649</v>
      </c>
      <c r="T3795" s="6" t="s">
        <v>796</v>
      </c>
      <c r="U3795" s="8" t="s">
        <v>31</v>
      </c>
      <c r="V3795" s="6" t="s">
        <v>23868</v>
      </c>
      <c r="W3795" s="6" t="s">
        <v>23642</v>
      </c>
      <c r="X3795" s="9" t="str">
        <f>HYPERLINK("https://my.pitchbook.com?p=151825-33P","View People Online")</f>
        <v>View People Online</v>
      </c>
    </row>
    <row r="3796">
      <c r="A3796" s="2" t="s">
        <v>23869</v>
      </c>
      <c r="B3796" s="2" t="s">
        <v>23870</v>
      </c>
      <c r="C3796" s="2" t="s">
        <v>18645</v>
      </c>
      <c r="D3796" s="2" t="s">
        <v>23871</v>
      </c>
      <c r="E3796" s="2" t="s">
        <v>23642</v>
      </c>
      <c r="F3796" s="2" t="s">
        <v>695</v>
      </c>
      <c r="G3796" s="2" t="s">
        <v>23872</v>
      </c>
      <c r="H3796" s="3" t="s">
        <v>31</v>
      </c>
      <c r="I3796" s="3">
        <v>1.0</v>
      </c>
      <c r="J3796" s="3">
        <v>1.0</v>
      </c>
      <c r="K3796" s="3" t="s">
        <v>31</v>
      </c>
      <c r="L3796" s="4" t="s">
        <v>23873</v>
      </c>
      <c r="M3796" s="2" t="s">
        <v>23874</v>
      </c>
      <c r="N3796" s="2" t="s">
        <v>23646</v>
      </c>
      <c r="O3796" s="4" t="s">
        <v>23647</v>
      </c>
      <c r="P3796" s="2" t="s">
        <v>23648</v>
      </c>
      <c r="Q3796" s="2" t="s">
        <v>31</v>
      </c>
      <c r="R3796" s="2" t="s">
        <v>31</v>
      </c>
      <c r="S3796" s="4" t="s">
        <v>23649</v>
      </c>
      <c r="T3796" s="2" t="s">
        <v>796</v>
      </c>
      <c r="U3796" s="4" t="s">
        <v>31</v>
      </c>
      <c r="V3796" s="2" t="s">
        <v>695</v>
      </c>
      <c r="W3796" s="2" t="s">
        <v>23642</v>
      </c>
      <c r="X3796" s="5" t="str">
        <f>HYPERLINK("https://my.pitchbook.com?p=426238-03P","View People Online")</f>
        <v>View People Online</v>
      </c>
    </row>
    <row r="3797">
      <c r="A3797" s="14" t="s">
        <v>23875</v>
      </c>
      <c r="B3797" s="14" t="s">
        <v>23876</v>
      </c>
      <c r="C3797" s="14" t="s">
        <v>19041</v>
      </c>
      <c r="D3797" s="14" t="s">
        <v>23877</v>
      </c>
      <c r="E3797" s="14" t="s">
        <v>23642</v>
      </c>
      <c r="F3797" s="14" t="s">
        <v>270</v>
      </c>
      <c r="G3797" s="14" t="s">
        <v>23878</v>
      </c>
      <c r="H3797" s="15" t="s">
        <v>31</v>
      </c>
      <c r="I3797" s="15">
        <v>1.0</v>
      </c>
      <c r="J3797" s="15">
        <v>1.0</v>
      </c>
      <c r="K3797" s="15" t="s">
        <v>31</v>
      </c>
      <c r="L3797" s="16" t="s">
        <v>23879</v>
      </c>
      <c r="M3797" s="14" t="s">
        <v>23880</v>
      </c>
      <c r="N3797" s="14" t="s">
        <v>23646</v>
      </c>
      <c r="O3797" s="16" t="s">
        <v>23647</v>
      </c>
      <c r="P3797" s="14" t="s">
        <v>23648</v>
      </c>
      <c r="Q3797" s="14" t="s">
        <v>31</v>
      </c>
      <c r="R3797" s="14" t="s">
        <v>31</v>
      </c>
      <c r="S3797" s="16" t="s">
        <v>23649</v>
      </c>
      <c r="T3797" s="14" t="s">
        <v>796</v>
      </c>
      <c r="U3797" s="16" t="s">
        <v>31</v>
      </c>
      <c r="V3797" s="14" t="s">
        <v>23881</v>
      </c>
      <c r="W3797" s="14" t="s">
        <v>23642</v>
      </c>
      <c r="X3797" s="17" t="str">
        <f>HYPERLINK("https://my.pitchbook.com?p=263853-19P","View People Online")</f>
        <v>View People Online</v>
      </c>
    </row>
    <row r="3798">
      <c r="A3798" s="2" t="s">
        <v>23882</v>
      </c>
      <c r="B3798" s="2" t="s">
        <v>23883</v>
      </c>
      <c r="C3798" s="2" t="s">
        <v>1502</v>
      </c>
      <c r="D3798" s="2" t="s">
        <v>23884</v>
      </c>
      <c r="E3798" s="2" t="s">
        <v>23642</v>
      </c>
      <c r="F3798" s="2" t="s">
        <v>1283</v>
      </c>
      <c r="G3798" s="2" t="s">
        <v>23885</v>
      </c>
      <c r="H3798" s="3" t="s">
        <v>31</v>
      </c>
      <c r="I3798" s="3">
        <v>3.0</v>
      </c>
      <c r="J3798" s="3">
        <v>1.0</v>
      </c>
      <c r="K3798" s="3">
        <v>1.0</v>
      </c>
      <c r="L3798" s="4" t="s">
        <v>23886</v>
      </c>
      <c r="M3798" s="2" t="s">
        <v>23887</v>
      </c>
      <c r="N3798" s="2" t="s">
        <v>23646</v>
      </c>
      <c r="O3798" s="4" t="s">
        <v>23647</v>
      </c>
      <c r="P3798" s="2" t="s">
        <v>23648</v>
      </c>
      <c r="Q3798" s="2" t="s">
        <v>31</v>
      </c>
      <c r="R3798" s="2" t="s">
        <v>31</v>
      </c>
      <c r="S3798" s="4" t="s">
        <v>23649</v>
      </c>
      <c r="T3798" s="2" t="s">
        <v>796</v>
      </c>
      <c r="U3798" s="4" t="s">
        <v>31</v>
      </c>
      <c r="V3798" s="2" t="s">
        <v>23888</v>
      </c>
      <c r="W3798" s="2" t="s">
        <v>23642</v>
      </c>
      <c r="X3798" s="5" t="str">
        <f>HYPERLINK("https://my.pitchbook.com?p=286245-37P","View People Online")</f>
        <v>View People Online</v>
      </c>
    </row>
    <row r="3799">
      <c r="A3799" s="6" t="s">
        <v>23889</v>
      </c>
      <c r="B3799" s="6" t="s">
        <v>23890</v>
      </c>
      <c r="C3799" s="6" t="s">
        <v>2288</v>
      </c>
      <c r="D3799" s="6" t="s">
        <v>23891</v>
      </c>
      <c r="E3799" s="6" t="s">
        <v>23642</v>
      </c>
      <c r="F3799" s="6" t="s">
        <v>270</v>
      </c>
      <c r="G3799" s="6" t="s">
        <v>23892</v>
      </c>
      <c r="H3799" s="7" t="s">
        <v>31</v>
      </c>
      <c r="I3799" s="7">
        <v>1.0</v>
      </c>
      <c r="J3799" s="7">
        <v>1.0</v>
      </c>
      <c r="K3799" s="7" t="s">
        <v>31</v>
      </c>
      <c r="L3799" s="8" t="s">
        <v>23768</v>
      </c>
      <c r="M3799" s="6" t="s">
        <v>31</v>
      </c>
      <c r="N3799" s="6" t="s">
        <v>23646</v>
      </c>
      <c r="O3799" s="8" t="s">
        <v>23647</v>
      </c>
      <c r="P3799" s="6" t="s">
        <v>23648</v>
      </c>
      <c r="Q3799" s="6" t="s">
        <v>31</v>
      </c>
      <c r="R3799" s="6" t="s">
        <v>31</v>
      </c>
      <c r="S3799" s="8" t="s">
        <v>23649</v>
      </c>
      <c r="T3799" s="6" t="s">
        <v>796</v>
      </c>
      <c r="U3799" s="8" t="s">
        <v>31</v>
      </c>
      <c r="V3799" s="6" t="s">
        <v>23893</v>
      </c>
      <c r="W3799" s="6" t="s">
        <v>23642</v>
      </c>
      <c r="X3799" s="9" t="str">
        <f>HYPERLINK("https://my.pitchbook.com?p=245873-62P","View People Online")</f>
        <v>View People Online</v>
      </c>
    </row>
    <row r="3800">
      <c r="A3800" s="2" t="s">
        <v>23894</v>
      </c>
      <c r="B3800" s="2" t="s">
        <v>23895</v>
      </c>
      <c r="C3800" s="2" t="s">
        <v>23896</v>
      </c>
      <c r="D3800" s="2" t="s">
        <v>23897</v>
      </c>
      <c r="E3800" s="2" t="s">
        <v>23642</v>
      </c>
      <c r="F3800" s="2" t="s">
        <v>221</v>
      </c>
      <c r="G3800" s="2" t="s">
        <v>23898</v>
      </c>
      <c r="H3800" s="3" t="s">
        <v>31</v>
      </c>
      <c r="I3800" s="3">
        <v>1.0</v>
      </c>
      <c r="J3800" s="3">
        <v>1.0</v>
      </c>
      <c r="K3800" s="3" t="s">
        <v>31</v>
      </c>
      <c r="L3800" s="4" t="s">
        <v>23899</v>
      </c>
      <c r="M3800" s="2" t="s">
        <v>23900</v>
      </c>
      <c r="N3800" s="2" t="s">
        <v>23646</v>
      </c>
      <c r="O3800" s="4" t="s">
        <v>23647</v>
      </c>
      <c r="P3800" s="2" t="s">
        <v>23648</v>
      </c>
      <c r="Q3800" s="2" t="s">
        <v>31</v>
      </c>
      <c r="R3800" s="2" t="s">
        <v>31</v>
      </c>
      <c r="S3800" s="4" t="s">
        <v>23649</v>
      </c>
      <c r="T3800" s="2" t="s">
        <v>796</v>
      </c>
      <c r="U3800" s="4" t="s">
        <v>31</v>
      </c>
      <c r="V3800" s="2" t="s">
        <v>221</v>
      </c>
      <c r="W3800" s="2" t="s">
        <v>23642</v>
      </c>
      <c r="X3800" s="5" t="str">
        <f>HYPERLINK("https://my.pitchbook.com?p=315507-25P","View People Online")</f>
        <v>View People Online</v>
      </c>
    </row>
    <row r="3801">
      <c r="A3801" s="6" t="s">
        <v>23901</v>
      </c>
      <c r="B3801" s="6" t="s">
        <v>23902</v>
      </c>
      <c r="C3801" s="6" t="s">
        <v>23896</v>
      </c>
      <c r="D3801" s="6" t="s">
        <v>23903</v>
      </c>
      <c r="E3801" s="6" t="s">
        <v>23642</v>
      </c>
      <c r="F3801" s="6" t="s">
        <v>1283</v>
      </c>
      <c r="G3801" s="6" t="s">
        <v>23904</v>
      </c>
      <c r="H3801" s="7" t="s">
        <v>31</v>
      </c>
      <c r="I3801" s="7">
        <v>1.0</v>
      </c>
      <c r="J3801" s="7">
        <v>1.0</v>
      </c>
      <c r="K3801" s="7" t="s">
        <v>31</v>
      </c>
      <c r="L3801" s="8" t="s">
        <v>23905</v>
      </c>
      <c r="M3801" s="6" t="s">
        <v>23906</v>
      </c>
      <c r="N3801" s="6" t="s">
        <v>23646</v>
      </c>
      <c r="O3801" s="8" t="s">
        <v>23647</v>
      </c>
      <c r="P3801" s="6" t="s">
        <v>23648</v>
      </c>
      <c r="Q3801" s="6" t="s">
        <v>31</v>
      </c>
      <c r="R3801" s="6" t="s">
        <v>31</v>
      </c>
      <c r="S3801" s="8" t="s">
        <v>23649</v>
      </c>
      <c r="T3801" s="6" t="s">
        <v>796</v>
      </c>
      <c r="U3801" s="8" t="s">
        <v>31</v>
      </c>
      <c r="V3801" s="6" t="s">
        <v>23907</v>
      </c>
      <c r="W3801" s="6" t="s">
        <v>23642</v>
      </c>
      <c r="X3801" s="9" t="str">
        <f>HYPERLINK("https://my.pitchbook.com?p=446378-86P","View People Online")</f>
        <v>View People Online</v>
      </c>
    </row>
    <row r="3802">
      <c r="A3802" s="2" t="s">
        <v>23908</v>
      </c>
      <c r="B3802" s="2" t="s">
        <v>23909</v>
      </c>
      <c r="C3802" s="2" t="s">
        <v>23910</v>
      </c>
      <c r="D3802" s="2" t="s">
        <v>3677</v>
      </c>
      <c r="E3802" s="2" t="s">
        <v>23642</v>
      </c>
      <c r="F3802" s="2" t="s">
        <v>1086</v>
      </c>
      <c r="G3802" s="2" t="s">
        <v>23911</v>
      </c>
      <c r="H3802" s="3" t="s">
        <v>31</v>
      </c>
      <c r="I3802" s="3">
        <v>1.0</v>
      </c>
      <c r="J3802" s="3">
        <v>1.0</v>
      </c>
      <c r="K3802" s="3" t="s">
        <v>31</v>
      </c>
      <c r="L3802" s="4" t="s">
        <v>23912</v>
      </c>
      <c r="M3802" s="2" t="s">
        <v>23913</v>
      </c>
      <c r="N3802" s="2" t="s">
        <v>23646</v>
      </c>
      <c r="O3802" s="4" t="s">
        <v>23647</v>
      </c>
      <c r="P3802" s="2" t="s">
        <v>23648</v>
      </c>
      <c r="Q3802" s="2" t="s">
        <v>31</v>
      </c>
      <c r="R3802" s="2" t="s">
        <v>31</v>
      </c>
      <c r="S3802" s="4" t="s">
        <v>23649</v>
      </c>
      <c r="T3802" s="2" t="s">
        <v>796</v>
      </c>
      <c r="U3802" s="4" t="s">
        <v>31</v>
      </c>
      <c r="V3802" s="2" t="s">
        <v>23914</v>
      </c>
      <c r="W3802" s="2" t="s">
        <v>23642</v>
      </c>
      <c r="X3802" s="5" t="str">
        <f>HYPERLINK("https://my.pitchbook.com?p=263854-27P","View People Online")</f>
        <v>View People Online</v>
      </c>
    </row>
    <row r="3803">
      <c r="A3803" s="6" t="s">
        <v>23915</v>
      </c>
      <c r="B3803" s="6" t="s">
        <v>23916</v>
      </c>
      <c r="C3803" s="6" t="s">
        <v>23917</v>
      </c>
      <c r="D3803" s="6" t="s">
        <v>23918</v>
      </c>
      <c r="E3803" s="6" t="s">
        <v>23642</v>
      </c>
      <c r="F3803" s="6" t="s">
        <v>23758</v>
      </c>
      <c r="G3803" s="6" t="s">
        <v>23919</v>
      </c>
      <c r="H3803" s="7">
        <v>3.0</v>
      </c>
      <c r="I3803" s="7">
        <v>16.0</v>
      </c>
      <c r="J3803" s="7">
        <v>1.0</v>
      </c>
      <c r="K3803" s="7">
        <v>8.0</v>
      </c>
      <c r="L3803" s="8" t="s">
        <v>23920</v>
      </c>
      <c r="M3803" s="6" t="s">
        <v>23921</v>
      </c>
      <c r="N3803" s="6" t="s">
        <v>23646</v>
      </c>
      <c r="O3803" s="8" t="s">
        <v>23647</v>
      </c>
      <c r="P3803" s="6" t="s">
        <v>23648</v>
      </c>
      <c r="Q3803" s="6" t="s">
        <v>31</v>
      </c>
      <c r="R3803" s="6" t="s">
        <v>31</v>
      </c>
      <c r="S3803" s="8" t="s">
        <v>23649</v>
      </c>
      <c r="T3803" s="6" t="s">
        <v>796</v>
      </c>
      <c r="U3803" s="8" t="s">
        <v>31</v>
      </c>
      <c r="V3803" s="6" t="s">
        <v>23922</v>
      </c>
      <c r="W3803" s="6" t="s">
        <v>23642</v>
      </c>
      <c r="X3803" s="9" t="str">
        <f>HYPERLINK("https://my.pitchbook.com?p=189415-36P","View People Online")</f>
        <v>View People Online</v>
      </c>
    </row>
    <row r="3804">
      <c r="A3804" s="2" t="s">
        <v>23923</v>
      </c>
      <c r="B3804" s="2" t="s">
        <v>23924</v>
      </c>
      <c r="C3804" s="2" t="s">
        <v>126</v>
      </c>
      <c r="D3804" s="2" t="s">
        <v>23925</v>
      </c>
      <c r="E3804" s="2" t="s">
        <v>23642</v>
      </c>
      <c r="F3804" s="2" t="s">
        <v>2379</v>
      </c>
      <c r="G3804" s="2" t="s">
        <v>23926</v>
      </c>
      <c r="H3804" s="3">
        <v>2.0</v>
      </c>
      <c r="I3804" s="3">
        <v>4.0</v>
      </c>
      <c r="J3804" s="3">
        <v>2.0</v>
      </c>
      <c r="K3804" s="3">
        <v>1.0</v>
      </c>
      <c r="L3804" s="4" t="s">
        <v>23927</v>
      </c>
      <c r="M3804" s="2" t="s">
        <v>23928</v>
      </c>
      <c r="N3804" s="2" t="s">
        <v>23929</v>
      </c>
      <c r="O3804" s="4" t="s">
        <v>23930</v>
      </c>
      <c r="P3804" s="2" t="s">
        <v>23931</v>
      </c>
      <c r="Q3804" s="2" t="s">
        <v>23929</v>
      </c>
      <c r="R3804" s="2" t="s">
        <v>31</v>
      </c>
      <c r="S3804" s="4" t="s">
        <v>23932</v>
      </c>
      <c r="T3804" s="2" t="s">
        <v>796</v>
      </c>
      <c r="U3804" s="4" t="s">
        <v>31</v>
      </c>
      <c r="V3804" s="2" t="s">
        <v>23933</v>
      </c>
      <c r="W3804" s="2" t="s">
        <v>23934</v>
      </c>
      <c r="X3804" s="5" t="str">
        <f>HYPERLINK("https://my.pitchbook.com?p=236373-13P","View People Online")</f>
        <v>View People Online</v>
      </c>
    </row>
    <row r="3805">
      <c r="A3805" s="14" t="s">
        <v>23935</v>
      </c>
      <c r="B3805" s="14" t="s">
        <v>23936</v>
      </c>
      <c r="C3805" s="14" t="s">
        <v>4033</v>
      </c>
      <c r="D3805" s="14" t="s">
        <v>23937</v>
      </c>
      <c r="E3805" s="14" t="s">
        <v>23642</v>
      </c>
      <c r="F3805" s="14" t="s">
        <v>695</v>
      </c>
      <c r="G3805" s="14" t="s">
        <v>23938</v>
      </c>
      <c r="H3805" s="15" t="s">
        <v>31</v>
      </c>
      <c r="I3805" s="15">
        <v>1.0</v>
      </c>
      <c r="J3805" s="15">
        <v>1.0</v>
      </c>
      <c r="K3805" s="15" t="s">
        <v>31</v>
      </c>
      <c r="L3805" s="16" t="s">
        <v>23939</v>
      </c>
      <c r="M3805" s="14" t="s">
        <v>23940</v>
      </c>
      <c r="N3805" s="14" t="s">
        <v>23646</v>
      </c>
      <c r="O3805" s="16" t="s">
        <v>23647</v>
      </c>
      <c r="P3805" s="14" t="s">
        <v>23648</v>
      </c>
      <c r="Q3805" s="14" t="s">
        <v>31</v>
      </c>
      <c r="R3805" s="14" t="s">
        <v>31</v>
      </c>
      <c r="S3805" s="16" t="s">
        <v>23649</v>
      </c>
      <c r="T3805" s="14" t="s">
        <v>796</v>
      </c>
      <c r="U3805" s="16" t="s">
        <v>31</v>
      </c>
      <c r="V3805" s="14" t="s">
        <v>695</v>
      </c>
      <c r="W3805" s="14" t="s">
        <v>23642</v>
      </c>
      <c r="X3805" s="17" t="str">
        <f>HYPERLINK("https://my.pitchbook.com?p=426240-91P","View People Online")</f>
        <v>View People Online</v>
      </c>
    </row>
    <row r="3806">
      <c r="A3806" s="2" t="s">
        <v>23941</v>
      </c>
      <c r="B3806" s="2" t="s">
        <v>23942</v>
      </c>
      <c r="C3806" s="2" t="s">
        <v>23943</v>
      </c>
      <c r="D3806" s="2" t="s">
        <v>23944</v>
      </c>
      <c r="E3806" s="2" t="s">
        <v>23642</v>
      </c>
      <c r="F3806" s="2" t="s">
        <v>81</v>
      </c>
      <c r="G3806" s="2" t="s">
        <v>23945</v>
      </c>
      <c r="H3806" s="3">
        <v>1.0</v>
      </c>
      <c r="I3806" s="3">
        <v>28.0</v>
      </c>
      <c r="J3806" s="3" t="s">
        <v>31</v>
      </c>
      <c r="K3806" s="3">
        <v>22.0</v>
      </c>
      <c r="L3806" s="4" t="s">
        <v>23946</v>
      </c>
      <c r="M3806" s="2" t="s">
        <v>23947</v>
      </c>
      <c r="N3806" s="2" t="s">
        <v>23646</v>
      </c>
      <c r="O3806" s="4" t="s">
        <v>23647</v>
      </c>
      <c r="P3806" s="2" t="s">
        <v>23648</v>
      </c>
      <c r="Q3806" s="2" t="s">
        <v>31</v>
      </c>
      <c r="R3806" s="2" t="s">
        <v>31</v>
      </c>
      <c r="S3806" s="4" t="s">
        <v>23649</v>
      </c>
      <c r="T3806" s="2" t="s">
        <v>796</v>
      </c>
      <c r="U3806" s="4" t="s">
        <v>31</v>
      </c>
      <c r="V3806" s="2" t="s">
        <v>23948</v>
      </c>
      <c r="W3806" s="2" t="s">
        <v>23642</v>
      </c>
      <c r="X3806" s="5" t="str">
        <f>HYPERLINK("https://my.pitchbook.com?p=69550-66P","View People Online")</f>
        <v>View People Online</v>
      </c>
    </row>
    <row r="3807">
      <c r="A3807" s="6" t="s">
        <v>23949</v>
      </c>
      <c r="B3807" s="6" t="s">
        <v>23950</v>
      </c>
      <c r="C3807" s="6" t="s">
        <v>12005</v>
      </c>
      <c r="D3807" s="6" t="s">
        <v>23951</v>
      </c>
      <c r="E3807" s="6" t="s">
        <v>23642</v>
      </c>
      <c r="F3807" s="6" t="s">
        <v>802</v>
      </c>
      <c r="G3807" s="6" t="s">
        <v>23952</v>
      </c>
      <c r="H3807" s="7" t="s">
        <v>31</v>
      </c>
      <c r="I3807" s="7">
        <v>3.0</v>
      </c>
      <c r="J3807" s="7">
        <v>1.0</v>
      </c>
      <c r="K3807" s="7">
        <v>1.0</v>
      </c>
      <c r="L3807" s="8" t="s">
        <v>23768</v>
      </c>
      <c r="M3807" s="6" t="s">
        <v>23953</v>
      </c>
      <c r="N3807" s="6" t="s">
        <v>23646</v>
      </c>
      <c r="O3807" s="8" t="s">
        <v>23647</v>
      </c>
      <c r="P3807" s="6" t="s">
        <v>23648</v>
      </c>
      <c r="Q3807" s="6" t="s">
        <v>31</v>
      </c>
      <c r="R3807" s="6" t="s">
        <v>31</v>
      </c>
      <c r="S3807" s="8" t="s">
        <v>23649</v>
      </c>
      <c r="T3807" s="6" t="s">
        <v>796</v>
      </c>
      <c r="U3807" s="8" t="s">
        <v>31</v>
      </c>
      <c r="V3807" s="6" t="s">
        <v>23780</v>
      </c>
      <c r="W3807" s="6" t="s">
        <v>23642</v>
      </c>
      <c r="X3807" s="9" t="str">
        <f>HYPERLINK("https://my.pitchbook.com?p=189414-28P","View People Online")</f>
        <v>View People Online</v>
      </c>
    </row>
    <row r="3808">
      <c r="A3808" s="2" t="s">
        <v>23954</v>
      </c>
      <c r="B3808" s="2" t="s">
        <v>23955</v>
      </c>
      <c r="C3808" s="2" t="s">
        <v>7089</v>
      </c>
      <c r="D3808" s="2" t="s">
        <v>23956</v>
      </c>
      <c r="E3808" s="2" t="s">
        <v>23642</v>
      </c>
      <c r="F3808" s="2" t="s">
        <v>23749</v>
      </c>
      <c r="G3808" s="2" t="s">
        <v>23957</v>
      </c>
      <c r="H3808" s="3" t="s">
        <v>31</v>
      </c>
      <c r="I3808" s="3">
        <v>1.0</v>
      </c>
      <c r="J3808" s="3">
        <v>1.0</v>
      </c>
      <c r="K3808" s="3" t="s">
        <v>31</v>
      </c>
      <c r="L3808" s="4" t="s">
        <v>23768</v>
      </c>
      <c r="M3808" s="2" t="s">
        <v>31</v>
      </c>
      <c r="N3808" s="2" t="s">
        <v>23646</v>
      </c>
      <c r="O3808" s="4" t="s">
        <v>23647</v>
      </c>
      <c r="P3808" s="2" t="s">
        <v>23648</v>
      </c>
      <c r="Q3808" s="2" t="s">
        <v>31</v>
      </c>
      <c r="R3808" s="2" t="s">
        <v>31</v>
      </c>
      <c r="S3808" s="4" t="s">
        <v>23649</v>
      </c>
      <c r="T3808" s="2" t="s">
        <v>796</v>
      </c>
      <c r="U3808" s="4" t="s">
        <v>31</v>
      </c>
      <c r="V3808" s="2" t="s">
        <v>23749</v>
      </c>
      <c r="W3808" s="2" t="s">
        <v>23642</v>
      </c>
      <c r="X3808" s="5" t="str">
        <f>HYPERLINK("https://my.pitchbook.com?p=189416-26P","View People Online")</f>
        <v>View People Online</v>
      </c>
    </row>
    <row r="3809">
      <c r="A3809" s="6" t="s">
        <v>23958</v>
      </c>
      <c r="B3809" s="6" t="s">
        <v>23959</v>
      </c>
      <c r="C3809" s="6" t="s">
        <v>3233</v>
      </c>
      <c r="D3809" s="6" t="s">
        <v>19216</v>
      </c>
      <c r="E3809" s="6" t="s">
        <v>23642</v>
      </c>
      <c r="F3809" s="6" t="s">
        <v>802</v>
      </c>
      <c r="G3809" s="6" t="s">
        <v>23960</v>
      </c>
      <c r="H3809" s="7" t="s">
        <v>31</v>
      </c>
      <c r="I3809" s="7">
        <v>1.0</v>
      </c>
      <c r="J3809" s="7">
        <v>1.0</v>
      </c>
      <c r="K3809" s="7" t="s">
        <v>31</v>
      </c>
      <c r="L3809" s="8" t="s">
        <v>23961</v>
      </c>
      <c r="M3809" s="6" t="s">
        <v>23962</v>
      </c>
      <c r="N3809" s="6" t="s">
        <v>23646</v>
      </c>
      <c r="O3809" s="8" t="s">
        <v>23647</v>
      </c>
      <c r="P3809" s="6" t="s">
        <v>23648</v>
      </c>
      <c r="Q3809" s="6" t="s">
        <v>31</v>
      </c>
      <c r="R3809" s="6" t="s">
        <v>31</v>
      </c>
      <c r="S3809" s="8" t="s">
        <v>23649</v>
      </c>
      <c r="T3809" s="6" t="s">
        <v>796</v>
      </c>
      <c r="U3809" s="8" t="s">
        <v>31</v>
      </c>
      <c r="V3809" s="6" t="s">
        <v>23963</v>
      </c>
      <c r="W3809" s="6" t="s">
        <v>23642</v>
      </c>
      <c r="X3809" s="9" t="str">
        <f>HYPERLINK("https://my.pitchbook.com?p=357404-95P","View People Online")</f>
        <v>View People Online</v>
      </c>
    </row>
    <row r="3810">
      <c r="A3810" s="2" t="s">
        <v>23964</v>
      </c>
      <c r="B3810" s="2" t="s">
        <v>23965</v>
      </c>
      <c r="C3810" s="2" t="s">
        <v>934</v>
      </c>
      <c r="D3810" s="2" t="s">
        <v>23966</v>
      </c>
      <c r="E3810" s="2" t="s">
        <v>23642</v>
      </c>
      <c r="F3810" s="2" t="s">
        <v>1801</v>
      </c>
      <c r="G3810" s="2" t="s">
        <v>23967</v>
      </c>
      <c r="H3810" s="3" t="s">
        <v>31</v>
      </c>
      <c r="I3810" s="3">
        <v>4.0</v>
      </c>
      <c r="J3810" s="3">
        <v>1.0</v>
      </c>
      <c r="K3810" s="3">
        <v>2.0</v>
      </c>
      <c r="L3810" s="4" t="s">
        <v>23968</v>
      </c>
      <c r="M3810" s="2" t="s">
        <v>23969</v>
      </c>
      <c r="N3810" s="2" t="s">
        <v>23646</v>
      </c>
      <c r="O3810" s="4" t="s">
        <v>23647</v>
      </c>
      <c r="P3810" s="2" t="s">
        <v>23648</v>
      </c>
      <c r="Q3810" s="2" t="s">
        <v>31</v>
      </c>
      <c r="R3810" s="2" t="s">
        <v>31</v>
      </c>
      <c r="S3810" s="4" t="s">
        <v>23649</v>
      </c>
      <c r="T3810" s="2" t="s">
        <v>796</v>
      </c>
      <c r="U3810" s="4" t="s">
        <v>31</v>
      </c>
      <c r="V3810" s="2" t="s">
        <v>23970</v>
      </c>
      <c r="W3810" s="2" t="s">
        <v>23642</v>
      </c>
      <c r="X3810" s="5" t="str">
        <f>HYPERLINK("https://my.pitchbook.com?p=232650-55P","View People Online")</f>
        <v>View People Online</v>
      </c>
    </row>
    <row r="3811">
      <c r="A3811" s="6" t="s">
        <v>23971</v>
      </c>
      <c r="B3811" s="6" t="s">
        <v>23972</v>
      </c>
      <c r="C3811" s="6" t="s">
        <v>23973</v>
      </c>
      <c r="D3811" s="6" t="s">
        <v>18201</v>
      </c>
      <c r="E3811" s="6" t="s">
        <v>23642</v>
      </c>
      <c r="F3811" s="6" t="s">
        <v>201</v>
      </c>
      <c r="G3811" s="6" t="s">
        <v>23974</v>
      </c>
      <c r="H3811" s="7" t="s">
        <v>31</v>
      </c>
      <c r="I3811" s="7">
        <v>4.0</v>
      </c>
      <c r="J3811" s="7">
        <v>1.0</v>
      </c>
      <c r="K3811" s="7">
        <v>2.0</v>
      </c>
      <c r="L3811" s="8" t="s">
        <v>23975</v>
      </c>
      <c r="M3811" s="6" t="s">
        <v>23976</v>
      </c>
      <c r="N3811" s="6" t="s">
        <v>23646</v>
      </c>
      <c r="O3811" s="8" t="s">
        <v>23647</v>
      </c>
      <c r="P3811" s="6" t="s">
        <v>23648</v>
      </c>
      <c r="Q3811" s="6" t="s">
        <v>31</v>
      </c>
      <c r="R3811" s="6" t="s">
        <v>31</v>
      </c>
      <c r="S3811" s="8" t="s">
        <v>23649</v>
      </c>
      <c r="T3811" s="6" t="s">
        <v>796</v>
      </c>
      <c r="U3811" s="8" t="s">
        <v>31</v>
      </c>
      <c r="V3811" s="6" t="s">
        <v>23977</v>
      </c>
      <c r="W3811" s="6" t="s">
        <v>23642</v>
      </c>
      <c r="X3811" s="9" t="str">
        <f>HYPERLINK("https://my.pitchbook.com?p=210128-14P","View People Online")</f>
        <v>View People Online</v>
      </c>
    </row>
    <row r="3812">
      <c r="A3812" s="10" t="s">
        <v>23978</v>
      </c>
      <c r="B3812" s="10" t="s">
        <v>23979</v>
      </c>
      <c r="C3812" s="10" t="s">
        <v>20882</v>
      </c>
      <c r="D3812" s="10" t="s">
        <v>23980</v>
      </c>
      <c r="E3812" s="10" t="s">
        <v>23642</v>
      </c>
      <c r="F3812" s="10" t="s">
        <v>695</v>
      </c>
      <c r="G3812" s="10" t="s">
        <v>23981</v>
      </c>
      <c r="H3812" s="11" t="s">
        <v>31</v>
      </c>
      <c r="I3812" s="11">
        <v>1.0</v>
      </c>
      <c r="J3812" s="11">
        <v>1.0</v>
      </c>
      <c r="K3812" s="11" t="s">
        <v>31</v>
      </c>
      <c r="L3812" s="12" t="s">
        <v>23982</v>
      </c>
      <c r="M3812" s="10" t="s">
        <v>23983</v>
      </c>
      <c r="N3812" s="10" t="s">
        <v>23646</v>
      </c>
      <c r="O3812" s="12" t="s">
        <v>23647</v>
      </c>
      <c r="P3812" s="10" t="s">
        <v>23648</v>
      </c>
      <c r="Q3812" s="10" t="s">
        <v>31</v>
      </c>
      <c r="R3812" s="10" t="s">
        <v>31</v>
      </c>
      <c r="S3812" s="12" t="s">
        <v>23649</v>
      </c>
      <c r="T3812" s="10" t="s">
        <v>796</v>
      </c>
      <c r="U3812" s="12" t="s">
        <v>31</v>
      </c>
      <c r="V3812" s="10" t="s">
        <v>695</v>
      </c>
      <c r="W3812" s="10" t="s">
        <v>23642</v>
      </c>
      <c r="X3812" s="13" t="str">
        <f>HYPERLINK("https://my.pitchbook.com?p=426242-35P","View People Online")</f>
        <v>View People Online</v>
      </c>
    </row>
    <row r="3813">
      <c r="A3813" s="14" t="s">
        <v>23984</v>
      </c>
      <c r="B3813" s="14" t="s">
        <v>23985</v>
      </c>
      <c r="C3813" s="14" t="s">
        <v>3875</v>
      </c>
      <c r="D3813" s="14" t="s">
        <v>23986</v>
      </c>
      <c r="E3813" s="14" t="s">
        <v>23642</v>
      </c>
      <c r="F3813" s="14" t="s">
        <v>23987</v>
      </c>
      <c r="G3813" s="14" t="s">
        <v>23988</v>
      </c>
      <c r="H3813" s="15" t="s">
        <v>31</v>
      </c>
      <c r="I3813" s="15">
        <v>1.0</v>
      </c>
      <c r="J3813" s="15">
        <v>1.0</v>
      </c>
      <c r="K3813" s="15" t="s">
        <v>31</v>
      </c>
      <c r="L3813" s="16" t="s">
        <v>23989</v>
      </c>
      <c r="M3813" s="14" t="s">
        <v>23990</v>
      </c>
      <c r="N3813" s="14" t="s">
        <v>23646</v>
      </c>
      <c r="O3813" s="16" t="s">
        <v>23647</v>
      </c>
      <c r="P3813" s="14" t="s">
        <v>23648</v>
      </c>
      <c r="Q3813" s="14" t="s">
        <v>31</v>
      </c>
      <c r="R3813" s="14" t="s">
        <v>31</v>
      </c>
      <c r="S3813" s="16" t="s">
        <v>23649</v>
      </c>
      <c r="T3813" s="14" t="s">
        <v>796</v>
      </c>
      <c r="U3813" s="16" t="s">
        <v>31</v>
      </c>
      <c r="V3813" s="14" t="s">
        <v>23991</v>
      </c>
      <c r="W3813" s="14" t="s">
        <v>23642</v>
      </c>
      <c r="X3813" s="17" t="str">
        <f>HYPERLINK("https://my.pitchbook.com?p=140907-25P","View People Online")</f>
        <v>View People Online</v>
      </c>
    </row>
    <row r="3814">
      <c r="A3814" s="2" t="s">
        <v>23992</v>
      </c>
      <c r="B3814" s="2" t="s">
        <v>23993</v>
      </c>
      <c r="C3814" s="2" t="s">
        <v>23994</v>
      </c>
      <c r="D3814" s="2" t="s">
        <v>23995</v>
      </c>
      <c r="E3814" s="2" t="s">
        <v>23642</v>
      </c>
      <c r="F3814" s="2" t="s">
        <v>802</v>
      </c>
      <c r="G3814" s="2" t="s">
        <v>23996</v>
      </c>
      <c r="H3814" s="3" t="s">
        <v>31</v>
      </c>
      <c r="I3814" s="3">
        <v>4.0</v>
      </c>
      <c r="J3814" s="3">
        <v>1.0</v>
      </c>
      <c r="K3814" s="3">
        <v>2.0</v>
      </c>
      <c r="L3814" s="4" t="s">
        <v>23997</v>
      </c>
      <c r="M3814" s="2" t="s">
        <v>23998</v>
      </c>
      <c r="N3814" s="2" t="s">
        <v>23646</v>
      </c>
      <c r="O3814" s="4" t="s">
        <v>23647</v>
      </c>
      <c r="P3814" s="2" t="s">
        <v>23648</v>
      </c>
      <c r="Q3814" s="2" t="s">
        <v>31</v>
      </c>
      <c r="R3814" s="2" t="s">
        <v>31</v>
      </c>
      <c r="S3814" s="4" t="s">
        <v>23649</v>
      </c>
      <c r="T3814" s="2" t="s">
        <v>796</v>
      </c>
      <c r="U3814" s="4" t="s">
        <v>31</v>
      </c>
      <c r="V3814" s="2" t="s">
        <v>802</v>
      </c>
      <c r="W3814" s="2" t="s">
        <v>23642</v>
      </c>
      <c r="X3814" s="5" t="str">
        <f>HYPERLINK("https://my.pitchbook.com?p=211664-53P","View People Online")</f>
        <v>View People Online</v>
      </c>
    </row>
    <row r="3815">
      <c r="A3815" s="6" t="s">
        <v>23999</v>
      </c>
      <c r="B3815" s="6" t="s">
        <v>24000</v>
      </c>
      <c r="C3815" s="6" t="s">
        <v>966</v>
      </c>
      <c r="D3815" s="6" t="s">
        <v>24001</v>
      </c>
      <c r="E3815" s="6" t="s">
        <v>23642</v>
      </c>
      <c r="F3815" s="6" t="s">
        <v>1801</v>
      </c>
      <c r="G3815" s="6" t="s">
        <v>24002</v>
      </c>
      <c r="H3815" s="7" t="s">
        <v>31</v>
      </c>
      <c r="I3815" s="7">
        <v>1.0</v>
      </c>
      <c r="J3815" s="7">
        <v>1.0</v>
      </c>
      <c r="K3815" s="7" t="s">
        <v>31</v>
      </c>
      <c r="L3815" s="8" t="s">
        <v>24003</v>
      </c>
      <c r="M3815" s="6" t="s">
        <v>24004</v>
      </c>
      <c r="N3815" s="6" t="s">
        <v>23646</v>
      </c>
      <c r="O3815" s="8" t="s">
        <v>23647</v>
      </c>
      <c r="P3815" s="6" t="s">
        <v>23648</v>
      </c>
      <c r="Q3815" s="6" t="s">
        <v>31</v>
      </c>
      <c r="R3815" s="6" t="s">
        <v>31</v>
      </c>
      <c r="S3815" s="8" t="s">
        <v>23649</v>
      </c>
      <c r="T3815" s="6" t="s">
        <v>796</v>
      </c>
      <c r="U3815" s="8" t="s">
        <v>31</v>
      </c>
      <c r="V3815" s="6" t="s">
        <v>24005</v>
      </c>
      <c r="W3815" s="6" t="s">
        <v>23642</v>
      </c>
      <c r="X3815" s="9" t="str">
        <f>HYPERLINK("https://my.pitchbook.com?p=140910-49P","View People Online")</f>
        <v>View People Online</v>
      </c>
    </row>
    <row r="3816">
      <c r="A3816" s="10" t="s">
        <v>24006</v>
      </c>
      <c r="B3816" s="10" t="s">
        <v>24007</v>
      </c>
      <c r="C3816" s="10" t="s">
        <v>24008</v>
      </c>
      <c r="D3816" s="10" t="s">
        <v>24009</v>
      </c>
      <c r="E3816" s="10" t="s">
        <v>23642</v>
      </c>
      <c r="F3816" s="10" t="s">
        <v>2379</v>
      </c>
      <c r="G3816" s="10" t="s">
        <v>24010</v>
      </c>
      <c r="H3816" s="11">
        <v>1.0</v>
      </c>
      <c r="I3816" s="11">
        <v>2.0</v>
      </c>
      <c r="J3816" s="11">
        <v>2.0</v>
      </c>
      <c r="K3816" s="11" t="s">
        <v>31</v>
      </c>
      <c r="L3816" s="12" t="s">
        <v>24011</v>
      </c>
      <c r="M3816" s="10" t="s">
        <v>24012</v>
      </c>
      <c r="N3816" s="10" t="s">
        <v>4756</v>
      </c>
      <c r="O3816" s="12" t="s">
        <v>4757</v>
      </c>
      <c r="P3816" s="10" t="s">
        <v>24013</v>
      </c>
      <c r="Q3816" s="10" t="s">
        <v>31</v>
      </c>
      <c r="R3816" s="10" t="s">
        <v>31</v>
      </c>
      <c r="S3816" s="12" t="s">
        <v>24014</v>
      </c>
      <c r="T3816" s="10" t="s">
        <v>796</v>
      </c>
      <c r="U3816" s="12" t="s">
        <v>24015</v>
      </c>
      <c r="V3816" s="10" t="s">
        <v>29</v>
      </c>
      <c r="W3816" s="10" t="s">
        <v>24016</v>
      </c>
      <c r="X3816" s="13" t="str">
        <f>HYPERLINK("https://my.pitchbook.com?p=162290-08P","View People Online")</f>
        <v>View People Online</v>
      </c>
    </row>
    <row r="3817">
      <c r="A3817" s="14" t="s">
        <v>24017</v>
      </c>
      <c r="B3817" s="14" t="s">
        <v>24018</v>
      </c>
      <c r="C3817" s="14" t="s">
        <v>3370</v>
      </c>
      <c r="D3817" s="14" t="s">
        <v>24019</v>
      </c>
      <c r="E3817" s="14" t="s">
        <v>23642</v>
      </c>
      <c r="F3817" s="14" t="s">
        <v>24020</v>
      </c>
      <c r="G3817" s="14" t="s">
        <v>24021</v>
      </c>
      <c r="H3817" s="15" t="s">
        <v>31</v>
      </c>
      <c r="I3817" s="15">
        <v>7.0</v>
      </c>
      <c r="J3817" s="15">
        <v>1.0</v>
      </c>
      <c r="K3817" s="15">
        <v>5.0</v>
      </c>
      <c r="L3817" s="16" t="s">
        <v>24022</v>
      </c>
      <c r="M3817" s="14" t="s">
        <v>24023</v>
      </c>
      <c r="N3817" s="14" t="s">
        <v>23646</v>
      </c>
      <c r="O3817" s="16" t="s">
        <v>23647</v>
      </c>
      <c r="P3817" s="14" t="s">
        <v>23648</v>
      </c>
      <c r="Q3817" s="14" t="s">
        <v>31</v>
      </c>
      <c r="R3817" s="14" t="s">
        <v>31</v>
      </c>
      <c r="S3817" s="16" t="s">
        <v>23649</v>
      </c>
      <c r="T3817" s="14" t="s">
        <v>796</v>
      </c>
      <c r="U3817" s="16" t="s">
        <v>31</v>
      </c>
      <c r="V3817" s="14" t="s">
        <v>24024</v>
      </c>
      <c r="W3817" s="14" t="s">
        <v>23642</v>
      </c>
      <c r="X3817" s="17" t="str">
        <f>HYPERLINK("https://my.pitchbook.com?p=203659-75P","View People Online")</f>
        <v>View People Online</v>
      </c>
    </row>
    <row r="3818">
      <c r="A3818" s="10" t="s">
        <v>24025</v>
      </c>
      <c r="B3818" s="10" t="s">
        <v>24026</v>
      </c>
      <c r="C3818" s="10" t="s">
        <v>12257</v>
      </c>
      <c r="D3818" s="10" t="s">
        <v>24027</v>
      </c>
      <c r="E3818" s="10" t="s">
        <v>23642</v>
      </c>
      <c r="F3818" s="10" t="s">
        <v>23749</v>
      </c>
      <c r="G3818" s="10" t="s">
        <v>24028</v>
      </c>
      <c r="H3818" s="11" t="s">
        <v>31</v>
      </c>
      <c r="I3818" s="11">
        <v>1.0</v>
      </c>
      <c r="J3818" s="11">
        <v>1.0</v>
      </c>
      <c r="K3818" s="11" t="s">
        <v>31</v>
      </c>
      <c r="L3818" s="12" t="s">
        <v>23768</v>
      </c>
      <c r="M3818" s="10" t="s">
        <v>31</v>
      </c>
      <c r="N3818" s="10" t="s">
        <v>23646</v>
      </c>
      <c r="O3818" s="12" t="s">
        <v>23647</v>
      </c>
      <c r="P3818" s="10" t="s">
        <v>23648</v>
      </c>
      <c r="Q3818" s="10" t="s">
        <v>31</v>
      </c>
      <c r="R3818" s="10" t="s">
        <v>31</v>
      </c>
      <c r="S3818" s="12" t="s">
        <v>23649</v>
      </c>
      <c r="T3818" s="10" t="s">
        <v>796</v>
      </c>
      <c r="U3818" s="12" t="s">
        <v>31</v>
      </c>
      <c r="V3818" s="10" t="s">
        <v>23749</v>
      </c>
      <c r="W3818" s="10" t="s">
        <v>23642</v>
      </c>
      <c r="X3818" s="13" t="str">
        <f>HYPERLINK("https://my.pitchbook.com?p=126284-86P","View People Online")</f>
        <v>View People Online</v>
      </c>
    </row>
    <row r="3819">
      <c r="A3819" s="14" t="s">
        <v>24029</v>
      </c>
      <c r="B3819" s="14" t="s">
        <v>24030</v>
      </c>
      <c r="C3819" s="14" t="s">
        <v>12257</v>
      </c>
      <c r="D3819" s="14" t="s">
        <v>24031</v>
      </c>
      <c r="E3819" s="14" t="s">
        <v>23642</v>
      </c>
      <c r="F3819" s="14" t="s">
        <v>802</v>
      </c>
      <c r="G3819" s="14" t="s">
        <v>24032</v>
      </c>
      <c r="H3819" s="15" t="s">
        <v>31</v>
      </c>
      <c r="I3819" s="15">
        <v>1.0</v>
      </c>
      <c r="J3819" s="15">
        <v>1.0</v>
      </c>
      <c r="K3819" s="15" t="s">
        <v>31</v>
      </c>
      <c r="L3819" s="16" t="s">
        <v>24033</v>
      </c>
      <c r="M3819" s="14" t="s">
        <v>24034</v>
      </c>
      <c r="N3819" s="14" t="s">
        <v>23646</v>
      </c>
      <c r="O3819" s="16" t="s">
        <v>23647</v>
      </c>
      <c r="P3819" s="14" t="s">
        <v>23648</v>
      </c>
      <c r="Q3819" s="14" t="s">
        <v>31</v>
      </c>
      <c r="R3819" s="14" t="s">
        <v>31</v>
      </c>
      <c r="S3819" s="16" t="s">
        <v>23649</v>
      </c>
      <c r="T3819" s="14" t="s">
        <v>796</v>
      </c>
      <c r="U3819" s="16" t="s">
        <v>31</v>
      </c>
      <c r="V3819" s="14" t="s">
        <v>6552</v>
      </c>
      <c r="W3819" s="14" t="s">
        <v>23642</v>
      </c>
      <c r="X3819" s="17" t="str">
        <f>HYPERLINK("https://my.pitchbook.com?p=426243-52P","View People Online")</f>
        <v>View People Online</v>
      </c>
    </row>
    <row r="3820">
      <c r="A3820" s="10" t="s">
        <v>24035</v>
      </c>
      <c r="B3820" s="10" t="s">
        <v>24036</v>
      </c>
      <c r="C3820" s="10" t="s">
        <v>24037</v>
      </c>
      <c r="D3820" s="10" t="s">
        <v>24038</v>
      </c>
      <c r="E3820" s="10" t="s">
        <v>23642</v>
      </c>
      <c r="F3820" s="10" t="s">
        <v>802</v>
      </c>
      <c r="G3820" s="10" t="s">
        <v>24039</v>
      </c>
      <c r="H3820" s="11" t="s">
        <v>31</v>
      </c>
      <c r="I3820" s="11">
        <v>1.0</v>
      </c>
      <c r="J3820" s="11">
        <v>1.0</v>
      </c>
      <c r="K3820" s="11" t="s">
        <v>31</v>
      </c>
      <c r="L3820" s="12" t="s">
        <v>24040</v>
      </c>
      <c r="M3820" s="10" t="s">
        <v>24041</v>
      </c>
      <c r="N3820" s="10" t="s">
        <v>23646</v>
      </c>
      <c r="O3820" s="12" t="s">
        <v>23647</v>
      </c>
      <c r="P3820" s="10" t="s">
        <v>23648</v>
      </c>
      <c r="Q3820" s="10" t="s">
        <v>31</v>
      </c>
      <c r="R3820" s="10" t="s">
        <v>31</v>
      </c>
      <c r="S3820" s="12" t="s">
        <v>23649</v>
      </c>
      <c r="T3820" s="10" t="s">
        <v>796</v>
      </c>
      <c r="U3820" s="12" t="s">
        <v>31</v>
      </c>
      <c r="V3820" s="10" t="s">
        <v>802</v>
      </c>
      <c r="W3820" s="10" t="s">
        <v>23642</v>
      </c>
      <c r="X3820" s="13" t="str">
        <f>HYPERLINK("https://my.pitchbook.com?p=326791-45P","View People Online")</f>
        <v>View People Online</v>
      </c>
    </row>
    <row r="3821">
      <c r="A3821" s="6" t="s">
        <v>24042</v>
      </c>
      <c r="B3821" s="6" t="s">
        <v>24043</v>
      </c>
      <c r="C3821" s="6" t="s">
        <v>21909</v>
      </c>
      <c r="D3821" s="6" t="s">
        <v>23757</v>
      </c>
      <c r="E3821" s="6" t="s">
        <v>23642</v>
      </c>
      <c r="F3821" s="6" t="s">
        <v>6552</v>
      </c>
      <c r="G3821" s="6" t="s">
        <v>24044</v>
      </c>
      <c r="H3821" s="7" t="s">
        <v>31</v>
      </c>
      <c r="I3821" s="7">
        <v>1.0</v>
      </c>
      <c r="J3821" s="7">
        <v>1.0</v>
      </c>
      <c r="K3821" s="7" t="s">
        <v>31</v>
      </c>
      <c r="L3821" s="8" t="s">
        <v>24045</v>
      </c>
      <c r="M3821" s="6" t="s">
        <v>24046</v>
      </c>
      <c r="N3821" s="6" t="s">
        <v>23646</v>
      </c>
      <c r="O3821" s="8" t="s">
        <v>23647</v>
      </c>
      <c r="P3821" s="6" t="s">
        <v>23648</v>
      </c>
      <c r="Q3821" s="6" t="s">
        <v>31</v>
      </c>
      <c r="R3821" s="6" t="s">
        <v>31</v>
      </c>
      <c r="S3821" s="8" t="s">
        <v>23649</v>
      </c>
      <c r="T3821" s="6" t="s">
        <v>796</v>
      </c>
      <c r="U3821" s="8" t="s">
        <v>31</v>
      </c>
      <c r="V3821" s="6" t="s">
        <v>6552</v>
      </c>
      <c r="W3821" s="6" t="s">
        <v>23642</v>
      </c>
      <c r="X3821" s="9" t="str">
        <f>HYPERLINK("https://my.pitchbook.com?p=245871-10P","View People Online")</f>
        <v>View People Online</v>
      </c>
    </row>
    <row r="3822">
      <c r="A3822" s="10" t="s">
        <v>24047</v>
      </c>
      <c r="B3822" s="10" t="s">
        <v>24048</v>
      </c>
      <c r="C3822" s="10" t="s">
        <v>12402</v>
      </c>
      <c r="D3822" s="10" t="s">
        <v>24049</v>
      </c>
      <c r="E3822" s="10" t="s">
        <v>23642</v>
      </c>
      <c r="F3822" s="10" t="s">
        <v>24050</v>
      </c>
      <c r="G3822" s="10" t="s">
        <v>24051</v>
      </c>
      <c r="H3822" s="11" t="s">
        <v>31</v>
      </c>
      <c r="I3822" s="11">
        <v>3.0</v>
      </c>
      <c r="J3822" s="11">
        <v>1.0</v>
      </c>
      <c r="K3822" s="11">
        <v>1.0</v>
      </c>
      <c r="L3822" s="12" t="s">
        <v>23768</v>
      </c>
      <c r="M3822" s="10" t="s">
        <v>24052</v>
      </c>
      <c r="N3822" s="10" t="s">
        <v>23646</v>
      </c>
      <c r="O3822" s="12" t="s">
        <v>23647</v>
      </c>
      <c r="P3822" s="10" t="s">
        <v>23648</v>
      </c>
      <c r="Q3822" s="10" t="s">
        <v>31</v>
      </c>
      <c r="R3822" s="10" t="s">
        <v>31</v>
      </c>
      <c r="S3822" s="12" t="s">
        <v>23649</v>
      </c>
      <c r="T3822" s="10" t="s">
        <v>796</v>
      </c>
      <c r="U3822" s="12" t="s">
        <v>31</v>
      </c>
      <c r="V3822" s="10" t="s">
        <v>24053</v>
      </c>
      <c r="W3822" s="10" t="s">
        <v>23642</v>
      </c>
      <c r="X3822" s="13" t="str">
        <f>HYPERLINK("https://my.pitchbook.com?p=113967-10P","View People Online")</f>
        <v>View People Online</v>
      </c>
    </row>
    <row r="3823">
      <c r="A3823" s="6" t="s">
        <v>24054</v>
      </c>
      <c r="B3823" s="6" t="s">
        <v>24055</v>
      </c>
      <c r="C3823" s="6" t="s">
        <v>24056</v>
      </c>
      <c r="D3823" s="6" t="s">
        <v>16624</v>
      </c>
      <c r="E3823" s="6" t="s">
        <v>23642</v>
      </c>
      <c r="F3823" s="6" t="s">
        <v>695</v>
      </c>
      <c r="G3823" s="6" t="s">
        <v>24057</v>
      </c>
      <c r="H3823" s="7" t="s">
        <v>31</v>
      </c>
      <c r="I3823" s="7">
        <v>1.0</v>
      </c>
      <c r="J3823" s="7">
        <v>1.0</v>
      </c>
      <c r="K3823" s="7" t="s">
        <v>31</v>
      </c>
      <c r="L3823" s="8" t="s">
        <v>23768</v>
      </c>
      <c r="M3823" s="6" t="s">
        <v>24058</v>
      </c>
      <c r="N3823" s="6" t="s">
        <v>23646</v>
      </c>
      <c r="O3823" s="8" t="s">
        <v>23647</v>
      </c>
      <c r="P3823" s="6" t="s">
        <v>23648</v>
      </c>
      <c r="Q3823" s="6" t="s">
        <v>31</v>
      </c>
      <c r="R3823" s="6" t="s">
        <v>31</v>
      </c>
      <c r="S3823" s="8" t="s">
        <v>23649</v>
      </c>
      <c r="T3823" s="6" t="s">
        <v>796</v>
      </c>
      <c r="U3823" s="8" t="s">
        <v>31</v>
      </c>
      <c r="V3823" s="6" t="s">
        <v>695</v>
      </c>
      <c r="W3823" s="6" t="s">
        <v>23642</v>
      </c>
      <c r="X3823" s="9" t="str">
        <f>HYPERLINK("https://my.pitchbook.com?p=315508-24P","View People Online")</f>
        <v>View People Online</v>
      </c>
    </row>
    <row r="3824">
      <c r="A3824" s="10" t="s">
        <v>24059</v>
      </c>
      <c r="B3824" s="10" t="s">
        <v>24060</v>
      </c>
      <c r="C3824" s="10" t="s">
        <v>24056</v>
      </c>
      <c r="D3824" s="10" t="s">
        <v>24061</v>
      </c>
      <c r="E3824" s="10" t="s">
        <v>23642</v>
      </c>
      <c r="F3824" s="10" t="s">
        <v>1801</v>
      </c>
      <c r="G3824" s="10" t="s">
        <v>24062</v>
      </c>
      <c r="H3824" s="11" t="s">
        <v>31</v>
      </c>
      <c r="I3824" s="11">
        <v>1.0</v>
      </c>
      <c r="J3824" s="11">
        <v>1.0</v>
      </c>
      <c r="K3824" s="11" t="s">
        <v>31</v>
      </c>
      <c r="L3824" s="12" t="s">
        <v>24063</v>
      </c>
      <c r="M3824" s="10" t="s">
        <v>24064</v>
      </c>
      <c r="N3824" s="10" t="s">
        <v>23646</v>
      </c>
      <c r="O3824" s="12" t="s">
        <v>23647</v>
      </c>
      <c r="P3824" s="10" t="s">
        <v>23648</v>
      </c>
      <c r="Q3824" s="10" t="s">
        <v>31</v>
      </c>
      <c r="R3824" s="10" t="s">
        <v>31</v>
      </c>
      <c r="S3824" s="12" t="s">
        <v>23649</v>
      </c>
      <c r="T3824" s="10" t="s">
        <v>796</v>
      </c>
      <c r="U3824" s="12" t="s">
        <v>31</v>
      </c>
      <c r="V3824" s="10" t="s">
        <v>802</v>
      </c>
      <c r="W3824" s="10" t="s">
        <v>23642</v>
      </c>
      <c r="X3824" s="13" t="str">
        <f>HYPERLINK("https://my.pitchbook.com?p=253084-60P","View People Online")</f>
        <v>View People Online</v>
      </c>
    </row>
    <row r="3825">
      <c r="A3825" s="6" t="s">
        <v>24065</v>
      </c>
      <c r="B3825" s="6" t="s">
        <v>24066</v>
      </c>
      <c r="C3825" s="6" t="s">
        <v>24067</v>
      </c>
      <c r="D3825" s="6" t="s">
        <v>24068</v>
      </c>
      <c r="E3825" s="6" t="s">
        <v>23642</v>
      </c>
      <c r="F3825" s="6" t="s">
        <v>1801</v>
      </c>
      <c r="G3825" s="6" t="s">
        <v>24069</v>
      </c>
      <c r="H3825" s="7" t="s">
        <v>31</v>
      </c>
      <c r="I3825" s="7">
        <v>1.0</v>
      </c>
      <c r="J3825" s="7">
        <v>1.0</v>
      </c>
      <c r="K3825" s="7" t="s">
        <v>31</v>
      </c>
      <c r="L3825" s="8" t="s">
        <v>24070</v>
      </c>
      <c r="M3825" s="6" t="s">
        <v>24071</v>
      </c>
      <c r="N3825" s="6" t="s">
        <v>23646</v>
      </c>
      <c r="O3825" s="8" t="s">
        <v>23647</v>
      </c>
      <c r="P3825" s="6" t="s">
        <v>23648</v>
      </c>
      <c r="Q3825" s="6" t="s">
        <v>31</v>
      </c>
      <c r="R3825" s="6" t="s">
        <v>31</v>
      </c>
      <c r="S3825" s="8" t="s">
        <v>23649</v>
      </c>
      <c r="T3825" s="6" t="s">
        <v>796</v>
      </c>
      <c r="U3825" s="8" t="s">
        <v>31</v>
      </c>
      <c r="V3825" s="6" t="s">
        <v>23881</v>
      </c>
      <c r="W3825" s="6" t="s">
        <v>23642</v>
      </c>
      <c r="X3825" s="9" t="str">
        <f>HYPERLINK("https://my.pitchbook.com?p=270723-25P","View People Online")</f>
        <v>View People Online</v>
      </c>
    </row>
    <row r="3826">
      <c r="A3826" s="10" t="s">
        <v>24072</v>
      </c>
      <c r="B3826" s="10" t="s">
        <v>24073</v>
      </c>
      <c r="C3826" s="10" t="s">
        <v>1830</v>
      </c>
      <c r="D3826" s="10" t="s">
        <v>24074</v>
      </c>
      <c r="E3826" s="10" t="s">
        <v>23642</v>
      </c>
      <c r="F3826" s="10" t="s">
        <v>583</v>
      </c>
      <c r="G3826" s="10" t="s">
        <v>24075</v>
      </c>
      <c r="H3826" s="11" t="s">
        <v>31</v>
      </c>
      <c r="I3826" s="11">
        <v>2.0</v>
      </c>
      <c r="J3826" s="11">
        <v>2.0</v>
      </c>
      <c r="K3826" s="11" t="s">
        <v>31</v>
      </c>
      <c r="L3826" s="12" t="s">
        <v>24076</v>
      </c>
      <c r="M3826" s="10" t="s">
        <v>24077</v>
      </c>
      <c r="N3826" s="10" t="s">
        <v>429</v>
      </c>
      <c r="O3826" s="12" t="s">
        <v>430</v>
      </c>
      <c r="P3826" s="10" t="s">
        <v>24078</v>
      </c>
      <c r="Q3826" s="10" t="s">
        <v>24079</v>
      </c>
      <c r="R3826" s="10" t="s">
        <v>31</v>
      </c>
      <c r="S3826" s="12" t="s">
        <v>24080</v>
      </c>
      <c r="T3826" s="10" t="s">
        <v>433</v>
      </c>
      <c r="U3826" s="12" t="s">
        <v>31</v>
      </c>
      <c r="V3826" s="10" t="s">
        <v>24081</v>
      </c>
      <c r="W3826" s="10" t="s">
        <v>24082</v>
      </c>
      <c r="X3826" s="13" t="str">
        <f>HYPERLINK("https://my.pitchbook.com?p=326791-90P","View People Online")</f>
        <v>View People Online</v>
      </c>
    </row>
    <row r="3827">
      <c r="A3827" s="6" t="s">
        <v>24083</v>
      </c>
      <c r="B3827" s="6" t="s">
        <v>24084</v>
      </c>
      <c r="C3827" s="6" t="s">
        <v>3728</v>
      </c>
      <c r="D3827" s="6" t="s">
        <v>24085</v>
      </c>
      <c r="E3827" s="6" t="s">
        <v>23642</v>
      </c>
      <c r="F3827" s="6" t="s">
        <v>9653</v>
      </c>
      <c r="G3827" s="6" t="s">
        <v>24086</v>
      </c>
      <c r="H3827" s="7" t="s">
        <v>31</v>
      </c>
      <c r="I3827" s="7">
        <v>1.0</v>
      </c>
      <c r="J3827" s="7">
        <v>1.0</v>
      </c>
      <c r="K3827" s="7" t="s">
        <v>31</v>
      </c>
      <c r="L3827" s="8" t="s">
        <v>23768</v>
      </c>
      <c r="M3827" s="6" t="s">
        <v>31</v>
      </c>
      <c r="N3827" s="6" t="s">
        <v>23646</v>
      </c>
      <c r="O3827" s="8" t="s">
        <v>23647</v>
      </c>
      <c r="P3827" s="6" t="s">
        <v>23648</v>
      </c>
      <c r="Q3827" s="6" t="s">
        <v>31</v>
      </c>
      <c r="R3827" s="6" t="s">
        <v>31</v>
      </c>
      <c r="S3827" s="8" t="s">
        <v>23649</v>
      </c>
      <c r="T3827" s="6" t="s">
        <v>796</v>
      </c>
      <c r="U3827" s="8" t="s">
        <v>31</v>
      </c>
      <c r="V3827" s="6" t="s">
        <v>24087</v>
      </c>
      <c r="W3827" s="6" t="s">
        <v>23642</v>
      </c>
      <c r="X3827" s="9" t="str">
        <f>HYPERLINK("https://my.pitchbook.com?p=100388-35P","View People Online")</f>
        <v>View People Online</v>
      </c>
    </row>
    <row r="3828">
      <c r="A3828" s="10" t="s">
        <v>24088</v>
      </c>
      <c r="B3828" s="10" t="s">
        <v>24089</v>
      </c>
      <c r="C3828" s="10" t="s">
        <v>7262</v>
      </c>
      <c r="D3828" s="10" t="s">
        <v>24090</v>
      </c>
      <c r="E3828" s="10" t="s">
        <v>23642</v>
      </c>
      <c r="F3828" s="10" t="s">
        <v>1086</v>
      </c>
      <c r="G3828" s="10" t="s">
        <v>24091</v>
      </c>
      <c r="H3828" s="11" t="s">
        <v>31</v>
      </c>
      <c r="I3828" s="11">
        <v>1.0</v>
      </c>
      <c r="J3828" s="11">
        <v>1.0</v>
      </c>
      <c r="K3828" s="11" t="s">
        <v>31</v>
      </c>
      <c r="L3828" s="12" t="s">
        <v>24092</v>
      </c>
      <c r="M3828" s="10" t="s">
        <v>24093</v>
      </c>
      <c r="N3828" s="10" t="s">
        <v>23646</v>
      </c>
      <c r="O3828" s="12" t="s">
        <v>23647</v>
      </c>
      <c r="P3828" s="10" t="s">
        <v>23648</v>
      </c>
      <c r="Q3828" s="10" t="s">
        <v>31</v>
      </c>
      <c r="R3828" s="10" t="s">
        <v>31</v>
      </c>
      <c r="S3828" s="12" t="s">
        <v>23649</v>
      </c>
      <c r="T3828" s="10" t="s">
        <v>796</v>
      </c>
      <c r="U3828" s="12" t="s">
        <v>31</v>
      </c>
      <c r="V3828" s="10" t="s">
        <v>23737</v>
      </c>
      <c r="W3828" s="10" t="s">
        <v>23642</v>
      </c>
      <c r="X3828" s="13" t="str">
        <f>HYPERLINK("https://my.pitchbook.com?p=151834-87P","View People Online")</f>
        <v>View People Online</v>
      </c>
    </row>
    <row r="3829">
      <c r="A3829" s="14" t="s">
        <v>24094</v>
      </c>
      <c r="B3829" s="14" t="s">
        <v>24095</v>
      </c>
      <c r="C3829" s="14" t="s">
        <v>24096</v>
      </c>
      <c r="D3829" s="14" t="s">
        <v>24097</v>
      </c>
      <c r="E3829" s="14" t="s">
        <v>23642</v>
      </c>
      <c r="F3829" s="14" t="s">
        <v>2379</v>
      </c>
      <c r="G3829" s="14" t="s">
        <v>24098</v>
      </c>
      <c r="H3829" s="15">
        <v>1.0</v>
      </c>
      <c r="I3829" s="15">
        <v>1.0</v>
      </c>
      <c r="J3829" s="15">
        <v>1.0</v>
      </c>
      <c r="K3829" s="15" t="s">
        <v>31</v>
      </c>
      <c r="L3829" s="16" t="s">
        <v>23768</v>
      </c>
      <c r="M3829" s="14" t="s">
        <v>31</v>
      </c>
      <c r="N3829" s="14" t="s">
        <v>23646</v>
      </c>
      <c r="O3829" s="16" t="s">
        <v>23647</v>
      </c>
      <c r="P3829" s="14" t="s">
        <v>23648</v>
      </c>
      <c r="Q3829" s="14" t="s">
        <v>31</v>
      </c>
      <c r="R3829" s="14" t="s">
        <v>31</v>
      </c>
      <c r="S3829" s="16" t="s">
        <v>23649</v>
      </c>
      <c r="T3829" s="14" t="s">
        <v>796</v>
      </c>
      <c r="U3829" s="16" t="s">
        <v>31</v>
      </c>
      <c r="V3829" s="14" t="s">
        <v>12712</v>
      </c>
      <c r="W3829" s="14" t="s">
        <v>23642</v>
      </c>
      <c r="X3829" s="17" t="str">
        <f>HYPERLINK("https://my.pitchbook.com?p=218345-95P","View People Online")</f>
        <v>View People Online</v>
      </c>
    </row>
    <row r="3830">
      <c r="A3830" s="2" t="s">
        <v>24099</v>
      </c>
      <c r="B3830" s="2" t="s">
        <v>24100</v>
      </c>
      <c r="C3830" s="2" t="s">
        <v>24101</v>
      </c>
      <c r="D3830" s="2" t="s">
        <v>24102</v>
      </c>
      <c r="E3830" s="2" t="s">
        <v>23642</v>
      </c>
      <c r="F3830" s="2" t="s">
        <v>695</v>
      </c>
      <c r="G3830" s="2" t="s">
        <v>24103</v>
      </c>
      <c r="H3830" s="3" t="s">
        <v>31</v>
      </c>
      <c r="I3830" s="3">
        <v>1.0</v>
      </c>
      <c r="J3830" s="3">
        <v>1.0</v>
      </c>
      <c r="K3830" s="3" t="s">
        <v>31</v>
      </c>
      <c r="L3830" s="4" t="s">
        <v>24104</v>
      </c>
      <c r="M3830" s="2" t="s">
        <v>24105</v>
      </c>
      <c r="N3830" s="2" t="s">
        <v>23646</v>
      </c>
      <c r="O3830" s="4" t="s">
        <v>23647</v>
      </c>
      <c r="P3830" s="2" t="s">
        <v>23648</v>
      </c>
      <c r="Q3830" s="2" t="s">
        <v>31</v>
      </c>
      <c r="R3830" s="2" t="s">
        <v>31</v>
      </c>
      <c r="S3830" s="4" t="s">
        <v>23649</v>
      </c>
      <c r="T3830" s="2" t="s">
        <v>796</v>
      </c>
      <c r="U3830" s="4" t="s">
        <v>31</v>
      </c>
      <c r="V3830" s="2" t="s">
        <v>695</v>
      </c>
      <c r="W3830" s="2" t="s">
        <v>23642</v>
      </c>
      <c r="X3830" s="5" t="str">
        <f>HYPERLINK("https://my.pitchbook.com?p=426246-13P","View People Online")</f>
        <v>View People Online</v>
      </c>
    </row>
    <row r="3831">
      <c r="A3831" s="6" t="s">
        <v>24106</v>
      </c>
      <c r="B3831" s="6" t="s">
        <v>24107</v>
      </c>
      <c r="C3831" s="6" t="s">
        <v>7252</v>
      </c>
      <c r="D3831" s="6" t="s">
        <v>6734</v>
      </c>
      <c r="E3831" s="6" t="s">
        <v>24108</v>
      </c>
      <c r="F3831" s="6" t="s">
        <v>114</v>
      </c>
      <c r="G3831" s="6" t="s">
        <v>24109</v>
      </c>
      <c r="H3831" s="7" t="s">
        <v>31</v>
      </c>
      <c r="I3831" s="7">
        <v>3.0</v>
      </c>
      <c r="J3831" s="7">
        <v>2.0</v>
      </c>
      <c r="K3831" s="7" t="s">
        <v>31</v>
      </c>
      <c r="L3831" s="8" t="s">
        <v>24110</v>
      </c>
      <c r="M3831" s="6" t="s">
        <v>24111</v>
      </c>
      <c r="N3831" s="6" t="s">
        <v>24112</v>
      </c>
      <c r="O3831" s="8" t="s">
        <v>24113</v>
      </c>
      <c r="P3831" s="6" t="s">
        <v>24114</v>
      </c>
      <c r="Q3831" s="6" t="s">
        <v>3928</v>
      </c>
      <c r="R3831" s="6" t="s">
        <v>24115</v>
      </c>
      <c r="S3831" s="8" t="s">
        <v>24116</v>
      </c>
      <c r="T3831" s="6" t="s">
        <v>66</v>
      </c>
      <c r="U3831" s="8" t="s">
        <v>31</v>
      </c>
      <c r="V3831" s="6" t="s">
        <v>2540</v>
      </c>
      <c r="W3831" s="6" t="s">
        <v>24117</v>
      </c>
      <c r="X3831" s="9" t="str">
        <f>HYPERLINK("https://my.pitchbook.com?p=117986-23P","View People Online")</f>
        <v>View People Online</v>
      </c>
    </row>
    <row r="3832">
      <c r="A3832" s="2" t="s">
        <v>24118</v>
      </c>
      <c r="B3832" s="2" t="s">
        <v>24119</v>
      </c>
      <c r="C3832" s="2" t="s">
        <v>15042</v>
      </c>
      <c r="D3832" s="2" t="s">
        <v>24120</v>
      </c>
      <c r="E3832" s="2" t="s">
        <v>24108</v>
      </c>
      <c r="F3832" s="2" t="s">
        <v>81</v>
      </c>
      <c r="G3832" s="2" t="s">
        <v>24121</v>
      </c>
      <c r="H3832" s="3" t="s">
        <v>31</v>
      </c>
      <c r="I3832" s="3">
        <v>2.0</v>
      </c>
      <c r="J3832" s="3" t="s">
        <v>31</v>
      </c>
      <c r="K3832" s="3">
        <v>1.0</v>
      </c>
      <c r="L3832" s="4" t="s">
        <v>24122</v>
      </c>
      <c r="M3832" s="2" t="s">
        <v>31</v>
      </c>
      <c r="N3832" s="2" t="s">
        <v>75</v>
      </c>
      <c r="O3832" s="4" t="s">
        <v>76</v>
      </c>
      <c r="P3832" s="2" t="s">
        <v>24123</v>
      </c>
      <c r="Q3832" s="2" t="s">
        <v>24124</v>
      </c>
      <c r="R3832" s="2" t="s">
        <v>75</v>
      </c>
      <c r="S3832" s="4" t="s">
        <v>4581</v>
      </c>
      <c r="T3832" s="2" t="s">
        <v>66</v>
      </c>
      <c r="U3832" s="4" t="s">
        <v>24125</v>
      </c>
      <c r="V3832" s="2" t="s">
        <v>24126</v>
      </c>
      <c r="W3832" s="2" t="s">
        <v>24108</v>
      </c>
      <c r="X3832" s="5" t="str">
        <f>HYPERLINK("https://my.pitchbook.com?p=146919-61P","View People Online")</f>
        <v>View People Online</v>
      </c>
    </row>
    <row r="3833">
      <c r="A3833" s="6" t="s">
        <v>24127</v>
      </c>
      <c r="B3833" s="6" t="s">
        <v>24128</v>
      </c>
      <c r="C3833" s="6" t="s">
        <v>11152</v>
      </c>
      <c r="D3833" s="6" t="s">
        <v>24129</v>
      </c>
      <c r="E3833" s="6" t="s">
        <v>24108</v>
      </c>
      <c r="F3833" s="6" t="s">
        <v>114</v>
      </c>
      <c r="G3833" s="6" t="s">
        <v>24130</v>
      </c>
      <c r="H3833" s="7" t="s">
        <v>31</v>
      </c>
      <c r="I3833" s="7">
        <v>22.0</v>
      </c>
      <c r="J3833" s="7">
        <v>1.0</v>
      </c>
      <c r="K3833" s="7">
        <v>17.0</v>
      </c>
      <c r="L3833" s="8" t="s">
        <v>24122</v>
      </c>
      <c r="M3833" s="6" t="s">
        <v>31</v>
      </c>
      <c r="N3833" s="6" t="s">
        <v>75</v>
      </c>
      <c r="O3833" s="8" t="s">
        <v>76</v>
      </c>
      <c r="P3833" s="6" t="s">
        <v>24123</v>
      </c>
      <c r="Q3833" s="6" t="s">
        <v>24124</v>
      </c>
      <c r="R3833" s="6" t="s">
        <v>75</v>
      </c>
      <c r="S3833" s="8" t="s">
        <v>4581</v>
      </c>
      <c r="T3833" s="6" t="s">
        <v>66</v>
      </c>
      <c r="U3833" s="8" t="s">
        <v>24131</v>
      </c>
      <c r="V3833" s="6" t="s">
        <v>114</v>
      </c>
      <c r="W3833" s="6" t="s">
        <v>24108</v>
      </c>
      <c r="X3833" s="9" t="str">
        <f>HYPERLINK("https://my.pitchbook.com?p=13880-80P","View People Online")</f>
        <v>View People Online</v>
      </c>
    </row>
    <row r="3834">
      <c r="A3834" s="10" t="s">
        <v>24132</v>
      </c>
      <c r="B3834" s="10" t="s">
        <v>24133</v>
      </c>
      <c r="C3834" s="10" t="s">
        <v>24134</v>
      </c>
      <c r="D3834" s="10" t="s">
        <v>24135</v>
      </c>
      <c r="E3834" s="10" t="s">
        <v>24108</v>
      </c>
      <c r="F3834" s="10" t="s">
        <v>221</v>
      </c>
      <c r="G3834" s="10" t="s">
        <v>24136</v>
      </c>
      <c r="H3834" s="11" t="s">
        <v>31</v>
      </c>
      <c r="I3834" s="11">
        <v>1.0</v>
      </c>
      <c r="J3834" s="11">
        <v>1.0</v>
      </c>
      <c r="K3834" s="11" t="s">
        <v>31</v>
      </c>
      <c r="L3834" s="12" t="s">
        <v>24122</v>
      </c>
      <c r="M3834" s="10" t="s">
        <v>24137</v>
      </c>
      <c r="N3834" s="10" t="s">
        <v>75</v>
      </c>
      <c r="O3834" s="12" t="s">
        <v>76</v>
      </c>
      <c r="P3834" s="10" t="s">
        <v>24123</v>
      </c>
      <c r="Q3834" s="10" t="s">
        <v>24124</v>
      </c>
      <c r="R3834" s="10" t="s">
        <v>75</v>
      </c>
      <c r="S3834" s="12" t="s">
        <v>4581</v>
      </c>
      <c r="T3834" s="10" t="s">
        <v>66</v>
      </c>
      <c r="U3834" s="12" t="s">
        <v>24125</v>
      </c>
      <c r="V3834" s="10" t="s">
        <v>221</v>
      </c>
      <c r="W3834" s="10" t="s">
        <v>24108</v>
      </c>
      <c r="X3834" s="13" t="str">
        <f>HYPERLINK("https://my.pitchbook.com?p=271544-50P","View People Online")</f>
        <v>View People Online</v>
      </c>
    </row>
    <row r="3835">
      <c r="A3835" s="14" t="s">
        <v>24138</v>
      </c>
      <c r="B3835" s="14" t="s">
        <v>24139</v>
      </c>
      <c r="C3835" s="14" t="s">
        <v>24140</v>
      </c>
      <c r="D3835" s="14" t="s">
        <v>24141</v>
      </c>
      <c r="E3835" s="14" t="s">
        <v>24108</v>
      </c>
      <c r="F3835" s="14" t="s">
        <v>29</v>
      </c>
      <c r="G3835" s="14" t="s">
        <v>24142</v>
      </c>
      <c r="H3835" s="15">
        <v>3.0</v>
      </c>
      <c r="I3835" s="15">
        <v>9.0</v>
      </c>
      <c r="J3835" s="15">
        <v>1.0</v>
      </c>
      <c r="K3835" s="15">
        <v>4.0</v>
      </c>
      <c r="L3835" s="16" t="s">
        <v>24143</v>
      </c>
      <c r="M3835" s="14" t="s">
        <v>24144</v>
      </c>
      <c r="N3835" s="14" t="s">
        <v>75</v>
      </c>
      <c r="O3835" s="16" t="s">
        <v>76</v>
      </c>
      <c r="P3835" s="14" t="s">
        <v>24123</v>
      </c>
      <c r="Q3835" s="14" t="s">
        <v>24124</v>
      </c>
      <c r="R3835" s="14" t="s">
        <v>75</v>
      </c>
      <c r="S3835" s="16" t="s">
        <v>4581</v>
      </c>
      <c r="T3835" s="14" t="s">
        <v>66</v>
      </c>
      <c r="U3835" s="16" t="s">
        <v>24125</v>
      </c>
      <c r="V3835" s="14" t="s">
        <v>29</v>
      </c>
      <c r="W3835" s="14" t="s">
        <v>24108</v>
      </c>
      <c r="X3835" s="17" t="str">
        <f>HYPERLINK("https://my.pitchbook.com?p=57942-91P","View People Online")</f>
        <v>View People Online</v>
      </c>
    </row>
    <row r="3836">
      <c r="A3836" s="10" t="s">
        <v>24145</v>
      </c>
      <c r="B3836" s="10" t="s">
        <v>24146</v>
      </c>
      <c r="C3836" s="10" t="s">
        <v>24147</v>
      </c>
      <c r="D3836" s="10" t="s">
        <v>24148</v>
      </c>
      <c r="E3836" s="10" t="s">
        <v>24108</v>
      </c>
      <c r="F3836" s="10" t="s">
        <v>1659</v>
      </c>
      <c r="G3836" s="10" t="s">
        <v>24149</v>
      </c>
      <c r="H3836" s="11" t="s">
        <v>31</v>
      </c>
      <c r="I3836" s="11">
        <v>1.0</v>
      </c>
      <c r="J3836" s="11">
        <v>1.0</v>
      </c>
      <c r="K3836" s="11" t="s">
        <v>31</v>
      </c>
      <c r="L3836" s="12" t="s">
        <v>24150</v>
      </c>
      <c r="M3836" s="10" t="s">
        <v>24151</v>
      </c>
      <c r="N3836" s="10" t="s">
        <v>75</v>
      </c>
      <c r="O3836" s="12" t="s">
        <v>76</v>
      </c>
      <c r="P3836" s="10" t="s">
        <v>24123</v>
      </c>
      <c r="Q3836" s="10" t="s">
        <v>24124</v>
      </c>
      <c r="R3836" s="10" t="s">
        <v>75</v>
      </c>
      <c r="S3836" s="12" t="s">
        <v>4581</v>
      </c>
      <c r="T3836" s="10" t="s">
        <v>66</v>
      </c>
      <c r="U3836" s="12" t="s">
        <v>24125</v>
      </c>
      <c r="V3836" s="10" t="s">
        <v>1659</v>
      </c>
      <c r="W3836" s="10" t="s">
        <v>24108</v>
      </c>
      <c r="X3836" s="13" t="str">
        <f>HYPERLINK("https://my.pitchbook.com?p=40139-92P","View People Online")</f>
        <v>View People Online</v>
      </c>
    </row>
    <row r="3837">
      <c r="A3837" s="14" t="s">
        <v>24152</v>
      </c>
      <c r="B3837" s="14" t="s">
        <v>24153</v>
      </c>
      <c r="C3837" s="14" t="s">
        <v>1255</v>
      </c>
      <c r="D3837" s="14" t="s">
        <v>24154</v>
      </c>
      <c r="E3837" s="14" t="s">
        <v>24108</v>
      </c>
      <c r="F3837" s="14" t="s">
        <v>81</v>
      </c>
      <c r="G3837" s="14" t="s">
        <v>24155</v>
      </c>
      <c r="H3837" s="15" t="s">
        <v>31</v>
      </c>
      <c r="I3837" s="15">
        <v>18.0</v>
      </c>
      <c r="J3837" s="15" t="s">
        <v>31</v>
      </c>
      <c r="K3837" s="15">
        <v>17.0</v>
      </c>
      <c r="L3837" s="16" t="s">
        <v>24122</v>
      </c>
      <c r="M3837" s="14" t="s">
        <v>31</v>
      </c>
      <c r="N3837" s="14" t="s">
        <v>75</v>
      </c>
      <c r="O3837" s="16" t="s">
        <v>76</v>
      </c>
      <c r="P3837" s="14" t="s">
        <v>24123</v>
      </c>
      <c r="Q3837" s="14" t="s">
        <v>24124</v>
      </c>
      <c r="R3837" s="14" t="s">
        <v>75</v>
      </c>
      <c r="S3837" s="16" t="s">
        <v>4581</v>
      </c>
      <c r="T3837" s="14" t="s">
        <v>66</v>
      </c>
      <c r="U3837" s="16" t="s">
        <v>24125</v>
      </c>
      <c r="V3837" s="14" t="s">
        <v>24126</v>
      </c>
      <c r="W3837" s="14" t="s">
        <v>24108</v>
      </c>
      <c r="X3837" s="17" t="str">
        <f>HYPERLINK("https://my.pitchbook.com?p=108740-62P","View People Online")</f>
        <v>View People Online</v>
      </c>
    </row>
    <row r="3838">
      <c r="A3838" s="10" t="s">
        <v>24156</v>
      </c>
      <c r="B3838" s="10" t="s">
        <v>24157</v>
      </c>
      <c r="C3838" s="10" t="s">
        <v>323</v>
      </c>
      <c r="D3838" s="10" t="s">
        <v>5364</v>
      </c>
      <c r="E3838" s="10" t="s">
        <v>24108</v>
      </c>
      <c r="F3838" s="10" t="s">
        <v>502</v>
      </c>
      <c r="G3838" s="10" t="s">
        <v>24158</v>
      </c>
      <c r="H3838" s="11" t="s">
        <v>31</v>
      </c>
      <c r="I3838" s="11">
        <v>1.0</v>
      </c>
      <c r="J3838" s="11">
        <v>1.0</v>
      </c>
      <c r="K3838" s="11" t="s">
        <v>31</v>
      </c>
      <c r="L3838" s="12" t="s">
        <v>24122</v>
      </c>
      <c r="M3838" s="10" t="s">
        <v>24159</v>
      </c>
      <c r="N3838" s="10" t="s">
        <v>75</v>
      </c>
      <c r="O3838" s="12" t="s">
        <v>76</v>
      </c>
      <c r="P3838" s="10" t="s">
        <v>24123</v>
      </c>
      <c r="Q3838" s="10" t="s">
        <v>24124</v>
      </c>
      <c r="R3838" s="10" t="s">
        <v>75</v>
      </c>
      <c r="S3838" s="12" t="s">
        <v>4581</v>
      </c>
      <c r="T3838" s="10" t="s">
        <v>66</v>
      </c>
      <c r="U3838" s="12" t="s">
        <v>24125</v>
      </c>
      <c r="V3838" s="10" t="s">
        <v>502</v>
      </c>
      <c r="W3838" s="10" t="s">
        <v>24108</v>
      </c>
      <c r="X3838" s="13" t="str">
        <f>HYPERLINK("https://my.pitchbook.com?p=39369-70P","View People Online")</f>
        <v>View People Online</v>
      </c>
    </row>
    <row r="3839">
      <c r="A3839" s="14" t="s">
        <v>24160</v>
      </c>
      <c r="B3839" s="14" t="s">
        <v>24161</v>
      </c>
      <c r="C3839" s="14" t="s">
        <v>823</v>
      </c>
      <c r="D3839" s="14" t="s">
        <v>5240</v>
      </c>
      <c r="E3839" s="14" t="s">
        <v>24108</v>
      </c>
      <c r="F3839" s="14" t="s">
        <v>548</v>
      </c>
      <c r="G3839" s="14" t="s">
        <v>24162</v>
      </c>
      <c r="H3839" s="15" t="s">
        <v>31</v>
      </c>
      <c r="I3839" s="15">
        <v>1.0</v>
      </c>
      <c r="J3839" s="15">
        <v>1.0</v>
      </c>
      <c r="K3839" s="15" t="s">
        <v>31</v>
      </c>
      <c r="L3839" s="16" t="s">
        <v>24122</v>
      </c>
      <c r="M3839" s="14" t="s">
        <v>31</v>
      </c>
      <c r="N3839" s="14" t="s">
        <v>75</v>
      </c>
      <c r="O3839" s="16" t="s">
        <v>76</v>
      </c>
      <c r="P3839" s="14" t="s">
        <v>24123</v>
      </c>
      <c r="Q3839" s="14" t="s">
        <v>24124</v>
      </c>
      <c r="R3839" s="14" t="s">
        <v>75</v>
      </c>
      <c r="S3839" s="16" t="s">
        <v>4581</v>
      </c>
      <c r="T3839" s="14" t="s">
        <v>66</v>
      </c>
      <c r="U3839" s="16" t="s">
        <v>24125</v>
      </c>
      <c r="V3839" s="14" t="s">
        <v>24163</v>
      </c>
      <c r="W3839" s="14" t="s">
        <v>24108</v>
      </c>
      <c r="X3839" s="17" t="str">
        <f>HYPERLINK("https://my.pitchbook.com?p=44987-68P","View People Online")</f>
        <v>View People Online</v>
      </c>
    </row>
    <row r="3840">
      <c r="A3840" s="2" t="s">
        <v>24164</v>
      </c>
      <c r="B3840" s="2" t="s">
        <v>24165</v>
      </c>
      <c r="C3840" s="2" t="s">
        <v>24166</v>
      </c>
      <c r="D3840" s="2" t="s">
        <v>24167</v>
      </c>
      <c r="E3840" s="2" t="s">
        <v>24108</v>
      </c>
      <c r="F3840" s="2" t="s">
        <v>114</v>
      </c>
      <c r="G3840" s="2" t="s">
        <v>24168</v>
      </c>
      <c r="H3840" s="3">
        <v>4.0</v>
      </c>
      <c r="I3840" s="3">
        <v>31.0</v>
      </c>
      <c r="J3840" s="3">
        <v>2.0</v>
      </c>
      <c r="K3840" s="3">
        <v>19.0</v>
      </c>
      <c r="L3840" s="4" t="s">
        <v>24169</v>
      </c>
      <c r="M3840" s="2" t="s">
        <v>24170</v>
      </c>
      <c r="N3840" s="2" t="s">
        <v>24171</v>
      </c>
      <c r="O3840" s="4" t="s">
        <v>24172</v>
      </c>
      <c r="P3840" s="2" t="s">
        <v>24173</v>
      </c>
      <c r="Q3840" s="2" t="s">
        <v>31</v>
      </c>
      <c r="R3840" s="2" t="s">
        <v>1185</v>
      </c>
      <c r="S3840" s="4" t="s">
        <v>24174</v>
      </c>
      <c r="T3840" s="2" t="s">
        <v>66</v>
      </c>
      <c r="U3840" s="4" t="s">
        <v>31</v>
      </c>
      <c r="V3840" s="2" t="s">
        <v>2379</v>
      </c>
      <c r="W3840" s="2" t="s">
        <v>24175</v>
      </c>
      <c r="X3840" s="5" t="str">
        <f>HYPERLINK("https://my.pitchbook.com?p=16177-60P","View People Online")</f>
        <v>View People Online</v>
      </c>
    </row>
    <row r="3841">
      <c r="A3841" s="14" t="s">
        <v>24176</v>
      </c>
      <c r="B3841" s="14" t="s">
        <v>24177</v>
      </c>
      <c r="C3841" s="14" t="s">
        <v>1343</v>
      </c>
      <c r="D3841" s="14" t="s">
        <v>24178</v>
      </c>
      <c r="E3841" s="14" t="s">
        <v>24108</v>
      </c>
      <c r="F3841" s="14" t="s">
        <v>114</v>
      </c>
      <c r="G3841" s="14" t="s">
        <v>24179</v>
      </c>
      <c r="H3841" s="15" t="s">
        <v>31</v>
      </c>
      <c r="I3841" s="15">
        <v>13.0</v>
      </c>
      <c r="J3841" s="15">
        <v>2.0</v>
      </c>
      <c r="K3841" s="15">
        <v>7.0</v>
      </c>
      <c r="L3841" s="16" t="s">
        <v>31</v>
      </c>
      <c r="M3841" s="14" t="s">
        <v>31</v>
      </c>
      <c r="N3841" s="14" t="s">
        <v>205</v>
      </c>
      <c r="O3841" s="16" t="s">
        <v>206</v>
      </c>
      <c r="P3841" s="14" t="s">
        <v>2002</v>
      </c>
      <c r="Q3841" s="14" t="s">
        <v>2003</v>
      </c>
      <c r="R3841" s="14" t="s">
        <v>209</v>
      </c>
      <c r="S3841" s="16" t="s">
        <v>210</v>
      </c>
      <c r="T3841" s="14" t="s">
        <v>66</v>
      </c>
      <c r="U3841" s="16" t="s">
        <v>31</v>
      </c>
      <c r="V3841" s="14" t="s">
        <v>24180</v>
      </c>
      <c r="W3841" s="14" t="s">
        <v>2005</v>
      </c>
      <c r="X3841" s="17" t="str">
        <f>HYPERLINK("https://my.pitchbook.com?p=18086-23P","View People Online")</f>
        <v>View People Online</v>
      </c>
    </row>
    <row r="3842">
      <c r="A3842" s="10" t="s">
        <v>24181</v>
      </c>
      <c r="B3842" s="10" t="s">
        <v>24182</v>
      </c>
      <c r="C3842" s="10" t="s">
        <v>894</v>
      </c>
      <c r="D3842" s="10" t="s">
        <v>18456</v>
      </c>
      <c r="E3842" s="10" t="s">
        <v>24108</v>
      </c>
      <c r="F3842" s="10" t="s">
        <v>81</v>
      </c>
      <c r="G3842" s="10" t="s">
        <v>24183</v>
      </c>
      <c r="H3842" s="11">
        <v>1.0</v>
      </c>
      <c r="I3842" s="11">
        <v>2.0</v>
      </c>
      <c r="J3842" s="11" t="s">
        <v>31</v>
      </c>
      <c r="K3842" s="11" t="s">
        <v>31</v>
      </c>
      <c r="L3842" s="12" t="s">
        <v>24184</v>
      </c>
      <c r="M3842" s="10" t="s">
        <v>24185</v>
      </c>
      <c r="N3842" s="10" t="s">
        <v>75</v>
      </c>
      <c r="O3842" s="12" t="s">
        <v>76</v>
      </c>
      <c r="P3842" s="10" t="s">
        <v>24123</v>
      </c>
      <c r="Q3842" s="10" t="s">
        <v>24124</v>
      </c>
      <c r="R3842" s="10" t="s">
        <v>75</v>
      </c>
      <c r="S3842" s="12" t="s">
        <v>4581</v>
      </c>
      <c r="T3842" s="10" t="s">
        <v>66</v>
      </c>
      <c r="U3842" s="12" t="s">
        <v>24125</v>
      </c>
      <c r="V3842" s="10" t="s">
        <v>24126</v>
      </c>
      <c r="W3842" s="10" t="s">
        <v>24108</v>
      </c>
      <c r="X3842" s="13" t="str">
        <f>HYPERLINK("https://my.pitchbook.com?p=57025-09P","View People Online")</f>
        <v>View People Online</v>
      </c>
    </row>
    <row r="3843">
      <c r="A3843" s="6" t="s">
        <v>24186</v>
      </c>
      <c r="B3843" s="6" t="s">
        <v>24187</v>
      </c>
      <c r="C3843" s="6" t="s">
        <v>5185</v>
      </c>
      <c r="D3843" s="6" t="s">
        <v>24188</v>
      </c>
      <c r="E3843" s="6" t="s">
        <v>24108</v>
      </c>
      <c r="F3843" s="6" t="s">
        <v>674</v>
      </c>
      <c r="G3843" s="6" t="s">
        <v>24189</v>
      </c>
      <c r="H3843" s="7">
        <v>2.0</v>
      </c>
      <c r="I3843" s="7">
        <v>22.0</v>
      </c>
      <c r="J3843" s="7">
        <v>1.0</v>
      </c>
      <c r="K3843" s="7">
        <v>15.0</v>
      </c>
      <c r="L3843" s="8" t="s">
        <v>24190</v>
      </c>
      <c r="M3843" s="6" t="s">
        <v>24191</v>
      </c>
      <c r="N3843" s="6" t="s">
        <v>15993</v>
      </c>
      <c r="O3843" s="8" t="s">
        <v>15994</v>
      </c>
      <c r="P3843" s="6" t="s">
        <v>24192</v>
      </c>
      <c r="Q3843" s="6" t="s">
        <v>24193</v>
      </c>
      <c r="R3843" s="6" t="s">
        <v>15997</v>
      </c>
      <c r="S3843" s="8" t="s">
        <v>24194</v>
      </c>
      <c r="T3843" s="6" t="s">
        <v>1019</v>
      </c>
      <c r="U3843" s="8" t="s">
        <v>24195</v>
      </c>
      <c r="V3843" s="6" t="s">
        <v>2379</v>
      </c>
      <c r="W3843" s="6" t="s">
        <v>24196</v>
      </c>
      <c r="X3843" s="9" t="str">
        <f>HYPERLINK("https://my.pitchbook.com?p=12912-85P","View People Online")</f>
        <v>View People Online</v>
      </c>
    </row>
    <row r="3844">
      <c r="A3844" s="10" t="s">
        <v>24197</v>
      </c>
      <c r="B3844" s="10" t="s">
        <v>24198</v>
      </c>
      <c r="C3844" s="10" t="s">
        <v>2483</v>
      </c>
      <c r="D3844" s="10" t="s">
        <v>24199</v>
      </c>
      <c r="E3844" s="10" t="s">
        <v>24108</v>
      </c>
      <c r="F3844" s="10" t="s">
        <v>81</v>
      </c>
      <c r="G3844" s="10" t="s">
        <v>24200</v>
      </c>
      <c r="H3844" s="11" t="s">
        <v>31</v>
      </c>
      <c r="I3844" s="11">
        <v>1.0</v>
      </c>
      <c r="J3844" s="11" t="s">
        <v>31</v>
      </c>
      <c r="K3844" s="11" t="s">
        <v>31</v>
      </c>
      <c r="L3844" s="12" t="s">
        <v>24122</v>
      </c>
      <c r="M3844" s="10" t="s">
        <v>24201</v>
      </c>
      <c r="N3844" s="10" t="s">
        <v>75</v>
      </c>
      <c r="O3844" s="12" t="s">
        <v>76</v>
      </c>
      <c r="P3844" s="10" t="s">
        <v>24123</v>
      </c>
      <c r="Q3844" s="10" t="s">
        <v>24124</v>
      </c>
      <c r="R3844" s="10" t="s">
        <v>75</v>
      </c>
      <c r="S3844" s="12" t="s">
        <v>4581</v>
      </c>
      <c r="T3844" s="10" t="s">
        <v>66</v>
      </c>
      <c r="U3844" s="12" t="s">
        <v>24125</v>
      </c>
      <c r="V3844" s="10" t="s">
        <v>24126</v>
      </c>
      <c r="W3844" s="10" t="s">
        <v>24108</v>
      </c>
      <c r="X3844" s="13" t="str">
        <f>HYPERLINK("https://my.pitchbook.com?p=65999-35P","View People Online")</f>
        <v>View People Online</v>
      </c>
    </row>
    <row r="3845">
      <c r="A3845" s="6" t="s">
        <v>24202</v>
      </c>
      <c r="B3845" s="6" t="s">
        <v>24203</v>
      </c>
      <c r="C3845" s="6" t="s">
        <v>24204</v>
      </c>
      <c r="D3845" s="6" t="s">
        <v>24205</v>
      </c>
      <c r="E3845" s="6" t="s">
        <v>24108</v>
      </c>
      <c r="F3845" s="6" t="s">
        <v>81</v>
      </c>
      <c r="G3845" s="6" t="s">
        <v>24206</v>
      </c>
      <c r="H3845" s="7" t="s">
        <v>31</v>
      </c>
      <c r="I3845" s="7">
        <v>1.0</v>
      </c>
      <c r="J3845" s="7" t="s">
        <v>31</v>
      </c>
      <c r="K3845" s="7" t="s">
        <v>31</v>
      </c>
      <c r="L3845" s="8" t="s">
        <v>24122</v>
      </c>
      <c r="M3845" s="6" t="s">
        <v>31</v>
      </c>
      <c r="N3845" s="6" t="s">
        <v>75</v>
      </c>
      <c r="O3845" s="8" t="s">
        <v>76</v>
      </c>
      <c r="P3845" s="6" t="s">
        <v>24123</v>
      </c>
      <c r="Q3845" s="6" t="s">
        <v>24124</v>
      </c>
      <c r="R3845" s="6" t="s">
        <v>75</v>
      </c>
      <c r="S3845" s="8" t="s">
        <v>4581</v>
      </c>
      <c r="T3845" s="6" t="s">
        <v>66</v>
      </c>
      <c r="U3845" s="8" t="s">
        <v>24125</v>
      </c>
      <c r="V3845" s="6" t="s">
        <v>24126</v>
      </c>
      <c r="W3845" s="6" t="s">
        <v>24108</v>
      </c>
      <c r="X3845" s="9" t="str">
        <f>HYPERLINK("https://my.pitchbook.com?p=242995-78P","View People Online")</f>
        <v>View People Online</v>
      </c>
    </row>
    <row r="3846">
      <c r="A3846" s="10" t="s">
        <v>24207</v>
      </c>
      <c r="B3846" s="10" t="s">
        <v>24208</v>
      </c>
      <c r="C3846" s="10" t="s">
        <v>4717</v>
      </c>
      <c r="D3846" s="10" t="s">
        <v>15398</v>
      </c>
      <c r="E3846" s="10" t="s">
        <v>24108</v>
      </c>
      <c r="F3846" s="10" t="s">
        <v>81</v>
      </c>
      <c r="G3846" s="10" t="s">
        <v>24209</v>
      </c>
      <c r="H3846" s="11">
        <v>9.0</v>
      </c>
      <c r="I3846" s="11">
        <v>12.0</v>
      </c>
      <c r="J3846" s="11">
        <v>1.0</v>
      </c>
      <c r="K3846" s="11" t="s">
        <v>31</v>
      </c>
      <c r="L3846" s="12" t="s">
        <v>24210</v>
      </c>
      <c r="M3846" s="10" t="s">
        <v>31</v>
      </c>
      <c r="N3846" s="10" t="s">
        <v>1781</v>
      </c>
      <c r="O3846" s="12" t="s">
        <v>1782</v>
      </c>
      <c r="P3846" s="10" t="s">
        <v>24211</v>
      </c>
      <c r="Q3846" s="10" t="s">
        <v>24212</v>
      </c>
      <c r="R3846" s="10" t="s">
        <v>1785</v>
      </c>
      <c r="S3846" s="12" t="s">
        <v>24213</v>
      </c>
      <c r="T3846" s="10" t="s">
        <v>1019</v>
      </c>
      <c r="U3846" s="12" t="s">
        <v>31</v>
      </c>
      <c r="V3846" s="10" t="s">
        <v>2379</v>
      </c>
      <c r="W3846" s="10" t="s">
        <v>24214</v>
      </c>
      <c r="X3846" s="13" t="str">
        <f>HYPERLINK("https://my.pitchbook.com?p=59059-36P","View People Online")</f>
        <v>View People Online</v>
      </c>
    </row>
    <row r="3847">
      <c r="A3847" s="14" t="s">
        <v>24215</v>
      </c>
      <c r="B3847" s="14" t="s">
        <v>24216</v>
      </c>
      <c r="C3847" s="14" t="s">
        <v>1697</v>
      </c>
      <c r="D3847" s="14" t="s">
        <v>24217</v>
      </c>
      <c r="E3847" s="14" t="s">
        <v>24108</v>
      </c>
      <c r="F3847" s="14" t="s">
        <v>674</v>
      </c>
      <c r="G3847" s="14" t="s">
        <v>24218</v>
      </c>
      <c r="H3847" s="15">
        <v>2.0</v>
      </c>
      <c r="I3847" s="15">
        <v>39.0</v>
      </c>
      <c r="J3847" s="15">
        <v>1.0</v>
      </c>
      <c r="K3847" s="15">
        <v>33.0</v>
      </c>
      <c r="L3847" s="16" t="s">
        <v>24122</v>
      </c>
      <c r="M3847" s="14" t="s">
        <v>24219</v>
      </c>
      <c r="N3847" s="14" t="s">
        <v>75</v>
      </c>
      <c r="O3847" s="16" t="s">
        <v>76</v>
      </c>
      <c r="P3847" s="14" t="s">
        <v>24123</v>
      </c>
      <c r="Q3847" s="14" t="s">
        <v>24124</v>
      </c>
      <c r="R3847" s="14" t="s">
        <v>75</v>
      </c>
      <c r="S3847" s="16" t="s">
        <v>4581</v>
      </c>
      <c r="T3847" s="14" t="s">
        <v>66</v>
      </c>
      <c r="U3847" s="16" t="s">
        <v>24125</v>
      </c>
      <c r="V3847" s="14" t="s">
        <v>1172</v>
      </c>
      <c r="W3847" s="14" t="s">
        <v>24108</v>
      </c>
      <c r="X3847" s="17" t="str">
        <f>HYPERLINK("https://my.pitchbook.com?p=12912-67P","View People Online")</f>
        <v>View People Online</v>
      </c>
    </row>
    <row r="3848">
      <c r="A3848" s="10" t="s">
        <v>24220</v>
      </c>
      <c r="B3848" s="10" t="s">
        <v>24221</v>
      </c>
      <c r="C3848" s="10" t="s">
        <v>24222</v>
      </c>
      <c r="D3848" s="10" t="s">
        <v>24223</v>
      </c>
      <c r="E3848" s="10" t="s">
        <v>24224</v>
      </c>
      <c r="F3848" s="10" t="s">
        <v>57</v>
      </c>
      <c r="G3848" s="10" t="s">
        <v>24225</v>
      </c>
      <c r="H3848" s="11">
        <v>7.0</v>
      </c>
      <c r="I3848" s="11">
        <v>88.0</v>
      </c>
      <c r="J3848" s="11">
        <v>1.0</v>
      </c>
      <c r="K3848" s="11">
        <v>69.0</v>
      </c>
      <c r="L3848" s="12" t="s">
        <v>31</v>
      </c>
      <c r="M3848" s="10" t="s">
        <v>24226</v>
      </c>
      <c r="N3848" s="10" t="s">
        <v>18812</v>
      </c>
      <c r="O3848" s="12" t="s">
        <v>18813</v>
      </c>
      <c r="P3848" s="10" t="s">
        <v>31</v>
      </c>
      <c r="Q3848" s="10" t="s">
        <v>31</v>
      </c>
      <c r="R3848" s="10" t="s">
        <v>18816</v>
      </c>
      <c r="S3848" s="12" t="s">
        <v>24227</v>
      </c>
      <c r="T3848" s="10" t="s">
        <v>66</v>
      </c>
      <c r="U3848" s="12" t="s">
        <v>31</v>
      </c>
      <c r="V3848" s="10" t="s">
        <v>57</v>
      </c>
      <c r="W3848" s="10" t="s">
        <v>24224</v>
      </c>
      <c r="X3848" s="13" t="str">
        <f>HYPERLINK("https://my.pitchbook.com?p=85308-13P","View People Online")</f>
        <v>View People Online</v>
      </c>
    </row>
    <row r="3849">
      <c r="A3849" s="6" t="s">
        <v>24228</v>
      </c>
      <c r="B3849" s="6" t="s">
        <v>24229</v>
      </c>
      <c r="C3849" s="6" t="s">
        <v>3846</v>
      </c>
      <c r="D3849" s="6" t="s">
        <v>24230</v>
      </c>
      <c r="E3849" s="6" t="s">
        <v>24224</v>
      </c>
      <c r="F3849" s="6" t="s">
        <v>57</v>
      </c>
      <c r="G3849" s="6" t="s">
        <v>24231</v>
      </c>
      <c r="H3849" s="7">
        <v>2.0</v>
      </c>
      <c r="I3849" s="7">
        <v>24.0</v>
      </c>
      <c r="J3849" s="7">
        <v>1.0</v>
      </c>
      <c r="K3849" s="7">
        <v>14.0</v>
      </c>
      <c r="L3849" s="8" t="s">
        <v>31</v>
      </c>
      <c r="M3849" s="6" t="s">
        <v>24232</v>
      </c>
      <c r="N3849" s="6" t="s">
        <v>18812</v>
      </c>
      <c r="O3849" s="8" t="s">
        <v>18813</v>
      </c>
      <c r="P3849" s="6" t="s">
        <v>31</v>
      </c>
      <c r="Q3849" s="6" t="s">
        <v>31</v>
      </c>
      <c r="R3849" s="6" t="s">
        <v>18816</v>
      </c>
      <c r="S3849" s="8" t="s">
        <v>24227</v>
      </c>
      <c r="T3849" s="6" t="s">
        <v>66</v>
      </c>
      <c r="U3849" s="8" t="s">
        <v>31</v>
      </c>
      <c r="V3849" s="6" t="s">
        <v>57</v>
      </c>
      <c r="W3849" s="6" t="s">
        <v>24224</v>
      </c>
      <c r="X3849" s="9" t="str">
        <f>HYPERLINK("https://my.pitchbook.com?p=40765-78P","View People Online")</f>
        <v>View People Online</v>
      </c>
    </row>
    <row r="3850">
      <c r="A3850" s="2" t="s">
        <v>24233</v>
      </c>
      <c r="B3850" s="2" t="s">
        <v>24234</v>
      </c>
      <c r="C3850" s="2" t="s">
        <v>4673</v>
      </c>
      <c r="D3850" s="2" t="s">
        <v>9524</v>
      </c>
      <c r="E3850" s="2" t="s">
        <v>24224</v>
      </c>
      <c r="F3850" s="2" t="s">
        <v>29</v>
      </c>
      <c r="G3850" s="2" t="s">
        <v>24235</v>
      </c>
      <c r="H3850" s="3" t="s">
        <v>31</v>
      </c>
      <c r="I3850" s="3">
        <v>2.0</v>
      </c>
      <c r="J3850" s="3">
        <v>1.0</v>
      </c>
      <c r="K3850" s="3" t="s">
        <v>31</v>
      </c>
      <c r="L3850" s="4" t="s">
        <v>31</v>
      </c>
      <c r="M3850" s="2" t="s">
        <v>24236</v>
      </c>
      <c r="N3850" s="2" t="s">
        <v>18812</v>
      </c>
      <c r="O3850" s="4" t="s">
        <v>18813</v>
      </c>
      <c r="P3850" s="2" t="s">
        <v>31</v>
      </c>
      <c r="Q3850" s="2" t="s">
        <v>31</v>
      </c>
      <c r="R3850" s="2" t="s">
        <v>18816</v>
      </c>
      <c r="S3850" s="4" t="s">
        <v>24227</v>
      </c>
      <c r="T3850" s="2" t="s">
        <v>66</v>
      </c>
      <c r="U3850" s="4" t="s">
        <v>31</v>
      </c>
      <c r="V3850" s="2" t="s">
        <v>24237</v>
      </c>
      <c r="W3850" s="2" t="s">
        <v>24224</v>
      </c>
      <c r="X3850" s="5" t="str">
        <f>HYPERLINK("https://my.pitchbook.com?p=72056-17P","View People Online")</f>
        <v>View People Online</v>
      </c>
    </row>
    <row r="3851">
      <c r="A3851" s="14" t="s">
        <v>24238</v>
      </c>
      <c r="B3851" s="14" t="s">
        <v>24239</v>
      </c>
      <c r="C3851" s="14" t="s">
        <v>24240</v>
      </c>
      <c r="D3851" s="14" t="s">
        <v>24241</v>
      </c>
      <c r="E3851" s="14" t="s">
        <v>24242</v>
      </c>
      <c r="F3851" s="14" t="s">
        <v>114</v>
      </c>
      <c r="G3851" s="14" t="s">
        <v>24243</v>
      </c>
      <c r="H3851" s="15" t="s">
        <v>31</v>
      </c>
      <c r="I3851" s="15">
        <v>1.0</v>
      </c>
      <c r="J3851" s="15">
        <v>1.0</v>
      </c>
      <c r="K3851" s="15" t="s">
        <v>31</v>
      </c>
      <c r="L3851" s="16" t="s">
        <v>24244</v>
      </c>
      <c r="M3851" s="14" t="s">
        <v>31</v>
      </c>
      <c r="N3851" s="14" t="s">
        <v>155</v>
      </c>
      <c r="O3851" s="16" t="s">
        <v>156</v>
      </c>
      <c r="P3851" s="14" t="s">
        <v>24245</v>
      </c>
      <c r="Q3851" s="14" t="s">
        <v>24246</v>
      </c>
      <c r="R3851" s="14" t="s">
        <v>64</v>
      </c>
      <c r="S3851" s="16" t="s">
        <v>24247</v>
      </c>
      <c r="T3851" s="14" t="s">
        <v>66</v>
      </c>
      <c r="U3851" s="16" t="s">
        <v>31</v>
      </c>
      <c r="V3851" s="14" t="s">
        <v>114</v>
      </c>
      <c r="W3851" s="14" t="s">
        <v>24242</v>
      </c>
      <c r="X3851" s="17" t="str">
        <f>HYPERLINK("https://my.pitchbook.com?p=426138-76P","View People Online")</f>
        <v>View People Online</v>
      </c>
    </row>
    <row r="3852">
      <c r="A3852" s="10" t="s">
        <v>24248</v>
      </c>
      <c r="B3852" s="10" t="s">
        <v>24249</v>
      </c>
      <c r="C3852" s="10" t="s">
        <v>3625</v>
      </c>
      <c r="D3852" s="10" t="s">
        <v>18964</v>
      </c>
      <c r="E3852" s="10" t="s">
        <v>24242</v>
      </c>
      <c r="F3852" s="10" t="s">
        <v>29</v>
      </c>
      <c r="G3852" s="10" t="s">
        <v>24250</v>
      </c>
      <c r="H3852" s="11" t="s">
        <v>31</v>
      </c>
      <c r="I3852" s="11">
        <v>1.0</v>
      </c>
      <c r="J3852" s="11">
        <v>1.0</v>
      </c>
      <c r="K3852" s="11" t="s">
        <v>31</v>
      </c>
      <c r="L3852" s="12" t="s">
        <v>24244</v>
      </c>
      <c r="M3852" s="10" t="s">
        <v>24251</v>
      </c>
      <c r="N3852" s="10" t="s">
        <v>155</v>
      </c>
      <c r="O3852" s="12" t="s">
        <v>156</v>
      </c>
      <c r="P3852" s="10" t="s">
        <v>24245</v>
      </c>
      <c r="Q3852" s="10" t="s">
        <v>24246</v>
      </c>
      <c r="R3852" s="10" t="s">
        <v>64</v>
      </c>
      <c r="S3852" s="12" t="s">
        <v>24247</v>
      </c>
      <c r="T3852" s="10" t="s">
        <v>66</v>
      </c>
      <c r="U3852" s="12" t="s">
        <v>31</v>
      </c>
      <c r="V3852" s="10" t="s">
        <v>29</v>
      </c>
      <c r="W3852" s="10" t="s">
        <v>24242</v>
      </c>
      <c r="X3852" s="13" t="str">
        <f>HYPERLINK("https://my.pitchbook.com?p=175419-73P","View People Online")</f>
        <v>View People Online</v>
      </c>
    </row>
    <row r="3853">
      <c r="A3853" s="6" t="s">
        <v>24252</v>
      </c>
      <c r="B3853" s="6" t="s">
        <v>24253</v>
      </c>
      <c r="C3853" s="6" t="s">
        <v>24254</v>
      </c>
      <c r="D3853" s="6" t="s">
        <v>24255</v>
      </c>
      <c r="E3853" s="6" t="s">
        <v>24242</v>
      </c>
      <c r="F3853" s="6" t="s">
        <v>114</v>
      </c>
      <c r="G3853" s="6" t="s">
        <v>24256</v>
      </c>
      <c r="H3853" s="7" t="s">
        <v>31</v>
      </c>
      <c r="I3853" s="7">
        <v>7.0</v>
      </c>
      <c r="J3853" s="7">
        <v>2.0</v>
      </c>
      <c r="K3853" s="7">
        <v>4.0</v>
      </c>
      <c r="L3853" s="8" t="s">
        <v>31</v>
      </c>
      <c r="M3853" s="6" t="s">
        <v>31</v>
      </c>
      <c r="N3853" s="6" t="s">
        <v>24257</v>
      </c>
      <c r="O3853" s="8" t="s">
        <v>24258</v>
      </c>
      <c r="P3853" s="6" t="s">
        <v>31</v>
      </c>
      <c r="Q3853" s="6" t="s">
        <v>31</v>
      </c>
      <c r="R3853" s="6" t="s">
        <v>24259</v>
      </c>
      <c r="S3853" s="8" t="s">
        <v>31</v>
      </c>
      <c r="T3853" s="6" t="s">
        <v>66</v>
      </c>
      <c r="U3853" s="8" t="s">
        <v>31</v>
      </c>
      <c r="V3853" s="6" t="s">
        <v>558</v>
      </c>
      <c r="W3853" s="6" t="s">
        <v>24260</v>
      </c>
      <c r="X3853" s="9" t="str">
        <f>HYPERLINK("https://my.pitchbook.com?p=13836-25P","View People Online")</f>
        <v>View People Online</v>
      </c>
    </row>
    <row r="3854">
      <c r="A3854" s="10" t="s">
        <v>24261</v>
      </c>
      <c r="B3854" s="10" t="s">
        <v>24262</v>
      </c>
      <c r="C3854" s="10" t="s">
        <v>823</v>
      </c>
      <c r="D3854" s="10" t="s">
        <v>8016</v>
      </c>
      <c r="E3854" s="10" t="s">
        <v>24242</v>
      </c>
      <c r="F3854" s="10" t="s">
        <v>502</v>
      </c>
      <c r="G3854" s="10" t="s">
        <v>24263</v>
      </c>
      <c r="H3854" s="11" t="s">
        <v>31</v>
      </c>
      <c r="I3854" s="11">
        <v>6.0</v>
      </c>
      <c r="J3854" s="11">
        <v>3.0</v>
      </c>
      <c r="K3854" s="11">
        <v>2.0</v>
      </c>
      <c r="L3854" s="12" t="s">
        <v>24244</v>
      </c>
      <c r="M3854" s="10" t="s">
        <v>24264</v>
      </c>
      <c r="N3854" s="10" t="s">
        <v>155</v>
      </c>
      <c r="O3854" s="12" t="s">
        <v>156</v>
      </c>
      <c r="P3854" s="10" t="s">
        <v>24245</v>
      </c>
      <c r="Q3854" s="10" t="s">
        <v>24246</v>
      </c>
      <c r="R3854" s="10" t="s">
        <v>64</v>
      </c>
      <c r="S3854" s="12" t="s">
        <v>24247</v>
      </c>
      <c r="T3854" s="10" t="s">
        <v>66</v>
      </c>
      <c r="U3854" s="12" t="s">
        <v>31</v>
      </c>
      <c r="V3854" s="10" t="s">
        <v>502</v>
      </c>
      <c r="W3854" s="10" t="s">
        <v>24242</v>
      </c>
      <c r="X3854" s="13" t="str">
        <f>HYPERLINK("https://my.pitchbook.com?p=90300-79P","View People Online")</f>
        <v>View People Online</v>
      </c>
    </row>
    <row r="3855">
      <c r="A3855" s="6" t="s">
        <v>24265</v>
      </c>
      <c r="B3855" s="6" t="s">
        <v>24266</v>
      </c>
      <c r="C3855" s="6" t="s">
        <v>3828</v>
      </c>
      <c r="D3855" s="6" t="s">
        <v>12822</v>
      </c>
      <c r="E3855" s="6" t="s">
        <v>24242</v>
      </c>
      <c r="F3855" s="6" t="s">
        <v>57</v>
      </c>
      <c r="G3855" s="6" t="s">
        <v>24267</v>
      </c>
      <c r="H3855" s="7">
        <v>6.0</v>
      </c>
      <c r="I3855" s="7">
        <v>25.0</v>
      </c>
      <c r="J3855" s="7">
        <v>2.0</v>
      </c>
      <c r="K3855" s="7">
        <v>13.0</v>
      </c>
      <c r="L3855" s="8" t="s">
        <v>24244</v>
      </c>
      <c r="M3855" s="6" t="s">
        <v>24268</v>
      </c>
      <c r="N3855" s="6" t="s">
        <v>155</v>
      </c>
      <c r="O3855" s="8" t="s">
        <v>156</v>
      </c>
      <c r="P3855" s="6" t="s">
        <v>24245</v>
      </c>
      <c r="Q3855" s="6" t="s">
        <v>24246</v>
      </c>
      <c r="R3855" s="6" t="s">
        <v>64</v>
      </c>
      <c r="S3855" s="8" t="s">
        <v>24247</v>
      </c>
      <c r="T3855" s="6" t="s">
        <v>66</v>
      </c>
      <c r="U3855" s="8" t="s">
        <v>31</v>
      </c>
      <c r="V3855" s="6" t="s">
        <v>57</v>
      </c>
      <c r="W3855" s="6" t="s">
        <v>24242</v>
      </c>
      <c r="X3855" s="9" t="str">
        <f>HYPERLINK("https://my.pitchbook.com?p=117156-97P","View People Online")</f>
        <v>View People Online</v>
      </c>
    </row>
    <row r="3856">
      <c r="A3856" s="2" t="s">
        <v>24269</v>
      </c>
      <c r="B3856" s="2" t="s">
        <v>24270</v>
      </c>
      <c r="C3856" s="2" t="s">
        <v>18883</v>
      </c>
      <c r="D3856" s="2" t="s">
        <v>24271</v>
      </c>
      <c r="E3856" s="2" t="s">
        <v>24242</v>
      </c>
      <c r="F3856" s="2" t="s">
        <v>57</v>
      </c>
      <c r="G3856" s="2" t="s">
        <v>24272</v>
      </c>
      <c r="H3856" s="3">
        <v>7.0</v>
      </c>
      <c r="I3856" s="3">
        <v>38.0</v>
      </c>
      <c r="J3856" s="3">
        <v>2.0</v>
      </c>
      <c r="K3856" s="3">
        <v>25.0</v>
      </c>
      <c r="L3856" s="4" t="s">
        <v>31</v>
      </c>
      <c r="M3856" s="2" t="s">
        <v>24273</v>
      </c>
      <c r="N3856" s="2" t="s">
        <v>155</v>
      </c>
      <c r="O3856" s="4" t="s">
        <v>156</v>
      </c>
      <c r="P3856" s="2" t="s">
        <v>24274</v>
      </c>
      <c r="Q3856" s="2" t="s">
        <v>1280</v>
      </c>
      <c r="R3856" s="2" t="s">
        <v>64</v>
      </c>
      <c r="S3856" s="4" t="s">
        <v>24247</v>
      </c>
      <c r="T3856" s="2" t="s">
        <v>66</v>
      </c>
      <c r="U3856" s="4" t="s">
        <v>31</v>
      </c>
      <c r="V3856" s="2" t="s">
        <v>674</v>
      </c>
      <c r="W3856" s="2" t="s">
        <v>24275</v>
      </c>
      <c r="X3856" s="5" t="str">
        <f>HYPERLINK("https://my.pitchbook.com?p=56542-24P","View People Online")</f>
        <v>View People Online</v>
      </c>
    </row>
    <row r="3857">
      <c r="A3857" s="6" t="s">
        <v>24276</v>
      </c>
      <c r="B3857" s="6" t="s">
        <v>24277</v>
      </c>
      <c r="C3857" s="6" t="s">
        <v>24278</v>
      </c>
      <c r="D3857" s="6" t="s">
        <v>24279</v>
      </c>
      <c r="E3857" s="6" t="s">
        <v>24242</v>
      </c>
      <c r="F3857" s="6" t="s">
        <v>318</v>
      </c>
      <c r="G3857" s="6" t="s">
        <v>24280</v>
      </c>
      <c r="H3857" s="7">
        <v>1.0</v>
      </c>
      <c r="I3857" s="7">
        <v>2.0</v>
      </c>
      <c r="J3857" s="7">
        <v>1.0</v>
      </c>
      <c r="K3857" s="7" t="s">
        <v>31</v>
      </c>
      <c r="L3857" s="8" t="s">
        <v>24244</v>
      </c>
      <c r="M3857" s="6" t="s">
        <v>24281</v>
      </c>
      <c r="N3857" s="6" t="s">
        <v>155</v>
      </c>
      <c r="O3857" s="8" t="s">
        <v>156</v>
      </c>
      <c r="P3857" s="6" t="s">
        <v>24245</v>
      </c>
      <c r="Q3857" s="6" t="s">
        <v>24246</v>
      </c>
      <c r="R3857" s="6" t="s">
        <v>64</v>
      </c>
      <c r="S3857" s="8" t="s">
        <v>24247</v>
      </c>
      <c r="T3857" s="6" t="s">
        <v>66</v>
      </c>
      <c r="U3857" s="8" t="s">
        <v>31</v>
      </c>
      <c r="V3857" s="6" t="s">
        <v>318</v>
      </c>
      <c r="W3857" s="6" t="s">
        <v>24242</v>
      </c>
      <c r="X3857" s="9" t="str">
        <f>HYPERLINK("https://my.pitchbook.com?p=280288-36P","View People Online")</f>
        <v>View People Online</v>
      </c>
    </row>
    <row r="3858">
      <c r="A3858" s="10" t="s">
        <v>24282</v>
      </c>
      <c r="B3858" s="10" t="s">
        <v>24283</v>
      </c>
      <c r="C3858" s="10" t="s">
        <v>2412</v>
      </c>
      <c r="D3858" s="10" t="s">
        <v>24284</v>
      </c>
      <c r="E3858" s="10" t="s">
        <v>24242</v>
      </c>
      <c r="F3858" s="10" t="s">
        <v>114</v>
      </c>
      <c r="G3858" s="10" t="s">
        <v>24285</v>
      </c>
      <c r="H3858" s="11" t="s">
        <v>31</v>
      </c>
      <c r="I3858" s="11">
        <v>1.0</v>
      </c>
      <c r="J3858" s="11">
        <v>1.0</v>
      </c>
      <c r="K3858" s="11" t="s">
        <v>31</v>
      </c>
      <c r="L3858" s="12" t="s">
        <v>24244</v>
      </c>
      <c r="M3858" s="10" t="s">
        <v>31</v>
      </c>
      <c r="N3858" s="10" t="s">
        <v>155</v>
      </c>
      <c r="O3858" s="12" t="s">
        <v>156</v>
      </c>
      <c r="P3858" s="10" t="s">
        <v>24245</v>
      </c>
      <c r="Q3858" s="10" t="s">
        <v>24246</v>
      </c>
      <c r="R3858" s="10" t="s">
        <v>64</v>
      </c>
      <c r="S3858" s="12" t="s">
        <v>24247</v>
      </c>
      <c r="T3858" s="10" t="s">
        <v>66</v>
      </c>
      <c r="U3858" s="12" t="s">
        <v>31</v>
      </c>
      <c r="V3858" s="10" t="s">
        <v>114</v>
      </c>
      <c r="W3858" s="10" t="s">
        <v>24242</v>
      </c>
      <c r="X3858" s="13" t="str">
        <f>HYPERLINK("https://my.pitchbook.com?p=426140-02P","View People Online")</f>
        <v>View People Online</v>
      </c>
    </row>
    <row r="3859">
      <c r="A3859" s="14" t="s">
        <v>24286</v>
      </c>
      <c r="B3859" s="14" t="s">
        <v>24287</v>
      </c>
      <c r="C3859" s="14" t="s">
        <v>3307</v>
      </c>
      <c r="D3859" s="14" t="s">
        <v>21874</v>
      </c>
      <c r="E3859" s="14" t="s">
        <v>24242</v>
      </c>
      <c r="F3859" s="14" t="s">
        <v>270</v>
      </c>
      <c r="G3859" s="14" t="s">
        <v>24288</v>
      </c>
      <c r="H3859" s="15" t="s">
        <v>31</v>
      </c>
      <c r="I3859" s="15">
        <v>1.0</v>
      </c>
      <c r="J3859" s="15">
        <v>1.0</v>
      </c>
      <c r="K3859" s="15" t="s">
        <v>31</v>
      </c>
      <c r="L3859" s="16" t="s">
        <v>24244</v>
      </c>
      <c r="M3859" s="14" t="s">
        <v>24289</v>
      </c>
      <c r="N3859" s="14" t="s">
        <v>155</v>
      </c>
      <c r="O3859" s="16" t="s">
        <v>156</v>
      </c>
      <c r="P3859" s="14" t="s">
        <v>24245</v>
      </c>
      <c r="Q3859" s="14" t="s">
        <v>24246</v>
      </c>
      <c r="R3859" s="14" t="s">
        <v>64</v>
      </c>
      <c r="S3859" s="16" t="s">
        <v>24247</v>
      </c>
      <c r="T3859" s="14" t="s">
        <v>66</v>
      </c>
      <c r="U3859" s="16" t="s">
        <v>31</v>
      </c>
      <c r="V3859" s="14" t="s">
        <v>662</v>
      </c>
      <c r="W3859" s="14" t="s">
        <v>24242</v>
      </c>
      <c r="X3859" s="17" t="str">
        <f>HYPERLINK("https://my.pitchbook.com?p=145137-34P","View People Online")</f>
        <v>View People Online</v>
      </c>
    </row>
    <row r="3860">
      <c r="A3860" s="10" t="s">
        <v>24290</v>
      </c>
      <c r="B3860" s="10" t="s">
        <v>24291</v>
      </c>
      <c r="C3860" s="10" t="s">
        <v>24292</v>
      </c>
      <c r="D3860" s="10" t="s">
        <v>24293</v>
      </c>
      <c r="E3860" s="10" t="s">
        <v>24242</v>
      </c>
      <c r="F3860" s="10" t="s">
        <v>114</v>
      </c>
      <c r="G3860" s="10" t="s">
        <v>24294</v>
      </c>
      <c r="H3860" s="11" t="s">
        <v>31</v>
      </c>
      <c r="I3860" s="11">
        <v>10.0</v>
      </c>
      <c r="J3860" s="11">
        <v>3.0</v>
      </c>
      <c r="K3860" s="11">
        <v>4.0</v>
      </c>
      <c r="L3860" s="12" t="s">
        <v>24295</v>
      </c>
      <c r="M3860" s="10" t="s">
        <v>24296</v>
      </c>
      <c r="N3860" s="10" t="s">
        <v>6669</v>
      </c>
      <c r="O3860" s="12" t="s">
        <v>6670</v>
      </c>
      <c r="P3860" s="10" t="s">
        <v>24297</v>
      </c>
      <c r="Q3860" s="10" t="s">
        <v>1784</v>
      </c>
      <c r="R3860" s="10" t="s">
        <v>1185</v>
      </c>
      <c r="S3860" s="12" t="s">
        <v>6672</v>
      </c>
      <c r="T3860" s="10" t="s">
        <v>66</v>
      </c>
      <c r="U3860" s="12" t="s">
        <v>31</v>
      </c>
      <c r="V3860" s="10" t="s">
        <v>24298</v>
      </c>
      <c r="W3860" s="10" t="s">
        <v>24299</v>
      </c>
      <c r="X3860" s="13" t="str">
        <f>HYPERLINK("https://my.pitchbook.com?p=115821-10P","View People Online")</f>
        <v>View People Online</v>
      </c>
    </row>
    <row r="3861">
      <c r="A3861" s="6" t="s">
        <v>24300</v>
      </c>
      <c r="B3861" s="6" t="s">
        <v>24301</v>
      </c>
      <c r="C3861" s="6" t="s">
        <v>9987</v>
      </c>
      <c r="D3861" s="6" t="s">
        <v>24302</v>
      </c>
      <c r="E3861" s="6" t="s">
        <v>24242</v>
      </c>
      <c r="F3861" s="6" t="s">
        <v>114</v>
      </c>
      <c r="G3861" s="6" t="s">
        <v>24303</v>
      </c>
      <c r="H3861" s="7">
        <v>3.0</v>
      </c>
      <c r="I3861" s="7">
        <v>4.0</v>
      </c>
      <c r="J3861" s="7">
        <v>1.0</v>
      </c>
      <c r="K3861" s="7" t="s">
        <v>31</v>
      </c>
      <c r="L3861" s="8" t="s">
        <v>24304</v>
      </c>
      <c r="M3861" s="6" t="s">
        <v>31</v>
      </c>
      <c r="N3861" s="6" t="s">
        <v>24112</v>
      </c>
      <c r="O3861" s="8" t="s">
        <v>24113</v>
      </c>
      <c r="P3861" s="6" t="s">
        <v>24305</v>
      </c>
      <c r="Q3861" s="6" t="s">
        <v>24306</v>
      </c>
      <c r="R3861" s="6" t="s">
        <v>24115</v>
      </c>
      <c r="S3861" s="8" t="s">
        <v>24307</v>
      </c>
      <c r="T3861" s="6" t="s">
        <v>66</v>
      </c>
      <c r="U3861" s="8" t="s">
        <v>31</v>
      </c>
      <c r="V3861" s="6" t="s">
        <v>2379</v>
      </c>
      <c r="W3861" s="6" t="s">
        <v>24308</v>
      </c>
      <c r="X3861" s="9" t="str">
        <f>HYPERLINK("https://my.pitchbook.com?p=63610-84P","View People Online")</f>
        <v>View People Online</v>
      </c>
    </row>
    <row r="3862">
      <c r="A3862" s="10" t="s">
        <v>24309</v>
      </c>
      <c r="B3862" s="10" t="s">
        <v>7053</v>
      </c>
      <c r="C3862" s="10" t="s">
        <v>7054</v>
      </c>
      <c r="D3862" s="10" t="s">
        <v>5302</v>
      </c>
      <c r="E3862" s="10" t="s">
        <v>24310</v>
      </c>
      <c r="F3862" s="10" t="s">
        <v>674</v>
      </c>
      <c r="G3862" s="10" t="s">
        <v>24311</v>
      </c>
      <c r="H3862" s="11" t="s">
        <v>31</v>
      </c>
      <c r="I3862" s="11">
        <v>2.0</v>
      </c>
      <c r="J3862" s="11">
        <v>1.0</v>
      </c>
      <c r="K3862" s="11">
        <v>1.0</v>
      </c>
      <c r="L3862" s="12" t="s">
        <v>24312</v>
      </c>
      <c r="M3862" s="10" t="s">
        <v>24313</v>
      </c>
      <c r="N3862" s="10" t="s">
        <v>75</v>
      </c>
      <c r="O3862" s="12" t="s">
        <v>76</v>
      </c>
      <c r="P3862" s="10" t="s">
        <v>24314</v>
      </c>
      <c r="Q3862" s="10" t="s">
        <v>31</v>
      </c>
      <c r="R3862" s="10" t="s">
        <v>75</v>
      </c>
      <c r="S3862" s="12" t="s">
        <v>1122</v>
      </c>
      <c r="T3862" s="10" t="s">
        <v>66</v>
      </c>
      <c r="U3862" s="12" t="s">
        <v>31</v>
      </c>
      <c r="V3862" s="10" t="s">
        <v>674</v>
      </c>
      <c r="W3862" s="10" t="s">
        <v>24310</v>
      </c>
      <c r="X3862" s="13" t="str">
        <f>HYPERLINK("https://my.pitchbook.com?p=215472-61P","View People Online")</f>
        <v>View People Online</v>
      </c>
    </row>
    <row r="3863">
      <c r="A3863" s="14" t="s">
        <v>24315</v>
      </c>
      <c r="B3863" s="14" t="s">
        <v>24316</v>
      </c>
      <c r="C3863" s="14" t="s">
        <v>24317</v>
      </c>
      <c r="D3863" s="14" t="s">
        <v>24318</v>
      </c>
      <c r="E3863" s="14" t="s">
        <v>24310</v>
      </c>
      <c r="F3863" s="14" t="s">
        <v>318</v>
      </c>
      <c r="G3863" s="14" t="s">
        <v>24319</v>
      </c>
      <c r="H3863" s="15" t="s">
        <v>31</v>
      </c>
      <c r="I3863" s="15">
        <v>1.0</v>
      </c>
      <c r="J3863" s="15">
        <v>1.0</v>
      </c>
      <c r="K3863" s="15" t="s">
        <v>31</v>
      </c>
      <c r="L3863" s="16" t="s">
        <v>24320</v>
      </c>
      <c r="M3863" s="14" t="s">
        <v>31</v>
      </c>
      <c r="N3863" s="14" t="s">
        <v>75</v>
      </c>
      <c r="O3863" s="16" t="s">
        <v>76</v>
      </c>
      <c r="P3863" s="14" t="s">
        <v>24314</v>
      </c>
      <c r="Q3863" s="14" t="s">
        <v>31</v>
      </c>
      <c r="R3863" s="14" t="s">
        <v>75</v>
      </c>
      <c r="S3863" s="16" t="s">
        <v>1122</v>
      </c>
      <c r="T3863" s="14" t="s">
        <v>66</v>
      </c>
      <c r="U3863" s="16" t="s">
        <v>31</v>
      </c>
      <c r="V3863" s="14" t="s">
        <v>318</v>
      </c>
      <c r="W3863" s="14" t="s">
        <v>24310</v>
      </c>
      <c r="X3863" s="17" t="str">
        <f>HYPERLINK("https://my.pitchbook.com?p=141214-78P","View People Online")</f>
        <v>View People Online</v>
      </c>
    </row>
    <row r="3864">
      <c r="A3864" s="2" t="s">
        <v>24321</v>
      </c>
      <c r="B3864" s="2" t="s">
        <v>24322</v>
      </c>
      <c r="C3864" s="2" t="s">
        <v>24323</v>
      </c>
      <c r="D3864" s="2" t="s">
        <v>1645</v>
      </c>
      <c r="E3864" s="2" t="s">
        <v>24310</v>
      </c>
      <c r="F3864" s="2" t="s">
        <v>29</v>
      </c>
      <c r="G3864" s="2" t="s">
        <v>24324</v>
      </c>
      <c r="H3864" s="3" t="s">
        <v>31</v>
      </c>
      <c r="I3864" s="3">
        <v>1.0</v>
      </c>
      <c r="J3864" s="3">
        <v>1.0</v>
      </c>
      <c r="K3864" s="3" t="s">
        <v>31</v>
      </c>
      <c r="L3864" s="4" t="s">
        <v>13178</v>
      </c>
      <c r="M3864" s="2" t="s">
        <v>31</v>
      </c>
      <c r="N3864" s="2" t="s">
        <v>24325</v>
      </c>
      <c r="O3864" s="4" t="s">
        <v>24326</v>
      </c>
      <c r="P3864" s="2" t="s">
        <v>31</v>
      </c>
      <c r="Q3864" s="2" t="s">
        <v>31</v>
      </c>
      <c r="R3864" s="2" t="s">
        <v>24327</v>
      </c>
      <c r="S3864" s="4" t="s">
        <v>31</v>
      </c>
      <c r="T3864" s="2" t="s">
        <v>66</v>
      </c>
      <c r="U3864" s="4" t="s">
        <v>31</v>
      </c>
      <c r="V3864" s="2" t="s">
        <v>29</v>
      </c>
      <c r="W3864" s="2" t="s">
        <v>24310</v>
      </c>
      <c r="X3864" s="5" t="str">
        <f>HYPERLINK("https://my.pitchbook.com?p=196240-69P","View People Online")</f>
        <v>View People Online</v>
      </c>
    </row>
    <row r="3865">
      <c r="A3865" s="6" t="s">
        <v>24328</v>
      </c>
      <c r="B3865" s="6" t="s">
        <v>24329</v>
      </c>
      <c r="C3865" s="6" t="s">
        <v>186</v>
      </c>
      <c r="D3865" s="6" t="s">
        <v>24330</v>
      </c>
      <c r="E3865" s="6" t="s">
        <v>24331</v>
      </c>
      <c r="F3865" s="6" t="s">
        <v>825</v>
      </c>
      <c r="G3865" s="6" t="s">
        <v>24332</v>
      </c>
      <c r="H3865" s="7" t="s">
        <v>31</v>
      </c>
      <c r="I3865" s="7">
        <v>1.0</v>
      </c>
      <c r="J3865" s="7">
        <v>1.0</v>
      </c>
      <c r="K3865" s="7" t="s">
        <v>31</v>
      </c>
      <c r="L3865" s="8" t="s">
        <v>24333</v>
      </c>
      <c r="M3865" s="6" t="s">
        <v>24334</v>
      </c>
      <c r="N3865" s="6" t="s">
        <v>155</v>
      </c>
      <c r="O3865" s="8" t="s">
        <v>156</v>
      </c>
      <c r="P3865" s="6" t="s">
        <v>24335</v>
      </c>
      <c r="Q3865" s="6" t="s">
        <v>24336</v>
      </c>
      <c r="R3865" s="6" t="s">
        <v>64</v>
      </c>
      <c r="S3865" s="8" t="s">
        <v>24337</v>
      </c>
      <c r="T3865" s="6" t="s">
        <v>66</v>
      </c>
      <c r="U3865" s="8" t="s">
        <v>31</v>
      </c>
      <c r="V3865" s="6" t="s">
        <v>24338</v>
      </c>
      <c r="W3865" s="6" t="s">
        <v>24331</v>
      </c>
      <c r="X3865" s="9" t="str">
        <f>HYPERLINK("https://my.pitchbook.com?p=165167-11P","View People Online")</f>
        <v>View People Online</v>
      </c>
    </row>
    <row r="3866">
      <c r="A3866" s="10" t="s">
        <v>24339</v>
      </c>
      <c r="B3866" s="10" t="s">
        <v>24340</v>
      </c>
      <c r="C3866" s="10" t="s">
        <v>8535</v>
      </c>
      <c r="D3866" s="10" t="s">
        <v>24341</v>
      </c>
      <c r="E3866" s="10" t="s">
        <v>24331</v>
      </c>
      <c r="F3866" s="10" t="s">
        <v>1249</v>
      </c>
      <c r="G3866" s="10" t="s">
        <v>24342</v>
      </c>
      <c r="H3866" s="11">
        <v>1.0</v>
      </c>
      <c r="I3866" s="11">
        <v>2.0</v>
      </c>
      <c r="J3866" s="11">
        <v>1.0</v>
      </c>
      <c r="K3866" s="11">
        <v>1.0</v>
      </c>
      <c r="L3866" s="12" t="s">
        <v>24333</v>
      </c>
      <c r="M3866" s="10" t="s">
        <v>24343</v>
      </c>
      <c r="N3866" s="10" t="s">
        <v>155</v>
      </c>
      <c r="O3866" s="12" t="s">
        <v>156</v>
      </c>
      <c r="P3866" s="10" t="s">
        <v>24335</v>
      </c>
      <c r="Q3866" s="10" t="s">
        <v>24336</v>
      </c>
      <c r="R3866" s="10" t="s">
        <v>64</v>
      </c>
      <c r="S3866" s="12" t="s">
        <v>24337</v>
      </c>
      <c r="T3866" s="10" t="s">
        <v>66</v>
      </c>
      <c r="U3866" s="12" t="s">
        <v>31</v>
      </c>
      <c r="V3866" s="10" t="s">
        <v>1384</v>
      </c>
      <c r="W3866" s="10" t="s">
        <v>24331</v>
      </c>
      <c r="X3866" s="13" t="str">
        <f>HYPERLINK("https://my.pitchbook.com?p=62034-49P","View People Online")</f>
        <v>View People Online</v>
      </c>
    </row>
    <row r="3867">
      <c r="A3867" s="14" t="s">
        <v>24344</v>
      </c>
      <c r="B3867" s="14" t="s">
        <v>24345</v>
      </c>
      <c r="C3867" s="14" t="s">
        <v>1437</v>
      </c>
      <c r="D3867" s="14" t="s">
        <v>3908</v>
      </c>
      <c r="E3867" s="14" t="s">
        <v>24331</v>
      </c>
      <c r="F3867" s="14" t="s">
        <v>502</v>
      </c>
      <c r="G3867" s="14" t="s">
        <v>24346</v>
      </c>
      <c r="H3867" s="15" t="s">
        <v>31</v>
      </c>
      <c r="I3867" s="15">
        <v>1.0</v>
      </c>
      <c r="J3867" s="15">
        <v>1.0</v>
      </c>
      <c r="K3867" s="15" t="s">
        <v>31</v>
      </c>
      <c r="L3867" s="16" t="s">
        <v>24333</v>
      </c>
      <c r="M3867" s="14" t="s">
        <v>24347</v>
      </c>
      <c r="N3867" s="14" t="s">
        <v>155</v>
      </c>
      <c r="O3867" s="16" t="s">
        <v>156</v>
      </c>
      <c r="P3867" s="14" t="s">
        <v>24335</v>
      </c>
      <c r="Q3867" s="14" t="s">
        <v>24336</v>
      </c>
      <c r="R3867" s="14" t="s">
        <v>64</v>
      </c>
      <c r="S3867" s="16" t="s">
        <v>24337</v>
      </c>
      <c r="T3867" s="14" t="s">
        <v>66</v>
      </c>
      <c r="U3867" s="16" t="s">
        <v>31</v>
      </c>
      <c r="V3867" s="14" t="s">
        <v>502</v>
      </c>
      <c r="W3867" s="14" t="s">
        <v>24331</v>
      </c>
      <c r="X3867" s="17" t="str">
        <f>HYPERLINK("https://my.pitchbook.com?p=342941-77P","View People Online")</f>
        <v>View People Online</v>
      </c>
    </row>
    <row r="3868">
      <c r="A3868" s="2" t="s">
        <v>24348</v>
      </c>
      <c r="B3868" s="2" t="s">
        <v>24349</v>
      </c>
      <c r="C3868" s="2" t="s">
        <v>350</v>
      </c>
      <c r="D3868" s="2" t="s">
        <v>24350</v>
      </c>
      <c r="E3868" s="2" t="s">
        <v>24331</v>
      </c>
      <c r="F3868" s="2" t="s">
        <v>24351</v>
      </c>
      <c r="G3868" s="2" t="s">
        <v>24352</v>
      </c>
      <c r="H3868" s="3">
        <v>1.0</v>
      </c>
      <c r="I3868" s="3">
        <v>1.0</v>
      </c>
      <c r="J3868" s="3">
        <v>1.0</v>
      </c>
      <c r="K3868" s="3" t="s">
        <v>31</v>
      </c>
      <c r="L3868" s="4" t="s">
        <v>24333</v>
      </c>
      <c r="M3868" s="2" t="s">
        <v>24353</v>
      </c>
      <c r="N3868" s="2" t="s">
        <v>155</v>
      </c>
      <c r="O3868" s="4" t="s">
        <v>156</v>
      </c>
      <c r="P3868" s="2" t="s">
        <v>24335</v>
      </c>
      <c r="Q3868" s="2" t="s">
        <v>24336</v>
      </c>
      <c r="R3868" s="2" t="s">
        <v>64</v>
      </c>
      <c r="S3868" s="4" t="s">
        <v>24337</v>
      </c>
      <c r="T3868" s="2" t="s">
        <v>66</v>
      </c>
      <c r="U3868" s="4" t="s">
        <v>31</v>
      </c>
      <c r="V3868" s="2" t="s">
        <v>24354</v>
      </c>
      <c r="W3868" s="2" t="s">
        <v>24331</v>
      </c>
      <c r="X3868" s="5" t="str">
        <f>HYPERLINK("https://my.pitchbook.com?p=176281-48P","View People Online")</f>
        <v>View People Online</v>
      </c>
    </row>
    <row r="3869">
      <c r="A3869" s="14" t="s">
        <v>24355</v>
      </c>
      <c r="B3869" s="14" t="s">
        <v>24356</v>
      </c>
      <c r="C3869" s="14" t="s">
        <v>350</v>
      </c>
      <c r="D3869" s="14" t="s">
        <v>24357</v>
      </c>
      <c r="E3869" s="14" t="s">
        <v>24331</v>
      </c>
      <c r="F3869" s="14" t="s">
        <v>371</v>
      </c>
      <c r="G3869" s="14" t="s">
        <v>24358</v>
      </c>
      <c r="H3869" s="15" t="s">
        <v>31</v>
      </c>
      <c r="I3869" s="15">
        <v>1.0</v>
      </c>
      <c r="J3869" s="15">
        <v>1.0</v>
      </c>
      <c r="K3869" s="15" t="s">
        <v>31</v>
      </c>
      <c r="L3869" s="16" t="s">
        <v>24333</v>
      </c>
      <c r="M3869" s="14" t="s">
        <v>24359</v>
      </c>
      <c r="N3869" s="14" t="s">
        <v>155</v>
      </c>
      <c r="O3869" s="16" t="s">
        <v>156</v>
      </c>
      <c r="P3869" s="14" t="s">
        <v>24335</v>
      </c>
      <c r="Q3869" s="14" t="s">
        <v>24336</v>
      </c>
      <c r="R3869" s="14" t="s">
        <v>64</v>
      </c>
      <c r="S3869" s="16" t="s">
        <v>24337</v>
      </c>
      <c r="T3869" s="14" t="s">
        <v>66</v>
      </c>
      <c r="U3869" s="16" t="s">
        <v>31</v>
      </c>
      <c r="V3869" s="14" t="s">
        <v>24360</v>
      </c>
      <c r="W3869" s="14" t="s">
        <v>24331</v>
      </c>
      <c r="X3869" s="17" t="str">
        <f>HYPERLINK("https://my.pitchbook.com?p=366883-57P","View People Online")</f>
        <v>View People Online</v>
      </c>
    </row>
    <row r="3870">
      <c r="A3870" s="2" t="s">
        <v>24361</v>
      </c>
      <c r="B3870" s="2" t="s">
        <v>24362</v>
      </c>
      <c r="C3870" s="2" t="s">
        <v>3828</v>
      </c>
      <c r="D3870" s="2" t="s">
        <v>1472</v>
      </c>
      <c r="E3870" s="2" t="s">
        <v>24331</v>
      </c>
      <c r="F3870" s="2" t="s">
        <v>78</v>
      </c>
      <c r="G3870" s="2" t="s">
        <v>24363</v>
      </c>
      <c r="H3870" s="3">
        <v>1.0</v>
      </c>
      <c r="I3870" s="3">
        <v>4.0</v>
      </c>
      <c r="J3870" s="3">
        <v>2.0</v>
      </c>
      <c r="K3870" s="3">
        <v>1.0</v>
      </c>
      <c r="L3870" s="4" t="s">
        <v>24364</v>
      </c>
      <c r="M3870" s="2" t="s">
        <v>24365</v>
      </c>
      <c r="N3870" s="2" t="s">
        <v>155</v>
      </c>
      <c r="O3870" s="4" t="s">
        <v>156</v>
      </c>
      <c r="P3870" s="2" t="s">
        <v>24335</v>
      </c>
      <c r="Q3870" s="2" t="s">
        <v>24336</v>
      </c>
      <c r="R3870" s="2" t="s">
        <v>64</v>
      </c>
      <c r="S3870" s="4" t="s">
        <v>24337</v>
      </c>
      <c r="T3870" s="2" t="s">
        <v>66</v>
      </c>
      <c r="U3870" s="4" t="s">
        <v>31</v>
      </c>
      <c r="V3870" s="2" t="s">
        <v>78</v>
      </c>
      <c r="W3870" s="2" t="s">
        <v>24331</v>
      </c>
      <c r="X3870" s="5" t="str">
        <f>HYPERLINK("https://my.pitchbook.com?p=206709-40P","View People Online")</f>
        <v>View People Online</v>
      </c>
    </row>
    <row r="3871">
      <c r="A3871" s="14" t="s">
        <v>24366</v>
      </c>
      <c r="B3871" s="14" t="s">
        <v>24367</v>
      </c>
      <c r="C3871" s="14" t="s">
        <v>2288</v>
      </c>
      <c r="D3871" s="14" t="s">
        <v>8009</v>
      </c>
      <c r="E3871" s="14" t="s">
        <v>24331</v>
      </c>
      <c r="F3871" s="14" t="s">
        <v>5234</v>
      </c>
      <c r="G3871" s="14" t="s">
        <v>24368</v>
      </c>
      <c r="H3871" s="15" t="s">
        <v>31</v>
      </c>
      <c r="I3871" s="15">
        <v>1.0</v>
      </c>
      <c r="J3871" s="15">
        <v>1.0</v>
      </c>
      <c r="K3871" s="15" t="s">
        <v>31</v>
      </c>
      <c r="L3871" s="16" t="s">
        <v>24333</v>
      </c>
      <c r="M3871" s="14" t="s">
        <v>24369</v>
      </c>
      <c r="N3871" s="14" t="s">
        <v>155</v>
      </c>
      <c r="O3871" s="16" t="s">
        <v>156</v>
      </c>
      <c r="P3871" s="14" t="s">
        <v>24335</v>
      </c>
      <c r="Q3871" s="14" t="s">
        <v>24336</v>
      </c>
      <c r="R3871" s="14" t="s">
        <v>64</v>
      </c>
      <c r="S3871" s="16" t="s">
        <v>24337</v>
      </c>
      <c r="T3871" s="14" t="s">
        <v>66</v>
      </c>
      <c r="U3871" s="16" t="s">
        <v>31</v>
      </c>
      <c r="V3871" s="14" t="s">
        <v>5234</v>
      </c>
      <c r="W3871" s="14" t="s">
        <v>24331</v>
      </c>
      <c r="X3871" s="17" t="str">
        <f>HYPERLINK("https://my.pitchbook.com?p=348213-34P","View People Online")</f>
        <v>View People Online</v>
      </c>
    </row>
    <row r="3872">
      <c r="A3872" s="2" t="s">
        <v>24370</v>
      </c>
      <c r="B3872" s="2" t="s">
        <v>24371</v>
      </c>
      <c r="C3872" s="2" t="s">
        <v>7551</v>
      </c>
      <c r="D3872" s="2" t="s">
        <v>24372</v>
      </c>
      <c r="E3872" s="2" t="s">
        <v>24331</v>
      </c>
      <c r="F3872" s="2" t="s">
        <v>221</v>
      </c>
      <c r="G3872" s="2" t="s">
        <v>24373</v>
      </c>
      <c r="H3872" s="3" t="s">
        <v>31</v>
      </c>
      <c r="I3872" s="3">
        <v>1.0</v>
      </c>
      <c r="J3872" s="3">
        <v>1.0</v>
      </c>
      <c r="K3872" s="3" t="s">
        <v>31</v>
      </c>
      <c r="L3872" s="4" t="s">
        <v>24333</v>
      </c>
      <c r="M3872" s="2" t="s">
        <v>24374</v>
      </c>
      <c r="N3872" s="2" t="s">
        <v>155</v>
      </c>
      <c r="O3872" s="4" t="s">
        <v>156</v>
      </c>
      <c r="P3872" s="2" t="s">
        <v>24335</v>
      </c>
      <c r="Q3872" s="2" t="s">
        <v>24336</v>
      </c>
      <c r="R3872" s="2" t="s">
        <v>64</v>
      </c>
      <c r="S3872" s="4" t="s">
        <v>24337</v>
      </c>
      <c r="T3872" s="2" t="s">
        <v>66</v>
      </c>
      <c r="U3872" s="4" t="s">
        <v>31</v>
      </c>
      <c r="V3872" s="2" t="s">
        <v>24375</v>
      </c>
      <c r="W3872" s="2" t="s">
        <v>24331</v>
      </c>
      <c r="X3872" s="5" t="str">
        <f>HYPERLINK("https://my.pitchbook.com?p=366640-84P","View People Online")</f>
        <v>View People Online</v>
      </c>
    </row>
    <row r="3873">
      <c r="A3873" s="14" t="s">
        <v>24376</v>
      </c>
      <c r="B3873" s="14" t="s">
        <v>24377</v>
      </c>
      <c r="C3873" s="14" t="s">
        <v>7551</v>
      </c>
      <c r="D3873" s="14" t="s">
        <v>24378</v>
      </c>
      <c r="E3873" s="14" t="s">
        <v>24331</v>
      </c>
      <c r="F3873" s="14" t="s">
        <v>24379</v>
      </c>
      <c r="G3873" s="14" t="s">
        <v>24380</v>
      </c>
      <c r="H3873" s="15" t="s">
        <v>31</v>
      </c>
      <c r="I3873" s="15">
        <v>1.0</v>
      </c>
      <c r="J3873" s="15">
        <v>1.0</v>
      </c>
      <c r="K3873" s="15" t="s">
        <v>31</v>
      </c>
      <c r="L3873" s="16" t="s">
        <v>24333</v>
      </c>
      <c r="M3873" s="14" t="s">
        <v>31</v>
      </c>
      <c r="N3873" s="14" t="s">
        <v>155</v>
      </c>
      <c r="O3873" s="16" t="s">
        <v>156</v>
      </c>
      <c r="P3873" s="14" t="s">
        <v>24335</v>
      </c>
      <c r="Q3873" s="14" t="s">
        <v>24336</v>
      </c>
      <c r="R3873" s="14" t="s">
        <v>64</v>
      </c>
      <c r="S3873" s="16" t="s">
        <v>24337</v>
      </c>
      <c r="T3873" s="14" t="s">
        <v>66</v>
      </c>
      <c r="U3873" s="16" t="s">
        <v>31</v>
      </c>
      <c r="V3873" s="14" t="s">
        <v>24381</v>
      </c>
      <c r="W3873" s="14" t="s">
        <v>24331</v>
      </c>
      <c r="X3873" s="17" t="str">
        <f>HYPERLINK("https://my.pitchbook.com?p=223968-25P","View People Online")</f>
        <v>View People Online</v>
      </c>
    </row>
    <row r="3874">
      <c r="A3874" s="10" t="s">
        <v>24382</v>
      </c>
      <c r="B3874" s="10" t="s">
        <v>24383</v>
      </c>
      <c r="C3874" s="10" t="s">
        <v>24384</v>
      </c>
      <c r="D3874" s="10" t="s">
        <v>24385</v>
      </c>
      <c r="E3874" s="10" t="s">
        <v>24331</v>
      </c>
      <c r="F3874" s="10" t="s">
        <v>825</v>
      </c>
      <c r="G3874" s="10" t="s">
        <v>24386</v>
      </c>
      <c r="H3874" s="11" t="s">
        <v>31</v>
      </c>
      <c r="I3874" s="11">
        <v>1.0</v>
      </c>
      <c r="J3874" s="11">
        <v>1.0</v>
      </c>
      <c r="K3874" s="11" t="s">
        <v>31</v>
      </c>
      <c r="L3874" s="12" t="s">
        <v>24333</v>
      </c>
      <c r="M3874" s="10" t="s">
        <v>24387</v>
      </c>
      <c r="N3874" s="10" t="s">
        <v>155</v>
      </c>
      <c r="O3874" s="12" t="s">
        <v>156</v>
      </c>
      <c r="P3874" s="10" t="s">
        <v>24335</v>
      </c>
      <c r="Q3874" s="10" t="s">
        <v>24336</v>
      </c>
      <c r="R3874" s="10" t="s">
        <v>64</v>
      </c>
      <c r="S3874" s="12" t="s">
        <v>24337</v>
      </c>
      <c r="T3874" s="10" t="s">
        <v>66</v>
      </c>
      <c r="U3874" s="12" t="s">
        <v>31</v>
      </c>
      <c r="V3874" s="10" t="s">
        <v>24388</v>
      </c>
      <c r="W3874" s="10" t="s">
        <v>24331</v>
      </c>
      <c r="X3874" s="13" t="str">
        <f>HYPERLINK("https://my.pitchbook.com?p=367489-09P","View People Online")</f>
        <v>View People Online</v>
      </c>
    </row>
    <row r="3875">
      <c r="A3875" s="14" t="s">
        <v>24389</v>
      </c>
      <c r="B3875" s="14" t="s">
        <v>24390</v>
      </c>
      <c r="C3875" s="14" t="s">
        <v>8042</v>
      </c>
      <c r="D3875" s="14" t="s">
        <v>24391</v>
      </c>
      <c r="E3875" s="14" t="s">
        <v>24392</v>
      </c>
      <c r="F3875" s="14" t="s">
        <v>1459</v>
      </c>
      <c r="G3875" s="14" t="s">
        <v>24393</v>
      </c>
      <c r="H3875" s="15" t="s">
        <v>31</v>
      </c>
      <c r="I3875" s="15">
        <v>1.0</v>
      </c>
      <c r="J3875" s="15">
        <v>1.0</v>
      </c>
      <c r="K3875" s="15" t="s">
        <v>31</v>
      </c>
      <c r="L3875" s="16" t="s">
        <v>24394</v>
      </c>
      <c r="M3875" s="14" t="s">
        <v>24395</v>
      </c>
      <c r="N3875" s="14" t="s">
        <v>23028</v>
      </c>
      <c r="O3875" s="16" t="s">
        <v>24396</v>
      </c>
      <c r="P3875" s="14" t="s">
        <v>24397</v>
      </c>
      <c r="Q3875" s="14" t="s">
        <v>31</v>
      </c>
      <c r="R3875" s="14" t="s">
        <v>24115</v>
      </c>
      <c r="S3875" s="16" t="s">
        <v>24398</v>
      </c>
      <c r="T3875" s="14" t="s">
        <v>66</v>
      </c>
      <c r="U3875" s="16" t="s">
        <v>31</v>
      </c>
      <c r="V3875" s="14" t="s">
        <v>1612</v>
      </c>
      <c r="W3875" s="14" t="s">
        <v>24392</v>
      </c>
      <c r="X3875" s="17" t="str">
        <f>HYPERLINK("https://my.pitchbook.com?p=228039-58P","View People Online")</f>
        <v>View People Online</v>
      </c>
    </row>
    <row r="3876">
      <c r="A3876" s="2" t="s">
        <v>24399</v>
      </c>
      <c r="B3876" s="2" t="s">
        <v>24400</v>
      </c>
      <c r="C3876" s="2" t="s">
        <v>4784</v>
      </c>
      <c r="D3876" s="2" t="s">
        <v>24401</v>
      </c>
      <c r="E3876" s="2" t="s">
        <v>24402</v>
      </c>
      <c r="F3876" s="2" t="s">
        <v>57</v>
      </c>
      <c r="G3876" s="2" t="s">
        <v>24403</v>
      </c>
      <c r="H3876" s="3" t="s">
        <v>31</v>
      </c>
      <c r="I3876" s="3">
        <v>9.0</v>
      </c>
      <c r="J3876" s="3">
        <v>3.0</v>
      </c>
      <c r="K3876" s="3">
        <v>4.0</v>
      </c>
      <c r="L3876" s="4" t="s">
        <v>24404</v>
      </c>
      <c r="M3876" s="2" t="s">
        <v>24405</v>
      </c>
      <c r="N3876" s="2" t="s">
        <v>1348</v>
      </c>
      <c r="O3876" s="4" t="s">
        <v>1349</v>
      </c>
      <c r="P3876" s="2" t="s">
        <v>24406</v>
      </c>
      <c r="Q3876" s="2" t="s">
        <v>24407</v>
      </c>
      <c r="R3876" s="2" t="s">
        <v>1018</v>
      </c>
      <c r="S3876" s="4" t="s">
        <v>1352</v>
      </c>
      <c r="T3876" s="2" t="s">
        <v>1019</v>
      </c>
      <c r="U3876" s="4" t="s">
        <v>31</v>
      </c>
      <c r="V3876" s="2" t="s">
        <v>24408</v>
      </c>
      <c r="W3876" s="2" t="s">
        <v>24402</v>
      </c>
      <c r="X3876" s="5" t="str">
        <f>HYPERLINK("https://my.pitchbook.com?p=80216-20P","View People Online")</f>
        <v>View People Online</v>
      </c>
    </row>
    <row r="3877">
      <c r="A3877" s="6" t="s">
        <v>24409</v>
      </c>
      <c r="B3877" s="6" t="s">
        <v>24410</v>
      </c>
      <c r="C3877" s="6" t="s">
        <v>2629</v>
      </c>
      <c r="D3877" s="6" t="s">
        <v>24411</v>
      </c>
      <c r="E3877" s="6" t="s">
        <v>24402</v>
      </c>
      <c r="F3877" s="6" t="s">
        <v>1283</v>
      </c>
      <c r="G3877" s="6" t="s">
        <v>24412</v>
      </c>
      <c r="H3877" s="7" t="s">
        <v>31</v>
      </c>
      <c r="I3877" s="7">
        <v>3.0</v>
      </c>
      <c r="J3877" s="7">
        <v>2.0</v>
      </c>
      <c r="K3877" s="7">
        <v>1.0</v>
      </c>
      <c r="L3877" s="8" t="s">
        <v>24413</v>
      </c>
      <c r="M3877" s="6" t="s">
        <v>24414</v>
      </c>
      <c r="N3877" s="6" t="s">
        <v>1348</v>
      </c>
      <c r="O3877" s="8" t="s">
        <v>1349</v>
      </c>
      <c r="P3877" s="6" t="s">
        <v>24415</v>
      </c>
      <c r="Q3877" s="6" t="s">
        <v>24416</v>
      </c>
      <c r="R3877" s="6" t="s">
        <v>1018</v>
      </c>
      <c r="S3877" s="8" t="s">
        <v>1352</v>
      </c>
      <c r="T3877" s="6" t="s">
        <v>1019</v>
      </c>
      <c r="U3877" s="8" t="s">
        <v>31</v>
      </c>
      <c r="V3877" s="6" t="s">
        <v>24417</v>
      </c>
      <c r="W3877" s="6" t="s">
        <v>24418</v>
      </c>
      <c r="X3877" s="9" t="str">
        <f>HYPERLINK("https://my.pitchbook.com?p=301334-95P","View People Online")</f>
        <v>View People Online</v>
      </c>
    </row>
    <row r="3878">
      <c r="A3878" s="10" t="s">
        <v>24419</v>
      </c>
      <c r="B3878" s="10" t="s">
        <v>24420</v>
      </c>
      <c r="C3878" s="10" t="s">
        <v>186</v>
      </c>
      <c r="D3878" s="10" t="s">
        <v>24421</v>
      </c>
      <c r="E3878" s="10" t="s">
        <v>24402</v>
      </c>
      <c r="F3878" s="10" t="s">
        <v>57</v>
      </c>
      <c r="G3878" s="10" t="s">
        <v>24422</v>
      </c>
      <c r="H3878" s="11" t="s">
        <v>31</v>
      </c>
      <c r="I3878" s="11">
        <v>2.0</v>
      </c>
      <c r="J3878" s="11">
        <v>2.0</v>
      </c>
      <c r="K3878" s="11" t="s">
        <v>31</v>
      </c>
      <c r="L3878" s="12" t="s">
        <v>24413</v>
      </c>
      <c r="M3878" s="10" t="s">
        <v>24423</v>
      </c>
      <c r="N3878" s="10" t="s">
        <v>1348</v>
      </c>
      <c r="O3878" s="12" t="s">
        <v>1349</v>
      </c>
      <c r="P3878" s="10" t="s">
        <v>24415</v>
      </c>
      <c r="Q3878" s="10" t="s">
        <v>24416</v>
      </c>
      <c r="R3878" s="10" t="s">
        <v>1018</v>
      </c>
      <c r="S3878" s="12" t="s">
        <v>1352</v>
      </c>
      <c r="T3878" s="10" t="s">
        <v>1019</v>
      </c>
      <c r="U3878" s="12" t="s">
        <v>31</v>
      </c>
      <c r="V3878" s="10" t="s">
        <v>24424</v>
      </c>
      <c r="W3878" s="10" t="s">
        <v>24418</v>
      </c>
      <c r="X3878" s="13" t="str">
        <f>HYPERLINK("https://my.pitchbook.com?p=121769-38P","View People Online")</f>
        <v>View People Online</v>
      </c>
    </row>
    <row r="3879">
      <c r="A3879" s="6" t="s">
        <v>24425</v>
      </c>
      <c r="B3879" s="6" t="s">
        <v>24426</v>
      </c>
      <c r="C3879" s="6" t="s">
        <v>186</v>
      </c>
      <c r="D3879" s="6" t="s">
        <v>673</v>
      </c>
      <c r="E3879" s="6" t="s">
        <v>24402</v>
      </c>
      <c r="F3879" s="6" t="s">
        <v>3288</v>
      </c>
      <c r="G3879" s="6" t="s">
        <v>24427</v>
      </c>
      <c r="H3879" s="7" t="s">
        <v>31</v>
      </c>
      <c r="I3879" s="7">
        <v>5.0</v>
      </c>
      <c r="J3879" s="7">
        <v>3.0</v>
      </c>
      <c r="K3879" s="7">
        <v>2.0</v>
      </c>
      <c r="L3879" s="8" t="s">
        <v>24413</v>
      </c>
      <c r="M3879" s="6" t="s">
        <v>24428</v>
      </c>
      <c r="N3879" s="6" t="s">
        <v>1348</v>
      </c>
      <c r="O3879" s="8" t="s">
        <v>1349</v>
      </c>
      <c r="P3879" s="6" t="s">
        <v>24406</v>
      </c>
      <c r="Q3879" s="6" t="s">
        <v>24407</v>
      </c>
      <c r="R3879" s="6" t="s">
        <v>1018</v>
      </c>
      <c r="S3879" s="8" t="s">
        <v>1352</v>
      </c>
      <c r="T3879" s="6" t="s">
        <v>1019</v>
      </c>
      <c r="U3879" s="8" t="s">
        <v>31</v>
      </c>
      <c r="V3879" s="6" t="s">
        <v>24429</v>
      </c>
      <c r="W3879" s="6" t="s">
        <v>24402</v>
      </c>
      <c r="X3879" s="9" t="str">
        <f>HYPERLINK("https://my.pitchbook.com?p=92991-52P","View People Online")</f>
        <v>View People Online</v>
      </c>
    </row>
    <row r="3880">
      <c r="A3880" s="2" t="s">
        <v>24430</v>
      </c>
      <c r="B3880" s="2" t="s">
        <v>24431</v>
      </c>
      <c r="C3880" s="2" t="s">
        <v>425</v>
      </c>
      <c r="D3880" s="2" t="s">
        <v>24432</v>
      </c>
      <c r="E3880" s="2" t="s">
        <v>24402</v>
      </c>
      <c r="F3880" s="2" t="s">
        <v>4800</v>
      </c>
      <c r="G3880" s="2" t="s">
        <v>24433</v>
      </c>
      <c r="H3880" s="3" t="s">
        <v>31</v>
      </c>
      <c r="I3880" s="3">
        <v>1.0</v>
      </c>
      <c r="J3880" s="3">
        <v>1.0</v>
      </c>
      <c r="K3880" s="3" t="s">
        <v>31</v>
      </c>
      <c r="L3880" s="4" t="s">
        <v>24413</v>
      </c>
      <c r="M3880" s="2" t="s">
        <v>24434</v>
      </c>
      <c r="N3880" s="2" t="s">
        <v>1348</v>
      </c>
      <c r="O3880" s="4" t="s">
        <v>1349</v>
      </c>
      <c r="P3880" s="2" t="s">
        <v>24406</v>
      </c>
      <c r="Q3880" s="2" t="s">
        <v>24407</v>
      </c>
      <c r="R3880" s="2" t="s">
        <v>1018</v>
      </c>
      <c r="S3880" s="4" t="s">
        <v>1352</v>
      </c>
      <c r="T3880" s="2" t="s">
        <v>1019</v>
      </c>
      <c r="U3880" s="4" t="s">
        <v>31</v>
      </c>
      <c r="V3880" s="2" t="s">
        <v>24435</v>
      </c>
      <c r="W3880" s="2" t="s">
        <v>24402</v>
      </c>
      <c r="X3880" s="5" t="str">
        <f>HYPERLINK("https://my.pitchbook.com?p=348068-08P","View People Online")</f>
        <v>View People Online</v>
      </c>
    </row>
    <row r="3881">
      <c r="A3881" s="6" t="s">
        <v>24436</v>
      </c>
      <c r="B3881" s="6" t="s">
        <v>24437</v>
      </c>
      <c r="C3881" s="6" t="s">
        <v>425</v>
      </c>
      <c r="D3881" s="6" t="s">
        <v>24438</v>
      </c>
      <c r="E3881" s="6" t="s">
        <v>24402</v>
      </c>
      <c r="F3881" s="6" t="s">
        <v>57</v>
      </c>
      <c r="G3881" s="6" t="s">
        <v>24439</v>
      </c>
      <c r="H3881" s="7" t="s">
        <v>31</v>
      </c>
      <c r="I3881" s="7">
        <v>7.0</v>
      </c>
      <c r="J3881" s="7">
        <v>4.0</v>
      </c>
      <c r="K3881" s="7">
        <v>3.0</v>
      </c>
      <c r="L3881" s="8" t="s">
        <v>24413</v>
      </c>
      <c r="M3881" s="6" t="s">
        <v>24440</v>
      </c>
      <c r="N3881" s="6" t="s">
        <v>1348</v>
      </c>
      <c r="O3881" s="8" t="s">
        <v>1349</v>
      </c>
      <c r="P3881" s="6" t="s">
        <v>24406</v>
      </c>
      <c r="Q3881" s="6" t="s">
        <v>24407</v>
      </c>
      <c r="R3881" s="6" t="s">
        <v>1018</v>
      </c>
      <c r="S3881" s="8" t="s">
        <v>1352</v>
      </c>
      <c r="T3881" s="6" t="s">
        <v>1019</v>
      </c>
      <c r="U3881" s="8" t="s">
        <v>31</v>
      </c>
      <c r="V3881" s="6" t="s">
        <v>24408</v>
      </c>
      <c r="W3881" s="6" t="s">
        <v>24402</v>
      </c>
      <c r="X3881" s="9" t="str">
        <f>HYPERLINK("https://my.pitchbook.com?p=79997-05P","View People Online")</f>
        <v>View People Online</v>
      </c>
    </row>
    <row r="3882">
      <c r="A3882" s="2" t="s">
        <v>24441</v>
      </c>
      <c r="B3882" s="2" t="s">
        <v>24442</v>
      </c>
      <c r="C3882" s="2" t="s">
        <v>4731</v>
      </c>
      <c r="D3882" s="2" t="s">
        <v>24443</v>
      </c>
      <c r="E3882" s="2" t="s">
        <v>24402</v>
      </c>
      <c r="F3882" s="2" t="s">
        <v>1283</v>
      </c>
      <c r="G3882" s="2" t="s">
        <v>24444</v>
      </c>
      <c r="H3882" s="3" t="s">
        <v>31</v>
      </c>
      <c r="I3882" s="3">
        <v>2.0</v>
      </c>
      <c r="J3882" s="3">
        <v>2.0</v>
      </c>
      <c r="K3882" s="3" t="s">
        <v>31</v>
      </c>
      <c r="L3882" s="4" t="s">
        <v>24413</v>
      </c>
      <c r="M3882" s="2" t="s">
        <v>24445</v>
      </c>
      <c r="N3882" s="2" t="s">
        <v>1348</v>
      </c>
      <c r="O3882" s="4" t="s">
        <v>1349</v>
      </c>
      <c r="P3882" s="2" t="s">
        <v>24415</v>
      </c>
      <c r="Q3882" s="2" t="s">
        <v>24416</v>
      </c>
      <c r="R3882" s="2" t="s">
        <v>1018</v>
      </c>
      <c r="S3882" s="4" t="s">
        <v>1352</v>
      </c>
      <c r="T3882" s="2" t="s">
        <v>1019</v>
      </c>
      <c r="U3882" s="4" t="s">
        <v>31</v>
      </c>
      <c r="V3882" s="2" t="s">
        <v>24417</v>
      </c>
      <c r="W3882" s="2" t="s">
        <v>24418</v>
      </c>
      <c r="X3882" s="5" t="str">
        <f>HYPERLINK("https://my.pitchbook.com?p=99873-28P","View People Online")</f>
        <v>View People Online</v>
      </c>
    </row>
    <row r="3883">
      <c r="A3883" s="6" t="s">
        <v>24446</v>
      </c>
      <c r="B3883" s="6" t="s">
        <v>24447</v>
      </c>
      <c r="C3883" s="6" t="s">
        <v>24448</v>
      </c>
      <c r="D3883" s="6" t="s">
        <v>24449</v>
      </c>
      <c r="E3883" s="6" t="s">
        <v>24402</v>
      </c>
      <c r="F3883" s="6" t="s">
        <v>1283</v>
      </c>
      <c r="G3883" s="6" t="s">
        <v>24450</v>
      </c>
      <c r="H3883" s="7" t="s">
        <v>31</v>
      </c>
      <c r="I3883" s="7">
        <v>3.0</v>
      </c>
      <c r="J3883" s="7">
        <v>3.0</v>
      </c>
      <c r="K3883" s="7" t="s">
        <v>31</v>
      </c>
      <c r="L3883" s="8" t="s">
        <v>24413</v>
      </c>
      <c r="M3883" s="6" t="s">
        <v>24451</v>
      </c>
      <c r="N3883" s="6" t="s">
        <v>1348</v>
      </c>
      <c r="O3883" s="8" t="s">
        <v>1349</v>
      </c>
      <c r="P3883" s="6" t="s">
        <v>24406</v>
      </c>
      <c r="Q3883" s="6" t="s">
        <v>24407</v>
      </c>
      <c r="R3883" s="6" t="s">
        <v>1018</v>
      </c>
      <c r="S3883" s="8" t="s">
        <v>1352</v>
      </c>
      <c r="T3883" s="6" t="s">
        <v>1019</v>
      </c>
      <c r="U3883" s="8" t="s">
        <v>31</v>
      </c>
      <c r="V3883" s="6" t="s">
        <v>24452</v>
      </c>
      <c r="W3883" s="6" t="s">
        <v>24402</v>
      </c>
      <c r="X3883" s="9" t="str">
        <f>HYPERLINK("https://my.pitchbook.com?p=209096-56P","View People Online")</f>
        <v>View People Online</v>
      </c>
    </row>
    <row r="3884">
      <c r="A3884" s="10" t="s">
        <v>24453</v>
      </c>
      <c r="B3884" s="10" t="s">
        <v>24454</v>
      </c>
      <c r="C3884" s="10" t="s">
        <v>1117</v>
      </c>
      <c r="D3884" s="10" t="s">
        <v>24455</v>
      </c>
      <c r="E3884" s="10" t="s">
        <v>24402</v>
      </c>
      <c r="F3884" s="10" t="s">
        <v>57</v>
      </c>
      <c r="G3884" s="10" t="s">
        <v>24456</v>
      </c>
      <c r="H3884" s="11" t="s">
        <v>31</v>
      </c>
      <c r="I3884" s="11">
        <v>3.0</v>
      </c>
      <c r="J3884" s="11">
        <v>3.0</v>
      </c>
      <c r="K3884" s="11" t="s">
        <v>31</v>
      </c>
      <c r="L3884" s="12" t="s">
        <v>24413</v>
      </c>
      <c r="M3884" s="10" t="s">
        <v>24457</v>
      </c>
      <c r="N3884" s="10" t="s">
        <v>1348</v>
      </c>
      <c r="O3884" s="12" t="s">
        <v>1349</v>
      </c>
      <c r="P3884" s="10" t="s">
        <v>24415</v>
      </c>
      <c r="Q3884" s="10" t="s">
        <v>24416</v>
      </c>
      <c r="R3884" s="10" t="s">
        <v>1018</v>
      </c>
      <c r="S3884" s="12" t="s">
        <v>1352</v>
      </c>
      <c r="T3884" s="10" t="s">
        <v>1019</v>
      </c>
      <c r="U3884" s="12" t="s">
        <v>31</v>
      </c>
      <c r="V3884" s="10" t="s">
        <v>24458</v>
      </c>
      <c r="W3884" s="10" t="s">
        <v>24418</v>
      </c>
      <c r="X3884" s="13" t="str">
        <f>HYPERLINK("https://my.pitchbook.com?p=265047-22P","View People Online")</f>
        <v>View People Online</v>
      </c>
    </row>
    <row r="3885">
      <c r="A3885" s="14" t="s">
        <v>24459</v>
      </c>
      <c r="B3885" s="14" t="s">
        <v>24460</v>
      </c>
      <c r="C3885" s="14" t="s">
        <v>7413</v>
      </c>
      <c r="D3885" s="14" t="s">
        <v>3275</v>
      </c>
      <c r="E3885" s="14" t="s">
        <v>24402</v>
      </c>
      <c r="F3885" s="14" t="s">
        <v>57</v>
      </c>
      <c r="G3885" s="14" t="s">
        <v>24461</v>
      </c>
      <c r="H3885" s="15" t="s">
        <v>31</v>
      </c>
      <c r="I3885" s="15">
        <v>2.0</v>
      </c>
      <c r="J3885" s="15">
        <v>2.0</v>
      </c>
      <c r="K3885" s="15" t="s">
        <v>31</v>
      </c>
      <c r="L3885" s="16" t="s">
        <v>24413</v>
      </c>
      <c r="M3885" s="14" t="s">
        <v>24462</v>
      </c>
      <c r="N3885" s="14" t="s">
        <v>1348</v>
      </c>
      <c r="O3885" s="16" t="s">
        <v>1349</v>
      </c>
      <c r="P3885" s="14" t="s">
        <v>24406</v>
      </c>
      <c r="Q3885" s="14" t="s">
        <v>24407</v>
      </c>
      <c r="R3885" s="14" t="s">
        <v>1018</v>
      </c>
      <c r="S3885" s="16" t="s">
        <v>1352</v>
      </c>
      <c r="T3885" s="14" t="s">
        <v>1019</v>
      </c>
      <c r="U3885" s="16" t="s">
        <v>31</v>
      </c>
      <c r="V3885" s="14" t="s">
        <v>24424</v>
      </c>
      <c r="W3885" s="14" t="s">
        <v>24402</v>
      </c>
      <c r="X3885" s="17" t="str">
        <f>HYPERLINK("https://my.pitchbook.com?p=405999-91P","View People Online")</f>
        <v>View People Online</v>
      </c>
    </row>
    <row r="3886">
      <c r="A3886" s="10" t="s">
        <v>24463</v>
      </c>
      <c r="B3886" s="10" t="s">
        <v>24464</v>
      </c>
      <c r="C3886" s="10" t="s">
        <v>14272</v>
      </c>
      <c r="D3886" s="10" t="s">
        <v>2432</v>
      </c>
      <c r="E3886" s="10" t="s">
        <v>24402</v>
      </c>
      <c r="F3886" s="10" t="s">
        <v>57</v>
      </c>
      <c r="G3886" s="10" t="s">
        <v>24465</v>
      </c>
      <c r="H3886" s="11" t="s">
        <v>31</v>
      </c>
      <c r="I3886" s="11">
        <v>7.0</v>
      </c>
      <c r="J3886" s="11">
        <v>4.0</v>
      </c>
      <c r="K3886" s="11">
        <v>2.0</v>
      </c>
      <c r="L3886" s="12" t="s">
        <v>24413</v>
      </c>
      <c r="M3886" s="10" t="s">
        <v>24466</v>
      </c>
      <c r="N3886" s="10" t="s">
        <v>1348</v>
      </c>
      <c r="O3886" s="12" t="s">
        <v>1349</v>
      </c>
      <c r="P3886" s="10" t="s">
        <v>24415</v>
      </c>
      <c r="Q3886" s="10" t="s">
        <v>24416</v>
      </c>
      <c r="R3886" s="10" t="s">
        <v>1018</v>
      </c>
      <c r="S3886" s="12" t="s">
        <v>1352</v>
      </c>
      <c r="T3886" s="10" t="s">
        <v>1019</v>
      </c>
      <c r="U3886" s="12" t="s">
        <v>31</v>
      </c>
      <c r="V3886" s="10" t="s">
        <v>24467</v>
      </c>
      <c r="W3886" s="10" t="s">
        <v>24418</v>
      </c>
      <c r="X3886" s="13" t="str">
        <f>HYPERLINK("https://my.pitchbook.com?p=206573-59P","View People Online")</f>
        <v>View People Online</v>
      </c>
    </row>
    <row r="3887">
      <c r="A3887" s="14" t="s">
        <v>24468</v>
      </c>
      <c r="B3887" s="14" t="s">
        <v>24469</v>
      </c>
      <c r="C3887" s="14" t="s">
        <v>24470</v>
      </c>
      <c r="D3887" s="14" t="s">
        <v>24471</v>
      </c>
      <c r="E3887" s="14" t="s">
        <v>24402</v>
      </c>
      <c r="F3887" s="14" t="s">
        <v>312</v>
      </c>
      <c r="G3887" s="14" t="s">
        <v>24472</v>
      </c>
      <c r="H3887" s="15" t="s">
        <v>31</v>
      </c>
      <c r="I3887" s="15">
        <v>1.0</v>
      </c>
      <c r="J3887" s="15">
        <v>1.0</v>
      </c>
      <c r="K3887" s="15" t="s">
        <v>31</v>
      </c>
      <c r="L3887" s="16" t="s">
        <v>24413</v>
      </c>
      <c r="M3887" s="14" t="s">
        <v>31</v>
      </c>
      <c r="N3887" s="14" t="s">
        <v>1348</v>
      </c>
      <c r="O3887" s="16" t="s">
        <v>1349</v>
      </c>
      <c r="P3887" s="14" t="s">
        <v>24406</v>
      </c>
      <c r="Q3887" s="14" t="s">
        <v>24407</v>
      </c>
      <c r="R3887" s="14" t="s">
        <v>1018</v>
      </c>
      <c r="S3887" s="16" t="s">
        <v>1352</v>
      </c>
      <c r="T3887" s="14" t="s">
        <v>1019</v>
      </c>
      <c r="U3887" s="16" t="s">
        <v>31</v>
      </c>
      <c r="V3887" s="14" t="s">
        <v>312</v>
      </c>
      <c r="W3887" s="14" t="s">
        <v>24402</v>
      </c>
      <c r="X3887" s="17" t="str">
        <f>HYPERLINK("https://my.pitchbook.com?p=376202-17P","View People Online")</f>
        <v>View People Online</v>
      </c>
    </row>
    <row r="3888">
      <c r="A3888" s="2" t="s">
        <v>24473</v>
      </c>
      <c r="B3888" s="2" t="s">
        <v>24474</v>
      </c>
      <c r="C3888" s="2" t="s">
        <v>1103</v>
      </c>
      <c r="D3888" s="2" t="s">
        <v>24475</v>
      </c>
      <c r="E3888" s="2" t="s">
        <v>24402</v>
      </c>
      <c r="F3888" s="2" t="s">
        <v>1283</v>
      </c>
      <c r="G3888" s="2" t="s">
        <v>24476</v>
      </c>
      <c r="H3888" s="3" t="s">
        <v>31</v>
      </c>
      <c r="I3888" s="3">
        <v>5.0</v>
      </c>
      <c r="J3888" s="3">
        <v>3.0</v>
      </c>
      <c r="K3888" s="3" t="s">
        <v>31</v>
      </c>
      <c r="L3888" s="4" t="s">
        <v>24413</v>
      </c>
      <c r="M3888" s="2" t="s">
        <v>24477</v>
      </c>
      <c r="N3888" s="2" t="s">
        <v>1348</v>
      </c>
      <c r="O3888" s="4" t="s">
        <v>1349</v>
      </c>
      <c r="P3888" s="2" t="s">
        <v>24406</v>
      </c>
      <c r="Q3888" s="2" t="s">
        <v>24407</v>
      </c>
      <c r="R3888" s="2" t="s">
        <v>1018</v>
      </c>
      <c r="S3888" s="4" t="s">
        <v>1352</v>
      </c>
      <c r="T3888" s="2" t="s">
        <v>1019</v>
      </c>
      <c r="U3888" s="4" t="s">
        <v>31</v>
      </c>
      <c r="V3888" s="2" t="s">
        <v>24478</v>
      </c>
      <c r="W3888" s="2" t="s">
        <v>24479</v>
      </c>
      <c r="X3888" s="5" t="str">
        <f>HYPERLINK("https://my.pitchbook.com?p=65099-44P","View People Online")</f>
        <v>View People Online</v>
      </c>
    </row>
    <row r="3889">
      <c r="A3889" s="6" t="s">
        <v>24480</v>
      </c>
      <c r="B3889" s="6" t="s">
        <v>24481</v>
      </c>
      <c r="C3889" s="6" t="s">
        <v>1103</v>
      </c>
      <c r="D3889" s="6" t="s">
        <v>24482</v>
      </c>
      <c r="E3889" s="6" t="s">
        <v>24402</v>
      </c>
      <c r="F3889" s="6" t="s">
        <v>81</v>
      </c>
      <c r="G3889" s="6" t="s">
        <v>24483</v>
      </c>
      <c r="H3889" s="7">
        <v>1.0</v>
      </c>
      <c r="I3889" s="7">
        <v>4.0</v>
      </c>
      <c r="J3889" s="7">
        <v>2.0</v>
      </c>
      <c r="K3889" s="7" t="s">
        <v>31</v>
      </c>
      <c r="L3889" s="8" t="s">
        <v>24413</v>
      </c>
      <c r="M3889" s="6" t="s">
        <v>24484</v>
      </c>
      <c r="N3889" s="6" t="s">
        <v>1348</v>
      </c>
      <c r="O3889" s="8" t="s">
        <v>1349</v>
      </c>
      <c r="P3889" s="6" t="s">
        <v>24406</v>
      </c>
      <c r="Q3889" s="6" t="s">
        <v>24407</v>
      </c>
      <c r="R3889" s="6" t="s">
        <v>1018</v>
      </c>
      <c r="S3889" s="8" t="s">
        <v>1352</v>
      </c>
      <c r="T3889" s="6" t="s">
        <v>1019</v>
      </c>
      <c r="U3889" s="8" t="s">
        <v>31</v>
      </c>
      <c r="V3889" s="6" t="s">
        <v>24485</v>
      </c>
      <c r="W3889" s="6" t="s">
        <v>24402</v>
      </c>
      <c r="X3889" s="9" t="str">
        <f>HYPERLINK("https://my.pitchbook.com?p=41927-68P","View People Online")</f>
        <v>View People Online</v>
      </c>
    </row>
    <row r="3890">
      <c r="A3890" s="2" t="s">
        <v>24486</v>
      </c>
      <c r="B3890" s="2" t="s">
        <v>24487</v>
      </c>
      <c r="C3890" s="2" t="s">
        <v>24488</v>
      </c>
      <c r="D3890" s="2" t="s">
        <v>24489</v>
      </c>
      <c r="E3890" s="2" t="s">
        <v>24402</v>
      </c>
      <c r="F3890" s="2" t="s">
        <v>9492</v>
      </c>
      <c r="G3890" s="2" t="s">
        <v>24490</v>
      </c>
      <c r="H3890" s="3" t="s">
        <v>31</v>
      </c>
      <c r="I3890" s="3">
        <v>10.0</v>
      </c>
      <c r="J3890" s="3">
        <v>6.0</v>
      </c>
      <c r="K3890" s="3">
        <v>4.0</v>
      </c>
      <c r="L3890" s="4" t="s">
        <v>24413</v>
      </c>
      <c r="M3890" s="2" t="s">
        <v>24491</v>
      </c>
      <c r="N3890" s="2" t="s">
        <v>1348</v>
      </c>
      <c r="O3890" s="4" t="s">
        <v>1349</v>
      </c>
      <c r="P3890" s="2" t="s">
        <v>24406</v>
      </c>
      <c r="Q3890" s="2" t="s">
        <v>24407</v>
      </c>
      <c r="R3890" s="2" t="s">
        <v>1018</v>
      </c>
      <c r="S3890" s="4" t="s">
        <v>1352</v>
      </c>
      <c r="T3890" s="2" t="s">
        <v>1019</v>
      </c>
      <c r="U3890" s="4" t="s">
        <v>31</v>
      </c>
      <c r="V3890" s="2" t="s">
        <v>24492</v>
      </c>
      <c r="W3890" s="2" t="s">
        <v>24493</v>
      </c>
      <c r="X3890" s="5" t="str">
        <f>HYPERLINK("https://my.pitchbook.com?p=44839-09P","View People Online")</f>
        <v>View People Online</v>
      </c>
    </row>
    <row r="3891">
      <c r="A3891" s="6" t="s">
        <v>24494</v>
      </c>
      <c r="B3891" s="6" t="s">
        <v>24495</v>
      </c>
      <c r="C3891" s="6" t="s">
        <v>24496</v>
      </c>
      <c r="D3891" s="6" t="s">
        <v>20943</v>
      </c>
      <c r="E3891" s="6" t="s">
        <v>24402</v>
      </c>
      <c r="F3891" s="6" t="s">
        <v>3288</v>
      </c>
      <c r="G3891" s="6" t="s">
        <v>24497</v>
      </c>
      <c r="H3891" s="7" t="s">
        <v>31</v>
      </c>
      <c r="I3891" s="7">
        <v>5.0</v>
      </c>
      <c r="J3891" s="7">
        <v>3.0</v>
      </c>
      <c r="K3891" s="7">
        <v>2.0</v>
      </c>
      <c r="L3891" s="8" t="s">
        <v>24413</v>
      </c>
      <c r="M3891" s="6" t="s">
        <v>24498</v>
      </c>
      <c r="N3891" s="6" t="s">
        <v>1348</v>
      </c>
      <c r="O3891" s="8" t="s">
        <v>1349</v>
      </c>
      <c r="P3891" s="6" t="s">
        <v>24406</v>
      </c>
      <c r="Q3891" s="6" t="s">
        <v>24407</v>
      </c>
      <c r="R3891" s="6" t="s">
        <v>1018</v>
      </c>
      <c r="S3891" s="8" t="s">
        <v>1352</v>
      </c>
      <c r="T3891" s="6" t="s">
        <v>1019</v>
      </c>
      <c r="U3891" s="8" t="s">
        <v>31</v>
      </c>
      <c r="V3891" s="6" t="s">
        <v>24499</v>
      </c>
      <c r="W3891" s="6" t="s">
        <v>24402</v>
      </c>
      <c r="X3891" s="9" t="str">
        <f>HYPERLINK("https://my.pitchbook.com?p=81186-31P","View People Online")</f>
        <v>View People Online</v>
      </c>
    </row>
    <row r="3892">
      <c r="A3892" s="10" t="s">
        <v>24500</v>
      </c>
      <c r="B3892" s="10" t="s">
        <v>24501</v>
      </c>
      <c r="C3892" s="10" t="s">
        <v>24502</v>
      </c>
      <c r="D3892" s="10" t="s">
        <v>9111</v>
      </c>
      <c r="E3892" s="10" t="s">
        <v>24402</v>
      </c>
      <c r="F3892" s="10" t="s">
        <v>1283</v>
      </c>
      <c r="G3892" s="10" t="s">
        <v>24503</v>
      </c>
      <c r="H3892" s="11" t="s">
        <v>31</v>
      </c>
      <c r="I3892" s="11">
        <v>1.0</v>
      </c>
      <c r="J3892" s="11">
        <v>1.0</v>
      </c>
      <c r="K3892" s="11" t="s">
        <v>31</v>
      </c>
      <c r="L3892" s="12" t="s">
        <v>24413</v>
      </c>
      <c r="M3892" s="10" t="s">
        <v>24504</v>
      </c>
      <c r="N3892" s="10" t="s">
        <v>1348</v>
      </c>
      <c r="O3892" s="12" t="s">
        <v>1349</v>
      </c>
      <c r="P3892" s="10" t="s">
        <v>24406</v>
      </c>
      <c r="Q3892" s="10" t="s">
        <v>24407</v>
      </c>
      <c r="R3892" s="10" t="s">
        <v>1018</v>
      </c>
      <c r="S3892" s="12" t="s">
        <v>1352</v>
      </c>
      <c r="T3892" s="10" t="s">
        <v>1019</v>
      </c>
      <c r="U3892" s="12" t="s">
        <v>31</v>
      </c>
      <c r="V3892" s="10" t="s">
        <v>24505</v>
      </c>
      <c r="W3892" s="10" t="s">
        <v>24402</v>
      </c>
      <c r="X3892" s="13" t="str">
        <f>HYPERLINK("https://my.pitchbook.com?p=141657-49P","View People Online")</f>
        <v>View People Online</v>
      </c>
    </row>
    <row r="3893">
      <c r="A3893" s="14" t="s">
        <v>24506</v>
      </c>
      <c r="B3893" s="14" t="s">
        <v>24507</v>
      </c>
      <c r="C3893" s="14" t="s">
        <v>24508</v>
      </c>
      <c r="D3893" s="14" t="s">
        <v>24509</v>
      </c>
      <c r="E3893" s="14" t="s">
        <v>24402</v>
      </c>
      <c r="F3893" s="14" t="s">
        <v>1283</v>
      </c>
      <c r="G3893" s="14" t="s">
        <v>24510</v>
      </c>
      <c r="H3893" s="15">
        <v>1.0</v>
      </c>
      <c r="I3893" s="15">
        <v>4.0</v>
      </c>
      <c r="J3893" s="15">
        <v>2.0</v>
      </c>
      <c r="K3893" s="15">
        <v>1.0</v>
      </c>
      <c r="L3893" s="16" t="s">
        <v>24511</v>
      </c>
      <c r="M3893" s="14" t="s">
        <v>24512</v>
      </c>
      <c r="N3893" s="14" t="s">
        <v>1348</v>
      </c>
      <c r="O3893" s="16" t="s">
        <v>1349</v>
      </c>
      <c r="P3893" s="14" t="s">
        <v>24406</v>
      </c>
      <c r="Q3893" s="14" t="s">
        <v>24407</v>
      </c>
      <c r="R3893" s="14" t="s">
        <v>1018</v>
      </c>
      <c r="S3893" s="16" t="s">
        <v>1352</v>
      </c>
      <c r="T3893" s="14" t="s">
        <v>1019</v>
      </c>
      <c r="U3893" s="16" t="s">
        <v>24513</v>
      </c>
      <c r="V3893" s="14" t="s">
        <v>24417</v>
      </c>
      <c r="W3893" s="14" t="s">
        <v>24402</v>
      </c>
      <c r="X3893" s="17" t="str">
        <f>HYPERLINK("https://my.pitchbook.com?p=55606-42P","View People Online")</f>
        <v>View People Online</v>
      </c>
    </row>
    <row r="3894">
      <c r="A3894" s="10" t="s">
        <v>24514</v>
      </c>
      <c r="B3894" s="10" t="s">
        <v>24515</v>
      </c>
      <c r="C3894" s="10" t="s">
        <v>54</v>
      </c>
      <c r="D3894" s="10" t="s">
        <v>24516</v>
      </c>
      <c r="E3894" s="10" t="s">
        <v>24402</v>
      </c>
      <c r="F3894" s="10" t="s">
        <v>24517</v>
      </c>
      <c r="G3894" s="10" t="s">
        <v>24518</v>
      </c>
      <c r="H3894" s="11">
        <v>1.0</v>
      </c>
      <c r="I3894" s="11">
        <v>8.0</v>
      </c>
      <c r="J3894" s="11">
        <v>3.0</v>
      </c>
      <c r="K3894" s="11">
        <v>3.0</v>
      </c>
      <c r="L3894" s="12" t="s">
        <v>24413</v>
      </c>
      <c r="M3894" s="10" t="s">
        <v>24519</v>
      </c>
      <c r="N3894" s="10" t="s">
        <v>1348</v>
      </c>
      <c r="O3894" s="12" t="s">
        <v>1349</v>
      </c>
      <c r="P3894" s="10" t="s">
        <v>24520</v>
      </c>
      <c r="Q3894" s="10" t="s">
        <v>989</v>
      </c>
      <c r="R3894" s="10" t="s">
        <v>1018</v>
      </c>
      <c r="S3894" s="12" t="s">
        <v>1352</v>
      </c>
      <c r="T3894" s="10" t="s">
        <v>1019</v>
      </c>
      <c r="U3894" s="12" t="s">
        <v>31</v>
      </c>
      <c r="V3894" s="10" t="s">
        <v>24521</v>
      </c>
      <c r="W3894" s="10" t="s">
        <v>24522</v>
      </c>
      <c r="X3894" s="13" t="str">
        <f>HYPERLINK("https://my.pitchbook.com?p=44839-90P","View People Online")</f>
        <v>View People Online</v>
      </c>
    </row>
    <row r="3895">
      <c r="A3895" s="14" t="s">
        <v>24523</v>
      </c>
      <c r="B3895" s="14" t="s">
        <v>24524</v>
      </c>
      <c r="C3895" s="14" t="s">
        <v>4851</v>
      </c>
      <c r="D3895" s="14" t="s">
        <v>24525</v>
      </c>
      <c r="E3895" s="14" t="s">
        <v>24402</v>
      </c>
      <c r="F3895" s="14" t="s">
        <v>57</v>
      </c>
      <c r="G3895" s="14" t="s">
        <v>24526</v>
      </c>
      <c r="H3895" s="15">
        <v>1.0</v>
      </c>
      <c r="I3895" s="15">
        <v>8.0</v>
      </c>
      <c r="J3895" s="15">
        <v>2.0</v>
      </c>
      <c r="K3895" s="15">
        <v>3.0</v>
      </c>
      <c r="L3895" s="16" t="s">
        <v>24413</v>
      </c>
      <c r="M3895" s="14" t="s">
        <v>24527</v>
      </c>
      <c r="N3895" s="14" t="s">
        <v>1348</v>
      </c>
      <c r="O3895" s="16" t="s">
        <v>1349</v>
      </c>
      <c r="P3895" s="14" t="s">
        <v>24415</v>
      </c>
      <c r="Q3895" s="14" t="s">
        <v>24416</v>
      </c>
      <c r="R3895" s="14" t="s">
        <v>1018</v>
      </c>
      <c r="S3895" s="16" t="s">
        <v>1352</v>
      </c>
      <c r="T3895" s="14" t="s">
        <v>1019</v>
      </c>
      <c r="U3895" s="16" t="s">
        <v>31</v>
      </c>
      <c r="V3895" s="14" t="s">
        <v>24528</v>
      </c>
      <c r="W3895" s="14" t="s">
        <v>24418</v>
      </c>
      <c r="X3895" s="17" t="str">
        <f>HYPERLINK("https://my.pitchbook.com?p=187321-96P","View People Online")</f>
        <v>View People Online</v>
      </c>
    </row>
    <row r="3896">
      <c r="A3896" s="2" t="s">
        <v>24529</v>
      </c>
      <c r="B3896" s="2" t="s">
        <v>24530</v>
      </c>
      <c r="C3896" s="2" t="s">
        <v>8535</v>
      </c>
      <c r="D3896" s="2" t="s">
        <v>24531</v>
      </c>
      <c r="E3896" s="2" t="s">
        <v>24402</v>
      </c>
      <c r="F3896" s="2" t="s">
        <v>57</v>
      </c>
      <c r="G3896" s="2" t="s">
        <v>24532</v>
      </c>
      <c r="H3896" s="3" t="s">
        <v>31</v>
      </c>
      <c r="I3896" s="3">
        <v>2.0</v>
      </c>
      <c r="J3896" s="3">
        <v>2.0</v>
      </c>
      <c r="K3896" s="3" t="s">
        <v>31</v>
      </c>
      <c r="L3896" s="4" t="s">
        <v>24533</v>
      </c>
      <c r="M3896" s="2" t="s">
        <v>24534</v>
      </c>
      <c r="N3896" s="2" t="s">
        <v>75</v>
      </c>
      <c r="O3896" s="4" t="s">
        <v>76</v>
      </c>
      <c r="P3896" s="2" t="s">
        <v>24415</v>
      </c>
      <c r="Q3896" s="2" t="s">
        <v>24535</v>
      </c>
      <c r="R3896" s="2" t="s">
        <v>75</v>
      </c>
      <c r="S3896" s="4" t="s">
        <v>24536</v>
      </c>
      <c r="T3896" s="2" t="s">
        <v>66</v>
      </c>
      <c r="U3896" s="4" t="s">
        <v>31</v>
      </c>
      <c r="V3896" s="2" t="s">
        <v>24424</v>
      </c>
      <c r="W3896" s="2" t="s">
        <v>24402</v>
      </c>
      <c r="X3896" s="5" t="str">
        <f>HYPERLINK("https://my.pitchbook.com?p=406009-09P","View People Online")</f>
        <v>View People Online</v>
      </c>
    </row>
    <row r="3897">
      <c r="A3897" s="6" t="s">
        <v>24537</v>
      </c>
      <c r="B3897" s="6" t="s">
        <v>24538</v>
      </c>
      <c r="C3897" s="6" t="s">
        <v>24222</v>
      </c>
      <c r="D3897" s="6" t="s">
        <v>24539</v>
      </c>
      <c r="E3897" s="6" t="s">
        <v>24402</v>
      </c>
      <c r="F3897" s="6" t="s">
        <v>57</v>
      </c>
      <c r="G3897" s="6" t="s">
        <v>24540</v>
      </c>
      <c r="H3897" s="7" t="s">
        <v>31</v>
      </c>
      <c r="I3897" s="7">
        <v>14.0</v>
      </c>
      <c r="J3897" s="7">
        <v>4.0</v>
      </c>
      <c r="K3897" s="7" t="s">
        <v>31</v>
      </c>
      <c r="L3897" s="8" t="s">
        <v>24533</v>
      </c>
      <c r="M3897" s="6" t="s">
        <v>24541</v>
      </c>
      <c r="N3897" s="6" t="s">
        <v>75</v>
      </c>
      <c r="O3897" s="8" t="s">
        <v>76</v>
      </c>
      <c r="P3897" s="6" t="s">
        <v>24542</v>
      </c>
      <c r="Q3897" s="6" t="s">
        <v>24535</v>
      </c>
      <c r="R3897" s="6" t="s">
        <v>75</v>
      </c>
      <c r="S3897" s="8" t="s">
        <v>24543</v>
      </c>
      <c r="T3897" s="6" t="s">
        <v>66</v>
      </c>
      <c r="U3897" s="8" t="s">
        <v>31</v>
      </c>
      <c r="V3897" s="6" t="s">
        <v>24544</v>
      </c>
      <c r="W3897" s="6" t="s">
        <v>24545</v>
      </c>
      <c r="X3897" s="9" t="str">
        <f>HYPERLINK("https://my.pitchbook.com?p=271323-64P","View People Online")</f>
        <v>View People Online</v>
      </c>
    </row>
    <row r="3898">
      <c r="A3898" s="10" t="s">
        <v>24546</v>
      </c>
      <c r="B3898" s="10" t="s">
        <v>24547</v>
      </c>
      <c r="C3898" s="10" t="s">
        <v>1929</v>
      </c>
      <c r="D3898" s="10" t="s">
        <v>4338</v>
      </c>
      <c r="E3898" s="10" t="s">
        <v>24402</v>
      </c>
      <c r="F3898" s="10" t="s">
        <v>120</v>
      </c>
      <c r="G3898" s="10" t="s">
        <v>24548</v>
      </c>
      <c r="H3898" s="11" t="s">
        <v>31</v>
      </c>
      <c r="I3898" s="11">
        <v>3.0</v>
      </c>
      <c r="J3898" s="11">
        <v>3.0</v>
      </c>
      <c r="K3898" s="11" t="s">
        <v>31</v>
      </c>
      <c r="L3898" s="12" t="s">
        <v>24549</v>
      </c>
      <c r="M3898" s="10" t="s">
        <v>24550</v>
      </c>
      <c r="N3898" s="10" t="s">
        <v>243</v>
      </c>
      <c r="O3898" s="12" t="s">
        <v>244</v>
      </c>
      <c r="P3898" s="10" t="s">
        <v>24551</v>
      </c>
      <c r="Q3898" s="10" t="s">
        <v>24552</v>
      </c>
      <c r="R3898" s="10" t="s">
        <v>247</v>
      </c>
      <c r="S3898" s="12" t="s">
        <v>24553</v>
      </c>
      <c r="T3898" s="10" t="s">
        <v>249</v>
      </c>
      <c r="U3898" s="12" t="s">
        <v>31</v>
      </c>
      <c r="V3898" s="10" t="s">
        <v>24554</v>
      </c>
      <c r="W3898" s="10" t="s">
        <v>24402</v>
      </c>
      <c r="X3898" s="13" t="str">
        <f>HYPERLINK("https://my.pitchbook.com?p=65451-25P","View People Online")</f>
        <v>View People Online</v>
      </c>
    </row>
    <row r="3899">
      <c r="A3899" s="14" t="s">
        <v>24555</v>
      </c>
      <c r="B3899" s="14" t="s">
        <v>24556</v>
      </c>
      <c r="C3899" s="14" t="s">
        <v>1929</v>
      </c>
      <c r="D3899" s="14" t="s">
        <v>6218</v>
      </c>
      <c r="E3899" s="14" t="s">
        <v>24402</v>
      </c>
      <c r="F3899" s="14" t="s">
        <v>1283</v>
      </c>
      <c r="G3899" s="14" t="s">
        <v>24557</v>
      </c>
      <c r="H3899" s="15" t="s">
        <v>31</v>
      </c>
      <c r="I3899" s="15">
        <v>2.0</v>
      </c>
      <c r="J3899" s="15">
        <v>2.0</v>
      </c>
      <c r="K3899" s="15" t="s">
        <v>31</v>
      </c>
      <c r="L3899" s="16" t="s">
        <v>24533</v>
      </c>
      <c r="M3899" s="14" t="s">
        <v>24558</v>
      </c>
      <c r="N3899" s="14" t="s">
        <v>75</v>
      </c>
      <c r="O3899" s="16" t="s">
        <v>76</v>
      </c>
      <c r="P3899" s="14" t="s">
        <v>24415</v>
      </c>
      <c r="Q3899" s="14" t="s">
        <v>24535</v>
      </c>
      <c r="R3899" s="14" t="s">
        <v>75</v>
      </c>
      <c r="S3899" s="16" t="s">
        <v>24536</v>
      </c>
      <c r="T3899" s="14" t="s">
        <v>66</v>
      </c>
      <c r="U3899" s="16" t="s">
        <v>31</v>
      </c>
      <c r="V3899" s="14" t="s">
        <v>24559</v>
      </c>
      <c r="W3899" s="14" t="s">
        <v>24402</v>
      </c>
      <c r="X3899" s="17" t="str">
        <f>HYPERLINK("https://my.pitchbook.com?p=160819-30P","View People Online")</f>
        <v>View People Online</v>
      </c>
    </row>
    <row r="3900">
      <c r="A3900" s="2" t="s">
        <v>24560</v>
      </c>
      <c r="B3900" s="2" t="s">
        <v>24561</v>
      </c>
      <c r="C3900" s="2" t="s">
        <v>1929</v>
      </c>
      <c r="D3900" s="2" t="s">
        <v>24562</v>
      </c>
      <c r="E3900" s="2" t="s">
        <v>24402</v>
      </c>
      <c r="F3900" s="2" t="s">
        <v>1283</v>
      </c>
      <c r="G3900" s="2" t="s">
        <v>24563</v>
      </c>
      <c r="H3900" s="3" t="s">
        <v>31</v>
      </c>
      <c r="I3900" s="3">
        <v>2.0</v>
      </c>
      <c r="J3900" s="3">
        <v>2.0</v>
      </c>
      <c r="K3900" s="3" t="s">
        <v>31</v>
      </c>
      <c r="L3900" s="4" t="s">
        <v>24413</v>
      </c>
      <c r="M3900" s="2" t="s">
        <v>24564</v>
      </c>
      <c r="N3900" s="2" t="s">
        <v>1348</v>
      </c>
      <c r="O3900" s="4" t="s">
        <v>1349</v>
      </c>
      <c r="P3900" s="2" t="s">
        <v>24415</v>
      </c>
      <c r="Q3900" s="2" t="s">
        <v>24416</v>
      </c>
      <c r="R3900" s="2" t="s">
        <v>1018</v>
      </c>
      <c r="S3900" s="4" t="s">
        <v>1352</v>
      </c>
      <c r="T3900" s="2" t="s">
        <v>1019</v>
      </c>
      <c r="U3900" s="4" t="s">
        <v>31</v>
      </c>
      <c r="V3900" s="2" t="s">
        <v>24417</v>
      </c>
      <c r="W3900" s="2" t="s">
        <v>24418</v>
      </c>
      <c r="X3900" s="5" t="str">
        <f>HYPERLINK("https://my.pitchbook.com?p=405966-61P","View People Online")</f>
        <v>View People Online</v>
      </c>
    </row>
    <row r="3901">
      <c r="A3901" s="14" t="s">
        <v>24565</v>
      </c>
      <c r="B3901" s="14" t="s">
        <v>24566</v>
      </c>
      <c r="C3901" s="14" t="s">
        <v>740</v>
      </c>
      <c r="D3901" s="14" t="s">
        <v>3275</v>
      </c>
      <c r="E3901" s="14" t="s">
        <v>24402</v>
      </c>
      <c r="F3901" s="14" t="s">
        <v>1283</v>
      </c>
      <c r="G3901" s="14" t="s">
        <v>24567</v>
      </c>
      <c r="H3901" s="15" t="s">
        <v>31</v>
      </c>
      <c r="I3901" s="15">
        <v>9.0</v>
      </c>
      <c r="J3901" s="15">
        <v>2.0</v>
      </c>
      <c r="K3901" s="15" t="s">
        <v>31</v>
      </c>
      <c r="L3901" s="16" t="s">
        <v>24413</v>
      </c>
      <c r="M3901" s="14" t="s">
        <v>24568</v>
      </c>
      <c r="N3901" s="14" t="s">
        <v>1348</v>
      </c>
      <c r="O3901" s="16" t="s">
        <v>1349</v>
      </c>
      <c r="P3901" s="14" t="s">
        <v>24406</v>
      </c>
      <c r="Q3901" s="14" t="s">
        <v>24407</v>
      </c>
      <c r="R3901" s="14" t="s">
        <v>1018</v>
      </c>
      <c r="S3901" s="16" t="s">
        <v>1352</v>
      </c>
      <c r="T3901" s="14" t="s">
        <v>1019</v>
      </c>
      <c r="U3901" s="16" t="s">
        <v>31</v>
      </c>
      <c r="V3901" s="14" t="s">
        <v>24569</v>
      </c>
      <c r="W3901" s="14" t="s">
        <v>24402</v>
      </c>
      <c r="X3901" s="17" t="str">
        <f>HYPERLINK("https://my.pitchbook.com?p=152786-53P","View People Online")</f>
        <v>View People Online</v>
      </c>
    </row>
    <row r="3902">
      <c r="A3902" s="10" t="s">
        <v>24570</v>
      </c>
      <c r="B3902" s="10" t="s">
        <v>24571</v>
      </c>
      <c r="C3902" s="10" t="s">
        <v>2713</v>
      </c>
      <c r="D3902" s="10" t="s">
        <v>24572</v>
      </c>
      <c r="E3902" s="10" t="s">
        <v>24402</v>
      </c>
      <c r="F3902" s="10" t="s">
        <v>120</v>
      </c>
      <c r="G3902" s="10" t="s">
        <v>24573</v>
      </c>
      <c r="H3902" s="11">
        <v>1.0</v>
      </c>
      <c r="I3902" s="11">
        <v>4.0</v>
      </c>
      <c r="J3902" s="11">
        <v>3.0</v>
      </c>
      <c r="K3902" s="11" t="s">
        <v>31</v>
      </c>
      <c r="L3902" s="12" t="s">
        <v>24413</v>
      </c>
      <c r="M3902" s="10" t="s">
        <v>24574</v>
      </c>
      <c r="N3902" s="10" t="s">
        <v>1348</v>
      </c>
      <c r="O3902" s="12" t="s">
        <v>1349</v>
      </c>
      <c r="P3902" s="10" t="s">
        <v>24520</v>
      </c>
      <c r="Q3902" s="10" t="s">
        <v>989</v>
      </c>
      <c r="R3902" s="10" t="s">
        <v>1018</v>
      </c>
      <c r="S3902" s="12" t="s">
        <v>1352</v>
      </c>
      <c r="T3902" s="10" t="s">
        <v>1019</v>
      </c>
      <c r="U3902" s="12" t="s">
        <v>31</v>
      </c>
      <c r="V3902" s="10" t="s">
        <v>24575</v>
      </c>
      <c r="W3902" s="10" t="s">
        <v>24522</v>
      </c>
      <c r="X3902" s="13" t="str">
        <f>HYPERLINK("https://my.pitchbook.com?p=67624-75P","View People Online")</f>
        <v>View People Online</v>
      </c>
    </row>
    <row r="3903">
      <c r="A3903" s="6" t="s">
        <v>24576</v>
      </c>
      <c r="B3903" s="6" t="s">
        <v>24577</v>
      </c>
      <c r="C3903" s="6" t="s">
        <v>24578</v>
      </c>
      <c r="D3903" s="6" t="s">
        <v>24579</v>
      </c>
      <c r="E3903" s="6" t="s">
        <v>24402</v>
      </c>
      <c r="F3903" s="6" t="s">
        <v>312</v>
      </c>
      <c r="G3903" s="6" t="s">
        <v>24580</v>
      </c>
      <c r="H3903" s="7" t="s">
        <v>31</v>
      </c>
      <c r="I3903" s="7">
        <v>9.0</v>
      </c>
      <c r="J3903" s="7">
        <v>2.0</v>
      </c>
      <c r="K3903" s="7" t="s">
        <v>31</v>
      </c>
      <c r="L3903" s="8" t="s">
        <v>24413</v>
      </c>
      <c r="M3903" s="6" t="s">
        <v>31</v>
      </c>
      <c r="N3903" s="6" t="s">
        <v>1348</v>
      </c>
      <c r="O3903" s="8" t="s">
        <v>1349</v>
      </c>
      <c r="P3903" s="6" t="s">
        <v>24406</v>
      </c>
      <c r="Q3903" s="6" t="s">
        <v>24407</v>
      </c>
      <c r="R3903" s="6" t="s">
        <v>1018</v>
      </c>
      <c r="S3903" s="8" t="s">
        <v>1352</v>
      </c>
      <c r="T3903" s="6" t="s">
        <v>1019</v>
      </c>
      <c r="U3903" s="8" t="s">
        <v>31</v>
      </c>
      <c r="V3903" s="6" t="s">
        <v>312</v>
      </c>
      <c r="W3903" s="6" t="s">
        <v>24479</v>
      </c>
      <c r="X3903" s="9" t="str">
        <f>HYPERLINK("https://my.pitchbook.com?p=305243-92P","View People Online")</f>
        <v>View People Online</v>
      </c>
    </row>
    <row r="3904">
      <c r="A3904" s="10" t="s">
        <v>24581</v>
      </c>
      <c r="B3904" s="10" t="s">
        <v>24582</v>
      </c>
      <c r="C3904" s="10" t="s">
        <v>10936</v>
      </c>
      <c r="D3904" s="10" t="s">
        <v>24583</v>
      </c>
      <c r="E3904" s="10" t="s">
        <v>24402</v>
      </c>
      <c r="F3904" s="10" t="s">
        <v>1283</v>
      </c>
      <c r="G3904" s="10" t="s">
        <v>24584</v>
      </c>
      <c r="H3904" s="11" t="s">
        <v>31</v>
      </c>
      <c r="I3904" s="11">
        <v>3.0</v>
      </c>
      <c r="J3904" s="11">
        <v>1.0</v>
      </c>
      <c r="K3904" s="11" t="s">
        <v>31</v>
      </c>
      <c r="L3904" s="12" t="s">
        <v>24413</v>
      </c>
      <c r="M3904" s="10" t="s">
        <v>31</v>
      </c>
      <c r="N3904" s="10" t="s">
        <v>1348</v>
      </c>
      <c r="O3904" s="12" t="s">
        <v>1349</v>
      </c>
      <c r="P3904" s="10" t="s">
        <v>24406</v>
      </c>
      <c r="Q3904" s="10" t="s">
        <v>24407</v>
      </c>
      <c r="R3904" s="10" t="s">
        <v>1018</v>
      </c>
      <c r="S3904" s="12" t="s">
        <v>1352</v>
      </c>
      <c r="T3904" s="10" t="s">
        <v>1019</v>
      </c>
      <c r="U3904" s="12" t="s">
        <v>31</v>
      </c>
      <c r="V3904" s="10" t="s">
        <v>24585</v>
      </c>
      <c r="W3904" s="10" t="s">
        <v>24402</v>
      </c>
      <c r="X3904" s="13" t="str">
        <f>HYPERLINK("https://my.pitchbook.com?p=348481-72P","View People Online")</f>
        <v>View People Online</v>
      </c>
    </row>
    <row r="3905">
      <c r="A3905" s="6" t="s">
        <v>24586</v>
      </c>
      <c r="B3905" s="6" t="s">
        <v>24587</v>
      </c>
      <c r="C3905" s="6" t="s">
        <v>24588</v>
      </c>
      <c r="D3905" s="6" t="s">
        <v>9681</v>
      </c>
      <c r="E3905" s="6" t="s">
        <v>24402</v>
      </c>
      <c r="F3905" s="6" t="s">
        <v>1283</v>
      </c>
      <c r="G3905" s="6" t="s">
        <v>24589</v>
      </c>
      <c r="H3905" s="7" t="s">
        <v>31</v>
      </c>
      <c r="I3905" s="7">
        <v>4.0</v>
      </c>
      <c r="J3905" s="7">
        <v>2.0</v>
      </c>
      <c r="K3905" s="7" t="s">
        <v>31</v>
      </c>
      <c r="L3905" s="8" t="s">
        <v>24413</v>
      </c>
      <c r="M3905" s="6" t="s">
        <v>24590</v>
      </c>
      <c r="N3905" s="6" t="s">
        <v>1348</v>
      </c>
      <c r="O3905" s="8" t="s">
        <v>1349</v>
      </c>
      <c r="P3905" s="6" t="s">
        <v>24520</v>
      </c>
      <c r="Q3905" s="6" t="s">
        <v>989</v>
      </c>
      <c r="R3905" s="6" t="s">
        <v>1018</v>
      </c>
      <c r="S3905" s="8" t="s">
        <v>1352</v>
      </c>
      <c r="T3905" s="6" t="s">
        <v>1019</v>
      </c>
      <c r="U3905" s="8" t="s">
        <v>31</v>
      </c>
      <c r="V3905" s="6" t="s">
        <v>24591</v>
      </c>
      <c r="W3905" s="6" t="s">
        <v>24522</v>
      </c>
      <c r="X3905" s="9" t="str">
        <f>HYPERLINK("https://my.pitchbook.com?p=297536-41P","View People Online")</f>
        <v>View People Online</v>
      </c>
    </row>
    <row r="3906">
      <c r="A3906" s="10" t="s">
        <v>24592</v>
      </c>
      <c r="B3906" s="10" t="s">
        <v>24593</v>
      </c>
      <c r="C3906" s="10" t="s">
        <v>1437</v>
      </c>
      <c r="D3906" s="10" t="s">
        <v>5608</v>
      </c>
      <c r="E3906" s="10" t="s">
        <v>24402</v>
      </c>
      <c r="F3906" s="10" t="s">
        <v>1283</v>
      </c>
      <c r="G3906" s="10" t="s">
        <v>24594</v>
      </c>
      <c r="H3906" s="11" t="s">
        <v>31</v>
      </c>
      <c r="I3906" s="11">
        <v>1.0</v>
      </c>
      <c r="J3906" s="11">
        <v>1.0</v>
      </c>
      <c r="K3906" s="11" t="s">
        <v>31</v>
      </c>
      <c r="L3906" s="12" t="s">
        <v>24413</v>
      </c>
      <c r="M3906" s="10" t="s">
        <v>24595</v>
      </c>
      <c r="N3906" s="10" t="s">
        <v>1348</v>
      </c>
      <c r="O3906" s="12" t="s">
        <v>1349</v>
      </c>
      <c r="P3906" s="10" t="s">
        <v>24406</v>
      </c>
      <c r="Q3906" s="10" t="s">
        <v>24407</v>
      </c>
      <c r="R3906" s="10" t="s">
        <v>1018</v>
      </c>
      <c r="S3906" s="12" t="s">
        <v>1352</v>
      </c>
      <c r="T3906" s="10" t="s">
        <v>1019</v>
      </c>
      <c r="U3906" s="12" t="s">
        <v>31</v>
      </c>
      <c r="V3906" s="10" t="s">
        <v>24585</v>
      </c>
      <c r="W3906" s="10" t="s">
        <v>24402</v>
      </c>
      <c r="X3906" s="13" t="str">
        <f>HYPERLINK("https://my.pitchbook.com?p=35240-32P","View People Online")</f>
        <v>View People Online</v>
      </c>
    </row>
    <row r="3907">
      <c r="A3907" s="14" t="s">
        <v>24596</v>
      </c>
      <c r="B3907" s="14" t="s">
        <v>24597</v>
      </c>
      <c r="C3907" s="14" t="s">
        <v>285</v>
      </c>
      <c r="D3907" s="14" t="s">
        <v>1698</v>
      </c>
      <c r="E3907" s="14" t="s">
        <v>24402</v>
      </c>
      <c r="F3907" s="14" t="s">
        <v>3288</v>
      </c>
      <c r="G3907" s="14" t="s">
        <v>24598</v>
      </c>
      <c r="H3907" s="15" t="s">
        <v>31</v>
      </c>
      <c r="I3907" s="15">
        <v>6.0</v>
      </c>
      <c r="J3907" s="15">
        <v>2.0</v>
      </c>
      <c r="K3907" s="15" t="s">
        <v>31</v>
      </c>
      <c r="L3907" s="16" t="s">
        <v>24413</v>
      </c>
      <c r="M3907" s="14" t="s">
        <v>24599</v>
      </c>
      <c r="N3907" s="14" t="s">
        <v>1348</v>
      </c>
      <c r="O3907" s="16" t="s">
        <v>1349</v>
      </c>
      <c r="P3907" s="14" t="s">
        <v>24415</v>
      </c>
      <c r="Q3907" s="14" t="s">
        <v>24416</v>
      </c>
      <c r="R3907" s="14" t="s">
        <v>1018</v>
      </c>
      <c r="S3907" s="16" t="s">
        <v>1352</v>
      </c>
      <c r="T3907" s="14" t="s">
        <v>1019</v>
      </c>
      <c r="U3907" s="16" t="s">
        <v>31</v>
      </c>
      <c r="V3907" s="14" t="s">
        <v>24600</v>
      </c>
      <c r="W3907" s="14" t="s">
        <v>24418</v>
      </c>
      <c r="X3907" s="17" t="str">
        <f>HYPERLINK("https://my.pitchbook.com?p=265256-11P","View People Online")</f>
        <v>View People Online</v>
      </c>
    </row>
    <row r="3908">
      <c r="A3908" s="10" t="s">
        <v>24601</v>
      </c>
      <c r="B3908" s="10" t="s">
        <v>24602</v>
      </c>
      <c r="C3908" s="10" t="s">
        <v>1982</v>
      </c>
      <c r="D3908" s="10" t="s">
        <v>24603</v>
      </c>
      <c r="E3908" s="10" t="s">
        <v>24402</v>
      </c>
      <c r="F3908" s="10" t="s">
        <v>57</v>
      </c>
      <c r="G3908" s="10" t="s">
        <v>24604</v>
      </c>
      <c r="H3908" s="11" t="s">
        <v>31</v>
      </c>
      <c r="I3908" s="11">
        <v>6.0</v>
      </c>
      <c r="J3908" s="11">
        <v>2.0</v>
      </c>
      <c r="K3908" s="11">
        <v>1.0</v>
      </c>
      <c r="L3908" s="12" t="s">
        <v>24413</v>
      </c>
      <c r="M3908" s="10" t="s">
        <v>24605</v>
      </c>
      <c r="N3908" s="10" t="s">
        <v>1348</v>
      </c>
      <c r="O3908" s="12" t="s">
        <v>1349</v>
      </c>
      <c r="P3908" s="10" t="s">
        <v>24406</v>
      </c>
      <c r="Q3908" s="10" t="s">
        <v>24407</v>
      </c>
      <c r="R3908" s="10" t="s">
        <v>1018</v>
      </c>
      <c r="S3908" s="12" t="s">
        <v>1352</v>
      </c>
      <c r="T3908" s="10" t="s">
        <v>1019</v>
      </c>
      <c r="U3908" s="12" t="s">
        <v>31</v>
      </c>
      <c r="V3908" s="10" t="s">
        <v>24606</v>
      </c>
      <c r="W3908" s="10" t="s">
        <v>24402</v>
      </c>
      <c r="X3908" s="13" t="str">
        <f>HYPERLINK("https://my.pitchbook.com?p=82711-27P","View People Online")</f>
        <v>View People Online</v>
      </c>
    </row>
    <row r="3909">
      <c r="A3909" s="14" t="s">
        <v>24607</v>
      </c>
      <c r="B3909" s="14" t="s">
        <v>24608</v>
      </c>
      <c r="C3909" s="14" t="s">
        <v>15483</v>
      </c>
      <c r="D3909" s="14" t="s">
        <v>24609</v>
      </c>
      <c r="E3909" s="14" t="s">
        <v>24402</v>
      </c>
      <c r="F3909" s="14" t="s">
        <v>57</v>
      </c>
      <c r="G3909" s="14" t="s">
        <v>24610</v>
      </c>
      <c r="H3909" s="15" t="s">
        <v>31</v>
      </c>
      <c r="I3909" s="15">
        <v>4.0</v>
      </c>
      <c r="J3909" s="15">
        <v>2.0</v>
      </c>
      <c r="K3909" s="15" t="s">
        <v>31</v>
      </c>
      <c r="L3909" s="16" t="s">
        <v>24413</v>
      </c>
      <c r="M3909" s="14" t="s">
        <v>24611</v>
      </c>
      <c r="N3909" s="14" t="s">
        <v>1348</v>
      </c>
      <c r="O3909" s="16" t="s">
        <v>1349</v>
      </c>
      <c r="P3909" s="14" t="s">
        <v>24415</v>
      </c>
      <c r="Q3909" s="14" t="s">
        <v>24416</v>
      </c>
      <c r="R3909" s="14" t="s">
        <v>1018</v>
      </c>
      <c r="S3909" s="16" t="s">
        <v>1352</v>
      </c>
      <c r="T3909" s="14" t="s">
        <v>1019</v>
      </c>
      <c r="U3909" s="16" t="s">
        <v>31</v>
      </c>
      <c r="V3909" s="14" t="s">
        <v>24424</v>
      </c>
      <c r="W3909" s="14" t="s">
        <v>24418</v>
      </c>
      <c r="X3909" s="17" t="str">
        <f>HYPERLINK("https://my.pitchbook.com?p=405975-43P","View People Online")</f>
        <v>View People Online</v>
      </c>
    </row>
    <row r="3910">
      <c r="A3910" s="2" t="s">
        <v>24612</v>
      </c>
      <c r="B3910" s="2" t="s">
        <v>24613</v>
      </c>
      <c r="C3910" s="2" t="s">
        <v>24614</v>
      </c>
      <c r="D3910" s="2" t="s">
        <v>24615</v>
      </c>
      <c r="E3910" s="2" t="s">
        <v>24402</v>
      </c>
      <c r="F3910" s="2" t="s">
        <v>1283</v>
      </c>
      <c r="G3910" s="2" t="s">
        <v>24616</v>
      </c>
      <c r="H3910" s="3" t="s">
        <v>31</v>
      </c>
      <c r="I3910" s="3">
        <v>2.0</v>
      </c>
      <c r="J3910" s="3">
        <v>2.0</v>
      </c>
      <c r="K3910" s="3" t="s">
        <v>31</v>
      </c>
      <c r="L3910" s="4" t="s">
        <v>24413</v>
      </c>
      <c r="M3910" s="2" t="s">
        <v>24617</v>
      </c>
      <c r="N3910" s="2" t="s">
        <v>1348</v>
      </c>
      <c r="O3910" s="4" t="s">
        <v>1349</v>
      </c>
      <c r="P3910" s="2" t="s">
        <v>24415</v>
      </c>
      <c r="Q3910" s="2" t="s">
        <v>24416</v>
      </c>
      <c r="R3910" s="2" t="s">
        <v>1018</v>
      </c>
      <c r="S3910" s="4" t="s">
        <v>1352</v>
      </c>
      <c r="T3910" s="2" t="s">
        <v>1019</v>
      </c>
      <c r="U3910" s="4" t="s">
        <v>31</v>
      </c>
      <c r="V3910" s="2" t="s">
        <v>24417</v>
      </c>
      <c r="W3910" s="2" t="s">
        <v>24418</v>
      </c>
      <c r="X3910" s="5" t="str">
        <f>HYPERLINK("https://my.pitchbook.com?p=297543-61P","View People Online")</f>
        <v>View People Online</v>
      </c>
    </row>
    <row r="3911">
      <c r="A3911" s="6" t="s">
        <v>24618</v>
      </c>
      <c r="B3911" s="6" t="s">
        <v>24619</v>
      </c>
      <c r="C3911" s="6" t="s">
        <v>11111</v>
      </c>
      <c r="D3911" s="6" t="s">
        <v>24620</v>
      </c>
      <c r="E3911" s="6" t="s">
        <v>24402</v>
      </c>
      <c r="F3911" s="6" t="s">
        <v>312</v>
      </c>
      <c r="G3911" s="6" t="s">
        <v>24621</v>
      </c>
      <c r="H3911" s="7" t="s">
        <v>31</v>
      </c>
      <c r="I3911" s="7">
        <v>2.0</v>
      </c>
      <c r="J3911" s="7">
        <v>1.0</v>
      </c>
      <c r="K3911" s="7" t="s">
        <v>31</v>
      </c>
      <c r="L3911" s="8" t="s">
        <v>24413</v>
      </c>
      <c r="M3911" s="6" t="s">
        <v>31</v>
      </c>
      <c r="N3911" s="6" t="s">
        <v>1348</v>
      </c>
      <c r="O3911" s="8" t="s">
        <v>1349</v>
      </c>
      <c r="P3911" s="6" t="s">
        <v>24406</v>
      </c>
      <c r="Q3911" s="6" t="s">
        <v>24407</v>
      </c>
      <c r="R3911" s="6" t="s">
        <v>1018</v>
      </c>
      <c r="S3911" s="8" t="s">
        <v>1352</v>
      </c>
      <c r="T3911" s="6" t="s">
        <v>1019</v>
      </c>
      <c r="U3911" s="8" t="s">
        <v>31</v>
      </c>
      <c r="V3911" s="6" t="s">
        <v>312</v>
      </c>
      <c r="W3911" s="6" t="s">
        <v>24402</v>
      </c>
      <c r="X3911" s="9" t="str">
        <f>HYPERLINK("https://my.pitchbook.com?p=445516-66P","View People Online")</f>
        <v>View People Online</v>
      </c>
    </row>
    <row r="3912">
      <c r="A3912" s="2" t="s">
        <v>24622</v>
      </c>
      <c r="B3912" s="2" t="s">
        <v>24623</v>
      </c>
      <c r="C3912" s="2" t="s">
        <v>7978</v>
      </c>
      <c r="D3912" s="2" t="s">
        <v>1471</v>
      </c>
      <c r="E3912" s="2" t="s">
        <v>24402</v>
      </c>
      <c r="F3912" s="2" t="s">
        <v>57</v>
      </c>
      <c r="G3912" s="2" t="s">
        <v>24624</v>
      </c>
      <c r="H3912" s="3" t="s">
        <v>31</v>
      </c>
      <c r="I3912" s="3">
        <v>6.0</v>
      </c>
      <c r="J3912" s="3">
        <v>3.0</v>
      </c>
      <c r="K3912" s="3">
        <v>1.0</v>
      </c>
      <c r="L3912" s="4" t="s">
        <v>24413</v>
      </c>
      <c r="M3912" s="2" t="s">
        <v>24625</v>
      </c>
      <c r="N3912" s="2" t="s">
        <v>1348</v>
      </c>
      <c r="O3912" s="4" t="s">
        <v>1349</v>
      </c>
      <c r="P3912" s="2" t="s">
        <v>24406</v>
      </c>
      <c r="Q3912" s="2" t="s">
        <v>24407</v>
      </c>
      <c r="R3912" s="2" t="s">
        <v>1018</v>
      </c>
      <c r="S3912" s="4" t="s">
        <v>1352</v>
      </c>
      <c r="T3912" s="2" t="s">
        <v>1019</v>
      </c>
      <c r="U3912" s="4" t="s">
        <v>31</v>
      </c>
      <c r="V3912" s="2" t="s">
        <v>24626</v>
      </c>
      <c r="W3912" s="2" t="s">
        <v>24402</v>
      </c>
      <c r="X3912" s="5" t="str">
        <f>HYPERLINK("https://my.pitchbook.com?p=265160-98P","View People Online")</f>
        <v>View People Online</v>
      </c>
    </row>
    <row r="3913">
      <c r="A3913" s="14" t="s">
        <v>24627</v>
      </c>
      <c r="B3913" s="14" t="s">
        <v>24628</v>
      </c>
      <c r="C3913" s="14" t="s">
        <v>7978</v>
      </c>
      <c r="D3913" s="14" t="s">
        <v>24629</v>
      </c>
      <c r="E3913" s="14" t="s">
        <v>24402</v>
      </c>
      <c r="F3913" s="14" t="s">
        <v>1283</v>
      </c>
      <c r="G3913" s="14" t="s">
        <v>24630</v>
      </c>
      <c r="H3913" s="15" t="s">
        <v>31</v>
      </c>
      <c r="I3913" s="15">
        <v>1.0</v>
      </c>
      <c r="J3913" s="15">
        <v>1.0</v>
      </c>
      <c r="K3913" s="15" t="s">
        <v>31</v>
      </c>
      <c r="L3913" s="16" t="s">
        <v>24413</v>
      </c>
      <c r="M3913" s="14" t="s">
        <v>24631</v>
      </c>
      <c r="N3913" s="14" t="s">
        <v>1348</v>
      </c>
      <c r="O3913" s="16" t="s">
        <v>1349</v>
      </c>
      <c r="P3913" s="14" t="s">
        <v>24406</v>
      </c>
      <c r="Q3913" s="14" t="s">
        <v>24407</v>
      </c>
      <c r="R3913" s="14" t="s">
        <v>1018</v>
      </c>
      <c r="S3913" s="16" t="s">
        <v>1352</v>
      </c>
      <c r="T3913" s="14" t="s">
        <v>1019</v>
      </c>
      <c r="U3913" s="16" t="s">
        <v>31</v>
      </c>
      <c r="V3913" s="14" t="s">
        <v>24585</v>
      </c>
      <c r="W3913" s="14" t="s">
        <v>24402</v>
      </c>
      <c r="X3913" s="17" t="str">
        <f>HYPERLINK("https://my.pitchbook.com?p=265266-46P","View People Online")</f>
        <v>View People Online</v>
      </c>
    </row>
    <row r="3914">
      <c r="A3914" s="10" t="s">
        <v>24632</v>
      </c>
      <c r="B3914" s="10" t="s">
        <v>24633</v>
      </c>
      <c r="C3914" s="10" t="s">
        <v>1449</v>
      </c>
      <c r="D3914" s="10" t="s">
        <v>24634</v>
      </c>
      <c r="E3914" s="10" t="s">
        <v>24402</v>
      </c>
      <c r="F3914" s="10" t="s">
        <v>57</v>
      </c>
      <c r="G3914" s="10" t="s">
        <v>24635</v>
      </c>
      <c r="H3914" s="11" t="s">
        <v>31</v>
      </c>
      <c r="I3914" s="11">
        <v>4.0</v>
      </c>
      <c r="J3914" s="11">
        <v>3.0</v>
      </c>
      <c r="K3914" s="11" t="s">
        <v>31</v>
      </c>
      <c r="L3914" s="12" t="s">
        <v>24636</v>
      </c>
      <c r="M3914" s="10" t="s">
        <v>24637</v>
      </c>
      <c r="N3914" s="10" t="s">
        <v>1348</v>
      </c>
      <c r="O3914" s="12" t="s">
        <v>1349</v>
      </c>
      <c r="P3914" s="10" t="s">
        <v>24406</v>
      </c>
      <c r="Q3914" s="10" t="s">
        <v>24407</v>
      </c>
      <c r="R3914" s="10" t="s">
        <v>1018</v>
      </c>
      <c r="S3914" s="12" t="s">
        <v>1352</v>
      </c>
      <c r="T3914" s="10" t="s">
        <v>1019</v>
      </c>
      <c r="U3914" s="12" t="s">
        <v>31</v>
      </c>
      <c r="V3914" s="10" t="s">
        <v>57</v>
      </c>
      <c r="W3914" s="10" t="s">
        <v>24402</v>
      </c>
      <c r="X3914" s="13" t="str">
        <f>HYPERLINK("https://my.pitchbook.com?p=44838-55P","View People Online")</f>
        <v>View People Online</v>
      </c>
    </row>
    <row r="3915">
      <c r="A3915" s="14" t="s">
        <v>24638</v>
      </c>
      <c r="B3915" s="14" t="s">
        <v>24639</v>
      </c>
      <c r="C3915" s="14" t="s">
        <v>1449</v>
      </c>
      <c r="D3915" s="14" t="s">
        <v>24640</v>
      </c>
      <c r="E3915" s="14" t="s">
        <v>24402</v>
      </c>
      <c r="F3915" s="14" t="s">
        <v>936</v>
      </c>
      <c r="G3915" s="14" t="s">
        <v>24641</v>
      </c>
      <c r="H3915" s="15" t="s">
        <v>31</v>
      </c>
      <c r="I3915" s="15">
        <v>3.0</v>
      </c>
      <c r="J3915" s="15">
        <v>3.0</v>
      </c>
      <c r="K3915" s="15" t="s">
        <v>31</v>
      </c>
      <c r="L3915" s="16" t="s">
        <v>24413</v>
      </c>
      <c r="M3915" s="14" t="s">
        <v>24642</v>
      </c>
      <c r="N3915" s="14" t="s">
        <v>1348</v>
      </c>
      <c r="O3915" s="16" t="s">
        <v>1349</v>
      </c>
      <c r="P3915" s="14" t="s">
        <v>24406</v>
      </c>
      <c r="Q3915" s="14" t="s">
        <v>24407</v>
      </c>
      <c r="R3915" s="14" t="s">
        <v>1018</v>
      </c>
      <c r="S3915" s="16" t="s">
        <v>1352</v>
      </c>
      <c r="T3915" s="14" t="s">
        <v>1019</v>
      </c>
      <c r="U3915" s="16" t="s">
        <v>31</v>
      </c>
      <c r="V3915" s="14" t="s">
        <v>24643</v>
      </c>
      <c r="W3915" s="14" t="s">
        <v>24402</v>
      </c>
      <c r="X3915" s="17" t="str">
        <f>HYPERLINK("https://my.pitchbook.com?p=265174-75P","View People Online")</f>
        <v>View People Online</v>
      </c>
    </row>
    <row r="3916">
      <c r="A3916" s="10" t="s">
        <v>24644</v>
      </c>
      <c r="B3916" s="10" t="s">
        <v>24645</v>
      </c>
      <c r="C3916" s="10" t="s">
        <v>1449</v>
      </c>
      <c r="D3916" s="10" t="s">
        <v>22755</v>
      </c>
      <c r="E3916" s="10" t="s">
        <v>24402</v>
      </c>
      <c r="F3916" s="10" t="s">
        <v>312</v>
      </c>
      <c r="G3916" s="10" t="s">
        <v>24646</v>
      </c>
      <c r="H3916" s="11" t="s">
        <v>31</v>
      </c>
      <c r="I3916" s="11">
        <v>5.0</v>
      </c>
      <c r="J3916" s="11">
        <v>1.0</v>
      </c>
      <c r="K3916" s="11">
        <v>2.0</v>
      </c>
      <c r="L3916" s="12" t="s">
        <v>24647</v>
      </c>
      <c r="M3916" s="10" t="s">
        <v>24648</v>
      </c>
      <c r="N3916" s="10" t="s">
        <v>1348</v>
      </c>
      <c r="O3916" s="12" t="s">
        <v>1349</v>
      </c>
      <c r="P3916" s="10" t="s">
        <v>24406</v>
      </c>
      <c r="Q3916" s="10" t="s">
        <v>24407</v>
      </c>
      <c r="R3916" s="10" t="s">
        <v>1018</v>
      </c>
      <c r="S3916" s="12" t="s">
        <v>1352</v>
      </c>
      <c r="T3916" s="10" t="s">
        <v>1019</v>
      </c>
      <c r="U3916" s="12" t="s">
        <v>31</v>
      </c>
      <c r="V3916" s="10" t="s">
        <v>312</v>
      </c>
      <c r="W3916" s="10" t="s">
        <v>24402</v>
      </c>
      <c r="X3916" s="13" t="str">
        <f>HYPERLINK("https://my.pitchbook.com?p=215025-58P","View People Online")</f>
        <v>View People Online</v>
      </c>
    </row>
    <row r="3917">
      <c r="A3917" s="6" t="s">
        <v>24649</v>
      </c>
      <c r="B3917" s="6" t="s">
        <v>24650</v>
      </c>
      <c r="C3917" s="6" t="s">
        <v>1449</v>
      </c>
      <c r="D3917" s="6" t="s">
        <v>24651</v>
      </c>
      <c r="E3917" s="6" t="s">
        <v>24402</v>
      </c>
      <c r="F3917" s="6" t="s">
        <v>583</v>
      </c>
      <c r="G3917" s="6" t="s">
        <v>24652</v>
      </c>
      <c r="H3917" s="7">
        <v>3.0</v>
      </c>
      <c r="I3917" s="7">
        <v>7.0</v>
      </c>
      <c r="J3917" s="7">
        <v>3.0</v>
      </c>
      <c r="K3917" s="7" t="s">
        <v>31</v>
      </c>
      <c r="L3917" s="8" t="s">
        <v>24653</v>
      </c>
      <c r="M3917" s="6" t="s">
        <v>24654</v>
      </c>
      <c r="N3917" s="6" t="s">
        <v>1348</v>
      </c>
      <c r="O3917" s="8" t="s">
        <v>1349</v>
      </c>
      <c r="P3917" s="6" t="s">
        <v>24406</v>
      </c>
      <c r="Q3917" s="6" t="s">
        <v>24407</v>
      </c>
      <c r="R3917" s="6" t="s">
        <v>1018</v>
      </c>
      <c r="S3917" s="8" t="s">
        <v>1352</v>
      </c>
      <c r="T3917" s="6" t="s">
        <v>1019</v>
      </c>
      <c r="U3917" s="8" t="s">
        <v>31</v>
      </c>
      <c r="V3917" s="6" t="s">
        <v>24655</v>
      </c>
      <c r="W3917" s="6" t="s">
        <v>24402</v>
      </c>
      <c r="X3917" s="9" t="str">
        <f>HYPERLINK("https://my.pitchbook.com?p=44838-37P","View People Online")</f>
        <v>View People Online</v>
      </c>
    </row>
    <row r="3918">
      <c r="A3918" s="2" t="s">
        <v>24656</v>
      </c>
      <c r="B3918" s="2" t="s">
        <v>24657</v>
      </c>
      <c r="C3918" s="2" t="s">
        <v>1449</v>
      </c>
      <c r="D3918" s="2" t="s">
        <v>24658</v>
      </c>
      <c r="E3918" s="2" t="s">
        <v>24402</v>
      </c>
      <c r="F3918" s="2" t="s">
        <v>57</v>
      </c>
      <c r="G3918" s="2" t="s">
        <v>24659</v>
      </c>
      <c r="H3918" s="3" t="s">
        <v>31</v>
      </c>
      <c r="I3918" s="3">
        <v>2.0</v>
      </c>
      <c r="J3918" s="3">
        <v>2.0</v>
      </c>
      <c r="K3918" s="3" t="s">
        <v>31</v>
      </c>
      <c r="L3918" s="4" t="s">
        <v>24533</v>
      </c>
      <c r="M3918" s="2" t="s">
        <v>24660</v>
      </c>
      <c r="N3918" s="2" t="s">
        <v>75</v>
      </c>
      <c r="O3918" s="4" t="s">
        <v>76</v>
      </c>
      <c r="P3918" s="2" t="s">
        <v>24415</v>
      </c>
      <c r="Q3918" s="2" t="s">
        <v>24535</v>
      </c>
      <c r="R3918" s="2" t="s">
        <v>75</v>
      </c>
      <c r="S3918" s="4" t="s">
        <v>24536</v>
      </c>
      <c r="T3918" s="2" t="s">
        <v>66</v>
      </c>
      <c r="U3918" s="4" t="s">
        <v>31</v>
      </c>
      <c r="V3918" s="2" t="s">
        <v>24661</v>
      </c>
      <c r="W3918" s="2" t="s">
        <v>24402</v>
      </c>
      <c r="X3918" s="5" t="str">
        <f>HYPERLINK("https://my.pitchbook.com?p=160817-68P","View People Online")</f>
        <v>View People Online</v>
      </c>
    </row>
    <row r="3919">
      <c r="A3919" s="6" t="s">
        <v>24662</v>
      </c>
      <c r="B3919" s="6" t="s">
        <v>24663</v>
      </c>
      <c r="C3919" s="6" t="s">
        <v>1449</v>
      </c>
      <c r="D3919" s="6" t="s">
        <v>1533</v>
      </c>
      <c r="E3919" s="6" t="s">
        <v>24402</v>
      </c>
      <c r="F3919" s="6" t="s">
        <v>1283</v>
      </c>
      <c r="G3919" s="6" t="s">
        <v>24664</v>
      </c>
      <c r="H3919" s="7" t="s">
        <v>31</v>
      </c>
      <c r="I3919" s="7">
        <v>3.0</v>
      </c>
      <c r="J3919" s="7">
        <v>3.0</v>
      </c>
      <c r="K3919" s="7" t="s">
        <v>31</v>
      </c>
      <c r="L3919" s="8" t="s">
        <v>24533</v>
      </c>
      <c r="M3919" s="6" t="s">
        <v>24665</v>
      </c>
      <c r="N3919" s="6" t="s">
        <v>75</v>
      </c>
      <c r="O3919" s="8" t="s">
        <v>76</v>
      </c>
      <c r="P3919" s="6" t="s">
        <v>24415</v>
      </c>
      <c r="Q3919" s="6" t="s">
        <v>24535</v>
      </c>
      <c r="R3919" s="6" t="s">
        <v>75</v>
      </c>
      <c r="S3919" s="8" t="s">
        <v>24536</v>
      </c>
      <c r="T3919" s="6" t="s">
        <v>66</v>
      </c>
      <c r="U3919" s="8" t="s">
        <v>31</v>
      </c>
      <c r="V3919" s="6" t="s">
        <v>24417</v>
      </c>
      <c r="W3919" s="6" t="s">
        <v>24402</v>
      </c>
      <c r="X3919" s="9" t="str">
        <f>HYPERLINK("https://my.pitchbook.com?p=406005-22P","View People Online")</f>
        <v>View People Online</v>
      </c>
    </row>
    <row r="3920">
      <c r="A3920" s="10" t="s">
        <v>24666</v>
      </c>
      <c r="B3920" s="10" t="s">
        <v>24667</v>
      </c>
      <c r="C3920" s="10" t="s">
        <v>24668</v>
      </c>
      <c r="D3920" s="10" t="s">
        <v>24669</v>
      </c>
      <c r="E3920" s="10" t="s">
        <v>24402</v>
      </c>
      <c r="F3920" s="10" t="s">
        <v>57</v>
      </c>
      <c r="G3920" s="10" t="s">
        <v>24670</v>
      </c>
      <c r="H3920" s="11">
        <v>1.0</v>
      </c>
      <c r="I3920" s="11">
        <v>9.0</v>
      </c>
      <c r="J3920" s="11">
        <v>3.0</v>
      </c>
      <c r="K3920" s="11">
        <v>3.0</v>
      </c>
      <c r="L3920" s="12" t="s">
        <v>24413</v>
      </c>
      <c r="M3920" s="10" t="s">
        <v>24671</v>
      </c>
      <c r="N3920" s="10" t="s">
        <v>1348</v>
      </c>
      <c r="O3920" s="12" t="s">
        <v>1349</v>
      </c>
      <c r="P3920" s="10" t="s">
        <v>24406</v>
      </c>
      <c r="Q3920" s="10" t="s">
        <v>24407</v>
      </c>
      <c r="R3920" s="10" t="s">
        <v>1018</v>
      </c>
      <c r="S3920" s="12" t="s">
        <v>1352</v>
      </c>
      <c r="T3920" s="10" t="s">
        <v>1019</v>
      </c>
      <c r="U3920" s="12" t="s">
        <v>31</v>
      </c>
      <c r="V3920" s="10" t="s">
        <v>24452</v>
      </c>
      <c r="W3920" s="10" t="s">
        <v>24479</v>
      </c>
      <c r="X3920" s="13" t="str">
        <f>HYPERLINK("https://my.pitchbook.com?p=265271-68P","View People Online")</f>
        <v>View People Online</v>
      </c>
    </row>
    <row r="3921">
      <c r="A3921" s="14" t="s">
        <v>24672</v>
      </c>
      <c r="B3921" s="14" t="s">
        <v>24673</v>
      </c>
      <c r="C3921" s="14" t="s">
        <v>24674</v>
      </c>
      <c r="D3921" s="14" t="s">
        <v>9186</v>
      </c>
      <c r="E3921" s="14" t="s">
        <v>24402</v>
      </c>
      <c r="F3921" s="14" t="s">
        <v>57</v>
      </c>
      <c r="G3921" s="14" t="s">
        <v>24675</v>
      </c>
      <c r="H3921" s="15" t="s">
        <v>31</v>
      </c>
      <c r="I3921" s="15">
        <v>3.0</v>
      </c>
      <c r="J3921" s="15">
        <v>3.0</v>
      </c>
      <c r="K3921" s="15" t="s">
        <v>31</v>
      </c>
      <c r="L3921" s="16" t="s">
        <v>24413</v>
      </c>
      <c r="M3921" s="14" t="s">
        <v>24676</v>
      </c>
      <c r="N3921" s="14" t="s">
        <v>1348</v>
      </c>
      <c r="O3921" s="16" t="s">
        <v>1349</v>
      </c>
      <c r="P3921" s="14" t="s">
        <v>24406</v>
      </c>
      <c r="Q3921" s="14" t="s">
        <v>24407</v>
      </c>
      <c r="R3921" s="14" t="s">
        <v>1018</v>
      </c>
      <c r="S3921" s="16" t="s">
        <v>1352</v>
      </c>
      <c r="T3921" s="14" t="s">
        <v>1019</v>
      </c>
      <c r="U3921" s="16" t="s">
        <v>31</v>
      </c>
      <c r="V3921" s="14" t="s">
        <v>24424</v>
      </c>
      <c r="W3921" s="14" t="s">
        <v>24402</v>
      </c>
      <c r="X3921" s="17" t="str">
        <f>HYPERLINK("https://my.pitchbook.com?p=297547-30P","View People Online")</f>
        <v>View People Online</v>
      </c>
    </row>
    <row r="3922">
      <c r="A3922" s="10" t="s">
        <v>24677</v>
      </c>
      <c r="B3922" s="10" t="s">
        <v>24678</v>
      </c>
      <c r="C3922" s="10" t="s">
        <v>589</v>
      </c>
      <c r="D3922" s="10" t="s">
        <v>24679</v>
      </c>
      <c r="E3922" s="10" t="s">
        <v>24402</v>
      </c>
      <c r="F3922" s="10" t="s">
        <v>1283</v>
      </c>
      <c r="G3922" s="10" t="s">
        <v>24680</v>
      </c>
      <c r="H3922" s="11" t="s">
        <v>31</v>
      </c>
      <c r="I3922" s="11">
        <v>2.0</v>
      </c>
      <c r="J3922" s="11">
        <v>2.0</v>
      </c>
      <c r="K3922" s="11" t="s">
        <v>31</v>
      </c>
      <c r="L3922" s="12" t="s">
        <v>24549</v>
      </c>
      <c r="M3922" s="10" t="s">
        <v>24681</v>
      </c>
      <c r="N3922" s="10" t="s">
        <v>243</v>
      </c>
      <c r="O3922" s="12" t="s">
        <v>244</v>
      </c>
      <c r="P3922" s="10" t="s">
        <v>24551</v>
      </c>
      <c r="Q3922" s="10" t="s">
        <v>24552</v>
      </c>
      <c r="R3922" s="10" t="s">
        <v>247</v>
      </c>
      <c r="S3922" s="12" t="s">
        <v>24553</v>
      </c>
      <c r="T3922" s="10" t="s">
        <v>249</v>
      </c>
      <c r="U3922" s="12" t="s">
        <v>31</v>
      </c>
      <c r="V3922" s="10" t="s">
        <v>24417</v>
      </c>
      <c r="W3922" s="10" t="s">
        <v>24402</v>
      </c>
      <c r="X3922" s="13" t="str">
        <f>HYPERLINK("https://my.pitchbook.com?p=406010-71P","View People Online")</f>
        <v>View People Online</v>
      </c>
    </row>
    <row r="3923">
      <c r="A3923" s="6" t="s">
        <v>24682</v>
      </c>
      <c r="B3923" s="6" t="s">
        <v>24683</v>
      </c>
      <c r="C3923" s="6" t="s">
        <v>24684</v>
      </c>
      <c r="D3923" s="6" t="s">
        <v>24685</v>
      </c>
      <c r="E3923" s="6" t="s">
        <v>24402</v>
      </c>
      <c r="F3923" s="6" t="s">
        <v>371</v>
      </c>
      <c r="G3923" s="6" t="s">
        <v>24686</v>
      </c>
      <c r="H3923" s="7" t="s">
        <v>31</v>
      </c>
      <c r="I3923" s="7">
        <v>1.0</v>
      </c>
      <c r="J3923" s="7">
        <v>1.0</v>
      </c>
      <c r="K3923" s="7" t="s">
        <v>31</v>
      </c>
      <c r="L3923" s="8" t="s">
        <v>24413</v>
      </c>
      <c r="M3923" s="6" t="s">
        <v>24687</v>
      </c>
      <c r="N3923" s="6" t="s">
        <v>1348</v>
      </c>
      <c r="O3923" s="8" t="s">
        <v>1349</v>
      </c>
      <c r="P3923" s="6" t="s">
        <v>24406</v>
      </c>
      <c r="Q3923" s="6" t="s">
        <v>24407</v>
      </c>
      <c r="R3923" s="6" t="s">
        <v>1018</v>
      </c>
      <c r="S3923" s="8" t="s">
        <v>1352</v>
      </c>
      <c r="T3923" s="6" t="s">
        <v>1019</v>
      </c>
      <c r="U3923" s="8" t="s">
        <v>31</v>
      </c>
      <c r="V3923" s="6" t="s">
        <v>24688</v>
      </c>
      <c r="W3923" s="6" t="s">
        <v>24402</v>
      </c>
      <c r="X3923" s="9" t="str">
        <f>HYPERLINK("https://my.pitchbook.com?p=402481-99P","View People Online")</f>
        <v>View People Online</v>
      </c>
    </row>
    <row r="3924">
      <c r="A3924" s="2" t="s">
        <v>24689</v>
      </c>
      <c r="B3924" s="2" t="s">
        <v>24690</v>
      </c>
      <c r="C3924" s="2" t="s">
        <v>3499</v>
      </c>
      <c r="D3924" s="2" t="s">
        <v>24691</v>
      </c>
      <c r="E3924" s="2" t="s">
        <v>24402</v>
      </c>
      <c r="F3924" s="2" t="s">
        <v>57</v>
      </c>
      <c r="G3924" s="2" t="s">
        <v>24692</v>
      </c>
      <c r="H3924" s="3">
        <v>1.0</v>
      </c>
      <c r="I3924" s="3">
        <v>12.0</v>
      </c>
      <c r="J3924" s="3">
        <v>3.0</v>
      </c>
      <c r="K3924" s="3">
        <v>5.0</v>
      </c>
      <c r="L3924" s="4" t="s">
        <v>24413</v>
      </c>
      <c r="M3924" s="2" t="s">
        <v>24693</v>
      </c>
      <c r="N3924" s="2" t="s">
        <v>1348</v>
      </c>
      <c r="O3924" s="4" t="s">
        <v>1349</v>
      </c>
      <c r="P3924" s="2" t="s">
        <v>24406</v>
      </c>
      <c r="Q3924" s="2" t="s">
        <v>24407</v>
      </c>
      <c r="R3924" s="2" t="s">
        <v>1018</v>
      </c>
      <c r="S3924" s="4" t="s">
        <v>1352</v>
      </c>
      <c r="T3924" s="2" t="s">
        <v>1019</v>
      </c>
      <c r="U3924" s="4" t="s">
        <v>31</v>
      </c>
      <c r="V3924" s="2" t="s">
        <v>24408</v>
      </c>
      <c r="W3924" s="2" t="s">
        <v>24402</v>
      </c>
      <c r="X3924" s="5" t="str">
        <f>HYPERLINK("https://my.pitchbook.com?p=30050-11P","View People Online")</f>
        <v>View People Online</v>
      </c>
    </row>
    <row r="3925">
      <c r="A3925" s="6" t="s">
        <v>24694</v>
      </c>
      <c r="B3925" s="6" t="s">
        <v>24695</v>
      </c>
      <c r="C3925" s="6" t="s">
        <v>16058</v>
      </c>
      <c r="D3925" s="6" t="s">
        <v>24696</v>
      </c>
      <c r="E3925" s="6" t="s">
        <v>24402</v>
      </c>
      <c r="F3925" s="6" t="s">
        <v>57</v>
      </c>
      <c r="G3925" s="6" t="s">
        <v>24697</v>
      </c>
      <c r="H3925" s="7">
        <v>1.0</v>
      </c>
      <c r="I3925" s="7">
        <v>7.0</v>
      </c>
      <c r="J3925" s="7">
        <v>2.0</v>
      </c>
      <c r="K3925" s="7">
        <v>3.0</v>
      </c>
      <c r="L3925" s="8" t="s">
        <v>24413</v>
      </c>
      <c r="M3925" s="6" t="s">
        <v>24698</v>
      </c>
      <c r="N3925" s="6" t="s">
        <v>1348</v>
      </c>
      <c r="O3925" s="8" t="s">
        <v>1349</v>
      </c>
      <c r="P3925" s="6" t="s">
        <v>24406</v>
      </c>
      <c r="Q3925" s="6" t="s">
        <v>24407</v>
      </c>
      <c r="R3925" s="6" t="s">
        <v>1018</v>
      </c>
      <c r="S3925" s="8" t="s">
        <v>1352</v>
      </c>
      <c r="T3925" s="6" t="s">
        <v>1019</v>
      </c>
      <c r="U3925" s="8" t="s">
        <v>31</v>
      </c>
      <c r="V3925" s="6" t="s">
        <v>24699</v>
      </c>
      <c r="W3925" s="6" t="s">
        <v>24402</v>
      </c>
      <c r="X3925" s="9" t="str">
        <f>HYPERLINK("https://my.pitchbook.com?p=181271-98P","View People Online")</f>
        <v>View People Online</v>
      </c>
    </row>
    <row r="3926">
      <c r="A3926" s="10" t="s">
        <v>24700</v>
      </c>
      <c r="B3926" s="10" t="s">
        <v>24701</v>
      </c>
      <c r="C3926" s="10" t="s">
        <v>24702</v>
      </c>
      <c r="D3926" s="10" t="s">
        <v>24703</v>
      </c>
      <c r="E3926" s="10" t="s">
        <v>24402</v>
      </c>
      <c r="F3926" s="10" t="s">
        <v>1283</v>
      </c>
      <c r="G3926" s="10" t="s">
        <v>24704</v>
      </c>
      <c r="H3926" s="11" t="s">
        <v>31</v>
      </c>
      <c r="I3926" s="11">
        <v>3.0</v>
      </c>
      <c r="J3926" s="11">
        <v>3.0</v>
      </c>
      <c r="K3926" s="11" t="s">
        <v>31</v>
      </c>
      <c r="L3926" s="12" t="s">
        <v>24413</v>
      </c>
      <c r="M3926" s="10" t="s">
        <v>24705</v>
      </c>
      <c r="N3926" s="10" t="s">
        <v>1348</v>
      </c>
      <c r="O3926" s="12" t="s">
        <v>1349</v>
      </c>
      <c r="P3926" s="10" t="s">
        <v>24415</v>
      </c>
      <c r="Q3926" s="10" t="s">
        <v>24416</v>
      </c>
      <c r="R3926" s="10" t="s">
        <v>1018</v>
      </c>
      <c r="S3926" s="12" t="s">
        <v>1352</v>
      </c>
      <c r="T3926" s="10" t="s">
        <v>1019</v>
      </c>
      <c r="U3926" s="12" t="s">
        <v>31</v>
      </c>
      <c r="V3926" s="10" t="s">
        <v>24417</v>
      </c>
      <c r="W3926" s="10" t="s">
        <v>24418</v>
      </c>
      <c r="X3926" s="13" t="str">
        <f>HYPERLINK("https://my.pitchbook.com?p=405957-70P","View People Online")</f>
        <v>View People Online</v>
      </c>
    </row>
    <row r="3927">
      <c r="A3927" s="14" t="s">
        <v>24706</v>
      </c>
      <c r="B3927" s="14" t="s">
        <v>24707</v>
      </c>
      <c r="C3927" s="14" t="s">
        <v>323</v>
      </c>
      <c r="D3927" s="14" t="s">
        <v>24708</v>
      </c>
      <c r="E3927" s="14" t="s">
        <v>24402</v>
      </c>
      <c r="F3927" s="14" t="s">
        <v>1283</v>
      </c>
      <c r="G3927" s="14" t="s">
        <v>24709</v>
      </c>
      <c r="H3927" s="15" t="s">
        <v>31</v>
      </c>
      <c r="I3927" s="15">
        <v>1.0</v>
      </c>
      <c r="J3927" s="15">
        <v>1.0</v>
      </c>
      <c r="K3927" s="15" t="s">
        <v>31</v>
      </c>
      <c r="L3927" s="16" t="s">
        <v>24413</v>
      </c>
      <c r="M3927" s="14" t="s">
        <v>24710</v>
      </c>
      <c r="N3927" s="14" t="s">
        <v>1348</v>
      </c>
      <c r="O3927" s="16" t="s">
        <v>1349</v>
      </c>
      <c r="P3927" s="14" t="s">
        <v>24406</v>
      </c>
      <c r="Q3927" s="14" t="s">
        <v>24407</v>
      </c>
      <c r="R3927" s="14" t="s">
        <v>1018</v>
      </c>
      <c r="S3927" s="16" t="s">
        <v>1352</v>
      </c>
      <c r="T3927" s="14" t="s">
        <v>1019</v>
      </c>
      <c r="U3927" s="16" t="s">
        <v>31</v>
      </c>
      <c r="V3927" s="14" t="s">
        <v>24585</v>
      </c>
      <c r="W3927" s="14" t="s">
        <v>24402</v>
      </c>
      <c r="X3927" s="17" t="str">
        <f>HYPERLINK("https://my.pitchbook.com?p=262196-29P","View People Online")</f>
        <v>View People Online</v>
      </c>
    </row>
    <row r="3928">
      <c r="A3928" s="2" t="s">
        <v>24711</v>
      </c>
      <c r="B3928" s="2" t="s">
        <v>24712</v>
      </c>
      <c r="C3928" s="2" t="s">
        <v>323</v>
      </c>
      <c r="D3928" s="2" t="s">
        <v>24713</v>
      </c>
      <c r="E3928" s="2" t="s">
        <v>24402</v>
      </c>
      <c r="F3928" s="2" t="s">
        <v>1283</v>
      </c>
      <c r="G3928" s="2" t="s">
        <v>24714</v>
      </c>
      <c r="H3928" s="3" t="s">
        <v>31</v>
      </c>
      <c r="I3928" s="3">
        <v>3.0</v>
      </c>
      <c r="J3928" s="3">
        <v>2.0</v>
      </c>
      <c r="K3928" s="3" t="s">
        <v>31</v>
      </c>
      <c r="L3928" s="4" t="s">
        <v>24413</v>
      </c>
      <c r="M3928" s="2" t="s">
        <v>24715</v>
      </c>
      <c r="N3928" s="2" t="s">
        <v>1348</v>
      </c>
      <c r="O3928" s="4" t="s">
        <v>1349</v>
      </c>
      <c r="P3928" s="2" t="s">
        <v>24406</v>
      </c>
      <c r="Q3928" s="2" t="s">
        <v>24407</v>
      </c>
      <c r="R3928" s="2" t="s">
        <v>1018</v>
      </c>
      <c r="S3928" s="4" t="s">
        <v>1352</v>
      </c>
      <c r="T3928" s="2" t="s">
        <v>1019</v>
      </c>
      <c r="U3928" s="4" t="s">
        <v>31</v>
      </c>
      <c r="V3928" s="2" t="s">
        <v>24716</v>
      </c>
      <c r="W3928" s="2" t="s">
        <v>24402</v>
      </c>
      <c r="X3928" s="5" t="str">
        <f>HYPERLINK("https://my.pitchbook.com?p=319670-29P","View People Online")</f>
        <v>View People Online</v>
      </c>
    </row>
    <row r="3929">
      <c r="A3929" s="14" t="s">
        <v>24717</v>
      </c>
      <c r="B3929" s="14" t="s">
        <v>24718</v>
      </c>
      <c r="C3929" s="14" t="s">
        <v>24719</v>
      </c>
      <c r="D3929" s="14" t="s">
        <v>24720</v>
      </c>
      <c r="E3929" s="14" t="s">
        <v>24402</v>
      </c>
      <c r="F3929" s="14" t="s">
        <v>1283</v>
      </c>
      <c r="G3929" s="14" t="s">
        <v>24721</v>
      </c>
      <c r="H3929" s="15" t="s">
        <v>31</v>
      </c>
      <c r="I3929" s="15">
        <v>3.0</v>
      </c>
      <c r="J3929" s="15">
        <v>3.0</v>
      </c>
      <c r="K3929" s="15" t="s">
        <v>31</v>
      </c>
      <c r="L3929" s="16" t="s">
        <v>24533</v>
      </c>
      <c r="M3929" s="14" t="s">
        <v>24722</v>
      </c>
      <c r="N3929" s="14" t="s">
        <v>75</v>
      </c>
      <c r="O3929" s="16" t="s">
        <v>76</v>
      </c>
      <c r="P3929" s="14" t="s">
        <v>24723</v>
      </c>
      <c r="Q3929" s="14" t="s">
        <v>24724</v>
      </c>
      <c r="R3929" s="14" t="s">
        <v>75</v>
      </c>
      <c r="S3929" s="16" t="s">
        <v>24536</v>
      </c>
      <c r="T3929" s="14" t="s">
        <v>66</v>
      </c>
      <c r="U3929" s="16" t="s">
        <v>31</v>
      </c>
      <c r="V3929" s="14" t="s">
        <v>24725</v>
      </c>
      <c r="W3929" s="14" t="s">
        <v>24493</v>
      </c>
      <c r="X3929" s="17" t="str">
        <f>HYPERLINK("https://my.pitchbook.com?p=405963-37P","View People Online")</f>
        <v>View People Online</v>
      </c>
    </row>
    <row r="3930">
      <c r="A3930" s="10" t="s">
        <v>24726</v>
      </c>
      <c r="B3930" s="10" t="s">
        <v>24727</v>
      </c>
      <c r="C3930" s="10" t="s">
        <v>12835</v>
      </c>
      <c r="D3930" s="10" t="s">
        <v>3570</v>
      </c>
      <c r="E3930" s="10" t="s">
        <v>24402</v>
      </c>
      <c r="F3930" s="10" t="s">
        <v>1283</v>
      </c>
      <c r="G3930" s="10" t="s">
        <v>24728</v>
      </c>
      <c r="H3930" s="11" t="s">
        <v>31</v>
      </c>
      <c r="I3930" s="11">
        <v>2.0</v>
      </c>
      <c r="J3930" s="11">
        <v>2.0</v>
      </c>
      <c r="K3930" s="11" t="s">
        <v>31</v>
      </c>
      <c r="L3930" s="12" t="s">
        <v>24533</v>
      </c>
      <c r="M3930" s="10" t="s">
        <v>24729</v>
      </c>
      <c r="N3930" s="10" t="s">
        <v>75</v>
      </c>
      <c r="O3930" s="12" t="s">
        <v>76</v>
      </c>
      <c r="P3930" s="10" t="s">
        <v>24415</v>
      </c>
      <c r="Q3930" s="10" t="s">
        <v>24535</v>
      </c>
      <c r="R3930" s="10" t="s">
        <v>75</v>
      </c>
      <c r="S3930" s="12" t="s">
        <v>24536</v>
      </c>
      <c r="T3930" s="10" t="s">
        <v>66</v>
      </c>
      <c r="U3930" s="12" t="s">
        <v>31</v>
      </c>
      <c r="V3930" s="10" t="s">
        <v>24417</v>
      </c>
      <c r="W3930" s="10" t="s">
        <v>24402</v>
      </c>
      <c r="X3930" s="13" t="str">
        <f>HYPERLINK("https://my.pitchbook.com?p=405992-17P","View People Online")</f>
        <v>View People Online</v>
      </c>
    </row>
    <row r="3931">
      <c r="A3931" s="14" t="s">
        <v>24730</v>
      </c>
      <c r="B3931" s="14" t="s">
        <v>24731</v>
      </c>
      <c r="C3931" s="14" t="s">
        <v>2066</v>
      </c>
      <c r="D3931" s="14" t="s">
        <v>2179</v>
      </c>
      <c r="E3931" s="14" t="s">
        <v>24402</v>
      </c>
      <c r="F3931" s="14" t="s">
        <v>1283</v>
      </c>
      <c r="G3931" s="14" t="s">
        <v>24732</v>
      </c>
      <c r="H3931" s="15">
        <v>1.0</v>
      </c>
      <c r="I3931" s="15">
        <v>6.0</v>
      </c>
      <c r="J3931" s="15">
        <v>2.0</v>
      </c>
      <c r="K3931" s="15">
        <v>1.0</v>
      </c>
      <c r="L3931" s="16" t="s">
        <v>24413</v>
      </c>
      <c r="M3931" s="14" t="s">
        <v>24733</v>
      </c>
      <c r="N3931" s="14" t="s">
        <v>1348</v>
      </c>
      <c r="O3931" s="16" t="s">
        <v>1349</v>
      </c>
      <c r="P3931" s="14" t="s">
        <v>24406</v>
      </c>
      <c r="Q3931" s="14" t="s">
        <v>24407</v>
      </c>
      <c r="R3931" s="14" t="s">
        <v>1018</v>
      </c>
      <c r="S3931" s="16" t="s">
        <v>1352</v>
      </c>
      <c r="T3931" s="14" t="s">
        <v>1019</v>
      </c>
      <c r="U3931" s="16" t="s">
        <v>31</v>
      </c>
      <c r="V3931" s="14" t="s">
        <v>24734</v>
      </c>
      <c r="W3931" s="14" t="s">
        <v>24402</v>
      </c>
      <c r="X3931" s="17" t="str">
        <f>HYPERLINK("https://my.pitchbook.com?p=265222-72P","View People Online")</f>
        <v>View People Online</v>
      </c>
    </row>
    <row r="3932">
      <c r="A3932" s="10" t="s">
        <v>24735</v>
      </c>
      <c r="B3932" s="10" t="s">
        <v>24736</v>
      </c>
      <c r="C3932" s="10" t="s">
        <v>1323</v>
      </c>
      <c r="D3932" s="10" t="s">
        <v>1317</v>
      </c>
      <c r="E3932" s="10" t="s">
        <v>24402</v>
      </c>
      <c r="F3932" s="10" t="s">
        <v>57</v>
      </c>
      <c r="G3932" s="10" t="s">
        <v>24737</v>
      </c>
      <c r="H3932" s="11" t="s">
        <v>31</v>
      </c>
      <c r="I3932" s="11">
        <v>4.0</v>
      </c>
      <c r="J3932" s="11">
        <v>3.0</v>
      </c>
      <c r="K3932" s="11" t="s">
        <v>31</v>
      </c>
      <c r="L3932" s="12" t="s">
        <v>24533</v>
      </c>
      <c r="M3932" s="10" t="s">
        <v>24738</v>
      </c>
      <c r="N3932" s="10" t="s">
        <v>75</v>
      </c>
      <c r="O3932" s="12" t="s">
        <v>76</v>
      </c>
      <c r="P3932" s="10" t="s">
        <v>24415</v>
      </c>
      <c r="Q3932" s="10" t="s">
        <v>24535</v>
      </c>
      <c r="R3932" s="10" t="s">
        <v>75</v>
      </c>
      <c r="S3932" s="12" t="s">
        <v>24536</v>
      </c>
      <c r="T3932" s="10" t="s">
        <v>66</v>
      </c>
      <c r="U3932" s="12" t="s">
        <v>31</v>
      </c>
      <c r="V3932" s="10" t="s">
        <v>24408</v>
      </c>
      <c r="W3932" s="10" t="s">
        <v>24402</v>
      </c>
      <c r="X3932" s="13" t="str">
        <f>HYPERLINK("https://my.pitchbook.com?p=329646-25P","View People Online")</f>
        <v>View People Online</v>
      </c>
    </row>
    <row r="3933">
      <c r="A3933" s="6" t="s">
        <v>24739</v>
      </c>
      <c r="B3933" s="6" t="s">
        <v>24740</v>
      </c>
      <c r="C3933" s="6" t="s">
        <v>14677</v>
      </c>
      <c r="D3933" s="6" t="s">
        <v>24741</v>
      </c>
      <c r="E3933" s="6" t="s">
        <v>24402</v>
      </c>
      <c r="F3933" s="6" t="s">
        <v>1283</v>
      </c>
      <c r="G3933" s="6" t="s">
        <v>24742</v>
      </c>
      <c r="H3933" s="7">
        <v>1.0</v>
      </c>
      <c r="I3933" s="7">
        <v>16.0</v>
      </c>
      <c r="J3933" s="7">
        <v>2.0</v>
      </c>
      <c r="K3933" s="7">
        <v>3.0</v>
      </c>
      <c r="L3933" s="8" t="s">
        <v>24413</v>
      </c>
      <c r="M3933" s="6" t="s">
        <v>24743</v>
      </c>
      <c r="N3933" s="6" t="s">
        <v>1348</v>
      </c>
      <c r="O3933" s="8" t="s">
        <v>1349</v>
      </c>
      <c r="P3933" s="6" t="s">
        <v>24406</v>
      </c>
      <c r="Q3933" s="6" t="s">
        <v>24407</v>
      </c>
      <c r="R3933" s="6" t="s">
        <v>1018</v>
      </c>
      <c r="S3933" s="8" t="s">
        <v>1352</v>
      </c>
      <c r="T3933" s="6" t="s">
        <v>1019</v>
      </c>
      <c r="U3933" s="8" t="s">
        <v>31</v>
      </c>
      <c r="V3933" s="6" t="s">
        <v>24734</v>
      </c>
      <c r="W3933" s="6" t="s">
        <v>24402</v>
      </c>
      <c r="X3933" s="9" t="str">
        <f>HYPERLINK("https://my.pitchbook.com?p=265150-45P","View People Online")</f>
        <v>View People Online</v>
      </c>
    </row>
    <row r="3934">
      <c r="A3934" s="2" t="s">
        <v>24744</v>
      </c>
      <c r="B3934" s="2" t="s">
        <v>24745</v>
      </c>
      <c r="C3934" s="2" t="s">
        <v>16629</v>
      </c>
      <c r="D3934" s="2" t="s">
        <v>17022</v>
      </c>
      <c r="E3934" s="2" t="s">
        <v>24402</v>
      </c>
      <c r="F3934" s="2" t="s">
        <v>371</v>
      </c>
      <c r="G3934" s="2" t="s">
        <v>24746</v>
      </c>
      <c r="H3934" s="3" t="s">
        <v>31</v>
      </c>
      <c r="I3934" s="3">
        <v>1.0</v>
      </c>
      <c r="J3934" s="3">
        <v>1.0</v>
      </c>
      <c r="K3934" s="3" t="s">
        <v>31</v>
      </c>
      <c r="L3934" s="4" t="s">
        <v>24413</v>
      </c>
      <c r="M3934" s="2" t="s">
        <v>24747</v>
      </c>
      <c r="N3934" s="2" t="s">
        <v>1348</v>
      </c>
      <c r="O3934" s="4" t="s">
        <v>1349</v>
      </c>
      <c r="P3934" s="2" t="s">
        <v>24406</v>
      </c>
      <c r="Q3934" s="2" t="s">
        <v>24407</v>
      </c>
      <c r="R3934" s="2" t="s">
        <v>1018</v>
      </c>
      <c r="S3934" s="4" t="s">
        <v>1352</v>
      </c>
      <c r="T3934" s="2" t="s">
        <v>1019</v>
      </c>
      <c r="U3934" s="4" t="s">
        <v>31</v>
      </c>
      <c r="V3934" s="2" t="s">
        <v>371</v>
      </c>
      <c r="W3934" s="2" t="s">
        <v>24402</v>
      </c>
      <c r="X3934" s="5" t="str">
        <f>HYPERLINK("https://my.pitchbook.com?p=114714-91P","View People Online")</f>
        <v>View People Online</v>
      </c>
    </row>
    <row r="3935">
      <c r="A3935" s="6" t="s">
        <v>24748</v>
      </c>
      <c r="B3935" s="6" t="s">
        <v>24749</v>
      </c>
      <c r="C3935" s="6" t="s">
        <v>16663</v>
      </c>
      <c r="D3935" s="6" t="s">
        <v>24750</v>
      </c>
      <c r="E3935" s="6" t="s">
        <v>24402</v>
      </c>
      <c r="F3935" s="6" t="s">
        <v>120</v>
      </c>
      <c r="G3935" s="6" t="s">
        <v>24751</v>
      </c>
      <c r="H3935" s="7">
        <v>1.0</v>
      </c>
      <c r="I3935" s="7">
        <v>3.0</v>
      </c>
      <c r="J3935" s="7">
        <v>2.0</v>
      </c>
      <c r="K3935" s="7" t="s">
        <v>31</v>
      </c>
      <c r="L3935" s="8" t="s">
        <v>24413</v>
      </c>
      <c r="M3935" s="6" t="s">
        <v>24752</v>
      </c>
      <c r="N3935" s="6" t="s">
        <v>1348</v>
      </c>
      <c r="O3935" s="8" t="s">
        <v>1349</v>
      </c>
      <c r="P3935" s="6" t="s">
        <v>24406</v>
      </c>
      <c r="Q3935" s="6" t="s">
        <v>24407</v>
      </c>
      <c r="R3935" s="6" t="s">
        <v>1018</v>
      </c>
      <c r="S3935" s="8" t="s">
        <v>1352</v>
      </c>
      <c r="T3935" s="6" t="s">
        <v>1019</v>
      </c>
      <c r="U3935" s="8" t="s">
        <v>31</v>
      </c>
      <c r="V3935" s="6" t="s">
        <v>24753</v>
      </c>
      <c r="W3935" s="6" t="s">
        <v>24402</v>
      </c>
      <c r="X3935" s="9" t="str">
        <f>HYPERLINK("https://my.pitchbook.com?p=265221-46P","View People Online")</f>
        <v>View People Online</v>
      </c>
    </row>
    <row r="3936">
      <c r="A3936" s="10" t="s">
        <v>24754</v>
      </c>
      <c r="B3936" s="10" t="s">
        <v>24755</v>
      </c>
      <c r="C3936" s="10" t="s">
        <v>24756</v>
      </c>
      <c r="D3936" s="10" t="s">
        <v>24757</v>
      </c>
      <c r="E3936" s="10" t="s">
        <v>24402</v>
      </c>
      <c r="F3936" s="10" t="s">
        <v>1283</v>
      </c>
      <c r="G3936" s="10" t="s">
        <v>24758</v>
      </c>
      <c r="H3936" s="11" t="s">
        <v>31</v>
      </c>
      <c r="I3936" s="11">
        <v>2.0</v>
      </c>
      <c r="J3936" s="11">
        <v>2.0</v>
      </c>
      <c r="K3936" s="11" t="s">
        <v>31</v>
      </c>
      <c r="L3936" s="12" t="s">
        <v>24533</v>
      </c>
      <c r="M3936" s="10" t="s">
        <v>24759</v>
      </c>
      <c r="N3936" s="10" t="s">
        <v>75</v>
      </c>
      <c r="O3936" s="12" t="s">
        <v>76</v>
      </c>
      <c r="P3936" s="10" t="s">
        <v>24723</v>
      </c>
      <c r="Q3936" s="10" t="s">
        <v>24724</v>
      </c>
      <c r="R3936" s="10" t="s">
        <v>75</v>
      </c>
      <c r="S3936" s="12" t="s">
        <v>24536</v>
      </c>
      <c r="T3936" s="10" t="s">
        <v>66</v>
      </c>
      <c r="U3936" s="12" t="s">
        <v>31</v>
      </c>
      <c r="V3936" s="10" t="s">
        <v>24760</v>
      </c>
      <c r="W3936" s="10" t="s">
        <v>24493</v>
      </c>
      <c r="X3936" s="13" t="str">
        <f>HYPERLINK("https://my.pitchbook.com?p=202299-76P","View People Online")</f>
        <v>View People Online</v>
      </c>
    </row>
    <row r="3937">
      <c r="A3937" s="6" t="s">
        <v>24761</v>
      </c>
      <c r="B3937" s="6" t="s">
        <v>24762</v>
      </c>
      <c r="C3937" s="6" t="s">
        <v>24763</v>
      </c>
      <c r="D3937" s="6" t="s">
        <v>24764</v>
      </c>
      <c r="E3937" s="6" t="s">
        <v>24402</v>
      </c>
      <c r="F3937" s="6" t="s">
        <v>1283</v>
      </c>
      <c r="G3937" s="6" t="s">
        <v>24765</v>
      </c>
      <c r="H3937" s="7" t="s">
        <v>31</v>
      </c>
      <c r="I3937" s="7">
        <v>2.0</v>
      </c>
      <c r="J3937" s="7">
        <v>2.0</v>
      </c>
      <c r="K3937" s="7" t="s">
        <v>31</v>
      </c>
      <c r="L3937" s="8" t="s">
        <v>24413</v>
      </c>
      <c r="M3937" s="6" t="s">
        <v>24766</v>
      </c>
      <c r="N3937" s="6" t="s">
        <v>1348</v>
      </c>
      <c r="O3937" s="8" t="s">
        <v>1349</v>
      </c>
      <c r="P3937" s="6" t="s">
        <v>24415</v>
      </c>
      <c r="Q3937" s="6" t="s">
        <v>24416</v>
      </c>
      <c r="R3937" s="6" t="s">
        <v>1018</v>
      </c>
      <c r="S3937" s="8" t="s">
        <v>1352</v>
      </c>
      <c r="T3937" s="6" t="s">
        <v>1019</v>
      </c>
      <c r="U3937" s="8" t="s">
        <v>31</v>
      </c>
      <c r="V3937" s="6" t="s">
        <v>24417</v>
      </c>
      <c r="W3937" s="6" t="s">
        <v>24418</v>
      </c>
      <c r="X3937" s="9" t="str">
        <f>HYPERLINK("https://my.pitchbook.com?p=405959-68P","View People Online")</f>
        <v>View People Online</v>
      </c>
    </row>
    <row r="3938">
      <c r="A3938" s="2" t="s">
        <v>24767</v>
      </c>
      <c r="B3938" s="2" t="s">
        <v>24768</v>
      </c>
      <c r="C3938" s="2" t="s">
        <v>5851</v>
      </c>
      <c r="D3938" s="2" t="s">
        <v>24769</v>
      </c>
      <c r="E3938" s="2" t="s">
        <v>24402</v>
      </c>
      <c r="F3938" s="2" t="s">
        <v>10522</v>
      </c>
      <c r="G3938" s="2" t="s">
        <v>24770</v>
      </c>
      <c r="H3938" s="3" t="s">
        <v>31</v>
      </c>
      <c r="I3938" s="3">
        <v>1.0</v>
      </c>
      <c r="J3938" s="3">
        <v>1.0</v>
      </c>
      <c r="K3938" s="3" t="s">
        <v>31</v>
      </c>
      <c r="L3938" s="4" t="s">
        <v>24413</v>
      </c>
      <c r="M3938" s="2" t="s">
        <v>24771</v>
      </c>
      <c r="N3938" s="2" t="s">
        <v>1348</v>
      </c>
      <c r="O3938" s="4" t="s">
        <v>1349</v>
      </c>
      <c r="P3938" s="2" t="s">
        <v>24406</v>
      </c>
      <c r="Q3938" s="2" t="s">
        <v>24407</v>
      </c>
      <c r="R3938" s="2" t="s">
        <v>1018</v>
      </c>
      <c r="S3938" s="4" t="s">
        <v>1352</v>
      </c>
      <c r="T3938" s="2" t="s">
        <v>1019</v>
      </c>
      <c r="U3938" s="4" t="s">
        <v>31</v>
      </c>
      <c r="V3938" s="2" t="s">
        <v>24772</v>
      </c>
      <c r="W3938" s="2" t="s">
        <v>24402</v>
      </c>
      <c r="X3938" s="5" t="str">
        <f>HYPERLINK("https://my.pitchbook.com?p=339758-83P","View People Online")</f>
        <v>View People Online</v>
      </c>
    </row>
    <row r="3939">
      <c r="A3939" s="6" t="s">
        <v>24773</v>
      </c>
      <c r="B3939" s="6" t="s">
        <v>24774</v>
      </c>
      <c r="C3939" s="6" t="s">
        <v>24775</v>
      </c>
      <c r="D3939" s="6" t="s">
        <v>4027</v>
      </c>
      <c r="E3939" s="6" t="s">
        <v>24402</v>
      </c>
      <c r="F3939" s="6" t="s">
        <v>936</v>
      </c>
      <c r="G3939" s="6" t="s">
        <v>24776</v>
      </c>
      <c r="H3939" s="7" t="s">
        <v>31</v>
      </c>
      <c r="I3939" s="7">
        <v>9.0</v>
      </c>
      <c r="J3939" s="7">
        <v>1.0</v>
      </c>
      <c r="K3939" s="7">
        <v>1.0</v>
      </c>
      <c r="L3939" s="8" t="s">
        <v>24533</v>
      </c>
      <c r="M3939" s="6" t="s">
        <v>31</v>
      </c>
      <c r="N3939" s="6" t="s">
        <v>75</v>
      </c>
      <c r="O3939" s="8" t="s">
        <v>76</v>
      </c>
      <c r="P3939" s="6" t="s">
        <v>24415</v>
      </c>
      <c r="Q3939" s="6" t="s">
        <v>24535</v>
      </c>
      <c r="R3939" s="6" t="s">
        <v>75</v>
      </c>
      <c r="S3939" s="8" t="s">
        <v>24536</v>
      </c>
      <c r="T3939" s="6" t="s">
        <v>66</v>
      </c>
      <c r="U3939" s="8" t="s">
        <v>31</v>
      </c>
      <c r="V3939" s="6" t="s">
        <v>24777</v>
      </c>
      <c r="W3939" s="6" t="s">
        <v>24402</v>
      </c>
      <c r="X3939" s="9" t="str">
        <f>HYPERLINK("https://my.pitchbook.com?p=398654-74P","View People Online")</f>
        <v>View People Online</v>
      </c>
    </row>
    <row r="3940">
      <c r="A3940" s="2" t="s">
        <v>24778</v>
      </c>
      <c r="B3940" s="2" t="s">
        <v>24779</v>
      </c>
      <c r="C3940" s="2" t="s">
        <v>17131</v>
      </c>
      <c r="D3940" s="2" t="s">
        <v>24780</v>
      </c>
      <c r="E3940" s="2" t="s">
        <v>24402</v>
      </c>
      <c r="F3940" s="2" t="s">
        <v>2731</v>
      </c>
      <c r="G3940" s="2" t="s">
        <v>24781</v>
      </c>
      <c r="H3940" s="3">
        <v>2.0</v>
      </c>
      <c r="I3940" s="3">
        <v>4.0</v>
      </c>
      <c r="J3940" s="3">
        <v>1.0</v>
      </c>
      <c r="K3940" s="3">
        <v>1.0</v>
      </c>
      <c r="L3940" s="4" t="s">
        <v>24782</v>
      </c>
      <c r="M3940" s="2" t="s">
        <v>24783</v>
      </c>
      <c r="N3940" s="2" t="s">
        <v>1348</v>
      </c>
      <c r="O3940" s="4" t="s">
        <v>1349</v>
      </c>
      <c r="P3940" s="2" t="s">
        <v>24406</v>
      </c>
      <c r="Q3940" s="2" t="s">
        <v>24407</v>
      </c>
      <c r="R3940" s="2" t="s">
        <v>1018</v>
      </c>
      <c r="S3940" s="4" t="s">
        <v>1352</v>
      </c>
      <c r="T3940" s="2" t="s">
        <v>1019</v>
      </c>
      <c r="U3940" s="4" t="s">
        <v>31</v>
      </c>
      <c r="V3940" s="2" t="s">
        <v>31</v>
      </c>
      <c r="W3940" s="2" t="s">
        <v>24784</v>
      </c>
      <c r="X3940" s="5" t="str">
        <f>HYPERLINK("https://my.pitchbook.com?p=201188-35P","View People Online")</f>
        <v>View People Online</v>
      </c>
    </row>
    <row r="3941">
      <c r="A3941" s="6" t="s">
        <v>24785</v>
      </c>
      <c r="B3941" s="6" t="s">
        <v>24786</v>
      </c>
      <c r="C3941" s="6" t="s">
        <v>17269</v>
      </c>
      <c r="D3941" s="6" t="s">
        <v>24787</v>
      </c>
      <c r="E3941" s="6" t="s">
        <v>24402</v>
      </c>
      <c r="F3941" s="6" t="s">
        <v>1283</v>
      </c>
      <c r="G3941" s="6" t="s">
        <v>24788</v>
      </c>
      <c r="H3941" s="7" t="s">
        <v>31</v>
      </c>
      <c r="I3941" s="7">
        <v>1.0</v>
      </c>
      <c r="J3941" s="7">
        <v>1.0</v>
      </c>
      <c r="K3941" s="7" t="s">
        <v>31</v>
      </c>
      <c r="L3941" s="8" t="s">
        <v>24413</v>
      </c>
      <c r="M3941" s="6" t="s">
        <v>24789</v>
      </c>
      <c r="N3941" s="6" t="s">
        <v>1348</v>
      </c>
      <c r="O3941" s="8" t="s">
        <v>1349</v>
      </c>
      <c r="P3941" s="6" t="s">
        <v>24406</v>
      </c>
      <c r="Q3941" s="6" t="s">
        <v>24407</v>
      </c>
      <c r="R3941" s="6" t="s">
        <v>1018</v>
      </c>
      <c r="S3941" s="8" t="s">
        <v>1352</v>
      </c>
      <c r="T3941" s="6" t="s">
        <v>1019</v>
      </c>
      <c r="U3941" s="8" t="s">
        <v>31</v>
      </c>
      <c r="V3941" s="6" t="s">
        <v>24585</v>
      </c>
      <c r="W3941" s="6" t="s">
        <v>24402</v>
      </c>
      <c r="X3941" s="9" t="str">
        <f>HYPERLINK("https://my.pitchbook.com?p=64558-99P","View People Online")</f>
        <v>View People Online</v>
      </c>
    </row>
    <row r="3942">
      <c r="A3942" s="2" t="s">
        <v>24790</v>
      </c>
      <c r="B3942" s="2" t="s">
        <v>24791</v>
      </c>
      <c r="C3942" s="2" t="s">
        <v>24792</v>
      </c>
      <c r="D3942" s="2" t="s">
        <v>24793</v>
      </c>
      <c r="E3942" s="2" t="s">
        <v>24402</v>
      </c>
      <c r="F3942" s="2" t="s">
        <v>312</v>
      </c>
      <c r="G3942" s="2" t="s">
        <v>24794</v>
      </c>
      <c r="H3942" s="3" t="s">
        <v>31</v>
      </c>
      <c r="I3942" s="3">
        <v>4.0</v>
      </c>
      <c r="J3942" s="3">
        <v>1.0</v>
      </c>
      <c r="K3942" s="3" t="s">
        <v>31</v>
      </c>
      <c r="L3942" s="4" t="s">
        <v>24413</v>
      </c>
      <c r="M3942" s="2" t="s">
        <v>31</v>
      </c>
      <c r="N3942" s="2" t="s">
        <v>1348</v>
      </c>
      <c r="O3942" s="4" t="s">
        <v>1349</v>
      </c>
      <c r="P3942" s="2" t="s">
        <v>24406</v>
      </c>
      <c r="Q3942" s="2" t="s">
        <v>24407</v>
      </c>
      <c r="R3942" s="2" t="s">
        <v>1018</v>
      </c>
      <c r="S3942" s="4" t="s">
        <v>1352</v>
      </c>
      <c r="T3942" s="2" t="s">
        <v>1019</v>
      </c>
      <c r="U3942" s="4" t="s">
        <v>31</v>
      </c>
      <c r="V3942" s="2" t="s">
        <v>24795</v>
      </c>
      <c r="W3942" s="2" t="s">
        <v>24402</v>
      </c>
      <c r="X3942" s="5" t="str">
        <f>HYPERLINK("https://my.pitchbook.com?p=442268-29P","View People Online")</f>
        <v>View People Online</v>
      </c>
    </row>
    <row r="3943">
      <c r="A3943" s="14" t="s">
        <v>24796</v>
      </c>
      <c r="B3943" s="14" t="s">
        <v>24797</v>
      </c>
      <c r="C3943" s="14" t="s">
        <v>3650</v>
      </c>
      <c r="D3943" s="14" t="s">
        <v>24798</v>
      </c>
      <c r="E3943" s="14" t="s">
        <v>24402</v>
      </c>
      <c r="F3943" s="14" t="s">
        <v>1249</v>
      </c>
      <c r="G3943" s="14" t="s">
        <v>24799</v>
      </c>
      <c r="H3943" s="15">
        <v>3.0</v>
      </c>
      <c r="I3943" s="15">
        <v>15.0</v>
      </c>
      <c r="J3943" s="15">
        <v>2.0</v>
      </c>
      <c r="K3943" s="15">
        <v>10.0</v>
      </c>
      <c r="L3943" s="16" t="s">
        <v>24413</v>
      </c>
      <c r="M3943" s="14" t="s">
        <v>24800</v>
      </c>
      <c r="N3943" s="14" t="s">
        <v>1348</v>
      </c>
      <c r="O3943" s="16" t="s">
        <v>1349</v>
      </c>
      <c r="P3943" s="14" t="s">
        <v>24406</v>
      </c>
      <c r="Q3943" s="14" t="s">
        <v>24407</v>
      </c>
      <c r="R3943" s="14" t="s">
        <v>1018</v>
      </c>
      <c r="S3943" s="16" t="s">
        <v>1352</v>
      </c>
      <c r="T3943" s="14" t="s">
        <v>1019</v>
      </c>
      <c r="U3943" s="16" t="s">
        <v>31</v>
      </c>
      <c r="V3943" s="14" t="s">
        <v>24801</v>
      </c>
      <c r="W3943" s="14" t="s">
        <v>24493</v>
      </c>
      <c r="X3943" s="17" t="str">
        <f>HYPERLINK("https://my.pitchbook.com?p=255743-74P","View People Online")</f>
        <v>View People Online</v>
      </c>
    </row>
    <row r="3944">
      <c r="A3944" s="2" t="s">
        <v>24802</v>
      </c>
      <c r="B3944" s="2" t="s">
        <v>24803</v>
      </c>
      <c r="C3944" s="2" t="s">
        <v>10221</v>
      </c>
      <c r="D3944" s="2" t="s">
        <v>24804</v>
      </c>
      <c r="E3944" s="2" t="s">
        <v>24402</v>
      </c>
      <c r="F3944" s="2" t="s">
        <v>3288</v>
      </c>
      <c r="G3944" s="2" t="s">
        <v>24805</v>
      </c>
      <c r="H3944" s="3" t="s">
        <v>31</v>
      </c>
      <c r="I3944" s="3">
        <v>6.0</v>
      </c>
      <c r="J3944" s="3">
        <v>2.0</v>
      </c>
      <c r="K3944" s="3">
        <v>2.0</v>
      </c>
      <c r="L3944" s="4" t="s">
        <v>24413</v>
      </c>
      <c r="M3944" s="2" t="s">
        <v>24806</v>
      </c>
      <c r="N3944" s="2" t="s">
        <v>1348</v>
      </c>
      <c r="O3944" s="4" t="s">
        <v>1349</v>
      </c>
      <c r="P3944" s="2" t="s">
        <v>24415</v>
      </c>
      <c r="Q3944" s="2" t="s">
        <v>24416</v>
      </c>
      <c r="R3944" s="2" t="s">
        <v>1018</v>
      </c>
      <c r="S3944" s="4" t="s">
        <v>1352</v>
      </c>
      <c r="T3944" s="2" t="s">
        <v>1019</v>
      </c>
      <c r="U3944" s="4" t="s">
        <v>31</v>
      </c>
      <c r="V3944" s="2" t="s">
        <v>24807</v>
      </c>
      <c r="W3944" s="2" t="s">
        <v>24418</v>
      </c>
      <c r="X3944" s="5" t="str">
        <f>HYPERLINK("https://my.pitchbook.com?p=262199-62P","View People Online")</f>
        <v>View People Online</v>
      </c>
    </row>
    <row r="3945">
      <c r="A3945" s="14" t="s">
        <v>24808</v>
      </c>
      <c r="B3945" s="14" t="s">
        <v>24809</v>
      </c>
      <c r="C3945" s="14" t="s">
        <v>823</v>
      </c>
      <c r="D3945" s="14" t="s">
        <v>24810</v>
      </c>
      <c r="E3945" s="14" t="s">
        <v>24402</v>
      </c>
      <c r="F3945" s="14" t="s">
        <v>312</v>
      </c>
      <c r="G3945" s="14" t="s">
        <v>24811</v>
      </c>
      <c r="H3945" s="15" t="s">
        <v>31</v>
      </c>
      <c r="I3945" s="15">
        <v>1.0</v>
      </c>
      <c r="J3945" s="15">
        <v>1.0</v>
      </c>
      <c r="K3945" s="15" t="s">
        <v>31</v>
      </c>
      <c r="L3945" s="16" t="s">
        <v>24413</v>
      </c>
      <c r="M3945" s="14" t="s">
        <v>24812</v>
      </c>
      <c r="N3945" s="14" t="s">
        <v>1348</v>
      </c>
      <c r="O3945" s="16" t="s">
        <v>1349</v>
      </c>
      <c r="P3945" s="14" t="s">
        <v>24406</v>
      </c>
      <c r="Q3945" s="14" t="s">
        <v>24407</v>
      </c>
      <c r="R3945" s="14" t="s">
        <v>1018</v>
      </c>
      <c r="S3945" s="16" t="s">
        <v>1352</v>
      </c>
      <c r="T3945" s="14" t="s">
        <v>1019</v>
      </c>
      <c r="U3945" s="16" t="s">
        <v>31</v>
      </c>
      <c r="V3945" s="14" t="s">
        <v>312</v>
      </c>
      <c r="W3945" s="14" t="s">
        <v>24402</v>
      </c>
      <c r="X3945" s="17" t="str">
        <f>HYPERLINK("https://my.pitchbook.com?p=397128-07P","View People Online")</f>
        <v>View People Online</v>
      </c>
    </row>
    <row r="3946">
      <c r="A3946" s="10" t="s">
        <v>24813</v>
      </c>
      <c r="B3946" s="10" t="s">
        <v>24814</v>
      </c>
      <c r="C3946" s="10" t="s">
        <v>8163</v>
      </c>
      <c r="D3946" s="10" t="s">
        <v>24815</v>
      </c>
      <c r="E3946" s="10" t="s">
        <v>24402</v>
      </c>
      <c r="F3946" s="10" t="s">
        <v>3288</v>
      </c>
      <c r="G3946" s="10" t="s">
        <v>24816</v>
      </c>
      <c r="H3946" s="11" t="s">
        <v>31</v>
      </c>
      <c r="I3946" s="11">
        <v>2.0</v>
      </c>
      <c r="J3946" s="11">
        <v>2.0</v>
      </c>
      <c r="K3946" s="11" t="s">
        <v>31</v>
      </c>
      <c r="L3946" s="12" t="s">
        <v>24413</v>
      </c>
      <c r="M3946" s="10" t="s">
        <v>24817</v>
      </c>
      <c r="N3946" s="10" t="s">
        <v>1348</v>
      </c>
      <c r="O3946" s="12" t="s">
        <v>1349</v>
      </c>
      <c r="P3946" s="10" t="s">
        <v>24406</v>
      </c>
      <c r="Q3946" s="10" t="s">
        <v>24407</v>
      </c>
      <c r="R3946" s="10" t="s">
        <v>1018</v>
      </c>
      <c r="S3946" s="12" t="s">
        <v>1352</v>
      </c>
      <c r="T3946" s="10" t="s">
        <v>1019</v>
      </c>
      <c r="U3946" s="12" t="s">
        <v>31</v>
      </c>
      <c r="V3946" s="10" t="s">
        <v>24818</v>
      </c>
      <c r="W3946" s="10" t="s">
        <v>24402</v>
      </c>
      <c r="X3946" s="13" t="str">
        <f>HYPERLINK("https://my.pitchbook.com?p=201389-50P","View People Online")</f>
        <v>View People Online</v>
      </c>
    </row>
    <row r="3947">
      <c r="A3947" s="6" t="s">
        <v>24819</v>
      </c>
      <c r="B3947" s="6" t="s">
        <v>24820</v>
      </c>
      <c r="C3947" s="6" t="s">
        <v>3529</v>
      </c>
      <c r="D3947" s="6" t="s">
        <v>24821</v>
      </c>
      <c r="E3947" s="6" t="s">
        <v>24402</v>
      </c>
      <c r="F3947" s="6" t="s">
        <v>1283</v>
      </c>
      <c r="G3947" s="6" t="s">
        <v>24822</v>
      </c>
      <c r="H3947" s="7" t="s">
        <v>31</v>
      </c>
      <c r="I3947" s="7">
        <v>1.0</v>
      </c>
      <c r="J3947" s="7">
        <v>1.0</v>
      </c>
      <c r="K3947" s="7" t="s">
        <v>31</v>
      </c>
      <c r="L3947" s="8" t="s">
        <v>24823</v>
      </c>
      <c r="M3947" s="6" t="s">
        <v>24824</v>
      </c>
      <c r="N3947" s="6" t="s">
        <v>2478</v>
      </c>
      <c r="O3947" s="8" t="s">
        <v>7332</v>
      </c>
      <c r="P3947" s="6" t="s">
        <v>24825</v>
      </c>
      <c r="Q3947" s="6" t="s">
        <v>24826</v>
      </c>
      <c r="R3947" s="6" t="s">
        <v>7335</v>
      </c>
      <c r="S3947" s="8" t="s">
        <v>7336</v>
      </c>
      <c r="T3947" s="6" t="s">
        <v>5484</v>
      </c>
      <c r="U3947" s="8" t="s">
        <v>31</v>
      </c>
      <c r="V3947" s="6" t="s">
        <v>24827</v>
      </c>
      <c r="W3947" s="6" t="s">
        <v>24402</v>
      </c>
      <c r="X3947" s="9" t="str">
        <f>HYPERLINK("https://my.pitchbook.com?p=405960-58P","View People Online")</f>
        <v>View People Online</v>
      </c>
    </row>
    <row r="3948">
      <c r="A3948" s="2" t="s">
        <v>24828</v>
      </c>
      <c r="B3948" s="2" t="s">
        <v>24829</v>
      </c>
      <c r="C3948" s="2" t="s">
        <v>3529</v>
      </c>
      <c r="D3948" s="2" t="s">
        <v>24830</v>
      </c>
      <c r="E3948" s="2" t="s">
        <v>24402</v>
      </c>
      <c r="F3948" s="2" t="s">
        <v>1283</v>
      </c>
      <c r="G3948" s="2" t="s">
        <v>24831</v>
      </c>
      <c r="H3948" s="3" t="s">
        <v>31</v>
      </c>
      <c r="I3948" s="3">
        <v>2.0</v>
      </c>
      <c r="J3948" s="3">
        <v>2.0</v>
      </c>
      <c r="K3948" s="3" t="s">
        <v>31</v>
      </c>
      <c r="L3948" s="4" t="s">
        <v>24533</v>
      </c>
      <c r="M3948" s="2" t="s">
        <v>24832</v>
      </c>
      <c r="N3948" s="2" t="s">
        <v>75</v>
      </c>
      <c r="O3948" s="4" t="s">
        <v>76</v>
      </c>
      <c r="P3948" s="2" t="s">
        <v>24723</v>
      </c>
      <c r="Q3948" s="2" t="s">
        <v>24724</v>
      </c>
      <c r="R3948" s="2" t="s">
        <v>75</v>
      </c>
      <c r="S3948" s="4" t="s">
        <v>24536</v>
      </c>
      <c r="T3948" s="2" t="s">
        <v>66</v>
      </c>
      <c r="U3948" s="4" t="s">
        <v>31</v>
      </c>
      <c r="V3948" s="2" t="s">
        <v>3406</v>
      </c>
      <c r="W3948" s="2" t="s">
        <v>24493</v>
      </c>
      <c r="X3948" s="5" t="str">
        <f>HYPERLINK("https://my.pitchbook.com?p=219678-40P","View People Online")</f>
        <v>View People Online</v>
      </c>
    </row>
    <row r="3949">
      <c r="A3949" s="14" t="s">
        <v>24833</v>
      </c>
      <c r="B3949" s="14" t="s">
        <v>24834</v>
      </c>
      <c r="C3949" s="14" t="s">
        <v>24835</v>
      </c>
      <c r="D3949" s="14" t="s">
        <v>24836</v>
      </c>
      <c r="E3949" s="14" t="s">
        <v>24402</v>
      </c>
      <c r="F3949" s="14" t="s">
        <v>57</v>
      </c>
      <c r="G3949" s="14" t="s">
        <v>24837</v>
      </c>
      <c r="H3949" s="15" t="s">
        <v>31</v>
      </c>
      <c r="I3949" s="15">
        <v>9.0</v>
      </c>
      <c r="J3949" s="15">
        <v>4.0</v>
      </c>
      <c r="K3949" s="15" t="s">
        <v>31</v>
      </c>
      <c r="L3949" s="16" t="s">
        <v>24413</v>
      </c>
      <c r="M3949" s="14" t="s">
        <v>24838</v>
      </c>
      <c r="N3949" s="14" t="s">
        <v>1348</v>
      </c>
      <c r="O3949" s="16" t="s">
        <v>1349</v>
      </c>
      <c r="P3949" s="14" t="s">
        <v>24406</v>
      </c>
      <c r="Q3949" s="14" t="s">
        <v>24407</v>
      </c>
      <c r="R3949" s="14" t="s">
        <v>1018</v>
      </c>
      <c r="S3949" s="16" t="s">
        <v>1352</v>
      </c>
      <c r="T3949" s="14" t="s">
        <v>1019</v>
      </c>
      <c r="U3949" s="16" t="s">
        <v>31</v>
      </c>
      <c r="V3949" s="14" t="s">
        <v>24408</v>
      </c>
      <c r="W3949" s="14" t="s">
        <v>24402</v>
      </c>
      <c r="X3949" s="17" t="str">
        <f>HYPERLINK("https://my.pitchbook.com?p=150405-94P","View People Online")</f>
        <v>View People Online</v>
      </c>
    </row>
    <row r="3950">
      <c r="A3950" s="2" t="s">
        <v>24839</v>
      </c>
      <c r="B3950" s="2" t="s">
        <v>24840</v>
      </c>
      <c r="C3950" s="2" t="s">
        <v>17613</v>
      </c>
      <c r="D3950" s="2" t="s">
        <v>24841</v>
      </c>
      <c r="E3950" s="2" t="s">
        <v>24402</v>
      </c>
      <c r="F3950" s="2" t="s">
        <v>1283</v>
      </c>
      <c r="G3950" s="2" t="s">
        <v>24842</v>
      </c>
      <c r="H3950" s="3" t="s">
        <v>31</v>
      </c>
      <c r="I3950" s="3">
        <v>3.0</v>
      </c>
      <c r="J3950" s="3">
        <v>3.0</v>
      </c>
      <c r="K3950" s="3" t="s">
        <v>31</v>
      </c>
      <c r="L3950" s="4" t="s">
        <v>24413</v>
      </c>
      <c r="M3950" s="2" t="s">
        <v>24843</v>
      </c>
      <c r="N3950" s="2" t="s">
        <v>1348</v>
      </c>
      <c r="O3950" s="4" t="s">
        <v>1349</v>
      </c>
      <c r="P3950" s="2" t="s">
        <v>24406</v>
      </c>
      <c r="Q3950" s="2" t="s">
        <v>24407</v>
      </c>
      <c r="R3950" s="2" t="s">
        <v>1018</v>
      </c>
      <c r="S3950" s="4" t="s">
        <v>1352</v>
      </c>
      <c r="T3950" s="2" t="s">
        <v>1019</v>
      </c>
      <c r="U3950" s="4" t="s">
        <v>31</v>
      </c>
      <c r="V3950" s="2" t="s">
        <v>24452</v>
      </c>
      <c r="W3950" s="2" t="s">
        <v>24402</v>
      </c>
      <c r="X3950" s="5" t="str">
        <f>HYPERLINK("https://my.pitchbook.com?p=191405-98P","View People Online")</f>
        <v>View People Online</v>
      </c>
    </row>
    <row r="3951">
      <c r="A3951" s="6" t="s">
        <v>24844</v>
      </c>
      <c r="B3951" s="6" t="s">
        <v>24845</v>
      </c>
      <c r="C3951" s="6" t="s">
        <v>26</v>
      </c>
      <c r="D3951" s="6" t="s">
        <v>9782</v>
      </c>
      <c r="E3951" s="6" t="s">
        <v>24402</v>
      </c>
      <c r="F3951" s="6" t="s">
        <v>312</v>
      </c>
      <c r="G3951" s="6" t="s">
        <v>24846</v>
      </c>
      <c r="H3951" s="7" t="s">
        <v>31</v>
      </c>
      <c r="I3951" s="7">
        <v>1.0</v>
      </c>
      <c r="J3951" s="7">
        <v>1.0</v>
      </c>
      <c r="K3951" s="7" t="s">
        <v>31</v>
      </c>
      <c r="L3951" s="8" t="s">
        <v>24413</v>
      </c>
      <c r="M3951" s="6" t="s">
        <v>24847</v>
      </c>
      <c r="N3951" s="6" t="s">
        <v>1348</v>
      </c>
      <c r="O3951" s="8" t="s">
        <v>1349</v>
      </c>
      <c r="P3951" s="6" t="s">
        <v>24406</v>
      </c>
      <c r="Q3951" s="6" t="s">
        <v>24407</v>
      </c>
      <c r="R3951" s="6" t="s">
        <v>1018</v>
      </c>
      <c r="S3951" s="8" t="s">
        <v>1352</v>
      </c>
      <c r="T3951" s="6" t="s">
        <v>1019</v>
      </c>
      <c r="U3951" s="8" t="s">
        <v>31</v>
      </c>
      <c r="V3951" s="6" t="s">
        <v>24848</v>
      </c>
      <c r="W3951" s="6" t="s">
        <v>24402</v>
      </c>
      <c r="X3951" s="9" t="str">
        <f>HYPERLINK("https://my.pitchbook.com?p=60251-68P","View People Online")</f>
        <v>View People Online</v>
      </c>
    </row>
    <row r="3952">
      <c r="A3952" s="2" t="s">
        <v>24849</v>
      </c>
      <c r="B3952" s="2" t="s">
        <v>24850</v>
      </c>
      <c r="C3952" s="2" t="s">
        <v>24851</v>
      </c>
      <c r="D3952" s="2" t="s">
        <v>24852</v>
      </c>
      <c r="E3952" s="2" t="s">
        <v>24402</v>
      </c>
      <c r="F3952" s="2" t="s">
        <v>57</v>
      </c>
      <c r="G3952" s="2" t="s">
        <v>24853</v>
      </c>
      <c r="H3952" s="3" t="s">
        <v>31</v>
      </c>
      <c r="I3952" s="3">
        <v>8.0</v>
      </c>
      <c r="J3952" s="3">
        <v>3.0</v>
      </c>
      <c r="K3952" s="3">
        <v>3.0</v>
      </c>
      <c r="L3952" s="4" t="s">
        <v>24413</v>
      </c>
      <c r="M3952" s="2" t="s">
        <v>24854</v>
      </c>
      <c r="N3952" s="2" t="s">
        <v>1348</v>
      </c>
      <c r="O3952" s="4" t="s">
        <v>1349</v>
      </c>
      <c r="P3952" s="2" t="s">
        <v>24520</v>
      </c>
      <c r="Q3952" s="2" t="s">
        <v>1719</v>
      </c>
      <c r="R3952" s="2" t="s">
        <v>1018</v>
      </c>
      <c r="S3952" s="4" t="s">
        <v>1352</v>
      </c>
      <c r="T3952" s="2" t="s">
        <v>1019</v>
      </c>
      <c r="U3952" s="4" t="s">
        <v>31</v>
      </c>
      <c r="V3952" s="2" t="s">
        <v>24855</v>
      </c>
      <c r="W3952" s="2" t="s">
        <v>24856</v>
      </c>
      <c r="X3952" s="5" t="str">
        <f>HYPERLINK("https://my.pitchbook.com?p=280391-05P","View People Online")</f>
        <v>View People Online</v>
      </c>
    </row>
    <row r="3953">
      <c r="A3953" s="14" t="s">
        <v>24857</v>
      </c>
      <c r="B3953" s="14" t="s">
        <v>24858</v>
      </c>
      <c r="C3953" s="14" t="s">
        <v>1343</v>
      </c>
      <c r="D3953" s="14" t="s">
        <v>24859</v>
      </c>
      <c r="E3953" s="14" t="s">
        <v>24402</v>
      </c>
      <c r="F3953" s="14" t="s">
        <v>1283</v>
      </c>
      <c r="G3953" s="14" t="s">
        <v>24860</v>
      </c>
      <c r="H3953" s="15" t="s">
        <v>31</v>
      </c>
      <c r="I3953" s="15">
        <v>2.0</v>
      </c>
      <c r="J3953" s="15">
        <v>2.0</v>
      </c>
      <c r="K3953" s="15" t="s">
        <v>31</v>
      </c>
      <c r="L3953" s="16" t="s">
        <v>24413</v>
      </c>
      <c r="M3953" s="14" t="s">
        <v>24861</v>
      </c>
      <c r="N3953" s="14" t="s">
        <v>1348</v>
      </c>
      <c r="O3953" s="16" t="s">
        <v>1349</v>
      </c>
      <c r="P3953" s="14" t="s">
        <v>24415</v>
      </c>
      <c r="Q3953" s="14" t="s">
        <v>24416</v>
      </c>
      <c r="R3953" s="14" t="s">
        <v>1018</v>
      </c>
      <c r="S3953" s="16" t="s">
        <v>1352</v>
      </c>
      <c r="T3953" s="14" t="s">
        <v>1019</v>
      </c>
      <c r="U3953" s="16" t="s">
        <v>31</v>
      </c>
      <c r="V3953" s="14" t="s">
        <v>24417</v>
      </c>
      <c r="W3953" s="14" t="s">
        <v>24418</v>
      </c>
      <c r="X3953" s="17" t="str">
        <f>HYPERLINK("https://my.pitchbook.com?p=405966-34P","View People Online")</f>
        <v>View People Online</v>
      </c>
    </row>
    <row r="3954">
      <c r="A3954" s="2" t="s">
        <v>24862</v>
      </c>
      <c r="B3954" s="2" t="s">
        <v>24863</v>
      </c>
      <c r="C3954" s="2" t="s">
        <v>1343</v>
      </c>
      <c r="D3954" s="2" t="s">
        <v>666</v>
      </c>
      <c r="E3954" s="2" t="s">
        <v>24402</v>
      </c>
      <c r="F3954" s="2" t="s">
        <v>1283</v>
      </c>
      <c r="G3954" s="2" t="s">
        <v>24864</v>
      </c>
      <c r="H3954" s="3" t="s">
        <v>31</v>
      </c>
      <c r="I3954" s="3">
        <v>4.0</v>
      </c>
      <c r="J3954" s="3">
        <v>2.0</v>
      </c>
      <c r="K3954" s="3" t="s">
        <v>31</v>
      </c>
      <c r="L3954" s="4" t="s">
        <v>24413</v>
      </c>
      <c r="M3954" s="2" t="s">
        <v>24865</v>
      </c>
      <c r="N3954" s="2" t="s">
        <v>1348</v>
      </c>
      <c r="O3954" s="4" t="s">
        <v>1349</v>
      </c>
      <c r="P3954" s="2" t="s">
        <v>24415</v>
      </c>
      <c r="Q3954" s="2" t="s">
        <v>24416</v>
      </c>
      <c r="R3954" s="2" t="s">
        <v>1018</v>
      </c>
      <c r="S3954" s="4" t="s">
        <v>1352</v>
      </c>
      <c r="T3954" s="2" t="s">
        <v>1019</v>
      </c>
      <c r="U3954" s="4" t="s">
        <v>31</v>
      </c>
      <c r="V3954" s="2" t="s">
        <v>24866</v>
      </c>
      <c r="W3954" s="2" t="s">
        <v>24418</v>
      </c>
      <c r="X3954" s="5" t="str">
        <f>HYPERLINK("https://my.pitchbook.com?p=265177-90P","View People Online")</f>
        <v>View People Online</v>
      </c>
    </row>
    <row r="3955">
      <c r="A3955" s="6" t="s">
        <v>24867</v>
      </c>
      <c r="B3955" s="6" t="s">
        <v>24868</v>
      </c>
      <c r="C3955" s="6" t="s">
        <v>1616</v>
      </c>
      <c r="D3955" s="6" t="s">
        <v>24869</v>
      </c>
      <c r="E3955" s="6" t="s">
        <v>24402</v>
      </c>
      <c r="F3955" s="6" t="s">
        <v>57</v>
      </c>
      <c r="G3955" s="6" t="s">
        <v>24870</v>
      </c>
      <c r="H3955" s="7" t="s">
        <v>31</v>
      </c>
      <c r="I3955" s="7">
        <v>3.0</v>
      </c>
      <c r="J3955" s="7">
        <v>2.0</v>
      </c>
      <c r="K3955" s="7">
        <v>1.0</v>
      </c>
      <c r="L3955" s="8" t="s">
        <v>24413</v>
      </c>
      <c r="M3955" s="6" t="s">
        <v>24871</v>
      </c>
      <c r="N3955" s="6" t="s">
        <v>1348</v>
      </c>
      <c r="O3955" s="8" t="s">
        <v>1349</v>
      </c>
      <c r="P3955" s="6" t="s">
        <v>24406</v>
      </c>
      <c r="Q3955" s="6" t="s">
        <v>24407</v>
      </c>
      <c r="R3955" s="6" t="s">
        <v>1018</v>
      </c>
      <c r="S3955" s="8" t="s">
        <v>1352</v>
      </c>
      <c r="T3955" s="6" t="s">
        <v>1019</v>
      </c>
      <c r="U3955" s="8" t="s">
        <v>31</v>
      </c>
      <c r="V3955" s="6" t="s">
        <v>24872</v>
      </c>
      <c r="W3955" s="6" t="s">
        <v>24402</v>
      </c>
      <c r="X3955" s="9" t="str">
        <f>HYPERLINK("https://my.pitchbook.com?p=316523-26P","View People Online")</f>
        <v>View People Online</v>
      </c>
    </row>
    <row r="3956">
      <c r="A3956" s="2" t="s">
        <v>24873</v>
      </c>
      <c r="B3956" s="2" t="s">
        <v>24874</v>
      </c>
      <c r="C3956" s="2" t="s">
        <v>1356</v>
      </c>
      <c r="D3956" s="2" t="s">
        <v>24875</v>
      </c>
      <c r="E3956" s="2" t="s">
        <v>24402</v>
      </c>
      <c r="F3956" s="2" t="s">
        <v>1283</v>
      </c>
      <c r="G3956" s="2" t="s">
        <v>24876</v>
      </c>
      <c r="H3956" s="3" t="s">
        <v>31</v>
      </c>
      <c r="I3956" s="3">
        <v>2.0</v>
      </c>
      <c r="J3956" s="3">
        <v>2.0</v>
      </c>
      <c r="K3956" s="3" t="s">
        <v>31</v>
      </c>
      <c r="L3956" s="4" t="s">
        <v>24413</v>
      </c>
      <c r="M3956" s="2" t="s">
        <v>24877</v>
      </c>
      <c r="N3956" s="2" t="s">
        <v>1348</v>
      </c>
      <c r="O3956" s="4" t="s">
        <v>1349</v>
      </c>
      <c r="P3956" s="2" t="s">
        <v>24415</v>
      </c>
      <c r="Q3956" s="2" t="s">
        <v>24416</v>
      </c>
      <c r="R3956" s="2" t="s">
        <v>1018</v>
      </c>
      <c r="S3956" s="4" t="s">
        <v>1352</v>
      </c>
      <c r="T3956" s="2" t="s">
        <v>1019</v>
      </c>
      <c r="U3956" s="4" t="s">
        <v>31</v>
      </c>
      <c r="V3956" s="2" t="s">
        <v>24417</v>
      </c>
      <c r="W3956" s="2" t="s">
        <v>24418</v>
      </c>
      <c r="X3956" s="5" t="str">
        <f>HYPERLINK("https://my.pitchbook.com?p=265174-30P","View People Online")</f>
        <v>View People Online</v>
      </c>
    </row>
    <row r="3957">
      <c r="A3957" s="14" t="s">
        <v>24878</v>
      </c>
      <c r="B3957" s="14" t="s">
        <v>24879</v>
      </c>
      <c r="C3957" s="14" t="s">
        <v>843</v>
      </c>
      <c r="D3957" s="14" t="s">
        <v>24880</v>
      </c>
      <c r="E3957" s="14" t="s">
        <v>24402</v>
      </c>
      <c r="F3957" s="14" t="s">
        <v>1283</v>
      </c>
      <c r="G3957" s="14" t="s">
        <v>24881</v>
      </c>
      <c r="H3957" s="15" t="s">
        <v>31</v>
      </c>
      <c r="I3957" s="15">
        <v>3.0</v>
      </c>
      <c r="J3957" s="15">
        <v>3.0</v>
      </c>
      <c r="K3957" s="15" t="s">
        <v>31</v>
      </c>
      <c r="L3957" s="16" t="s">
        <v>24413</v>
      </c>
      <c r="M3957" s="14" t="s">
        <v>24882</v>
      </c>
      <c r="N3957" s="14" t="s">
        <v>1348</v>
      </c>
      <c r="O3957" s="16" t="s">
        <v>1349</v>
      </c>
      <c r="P3957" s="14" t="s">
        <v>24406</v>
      </c>
      <c r="Q3957" s="14" t="s">
        <v>24407</v>
      </c>
      <c r="R3957" s="14" t="s">
        <v>1018</v>
      </c>
      <c r="S3957" s="16" t="s">
        <v>1352</v>
      </c>
      <c r="T3957" s="14" t="s">
        <v>1019</v>
      </c>
      <c r="U3957" s="16" t="s">
        <v>31</v>
      </c>
      <c r="V3957" s="14" t="s">
        <v>24452</v>
      </c>
      <c r="W3957" s="14" t="s">
        <v>24402</v>
      </c>
      <c r="X3957" s="17" t="str">
        <f>HYPERLINK("https://my.pitchbook.com?p=84020-68P","View People Online")</f>
        <v>View People Online</v>
      </c>
    </row>
    <row r="3958">
      <c r="A3958" s="2" t="s">
        <v>24883</v>
      </c>
      <c r="B3958" s="2" t="s">
        <v>24884</v>
      </c>
      <c r="C3958" s="2" t="s">
        <v>3058</v>
      </c>
      <c r="D3958" s="2" t="s">
        <v>15571</v>
      </c>
      <c r="E3958" s="2" t="s">
        <v>24402</v>
      </c>
      <c r="F3958" s="2" t="s">
        <v>1283</v>
      </c>
      <c r="G3958" s="2" t="s">
        <v>24885</v>
      </c>
      <c r="H3958" s="3" t="s">
        <v>31</v>
      </c>
      <c r="I3958" s="3">
        <v>1.0</v>
      </c>
      <c r="J3958" s="3">
        <v>1.0</v>
      </c>
      <c r="K3958" s="3" t="s">
        <v>31</v>
      </c>
      <c r="L3958" s="4" t="s">
        <v>24533</v>
      </c>
      <c r="M3958" s="2" t="s">
        <v>24886</v>
      </c>
      <c r="N3958" s="2" t="s">
        <v>75</v>
      </c>
      <c r="O3958" s="4" t="s">
        <v>76</v>
      </c>
      <c r="P3958" s="2" t="s">
        <v>24415</v>
      </c>
      <c r="Q3958" s="2" t="s">
        <v>24535</v>
      </c>
      <c r="R3958" s="2" t="s">
        <v>75</v>
      </c>
      <c r="S3958" s="4" t="s">
        <v>24536</v>
      </c>
      <c r="T3958" s="2" t="s">
        <v>66</v>
      </c>
      <c r="U3958" s="4" t="s">
        <v>31</v>
      </c>
      <c r="V3958" s="2" t="s">
        <v>24585</v>
      </c>
      <c r="W3958" s="2" t="s">
        <v>24402</v>
      </c>
      <c r="X3958" s="5" t="str">
        <f>HYPERLINK("https://my.pitchbook.com?p=55921-33P","View People Online")</f>
        <v>View People Online</v>
      </c>
    </row>
    <row r="3959">
      <c r="A3959" s="14" t="s">
        <v>24887</v>
      </c>
      <c r="B3959" s="14" t="s">
        <v>24888</v>
      </c>
      <c r="C3959" s="14" t="s">
        <v>41</v>
      </c>
      <c r="D3959" s="14" t="s">
        <v>24889</v>
      </c>
      <c r="E3959" s="14" t="s">
        <v>24402</v>
      </c>
      <c r="F3959" s="14" t="s">
        <v>1283</v>
      </c>
      <c r="G3959" s="14" t="s">
        <v>24890</v>
      </c>
      <c r="H3959" s="15" t="s">
        <v>31</v>
      </c>
      <c r="I3959" s="15">
        <v>2.0</v>
      </c>
      <c r="J3959" s="15">
        <v>2.0</v>
      </c>
      <c r="K3959" s="15" t="s">
        <v>31</v>
      </c>
      <c r="L3959" s="16" t="s">
        <v>24533</v>
      </c>
      <c r="M3959" s="14" t="s">
        <v>24891</v>
      </c>
      <c r="N3959" s="14" t="s">
        <v>75</v>
      </c>
      <c r="O3959" s="16" t="s">
        <v>76</v>
      </c>
      <c r="P3959" s="14" t="s">
        <v>24415</v>
      </c>
      <c r="Q3959" s="14" t="s">
        <v>24535</v>
      </c>
      <c r="R3959" s="14" t="s">
        <v>75</v>
      </c>
      <c r="S3959" s="16" t="s">
        <v>24536</v>
      </c>
      <c r="T3959" s="14" t="s">
        <v>66</v>
      </c>
      <c r="U3959" s="16" t="s">
        <v>31</v>
      </c>
      <c r="V3959" s="14" t="s">
        <v>24417</v>
      </c>
      <c r="W3959" s="14" t="s">
        <v>24402</v>
      </c>
      <c r="X3959" s="17" t="str">
        <f>HYPERLINK("https://my.pitchbook.com?p=405992-71P","View People Online")</f>
        <v>View People Online</v>
      </c>
    </row>
    <row r="3960">
      <c r="A3960" s="2" t="s">
        <v>24892</v>
      </c>
      <c r="B3960" s="2" t="s">
        <v>24893</v>
      </c>
      <c r="C3960" s="2" t="s">
        <v>3082</v>
      </c>
      <c r="D3960" s="2" t="s">
        <v>24894</v>
      </c>
      <c r="E3960" s="2" t="s">
        <v>24402</v>
      </c>
      <c r="F3960" s="2" t="s">
        <v>1283</v>
      </c>
      <c r="G3960" s="2" t="s">
        <v>24895</v>
      </c>
      <c r="H3960" s="3" t="s">
        <v>31</v>
      </c>
      <c r="I3960" s="3">
        <v>6.0</v>
      </c>
      <c r="J3960" s="3">
        <v>2.0</v>
      </c>
      <c r="K3960" s="3" t="s">
        <v>31</v>
      </c>
      <c r="L3960" s="4" t="s">
        <v>24413</v>
      </c>
      <c r="M3960" s="2" t="s">
        <v>24896</v>
      </c>
      <c r="N3960" s="2" t="s">
        <v>1348</v>
      </c>
      <c r="O3960" s="4" t="s">
        <v>1349</v>
      </c>
      <c r="P3960" s="2" t="s">
        <v>24406</v>
      </c>
      <c r="Q3960" s="2" t="s">
        <v>24407</v>
      </c>
      <c r="R3960" s="2" t="s">
        <v>1018</v>
      </c>
      <c r="S3960" s="4" t="s">
        <v>1352</v>
      </c>
      <c r="T3960" s="2" t="s">
        <v>1019</v>
      </c>
      <c r="U3960" s="4" t="s">
        <v>31</v>
      </c>
      <c r="V3960" s="2" t="s">
        <v>24866</v>
      </c>
      <c r="W3960" s="2" t="s">
        <v>24402</v>
      </c>
      <c r="X3960" s="5" t="str">
        <f>HYPERLINK("https://my.pitchbook.com?p=405983-62P","View People Online")</f>
        <v>View People Online</v>
      </c>
    </row>
    <row r="3961">
      <c r="A3961" s="6" t="s">
        <v>24897</v>
      </c>
      <c r="B3961" s="6" t="s">
        <v>24898</v>
      </c>
      <c r="C3961" s="6" t="s">
        <v>5092</v>
      </c>
      <c r="D3961" s="6" t="s">
        <v>24899</v>
      </c>
      <c r="E3961" s="6" t="s">
        <v>24402</v>
      </c>
      <c r="F3961" s="6" t="s">
        <v>1283</v>
      </c>
      <c r="G3961" s="6" t="s">
        <v>24900</v>
      </c>
      <c r="H3961" s="7" t="s">
        <v>31</v>
      </c>
      <c r="I3961" s="7">
        <v>3.0</v>
      </c>
      <c r="J3961" s="7">
        <v>3.0</v>
      </c>
      <c r="K3961" s="7" t="s">
        <v>31</v>
      </c>
      <c r="L3961" s="8" t="s">
        <v>24413</v>
      </c>
      <c r="M3961" s="6" t="s">
        <v>24901</v>
      </c>
      <c r="N3961" s="6" t="s">
        <v>1348</v>
      </c>
      <c r="O3961" s="8" t="s">
        <v>1349</v>
      </c>
      <c r="P3961" s="6" t="s">
        <v>24406</v>
      </c>
      <c r="Q3961" s="6" t="s">
        <v>24407</v>
      </c>
      <c r="R3961" s="6" t="s">
        <v>1018</v>
      </c>
      <c r="S3961" s="8" t="s">
        <v>1352</v>
      </c>
      <c r="T3961" s="6" t="s">
        <v>1019</v>
      </c>
      <c r="U3961" s="8" t="s">
        <v>31</v>
      </c>
      <c r="V3961" s="6" t="s">
        <v>24452</v>
      </c>
      <c r="W3961" s="6" t="s">
        <v>24402</v>
      </c>
      <c r="X3961" s="9" t="str">
        <f>HYPERLINK("https://my.pitchbook.com?p=340014-70P","View People Online")</f>
        <v>View People Online</v>
      </c>
    </row>
    <row r="3962">
      <c r="A3962" s="10" t="s">
        <v>24902</v>
      </c>
      <c r="B3962" s="10" t="s">
        <v>24903</v>
      </c>
      <c r="C3962" s="10" t="s">
        <v>24904</v>
      </c>
      <c r="D3962" s="10" t="s">
        <v>24905</v>
      </c>
      <c r="E3962" s="10" t="s">
        <v>24402</v>
      </c>
      <c r="F3962" s="10" t="s">
        <v>1283</v>
      </c>
      <c r="G3962" s="10" t="s">
        <v>24906</v>
      </c>
      <c r="H3962" s="11" t="s">
        <v>31</v>
      </c>
      <c r="I3962" s="11">
        <v>19.0</v>
      </c>
      <c r="J3962" s="11">
        <v>2.0</v>
      </c>
      <c r="K3962" s="11" t="s">
        <v>31</v>
      </c>
      <c r="L3962" s="12" t="s">
        <v>24413</v>
      </c>
      <c r="M3962" s="10" t="s">
        <v>24907</v>
      </c>
      <c r="N3962" s="10" t="s">
        <v>1348</v>
      </c>
      <c r="O3962" s="12" t="s">
        <v>1349</v>
      </c>
      <c r="P3962" s="10" t="s">
        <v>24406</v>
      </c>
      <c r="Q3962" s="10" t="s">
        <v>24407</v>
      </c>
      <c r="R3962" s="10" t="s">
        <v>1018</v>
      </c>
      <c r="S3962" s="12" t="s">
        <v>1352</v>
      </c>
      <c r="T3962" s="10" t="s">
        <v>1019</v>
      </c>
      <c r="U3962" s="12" t="s">
        <v>31</v>
      </c>
      <c r="V3962" s="10" t="s">
        <v>24585</v>
      </c>
      <c r="W3962" s="10" t="s">
        <v>24402</v>
      </c>
      <c r="X3962" s="13" t="str">
        <f>HYPERLINK("https://my.pitchbook.com?p=265169-80P","View People Online")</f>
        <v>View People Online</v>
      </c>
    </row>
    <row r="3963">
      <c r="A3963" s="6" t="s">
        <v>24908</v>
      </c>
      <c r="B3963" s="6" t="s">
        <v>24909</v>
      </c>
      <c r="C3963" s="6" t="s">
        <v>24910</v>
      </c>
      <c r="D3963" s="6" t="s">
        <v>24911</v>
      </c>
      <c r="E3963" s="6" t="s">
        <v>24402</v>
      </c>
      <c r="F3963" s="6" t="s">
        <v>1283</v>
      </c>
      <c r="G3963" s="6" t="s">
        <v>24912</v>
      </c>
      <c r="H3963" s="7" t="s">
        <v>31</v>
      </c>
      <c r="I3963" s="7">
        <v>2.0</v>
      </c>
      <c r="J3963" s="7">
        <v>2.0</v>
      </c>
      <c r="K3963" s="7" t="s">
        <v>31</v>
      </c>
      <c r="L3963" s="8" t="s">
        <v>24413</v>
      </c>
      <c r="M3963" s="6" t="s">
        <v>24913</v>
      </c>
      <c r="N3963" s="6" t="s">
        <v>1348</v>
      </c>
      <c r="O3963" s="8" t="s">
        <v>1349</v>
      </c>
      <c r="P3963" s="6" t="s">
        <v>24406</v>
      </c>
      <c r="Q3963" s="6" t="s">
        <v>24407</v>
      </c>
      <c r="R3963" s="6" t="s">
        <v>1018</v>
      </c>
      <c r="S3963" s="8" t="s">
        <v>1352</v>
      </c>
      <c r="T3963" s="6" t="s">
        <v>1019</v>
      </c>
      <c r="U3963" s="8" t="s">
        <v>31</v>
      </c>
      <c r="V3963" s="6" t="s">
        <v>31</v>
      </c>
      <c r="W3963" s="6" t="s">
        <v>24914</v>
      </c>
      <c r="X3963" s="9" t="str">
        <f>HYPERLINK("https://my.pitchbook.com?p=218077-12P","View People Online")</f>
        <v>View People Online</v>
      </c>
    </row>
    <row r="3964">
      <c r="A3964" s="10" t="s">
        <v>24915</v>
      </c>
      <c r="B3964" s="10" t="s">
        <v>24916</v>
      </c>
      <c r="C3964" s="10" t="s">
        <v>24917</v>
      </c>
      <c r="D3964" s="10" t="s">
        <v>1147</v>
      </c>
      <c r="E3964" s="10" t="s">
        <v>24402</v>
      </c>
      <c r="F3964" s="10" t="s">
        <v>221</v>
      </c>
      <c r="G3964" s="10" t="s">
        <v>24918</v>
      </c>
      <c r="H3964" s="11" t="s">
        <v>31</v>
      </c>
      <c r="I3964" s="11">
        <v>2.0</v>
      </c>
      <c r="J3964" s="11">
        <v>2.0</v>
      </c>
      <c r="K3964" s="11" t="s">
        <v>31</v>
      </c>
      <c r="L3964" s="12" t="s">
        <v>24413</v>
      </c>
      <c r="M3964" s="10" t="s">
        <v>24919</v>
      </c>
      <c r="N3964" s="10" t="s">
        <v>1348</v>
      </c>
      <c r="O3964" s="12" t="s">
        <v>1349</v>
      </c>
      <c r="P3964" s="10" t="s">
        <v>24406</v>
      </c>
      <c r="Q3964" s="10" t="s">
        <v>24407</v>
      </c>
      <c r="R3964" s="10" t="s">
        <v>1018</v>
      </c>
      <c r="S3964" s="12" t="s">
        <v>1352</v>
      </c>
      <c r="T3964" s="10" t="s">
        <v>1019</v>
      </c>
      <c r="U3964" s="12" t="s">
        <v>31</v>
      </c>
      <c r="V3964" s="10" t="s">
        <v>221</v>
      </c>
      <c r="W3964" s="10" t="s">
        <v>24402</v>
      </c>
      <c r="X3964" s="13" t="str">
        <f>HYPERLINK("https://my.pitchbook.com?p=437332-87P","View People Online")</f>
        <v>View People Online</v>
      </c>
    </row>
    <row r="3965">
      <c r="A3965" s="14" t="s">
        <v>24920</v>
      </c>
      <c r="B3965" s="14" t="s">
        <v>24921</v>
      </c>
      <c r="C3965" s="14" t="s">
        <v>1489</v>
      </c>
      <c r="D3965" s="14" t="s">
        <v>8141</v>
      </c>
      <c r="E3965" s="14" t="s">
        <v>24402</v>
      </c>
      <c r="F3965" s="14" t="s">
        <v>1283</v>
      </c>
      <c r="G3965" s="14" t="s">
        <v>24922</v>
      </c>
      <c r="H3965" s="15" t="s">
        <v>31</v>
      </c>
      <c r="I3965" s="15">
        <v>2.0</v>
      </c>
      <c r="J3965" s="15">
        <v>2.0</v>
      </c>
      <c r="K3965" s="15" t="s">
        <v>31</v>
      </c>
      <c r="L3965" s="16" t="s">
        <v>24533</v>
      </c>
      <c r="M3965" s="14" t="s">
        <v>24923</v>
      </c>
      <c r="N3965" s="14" t="s">
        <v>75</v>
      </c>
      <c r="O3965" s="16" t="s">
        <v>76</v>
      </c>
      <c r="P3965" s="14" t="s">
        <v>24924</v>
      </c>
      <c r="Q3965" s="14" t="s">
        <v>24925</v>
      </c>
      <c r="R3965" s="14" t="s">
        <v>75</v>
      </c>
      <c r="S3965" s="16" t="s">
        <v>24536</v>
      </c>
      <c r="T3965" s="14" t="s">
        <v>66</v>
      </c>
      <c r="U3965" s="16" t="s">
        <v>24926</v>
      </c>
      <c r="V3965" s="14" t="s">
        <v>24585</v>
      </c>
      <c r="W3965" s="14" t="s">
        <v>24927</v>
      </c>
      <c r="X3965" s="17" t="str">
        <f>HYPERLINK("https://my.pitchbook.com?p=53717-95P","View People Online")</f>
        <v>View People Online</v>
      </c>
    </row>
    <row r="3966">
      <c r="A3966" s="2" t="s">
        <v>24928</v>
      </c>
      <c r="B3966" s="2" t="s">
        <v>24929</v>
      </c>
      <c r="C3966" s="2" t="s">
        <v>1489</v>
      </c>
      <c r="D3966" s="2" t="s">
        <v>24930</v>
      </c>
      <c r="E3966" s="2" t="s">
        <v>24402</v>
      </c>
      <c r="F3966" s="2" t="s">
        <v>57</v>
      </c>
      <c r="G3966" s="2" t="s">
        <v>24931</v>
      </c>
      <c r="H3966" s="3">
        <v>1.0</v>
      </c>
      <c r="I3966" s="3">
        <v>6.0</v>
      </c>
      <c r="J3966" s="3">
        <v>3.0</v>
      </c>
      <c r="K3966" s="3">
        <v>1.0</v>
      </c>
      <c r="L3966" s="4" t="s">
        <v>24413</v>
      </c>
      <c r="M3966" s="2" t="s">
        <v>24932</v>
      </c>
      <c r="N3966" s="2" t="s">
        <v>1348</v>
      </c>
      <c r="O3966" s="4" t="s">
        <v>1349</v>
      </c>
      <c r="P3966" s="2" t="s">
        <v>24415</v>
      </c>
      <c r="Q3966" s="2" t="s">
        <v>24416</v>
      </c>
      <c r="R3966" s="2" t="s">
        <v>1018</v>
      </c>
      <c r="S3966" s="4" t="s">
        <v>1352</v>
      </c>
      <c r="T3966" s="2" t="s">
        <v>1019</v>
      </c>
      <c r="U3966" s="4" t="s">
        <v>31</v>
      </c>
      <c r="V3966" s="2" t="s">
        <v>24424</v>
      </c>
      <c r="W3966" s="2" t="s">
        <v>24418</v>
      </c>
      <c r="X3966" s="5" t="str">
        <f>HYPERLINK("https://my.pitchbook.com?p=265220-38P","View People Online")</f>
        <v>View People Online</v>
      </c>
    </row>
    <row r="3967">
      <c r="A3967" s="14" t="s">
        <v>24933</v>
      </c>
      <c r="B3967" s="14" t="s">
        <v>24934</v>
      </c>
      <c r="C3967" s="14" t="s">
        <v>24935</v>
      </c>
      <c r="D3967" s="14" t="s">
        <v>24936</v>
      </c>
      <c r="E3967" s="14" t="s">
        <v>24402</v>
      </c>
      <c r="F3967" s="14" t="s">
        <v>57</v>
      </c>
      <c r="G3967" s="14" t="s">
        <v>24937</v>
      </c>
      <c r="H3967" s="15" t="s">
        <v>31</v>
      </c>
      <c r="I3967" s="15">
        <v>10.0</v>
      </c>
      <c r="J3967" s="15">
        <v>3.0</v>
      </c>
      <c r="K3967" s="15" t="s">
        <v>31</v>
      </c>
      <c r="L3967" s="16" t="s">
        <v>24413</v>
      </c>
      <c r="M3967" s="14" t="s">
        <v>24938</v>
      </c>
      <c r="N3967" s="14" t="s">
        <v>1348</v>
      </c>
      <c r="O3967" s="16" t="s">
        <v>1349</v>
      </c>
      <c r="P3967" s="14" t="s">
        <v>24520</v>
      </c>
      <c r="Q3967" s="14" t="s">
        <v>989</v>
      </c>
      <c r="R3967" s="14" t="s">
        <v>1018</v>
      </c>
      <c r="S3967" s="16" t="s">
        <v>1352</v>
      </c>
      <c r="T3967" s="14" t="s">
        <v>1019</v>
      </c>
      <c r="U3967" s="16" t="s">
        <v>31</v>
      </c>
      <c r="V3967" s="14" t="s">
        <v>24408</v>
      </c>
      <c r="W3967" s="14" t="s">
        <v>24939</v>
      </c>
      <c r="X3967" s="17" t="str">
        <f>HYPERLINK("https://my.pitchbook.com?p=329653-81P","View People Online")</f>
        <v>View People Online</v>
      </c>
    </row>
    <row r="3968">
      <c r="A3968" s="2" t="s">
        <v>24940</v>
      </c>
      <c r="B3968" s="2" t="s">
        <v>24941</v>
      </c>
      <c r="C3968" s="2" t="s">
        <v>6017</v>
      </c>
      <c r="D3968" s="2" t="s">
        <v>24942</v>
      </c>
      <c r="E3968" s="2" t="s">
        <v>24402</v>
      </c>
      <c r="F3968" s="2" t="s">
        <v>1283</v>
      </c>
      <c r="G3968" s="2" t="s">
        <v>24943</v>
      </c>
      <c r="H3968" s="3" t="s">
        <v>31</v>
      </c>
      <c r="I3968" s="3">
        <v>2.0</v>
      </c>
      <c r="J3968" s="3">
        <v>2.0</v>
      </c>
      <c r="K3968" s="3" t="s">
        <v>31</v>
      </c>
      <c r="L3968" s="4" t="s">
        <v>24413</v>
      </c>
      <c r="M3968" s="2" t="s">
        <v>24944</v>
      </c>
      <c r="N3968" s="2" t="s">
        <v>1348</v>
      </c>
      <c r="O3968" s="4" t="s">
        <v>1349</v>
      </c>
      <c r="P3968" s="2" t="s">
        <v>24415</v>
      </c>
      <c r="Q3968" s="2" t="s">
        <v>24416</v>
      </c>
      <c r="R3968" s="2" t="s">
        <v>1018</v>
      </c>
      <c r="S3968" s="4" t="s">
        <v>1352</v>
      </c>
      <c r="T3968" s="2" t="s">
        <v>1019</v>
      </c>
      <c r="U3968" s="4" t="s">
        <v>31</v>
      </c>
      <c r="V3968" s="2" t="s">
        <v>24417</v>
      </c>
      <c r="W3968" s="2" t="s">
        <v>24418</v>
      </c>
      <c r="X3968" s="5" t="str">
        <f>HYPERLINK("https://my.pitchbook.com?p=405972-28P","View People Online")</f>
        <v>View People Online</v>
      </c>
    </row>
    <row r="3969">
      <c r="A3969" s="6" t="s">
        <v>24945</v>
      </c>
      <c r="B3969" s="6" t="s">
        <v>24946</v>
      </c>
      <c r="C3969" s="6" t="s">
        <v>6900</v>
      </c>
      <c r="D3969" s="6" t="s">
        <v>9309</v>
      </c>
      <c r="E3969" s="6" t="s">
        <v>24402</v>
      </c>
      <c r="F3969" s="6" t="s">
        <v>1283</v>
      </c>
      <c r="G3969" s="6" t="s">
        <v>24947</v>
      </c>
      <c r="H3969" s="7" t="s">
        <v>31</v>
      </c>
      <c r="I3969" s="7">
        <v>5.0</v>
      </c>
      <c r="J3969" s="7">
        <v>4.0</v>
      </c>
      <c r="K3969" s="7" t="s">
        <v>31</v>
      </c>
      <c r="L3969" s="8" t="s">
        <v>24413</v>
      </c>
      <c r="M3969" s="6" t="s">
        <v>24948</v>
      </c>
      <c r="N3969" s="6" t="s">
        <v>1348</v>
      </c>
      <c r="O3969" s="8" t="s">
        <v>1349</v>
      </c>
      <c r="P3969" s="6" t="s">
        <v>24520</v>
      </c>
      <c r="Q3969" s="6" t="s">
        <v>989</v>
      </c>
      <c r="R3969" s="6" t="s">
        <v>1018</v>
      </c>
      <c r="S3969" s="8" t="s">
        <v>1352</v>
      </c>
      <c r="T3969" s="6" t="s">
        <v>1019</v>
      </c>
      <c r="U3969" s="8" t="s">
        <v>31</v>
      </c>
      <c r="V3969" s="6" t="s">
        <v>24452</v>
      </c>
      <c r="W3969" s="6" t="s">
        <v>24939</v>
      </c>
      <c r="X3969" s="9" t="str">
        <f>HYPERLINK("https://my.pitchbook.com?p=35361-10P","View People Online")</f>
        <v>View People Online</v>
      </c>
    </row>
    <row r="3970">
      <c r="A3970" s="10" t="s">
        <v>24949</v>
      </c>
      <c r="B3970" s="10" t="s">
        <v>24950</v>
      </c>
      <c r="C3970" s="10" t="s">
        <v>24951</v>
      </c>
      <c r="D3970" s="10" t="s">
        <v>24952</v>
      </c>
      <c r="E3970" s="10" t="s">
        <v>24402</v>
      </c>
      <c r="F3970" s="10" t="s">
        <v>1283</v>
      </c>
      <c r="G3970" s="10" t="s">
        <v>24953</v>
      </c>
      <c r="H3970" s="11" t="s">
        <v>31</v>
      </c>
      <c r="I3970" s="11">
        <v>2.0</v>
      </c>
      <c r="J3970" s="11">
        <v>2.0</v>
      </c>
      <c r="K3970" s="11" t="s">
        <v>31</v>
      </c>
      <c r="L3970" s="12" t="s">
        <v>24533</v>
      </c>
      <c r="M3970" s="10" t="s">
        <v>24954</v>
      </c>
      <c r="N3970" s="10" t="s">
        <v>75</v>
      </c>
      <c r="O3970" s="12" t="s">
        <v>76</v>
      </c>
      <c r="P3970" s="10" t="s">
        <v>24924</v>
      </c>
      <c r="Q3970" s="10" t="s">
        <v>24925</v>
      </c>
      <c r="R3970" s="10" t="s">
        <v>75</v>
      </c>
      <c r="S3970" s="12" t="s">
        <v>24536</v>
      </c>
      <c r="T3970" s="10" t="s">
        <v>66</v>
      </c>
      <c r="U3970" s="12" t="s">
        <v>24926</v>
      </c>
      <c r="V3970" s="10" t="s">
        <v>24955</v>
      </c>
      <c r="W3970" s="10" t="s">
        <v>24927</v>
      </c>
      <c r="X3970" s="13" t="str">
        <f>HYPERLINK("https://my.pitchbook.com?p=265016-98P","View People Online")</f>
        <v>View People Online</v>
      </c>
    </row>
    <row r="3971">
      <c r="A3971" s="6" t="s">
        <v>24956</v>
      </c>
      <c r="B3971" s="6" t="s">
        <v>24957</v>
      </c>
      <c r="C3971" s="6" t="s">
        <v>2221</v>
      </c>
      <c r="D3971" s="6" t="s">
        <v>24958</v>
      </c>
      <c r="E3971" s="6" t="s">
        <v>24402</v>
      </c>
      <c r="F3971" s="6" t="s">
        <v>312</v>
      </c>
      <c r="G3971" s="6" t="s">
        <v>24959</v>
      </c>
      <c r="H3971" s="7" t="s">
        <v>31</v>
      </c>
      <c r="I3971" s="7">
        <v>1.0</v>
      </c>
      <c r="J3971" s="7">
        <v>1.0</v>
      </c>
      <c r="K3971" s="7" t="s">
        <v>31</v>
      </c>
      <c r="L3971" s="8" t="s">
        <v>24413</v>
      </c>
      <c r="M3971" s="6" t="s">
        <v>31</v>
      </c>
      <c r="N3971" s="6" t="s">
        <v>1348</v>
      </c>
      <c r="O3971" s="8" t="s">
        <v>1349</v>
      </c>
      <c r="P3971" s="6" t="s">
        <v>24406</v>
      </c>
      <c r="Q3971" s="6" t="s">
        <v>24407</v>
      </c>
      <c r="R3971" s="6" t="s">
        <v>1018</v>
      </c>
      <c r="S3971" s="8" t="s">
        <v>1352</v>
      </c>
      <c r="T3971" s="6" t="s">
        <v>1019</v>
      </c>
      <c r="U3971" s="8" t="s">
        <v>31</v>
      </c>
      <c r="V3971" s="6" t="s">
        <v>312</v>
      </c>
      <c r="W3971" s="6" t="s">
        <v>24402</v>
      </c>
      <c r="X3971" s="9" t="str">
        <f>HYPERLINK("https://my.pitchbook.com?p=96016-60P","View People Online")</f>
        <v>View People Online</v>
      </c>
    </row>
    <row r="3972">
      <c r="A3972" s="10" t="s">
        <v>24960</v>
      </c>
      <c r="B3972" s="10" t="s">
        <v>24961</v>
      </c>
      <c r="C3972" s="10" t="s">
        <v>18807</v>
      </c>
      <c r="D3972" s="10" t="s">
        <v>24962</v>
      </c>
      <c r="E3972" s="10" t="s">
        <v>24402</v>
      </c>
      <c r="F3972" s="10" t="s">
        <v>1283</v>
      </c>
      <c r="G3972" s="10" t="s">
        <v>24963</v>
      </c>
      <c r="H3972" s="11" t="s">
        <v>31</v>
      </c>
      <c r="I3972" s="11">
        <v>1.0</v>
      </c>
      <c r="J3972" s="11">
        <v>1.0</v>
      </c>
      <c r="K3972" s="11" t="s">
        <v>31</v>
      </c>
      <c r="L3972" s="12" t="s">
        <v>24549</v>
      </c>
      <c r="M3972" s="10" t="s">
        <v>31</v>
      </c>
      <c r="N3972" s="10" t="s">
        <v>243</v>
      </c>
      <c r="O3972" s="12" t="s">
        <v>244</v>
      </c>
      <c r="P3972" s="10" t="s">
        <v>24551</v>
      </c>
      <c r="Q3972" s="10" t="s">
        <v>24552</v>
      </c>
      <c r="R3972" s="10" t="s">
        <v>247</v>
      </c>
      <c r="S3972" s="12" t="s">
        <v>24553</v>
      </c>
      <c r="T3972" s="10" t="s">
        <v>249</v>
      </c>
      <c r="U3972" s="12" t="s">
        <v>31</v>
      </c>
      <c r="V3972" s="10" t="s">
        <v>24417</v>
      </c>
      <c r="W3972" s="10" t="s">
        <v>24402</v>
      </c>
      <c r="X3972" s="13" t="str">
        <f>HYPERLINK("https://my.pitchbook.com?p=405986-50P","View People Online")</f>
        <v>View People Online</v>
      </c>
    </row>
    <row r="3973">
      <c r="A3973" s="6" t="s">
        <v>24964</v>
      </c>
      <c r="B3973" s="6" t="s">
        <v>24965</v>
      </c>
      <c r="C3973" s="6" t="s">
        <v>24966</v>
      </c>
      <c r="D3973" s="6" t="s">
        <v>24967</v>
      </c>
      <c r="E3973" s="6" t="s">
        <v>24402</v>
      </c>
      <c r="F3973" s="6" t="s">
        <v>57</v>
      </c>
      <c r="G3973" s="6" t="s">
        <v>24968</v>
      </c>
      <c r="H3973" s="7" t="s">
        <v>31</v>
      </c>
      <c r="I3973" s="7">
        <v>7.0</v>
      </c>
      <c r="J3973" s="7">
        <v>3.0</v>
      </c>
      <c r="K3973" s="7">
        <v>3.0</v>
      </c>
      <c r="L3973" s="8" t="s">
        <v>24413</v>
      </c>
      <c r="M3973" s="6" t="s">
        <v>31</v>
      </c>
      <c r="N3973" s="6" t="s">
        <v>1348</v>
      </c>
      <c r="O3973" s="8" t="s">
        <v>1349</v>
      </c>
      <c r="P3973" s="6" t="s">
        <v>24406</v>
      </c>
      <c r="Q3973" s="6" t="s">
        <v>24407</v>
      </c>
      <c r="R3973" s="6" t="s">
        <v>1018</v>
      </c>
      <c r="S3973" s="8" t="s">
        <v>1352</v>
      </c>
      <c r="T3973" s="6" t="s">
        <v>1019</v>
      </c>
      <c r="U3973" s="8" t="s">
        <v>31</v>
      </c>
      <c r="V3973" s="6" t="s">
        <v>24626</v>
      </c>
      <c r="W3973" s="6" t="s">
        <v>24402</v>
      </c>
      <c r="X3973" s="9" t="str">
        <f>HYPERLINK("https://my.pitchbook.com?p=65446-66P","View People Online")</f>
        <v>View People Online</v>
      </c>
    </row>
    <row r="3974">
      <c r="A3974" s="10" t="s">
        <v>24969</v>
      </c>
      <c r="B3974" s="10" t="s">
        <v>24970</v>
      </c>
      <c r="C3974" s="10" t="s">
        <v>24971</v>
      </c>
      <c r="D3974" s="10" t="s">
        <v>24972</v>
      </c>
      <c r="E3974" s="10" t="s">
        <v>24402</v>
      </c>
      <c r="F3974" s="10" t="s">
        <v>1283</v>
      </c>
      <c r="G3974" s="10" t="s">
        <v>24973</v>
      </c>
      <c r="H3974" s="11" t="s">
        <v>31</v>
      </c>
      <c r="I3974" s="11">
        <v>2.0</v>
      </c>
      <c r="J3974" s="11">
        <v>2.0</v>
      </c>
      <c r="K3974" s="11" t="s">
        <v>31</v>
      </c>
      <c r="L3974" s="12" t="s">
        <v>24533</v>
      </c>
      <c r="M3974" s="10" t="s">
        <v>24974</v>
      </c>
      <c r="N3974" s="10" t="s">
        <v>75</v>
      </c>
      <c r="O3974" s="12" t="s">
        <v>76</v>
      </c>
      <c r="P3974" s="10" t="s">
        <v>24924</v>
      </c>
      <c r="Q3974" s="10" t="s">
        <v>24925</v>
      </c>
      <c r="R3974" s="10" t="s">
        <v>75</v>
      </c>
      <c r="S3974" s="12" t="s">
        <v>24536</v>
      </c>
      <c r="T3974" s="10" t="s">
        <v>66</v>
      </c>
      <c r="U3974" s="12" t="s">
        <v>24926</v>
      </c>
      <c r="V3974" s="10" t="s">
        <v>24975</v>
      </c>
      <c r="W3974" s="10" t="s">
        <v>24927</v>
      </c>
      <c r="X3974" s="13" t="str">
        <f>HYPERLINK("https://my.pitchbook.com?p=204567-49P","View People Online")</f>
        <v>View People Online</v>
      </c>
    </row>
    <row r="3975">
      <c r="A3975" s="14" t="s">
        <v>24976</v>
      </c>
      <c r="B3975" s="14" t="s">
        <v>24977</v>
      </c>
      <c r="C3975" s="14" t="s">
        <v>18953</v>
      </c>
      <c r="D3975" s="14" t="s">
        <v>24978</v>
      </c>
      <c r="E3975" s="14" t="s">
        <v>24402</v>
      </c>
      <c r="F3975" s="14" t="s">
        <v>24979</v>
      </c>
      <c r="G3975" s="14" t="s">
        <v>24980</v>
      </c>
      <c r="H3975" s="15" t="s">
        <v>31</v>
      </c>
      <c r="I3975" s="15">
        <v>2.0</v>
      </c>
      <c r="J3975" s="15">
        <v>2.0</v>
      </c>
      <c r="K3975" s="15" t="s">
        <v>31</v>
      </c>
      <c r="L3975" s="16" t="s">
        <v>24981</v>
      </c>
      <c r="M3975" s="14" t="s">
        <v>24982</v>
      </c>
      <c r="N3975" s="14" t="s">
        <v>24983</v>
      </c>
      <c r="O3975" s="16" t="s">
        <v>24984</v>
      </c>
      <c r="P3975" s="14" t="s">
        <v>24985</v>
      </c>
      <c r="Q3975" s="14" t="s">
        <v>24986</v>
      </c>
      <c r="R3975" s="14" t="s">
        <v>31</v>
      </c>
      <c r="S3975" s="16" t="s">
        <v>24987</v>
      </c>
      <c r="T3975" s="14" t="s">
        <v>24988</v>
      </c>
      <c r="U3975" s="16" t="s">
        <v>31</v>
      </c>
      <c r="V3975" s="14" t="s">
        <v>24989</v>
      </c>
      <c r="W3975" s="14" t="s">
        <v>24990</v>
      </c>
      <c r="X3975" s="17" t="str">
        <f>HYPERLINK("https://my.pitchbook.com?p=267974-47P","View People Online")</f>
        <v>View People Online</v>
      </c>
    </row>
    <row r="3976">
      <c r="A3976" s="10" t="s">
        <v>24991</v>
      </c>
      <c r="B3976" s="10" t="s">
        <v>24992</v>
      </c>
      <c r="C3976" s="10" t="s">
        <v>24993</v>
      </c>
      <c r="D3976" s="10" t="s">
        <v>24994</v>
      </c>
      <c r="E3976" s="10" t="s">
        <v>24402</v>
      </c>
      <c r="F3976" s="10" t="s">
        <v>9112</v>
      </c>
      <c r="G3976" s="10" t="s">
        <v>24995</v>
      </c>
      <c r="H3976" s="11" t="s">
        <v>31</v>
      </c>
      <c r="I3976" s="11">
        <v>1.0</v>
      </c>
      <c r="J3976" s="11">
        <v>1.0</v>
      </c>
      <c r="K3976" s="11" t="s">
        <v>31</v>
      </c>
      <c r="L3976" s="12" t="s">
        <v>24413</v>
      </c>
      <c r="M3976" s="10" t="s">
        <v>24996</v>
      </c>
      <c r="N3976" s="10" t="s">
        <v>1348</v>
      </c>
      <c r="O3976" s="12" t="s">
        <v>1349</v>
      </c>
      <c r="P3976" s="10" t="s">
        <v>24406</v>
      </c>
      <c r="Q3976" s="10" t="s">
        <v>24407</v>
      </c>
      <c r="R3976" s="10" t="s">
        <v>1018</v>
      </c>
      <c r="S3976" s="12" t="s">
        <v>1352</v>
      </c>
      <c r="T3976" s="10" t="s">
        <v>1019</v>
      </c>
      <c r="U3976" s="12" t="s">
        <v>31</v>
      </c>
      <c r="V3976" s="10" t="s">
        <v>24997</v>
      </c>
      <c r="W3976" s="10" t="s">
        <v>24402</v>
      </c>
      <c r="X3976" s="13" t="str">
        <f>HYPERLINK("https://my.pitchbook.com?p=33626-80P","View People Online")</f>
        <v>View People Online</v>
      </c>
    </row>
    <row r="3977">
      <c r="A3977" s="14" t="s">
        <v>24998</v>
      </c>
      <c r="B3977" s="14" t="s">
        <v>24999</v>
      </c>
      <c r="C3977" s="14" t="s">
        <v>6453</v>
      </c>
      <c r="D3977" s="14" t="s">
        <v>25000</v>
      </c>
      <c r="E3977" s="14" t="s">
        <v>24402</v>
      </c>
      <c r="F3977" s="14" t="s">
        <v>371</v>
      </c>
      <c r="G3977" s="14" t="s">
        <v>25001</v>
      </c>
      <c r="H3977" s="15" t="s">
        <v>31</v>
      </c>
      <c r="I3977" s="15">
        <v>1.0</v>
      </c>
      <c r="J3977" s="15">
        <v>1.0</v>
      </c>
      <c r="K3977" s="15" t="s">
        <v>31</v>
      </c>
      <c r="L3977" s="16" t="s">
        <v>25002</v>
      </c>
      <c r="M3977" s="14" t="s">
        <v>25003</v>
      </c>
      <c r="N3977" s="14" t="s">
        <v>1348</v>
      </c>
      <c r="O3977" s="16" t="s">
        <v>1349</v>
      </c>
      <c r="P3977" s="14" t="s">
        <v>24406</v>
      </c>
      <c r="Q3977" s="14" t="s">
        <v>24407</v>
      </c>
      <c r="R3977" s="14" t="s">
        <v>1018</v>
      </c>
      <c r="S3977" s="16" t="s">
        <v>1352</v>
      </c>
      <c r="T3977" s="14" t="s">
        <v>1019</v>
      </c>
      <c r="U3977" s="16" t="s">
        <v>31</v>
      </c>
      <c r="V3977" s="14" t="s">
        <v>12832</v>
      </c>
      <c r="W3977" s="14" t="s">
        <v>24402</v>
      </c>
      <c r="X3977" s="17" t="str">
        <f>HYPERLINK("https://my.pitchbook.com?p=308947-60P","View People Online")</f>
        <v>View People Online</v>
      </c>
    </row>
    <row r="3978">
      <c r="A3978" s="2" t="s">
        <v>25004</v>
      </c>
      <c r="B3978" s="2" t="s">
        <v>25005</v>
      </c>
      <c r="C3978" s="2" t="s">
        <v>25006</v>
      </c>
      <c r="D3978" s="2" t="s">
        <v>25007</v>
      </c>
      <c r="E3978" s="2" t="s">
        <v>24402</v>
      </c>
      <c r="F3978" s="2" t="s">
        <v>25008</v>
      </c>
      <c r="G3978" s="2" t="s">
        <v>25009</v>
      </c>
      <c r="H3978" s="3">
        <v>1.0</v>
      </c>
      <c r="I3978" s="3">
        <v>15.0</v>
      </c>
      <c r="J3978" s="3">
        <v>3.0</v>
      </c>
      <c r="K3978" s="3">
        <v>2.0</v>
      </c>
      <c r="L3978" s="4" t="s">
        <v>24413</v>
      </c>
      <c r="M3978" s="2" t="s">
        <v>25010</v>
      </c>
      <c r="N3978" s="2" t="s">
        <v>1348</v>
      </c>
      <c r="O3978" s="4" t="s">
        <v>1349</v>
      </c>
      <c r="P3978" s="2" t="s">
        <v>24415</v>
      </c>
      <c r="Q3978" s="2" t="s">
        <v>24416</v>
      </c>
      <c r="R3978" s="2" t="s">
        <v>1018</v>
      </c>
      <c r="S3978" s="4" t="s">
        <v>1352</v>
      </c>
      <c r="T3978" s="2" t="s">
        <v>1019</v>
      </c>
      <c r="U3978" s="4" t="s">
        <v>31</v>
      </c>
      <c r="V3978" s="2" t="s">
        <v>25011</v>
      </c>
      <c r="W3978" s="2" t="s">
        <v>24418</v>
      </c>
      <c r="X3978" s="5" t="str">
        <f>HYPERLINK("https://my.pitchbook.com?p=160287-04P","View People Online")</f>
        <v>View People Online</v>
      </c>
    </row>
    <row r="3979">
      <c r="A3979" s="14" t="s">
        <v>25012</v>
      </c>
      <c r="B3979" s="14" t="s">
        <v>25013</v>
      </c>
      <c r="C3979" s="14" t="s">
        <v>25014</v>
      </c>
      <c r="D3979" s="14" t="s">
        <v>25015</v>
      </c>
      <c r="E3979" s="14" t="s">
        <v>24402</v>
      </c>
      <c r="F3979" s="14" t="s">
        <v>1283</v>
      </c>
      <c r="G3979" s="14" t="s">
        <v>25016</v>
      </c>
      <c r="H3979" s="15" t="s">
        <v>31</v>
      </c>
      <c r="I3979" s="15">
        <v>1.0</v>
      </c>
      <c r="J3979" s="15">
        <v>1.0</v>
      </c>
      <c r="K3979" s="15" t="s">
        <v>31</v>
      </c>
      <c r="L3979" s="16" t="s">
        <v>24413</v>
      </c>
      <c r="M3979" s="14" t="s">
        <v>25017</v>
      </c>
      <c r="N3979" s="14" t="s">
        <v>1348</v>
      </c>
      <c r="O3979" s="16" t="s">
        <v>1349</v>
      </c>
      <c r="P3979" s="14" t="s">
        <v>24406</v>
      </c>
      <c r="Q3979" s="14" t="s">
        <v>24407</v>
      </c>
      <c r="R3979" s="14" t="s">
        <v>1018</v>
      </c>
      <c r="S3979" s="16" t="s">
        <v>1352</v>
      </c>
      <c r="T3979" s="14" t="s">
        <v>1019</v>
      </c>
      <c r="U3979" s="16" t="s">
        <v>31</v>
      </c>
      <c r="V3979" s="14" t="s">
        <v>24559</v>
      </c>
      <c r="W3979" s="14" t="s">
        <v>24402</v>
      </c>
      <c r="X3979" s="17" t="str">
        <f>HYPERLINK("https://my.pitchbook.com?p=204568-12P","View People Online")</f>
        <v>View People Online</v>
      </c>
    </row>
    <row r="3980">
      <c r="A3980" s="10" t="s">
        <v>25018</v>
      </c>
      <c r="B3980" s="10" t="s">
        <v>25019</v>
      </c>
      <c r="C3980" s="10" t="s">
        <v>19268</v>
      </c>
      <c r="D3980" s="10" t="s">
        <v>25020</v>
      </c>
      <c r="E3980" s="10" t="s">
        <v>24402</v>
      </c>
      <c r="F3980" s="10" t="s">
        <v>3288</v>
      </c>
      <c r="G3980" s="10" t="s">
        <v>25021</v>
      </c>
      <c r="H3980" s="11">
        <v>1.0</v>
      </c>
      <c r="I3980" s="11">
        <v>4.0</v>
      </c>
      <c r="J3980" s="11">
        <v>3.0</v>
      </c>
      <c r="K3980" s="11" t="s">
        <v>31</v>
      </c>
      <c r="L3980" s="12" t="s">
        <v>25022</v>
      </c>
      <c r="M3980" s="10" t="s">
        <v>25023</v>
      </c>
      <c r="N3980" s="10" t="s">
        <v>13768</v>
      </c>
      <c r="O3980" s="12" t="s">
        <v>13769</v>
      </c>
      <c r="P3980" s="10" t="s">
        <v>25024</v>
      </c>
      <c r="Q3980" s="10" t="s">
        <v>25025</v>
      </c>
      <c r="R3980" s="10" t="s">
        <v>31</v>
      </c>
      <c r="S3980" s="12" t="s">
        <v>25026</v>
      </c>
      <c r="T3980" s="10" t="s">
        <v>13773</v>
      </c>
      <c r="U3980" s="12" t="s">
        <v>25027</v>
      </c>
      <c r="V3980" s="10" t="s">
        <v>25028</v>
      </c>
      <c r="W3980" s="10" t="s">
        <v>25029</v>
      </c>
      <c r="X3980" s="13" t="str">
        <f>HYPERLINK("https://my.pitchbook.com?p=144583-21P","View People Online")</f>
        <v>View People Online</v>
      </c>
    </row>
    <row r="3981">
      <c r="A3981" s="14" t="s">
        <v>25030</v>
      </c>
      <c r="B3981" s="14" t="s">
        <v>25031</v>
      </c>
      <c r="C3981" s="14" t="s">
        <v>2288</v>
      </c>
      <c r="D3981" s="14" t="s">
        <v>1147</v>
      </c>
      <c r="E3981" s="14" t="s">
        <v>24402</v>
      </c>
      <c r="F3981" s="14" t="s">
        <v>57</v>
      </c>
      <c r="G3981" s="14" t="s">
        <v>25032</v>
      </c>
      <c r="H3981" s="15" t="s">
        <v>31</v>
      </c>
      <c r="I3981" s="15">
        <v>4.0</v>
      </c>
      <c r="J3981" s="15">
        <v>2.0</v>
      </c>
      <c r="K3981" s="15" t="s">
        <v>31</v>
      </c>
      <c r="L3981" s="16" t="s">
        <v>24413</v>
      </c>
      <c r="M3981" s="14" t="s">
        <v>25033</v>
      </c>
      <c r="N3981" s="14" t="s">
        <v>1348</v>
      </c>
      <c r="O3981" s="16" t="s">
        <v>1349</v>
      </c>
      <c r="P3981" s="14" t="s">
        <v>24415</v>
      </c>
      <c r="Q3981" s="14" t="s">
        <v>24416</v>
      </c>
      <c r="R3981" s="14" t="s">
        <v>1018</v>
      </c>
      <c r="S3981" s="16" t="s">
        <v>1352</v>
      </c>
      <c r="T3981" s="14" t="s">
        <v>1019</v>
      </c>
      <c r="U3981" s="16" t="s">
        <v>31</v>
      </c>
      <c r="V3981" s="14" t="s">
        <v>25034</v>
      </c>
      <c r="W3981" s="14" t="s">
        <v>24418</v>
      </c>
      <c r="X3981" s="17" t="str">
        <f>HYPERLINK("https://my.pitchbook.com?p=86485-51P","View People Online")</f>
        <v>View People Online</v>
      </c>
    </row>
    <row r="3982">
      <c r="A3982" s="10" t="s">
        <v>25035</v>
      </c>
      <c r="B3982" s="10" t="s">
        <v>25036</v>
      </c>
      <c r="C3982" s="10" t="s">
        <v>2288</v>
      </c>
      <c r="D3982" s="10" t="s">
        <v>25037</v>
      </c>
      <c r="E3982" s="10" t="s">
        <v>24402</v>
      </c>
      <c r="F3982" s="10" t="s">
        <v>3288</v>
      </c>
      <c r="G3982" s="10" t="s">
        <v>25038</v>
      </c>
      <c r="H3982" s="11" t="s">
        <v>31</v>
      </c>
      <c r="I3982" s="11">
        <v>31.0</v>
      </c>
      <c r="J3982" s="11">
        <v>2.0</v>
      </c>
      <c r="K3982" s="11" t="s">
        <v>31</v>
      </c>
      <c r="L3982" s="12" t="s">
        <v>24413</v>
      </c>
      <c r="M3982" s="10" t="s">
        <v>25039</v>
      </c>
      <c r="N3982" s="10" t="s">
        <v>1348</v>
      </c>
      <c r="O3982" s="12" t="s">
        <v>1349</v>
      </c>
      <c r="P3982" s="10" t="s">
        <v>24406</v>
      </c>
      <c r="Q3982" s="10" t="s">
        <v>24407</v>
      </c>
      <c r="R3982" s="10" t="s">
        <v>1018</v>
      </c>
      <c r="S3982" s="12" t="s">
        <v>1352</v>
      </c>
      <c r="T3982" s="10" t="s">
        <v>1019</v>
      </c>
      <c r="U3982" s="12" t="s">
        <v>31</v>
      </c>
      <c r="V3982" s="10" t="s">
        <v>25040</v>
      </c>
      <c r="W3982" s="10" t="s">
        <v>24402</v>
      </c>
      <c r="X3982" s="13" t="str">
        <f>HYPERLINK("https://my.pitchbook.com?p=151445-62P","View People Online")</f>
        <v>View People Online</v>
      </c>
    </row>
    <row r="3983">
      <c r="A3983" s="14" t="s">
        <v>25041</v>
      </c>
      <c r="B3983" s="14" t="s">
        <v>25042</v>
      </c>
      <c r="C3983" s="14" t="s">
        <v>19547</v>
      </c>
      <c r="D3983" s="14" t="s">
        <v>25043</v>
      </c>
      <c r="E3983" s="14" t="s">
        <v>24402</v>
      </c>
      <c r="F3983" s="14" t="s">
        <v>371</v>
      </c>
      <c r="G3983" s="14" t="s">
        <v>25044</v>
      </c>
      <c r="H3983" s="15" t="s">
        <v>31</v>
      </c>
      <c r="I3983" s="15">
        <v>1.0</v>
      </c>
      <c r="J3983" s="15">
        <v>1.0</v>
      </c>
      <c r="K3983" s="15" t="s">
        <v>31</v>
      </c>
      <c r="L3983" s="16" t="s">
        <v>24413</v>
      </c>
      <c r="M3983" s="14" t="s">
        <v>25045</v>
      </c>
      <c r="N3983" s="14" t="s">
        <v>1348</v>
      </c>
      <c r="O3983" s="16" t="s">
        <v>1349</v>
      </c>
      <c r="P3983" s="14" t="s">
        <v>24406</v>
      </c>
      <c r="Q3983" s="14" t="s">
        <v>24407</v>
      </c>
      <c r="R3983" s="14" t="s">
        <v>1018</v>
      </c>
      <c r="S3983" s="16" t="s">
        <v>1352</v>
      </c>
      <c r="T3983" s="14" t="s">
        <v>1019</v>
      </c>
      <c r="U3983" s="16" t="s">
        <v>31</v>
      </c>
      <c r="V3983" s="14" t="s">
        <v>371</v>
      </c>
      <c r="W3983" s="14" t="s">
        <v>24402</v>
      </c>
      <c r="X3983" s="17" t="str">
        <f>HYPERLINK("https://my.pitchbook.com?p=406342-81P","View People Online")</f>
        <v>View People Online</v>
      </c>
    </row>
    <row r="3984">
      <c r="A3984" s="2" t="s">
        <v>25046</v>
      </c>
      <c r="B3984" s="2" t="s">
        <v>25047</v>
      </c>
      <c r="C3984" s="2" t="s">
        <v>160</v>
      </c>
      <c r="D3984" s="2" t="s">
        <v>14862</v>
      </c>
      <c r="E3984" s="2" t="s">
        <v>24402</v>
      </c>
      <c r="F3984" s="2" t="s">
        <v>312</v>
      </c>
      <c r="G3984" s="2" t="s">
        <v>25048</v>
      </c>
      <c r="H3984" s="3" t="s">
        <v>31</v>
      </c>
      <c r="I3984" s="3">
        <v>7.0</v>
      </c>
      <c r="J3984" s="3">
        <v>1.0</v>
      </c>
      <c r="K3984" s="3" t="s">
        <v>31</v>
      </c>
      <c r="L3984" s="4" t="s">
        <v>24413</v>
      </c>
      <c r="M3984" s="2" t="s">
        <v>31</v>
      </c>
      <c r="N3984" s="2" t="s">
        <v>1348</v>
      </c>
      <c r="O3984" s="4" t="s">
        <v>1349</v>
      </c>
      <c r="P3984" s="2" t="s">
        <v>24406</v>
      </c>
      <c r="Q3984" s="2" t="s">
        <v>24407</v>
      </c>
      <c r="R3984" s="2" t="s">
        <v>1018</v>
      </c>
      <c r="S3984" s="4" t="s">
        <v>1352</v>
      </c>
      <c r="T3984" s="2" t="s">
        <v>1019</v>
      </c>
      <c r="U3984" s="4" t="s">
        <v>31</v>
      </c>
      <c r="V3984" s="2" t="s">
        <v>25049</v>
      </c>
      <c r="W3984" s="2" t="s">
        <v>24402</v>
      </c>
      <c r="X3984" s="5" t="str">
        <f>HYPERLINK("https://my.pitchbook.com?p=441463-60P","View People Online")</f>
        <v>View People Online</v>
      </c>
    </row>
    <row r="3985">
      <c r="A3985" s="14" t="s">
        <v>25050</v>
      </c>
      <c r="B3985" s="14" t="s">
        <v>25051</v>
      </c>
      <c r="C3985" s="14" t="s">
        <v>11929</v>
      </c>
      <c r="D3985" s="14" t="s">
        <v>25052</v>
      </c>
      <c r="E3985" s="14" t="s">
        <v>24402</v>
      </c>
      <c r="F3985" s="14" t="s">
        <v>1283</v>
      </c>
      <c r="G3985" s="14" t="s">
        <v>25053</v>
      </c>
      <c r="H3985" s="15" t="s">
        <v>31</v>
      </c>
      <c r="I3985" s="15">
        <v>10.0</v>
      </c>
      <c r="J3985" s="15">
        <v>2.0</v>
      </c>
      <c r="K3985" s="15" t="s">
        <v>31</v>
      </c>
      <c r="L3985" s="16" t="s">
        <v>24413</v>
      </c>
      <c r="M3985" s="14" t="s">
        <v>25054</v>
      </c>
      <c r="N3985" s="14" t="s">
        <v>1348</v>
      </c>
      <c r="O3985" s="16" t="s">
        <v>1349</v>
      </c>
      <c r="P3985" s="14" t="s">
        <v>24415</v>
      </c>
      <c r="Q3985" s="14" t="s">
        <v>24416</v>
      </c>
      <c r="R3985" s="14" t="s">
        <v>1018</v>
      </c>
      <c r="S3985" s="16" t="s">
        <v>1352</v>
      </c>
      <c r="T3985" s="14" t="s">
        <v>1019</v>
      </c>
      <c r="U3985" s="16" t="s">
        <v>31</v>
      </c>
      <c r="V3985" s="14" t="s">
        <v>24417</v>
      </c>
      <c r="W3985" s="14" t="s">
        <v>24418</v>
      </c>
      <c r="X3985" s="17" t="str">
        <f>HYPERLINK("https://my.pitchbook.com?p=405973-90P","View People Online")</f>
        <v>View People Online</v>
      </c>
    </row>
    <row r="3986">
      <c r="A3986" s="10" t="s">
        <v>25055</v>
      </c>
      <c r="B3986" s="10" t="s">
        <v>25056</v>
      </c>
      <c r="C3986" s="10" t="s">
        <v>126</v>
      </c>
      <c r="D3986" s="10" t="s">
        <v>25057</v>
      </c>
      <c r="E3986" s="10" t="s">
        <v>24402</v>
      </c>
      <c r="F3986" s="10" t="s">
        <v>120</v>
      </c>
      <c r="G3986" s="10" t="s">
        <v>25058</v>
      </c>
      <c r="H3986" s="11">
        <v>1.0</v>
      </c>
      <c r="I3986" s="11">
        <v>3.0</v>
      </c>
      <c r="J3986" s="11">
        <v>2.0</v>
      </c>
      <c r="K3986" s="11" t="s">
        <v>31</v>
      </c>
      <c r="L3986" s="12" t="s">
        <v>24413</v>
      </c>
      <c r="M3986" s="10" t="s">
        <v>25059</v>
      </c>
      <c r="N3986" s="10" t="s">
        <v>1348</v>
      </c>
      <c r="O3986" s="12" t="s">
        <v>1349</v>
      </c>
      <c r="P3986" s="10" t="s">
        <v>24520</v>
      </c>
      <c r="Q3986" s="10" t="s">
        <v>989</v>
      </c>
      <c r="R3986" s="10" t="s">
        <v>1018</v>
      </c>
      <c r="S3986" s="12" t="s">
        <v>1352</v>
      </c>
      <c r="T3986" s="10" t="s">
        <v>1019</v>
      </c>
      <c r="U3986" s="12" t="s">
        <v>31</v>
      </c>
      <c r="V3986" s="10" t="s">
        <v>24554</v>
      </c>
      <c r="W3986" s="10" t="s">
        <v>24522</v>
      </c>
      <c r="X3986" s="13" t="str">
        <f>HYPERLINK("https://my.pitchbook.com?p=204568-03P","View People Online")</f>
        <v>View People Online</v>
      </c>
    </row>
    <row r="3987">
      <c r="A3987" s="6" t="s">
        <v>25060</v>
      </c>
      <c r="B3987" s="6" t="s">
        <v>25061</v>
      </c>
      <c r="C3987" s="6" t="s">
        <v>126</v>
      </c>
      <c r="D3987" s="6" t="s">
        <v>25062</v>
      </c>
      <c r="E3987" s="6" t="s">
        <v>24402</v>
      </c>
      <c r="F3987" s="6" t="s">
        <v>1283</v>
      </c>
      <c r="G3987" s="6" t="s">
        <v>25063</v>
      </c>
      <c r="H3987" s="7" t="s">
        <v>31</v>
      </c>
      <c r="I3987" s="7">
        <v>2.0</v>
      </c>
      <c r="J3987" s="7">
        <v>2.0</v>
      </c>
      <c r="K3987" s="7" t="s">
        <v>31</v>
      </c>
      <c r="L3987" s="8" t="s">
        <v>24413</v>
      </c>
      <c r="M3987" s="6" t="s">
        <v>25064</v>
      </c>
      <c r="N3987" s="6" t="s">
        <v>1348</v>
      </c>
      <c r="O3987" s="8" t="s">
        <v>1349</v>
      </c>
      <c r="P3987" s="6" t="s">
        <v>24415</v>
      </c>
      <c r="Q3987" s="6" t="s">
        <v>24416</v>
      </c>
      <c r="R3987" s="6" t="s">
        <v>1018</v>
      </c>
      <c r="S3987" s="8" t="s">
        <v>1352</v>
      </c>
      <c r="T3987" s="6" t="s">
        <v>1019</v>
      </c>
      <c r="U3987" s="8" t="s">
        <v>31</v>
      </c>
      <c r="V3987" s="6" t="s">
        <v>24417</v>
      </c>
      <c r="W3987" s="6" t="s">
        <v>24418</v>
      </c>
      <c r="X3987" s="9" t="str">
        <f>HYPERLINK("https://my.pitchbook.com?p=265158-82P","View People Online")</f>
        <v>View People Online</v>
      </c>
    </row>
    <row r="3988">
      <c r="A3988" s="2" t="s">
        <v>25065</v>
      </c>
      <c r="B3988" s="2" t="s">
        <v>25066</v>
      </c>
      <c r="C3988" s="2" t="s">
        <v>126</v>
      </c>
      <c r="D3988" s="2" t="s">
        <v>25067</v>
      </c>
      <c r="E3988" s="2" t="s">
        <v>24402</v>
      </c>
      <c r="F3988" s="2" t="s">
        <v>1283</v>
      </c>
      <c r="G3988" s="2" t="s">
        <v>25068</v>
      </c>
      <c r="H3988" s="3" t="s">
        <v>31</v>
      </c>
      <c r="I3988" s="3">
        <v>3.0</v>
      </c>
      <c r="J3988" s="3">
        <v>3.0</v>
      </c>
      <c r="K3988" s="3" t="s">
        <v>31</v>
      </c>
      <c r="L3988" s="4" t="s">
        <v>24413</v>
      </c>
      <c r="M3988" s="2" t="s">
        <v>25069</v>
      </c>
      <c r="N3988" s="2" t="s">
        <v>1348</v>
      </c>
      <c r="O3988" s="4" t="s">
        <v>1349</v>
      </c>
      <c r="P3988" s="2" t="s">
        <v>24406</v>
      </c>
      <c r="Q3988" s="2" t="s">
        <v>24407</v>
      </c>
      <c r="R3988" s="2" t="s">
        <v>1018</v>
      </c>
      <c r="S3988" s="4" t="s">
        <v>1352</v>
      </c>
      <c r="T3988" s="2" t="s">
        <v>1019</v>
      </c>
      <c r="U3988" s="4" t="s">
        <v>31</v>
      </c>
      <c r="V3988" s="2" t="s">
        <v>24569</v>
      </c>
      <c r="W3988" s="2" t="s">
        <v>24402</v>
      </c>
      <c r="X3988" s="5" t="str">
        <f>HYPERLINK("https://my.pitchbook.com?p=265281-13P","View People Online")</f>
        <v>View People Online</v>
      </c>
    </row>
    <row r="3989">
      <c r="A3989" s="14" t="s">
        <v>25070</v>
      </c>
      <c r="B3989" s="14" t="s">
        <v>25071</v>
      </c>
      <c r="C3989" s="14" t="s">
        <v>25072</v>
      </c>
      <c r="D3989" s="14" t="s">
        <v>25073</v>
      </c>
      <c r="E3989" s="14" t="s">
        <v>24402</v>
      </c>
      <c r="F3989" s="14" t="s">
        <v>1283</v>
      </c>
      <c r="G3989" s="14" t="s">
        <v>25074</v>
      </c>
      <c r="H3989" s="15" t="s">
        <v>31</v>
      </c>
      <c r="I3989" s="15">
        <v>5.0</v>
      </c>
      <c r="J3989" s="15">
        <v>3.0</v>
      </c>
      <c r="K3989" s="15">
        <v>1.0</v>
      </c>
      <c r="L3989" s="16" t="s">
        <v>24413</v>
      </c>
      <c r="M3989" s="14" t="s">
        <v>25075</v>
      </c>
      <c r="N3989" s="14" t="s">
        <v>1348</v>
      </c>
      <c r="O3989" s="16" t="s">
        <v>1349</v>
      </c>
      <c r="P3989" s="14" t="s">
        <v>24406</v>
      </c>
      <c r="Q3989" s="14" t="s">
        <v>24407</v>
      </c>
      <c r="R3989" s="14" t="s">
        <v>1018</v>
      </c>
      <c r="S3989" s="16" t="s">
        <v>1352</v>
      </c>
      <c r="T3989" s="14" t="s">
        <v>1019</v>
      </c>
      <c r="U3989" s="16" t="s">
        <v>31</v>
      </c>
      <c r="V3989" s="14" t="s">
        <v>24452</v>
      </c>
      <c r="W3989" s="14" t="s">
        <v>24402</v>
      </c>
      <c r="X3989" s="17" t="str">
        <f>HYPERLINK("https://my.pitchbook.com?p=265221-91P","View People Online")</f>
        <v>View People Online</v>
      </c>
    </row>
    <row r="3990">
      <c r="A3990" s="10" t="s">
        <v>25076</v>
      </c>
      <c r="B3990" s="10" t="s">
        <v>25077</v>
      </c>
      <c r="C3990" s="10" t="s">
        <v>1807</v>
      </c>
      <c r="D3990" s="10" t="s">
        <v>25078</v>
      </c>
      <c r="E3990" s="10" t="s">
        <v>24402</v>
      </c>
      <c r="F3990" s="10" t="s">
        <v>1283</v>
      </c>
      <c r="G3990" s="10" t="s">
        <v>25079</v>
      </c>
      <c r="H3990" s="11" t="s">
        <v>31</v>
      </c>
      <c r="I3990" s="11">
        <v>2.0</v>
      </c>
      <c r="J3990" s="11">
        <v>2.0</v>
      </c>
      <c r="K3990" s="11" t="s">
        <v>31</v>
      </c>
      <c r="L3990" s="12" t="s">
        <v>24413</v>
      </c>
      <c r="M3990" s="10" t="s">
        <v>25080</v>
      </c>
      <c r="N3990" s="10" t="s">
        <v>1348</v>
      </c>
      <c r="O3990" s="12" t="s">
        <v>1349</v>
      </c>
      <c r="P3990" s="10" t="s">
        <v>24415</v>
      </c>
      <c r="Q3990" s="10" t="s">
        <v>24416</v>
      </c>
      <c r="R3990" s="10" t="s">
        <v>1018</v>
      </c>
      <c r="S3990" s="12" t="s">
        <v>1352</v>
      </c>
      <c r="T3990" s="10" t="s">
        <v>1019</v>
      </c>
      <c r="U3990" s="12" t="s">
        <v>31</v>
      </c>
      <c r="V3990" s="10" t="s">
        <v>24417</v>
      </c>
      <c r="W3990" s="10" t="s">
        <v>24418</v>
      </c>
      <c r="X3990" s="13" t="str">
        <f>HYPERLINK("https://my.pitchbook.com?p=405965-98P","View People Online")</f>
        <v>View People Online</v>
      </c>
    </row>
    <row r="3991">
      <c r="A3991" s="6" t="s">
        <v>25081</v>
      </c>
      <c r="B3991" s="6" t="s">
        <v>25082</v>
      </c>
      <c r="C3991" s="6" t="s">
        <v>11992</v>
      </c>
      <c r="D3991" s="6" t="s">
        <v>2457</v>
      </c>
      <c r="E3991" s="6" t="s">
        <v>24402</v>
      </c>
      <c r="F3991" s="6" t="s">
        <v>25083</v>
      </c>
      <c r="G3991" s="6" t="s">
        <v>25084</v>
      </c>
      <c r="H3991" s="7" t="s">
        <v>31</v>
      </c>
      <c r="I3991" s="7">
        <v>6.0</v>
      </c>
      <c r="J3991" s="7">
        <v>2.0</v>
      </c>
      <c r="K3991" s="7">
        <v>3.0</v>
      </c>
      <c r="L3991" s="8" t="s">
        <v>24413</v>
      </c>
      <c r="M3991" s="6" t="s">
        <v>25085</v>
      </c>
      <c r="N3991" s="6" t="s">
        <v>1348</v>
      </c>
      <c r="O3991" s="8" t="s">
        <v>1349</v>
      </c>
      <c r="P3991" s="6" t="s">
        <v>24520</v>
      </c>
      <c r="Q3991" s="6" t="s">
        <v>1719</v>
      </c>
      <c r="R3991" s="6" t="s">
        <v>1018</v>
      </c>
      <c r="S3991" s="8" t="s">
        <v>1352</v>
      </c>
      <c r="T3991" s="6" t="s">
        <v>1019</v>
      </c>
      <c r="U3991" s="8" t="s">
        <v>31</v>
      </c>
      <c r="V3991" s="6" t="s">
        <v>25086</v>
      </c>
      <c r="W3991" s="6" t="s">
        <v>24856</v>
      </c>
      <c r="X3991" s="9" t="str">
        <f>HYPERLINK("https://my.pitchbook.com?p=92381-05P","View People Online")</f>
        <v>View People Online</v>
      </c>
    </row>
    <row r="3992">
      <c r="A3992" s="10" t="s">
        <v>25087</v>
      </c>
      <c r="B3992" s="10" t="s">
        <v>25088</v>
      </c>
      <c r="C3992" s="10" t="s">
        <v>3908</v>
      </c>
      <c r="D3992" s="10" t="s">
        <v>25089</v>
      </c>
      <c r="E3992" s="10" t="s">
        <v>24402</v>
      </c>
      <c r="F3992" s="10" t="s">
        <v>57</v>
      </c>
      <c r="G3992" s="10" t="s">
        <v>25090</v>
      </c>
      <c r="H3992" s="11" t="s">
        <v>31</v>
      </c>
      <c r="I3992" s="11">
        <v>11.0</v>
      </c>
      <c r="J3992" s="11">
        <v>2.0</v>
      </c>
      <c r="K3992" s="11">
        <v>1.0</v>
      </c>
      <c r="L3992" s="12" t="s">
        <v>24413</v>
      </c>
      <c r="M3992" s="10" t="s">
        <v>25091</v>
      </c>
      <c r="N3992" s="10" t="s">
        <v>1348</v>
      </c>
      <c r="O3992" s="12" t="s">
        <v>1349</v>
      </c>
      <c r="P3992" s="10" t="s">
        <v>24415</v>
      </c>
      <c r="Q3992" s="10" t="s">
        <v>24416</v>
      </c>
      <c r="R3992" s="10" t="s">
        <v>1018</v>
      </c>
      <c r="S3992" s="12" t="s">
        <v>1352</v>
      </c>
      <c r="T3992" s="10" t="s">
        <v>1019</v>
      </c>
      <c r="U3992" s="12" t="s">
        <v>31</v>
      </c>
      <c r="V3992" s="10" t="s">
        <v>24424</v>
      </c>
      <c r="W3992" s="10" t="s">
        <v>24418</v>
      </c>
      <c r="X3992" s="13" t="str">
        <f>HYPERLINK("https://my.pitchbook.com?p=17906-05P","View People Online")</f>
        <v>View People Online</v>
      </c>
    </row>
    <row r="3993">
      <c r="A3993" s="6" t="s">
        <v>25092</v>
      </c>
      <c r="B3993" s="6" t="s">
        <v>25093</v>
      </c>
      <c r="C3993" s="6" t="s">
        <v>25094</v>
      </c>
      <c r="D3993" s="6" t="s">
        <v>25095</v>
      </c>
      <c r="E3993" s="6" t="s">
        <v>24402</v>
      </c>
      <c r="F3993" s="6" t="s">
        <v>57</v>
      </c>
      <c r="G3993" s="6" t="s">
        <v>25096</v>
      </c>
      <c r="H3993" s="7" t="s">
        <v>31</v>
      </c>
      <c r="I3993" s="7">
        <v>3.0</v>
      </c>
      <c r="J3993" s="7">
        <v>2.0</v>
      </c>
      <c r="K3993" s="7" t="s">
        <v>31</v>
      </c>
      <c r="L3993" s="8" t="s">
        <v>24413</v>
      </c>
      <c r="M3993" s="6" t="s">
        <v>25097</v>
      </c>
      <c r="N3993" s="6" t="s">
        <v>1348</v>
      </c>
      <c r="O3993" s="8" t="s">
        <v>1349</v>
      </c>
      <c r="P3993" s="6" t="s">
        <v>24415</v>
      </c>
      <c r="Q3993" s="6" t="s">
        <v>24416</v>
      </c>
      <c r="R3993" s="6" t="s">
        <v>1018</v>
      </c>
      <c r="S3993" s="8" t="s">
        <v>1352</v>
      </c>
      <c r="T3993" s="6" t="s">
        <v>1019</v>
      </c>
      <c r="U3993" s="8" t="s">
        <v>31</v>
      </c>
      <c r="V3993" s="6" t="s">
        <v>24606</v>
      </c>
      <c r="W3993" s="6" t="s">
        <v>24418</v>
      </c>
      <c r="X3993" s="9" t="str">
        <f>HYPERLINK("https://my.pitchbook.com?p=405962-20P","View People Online")</f>
        <v>View People Online</v>
      </c>
    </row>
    <row r="3994">
      <c r="A3994" s="2" t="s">
        <v>25098</v>
      </c>
      <c r="B3994" s="2" t="s">
        <v>25099</v>
      </c>
      <c r="C3994" s="2" t="s">
        <v>5536</v>
      </c>
      <c r="D3994" s="2" t="s">
        <v>25100</v>
      </c>
      <c r="E3994" s="2" t="s">
        <v>24402</v>
      </c>
      <c r="F3994" s="2" t="s">
        <v>57</v>
      </c>
      <c r="G3994" s="2" t="s">
        <v>25101</v>
      </c>
      <c r="H3994" s="3" t="s">
        <v>31</v>
      </c>
      <c r="I3994" s="3">
        <v>8.0</v>
      </c>
      <c r="J3994" s="3">
        <v>3.0</v>
      </c>
      <c r="K3994" s="3">
        <v>4.0</v>
      </c>
      <c r="L3994" s="4" t="s">
        <v>24413</v>
      </c>
      <c r="M3994" s="2" t="s">
        <v>25102</v>
      </c>
      <c r="N3994" s="2" t="s">
        <v>1348</v>
      </c>
      <c r="O3994" s="4" t="s">
        <v>1349</v>
      </c>
      <c r="P3994" s="2" t="s">
        <v>24520</v>
      </c>
      <c r="Q3994" s="2" t="s">
        <v>1719</v>
      </c>
      <c r="R3994" s="2" t="s">
        <v>1018</v>
      </c>
      <c r="S3994" s="4" t="s">
        <v>1352</v>
      </c>
      <c r="T3994" s="2" t="s">
        <v>1019</v>
      </c>
      <c r="U3994" s="4" t="s">
        <v>31</v>
      </c>
      <c r="V3994" s="2" t="s">
        <v>10197</v>
      </c>
      <c r="W3994" s="2" t="s">
        <v>24856</v>
      </c>
      <c r="X3994" s="5" t="str">
        <f>HYPERLINK("https://my.pitchbook.com?p=280373-50P","View People Online")</f>
        <v>View People Online</v>
      </c>
    </row>
    <row r="3995">
      <c r="A3995" s="14" t="s">
        <v>25103</v>
      </c>
      <c r="B3995" s="14" t="s">
        <v>25104</v>
      </c>
      <c r="C3995" s="14" t="s">
        <v>5536</v>
      </c>
      <c r="D3995" s="14" t="s">
        <v>25105</v>
      </c>
      <c r="E3995" s="14" t="s">
        <v>24402</v>
      </c>
      <c r="F3995" s="14" t="s">
        <v>3288</v>
      </c>
      <c r="G3995" s="14" t="s">
        <v>25106</v>
      </c>
      <c r="H3995" s="15" t="s">
        <v>31</v>
      </c>
      <c r="I3995" s="15">
        <v>4.0</v>
      </c>
      <c r="J3995" s="15">
        <v>2.0</v>
      </c>
      <c r="K3995" s="15">
        <v>1.0</v>
      </c>
      <c r="L3995" s="16" t="s">
        <v>24413</v>
      </c>
      <c r="M3995" s="14" t="s">
        <v>25107</v>
      </c>
      <c r="N3995" s="14" t="s">
        <v>1348</v>
      </c>
      <c r="O3995" s="16" t="s">
        <v>1349</v>
      </c>
      <c r="P3995" s="14" t="s">
        <v>24406</v>
      </c>
      <c r="Q3995" s="14" t="s">
        <v>24407</v>
      </c>
      <c r="R3995" s="14" t="s">
        <v>1018</v>
      </c>
      <c r="S3995" s="16" t="s">
        <v>1352</v>
      </c>
      <c r="T3995" s="14" t="s">
        <v>1019</v>
      </c>
      <c r="U3995" s="16" t="s">
        <v>31</v>
      </c>
      <c r="V3995" s="14" t="s">
        <v>25108</v>
      </c>
      <c r="W3995" s="14" t="s">
        <v>24402</v>
      </c>
      <c r="X3995" s="17" t="str">
        <f>HYPERLINK("https://my.pitchbook.com?p=146740-96P","View People Online")</f>
        <v>View People Online</v>
      </c>
    </row>
    <row r="3996">
      <c r="A3996" s="2" t="s">
        <v>25109</v>
      </c>
      <c r="B3996" s="2" t="s">
        <v>25110</v>
      </c>
      <c r="C3996" s="2" t="s">
        <v>25111</v>
      </c>
      <c r="D3996" s="2" t="s">
        <v>25112</v>
      </c>
      <c r="E3996" s="2" t="s">
        <v>24402</v>
      </c>
      <c r="F3996" s="2" t="s">
        <v>2652</v>
      </c>
      <c r="G3996" s="2" t="s">
        <v>25113</v>
      </c>
      <c r="H3996" s="3" t="s">
        <v>31</v>
      </c>
      <c r="I3996" s="3">
        <v>4.0</v>
      </c>
      <c r="J3996" s="3">
        <v>2.0</v>
      </c>
      <c r="K3996" s="3">
        <v>1.0</v>
      </c>
      <c r="L3996" s="4" t="s">
        <v>25114</v>
      </c>
      <c r="M3996" s="2" t="s">
        <v>25115</v>
      </c>
      <c r="N3996" s="2" t="s">
        <v>1348</v>
      </c>
      <c r="O3996" s="4" t="s">
        <v>1349</v>
      </c>
      <c r="P3996" s="2" t="s">
        <v>24520</v>
      </c>
      <c r="Q3996" s="2" t="s">
        <v>1719</v>
      </c>
      <c r="R3996" s="2" t="s">
        <v>1018</v>
      </c>
      <c r="S3996" s="4" t="s">
        <v>1352</v>
      </c>
      <c r="T3996" s="2" t="s">
        <v>1019</v>
      </c>
      <c r="U3996" s="4" t="s">
        <v>31</v>
      </c>
      <c r="V3996" s="2" t="s">
        <v>25086</v>
      </c>
      <c r="W3996" s="2" t="s">
        <v>24856</v>
      </c>
      <c r="X3996" s="5" t="str">
        <f>HYPERLINK("https://my.pitchbook.com?p=280390-33P","View People Online")</f>
        <v>View People Online</v>
      </c>
    </row>
    <row r="3997">
      <c r="A3997" s="6" t="s">
        <v>25116</v>
      </c>
      <c r="B3997" s="6" t="s">
        <v>25117</v>
      </c>
      <c r="C3997" s="6" t="s">
        <v>907</v>
      </c>
      <c r="D3997" s="6" t="s">
        <v>25118</v>
      </c>
      <c r="E3997" s="6" t="s">
        <v>24402</v>
      </c>
      <c r="F3997" s="6" t="s">
        <v>1283</v>
      </c>
      <c r="G3997" s="6" t="s">
        <v>25119</v>
      </c>
      <c r="H3997" s="7" t="s">
        <v>31</v>
      </c>
      <c r="I3997" s="7">
        <v>3.0</v>
      </c>
      <c r="J3997" s="7">
        <v>3.0</v>
      </c>
      <c r="K3997" s="7" t="s">
        <v>31</v>
      </c>
      <c r="L3997" s="8" t="s">
        <v>24413</v>
      </c>
      <c r="M3997" s="6" t="s">
        <v>25120</v>
      </c>
      <c r="N3997" s="6" t="s">
        <v>1348</v>
      </c>
      <c r="O3997" s="8" t="s">
        <v>1349</v>
      </c>
      <c r="P3997" s="6" t="s">
        <v>24520</v>
      </c>
      <c r="Q3997" s="6" t="s">
        <v>989</v>
      </c>
      <c r="R3997" s="6" t="s">
        <v>1018</v>
      </c>
      <c r="S3997" s="8" t="s">
        <v>1352</v>
      </c>
      <c r="T3997" s="6" t="s">
        <v>1019</v>
      </c>
      <c r="U3997" s="8" t="s">
        <v>31</v>
      </c>
      <c r="V3997" s="6" t="s">
        <v>24452</v>
      </c>
      <c r="W3997" s="6" t="s">
        <v>24939</v>
      </c>
      <c r="X3997" s="9" t="str">
        <f>HYPERLINK("https://my.pitchbook.com?p=306623-35P","View People Online")</f>
        <v>View People Online</v>
      </c>
    </row>
    <row r="3998">
      <c r="A3998" s="2" t="s">
        <v>25121</v>
      </c>
      <c r="B3998" s="2" t="s">
        <v>25122</v>
      </c>
      <c r="C3998" s="2" t="s">
        <v>907</v>
      </c>
      <c r="D3998" s="2" t="s">
        <v>25123</v>
      </c>
      <c r="E3998" s="2" t="s">
        <v>24402</v>
      </c>
      <c r="F3998" s="2" t="s">
        <v>25124</v>
      </c>
      <c r="G3998" s="2" t="s">
        <v>25125</v>
      </c>
      <c r="H3998" s="3" t="s">
        <v>31</v>
      </c>
      <c r="I3998" s="3">
        <v>3.0</v>
      </c>
      <c r="J3998" s="3">
        <v>3.0</v>
      </c>
      <c r="K3998" s="3" t="s">
        <v>31</v>
      </c>
      <c r="L3998" s="4" t="s">
        <v>24413</v>
      </c>
      <c r="M3998" s="2" t="s">
        <v>25126</v>
      </c>
      <c r="N3998" s="2" t="s">
        <v>1348</v>
      </c>
      <c r="O3998" s="4" t="s">
        <v>1349</v>
      </c>
      <c r="P3998" s="2" t="s">
        <v>24406</v>
      </c>
      <c r="Q3998" s="2" t="s">
        <v>24407</v>
      </c>
      <c r="R3998" s="2" t="s">
        <v>1018</v>
      </c>
      <c r="S3998" s="4" t="s">
        <v>1352</v>
      </c>
      <c r="T3998" s="2" t="s">
        <v>1019</v>
      </c>
      <c r="U3998" s="4" t="s">
        <v>31</v>
      </c>
      <c r="V3998" s="2" t="s">
        <v>25127</v>
      </c>
      <c r="W3998" s="2" t="s">
        <v>24402</v>
      </c>
      <c r="X3998" s="5" t="str">
        <f>HYPERLINK("https://my.pitchbook.com?p=121912-30P","View People Online")</f>
        <v>View People Online</v>
      </c>
    </row>
    <row r="3999">
      <c r="A3999" s="14" t="s">
        <v>25128</v>
      </c>
      <c r="B3999" s="14" t="s">
        <v>25129</v>
      </c>
      <c r="C3999" s="14" t="s">
        <v>907</v>
      </c>
      <c r="D3999" s="14" t="s">
        <v>25130</v>
      </c>
      <c r="E3999" s="14" t="s">
        <v>24402</v>
      </c>
      <c r="F3999" s="14" t="s">
        <v>1283</v>
      </c>
      <c r="G3999" s="14" t="s">
        <v>25131</v>
      </c>
      <c r="H3999" s="15" t="s">
        <v>31</v>
      </c>
      <c r="I3999" s="15">
        <v>6.0</v>
      </c>
      <c r="J3999" s="15">
        <v>4.0</v>
      </c>
      <c r="K3999" s="15" t="s">
        <v>31</v>
      </c>
      <c r="L3999" s="16" t="s">
        <v>25132</v>
      </c>
      <c r="M3999" s="14" t="s">
        <v>25133</v>
      </c>
      <c r="N3999" s="14" t="s">
        <v>1348</v>
      </c>
      <c r="O3999" s="16" t="s">
        <v>1349</v>
      </c>
      <c r="P3999" s="14" t="s">
        <v>24406</v>
      </c>
      <c r="Q3999" s="14" t="s">
        <v>24407</v>
      </c>
      <c r="R3999" s="14" t="s">
        <v>1018</v>
      </c>
      <c r="S3999" s="16" t="s">
        <v>1352</v>
      </c>
      <c r="T3999" s="14" t="s">
        <v>1019</v>
      </c>
      <c r="U3999" s="16" t="s">
        <v>31</v>
      </c>
      <c r="V3999" s="14" t="s">
        <v>24452</v>
      </c>
      <c r="W3999" s="14" t="s">
        <v>24402</v>
      </c>
      <c r="X3999" s="17" t="str">
        <f>HYPERLINK("https://my.pitchbook.com?p=178750-27P","View People Online")</f>
        <v>View People Online</v>
      </c>
    </row>
    <row r="4000">
      <c r="A4000" s="10" t="s">
        <v>25134</v>
      </c>
      <c r="B4000" s="10" t="s">
        <v>25135</v>
      </c>
      <c r="C4000" s="10" t="s">
        <v>3215</v>
      </c>
      <c r="D4000" s="10" t="s">
        <v>25136</v>
      </c>
      <c r="E4000" s="10" t="s">
        <v>24402</v>
      </c>
      <c r="F4000" s="10" t="s">
        <v>1283</v>
      </c>
      <c r="G4000" s="10" t="s">
        <v>25137</v>
      </c>
      <c r="H4000" s="11" t="s">
        <v>31</v>
      </c>
      <c r="I4000" s="11">
        <v>2.0</v>
      </c>
      <c r="J4000" s="11">
        <v>2.0</v>
      </c>
      <c r="K4000" s="11" t="s">
        <v>31</v>
      </c>
      <c r="L4000" s="12" t="s">
        <v>24413</v>
      </c>
      <c r="M4000" s="10" t="s">
        <v>25138</v>
      </c>
      <c r="N4000" s="10" t="s">
        <v>1348</v>
      </c>
      <c r="O4000" s="12" t="s">
        <v>1349</v>
      </c>
      <c r="P4000" s="10" t="s">
        <v>24415</v>
      </c>
      <c r="Q4000" s="10" t="s">
        <v>24416</v>
      </c>
      <c r="R4000" s="10" t="s">
        <v>1018</v>
      </c>
      <c r="S4000" s="12" t="s">
        <v>1352</v>
      </c>
      <c r="T4000" s="10" t="s">
        <v>1019</v>
      </c>
      <c r="U4000" s="12" t="s">
        <v>31</v>
      </c>
      <c r="V4000" s="10" t="s">
        <v>24417</v>
      </c>
      <c r="W4000" s="10" t="s">
        <v>24418</v>
      </c>
      <c r="X4000" s="13" t="str">
        <f>HYPERLINK("https://my.pitchbook.com?p=265030-03P","View People Online")</f>
        <v>View People Online</v>
      </c>
    </row>
    <row r="4001">
      <c r="A4001" s="14" t="s">
        <v>25139</v>
      </c>
      <c r="B4001" s="14" t="s">
        <v>25140</v>
      </c>
      <c r="C4001" s="14" t="s">
        <v>25141</v>
      </c>
      <c r="D4001" s="14" t="s">
        <v>25142</v>
      </c>
      <c r="E4001" s="14" t="s">
        <v>24402</v>
      </c>
      <c r="F4001" s="14" t="s">
        <v>25143</v>
      </c>
      <c r="G4001" s="14" t="s">
        <v>25144</v>
      </c>
      <c r="H4001" s="15" t="s">
        <v>31</v>
      </c>
      <c r="I4001" s="15">
        <v>1.0</v>
      </c>
      <c r="J4001" s="15">
        <v>1.0</v>
      </c>
      <c r="K4001" s="15" t="s">
        <v>31</v>
      </c>
      <c r="L4001" s="16" t="s">
        <v>24413</v>
      </c>
      <c r="M4001" s="14" t="s">
        <v>25145</v>
      </c>
      <c r="N4001" s="14" t="s">
        <v>1348</v>
      </c>
      <c r="O4001" s="16" t="s">
        <v>1349</v>
      </c>
      <c r="P4001" s="14" t="s">
        <v>24406</v>
      </c>
      <c r="Q4001" s="14" t="s">
        <v>24407</v>
      </c>
      <c r="R4001" s="14" t="s">
        <v>1018</v>
      </c>
      <c r="S4001" s="16" t="s">
        <v>1352</v>
      </c>
      <c r="T4001" s="14" t="s">
        <v>1019</v>
      </c>
      <c r="U4001" s="16" t="s">
        <v>31</v>
      </c>
      <c r="V4001" s="14" t="s">
        <v>25146</v>
      </c>
      <c r="W4001" s="14" t="s">
        <v>24402</v>
      </c>
      <c r="X4001" s="17" t="str">
        <f>HYPERLINK("https://my.pitchbook.com?p=38591-74P","View People Online")</f>
        <v>View People Online</v>
      </c>
    </row>
    <row r="4002">
      <c r="A4002" s="2" t="s">
        <v>25147</v>
      </c>
      <c r="B4002" s="2" t="s">
        <v>25148</v>
      </c>
      <c r="C4002" s="2" t="s">
        <v>3221</v>
      </c>
      <c r="D4002" s="2" t="s">
        <v>25149</v>
      </c>
      <c r="E4002" s="2" t="s">
        <v>24402</v>
      </c>
      <c r="F4002" s="2" t="s">
        <v>1283</v>
      </c>
      <c r="G4002" s="2" t="s">
        <v>25150</v>
      </c>
      <c r="H4002" s="3" t="s">
        <v>31</v>
      </c>
      <c r="I4002" s="3">
        <v>1.0</v>
      </c>
      <c r="J4002" s="3">
        <v>1.0</v>
      </c>
      <c r="K4002" s="3" t="s">
        <v>31</v>
      </c>
      <c r="L4002" s="4" t="s">
        <v>24413</v>
      </c>
      <c r="M4002" s="2" t="s">
        <v>25151</v>
      </c>
      <c r="N4002" s="2" t="s">
        <v>1348</v>
      </c>
      <c r="O4002" s="4" t="s">
        <v>1349</v>
      </c>
      <c r="P4002" s="2" t="s">
        <v>24406</v>
      </c>
      <c r="Q4002" s="2" t="s">
        <v>24407</v>
      </c>
      <c r="R4002" s="2" t="s">
        <v>1018</v>
      </c>
      <c r="S4002" s="4" t="s">
        <v>1352</v>
      </c>
      <c r="T4002" s="2" t="s">
        <v>1019</v>
      </c>
      <c r="U4002" s="4" t="s">
        <v>31</v>
      </c>
      <c r="V4002" s="2" t="s">
        <v>25152</v>
      </c>
      <c r="W4002" s="2" t="s">
        <v>24402</v>
      </c>
      <c r="X4002" s="5" t="str">
        <f>HYPERLINK("https://my.pitchbook.com?p=411215-50P","View People Online")</f>
        <v>View People Online</v>
      </c>
    </row>
    <row r="4003">
      <c r="A4003" s="6" t="s">
        <v>25153</v>
      </c>
      <c r="B4003" s="6" t="s">
        <v>25154</v>
      </c>
      <c r="C4003" s="6" t="s">
        <v>12077</v>
      </c>
      <c r="D4003" s="6" t="s">
        <v>562</v>
      </c>
      <c r="E4003" s="6" t="s">
        <v>24402</v>
      </c>
      <c r="F4003" s="6" t="s">
        <v>371</v>
      </c>
      <c r="G4003" s="6" t="s">
        <v>25155</v>
      </c>
      <c r="H4003" s="7" t="s">
        <v>31</v>
      </c>
      <c r="I4003" s="7">
        <v>1.0</v>
      </c>
      <c r="J4003" s="7">
        <v>1.0</v>
      </c>
      <c r="K4003" s="7" t="s">
        <v>31</v>
      </c>
      <c r="L4003" s="8" t="s">
        <v>24549</v>
      </c>
      <c r="M4003" s="6" t="s">
        <v>25156</v>
      </c>
      <c r="N4003" s="6" t="s">
        <v>243</v>
      </c>
      <c r="O4003" s="8" t="s">
        <v>244</v>
      </c>
      <c r="P4003" s="6" t="s">
        <v>24551</v>
      </c>
      <c r="Q4003" s="6" t="s">
        <v>24552</v>
      </c>
      <c r="R4003" s="6" t="s">
        <v>247</v>
      </c>
      <c r="S4003" s="8" t="s">
        <v>24553</v>
      </c>
      <c r="T4003" s="6" t="s">
        <v>249</v>
      </c>
      <c r="U4003" s="8" t="s">
        <v>31</v>
      </c>
      <c r="V4003" s="6" t="s">
        <v>371</v>
      </c>
      <c r="W4003" s="6" t="s">
        <v>24402</v>
      </c>
      <c r="X4003" s="9" t="str">
        <f>HYPERLINK("https://my.pitchbook.com?p=430416-91P","View People Online")</f>
        <v>View People Online</v>
      </c>
    </row>
    <row r="4004">
      <c r="A4004" s="2" t="s">
        <v>25157</v>
      </c>
      <c r="B4004" s="2" t="s">
        <v>25158</v>
      </c>
      <c r="C4004" s="2" t="s">
        <v>167</v>
      </c>
      <c r="D4004" s="2" t="s">
        <v>4692</v>
      </c>
      <c r="E4004" s="2" t="s">
        <v>24402</v>
      </c>
      <c r="F4004" s="2" t="s">
        <v>936</v>
      </c>
      <c r="G4004" s="2" t="s">
        <v>25159</v>
      </c>
      <c r="H4004" s="3" t="s">
        <v>31</v>
      </c>
      <c r="I4004" s="3">
        <v>6.0</v>
      </c>
      <c r="J4004" s="3">
        <v>3.0</v>
      </c>
      <c r="K4004" s="3" t="s">
        <v>31</v>
      </c>
      <c r="L4004" s="4" t="s">
        <v>24413</v>
      </c>
      <c r="M4004" s="2" t="s">
        <v>25160</v>
      </c>
      <c r="N4004" s="2" t="s">
        <v>1348</v>
      </c>
      <c r="O4004" s="4" t="s">
        <v>1349</v>
      </c>
      <c r="P4004" s="2" t="s">
        <v>24520</v>
      </c>
      <c r="Q4004" s="2" t="s">
        <v>1719</v>
      </c>
      <c r="R4004" s="2" t="s">
        <v>1018</v>
      </c>
      <c r="S4004" s="4" t="s">
        <v>1352</v>
      </c>
      <c r="T4004" s="2" t="s">
        <v>1019</v>
      </c>
      <c r="U4004" s="4" t="s">
        <v>31</v>
      </c>
      <c r="V4004" s="2" t="s">
        <v>25161</v>
      </c>
      <c r="W4004" s="2" t="s">
        <v>24856</v>
      </c>
      <c r="X4004" s="5" t="str">
        <f>HYPERLINK("https://my.pitchbook.com?p=435932-38P","View People Online")</f>
        <v>View People Online</v>
      </c>
    </row>
    <row r="4005">
      <c r="A4005" s="14" t="s">
        <v>25162</v>
      </c>
      <c r="B4005" s="14" t="s">
        <v>25163</v>
      </c>
      <c r="C4005" s="14" t="s">
        <v>934</v>
      </c>
      <c r="D4005" s="14" t="s">
        <v>25164</v>
      </c>
      <c r="E4005" s="14" t="s">
        <v>24402</v>
      </c>
      <c r="F4005" s="14" t="s">
        <v>1283</v>
      </c>
      <c r="G4005" s="14" t="s">
        <v>25165</v>
      </c>
      <c r="H4005" s="15">
        <v>1.0</v>
      </c>
      <c r="I4005" s="15">
        <v>9.0</v>
      </c>
      <c r="J4005" s="15">
        <v>3.0</v>
      </c>
      <c r="K4005" s="15">
        <v>5.0</v>
      </c>
      <c r="L4005" s="16" t="s">
        <v>24413</v>
      </c>
      <c r="M4005" s="14" t="s">
        <v>25166</v>
      </c>
      <c r="N4005" s="14" t="s">
        <v>1348</v>
      </c>
      <c r="O4005" s="16" t="s">
        <v>1349</v>
      </c>
      <c r="P4005" s="14" t="s">
        <v>24406</v>
      </c>
      <c r="Q4005" s="14" t="s">
        <v>24407</v>
      </c>
      <c r="R4005" s="14" t="s">
        <v>1018</v>
      </c>
      <c r="S4005" s="16" t="s">
        <v>1352</v>
      </c>
      <c r="T4005" s="14" t="s">
        <v>1019</v>
      </c>
      <c r="U4005" s="16" t="s">
        <v>31</v>
      </c>
      <c r="V4005" s="14" t="s">
        <v>24452</v>
      </c>
      <c r="W4005" s="14" t="s">
        <v>24402</v>
      </c>
      <c r="X4005" s="17" t="str">
        <f>HYPERLINK("https://my.pitchbook.com?p=63115-03P","View People Online")</f>
        <v>View People Online</v>
      </c>
    </row>
    <row r="4006">
      <c r="A4006" s="10" t="s">
        <v>25167</v>
      </c>
      <c r="B4006" s="10" t="s">
        <v>25168</v>
      </c>
      <c r="C4006" s="10" t="s">
        <v>20673</v>
      </c>
      <c r="D4006" s="10" t="s">
        <v>7815</v>
      </c>
      <c r="E4006" s="10" t="s">
        <v>24402</v>
      </c>
      <c r="F4006" s="10" t="s">
        <v>57</v>
      </c>
      <c r="G4006" s="10" t="s">
        <v>25169</v>
      </c>
      <c r="H4006" s="11" t="s">
        <v>31</v>
      </c>
      <c r="I4006" s="11">
        <v>2.0</v>
      </c>
      <c r="J4006" s="11">
        <v>1.0</v>
      </c>
      <c r="K4006" s="11" t="s">
        <v>31</v>
      </c>
      <c r="L4006" s="12" t="s">
        <v>24413</v>
      </c>
      <c r="M4006" s="10" t="s">
        <v>25170</v>
      </c>
      <c r="N4006" s="10" t="s">
        <v>1348</v>
      </c>
      <c r="O4006" s="12" t="s">
        <v>1349</v>
      </c>
      <c r="P4006" s="10" t="s">
        <v>24406</v>
      </c>
      <c r="Q4006" s="10" t="s">
        <v>24407</v>
      </c>
      <c r="R4006" s="10" t="s">
        <v>1018</v>
      </c>
      <c r="S4006" s="12" t="s">
        <v>1352</v>
      </c>
      <c r="T4006" s="10" t="s">
        <v>1019</v>
      </c>
      <c r="U4006" s="12" t="s">
        <v>31</v>
      </c>
      <c r="V4006" s="10" t="s">
        <v>25171</v>
      </c>
      <c r="W4006" s="10" t="s">
        <v>24402</v>
      </c>
      <c r="X4006" s="13" t="str">
        <f>HYPERLINK("https://my.pitchbook.com?p=79490-89P","View People Online")</f>
        <v>View People Online</v>
      </c>
    </row>
    <row r="4007">
      <c r="A4007" s="6" t="s">
        <v>25172</v>
      </c>
      <c r="B4007" s="6" t="s">
        <v>25173</v>
      </c>
      <c r="C4007" s="6" t="s">
        <v>3286</v>
      </c>
      <c r="D4007" s="6" t="s">
        <v>25174</v>
      </c>
      <c r="E4007" s="6" t="s">
        <v>24402</v>
      </c>
      <c r="F4007" s="6" t="s">
        <v>1283</v>
      </c>
      <c r="G4007" s="6" t="s">
        <v>25175</v>
      </c>
      <c r="H4007" s="7" t="s">
        <v>31</v>
      </c>
      <c r="I4007" s="7">
        <v>11.0</v>
      </c>
      <c r="J4007" s="7">
        <v>3.0</v>
      </c>
      <c r="K4007" s="7">
        <v>6.0</v>
      </c>
      <c r="L4007" s="8" t="s">
        <v>31</v>
      </c>
      <c r="M4007" s="6" t="s">
        <v>25176</v>
      </c>
      <c r="N4007" s="6" t="s">
        <v>25177</v>
      </c>
      <c r="O4007" s="8" t="s">
        <v>25178</v>
      </c>
      <c r="P4007" s="6" t="s">
        <v>31</v>
      </c>
      <c r="Q4007" s="6" t="s">
        <v>31</v>
      </c>
      <c r="R4007" s="6" t="s">
        <v>1018</v>
      </c>
      <c r="S4007" s="8" t="s">
        <v>31</v>
      </c>
      <c r="T4007" s="6" t="s">
        <v>1019</v>
      </c>
      <c r="U4007" s="8" t="s">
        <v>31</v>
      </c>
      <c r="V4007" s="6" t="s">
        <v>470</v>
      </c>
      <c r="W4007" s="6" t="s">
        <v>25179</v>
      </c>
      <c r="X4007" s="9" t="str">
        <f>HYPERLINK("https://my.pitchbook.com?p=44930-80P","View People Online")</f>
        <v>View People Online</v>
      </c>
    </row>
    <row r="4008">
      <c r="A4008" s="10" t="s">
        <v>25180</v>
      </c>
      <c r="B4008" s="10" t="s">
        <v>25181</v>
      </c>
      <c r="C4008" s="10" t="s">
        <v>9469</v>
      </c>
      <c r="D4008" s="10" t="s">
        <v>9782</v>
      </c>
      <c r="E4008" s="10" t="s">
        <v>24402</v>
      </c>
      <c r="F4008" s="10" t="s">
        <v>1283</v>
      </c>
      <c r="G4008" s="10" t="s">
        <v>25182</v>
      </c>
      <c r="H4008" s="11" t="s">
        <v>31</v>
      </c>
      <c r="I4008" s="11">
        <v>2.0</v>
      </c>
      <c r="J4008" s="11">
        <v>2.0</v>
      </c>
      <c r="K4008" s="11" t="s">
        <v>31</v>
      </c>
      <c r="L4008" s="12" t="s">
        <v>24413</v>
      </c>
      <c r="M4008" s="10" t="s">
        <v>25183</v>
      </c>
      <c r="N4008" s="10" t="s">
        <v>1348</v>
      </c>
      <c r="O4008" s="12" t="s">
        <v>1349</v>
      </c>
      <c r="P4008" s="10" t="s">
        <v>24415</v>
      </c>
      <c r="Q4008" s="10" t="s">
        <v>24416</v>
      </c>
      <c r="R4008" s="10" t="s">
        <v>1018</v>
      </c>
      <c r="S4008" s="12" t="s">
        <v>1352</v>
      </c>
      <c r="T4008" s="10" t="s">
        <v>1019</v>
      </c>
      <c r="U4008" s="12" t="s">
        <v>31</v>
      </c>
      <c r="V4008" s="10" t="s">
        <v>24417</v>
      </c>
      <c r="W4008" s="10" t="s">
        <v>24418</v>
      </c>
      <c r="X4008" s="13" t="str">
        <f>HYPERLINK("https://my.pitchbook.com?p=405991-27P","View People Online")</f>
        <v>View People Online</v>
      </c>
    </row>
    <row r="4009">
      <c r="A4009" s="6" t="s">
        <v>25184</v>
      </c>
      <c r="B4009" s="6" t="s">
        <v>25185</v>
      </c>
      <c r="C4009" s="6" t="s">
        <v>20963</v>
      </c>
      <c r="D4009" s="6" t="s">
        <v>25186</v>
      </c>
      <c r="E4009" s="6" t="s">
        <v>24402</v>
      </c>
      <c r="F4009" s="6" t="s">
        <v>1283</v>
      </c>
      <c r="G4009" s="6" t="s">
        <v>25187</v>
      </c>
      <c r="H4009" s="7" t="s">
        <v>31</v>
      </c>
      <c r="I4009" s="7">
        <v>2.0</v>
      </c>
      <c r="J4009" s="7">
        <v>2.0</v>
      </c>
      <c r="K4009" s="7" t="s">
        <v>31</v>
      </c>
      <c r="L4009" s="8" t="s">
        <v>24533</v>
      </c>
      <c r="M4009" s="6" t="s">
        <v>25188</v>
      </c>
      <c r="N4009" s="6" t="s">
        <v>75</v>
      </c>
      <c r="O4009" s="8" t="s">
        <v>76</v>
      </c>
      <c r="P4009" s="6" t="s">
        <v>24415</v>
      </c>
      <c r="Q4009" s="6" t="s">
        <v>24535</v>
      </c>
      <c r="R4009" s="6" t="s">
        <v>75</v>
      </c>
      <c r="S4009" s="8" t="s">
        <v>24536</v>
      </c>
      <c r="T4009" s="6" t="s">
        <v>66</v>
      </c>
      <c r="U4009" s="8" t="s">
        <v>31</v>
      </c>
      <c r="V4009" s="6" t="s">
        <v>24452</v>
      </c>
      <c r="W4009" s="6" t="s">
        <v>24402</v>
      </c>
      <c r="X4009" s="9" t="str">
        <f>HYPERLINK("https://my.pitchbook.com?p=406002-97P","View People Online")</f>
        <v>View People Online</v>
      </c>
    </row>
    <row r="4010">
      <c r="A4010" s="10" t="s">
        <v>25189</v>
      </c>
      <c r="B4010" s="10" t="s">
        <v>25190</v>
      </c>
      <c r="C4010" s="10" t="s">
        <v>395</v>
      </c>
      <c r="D4010" s="10" t="s">
        <v>25191</v>
      </c>
      <c r="E4010" s="10" t="s">
        <v>24402</v>
      </c>
      <c r="F4010" s="10" t="s">
        <v>1283</v>
      </c>
      <c r="G4010" s="10" t="s">
        <v>25192</v>
      </c>
      <c r="H4010" s="11">
        <v>1.0</v>
      </c>
      <c r="I4010" s="11">
        <v>5.0</v>
      </c>
      <c r="J4010" s="11">
        <v>3.0</v>
      </c>
      <c r="K4010" s="11">
        <v>1.0</v>
      </c>
      <c r="L4010" s="12" t="s">
        <v>25193</v>
      </c>
      <c r="M4010" s="10" t="s">
        <v>31</v>
      </c>
      <c r="N4010" s="10" t="s">
        <v>25194</v>
      </c>
      <c r="O4010" s="12" t="s">
        <v>25195</v>
      </c>
      <c r="P4010" s="10" t="s">
        <v>25196</v>
      </c>
      <c r="Q4010" s="10" t="s">
        <v>25197</v>
      </c>
      <c r="R4010" s="10" t="s">
        <v>31</v>
      </c>
      <c r="S4010" s="12" t="s">
        <v>25198</v>
      </c>
      <c r="T4010" s="10" t="s">
        <v>14393</v>
      </c>
      <c r="U4010" s="12" t="s">
        <v>25199</v>
      </c>
      <c r="V4010" s="10" t="s">
        <v>25200</v>
      </c>
      <c r="W4010" s="10" t="s">
        <v>25201</v>
      </c>
      <c r="X4010" s="13" t="str">
        <f>HYPERLINK("https://my.pitchbook.com?p=185450-59P","View People Online")</f>
        <v>View People Online</v>
      </c>
    </row>
    <row r="4011">
      <c r="A4011" s="14" t="s">
        <v>25202</v>
      </c>
      <c r="B4011" s="14" t="s">
        <v>25203</v>
      </c>
      <c r="C4011" s="14" t="s">
        <v>395</v>
      </c>
      <c r="D4011" s="14" t="s">
        <v>14852</v>
      </c>
      <c r="E4011" s="14" t="s">
        <v>24402</v>
      </c>
      <c r="F4011" s="14" t="s">
        <v>57</v>
      </c>
      <c r="G4011" s="14" t="s">
        <v>25204</v>
      </c>
      <c r="H4011" s="15" t="s">
        <v>31</v>
      </c>
      <c r="I4011" s="15">
        <v>2.0</v>
      </c>
      <c r="J4011" s="15">
        <v>2.0</v>
      </c>
      <c r="K4011" s="15" t="s">
        <v>31</v>
      </c>
      <c r="L4011" s="16" t="s">
        <v>24413</v>
      </c>
      <c r="M4011" s="14" t="s">
        <v>25205</v>
      </c>
      <c r="N4011" s="14" t="s">
        <v>1348</v>
      </c>
      <c r="O4011" s="16" t="s">
        <v>1349</v>
      </c>
      <c r="P4011" s="14" t="s">
        <v>24415</v>
      </c>
      <c r="Q4011" s="14" t="s">
        <v>24416</v>
      </c>
      <c r="R4011" s="14" t="s">
        <v>1018</v>
      </c>
      <c r="S4011" s="16" t="s">
        <v>1352</v>
      </c>
      <c r="T4011" s="14" t="s">
        <v>1019</v>
      </c>
      <c r="U4011" s="16" t="s">
        <v>31</v>
      </c>
      <c r="V4011" s="14" t="s">
        <v>25206</v>
      </c>
      <c r="W4011" s="14" t="s">
        <v>24418</v>
      </c>
      <c r="X4011" s="17" t="str">
        <f>HYPERLINK("https://my.pitchbook.com?p=405989-11P","View People Online")</f>
        <v>View People Online</v>
      </c>
    </row>
    <row r="4012">
      <c r="A4012" s="10" t="s">
        <v>25207</v>
      </c>
      <c r="B4012" s="10" t="s">
        <v>25208</v>
      </c>
      <c r="C4012" s="10" t="s">
        <v>25209</v>
      </c>
      <c r="D4012" s="10" t="s">
        <v>21722</v>
      </c>
      <c r="E4012" s="10" t="s">
        <v>24402</v>
      </c>
      <c r="F4012" s="10" t="s">
        <v>1283</v>
      </c>
      <c r="G4012" s="10" t="s">
        <v>25210</v>
      </c>
      <c r="H4012" s="11" t="s">
        <v>31</v>
      </c>
      <c r="I4012" s="11">
        <v>1.0</v>
      </c>
      <c r="J4012" s="11">
        <v>1.0</v>
      </c>
      <c r="K4012" s="11" t="s">
        <v>31</v>
      </c>
      <c r="L4012" s="12" t="s">
        <v>24549</v>
      </c>
      <c r="M4012" s="10" t="s">
        <v>25211</v>
      </c>
      <c r="N4012" s="10" t="s">
        <v>243</v>
      </c>
      <c r="O4012" s="12" t="s">
        <v>244</v>
      </c>
      <c r="P4012" s="10" t="s">
        <v>24551</v>
      </c>
      <c r="Q4012" s="10" t="s">
        <v>24552</v>
      </c>
      <c r="R4012" s="10" t="s">
        <v>247</v>
      </c>
      <c r="S4012" s="12" t="s">
        <v>24553</v>
      </c>
      <c r="T4012" s="10" t="s">
        <v>249</v>
      </c>
      <c r="U4012" s="12" t="s">
        <v>31</v>
      </c>
      <c r="V4012" s="10" t="s">
        <v>24452</v>
      </c>
      <c r="W4012" s="10" t="s">
        <v>24402</v>
      </c>
      <c r="X4012" s="13" t="str">
        <f>HYPERLINK("https://my.pitchbook.com?p=406006-66P","View People Online")</f>
        <v>View People Online</v>
      </c>
    </row>
    <row r="4013">
      <c r="A4013" s="6" t="s">
        <v>25212</v>
      </c>
      <c r="B4013" s="6" t="s">
        <v>25213</v>
      </c>
      <c r="C4013" s="6" t="s">
        <v>536</v>
      </c>
      <c r="D4013" s="6" t="s">
        <v>25214</v>
      </c>
      <c r="E4013" s="6" t="s">
        <v>24402</v>
      </c>
      <c r="F4013" s="6" t="s">
        <v>1283</v>
      </c>
      <c r="G4013" s="6" t="s">
        <v>25215</v>
      </c>
      <c r="H4013" s="7" t="s">
        <v>31</v>
      </c>
      <c r="I4013" s="7">
        <v>2.0</v>
      </c>
      <c r="J4013" s="7">
        <v>2.0</v>
      </c>
      <c r="K4013" s="7" t="s">
        <v>31</v>
      </c>
      <c r="L4013" s="8" t="s">
        <v>24413</v>
      </c>
      <c r="M4013" s="6" t="s">
        <v>25216</v>
      </c>
      <c r="N4013" s="6" t="s">
        <v>1348</v>
      </c>
      <c r="O4013" s="8" t="s">
        <v>1349</v>
      </c>
      <c r="P4013" s="6" t="s">
        <v>24406</v>
      </c>
      <c r="Q4013" s="6" t="s">
        <v>24407</v>
      </c>
      <c r="R4013" s="6" t="s">
        <v>1018</v>
      </c>
      <c r="S4013" s="8" t="s">
        <v>1352</v>
      </c>
      <c r="T4013" s="6" t="s">
        <v>1019</v>
      </c>
      <c r="U4013" s="8" t="s">
        <v>31</v>
      </c>
      <c r="V4013" s="6" t="s">
        <v>24452</v>
      </c>
      <c r="W4013" s="6" t="s">
        <v>24479</v>
      </c>
      <c r="X4013" s="9" t="str">
        <f>HYPERLINK("https://my.pitchbook.com?p=150408-82P","View People Online")</f>
        <v>View People Online</v>
      </c>
    </row>
    <row r="4014">
      <c r="A4014" s="10" t="s">
        <v>25217</v>
      </c>
      <c r="B4014" s="10" t="s">
        <v>25218</v>
      </c>
      <c r="C4014" s="10" t="s">
        <v>3359</v>
      </c>
      <c r="D4014" s="10" t="s">
        <v>25219</v>
      </c>
      <c r="E4014" s="10" t="s">
        <v>24402</v>
      </c>
      <c r="F4014" s="10" t="s">
        <v>201</v>
      </c>
      <c r="G4014" s="10" t="s">
        <v>25220</v>
      </c>
      <c r="H4014" s="11" t="s">
        <v>31</v>
      </c>
      <c r="I4014" s="11">
        <v>1.0</v>
      </c>
      <c r="J4014" s="11">
        <v>1.0</v>
      </c>
      <c r="K4014" s="11" t="s">
        <v>31</v>
      </c>
      <c r="L4014" s="12" t="s">
        <v>24413</v>
      </c>
      <c r="M4014" s="10" t="s">
        <v>25221</v>
      </c>
      <c r="N4014" s="10" t="s">
        <v>1348</v>
      </c>
      <c r="O4014" s="12" t="s">
        <v>1349</v>
      </c>
      <c r="P4014" s="10" t="s">
        <v>24406</v>
      </c>
      <c r="Q4014" s="10" t="s">
        <v>24407</v>
      </c>
      <c r="R4014" s="10" t="s">
        <v>1018</v>
      </c>
      <c r="S4014" s="12" t="s">
        <v>1352</v>
      </c>
      <c r="T4014" s="10" t="s">
        <v>1019</v>
      </c>
      <c r="U4014" s="12" t="s">
        <v>31</v>
      </c>
      <c r="V4014" s="10" t="s">
        <v>201</v>
      </c>
      <c r="W4014" s="10" t="s">
        <v>24402</v>
      </c>
      <c r="X4014" s="13" t="str">
        <f>HYPERLINK("https://my.pitchbook.com?p=287067-61P","View People Online")</f>
        <v>View People Online</v>
      </c>
    </row>
    <row r="4015">
      <c r="A4015" s="6" t="s">
        <v>25222</v>
      </c>
      <c r="B4015" s="6" t="s">
        <v>25223</v>
      </c>
      <c r="C4015" s="6" t="s">
        <v>21273</v>
      </c>
      <c r="D4015" s="6" t="s">
        <v>16836</v>
      </c>
      <c r="E4015" s="6" t="s">
        <v>24402</v>
      </c>
      <c r="F4015" s="6" t="s">
        <v>57</v>
      </c>
      <c r="G4015" s="6" t="s">
        <v>25224</v>
      </c>
      <c r="H4015" s="7">
        <v>1.0</v>
      </c>
      <c r="I4015" s="7">
        <v>4.0</v>
      </c>
      <c r="J4015" s="7">
        <v>3.0</v>
      </c>
      <c r="K4015" s="7" t="s">
        <v>31</v>
      </c>
      <c r="L4015" s="8" t="s">
        <v>24413</v>
      </c>
      <c r="M4015" s="6" t="s">
        <v>25225</v>
      </c>
      <c r="N4015" s="6" t="s">
        <v>1348</v>
      </c>
      <c r="O4015" s="8" t="s">
        <v>1349</v>
      </c>
      <c r="P4015" s="6" t="s">
        <v>24406</v>
      </c>
      <c r="Q4015" s="6" t="s">
        <v>24407</v>
      </c>
      <c r="R4015" s="6" t="s">
        <v>1018</v>
      </c>
      <c r="S4015" s="8" t="s">
        <v>1352</v>
      </c>
      <c r="T4015" s="6" t="s">
        <v>1019</v>
      </c>
      <c r="U4015" s="8" t="s">
        <v>31</v>
      </c>
      <c r="V4015" s="6" t="s">
        <v>25028</v>
      </c>
      <c r="W4015" s="6" t="s">
        <v>24402</v>
      </c>
      <c r="X4015" s="9" t="str">
        <f>HYPERLINK("https://my.pitchbook.com?p=199035-19P","View People Online")</f>
        <v>View People Online</v>
      </c>
    </row>
    <row r="4016">
      <c r="A4016" s="2" t="s">
        <v>25226</v>
      </c>
      <c r="B4016" s="2" t="s">
        <v>25227</v>
      </c>
      <c r="C4016" s="2" t="s">
        <v>21304</v>
      </c>
      <c r="D4016" s="2" t="s">
        <v>17574</v>
      </c>
      <c r="E4016" s="2" t="s">
        <v>24402</v>
      </c>
      <c r="F4016" s="2" t="s">
        <v>57</v>
      </c>
      <c r="G4016" s="2" t="s">
        <v>25228</v>
      </c>
      <c r="H4016" s="3" t="s">
        <v>31</v>
      </c>
      <c r="I4016" s="3">
        <v>2.0</v>
      </c>
      <c r="J4016" s="3">
        <v>2.0</v>
      </c>
      <c r="K4016" s="3" t="s">
        <v>31</v>
      </c>
      <c r="L4016" s="4" t="s">
        <v>24413</v>
      </c>
      <c r="M4016" s="2" t="s">
        <v>25229</v>
      </c>
      <c r="N4016" s="2" t="s">
        <v>1348</v>
      </c>
      <c r="O4016" s="4" t="s">
        <v>1349</v>
      </c>
      <c r="P4016" s="2" t="s">
        <v>24406</v>
      </c>
      <c r="Q4016" s="2" t="s">
        <v>24407</v>
      </c>
      <c r="R4016" s="2" t="s">
        <v>1018</v>
      </c>
      <c r="S4016" s="4" t="s">
        <v>1352</v>
      </c>
      <c r="T4016" s="2" t="s">
        <v>1019</v>
      </c>
      <c r="U4016" s="4" t="s">
        <v>31</v>
      </c>
      <c r="V4016" s="2" t="s">
        <v>24424</v>
      </c>
      <c r="W4016" s="2" t="s">
        <v>24402</v>
      </c>
      <c r="X4016" s="5" t="str">
        <f>HYPERLINK("https://my.pitchbook.com?p=265282-21P","View People Online")</f>
        <v>View People Online</v>
      </c>
    </row>
    <row r="4017">
      <c r="A4017" s="6" t="s">
        <v>25230</v>
      </c>
      <c r="B4017" s="6" t="s">
        <v>25231</v>
      </c>
      <c r="C4017" s="6" t="s">
        <v>4611</v>
      </c>
      <c r="D4017" s="6" t="s">
        <v>25232</v>
      </c>
      <c r="E4017" s="6" t="s">
        <v>24402</v>
      </c>
      <c r="F4017" s="6" t="s">
        <v>25233</v>
      </c>
      <c r="G4017" s="6" t="s">
        <v>25234</v>
      </c>
      <c r="H4017" s="7">
        <v>5.0</v>
      </c>
      <c r="I4017" s="7">
        <v>9.0</v>
      </c>
      <c r="J4017" s="7">
        <v>4.0</v>
      </c>
      <c r="K4017" s="7" t="s">
        <v>31</v>
      </c>
      <c r="L4017" s="8" t="s">
        <v>24413</v>
      </c>
      <c r="M4017" s="6" t="s">
        <v>25235</v>
      </c>
      <c r="N4017" s="6" t="s">
        <v>1348</v>
      </c>
      <c r="O4017" s="8" t="s">
        <v>1349</v>
      </c>
      <c r="P4017" s="6" t="s">
        <v>24406</v>
      </c>
      <c r="Q4017" s="6" t="s">
        <v>24407</v>
      </c>
      <c r="R4017" s="6" t="s">
        <v>1018</v>
      </c>
      <c r="S4017" s="8" t="s">
        <v>1352</v>
      </c>
      <c r="T4017" s="6" t="s">
        <v>1019</v>
      </c>
      <c r="U4017" s="8" t="s">
        <v>31</v>
      </c>
      <c r="V4017" s="6" t="s">
        <v>25236</v>
      </c>
      <c r="W4017" s="6" t="s">
        <v>24402</v>
      </c>
      <c r="X4017" s="9" t="str">
        <f>HYPERLINK("https://my.pitchbook.com?p=54476-11P","View People Online")</f>
        <v>View People Online</v>
      </c>
    </row>
    <row r="4018">
      <c r="A4018" s="10" t="s">
        <v>25237</v>
      </c>
      <c r="B4018" s="10" t="s">
        <v>25238</v>
      </c>
      <c r="C4018" s="10" t="s">
        <v>1703</v>
      </c>
      <c r="D4018" s="10" t="s">
        <v>25239</v>
      </c>
      <c r="E4018" s="10" t="s">
        <v>24402</v>
      </c>
      <c r="F4018" s="10" t="s">
        <v>1283</v>
      </c>
      <c r="G4018" s="10" t="s">
        <v>25240</v>
      </c>
      <c r="H4018" s="11" t="s">
        <v>31</v>
      </c>
      <c r="I4018" s="11">
        <v>2.0</v>
      </c>
      <c r="J4018" s="11">
        <v>2.0</v>
      </c>
      <c r="K4018" s="11" t="s">
        <v>31</v>
      </c>
      <c r="L4018" s="12" t="s">
        <v>24413</v>
      </c>
      <c r="M4018" s="10" t="s">
        <v>25241</v>
      </c>
      <c r="N4018" s="10" t="s">
        <v>1348</v>
      </c>
      <c r="O4018" s="12" t="s">
        <v>1349</v>
      </c>
      <c r="P4018" s="10" t="s">
        <v>24415</v>
      </c>
      <c r="Q4018" s="10" t="s">
        <v>24416</v>
      </c>
      <c r="R4018" s="10" t="s">
        <v>1018</v>
      </c>
      <c r="S4018" s="12" t="s">
        <v>1352</v>
      </c>
      <c r="T4018" s="10" t="s">
        <v>1019</v>
      </c>
      <c r="U4018" s="12" t="s">
        <v>31</v>
      </c>
      <c r="V4018" s="10" t="s">
        <v>24417</v>
      </c>
      <c r="W4018" s="10" t="s">
        <v>24418</v>
      </c>
      <c r="X4018" s="13" t="str">
        <f>HYPERLINK("https://my.pitchbook.com?p=270061-66P","View People Online")</f>
        <v>View People Online</v>
      </c>
    </row>
    <row r="4019">
      <c r="A4019" s="6" t="s">
        <v>25242</v>
      </c>
      <c r="B4019" s="6" t="s">
        <v>25243</v>
      </c>
      <c r="C4019" s="6" t="s">
        <v>25244</v>
      </c>
      <c r="D4019" s="6" t="s">
        <v>25245</v>
      </c>
      <c r="E4019" s="6" t="s">
        <v>24402</v>
      </c>
      <c r="F4019" s="6" t="s">
        <v>5052</v>
      </c>
      <c r="G4019" s="6" t="s">
        <v>25246</v>
      </c>
      <c r="H4019" s="7" t="s">
        <v>31</v>
      </c>
      <c r="I4019" s="7">
        <v>1.0</v>
      </c>
      <c r="J4019" s="7">
        <v>1.0</v>
      </c>
      <c r="K4019" s="7" t="s">
        <v>31</v>
      </c>
      <c r="L4019" s="8" t="s">
        <v>24413</v>
      </c>
      <c r="M4019" s="6" t="s">
        <v>25247</v>
      </c>
      <c r="N4019" s="6" t="s">
        <v>1348</v>
      </c>
      <c r="O4019" s="8" t="s">
        <v>1349</v>
      </c>
      <c r="P4019" s="6" t="s">
        <v>24406</v>
      </c>
      <c r="Q4019" s="6" t="s">
        <v>24407</v>
      </c>
      <c r="R4019" s="6" t="s">
        <v>1018</v>
      </c>
      <c r="S4019" s="8" t="s">
        <v>1352</v>
      </c>
      <c r="T4019" s="6" t="s">
        <v>1019</v>
      </c>
      <c r="U4019" s="8" t="s">
        <v>31</v>
      </c>
      <c r="V4019" s="6" t="s">
        <v>25248</v>
      </c>
      <c r="W4019" s="6" t="s">
        <v>24402</v>
      </c>
      <c r="X4019" s="9" t="str">
        <f>HYPERLINK("https://my.pitchbook.com?p=345994-03P","View People Online")</f>
        <v>View People Online</v>
      </c>
    </row>
    <row r="4020">
      <c r="A4020" s="2" t="s">
        <v>25249</v>
      </c>
      <c r="B4020" s="2" t="s">
        <v>25250</v>
      </c>
      <c r="C4020" s="2" t="s">
        <v>25251</v>
      </c>
      <c r="D4020" s="2" t="s">
        <v>25252</v>
      </c>
      <c r="E4020" s="2" t="s">
        <v>24402</v>
      </c>
      <c r="F4020" s="2" t="s">
        <v>1283</v>
      </c>
      <c r="G4020" s="2" t="s">
        <v>25253</v>
      </c>
      <c r="H4020" s="3" t="s">
        <v>31</v>
      </c>
      <c r="I4020" s="3">
        <v>5.0</v>
      </c>
      <c r="J4020" s="3">
        <v>3.0</v>
      </c>
      <c r="K4020" s="3">
        <v>2.0</v>
      </c>
      <c r="L4020" s="4" t="s">
        <v>24533</v>
      </c>
      <c r="M4020" s="2" t="s">
        <v>25254</v>
      </c>
      <c r="N4020" s="2" t="s">
        <v>75</v>
      </c>
      <c r="O4020" s="4" t="s">
        <v>76</v>
      </c>
      <c r="P4020" s="2" t="s">
        <v>24723</v>
      </c>
      <c r="Q4020" s="2" t="s">
        <v>24724</v>
      </c>
      <c r="R4020" s="2" t="s">
        <v>75</v>
      </c>
      <c r="S4020" s="4" t="s">
        <v>24536</v>
      </c>
      <c r="T4020" s="2" t="s">
        <v>66</v>
      </c>
      <c r="U4020" s="4" t="s">
        <v>31</v>
      </c>
      <c r="V4020" s="2" t="s">
        <v>713</v>
      </c>
      <c r="W4020" s="2" t="s">
        <v>24493</v>
      </c>
      <c r="X4020" s="5" t="str">
        <f>HYPERLINK("https://my.pitchbook.com?p=405970-12P","View People Online")</f>
        <v>View People Online</v>
      </c>
    </row>
    <row r="4021">
      <c r="A4021" s="14" t="s">
        <v>25255</v>
      </c>
      <c r="B4021" s="14" t="s">
        <v>25256</v>
      </c>
      <c r="C4021" s="14" t="s">
        <v>4015</v>
      </c>
      <c r="D4021" s="14" t="s">
        <v>25257</v>
      </c>
      <c r="E4021" s="14" t="s">
        <v>24402</v>
      </c>
      <c r="F4021" s="14" t="s">
        <v>270</v>
      </c>
      <c r="G4021" s="14" t="s">
        <v>25258</v>
      </c>
      <c r="H4021" s="15" t="s">
        <v>31</v>
      </c>
      <c r="I4021" s="15">
        <v>1.0</v>
      </c>
      <c r="J4021" s="15">
        <v>1.0</v>
      </c>
      <c r="K4021" s="15" t="s">
        <v>31</v>
      </c>
      <c r="L4021" s="16" t="s">
        <v>24647</v>
      </c>
      <c r="M4021" s="14" t="s">
        <v>25259</v>
      </c>
      <c r="N4021" s="14" t="s">
        <v>75</v>
      </c>
      <c r="O4021" s="16" t="s">
        <v>76</v>
      </c>
      <c r="P4021" s="14" t="s">
        <v>24415</v>
      </c>
      <c r="Q4021" s="14" t="s">
        <v>24535</v>
      </c>
      <c r="R4021" s="14" t="s">
        <v>75</v>
      </c>
      <c r="S4021" s="16" t="s">
        <v>24536</v>
      </c>
      <c r="T4021" s="14" t="s">
        <v>66</v>
      </c>
      <c r="U4021" s="16" t="s">
        <v>31</v>
      </c>
      <c r="V4021" s="14" t="s">
        <v>25260</v>
      </c>
      <c r="W4021" s="14" t="s">
        <v>24402</v>
      </c>
      <c r="X4021" s="17" t="str">
        <f>HYPERLINK("https://my.pitchbook.com?p=28867-87P","View People Online")</f>
        <v>View People Online</v>
      </c>
    </row>
    <row r="4022">
      <c r="A4022" s="10" t="s">
        <v>25261</v>
      </c>
      <c r="B4022" s="10" t="s">
        <v>25262</v>
      </c>
      <c r="C4022" s="10" t="s">
        <v>4015</v>
      </c>
      <c r="D4022" s="10" t="s">
        <v>25263</v>
      </c>
      <c r="E4022" s="10" t="s">
        <v>24402</v>
      </c>
      <c r="F4022" s="10" t="s">
        <v>57</v>
      </c>
      <c r="G4022" s="10" t="s">
        <v>25264</v>
      </c>
      <c r="H4022" s="11" t="s">
        <v>31</v>
      </c>
      <c r="I4022" s="11">
        <v>3.0</v>
      </c>
      <c r="J4022" s="11">
        <v>3.0</v>
      </c>
      <c r="K4022" s="11" t="s">
        <v>31</v>
      </c>
      <c r="L4022" s="12" t="s">
        <v>24413</v>
      </c>
      <c r="M4022" s="10" t="s">
        <v>25265</v>
      </c>
      <c r="N4022" s="10" t="s">
        <v>1348</v>
      </c>
      <c r="O4022" s="12" t="s">
        <v>1349</v>
      </c>
      <c r="P4022" s="10" t="s">
        <v>24406</v>
      </c>
      <c r="Q4022" s="10" t="s">
        <v>24407</v>
      </c>
      <c r="R4022" s="10" t="s">
        <v>1018</v>
      </c>
      <c r="S4022" s="12" t="s">
        <v>1352</v>
      </c>
      <c r="T4022" s="10" t="s">
        <v>1019</v>
      </c>
      <c r="U4022" s="12" t="s">
        <v>31</v>
      </c>
      <c r="V4022" s="10" t="s">
        <v>24408</v>
      </c>
      <c r="W4022" s="10" t="s">
        <v>24402</v>
      </c>
      <c r="X4022" s="13" t="str">
        <f>HYPERLINK("https://my.pitchbook.com?p=150406-21P","View People Online")</f>
        <v>View People Online</v>
      </c>
    </row>
    <row r="4023">
      <c r="A4023" s="6" t="s">
        <v>25266</v>
      </c>
      <c r="B4023" s="6" t="s">
        <v>25267</v>
      </c>
      <c r="C4023" s="6" t="s">
        <v>25268</v>
      </c>
      <c r="D4023" s="6" t="s">
        <v>1043</v>
      </c>
      <c r="E4023" s="6" t="s">
        <v>24402</v>
      </c>
      <c r="F4023" s="6" t="s">
        <v>312</v>
      </c>
      <c r="G4023" s="6" t="s">
        <v>25269</v>
      </c>
      <c r="H4023" s="7" t="s">
        <v>31</v>
      </c>
      <c r="I4023" s="7">
        <v>4.0</v>
      </c>
      <c r="J4023" s="7">
        <v>1.0</v>
      </c>
      <c r="K4023" s="7" t="s">
        <v>31</v>
      </c>
      <c r="L4023" s="8" t="s">
        <v>24413</v>
      </c>
      <c r="M4023" s="6" t="s">
        <v>31</v>
      </c>
      <c r="N4023" s="6" t="s">
        <v>1348</v>
      </c>
      <c r="O4023" s="8" t="s">
        <v>1349</v>
      </c>
      <c r="P4023" s="6" t="s">
        <v>24406</v>
      </c>
      <c r="Q4023" s="6" t="s">
        <v>24407</v>
      </c>
      <c r="R4023" s="6" t="s">
        <v>1018</v>
      </c>
      <c r="S4023" s="8" t="s">
        <v>1352</v>
      </c>
      <c r="T4023" s="6" t="s">
        <v>1019</v>
      </c>
      <c r="U4023" s="8" t="s">
        <v>31</v>
      </c>
      <c r="V4023" s="6" t="s">
        <v>25270</v>
      </c>
      <c r="W4023" s="6" t="s">
        <v>24402</v>
      </c>
      <c r="X4023" s="9" t="str">
        <f>HYPERLINK("https://my.pitchbook.com?p=442267-12P","View People Online")</f>
        <v>View People Online</v>
      </c>
    </row>
    <row r="4024">
      <c r="A4024" s="2" t="s">
        <v>25271</v>
      </c>
      <c r="B4024" s="2" t="s">
        <v>25272</v>
      </c>
      <c r="C4024" s="2" t="s">
        <v>180</v>
      </c>
      <c r="D4024" s="2" t="s">
        <v>25273</v>
      </c>
      <c r="E4024" s="2" t="s">
        <v>24402</v>
      </c>
      <c r="F4024" s="2" t="s">
        <v>1283</v>
      </c>
      <c r="G4024" s="2" t="s">
        <v>25274</v>
      </c>
      <c r="H4024" s="3" t="s">
        <v>31</v>
      </c>
      <c r="I4024" s="3">
        <v>2.0</v>
      </c>
      <c r="J4024" s="3">
        <v>2.0</v>
      </c>
      <c r="K4024" s="3" t="s">
        <v>31</v>
      </c>
      <c r="L4024" s="4" t="s">
        <v>24533</v>
      </c>
      <c r="M4024" s="2" t="s">
        <v>31</v>
      </c>
      <c r="N4024" s="2" t="s">
        <v>75</v>
      </c>
      <c r="O4024" s="4" t="s">
        <v>76</v>
      </c>
      <c r="P4024" s="2" t="s">
        <v>24415</v>
      </c>
      <c r="Q4024" s="2" t="s">
        <v>24535</v>
      </c>
      <c r="R4024" s="2" t="s">
        <v>75</v>
      </c>
      <c r="S4024" s="4" t="s">
        <v>24536</v>
      </c>
      <c r="T4024" s="2" t="s">
        <v>66</v>
      </c>
      <c r="U4024" s="4" t="s">
        <v>31</v>
      </c>
      <c r="V4024" s="2" t="s">
        <v>24417</v>
      </c>
      <c r="W4024" s="2" t="s">
        <v>24402</v>
      </c>
      <c r="X4024" s="5" t="str">
        <f>HYPERLINK("https://my.pitchbook.com?p=405964-18P","View People Online")</f>
        <v>View People Online</v>
      </c>
    </row>
    <row r="4025">
      <c r="A4025" s="6" t="s">
        <v>25275</v>
      </c>
      <c r="B4025" s="6" t="s">
        <v>25276</v>
      </c>
      <c r="C4025" s="6" t="s">
        <v>180</v>
      </c>
      <c r="D4025" s="6" t="s">
        <v>25277</v>
      </c>
      <c r="E4025" s="6" t="s">
        <v>24402</v>
      </c>
      <c r="F4025" s="6" t="s">
        <v>1283</v>
      </c>
      <c r="G4025" s="6" t="s">
        <v>25278</v>
      </c>
      <c r="H4025" s="7" t="s">
        <v>31</v>
      </c>
      <c r="I4025" s="7">
        <v>2.0</v>
      </c>
      <c r="J4025" s="7">
        <v>2.0</v>
      </c>
      <c r="K4025" s="7" t="s">
        <v>31</v>
      </c>
      <c r="L4025" s="8" t="s">
        <v>24533</v>
      </c>
      <c r="M4025" s="6" t="s">
        <v>25279</v>
      </c>
      <c r="N4025" s="6" t="s">
        <v>75</v>
      </c>
      <c r="O4025" s="8" t="s">
        <v>76</v>
      </c>
      <c r="P4025" s="6" t="s">
        <v>24723</v>
      </c>
      <c r="Q4025" s="6" t="s">
        <v>24724</v>
      </c>
      <c r="R4025" s="6" t="s">
        <v>75</v>
      </c>
      <c r="S4025" s="8" t="s">
        <v>24536</v>
      </c>
      <c r="T4025" s="6" t="s">
        <v>66</v>
      </c>
      <c r="U4025" s="8" t="s">
        <v>31</v>
      </c>
      <c r="V4025" s="6" t="s">
        <v>24585</v>
      </c>
      <c r="W4025" s="6" t="s">
        <v>24493</v>
      </c>
      <c r="X4025" s="9" t="str">
        <f>HYPERLINK("https://my.pitchbook.com?p=149704-84P","View People Online")</f>
        <v>View People Online</v>
      </c>
    </row>
    <row r="4026">
      <c r="A4026" s="2" t="s">
        <v>25280</v>
      </c>
      <c r="B4026" s="2" t="s">
        <v>25281</v>
      </c>
      <c r="C4026" s="2" t="s">
        <v>3888</v>
      </c>
      <c r="D4026" s="2" t="s">
        <v>25282</v>
      </c>
      <c r="E4026" s="2" t="s">
        <v>24402</v>
      </c>
      <c r="F4026" s="2" t="s">
        <v>312</v>
      </c>
      <c r="G4026" s="2" t="s">
        <v>25283</v>
      </c>
      <c r="H4026" s="3" t="s">
        <v>31</v>
      </c>
      <c r="I4026" s="3">
        <v>4.0</v>
      </c>
      <c r="J4026" s="3">
        <v>1.0</v>
      </c>
      <c r="K4026" s="3">
        <v>2.0</v>
      </c>
      <c r="L4026" s="4" t="s">
        <v>24413</v>
      </c>
      <c r="M4026" s="2" t="s">
        <v>25284</v>
      </c>
      <c r="N4026" s="2" t="s">
        <v>1348</v>
      </c>
      <c r="O4026" s="4" t="s">
        <v>1349</v>
      </c>
      <c r="P4026" s="2" t="s">
        <v>24406</v>
      </c>
      <c r="Q4026" s="2" t="s">
        <v>24407</v>
      </c>
      <c r="R4026" s="2" t="s">
        <v>1018</v>
      </c>
      <c r="S4026" s="4" t="s">
        <v>1352</v>
      </c>
      <c r="T4026" s="2" t="s">
        <v>1019</v>
      </c>
      <c r="U4026" s="4" t="s">
        <v>31</v>
      </c>
      <c r="V4026" s="2" t="s">
        <v>312</v>
      </c>
      <c r="W4026" s="2" t="s">
        <v>24402</v>
      </c>
      <c r="X4026" s="5" t="str">
        <f>HYPERLINK("https://my.pitchbook.com?p=368341-84P","View People Online")</f>
        <v>View People Online</v>
      </c>
    </row>
    <row r="4027">
      <c r="A4027" s="14" t="s">
        <v>25285</v>
      </c>
      <c r="B4027" s="14" t="s">
        <v>25286</v>
      </c>
      <c r="C4027" s="14" t="s">
        <v>25287</v>
      </c>
      <c r="D4027" s="14" t="s">
        <v>25288</v>
      </c>
      <c r="E4027" s="14" t="s">
        <v>24402</v>
      </c>
      <c r="F4027" s="14" t="s">
        <v>57</v>
      </c>
      <c r="G4027" s="14" t="s">
        <v>25289</v>
      </c>
      <c r="H4027" s="15" t="s">
        <v>31</v>
      </c>
      <c r="I4027" s="15">
        <v>2.0</v>
      </c>
      <c r="J4027" s="15">
        <v>2.0</v>
      </c>
      <c r="K4027" s="15" t="s">
        <v>31</v>
      </c>
      <c r="L4027" s="16" t="s">
        <v>24533</v>
      </c>
      <c r="M4027" s="14" t="s">
        <v>25290</v>
      </c>
      <c r="N4027" s="14" t="s">
        <v>75</v>
      </c>
      <c r="O4027" s="16" t="s">
        <v>76</v>
      </c>
      <c r="P4027" s="14" t="s">
        <v>24415</v>
      </c>
      <c r="Q4027" s="14" t="s">
        <v>24535</v>
      </c>
      <c r="R4027" s="14" t="s">
        <v>75</v>
      </c>
      <c r="S4027" s="16" t="s">
        <v>24536</v>
      </c>
      <c r="T4027" s="14" t="s">
        <v>66</v>
      </c>
      <c r="U4027" s="16" t="s">
        <v>31</v>
      </c>
      <c r="V4027" s="14" t="s">
        <v>24424</v>
      </c>
      <c r="W4027" s="14" t="s">
        <v>24402</v>
      </c>
      <c r="X4027" s="17" t="str">
        <f>HYPERLINK("https://my.pitchbook.com?p=79275-07P","View People Online")</f>
        <v>View People Online</v>
      </c>
    </row>
    <row r="4028">
      <c r="A4028" s="10" t="s">
        <v>25291</v>
      </c>
      <c r="B4028" s="10" t="s">
        <v>25292</v>
      </c>
      <c r="C4028" s="10" t="s">
        <v>25293</v>
      </c>
      <c r="D4028" s="10" t="s">
        <v>25294</v>
      </c>
      <c r="E4028" s="10" t="s">
        <v>24402</v>
      </c>
      <c r="F4028" s="10" t="s">
        <v>24979</v>
      </c>
      <c r="G4028" s="10" t="s">
        <v>25295</v>
      </c>
      <c r="H4028" s="11">
        <v>1.0</v>
      </c>
      <c r="I4028" s="11">
        <v>14.0</v>
      </c>
      <c r="J4028" s="11">
        <v>2.0</v>
      </c>
      <c r="K4028" s="11">
        <v>11.0</v>
      </c>
      <c r="L4028" s="12" t="s">
        <v>24413</v>
      </c>
      <c r="M4028" s="10" t="s">
        <v>25296</v>
      </c>
      <c r="N4028" s="10" t="s">
        <v>1348</v>
      </c>
      <c r="O4028" s="12" t="s">
        <v>1349</v>
      </c>
      <c r="P4028" s="10" t="s">
        <v>24406</v>
      </c>
      <c r="Q4028" s="10" t="s">
        <v>24407</v>
      </c>
      <c r="R4028" s="10" t="s">
        <v>1018</v>
      </c>
      <c r="S4028" s="12" t="s">
        <v>1352</v>
      </c>
      <c r="T4028" s="10" t="s">
        <v>1019</v>
      </c>
      <c r="U4028" s="12" t="s">
        <v>31</v>
      </c>
      <c r="V4028" s="10" t="s">
        <v>25297</v>
      </c>
      <c r="W4028" s="10" t="s">
        <v>24402</v>
      </c>
      <c r="X4028" s="13" t="str">
        <f>HYPERLINK("https://my.pitchbook.com?p=265252-42P","View People Online")</f>
        <v>View People Online</v>
      </c>
    </row>
    <row r="4029">
      <c r="A4029" s="14" t="s">
        <v>25298</v>
      </c>
      <c r="B4029" s="14" t="s">
        <v>25299</v>
      </c>
      <c r="C4029" s="14" t="s">
        <v>1411</v>
      </c>
      <c r="D4029" s="14" t="s">
        <v>13171</v>
      </c>
      <c r="E4029" s="14" t="s">
        <v>24402</v>
      </c>
      <c r="F4029" s="14" t="s">
        <v>1283</v>
      </c>
      <c r="G4029" s="14" t="s">
        <v>25300</v>
      </c>
      <c r="H4029" s="15" t="s">
        <v>31</v>
      </c>
      <c r="I4029" s="15">
        <v>1.0</v>
      </c>
      <c r="J4029" s="15">
        <v>1.0</v>
      </c>
      <c r="K4029" s="15" t="s">
        <v>31</v>
      </c>
      <c r="L4029" s="16" t="s">
        <v>24549</v>
      </c>
      <c r="M4029" s="14" t="s">
        <v>25301</v>
      </c>
      <c r="N4029" s="14" t="s">
        <v>243</v>
      </c>
      <c r="O4029" s="16" t="s">
        <v>244</v>
      </c>
      <c r="P4029" s="14" t="s">
        <v>24551</v>
      </c>
      <c r="Q4029" s="14" t="s">
        <v>24552</v>
      </c>
      <c r="R4029" s="14" t="s">
        <v>247</v>
      </c>
      <c r="S4029" s="16" t="s">
        <v>24553</v>
      </c>
      <c r="T4029" s="14" t="s">
        <v>249</v>
      </c>
      <c r="U4029" s="16" t="s">
        <v>31</v>
      </c>
      <c r="V4029" s="14" t="s">
        <v>25302</v>
      </c>
      <c r="W4029" s="14" t="s">
        <v>24402</v>
      </c>
      <c r="X4029" s="17" t="str">
        <f>HYPERLINK("https://my.pitchbook.com?p=339418-27P","View People Online")</f>
        <v>View People Online</v>
      </c>
    </row>
    <row r="4030">
      <c r="A4030" s="10" t="s">
        <v>25303</v>
      </c>
      <c r="B4030" s="10" t="s">
        <v>25304</v>
      </c>
      <c r="C4030" s="10" t="s">
        <v>1820</v>
      </c>
      <c r="D4030" s="10" t="s">
        <v>25305</v>
      </c>
      <c r="E4030" s="10" t="s">
        <v>24402</v>
      </c>
      <c r="F4030" s="10" t="s">
        <v>1283</v>
      </c>
      <c r="G4030" s="10" t="s">
        <v>25306</v>
      </c>
      <c r="H4030" s="11">
        <v>1.0</v>
      </c>
      <c r="I4030" s="11">
        <v>5.0</v>
      </c>
      <c r="J4030" s="11">
        <v>4.0</v>
      </c>
      <c r="K4030" s="11" t="s">
        <v>31</v>
      </c>
      <c r="L4030" s="12" t="s">
        <v>24413</v>
      </c>
      <c r="M4030" s="10" t="s">
        <v>25307</v>
      </c>
      <c r="N4030" s="10" t="s">
        <v>1348</v>
      </c>
      <c r="O4030" s="12" t="s">
        <v>1349</v>
      </c>
      <c r="P4030" s="10" t="s">
        <v>24406</v>
      </c>
      <c r="Q4030" s="10" t="s">
        <v>24407</v>
      </c>
      <c r="R4030" s="10" t="s">
        <v>1018</v>
      </c>
      <c r="S4030" s="12" t="s">
        <v>1352</v>
      </c>
      <c r="T4030" s="10" t="s">
        <v>1019</v>
      </c>
      <c r="U4030" s="12" t="s">
        <v>31</v>
      </c>
      <c r="V4030" s="10" t="s">
        <v>25308</v>
      </c>
      <c r="W4030" s="10" t="s">
        <v>24402</v>
      </c>
      <c r="X4030" s="13" t="str">
        <f>HYPERLINK("https://my.pitchbook.com?p=265256-83P","View People Online")</f>
        <v>View People Online</v>
      </c>
    </row>
    <row r="4031">
      <c r="A4031" s="6" t="s">
        <v>25309</v>
      </c>
      <c r="B4031" s="6" t="s">
        <v>25310</v>
      </c>
      <c r="C4031" s="6" t="s">
        <v>1824</v>
      </c>
      <c r="D4031" s="6" t="s">
        <v>25311</v>
      </c>
      <c r="E4031" s="6" t="s">
        <v>24402</v>
      </c>
      <c r="F4031" s="6" t="s">
        <v>57</v>
      </c>
      <c r="G4031" s="6" t="s">
        <v>25312</v>
      </c>
      <c r="H4031" s="7" t="s">
        <v>31</v>
      </c>
      <c r="I4031" s="7">
        <v>1.0</v>
      </c>
      <c r="J4031" s="7">
        <v>1.0</v>
      </c>
      <c r="K4031" s="7" t="s">
        <v>31</v>
      </c>
      <c r="L4031" s="8" t="s">
        <v>24413</v>
      </c>
      <c r="M4031" s="6" t="s">
        <v>25313</v>
      </c>
      <c r="N4031" s="6" t="s">
        <v>1348</v>
      </c>
      <c r="O4031" s="8" t="s">
        <v>1349</v>
      </c>
      <c r="P4031" s="6" t="s">
        <v>24406</v>
      </c>
      <c r="Q4031" s="6" t="s">
        <v>24407</v>
      </c>
      <c r="R4031" s="6" t="s">
        <v>1018</v>
      </c>
      <c r="S4031" s="8" t="s">
        <v>1352</v>
      </c>
      <c r="T4031" s="6" t="s">
        <v>1019</v>
      </c>
      <c r="U4031" s="8" t="s">
        <v>31</v>
      </c>
      <c r="V4031" s="6" t="s">
        <v>25314</v>
      </c>
      <c r="W4031" s="6" t="s">
        <v>24402</v>
      </c>
      <c r="X4031" s="9" t="str">
        <f>HYPERLINK("https://my.pitchbook.com?p=265155-67P","View People Online")</f>
        <v>View People Online</v>
      </c>
    </row>
    <row r="4032">
      <c r="A4032" s="10" t="s">
        <v>25315</v>
      </c>
      <c r="B4032" s="10" t="s">
        <v>25316</v>
      </c>
      <c r="C4032" s="10" t="s">
        <v>24292</v>
      </c>
      <c r="D4032" s="10" t="s">
        <v>25317</v>
      </c>
      <c r="E4032" s="10" t="s">
        <v>24402</v>
      </c>
      <c r="F4032" s="10" t="s">
        <v>1283</v>
      </c>
      <c r="G4032" s="10" t="s">
        <v>25318</v>
      </c>
      <c r="H4032" s="11" t="s">
        <v>31</v>
      </c>
      <c r="I4032" s="11">
        <v>1.0</v>
      </c>
      <c r="J4032" s="11">
        <v>1.0</v>
      </c>
      <c r="K4032" s="11" t="s">
        <v>31</v>
      </c>
      <c r="L4032" s="12" t="s">
        <v>25319</v>
      </c>
      <c r="M4032" s="10" t="s">
        <v>25320</v>
      </c>
      <c r="N4032" s="10" t="s">
        <v>1203</v>
      </c>
      <c r="O4032" s="12" t="s">
        <v>1204</v>
      </c>
      <c r="P4032" s="10" t="s">
        <v>25321</v>
      </c>
      <c r="Q4032" s="10" t="s">
        <v>25322</v>
      </c>
      <c r="R4032" s="10" t="s">
        <v>1207</v>
      </c>
      <c r="S4032" s="12" t="s">
        <v>13235</v>
      </c>
      <c r="T4032" s="10" t="s">
        <v>1209</v>
      </c>
      <c r="U4032" s="12" t="s">
        <v>31</v>
      </c>
      <c r="V4032" s="10" t="s">
        <v>24725</v>
      </c>
      <c r="W4032" s="10" t="s">
        <v>24402</v>
      </c>
      <c r="X4032" s="13" t="str">
        <f>HYPERLINK("https://my.pitchbook.com?p=405989-74P","View People Online")</f>
        <v>View People Online</v>
      </c>
    </row>
    <row r="4033">
      <c r="A4033" s="14" t="s">
        <v>25323</v>
      </c>
      <c r="B4033" s="14" t="s">
        <v>25324</v>
      </c>
      <c r="C4033" s="14" t="s">
        <v>9675</v>
      </c>
      <c r="D4033" s="14" t="s">
        <v>25325</v>
      </c>
      <c r="E4033" s="14" t="s">
        <v>24402</v>
      </c>
      <c r="F4033" s="14" t="s">
        <v>3288</v>
      </c>
      <c r="G4033" s="14" t="s">
        <v>25326</v>
      </c>
      <c r="H4033" s="15" t="s">
        <v>31</v>
      </c>
      <c r="I4033" s="15">
        <v>3.0</v>
      </c>
      <c r="J4033" s="15">
        <v>2.0</v>
      </c>
      <c r="K4033" s="15">
        <v>1.0</v>
      </c>
      <c r="L4033" s="16" t="s">
        <v>24413</v>
      </c>
      <c r="M4033" s="14" t="s">
        <v>25327</v>
      </c>
      <c r="N4033" s="14" t="s">
        <v>1348</v>
      </c>
      <c r="O4033" s="16" t="s">
        <v>1349</v>
      </c>
      <c r="P4033" s="14" t="s">
        <v>24406</v>
      </c>
      <c r="Q4033" s="14" t="s">
        <v>24407</v>
      </c>
      <c r="R4033" s="14" t="s">
        <v>1018</v>
      </c>
      <c r="S4033" s="16" t="s">
        <v>1352</v>
      </c>
      <c r="T4033" s="14" t="s">
        <v>1019</v>
      </c>
      <c r="U4033" s="16" t="s">
        <v>31</v>
      </c>
      <c r="V4033" s="14" t="s">
        <v>25328</v>
      </c>
      <c r="W4033" s="14" t="s">
        <v>24402</v>
      </c>
      <c r="X4033" s="17" t="str">
        <f>HYPERLINK("https://my.pitchbook.com?p=265303-54P","View People Online")</f>
        <v>View People Online</v>
      </c>
    </row>
    <row r="4034">
      <c r="A4034" s="10" t="s">
        <v>25329</v>
      </c>
      <c r="B4034" s="10" t="s">
        <v>25330</v>
      </c>
      <c r="C4034" s="10" t="s">
        <v>25331</v>
      </c>
      <c r="D4034" s="10" t="s">
        <v>9391</v>
      </c>
      <c r="E4034" s="10" t="s">
        <v>24402</v>
      </c>
      <c r="F4034" s="10" t="s">
        <v>3288</v>
      </c>
      <c r="G4034" s="10" t="s">
        <v>25332</v>
      </c>
      <c r="H4034" s="11" t="s">
        <v>31</v>
      </c>
      <c r="I4034" s="11">
        <v>2.0</v>
      </c>
      <c r="J4034" s="11">
        <v>2.0</v>
      </c>
      <c r="K4034" s="11" t="s">
        <v>31</v>
      </c>
      <c r="L4034" s="12" t="s">
        <v>25333</v>
      </c>
      <c r="M4034" s="10" t="s">
        <v>25334</v>
      </c>
      <c r="N4034" s="10" t="s">
        <v>75</v>
      </c>
      <c r="O4034" s="12" t="s">
        <v>76</v>
      </c>
      <c r="P4034" s="10" t="s">
        <v>24415</v>
      </c>
      <c r="Q4034" s="10" t="s">
        <v>24535</v>
      </c>
      <c r="R4034" s="10" t="s">
        <v>75</v>
      </c>
      <c r="S4034" s="12" t="s">
        <v>24536</v>
      </c>
      <c r="T4034" s="10" t="s">
        <v>66</v>
      </c>
      <c r="U4034" s="12" t="s">
        <v>31</v>
      </c>
      <c r="V4034" s="10" t="s">
        <v>25335</v>
      </c>
      <c r="W4034" s="10" t="s">
        <v>24402</v>
      </c>
      <c r="X4034" s="13" t="str">
        <f>HYPERLINK("https://my.pitchbook.com?p=145526-95P","View People Online")</f>
        <v>View People Online</v>
      </c>
    </row>
    <row r="4035">
      <c r="A4035" s="14" t="s">
        <v>25336</v>
      </c>
      <c r="B4035" s="14" t="s">
        <v>25337</v>
      </c>
      <c r="C4035" s="14" t="s">
        <v>25338</v>
      </c>
      <c r="D4035" s="14" t="s">
        <v>25339</v>
      </c>
      <c r="E4035" s="14" t="s">
        <v>24402</v>
      </c>
      <c r="F4035" s="14" t="s">
        <v>57</v>
      </c>
      <c r="G4035" s="14" t="s">
        <v>25340</v>
      </c>
      <c r="H4035" s="15" t="s">
        <v>31</v>
      </c>
      <c r="I4035" s="15">
        <v>2.0</v>
      </c>
      <c r="J4035" s="15">
        <v>2.0</v>
      </c>
      <c r="K4035" s="15" t="s">
        <v>31</v>
      </c>
      <c r="L4035" s="16" t="s">
        <v>24413</v>
      </c>
      <c r="M4035" s="14" t="s">
        <v>25341</v>
      </c>
      <c r="N4035" s="14" t="s">
        <v>1348</v>
      </c>
      <c r="O4035" s="16" t="s">
        <v>1349</v>
      </c>
      <c r="P4035" s="14" t="s">
        <v>24415</v>
      </c>
      <c r="Q4035" s="14" t="s">
        <v>24416</v>
      </c>
      <c r="R4035" s="14" t="s">
        <v>1018</v>
      </c>
      <c r="S4035" s="16" t="s">
        <v>1352</v>
      </c>
      <c r="T4035" s="14" t="s">
        <v>1019</v>
      </c>
      <c r="U4035" s="16" t="s">
        <v>31</v>
      </c>
      <c r="V4035" s="14" t="s">
        <v>24424</v>
      </c>
      <c r="W4035" s="14" t="s">
        <v>24418</v>
      </c>
      <c r="X4035" s="17" t="str">
        <f>HYPERLINK("https://my.pitchbook.com?p=265173-58P","View People Online")</f>
        <v>View People Online</v>
      </c>
    </row>
    <row r="4036">
      <c r="A4036" s="10" t="s">
        <v>25342</v>
      </c>
      <c r="B4036" s="10" t="s">
        <v>25343</v>
      </c>
      <c r="C4036" s="10" t="s">
        <v>25344</v>
      </c>
      <c r="D4036" s="10" t="s">
        <v>25345</v>
      </c>
      <c r="E4036" s="10" t="s">
        <v>24402</v>
      </c>
      <c r="F4036" s="10" t="s">
        <v>1283</v>
      </c>
      <c r="G4036" s="10" t="s">
        <v>25346</v>
      </c>
      <c r="H4036" s="11" t="s">
        <v>31</v>
      </c>
      <c r="I4036" s="11">
        <v>2.0</v>
      </c>
      <c r="J4036" s="11">
        <v>2.0</v>
      </c>
      <c r="K4036" s="11" t="s">
        <v>31</v>
      </c>
      <c r="L4036" s="12" t="s">
        <v>24413</v>
      </c>
      <c r="M4036" s="10" t="s">
        <v>25347</v>
      </c>
      <c r="N4036" s="10" t="s">
        <v>1348</v>
      </c>
      <c r="O4036" s="12" t="s">
        <v>1349</v>
      </c>
      <c r="P4036" s="10" t="s">
        <v>24415</v>
      </c>
      <c r="Q4036" s="10" t="s">
        <v>24416</v>
      </c>
      <c r="R4036" s="10" t="s">
        <v>1018</v>
      </c>
      <c r="S4036" s="12" t="s">
        <v>1352</v>
      </c>
      <c r="T4036" s="10" t="s">
        <v>1019</v>
      </c>
      <c r="U4036" s="12" t="s">
        <v>31</v>
      </c>
      <c r="V4036" s="10" t="s">
        <v>24417</v>
      </c>
      <c r="W4036" s="10" t="s">
        <v>24418</v>
      </c>
      <c r="X4036" s="13" t="str">
        <f>HYPERLINK("https://my.pitchbook.com?p=405961-66P","View People Online")</f>
        <v>View People Online</v>
      </c>
    </row>
    <row r="4037">
      <c r="A4037" s="14" t="s">
        <v>25348</v>
      </c>
      <c r="B4037" s="14" t="s">
        <v>25349</v>
      </c>
      <c r="C4037" s="14" t="s">
        <v>25350</v>
      </c>
      <c r="D4037" s="14" t="s">
        <v>25351</v>
      </c>
      <c r="E4037" s="14" t="s">
        <v>24402</v>
      </c>
      <c r="F4037" s="14" t="s">
        <v>1283</v>
      </c>
      <c r="G4037" s="14" t="s">
        <v>25352</v>
      </c>
      <c r="H4037" s="15" t="s">
        <v>31</v>
      </c>
      <c r="I4037" s="15">
        <v>5.0</v>
      </c>
      <c r="J4037" s="15">
        <v>2.0</v>
      </c>
      <c r="K4037" s="15" t="s">
        <v>31</v>
      </c>
      <c r="L4037" s="16" t="s">
        <v>24413</v>
      </c>
      <c r="M4037" s="14" t="s">
        <v>25353</v>
      </c>
      <c r="N4037" s="14" t="s">
        <v>1348</v>
      </c>
      <c r="O4037" s="16" t="s">
        <v>1349</v>
      </c>
      <c r="P4037" s="14" t="s">
        <v>24415</v>
      </c>
      <c r="Q4037" s="14" t="s">
        <v>24416</v>
      </c>
      <c r="R4037" s="14" t="s">
        <v>1018</v>
      </c>
      <c r="S4037" s="16" t="s">
        <v>1352</v>
      </c>
      <c r="T4037" s="14" t="s">
        <v>1019</v>
      </c>
      <c r="U4037" s="16" t="s">
        <v>31</v>
      </c>
      <c r="V4037" s="14" t="s">
        <v>24417</v>
      </c>
      <c r="W4037" s="14" t="s">
        <v>24418</v>
      </c>
      <c r="X4037" s="17" t="str">
        <f>HYPERLINK("https://my.pitchbook.com?p=204569-56P","View People Online")</f>
        <v>View People Online</v>
      </c>
    </row>
    <row r="4038">
      <c r="A4038" s="2" t="s">
        <v>25354</v>
      </c>
      <c r="B4038" s="2" t="s">
        <v>25355</v>
      </c>
      <c r="C4038" s="2" t="s">
        <v>562</v>
      </c>
      <c r="D4038" s="2" t="s">
        <v>25356</v>
      </c>
      <c r="E4038" s="2" t="s">
        <v>24402</v>
      </c>
      <c r="F4038" s="2" t="s">
        <v>57</v>
      </c>
      <c r="G4038" s="2" t="s">
        <v>25357</v>
      </c>
      <c r="H4038" s="3" t="s">
        <v>31</v>
      </c>
      <c r="I4038" s="3">
        <v>2.0</v>
      </c>
      <c r="J4038" s="3">
        <v>2.0</v>
      </c>
      <c r="K4038" s="3" t="s">
        <v>31</v>
      </c>
      <c r="L4038" s="4" t="s">
        <v>24413</v>
      </c>
      <c r="M4038" s="2" t="s">
        <v>25358</v>
      </c>
      <c r="N4038" s="2" t="s">
        <v>24983</v>
      </c>
      <c r="O4038" s="4" t="s">
        <v>24984</v>
      </c>
      <c r="P4038" s="2" t="s">
        <v>24985</v>
      </c>
      <c r="Q4038" s="2" t="s">
        <v>24986</v>
      </c>
      <c r="R4038" s="2" t="s">
        <v>31</v>
      </c>
      <c r="S4038" s="4" t="s">
        <v>24987</v>
      </c>
      <c r="T4038" s="2" t="s">
        <v>24988</v>
      </c>
      <c r="U4038" s="4" t="s">
        <v>31</v>
      </c>
      <c r="V4038" s="2" t="s">
        <v>25161</v>
      </c>
      <c r="W4038" s="2" t="s">
        <v>24990</v>
      </c>
      <c r="X4038" s="5" t="str">
        <f>HYPERLINK("https://my.pitchbook.com?p=263347-30P","View People Online")</f>
        <v>View People Online</v>
      </c>
    </row>
    <row r="4039">
      <c r="A4039" s="14" t="s">
        <v>25359</v>
      </c>
      <c r="B4039" s="14" t="s">
        <v>25360</v>
      </c>
      <c r="C4039" s="14" t="s">
        <v>22742</v>
      </c>
      <c r="D4039" s="14" t="s">
        <v>25361</v>
      </c>
      <c r="E4039" s="14" t="s">
        <v>24402</v>
      </c>
      <c r="F4039" s="14" t="s">
        <v>3288</v>
      </c>
      <c r="G4039" s="14" t="s">
        <v>25362</v>
      </c>
      <c r="H4039" s="15" t="s">
        <v>31</v>
      </c>
      <c r="I4039" s="15">
        <v>3.0</v>
      </c>
      <c r="J4039" s="15">
        <v>3.0</v>
      </c>
      <c r="K4039" s="15" t="s">
        <v>31</v>
      </c>
      <c r="L4039" s="16" t="s">
        <v>24549</v>
      </c>
      <c r="M4039" s="14" t="s">
        <v>25363</v>
      </c>
      <c r="N4039" s="14" t="s">
        <v>243</v>
      </c>
      <c r="O4039" s="16" t="s">
        <v>244</v>
      </c>
      <c r="P4039" s="14" t="s">
        <v>24551</v>
      </c>
      <c r="Q4039" s="14" t="s">
        <v>24552</v>
      </c>
      <c r="R4039" s="14" t="s">
        <v>247</v>
      </c>
      <c r="S4039" s="16" t="s">
        <v>24553</v>
      </c>
      <c r="T4039" s="14" t="s">
        <v>249</v>
      </c>
      <c r="U4039" s="16" t="s">
        <v>31</v>
      </c>
      <c r="V4039" s="14" t="s">
        <v>25364</v>
      </c>
      <c r="W4039" s="14" t="s">
        <v>24402</v>
      </c>
      <c r="X4039" s="17" t="str">
        <f>HYPERLINK("https://my.pitchbook.com?p=346397-59P","View People Online")</f>
        <v>View People Online</v>
      </c>
    </row>
    <row r="4040">
      <c r="A4040" s="10" t="s">
        <v>25365</v>
      </c>
      <c r="B4040" s="10" t="s">
        <v>25366</v>
      </c>
      <c r="C4040" s="10" t="s">
        <v>25367</v>
      </c>
      <c r="D4040" s="10" t="s">
        <v>25368</v>
      </c>
      <c r="E4040" s="10" t="s">
        <v>24402</v>
      </c>
      <c r="F4040" s="10" t="s">
        <v>57</v>
      </c>
      <c r="G4040" s="10" t="s">
        <v>25369</v>
      </c>
      <c r="H4040" s="11">
        <v>1.0</v>
      </c>
      <c r="I4040" s="11">
        <v>6.0</v>
      </c>
      <c r="J4040" s="11">
        <v>2.0</v>
      </c>
      <c r="K4040" s="11">
        <v>2.0</v>
      </c>
      <c r="L4040" s="12" t="s">
        <v>24413</v>
      </c>
      <c r="M4040" s="10" t="s">
        <v>25370</v>
      </c>
      <c r="N4040" s="10" t="s">
        <v>1348</v>
      </c>
      <c r="O4040" s="12" t="s">
        <v>1349</v>
      </c>
      <c r="P4040" s="10" t="s">
        <v>24406</v>
      </c>
      <c r="Q4040" s="10" t="s">
        <v>24407</v>
      </c>
      <c r="R4040" s="10" t="s">
        <v>1018</v>
      </c>
      <c r="S4040" s="12" t="s">
        <v>1352</v>
      </c>
      <c r="T4040" s="10" t="s">
        <v>1019</v>
      </c>
      <c r="U4040" s="12" t="s">
        <v>31</v>
      </c>
      <c r="V4040" s="10" t="s">
        <v>25028</v>
      </c>
      <c r="W4040" s="10" t="s">
        <v>24402</v>
      </c>
      <c r="X4040" s="13" t="str">
        <f>HYPERLINK("https://my.pitchbook.com?p=161210-17P","View People Online")</f>
        <v>View People Online</v>
      </c>
    </row>
    <row r="4041">
      <c r="A4041" s="6" t="s">
        <v>25371</v>
      </c>
      <c r="B4041" s="6" t="s">
        <v>25372</v>
      </c>
      <c r="C4041" s="6" t="s">
        <v>7207</v>
      </c>
      <c r="D4041" s="6" t="s">
        <v>25373</v>
      </c>
      <c r="E4041" s="6" t="s">
        <v>24402</v>
      </c>
      <c r="F4041" s="6" t="s">
        <v>1283</v>
      </c>
      <c r="G4041" s="6" t="s">
        <v>25374</v>
      </c>
      <c r="H4041" s="7" t="s">
        <v>31</v>
      </c>
      <c r="I4041" s="7">
        <v>2.0</v>
      </c>
      <c r="J4041" s="7">
        <v>2.0</v>
      </c>
      <c r="K4041" s="7" t="s">
        <v>31</v>
      </c>
      <c r="L4041" s="8" t="s">
        <v>24413</v>
      </c>
      <c r="M4041" s="6" t="s">
        <v>25375</v>
      </c>
      <c r="N4041" s="6" t="s">
        <v>1348</v>
      </c>
      <c r="O4041" s="8" t="s">
        <v>1349</v>
      </c>
      <c r="P4041" s="6" t="s">
        <v>24415</v>
      </c>
      <c r="Q4041" s="6" t="s">
        <v>24416</v>
      </c>
      <c r="R4041" s="6" t="s">
        <v>1018</v>
      </c>
      <c r="S4041" s="8" t="s">
        <v>1352</v>
      </c>
      <c r="T4041" s="6" t="s">
        <v>1019</v>
      </c>
      <c r="U4041" s="8" t="s">
        <v>31</v>
      </c>
      <c r="V4041" s="6" t="s">
        <v>24417</v>
      </c>
      <c r="W4041" s="6" t="s">
        <v>24418</v>
      </c>
      <c r="X4041" s="9" t="str">
        <f>HYPERLINK("https://my.pitchbook.com?p=405971-02P","View People Online")</f>
        <v>View People Online</v>
      </c>
    </row>
    <row r="4042">
      <c r="A4042" s="2" t="s">
        <v>25376</v>
      </c>
      <c r="B4042" s="2" t="s">
        <v>25377</v>
      </c>
      <c r="C4042" s="2" t="s">
        <v>25378</v>
      </c>
      <c r="D4042" s="2" t="s">
        <v>25379</v>
      </c>
      <c r="E4042" s="2" t="s">
        <v>24402</v>
      </c>
      <c r="F4042" s="2" t="s">
        <v>1283</v>
      </c>
      <c r="G4042" s="2" t="s">
        <v>25380</v>
      </c>
      <c r="H4042" s="3" t="s">
        <v>31</v>
      </c>
      <c r="I4042" s="3">
        <v>2.0</v>
      </c>
      <c r="J4042" s="3">
        <v>2.0</v>
      </c>
      <c r="K4042" s="3" t="s">
        <v>31</v>
      </c>
      <c r="L4042" s="4" t="s">
        <v>24533</v>
      </c>
      <c r="M4042" s="2" t="s">
        <v>25381</v>
      </c>
      <c r="N4042" s="2" t="s">
        <v>75</v>
      </c>
      <c r="O4042" s="4" t="s">
        <v>76</v>
      </c>
      <c r="P4042" s="2" t="s">
        <v>24415</v>
      </c>
      <c r="Q4042" s="2" t="s">
        <v>24535</v>
      </c>
      <c r="R4042" s="2" t="s">
        <v>75</v>
      </c>
      <c r="S4042" s="4" t="s">
        <v>24536</v>
      </c>
      <c r="T4042" s="2" t="s">
        <v>66</v>
      </c>
      <c r="U4042" s="4" t="s">
        <v>31</v>
      </c>
      <c r="V4042" s="2" t="s">
        <v>24417</v>
      </c>
      <c r="W4042" s="2" t="s">
        <v>24402</v>
      </c>
      <c r="X4042" s="5" t="str">
        <f>HYPERLINK("https://my.pitchbook.com?p=406001-35P","View People Online")</f>
        <v>View People Online</v>
      </c>
    </row>
    <row r="4043">
      <c r="A4043" s="6" t="s">
        <v>25382</v>
      </c>
      <c r="B4043" s="6" t="s">
        <v>25383</v>
      </c>
      <c r="C4043" s="6" t="s">
        <v>23041</v>
      </c>
      <c r="D4043" s="6" t="s">
        <v>25384</v>
      </c>
      <c r="E4043" s="6" t="s">
        <v>24402</v>
      </c>
      <c r="F4043" s="6" t="s">
        <v>667</v>
      </c>
      <c r="G4043" s="6" t="s">
        <v>25385</v>
      </c>
      <c r="H4043" s="7" t="s">
        <v>31</v>
      </c>
      <c r="I4043" s="7">
        <v>1.0</v>
      </c>
      <c r="J4043" s="7">
        <v>1.0</v>
      </c>
      <c r="K4043" s="7" t="s">
        <v>31</v>
      </c>
      <c r="L4043" s="8" t="s">
        <v>24413</v>
      </c>
      <c r="M4043" s="6" t="s">
        <v>25386</v>
      </c>
      <c r="N4043" s="6" t="s">
        <v>1348</v>
      </c>
      <c r="O4043" s="8" t="s">
        <v>1349</v>
      </c>
      <c r="P4043" s="6" t="s">
        <v>24406</v>
      </c>
      <c r="Q4043" s="6" t="s">
        <v>24407</v>
      </c>
      <c r="R4043" s="6" t="s">
        <v>1018</v>
      </c>
      <c r="S4043" s="8" t="s">
        <v>1352</v>
      </c>
      <c r="T4043" s="6" t="s">
        <v>1019</v>
      </c>
      <c r="U4043" s="8" t="s">
        <v>31</v>
      </c>
      <c r="V4043" s="6" t="s">
        <v>667</v>
      </c>
      <c r="W4043" s="6" t="s">
        <v>24402</v>
      </c>
      <c r="X4043" s="9" t="str">
        <f>HYPERLINK("https://my.pitchbook.com?p=445389-94P","View People Online")</f>
        <v>View People Online</v>
      </c>
    </row>
    <row r="4044">
      <c r="A4044" s="10" t="s">
        <v>25387</v>
      </c>
      <c r="B4044" s="10" t="s">
        <v>25388</v>
      </c>
      <c r="C4044" s="10" t="s">
        <v>1697</v>
      </c>
      <c r="D4044" s="10" t="s">
        <v>747</v>
      </c>
      <c r="E4044" s="10" t="s">
        <v>24402</v>
      </c>
      <c r="F4044" s="10" t="s">
        <v>25143</v>
      </c>
      <c r="G4044" s="10" t="s">
        <v>25389</v>
      </c>
      <c r="H4044" s="11" t="s">
        <v>31</v>
      </c>
      <c r="I4044" s="11">
        <v>10.0</v>
      </c>
      <c r="J4044" s="11">
        <v>2.0</v>
      </c>
      <c r="K4044" s="11" t="s">
        <v>31</v>
      </c>
      <c r="L4044" s="12" t="s">
        <v>24413</v>
      </c>
      <c r="M4044" s="10" t="s">
        <v>25390</v>
      </c>
      <c r="N4044" s="10" t="s">
        <v>1348</v>
      </c>
      <c r="O4044" s="12" t="s">
        <v>1349</v>
      </c>
      <c r="P4044" s="10" t="s">
        <v>24406</v>
      </c>
      <c r="Q4044" s="10" t="s">
        <v>24407</v>
      </c>
      <c r="R4044" s="10" t="s">
        <v>1018</v>
      </c>
      <c r="S4044" s="12" t="s">
        <v>1352</v>
      </c>
      <c r="T4044" s="10" t="s">
        <v>1019</v>
      </c>
      <c r="U4044" s="12" t="s">
        <v>31</v>
      </c>
      <c r="V4044" s="10" t="s">
        <v>24606</v>
      </c>
      <c r="W4044" s="10" t="s">
        <v>24402</v>
      </c>
      <c r="X4044" s="13" t="str">
        <f>HYPERLINK("https://my.pitchbook.com?p=64697-77P","View People Online")</f>
        <v>View People Online</v>
      </c>
    </row>
    <row r="4045">
      <c r="A4045" s="6" t="s">
        <v>25391</v>
      </c>
      <c r="B4045" s="6" t="s">
        <v>25392</v>
      </c>
      <c r="C4045" s="6" t="s">
        <v>25393</v>
      </c>
      <c r="D4045" s="6" t="s">
        <v>673</v>
      </c>
      <c r="E4045" s="6" t="s">
        <v>24402</v>
      </c>
      <c r="F4045" s="6" t="s">
        <v>1283</v>
      </c>
      <c r="G4045" s="6" t="s">
        <v>25394</v>
      </c>
      <c r="H4045" s="7" t="s">
        <v>31</v>
      </c>
      <c r="I4045" s="7">
        <v>2.0</v>
      </c>
      <c r="J4045" s="7">
        <v>2.0</v>
      </c>
      <c r="K4045" s="7" t="s">
        <v>31</v>
      </c>
      <c r="L4045" s="8" t="s">
        <v>25395</v>
      </c>
      <c r="M4045" s="6" t="s">
        <v>25396</v>
      </c>
      <c r="N4045" s="6" t="s">
        <v>3334</v>
      </c>
      <c r="O4045" s="8" t="s">
        <v>3335</v>
      </c>
      <c r="P4045" s="6" t="s">
        <v>25397</v>
      </c>
      <c r="Q4045" s="6" t="s">
        <v>25398</v>
      </c>
      <c r="R4045" s="6" t="s">
        <v>31</v>
      </c>
      <c r="S4045" s="8" t="s">
        <v>25399</v>
      </c>
      <c r="T4045" s="6" t="s">
        <v>3339</v>
      </c>
      <c r="U4045" s="8" t="s">
        <v>31</v>
      </c>
      <c r="V4045" s="6" t="s">
        <v>24417</v>
      </c>
      <c r="W4045" s="6" t="s">
        <v>24402</v>
      </c>
      <c r="X4045" s="9" t="str">
        <f>HYPERLINK("https://my.pitchbook.com?p=406011-97P","View People Online")</f>
        <v>View People Online</v>
      </c>
    </row>
    <row r="4046">
      <c r="A4046" s="2" t="s">
        <v>25400</v>
      </c>
      <c r="B4046" s="2" t="s">
        <v>25401</v>
      </c>
      <c r="C4046" s="2" t="s">
        <v>12548</v>
      </c>
      <c r="D4046" s="2" t="s">
        <v>25402</v>
      </c>
      <c r="E4046" s="2" t="s">
        <v>24402</v>
      </c>
      <c r="F4046" s="2" t="s">
        <v>1283</v>
      </c>
      <c r="G4046" s="2" t="s">
        <v>25403</v>
      </c>
      <c r="H4046" s="3" t="s">
        <v>31</v>
      </c>
      <c r="I4046" s="3">
        <v>2.0</v>
      </c>
      <c r="J4046" s="3">
        <v>2.0</v>
      </c>
      <c r="K4046" s="3" t="s">
        <v>31</v>
      </c>
      <c r="L4046" s="4" t="s">
        <v>24413</v>
      </c>
      <c r="M4046" s="2" t="s">
        <v>25404</v>
      </c>
      <c r="N4046" s="2" t="s">
        <v>1348</v>
      </c>
      <c r="O4046" s="4" t="s">
        <v>1349</v>
      </c>
      <c r="P4046" s="2" t="s">
        <v>24415</v>
      </c>
      <c r="Q4046" s="2" t="s">
        <v>24416</v>
      </c>
      <c r="R4046" s="2" t="s">
        <v>1018</v>
      </c>
      <c r="S4046" s="4" t="s">
        <v>1352</v>
      </c>
      <c r="T4046" s="2" t="s">
        <v>1019</v>
      </c>
      <c r="U4046" s="4" t="s">
        <v>31</v>
      </c>
      <c r="V4046" s="2" t="s">
        <v>24417</v>
      </c>
      <c r="W4046" s="2" t="s">
        <v>24418</v>
      </c>
      <c r="X4046" s="5" t="str">
        <f>HYPERLINK("https://my.pitchbook.com?p=405960-22P","View People Online")</f>
        <v>View People Online</v>
      </c>
    </row>
    <row r="4047">
      <c r="A4047" s="6" t="s">
        <v>25405</v>
      </c>
      <c r="B4047" s="6" t="s">
        <v>25406</v>
      </c>
      <c r="C4047" s="6" t="s">
        <v>139</v>
      </c>
      <c r="D4047" s="6" t="s">
        <v>5608</v>
      </c>
      <c r="E4047" s="6" t="s">
        <v>25407</v>
      </c>
      <c r="F4047" s="6" t="s">
        <v>3252</v>
      </c>
      <c r="G4047" s="6" t="s">
        <v>25408</v>
      </c>
      <c r="H4047" s="7" t="s">
        <v>31</v>
      </c>
      <c r="I4047" s="7">
        <v>7.0</v>
      </c>
      <c r="J4047" s="7">
        <v>2.0</v>
      </c>
      <c r="K4047" s="7">
        <v>4.0</v>
      </c>
      <c r="L4047" s="8" t="s">
        <v>25409</v>
      </c>
      <c r="M4047" s="6" t="s">
        <v>25410</v>
      </c>
      <c r="N4047" s="6" t="s">
        <v>612</v>
      </c>
      <c r="O4047" s="8" t="s">
        <v>613</v>
      </c>
      <c r="P4047" s="6" t="s">
        <v>25411</v>
      </c>
      <c r="Q4047" s="6" t="s">
        <v>25412</v>
      </c>
      <c r="R4047" s="6" t="s">
        <v>616</v>
      </c>
      <c r="S4047" s="8" t="s">
        <v>25413</v>
      </c>
      <c r="T4047" s="6" t="s">
        <v>66</v>
      </c>
      <c r="U4047" s="8" t="s">
        <v>31</v>
      </c>
      <c r="V4047" s="6" t="s">
        <v>25414</v>
      </c>
      <c r="W4047" s="6" t="s">
        <v>25407</v>
      </c>
      <c r="X4047" s="9" t="str">
        <f>HYPERLINK("https://my.pitchbook.com?p=277009-21P","View People Online")</f>
        <v>View People Online</v>
      </c>
    </row>
    <row r="4048">
      <c r="A4048" s="10" t="s">
        <v>25415</v>
      </c>
      <c r="B4048" s="10" t="s">
        <v>25416</v>
      </c>
      <c r="C4048" s="10" t="s">
        <v>25417</v>
      </c>
      <c r="D4048" s="10" t="s">
        <v>25418</v>
      </c>
      <c r="E4048" s="10" t="s">
        <v>25407</v>
      </c>
      <c r="F4048" s="10" t="s">
        <v>25419</v>
      </c>
      <c r="G4048" s="10" t="s">
        <v>25420</v>
      </c>
      <c r="H4048" s="11" t="s">
        <v>31</v>
      </c>
      <c r="I4048" s="11">
        <v>1.0</v>
      </c>
      <c r="J4048" s="11">
        <v>1.0</v>
      </c>
      <c r="K4048" s="11" t="s">
        <v>31</v>
      </c>
      <c r="L4048" s="12" t="s">
        <v>31</v>
      </c>
      <c r="M4048" s="10" t="s">
        <v>25421</v>
      </c>
      <c r="N4048" s="10" t="s">
        <v>612</v>
      </c>
      <c r="O4048" s="12" t="s">
        <v>613</v>
      </c>
      <c r="P4048" s="10" t="s">
        <v>25411</v>
      </c>
      <c r="Q4048" s="10" t="s">
        <v>25412</v>
      </c>
      <c r="R4048" s="10" t="s">
        <v>616</v>
      </c>
      <c r="S4048" s="12" t="s">
        <v>25413</v>
      </c>
      <c r="T4048" s="10" t="s">
        <v>66</v>
      </c>
      <c r="U4048" s="12" t="s">
        <v>31</v>
      </c>
      <c r="V4048" s="10" t="s">
        <v>25422</v>
      </c>
      <c r="W4048" s="10" t="s">
        <v>25407</v>
      </c>
      <c r="X4048" s="13" t="str">
        <f>HYPERLINK("https://my.pitchbook.com?p=83695-24P","View People Online")</f>
        <v>View People Online</v>
      </c>
    </row>
    <row r="4049">
      <c r="A4049" s="14" t="s">
        <v>25423</v>
      </c>
      <c r="B4049" s="14" t="s">
        <v>25424</v>
      </c>
      <c r="C4049" s="14" t="s">
        <v>1356</v>
      </c>
      <c r="D4049" s="14" t="s">
        <v>25425</v>
      </c>
      <c r="E4049" s="14" t="s">
        <v>25407</v>
      </c>
      <c r="F4049" s="14" t="s">
        <v>114</v>
      </c>
      <c r="G4049" s="14" t="s">
        <v>25426</v>
      </c>
      <c r="H4049" s="15" t="s">
        <v>31</v>
      </c>
      <c r="I4049" s="15">
        <v>4.0</v>
      </c>
      <c r="J4049" s="15">
        <v>2.0</v>
      </c>
      <c r="K4049" s="15">
        <v>1.0</v>
      </c>
      <c r="L4049" s="16" t="s">
        <v>25427</v>
      </c>
      <c r="M4049" s="14" t="s">
        <v>25428</v>
      </c>
      <c r="N4049" s="14" t="s">
        <v>25429</v>
      </c>
      <c r="O4049" s="16" t="s">
        <v>25430</v>
      </c>
      <c r="P4049" s="14" t="s">
        <v>25431</v>
      </c>
      <c r="Q4049" s="14" t="s">
        <v>31</v>
      </c>
      <c r="R4049" s="14" t="s">
        <v>15275</v>
      </c>
      <c r="S4049" s="16" t="s">
        <v>25432</v>
      </c>
      <c r="T4049" s="14" t="s">
        <v>66</v>
      </c>
      <c r="U4049" s="16" t="s">
        <v>31</v>
      </c>
      <c r="V4049" s="14" t="s">
        <v>25433</v>
      </c>
      <c r="W4049" s="14" t="s">
        <v>25434</v>
      </c>
      <c r="X4049" s="17" t="str">
        <f>HYPERLINK("https://my.pitchbook.com?p=41565-61P","View People Online")</f>
        <v>View People Online</v>
      </c>
    </row>
    <row r="4050">
      <c r="A4050" s="10" t="s">
        <v>25435</v>
      </c>
      <c r="B4050" s="10" t="s">
        <v>25436</v>
      </c>
      <c r="C4050" s="10" t="s">
        <v>1630</v>
      </c>
      <c r="D4050" s="10" t="s">
        <v>4506</v>
      </c>
      <c r="E4050" s="10" t="s">
        <v>25407</v>
      </c>
      <c r="F4050" s="10" t="s">
        <v>29</v>
      </c>
      <c r="G4050" s="10" t="s">
        <v>25437</v>
      </c>
      <c r="H4050" s="11" t="s">
        <v>31</v>
      </c>
      <c r="I4050" s="11">
        <v>1.0</v>
      </c>
      <c r="J4050" s="11">
        <v>1.0</v>
      </c>
      <c r="K4050" s="11" t="s">
        <v>31</v>
      </c>
      <c r="L4050" s="12" t="s">
        <v>25438</v>
      </c>
      <c r="M4050" s="10" t="s">
        <v>25439</v>
      </c>
      <c r="N4050" s="10" t="s">
        <v>612</v>
      </c>
      <c r="O4050" s="12" t="s">
        <v>613</v>
      </c>
      <c r="P4050" s="10" t="s">
        <v>25411</v>
      </c>
      <c r="Q4050" s="10" t="s">
        <v>25412</v>
      </c>
      <c r="R4050" s="10" t="s">
        <v>616</v>
      </c>
      <c r="S4050" s="12" t="s">
        <v>25413</v>
      </c>
      <c r="T4050" s="10" t="s">
        <v>66</v>
      </c>
      <c r="U4050" s="12" t="s">
        <v>31</v>
      </c>
      <c r="V4050" s="10" t="s">
        <v>29</v>
      </c>
      <c r="W4050" s="10" t="s">
        <v>25407</v>
      </c>
      <c r="X4050" s="13" t="str">
        <f>HYPERLINK("https://my.pitchbook.com?p=115662-07P","View People Online")</f>
        <v>View People Online</v>
      </c>
    </row>
    <row r="4051">
      <c r="A4051" s="14" t="s">
        <v>25440</v>
      </c>
      <c r="B4051" s="14" t="s">
        <v>25441</v>
      </c>
      <c r="C4051" s="14" t="s">
        <v>4673</v>
      </c>
      <c r="D4051" s="14" t="s">
        <v>25442</v>
      </c>
      <c r="E4051" s="14" t="s">
        <v>25407</v>
      </c>
      <c r="F4051" s="14" t="s">
        <v>25443</v>
      </c>
      <c r="G4051" s="14" t="s">
        <v>25444</v>
      </c>
      <c r="H4051" s="15" t="s">
        <v>31</v>
      </c>
      <c r="I4051" s="15">
        <v>1.0</v>
      </c>
      <c r="J4051" s="15">
        <v>1.0</v>
      </c>
      <c r="K4051" s="15" t="s">
        <v>31</v>
      </c>
      <c r="L4051" s="16" t="s">
        <v>31</v>
      </c>
      <c r="M4051" s="14" t="s">
        <v>25445</v>
      </c>
      <c r="N4051" s="14" t="s">
        <v>612</v>
      </c>
      <c r="O4051" s="16" t="s">
        <v>613</v>
      </c>
      <c r="P4051" s="14" t="s">
        <v>25411</v>
      </c>
      <c r="Q4051" s="14" t="s">
        <v>25412</v>
      </c>
      <c r="R4051" s="14" t="s">
        <v>616</v>
      </c>
      <c r="S4051" s="16" t="s">
        <v>25413</v>
      </c>
      <c r="T4051" s="14" t="s">
        <v>66</v>
      </c>
      <c r="U4051" s="16" t="s">
        <v>31</v>
      </c>
      <c r="V4051" s="14" t="s">
        <v>25446</v>
      </c>
      <c r="W4051" s="14" t="s">
        <v>25407</v>
      </c>
      <c r="X4051" s="17" t="str">
        <f>HYPERLINK("https://my.pitchbook.com?p=356850-37P","View People Online")</f>
        <v>View People Online</v>
      </c>
    </row>
    <row r="4052">
      <c r="A4052" s="10" t="s">
        <v>25447</v>
      </c>
      <c r="B4052" s="10" t="s">
        <v>25448</v>
      </c>
      <c r="C4052" s="10" t="s">
        <v>6326</v>
      </c>
      <c r="D4052" s="10" t="s">
        <v>25449</v>
      </c>
      <c r="E4052" s="10" t="s">
        <v>25450</v>
      </c>
      <c r="F4052" s="10" t="s">
        <v>583</v>
      </c>
      <c r="G4052" s="10" t="s">
        <v>25451</v>
      </c>
      <c r="H4052" s="11" t="s">
        <v>31</v>
      </c>
      <c r="I4052" s="11">
        <v>3.0</v>
      </c>
      <c r="J4052" s="11">
        <v>3.0</v>
      </c>
      <c r="K4052" s="11" t="s">
        <v>31</v>
      </c>
      <c r="L4052" s="12" t="s">
        <v>25452</v>
      </c>
      <c r="M4052" s="10" t="s">
        <v>25453</v>
      </c>
      <c r="N4052" s="10" t="s">
        <v>4232</v>
      </c>
      <c r="O4052" s="12" t="s">
        <v>4233</v>
      </c>
      <c r="P4052" s="10" t="s">
        <v>31</v>
      </c>
      <c r="Q4052" s="10" t="s">
        <v>31</v>
      </c>
      <c r="R4052" s="10" t="s">
        <v>4236</v>
      </c>
      <c r="S4052" s="12" t="s">
        <v>31</v>
      </c>
      <c r="T4052" s="10" t="s">
        <v>66</v>
      </c>
      <c r="U4052" s="12" t="s">
        <v>31</v>
      </c>
      <c r="V4052" s="10" t="s">
        <v>583</v>
      </c>
      <c r="W4052" s="10" t="s">
        <v>25454</v>
      </c>
      <c r="X4052" s="13" t="str">
        <f>HYPERLINK("https://my.pitchbook.com?p=178304-23P","View People Online")</f>
        <v>View People Online</v>
      </c>
    </row>
    <row r="4053">
      <c r="A4053" s="6" t="s">
        <v>25455</v>
      </c>
      <c r="B4053" s="6" t="s">
        <v>25456</v>
      </c>
      <c r="C4053" s="6" t="s">
        <v>823</v>
      </c>
      <c r="D4053" s="6" t="s">
        <v>5186</v>
      </c>
      <c r="E4053" s="6" t="s">
        <v>25450</v>
      </c>
      <c r="F4053" s="6" t="s">
        <v>548</v>
      </c>
      <c r="G4053" s="6" t="s">
        <v>25457</v>
      </c>
      <c r="H4053" s="7">
        <v>1.0</v>
      </c>
      <c r="I4053" s="7">
        <v>10.0</v>
      </c>
      <c r="J4053" s="7">
        <v>2.0</v>
      </c>
      <c r="K4053" s="7">
        <v>7.0</v>
      </c>
      <c r="L4053" s="8" t="s">
        <v>31</v>
      </c>
      <c r="M4053" s="6" t="s">
        <v>25458</v>
      </c>
      <c r="N4053" s="6" t="s">
        <v>31</v>
      </c>
      <c r="O4053" s="8" t="s">
        <v>25459</v>
      </c>
      <c r="P4053" s="6" t="s">
        <v>31</v>
      </c>
      <c r="Q4053" s="6" t="s">
        <v>31</v>
      </c>
      <c r="R4053" s="6" t="s">
        <v>64</v>
      </c>
      <c r="S4053" s="8" t="s">
        <v>31</v>
      </c>
      <c r="T4053" s="6" t="s">
        <v>66</v>
      </c>
      <c r="U4053" s="8" t="s">
        <v>31</v>
      </c>
      <c r="V4053" s="6" t="s">
        <v>25460</v>
      </c>
      <c r="W4053" s="6" t="s">
        <v>25450</v>
      </c>
      <c r="X4053" s="9" t="str">
        <f>HYPERLINK("https://my.pitchbook.com?p=309909-07P","View People Online")</f>
        <v>View People Online</v>
      </c>
    </row>
    <row r="4054">
      <c r="A4054" s="10" t="s">
        <v>25461</v>
      </c>
      <c r="B4054" s="10" t="s">
        <v>25462</v>
      </c>
      <c r="C4054" s="10" t="s">
        <v>25463</v>
      </c>
      <c r="D4054" s="10" t="s">
        <v>25464</v>
      </c>
      <c r="E4054" s="10" t="s">
        <v>25450</v>
      </c>
      <c r="F4054" s="10" t="s">
        <v>2033</v>
      </c>
      <c r="G4054" s="10" t="s">
        <v>25465</v>
      </c>
      <c r="H4054" s="11" t="s">
        <v>31</v>
      </c>
      <c r="I4054" s="11">
        <v>1.0</v>
      </c>
      <c r="J4054" s="11">
        <v>1.0</v>
      </c>
      <c r="K4054" s="11" t="s">
        <v>31</v>
      </c>
      <c r="L4054" s="12" t="s">
        <v>31</v>
      </c>
      <c r="M4054" s="10" t="s">
        <v>25466</v>
      </c>
      <c r="N4054" s="10" t="s">
        <v>4232</v>
      </c>
      <c r="O4054" s="12" t="s">
        <v>4233</v>
      </c>
      <c r="P4054" s="10" t="s">
        <v>25467</v>
      </c>
      <c r="Q4054" s="10" t="s">
        <v>25468</v>
      </c>
      <c r="R4054" s="10" t="s">
        <v>4236</v>
      </c>
      <c r="S4054" s="12" t="s">
        <v>13212</v>
      </c>
      <c r="T4054" s="10" t="s">
        <v>66</v>
      </c>
      <c r="U4054" s="12" t="s">
        <v>31</v>
      </c>
      <c r="V4054" s="10" t="s">
        <v>25469</v>
      </c>
      <c r="W4054" s="10" t="s">
        <v>25450</v>
      </c>
      <c r="X4054" s="13" t="str">
        <f>HYPERLINK("https://my.pitchbook.com?p=441357-76P","View People Online")</f>
        <v>View People Online</v>
      </c>
    </row>
    <row r="4055">
      <c r="A4055" s="6" t="s">
        <v>25470</v>
      </c>
      <c r="B4055" s="6" t="s">
        <v>25471</v>
      </c>
      <c r="C4055" s="6" t="s">
        <v>25472</v>
      </c>
      <c r="D4055" s="6" t="s">
        <v>25473</v>
      </c>
      <c r="E4055" s="6" t="s">
        <v>25450</v>
      </c>
      <c r="F4055" s="6" t="s">
        <v>502</v>
      </c>
      <c r="G4055" s="6" t="s">
        <v>25474</v>
      </c>
      <c r="H4055" s="7" t="s">
        <v>31</v>
      </c>
      <c r="I4055" s="7">
        <v>1.0</v>
      </c>
      <c r="J4055" s="7">
        <v>1.0</v>
      </c>
      <c r="K4055" s="7" t="s">
        <v>31</v>
      </c>
      <c r="L4055" s="8" t="s">
        <v>25475</v>
      </c>
      <c r="M4055" s="6" t="s">
        <v>25476</v>
      </c>
      <c r="N4055" s="6" t="s">
        <v>4232</v>
      </c>
      <c r="O4055" s="8" t="s">
        <v>4233</v>
      </c>
      <c r="P4055" s="6" t="s">
        <v>25467</v>
      </c>
      <c r="Q4055" s="6" t="s">
        <v>25468</v>
      </c>
      <c r="R4055" s="6" t="s">
        <v>4236</v>
      </c>
      <c r="S4055" s="8" t="s">
        <v>13212</v>
      </c>
      <c r="T4055" s="6" t="s">
        <v>66</v>
      </c>
      <c r="U4055" s="8" t="s">
        <v>31</v>
      </c>
      <c r="V4055" s="6" t="s">
        <v>502</v>
      </c>
      <c r="W4055" s="6" t="s">
        <v>25450</v>
      </c>
      <c r="X4055" s="9" t="str">
        <f>HYPERLINK("https://my.pitchbook.com?p=278836-21P","View People Online")</f>
        <v>View People Online</v>
      </c>
    </row>
    <row r="4056">
      <c r="A4056" s="10" t="s">
        <v>25477</v>
      </c>
      <c r="B4056" s="10" t="s">
        <v>25478</v>
      </c>
      <c r="C4056" s="10" t="s">
        <v>5099</v>
      </c>
      <c r="D4056" s="10" t="s">
        <v>25479</v>
      </c>
      <c r="E4056" s="10" t="s">
        <v>25450</v>
      </c>
      <c r="F4056" s="10" t="s">
        <v>4406</v>
      </c>
      <c r="G4056" s="10" t="s">
        <v>25480</v>
      </c>
      <c r="H4056" s="11" t="s">
        <v>31</v>
      </c>
      <c r="I4056" s="11">
        <v>1.0</v>
      </c>
      <c r="J4056" s="11">
        <v>1.0</v>
      </c>
      <c r="K4056" s="11" t="s">
        <v>31</v>
      </c>
      <c r="L4056" s="12" t="s">
        <v>31</v>
      </c>
      <c r="M4056" s="10" t="s">
        <v>25481</v>
      </c>
      <c r="N4056" s="10" t="s">
        <v>31</v>
      </c>
      <c r="O4056" s="12" t="s">
        <v>25459</v>
      </c>
      <c r="P4056" s="10" t="s">
        <v>31</v>
      </c>
      <c r="Q4056" s="10" t="s">
        <v>31</v>
      </c>
      <c r="R4056" s="10" t="s">
        <v>64</v>
      </c>
      <c r="S4056" s="12" t="s">
        <v>31</v>
      </c>
      <c r="T4056" s="10" t="s">
        <v>66</v>
      </c>
      <c r="U4056" s="12" t="s">
        <v>31</v>
      </c>
      <c r="V4056" s="10" t="s">
        <v>4406</v>
      </c>
      <c r="W4056" s="10" t="s">
        <v>25450</v>
      </c>
      <c r="X4056" s="13" t="str">
        <f>HYPERLINK("https://my.pitchbook.com?p=155569-06P","View People Online")</f>
        <v>View People Online</v>
      </c>
    </row>
    <row r="4057">
      <c r="A4057" s="14" t="s">
        <v>25482</v>
      </c>
      <c r="B4057" s="14" t="s">
        <v>25483</v>
      </c>
      <c r="C4057" s="14" t="s">
        <v>5113</v>
      </c>
      <c r="D4057" s="14" t="s">
        <v>25484</v>
      </c>
      <c r="E4057" s="14" t="s">
        <v>25450</v>
      </c>
      <c r="F4057" s="14" t="s">
        <v>3710</v>
      </c>
      <c r="G4057" s="14" t="s">
        <v>25485</v>
      </c>
      <c r="H4057" s="15" t="s">
        <v>31</v>
      </c>
      <c r="I4057" s="15">
        <v>1.0</v>
      </c>
      <c r="J4057" s="15">
        <v>1.0</v>
      </c>
      <c r="K4057" s="15" t="s">
        <v>31</v>
      </c>
      <c r="L4057" s="16" t="s">
        <v>31</v>
      </c>
      <c r="M4057" s="14" t="s">
        <v>25486</v>
      </c>
      <c r="N4057" s="14" t="s">
        <v>31</v>
      </c>
      <c r="O4057" s="16" t="s">
        <v>25459</v>
      </c>
      <c r="P4057" s="14" t="s">
        <v>31</v>
      </c>
      <c r="Q4057" s="14" t="s">
        <v>31</v>
      </c>
      <c r="R4057" s="14" t="s">
        <v>64</v>
      </c>
      <c r="S4057" s="16" t="s">
        <v>31</v>
      </c>
      <c r="T4057" s="14" t="s">
        <v>66</v>
      </c>
      <c r="U4057" s="16" t="s">
        <v>31</v>
      </c>
      <c r="V4057" s="14" t="s">
        <v>3710</v>
      </c>
      <c r="W4057" s="14" t="s">
        <v>25450</v>
      </c>
      <c r="X4057" s="17" t="str">
        <f>HYPERLINK("https://my.pitchbook.com?p=303744-34P","View People Online")</f>
        <v>View People Online</v>
      </c>
    </row>
    <row r="4058">
      <c r="A4058" s="10" t="s">
        <v>25487</v>
      </c>
      <c r="B4058" s="10" t="s">
        <v>25488</v>
      </c>
      <c r="C4058" s="10" t="s">
        <v>5113</v>
      </c>
      <c r="D4058" s="10" t="s">
        <v>25489</v>
      </c>
      <c r="E4058" s="10" t="s">
        <v>25450</v>
      </c>
      <c r="F4058" s="10" t="s">
        <v>270</v>
      </c>
      <c r="G4058" s="10" t="s">
        <v>25490</v>
      </c>
      <c r="H4058" s="11" t="s">
        <v>31</v>
      </c>
      <c r="I4058" s="11">
        <v>1.0</v>
      </c>
      <c r="J4058" s="11">
        <v>1.0</v>
      </c>
      <c r="K4058" s="11" t="s">
        <v>31</v>
      </c>
      <c r="L4058" s="12" t="s">
        <v>31</v>
      </c>
      <c r="M4058" s="10" t="s">
        <v>25491</v>
      </c>
      <c r="N4058" s="10" t="s">
        <v>4232</v>
      </c>
      <c r="O4058" s="12" t="s">
        <v>4233</v>
      </c>
      <c r="P4058" s="10" t="s">
        <v>25467</v>
      </c>
      <c r="Q4058" s="10" t="s">
        <v>25468</v>
      </c>
      <c r="R4058" s="10" t="s">
        <v>4236</v>
      </c>
      <c r="S4058" s="12" t="s">
        <v>13212</v>
      </c>
      <c r="T4058" s="10" t="s">
        <v>66</v>
      </c>
      <c r="U4058" s="12" t="s">
        <v>31</v>
      </c>
      <c r="V4058" s="10" t="s">
        <v>25492</v>
      </c>
      <c r="W4058" s="10" t="s">
        <v>25450</v>
      </c>
      <c r="X4058" s="13" t="str">
        <f>HYPERLINK("https://my.pitchbook.com?p=74224-72P","View People Online")</f>
        <v>View People Online</v>
      </c>
    </row>
    <row r="4059">
      <c r="A4059" s="6" t="s">
        <v>25493</v>
      </c>
      <c r="B4059" s="6" t="s">
        <v>25494</v>
      </c>
      <c r="C4059" s="6" t="s">
        <v>19030</v>
      </c>
      <c r="D4059" s="6" t="s">
        <v>25495</v>
      </c>
      <c r="E4059" s="6" t="s">
        <v>25450</v>
      </c>
      <c r="F4059" s="6" t="s">
        <v>1167</v>
      </c>
      <c r="G4059" s="6" t="s">
        <v>25496</v>
      </c>
      <c r="H4059" s="7" t="s">
        <v>31</v>
      </c>
      <c r="I4059" s="7">
        <v>2.0</v>
      </c>
      <c r="J4059" s="7">
        <v>1.0</v>
      </c>
      <c r="K4059" s="7">
        <v>1.0</v>
      </c>
      <c r="L4059" s="8" t="s">
        <v>31</v>
      </c>
      <c r="M4059" s="6" t="s">
        <v>25497</v>
      </c>
      <c r="N4059" s="6" t="s">
        <v>31</v>
      </c>
      <c r="O4059" s="8" t="s">
        <v>25459</v>
      </c>
      <c r="P4059" s="6" t="s">
        <v>31</v>
      </c>
      <c r="Q4059" s="6" t="s">
        <v>31</v>
      </c>
      <c r="R4059" s="6" t="s">
        <v>64</v>
      </c>
      <c r="S4059" s="8" t="s">
        <v>31</v>
      </c>
      <c r="T4059" s="6" t="s">
        <v>66</v>
      </c>
      <c r="U4059" s="8" t="s">
        <v>31</v>
      </c>
      <c r="V4059" s="6" t="s">
        <v>25498</v>
      </c>
      <c r="W4059" s="6" t="s">
        <v>25450</v>
      </c>
      <c r="X4059" s="9" t="str">
        <f>HYPERLINK("https://my.pitchbook.com?p=259574-32P","View People Online")</f>
        <v>View People Online</v>
      </c>
    </row>
    <row r="4060">
      <c r="A4060" s="10" t="s">
        <v>25499</v>
      </c>
      <c r="B4060" s="10" t="s">
        <v>25500</v>
      </c>
      <c r="C4060" s="10" t="s">
        <v>3554</v>
      </c>
      <c r="D4060" s="10" t="s">
        <v>15726</v>
      </c>
      <c r="E4060" s="10" t="s">
        <v>25450</v>
      </c>
      <c r="F4060" s="10" t="s">
        <v>25501</v>
      </c>
      <c r="G4060" s="10" t="s">
        <v>25502</v>
      </c>
      <c r="H4060" s="11" t="s">
        <v>31</v>
      </c>
      <c r="I4060" s="11">
        <v>1.0</v>
      </c>
      <c r="J4060" s="11">
        <v>1.0</v>
      </c>
      <c r="K4060" s="11" t="s">
        <v>31</v>
      </c>
      <c r="L4060" s="12" t="s">
        <v>31</v>
      </c>
      <c r="M4060" s="10" t="s">
        <v>25503</v>
      </c>
      <c r="N4060" s="10" t="s">
        <v>31</v>
      </c>
      <c r="O4060" s="12" t="s">
        <v>25459</v>
      </c>
      <c r="P4060" s="10" t="s">
        <v>31</v>
      </c>
      <c r="Q4060" s="10" t="s">
        <v>31</v>
      </c>
      <c r="R4060" s="10" t="s">
        <v>64</v>
      </c>
      <c r="S4060" s="12" t="s">
        <v>31</v>
      </c>
      <c r="T4060" s="10" t="s">
        <v>66</v>
      </c>
      <c r="U4060" s="12" t="s">
        <v>31</v>
      </c>
      <c r="V4060" s="10" t="s">
        <v>25501</v>
      </c>
      <c r="W4060" s="10" t="s">
        <v>25450</v>
      </c>
      <c r="X4060" s="13" t="str">
        <f>HYPERLINK("https://my.pitchbook.com?p=107718-31P","View People Online")</f>
        <v>View People Online</v>
      </c>
    </row>
    <row r="4061">
      <c r="A4061" s="6" t="s">
        <v>25504</v>
      </c>
      <c r="B4061" s="6" t="s">
        <v>25505</v>
      </c>
      <c r="C4061" s="6" t="s">
        <v>25506</v>
      </c>
      <c r="D4061" s="6" t="s">
        <v>1490</v>
      </c>
      <c r="E4061" s="6" t="s">
        <v>25450</v>
      </c>
      <c r="F4061" s="6" t="s">
        <v>270</v>
      </c>
      <c r="G4061" s="6" t="s">
        <v>25507</v>
      </c>
      <c r="H4061" s="7" t="s">
        <v>31</v>
      </c>
      <c r="I4061" s="7">
        <v>1.0</v>
      </c>
      <c r="J4061" s="7">
        <v>1.0</v>
      </c>
      <c r="K4061" s="7" t="s">
        <v>31</v>
      </c>
      <c r="L4061" s="8" t="s">
        <v>25508</v>
      </c>
      <c r="M4061" s="6" t="s">
        <v>25509</v>
      </c>
      <c r="N4061" s="6" t="s">
        <v>4232</v>
      </c>
      <c r="O4061" s="8" t="s">
        <v>4233</v>
      </c>
      <c r="P4061" s="6" t="s">
        <v>25467</v>
      </c>
      <c r="Q4061" s="6" t="s">
        <v>25468</v>
      </c>
      <c r="R4061" s="6" t="s">
        <v>4236</v>
      </c>
      <c r="S4061" s="8" t="s">
        <v>13212</v>
      </c>
      <c r="T4061" s="6" t="s">
        <v>66</v>
      </c>
      <c r="U4061" s="8" t="s">
        <v>25510</v>
      </c>
      <c r="V4061" s="6" t="s">
        <v>25511</v>
      </c>
      <c r="W4061" s="6" t="s">
        <v>25450</v>
      </c>
      <c r="X4061" s="9" t="str">
        <f>HYPERLINK("https://my.pitchbook.com?p=285780-34P","View People Online")</f>
        <v>View People Online</v>
      </c>
    </row>
    <row r="4062">
      <c r="A4062" s="10" t="s">
        <v>25512</v>
      </c>
      <c r="B4062" s="10" t="s">
        <v>25513</v>
      </c>
      <c r="C4062" s="10" t="s">
        <v>25514</v>
      </c>
      <c r="D4062" s="10" t="s">
        <v>25515</v>
      </c>
      <c r="E4062" s="10" t="s">
        <v>25450</v>
      </c>
      <c r="F4062" s="10" t="s">
        <v>3823</v>
      </c>
      <c r="G4062" s="10" t="s">
        <v>25516</v>
      </c>
      <c r="H4062" s="11">
        <v>1.0</v>
      </c>
      <c r="I4062" s="11">
        <v>3.0</v>
      </c>
      <c r="J4062" s="11">
        <v>2.0</v>
      </c>
      <c r="K4062" s="11" t="s">
        <v>31</v>
      </c>
      <c r="L4062" s="12" t="s">
        <v>25452</v>
      </c>
      <c r="M4062" s="10" t="s">
        <v>25517</v>
      </c>
      <c r="N4062" s="10" t="s">
        <v>4232</v>
      </c>
      <c r="O4062" s="12" t="s">
        <v>4233</v>
      </c>
      <c r="P4062" s="10" t="s">
        <v>31</v>
      </c>
      <c r="Q4062" s="10" t="s">
        <v>31</v>
      </c>
      <c r="R4062" s="10" t="s">
        <v>4236</v>
      </c>
      <c r="S4062" s="12" t="s">
        <v>31</v>
      </c>
      <c r="T4062" s="10" t="s">
        <v>66</v>
      </c>
      <c r="U4062" s="12" t="s">
        <v>31</v>
      </c>
      <c r="V4062" s="10" t="s">
        <v>25518</v>
      </c>
      <c r="W4062" s="10" t="s">
        <v>25454</v>
      </c>
      <c r="X4062" s="13" t="str">
        <f>HYPERLINK("https://my.pitchbook.com?p=312402-34P","View People Online")</f>
        <v>View People Online</v>
      </c>
    </row>
    <row r="4063">
      <c r="A4063" s="14" t="s">
        <v>25519</v>
      </c>
      <c r="B4063" s="14" t="s">
        <v>25520</v>
      </c>
      <c r="C4063" s="14" t="s">
        <v>25521</v>
      </c>
      <c r="D4063" s="14" t="s">
        <v>25522</v>
      </c>
      <c r="E4063" s="14" t="s">
        <v>25450</v>
      </c>
      <c r="F4063" s="14" t="s">
        <v>548</v>
      </c>
      <c r="G4063" s="14" t="s">
        <v>25523</v>
      </c>
      <c r="H4063" s="15" t="s">
        <v>31</v>
      </c>
      <c r="I4063" s="15">
        <v>2.0</v>
      </c>
      <c r="J4063" s="15">
        <v>2.0</v>
      </c>
      <c r="K4063" s="15" t="s">
        <v>31</v>
      </c>
      <c r="L4063" s="16" t="s">
        <v>31</v>
      </c>
      <c r="M4063" s="14" t="s">
        <v>25524</v>
      </c>
      <c r="N4063" s="14" t="s">
        <v>4232</v>
      </c>
      <c r="O4063" s="16" t="s">
        <v>4233</v>
      </c>
      <c r="P4063" s="14" t="s">
        <v>25467</v>
      </c>
      <c r="Q4063" s="14" t="s">
        <v>25468</v>
      </c>
      <c r="R4063" s="14" t="s">
        <v>4236</v>
      </c>
      <c r="S4063" s="16" t="s">
        <v>13212</v>
      </c>
      <c r="T4063" s="14" t="s">
        <v>66</v>
      </c>
      <c r="U4063" s="16" t="s">
        <v>31</v>
      </c>
      <c r="V4063" s="14" t="s">
        <v>25460</v>
      </c>
      <c r="W4063" s="14" t="s">
        <v>25450</v>
      </c>
      <c r="X4063" s="17" t="str">
        <f>HYPERLINK("https://my.pitchbook.com?p=384523-39P","View People Online")</f>
        <v>View People Online</v>
      </c>
    </row>
    <row r="4064">
      <c r="A4064" s="2" t="s">
        <v>25525</v>
      </c>
      <c r="B4064" s="2" t="s">
        <v>25526</v>
      </c>
      <c r="C4064" s="2" t="s">
        <v>1388</v>
      </c>
      <c r="D4064" s="2" t="s">
        <v>25527</v>
      </c>
      <c r="E4064" s="2" t="s">
        <v>25450</v>
      </c>
      <c r="F4064" s="2" t="s">
        <v>5065</v>
      </c>
      <c r="G4064" s="2" t="s">
        <v>25528</v>
      </c>
      <c r="H4064" s="3" t="s">
        <v>31</v>
      </c>
      <c r="I4064" s="3">
        <v>1.0</v>
      </c>
      <c r="J4064" s="3">
        <v>1.0</v>
      </c>
      <c r="K4064" s="3" t="s">
        <v>31</v>
      </c>
      <c r="L4064" s="4" t="s">
        <v>31</v>
      </c>
      <c r="M4064" s="2" t="s">
        <v>25529</v>
      </c>
      <c r="N4064" s="2" t="s">
        <v>31</v>
      </c>
      <c r="O4064" s="4" t="s">
        <v>25459</v>
      </c>
      <c r="P4064" s="2" t="s">
        <v>31</v>
      </c>
      <c r="Q4064" s="2" t="s">
        <v>31</v>
      </c>
      <c r="R4064" s="2" t="s">
        <v>64</v>
      </c>
      <c r="S4064" s="4" t="s">
        <v>31</v>
      </c>
      <c r="T4064" s="2" t="s">
        <v>66</v>
      </c>
      <c r="U4064" s="4" t="s">
        <v>31</v>
      </c>
      <c r="V4064" s="2" t="s">
        <v>25530</v>
      </c>
      <c r="W4064" s="2" t="s">
        <v>25450</v>
      </c>
      <c r="X4064" s="5" t="str">
        <f>HYPERLINK("https://my.pitchbook.com?p=278835-85P","View People Online")</f>
        <v>View People Online</v>
      </c>
    </row>
    <row r="4065">
      <c r="A4065" s="6" t="s">
        <v>25531</v>
      </c>
      <c r="B4065" s="6" t="s">
        <v>25532</v>
      </c>
      <c r="C4065" s="6" t="s">
        <v>25533</v>
      </c>
      <c r="D4065" s="6" t="s">
        <v>25534</v>
      </c>
      <c r="E4065" s="6" t="s">
        <v>25535</v>
      </c>
      <c r="F4065" s="6" t="s">
        <v>29</v>
      </c>
      <c r="G4065" s="6" t="s">
        <v>25536</v>
      </c>
      <c r="H4065" s="7" t="s">
        <v>31</v>
      </c>
      <c r="I4065" s="7">
        <v>4.0</v>
      </c>
      <c r="J4065" s="7">
        <v>1.0</v>
      </c>
      <c r="K4065" s="7" t="s">
        <v>31</v>
      </c>
      <c r="L4065" s="8" t="s">
        <v>31</v>
      </c>
      <c r="M4065" s="6" t="s">
        <v>25537</v>
      </c>
      <c r="N4065" s="6" t="s">
        <v>155</v>
      </c>
      <c r="O4065" s="8" t="s">
        <v>156</v>
      </c>
      <c r="P4065" s="6" t="s">
        <v>25538</v>
      </c>
      <c r="Q4065" s="6" t="s">
        <v>31</v>
      </c>
      <c r="R4065" s="6" t="s">
        <v>64</v>
      </c>
      <c r="S4065" s="8" t="s">
        <v>1549</v>
      </c>
      <c r="T4065" s="6" t="s">
        <v>66</v>
      </c>
      <c r="U4065" s="8" t="s">
        <v>31</v>
      </c>
      <c r="V4065" s="6" t="s">
        <v>29</v>
      </c>
      <c r="W4065" s="6" t="s">
        <v>25535</v>
      </c>
      <c r="X4065" s="9" t="str">
        <f>HYPERLINK("https://my.pitchbook.com?p=52864-57P","View People Online")</f>
        <v>View People Online</v>
      </c>
    </row>
    <row r="4066">
      <c r="A4066" s="10" t="s">
        <v>25539</v>
      </c>
      <c r="B4066" s="10" t="s">
        <v>25540</v>
      </c>
      <c r="C4066" s="10" t="s">
        <v>4739</v>
      </c>
      <c r="D4066" s="10" t="s">
        <v>25541</v>
      </c>
      <c r="E4066" s="10" t="s">
        <v>25535</v>
      </c>
      <c r="F4066" s="10" t="s">
        <v>29</v>
      </c>
      <c r="G4066" s="10" t="s">
        <v>25542</v>
      </c>
      <c r="H4066" s="11">
        <v>1.0</v>
      </c>
      <c r="I4066" s="11">
        <v>10.0</v>
      </c>
      <c r="J4066" s="11">
        <v>1.0</v>
      </c>
      <c r="K4066" s="11">
        <v>6.0</v>
      </c>
      <c r="L4066" s="12" t="s">
        <v>25543</v>
      </c>
      <c r="M4066" s="10" t="s">
        <v>25544</v>
      </c>
      <c r="N4066" s="10" t="s">
        <v>1181</v>
      </c>
      <c r="O4066" s="12" t="s">
        <v>1182</v>
      </c>
      <c r="P4066" s="10" t="s">
        <v>6738</v>
      </c>
      <c r="Q4066" s="10" t="s">
        <v>31</v>
      </c>
      <c r="R4066" s="10" t="s">
        <v>1185</v>
      </c>
      <c r="S4066" s="12" t="s">
        <v>31</v>
      </c>
      <c r="T4066" s="10" t="s">
        <v>66</v>
      </c>
      <c r="U4066" s="12" t="s">
        <v>31</v>
      </c>
      <c r="V4066" s="10" t="s">
        <v>29</v>
      </c>
      <c r="W4066" s="10" t="s">
        <v>25535</v>
      </c>
      <c r="X4066" s="13" t="str">
        <f>HYPERLINK("https://my.pitchbook.com?p=202753-36P","View People Online")</f>
        <v>View People Online</v>
      </c>
    </row>
    <row r="4067">
      <c r="A4067" s="14" t="s">
        <v>25545</v>
      </c>
      <c r="B4067" s="14" t="s">
        <v>25546</v>
      </c>
      <c r="C4067" s="14" t="s">
        <v>2149</v>
      </c>
      <c r="D4067" s="14" t="s">
        <v>25547</v>
      </c>
      <c r="E4067" s="14" t="s">
        <v>25535</v>
      </c>
      <c r="F4067" s="14" t="s">
        <v>86</v>
      </c>
      <c r="G4067" s="14" t="s">
        <v>25548</v>
      </c>
      <c r="H4067" s="15">
        <v>6.0</v>
      </c>
      <c r="I4067" s="15">
        <v>40.0</v>
      </c>
      <c r="J4067" s="15">
        <v>1.0</v>
      </c>
      <c r="K4067" s="15">
        <v>26.0</v>
      </c>
      <c r="L4067" s="16" t="s">
        <v>31</v>
      </c>
      <c r="M4067" s="14" t="s">
        <v>31</v>
      </c>
      <c r="N4067" s="14" t="s">
        <v>1181</v>
      </c>
      <c r="O4067" s="16" t="s">
        <v>1182</v>
      </c>
      <c r="P4067" s="14" t="s">
        <v>6738</v>
      </c>
      <c r="Q4067" s="14" t="s">
        <v>31</v>
      </c>
      <c r="R4067" s="14" t="s">
        <v>1185</v>
      </c>
      <c r="S4067" s="16" t="s">
        <v>31</v>
      </c>
      <c r="T4067" s="14" t="s">
        <v>66</v>
      </c>
      <c r="U4067" s="16" t="s">
        <v>31</v>
      </c>
      <c r="V4067" s="14" t="s">
        <v>95</v>
      </c>
      <c r="W4067" s="14" t="s">
        <v>25535</v>
      </c>
      <c r="X4067" s="17" t="str">
        <f>HYPERLINK("https://my.pitchbook.com?p=38919-34P","View People Online")</f>
        <v>View People Online</v>
      </c>
    </row>
    <row r="4068">
      <c r="A4068" s="2" t="s">
        <v>25549</v>
      </c>
      <c r="B4068" s="2" t="s">
        <v>25550</v>
      </c>
      <c r="C4068" s="2" t="s">
        <v>4465</v>
      </c>
      <c r="D4068" s="2" t="s">
        <v>25551</v>
      </c>
      <c r="E4068" s="2" t="s">
        <v>25535</v>
      </c>
      <c r="F4068" s="2" t="s">
        <v>318</v>
      </c>
      <c r="G4068" s="2" t="s">
        <v>25552</v>
      </c>
      <c r="H4068" s="3">
        <v>2.0</v>
      </c>
      <c r="I4068" s="3">
        <v>5.0</v>
      </c>
      <c r="J4068" s="3">
        <v>1.0</v>
      </c>
      <c r="K4068" s="3">
        <v>1.0</v>
      </c>
      <c r="L4068" s="4" t="s">
        <v>31</v>
      </c>
      <c r="M4068" s="2" t="s">
        <v>25553</v>
      </c>
      <c r="N4068" s="2" t="s">
        <v>1181</v>
      </c>
      <c r="O4068" s="4" t="s">
        <v>1182</v>
      </c>
      <c r="P4068" s="2" t="s">
        <v>6738</v>
      </c>
      <c r="Q4068" s="2" t="s">
        <v>31</v>
      </c>
      <c r="R4068" s="2" t="s">
        <v>1185</v>
      </c>
      <c r="S4068" s="4" t="s">
        <v>31</v>
      </c>
      <c r="T4068" s="2" t="s">
        <v>66</v>
      </c>
      <c r="U4068" s="4" t="s">
        <v>31</v>
      </c>
      <c r="V4068" s="2" t="s">
        <v>318</v>
      </c>
      <c r="W4068" s="2" t="s">
        <v>25535</v>
      </c>
      <c r="X4068" s="5" t="str">
        <f>HYPERLINK("https://my.pitchbook.com?p=263519-02P","View People Online")</f>
        <v>View People Online</v>
      </c>
    </row>
    <row r="4069">
      <c r="A4069" s="14" t="s">
        <v>25554</v>
      </c>
      <c r="B4069" s="14" t="s">
        <v>25555</v>
      </c>
      <c r="C4069" s="14" t="s">
        <v>25556</v>
      </c>
      <c r="D4069" s="14" t="s">
        <v>25557</v>
      </c>
      <c r="E4069" s="14" t="s">
        <v>25535</v>
      </c>
      <c r="F4069" s="14" t="s">
        <v>114</v>
      </c>
      <c r="G4069" s="14" t="s">
        <v>25558</v>
      </c>
      <c r="H4069" s="15" t="s">
        <v>31</v>
      </c>
      <c r="I4069" s="15">
        <v>8.0</v>
      </c>
      <c r="J4069" s="15">
        <v>1.0</v>
      </c>
      <c r="K4069" s="15">
        <v>4.0</v>
      </c>
      <c r="L4069" s="16" t="s">
        <v>31</v>
      </c>
      <c r="M4069" s="14" t="s">
        <v>25559</v>
      </c>
      <c r="N4069" s="14" t="s">
        <v>1181</v>
      </c>
      <c r="O4069" s="16" t="s">
        <v>1182</v>
      </c>
      <c r="P4069" s="14" t="s">
        <v>6738</v>
      </c>
      <c r="Q4069" s="14" t="s">
        <v>31</v>
      </c>
      <c r="R4069" s="14" t="s">
        <v>1185</v>
      </c>
      <c r="S4069" s="16" t="s">
        <v>31</v>
      </c>
      <c r="T4069" s="14" t="s">
        <v>66</v>
      </c>
      <c r="U4069" s="16" t="s">
        <v>31</v>
      </c>
      <c r="V4069" s="14" t="s">
        <v>114</v>
      </c>
      <c r="W4069" s="14" t="s">
        <v>25535</v>
      </c>
      <c r="X4069" s="17" t="str">
        <f>HYPERLINK("https://my.pitchbook.com?p=35864-65P","View People Online")</f>
        <v>View People Online</v>
      </c>
    </row>
    <row r="4070">
      <c r="A4070" s="10" t="s">
        <v>25560</v>
      </c>
      <c r="B4070" s="10" t="s">
        <v>25561</v>
      </c>
      <c r="C4070" s="10" t="s">
        <v>25562</v>
      </c>
      <c r="D4070" s="10" t="s">
        <v>25563</v>
      </c>
      <c r="E4070" s="10" t="s">
        <v>25535</v>
      </c>
      <c r="F4070" s="10" t="s">
        <v>201</v>
      </c>
      <c r="G4070" s="10" t="s">
        <v>25564</v>
      </c>
      <c r="H4070" s="11" t="s">
        <v>31</v>
      </c>
      <c r="I4070" s="11">
        <v>1.0</v>
      </c>
      <c r="J4070" s="11">
        <v>1.0</v>
      </c>
      <c r="K4070" s="11" t="s">
        <v>31</v>
      </c>
      <c r="L4070" s="12" t="s">
        <v>31</v>
      </c>
      <c r="M4070" s="10" t="s">
        <v>25565</v>
      </c>
      <c r="N4070" s="10" t="s">
        <v>1181</v>
      </c>
      <c r="O4070" s="12" t="s">
        <v>1182</v>
      </c>
      <c r="P4070" s="10" t="s">
        <v>6738</v>
      </c>
      <c r="Q4070" s="10" t="s">
        <v>31</v>
      </c>
      <c r="R4070" s="10" t="s">
        <v>1185</v>
      </c>
      <c r="S4070" s="12" t="s">
        <v>31</v>
      </c>
      <c r="T4070" s="10" t="s">
        <v>66</v>
      </c>
      <c r="U4070" s="12" t="s">
        <v>31</v>
      </c>
      <c r="V4070" s="10" t="s">
        <v>201</v>
      </c>
      <c r="W4070" s="10" t="s">
        <v>25535</v>
      </c>
      <c r="X4070" s="13" t="str">
        <f>HYPERLINK("https://my.pitchbook.com?p=351499-69P","View People Online")</f>
        <v>View People Online</v>
      </c>
    </row>
    <row r="4071">
      <c r="A4071" s="14" t="s">
        <v>25566</v>
      </c>
      <c r="B4071" s="14" t="s">
        <v>25567</v>
      </c>
      <c r="C4071" s="14" t="s">
        <v>1395</v>
      </c>
      <c r="D4071" s="14" t="s">
        <v>25568</v>
      </c>
      <c r="E4071" s="14" t="s">
        <v>25535</v>
      </c>
      <c r="F4071" s="14" t="s">
        <v>86</v>
      </c>
      <c r="G4071" s="14" t="s">
        <v>25569</v>
      </c>
      <c r="H4071" s="15">
        <v>3.0</v>
      </c>
      <c r="I4071" s="15">
        <v>46.0</v>
      </c>
      <c r="J4071" s="15">
        <v>1.0</v>
      </c>
      <c r="K4071" s="15">
        <v>36.0</v>
      </c>
      <c r="L4071" s="16" t="s">
        <v>31</v>
      </c>
      <c r="M4071" s="14" t="s">
        <v>25570</v>
      </c>
      <c r="N4071" s="14" t="s">
        <v>1181</v>
      </c>
      <c r="O4071" s="16" t="s">
        <v>1182</v>
      </c>
      <c r="P4071" s="14" t="s">
        <v>6738</v>
      </c>
      <c r="Q4071" s="14" t="s">
        <v>31</v>
      </c>
      <c r="R4071" s="14" t="s">
        <v>1185</v>
      </c>
      <c r="S4071" s="16" t="s">
        <v>31</v>
      </c>
      <c r="T4071" s="14" t="s">
        <v>66</v>
      </c>
      <c r="U4071" s="16" t="s">
        <v>31</v>
      </c>
      <c r="V4071" s="14" t="s">
        <v>95</v>
      </c>
      <c r="W4071" s="14" t="s">
        <v>25535</v>
      </c>
      <c r="X4071" s="17" t="str">
        <f>HYPERLINK("https://my.pitchbook.com?p=13151-71P","View People Online")</f>
        <v>View People Online</v>
      </c>
    </row>
    <row r="4072">
      <c r="A4072" s="2" t="s">
        <v>25571</v>
      </c>
      <c r="B4072" s="2" t="s">
        <v>25572</v>
      </c>
      <c r="C4072" s="2" t="s">
        <v>186</v>
      </c>
      <c r="D4072" s="2" t="s">
        <v>25573</v>
      </c>
      <c r="E4072" s="2" t="s">
        <v>25574</v>
      </c>
      <c r="F4072" s="2" t="s">
        <v>29</v>
      </c>
      <c r="G4072" s="2" t="s">
        <v>25575</v>
      </c>
      <c r="H4072" s="3">
        <v>2.0</v>
      </c>
      <c r="I4072" s="3">
        <v>5.0</v>
      </c>
      <c r="J4072" s="3">
        <v>1.0</v>
      </c>
      <c r="K4072" s="3">
        <v>1.0</v>
      </c>
      <c r="L4072" s="4" t="s">
        <v>25576</v>
      </c>
      <c r="M4072" s="2" t="s">
        <v>25577</v>
      </c>
      <c r="N4072" s="2" t="s">
        <v>4232</v>
      </c>
      <c r="O4072" s="4" t="s">
        <v>4233</v>
      </c>
      <c r="P4072" s="2" t="s">
        <v>31</v>
      </c>
      <c r="Q4072" s="2" t="s">
        <v>31</v>
      </c>
      <c r="R4072" s="2" t="s">
        <v>4236</v>
      </c>
      <c r="S4072" s="4" t="s">
        <v>11182</v>
      </c>
      <c r="T4072" s="2" t="s">
        <v>66</v>
      </c>
      <c r="U4072" s="4" t="s">
        <v>31</v>
      </c>
      <c r="V4072" s="2" t="s">
        <v>29</v>
      </c>
      <c r="W4072" s="2" t="s">
        <v>25574</v>
      </c>
      <c r="X4072" s="5" t="str">
        <f>HYPERLINK("https://my.pitchbook.com?p=238397-86P","View People Online")</f>
        <v>View People Online</v>
      </c>
    </row>
    <row r="4073">
      <c r="A4073" s="14" t="s">
        <v>25578</v>
      </c>
      <c r="B4073" s="14" t="s">
        <v>25579</v>
      </c>
      <c r="C4073" s="14" t="s">
        <v>4731</v>
      </c>
      <c r="D4073" s="14" t="s">
        <v>25580</v>
      </c>
      <c r="E4073" s="14" t="s">
        <v>25574</v>
      </c>
      <c r="F4073" s="14" t="s">
        <v>25581</v>
      </c>
      <c r="G4073" s="14" t="s">
        <v>25582</v>
      </c>
      <c r="H4073" s="15">
        <v>3.0</v>
      </c>
      <c r="I4073" s="15">
        <v>14.0</v>
      </c>
      <c r="J4073" s="15">
        <v>1.0</v>
      </c>
      <c r="K4073" s="15">
        <v>8.0</v>
      </c>
      <c r="L4073" s="16" t="s">
        <v>25583</v>
      </c>
      <c r="M4073" s="14" t="s">
        <v>25584</v>
      </c>
      <c r="N4073" s="14" t="s">
        <v>4232</v>
      </c>
      <c r="O4073" s="16" t="s">
        <v>4233</v>
      </c>
      <c r="P4073" s="14" t="s">
        <v>31</v>
      </c>
      <c r="Q4073" s="14" t="s">
        <v>31</v>
      </c>
      <c r="R4073" s="14" t="s">
        <v>4236</v>
      </c>
      <c r="S4073" s="16" t="s">
        <v>11182</v>
      </c>
      <c r="T4073" s="14" t="s">
        <v>66</v>
      </c>
      <c r="U4073" s="16" t="s">
        <v>31</v>
      </c>
      <c r="V4073" s="14" t="s">
        <v>108</v>
      </c>
      <c r="W4073" s="14" t="s">
        <v>25574</v>
      </c>
      <c r="X4073" s="17" t="str">
        <f>HYPERLINK("https://my.pitchbook.com?p=28368-10P","View People Online")</f>
        <v>View People Online</v>
      </c>
    </row>
    <row r="4074">
      <c r="A4074" s="2" t="s">
        <v>25585</v>
      </c>
      <c r="B4074" s="2" t="s">
        <v>25586</v>
      </c>
      <c r="C4074" s="2" t="s">
        <v>2221</v>
      </c>
      <c r="D4074" s="2" t="s">
        <v>5603</v>
      </c>
      <c r="E4074" s="2" t="s">
        <v>25574</v>
      </c>
      <c r="F4074" s="2" t="s">
        <v>29</v>
      </c>
      <c r="G4074" s="2" t="s">
        <v>25587</v>
      </c>
      <c r="H4074" s="3" t="s">
        <v>31</v>
      </c>
      <c r="I4074" s="3">
        <v>3.0</v>
      </c>
      <c r="J4074" s="3">
        <v>1.0</v>
      </c>
      <c r="K4074" s="3">
        <v>1.0</v>
      </c>
      <c r="L4074" s="4" t="s">
        <v>25576</v>
      </c>
      <c r="M4074" s="2" t="s">
        <v>25588</v>
      </c>
      <c r="N4074" s="2" t="s">
        <v>4232</v>
      </c>
      <c r="O4074" s="4" t="s">
        <v>4233</v>
      </c>
      <c r="P4074" s="2" t="s">
        <v>31</v>
      </c>
      <c r="Q4074" s="2" t="s">
        <v>31</v>
      </c>
      <c r="R4074" s="2" t="s">
        <v>4236</v>
      </c>
      <c r="S4074" s="4" t="s">
        <v>11182</v>
      </c>
      <c r="T4074" s="2" t="s">
        <v>66</v>
      </c>
      <c r="U4074" s="4" t="s">
        <v>31</v>
      </c>
      <c r="V4074" s="2" t="s">
        <v>29</v>
      </c>
      <c r="W4074" s="2" t="s">
        <v>25574</v>
      </c>
      <c r="X4074" s="5" t="str">
        <f>HYPERLINK("https://my.pitchbook.com?p=344121-67P","View People Online")</f>
        <v>View People Online</v>
      </c>
    </row>
    <row r="4075">
      <c r="A4075" s="14" t="s">
        <v>25589</v>
      </c>
      <c r="B4075" s="14" t="s">
        <v>25590</v>
      </c>
      <c r="C4075" s="14" t="s">
        <v>24993</v>
      </c>
      <c r="D4075" s="14" t="s">
        <v>25591</v>
      </c>
      <c r="E4075" s="14" t="s">
        <v>25574</v>
      </c>
      <c r="F4075" s="14" t="s">
        <v>502</v>
      </c>
      <c r="G4075" s="14" t="s">
        <v>25592</v>
      </c>
      <c r="H4075" s="15" t="s">
        <v>31</v>
      </c>
      <c r="I4075" s="15">
        <v>3.0</v>
      </c>
      <c r="J4075" s="15">
        <v>3.0</v>
      </c>
      <c r="K4075" s="15" t="s">
        <v>31</v>
      </c>
      <c r="L4075" s="16" t="s">
        <v>25593</v>
      </c>
      <c r="M4075" s="14" t="s">
        <v>25594</v>
      </c>
      <c r="N4075" s="14" t="s">
        <v>4232</v>
      </c>
      <c r="O4075" s="16" t="s">
        <v>4233</v>
      </c>
      <c r="P4075" s="14" t="s">
        <v>25595</v>
      </c>
      <c r="Q4075" s="14" t="s">
        <v>31</v>
      </c>
      <c r="R4075" s="14" t="s">
        <v>4236</v>
      </c>
      <c r="S4075" s="16" t="s">
        <v>13212</v>
      </c>
      <c r="T4075" s="14" t="s">
        <v>66</v>
      </c>
      <c r="U4075" s="16" t="s">
        <v>31</v>
      </c>
      <c r="V4075" s="14" t="s">
        <v>502</v>
      </c>
      <c r="W4075" s="14" t="s">
        <v>25596</v>
      </c>
      <c r="X4075" s="17" t="str">
        <f>HYPERLINK("https://my.pitchbook.com?p=191811-52P","View People Online")</f>
        <v>View People Online</v>
      </c>
    </row>
    <row r="4076">
      <c r="A4076" s="2" t="s">
        <v>25597</v>
      </c>
      <c r="B4076" s="2" t="s">
        <v>25598</v>
      </c>
      <c r="C4076" s="2" t="s">
        <v>285</v>
      </c>
      <c r="D4076" s="2" t="s">
        <v>4299</v>
      </c>
      <c r="E4076" s="2" t="s">
        <v>25599</v>
      </c>
      <c r="F4076" s="2" t="s">
        <v>1459</v>
      </c>
      <c r="G4076" s="2" t="s">
        <v>25600</v>
      </c>
      <c r="H4076" s="3" t="s">
        <v>31</v>
      </c>
      <c r="I4076" s="3">
        <v>1.0</v>
      </c>
      <c r="J4076" s="3">
        <v>1.0</v>
      </c>
      <c r="K4076" s="3" t="s">
        <v>31</v>
      </c>
      <c r="L4076" s="4" t="s">
        <v>25601</v>
      </c>
      <c r="M4076" s="2" t="s">
        <v>25602</v>
      </c>
      <c r="N4076" s="2" t="s">
        <v>24443</v>
      </c>
      <c r="O4076" s="4" t="s">
        <v>25603</v>
      </c>
      <c r="P4076" s="2" t="s">
        <v>25604</v>
      </c>
      <c r="Q4076" s="2" t="s">
        <v>31</v>
      </c>
      <c r="R4076" s="2" t="s">
        <v>10017</v>
      </c>
      <c r="S4076" s="4" t="s">
        <v>25605</v>
      </c>
      <c r="T4076" s="2" t="s">
        <v>66</v>
      </c>
      <c r="U4076" s="4" t="s">
        <v>25606</v>
      </c>
      <c r="V4076" s="2" t="s">
        <v>1612</v>
      </c>
      <c r="W4076" s="2" t="s">
        <v>25599</v>
      </c>
      <c r="X4076" s="5" t="str">
        <f>HYPERLINK("https://my.pitchbook.com?p=201377-71P","View People Online")</f>
        <v>View People Online</v>
      </c>
    </row>
    <row r="4077">
      <c r="A4077" s="6" t="s">
        <v>25607</v>
      </c>
      <c r="B4077" s="6" t="s">
        <v>25608</v>
      </c>
      <c r="C4077" s="6" t="s">
        <v>907</v>
      </c>
      <c r="D4077" s="6" t="s">
        <v>25609</v>
      </c>
      <c r="E4077" s="6" t="s">
        <v>25599</v>
      </c>
      <c r="F4077" s="6" t="s">
        <v>5031</v>
      </c>
      <c r="G4077" s="6" t="s">
        <v>25610</v>
      </c>
      <c r="H4077" s="7" t="s">
        <v>31</v>
      </c>
      <c r="I4077" s="7">
        <v>1.0</v>
      </c>
      <c r="J4077" s="7">
        <v>1.0</v>
      </c>
      <c r="K4077" s="7" t="s">
        <v>31</v>
      </c>
      <c r="L4077" s="8" t="s">
        <v>25611</v>
      </c>
      <c r="M4077" s="6" t="s">
        <v>25612</v>
      </c>
      <c r="N4077" s="6" t="s">
        <v>24443</v>
      </c>
      <c r="O4077" s="8" t="s">
        <v>25603</v>
      </c>
      <c r="P4077" s="6" t="s">
        <v>25604</v>
      </c>
      <c r="Q4077" s="6" t="s">
        <v>31</v>
      </c>
      <c r="R4077" s="6" t="s">
        <v>10017</v>
      </c>
      <c r="S4077" s="8" t="s">
        <v>25605</v>
      </c>
      <c r="T4077" s="6" t="s">
        <v>66</v>
      </c>
      <c r="U4077" s="8" t="s">
        <v>25613</v>
      </c>
      <c r="V4077" s="6" t="s">
        <v>25614</v>
      </c>
      <c r="W4077" s="6" t="s">
        <v>25599</v>
      </c>
      <c r="X4077" s="9" t="str">
        <f>HYPERLINK("https://my.pitchbook.com?p=310700-26P","View People Online")</f>
        <v>View People Online</v>
      </c>
    </row>
    <row r="4078">
      <c r="A4078" s="10" t="s">
        <v>25615</v>
      </c>
      <c r="B4078" s="10" t="s">
        <v>25616</v>
      </c>
      <c r="C4078" s="10" t="s">
        <v>934</v>
      </c>
      <c r="D4078" s="10" t="s">
        <v>25617</v>
      </c>
      <c r="E4078" s="10" t="s">
        <v>25599</v>
      </c>
      <c r="F4078" s="10" t="s">
        <v>371</v>
      </c>
      <c r="G4078" s="10" t="s">
        <v>25618</v>
      </c>
      <c r="H4078" s="11" t="s">
        <v>31</v>
      </c>
      <c r="I4078" s="11">
        <v>1.0</v>
      </c>
      <c r="J4078" s="11">
        <v>1.0</v>
      </c>
      <c r="K4078" s="11" t="s">
        <v>31</v>
      </c>
      <c r="L4078" s="12" t="s">
        <v>25601</v>
      </c>
      <c r="M4078" s="10" t="s">
        <v>25619</v>
      </c>
      <c r="N4078" s="10" t="s">
        <v>24443</v>
      </c>
      <c r="O4078" s="12" t="s">
        <v>25603</v>
      </c>
      <c r="P4078" s="10" t="s">
        <v>25604</v>
      </c>
      <c r="Q4078" s="10" t="s">
        <v>31</v>
      </c>
      <c r="R4078" s="10" t="s">
        <v>10017</v>
      </c>
      <c r="S4078" s="12" t="s">
        <v>25605</v>
      </c>
      <c r="T4078" s="10" t="s">
        <v>66</v>
      </c>
      <c r="U4078" s="12" t="s">
        <v>25606</v>
      </c>
      <c r="V4078" s="10" t="s">
        <v>1787</v>
      </c>
      <c r="W4078" s="10" t="s">
        <v>25599</v>
      </c>
      <c r="X4078" s="13" t="str">
        <f>HYPERLINK("https://my.pitchbook.com?p=402253-21P","View People Online")</f>
        <v>View People Online</v>
      </c>
    </row>
    <row r="4079">
      <c r="A4079" s="14" t="s">
        <v>25620</v>
      </c>
      <c r="B4079" s="14" t="s">
        <v>25621</v>
      </c>
      <c r="C4079" s="14" t="s">
        <v>731</v>
      </c>
      <c r="D4079" s="14" t="s">
        <v>25622</v>
      </c>
      <c r="E4079" s="14" t="s">
        <v>25623</v>
      </c>
      <c r="F4079" s="14" t="s">
        <v>29</v>
      </c>
      <c r="G4079" s="14" t="s">
        <v>25624</v>
      </c>
      <c r="H4079" s="15">
        <v>1.0</v>
      </c>
      <c r="I4079" s="15">
        <v>5.0</v>
      </c>
      <c r="J4079" s="15">
        <v>1.0</v>
      </c>
      <c r="K4079" s="15">
        <v>2.0</v>
      </c>
      <c r="L4079" s="16" t="s">
        <v>25625</v>
      </c>
      <c r="M4079" s="14" t="s">
        <v>25626</v>
      </c>
      <c r="N4079" s="14" t="s">
        <v>75</v>
      </c>
      <c r="O4079" s="16" t="s">
        <v>76</v>
      </c>
      <c r="P4079" s="14" t="s">
        <v>31</v>
      </c>
      <c r="Q4079" s="14" t="s">
        <v>31</v>
      </c>
      <c r="R4079" s="14" t="s">
        <v>75</v>
      </c>
      <c r="S4079" s="16" t="s">
        <v>31</v>
      </c>
      <c r="T4079" s="14" t="s">
        <v>66</v>
      </c>
      <c r="U4079" s="16" t="s">
        <v>31</v>
      </c>
      <c r="V4079" s="14" t="s">
        <v>29</v>
      </c>
      <c r="W4079" s="14" t="s">
        <v>25623</v>
      </c>
      <c r="X4079" s="17" t="str">
        <f>HYPERLINK("https://my.pitchbook.com?p=94790-71P","View People Online")</f>
        <v>View People Online</v>
      </c>
    </row>
    <row r="4080">
      <c r="A4080" s="10" t="s">
        <v>25627</v>
      </c>
      <c r="B4080" s="10" t="s">
        <v>25628</v>
      </c>
      <c r="C4080" s="10" t="s">
        <v>581</v>
      </c>
      <c r="D4080" s="10" t="s">
        <v>25629</v>
      </c>
      <c r="E4080" s="10" t="s">
        <v>25623</v>
      </c>
      <c r="F4080" s="10" t="s">
        <v>81</v>
      </c>
      <c r="G4080" s="10" t="s">
        <v>25630</v>
      </c>
      <c r="H4080" s="11" t="s">
        <v>31</v>
      </c>
      <c r="I4080" s="11">
        <v>9.0</v>
      </c>
      <c r="J4080" s="11">
        <v>1.0</v>
      </c>
      <c r="K4080" s="11">
        <v>6.0</v>
      </c>
      <c r="L4080" s="12" t="s">
        <v>25631</v>
      </c>
      <c r="M4080" s="10" t="s">
        <v>25632</v>
      </c>
      <c r="N4080" s="10" t="s">
        <v>6669</v>
      </c>
      <c r="O4080" s="12" t="s">
        <v>6670</v>
      </c>
      <c r="P4080" s="10" t="s">
        <v>25633</v>
      </c>
      <c r="Q4080" s="10" t="s">
        <v>31</v>
      </c>
      <c r="R4080" s="10" t="s">
        <v>1185</v>
      </c>
      <c r="S4080" s="12" t="s">
        <v>6712</v>
      </c>
      <c r="T4080" s="10" t="s">
        <v>66</v>
      </c>
      <c r="U4080" s="12" t="s">
        <v>31</v>
      </c>
      <c r="V4080" s="10" t="s">
        <v>120</v>
      </c>
      <c r="W4080" s="10" t="s">
        <v>25634</v>
      </c>
      <c r="X4080" s="13" t="str">
        <f>HYPERLINK("https://my.pitchbook.com?p=51188-77P","View People Online")</f>
        <v>View People Online</v>
      </c>
    </row>
    <row r="4081">
      <c r="A4081" s="6" t="s">
        <v>25635</v>
      </c>
      <c r="B4081" s="6" t="s">
        <v>25636</v>
      </c>
      <c r="C4081" s="6" t="s">
        <v>1449</v>
      </c>
      <c r="D4081" s="6" t="s">
        <v>25637</v>
      </c>
      <c r="E4081" s="6" t="s">
        <v>25623</v>
      </c>
      <c r="F4081" s="6" t="s">
        <v>81</v>
      </c>
      <c r="G4081" s="6" t="s">
        <v>25638</v>
      </c>
      <c r="H4081" s="7" t="s">
        <v>31</v>
      </c>
      <c r="I4081" s="7">
        <v>1.0</v>
      </c>
      <c r="J4081" s="7" t="s">
        <v>31</v>
      </c>
      <c r="K4081" s="7" t="s">
        <v>31</v>
      </c>
      <c r="L4081" s="8" t="s">
        <v>25625</v>
      </c>
      <c r="M4081" s="6" t="s">
        <v>31</v>
      </c>
      <c r="N4081" s="6" t="s">
        <v>75</v>
      </c>
      <c r="O4081" s="8" t="s">
        <v>76</v>
      </c>
      <c r="P4081" s="6" t="s">
        <v>31</v>
      </c>
      <c r="Q4081" s="6" t="s">
        <v>31</v>
      </c>
      <c r="R4081" s="6" t="s">
        <v>75</v>
      </c>
      <c r="S4081" s="8" t="s">
        <v>31</v>
      </c>
      <c r="T4081" s="6" t="s">
        <v>66</v>
      </c>
      <c r="U4081" s="8" t="s">
        <v>31</v>
      </c>
      <c r="V4081" s="6" t="s">
        <v>31</v>
      </c>
      <c r="W4081" s="6" t="s">
        <v>25639</v>
      </c>
      <c r="X4081" s="9" t="str">
        <f>HYPERLINK("https://my.pitchbook.com?p=338850-64P","View People Online")</f>
        <v>View People Online</v>
      </c>
    </row>
    <row r="4082">
      <c r="A4082" s="10" t="s">
        <v>25640</v>
      </c>
      <c r="B4082" s="10" t="s">
        <v>25641</v>
      </c>
      <c r="C4082" s="10" t="s">
        <v>25642</v>
      </c>
      <c r="D4082" s="10" t="s">
        <v>25643</v>
      </c>
      <c r="E4082" s="10" t="s">
        <v>25623</v>
      </c>
      <c r="F4082" s="10" t="s">
        <v>81</v>
      </c>
      <c r="G4082" s="10" t="s">
        <v>25644</v>
      </c>
      <c r="H4082" s="11">
        <v>3.0</v>
      </c>
      <c r="I4082" s="11">
        <v>5.0</v>
      </c>
      <c r="J4082" s="11" t="s">
        <v>31</v>
      </c>
      <c r="K4082" s="11" t="s">
        <v>31</v>
      </c>
      <c r="L4082" s="12" t="s">
        <v>25645</v>
      </c>
      <c r="M4082" s="10" t="s">
        <v>25646</v>
      </c>
      <c r="N4082" s="10" t="s">
        <v>1348</v>
      </c>
      <c r="O4082" s="12" t="s">
        <v>1349</v>
      </c>
      <c r="P4082" s="10" t="s">
        <v>25647</v>
      </c>
      <c r="Q4082" s="10" t="s">
        <v>6943</v>
      </c>
      <c r="R4082" s="10" t="s">
        <v>1018</v>
      </c>
      <c r="S4082" s="12" t="s">
        <v>25648</v>
      </c>
      <c r="T4082" s="10" t="s">
        <v>1019</v>
      </c>
      <c r="U4082" s="12" t="s">
        <v>25649</v>
      </c>
      <c r="V4082" s="10" t="s">
        <v>81</v>
      </c>
      <c r="W4082" s="10" t="s">
        <v>25650</v>
      </c>
      <c r="X4082" s="13" t="str">
        <f>HYPERLINK("https://my.pitchbook.com?p=66020-23P","View People Online")</f>
        <v>View People Online</v>
      </c>
    </row>
    <row r="4083">
      <c r="A4083" s="6" t="s">
        <v>25651</v>
      </c>
      <c r="B4083" s="6" t="s">
        <v>25652</v>
      </c>
      <c r="C4083" s="6" t="s">
        <v>25653</v>
      </c>
      <c r="D4083" s="6" t="s">
        <v>4332</v>
      </c>
      <c r="E4083" s="6" t="s">
        <v>25623</v>
      </c>
      <c r="F4083" s="6" t="s">
        <v>221</v>
      </c>
      <c r="G4083" s="6" t="s">
        <v>25654</v>
      </c>
      <c r="H4083" s="7" t="s">
        <v>31</v>
      </c>
      <c r="I4083" s="7">
        <v>1.0</v>
      </c>
      <c r="J4083" s="7">
        <v>1.0</v>
      </c>
      <c r="K4083" s="7" t="s">
        <v>31</v>
      </c>
      <c r="L4083" s="8" t="s">
        <v>25625</v>
      </c>
      <c r="M4083" s="6" t="s">
        <v>25655</v>
      </c>
      <c r="N4083" s="6" t="s">
        <v>75</v>
      </c>
      <c r="O4083" s="8" t="s">
        <v>76</v>
      </c>
      <c r="P4083" s="6" t="s">
        <v>31</v>
      </c>
      <c r="Q4083" s="6" t="s">
        <v>31</v>
      </c>
      <c r="R4083" s="6" t="s">
        <v>75</v>
      </c>
      <c r="S4083" s="8" t="s">
        <v>31</v>
      </c>
      <c r="T4083" s="6" t="s">
        <v>66</v>
      </c>
      <c r="U4083" s="8" t="s">
        <v>31</v>
      </c>
      <c r="V4083" s="6" t="s">
        <v>957</v>
      </c>
      <c r="W4083" s="6" t="s">
        <v>25623</v>
      </c>
      <c r="X4083" s="9" t="str">
        <f>HYPERLINK("https://my.pitchbook.com?p=363877-03P","View People Online")</f>
        <v>View People Online</v>
      </c>
    </row>
    <row r="4084">
      <c r="A4084" s="2" t="s">
        <v>25656</v>
      </c>
      <c r="B4084" s="2" t="s">
        <v>25657</v>
      </c>
      <c r="C4084" s="2" t="s">
        <v>25658</v>
      </c>
      <c r="D4084" s="2" t="s">
        <v>25659</v>
      </c>
      <c r="E4084" s="2" t="s">
        <v>25623</v>
      </c>
      <c r="F4084" s="2" t="s">
        <v>221</v>
      </c>
      <c r="G4084" s="2" t="s">
        <v>25660</v>
      </c>
      <c r="H4084" s="3" t="s">
        <v>31</v>
      </c>
      <c r="I4084" s="3">
        <v>1.0</v>
      </c>
      <c r="J4084" s="3">
        <v>1.0</v>
      </c>
      <c r="K4084" s="3" t="s">
        <v>31</v>
      </c>
      <c r="L4084" s="4" t="s">
        <v>25661</v>
      </c>
      <c r="M4084" s="2" t="s">
        <v>25662</v>
      </c>
      <c r="N4084" s="2" t="s">
        <v>75</v>
      </c>
      <c r="O4084" s="4" t="s">
        <v>76</v>
      </c>
      <c r="P4084" s="2" t="s">
        <v>31</v>
      </c>
      <c r="Q4084" s="2" t="s">
        <v>31</v>
      </c>
      <c r="R4084" s="2" t="s">
        <v>75</v>
      </c>
      <c r="S4084" s="4" t="s">
        <v>31</v>
      </c>
      <c r="T4084" s="2" t="s">
        <v>66</v>
      </c>
      <c r="U4084" s="4" t="s">
        <v>31</v>
      </c>
      <c r="V4084" s="2" t="s">
        <v>25663</v>
      </c>
      <c r="W4084" s="2" t="s">
        <v>25623</v>
      </c>
      <c r="X4084" s="5" t="str">
        <f>HYPERLINK("https://my.pitchbook.com?p=305001-37P","View People Online")</f>
        <v>View People Online</v>
      </c>
    </row>
    <row r="4085">
      <c r="A4085" s="14" t="s">
        <v>25664</v>
      </c>
      <c r="B4085" s="14" t="s">
        <v>25665</v>
      </c>
      <c r="C4085" s="14" t="s">
        <v>25666</v>
      </c>
      <c r="D4085" s="14" t="s">
        <v>25667</v>
      </c>
      <c r="E4085" s="14" t="s">
        <v>25623</v>
      </c>
      <c r="F4085" s="14" t="s">
        <v>81</v>
      </c>
      <c r="G4085" s="14" t="s">
        <v>25668</v>
      </c>
      <c r="H4085" s="15" t="s">
        <v>31</v>
      </c>
      <c r="I4085" s="15">
        <v>2.0</v>
      </c>
      <c r="J4085" s="15">
        <v>1.0</v>
      </c>
      <c r="K4085" s="15" t="s">
        <v>31</v>
      </c>
      <c r="L4085" s="16" t="s">
        <v>31</v>
      </c>
      <c r="M4085" s="14" t="s">
        <v>25669</v>
      </c>
      <c r="N4085" s="14" t="s">
        <v>1034</v>
      </c>
      <c r="O4085" s="16" t="s">
        <v>1035</v>
      </c>
      <c r="P4085" s="14" t="s">
        <v>25670</v>
      </c>
      <c r="Q4085" s="14" t="s">
        <v>25671</v>
      </c>
      <c r="R4085" s="14" t="s">
        <v>31</v>
      </c>
      <c r="S4085" s="16" t="s">
        <v>25672</v>
      </c>
      <c r="T4085" s="14" t="s">
        <v>1034</v>
      </c>
      <c r="U4085" s="16" t="s">
        <v>31</v>
      </c>
      <c r="V4085" s="14" t="s">
        <v>25673</v>
      </c>
      <c r="W4085" s="14" t="s">
        <v>25674</v>
      </c>
      <c r="X4085" s="17" t="str">
        <f>HYPERLINK("https://my.pitchbook.com?p=306981-82P","View People Online")</f>
        <v>View People Online</v>
      </c>
    </row>
    <row r="4086">
      <c r="A4086" s="2" t="s">
        <v>25675</v>
      </c>
      <c r="B4086" s="2" t="s">
        <v>25676</v>
      </c>
      <c r="C4086" s="2" t="s">
        <v>934</v>
      </c>
      <c r="D4086" s="2" t="s">
        <v>25677</v>
      </c>
      <c r="E4086" s="2" t="s">
        <v>25623</v>
      </c>
      <c r="F4086" s="2" t="s">
        <v>114</v>
      </c>
      <c r="G4086" s="2" t="s">
        <v>25678</v>
      </c>
      <c r="H4086" s="3" t="s">
        <v>31</v>
      </c>
      <c r="I4086" s="3">
        <v>1.0</v>
      </c>
      <c r="J4086" s="3">
        <v>1.0</v>
      </c>
      <c r="K4086" s="3" t="s">
        <v>31</v>
      </c>
      <c r="L4086" s="4" t="s">
        <v>25625</v>
      </c>
      <c r="M4086" s="2" t="s">
        <v>31</v>
      </c>
      <c r="N4086" s="2" t="s">
        <v>75</v>
      </c>
      <c r="O4086" s="4" t="s">
        <v>76</v>
      </c>
      <c r="P4086" s="2" t="s">
        <v>31</v>
      </c>
      <c r="Q4086" s="2" t="s">
        <v>31</v>
      </c>
      <c r="R4086" s="2" t="s">
        <v>75</v>
      </c>
      <c r="S4086" s="4" t="s">
        <v>31</v>
      </c>
      <c r="T4086" s="2" t="s">
        <v>66</v>
      </c>
      <c r="U4086" s="4" t="s">
        <v>31</v>
      </c>
      <c r="V4086" s="2" t="s">
        <v>114</v>
      </c>
      <c r="W4086" s="2" t="s">
        <v>25623</v>
      </c>
      <c r="X4086" s="5" t="str">
        <f>HYPERLINK("https://my.pitchbook.com?p=214299-01P","View People Online")</f>
        <v>View People Online</v>
      </c>
    </row>
    <row r="4087">
      <c r="A4087" s="6" t="s">
        <v>25679</v>
      </c>
      <c r="B4087" s="6" t="s">
        <v>25680</v>
      </c>
      <c r="C4087" s="6" t="s">
        <v>4679</v>
      </c>
      <c r="D4087" s="6" t="s">
        <v>25681</v>
      </c>
      <c r="E4087" s="6" t="s">
        <v>25623</v>
      </c>
      <c r="F4087" s="6" t="s">
        <v>29</v>
      </c>
      <c r="G4087" s="6" t="s">
        <v>25682</v>
      </c>
      <c r="H4087" s="7">
        <v>3.0</v>
      </c>
      <c r="I4087" s="7">
        <v>12.0</v>
      </c>
      <c r="J4087" s="7">
        <v>2.0</v>
      </c>
      <c r="K4087" s="7">
        <v>6.0</v>
      </c>
      <c r="L4087" s="8" t="s">
        <v>25625</v>
      </c>
      <c r="M4087" s="6" t="s">
        <v>25683</v>
      </c>
      <c r="N4087" s="6" t="s">
        <v>75</v>
      </c>
      <c r="O4087" s="8" t="s">
        <v>76</v>
      </c>
      <c r="P4087" s="6" t="s">
        <v>31</v>
      </c>
      <c r="Q4087" s="6" t="s">
        <v>31</v>
      </c>
      <c r="R4087" s="6" t="s">
        <v>75</v>
      </c>
      <c r="S4087" s="8" t="s">
        <v>31</v>
      </c>
      <c r="T4087" s="6" t="s">
        <v>66</v>
      </c>
      <c r="U4087" s="8" t="s">
        <v>31</v>
      </c>
      <c r="V4087" s="6" t="s">
        <v>29</v>
      </c>
      <c r="W4087" s="6" t="s">
        <v>25623</v>
      </c>
      <c r="X4087" s="9" t="str">
        <f>HYPERLINK("https://my.pitchbook.com?p=79858-54P","View People Online")</f>
        <v>View People Online</v>
      </c>
    </row>
    <row r="4088">
      <c r="A4088" s="2" t="s">
        <v>25684</v>
      </c>
      <c r="B4088" s="2" t="s">
        <v>12683</v>
      </c>
      <c r="C4088" s="2" t="s">
        <v>562</v>
      </c>
      <c r="D4088" s="2" t="s">
        <v>12684</v>
      </c>
      <c r="E4088" s="2" t="s">
        <v>25623</v>
      </c>
      <c r="F4088" s="2" t="s">
        <v>674</v>
      </c>
      <c r="G4088" s="2" t="s">
        <v>25685</v>
      </c>
      <c r="H4088" s="3">
        <v>5.0</v>
      </c>
      <c r="I4088" s="3">
        <v>28.0</v>
      </c>
      <c r="J4088" s="3">
        <v>1.0</v>
      </c>
      <c r="K4088" s="3">
        <v>20.0</v>
      </c>
      <c r="L4088" s="4" t="s">
        <v>25625</v>
      </c>
      <c r="M4088" s="2" t="s">
        <v>25686</v>
      </c>
      <c r="N4088" s="2" t="s">
        <v>75</v>
      </c>
      <c r="O4088" s="4" t="s">
        <v>76</v>
      </c>
      <c r="P4088" s="2" t="s">
        <v>31</v>
      </c>
      <c r="Q4088" s="2" t="s">
        <v>31</v>
      </c>
      <c r="R4088" s="2" t="s">
        <v>75</v>
      </c>
      <c r="S4088" s="4" t="s">
        <v>31</v>
      </c>
      <c r="T4088" s="2" t="s">
        <v>66</v>
      </c>
      <c r="U4088" s="4" t="s">
        <v>31</v>
      </c>
      <c r="V4088" s="2" t="s">
        <v>674</v>
      </c>
      <c r="W4088" s="2" t="s">
        <v>25623</v>
      </c>
      <c r="X4088" s="5" t="str">
        <f>HYPERLINK("https://my.pitchbook.com?p=143237-08P","View People Online")</f>
        <v>View People Online</v>
      </c>
    </row>
    <row r="4089">
      <c r="A4089" s="6" t="s">
        <v>25687</v>
      </c>
      <c r="B4089" s="6" t="s">
        <v>25688</v>
      </c>
      <c r="C4089" s="6" t="s">
        <v>1976</v>
      </c>
      <c r="D4089" s="6" t="s">
        <v>25689</v>
      </c>
      <c r="E4089" s="6" t="s">
        <v>25623</v>
      </c>
      <c r="F4089" s="6" t="s">
        <v>114</v>
      </c>
      <c r="G4089" s="6" t="s">
        <v>25690</v>
      </c>
      <c r="H4089" s="7" t="s">
        <v>31</v>
      </c>
      <c r="I4089" s="7">
        <v>1.0</v>
      </c>
      <c r="J4089" s="7">
        <v>1.0</v>
      </c>
      <c r="K4089" s="7" t="s">
        <v>31</v>
      </c>
      <c r="L4089" s="8" t="s">
        <v>25625</v>
      </c>
      <c r="M4089" s="6" t="s">
        <v>25691</v>
      </c>
      <c r="N4089" s="6" t="s">
        <v>75</v>
      </c>
      <c r="O4089" s="8" t="s">
        <v>76</v>
      </c>
      <c r="P4089" s="6" t="s">
        <v>31</v>
      </c>
      <c r="Q4089" s="6" t="s">
        <v>31</v>
      </c>
      <c r="R4089" s="6" t="s">
        <v>75</v>
      </c>
      <c r="S4089" s="8" t="s">
        <v>31</v>
      </c>
      <c r="T4089" s="6" t="s">
        <v>66</v>
      </c>
      <c r="U4089" s="8" t="s">
        <v>31</v>
      </c>
      <c r="V4089" s="6" t="s">
        <v>114</v>
      </c>
      <c r="W4089" s="6" t="s">
        <v>25623</v>
      </c>
      <c r="X4089" s="9" t="str">
        <f>HYPERLINK("https://my.pitchbook.com?p=258301-63P","View People Online")</f>
        <v>View People Online</v>
      </c>
    </row>
    <row r="4090">
      <c r="A4090" s="2" t="s">
        <v>25692</v>
      </c>
      <c r="B4090" s="2" t="s">
        <v>25693</v>
      </c>
      <c r="C4090" s="2" t="s">
        <v>1437</v>
      </c>
      <c r="D4090" s="2" t="s">
        <v>25694</v>
      </c>
      <c r="E4090" s="2" t="s">
        <v>25695</v>
      </c>
      <c r="F4090" s="2" t="s">
        <v>674</v>
      </c>
      <c r="G4090" s="2" t="s">
        <v>25696</v>
      </c>
      <c r="H4090" s="3" t="s">
        <v>31</v>
      </c>
      <c r="I4090" s="3">
        <v>12.0</v>
      </c>
      <c r="J4090" s="3">
        <v>1.0</v>
      </c>
      <c r="K4090" s="3">
        <v>7.0</v>
      </c>
      <c r="L4090" s="4" t="s">
        <v>25697</v>
      </c>
      <c r="M4090" s="2" t="s">
        <v>25698</v>
      </c>
      <c r="N4090" s="2" t="s">
        <v>25699</v>
      </c>
      <c r="O4090" s="4" t="s">
        <v>25700</v>
      </c>
      <c r="P4090" s="2" t="s">
        <v>31</v>
      </c>
      <c r="Q4090" s="2" t="s">
        <v>31</v>
      </c>
      <c r="R4090" s="2" t="s">
        <v>75</v>
      </c>
      <c r="S4090" s="4" t="s">
        <v>31</v>
      </c>
      <c r="T4090" s="2" t="s">
        <v>66</v>
      </c>
      <c r="U4090" s="4" t="s">
        <v>31</v>
      </c>
      <c r="V4090" s="2" t="s">
        <v>1172</v>
      </c>
      <c r="W4090" s="2" t="s">
        <v>25695</v>
      </c>
      <c r="X4090" s="5" t="str">
        <f>HYPERLINK("https://my.pitchbook.com?p=132373-90P","View People Online")</f>
        <v>View People Online</v>
      </c>
    </row>
    <row r="4091">
      <c r="A4091" s="6" t="s">
        <v>25701</v>
      </c>
      <c r="B4091" s="6" t="s">
        <v>25702</v>
      </c>
      <c r="C4091" s="6" t="s">
        <v>5358</v>
      </c>
      <c r="D4091" s="6" t="s">
        <v>25703</v>
      </c>
      <c r="E4091" s="6" t="s">
        <v>25695</v>
      </c>
      <c r="F4091" s="6" t="s">
        <v>667</v>
      </c>
      <c r="G4091" s="6" t="s">
        <v>25704</v>
      </c>
      <c r="H4091" s="7" t="s">
        <v>31</v>
      </c>
      <c r="I4091" s="7">
        <v>1.0</v>
      </c>
      <c r="J4091" s="7">
        <v>1.0</v>
      </c>
      <c r="K4091" s="7" t="s">
        <v>31</v>
      </c>
      <c r="L4091" s="8" t="s">
        <v>25705</v>
      </c>
      <c r="M4091" s="6" t="s">
        <v>25706</v>
      </c>
      <c r="N4091" s="6" t="s">
        <v>75</v>
      </c>
      <c r="O4091" s="8" t="s">
        <v>76</v>
      </c>
      <c r="P4091" s="6" t="s">
        <v>25707</v>
      </c>
      <c r="Q4091" s="6" t="s">
        <v>25708</v>
      </c>
      <c r="R4091" s="6" t="s">
        <v>75</v>
      </c>
      <c r="S4091" s="8" t="s">
        <v>195</v>
      </c>
      <c r="T4091" s="6" t="s">
        <v>66</v>
      </c>
      <c r="U4091" s="8" t="s">
        <v>31</v>
      </c>
      <c r="V4091" s="6" t="s">
        <v>25709</v>
      </c>
      <c r="W4091" s="6" t="s">
        <v>25695</v>
      </c>
      <c r="X4091" s="9" t="str">
        <f>HYPERLINK("https://my.pitchbook.com?p=450407-71P","View People Online")</f>
        <v>View People Online</v>
      </c>
    </row>
    <row r="4092">
      <c r="A4092" s="10" t="s">
        <v>25710</v>
      </c>
      <c r="B4092" s="10" t="s">
        <v>25711</v>
      </c>
      <c r="C4092" s="10" t="s">
        <v>3554</v>
      </c>
      <c r="D4092" s="10" t="s">
        <v>25712</v>
      </c>
      <c r="E4092" s="10" t="s">
        <v>25695</v>
      </c>
      <c r="F4092" s="10" t="s">
        <v>86</v>
      </c>
      <c r="G4092" s="10" t="s">
        <v>25713</v>
      </c>
      <c r="H4092" s="11">
        <v>1.0</v>
      </c>
      <c r="I4092" s="11">
        <v>9.0</v>
      </c>
      <c r="J4092" s="11">
        <v>1.0</v>
      </c>
      <c r="K4092" s="11">
        <v>3.0</v>
      </c>
      <c r="L4092" s="12" t="s">
        <v>31</v>
      </c>
      <c r="M4092" s="10" t="s">
        <v>25714</v>
      </c>
      <c r="N4092" s="10" t="s">
        <v>25715</v>
      </c>
      <c r="O4092" s="12" t="s">
        <v>25716</v>
      </c>
      <c r="P4092" s="10" t="s">
        <v>25717</v>
      </c>
      <c r="Q4092" s="10" t="s">
        <v>2839</v>
      </c>
      <c r="R4092" s="10" t="s">
        <v>3960</v>
      </c>
      <c r="S4092" s="12" t="s">
        <v>25718</v>
      </c>
      <c r="T4092" s="10" t="s">
        <v>66</v>
      </c>
      <c r="U4092" s="12" t="s">
        <v>31</v>
      </c>
      <c r="V4092" s="10" t="s">
        <v>95</v>
      </c>
      <c r="W4092" s="10" t="s">
        <v>25695</v>
      </c>
      <c r="X4092" s="13" t="str">
        <f>HYPERLINK("https://my.pitchbook.com?p=219075-76P","View People Online")</f>
        <v>View People Online</v>
      </c>
    </row>
    <row r="4093">
      <c r="A4093" s="14" t="s">
        <v>25719</v>
      </c>
      <c r="B4093" s="14" t="s">
        <v>25720</v>
      </c>
      <c r="C4093" s="14" t="s">
        <v>2572</v>
      </c>
      <c r="D4093" s="14" t="s">
        <v>25721</v>
      </c>
      <c r="E4093" s="14" t="s">
        <v>25722</v>
      </c>
      <c r="F4093" s="14" t="s">
        <v>25723</v>
      </c>
      <c r="G4093" s="14" t="s">
        <v>25724</v>
      </c>
      <c r="H4093" s="15" t="s">
        <v>31</v>
      </c>
      <c r="I4093" s="15">
        <v>1.0</v>
      </c>
      <c r="J4093" s="15">
        <v>1.0</v>
      </c>
      <c r="K4093" s="15" t="s">
        <v>31</v>
      </c>
      <c r="L4093" s="16" t="s">
        <v>25725</v>
      </c>
      <c r="M4093" s="14" t="s">
        <v>25726</v>
      </c>
      <c r="N4093" s="14" t="s">
        <v>25727</v>
      </c>
      <c r="O4093" s="16" t="s">
        <v>25728</v>
      </c>
      <c r="P4093" s="14" t="s">
        <v>25729</v>
      </c>
      <c r="Q4093" s="14" t="s">
        <v>31</v>
      </c>
      <c r="R4093" s="14" t="s">
        <v>64</v>
      </c>
      <c r="S4093" s="16" t="s">
        <v>25730</v>
      </c>
      <c r="T4093" s="14" t="s">
        <v>66</v>
      </c>
      <c r="U4093" s="16" t="s">
        <v>25731</v>
      </c>
      <c r="V4093" s="14" t="s">
        <v>25723</v>
      </c>
      <c r="W4093" s="14" t="s">
        <v>25722</v>
      </c>
      <c r="X4093" s="17" t="str">
        <f>HYPERLINK("https://my.pitchbook.com?p=441443-35P","View People Online")</f>
        <v>View People Online</v>
      </c>
    </row>
    <row r="4094">
      <c r="A4094" s="10" t="s">
        <v>25732</v>
      </c>
      <c r="B4094" s="10" t="s">
        <v>25733</v>
      </c>
      <c r="C4094" s="10" t="s">
        <v>25734</v>
      </c>
      <c r="D4094" s="10" t="s">
        <v>25735</v>
      </c>
      <c r="E4094" s="10" t="s">
        <v>25722</v>
      </c>
      <c r="F4094" s="10" t="s">
        <v>25723</v>
      </c>
      <c r="G4094" s="10" t="s">
        <v>25736</v>
      </c>
      <c r="H4094" s="11" t="s">
        <v>31</v>
      </c>
      <c r="I4094" s="11">
        <v>1.0</v>
      </c>
      <c r="J4094" s="11">
        <v>1.0</v>
      </c>
      <c r="K4094" s="11" t="s">
        <v>31</v>
      </c>
      <c r="L4094" s="12" t="s">
        <v>25725</v>
      </c>
      <c r="M4094" s="10" t="s">
        <v>25737</v>
      </c>
      <c r="N4094" s="10" t="s">
        <v>25727</v>
      </c>
      <c r="O4094" s="12" t="s">
        <v>25728</v>
      </c>
      <c r="P4094" s="10" t="s">
        <v>25729</v>
      </c>
      <c r="Q4094" s="10" t="s">
        <v>31</v>
      </c>
      <c r="R4094" s="10" t="s">
        <v>64</v>
      </c>
      <c r="S4094" s="12" t="s">
        <v>25730</v>
      </c>
      <c r="T4094" s="10" t="s">
        <v>66</v>
      </c>
      <c r="U4094" s="12" t="s">
        <v>25731</v>
      </c>
      <c r="V4094" s="10" t="s">
        <v>25723</v>
      </c>
      <c r="W4094" s="10" t="s">
        <v>25722</v>
      </c>
      <c r="X4094" s="13" t="str">
        <f>HYPERLINK("https://my.pitchbook.com?p=415538-92P","View People Online")</f>
        <v>View People Online</v>
      </c>
    </row>
    <row r="4095">
      <c r="A4095" s="14" t="s">
        <v>25738</v>
      </c>
      <c r="B4095" s="14" t="s">
        <v>25739</v>
      </c>
      <c r="C4095" s="14" t="s">
        <v>25740</v>
      </c>
      <c r="D4095" s="14" t="s">
        <v>25741</v>
      </c>
      <c r="E4095" s="14" t="s">
        <v>25722</v>
      </c>
      <c r="F4095" s="14" t="s">
        <v>896</v>
      </c>
      <c r="G4095" s="14" t="s">
        <v>25742</v>
      </c>
      <c r="H4095" s="15" t="s">
        <v>31</v>
      </c>
      <c r="I4095" s="15">
        <v>1.0</v>
      </c>
      <c r="J4095" s="15">
        <v>1.0</v>
      </c>
      <c r="K4095" s="15" t="s">
        <v>31</v>
      </c>
      <c r="L4095" s="16" t="s">
        <v>25725</v>
      </c>
      <c r="M4095" s="14" t="s">
        <v>25743</v>
      </c>
      <c r="N4095" s="14" t="s">
        <v>25744</v>
      </c>
      <c r="O4095" s="16" t="s">
        <v>25745</v>
      </c>
      <c r="P4095" s="14" t="s">
        <v>25746</v>
      </c>
      <c r="Q4095" s="14" t="s">
        <v>31</v>
      </c>
      <c r="R4095" s="14" t="s">
        <v>64</v>
      </c>
      <c r="S4095" s="16" t="s">
        <v>25747</v>
      </c>
      <c r="T4095" s="14" t="s">
        <v>66</v>
      </c>
      <c r="U4095" s="16" t="s">
        <v>25731</v>
      </c>
      <c r="V4095" s="14" t="s">
        <v>25748</v>
      </c>
      <c r="W4095" s="14" t="s">
        <v>25722</v>
      </c>
      <c r="X4095" s="17" t="str">
        <f>HYPERLINK("https://my.pitchbook.com?p=126152-29P","View People Online")</f>
        <v>View People Online</v>
      </c>
    </row>
    <row r="4096">
      <c r="A4096" s="2" t="s">
        <v>25749</v>
      </c>
      <c r="B4096" s="2" t="s">
        <v>25750</v>
      </c>
      <c r="C4096" s="2" t="s">
        <v>25751</v>
      </c>
      <c r="D4096" s="2" t="s">
        <v>8234</v>
      </c>
      <c r="E4096" s="2" t="s">
        <v>25722</v>
      </c>
      <c r="F4096" s="2" t="s">
        <v>25723</v>
      </c>
      <c r="G4096" s="2" t="s">
        <v>25752</v>
      </c>
      <c r="H4096" s="3" t="s">
        <v>31</v>
      </c>
      <c r="I4096" s="3">
        <v>1.0</v>
      </c>
      <c r="J4096" s="3">
        <v>1.0</v>
      </c>
      <c r="K4096" s="3" t="s">
        <v>31</v>
      </c>
      <c r="L4096" s="4" t="s">
        <v>25725</v>
      </c>
      <c r="M4096" s="2" t="s">
        <v>25753</v>
      </c>
      <c r="N4096" s="2" t="s">
        <v>25744</v>
      </c>
      <c r="O4096" s="4" t="s">
        <v>25745</v>
      </c>
      <c r="P4096" s="2" t="s">
        <v>25746</v>
      </c>
      <c r="Q4096" s="2" t="s">
        <v>31</v>
      </c>
      <c r="R4096" s="2" t="s">
        <v>64</v>
      </c>
      <c r="S4096" s="4" t="s">
        <v>25747</v>
      </c>
      <c r="T4096" s="2" t="s">
        <v>66</v>
      </c>
      <c r="U4096" s="4" t="s">
        <v>25731</v>
      </c>
      <c r="V4096" s="2" t="s">
        <v>25723</v>
      </c>
      <c r="W4096" s="2" t="s">
        <v>25722</v>
      </c>
      <c r="X4096" s="5" t="str">
        <f>HYPERLINK("https://my.pitchbook.com?p=415539-64P","View People Online")</f>
        <v>View People Online</v>
      </c>
    </row>
    <row r="4097">
      <c r="A4097" s="6" t="s">
        <v>25754</v>
      </c>
      <c r="B4097" s="6" t="s">
        <v>25755</v>
      </c>
      <c r="C4097" s="6" t="s">
        <v>25756</v>
      </c>
      <c r="D4097" s="6" t="s">
        <v>25757</v>
      </c>
      <c r="E4097" s="6" t="s">
        <v>25722</v>
      </c>
      <c r="F4097" s="6" t="s">
        <v>25723</v>
      </c>
      <c r="G4097" s="6" t="s">
        <v>25758</v>
      </c>
      <c r="H4097" s="7" t="s">
        <v>31</v>
      </c>
      <c r="I4097" s="7">
        <v>1.0</v>
      </c>
      <c r="J4097" s="7">
        <v>1.0</v>
      </c>
      <c r="K4097" s="7" t="s">
        <v>31</v>
      </c>
      <c r="L4097" s="8" t="s">
        <v>25725</v>
      </c>
      <c r="M4097" s="6" t="s">
        <v>25759</v>
      </c>
      <c r="N4097" s="6" t="s">
        <v>25744</v>
      </c>
      <c r="O4097" s="8" t="s">
        <v>25745</v>
      </c>
      <c r="P4097" s="6" t="s">
        <v>25746</v>
      </c>
      <c r="Q4097" s="6" t="s">
        <v>31</v>
      </c>
      <c r="R4097" s="6" t="s">
        <v>64</v>
      </c>
      <c r="S4097" s="8" t="s">
        <v>25747</v>
      </c>
      <c r="T4097" s="6" t="s">
        <v>66</v>
      </c>
      <c r="U4097" s="8" t="s">
        <v>25731</v>
      </c>
      <c r="V4097" s="6" t="s">
        <v>25723</v>
      </c>
      <c r="W4097" s="6" t="s">
        <v>25722</v>
      </c>
      <c r="X4097" s="9" t="str">
        <f>HYPERLINK("https://my.pitchbook.com?p=415540-00P","View People Online")</f>
        <v>View People Online</v>
      </c>
    </row>
    <row r="4098">
      <c r="A4098" s="2" t="s">
        <v>25760</v>
      </c>
      <c r="B4098" s="2" t="s">
        <v>25761</v>
      </c>
      <c r="C4098" s="2" t="s">
        <v>25762</v>
      </c>
      <c r="D4098" s="2" t="s">
        <v>233</v>
      </c>
      <c r="E4098" s="2" t="s">
        <v>25722</v>
      </c>
      <c r="F4098" s="2" t="s">
        <v>896</v>
      </c>
      <c r="G4098" s="2" t="s">
        <v>25763</v>
      </c>
      <c r="H4098" s="3" t="s">
        <v>31</v>
      </c>
      <c r="I4098" s="3">
        <v>1.0</v>
      </c>
      <c r="J4098" s="3">
        <v>1.0</v>
      </c>
      <c r="K4098" s="3" t="s">
        <v>31</v>
      </c>
      <c r="L4098" s="4" t="s">
        <v>25764</v>
      </c>
      <c r="M4098" s="2" t="s">
        <v>25765</v>
      </c>
      <c r="N4098" s="2" t="s">
        <v>25727</v>
      </c>
      <c r="O4098" s="4" t="s">
        <v>25728</v>
      </c>
      <c r="P4098" s="2" t="s">
        <v>25729</v>
      </c>
      <c r="Q4098" s="2" t="s">
        <v>31</v>
      </c>
      <c r="R4098" s="2" t="s">
        <v>64</v>
      </c>
      <c r="S4098" s="4" t="s">
        <v>25730</v>
      </c>
      <c r="T4098" s="2" t="s">
        <v>66</v>
      </c>
      <c r="U4098" s="4" t="s">
        <v>25731</v>
      </c>
      <c r="V4098" s="2" t="s">
        <v>896</v>
      </c>
      <c r="W4098" s="2" t="s">
        <v>25722</v>
      </c>
      <c r="X4098" s="5" t="str">
        <f>HYPERLINK("https://my.pitchbook.com?p=28396-72P","View People Online")</f>
        <v>View People Online</v>
      </c>
    </row>
    <row r="4099">
      <c r="A4099" s="14" t="s">
        <v>25766</v>
      </c>
      <c r="B4099" s="14" t="s">
        <v>25767</v>
      </c>
      <c r="C4099" s="14" t="s">
        <v>13523</v>
      </c>
      <c r="D4099" s="14" t="s">
        <v>15061</v>
      </c>
      <c r="E4099" s="14" t="s">
        <v>25722</v>
      </c>
      <c r="F4099" s="14" t="s">
        <v>896</v>
      </c>
      <c r="G4099" s="14" t="s">
        <v>25768</v>
      </c>
      <c r="H4099" s="15" t="s">
        <v>31</v>
      </c>
      <c r="I4099" s="15">
        <v>1.0</v>
      </c>
      <c r="J4099" s="15">
        <v>1.0</v>
      </c>
      <c r="K4099" s="15" t="s">
        <v>31</v>
      </c>
      <c r="L4099" s="16" t="s">
        <v>25725</v>
      </c>
      <c r="M4099" s="14" t="s">
        <v>25769</v>
      </c>
      <c r="N4099" s="14" t="s">
        <v>25727</v>
      </c>
      <c r="O4099" s="16" t="s">
        <v>25728</v>
      </c>
      <c r="P4099" s="14" t="s">
        <v>25729</v>
      </c>
      <c r="Q4099" s="14" t="s">
        <v>31</v>
      </c>
      <c r="R4099" s="14" t="s">
        <v>64</v>
      </c>
      <c r="S4099" s="16" t="s">
        <v>25730</v>
      </c>
      <c r="T4099" s="14" t="s">
        <v>66</v>
      </c>
      <c r="U4099" s="16" t="s">
        <v>25731</v>
      </c>
      <c r="V4099" s="14" t="s">
        <v>896</v>
      </c>
      <c r="W4099" s="14" t="s">
        <v>25722</v>
      </c>
      <c r="X4099" s="17" t="str">
        <f>HYPERLINK("https://my.pitchbook.com?p=415390-33P","View People Online")</f>
        <v>View People Online</v>
      </c>
    </row>
    <row r="4100">
      <c r="A4100" s="2" t="s">
        <v>25770</v>
      </c>
      <c r="B4100" s="2" t="s">
        <v>25771</v>
      </c>
      <c r="C4100" s="2" t="s">
        <v>186</v>
      </c>
      <c r="D4100" s="2" t="s">
        <v>25772</v>
      </c>
      <c r="E4100" s="2" t="s">
        <v>25722</v>
      </c>
      <c r="F4100" s="2" t="s">
        <v>25723</v>
      </c>
      <c r="G4100" s="2" t="s">
        <v>25773</v>
      </c>
      <c r="H4100" s="3" t="s">
        <v>31</v>
      </c>
      <c r="I4100" s="3">
        <v>1.0</v>
      </c>
      <c r="J4100" s="3">
        <v>1.0</v>
      </c>
      <c r="K4100" s="3" t="s">
        <v>31</v>
      </c>
      <c r="L4100" s="4" t="s">
        <v>25725</v>
      </c>
      <c r="M4100" s="2" t="s">
        <v>25774</v>
      </c>
      <c r="N4100" s="2" t="s">
        <v>25744</v>
      </c>
      <c r="O4100" s="4" t="s">
        <v>25745</v>
      </c>
      <c r="P4100" s="2" t="s">
        <v>25746</v>
      </c>
      <c r="Q4100" s="2" t="s">
        <v>31</v>
      </c>
      <c r="R4100" s="2" t="s">
        <v>64</v>
      </c>
      <c r="S4100" s="4" t="s">
        <v>25747</v>
      </c>
      <c r="T4100" s="2" t="s">
        <v>66</v>
      </c>
      <c r="U4100" s="4" t="s">
        <v>25731</v>
      </c>
      <c r="V4100" s="2" t="s">
        <v>25723</v>
      </c>
      <c r="W4100" s="2" t="s">
        <v>25722</v>
      </c>
      <c r="X4100" s="5" t="str">
        <f>HYPERLINK("https://my.pitchbook.com?p=415553-41P","View People Online")</f>
        <v>View People Online</v>
      </c>
    </row>
    <row r="4101">
      <c r="A4101" s="6" t="s">
        <v>25775</v>
      </c>
      <c r="B4101" s="6" t="s">
        <v>25776</v>
      </c>
      <c r="C4101" s="6" t="s">
        <v>5591</v>
      </c>
      <c r="D4101" s="6" t="s">
        <v>25777</v>
      </c>
      <c r="E4101" s="6" t="s">
        <v>25722</v>
      </c>
      <c r="F4101" s="6" t="s">
        <v>25723</v>
      </c>
      <c r="G4101" s="6" t="s">
        <v>25778</v>
      </c>
      <c r="H4101" s="7" t="s">
        <v>31</v>
      </c>
      <c r="I4101" s="7">
        <v>1.0</v>
      </c>
      <c r="J4101" s="7">
        <v>1.0</v>
      </c>
      <c r="K4101" s="7" t="s">
        <v>31</v>
      </c>
      <c r="L4101" s="8" t="s">
        <v>25725</v>
      </c>
      <c r="M4101" s="6" t="s">
        <v>25779</v>
      </c>
      <c r="N4101" s="6" t="s">
        <v>25727</v>
      </c>
      <c r="O4101" s="8" t="s">
        <v>25728</v>
      </c>
      <c r="P4101" s="6" t="s">
        <v>25729</v>
      </c>
      <c r="Q4101" s="6" t="s">
        <v>31</v>
      </c>
      <c r="R4101" s="6" t="s">
        <v>64</v>
      </c>
      <c r="S4101" s="8" t="s">
        <v>25730</v>
      </c>
      <c r="T4101" s="6" t="s">
        <v>66</v>
      </c>
      <c r="U4101" s="8" t="s">
        <v>25731</v>
      </c>
      <c r="V4101" s="6" t="s">
        <v>25723</v>
      </c>
      <c r="W4101" s="6" t="s">
        <v>25722</v>
      </c>
      <c r="X4101" s="9" t="str">
        <f>HYPERLINK("https://my.pitchbook.com?p=415559-17P","View People Online")</f>
        <v>View People Online</v>
      </c>
    </row>
    <row r="4102">
      <c r="A4102" s="2" t="s">
        <v>25780</v>
      </c>
      <c r="B4102" s="2" t="s">
        <v>25781</v>
      </c>
      <c r="C4102" s="2" t="s">
        <v>5591</v>
      </c>
      <c r="D4102" s="2" t="s">
        <v>25782</v>
      </c>
      <c r="E4102" s="2" t="s">
        <v>25722</v>
      </c>
      <c r="F4102" s="2" t="s">
        <v>25723</v>
      </c>
      <c r="G4102" s="2" t="s">
        <v>25783</v>
      </c>
      <c r="H4102" s="3" t="s">
        <v>31</v>
      </c>
      <c r="I4102" s="3">
        <v>1.0</v>
      </c>
      <c r="J4102" s="3">
        <v>1.0</v>
      </c>
      <c r="K4102" s="3" t="s">
        <v>31</v>
      </c>
      <c r="L4102" s="4" t="s">
        <v>25725</v>
      </c>
      <c r="M4102" s="2" t="s">
        <v>25784</v>
      </c>
      <c r="N4102" s="2" t="s">
        <v>25744</v>
      </c>
      <c r="O4102" s="4" t="s">
        <v>25745</v>
      </c>
      <c r="P4102" s="2" t="s">
        <v>25746</v>
      </c>
      <c r="Q4102" s="2" t="s">
        <v>31</v>
      </c>
      <c r="R4102" s="2" t="s">
        <v>64</v>
      </c>
      <c r="S4102" s="4" t="s">
        <v>25747</v>
      </c>
      <c r="T4102" s="2" t="s">
        <v>66</v>
      </c>
      <c r="U4102" s="4" t="s">
        <v>25731</v>
      </c>
      <c r="V4102" s="2" t="s">
        <v>25723</v>
      </c>
      <c r="W4102" s="2" t="s">
        <v>25722</v>
      </c>
      <c r="X4102" s="5" t="str">
        <f>HYPERLINK("https://my.pitchbook.com?p=415559-98P","View People Online")</f>
        <v>View People Online</v>
      </c>
    </row>
    <row r="4103">
      <c r="A4103" s="6" t="s">
        <v>25785</v>
      </c>
      <c r="B4103" s="6" t="s">
        <v>25786</v>
      </c>
      <c r="C4103" s="6" t="s">
        <v>25787</v>
      </c>
      <c r="D4103" s="6" t="s">
        <v>25788</v>
      </c>
      <c r="E4103" s="6" t="s">
        <v>25722</v>
      </c>
      <c r="F4103" s="6" t="s">
        <v>25723</v>
      </c>
      <c r="G4103" s="6" t="s">
        <v>25789</v>
      </c>
      <c r="H4103" s="7" t="s">
        <v>31</v>
      </c>
      <c r="I4103" s="7">
        <v>1.0</v>
      </c>
      <c r="J4103" s="7">
        <v>1.0</v>
      </c>
      <c r="K4103" s="7" t="s">
        <v>31</v>
      </c>
      <c r="L4103" s="8" t="s">
        <v>25725</v>
      </c>
      <c r="M4103" s="6" t="s">
        <v>25790</v>
      </c>
      <c r="N4103" s="6" t="s">
        <v>25744</v>
      </c>
      <c r="O4103" s="8" t="s">
        <v>25745</v>
      </c>
      <c r="P4103" s="6" t="s">
        <v>25746</v>
      </c>
      <c r="Q4103" s="6" t="s">
        <v>31</v>
      </c>
      <c r="R4103" s="6" t="s">
        <v>64</v>
      </c>
      <c r="S4103" s="8" t="s">
        <v>25747</v>
      </c>
      <c r="T4103" s="6" t="s">
        <v>66</v>
      </c>
      <c r="U4103" s="8" t="s">
        <v>25731</v>
      </c>
      <c r="V4103" s="6" t="s">
        <v>25723</v>
      </c>
      <c r="W4103" s="6" t="s">
        <v>25722</v>
      </c>
      <c r="X4103" s="9" t="str">
        <f>HYPERLINK("https://my.pitchbook.com?p=415560-25P","View People Online")</f>
        <v>View People Online</v>
      </c>
    </row>
    <row r="4104">
      <c r="A4104" s="2" t="s">
        <v>25791</v>
      </c>
      <c r="B4104" s="2" t="s">
        <v>25792</v>
      </c>
      <c r="C4104" s="2" t="s">
        <v>4128</v>
      </c>
      <c r="D4104" s="2" t="s">
        <v>9008</v>
      </c>
      <c r="E4104" s="2" t="s">
        <v>25722</v>
      </c>
      <c r="F4104" s="2" t="s">
        <v>896</v>
      </c>
      <c r="G4104" s="2" t="s">
        <v>25793</v>
      </c>
      <c r="H4104" s="3" t="s">
        <v>31</v>
      </c>
      <c r="I4104" s="3">
        <v>1.0</v>
      </c>
      <c r="J4104" s="3">
        <v>1.0</v>
      </c>
      <c r="K4104" s="3" t="s">
        <v>31</v>
      </c>
      <c r="L4104" s="4" t="s">
        <v>31</v>
      </c>
      <c r="M4104" s="2" t="s">
        <v>25794</v>
      </c>
      <c r="N4104" s="2" t="s">
        <v>155</v>
      </c>
      <c r="O4104" s="4" t="s">
        <v>156</v>
      </c>
      <c r="P4104" s="2" t="s">
        <v>25795</v>
      </c>
      <c r="Q4104" s="2" t="s">
        <v>31</v>
      </c>
      <c r="R4104" s="2" t="s">
        <v>64</v>
      </c>
      <c r="S4104" s="4" t="s">
        <v>3487</v>
      </c>
      <c r="T4104" s="2" t="s">
        <v>66</v>
      </c>
      <c r="U4104" s="4" t="s">
        <v>31</v>
      </c>
      <c r="V4104" s="2" t="s">
        <v>25796</v>
      </c>
      <c r="W4104" s="2" t="s">
        <v>25722</v>
      </c>
      <c r="X4104" s="5" t="str">
        <f>HYPERLINK("https://my.pitchbook.com?p=267242-77P","View People Online")</f>
        <v>View People Online</v>
      </c>
    </row>
    <row r="4105">
      <c r="A4105" s="6" t="s">
        <v>25797</v>
      </c>
      <c r="B4105" s="6" t="s">
        <v>25798</v>
      </c>
      <c r="C4105" s="6" t="s">
        <v>25799</v>
      </c>
      <c r="D4105" s="6" t="s">
        <v>25800</v>
      </c>
      <c r="E4105" s="6" t="s">
        <v>25722</v>
      </c>
      <c r="F4105" s="6" t="s">
        <v>25723</v>
      </c>
      <c r="G4105" s="6" t="s">
        <v>25801</v>
      </c>
      <c r="H4105" s="7" t="s">
        <v>31</v>
      </c>
      <c r="I4105" s="7">
        <v>1.0</v>
      </c>
      <c r="J4105" s="7">
        <v>1.0</v>
      </c>
      <c r="K4105" s="7" t="s">
        <v>31</v>
      </c>
      <c r="L4105" s="8" t="s">
        <v>25725</v>
      </c>
      <c r="M4105" s="6" t="s">
        <v>25802</v>
      </c>
      <c r="N4105" s="6" t="s">
        <v>25744</v>
      </c>
      <c r="O4105" s="8" t="s">
        <v>25745</v>
      </c>
      <c r="P4105" s="6" t="s">
        <v>25746</v>
      </c>
      <c r="Q4105" s="6" t="s">
        <v>31</v>
      </c>
      <c r="R4105" s="6" t="s">
        <v>64</v>
      </c>
      <c r="S4105" s="8" t="s">
        <v>25747</v>
      </c>
      <c r="T4105" s="6" t="s">
        <v>66</v>
      </c>
      <c r="U4105" s="8" t="s">
        <v>25731</v>
      </c>
      <c r="V4105" s="6" t="s">
        <v>25723</v>
      </c>
      <c r="W4105" s="6" t="s">
        <v>25722</v>
      </c>
      <c r="X4105" s="9" t="str">
        <f>HYPERLINK("https://my.pitchbook.com?p=415560-88P","View People Online")</f>
        <v>View People Online</v>
      </c>
    </row>
    <row r="4106">
      <c r="A4106" s="2" t="s">
        <v>25803</v>
      </c>
      <c r="B4106" s="2" t="s">
        <v>25804</v>
      </c>
      <c r="C4106" s="2" t="s">
        <v>1117</v>
      </c>
      <c r="D4106" s="2" t="s">
        <v>25805</v>
      </c>
      <c r="E4106" s="2" t="s">
        <v>25722</v>
      </c>
      <c r="F4106" s="2" t="s">
        <v>896</v>
      </c>
      <c r="G4106" s="2" t="s">
        <v>25806</v>
      </c>
      <c r="H4106" s="3" t="s">
        <v>31</v>
      </c>
      <c r="I4106" s="3">
        <v>1.0</v>
      </c>
      <c r="J4106" s="3">
        <v>1.0</v>
      </c>
      <c r="K4106" s="3" t="s">
        <v>31</v>
      </c>
      <c r="L4106" s="4" t="s">
        <v>25725</v>
      </c>
      <c r="M4106" s="2" t="s">
        <v>25807</v>
      </c>
      <c r="N4106" s="2" t="s">
        <v>25727</v>
      </c>
      <c r="O4106" s="4" t="s">
        <v>25728</v>
      </c>
      <c r="P4106" s="2" t="s">
        <v>25729</v>
      </c>
      <c r="Q4106" s="2" t="s">
        <v>31</v>
      </c>
      <c r="R4106" s="2" t="s">
        <v>64</v>
      </c>
      <c r="S4106" s="4" t="s">
        <v>25730</v>
      </c>
      <c r="T4106" s="2" t="s">
        <v>66</v>
      </c>
      <c r="U4106" s="4" t="s">
        <v>25731</v>
      </c>
      <c r="V4106" s="2" t="s">
        <v>896</v>
      </c>
      <c r="W4106" s="2" t="s">
        <v>25722</v>
      </c>
      <c r="X4106" s="5" t="str">
        <f>HYPERLINK("https://my.pitchbook.com?p=441424-63P","View People Online")</f>
        <v>View People Online</v>
      </c>
    </row>
    <row r="4107">
      <c r="A4107" s="6" t="s">
        <v>25808</v>
      </c>
      <c r="B4107" s="6" t="s">
        <v>25809</v>
      </c>
      <c r="C4107" s="6" t="s">
        <v>14225</v>
      </c>
      <c r="D4107" s="6" t="s">
        <v>25810</v>
      </c>
      <c r="E4107" s="6" t="s">
        <v>25722</v>
      </c>
      <c r="F4107" s="6" t="s">
        <v>25723</v>
      </c>
      <c r="G4107" s="6" t="s">
        <v>25811</v>
      </c>
      <c r="H4107" s="7" t="s">
        <v>31</v>
      </c>
      <c r="I4107" s="7">
        <v>1.0</v>
      </c>
      <c r="J4107" s="7">
        <v>1.0</v>
      </c>
      <c r="K4107" s="7" t="s">
        <v>31</v>
      </c>
      <c r="L4107" s="8" t="s">
        <v>25725</v>
      </c>
      <c r="M4107" s="6" t="s">
        <v>25812</v>
      </c>
      <c r="N4107" s="6" t="s">
        <v>25744</v>
      </c>
      <c r="O4107" s="8" t="s">
        <v>25745</v>
      </c>
      <c r="P4107" s="6" t="s">
        <v>25746</v>
      </c>
      <c r="Q4107" s="6" t="s">
        <v>31</v>
      </c>
      <c r="R4107" s="6" t="s">
        <v>64</v>
      </c>
      <c r="S4107" s="8" t="s">
        <v>25747</v>
      </c>
      <c r="T4107" s="6" t="s">
        <v>66</v>
      </c>
      <c r="U4107" s="8" t="s">
        <v>25731</v>
      </c>
      <c r="V4107" s="6" t="s">
        <v>25723</v>
      </c>
      <c r="W4107" s="6" t="s">
        <v>25722</v>
      </c>
      <c r="X4107" s="9" t="str">
        <f>HYPERLINK("https://my.pitchbook.com?p=415562-50P","View People Online")</f>
        <v>View People Online</v>
      </c>
    </row>
    <row r="4108">
      <c r="A4108" s="10" t="s">
        <v>25813</v>
      </c>
      <c r="B4108" s="10" t="s">
        <v>25814</v>
      </c>
      <c r="C4108" s="10" t="s">
        <v>5721</v>
      </c>
      <c r="D4108" s="10" t="s">
        <v>680</v>
      </c>
      <c r="E4108" s="10" t="s">
        <v>25722</v>
      </c>
      <c r="F4108" s="10" t="s">
        <v>25723</v>
      </c>
      <c r="G4108" s="10" t="s">
        <v>25815</v>
      </c>
      <c r="H4108" s="11" t="s">
        <v>31</v>
      </c>
      <c r="I4108" s="11">
        <v>1.0</v>
      </c>
      <c r="J4108" s="11">
        <v>1.0</v>
      </c>
      <c r="K4108" s="11" t="s">
        <v>31</v>
      </c>
      <c r="L4108" s="12" t="s">
        <v>25725</v>
      </c>
      <c r="M4108" s="10" t="s">
        <v>25816</v>
      </c>
      <c r="N4108" s="10" t="s">
        <v>25744</v>
      </c>
      <c r="O4108" s="12" t="s">
        <v>25745</v>
      </c>
      <c r="P4108" s="10" t="s">
        <v>25746</v>
      </c>
      <c r="Q4108" s="10" t="s">
        <v>31</v>
      </c>
      <c r="R4108" s="10" t="s">
        <v>64</v>
      </c>
      <c r="S4108" s="12" t="s">
        <v>25747</v>
      </c>
      <c r="T4108" s="10" t="s">
        <v>66</v>
      </c>
      <c r="U4108" s="12" t="s">
        <v>25731</v>
      </c>
      <c r="V4108" s="10" t="s">
        <v>25723</v>
      </c>
      <c r="W4108" s="10" t="s">
        <v>25722</v>
      </c>
      <c r="X4108" s="13" t="str">
        <f>HYPERLINK("https://my.pitchbook.com?p=126149-86P","View People Online")</f>
        <v>View People Online</v>
      </c>
    </row>
    <row r="4109">
      <c r="A4109" s="14" t="s">
        <v>25817</v>
      </c>
      <c r="B4109" s="14" t="s">
        <v>25818</v>
      </c>
      <c r="C4109" s="14" t="s">
        <v>1103</v>
      </c>
      <c r="D4109" s="14" t="s">
        <v>15869</v>
      </c>
      <c r="E4109" s="14" t="s">
        <v>25722</v>
      </c>
      <c r="F4109" s="14" t="s">
        <v>896</v>
      </c>
      <c r="G4109" s="14" t="s">
        <v>25819</v>
      </c>
      <c r="H4109" s="15" t="s">
        <v>31</v>
      </c>
      <c r="I4109" s="15">
        <v>1.0</v>
      </c>
      <c r="J4109" s="15">
        <v>1.0</v>
      </c>
      <c r="K4109" s="15" t="s">
        <v>31</v>
      </c>
      <c r="L4109" s="16" t="s">
        <v>25725</v>
      </c>
      <c r="M4109" s="14" t="s">
        <v>25820</v>
      </c>
      <c r="N4109" s="14" t="s">
        <v>25744</v>
      </c>
      <c r="O4109" s="16" t="s">
        <v>25745</v>
      </c>
      <c r="P4109" s="14" t="s">
        <v>25746</v>
      </c>
      <c r="Q4109" s="14" t="s">
        <v>31</v>
      </c>
      <c r="R4109" s="14" t="s">
        <v>64</v>
      </c>
      <c r="S4109" s="16" t="s">
        <v>25747</v>
      </c>
      <c r="T4109" s="14" t="s">
        <v>66</v>
      </c>
      <c r="U4109" s="16" t="s">
        <v>25731</v>
      </c>
      <c r="V4109" s="14" t="s">
        <v>25796</v>
      </c>
      <c r="W4109" s="14" t="s">
        <v>25722</v>
      </c>
      <c r="X4109" s="17" t="str">
        <f>HYPERLINK("https://my.pitchbook.com?p=126149-41P","View People Online")</f>
        <v>View People Online</v>
      </c>
    </row>
    <row r="4110">
      <c r="A4110" s="10" t="s">
        <v>25821</v>
      </c>
      <c r="B4110" s="10" t="s">
        <v>25822</v>
      </c>
      <c r="C4110" s="10" t="s">
        <v>1103</v>
      </c>
      <c r="D4110" s="10" t="s">
        <v>11187</v>
      </c>
      <c r="E4110" s="10" t="s">
        <v>25722</v>
      </c>
      <c r="F4110" s="10" t="s">
        <v>896</v>
      </c>
      <c r="G4110" s="10" t="s">
        <v>25823</v>
      </c>
      <c r="H4110" s="11" t="s">
        <v>31</v>
      </c>
      <c r="I4110" s="11">
        <v>1.0</v>
      </c>
      <c r="J4110" s="11">
        <v>1.0</v>
      </c>
      <c r="K4110" s="11" t="s">
        <v>31</v>
      </c>
      <c r="L4110" s="12" t="s">
        <v>25725</v>
      </c>
      <c r="M4110" s="10" t="s">
        <v>25824</v>
      </c>
      <c r="N4110" s="10" t="s">
        <v>25744</v>
      </c>
      <c r="O4110" s="12" t="s">
        <v>25745</v>
      </c>
      <c r="P4110" s="10" t="s">
        <v>25746</v>
      </c>
      <c r="Q4110" s="10" t="s">
        <v>31</v>
      </c>
      <c r="R4110" s="10" t="s">
        <v>64</v>
      </c>
      <c r="S4110" s="12" t="s">
        <v>25747</v>
      </c>
      <c r="T4110" s="10" t="s">
        <v>66</v>
      </c>
      <c r="U4110" s="12" t="s">
        <v>25731</v>
      </c>
      <c r="V4110" s="10" t="s">
        <v>25796</v>
      </c>
      <c r="W4110" s="10" t="s">
        <v>25722</v>
      </c>
      <c r="X4110" s="13" t="str">
        <f>HYPERLINK("https://my.pitchbook.com?p=415495-72P","View People Online")</f>
        <v>View People Online</v>
      </c>
    </row>
    <row r="4111">
      <c r="A4111" s="6" t="s">
        <v>25825</v>
      </c>
      <c r="B4111" s="6" t="s">
        <v>25826</v>
      </c>
      <c r="C4111" s="6" t="s">
        <v>25827</v>
      </c>
      <c r="D4111" s="6" t="s">
        <v>25828</v>
      </c>
      <c r="E4111" s="6" t="s">
        <v>25722</v>
      </c>
      <c r="F4111" s="6" t="s">
        <v>25723</v>
      </c>
      <c r="G4111" s="6" t="s">
        <v>25829</v>
      </c>
      <c r="H4111" s="7" t="s">
        <v>31</v>
      </c>
      <c r="I4111" s="7">
        <v>1.0</v>
      </c>
      <c r="J4111" s="7">
        <v>1.0</v>
      </c>
      <c r="K4111" s="7" t="s">
        <v>31</v>
      </c>
      <c r="L4111" s="8" t="s">
        <v>25725</v>
      </c>
      <c r="M4111" s="6" t="s">
        <v>25830</v>
      </c>
      <c r="N4111" s="6" t="s">
        <v>25744</v>
      </c>
      <c r="O4111" s="8" t="s">
        <v>25745</v>
      </c>
      <c r="P4111" s="6" t="s">
        <v>25746</v>
      </c>
      <c r="Q4111" s="6" t="s">
        <v>31</v>
      </c>
      <c r="R4111" s="6" t="s">
        <v>64</v>
      </c>
      <c r="S4111" s="8" t="s">
        <v>25747</v>
      </c>
      <c r="T4111" s="6" t="s">
        <v>66</v>
      </c>
      <c r="U4111" s="8" t="s">
        <v>25731</v>
      </c>
      <c r="V4111" s="6" t="s">
        <v>25723</v>
      </c>
      <c r="W4111" s="6" t="s">
        <v>25722</v>
      </c>
      <c r="X4111" s="9" t="str">
        <f>HYPERLINK("https://my.pitchbook.com?p=153930-79P","View People Online")</f>
        <v>View People Online</v>
      </c>
    </row>
    <row r="4112">
      <c r="A4112" s="2" t="s">
        <v>25831</v>
      </c>
      <c r="B4112" s="2" t="s">
        <v>25832</v>
      </c>
      <c r="C4112" s="2" t="s">
        <v>25827</v>
      </c>
      <c r="D4112" s="2" t="s">
        <v>7892</v>
      </c>
      <c r="E4112" s="2" t="s">
        <v>25722</v>
      </c>
      <c r="F4112" s="2" t="s">
        <v>2422</v>
      </c>
      <c r="G4112" s="2" t="s">
        <v>25833</v>
      </c>
      <c r="H4112" s="3" t="s">
        <v>31</v>
      </c>
      <c r="I4112" s="3">
        <v>1.0</v>
      </c>
      <c r="J4112" s="3">
        <v>1.0</v>
      </c>
      <c r="K4112" s="3" t="s">
        <v>31</v>
      </c>
      <c r="L4112" s="4" t="s">
        <v>25725</v>
      </c>
      <c r="M4112" s="2" t="s">
        <v>25834</v>
      </c>
      <c r="N4112" s="2" t="s">
        <v>25744</v>
      </c>
      <c r="O4112" s="4" t="s">
        <v>25745</v>
      </c>
      <c r="P4112" s="2" t="s">
        <v>25746</v>
      </c>
      <c r="Q4112" s="2" t="s">
        <v>31</v>
      </c>
      <c r="R4112" s="2" t="s">
        <v>64</v>
      </c>
      <c r="S4112" s="4" t="s">
        <v>25747</v>
      </c>
      <c r="T4112" s="2" t="s">
        <v>66</v>
      </c>
      <c r="U4112" s="4" t="s">
        <v>25731</v>
      </c>
      <c r="V4112" s="2" t="s">
        <v>6303</v>
      </c>
      <c r="W4112" s="2" t="s">
        <v>25722</v>
      </c>
      <c r="X4112" s="5" t="str">
        <f>HYPERLINK("https://my.pitchbook.com?p=142193-71P","View People Online")</f>
        <v>View People Online</v>
      </c>
    </row>
    <row r="4113">
      <c r="A4113" s="14" t="s">
        <v>25835</v>
      </c>
      <c r="B4113" s="14" t="s">
        <v>25836</v>
      </c>
      <c r="C4113" s="14" t="s">
        <v>14460</v>
      </c>
      <c r="D4113" s="14" t="s">
        <v>24167</v>
      </c>
      <c r="E4113" s="14" t="s">
        <v>25722</v>
      </c>
      <c r="F4113" s="14" t="s">
        <v>25723</v>
      </c>
      <c r="G4113" s="14" t="s">
        <v>25837</v>
      </c>
      <c r="H4113" s="15" t="s">
        <v>31</v>
      </c>
      <c r="I4113" s="15">
        <v>1.0</v>
      </c>
      <c r="J4113" s="15">
        <v>1.0</v>
      </c>
      <c r="K4113" s="15" t="s">
        <v>31</v>
      </c>
      <c r="L4113" s="16" t="s">
        <v>25725</v>
      </c>
      <c r="M4113" s="14" t="s">
        <v>25838</v>
      </c>
      <c r="N4113" s="14" t="s">
        <v>25744</v>
      </c>
      <c r="O4113" s="16" t="s">
        <v>25745</v>
      </c>
      <c r="P4113" s="14" t="s">
        <v>25746</v>
      </c>
      <c r="Q4113" s="14" t="s">
        <v>31</v>
      </c>
      <c r="R4113" s="14" t="s">
        <v>64</v>
      </c>
      <c r="S4113" s="16" t="s">
        <v>25747</v>
      </c>
      <c r="T4113" s="14" t="s">
        <v>66</v>
      </c>
      <c r="U4113" s="16" t="s">
        <v>25731</v>
      </c>
      <c r="V4113" s="14" t="s">
        <v>25723</v>
      </c>
      <c r="W4113" s="14" t="s">
        <v>25722</v>
      </c>
      <c r="X4113" s="17" t="str">
        <f>HYPERLINK("https://my.pitchbook.com?p=415563-04P","View People Online")</f>
        <v>View People Online</v>
      </c>
    </row>
    <row r="4114">
      <c r="A4114" s="10" t="s">
        <v>25839</v>
      </c>
      <c r="B4114" s="10" t="s">
        <v>25840</v>
      </c>
      <c r="C4114" s="10" t="s">
        <v>14512</v>
      </c>
      <c r="D4114" s="10" t="s">
        <v>4586</v>
      </c>
      <c r="E4114" s="10" t="s">
        <v>25722</v>
      </c>
      <c r="F4114" s="10" t="s">
        <v>3665</v>
      </c>
      <c r="G4114" s="10" t="s">
        <v>25841</v>
      </c>
      <c r="H4114" s="11" t="s">
        <v>31</v>
      </c>
      <c r="I4114" s="11">
        <v>1.0</v>
      </c>
      <c r="J4114" s="11">
        <v>1.0</v>
      </c>
      <c r="K4114" s="11" t="s">
        <v>31</v>
      </c>
      <c r="L4114" s="12" t="s">
        <v>25725</v>
      </c>
      <c r="M4114" s="10" t="s">
        <v>25842</v>
      </c>
      <c r="N4114" s="10" t="s">
        <v>25744</v>
      </c>
      <c r="O4114" s="12" t="s">
        <v>25745</v>
      </c>
      <c r="P4114" s="10" t="s">
        <v>25746</v>
      </c>
      <c r="Q4114" s="10" t="s">
        <v>31</v>
      </c>
      <c r="R4114" s="10" t="s">
        <v>64</v>
      </c>
      <c r="S4114" s="12" t="s">
        <v>25747</v>
      </c>
      <c r="T4114" s="10" t="s">
        <v>66</v>
      </c>
      <c r="U4114" s="12" t="s">
        <v>25731</v>
      </c>
      <c r="V4114" s="10" t="s">
        <v>3665</v>
      </c>
      <c r="W4114" s="10" t="s">
        <v>25722</v>
      </c>
      <c r="X4114" s="13" t="str">
        <f>HYPERLINK("https://my.pitchbook.com?p=102099-34P","View People Online")</f>
        <v>View People Online</v>
      </c>
    </row>
    <row r="4115">
      <c r="A4115" s="14" t="s">
        <v>25843</v>
      </c>
      <c r="B4115" s="14" t="s">
        <v>25844</v>
      </c>
      <c r="C4115" s="14" t="s">
        <v>54</v>
      </c>
      <c r="D4115" s="14" t="s">
        <v>1073</v>
      </c>
      <c r="E4115" s="14" t="s">
        <v>25722</v>
      </c>
      <c r="F4115" s="14" t="s">
        <v>896</v>
      </c>
      <c r="G4115" s="14" t="s">
        <v>25845</v>
      </c>
      <c r="H4115" s="15" t="s">
        <v>31</v>
      </c>
      <c r="I4115" s="15">
        <v>1.0</v>
      </c>
      <c r="J4115" s="15">
        <v>1.0</v>
      </c>
      <c r="K4115" s="15" t="s">
        <v>31</v>
      </c>
      <c r="L4115" s="16" t="s">
        <v>25725</v>
      </c>
      <c r="M4115" s="14" t="s">
        <v>25846</v>
      </c>
      <c r="N4115" s="14" t="s">
        <v>25727</v>
      </c>
      <c r="O4115" s="16" t="s">
        <v>25728</v>
      </c>
      <c r="P4115" s="14" t="s">
        <v>25729</v>
      </c>
      <c r="Q4115" s="14" t="s">
        <v>31</v>
      </c>
      <c r="R4115" s="14" t="s">
        <v>64</v>
      </c>
      <c r="S4115" s="16" t="s">
        <v>25730</v>
      </c>
      <c r="T4115" s="14" t="s">
        <v>66</v>
      </c>
      <c r="U4115" s="16" t="s">
        <v>25731</v>
      </c>
      <c r="V4115" s="14" t="s">
        <v>896</v>
      </c>
      <c r="W4115" s="14" t="s">
        <v>25722</v>
      </c>
      <c r="X4115" s="17" t="str">
        <f>HYPERLINK("https://my.pitchbook.com?p=415391-05P","View People Online")</f>
        <v>View People Online</v>
      </c>
    </row>
    <row r="4116">
      <c r="A4116" s="2" t="s">
        <v>25847</v>
      </c>
      <c r="B4116" s="2" t="s">
        <v>25848</v>
      </c>
      <c r="C4116" s="2" t="s">
        <v>1929</v>
      </c>
      <c r="D4116" s="2" t="s">
        <v>25849</v>
      </c>
      <c r="E4116" s="2" t="s">
        <v>25722</v>
      </c>
      <c r="F4116" s="2" t="s">
        <v>3710</v>
      </c>
      <c r="G4116" s="2" t="s">
        <v>25850</v>
      </c>
      <c r="H4116" s="3" t="s">
        <v>31</v>
      </c>
      <c r="I4116" s="3">
        <v>1.0</v>
      </c>
      <c r="J4116" s="3">
        <v>1.0</v>
      </c>
      <c r="K4116" s="3" t="s">
        <v>31</v>
      </c>
      <c r="L4116" s="4" t="s">
        <v>25725</v>
      </c>
      <c r="M4116" s="2" t="s">
        <v>25851</v>
      </c>
      <c r="N4116" s="2" t="s">
        <v>25744</v>
      </c>
      <c r="O4116" s="4" t="s">
        <v>25745</v>
      </c>
      <c r="P4116" s="2" t="s">
        <v>25746</v>
      </c>
      <c r="Q4116" s="2" t="s">
        <v>31</v>
      </c>
      <c r="R4116" s="2" t="s">
        <v>64</v>
      </c>
      <c r="S4116" s="4" t="s">
        <v>25747</v>
      </c>
      <c r="T4116" s="2" t="s">
        <v>66</v>
      </c>
      <c r="U4116" s="4" t="s">
        <v>25731</v>
      </c>
      <c r="V4116" s="2" t="s">
        <v>3710</v>
      </c>
      <c r="W4116" s="2" t="s">
        <v>25722</v>
      </c>
      <c r="X4116" s="5" t="str">
        <f>HYPERLINK("https://my.pitchbook.com?p=36998-20P","View People Online")</f>
        <v>View People Online</v>
      </c>
    </row>
    <row r="4117">
      <c r="A4117" s="6" t="s">
        <v>25852</v>
      </c>
      <c r="B4117" s="6" t="s">
        <v>25853</v>
      </c>
      <c r="C4117" s="6" t="s">
        <v>1929</v>
      </c>
      <c r="D4117" s="6" t="s">
        <v>16912</v>
      </c>
      <c r="E4117" s="6" t="s">
        <v>25722</v>
      </c>
      <c r="F4117" s="6" t="s">
        <v>896</v>
      </c>
      <c r="G4117" s="6" t="s">
        <v>25854</v>
      </c>
      <c r="H4117" s="7" t="s">
        <v>31</v>
      </c>
      <c r="I4117" s="7">
        <v>1.0</v>
      </c>
      <c r="J4117" s="7">
        <v>1.0</v>
      </c>
      <c r="K4117" s="7" t="s">
        <v>31</v>
      </c>
      <c r="L4117" s="8" t="s">
        <v>25725</v>
      </c>
      <c r="M4117" s="6" t="s">
        <v>25855</v>
      </c>
      <c r="N4117" s="6" t="s">
        <v>25744</v>
      </c>
      <c r="O4117" s="8" t="s">
        <v>25745</v>
      </c>
      <c r="P4117" s="6" t="s">
        <v>25746</v>
      </c>
      <c r="Q4117" s="6" t="s">
        <v>31</v>
      </c>
      <c r="R4117" s="6" t="s">
        <v>64</v>
      </c>
      <c r="S4117" s="8" t="s">
        <v>25747</v>
      </c>
      <c r="T4117" s="6" t="s">
        <v>66</v>
      </c>
      <c r="U4117" s="8" t="s">
        <v>25731</v>
      </c>
      <c r="V4117" s="6" t="s">
        <v>896</v>
      </c>
      <c r="W4117" s="6" t="s">
        <v>25722</v>
      </c>
      <c r="X4117" s="9" t="str">
        <f>HYPERLINK("https://my.pitchbook.com?p=79683-13P","View People Online")</f>
        <v>View People Online</v>
      </c>
    </row>
    <row r="4118">
      <c r="A4118" s="10" t="s">
        <v>25856</v>
      </c>
      <c r="B4118" s="10" t="s">
        <v>25857</v>
      </c>
      <c r="C4118" s="10" t="s">
        <v>6326</v>
      </c>
      <c r="D4118" s="10" t="s">
        <v>25858</v>
      </c>
      <c r="E4118" s="10" t="s">
        <v>25722</v>
      </c>
      <c r="F4118" s="10" t="s">
        <v>896</v>
      </c>
      <c r="G4118" s="10" t="s">
        <v>25859</v>
      </c>
      <c r="H4118" s="11" t="s">
        <v>31</v>
      </c>
      <c r="I4118" s="11">
        <v>1.0</v>
      </c>
      <c r="J4118" s="11">
        <v>1.0</v>
      </c>
      <c r="K4118" s="11" t="s">
        <v>31</v>
      </c>
      <c r="L4118" s="12" t="s">
        <v>25725</v>
      </c>
      <c r="M4118" s="10" t="s">
        <v>25860</v>
      </c>
      <c r="N4118" s="10" t="s">
        <v>25744</v>
      </c>
      <c r="O4118" s="12" t="s">
        <v>25745</v>
      </c>
      <c r="P4118" s="10" t="s">
        <v>25746</v>
      </c>
      <c r="Q4118" s="10" t="s">
        <v>31</v>
      </c>
      <c r="R4118" s="10" t="s">
        <v>64</v>
      </c>
      <c r="S4118" s="12" t="s">
        <v>25747</v>
      </c>
      <c r="T4118" s="10" t="s">
        <v>66</v>
      </c>
      <c r="U4118" s="12" t="s">
        <v>25731</v>
      </c>
      <c r="V4118" s="10" t="s">
        <v>896</v>
      </c>
      <c r="W4118" s="10" t="s">
        <v>25722</v>
      </c>
      <c r="X4118" s="13" t="str">
        <f>HYPERLINK("https://my.pitchbook.com?p=126148-96P","View People Online")</f>
        <v>View People Online</v>
      </c>
    </row>
    <row r="4119">
      <c r="A4119" s="6" t="s">
        <v>25861</v>
      </c>
      <c r="B4119" s="6" t="s">
        <v>25862</v>
      </c>
      <c r="C4119" s="6" t="s">
        <v>2713</v>
      </c>
      <c r="D4119" s="6" t="s">
        <v>25863</v>
      </c>
      <c r="E4119" s="6" t="s">
        <v>25722</v>
      </c>
      <c r="F4119" s="6" t="s">
        <v>25723</v>
      </c>
      <c r="G4119" s="6" t="s">
        <v>25864</v>
      </c>
      <c r="H4119" s="7" t="s">
        <v>31</v>
      </c>
      <c r="I4119" s="7">
        <v>1.0</v>
      </c>
      <c r="J4119" s="7">
        <v>1.0</v>
      </c>
      <c r="K4119" s="7" t="s">
        <v>31</v>
      </c>
      <c r="L4119" s="8" t="s">
        <v>25725</v>
      </c>
      <c r="M4119" s="6" t="s">
        <v>25865</v>
      </c>
      <c r="N4119" s="6" t="s">
        <v>25744</v>
      </c>
      <c r="O4119" s="8" t="s">
        <v>25745</v>
      </c>
      <c r="P4119" s="6" t="s">
        <v>25746</v>
      </c>
      <c r="Q4119" s="6" t="s">
        <v>31</v>
      </c>
      <c r="R4119" s="6" t="s">
        <v>64</v>
      </c>
      <c r="S4119" s="8" t="s">
        <v>25747</v>
      </c>
      <c r="T4119" s="6" t="s">
        <v>66</v>
      </c>
      <c r="U4119" s="8" t="s">
        <v>25731</v>
      </c>
      <c r="V4119" s="6" t="s">
        <v>25723</v>
      </c>
      <c r="W4119" s="6" t="s">
        <v>25722</v>
      </c>
      <c r="X4119" s="9" t="str">
        <f>HYPERLINK("https://my.pitchbook.com?p=126148-87P","View People Online")</f>
        <v>View People Online</v>
      </c>
    </row>
    <row r="4120">
      <c r="A4120" s="2" t="s">
        <v>25866</v>
      </c>
      <c r="B4120" s="2" t="s">
        <v>25867</v>
      </c>
      <c r="C4120" s="2" t="s">
        <v>2713</v>
      </c>
      <c r="D4120" s="2" t="s">
        <v>25868</v>
      </c>
      <c r="E4120" s="2" t="s">
        <v>25722</v>
      </c>
      <c r="F4120" s="2" t="s">
        <v>896</v>
      </c>
      <c r="G4120" s="2" t="s">
        <v>25869</v>
      </c>
      <c r="H4120" s="3" t="s">
        <v>31</v>
      </c>
      <c r="I4120" s="3">
        <v>4.0</v>
      </c>
      <c r="J4120" s="3">
        <v>1.0</v>
      </c>
      <c r="K4120" s="3">
        <v>2.0</v>
      </c>
      <c r="L4120" s="4" t="s">
        <v>25725</v>
      </c>
      <c r="M4120" s="2" t="s">
        <v>25870</v>
      </c>
      <c r="N4120" s="2" t="s">
        <v>25727</v>
      </c>
      <c r="O4120" s="4" t="s">
        <v>25728</v>
      </c>
      <c r="P4120" s="2" t="s">
        <v>25729</v>
      </c>
      <c r="Q4120" s="2" t="s">
        <v>31</v>
      </c>
      <c r="R4120" s="2" t="s">
        <v>64</v>
      </c>
      <c r="S4120" s="4" t="s">
        <v>25730</v>
      </c>
      <c r="T4120" s="2" t="s">
        <v>66</v>
      </c>
      <c r="U4120" s="4" t="s">
        <v>25731</v>
      </c>
      <c r="V4120" s="2" t="s">
        <v>896</v>
      </c>
      <c r="W4120" s="2" t="s">
        <v>25722</v>
      </c>
      <c r="X4120" s="5" t="str">
        <f>HYPERLINK("https://my.pitchbook.com?p=14072-86P","View People Online")</f>
        <v>View People Online</v>
      </c>
    </row>
    <row r="4121">
      <c r="A4121" s="14" t="s">
        <v>25871</v>
      </c>
      <c r="B4121" s="14" t="s">
        <v>25872</v>
      </c>
      <c r="C4121" s="14" t="s">
        <v>711</v>
      </c>
      <c r="D4121" s="14" t="s">
        <v>25873</v>
      </c>
      <c r="E4121" s="14" t="s">
        <v>25722</v>
      </c>
      <c r="F4121" s="14" t="s">
        <v>896</v>
      </c>
      <c r="G4121" s="14" t="s">
        <v>25874</v>
      </c>
      <c r="H4121" s="15" t="s">
        <v>31</v>
      </c>
      <c r="I4121" s="15">
        <v>1.0</v>
      </c>
      <c r="J4121" s="15">
        <v>1.0</v>
      </c>
      <c r="K4121" s="15" t="s">
        <v>31</v>
      </c>
      <c r="L4121" s="16" t="s">
        <v>25725</v>
      </c>
      <c r="M4121" s="14" t="s">
        <v>25875</v>
      </c>
      <c r="N4121" s="14" t="s">
        <v>25744</v>
      </c>
      <c r="O4121" s="16" t="s">
        <v>25745</v>
      </c>
      <c r="P4121" s="14" t="s">
        <v>25746</v>
      </c>
      <c r="Q4121" s="14" t="s">
        <v>31</v>
      </c>
      <c r="R4121" s="14" t="s">
        <v>64</v>
      </c>
      <c r="S4121" s="16" t="s">
        <v>25747</v>
      </c>
      <c r="T4121" s="14" t="s">
        <v>66</v>
      </c>
      <c r="U4121" s="16" t="s">
        <v>25731</v>
      </c>
      <c r="V4121" s="14" t="s">
        <v>896</v>
      </c>
      <c r="W4121" s="14" t="s">
        <v>25722</v>
      </c>
      <c r="X4121" s="17" t="str">
        <f>HYPERLINK("https://my.pitchbook.com?p=142193-35P","View People Online")</f>
        <v>View People Online</v>
      </c>
    </row>
    <row r="4122">
      <c r="A4122" s="2" t="s">
        <v>25876</v>
      </c>
      <c r="B4122" s="2" t="s">
        <v>25877</v>
      </c>
      <c r="C4122" s="2" t="s">
        <v>8095</v>
      </c>
      <c r="D4122" s="2" t="s">
        <v>25878</v>
      </c>
      <c r="E4122" s="2" t="s">
        <v>25722</v>
      </c>
      <c r="F4122" s="2" t="s">
        <v>470</v>
      </c>
      <c r="G4122" s="2" t="s">
        <v>25879</v>
      </c>
      <c r="H4122" s="3" t="s">
        <v>31</v>
      </c>
      <c r="I4122" s="3">
        <v>1.0</v>
      </c>
      <c r="J4122" s="3">
        <v>1.0</v>
      </c>
      <c r="K4122" s="3" t="s">
        <v>31</v>
      </c>
      <c r="L4122" s="4" t="s">
        <v>25725</v>
      </c>
      <c r="M4122" s="2" t="s">
        <v>25880</v>
      </c>
      <c r="N4122" s="2" t="s">
        <v>25744</v>
      </c>
      <c r="O4122" s="4" t="s">
        <v>25745</v>
      </c>
      <c r="P4122" s="2" t="s">
        <v>25746</v>
      </c>
      <c r="Q4122" s="2" t="s">
        <v>31</v>
      </c>
      <c r="R4122" s="2" t="s">
        <v>64</v>
      </c>
      <c r="S4122" s="4" t="s">
        <v>25747</v>
      </c>
      <c r="T4122" s="2" t="s">
        <v>66</v>
      </c>
      <c r="U4122" s="4" t="s">
        <v>25731</v>
      </c>
      <c r="V4122" s="2" t="s">
        <v>470</v>
      </c>
      <c r="W4122" s="2" t="s">
        <v>25722</v>
      </c>
      <c r="X4122" s="5" t="str">
        <f>HYPERLINK("https://my.pitchbook.com?p=36998-65P","View People Online")</f>
        <v>View People Online</v>
      </c>
    </row>
    <row r="4123">
      <c r="A4123" s="6" t="s">
        <v>25881</v>
      </c>
      <c r="B4123" s="6" t="s">
        <v>25882</v>
      </c>
      <c r="C4123" s="6" t="s">
        <v>8566</v>
      </c>
      <c r="D4123" s="6" t="s">
        <v>25883</v>
      </c>
      <c r="E4123" s="6" t="s">
        <v>25722</v>
      </c>
      <c r="F4123" s="6" t="s">
        <v>896</v>
      </c>
      <c r="G4123" s="6" t="s">
        <v>25884</v>
      </c>
      <c r="H4123" s="7" t="s">
        <v>31</v>
      </c>
      <c r="I4123" s="7">
        <v>1.0</v>
      </c>
      <c r="J4123" s="7">
        <v>1.0</v>
      </c>
      <c r="K4123" s="7" t="s">
        <v>31</v>
      </c>
      <c r="L4123" s="8" t="s">
        <v>25725</v>
      </c>
      <c r="M4123" s="6" t="s">
        <v>25885</v>
      </c>
      <c r="N4123" s="6" t="s">
        <v>25744</v>
      </c>
      <c r="O4123" s="8" t="s">
        <v>25745</v>
      </c>
      <c r="P4123" s="6" t="s">
        <v>25746</v>
      </c>
      <c r="Q4123" s="6" t="s">
        <v>31</v>
      </c>
      <c r="R4123" s="6" t="s">
        <v>64</v>
      </c>
      <c r="S4123" s="8" t="s">
        <v>25747</v>
      </c>
      <c r="T4123" s="6" t="s">
        <v>66</v>
      </c>
      <c r="U4123" s="8" t="s">
        <v>25731</v>
      </c>
      <c r="V4123" s="6" t="s">
        <v>896</v>
      </c>
      <c r="W4123" s="6" t="s">
        <v>25722</v>
      </c>
      <c r="X4123" s="9" t="str">
        <f>HYPERLINK("https://my.pitchbook.com?p=126148-51P","View People Online")</f>
        <v>View People Online</v>
      </c>
    </row>
    <row r="4124">
      <c r="A4124" s="10" t="s">
        <v>25886</v>
      </c>
      <c r="B4124" s="10" t="s">
        <v>25887</v>
      </c>
      <c r="C4124" s="10" t="s">
        <v>25888</v>
      </c>
      <c r="D4124" s="10" t="s">
        <v>3058</v>
      </c>
      <c r="E4124" s="10" t="s">
        <v>25722</v>
      </c>
      <c r="F4124" s="10" t="s">
        <v>25723</v>
      </c>
      <c r="G4124" s="10" t="s">
        <v>25889</v>
      </c>
      <c r="H4124" s="11" t="s">
        <v>31</v>
      </c>
      <c r="I4124" s="11">
        <v>1.0</v>
      </c>
      <c r="J4124" s="11">
        <v>1.0</v>
      </c>
      <c r="K4124" s="11" t="s">
        <v>31</v>
      </c>
      <c r="L4124" s="12" t="s">
        <v>25725</v>
      </c>
      <c r="M4124" s="10" t="s">
        <v>31</v>
      </c>
      <c r="N4124" s="10" t="s">
        <v>25744</v>
      </c>
      <c r="O4124" s="12" t="s">
        <v>25745</v>
      </c>
      <c r="P4124" s="10" t="s">
        <v>25746</v>
      </c>
      <c r="Q4124" s="10" t="s">
        <v>31</v>
      </c>
      <c r="R4124" s="10" t="s">
        <v>64</v>
      </c>
      <c r="S4124" s="12" t="s">
        <v>25747</v>
      </c>
      <c r="T4124" s="10" t="s">
        <v>66</v>
      </c>
      <c r="U4124" s="12" t="s">
        <v>25731</v>
      </c>
      <c r="V4124" s="10" t="s">
        <v>25723</v>
      </c>
      <c r="W4124" s="10" t="s">
        <v>25722</v>
      </c>
      <c r="X4124" s="13" t="str">
        <f>HYPERLINK("https://my.pitchbook.com?p=415563-49P","View People Online")</f>
        <v>View People Online</v>
      </c>
    </row>
    <row r="4125">
      <c r="A4125" s="6" t="s">
        <v>25890</v>
      </c>
      <c r="B4125" s="6" t="s">
        <v>25891</v>
      </c>
      <c r="C4125" s="6" t="s">
        <v>1426</v>
      </c>
      <c r="D4125" s="6" t="s">
        <v>25892</v>
      </c>
      <c r="E4125" s="6" t="s">
        <v>25722</v>
      </c>
      <c r="F4125" s="6" t="s">
        <v>896</v>
      </c>
      <c r="G4125" s="6" t="s">
        <v>25893</v>
      </c>
      <c r="H4125" s="7" t="s">
        <v>31</v>
      </c>
      <c r="I4125" s="7">
        <v>1.0</v>
      </c>
      <c r="J4125" s="7">
        <v>1.0</v>
      </c>
      <c r="K4125" s="7" t="s">
        <v>31</v>
      </c>
      <c r="L4125" s="8" t="s">
        <v>25725</v>
      </c>
      <c r="M4125" s="6" t="s">
        <v>25894</v>
      </c>
      <c r="N4125" s="6" t="s">
        <v>25744</v>
      </c>
      <c r="O4125" s="8" t="s">
        <v>25745</v>
      </c>
      <c r="P4125" s="6" t="s">
        <v>25746</v>
      </c>
      <c r="Q4125" s="6" t="s">
        <v>31</v>
      </c>
      <c r="R4125" s="6" t="s">
        <v>64</v>
      </c>
      <c r="S4125" s="8" t="s">
        <v>25747</v>
      </c>
      <c r="T4125" s="6" t="s">
        <v>66</v>
      </c>
      <c r="U4125" s="8" t="s">
        <v>25731</v>
      </c>
      <c r="V4125" s="6" t="s">
        <v>896</v>
      </c>
      <c r="W4125" s="6" t="s">
        <v>25722</v>
      </c>
      <c r="X4125" s="9" t="str">
        <f>HYPERLINK("https://my.pitchbook.com?p=126148-24P","View People Online")</f>
        <v>View People Online</v>
      </c>
    </row>
    <row r="4126">
      <c r="A4126" s="10" t="s">
        <v>25895</v>
      </c>
      <c r="B4126" s="10" t="s">
        <v>25896</v>
      </c>
      <c r="C4126" s="10" t="s">
        <v>1437</v>
      </c>
      <c r="D4126" s="10" t="s">
        <v>8234</v>
      </c>
      <c r="E4126" s="10" t="s">
        <v>25722</v>
      </c>
      <c r="F4126" s="10" t="s">
        <v>25723</v>
      </c>
      <c r="G4126" s="10" t="s">
        <v>25897</v>
      </c>
      <c r="H4126" s="11" t="s">
        <v>31</v>
      </c>
      <c r="I4126" s="11">
        <v>1.0</v>
      </c>
      <c r="J4126" s="11">
        <v>1.0</v>
      </c>
      <c r="K4126" s="11" t="s">
        <v>31</v>
      </c>
      <c r="L4126" s="12" t="s">
        <v>25725</v>
      </c>
      <c r="M4126" s="10" t="s">
        <v>25898</v>
      </c>
      <c r="N4126" s="10" t="s">
        <v>25744</v>
      </c>
      <c r="O4126" s="12" t="s">
        <v>25745</v>
      </c>
      <c r="P4126" s="10" t="s">
        <v>25746</v>
      </c>
      <c r="Q4126" s="10" t="s">
        <v>31</v>
      </c>
      <c r="R4126" s="10" t="s">
        <v>64</v>
      </c>
      <c r="S4126" s="12" t="s">
        <v>25747</v>
      </c>
      <c r="T4126" s="10" t="s">
        <v>66</v>
      </c>
      <c r="U4126" s="12" t="s">
        <v>25731</v>
      </c>
      <c r="V4126" s="10" t="s">
        <v>25723</v>
      </c>
      <c r="W4126" s="10" t="s">
        <v>25722</v>
      </c>
      <c r="X4126" s="13" t="str">
        <f>HYPERLINK("https://my.pitchbook.com?p=415566-37P","View People Online")</f>
        <v>View People Online</v>
      </c>
    </row>
    <row r="4127">
      <c r="A4127" s="6" t="s">
        <v>25899</v>
      </c>
      <c r="B4127" s="6" t="s">
        <v>25900</v>
      </c>
      <c r="C4127" s="6" t="s">
        <v>285</v>
      </c>
      <c r="D4127" s="6" t="s">
        <v>25901</v>
      </c>
      <c r="E4127" s="6" t="s">
        <v>25722</v>
      </c>
      <c r="F4127" s="6" t="s">
        <v>25723</v>
      </c>
      <c r="G4127" s="6" t="s">
        <v>25902</v>
      </c>
      <c r="H4127" s="7" t="s">
        <v>31</v>
      </c>
      <c r="I4127" s="7">
        <v>1.0</v>
      </c>
      <c r="J4127" s="7">
        <v>1.0</v>
      </c>
      <c r="K4127" s="7" t="s">
        <v>31</v>
      </c>
      <c r="L4127" s="8" t="s">
        <v>25725</v>
      </c>
      <c r="M4127" s="6" t="s">
        <v>25903</v>
      </c>
      <c r="N4127" s="6" t="s">
        <v>25744</v>
      </c>
      <c r="O4127" s="8" t="s">
        <v>25745</v>
      </c>
      <c r="P4127" s="6" t="s">
        <v>25746</v>
      </c>
      <c r="Q4127" s="6" t="s">
        <v>31</v>
      </c>
      <c r="R4127" s="6" t="s">
        <v>64</v>
      </c>
      <c r="S4127" s="8" t="s">
        <v>25747</v>
      </c>
      <c r="T4127" s="6" t="s">
        <v>66</v>
      </c>
      <c r="U4127" s="8" t="s">
        <v>25731</v>
      </c>
      <c r="V4127" s="6" t="s">
        <v>25723</v>
      </c>
      <c r="W4127" s="6" t="s">
        <v>25722</v>
      </c>
      <c r="X4127" s="9" t="str">
        <f>HYPERLINK("https://my.pitchbook.com?p=126147-16P","View People Online")</f>
        <v>View People Online</v>
      </c>
    </row>
    <row r="4128">
      <c r="A4128" s="10" t="s">
        <v>25904</v>
      </c>
      <c r="B4128" s="10" t="s">
        <v>25905</v>
      </c>
      <c r="C4128" s="10" t="s">
        <v>285</v>
      </c>
      <c r="D4128" s="10" t="s">
        <v>25906</v>
      </c>
      <c r="E4128" s="10" t="s">
        <v>25722</v>
      </c>
      <c r="F4128" s="10" t="s">
        <v>25723</v>
      </c>
      <c r="G4128" s="10" t="s">
        <v>25907</v>
      </c>
      <c r="H4128" s="11" t="s">
        <v>31</v>
      </c>
      <c r="I4128" s="11">
        <v>1.0</v>
      </c>
      <c r="J4128" s="11">
        <v>1.0</v>
      </c>
      <c r="K4128" s="11" t="s">
        <v>31</v>
      </c>
      <c r="L4128" s="12" t="s">
        <v>25725</v>
      </c>
      <c r="M4128" s="10" t="s">
        <v>25908</v>
      </c>
      <c r="N4128" s="10" t="s">
        <v>25744</v>
      </c>
      <c r="O4128" s="12" t="s">
        <v>25745</v>
      </c>
      <c r="P4128" s="10" t="s">
        <v>25746</v>
      </c>
      <c r="Q4128" s="10" t="s">
        <v>31</v>
      </c>
      <c r="R4128" s="10" t="s">
        <v>64</v>
      </c>
      <c r="S4128" s="12" t="s">
        <v>25747</v>
      </c>
      <c r="T4128" s="10" t="s">
        <v>66</v>
      </c>
      <c r="U4128" s="12" t="s">
        <v>25731</v>
      </c>
      <c r="V4128" s="10" t="s">
        <v>25723</v>
      </c>
      <c r="W4128" s="10" t="s">
        <v>25722</v>
      </c>
      <c r="X4128" s="13" t="str">
        <f>HYPERLINK("https://my.pitchbook.com?p=415577-80P","View People Online")</f>
        <v>View People Online</v>
      </c>
    </row>
    <row r="4129">
      <c r="A4129" s="14" t="s">
        <v>25909</v>
      </c>
      <c r="B4129" s="14" t="s">
        <v>25910</v>
      </c>
      <c r="C4129" s="14" t="s">
        <v>285</v>
      </c>
      <c r="D4129" s="14" t="s">
        <v>12822</v>
      </c>
      <c r="E4129" s="14" t="s">
        <v>25722</v>
      </c>
      <c r="F4129" s="14" t="s">
        <v>896</v>
      </c>
      <c r="G4129" s="14" t="s">
        <v>25911</v>
      </c>
      <c r="H4129" s="15" t="s">
        <v>31</v>
      </c>
      <c r="I4129" s="15">
        <v>1.0</v>
      </c>
      <c r="J4129" s="15">
        <v>1.0</v>
      </c>
      <c r="K4129" s="15" t="s">
        <v>31</v>
      </c>
      <c r="L4129" s="16" t="s">
        <v>25725</v>
      </c>
      <c r="M4129" s="14" t="s">
        <v>31</v>
      </c>
      <c r="N4129" s="14" t="s">
        <v>25744</v>
      </c>
      <c r="O4129" s="16" t="s">
        <v>25745</v>
      </c>
      <c r="P4129" s="14" t="s">
        <v>25746</v>
      </c>
      <c r="Q4129" s="14" t="s">
        <v>31</v>
      </c>
      <c r="R4129" s="14" t="s">
        <v>64</v>
      </c>
      <c r="S4129" s="16" t="s">
        <v>25747</v>
      </c>
      <c r="T4129" s="14" t="s">
        <v>66</v>
      </c>
      <c r="U4129" s="16" t="s">
        <v>25731</v>
      </c>
      <c r="V4129" s="14" t="s">
        <v>25796</v>
      </c>
      <c r="W4129" s="14" t="s">
        <v>25722</v>
      </c>
      <c r="X4129" s="17" t="str">
        <f>HYPERLINK("https://my.pitchbook.com?p=126147-79P","View People Online")</f>
        <v>View People Online</v>
      </c>
    </row>
    <row r="4130">
      <c r="A4130" s="10" t="s">
        <v>25912</v>
      </c>
      <c r="B4130" s="10" t="s">
        <v>25913</v>
      </c>
      <c r="C4130" s="10" t="s">
        <v>285</v>
      </c>
      <c r="D4130" s="10" t="s">
        <v>25914</v>
      </c>
      <c r="E4130" s="10" t="s">
        <v>25722</v>
      </c>
      <c r="F4130" s="10" t="s">
        <v>896</v>
      </c>
      <c r="G4130" s="10" t="s">
        <v>25915</v>
      </c>
      <c r="H4130" s="11" t="s">
        <v>31</v>
      </c>
      <c r="I4130" s="11">
        <v>1.0</v>
      </c>
      <c r="J4130" s="11">
        <v>1.0</v>
      </c>
      <c r="K4130" s="11" t="s">
        <v>31</v>
      </c>
      <c r="L4130" s="12" t="s">
        <v>25725</v>
      </c>
      <c r="M4130" s="10" t="s">
        <v>25916</v>
      </c>
      <c r="N4130" s="10" t="s">
        <v>25727</v>
      </c>
      <c r="O4130" s="12" t="s">
        <v>25728</v>
      </c>
      <c r="P4130" s="10" t="s">
        <v>25729</v>
      </c>
      <c r="Q4130" s="10" t="s">
        <v>31</v>
      </c>
      <c r="R4130" s="10" t="s">
        <v>64</v>
      </c>
      <c r="S4130" s="12" t="s">
        <v>25730</v>
      </c>
      <c r="T4130" s="10" t="s">
        <v>66</v>
      </c>
      <c r="U4130" s="12" t="s">
        <v>25731</v>
      </c>
      <c r="V4130" s="10" t="s">
        <v>896</v>
      </c>
      <c r="W4130" s="10" t="s">
        <v>25722</v>
      </c>
      <c r="X4130" s="13" t="str">
        <f>HYPERLINK("https://my.pitchbook.com?p=415478-35P","View People Online")</f>
        <v>View People Online</v>
      </c>
    </row>
    <row r="4131">
      <c r="A4131" s="14" t="s">
        <v>25917</v>
      </c>
      <c r="B4131" s="14" t="s">
        <v>25918</v>
      </c>
      <c r="C4131" s="14" t="s">
        <v>285</v>
      </c>
      <c r="D4131" s="14" t="s">
        <v>1866</v>
      </c>
      <c r="E4131" s="14" t="s">
        <v>25722</v>
      </c>
      <c r="F4131" s="14" t="s">
        <v>25723</v>
      </c>
      <c r="G4131" s="14" t="s">
        <v>25919</v>
      </c>
      <c r="H4131" s="15" t="s">
        <v>31</v>
      </c>
      <c r="I4131" s="15">
        <v>1.0</v>
      </c>
      <c r="J4131" s="15">
        <v>1.0</v>
      </c>
      <c r="K4131" s="15" t="s">
        <v>31</v>
      </c>
      <c r="L4131" s="16" t="s">
        <v>25725</v>
      </c>
      <c r="M4131" s="14" t="s">
        <v>25920</v>
      </c>
      <c r="N4131" s="14" t="s">
        <v>25744</v>
      </c>
      <c r="O4131" s="16" t="s">
        <v>25745</v>
      </c>
      <c r="P4131" s="14" t="s">
        <v>25746</v>
      </c>
      <c r="Q4131" s="14" t="s">
        <v>31</v>
      </c>
      <c r="R4131" s="14" t="s">
        <v>64</v>
      </c>
      <c r="S4131" s="16" t="s">
        <v>25747</v>
      </c>
      <c r="T4131" s="14" t="s">
        <v>66</v>
      </c>
      <c r="U4131" s="16" t="s">
        <v>25731</v>
      </c>
      <c r="V4131" s="14" t="s">
        <v>25723</v>
      </c>
      <c r="W4131" s="14" t="s">
        <v>25722</v>
      </c>
      <c r="X4131" s="17" t="str">
        <f>HYPERLINK("https://my.pitchbook.com?p=54410-32P","View People Online")</f>
        <v>View People Online</v>
      </c>
    </row>
    <row r="4132">
      <c r="A4132" s="2" t="s">
        <v>25921</v>
      </c>
      <c r="B4132" s="2" t="s">
        <v>25922</v>
      </c>
      <c r="C4132" s="2" t="s">
        <v>25923</v>
      </c>
      <c r="D4132" s="2" t="s">
        <v>8016</v>
      </c>
      <c r="E4132" s="2" t="s">
        <v>25722</v>
      </c>
      <c r="F4132" s="2" t="s">
        <v>25723</v>
      </c>
      <c r="G4132" s="2" t="s">
        <v>25924</v>
      </c>
      <c r="H4132" s="3" t="s">
        <v>31</v>
      </c>
      <c r="I4132" s="3">
        <v>1.0</v>
      </c>
      <c r="J4132" s="3">
        <v>1.0</v>
      </c>
      <c r="K4132" s="3" t="s">
        <v>31</v>
      </c>
      <c r="L4132" s="4" t="s">
        <v>25725</v>
      </c>
      <c r="M4132" s="2" t="s">
        <v>25925</v>
      </c>
      <c r="N4132" s="2" t="s">
        <v>25727</v>
      </c>
      <c r="O4132" s="4" t="s">
        <v>25728</v>
      </c>
      <c r="P4132" s="2" t="s">
        <v>25729</v>
      </c>
      <c r="Q4132" s="2" t="s">
        <v>31</v>
      </c>
      <c r="R4132" s="2" t="s">
        <v>64</v>
      </c>
      <c r="S4132" s="4" t="s">
        <v>25730</v>
      </c>
      <c r="T4132" s="2" t="s">
        <v>66</v>
      </c>
      <c r="U4132" s="4" t="s">
        <v>25731</v>
      </c>
      <c r="V4132" s="2" t="s">
        <v>25723</v>
      </c>
      <c r="W4132" s="2" t="s">
        <v>25722</v>
      </c>
      <c r="X4132" s="5" t="str">
        <f>HYPERLINK("https://my.pitchbook.com?p=441444-88P","View People Online")</f>
        <v>View People Online</v>
      </c>
    </row>
    <row r="4133">
      <c r="A4133" s="6" t="s">
        <v>25926</v>
      </c>
      <c r="B4133" s="6" t="s">
        <v>25927</v>
      </c>
      <c r="C4133" s="6" t="s">
        <v>4943</v>
      </c>
      <c r="D4133" s="6" t="s">
        <v>25928</v>
      </c>
      <c r="E4133" s="6" t="s">
        <v>25722</v>
      </c>
      <c r="F4133" s="6" t="s">
        <v>896</v>
      </c>
      <c r="G4133" s="6" t="s">
        <v>25929</v>
      </c>
      <c r="H4133" s="7" t="s">
        <v>31</v>
      </c>
      <c r="I4133" s="7">
        <v>1.0</v>
      </c>
      <c r="J4133" s="7">
        <v>1.0</v>
      </c>
      <c r="K4133" s="7" t="s">
        <v>31</v>
      </c>
      <c r="L4133" s="8" t="s">
        <v>25725</v>
      </c>
      <c r="M4133" s="6" t="s">
        <v>25930</v>
      </c>
      <c r="N4133" s="6" t="s">
        <v>25744</v>
      </c>
      <c r="O4133" s="8" t="s">
        <v>25745</v>
      </c>
      <c r="P4133" s="6" t="s">
        <v>25746</v>
      </c>
      <c r="Q4133" s="6" t="s">
        <v>31</v>
      </c>
      <c r="R4133" s="6" t="s">
        <v>64</v>
      </c>
      <c r="S4133" s="8" t="s">
        <v>25747</v>
      </c>
      <c r="T4133" s="6" t="s">
        <v>66</v>
      </c>
      <c r="U4133" s="8" t="s">
        <v>25731</v>
      </c>
      <c r="V4133" s="6" t="s">
        <v>896</v>
      </c>
      <c r="W4133" s="6" t="s">
        <v>25722</v>
      </c>
      <c r="X4133" s="9" t="str">
        <f>HYPERLINK("https://my.pitchbook.com?p=142185-88P","View People Online")</f>
        <v>View People Online</v>
      </c>
    </row>
    <row r="4134">
      <c r="A4134" s="10" t="s">
        <v>25931</v>
      </c>
      <c r="B4134" s="10" t="s">
        <v>25932</v>
      </c>
      <c r="C4134" s="10" t="s">
        <v>69</v>
      </c>
      <c r="D4134" s="10" t="s">
        <v>25933</v>
      </c>
      <c r="E4134" s="10" t="s">
        <v>25722</v>
      </c>
      <c r="F4134" s="10" t="s">
        <v>25934</v>
      </c>
      <c r="G4134" s="10" t="s">
        <v>25935</v>
      </c>
      <c r="H4134" s="11" t="s">
        <v>31</v>
      </c>
      <c r="I4134" s="11">
        <v>1.0</v>
      </c>
      <c r="J4134" s="11">
        <v>1.0</v>
      </c>
      <c r="K4134" s="11" t="s">
        <v>31</v>
      </c>
      <c r="L4134" s="12" t="s">
        <v>25725</v>
      </c>
      <c r="M4134" s="10" t="s">
        <v>25936</v>
      </c>
      <c r="N4134" s="10" t="s">
        <v>25727</v>
      </c>
      <c r="O4134" s="12" t="s">
        <v>25728</v>
      </c>
      <c r="P4134" s="10" t="s">
        <v>25729</v>
      </c>
      <c r="Q4134" s="10" t="s">
        <v>31</v>
      </c>
      <c r="R4134" s="10" t="s">
        <v>64</v>
      </c>
      <c r="S4134" s="12" t="s">
        <v>25730</v>
      </c>
      <c r="T4134" s="10" t="s">
        <v>66</v>
      </c>
      <c r="U4134" s="12" t="s">
        <v>25731</v>
      </c>
      <c r="V4134" s="10" t="s">
        <v>25937</v>
      </c>
      <c r="W4134" s="10" t="s">
        <v>25722</v>
      </c>
      <c r="X4134" s="13" t="str">
        <f>HYPERLINK("https://my.pitchbook.com?p=208880-20P","View People Online")</f>
        <v>View People Online</v>
      </c>
    </row>
    <row r="4135">
      <c r="A4135" s="6" t="s">
        <v>25938</v>
      </c>
      <c r="B4135" s="6" t="s">
        <v>25939</v>
      </c>
      <c r="C4135" s="6" t="s">
        <v>69</v>
      </c>
      <c r="D4135" s="6" t="s">
        <v>21184</v>
      </c>
      <c r="E4135" s="6" t="s">
        <v>25722</v>
      </c>
      <c r="F4135" s="6" t="s">
        <v>896</v>
      </c>
      <c r="G4135" s="6" t="s">
        <v>25940</v>
      </c>
      <c r="H4135" s="7" t="s">
        <v>31</v>
      </c>
      <c r="I4135" s="7">
        <v>1.0</v>
      </c>
      <c r="J4135" s="7">
        <v>1.0</v>
      </c>
      <c r="K4135" s="7" t="s">
        <v>31</v>
      </c>
      <c r="L4135" s="8" t="s">
        <v>25725</v>
      </c>
      <c r="M4135" s="6" t="s">
        <v>25941</v>
      </c>
      <c r="N4135" s="6" t="s">
        <v>25727</v>
      </c>
      <c r="O4135" s="8" t="s">
        <v>25728</v>
      </c>
      <c r="P4135" s="6" t="s">
        <v>25729</v>
      </c>
      <c r="Q4135" s="6" t="s">
        <v>31</v>
      </c>
      <c r="R4135" s="6" t="s">
        <v>64</v>
      </c>
      <c r="S4135" s="8" t="s">
        <v>25730</v>
      </c>
      <c r="T4135" s="6" t="s">
        <v>66</v>
      </c>
      <c r="U4135" s="8" t="s">
        <v>25731</v>
      </c>
      <c r="V4135" s="6" t="s">
        <v>896</v>
      </c>
      <c r="W4135" s="6" t="s">
        <v>25722</v>
      </c>
      <c r="X4135" s="9" t="str">
        <f>HYPERLINK("https://my.pitchbook.com?p=415480-78P","View People Online")</f>
        <v>View People Online</v>
      </c>
    </row>
    <row r="4136">
      <c r="A4136" s="2" t="s">
        <v>25942</v>
      </c>
      <c r="B4136" s="2" t="s">
        <v>25943</v>
      </c>
      <c r="C4136" s="2" t="s">
        <v>69</v>
      </c>
      <c r="D4136" s="2" t="s">
        <v>25944</v>
      </c>
      <c r="E4136" s="2" t="s">
        <v>25722</v>
      </c>
      <c r="F4136" s="2" t="s">
        <v>25723</v>
      </c>
      <c r="G4136" s="2" t="s">
        <v>25945</v>
      </c>
      <c r="H4136" s="3" t="s">
        <v>31</v>
      </c>
      <c r="I4136" s="3">
        <v>1.0</v>
      </c>
      <c r="J4136" s="3">
        <v>1.0</v>
      </c>
      <c r="K4136" s="3" t="s">
        <v>31</v>
      </c>
      <c r="L4136" s="4" t="s">
        <v>25725</v>
      </c>
      <c r="M4136" s="2" t="s">
        <v>25946</v>
      </c>
      <c r="N4136" s="2" t="s">
        <v>25744</v>
      </c>
      <c r="O4136" s="4" t="s">
        <v>25745</v>
      </c>
      <c r="P4136" s="2" t="s">
        <v>25746</v>
      </c>
      <c r="Q4136" s="2" t="s">
        <v>31</v>
      </c>
      <c r="R4136" s="2" t="s">
        <v>64</v>
      </c>
      <c r="S4136" s="4" t="s">
        <v>25747</v>
      </c>
      <c r="T4136" s="2" t="s">
        <v>66</v>
      </c>
      <c r="U4136" s="4" t="s">
        <v>25731</v>
      </c>
      <c r="V4136" s="2" t="s">
        <v>25723</v>
      </c>
      <c r="W4136" s="2" t="s">
        <v>25722</v>
      </c>
      <c r="X4136" s="5" t="str">
        <f>HYPERLINK("https://my.pitchbook.com?p=142186-60P","View People Online")</f>
        <v>View People Online</v>
      </c>
    </row>
    <row r="4137">
      <c r="A4137" s="14" t="s">
        <v>25947</v>
      </c>
      <c r="B4137" s="14" t="s">
        <v>25948</v>
      </c>
      <c r="C4137" s="14" t="s">
        <v>25949</v>
      </c>
      <c r="D4137" s="14" t="s">
        <v>25950</v>
      </c>
      <c r="E4137" s="14" t="s">
        <v>25722</v>
      </c>
      <c r="F4137" s="14" t="s">
        <v>896</v>
      </c>
      <c r="G4137" s="14" t="s">
        <v>25951</v>
      </c>
      <c r="H4137" s="15" t="s">
        <v>31</v>
      </c>
      <c r="I4137" s="15">
        <v>1.0</v>
      </c>
      <c r="J4137" s="15">
        <v>1.0</v>
      </c>
      <c r="K4137" s="15" t="s">
        <v>31</v>
      </c>
      <c r="L4137" s="16" t="s">
        <v>25725</v>
      </c>
      <c r="M4137" s="14" t="s">
        <v>25952</v>
      </c>
      <c r="N4137" s="14" t="s">
        <v>25727</v>
      </c>
      <c r="O4137" s="16" t="s">
        <v>25728</v>
      </c>
      <c r="P4137" s="14" t="s">
        <v>25729</v>
      </c>
      <c r="Q4137" s="14" t="s">
        <v>31</v>
      </c>
      <c r="R4137" s="14" t="s">
        <v>64</v>
      </c>
      <c r="S4137" s="16" t="s">
        <v>25730</v>
      </c>
      <c r="T4137" s="14" t="s">
        <v>66</v>
      </c>
      <c r="U4137" s="16" t="s">
        <v>25731</v>
      </c>
      <c r="V4137" s="14" t="s">
        <v>25796</v>
      </c>
      <c r="W4137" s="14" t="s">
        <v>25722</v>
      </c>
      <c r="X4137" s="17" t="str">
        <f>HYPERLINK("https://my.pitchbook.com?p=415497-07P","View People Online")</f>
        <v>View People Online</v>
      </c>
    </row>
    <row r="4138">
      <c r="A4138" s="10" t="s">
        <v>25953</v>
      </c>
      <c r="B4138" s="10" t="s">
        <v>25954</v>
      </c>
      <c r="C4138" s="10" t="s">
        <v>25955</v>
      </c>
      <c r="D4138" s="10" t="s">
        <v>23170</v>
      </c>
      <c r="E4138" s="10" t="s">
        <v>25722</v>
      </c>
      <c r="F4138" s="10" t="s">
        <v>896</v>
      </c>
      <c r="G4138" s="10" t="s">
        <v>25956</v>
      </c>
      <c r="H4138" s="11" t="s">
        <v>31</v>
      </c>
      <c r="I4138" s="11">
        <v>1.0</v>
      </c>
      <c r="J4138" s="11">
        <v>1.0</v>
      </c>
      <c r="K4138" s="11" t="s">
        <v>31</v>
      </c>
      <c r="L4138" s="12" t="s">
        <v>25725</v>
      </c>
      <c r="M4138" s="10" t="s">
        <v>25957</v>
      </c>
      <c r="N4138" s="10" t="s">
        <v>25744</v>
      </c>
      <c r="O4138" s="12" t="s">
        <v>25745</v>
      </c>
      <c r="P4138" s="10" t="s">
        <v>25746</v>
      </c>
      <c r="Q4138" s="10" t="s">
        <v>31</v>
      </c>
      <c r="R4138" s="10" t="s">
        <v>64</v>
      </c>
      <c r="S4138" s="12" t="s">
        <v>25747</v>
      </c>
      <c r="T4138" s="10" t="s">
        <v>66</v>
      </c>
      <c r="U4138" s="12" t="s">
        <v>25731</v>
      </c>
      <c r="V4138" s="10" t="s">
        <v>25796</v>
      </c>
      <c r="W4138" s="10" t="s">
        <v>25722</v>
      </c>
      <c r="X4138" s="13" t="str">
        <f>HYPERLINK("https://my.pitchbook.com?p=126146-62P","View People Online")</f>
        <v>View People Online</v>
      </c>
    </row>
    <row r="4139">
      <c r="A4139" s="6" t="s">
        <v>25958</v>
      </c>
      <c r="B4139" s="6" t="s">
        <v>25959</v>
      </c>
      <c r="C4139" s="6" t="s">
        <v>1449</v>
      </c>
      <c r="D4139" s="6" t="s">
        <v>25960</v>
      </c>
      <c r="E4139" s="6" t="s">
        <v>25722</v>
      </c>
      <c r="F4139" s="6" t="s">
        <v>896</v>
      </c>
      <c r="G4139" s="6" t="s">
        <v>25961</v>
      </c>
      <c r="H4139" s="7" t="s">
        <v>31</v>
      </c>
      <c r="I4139" s="7">
        <v>1.0</v>
      </c>
      <c r="J4139" s="7">
        <v>1.0</v>
      </c>
      <c r="K4139" s="7" t="s">
        <v>31</v>
      </c>
      <c r="L4139" s="8" t="s">
        <v>25725</v>
      </c>
      <c r="M4139" s="6" t="s">
        <v>25962</v>
      </c>
      <c r="N4139" s="6" t="s">
        <v>25744</v>
      </c>
      <c r="O4139" s="8" t="s">
        <v>25745</v>
      </c>
      <c r="P4139" s="6" t="s">
        <v>25746</v>
      </c>
      <c r="Q4139" s="6" t="s">
        <v>31</v>
      </c>
      <c r="R4139" s="6" t="s">
        <v>64</v>
      </c>
      <c r="S4139" s="8" t="s">
        <v>25747</v>
      </c>
      <c r="T4139" s="6" t="s">
        <v>66</v>
      </c>
      <c r="U4139" s="8" t="s">
        <v>25731</v>
      </c>
      <c r="V4139" s="6" t="s">
        <v>896</v>
      </c>
      <c r="W4139" s="6" t="s">
        <v>25722</v>
      </c>
      <c r="X4139" s="9" t="str">
        <f>HYPERLINK("https://my.pitchbook.com?p=142192-54P","View People Online")</f>
        <v>View People Online</v>
      </c>
    </row>
    <row r="4140">
      <c r="A4140" s="2" t="s">
        <v>25963</v>
      </c>
      <c r="B4140" s="2" t="s">
        <v>25964</v>
      </c>
      <c r="C4140" s="2" t="s">
        <v>1449</v>
      </c>
      <c r="D4140" s="2" t="s">
        <v>10412</v>
      </c>
      <c r="E4140" s="2" t="s">
        <v>25722</v>
      </c>
      <c r="F4140" s="2" t="s">
        <v>548</v>
      </c>
      <c r="G4140" s="2" t="s">
        <v>25965</v>
      </c>
      <c r="H4140" s="3" t="s">
        <v>31</v>
      </c>
      <c r="I4140" s="3">
        <v>1.0</v>
      </c>
      <c r="J4140" s="3">
        <v>1.0</v>
      </c>
      <c r="K4140" s="3" t="s">
        <v>31</v>
      </c>
      <c r="L4140" s="4" t="s">
        <v>25725</v>
      </c>
      <c r="M4140" s="2" t="s">
        <v>25966</v>
      </c>
      <c r="N4140" s="2" t="s">
        <v>25744</v>
      </c>
      <c r="O4140" s="4" t="s">
        <v>25745</v>
      </c>
      <c r="P4140" s="2" t="s">
        <v>25746</v>
      </c>
      <c r="Q4140" s="2" t="s">
        <v>31</v>
      </c>
      <c r="R4140" s="2" t="s">
        <v>64</v>
      </c>
      <c r="S4140" s="4" t="s">
        <v>25747</v>
      </c>
      <c r="T4140" s="2" t="s">
        <v>66</v>
      </c>
      <c r="U4140" s="4" t="s">
        <v>25731</v>
      </c>
      <c r="V4140" s="2" t="s">
        <v>25967</v>
      </c>
      <c r="W4140" s="2" t="s">
        <v>25722</v>
      </c>
      <c r="X4140" s="5" t="str">
        <f>HYPERLINK("https://my.pitchbook.com?p=60041-80P","View People Online")</f>
        <v>View People Online</v>
      </c>
    </row>
    <row r="4141">
      <c r="A4141" s="6" t="s">
        <v>25968</v>
      </c>
      <c r="B4141" s="6" t="s">
        <v>25969</v>
      </c>
      <c r="C4141" s="6" t="s">
        <v>25970</v>
      </c>
      <c r="D4141" s="6" t="s">
        <v>7805</v>
      </c>
      <c r="E4141" s="6" t="s">
        <v>25722</v>
      </c>
      <c r="F4141" s="6" t="s">
        <v>25723</v>
      </c>
      <c r="G4141" s="6" t="s">
        <v>25971</v>
      </c>
      <c r="H4141" s="7" t="s">
        <v>31</v>
      </c>
      <c r="I4141" s="7">
        <v>1.0</v>
      </c>
      <c r="J4141" s="7">
        <v>1.0</v>
      </c>
      <c r="K4141" s="7" t="s">
        <v>31</v>
      </c>
      <c r="L4141" s="8" t="s">
        <v>25725</v>
      </c>
      <c r="M4141" s="6" t="s">
        <v>25972</v>
      </c>
      <c r="N4141" s="6" t="s">
        <v>25744</v>
      </c>
      <c r="O4141" s="8" t="s">
        <v>25745</v>
      </c>
      <c r="P4141" s="6" t="s">
        <v>25746</v>
      </c>
      <c r="Q4141" s="6" t="s">
        <v>31</v>
      </c>
      <c r="R4141" s="6" t="s">
        <v>64</v>
      </c>
      <c r="S4141" s="8" t="s">
        <v>25747</v>
      </c>
      <c r="T4141" s="6" t="s">
        <v>66</v>
      </c>
      <c r="U4141" s="8" t="s">
        <v>25731</v>
      </c>
      <c r="V4141" s="6" t="s">
        <v>25723</v>
      </c>
      <c r="W4141" s="6" t="s">
        <v>25722</v>
      </c>
      <c r="X4141" s="9" t="str">
        <f>HYPERLINK("https://my.pitchbook.com?p=415648-90P","View People Online")</f>
        <v>View People Online</v>
      </c>
    </row>
    <row r="4142">
      <c r="A4142" s="2" t="s">
        <v>25973</v>
      </c>
      <c r="B4142" s="2" t="s">
        <v>25974</v>
      </c>
      <c r="C4142" s="2" t="s">
        <v>25642</v>
      </c>
      <c r="D4142" s="2" t="s">
        <v>857</v>
      </c>
      <c r="E4142" s="2" t="s">
        <v>25722</v>
      </c>
      <c r="F4142" s="2" t="s">
        <v>896</v>
      </c>
      <c r="G4142" s="2" t="s">
        <v>25975</v>
      </c>
      <c r="H4142" s="3" t="s">
        <v>31</v>
      </c>
      <c r="I4142" s="3">
        <v>1.0</v>
      </c>
      <c r="J4142" s="3">
        <v>1.0</v>
      </c>
      <c r="K4142" s="3" t="s">
        <v>31</v>
      </c>
      <c r="L4142" s="4" t="s">
        <v>25725</v>
      </c>
      <c r="M4142" s="2" t="s">
        <v>25976</v>
      </c>
      <c r="N4142" s="2" t="s">
        <v>25744</v>
      </c>
      <c r="O4142" s="4" t="s">
        <v>25745</v>
      </c>
      <c r="P4142" s="2" t="s">
        <v>25746</v>
      </c>
      <c r="Q4142" s="2" t="s">
        <v>31</v>
      </c>
      <c r="R4142" s="2" t="s">
        <v>64</v>
      </c>
      <c r="S4142" s="4" t="s">
        <v>25747</v>
      </c>
      <c r="T4142" s="2" t="s">
        <v>66</v>
      </c>
      <c r="U4142" s="4" t="s">
        <v>25731</v>
      </c>
      <c r="V4142" s="2" t="s">
        <v>896</v>
      </c>
      <c r="W4142" s="2" t="s">
        <v>25722</v>
      </c>
      <c r="X4142" s="5" t="str">
        <f>HYPERLINK("https://my.pitchbook.com?p=126145-99P","View People Online")</f>
        <v>View People Online</v>
      </c>
    </row>
    <row r="4143">
      <c r="A4143" s="14" t="s">
        <v>25977</v>
      </c>
      <c r="B4143" s="14" t="s">
        <v>25978</v>
      </c>
      <c r="C4143" s="14" t="s">
        <v>25979</v>
      </c>
      <c r="D4143" s="14" t="s">
        <v>25980</v>
      </c>
      <c r="E4143" s="14" t="s">
        <v>25722</v>
      </c>
      <c r="F4143" s="14" t="s">
        <v>896</v>
      </c>
      <c r="G4143" s="14" t="s">
        <v>25981</v>
      </c>
      <c r="H4143" s="15" t="s">
        <v>31</v>
      </c>
      <c r="I4143" s="15">
        <v>1.0</v>
      </c>
      <c r="J4143" s="15">
        <v>1.0</v>
      </c>
      <c r="K4143" s="15" t="s">
        <v>31</v>
      </c>
      <c r="L4143" s="16" t="s">
        <v>25725</v>
      </c>
      <c r="M4143" s="14" t="s">
        <v>25982</v>
      </c>
      <c r="N4143" s="14" t="s">
        <v>25744</v>
      </c>
      <c r="O4143" s="16" t="s">
        <v>25745</v>
      </c>
      <c r="P4143" s="14" t="s">
        <v>25746</v>
      </c>
      <c r="Q4143" s="14" t="s">
        <v>31</v>
      </c>
      <c r="R4143" s="14" t="s">
        <v>64</v>
      </c>
      <c r="S4143" s="16" t="s">
        <v>25747</v>
      </c>
      <c r="T4143" s="14" t="s">
        <v>66</v>
      </c>
      <c r="U4143" s="16" t="s">
        <v>25731</v>
      </c>
      <c r="V4143" s="14" t="s">
        <v>25796</v>
      </c>
      <c r="W4143" s="14" t="s">
        <v>25722</v>
      </c>
      <c r="X4143" s="17" t="str">
        <f>HYPERLINK("https://my.pitchbook.com?p=54312-85P","View People Online")</f>
        <v>View People Online</v>
      </c>
    </row>
    <row r="4144">
      <c r="A4144" s="2" t="s">
        <v>25983</v>
      </c>
      <c r="B4144" s="2" t="s">
        <v>25984</v>
      </c>
      <c r="C4144" s="2" t="s">
        <v>8710</v>
      </c>
      <c r="D4144" s="2" t="s">
        <v>3354</v>
      </c>
      <c r="E4144" s="2" t="s">
        <v>25722</v>
      </c>
      <c r="F4144" s="2" t="s">
        <v>25985</v>
      </c>
      <c r="G4144" s="2" t="s">
        <v>25986</v>
      </c>
      <c r="H4144" s="3">
        <v>1.0</v>
      </c>
      <c r="I4144" s="3">
        <v>1.0</v>
      </c>
      <c r="J4144" s="3">
        <v>1.0</v>
      </c>
      <c r="K4144" s="3" t="s">
        <v>31</v>
      </c>
      <c r="L4144" s="4" t="s">
        <v>25725</v>
      </c>
      <c r="M4144" s="2" t="s">
        <v>31</v>
      </c>
      <c r="N4144" s="2" t="s">
        <v>25744</v>
      </c>
      <c r="O4144" s="4" t="s">
        <v>25745</v>
      </c>
      <c r="P4144" s="2" t="s">
        <v>25746</v>
      </c>
      <c r="Q4144" s="2" t="s">
        <v>31</v>
      </c>
      <c r="R4144" s="2" t="s">
        <v>64</v>
      </c>
      <c r="S4144" s="4" t="s">
        <v>25747</v>
      </c>
      <c r="T4144" s="2" t="s">
        <v>66</v>
      </c>
      <c r="U4144" s="4" t="s">
        <v>25731</v>
      </c>
      <c r="V4144" s="2" t="s">
        <v>25987</v>
      </c>
      <c r="W4144" s="2" t="s">
        <v>25722</v>
      </c>
      <c r="X4144" s="5" t="str">
        <f>HYPERLINK("https://my.pitchbook.com?p=126145-45P","View People Online")</f>
        <v>View People Online</v>
      </c>
    </row>
    <row r="4145">
      <c r="A4145" s="14" t="s">
        <v>25988</v>
      </c>
      <c r="B4145" s="14" t="s">
        <v>25989</v>
      </c>
      <c r="C4145" s="14" t="s">
        <v>1993</v>
      </c>
      <c r="D4145" s="14" t="s">
        <v>25990</v>
      </c>
      <c r="E4145" s="14" t="s">
        <v>25722</v>
      </c>
      <c r="F4145" s="14" t="s">
        <v>25723</v>
      </c>
      <c r="G4145" s="14" t="s">
        <v>25991</v>
      </c>
      <c r="H4145" s="15" t="s">
        <v>31</v>
      </c>
      <c r="I4145" s="15">
        <v>1.0</v>
      </c>
      <c r="J4145" s="15">
        <v>1.0</v>
      </c>
      <c r="K4145" s="15" t="s">
        <v>31</v>
      </c>
      <c r="L4145" s="16" t="s">
        <v>25725</v>
      </c>
      <c r="M4145" s="14" t="s">
        <v>25992</v>
      </c>
      <c r="N4145" s="14" t="s">
        <v>25727</v>
      </c>
      <c r="O4145" s="16" t="s">
        <v>25728</v>
      </c>
      <c r="P4145" s="14" t="s">
        <v>25729</v>
      </c>
      <c r="Q4145" s="14" t="s">
        <v>31</v>
      </c>
      <c r="R4145" s="14" t="s">
        <v>64</v>
      </c>
      <c r="S4145" s="16" t="s">
        <v>25730</v>
      </c>
      <c r="T4145" s="14" t="s">
        <v>66</v>
      </c>
      <c r="U4145" s="16" t="s">
        <v>25731</v>
      </c>
      <c r="V4145" s="14" t="s">
        <v>25723</v>
      </c>
      <c r="W4145" s="14" t="s">
        <v>25722</v>
      </c>
      <c r="X4145" s="17" t="str">
        <f>HYPERLINK("https://my.pitchbook.com?p=415650-34P","View People Online")</f>
        <v>View People Online</v>
      </c>
    </row>
    <row r="4146">
      <c r="A4146" s="10" t="s">
        <v>25993</v>
      </c>
      <c r="B4146" s="10" t="s">
        <v>25994</v>
      </c>
      <c r="C4146" s="10" t="s">
        <v>25995</v>
      </c>
      <c r="D4146" s="10" t="s">
        <v>7286</v>
      </c>
      <c r="E4146" s="10" t="s">
        <v>25722</v>
      </c>
      <c r="F4146" s="10" t="s">
        <v>896</v>
      </c>
      <c r="G4146" s="10" t="s">
        <v>25996</v>
      </c>
      <c r="H4146" s="11" t="s">
        <v>31</v>
      </c>
      <c r="I4146" s="11">
        <v>1.0</v>
      </c>
      <c r="J4146" s="11">
        <v>1.0</v>
      </c>
      <c r="K4146" s="11" t="s">
        <v>31</v>
      </c>
      <c r="L4146" s="12" t="s">
        <v>25725</v>
      </c>
      <c r="M4146" s="10" t="s">
        <v>25997</v>
      </c>
      <c r="N4146" s="10" t="s">
        <v>25727</v>
      </c>
      <c r="O4146" s="12" t="s">
        <v>25728</v>
      </c>
      <c r="P4146" s="10" t="s">
        <v>25729</v>
      </c>
      <c r="Q4146" s="10" t="s">
        <v>31</v>
      </c>
      <c r="R4146" s="10" t="s">
        <v>64</v>
      </c>
      <c r="S4146" s="12" t="s">
        <v>25730</v>
      </c>
      <c r="T4146" s="10" t="s">
        <v>66</v>
      </c>
      <c r="U4146" s="12" t="s">
        <v>25731</v>
      </c>
      <c r="V4146" s="10" t="s">
        <v>25796</v>
      </c>
      <c r="W4146" s="10" t="s">
        <v>25722</v>
      </c>
      <c r="X4146" s="13" t="str">
        <f>HYPERLINK("https://my.pitchbook.com?p=415500-67P","View People Online")</f>
        <v>View People Online</v>
      </c>
    </row>
    <row r="4147">
      <c r="A4147" s="14" t="s">
        <v>25998</v>
      </c>
      <c r="B4147" s="14" t="s">
        <v>25999</v>
      </c>
      <c r="C4147" s="14" t="s">
        <v>26000</v>
      </c>
      <c r="D4147" s="14" t="s">
        <v>26001</v>
      </c>
      <c r="E4147" s="14" t="s">
        <v>25722</v>
      </c>
      <c r="F4147" s="14" t="s">
        <v>25723</v>
      </c>
      <c r="G4147" s="14" t="s">
        <v>26002</v>
      </c>
      <c r="H4147" s="15" t="s">
        <v>31</v>
      </c>
      <c r="I4147" s="15">
        <v>1.0</v>
      </c>
      <c r="J4147" s="15">
        <v>1.0</v>
      </c>
      <c r="K4147" s="15" t="s">
        <v>31</v>
      </c>
      <c r="L4147" s="16" t="s">
        <v>25725</v>
      </c>
      <c r="M4147" s="14" t="s">
        <v>26003</v>
      </c>
      <c r="N4147" s="14" t="s">
        <v>25727</v>
      </c>
      <c r="O4147" s="16" t="s">
        <v>25728</v>
      </c>
      <c r="P4147" s="14" t="s">
        <v>25729</v>
      </c>
      <c r="Q4147" s="14" t="s">
        <v>31</v>
      </c>
      <c r="R4147" s="14" t="s">
        <v>64</v>
      </c>
      <c r="S4147" s="16" t="s">
        <v>25730</v>
      </c>
      <c r="T4147" s="14" t="s">
        <v>66</v>
      </c>
      <c r="U4147" s="16" t="s">
        <v>25731</v>
      </c>
      <c r="V4147" s="14" t="s">
        <v>25723</v>
      </c>
      <c r="W4147" s="14" t="s">
        <v>25722</v>
      </c>
      <c r="X4147" s="17" t="str">
        <f>HYPERLINK("https://my.pitchbook.com?p=415650-97P","View People Online")</f>
        <v>View People Online</v>
      </c>
    </row>
    <row r="4148">
      <c r="A4148" s="10" t="s">
        <v>26004</v>
      </c>
      <c r="B4148" s="10" t="s">
        <v>26005</v>
      </c>
      <c r="C4148" s="10" t="s">
        <v>26000</v>
      </c>
      <c r="D4148" s="10" t="s">
        <v>10402</v>
      </c>
      <c r="E4148" s="10" t="s">
        <v>25722</v>
      </c>
      <c r="F4148" s="10" t="s">
        <v>25723</v>
      </c>
      <c r="G4148" s="10" t="s">
        <v>26006</v>
      </c>
      <c r="H4148" s="11" t="s">
        <v>31</v>
      </c>
      <c r="I4148" s="11">
        <v>1.0</v>
      </c>
      <c r="J4148" s="11">
        <v>1.0</v>
      </c>
      <c r="K4148" s="11" t="s">
        <v>31</v>
      </c>
      <c r="L4148" s="12" t="s">
        <v>25725</v>
      </c>
      <c r="M4148" s="10" t="s">
        <v>26007</v>
      </c>
      <c r="N4148" s="10" t="s">
        <v>25744</v>
      </c>
      <c r="O4148" s="12" t="s">
        <v>25745</v>
      </c>
      <c r="P4148" s="10" t="s">
        <v>25746</v>
      </c>
      <c r="Q4148" s="10" t="s">
        <v>31</v>
      </c>
      <c r="R4148" s="10" t="s">
        <v>64</v>
      </c>
      <c r="S4148" s="12" t="s">
        <v>25747</v>
      </c>
      <c r="T4148" s="10" t="s">
        <v>66</v>
      </c>
      <c r="U4148" s="12" t="s">
        <v>25731</v>
      </c>
      <c r="V4148" s="10" t="s">
        <v>25723</v>
      </c>
      <c r="W4148" s="10" t="s">
        <v>25722</v>
      </c>
      <c r="X4148" s="13" t="str">
        <f>HYPERLINK("https://my.pitchbook.com?p=126144-82P","View People Online")</f>
        <v>View People Online</v>
      </c>
    </row>
    <row r="4149">
      <c r="A4149" s="14" t="s">
        <v>26008</v>
      </c>
      <c r="B4149" s="14" t="s">
        <v>26009</v>
      </c>
      <c r="C4149" s="14" t="s">
        <v>26010</v>
      </c>
      <c r="D4149" s="14" t="s">
        <v>26011</v>
      </c>
      <c r="E4149" s="14" t="s">
        <v>25722</v>
      </c>
      <c r="F4149" s="14" t="s">
        <v>896</v>
      </c>
      <c r="G4149" s="14" t="s">
        <v>26012</v>
      </c>
      <c r="H4149" s="15" t="s">
        <v>31</v>
      </c>
      <c r="I4149" s="15">
        <v>1.0</v>
      </c>
      <c r="J4149" s="15">
        <v>1.0</v>
      </c>
      <c r="K4149" s="15" t="s">
        <v>31</v>
      </c>
      <c r="L4149" s="16" t="s">
        <v>25725</v>
      </c>
      <c r="M4149" s="14" t="s">
        <v>26013</v>
      </c>
      <c r="N4149" s="14" t="s">
        <v>25744</v>
      </c>
      <c r="O4149" s="16" t="s">
        <v>25745</v>
      </c>
      <c r="P4149" s="14" t="s">
        <v>25746</v>
      </c>
      <c r="Q4149" s="14" t="s">
        <v>31</v>
      </c>
      <c r="R4149" s="14" t="s">
        <v>64</v>
      </c>
      <c r="S4149" s="16" t="s">
        <v>25747</v>
      </c>
      <c r="T4149" s="14" t="s">
        <v>66</v>
      </c>
      <c r="U4149" s="16" t="s">
        <v>25731</v>
      </c>
      <c r="V4149" s="14" t="s">
        <v>896</v>
      </c>
      <c r="W4149" s="14" t="s">
        <v>25722</v>
      </c>
      <c r="X4149" s="17" t="str">
        <f>HYPERLINK("https://my.pitchbook.com?p=142190-65P","View People Online")</f>
        <v>View People Online</v>
      </c>
    </row>
    <row r="4150">
      <c r="A4150" s="10" t="s">
        <v>26014</v>
      </c>
      <c r="B4150" s="10" t="s">
        <v>26015</v>
      </c>
      <c r="C4150" s="10" t="s">
        <v>3953</v>
      </c>
      <c r="D4150" s="10" t="s">
        <v>4314</v>
      </c>
      <c r="E4150" s="10" t="s">
        <v>25722</v>
      </c>
      <c r="F4150" s="10" t="s">
        <v>896</v>
      </c>
      <c r="G4150" s="10" t="s">
        <v>26016</v>
      </c>
      <c r="H4150" s="11" t="s">
        <v>31</v>
      </c>
      <c r="I4150" s="11">
        <v>1.0</v>
      </c>
      <c r="J4150" s="11">
        <v>1.0</v>
      </c>
      <c r="K4150" s="11" t="s">
        <v>31</v>
      </c>
      <c r="L4150" s="12" t="s">
        <v>25725</v>
      </c>
      <c r="M4150" s="10" t="s">
        <v>26017</v>
      </c>
      <c r="N4150" s="10" t="s">
        <v>25744</v>
      </c>
      <c r="O4150" s="12" t="s">
        <v>25745</v>
      </c>
      <c r="P4150" s="10" t="s">
        <v>25746</v>
      </c>
      <c r="Q4150" s="10" t="s">
        <v>31</v>
      </c>
      <c r="R4150" s="10" t="s">
        <v>64</v>
      </c>
      <c r="S4150" s="12" t="s">
        <v>25747</v>
      </c>
      <c r="T4150" s="10" t="s">
        <v>66</v>
      </c>
      <c r="U4150" s="12" t="s">
        <v>25731</v>
      </c>
      <c r="V4150" s="10" t="s">
        <v>25796</v>
      </c>
      <c r="W4150" s="10" t="s">
        <v>25722</v>
      </c>
      <c r="X4150" s="13" t="str">
        <f>HYPERLINK("https://my.pitchbook.com?p=142186-87P","View People Online")</f>
        <v>View People Online</v>
      </c>
    </row>
    <row r="4151">
      <c r="A4151" s="14" t="s">
        <v>26018</v>
      </c>
      <c r="B4151" s="14" t="s">
        <v>26019</v>
      </c>
      <c r="C4151" s="14" t="s">
        <v>10193</v>
      </c>
      <c r="D4151" s="14" t="s">
        <v>70</v>
      </c>
      <c r="E4151" s="14" t="s">
        <v>25722</v>
      </c>
      <c r="F4151" s="14" t="s">
        <v>896</v>
      </c>
      <c r="G4151" s="14" t="s">
        <v>26020</v>
      </c>
      <c r="H4151" s="15" t="s">
        <v>31</v>
      </c>
      <c r="I4151" s="15">
        <v>1.0</v>
      </c>
      <c r="J4151" s="15">
        <v>1.0</v>
      </c>
      <c r="K4151" s="15" t="s">
        <v>31</v>
      </c>
      <c r="L4151" s="16" t="s">
        <v>25725</v>
      </c>
      <c r="M4151" s="14" t="s">
        <v>26021</v>
      </c>
      <c r="N4151" s="14" t="s">
        <v>25727</v>
      </c>
      <c r="O4151" s="16" t="s">
        <v>25728</v>
      </c>
      <c r="P4151" s="14" t="s">
        <v>25729</v>
      </c>
      <c r="Q4151" s="14" t="s">
        <v>31</v>
      </c>
      <c r="R4151" s="14" t="s">
        <v>64</v>
      </c>
      <c r="S4151" s="16" t="s">
        <v>25730</v>
      </c>
      <c r="T4151" s="14" t="s">
        <v>66</v>
      </c>
      <c r="U4151" s="16" t="s">
        <v>25731</v>
      </c>
      <c r="V4151" s="14" t="s">
        <v>25796</v>
      </c>
      <c r="W4151" s="14" t="s">
        <v>25722</v>
      </c>
      <c r="X4151" s="17" t="str">
        <f>HYPERLINK("https://my.pitchbook.com?p=415502-65P","View People Online")</f>
        <v>View People Online</v>
      </c>
    </row>
    <row r="4152">
      <c r="A4152" s="2" t="s">
        <v>26022</v>
      </c>
      <c r="B4152" s="2" t="s">
        <v>26023</v>
      </c>
      <c r="C4152" s="2" t="s">
        <v>11210</v>
      </c>
      <c r="D4152" s="2" t="s">
        <v>26024</v>
      </c>
      <c r="E4152" s="2" t="s">
        <v>25722</v>
      </c>
      <c r="F4152" s="2" t="s">
        <v>25723</v>
      </c>
      <c r="G4152" s="2" t="s">
        <v>26025</v>
      </c>
      <c r="H4152" s="3" t="s">
        <v>31</v>
      </c>
      <c r="I4152" s="3">
        <v>1.0</v>
      </c>
      <c r="J4152" s="3">
        <v>1.0</v>
      </c>
      <c r="K4152" s="3" t="s">
        <v>31</v>
      </c>
      <c r="L4152" s="4" t="s">
        <v>25725</v>
      </c>
      <c r="M4152" s="2" t="s">
        <v>26026</v>
      </c>
      <c r="N4152" s="2" t="s">
        <v>25727</v>
      </c>
      <c r="O4152" s="4" t="s">
        <v>25728</v>
      </c>
      <c r="P4152" s="2" t="s">
        <v>25729</v>
      </c>
      <c r="Q4152" s="2" t="s">
        <v>31</v>
      </c>
      <c r="R4152" s="2" t="s">
        <v>64</v>
      </c>
      <c r="S4152" s="4" t="s">
        <v>25730</v>
      </c>
      <c r="T4152" s="2" t="s">
        <v>66</v>
      </c>
      <c r="U4152" s="4" t="s">
        <v>25731</v>
      </c>
      <c r="V4152" s="2" t="s">
        <v>25723</v>
      </c>
      <c r="W4152" s="2" t="s">
        <v>25722</v>
      </c>
      <c r="X4152" s="5" t="str">
        <f>HYPERLINK("https://my.pitchbook.com?p=415651-96P","View People Online")</f>
        <v>View People Online</v>
      </c>
    </row>
    <row r="4153">
      <c r="A4153" s="14" t="s">
        <v>26027</v>
      </c>
      <c r="B4153" s="14" t="s">
        <v>26028</v>
      </c>
      <c r="C4153" s="14" t="s">
        <v>11231</v>
      </c>
      <c r="D4153" s="14" t="s">
        <v>1043</v>
      </c>
      <c r="E4153" s="14" t="s">
        <v>25722</v>
      </c>
      <c r="F4153" s="14" t="s">
        <v>25723</v>
      </c>
      <c r="G4153" s="14" t="s">
        <v>26029</v>
      </c>
      <c r="H4153" s="15" t="s">
        <v>31</v>
      </c>
      <c r="I4153" s="15">
        <v>1.0</v>
      </c>
      <c r="J4153" s="15">
        <v>1.0</v>
      </c>
      <c r="K4153" s="15" t="s">
        <v>31</v>
      </c>
      <c r="L4153" s="16" t="s">
        <v>25725</v>
      </c>
      <c r="M4153" s="14" t="s">
        <v>26030</v>
      </c>
      <c r="N4153" s="14" t="s">
        <v>25727</v>
      </c>
      <c r="O4153" s="16" t="s">
        <v>25728</v>
      </c>
      <c r="P4153" s="14" t="s">
        <v>25729</v>
      </c>
      <c r="Q4153" s="14" t="s">
        <v>31</v>
      </c>
      <c r="R4153" s="14" t="s">
        <v>64</v>
      </c>
      <c r="S4153" s="16" t="s">
        <v>25730</v>
      </c>
      <c r="T4153" s="14" t="s">
        <v>66</v>
      </c>
      <c r="U4153" s="16" t="s">
        <v>25731</v>
      </c>
      <c r="V4153" s="14" t="s">
        <v>25723</v>
      </c>
      <c r="W4153" s="14" t="s">
        <v>25722</v>
      </c>
      <c r="X4153" s="17" t="str">
        <f>HYPERLINK("https://my.pitchbook.com?p=415652-50P","View People Online")</f>
        <v>View People Online</v>
      </c>
    </row>
    <row r="4154">
      <c r="A4154" s="10" t="s">
        <v>26031</v>
      </c>
      <c r="B4154" s="10" t="s">
        <v>26032</v>
      </c>
      <c r="C4154" s="10" t="s">
        <v>11244</v>
      </c>
      <c r="D4154" s="10" t="s">
        <v>26033</v>
      </c>
      <c r="E4154" s="10" t="s">
        <v>25722</v>
      </c>
      <c r="F4154" s="10" t="s">
        <v>25723</v>
      </c>
      <c r="G4154" s="10" t="s">
        <v>26034</v>
      </c>
      <c r="H4154" s="11" t="s">
        <v>31</v>
      </c>
      <c r="I4154" s="11">
        <v>1.0</v>
      </c>
      <c r="J4154" s="11">
        <v>1.0</v>
      </c>
      <c r="K4154" s="11" t="s">
        <v>31</v>
      </c>
      <c r="L4154" s="12" t="s">
        <v>25725</v>
      </c>
      <c r="M4154" s="10" t="s">
        <v>26035</v>
      </c>
      <c r="N4154" s="10" t="s">
        <v>25727</v>
      </c>
      <c r="O4154" s="12" t="s">
        <v>25728</v>
      </c>
      <c r="P4154" s="10" t="s">
        <v>25729</v>
      </c>
      <c r="Q4154" s="10" t="s">
        <v>31</v>
      </c>
      <c r="R4154" s="10" t="s">
        <v>64</v>
      </c>
      <c r="S4154" s="12" t="s">
        <v>25730</v>
      </c>
      <c r="T4154" s="10" t="s">
        <v>66</v>
      </c>
      <c r="U4154" s="12" t="s">
        <v>25731</v>
      </c>
      <c r="V4154" s="10" t="s">
        <v>25723</v>
      </c>
      <c r="W4154" s="10" t="s">
        <v>25722</v>
      </c>
      <c r="X4154" s="13" t="str">
        <f>HYPERLINK("https://my.pitchbook.com?p=415652-86P","View People Online")</f>
        <v>View People Online</v>
      </c>
    </row>
    <row r="4155">
      <c r="A4155" s="6" t="s">
        <v>26036</v>
      </c>
      <c r="B4155" s="6" t="s">
        <v>26037</v>
      </c>
      <c r="C4155" s="6" t="s">
        <v>26038</v>
      </c>
      <c r="D4155" s="6" t="s">
        <v>26039</v>
      </c>
      <c r="E4155" s="6" t="s">
        <v>25722</v>
      </c>
      <c r="F4155" s="6" t="s">
        <v>25723</v>
      </c>
      <c r="G4155" s="6" t="s">
        <v>26040</v>
      </c>
      <c r="H4155" s="7" t="s">
        <v>31</v>
      </c>
      <c r="I4155" s="7">
        <v>1.0</v>
      </c>
      <c r="J4155" s="7">
        <v>1.0</v>
      </c>
      <c r="K4155" s="7" t="s">
        <v>31</v>
      </c>
      <c r="L4155" s="8" t="s">
        <v>25725</v>
      </c>
      <c r="M4155" s="6" t="s">
        <v>26041</v>
      </c>
      <c r="N4155" s="6" t="s">
        <v>25727</v>
      </c>
      <c r="O4155" s="8" t="s">
        <v>25728</v>
      </c>
      <c r="P4155" s="6" t="s">
        <v>25729</v>
      </c>
      <c r="Q4155" s="6" t="s">
        <v>31</v>
      </c>
      <c r="R4155" s="6" t="s">
        <v>64</v>
      </c>
      <c r="S4155" s="8" t="s">
        <v>25730</v>
      </c>
      <c r="T4155" s="6" t="s">
        <v>66</v>
      </c>
      <c r="U4155" s="8" t="s">
        <v>25731</v>
      </c>
      <c r="V4155" s="6" t="s">
        <v>25723</v>
      </c>
      <c r="W4155" s="6" t="s">
        <v>25722</v>
      </c>
      <c r="X4155" s="9" t="str">
        <f>HYPERLINK("https://my.pitchbook.com?p=415653-85P","View People Online")</f>
        <v>View People Online</v>
      </c>
    </row>
    <row r="4156">
      <c r="A4156" s="2" t="s">
        <v>26042</v>
      </c>
      <c r="B4156" s="2" t="s">
        <v>26043</v>
      </c>
      <c r="C4156" s="2" t="s">
        <v>26044</v>
      </c>
      <c r="D4156" s="2" t="s">
        <v>26045</v>
      </c>
      <c r="E4156" s="2" t="s">
        <v>25722</v>
      </c>
      <c r="F4156" s="2" t="s">
        <v>25723</v>
      </c>
      <c r="G4156" s="2" t="s">
        <v>26046</v>
      </c>
      <c r="H4156" s="3" t="s">
        <v>31</v>
      </c>
      <c r="I4156" s="3">
        <v>1.0</v>
      </c>
      <c r="J4156" s="3">
        <v>1.0</v>
      </c>
      <c r="K4156" s="3" t="s">
        <v>31</v>
      </c>
      <c r="L4156" s="4" t="s">
        <v>25725</v>
      </c>
      <c r="M4156" s="2" t="s">
        <v>26047</v>
      </c>
      <c r="N4156" s="2" t="s">
        <v>25727</v>
      </c>
      <c r="O4156" s="4" t="s">
        <v>25728</v>
      </c>
      <c r="P4156" s="2" t="s">
        <v>25729</v>
      </c>
      <c r="Q4156" s="2" t="s">
        <v>31</v>
      </c>
      <c r="R4156" s="2" t="s">
        <v>64</v>
      </c>
      <c r="S4156" s="4" t="s">
        <v>25730</v>
      </c>
      <c r="T4156" s="2" t="s">
        <v>66</v>
      </c>
      <c r="U4156" s="4" t="s">
        <v>25731</v>
      </c>
      <c r="V4156" s="2" t="s">
        <v>25723</v>
      </c>
      <c r="W4156" s="2" t="s">
        <v>25722</v>
      </c>
      <c r="X4156" s="5" t="str">
        <f>HYPERLINK("https://my.pitchbook.com?p=415654-48P","View People Online")</f>
        <v>View People Online</v>
      </c>
    </row>
    <row r="4157">
      <c r="A4157" s="14" t="s">
        <v>26048</v>
      </c>
      <c r="B4157" s="14" t="s">
        <v>26049</v>
      </c>
      <c r="C4157" s="14" t="s">
        <v>2032</v>
      </c>
      <c r="D4157" s="14" t="s">
        <v>26050</v>
      </c>
      <c r="E4157" s="14" t="s">
        <v>25722</v>
      </c>
      <c r="F4157" s="14" t="s">
        <v>25723</v>
      </c>
      <c r="G4157" s="14" t="s">
        <v>26051</v>
      </c>
      <c r="H4157" s="15" t="s">
        <v>31</v>
      </c>
      <c r="I4157" s="15">
        <v>1.0</v>
      </c>
      <c r="J4157" s="15">
        <v>1.0</v>
      </c>
      <c r="K4157" s="15" t="s">
        <v>31</v>
      </c>
      <c r="L4157" s="16" t="s">
        <v>25725</v>
      </c>
      <c r="M4157" s="14" t="s">
        <v>26052</v>
      </c>
      <c r="N4157" s="14" t="s">
        <v>25727</v>
      </c>
      <c r="O4157" s="16" t="s">
        <v>25728</v>
      </c>
      <c r="P4157" s="14" t="s">
        <v>25729</v>
      </c>
      <c r="Q4157" s="14" t="s">
        <v>31</v>
      </c>
      <c r="R4157" s="14" t="s">
        <v>64</v>
      </c>
      <c r="S4157" s="16" t="s">
        <v>25730</v>
      </c>
      <c r="T4157" s="14" t="s">
        <v>66</v>
      </c>
      <c r="U4157" s="16" t="s">
        <v>25731</v>
      </c>
      <c r="V4157" s="14" t="s">
        <v>25723</v>
      </c>
      <c r="W4157" s="14" t="s">
        <v>25722</v>
      </c>
      <c r="X4157" s="17" t="str">
        <f>HYPERLINK("https://my.pitchbook.com?p=415656-28P","View People Online")</f>
        <v>View People Online</v>
      </c>
    </row>
    <row r="4158">
      <c r="A4158" s="2" t="s">
        <v>26053</v>
      </c>
      <c r="B4158" s="2" t="s">
        <v>26054</v>
      </c>
      <c r="C4158" s="2" t="s">
        <v>26055</v>
      </c>
      <c r="D4158" s="2" t="s">
        <v>25735</v>
      </c>
      <c r="E4158" s="2" t="s">
        <v>25722</v>
      </c>
      <c r="F4158" s="2" t="s">
        <v>25723</v>
      </c>
      <c r="G4158" s="2" t="s">
        <v>26056</v>
      </c>
      <c r="H4158" s="3" t="s">
        <v>31</v>
      </c>
      <c r="I4158" s="3">
        <v>1.0</v>
      </c>
      <c r="J4158" s="3">
        <v>1.0</v>
      </c>
      <c r="K4158" s="3" t="s">
        <v>31</v>
      </c>
      <c r="L4158" s="4" t="s">
        <v>25725</v>
      </c>
      <c r="M4158" s="2" t="s">
        <v>31</v>
      </c>
      <c r="N4158" s="2" t="s">
        <v>25727</v>
      </c>
      <c r="O4158" s="4" t="s">
        <v>25728</v>
      </c>
      <c r="P4158" s="2" t="s">
        <v>25729</v>
      </c>
      <c r="Q4158" s="2" t="s">
        <v>31</v>
      </c>
      <c r="R4158" s="2" t="s">
        <v>64</v>
      </c>
      <c r="S4158" s="4" t="s">
        <v>25730</v>
      </c>
      <c r="T4158" s="2" t="s">
        <v>66</v>
      </c>
      <c r="U4158" s="4" t="s">
        <v>25731</v>
      </c>
      <c r="V4158" s="2" t="s">
        <v>25723</v>
      </c>
      <c r="W4158" s="2" t="s">
        <v>25722</v>
      </c>
      <c r="X4158" s="5" t="str">
        <f>HYPERLINK("https://my.pitchbook.com?p=415658-08P","View People Online")</f>
        <v>View People Online</v>
      </c>
    </row>
    <row r="4159">
      <c r="A4159" s="14" t="s">
        <v>26057</v>
      </c>
      <c r="B4159" s="14" t="s">
        <v>26058</v>
      </c>
      <c r="C4159" s="14" t="s">
        <v>16307</v>
      </c>
      <c r="D4159" s="14" t="s">
        <v>26059</v>
      </c>
      <c r="E4159" s="14" t="s">
        <v>25722</v>
      </c>
      <c r="F4159" s="14" t="s">
        <v>25723</v>
      </c>
      <c r="G4159" s="14" t="s">
        <v>26060</v>
      </c>
      <c r="H4159" s="15" t="s">
        <v>31</v>
      </c>
      <c r="I4159" s="15">
        <v>1.0</v>
      </c>
      <c r="J4159" s="15">
        <v>1.0</v>
      </c>
      <c r="K4159" s="15" t="s">
        <v>31</v>
      </c>
      <c r="L4159" s="16" t="s">
        <v>25725</v>
      </c>
      <c r="M4159" s="14" t="s">
        <v>26061</v>
      </c>
      <c r="N4159" s="14" t="s">
        <v>25727</v>
      </c>
      <c r="O4159" s="16" t="s">
        <v>25728</v>
      </c>
      <c r="P4159" s="14" t="s">
        <v>25729</v>
      </c>
      <c r="Q4159" s="14" t="s">
        <v>31</v>
      </c>
      <c r="R4159" s="14" t="s">
        <v>64</v>
      </c>
      <c r="S4159" s="16" t="s">
        <v>25730</v>
      </c>
      <c r="T4159" s="14" t="s">
        <v>66</v>
      </c>
      <c r="U4159" s="16" t="s">
        <v>25731</v>
      </c>
      <c r="V4159" s="14" t="s">
        <v>25723</v>
      </c>
      <c r="W4159" s="14" t="s">
        <v>25722</v>
      </c>
      <c r="X4159" s="17" t="str">
        <f>HYPERLINK("https://my.pitchbook.com?p=441447-49P","View People Online")</f>
        <v>View People Online</v>
      </c>
    </row>
    <row r="4160">
      <c r="A4160" s="10" t="s">
        <v>26062</v>
      </c>
      <c r="B4160" s="10" t="s">
        <v>26063</v>
      </c>
      <c r="C4160" s="10" t="s">
        <v>1588</v>
      </c>
      <c r="D4160" s="10" t="s">
        <v>26064</v>
      </c>
      <c r="E4160" s="10" t="s">
        <v>25722</v>
      </c>
      <c r="F4160" s="10" t="s">
        <v>25723</v>
      </c>
      <c r="G4160" s="10" t="s">
        <v>26065</v>
      </c>
      <c r="H4160" s="11" t="s">
        <v>31</v>
      </c>
      <c r="I4160" s="11">
        <v>1.0</v>
      </c>
      <c r="J4160" s="11">
        <v>1.0</v>
      </c>
      <c r="K4160" s="11" t="s">
        <v>31</v>
      </c>
      <c r="L4160" s="12" t="s">
        <v>25725</v>
      </c>
      <c r="M4160" s="10" t="s">
        <v>26066</v>
      </c>
      <c r="N4160" s="10" t="s">
        <v>25744</v>
      </c>
      <c r="O4160" s="12" t="s">
        <v>25745</v>
      </c>
      <c r="P4160" s="10" t="s">
        <v>25746</v>
      </c>
      <c r="Q4160" s="10" t="s">
        <v>31</v>
      </c>
      <c r="R4160" s="10" t="s">
        <v>64</v>
      </c>
      <c r="S4160" s="12" t="s">
        <v>25747</v>
      </c>
      <c r="T4160" s="10" t="s">
        <v>66</v>
      </c>
      <c r="U4160" s="12" t="s">
        <v>25731</v>
      </c>
      <c r="V4160" s="10" t="s">
        <v>25723</v>
      </c>
      <c r="W4160" s="10" t="s">
        <v>25722</v>
      </c>
      <c r="X4160" s="13" t="str">
        <f>HYPERLINK("https://my.pitchbook.com?p=415658-98P","View People Online")</f>
        <v>View People Online</v>
      </c>
    </row>
    <row r="4161">
      <c r="A4161" s="6" t="s">
        <v>26067</v>
      </c>
      <c r="B4161" s="6" t="s">
        <v>26068</v>
      </c>
      <c r="C4161" s="6" t="s">
        <v>26069</v>
      </c>
      <c r="D4161" s="6" t="s">
        <v>26070</v>
      </c>
      <c r="E4161" s="6" t="s">
        <v>25722</v>
      </c>
      <c r="F4161" s="6" t="s">
        <v>25723</v>
      </c>
      <c r="G4161" s="6" t="s">
        <v>26071</v>
      </c>
      <c r="H4161" s="7" t="s">
        <v>31</v>
      </c>
      <c r="I4161" s="7">
        <v>1.0</v>
      </c>
      <c r="J4161" s="7">
        <v>1.0</v>
      </c>
      <c r="K4161" s="7" t="s">
        <v>31</v>
      </c>
      <c r="L4161" s="8" t="s">
        <v>25725</v>
      </c>
      <c r="M4161" s="6" t="s">
        <v>26072</v>
      </c>
      <c r="N4161" s="6" t="s">
        <v>25727</v>
      </c>
      <c r="O4161" s="8" t="s">
        <v>25728</v>
      </c>
      <c r="P4161" s="6" t="s">
        <v>25729</v>
      </c>
      <c r="Q4161" s="6" t="s">
        <v>31</v>
      </c>
      <c r="R4161" s="6" t="s">
        <v>64</v>
      </c>
      <c r="S4161" s="8" t="s">
        <v>25730</v>
      </c>
      <c r="T4161" s="6" t="s">
        <v>66</v>
      </c>
      <c r="U4161" s="8" t="s">
        <v>25731</v>
      </c>
      <c r="V4161" s="6" t="s">
        <v>25723</v>
      </c>
      <c r="W4161" s="6" t="s">
        <v>25722</v>
      </c>
      <c r="X4161" s="9" t="str">
        <f>HYPERLINK("https://my.pitchbook.com?p=415666-72P","View People Online")</f>
        <v>View People Online</v>
      </c>
    </row>
    <row r="4162">
      <c r="A4162" s="10" t="s">
        <v>26073</v>
      </c>
      <c r="B4162" s="10" t="s">
        <v>26074</v>
      </c>
      <c r="C4162" s="10" t="s">
        <v>8294</v>
      </c>
      <c r="D4162" s="10" t="s">
        <v>26075</v>
      </c>
      <c r="E4162" s="10" t="s">
        <v>25722</v>
      </c>
      <c r="F4162" s="10" t="s">
        <v>25723</v>
      </c>
      <c r="G4162" s="10" t="s">
        <v>26076</v>
      </c>
      <c r="H4162" s="11" t="s">
        <v>31</v>
      </c>
      <c r="I4162" s="11">
        <v>1.0</v>
      </c>
      <c r="J4162" s="11">
        <v>1.0</v>
      </c>
      <c r="K4162" s="11" t="s">
        <v>31</v>
      </c>
      <c r="L4162" s="12" t="s">
        <v>25725</v>
      </c>
      <c r="M4162" s="10" t="s">
        <v>26077</v>
      </c>
      <c r="N4162" s="10" t="s">
        <v>25744</v>
      </c>
      <c r="O4162" s="12" t="s">
        <v>25745</v>
      </c>
      <c r="P4162" s="10" t="s">
        <v>25746</v>
      </c>
      <c r="Q4162" s="10" t="s">
        <v>31</v>
      </c>
      <c r="R4162" s="10" t="s">
        <v>64</v>
      </c>
      <c r="S4162" s="12" t="s">
        <v>25747</v>
      </c>
      <c r="T4162" s="10" t="s">
        <v>66</v>
      </c>
      <c r="U4162" s="12" t="s">
        <v>25731</v>
      </c>
      <c r="V4162" s="10" t="s">
        <v>25723</v>
      </c>
      <c r="W4162" s="10" t="s">
        <v>25722</v>
      </c>
      <c r="X4162" s="13" t="str">
        <f>HYPERLINK("https://my.pitchbook.com?p=415667-44P","View People Online")</f>
        <v>View People Online</v>
      </c>
    </row>
    <row r="4163">
      <c r="A4163" s="14" t="s">
        <v>26078</v>
      </c>
      <c r="B4163" s="14" t="s">
        <v>26079</v>
      </c>
      <c r="C4163" s="14" t="s">
        <v>4320</v>
      </c>
      <c r="D4163" s="14" t="s">
        <v>3275</v>
      </c>
      <c r="E4163" s="14" t="s">
        <v>25722</v>
      </c>
      <c r="F4163" s="14" t="s">
        <v>25723</v>
      </c>
      <c r="G4163" s="14" t="s">
        <v>26080</v>
      </c>
      <c r="H4163" s="15" t="s">
        <v>31</v>
      </c>
      <c r="I4163" s="15">
        <v>1.0</v>
      </c>
      <c r="J4163" s="15">
        <v>1.0</v>
      </c>
      <c r="K4163" s="15" t="s">
        <v>31</v>
      </c>
      <c r="L4163" s="16" t="s">
        <v>25725</v>
      </c>
      <c r="M4163" s="14" t="s">
        <v>26081</v>
      </c>
      <c r="N4163" s="14" t="s">
        <v>25727</v>
      </c>
      <c r="O4163" s="16" t="s">
        <v>25728</v>
      </c>
      <c r="P4163" s="14" t="s">
        <v>25729</v>
      </c>
      <c r="Q4163" s="14" t="s">
        <v>31</v>
      </c>
      <c r="R4163" s="14" t="s">
        <v>64</v>
      </c>
      <c r="S4163" s="16" t="s">
        <v>25730</v>
      </c>
      <c r="T4163" s="14" t="s">
        <v>66</v>
      </c>
      <c r="U4163" s="16" t="s">
        <v>25731</v>
      </c>
      <c r="V4163" s="14" t="s">
        <v>25723</v>
      </c>
      <c r="W4163" s="14" t="s">
        <v>25722</v>
      </c>
      <c r="X4163" s="17" t="str">
        <f>HYPERLINK("https://my.pitchbook.com?p=441448-30P","View People Online")</f>
        <v>View People Online</v>
      </c>
    </row>
    <row r="4164">
      <c r="A4164" s="2" t="s">
        <v>26082</v>
      </c>
      <c r="B4164" s="2" t="s">
        <v>26083</v>
      </c>
      <c r="C4164" s="2" t="s">
        <v>26084</v>
      </c>
      <c r="D4164" s="2" t="s">
        <v>26085</v>
      </c>
      <c r="E4164" s="2" t="s">
        <v>25722</v>
      </c>
      <c r="F4164" s="2" t="s">
        <v>896</v>
      </c>
      <c r="G4164" s="2" t="s">
        <v>26086</v>
      </c>
      <c r="H4164" s="3" t="s">
        <v>31</v>
      </c>
      <c r="I4164" s="3">
        <v>1.0</v>
      </c>
      <c r="J4164" s="3">
        <v>1.0</v>
      </c>
      <c r="K4164" s="3" t="s">
        <v>31</v>
      </c>
      <c r="L4164" s="4" t="s">
        <v>25725</v>
      </c>
      <c r="M4164" s="2" t="s">
        <v>26087</v>
      </c>
      <c r="N4164" s="2" t="s">
        <v>25744</v>
      </c>
      <c r="O4164" s="4" t="s">
        <v>25745</v>
      </c>
      <c r="P4164" s="2" t="s">
        <v>25746</v>
      </c>
      <c r="Q4164" s="2" t="s">
        <v>31</v>
      </c>
      <c r="R4164" s="2" t="s">
        <v>64</v>
      </c>
      <c r="S4164" s="4" t="s">
        <v>25747</v>
      </c>
      <c r="T4164" s="2" t="s">
        <v>66</v>
      </c>
      <c r="U4164" s="4" t="s">
        <v>25731</v>
      </c>
      <c r="V4164" s="2" t="s">
        <v>896</v>
      </c>
      <c r="W4164" s="2" t="s">
        <v>25722</v>
      </c>
      <c r="X4164" s="5" t="str">
        <f>HYPERLINK("https://my.pitchbook.com?p=126144-19P","View People Online")</f>
        <v>View People Online</v>
      </c>
    </row>
    <row r="4165">
      <c r="A4165" s="6" t="s">
        <v>26088</v>
      </c>
      <c r="B4165" s="6" t="s">
        <v>26089</v>
      </c>
      <c r="C4165" s="6" t="s">
        <v>26090</v>
      </c>
      <c r="D4165" s="6" t="s">
        <v>20388</v>
      </c>
      <c r="E4165" s="6" t="s">
        <v>25722</v>
      </c>
      <c r="F4165" s="6" t="s">
        <v>896</v>
      </c>
      <c r="G4165" s="6" t="s">
        <v>26091</v>
      </c>
      <c r="H4165" s="7" t="s">
        <v>31</v>
      </c>
      <c r="I4165" s="7">
        <v>1.0</v>
      </c>
      <c r="J4165" s="7">
        <v>1.0</v>
      </c>
      <c r="K4165" s="7" t="s">
        <v>31</v>
      </c>
      <c r="L4165" s="8" t="s">
        <v>25725</v>
      </c>
      <c r="M4165" s="6" t="s">
        <v>26092</v>
      </c>
      <c r="N4165" s="6" t="s">
        <v>25744</v>
      </c>
      <c r="O4165" s="8" t="s">
        <v>25745</v>
      </c>
      <c r="P4165" s="6" t="s">
        <v>25746</v>
      </c>
      <c r="Q4165" s="6" t="s">
        <v>31</v>
      </c>
      <c r="R4165" s="6" t="s">
        <v>64</v>
      </c>
      <c r="S4165" s="8" t="s">
        <v>25747</v>
      </c>
      <c r="T4165" s="6" t="s">
        <v>66</v>
      </c>
      <c r="U4165" s="8" t="s">
        <v>25731</v>
      </c>
      <c r="V4165" s="6" t="s">
        <v>25796</v>
      </c>
      <c r="W4165" s="6" t="s">
        <v>25722</v>
      </c>
      <c r="X4165" s="9" t="str">
        <f>HYPERLINK("https://my.pitchbook.com?p=126143-83P","View People Online")</f>
        <v>View People Online</v>
      </c>
    </row>
    <row r="4166">
      <c r="A4166" s="10" t="s">
        <v>26093</v>
      </c>
      <c r="B4166" s="10" t="s">
        <v>26094</v>
      </c>
      <c r="C4166" s="10" t="s">
        <v>7693</v>
      </c>
      <c r="D4166" s="10" t="s">
        <v>26095</v>
      </c>
      <c r="E4166" s="10" t="s">
        <v>25722</v>
      </c>
      <c r="F4166" s="10" t="s">
        <v>896</v>
      </c>
      <c r="G4166" s="10" t="s">
        <v>26096</v>
      </c>
      <c r="H4166" s="11" t="s">
        <v>31</v>
      </c>
      <c r="I4166" s="11">
        <v>1.0</v>
      </c>
      <c r="J4166" s="11">
        <v>1.0</v>
      </c>
      <c r="K4166" s="11" t="s">
        <v>31</v>
      </c>
      <c r="L4166" s="12" t="s">
        <v>25725</v>
      </c>
      <c r="M4166" s="10" t="s">
        <v>26097</v>
      </c>
      <c r="N4166" s="10" t="s">
        <v>25727</v>
      </c>
      <c r="O4166" s="12" t="s">
        <v>25728</v>
      </c>
      <c r="P4166" s="10" t="s">
        <v>25729</v>
      </c>
      <c r="Q4166" s="10" t="s">
        <v>31</v>
      </c>
      <c r="R4166" s="10" t="s">
        <v>64</v>
      </c>
      <c r="S4166" s="12" t="s">
        <v>25730</v>
      </c>
      <c r="T4166" s="10" t="s">
        <v>66</v>
      </c>
      <c r="U4166" s="12" t="s">
        <v>25731</v>
      </c>
      <c r="V4166" s="10" t="s">
        <v>896</v>
      </c>
      <c r="W4166" s="10" t="s">
        <v>25722</v>
      </c>
      <c r="X4166" s="13" t="str">
        <f>HYPERLINK("https://my.pitchbook.com?p=28420-57P","View People Online")</f>
        <v>View People Online</v>
      </c>
    </row>
    <row r="4167">
      <c r="A4167" s="14" t="s">
        <v>26098</v>
      </c>
      <c r="B4167" s="14" t="s">
        <v>26099</v>
      </c>
      <c r="C4167" s="14" t="s">
        <v>10214</v>
      </c>
      <c r="D4167" s="14" t="s">
        <v>15571</v>
      </c>
      <c r="E4167" s="14" t="s">
        <v>25722</v>
      </c>
      <c r="F4167" s="14" t="s">
        <v>3600</v>
      </c>
      <c r="G4167" s="14" t="s">
        <v>26100</v>
      </c>
      <c r="H4167" s="15" t="s">
        <v>31</v>
      </c>
      <c r="I4167" s="15">
        <v>1.0</v>
      </c>
      <c r="J4167" s="15">
        <v>1.0</v>
      </c>
      <c r="K4167" s="15" t="s">
        <v>31</v>
      </c>
      <c r="L4167" s="16" t="s">
        <v>25725</v>
      </c>
      <c r="M4167" s="14" t="s">
        <v>26101</v>
      </c>
      <c r="N4167" s="14" t="s">
        <v>25744</v>
      </c>
      <c r="O4167" s="16" t="s">
        <v>25745</v>
      </c>
      <c r="P4167" s="14" t="s">
        <v>25746</v>
      </c>
      <c r="Q4167" s="14" t="s">
        <v>31</v>
      </c>
      <c r="R4167" s="14" t="s">
        <v>64</v>
      </c>
      <c r="S4167" s="16" t="s">
        <v>25747</v>
      </c>
      <c r="T4167" s="14" t="s">
        <v>66</v>
      </c>
      <c r="U4167" s="16" t="s">
        <v>25731</v>
      </c>
      <c r="V4167" s="14" t="s">
        <v>6303</v>
      </c>
      <c r="W4167" s="14" t="s">
        <v>25722</v>
      </c>
      <c r="X4167" s="17" t="str">
        <f>HYPERLINK("https://my.pitchbook.com?p=133305-94P","View People Online")</f>
        <v>View People Online</v>
      </c>
    </row>
    <row r="4168">
      <c r="A4168" s="2" t="s">
        <v>26102</v>
      </c>
      <c r="B4168" s="2" t="s">
        <v>26103</v>
      </c>
      <c r="C4168" s="2" t="s">
        <v>26104</v>
      </c>
      <c r="D4168" s="2" t="s">
        <v>26105</v>
      </c>
      <c r="E4168" s="2" t="s">
        <v>25722</v>
      </c>
      <c r="F4168" s="2" t="s">
        <v>25723</v>
      </c>
      <c r="G4168" s="2" t="s">
        <v>26106</v>
      </c>
      <c r="H4168" s="3" t="s">
        <v>31</v>
      </c>
      <c r="I4168" s="3">
        <v>1.0</v>
      </c>
      <c r="J4168" s="3">
        <v>1.0</v>
      </c>
      <c r="K4168" s="3" t="s">
        <v>31</v>
      </c>
      <c r="L4168" s="4" t="s">
        <v>25725</v>
      </c>
      <c r="M4168" s="2" t="s">
        <v>26107</v>
      </c>
      <c r="N4168" s="2" t="s">
        <v>25744</v>
      </c>
      <c r="O4168" s="4" t="s">
        <v>25745</v>
      </c>
      <c r="P4168" s="2" t="s">
        <v>25746</v>
      </c>
      <c r="Q4168" s="2" t="s">
        <v>31</v>
      </c>
      <c r="R4168" s="2" t="s">
        <v>64</v>
      </c>
      <c r="S4168" s="4" t="s">
        <v>25747</v>
      </c>
      <c r="T4168" s="2" t="s">
        <v>66</v>
      </c>
      <c r="U4168" s="4" t="s">
        <v>25731</v>
      </c>
      <c r="V4168" s="2" t="s">
        <v>25723</v>
      </c>
      <c r="W4168" s="2" t="s">
        <v>25722</v>
      </c>
      <c r="X4168" s="5" t="str">
        <f>HYPERLINK("https://my.pitchbook.com?p=415667-71P","View People Online")</f>
        <v>View People Online</v>
      </c>
    </row>
    <row r="4169">
      <c r="A4169" s="14" t="s">
        <v>26108</v>
      </c>
      <c r="B4169" s="14" t="s">
        <v>26109</v>
      </c>
      <c r="C4169" s="14" t="s">
        <v>26110</v>
      </c>
      <c r="D4169" s="14" t="s">
        <v>26111</v>
      </c>
      <c r="E4169" s="14" t="s">
        <v>25722</v>
      </c>
      <c r="F4169" s="14" t="s">
        <v>896</v>
      </c>
      <c r="G4169" s="14" t="s">
        <v>26112</v>
      </c>
      <c r="H4169" s="15" t="s">
        <v>31</v>
      </c>
      <c r="I4169" s="15">
        <v>1.0</v>
      </c>
      <c r="J4169" s="15">
        <v>1.0</v>
      </c>
      <c r="K4169" s="15" t="s">
        <v>31</v>
      </c>
      <c r="L4169" s="16" t="s">
        <v>25725</v>
      </c>
      <c r="M4169" s="14" t="s">
        <v>26113</v>
      </c>
      <c r="N4169" s="14" t="s">
        <v>25744</v>
      </c>
      <c r="O4169" s="16" t="s">
        <v>25745</v>
      </c>
      <c r="P4169" s="14" t="s">
        <v>25746</v>
      </c>
      <c r="Q4169" s="14" t="s">
        <v>31</v>
      </c>
      <c r="R4169" s="14" t="s">
        <v>64</v>
      </c>
      <c r="S4169" s="16" t="s">
        <v>25747</v>
      </c>
      <c r="T4169" s="14" t="s">
        <v>66</v>
      </c>
      <c r="U4169" s="16" t="s">
        <v>25731</v>
      </c>
      <c r="V4169" s="14" t="s">
        <v>896</v>
      </c>
      <c r="W4169" s="14" t="s">
        <v>25722</v>
      </c>
      <c r="X4169" s="17" t="str">
        <f>HYPERLINK("https://my.pitchbook.com?p=142190-11P","View People Online")</f>
        <v>View People Online</v>
      </c>
    </row>
    <row r="4170">
      <c r="A4170" s="10" t="s">
        <v>26114</v>
      </c>
      <c r="B4170" s="10" t="s">
        <v>26115</v>
      </c>
      <c r="C4170" s="10" t="s">
        <v>3811</v>
      </c>
      <c r="D4170" s="10" t="s">
        <v>26116</v>
      </c>
      <c r="E4170" s="10" t="s">
        <v>25722</v>
      </c>
      <c r="F4170" s="10" t="s">
        <v>896</v>
      </c>
      <c r="G4170" s="10" t="s">
        <v>26117</v>
      </c>
      <c r="H4170" s="11" t="s">
        <v>31</v>
      </c>
      <c r="I4170" s="11">
        <v>1.0</v>
      </c>
      <c r="J4170" s="11">
        <v>1.0</v>
      </c>
      <c r="K4170" s="11" t="s">
        <v>31</v>
      </c>
      <c r="L4170" s="12" t="s">
        <v>25725</v>
      </c>
      <c r="M4170" s="10" t="s">
        <v>26118</v>
      </c>
      <c r="N4170" s="10" t="s">
        <v>25744</v>
      </c>
      <c r="O4170" s="12" t="s">
        <v>25745</v>
      </c>
      <c r="P4170" s="10" t="s">
        <v>25746</v>
      </c>
      <c r="Q4170" s="10" t="s">
        <v>31</v>
      </c>
      <c r="R4170" s="10" t="s">
        <v>64</v>
      </c>
      <c r="S4170" s="12" t="s">
        <v>25747</v>
      </c>
      <c r="T4170" s="10" t="s">
        <v>66</v>
      </c>
      <c r="U4170" s="12" t="s">
        <v>25731</v>
      </c>
      <c r="V4170" s="10" t="s">
        <v>896</v>
      </c>
      <c r="W4170" s="10" t="s">
        <v>25722</v>
      </c>
      <c r="X4170" s="13" t="str">
        <f>HYPERLINK("https://my.pitchbook.com?p=126143-38P","View People Online")</f>
        <v>View People Online</v>
      </c>
    </row>
    <row r="4171">
      <c r="A4171" s="6" t="s">
        <v>26119</v>
      </c>
      <c r="B4171" s="6" t="s">
        <v>26120</v>
      </c>
      <c r="C4171" s="6" t="s">
        <v>26121</v>
      </c>
      <c r="D4171" s="6" t="s">
        <v>26122</v>
      </c>
      <c r="E4171" s="6" t="s">
        <v>25722</v>
      </c>
      <c r="F4171" s="6" t="s">
        <v>25723</v>
      </c>
      <c r="G4171" s="6" t="s">
        <v>26123</v>
      </c>
      <c r="H4171" s="7" t="s">
        <v>31</v>
      </c>
      <c r="I4171" s="7">
        <v>1.0</v>
      </c>
      <c r="J4171" s="7">
        <v>1.0</v>
      </c>
      <c r="K4171" s="7" t="s">
        <v>31</v>
      </c>
      <c r="L4171" s="8" t="s">
        <v>25725</v>
      </c>
      <c r="M4171" s="6" t="s">
        <v>26124</v>
      </c>
      <c r="N4171" s="6" t="s">
        <v>25727</v>
      </c>
      <c r="O4171" s="8" t="s">
        <v>25728</v>
      </c>
      <c r="P4171" s="6" t="s">
        <v>25729</v>
      </c>
      <c r="Q4171" s="6" t="s">
        <v>31</v>
      </c>
      <c r="R4171" s="6" t="s">
        <v>64</v>
      </c>
      <c r="S4171" s="8" t="s">
        <v>25730</v>
      </c>
      <c r="T4171" s="6" t="s">
        <v>66</v>
      </c>
      <c r="U4171" s="8" t="s">
        <v>25731</v>
      </c>
      <c r="V4171" s="6" t="s">
        <v>25723</v>
      </c>
      <c r="W4171" s="6" t="s">
        <v>25722</v>
      </c>
      <c r="X4171" s="9" t="str">
        <f>HYPERLINK("https://my.pitchbook.com?p=415668-43P","View People Online")</f>
        <v>View People Online</v>
      </c>
    </row>
    <row r="4172">
      <c r="A4172" s="10" t="s">
        <v>26125</v>
      </c>
      <c r="B4172" s="10" t="s">
        <v>26126</v>
      </c>
      <c r="C4172" s="10" t="s">
        <v>1482</v>
      </c>
      <c r="D4172" s="10" t="s">
        <v>562</v>
      </c>
      <c r="E4172" s="10" t="s">
        <v>25722</v>
      </c>
      <c r="F4172" s="10" t="s">
        <v>896</v>
      </c>
      <c r="G4172" s="10" t="s">
        <v>26127</v>
      </c>
      <c r="H4172" s="11" t="s">
        <v>31</v>
      </c>
      <c r="I4172" s="11">
        <v>1.0</v>
      </c>
      <c r="J4172" s="11">
        <v>1.0</v>
      </c>
      <c r="K4172" s="11" t="s">
        <v>31</v>
      </c>
      <c r="L4172" s="12" t="s">
        <v>25725</v>
      </c>
      <c r="M4172" s="10" t="s">
        <v>26128</v>
      </c>
      <c r="N4172" s="10" t="s">
        <v>25744</v>
      </c>
      <c r="O4172" s="12" t="s">
        <v>25745</v>
      </c>
      <c r="P4172" s="10" t="s">
        <v>25746</v>
      </c>
      <c r="Q4172" s="10" t="s">
        <v>31</v>
      </c>
      <c r="R4172" s="10" t="s">
        <v>64</v>
      </c>
      <c r="S4172" s="12" t="s">
        <v>25747</v>
      </c>
      <c r="T4172" s="10" t="s">
        <v>66</v>
      </c>
      <c r="U4172" s="12" t="s">
        <v>25731</v>
      </c>
      <c r="V4172" s="10" t="s">
        <v>896</v>
      </c>
      <c r="W4172" s="10" t="s">
        <v>25722</v>
      </c>
      <c r="X4172" s="13" t="str">
        <f>HYPERLINK("https://my.pitchbook.com?p=142189-03P","View People Online")</f>
        <v>View People Online</v>
      </c>
    </row>
    <row r="4173">
      <c r="A4173" s="6" t="s">
        <v>26129</v>
      </c>
      <c r="B4173" s="6" t="s">
        <v>26130</v>
      </c>
      <c r="C4173" s="6" t="s">
        <v>26131</v>
      </c>
      <c r="D4173" s="6" t="s">
        <v>26132</v>
      </c>
      <c r="E4173" s="6" t="s">
        <v>25722</v>
      </c>
      <c r="F4173" s="6" t="s">
        <v>896</v>
      </c>
      <c r="G4173" s="6" t="s">
        <v>26133</v>
      </c>
      <c r="H4173" s="7" t="s">
        <v>31</v>
      </c>
      <c r="I4173" s="7">
        <v>1.0</v>
      </c>
      <c r="J4173" s="7">
        <v>1.0</v>
      </c>
      <c r="K4173" s="7" t="s">
        <v>31</v>
      </c>
      <c r="L4173" s="8" t="s">
        <v>25725</v>
      </c>
      <c r="M4173" s="6" t="s">
        <v>26134</v>
      </c>
      <c r="N4173" s="6" t="s">
        <v>25727</v>
      </c>
      <c r="O4173" s="8" t="s">
        <v>25728</v>
      </c>
      <c r="P4173" s="6" t="s">
        <v>25729</v>
      </c>
      <c r="Q4173" s="6" t="s">
        <v>31</v>
      </c>
      <c r="R4173" s="6" t="s">
        <v>64</v>
      </c>
      <c r="S4173" s="8" t="s">
        <v>25730</v>
      </c>
      <c r="T4173" s="6" t="s">
        <v>66</v>
      </c>
      <c r="U4173" s="8" t="s">
        <v>25731</v>
      </c>
      <c r="V4173" s="6" t="s">
        <v>25796</v>
      </c>
      <c r="W4173" s="6" t="s">
        <v>25722</v>
      </c>
      <c r="X4173" s="9" t="str">
        <f>HYPERLINK("https://my.pitchbook.com?p=415503-55P","View People Online")</f>
        <v>View People Online</v>
      </c>
    </row>
    <row r="4174">
      <c r="A4174" s="10" t="s">
        <v>26135</v>
      </c>
      <c r="B4174" s="10" t="s">
        <v>26136</v>
      </c>
      <c r="C4174" s="10" t="s">
        <v>26137</v>
      </c>
      <c r="D4174" s="10" t="s">
        <v>26138</v>
      </c>
      <c r="E4174" s="10" t="s">
        <v>25722</v>
      </c>
      <c r="F4174" s="10" t="s">
        <v>25723</v>
      </c>
      <c r="G4174" s="10" t="s">
        <v>26139</v>
      </c>
      <c r="H4174" s="11" t="s">
        <v>31</v>
      </c>
      <c r="I4174" s="11">
        <v>1.0</v>
      </c>
      <c r="J4174" s="11">
        <v>1.0</v>
      </c>
      <c r="K4174" s="11" t="s">
        <v>31</v>
      </c>
      <c r="L4174" s="12" t="s">
        <v>25725</v>
      </c>
      <c r="M4174" s="10" t="s">
        <v>26140</v>
      </c>
      <c r="N4174" s="10" t="s">
        <v>25727</v>
      </c>
      <c r="O4174" s="12" t="s">
        <v>25728</v>
      </c>
      <c r="P4174" s="10" t="s">
        <v>25729</v>
      </c>
      <c r="Q4174" s="10" t="s">
        <v>31</v>
      </c>
      <c r="R4174" s="10" t="s">
        <v>64</v>
      </c>
      <c r="S4174" s="12" t="s">
        <v>25730</v>
      </c>
      <c r="T4174" s="10" t="s">
        <v>66</v>
      </c>
      <c r="U4174" s="12" t="s">
        <v>25731</v>
      </c>
      <c r="V4174" s="10" t="s">
        <v>25723</v>
      </c>
      <c r="W4174" s="10" t="s">
        <v>25722</v>
      </c>
      <c r="X4174" s="13" t="str">
        <f>HYPERLINK("https://my.pitchbook.com?p=415668-79P","View People Online")</f>
        <v>View People Online</v>
      </c>
    </row>
    <row r="4175">
      <c r="A4175" s="6" t="s">
        <v>26141</v>
      </c>
      <c r="B4175" s="6" t="s">
        <v>26142</v>
      </c>
      <c r="C4175" s="6" t="s">
        <v>17080</v>
      </c>
      <c r="D4175" s="6" t="s">
        <v>26143</v>
      </c>
      <c r="E4175" s="6" t="s">
        <v>25722</v>
      </c>
      <c r="F4175" s="6" t="s">
        <v>896</v>
      </c>
      <c r="G4175" s="6" t="s">
        <v>26144</v>
      </c>
      <c r="H4175" s="7" t="s">
        <v>31</v>
      </c>
      <c r="I4175" s="7">
        <v>1.0</v>
      </c>
      <c r="J4175" s="7">
        <v>1.0</v>
      </c>
      <c r="K4175" s="7" t="s">
        <v>31</v>
      </c>
      <c r="L4175" s="8" t="s">
        <v>25725</v>
      </c>
      <c r="M4175" s="6" t="s">
        <v>26145</v>
      </c>
      <c r="N4175" s="6" t="s">
        <v>25744</v>
      </c>
      <c r="O4175" s="8" t="s">
        <v>25745</v>
      </c>
      <c r="P4175" s="6" t="s">
        <v>25746</v>
      </c>
      <c r="Q4175" s="6" t="s">
        <v>31</v>
      </c>
      <c r="R4175" s="6" t="s">
        <v>64</v>
      </c>
      <c r="S4175" s="8" t="s">
        <v>25747</v>
      </c>
      <c r="T4175" s="6" t="s">
        <v>66</v>
      </c>
      <c r="U4175" s="8" t="s">
        <v>25731</v>
      </c>
      <c r="V4175" s="6" t="s">
        <v>25796</v>
      </c>
      <c r="W4175" s="6" t="s">
        <v>25722</v>
      </c>
      <c r="X4175" s="9" t="str">
        <f>HYPERLINK("https://my.pitchbook.com?p=126142-93P","View People Online")</f>
        <v>View People Online</v>
      </c>
    </row>
    <row r="4176">
      <c r="A4176" s="10" t="s">
        <v>26146</v>
      </c>
      <c r="B4176" s="10" t="s">
        <v>26147</v>
      </c>
      <c r="C4176" s="10" t="s">
        <v>5507</v>
      </c>
      <c r="D4176" s="10" t="s">
        <v>26148</v>
      </c>
      <c r="E4176" s="10" t="s">
        <v>25722</v>
      </c>
      <c r="F4176" s="10" t="s">
        <v>896</v>
      </c>
      <c r="G4176" s="10" t="s">
        <v>26149</v>
      </c>
      <c r="H4176" s="11" t="s">
        <v>31</v>
      </c>
      <c r="I4176" s="11">
        <v>1.0</v>
      </c>
      <c r="J4176" s="11">
        <v>1.0</v>
      </c>
      <c r="K4176" s="11" t="s">
        <v>31</v>
      </c>
      <c r="L4176" s="12" t="s">
        <v>25725</v>
      </c>
      <c r="M4176" s="10" t="s">
        <v>26150</v>
      </c>
      <c r="N4176" s="10" t="s">
        <v>25744</v>
      </c>
      <c r="O4176" s="12" t="s">
        <v>25745</v>
      </c>
      <c r="P4176" s="10" t="s">
        <v>25746</v>
      </c>
      <c r="Q4176" s="10" t="s">
        <v>31</v>
      </c>
      <c r="R4176" s="10" t="s">
        <v>64</v>
      </c>
      <c r="S4176" s="12" t="s">
        <v>25747</v>
      </c>
      <c r="T4176" s="10" t="s">
        <v>66</v>
      </c>
      <c r="U4176" s="12" t="s">
        <v>25731</v>
      </c>
      <c r="V4176" s="10" t="s">
        <v>25796</v>
      </c>
      <c r="W4176" s="10" t="s">
        <v>25722</v>
      </c>
      <c r="X4176" s="13" t="str">
        <f>HYPERLINK("https://my.pitchbook.com?p=126142-48P","View People Online")</f>
        <v>View People Online</v>
      </c>
    </row>
    <row r="4177">
      <c r="A4177" s="14" t="s">
        <v>26151</v>
      </c>
      <c r="B4177" s="14" t="s">
        <v>26152</v>
      </c>
      <c r="C4177" s="14" t="s">
        <v>4345</v>
      </c>
      <c r="D4177" s="14" t="s">
        <v>26153</v>
      </c>
      <c r="E4177" s="14" t="s">
        <v>25722</v>
      </c>
      <c r="F4177" s="14" t="s">
        <v>896</v>
      </c>
      <c r="G4177" s="14" t="s">
        <v>26154</v>
      </c>
      <c r="H4177" s="15" t="s">
        <v>31</v>
      </c>
      <c r="I4177" s="15">
        <v>1.0</v>
      </c>
      <c r="J4177" s="15">
        <v>1.0</v>
      </c>
      <c r="K4177" s="15" t="s">
        <v>31</v>
      </c>
      <c r="L4177" s="16" t="s">
        <v>25725</v>
      </c>
      <c r="M4177" s="14" t="s">
        <v>26155</v>
      </c>
      <c r="N4177" s="14" t="s">
        <v>25744</v>
      </c>
      <c r="O4177" s="16" t="s">
        <v>25745</v>
      </c>
      <c r="P4177" s="14" t="s">
        <v>25746</v>
      </c>
      <c r="Q4177" s="14" t="s">
        <v>31</v>
      </c>
      <c r="R4177" s="14" t="s">
        <v>64</v>
      </c>
      <c r="S4177" s="16" t="s">
        <v>25747</v>
      </c>
      <c r="T4177" s="14" t="s">
        <v>66</v>
      </c>
      <c r="U4177" s="16" t="s">
        <v>25731</v>
      </c>
      <c r="V4177" s="14" t="s">
        <v>25796</v>
      </c>
      <c r="W4177" s="14" t="s">
        <v>25722</v>
      </c>
      <c r="X4177" s="17" t="str">
        <f>HYPERLINK("https://my.pitchbook.com?p=126141-76P","View People Online")</f>
        <v>View People Online</v>
      </c>
    </row>
    <row r="4178">
      <c r="A4178" s="10" t="s">
        <v>26156</v>
      </c>
      <c r="B4178" s="10" t="s">
        <v>26157</v>
      </c>
      <c r="C4178" s="10" t="s">
        <v>26158</v>
      </c>
      <c r="D4178" s="10" t="s">
        <v>680</v>
      </c>
      <c r="E4178" s="10" t="s">
        <v>25722</v>
      </c>
      <c r="F4178" s="10" t="s">
        <v>25723</v>
      </c>
      <c r="G4178" s="10" t="s">
        <v>26159</v>
      </c>
      <c r="H4178" s="11" t="s">
        <v>31</v>
      </c>
      <c r="I4178" s="11">
        <v>1.0</v>
      </c>
      <c r="J4178" s="11">
        <v>1.0</v>
      </c>
      <c r="K4178" s="11" t="s">
        <v>31</v>
      </c>
      <c r="L4178" s="12" t="s">
        <v>25725</v>
      </c>
      <c r="M4178" s="10" t="s">
        <v>31</v>
      </c>
      <c r="N4178" s="10" t="s">
        <v>25744</v>
      </c>
      <c r="O4178" s="12" t="s">
        <v>25745</v>
      </c>
      <c r="P4178" s="10" t="s">
        <v>25746</v>
      </c>
      <c r="Q4178" s="10" t="s">
        <v>31</v>
      </c>
      <c r="R4178" s="10" t="s">
        <v>64</v>
      </c>
      <c r="S4178" s="12" t="s">
        <v>25747</v>
      </c>
      <c r="T4178" s="10" t="s">
        <v>66</v>
      </c>
      <c r="U4178" s="12" t="s">
        <v>25731</v>
      </c>
      <c r="V4178" s="10" t="s">
        <v>25723</v>
      </c>
      <c r="W4178" s="10" t="s">
        <v>25722</v>
      </c>
      <c r="X4178" s="13" t="str">
        <f>HYPERLINK("https://my.pitchbook.com?p=415669-33P","View People Online")</f>
        <v>View People Online</v>
      </c>
    </row>
    <row r="4179">
      <c r="A4179" s="6" t="s">
        <v>26160</v>
      </c>
      <c r="B4179" s="6" t="s">
        <v>26161</v>
      </c>
      <c r="C4179" s="6" t="s">
        <v>26162</v>
      </c>
      <c r="D4179" s="6" t="s">
        <v>26163</v>
      </c>
      <c r="E4179" s="6" t="s">
        <v>25722</v>
      </c>
      <c r="F4179" s="6" t="s">
        <v>25723</v>
      </c>
      <c r="G4179" s="6" t="s">
        <v>26164</v>
      </c>
      <c r="H4179" s="7" t="s">
        <v>31</v>
      </c>
      <c r="I4179" s="7">
        <v>1.0</v>
      </c>
      <c r="J4179" s="7">
        <v>1.0</v>
      </c>
      <c r="K4179" s="7" t="s">
        <v>31</v>
      </c>
      <c r="L4179" s="8" t="s">
        <v>25725</v>
      </c>
      <c r="M4179" s="6" t="s">
        <v>26165</v>
      </c>
      <c r="N4179" s="6" t="s">
        <v>25744</v>
      </c>
      <c r="O4179" s="8" t="s">
        <v>25745</v>
      </c>
      <c r="P4179" s="6" t="s">
        <v>25746</v>
      </c>
      <c r="Q4179" s="6" t="s">
        <v>31</v>
      </c>
      <c r="R4179" s="6" t="s">
        <v>64</v>
      </c>
      <c r="S4179" s="8" t="s">
        <v>25747</v>
      </c>
      <c r="T4179" s="6" t="s">
        <v>66</v>
      </c>
      <c r="U4179" s="8" t="s">
        <v>25731</v>
      </c>
      <c r="V4179" s="6" t="s">
        <v>25723</v>
      </c>
      <c r="W4179" s="6" t="s">
        <v>25722</v>
      </c>
      <c r="X4179" s="9" t="str">
        <f>HYPERLINK("https://my.pitchbook.com?p=126141-58P","View People Online")</f>
        <v>View People Online</v>
      </c>
    </row>
    <row r="4180">
      <c r="A4180" s="10" t="s">
        <v>26166</v>
      </c>
      <c r="B4180" s="10" t="s">
        <v>26167</v>
      </c>
      <c r="C4180" s="10" t="s">
        <v>3521</v>
      </c>
      <c r="D4180" s="10" t="s">
        <v>26168</v>
      </c>
      <c r="E4180" s="10" t="s">
        <v>25722</v>
      </c>
      <c r="F4180" s="10" t="s">
        <v>896</v>
      </c>
      <c r="G4180" s="10" t="s">
        <v>26169</v>
      </c>
      <c r="H4180" s="11" t="s">
        <v>31</v>
      </c>
      <c r="I4180" s="11">
        <v>1.0</v>
      </c>
      <c r="J4180" s="11">
        <v>1.0</v>
      </c>
      <c r="K4180" s="11" t="s">
        <v>31</v>
      </c>
      <c r="L4180" s="12" t="s">
        <v>25725</v>
      </c>
      <c r="M4180" s="10" t="s">
        <v>26170</v>
      </c>
      <c r="N4180" s="10" t="s">
        <v>25744</v>
      </c>
      <c r="O4180" s="12" t="s">
        <v>25745</v>
      </c>
      <c r="P4180" s="10" t="s">
        <v>25746</v>
      </c>
      <c r="Q4180" s="10" t="s">
        <v>31</v>
      </c>
      <c r="R4180" s="10" t="s">
        <v>64</v>
      </c>
      <c r="S4180" s="12" t="s">
        <v>25747</v>
      </c>
      <c r="T4180" s="10" t="s">
        <v>66</v>
      </c>
      <c r="U4180" s="12" t="s">
        <v>25731</v>
      </c>
      <c r="V4180" s="10" t="s">
        <v>896</v>
      </c>
      <c r="W4180" s="10" t="s">
        <v>25722</v>
      </c>
      <c r="X4180" s="13" t="str">
        <f>HYPERLINK("https://my.pitchbook.com?p=142188-58P","View People Online")</f>
        <v>View People Online</v>
      </c>
    </row>
    <row r="4181">
      <c r="A4181" s="14" t="s">
        <v>26171</v>
      </c>
      <c r="B4181" s="14" t="s">
        <v>26172</v>
      </c>
      <c r="C4181" s="14" t="s">
        <v>26173</v>
      </c>
      <c r="D4181" s="14" t="s">
        <v>26174</v>
      </c>
      <c r="E4181" s="14" t="s">
        <v>25722</v>
      </c>
      <c r="F4181" s="14" t="s">
        <v>25723</v>
      </c>
      <c r="G4181" s="14" t="s">
        <v>26175</v>
      </c>
      <c r="H4181" s="15" t="s">
        <v>31</v>
      </c>
      <c r="I4181" s="15">
        <v>1.0</v>
      </c>
      <c r="J4181" s="15">
        <v>1.0</v>
      </c>
      <c r="K4181" s="15" t="s">
        <v>31</v>
      </c>
      <c r="L4181" s="16" t="s">
        <v>25725</v>
      </c>
      <c r="M4181" s="14" t="s">
        <v>31</v>
      </c>
      <c r="N4181" s="14" t="s">
        <v>25744</v>
      </c>
      <c r="O4181" s="16" t="s">
        <v>25745</v>
      </c>
      <c r="P4181" s="14" t="s">
        <v>25746</v>
      </c>
      <c r="Q4181" s="14" t="s">
        <v>31</v>
      </c>
      <c r="R4181" s="14" t="s">
        <v>64</v>
      </c>
      <c r="S4181" s="16" t="s">
        <v>25747</v>
      </c>
      <c r="T4181" s="14" t="s">
        <v>66</v>
      </c>
      <c r="U4181" s="16" t="s">
        <v>25731</v>
      </c>
      <c r="V4181" s="14" t="s">
        <v>25723</v>
      </c>
      <c r="W4181" s="14" t="s">
        <v>25722</v>
      </c>
      <c r="X4181" s="17" t="str">
        <f>HYPERLINK("https://my.pitchbook.com?p=415670-23P","View People Online")</f>
        <v>View People Online</v>
      </c>
    </row>
    <row r="4182">
      <c r="A4182" s="2" t="s">
        <v>26176</v>
      </c>
      <c r="B4182" s="2" t="s">
        <v>26177</v>
      </c>
      <c r="C4182" s="2" t="s">
        <v>26178</v>
      </c>
      <c r="D4182" s="2" t="s">
        <v>26179</v>
      </c>
      <c r="E4182" s="2" t="s">
        <v>25722</v>
      </c>
      <c r="F4182" s="2" t="s">
        <v>25723</v>
      </c>
      <c r="G4182" s="2" t="s">
        <v>26180</v>
      </c>
      <c r="H4182" s="3" t="s">
        <v>31</v>
      </c>
      <c r="I4182" s="3">
        <v>1.0</v>
      </c>
      <c r="J4182" s="3">
        <v>1.0</v>
      </c>
      <c r="K4182" s="3" t="s">
        <v>31</v>
      </c>
      <c r="L4182" s="4" t="s">
        <v>25725</v>
      </c>
      <c r="M4182" s="2" t="s">
        <v>26181</v>
      </c>
      <c r="N4182" s="2" t="s">
        <v>25744</v>
      </c>
      <c r="O4182" s="4" t="s">
        <v>25745</v>
      </c>
      <c r="P4182" s="2" t="s">
        <v>25746</v>
      </c>
      <c r="Q4182" s="2" t="s">
        <v>31</v>
      </c>
      <c r="R4182" s="2" t="s">
        <v>64</v>
      </c>
      <c r="S4182" s="4" t="s">
        <v>25747</v>
      </c>
      <c r="T4182" s="2" t="s">
        <v>66</v>
      </c>
      <c r="U4182" s="4" t="s">
        <v>25731</v>
      </c>
      <c r="V4182" s="2" t="s">
        <v>25723</v>
      </c>
      <c r="W4182" s="2" t="s">
        <v>25722</v>
      </c>
      <c r="X4182" s="5" t="str">
        <f>HYPERLINK("https://my.pitchbook.com?p=415671-22P","View People Online")</f>
        <v>View People Online</v>
      </c>
    </row>
    <row r="4183">
      <c r="A4183" s="14" t="s">
        <v>26182</v>
      </c>
      <c r="B4183" s="14" t="s">
        <v>26183</v>
      </c>
      <c r="C4183" s="14" t="s">
        <v>8956</v>
      </c>
      <c r="D4183" s="14" t="s">
        <v>3775</v>
      </c>
      <c r="E4183" s="14" t="s">
        <v>25722</v>
      </c>
      <c r="F4183" s="14" t="s">
        <v>896</v>
      </c>
      <c r="G4183" s="14" t="s">
        <v>26184</v>
      </c>
      <c r="H4183" s="15" t="s">
        <v>31</v>
      </c>
      <c r="I4183" s="15">
        <v>1.0</v>
      </c>
      <c r="J4183" s="15">
        <v>1.0</v>
      </c>
      <c r="K4183" s="15" t="s">
        <v>31</v>
      </c>
      <c r="L4183" s="16" t="s">
        <v>25725</v>
      </c>
      <c r="M4183" s="14" t="s">
        <v>26185</v>
      </c>
      <c r="N4183" s="14" t="s">
        <v>25727</v>
      </c>
      <c r="O4183" s="16" t="s">
        <v>25728</v>
      </c>
      <c r="P4183" s="14" t="s">
        <v>25729</v>
      </c>
      <c r="Q4183" s="14" t="s">
        <v>31</v>
      </c>
      <c r="R4183" s="14" t="s">
        <v>64</v>
      </c>
      <c r="S4183" s="16" t="s">
        <v>25730</v>
      </c>
      <c r="T4183" s="14" t="s">
        <v>66</v>
      </c>
      <c r="U4183" s="16" t="s">
        <v>25731</v>
      </c>
      <c r="V4183" s="14" t="s">
        <v>25796</v>
      </c>
      <c r="W4183" s="14" t="s">
        <v>25722</v>
      </c>
      <c r="X4183" s="17" t="str">
        <f>HYPERLINK("https://my.pitchbook.com?p=415515-25P","View People Online")</f>
        <v>View People Online</v>
      </c>
    </row>
    <row r="4184">
      <c r="A4184" s="2" t="s">
        <v>26186</v>
      </c>
      <c r="B4184" s="2" t="s">
        <v>26187</v>
      </c>
      <c r="C4184" s="2" t="s">
        <v>2122</v>
      </c>
      <c r="D4184" s="2" t="s">
        <v>26188</v>
      </c>
      <c r="E4184" s="2" t="s">
        <v>25722</v>
      </c>
      <c r="F4184" s="2" t="s">
        <v>25723</v>
      </c>
      <c r="G4184" s="2" t="s">
        <v>26189</v>
      </c>
      <c r="H4184" s="3" t="s">
        <v>31</v>
      </c>
      <c r="I4184" s="3">
        <v>1.0</v>
      </c>
      <c r="J4184" s="3">
        <v>1.0</v>
      </c>
      <c r="K4184" s="3" t="s">
        <v>31</v>
      </c>
      <c r="L4184" s="4" t="s">
        <v>25725</v>
      </c>
      <c r="M4184" s="2" t="s">
        <v>26190</v>
      </c>
      <c r="N4184" s="2" t="s">
        <v>25744</v>
      </c>
      <c r="O4184" s="4" t="s">
        <v>25745</v>
      </c>
      <c r="P4184" s="2" t="s">
        <v>25746</v>
      </c>
      <c r="Q4184" s="2" t="s">
        <v>31</v>
      </c>
      <c r="R4184" s="2" t="s">
        <v>64</v>
      </c>
      <c r="S4184" s="4" t="s">
        <v>25747</v>
      </c>
      <c r="T4184" s="2" t="s">
        <v>66</v>
      </c>
      <c r="U4184" s="4" t="s">
        <v>25731</v>
      </c>
      <c r="V4184" s="2" t="s">
        <v>25723</v>
      </c>
      <c r="W4184" s="2" t="s">
        <v>25722</v>
      </c>
      <c r="X4184" s="5" t="str">
        <f>HYPERLINK("https://my.pitchbook.com?p=415671-67P","View People Online")</f>
        <v>View People Online</v>
      </c>
    </row>
    <row r="4185">
      <c r="A4185" s="6" t="s">
        <v>26191</v>
      </c>
      <c r="B4185" s="6" t="s">
        <v>26192</v>
      </c>
      <c r="C4185" s="6" t="s">
        <v>26193</v>
      </c>
      <c r="D4185" s="6" t="s">
        <v>26194</v>
      </c>
      <c r="E4185" s="6" t="s">
        <v>25722</v>
      </c>
      <c r="F4185" s="6" t="s">
        <v>896</v>
      </c>
      <c r="G4185" s="6" t="s">
        <v>26195</v>
      </c>
      <c r="H4185" s="7" t="s">
        <v>31</v>
      </c>
      <c r="I4185" s="7">
        <v>1.0</v>
      </c>
      <c r="J4185" s="7">
        <v>1.0</v>
      </c>
      <c r="K4185" s="7" t="s">
        <v>31</v>
      </c>
      <c r="L4185" s="8" t="s">
        <v>25725</v>
      </c>
      <c r="M4185" s="6" t="s">
        <v>26196</v>
      </c>
      <c r="N4185" s="6" t="s">
        <v>25744</v>
      </c>
      <c r="O4185" s="8" t="s">
        <v>25745</v>
      </c>
      <c r="P4185" s="6" t="s">
        <v>25746</v>
      </c>
      <c r="Q4185" s="6" t="s">
        <v>31</v>
      </c>
      <c r="R4185" s="6" t="s">
        <v>64</v>
      </c>
      <c r="S4185" s="8" t="s">
        <v>25747</v>
      </c>
      <c r="T4185" s="6" t="s">
        <v>66</v>
      </c>
      <c r="U4185" s="8" t="s">
        <v>25731</v>
      </c>
      <c r="V4185" s="6" t="s">
        <v>25796</v>
      </c>
      <c r="W4185" s="6" t="s">
        <v>25722</v>
      </c>
      <c r="X4185" s="9" t="str">
        <f>HYPERLINK("https://my.pitchbook.com?p=415672-03P","View People Online")</f>
        <v>View People Online</v>
      </c>
    </row>
    <row r="4186">
      <c r="A4186" s="10" t="s">
        <v>26197</v>
      </c>
      <c r="B4186" s="10" t="s">
        <v>26198</v>
      </c>
      <c r="C4186" s="10" t="s">
        <v>823</v>
      </c>
      <c r="D4186" s="10" t="s">
        <v>26199</v>
      </c>
      <c r="E4186" s="10" t="s">
        <v>25722</v>
      </c>
      <c r="F4186" s="10" t="s">
        <v>25723</v>
      </c>
      <c r="G4186" s="10" t="s">
        <v>26200</v>
      </c>
      <c r="H4186" s="11" t="s">
        <v>31</v>
      </c>
      <c r="I4186" s="11">
        <v>1.0</v>
      </c>
      <c r="J4186" s="11">
        <v>1.0</v>
      </c>
      <c r="K4186" s="11" t="s">
        <v>31</v>
      </c>
      <c r="L4186" s="12" t="s">
        <v>25725</v>
      </c>
      <c r="M4186" s="10" t="s">
        <v>26201</v>
      </c>
      <c r="N4186" s="10" t="s">
        <v>25744</v>
      </c>
      <c r="O4186" s="12" t="s">
        <v>25745</v>
      </c>
      <c r="P4186" s="10" t="s">
        <v>25746</v>
      </c>
      <c r="Q4186" s="10" t="s">
        <v>31</v>
      </c>
      <c r="R4186" s="10" t="s">
        <v>64</v>
      </c>
      <c r="S4186" s="12" t="s">
        <v>25747</v>
      </c>
      <c r="T4186" s="10" t="s">
        <v>66</v>
      </c>
      <c r="U4186" s="12" t="s">
        <v>25731</v>
      </c>
      <c r="V4186" s="10" t="s">
        <v>25723</v>
      </c>
      <c r="W4186" s="10" t="s">
        <v>25722</v>
      </c>
      <c r="X4186" s="13" t="str">
        <f>HYPERLINK("https://my.pitchbook.com?p=415672-57P","View People Online")</f>
        <v>View People Online</v>
      </c>
    </row>
    <row r="4187">
      <c r="A4187" s="6" t="s">
        <v>26202</v>
      </c>
      <c r="B4187" s="6" t="s">
        <v>26203</v>
      </c>
      <c r="C4187" s="6" t="s">
        <v>26204</v>
      </c>
      <c r="D4187" s="6" t="s">
        <v>4591</v>
      </c>
      <c r="E4187" s="6" t="s">
        <v>25722</v>
      </c>
      <c r="F4187" s="6" t="s">
        <v>25723</v>
      </c>
      <c r="G4187" s="6" t="s">
        <v>26205</v>
      </c>
      <c r="H4187" s="7" t="s">
        <v>31</v>
      </c>
      <c r="I4187" s="7">
        <v>1.0</v>
      </c>
      <c r="J4187" s="7">
        <v>1.0</v>
      </c>
      <c r="K4187" s="7" t="s">
        <v>31</v>
      </c>
      <c r="L4187" s="8" t="s">
        <v>25725</v>
      </c>
      <c r="M4187" s="6" t="s">
        <v>26206</v>
      </c>
      <c r="N4187" s="6" t="s">
        <v>25727</v>
      </c>
      <c r="O4187" s="8" t="s">
        <v>25728</v>
      </c>
      <c r="P4187" s="6" t="s">
        <v>25729</v>
      </c>
      <c r="Q4187" s="6" t="s">
        <v>31</v>
      </c>
      <c r="R4187" s="6" t="s">
        <v>64</v>
      </c>
      <c r="S4187" s="8" t="s">
        <v>25730</v>
      </c>
      <c r="T4187" s="6" t="s">
        <v>66</v>
      </c>
      <c r="U4187" s="8" t="s">
        <v>25731</v>
      </c>
      <c r="V4187" s="6" t="s">
        <v>25723</v>
      </c>
      <c r="W4187" s="6" t="s">
        <v>25722</v>
      </c>
      <c r="X4187" s="9" t="str">
        <f>HYPERLINK("https://my.pitchbook.com?p=441449-47P","View People Online")</f>
        <v>View People Online</v>
      </c>
    </row>
    <row r="4188">
      <c r="A4188" s="2" t="s">
        <v>26207</v>
      </c>
      <c r="B4188" s="2" t="s">
        <v>26208</v>
      </c>
      <c r="C4188" s="2" t="s">
        <v>3529</v>
      </c>
      <c r="D4188" s="2" t="s">
        <v>9204</v>
      </c>
      <c r="E4188" s="2" t="s">
        <v>25722</v>
      </c>
      <c r="F4188" s="2" t="s">
        <v>896</v>
      </c>
      <c r="G4188" s="2" t="s">
        <v>26209</v>
      </c>
      <c r="H4188" s="3" t="s">
        <v>31</v>
      </c>
      <c r="I4188" s="3">
        <v>1.0</v>
      </c>
      <c r="J4188" s="3">
        <v>1.0</v>
      </c>
      <c r="K4188" s="3" t="s">
        <v>31</v>
      </c>
      <c r="L4188" s="4" t="s">
        <v>25725</v>
      </c>
      <c r="M4188" s="2" t="s">
        <v>26210</v>
      </c>
      <c r="N4188" s="2" t="s">
        <v>25744</v>
      </c>
      <c r="O4188" s="4" t="s">
        <v>25745</v>
      </c>
      <c r="P4188" s="2" t="s">
        <v>25746</v>
      </c>
      <c r="Q4188" s="2" t="s">
        <v>31</v>
      </c>
      <c r="R4188" s="2" t="s">
        <v>64</v>
      </c>
      <c r="S4188" s="4" t="s">
        <v>25747</v>
      </c>
      <c r="T4188" s="2" t="s">
        <v>66</v>
      </c>
      <c r="U4188" s="4" t="s">
        <v>25731</v>
      </c>
      <c r="V4188" s="2" t="s">
        <v>896</v>
      </c>
      <c r="W4188" s="2" t="s">
        <v>25722</v>
      </c>
      <c r="X4188" s="5" t="str">
        <f>HYPERLINK("https://my.pitchbook.com?p=126141-31P","View People Online")</f>
        <v>View People Online</v>
      </c>
    </row>
    <row r="4189">
      <c r="A4189" s="6" t="s">
        <v>26211</v>
      </c>
      <c r="B4189" s="6" t="s">
        <v>26212</v>
      </c>
      <c r="C4189" s="6" t="s">
        <v>26</v>
      </c>
      <c r="D4189" s="6" t="s">
        <v>26213</v>
      </c>
      <c r="E4189" s="6" t="s">
        <v>25722</v>
      </c>
      <c r="F4189" s="6" t="s">
        <v>896</v>
      </c>
      <c r="G4189" s="6" t="s">
        <v>26214</v>
      </c>
      <c r="H4189" s="7" t="s">
        <v>31</v>
      </c>
      <c r="I4189" s="7">
        <v>1.0</v>
      </c>
      <c r="J4189" s="7">
        <v>1.0</v>
      </c>
      <c r="K4189" s="7" t="s">
        <v>31</v>
      </c>
      <c r="L4189" s="8" t="s">
        <v>25725</v>
      </c>
      <c r="M4189" s="6" t="s">
        <v>26215</v>
      </c>
      <c r="N4189" s="6" t="s">
        <v>25744</v>
      </c>
      <c r="O4189" s="8" t="s">
        <v>25745</v>
      </c>
      <c r="P4189" s="6" t="s">
        <v>25746</v>
      </c>
      <c r="Q4189" s="6" t="s">
        <v>31</v>
      </c>
      <c r="R4189" s="6" t="s">
        <v>64</v>
      </c>
      <c r="S4189" s="8" t="s">
        <v>25747</v>
      </c>
      <c r="T4189" s="6" t="s">
        <v>66</v>
      </c>
      <c r="U4189" s="8" t="s">
        <v>25731</v>
      </c>
      <c r="V4189" s="6" t="s">
        <v>896</v>
      </c>
      <c r="W4189" s="6" t="s">
        <v>25722</v>
      </c>
      <c r="X4189" s="9" t="str">
        <f>HYPERLINK("https://my.pitchbook.com?p=126140-50P","View People Online")</f>
        <v>View People Online</v>
      </c>
    </row>
    <row r="4190">
      <c r="A4190" s="2" t="s">
        <v>26216</v>
      </c>
      <c r="B4190" s="2" t="s">
        <v>26217</v>
      </c>
      <c r="C4190" s="2" t="s">
        <v>4404</v>
      </c>
      <c r="D4190" s="2" t="s">
        <v>26218</v>
      </c>
      <c r="E4190" s="2" t="s">
        <v>25722</v>
      </c>
      <c r="F4190" s="2" t="s">
        <v>896</v>
      </c>
      <c r="G4190" s="2" t="s">
        <v>26219</v>
      </c>
      <c r="H4190" s="3" t="s">
        <v>31</v>
      </c>
      <c r="I4190" s="3">
        <v>1.0</v>
      </c>
      <c r="J4190" s="3">
        <v>1.0</v>
      </c>
      <c r="K4190" s="3" t="s">
        <v>31</v>
      </c>
      <c r="L4190" s="4" t="s">
        <v>25725</v>
      </c>
      <c r="M4190" s="2" t="s">
        <v>26220</v>
      </c>
      <c r="N4190" s="2" t="s">
        <v>25727</v>
      </c>
      <c r="O4190" s="4" t="s">
        <v>25728</v>
      </c>
      <c r="P4190" s="2" t="s">
        <v>25729</v>
      </c>
      <c r="Q4190" s="2" t="s">
        <v>31</v>
      </c>
      <c r="R4190" s="2" t="s">
        <v>64</v>
      </c>
      <c r="S4190" s="4" t="s">
        <v>25730</v>
      </c>
      <c r="T4190" s="2" t="s">
        <v>66</v>
      </c>
      <c r="U4190" s="4" t="s">
        <v>25731</v>
      </c>
      <c r="V4190" s="2" t="s">
        <v>25796</v>
      </c>
      <c r="W4190" s="2" t="s">
        <v>25722</v>
      </c>
      <c r="X4190" s="5" t="str">
        <f>HYPERLINK("https://my.pitchbook.com?p=415516-33P","View People Online")</f>
        <v>View People Online</v>
      </c>
    </row>
    <row r="4191">
      <c r="A4191" s="6" t="s">
        <v>26221</v>
      </c>
      <c r="B4191" s="6" t="s">
        <v>26222</v>
      </c>
      <c r="C4191" s="6" t="s">
        <v>5071</v>
      </c>
      <c r="D4191" s="6" t="s">
        <v>26223</v>
      </c>
      <c r="E4191" s="6" t="s">
        <v>25722</v>
      </c>
      <c r="F4191" s="6" t="s">
        <v>25723</v>
      </c>
      <c r="G4191" s="6" t="s">
        <v>26224</v>
      </c>
      <c r="H4191" s="7" t="s">
        <v>31</v>
      </c>
      <c r="I4191" s="7">
        <v>1.0</v>
      </c>
      <c r="J4191" s="7">
        <v>1.0</v>
      </c>
      <c r="K4191" s="7" t="s">
        <v>31</v>
      </c>
      <c r="L4191" s="8" t="s">
        <v>25725</v>
      </c>
      <c r="M4191" s="6" t="s">
        <v>26225</v>
      </c>
      <c r="N4191" s="6" t="s">
        <v>25744</v>
      </c>
      <c r="O4191" s="8" t="s">
        <v>25745</v>
      </c>
      <c r="P4191" s="6" t="s">
        <v>25746</v>
      </c>
      <c r="Q4191" s="6" t="s">
        <v>31</v>
      </c>
      <c r="R4191" s="6" t="s">
        <v>64</v>
      </c>
      <c r="S4191" s="8" t="s">
        <v>25747</v>
      </c>
      <c r="T4191" s="6" t="s">
        <v>66</v>
      </c>
      <c r="U4191" s="8" t="s">
        <v>25731</v>
      </c>
      <c r="V4191" s="6" t="s">
        <v>25723</v>
      </c>
      <c r="W4191" s="6" t="s">
        <v>25722</v>
      </c>
      <c r="X4191" s="9" t="str">
        <f>HYPERLINK("https://my.pitchbook.com?p=415672-75P","View People Online")</f>
        <v>View People Online</v>
      </c>
    </row>
    <row r="4192">
      <c r="A4192" s="10" t="s">
        <v>26226</v>
      </c>
      <c r="B4192" s="10" t="s">
        <v>26227</v>
      </c>
      <c r="C4192" s="10" t="s">
        <v>26228</v>
      </c>
      <c r="D4192" s="10" t="s">
        <v>26229</v>
      </c>
      <c r="E4192" s="10" t="s">
        <v>25722</v>
      </c>
      <c r="F4192" s="10" t="s">
        <v>25723</v>
      </c>
      <c r="G4192" s="10" t="s">
        <v>26230</v>
      </c>
      <c r="H4192" s="11" t="s">
        <v>31</v>
      </c>
      <c r="I4192" s="11">
        <v>1.0</v>
      </c>
      <c r="J4192" s="11">
        <v>1.0</v>
      </c>
      <c r="K4192" s="11" t="s">
        <v>31</v>
      </c>
      <c r="L4192" s="12" t="s">
        <v>25725</v>
      </c>
      <c r="M4192" s="10" t="s">
        <v>26231</v>
      </c>
      <c r="N4192" s="10" t="s">
        <v>25744</v>
      </c>
      <c r="O4192" s="12" t="s">
        <v>25745</v>
      </c>
      <c r="P4192" s="10" t="s">
        <v>25746</v>
      </c>
      <c r="Q4192" s="10" t="s">
        <v>31</v>
      </c>
      <c r="R4192" s="10" t="s">
        <v>64</v>
      </c>
      <c r="S4192" s="12" t="s">
        <v>25747</v>
      </c>
      <c r="T4192" s="10" t="s">
        <v>66</v>
      </c>
      <c r="U4192" s="12" t="s">
        <v>25731</v>
      </c>
      <c r="V4192" s="10" t="s">
        <v>25723</v>
      </c>
      <c r="W4192" s="10" t="s">
        <v>25722</v>
      </c>
      <c r="X4192" s="13" t="str">
        <f>HYPERLINK("https://my.pitchbook.com?p=415673-11P","View People Online")</f>
        <v>View People Online</v>
      </c>
    </row>
    <row r="4193">
      <c r="A4193" s="6" t="s">
        <v>26232</v>
      </c>
      <c r="B4193" s="6" t="s">
        <v>26233</v>
      </c>
      <c r="C4193" s="6" t="s">
        <v>17839</v>
      </c>
      <c r="D4193" s="6" t="s">
        <v>7815</v>
      </c>
      <c r="E4193" s="6" t="s">
        <v>25722</v>
      </c>
      <c r="F4193" s="6" t="s">
        <v>25723</v>
      </c>
      <c r="G4193" s="6" t="s">
        <v>26234</v>
      </c>
      <c r="H4193" s="7" t="s">
        <v>31</v>
      </c>
      <c r="I4193" s="7">
        <v>1.0</v>
      </c>
      <c r="J4193" s="7">
        <v>1.0</v>
      </c>
      <c r="K4193" s="7" t="s">
        <v>31</v>
      </c>
      <c r="L4193" s="8" t="s">
        <v>25725</v>
      </c>
      <c r="M4193" s="6" t="s">
        <v>31</v>
      </c>
      <c r="N4193" s="6" t="s">
        <v>25744</v>
      </c>
      <c r="O4193" s="8" t="s">
        <v>25745</v>
      </c>
      <c r="P4193" s="6" t="s">
        <v>25746</v>
      </c>
      <c r="Q4193" s="6" t="s">
        <v>31</v>
      </c>
      <c r="R4193" s="6" t="s">
        <v>64</v>
      </c>
      <c r="S4193" s="8" t="s">
        <v>25747</v>
      </c>
      <c r="T4193" s="6" t="s">
        <v>66</v>
      </c>
      <c r="U4193" s="8" t="s">
        <v>25731</v>
      </c>
      <c r="V4193" s="6" t="s">
        <v>25723</v>
      </c>
      <c r="W4193" s="6" t="s">
        <v>25722</v>
      </c>
      <c r="X4193" s="9" t="str">
        <f>HYPERLINK("https://my.pitchbook.com?p=415673-74P","View People Online")</f>
        <v>View People Online</v>
      </c>
    </row>
    <row r="4194">
      <c r="A4194" s="10" t="s">
        <v>26235</v>
      </c>
      <c r="B4194" s="10" t="s">
        <v>26236</v>
      </c>
      <c r="C4194" s="10" t="s">
        <v>17861</v>
      </c>
      <c r="D4194" s="10" t="s">
        <v>26237</v>
      </c>
      <c r="E4194" s="10" t="s">
        <v>25722</v>
      </c>
      <c r="F4194" s="10" t="s">
        <v>25723</v>
      </c>
      <c r="G4194" s="10" t="s">
        <v>26238</v>
      </c>
      <c r="H4194" s="11" t="s">
        <v>31</v>
      </c>
      <c r="I4194" s="11">
        <v>1.0</v>
      </c>
      <c r="J4194" s="11">
        <v>1.0</v>
      </c>
      <c r="K4194" s="11" t="s">
        <v>31</v>
      </c>
      <c r="L4194" s="12" t="s">
        <v>25725</v>
      </c>
      <c r="M4194" s="10" t="s">
        <v>26239</v>
      </c>
      <c r="N4194" s="10" t="s">
        <v>25744</v>
      </c>
      <c r="O4194" s="12" t="s">
        <v>25745</v>
      </c>
      <c r="P4194" s="10" t="s">
        <v>25746</v>
      </c>
      <c r="Q4194" s="10" t="s">
        <v>31</v>
      </c>
      <c r="R4194" s="10" t="s">
        <v>64</v>
      </c>
      <c r="S4194" s="12" t="s">
        <v>25747</v>
      </c>
      <c r="T4194" s="10" t="s">
        <v>66</v>
      </c>
      <c r="U4194" s="12" t="s">
        <v>25731</v>
      </c>
      <c r="V4194" s="10" t="s">
        <v>25723</v>
      </c>
      <c r="W4194" s="10" t="s">
        <v>25722</v>
      </c>
      <c r="X4194" s="13" t="str">
        <f>HYPERLINK("https://my.pitchbook.com?p=415675-27P","View People Online")</f>
        <v>View People Online</v>
      </c>
    </row>
    <row r="4195">
      <c r="A4195" s="6" t="s">
        <v>26240</v>
      </c>
      <c r="B4195" s="6" t="s">
        <v>26241</v>
      </c>
      <c r="C4195" s="6" t="s">
        <v>26242</v>
      </c>
      <c r="D4195" s="6" t="s">
        <v>4692</v>
      </c>
      <c r="E4195" s="6" t="s">
        <v>25722</v>
      </c>
      <c r="F4195" s="6" t="s">
        <v>25723</v>
      </c>
      <c r="G4195" s="6" t="s">
        <v>26243</v>
      </c>
      <c r="H4195" s="7" t="s">
        <v>31</v>
      </c>
      <c r="I4195" s="7">
        <v>1.0</v>
      </c>
      <c r="J4195" s="7">
        <v>1.0</v>
      </c>
      <c r="K4195" s="7" t="s">
        <v>31</v>
      </c>
      <c r="L4195" s="8" t="s">
        <v>25725</v>
      </c>
      <c r="M4195" s="6" t="s">
        <v>26244</v>
      </c>
      <c r="N4195" s="6" t="s">
        <v>25727</v>
      </c>
      <c r="O4195" s="8" t="s">
        <v>25728</v>
      </c>
      <c r="P4195" s="6" t="s">
        <v>25729</v>
      </c>
      <c r="Q4195" s="6" t="s">
        <v>31</v>
      </c>
      <c r="R4195" s="6" t="s">
        <v>64</v>
      </c>
      <c r="S4195" s="8" t="s">
        <v>25730</v>
      </c>
      <c r="T4195" s="6" t="s">
        <v>66</v>
      </c>
      <c r="U4195" s="8" t="s">
        <v>25731</v>
      </c>
      <c r="V4195" s="6" t="s">
        <v>25723</v>
      </c>
      <c r="W4195" s="6" t="s">
        <v>25722</v>
      </c>
      <c r="X4195" s="9" t="str">
        <f>HYPERLINK("https://my.pitchbook.com?p=415676-26P","View People Online")</f>
        <v>View People Online</v>
      </c>
    </row>
    <row r="4196">
      <c r="A4196" s="10" t="s">
        <v>26245</v>
      </c>
      <c r="B4196" s="10" t="s">
        <v>26246</v>
      </c>
      <c r="C4196" s="10" t="s">
        <v>1343</v>
      </c>
      <c r="D4196" s="10" t="s">
        <v>26247</v>
      </c>
      <c r="E4196" s="10" t="s">
        <v>25722</v>
      </c>
      <c r="F4196" s="10" t="s">
        <v>896</v>
      </c>
      <c r="G4196" s="10" t="s">
        <v>26248</v>
      </c>
      <c r="H4196" s="11" t="s">
        <v>31</v>
      </c>
      <c r="I4196" s="11">
        <v>1.0</v>
      </c>
      <c r="J4196" s="11">
        <v>1.0</v>
      </c>
      <c r="K4196" s="11" t="s">
        <v>31</v>
      </c>
      <c r="L4196" s="12" t="s">
        <v>25725</v>
      </c>
      <c r="M4196" s="10" t="s">
        <v>26249</v>
      </c>
      <c r="N4196" s="10" t="s">
        <v>25744</v>
      </c>
      <c r="O4196" s="12" t="s">
        <v>25745</v>
      </c>
      <c r="P4196" s="10" t="s">
        <v>25746</v>
      </c>
      <c r="Q4196" s="10" t="s">
        <v>31</v>
      </c>
      <c r="R4196" s="10" t="s">
        <v>64</v>
      </c>
      <c r="S4196" s="12" t="s">
        <v>25747</v>
      </c>
      <c r="T4196" s="10" t="s">
        <v>66</v>
      </c>
      <c r="U4196" s="12" t="s">
        <v>25731</v>
      </c>
      <c r="V4196" s="10" t="s">
        <v>896</v>
      </c>
      <c r="W4196" s="10" t="s">
        <v>25722</v>
      </c>
      <c r="X4196" s="13" t="str">
        <f>HYPERLINK("https://my.pitchbook.com?p=126140-41P","View People Online")</f>
        <v>View People Online</v>
      </c>
    </row>
    <row r="4197">
      <c r="A4197" s="6" t="s">
        <v>26250</v>
      </c>
      <c r="B4197" s="6" t="s">
        <v>26251</v>
      </c>
      <c r="C4197" s="6" t="s">
        <v>3023</v>
      </c>
      <c r="D4197" s="6" t="s">
        <v>26252</v>
      </c>
      <c r="E4197" s="6" t="s">
        <v>25722</v>
      </c>
      <c r="F4197" s="6" t="s">
        <v>25723</v>
      </c>
      <c r="G4197" s="6" t="s">
        <v>26253</v>
      </c>
      <c r="H4197" s="7" t="s">
        <v>31</v>
      </c>
      <c r="I4197" s="7">
        <v>1.0</v>
      </c>
      <c r="J4197" s="7">
        <v>1.0</v>
      </c>
      <c r="K4197" s="7" t="s">
        <v>31</v>
      </c>
      <c r="L4197" s="8" t="s">
        <v>25725</v>
      </c>
      <c r="M4197" s="6" t="s">
        <v>26254</v>
      </c>
      <c r="N4197" s="6" t="s">
        <v>25727</v>
      </c>
      <c r="O4197" s="8" t="s">
        <v>25728</v>
      </c>
      <c r="P4197" s="6" t="s">
        <v>25729</v>
      </c>
      <c r="Q4197" s="6" t="s">
        <v>31</v>
      </c>
      <c r="R4197" s="6" t="s">
        <v>64</v>
      </c>
      <c r="S4197" s="8" t="s">
        <v>25730</v>
      </c>
      <c r="T4197" s="6" t="s">
        <v>66</v>
      </c>
      <c r="U4197" s="8" t="s">
        <v>25731</v>
      </c>
      <c r="V4197" s="6" t="s">
        <v>25723</v>
      </c>
      <c r="W4197" s="6" t="s">
        <v>25722</v>
      </c>
      <c r="X4197" s="9" t="str">
        <f>HYPERLINK("https://my.pitchbook.com?p=415676-71P","View People Online")</f>
        <v>View People Online</v>
      </c>
    </row>
    <row r="4198">
      <c r="A4198" s="10" t="s">
        <v>26255</v>
      </c>
      <c r="B4198" s="10" t="s">
        <v>26256</v>
      </c>
      <c r="C4198" s="10" t="s">
        <v>18127</v>
      </c>
      <c r="D4198" s="10" t="s">
        <v>26257</v>
      </c>
      <c r="E4198" s="10" t="s">
        <v>25722</v>
      </c>
      <c r="F4198" s="10" t="s">
        <v>896</v>
      </c>
      <c r="G4198" s="10" t="s">
        <v>26258</v>
      </c>
      <c r="H4198" s="11" t="s">
        <v>31</v>
      </c>
      <c r="I4198" s="11">
        <v>1.0</v>
      </c>
      <c r="J4198" s="11">
        <v>1.0</v>
      </c>
      <c r="K4198" s="11" t="s">
        <v>31</v>
      </c>
      <c r="L4198" s="12" t="s">
        <v>25725</v>
      </c>
      <c r="M4198" s="10" t="s">
        <v>26259</v>
      </c>
      <c r="N4198" s="10" t="s">
        <v>25744</v>
      </c>
      <c r="O4198" s="12" t="s">
        <v>25745</v>
      </c>
      <c r="P4198" s="10" t="s">
        <v>25746</v>
      </c>
      <c r="Q4198" s="10" t="s">
        <v>31</v>
      </c>
      <c r="R4198" s="10" t="s">
        <v>64</v>
      </c>
      <c r="S4198" s="12" t="s">
        <v>25747</v>
      </c>
      <c r="T4198" s="10" t="s">
        <v>66</v>
      </c>
      <c r="U4198" s="12" t="s">
        <v>25731</v>
      </c>
      <c r="V4198" s="10" t="s">
        <v>25748</v>
      </c>
      <c r="W4198" s="10" t="s">
        <v>25722</v>
      </c>
      <c r="X4198" s="13" t="str">
        <f>HYPERLINK("https://my.pitchbook.com?p=126139-78P","View People Online")</f>
        <v>View People Online</v>
      </c>
    </row>
    <row r="4199">
      <c r="A4199" s="14" t="s">
        <v>26260</v>
      </c>
      <c r="B4199" s="14" t="s">
        <v>26261</v>
      </c>
      <c r="C4199" s="14" t="s">
        <v>3052</v>
      </c>
      <c r="D4199" s="14" t="s">
        <v>2469</v>
      </c>
      <c r="E4199" s="14" t="s">
        <v>25722</v>
      </c>
      <c r="F4199" s="14" t="s">
        <v>896</v>
      </c>
      <c r="G4199" s="14" t="s">
        <v>26262</v>
      </c>
      <c r="H4199" s="15" t="s">
        <v>31</v>
      </c>
      <c r="I4199" s="15">
        <v>1.0</v>
      </c>
      <c r="J4199" s="15">
        <v>1.0</v>
      </c>
      <c r="K4199" s="15" t="s">
        <v>31</v>
      </c>
      <c r="L4199" s="16" t="s">
        <v>25725</v>
      </c>
      <c r="M4199" s="14" t="s">
        <v>31</v>
      </c>
      <c r="N4199" s="14" t="s">
        <v>25727</v>
      </c>
      <c r="O4199" s="16" t="s">
        <v>25728</v>
      </c>
      <c r="P4199" s="14" t="s">
        <v>25729</v>
      </c>
      <c r="Q4199" s="14" t="s">
        <v>31</v>
      </c>
      <c r="R4199" s="14" t="s">
        <v>64</v>
      </c>
      <c r="S4199" s="16" t="s">
        <v>25730</v>
      </c>
      <c r="T4199" s="14" t="s">
        <v>66</v>
      </c>
      <c r="U4199" s="16" t="s">
        <v>25731</v>
      </c>
      <c r="V4199" s="14" t="s">
        <v>25796</v>
      </c>
      <c r="W4199" s="14" t="s">
        <v>25722</v>
      </c>
      <c r="X4199" s="17" t="str">
        <f>HYPERLINK("https://my.pitchbook.com?p=415519-12P","View People Online")</f>
        <v>View People Online</v>
      </c>
    </row>
    <row r="4200">
      <c r="A4200" s="2" t="s">
        <v>26263</v>
      </c>
      <c r="B4200" s="2" t="s">
        <v>26264</v>
      </c>
      <c r="C4200" s="2" t="s">
        <v>213</v>
      </c>
      <c r="D4200" s="2" t="s">
        <v>26265</v>
      </c>
      <c r="E4200" s="2" t="s">
        <v>25722</v>
      </c>
      <c r="F4200" s="2" t="s">
        <v>548</v>
      </c>
      <c r="G4200" s="2" t="s">
        <v>26266</v>
      </c>
      <c r="H4200" s="3" t="s">
        <v>31</v>
      </c>
      <c r="I4200" s="3">
        <v>1.0</v>
      </c>
      <c r="J4200" s="3">
        <v>1.0</v>
      </c>
      <c r="K4200" s="3" t="s">
        <v>31</v>
      </c>
      <c r="L4200" s="4" t="s">
        <v>25725</v>
      </c>
      <c r="M4200" s="2" t="s">
        <v>26267</v>
      </c>
      <c r="N4200" s="2" t="s">
        <v>25727</v>
      </c>
      <c r="O4200" s="4" t="s">
        <v>25728</v>
      </c>
      <c r="P4200" s="2" t="s">
        <v>25729</v>
      </c>
      <c r="Q4200" s="2" t="s">
        <v>31</v>
      </c>
      <c r="R4200" s="2" t="s">
        <v>64</v>
      </c>
      <c r="S4200" s="4" t="s">
        <v>25730</v>
      </c>
      <c r="T4200" s="2" t="s">
        <v>66</v>
      </c>
      <c r="U4200" s="4" t="s">
        <v>25731</v>
      </c>
      <c r="V4200" s="2" t="s">
        <v>26268</v>
      </c>
      <c r="W4200" s="2" t="s">
        <v>25722</v>
      </c>
      <c r="X4200" s="5" t="str">
        <f>HYPERLINK("https://my.pitchbook.com?p=373447-27P","View People Online")</f>
        <v>View People Online</v>
      </c>
    </row>
    <row r="4201">
      <c r="A4201" s="14" t="s">
        <v>26269</v>
      </c>
      <c r="B4201" s="14" t="s">
        <v>26270</v>
      </c>
      <c r="C4201" s="14" t="s">
        <v>213</v>
      </c>
      <c r="D4201" s="14" t="s">
        <v>26271</v>
      </c>
      <c r="E4201" s="14" t="s">
        <v>25722</v>
      </c>
      <c r="F4201" s="14" t="s">
        <v>25723</v>
      </c>
      <c r="G4201" s="14" t="s">
        <v>26272</v>
      </c>
      <c r="H4201" s="15" t="s">
        <v>31</v>
      </c>
      <c r="I4201" s="15">
        <v>1.0</v>
      </c>
      <c r="J4201" s="15">
        <v>1.0</v>
      </c>
      <c r="K4201" s="15" t="s">
        <v>31</v>
      </c>
      <c r="L4201" s="16" t="s">
        <v>25725</v>
      </c>
      <c r="M4201" s="14" t="s">
        <v>26273</v>
      </c>
      <c r="N4201" s="14" t="s">
        <v>25744</v>
      </c>
      <c r="O4201" s="16" t="s">
        <v>25745</v>
      </c>
      <c r="P4201" s="14" t="s">
        <v>25746</v>
      </c>
      <c r="Q4201" s="14" t="s">
        <v>31</v>
      </c>
      <c r="R4201" s="14" t="s">
        <v>64</v>
      </c>
      <c r="S4201" s="16" t="s">
        <v>25747</v>
      </c>
      <c r="T4201" s="14" t="s">
        <v>66</v>
      </c>
      <c r="U4201" s="16" t="s">
        <v>25731</v>
      </c>
      <c r="V4201" s="14" t="s">
        <v>25723</v>
      </c>
      <c r="W4201" s="14" t="s">
        <v>25722</v>
      </c>
      <c r="X4201" s="17" t="str">
        <f>HYPERLINK("https://my.pitchbook.com?p=415676-89P","View People Online")</f>
        <v>View People Online</v>
      </c>
    </row>
    <row r="4202">
      <c r="A4202" s="10" t="s">
        <v>26274</v>
      </c>
      <c r="B4202" s="10" t="s">
        <v>26275</v>
      </c>
      <c r="C4202" s="10" t="s">
        <v>213</v>
      </c>
      <c r="D4202" s="10" t="s">
        <v>26276</v>
      </c>
      <c r="E4202" s="10" t="s">
        <v>25722</v>
      </c>
      <c r="F4202" s="10" t="s">
        <v>502</v>
      </c>
      <c r="G4202" s="10" t="s">
        <v>26277</v>
      </c>
      <c r="H4202" s="11" t="s">
        <v>31</v>
      </c>
      <c r="I4202" s="11">
        <v>2.0</v>
      </c>
      <c r="J4202" s="11">
        <v>2.0</v>
      </c>
      <c r="K4202" s="11" t="s">
        <v>31</v>
      </c>
      <c r="L4202" s="12" t="s">
        <v>25725</v>
      </c>
      <c r="M4202" s="10" t="s">
        <v>26278</v>
      </c>
      <c r="N4202" s="10" t="s">
        <v>25744</v>
      </c>
      <c r="O4202" s="12" t="s">
        <v>25745</v>
      </c>
      <c r="P4202" s="10" t="s">
        <v>25746</v>
      </c>
      <c r="Q4202" s="10" t="s">
        <v>31</v>
      </c>
      <c r="R4202" s="10" t="s">
        <v>64</v>
      </c>
      <c r="S4202" s="12" t="s">
        <v>25747</v>
      </c>
      <c r="T4202" s="10" t="s">
        <v>66</v>
      </c>
      <c r="U4202" s="12" t="s">
        <v>25731</v>
      </c>
      <c r="V4202" s="10" t="s">
        <v>502</v>
      </c>
      <c r="W4202" s="10" t="s">
        <v>25722</v>
      </c>
      <c r="X4202" s="13" t="str">
        <f>HYPERLINK("https://my.pitchbook.com?p=38397-16P","View People Online")</f>
        <v>View People Online</v>
      </c>
    </row>
    <row r="4203">
      <c r="A4203" s="6" t="s">
        <v>26279</v>
      </c>
      <c r="B4203" s="6" t="s">
        <v>26280</v>
      </c>
      <c r="C4203" s="6" t="s">
        <v>26281</v>
      </c>
      <c r="D4203" s="6" t="s">
        <v>2469</v>
      </c>
      <c r="E4203" s="6" t="s">
        <v>25722</v>
      </c>
      <c r="F4203" s="6" t="s">
        <v>2422</v>
      </c>
      <c r="G4203" s="6" t="s">
        <v>26282</v>
      </c>
      <c r="H4203" s="7" t="s">
        <v>31</v>
      </c>
      <c r="I4203" s="7">
        <v>1.0</v>
      </c>
      <c r="J4203" s="7">
        <v>1.0</v>
      </c>
      <c r="K4203" s="7" t="s">
        <v>31</v>
      </c>
      <c r="L4203" s="8" t="s">
        <v>25725</v>
      </c>
      <c r="M4203" s="6" t="s">
        <v>26283</v>
      </c>
      <c r="N4203" s="6" t="s">
        <v>25744</v>
      </c>
      <c r="O4203" s="8" t="s">
        <v>25745</v>
      </c>
      <c r="P4203" s="6" t="s">
        <v>25746</v>
      </c>
      <c r="Q4203" s="6" t="s">
        <v>31</v>
      </c>
      <c r="R4203" s="6" t="s">
        <v>64</v>
      </c>
      <c r="S4203" s="8" t="s">
        <v>25747</v>
      </c>
      <c r="T4203" s="6" t="s">
        <v>66</v>
      </c>
      <c r="U4203" s="8" t="s">
        <v>25731</v>
      </c>
      <c r="V4203" s="6" t="s">
        <v>6303</v>
      </c>
      <c r="W4203" s="6" t="s">
        <v>25722</v>
      </c>
      <c r="X4203" s="9" t="str">
        <f>HYPERLINK("https://my.pitchbook.com?p=57934-63P","View People Online")</f>
        <v>View People Online</v>
      </c>
    </row>
    <row r="4204">
      <c r="A4204" s="10" t="s">
        <v>26284</v>
      </c>
      <c r="B4204" s="10" t="s">
        <v>26285</v>
      </c>
      <c r="C4204" s="10" t="s">
        <v>3082</v>
      </c>
      <c r="D4204" s="10" t="s">
        <v>26286</v>
      </c>
      <c r="E4204" s="10" t="s">
        <v>25722</v>
      </c>
      <c r="F4204" s="10" t="s">
        <v>25723</v>
      </c>
      <c r="G4204" s="10" t="s">
        <v>26287</v>
      </c>
      <c r="H4204" s="11" t="s">
        <v>31</v>
      </c>
      <c r="I4204" s="11">
        <v>1.0</v>
      </c>
      <c r="J4204" s="11">
        <v>1.0</v>
      </c>
      <c r="K4204" s="11" t="s">
        <v>31</v>
      </c>
      <c r="L4204" s="12" t="s">
        <v>25725</v>
      </c>
      <c r="M4204" s="10" t="s">
        <v>26288</v>
      </c>
      <c r="N4204" s="10" t="s">
        <v>25727</v>
      </c>
      <c r="O4204" s="12" t="s">
        <v>25728</v>
      </c>
      <c r="P4204" s="10" t="s">
        <v>25729</v>
      </c>
      <c r="Q4204" s="10" t="s">
        <v>31</v>
      </c>
      <c r="R4204" s="10" t="s">
        <v>64</v>
      </c>
      <c r="S4204" s="12" t="s">
        <v>25730</v>
      </c>
      <c r="T4204" s="10" t="s">
        <v>66</v>
      </c>
      <c r="U4204" s="12" t="s">
        <v>25731</v>
      </c>
      <c r="V4204" s="10" t="s">
        <v>25723</v>
      </c>
      <c r="W4204" s="10" t="s">
        <v>25722</v>
      </c>
      <c r="X4204" s="13" t="str">
        <f>HYPERLINK("https://my.pitchbook.com?p=415677-43P","View People Online")</f>
        <v>View People Online</v>
      </c>
    </row>
    <row r="4205">
      <c r="A4205" s="6" t="s">
        <v>26289</v>
      </c>
      <c r="B4205" s="6" t="s">
        <v>26290</v>
      </c>
      <c r="C4205" s="6" t="s">
        <v>3082</v>
      </c>
      <c r="D4205" s="6" t="s">
        <v>26291</v>
      </c>
      <c r="E4205" s="6" t="s">
        <v>25722</v>
      </c>
      <c r="F4205" s="6" t="s">
        <v>896</v>
      </c>
      <c r="G4205" s="6" t="s">
        <v>26292</v>
      </c>
      <c r="H4205" s="7" t="s">
        <v>31</v>
      </c>
      <c r="I4205" s="7">
        <v>1.0</v>
      </c>
      <c r="J4205" s="7">
        <v>1.0</v>
      </c>
      <c r="K4205" s="7" t="s">
        <v>31</v>
      </c>
      <c r="L4205" s="8" t="s">
        <v>25725</v>
      </c>
      <c r="M4205" s="6" t="s">
        <v>26293</v>
      </c>
      <c r="N4205" s="6" t="s">
        <v>25727</v>
      </c>
      <c r="O4205" s="8" t="s">
        <v>25728</v>
      </c>
      <c r="P4205" s="6" t="s">
        <v>25729</v>
      </c>
      <c r="Q4205" s="6" t="s">
        <v>31</v>
      </c>
      <c r="R4205" s="6" t="s">
        <v>64</v>
      </c>
      <c r="S4205" s="8" t="s">
        <v>25730</v>
      </c>
      <c r="T4205" s="6" t="s">
        <v>66</v>
      </c>
      <c r="U4205" s="8" t="s">
        <v>25731</v>
      </c>
      <c r="V4205" s="6" t="s">
        <v>25796</v>
      </c>
      <c r="W4205" s="6" t="s">
        <v>25722</v>
      </c>
      <c r="X4205" s="9" t="str">
        <f>HYPERLINK("https://my.pitchbook.com?p=415520-11P","View People Online")</f>
        <v>View People Online</v>
      </c>
    </row>
    <row r="4206">
      <c r="A4206" s="10" t="s">
        <v>26294</v>
      </c>
      <c r="B4206" s="10" t="s">
        <v>26295</v>
      </c>
      <c r="C4206" s="10" t="s">
        <v>18382</v>
      </c>
      <c r="D4206" s="10" t="s">
        <v>26296</v>
      </c>
      <c r="E4206" s="10" t="s">
        <v>25722</v>
      </c>
      <c r="F4206" s="10" t="s">
        <v>25723</v>
      </c>
      <c r="G4206" s="10" t="s">
        <v>26297</v>
      </c>
      <c r="H4206" s="11" t="s">
        <v>31</v>
      </c>
      <c r="I4206" s="11">
        <v>1.0</v>
      </c>
      <c r="J4206" s="11">
        <v>1.0</v>
      </c>
      <c r="K4206" s="11" t="s">
        <v>31</v>
      </c>
      <c r="L4206" s="12" t="s">
        <v>25725</v>
      </c>
      <c r="M4206" s="10" t="s">
        <v>26298</v>
      </c>
      <c r="N4206" s="10" t="s">
        <v>25727</v>
      </c>
      <c r="O4206" s="12" t="s">
        <v>25728</v>
      </c>
      <c r="P4206" s="10" t="s">
        <v>25729</v>
      </c>
      <c r="Q4206" s="10" t="s">
        <v>31</v>
      </c>
      <c r="R4206" s="10" t="s">
        <v>64</v>
      </c>
      <c r="S4206" s="12" t="s">
        <v>25730</v>
      </c>
      <c r="T4206" s="10" t="s">
        <v>66</v>
      </c>
      <c r="U4206" s="12" t="s">
        <v>25731</v>
      </c>
      <c r="V4206" s="10" t="s">
        <v>25723</v>
      </c>
      <c r="W4206" s="10" t="s">
        <v>25722</v>
      </c>
      <c r="X4206" s="13" t="str">
        <f>HYPERLINK("https://my.pitchbook.com?p=415684-72P","View People Online")</f>
        <v>View People Online</v>
      </c>
    </row>
    <row r="4207">
      <c r="A4207" s="14" t="s">
        <v>26299</v>
      </c>
      <c r="B4207" s="14" t="s">
        <v>26300</v>
      </c>
      <c r="C4207" s="14" t="s">
        <v>26301</v>
      </c>
      <c r="D4207" s="14" t="s">
        <v>26302</v>
      </c>
      <c r="E4207" s="14" t="s">
        <v>25722</v>
      </c>
      <c r="F4207" s="14" t="s">
        <v>896</v>
      </c>
      <c r="G4207" s="14" t="s">
        <v>26303</v>
      </c>
      <c r="H4207" s="15" t="s">
        <v>31</v>
      </c>
      <c r="I4207" s="15">
        <v>1.0</v>
      </c>
      <c r="J4207" s="15">
        <v>1.0</v>
      </c>
      <c r="K4207" s="15" t="s">
        <v>31</v>
      </c>
      <c r="L4207" s="16" t="s">
        <v>25725</v>
      </c>
      <c r="M4207" s="14" t="s">
        <v>26304</v>
      </c>
      <c r="N4207" s="14" t="s">
        <v>25744</v>
      </c>
      <c r="O4207" s="16" t="s">
        <v>25745</v>
      </c>
      <c r="P4207" s="14" t="s">
        <v>25746</v>
      </c>
      <c r="Q4207" s="14" t="s">
        <v>31</v>
      </c>
      <c r="R4207" s="14" t="s">
        <v>64</v>
      </c>
      <c r="S4207" s="16" t="s">
        <v>25747</v>
      </c>
      <c r="T4207" s="14" t="s">
        <v>66</v>
      </c>
      <c r="U4207" s="16" t="s">
        <v>25731</v>
      </c>
      <c r="V4207" s="14" t="s">
        <v>25796</v>
      </c>
      <c r="W4207" s="14" t="s">
        <v>25722</v>
      </c>
      <c r="X4207" s="17" t="str">
        <f>HYPERLINK("https://my.pitchbook.com?p=126139-06P","View People Online")</f>
        <v>View People Online</v>
      </c>
    </row>
    <row r="4208">
      <c r="A4208" s="2" t="s">
        <v>26305</v>
      </c>
      <c r="B4208" s="2" t="s">
        <v>26306</v>
      </c>
      <c r="C4208" s="2" t="s">
        <v>2190</v>
      </c>
      <c r="D4208" s="2" t="s">
        <v>26307</v>
      </c>
      <c r="E4208" s="2" t="s">
        <v>25722</v>
      </c>
      <c r="F4208" s="2" t="s">
        <v>25723</v>
      </c>
      <c r="G4208" s="2" t="s">
        <v>26308</v>
      </c>
      <c r="H4208" s="3" t="s">
        <v>31</v>
      </c>
      <c r="I4208" s="3">
        <v>1.0</v>
      </c>
      <c r="J4208" s="3">
        <v>1.0</v>
      </c>
      <c r="K4208" s="3" t="s">
        <v>31</v>
      </c>
      <c r="L4208" s="4" t="s">
        <v>25725</v>
      </c>
      <c r="M4208" s="2" t="s">
        <v>26309</v>
      </c>
      <c r="N4208" s="2" t="s">
        <v>25744</v>
      </c>
      <c r="O4208" s="4" t="s">
        <v>25745</v>
      </c>
      <c r="P4208" s="2" t="s">
        <v>25746</v>
      </c>
      <c r="Q4208" s="2" t="s">
        <v>31</v>
      </c>
      <c r="R4208" s="2" t="s">
        <v>64</v>
      </c>
      <c r="S4208" s="4" t="s">
        <v>25747</v>
      </c>
      <c r="T4208" s="2" t="s">
        <v>66</v>
      </c>
      <c r="U4208" s="4" t="s">
        <v>25731</v>
      </c>
      <c r="V4208" s="2" t="s">
        <v>25723</v>
      </c>
      <c r="W4208" s="2" t="s">
        <v>25722</v>
      </c>
      <c r="X4208" s="5" t="str">
        <f>HYPERLINK("https://my.pitchbook.com?p=126138-61P","View People Online")</f>
        <v>View People Online</v>
      </c>
    </row>
    <row r="4209">
      <c r="A4209" s="14" t="s">
        <v>26310</v>
      </c>
      <c r="B4209" s="14" t="s">
        <v>26311</v>
      </c>
      <c r="C4209" s="14" t="s">
        <v>2197</v>
      </c>
      <c r="D4209" s="14" t="s">
        <v>26312</v>
      </c>
      <c r="E4209" s="14" t="s">
        <v>25722</v>
      </c>
      <c r="F4209" s="14" t="s">
        <v>896</v>
      </c>
      <c r="G4209" s="14" t="s">
        <v>26313</v>
      </c>
      <c r="H4209" s="15" t="s">
        <v>31</v>
      </c>
      <c r="I4209" s="15">
        <v>1.0</v>
      </c>
      <c r="J4209" s="15">
        <v>1.0</v>
      </c>
      <c r="K4209" s="15" t="s">
        <v>31</v>
      </c>
      <c r="L4209" s="16" t="s">
        <v>25725</v>
      </c>
      <c r="M4209" s="14" t="s">
        <v>26314</v>
      </c>
      <c r="N4209" s="14" t="s">
        <v>25727</v>
      </c>
      <c r="O4209" s="16" t="s">
        <v>25728</v>
      </c>
      <c r="P4209" s="14" t="s">
        <v>25729</v>
      </c>
      <c r="Q4209" s="14" t="s">
        <v>31</v>
      </c>
      <c r="R4209" s="14" t="s">
        <v>64</v>
      </c>
      <c r="S4209" s="16" t="s">
        <v>25730</v>
      </c>
      <c r="T4209" s="14" t="s">
        <v>66</v>
      </c>
      <c r="U4209" s="16" t="s">
        <v>25731</v>
      </c>
      <c r="V4209" s="14" t="s">
        <v>25796</v>
      </c>
      <c r="W4209" s="14" t="s">
        <v>25722</v>
      </c>
      <c r="X4209" s="17" t="str">
        <f>HYPERLINK("https://my.pitchbook.com?p=415521-19P","View People Online")</f>
        <v>View People Online</v>
      </c>
    </row>
    <row r="4210">
      <c r="A4210" s="10" t="s">
        <v>26315</v>
      </c>
      <c r="B4210" s="10" t="s">
        <v>26316</v>
      </c>
      <c r="C4210" s="10" t="s">
        <v>2197</v>
      </c>
      <c r="D4210" s="10" t="s">
        <v>26317</v>
      </c>
      <c r="E4210" s="10" t="s">
        <v>25722</v>
      </c>
      <c r="F4210" s="10" t="s">
        <v>896</v>
      </c>
      <c r="G4210" s="10" t="s">
        <v>26318</v>
      </c>
      <c r="H4210" s="11" t="s">
        <v>31</v>
      </c>
      <c r="I4210" s="11">
        <v>1.0</v>
      </c>
      <c r="J4210" s="11">
        <v>1.0</v>
      </c>
      <c r="K4210" s="11" t="s">
        <v>31</v>
      </c>
      <c r="L4210" s="12" t="s">
        <v>25725</v>
      </c>
      <c r="M4210" s="10" t="s">
        <v>26319</v>
      </c>
      <c r="N4210" s="10" t="s">
        <v>25727</v>
      </c>
      <c r="O4210" s="12" t="s">
        <v>25728</v>
      </c>
      <c r="P4210" s="10" t="s">
        <v>25729</v>
      </c>
      <c r="Q4210" s="10" t="s">
        <v>31</v>
      </c>
      <c r="R4210" s="10" t="s">
        <v>64</v>
      </c>
      <c r="S4210" s="12" t="s">
        <v>25730</v>
      </c>
      <c r="T4210" s="10" t="s">
        <v>66</v>
      </c>
      <c r="U4210" s="12" t="s">
        <v>25731</v>
      </c>
      <c r="V4210" s="10" t="s">
        <v>25796</v>
      </c>
      <c r="W4210" s="10" t="s">
        <v>25722</v>
      </c>
      <c r="X4210" s="13" t="str">
        <f>HYPERLINK("https://my.pitchbook.com?p=142901-83P","View People Online")</f>
        <v>View People Online</v>
      </c>
    </row>
    <row r="4211">
      <c r="A4211" s="14" t="s">
        <v>26320</v>
      </c>
      <c r="B4211" s="14" t="s">
        <v>26321</v>
      </c>
      <c r="C4211" s="14" t="s">
        <v>5092</v>
      </c>
      <c r="D4211" s="14" t="s">
        <v>666</v>
      </c>
      <c r="E4211" s="14" t="s">
        <v>25722</v>
      </c>
      <c r="F4211" s="14" t="s">
        <v>25723</v>
      </c>
      <c r="G4211" s="14" t="s">
        <v>26322</v>
      </c>
      <c r="H4211" s="15" t="s">
        <v>31</v>
      </c>
      <c r="I4211" s="15">
        <v>1.0</v>
      </c>
      <c r="J4211" s="15">
        <v>1.0</v>
      </c>
      <c r="K4211" s="15" t="s">
        <v>31</v>
      </c>
      <c r="L4211" s="16" t="s">
        <v>25725</v>
      </c>
      <c r="M4211" s="14" t="s">
        <v>26323</v>
      </c>
      <c r="N4211" s="14" t="s">
        <v>25727</v>
      </c>
      <c r="O4211" s="16" t="s">
        <v>25728</v>
      </c>
      <c r="P4211" s="14" t="s">
        <v>25729</v>
      </c>
      <c r="Q4211" s="14" t="s">
        <v>31</v>
      </c>
      <c r="R4211" s="14" t="s">
        <v>64</v>
      </c>
      <c r="S4211" s="16" t="s">
        <v>25730</v>
      </c>
      <c r="T4211" s="14" t="s">
        <v>66</v>
      </c>
      <c r="U4211" s="16" t="s">
        <v>25731</v>
      </c>
      <c r="V4211" s="14" t="s">
        <v>25723</v>
      </c>
      <c r="W4211" s="14" t="s">
        <v>25722</v>
      </c>
      <c r="X4211" s="17" t="str">
        <f>HYPERLINK("https://my.pitchbook.com?p=415699-21P","View People Online")</f>
        <v>View People Online</v>
      </c>
    </row>
    <row r="4212">
      <c r="A4212" s="2" t="s">
        <v>26324</v>
      </c>
      <c r="B4212" s="2" t="s">
        <v>26325</v>
      </c>
      <c r="C4212" s="2" t="s">
        <v>5985</v>
      </c>
      <c r="D4212" s="2" t="s">
        <v>26326</v>
      </c>
      <c r="E4212" s="2" t="s">
        <v>25722</v>
      </c>
      <c r="F4212" s="2" t="s">
        <v>825</v>
      </c>
      <c r="G4212" s="2" t="s">
        <v>26327</v>
      </c>
      <c r="H4212" s="3" t="s">
        <v>31</v>
      </c>
      <c r="I4212" s="3">
        <v>1.0</v>
      </c>
      <c r="J4212" s="3">
        <v>1.0</v>
      </c>
      <c r="K4212" s="3" t="s">
        <v>31</v>
      </c>
      <c r="L4212" s="4" t="s">
        <v>25725</v>
      </c>
      <c r="M4212" s="2" t="s">
        <v>26328</v>
      </c>
      <c r="N4212" s="2" t="s">
        <v>25744</v>
      </c>
      <c r="O4212" s="4" t="s">
        <v>25745</v>
      </c>
      <c r="P4212" s="2" t="s">
        <v>25746</v>
      </c>
      <c r="Q4212" s="2" t="s">
        <v>31</v>
      </c>
      <c r="R4212" s="2" t="s">
        <v>64</v>
      </c>
      <c r="S4212" s="4" t="s">
        <v>25747</v>
      </c>
      <c r="T4212" s="2" t="s">
        <v>66</v>
      </c>
      <c r="U4212" s="4" t="s">
        <v>25731</v>
      </c>
      <c r="V4212" s="2" t="s">
        <v>26329</v>
      </c>
      <c r="W4212" s="2" t="s">
        <v>25722</v>
      </c>
      <c r="X4212" s="5" t="str">
        <f>HYPERLINK("https://my.pitchbook.com?p=126138-16P","View People Online")</f>
        <v>View People Online</v>
      </c>
    </row>
    <row r="4213">
      <c r="A4213" s="14" t="s">
        <v>26330</v>
      </c>
      <c r="B4213" s="14" t="s">
        <v>26331</v>
      </c>
      <c r="C4213" s="14" t="s">
        <v>18547</v>
      </c>
      <c r="D4213" s="14" t="s">
        <v>26332</v>
      </c>
      <c r="E4213" s="14" t="s">
        <v>25722</v>
      </c>
      <c r="F4213" s="14" t="s">
        <v>25723</v>
      </c>
      <c r="G4213" s="14" t="s">
        <v>26333</v>
      </c>
      <c r="H4213" s="15" t="s">
        <v>31</v>
      </c>
      <c r="I4213" s="15">
        <v>1.0</v>
      </c>
      <c r="J4213" s="15">
        <v>1.0</v>
      </c>
      <c r="K4213" s="15" t="s">
        <v>31</v>
      </c>
      <c r="L4213" s="16" t="s">
        <v>25725</v>
      </c>
      <c r="M4213" s="14" t="s">
        <v>26334</v>
      </c>
      <c r="N4213" s="14" t="s">
        <v>25727</v>
      </c>
      <c r="O4213" s="16" t="s">
        <v>25728</v>
      </c>
      <c r="P4213" s="14" t="s">
        <v>25729</v>
      </c>
      <c r="Q4213" s="14" t="s">
        <v>31</v>
      </c>
      <c r="R4213" s="14" t="s">
        <v>64</v>
      </c>
      <c r="S4213" s="16" t="s">
        <v>25730</v>
      </c>
      <c r="T4213" s="14" t="s">
        <v>66</v>
      </c>
      <c r="U4213" s="16" t="s">
        <v>25731</v>
      </c>
      <c r="V4213" s="14" t="s">
        <v>25723</v>
      </c>
      <c r="W4213" s="14" t="s">
        <v>25722</v>
      </c>
      <c r="X4213" s="17" t="str">
        <f>HYPERLINK("https://my.pitchbook.com?p=441450-46P","View People Online")</f>
        <v>View People Online</v>
      </c>
    </row>
    <row r="4214">
      <c r="A4214" s="10" t="s">
        <v>26335</v>
      </c>
      <c r="B4214" s="10" t="s">
        <v>26336</v>
      </c>
      <c r="C4214" s="10" t="s">
        <v>26337</v>
      </c>
      <c r="D4214" s="10" t="s">
        <v>7791</v>
      </c>
      <c r="E4214" s="10" t="s">
        <v>25722</v>
      </c>
      <c r="F4214" s="10" t="s">
        <v>25723</v>
      </c>
      <c r="G4214" s="10" t="s">
        <v>26338</v>
      </c>
      <c r="H4214" s="11" t="s">
        <v>31</v>
      </c>
      <c r="I4214" s="11">
        <v>1.0</v>
      </c>
      <c r="J4214" s="11">
        <v>1.0</v>
      </c>
      <c r="K4214" s="11" t="s">
        <v>31</v>
      </c>
      <c r="L4214" s="12" t="s">
        <v>25725</v>
      </c>
      <c r="M4214" s="10" t="s">
        <v>26339</v>
      </c>
      <c r="N4214" s="10" t="s">
        <v>25727</v>
      </c>
      <c r="O4214" s="12" t="s">
        <v>25728</v>
      </c>
      <c r="P4214" s="10" t="s">
        <v>25729</v>
      </c>
      <c r="Q4214" s="10" t="s">
        <v>31</v>
      </c>
      <c r="R4214" s="10" t="s">
        <v>64</v>
      </c>
      <c r="S4214" s="12" t="s">
        <v>25730</v>
      </c>
      <c r="T4214" s="10" t="s">
        <v>66</v>
      </c>
      <c r="U4214" s="12" t="s">
        <v>25731</v>
      </c>
      <c r="V4214" s="10" t="s">
        <v>25723</v>
      </c>
      <c r="W4214" s="10" t="s">
        <v>25722</v>
      </c>
      <c r="X4214" s="13" t="str">
        <f>HYPERLINK("https://my.pitchbook.com?p=415700-02P","View People Online")</f>
        <v>View People Online</v>
      </c>
    </row>
    <row r="4215">
      <c r="A4215" s="6" t="s">
        <v>26340</v>
      </c>
      <c r="B4215" s="6" t="s">
        <v>26341</v>
      </c>
      <c r="C4215" s="6" t="s">
        <v>2469</v>
      </c>
      <c r="D4215" s="6" t="s">
        <v>26342</v>
      </c>
      <c r="E4215" s="6" t="s">
        <v>25722</v>
      </c>
      <c r="F4215" s="6" t="s">
        <v>25723</v>
      </c>
      <c r="G4215" s="6" t="s">
        <v>26343</v>
      </c>
      <c r="H4215" s="7" t="s">
        <v>31</v>
      </c>
      <c r="I4215" s="7">
        <v>1.0</v>
      </c>
      <c r="J4215" s="7">
        <v>1.0</v>
      </c>
      <c r="K4215" s="7" t="s">
        <v>31</v>
      </c>
      <c r="L4215" s="8" t="s">
        <v>25725</v>
      </c>
      <c r="M4215" s="6" t="s">
        <v>26344</v>
      </c>
      <c r="N4215" s="6" t="s">
        <v>25727</v>
      </c>
      <c r="O4215" s="8" t="s">
        <v>25728</v>
      </c>
      <c r="P4215" s="6" t="s">
        <v>25729</v>
      </c>
      <c r="Q4215" s="6" t="s">
        <v>31</v>
      </c>
      <c r="R4215" s="6" t="s">
        <v>64</v>
      </c>
      <c r="S4215" s="8" t="s">
        <v>25730</v>
      </c>
      <c r="T4215" s="6" t="s">
        <v>66</v>
      </c>
      <c r="U4215" s="8" t="s">
        <v>25731</v>
      </c>
      <c r="V4215" s="6" t="s">
        <v>25723</v>
      </c>
      <c r="W4215" s="6" t="s">
        <v>25722</v>
      </c>
      <c r="X4215" s="9" t="str">
        <f>HYPERLINK("https://my.pitchbook.com?p=415700-47P","View People Online")</f>
        <v>View People Online</v>
      </c>
    </row>
    <row r="4216">
      <c r="A4216" s="10" t="s">
        <v>26345</v>
      </c>
      <c r="B4216" s="10" t="s">
        <v>26346</v>
      </c>
      <c r="C4216" s="10" t="s">
        <v>5099</v>
      </c>
      <c r="D4216" s="10" t="s">
        <v>6765</v>
      </c>
      <c r="E4216" s="10" t="s">
        <v>25722</v>
      </c>
      <c r="F4216" s="10" t="s">
        <v>896</v>
      </c>
      <c r="G4216" s="10" t="s">
        <v>26347</v>
      </c>
      <c r="H4216" s="11" t="s">
        <v>31</v>
      </c>
      <c r="I4216" s="11">
        <v>1.0</v>
      </c>
      <c r="J4216" s="11">
        <v>1.0</v>
      </c>
      <c r="K4216" s="11" t="s">
        <v>31</v>
      </c>
      <c r="L4216" s="12" t="s">
        <v>25725</v>
      </c>
      <c r="M4216" s="10" t="s">
        <v>26348</v>
      </c>
      <c r="N4216" s="10" t="s">
        <v>25744</v>
      </c>
      <c r="O4216" s="12" t="s">
        <v>25745</v>
      </c>
      <c r="P4216" s="10" t="s">
        <v>25746</v>
      </c>
      <c r="Q4216" s="10" t="s">
        <v>31</v>
      </c>
      <c r="R4216" s="10" t="s">
        <v>64</v>
      </c>
      <c r="S4216" s="12" t="s">
        <v>25747</v>
      </c>
      <c r="T4216" s="10" t="s">
        <v>66</v>
      </c>
      <c r="U4216" s="12" t="s">
        <v>25731</v>
      </c>
      <c r="V4216" s="10" t="s">
        <v>25796</v>
      </c>
      <c r="W4216" s="10" t="s">
        <v>25722</v>
      </c>
      <c r="X4216" s="13" t="str">
        <f>HYPERLINK("https://my.pitchbook.com?p=126137-44P","View People Online")</f>
        <v>View People Online</v>
      </c>
    </row>
    <row r="4217">
      <c r="A4217" s="14" t="s">
        <v>26349</v>
      </c>
      <c r="B4217" s="14" t="s">
        <v>26350</v>
      </c>
      <c r="C4217" s="14" t="s">
        <v>26351</v>
      </c>
      <c r="D4217" s="14" t="s">
        <v>3215</v>
      </c>
      <c r="E4217" s="14" t="s">
        <v>25722</v>
      </c>
      <c r="F4217" s="14" t="s">
        <v>896</v>
      </c>
      <c r="G4217" s="14" t="s">
        <v>26352</v>
      </c>
      <c r="H4217" s="15" t="s">
        <v>31</v>
      </c>
      <c r="I4217" s="15">
        <v>1.0</v>
      </c>
      <c r="J4217" s="15">
        <v>1.0</v>
      </c>
      <c r="K4217" s="15" t="s">
        <v>31</v>
      </c>
      <c r="L4217" s="16" t="s">
        <v>25725</v>
      </c>
      <c r="M4217" s="14" t="s">
        <v>26353</v>
      </c>
      <c r="N4217" s="14" t="s">
        <v>25744</v>
      </c>
      <c r="O4217" s="16" t="s">
        <v>25745</v>
      </c>
      <c r="P4217" s="14" t="s">
        <v>25746</v>
      </c>
      <c r="Q4217" s="14" t="s">
        <v>31</v>
      </c>
      <c r="R4217" s="14" t="s">
        <v>64</v>
      </c>
      <c r="S4217" s="16" t="s">
        <v>25747</v>
      </c>
      <c r="T4217" s="14" t="s">
        <v>66</v>
      </c>
      <c r="U4217" s="16" t="s">
        <v>25731</v>
      </c>
      <c r="V4217" s="14" t="s">
        <v>25796</v>
      </c>
      <c r="W4217" s="14" t="s">
        <v>25722</v>
      </c>
      <c r="X4217" s="17" t="str">
        <f>HYPERLINK("https://my.pitchbook.com?p=126137-08P","View People Online")</f>
        <v>View People Online</v>
      </c>
    </row>
    <row r="4218">
      <c r="A4218" s="2" t="s">
        <v>26354</v>
      </c>
      <c r="B4218" s="2" t="s">
        <v>26355</v>
      </c>
      <c r="C4218" s="2" t="s">
        <v>9165</v>
      </c>
      <c r="D4218" s="2" t="s">
        <v>26356</v>
      </c>
      <c r="E4218" s="2" t="s">
        <v>25722</v>
      </c>
      <c r="F4218" s="2" t="s">
        <v>548</v>
      </c>
      <c r="G4218" s="2" t="s">
        <v>26357</v>
      </c>
      <c r="H4218" s="3" t="s">
        <v>31</v>
      </c>
      <c r="I4218" s="3">
        <v>1.0</v>
      </c>
      <c r="J4218" s="3">
        <v>1.0</v>
      </c>
      <c r="K4218" s="3" t="s">
        <v>31</v>
      </c>
      <c r="L4218" s="4" t="s">
        <v>25725</v>
      </c>
      <c r="M4218" s="2" t="s">
        <v>26358</v>
      </c>
      <c r="N4218" s="2" t="s">
        <v>25744</v>
      </c>
      <c r="O4218" s="4" t="s">
        <v>25745</v>
      </c>
      <c r="P4218" s="2" t="s">
        <v>25746</v>
      </c>
      <c r="Q4218" s="2" t="s">
        <v>31</v>
      </c>
      <c r="R4218" s="2" t="s">
        <v>64</v>
      </c>
      <c r="S4218" s="4" t="s">
        <v>25747</v>
      </c>
      <c r="T4218" s="2" t="s">
        <v>66</v>
      </c>
      <c r="U4218" s="4" t="s">
        <v>25731</v>
      </c>
      <c r="V4218" s="2" t="s">
        <v>26359</v>
      </c>
      <c r="W4218" s="2" t="s">
        <v>25722</v>
      </c>
      <c r="X4218" s="5" t="str">
        <f>HYPERLINK("https://my.pitchbook.com?p=66892-06P","View People Online")</f>
        <v>View People Online</v>
      </c>
    </row>
    <row r="4219">
      <c r="A4219" s="6" t="s">
        <v>26360</v>
      </c>
      <c r="B4219" s="6" t="s">
        <v>26361</v>
      </c>
      <c r="C4219" s="6" t="s">
        <v>26362</v>
      </c>
      <c r="D4219" s="6" t="s">
        <v>18701</v>
      </c>
      <c r="E4219" s="6" t="s">
        <v>25722</v>
      </c>
      <c r="F4219" s="6" t="s">
        <v>25723</v>
      </c>
      <c r="G4219" s="6" t="s">
        <v>26363</v>
      </c>
      <c r="H4219" s="7" t="s">
        <v>31</v>
      </c>
      <c r="I4219" s="7">
        <v>1.0</v>
      </c>
      <c r="J4219" s="7">
        <v>1.0</v>
      </c>
      <c r="K4219" s="7" t="s">
        <v>31</v>
      </c>
      <c r="L4219" s="8" t="s">
        <v>25725</v>
      </c>
      <c r="M4219" s="6" t="s">
        <v>26364</v>
      </c>
      <c r="N4219" s="6" t="s">
        <v>25744</v>
      </c>
      <c r="O4219" s="8" t="s">
        <v>25745</v>
      </c>
      <c r="P4219" s="6" t="s">
        <v>25746</v>
      </c>
      <c r="Q4219" s="6" t="s">
        <v>31</v>
      </c>
      <c r="R4219" s="6" t="s">
        <v>64</v>
      </c>
      <c r="S4219" s="8" t="s">
        <v>25747</v>
      </c>
      <c r="T4219" s="6" t="s">
        <v>66</v>
      </c>
      <c r="U4219" s="8" t="s">
        <v>25731</v>
      </c>
      <c r="V4219" s="6" t="s">
        <v>25723</v>
      </c>
      <c r="W4219" s="6" t="s">
        <v>25722</v>
      </c>
      <c r="X4219" s="9" t="str">
        <f>HYPERLINK("https://my.pitchbook.com?p=415701-28P","View People Online")</f>
        <v>View People Online</v>
      </c>
    </row>
    <row r="4220">
      <c r="A4220" s="10" t="s">
        <v>26365</v>
      </c>
      <c r="B4220" s="10" t="s">
        <v>26366</v>
      </c>
      <c r="C4220" s="10" t="s">
        <v>18718</v>
      </c>
      <c r="D4220" s="10" t="s">
        <v>26367</v>
      </c>
      <c r="E4220" s="10" t="s">
        <v>25722</v>
      </c>
      <c r="F4220" s="10" t="s">
        <v>896</v>
      </c>
      <c r="G4220" s="10" t="s">
        <v>26368</v>
      </c>
      <c r="H4220" s="11" t="s">
        <v>31</v>
      </c>
      <c r="I4220" s="11">
        <v>1.0</v>
      </c>
      <c r="J4220" s="11">
        <v>1.0</v>
      </c>
      <c r="K4220" s="11" t="s">
        <v>31</v>
      </c>
      <c r="L4220" s="12" t="s">
        <v>25725</v>
      </c>
      <c r="M4220" s="10" t="s">
        <v>26369</v>
      </c>
      <c r="N4220" s="10" t="s">
        <v>25744</v>
      </c>
      <c r="O4220" s="12" t="s">
        <v>25745</v>
      </c>
      <c r="P4220" s="10" t="s">
        <v>25746</v>
      </c>
      <c r="Q4220" s="10" t="s">
        <v>31</v>
      </c>
      <c r="R4220" s="10" t="s">
        <v>64</v>
      </c>
      <c r="S4220" s="12" t="s">
        <v>25747</v>
      </c>
      <c r="T4220" s="10" t="s">
        <v>66</v>
      </c>
      <c r="U4220" s="12" t="s">
        <v>25731</v>
      </c>
      <c r="V4220" s="10" t="s">
        <v>25796</v>
      </c>
      <c r="W4220" s="10" t="s">
        <v>25722</v>
      </c>
      <c r="X4220" s="13" t="str">
        <f>HYPERLINK("https://my.pitchbook.com?p=126136-45P","View People Online")</f>
        <v>View People Online</v>
      </c>
    </row>
    <row r="4221">
      <c r="A4221" s="14" t="s">
        <v>26370</v>
      </c>
      <c r="B4221" s="14" t="s">
        <v>26371</v>
      </c>
      <c r="C4221" s="14" t="s">
        <v>26372</v>
      </c>
      <c r="D4221" s="14" t="s">
        <v>26373</v>
      </c>
      <c r="E4221" s="14" t="s">
        <v>25722</v>
      </c>
      <c r="F4221" s="14" t="s">
        <v>25723</v>
      </c>
      <c r="G4221" s="14" t="s">
        <v>26374</v>
      </c>
      <c r="H4221" s="15" t="s">
        <v>31</v>
      </c>
      <c r="I4221" s="15">
        <v>1.0</v>
      </c>
      <c r="J4221" s="15">
        <v>1.0</v>
      </c>
      <c r="K4221" s="15" t="s">
        <v>31</v>
      </c>
      <c r="L4221" s="16" t="s">
        <v>25725</v>
      </c>
      <c r="M4221" s="14" t="s">
        <v>26375</v>
      </c>
      <c r="N4221" s="14" t="s">
        <v>25727</v>
      </c>
      <c r="O4221" s="16" t="s">
        <v>25728</v>
      </c>
      <c r="P4221" s="14" t="s">
        <v>25729</v>
      </c>
      <c r="Q4221" s="14" t="s">
        <v>31</v>
      </c>
      <c r="R4221" s="14" t="s">
        <v>64</v>
      </c>
      <c r="S4221" s="16" t="s">
        <v>25730</v>
      </c>
      <c r="T4221" s="14" t="s">
        <v>66</v>
      </c>
      <c r="U4221" s="16" t="s">
        <v>25731</v>
      </c>
      <c r="V4221" s="14" t="s">
        <v>25723</v>
      </c>
      <c r="W4221" s="14" t="s">
        <v>25722</v>
      </c>
      <c r="X4221" s="17" t="str">
        <f>HYPERLINK("https://my.pitchbook.com?p=415701-82P","View People Online")</f>
        <v>View People Online</v>
      </c>
    </row>
    <row r="4222">
      <c r="A4222" s="10" t="s">
        <v>26376</v>
      </c>
      <c r="B4222" s="10" t="s">
        <v>26377</v>
      </c>
      <c r="C4222" s="10" t="s">
        <v>26378</v>
      </c>
      <c r="D4222" s="10" t="s">
        <v>26379</v>
      </c>
      <c r="E4222" s="10" t="s">
        <v>25722</v>
      </c>
      <c r="F4222" s="10" t="s">
        <v>25723</v>
      </c>
      <c r="G4222" s="10" t="s">
        <v>26380</v>
      </c>
      <c r="H4222" s="11" t="s">
        <v>31</v>
      </c>
      <c r="I4222" s="11">
        <v>1.0</v>
      </c>
      <c r="J4222" s="11">
        <v>1.0</v>
      </c>
      <c r="K4222" s="11" t="s">
        <v>31</v>
      </c>
      <c r="L4222" s="12" t="s">
        <v>25725</v>
      </c>
      <c r="M4222" s="10" t="s">
        <v>26381</v>
      </c>
      <c r="N4222" s="10" t="s">
        <v>25727</v>
      </c>
      <c r="O4222" s="12" t="s">
        <v>25728</v>
      </c>
      <c r="P4222" s="10" t="s">
        <v>25729</v>
      </c>
      <c r="Q4222" s="10" t="s">
        <v>31</v>
      </c>
      <c r="R4222" s="10" t="s">
        <v>64</v>
      </c>
      <c r="S4222" s="12" t="s">
        <v>25730</v>
      </c>
      <c r="T4222" s="10" t="s">
        <v>66</v>
      </c>
      <c r="U4222" s="12" t="s">
        <v>25731</v>
      </c>
      <c r="V4222" s="10" t="s">
        <v>25723</v>
      </c>
      <c r="W4222" s="10" t="s">
        <v>25722</v>
      </c>
      <c r="X4222" s="13" t="str">
        <f>HYPERLINK("https://my.pitchbook.com?p=415705-69P","View People Online")</f>
        <v>View People Online</v>
      </c>
    </row>
    <row r="4223">
      <c r="A4223" s="14" t="s">
        <v>26382</v>
      </c>
      <c r="B4223" s="14" t="s">
        <v>26383</v>
      </c>
      <c r="C4223" s="14" t="s">
        <v>26384</v>
      </c>
      <c r="D4223" s="14" t="s">
        <v>26385</v>
      </c>
      <c r="E4223" s="14" t="s">
        <v>25722</v>
      </c>
      <c r="F4223" s="14" t="s">
        <v>25723</v>
      </c>
      <c r="G4223" s="14" t="s">
        <v>26386</v>
      </c>
      <c r="H4223" s="15" t="s">
        <v>31</v>
      </c>
      <c r="I4223" s="15">
        <v>1.0</v>
      </c>
      <c r="J4223" s="15">
        <v>1.0</v>
      </c>
      <c r="K4223" s="15" t="s">
        <v>31</v>
      </c>
      <c r="L4223" s="16" t="s">
        <v>25725</v>
      </c>
      <c r="M4223" s="14" t="s">
        <v>26387</v>
      </c>
      <c r="N4223" s="14" t="s">
        <v>25744</v>
      </c>
      <c r="O4223" s="16" t="s">
        <v>25745</v>
      </c>
      <c r="P4223" s="14" t="s">
        <v>25746</v>
      </c>
      <c r="Q4223" s="14" t="s">
        <v>31</v>
      </c>
      <c r="R4223" s="14" t="s">
        <v>64</v>
      </c>
      <c r="S4223" s="16" t="s">
        <v>25747</v>
      </c>
      <c r="T4223" s="14" t="s">
        <v>66</v>
      </c>
      <c r="U4223" s="16" t="s">
        <v>25731</v>
      </c>
      <c r="V4223" s="14" t="s">
        <v>25723</v>
      </c>
      <c r="W4223" s="14" t="s">
        <v>25722</v>
      </c>
      <c r="X4223" s="17" t="str">
        <f>HYPERLINK("https://my.pitchbook.com?p=153930-07P","View People Online")</f>
        <v>View People Online</v>
      </c>
    </row>
    <row r="4224">
      <c r="A4224" s="10" t="s">
        <v>26388</v>
      </c>
      <c r="B4224" s="10" t="s">
        <v>26389</v>
      </c>
      <c r="C4224" s="10" t="s">
        <v>5113</v>
      </c>
      <c r="D4224" s="10" t="s">
        <v>26390</v>
      </c>
      <c r="E4224" s="10" t="s">
        <v>25722</v>
      </c>
      <c r="F4224" s="10" t="s">
        <v>78</v>
      </c>
      <c r="G4224" s="10" t="s">
        <v>26391</v>
      </c>
      <c r="H4224" s="11" t="s">
        <v>31</v>
      </c>
      <c r="I4224" s="11">
        <v>1.0</v>
      </c>
      <c r="J4224" s="11">
        <v>1.0</v>
      </c>
      <c r="K4224" s="11" t="s">
        <v>31</v>
      </c>
      <c r="L4224" s="12" t="s">
        <v>25725</v>
      </c>
      <c r="M4224" s="10" t="s">
        <v>26392</v>
      </c>
      <c r="N4224" s="10" t="s">
        <v>25744</v>
      </c>
      <c r="O4224" s="12" t="s">
        <v>25745</v>
      </c>
      <c r="P4224" s="10" t="s">
        <v>25746</v>
      </c>
      <c r="Q4224" s="10" t="s">
        <v>31</v>
      </c>
      <c r="R4224" s="10" t="s">
        <v>64</v>
      </c>
      <c r="S4224" s="12" t="s">
        <v>25747</v>
      </c>
      <c r="T4224" s="10" t="s">
        <v>66</v>
      </c>
      <c r="U4224" s="12" t="s">
        <v>25731</v>
      </c>
      <c r="V4224" s="10" t="s">
        <v>78</v>
      </c>
      <c r="W4224" s="10" t="s">
        <v>25722</v>
      </c>
      <c r="X4224" s="13" t="str">
        <f>HYPERLINK("https://my.pitchbook.com?p=75749-86P","View People Online")</f>
        <v>View People Online</v>
      </c>
    </row>
    <row r="4225">
      <c r="A4225" s="14" t="s">
        <v>26393</v>
      </c>
      <c r="B4225" s="14" t="s">
        <v>26394</v>
      </c>
      <c r="C4225" s="14" t="s">
        <v>26395</v>
      </c>
      <c r="D4225" s="14" t="s">
        <v>673</v>
      </c>
      <c r="E4225" s="14" t="s">
        <v>25722</v>
      </c>
      <c r="F4225" s="14" t="s">
        <v>25723</v>
      </c>
      <c r="G4225" s="14" t="s">
        <v>26396</v>
      </c>
      <c r="H4225" s="15" t="s">
        <v>31</v>
      </c>
      <c r="I4225" s="15">
        <v>1.0</v>
      </c>
      <c r="J4225" s="15">
        <v>1.0</v>
      </c>
      <c r="K4225" s="15" t="s">
        <v>31</v>
      </c>
      <c r="L4225" s="16" t="s">
        <v>25725</v>
      </c>
      <c r="M4225" s="14" t="s">
        <v>26397</v>
      </c>
      <c r="N4225" s="14" t="s">
        <v>25727</v>
      </c>
      <c r="O4225" s="16" t="s">
        <v>25728</v>
      </c>
      <c r="P4225" s="14" t="s">
        <v>25729</v>
      </c>
      <c r="Q4225" s="14" t="s">
        <v>31</v>
      </c>
      <c r="R4225" s="14" t="s">
        <v>64</v>
      </c>
      <c r="S4225" s="16" t="s">
        <v>25730</v>
      </c>
      <c r="T4225" s="14" t="s">
        <v>66</v>
      </c>
      <c r="U4225" s="16" t="s">
        <v>25731</v>
      </c>
      <c r="V4225" s="14" t="s">
        <v>25723</v>
      </c>
      <c r="W4225" s="14" t="s">
        <v>25722</v>
      </c>
      <c r="X4225" s="17" t="str">
        <f>HYPERLINK("https://my.pitchbook.com?p=415707-04P","View People Online")</f>
        <v>View People Online</v>
      </c>
    </row>
    <row r="4226">
      <c r="A4226" s="2" t="s">
        <v>26398</v>
      </c>
      <c r="B4226" s="2" t="s">
        <v>26399</v>
      </c>
      <c r="C4226" s="2" t="s">
        <v>360</v>
      </c>
      <c r="D4226" s="2" t="s">
        <v>12070</v>
      </c>
      <c r="E4226" s="2" t="s">
        <v>25722</v>
      </c>
      <c r="F4226" s="2" t="s">
        <v>896</v>
      </c>
      <c r="G4226" s="2" t="s">
        <v>26400</v>
      </c>
      <c r="H4226" s="3" t="s">
        <v>31</v>
      </c>
      <c r="I4226" s="3">
        <v>1.0</v>
      </c>
      <c r="J4226" s="3">
        <v>1.0</v>
      </c>
      <c r="K4226" s="3" t="s">
        <v>31</v>
      </c>
      <c r="L4226" s="4" t="s">
        <v>25725</v>
      </c>
      <c r="M4226" s="2" t="s">
        <v>26401</v>
      </c>
      <c r="N4226" s="2" t="s">
        <v>25727</v>
      </c>
      <c r="O4226" s="4" t="s">
        <v>25728</v>
      </c>
      <c r="P4226" s="2" t="s">
        <v>25729</v>
      </c>
      <c r="Q4226" s="2" t="s">
        <v>31</v>
      </c>
      <c r="R4226" s="2" t="s">
        <v>64</v>
      </c>
      <c r="S4226" s="4" t="s">
        <v>25730</v>
      </c>
      <c r="T4226" s="2" t="s">
        <v>66</v>
      </c>
      <c r="U4226" s="4" t="s">
        <v>25731</v>
      </c>
      <c r="V4226" s="2" t="s">
        <v>896</v>
      </c>
      <c r="W4226" s="2" t="s">
        <v>25722</v>
      </c>
      <c r="X4226" s="5" t="str">
        <f>HYPERLINK("https://my.pitchbook.com?p=415487-17P","View People Online")</f>
        <v>View People Online</v>
      </c>
    </row>
    <row r="4227">
      <c r="A4227" s="6" t="s">
        <v>26402</v>
      </c>
      <c r="B4227" s="6" t="s">
        <v>26403</v>
      </c>
      <c r="C4227" s="6" t="s">
        <v>4560</v>
      </c>
      <c r="D4227" s="6" t="s">
        <v>26404</v>
      </c>
      <c r="E4227" s="6" t="s">
        <v>25722</v>
      </c>
      <c r="F4227" s="6" t="s">
        <v>896</v>
      </c>
      <c r="G4227" s="6" t="s">
        <v>26405</v>
      </c>
      <c r="H4227" s="7" t="s">
        <v>31</v>
      </c>
      <c r="I4227" s="7">
        <v>1.0</v>
      </c>
      <c r="J4227" s="7">
        <v>1.0</v>
      </c>
      <c r="K4227" s="7" t="s">
        <v>31</v>
      </c>
      <c r="L4227" s="8" t="s">
        <v>25725</v>
      </c>
      <c r="M4227" s="6" t="s">
        <v>26406</v>
      </c>
      <c r="N4227" s="6" t="s">
        <v>25727</v>
      </c>
      <c r="O4227" s="8" t="s">
        <v>25728</v>
      </c>
      <c r="P4227" s="6" t="s">
        <v>25729</v>
      </c>
      <c r="Q4227" s="6" t="s">
        <v>31</v>
      </c>
      <c r="R4227" s="6" t="s">
        <v>64</v>
      </c>
      <c r="S4227" s="8" t="s">
        <v>25730</v>
      </c>
      <c r="T4227" s="6" t="s">
        <v>66</v>
      </c>
      <c r="U4227" s="8" t="s">
        <v>25731</v>
      </c>
      <c r="V4227" s="6" t="s">
        <v>25796</v>
      </c>
      <c r="W4227" s="6" t="s">
        <v>25722</v>
      </c>
      <c r="X4227" s="9" t="str">
        <f>HYPERLINK("https://my.pitchbook.com?p=415524-43P","View People Online")</f>
        <v>View People Online</v>
      </c>
    </row>
    <row r="4228">
      <c r="A4228" s="10" t="s">
        <v>26407</v>
      </c>
      <c r="B4228" s="10" t="s">
        <v>26408</v>
      </c>
      <c r="C4228" s="10" t="s">
        <v>26409</v>
      </c>
      <c r="D4228" s="10" t="s">
        <v>5692</v>
      </c>
      <c r="E4228" s="10" t="s">
        <v>25722</v>
      </c>
      <c r="F4228" s="10" t="s">
        <v>25723</v>
      </c>
      <c r="G4228" s="10" t="s">
        <v>26410</v>
      </c>
      <c r="H4228" s="11" t="s">
        <v>31</v>
      </c>
      <c r="I4228" s="11">
        <v>1.0</v>
      </c>
      <c r="J4228" s="11">
        <v>1.0</v>
      </c>
      <c r="K4228" s="11" t="s">
        <v>31</v>
      </c>
      <c r="L4228" s="12" t="s">
        <v>25725</v>
      </c>
      <c r="M4228" s="10" t="s">
        <v>26411</v>
      </c>
      <c r="N4228" s="10" t="s">
        <v>25744</v>
      </c>
      <c r="O4228" s="12" t="s">
        <v>25745</v>
      </c>
      <c r="P4228" s="10" t="s">
        <v>25746</v>
      </c>
      <c r="Q4228" s="10" t="s">
        <v>31</v>
      </c>
      <c r="R4228" s="10" t="s">
        <v>64</v>
      </c>
      <c r="S4228" s="12" t="s">
        <v>25747</v>
      </c>
      <c r="T4228" s="10" t="s">
        <v>66</v>
      </c>
      <c r="U4228" s="12" t="s">
        <v>25731</v>
      </c>
      <c r="V4228" s="10" t="s">
        <v>25723</v>
      </c>
      <c r="W4228" s="10" t="s">
        <v>25722</v>
      </c>
      <c r="X4228" s="13" t="str">
        <f>HYPERLINK("https://my.pitchbook.com?p=126135-64P","View People Online")</f>
        <v>View People Online</v>
      </c>
    </row>
    <row r="4229">
      <c r="A4229" s="14" t="s">
        <v>26412</v>
      </c>
      <c r="B4229" s="14" t="s">
        <v>26413</v>
      </c>
      <c r="C4229" s="14" t="s">
        <v>26414</v>
      </c>
      <c r="D4229" s="14" t="s">
        <v>26415</v>
      </c>
      <c r="E4229" s="14" t="s">
        <v>25722</v>
      </c>
      <c r="F4229" s="14" t="s">
        <v>25723</v>
      </c>
      <c r="G4229" s="14" t="s">
        <v>26416</v>
      </c>
      <c r="H4229" s="15" t="s">
        <v>31</v>
      </c>
      <c r="I4229" s="15">
        <v>1.0</v>
      </c>
      <c r="J4229" s="15">
        <v>1.0</v>
      </c>
      <c r="K4229" s="15" t="s">
        <v>31</v>
      </c>
      <c r="L4229" s="16" t="s">
        <v>25725</v>
      </c>
      <c r="M4229" s="14" t="s">
        <v>26417</v>
      </c>
      <c r="N4229" s="14" t="s">
        <v>25727</v>
      </c>
      <c r="O4229" s="16" t="s">
        <v>25728</v>
      </c>
      <c r="P4229" s="14" t="s">
        <v>25729</v>
      </c>
      <c r="Q4229" s="14" t="s">
        <v>31</v>
      </c>
      <c r="R4229" s="14" t="s">
        <v>64</v>
      </c>
      <c r="S4229" s="16" t="s">
        <v>25730</v>
      </c>
      <c r="T4229" s="14" t="s">
        <v>66</v>
      </c>
      <c r="U4229" s="16" t="s">
        <v>25731</v>
      </c>
      <c r="V4229" s="14" t="s">
        <v>25723</v>
      </c>
      <c r="W4229" s="14" t="s">
        <v>25722</v>
      </c>
      <c r="X4229" s="17" t="str">
        <f>HYPERLINK("https://my.pitchbook.com?p=415707-40P","View People Online")</f>
        <v>View People Online</v>
      </c>
    </row>
    <row r="4230">
      <c r="A4230" s="2" t="s">
        <v>26418</v>
      </c>
      <c r="B4230" s="2" t="s">
        <v>26419</v>
      </c>
      <c r="C4230" s="2" t="s">
        <v>26420</v>
      </c>
      <c r="D4230" s="2" t="s">
        <v>26421</v>
      </c>
      <c r="E4230" s="2" t="s">
        <v>25722</v>
      </c>
      <c r="F4230" s="2" t="s">
        <v>548</v>
      </c>
      <c r="G4230" s="2" t="s">
        <v>26422</v>
      </c>
      <c r="H4230" s="3" t="s">
        <v>31</v>
      </c>
      <c r="I4230" s="3">
        <v>1.0</v>
      </c>
      <c r="J4230" s="3">
        <v>1.0</v>
      </c>
      <c r="K4230" s="3" t="s">
        <v>31</v>
      </c>
      <c r="L4230" s="4" t="s">
        <v>25725</v>
      </c>
      <c r="M4230" s="2" t="s">
        <v>26423</v>
      </c>
      <c r="N4230" s="2" t="s">
        <v>25744</v>
      </c>
      <c r="O4230" s="4" t="s">
        <v>25745</v>
      </c>
      <c r="P4230" s="2" t="s">
        <v>25746</v>
      </c>
      <c r="Q4230" s="2" t="s">
        <v>31</v>
      </c>
      <c r="R4230" s="2" t="s">
        <v>64</v>
      </c>
      <c r="S4230" s="4" t="s">
        <v>25747</v>
      </c>
      <c r="T4230" s="2" t="s">
        <v>66</v>
      </c>
      <c r="U4230" s="4" t="s">
        <v>25731</v>
      </c>
      <c r="V4230" s="2" t="s">
        <v>26424</v>
      </c>
      <c r="W4230" s="2" t="s">
        <v>25722</v>
      </c>
      <c r="X4230" s="5" t="str">
        <f>HYPERLINK("https://my.pitchbook.com?p=14503-78P","View People Online")</f>
        <v>View People Online</v>
      </c>
    </row>
    <row r="4231">
      <c r="A4231" s="14" t="s">
        <v>26425</v>
      </c>
      <c r="B4231" s="14" t="s">
        <v>26426</v>
      </c>
      <c r="C4231" s="14" t="s">
        <v>26427</v>
      </c>
      <c r="D4231" s="14" t="s">
        <v>26229</v>
      </c>
      <c r="E4231" s="14" t="s">
        <v>25722</v>
      </c>
      <c r="F4231" s="14" t="s">
        <v>25723</v>
      </c>
      <c r="G4231" s="14" t="s">
        <v>26428</v>
      </c>
      <c r="H4231" s="15" t="s">
        <v>31</v>
      </c>
      <c r="I4231" s="15">
        <v>1.0</v>
      </c>
      <c r="J4231" s="15">
        <v>1.0</v>
      </c>
      <c r="K4231" s="15" t="s">
        <v>31</v>
      </c>
      <c r="L4231" s="16" t="s">
        <v>25725</v>
      </c>
      <c r="M4231" s="14" t="s">
        <v>26429</v>
      </c>
      <c r="N4231" s="14" t="s">
        <v>25744</v>
      </c>
      <c r="O4231" s="16" t="s">
        <v>25745</v>
      </c>
      <c r="P4231" s="14" t="s">
        <v>25746</v>
      </c>
      <c r="Q4231" s="14" t="s">
        <v>31</v>
      </c>
      <c r="R4231" s="14" t="s">
        <v>64</v>
      </c>
      <c r="S4231" s="16" t="s">
        <v>25747</v>
      </c>
      <c r="T4231" s="14" t="s">
        <v>66</v>
      </c>
      <c r="U4231" s="16" t="s">
        <v>25731</v>
      </c>
      <c r="V4231" s="14" t="s">
        <v>25723</v>
      </c>
      <c r="W4231" s="14" t="s">
        <v>25722</v>
      </c>
      <c r="X4231" s="17" t="str">
        <f>HYPERLINK("https://my.pitchbook.com?p=415707-94P","View People Online")</f>
        <v>View People Online</v>
      </c>
    </row>
    <row r="4232">
      <c r="A4232" s="10" t="s">
        <v>26430</v>
      </c>
      <c r="B4232" s="10" t="s">
        <v>26431</v>
      </c>
      <c r="C4232" s="10" t="s">
        <v>2288</v>
      </c>
      <c r="D4232" s="10" t="s">
        <v>26432</v>
      </c>
      <c r="E4232" s="10" t="s">
        <v>25722</v>
      </c>
      <c r="F4232" s="10" t="s">
        <v>25723</v>
      </c>
      <c r="G4232" s="10" t="s">
        <v>26433</v>
      </c>
      <c r="H4232" s="11" t="s">
        <v>31</v>
      </c>
      <c r="I4232" s="11">
        <v>1.0</v>
      </c>
      <c r="J4232" s="11">
        <v>1.0</v>
      </c>
      <c r="K4232" s="11" t="s">
        <v>31</v>
      </c>
      <c r="L4232" s="12" t="s">
        <v>25725</v>
      </c>
      <c r="M4232" s="10" t="s">
        <v>26434</v>
      </c>
      <c r="N4232" s="10" t="s">
        <v>25744</v>
      </c>
      <c r="O4232" s="12" t="s">
        <v>25745</v>
      </c>
      <c r="P4232" s="10" t="s">
        <v>25746</v>
      </c>
      <c r="Q4232" s="10" t="s">
        <v>31</v>
      </c>
      <c r="R4232" s="10" t="s">
        <v>64</v>
      </c>
      <c r="S4232" s="12" t="s">
        <v>25747</v>
      </c>
      <c r="T4232" s="10" t="s">
        <v>66</v>
      </c>
      <c r="U4232" s="12" t="s">
        <v>25731</v>
      </c>
      <c r="V4232" s="10" t="s">
        <v>25723</v>
      </c>
      <c r="W4232" s="10" t="s">
        <v>25722</v>
      </c>
      <c r="X4232" s="13" t="str">
        <f>HYPERLINK("https://my.pitchbook.com?p=415708-66P","View People Online")</f>
        <v>View People Online</v>
      </c>
    </row>
    <row r="4233">
      <c r="A4233" s="6" t="s">
        <v>26435</v>
      </c>
      <c r="B4233" s="6" t="s">
        <v>26436</v>
      </c>
      <c r="C4233" s="6" t="s">
        <v>26437</v>
      </c>
      <c r="D4233" s="6" t="s">
        <v>26438</v>
      </c>
      <c r="E4233" s="6" t="s">
        <v>25722</v>
      </c>
      <c r="F4233" s="6" t="s">
        <v>896</v>
      </c>
      <c r="G4233" s="6" t="s">
        <v>26439</v>
      </c>
      <c r="H4233" s="7" t="s">
        <v>31</v>
      </c>
      <c r="I4233" s="7">
        <v>1.0</v>
      </c>
      <c r="J4233" s="7">
        <v>1.0</v>
      </c>
      <c r="K4233" s="7" t="s">
        <v>31</v>
      </c>
      <c r="L4233" s="8" t="s">
        <v>26440</v>
      </c>
      <c r="M4233" s="6" t="s">
        <v>26441</v>
      </c>
      <c r="N4233" s="6" t="s">
        <v>25727</v>
      </c>
      <c r="O4233" s="8" t="s">
        <v>25728</v>
      </c>
      <c r="P4233" s="6" t="s">
        <v>25729</v>
      </c>
      <c r="Q4233" s="6" t="s">
        <v>31</v>
      </c>
      <c r="R4233" s="6" t="s">
        <v>64</v>
      </c>
      <c r="S4233" s="8" t="s">
        <v>25730</v>
      </c>
      <c r="T4233" s="6" t="s">
        <v>66</v>
      </c>
      <c r="U4233" s="8" t="s">
        <v>25731</v>
      </c>
      <c r="V4233" s="6" t="s">
        <v>25796</v>
      </c>
      <c r="W4233" s="6" t="s">
        <v>25722</v>
      </c>
      <c r="X4233" s="9" t="str">
        <f>HYPERLINK("https://my.pitchbook.com?p=41808-88P","View People Online")</f>
        <v>View People Online</v>
      </c>
    </row>
    <row r="4234">
      <c r="A4234" s="2" t="s">
        <v>26442</v>
      </c>
      <c r="B4234" s="2" t="s">
        <v>26443</v>
      </c>
      <c r="C4234" s="2" t="s">
        <v>3554</v>
      </c>
      <c r="D4234" s="2" t="s">
        <v>26444</v>
      </c>
      <c r="E4234" s="2" t="s">
        <v>25722</v>
      </c>
      <c r="F4234" s="2" t="s">
        <v>25723</v>
      </c>
      <c r="G4234" s="2" t="s">
        <v>26445</v>
      </c>
      <c r="H4234" s="3" t="s">
        <v>31</v>
      </c>
      <c r="I4234" s="3">
        <v>1.0</v>
      </c>
      <c r="J4234" s="3">
        <v>1.0</v>
      </c>
      <c r="K4234" s="3" t="s">
        <v>31</v>
      </c>
      <c r="L4234" s="4" t="s">
        <v>25725</v>
      </c>
      <c r="M4234" s="2" t="s">
        <v>26446</v>
      </c>
      <c r="N4234" s="2" t="s">
        <v>25727</v>
      </c>
      <c r="O4234" s="4" t="s">
        <v>25728</v>
      </c>
      <c r="P4234" s="2" t="s">
        <v>25729</v>
      </c>
      <c r="Q4234" s="2" t="s">
        <v>31</v>
      </c>
      <c r="R4234" s="2" t="s">
        <v>64</v>
      </c>
      <c r="S4234" s="4" t="s">
        <v>25730</v>
      </c>
      <c r="T4234" s="2" t="s">
        <v>66</v>
      </c>
      <c r="U4234" s="4" t="s">
        <v>25731</v>
      </c>
      <c r="V4234" s="2" t="s">
        <v>25723</v>
      </c>
      <c r="W4234" s="2" t="s">
        <v>25722</v>
      </c>
      <c r="X4234" s="5" t="str">
        <f>HYPERLINK("https://my.pitchbook.com?p=415720-81P","View People Online")</f>
        <v>View People Online</v>
      </c>
    </row>
    <row r="4235">
      <c r="A4235" s="6" t="s">
        <v>26447</v>
      </c>
      <c r="B4235" s="6" t="s">
        <v>26448</v>
      </c>
      <c r="C4235" s="6" t="s">
        <v>3554</v>
      </c>
      <c r="D4235" s="6" t="s">
        <v>26449</v>
      </c>
      <c r="E4235" s="6" t="s">
        <v>25722</v>
      </c>
      <c r="F4235" s="6" t="s">
        <v>25723</v>
      </c>
      <c r="G4235" s="6" t="s">
        <v>26450</v>
      </c>
      <c r="H4235" s="7" t="s">
        <v>31</v>
      </c>
      <c r="I4235" s="7">
        <v>1.0</v>
      </c>
      <c r="J4235" s="7">
        <v>1.0</v>
      </c>
      <c r="K4235" s="7" t="s">
        <v>31</v>
      </c>
      <c r="L4235" s="8" t="s">
        <v>25725</v>
      </c>
      <c r="M4235" s="6" t="s">
        <v>26451</v>
      </c>
      <c r="N4235" s="6" t="s">
        <v>25744</v>
      </c>
      <c r="O4235" s="8" t="s">
        <v>25745</v>
      </c>
      <c r="P4235" s="6" t="s">
        <v>25746</v>
      </c>
      <c r="Q4235" s="6" t="s">
        <v>31</v>
      </c>
      <c r="R4235" s="6" t="s">
        <v>64</v>
      </c>
      <c r="S4235" s="8" t="s">
        <v>25747</v>
      </c>
      <c r="T4235" s="6" t="s">
        <v>66</v>
      </c>
      <c r="U4235" s="8" t="s">
        <v>25731</v>
      </c>
      <c r="V4235" s="6" t="s">
        <v>25723</v>
      </c>
      <c r="W4235" s="6" t="s">
        <v>25722</v>
      </c>
      <c r="X4235" s="9" t="str">
        <f>HYPERLINK("https://my.pitchbook.com?p=126132-85P","View People Online")</f>
        <v>View People Online</v>
      </c>
    </row>
    <row r="4236">
      <c r="A4236" s="2" t="s">
        <v>26452</v>
      </c>
      <c r="B4236" s="2" t="s">
        <v>26453</v>
      </c>
      <c r="C4236" s="2" t="s">
        <v>160</v>
      </c>
      <c r="D4236" s="2" t="s">
        <v>26454</v>
      </c>
      <c r="E4236" s="2" t="s">
        <v>25722</v>
      </c>
      <c r="F4236" s="2" t="s">
        <v>896</v>
      </c>
      <c r="G4236" s="2" t="s">
        <v>26455</v>
      </c>
      <c r="H4236" s="3" t="s">
        <v>31</v>
      </c>
      <c r="I4236" s="3">
        <v>1.0</v>
      </c>
      <c r="J4236" s="3">
        <v>1.0</v>
      </c>
      <c r="K4236" s="3" t="s">
        <v>31</v>
      </c>
      <c r="L4236" s="4" t="s">
        <v>25725</v>
      </c>
      <c r="M4236" s="2" t="s">
        <v>26456</v>
      </c>
      <c r="N4236" s="2" t="s">
        <v>25744</v>
      </c>
      <c r="O4236" s="4" t="s">
        <v>25745</v>
      </c>
      <c r="P4236" s="2" t="s">
        <v>25746</v>
      </c>
      <c r="Q4236" s="2" t="s">
        <v>31</v>
      </c>
      <c r="R4236" s="2" t="s">
        <v>64</v>
      </c>
      <c r="S4236" s="4" t="s">
        <v>25747</v>
      </c>
      <c r="T4236" s="2" t="s">
        <v>66</v>
      </c>
      <c r="U4236" s="4" t="s">
        <v>25731</v>
      </c>
      <c r="V4236" s="2" t="s">
        <v>25796</v>
      </c>
      <c r="W4236" s="2" t="s">
        <v>25722</v>
      </c>
      <c r="X4236" s="5" t="str">
        <f>HYPERLINK("https://my.pitchbook.com?p=126133-03P","View People Online")</f>
        <v>View People Online</v>
      </c>
    </row>
    <row r="4237">
      <c r="A4237" s="14" t="s">
        <v>26457</v>
      </c>
      <c r="B4237" s="14" t="s">
        <v>26458</v>
      </c>
      <c r="C4237" s="14" t="s">
        <v>160</v>
      </c>
      <c r="D4237" s="14" t="s">
        <v>18409</v>
      </c>
      <c r="E4237" s="14" t="s">
        <v>25722</v>
      </c>
      <c r="F4237" s="14" t="s">
        <v>896</v>
      </c>
      <c r="G4237" s="14" t="s">
        <v>26459</v>
      </c>
      <c r="H4237" s="15" t="s">
        <v>31</v>
      </c>
      <c r="I4237" s="15">
        <v>1.0</v>
      </c>
      <c r="J4237" s="15">
        <v>1.0</v>
      </c>
      <c r="K4237" s="15" t="s">
        <v>31</v>
      </c>
      <c r="L4237" s="16" t="s">
        <v>25725</v>
      </c>
      <c r="M4237" s="14" t="s">
        <v>26460</v>
      </c>
      <c r="N4237" s="14" t="s">
        <v>25744</v>
      </c>
      <c r="O4237" s="16" t="s">
        <v>25745</v>
      </c>
      <c r="P4237" s="14" t="s">
        <v>25746</v>
      </c>
      <c r="Q4237" s="14" t="s">
        <v>31</v>
      </c>
      <c r="R4237" s="14" t="s">
        <v>64</v>
      </c>
      <c r="S4237" s="16" t="s">
        <v>25747</v>
      </c>
      <c r="T4237" s="14" t="s">
        <v>66</v>
      </c>
      <c r="U4237" s="16" t="s">
        <v>25731</v>
      </c>
      <c r="V4237" s="14" t="s">
        <v>25796</v>
      </c>
      <c r="W4237" s="14" t="s">
        <v>25722</v>
      </c>
      <c r="X4237" s="17" t="str">
        <f>HYPERLINK("https://my.pitchbook.com?p=126132-40P","View People Online")</f>
        <v>View People Online</v>
      </c>
    </row>
    <row r="4238">
      <c r="A4238" s="10" t="s">
        <v>26461</v>
      </c>
      <c r="B4238" s="10" t="s">
        <v>26462</v>
      </c>
      <c r="C4238" s="10" t="s">
        <v>160</v>
      </c>
      <c r="D4238" s="10" t="s">
        <v>9925</v>
      </c>
      <c r="E4238" s="10" t="s">
        <v>25722</v>
      </c>
      <c r="F4238" s="10" t="s">
        <v>896</v>
      </c>
      <c r="G4238" s="10" t="s">
        <v>26463</v>
      </c>
      <c r="H4238" s="11" t="s">
        <v>31</v>
      </c>
      <c r="I4238" s="11">
        <v>1.0</v>
      </c>
      <c r="J4238" s="11">
        <v>1.0</v>
      </c>
      <c r="K4238" s="11" t="s">
        <v>31</v>
      </c>
      <c r="L4238" s="12" t="s">
        <v>25725</v>
      </c>
      <c r="M4238" s="10" t="s">
        <v>26464</v>
      </c>
      <c r="N4238" s="10" t="s">
        <v>25744</v>
      </c>
      <c r="O4238" s="12" t="s">
        <v>25745</v>
      </c>
      <c r="P4238" s="10" t="s">
        <v>25746</v>
      </c>
      <c r="Q4238" s="10" t="s">
        <v>31</v>
      </c>
      <c r="R4238" s="10" t="s">
        <v>64</v>
      </c>
      <c r="S4238" s="12" t="s">
        <v>25747</v>
      </c>
      <c r="T4238" s="10" t="s">
        <v>66</v>
      </c>
      <c r="U4238" s="12" t="s">
        <v>25731</v>
      </c>
      <c r="V4238" s="10" t="s">
        <v>25796</v>
      </c>
      <c r="W4238" s="10" t="s">
        <v>25722</v>
      </c>
      <c r="X4238" s="13" t="str">
        <f>HYPERLINK("https://my.pitchbook.com?p=126132-13P","View People Online")</f>
        <v>View People Online</v>
      </c>
    </row>
    <row r="4239">
      <c r="A4239" s="14" t="s">
        <v>26465</v>
      </c>
      <c r="B4239" s="14" t="s">
        <v>26466</v>
      </c>
      <c r="C4239" s="14" t="s">
        <v>26467</v>
      </c>
      <c r="D4239" s="14" t="s">
        <v>3275</v>
      </c>
      <c r="E4239" s="14" t="s">
        <v>25722</v>
      </c>
      <c r="F4239" s="14" t="s">
        <v>25723</v>
      </c>
      <c r="G4239" s="14" t="s">
        <v>26468</v>
      </c>
      <c r="H4239" s="15" t="s">
        <v>31</v>
      </c>
      <c r="I4239" s="15">
        <v>1.0</v>
      </c>
      <c r="J4239" s="15">
        <v>1.0</v>
      </c>
      <c r="K4239" s="15" t="s">
        <v>31</v>
      </c>
      <c r="L4239" s="16" t="s">
        <v>25725</v>
      </c>
      <c r="M4239" s="14" t="s">
        <v>26469</v>
      </c>
      <c r="N4239" s="14" t="s">
        <v>25744</v>
      </c>
      <c r="O4239" s="16" t="s">
        <v>25745</v>
      </c>
      <c r="P4239" s="14" t="s">
        <v>25746</v>
      </c>
      <c r="Q4239" s="14" t="s">
        <v>31</v>
      </c>
      <c r="R4239" s="14" t="s">
        <v>64</v>
      </c>
      <c r="S4239" s="16" t="s">
        <v>25747</v>
      </c>
      <c r="T4239" s="14" t="s">
        <v>66</v>
      </c>
      <c r="U4239" s="16" t="s">
        <v>25731</v>
      </c>
      <c r="V4239" s="14" t="s">
        <v>25723</v>
      </c>
      <c r="W4239" s="14" t="s">
        <v>25722</v>
      </c>
      <c r="X4239" s="17" t="str">
        <f>HYPERLINK("https://my.pitchbook.com?p=126131-86P","View People Online")</f>
        <v>View People Online</v>
      </c>
    </row>
    <row r="4240">
      <c r="A4240" s="2" t="s">
        <v>26470</v>
      </c>
      <c r="B4240" s="2" t="s">
        <v>26471</v>
      </c>
      <c r="C4240" s="2" t="s">
        <v>19778</v>
      </c>
      <c r="D4240" s="2" t="s">
        <v>26472</v>
      </c>
      <c r="E4240" s="2" t="s">
        <v>25722</v>
      </c>
      <c r="F4240" s="2" t="s">
        <v>25723</v>
      </c>
      <c r="G4240" s="2" t="s">
        <v>26473</v>
      </c>
      <c r="H4240" s="3" t="s">
        <v>31</v>
      </c>
      <c r="I4240" s="3">
        <v>1.0</v>
      </c>
      <c r="J4240" s="3">
        <v>1.0</v>
      </c>
      <c r="K4240" s="3" t="s">
        <v>31</v>
      </c>
      <c r="L4240" s="4" t="s">
        <v>25725</v>
      </c>
      <c r="M4240" s="2" t="s">
        <v>26474</v>
      </c>
      <c r="N4240" s="2" t="s">
        <v>25727</v>
      </c>
      <c r="O4240" s="4" t="s">
        <v>25728</v>
      </c>
      <c r="P4240" s="2" t="s">
        <v>25729</v>
      </c>
      <c r="Q4240" s="2" t="s">
        <v>31</v>
      </c>
      <c r="R4240" s="2" t="s">
        <v>64</v>
      </c>
      <c r="S4240" s="4" t="s">
        <v>25730</v>
      </c>
      <c r="T4240" s="2" t="s">
        <v>66</v>
      </c>
      <c r="U4240" s="4" t="s">
        <v>25731</v>
      </c>
      <c r="V4240" s="2" t="s">
        <v>25723</v>
      </c>
      <c r="W4240" s="2" t="s">
        <v>25722</v>
      </c>
      <c r="X4240" s="5" t="str">
        <f>HYPERLINK("https://my.pitchbook.com?p=415721-80P","View People Online")</f>
        <v>View People Online</v>
      </c>
    </row>
    <row r="4241">
      <c r="A4241" s="14" t="s">
        <v>26475</v>
      </c>
      <c r="B4241" s="14" t="s">
        <v>26476</v>
      </c>
      <c r="C4241" s="14" t="s">
        <v>11929</v>
      </c>
      <c r="D4241" s="14" t="s">
        <v>26477</v>
      </c>
      <c r="E4241" s="14" t="s">
        <v>25722</v>
      </c>
      <c r="F4241" s="14" t="s">
        <v>896</v>
      </c>
      <c r="G4241" s="14" t="s">
        <v>26478</v>
      </c>
      <c r="H4241" s="15" t="s">
        <v>31</v>
      </c>
      <c r="I4241" s="15">
        <v>1.0</v>
      </c>
      <c r="J4241" s="15">
        <v>1.0</v>
      </c>
      <c r="K4241" s="15" t="s">
        <v>31</v>
      </c>
      <c r="L4241" s="16" t="s">
        <v>25725</v>
      </c>
      <c r="M4241" s="14" t="s">
        <v>26479</v>
      </c>
      <c r="N4241" s="14" t="s">
        <v>25744</v>
      </c>
      <c r="O4241" s="16" t="s">
        <v>25745</v>
      </c>
      <c r="P4241" s="14" t="s">
        <v>25746</v>
      </c>
      <c r="Q4241" s="14" t="s">
        <v>31</v>
      </c>
      <c r="R4241" s="14" t="s">
        <v>64</v>
      </c>
      <c r="S4241" s="16" t="s">
        <v>25747</v>
      </c>
      <c r="T4241" s="14" t="s">
        <v>66</v>
      </c>
      <c r="U4241" s="16" t="s">
        <v>25731</v>
      </c>
      <c r="V4241" s="14" t="s">
        <v>25796</v>
      </c>
      <c r="W4241" s="14" t="s">
        <v>25722</v>
      </c>
      <c r="X4241" s="17" t="str">
        <f>HYPERLINK("https://my.pitchbook.com?p=126131-14P","View People Online")</f>
        <v>View People Online</v>
      </c>
    </row>
    <row r="4242">
      <c r="A4242" s="10" t="s">
        <v>26480</v>
      </c>
      <c r="B4242" s="10" t="s">
        <v>26481</v>
      </c>
      <c r="C4242" s="10" t="s">
        <v>126</v>
      </c>
      <c r="D4242" s="10" t="s">
        <v>2740</v>
      </c>
      <c r="E4242" s="10" t="s">
        <v>25722</v>
      </c>
      <c r="F4242" s="10" t="s">
        <v>25723</v>
      </c>
      <c r="G4242" s="10" t="s">
        <v>26482</v>
      </c>
      <c r="H4242" s="11" t="s">
        <v>31</v>
      </c>
      <c r="I4242" s="11">
        <v>1.0</v>
      </c>
      <c r="J4242" s="11">
        <v>1.0</v>
      </c>
      <c r="K4242" s="11" t="s">
        <v>31</v>
      </c>
      <c r="L4242" s="12" t="s">
        <v>25725</v>
      </c>
      <c r="M4242" s="10" t="s">
        <v>26483</v>
      </c>
      <c r="N4242" s="10" t="s">
        <v>25727</v>
      </c>
      <c r="O4242" s="12" t="s">
        <v>25728</v>
      </c>
      <c r="P4242" s="10" t="s">
        <v>25729</v>
      </c>
      <c r="Q4242" s="10" t="s">
        <v>31</v>
      </c>
      <c r="R4242" s="10" t="s">
        <v>64</v>
      </c>
      <c r="S4242" s="12" t="s">
        <v>25730</v>
      </c>
      <c r="T4242" s="10" t="s">
        <v>66</v>
      </c>
      <c r="U4242" s="12" t="s">
        <v>25731</v>
      </c>
      <c r="V4242" s="10" t="s">
        <v>25723</v>
      </c>
      <c r="W4242" s="10" t="s">
        <v>25722</v>
      </c>
      <c r="X4242" s="13" t="str">
        <f>HYPERLINK("https://my.pitchbook.com?p=415722-88P","View People Online")</f>
        <v>View People Online</v>
      </c>
    </row>
    <row r="4243">
      <c r="A4243" s="6" t="s">
        <v>26484</v>
      </c>
      <c r="B4243" s="6" t="s">
        <v>26485</v>
      </c>
      <c r="C4243" s="6" t="s">
        <v>126</v>
      </c>
      <c r="D4243" s="6" t="s">
        <v>26486</v>
      </c>
      <c r="E4243" s="6" t="s">
        <v>25722</v>
      </c>
      <c r="F4243" s="6" t="s">
        <v>3600</v>
      </c>
      <c r="G4243" s="6" t="s">
        <v>26487</v>
      </c>
      <c r="H4243" s="7" t="s">
        <v>31</v>
      </c>
      <c r="I4243" s="7">
        <v>3.0</v>
      </c>
      <c r="J4243" s="7">
        <v>1.0</v>
      </c>
      <c r="K4243" s="7">
        <v>2.0</v>
      </c>
      <c r="L4243" s="8" t="s">
        <v>25725</v>
      </c>
      <c r="M4243" s="6" t="s">
        <v>26488</v>
      </c>
      <c r="N4243" s="6" t="s">
        <v>25744</v>
      </c>
      <c r="O4243" s="8" t="s">
        <v>25745</v>
      </c>
      <c r="P4243" s="6" t="s">
        <v>25746</v>
      </c>
      <c r="Q4243" s="6" t="s">
        <v>31</v>
      </c>
      <c r="R4243" s="6" t="s">
        <v>64</v>
      </c>
      <c r="S4243" s="8" t="s">
        <v>25747</v>
      </c>
      <c r="T4243" s="6" t="s">
        <v>66</v>
      </c>
      <c r="U4243" s="8" t="s">
        <v>25731</v>
      </c>
      <c r="V4243" s="6" t="s">
        <v>6303</v>
      </c>
      <c r="W4243" s="6" t="s">
        <v>25722</v>
      </c>
      <c r="X4243" s="9" t="str">
        <f>HYPERLINK("https://my.pitchbook.com?p=85078-00P","View People Online")</f>
        <v>View People Online</v>
      </c>
    </row>
    <row r="4244">
      <c r="A4244" s="10" t="s">
        <v>26489</v>
      </c>
      <c r="B4244" s="10" t="s">
        <v>26490</v>
      </c>
      <c r="C4244" s="10" t="s">
        <v>126</v>
      </c>
      <c r="D4244" s="10" t="s">
        <v>26491</v>
      </c>
      <c r="E4244" s="10" t="s">
        <v>25722</v>
      </c>
      <c r="F4244" s="10" t="s">
        <v>896</v>
      </c>
      <c r="G4244" s="10" t="s">
        <v>26492</v>
      </c>
      <c r="H4244" s="11" t="s">
        <v>31</v>
      </c>
      <c r="I4244" s="11">
        <v>1.0</v>
      </c>
      <c r="J4244" s="11">
        <v>1.0</v>
      </c>
      <c r="K4244" s="11" t="s">
        <v>31</v>
      </c>
      <c r="L4244" s="12" t="s">
        <v>25725</v>
      </c>
      <c r="M4244" s="10" t="s">
        <v>26493</v>
      </c>
      <c r="N4244" s="10" t="s">
        <v>25727</v>
      </c>
      <c r="O4244" s="12" t="s">
        <v>25728</v>
      </c>
      <c r="P4244" s="10" t="s">
        <v>25729</v>
      </c>
      <c r="Q4244" s="10" t="s">
        <v>31</v>
      </c>
      <c r="R4244" s="10" t="s">
        <v>64</v>
      </c>
      <c r="S4244" s="12" t="s">
        <v>25730</v>
      </c>
      <c r="T4244" s="10" t="s">
        <v>66</v>
      </c>
      <c r="U4244" s="12" t="s">
        <v>25731</v>
      </c>
      <c r="V4244" s="10" t="s">
        <v>896</v>
      </c>
      <c r="W4244" s="10" t="s">
        <v>25722</v>
      </c>
      <c r="X4244" s="13" t="str">
        <f>HYPERLINK("https://my.pitchbook.com?p=415488-07P","View People Online")</f>
        <v>View People Online</v>
      </c>
    </row>
    <row r="4245">
      <c r="A4245" s="6" t="s">
        <v>26494</v>
      </c>
      <c r="B4245" s="6" t="s">
        <v>26495</v>
      </c>
      <c r="C4245" s="6" t="s">
        <v>126</v>
      </c>
      <c r="D4245" s="6" t="s">
        <v>26496</v>
      </c>
      <c r="E4245" s="6" t="s">
        <v>25722</v>
      </c>
      <c r="F4245" s="6" t="s">
        <v>25723</v>
      </c>
      <c r="G4245" s="6" t="s">
        <v>26497</v>
      </c>
      <c r="H4245" s="7" t="s">
        <v>31</v>
      </c>
      <c r="I4245" s="7">
        <v>1.0</v>
      </c>
      <c r="J4245" s="7">
        <v>1.0</v>
      </c>
      <c r="K4245" s="7" t="s">
        <v>31</v>
      </c>
      <c r="L4245" s="8" t="s">
        <v>25725</v>
      </c>
      <c r="M4245" s="6" t="s">
        <v>26498</v>
      </c>
      <c r="N4245" s="6" t="s">
        <v>25727</v>
      </c>
      <c r="O4245" s="8" t="s">
        <v>25728</v>
      </c>
      <c r="P4245" s="6" t="s">
        <v>25729</v>
      </c>
      <c r="Q4245" s="6" t="s">
        <v>31</v>
      </c>
      <c r="R4245" s="6" t="s">
        <v>64</v>
      </c>
      <c r="S4245" s="8" t="s">
        <v>25730</v>
      </c>
      <c r="T4245" s="6" t="s">
        <v>66</v>
      </c>
      <c r="U4245" s="8" t="s">
        <v>25731</v>
      </c>
      <c r="V4245" s="6" t="s">
        <v>25723</v>
      </c>
      <c r="W4245" s="6" t="s">
        <v>25722</v>
      </c>
      <c r="X4245" s="9" t="str">
        <f>HYPERLINK("https://my.pitchbook.com?p=441451-81P","View People Online")</f>
        <v>View People Online</v>
      </c>
    </row>
    <row r="4246">
      <c r="A4246" s="10" t="s">
        <v>26499</v>
      </c>
      <c r="B4246" s="10" t="s">
        <v>26500</v>
      </c>
      <c r="C4246" s="10" t="s">
        <v>126</v>
      </c>
      <c r="D4246" s="10" t="s">
        <v>26501</v>
      </c>
      <c r="E4246" s="10" t="s">
        <v>25722</v>
      </c>
      <c r="F4246" s="10" t="s">
        <v>896</v>
      </c>
      <c r="G4246" s="10" t="s">
        <v>26502</v>
      </c>
      <c r="H4246" s="11" t="s">
        <v>31</v>
      </c>
      <c r="I4246" s="11">
        <v>1.0</v>
      </c>
      <c r="J4246" s="11">
        <v>1.0</v>
      </c>
      <c r="K4246" s="11" t="s">
        <v>31</v>
      </c>
      <c r="L4246" s="12" t="s">
        <v>25725</v>
      </c>
      <c r="M4246" s="10" t="s">
        <v>26503</v>
      </c>
      <c r="N4246" s="10" t="s">
        <v>25744</v>
      </c>
      <c r="O4246" s="12" t="s">
        <v>25745</v>
      </c>
      <c r="P4246" s="10" t="s">
        <v>25746</v>
      </c>
      <c r="Q4246" s="10" t="s">
        <v>31</v>
      </c>
      <c r="R4246" s="10" t="s">
        <v>64</v>
      </c>
      <c r="S4246" s="12" t="s">
        <v>25747</v>
      </c>
      <c r="T4246" s="10" t="s">
        <v>66</v>
      </c>
      <c r="U4246" s="12" t="s">
        <v>25731</v>
      </c>
      <c r="V4246" s="10" t="s">
        <v>896</v>
      </c>
      <c r="W4246" s="10" t="s">
        <v>25722</v>
      </c>
      <c r="X4246" s="13" t="str">
        <f>HYPERLINK("https://my.pitchbook.com?p=126130-60P","View People Online")</f>
        <v>View People Online</v>
      </c>
    </row>
    <row r="4247">
      <c r="A4247" s="14" t="s">
        <v>26504</v>
      </c>
      <c r="B4247" s="14" t="s">
        <v>26505</v>
      </c>
      <c r="C4247" s="14" t="s">
        <v>126</v>
      </c>
      <c r="D4247" s="14" t="s">
        <v>8429</v>
      </c>
      <c r="E4247" s="14" t="s">
        <v>25722</v>
      </c>
      <c r="F4247" s="14" t="s">
        <v>25723</v>
      </c>
      <c r="G4247" s="14" t="s">
        <v>26506</v>
      </c>
      <c r="H4247" s="15" t="s">
        <v>31</v>
      </c>
      <c r="I4247" s="15">
        <v>1.0</v>
      </c>
      <c r="J4247" s="15">
        <v>1.0</v>
      </c>
      <c r="K4247" s="15" t="s">
        <v>31</v>
      </c>
      <c r="L4247" s="16" t="s">
        <v>25725</v>
      </c>
      <c r="M4247" s="14" t="s">
        <v>31</v>
      </c>
      <c r="N4247" s="14" t="s">
        <v>25744</v>
      </c>
      <c r="O4247" s="16" t="s">
        <v>25745</v>
      </c>
      <c r="P4247" s="14" t="s">
        <v>25746</v>
      </c>
      <c r="Q4247" s="14" t="s">
        <v>31</v>
      </c>
      <c r="R4247" s="14" t="s">
        <v>64</v>
      </c>
      <c r="S4247" s="16" t="s">
        <v>25747</v>
      </c>
      <c r="T4247" s="14" t="s">
        <v>66</v>
      </c>
      <c r="U4247" s="16" t="s">
        <v>25731</v>
      </c>
      <c r="V4247" s="14" t="s">
        <v>25723</v>
      </c>
      <c r="W4247" s="14" t="s">
        <v>25722</v>
      </c>
      <c r="X4247" s="17" t="str">
        <f>HYPERLINK("https://my.pitchbook.com?p=415723-60P","View People Online")</f>
        <v>View People Online</v>
      </c>
    </row>
    <row r="4248">
      <c r="A4248" s="10" t="s">
        <v>26507</v>
      </c>
      <c r="B4248" s="10" t="s">
        <v>26508</v>
      </c>
      <c r="C4248" s="10" t="s">
        <v>126</v>
      </c>
      <c r="D4248" s="10" t="s">
        <v>26509</v>
      </c>
      <c r="E4248" s="10" t="s">
        <v>25722</v>
      </c>
      <c r="F4248" s="10" t="s">
        <v>896</v>
      </c>
      <c r="G4248" s="10" t="s">
        <v>26510</v>
      </c>
      <c r="H4248" s="11" t="s">
        <v>31</v>
      </c>
      <c r="I4248" s="11">
        <v>1.0</v>
      </c>
      <c r="J4248" s="11">
        <v>1.0</v>
      </c>
      <c r="K4248" s="11" t="s">
        <v>31</v>
      </c>
      <c r="L4248" s="12" t="s">
        <v>25725</v>
      </c>
      <c r="M4248" s="10" t="s">
        <v>26511</v>
      </c>
      <c r="N4248" s="10" t="s">
        <v>25744</v>
      </c>
      <c r="O4248" s="12" t="s">
        <v>25745</v>
      </c>
      <c r="P4248" s="10" t="s">
        <v>25746</v>
      </c>
      <c r="Q4248" s="10" t="s">
        <v>31</v>
      </c>
      <c r="R4248" s="10" t="s">
        <v>64</v>
      </c>
      <c r="S4248" s="12" t="s">
        <v>25747</v>
      </c>
      <c r="T4248" s="10" t="s">
        <v>66</v>
      </c>
      <c r="U4248" s="12" t="s">
        <v>25731</v>
      </c>
      <c r="V4248" s="10" t="s">
        <v>25796</v>
      </c>
      <c r="W4248" s="10" t="s">
        <v>25722</v>
      </c>
      <c r="X4248" s="13" t="str">
        <f>HYPERLINK("https://my.pitchbook.com?p=126129-70P","View People Online")</f>
        <v>View People Online</v>
      </c>
    </row>
    <row r="4249">
      <c r="A4249" s="14" t="s">
        <v>26512</v>
      </c>
      <c r="B4249" s="14" t="s">
        <v>26513</v>
      </c>
      <c r="C4249" s="14" t="s">
        <v>10613</v>
      </c>
      <c r="D4249" s="14" t="s">
        <v>26252</v>
      </c>
      <c r="E4249" s="14" t="s">
        <v>25722</v>
      </c>
      <c r="F4249" s="14" t="s">
        <v>25723</v>
      </c>
      <c r="G4249" s="14" t="s">
        <v>26514</v>
      </c>
      <c r="H4249" s="15" t="s">
        <v>31</v>
      </c>
      <c r="I4249" s="15">
        <v>1.0</v>
      </c>
      <c r="J4249" s="15">
        <v>1.0</v>
      </c>
      <c r="K4249" s="15" t="s">
        <v>31</v>
      </c>
      <c r="L4249" s="16" t="s">
        <v>25725</v>
      </c>
      <c r="M4249" s="14" t="s">
        <v>26515</v>
      </c>
      <c r="N4249" s="14" t="s">
        <v>25744</v>
      </c>
      <c r="O4249" s="16" t="s">
        <v>25745</v>
      </c>
      <c r="P4249" s="14" t="s">
        <v>25746</v>
      </c>
      <c r="Q4249" s="14" t="s">
        <v>31</v>
      </c>
      <c r="R4249" s="14" t="s">
        <v>64</v>
      </c>
      <c r="S4249" s="16" t="s">
        <v>25747</v>
      </c>
      <c r="T4249" s="14" t="s">
        <v>66</v>
      </c>
      <c r="U4249" s="16" t="s">
        <v>25731</v>
      </c>
      <c r="V4249" s="14" t="s">
        <v>25723</v>
      </c>
      <c r="W4249" s="14" t="s">
        <v>25722</v>
      </c>
      <c r="X4249" s="17" t="str">
        <f>HYPERLINK("https://my.pitchbook.com?p=126129-97P","View People Online")</f>
        <v>View People Online</v>
      </c>
    </row>
    <row r="4250">
      <c r="A4250" s="10" t="s">
        <v>26516</v>
      </c>
      <c r="B4250" s="10" t="s">
        <v>26517</v>
      </c>
      <c r="C4250" s="10" t="s">
        <v>3202</v>
      </c>
      <c r="D4250" s="10" t="s">
        <v>26518</v>
      </c>
      <c r="E4250" s="10" t="s">
        <v>25722</v>
      </c>
      <c r="F4250" s="10" t="s">
        <v>25723</v>
      </c>
      <c r="G4250" s="10" t="s">
        <v>26519</v>
      </c>
      <c r="H4250" s="11" t="s">
        <v>31</v>
      </c>
      <c r="I4250" s="11">
        <v>1.0</v>
      </c>
      <c r="J4250" s="11">
        <v>1.0</v>
      </c>
      <c r="K4250" s="11" t="s">
        <v>31</v>
      </c>
      <c r="L4250" s="12" t="s">
        <v>25725</v>
      </c>
      <c r="M4250" s="10" t="s">
        <v>26520</v>
      </c>
      <c r="N4250" s="10" t="s">
        <v>25727</v>
      </c>
      <c r="O4250" s="12" t="s">
        <v>25728</v>
      </c>
      <c r="P4250" s="10" t="s">
        <v>25729</v>
      </c>
      <c r="Q4250" s="10" t="s">
        <v>31</v>
      </c>
      <c r="R4250" s="10" t="s">
        <v>64</v>
      </c>
      <c r="S4250" s="12" t="s">
        <v>25730</v>
      </c>
      <c r="T4250" s="10" t="s">
        <v>66</v>
      </c>
      <c r="U4250" s="12" t="s">
        <v>25731</v>
      </c>
      <c r="V4250" s="10" t="s">
        <v>25723</v>
      </c>
      <c r="W4250" s="10" t="s">
        <v>25722</v>
      </c>
      <c r="X4250" s="13" t="str">
        <f>HYPERLINK("https://my.pitchbook.com?p=415724-32P","View People Online")</f>
        <v>View People Online</v>
      </c>
    </row>
    <row r="4251">
      <c r="A4251" s="14" t="s">
        <v>26521</v>
      </c>
      <c r="B4251" s="14" t="s">
        <v>26522</v>
      </c>
      <c r="C4251" s="14" t="s">
        <v>1807</v>
      </c>
      <c r="D4251" s="14" t="s">
        <v>26523</v>
      </c>
      <c r="E4251" s="14" t="s">
        <v>25722</v>
      </c>
      <c r="F4251" s="14" t="s">
        <v>896</v>
      </c>
      <c r="G4251" s="14" t="s">
        <v>26524</v>
      </c>
      <c r="H4251" s="15" t="s">
        <v>31</v>
      </c>
      <c r="I4251" s="15">
        <v>1.0</v>
      </c>
      <c r="J4251" s="15">
        <v>1.0</v>
      </c>
      <c r="K4251" s="15" t="s">
        <v>31</v>
      </c>
      <c r="L4251" s="16" t="s">
        <v>25725</v>
      </c>
      <c r="M4251" s="14" t="s">
        <v>26525</v>
      </c>
      <c r="N4251" s="14" t="s">
        <v>25727</v>
      </c>
      <c r="O4251" s="16" t="s">
        <v>25728</v>
      </c>
      <c r="P4251" s="14" t="s">
        <v>25729</v>
      </c>
      <c r="Q4251" s="14" t="s">
        <v>31</v>
      </c>
      <c r="R4251" s="14" t="s">
        <v>64</v>
      </c>
      <c r="S4251" s="16" t="s">
        <v>25730</v>
      </c>
      <c r="T4251" s="14" t="s">
        <v>66</v>
      </c>
      <c r="U4251" s="16" t="s">
        <v>25731</v>
      </c>
      <c r="V4251" s="14" t="s">
        <v>25796</v>
      </c>
      <c r="W4251" s="14" t="s">
        <v>25722</v>
      </c>
      <c r="X4251" s="17" t="str">
        <f>HYPERLINK("https://my.pitchbook.com?p=415525-24P","View People Online")</f>
        <v>View People Online</v>
      </c>
    </row>
    <row r="4252">
      <c r="A4252" s="2" t="s">
        <v>26526</v>
      </c>
      <c r="B4252" s="2" t="s">
        <v>26527</v>
      </c>
      <c r="C4252" s="2" t="s">
        <v>26528</v>
      </c>
      <c r="D4252" s="2" t="s">
        <v>9348</v>
      </c>
      <c r="E4252" s="2" t="s">
        <v>25722</v>
      </c>
      <c r="F4252" s="2" t="s">
        <v>25723</v>
      </c>
      <c r="G4252" s="2" t="s">
        <v>26529</v>
      </c>
      <c r="H4252" s="3" t="s">
        <v>31</v>
      </c>
      <c r="I4252" s="3">
        <v>1.0</v>
      </c>
      <c r="J4252" s="3">
        <v>1.0</v>
      </c>
      <c r="K4252" s="3" t="s">
        <v>31</v>
      </c>
      <c r="L4252" s="4" t="s">
        <v>25725</v>
      </c>
      <c r="M4252" s="2" t="s">
        <v>26530</v>
      </c>
      <c r="N4252" s="2" t="s">
        <v>25744</v>
      </c>
      <c r="O4252" s="4" t="s">
        <v>25745</v>
      </c>
      <c r="P4252" s="2" t="s">
        <v>25746</v>
      </c>
      <c r="Q4252" s="2" t="s">
        <v>31</v>
      </c>
      <c r="R4252" s="2" t="s">
        <v>64</v>
      </c>
      <c r="S4252" s="4" t="s">
        <v>25747</v>
      </c>
      <c r="T4252" s="2" t="s">
        <v>66</v>
      </c>
      <c r="U4252" s="4" t="s">
        <v>25731</v>
      </c>
      <c r="V4252" s="2" t="s">
        <v>25723</v>
      </c>
      <c r="W4252" s="2" t="s">
        <v>25722</v>
      </c>
      <c r="X4252" s="5" t="str">
        <f>HYPERLINK("https://my.pitchbook.com?p=415725-58P","View People Online")</f>
        <v>View People Online</v>
      </c>
    </row>
    <row r="4253">
      <c r="A4253" s="14" t="s">
        <v>26531</v>
      </c>
      <c r="B4253" s="14" t="s">
        <v>26532</v>
      </c>
      <c r="C4253" s="14" t="s">
        <v>894</v>
      </c>
      <c r="D4253" s="14" t="s">
        <v>26533</v>
      </c>
      <c r="E4253" s="14" t="s">
        <v>25722</v>
      </c>
      <c r="F4253" s="14" t="s">
        <v>25723</v>
      </c>
      <c r="G4253" s="14" t="s">
        <v>26534</v>
      </c>
      <c r="H4253" s="15" t="s">
        <v>31</v>
      </c>
      <c r="I4253" s="15">
        <v>1.0</v>
      </c>
      <c r="J4253" s="15">
        <v>1.0</v>
      </c>
      <c r="K4253" s="15" t="s">
        <v>31</v>
      </c>
      <c r="L4253" s="16" t="s">
        <v>25725</v>
      </c>
      <c r="M4253" s="14" t="s">
        <v>26535</v>
      </c>
      <c r="N4253" s="14" t="s">
        <v>25744</v>
      </c>
      <c r="O4253" s="16" t="s">
        <v>25745</v>
      </c>
      <c r="P4253" s="14" t="s">
        <v>25746</v>
      </c>
      <c r="Q4253" s="14" t="s">
        <v>31</v>
      </c>
      <c r="R4253" s="14" t="s">
        <v>64</v>
      </c>
      <c r="S4253" s="16" t="s">
        <v>25747</v>
      </c>
      <c r="T4253" s="14" t="s">
        <v>66</v>
      </c>
      <c r="U4253" s="16" t="s">
        <v>25731</v>
      </c>
      <c r="V4253" s="14" t="s">
        <v>25723</v>
      </c>
      <c r="W4253" s="14" t="s">
        <v>25722</v>
      </c>
      <c r="X4253" s="17" t="str">
        <f>HYPERLINK("https://my.pitchbook.com?p=415725-85P","View People Online")</f>
        <v>View People Online</v>
      </c>
    </row>
    <row r="4254">
      <c r="A4254" s="10" t="s">
        <v>26536</v>
      </c>
      <c r="B4254" s="10" t="s">
        <v>26537</v>
      </c>
      <c r="C4254" s="10" t="s">
        <v>20078</v>
      </c>
      <c r="D4254" s="10" t="s">
        <v>4098</v>
      </c>
      <c r="E4254" s="10" t="s">
        <v>25722</v>
      </c>
      <c r="F4254" s="10" t="s">
        <v>25723</v>
      </c>
      <c r="G4254" s="10" t="s">
        <v>26538</v>
      </c>
      <c r="H4254" s="11" t="s">
        <v>31</v>
      </c>
      <c r="I4254" s="11">
        <v>1.0</v>
      </c>
      <c r="J4254" s="11">
        <v>1.0</v>
      </c>
      <c r="K4254" s="11" t="s">
        <v>31</v>
      </c>
      <c r="L4254" s="12" t="s">
        <v>25725</v>
      </c>
      <c r="M4254" s="10" t="s">
        <v>31</v>
      </c>
      <c r="N4254" s="10" t="s">
        <v>25727</v>
      </c>
      <c r="O4254" s="12" t="s">
        <v>25728</v>
      </c>
      <c r="P4254" s="10" t="s">
        <v>25729</v>
      </c>
      <c r="Q4254" s="10" t="s">
        <v>31</v>
      </c>
      <c r="R4254" s="10" t="s">
        <v>64</v>
      </c>
      <c r="S4254" s="12" t="s">
        <v>25730</v>
      </c>
      <c r="T4254" s="10" t="s">
        <v>66</v>
      </c>
      <c r="U4254" s="12" t="s">
        <v>25731</v>
      </c>
      <c r="V4254" s="10" t="s">
        <v>25723</v>
      </c>
      <c r="W4254" s="10" t="s">
        <v>25722</v>
      </c>
      <c r="X4254" s="13" t="str">
        <f>HYPERLINK("https://my.pitchbook.com?p=415726-21P","View People Online")</f>
        <v>View People Online</v>
      </c>
    </row>
    <row r="4255">
      <c r="A4255" s="6" t="s">
        <v>26539</v>
      </c>
      <c r="B4255" s="6" t="s">
        <v>26540</v>
      </c>
      <c r="C4255" s="6" t="s">
        <v>26541</v>
      </c>
      <c r="D4255" s="6" t="s">
        <v>831</v>
      </c>
      <c r="E4255" s="6" t="s">
        <v>25722</v>
      </c>
      <c r="F4255" s="6" t="s">
        <v>25723</v>
      </c>
      <c r="G4255" s="6" t="s">
        <v>26542</v>
      </c>
      <c r="H4255" s="7" t="s">
        <v>31</v>
      </c>
      <c r="I4255" s="7">
        <v>1.0</v>
      </c>
      <c r="J4255" s="7">
        <v>1.0</v>
      </c>
      <c r="K4255" s="7" t="s">
        <v>31</v>
      </c>
      <c r="L4255" s="8" t="s">
        <v>25725</v>
      </c>
      <c r="M4255" s="6" t="s">
        <v>31</v>
      </c>
      <c r="N4255" s="6" t="s">
        <v>25727</v>
      </c>
      <c r="O4255" s="8" t="s">
        <v>25728</v>
      </c>
      <c r="P4255" s="6" t="s">
        <v>25729</v>
      </c>
      <c r="Q4255" s="6" t="s">
        <v>31</v>
      </c>
      <c r="R4255" s="6" t="s">
        <v>64</v>
      </c>
      <c r="S4255" s="8" t="s">
        <v>25730</v>
      </c>
      <c r="T4255" s="6" t="s">
        <v>66</v>
      </c>
      <c r="U4255" s="8" t="s">
        <v>25731</v>
      </c>
      <c r="V4255" s="6" t="s">
        <v>25723</v>
      </c>
      <c r="W4255" s="6" t="s">
        <v>25722</v>
      </c>
      <c r="X4255" s="9" t="str">
        <f>HYPERLINK("https://my.pitchbook.com?p=415726-75P","View People Online")</f>
        <v>View People Online</v>
      </c>
    </row>
    <row r="4256">
      <c r="A4256" s="10" t="s">
        <v>26543</v>
      </c>
      <c r="B4256" s="10" t="s">
        <v>26544</v>
      </c>
      <c r="C4256" s="10" t="s">
        <v>7089</v>
      </c>
      <c r="D4256" s="10" t="s">
        <v>26545</v>
      </c>
      <c r="E4256" s="10" t="s">
        <v>25722</v>
      </c>
      <c r="F4256" s="10" t="s">
        <v>11575</v>
      </c>
      <c r="G4256" s="10" t="s">
        <v>26546</v>
      </c>
      <c r="H4256" s="11" t="s">
        <v>31</v>
      </c>
      <c r="I4256" s="11">
        <v>1.0</v>
      </c>
      <c r="J4256" s="11">
        <v>1.0</v>
      </c>
      <c r="K4256" s="11" t="s">
        <v>31</v>
      </c>
      <c r="L4256" s="12" t="s">
        <v>25725</v>
      </c>
      <c r="M4256" s="10" t="s">
        <v>31</v>
      </c>
      <c r="N4256" s="10" t="s">
        <v>25727</v>
      </c>
      <c r="O4256" s="12" t="s">
        <v>25728</v>
      </c>
      <c r="P4256" s="10" t="s">
        <v>25729</v>
      </c>
      <c r="Q4256" s="10" t="s">
        <v>31</v>
      </c>
      <c r="R4256" s="10" t="s">
        <v>64</v>
      </c>
      <c r="S4256" s="12" t="s">
        <v>25730</v>
      </c>
      <c r="T4256" s="10" t="s">
        <v>66</v>
      </c>
      <c r="U4256" s="12" t="s">
        <v>25731</v>
      </c>
      <c r="V4256" s="10" t="s">
        <v>26547</v>
      </c>
      <c r="W4256" s="10" t="s">
        <v>25722</v>
      </c>
      <c r="X4256" s="13" t="str">
        <f>HYPERLINK("https://my.pitchbook.com?p=241610-14P","View People Online")</f>
        <v>View People Online</v>
      </c>
    </row>
    <row r="4257">
      <c r="A4257" s="14" t="s">
        <v>26548</v>
      </c>
      <c r="B4257" s="14" t="s">
        <v>26549</v>
      </c>
      <c r="C4257" s="14" t="s">
        <v>907</v>
      </c>
      <c r="D4257" s="14" t="s">
        <v>26550</v>
      </c>
      <c r="E4257" s="14" t="s">
        <v>25722</v>
      </c>
      <c r="F4257" s="14" t="s">
        <v>25723</v>
      </c>
      <c r="G4257" s="14" t="s">
        <v>26551</v>
      </c>
      <c r="H4257" s="15" t="s">
        <v>31</v>
      </c>
      <c r="I4257" s="15">
        <v>1.0</v>
      </c>
      <c r="J4257" s="15">
        <v>1.0</v>
      </c>
      <c r="K4257" s="15" t="s">
        <v>31</v>
      </c>
      <c r="L4257" s="16" t="s">
        <v>25725</v>
      </c>
      <c r="M4257" s="14" t="s">
        <v>26552</v>
      </c>
      <c r="N4257" s="14" t="s">
        <v>25727</v>
      </c>
      <c r="O4257" s="16" t="s">
        <v>25728</v>
      </c>
      <c r="P4257" s="14" t="s">
        <v>25729</v>
      </c>
      <c r="Q4257" s="14" t="s">
        <v>31</v>
      </c>
      <c r="R4257" s="14" t="s">
        <v>64</v>
      </c>
      <c r="S4257" s="16" t="s">
        <v>25730</v>
      </c>
      <c r="T4257" s="14" t="s">
        <v>66</v>
      </c>
      <c r="U4257" s="16" t="s">
        <v>25731</v>
      </c>
      <c r="V4257" s="14" t="s">
        <v>25723</v>
      </c>
      <c r="W4257" s="14" t="s">
        <v>25722</v>
      </c>
      <c r="X4257" s="17" t="str">
        <f>HYPERLINK("https://my.pitchbook.com?p=415727-02P","View People Online")</f>
        <v>View People Online</v>
      </c>
    </row>
    <row r="4258">
      <c r="A4258" s="2" t="s">
        <v>26553</v>
      </c>
      <c r="B4258" s="2" t="s">
        <v>26554</v>
      </c>
      <c r="C4258" s="2" t="s">
        <v>907</v>
      </c>
      <c r="D4258" s="2" t="s">
        <v>11251</v>
      </c>
      <c r="E4258" s="2" t="s">
        <v>25722</v>
      </c>
      <c r="F4258" s="2" t="s">
        <v>25723</v>
      </c>
      <c r="G4258" s="2" t="s">
        <v>26555</v>
      </c>
      <c r="H4258" s="3" t="s">
        <v>31</v>
      </c>
      <c r="I4258" s="3">
        <v>1.0</v>
      </c>
      <c r="J4258" s="3">
        <v>1.0</v>
      </c>
      <c r="K4258" s="3" t="s">
        <v>31</v>
      </c>
      <c r="L4258" s="4" t="s">
        <v>25725</v>
      </c>
      <c r="M4258" s="2" t="s">
        <v>26556</v>
      </c>
      <c r="N4258" s="2" t="s">
        <v>25727</v>
      </c>
      <c r="O4258" s="4" t="s">
        <v>25728</v>
      </c>
      <c r="P4258" s="2" t="s">
        <v>25729</v>
      </c>
      <c r="Q4258" s="2" t="s">
        <v>31</v>
      </c>
      <c r="R4258" s="2" t="s">
        <v>64</v>
      </c>
      <c r="S4258" s="4" t="s">
        <v>25730</v>
      </c>
      <c r="T4258" s="2" t="s">
        <v>66</v>
      </c>
      <c r="U4258" s="4" t="s">
        <v>25731</v>
      </c>
      <c r="V4258" s="2" t="s">
        <v>25723</v>
      </c>
      <c r="W4258" s="2" t="s">
        <v>25722</v>
      </c>
      <c r="X4258" s="5" t="str">
        <f>HYPERLINK("https://my.pitchbook.com?p=319922-74P","View People Online")</f>
        <v>View People Online</v>
      </c>
    </row>
    <row r="4259">
      <c r="A4259" s="14" t="s">
        <v>26557</v>
      </c>
      <c r="B4259" s="14" t="s">
        <v>26558</v>
      </c>
      <c r="C4259" s="14" t="s">
        <v>907</v>
      </c>
      <c r="D4259" s="14" t="s">
        <v>26559</v>
      </c>
      <c r="E4259" s="14" t="s">
        <v>25722</v>
      </c>
      <c r="F4259" s="14" t="s">
        <v>25723</v>
      </c>
      <c r="G4259" s="14" t="s">
        <v>26560</v>
      </c>
      <c r="H4259" s="15" t="s">
        <v>31</v>
      </c>
      <c r="I4259" s="15">
        <v>1.0</v>
      </c>
      <c r="J4259" s="15">
        <v>1.0</v>
      </c>
      <c r="K4259" s="15" t="s">
        <v>31</v>
      </c>
      <c r="L4259" s="16" t="s">
        <v>25725</v>
      </c>
      <c r="M4259" s="14" t="s">
        <v>26561</v>
      </c>
      <c r="N4259" s="14" t="s">
        <v>25744</v>
      </c>
      <c r="O4259" s="16" t="s">
        <v>25745</v>
      </c>
      <c r="P4259" s="14" t="s">
        <v>25746</v>
      </c>
      <c r="Q4259" s="14" t="s">
        <v>31</v>
      </c>
      <c r="R4259" s="14" t="s">
        <v>64</v>
      </c>
      <c r="S4259" s="16" t="s">
        <v>25747</v>
      </c>
      <c r="T4259" s="14" t="s">
        <v>66</v>
      </c>
      <c r="U4259" s="16" t="s">
        <v>25731</v>
      </c>
      <c r="V4259" s="14" t="s">
        <v>25723</v>
      </c>
      <c r="W4259" s="14" t="s">
        <v>25722</v>
      </c>
      <c r="X4259" s="17" t="str">
        <f>HYPERLINK("https://my.pitchbook.com?p=415729-72P","View People Online")</f>
        <v>View People Online</v>
      </c>
    </row>
    <row r="4260">
      <c r="A4260" s="10" t="s">
        <v>26562</v>
      </c>
      <c r="B4260" s="10" t="s">
        <v>26563</v>
      </c>
      <c r="C4260" s="10" t="s">
        <v>132</v>
      </c>
      <c r="D4260" s="10" t="s">
        <v>19614</v>
      </c>
      <c r="E4260" s="10" t="s">
        <v>25722</v>
      </c>
      <c r="F4260" s="10" t="s">
        <v>896</v>
      </c>
      <c r="G4260" s="10" t="s">
        <v>26564</v>
      </c>
      <c r="H4260" s="11" t="s">
        <v>31</v>
      </c>
      <c r="I4260" s="11">
        <v>1.0</v>
      </c>
      <c r="J4260" s="11">
        <v>1.0</v>
      </c>
      <c r="K4260" s="11" t="s">
        <v>31</v>
      </c>
      <c r="L4260" s="12" t="s">
        <v>25725</v>
      </c>
      <c r="M4260" s="10" t="s">
        <v>26565</v>
      </c>
      <c r="N4260" s="10" t="s">
        <v>25727</v>
      </c>
      <c r="O4260" s="12" t="s">
        <v>25728</v>
      </c>
      <c r="P4260" s="10" t="s">
        <v>25729</v>
      </c>
      <c r="Q4260" s="10" t="s">
        <v>31</v>
      </c>
      <c r="R4260" s="10" t="s">
        <v>64</v>
      </c>
      <c r="S4260" s="12" t="s">
        <v>25730</v>
      </c>
      <c r="T4260" s="10" t="s">
        <v>66</v>
      </c>
      <c r="U4260" s="12" t="s">
        <v>25731</v>
      </c>
      <c r="V4260" s="10" t="s">
        <v>896</v>
      </c>
      <c r="W4260" s="10" t="s">
        <v>25722</v>
      </c>
      <c r="X4260" s="13" t="str">
        <f>HYPERLINK("https://my.pitchbook.com?p=415489-60P","View People Online")</f>
        <v>View People Online</v>
      </c>
    </row>
    <row r="4261">
      <c r="A4261" s="14" t="s">
        <v>26566</v>
      </c>
      <c r="B4261" s="14" t="s">
        <v>26567</v>
      </c>
      <c r="C4261" s="14" t="s">
        <v>382</v>
      </c>
      <c r="D4261" s="14" t="s">
        <v>26568</v>
      </c>
      <c r="E4261" s="14" t="s">
        <v>25722</v>
      </c>
      <c r="F4261" s="14" t="s">
        <v>25723</v>
      </c>
      <c r="G4261" s="14" t="s">
        <v>26569</v>
      </c>
      <c r="H4261" s="15" t="s">
        <v>31</v>
      </c>
      <c r="I4261" s="15">
        <v>1.0</v>
      </c>
      <c r="J4261" s="15">
        <v>1.0</v>
      </c>
      <c r="K4261" s="15" t="s">
        <v>31</v>
      </c>
      <c r="L4261" s="16" t="s">
        <v>25725</v>
      </c>
      <c r="M4261" s="14" t="s">
        <v>26570</v>
      </c>
      <c r="N4261" s="14" t="s">
        <v>25744</v>
      </c>
      <c r="O4261" s="16" t="s">
        <v>25745</v>
      </c>
      <c r="P4261" s="14" t="s">
        <v>25746</v>
      </c>
      <c r="Q4261" s="14" t="s">
        <v>31</v>
      </c>
      <c r="R4261" s="14" t="s">
        <v>64</v>
      </c>
      <c r="S4261" s="16" t="s">
        <v>25747</v>
      </c>
      <c r="T4261" s="14" t="s">
        <v>66</v>
      </c>
      <c r="U4261" s="16" t="s">
        <v>25731</v>
      </c>
      <c r="V4261" s="14" t="s">
        <v>25723</v>
      </c>
      <c r="W4261" s="14" t="s">
        <v>25722</v>
      </c>
      <c r="X4261" s="17" t="str">
        <f>HYPERLINK("https://my.pitchbook.com?p=415730-35P","View People Online")</f>
        <v>View People Online</v>
      </c>
    </row>
    <row r="4262">
      <c r="A4262" s="10" t="s">
        <v>26571</v>
      </c>
      <c r="B4262" s="10" t="s">
        <v>26572</v>
      </c>
      <c r="C4262" s="10" t="s">
        <v>382</v>
      </c>
      <c r="D4262" s="10" t="s">
        <v>10402</v>
      </c>
      <c r="E4262" s="10" t="s">
        <v>25722</v>
      </c>
      <c r="F4262" s="10" t="s">
        <v>25723</v>
      </c>
      <c r="G4262" s="10" t="s">
        <v>26573</v>
      </c>
      <c r="H4262" s="11" t="s">
        <v>31</v>
      </c>
      <c r="I4262" s="11">
        <v>1.0</v>
      </c>
      <c r="J4262" s="11">
        <v>1.0</v>
      </c>
      <c r="K4262" s="11" t="s">
        <v>31</v>
      </c>
      <c r="L4262" s="12" t="s">
        <v>25725</v>
      </c>
      <c r="M4262" s="10" t="s">
        <v>26574</v>
      </c>
      <c r="N4262" s="10" t="s">
        <v>25727</v>
      </c>
      <c r="O4262" s="12" t="s">
        <v>25728</v>
      </c>
      <c r="P4262" s="10" t="s">
        <v>25729</v>
      </c>
      <c r="Q4262" s="10" t="s">
        <v>31</v>
      </c>
      <c r="R4262" s="10" t="s">
        <v>64</v>
      </c>
      <c r="S4262" s="12" t="s">
        <v>25730</v>
      </c>
      <c r="T4262" s="10" t="s">
        <v>66</v>
      </c>
      <c r="U4262" s="12" t="s">
        <v>25731</v>
      </c>
      <c r="V4262" s="10" t="s">
        <v>25723</v>
      </c>
      <c r="W4262" s="10" t="s">
        <v>25722</v>
      </c>
      <c r="X4262" s="13" t="str">
        <f>HYPERLINK("https://my.pitchbook.com?p=415732-06P","View People Online")</f>
        <v>View People Online</v>
      </c>
    </row>
    <row r="4263">
      <c r="A4263" s="6" t="s">
        <v>26575</v>
      </c>
      <c r="B4263" s="6" t="s">
        <v>26576</v>
      </c>
      <c r="C4263" s="6" t="s">
        <v>26577</v>
      </c>
      <c r="D4263" s="6" t="s">
        <v>26578</v>
      </c>
      <c r="E4263" s="6" t="s">
        <v>25722</v>
      </c>
      <c r="F4263" s="6" t="s">
        <v>896</v>
      </c>
      <c r="G4263" s="6" t="s">
        <v>26579</v>
      </c>
      <c r="H4263" s="7" t="s">
        <v>31</v>
      </c>
      <c r="I4263" s="7">
        <v>1.0</v>
      </c>
      <c r="J4263" s="7">
        <v>1.0</v>
      </c>
      <c r="K4263" s="7" t="s">
        <v>31</v>
      </c>
      <c r="L4263" s="8" t="s">
        <v>25725</v>
      </c>
      <c r="M4263" s="6" t="s">
        <v>26580</v>
      </c>
      <c r="N4263" s="6" t="s">
        <v>25727</v>
      </c>
      <c r="O4263" s="8" t="s">
        <v>25728</v>
      </c>
      <c r="P4263" s="6" t="s">
        <v>25729</v>
      </c>
      <c r="Q4263" s="6" t="s">
        <v>31</v>
      </c>
      <c r="R4263" s="6" t="s">
        <v>64</v>
      </c>
      <c r="S4263" s="8" t="s">
        <v>25730</v>
      </c>
      <c r="T4263" s="6" t="s">
        <v>66</v>
      </c>
      <c r="U4263" s="8" t="s">
        <v>25731</v>
      </c>
      <c r="V4263" s="6" t="s">
        <v>896</v>
      </c>
      <c r="W4263" s="6" t="s">
        <v>25722</v>
      </c>
      <c r="X4263" s="9" t="str">
        <f>HYPERLINK("https://my.pitchbook.com?p=415526-95P","View People Online")</f>
        <v>View People Online</v>
      </c>
    </row>
    <row r="4264">
      <c r="A4264" s="10" t="s">
        <v>26581</v>
      </c>
      <c r="B4264" s="10" t="s">
        <v>26582</v>
      </c>
      <c r="C4264" s="10" t="s">
        <v>922</v>
      </c>
      <c r="D4264" s="10" t="s">
        <v>26583</v>
      </c>
      <c r="E4264" s="10" t="s">
        <v>25722</v>
      </c>
      <c r="F4264" s="10" t="s">
        <v>25723</v>
      </c>
      <c r="G4264" s="10" t="s">
        <v>26584</v>
      </c>
      <c r="H4264" s="11" t="s">
        <v>31</v>
      </c>
      <c r="I4264" s="11">
        <v>1.0</v>
      </c>
      <c r="J4264" s="11">
        <v>1.0</v>
      </c>
      <c r="K4264" s="11" t="s">
        <v>31</v>
      </c>
      <c r="L4264" s="12" t="s">
        <v>25725</v>
      </c>
      <c r="M4264" s="10" t="s">
        <v>26585</v>
      </c>
      <c r="N4264" s="10" t="s">
        <v>25727</v>
      </c>
      <c r="O4264" s="12" t="s">
        <v>25728</v>
      </c>
      <c r="P4264" s="10" t="s">
        <v>25729</v>
      </c>
      <c r="Q4264" s="10" t="s">
        <v>31</v>
      </c>
      <c r="R4264" s="10" t="s">
        <v>64</v>
      </c>
      <c r="S4264" s="12" t="s">
        <v>25730</v>
      </c>
      <c r="T4264" s="10" t="s">
        <v>66</v>
      </c>
      <c r="U4264" s="12" t="s">
        <v>25731</v>
      </c>
      <c r="V4264" s="10" t="s">
        <v>25723</v>
      </c>
      <c r="W4264" s="10" t="s">
        <v>25722</v>
      </c>
      <c r="X4264" s="13" t="str">
        <f>HYPERLINK("https://my.pitchbook.com?p=415732-96P","View People Online")</f>
        <v>View People Online</v>
      </c>
    </row>
    <row r="4265">
      <c r="A4265" s="14" t="s">
        <v>26586</v>
      </c>
      <c r="B4265" s="14" t="s">
        <v>26587</v>
      </c>
      <c r="C4265" s="14" t="s">
        <v>26588</v>
      </c>
      <c r="D4265" s="14" t="s">
        <v>26589</v>
      </c>
      <c r="E4265" s="14" t="s">
        <v>25722</v>
      </c>
      <c r="F4265" s="14" t="s">
        <v>896</v>
      </c>
      <c r="G4265" s="14" t="s">
        <v>26590</v>
      </c>
      <c r="H4265" s="15" t="s">
        <v>31</v>
      </c>
      <c r="I4265" s="15">
        <v>1.0</v>
      </c>
      <c r="J4265" s="15">
        <v>1.0</v>
      </c>
      <c r="K4265" s="15" t="s">
        <v>31</v>
      </c>
      <c r="L4265" s="16" t="s">
        <v>25725</v>
      </c>
      <c r="M4265" s="14" t="s">
        <v>26591</v>
      </c>
      <c r="N4265" s="14" t="s">
        <v>25744</v>
      </c>
      <c r="O4265" s="16" t="s">
        <v>25745</v>
      </c>
      <c r="P4265" s="14" t="s">
        <v>25746</v>
      </c>
      <c r="Q4265" s="14" t="s">
        <v>31</v>
      </c>
      <c r="R4265" s="14" t="s">
        <v>64</v>
      </c>
      <c r="S4265" s="16" t="s">
        <v>25747</v>
      </c>
      <c r="T4265" s="14" t="s">
        <v>66</v>
      </c>
      <c r="U4265" s="16" t="s">
        <v>25731</v>
      </c>
      <c r="V4265" s="14" t="s">
        <v>25796</v>
      </c>
      <c r="W4265" s="14" t="s">
        <v>25722</v>
      </c>
      <c r="X4265" s="17" t="str">
        <f>HYPERLINK("https://my.pitchbook.com?p=126128-98P","View People Online")</f>
        <v>View People Online</v>
      </c>
    </row>
    <row r="4266">
      <c r="A4266" s="10" t="s">
        <v>26592</v>
      </c>
      <c r="B4266" s="10" t="s">
        <v>26593</v>
      </c>
      <c r="C4266" s="10" t="s">
        <v>26594</v>
      </c>
      <c r="D4266" s="10" t="s">
        <v>26595</v>
      </c>
      <c r="E4266" s="10" t="s">
        <v>25722</v>
      </c>
      <c r="F4266" s="10" t="s">
        <v>25723</v>
      </c>
      <c r="G4266" s="10" t="s">
        <v>26596</v>
      </c>
      <c r="H4266" s="11" t="s">
        <v>31</v>
      </c>
      <c r="I4266" s="11">
        <v>1.0</v>
      </c>
      <c r="J4266" s="11">
        <v>1.0</v>
      </c>
      <c r="K4266" s="11" t="s">
        <v>31</v>
      </c>
      <c r="L4266" s="12" t="s">
        <v>25725</v>
      </c>
      <c r="M4266" s="10" t="s">
        <v>26597</v>
      </c>
      <c r="N4266" s="10" t="s">
        <v>25727</v>
      </c>
      <c r="O4266" s="12" t="s">
        <v>25728</v>
      </c>
      <c r="P4266" s="10" t="s">
        <v>25729</v>
      </c>
      <c r="Q4266" s="10" t="s">
        <v>31</v>
      </c>
      <c r="R4266" s="10" t="s">
        <v>64</v>
      </c>
      <c r="S4266" s="12" t="s">
        <v>25730</v>
      </c>
      <c r="T4266" s="10" t="s">
        <v>66</v>
      </c>
      <c r="U4266" s="12" t="s">
        <v>25731</v>
      </c>
      <c r="V4266" s="10" t="s">
        <v>25723</v>
      </c>
      <c r="W4266" s="10" t="s">
        <v>25722</v>
      </c>
      <c r="X4266" s="13" t="str">
        <f>HYPERLINK("https://my.pitchbook.com?p=415733-77P","View People Online")</f>
        <v>View People Online</v>
      </c>
    </row>
    <row r="4267">
      <c r="A4267" s="6" t="s">
        <v>26598</v>
      </c>
      <c r="B4267" s="6" t="s">
        <v>26599</v>
      </c>
      <c r="C4267" s="6" t="s">
        <v>934</v>
      </c>
      <c r="D4267" s="6" t="s">
        <v>26600</v>
      </c>
      <c r="E4267" s="6" t="s">
        <v>25722</v>
      </c>
      <c r="F4267" s="6" t="s">
        <v>548</v>
      </c>
      <c r="G4267" s="6" t="s">
        <v>26601</v>
      </c>
      <c r="H4267" s="7" t="s">
        <v>31</v>
      </c>
      <c r="I4267" s="7">
        <v>1.0</v>
      </c>
      <c r="J4267" s="7">
        <v>1.0</v>
      </c>
      <c r="K4267" s="7" t="s">
        <v>31</v>
      </c>
      <c r="L4267" s="8" t="s">
        <v>25725</v>
      </c>
      <c r="M4267" s="6" t="s">
        <v>31</v>
      </c>
      <c r="N4267" s="6" t="s">
        <v>25744</v>
      </c>
      <c r="O4267" s="8" t="s">
        <v>25745</v>
      </c>
      <c r="P4267" s="6" t="s">
        <v>25746</v>
      </c>
      <c r="Q4267" s="6" t="s">
        <v>31</v>
      </c>
      <c r="R4267" s="6" t="s">
        <v>64</v>
      </c>
      <c r="S4267" s="8" t="s">
        <v>25747</v>
      </c>
      <c r="T4267" s="6" t="s">
        <v>66</v>
      </c>
      <c r="U4267" s="8" t="s">
        <v>25731</v>
      </c>
      <c r="V4267" s="6" t="s">
        <v>26602</v>
      </c>
      <c r="W4267" s="6" t="s">
        <v>25722</v>
      </c>
      <c r="X4267" s="9" t="str">
        <f>HYPERLINK("https://my.pitchbook.com?p=84618-82P","View People Online")</f>
        <v>View People Online</v>
      </c>
    </row>
    <row r="4268">
      <c r="A4268" s="2" t="s">
        <v>26603</v>
      </c>
      <c r="B4268" s="2" t="s">
        <v>26604</v>
      </c>
      <c r="C4268" s="2" t="s">
        <v>941</v>
      </c>
      <c r="D4268" s="2" t="s">
        <v>26605</v>
      </c>
      <c r="E4268" s="2" t="s">
        <v>25722</v>
      </c>
      <c r="F4268" s="2" t="s">
        <v>896</v>
      </c>
      <c r="G4268" s="2" t="s">
        <v>26606</v>
      </c>
      <c r="H4268" s="3" t="s">
        <v>31</v>
      </c>
      <c r="I4268" s="3">
        <v>1.0</v>
      </c>
      <c r="J4268" s="3">
        <v>1.0</v>
      </c>
      <c r="K4268" s="3" t="s">
        <v>31</v>
      </c>
      <c r="L4268" s="4" t="s">
        <v>25725</v>
      </c>
      <c r="M4268" s="2" t="s">
        <v>26607</v>
      </c>
      <c r="N4268" s="2" t="s">
        <v>25744</v>
      </c>
      <c r="O4268" s="4" t="s">
        <v>25745</v>
      </c>
      <c r="P4268" s="2" t="s">
        <v>25746</v>
      </c>
      <c r="Q4268" s="2" t="s">
        <v>31</v>
      </c>
      <c r="R4268" s="2" t="s">
        <v>64</v>
      </c>
      <c r="S4268" s="4" t="s">
        <v>25747</v>
      </c>
      <c r="T4268" s="2" t="s">
        <v>66</v>
      </c>
      <c r="U4268" s="4" t="s">
        <v>25731</v>
      </c>
      <c r="V4268" s="2" t="s">
        <v>25796</v>
      </c>
      <c r="W4268" s="2" t="s">
        <v>25722</v>
      </c>
      <c r="X4268" s="5" t="str">
        <f>HYPERLINK("https://my.pitchbook.com?p=126128-44P","View People Online")</f>
        <v>View People Online</v>
      </c>
    </row>
    <row r="4269">
      <c r="A4269" s="6" t="s">
        <v>26608</v>
      </c>
      <c r="B4269" s="6" t="s">
        <v>26609</v>
      </c>
      <c r="C4269" s="6" t="s">
        <v>26610</v>
      </c>
      <c r="D4269" s="6" t="s">
        <v>26611</v>
      </c>
      <c r="E4269" s="6" t="s">
        <v>25722</v>
      </c>
      <c r="F4269" s="6" t="s">
        <v>25723</v>
      </c>
      <c r="G4269" s="6" t="s">
        <v>26612</v>
      </c>
      <c r="H4269" s="7" t="s">
        <v>31</v>
      </c>
      <c r="I4269" s="7">
        <v>1.0</v>
      </c>
      <c r="J4269" s="7">
        <v>1.0</v>
      </c>
      <c r="K4269" s="7" t="s">
        <v>31</v>
      </c>
      <c r="L4269" s="8" t="s">
        <v>25725</v>
      </c>
      <c r="M4269" s="6" t="s">
        <v>26613</v>
      </c>
      <c r="N4269" s="6" t="s">
        <v>25727</v>
      </c>
      <c r="O4269" s="8" t="s">
        <v>25728</v>
      </c>
      <c r="P4269" s="6" t="s">
        <v>25729</v>
      </c>
      <c r="Q4269" s="6" t="s">
        <v>31</v>
      </c>
      <c r="R4269" s="6" t="s">
        <v>64</v>
      </c>
      <c r="S4269" s="8" t="s">
        <v>25730</v>
      </c>
      <c r="T4269" s="6" t="s">
        <v>66</v>
      </c>
      <c r="U4269" s="8" t="s">
        <v>25731</v>
      </c>
      <c r="V4269" s="6" t="s">
        <v>25723</v>
      </c>
      <c r="W4269" s="6" t="s">
        <v>25722</v>
      </c>
      <c r="X4269" s="9" t="str">
        <f>HYPERLINK("https://my.pitchbook.com?p=415734-22P","View People Online")</f>
        <v>View People Online</v>
      </c>
    </row>
    <row r="4270">
      <c r="A4270" s="2" t="s">
        <v>26614</v>
      </c>
      <c r="B4270" s="2" t="s">
        <v>26615</v>
      </c>
      <c r="C4270" s="2" t="s">
        <v>26616</v>
      </c>
      <c r="D4270" s="2" t="s">
        <v>3275</v>
      </c>
      <c r="E4270" s="2" t="s">
        <v>25722</v>
      </c>
      <c r="F4270" s="2" t="s">
        <v>25723</v>
      </c>
      <c r="G4270" s="2" t="s">
        <v>26617</v>
      </c>
      <c r="H4270" s="3" t="s">
        <v>31</v>
      </c>
      <c r="I4270" s="3">
        <v>1.0</v>
      </c>
      <c r="J4270" s="3">
        <v>1.0</v>
      </c>
      <c r="K4270" s="3" t="s">
        <v>31</v>
      </c>
      <c r="L4270" s="4" t="s">
        <v>25725</v>
      </c>
      <c r="M4270" s="2" t="s">
        <v>31</v>
      </c>
      <c r="N4270" s="2" t="s">
        <v>25744</v>
      </c>
      <c r="O4270" s="4" t="s">
        <v>25745</v>
      </c>
      <c r="P4270" s="2" t="s">
        <v>25746</v>
      </c>
      <c r="Q4270" s="2" t="s">
        <v>31</v>
      </c>
      <c r="R4270" s="2" t="s">
        <v>64</v>
      </c>
      <c r="S4270" s="4" t="s">
        <v>25747</v>
      </c>
      <c r="T4270" s="2" t="s">
        <v>66</v>
      </c>
      <c r="U4270" s="4" t="s">
        <v>25731</v>
      </c>
      <c r="V4270" s="2" t="s">
        <v>25723</v>
      </c>
      <c r="W4270" s="2" t="s">
        <v>25722</v>
      </c>
      <c r="X4270" s="5" t="str">
        <f>HYPERLINK("https://my.pitchbook.com?p=142187-32P","View People Online")</f>
        <v>View People Online</v>
      </c>
    </row>
    <row r="4271">
      <c r="A4271" s="6" t="s">
        <v>26618</v>
      </c>
      <c r="B4271" s="6" t="s">
        <v>26619</v>
      </c>
      <c r="C4271" s="6" t="s">
        <v>26620</v>
      </c>
      <c r="D4271" s="6" t="s">
        <v>26621</v>
      </c>
      <c r="E4271" s="6" t="s">
        <v>25722</v>
      </c>
      <c r="F4271" s="6" t="s">
        <v>896</v>
      </c>
      <c r="G4271" s="6" t="s">
        <v>26622</v>
      </c>
      <c r="H4271" s="7" t="s">
        <v>31</v>
      </c>
      <c r="I4271" s="7">
        <v>1.0</v>
      </c>
      <c r="J4271" s="7">
        <v>1.0</v>
      </c>
      <c r="K4271" s="7" t="s">
        <v>31</v>
      </c>
      <c r="L4271" s="8" t="s">
        <v>25725</v>
      </c>
      <c r="M4271" s="6" t="s">
        <v>26623</v>
      </c>
      <c r="N4271" s="6" t="s">
        <v>25727</v>
      </c>
      <c r="O4271" s="8" t="s">
        <v>25728</v>
      </c>
      <c r="P4271" s="6" t="s">
        <v>25729</v>
      </c>
      <c r="Q4271" s="6" t="s">
        <v>31</v>
      </c>
      <c r="R4271" s="6" t="s">
        <v>64</v>
      </c>
      <c r="S4271" s="8" t="s">
        <v>25730</v>
      </c>
      <c r="T4271" s="6" t="s">
        <v>66</v>
      </c>
      <c r="U4271" s="8" t="s">
        <v>25731</v>
      </c>
      <c r="V4271" s="6" t="s">
        <v>25796</v>
      </c>
      <c r="W4271" s="6" t="s">
        <v>25722</v>
      </c>
      <c r="X4271" s="9" t="str">
        <f>HYPERLINK("https://my.pitchbook.com?p=415536-13P","View People Online")</f>
        <v>View People Online</v>
      </c>
    </row>
    <row r="4272">
      <c r="A4272" s="2" t="s">
        <v>26624</v>
      </c>
      <c r="B4272" s="2" t="s">
        <v>26625</v>
      </c>
      <c r="C4272" s="2" t="s">
        <v>12189</v>
      </c>
      <c r="D4272" s="2" t="s">
        <v>26626</v>
      </c>
      <c r="E4272" s="2" t="s">
        <v>25722</v>
      </c>
      <c r="F4272" s="2" t="s">
        <v>896</v>
      </c>
      <c r="G4272" s="2" t="s">
        <v>26627</v>
      </c>
      <c r="H4272" s="3" t="s">
        <v>31</v>
      </c>
      <c r="I4272" s="3">
        <v>1.0</v>
      </c>
      <c r="J4272" s="3">
        <v>1.0</v>
      </c>
      <c r="K4272" s="3" t="s">
        <v>31</v>
      </c>
      <c r="L4272" s="4" t="s">
        <v>25725</v>
      </c>
      <c r="M4272" s="2" t="s">
        <v>26628</v>
      </c>
      <c r="N4272" s="2" t="s">
        <v>25744</v>
      </c>
      <c r="O4272" s="4" t="s">
        <v>25745</v>
      </c>
      <c r="P4272" s="2" t="s">
        <v>25746</v>
      </c>
      <c r="Q4272" s="2" t="s">
        <v>31</v>
      </c>
      <c r="R4272" s="2" t="s">
        <v>64</v>
      </c>
      <c r="S4272" s="4" t="s">
        <v>25747</v>
      </c>
      <c r="T4272" s="2" t="s">
        <v>66</v>
      </c>
      <c r="U4272" s="4" t="s">
        <v>25731</v>
      </c>
      <c r="V4272" s="2" t="s">
        <v>896</v>
      </c>
      <c r="W4272" s="2" t="s">
        <v>25722</v>
      </c>
      <c r="X4272" s="5" t="str">
        <f>HYPERLINK("https://my.pitchbook.com?p=153931-42P","View People Online")</f>
        <v>View People Online</v>
      </c>
    </row>
    <row r="4273">
      <c r="A4273" s="6" t="s">
        <v>26629</v>
      </c>
      <c r="B4273" s="6" t="s">
        <v>26630</v>
      </c>
      <c r="C4273" s="6" t="s">
        <v>26631</v>
      </c>
      <c r="D4273" s="6" t="s">
        <v>26632</v>
      </c>
      <c r="E4273" s="6" t="s">
        <v>25722</v>
      </c>
      <c r="F4273" s="6" t="s">
        <v>25723</v>
      </c>
      <c r="G4273" s="6" t="s">
        <v>26633</v>
      </c>
      <c r="H4273" s="7" t="s">
        <v>31</v>
      </c>
      <c r="I4273" s="7">
        <v>1.0</v>
      </c>
      <c r="J4273" s="7">
        <v>1.0</v>
      </c>
      <c r="K4273" s="7" t="s">
        <v>31</v>
      </c>
      <c r="L4273" s="8" t="s">
        <v>25725</v>
      </c>
      <c r="M4273" s="6" t="s">
        <v>31</v>
      </c>
      <c r="N4273" s="6" t="s">
        <v>25727</v>
      </c>
      <c r="O4273" s="8" t="s">
        <v>25728</v>
      </c>
      <c r="P4273" s="6" t="s">
        <v>25729</v>
      </c>
      <c r="Q4273" s="6" t="s">
        <v>31</v>
      </c>
      <c r="R4273" s="6" t="s">
        <v>64</v>
      </c>
      <c r="S4273" s="8" t="s">
        <v>25730</v>
      </c>
      <c r="T4273" s="6" t="s">
        <v>66</v>
      </c>
      <c r="U4273" s="8" t="s">
        <v>25731</v>
      </c>
      <c r="V4273" s="6" t="s">
        <v>25723</v>
      </c>
      <c r="W4273" s="6" t="s">
        <v>25722</v>
      </c>
      <c r="X4273" s="9" t="str">
        <f>HYPERLINK("https://my.pitchbook.com?p=415735-93P","View People Online")</f>
        <v>View People Online</v>
      </c>
    </row>
    <row r="4274">
      <c r="A4274" s="2" t="s">
        <v>26634</v>
      </c>
      <c r="B4274" s="2" t="s">
        <v>26635</v>
      </c>
      <c r="C4274" s="2" t="s">
        <v>26636</v>
      </c>
      <c r="D4274" s="2" t="s">
        <v>1073</v>
      </c>
      <c r="E4274" s="2" t="s">
        <v>25722</v>
      </c>
      <c r="F4274" s="2" t="s">
        <v>25723</v>
      </c>
      <c r="G4274" s="2" t="s">
        <v>26637</v>
      </c>
      <c r="H4274" s="3" t="s">
        <v>31</v>
      </c>
      <c r="I4274" s="3">
        <v>1.0</v>
      </c>
      <c r="J4274" s="3">
        <v>1.0</v>
      </c>
      <c r="K4274" s="3" t="s">
        <v>31</v>
      </c>
      <c r="L4274" s="4" t="s">
        <v>25725</v>
      </c>
      <c r="M4274" s="2" t="s">
        <v>26638</v>
      </c>
      <c r="N4274" s="2" t="s">
        <v>25744</v>
      </c>
      <c r="O4274" s="4" t="s">
        <v>25745</v>
      </c>
      <c r="P4274" s="2" t="s">
        <v>25746</v>
      </c>
      <c r="Q4274" s="2" t="s">
        <v>31</v>
      </c>
      <c r="R4274" s="2" t="s">
        <v>64</v>
      </c>
      <c r="S4274" s="4" t="s">
        <v>25747</v>
      </c>
      <c r="T4274" s="2" t="s">
        <v>66</v>
      </c>
      <c r="U4274" s="4" t="s">
        <v>25731</v>
      </c>
      <c r="V4274" s="2" t="s">
        <v>25723</v>
      </c>
      <c r="W4274" s="2" t="s">
        <v>25722</v>
      </c>
      <c r="X4274" s="5" t="str">
        <f>HYPERLINK("https://my.pitchbook.com?p=415741-87P","View People Online")</f>
        <v>View People Online</v>
      </c>
    </row>
    <row r="4275">
      <c r="A4275" s="6" t="s">
        <v>26639</v>
      </c>
      <c r="B4275" s="6" t="s">
        <v>26640</v>
      </c>
      <c r="C4275" s="6" t="s">
        <v>395</v>
      </c>
      <c r="D4275" s="6" t="s">
        <v>26641</v>
      </c>
      <c r="E4275" s="6" t="s">
        <v>25722</v>
      </c>
      <c r="F4275" s="6" t="s">
        <v>25723</v>
      </c>
      <c r="G4275" s="6" t="s">
        <v>26642</v>
      </c>
      <c r="H4275" s="7" t="s">
        <v>31</v>
      </c>
      <c r="I4275" s="7">
        <v>1.0</v>
      </c>
      <c r="J4275" s="7">
        <v>1.0</v>
      </c>
      <c r="K4275" s="7" t="s">
        <v>31</v>
      </c>
      <c r="L4275" s="8" t="s">
        <v>25725</v>
      </c>
      <c r="M4275" s="6" t="s">
        <v>31</v>
      </c>
      <c r="N4275" s="6" t="s">
        <v>25727</v>
      </c>
      <c r="O4275" s="8" t="s">
        <v>25728</v>
      </c>
      <c r="P4275" s="6" t="s">
        <v>25729</v>
      </c>
      <c r="Q4275" s="6" t="s">
        <v>31</v>
      </c>
      <c r="R4275" s="6" t="s">
        <v>64</v>
      </c>
      <c r="S4275" s="8" t="s">
        <v>25730</v>
      </c>
      <c r="T4275" s="6" t="s">
        <v>66</v>
      </c>
      <c r="U4275" s="8" t="s">
        <v>25731</v>
      </c>
      <c r="V4275" s="6" t="s">
        <v>25723</v>
      </c>
      <c r="W4275" s="6" t="s">
        <v>25722</v>
      </c>
      <c r="X4275" s="9" t="str">
        <f>HYPERLINK("https://my.pitchbook.com?p=415742-32P","View People Online")</f>
        <v>View People Online</v>
      </c>
    </row>
    <row r="4276">
      <c r="A4276" s="10" t="s">
        <v>26643</v>
      </c>
      <c r="B4276" s="10" t="s">
        <v>26644</v>
      </c>
      <c r="C4276" s="10" t="s">
        <v>536</v>
      </c>
      <c r="D4276" s="10" t="s">
        <v>6626</v>
      </c>
      <c r="E4276" s="10" t="s">
        <v>25722</v>
      </c>
      <c r="F4276" s="10" t="s">
        <v>25723</v>
      </c>
      <c r="G4276" s="10" t="s">
        <v>26645</v>
      </c>
      <c r="H4276" s="11" t="s">
        <v>31</v>
      </c>
      <c r="I4276" s="11">
        <v>1.0</v>
      </c>
      <c r="J4276" s="11">
        <v>1.0</v>
      </c>
      <c r="K4276" s="11" t="s">
        <v>31</v>
      </c>
      <c r="L4276" s="12" t="s">
        <v>25725</v>
      </c>
      <c r="M4276" s="10" t="s">
        <v>26646</v>
      </c>
      <c r="N4276" s="10" t="s">
        <v>25727</v>
      </c>
      <c r="O4276" s="12" t="s">
        <v>25728</v>
      </c>
      <c r="P4276" s="10" t="s">
        <v>25729</v>
      </c>
      <c r="Q4276" s="10" t="s">
        <v>31</v>
      </c>
      <c r="R4276" s="10" t="s">
        <v>64</v>
      </c>
      <c r="S4276" s="12" t="s">
        <v>25730</v>
      </c>
      <c r="T4276" s="10" t="s">
        <v>66</v>
      </c>
      <c r="U4276" s="12" t="s">
        <v>25731</v>
      </c>
      <c r="V4276" s="10" t="s">
        <v>25723</v>
      </c>
      <c r="W4276" s="10" t="s">
        <v>25722</v>
      </c>
      <c r="X4276" s="13" t="str">
        <f>HYPERLINK("https://my.pitchbook.com?p=415743-67P","View People Online")</f>
        <v>View People Online</v>
      </c>
    </row>
    <row r="4277">
      <c r="A4277" s="14" t="s">
        <v>26647</v>
      </c>
      <c r="B4277" s="14" t="s">
        <v>26648</v>
      </c>
      <c r="C4277" s="14" t="s">
        <v>536</v>
      </c>
      <c r="D4277" s="14" t="s">
        <v>9546</v>
      </c>
      <c r="E4277" s="14" t="s">
        <v>25722</v>
      </c>
      <c r="F4277" s="14" t="s">
        <v>896</v>
      </c>
      <c r="G4277" s="14" t="s">
        <v>26649</v>
      </c>
      <c r="H4277" s="15" t="s">
        <v>31</v>
      </c>
      <c r="I4277" s="15">
        <v>1.0</v>
      </c>
      <c r="J4277" s="15">
        <v>1.0</v>
      </c>
      <c r="K4277" s="15" t="s">
        <v>31</v>
      </c>
      <c r="L4277" s="16" t="s">
        <v>25725</v>
      </c>
      <c r="M4277" s="14" t="s">
        <v>26650</v>
      </c>
      <c r="N4277" s="14" t="s">
        <v>25744</v>
      </c>
      <c r="O4277" s="16" t="s">
        <v>25745</v>
      </c>
      <c r="P4277" s="14" t="s">
        <v>25746</v>
      </c>
      <c r="Q4277" s="14" t="s">
        <v>31</v>
      </c>
      <c r="R4277" s="14" t="s">
        <v>64</v>
      </c>
      <c r="S4277" s="16" t="s">
        <v>25747</v>
      </c>
      <c r="T4277" s="14" t="s">
        <v>66</v>
      </c>
      <c r="U4277" s="16" t="s">
        <v>25731</v>
      </c>
      <c r="V4277" s="14" t="s">
        <v>25748</v>
      </c>
      <c r="W4277" s="14" t="s">
        <v>25722</v>
      </c>
      <c r="X4277" s="17" t="str">
        <f>HYPERLINK("https://my.pitchbook.com?p=53141-05P","View People Online")</f>
        <v>View People Online</v>
      </c>
    </row>
    <row r="4278">
      <c r="A4278" s="2" t="s">
        <v>26651</v>
      </c>
      <c r="B4278" s="2" t="s">
        <v>26652</v>
      </c>
      <c r="C4278" s="2" t="s">
        <v>4611</v>
      </c>
      <c r="D4278" s="2" t="s">
        <v>26653</v>
      </c>
      <c r="E4278" s="2" t="s">
        <v>25722</v>
      </c>
      <c r="F4278" s="2" t="s">
        <v>25723</v>
      </c>
      <c r="G4278" s="2" t="s">
        <v>26654</v>
      </c>
      <c r="H4278" s="3" t="s">
        <v>31</v>
      </c>
      <c r="I4278" s="3">
        <v>1.0</v>
      </c>
      <c r="J4278" s="3">
        <v>1.0</v>
      </c>
      <c r="K4278" s="3" t="s">
        <v>31</v>
      </c>
      <c r="L4278" s="4" t="s">
        <v>25725</v>
      </c>
      <c r="M4278" s="2" t="s">
        <v>26655</v>
      </c>
      <c r="N4278" s="2" t="s">
        <v>25744</v>
      </c>
      <c r="O4278" s="4" t="s">
        <v>25745</v>
      </c>
      <c r="P4278" s="2" t="s">
        <v>25746</v>
      </c>
      <c r="Q4278" s="2" t="s">
        <v>31</v>
      </c>
      <c r="R4278" s="2" t="s">
        <v>64</v>
      </c>
      <c r="S4278" s="4" t="s">
        <v>25747</v>
      </c>
      <c r="T4278" s="2" t="s">
        <v>66</v>
      </c>
      <c r="U4278" s="4" t="s">
        <v>25731</v>
      </c>
      <c r="V4278" s="2" t="s">
        <v>25723</v>
      </c>
      <c r="W4278" s="2" t="s">
        <v>25722</v>
      </c>
      <c r="X4278" s="5" t="str">
        <f>HYPERLINK("https://my.pitchbook.com?p=153929-80P","View People Online")</f>
        <v>View People Online</v>
      </c>
    </row>
    <row r="4279">
      <c r="A4279" s="6" t="s">
        <v>26656</v>
      </c>
      <c r="B4279" s="6" t="s">
        <v>26652</v>
      </c>
      <c r="C4279" s="6" t="s">
        <v>4611</v>
      </c>
      <c r="D4279" s="6" t="s">
        <v>26653</v>
      </c>
      <c r="E4279" s="6" t="s">
        <v>25722</v>
      </c>
      <c r="F4279" s="6" t="s">
        <v>25723</v>
      </c>
      <c r="G4279" s="6" t="s">
        <v>26657</v>
      </c>
      <c r="H4279" s="7" t="s">
        <v>31</v>
      </c>
      <c r="I4279" s="7">
        <v>1.0</v>
      </c>
      <c r="J4279" s="7">
        <v>1.0</v>
      </c>
      <c r="K4279" s="7" t="s">
        <v>31</v>
      </c>
      <c r="L4279" s="8" t="s">
        <v>25725</v>
      </c>
      <c r="M4279" s="6" t="s">
        <v>31</v>
      </c>
      <c r="N4279" s="6" t="s">
        <v>25727</v>
      </c>
      <c r="O4279" s="8" t="s">
        <v>25728</v>
      </c>
      <c r="P4279" s="6" t="s">
        <v>25729</v>
      </c>
      <c r="Q4279" s="6" t="s">
        <v>31</v>
      </c>
      <c r="R4279" s="6" t="s">
        <v>64</v>
      </c>
      <c r="S4279" s="8" t="s">
        <v>25730</v>
      </c>
      <c r="T4279" s="6" t="s">
        <v>66</v>
      </c>
      <c r="U4279" s="8" t="s">
        <v>25731</v>
      </c>
      <c r="V4279" s="6" t="s">
        <v>25723</v>
      </c>
      <c r="W4279" s="6" t="s">
        <v>25722</v>
      </c>
      <c r="X4279" s="9" t="str">
        <f>HYPERLINK("https://my.pitchbook.com?p=415744-12P","View People Online")</f>
        <v>View People Online</v>
      </c>
    </row>
    <row r="4280">
      <c r="A4280" s="2" t="s">
        <v>26658</v>
      </c>
      <c r="B4280" s="2" t="s">
        <v>26659</v>
      </c>
      <c r="C4280" s="2" t="s">
        <v>26660</v>
      </c>
      <c r="D4280" s="2" t="s">
        <v>26661</v>
      </c>
      <c r="E4280" s="2" t="s">
        <v>25722</v>
      </c>
      <c r="F4280" s="2" t="s">
        <v>548</v>
      </c>
      <c r="G4280" s="2" t="s">
        <v>26662</v>
      </c>
      <c r="H4280" s="3" t="s">
        <v>31</v>
      </c>
      <c r="I4280" s="3">
        <v>1.0</v>
      </c>
      <c r="J4280" s="3">
        <v>1.0</v>
      </c>
      <c r="K4280" s="3" t="s">
        <v>31</v>
      </c>
      <c r="L4280" s="4" t="s">
        <v>25725</v>
      </c>
      <c r="M4280" s="2" t="s">
        <v>26663</v>
      </c>
      <c r="N4280" s="2" t="s">
        <v>25744</v>
      </c>
      <c r="O4280" s="4" t="s">
        <v>25745</v>
      </c>
      <c r="P4280" s="2" t="s">
        <v>25746</v>
      </c>
      <c r="Q4280" s="2" t="s">
        <v>31</v>
      </c>
      <c r="R4280" s="2" t="s">
        <v>64</v>
      </c>
      <c r="S4280" s="4" t="s">
        <v>25747</v>
      </c>
      <c r="T4280" s="2" t="s">
        <v>66</v>
      </c>
      <c r="U4280" s="4" t="s">
        <v>25731</v>
      </c>
      <c r="V4280" s="2" t="s">
        <v>26664</v>
      </c>
      <c r="W4280" s="2" t="s">
        <v>25722</v>
      </c>
      <c r="X4280" s="5" t="str">
        <f>HYPERLINK("https://my.pitchbook.com?p=142187-86P","View People Online")</f>
        <v>View People Online</v>
      </c>
    </row>
    <row r="4281">
      <c r="A4281" s="14" t="s">
        <v>26665</v>
      </c>
      <c r="B4281" s="14" t="s">
        <v>26666</v>
      </c>
      <c r="C4281" s="14" t="s">
        <v>4015</v>
      </c>
      <c r="D4281" s="14" t="s">
        <v>1147</v>
      </c>
      <c r="E4281" s="14" t="s">
        <v>25722</v>
      </c>
      <c r="F4281" s="14" t="s">
        <v>25723</v>
      </c>
      <c r="G4281" s="14" t="s">
        <v>26667</v>
      </c>
      <c r="H4281" s="15" t="s">
        <v>31</v>
      </c>
      <c r="I4281" s="15">
        <v>1.0</v>
      </c>
      <c r="J4281" s="15">
        <v>1.0</v>
      </c>
      <c r="K4281" s="15" t="s">
        <v>31</v>
      </c>
      <c r="L4281" s="16" t="s">
        <v>25725</v>
      </c>
      <c r="M4281" s="14" t="s">
        <v>26668</v>
      </c>
      <c r="N4281" s="14" t="s">
        <v>25744</v>
      </c>
      <c r="O4281" s="16" t="s">
        <v>25745</v>
      </c>
      <c r="P4281" s="14" t="s">
        <v>25746</v>
      </c>
      <c r="Q4281" s="14" t="s">
        <v>31</v>
      </c>
      <c r="R4281" s="14" t="s">
        <v>64</v>
      </c>
      <c r="S4281" s="16" t="s">
        <v>25747</v>
      </c>
      <c r="T4281" s="14" t="s">
        <v>66</v>
      </c>
      <c r="U4281" s="16" t="s">
        <v>25731</v>
      </c>
      <c r="V4281" s="14" t="s">
        <v>25723</v>
      </c>
      <c r="W4281" s="14" t="s">
        <v>25722</v>
      </c>
      <c r="X4281" s="17" t="str">
        <f>HYPERLINK("https://my.pitchbook.com?p=415744-66P","View People Online")</f>
        <v>View People Online</v>
      </c>
    </row>
    <row r="4282">
      <c r="A4282" s="2" t="s">
        <v>26669</v>
      </c>
      <c r="B4282" s="2" t="s">
        <v>26670</v>
      </c>
      <c r="C4282" s="2" t="s">
        <v>4015</v>
      </c>
      <c r="D4282" s="2" t="s">
        <v>4550</v>
      </c>
      <c r="E4282" s="2" t="s">
        <v>25722</v>
      </c>
      <c r="F4282" s="2" t="s">
        <v>25723</v>
      </c>
      <c r="G4282" s="2" t="s">
        <v>26671</v>
      </c>
      <c r="H4282" s="3" t="s">
        <v>31</v>
      </c>
      <c r="I4282" s="3">
        <v>1.0</v>
      </c>
      <c r="J4282" s="3">
        <v>1.0</v>
      </c>
      <c r="K4282" s="3" t="s">
        <v>31</v>
      </c>
      <c r="L4282" s="4" t="s">
        <v>25725</v>
      </c>
      <c r="M4282" s="2" t="s">
        <v>26672</v>
      </c>
      <c r="N4282" s="2" t="s">
        <v>25727</v>
      </c>
      <c r="O4282" s="4" t="s">
        <v>25728</v>
      </c>
      <c r="P4282" s="2" t="s">
        <v>25729</v>
      </c>
      <c r="Q4282" s="2" t="s">
        <v>31</v>
      </c>
      <c r="R4282" s="2" t="s">
        <v>64</v>
      </c>
      <c r="S4282" s="4" t="s">
        <v>25730</v>
      </c>
      <c r="T4282" s="2" t="s">
        <v>66</v>
      </c>
      <c r="U4282" s="4" t="s">
        <v>25731</v>
      </c>
      <c r="V4282" s="2" t="s">
        <v>25723</v>
      </c>
      <c r="W4282" s="2" t="s">
        <v>25722</v>
      </c>
      <c r="X4282" s="5" t="str">
        <f>HYPERLINK("https://my.pitchbook.com?p=415745-20P","View People Online")</f>
        <v>View People Online</v>
      </c>
    </row>
    <row r="4283">
      <c r="A4283" s="6" t="s">
        <v>26673</v>
      </c>
      <c r="B4283" s="6" t="s">
        <v>26674</v>
      </c>
      <c r="C4283" s="6" t="s">
        <v>5257</v>
      </c>
      <c r="D4283" s="6" t="s">
        <v>26675</v>
      </c>
      <c r="E4283" s="6" t="s">
        <v>25722</v>
      </c>
      <c r="F4283" s="6" t="s">
        <v>896</v>
      </c>
      <c r="G4283" s="6" t="s">
        <v>26676</v>
      </c>
      <c r="H4283" s="7" t="s">
        <v>31</v>
      </c>
      <c r="I4283" s="7">
        <v>1.0</v>
      </c>
      <c r="J4283" s="7">
        <v>1.0</v>
      </c>
      <c r="K4283" s="7" t="s">
        <v>31</v>
      </c>
      <c r="L4283" s="8" t="s">
        <v>25725</v>
      </c>
      <c r="M4283" s="6" t="s">
        <v>31</v>
      </c>
      <c r="N4283" s="6" t="s">
        <v>25727</v>
      </c>
      <c r="O4283" s="8" t="s">
        <v>25728</v>
      </c>
      <c r="P4283" s="6" t="s">
        <v>25729</v>
      </c>
      <c r="Q4283" s="6" t="s">
        <v>31</v>
      </c>
      <c r="R4283" s="6" t="s">
        <v>64</v>
      </c>
      <c r="S4283" s="8" t="s">
        <v>25730</v>
      </c>
      <c r="T4283" s="6" t="s">
        <v>66</v>
      </c>
      <c r="U4283" s="8" t="s">
        <v>25731</v>
      </c>
      <c r="V4283" s="6" t="s">
        <v>25748</v>
      </c>
      <c r="W4283" s="6" t="s">
        <v>25722</v>
      </c>
      <c r="X4283" s="9" t="str">
        <f>HYPERLINK("https://my.pitchbook.com?p=415491-31P","View People Online")</f>
        <v>View People Online</v>
      </c>
    </row>
    <row r="4284">
      <c r="A4284" s="10" t="s">
        <v>26677</v>
      </c>
      <c r="B4284" s="10" t="s">
        <v>26678</v>
      </c>
      <c r="C4284" s="10" t="s">
        <v>5264</v>
      </c>
      <c r="D4284" s="10" t="s">
        <v>26679</v>
      </c>
      <c r="E4284" s="10" t="s">
        <v>25722</v>
      </c>
      <c r="F4284" s="10" t="s">
        <v>25723</v>
      </c>
      <c r="G4284" s="10" t="s">
        <v>26680</v>
      </c>
      <c r="H4284" s="11" t="s">
        <v>31</v>
      </c>
      <c r="I4284" s="11">
        <v>1.0</v>
      </c>
      <c r="J4284" s="11">
        <v>1.0</v>
      </c>
      <c r="K4284" s="11" t="s">
        <v>31</v>
      </c>
      <c r="L4284" s="12" t="s">
        <v>25725</v>
      </c>
      <c r="M4284" s="10" t="s">
        <v>26681</v>
      </c>
      <c r="N4284" s="10" t="s">
        <v>25744</v>
      </c>
      <c r="O4284" s="12" t="s">
        <v>25745</v>
      </c>
      <c r="P4284" s="10" t="s">
        <v>25746</v>
      </c>
      <c r="Q4284" s="10" t="s">
        <v>31</v>
      </c>
      <c r="R4284" s="10" t="s">
        <v>64</v>
      </c>
      <c r="S4284" s="12" t="s">
        <v>25747</v>
      </c>
      <c r="T4284" s="10" t="s">
        <v>66</v>
      </c>
      <c r="U4284" s="12" t="s">
        <v>25731</v>
      </c>
      <c r="V4284" s="10" t="s">
        <v>25723</v>
      </c>
      <c r="W4284" s="10" t="s">
        <v>25722</v>
      </c>
      <c r="X4284" s="13" t="str">
        <f>HYPERLINK("https://my.pitchbook.com?p=415754-20P","View People Online")</f>
        <v>View People Online</v>
      </c>
    </row>
    <row r="4285">
      <c r="A4285" s="6" t="s">
        <v>26682</v>
      </c>
      <c r="B4285" s="6" t="s">
        <v>26683</v>
      </c>
      <c r="C4285" s="6" t="s">
        <v>5264</v>
      </c>
      <c r="D4285" s="6" t="s">
        <v>26684</v>
      </c>
      <c r="E4285" s="6" t="s">
        <v>25722</v>
      </c>
      <c r="F4285" s="6" t="s">
        <v>25723</v>
      </c>
      <c r="G4285" s="6" t="s">
        <v>26685</v>
      </c>
      <c r="H4285" s="7" t="s">
        <v>31</v>
      </c>
      <c r="I4285" s="7">
        <v>1.0</v>
      </c>
      <c r="J4285" s="7">
        <v>1.0</v>
      </c>
      <c r="K4285" s="7" t="s">
        <v>31</v>
      </c>
      <c r="L4285" s="8" t="s">
        <v>25725</v>
      </c>
      <c r="M4285" s="6" t="s">
        <v>26686</v>
      </c>
      <c r="N4285" s="6" t="s">
        <v>25744</v>
      </c>
      <c r="O4285" s="8" t="s">
        <v>25745</v>
      </c>
      <c r="P4285" s="6" t="s">
        <v>25746</v>
      </c>
      <c r="Q4285" s="6" t="s">
        <v>31</v>
      </c>
      <c r="R4285" s="6" t="s">
        <v>64</v>
      </c>
      <c r="S4285" s="8" t="s">
        <v>25747</v>
      </c>
      <c r="T4285" s="6" t="s">
        <v>66</v>
      </c>
      <c r="U4285" s="8" t="s">
        <v>25731</v>
      </c>
      <c r="V4285" s="6" t="s">
        <v>25723</v>
      </c>
      <c r="W4285" s="6" t="s">
        <v>25722</v>
      </c>
      <c r="X4285" s="9" t="str">
        <f>HYPERLINK("https://my.pitchbook.com?p=415755-19P","View People Online")</f>
        <v>View People Online</v>
      </c>
    </row>
    <row r="4286">
      <c r="A4286" s="2" t="s">
        <v>26687</v>
      </c>
      <c r="B4286" s="2" t="s">
        <v>26688</v>
      </c>
      <c r="C4286" s="2" t="s">
        <v>1013</v>
      </c>
      <c r="D4286" s="2" t="s">
        <v>1866</v>
      </c>
      <c r="E4286" s="2" t="s">
        <v>25722</v>
      </c>
      <c r="F4286" s="2" t="s">
        <v>896</v>
      </c>
      <c r="G4286" s="2" t="s">
        <v>26689</v>
      </c>
      <c r="H4286" s="3" t="s">
        <v>31</v>
      </c>
      <c r="I4286" s="3">
        <v>1.0</v>
      </c>
      <c r="J4286" s="3">
        <v>1.0</v>
      </c>
      <c r="K4286" s="3" t="s">
        <v>31</v>
      </c>
      <c r="L4286" s="4" t="s">
        <v>25725</v>
      </c>
      <c r="M4286" s="2" t="s">
        <v>31</v>
      </c>
      <c r="N4286" s="2" t="s">
        <v>25744</v>
      </c>
      <c r="O4286" s="4" t="s">
        <v>25745</v>
      </c>
      <c r="P4286" s="2" t="s">
        <v>25746</v>
      </c>
      <c r="Q4286" s="2" t="s">
        <v>31</v>
      </c>
      <c r="R4286" s="2" t="s">
        <v>64</v>
      </c>
      <c r="S4286" s="4" t="s">
        <v>25747</v>
      </c>
      <c r="T4286" s="2" t="s">
        <v>66</v>
      </c>
      <c r="U4286" s="4" t="s">
        <v>25731</v>
      </c>
      <c r="V4286" s="2" t="s">
        <v>25796</v>
      </c>
      <c r="W4286" s="2" t="s">
        <v>25722</v>
      </c>
      <c r="X4286" s="5" t="str">
        <f>HYPERLINK("https://my.pitchbook.com?p=415536-94P","View People Online")</f>
        <v>View People Online</v>
      </c>
    </row>
    <row r="4287">
      <c r="A4287" s="6" t="s">
        <v>26690</v>
      </c>
      <c r="B4287" s="6" t="s">
        <v>26691</v>
      </c>
      <c r="C4287" s="6" t="s">
        <v>26692</v>
      </c>
      <c r="D4287" s="6" t="s">
        <v>680</v>
      </c>
      <c r="E4287" s="6" t="s">
        <v>25722</v>
      </c>
      <c r="F4287" s="6" t="s">
        <v>25723</v>
      </c>
      <c r="G4287" s="6" t="s">
        <v>26693</v>
      </c>
      <c r="H4287" s="7" t="s">
        <v>31</v>
      </c>
      <c r="I4287" s="7">
        <v>1.0</v>
      </c>
      <c r="J4287" s="7">
        <v>1.0</v>
      </c>
      <c r="K4287" s="7" t="s">
        <v>31</v>
      </c>
      <c r="L4287" s="8" t="s">
        <v>25725</v>
      </c>
      <c r="M4287" s="6" t="s">
        <v>26694</v>
      </c>
      <c r="N4287" s="6" t="s">
        <v>25744</v>
      </c>
      <c r="O4287" s="8" t="s">
        <v>25745</v>
      </c>
      <c r="P4287" s="6" t="s">
        <v>25746</v>
      </c>
      <c r="Q4287" s="6" t="s">
        <v>31</v>
      </c>
      <c r="R4287" s="6" t="s">
        <v>64</v>
      </c>
      <c r="S4287" s="8" t="s">
        <v>25747</v>
      </c>
      <c r="T4287" s="6" t="s">
        <v>66</v>
      </c>
      <c r="U4287" s="8" t="s">
        <v>25731</v>
      </c>
      <c r="V4287" s="6" t="s">
        <v>25723</v>
      </c>
      <c r="W4287" s="6" t="s">
        <v>25722</v>
      </c>
      <c r="X4287" s="9" t="str">
        <f>HYPERLINK("https://my.pitchbook.com?p=415756-18P","View People Online")</f>
        <v>View People Online</v>
      </c>
    </row>
    <row r="4288">
      <c r="A4288" s="2" t="s">
        <v>26695</v>
      </c>
      <c r="B4288" s="2" t="s">
        <v>26696</v>
      </c>
      <c r="C4288" s="2" t="s">
        <v>1388</v>
      </c>
      <c r="D4288" s="2" t="s">
        <v>26697</v>
      </c>
      <c r="E4288" s="2" t="s">
        <v>25722</v>
      </c>
      <c r="F4288" s="2" t="s">
        <v>896</v>
      </c>
      <c r="G4288" s="2" t="s">
        <v>26698</v>
      </c>
      <c r="H4288" s="3" t="s">
        <v>31</v>
      </c>
      <c r="I4288" s="3">
        <v>1.0</v>
      </c>
      <c r="J4288" s="3">
        <v>1.0</v>
      </c>
      <c r="K4288" s="3" t="s">
        <v>31</v>
      </c>
      <c r="L4288" s="4" t="s">
        <v>25725</v>
      </c>
      <c r="M4288" s="2" t="s">
        <v>26699</v>
      </c>
      <c r="N4288" s="2" t="s">
        <v>25744</v>
      </c>
      <c r="O4288" s="4" t="s">
        <v>25745</v>
      </c>
      <c r="P4288" s="2" t="s">
        <v>25746</v>
      </c>
      <c r="Q4288" s="2" t="s">
        <v>31</v>
      </c>
      <c r="R4288" s="2" t="s">
        <v>64</v>
      </c>
      <c r="S4288" s="4" t="s">
        <v>25747</v>
      </c>
      <c r="T4288" s="2" t="s">
        <v>66</v>
      </c>
      <c r="U4288" s="4" t="s">
        <v>25731</v>
      </c>
      <c r="V4288" s="2" t="s">
        <v>896</v>
      </c>
      <c r="W4288" s="2" t="s">
        <v>25722</v>
      </c>
      <c r="X4288" s="5" t="str">
        <f>HYPERLINK("https://my.pitchbook.com?p=153929-62P","View People Online")</f>
        <v>View People Online</v>
      </c>
    </row>
    <row r="4289">
      <c r="A4289" s="6" t="s">
        <v>26700</v>
      </c>
      <c r="B4289" s="6" t="s">
        <v>26701</v>
      </c>
      <c r="C4289" s="6" t="s">
        <v>3716</v>
      </c>
      <c r="D4289" s="6" t="s">
        <v>8016</v>
      </c>
      <c r="E4289" s="6" t="s">
        <v>25722</v>
      </c>
      <c r="F4289" s="6" t="s">
        <v>3823</v>
      </c>
      <c r="G4289" s="6" t="s">
        <v>26702</v>
      </c>
      <c r="H4289" s="7" t="s">
        <v>31</v>
      </c>
      <c r="I4289" s="7">
        <v>2.0</v>
      </c>
      <c r="J4289" s="7">
        <v>2.0</v>
      </c>
      <c r="K4289" s="7" t="s">
        <v>31</v>
      </c>
      <c r="L4289" s="8" t="s">
        <v>25725</v>
      </c>
      <c r="M4289" s="6" t="s">
        <v>26703</v>
      </c>
      <c r="N4289" s="6" t="s">
        <v>25744</v>
      </c>
      <c r="O4289" s="8" t="s">
        <v>25745</v>
      </c>
      <c r="P4289" s="6" t="s">
        <v>25746</v>
      </c>
      <c r="Q4289" s="6" t="s">
        <v>31</v>
      </c>
      <c r="R4289" s="6" t="s">
        <v>64</v>
      </c>
      <c r="S4289" s="8" t="s">
        <v>25747</v>
      </c>
      <c r="T4289" s="6" t="s">
        <v>66</v>
      </c>
      <c r="U4289" s="8" t="s">
        <v>25731</v>
      </c>
      <c r="V4289" s="6" t="s">
        <v>26704</v>
      </c>
      <c r="W4289" s="6" t="s">
        <v>25722</v>
      </c>
      <c r="X4289" s="9" t="str">
        <f>HYPERLINK("https://my.pitchbook.com?p=49521-97P","View People Online")</f>
        <v>View People Online</v>
      </c>
    </row>
    <row r="4290">
      <c r="A4290" s="10" t="s">
        <v>26705</v>
      </c>
      <c r="B4290" s="10" t="s">
        <v>26706</v>
      </c>
      <c r="C4290" s="10" t="s">
        <v>3716</v>
      </c>
      <c r="D4290" s="10" t="s">
        <v>26707</v>
      </c>
      <c r="E4290" s="10" t="s">
        <v>25722</v>
      </c>
      <c r="F4290" s="10" t="s">
        <v>25723</v>
      </c>
      <c r="G4290" s="10" t="s">
        <v>26708</v>
      </c>
      <c r="H4290" s="11" t="s">
        <v>31</v>
      </c>
      <c r="I4290" s="11">
        <v>1.0</v>
      </c>
      <c r="J4290" s="11">
        <v>1.0</v>
      </c>
      <c r="K4290" s="11" t="s">
        <v>31</v>
      </c>
      <c r="L4290" s="12" t="s">
        <v>25725</v>
      </c>
      <c r="M4290" s="10" t="s">
        <v>31</v>
      </c>
      <c r="N4290" s="10" t="s">
        <v>25727</v>
      </c>
      <c r="O4290" s="12" t="s">
        <v>25728</v>
      </c>
      <c r="P4290" s="10" t="s">
        <v>25729</v>
      </c>
      <c r="Q4290" s="10" t="s">
        <v>31</v>
      </c>
      <c r="R4290" s="10" t="s">
        <v>64</v>
      </c>
      <c r="S4290" s="12" t="s">
        <v>25730</v>
      </c>
      <c r="T4290" s="10" t="s">
        <v>66</v>
      </c>
      <c r="U4290" s="12" t="s">
        <v>25731</v>
      </c>
      <c r="V4290" s="10" t="s">
        <v>25723</v>
      </c>
      <c r="W4290" s="10" t="s">
        <v>25722</v>
      </c>
      <c r="X4290" s="13" t="str">
        <f>HYPERLINK("https://my.pitchbook.com?p=415756-99P","View People Online")</f>
        <v>View People Online</v>
      </c>
    </row>
    <row r="4291">
      <c r="A4291" s="6" t="s">
        <v>26709</v>
      </c>
      <c r="B4291" s="6" t="s">
        <v>26710</v>
      </c>
      <c r="C4291" s="6" t="s">
        <v>6855</v>
      </c>
      <c r="D4291" s="6" t="s">
        <v>26711</v>
      </c>
      <c r="E4291" s="6" t="s">
        <v>25722</v>
      </c>
      <c r="F4291" s="6" t="s">
        <v>896</v>
      </c>
      <c r="G4291" s="6" t="s">
        <v>26712</v>
      </c>
      <c r="H4291" s="7" t="s">
        <v>31</v>
      </c>
      <c r="I4291" s="7">
        <v>1.0</v>
      </c>
      <c r="J4291" s="7">
        <v>1.0</v>
      </c>
      <c r="K4291" s="7" t="s">
        <v>31</v>
      </c>
      <c r="L4291" s="8" t="s">
        <v>25725</v>
      </c>
      <c r="M4291" s="6" t="s">
        <v>26713</v>
      </c>
      <c r="N4291" s="6" t="s">
        <v>25727</v>
      </c>
      <c r="O4291" s="8" t="s">
        <v>25728</v>
      </c>
      <c r="P4291" s="6" t="s">
        <v>25729</v>
      </c>
      <c r="Q4291" s="6" t="s">
        <v>31</v>
      </c>
      <c r="R4291" s="6" t="s">
        <v>64</v>
      </c>
      <c r="S4291" s="8" t="s">
        <v>25730</v>
      </c>
      <c r="T4291" s="6" t="s">
        <v>66</v>
      </c>
      <c r="U4291" s="8" t="s">
        <v>25731</v>
      </c>
      <c r="V4291" s="6" t="s">
        <v>25796</v>
      </c>
      <c r="W4291" s="6" t="s">
        <v>25722</v>
      </c>
      <c r="X4291" s="9" t="str">
        <f>HYPERLINK("https://my.pitchbook.com?p=415537-66P","View People Online")</f>
        <v>View People Online</v>
      </c>
    </row>
    <row r="4292">
      <c r="A4292" s="2" t="s">
        <v>26714</v>
      </c>
      <c r="B4292" s="2" t="s">
        <v>26715</v>
      </c>
      <c r="C4292" s="2" t="s">
        <v>26716</v>
      </c>
      <c r="D4292" s="2" t="s">
        <v>26717</v>
      </c>
      <c r="E4292" s="2" t="s">
        <v>25722</v>
      </c>
      <c r="F4292" s="2" t="s">
        <v>25723</v>
      </c>
      <c r="G4292" s="2" t="s">
        <v>26718</v>
      </c>
      <c r="H4292" s="3" t="s">
        <v>31</v>
      </c>
      <c r="I4292" s="3">
        <v>1.0</v>
      </c>
      <c r="J4292" s="3">
        <v>1.0</v>
      </c>
      <c r="K4292" s="3" t="s">
        <v>31</v>
      </c>
      <c r="L4292" s="4" t="s">
        <v>25725</v>
      </c>
      <c r="M4292" s="2" t="s">
        <v>26719</v>
      </c>
      <c r="N4292" s="2" t="s">
        <v>25727</v>
      </c>
      <c r="O4292" s="4" t="s">
        <v>25728</v>
      </c>
      <c r="P4292" s="2" t="s">
        <v>25729</v>
      </c>
      <c r="Q4292" s="2" t="s">
        <v>31</v>
      </c>
      <c r="R4292" s="2" t="s">
        <v>64</v>
      </c>
      <c r="S4292" s="4" t="s">
        <v>25730</v>
      </c>
      <c r="T4292" s="2" t="s">
        <v>66</v>
      </c>
      <c r="U4292" s="4" t="s">
        <v>25731</v>
      </c>
      <c r="V4292" s="2" t="s">
        <v>25723</v>
      </c>
      <c r="W4292" s="2" t="s">
        <v>25722</v>
      </c>
      <c r="X4292" s="5" t="str">
        <f>HYPERLINK("https://my.pitchbook.com?p=415757-35P","View People Online")</f>
        <v>View People Online</v>
      </c>
    </row>
    <row r="4293">
      <c r="A4293" s="6" t="s">
        <v>26720</v>
      </c>
      <c r="B4293" s="6" t="s">
        <v>26721</v>
      </c>
      <c r="C4293" s="6" t="s">
        <v>2451</v>
      </c>
      <c r="D4293" s="6" t="s">
        <v>8466</v>
      </c>
      <c r="E4293" s="6" t="s">
        <v>25722</v>
      </c>
      <c r="F4293" s="6" t="s">
        <v>896</v>
      </c>
      <c r="G4293" s="6" t="s">
        <v>26722</v>
      </c>
      <c r="H4293" s="7" t="s">
        <v>31</v>
      </c>
      <c r="I4293" s="7">
        <v>1.0</v>
      </c>
      <c r="J4293" s="7">
        <v>1.0</v>
      </c>
      <c r="K4293" s="7" t="s">
        <v>31</v>
      </c>
      <c r="L4293" s="8" t="s">
        <v>25725</v>
      </c>
      <c r="M4293" s="6" t="s">
        <v>26723</v>
      </c>
      <c r="N4293" s="6" t="s">
        <v>25744</v>
      </c>
      <c r="O4293" s="8" t="s">
        <v>25745</v>
      </c>
      <c r="P4293" s="6" t="s">
        <v>25746</v>
      </c>
      <c r="Q4293" s="6" t="s">
        <v>31</v>
      </c>
      <c r="R4293" s="6" t="s">
        <v>64</v>
      </c>
      <c r="S4293" s="8" t="s">
        <v>25747</v>
      </c>
      <c r="T4293" s="6" t="s">
        <v>66</v>
      </c>
      <c r="U4293" s="8" t="s">
        <v>25731</v>
      </c>
      <c r="V4293" s="6" t="s">
        <v>896</v>
      </c>
      <c r="W4293" s="6" t="s">
        <v>25722</v>
      </c>
      <c r="X4293" s="9" t="str">
        <f>HYPERLINK("https://my.pitchbook.com?p=14503-42P","View People Online")</f>
        <v>View People Online</v>
      </c>
    </row>
    <row r="4294">
      <c r="A4294" s="2" t="s">
        <v>26724</v>
      </c>
      <c r="B4294" s="2" t="s">
        <v>26725</v>
      </c>
      <c r="C4294" s="2" t="s">
        <v>26726</v>
      </c>
      <c r="D4294" s="2" t="s">
        <v>18456</v>
      </c>
      <c r="E4294" s="2" t="s">
        <v>25722</v>
      </c>
      <c r="F4294" s="2" t="s">
        <v>25723</v>
      </c>
      <c r="G4294" s="2" t="s">
        <v>26727</v>
      </c>
      <c r="H4294" s="3" t="s">
        <v>31</v>
      </c>
      <c r="I4294" s="3">
        <v>1.0</v>
      </c>
      <c r="J4294" s="3">
        <v>1.0</v>
      </c>
      <c r="K4294" s="3" t="s">
        <v>31</v>
      </c>
      <c r="L4294" s="4" t="s">
        <v>25725</v>
      </c>
      <c r="M4294" s="2" t="s">
        <v>26728</v>
      </c>
      <c r="N4294" s="2" t="s">
        <v>25727</v>
      </c>
      <c r="O4294" s="4" t="s">
        <v>25728</v>
      </c>
      <c r="P4294" s="2" t="s">
        <v>25729</v>
      </c>
      <c r="Q4294" s="2" t="s">
        <v>31</v>
      </c>
      <c r="R4294" s="2" t="s">
        <v>64</v>
      </c>
      <c r="S4294" s="4" t="s">
        <v>25730</v>
      </c>
      <c r="T4294" s="2" t="s">
        <v>66</v>
      </c>
      <c r="U4294" s="4" t="s">
        <v>25731</v>
      </c>
      <c r="V4294" s="2" t="s">
        <v>25723</v>
      </c>
      <c r="W4294" s="2" t="s">
        <v>25722</v>
      </c>
      <c r="X4294" s="5" t="str">
        <f>HYPERLINK("https://my.pitchbook.com?p=377070-76P","View People Online")</f>
        <v>View People Online</v>
      </c>
    </row>
    <row r="4295">
      <c r="A4295" s="6" t="s">
        <v>26729</v>
      </c>
      <c r="B4295" s="6" t="s">
        <v>26730</v>
      </c>
      <c r="C4295" s="6" t="s">
        <v>21727</v>
      </c>
      <c r="D4295" s="6" t="s">
        <v>26731</v>
      </c>
      <c r="E4295" s="6" t="s">
        <v>25722</v>
      </c>
      <c r="F4295" s="6" t="s">
        <v>896</v>
      </c>
      <c r="G4295" s="6" t="s">
        <v>26732</v>
      </c>
      <c r="H4295" s="7" t="s">
        <v>31</v>
      </c>
      <c r="I4295" s="7">
        <v>1.0</v>
      </c>
      <c r="J4295" s="7">
        <v>1.0</v>
      </c>
      <c r="K4295" s="7" t="s">
        <v>31</v>
      </c>
      <c r="L4295" s="8" t="s">
        <v>25725</v>
      </c>
      <c r="M4295" s="6" t="s">
        <v>26733</v>
      </c>
      <c r="N4295" s="6" t="s">
        <v>25744</v>
      </c>
      <c r="O4295" s="8" t="s">
        <v>25745</v>
      </c>
      <c r="P4295" s="6" t="s">
        <v>25746</v>
      </c>
      <c r="Q4295" s="6" t="s">
        <v>31</v>
      </c>
      <c r="R4295" s="6" t="s">
        <v>64</v>
      </c>
      <c r="S4295" s="8" t="s">
        <v>25747</v>
      </c>
      <c r="T4295" s="6" t="s">
        <v>66</v>
      </c>
      <c r="U4295" s="8" t="s">
        <v>25731</v>
      </c>
      <c r="V4295" s="6" t="s">
        <v>25796</v>
      </c>
      <c r="W4295" s="6" t="s">
        <v>25722</v>
      </c>
      <c r="X4295" s="9" t="str">
        <f>HYPERLINK("https://my.pitchbook.com?p=126126-91P","View People Online")</f>
        <v>View People Online</v>
      </c>
    </row>
    <row r="4296">
      <c r="A4296" s="10" t="s">
        <v>26734</v>
      </c>
      <c r="B4296" s="10" t="s">
        <v>26735</v>
      </c>
      <c r="C4296" s="10" t="s">
        <v>1042</v>
      </c>
      <c r="D4296" s="10" t="s">
        <v>17473</v>
      </c>
      <c r="E4296" s="10" t="s">
        <v>25722</v>
      </c>
      <c r="F4296" s="10" t="s">
        <v>896</v>
      </c>
      <c r="G4296" s="10" t="s">
        <v>26736</v>
      </c>
      <c r="H4296" s="11" t="s">
        <v>31</v>
      </c>
      <c r="I4296" s="11">
        <v>1.0</v>
      </c>
      <c r="J4296" s="11">
        <v>1.0</v>
      </c>
      <c r="K4296" s="11" t="s">
        <v>31</v>
      </c>
      <c r="L4296" s="12" t="s">
        <v>25725</v>
      </c>
      <c r="M4296" s="10" t="s">
        <v>26737</v>
      </c>
      <c r="N4296" s="10" t="s">
        <v>25744</v>
      </c>
      <c r="O4296" s="12" t="s">
        <v>25745</v>
      </c>
      <c r="P4296" s="10" t="s">
        <v>25746</v>
      </c>
      <c r="Q4296" s="10" t="s">
        <v>31</v>
      </c>
      <c r="R4296" s="10" t="s">
        <v>64</v>
      </c>
      <c r="S4296" s="12" t="s">
        <v>25747</v>
      </c>
      <c r="T4296" s="10" t="s">
        <v>66</v>
      </c>
      <c r="U4296" s="12" t="s">
        <v>25731</v>
      </c>
      <c r="V4296" s="10" t="s">
        <v>25796</v>
      </c>
      <c r="W4296" s="10" t="s">
        <v>25722</v>
      </c>
      <c r="X4296" s="13" t="str">
        <f>HYPERLINK("https://my.pitchbook.com?p=415538-02P","View People Online")</f>
        <v>View People Online</v>
      </c>
    </row>
    <row r="4297">
      <c r="A4297" s="6" t="s">
        <v>26738</v>
      </c>
      <c r="B4297" s="6" t="s">
        <v>26739</v>
      </c>
      <c r="C4297" s="6" t="s">
        <v>26740</v>
      </c>
      <c r="D4297" s="6" t="s">
        <v>6290</v>
      </c>
      <c r="E4297" s="6" t="s">
        <v>25722</v>
      </c>
      <c r="F4297" s="6" t="s">
        <v>825</v>
      </c>
      <c r="G4297" s="6" t="s">
        <v>26741</v>
      </c>
      <c r="H4297" s="7" t="s">
        <v>31</v>
      </c>
      <c r="I4297" s="7">
        <v>1.0</v>
      </c>
      <c r="J4297" s="7">
        <v>1.0</v>
      </c>
      <c r="K4297" s="7" t="s">
        <v>31</v>
      </c>
      <c r="L4297" s="8" t="s">
        <v>25725</v>
      </c>
      <c r="M4297" s="6" t="s">
        <v>26742</v>
      </c>
      <c r="N4297" s="6" t="s">
        <v>25744</v>
      </c>
      <c r="O4297" s="8" t="s">
        <v>25745</v>
      </c>
      <c r="P4297" s="6" t="s">
        <v>25746</v>
      </c>
      <c r="Q4297" s="6" t="s">
        <v>31</v>
      </c>
      <c r="R4297" s="6" t="s">
        <v>64</v>
      </c>
      <c r="S4297" s="8" t="s">
        <v>25747</v>
      </c>
      <c r="T4297" s="6" t="s">
        <v>66</v>
      </c>
      <c r="U4297" s="8" t="s">
        <v>25731</v>
      </c>
      <c r="V4297" s="6" t="s">
        <v>26743</v>
      </c>
      <c r="W4297" s="6" t="s">
        <v>25722</v>
      </c>
      <c r="X4297" s="9" t="str">
        <f>HYPERLINK("https://my.pitchbook.com?p=153931-06P","View People Online")</f>
        <v>View People Online</v>
      </c>
    </row>
    <row r="4298">
      <c r="A4298" s="10" t="s">
        <v>26744</v>
      </c>
      <c r="B4298" s="10" t="s">
        <v>26745</v>
      </c>
      <c r="C4298" s="10" t="s">
        <v>26746</v>
      </c>
      <c r="D4298" s="10" t="s">
        <v>18701</v>
      </c>
      <c r="E4298" s="10" t="s">
        <v>25722</v>
      </c>
      <c r="F4298" s="10" t="s">
        <v>25723</v>
      </c>
      <c r="G4298" s="10" t="s">
        <v>26747</v>
      </c>
      <c r="H4298" s="11" t="s">
        <v>31</v>
      </c>
      <c r="I4298" s="11">
        <v>1.0</v>
      </c>
      <c r="J4298" s="11">
        <v>1.0</v>
      </c>
      <c r="K4298" s="11" t="s">
        <v>31</v>
      </c>
      <c r="L4298" s="12" t="s">
        <v>25725</v>
      </c>
      <c r="M4298" s="10" t="s">
        <v>26748</v>
      </c>
      <c r="N4298" s="10" t="s">
        <v>25744</v>
      </c>
      <c r="O4298" s="12" t="s">
        <v>25745</v>
      </c>
      <c r="P4298" s="10" t="s">
        <v>25746</v>
      </c>
      <c r="Q4298" s="10" t="s">
        <v>31</v>
      </c>
      <c r="R4298" s="10" t="s">
        <v>64</v>
      </c>
      <c r="S4298" s="12" t="s">
        <v>25747</v>
      </c>
      <c r="T4298" s="10" t="s">
        <v>66</v>
      </c>
      <c r="U4298" s="12" t="s">
        <v>25731</v>
      </c>
      <c r="V4298" s="10" t="s">
        <v>25723</v>
      </c>
      <c r="W4298" s="10" t="s">
        <v>25722</v>
      </c>
      <c r="X4298" s="13" t="str">
        <f>HYPERLINK("https://my.pitchbook.com?p=126126-82P","View People Online")</f>
        <v>View People Online</v>
      </c>
    </row>
    <row r="4299">
      <c r="A4299" s="6" t="s">
        <v>26749</v>
      </c>
      <c r="B4299" s="6" t="s">
        <v>26750</v>
      </c>
      <c r="C4299" s="6" t="s">
        <v>26751</v>
      </c>
      <c r="D4299" s="6" t="s">
        <v>26122</v>
      </c>
      <c r="E4299" s="6" t="s">
        <v>25722</v>
      </c>
      <c r="F4299" s="6" t="s">
        <v>896</v>
      </c>
      <c r="G4299" s="6" t="s">
        <v>26752</v>
      </c>
      <c r="H4299" s="7" t="s">
        <v>31</v>
      </c>
      <c r="I4299" s="7">
        <v>1.0</v>
      </c>
      <c r="J4299" s="7">
        <v>1.0</v>
      </c>
      <c r="K4299" s="7" t="s">
        <v>31</v>
      </c>
      <c r="L4299" s="8" t="s">
        <v>25725</v>
      </c>
      <c r="M4299" s="6" t="s">
        <v>26753</v>
      </c>
      <c r="N4299" s="6" t="s">
        <v>25744</v>
      </c>
      <c r="O4299" s="8" t="s">
        <v>25745</v>
      </c>
      <c r="P4299" s="6" t="s">
        <v>25746</v>
      </c>
      <c r="Q4299" s="6" t="s">
        <v>31</v>
      </c>
      <c r="R4299" s="6" t="s">
        <v>64</v>
      </c>
      <c r="S4299" s="8" t="s">
        <v>25747</v>
      </c>
      <c r="T4299" s="6" t="s">
        <v>66</v>
      </c>
      <c r="U4299" s="8" t="s">
        <v>25731</v>
      </c>
      <c r="V4299" s="6" t="s">
        <v>896</v>
      </c>
      <c r="W4299" s="6" t="s">
        <v>25722</v>
      </c>
      <c r="X4299" s="9" t="str">
        <f>HYPERLINK("https://my.pitchbook.com?p=126126-37P","View People Online")</f>
        <v>View People Online</v>
      </c>
    </row>
    <row r="4300">
      <c r="A4300" s="2" t="s">
        <v>26754</v>
      </c>
      <c r="B4300" s="2" t="s">
        <v>26755</v>
      </c>
      <c r="C4300" s="2" t="s">
        <v>26756</v>
      </c>
      <c r="D4300" s="2" t="s">
        <v>1267</v>
      </c>
      <c r="E4300" s="2" t="s">
        <v>25722</v>
      </c>
      <c r="F4300" s="2" t="s">
        <v>25723</v>
      </c>
      <c r="G4300" s="2" t="s">
        <v>26757</v>
      </c>
      <c r="H4300" s="3" t="s">
        <v>31</v>
      </c>
      <c r="I4300" s="3">
        <v>1.0</v>
      </c>
      <c r="J4300" s="3">
        <v>1.0</v>
      </c>
      <c r="K4300" s="3" t="s">
        <v>31</v>
      </c>
      <c r="L4300" s="4" t="s">
        <v>25725</v>
      </c>
      <c r="M4300" s="2" t="s">
        <v>26758</v>
      </c>
      <c r="N4300" s="2" t="s">
        <v>25727</v>
      </c>
      <c r="O4300" s="4" t="s">
        <v>25728</v>
      </c>
      <c r="P4300" s="2" t="s">
        <v>25729</v>
      </c>
      <c r="Q4300" s="2" t="s">
        <v>31</v>
      </c>
      <c r="R4300" s="2" t="s">
        <v>64</v>
      </c>
      <c r="S4300" s="4" t="s">
        <v>25730</v>
      </c>
      <c r="T4300" s="2" t="s">
        <v>66</v>
      </c>
      <c r="U4300" s="4" t="s">
        <v>25731</v>
      </c>
      <c r="V4300" s="2" t="s">
        <v>25723</v>
      </c>
      <c r="W4300" s="2" t="s">
        <v>25722</v>
      </c>
      <c r="X4300" s="5" t="str">
        <f>HYPERLINK("https://my.pitchbook.com?p=415759-60P","View People Online")</f>
        <v>View People Online</v>
      </c>
    </row>
    <row r="4301">
      <c r="A4301" s="6" t="s">
        <v>26759</v>
      </c>
      <c r="B4301" s="6" t="s">
        <v>26760</v>
      </c>
      <c r="C4301" s="6" t="s">
        <v>7366</v>
      </c>
      <c r="D4301" s="6" t="s">
        <v>10402</v>
      </c>
      <c r="E4301" s="6" t="s">
        <v>25722</v>
      </c>
      <c r="F4301" s="6" t="s">
        <v>25723</v>
      </c>
      <c r="G4301" s="6" t="s">
        <v>26761</v>
      </c>
      <c r="H4301" s="7" t="s">
        <v>31</v>
      </c>
      <c r="I4301" s="7">
        <v>1.0</v>
      </c>
      <c r="J4301" s="7">
        <v>1.0</v>
      </c>
      <c r="K4301" s="7" t="s">
        <v>31</v>
      </c>
      <c r="L4301" s="8" t="s">
        <v>25725</v>
      </c>
      <c r="M4301" s="6" t="s">
        <v>26762</v>
      </c>
      <c r="N4301" s="6" t="s">
        <v>25727</v>
      </c>
      <c r="O4301" s="8" t="s">
        <v>25728</v>
      </c>
      <c r="P4301" s="6" t="s">
        <v>25729</v>
      </c>
      <c r="Q4301" s="6" t="s">
        <v>31</v>
      </c>
      <c r="R4301" s="6" t="s">
        <v>64</v>
      </c>
      <c r="S4301" s="8" t="s">
        <v>25730</v>
      </c>
      <c r="T4301" s="6" t="s">
        <v>66</v>
      </c>
      <c r="U4301" s="8" t="s">
        <v>25731</v>
      </c>
      <c r="V4301" s="6" t="s">
        <v>25723</v>
      </c>
      <c r="W4301" s="6" t="s">
        <v>25722</v>
      </c>
      <c r="X4301" s="9" t="str">
        <f>HYPERLINK("https://my.pitchbook.com?p=415760-59P","View People Online")</f>
        <v>View People Online</v>
      </c>
    </row>
    <row r="4302">
      <c r="A4302" s="10" t="s">
        <v>26763</v>
      </c>
      <c r="B4302" s="10" t="s">
        <v>26764</v>
      </c>
      <c r="C4302" s="10" t="s">
        <v>22105</v>
      </c>
      <c r="D4302" s="10" t="s">
        <v>1830</v>
      </c>
      <c r="E4302" s="10" t="s">
        <v>25722</v>
      </c>
      <c r="F4302" s="10" t="s">
        <v>25723</v>
      </c>
      <c r="G4302" s="10" t="s">
        <v>26765</v>
      </c>
      <c r="H4302" s="11" t="s">
        <v>31</v>
      </c>
      <c r="I4302" s="11">
        <v>1.0</v>
      </c>
      <c r="J4302" s="11">
        <v>1.0</v>
      </c>
      <c r="K4302" s="11" t="s">
        <v>31</v>
      </c>
      <c r="L4302" s="12" t="s">
        <v>25725</v>
      </c>
      <c r="M4302" s="10" t="s">
        <v>26766</v>
      </c>
      <c r="N4302" s="10" t="s">
        <v>25727</v>
      </c>
      <c r="O4302" s="12" t="s">
        <v>25728</v>
      </c>
      <c r="P4302" s="10" t="s">
        <v>25729</v>
      </c>
      <c r="Q4302" s="10" t="s">
        <v>31</v>
      </c>
      <c r="R4302" s="10" t="s">
        <v>64</v>
      </c>
      <c r="S4302" s="12" t="s">
        <v>25730</v>
      </c>
      <c r="T4302" s="10" t="s">
        <v>66</v>
      </c>
      <c r="U4302" s="12" t="s">
        <v>25731</v>
      </c>
      <c r="V4302" s="10" t="s">
        <v>25723</v>
      </c>
      <c r="W4302" s="10" t="s">
        <v>25722</v>
      </c>
      <c r="X4302" s="13" t="str">
        <f>HYPERLINK("https://my.pitchbook.com?p=441454-24P","View People Online")</f>
        <v>View People Online</v>
      </c>
    </row>
    <row r="4303">
      <c r="A4303" s="14" t="s">
        <v>26767</v>
      </c>
      <c r="B4303" s="14" t="s">
        <v>26768</v>
      </c>
      <c r="C4303" s="14" t="s">
        <v>4668</v>
      </c>
      <c r="D4303" s="14" t="s">
        <v>26769</v>
      </c>
      <c r="E4303" s="14" t="s">
        <v>25722</v>
      </c>
      <c r="F4303" s="14" t="s">
        <v>25723</v>
      </c>
      <c r="G4303" s="14" t="s">
        <v>26770</v>
      </c>
      <c r="H4303" s="15" t="s">
        <v>31</v>
      </c>
      <c r="I4303" s="15">
        <v>1.0</v>
      </c>
      <c r="J4303" s="15">
        <v>1.0</v>
      </c>
      <c r="K4303" s="15" t="s">
        <v>31</v>
      </c>
      <c r="L4303" s="16" t="s">
        <v>25725</v>
      </c>
      <c r="M4303" s="14" t="s">
        <v>26771</v>
      </c>
      <c r="N4303" s="14" t="s">
        <v>25744</v>
      </c>
      <c r="O4303" s="16" t="s">
        <v>25745</v>
      </c>
      <c r="P4303" s="14" t="s">
        <v>25746</v>
      </c>
      <c r="Q4303" s="14" t="s">
        <v>31</v>
      </c>
      <c r="R4303" s="14" t="s">
        <v>64</v>
      </c>
      <c r="S4303" s="16" t="s">
        <v>25747</v>
      </c>
      <c r="T4303" s="14" t="s">
        <v>66</v>
      </c>
      <c r="U4303" s="16" t="s">
        <v>25731</v>
      </c>
      <c r="V4303" s="14" t="s">
        <v>25723</v>
      </c>
      <c r="W4303" s="14" t="s">
        <v>25722</v>
      </c>
      <c r="X4303" s="17" t="str">
        <f>HYPERLINK("https://my.pitchbook.com?p=126126-28P","View People Online")</f>
        <v>View People Online</v>
      </c>
    </row>
    <row r="4304">
      <c r="A4304" s="10" t="s">
        <v>26772</v>
      </c>
      <c r="B4304" s="10" t="s">
        <v>26773</v>
      </c>
      <c r="C4304" s="10" t="s">
        <v>9639</v>
      </c>
      <c r="D4304" s="10" t="s">
        <v>26039</v>
      </c>
      <c r="E4304" s="10" t="s">
        <v>25722</v>
      </c>
      <c r="F4304" s="10" t="s">
        <v>25723</v>
      </c>
      <c r="G4304" s="10" t="s">
        <v>26774</v>
      </c>
      <c r="H4304" s="11" t="s">
        <v>31</v>
      </c>
      <c r="I4304" s="11">
        <v>1.0</v>
      </c>
      <c r="J4304" s="11">
        <v>1.0</v>
      </c>
      <c r="K4304" s="11" t="s">
        <v>31</v>
      </c>
      <c r="L4304" s="12" t="s">
        <v>25725</v>
      </c>
      <c r="M4304" s="10" t="s">
        <v>26775</v>
      </c>
      <c r="N4304" s="10" t="s">
        <v>25727</v>
      </c>
      <c r="O4304" s="12" t="s">
        <v>25728</v>
      </c>
      <c r="P4304" s="10" t="s">
        <v>25729</v>
      </c>
      <c r="Q4304" s="10" t="s">
        <v>31</v>
      </c>
      <c r="R4304" s="10" t="s">
        <v>64</v>
      </c>
      <c r="S4304" s="12" t="s">
        <v>25730</v>
      </c>
      <c r="T4304" s="10" t="s">
        <v>66</v>
      </c>
      <c r="U4304" s="12" t="s">
        <v>25731</v>
      </c>
      <c r="V4304" s="10" t="s">
        <v>25723</v>
      </c>
      <c r="W4304" s="10" t="s">
        <v>25722</v>
      </c>
      <c r="X4304" s="13" t="str">
        <f>HYPERLINK("https://my.pitchbook.com?p=415761-40P","View People Online")</f>
        <v>View People Online</v>
      </c>
    </row>
    <row r="4305">
      <c r="A4305" s="6" t="s">
        <v>26776</v>
      </c>
      <c r="B4305" s="6" t="s">
        <v>26777</v>
      </c>
      <c r="C4305" s="6" t="s">
        <v>6199</v>
      </c>
      <c r="D4305" s="6" t="s">
        <v>26778</v>
      </c>
      <c r="E4305" s="6" t="s">
        <v>25722</v>
      </c>
      <c r="F4305" s="6" t="s">
        <v>10997</v>
      </c>
      <c r="G4305" s="6" t="s">
        <v>26779</v>
      </c>
      <c r="H4305" s="7">
        <v>1.0</v>
      </c>
      <c r="I4305" s="7">
        <v>1.0</v>
      </c>
      <c r="J4305" s="7">
        <v>1.0</v>
      </c>
      <c r="K4305" s="7" t="s">
        <v>31</v>
      </c>
      <c r="L4305" s="8" t="s">
        <v>25725</v>
      </c>
      <c r="M4305" s="6" t="s">
        <v>31</v>
      </c>
      <c r="N4305" s="6" t="s">
        <v>25727</v>
      </c>
      <c r="O4305" s="8" t="s">
        <v>25728</v>
      </c>
      <c r="P4305" s="6" t="s">
        <v>25729</v>
      </c>
      <c r="Q4305" s="6" t="s">
        <v>31</v>
      </c>
      <c r="R4305" s="6" t="s">
        <v>64</v>
      </c>
      <c r="S4305" s="8" t="s">
        <v>25730</v>
      </c>
      <c r="T4305" s="6" t="s">
        <v>66</v>
      </c>
      <c r="U4305" s="8" t="s">
        <v>25731</v>
      </c>
      <c r="V4305" s="6" t="s">
        <v>26780</v>
      </c>
      <c r="W4305" s="6" t="s">
        <v>25722</v>
      </c>
      <c r="X4305" s="9" t="str">
        <f>HYPERLINK("https://my.pitchbook.com?p=441411-94P","View People Online")</f>
        <v>View People Online</v>
      </c>
    </row>
    <row r="4306">
      <c r="A4306" s="10" t="s">
        <v>26781</v>
      </c>
      <c r="B4306" s="10" t="s">
        <v>26782</v>
      </c>
      <c r="C4306" s="10" t="s">
        <v>4679</v>
      </c>
      <c r="D4306" s="10" t="s">
        <v>3228</v>
      </c>
      <c r="E4306" s="10" t="s">
        <v>25722</v>
      </c>
      <c r="F4306" s="10" t="s">
        <v>25723</v>
      </c>
      <c r="G4306" s="10" t="s">
        <v>26783</v>
      </c>
      <c r="H4306" s="11" t="s">
        <v>31</v>
      </c>
      <c r="I4306" s="11">
        <v>1.0</v>
      </c>
      <c r="J4306" s="11">
        <v>1.0</v>
      </c>
      <c r="K4306" s="11" t="s">
        <v>31</v>
      </c>
      <c r="L4306" s="12" t="s">
        <v>25725</v>
      </c>
      <c r="M4306" s="10" t="s">
        <v>26784</v>
      </c>
      <c r="N4306" s="10" t="s">
        <v>25744</v>
      </c>
      <c r="O4306" s="12" t="s">
        <v>25745</v>
      </c>
      <c r="P4306" s="10" t="s">
        <v>25746</v>
      </c>
      <c r="Q4306" s="10" t="s">
        <v>31</v>
      </c>
      <c r="R4306" s="10" t="s">
        <v>64</v>
      </c>
      <c r="S4306" s="12" t="s">
        <v>25747</v>
      </c>
      <c r="T4306" s="10" t="s">
        <v>66</v>
      </c>
      <c r="U4306" s="12" t="s">
        <v>25731</v>
      </c>
      <c r="V4306" s="10" t="s">
        <v>25723</v>
      </c>
      <c r="W4306" s="10" t="s">
        <v>25722</v>
      </c>
      <c r="X4306" s="13" t="str">
        <f>HYPERLINK("https://my.pitchbook.com?p=415763-83P","View People Online")</f>
        <v>View People Online</v>
      </c>
    </row>
    <row r="4307">
      <c r="A4307" s="14" t="s">
        <v>26785</v>
      </c>
      <c r="B4307" s="14" t="s">
        <v>26786</v>
      </c>
      <c r="C4307" s="14" t="s">
        <v>4692</v>
      </c>
      <c r="D4307" s="14" t="s">
        <v>4345</v>
      </c>
      <c r="E4307" s="14" t="s">
        <v>25722</v>
      </c>
      <c r="F4307" s="14" t="s">
        <v>25723</v>
      </c>
      <c r="G4307" s="14" t="s">
        <v>26787</v>
      </c>
      <c r="H4307" s="15" t="s">
        <v>31</v>
      </c>
      <c r="I4307" s="15">
        <v>1.0</v>
      </c>
      <c r="J4307" s="15">
        <v>1.0</v>
      </c>
      <c r="K4307" s="15" t="s">
        <v>31</v>
      </c>
      <c r="L4307" s="16" t="s">
        <v>25725</v>
      </c>
      <c r="M4307" s="14" t="s">
        <v>31</v>
      </c>
      <c r="N4307" s="14" t="s">
        <v>25744</v>
      </c>
      <c r="O4307" s="16" t="s">
        <v>25745</v>
      </c>
      <c r="P4307" s="14" t="s">
        <v>25746</v>
      </c>
      <c r="Q4307" s="14" t="s">
        <v>31</v>
      </c>
      <c r="R4307" s="14" t="s">
        <v>64</v>
      </c>
      <c r="S4307" s="16" t="s">
        <v>25747</v>
      </c>
      <c r="T4307" s="14" t="s">
        <v>66</v>
      </c>
      <c r="U4307" s="16" t="s">
        <v>25731</v>
      </c>
      <c r="V4307" s="14" t="s">
        <v>25723</v>
      </c>
      <c r="W4307" s="14" t="s">
        <v>25722</v>
      </c>
      <c r="X4307" s="17" t="str">
        <f>HYPERLINK("https://my.pitchbook.com?p=415764-46P","View People Online")</f>
        <v>View People Online</v>
      </c>
    </row>
    <row r="4308">
      <c r="A4308" s="10" t="s">
        <v>26788</v>
      </c>
      <c r="B4308" s="10" t="s">
        <v>26789</v>
      </c>
      <c r="C4308" s="10" t="s">
        <v>4692</v>
      </c>
      <c r="D4308" s="10" t="s">
        <v>26790</v>
      </c>
      <c r="E4308" s="10" t="s">
        <v>25722</v>
      </c>
      <c r="F4308" s="10" t="s">
        <v>25723</v>
      </c>
      <c r="G4308" s="10" t="s">
        <v>26791</v>
      </c>
      <c r="H4308" s="11" t="s">
        <v>31</v>
      </c>
      <c r="I4308" s="11">
        <v>1.0</v>
      </c>
      <c r="J4308" s="11">
        <v>1.0</v>
      </c>
      <c r="K4308" s="11" t="s">
        <v>31</v>
      </c>
      <c r="L4308" s="12" t="s">
        <v>25725</v>
      </c>
      <c r="M4308" s="10" t="s">
        <v>26792</v>
      </c>
      <c r="N4308" s="10" t="s">
        <v>25744</v>
      </c>
      <c r="O4308" s="12" t="s">
        <v>25745</v>
      </c>
      <c r="P4308" s="10" t="s">
        <v>25746</v>
      </c>
      <c r="Q4308" s="10" t="s">
        <v>31</v>
      </c>
      <c r="R4308" s="10" t="s">
        <v>64</v>
      </c>
      <c r="S4308" s="12" t="s">
        <v>25747</v>
      </c>
      <c r="T4308" s="10" t="s">
        <v>66</v>
      </c>
      <c r="U4308" s="12" t="s">
        <v>25731</v>
      </c>
      <c r="V4308" s="10" t="s">
        <v>25723</v>
      </c>
      <c r="W4308" s="10" t="s">
        <v>25722</v>
      </c>
      <c r="X4308" s="13" t="str">
        <f>HYPERLINK("https://my.pitchbook.com?p=415765-09P","View People Online")</f>
        <v>View People Online</v>
      </c>
    </row>
    <row r="4309">
      <c r="A4309" s="14" t="s">
        <v>26793</v>
      </c>
      <c r="B4309" s="14" t="s">
        <v>26794</v>
      </c>
      <c r="C4309" s="14" t="s">
        <v>562</v>
      </c>
      <c r="D4309" s="14" t="s">
        <v>26795</v>
      </c>
      <c r="E4309" s="14" t="s">
        <v>25722</v>
      </c>
      <c r="F4309" s="14" t="s">
        <v>25723</v>
      </c>
      <c r="G4309" s="14" t="s">
        <v>26796</v>
      </c>
      <c r="H4309" s="15" t="s">
        <v>31</v>
      </c>
      <c r="I4309" s="15">
        <v>1.0</v>
      </c>
      <c r="J4309" s="15">
        <v>1.0</v>
      </c>
      <c r="K4309" s="15" t="s">
        <v>31</v>
      </c>
      <c r="L4309" s="16" t="s">
        <v>25725</v>
      </c>
      <c r="M4309" s="14" t="s">
        <v>26797</v>
      </c>
      <c r="N4309" s="14" t="s">
        <v>25744</v>
      </c>
      <c r="O4309" s="16" t="s">
        <v>25745</v>
      </c>
      <c r="P4309" s="14" t="s">
        <v>25746</v>
      </c>
      <c r="Q4309" s="14" t="s">
        <v>31</v>
      </c>
      <c r="R4309" s="14" t="s">
        <v>64</v>
      </c>
      <c r="S4309" s="16" t="s">
        <v>25747</v>
      </c>
      <c r="T4309" s="14" t="s">
        <v>66</v>
      </c>
      <c r="U4309" s="16" t="s">
        <v>25731</v>
      </c>
      <c r="V4309" s="14" t="s">
        <v>25723</v>
      </c>
      <c r="W4309" s="14" t="s">
        <v>25722</v>
      </c>
      <c r="X4309" s="17" t="str">
        <f>HYPERLINK("https://my.pitchbook.com?p=415765-36P","View People Online")</f>
        <v>View People Online</v>
      </c>
    </row>
    <row r="4310">
      <c r="A4310" s="10" t="s">
        <v>26798</v>
      </c>
      <c r="B4310" s="10" t="s">
        <v>26799</v>
      </c>
      <c r="C4310" s="10" t="s">
        <v>6205</v>
      </c>
      <c r="D4310" s="10" t="s">
        <v>21184</v>
      </c>
      <c r="E4310" s="10" t="s">
        <v>25722</v>
      </c>
      <c r="F4310" s="10" t="s">
        <v>25723</v>
      </c>
      <c r="G4310" s="10" t="s">
        <v>26800</v>
      </c>
      <c r="H4310" s="11" t="s">
        <v>31</v>
      </c>
      <c r="I4310" s="11">
        <v>1.0</v>
      </c>
      <c r="J4310" s="11">
        <v>1.0</v>
      </c>
      <c r="K4310" s="11" t="s">
        <v>31</v>
      </c>
      <c r="L4310" s="12" t="s">
        <v>25725</v>
      </c>
      <c r="M4310" s="10" t="s">
        <v>26801</v>
      </c>
      <c r="N4310" s="10" t="s">
        <v>25744</v>
      </c>
      <c r="O4310" s="12" t="s">
        <v>25745</v>
      </c>
      <c r="P4310" s="10" t="s">
        <v>25746</v>
      </c>
      <c r="Q4310" s="10" t="s">
        <v>31</v>
      </c>
      <c r="R4310" s="10" t="s">
        <v>64</v>
      </c>
      <c r="S4310" s="12" t="s">
        <v>25747</v>
      </c>
      <c r="T4310" s="10" t="s">
        <v>66</v>
      </c>
      <c r="U4310" s="12" t="s">
        <v>25731</v>
      </c>
      <c r="V4310" s="10" t="s">
        <v>25723</v>
      </c>
      <c r="W4310" s="10" t="s">
        <v>25722</v>
      </c>
      <c r="X4310" s="13" t="str">
        <f>HYPERLINK("https://my.pitchbook.com?p=126123-94P","View People Online")</f>
        <v>View People Online</v>
      </c>
    </row>
    <row r="4311">
      <c r="A4311" s="14" t="s">
        <v>26802</v>
      </c>
      <c r="B4311" s="14" t="s">
        <v>26803</v>
      </c>
      <c r="C4311" s="14" t="s">
        <v>6205</v>
      </c>
      <c r="D4311" s="14" t="s">
        <v>26804</v>
      </c>
      <c r="E4311" s="14" t="s">
        <v>25722</v>
      </c>
      <c r="F4311" s="14" t="s">
        <v>25723</v>
      </c>
      <c r="G4311" s="14" t="s">
        <v>26805</v>
      </c>
      <c r="H4311" s="15" t="s">
        <v>31</v>
      </c>
      <c r="I4311" s="15">
        <v>1.0</v>
      </c>
      <c r="J4311" s="15">
        <v>1.0</v>
      </c>
      <c r="K4311" s="15" t="s">
        <v>31</v>
      </c>
      <c r="L4311" s="16" t="s">
        <v>25725</v>
      </c>
      <c r="M4311" s="14" t="s">
        <v>26806</v>
      </c>
      <c r="N4311" s="14" t="s">
        <v>25744</v>
      </c>
      <c r="O4311" s="16" t="s">
        <v>25745</v>
      </c>
      <c r="P4311" s="14" t="s">
        <v>25746</v>
      </c>
      <c r="Q4311" s="14" t="s">
        <v>31</v>
      </c>
      <c r="R4311" s="14" t="s">
        <v>64</v>
      </c>
      <c r="S4311" s="16" t="s">
        <v>25747</v>
      </c>
      <c r="T4311" s="14" t="s">
        <v>66</v>
      </c>
      <c r="U4311" s="16" t="s">
        <v>25731</v>
      </c>
      <c r="V4311" s="14" t="s">
        <v>25723</v>
      </c>
      <c r="W4311" s="14" t="s">
        <v>25722</v>
      </c>
      <c r="X4311" s="17" t="str">
        <f>HYPERLINK("https://my.pitchbook.com?p=126123-67P","View People Online")</f>
        <v>View People Online</v>
      </c>
    </row>
    <row r="4312">
      <c r="A4312" s="10" t="s">
        <v>26807</v>
      </c>
      <c r="B4312" s="10" t="s">
        <v>26808</v>
      </c>
      <c r="C4312" s="10" t="s">
        <v>1066</v>
      </c>
      <c r="D4312" s="10" t="s">
        <v>3275</v>
      </c>
      <c r="E4312" s="10" t="s">
        <v>25722</v>
      </c>
      <c r="F4312" s="10" t="s">
        <v>25723</v>
      </c>
      <c r="G4312" s="10" t="s">
        <v>26809</v>
      </c>
      <c r="H4312" s="11" t="s">
        <v>31</v>
      </c>
      <c r="I4312" s="11">
        <v>1.0</v>
      </c>
      <c r="J4312" s="11">
        <v>1.0</v>
      </c>
      <c r="K4312" s="11" t="s">
        <v>31</v>
      </c>
      <c r="L4312" s="12" t="s">
        <v>25725</v>
      </c>
      <c r="M4312" s="10" t="s">
        <v>31</v>
      </c>
      <c r="N4312" s="10" t="s">
        <v>25744</v>
      </c>
      <c r="O4312" s="12" t="s">
        <v>25745</v>
      </c>
      <c r="P4312" s="10" t="s">
        <v>25746</v>
      </c>
      <c r="Q4312" s="10" t="s">
        <v>31</v>
      </c>
      <c r="R4312" s="10" t="s">
        <v>64</v>
      </c>
      <c r="S4312" s="12" t="s">
        <v>25747</v>
      </c>
      <c r="T4312" s="10" t="s">
        <v>66</v>
      </c>
      <c r="U4312" s="12" t="s">
        <v>25731</v>
      </c>
      <c r="V4312" s="10" t="s">
        <v>25723</v>
      </c>
      <c r="W4312" s="10" t="s">
        <v>25722</v>
      </c>
      <c r="X4312" s="13" t="str">
        <f>HYPERLINK("https://my.pitchbook.com?p=415766-89P","View People Online")</f>
        <v>View People Online</v>
      </c>
    </row>
    <row r="4313">
      <c r="A4313" s="6" t="s">
        <v>26810</v>
      </c>
      <c r="B4313" s="6" t="s">
        <v>26811</v>
      </c>
      <c r="C4313" s="6" t="s">
        <v>1830</v>
      </c>
      <c r="D4313" s="6" t="s">
        <v>4338</v>
      </c>
      <c r="E4313" s="6" t="s">
        <v>25722</v>
      </c>
      <c r="F4313" s="6" t="s">
        <v>896</v>
      </c>
      <c r="G4313" s="6" t="s">
        <v>26812</v>
      </c>
      <c r="H4313" s="7" t="s">
        <v>31</v>
      </c>
      <c r="I4313" s="7">
        <v>1.0</v>
      </c>
      <c r="J4313" s="7">
        <v>1.0</v>
      </c>
      <c r="K4313" s="7" t="s">
        <v>31</v>
      </c>
      <c r="L4313" s="8" t="s">
        <v>25725</v>
      </c>
      <c r="M4313" s="6" t="s">
        <v>26813</v>
      </c>
      <c r="N4313" s="6" t="s">
        <v>26814</v>
      </c>
      <c r="O4313" s="8" t="s">
        <v>26815</v>
      </c>
      <c r="P4313" s="6" t="s">
        <v>26816</v>
      </c>
      <c r="Q4313" s="6" t="s">
        <v>6654</v>
      </c>
      <c r="R4313" s="6" t="s">
        <v>64</v>
      </c>
      <c r="S4313" s="8" t="s">
        <v>26817</v>
      </c>
      <c r="T4313" s="6" t="s">
        <v>66</v>
      </c>
      <c r="U4313" s="8" t="s">
        <v>31</v>
      </c>
      <c r="V4313" s="6" t="s">
        <v>896</v>
      </c>
      <c r="W4313" s="6" t="s">
        <v>25722</v>
      </c>
      <c r="X4313" s="9" t="str">
        <f>HYPERLINK("https://my.pitchbook.com?p=92727-55P","View People Online")</f>
        <v>View People Online</v>
      </c>
    </row>
    <row r="4314">
      <c r="A4314" s="2" t="s">
        <v>26818</v>
      </c>
      <c r="B4314" s="2" t="s">
        <v>26819</v>
      </c>
      <c r="C4314" s="2" t="s">
        <v>5574</v>
      </c>
      <c r="D4314" s="2" t="s">
        <v>26820</v>
      </c>
      <c r="E4314" s="2" t="s">
        <v>25722</v>
      </c>
      <c r="F4314" s="2" t="s">
        <v>25723</v>
      </c>
      <c r="G4314" s="2" t="s">
        <v>26821</v>
      </c>
      <c r="H4314" s="3" t="s">
        <v>31</v>
      </c>
      <c r="I4314" s="3">
        <v>1.0</v>
      </c>
      <c r="J4314" s="3">
        <v>1.0</v>
      </c>
      <c r="K4314" s="3" t="s">
        <v>31</v>
      </c>
      <c r="L4314" s="4" t="s">
        <v>25725</v>
      </c>
      <c r="M4314" s="2" t="s">
        <v>26822</v>
      </c>
      <c r="N4314" s="2" t="s">
        <v>25744</v>
      </c>
      <c r="O4314" s="4" t="s">
        <v>25745</v>
      </c>
      <c r="P4314" s="2" t="s">
        <v>25746</v>
      </c>
      <c r="Q4314" s="2" t="s">
        <v>31</v>
      </c>
      <c r="R4314" s="2" t="s">
        <v>64</v>
      </c>
      <c r="S4314" s="4" t="s">
        <v>25747</v>
      </c>
      <c r="T4314" s="2" t="s">
        <v>66</v>
      </c>
      <c r="U4314" s="4" t="s">
        <v>25731</v>
      </c>
      <c r="V4314" s="2" t="s">
        <v>25723</v>
      </c>
      <c r="W4314" s="2" t="s">
        <v>25722</v>
      </c>
      <c r="X4314" s="5" t="str">
        <f>HYPERLINK("https://my.pitchbook.com?p=126120-61P","View People Online")</f>
        <v>View People Online</v>
      </c>
    </row>
    <row r="4315">
      <c r="A4315" s="6" t="s">
        <v>26823</v>
      </c>
      <c r="B4315" s="6" t="s">
        <v>26824</v>
      </c>
      <c r="C4315" s="6" t="s">
        <v>5321</v>
      </c>
      <c r="D4315" s="6" t="s">
        <v>7578</v>
      </c>
      <c r="E4315" s="6" t="s">
        <v>25722</v>
      </c>
      <c r="F4315" s="6" t="s">
        <v>896</v>
      </c>
      <c r="G4315" s="6" t="s">
        <v>26825</v>
      </c>
      <c r="H4315" s="7" t="s">
        <v>31</v>
      </c>
      <c r="I4315" s="7">
        <v>1.0</v>
      </c>
      <c r="J4315" s="7">
        <v>1.0</v>
      </c>
      <c r="K4315" s="7" t="s">
        <v>31</v>
      </c>
      <c r="L4315" s="8" t="s">
        <v>25725</v>
      </c>
      <c r="M4315" s="6" t="s">
        <v>26826</v>
      </c>
      <c r="N4315" s="6" t="s">
        <v>25744</v>
      </c>
      <c r="O4315" s="8" t="s">
        <v>25745</v>
      </c>
      <c r="P4315" s="6" t="s">
        <v>25746</v>
      </c>
      <c r="Q4315" s="6" t="s">
        <v>31</v>
      </c>
      <c r="R4315" s="6" t="s">
        <v>64</v>
      </c>
      <c r="S4315" s="8" t="s">
        <v>25747</v>
      </c>
      <c r="T4315" s="6" t="s">
        <v>66</v>
      </c>
      <c r="U4315" s="8" t="s">
        <v>25731</v>
      </c>
      <c r="V4315" s="6" t="s">
        <v>25796</v>
      </c>
      <c r="W4315" s="6" t="s">
        <v>25722</v>
      </c>
      <c r="X4315" s="9" t="str">
        <f>HYPERLINK("https://my.pitchbook.com?p=126110-71P","View People Online")</f>
        <v>View People Online</v>
      </c>
    </row>
    <row r="4316">
      <c r="A4316" s="2" t="s">
        <v>26827</v>
      </c>
      <c r="B4316" s="2" t="s">
        <v>26828</v>
      </c>
      <c r="C4316" s="2" t="s">
        <v>1976</v>
      </c>
      <c r="D4316" s="2" t="s">
        <v>9822</v>
      </c>
      <c r="E4316" s="2" t="s">
        <v>25722</v>
      </c>
      <c r="F4316" s="2" t="s">
        <v>25723</v>
      </c>
      <c r="G4316" s="2" t="s">
        <v>26829</v>
      </c>
      <c r="H4316" s="3" t="s">
        <v>31</v>
      </c>
      <c r="I4316" s="3">
        <v>1.0</v>
      </c>
      <c r="J4316" s="3">
        <v>1.0</v>
      </c>
      <c r="K4316" s="3" t="s">
        <v>31</v>
      </c>
      <c r="L4316" s="4" t="s">
        <v>25725</v>
      </c>
      <c r="M4316" s="2" t="s">
        <v>26830</v>
      </c>
      <c r="N4316" s="2" t="s">
        <v>25744</v>
      </c>
      <c r="O4316" s="4" t="s">
        <v>25745</v>
      </c>
      <c r="P4316" s="2" t="s">
        <v>25746</v>
      </c>
      <c r="Q4316" s="2" t="s">
        <v>31</v>
      </c>
      <c r="R4316" s="2" t="s">
        <v>64</v>
      </c>
      <c r="S4316" s="4" t="s">
        <v>25747</v>
      </c>
      <c r="T4316" s="2" t="s">
        <v>66</v>
      </c>
      <c r="U4316" s="4" t="s">
        <v>25731</v>
      </c>
      <c r="V4316" s="2" t="s">
        <v>25723</v>
      </c>
      <c r="W4316" s="2" t="s">
        <v>25722</v>
      </c>
      <c r="X4316" s="5" t="str">
        <f>HYPERLINK("https://my.pitchbook.com?p=415767-16P","View People Online")</f>
        <v>View People Online</v>
      </c>
    </row>
    <row r="4317">
      <c r="A4317" s="6" t="s">
        <v>26831</v>
      </c>
      <c r="B4317" s="6" t="s">
        <v>26832</v>
      </c>
      <c r="C4317" s="6" t="s">
        <v>1976</v>
      </c>
      <c r="D4317" s="6" t="s">
        <v>26833</v>
      </c>
      <c r="E4317" s="6" t="s">
        <v>25722</v>
      </c>
      <c r="F4317" s="6" t="s">
        <v>896</v>
      </c>
      <c r="G4317" s="6" t="s">
        <v>26834</v>
      </c>
      <c r="H4317" s="7" t="s">
        <v>31</v>
      </c>
      <c r="I4317" s="7">
        <v>1.0</v>
      </c>
      <c r="J4317" s="7">
        <v>1.0</v>
      </c>
      <c r="K4317" s="7" t="s">
        <v>31</v>
      </c>
      <c r="L4317" s="8" t="s">
        <v>25725</v>
      </c>
      <c r="M4317" s="6" t="s">
        <v>26835</v>
      </c>
      <c r="N4317" s="6" t="s">
        <v>25744</v>
      </c>
      <c r="O4317" s="8" t="s">
        <v>25745</v>
      </c>
      <c r="P4317" s="6" t="s">
        <v>25746</v>
      </c>
      <c r="Q4317" s="6" t="s">
        <v>31</v>
      </c>
      <c r="R4317" s="6" t="s">
        <v>64</v>
      </c>
      <c r="S4317" s="8" t="s">
        <v>25747</v>
      </c>
      <c r="T4317" s="6" t="s">
        <v>66</v>
      </c>
      <c r="U4317" s="8" t="s">
        <v>25731</v>
      </c>
      <c r="V4317" s="6" t="s">
        <v>896</v>
      </c>
      <c r="W4317" s="6" t="s">
        <v>25722</v>
      </c>
      <c r="X4317" s="9" t="str">
        <f>HYPERLINK("https://my.pitchbook.com?p=126118-72P","View People Online")</f>
        <v>View People Online</v>
      </c>
    </row>
    <row r="4318">
      <c r="A4318" s="2" t="s">
        <v>26836</v>
      </c>
      <c r="B4318" s="2" t="s">
        <v>26837</v>
      </c>
      <c r="C4318" s="2" t="s">
        <v>24384</v>
      </c>
      <c r="D4318" s="2" t="s">
        <v>26838</v>
      </c>
      <c r="E4318" s="2" t="s">
        <v>25722</v>
      </c>
      <c r="F4318" s="2" t="s">
        <v>25723</v>
      </c>
      <c r="G4318" s="2" t="s">
        <v>26839</v>
      </c>
      <c r="H4318" s="3" t="s">
        <v>31</v>
      </c>
      <c r="I4318" s="3">
        <v>1.0</v>
      </c>
      <c r="J4318" s="3">
        <v>1.0</v>
      </c>
      <c r="K4318" s="3" t="s">
        <v>31</v>
      </c>
      <c r="L4318" s="4" t="s">
        <v>25725</v>
      </c>
      <c r="M4318" s="2" t="s">
        <v>26840</v>
      </c>
      <c r="N4318" s="2" t="s">
        <v>25744</v>
      </c>
      <c r="O4318" s="4" t="s">
        <v>25745</v>
      </c>
      <c r="P4318" s="2" t="s">
        <v>25746</v>
      </c>
      <c r="Q4318" s="2" t="s">
        <v>31</v>
      </c>
      <c r="R4318" s="2" t="s">
        <v>64</v>
      </c>
      <c r="S4318" s="4" t="s">
        <v>25747</v>
      </c>
      <c r="T4318" s="2" t="s">
        <v>66</v>
      </c>
      <c r="U4318" s="4" t="s">
        <v>25731</v>
      </c>
      <c r="V4318" s="2" t="s">
        <v>25723</v>
      </c>
      <c r="W4318" s="2" t="s">
        <v>25722</v>
      </c>
      <c r="X4318" s="5" t="str">
        <f>HYPERLINK("https://my.pitchbook.com?p=415767-34P","View People Online")</f>
        <v>View People Online</v>
      </c>
    </row>
    <row r="4319">
      <c r="A4319" s="6" t="s">
        <v>26841</v>
      </c>
      <c r="B4319" s="6" t="s">
        <v>26842</v>
      </c>
      <c r="C4319" s="6" t="s">
        <v>8429</v>
      </c>
      <c r="D4319" s="6" t="s">
        <v>26843</v>
      </c>
      <c r="E4319" s="6" t="s">
        <v>25722</v>
      </c>
      <c r="F4319" s="6" t="s">
        <v>896</v>
      </c>
      <c r="G4319" s="6" t="s">
        <v>26844</v>
      </c>
      <c r="H4319" s="7" t="s">
        <v>31</v>
      </c>
      <c r="I4319" s="7">
        <v>1.0</v>
      </c>
      <c r="J4319" s="7">
        <v>1.0</v>
      </c>
      <c r="K4319" s="7" t="s">
        <v>31</v>
      </c>
      <c r="L4319" s="8" t="s">
        <v>25725</v>
      </c>
      <c r="M4319" s="6" t="s">
        <v>26845</v>
      </c>
      <c r="N4319" s="6" t="s">
        <v>25744</v>
      </c>
      <c r="O4319" s="8" t="s">
        <v>25745</v>
      </c>
      <c r="P4319" s="6" t="s">
        <v>25746</v>
      </c>
      <c r="Q4319" s="6" t="s">
        <v>31</v>
      </c>
      <c r="R4319" s="6" t="s">
        <v>64</v>
      </c>
      <c r="S4319" s="8" t="s">
        <v>25747</v>
      </c>
      <c r="T4319" s="6" t="s">
        <v>66</v>
      </c>
      <c r="U4319" s="8" t="s">
        <v>25731</v>
      </c>
      <c r="V4319" s="6" t="s">
        <v>896</v>
      </c>
      <c r="W4319" s="6" t="s">
        <v>25722</v>
      </c>
      <c r="X4319" s="9" t="str">
        <f>HYPERLINK("https://my.pitchbook.com?p=126118-45P","View People Online")</f>
        <v>View People Online</v>
      </c>
    </row>
    <row r="4320">
      <c r="A4320" s="2" t="s">
        <v>26846</v>
      </c>
      <c r="B4320" s="2" t="s">
        <v>26847</v>
      </c>
      <c r="C4320" s="2" t="s">
        <v>26848</v>
      </c>
      <c r="D4320" s="2" t="s">
        <v>26849</v>
      </c>
      <c r="E4320" s="2" t="s">
        <v>25722</v>
      </c>
      <c r="F4320" s="2" t="s">
        <v>25723</v>
      </c>
      <c r="G4320" s="2" t="s">
        <v>26850</v>
      </c>
      <c r="H4320" s="3" t="s">
        <v>31</v>
      </c>
      <c r="I4320" s="3">
        <v>1.0</v>
      </c>
      <c r="J4320" s="3">
        <v>1.0</v>
      </c>
      <c r="K4320" s="3" t="s">
        <v>31</v>
      </c>
      <c r="L4320" s="4" t="s">
        <v>25725</v>
      </c>
      <c r="M4320" s="2" t="s">
        <v>26851</v>
      </c>
      <c r="N4320" s="2" t="s">
        <v>25744</v>
      </c>
      <c r="O4320" s="4" t="s">
        <v>25745</v>
      </c>
      <c r="P4320" s="2" t="s">
        <v>25746</v>
      </c>
      <c r="Q4320" s="2" t="s">
        <v>31</v>
      </c>
      <c r="R4320" s="2" t="s">
        <v>64</v>
      </c>
      <c r="S4320" s="4" t="s">
        <v>25747</v>
      </c>
      <c r="T4320" s="2" t="s">
        <v>66</v>
      </c>
      <c r="U4320" s="4" t="s">
        <v>25731</v>
      </c>
      <c r="V4320" s="2" t="s">
        <v>25723</v>
      </c>
      <c r="W4320" s="2" t="s">
        <v>25722</v>
      </c>
      <c r="X4320" s="5" t="str">
        <f>HYPERLINK("https://my.pitchbook.com?p=415768-24P","View People Online")</f>
        <v>View People Online</v>
      </c>
    </row>
    <row r="4321">
      <c r="A4321" s="14" t="s">
        <v>26852</v>
      </c>
      <c r="B4321" s="14" t="s">
        <v>26853</v>
      </c>
      <c r="C4321" s="14" t="s">
        <v>9165</v>
      </c>
      <c r="D4321" s="14" t="s">
        <v>26854</v>
      </c>
      <c r="E4321" s="14" t="s">
        <v>26855</v>
      </c>
      <c r="F4321" s="14" t="s">
        <v>502</v>
      </c>
      <c r="G4321" s="14" t="s">
        <v>26856</v>
      </c>
      <c r="H4321" s="15" t="s">
        <v>31</v>
      </c>
      <c r="I4321" s="15">
        <v>1.0</v>
      </c>
      <c r="J4321" s="15">
        <v>1.0</v>
      </c>
      <c r="K4321" s="15" t="s">
        <v>31</v>
      </c>
      <c r="L4321" s="16" t="s">
        <v>26857</v>
      </c>
      <c r="M4321" s="14" t="s">
        <v>26858</v>
      </c>
      <c r="N4321" s="14" t="s">
        <v>26859</v>
      </c>
      <c r="O4321" s="16" t="s">
        <v>26860</v>
      </c>
      <c r="P4321" s="14" t="s">
        <v>26861</v>
      </c>
      <c r="Q4321" s="14" t="s">
        <v>26862</v>
      </c>
      <c r="R4321" s="14" t="s">
        <v>31</v>
      </c>
      <c r="S4321" s="16" t="s">
        <v>26863</v>
      </c>
      <c r="T4321" s="14" t="s">
        <v>18524</v>
      </c>
      <c r="U4321" s="16" t="s">
        <v>31</v>
      </c>
      <c r="V4321" s="14" t="s">
        <v>502</v>
      </c>
      <c r="W4321" s="14" t="s">
        <v>26855</v>
      </c>
      <c r="X4321" s="17" t="str">
        <f>HYPERLINK("https://my.pitchbook.com?p=309709-72P","View People Online")</f>
        <v>View People Online</v>
      </c>
    </row>
    <row r="4322">
      <c r="A4322" s="2" t="s">
        <v>26864</v>
      </c>
      <c r="B4322" s="2" t="s">
        <v>26865</v>
      </c>
      <c r="C4322" s="2" t="s">
        <v>12386</v>
      </c>
      <c r="D4322" s="2" t="s">
        <v>26866</v>
      </c>
      <c r="E4322" s="2" t="s">
        <v>26855</v>
      </c>
      <c r="F4322" s="2" t="s">
        <v>270</v>
      </c>
      <c r="G4322" s="2" t="s">
        <v>26867</v>
      </c>
      <c r="H4322" s="3" t="s">
        <v>31</v>
      </c>
      <c r="I4322" s="3">
        <v>1.0</v>
      </c>
      <c r="J4322" s="3">
        <v>1.0</v>
      </c>
      <c r="K4322" s="3" t="s">
        <v>31</v>
      </c>
      <c r="L4322" s="4" t="s">
        <v>26857</v>
      </c>
      <c r="M4322" s="2" t="s">
        <v>26868</v>
      </c>
      <c r="N4322" s="2" t="s">
        <v>26859</v>
      </c>
      <c r="O4322" s="4" t="s">
        <v>26860</v>
      </c>
      <c r="P4322" s="2" t="s">
        <v>26861</v>
      </c>
      <c r="Q4322" s="2" t="s">
        <v>26862</v>
      </c>
      <c r="R4322" s="2" t="s">
        <v>31</v>
      </c>
      <c r="S4322" s="4" t="s">
        <v>26863</v>
      </c>
      <c r="T4322" s="2" t="s">
        <v>18524</v>
      </c>
      <c r="U4322" s="4" t="s">
        <v>31</v>
      </c>
      <c r="V4322" s="2" t="s">
        <v>26869</v>
      </c>
      <c r="W4322" s="2" t="s">
        <v>26855</v>
      </c>
      <c r="X4322" s="5" t="str">
        <f>HYPERLINK("https://my.pitchbook.com?p=112849-66P","View People Online")</f>
        <v>View People Online</v>
      </c>
    </row>
    <row r="4323">
      <c r="A4323" s="6" t="s">
        <v>26870</v>
      </c>
      <c r="B4323" s="6" t="s">
        <v>26871</v>
      </c>
      <c r="C4323" s="6" t="s">
        <v>12548</v>
      </c>
      <c r="D4323" s="6" t="s">
        <v>26872</v>
      </c>
      <c r="E4323" s="6" t="s">
        <v>26873</v>
      </c>
      <c r="F4323" s="6" t="s">
        <v>86</v>
      </c>
      <c r="G4323" s="6" t="s">
        <v>26874</v>
      </c>
      <c r="H4323" s="7" t="s">
        <v>31</v>
      </c>
      <c r="I4323" s="7">
        <v>22.0</v>
      </c>
      <c r="J4323" s="7">
        <v>3.0</v>
      </c>
      <c r="K4323" s="7">
        <v>18.0</v>
      </c>
      <c r="L4323" s="8" t="s">
        <v>31</v>
      </c>
      <c r="M4323" s="6" t="s">
        <v>26875</v>
      </c>
      <c r="N4323" s="6" t="s">
        <v>1170</v>
      </c>
      <c r="O4323" s="8" t="s">
        <v>1171</v>
      </c>
      <c r="P4323" s="6" t="s">
        <v>31</v>
      </c>
      <c r="Q4323" s="6" t="s">
        <v>31</v>
      </c>
      <c r="R4323" s="6" t="s">
        <v>64</v>
      </c>
      <c r="S4323" s="8" t="s">
        <v>26876</v>
      </c>
      <c r="T4323" s="6" t="s">
        <v>66</v>
      </c>
      <c r="U4323" s="8" t="s">
        <v>31</v>
      </c>
      <c r="V4323" s="6" t="s">
        <v>86</v>
      </c>
      <c r="W4323" s="6" t="s">
        <v>26873</v>
      </c>
      <c r="X4323" s="9" t="str">
        <f>HYPERLINK("https://my.pitchbook.com?p=112488-67P","View People Online")</f>
        <v>View People Online</v>
      </c>
    </row>
    <row r="4324">
      <c r="A4324" s="10" t="s">
        <v>26877</v>
      </c>
      <c r="B4324" s="10" t="s">
        <v>26878</v>
      </c>
      <c r="C4324" s="10" t="s">
        <v>26879</v>
      </c>
      <c r="D4324" s="10" t="s">
        <v>26880</v>
      </c>
      <c r="E4324" s="10" t="s">
        <v>26881</v>
      </c>
      <c r="F4324" s="10" t="s">
        <v>667</v>
      </c>
      <c r="G4324" s="10" t="s">
        <v>26882</v>
      </c>
      <c r="H4324" s="11" t="s">
        <v>31</v>
      </c>
      <c r="I4324" s="11">
        <v>1.0</v>
      </c>
      <c r="J4324" s="11">
        <v>1.0</v>
      </c>
      <c r="K4324" s="11" t="s">
        <v>31</v>
      </c>
      <c r="L4324" s="12" t="s">
        <v>26883</v>
      </c>
      <c r="M4324" s="10" t="s">
        <v>26884</v>
      </c>
      <c r="N4324" s="10" t="s">
        <v>1348</v>
      </c>
      <c r="O4324" s="12" t="s">
        <v>1349</v>
      </c>
      <c r="P4324" s="10" t="s">
        <v>26885</v>
      </c>
      <c r="Q4324" s="10" t="s">
        <v>26886</v>
      </c>
      <c r="R4324" s="10" t="s">
        <v>1018</v>
      </c>
      <c r="S4324" s="12" t="s">
        <v>26887</v>
      </c>
      <c r="T4324" s="10" t="s">
        <v>1019</v>
      </c>
      <c r="U4324" s="12" t="s">
        <v>31</v>
      </c>
      <c r="V4324" s="10" t="s">
        <v>26888</v>
      </c>
      <c r="W4324" s="10" t="s">
        <v>26881</v>
      </c>
      <c r="X4324" s="13" t="str">
        <f>HYPERLINK("https://my.pitchbook.com?p=348143-23P","View People Online")</f>
        <v>View People Online</v>
      </c>
    </row>
    <row r="4325">
      <c r="A4325" s="6" t="s">
        <v>26889</v>
      </c>
      <c r="B4325" s="6" t="s">
        <v>26890</v>
      </c>
      <c r="C4325" s="6" t="s">
        <v>1117</v>
      </c>
      <c r="D4325" s="6" t="s">
        <v>26891</v>
      </c>
      <c r="E4325" s="6" t="s">
        <v>26881</v>
      </c>
      <c r="F4325" s="6" t="s">
        <v>674</v>
      </c>
      <c r="G4325" s="6" t="s">
        <v>26892</v>
      </c>
      <c r="H4325" s="7">
        <v>2.0</v>
      </c>
      <c r="I4325" s="7">
        <v>9.0</v>
      </c>
      <c r="J4325" s="7">
        <v>1.0</v>
      </c>
      <c r="K4325" s="7">
        <v>6.0</v>
      </c>
      <c r="L4325" s="8" t="s">
        <v>26893</v>
      </c>
      <c r="M4325" s="6" t="s">
        <v>26894</v>
      </c>
      <c r="N4325" s="6" t="s">
        <v>1348</v>
      </c>
      <c r="O4325" s="8" t="s">
        <v>1349</v>
      </c>
      <c r="P4325" s="6" t="s">
        <v>26885</v>
      </c>
      <c r="Q4325" s="6" t="s">
        <v>26886</v>
      </c>
      <c r="R4325" s="6" t="s">
        <v>1018</v>
      </c>
      <c r="S4325" s="8" t="s">
        <v>26887</v>
      </c>
      <c r="T4325" s="6" t="s">
        <v>1019</v>
      </c>
      <c r="U4325" s="8" t="s">
        <v>31</v>
      </c>
      <c r="V4325" s="6" t="s">
        <v>674</v>
      </c>
      <c r="W4325" s="6" t="s">
        <v>26881</v>
      </c>
      <c r="X4325" s="9" t="str">
        <f>HYPERLINK("https://my.pitchbook.com?p=43877-17P","View People Online")</f>
        <v>View People Online</v>
      </c>
    </row>
    <row r="4326">
      <c r="A4326" s="2" t="s">
        <v>26895</v>
      </c>
      <c r="B4326" s="2" t="s">
        <v>26896</v>
      </c>
      <c r="C4326" s="2" t="s">
        <v>11666</v>
      </c>
      <c r="D4326" s="2" t="s">
        <v>4314</v>
      </c>
      <c r="E4326" s="2" t="s">
        <v>26881</v>
      </c>
      <c r="F4326" s="2" t="s">
        <v>26897</v>
      </c>
      <c r="G4326" s="2" t="s">
        <v>26898</v>
      </c>
      <c r="H4326" s="3" t="s">
        <v>31</v>
      </c>
      <c r="I4326" s="3">
        <v>1.0</v>
      </c>
      <c r="J4326" s="3">
        <v>1.0</v>
      </c>
      <c r="K4326" s="3" t="s">
        <v>31</v>
      </c>
      <c r="L4326" s="4" t="s">
        <v>26883</v>
      </c>
      <c r="M4326" s="2" t="s">
        <v>26899</v>
      </c>
      <c r="N4326" s="2" t="s">
        <v>1348</v>
      </c>
      <c r="O4326" s="4" t="s">
        <v>1349</v>
      </c>
      <c r="P4326" s="2" t="s">
        <v>26885</v>
      </c>
      <c r="Q4326" s="2" t="s">
        <v>26886</v>
      </c>
      <c r="R4326" s="2" t="s">
        <v>1018</v>
      </c>
      <c r="S4326" s="4" t="s">
        <v>26887</v>
      </c>
      <c r="T4326" s="2" t="s">
        <v>1019</v>
      </c>
      <c r="U4326" s="4" t="s">
        <v>31</v>
      </c>
      <c r="V4326" s="2" t="s">
        <v>26897</v>
      </c>
      <c r="W4326" s="2" t="s">
        <v>26881</v>
      </c>
      <c r="X4326" s="5" t="str">
        <f>HYPERLINK("https://my.pitchbook.com?p=290278-63P","View People Online")</f>
        <v>View People Online</v>
      </c>
    </row>
    <row r="4327">
      <c r="A4327" s="14" t="s">
        <v>26900</v>
      </c>
      <c r="B4327" s="14" t="s">
        <v>26901</v>
      </c>
      <c r="C4327" s="14" t="s">
        <v>26902</v>
      </c>
      <c r="D4327" s="14" t="s">
        <v>26903</v>
      </c>
      <c r="E4327" s="14" t="s">
        <v>26881</v>
      </c>
      <c r="F4327" s="14" t="s">
        <v>1801</v>
      </c>
      <c r="G4327" s="14" t="s">
        <v>26904</v>
      </c>
      <c r="H4327" s="15" t="s">
        <v>31</v>
      </c>
      <c r="I4327" s="15">
        <v>1.0</v>
      </c>
      <c r="J4327" s="15">
        <v>1.0</v>
      </c>
      <c r="K4327" s="15" t="s">
        <v>31</v>
      </c>
      <c r="L4327" s="16" t="s">
        <v>26883</v>
      </c>
      <c r="M4327" s="14" t="s">
        <v>26905</v>
      </c>
      <c r="N4327" s="14" t="s">
        <v>1348</v>
      </c>
      <c r="O4327" s="16" t="s">
        <v>1349</v>
      </c>
      <c r="P4327" s="14" t="s">
        <v>26885</v>
      </c>
      <c r="Q4327" s="14" t="s">
        <v>26886</v>
      </c>
      <c r="R4327" s="14" t="s">
        <v>1018</v>
      </c>
      <c r="S4327" s="16" t="s">
        <v>26887</v>
      </c>
      <c r="T4327" s="14" t="s">
        <v>1019</v>
      </c>
      <c r="U4327" s="16" t="s">
        <v>31</v>
      </c>
      <c r="V4327" s="14" t="s">
        <v>1801</v>
      </c>
      <c r="W4327" s="14" t="s">
        <v>26881</v>
      </c>
      <c r="X4327" s="17" t="str">
        <f>HYPERLINK("https://my.pitchbook.com?p=226464-85P","View People Online")</f>
        <v>View People Online</v>
      </c>
    </row>
    <row r="4328">
      <c r="A4328" s="10" t="s">
        <v>26906</v>
      </c>
      <c r="B4328" s="10" t="s">
        <v>26907</v>
      </c>
      <c r="C4328" s="10" t="s">
        <v>724</v>
      </c>
      <c r="D4328" s="10" t="s">
        <v>26908</v>
      </c>
      <c r="E4328" s="10" t="s">
        <v>26881</v>
      </c>
      <c r="F4328" s="10" t="s">
        <v>502</v>
      </c>
      <c r="G4328" s="10" t="s">
        <v>26909</v>
      </c>
      <c r="H4328" s="11" t="s">
        <v>31</v>
      </c>
      <c r="I4328" s="11">
        <v>1.0</v>
      </c>
      <c r="J4328" s="11">
        <v>1.0</v>
      </c>
      <c r="K4328" s="11" t="s">
        <v>31</v>
      </c>
      <c r="L4328" s="12" t="s">
        <v>26883</v>
      </c>
      <c r="M4328" s="10" t="s">
        <v>26910</v>
      </c>
      <c r="N4328" s="10" t="s">
        <v>1348</v>
      </c>
      <c r="O4328" s="12" t="s">
        <v>1349</v>
      </c>
      <c r="P4328" s="10" t="s">
        <v>26885</v>
      </c>
      <c r="Q4328" s="10" t="s">
        <v>26886</v>
      </c>
      <c r="R4328" s="10" t="s">
        <v>1018</v>
      </c>
      <c r="S4328" s="12" t="s">
        <v>26887</v>
      </c>
      <c r="T4328" s="10" t="s">
        <v>1019</v>
      </c>
      <c r="U4328" s="12" t="s">
        <v>31</v>
      </c>
      <c r="V4328" s="10" t="s">
        <v>502</v>
      </c>
      <c r="W4328" s="10" t="s">
        <v>26881</v>
      </c>
      <c r="X4328" s="13" t="str">
        <f>HYPERLINK("https://my.pitchbook.com?p=393681-43P","View People Online")</f>
        <v>View People Online</v>
      </c>
    </row>
    <row r="4329">
      <c r="A4329" s="14" t="s">
        <v>26911</v>
      </c>
      <c r="B4329" s="14" t="s">
        <v>26912</v>
      </c>
      <c r="C4329" s="14" t="s">
        <v>213</v>
      </c>
      <c r="D4329" s="14" t="s">
        <v>19668</v>
      </c>
      <c r="E4329" s="14" t="s">
        <v>26881</v>
      </c>
      <c r="F4329" s="14" t="s">
        <v>29</v>
      </c>
      <c r="G4329" s="14" t="s">
        <v>26913</v>
      </c>
      <c r="H4329" s="15">
        <v>1.0</v>
      </c>
      <c r="I4329" s="15">
        <v>2.0</v>
      </c>
      <c r="J4329" s="15">
        <v>1.0</v>
      </c>
      <c r="K4329" s="15" t="s">
        <v>31</v>
      </c>
      <c r="L4329" s="16" t="s">
        <v>26883</v>
      </c>
      <c r="M4329" s="14" t="s">
        <v>26914</v>
      </c>
      <c r="N4329" s="14" t="s">
        <v>1348</v>
      </c>
      <c r="O4329" s="16" t="s">
        <v>1349</v>
      </c>
      <c r="P4329" s="14" t="s">
        <v>26885</v>
      </c>
      <c r="Q4329" s="14" t="s">
        <v>26886</v>
      </c>
      <c r="R4329" s="14" t="s">
        <v>1018</v>
      </c>
      <c r="S4329" s="16" t="s">
        <v>26887</v>
      </c>
      <c r="T4329" s="14" t="s">
        <v>1019</v>
      </c>
      <c r="U4329" s="16" t="s">
        <v>31</v>
      </c>
      <c r="V4329" s="14" t="s">
        <v>29</v>
      </c>
      <c r="W4329" s="14" t="s">
        <v>26881</v>
      </c>
      <c r="X4329" s="17" t="str">
        <f>HYPERLINK("https://my.pitchbook.com?p=184484-89P","View People Online")</f>
        <v>View People Online</v>
      </c>
    </row>
    <row r="4330">
      <c r="A4330" s="2" t="s">
        <v>26915</v>
      </c>
      <c r="B4330" s="2" t="s">
        <v>26916</v>
      </c>
      <c r="C4330" s="2" t="s">
        <v>26917</v>
      </c>
      <c r="D4330" s="2" t="s">
        <v>26918</v>
      </c>
      <c r="E4330" s="2" t="s">
        <v>26881</v>
      </c>
      <c r="F4330" s="2" t="s">
        <v>371</v>
      </c>
      <c r="G4330" s="2" t="s">
        <v>26919</v>
      </c>
      <c r="H4330" s="3" t="s">
        <v>31</v>
      </c>
      <c r="I4330" s="3">
        <v>1.0</v>
      </c>
      <c r="J4330" s="3">
        <v>1.0</v>
      </c>
      <c r="K4330" s="3" t="s">
        <v>31</v>
      </c>
      <c r="L4330" s="4" t="s">
        <v>26883</v>
      </c>
      <c r="M4330" s="2" t="s">
        <v>26920</v>
      </c>
      <c r="N4330" s="2" t="s">
        <v>1348</v>
      </c>
      <c r="O4330" s="4" t="s">
        <v>1349</v>
      </c>
      <c r="P4330" s="2" t="s">
        <v>26885</v>
      </c>
      <c r="Q4330" s="2" t="s">
        <v>26886</v>
      </c>
      <c r="R4330" s="2" t="s">
        <v>1018</v>
      </c>
      <c r="S4330" s="4" t="s">
        <v>26887</v>
      </c>
      <c r="T4330" s="2" t="s">
        <v>1019</v>
      </c>
      <c r="U4330" s="4" t="s">
        <v>31</v>
      </c>
      <c r="V4330" s="2" t="s">
        <v>371</v>
      </c>
      <c r="W4330" s="2" t="s">
        <v>26881</v>
      </c>
      <c r="X4330" s="5" t="str">
        <f>HYPERLINK("https://my.pitchbook.com?p=226464-49P","View People Online")</f>
        <v>View People Online</v>
      </c>
    </row>
    <row r="4331">
      <c r="A4331" s="6" t="s">
        <v>26921</v>
      </c>
      <c r="B4331" s="6" t="s">
        <v>26922</v>
      </c>
      <c r="C4331" s="6" t="s">
        <v>26923</v>
      </c>
      <c r="D4331" s="6" t="s">
        <v>26924</v>
      </c>
      <c r="E4331" s="6" t="s">
        <v>26881</v>
      </c>
      <c r="F4331" s="6" t="s">
        <v>1624</v>
      </c>
      <c r="G4331" s="6" t="s">
        <v>26925</v>
      </c>
      <c r="H4331" s="7" t="s">
        <v>31</v>
      </c>
      <c r="I4331" s="7">
        <v>1.0</v>
      </c>
      <c r="J4331" s="7">
        <v>1.0</v>
      </c>
      <c r="K4331" s="7" t="s">
        <v>31</v>
      </c>
      <c r="L4331" s="8" t="s">
        <v>26883</v>
      </c>
      <c r="M4331" s="6" t="s">
        <v>26926</v>
      </c>
      <c r="N4331" s="6" t="s">
        <v>1348</v>
      </c>
      <c r="O4331" s="8" t="s">
        <v>1349</v>
      </c>
      <c r="P4331" s="6" t="s">
        <v>26885</v>
      </c>
      <c r="Q4331" s="6" t="s">
        <v>26886</v>
      </c>
      <c r="R4331" s="6" t="s">
        <v>1018</v>
      </c>
      <c r="S4331" s="8" t="s">
        <v>26887</v>
      </c>
      <c r="T4331" s="6" t="s">
        <v>1019</v>
      </c>
      <c r="U4331" s="8" t="s">
        <v>31</v>
      </c>
      <c r="V4331" s="6" t="s">
        <v>1627</v>
      </c>
      <c r="W4331" s="6" t="s">
        <v>26881</v>
      </c>
      <c r="X4331" s="9" t="str">
        <f>HYPERLINK("https://my.pitchbook.com?p=348142-42P","View People Online")</f>
        <v>View People Online</v>
      </c>
    </row>
    <row r="4332">
      <c r="A4332" s="10" t="s">
        <v>26927</v>
      </c>
      <c r="B4332" s="10" t="s">
        <v>26928</v>
      </c>
      <c r="C4332" s="10" t="s">
        <v>9987</v>
      </c>
      <c r="D4332" s="10" t="s">
        <v>26929</v>
      </c>
      <c r="E4332" s="10" t="s">
        <v>26881</v>
      </c>
      <c r="F4332" s="10" t="s">
        <v>548</v>
      </c>
      <c r="G4332" s="10" t="s">
        <v>26930</v>
      </c>
      <c r="H4332" s="11" t="s">
        <v>31</v>
      </c>
      <c r="I4332" s="11">
        <v>1.0</v>
      </c>
      <c r="J4332" s="11">
        <v>1.0</v>
      </c>
      <c r="K4332" s="11" t="s">
        <v>31</v>
      </c>
      <c r="L4332" s="12" t="s">
        <v>26883</v>
      </c>
      <c r="M4332" s="10" t="s">
        <v>26931</v>
      </c>
      <c r="N4332" s="10" t="s">
        <v>1348</v>
      </c>
      <c r="O4332" s="12" t="s">
        <v>1349</v>
      </c>
      <c r="P4332" s="10" t="s">
        <v>26885</v>
      </c>
      <c r="Q4332" s="10" t="s">
        <v>26886</v>
      </c>
      <c r="R4332" s="10" t="s">
        <v>1018</v>
      </c>
      <c r="S4332" s="12" t="s">
        <v>26887</v>
      </c>
      <c r="T4332" s="10" t="s">
        <v>1019</v>
      </c>
      <c r="U4332" s="12" t="s">
        <v>31</v>
      </c>
      <c r="V4332" s="10" t="s">
        <v>4296</v>
      </c>
      <c r="W4332" s="10" t="s">
        <v>26881</v>
      </c>
      <c r="X4332" s="13" t="str">
        <f>HYPERLINK("https://my.pitchbook.com?p=336389-59P","View People Online")</f>
        <v>View People Online</v>
      </c>
    </row>
    <row r="4333">
      <c r="A4333" s="6" t="s">
        <v>26932</v>
      </c>
      <c r="B4333" s="6" t="s">
        <v>26933</v>
      </c>
      <c r="C4333" s="6" t="s">
        <v>26934</v>
      </c>
      <c r="D4333" s="6" t="s">
        <v>26935</v>
      </c>
      <c r="E4333" s="6" t="s">
        <v>26936</v>
      </c>
      <c r="F4333" s="6" t="s">
        <v>318</v>
      </c>
      <c r="G4333" s="6" t="s">
        <v>26937</v>
      </c>
      <c r="H4333" s="7" t="s">
        <v>31</v>
      </c>
      <c r="I4333" s="7">
        <v>1.0</v>
      </c>
      <c r="J4333" s="7">
        <v>1.0</v>
      </c>
      <c r="K4333" s="7" t="s">
        <v>31</v>
      </c>
      <c r="L4333" s="8" t="s">
        <v>26938</v>
      </c>
      <c r="M4333" s="6" t="s">
        <v>26939</v>
      </c>
      <c r="N4333" s="6" t="s">
        <v>155</v>
      </c>
      <c r="O4333" s="8" t="s">
        <v>156</v>
      </c>
      <c r="P4333" s="6" t="s">
        <v>26940</v>
      </c>
      <c r="Q4333" s="6" t="s">
        <v>31</v>
      </c>
      <c r="R4333" s="6" t="s">
        <v>64</v>
      </c>
      <c r="S4333" s="8" t="s">
        <v>3560</v>
      </c>
      <c r="T4333" s="6" t="s">
        <v>66</v>
      </c>
      <c r="U4333" s="8" t="s">
        <v>31</v>
      </c>
      <c r="V4333" s="6" t="s">
        <v>318</v>
      </c>
      <c r="W4333" s="6" t="s">
        <v>26936</v>
      </c>
      <c r="X4333" s="9" t="str">
        <f>HYPERLINK("https://my.pitchbook.com?p=301314-07P","View People Online")</f>
        <v>View People Online</v>
      </c>
    </row>
    <row r="4334">
      <c r="A4334" s="2" t="s">
        <v>26941</v>
      </c>
      <c r="B4334" s="2" t="s">
        <v>26942</v>
      </c>
      <c r="C4334" s="2" t="s">
        <v>1146</v>
      </c>
      <c r="D4334" s="2" t="s">
        <v>1471</v>
      </c>
      <c r="E4334" s="2" t="s">
        <v>26936</v>
      </c>
      <c r="F4334" s="2" t="s">
        <v>318</v>
      </c>
      <c r="G4334" s="2" t="s">
        <v>26943</v>
      </c>
      <c r="H4334" s="3" t="s">
        <v>31</v>
      </c>
      <c r="I4334" s="3">
        <v>1.0</v>
      </c>
      <c r="J4334" s="3">
        <v>1.0</v>
      </c>
      <c r="K4334" s="3" t="s">
        <v>31</v>
      </c>
      <c r="L4334" s="4" t="s">
        <v>26938</v>
      </c>
      <c r="M4334" s="2" t="s">
        <v>26944</v>
      </c>
      <c r="N4334" s="2" t="s">
        <v>155</v>
      </c>
      <c r="O4334" s="4" t="s">
        <v>156</v>
      </c>
      <c r="P4334" s="2" t="s">
        <v>26940</v>
      </c>
      <c r="Q4334" s="2" t="s">
        <v>31</v>
      </c>
      <c r="R4334" s="2" t="s">
        <v>64</v>
      </c>
      <c r="S4334" s="4" t="s">
        <v>3560</v>
      </c>
      <c r="T4334" s="2" t="s">
        <v>66</v>
      </c>
      <c r="U4334" s="4" t="s">
        <v>31</v>
      </c>
      <c r="V4334" s="2" t="s">
        <v>318</v>
      </c>
      <c r="W4334" s="2" t="s">
        <v>26936</v>
      </c>
      <c r="X4334" s="5" t="str">
        <f>HYPERLINK("https://my.pitchbook.com?p=330878-08P","View People Online")</f>
        <v>View People Online</v>
      </c>
    </row>
    <row r="4335">
      <c r="A4335" s="14" t="s">
        <v>26945</v>
      </c>
      <c r="B4335" s="14" t="s">
        <v>26946</v>
      </c>
      <c r="C4335" s="14" t="s">
        <v>3521</v>
      </c>
      <c r="D4335" s="14" t="s">
        <v>2689</v>
      </c>
      <c r="E4335" s="14" t="s">
        <v>26936</v>
      </c>
      <c r="F4335" s="14" t="s">
        <v>86</v>
      </c>
      <c r="G4335" s="14" t="s">
        <v>26947</v>
      </c>
      <c r="H4335" s="15">
        <v>1.0</v>
      </c>
      <c r="I4335" s="15">
        <v>25.0</v>
      </c>
      <c r="J4335" s="15">
        <v>1.0</v>
      </c>
      <c r="K4335" s="15">
        <v>20.0</v>
      </c>
      <c r="L4335" s="16" t="s">
        <v>26938</v>
      </c>
      <c r="M4335" s="14" t="s">
        <v>26948</v>
      </c>
      <c r="N4335" s="14" t="s">
        <v>155</v>
      </c>
      <c r="O4335" s="16" t="s">
        <v>156</v>
      </c>
      <c r="P4335" s="14" t="s">
        <v>26940</v>
      </c>
      <c r="Q4335" s="14" t="s">
        <v>31</v>
      </c>
      <c r="R4335" s="14" t="s">
        <v>64</v>
      </c>
      <c r="S4335" s="16" t="s">
        <v>3560</v>
      </c>
      <c r="T4335" s="14" t="s">
        <v>66</v>
      </c>
      <c r="U4335" s="16" t="s">
        <v>31</v>
      </c>
      <c r="V4335" s="14" t="s">
        <v>86</v>
      </c>
      <c r="W4335" s="14" t="s">
        <v>26936</v>
      </c>
      <c r="X4335" s="17" t="str">
        <f>HYPERLINK("https://my.pitchbook.com?p=98919-55P","View People Online")</f>
        <v>View People Online</v>
      </c>
    </row>
    <row r="4336">
      <c r="A4336" s="2" t="s">
        <v>26949</v>
      </c>
      <c r="B4336" s="2" t="s">
        <v>26950</v>
      </c>
      <c r="C4336" s="2" t="s">
        <v>5536</v>
      </c>
      <c r="D4336" s="2" t="s">
        <v>26951</v>
      </c>
      <c r="E4336" s="2" t="s">
        <v>26936</v>
      </c>
      <c r="F4336" s="2" t="s">
        <v>81</v>
      </c>
      <c r="G4336" s="2" t="s">
        <v>26952</v>
      </c>
      <c r="H4336" s="3" t="s">
        <v>31</v>
      </c>
      <c r="I4336" s="3">
        <v>3.0</v>
      </c>
      <c r="J4336" s="3">
        <v>1.0</v>
      </c>
      <c r="K4336" s="3">
        <v>1.0</v>
      </c>
      <c r="L4336" s="4" t="s">
        <v>26938</v>
      </c>
      <c r="M4336" s="2" t="s">
        <v>26953</v>
      </c>
      <c r="N4336" s="2" t="s">
        <v>155</v>
      </c>
      <c r="O4336" s="4" t="s">
        <v>156</v>
      </c>
      <c r="P4336" s="2" t="s">
        <v>26954</v>
      </c>
      <c r="Q4336" s="2" t="s">
        <v>31</v>
      </c>
      <c r="R4336" s="2" t="s">
        <v>64</v>
      </c>
      <c r="S4336" s="4" t="s">
        <v>1339</v>
      </c>
      <c r="T4336" s="2" t="s">
        <v>66</v>
      </c>
      <c r="U4336" s="4" t="s">
        <v>31</v>
      </c>
      <c r="V4336" s="2" t="s">
        <v>8067</v>
      </c>
      <c r="W4336" s="2" t="s">
        <v>26955</v>
      </c>
      <c r="X4336" s="5" t="str">
        <f>HYPERLINK("https://my.pitchbook.com?p=268684-57P","View People Online")</f>
        <v>View People Online</v>
      </c>
    </row>
    <row r="4337">
      <c r="A4337" s="14" t="s">
        <v>26956</v>
      </c>
      <c r="B4337" s="14" t="s">
        <v>26957</v>
      </c>
      <c r="C4337" s="14" t="s">
        <v>26958</v>
      </c>
      <c r="D4337" s="14" t="s">
        <v>7815</v>
      </c>
      <c r="E4337" s="14" t="s">
        <v>26936</v>
      </c>
      <c r="F4337" s="14" t="s">
        <v>502</v>
      </c>
      <c r="G4337" s="14" t="s">
        <v>26959</v>
      </c>
      <c r="H4337" s="15" t="s">
        <v>31</v>
      </c>
      <c r="I4337" s="15">
        <v>1.0</v>
      </c>
      <c r="J4337" s="15">
        <v>1.0</v>
      </c>
      <c r="K4337" s="15" t="s">
        <v>31</v>
      </c>
      <c r="L4337" s="16" t="s">
        <v>26960</v>
      </c>
      <c r="M4337" s="14" t="s">
        <v>26961</v>
      </c>
      <c r="N4337" s="14" t="s">
        <v>155</v>
      </c>
      <c r="O4337" s="16" t="s">
        <v>156</v>
      </c>
      <c r="P4337" s="14" t="s">
        <v>26940</v>
      </c>
      <c r="Q4337" s="14" t="s">
        <v>31</v>
      </c>
      <c r="R4337" s="14" t="s">
        <v>64</v>
      </c>
      <c r="S4337" s="16" t="s">
        <v>3560</v>
      </c>
      <c r="T4337" s="14" t="s">
        <v>66</v>
      </c>
      <c r="U4337" s="16" t="s">
        <v>31</v>
      </c>
      <c r="V4337" s="14" t="s">
        <v>502</v>
      </c>
      <c r="W4337" s="14" t="s">
        <v>26936</v>
      </c>
      <c r="X4337" s="17" t="str">
        <f>HYPERLINK("https://my.pitchbook.com?p=251548-75P","View People Online")</f>
        <v>View People Online</v>
      </c>
    </row>
    <row r="4338">
      <c r="A4338" s="10" t="s">
        <v>26962</v>
      </c>
      <c r="B4338" s="10" t="s">
        <v>26963</v>
      </c>
      <c r="C4338" s="10" t="s">
        <v>1356</v>
      </c>
      <c r="D4338" s="10" t="s">
        <v>25052</v>
      </c>
      <c r="E4338" s="10" t="s">
        <v>26964</v>
      </c>
      <c r="F4338" s="10" t="s">
        <v>29</v>
      </c>
      <c r="G4338" s="10" t="s">
        <v>26965</v>
      </c>
      <c r="H4338" s="11" t="s">
        <v>31</v>
      </c>
      <c r="I4338" s="11">
        <v>1.0</v>
      </c>
      <c r="J4338" s="11">
        <v>1.0</v>
      </c>
      <c r="K4338" s="11" t="s">
        <v>31</v>
      </c>
      <c r="L4338" s="12" t="s">
        <v>31</v>
      </c>
      <c r="M4338" s="10" t="s">
        <v>26966</v>
      </c>
      <c r="N4338" s="10" t="s">
        <v>7750</v>
      </c>
      <c r="O4338" s="12" t="s">
        <v>7751</v>
      </c>
      <c r="P4338" s="10" t="s">
        <v>26967</v>
      </c>
      <c r="Q4338" s="10" t="s">
        <v>31</v>
      </c>
      <c r="R4338" s="10" t="s">
        <v>64</v>
      </c>
      <c r="S4338" s="12" t="s">
        <v>7753</v>
      </c>
      <c r="T4338" s="10" t="s">
        <v>66</v>
      </c>
      <c r="U4338" s="12" t="s">
        <v>31</v>
      </c>
      <c r="V4338" s="10" t="s">
        <v>26968</v>
      </c>
      <c r="W4338" s="10" t="s">
        <v>26964</v>
      </c>
      <c r="X4338" s="13" t="str">
        <f>HYPERLINK("https://my.pitchbook.com?p=218854-63P","View People Online")</f>
        <v>View People Online</v>
      </c>
    </row>
    <row r="4339">
      <c r="A4339" s="14" t="s">
        <v>26969</v>
      </c>
      <c r="B4339" s="14" t="s">
        <v>26970</v>
      </c>
      <c r="C4339" s="14" t="s">
        <v>26971</v>
      </c>
      <c r="D4339" s="14" t="s">
        <v>26972</v>
      </c>
      <c r="E4339" s="14" t="s">
        <v>26964</v>
      </c>
      <c r="F4339" s="14" t="s">
        <v>57</v>
      </c>
      <c r="G4339" s="14" t="s">
        <v>26973</v>
      </c>
      <c r="H4339" s="15" t="s">
        <v>31</v>
      </c>
      <c r="I4339" s="15">
        <v>5.0</v>
      </c>
      <c r="J4339" s="15">
        <v>2.0</v>
      </c>
      <c r="K4339" s="15">
        <v>1.0</v>
      </c>
      <c r="L4339" s="16" t="s">
        <v>31</v>
      </c>
      <c r="M4339" s="14" t="s">
        <v>26974</v>
      </c>
      <c r="N4339" s="14" t="s">
        <v>7750</v>
      </c>
      <c r="O4339" s="16" t="s">
        <v>7751</v>
      </c>
      <c r="P4339" s="14" t="s">
        <v>26967</v>
      </c>
      <c r="Q4339" s="14" t="s">
        <v>31</v>
      </c>
      <c r="R4339" s="14" t="s">
        <v>64</v>
      </c>
      <c r="S4339" s="16" t="s">
        <v>7753</v>
      </c>
      <c r="T4339" s="14" t="s">
        <v>66</v>
      </c>
      <c r="U4339" s="16" t="s">
        <v>31</v>
      </c>
      <c r="V4339" s="14" t="s">
        <v>57</v>
      </c>
      <c r="W4339" s="14" t="s">
        <v>26964</v>
      </c>
      <c r="X4339" s="17" t="str">
        <f>HYPERLINK("https://my.pitchbook.com?p=84340-18P","View People Online")</f>
        <v>View People Online</v>
      </c>
    </row>
    <row r="4340">
      <c r="A4340" s="10" t="s">
        <v>26975</v>
      </c>
      <c r="B4340" s="10" t="s">
        <v>26976</v>
      </c>
      <c r="C4340" s="10" t="s">
        <v>126</v>
      </c>
      <c r="D4340" s="10" t="s">
        <v>665</v>
      </c>
      <c r="E4340" s="10" t="s">
        <v>26964</v>
      </c>
      <c r="F4340" s="10" t="s">
        <v>270</v>
      </c>
      <c r="G4340" s="10" t="s">
        <v>26977</v>
      </c>
      <c r="H4340" s="11" t="s">
        <v>31</v>
      </c>
      <c r="I4340" s="11">
        <v>1.0</v>
      </c>
      <c r="J4340" s="11">
        <v>1.0</v>
      </c>
      <c r="K4340" s="11" t="s">
        <v>31</v>
      </c>
      <c r="L4340" s="12" t="s">
        <v>31</v>
      </c>
      <c r="M4340" s="10" t="s">
        <v>26978</v>
      </c>
      <c r="N4340" s="10" t="s">
        <v>7750</v>
      </c>
      <c r="O4340" s="12" t="s">
        <v>7751</v>
      </c>
      <c r="P4340" s="10" t="s">
        <v>26967</v>
      </c>
      <c r="Q4340" s="10" t="s">
        <v>31</v>
      </c>
      <c r="R4340" s="10" t="s">
        <v>64</v>
      </c>
      <c r="S4340" s="12" t="s">
        <v>7753</v>
      </c>
      <c r="T4340" s="10" t="s">
        <v>66</v>
      </c>
      <c r="U4340" s="12" t="s">
        <v>31</v>
      </c>
      <c r="V4340" s="10" t="s">
        <v>9952</v>
      </c>
      <c r="W4340" s="10" t="s">
        <v>26964</v>
      </c>
      <c r="X4340" s="13" t="str">
        <f>HYPERLINK("https://my.pitchbook.com?p=448354-45P","View People Online")</f>
        <v>View People Online</v>
      </c>
    </row>
    <row r="4341">
      <c r="A4341" s="14" t="s">
        <v>26979</v>
      </c>
      <c r="B4341" s="14" t="s">
        <v>26980</v>
      </c>
      <c r="C4341" s="14" t="s">
        <v>26981</v>
      </c>
      <c r="D4341" s="14" t="s">
        <v>26982</v>
      </c>
      <c r="E4341" s="14" t="s">
        <v>26964</v>
      </c>
      <c r="F4341" s="14" t="s">
        <v>29</v>
      </c>
      <c r="G4341" s="14" t="s">
        <v>26983</v>
      </c>
      <c r="H4341" s="15" t="s">
        <v>31</v>
      </c>
      <c r="I4341" s="15">
        <v>2.0</v>
      </c>
      <c r="J4341" s="15">
        <v>2.0</v>
      </c>
      <c r="K4341" s="15" t="s">
        <v>31</v>
      </c>
      <c r="L4341" s="16" t="s">
        <v>31</v>
      </c>
      <c r="M4341" s="14" t="s">
        <v>26984</v>
      </c>
      <c r="N4341" s="14" t="s">
        <v>7750</v>
      </c>
      <c r="O4341" s="16" t="s">
        <v>7751</v>
      </c>
      <c r="P4341" s="14" t="s">
        <v>26985</v>
      </c>
      <c r="Q4341" s="14" t="s">
        <v>26986</v>
      </c>
      <c r="R4341" s="14" t="s">
        <v>64</v>
      </c>
      <c r="S4341" s="16" t="s">
        <v>26987</v>
      </c>
      <c r="T4341" s="14" t="s">
        <v>66</v>
      </c>
      <c r="U4341" s="16" t="s">
        <v>31</v>
      </c>
      <c r="V4341" s="14" t="s">
        <v>29</v>
      </c>
      <c r="W4341" s="14" t="s">
        <v>26988</v>
      </c>
      <c r="X4341" s="17" t="str">
        <f>HYPERLINK("https://my.pitchbook.com?p=405940-24P","View People Online")</f>
        <v>View People Online</v>
      </c>
    </row>
    <row r="4342">
      <c r="A4342" s="2" t="s">
        <v>26989</v>
      </c>
      <c r="B4342" s="2" t="s">
        <v>26990</v>
      </c>
      <c r="C4342" s="2" t="s">
        <v>26991</v>
      </c>
      <c r="D4342" s="2" t="s">
        <v>26992</v>
      </c>
      <c r="E4342" s="2" t="s">
        <v>26964</v>
      </c>
      <c r="F4342" s="2" t="s">
        <v>57</v>
      </c>
      <c r="G4342" s="2" t="s">
        <v>26993</v>
      </c>
      <c r="H4342" s="3">
        <v>1.0</v>
      </c>
      <c r="I4342" s="3">
        <v>11.0</v>
      </c>
      <c r="J4342" s="3">
        <v>2.0</v>
      </c>
      <c r="K4342" s="3">
        <v>5.0</v>
      </c>
      <c r="L4342" s="4" t="s">
        <v>31</v>
      </c>
      <c r="M4342" s="2" t="s">
        <v>26994</v>
      </c>
      <c r="N4342" s="2" t="s">
        <v>7750</v>
      </c>
      <c r="O4342" s="4" t="s">
        <v>7751</v>
      </c>
      <c r="P4342" s="2" t="s">
        <v>26967</v>
      </c>
      <c r="Q4342" s="2" t="s">
        <v>31</v>
      </c>
      <c r="R4342" s="2" t="s">
        <v>64</v>
      </c>
      <c r="S4342" s="4" t="s">
        <v>7753</v>
      </c>
      <c r="T4342" s="2" t="s">
        <v>66</v>
      </c>
      <c r="U4342" s="4" t="s">
        <v>31</v>
      </c>
      <c r="V4342" s="2" t="s">
        <v>57</v>
      </c>
      <c r="W4342" s="2" t="s">
        <v>26964</v>
      </c>
      <c r="X4342" s="5" t="str">
        <f>HYPERLINK("https://my.pitchbook.com?p=196541-83P","View People Online")</f>
        <v>View People Online</v>
      </c>
    </row>
    <row r="4343">
      <c r="A4343" s="14" t="s">
        <v>26995</v>
      </c>
      <c r="B4343" s="14" t="s">
        <v>26996</v>
      </c>
      <c r="C4343" s="14" t="s">
        <v>1117</v>
      </c>
      <c r="D4343" s="14" t="s">
        <v>26997</v>
      </c>
      <c r="E4343" s="14" t="s">
        <v>26998</v>
      </c>
      <c r="F4343" s="14" t="s">
        <v>3429</v>
      </c>
      <c r="G4343" s="14" t="s">
        <v>26999</v>
      </c>
      <c r="H4343" s="15">
        <v>2.0</v>
      </c>
      <c r="I4343" s="15">
        <v>21.0</v>
      </c>
      <c r="J4343" s="15">
        <v>4.0</v>
      </c>
      <c r="K4343" s="15">
        <v>12.0</v>
      </c>
      <c r="L4343" s="16" t="s">
        <v>27000</v>
      </c>
      <c r="M4343" s="14" t="s">
        <v>27001</v>
      </c>
      <c r="N4343" s="14" t="s">
        <v>665</v>
      </c>
      <c r="O4343" s="16" t="s">
        <v>3857</v>
      </c>
      <c r="P4343" s="14" t="s">
        <v>27002</v>
      </c>
      <c r="Q4343" s="14" t="s">
        <v>31</v>
      </c>
      <c r="R4343" s="14" t="s">
        <v>1420</v>
      </c>
      <c r="S4343" s="16" t="s">
        <v>8300</v>
      </c>
      <c r="T4343" s="14" t="s">
        <v>66</v>
      </c>
      <c r="U4343" s="16" t="s">
        <v>31</v>
      </c>
      <c r="V4343" s="14" t="s">
        <v>27003</v>
      </c>
      <c r="W4343" s="14" t="s">
        <v>26998</v>
      </c>
      <c r="X4343" s="17" t="str">
        <f>HYPERLINK("https://my.pitchbook.com?p=35467-66P","View People Online")</f>
        <v>View People Online</v>
      </c>
    </row>
    <row r="4344">
      <c r="A4344" s="2" t="s">
        <v>27004</v>
      </c>
      <c r="B4344" s="2" t="s">
        <v>27005</v>
      </c>
      <c r="C4344" s="2" t="s">
        <v>24222</v>
      </c>
      <c r="D4344" s="2" t="s">
        <v>27006</v>
      </c>
      <c r="E4344" s="2" t="s">
        <v>26998</v>
      </c>
      <c r="F4344" s="2" t="s">
        <v>270</v>
      </c>
      <c r="G4344" s="2" t="s">
        <v>27007</v>
      </c>
      <c r="H4344" s="3" t="s">
        <v>31</v>
      </c>
      <c r="I4344" s="3">
        <v>2.0</v>
      </c>
      <c r="J4344" s="3">
        <v>2.0</v>
      </c>
      <c r="K4344" s="3" t="s">
        <v>31</v>
      </c>
      <c r="L4344" s="4" t="s">
        <v>27000</v>
      </c>
      <c r="M4344" s="2" t="s">
        <v>27008</v>
      </c>
      <c r="N4344" s="2" t="s">
        <v>665</v>
      </c>
      <c r="O4344" s="4" t="s">
        <v>3857</v>
      </c>
      <c r="P4344" s="2" t="s">
        <v>27002</v>
      </c>
      <c r="Q4344" s="2" t="s">
        <v>31</v>
      </c>
      <c r="R4344" s="2" t="s">
        <v>1420</v>
      </c>
      <c r="S4344" s="4" t="s">
        <v>8300</v>
      </c>
      <c r="T4344" s="2" t="s">
        <v>66</v>
      </c>
      <c r="U4344" s="4" t="s">
        <v>31</v>
      </c>
      <c r="V4344" s="2" t="s">
        <v>27009</v>
      </c>
      <c r="W4344" s="2" t="s">
        <v>26998</v>
      </c>
      <c r="X4344" s="5" t="str">
        <f>HYPERLINK("https://my.pitchbook.com?p=111703-15P","View People Online")</f>
        <v>View People Online</v>
      </c>
    </row>
    <row r="4345">
      <c r="A4345" s="6" t="s">
        <v>27010</v>
      </c>
      <c r="B4345" s="6" t="s">
        <v>27011</v>
      </c>
      <c r="C4345" s="6" t="s">
        <v>740</v>
      </c>
      <c r="D4345" s="6" t="s">
        <v>27012</v>
      </c>
      <c r="E4345" s="6" t="s">
        <v>26998</v>
      </c>
      <c r="F4345" s="6" t="s">
        <v>27013</v>
      </c>
      <c r="G4345" s="6" t="s">
        <v>27014</v>
      </c>
      <c r="H4345" s="7" t="s">
        <v>31</v>
      </c>
      <c r="I4345" s="7">
        <v>9.0</v>
      </c>
      <c r="J4345" s="7">
        <v>1.0</v>
      </c>
      <c r="K4345" s="7">
        <v>5.0</v>
      </c>
      <c r="L4345" s="8" t="s">
        <v>27000</v>
      </c>
      <c r="M4345" s="6" t="s">
        <v>27015</v>
      </c>
      <c r="N4345" s="6" t="s">
        <v>665</v>
      </c>
      <c r="O4345" s="8" t="s">
        <v>3857</v>
      </c>
      <c r="P4345" s="6" t="s">
        <v>27002</v>
      </c>
      <c r="Q4345" s="6" t="s">
        <v>31</v>
      </c>
      <c r="R4345" s="6" t="s">
        <v>1420</v>
      </c>
      <c r="S4345" s="8" t="s">
        <v>8300</v>
      </c>
      <c r="T4345" s="6" t="s">
        <v>66</v>
      </c>
      <c r="U4345" s="8" t="s">
        <v>31</v>
      </c>
      <c r="V4345" s="6" t="s">
        <v>27016</v>
      </c>
      <c r="W4345" s="6" t="s">
        <v>26998</v>
      </c>
      <c r="X4345" s="9" t="str">
        <f>HYPERLINK("https://my.pitchbook.com?p=191107-45P","View People Online")</f>
        <v>View People Online</v>
      </c>
    </row>
    <row r="4346">
      <c r="A4346" s="2" t="s">
        <v>27017</v>
      </c>
      <c r="B4346" s="2" t="s">
        <v>27018</v>
      </c>
      <c r="C4346" s="2" t="s">
        <v>1437</v>
      </c>
      <c r="D4346" s="2" t="s">
        <v>27019</v>
      </c>
      <c r="E4346" s="2" t="s">
        <v>26998</v>
      </c>
      <c r="F4346" s="2" t="s">
        <v>29</v>
      </c>
      <c r="G4346" s="2" t="s">
        <v>27020</v>
      </c>
      <c r="H4346" s="3" t="s">
        <v>31</v>
      </c>
      <c r="I4346" s="3">
        <v>2.0</v>
      </c>
      <c r="J4346" s="3">
        <v>2.0</v>
      </c>
      <c r="K4346" s="3" t="s">
        <v>31</v>
      </c>
      <c r="L4346" s="4" t="s">
        <v>27000</v>
      </c>
      <c r="M4346" s="2" t="s">
        <v>27021</v>
      </c>
      <c r="N4346" s="2" t="s">
        <v>665</v>
      </c>
      <c r="O4346" s="4" t="s">
        <v>3857</v>
      </c>
      <c r="P4346" s="2" t="s">
        <v>27002</v>
      </c>
      <c r="Q4346" s="2" t="s">
        <v>31</v>
      </c>
      <c r="R4346" s="2" t="s">
        <v>1420</v>
      </c>
      <c r="S4346" s="4" t="s">
        <v>8300</v>
      </c>
      <c r="T4346" s="2" t="s">
        <v>66</v>
      </c>
      <c r="U4346" s="4" t="s">
        <v>31</v>
      </c>
      <c r="V4346" s="2" t="s">
        <v>27022</v>
      </c>
      <c r="W4346" s="2" t="s">
        <v>26998</v>
      </c>
      <c r="X4346" s="5" t="str">
        <f>HYPERLINK("https://my.pitchbook.com?p=228079-36P","View People Online")</f>
        <v>View People Online</v>
      </c>
    </row>
    <row r="4347">
      <c r="A4347" s="14" t="s">
        <v>27023</v>
      </c>
      <c r="B4347" s="14" t="s">
        <v>27024</v>
      </c>
      <c r="C4347" s="14" t="s">
        <v>3610</v>
      </c>
      <c r="D4347" s="14" t="s">
        <v>27025</v>
      </c>
      <c r="E4347" s="14" t="s">
        <v>26998</v>
      </c>
      <c r="F4347" s="14" t="s">
        <v>2590</v>
      </c>
      <c r="G4347" s="14" t="s">
        <v>27026</v>
      </c>
      <c r="H4347" s="15">
        <v>3.0</v>
      </c>
      <c r="I4347" s="15">
        <v>26.0</v>
      </c>
      <c r="J4347" s="15">
        <v>3.0</v>
      </c>
      <c r="K4347" s="15">
        <v>15.0</v>
      </c>
      <c r="L4347" s="16" t="s">
        <v>27027</v>
      </c>
      <c r="M4347" s="14" t="s">
        <v>27028</v>
      </c>
      <c r="N4347" s="14" t="s">
        <v>665</v>
      </c>
      <c r="O4347" s="16" t="s">
        <v>3857</v>
      </c>
      <c r="P4347" s="14" t="s">
        <v>27002</v>
      </c>
      <c r="Q4347" s="14" t="s">
        <v>31</v>
      </c>
      <c r="R4347" s="14" t="s">
        <v>1420</v>
      </c>
      <c r="S4347" s="16" t="s">
        <v>8300</v>
      </c>
      <c r="T4347" s="14" t="s">
        <v>66</v>
      </c>
      <c r="U4347" s="16" t="s">
        <v>31</v>
      </c>
      <c r="V4347" s="14" t="s">
        <v>2168</v>
      </c>
      <c r="W4347" s="14" t="s">
        <v>26998</v>
      </c>
      <c r="X4347" s="17" t="str">
        <f>HYPERLINK("https://my.pitchbook.com?p=295684-57P","View People Online")</f>
        <v>View People Online</v>
      </c>
    </row>
    <row r="4348">
      <c r="A4348" s="2" t="s">
        <v>27029</v>
      </c>
      <c r="B4348" s="2" t="s">
        <v>27030</v>
      </c>
      <c r="C4348" s="2" t="s">
        <v>1982</v>
      </c>
      <c r="D4348" s="2" t="s">
        <v>7484</v>
      </c>
      <c r="E4348" s="2" t="s">
        <v>26998</v>
      </c>
      <c r="F4348" s="2" t="s">
        <v>81</v>
      </c>
      <c r="G4348" s="2" t="s">
        <v>27031</v>
      </c>
      <c r="H4348" s="3">
        <v>6.0</v>
      </c>
      <c r="I4348" s="3">
        <v>57.0</v>
      </c>
      <c r="J4348" s="3">
        <v>2.0</v>
      </c>
      <c r="K4348" s="3">
        <v>41.0</v>
      </c>
      <c r="L4348" s="4" t="s">
        <v>27032</v>
      </c>
      <c r="M4348" s="2" t="s">
        <v>27033</v>
      </c>
      <c r="N4348" s="2" t="s">
        <v>665</v>
      </c>
      <c r="O4348" s="4" t="s">
        <v>3857</v>
      </c>
      <c r="P4348" s="2" t="s">
        <v>27002</v>
      </c>
      <c r="Q4348" s="2" t="s">
        <v>27034</v>
      </c>
      <c r="R4348" s="2" t="s">
        <v>1420</v>
      </c>
      <c r="S4348" s="4" t="s">
        <v>8300</v>
      </c>
      <c r="T4348" s="2" t="s">
        <v>66</v>
      </c>
      <c r="U4348" s="4" t="s">
        <v>31</v>
      </c>
      <c r="V4348" s="2" t="s">
        <v>95</v>
      </c>
      <c r="W4348" s="2" t="s">
        <v>27035</v>
      </c>
      <c r="X4348" s="5" t="str">
        <f>HYPERLINK("https://my.pitchbook.com?p=77811-58P","View People Online")</f>
        <v>View People Online</v>
      </c>
    </row>
    <row r="4349">
      <c r="A4349" s="6" t="s">
        <v>27036</v>
      </c>
      <c r="B4349" s="6" t="s">
        <v>27037</v>
      </c>
      <c r="C4349" s="6" t="s">
        <v>1449</v>
      </c>
      <c r="D4349" s="6" t="s">
        <v>27038</v>
      </c>
      <c r="E4349" s="6" t="s">
        <v>26998</v>
      </c>
      <c r="F4349" s="6" t="s">
        <v>3429</v>
      </c>
      <c r="G4349" s="6" t="s">
        <v>27039</v>
      </c>
      <c r="H4349" s="7" t="s">
        <v>31</v>
      </c>
      <c r="I4349" s="7">
        <v>5.0</v>
      </c>
      <c r="J4349" s="7">
        <v>1.0</v>
      </c>
      <c r="K4349" s="7">
        <v>3.0</v>
      </c>
      <c r="L4349" s="8" t="s">
        <v>27040</v>
      </c>
      <c r="M4349" s="6" t="s">
        <v>27041</v>
      </c>
      <c r="N4349" s="6" t="s">
        <v>665</v>
      </c>
      <c r="O4349" s="8" t="s">
        <v>3857</v>
      </c>
      <c r="P4349" s="6" t="s">
        <v>27002</v>
      </c>
      <c r="Q4349" s="6" t="s">
        <v>31</v>
      </c>
      <c r="R4349" s="6" t="s">
        <v>1420</v>
      </c>
      <c r="S4349" s="8" t="s">
        <v>8300</v>
      </c>
      <c r="T4349" s="6" t="s">
        <v>66</v>
      </c>
      <c r="U4349" s="8" t="s">
        <v>31</v>
      </c>
      <c r="V4349" s="6" t="s">
        <v>27022</v>
      </c>
      <c r="W4349" s="6" t="s">
        <v>26998</v>
      </c>
      <c r="X4349" s="9" t="str">
        <f>HYPERLINK("https://my.pitchbook.com?p=36117-73P","View People Online")</f>
        <v>View People Online</v>
      </c>
    </row>
    <row r="4350">
      <c r="A4350" s="10" t="s">
        <v>27042</v>
      </c>
      <c r="B4350" s="10" t="s">
        <v>27043</v>
      </c>
      <c r="C4350" s="10" t="s">
        <v>323</v>
      </c>
      <c r="D4350" s="10" t="s">
        <v>27044</v>
      </c>
      <c r="E4350" s="10" t="s">
        <v>26998</v>
      </c>
      <c r="F4350" s="10" t="s">
        <v>502</v>
      </c>
      <c r="G4350" s="10" t="s">
        <v>27045</v>
      </c>
      <c r="H4350" s="11">
        <v>1.0</v>
      </c>
      <c r="I4350" s="11">
        <v>3.0</v>
      </c>
      <c r="J4350" s="11">
        <v>2.0</v>
      </c>
      <c r="K4350" s="11" t="s">
        <v>31</v>
      </c>
      <c r="L4350" s="12" t="s">
        <v>27046</v>
      </c>
      <c r="M4350" s="10" t="s">
        <v>27047</v>
      </c>
      <c r="N4350" s="10" t="s">
        <v>665</v>
      </c>
      <c r="O4350" s="12" t="s">
        <v>3857</v>
      </c>
      <c r="P4350" s="10" t="s">
        <v>27048</v>
      </c>
      <c r="Q4350" s="10" t="s">
        <v>989</v>
      </c>
      <c r="R4350" s="10" t="s">
        <v>1420</v>
      </c>
      <c r="S4350" s="12" t="s">
        <v>27049</v>
      </c>
      <c r="T4350" s="10" t="s">
        <v>66</v>
      </c>
      <c r="U4350" s="12" t="s">
        <v>31</v>
      </c>
      <c r="V4350" s="10" t="s">
        <v>2379</v>
      </c>
      <c r="W4350" s="10" t="s">
        <v>27050</v>
      </c>
      <c r="X4350" s="13" t="str">
        <f>HYPERLINK("https://my.pitchbook.com?p=96978-25P","View People Online")</f>
        <v>View People Online</v>
      </c>
    </row>
    <row r="4351">
      <c r="A4351" s="6" t="s">
        <v>27051</v>
      </c>
      <c r="B4351" s="6" t="s">
        <v>27052</v>
      </c>
      <c r="C4351" s="6" t="s">
        <v>27053</v>
      </c>
      <c r="D4351" s="6" t="s">
        <v>27054</v>
      </c>
      <c r="E4351" s="6" t="s">
        <v>26998</v>
      </c>
      <c r="F4351" s="6" t="s">
        <v>81</v>
      </c>
      <c r="G4351" s="6" t="s">
        <v>27055</v>
      </c>
      <c r="H4351" s="7">
        <v>1.0</v>
      </c>
      <c r="I4351" s="7">
        <v>4.0</v>
      </c>
      <c r="J4351" s="7">
        <v>1.0</v>
      </c>
      <c r="K4351" s="7">
        <v>1.0</v>
      </c>
      <c r="L4351" s="8" t="s">
        <v>27056</v>
      </c>
      <c r="M4351" s="6" t="s">
        <v>31</v>
      </c>
      <c r="N4351" s="6" t="s">
        <v>665</v>
      </c>
      <c r="O4351" s="8" t="s">
        <v>3857</v>
      </c>
      <c r="P4351" s="6" t="s">
        <v>27057</v>
      </c>
      <c r="Q4351" s="6" t="s">
        <v>27058</v>
      </c>
      <c r="R4351" s="6" t="s">
        <v>1420</v>
      </c>
      <c r="S4351" s="8" t="s">
        <v>8300</v>
      </c>
      <c r="T4351" s="6" t="s">
        <v>66</v>
      </c>
      <c r="U4351" s="8" t="s">
        <v>31</v>
      </c>
      <c r="V4351" s="6" t="s">
        <v>371</v>
      </c>
      <c r="W4351" s="6" t="s">
        <v>27059</v>
      </c>
      <c r="X4351" s="9" t="str">
        <f>HYPERLINK("https://my.pitchbook.com?p=73696-69P","View People Online")</f>
        <v>View People Online</v>
      </c>
    </row>
    <row r="4352">
      <c r="A4352" s="2" t="s">
        <v>27060</v>
      </c>
      <c r="B4352" s="2" t="s">
        <v>27061</v>
      </c>
      <c r="C4352" s="2" t="s">
        <v>27062</v>
      </c>
      <c r="D4352" s="2" t="s">
        <v>3570</v>
      </c>
      <c r="E4352" s="2" t="s">
        <v>26998</v>
      </c>
      <c r="F4352" s="2" t="s">
        <v>81</v>
      </c>
      <c r="G4352" s="2" t="s">
        <v>27063</v>
      </c>
      <c r="H4352" s="3" t="s">
        <v>31</v>
      </c>
      <c r="I4352" s="3">
        <v>1.0</v>
      </c>
      <c r="J4352" s="3" t="s">
        <v>31</v>
      </c>
      <c r="K4352" s="3" t="s">
        <v>31</v>
      </c>
      <c r="L4352" s="4" t="s">
        <v>27000</v>
      </c>
      <c r="M4352" s="2" t="s">
        <v>31</v>
      </c>
      <c r="N4352" s="2" t="s">
        <v>665</v>
      </c>
      <c r="O4352" s="4" t="s">
        <v>3857</v>
      </c>
      <c r="P4352" s="2" t="s">
        <v>27002</v>
      </c>
      <c r="Q4352" s="2" t="s">
        <v>31</v>
      </c>
      <c r="R4352" s="2" t="s">
        <v>1420</v>
      </c>
      <c r="S4352" s="4" t="s">
        <v>8300</v>
      </c>
      <c r="T4352" s="2" t="s">
        <v>66</v>
      </c>
      <c r="U4352" s="4" t="s">
        <v>31</v>
      </c>
      <c r="V4352" s="2" t="s">
        <v>27064</v>
      </c>
      <c r="W4352" s="2" t="s">
        <v>26998</v>
      </c>
      <c r="X4352" s="5" t="str">
        <f>HYPERLINK("https://my.pitchbook.com?p=224421-31P","View People Online")</f>
        <v>View People Online</v>
      </c>
    </row>
    <row r="4353">
      <c r="A4353" s="6" t="s">
        <v>27065</v>
      </c>
      <c r="B4353" s="6" t="s">
        <v>27066</v>
      </c>
      <c r="C4353" s="6" t="s">
        <v>5358</v>
      </c>
      <c r="D4353" s="6" t="s">
        <v>27067</v>
      </c>
      <c r="E4353" s="6" t="s">
        <v>26998</v>
      </c>
      <c r="F4353" s="6" t="s">
        <v>5086</v>
      </c>
      <c r="G4353" s="6" t="s">
        <v>27068</v>
      </c>
      <c r="H4353" s="7" t="s">
        <v>31</v>
      </c>
      <c r="I4353" s="7">
        <v>2.0</v>
      </c>
      <c r="J4353" s="7">
        <v>1.0</v>
      </c>
      <c r="K4353" s="7">
        <v>1.0</v>
      </c>
      <c r="L4353" s="8" t="s">
        <v>27000</v>
      </c>
      <c r="M4353" s="6" t="s">
        <v>31</v>
      </c>
      <c r="N4353" s="6" t="s">
        <v>665</v>
      </c>
      <c r="O4353" s="8" t="s">
        <v>3857</v>
      </c>
      <c r="P4353" s="6" t="s">
        <v>27002</v>
      </c>
      <c r="Q4353" s="6" t="s">
        <v>31</v>
      </c>
      <c r="R4353" s="6" t="s">
        <v>1420</v>
      </c>
      <c r="S4353" s="8" t="s">
        <v>8300</v>
      </c>
      <c r="T4353" s="6" t="s">
        <v>66</v>
      </c>
      <c r="U4353" s="8" t="s">
        <v>31</v>
      </c>
      <c r="V4353" s="6" t="s">
        <v>27069</v>
      </c>
      <c r="W4353" s="6" t="s">
        <v>26998</v>
      </c>
      <c r="X4353" s="9" t="str">
        <f>HYPERLINK("https://my.pitchbook.com?p=424546-84P","View People Online")</f>
        <v>View People Online</v>
      </c>
    </row>
    <row r="4354">
      <c r="A4354" s="10" t="s">
        <v>27070</v>
      </c>
      <c r="B4354" s="10" t="s">
        <v>27071</v>
      </c>
      <c r="C4354" s="10" t="s">
        <v>350</v>
      </c>
      <c r="D4354" s="10" t="s">
        <v>27072</v>
      </c>
      <c r="E4354" s="10" t="s">
        <v>26998</v>
      </c>
      <c r="F4354" s="10" t="s">
        <v>27073</v>
      </c>
      <c r="G4354" s="10" t="s">
        <v>27074</v>
      </c>
      <c r="H4354" s="11" t="s">
        <v>31</v>
      </c>
      <c r="I4354" s="11">
        <v>2.0</v>
      </c>
      <c r="J4354" s="11">
        <v>2.0</v>
      </c>
      <c r="K4354" s="11" t="s">
        <v>31</v>
      </c>
      <c r="L4354" s="12" t="s">
        <v>27075</v>
      </c>
      <c r="M4354" s="10" t="s">
        <v>31</v>
      </c>
      <c r="N4354" s="10" t="s">
        <v>6588</v>
      </c>
      <c r="O4354" s="12" t="s">
        <v>6589</v>
      </c>
      <c r="P4354" s="10" t="s">
        <v>27076</v>
      </c>
      <c r="Q4354" s="10" t="s">
        <v>31</v>
      </c>
      <c r="R4354" s="10" t="s">
        <v>93</v>
      </c>
      <c r="S4354" s="12" t="s">
        <v>27077</v>
      </c>
      <c r="T4354" s="10" t="s">
        <v>66</v>
      </c>
      <c r="U4354" s="12" t="s">
        <v>31</v>
      </c>
      <c r="V4354" s="10" t="s">
        <v>27078</v>
      </c>
      <c r="W4354" s="10" t="s">
        <v>27079</v>
      </c>
      <c r="X4354" s="13" t="str">
        <f>HYPERLINK("https://my.pitchbook.com?p=56304-73P","View People Online")</f>
        <v>View People Online</v>
      </c>
    </row>
    <row r="4355">
      <c r="A4355" s="14" t="s">
        <v>27080</v>
      </c>
      <c r="B4355" s="14" t="s">
        <v>27081</v>
      </c>
      <c r="C4355" s="14" t="s">
        <v>3052</v>
      </c>
      <c r="D4355" s="14" t="s">
        <v>1771</v>
      </c>
      <c r="E4355" s="14" t="s">
        <v>26998</v>
      </c>
      <c r="F4355" s="14" t="s">
        <v>1167</v>
      </c>
      <c r="G4355" s="14" t="s">
        <v>27082</v>
      </c>
      <c r="H4355" s="15" t="s">
        <v>31</v>
      </c>
      <c r="I4355" s="15">
        <v>118.0</v>
      </c>
      <c r="J4355" s="15">
        <v>2.0</v>
      </c>
      <c r="K4355" s="15">
        <v>98.0</v>
      </c>
      <c r="L4355" s="16" t="s">
        <v>27000</v>
      </c>
      <c r="M4355" s="14" t="s">
        <v>27083</v>
      </c>
      <c r="N4355" s="14" t="s">
        <v>665</v>
      </c>
      <c r="O4355" s="16" t="s">
        <v>3857</v>
      </c>
      <c r="P4355" s="14" t="s">
        <v>27002</v>
      </c>
      <c r="Q4355" s="14" t="s">
        <v>31</v>
      </c>
      <c r="R4355" s="14" t="s">
        <v>1420</v>
      </c>
      <c r="S4355" s="16" t="s">
        <v>8300</v>
      </c>
      <c r="T4355" s="14" t="s">
        <v>66</v>
      </c>
      <c r="U4355" s="16" t="s">
        <v>31</v>
      </c>
      <c r="V4355" s="14" t="s">
        <v>1384</v>
      </c>
      <c r="W4355" s="14" t="s">
        <v>26998</v>
      </c>
      <c r="X4355" s="17" t="str">
        <f>HYPERLINK("https://my.pitchbook.com?p=35442-73P","View People Online")</f>
        <v>View People Online</v>
      </c>
    </row>
    <row r="4356">
      <c r="A4356" s="2" t="s">
        <v>27084</v>
      </c>
      <c r="B4356" s="2" t="s">
        <v>27085</v>
      </c>
      <c r="C4356" s="2" t="s">
        <v>1489</v>
      </c>
      <c r="D4356" s="2" t="s">
        <v>27086</v>
      </c>
      <c r="E4356" s="2" t="s">
        <v>26998</v>
      </c>
      <c r="F4356" s="2" t="s">
        <v>3472</v>
      </c>
      <c r="G4356" s="2" t="s">
        <v>27087</v>
      </c>
      <c r="H4356" s="3">
        <v>1.0</v>
      </c>
      <c r="I4356" s="3">
        <v>3.0</v>
      </c>
      <c r="J4356" s="3">
        <v>2.0</v>
      </c>
      <c r="K4356" s="3">
        <v>1.0</v>
      </c>
      <c r="L4356" s="4" t="s">
        <v>27000</v>
      </c>
      <c r="M4356" s="2" t="s">
        <v>27088</v>
      </c>
      <c r="N4356" s="2" t="s">
        <v>665</v>
      </c>
      <c r="O4356" s="4" t="s">
        <v>3857</v>
      </c>
      <c r="P4356" s="2" t="s">
        <v>27002</v>
      </c>
      <c r="Q4356" s="2" t="s">
        <v>31</v>
      </c>
      <c r="R4356" s="2" t="s">
        <v>1420</v>
      </c>
      <c r="S4356" s="4" t="s">
        <v>8300</v>
      </c>
      <c r="T4356" s="2" t="s">
        <v>66</v>
      </c>
      <c r="U4356" s="4" t="s">
        <v>31</v>
      </c>
      <c r="V4356" s="2" t="s">
        <v>27089</v>
      </c>
      <c r="W4356" s="2" t="s">
        <v>26998</v>
      </c>
      <c r="X4356" s="5" t="str">
        <f>HYPERLINK("https://my.pitchbook.com?p=216269-65P","View People Online")</f>
        <v>View People Online</v>
      </c>
    </row>
    <row r="4357">
      <c r="A4357" s="6" t="s">
        <v>27090</v>
      </c>
      <c r="B4357" s="6" t="s">
        <v>5148</v>
      </c>
      <c r="C4357" s="6" t="s">
        <v>3554</v>
      </c>
      <c r="D4357" s="6" t="s">
        <v>200</v>
      </c>
      <c r="E4357" s="6" t="s">
        <v>26998</v>
      </c>
      <c r="F4357" s="6" t="s">
        <v>270</v>
      </c>
      <c r="G4357" s="6" t="s">
        <v>27091</v>
      </c>
      <c r="H4357" s="7" t="s">
        <v>31</v>
      </c>
      <c r="I4357" s="7">
        <v>1.0</v>
      </c>
      <c r="J4357" s="7">
        <v>1.0</v>
      </c>
      <c r="K4357" s="7" t="s">
        <v>31</v>
      </c>
      <c r="L4357" s="8" t="s">
        <v>27000</v>
      </c>
      <c r="M4357" s="6" t="s">
        <v>31</v>
      </c>
      <c r="N4357" s="6" t="s">
        <v>665</v>
      </c>
      <c r="O4357" s="8" t="s">
        <v>3857</v>
      </c>
      <c r="P4357" s="6" t="s">
        <v>27002</v>
      </c>
      <c r="Q4357" s="6" t="s">
        <v>31</v>
      </c>
      <c r="R4357" s="6" t="s">
        <v>1420</v>
      </c>
      <c r="S4357" s="8" t="s">
        <v>8300</v>
      </c>
      <c r="T4357" s="6" t="s">
        <v>66</v>
      </c>
      <c r="U4357" s="8" t="s">
        <v>31</v>
      </c>
      <c r="V4357" s="6" t="s">
        <v>27092</v>
      </c>
      <c r="W4357" s="6" t="s">
        <v>26998</v>
      </c>
      <c r="X4357" s="9" t="str">
        <f>HYPERLINK("https://my.pitchbook.com?p=176452-57P","View People Online")</f>
        <v>View People Online</v>
      </c>
    </row>
    <row r="4358">
      <c r="A4358" s="10" t="s">
        <v>27093</v>
      </c>
      <c r="B4358" s="10" t="s">
        <v>27094</v>
      </c>
      <c r="C4358" s="10" t="s">
        <v>27095</v>
      </c>
      <c r="D4358" s="10" t="s">
        <v>27096</v>
      </c>
      <c r="E4358" s="10" t="s">
        <v>26998</v>
      </c>
      <c r="F4358" s="10" t="s">
        <v>78</v>
      </c>
      <c r="G4358" s="10" t="s">
        <v>27097</v>
      </c>
      <c r="H4358" s="11" t="s">
        <v>31</v>
      </c>
      <c r="I4358" s="11">
        <v>1.0</v>
      </c>
      <c r="J4358" s="11">
        <v>1.0</v>
      </c>
      <c r="K4358" s="11" t="s">
        <v>31</v>
      </c>
      <c r="L4358" s="12" t="s">
        <v>27000</v>
      </c>
      <c r="M4358" s="10" t="s">
        <v>27098</v>
      </c>
      <c r="N4358" s="10" t="s">
        <v>665</v>
      </c>
      <c r="O4358" s="12" t="s">
        <v>3857</v>
      </c>
      <c r="P4358" s="10" t="s">
        <v>27002</v>
      </c>
      <c r="Q4358" s="10" t="s">
        <v>31</v>
      </c>
      <c r="R4358" s="10" t="s">
        <v>1420</v>
      </c>
      <c r="S4358" s="12" t="s">
        <v>8300</v>
      </c>
      <c r="T4358" s="10" t="s">
        <v>66</v>
      </c>
      <c r="U4358" s="12" t="s">
        <v>31</v>
      </c>
      <c r="V4358" s="10" t="s">
        <v>78</v>
      </c>
      <c r="W4358" s="10" t="s">
        <v>26998</v>
      </c>
      <c r="X4358" s="13" t="str">
        <f>HYPERLINK("https://my.pitchbook.com?p=277769-62P","View People Online")</f>
        <v>View People Online</v>
      </c>
    </row>
    <row r="4359">
      <c r="A4359" s="14" t="s">
        <v>27099</v>
      </c>
      <c r="B4359" s="14" t="s">
        <v>27100</v>
      </c>
      <c r="C4359" s="14" t="s">
        <v>126</v>
      </c>
      <c r="D4359" s="14" t="s">
        <v>27101</v>
      </c>
      <c r="E4359" s="14" t="s">
        <v>26998</v>
      </c>
      <c r="F4359" s="14" t="s">
        <v>548</v>
      </c>
      <c r="G4359" s="14" t="s">
        <v>27102</v>
      </c>
      <c r="H4359" s="15" t="s">
        <v>31</v>
      </c>
      <c r="I4359" s="15">
        <v>10.0</v>
      </c>
      <c r="J4359" s="15">
        <v>1.0</v>
      </c>
      <c r="K4359" s="15">
        <v>7.0</v>
      </c>
      <c r="L4359" s="16" t="s">
        <v>27000</v>
      </c>
      <c r="M4359" s="14" t="s">
        <v>27103</v>
      </c>
      <c r="N4359" s="14" t="s">
        <v>665</v>
      </c>
      <c r="O4359" s="16" t="s">
        <v>3857</v>
      </c>
      <c r="P4359" s="14" t="s">
        <v>27002</v>
      </c>
      <c r="Q4359" s="14" t="s">
        <v>31</v>
      </c>
      <c r="R4359" s="14" t="s">
        <v>1420</v>
      </c>
      <c r="S4359" s="16" t="s">
        <v>8300</v>
      </c>
      <c r="T4359" s="14" t="s">
        <v>66</v>
      </c>
      <c r="U4359" s="16" t="s">
        <v>31</v>
      </c>
      <c r="V4359" s="14" t="s">
        <v>548</v>
      </c>
      <c r="W4359" s="14" t="s">
        <v>26998</v>
      </c>
      <c r="X4359" s="17" t="str">
        <f>HYPERLINK("https://my.pitchbook.com?p=93175-84P","View People Online")</f>
        <v>View People Online</v>
      </c>
    </row>
    <row r="4360">
      <c r="A4360" s="10" t="s">
        <v>27104</v>
      </c>
      <c r="B4360" s="10" t="s">
        <v>27105</v>
      </c>
      <c r="C4360" s="10" t="s">
        <v>26641</v>
      </c>
      <c r="D4360" s="10" t="s">
        <v>27106</v>
      </c>
      <c r="E4360" s="10" t="s">
        <v>26998</v>
      </c>
      <c r="F4360" s="10" t="s">
        <v>1801</v>
      </c>
      <c r="G4360" s="10" t="s">
        <v>27107</v>
      </c>
      <c r="H4360" s="11" t="s">
        <v>31</v>
      </c>
      <c r="I4360" s="11">
        <v>2.0</v>
      </c>
      <c r="J4360" s="11">
        <v>1.0</v>
      </c>
      <c r="K4360" s="11">
        <v>1.0</v>
      </c>
      <c r="L4360" s="12" t="s">
        <v>27000</v>
      </c>
      <c r="M4360" s="10" t="s">
        <v>27108</v>
      </c>
      <c r="N4360" s="10" t="s">
        <v>665</v>
      </c>
      <c r="O4360" s="12" t="s">
        <v>3857</v>
      </c>
      <c r="P4360" s="10" t="s">
        <v>27002</v>
      </c>
      <c r="Q4360" s="10" t="s">
        <v>31</v>
      </c>
      <c r="R4360" s="10" t="s">
        <v>1420</v>
      </c>
      <c r="S4360" s="12" t="s">
        <v>8300</v>
      </c>
      <c r="T4360" s="10" t="s">
        <v>66</v>
      </c>
      <c r="U4360" s="12" t="s">
        <v>31</v>
      </c>
      <c r="V4360" s="10" t="s">
        <v>27109</v>
      </c>
      <c r="W4360" s="10" t="s">
        <v>26998</v>
      </c>
      <c r="X4360" s="13" t="str">
        <f>HYPERLINK("https://my.pitchbook.com?p=240979-51P","View People Online")</f>
        <v>View People Online</v>
      </c>
    </row>
    <row r="4361">
      <c r="A4361" s="6" t="s">
        <v>27110</v>
      </c>
      <c r="B4361" s="6" t="s">
        <v>27111</v>
      </c>
      <c r="C4361" s="6" t="s">
        <v>132</v>
      </c>
      <c r="D4361" s="6" t="s">
        <v>27112</v>
      </c>
      <c r="E4361" s="6" t="s">
        <v>26998</v>
      </c>
      <c r="F4361" s="6" t="s">
        <v>318</v>
      </c>
      <c r="G4361" s="6" t="s">
        <v>27113</v>
      </c>
      <c r="H4361" s="7" t="s">
        <v>31</v>
      </c>
      <c r="I4361" s="7">
        <v>3.0</v>
      </c>
      <c r="J4361" s="7">
        <v>3.0</v>
      </c>
      <c r="K4361" s="7" t="s">
        <v>31</v>
      </c>
      <c r="L4361" s="8" t="s">
        <v>31</v>
      </c>
      <c r="M4361" s="6" t="s">
        <v>27114</v>
      </c>
      <c r="N4361" s="6" t="s">
        <v>665</v>
      </c>
      <c r="O4361" s="8" t="s">
        <v>3857</v>
      </c>
      <c r="P4361" s="6" t="s">
        <v>27115</v>
      </c>
      <c r="Q4361" s="6" t="s">
        <v>31</v>
      </c>
      <c r="R4361" s="6" t="s">
        <v>1420</v>
      </c>
      <c r="S4361" s="8" t="s">
        <v>27116</v>
      </c>
      <c r="T4361" s="6" t="s">
        <v>66</v>
      </c>
      <c r="U4361" s="8" t="s">
        <v>31</v>
      </c>
      <c r="V4361" s="6" t="s">
        <v>27117</v>
      </c>
      <c r="W4361" s="6" t="s">
        <v>27118</v>
      </c>
      <c r="X4361" s="9" t="str">
        <f>HYPERLINK("https://my.pitchbook.com?p=184211-38P","View People Online")</f>
        <v>View People Online</v>
      </c>
    </row>
    <row r="4362">
      <c r="A4362" s="10" t="s">
        <v>27119</v>
      </c>
      <c r="B4362" s="10" t="s">
        <v>27120</v>
      </c>
      <c r="C4362" s="10" t="s">
        <v>180</v>
      </c>
      <c r="D4362" s="10" t="s">
        <v>15839</v>
      </c>
      <c r="E4362" s="10" t="s">
        <v>26998</v>
      </c>
      <c r="F4362" s="10" t="s">
        <v>1106</v>
      </c>
      <c r="G4362" s="10" t="s">
        <v>27121</v>
      </c>
      <c r="H4362" s="11">
        <v>3.0</v>
      </c>
      <c r="I4362" s="11">
        <v>9.0</v>
      </c>
      <c r="J4362" s="11">
        <v>2.0</v>
      </c>
      <c r="K4362" s="11">
        <v>3.0</v>
      </c>
      <c r="L4362" s="12" t="s">
        <v>27122</v>
      </c>
      <c r="M4362" s="10" t="s">
        <v>27123</v>
      </c>
      <c r="N4362" s="10" t="s">
        <v>665</v>
      </c>
      <c r="O4362" s="12" t="s">
        <v>3857</v>
      </c>
      <c r="P4362" s="10" t="s">
        <v>27124</v>
      </c>
      <c r="Q4362" s="10" t="s">
        <v>27125</v>
      </c>
      <c r="R4362" s="10" t="s">
        <v>1420</v>
      </c>
      <c r="S4362" s="12" t="s">
        <v>27126</v>
      </c>
      <c r="T4362" s="10" t="s">
        <v>66</v>
      </c>
      <c r="U4362" s="12" t="s">
        <v>31</v>
      </c>
      <c r="V4362" s="10" t="s">
        <v>11734</v>
      </c>
      <c r="W4362" s="10" t="s">
        <v>27127</v>
      </c>
      <c r="X4362" s="13" t="str">
        <f>HYPERLINK("https://my.pitchbook.com?p=38335-87P","View People Online")</f>
        <v>View People Online</v>
      </c>
    </row>
    <row r="4363">
      <c r="A4363" s="14" t="s">
        <v>27128</v>
      </c>
      <c r="B4363" s="14" t="s">
        <v>27129</v>
      </c>
      <c r="C4363" s="14" t="s">
        <v>27130</v>
      </c>
      <c r="D4363" s="14" t="s">
        <v>27131</v>
      </c>
      <c r="E4363" s="14" t="s">
        <v>26998</v>
      </c>
      <c r="F4363" s="14" t="s">
        <v>81</v>
      </c>
      <c r="G4363" s="14" t="s">
        <v>27132</v>
      </c>
      <c r="H4363" s="15" t="s">
        <v>31</v>
      </c>
      <c r="I4363" s="15">
        <v>8.0</v>
      </c>
      <c r="J4363" s="15" t="s">
        <v>31</v>
      </c>
      <c r="K4363" s="15">
        <v>4.0</v>
      </c>
      <c r="L4363" s="16" t="s">
        <v>27000</v>
      </c>
      <c r="M4363" s="14" t="s">
        <v>31</v>
      </c>
      <c r="N4363" s="14" t="s">
        <v>665</v>
      </c>
      <c r="O4363" s="16" t="s">
        <v>3857</v>
      </c>
      <c r="P4363" s="14" t="s">
        <v>27002</v>
      </c>
      <c r="Q4363" s="14" t="s">
        <v>31</v>
      </c>
      <c r="R4363" s="14" t="s">
        <v>1420</v>
      </c>
      <c r="S4363" s="16" t="s">
        <v>8300</v>
      </c>
      <c r="T4363" s="14" t="s">
        <v>66</v>
      </c>
      <c r="U4363" s="16" t="s">
        <v>31</v>
      </c>
      <c r="V4363" s="14" t="s">
        <v>81</v>
      </c>
      <c r="W4363" s="14" t="s">
        <v>26998</v>
      </c>
      <c r="X4363" s="17" t="str">
        <f>HYPERLINK("https://my.pitchbook.com?p=103713-49P","View People Online")</f>
        <v>View People Online</v>
      </c>
    </row>
    <row r="4364">
      <c r="A4364" s="10" t="s">
        <v>27133</v>
      </c>
      <c r="B4364" s="10" t="s">
        <v>27134</v>
      </c>
      <c r="C4364" s="10" t="s">
        <v>6199</v>
      </c>
      <c r="D4364" s="10" t="s">
        <v>27135</v>
      </c>
      <c r="E4364" s="10" t="s">
        <v>26998</v>
      </c>
      <c r="F4364" s="10" t="s">
        <v>3429</v>
      </c>
      <c r="G4364" s="10" t="s">
        <v>27136</v>
      </c>
      <c r="H4364" s="11">
        <v>1.0</v>
      </c>
      <c r="I4364" s="11">
        <v>14.0</v>
      </c>
      <c r="J4364" s="11">
        <v>1.0</v>
      </c>
      <c r="K4364" s="11">
        <v>8.0</v>
      </c>
      <c r="L4364" s="12" t="s">
        <v>27000</v>
      </c>
      <c r="M4364" s="10" t="s">
        <v>27137</v>
      </c>
      <c r="N4364" s="10" t="s">
        <v>665</v>
      </c>
      <c r="O4364" s="12" t="s">
        <v>3857</v>
      </c>
      <c r="P4364" s="10" t="s">
        <v>27002</v>
      </c>
      <c r="Q4364" s="10" t="s">
        <v>31</v>
      </c>
      <c r="R4364" s="10" t="s">
        <v>1420</v>
      </c>
      <c r="S4364" s="12" t="s">
        <v>8300</v>
      </c>
      <c r="T4364" s="10" t="s">
        <v>66</v>
      </c>
      <c r="U4364" s="12" t="s">
        <v>31</v>
      </c>
      <c r="V4364" s="10" t="s">
        <v>27138</v>
      </c>
      <c r="W4364" s="10" t="s">
        <v>26998</v>
      </c>
      <c r="X4364" s="13" t="str">
        <f>HYPERLINK("https://my.pitchbook.com?p=36740-26P","View People Online")</f>
        <v>View People Online</v>
      </c>
    </row>
    <row r="4365">
      <c r="A4365" s="6" t="s">
        <v>27139</v>
      </c>
      <c r="B4365" s="6" t="s">
        <v>27140</v>
      </c>
      <c r="C4365" s="6" t="s">
        <v>1323</v>
      </c>
      <c r="D4365" s="6" t="s">
        <v>27141</v>
      </c>
      <c r="E4365" s="6" t="s">
        <v>27142</v>
      </c>
      <c r="F4365" s="6" t="s">
        <v>1283</v>
      </c>
      <c r="G4365" s="6" t="s">
        <v>27143</v>
      </c>
      <c r="H4365" s="7" t="s">
        <v>31</v>
      </c>
      <c r="I4365" s="7">
        <v>2.0</v>
      </c>
      <c r="J4365" s="7">
        <v>1.0</v>
      </c>
      <c r="K4365" s="7">
        <v>1.0</v>
      </c>
      <c r="L4365" s="8" t="s">
        <v>27144</v>
      </c>
      <c r="M4365" s="6" t="s">
        <v>27145</v>
      </c>
      <c r="N4365" s="6" t="s">
        <v>7121</v>
      </c>
      <c r="O4365" s="8" t="s">
        <v>7122</v>
      </c>
      <c r="P4365" s="6" t="s">
        <v>27146</v>
      </c>
      <c r="Q4365" s="6" t="s">
        <v>6654</v>
      </c>
      <c r="R4365" s="6" t="s">
        <v>5348</v>
      </c>
      <c r="S4365" s="8" t="s">
        <v>7125</v>
      </c>
      <c r="T4365" s="6" t="s">
        <v>66</v>
      </c>
      <c r="U4365" s="8" t="s">
        <v>31</v>
      </c>
      <c r="V4365" s="6" t="s">
        <v>1283</v>
      </c>
      <c r="W4365" s="6" t="s">
        <v>27142</v>
      </c>
      <c r="X4365" s="9" t="str">
        <f>HYPERLINK("https://my.pitchbook.com?p=194013-46P","View People Online")</f>
        <v>View People Online</v>
      </c>
    </row>
    <row r="4366">
      <c r="A4366" s="2" t="s">
        <v>27147</v>
      </c>
      <c r="B4366" s="2" t="s">
        <v>27148</v>
      </c>
      <c r="C4366" s="2" t="s">
        <v>3692</v>
      </c>
      <c r="D4366" s="2" t="s">
        <v>27149</v>
      </c>
      <c r="E4366" s="2" t="s">
        <v>27142</v>
      </c>
      <c r="F4366" s="2" t="s">
        <v>25083</v>
      </c>
      <c r="G4366" s="2" t="s">
        <v>27150</v>
      </c>
      <c r="H4366" s="3">
        <v>4.0</v>
      </c>
      <c r="I4366" s="3">
        <v>68.0</v>
      </c>
      <c r="J4366" s="3">
        <v>1.0</v>
      </c>
      <c r="K4366" s="3">
        <v>59.0</v>
      </c>
      <c r="L4366" s="4" t="s">
        <v>27144</v>
      </c>
      <c r="M4366" s="2" t="s">
        <v>27151</v>
      </c>
      <c r="N4366" s="2" t="s">
        <v>7121</v>
      </c>
      <c r="O4366" s="4" t="s">
        <v>7122</v>
      </c>
      <c r="P4366" s="2" t="s">
        <v>27146</v>
      </c>
      <c r="Q4366" s="2" t="s">
        <v>6654</v>
      </c>
      <c r="R4366" s="2" t="s">
        <v>5348</v>
      </c>
      <c r="S4366" s="4" t="s">
        <v>7125</v>
      </c>
      <c r="T4366" s="2" t="s">
        <v>66</v>
      </c>
      <c r="U4366" s="4" t="s">
        <v>31</v>
      </c>
      <c r="V4366" s="2" t="s">
        <v>27152</v>
      </c>
      <c r="W4366" s="2" t="s">
        <v>27142</v>
      </c>
      <c r="X4366" s="5" t="str">
        <f>HYPERLINK("https://my.pitchbook.com?p=41624-47P","View People Online")</f>
        <v>View People Online</v>
      </c>
    </row>
    <row r="4367">
      <c r="A4367" s="6" t="s">
        <v>27153</v>
      </c>
      <c r="B4367" s="6" t="s">
        <v>27154</v>
      </c>
      <c r="C4367" s="6" t="s">
        <v>14826</v>
      </c>
      <c r="D4367" s="6" t="s">
        <v>27155</v>
      </c>
      <c r="E4367" s="6" t="s">
        <v>27156</v>
      </c>
      <c r="F4367" s="6" t="s">
        <v>270</v>
      </c>
      <c r="G4367" s="6" t="s">
        <v>27157</v>
      </c>
      <c r="H4367" s="7" t="s">
        <v>31</v>
      </c>
      <c r="I4367" s="7">
        <v>1.0</v>
      </c>
      <c r="J4367" s="7">
        <v>1.0</v>
      </c>
      <c r="K4367" s="7" t="s">
        <v>31</v>
      </c>
      <c r="L4367" s="8" t="s">
        <v>31</v>
      </c>
      <c r="M4367" s="6" t="s">
        <v>27158</v>
      </c>
      <c r="N4367" s="6" t="s">
        <v>794</v>
      </c>
      <c r="O4367" s="8" t="s">
        <v>795</v>
      </c>
      <c r="P4367" s="6" t="s">
        <v>27159</v>
      </c>
      <c r="Q4367" s="6" t="s">
        <v>31</v>
      </c>
      <c r="R4367" s="6" t="s">
        <v>31</v>
      </c>
      <c r="S4367" s="8" t="s">
        <v>27160</v>
      </c>
      <c r="T4367" s="6" t="s">
        <v>796</v>
      </c>
      <c r="U4367" s="8" t="s">
        <v>31</v>
      </c>
      <c r="V4367" s="6" t="s">
        <v>270</v>
      </c>
      <c r="W4367" s="6" t="s">
        <v>27156</v>
      </c>
      <c r="X4367" s="9" t="str">
        <f>HYPERLINK("https://my.pitchbook.com?p=426355-30P","View People Online")</f>
        <v>View People Online</v>
      </c>
    </row>
    <row r="4368">
      <c r="A4368" s="2" t="s">
        <v>27161</v>
      </c>
      <c r="B4368" s="2" t="s">
        <v>27162</v>
      </c>
      <c r="C4368" s="2" t="s">
        <v>27163</v>
      </c>
      <c r="D4368" s="2" t="s">
        <v>21137</v>
      </c>
      <c r="E4368" s="2" t="s">
        <v>27156</v>
      </c>
      <c r="F4368" s="2" t="s">
        <v>71</v>
      </c>
      <c r="G4368" s="2" t="s">
        <v>27164</v>
      </c>
      <c r="H4368" s="3" t="s">
        <v>31</v>
      </c>
      <c r="I4368" s="3">
        <v>7.0</v>
      </c>
      <c r="J4368" s="3">
        <v>1.0</v>
      </c>
      <c r="K4368" s="3">
        <v>5.0</v>
      </c>
      <c r="L4368" s="4" t="s">
        <v>31</v>
      </c>
      <c r="M4368" s="2" t="s">
        <v>27165</v>
      </c>
      <c r="N4368" s="2" t="s">
        <v>794</v>
      </c>
      <c r="O4368" s="4" t="s">
        <v>795</v>
      </c>
      <c r="P4368" s="2" t="s">
        <v>27159</v>
      </c>
      <c r="Q4368" s="2" t="s">
        <v>31</v>
      </c>
      <c r="R4368" s="2" t="s">
        <v>31</v>
      </c>
      <c r="S4368" s="4" t="s">
        <v>27160</v>
      </c>
      <c r="T4368" s="2" t="s">
        <v>796</v>
      </c>
      <c r="U4368" s="4" t="s">
        <v>31</v>
      </c>
      <c r="V4368" s="2" t="s">
        <v>71</v>
      </c>
      <c r="W4368" s="2" t="s">
        <v>27156</v>
      </c>
      <c r="X4368" s="5" t="str">
        <f>HYPERLINK("https://my.pitchbook.com?p=217004-05P","View People Online")</f>
        <v>View People Online</v>
      </c>
    </row>
    <row r="4369">
      <c r="A4369" s="6" t="s">
        <v>27166</v>
      </c>
      <c r="B4369" s="6" t="s">
        <v>27167</v>
      </c>
      <c r="C4369" s="6" t="s">
        <v>27168</v>
      </c>
      <c r="D4369" s="6" t="s">
        <v>27169</v>
      </c>
      <c r="E4369" s="6" t="s">
        <v>27156</v>
      </c>
      <c r="F4369" s="6" t="s">
        <v>189</v>
      </c>
      <c r="G4369" s="6" t="s">
        <v>27170</v>
      </c>
      <c r="H4369" s="7">
        <v>1.0</v>
      </c>
      <c r="I4369" s="7">
        <v>42.0</v>
      </c>
      <c r="J4369" s="7">
        <v>1.0</v>
      </c>
      <c r="K4369" s="7">
        <v>38.0</v>
      </c>
      <c r="L4369" s="8" t="s">
        <v>27171</v>
      </c>
      <c r="M4369" s="6" t="s">
        <v>27172</v>
      </c>
      <c r="N4369" s="6" t="s">
        <v>794</v>
      </c>
      <c r="O4369" s="8" t="s">
        <v>795</v>
      </c>
      <c r="P4369" s="6" t="s">
        <v>27159</v>
      </c>
      <c r="Q4369" s="6" t="s">
        <v>31</v>
      </c>
      <c r="R4369" s="6" t="s">
        <v>31</v>
      </c>
      <c r="S4369" s="8" t="s">
        <v>27160</v>
      </c>
      <c r="T4369" s="6" t="s">
        <v>796</v>
      </c>
      <c r="U4369" s="8" t="s">
        <v>31</v>
      </c>
      <c r="V4369" s="6" t="s">
        <v>196</v>
      </c>
      <c r="W4369" s="6" t="s">
        <v>27156</v>
      </c>
      <c r="X4369" s="9" t="str">
        <f>HYPERLINK("https://my.pitchbook.com?p=48646-45P","View People Online")</f>
        <v>View People Online</v>
      </c>
    </row>
    <row r="4370">
      <c r="A4370" s="2" t="s">
        <v>27173</v>
      </c>
      <c r="B4370" s="2" t="s">
        <v>27174</v>
      </c>
      <c r="C4370" s="2" t="s">
        <v>3597</v>
      </c>
      <c r="D4370" s="2" t="s">
        <v>27175</v>
      </c>
      <c r="E4370" s="2" t="s">
        <v>27176</v>
      </c>
      <c r="F4370" s="2" t="s">
        <v>43</v>
      </c>
      <c r="G4370" s="2" t="s">
        <v>27177</v>
      </c>
      <c r="H4370" s="3" t="s">
        <v>31</v>
      </c>
      <c r="I4370" s="3">
        <v>47.0</v>
      </c>
      <c r="J4370" s="3">
        <v>2.0</v>
      </c>
      <c r="K4370" s="3">
        <v>44.0</v>
      </c>
      <c r="L4370" s="4" t="s">
        <v>27178</v>
      </c>
      <c r="M4370" s="2" t="s">
        <v>27179</v>
      </c>
      <c r="N4370" s="2" t="s">
        <v>775</v>
      </c>
      <c r="O4370" s="4" t="s">
        <v>776</v>
      </c>
      <c r="P4370" s="2" t="s">
        <v>31</v>
      </c>
      <c r="Q4370" s="2" t="s">
        <v>31</v>
      </c>
      <c r="R4370" s="2" t="s">
        <v>64</v>
      </c>
      <c r="S4370" s="4" t="s">
        <v>31</v>
      </c>
      <c r="T4370" s="2" t="s">
        <v>66</v>
      </c>
      <c r="U4370" s="4" t="s">
        <v>27180</v>
      </c>
      <c r="V4370" s="2" t="s">
        <v>71</v>
      </c>
      <c r="W4370" s="2" t="s">
        <v>27181</v>
      </c>
      <c r="X4370" s="5" t="str">
        <f>HYPERLINK("https://my.pitchbook.com?p=94617-91P","View People Online")</f>
        <v>View People Online</v>
      </c>
    </row>
    <row r="4371">
      <c r="A4371" s="14" t="s">
        <v>27182</v>
      </c>
      <c r="B4371" s="14" t="s">
        <v>27183</v>
      </c>
      <c r="C4371" s="14" t="s">
        <v>27184</v>
      </c>
      <c r="D4371" s="14" t="s">
        <v>4314</v>
      </c>
      <c r="E4371" s="14" t="s">
        <v>27176</v>
      </c>
      <c r="F4371" s="14" t="s">
        <v>12616</v>
      </c>
      <c r="G4371" s="14" t="s">
        <v>27185</v>
      </c>
      <c r="H4371" s="15" t="s">
        <v>31</v>
      </c>
      <c r="I4371" s="15">
        <v>7.0</v>
      </c>
      <c r="J4371" s="15">
        <v>2.0</v>
      </c>
      <c r="K4371" s="15">
        <v>4.0</v>
      </c>
      <c r="L4371" s="16" t="s">
        <v>31</v>
      </c>
      <c r="M4371" s="14" t="s">
        <v>27186</v>
      </c>
      <c r="N4371" s="14" t="s">
        <v>75</v>
      </c>
      <c r="O4371" s="16" t="s">
        <v>76</v>
      </c>
      <c r="P4371" s="14" t="s">
        <v>27187</v>
      </c>
      <c r="Q4371" s="14" t="s">
        <v>27188</v>
      </c>
      <c r="R4371" s="14" t="s">
        <v>75</v>
      </c>
      <c r="S4371" s="16" t="s">
        <v>3929</v>
      </c>
      <c r="T4371" s="14" t="s">
        <v>66</v>
      </c>
      <c r="U4371" s="16" t="s">
        <v>31</v>
      </c>
      <c r="V4371" s="14" t="s">
        <v>29</v>
      </c>
      <c r="W4371" s="14" t="s">
        <v>27189</v>
      </c>
      <c r="X4371" s="17" t="str">
        <f>HYPERLINK("https://my.pitchbook.com?p=303565-78P","View People Online")</f>
        <v>View People Online</v>
      </c>
    </row>
    <row r="4372">
      <c r="A4372" s="10" t="s">
        <v>27190</v>
      </c>
      <c r="B4372" s="10" t="s">
        <v>27191</v>
      </c>
      <c r="C4372" s="10" t="s">
        <v>237</v>
      </c>
      <c r="D4372" s="10" t="s">
        <v>1645</v>
      </c>
      <c r="E4372" s="10" t="s">
        <v>27192</v>
      </c>
      <c r="F4372" s="10" t="s">
        <v>221</v>
      </c>
      <c r="G4372" s="10" t="s">
        <v>27193</v>
      </c>
      <c r="H4372" s="11" t="s">
        <v>31</v>
      </c>
      <c r="I4372" s="11">
        <v>1.0</v>
      </c>
      <c r="J4372" s="11">
        <v>1.0</v>
      </c>
      <c r="K4372" s="11" t="s">
        <v>31</v>
      </c>
      <c r="L4372" s="12" t="s">
        <v>27194</v>
      </c>
      <c r="M4372" s="10" t="s">
        <v>27195</v>
      </c>
      <c r="N4372" s="10" t="s">
        <v>75</v>
      </c>
      <c r="O4372" s="12" t="s">
        <v>76</v>
      </c>
      <c r="P4372" s="10" t="s">
        <v>27196</v>
      </c>
      <c r="Q4372" s="10" t="s">
        <v>1895</v>
      </c>
      <c r="R4372" s="10" t="s">
        <v>75</v>
      </c>
      <c r="S4372" s="12" t="s">
        <v>27197</v>
      </c>
      <c r="T4372" s="10" t="s">
        <v>66</v>
      </c>
      <c r="U4372" s="12" t="s">
        <v>31</v>
      </c>
      <c r="V4372" s="10" t="s">
        <v>957</v>
      </c>
      <c r="W4372" s="10" t="s">
        <v>27192</v>
      </c>
      <c r="X4372" s="13" t="str">
        <f>HYPERLINK("https://my.pitchbook.com?p=402172-39P","View People Online")</f>
        <v>View People Online</v>
      </c>
    </row>
    <row r="4373">
      <c r="A4373" s="14" t="s">
        <v>27198</v>
      </c>
      <c r="B4373" s="14" t="s">
        <v>27199</v>
      </c>
      <c r="C4373" s="14" t="s">
        <v>622</v>
      </c>
      <c r="D4373" s="14" t="s">
        <v>15541</v>
      </c>
      <c r="E4373" s="14" t="s">
        <v>27192</v>
      </c>
      <c r="F4373" s="14" t="s">
        <v>10573</v>
      </c>
      <c r="G4373" s="14" t="s">
        <v>27200</v>
      </c>
      <c r="H4373" s="15" t="s">
        <v>31</v>
      </c>
      <c r="I4373" s="15">
        <v>1.0</v>
      </c>
      <c r="J4373" s="15">
        <v>1.0</v>
      </c>
      <c r="K4373" s="15" t="s">
        <v>31</v>
      </c>
      <c r="L4373" s="16" t="s">
        <v>27194</v>
      </c>
      <c r="M4373" s="14" t="s">
        <v>27201</v>
      </c>
      <c r="N4373" s="14" t="s">
        <v>75</v>
      </c>
      <c r="O4373" s="16" t="s">
        <v>76</v>
      </c>
      <c r="P4373" s="14" t="s">
        <v>27196</v>
      </c>
      <c r="Q4373" s="14" t="s">
        <v>1895</v>
      </c>
      <c r="R4373" s="14" t="s">
        <v>75</v>
      </c>
      <c r="S4373" s="16" t="s">
        <v>27197</v>
      </c>
      <c r="T4373" s="14" t="s">
        <v>66</v>
      </c>
      <c r="U4373" s="16" t="s">
        <v>31</v>
      </c>
      <c r="V4373" s="14" t="s">
        <v>27202</v>
      </c>
      <c r="W4373" s="14" t="s">
        <v>27192</v>
      </c>
      <c r="X4373" s="17" t="str">
        <f>HYPERLINK("https://my.pitchbook.com?p=324723-16P","View People Online")</f>
        <v>View People Online</v>
      </c>
    </row>
    <row r="4374">
      <c r="A4374" s="10" t="s">
        <v>27203</v>
      </c>
      <c r="B4374" s="10" t="s">
        <v>27204</v>
      </c>
      <c r="C4374" s="10" t="s">
        <v>3779</v>
      </c>
      <c r="D4374" s="10" t="s">
        <v>27205</v>
      </c>
      <c r="E4374" s="10" t="s">
        <v>27192</v>
      </c>
      <c r="F4374" s="10" t="s">
        <v>548</v>
      </c>
      <c r="G4374" s="10" t="s">
        <v>27206</v>
      </c>
      <c r="H4374" s="11" t="s">
        <v>31</v>
      </c>
      <c r="I4374" s="11">
        <v>1.0</v>
      </c>
      <c r="J4374" s="11">
        <v>1.0</v>
      </c>
      <c r="K4374" s="11" t="s">
        <v>31</v>
      </c>
      <c r="L4374" s="12" t="s">
        <v>27207</v>
      </c>
      <c r="M4374" s="10" t="s">
        <v>27208</v>
      </c>
      <c r="N4374" s="10" t="s">
        <v>775</v>
      </c>
      <c r="O4374" s="12" t="s">
        <v>776</v>
      </c>
      <c r="P4374" s="10" t="s">
        <v>27209</v>
      </c>
      <c r="Q4374" s="10" t="s">
        <v>1719</v>
      </c>
      <c r="R4374" s="10" t="s">
        <v>64</v>
      </c>
      <c r="S4374" s="12" t="s">
        <v>779</v>
      </c>
      <c r="T4374" s="10" t="s">
        <v>66</v>
      </c>
      <c r="U4374" s="12" t="s">
        <v>31</v>
      </c>
      <c r="V4374" s="10" t="s">
        <v>8067</v>
      </c>
      <c r="W4374" s="10" t="s">
        <v>27192</v>
      </c>
      <c r="X4374" s="13" t="str">
        <f>HYPERLINK("https://my.pitchbook.com?p=287988-85P","View People Online")</f>
        <v>View People Online</v>
      </c>
    </row>
    <row r="4375">
      <c r="A4375" s="14" t="s">
        <v>27210</v>
      </c>
      <c r="B4375" s="14" t="s">
        <v>27211</v>
      </c>
      <c r="C4375" s="14" t="s">
        <v>5765</v>
      </c>
      <c r="D4375" s="14" t="s">
        <v>5286</v>
      </c>
      <c r="E4375" s="14" t="s">
        <v>27192</v>
      </c>
      <c r="F4375" s="14" t="s">
        <v>221</v>
      </c>
      <c r="G4375" s="14" t="s">
        <v>27212</v>
      </c>
      <c r="H4375" s="15" t="s">
        <v>31</v>
      </c>
      <c r="I4375" s="15">
        <v>1.0</v>
      </c>
      <c r="J4375" s="15">
        <v>1.0</v>
      </c>
      <c r="K4375" s="15" t="s">
        <v>31</v>
      </c>
      <c r="L4375" s="16" t="s">
        <v>27194</v>
      </c>
      <c r="M4375" s="14" t="s">
        <v>27213</v>
      </c>
      <c r="N4375" s="14" t="s">
        <v>75</v>
      </c>
      <c r="O4375" s="16" t="s">
        <v>76</v>
      </c>
      <c r="P4375" s="14" t="s">
        <v>27196</v>
      </c>
      <c r="Q4375" s="14" t="s">
        <v>1895</v>
      </c>
      <c r="R4375" s="14" t="s">
        <v>75</v>
      </c>
      <c r="S4375" s="16" t="s">
        <v>27197</v>
      </c>
      <c r="T4375" s="14" t="s">
        <v>66</v>
      </c>
      <c r="U4375" s="16" t="s">
        <v>31</v>
      </c>
      <c r="V4375" s="14" t="s">
        <v>27214</v>
      </c>
      <c r="W4375" s="14" t="s">
        <v>27192</v>
      </c>
      <c r="X4375" s="17" t="str">
        <f>HYPERLINK("https://my.pitchbook.com?p=405955-18P","View People Online")</f>
        <v>View People Online</v>
      </c>
    </row>
    <row r="4376">
      <c r="A4376" s="2" t="s">
        <v>27215</v>
      </c>
      <c r="B4376" s="2" t="s">
        <v>27216</v>
      </c>
      <c r="C4376" s="2" t="s">
        <v>4923</v>
      </c>
      <c r="D4376" s="2" t="s">
        <v>27217</v>
      </c>
      <c r="E4376" s="2" t="s">
        <v>27192</v>
      </c>
      <c r="F4376" s="2" t="s">
        <v>667</v>
      </c>
      <c r="G4376" s="2" t="s">
        <v>27218</v>
      </c>
      <c r="H4376" s="3" t="s">
        <v>31</v>
      </c>
      <c r="I4376" s="3">
        <v>1.0</v>
      </c>
      <c r="J4376" s="3">
        <v>1.0</v>
      </c>
      <c r="K4376" s="3" t="s">
        <v>31</v>
      </c>
      <c r="L4376" s="4" t="s">
        <v>27194</v>
      </c>
      <c r="M4376" s="2" t="s">
        <v>27219</v>
      </c>
      <c r="N4376" s="2" t="s">
        <v>75</v>
      </c>
      <c r="O4376" s="4" t="s">
        <v>76</v>
      </c>
      <c r="P4376" s="2" t="s">
        <v>27196</v>
      </c>
      <c r="Q4376" s="2" t="s">
        <v>1895</v>
      </c>
      <c r="R4376" s="2" t="s">
        <v>75</v>
      </c>
      <c r="S4376" s="4" t="s">
        <v>27197</v>
      </c>
      <c r="T4376" s="2" t="s">
        <v>66</v>
      </c>
      <c r="U4376" s="4" t="s">
        <v>31</v>
      </c>
      <c r="V4376" s="2" t="s">
        <v>27220</v>
      </c>
      <c r="W4376" s="2" t="s">
        <v>27192</v>
      </c>
      <c r="X4376" s="5" t="str">
        <f>HYPERLINK("https://my.pitchbook.com?p=444947-95P","View People Online")</f>
        <v>View People Online</v>
      </c>
    </row>
    <row r="4377">
      <c r="A4377" s="14" t="s">
        <v>27221</v>
      </c>
      <c r="B4377" s="14" t="s">
        <v>27222</v>
      </c>
      <c r="C4377" s="14" t="s">
        <v>15845</v>
      </c>
      <c r="D4377" s="14" t="s">
        <v>27223</v>
      </c>
      <c r="E4377" s="14" t="s">
        <v>27192</v>
      </c>
      <c r="F4377" s="14" t="s">
        <v>2731</v>
      </c>
      <c r="G4377" s="14" t="s">
        <v>27224</v>
      </c>
      <c r="H4377" s="15">
        <v>1.0</v>
      </c>
      <c r="I4377" s="15">
        <v>6.0</v>
      </c>
      <c r="J4377" s="15">
        <v>1.0</v>
      </c>
      <c r="K4377" s="15">
        <v>2.0</v>
      </c>
      <c r="L4377" s="16" t="s">
        <v>27225</v>
      </c>
      <c r="M4377" s="14" t="s">
        <v>27226</v>
      </c>
      <c r="N4377" s="14" t="s">
        <v>986</v>
      </c>
      <c r="O4377" s="16" t="s">
        <v>987</v>
      </c>
      <c r="P4377" s="14" t="s">
        <v>27227</v>
      </c>
      <c r="Q4377" s="14" t="s">
        <v>31</v>
      </c>
      <c r="R4377" s="14" t="s">
        <v>64</v>
      </c>
      <c r="S4377" s="16" t="s">
        <v>27228</v>
      </c>
      <c r="T4377" s="14" t="s">
        <v>66</v>
      </c>
      <c r="U4377" s="16" t="s">
        <v>27229</v>
      </c>
      <c r="V4377" s="14" t="s">
        <v>27230</v>
      </c>
      <c r="W4377" s="14" t="s">
        <v>27231</v>
      </c>
      <c r="X4377" s="17" t="str">
        <f>HYPERLINK("https://my.pitchbook.com?p=35932-60P","View People Online")</f>
        <v>View People Online</v>
      </c>
    </row>
    <row r="4378">
      <c r="A4378" s="2" t="s">
        <v>27232</v>
      </c>
      <c r="B4378" s="2" t="s">
        <v>27233</v>
      </c>
      <c r="C4378" s="2" t="s">
        <v>27234</v>
      </c>
      <c r="D4378" s="2" t="s">
        <v>27235</v>
      </c>
      <c r="E4378" s="2" t="s">
        <v>27192</v>
      </c>
      <c r="F4378" s="2" t="s">
        <v>3429</v>
      </c>
      <c r="G4378" s="2" t="s">
        <v>27236</v>
      </c>
      <c r="H4378" s="3">
        <v>14.0</v>
      </c>
      <c r="I4378" s="3">
        <v>88.0</v>
      </c>
      <c r="J4378" s="3">
        <v>1.0</v>
      </c>
      <c r="K4378" s="3">
        <v>63.0</v>
      </c>
      <c r="L4378" s="4" t="s">
        <v>27237</v>
      </c>
      <c r="M4378" s="2" t="s">
        <v>27238</v>
      </c>
      <c r="N4378" s="2" t="s">
        <v>155</v>
      </c>
      <c r="O4378" s="4" t="s">
        <v>156</v>
      </c>
      <c r="P4378" s="2" t="s">
        <v>27239</v>
      </c>
      <c r="Q4378" s="2" t="s">
        <v>2403</v>
      </c>
      <c r="R4378" s="2" t="s">
        <v>64</v>
      </c>
      <c r="S4378" s="4" t="s">
        <v>7810</v>
      </c>
      <c r="T4378" s="2" t="s">
        <v>66</v>
      </c>
      <c r="U4378" s="4" t="s">
        <v>31</v>
      </c>
      <c r="V4378" s="2" t="s">
        <v>2379</v>
      </c>
      <c r="W4378" s="2" t="s">
        <v>27240</v>
      </c>
      <c r="X4378" s="5" t="str">
        <f>HYPERLINK("https://my.pitchbook.com?p=38923-39P","View People Online")</f>
        <v>View People Online</v>
      </c>
    </row>
    <row r="4379">
      <c r="A4379" s="14" t="s">
        <v>27241</v>
      </c>
      <c r="B4379" s="14" t="s">
        <v>27242</v>
      </c>
      <c r="C4379" s="14" t="s">
        <v>323</v>
      </c>
      <c r="D4379" s="14" t="s">
        <v>27243</v>
      </c>
      <c r="E4379" s="14" t="s">
        <v>27192</v>
      </c>
      <c r="F4379" s="14" t="s">
        <v>667</v>
      </c>
      <c r="G4379" s="14" t="s">
        <v>27244</v>
      </c>
      <c r="H4379" s="15" t="s">
        <v>31</v>
      </c>
      <c r="I4379" s="15">
        <v>1.0</v>
      </c>
      <c r="J4379" s="15">
        <v>1.0</v>
      </c>
      <c r="K4379" s="15" t="s">
        <v>31</v>
      </c>
      <c r="L4379" s="16" t="s">
        <v>27194</v>
      </c>
      <c r="M4379" s="14" t="s">
        <v>27245</v>
      </c>
      <c r="N4379" s="14" t="s">
        <v>75</v>
      </c>
      <c r="O4379" s="16" t="s">
        <v>76</v>
      </c>
      <c r="P4379" s="14" t="s">
        <v>27196</v>
      </c>
      <c r="Q4379" s="14" t="s">
        <v>1895</v>
      </c>
      <c r="R4379" s="14" t="s">
        <v>75</v>
      </c>
      <c r="S4379" s="16" t="s">
        <v>27197</v>
      </c>
      <c r="T4379" s="14" t="s">
        <v>66</v>
      </c>
      <c r="U4379" s="16" t="s">
        <v>31</v>
      </c>
      <c r="V4379" s="14" t="s">
        <v>27246</v>
      </c>
      <c r="W4379" s="14" t="s">
        <v>27192</v>
      </c>
      <c r="X4379" s="17" t="str">
        <f>HYPERLINK("https://my.pitchbook.com?p=402173-20P","View People Online")</f>
        <v>View People Online</v>
      </c>
    </row>
    <row r="4380">
      <c r="A4380" s="10" t="s">
        <v>27247</v>
      </c>
      <c r="B4380" s="10" t="s">
        <v>27248</v>
      </c>
      <c r="C4380" s="10" t="s">
        <v>323</v>
      </c>
      <c r="D4380" s="10" t="s">
        <v>27249</v>
      </c>
      <c r="E4380" s="10" t="s">
        <v>27192</v>
      </c>
      <c r="F4380" s="10" t="s">
        <v>7182</v>
      </c>
      <c r="G4380" s="10" t="s">
        <v>27250</v>
      </c>
      <c r="H4380" s="11">
        <v>1.0</v>
      </c>
      <c r="I4380" s="11">
        <v>7.0</v>
      </c>
      <c r="J4380" s="11">
        <v>1.0</v>
      </c>
      <c r="K4380" s="11">
        <v>1.0</v>
      </c>
      <c r="L4380" s="12" t="s">
        <v>27207</v>
      </c>
      <c r="M4380" s="10" t="s">
        <v>27251</v>
      </c>
      <c r="N4380" s="10" t="s">
        <v>775</v>
      </c>
      <c r="O4380" s="12" t="s">
        <v>776</v>
      </c>
      <c r="P4380" s="10" t="s">
        <v>27209</v>
      </c>
      <c r="Q4380" s="10" t="s">
        <v>1719</v>
      </c>
      <c r="R4380" s="10" t="s">
        <v>64</v>
      </c>
      <c r="S4380" s="12" t="s">
        <v>779</v>
      </c>
      <c r="T4380" s="10" t="s">
        <v>66</v>
      </c>
      <c r="U4380" s="12" t="s">
        <v>31</v>
      </c>
      <c r="V4380" s="10" t="s">
        <v>27252</v>
      </c>
      <c r="W4380" s="10" t="s">
        <v>27192</v>
      </c>
      <c r="X4380" s="13" t="str">
        <f>HYPERLINK("https://my.pitchbook.com?p=81558-73P","View People Online")</f>
        <v>View People Online</v>
      </c>
    </row>
    <row r="4381">
      <c r="A4381" s="14" t="s">
        <v>27253</v>
      </c>
      <c r="B4381" s="14" t="s">
        <v>27254</v>
      </c>
      <c r="C4381" s="14" t="s">
        <v>27255</v>
      </c>
      <c r="D4381" s="14" t="s">
        <v>4526</v>
      </c>
      <c r="E4381" s="14" t="s">
        <v>27192</v>
      </c>
      <c r="F4381" s="14" t="s">
        <v>667</v>
      </c>
      <c r="G4381" s="14" t="s">
        <v>27256</v>
      </c>
      <c r="H4381" s="15" t="s">
        <v>31</v>
      </c>
      <c r="I4381" s="15">
        <v>1.0</v>
      </c>
      <c r="J4381" s="15">
        <v>1.0</v>
      </c>
      <c r="K4381" s="15" t="s">
        <v>31</v>
      </c>
      <c r="L4381" s="16" t="s">
        <v>27194</v>
      </c>
      <c r="M4381" s="14" t="s">
        <v>27257</v>
      </c>
      <c r="N4381" s="14" t="s">
        <v>75</v>
      </c>
      <c r="O4381" s="16" t="s">
        <v>76</v>
      </c>
      <c r="P4381" s="14" t="s">
        <v>27196</v>
      </c>
      <c r="Q4381" s="14" t="s">
        <v>1895</v>
      </c>
      <c r="R4381" s="14" t="s">
        <v>75</v>
      </c>
      <c r="S4381" s="16" t="s">
        <v>27197</v>
      </c>
      <c r="T4381" s="14" t="s">
        <v>66</v>
      </c>
      <c r="U4381" s="16" t="s">
        <v>31</v>
      </c>
      <c r="V4381" s="14" t="s">
        <v>27246</v>
      </c>
      <c r="W4381" s="14" t="s">
        <v>27192</v>
      </c>
      <c r="X4381" s="17" t="str">
        <f>HYPERLINK("https://my.pitchbook.com?p=402162-13P","View People Online")</f>
        <v>View People Online</v>
      </c>
    </row>
    <row r="4382">
      <c r="A4382" s="2" t="s">
        <v>27258</v>
      </c>
      <c r="B4382" s="2" t="s">
        <v>27259</v>
      </c>
      <c r="C4382" s="2" t="s">
        <v>27260</v>
      </c>
      <c r="D4382" s="2" t="s">
        <v>27261</v>
      </c>
      <c r="E4382" s="2" t="s">
        <v>27192</v>
      </c>
      <c r="F4382" s="2" t="s">
        <v>189</v>
      </c>
      <c r="G4382" s="2" t="s">
        <v>27262</v>
      </c>
      <c r="H4382" s="3">
        <v>3.0</v>
      </c>
      <c r="I4382" s="3">
        <v>32.0</v>
      </c>
      <c r="J4382" s="3">
        <v>1.0</v>
      </c>
      <c r="K4382" s="3">
        <v>18.0</v>
      </c>
      <c r="L4382" s="4" t="s">
        <v>27207</v>
      </c>
      <c r="M4382" s="2" t="s">
        <v>27263</v>
      </c>
      <c r="N4382" s="2" t="s">
        <v>775</v>
      </c>
      <c r="O4382" s="4" t="s">
        <v>776</v>
      </c>
      <c r="P4382" s="2" t="s">
        <v>27209</v>
      </c>
      <c r="Q4382" s="2" t="s">
        <v>1719</v>
      </c>
      <c r="R4382" s="2" t="s">
        <v>64</v>
      </c>
      <c r="S4382" s="4" t="s">
        <v>779</v>
      </c>
      <c r="T4382" s="2" t="s">
        <v>66</v>
      </c>
      <c r="U4382" s="4" t="s">
        <v>31</v>
      </c>
      <c r="V4382" s="2" t="s">
        <v>27264</v>
      </c>
      <c r="W4382" s="2" t="s">
        <v>27192</v>
      </c>
      <c r="X4382" s="5" t="str">
        <f>HYPERLINK("https://my.pitchbook.com?p=42045-40P","View People Online")</f>
        <v>View People Online</v>
      </c>
    </row>
    <row r="4383">
      <c r="A4383" s="6" t="s">
        <v>27265</v>
      </c>
      <c r="B4383" s="6" t="s">
        <v>27266</v>
      </c>
      <c r="C4383" s="6" t="s">
        <v>823</v>
      </c>
      <c r="D4383" s="6" t="s">
        <v>27267</v>
      </c>
      <c r="E4383" s="6" t="s">
        <v>27192</v>
      </c>
      <c r="F4383" s="6" t="s">
        <v>3665</v>
      </c>
      <c r="G4383" s="6" t="s">
        <v>27268</v>
      </c>
      <c r="H4383" s="7">
        <v>2.0</v>
      </c>
      <c r="I4383" s="7">
        <v>8.0</v>
      </c>
      <c r="J4383" s="7">
        <v>1.0</v>
      </c>
      <c r="K4383" s="7" t="s">
        <v>31</v>
      </c>
      <c r="L4383" s="8" t="s">
        <v>27207</v>
      </c>
      <c r="M4383" s="6" t="s">
        <v>27269</v>
      </c>
      <c r="N4383" s="6" t="s">
        <v>775</v>
      </c>
      <c r="O4383" s="8" t="s">
        <v>776</v>
      </c>
      <c r="P4383" s="6" t="s">
        <v>27209</v>
      </c>
      <c r="Q4383" s="6" t="s">
        <v>1719</v>
      </c>
      <c r="R4383" s="6" t="s">
        <v>64</v>
      </c>
      <c r="S4383" s="8" t="s">
        <v>779</v>
      </c>
      <c r="T4383" s="6" t="s">
        <v>66</v>
      </c>
      <c r="U4383" s="8" t="s">
        <v>31</v>
      </c>
      <c r="V4383" s="6" t="s">
        <v>27270</v>
      </c>
      <c r="W4383" s="6" t="s">
        <v>27192</v>
      </c>
      <c r="X4383" s="9" t="str">
        <f>HYPERLINK("https://my.pitchbook.com?p=59483-17P","View People Online")</f>
        <v>View People Online</v>
      </c>
    </row>
    <row r="4384">
      <c r="A4384" s="10" t="s">
        <v>27271</v>
      </c>
      <c r="B4384" s="10" t="s">
        <v>27272</v>
      </c>
      <c r="C4384" s="10" t="s">
        <v>26</v>
      </c>
      <c r="D4384" s="10" t="s">
        <v>27273</v>
      </c>
      <c r="E4384" s="10" t="s">
        <v>27192</v>
      </c>
      <c r="F4384" s="10" t="s">
        <v>152</v>
      </c>
      <c r="G4384" s="10" t="s">
        <v>27274</v>
      </c>
      <c r="H4384" s="11">
        <v>1.0</v>
      </c>
      <c r="I4384" s="11">
        <v>26.0</v>
      </c>
      <c r="J4384" s="11">
        <v>5.0</v>
      </c>
      <c r="K4384" s="11">
        <v>17.0</v>
      </c>
      <c r="L4384" s="12" t="s">
        <v>27275</v>
      </c>
      <c r="M4384" s="10" t="s">
        <v>27276</v>
      </c>
      <c r="N4384" s="10" t="s">
        <v>775</v>
      </c>
      <c r="O4384" s="12" t="s">
        <v>776</v>
      </c>
      <c r="P4384" s="10" t="s">
        <v>27209</v>
      </c>
      <c r="Q4384" s="10" t="s">
        <v>6654</v>
      </c>
      <c r="R4384" s="10" t="s">
        <v>64</v>
      </c>
      <c r="S4384" s="12" t="s">
        <v>779</v>
      </c>
      <c r="T4384" s="10" t="s">
        <v>66</v>
      </c>
      <c r="U4384" s="12" t="s">
        <v>27277</v>
      </c>
      <c r="V4384" s="10" t="s">
        <v>27278</v>
      </c>
      <c r="W4384" s="10" t="s">
        <v>27279</v>
      </c>
      <c r="X4384" s="13" t="str">
        <f>HYPERLINK("https://my.pitchbook.com?p=88655-77P","View People Online")</f>
        <v>View People Online</v>
      </c>
    </row>
    <row r="4385">
      <c r="A4385" s="6" t="s">
        <v>27280</v>
      </c>
      <c r="B4385" s="6" t="s">
        <v>27281</v>
      </c>
      <c r="C4385" s="6" t="s">
        <v>11586</v>
      </c>
      <c r="D4385" s="6" t="s">
        <v>27282</v>
      </c>
      <c r="E4385" s="6" t="s">
        <v>27192</v>
      </c>
      <c r="F4385" s="6" t="s">
        <v>12689</v>
      </c>
      <c r="G4385" s="6" t="s">
        <v>27283</v>
      </c>
      <c r="H4385" s="7" t="s">
        <v>31</v>
      </c>
      <c r="I4385" s="7">
        <v>2.0</v>
      </c>
      <c r="J4385" s="7">
        <v>1.0</v>
      </c>
      <c r="K4385" s="7" t="s">
        <v>31</v>
      </c>
      <c r="L4385" s="8" t="s">
        <v>27207</v>
      </c>
      <c r="M4385" s="6" t="s">
        <v>27284</v>
      </c>
      <c r="N4385" s="6" t="s">
        <v>775</v>
      </c>
      <c r="O4385" s="8" t="s">
        <v>776</v>
      </c>
      <c r="P4385" s="6" t="s">
        <v>27209</v>
      </c>
      <c r="Q4385" s="6" t="s">
        <v>1719</v>
      </c>
      <c r="R4385" s="6" t="s">
        <v>64</v>
      </c>
      <c r="S4385" s="8" t="s">
        <v>779</v>
      </c>
      <c r="T4385" s="6" t="s">
        <v>66</v>
      </c>
      <c r="U4385" s="8" t="s">
        <v>31</v>
      </c>
      <c r="V4385" s="6" t="s">
        <v>27285</v>
      </c>
      <c r="W4385" s="6" t="s">
        <v>27192</v>
      </c>
      <c r="X4385" s="9" t="str">
        <f>HYPERLINK("https://my.pitchbook.com?p=248017-33P","View People Online")</f>
        <v>View People Online</v>
      </c>
    </row>
    <row r="4386">
      <c r="A4386" s="10" t="s">
        <v>27286</v>
      </c>
      <c r="B4386" s="10" t="s">
        <v>27287</v>
      </c>
      <c r="C4386" s="10" t="s">
        <v>5071</v>
      </c>
      <c r="D4386" s="10" t="s">
        <v>27288</v>
      </c>
      <c r="E4386" s="10" t="s">
        <v>27192</v>
      </c>
      <c r="F4386" s="10" t="s">
        <v>221</v>
      </c>
      <c r="G4386" s="10" t="s">
        <v>27289</v>
      </c>
      <c r="H4386" s="11" t="s">
        <v>31</v>
      </c>
      <c r="I4386" s="11">
        <v>1.0</v>
      </c>
      <c r="J4386" s="11">
        <v>1.0</v>
      </c>
      <c r="K4386" s="11" t="s">
        <v>31</v>
      </c>
      <c r="L4386" s="12" t="s">
        <v>27194</v>
      </c>
      <c r="M4386" s="10" t="s">
        <v>27290</v>
      </c>
      <c r="N4386" s="10" t="s">
        <v>75</v>
      </c>
      <c r="O4386" s="12" t="s">
        <v>76</v>
      </c>
      <c r="P4386" s="10" t="s">
        <v>27196</v>
      </c>
      <c r="Q4386" s="10" t="s">
        <v>1895</v>
      </c>
      <c r="R4386" s="10" t="s">
        <v>75</v>
      </c>
      <c r="S4386" s="12" t="s">
        <v>27197</v>
      </c>
      <c r="T4386" s="10" t="s">
        <v>66</v>
      </c>
      <c r="U4386" s="12" t="s">
        <v>31</v>
      </c>
      <c r="V4386" s="10" t="s">
        <v>27291</v>
      </c>
      <c r="W4386" s="10" t="s">
        <v>27192</v>
      </c>
      <c r="X4386" s="13" t="str">
        <f>HYPERLINK("https://my.pitchbook.com?p=444948-04P","View People Online")</f>
        <v>View People Online</v>
      </c>
    </row>
    <row r="4387">
      <c r="A4387" s="6" t="s">
        <v>27292</v>
      </c>
      <c r="B4387" s="6" t="s">
        <v>27293</v>
      </c>
      <c r="C4387" s="6" t="s">
        <v>3941</v>
      </c>
      <c r="D4387" s="6" t="s">
        <v>562</v>
      </c>
      <c r="E4387" s="6" t="s">
        <v>27192</v>
      </c>
      <c r="F4387" s="6" t="s">
        <v>2422</v>
      </c>
      <c r="G4387" s="6" t="s">
        <v>27294</v>
      </c>
      <c r="H4387" s="7" t="s">
        <v>31</v>
      </c>
      <c r="I4387" s="7">
        <v>3.0</v>
      </c>
      <c r="J4387" s="7">
        <v>3.0</v>
      </c>
      <c r="K4387" s="7" t="s">
        <v>31</v>
      </c>
      <c r="L4387" s="8" t="s">
        <v>31</v>
      </c>
      <c r="M4387" s="6" t="s">
        <v>27295</v>
      </c>
      <c r="N4387" s="6" t="s">
        <v>7690</v>
      </c>
      <c r="O4387" s="8" t="s">
        <v>7691</v>
      </c>
      <c r="P4387" s="6" t="s">
        <v>31</v>
      </c>
      <c r="Q4387" s="6" t="s">
        <v>31</v>
      </c>
      <c r="R4387" s="6" t="s">
        <v>7693</v>
      </c>
      <c r="S4387" s="8" t="s">
        <v>31</v>
      </c>
      <c r="T4387" s="6" t="s">
        <v>66</v>
      </c>
      <c r="U4387" s="8" t="s">
        <v>31</v>
      </c>
      <c r="V4387" s="6" t="s">
        <v>1283</v>
      </c>
      <c r="W4387" s="6" t="s">
        <v>27296</v>
      </c>
      <c r="X4387" s="9" t="str">
        <f>HYPERLINK("https://my.pitchbook.com?p=318644-29P","View People Online")</f>
        <v>View People Online</v>
      </c>
    </row>
    <row r="4388">
      <c r="A4388" s="2" t="s">
        <v>27297</v>
      </c>
      <c r="B4388" s="2" t="s">
        <v>27298</v>
      </c>
      <c r="C4388" s="2" t="s">
        <v>3828</v>
      </c>
      <c r="D4388" s="2" t="s">
        <v>27299</v>
      </c>
      <c r="E4388" s="2" t="s">
        <v>27192</v>
      </c>
      <c r="F4388" s="2" t="s">
        <v>548</v>
      </c>
      <c r="G4388" s="2" t="s">
        <v>27300</v>
      </c>
      <c r="H4388" s="3" t="s">
        <v>31</v>
      </c>
      <c r="I4388" s="3">
        <v>1.0</v>
      </c>
      <c r="J4388" s="3">
        <v>1.0</v>
      </c>
      <c r="K4388" s="3" t="s">
        <v>31</v>
      </c>
      <c r="L4388" s="4" t="s">
        <v>27194</v>
      </c>
      <c r="M4388" s="2" t="s">
        <v>27301</v>
      </c>
      <c r="N4388" s="2" t="s">
        <v>75</v>
      </c>
      <c r="O4388" s="4" t="s">
        <v>76</v>
      </c>
      <c r="P4388" s="2" t="s">
        <v>27196</v>
      </c>
      <c r="Q4388" s="2" t="s">
        <v>1895</v>
      </c>
      <c r="R4388" s="2" t="s">
        <v>75</v>
      </c>
      <c r="S4388" s="4" t="s">
        <v>27197</v>
      </c>
      <c r="T4388" s="2" t="s">
        <v>66</v>
      </c>
      <c r="U4388" s="4" t="s">
        <v>31</v>
      </c>
      <c r="V4388" s="2" t="s">
        <v>760</v>
      </c>
      <c r="W4388" s="2" t="s">
        <v>27192</v>
      </c>
      <c r="X4388" s="5" t="str">
        <f>HYPERLINK("https://my.pitchbook.com?p=248013-73P","View People Online")</f>
        <v>View People Online</v>
      </c>
    </row>
    <row r="4389">
      <c r="A4389" s="6" t="s">
        <v>27302</v>
      </c>
      <c r="B4389" s="6" t="s">
        <v>27303</v>
      </c>
      <c r="C4389" s="6" t="s">
        <v>27304</v>
      </c>
      <c r="D4389" s="6" t="s">
        <v>6821</v>
      </c>
      <c r="E4389" s="6" t="s">
        <v>27192</v>
      </c>
      <c r="F4389" s="6" t="s">
        <v>916</v>
      </c>
      <c r="G4389" s="6" t="s">
        <v>27305</v>
      </c>
      <c r="H4389" s="7">
        <v>1.0</v>
      </c>
      <c r="I4389" s="7">
        <v>2.0</v>
      </c>
      <c r="J4389" s="7">
        <v>2.0</v>
      </c>
      <c r="K4389" s="7" t="s">
        <v>31</v>
      </c>
      <c r="L4389" s="8" t="s">
        <v>31</v>
      </c>
      <c r="M4389" s="6" t="s">
        <v>31</v>
      </c>
      <c r="N4389" s="6" t="s">
        <v>27306</v>
      </c>
      <c r="O4389" s="8" t="s">
        <v>27307</v>
      </c>
      <c r="P4389" s="6" t="s">
        <v>27308</v>
      </c>
      <c r="Q4389" s="6" t="s">
        <v>27309</v>
      </c>
      <c r="R4389" s="6" t="s">
        <v>64</v>
      </c>
      <c r="S4389" s="8" t="s">
        <v>27310</v>
      </c>
      <c r="T4389" s="6" t="s">
        <v>66</v>
      </c>
      <c r="U4389" s="8" t="s">
        <v>31</v>
      </c>
      <c r="V4389" s="6" t="s">
        <v>27311</v>
      </c>
      <c r="W4389" s="6" t="s">
        <v>27312</v>
      </c>
      <c r="X4389" s="9" t="str">
        <f>HYPERLINK("https://my.pitchbook.com?p=126108-19P","View People Online")</f>
        <v>View People Online</v>
      </c>
    </row>
    <row r="4390">
      <c r="A4390" s="10" t="s">
        <v>27313</v>
      </c>
      <c r="B4390" s="10" t="s">
        <v>27314</v>
      </c>
      <c r="C4390" s="10" t="s">
        <v>18382</v>
      </c>
      <c r="D4390" s="10" t="s">
        <v>4314</v>
      </c>
      <c r="E4390" s="10" t="s">
        <v>27192</v>
      </c>
      <c r="F4390" s="10" t="s">
        <v>548</v>
      </c>
      <c r="G4390" s="10" t="s">
        <v>27315</v>
      </c>
      <c r="H4390" s="11" t="s">
        <v>31</v>
      </c>
      <c r="I4390" s="11">
        <v>1.0</v>
      </c>
      <c r="J4390" s="11">
        <v>1.0</v>
      </c>
      <c r="K4390" s="11" t="s">
        <v>31</v>
      </c>
      <c r="L4390" s="12" t="s">
        <v>27207</v>
      </c>
      <c r="M4390" s="10" t="s">
        <v>27316</v>
      </c>
      <c r="N4390" s="10" t="s">
        <v>775</v>
      </c>
      <c r="O4390" s="12" t="s">
        <v>776</v>
      </c>
      <c r="P4390" s="10" t="s">
        <v>27209</v>
      </c>
      <c r="Q4390" s="10" t="s">
        <v>1719</v>
      </c>
      <c r="R4390" s="10" t="s">
        <v>64</v>
      </c>
      <c r="S4390" s="12" t="s">
        <v>779</v>
      </c>
      <c r="T4390" s="10" t="s">
        <v>66</v>
      </c>
      <c r="U4390" s="12" t="s">
        <v>31</v>
      </c>
      <c r="V4390" s="10" t="s">
        <v>27317</v>
      </c>
      <c r="W4390" s="10" t="s">
        <v>27192</v>
      </c>
      <c r="X4390" s="13" t="str">
        <f>HYPERLINK("https://my.pitchbook.com?p=138572-56P","View People Online")</f>
        <v>View People Online</v>
      </c>
    </row>
    <row r="4391">
      <c r="A4391" s="6" t="s">
        <v>27318</v>
      </c>
      <c r="B4391" s="6" t="s">
        <v>27319</v>
      </c>
      <c r="C4391" s="6" t="s">
        <v>27320</v>
      </c>
      <c r="D4391" s="6" t="s">
        <v>27321</v>
      </c>
      <c r="E4391" s="6" t="s">
        <v>27192</v>
      </c>
      <c r="F4391" s="6" t="s">
        <v>2731</v>
      </c>
      <c r="G4391" s="6" t="s">
        <v>27322</v>
      </c>
      <c r="H4391" s="7" t="s">
        <v>31</v>
      </c>
      <c r="I4391" s="7">
        <v>1.0</v>
      </c>
      <c r="J4391" s="7" t="s">
        <v>31</v>
      </c>
      <c r="K4391" s="7" t="s">
        <v>31</v>
      </c>
      <c r="L4391" s="8" t="s">
        <v>27207</v>
      </c>
      <c r="M4391" s="6" t="s">
        <v>27323</v>
      </c>
      <c r="N4391" s="6" t="s">
        <v>775</v>
      </c>
      <c r="O4391" s="8" t="s">
        <v>776</v>
      </c>
      <c r="P4391" s="6" t="s">
        <v>27209</v>
      </c>
      <c r="Q4391" s="6" t="s">
        <v>1719</v>
      </c>
      <c r="R4391" s="6" t="s">
        <v>64</v>
      </c>
      <c r="S4391" s="8" t="s">
        <v>779</v>
      </c>
      <c r="T4391" s="6" t="s">
        <v>66</v>
      </c>
      <c r="U4391" s="8" t="s">
        <v>31</v>
      </c>
      <c r="V4391" s="6" t="s">
        <v>2731</v>
      </c>
      <c r="W4391" s="6" t="s">
        <v>27192</v>
      </c>
      <c r="X4391" s="9" t="str">
        <f>HYPERLINK("https://my.pitchbook.com?p=41495-77P","View People Online")</f>
        <v>View People Online</v>
      </c>
    </row>
    <row r="4392">
      <c r="A4392" s="2" t="s">
        <v>27324</v>
      </c>
      <c r="B4392" s="2" t="s">
        <v>27325</v>
      </c>
      <c r="C4392" s="2" t="s">
        <v>27326</v>
      </c>
      <c r="D4392" s="2" t="s">
        <v>27327</v>
      </c>
      <c r="E4392" s="2" t="s">
        <v>27192</v>
      </c>
      <c r="F4392" s="2" t="s">
        <v>916</v>
      </c>
      <c r="G4392" s="2" t="s">
        <v>27328</v>
      </c>
      <c r="H4392" s="3">
        <v>1.0</v>
      </c>
      <c r="I4392" s="3">
        <v>4.0</v>
      </c>
      <c r="J4392" s="3">
        <v>3.0</v>
      </c>
      <c r="K4392" s="3" t="s">
        <v>31</v>
      </c>
      <c r="L4392" s="4" t="s">
        <v>27329</v>
      </c>
      <c r="M4392" s="2" t="s">
        <v>27330</v>
      </c>
      <c r="N4392" s="2" t="s">
        <v>27306</v>
      </c>
      <c r="O4392" s="4" t="s">
        <v>27307</v>
      </c>
      <c r="P4392" s="2" t="s">
        <v>27308</v>
      </c>
      <c r="Q4392" s="2" t="s">
        <v>27309</v>
      </c>
      <c r="R4392" s="2" t="s">
        <v>64</v>
      </c>
      <c r="S4392" s="4" t="s">
        <v>27310</v>
      </c>
      <c r="T4392" s="2" t="s">
        <v>66</v>
      </c>
      <c r="U4392" s="4" t="s">
        <v>31</v>
      </c>
      <c r="V4392" s="2" t="s">
        <v>1252</v>
      </c>
      <c r="W4392" s="2" t="s">
        <v>27312</v>
      </c>
      <c r="X4392" s="5" t="str">
        <f>HYPERLINK("https://my.pitchbook.com?p=135988-66P","View People Online")</f>
        <v>View People Online</v>
      </c>
    </row>
    <row r="4393">
      <c r="A4393" s="6" t="s">
        <v>27331</v>
      </c>
      <c r="B4393" s="6" t="s">
        <v>27332</v>
      </c>
      <c r="C4393" s="6" t="s">
        <v>27333</v>
      </c>
      <c r="D4393" s="6" t="s">
        <v>27334</v>
      </c>
      <c r="E4393" s="6" t="s">
        <v>27192</v>
      </c>
      <c r="F4393" s="6" t="s">
        <v>4931</v>
      </c>
      <c r="G4393" s="6" t="s">
        <v>27335</v>
      </c>
      <c r="H4393" s="7" t="s">
        <v>31</v>
      </c>
      <c r="I4393" s="7">
        <v>3.0</v>
      </c>
      <c r="J4393" s="7">
        <v>2.0</v>
      </c>
      <c r="K4393" s="7" t="s">
        <v>31</v>
      </c>
      <c r="L4393" s="8" t="s">
        <v>27336</v>
      </c>
      <c r="M4393" s="6" t="s">
        <v>27337</v>
      </c>
      <c r="N4393" s="6" t="s">
        <v>775</v>
      </c>
      <c r="O4393" s="8" t="s">
        <v>776</v>
      </c>
      <c r="P4393" s="6" t="s">
        <v>27209</v>
      </c>
      <c r="Q4393" s="6" t="s">
        <v>1719</v>
      </c>
      <c r="R4393" s="6" t="s">
        <v>64</v>
      </c>
      <c r="S4393" s="8" t="s">
        <v>779</v>
      </c>
      <c r="T4393" s="6" t="s">
        <v>66</v>
      </c>
      <c r="U4393" s="8" t="s">
        <v>31</v>
      </c>
      <c r="V4393" s="6" t="s">
        <v>27338</v>
      </c>
      <c r="W4393" s="6" t="s">
        <v>27192</v>
      </c>
      <c r="X4393" s="9" t="str">
        <f>HYPERLINK("https://my.pitchbook.com?p=287999-20P","View People Online")</f>
        <v>View People Online</v>
      </c>
    </row>
    <row r="4394">
      <c r="A4394" s="10" t="s">
        <v>27339</v>
      </c>
      <c r="B4394" s="10" t="s">
        <v>27340</v>
      </c>
      <c r="C4394" s="10" t="s">
        <v>27341</v>
      </c>
      <c r="D4394" s="10" t="s">
        <v>27342</v>
      </c>
      <c r="E4394" s="10" t="s">
        <v>27192</v>
      </c>
      <c r="F4394" s="10" t="s">
        <v>221</v>
      </c>
      <c r="G4394" s="10" t="s">
        <v>27343</v>
      </c>
      <c r="H4394" s="11" t="s">
        <v>31</v>
      </c>
      <c r="I4394" s="11">
        <v>1.0</v>
      </c>
      <c r="J4394" s="11">
        <v>1.0</v>
      </c>
      <c r="K4394" s="11" t="s">
        <v>31</v>
      </c>
      <c r="L4394" s="12" t="s">
        <v>27207</v>
      </c>
      <c r="M4394" s="10" t="s">
        <v>27344</v>
      </c>
      <c r="N4394" s="10" t="s">
        <v>775</v>
      </c>
      <c r="O4394" s="12" t="s">
        <v>776</v>
      </c>
      <c r="P4394" s="10" t="s">
        <v>27209</v>
      </c>
      <c r="Q4394" s="10" t="s">
        <v>1719</v>
      </c>
      <c r="R4394" s="10" t="s">
        <v>64</v>
      </c>
      <c r="S4394" s="12" t="s">
        <v>779</v>
      </c>
      <c r="T4394" s="10" t="s">
        <v>66</v>
      </c>
      <c r="U4394" s="12" t="s">
        <v>31</v>
      </c>
      <c r="V4394" s="10" t="s">
        <v>27291</v>
      </c>
      <c r="W4394" s="10" t="s">
        <v>27192</v>
      </c>
      <c r="X4394" s="13" t="str">
        <f>HYPERLINK("https://my.pitchbook.com?p=318654-37P","View People Online")</f>
        <v>View People Online</v>
      </c>
    </row>
    <row r="4395">
      <c r="A4395" s="6" t="s">
        <v>27345</v>
      </c>
      <c r="B4395" s="6" t="s">
        <v>27346</v>
      </c>
      <c r="C4395" s="6" t="s">
        <v>27347</v>
      </c>
      <c r="D4395" s="6" t="s">
        <v>27348</v>
      </c>
      <c r="E4395" s="6" t="s">
        <v>27192</v>
      </c>
      <c r="F4395" s="6" t="s">
        <v>548</v>
      </c>
      <c r="G4395" s="6" t="s">
        <v>27349</v>
      </c>
      <c r="H4395" s="7" t="s">
        <v>31</v>
      </c>
      <c r="I4395" s="7">
        <v>1.0</v>
      </c>
      <c r="J4395" s="7">
        <v>1.0</v>
      </c>
      <c r="K4395" s="7" t="s">
        <v>31</v>
      </c>
      <c r="L4395" s="8" t="s">
        <v>27194</v>
      </c>
      <c r="M4395" s="6" t="s">
        <v>27350</v>
      </c>
      <c r="N4395" s="6" t="s">
        <v>75</v>
      </c>
      <c r="O4395" s="8" t="s">
        <v>76</v>
      </c>
      <c r="P4395" s="6" t="s">
        <v>27196</v>
      </c>
      <c r="Q4395" s="6" t="s">
        <v>1895</v>
      </c>
      <c r="R4395" s="6" t="s">
        <v>75</v>
      </c>
      <c r="S4395" s="8" t="s">
        <v>27197</v>
      </c>
      <c r="T4395" s="6" t="s">
        <v>66</v>
      </c>
      <c r="U4395" s="8" t="s">
        <v>31</v>
      </c>
      <c r="V4395" s="6" t="s">
        <v>27351</v>
      </c>
      <c r="W4395" s="6" t="s">
        <v>27192</v>
      </c>
      <c r="X4395" s="9" t="str">
        <f>HYPERLINK("https://my.pitchbook.com?p=104449-15P","View People Online")</f>
        <v>View People Online</v>
      </c>
    </row>
    <row r="4396">
      <c r="A4396" s="10" t="s">
        <v>27352</v>
      </c>
      <c r="B4396" s="10" t="s">
        <v>27353</v>
      </c>
      <c r="C4396" s="10" t="s">
        <v>27354</v>
      </c>
      <c r="D4396" s="10" t="s">
        <v>27355</v>
      </c>
      <c r="E4396" s="10" t="s">
        <v>27192</v>
      </c>
      <c r="F4396" s="10" t="s">
        <v>2422</v>
      </c>
      <c r="G4396" s="10" t="s">
        <v>27356</v>
      </c>
      <c r="H4396" s="11" t="s">
        <v>31</v>
      </c>
      <c r="I4396" s="11">
        <v>1.0</v>
      </c>
      <c r="J4396" s="11">
        <v>1.0</v>
      </c>
      <c r="K4396" s="11" t="s">
        <v>31</v>
      </c>
      <c r="L4396" s="12" t="s">
        <v>27207</v>
      </c>
      <c r="M4396" s="10" t="s">
        <v>27357</v>
      </c>
      <c r="N4396" s="10" t="s">
        <v>775</v>
      </c>
      <c r="O4396" s="12" t="s">
        <v>776</v>
      </c>
      <c r="P4396" s="10" t="s">
        <v>27209</v>
      </c>
      <c r="Q4396" s="10" t="s">
        <v>1719</v>
      </c>
      <c r="R4396" s="10" t="s">
        <v>64</v>
      </c>
      <c r="S4396" s="12" t="s">
        <v>779</v>
      </c>
      <c r="T4396" s="10" t="s">
        <v>66</v>
      </c>
      <c r="U4396" s="12" t="s">
        <v>31</v>
      </c>
      <c r="V4396" s="10" t="s">
        <v>2422</v>
      </c>
      <c r="W4396" s="10" t="s">
        <v>27192</v>
      </c>
      <c r="X4396" s="13" t="str">
        <f>HYPERLINK("https://my.pitchbook.com?p=318655-54P","View People Online")</f>
        <v>View People Online</v>
      </c>
    </row>
    <row r="4397">
      <c r="A4397" s="6" t="s">
        <v>27358</v>
      </c>
      <c r="B4397" s="6" t="s">
        <v>27359</v>
      </c>
      <c r="C4397" s="6" t="s">
        <v>2288</v>
      </c>
      <c r="D4397" s="6" t="s">
        <v>27360</v>
      </c>
      <c r="E4397" s="6" t="s">
        <v>27192</v>
      </c>
      <c r="F4397" s="6" t="s">
        <v>3429</v>
      </c>
      <c r="G4397" s="6" t="s">
        <v>27361</v>
      </c>
      <c r="H4397" s="7">
        <v>1.0</v>
      </c>
      <c r="I4397" s="7">
        <v>3.0</v>
      </c>
      <c r="J4397" s="7">
        <v>3.0</v>
      </c>
      <c r="K4397" s="7" t="s">
        <v>31</v>
      </c>
      <c r="L4397" s="8" t="s">
        <v>27362</v>
      </c>
      <c r="M4397" s="6" t="s">
        <v>27363</v>
      </c>
      <c r="N4397" s="6" t="s">
        <v>75</v>
      </c>
      <c r="O4397" s="8" t="s">
        <v>76</v>
      </c>
      <c r="P4397" s="6" t="s">
        <v>27364</v>
      </c>
      <c r="Q4397" s="6" t="s">
        <v>27365</v>
      </c>
      <c r="R4397" s="6" t="s">
        <v>75</v>
      </c>
      <c r="S4397" s="8" t="s">
        <v>1122</v>
      </c>
      <c r="T4397" s="6" t="s">
        <v>66</v>
      </c>
      <c r="U4397" s="8" t="s">
        <v>27366</v>
      </c>
      <c r="V4397" s="6" t="s">
        <v>27367</v>
      </c>
      <c r="W4397" s="6" t="s">
        <v>27368</v>
      </c>
      <c r="X4397" s="9" t="str">
        <f>HYPERLINK("https://my.pitchbook.com?p=237880-63P","View People Online")</f>
        <v>View People Online</v>
      </c>
    </row>
    <row r="4398">
      <c r="A4398" s="2" t="s">
        <v>27369</v>
      </c>
      <c r="B4398" s="2" t="s">
        <v>27370</v>
      </c>
      <c r="C4398" s="2" t="s">
        <v>27371</v>
      </c>
      <c r="D4398" s="2" t="s">
        <v>16211</v>
      </c>
      <c r="E4398" s="2" t="s">
        <v>27192</v>
      </c>
      <c r="F4398" s="2" t="s">
        <v>221</v>
      </c>
      <c r="G4398" s="2" t="s">
        <v>27372</v>
      </c>
      <c r="H4398" s="3" t="s">
        <v>31</v>
      </c>
      <c r="I4398" s="3">
        <v>1.0</v>
      </c>
      <c r="J4398" s="3">
        <v>1.0</v>
      </c>
      <c r="K4398" s="3" t="s">
        <v>31</v>
      </c>
      <c r="L4398" s="4" t="s">
        <v>27207</v>
      </c>
      <c r="M4398" s="2" t="s">
        <v>27373</v>
      </c>
      <c r="N4398" s="2" t="s">
        <v>775</v>
      </c>
      <c r="O4398" s="4" t="s">
        <v>776</v>
      </c>
      <c r="P4398" s="2" t="s">
        <v>27209</v>
      </c>
      <c r="Q4398" s="2" t="s">
        <v>1719</v>
      </c>
      <c r="R4398" s="2" t="s">
        <v>64</v>
      </c>
      <c r="S4398" s="4" t="s">
        <v>779</v>
      </c>
      <c r="T4398" s="2" t="s">
        <v>66</v>
      </c>
      <c r="U4398" s="4" t="s">
        <v>31</v>
      </c>
      <c r="V4398" s="2" t="s">
        <v>27291</v>
      </c>
      <c r="W4398" s="2" t="s">
        <v>27192</v>
      </c>
      <c r="X4398" s="5" t="str">
        <f>HYPERLINK("https://my.pitchbook.com?p=377675-65P","View People Online")</f>
        <v>View People Online</v>
      </c>
    </row>
    <row r="4399">
      <c r="A4399" s="14" t="s">
        <v>27374</v>
      </c>
      <c r="B4399" s="14" t="s">
        <v>27375</v>
      </c>
      <c r="C4399" s="14" t="s">
        <v>27376</v>
      </c>
      <c r="D4399" s="14" t="s">
        <v>4494</v>
      </c>
      <c r="E4399" s="14" t="s">
        <v>27192</v>
      </c>
      <c r="F4399" s="14" t="s">
        <v>29</v>
      </c>
      <c r="G4399" s="14" t="s">
        <v>27377</v>
      </c>
      <c r="H4399" s="15">
        <v>2.0</v>
      </c>
      <c r="I4399" s="15">
        <v>8.0</v>
      </c>
      <c r="J4399" s="15">
        <v>1.0</v>
      </c>
      <c r="K4399" s="15">
        <v>3.0</v>
      </c>
      <c r="L4399" s="16" t="s">
        <v>27207</v>
      </c>
      <c r="M4399" s="14" t="s">
        <v>27378</v>
      </c>
      <c r="N4399" s="14" t="s">
        <v>775</v>
      </c>
      <c r="O4399" s="16" t="s">
        <v>776</v>
      </c>
      <c r="P4399" s="14" t="s">
        <v>27209</v>
      </c>
      <c r="Q4399" s="14" t="s">
        <v>1719</v>
      </c>
      <c r="R4399" s="14" t="s">
        <v>64</v>
      </c>
      <c r="S4399" s="16" t="s">
        <v>779</v>
      </c>
      <c r="T4399" s="14" t="s">
        <v>66</v>
      </c>
      <c r="U4399" s="16" t="s">
        <v>31</v>
      </c>
      <c r="V4399" s="14" t="s">
        <v>27379</v>
      </c>
      <c r="W4399" s="14" t="s">
        <v>27192</v>
      </c>
      <c r="X4399" s="17" t="str">
        <f>HYPERLINK("https://my.pitchbook.com?p=75985-93P","View People Online")</f>
        <v>View People Online</v>
      </c>
    </row>
    <row r="4400">
      <c r="A4400" s="2" t="s">
        <v>27380</v>
      </c>
      <c r="B4400" s="2" t="s">
        <v>27381</v>
      </c>
      <c r="C4400" s="2" t="s">
        <v>3215</v>
      </c>
      <c r="D4400" s="2" t="s">
        <v>27382</v>
      </c>
      <c r="E4400" s="2" t="s">
        <v>27192</v>
      </c>
      <c r="F4400" s="2" t="s">
        <v>3429</v>
      </c>
      <c r="G4400" s="2" t="s">
        <v>27383</v>
      </c>
      <c r="H4400" s="3" t="s">
        <v>31</v>
      </c>
      <c r="I4400" s="3">
        <v>2.0</v>
      </c>
      <c r="J4400" s="3">
        <v>2.0</v>
      </c>
      <c r="K4400" s="3" t="s">
        <v>31</v>
      </c>
      <c r="L4400" s="4" t="s">
        <v>27384</v>
      </c>
      <c r="M4400" s="2" t="s">
        <v>27385</v>
      </c>
      <c r="N4400" s="2" t="s">
        <v>27386</v>
      </c>
      <c r="O4400" s="4" t="s">
        <v>27387</v>
      </c>
      <c r="P4400" s="2" t="s">
        <v>27388</v>
      </c>
      <c r="Q4400" s="2" t="s">
        <v>27389</v>
      </c>
      <c r="R4400" s="2" t="s">
        <v>27390</v>
      </c>
      <c r="S4400" s="4" t="s">
        <v>27391</v>
      </c>
      <c r="T4400" s="2" t="s">
        <v>66</v>
      </c>
      <c r="U4400" s="4" t="s">
        <v>31</v>
      </c>
      <c r="V4400" s="2" t="s">
        <v>27392</v>
      </c>
      <c r="W4400" s="2" t="s">
        <v>27368</v>
      </c>
      <c r="X4400" s="5" t="str">
        <f>HYPERLINK("https://my.pitchbook.com?p=52613-29P","View People Online")</f>
        <v>View People Online</v>
      </c>
    </row>
    <row r="4401">
      <c r="A4401" s="6" t="s">
        <v>27393</v>
      </c>
      <c r="B4401" s="6" t="s">
        <v>27394</v>
      </c>
      <c r="C4401" s="6" t="s">
        <v>3215</v>
      </c>
      <c r="D4401" s="6" t="s">
        <v>27395</v>
      </c>
      <c r="E4401" s="6" t="s">
        <v>27192</v>
      </c>
      <c r="F4401" s="6" t="s">
        <v>2731</v>
      </c>
      <c r="G4401" s="6" t="s">
        <v>27396</v>
      </c>
      <c r="H4401" s="7" t="s">
        <v>31</v>
      </c>
      <c r="I4401" s="7">
        <v>1.0</v>
      </c>
      <c r="J4401" s="7">
        <v>1.0</v>
      </c>
      <c r="K4401" s="7" t="s">
        <v>31</v>
      </c>
      <c r="L4401" s="8" t="s">
        <v>27207</v>
      </c>
      <c r="M4401" s="6" t="s">
        <v>31</v>
      </c>
      <c r="N4401" s="6" t="s">
        <v>775</v>
      </c>
      <c r="O4401" s="8" t="s">
        <v>776</v>
      </c>
      <c r="P4401" s="6" t="s">
        <v>27209</v>
      </c>
      <c r="Q4401" s="6" t="s">
        <v>1719</v>
      </c>
      <c r="R4401" s="6" t="s">
        <v>64</v>
      </c>
      <c r="S4401" s="8" t="s">
        <v>779</v>
      </c>
      <c r="T4401" s="6" t="s">
        <v>66</v>
      </c>
      <c r="U4401" s="8" t="s">
        <v>31</v>
      </c>
      <c r="V4401" s="6" t="s">
        <v>2731</v>
      </c>
      <c r="W4401" s="6" t="s">
        <v>27192</v>
      </c>
      <c r="X4401" s="9" t="str">
        <f>HYPERLINK("https://my.pitchbook.com?p=348091-03P","View People Online")</f>
        <v>View People Online</v>
      </c>
    </row>
    <row r="4402">
      <c r="A4402" s="2" t="s">
        <v>27397</v>
      </c>
      <c r="B4402" s="2" t="s">
        <v>27398</v>
      </c>
      <c r="C4402" s="2" t="s">
        <v>536</v>
      </c>
      <c r="D4402" s="2" t="s">
        <v>5364</v>
      </c>
      <c r="E4402" s="2" t="s">
        <v>27192</v>
      </c>
      <c r="F4402" s="2" t="s">
        <v>29</v>
      </c>
      <c r="G4402" s="2" t="s">
        <v>27399</v>
      </c>
      <c r="H4402" s="3">
        <v>1.0</v>
      </c>
      <c r="I4402" s="3">
        <v>3.0</v>
      </c>
      <c r="J4402" s="3">
        <v>1.0</v>
      </c>
      <c r="K4402" s="3">
        <v>1.0</v>
      </c>
      <c r="L4402" s="4" t="s">
        <v>27207</v>
      </c>
      <c r="M4402" s="2" t="s">
        <v>27400</v>
      </c>
      <c r="N4402" s="2" t="s">
        <v>775</v>
      </c>
      <c r="O4402" s="4" t="s">
        <v>776</v>
      </c>
      <c r="P4402" s="2" t="s">
        <v>27209</v>
      </c>
      <c r="Q4402" s="2" t="s">
        <v>1719</v>
      </c>
      <c r="R4402" s="2" t="s">
        <v>64</v>
      </c>
      <c r="S4402" s="4" t="s">
        <v>779</v>
      </c>
      <c r="T4402" s="2" t="s">
        <v>66</v>
      </c>
      <c r="U4402" s="4" t="s">
        <v>31</v>
      </c>
      <c r="V4402" s="2" t="s">
        <v>27285</v>
      </c>
      <c r="W4402" s="2" t="s">
        <v>27192</v>
      </c>
      <c r="X4402" s="5" t="str">
        <f>HYPERLINK("https://my.pitchbook.com?p=30764-17P","View People Online")</f>
        <v>View People Online</v>
      </c>
    </row>
    <row r="4403">
      <c r="A4403" s="14" t="s">
        <v>27401</v>
      </c>
      <c r="B4403" s="14" t="s">
        <v>27402</v>
      </c>
      <c r="C4403" s="14" t="s">
        <v>1697</v>
      </c>
      <c r="D4403" s="14" t="s">
        <v>27403</v>
      </c>
      <c r="E4403" s="14" t="s">
        <v>27192</v>
      </c>
      <c r="F4403" s="14" t="s">
        <v>3429</v>
      </c>
      <c r="G4403" s="14" t="s">
        <v>27404</v>
      </c>
      <c r="H4403" s="15" t="s">
        <v>31</v>
      </c>
      <c r="I4403" s="15">
        <v>7.0</v>
      </c>
      <c r="J4403" s="15">
        <v>1.0</v>
      </c>
      <c r="K4403" s="15">
        <v>1.0</v>
      </c>
      <c r="L4403" s="16" t="s">
        <v>27207</v>
      </c>
      <c r="M4403" s="14" t="s">
        <v>27405</v>
      </c>
      <c r="N4403" s="14" t="s">
        <v>775</v>
      </c>
      <c r="O4403" s="16" t="s">
        <v>776</v>
      </c>
      <c r="P4403" s="14" t="s">
        <v>27209</v>
      </c>
      <c r="Q4403" s="14" t="s">
        <v>1719</v>
      </c>
      <c r="R4403" s="14" t="s">
        <v>64</v>
      </c>
      <c r="S4403" s="16" t="s">
        <v>779</v>
      </c>
      <c r="T4403" s="14" t="s">
        <v>66</v>
      </c>
      <c r="U4403" s="16" t="s">
        <v>31</v>
      </c>
      <c r="V4403" s="14" t="s">
        <v>27406</v>
      </c>
      <c r="W4403" s="14" t="s">
        <v>27192</v>
      </c>
      <c r="X4403" s="17" t="str">
        <f>HYPERLINK("https://my.pitchbook.com?p=81556-21P","View People Online")</f>
        <v>View People Online</v>
      </c>
    </row>
    <row r="4404">
      <c r="A4404" s="10" t="s">
        <v>27407</v>
      </c>
      <c r="B4404" s="10" t="s">
        <v>27408</v>
      </c>
      <c r="C4404" s="10" t="s">
        <v>27409</v>
      </c>
      <c r="D4404" s="10" t="s">
        <v>27410</v>
      </c>
      <c r="E4404" s="10" t="s">
        <v>27192</v>
      </c>
      <c r="F4404" s="10" t="s">
        <v>896</v>
      </c>
      <c r="G4404" s="10" t="s">
        <v>27411</v>
      </c>
      <c r="H4404" s="11" t="s">
        <v>31</v>
      </c>
      <c r="I4404" s="11">
        <v>1.0</v>
      </c>
      <c r="J4404" s="11">
        <v>1.0</v>
      </c>
      <c r="K4404" s="11" t="s">
        <v>31</v>
      </c>
      <c r="L4404" s="12" t="s">
        <v>27412</v>
      </c>
      <c r="M4404" s="10" t="s">
        <v>27413</v>
      </c>
      <c r="N4404" s="10" t="s">
        <v>775</v>
      </c>
      <c r="O4404" s="12" t="s">
        <v>776</v>
      </c>
      <c r="P4404" s="10" t="s">
        <v>27209</v>
      </c>
      <c r="Q4404" s="10" t="s">
        <v>1719</v>
      </c>
      <c r="R4404" s="10" t="s">
        <v>64</v>
      </c>
      <c r="S4404" s="12" t="s">
        <v>779</v>
      </c>
      <c r="T4404" s="10" t="s">
        <v>66</v>
      </c>
      <c r="U4404" s="12" t="s">
        <v>31</v>
      </c>
      <c r="V4404" s="10" t="s">
        <v>27414</v>
      </c>
      <c r="W4404" s="10" t="s">
        <v>27192</v>
      </c>
      <c r="X4404" s="13" t="str">
        <f>HYPERLINK("https://my.pitchbook.com?p=318772-27P","View People Online")</f>
        <v>View People Online</v>
      </c>
    </row>
    <row r="4405">
      <c r="A4405" s="14" t="s">
        <v>27415</v>
      </c>
      <c r="B4405" s="14" t="s">
        <v>27416</v>
      </c>
      <c r="C4405" s="14" t="s">
        <v>5684</v>
      </c>
      <c r="D4405" s="14" t="s">
        <v>27417</v>
      </c>
      <c r="E4405" s="14" t="s">
        <v>27418</v>
      </c>
      <c r="F4405" s="14" t="s">
        <v>312</v>
      </c>
      <c r="G4405" s="14" t="s">
        <v>27419</v>
      </c>
      <c r="H4405" s="15" t="s">
        <v>31</v>
      </c>
      <c r="I4405" s="15">
        <v>1.0</v>
      </c>
      <c r="J4405" s="15">
        <v>1.0</v>
      </c>
      <c r="K4405" s="15" t="s">
        <v>31</v>
      </c>
      <c r="L4405" s="16" t="s">
        <v>27420</v>
      </c>
      <c r="M4405" s="14" t="s">
        <v>27421</v>
      </c>
      <c r="N4405" s="14" t="s">
        <v>27422</v>
      </c>
      <c r="O4405" s="16" t="s">
        <v>27423</v>
      </c>
      <c r="P4405" s="14" t="s">
        <v>27424</v>
      </c>
      <c r="Q4405" s="14" t="s">
        <v>31</v>
      </c>
      <c r="R4405" s="14" t="s">
        <v>396</v>
      </c>
      <c r="S4405" s="16" t="s">
        <v>27425</v>
      </c>
      <c r="T4405" s="14" t="s">
        <v>66</v>
      </c>
      <c r="U4405" s="16" t="s">
        <v>31</v>
      </c>
      <c r="V4405" s="14" t="s">
        <v>27426</v>
      </c>
      <c r="W4405" s="14" t="s">
        <v>27418</v>
      </c>
      <c r="X4405" s="17" t="str">
        <f>HYPERLINK("https://my.pitchbook.com?p=402512-77P","View People Online")</f>
        <v>View People Online</v>
      </c>
    </row>
    <row r="4406">
      <c r="A4406" s="2" t="s">
        <v>27427</v>
      </c>
      <c r="B4406" s="2" t="s">
        <v>27428</v>
      </c>
      <c r="C4406" s="2" t="s">
        <v>8348</v>
      </c>
      <c r="D4406" s="2" t="s">
        <v>20943</v>
      </c>
      <c r="E4406" s="2" t="s">
        <v>27418</v>
      </c>
      <c r="F4406" s="2" t="s">
        <v>312</v>
      </c>
      <c r="G4406" s="2" t="s">
        <v>27429</v>
      </c>
      <c r="H4406" s="3">
        <v>1.0</v>
      </c>
      <c r="I4406" s="3">
        <v>4.0</v>
      </c>
      <c r="J4406" s="3">
        <v>2.0</v>
      </c>
      <c r="K4406" s="3">
        <v>1.0</v>
      </c>
      <c r="L4406" s="4" t="s">
        <v>27420</v>
      </c>
      <c r="M4406" s="2" t="s">
        <v>27430</v>
      </c>
      <c r="N4406" s="2" t="s">
        <v>27422</v>
      </c>
      <c r="O4406" s="4" t="s">
        <v>27423</v>
      </c>
      <c r="P4406" s="2" t="s">
        <v>27424</v>
      </c>
      <c r="Q4406" s="2" t="s">
        <v>31</v>
      </c>
      <c r="R4406" s="2" t="s">
        <v>396</v>
      </c>
      <c r="S4406" s="4" t="s">
        <v>27425</v>
      </c>
      <c r="T4406" s="2" t="s">
        <v>66</v>
      </c>
      <c r="U4406" s="4" t="s">
        <v>31</v>
      </c>
      <c r="V4406" s="2" t="s">
        <v>7882</v>
      </c>
      <c r="W4406" s="2" t="s">
        <v>27418</v>
      </c>
      <c r="X4406" s="5" t="str">
        <f>HYPERLINK("https://my.pitchbook.com?p=249860-53P","View People Online")</f>
        <v>View People Online</v>
      </c>
    </row>
    <row r="4407">
      <c r="A4407" s="6" t="s">
        <v>27431</v>
      </c>
      <c r="B4407" s="6" t="s">
        <v>27432</v>
      </c>
      <c r="C4407" s="6" t="s">
        <v>2701</v>
      </c>
      <c r="D4407" s="6" t="s">
        <v>2871</v>
      </c>
      <c r="E4407" s="6" t="s">
        <v>27418</v>
      </c>
      <c r="F4407" s="6" t="s">
        <v>27433</v>
      </c>
      <c r="G4407" s="6" t="s">
        <v>27434</v>
      </c>
      <c r="H4407" s="7" t="s">
        <v>31</v>
      </c>
      <c r="I4407" s="7">
        <v>1.0</v>
      </c>
      <c r="J4407" s="7">
        <v>1.0</v>
      </c>
      <c r="K4407" s="7" t="s">
        <v>31</v>
      </c>
      <c r="L4407" s="8" t="s">
        <v>27420</v>
      </c>
      <c r="M4407" s="6" t="s">
        <v>27435</v>
      </c>
      <c r="N4407" s="6" t="s">
        <v>27422</v>
      </c>
      <c r="O4407" s="8" t="s">
        <v>27423</v>
      </c>
      <c r="P4407" s="6" t="s">
        <v>27424</v>
      </c>
      <c r="Q4407" s="6" t="s">
        <v>31</v>
      </c>
      <c r="R4407" s="6" t="s">
        <v>396</v>
      </c>
      <c r="S4407" s="8" t="s">
        <v>27425</v>
      </c>
      <c r="T4407" s="6" t="s">
        <v>66</v>
      </c>
      <c r="U4407" s="8" t="s">
        <v>31</v>
      </c>
      <c r="V4407" s="6" t="s">
        <v>27436</v>
      </c>
      <c r="W4407" s="6" t="s">
        <v>27418</v>
      </c>
      <c r="X4407" s="9" t="str">
        <f>HYPERLINK("https://my.pitchbook.com?p=342468-19P","View People Online")</f>
        <v>View People Online</v>
      </c>
    </row>
    <row r="4408">
      <c r="A4408" s="2" t="s">
        <v>27437</v>
      </c>
      <c r="B4408" s="2" t="s">
        <v>27438</v>
      </c>
      <c r="C4408" s="2" t="s">
        <v>1449</v>
      </c>
      <c r="D4408" s="2" t="s">
        <v>27439</v>
      </c>
      <c r="E4408" s="2" t="s">
        <v>27418</v>
      </c>
      <c r="F4408" s="2" t="s">
        <v>4527</v>
      </c>
      <c r="G4408" s="2" t="s">
        <v>27440</v>
      </c>
      <c r="H4408" s="3">
        <v>2.0</v>
      </c>
      <c r="I4408" s="3">
        <v>4.0</v>
      </c>
      <c r="J4408" s="3">
        <v>1.0</v>
      </c>
      <c r="K4408" s="3">
        <v>2.0</v>
      </c>
      <c r="L4408" s="4" t="s">
        <v>31</v>
      </c>
      <c r="M4408" s="2" t="s">
        <v>27441</v>
      </c>
      <c r="N4408" s="2" t="s">
        <v>27442</v>
      </c>
      <c r="O4408" s="4" t="s">
        <v>27443</v>
      </c>
      <c r="P4408" s="2" t="s">
        <v>31</v>
      </c>
      <c r="Q4408" s="2" t="s">
        <v>31</v>
      </c>
      <c r="R4408" s="2" t="s">
        <v>3960</v>
      </c>
      <c r="S4408" s="4" t="s">
        <v>31</v>
      </c>
      <c r="T4408" s="2" t="s">
        <v>66</v>
      </c>
      <c r="U4408" s="4" t="s">
        <v>31</v>
      </c>
      <c r="V4408" s="2" t="s">
        <v>6811</v>
      </c>
      <c r="W4408" s="2" t="s">
        <v>27418</v>
      </c>
      <c r="X4408" s="5" t="str">
        <f>HYPERLINK("https://my.pitchbook.com?p=225168-13P","View People Online")</f>
        <v>View People Online</v>
      </c>
    </row>
    <row r="4409">
      <c r="A4409" s="14" t="s">
        <v>27444</v>
      </c>
      <c r="B4409" s="14" t="s">
        <v>27445</v>
      </c>
      <c r="C4409" s="14" t="s">
        <v>11210</v>
      </c>
      <c r="D4409" s="14" t="s">
        <v>27446</v>
      </c>
      <c r="E4409" s="14" t="s">
        <v>27418</v>
      </c>
      <c r="F4409" s="14" t="s">
        <v>583</v>
      </c>
      <c r="G4409" s="14" t="s">
        <v>27447</v>
      </c>
      <c r="H4409" s="15" t="s">
        <v>31</v>
      </c>
      <c r="I4409" s="15">
        <v>2.0</v>
      </c>
      <c r="J4409" s="15">
        <v>1.0</v>
      </c>
      <c r="K4409" s="15">
        <v>1.0</v>
      </c>
      <c r="L4409" s="16" t="s">
        <v>27420</v>
      </c>
      <c r="M4409" s="14" t="s">
        <v>27448</v>
      </c>
      <c r="N4409" s="14" t="s">
        <v>27422</v>
      </c>
      <c r="O4409" s="16" t="s">
        <v>27423</v>
      </c>
      <c r="P4409" s="14" t="s">
        <v>27424</v>
      </c>
      <c r="Q4409" s="14" t="s">
        <v>31</v>
      </c>
      <c r="R4409" s="14" t="s">
        <v>396</v>
      </c>
      <c r="S4409" s="16" t="s">
        <v>27425</v>
      </c>
      <c r="T4409" s="14" t="s">
        <v>66</v>
      </c>
      <c r="U4409" s="16" t="s">
        <v>31</v>
      </c>
      <c r="V4409" s="14" t="s">
        <v>27449</v>
      </c>
      <c r="W4409" s="14" t="s">
        <v>27418</v>
      </c>
      <c r="X4409" s="17" t="str">
        <f>HYPERLINK("https://my.pitchbook.com?p=445080-25P","View People Online")</f>
        <v>View People Online</v>
      </c>
    </row>
    <row r="4410">
      <c r="A4410" s="2" t="s">
        <v>27450</v>
      </c>
      <c r="B4410" s="2" t="s">
        <v>27451</v>
      </c>
      <c r="C4410" s="2" t="s">
        <v>7138</v>
      </c>
      <c r="D4410" s="2" t="s">
        <v>27452</v>
      </c>
      <c r="E4410" s="2" t="s">
        <v>27418</v>
      </c>
      <c r="F4410" s="2" t="s">
        <v>4951</v>
      </c>
      <c r="G4410" s="2" t="s">
        <v>27453</v>
      </c>
      <c r="H4410" s="3" t="s">
        <v>31</v>
      </c>
      <c r="I4410" s="3">
        <v>2.0</v>
      </c>
      <c r="J4410" s="3">
        <v>1.0</v>
      </c>
      <c r="K4410" s="3">
        <v>1.0</v>
      </c>
      <c r="L4410" s="4" t="s">
        <v>27420</v>
      </c>
      <c r="M4410" s="2" t="s">
        <v>27454</v>
      </c>
      <c r="N4410" s="2" t="s">
        <v>27422</v>
      </c>
      <c r="O4410" s="4" t="s">
        <v>27423</v>
      </c>
      <c r="P4410" s="2" t="s">
        <v>27424</v>
      </c>
      <c r="Q4410" s="2" t="s">
        <v>31</v>
      </c>
      <c r="R4410" s="2" t="s">
        <v>396</v>
      </c>
      <c r="S4410" s="4" t="s">
        <v>27425</v>
      </c>
      <c r="T4410" s="2" t="s">
        <v>66</v>
      </c>
      <c r="U4410" s="4" t="s">
        <v>31</v>
      </c>
      <c r="V4410" s="2" t="s">
        <v>27455</v>
      </c>
      <c r="W4410" s="2" t="s">
        <v>27418</v>
      </c>
      <c r="X4410" s="5" t="str">
        <f>HYPERLINK("https://my.pitchbook.com?p=176144-68P","View People Online")</f>
        <v>View People Online</v>
      </c>
    </row>
    <row r="4411">
      <c r="A4411" s="6" t="s">
        <v>27456</v>
      </c>
      <c r="B4411" s="6" t="s">
        <v>27457</v>
      </c>
      <c r="C4411" s="6" t="s">
        <v>27458</v>
      </c>
      <c r="D4411" s="6" t="s">
        <v>27459</v>
      </c>
      <c r="E4411" s="6" t="s">
        <v>27418</v>
      </c>
      <c r="F4411" s="6" t="s">
        <v>3678</v>
      </c>
      <c r="G4411" s="6" t="s">
        <v>27460</v>
      </c>
      <c r="H4411" s="7" t="s">
        <v>31</v>
      </c>
      <c r="I4411" s="7">
        <v>1.0</v>
      </c>
      <c r="J4411" s="7">
        <v>1.0</v>
      </c>
      <c r="K4411" s="7" t="s">
        <v>31</v>
      </c>
      <c r="L4411" s="8" t="s">
        <v>27420</v>
      </c>
      <c r="M4411" s="6" t="s">
        <v>27461</v>
      </c>
      <c r="N4411" s="6" t="s">
        <v>27422</v>
      </c>
      <c r="O4411" s="8" t="s">
        <v>27423</v>
      </c>
      <c r="P4411" s="6" t="s">
        <v>27424</v>
      </c>
      <c r="Q4411" s="6" t="s">
        <v>31</v>
      </c>
      <c r="R4411" s="6" t="s">
        <v>396</v>
      </c>
      <c r="S4411" s="8" t="s">
        <v>27425</v>
      </c>
      <c r="T4411" s="6" t="s">
        <v>66</v>
      </c>
      <c r="U4411" s="8" t="s">
        <v>31</v>
      </c>
      <c r="V4411" s="6" t="s">
        <v>27462</v>
      </c>
      <c r="W4411" s="6" t="s">
        <v>27418</v>
      </c>
      <c r="X4411" s="9" t="str">
        <f>HYPERLINK("https://my.pitchbook.com?p=310243-06P","View People Online")</f>
        <v>View People Online</v>
      </c>
    </row>
    <row r="4412">
      <c r="A4412" s="10" t="s">
        <v>27463</v>
      </c>
      <c r="B4412" s="10" t="s">
        <v>27464</v>
      </c>
      <c r="C4412" s="10" t="s">
        <v>27465</v>
      </c>
      <c r="D4412" s="10" t="s">
        <v>27466</v>
      </c>
      <c r="E4412" s="10" t="s">
        <v>27418</v>
      </c>
      <c r="F4412" s="10" t="s">
        <v>548</v>
      </c>
      <c r="G4412" s="10" t="s">
        <v>27467</v>
      </c>
      <c r="H4412" s="11" t="s">
        <v>31</v>
      </c>
      <c r="I4412" s="11">
        <v>2.0</v>
      </c>
      <c r="J4412" s="11">
        <v>2.0</v>
      </c>
      <c r="K4412" s="11" t="s">
        <v>31</v>
      </c>
      <c r="L4412" s="12" t="s">
        <v>27420</v>
      </c>
      <c r="M4412" s="10" t="s">
        <v>27468</v>
      </c>
      <c r="N4412" s="10" t="s">
        <v>27422</v>
      </c>
      <c r="O4412" s="12" t="s">
        <v>27423</v>
      </c>
      <c r="P4412" s="10" t="s">
        <v>27424</v>
      </c>
      <c r="Q4412" s="10" t="s">
        <v>31</v>
      </c>
      <c r="R4412" s="10" t="s">
        <v>396</v>
      </c>
      <c r="S4412" s="12" t="s">
        <v>27425</v>
      </c>
      <c r="T4412" s="10" t="s">
        <v>66</v>
      </c>
      <c r="U4412" s="12" t="s">
        <v>31</v>
      </c>
      <c r="V4412" s="10" t="s">
        <v>27469</v>
      </c>
      <c r="W4412" s="10" t="s">
        <v>27418</v>
      </c>
      <c r="X4412" s="13" t="str">
        <f>HYPERLINK("https://my.pitchbook.com?p=386841-25P","View People Online")</f>
        <v>View People Online</v>
      </c>
    </row>
    <row r="4413">
      <c r="A4413" s="14" t="s">
        <v>27470</v>
      </c>
      <c r="B4413" s="14" t="s">
        <v>27471</v>
      </c>
      <c r="C4413" s="14" t="s">
        <v>3846</v>
      </c>
      <c r="D4413" s="14" t="s">
        <v>27472</v>
      </c>
      <c r="E4413" s="14" t="s">
        <v>27418</v>
      </c>
      <c r="F4413" s="14" t="s">
        <v>4951</v>
      </c>
      <c r="G4413" s="14" t="s">
        <v>27473</v>
      </c>
      <c r="H4413" s="15" t="s">
        <v>31</v>
      </c>
      <c r="I4413" s="15">
        <v>1.0</v>
      </c>
      <c r="J4413" s="15">
        <v>1.0</v>
      </c>
      <c r="K4413" s="15" t="s">
        <v>31</v>
      </c>
      <c r="L4413" s="16" t="s">
        <v>27420</v>
      </c>
      <c r="M4413" s="14" t="s">
        <v>27474</v>
      </c>
      <c r="N4413" s="14" t="s">
        <v>27422</v>
      </c>
      <c r="O4413" s="16" t="s">
        <v>27423</v>
      </c>
      <c r="P4413" s="14" t="s">
        <v>27424</v>
      </c>
      <c r="Q4413" s="14" t="s">
        <v>31</v>
      </c>
      <c r="R4413" s="14" t="s">
        <v>396</v>
      </c>
      <c r="S4413" s="16" t="s">
        <v>27425</v>
      </c>
      <c r="T4413" s="14" t="s">
        <v>66</v>
      </c>
      <c r="U4413" s="16" t="s">
        <v>31</v>
      </c>
      <c r="V4413" s="14" t="s">
        <v>27475</v>
      </c>
      <c r="W4413" s="14" t="s">
        <v>27418</v>
      </c>
      <c r="X4413" s="17" t="str">
        <f>HYPERLINK("https://my.pitchbook.com?p=249860-98P","View People Online")</f>
        <v>View People Online</v>
      </c>
    </row>
    <row r="4414">
      <c r="A4414" s="2" t="s">
        <v>27476</v>
      </c>
      <c r="B4414" s="2" t="s">
        <v>27477</v>
      </c>
      <c r="C4414" s="2" t="s">
        <v>126</v>
      </c>
      <c r="D4414" s="2" t="s">
        <v>27478</v>
      </c>
      <c r="E4414" s="2" t="s">
        <v>27418</v>
      </c>
      <c r="F4414" s="2" t="s">
        <v>371</v>
      </c>
      <c r="G4414" s="2" t="s">
        <v>27479</v>
      </c>
      <c r="H4414" s="3" t="s">
        <v>31</v>
      </c>
      <c r="I4414" s="3">
        <v>2.0</v>
      </c>
      <c r="J4414" s="3">
        <v>2.0</v>
      </c>
      <c r="K4414" s="3" t="s">
        <v>31</v>
      </c>
      <c r="L4414" s="4" t="s">
        <v>27480</v>
      </c>
      <c r="M4414" s="2" t="s">
        <v>27481</v>
      </c>
      <c r="N4414" s="2" t="s">
        <v>27422</v>
      </c>
      <c r="O4414" s="4" t="s">
        <v>27423</v>
      </c>
      <c r="P4414" s="2" t="s">
        <v>27424</v>
      </c>
      <c r="Q4414" s="2" t="s">
        <v>31</v>
      </c>
      <c r="R4414" s="2" t="s">
        <v>396</v>
      </c>
      <c r="S4414" s="4" t="s">
        <v>27425</v>
      </c>
      <c r="T4414" s="2" t="s">
        <v>66</v>
      </c>
      <c r="U4414" s="4" t="s">
        <v>31</v>
      </c>
      <c r="V4414" s="2" t="s">
        <v>27482</v>
      </c>
      <c r="W4414" s="2" t="s">
        <v>27418</v>
      </c>
      <c r="X4414" s="5" t="str">
        <f>HYPERLINK("https://my.pitchbook.com?p=369283-15P","View People Online")</f>
        <v>View People Online</v>
      </c>
    </row>
    <row r="4415">
      <c r="A4415" s="14" t="s">
        <v>27483</v>
      </c>
      <c r="B4415" s="14" t="s">
        <v>27484</v>
      </c>
      <c r="C4415" s="14" t="s">
        <v>27485</v>
      </c>
      <c r="D4415" s="14" t="s">
        <v>7497</v>
      </c>
      <c r="E4415" s="14" t="s">
        <v>27418</v>
      </c>
      <c r="F4415" s="14" t="s">
        <v>10389</v>
      </c>
      <c r="G4415" s="14" t="s">
        <v>27486</v>
      </c>
      <c r="H4415" s="15" t="s">
        <v>31</v>
      </c>
      <c r="I4415" s="15">
        <v>1.0</v>
      </c>
      <c r="J4415" s="15">
        <v>1.0</v>
      </c>
      <c r="K4415" s="15" t="s">
        <v>31</v>
      </c>
      <c r="L4415" s="16" t="s">
        <v>27420</v>
      </c>
      <c r="M4415" s="14" t="s">
        <v>27487</v>
      </c>
      <c r="N4415" s="14" t="s">
        <v>27422</v>
      </c>
      <c r="O4415" s="16" t="s">
        <v>27423</v>
      </c>
      <c r="P4415" s="14" t="s">
        <v>27424</v>
      </c>
      <c r="Q4415" s="14" t="s">
        <v>31</v>
      </c>
      <c r="R4415" s="14" t="s">
        <v>396</v>
      </c>
      <c r="S4415" s="16" t="s">
        <v>27425</v>
      </c>
      <c r="T4415" s="14" t="s">
        <v>66</v>
      </c>
      <c r="U4415" s="16" t="s">
        <v>31</v>
      </c>
      <c r="V4415" s="14" t="s">
        <v>27488</v>
      </c>
      <c r="W4415" s="14" t="s">
        <v>27418</v>
      </c>
      <c r="X4415" s="17" t="str">
        <f>HYPERLINK("https://my.pitchbook.com?p=362363-32P","View People Online")</f>
        <v>View People Online</v>
      </c>
    </row>
    <row r="4416">
      <c r="A4416" s="2" t="s">
        <v>27489</v>
      </c>
      <c r="B4416" s="2" t="s">
        <v>27490</v>
      </c>
      <c r="C4416" s="2" t="s">
        <v>20141</v>
      </c>
      <c r="D4416" s="2" t="s">
        <v>27491</v>
      </c>
      <c r="E4416" s="2" t="s">
        <v>27418</v>
      </c>
      <c r="F4416" s="2" t="s">
        <v>5365</v>
      </c>
      <c r="G4416" s="2" t="s">
        <v>27492</v>
      </c>
      <c r="H4416" s="3" t="s">
        <v>31</v>
      </c>
      <c r="I4416" s="3">
        <v>1.0</v>
      </c>
      <c r="J4416" s="3">
        <v>1.0</v>
      </c>
      <c r="K4416" s="3" t="s">
        <v>31</v>
      </c>
      <c r="L4416" s="4" t="s">
        <v>27420</v>
      </c>
      <c r="M4416" s="2" t="s">
        <v>27493</v>
      </c>
      <c r="N4416" s="2" t="s">
        <v>27422</v>
      </c>
      <c r="O4416" s="4" t="s">
        <v>27423</v>
      </c>
      <c r="P4416" s="2" t="s">
        <v>27424</v>
      </c>
      <c r="Q4416" s="2" t="s">
        <v>31</v>
      </c>
      <c r="R4416" s="2" t="s">
        <v>396</v>
      </c>
      <c r="S4416" s="4" t="s">
        <v>27425</v>
      </c>
      <c r="T4416" s="2" t="s">
        <v>66</v>
      </c>
      <c r="U4416" s="4" t="s">
        <v>31</v>
      </c>
      <c r="V4416" s="2" t="s">
        <v>27494</v>
      </c>
      <c r="W4416" s="2" t="s">
        <v>27418</v>
      </c>
      <c r="X4416" s="5" t="str">
        <f>HYPERLINK("https://my.pitchbook.com?p=225298-63P","View People Online")</f>
        <v>View People Online</v>
      </c>
    </row>
    <row r="4417">
      <c r="A4417" s="14" t="s">
        <v>27495</v>
      </c>
      <c r="B4417" s="14" t="s">
        <v>27496</v>
      </c>
      <c r="C4417" s="14" t="s">
        <v>167</v>
      </c>
      <c r="D4417" s="14" t="s">
        <v>27497</v>
      </c>
      <c r="E4417" s="14" t="s">
        <v>27418</v>
      </c>
      <c r="F4417" s="14" t="s">
        <v>27498</v>
      </c>
      <c r="G4417" s="14" t="s">
        <v>27499</v>
      </c>
      <c r="H4417" s="15">
        <v>1.0</v>
      </c>
      <c r="I4417" s="15">
        <v>2.0</v>
      </c>
      <c r="J4417" s="15">
        <v>1.0</v>
      </c>
      <c r="K4417" s="15" t="s">
        <v>31</v>
      </c>
      <c r="L4417" s="16" t="s">
        <v>27420</v>
      </c>
      <c r="M4417" s="14" t="s">
        <v>27500</v>
      </c>
      <c r="N4417" s="14" t="s">
        <v>27422</v>
      </c>
      <c r="O4417" s="16" t="s">
        <v>27423</v>
      </c>
      <c r="P4417" s="14" t="s">
        <v>27424</v>
      </c>
      <c r="Q4417" s="14" t="s">
        <v>31</v>
      </c>
      <c r="R4417" s="14" t="s">
        <v>396</v>
      </c>
      <c r="S4417" s="16" t="s">
        <v>27425</v>
      </c>
      <c r="T4417" s="14" t="s">
        <v>66</v>
      </c>
      <c r="U4417" s="16" t="s">
        <v>31</v>
      </c>
      <c r="V4417" s="14" t="s">
        <v>4868</v>
      </c>
      <c r="W4417" s="14" t="s">
        <v>27418</v>
      </c>
      <c r="X4417" s="17" t="str">
        <f>HYPERLINK("https://my.pitchbook.com?p=156846-43P","View People Online")</f>
        <v>View People Online</v>
      </c>
    </row>
    <row r="4418">
      <c r="A4418" s="2" t="s">
        <v>27501</v>
      </c>
      <c r="B4418" s="2" t="s">
        <v>27502</v>
      </c>
      <c r="C4418" s="2" t="s">
        <v>27503</v>
      </c>
      <c r="D4418" s="2" t="s">
        <v>27504</v>
      </c>
      <c r="E4418" s="2" t="s">
        <v>27418</v>
      </c>
      <c r="F4418" s="2" t="s">
        <v>7882</v>
      </c>
      <c r="G4418" s="2" t="s">
        <v>27505</v>
      </c>
      <c r="H4418" s="3" t="s">
        <v>31</v>
      </c>
      <c r="I4418" s="3">
        <v>1.0</v>
      </c>
      <c r="J4418" s="3">
        <v>1.0</v>
      </c>
      <c r="K4418" s="3" t="s">
        <v>31</v>
      </c>
      <c r="L4418" s="4" t="s">
        <v>27420</v>
      </c>
      <c r="M4418" s="2" t="s">
        <v>27506</v>
      </c>
      <c r="N4418" s="2" t="s">
        <v>27422</v>
      </c>
      <c r="O4418" s="4" t="s">
        <v>27423</v>
      </c>
      <c r="P4418" s="2" t="s">
        <v>27424</v>
      </c>
      <c r="Q4418" s="2" t="s">
        <v>31</v>
      </c>
      <c r="R4418" s="2" t="s">
        <v>396</v>
      </c>
      <c r="S4418" s="4" t="s">
        <v>27425</v>
      </c>
      <c r="T4418" s="2" t="s">
        <v>66</v>
      </c>
      <c r="U4418" s="4" t="s">
        <v>31</v>
      </c>
      <c r="V4418" s="2" t="s">
        <v>27507</v>
      </c>
      <c r="W4418" s="2" t="s">
        <v>27418</v>
      </c>
      <c r="X4418" s="5" t="str">
        <f>HYPERLINK("https://my.pitchbook.com?p=452094-49P","View People Online")</f>
        <v>View People Online</v>
      </c>
    </row>
    <row r="4419">
      <c r="A4419" s="6" t="s">
        <v>27508</v>
      </c>
      <c r="B4419" s="6" t="s">
        <v>27509</v>
      </c>
      <c r="C4419" s="6" t="s">
        <v>562</v>
      </c>
      <c r="D4419" s="6" t="s">
        <v>27510</v>
      </c>
      <c r="E4419" s="6" t="s">
        <v>27418</v>
      </c>
      <c r="F4419" s="6" t="s">
        <v>371</v>
      </c>
      <c r="G4419" s="6" t="s">
        <v>27511</v>
      </c>
      <c r="H4419" s="7" t="s">
        <v>31</v>
      </c>
      <c r="I4419" s="7">
        <v>1.0</v>
      </c>
      <c r="J4419" s="7">
        <v>1.0</v>
      </c>
      <c r="K4419" s="7" t="s">
        <v>31</v>
      </c>
      <c r="L4419" s="8" t="s">
        <v>27420</v>
      </c>
      <c r="M4419" s="6" t="s">
        <v>27512</v>
      </c>
      <c r="N4419" s="6" t="s">
        <v>27422</v>
      </c>
      <c r="O4419" s="8" t="s">
        <v>27423</v>
      </c>
      <c r="P4419" s="6" t="s">
        <v>27424</v>
      </c>
      <c r="Q4419" s="6" t="s">
        <v>31</v>
      </c>
      <c r="R4419" s="6" t="s">
        <v>396</v>
      </c>
      <c r="S4419" s="8" t="s">
        <v>27425</v>
      </c>
      <c r="T4419" s="6" t="s">
        <v>66</v>
      </c>
      <c r="U4419" s="8" t="s">
        <v>31</v>
      </c>
      <c r="V4419" s="6" t="s">
        <v>27513</v>
      </c>
      <c r="W4419" s="6" t="s">
        <v>27418</v>
      </c>
      <c r="X4419" s="9" t="str">
        <f>HYPERLINK("https://my.pitchbook.com?p=276420-07P","View People Online")</f>
        <v>View People Online</v>
      </c>
    </row>
    <row r="4420">
      <c r="A4420" s="2" t="s">
        <v>27514</v>
      </c>
      <c r="B4420" s="2" t="s">
        <v>27515</v>
      </c>
      <c r="C4420" s="2" t="s">
        <v>213</v>
      </c>
      <c r="D4420" s="2" t="s">
        <v>27516</v>
      </c>
      <c r="E4420" s="2" t="s">
        <v>27517</v>
      </c>
      <c r="F4420" s="2" t="s">
        <v>1106</v>
      </c>
      <c r="G4420" s="2" t="s">
        <v>27518</v>
      </c>
      <c r="H4420" s="3" t="s">
        <v>31</v>
      </c>
      <c r="I4420" s="3">
        <v>12.0</v>
      </c>
      <c r="J4420" s="3">
        <v>1.0</v>
      </c>
      <c r="K4420" s="3">
        <v>6.0</v>
      </c>
      <c r="L4420" s="4" t="s">
        <v>27519</v>
      </c>
      <c r="M4420" s="2" t="s">
        <v>27520</v>
      </c>
      <c r="N4420" s="2" t="s">
        <v>27521</v>
      </c>
      <c r="O4420" s="4" t="s">
        <v>27522</v>
      </c>
      <c r="P4420" s="2" t="s">
        <v>27523</v>
      </c>
      <c r="Q4420" s="2" t="s">
        <v>27524</v>
      </c>
      <c r="R4420" s="2" t="s">
        <v>1112</v>
      </c>
      <c r="S4420" s="4" t="s">
        <v>27525</v>
      </c>
      <c r="T4420" s="2" t="s">
        <v>66</v>
      </c>
      <c r="U4420" s="4" t="s">
        <v>31</v>
      </c>
      <c r="V4420" s="2" t="s">
        <v>1106</v>
      </c>
      <c r="W4420" s="2" t="s">
        <v>27517</v>
      </c>
      <c r="X4420" s="5" t="str">
        <f>HYPERLINK("https://my.pitchbook.com?p=73051-84P","View People Online")</f>
        <v>View People Online</v>
      </c>
    </row>
    <row r="4421">
      <c r="A4421" s="14" t="s">
        <v>27526</v>
      </c>
      <c r="B4421" s="14" t="s">
        <v>27527</v>
      </c>
      <c r="C4421" s="14" t="s">
        <v>536</v>
      </c>
      <c r="D4421" s="14" t="s">
        <v>27528</v>
      </c>
      <c r="E4421" s="14" t="s">
        <v>27517</v>
      </c>
      <c r="F4421" s="14" t="s">
        <v>1283</v>
      </c>
      <c r="G4421" s="14" t="s">
        <v>27529</v>
      </c>
      <c r="H4421" s="15">
        <v>1.0</v>
      </c>
      <c r="I4421" s="15">
        <v>12.0</v>
      </c>
      <c r="J4421" s="15">
        <v>1.0</v>
      </c>
      <c r="K4421" s="15">
        <v>7.0</v>
      </c>
      <c r="L4421" s="16" t="s">
        <v>27519</v>
      </c>
      <c r="M4421" s="14" t="s">
        <v>27530</v>
      </c>
      <c r="N4421" s="14" t="s">
        <v>27521</v>
      </c>
      <c r="O4421" s="16" t="s">
        <v>27522</v>
      </c>
      <c r="P4421" s="14" t="s">
        <v>27523</v>
      </c>
      <c r="Q4421" s="14" t="s">
        <v>27524</v>
      </c>
      <c r="R4421" s="14" t="s">
        <v>1112</v>
      </c>
      <c r="S4421" s="16" t="s">
        <v>27525</v>
      </c>
      <c r="T4421" s="14" t="s">
        <v>66</v>
      </c>
      <c r="U4421" s="16" t="s">
        <v>31</v>
      </c>
      <c r="V4421" s="14" t="s">
        <v>1283</v>
      </c>
      <c r="W4421" s="14" t="s">
        <v>27517</v>
      </c>
      <c r="X4421" s="17" t="str">
        <f>HYPERLINK("https://my.pitchbook.com?p=45679-78P","View People Online")</f>
        <v>View People Online</v>
      </c>
    </row>
    <row r="4422">
      <c r="A4422" s="10" t="s">
        <v>27531</v>
      </c>
      <c r="B4422" s="10" t="s">
        <v>27532</v>
      </c>
      <c r="C4422" s="10" t="s">
        <v>823</v>
      </c>
      <c r="D4422" s="10" t="s">
        <v>27533</v>
      </c>
      <c r="E4422" s="10" t="s">
        <v>27534</v>
      </c>
      <c r="F4422" s="10" t="s">
        <v>12225</v>
      </c>
      <c r="G4422" s="10" t="s">
        <v>27535</v>
      </c>
      <c r="H4422" s="11">
        <v>2.0</v>
      </c>
      <c r="I4422" s="11">
        <v>2.0</v>
      </c>
      <c r="J4422" s="11">
        <v>1.0</v>
      </c>
      <c r="K4422" s="11" t="s">
        <v>31</v>
      </c>
      <c r="L4422" s="12" t="s">
        <v>27536</v>
      </c>
      <c r="M4422" s="10" t="s">
        <v>27537</v>
      </c>
      <c r="N4422" s="10" t="s">
        <v>27538</v>
      </c>
      <c r="O4422" s="12" t="s">
        <v>27539</v>
      </c>
      <c r="P4422" s="10" t="s">
        <v>27540</v>
      </c>
      <c r="Q4422" s="10" t="s">
        <v>31</v>
      </c>
      <c r="R4422" s="10" t="s">
        <v>616</v>
      </c>
      <c r="S4422" s="12" t="s">
        <v>27541</v>
      </c>
      <c r="T4422" s="10" t="s">
        <v>66</v>
      </c>
      <c r="U4422" s="12" t="s">
        <v>31</v>
      </c>
      <c r="V4422" s="10" t="s">
        <v>3930</v>
      </c>
      <c r="W4422" s="10" t="s">
        <v>27534</v>
      </c>
      <c r="X4422" s="13" t="str">
        <f>HYPERLINK("https://my.pitchbook.com?p=124820-74P","View People Online")</f>
        <v>View People Online</v>
      </c>
    </row>
    <row r="4423">
      <c r="A4423" s="14" t="s">
        <v>27542</v>
      </c>
      <c r="B4423" s="14" t="s">
        <v>27543</v>
      </c>
      <c r="C4423" s="14" t="s">
        <v>1343</v>
      </c>
      <c r="D4423" s="14" t="s">
        <v>27544</v>
      </c>
      <c r="E4423" s="14" t="s">
        <v>27534</v>
      </c>
      <c r="F4423" s="14" t="s">
        <v>81</v>
      </c>
      <c r="G4423" s="14" t="s">
        <v>27545</v>
      </c>
      <c r="H4423" s="15" t="s">
        <v>31</v>
      </c>
      <c r="I4423" s="15">
        <v>4.0</v>
      </c>
      <c r="J4423" s="15">
        <v>1.0</v>
      </c>
      <c r="K4423" s="15">
        <v>2.0</v>
      </c>
      <c r="L4423" s="16" t="s">
        <v>27546</v>
      </c>
      <c r="M4423" s="14" t="s">
        <v>31</v>
      </c>
      <c r="N4423" s="14" t="s">
        <v>3988</v>
      </c>
      <c r="O4423" s="16" t="s">
        <v>3989</v>
      </c>
      <c r="P4423" s="14" t="s">
        <v>27547</v>
      </c>
      <c r="Q4423" s="14" t="s">
        <v>31</v>
      </c>
      <c r="R4423" s="14" t="s">
        <v>616</v>
      </c>
      <c r="S4423" s="16" t="s">
        <v>3991</v>
      </c>
      <c r="T4423" s="14" t="s">
        <v>66</v>
      </c>
      <c r="U4423" s="16" t="s">
        <v>31</v>
      </c>
      <c r="V4423" s="14" t="s">
        <v>29</v>
      </c>
      <c r="W4423" s="14" t="s">
        <v>27548</v>
      </c>
      <c r="X4423" s="17" t="str">
        <f>HYPERLINK("https://my.pitchbook.com?p=50153-77P","View People Online")</f>
        <v>View People Online</v>
      </c>
    </row>
    <row r="4424">
      <c r="A4424" s="10" t="s">
        <v>27549</v>
      </c>
      <c r="B4424" s="10" t="s">
        <v>27550</v>
      </c>
      <c r="C4424" s="10" t="s">
        <v>395</v>
      </c>
      <c r="D4424" s="10" t="s">
        <v>9204</v>
      </c>
      <c r="E4424" s="10" t="s">
        <v>27534</v>
      </c>
      <c r="F4424" s="10" t="s">
        <v>12225</v>
      </c>
      <c r="G4424" s="10" t="s">
        <v>27551</v>
      </c>
      <c r="H4424" s="11">
        <v>1.0</v>
      </c>
      <c r="I4424" s="11">
        <v>1.0</v>
      </c>
      <c r="J4424" s="11">
        <v>1.0</v>
      </c>
      <c r="K4424" s="11" t="s">
        <v>31</v>
      </c>
      <c r="L4424" s="12" t="s">
        <v>27536</v>
      </c>
      <c r="M4424" s="10" t="s">
        <v>31</v>
      </c>
      <c r="N4424" s="10" t="s">
        <v>27538</v>
      </c>
      <c r="O4424" s="12" t="s">
        <v>27539</v>
      </c>
      <c r="P4424" s="10" t="s">
        <v>27540</v>
      </c>
      <c r="Q4424" s="10" t="s">
        <v>31</v>
      </c>
      <c r="R4424" s="10" t="s">
        <v>616</v>
      </c>
      <c r="S4424" s="12" t="s">
        <v>27541</v>
      </c>
      <c r="T4424" s="10" t="s">
        <v>66</v>
      </c>
      <c r="U4424" s="12" t="s">
        <v>31</v>
      </c>
      <c r="V4424" s="10" t="s">
        <v>27552</v>
      </c>
      <c r="W4424" s="10" t="s">
        <v>27534</v>
      </c>
      <c r="X4424" s="13" t="str">
        <f>HYPERLINK("https://my.pitchbook.com?p=132324-40P","View People Online")</f>
        <v>View People Online</v>
      </c>
    </row>
    <row r="4425">
      <c r="A4425" s="6" t="s">
        <v>27553</v>
      </c>
      <c r="B4425" s="6" t="s">
        <v>27554</v>
      </c>
      <c r="C4425" s="6" t="s">
        <v>395</v>
      </c>
      <c r="D4425" s="6" t="s">
        <v>27555</v>
      </c>
      <c r="E4425" s="6" t="s">
        <v>27534</v>
      </c>
      <c r="F4425" s="6" t="s">
        <v>1106</v>
      </c>
      <c r="G4425" s="6" t="s">
        <v>27556</v>
      </c>
      <c r="H4425" s="7">
        <v>2.0</v>
      </c>
      <c r="I4425" s="7">
        <v>6.0</v>
      </c>
      <c r="J4425" s="7">
        <v>1.0</v>
      </c>
      <c r="K4425" s="7">
        <v>3.0</v>
      </c>
      <c r="L4425" s="8" t="s">
        <v>27557</v>
      </c>
      <c r="M4425" s="6" t="s">
        <v>27558</v>
      </c>
      <c r="N4425" s="6" t="s">
        <v>27538</v>
      </c>
      <c r="O4425" s="8" t="s">
        <v>27539</v>
      </c>
      <c r="P4425" s="6" t="s">
        <v>27540</v>
      </c>
      <c r="Q4425" s="6" t="s">
        <v>31</v>
      </c>
      <c r="R4425" s="6" t="s">
        <v>616</v>
      </c>
      <c r="S4425" s="8" t="s">
        <v>27541</v>
      </c>
      <c r="T4425" s="6" t="s">
        <v>66</v>
      </c>
      <c r="U4425" s="8" t="s">
        <v>31</v>
      </c>
      <c r="V4425" s="6" t="s">
        <v>1106</v>
      </c>
      <c r="W4425" s="6" t="s">
        <v>27534</v>
      </c>
      <c r="X4425" s="9" t="str">
        <f>HYPERLINK("https://my.pitchbook.com?p=218200-96P","View People Online")</f>
        <v>View People Online</v>
      </c>
    </row>
    <row r="4426">
      <c r="A4426" s="10" t="s">
        <v>27559</v>
      </c>
      <c r="B4426" s="10" t="s">
        <v>27560</v>
      </c>
      <c r="C4426" s="10" t="s">
        <v>12699</v>
      </c>
      <c r="D4426" s="10" t="s">
        <v>27561</v>
      </c>
      <c r="E4426" s="10" t="s">
        <v>27562</v>
      </c>
      <c r="F4426" s="10" t="s">
        <v>667</v>
      </c>
      <c r="G4426" s="10" t="s">
        <v>27563</v>
      </c>
      <c r="H4426" s="11" t="s">
        <v>31</v>
      </c>
      <c r="I4426" s="11">
        <v>3.0</v>
      </c>
      <c r="J4426" s="11">
        <v>1.0</v>
      </c>
      <c r="K4426" s="11">
        <v>2.0</v>
      </c>
      <c r="L4426" s="12" t="s">
        <v>27564</v>
      </c>
      <c r="M4426" s="10" t="s">
        <v>27565</v>
      </c>
      <c r="N4426" s="10" t="s">
        <v>10091</v>
      </c>
      <c r="O4426" s="12" t="s">
        <v>10092</v>
      </c>
      <c r="P4426" s="10" t="s">
        <v>27566</v>
      </c>
      <c r="Q4426" s="10" t="s">
        <v>27567</v>
      </c>
      <c r="R4426" s="10" t="s">
        <v>396</v>
      </c>
      <c r="S4426" s="12" t="s">
        <v>27568</v>
      </c>
      <c r="T4426" s="10" t="s">
        <v>66</v>
      </c>
      <c r="U4426" s="12" t="s">
        <v>31</v>
      </c>
      <c r="V4426" s="10" t="s">
        <v>27569</v>
      </c>
      <c r="W4426" s="10" t="s">
        <v>27562</v>
      </c>
      <c r="X4426" s="13" t="str">
        <f>HYPERLINK("https://my.pitchbook.com?p=361913-86P","View People Online")</f>
        <v>View People Online</v>
      </c>
    </row>
    <row r="4427">
      <c r="A4427" s="14" t="s">
        <v>27570</v>
      </c>
      <c r="B4427" s="14" t="s">
        <v>27571</v>
      </c>
      <c r="C4427" s="14" t="s">
        <v>1807</v>
      </c>
      <c r="D4427" s="14" t="s">
        <v>27572</v>
      </c>
      <c r="E4427" s="14" t="s">
        <v>27562</v>
      </c>
      <c r="F4427" s="14" t="s">
        <v>3823</v>
      </c>
      <c r="G4427" s="14" t="s">
        <v>27573</v>
      </c>
      <c r="H4427" s="15" t="s">
        <v>31</v>
      </c>
      <c r="I4427" s="15">
        <v>5.0</v>
      </c>
      <c r="J4427" s="15">
        <v>1.0</v>
      </c>
      <c r="K4427" s="15">
        <v>4.0</v>
      </c>
      <c r="L4427" s="16" t="s">
        <v>27564</v>
      </c>
      <c r="M4427" s="14" t="s">
        <v>27574</v>
      </c>
      <c r="N4427" s="14" t="s">
        <v>10091</v>
      </c>
      <c r="O4427" s="16" t="s">
        <v>10092</v>
      </c>
      <c r="P4427" s="14" t="s">
        <v>27566</v>
      </c>
      <c r="Q4427" s="14" t="s">
        <v>27567</v>
      </c>
      <c r="R4427" s="14" t="s">
        <v>396</v>
      </c>
      <c r="S4427" s="16" t="s">
        <v>27568</v>
      </c>
      <c r="T4427" s="14" t="s">
        <v>66</v>
      </c>
      <c r="U4427" s="16" t="s">
        <v>31</v>
      </c>
      <c r="V4427" s="14" t="s">
        <v>3823</v>
      </c>
      <c r="W4427" s="14" t="s">
        <v>27562</v>
      </c>
      <c r="X4427" s="17" t="str">
        <f>HYPERLINK("https://my.pitchbook.com?p=147570-94P","View People Online")</f>
        <v>View People Online</v>
      </c>
    </row>
    <row r="4428">
      <c r="A4428" s="10" t="s">
        <v>27575</v>
      </c>
      <c r="B4428" s="10" t="s">
        <v>27576</v>
      </c>
      <c r="C4428" s="10" t="s">
        <v>27577</v>
      </c>
      <c r="D4428" s="10" t="s">
        <v>14244</v>
      </c>
      <c r="E4428" s="10" t="s">
        <v>27562</v>
      </c>
      <c r="F4428" s="10" t="s">
        <v>29</v>
      </c>
      <c r="G4428" s="10" t="s">
        <v>27578</v>
      </c>
      <c r="H4428" s="11">
        <v>1.0</v>
      </c>
      <c r="I4428" s="11">
        <v>3.0</v>
      </c>
      <c r="J4428" s="11">
        <v>1.0</v>
      </c>
      <c r="K4428" s="11">
        <v>1.0</v>
      </c>
      <c r="L4428" s="12" t="s">
        <v>27564</v>
      </c>
      <c r="M4428" s="10" t="s">
        <v>31</v>
      </c>
      <c r="N4428" s="10" t="s">
        <v>10091</v>
      </c>
      <c r="O4428" s="12" t="s">
        <v>10092</v>
      </c>
      <c r="P4428" s="10" t="s">
        <v>27566</v>
      </c>
      <c r="Q4428" s="10" t="s">
        <v>27567</v>
      </c>
      <c r="R4428" s="10" t="s">
        <v>396</v>
      </c>
      <c r="S4428" s="12" t="s">
        <v>27568</v>
      </c>
      <c r="T4428" s="10" t="s">
        <v>66</v>
      </c>
      <c r="U4428" s="12" t="s">
        <v>31</v>
      </c>
      <c r="V4428" s="10" t="s">
        <v>27579</v>
      </c>
      <c r="W4428" s="10" t="s">
        <v>27562</v>
      </c>
      <c r="X4428" s="13" t="str">
        <f>HYPERLINK("https://my.pitchbook.com?p=245087-29P","View People Online")</f>
        <v>View People Online</v>
      </c>
    </row>
    <row r="4429">
      <c r="A4429" s="6" t="s">
        <v>27580</v>
      </c>
      <c r="B4429" s="6" t="s">
        <v>27581</v>
      </c>
      <c r="C4429" s="6" t="s">
        <v>9904</v>
      </c>
      <c r="D4429" s="6" t="s">
        <v>27582</v>
      </c>
      <c r="E4429" s="6" t="s">
        <v>27583</v>
      </c>
      <c r="F4429" s="6" t="s">
        <v>1801</v>
      </c>
      <c r="G4429" s="6" t="s">
        <v>31</v>
      </c>
      <c r="H4429" s="7" t="s">
        <v>31</v>
      </c>
      <c r="I4429" s="7">
        <v>1.0</v>
      </c>
      <c r="J4429" s="7">
        <v>1.0</v>
      </c>
      <c r="K4429" s="7" t="s">
        <v>31</v>
      </c>
      <c r="L4429" s="8" t="s">
        <v>27584</v>
      </c>
      <c r="M4429" s="6" t="s">
        <v>27585</v>
      </c>
      <c r="N4429" s="6" t="s">
        <v>9865</v>
      </c>
      <c r="O4429" s="8" t="s">
        <v>9866</v>
      </c>
      <c r="P4429" s="6" t="s">
        <v>27586</v>
      </c>
      <c r="Q4429" s="6" t="s">
        <v>31</v>
      </c>
      <c r="R4429" s="6" t="s">
        <v>31</v>
      </c>
      <c r="S4429" s="8" t="s">
        <v>27587</v>
      </c>
      <c r="T4429" s="6" t="s">
        <v>38</v>
      </c>
      <c r="U4429" s="8" t="s">
        <v>27588</v>
      </c>
      <c r="V4429" s="6" t="s">
        <v>1801</v>
      </c>
      <c r="W4429" s="6" t="s">
        <v>27583</v>
      </c>
      <c r="X4429" s="9" t="str">
        <f>HYPERLINK("https://my.pitchbook.com?p=422980-48P","View People Online")</f>
        <v>View People Online</v>
      </c>
    </row>
    <row r="4430">
      <c r="A4430" s="2" t="s">
        <v>27589</v>
      </c>
      <c r="B4430" s="2" t="s">
        <v>27590</v>
      </c>
      <c r="C4430" s="2" t="s">
        <v>27591</v>
      </c>
      <c r="D4430" s="2" t="s">
        <v>27592</v>
      </c>
      <c r="E4430" s="2" t="s">
        <v>27593</v>
      </c>
      <c r="F4430" s="2" t="s">
        <v>201</v>
      </c>
      <c r="G4430" s="2" t="s">
        <v>27594</v>
      </c>
      <c r="H4430" s="3" t="s">
        <v>31</v>
      </c>
      <c r="I4430" s="3">
        <v>1.0</v>
      </c>
      <c r="J4430" s="3">
        <v>1.0</v>
      </c>
      <c r="K4430" s="3" t="s">
        <v>31</v>
      </c>
      <c r="L4430" s="4" t="s">
        <v>31</v>
      </c>
      <c r="M4430" s="2" t="s">
        <v>27595</v>
      </c>
      <c r="N4430" s="2" t="s">
        <v>27596</v>
      </c>
      <c r="O4430" s="4" t="s">
        <v>27597</v>
      </c>
      <c r="P4430" s="2" t="s">
        <v>27598</v>
      </c>
      <c r="Q4430" s="2" t="s">
        <v>27599</v>
      </c>
      <c r="R4430" s="2" t="s">
        <v>10017</v>
      </c>
      <c r="S4430" s="4" t="s">
        <v>27600</v>
      </c>
      <c r="T4430" s="2" t="s">
        <v>66</v>
      </c>
      <c r="U4430" s="4" t="s">
        <v>31</v>
      </c>
      <c r="V4430" s="2" t="s">
        <v>201</v>
      </c>
      <c r="W4430" s="2" t="s">
        <v>27593</v>
      </c>
      <c r="X4430" s="5" t="str">
        <f>HYPERLINK("https://my.pitchbook.com?p=346696-93P","View People Online")</f>
        <v>View People Online</v>
      </c>
    </row>
    <row r="4431">
      <c r="A4431" s="6" t="s">
        <v>27601</v>
      </c>
      <c r="B4431" s="6" t="s">
        <v>27602</v>
      </c>
      <c r="C4431" s="6" t="s">
        <v>27603</v>
      </c>
      <c r="D4431" s="6" t="s">
        <v>22670</v>
      </c>
      <c r="E4431" s="6" t="s">
        <v>27593</v>
      </c>
      <c r="F4431" s="6" t="s">
        <v>318</v>
      </c>
      <c r="G4431" s="6" t="s">
        <v>27604</v>
      </c>
      <c r="H4431" s="7" t="s">
        <v>31</v>
      </c>
      <c r="I4431" s="7">
        <v>1.0</v>
      </c>
      <c r="J4431" s="7">
        <v>1.0</v>
      </c>
      <c r="K4431" s="7" t="s">
        <v>31</v>
      </c>
      <c r="L4431" s="8" t="s">
        <v>31</v>
      </c>
      <c r="M4431" s="6" t="s">
        <v>27605</v>
      </c>
      <c r="N4431" s="6" t="s">
        <v>155</v>
      </c>
      <c r="O4431" s="8" t="s">
        <v>156</v>
      </c>
      <c r="P4431" s="6" t="s">
        <v>27606</v>
      </c>
      <c r="Q4431" s="6" t="s">
        <v>31</v>
      </c>
      <c r="R4431" s="6" t="s">
        <v>64</v>
      </c>
      <c r="S4431" s="8" t="s">
        <v>2463</v>
      </c>
      <c r="T4431" s="6" t="s">
        <v>66</v>
      </c>
      <c r="U4431" s="8" t="s">
        <v>31</v>
      </c>
      <c r="V4431" s="6" t="s">
        <v>318</v>
      </c>
      <c r="W4431" s="6" t="s">
        <v>27593</v>
      </c>
      <c r="X4431" s="9" t="str">
        <f>HYPERLINK("https://my.pitchbook.com?p=277276-51P","View People Online")</f>
        <v>View People Online</v>
      </c>
    </row>
    <row r="4432">
      <c r="A4432" s="10" t="s">
        <v>27607</v>
      </c>
      <c r="B4432" s="10" t="s">
        <v>27608</v>
      </c>
      <c r="C4432" s="10" t="s">
        <v>27609</v>
      </c>
      <c r="D4432" s="10" t="s">
        <v>5302</v>
      </c>
      <c r="E4432" s="10" t="s">
        <v>27593</v>
      </c>
      <c r="F4432" s="10" t="s">
        <v>201</v>
      </c>
      <c r="G4432" s="10" t="s">
        <v>27610</v>
      </c>
      <c r="H4432" s="11" t="s">
        <v>31</v>
      </c>
      <c r="I4432" s="11">
        <v>1.0</v>
      </c>
      <c r="J4432" s="11">
        <v>1.0</v>
      </c>
      <c r="K4432" s="11" t="s">
        <v>31</v>
      </c>
      <c r="L4432" s="12" t="s">
        <v>31</v>
      </c>
      <c r="M4432" s="10" t="s">
        <v>27611</v>
      </c>
      <c r="N4432" s="10" t="s">
        <v>155</v>
      </c>
      <c r="O4432" s="12" t="s">
        <v>156</v>
      </c>
      <c r="P4432" s="10" t="s">
        <v>27606</v>
      </c>
      <c r="Q4432" s="10" t="s">
        <v>31</v>
      </c>
      <c r="R4432" s="10" t="s">
        <v>64</v>
      </c>
      <c r="S4432" s="12" t="s">
        <v>2463</v>
      </c>
      <c r="T4432" s="10" t="s">
        <v>66</v>
      </c>
      <c r="U4432" s="12" t="s">
        <v>31</v>
      </c>
      <c r="V4432" s="10" t="s">
        <v>201</v>
      </c>
      <c r="W4432" s="10" t="s">
        <v>27593</v>
      </c>
      <c r="X4432" s="13" t="str">
        <f>HYPERLINK("https://my.pitchbook.com?p=341762-41P","View People Online")</f>
        <v>View People Online</v>
      </c>
    </row>
    <row r="4433">
      <c r="A4433" s="6" t="s">
        <v>27612</v>
      </c>
      <c r="B4433" s="6" t="s">
        <v>27613</v>
      </c>
      <c r="C4433" s="6" t="s">
        <v>1103</v>
      </c>
      <c r="D4433" s="6" t="s">
        <v>27614</v>
      </c>
      <c r="E4433" s="6" t="s">
        <v>27593</v>
      </c>
      <c r="F4433" s="6" t="s">
        <v>221</v>
      </c>
      <c r="G4433" s="6" t="s">
        <v>27615</v>
      </c>
      <c r="H4433" s="7" t="s">
        <v>31</v>
      </c>
      <c r="I4433" s="7">
        <v>1.0</v>
      </c>
      <c r="J4433" s="7">
        <v>1.0</v>
      </c>
      <c r="K4433" s="7" t="s">
        <v>31</v>
      </c>
      <c r="L4433" s="8" t="s">
        <v>31</v>
      </c>
      <c r="M4433" s="6" t="s">
        <v>27616</v>
      </c>
      <c r="N4433" s="6" t="s">
        <v>1170</v>
      </c>
      <c r="O4433" s="8" t="s">
        <v>1171</v>
      </c>
      <c r="P4433" s="6" t="s">
        <v>12620</v>
      </c>
      <c r="Q4433" s="6" t="s">
        <v>18815</v>
      </c>
      <c r="R4433" s="6" t="s">
        <v>64</v>
      </c>
      <c r="S4433" s="8" t="s">
        <v>12621</v>
      </c>
      <c r="T4433" s="6" t="s">
        <v>66</v>
      </c>
      <c r="U4433" s="8" t="s">
        <v>31</v>
      </c>
      <c r="V4433" s="6" t="s">
        <v>221</v>
      </c>
      <c r="W4433" s="6" t="s">
        <v>27593</v>
      </c>
      <c r="X4433" s="9" t="str">
        <f>HYPERLINK("https://my.pitchbook.com?p=377734-51P","View People Online")</f>
        <v>View People Online</v>
      </c>
    </row>
    <row r="4434">
      <c r="A4434" s="10" t="s">
        <v>27617</v>
      </c>
      <c r="B4434" s="10" t="s">
        <v>27618</v>
      </c>
      <c r="C4434" s="10" t="s">
        <v>4169</v>
      </c>
      <c r="D4434" s="10" t="s">
        <v>27619</v>
      </c>
      <c r="E4434" s="10" t="s">
        <v>27593</v>
      </c>
      <c r="F4434" s="10" t="s">
        <v>201</v>
      </c>
      <c r="G4434" s="10" t="s">
        <v>27620</v>
      </c>
      <c r="H4434" s="11" t="s">
        <v>31</v>
      </c>
      <c r="I4434" s="11">
        <v>1.0</v>
      </c>
      <c r="J4434" s="11">
        <v>1.0</v>
      </c>
      <c r="K4434" s="11" t="s">
        <v>31</v>
      </c>
      <c r="L4434" s="12" t="s">
        <v>31</v>
      </c>
      <c r="M4434" s="10" t="s">
        <v>27621</v>
      </c>
      <c r="N4434" s="10" t="s">
        <v>1170</v>
      </c>
      <c r="O4434" s="12" t="s">
        <v>1171</v>
      </c>
      <c r="P4434" s="10" t="s">
        <v>12620</v>
      </c>
      <c r="Q4434" s="10" t="s">
        <v>18815</v>
      </c>
      <c r="R4434" s="10" t="s">
        <v>64</v>
      </c>
      <c r="S4434" s="12" t="s">
        <v>12621</v>
      </c>
      <c r="T4434" s="10" t="s">
        <v>66</v>
      </c>
      <c r="U4434" s="12" t="s">
        <v>31</v>
      </c>
      <c r="V4434" s="10" t="s">
        <v>201</v>
      </c>
      <c r="W4434" s="10" t="s">
        <v>27593</v>
      </c>
      <c r="X4434" s="13" t="str">
        <f>HYPERLINK("https://my.pitchbook.com?p=328115-17P","View People Online")</f>
        <v>View People Online</v>
      </c>
    </row>
    <row r="4435">
      <c r="A4435" s="6" t="s">
        <v>27622</v>
      </c>
      <c r="B4435" s="6" t="s">
        <v>27623</v>
      </c>
      <c r="C4435" s="6" t="s">
        <v>24222</v>
      </c>
      <c r="D4435" s="6" t="s">
        <v>27624</v>
      </c>
      <c r="E4435" s="6" t="s">
        <v>27593</v>
      </c>
      <c r="F4435" s="6" t="s">
        <v>81</v>
      </c>
      <c r="G4435" s="6" t="s">
        <v>27625</v>
      </c>
      <c r="H4435" s="7" t="s">
        <v>31</v>
      </c>
      <c r="I4435" s="7">
        <v>3.0</v>
      </c>
      <c r="J4435" s="7" t="s">
        <v>31</v>
      </c>
      <c r="K4435" s="7" t="s">
        <v>31</v>
      </c>
      <c r="L4435" s="8" t="s">
        <v>31</v>
      </c>
      <c r="M4435" s="6" t="s">
        <v>27626</v>
      </c>
      <c r="N4435" s="6" t="s">
        <v>155</v>
      </c>
      <c r="O4435" s="8" t="s">
        <v>156</v>
      </c>
      <c r="P4435" s="6" t="s">
        <v>27606</v>
      </c>
      <c r="Q4435" s="6" t="s">
        <v>31</v>
      </c>
      <c r="R4435" s="6" t="s">
        <v>64</v>
      </c>
      <c r="S4435" s="8" t="s">
        <v>2463</v>
      </c>
      <c r="T4435" s="6" t="s">
        <v>66</v>
      </c>
      <c r="U4435" s="8" t="s">
        <v>31</v>
      </c>
      <c r="V4435" s="6" t="s">
        <v>5619</v>
      </c>
      <c r="W4435" s="6" t="s">
        <v>27593</v>
      </c>
      <c r="X4435" s="9" t="str">
        <f>HYPERLINK("https://my.pitchbook.com?p=163770-22P","View People Online")</f>
        <v>View People Online</v>
      </c>
    </row>
    <row r="4436">
      <c r="A4436" s="10" t="s">
        <v>27627</v>
      </c>
      <c r="B4436" s="10" t="s">
        <v>27628</v>
      </c>
      <c r="C4436" s="10" t="s">
        <v>1929</v>
      </c>
      <c r="D4436" s="10" t="s">
        <v>27629</v>
      </c>
      <c r="E4436" s="10" t="s">
        <v>27593</v>
      </c>
      <c r="F4436" s="10" t="s">
        <v>29</v>
      </c>
      <c r="G4436" s="10" t="s">
        <v>27630</v>
      </c>
      <c r="H4436" s="11" t="s">
        <v>31</v>
      </c>
      <c r="I4436" s="11">
        <v>1.0</v>
      </c>
      <c r="J4436" s="11">
        <v>1.0</v>
      </c>
      <c r="K4436" s="11" t="s">
        <v>31</v>
      </c>
      <c r="L4436" s="12" t="s">
        <v>31</v>
      </c>
      <c r="M4436" s="10" t="s">
        <v>27631</v>
      </c>
      <c r="N4436" s="10" t="s">
        <v>1170</v>
      </c>
      <c r="O4436" s="12" t="s">
        <v>1171</v>
      </c>
      <c r="P4436" s="10" t="s">
        <v>12620</v>
      </c>
      <c r="Q4436" s="10" t="s">
        <v>18815</v>
      </c>
      <c r="R4436" s="10" t="s">
        <v>64</v>
      </c>
      <c r="S4436" s="12" t="s">
        <v>12621</v>
      </c>
      <c r="T4436" s="10" t="s">
        <v>66</v>
      </c>
      <c r="U4436" s="12" t="s">
        <v>31</v>
      </c>
      <c r="V4436" s="10" t="s">
        <v>29</v>
      </c>
      <c r="W4436" s="10" t="s">
        <v>27593</v>
      </c>
      <c r="X4436" s="13" t="str">
        <f>HYPERLINK("https://my.pitchbook.com?p=198079-75P","View People Online")</f>
        <v>View People Online</v>
      </c>
    </row>
    <row r="4437">
      <c r="A4437" s="6" t="s">
        <v>27632</v>
      </c>
      <c r="B4437" s="6" t="s">
        <v>27633</v>
      </c>
      <c r="C4437" s="6" t="s">
        <v>1437</v>
      </c>
      <c r="D4437" s="6" t="s">
        <v>27634</v>
      </c>
      <c r="E4437" s="6" t="s">
        <v>27593</v>
      </c>
      <c r="F4437" s="6" t="s">
        <v>4192</v>
      </c>
      <c r="G4437" s="6" t="s">
        <v>27635</v>
      </c>
      <c r="H4437" s="7" t="s">
        <v>31</v>
      </c>
      <c r="I4437" s="7">
        <v>2.0</v>
      </c>
      <c r="J4437" s="7">
        <v>2.0</v>
      </c>
      <c r="K4437" s="7" t="s">
        <v>31</v>
      </c>
      <c r="L4437" s="8" t="s">
        <v>31</v>
      </c>
      <c r="M4437" s="6" t="s">
        <v>27636</v>
      </c>
      <c r="N4437" s="6" t="s">
        <v>1170</v>
      </c>
      <c r="O4437" s="8" t="s">
        <v>1171</v>
      </c>
      <c r="P4437" s="6" t="s">
        <v>12620</v>
      </c>
      <c r="Q4437" s="6" t="s">
        <v>18815</v>
      </c>
      <c r="R4437" s="6" t="s">
        <v>64</v>
      </c>
      <c r="S4437" s="8" t="s">
        <v>12621</v>
      </c>
      <c r="T4437" s="6" t="s">
        <v>66</v>
      </c>
      <c r="U4437" s="8" t="s">
        <v>31</v>
      </c>
      <c r="V4437" s="6" t="s">
        <v>4192</v>
      </c>
      <c r="W4437" s="6" t="s">
        <v>27593</v>
      </c>
      <c r="X4437" s="9" t="str">
        <f>HYPERLINK("https://my.pitchbook.com?p=328110-49P","View People Online")</f>
        <v>View People Online</v>
      </c>
    </row>
    <row r="4438">
      <c r="A4438" s="10" t="s">
        <v>27637</v>
      </c>
      <c r="B4438" s="10" t="s">
        <v>27638</v>
      </c>
      <c r="C4438" s="10" t="s">
        <v>285</v>
      </c>
      <c r="D4438" s="10" t="s">
        <v>27639</v>
      </c>
      <c r="E4438" s="10" t="s">
        <v>27593</v>
      </c>
      <c r="F4438" s="10" t="s">
        <v>201</v>
      </c>
      <c r="G4438" s="10" t="s">
        <v>27640</v>
      </c>
      <c r="H4438" s="11" t="s">
        <v>31</v>
      </c>
      <c r="I4438" s="11">
        <v>1.0</v>
      </c>
      <c r="J4438" s="11">
        <v>1.0</v>
      </c>
      <c r="K4438" s="11" t="s">
        <v>31</v>
      </c>
      <c r="L4438" s="12" t="s">
        <v>31</v>
      </c>
      <c r="M4438" s="10" t="s">
        <v>27641</v>
      </c>
      <c r="N4438" s="10" t="s">
        <v>155</v>
      </c>
      <c r="O4438" s="12" t="s">
        <v>156</v>
      </c>
      <c r="P4438" s="10" t="s">
        <v>27606</v>
      </c>
      <c r="Q4438" s="10" t="s">
        <v>31</v>
      </c>
      <c r="R4438" s="10" t="s">
        <v>64</v>
      </c>
      <c r="S4438" s="12" t="s">
        <v>2463</v>
      </c>
      <c r="T4438" s="10" t="s">
        <v>66</v>
      </c>
      <c r="U4438" s="12" t="s">
        <v>31</v>
      </c>
      <c r="V4438" s="10" t="s">
        <v>201</v>
      </c>
      <c r="W4438" s="10" t="s">
        <v>27593</v>
      </c>
      <c r="X4438" s="13" t="str">
        <f>HYPERLINK("https://my.pitchbook.com?p=268563-34P","View People Online")</f>
        <v>View People Online</v>
      </c>
    </row>
    <row r="4439">
      <c r="A4439" s="14" t="s">
        <v>27642</v>
      </c>
      <c r="B4439" s="14" t="s">
        <v>27643</v>
      </c>
      <c r="C4439" s="14" t="s">
        <v>1449</v>
      </c>
      <c r="D4439" s="14" t="s">
        <v>14687</v>
      </c>
      <c r="E4439" s="14" t="s">
        <v>27593</v>
      </c>
      <c r="F4439" s="14" t="s">
        <v>201</v>
      </c>
      <c r="G4439" s="14" t="s">
        <v>27644</v>
      </c>
      <c r="H4439" s="15" t="s">
        <v>31</v>
      </c>
      <c r="I4439" s="15">
        <v>1.0</v>
      </c>
      <c r="J4439" s="15">
        <v>1.0</v>
      </c>
      <c r="K4439" s="15" t="s">
        <v>31</v>
      </c>
      <c r="L4439" s="16" t="s">
        <v>31</v>
      </c>
      <c r="M4439" s="14" t="s">
        <v>31</v>
      </c>
      <c r="N4439" s="14" t="s">
        <v>27596</v>
      </c>
      <c r="O4439" s="16" t="s">
        <v>27597</v>
      </c>
      <c r="P4439" s="14" t="s">
        <v>27598</v>
      </c>
      <c r="Q4439" s="14" t="s">
        <v>27599</v>
      </c>
      <c r="R4439" s="14" t="s">
        <v>10017</v>
      </c>
      <c r="S4439" s="16" t="s">
        <v>27600</v>
      </c>
      <c r="T4439" s="14" t="s">
        <v>66</v>
      </c>
      <c r="U4439" s="16" t="s">
        <v>31</v>
      </c>
      <c r="V4439" s="14" t="s">
        <v>201</v>
      </c>
      <c r="W4439" s="14" t="s">
        <v>27593</v>
      </c>
      <c r="X4439" s="17" t="str">
        <f>HYPERLINK("https://my.pitchbook.com?p=171955-45P","View People Online")</f>
        <v>View People Online</v>
      </c>
    </row>
    <row r="4440">
      <c r="A4440" s="2" t="s">
        <v>27645</v>
      </c>
      <c r="B4440" s="2" t="s">
        <v>27646</v>
      </c>
      <c r="C4440" s="2" t="s">
        <v>1449</v>
      </c>
      <c r="D4440" s="2" t="s">
        <v>10108</v>
      </c>
      <c r="E4440" s="2" t="s">
        <v>27593</v>
      </c>
      <c r="F4440" s="2" t="s">
        <v>29</v>
      </c>
      <c r="G4440" s="2" t="s">
        <v>27647</v>
      </c>
      <c r="H4440" s="3" t="s">
        <v>31</v>
      </c>
      <c r="I4440" s="3">
        <v>19.0</v>
      </c>
      <c r="J4440" s="3">
        <v>2.0</v>
      </c>
      <c r="K4440" s="3">
        <v>15.0</v>
      </c>
      <c r="L4440" s="4" t="s">
        <v>31</v>
      </c>
      <c r="M4440" s="2" t="s">
        <v>27648</v>
      </c>
      <c r="N4440" s="2" t="s">
        <v>1170</v>
      </c>
      <c r="O4440" s="4" t="s">
        <v>1171</v>
      </c>
      <c r="P4440" s="2" t="s">
        <v>12620</v>
      </c>
      <c r="Q4440" s="2" t="s">
        <v>18815</v>
      </c>
      <c r="R4440" s="2" t="s">
        <v>64</v>
      </c>
      <c r="S4440" s="4" t="s">
        <v>12621</v>
      </c>
      <c r="T4440" s="2" t="s">
        <v>66</v>
      </c>
      <c r="U4440" s="4" t="s">
        <v>31</v>
      </c>
      <c r="V4440" s="2" t="s">
        <v>29</v>
      </c>
      <c r="W4440" s="2" t="s">
        <v>27593</v>
      </c>
      <c r="X4440" s="5" t="str">
        <f>HYPERLINK("https://my.pitchbook.com?p=13191-04P","View People Online")</f>
        <v>View People Online</v>
      </c>
    </row>
    <row r="4441">
      <c r="A4441" s="6" t="s">
        <v>27649</v>
      </c>
      <c r="B4441" s="6" t="s">
        <v>27650</v>
      </c>
      <c r="C4441" s="6" t="s">
        <v>27651</v>
      </c>
      <c r="D4441" s="6" t="s">
        <v>27652</v>
      </c>
      <c r="E4441" s="6" t="s">
        <v>27593</v>
      </c>
      <c r="F4441" s="6" t="s">
        <v>201</v>
      </c>
      <c r="G4441" s="6" t="s">
        <v>27653</v>
      </c>
      <c r="H4441" s="7" t="s">
        <v>31</v>
      </c>
      <c r="I4441" s="7">
        <v>1.0</v>
      </c>
      <c r="J4441" s="7">
        <v>1.0</v>
      </c>
      <c r="K4441" s="7" t="s">
        <v>31</v>
      </c>
      <c r="L4441" s="8" t="s">
        <v>31</v>
      </c>
      <c r="M4441" s="6" t="s">
        <v>27654</v>
      </c>
      <c r="N4441" s="6" t="s">
        <v>27596</v>
      </c>
      <c r="O4441" s="8" t="s">
        <v>27597</v>
      </c>
      <c r="P4441" s="6" t="s">
        <v>27598</v>
      </c>
      <c r="Q4441" s="6" t="s">
        <v>27599</v>
      </c>
      <c r="R4441" s="6" t="s">
        <v>10017</v>
      </c>
      <c r="S4441" s="8" t="s">
        <v>27600</v>
      </c>
      <c r="T4441" s="6" t="s">
        <v>66</v>
      </c>
      <c r="U4441" s="8" t="s">
        <v>31</v>
      </c>
      <c r="V4441" s="6" t="s">
        <v>201</v>
      </c>
      <c r="W4441" s="6" t="s">
        <v>27593</v>
      </c>
      <c r="X4441" s="9" t="str">
        <f>HYPERLINK("https://my.pitchbook.com?p=456613-12P","View People Online")</f>
        <v>View People Online</v>
      </c>
    </row>
    <row r="4442">
      <c r="A4442" s="2" t="s">
        <v>27655</v>
      </c>
      <c r="B4442" s="2" t="s">
        <v>27656</v>
      </c>
      <c r="C4442" s="2" t="s">
        <v>323</v>
      </c>
      <c r="D4442" s="2" t="s">
        <v>27657</v>
      </c>
      <c r="E4442" s="2" t="s">
        <v>27593</v>
      </c>
      <c r="F4442" s="2" t="s">
        <v>29</v>
      </c>
      <c r="G4442" s="2" t="s">
        <v>27658</v>
      </c>
      <c r="H4442" s="3" t="s">
        <v>31</v>
      </c>
      <c r="I4442" s="3">
        <v>1.0</v>
      </c>
      <c r="J4442" s="3">
        <v>1.0</v>
      </c>
      <c r="K4442" s="3" t="s">
        <v>31</v>
      </c>
      <c r="L4442" s="4" t="s">
        <v>31</v>
      </c>
      <c r="M4442" s="2" t="s">
        <v>27659</v>
      </c>
      <c r="N4442" s="2" t="s">
        <v>1170</v>
      </c>
      <c r="O4442" s="4" t="s">
        <v>1171</v>
      </c>
      <c r="P4442" s="2" t="s">
        <v>12620</v>
      </c>
      <c r="Q4442" s="2" t="s">
        <v>18815</v>
      </c>
      <c r="R4442" s="2" t="s">
        <v>64</v>
      </c>
      <c r="S4442" s="4" t="s">
        <v>12621</v>
      </c>
      <c r="T4442" s="2" t="s">
        <v>66</v>
      </c>
      <c r="U4442" s="4" t="s">
        <v>31</v>
      </c>
      <c r="V4442" s="2" t="s">
        <v>29</v>
      </c>
      <c r="W4442" s="2" t="s">
        <v>27593</v>
      </c>
      <c r="X4442" s="5" t="str">
        <f>HYPERLINK("https://my.pitchbook.com?p=163764-01P","View People Online")</f>
        <v>View People Online</v>
      </c>
    </row>
    <row r="4443">
      <c r="A4443" s="14" t="s">
        <v>27660</v>
      </c>
      <c r="B4443" s="14" t="s">
        <v>27661</v>
      </c>
      <c r="C4443" s="14" t="s">
        <v>3811</v>
      </c>
      <c r="D4443" s="14" t="s">
        <v>27662</v>
      </c>
      <c r="E4443" s="14" t="s">
        <v>27593</v>
      </c>
      <c r="F4443" s="14" t="s">
        <v>29</v>
      </c>
      <c r="G4443" s="14" t="s">
        <v>27663</v>
      </c>
      <c r="H4443" s="15">
        <v>1.0</v>
      </c>
      <c r="I4443" s="15">
        <v>4.0</v>
      </c>
      <c r="J4443" s="15">
        <v>1.0</v>
      </c>
      <c r="K4443" s="15">
        <v>2.0</v>
      </c>
      <c r="L4443" s="16" t="s">
        <v>31</v>
      </c>
      <c r="M4443" s="14" t="s">
        <v>27664</v>
      </c>
      <c r="N4443" s="14" t="s">
        <v>1170</v>
      </c>
      <c r="O4443" s="16" t="s">
        <v>1171</v>
      </c>
      <c r="P4443" s="14" t="s">
        <v>12620</v>
      </c>
      <c r="Q4443" s="14" t="s">
        <v>18815</v>
      </c>
      <c r="R4443" s="14" t="s">
        <v>64</v>
      </c>
      <c r="S4443" s="16" t="s">
        <v>12621</v>
      </c>
      <c r="T4443" s="14" t="s">
        <v>66</v>
      </c>
      <c r="U4443" s="16" t="s">
        <v>31</v>
      </c>
      <c r="V4443" s="14" t="s">
        <v>29</v>
      </c>
      <c r="W4443" s="14" t="s">
        <v>27593</v>
      </c>
      <c r="X4443" s="17" t="str">
        <f>HYPERLINK("https://my.pitchbook.com?p=163766-44P","View People Online")</f>
        <v>View People Online</v>
      </c>
    </row>
    <row r="4444">
      <c r="A4444" s="10" t="s">
        <v>27665</v>
      </c>
      <c r="B4444" s="10" t="s">
        <v>27666</v>
      </c>
      <c r="C4444" s="10" t="s">
        <v>27667</v>
      </c>
      <c r="D4444" s="10" t="s">
        <v>27668</v>
      </c>
      <c r="E4444" s="10" t="s">
        <v>27593</v>
      </c>
      <c r="F4444" s="10" t="s">
        <v>318</v>
      </c>
      <c r="G4444" s="10" t="s">
        <v>27669</v>
      </c>
      <c r="H4444" s="11" t="s">
        <v>31</v>
      </c>
      <c r="I4444" s="11">
        <v>1.0</v>
      </c>
      <c r="J4444" s="11">
        <v>1.0</v>
      </c>
      <c r="K4444" s="11" t="s">
        <v>31</v>
      </c>
      <c r="L4444" s="12" t="s">
        <v>31</v>
      </c>
      <c r="M4444" s="10" t="s">
        <v>27670</v>
      </c>
      <c r="N4444" s="10" t="s">
        <v>1170</v>
      </c>
      <c r="O4444" s="12" t="s">
        <v>1171</v>
      </c>
      <c r="P4444" s="10" t="s">
        <v>12620</v>
      </c>
      <c r="Q4444" s="10" t="s">
        <v>18815</v>
      </c>
      <c r="R4444" s="10" t="s">
        <v>64</v>
      </c>
      <c r="S4444" s="12" t="s">
        <v>12621</v>
      </c>
      <c r="T4444" s="10" t="s">
        <v>66</v>
      </c>
      <c r="U4444" s="12" t="s">
        <v>31</v>
      </c>
      <c r="V4444" s="10" t="s">
        <v>318</v>
      </c>
      <c r="W4444" s="10" t="s">
        <v>27593</v>
      </c>
      <c r="X4444" s="13" t="str">
        <f>HYPERLINK("https://my.pitchbook.com?p=328114-27P","View People Online")</f>
        <v>View People Online</v>
      </c>
    </row>
    <row r="4445">
      <c r="A4445" s="6" t="s">
        <v>27671</v>
      </c>
      <c r="B4445" s="6" t="s">
        <v>27672</v>
      </c>
      <c r="C4445" s="6" t="s">
        <v>4358</v>
      </c>
      <c r="D4445" s="6" t="s">
        <v>4692</v>
      </c>
      <c r="E4445" s="6" t="s">
        <v>27593</v>
      </c>
      <c r="F4445" s="6" t="s">
        <v>29</v>
      </c>
      <c r="G4445" s="6" t="s">
        <v>27673</v>
      </c>
      <c r="H4445" s="7" t="s">
        <v>31</v>
      </c>
      <c r="I4445" s="7">
        <v>1.0</v>
      </c>
      <c r="J4445" s="7">
        <v>1.0</v>
      </c>
      <c r="K4445" s="7" t="s">
        <v>31</v>
      </c>
      <c r="L4445" s="8" t="s">
        <v>31</v>
      </c>
      <c r="M4445" s="6" t="s">
        <v>27674</v>
      </c>
      <c r="N4445" s="6" t="s">
        <v>27596</v>
      </c>
      <c r="O4445" s="8" t="s">
        <v>27597</v>
      </c>
      <c r="P4445" s="6" t="s">
        <v>27598</v>
      </c>
      <c r="Q4445" s="6" t="s">
        <v>27599</v>
      </c>
      <c r="R4445" s="6" t="s">
        <v>10017</v>
      </c>
      <c r="S4445" s="8" t="s">
        <v>27600</v>
      </c>
      <c r="T4445" s="6" t="s">
        <v>66</v>
      </c>
      <c r="U4445" s="8" t="s">
        <v>31</v>
      </c>
      <c r="V4445" s="6" t="s">
        <v>29</v>
      </c>
      <c r="W4445" s="6" t="s">
        <v>27593</v>
      </c>
      <c r="X4445" s="9" t="str">
        <f>HYPERLINK("https://my.pitchbook.com?p=180813-79P","View People Online")</f>
        <v>View People Online</v>
      </c>
    </row>
    <row r="4446">
      <c r="A4446" s="2" t="s">
        <v>27675</v>
      </c>
      <c r="B4446" s="2" t="s">
        <v>27676</v>
      </c>
      <c r="C4446" s="2" t="s">
        <v>3658</v>
      </c>
      <c r="D4446" s="2" t="s">
        <v>27677</v>
      </c>
      <c r="E4446" s="2" t="s">
        <v>27593</v>
      </c>
      <c r="F4446" s="2" t="s">
        <v>29</v>
      </c>
      <c r="G4446" s="2" t="s">
        <v>27678</v>
      </c>
      <c r="H4446" s="3" t="s">
        <v>31</v>
      </c>
      <c r="I4446" s="3">
        <v>1.0</v>
      </c>
      <c r="J4446" s="3">
        <v>1.0</v>
      </c>
      <c r="K4446" s="3" t="s">
        <v>31</v>
      </c>
      <c r="L4446" s="4" t="s">
        <v>31</v>
      </c>
      <c r="M4446" s="2" t="s">
        <v>27679</v>
      </c>
      <c r="N4446" s="2" t="s">
        <v>1170</v>
      </c>
      <c r="O4446" s="4" t="s">
        <v>1171</v>
      </c>
      <c r="P4446" s="2" t="s">
        <v>12620</v>
      </c>
      <c r="Q4446" s="2" t="s">
        <v>18815</v>
      </c>
      <c r="R4446" s="2" t="s">
        <v>64</v>
      </c>
      <c r="S4446" s="4" t="s">
        <v>12621</v>
      </c>
      <c r="T4446" s="2" t="s">
        <v>66</v>
      </c>
      <c r="U4446" s="4" t="s">
        <v>31</v>
      </c>
      <c r="V4446" s="2" t="s">
        <v>29</v>
      </c>
      <c r="W4446" s="2" t="s">
        <v>27593</v>
      </c>
      <c r="X4446" s="5" t="str">
        <f>HYPERLINK("https://my.pitchbook.com?p=248789-89P","View People Online")</f>
        <v>View People Online</v>
      </c>
    </row>
    <row r="4447">
      <c r="A4447" s="6" t="s">
        <v>27680</v>
      </c>
      <c r="B4447" s="6" t="s">
        <v>27681</v>
      </c>
      <c r="C4447" s="6" t="s">
        <v>1343</v>
      </c>
      <c r="D4447" s="6" t="s">
        <v>27682</v>
      </c>
      <c r="E4447" s="6" t="s">
        <v>27593</v>
      </c>
      <c r="F4447" s="6" t="s">
        <v>4192</v>
      </c>
      <c r="G4447" s="6" t="s">
        <v>27683</v>
      </c>
      <c r="H4447" s="7" t="s">
        <v>31</v>
      </c>
      <c r="I4447" s="7">
        <v>1.0</v>
      </c>
      <c r="J4447" s="7">
        <v>1.0</v>
      </c>
      <c r="K4447" s="7" t="s">
        <v>31</v>
      </c>
      <c r="L4447" s="8" t="s">
        <v>31</v>
      </c>
      <c r="M4447" s="6" t="s">
        <v>27684</v>
      </c>
      <c r="N4447" s="6" t="s">
        <v>155</v>
      </c>
      <c r="O4447" s="8" t="s">
        <v>156</v>
      </c>
      <c r="P4447" s="6" t="s">
        <v>27606</v>
      </c>
      <c r="Q4447" s="6" t="s">
        <v>31</v>
      </c>
      <c r="R4447" s="6" t="s">
        <v>64</v>
      </c>
      <c r="S4447" s="8" t="s">
        <v>2463</v>
      </c>
      <c r="T4447" s="6" t="s">
        <v>66</v>
      </c>
      <c r="U4447" s="8" t="s">
        <v>31</v>
      </c>
      <c r="V4447" s="6" t="s">
        <v>4192</v>
      </c>
      <c r="W4447" s="6" t="s">
        <v>27593</v>
      </c>
      <c r="X4447" s="9" t="str">
        <f>HYPERLINK("https://my.pitchbook.com?p=328113-91P","View People Online")</f>
        <v>View People Online</v>
      </c>
    </row>
    <row r="4448">
      <c r="A4448" s="10" t="s">
        <v>27685</v>
      </c>
      <c r="B4448" s="10" t="s">
        <v>27686</v>
      </c>
      <c r="C4448" s="10" t="s">
        <v>1616</v>
      </c>
      <c r="D4448" s="10" t="s">
        <v>27687</v>
      </c>
      <c r="E4448" s="10" t="s">
        <v>27593</v>
      </c>
      <c r="F4448" s="10" t="s">
        <v>318</v>
      </c>
      <c r="G4448" s="10" t="s">
        <v>27688</v>
      </c>
      <c r="H4448" s="11" t="s">
        <v>31</v>
      </c>
      <c r="I4448" s="11">
        <v>1.0</v>
      </c>
      <c r="J4448" s="11">
        <v>1.0</v>
      </c>
      <c r="K4448" s="11" t="s">
        <v>31</v>
      </c>
      <c r="L4448" s="12" t="s">
        <v>31</v>
      </c>
      <c r="M4448" s="10" t="s">
        <v>27689</v>
      </c>
      <c r="N4448" s="10" t="s">
        <v>155</v>
      </c>
      <c r="O4448" s="12" t="s">
        <v>156</v>
      </c>
      <c r="P4448" s="10" t="s">
        <v>27606</v>
      </c>
      <c r="Q4448" s="10" t="s">
        <v>31</v>
      </c>
      <c r="R4448" s="10" t="s">
        <v>64</v>
      </c>
      <c r="S4448" s="12" t="s">
        <v>2463</v>
      </c>
      <c r="T4448" s="10" t="s">
        <v>66</v>
      </c>
      <c r="U4448" s="12" t="s">
        <v>31</v>
      </c>
      <c r="V4448" s="10" t="s">
        <v>318</v>
      </c>
      <c r="W4448" s="10" t="s">
        <v>27593</v>
      </c>
      <c r="X4448" s="13" t="str">
        <f>HYPERLINK("https://my.pitchbook.com?p=421122-79P","View People Online")</f>
        <v>View People Online</v>
      </c>
    </row>
    <row r="4449">
      <c r="A4449" s="6" t="s">
        <v>27690</v>
      </c>
      <c r="B4449" s="6" t="s">
        <v>27691</v>
      </c>
      <c r="C4449" s="6" t="s">
        <v>3828</v>
      </c>
      <c r="D4449" s="6" t="s">
        <v>16230</v>
      </c>
      <c r="E4449" s="6" t="s">
        <v>27593</v>
      </c>
      <c r="F4449" s="6" t="s">
        <v>318</v>
      </c>
      <c r="G4449" s="6" t="s">
        <v>27692</v>
      </c>
      <c r="H4449" s="7" t="s">
        <v>31</v>
      </c>
      <c r="I4449" s="7">
        <v>1.0</v>
      </c>
      <c r="J4449" s="7">
        <v>1.0</v>
      </c>
      <c r="K4449" s="7" t="s">
        <v>31</v>
      </c>
      <c r="L4449" s="8" t="s">
        <v>31</v>
      </c>
      <c r="M4449" s="6" t="s">
        <v>27693</v>
      </c>
      <c r="N4449" s="6" t="s">
        <v>27596</v>
      </c>
      <c r="O4449" s="8" t="s">
        <v>27597</v>
      </c>
      <c r="P4449" s="6" t="s">
        <v>27598</v>
      </c>
      <c r="Q4449" s="6" t="s">
        <v>27599</v>
      </c>
      <c r="R4449" s="6" t="s">
        <v>10017</v>
      </c>
      <c r="S4449" s="8" t="s">
        <v>27600</v>
      </c>
      <c r="T4449" s="6" t="s">
        <v>66</v>
      </c>
      <c r="U4449" s="8" t="s">
        <v>31</v>
      </c>
      <c r="V4449" s="6" t="s">
        <v>318</v>
      </c>
      <c r="W4449" s="6" t="s">
        <v>27593</v>
      </c>
      <c r="X4449" s="9" t="str">
        <f>HYPERLINK("https://my.pitchbook.com?p=421123-69P","View People Online")</f>
        <v>View People Online</v>
      </c>
    </row>
    <row r="4450">
      <c r="A4450" s="2" t="s">
        <v>27694</v>
      </c>
      <c r="B4450" s="2" t="s">
        <v>27695</v>
      </c>
      <c r="C4450" s="2" t="s">
        <v>41</v>
      </c>
      <c r="D4450" s="2" t="s">
        <v>27696</v>
      </c>
      <c r="E4450" s="2" t="s">
        <v>27593</v>
      </c>
      <c r="F4450" s="2" t="s">
        <v>221</v>
      </c>
      <c r="G4450" s="2" t="s">
        <v>27697</v>
      </c>
      <c r="H4450" s="3" t="s">
        <v>31</v>
      </c>
      <c r="I4450" s="3">
        <v>1.0</v>
      </c>
      <c r="J4450" s="3">
        <v>1.0</v>
      </c>
      <c r="K4450" s="3" t="s">
        <v>31</v>
      </c>
      <c r="L4450" s="4" t="s">
        <v>31</v>
      </c>
      <c r="M4450" s="2" t="s">
        <v>27698</v>
      </c>
      <c r="N4450" s="2" t="s">
        <v>155</v>
      </c>
      <c r="O4450" s="4" t="s">
        <v>156</v>
      </c>
      <c r="P4450" s="2" t="s">
        <v>27606</v>
      </c>
      <c r="Q4450" s="2" t="s">
        <v>31</v>
      </c>
      <c r="R4450" s="2" t="s">
        <v>64</v>
      </c>
      <c r="S4450" s="4" t="s">
        <v>2463</v>
      </c>
      <c r="T4450" s="2" t="s">
        <v>66</v>
      </c>
      <c r="U4450" s="4" t="s">
        <v>31</v>
      </c>
      <c r="V4450" s="2" t="s">
        <v>221</v>
      </c>
      <c r="W4450" s="2" t="s">
        <v>27593</v>
      </c>
      <c r="X4450" s="5" t="str">
        <f>HYPERLINK("https://my.pitchbook.com?p=421125-67P","View People Online")</f>
        <v>View People Online</v>
      </c>
    </row>
    <row r="4451">
      <c r="A4451" s="14" t="s">
        <v>27699</v>
      </c>
      <c r="B4451" s="14" t="s">
        <v>27700</v>
      </c>
      <c r="C4451" s="14" t="s">
        <v>27701</v>
      </c>
      <c r="D4451" s="14" t="s">
        <v>9727</v>
      </c>
      <c r="E4451" s="14" t="s">
        <v>27593</v>
      </c>
      <c r="F4451" s="14" t="s">
        <v>318</v>
      </c>
      <c r="G4451" s="14" t="s">
        <v>27702</v>
      </c>
      <c r="H4451" s="15" t="s">
        <v>31</v>
      </c>
      <c r="I4451" s="15">
        <v>1.0</v>
      </c>
      <c r="J4451" s="15">
        <v>1.0</v>
      </c>
      <c r="K4451" s="15" t="s">
        <v>31</v>
      </c>
      <c r="L4451" s="16" t="s">
        <v>31</v>
      </c>
      <c r="M4451" s="14" t="s">
        <v>27703</v>
      </c>
      <c r="N4451" s="14" t="s">
        <v>27596</v>
      </c>
      <c r="O4451" s="16" t="s">
        <v>27597</v>
      </c>
      <c r="P4451" s="14" t="s">
        <v>27598</v>
      </c>
      <c r="Q4451" s="14" t="s">
        <v>27599</v>
      </c>
      <c r="R4451" s="14" t="s">
        <v>10017</v>
      </c>
      <c r="S4451" s="16" t="s">
        <v>27600</v>
      </c>
      <c r="T4451" s="14" t="s">
        <v>66</v>
      </c>
      <c r="U4451" s="16" t="s">
        <v>31</v>
      </c>
      <c r="V4451" s="14" t="s">
        <v>318</v>
      </c>
      <c r="W4451" s="14" t="s">
        <v>27593</v>
      </c>
      <c r="X4451" s="17" t="str">
        <f>HYPERLINK("https://my.pitchbook.com?p=351175-87P","View People Online")</f>
        <v>View People Online</v>
      </c>
    </row>
    <row r="4452">
      <c r="A4452" s="2" t="s">
        <v>27704</v>
      </c>
      <c r="B4452" s="2" t="s">
        <v>27705</v>
      </c>
      <c r="C4452" s="2" t="s">
        <v>27706</v>
      </c>
      <c r="D4452" s="2" t="s">
        <v>8884</v>
      </c>
      <c r="E4452" s="2" t="s">
        <v>27593</v>
      </c>
      <c r="F4452" s="2" t="s">
        <v>318</v>
      </c>
      <c r="G4452" s="2" t="s">
        <v>27707</v>
      </c>
      <c r="H4452" s="3" t="s">
        <v>31</v>
      </c>
      <c r="I4452" s="3">
        <v>1.0</v>
      </c>
      <c r="J4452" s="3">
        <v>1.0</v>
      </c>
      <c r="K4452" s="3" t="s">
        <v>31</v>
      </c>
      <c r="L4452" s="4" t="s">
        <v>31</v>
      </c>
      <c r="M4452" s="2" t="s">
        <v>27708</v>
      </c>
      <c r="N4452" s="2" t="s">
        <v>27596</v>
      </c>
      <c r="O4452" s="4" t="s">
        <v>27597</v>
      </c>
      <c r="P4452" s="2" t="s">
        <v>27598</v>
      </c>
      <c r="Q4452" s="2" t="s">
        <v>27599</v>
      </c>
      <c r="R4452" s="2" t="s">
        <v>10017</v>
      </c>
      <c r="S4452" s="4" t="s">
        <v>27600</v>
      </c>
      <c r="T4452" s="2" t="s">
        <v>66</v>
      </c>
      <c r="U4452" s="4" t="s">
        <v>31</v>
      </c>
      <c r="V4452" s="2" t="s">
        <v>318</v>
      </c>
      <c r="W4452" s="2" t="s">
        <v>27593</v>
      </c>
      <c r="X4452" s="5" t="str">
        <f>HYPERLINK("https://my.pitchbook.com?p=341757-28P","View People Online")</f>
        <v>View People Online</v>
      </c>
    </row>
    <row r="4453">
      <c r="A4453" s="14" t="s">
        <v>27709</v>
      </c>
      <c r="B4453" s="14" t="s">
        <v>27710</v>
      </c>
      <c r="C4453" s="14" t="s">
        <v>1489</v>
      </c>
      <c r="D4453" s="14" t="s">
        <v>3941</v>
      </c>
      <c r="E4453" s="14" t="s">
        <v>27593</v>
      </c>
      <c r="F4453" s="14" t="s">
        <v>4192</v>
      </c>
      <c r="G4453" s="14" t="s">
        <v>27711</v>
      </c>
      <c r="H4453" s="15" t="s">
        <v>31</v>
      </c>
      <c r="I4453" s="15">
        <v>1.0</v>
      </c>
      <c r="J4453" s="15">
        <v>1.0</v>
      </c>
      <c r="K4453" s="15" t="s">
        <v>31</v>
      </c>
      <c r="L4453" s="16" t="s">
        <v>31</v>
      </c>
      <c r="M4453" s="14" t="s">
        <v>27712</v>
      </c>
      <c r="N4453" s="14" t="s">
        <v>1170</v>
      </c>
      <c r="O4453" s="16" t="s">
        <v>1171</v>
      </c>
      <c r="P4453" s="14" t="s">
        <v>12620</v>
      </c>
      <c r="Q4453" s="14" t="s">
        <v>18815</v>
      </c>
      <c r="R4453" s="14" t="s">
        <v>64</v>
      </c>
      <c r="S4453" s="16" t="s">
        <v>12621</v>
      </c>
      <c r="T4453" s="14" t="s">
        <v>66</v>
      </c>
      <c r="U4453" s="16" t="s">
        <v>31</v>
      </c>
      <c r="V4453" s="14" t="s">
        <v>4192</v>
      </c>
      <c r="W4453" s="14" t="s">
        <v>27593</v>
      </c>
      <c r="X4453" s="17" t="str">
        <f>HYPERLINK("https://my.pitchbook.com?p=248793-58P","View People Online")</f>
        <v>View People Online</v>
      </c>
    </row>
    <row r="4454">
      <c r="A4454" s="2" t="s">
        <v>27713</v>
      </c>
      <c r="B4454" s="2" t="s">
        <v>27714</v>
      </c>
      <c r="C4454" s="2" t="s">
        <v>27715</v>
      </c>
      <c r="D4454" s="2" t="s">
        <v>27716</v>
      </c>
      <c r="E4454" s="2" t="s">
        <v>27593</v>
      </c>
      <c r="F4454" s="2" t="s">
        <v>29</v>
      </c>
      <c r="G4454" s="2" t="s">
        <v>27717</v>
      </c>
      <c r="H4454" s="3" t="s">
        <v>31</v>
      </c>
      <c r="I4454" s="3">
        <v>1.0</v>
      </c>
      <c r="J4454" s="3">
        <v>1.0</v>
      </c>
      <c r="K4454" s="3" t="s">
        <v>31</v>
      </c>
      <c r="L4454" s="4" t="s">
        <v>31</v>
      </c>
      <c r="M4454" s="2" t="s">
        <v>27718</v>
      </c>
      <c r="N4454" s="2" t="s">
        <v>155</v>
      </c>
      <c r="O4454" s="4" t="s">
        <v>156</v>
      </c>
      <c r="P4454" s="2" t="s">
        <v>27606</v>
      </c>
      <c r="Q4454" s="2" t="s">
        <v>31</v>
      </c>
      <c r="R4454" s="2" t="s">
        <v>64</v>
      </c>
      <c r="S4454" s="4" t="s">
        <v>2463</v>
      </c>
      <c r="T4454" s="2" t="s">
        <v>66</v>
      </c>
      <c r="U4454" s="4" t="s">
        <v>31</v>
      </c>
      <c r="V4454" s="2" t="s">
        <v>29</v>
      </c>
      <c r="W4454" s="2" t="s">
        <v>27593</v>
      </c>
      <c r="X4454" s="5" t="str">
        <f>HYPERLINK("https://my.pitchbook.com?p=87511-51P","View People Online")</f>
        <v>View People Online</v>
      </c>
    </row>
    <row r="4455">
      <c r="A4455" s="14" t="s">
        <v>27719</v>
      </c>
      <c r="B4455" s="14" t="s">
        <v>27720</v>
      </c>
      <c r="C4455" s="14" t="s">
        <v>27721</v>
      </c>
      <c r="D4455" s="14" t="s">
        <v>4819</v>
      </c>
      <c r="E4455" s="14" t="s">
        <v>27593</v>
      </c>
      <c r="F4455" s="14" t="s">
        <v>221</v>
      </c>
      <c r="G4455" s="14" t="s">
        <v>27722</v>
      </c>
      <c r="H4455" s="15" t="s">
        <v>31</v>
      </c>
      <c r="I4455" s="15">
        <v>1.0</v>
      </c>
      <c r="J4455" s="15">
        <v>1.0</v>
      </c>
      <c r="K4455" s="15" t="s">
        <v>31</v>
      </c>
      <c r="L4455" s="16" t="s">
        <v>31</v>
      </c>
      <c r="M4455" s="14" t="s">
        <v>27723</v>
      </c>
      <c r="N4455" s="14" t="s">
        <v>27596</v>
      </c>
      <c r="O4455" s="16" t="s">
        <v>27597</v>
      </c>
      <c r="P4455" s="14" t="s">
        <v>27598</v>
      </c>
      <c r="Q4455" s="14" t="s">
        <v>27599</v>
      </c>
      <c r="R4455" s="14" t="s">
        <v>10017</v>
      </c>
      <c r="S4455" s="16" t="s">
        <v>27600</v>
      </c>
      <c r="T4455" s="14" t="s">
        <v>66</v>
      </c>
      <c r="U4455" s="16" t="s">
        <v>31</v>
      </c>
      <c r="V4455" s="14" t="s">
        <v>221</v>
      </c>
      <c r="W4455" s="14" t="s">
        <v>27593</v>
      </c>
      <c r="X4455" s="17" t="str">
        <f>HYPERLINK("https://my.pitchbook.com?p=377733-07P","View People Online")</f>
        <v>View People Online</v>
      </c>
    </row>
    <row r="4456">
      <c r="A4456" s="10" t="s">
        <v>27724</v>
      </c>
      <c r="B4456" s="10" t="s">
        <v>27725</v>
      </c>
      <c r="C4456" s="10" t="s">
        <v>18801</v>
      </c>
      <c r="D4456" s="10" t="s">
        <v>16884</v>
      </c>
      <c r="E4456" s="10" t="s">
        <v>27593</v>
      </c>
      <c r="F4456" s="10" t="s">
        <v>4192</v>
      </c>
      <c r="G4456" s="10" t="s">
        <v>27726</v>
      </c>
      <c r="H4456" s="11" t="s">
        <v>31</v>
      </c>
      <c r="I4456" s="11">
        <v>1.0</v>
      </c>
      <c r="J4456" s="11">
        <v>1.0</v>
      </c>
      <c r="K4456" s="11" t="s">
        <v>31</v>
      </c>
      <c r="L4456" s="12" t="s">
        <v>31</v>
      </c>
      <c r="M4456" s="10" t="s">
        <v>27727</v>
      </c>
      <c r="N4456" s="10" t="s">
        <v>155</v>
      </c>
      <c r="O4456" s="12" t="s">
        <v>156</v>
      </c>
      <c r="P4456" s="10" t="s">
        <v>27606</v>
      </c>
      <c r="Q4456" s="10" t="s">
        <v>31</v>
      </c>
      <c r="R4456" s="10" t="s">
        <v>64</v>
      </c>
      <c r="S4456" s="12" t="s">
        <v>2463</v>
      </c>
      <c r="T4456" s="10" t="s">
        <v>66</v>
      </c>
      <c r="U4456" s="12" t="s">
        <v>31</v>
      </c>
      <c r="V4456" s="10" t="s">
        <v>4192</v>
      </c>
      <c r="W4456" s="10" t="s">
        <v>27593</v>
      </c>
      <c r="X4456" s="13" t="str">
        <f>HYPERLINK("https://my.pitchbook.com?p=248794-21P","View People Online")</f>
        <v>View People Online</v>
      </c>
    </row>
    <row r="4457">
      <c r="A4457" s="14" t="s">
        <v>27728</v>
      </c>
      <c r="B4457" s="14" t="s">
        <v>27729</v>
      </c>
      <c r="C4457" s="14" t="s">
        <v>27730</v>
      </c>
      <c r="D4457" s="14" t="s">
        <v>27731</v>
      </c>
      <c r="E4457" s="14" t="s">
        <v>27593</v>
      </c>
      <c r="F4457" s="14" t="s">
        <v>29</v>
      </c>
      <c r="G4457" s="14" t="s">
        <v>27732</v>
      </c>
      <c r="H4457" s="15" t="s">
        <v>31</v>
      </c>
      <c r="I4457" s="15">
        <v>3.0</v>
      </c>
      <c r="J4457" s="15">
        <v>2.0</v>
      </c>
      <c r="K4457" s="15">
        <v>1.0</v>
      </c>
      <c r="L4457" s="16" t="s">
        <v>31</v>
      </c>
      <c r="M4457" s="14" t="s">
        <v>27733</v>
      </c>
      <c r="N4457" s="14" t="s">
        <v>1170</v>
      </c>
      <c r="O4457" s="16" t="s">
        <v>1171</v>
      </c>
      <c r="P4457" s="14" t="s">
        <v>12620</v>
      </c>
      <c r="Q4457" s="14" t="s">
        <v>18815</v>
      </c>
      <c r="R4457" s="14" t="s">
        <v>64</v>
      </c>
      <c r="S4457" s="16" t="s">
        <v>12621</v>
      </c>
      <c r="T4457" s="14" t="s">
        <v>66</v>
      </c>
      <c r="U4457" s="16" t="s">
        <v>31</v>
      </c>
      <c r="V4457" s="14" t="s">
        <v>29</v>
      </c>
      <c r="W4457" s="14" t="s">
        <v>27593</v>
      </c>
      <c r="X4457" s="17" t="str">
        <f>HYPERLINK("https://my.pitchbook.com?p=245278-63P","View People Online")</f>
        <v>View People Online</v>
      </c>
    </row>
    <row r="4458">
      <c r="A4458" s="10" t="s">
        <v>27734</v>
      </c>
      <c r="B4458" s="10" t="s">
        <v>27735</v>
      </c>
      <c r="C4458" s="10" t="s">
        <v>25906</v>
      </c>
      <c r="D4458" s="10" t="s">
        <v>27736</v>
      </c>
      <c r="E4458" s="10" t="s">
        <v>27593</v>
      </c>
      <c r="F4458" s="10" t="s">
        <v>318</v>
      </c>
      <c r="G4458" s="10" t="s">
        <v>27737</v>
      </c>
      <c r="H4458" s="11" t="s">
        <v>31</v>
      </c>
      <c r="I4458" s="11">
        <v>1.0</v>
      </c>
      <c r="J4458" s="11">
        <v>1.0</v>
      </c>
      <c r="K4458" s="11" t="s">
        <v>31</v>
      </c>
      <c r="L4458" s="12" t="s">
        <v>31</v>
      </c>
      <c r="M4458" s="10" t="s">
        <v>31</v>
      </c>
      <c r="N4458" s="10" t="s">
        <v>27596</v>
      </c>
      <c r="O4458" s="12" t="s">
        <v>27597</v>
      </c>
      <c r="P4458" s="10" t="s">
        <v>27598</v>
      </c>
      <c r="Q4458" s="10" t="s">
        <v>27599</v>
      </c>
      <c r="R4458" s="10" t="s">
        <v>10017</v>
      </c>
      <c r="S4458" s="12" t="s">
        <v>27600</v>
      </c>
      <c r="T4458" s="10" t="s">
        <v>66</v>
      </c>
      <c r="U4458" s="12" t="s">
        <v>31</v>
      </c>
      <c r="V4458" s="10" t="s">
        <v>318</v>
      </c>
      <c r="W4458" s="10" t="s">
        <v>27593</v>
      </c>
      <c r="X4458" s="13" t="str">
        <f>HYPERLINK("https://my.pitchbook.com?p=200717-29P","View People Online")</f>
        <v>View People Online</v>
      </c>
    </row>
    <row r="4459">
      <c r="A4459" s="6" t="s">
        <v>27738</v>
      </c>
      <c r="B4459" s="6" t="s">
        <v>27739</v>
      </c>
      <c r="C4459" s="6" t="s">
        <v>6453</v>
      </c>
      <c r="D4459" s="6" t="s">
        <v>6543</v>
      </c>
      <c r="E4459" s="6" t="s">
        <v>27593</v>
      </c>
      <c r="F4459" s="6" t="s">
        <v>81</v>
      </c>
      <c r="G4459" s="6" t="s">
        <v>27740</v>
      </c>
      <c r="H4459" s="7">
        <v>4.0</v>
      </c>
      <c r="I4459" s="7">
        <v>53.0</v>
      </c>
      <c r="J4459" s="7">
        <v>1.0</v>
      </c>
      <c r="K4459" s="7">
        <v>44.0</v>
      </c>
      <c r="L4459" s="8" t="s">
        <v>31</v>
      </c>
      <c r="M4459" s="6" t="s">
        <v>27741</v>
      </c>
      <c r="N4459" s="6" t="s">
        <v>1170</v>
      </c>
      <c r="O4459" s="8" t="s">
        <v>1171</v>
      </c>
      <c r="P4459" s="6" t="s">
        <v>12620</v>
      </c>
      <c r="Q4459" s="6" t="s">
        <v>18815</v>
      </c>
      <c r="R4459" s="6" t="s">
        <v>64</v>
      </c>
      <c r="S4459" s="8" t="s">
        <v>12621</v>
      </c>
      <c r="T4459" s="6" t="s">
        <v>66</v>
      </c>
      <c r="U4459" s="8" t="s">
        <v>31</v>
      </c>
      <c r="V4459" s="6" t="s">
        <v>5619</v>
      </c>
      <c r="W4459" s="6" t="s">
        <v>27593</v>
      </c>
      <c r="X4459" s="9" t="str">
        <f>HYPERLINK("https://my.pitchbook.com?p=13190-68P","View People Online")</f>
        <v>View People Online</v>
      </c>
    </row>
    <row r="4460">
      <c r="A4460" s="2" t="s">
        <v>27742</v>
      </c>
      <c r="B4460" s="2" t="s">
        <v>27743</v>
      </c>
      <c r="C4460" s="2" t="s">
        <v>27744</v>
      </c>
      <c r="D4460" s="2" t="s">
        <v>27745</v>
      </c>
      <c r="E4460" s="2" t="s">
        <v>27593</v>
      </c>
      <c r="F4460" s="2" t="s">
        <v>4192</v>
      </c>
      <c r="G4460" s="2" t="s">
        <v>27746</v>
      </c>
      <c r="H4460" s="3" t="s">
        <v>31</v>
      </c>
      <c r="I4460" s="3">
        <v>1.0</v>
      </c>
      <c r="J4460" s="3">
        <v>1.0</v>
      </c>
      <c r="K4460" s="3" t="s">
        <v>31</v>
      </c>
      <c r="L4460" s="4" t="s">
        <v>31</v>
      </c>
      <c r="M4460" s="2" t="s">
        <v>27747</v>
      </c>
      <c r="N4460" s="2" t="s">
        <v>27596</v>
      </c>
      <c r="O4460" s="4" t="s">
        <v>27597</v>
      </c>
      <c r="P4460" s="2" t="s">
        <v>27598</v>
      </c>
      <c r="Q4460" s="2" t="s">
        <v>27599</v>
      </c>
      <c r="R4460" s="2" t="s">
        <v>10017</v>
      </c>
      <c r="S4460" s="4" t="s">
        <v>27600</v>
      </c>
      <c r="T4460" s="2" t="s">
        <v>66</v>
      </c>
      <c r="U4460" s="4" t="s">
        <v>31</v>
      </c>
      <c r="V4460" s="2" t="s">
        <v>4192</v>
      </c>
      <c r="W4460" s="2" t="s">
        <v>27593</v>
      </c>
      <c r="X4460" s="5" t="str">
        <f>HYPERLINK("https://my.pitchbook.com?p=328113-19P","View People Online")</f>
        <v>View People Online</v>
      </c>
    </row>
    <row r="4461">
      <c r="A4461" s="14" t="s">
        <v>27748</v>
      </c>
      <c r="B4461" s="14" t="s">
        <v>27749</v>
      </c>
      <c r="C4461" s="14" t="s">
        <v>25658</v>
      </c>
      <c r="D4461" s="14" t="s">
        <v>4338</v>
      </c>
      <c r="E4461" s="14" t="s">
        <v>27593</v>
      </c>
      <c r="F4461" s="14" t="s">
        <v>201</v>
      </c>
      <c r="G4461" s="14" t="s">
        <v>27750</v>
      </c>
      <c r="H4461" s="15" t="s">
        <v>31</v>
      </c>
      <c r="I4461" s="15">
        <v>1.0</v>
      </c>
      <c r="J4461" s="15">
        <v>1.0</v>
      </c>
      <c r="K4461" s="15" t="s">
        <v>31</v>
      </c>
      <c r="L4461" s="16" t="s">
        <v>31</v>
      </c>
      <c r="M4461" s="14" t="s">
        <v>27751</v>
      </c>
      <c r="N4461" s="14" t="s">
        <v>155</v>
      </c>
      <c r="O4461" s="16" t="s">
        <v>156</v>
      </c>
      <c r="P4461" s="14" t="s">
        <v>27606</v>
      </c>
      <c r="Q4461" s="14" t="s">
        <v>31</v>
      </c>
      <c r="R4461" s="14" t="s">
        <v>64</v>
      </c>
      <c r="S4461" s="16" t="s">
        <v>2463</v>
      </c>
      <c r="T4461" s="14" t="s">
        <v>66</v>
      </c>
      <c r="U4461" s="16" t="s">
        <v>31</v>
      </c>
      <c r="V4461" s="14" t="s">
        <v>201</v>
      </c>
      <c r="W4461" s="14" t="s">
        <v>27593</v>
      </c>
      <c r="X4461" s="17" t="str">
        <f>HYPERLINK("https://my.pitchbook.com?p=341759-35P","View People Online")</f>
        <v>View People Online</v>
      </c>
    </row>
    <row r="4462">
      <c r="A4462" s="2" t="s">
        <v>27752</v>
      </c>
      <c r="B4462" s="2" t="s">
        <v>27753</v>
      </c>
      <c r="C4462" s="2" t="s">
        <v>160</v>
      </c>
      <c r="D4462" s="2" t="s">
        <v>27754</v>
      </c>
      <c r="E4462" s="2" t="s">
        <v>27593</v>
      </c>
      <c r="F4462" s="2" t="s">
        <v>4192</v>
      </c>
      <c r="G4462" s="2" t="s">
        <v>27755</v>
      </c>
      <c r="H4462" s="3" t="s">
        <v>31</v>
      </c>
      <c r="I4462" s="3">
        <v>1.0</v>
      </c>
      <c r="J4462" s="3">
        <v>1.0</v>
      </c>
      <c r="K4462" s="3" t="s">
        <v>31</v>
      </c>
      <c r="L4462" s="4" t="s">
        <v>31</v>
      </c>
      <c r="M4462" s="2" t="s">
        <v>27756</v>
      </c>
      <c r="N4462" s="2" t="s">
        <v>1170</v>
      </c>
      <c r="O4462" s="4" t="s">
        <v>1171</v>
      </c>
      <c r="P4462" s="2" t="s">
        <v>12620</v>
      </c>
      <c r="Q4462" s="2" t="s">
        <v>18815</v>
      </c>
      <c r="R4462" s="2" t="s">
        <v>64</v>
      </c>
      <c r="S4462" s="4" t="s">
        <v>12621</v>
      </c>
      <c r="T4462" s="2" t="s">
        <v>66</v>
      </c>
      <c r="U4462" s="4" t="s">
        <v>31</v>
      </c>
      <c r="V4462" s="2" t="s">
        <v>4192</v>
      </c>
      <c r="W4462" s="2" t="s">
        <v>27593</v>
      </c>
      <c r="X4462" s="5" t="str">
        <f>HYPERLINK("https://my.pitchbook.com?p=267880-15P","View People Online")</f>
        <v>View People Online</v>
      </c>
    </row>
    <row r="4463">
      <c r="A4463" s="6" t="s">
        <v>27757</v>
      </c>
      <c r="B4463" s="6" t="s">
        <v>27758</v>
      </c>
      <c r="C4463" s="6" t="s">
        <v>3852</v>
      </c>
      <c r="D4463" s="6" t="s">
        <v>27759</v>
      </c>
      <c r="E4463" s="6" t="s">
        <v>27593</v>
      </c>
      <c r="F4463" s="6" t="s">
        <v>318</v>
      </c>
      <c r="G4463" s="6" t="s">
        <v>27760</v>
      </c>
      <c r="H4463" s="7" t="s">
        <v>31</v>
      </c>
      <c r="I4463" s="7">
        <v>1.0</v>
      </c>
      <c r="J4463" s="7">
        <v>1.0</v>
      </c>
      <c r="K4463" s="7" t="s">
        <v>31</v>
      </c>
      <c r="L4463" s="8" t="s">
        <v>31</v>
      </c>
      <c r="M4463" s="6" t="s">
        <v>27761</v>
      </c>
      <c r="N4463" s="6" t="s">
        <v>4232</v>
      </c>
      <c r="O4463" s="8" t="s">
        <v>4233</v>
      </c>
      <c r="P4463" s="6" t="s">
        <v>27762</v>
      </c>
      <c r="Q4463" s="6" t="s">
        <v>7094</v>
      </c>
      <c r="R4463" s="6" t="s">
        <v>4236</v>
      </c>
      <c r="S4463" s="8" t="s">
        <v>27763</v>
      </c>
      <c r="T4463" s="6" t="s">
        <v>66</v>
      </c>
      <c r="U4463" s="8" t="s">
        <v>31</v>
      </c>
      <c r="V4463" s="6" t="s">
        <v>318</v>
      </c>
      <c r="W4463" s="6" t="s">
        <v>27593</v>
      </c>
      <c r="X4463" s="9" t="str">
        <f>HYPERLINK("https://my.pitchbook.com?p=351174-88P","View People Online")</f>
        <v>View People Online</v>
      </c>
    </row>
    <row r="4464">
      <c r="A4464" s="2" t="s">
        <v>27764</v>
      </c>
      <c r="B4464" s="2" t="s">
        <v>27765</v>
      </c>
      <c r="C4464" s="2" t="s">
        <v>11929</v>
      </c>
      <c r="D4464" s="2" t="s">
        <v>27766</v>
      </c>
      <c r="E4464" s="2" t="s">
        <v>27593</v>
      </c>
      <c r="F4464" s="2" t="s">
        <v>4192</v>
      </c>
      <c r="G4464" s="2" t="s">
        <v>27767</v>
      </c>
      <c r="H4464" s="3" t="s">
        <v>31</v>
      </c>
      <c r="I4464" s="3">
        <v>1.0</v>
      </c>
      <c r="J4464" s="3">
        <v>1.0</v>
      </c>
      <c r="K4464" s="3" t="s">
        <v>31</v>
      </c>
      <c r="L4464" s="4" t="s">
        <v>31</v>
      </c>
      <c r="M4464" s="2" t="s">
        <v>27768</v>
      </c>
      <c r="N4464" s="2" t="s">
        <v>1170</v>
      </c>
      <c r="O4464" s="4" t="s">
        <v>1171</v>
      </c>
      <c r="P4464" s="2" t="s">
        <v>12620</v>
      </c>
      <c r="Q4464" s="2" t="s">
        <v>18815</v>
      </c>
      <c r="R4464" s="2" t="s">
        <v>64</v>
      </c>
      <c r="S4464" s="4" t="s">
        <v>12621</v>
      </c>
      <c r="T4464" s="2" t="s">
        <v>66</v>
      </c>
      <c r="U4464" s="4" t="s">
        <v>31</v>
      </c>
      <c r="V4464" s="2" t="s">
        <v>4192</v>
      </c>
      <c r="W4464" s="2" t="s">
        <v>27593</v>
      </c>
      <c r="X4464" s="5" t="str">
        <f>HYPERLINK("https://my.pitchbook.com?p=145710-64P","View People Online")</f>
        <v>View People Online</v>
      </c>
    </row>
    <row r="4465">
      <c r="A4465" s="6" t="s">
        <v>27769</v>
      </c>
      <c r="B4465" s="6" t="s">
        <v>27770</v>
      </c>
      <c r="C4465" s="6" t="s">
        <v>12329</v>
      </c>
      <c r="D4465" s="6" t="s">
        <v>27771</v>
      </c>
      <c r="E4465" s="6" t="s">
        <v>27593</v>
      </c>
      <c r="F4465" s="6" t="s">
        <v>81</v>
      </c>
      <c r="G4465" s="6" t="s">
        <v>27772</v>
      </c>
      <c r="H4465" s="7" t="s">
        <v>31</v>
      </c>
      <c r="I4465" s="7">
        <v>2.0</v>
      </c>
      <c r="J4465" s="7" t="s">
        <v>31</v>
      </c>
      <c r="K4465" s="7">
        <v>1.0</v>
      </c>
      <c r="L4465" s="8" t="s">
        <v>31</v>
      </c>
      <c r="M4465" s="6" t="s">
        <v>27773</v>
      </c>
      <c r="N4465" s="6" t="s">
        <v>4232</v>
      </c>
      <c r="O4465" s="8" t="s">
        <v>4233</v>
      </c>
      <c r="P4465" s="6" t="s">
        <v>27762</v>
      </c>
      <c r="Q4465" s="6" t="s">
        <v>7094</v>
      </c>
      <c r="R4465" s="6" t="s">
        <v>4236</v>
      </c>
      <c r="S4465" s="8" t="s">
        <v>27763</v>
      </c>
      <c r="T4465" s="6" t="s">
        <v>66</v>
      </c>
      <c r="U4465" s="8" t="s">
        <v>31</v>
      </c>
      <c r="V4465" s="6" t="s">
        <v>5619</v>
      </c>
      <c r="W4465" s="6" t="s">
        <v>27593</v>
      </c>
      <c r="X4465" s="9" t="str">
        <f>HYPERLINK("https://my.pitchbook.com?p=13740-76P","View People Online")</f>
        <v>View People Online</v>
      </c>
    </row>
    <row r="4466">
      <c r="A4466" s="2" t="s">
        <v>27774</v>
      </c>
      <c r="B4466" s="2" t="s">
        <v>27775</v>
      </c>
      <c r="C4466" s="2" t="s">
        <v>126</v>
      </c>
      <c r="D4466" s="2" t="s">
        <v>9905</v>
      </c>
      <c r="E4466" s="2" t="s">
        <v>27593</v>
      </c>
      <c r="F4466" s="2" t="s">
        <v>201</v>
      </c>
      <c r="G4466" s="2" t="s">
        <v>27776</v>
      </c>
      <c r="H4466" s="3" t="s">
        <v>31</v>
      </c>
      <c r="I4466" s="3">
        <v>1.0</v>
      </c>
      <c r="J4466" s="3">
        <v>1.0</v>
      </c>
      <c r="K4466" s="3" t="s">
        <v>31</v>
      </c>
      <c r="L4466" s="4" t="s">
        <v>31</v>
      </c>
      <c r="M4466" s="2" t="s">
        <v>27777</v>
      </c>
      <c r="N4466" s="2" t="s">
        <v>75</v>
      </c>
      <c r="O4466" s="4" t="s">
        <v>76</v>
      </c>
      <c r="P4466" s="2" t="s">
        <v>27778</v>
      </c>
      <c r="Q4466" s="2" t="s">
        <v>31</v>
      </c>
      <c r="R4466" s="2" t="s">
        <v>75</v>
      </c>
      <c r="S4466" s="4" t="s">
        <v>2167</v>
      </c>
      <c r="T4466" s="2" t="s">
        <v>66</v>
      </c>
      <c r="U4466" s="4" t="s">
        <v>31</v>
      </c>
      <c r="V4466" s="2" t="s">
        <v>201</v>
      </c>
      <c r="W4466" s="2" t="s">
        <v>27593</v>
      </c>
      <c r="X4466" s="5" t="str">
        <f>HYPERLINK("https://my.pitchbook.com?p=377729-92P","View People Online")</f>
        <v>View People Online</v>
      </c>
    </row>
    <row r="4467">
      <c r="A4467" s="14" t="s">
        <v>27779</v>
      </c>
      <c r="B4467" s="14" t="s">
        <v>27780</v>
      </c>
      <c r="C4467" s="14" t="s">
        <v>1807</v>
      </c>
      <c r="D4467" s="14" t="s">
        <v>27781</v>
      </c>
      <c r="E4467" s="14" t="s">
        <v>27593</v>
      </c>
      <c r="F4467" s="14" t="s">
        <v>29</v>
      </c>
      <c r="G4467" s="14" t="s">
        <v>27782</v>
      </c>
      <c r="H4467" s="15" t="s">
        <v>31</v>
      </c>
      <c r="I4467" s="15">
        <v>1.0</v>
      </c>
      <c r="J4467" s="15">
        <v>1.0</v>
      </c>
      <c r="K4467" s="15" t="s">
        <v>31</v>
      </c>
      <c r="L4467" s="16" t="s">
        <v>31</v>
      </c>
      <c r="M4467" s="14" t="s">
        <v>27783</v>
      </c>
      <c r="N4467" s="14" t="s">
        <v>155</v>
      </c>
      <c r="O4467" s="16" t="s">
        <v>156</v>
      </c>
      <c r="P4467" s="14" t="s">
        <v>27606</v>
      </c>
      <c r="Q4467" s="14" t="s">
        <v>31</v>
      </c>
      <c r="R4467" s="14" t="s">
        <v>64</v>
      </c>
      <c r="S4467" s="16" t="s">
        <v>2463</v>
      </c>
      <c r="T4467" s="14" t="s">
        <v>66</v>
      </c>
      <c r="U4467" s="16" t="s">
        <v>31</v>
      </c>
      <c r="V4467" s="14" t="s">
        <v>29</v>
      </c>
      <c r="W4467" s="14" t="s">
        <v>27593</v>
      </c>
      <c r="X4467" s="17" t="str">
        <f>HYPERLINK("https://my.pitchbook.com?p=248792-41P","View People Online")</f>
        <v>View People Online</v>
      </c>
    </row>
    <row r="4468">
      <c r="A4468" s="10" t="s">
        <v>27784</v>
      </c>
      <c r="B4468" s="10" t="s">
        <v>27785</v>
      </c>
      <c r="C4468" s="10" t="s">
        <v>27786</v>
      </c>
      <c r="D4468" s="10" t="s">
        <v>19822</v>
      </c>
      <c r="E4468" s="10" t="s">
        <v>27593</v>
      </c>
      <c r="F4468" s="10" t="s">
        <v>318</v>
      </c>
      <c r="G4468" s="10" t="s">
        <v>27787</v>
      </c>
      <c r="H4468" s="11" t="s">
        <v>31</v>
      </c>
      <c r="I4468" s="11">
        <v>1.0</v>
      </c>
      <c r="J4468" s="11">
        <v>1.0</v>
      </c>
      <c r="K4468" s="11" t="s">
        <v>31</v>
      </c>
      <c r="L4468" s="12" t="s">
        <v>31</v>
      </c>
      <c r="M4468" s="10" t="s">
        <v>27788</v>
      </c>
      <c r="N4468" s="10" t="s">
        <v>1170</v>
      </c>
      <c r="O4468" s="12" t="s">
        <v>1171</v>
      </c>
      <c r="P4468" s="10" t="s">
        <v>12620</v>
      </c>
      <c r="Q4468" s="10" t="s">
        <v>18815</v>
      </c>
      <c r="R4468" s="10" t="s">
        <v>64</v>
      </c>
      <c r="S4468" s="12" t="s">
        <v>12621</v>
      </c>
      <c r="T4468" s="10" t="s">
        <v>66</v>
      </c>
      <c r="U4468" s="12" t="s">
        <v>31</v>
      </c>
      <c r="V4468" s="10" t="s">
        <v>318</v>
      </c>
      <c r="W4468" s="10" t="s">
        <v>27593</v>
      </c>
      <c r="X4468" s="13" t="str">
        <f>HYPERLINK("https://my.pitchbook.com?p=328114-18P","View People Online")</f>
        <v>View People Online</v>
      </c>
    </row>
    <row r="4469">
      <c r="A4469" s="14" t="s">
        <v>27789</v>
      </c>
      <c r="B4469" s="14" t="s">
        <v>27790</v>
      </c>
      <c r="C4469" s="14" t="s">
        <v>2388</v>
      </c>
      <c r="D4469" s="14" t="s">
        <v>22799</v>
      </c>
      <c r="E4469" s="14" t="s">
        <v>27593</v>
      </c>
      <c r="F4469" s="14" t="s">
        <v>29</v>
      </c>
      <c r="G4469" s="14" t="s">
        <v>27791</v>
      </c>
      <c r="H4469" s="15" t="s">
        <v>31</v>
      </c>
      <c r="I4469" s="15">
        <v>3.0</v>
      </c>
      <c r="J4469" s="15">
        <v>1.0</v>
      </c>
      <c r="K4469" s="15">
        <v>1.0</v>
      </c>
      <c r="L4469" s="16" t="s">
        <v>31</v>
      </c>
      <c r="M4469" s="14" t="s">
        <v>27792</v>
      </c>
      <c r="N4469" s="14" t="s">
        <v>27596</v>
      </c>
      <c r="O4469" s="16" t="s">
        <v>27597</v>
      </c>
      <c r="P4469" s="14" t="s">
        <v>27598</v>
      </c>
      <c r="Q4469" s="14" t="s">
        <v>27599</v>
      </c>
      <c r="R4469" s="14" t="s">
        <v>10017</v>
      </c>
      <c r="S4469" s="16" t="s">
        <v>27600</v>
      </c>
      <c r="T4469" s="14" t="s">
        <v>66</v>
      </c>
      <c r="U4469" s="16" t="s">
        <v>31</v>
      </c>
      <c r="V4469" s="14" t="s">
        <v>29</v>
      </c>
      <c r="W4469" s="14" t="s">
        <v>27593</v>
      </c>
      <c r="X4469" s="17" t="str">
        <f>HYPERLINK("https://my.pitchbook.com?p=351179-83P","View People Online")</f>
        <v>View People Online</v>
      </c>
    </row>
    <row r="4470">
      <c r="A4470" s="10" t="s">
        <v>27793</v>
      </c>
      <c r="B4470" s="10" t="s">
        <v>27794</v>
      </c>
      <c r="C4470" s="10" t="s">
        <v>3875</v>
      </c>
      <c r="D4470" s="10" t="s">
        <v>27795</v>
      </c>
      <c r="E4470" s="10" t="s">
        <v>27593</v>
      </c>
      <c r="F4470" s="10" t="s">
        <v>318</v>
      </c>
      <c r="G4470" s="10" t="s">
        <v>27796</v>
      </c>
      <c r="H4470" s="11" t="s">
        <v>31</v>
      </c>
      <c r="I4470" s="11">
        <v>1.0</v>
      </c>
      <c r="J4470" s="11">
        <v>1.0</v>
      </c>
      <c r="K4470" s="11" t="s">
        <v>31</v>
      </c>
      <c r="L4470" s="12" t="s">
        <v>31</v>
      </c>
      <c r="M4470" s="10" t="s">
        <v>27797</v>
      </c>
      <c r="N4470" s="10" t="s">
        <v>1170</v>
      </c>
      <c r="O4470" s="12" t="s">
        <v>1171</v>
      </c>
      <c r="P4470" s="10" t="s">
        <v>12620</v>
      </c>
      <c r="Q4470" s="10" t="s">
        <v>18815</v>
      </c>
      <c r="R4470" s="10" t="s">
        <v>64</v>
      </c>
      <c r="S4470" s="12" t="s">
        <v>12621</v>
      </c>
      <c r="T4470" s="10" t="s">
        <v>66</v>
      </c>
      <c r="U4470" s="12" t="s">
        <v>31</v>
      </c>
      <c r="V4470" s="10" t="s">
        <v>318</v>
      </c>
      <c r="W4470" s="10" t="s">
        <v>27593</v>
      </c>
      <c r="X4470" s="13" t="str">
        <f>HYPERLINK("https://my.pitchbook.com?p=259836-67P","View People Online")</f>
        <v>View People Online</v>
      </c>
    </row>
    <row r="4471">
      <c r="A4471" s="6" t="s">
        <v>27798</v>
      </c>
      <c r="B4471" s="6" t="s">
        <v>27799</v>
      </c>
      <c r="C4471" s="6" t="s">
        <v>388</v>
      </c>
      <c r="D4471" s="6" t="s">
        <v>27800</v>
      </c>
      <c r="E4471" s="6" t="s">
        <v>27593</v>
      </c>
      <c r="F4471" s="6" t="s">
        <v>4192</v>
      </c>
      <c r="G4471" s="6" t="s">
        <v>27801</v>
      </c>
      <c r="H4471" s="7" t="s">
        <v>31</v>
      </c>
      <c r="I4471" s="7">
        <v>1.0</v>
      </c>
      <c r="J4471" s="7">
        <v>1.0</v>
      </c>
      <c r="K4471" s="7" t="s">
        <v>31</v>
      </c>
      <c r="L4471" s="8" t="s">
        <v>31</v>
      </c>
      <c r="M4471" s="6" t="s">
        <v>27802</v>
      </c>
      <c r="N4471" s="6" t="s">
        <v>155</v>
      </c>
      <c r="O4471" s="8" t="s">
        <v>156</v>
      </c>
      <c r="P4471" s="6" t="s">
        <v>27606</v>
      </c>
      <c r="Q4471" s="6" t="s">
        <v>31</v>
      </c>
      <c r="R4471" s="6" t="s">
        <v>64</v>
      </c>
      <c r="S4471" s="8" t="s">
        <v>2463</v>
      </c>
      <c r="T4471" s="6" t="s">
        <v>66</v>
      </c>
      <c r="U4471" s="8" t="s">
        <v>31</v>
      </c>
      <c r="V4471" s="6" t="s">
        <v>4192</v>
      </c>
      <c r="W4471" s="6" t="s">
        <v>27593</v>
      </c>
      <c r="X4471" s="9" t="str">
        <f>HYPERLINK("https://my.pitchbook.com?p=248794-57P","View People Online")</f>
        <v>View People Online</v>
      </c>
    </row>
    <row r="4472">
      <c r="A4472" s="2" t="s">
        <v>27803</v>
      </c>
      <c r="B4472" s="2" t="s">
        <v>27804</v>
      </c>
      <c r="C4472" s="2" t="s">
        <v>21005</v>
      </c>
      <c r="D4472" s="2" t="s">
        <v>27805</v>
      </c>
      <c r="E4472" s="2" t="s">
        <v>27593</v>
      </c>
      <c r="F4472" s="2" t="s">
        <v>221</v>
      </c>
      <c r="G4472" s="2" t="s">
        <v>27806</v>
      </c>
      <c r="H4472" s="3" t="s">
        <v>31</v>
      </c>
      <c r="I4472" s="3">
        <v>1.0</v>
      </c>
      <c r="J4472" s="3">
        <v>1.0</v>
      </c>
      <c r="K4472" s="3" t="s">
        <v>31</v>
      </c>
      <c r="L4472" s="4" t="s">
        <v>31</v>
      </c>
      <c r="M4472" s="2" t="s">
        <v>27807</v>
      </c>
      <c r="N4472" s="2" t="s">
        <v>27596</v>
      </c>
      <c r="O4472" s="4" t="s">
        <v>27597</v>
      </c>
      <c r="P4472" s="2" t="s">
        <v>27598</v>
      </c>
      <c r="Q4472" s="2" t="s">
        <v>27599</v>
      </c>
      <c r="R4472" s="2" t="s">
        <v>10017</v>
      </c>
      <c r="S4472" s="4" t="s">
        <v>27600</v>
      </c>
      <c r="T4472" s="2" t="s">
        <v>66</v>
      </c>
      <c r="U4472" s="4" t="s">
        <v>31</v>
      </c>
      <c r="V4472" s="2" t="s">
        <v>221</v>
      </c>
      <c r="W4472" s="2" t="s">
        <v>27593</v>
      </c>
      <c r="X4472" s="5" t="str">
        <f>HYPERLINK("https://my.pitchbook.com?p=377732-17P","View People Online")</f>
        <v>View People Online</v>
      </c>
    </row>
    <row r="4473">
      <c r="A4473" s="6" t="s">
        <v>27808</v>
      </c>
      <c r="B4473" s="6" t="s">
        <v>27809</v>
      </c>
      <c r="C4473" s="6" t="s">
        <v>395</v>
      </c>
      <c r="D4473" s="6" t="s">
        <v>1146</v>
      </c>
      <c r="E4473" s="6" t="s">
        <v>27593</v>
      </c>
      <c r="F4473" s="6" t="s">
        <v>29</v>
      </c>
      <c r="G4473" s="6" t="s">
        <v>27810</v>
      </c>
      <c r="H4473" s="7">
        <v>1.0</v>
      </c>
      <c r="I4473" s="7">
        <v>3.0</v>
      </c>
      <c r="J4473" s="7">
        <v>1.0</v>
      </c>
      <c r="K4473" s="7">
        <v>1.0</v>
      </c>
      <c r="L4473" s="8" t="s">
        <v>31</v>
      </c>
      <c r="M4473" s="6" t="s">
        <v>27811</v>
      </c>
      <c r="N4473" s="6" t="s">
        <v>155</v>
      </c>
      <c r="O4473" s="8" t="s">
        <v>156</v>
      </c>
      <c r="P4473" s="6" t="s">
        <v>27606</v>
      </c>
      <c r="Q4473" s="6" t="s">
        <v>31</v>
      </c>
      <c r="R4473" s="6" t="s">
        <v>64</v>
      </c>
      <c r="S4473" s="8" t="s">
        <v>2463</v>
      </c>
      <c r="T4473" s="6" t="s">
        <v>66</v>
      </c>
      <c r="U4473" s="8" t="s">
        <v>31</v>
      </c>
      <c r="V4473" s="6" t="s">
        <v>29</v>
      </c>
      <c r="W4473" s="6" t="s">
        <v>27593</v>
      </c>
      <c r="X4473" s="9" t="str">
        <f>HYPERLINK("https://my.pitchbook.com?p=41679-01P","View People Online")</f>
        <v>View People Online</v>
      </c>
    </row>
    <row r="4474">
      <c r="A4474" s="10" t="s">
        <v>27812</v>
      </c>
      <c r="B4474" s="10" t="s">
        <v>27813</v>
      </c>
      <c r="C4474" s="10" t="s">
        <v>1388</v>
      </c>
      <c r="D4474" s="10" t="s">
        <v>27814</v>
      </c>
      <c r="E4474" s="10" t="s">
        <v>27593</v>
      </c>
      <c r="F4474" s="10" t="s">
        <v>201</v>
      </c>
      <c r="G4474" s="10" t="s">
        <v>27815</v>
      </c>
      <c r="H4474" s="11" t="s">
        <v>31</v>
      </c>
      <c r="I4474" s="11">
        <v>1.0</v>
      </c>
      <c r="J4474" s="11">
        <v>1.0</v>
      </c>
      <c r="K4474" s="11" t="s">
        <v>31</v>
      </c>
      <c r="L4474" s="12" t="s">
        <v>31</v>
      </c>
      <c r="M4474" s="10" t="s">
        <v>27816</v>
      </c>
      <c r="N4474" s="10" t="s">
        <v>27596</v>
      </c>
      <c r="O4474" s="12" t="s">
        <v>27597</v>
      </c>
      <c r="P4474" s="10" t="s">
        <v>27598</v>
      </c>
      <c r="Q4474" s="10" t="s">
        <v>27599</v>
      </c>
      <c r="R4474" s="10" t="s">
        <v>10017</v>
      </c>
      <c r="S4474" s="12" t="s">
        <v>27600</v>
      </c>
      <c r="T4474" s="10" t="s">
        <v>66</v>
      </c>
      <c r="U4474" s="12" t="s">
        <v>31</v>
      </c>
      <c r="V4474" s="10" t="s">
        <v>201</v>
      </c>
      <c r="W4474" s="10" t="s">
        <v>27593</v>
      </c>
      <c r="X4474" s="13" t="str">
        <f>HYPERLINK("https://my.pitchbook.com?p=456610-06P","View People Online")</f>
        <v>View People Online</v>
      </c>
    </row>
    <row r="4475">
      <c r="A4475" s="14" t="s">
        <v>27817</v>
      </c>
      <c r="B4475" s="14" t="s">
        <v>27818</v>
      </c>
      <c r="C4475" s="14" t="s">
        <v>3716</v>
      </c>
      <c r="D4475" s="14" t="s">
        <v>27819</v>
      </c>
      <c r="E4475" s="14" t="s">
        <v>27593</v>
      </c>
      <c r="F4475" s="14" t="s">
        <v>189</v>
      </c>
      <c r="G4475" s="14" t="s">
        <v>27820</v>
      </c>
      <c r="H4475" s="15">
        <v>2.0</v>
      </c>
      <c r="I4475" s="15">
        <v>16.0</v>
      </c>
      <c r="J4475" s="15">
        <v>3.0</v>
      </c>
      <c r="K4475" s="15">
        <v>8.0</v>
      </c>
      <c r="L4475" s="16" t="s">
        <v>31</v>
      </c>
      <c r="M4475" s="14" t="s">
        <v>27821</v>
      </c>
      <c r="N4475" s="14" t="s">
        <v>1170</v>
      </c>
      <c r="O4475" s="16" t="s">
        <v>1171</v>
      </c>
      <c r="P4475" s="14" t="s">
        <v>12620</v>
      </c>
      <c r="Q4475" s="14" t="s">
        <v>18815</v>
      </c>
      <c r="R4475" s="14" t="s">
        <v>64</v>
      </c>
      <c r="S4475" s="16" t="s">
        <v>12621</v>
      </c>
      <c r="T4475" s="14" t="s">
        <v>66</v>
      </c>
      <c r="U4475" s="16" t="s">
        <v>31</v>
      </c>
      <c r="V4475" s="14" t="s">
        <v>196</v>
      </c>
      <c r="W4475" s="14" t="s">
        <v>27593</v>
      </c>
      <c r="X4475" s="17" t="str">
        <f>HYPERLINK("https://my.pitchbook.com?p=13127-86P","View People Online")</f>
        <v>View People Online</v>
      </c>
    </row>
    <row r="4476">
      <c r="A4476" s="2" t="s">
        <v>27822</v>
      </c>
      <c r="B4476" s="2" t="s">
        <v>27823</v>
      </c>
      <c r="C4476" s="2" t="s">
        <v>27824</v>
      </c>
      <c r="D4476" s="2" t="s">
        <v>27825</v>
      </c>
      <c r="E4476" s="2" t="s">
        <v>27593</v>
      </c>
      <c r="F4476" s="2" t="s">
        <v>221</v>
      </c>
      <c r="G4476" s="2" t="s">
        <v>27826</v>
      </c>
      <c r="H4476" s="3">
        <v>1.0</v>
      </c>
      <c r="I4476" s="3">
        <v>2.0</v>
      </c>
      <c r="J4476" s="3">
        <v>1.0</v>
      </c>
      <c r="K4476" s="3" t="s">
        <v>31</v>
      </c>
      <c r="L4476" s="4" t="s">
        <v>31</v>
      </c>
      <c r="M4476" s="2" t="s">
        <v>27827</v>
      </c>
      <c r="N4476" s="2" t="s">
        <v>27828</v>
      </c>
      <c r="O4476" s="4" t="s">
        <v>27829</v>
      </c>
      <c r="P4476" s="2" t="s">
        <v>31</v>
      </c>
      <c r="Q4476" s="2" t="s">
        <v>31</v>
      </c>
      <c r="R4476" s="2" t="s">
        <v>27830</v>
      </c>
      <c r="S4476" s="4" t="s">
        <v>27831</v>
      </c>
      <c r="T4476" s="2" t="s">
        <v>66</v>
      </c>
      <c r="U4476" s="4" t="s">
        <v>31</v>
      </c>
      <c r="V4476" s="2" t="s">
        <v>27832</v>
      </c>
      <c r="W4476" s="2" t="s">
        <v>27833</v>
      </c>
      <c r="X4476" s="5" t="str">
        <f>HYPERLINK("https://my.pitchbook.com?p=377736-67P","View People Online")</f>
        <v>View People Online</v>
      </c>
    </row>
    <row r="4477">
      <c r="A4477" s="6" t="s">
        <v>27834</v>
      </c>
      <c r="B4477" s="6" t="s">
        <v>27835</v>
      </c>
      <c r="C4477" s="6" t="s">
        <v>7372</v>
      </c>
      <c r="D4477" s="6" t="s">
        <v>27836</v>
      </c>
      <c r="E4477" s="6" t="s">
        <v>27593</v>
      </c>
      <c r="F4477" s="6" t="s">
        <v>29</v>
      </c>
      <c r="G4477" s="6" t="s">
        <v>27837</v>
      </c>
      <c r="H4477" s="7">
        <v>1.0</v>
      </c>
      <c r="I4477" s="7">
        <v>3.0</v>
      </c>
      <c r="J4477" s="7">
        <v>2.0</v>
      </c>
      <c r="K4477" s="7" t="s">
        <v>31</v>
      </c>
      <c r="L4477" s="8" t="s">
        <v>31</v>
      </c>
      <c r="M4477" s="6" t="s">
        <v>27838</v>
      </c>
      <c r="N4477" s="6" t="s">
        <v>1170</v>
      </c>
      <c r="O4477" s="8" t="s">
        <v>1171</v>
      </c>
      <c r="P4477" s="6" t="s">
        <v>12620</v>
      </c>
      <c r="Q4477" s="6" t="s">
        <v>18815</v>
      </c>
      <c r="R4477" s="6" t="s">
        <v>64</v>
      </c>
      <c r="S4477" s="8" t="s">
        <v>12621</v>
      </c>
      <c r="T4477" s="6" t="s">
        <v>66</v>
      </c>
      <c r="U4477" s="8" t="s">
        <v>31</v>
      </c>
      <c r="V4477" s="6" t="s">
        <v>29</v>
      </c>
      <c r="W4477" s="6" t="s">
        <v>27593</v>
      </c>
      <c r="X4477" s="9" t="str">
        <f>HYPERLINK("https://my.pitchbook.com?p=163770-85P","View People Online")</f>
        <v>View People Online</v>
      </c>
    </row>
    <row r="4478">
      <c r="A4478" s="10" t="s">
        <v>27839</v>
      </c>
      <c r="B4478" s="10" t="s">
        <v>27840</v>
      </c>
      <c r="C4478" s="10" t="s">
        <v>1697</v>
      </c>
      <c r="D4478" s="10" t="s">
        <v>27841</v>
      </c>
      <c r="E4478" s="10" t="s">
        <v>27593</v>
      </c>
      <c r="F4478" s="10" t="s">
        <v>29</v>
      </c>
      <c r="G4478" s="10" t="s">
        <v>27842</v>
      </c>
      <c r="H4478" s="11" t="s">
        <v>31</v>
      </c>
      <c r="I4478" s="11">
        <v>11.0</v>
      </c>
      <c r="J4478" s="11">
        <v>2.0</v>
      </c>
      <c r="K4478" s="11">
        <v>8.0</v>
      </c>
      <c r="L4478" s="12" t="s">
        <v>27843</v>
      </c>
      <c r="M4478" s="10" t="s">
        <v>27844</v>
      </c>
      <c r="N4478" s="10" t="s">
        <v>27596</v>
      </c>
      <c r="O4478" s="12" t="s">
        <v>27597</v>
      </c>
      <c r="P4478" s="10" t="s">
        <v>27598</v>
      </c>
      <c r="Q4478" s="10" t="s">
        <v>27599</v>
      </c>
      <c r="R4478" s="10" t="s">
        <v>10017</v>
      </c>
      <c r="S4478" s="12" t="s">
        <v>27600</v>
      </c>
      <c r="T4478" s="10" t="s">
        <v>66</v>
      </c>
      <c r="U4478" s="12" t="s">
        <v>31</v>
      </c>
      <c r="V4478" s="10" t="s">
        <v>29</v>
      </c>
      <c r="W4478" s="10" t="s">
        <v>27593</v>
      </c>
      <c r="X4478" s="13" t="str">
        <f>HYPERLINK("https://my.pitchbook.com?p=35986-60P","View People Online")</f>
        <v>View People Online</v>
      </c>
    </row>
    <row r="4479">
      <c r="A4479" s="14" t="s">
        <v>27845</v>
      </c>
      <c r="B4479" s="14" t="s">
        <v>27846</v>
      </c>
      <c r="C4479" s="14" t="s">
        <v>1697</v>
      </c>
      <c r="D4479" s="14" t="s">
        <v>25901</v>
      </c>
      <c r="E4479" s="14" t="s">
        <v>27593</v>
      </c>
      <c r="F4479" s="14" t="s">
        <v>221</v>
      </c>
      <c r="G4479" s="14" t="s">
        <v>27847</v>
      </c>
      <c r="H4479" s="15" t="s">
        <v>31</v>
      </c>
      <c r="I4479" s="15">
        <v>1.0</v>
      </c>
      <c r="J4479" s="15">
        <v>1.0</v>
      </c>
      <c r="K4479" s="15" t="s">
        <v>31</v>
      </c>
      <c r="L4479" s="16" t="s">
        <v>31</v>
      </c>
      <c r="M4479" s="14" t="s">
        <v>31</v>
      </c>
      <c r="N4479" s="14" t="s">
        <v>27596</v>
      </c>
      <c r="O4479" s="16" t="s">
        <v>27597</v>
      </c>
      <c r="P4479" s="14" t="s">
        <v>27598</v>
      </c>
      <c r="Q4479" s="14" t="s">
        <v>27599</v>
      </c>
      <c r="R4479" s="14" t="s">
        <v>10017</v>
      </c>
      <c r="S4479" s="16" t="s">
        <v>27600</v>
      </c>
      <c r="T4479" s="14" t="s">
        <v>66</v>
      </c>
      <c r="U4479" s="16" t="s">
        <v>31</v>
      </c>
      <c r="V4479" s="14" t="s">
        <v>221</v>
      </c>
      <c r="W4479" s="14" t="s">
        <v>27593</v>
      </c>
      <c r="X4479" s="17" t="str">
        <f>HYPERLINK("https://my.pitchbook.com?p=456611-23P","View People Online")</f>
        <v>View People Online</v>
      </c>
    </row>
    <row r="4480">
      <c r="A4480" s="2" t="s">
        <v>27848</v>
      </c>
      <c r="B4480" s="2" t="s">
        <v>27849</v>
      </c>
      <c r="C4480" s="2" t="s">
        <v>622</v>
      </c>
      <c r="D4480" s="2" t="s">
        <v>9822</v>
      </c>
      <c r="E4480" s="2" t="s">
        <v>27850</v>
      </c>
      <c r="F4480" s="2" t="s">
        <v>270</v>
      </c>
      <c r="G4480" s="2" t="s">
        <v>27851</v>
      </c>
      <c r="H4480" s="3">
        <v>1.0</v>
      </c>
      <c r="I4480" s="3">
        <v>2.0</v>
      </c>
      <c r="J4480" s="3">
        <v>1.0</v>
      </c>
      <c r="K4480" s="3" t="s">
        <v>31</v>
      </c>
      <c r="L4480" s="4" t="s">
        <v>27852</v>
      </c>
      <c r="M4480" s="2" t="s">
        <v>31</v>
      </c>
      <c r="N4480" s="2" t="s">
        <v>75</v>
      </c>
      <c r="O4480" s="4" t="s">
        <v>76</v>
      </c>
      <c r="P4480" s="2" t="s">
        <v>31</v>
      </c>
      <c r="Q4480" s="2" t="s">
        <v>31</v>
      </c>
      <c r="R4480" s="2" t="s">
        <v>75</v>
      </c>
      <c r="S4480" s="4" t="s">
        <v>2167</v>
      </c>
      <c r="T4480" s="2" t="s">
        <v>66</v>
      </c>
      <c r="U4480" s="4" t="s">
        <v>31</v>
      </c>
      <c r="V4480" s="2" t="s">
        <v>440</v>
      </c>
      <c r="W4480" s="2" t="s">
        <v>27850</v>
      </c>
      <c r="X4480" s="5" t="str">
        <f>HYPERLINK("https://my.pitchbook.com?p=378559-99P","View People Online")</f>
        <v>View People Online</v>
      </c>
    </row>
    <row r="4481">
      <c r="A4481" s="14" t="s">
        <v>27853</v>
      </c>
      <c r="B4481" s="14" t="s">
        <v>27854</v>
      </c>
      <c r="C4481" s="14" t="s">
        <v>21020</v>
      </c>
      <c r="D4481" s="14" t="s">
        <v>27855</v>
      </c>
      <c r="E4481" s="14" t="s">
        <v>27850</v>
      </c>
      <c r="F4481" s="14" t="s">
        <v>189</v>
      </c>
      <c r="G4481" s="14" t="s">
        <v>27856</v>
      </c>
      <c r="H4481" s="15" t="s">
        <v>31</v>
      </c>
      <c r="I4481" s="15">
        <v>10.0</v>
      </c>
      <c r="J4481" s="15">
        <v>1.0</v>
      </c>
      <c r="K4481" s="15">
        <v>8.0</v>
      </c>
      <c r="L4481" s="16" t="s">
        <v>27857</v>
      </c>
      <c r="M4481" s="14" t="s">
        <v>27858</v>
      </c>
      <c r="N4481" s="14" t="s">
        <v>75</v>
      </c>
      <c r="O4481" s="16" t="s">
        <v>76</v>
      </c>
      <c r="P4481" s="14" t="s">
        <v>31</v>
      </c>
      <c r="Q4481" s="14" t="s">
        <v>31</v>
      </c>
      <c r="R4481" s="14" t="s">
        <v>75</v>
      </c>
      <c r="S4481" s="16" t="s">
        <v>2167</v>
      </c>
      <c r="T4481" s="14" t="s">
        <v>66</v>
      </c>
      <c r="U4481" s="16" t="s">
        <v>31</v>
      </c>
      <c r="V4481" s="14" t="s">
        <v>189</v>
      </c>
      <c r="W4481" s="14" t="s">
        <v>27850</v>
      </c>
      <c r="X4481" s="17" t="str">
        <f>HYPERLINK("https://my.pitchbook.com?p=216451-90P","View People Online")</f>
        <v>View People Online</v>
      </c>
    </row>
    <row r="4482">
      <c r="A4482" s="2" t="s">
        <v>27859</v>
      </c>
      <c r="B4482" s="2" t="s">
        <v>15730</v>
      </c>
      <c r="C4482" s="2" t="s">
        <v>1449</v>
      </c>
      <c r="D4482" s="2" t="s">
        <v>666</v>
      </c>
      <c r="E4482" s="2" t="s">
        <v>27860</v>
      </c>
      <c r="F4482" s="2" t="s">
        <v>3823</v>
      </c>
      <c r="G4482" s="2" t="s">
        <v>27861</v>
      </c>
      <c r="H4482" s="3" t="s">
        <v>31</v>
      </c>
      <c r="I4482" s="3">
        <v>1.0</v>
      </c>
      <c r="J4482" s="3">
        <v>1.0</v>
      </c>
      <c r="K4482" s="3" t="s">
        <v>31</v>
      </c>
      <c r="L4482" s="4" t="s">
        <v>27862</v>
      </c>
      <c r="M4482" s="2" t="s">
        <v>27863</v>
      </c>
      <c r="N4482" s="2" t="s">
        <v>6651</v>
      </c>
      <c r="O4482" s="4" t="s">
        <v>6652</v>
      </c>
      <c r="P4482" s="2" t="s">
        <v>31</v>
      </c>
      <c r="Q4482" s="2" t="s">
        <v>31</v>
      </c>
      <c r="R4482" s="2" t="s">
        <v>64</v>
      </c>
      <c r="S4482" s="4" t="s">
        <v>31</v>
      </c>
      <c r="T4482" s="2" t="s">
        <v>66</v>
      </c>
      <c r="U4482" s="4" t="s">
        <v>27864</v>
      </c>
      <c r="V4482" s="2" t="s">
        <v>3823</v>
      </c>
      <c r="W4482" s="2" t="s">
        <v>27860</v>
      </c>
      <c r="X4482" s="5" t="str">
        <f>HYPERLINK("https://my.pitchbook.com?p=198543-97P","View People Online")</f>
        <v>View People Online</v>
      </c>
    </row>
    <row r="4483">
      <c r="A4483" s="6" t="s">
        <v>27865</v>
      </c>
      <c r="B4483" s="6" t="s">
        <v>27866</v>
      </c>
      <c r="C4483" s="6" t="s">
        <v>5985</v>
      </c>
      <c r="D4483" s="6" t="s">
        <v>13547</v>
      </c>
      <c r="E4483" s="6" t="s">
        <v>27860</v>
      </c>
      <c r="F4483" s="6" t="s">
        <v>270</v>
      </c>
      <c r="G4483" s="6" t="s">
        <v>27867</v>
      </c>
      <c r="H4483" s="7" t="s">
        <v>31</v>
      </c>
      <c r="I4483" s="7">
        <v>1.0</v>
      </c>
      <c r="J4483" s="7">
        <v>1.0</v>
      </c>
      <c r="K4483" s="7" t="s">
        <v>31</v>
      </c>
      <c r="L4483" s="8" t="s">
        <v>31</v>
      </c>
      <c r="M4483" s="6" t="s">
        <v>27868</v>
      </c>
      <c r="N4483" s="6" t="s">
        <v>6651</v>
      </c>
      <c r="O4483" s="8" t="s">
        <v>6652</v>
      </c>
      <c r="P4483" s="6" t="s">
        <v>31</v>
      </c>
      <c r="Q4483" s="6" t="s">
        <v>31</v>
      </c>
      <c r="R4483" s="6" t="s">
        <v>64</v>
      </c>
      <c r="S4483" s="8" t="s">
        <v>31</v>
      </c>
      <c r="T4483" s="6" t="s">
        <v>66</v>
      </c>
      <c r="U4483" s="8" t="s">
        <v>31</v>
      </c>
      <c r="V4483" s="6" t="s">
        <v>27869</v>
      </c>
      <c r="W4483" s="6" t="s">
        <v>27860</v>
      </c>
      <c r="X4483" s="9" t="str">
        <f>HYPERLINK("https://my.pitchbook.com?p=261782-92P","View People Online")</f>
        <v>View People Online</v>
      </c>
    </row>
    <row r="4484">
      <c r="A4484" s="10" t="s">
        <v>27870</v>
      </c>
      <c r="B4484" s="10" t="s">
        <v>27871</v>
      </c>
      <c r="C4484" s="10" t="s">
        <v>1489</v>
      </c>
      <c r="D4484" s="10" t="s">
        <v>27872</v>
      </c>
      <c r="E4484" s="10" t="s">
        <v>27860</v>
      </c>
      <c r="F4484" s="10" t="s">
        <v>318</v>
      </c>
      <c r="G4484" s="10" t="s">
        <v>27873</v>
      </c>
      <c r="H4484" s="11" t="s">
        <v>31</v>
      </c>
      <c r="I4484" s="11">
        <v>1.0</v>
      </c>
      <c r="J4484" s="11">
        <v>1.0</v>
      </c>
      <c r="K4484" s="11" t="s">
        <v>31</v>
      </c>
      <c r="L4484" s="12" t="s">
        <v>31</v>
      </c>
      <c r="M4484" s="10" t="s">
        <v>27874</v>
      </c>
      <c r="N4484" s="10" t="s">
        <v>6651</v>
      </c>
      <c r="O4484" s="12" t="s">
        <v>6652</v>
      </c>
      <c r="P4484" s="10" t="s">
        <v>31</v>
      </c>
      <c r="Q4484" s="10" t="s">
        <v>31</v>
      </c>
      <c r="R4484" s="10" t="s">
        <v>64</v>
      </c>
      <c r="S4484" s="12" t="s">
        <v>31</v>
      </c>
      <c r="T4484" s="10" t="s">
        <v>66</v>
      </c>
      <c r="U4484" s="12" t="s">
        <v>31</v>
      </c>
      <c r="V4484" s="10" t="s">
        <v>27875</v>
      </c>
      <c r="W4484" s="10" t="s">
        <v>27860</v>
      </c>
      <c r="X4484" s="13" t="str">
        <f>HYPERLINK("https://my.pitchbook.com?p=194325-13P","View People Online")</f>
        <v>View People Online</v>
      </c>
    </row>
    <row r="4485">
      <c r="A4485" s="6" t="s">
        <v>27876</v>
      </c>
      <c r="B4485" s="6" t="s">
        <v>27877</v>
      </c>
      <c r="C4485" s="6" t="s">
        <v>1502</v>
      </c>
      <c r="D4485" s="6" t="s">
        <v>27878</v>
      </c>
      <c r="E4485" s="6" t="s">
        <v>27860</v>
      </c>
      <c r="F4485" s="6" t="s">
        <v>78</v>
      </c>
      <c r="G4485" s="6" t="s">
        <v>27879</v>
      </c>
      <c r="H4485" s="7" t="s">
        <v>31</v>
      </c>
      <c r="I4485" s="7">
        <v>1.0</v>
      </c>
      <c r="J4485" s="7">
        <v>1.0</v>
      </c>
      <c r="K4485" s="7" t="s">
        <v>31</v>
      </c>
      <c r="L4485" s="8" t="s">
        <v>31</v>
      </c>
      <c r="M4485" s="6" t="s">
        <v>27880</v>
      </c>
      <c r="N4485" s="6" t="s">
        <v>6651</v>
      </c>
      <c r="O4485" s="8" t="s">
        <v>6652</v>
      </c>
      <c r="P4485" s="6" t="s">
        <v>31</v>
      </c>
      <c r="Q4485" s="6" t="s">
        <v>31</v>
      </c>
      <c r="R4485" s="6" t="s">
        <v>64</v>
      </c>
      <c r="S4485" s="8" t="s">
        <v>31</v>
      </c>
      <c r="T4485" s="6" t="s">
        <v>66</v>
      </c>
      <c r="U4485" s="8" t="s">
        <v>31</v>
      </c>
      <c r="V4485" s="6" t="s">
        <v>78</v>
      </c>
      <c r="W4485" s="6" t="s">
        <v>27860</v>
      </c>
      <c r="X4485" s="9" t="str">
        <f>HYPERLINK("https://my.pitchbook.com?p=80160-13P","View People Online")</f>
        <v>View People Online</v>
      </c>
    </row>
    <row r="4486">
      <c r="A4486" s="2" t="s">
        <v>27881</v>
      </c>
      <c r="B4486" s="2" t="s">
        <v>27882</v>
      </c>
      <c r="C4486" s="2" t="s">
        <v>2288</v>
      </c>
      <c r="D4486" s="2" t="s">
        <v>27883</v>
      </c>
      <c r="E4486" s="2" t="s">
        <v>27860</v>
      </c>
      <c r="F4486" s="2" t="s">
        <v>1167</v>
      </c>
      <c r="G4486" s="2" t="s">
        <v>27884</v>
      </c>
      <c r="H4486" s="3">
        <v>1.0</v>
      </c>
      <c r="I4486" s="3">
        <v>42.0</v>
      </c>
      <c r="J4486" s="3">
        <v>6.0</v>
      </c>
      <c r="K4486" s="3">
        <v>34.0</v>
      </c>
      <c r="L4486" s="4" t="s">
        <v>27885</v>
      </c>
      <c r="M4486" s="2" t="s">
        <v>27886</v>
      </c>
      <c r="N4486" s="2" t="s">
        <v>1292</v>
      </c>
      <c r="O4486" s="4" t="s">
        <v>1293</v>
      </c>
      <c r="P4486" s="2" t="s">
        <v>27887</v>
      </c>
      <c r="Q4486" s="2" t="s">
        <v>31</v>
      </c>
      <c r="R4486" s="2" t="s">
        <v>64</v>
      </c>
      <c r="S4486" s="4" t="s">
        <v>1296</v>
      </c>
      <c r="T4486" s="2" t="s">
        <v>66</v>
      </c>
      <c r="U4486" s="4" t="s">
        <v>31</v>
      </c>
      <c r="V4486" s="2" t="s">
        <v>27888</v>
      </c>
      <c r="W4486" s="2" t="s">
        <v>27889</v>
      </c>
      <c r="X4486" s="5" t="str">
        <f>HYPERLINK("https://my.pitchbook.com?p=22928-59P","View People Online")</f>
        <v>View People Online</v>
      </c>
    </row>
    <row r="4487">
      <c r="A4487" s="14" t="s">
        <v>27890</v>
      </c>
      <c r="B4487" s="14" t="s">
        <v>27891</v>
      </c>
      <c r="C4487" s="14" t="s">
        <v>19410</v>
      </c>
      <c r="D4487" s="14" t="s">
        <v>27892</v>
      </c>
      <c r="E4487" s="14" t="s">
        <v>27860</v>
      </c>
      <c r="F4487" s="14" t="s">
        <v>201</v>
      </c>
      <c r="G4487" s="14" t="s">
        <v>27893</v>
      </c>
      <c r="H4487" s="15" t="s">
        <v>31</v>
      </c>
      <c r="I4487" s="15">
        <v>1.0</v>
      </c>
      <c r="J4487" s="15">
        <v>1.0</v>
      </c>
      <c r="K4487" s="15" t="s">
        <v>31</v>
      </c>
      <c r="L4487" s="16" t="s">
        <v>31</v>
      </c>
      <c r="M4487" s="14" t="s">
        <v>31</v>
      </c>
      <c r="N4487" s="14" t="s">
        <v>6651</v>
      </c>
      <c r="O4487" s="16" t="s">
        <v>6652</v>
      </c>
      <c r="P4487" s="14" t="s">
        <v>31</v>
      </c>
      <c r="Q4487" s="14" t="s">
        <v>31</v>
      </c>
      <c r="R4487" s="14" t="s">
        <v>64</v>
      </c>
      <c r="S4487" s="16" t="s">
        <v>31</v>
      </c>
      <c r="T4487" s="14" t="s">
        <v>66</v>
      </c>
      <c r="U4487" s="16" t="s">
        <v>31</v>
      </c>
      <c r="V4487" s="14" t="s">
        <v>201</v>
      </c>
      <c r="W4487" s="14" t="s">
        <v>27860</v>
      </c>
      <c r="X4487" s="17" t="str">
        <f>HYPERLINK("https://my.pitchbook.com?p=276443-38P","View People Online")</f>
        <v>View People Online</v>
      </c>
    </row>
    <row r="4488">
      <c r="A4488" s="10" t="s">
        <v>27894</v>
      </c>
      <c r="B4488" s="10" t="s">
        <v>27895</v>
      </c>
      <c r="C4488" s="10" t="s">
        <v>27896</v>
      </c>
      <c r="D4488" s="10" t="s">
        <v>8016</v>
      </c>
      <c r="E4488" s="10" t="s">
        <v>27860</v>
      </c>
      <c r="F4488" s="10" t="s">
        <v>1167</v>
      </c>
      <c r="G4488" s="10" t="s">
        <v>27897</v>
      </c>
      <c r="H4488" s="11">
        <v>1.0</v>
      </c>
      <c r="I4488" s="11">
        <v>12.0</v>
      </c>
      <c r="J4488" s="11">
        <v>3.0</v>
      </c>
      <c r="K4488" s="11">
        <v>7.0</v>
      </c>
      <c r="L4488" s="12" t="s">
        <v>31</v>
      </c>
      <c r="M4488" s="10" t="s">
        <v>27898</v>
      </c>
      <c r="N4488" s="10" t="s">
        <v>6651</v>
      </c>
      <c r="O4488" s="12" t="s">
        <v>6652</v>
      </c>
      <c r="P4488" s="10" t="s">
        <v>31</v>
      </c>
      <c r="Q4488" s="10" t="s">
        <v>31</v>
      </c>
      <c r="R4488" s="10" t="s">
        <v>64</v>
      </c>
      <c r="S4488" s="12" t="s">
        <v>31</v>
      </c>
      <c r="T4488" s="10" t="s">
        <v>66</v>
      </c>
      <c r="U4488" s="12" t="s">
        <v>31</v>
      </c>
      <c r="V4488" s="10" t="s">
        <v>27899</v>
      </c>
      <c r="W4488" s="10" t="s">
        <v>27860</v>
      </c>
      <c r="X4488" s="13" t="str">
        <f>HYPERLINK("https://my.pitchbook.com?p=55131-94P","View People Online")</f>
        <v>View People Online</v>
      </c>
    </row>
    <row r="4489">
      <c r="A4489" s="6" t="s">
        <v>27900</v>
      </c>
      <c r="B4489" s="6" t="s">
        <v>27901</v>
      </c>
      <c r="C4489" s="6" t="s">
        <v>1388</v>
      </c>
      <c r="D4489" s="6" t="s">
        <v>27902</v>
      </c>
      <c r="E4489" s="6" t="s">
        <v>27860</v>
      </c>
      <c r="F4489" s="6" t="s">
        <v>548</v>
      </c>
      <c r="G4489" s="6" t="s">
        <v>27903</v>
      </c>
      <c r="H4489" s="7" t="s">
        <v>31</v>
      </c>
      <c r="I4489" s="7">
        <v>1.0</v>
      </c>
      <c r="J4489" s="7">
        <v>1.0</v>
      </c>
      <c r="K4489" s="7" t="s">
        <v>31</v>
      </c>
      <c r="L4489" s="8" t="s">
        <v>31</v>
      </c>
      <c r="M4489" s="6" t="s">
        <v>27904</v>
      </c>
      <c r="N4489" s="6" t="s">
        <v>6651</v>
      </c>
      <c r="O4489" s="8" t="s">
        <v>6652</v>
      </c>
      <c r="P4489" s="6" t="s">
        <v>31</v>
      </c>
      <c r="Q4489" s="6" t="s">
        <v>31</v>
      </c>
      <c r="R4489" s="6" t="s">
        <v>64</v>
      </c>
      <c r="S4489" s="8" t="s">
        <v>31</v>
      </c>
      <c r="T4489" s="6" t="s">
        <v>66</v>
      </c>
      <c r="U4489" s="8" t="s">
        <v>31</v>
      </c>
      <c r="V4489" s="6" t="s">
        <v>27905</v>
      </c>
      <c r="W4489" s="6" t="s">
        <v>27860</v>
      </c>
      <c r="X4489" s="9" t="str">
        <f>HYPERLINK("https://my.pitchbook.com?p=108751-60P","View People Online")</f>
        <v>View People Online</v>
      </c>
    </row>
    <row r="4490">
      <c r="A4490" s="10" t="s">
        <v>27906</v>
      </c>
      <c r="B4490" s="10" t="s">
        <v>27907</v>
      </c>
      <c r="C4490" s="10" t="s">
        <v>24096</v>
      </c>
      <c r="D4490" s="10" t="s">
        <v>831</v>
      </c>
      <c r="E4490" s="10" t="s">
        <v>27860</v>
      </c>
      <c r="F4490" s="10" t="s">
        <v>57</v>
      </c>
      <c r="G4490" s="10" t="s">
        <v>27908</v>
      </c>
      <c r="H4490" s="11">
        <v>2.0</v>
      </c>
      <c r="I4490" s="11">
        <v>28.0</v>
      </c>
      <c r="J4490" s="11">
        <v>1.0</v>
      </c>
      <c r="K4490" s="11">
        <v>24.0</v>
      </c>
      <c r="L4490" s="12" t="s">
        <v>31</v>
      </c>
      <c r="M4490" s="10" t="s">
        <v>27909</v>
      </c>
      <c r="N4490" s="10" t="s">
        <v>6651</v>
      </c>
      <c r="O4490" s="12" t="s">
        <v>6652</v>
      </c>
      <c r="P4490" s="10" t="s">
        <v>31</v>
      </c>
      <c r="Q4490" s="10" t="s">
        <v>31</v>
      </c>
      <c r="R4490" s="10" t="s">
        <v>64</v>
      </c>
      <c r="S4490" s="12" t="s">
        <v>31</v>
      </c>
      <c r="T4490" s="10" t="s">
        <v>66</v>
      </c>
      <c r="U4490" s="12" t="s">
        <v>31</v>
      </c>
      <c r="V4490" s="10" t="s">
        <v>27910</v>
      </c>
      <c r="W4490" s="10" t="s">
        <v>27860</v>
      </c>
      <c r="X4490" s="13" t="str">
        <f>HYPERLINK("https://my.pitchbook.com?p=174280-69P","View People Online")</f>
        <v>View People Online</v>
      </c>
    </row>
    <row r="4491">
      <c r="A4491" s="14" t="s">
        <v>27911</v>
      </c>
      <c r="B4491" s="14" t="s">
        <v>27912</v>
      </c>
      <c r="C4491" s="14" t="s">
        <v>27913</v>
      </c>
      <c r="D4491" s="14" t="s">
        <v>27914</v>
      </c>
      <c r="E4491" s="14" t="s">
        <v>27915</v>
      </c>
      <c r="F4491" s="14" t="s">
        <v>371</v>
      </c>
      <c r="G4491" s="14" t="s">
        <v>27916</v>
      </c>
      <c r="H4491" s="15" t="s">
        <v>31</v>
      </c>
      <c r="I4491" s="15">
        <v>2.0</v>
      </c>
      <c r="J4491" s="15">
        <v>1.0</v>
      </c>
      <c r="K4491" s="15">
        <v>1.0</v>
      </c>
      <c r="L4491" s="16" t="s">
        <v>27917</v>
      </c>
      <c r="M4491" s="14" t="s">
        <v>27918</v>
      </c>
      <c r="N4491" s="14" t="s">
        <v>1416</v>
      </c>
      <c r="O4491" s="16" t="s">
        <v>1417</v>
      </c>
      <c r="P4491" s="14" t="s">
        <v>27919</v>
      </c>
      <c r="Q4491" s="14" t="s">
        <v>6654</v>
      </c>
      <c r="R4491" s="14" t="s">
        <v>1420</v>
      </c>
      <c r="S4491" s="16" t="s">
        <v>6302</v>
      </c>
      <c r="T4491" s="14" t="s">
        <v>66</v>
      </c>
      <c r="U4491" s="16" t="s">
        <v>31</v>
      </c>
      <c r="V4491" s="14" t="s">
        <v>27920</v>
      </c>
      <c r="W4491" s="14" t="s">
        <v>27915</v>
      </c>
      <c r="X4491" s="17" t="str">
        <f>HYPERLINK("https://my.pitchbook.com?p=327769-75P","View People Online")</f>
        <v>View People Online</v>
      </c>
    </row>
    <row r="4492">
      <c r="A4492" s="2" t="s">
        <v>27921</v>
      </c>
      <c r="B4492" s="2" t="s">
        <v>27922</v>
      </c>
      <c r="C4492" s="2" t="s">
        <v>6326</v>
      </c>
      <c r="D4492" s="2" t="s">
        <v>27923</v>
      </c>
      <c r="E4492" s="2" t="s">
        <v>27915</v>
      </c>
      <c r="F4492" s="2" t="s">
        <v>583</v>
      </c>
      <c r="G4492" s="2" t="s">
        <v>27924</v>
      </c>
      <c r="H4492" s="3" t="s">
        <v>31</v>
      </c>
      <c r="I4492" s="3">
        <v>1.0</v>
      </c>
      <c r="J4492" s="3">
        <v>1.0</v>
      </c>
      <c r="K4492" s="3" t="s">
        <v>31</v>
      </c>
      <c r="L4492" s="4" t="s">
        <v>27917</v>
      </c>
      <c r="M4492" s="2" t="s">
        <v>27925</v>
      </c>
      <c r="N4492" s="2" t="s">
        <v>1416</v>
      </c>
      <c r="O4492" s="4" t="s">
        <v>1417</v>
      </c>
      <c r="P4492" s="2" t="s">
        <v>27919</v>
      </c>
      <c r="Q4492" s="2" t="s">
        <v>6654</v>
      </c>
      <c r="R4492" s="2" t="s">
        <v>1420</v>
      </c>
      <c r="S4492" s="4" t="s">
        <v>6302</v>
      </c>
      <c r="T4492" s="2" t="s">
        <v>66</v>
      </c>
      <c r="U4492" s="4" t="s">
        <v>31</v>
      </c>
      <c r="V4492" s="2" t="s">
        <v>27926</v>
      </c>
      <c r="W4492" s="2" t="s">
        <v>27915</v>
      </c>
      <c r="X4492" s="5" t="str">
        <f>HYPERLINK("https://my.pitchbook.com?p=206960-05P","View People Online")</f>
        <v>View People Online</v>
      </c>
    </row>
    <row r="4493">
      <c r="A4493" s="6" t="s">
        <v>27927</v>
      </c>
      <c r="B4493" s="6" t="s">
        <v>27928</v>
      </c>
      <c r="C4493" s="6" t="s">
        <v>26902</v>
      </c>
      <c r="D4493" s="6" t="s">
        <v>27929</v>
      </c>
      <c r="E4493" s="6" t="s">
        <v>27915</v>
      </c>
      <c r="F4493" s="6" t="s">
        <v>1801</v>
      </c>
      <c r="G4493" s="6" t="s">
        <v>27930</v>
      </c>
      <c r="H4493" s="7" t="s">
        <v>31</v>
      </c>
      <c r="I4493" s="7">
        <v>1.0</v>
      </c>
      <c r="J4493" s="7">
        <v>1.0</v>
      </c>
      <c r="K4493" s="7" t="s">
        <v>31</v>
      </c>
      <c r="L4493" s="8" t="s">
        <v>27917</v>
      </c>
      <c r="M4493" s="6" t="s">
        <v>27931</v>
      </c>
      <c r="N4493" s="6" t="s">
        <v>1416</v>
      </c>
      <c r="O4493" s="8" t="s">
        <v>1417</v>
      </c>
      <c r="P4493" s="6" t="s">
        <v>27919</v>
      </c>
      <c r="Q4493" s="6" t="s">
        <v>6654</v>
      </c>
      <c r="R4493" s="6" t="s">
        <v>1420</v>
      </c>
      <c r="S4493" s="8" t="s">
        <v>6302</v>
      </c>
      <c r="T4493" s="6" t="s">
        <v>66</v>
      </c>
      <c r="U4493" s="8" t="s">
        <v>31</v>
      </c>
      <c r="V4493" s="6" t="s">
        <v>27932</v>
      </c>
      <c r="W4493" s="6" t="s">
        <v>27915</v>
      </c>
      <c r="X4493" s="9" t="str">
        <f>HYPERLINK("https://my.pitchbook.com?p=128024-02P","View People Online")</f>
        <v>View People Online</v>
      </c>
    </row>
    <row r="4494">
      <c r="A4494" s="2" t="s">
        <v>27933</v>
      </c>
      <c r="B4494" s="2" t="s">
        <v>27934</v>
      </c>
      <c r="C4494" s="2" t="s">
        <v>1426</v>
      </c>
      <c r="D4494" s="2" t="s">
        <v>27935</v>
      </c>
      <c r="E4494" s="2" t="s">
        <v>27915</v>
      </c>
      <c r="F4494" s="2" t="s">
        <v>1801</v>
      </c>
      <c r="G4494" s="2" t="s">
        <v>27936</v>
      </c>
      <c r="H4494" s="3" t="s">
        <v>31</v>
      </c>
      <c r="I4494" s="3">
        <v>1.0</v>
      </c>
      <c r="J4494" s="3">
        <v>1.0</v>
      </c>
      <c r="K4494" s="3" t="s">
        <v>31</v>
      </c>
      <c r="L4494" s="4" t="s">
        <v>27917</v>
      </c>
      <c r="M4494" s="2" t="s">
        <v>27937</v>
      </c>
      <c r="N4494" s="2" t="s">
        <v>1416</v>
      </c>
      <c r="O4494" s="4" t="s">
        <v>1417</v>
      </c>
      <c r="P4494" s="2" t="s">
        <v>27919</v>
      </c>
      <c r="Q4494" s="2" t="s">
        <v>6654</v>
      </c>
      <c r="R4494" s="2" t="s">
        <v>1420</v>
      </c>
      <c r="S4494" s="4" t="s">
        <v>6302</v>
      </c>
      <c r="T4494" s="2" t="s">
        <v>66</v>
      </c>
      <c r="U4494" s="4" t="s">
        <v>31</v>
      </c>
      <c r="V4494" s="2" t="s">
        <v>27938</v>
      </c>
      <c r="W4494" s="2" t="s">
        <v>27915</v>
      </c>
      <c r="X4494" s="5" t="str">
        <f>HYPERLINK("https://my.pitchbook.com?p=80829-82P","View People Online")</f>
        <v>View People Online</v>
      </c>
    </row>
    <row r="4495">
      <c r="A4495" s="14" t="s">
        <v>27939</v>
      </c>
      <c r="B4495" s="14" t="s">
        <v>27940</v>
      </c>
      <c r="C4495" s="14" t="s">
        <v>285</v>
      </c>
      <c r="D4495" s="14" t="s">
        <v>14852</v>
      </c>
      <c r="E4495" s="14" t="s">
        <v>27915</v>
      </c>
      <c r="F4495" s="14" t="s">
        <v>371</v>
      </c>
      <c r="G4495" s="14" t="s">
        <v>27941</v>
      </c>
      <c r="H4495" s="15" t="s">
        <v>31</v>
      </c>
      <c r="I4495" s="15">
        <v>2.0</v>
      </c>
      <c r="J4495" s="15">
        <v>1.0</v>
      </c>
      <c r="K4495" s="15">
        <v>1.0</v>
      </c>
      <c r="L4495" s="16" t="s">
        <v>27917</v>
      </c>
      <c r="M4495" s="14" t="s">
        <v>27942</v>
      </c>
      <c r="N4495" s="14" t="s">
        <v>1416</v>
      </c>
      <c r="O4495" s="16" t="s">
        <v>1417</v>
      </c>
      <c r="P4495" s="14" t="s">
        <v>27919</v>
      </c>
      <c r="Q4495" s="14" t="s">
        <v>6654</v>
      </c>
      <c r="R4495" s="14" t="s">
        <v>1420</v>
      </c>
      <c r="S4495" s="16" t="s">
        <v>6302</v>
      </c>
      <c r="T4495" s="14" t="s">
        <v>66</v>
      </c>
      <c r="U4495" s="16" t="s">
        <v>31</v>
      </c>
      <c r="V4495" s="14" t="s">
        <v>27943</v>
      </c>
      <c r="W4495" s="14" t="s">
        <v>27915</v>
      </c>
      <c r="X4495" s="17" t="str">
        <f>HYPERLINK("https://my.pitchbook.com?p=392116-69P","View People Online")</f>
        <v>View People Online</v>
      </c>
    </row>
    <row r="4496">
      <c r="A4496" s="2" t="s">
        <v>27944</v>
      </c>
      <c r="B4496" s="2" t="s">
        <v>27945</v>
      </c>
      <c r="C4496" s="2" t="s">
        <v>4248</v>
      </c>
      <c r="D4496" s="2" t="s">
        <v>27946</v>
      </c>
      <c r="E4496" s="2" t="s">
        <v>27915</v>
      </c>
      <c r="F4496" s="2" t="s">
        <v>371</v>
      </c>
      <c r="G4496" s="2" t="s">
        <v>27947</v>
      </c>
      <c r="H4496" s="3" t="s">
        <v>31</v>
      </c>
      <c r="I4496" s="3">
        <v>2.0</v>
      </c>
      <c r="J4496" s="3">
        <v>1.0</v>
      </c>
      <c r="K4496" s="3">
        <v>1.0</v>
      </c>
      <c r="L4496" s="4" t="s">
        <v>27917</v>
      </c>
      <c r="M4496" s="2" t="s">
        <v>27948</v>
      </c>
      <c r="N4496" s="2" t="s">
        <v>1416</v>
      </c>
      <c r="O4496" s="4" t="s">
        <v>1417</v>
      </c>
      <c r="P4496" s="2" t="s">
        <v>27919</v>
      </c>
      <c r="Q4496" s="2" t="s">
        <v>6654</v>
      </c>
      <c r="R4496" s="2" t="s">
        <v>1420</v>
      </c>
      <c r="S4496" s="4" t="s">
        <v>6302</v>
      </c>
      <c r="T4496" s="2" t="s">
        <v>66</v>
      </c>
      <c r="U4496" s="4" t="s">
        <v>31</v>
      </c>
      <c r="V4496" s="2" t="s">
        <v>27949</v>
      </c>
      <c r="W4496" s="2" t="s">
        <v>27915</v>
      </c>
      <c r="X4496" s="5" t="str">
        <f>HYPERLINK("https://my.pitchbook.com?p=226360-45P","View People Online")</f>
        <v>View People Online</v>
      </c>
    </row>
    <row r="4497">
      <c r="A4497" s="6" t="s">
        <v>27950</v>
      </c>
      <c r="B4497" s="6" t="s">
        <v>27951</v>
      </c>
      <c r="C4497" s="6" t="s">
        <v>25642</v>
      </c>
      <c r="D4497" s="6" t="s">
        <v>27952</v>
      </c>
      <c r="E4497" s="6" t="s">
        <v>27915</v>
      </c>
      <c r="F4497" s="6" t="s">
        <v>10997</v>
      </c>
      <c r="G4497" s="6" t="s">
        <v>27953</v>
      </c>
      <c r="H4497" s="7">
        <v>2.0</v>
      </c>
      <c r="I4497" s="7">
        <v>3.0</v>
      </c>
      <c r="J4497" s="7">
        <v>2.0</v>
      </c>
      <c r="K4497" s="7">
        <v>1.0</v>
      </c>
      <c r="L4497" s="8" t="s">
        <v>27917</v>
      </c>
      <c r="M4497" s="6" t="s">
        <v>31</v>
      </c>
      <c r="N4497" s="6" t="s">
        <v>1416</v>
      </c>
      <c r="O4497" s="8" t="s">
        <v>1417</v>
      </c>
      <c r="P4497" s="6" t="s">
        <v>27919</v>
      </c>
      <c r="Q4497" s="6" t="s">
        <v>6654</v>
      </c>
      <c r="R4497" s="6" t="s">
        <v>1420</v>
      </c>
      <c r="S4497" s="8" t="s">
        <v>6302</v>
      </c>
      <c r="T4497" s="6" t="s">
        <v>66</v>
      </c>
      <c r="U4497" s="8" t="s">
        <v>31</v>
      </c>
      <c r="V4497" s="6" t="s">
        <v>27954</v>
      </c>
      <c r="W4497" s="6" t="s">
        <v>27915</v>
      </c>
      <c r="X4497" s="9" t="str">
        <f>HYPERLINK("https://my.pitchbook.com?p=77996-80P","View People Online")</f>
        <v>View People Online</v>
      </c>
    </row>
    <row r="4498">
      <c r="A4498" s="2" t="s">
        <v>27955</v>
      </c>
      <c r="B4498" s="2" t="s">
        <v>27956</v>
      </c>
      <c r="C4498" s="2" t="s">
        <v>24674</v>
      </c>
      <c r="D4498" s="2" t="s">
        <v>27957</v>
      </c>
      <c r="E4498" s="2" t="s">
        <v>27915</v>
      </c>
      <c r="F4498" s="2" t="s">
        <v>667</v>
      </c>
      <c r="G4498" s="2" t="s">
        <v>27958</v>
      </c>
      <c r="H4498" s="3" t="s">
        <v>31</v>
      </c>
      <c r="I4498" s="3">
        <v>1.0</v>
      </c>
      <c r="J4498" s="3">
        <v>1.0</v>
      </c>
      <c r="K4498" s="3" t="s">
        <v>31</v>
      </c>
      <c r="L4498" s="4" t="s">
        <v>27917</v>
      </c>
      <c r="M4498" s="2" t="s">
        <v>27959</v>
      </c>
      <c r="N4498" s="2" t="s">
        <v>1416</v>
      </c>
      <c r="O4498" s="4" t="s">
        <v>1417</v>
      </c>
      <c r="P4498" s="2" t="s">
        <v>27919</v>
      </c>
      <c r="Q4498" s="2" t="s">
        <v>6654</v>
      </c>
      <c r="R4498" s="2" t="s">
        <v>1420</v>
      </c>
      <c r="S4498" s="4" t="s">
        <v>6302</v>
      </c>
      <c r="T4498" s="2" t="s">
        <v>66</v>
      </c>
      <c r="U4498" s="4" t="s">
        <v>31</v>
      </c>
      <c r="V4498" s="2" t="s">
        <v>27960</v>
      </c>
      <c r="W4498" s="2" t="s">
        <v>27915</v>
      </c>
      <c r="X4498" s="5" t="str">
        <f>HYPERLINK("https://my.pitchbook.com?p=367538-23P","View People Online")</f>
        <v>View People Online</v>
      </c>
    </row>
    <row r="4499">
      <c r="A4499" s="14" t="s">
        <v>27961</v>
      </c>
      <c r="B4499" s="14" t="s">
        <v>27962</v>
      </c>
      <c r="C4499" s="14" t="s">
        <v>27963</v>
      </c>
      <c r="D4499" s="14" t="s">
        <v>27964</v>
      </c>
      <c r="E4499" s="14" t="s">
        <v>27915</v>
      </c>
      <c r="F4499" s="14" t="s">
        <v>5031</v>
      </c>
      <c r="G4499" s="14" t="s">
        <v>27965</v>
      </c>
      <c r="H4499" s="15" t="s">
        <v>31</v>
      </c>
      <c r="I4499" s="15">
        <v>3.0</v>
      </c>
      <c r="J4499" s="15">
        <v>3.0</v>
      </c>
      <c r="K4499" s="15" t="s">
        <v>31</v>
      </c>
      <c r="L4499" s="16" t="s">
        <v>27917</v>
      </c>
      <c r="M4499" s="14" t="s">
        <v>27966</v>
      </c>
      <c r="N4499" s="14" t="s">
        <v>1416</v>
      </c>
      <c r="O4499" s="16" t="s">
        <v>1417</v>
      </c>
      <c r="P4499" s="14" t="s">
        <v>27919</v>
      </c>
      <c r="Q4499" s="14" t="s">
        <v>6654</v>
      </c>
      <c r="R4499" s="14" t="s">
        <v>1420</v>
      </c>
      <c r="S4499" s="16" t="s">
        <v>6302</v>
      </c>
      <c r="T4499" s="14" t="s">
        <v>66</v>
      </c>
      <c r="U4499" s="16" t="s">
        <v>31</v>
      </c>
      <c r="V4499" s="14" t="s">
        <v>5031</v>
      </c>
      <c r="W4499" s="14" t="s">
        <v>27915</v>
      </c>
      <c r="X4499" s="17" t="str">
        <f>HYPERLINK("https://my.pitchbook.com?p=274909-87P","View People Online")</f>
        <v>View People Online</v>
      </c>
    </row>
    <row r="4500">
      <c r="A4500" s="10" t="s">
        <v>27967</v>
      </c>
      <c r="B4500" s="10" t="s">
        <v>27968</v>
      </c>
      <c r="C4500" s="10" t="s">
        <v>1323</v>
      </c>
      <c r="D4500" s="10" t="s">
        <v>27969</v>
      </c>
      <c r="E4500" s="10" t="s">
        <v>27915</v>
      </c>
      <c r="F4500" s="10" t="s">
        <v>371</v>
      </c>
      <c r="G4500" s="10" t="s">
        <v>27970</v>
      </c>
      <c r="H4500" s="11" t="s">
        <v>31</v>
      </c>
      <c r="I4500" s="11">
        <v>1.0</v>
      </c>
      <c r="J4500" s="11">
        <v>1.0</v>
      </c>
      <c r="K4500" s="11" t="s">
        <v>31</v>
      </c>
      <c r="L4500" s="12" t="s">
        <v>27917</v>
      </c>
      <c r="M4500" s="10" t="s">
        <v>27971</v>
      </c>
      <c r="N4500" s="10" t="s">
        <v>1416</v>
      </c>
      <c r="O4500" s="12" t="s">
        <v>1417</v>
      </c>
      <c r="P4500" s="10" t="s">
        <v>27919</v>
      </c>
      <c r="Q4500" s="10" t="s">
        <v>6654</v>
      </c>
      <c r="R4500" s="10" t="s">
        <v>1420</v>
      </c>
      <c r="S4500" s="12" t="s">
        <v>6302</v>
      </c>
      <c r="T4500" s="10" t="s">
        <v>66</v>
      </c>
      <c r="U4500" s="12" t="s">
        <v>31</v>
      </c>
      <c r="V4500" s="10" t="s">
        <v>27972</v>
      </c>
      <c r="W4500" s="10" t="s">
        <v>27915</v>
      </c>
      <c r="X4500" s="13" t="str">
        <f>HYPERLINK("https://my.pitchbook.com?p=388700-83P","View People Online")</f>
        <v>View People Online</v>
      </c>
    </row>
    <row r="4501">
      <c r="A4501" s="6" t="s">
        <v>27973</v>
      </c>
      <c r="B4501" s="6" t="s">
        <v>27974</v>
      </c>
      <c r="C4501" s="6" t="s">
        <v>2895</v>
      </c>
      <c r="D4501" s="6" t="s">
        <v>27975</v>
      </c>
      <c r="E4501" s="6" t="s">
        <v>27915</v>
      </c>
      <c r="F4501" s="6" t="s">
        <v>270</v>
      </c>
      <c r="G4501" s="6" t="s">
        <v>27976</v>
      </c>
      <c r="H4501" s="7" t="s">
        <v>31</v>
      </c>
      <c r="I4501" s="7">
        <v>1.0</v>
      </c>
      <c r="J4501" s="7">
        <v>1.0</v>
      </c>
      <c r="K4501" s="7" t="s">
        <v>31</v>
      </c>
      <c r="L4501" s="8" t="s">
        <v>27917</v>
      </c>
      <c r="M4501" s="6" t="s">
        <v>27977</v>
      </c>
      <c r="N4501" s="6" t="s">
        <v>1416</v>
      </c>
      <c r="O4501" s="8" t="s">
        <v>1417</v>
      </c>
      <c r="P4501" s="6" t="s">
        <v>27919</v>
      </c>
      <c r="Q4501" s="6" t="s">
        <v>6654</v>
      </c>
      <c r="R4501" s="6" t="s">
        <v>1420</v>
      </c>
      <c r="S4501" s="8" t="s">
        <v>6302</v>
      </c>
      <c r="T4501" s="6" t="s">
        <v>66</v>
      </c>
      <c r="U4501" s="8" t="s">
        <v>31</v>
      </c>
      <c r="V4501" s="6" t="s">
        <v>27978</v>
      </c>
      <c r="W4501" s="6" t="s">
        <v>27915</v>
      </c>
      <c r="X4501" s="9" t="str">
        <f>HYPERLINK("https://my.pitchbook.com?p=128026-90P","View People Online")</f>
        <v>View People Online</v>
      </c>
    </row>
    <row r="4502">
      <c r="A4502" s="10" t="s">
        <v>27979</v>
      </c>
      <c r="B4502" s="10" t="s">
        <v>27980</v>
      </c>
      <c r="C4502" s="10" t="s">
        <v>27981</v>
      </c>
      <c r="D4502" s="10" t="s">
        <v>27982</v>
      </c>
      <c r="E4502" s="10" t="s">
        <v>27915</v>
      </c>
      <c r="F4502" s="10" t="s">
        <v>27983</v>
      </c>
      <c r="G4502" s="10" t="s">
        <v>27984</v>
      </c>
      <c r="H4502" s="11" t="s">
        <v>31</v>
      </c>
      <c r="I4502" s="11">
        <v>1.0</v>
      </c>
      <c r="J4502" s="11">
        <v>1.0</v>
      </c>
      <c r="K4502" s="11" t="s">
        <v>31</v>
      </c>
      <c r="L4502" s="12" t="s">
        <v>27917</v>
      </c>
      <c r="M4502" s="10" t="s">
        <v>27985</v>
      </c>
      <c r="N4502" s="10" t="s">
        <v>1416</v>
      </c>
      <c r="O4502" s="12" t="s">
        <v>1417</v>
      </c>
      <c r="P4502" s="10" t="s">
        <v>27919</v>
      </c>
      <c r="Q4502" s="10" t="s">
        <v>6654</v>
      </c>
      <c r="R4502" s="10" t="s">
        <v>1420</v>
      </c>
      <c r="S4502" s="12" t="s">
        <v>6302</v>
      </c>
      <c r="T4502" s="10" t="s">
        <v>66</v>
      </c>
      <c r="U4502" s="12" t="s">
        <v>31</v>
      </c>
      <c r="V4502" s="10" t="s">
        <v>27986</v>
      </c>
      <c r="W4502" s="10" t="s">
        <v>27915</v>
      </c>
      <c r="X4502" s="13" t="str">
        <f>HYPERLINK("https://my.pitchbook.com?p=297567-91P","View People Online")</f>
        <v>View People Online</v>
      </c>
    </row>
    <row r="4503">
      <c r="A4503" s="14" t="s">
        <v>27987</v>
      </c>
      <c r="B4503" s="14" t="s">
        <v>27988</v>
      </c>
      <c r="C4503" s="14" t="s">
        <v>27989</v>
      </c>
      <c r="D4503" s="14" t="s">
        <v>126</v>
      </c>
      <c r="E4503" s="14" t="s">
        <v>27915</v>
      </c>
      <c r="F4503" s="14" t="s">
        <v>270</v>
      </c>
      <c r="G4503" s="14" t="s">
        <v>27990</v>
      </c>
      <c r="H4503" s="15" t="s">
        <v>31</v>
      </c>
      <c r="I4503" s="15">
        <v>1.0</v>
      </c>
      <c r="J4503" s="15">
        <v>1.0</v>
      </c>
      <c r="K4503" s="15" t="s">
        <v>31</v>
      </c>
      <c r="L4503" s="16" t="s">
        <v>27917</v>
      </c>
      <c r="M4503" s="14" t="s">
        <v>27991</v>
      </c>
      <c r="N4503" s="14" t="s">
        <v>1416</v>
      </c>
      <c r="O4503" s="16" t="s">
        <v>1417</v>
      </c>
      <c r="P4503" s="14" t="s">
        <v>27919</v>
      </c>
      <c r="Q4503" s="14" t="s">
        <v>6654</v>
      </c>
      <c r="R4503" s="14" t="s">
        <v>1420</v>
      </c>
      <c r="S4503" s="16" t="s">
        <v>6302</v>
      </c>
      <c r="T4503" s="14" t="s">
        <v>66</v>
      </c>
      <c r="U4503" s="16" t="s">
        <v>31</v>
      </c>
      <c r="V4503" s="14" t="s">
        <v>27992</v>
      </c>
      <c r="W4503" s="14" t="s">
        <v>27915</v>
      </c>
      <c r="X4503" s="17" t="str">
        <f>HYPERLINK("https://my.pitchbook.com?p=128040-58P","View People Online")</f>
        <v>View People Online</v>
      </c>
    </row>
    <row r="4504">
      <c r="A4504" s="10" t="s">
        <v>27993</v>
      </c>
      <c r="B4504" s="10" t="s">
        <v>27994</v>
      </c>
      <c r="C4504" s="10" t="s">
        <v>3529</v>
      </c>
      <c r="D4504" s="10" t="s">
        <v>1147</v>
      </c>
      <c r="E4504" s="10" t="s">
        <v>27915</v>
      </c>
      <c r="F4504" s="10" t="s">
        <v>1801</v>
      </c>
      <c r="G4504" s="10" t="s">
        <v>27995</v>
      </c>
      <c r="H4504" s="11" t="s">
        <v>31</v>
      </c>
      <c r="I4504" s="11">
        <v>1.0</v>
      </c>
      <c r="J4504" s="11">
        <v>1.0</v>
      </c>
      <c r="K4504" s="11" t="s">
        <v>31</v>
      </c>
      <c r="L4504" s="12" t="s">
        <v>27917</v>
      </c>
      <c r="M4504" s="10" t="s">
        <v>27996</v>
      </c>
      <c r="N4504" s="10" t="s">
        <v>1416</v>
      </c>
      <c r="O4504" s="12" t="s">
        <v>1417</v>
      </c>
      <c r="P4504" s="10" t="s">
        <v>27919</v>
      </c>
      <c r="Q4504" s="10" t="s">
        <v>6654</v>
      </c>
      <c r="R4504" s="10" t="s">
        <v>1420</v>
      </c>
      <c r="S4504" s="12" t="s">
        <v>6302</v>
      </c>
      <c r="T4504" s="10" t="s">
        <v>66</v>
      </c>
      <c r="U4504" s="12" t="s">
        <v>31</v>
      </c>
      <c r="V4504" s="10" t="s">
        <v>27997</v>
      </c>
      <c r="W4504" s="10" t="s">
        <v>27915</v>
      </c>
      <c r="X4504" s="13" t="str">
        <f>HYPERLINK("https://my.pitchbook.com?p=128033-38P","View People Online")</f>
        <v>View People Online</v>
      </c>
    </row>
    <row r="4505">
      <c r="A4505" s="6" t="s">
        <v>27998</v>
      </c>
      <c r="B4505" s="6" t="s">
        <v>27999</v>
      </c>
      <c r="C4505" s="6" t="s">
        <v>3670</v>
      </c>
      <c r="D4505" s="6" t="s">
        <v>28000</v>
      </c>
      <c r="E4505" s="6" t="s">
        <v>27915</v>
      </c>
      <c r="F4505" s="6" t="s">
        <v>371</v>
      </c>
      <c r="G4505" s="6" t="s">
        <v>28001</v>
      </c>
      <c r="H4505" s="7" t="s">
        <v>31</v>
      </c>
      <c r="I4505" s="7">
        <v>3.0</v>
      </c>
      <c r="J4505" s="7">
        <v>2.0</v>
      </c>
      <c r="K4505" s="7">
        <v>1.0</v>
      </c>
      <c r="L4505" s="8" t="s">
        <v>27917</v>
      </c>
      <c r="M4505" s="6" t="s">
        <v>28002</v>
      </c>
      <c r="N4505" s="6" t="s">
        <v>1416</v>
      </c>
      <c r="O4505" s="8" t="s">
        <v>1417</v>
      </c>
      <c r="P4505" s="6" t="s">
        <v>27919</v>
      </c>
      <c r="Q4505" s="6" t="s">
        <v>6654</v>
      </c>
      <c r="R4505" s="6" t="s">
        <v>1420</v>
      </c>
      <c r="S4505" s="8" t="s">
        <v>6302</v>
      </c>
      <c r="T4505" s="6" t="s">
        <v>66</v>
      </c>
      <c r="U4505" s="8" t="s">
        <v>31</v>
      </c>
      <c r="V4505" s="6" t="s">
        <v>28003</v>
      </c>
      <c r="W4505" s="6" t="s">
        <v>27915</v>
      </c>
      <c r="X4505" s="9" t="str">
        <f>HYPERLINK("https://my.pitchbook.com?p=286693-84P","View People Online")</f>
        <v>View People Online</v>
      </c>
    </row>
    <row r="4506">
      <c r="A4506" s="2" t="s">
        <v>28004</v>
      </c>
      <c r="B4506" s="2" t="s">
        <v>28005</v>
      </c>
      <c r="C4506" s="2" t="s">
        <v>3670</v>
      </c>
      <c r="D4506" s="2" t="s">
        <v>15536</v>
      </c>
      <c r="E4506" s="2" t="s">
        <v>27915</v>
      </c>
      <c r="F4506" s="2" t="s">
        <v>81</v>
      </c>
      <c r="G4506" s="2" t="s">
        <v>28006</v>
      </c>
      <c r="H4506" s="3" t="s">
        <v>31</v>
      </c>
      <c r="I4506" s="3">
        <v>1.0</v>
      </c>
      <c r="J4506" s="3" t="s">
        <v>31</v>
      </c>
      <c r="K4506" s="3" t="s">
        <v>31</v>
      </c>
      <c r="L4506" s="4" t="s">
        <v>27917</v>
      </c>
      <c r="M4506" s="2" t="s">
        <v>28007</v>
      </c>
      <c r="N4506" s="2" t="s">
        <v>1416</v>
      </c>
      <c r="O4506" s="4" t="s">
        <v>1417</v>
      </c>
      <c r="P4506" s="2" t="s">
        <v>27919</v>
      </c>
      <c r="Q4506" s="2" t="s">
        <v>6654</v>
      </c>
      <c r="R4506" s="2" t="s">
        <v>1420</v>
      </c>
      <c r="S4506" s="4" t="s">
        <v>6302</v>
      </c>
      <c r="T4506" s="2" t="s">
        <v>66</v>
      </c>
      <c r="U4506" s="4" t="s">
        <v>31</v>
      </c>
      <c r="V4506" s="2" t="s">
        <v>28008</v>
      </c>
      <c r="W4506" s="2" t="s">
        <v>27915</v>
      </c>
      <c r="X4506" s="5" t="str">
        <f>HYPERLINK("https://my.pitchbook.com?p=156828-88P","View People Online")</f>
        <v>View People Online</v>
      </c>
    </row>
    <row r="4507">
      <c r="A4507" s="14" t="s">
        <v>28009</v>
      </c>
      <c r="B4507" s="14" t="s">
        <v>28010</v>
      </c>
      <c r="C4507" s="14" t="s">
        <v>5071</v>
      </c>
      <c r="D4507" s="14" t="s">
        <v>28011</v>
      </c>
      <c r="E4507" s="14" t="s">
        <v>27915</v>
      </c>
      <c r="F4507" s="14" t="s">
        <v>1801</v>
      </c>
      <c r="G4507" s="14" t="s">
        <v>28012</v>
      </c>
      <c r="H4507" s="15" t="s">
        <v>31</v>
      </c>
      <c r="I4507" s="15">
        <v>1.0</v>
      </c>
      <c r="J4507" s="15">
        <v>1.0</v>
      </c>
      <c r="K4507" s="15" t="s">
        <v>31</v>
      </c>
      <c r="L4507" s="16" t="s">
        <v>27917</v>
      </c>
      <c r="M4507" s="14" t="s">
        <v>28013</v>
      </c>
      <c r="N4507" s="14" t="s">
        <v>1416</v>
      </c>
      <c r="O4507" s="16" t="s">
        <v>1417</v>
      </c>
      <c r="P4507" s="14" t="s">
        <v>27919</v>
      </c>
      <c r="Q4507" s="14" t="s">
        <v>6654</v>
      </c>
      <c r="R4507" s="14" t="s">
        <v>1420</v>
      </c>
      <c r="S4507" s="16" t="s">
        <v>6302</v>
      </c>
      <c r="T4507" s="14" t="s">
        <v>66</v>
      </c>
      <c r="U4507" s="16" t="s">
        <v>31</v>
      </c>
      <c r="V4507" s="14" t="s">
        <v>28014</v>
      </c>
      <c r="W4507" s="14" t="s">
        <v>27915</v>
      </c>
      <c r="X4507" s="17" t="str">
        <f>HYPERLINK("https://my.pitchbook.com?p=156827-26P","View People Online")</f>
        <v>View People Online</v>
      </c>
    </row>
    <row r="4508">
      <c r="A4508" s="10" t="s">
        <v>28015</v>
      </c>
      <c r="B4508" s="10" t="s">
        <v>28016</v>
      </c>
      <c r="C4508" s="10" t="s">
        <v>6414</v>
      </c>
      <c r="D4508" s="10" t="s">
        <v>28017</v>
      </c>
      <c r="E4508" s="10" t="s">
        <v>27915</v>
      </c>
      <c r="F4508" s="10" t="s">
        <v>1801</v>
      </c>
      <c r="G4508" s="10" t="s">
        <v>28018</v>
      </c>
      <c r="H4508" s="11" t="s">
        <v>31</v>
      </c>
      <c r="I4508" s="11">
        <v>1.0</v>
      </c>
      <c r="J4508" s="11">
        <v>1.0</v>
      </c>
      <c r="K4508" s="11" t="s">
        <v>31</v>
      </c>
      <c r="L4508" s="12" t="s">
        <v>27917</v>
      </c>
      <c r="M4508" s="10" t="s">
        <v>28019</v>
      </c>
      <c r="N4508" s="10" t="s">
        <v>1416</v>
      </c>
      <c r="O4508" s="12" t="s">
        <v>1417</v>
      </c>
      <c r="P4508" s="10" t="s">
        <v>27919</v>
      </c>
      <c r="Q4508" s="10" t="s">
        <v>6654</v>
      </c>
      <c r="R4508" s="10" t="s">
        <v>1420</v>
      </c>
      <c r="S4508" s="12" t="s">
        <v>6302</v>
      </c>
      <c r="T4508" s="10" t="s">
        <v>66</v>
      </c>
      <c r="U4508" s="12" t="s">
        <v>31</v>
      </c>
      <c r="V4508" s="10" t="s">
        <v>28020</v>
      </c>
      <c r="W4508" s="10" t="s">
        <v>27915</v>
      </c>
      <c r="X4508" s="13" t="str">
        <f>HYPERLINK("https://my.pitchbook.com?p=128023-12P","View People Online")</f>
        <v>View People Online</v>
      </c>
    </row>
    <row r="4509">
      <c r="A4509" s="14" t="s">
        <v>28021</v>
      </c>
      <c r="B4509" s="14" t="s">
        <v>28022</v>
      </c>
      <c r="C4509" s="14" t="s">
        <v>1343</v>
      </c>
      <c r="D4509" s="14" t="s">
        <v>28023</v>
      </c>
      <c r="E4509" s="14" t="s">
        <v>27915</v>
      </c>
      <c r="F4509" s="14" t="s">
        <v>81</v>
      </c>
      <c r="G4509" s="14" t="s">
        <v>28024</v>
      </c>
      <c r="H4509" s="15" t="s">
        <v>31</v>
      </c>
      <c r="I4509" s="15">
        <v>1.0</v>
      </c>
      <c r="J4509" s="15">
        <v>1.0</v>
      </c>
      <c r="K4509" s="15" t="s">
        <v>31</v>
      </c>
      <c r="L4509" s="16" t="s">
        <v>27917</v>
      </c>
      <c r="M4509" s="14" t="s">
        <v>28025</v>
      </c>
      <c r="N4509" s="14" t="s">
        <v>1416</v>
      </c>
      <c r="O4509" s="16" t="s">
        <v>1417</v>
      </c>
      <c r="P4509" s="14" t="s">
        <v>27919</v>
      </c>
      <c r="Q4509" s="14" t="s">
        <v>6654</v>
      </c>
      <c r="R4509" s="14" t="s">
        <v>1420</v>
      </c>
      <c r="S4509" s="16" t="s">
        <v>6302</v>
      </c>
      <c r="T4509" s="14" t="s">
        <v>66</v>
      </c>
      <c r="U4509" s="16" t="s">
        <v>31</v>
      </c>
      <c r="V4509" s="14" t="s">
        <v>28026</v>
      </c>
      <c r="W4509" s="14" t="s">
        <v>27915</v>
      </c>
      <c r="X4509" s="17" t="str">
        <f>HYPERLINK("https://my.pitchbook.com?p=128038-42P","View People Online")</f>
        <v>View People Online</v>
      </c>
    </row>
    <row r="4510">
      <c r="A4510" s="10" t="s">
        <v>28027</v>
      </c>
      <c r="B4510" s="10" t="s">
        <v>28028</v>
      </c>
      <c r="C4510" s="10" t="s">
        <v>28029</v>
      </c>
      <c r="D4510" s="10" t="s">
        <v>3941</v>
      </c>
      <c r="E4510" s="10" t="s">
        <v>27915</v>
      </c>
      <c r="F4510" s="10" t="s">
        <v>13073</v>
      </c>
      <c r="G4510" s="10" t="s">
        <v>28030</v>
      </c>
      <c r="H4510" s="11" t="s">
        <v>31</v>
      </c>
      <c r="I4510" s="11">
        <v>1.0</v>
      </c>
      <c r="J4510" s="11">
        <v>1.0</v>
      </c>
      <c r="K4510" s="11" t="s">
        <v>31</v>
      </c>
      <c r="L4510" s="12" t="s">
        <v>27917</v>
      </c>
      <c r="M4510" s="10" t="s">
        <v>28031</v>
      </c>
      <c r="N4510" s="10" t="s">
        <v>1416</v>
      </c>
      <c r="O4510" s="12" t="s">
        <v>1417</v>
      </c>
      <c r="P4510" s="10" t="s">
        <v>27919</v>
      </c>
      <c r="Q4510" s="10" t="s">
        <v>6654</v>
      </c>
      <c r="R4510" s="10" t="s">
        <v>1420</v>
      </c>
      <c r="S4510" s="12" t="s">
        <v>6302</v>
      </c>
      <c r="T4510" s="10" t="s">
        <v>66</v>
      </c>
      <c r="U4510" s="12" t="s">
        <v>31</v>
      </c>
      <c r="V4510" s="10" t="s">
        <v>28032</v>
      </c>
      <c r="W4510" s="10" t="s">
        <v>27915</v>
      </c>
      <c r="X4510" s="13" t="str">
        <f>HYPERLINK("https://my.pitchbook.com?p=276451-57P","View People Online")</f>
        <v>View People Online</v>
      </c>
    </row>
    <row r="4511">
      <c r="A4511" s="6" t="s">
        <v>28033</v>
      </c>
      <c r="B4511" s="6" t="s">
        <v>28034</v>
      </c>
      <c r="C4511" s="6" t="s">
        <v>2596</v>
      </c>
      <c r="D4511" s="6" t="s">
        <v>28035</v>
      </c>
      <c r="E4511" s="6" t="s">
        <v>27915</v>
      </c>
      <c r="F4511" s="6" t="s">
        <v>7624</v>
      </c>
      <c r="G4511" s="6" t="s">
        <v>28036</v>
      </c>
      <c r="H4511" s="7" t="s">
        <v>31</v>
      </c>
      <c r="I4511" s="7">
        <v>1.0</v>
      </c>
      <c r="J4511" s="7">
        <v>1.0</v>
      </c>
      <c r="K4511" s="7" t="s">
        <v>31</v>
      </c>
      <c r="L4511" s="8" t="s">
        <v>27917</v>
      </c>
      <c r="M4511" s="6" t="s">
        <v>28037</v>
      </c>
      <c r="N4511" s="6" t="s">
        <v>1416</v>
      </c>
      <c r="O4511" s="8" t="s">
        <v>1417</v>
      </c>
      <c r="P4511" s="6" t="s">
        <v>27919</v>
      </c>
      <c r="Q4511" s="6" t="s">
        <v>6654</v>
      </c>
      <c r="R4511" s="6" t="s">
        <v>1420</v>
      </c>
      <c r="S4511" s="8" t="s">
        <v>6302</v>
      </c>
      <c r="T4511" s="6" t="s">
        <v>66</v>
      </c>
      <c r="U4511" s="8" t="s">
        <v>31</v>
      </c>
      <c r="V4511" s="6" t="s">
        <v>28038</v>
      </c>
      <c r="W4511" s="6" t="s">
        <v>27915</v>
      </c>
      <c r="X4511" s="9" t="str">
        <f>HYPERLINK("https://my.pitchbook.com?p=128032-30P","View People Online")</f>
        <v>View People Online</v>
      </c>
    </row>
    <row r="4512">
      <c r="A4512" s="2" t="s">
        <v>28039</v>
      </c>
      <c r="B4512" s="2" t="s">
        <v>28040</v>
      </c>
      <c r="C4512" s="2" t="s">
        <v>5120</v>
      </c>
      <c r="D4512" s="2" t="s">
        <v>28041</v>
      </c>
      <c r="E4512" s="2" t="s">
        <v>27915</v>
      </c>
      <c r="F4512" s="2" t="s">
        <v>7624</v>
      </c>
      <c r="G4512" s="2" t="s">
        <v>28042</v>
      </c>
      <c r="H4512" s="3" t="s">
        <v>31</v>
      </c>
      <c r="I4512" s="3">
        <v>1.0</v>
      </c>
      <c r="J4512" s="3">
        <v>1.0</v>
      </c>
      <c r="K4512" s="3" t="s">
        <v>31</v>
      </c>
      <c r="L4512" s="4" t="s">
        <v>27917</v>
      </c>
      <c r="M4512" s="2" t="s">
        <v>28043</v>
      </c>
      <c r="N4512" s="2" t="s">
        <v>1416</v>
      </c>
      <c r="O4512" s="4" t="s">
        <v>1417</v>
      </c>
      <c r="P4512" s="2" t="s">
        <v>27919</v>
      </c>
      <c r="Q4512" s="2" t="s">
        <v>6654</v>
      </c>
      <c r="R4512" s="2" t="s">
        <v>1420</v>
      </c>
      <c r="S4512" s="4" t="s">
        <v>6302</v>
      </c>
      <c r="T4512" s="2" t="s">
        <v>66</v>
      </c>
      <c r="U4512" s="4" t="s">
        <v>31</v>
      </c>
      <c r="V4512" s="2" t="s">
        <v>28044</v>
      </c>
      <c r="W4512" s="2" t="s">
        <v>27915</v>
      </c>
      <c r="X4512" s="5" t="str">
        <f>HYPERLINK("https://my.pitchbook.com?p=261295-93P","View People Online")</f>
        <v>View People Online</v>
      </c>
    </row>
    <row r="4513">
      <c r="A4513" s="6" t="s">
        <v>28045</v>
      </c>
      <c r="B4513" s="6" t="s">
        <v>28046</v>
      </c>
      <c r="C4513" s="6" t="s">
        <v>2288</v>
      </c>
      <c r="D4513" s="6" t="s">
        <v>28047</v>
      </c>
      <c r="E4513" s="6" t="s">
        <v>27915</v>
      </c>
      <c r="F4513" s="6" t="s">
        <v>28048</v>
      </c>
      <c r="G4513" s="6" t="s">
        <v>28049</v>
      </c>
      <c r="H4513" s="7">
        <v>1.0</v>
      </c>
      <c r="I4513" s="7">
        <v>4.0</v>
      </c>
      <c r="J4513" s="7">
        <v>1.0</v>
      </c>
      <c r="K4513" s="7">
        <v>3.0</v>
      </c>
      <c r="L4513" s="8" t="s">
        <v>27917</v>
      </c>
      <c r="M4513" s="6" t="s">
        <v>28050</v>
      </c>
      <c r="N4513" s="6" t="s">
        <v>1416</v>
      </c>
      <c r="O4513" s="8" t="s">
        <v>1417</v>
      </c>
      <c r="P4513" s="6" t="s">
        <v>27919</v>
      </c>
      <c r="Q4513" s="6" t="s">
        <v>6654</v>
      </c>
      <c r="R4513" s="6" t="s">
        <v>1420</v>
      </c>
      <c r="S4513" s="8" t="s">
        <v>6302</v>
      </c>
      <c r="T4513" s="6" t="s">
        <v>66</v>
      </c>
      <c r="U4513" s="8" t="s">
        <v>31</v>
      </c>
      <c r="V4513" s="6" t="s">
        <v>8622</v>
      </c>
      <c r="W4513" s="6" t="s">
        <v>27915</v>
      </c>
      <c r="X4513" s="9" t="str">
        <f>HYPERLINK("https://my.pitchbook.com?p=179054-65P","View People Online")</f>
        <v>View People Online</v>
      </c>
    </row>
    <row r="4514">
      <c r="A4514" s="10" t="s">
        <v>28051</v>
      </c>
      <c r="B4514" s="10" t="s">
        <v>28052</v>
      </c>
      <c r="C4514" s="10" t="s">
        <v>3846</v>
      </c>
      <c r="D4514" s="10" t="s">
        <v>18625</v>
      </c>
      <c r="E4514" s="10" t="s">
        <v>27915</v>
      </c>
      <c r="F4514" s="10" t="s">
        <v>28053</v>
      </c>
      <c r="G4514" s="10" t="s">
        <v>28054</v>
      </c>
      <c r="H4514" s="11" t="s">
        <v>31</v>
      </c>
      <c r="I4514" s="11">
        <v>1.0</v>
      </c>
      <c r="J4514" s="11">
        <v>1.0</v>
      </c>
      <c r="K4514" s="11" t="s">
        <v>31</v>
      </c>
      <c r="L4514" s="12" t="s">
        <v>27917</v>
      </c>
      <c r="M4514" s="10" t="s">
        <v>28055</v>
      </c>
      <c r="N4514" s="10" t="s">
        <v>1416</v>
      </c>
      <c r="O4514" s="12" t="s">
        <v>1417</v>
      </c>
      <c r="P4514" s="10" t="s">
        <v>27919</v>
      </c>
      <c r="Q4514" s="10" t="s">
        <v>6654</v>
      </c>
      <c r="R4514" s="10" t="s">
        <v>1420</v>
      </c>
      <c r="S4514" s="12" t="s">
        <v>6302</v>
      </c>
      <c r="T4514" s="10" t="s">
        <v>66</v>
      </c>
      <c r="U4514" s="12" t="s">
        <v>31</v>
      </c>
      <c r="V4514" s="10" t="s">
        <v>28056</v>
      </c>
      <c r="W4514" s="10" t="s">
        <v>27915</v>
      </c>
      <c r="X4514" s="13" t="str">
        <f>HYPERLINK("https://my.pitchbook.com?p=197495-65P","View People Online")</f>
        <v>View People Online</v>
      </c>
    </row>
    <row r="4515">
      <c r="A4515" s="6" t="s">
        <v>28057</v>
      </c>
      <c r="B4515" s="6" t="s">
        <v>28058</v>
      </c>
      <c r="C4515" s="6" t="s">
        <v>126</v>
      </c>
      <c r="D4515" s="6" t="s">
        <v>26421</v>
      </c>
      <c r="E4515" s="6" t="s">
        <v>27915</v>
      </c>
      <c r="F4515" s="6" t="s">
        <v>4527</v>
      </c>
      <c r="G4515" s="6" t="s">
        <v>28059</v>
      </c>
      <c r="H4515" s="7">
        <v>1.0</v>
      </c>
      <c r="I4515" s="7">
        <v>9.0</v>
      </c>
      <c r="J4515" s="7">
        <v>1.0</v>
      </c>
      <c r="K4515" s="7">
        <v>8.0</v>
      </c>
      <c r="L4515" s="8" t="s">
        <v>27917</v>
      </c>
      <c r="M4515" s="6" t="s">
        <v>28060</v>
      </c>
      <c r="N4515" s="6" t="s">
        <v>1416</v>
      </c>
      <c r="O4515" s="8" t="s">
        <v>1417</v>
      </c>
      <c r="P4515" s="6" t="s">
        <v>27919</v>
      </c>
      <c r="Q4515" s="6" t="s">
        <v>6654</v>
      </c>
      <c r="R4515" s="6" t="s">
        <v>1420</v>
      </c>
      <c r="S4515" s="8" t="s">
        <v>6302</v>
      </c>
      <c r="T4515" s="6" t="s">
        <v>66</v>
      </c>
      <c r="U4515" s="8" t="s">
        <v>31</v>
      </c>
      <c r="V4515" s="6" t="s">
        <v>28061</v>
      </c>
      <c r="W4515" s="6" t="s">
        <v>27915</v>
      </c>
      <c r="X4515" s="9" t="str">
        <f>HYPERLINK("https://my.pitchbook.com?p=68626-09P","View People Online")</f>
        <v>View People Online</v>
      </c>
    </row>
    <row r="4516">
      <c r="A4516" s="10" t="s">
        <v>28062</v>
      </c>
      <c r="B4516" s="10" t="s">
        <v>28063</v>
      </c>
      <c r="C4516" s="10" t="s">
        <v>4033</v>
      </c>
      <c r="D4516" s="10" t="s">
        <v>7805</v>
      </c>
      <c r="E4516" s="10" t="s">
        <v>27915</v>
      </c>
      <c r="F4516" s="10" t="s">
        <v>5086</v>
      </c>
      <c r="G4516" s="10" t="s">
        <v>28064</v>
      </c>
      <c r="H4516" s="11" t="s">
        <v>31</v>
      </c>
      <c r="I4516" s="11">
        <v>1.0</v>
      </c>
      <c r="J4516" s="11">
        <v>1.0</v>
      </c>
      <c r="K4516" s="11" t="s">
        <v>31</v>
      </c>
      <c r="L4516" s="12" t="s">
        <v>27917</v>
      </c>
      <c r="M4516" s="10" t="s">
        <v>28065</v>
      </c>
      <c r="N4516" s="10" t="s">
        <v>1416</v>
      </c>
      <c r="O4516" s="12" t="s">
        <v>1417</v>
      </c>
      <c r="P4516" s="10" t="s">
        <v>27919</v>
      </c>
      <c r="Q4516" s="10" t="s">
        <v>6654</v>
      </c>
      <c r="R4516" s="10" t="s">
        <v>1420</v>
      </c>
      <c r="S4516" s="12" t="s">
        <v>6302</v>
      </c>
      <c r="T4516" s="10" t="s">
        <v>66</v>
      </c>
      <c r="U4516" s="12" t="s">
        <v>31</v>
      </c>
      <c r="V4516" s="10" t="s">
        <v>5086</v>
      </c>
      <c r="W4516" s="10" t="s">
        <v>27915</v>
      </c>
      <c r="X4516" s="13" t="str">
        <f>HYPERLINK("https://my.pitchbook.com?p=427146-85P","View People Online")</f>
        <v>View People Online</v>
      </c>
    </row>
    <row r="4517">
      <c r="A4517" s="6" t="s">
        <v>28066</v>
      </c>
      <c r="B4517" s="6" t="s">
        <v>28067</v>
      </c>
      <c r="C4517" s="6" t="s">
        <v>1807</v>
      </c>
      <c r="D4517" s="6" t="s">
        <v>28068</v>
      </c>
      <c r="E4517" s="6" t="s">
        <v>27915</v>
      </c>
      <c r="F4517" s="6" t="s">
        <v>371</v>
      </c>
      <c r="G4517" s="6" t="s">
        <v>28069</v>
      </c>
      <c r="H4517" s="7" t="s">
        <v>31</v>
      </c>
      <c r="I4517" s="7">
        <v>2.0</v>
      </c>
      <c r="J4517" s="7">
        <v>1.0</v>
      </c>
      <c r="K4517" s="7">
        <v>1.0</v>
      </c>
      <c r="L4517" s="8" t="s">
        <v>27917</v>
      </c>
      <c r="M4517" s="6" t="s">
        <v>31</v>
      </c>
      <c r="N4517" s="6" t="s">
        <v>1416</v>
      </c>
      <c r="O4517" s="8" t="s">
        <v>1417</v>
      </c>
      <c r="P4517" s="6" t="s">
        <v>27919</v>
      </c>
      <c r="Q4517" s="6" t="s">
        <v>6654</v>
      </c>
      <c r="R4517" s="6" t="s">
        <v>1420</v>
      </c>
      <c r="S4517" s="8" t="s">
        <v>6302</v>
      </c>
      <c r="T4517" s="6" t="s">
        <v>66</v>
      </c>
      <c r="U4517" s="8" t="s">
        <v>31</v>
      </c>
      <c r="V4517" s="6" t="s">
        <v>28070</v>
      </c>
      <c r="W4517" s="6" t="s">
        <v>27915</v>
      </c>
      <c r="X4517" s="9" t="str">
        <f>HYPERLINK("https://my.pitchbook.com?p=242220-16P","View People Online")</f>
        <v>View People Online</v>
      </c>
    </row>
    <row r="4518">
      <c r="A4518" s="2" t="s">
        <v>28071</v>
      </c>
      <c r="B4518" s="2" t="s">
        <v>28072</v>
      </c>
      <c r="C4518" s="2" t="s">
        <v>28073</v>
      </c>
      <c r="D4518" s="2" t="s">
        <v>28074</v>
      </c>
      <c r="E4518" s="2" t="s">
        <v>27915</v>
      </c>
      <c r="F4518" s="2" t="s">
        <v>28075</v>
      </c>
      <c r="G4518" s="2" t="s">
        <v>28076</v>
      </c>
      <c r="H4518" s="3" t="s">
        <v>31</v>
      </c>
      <c r="I4518" s="3">
        <v>1.0</v>
      </c>
      <c r="J4518" s="3">
        <v>1.0</v>
      </c>
      <c r="K4518" s="3" t="s">
        <v>31</v>
      </c>
      <c r="L4518" s="4" t="s">
        <v>27917</v>
      </c>
      <c r="M4518" s="2" t="s">
        <v>28077</v>
      </c>
      <c r="N4518" s="2" t="s">
        <v>1416</v>
      </c>
      <c r="O4518" s="4" t="s">
        <v>1417</v>
      </c>
      <c r="P4518" s="2" t="s">
        <v>27919</v>
      </c>
      <c r="Q4518" s="2" t="s">
        <v>6654</v>
      </c>
      <c r="R4518" s="2" t="s">
        <v>1420</v>
      </c>
      <c r="S4518" s="4" t="s">
        <v>6302</v>
      </c>
      <c r="T4518" s="2" t="s">
        <v>66</v>
      </c>
      <c r="U4518" s="4" t="s">
        <v>31</v>
      </c>
      <c r="V4518" s="2" t="s">
        <v>28078</v>
      </c>
      <c r="W4518" s="2" t="s">
        <v>27915</v>
      </c>
      <c r="X4518" s="5" t="str">
        <f>HYPERLINK("https://my.pitchbook.com?p=94965-49P","View People Online")</f>
        <v>View People Online</v>
      </c>
    </row>
    <row r="4519">
      <c r="A4519" s="14" t="s">
        <v>28079</v>
      </c>
      <c r="B4519" s="14" t="s">
        <v>28080</v>
      </c>
      <c r="C4519" s="14" t="s">
        <v>28081</v>
      </c>
      <c r="D4519" s="14" t="s">
        <v>28082</v>
      </c>
      <c r="E4519" s="14" t="s">
        <v>27915</v>
      </c>
      <c r="F4519" s="14" t="s">
        <v>371</v>
      </c>
      <c r="G4519" s="14" t="s">
        <v>28083</v>
      </c>
      <c r="H4519" s="15" t="s">
        <v>31</v>
      </c>
      <c r="I4519" s="15">
        <v>2.0</v>
      </c>
      <c r="J4519" s="15">
        <v>1.0</v>
      </c>
      <c r="K4519" s="15">
        <v>1.0</v>
      </c>
      <c r="L4519" s="16" t="s">
        <v>27917</v>
      </c>
      <c r="M4519" s="14" t="s">
        <v>31</v>
      </c>
      <c r="N4519" s="14" t="s">
        <v>1416</v>
      </c>
      <c r="O4519" s="16" t="s">
        <v>1417</v>
      </c>
      <c r="P4519" s="14" t="s">
        <v>27919</v>
      </c>
      <c r="Q4519" s="14" t="s">
        <v>6654</v>
      </c>
      <c r="R4519" s="14" t="s">
        <v>1420</v>
      </c>
      <c r="S4519" s="16" t="s">
        <v>6302</v>
      </c>
      <c r="T4519" s="14" t="s">
        <v>66</v>
      </c>
      <c r="U4519" s="16" t="s">
        <v>31</v>
      </c>
      <c r="V4519" s="14" t="s">
        <v>28084</v>
      </c>
      <c r="W4519" s="14" t="s">
        <v>27915</v>
      </c>
      <c r="X4519" s="17" t="str">
        <f>HYPERLINK("https://my.pitchbook.com?p=374067-82P","View People Online")</f>
        <v>View People Online</v>
      </c>
    </row>
    <row r="4520">
      <c r="A4520" s="2" t="s">
        <v>28085</v>
      </c>
      <c r="B4520" s="2" t="s">
        <v>28086</v>
      </c>
      <c r="C4520" s="2" t="s">
        <v>28087</v>
      </c>
      <c r="D4520" s="2" t="s">
        <v>28088</v>
      </c>
      <c r="E4520" s="2" t="s">
        <v>27915</v>
      </c>
      <c r="F4520" s="2" t="s">
        <v>28089</v>
      </c>
      <c r="G4520" s="2" t="s">
        <v>28090</v>
      </c>
      <c r="H4520" s="3" t="s">
        <v>31</v>
      </c>
      <c r="I4520" s="3">
        <v>1.0</v>
      </c>
      <c r="J4520" s="3">
        <v>1.0</v>
      </c>
      <c r="K4520" s="3" t="s">
        <v>31</v>
      </c>
      <c r="L4520" s="4" t="s">
        <v>27917</v>
      </c>
      <c r="M4520" s="2" t="s">
        <v>31</v>
      </c>
      <c r="N4520" s="2" t="s">
        <v>1416</v>
      </c>
      <c r="O4520" s="4" t="s">
        <v>1417</v>
      </c>
      <c r="P4520" s="2" t="s">
        <v>27919</v>
      </c>
      <c r="Q4520" s="2" t="s">
        <v>6654</v>
      </c>
      <c r="R4520" s="2" t="s">
        <v>1420</v>
      </c>
      <c r="S4520" s="4" t="s">
        <v>6302</v>
      </c>
      <c r="T4520" s="2" t="s">
        <v>66</v>
      </c>
      <c r="U4520" s="4" t="s">
        <v>31</v>
      </c>
      <c r="V4520" s="2" t="s">
        <v>28091</v>
      </c>
      <c r="W4520" s="2" t="s">
        <v>27915</v>
      </c>
      <c r="X4520" s="5" t="str">
        <f>HYPERLINK("https://my.pitchbook.com?p=63162-82P","View People Online")</f>
        <v>View People Online</v>
      </c>
    </row>
    <row r="4521">
      <c r="A4521" s="6" t="s">
        <v>28092</v>
      </c>
      <c r="B4521" s="6" t="s">
        <v>28093</v>
      </c>
      <c r="C4521" s="6" t="s">
        <v>28094</v>
      </c>
      <c r="D4521" s="6" t="s">
        <v>7805</v>
      </c>
      <c r="E4521" s="6" t="s">
        <v>27915</v>
      </c>
      <c r="F4521" s="6" t="s">
        <v>28095</v>
      </c>
      <c r="G4521" s="6" t="s">
        <v>28096</v>
      </c>
      <c r="H4521" s="7" t="s">
        <v>31</v>
      </c>
      <c r="I4521" s="7">
        <v>1.0</v>
      </c>
      <c r="J4521" s="7">
        <v>1.0</v>
      </c>
      <c r="K4521" s="7" t="s">
        <v>31</v>
      </c>
      <c r="L4521" s="8" t="s">
        <v>27917</v>
      </c>
      <c r="M4521" s="6" t="s">
        <v>28097</v>
      </c>
      <c r="N4521" s="6" t="s">
        <v>1416</v>
      </c>
      <c r="O4521" s="8" t="s">
        <v>1417</v>
      </c>
      <c r="P4521" s="6" t="s">
        <v>27919</v>
      </c>
      <c r="Q4521" s="6" t="s">
        <v>6654</v>
      </c>
      <c r="R4521" s="6" t="s">
        <v>1420</v>
      </c>
      <c r="S4521" s="8" t="s">
        <v>6302</v>
      </c>
      <c r="T4521" s="6" t="s">
        <v>66</v>
      </c>
      <c r="U4521" s="8" t="s">
        <v>31</v>
      </c>
      <c r="V4521" s="6" t="s">
        <v>28098</v>
      </c>
      <c r="W4521" s="6" t="s">
        <v>27915</v>
      </c>
      <c r="X4521" s="9" t="str">
        <f>HYPERLINK("https://my.pitchbook.com?p=261294-31P","View People Online")</f>
        <v>View People Online</v>
      </c>
    </row>
    <row r="4522">
      <c r="A4522" s="2" t="s">
        <v>28099</v>
      </c>
      <c r="B4522" s="2" t="s">
        <v>28100</v>
      </c>
      <c r="C4522" s="2" t="s">
        <v>28101</v>
      </c>
      <c r="D4522" s="2" t="s">
        <v>28102</v>
      </c>
      <c r="E4522" s="2" t="s">
        <v>27915</v>
      </c>
      <c r="F4522" s="2" t="s">
        <v>2532</v>
      </c>
      <c r="G4522" s="2" t="s">
        <v>28103</v>
      </c>
      <c r="H4522" s="3" t="s">
        <v>31</v>
      </c>
      <c r="I4522" s="3">
        <v>1.0</v>
      </c>
      <c r="J4522" s="3" t="s">
        <v>31</v>
      </c>
      <c r="K4522" s="3" t="s">
        <v>31</v>
      </c>
      <c r="L4522" s="4" t="s">
        <v>28104</v>
      </c>
      <c r="M4522" s="2" t="s">
        <v>31</v>
      </c>
      <c r="N4522" s="2" t="s">
        <v>1416</v>
      </c>
      <c r="O4522" s="4" t="s">
        <v>1417</v>
      </c>
      <c r="P4522" s="2" t="s">
        <v>27919</v>
      </c>
      <c r="Q4522" s="2" t="s">
        <v>6654</v>
      </c>
      <c r="R4522" s="2" t="s">
        <v>1420</v>
      </c>
      <c r="S4522" s="4" t="s">
        <v>6302</v>
      </c>
      <c r="T4522" s="2" t="s">
        <v>66</v>
      </c>
      <c r="U4522" s="4" t="s">
        <v>31</v>
      </c>
      <c r="V4522" s="2" t="s">
        <v>28105</v>
      </c>
      <c r="W4522" s="2" t="s">
        <v>27915</v>
      </c>
      <c r="X4522" s="5" t="str">
        <f>HYPERLINK("https://my.pitchbook.com?p=156829-96P","View People Online")</f>
        <v>View People Online</v>
      </c>
    </row>
    <row r="4523">
      <c r="A4523" s="14" t="s">
        <v>28106</v>
      </c>
      <c r="B4523" s="14" t="s">
        <v>28107</v>
      </c>
      <c r="C4523" s="14" t="s">
        <v>28108</v>
      </c>
      <c r="D4523" s="14" t="s">
        <v>28109</v>
      </c>
      <c r="E4523" s="14" t="s">
        <v>27915</v>
      </c>
      <c r="F4523" s="14" t="s">
        <v>7624</v>
      </c>
      <c r="G4523" s="14" t="s">
        <v>28110</v>
      </c>
      <c r="H4523" s="15" t="s">
        <v>31</v>
      </c>
      <c r="I4523" s="15">
        <v>1.0</v>
      </c>
      <c r="J4523" s="15">
        <v>1.0</v>
      </c>
      <c r="K4523" s="15" t="s">
        <v>31</v>
      </c>
      <c r="L4523" s="16" t="s">
        <v>27917</v>
      </c>
      <c r="M4523" s="14" t="s">
        <v>28111</v>
      </c>
      <c r="N4523" s="14" t="s">
        <v>1416</v>
      </c>
      <c r="O4523" s="16" t="s">
        <v>1417</v>
      </c>
      <c r="P4523" s="14" t="s">
        <v>27919</v>
      </c>
      <c r="Q4523" s="14" t="s">
        <v>6654</v>
      </c>
      <c r="R4523" s="14" t="s">
        <v>1420</v>
      </c>
      <c r="S4523" s="16" t="s">
        <v>6302</v>
      </c>
      <c r="T4523" s="14" t="s">
        <v>66</v>
      </c>
      <c r="U4523" s="16" t="s">
        <v>31</v>
      </c>
      <c r="V4523" s="14" t="s">
        <v>28112</v>
      </c>
      <c r="W4523" s="14" t="s">
        <v>27915</v>
      </c>
      <c r="X4523" s="17" t="str">
        <f>HYPERLINK("https://my.pitchbook.com?p=136796-23P","View People Online")</f>
        <v>View People Online</v>
      </c>
    </row>
    <row r="4524">
      <c r="A4524" s="2" t="s">
        <v>28113</v>
      </c>
      <c r="B4524" s="2" t="s">
        <v>28114</v>
      </c>
      <c r="C4524" s="2" t="s">
        <v>28115</v>
      </c>
      <c r="D4524" s="2" t="s">
        <v>28116</v>
      </c>
      <c r="E4524" s="2" t="s">
        <v>27915</v>
      </c>
      <c r="F4524" s="2" t="s">
        <v>1801</v>
      </c>
      <c r="G4524" s="2" t="s">
        <v>28117</v>
      </c>
      <c r="H4524" s="3" t="s">
        <v>31</v>
      </c>
      <c r="I4524" s="3">
        <v>1.0</v>
      </c>
      <c r="J4524" s="3">
        <v>1.0</v>
      </c>
      <c r="K4524" s="3" t="s">
        <v>31</v>
      </c>
      <c r="L4524" s="4" t="s">
        <v>27917</v>
      </c>
      <c r="M4524" s="2" t="s">
        <v>28118</v>
      </c>
      <c r="N4524" s="2" t="s">
        <v>1416</v>
      </c>
      <c r="O4524" s="4" t="s">
        <v>1417</v>
      </c>
      <c r="P4524" s="2" t="s">
        <v>27919</v>
      </c>
      <c r="Q4524" s="2" t="s">
        <v>6654</v>
      </c>
      <c r="R4524" s="2" t="s">
        <v>1420</v>
      </c>
      <c r="S4524" s="4" t="s">
        <v>6302</v>
      </c>
      <c r="T4524" s="2" t="s">
        <v>66</v>
      </c>
      <c r="U4524" s="4" t="s">
        <v>31</v>
      </c>
      <c r="V4524" s="2" t="s">
        <v>28119</v>
      </c>
      <c r="W4524" s="2" t="s">
        <v>27915</v>
      </c>
      <c r="X4524" s="5" t="str">
        <f>HYPERLINK("https://my.pitchbook.com?p=128034-73P","View People Online")</f>
        <v>View People Online</v>
      </c>
    </row>
    <row r="4525">
      <c r="A4525" s="14" t="s">
        <v>28120</v>
      </c>
      <c r="B4525" s="14" t="s">
        <v>28121</v>
      </c>
      <c r="C4525" s="14" t="s">
        <v>28122</v>
      </c>
      <c r="D4525" s="14" t="s">
        <v>28123</v>
      </c>
      <c r="E4525" s="14" t="s">
        <v>27915</v>
      </c>
      <c r="F4525" s="14" t="s">
        <v>270</v>
      </c>
      <c r="G4525" s="14" t="s">
        <v>28124</v>
      </c>
      <c r="H4525" s="15" t="s">
        <v>31</v>
      </c>
      <c r="I4525" s="15">
        <v>1.0</v>
      </c>
      <c r="J4525" s="15">
        <v>1.0</v>
      </c>
      <c r="K4525" s="15" t="s">
        <v>31</v>
      </c>
      <c r="L4525" s="16" t="s">
        <v>27917</v>
      </c>
      <c r="M4525" s="14" t="s">
        <v>31</v>
      </c>
      <c r="N4525" s="14" t="s">
        <v>1416</v>
      </c>
      <c r="O4525" s="16" t="s">
        <v>1417</v>
      </c>
      <c r="P4525" s="14" t="s">
        <v>27919</v>
      </c>
      <c r="Q4525" s="14" t="s">
        <v>6654</v>
      </c>
      <c r="R4525" s="14" t="s">
        <v>1420</v>
      </c>
      <c r="S4525" s="16" t="s">
        <v>6302</v>
      </c>
      <c r="T4525" s="14" t="s">
        <v>66</v>
      </c>
      <c r="U4525" s="16" t="s">
        <v>31</v>
      </c>
      <c r="V4525" s="14" t="s">
        <v>28125</v>
      </c>
      <c r="W4525" s="14" t="s">
        <v>27915</v>
      </c>
      <c r="X4525" s="17" t="str">
        <f>HYPERLINK("https://my.pitchbook.com?p=325086-13P","View People Online")</f>
        <v>View People Online</v>
      </c>
    </row>
    <row r="4526">
      <c r="A4526" s="2" t="s">
        <v>28126</v>
      </c>
      <c r="B4526" s="2" t="s">
        <v>28127</v>
      </c>
      <c r="C4526" s="2" t="s">
        <v>16119</v>
      </c>
      <c r="D4526" s="2" t="s">
        <v>28128</v>
      </c>
      <c r="E4526" s="2" t="s">
        <v>28129</v>
      </c>
      <c r="F4526" s="2" t="s">
        <v>674</v>
      </c>
      <c r="G4526" s="2" t="s">
        <v>28130</v>
      </c>
      <c r="H4526" s="3">
        <v>2.0</v>
      </c>
      <c r="I4526" s="3">
        <v>13.0</v>
      </c>
      <c r="J4526" s="3">
        <v>4.0</v>
      </c>
      <c r="K4526" s="3">
        <v>5.0</v>
      </c>
      <c r="L4526" s="4" t="s">
        <v>28131</v>
      </c>
      <c r="M4526" s="2" t="s">
        <v>28132</v>
      </c>
      <c r="N4526" s="2" t="s">
        <v>28133</v>
      </c>
      <c r="O4526" s="4" t="s">
        <v>28134</v>
      </c>
      <c r="P4526" s="2" t="s">
        <v>28135</v>
      </c>
      <c r="Q4526" s="2" t="s">
        <v>7124</v>
      </c>
      <c r="R4526" s="2" t="s">
        <v>75</v>
      </c>
      <c r="S4526" s="4" t="s">
        <v>28136</v>
      </c>
      <c r="T4526" s="2" t="s">
        <v>66</v>
      </c>
      <c r="U4526" s="4" t="s">
        <v>31</v>
      </c>
      <c r="V4526" s="2" t="s">
        <v>28137</v>
      </c>
      <c r="W4526" s="2" t="s">
        <v>28138</v>
      </c>
      <c r="X4526" s="5" t="str">
        <f>HYPERLINK("https://my.pitchbook.com?p=130546-99P","View People Online")</f>
        <v>View People Online</v>
      </c>
    </row>
    <row r="4527">
      <c r="A4527" s="14" t="s">
        <v>28139</v>
      </c>
      <c r="B4527" s="14" t="s">
        <v>28140</v>
      </c>
      <c r="C4527" s="14" t="s">
        <v>2032</v>
      </c>
      <c r="D4527" s="14" t="s">
        <v>28141</v>
      </c>
      <c r="E4527" s="14" t="s">
        <v>28129</v>
      </c>
      <c r="F4527" s="14" t="s">
        <v>12689</v>
      </c>
      <c r="G4527" s="14" t="s">
        <v>28142</v>
      </c>
      <c r="H4527" s="15" t="s">
        <v>31</v>
      </c>
      <c r="I4527" s="15">
        <v>2.0</v>
      </c>
      <c r="J4527" s="15">
        <v>1.0</v>
      </c>
      <c r="K4527" s="15" t="s">
        <v>31</v>
      </c>
      <c r="L4527" s="16" t="s">
        <v>31</v>
      </c>
      <c r="M4527" s="14" t="s">
        <v>28143</v>
      </c>
      <c r="N4527" s="14" t="s">
        <v>28133</v>
      </c>
      <c r="O4527" s="16" t="s">
        <v>28134</v>
      </c>
      <c r="P4527" s="14" t="s">
        <v>28135</v>
      </c>
      <c r="Q4527" s="14" t="s">
        <v>7124</v>
      </c>
      <c r="R4527" s="14" t="s">
        <v>75</v>
      </c>
      <c r="S4527" s="16" t="s">
        <v>28136</v>
      </c>
      <c r="T4527" s="14" t="s">
        <v>66</v>
      </c>
      <c r="U4527" s="16" t="s">
        <v>31</v>
      </c>
      <c r="V4527" s="14" t="s">
        <v>28144</v>
      </c>
      <c r="W4527" s="14" t="s">
        <v>28129</v>
      </c>
      <c r="X4527" s="17" t="str">
        <f>HYPERLINK("https://my.pitchbook.com?p=190437-49P","View People Online")</f>
        <v>View People Online</v>
      </c>
    </row>
    <row r="4528">
      <c r="A4528" s="2" t="s">
        <v>28145</v>
      </c>
      <c r="B4528" s="2" t="s">
        <v>28146</v>
      </c>
      <c r="C4528" s="2" t="s">
        <v>28147</v>
      </c>
      <c r="D4528" s="2" t="s">
        <v>28148</v>
      </c>
      <c r="E4528" s="2" t="s">
        <v>28129</v>
      </c>
      <c r="F4528" s="2" t="s">
        <v>189</v>
      </c>
      <c r="G4528" s="2" t="s">
        <v>28149</v>
      </c>
      <c r="H4528" s="3" t="s">
        <v>31</v>
      </c>
      <c r="I4528" s="3">
        <v>7.0</v>
      </c>
      <c r="J4528" s="3">
        <v>2.0</v>
      </c>
      <c r="K4528" s="3">
        <v>4.0</v>
      </c>
      <c r="L4528" s="4" t="s">
        <v>28150</v>
      </c>
      <c r="M4528" s="2" t="s">
        <v>28151</v>
      </c>
      <c r="N4528" s="2" t="s">
        <v>28152</v>
      </c>
      <c r="O4528" s="4" t="s">
        <v>28153</v>
      </c>
      <c r="P4528" s="2" t="s">
        <v>31</v>
      </c>
      <c r="Q4528" s="2" t="s">
        <v>31</v>
      </c>
      <c r="R4528" s="2" t="s">
        <v>75</v>
      </c>
      <c r="S4528" s="4" t="s">
        <v>31</v>
      </c>
      <c r="T4528" s="2" t="s">
        <v>66</v>
      </c>
      <c r="U4528" s="4" t="s">
        <v>31</v>
      </c>
      <c r="V4528" s="2" t="s">
        <v>196</v>
      </c>
      <c r="W4528" s="2" t="s">
        <v>28129</v>
      </c>
      <c r="X4528" s="5" t="str">
        <f>HYPERLINK("https://my.pitchbook.com?p=190436-14P","View People Online")</f>
        <v>View People Online</v>
      </c>
    </row>
    <row r="4529">
      <c r="A4529" s="14" t="s">
        <v>28154</v>
      </c>
      <c r="B4529" s="14" t="s">
        <v>28155</v>
      </c>
      <c r="C4529" s="14" t="s">
        <v>28156</v>
      </c>
      <c r="D4529" s="14" t="s">
        <v>70</v>
      </c>
      <c r="E4529" s="14" t="s">
        <v>28129</v>
      </c>
      <c r="F4529" s="14" t="s">
        <v>3429</v>
      </c>
      <c r="G4529" s="14" t="s">
        <v>28157</v>
      </c>
      <c r="H4529" s="15" t="s">
        <v>31</v>
      </c>
      <c r="I4529" s="15">
        <v>3.0</v>
      </c>
      <c r="J4529" s="15">
        <v>1.0</v>
      </c>
      <c r="K4529" s="15" t="s">
        <v>31</v>
      </c>
      <c r="L4529" s="16" t="s">
        <v>31</v>
      </c>
      <c r="M4529" s="14" t="s">
        <v>28158</v>
      </c>
      <c r="N4529" s="14" t="s">
        <v>28133</v>
      </c>
      <c r="O4529" s="16" t="s">
        <v>28134</v>
      </c>
      <c r="P4529" s="14" t="s">
        <v>28135</v>
      </c>
      <c r="Q4529" s="14" t="s">
        <v>7124</v>
      </c>
      <c r="R4529" s="14" t="s">
        <v>75</v>
      </c>
      <c r="S4529" s="16" t="s">
        <v>28136</v>
      </c>
      <c r="T4529" s="14" t="s">
        <v>66</v>
      </c>
      <c r="U4529" s="16" t="s">
        <v>31</v>
      </c>
      <c r="V4529" s="14" t="s">
        <v>28159</v>
      </c>
      <c r="W4529" s="14" t="s">
        <v>28129</v>
      </c>
      <c r="X4529" s="17" t="str">
        <f>HYPERLINK("https://my.pitchbook.com?p=250991-74P","View People Online")</f>
        <v>View People Online</v>
      </c>
    </row>
    <row r="4530">
      <c r="A4530" s="2" t="s">
        <v>28160</v>
      </c>
      <c r="B4530" s="2" t="s">
        <v>28161</v>
      </c>
      <c r="C4530" s="2" t="s">
        <v>28162</v>
      </c>
      <c r="D4530" s="2" t="s">
        <v>28163</v>
      </c>
      <c r="E4530" s="2" t="s">
        <v>28164</v>
      </c>
      <c r="F4530" s="2" t="s">
        <v>2731</v>
      </c>
      <c r="G4530" s="2" t="s">
        <v>28165</v>
      </c>
      <c r="H4530" s="3" t="s">
        <v>31</v>
      </c>
      <c r="I4530" s="3">
        <v>1.0</v>
      </c>
      <c r="J4530" s="3">
        <v>1.0</v>
      </c>
      <c r="K4530" s="3" t="s">
        <v>31</v>
      </c>
      <c r="L4530" s="4" t="s">
        <v>31</v>
      </c>
      <c r="M4530" s="2" t="s">
        <v>31</v>
      </c>
      <c r="N4530" s="2" t="s">
        <v>1416</v>
      </c>
      <c r="O4530" s="4" t="s">
        <v>1417</v>
      </c>
      <c r="P4530" s="2" t="s">
        <v>28166</v>
      </c>
      <c r="Q4530" s="2" t="s">
        <v>28167</v>
      </c>
      <c r="R4530" s="2" t="s">
        <v>1420</v>
      </c>
      <c r="S4530" s="4" t="s">
        <v>28168</v>
      </c>
      <c r="T4530" s="2" t="s">
        <v>66</v>
      </c>
      <c r="U4530" s="4" t="s">
        <v>31</v>
      </c>
      <c r="V4530" s="2" t="s">
        <v>2731</v>
      </c>
      <c r="W4530" s="2" t="s">
        <v>28164</v>
      </c>
      <c r="X4530" s="5" t="str">
        <f>HYPERLINK("https://my.pitchbook.com?p=33129-01P","View People Online")</f>
        <v>View People Online</v>
      </c>
    </row>
    <row r="4531">
      <c r="A4531" s="6" t="s">
        <v>28169</v>
      </c>
      <c r="B4531" s="6" t="s">
        <v>28170</v>
      </c>
      <c r="C4531" s="6" t="s">
        <v>1929</v>
      </c>
      <c r="D4531" s="6" t="s">
        <v>28171</v>
      </c>
      <c r="E4531" s="6" t="s">
        <v>28164</v>
      </c>
      <c r="F4531" s="6" t="s">
        <v>674</v>
      </c>
      <c r="G4531" s="6" t="s">
        <v>28172</v>
      </c>
      <c r="H4531" s="7">
        <v>3.0</v>
      </c>
      <c r="I4531" s="7">
        <v>18.0</v>
      </c>
      <c r="J4531" s="7">
        <v>2.0</v>
      </c>
      <c r="K4531" s="7">
        <v>11.0</v>
      </c>
      <c r="L4531" s="8" t="s">
        <v>31</v>
      </c>
      <c r="M4531" s="6" t="s">
        <v>28173</v>
      </c>
      <c r="N4531" s="6" t="s">
        <v>1416</v>
      </c>
      <c r="O4531" s="8" t="s">
        <v>1417</v>
      </c>
      <c r="P4531" s="6" t="s">
        <v>28166</v>
      </c>
      <c r="Q4531" s="6" t="s">
        <v>28167</v>
      </c>
      <c r="R4531" s="6" t="s">
        <v>1420</v>
      </c>
      <c r="S4531" s="8" t="s">
        <v>28168</v>
      </c>
      <c r="T4531" s="6" t="s">
        <v>66</v>
      </c>
      <c r="U4531" s="8" t="s">
        <v>31</v>
      </c>
      <c r="V4531" s="6" t="s">
        <v>1172</v>
      </c>
      <c r="W4531" s="6" t="s">
        <v>28164</v>
      </c>
      <c r="X4531" s="9" t="str">
        <f>HYPERLINK("https://my.pitchbook.com?p=33129-55P","View People Online")</f>
        <v>View People Online</v>
      </c>
    </row>
    <row r="4532">
      <c r="A4532" s="10" t="s">
        <v>28174</v>
      </c>
      <c r="B4532" s="10" t="s">
        <v>28175</v>
      </c>
      <c r="C4532" s="10" t="s">
        <v>1929</v>
      </c>
      <c r="D4532" s="10" t="s">
        <v>28176</v>
      </c>
      <c r="E4532" s="10" t="s">
        <v>28164</v>
      </c>
      <c r="F4532" s="10" t="s">
        <v>26897</v>
      </c>
      <c r="G4532" s="10" t="s">
        <v>28177</v>
      </c>
      <c r="H4532" s="11" t="s">
        <v>31</v>
      </c>
      <c r="I4532" s="11">
        <v>1.0</v>
      </c>
      <c r="J4532" s="11">
        <v>1.0</v>
      </c>
      <c r="K4532" s="11" t="s">
        <v>31</v>
      </c>
      <c r="L4532" s="12" t="s">
        <v>31</v>
      </c>
      <c r="M4532" s="10" t="s">
        <v>31</v>
      </c>
      <c r="N4532" s="10" t="s">
        <v>1416</v>
      </c>
      <c r="O4532" s="12" t="s">
        <v>1417</v>
      </c>
      <c r="P4532" s="10" t="s">
        <v>28166</v>
      </c>
      <c r="Q4532" s="10" t="s">
        <v>28167</v>
      </c>
      <c r="R4532" s="10" t="s">
        <v>1420</v>
      </c>
      <c r="S4532" s="12" t="s">
        <v>28168</v>
      </c>
      <c r="T4532" s="10" t="s">
        <v>66</v>
      </c>
      <c r="U4532" s="12" t="s">
        <v>31</v>
      </c>
      <c r="V4532" s="10" t="s">
        <v>28178</v>
      </c>
      <c r="W4532" s="10" t="s">
        <v>28164</v>
      </c>
      <c r="X4532" s="13" t="str">
        <f>HYPERLINK("https://my.pitchbook.com?p=208465-84P","View People Online")</f>
        <v>View People Online</v>
      </c>
    </row>
    <row r="4533">
      <c r="A4533" s="6" t="s">
        <v>28179</v>
      </c>
      <c r="B4533" s="6" t="s">
        <v>28180</v>
      </c>
      <c r="C4533" s="6" t="s">
        <v>69</v>
      </c>
      <c r="D4533" s="6" t="s">
        <v>28181</v>
      </c>
      <c r="E4533" s="6" t="s">
        <v>28164</v>
      </c>
      <c r="F4533" s="6" t="s">
        <v>120</v>
      </c>
      <c r="G4533" s="6" t="s">
        <v>28182</v>
      </c>
      <c r="H4533" s="7" t="s">
        <v>31</v>
      </c>
      <c r="I4533" s="7">
        <v>2.0</v>
      </c>
      <c r="J4533" s="7">
        <v>2.0</v>
      </c>
      <c r="K4533" s="7" t="s">
        <v>31</v>
      </c>
      <c r="L4533" s="8" t="s">
        <v>28183</v>
      </c>
      <c r="M4533" s="6" t="s">
        <v>28184</v>
      </c>
      <c r="N4533" s="6" t="s">
        <v>28185</v>
      </c>
      <c r="O4533" s="8" t="s">
        <v>28186</v>
      </c>
      <c r="P4533" s="6" t="s">
        <v>28187</v>
      </c>
      <c r="Q4533" s="6" t="s">
        <v>31</v>
      </c>
      <c r="R4533" s="6" t="s">
        <v>396</v>
      </c>
      <c r="S4533" s="8" t="s">
        <v>28188</v>
      </c>
      <c r="T4533" s="6" t="s">
        <v>66</v>
      </c>
      <c r="U4533" s="8" t="s">
        <v>28189</v>
      </c>
      <c r="V4533" s="6" t="s">
        <v>28190</v>
      </c>
      <c r="W4533" s="6" t="s">
        <v>28191</v>
      </c>
      <c r="X4533" s="9" t="str">
        <f>HYPERLINK("https://my.pitchbook.com?p=185253-13P","View People Online")</f>
        <v>View People Online</v>
      </c>
    </row>
    <row r="4534">
      <c r="A4534" s="2" t="s">
        <v>28192</v>
      </c>
      <c r="B4534" s="2" t="s">
        <v>28193</v>
      </c>
      <c r="C4534" s="2" t="s">
        <v>3529</v>
      </c>
      <c r="D4534" s="2" t="s">
        <v>28194</v>
      </c>
      <c r="E4534" s="2" t="s">
        <v>28164</v>
      </c>
      <c r="F4534" s="2" t="s">
        <v>29</v>
      </c>
      <c r="G4534" s="2" t="s">
        <v>28195</v>
      </c>
      <c r="H4534" s="3">
        <v>1.0</v>
      </c>
      <c r="I4534" s="3">
        <v>2.0</v>
      </c>
      <c r="J4534" s="3">
        <v>1.0</v>
      </c>
      <c r="K4534" s="3" t="s">
        <v>31</v>
      </c>
      <c r="L4534" s="4" t="s">
        <v>31</v>
      </c>
      <c r="M4534" s="2" t="s">
        <v>31</v>
      </c>
      <c r="N4534" s="2" t="s">
        <v>1416</v>
      </c>
      <c r="O4534" s="4" t="s">
        <v>1417</v>
      </c>
      <c r="P4534" s="2" t="s">
        <v>28166</v>
      </c>
      <c r="Q4534" s="2" t="s">
        <v>28167</v>
      </c>
      <c r="R4534" s="2" t="s">
        <v>1420</v>
      </c>
      <c r="S4534" s="4" t="s">
        <v>28168</v>
      </c>
      <c r="T4534" s="2" t="s">
        <v>66</v>
      </c>
      <c r="U4534" s="4" t="s">
        <v>31</v>
      </c>
      <c r="V4534" s="2" t="s">
        <v>29</v>
      </c>
      <c r="W4534" s="2" t="s">
        <v>28164</v>
      </c>
      <c r="X4534" s="5" t="str">
        <f>HYPERLINK("https://my.pitchbook.com?p=208445-86P","View People Online")</f>
        <v>View People Online</v>
      </c>
    </row>
    <row r="4535">
      <c r="A4535" s="6" t="s">
        <v>28196</v>
      </c>
      <c r="B4535" s="6" t="s">
        <v>28197</v>
      </c>
      <c r="C4535" s="6" t="s">
        <v>12056</v>
      </c>
      <c r="D4535" s="6" t="s">
        <v>28198</v>
      </c>
      <c r="E4535" s="6" t="s">
        <v>28164</v>
      </c>
      <c r="F4535" s="6" t="s">
        <v>28199</v>
      </c>
      <c r="G4535" s="6" t="s">
        <v>28200</v>
      </c>
      <c r="H4535" s="7">
        <v>2.0</v>
      </c>
      <c r="I4535" s="7">
        <v>6.0</v>
      </c>
      <c r="J4535" s="7">
        <v>1.0</v>
      </c>
      <c r="K4535" s="7">
        <v>2.0</v>
      </c>
      <c r="L4535" s="8" t="s">
        <v>28201</v>
      </c>
      <c r="M4535" s="6" t="s">
        <v>28202</v>
      </c>
      <c r="N4535" s="6" t="s">
        <v>1416</v>
      </c>
      <c r="O4535" s="8" t="s">
        <v>1417</v>
      </c>
      <c r="P4535" s="6" t="s">
        <v>28166</v>
      </c>
      <c r="Q4535" s="6" t="s">
        <v>28167</v>
      </c>
      <c r="R4535" s="6" t="s">
        <v>1420</v>
      </c>
      <c r="S4535" s="8" t="s">
        <v>28168</v>
      </c>
      <c r="T4535" s="6" t="s">
        <v>66</v>
      </c>
      <c r="U4535" s="8" t="s">
        <v>31</v>
      </c>
      <c r="V4535" s="6" t="s">
        <v>28203</v>
      </c>
      <c r="W4535" s="6" t="s">
        <v>28164</v>
      </c>
      <c r="X4535" s="9" t="str">
        <f>HYPERLINK("https://my.pitchbook.com?p=142509-43P","View People Online")</f>
        <v>View People Online</v>
      </c>
    </row>
    <row r="4536">
      <c r="A4536" s="2" t="s">
        <v>28204</v>
      </c>
      <c r="B4536" s="2" t="s">
        <v>28205</v>
      </c>
      <c r="C4536" s="2" t="s">
        <v>28206</v>
      </c>
      <c r="D4536" s="2" t="s">
        <v>28207</v>
      </c>
      <c r="E4536" s="2" t="s">
        <v>28164</v>
      </c>
      <c r="F4536" s="2" t="s">
        <v>120</v>
      </c>
      <c r="G4536" s="2" t="s">
        <v>28208</v>
      </c>
      <c r="H4536" s="3" t="s">
        <v>31</v>
      </c>
      <c r="I4536" s="3">
        <v>2.0</v>
      </c>
      <c r="J4536" s="3">
        <v>2.0</v>
      </c>
      <c r="K4536" s="3" t="s">
        <v>31</v>
      </c>
      <c r="L4536" s="4" t="s">
        <v>28209</v>
      </c>
      <c r="M4536" s="2" t="s">
        <v>28210</v>
      </c>
      <c r="N4536" s="2" t="s">
        <v>28211</v>
      </c>
      <c r="O4536" s="4" t="s">
        <v>28212</v>
      </c>
      <c r="P4536" s="2" t="s">
        <v>28213</v>
      </c>
      <c r="Q4536" s="2" t="s">
        <v>27524</v>
      </c>
      <c r="R4536" s="2" t="s">
        <v>28214</v>
      </c>
      <c r="S4536" s="4" t="s">
        <v>28215</v>
      </c>
      <c r="T4536" s="2" t="s">
        <v>66</v>
      </c>
      <c r="U4536" s="4" t="s">
        <v>31</v>
      </c>
      <c r="V4536" s="2" t="s">
        <v>28216</v>
      </c>
      <c r="W4536" s="2" t="s">
        <v>28217</v>
      </c>
      <c r="X4536" s="5" t="str">
        <f>HYPERLINK("https://my.pitchbook.com?p=157036-33P","View People Online")</f>
        <v>View People Online</v>
      </c>
    </row>
    <row r="4537">
      <c r="A4537" s="14" t="s">
        <v>28218</v>
      </c>
      <c r="B4537" s="14" t="s">
        <v>28219</v>
      </c>
      <c r="C4537" s="14" t="s">
        <v>28220</v>
      </c>
      <c r="D4537" s="14" t="s">
        <v>18808</v>
      </c>
      <c r="E4537" s="14" t="s">
        <v>28164</v>
      </c>
      <c r="F4537" s="14" t="s">
        <v>120</v>
      </c>
      <c r="G4537" s="14" t="s">
        <v>28221</v>
      </c>
      <c r="H4537" s="15" t="s">
        <v>31</v>
      </c>
      <c r="I4537" s="15">
        <v>1.0</v>
      </c>
      <c r="J4537" s="15">
        <v>1.0</v>
      </c>
      <c r="K4537" s="15" t="s">
        <v>31</v>
      </c>
      <c r="L4537" s="16" t="s">
        <v>31</v>
      </c>
      <c r="M4537" s="14" t="s">
        <v>31</v>
      </c>
      <c r="N4537" s="14" t="s">
        <v>1416</v>
      </c>
      <c r="O4537" s="16" t="s">
        <v>1417</v>
      </c>
      <c r="P4537" s="14" t="s">
        <v>28166</v>
      </c>
      <c r="Q4537" s="14" t="s">
        <v>28167</v>
      </c>
      <c r="R4537" s="14" t="s">
        <v>1420</v>
      </c>
      <c r="S4537" s="16" t="s">
        <v>28168</v>
      </c>
      <c r="T4537" s="14" t="s">
        <v>66</v>
      </c>
      <c r="U4537" s="16" t="s">
        <v>31</v>
      </c>
      <c r="V4537" s="14" t="s">
        <v>120</v>
      </c>
      <c r="W4537" s="14" t="s">
        <v>28164</v>
      </c>
      <c r="X4537" s="17" t="str">
        <f>HYPERLINK("https://my.pitchbook.com?p=142511-68P","View People Online")</f>
        <v>View People Online</v>
      </c>
    </row>
    <row r="4538">
      <c r="A4538" s="10" t="s">
        <v>28222</v>
      </c>
      <c r="B4538" s="10" t="s">
        <v>28223</v>
      </c>
      <c r="C4538" s="10" t="s">
        <v>6199</v>
      </c>
      <c r="D4538" s="10" t="s">
        <v>28224</v>
      </c>
      <c r="E4538" s="10" t="s">
        <v>28164</v>
      </c>
      <c r="F4538" s="10" t="s">
        <v>120</v>
      </c>
      <c r="G4538" s="10" t="s">
        <v>28225</v>
      </c>
      <c r="H4538" s="11" t="s">
        <v>31</v>
      </c>
      <c r="I4538" s="11">
        <v>2.0</v>
      </c>
      <c r="J4538" s="11">
        <v>1.0</v>
      </c>
      <c r="K4538" s="11" t="s">
        <v>31</v>
      </c>
      <c r="L4538" s="12" t="s">
        <v>28226</v>
      </c>
      <c r="M4538" s="10" t="s">
        <v>31</v>
      </c>
      <c r="N4538" s="10" t="s">
        <v>1416</v>
      </c>
      <c r="O4538" s="12" t="s">
        <v>1417</v>
      </c>
      <c r="P4538" s="10" t="s">
        <v>28166</v>
      </c>
      <c r="Q4538" s="10" t="s">
        <v>28167</v>
      </c>
      <c r="R4538" s="10" t="s">
        <v>1420</v>
      </c>
      <c r="S4538" s="12" t="s">
        <v>28168</v>
      </c>
      <c r="T4538" s="10" t="s">
        <v>66</v>
      </c>
      <c r="U4538" s="12" t="s">
        <v>31</v>
      </c>
      <c r="V4538" s="10" t="s">
        <v>120</v>
      </c>
      <c r="W4538" s="10" t="s">
        <v>28164</v>
      </c>
      <c r="X4538" s="13" t="str">
        <f>HYPERLINK("https://my.pitchbook.com?p=201040-39P","View People Online")</f>
        <v>View People Online</v>
      </c>
    </row>
    <row r="4539">
      <c r="A4539" s="14" t="s">
        <v>28227</v>
      </c>
      <c r="B4539" s="14" t="s">
        <v>28228</v>
      </c>
      <c r="C4539" s="14" t="s">
        <v>28229</v>
      </c>
      <c r="D4539" s="14" t="s">
        <v>28230</v>
      </c>
      <c r="E4539" s="14" t="s">
        <v>28231</v>
      </c>
      <c r="F4539" s="14" t="s">
        <v>270</v>
      </c>
      <c r="G4539" s="14" t="s">
        <v>28232</v>
      </c>
      <c r="H4539" s="15" t="s">
        <v>31</v>
      </c>
      <c r="I4539" s="15">
        <v>1.0</v>
      </c>
      <c r="J4539" s="15">
        <v>1.0</v>
      </c>
      <c r="K4539" s="15" t="s">
        <v>31</v>
      </c>
      <c r="L4539" s="16" t="s">
        <v>28233</v>
      </c>
      <c r="M4539" s="14" t="s">
        <v>31</v>
      </c>
      <c r="N4539" s="14" t="s">
        <v>75</v>
      </c>
      <c r="O4539" s="16" t="s">
        <v>76</v>
      </c>
      <c r="P4539" s="14" t="s">
        <v>28234</v>
      </c>
      <c r="Q4539" s="14" t="s">
        <v>577</v>
      </c>
      <c r="R4539" s="14" t="s">
        <v>75</v>
      </c>
      <c r="S4539" s="16" t="s">
        <v>1432</v>
      </c>
      <c r="T4539" s="14" t="s">
        <v>66</v>
      </c>
      <c r="U4539" s="16" t="s">
        <v>31</v>
      </c>
      <c r="V4539" s="14" t="s">
        <v>440</v>
      </c>
      <c r="W4539" s="14" t="s">
        <v>28231</v>
      </c>
      <c r="X4539" s="17" t="str">
        <f>HYPERLINK("https://my.pitchbook.com?p=334906-75P","View People Online")</f>
        <v>View People Online</v>
      </c>
    </row>
    <row r="4540">
      <c r="A4540" s="2" t="s">
        <v>28235</v>
      </c>
      <c r="B4540" s="2" t="s">
        <v>28236</v>
      </c>
      <c r="C4540" s="2" t="s">
        <v>1929</v>
      </c>
      <c r="D4540" s="2" t="s">
        <v>28237</v>
      </c>
      <c r="E4540" s="2" t="s">
        <v>28231</v>
      </c>
      <c r="F4540" s="2" t="s">
        <v>81</v>
      </c>
      <c r="G4540" s="2" t="s">
        <v>28238</v>
      </c>
      <c r="H4540" s="3" t="s">
        <v>31</v>
      </c>
      <c r="I4540" s="3">
        <v>5.0</v>
      </c>
      <c r="J4540" s="3" t="s">
        <v>31</v>
      </c>
      <c r="K4540" s="3">
        <v>4.0</v>
      </c>
      <c r="L4540" s="4" t="s">
        <v>28233</v>
      </c>
      <c r="M4540" s="2" t="s">
        <v>31</v>
      </c>
      <c r="N4540" s="2" t="s">
        <v>75</v>
      </c>
      <c r="O4540" s="4" t="s">
        <v>76</v>
      </c>
      <c r="P4540" s="2" t="s">
        <v>28234</v>
      </c>
      <c r="Q4540" s="2" t="s">
        <v>577</v>
      </c>
      <c r="R4540" s="2" t="s">
        <v>75</v>
      </c>
      <c r="S4540" s="4" t="s">
        <v>1432</v>
      </c>
      <c r="T4540" s="2" t="s">
        <v>66</v>
      </c>
      <c r="U4540" s="4" t="s">
        <v>31</v>
      </c>
      <c r="V4540" s="2" t="s">
        <v>81</v>
      </c>
      <c r="W4540" s="2" t="s">
        <v>28231</v>
      </c>
      <c r="X4540" s="5" t="str">
        <f>HYPERLINK("https://my.pitchbook.com?p=137725-93P","View People Online")</f>
        <v>View People Online</v>
      </c>
    </row>
    <row r="4541">
      <c r="A4541" s="6" t="s">
        <v>28239</v>
      </c>
      <c r="B4541" s="6" t="s">
        <v>28240</v>
      </c>
      <c r="C4541" s="6" t="s">
        <v>1449</v>
      </c>
      <c r="D4541" s="6" t="s">
        <v>28241</v>
      </c>
      <c r="E4541" s="6" t="s">
        <v>28231</v>
      </c>
      <c r="F4541" s="6" t="s">
        <v>81</v>
      </c>
      <c r="G4541" s="6" t="s">
        <v>28242</v>
      </c>
      <c r="H4541" s="7" t="s">
        <v>31</v>
      </c>
      <c r="I4541" s="7">
        <v>1.0</v>
      </c>
      <c r="J4541" s="7" t="s">
        <v>31</v>
      </c>
      <c r="K4541" s="7" t="s">
        <v>31</v>
      </c>
      <c r="L4541" s="8" t="s">
        <v>28233</v>
      </c>
      <c r="M4541" s="6" t="s">
        <v>31</v>
      </c>
      <c r="N4541" s="6" t="s">
        <v>75</v>
      </c>
      <c r="O4541" s="8" t="s">
        <v>76</v>
      </c>
      <c r="P4541" s="6" t="s">
        <v>28234</v>
      </c>
      <c r="Q4541" s="6" t="s">
        <v>577</v>
      </c>
      <c r="R4541" s="6" t="s">
        <v>75</v>
      </c>
      <c r="S4541" s="8" t="s">
        <v>1432</v>
      </c>
      <c r="T4541" s="6" t="s">
        <v>66</v>
      </c>
      <c r="U4541" s="8" t="s">
        <v>31</v>
      </c>
      <c r="V4541" s="6" t="s">
        <v>81</v>
      </c>
      <c r="W4541" s="6" t="s">
        <v>28231</v>
      </c>
      <c r="X4541" s="9" t="str">
        <f>HYPERLINK("https://my.pitchbook.com?p=118601-20P","View People Online")</f>
        <v>View People Online</v>
      </c>
    </row>
    <row r="4542">
      <c r="A4542" s="2" t="s">
        <v>28243</v>
      </c>
      <c r="B4542" s="2" t="s">
        <v>28244</v>
      </c>
      <c r="C4542" s="2" t="s">
        <v>9166</v>
      </c>
      <c r="D4542" s="2" t="s">
        <v>28245</v>
      </c>
      <c r="E4542" s="2" t="s">
        <v>28231</v>
      </c>
      <c r="F4542" s="2" t="s">
        <v>270</v>
      </c>
      <c r="G4542" s="2" t="s">
        <v>28246</v>
      </c>
      <c r="H4542" s="3" t="s">
        <v>31</v>
      </c>
      <c r="I4542" s="3">
        <v>1.0</v>
      </c>
      <c r="J4542" s="3">
        <v>1.0</v>
      </c>
      <c r="K4542" s="3" t="s">
        <v>31</v>
      </c>
      <c r="L4542" s="4" t="s">
        <v>28233</v>
      </c>
      <c r="M4542" s="2" t="s">
        <v>31</v>
      </c>
      <c r="N4542" s="2" t="s">
        <v>75</v>
      </c>
      <c r="O4542" s="4" t="s">
        <v>76</v>
      </c>
      <c r="P4542" s="2" t="s">
        <v>28234</v>
      </c>
      <c r="Q4542" s="2" t="s">
        <v>577</v>
      </c>
      <c r="R4542" s="2" t="s">
        <v>75</v>
      </c>
      <c r="S4542" s="4" t="s">
        <v>1432</v>
      </c>
      <c r="T4542" s="2" t="s">
        <v>66</v>
      </c>
      <c r="U4542" s="4" t="s">
        <v>31</v>
      </c>
      <c r="V4542" s="2" t="s">
        <v>440</v>
      </c>
      <c r="W4542" s="2" t="s">
        <v>28231</v>
      </c>
      <c r="X4542" s="5" t="str">
        <f>HYPERLINK("https://my.pitchbook.com?p=342370-63P","View People Online")</f>
        <v>View People Online</v>
      </c>
    </row>
    <row r="4543">
      <c r="A4543" s="14" t="s">
        <v>28247</v>
      </c>
      <c r="B4543" s="14" t="s">
        <v>28248</v>
      </c>
      <c r="C4543" s="14" t="s">
        <v>3670</v>
      </c>
      <c r="D4543" s="14" t="s">
        <v>28249</v>
      </c>
      <c r="E4543" s="14" t="s">
        <v>28231</v>
      </c>
      <c r="F4543" s="14" t="s">
        <v>29</v>
      </c>
      <c r="G4543" s="14" t="s">
        <v>28250</v>
      </c>
      <c r="H4543" s="15">
        <v>3.0</v>
      </c>
      <c r="I4543" s="15">
        <v>15.0</v>
      </c>
      <c r="J4543" s="15">
        <v>1.0</v>
      </c>
      <c r="K4543" s="15">
        <v>9.0</v>
      </c>
      <c r="L4543" s="16" t="s">
        <v>28233</v>
      </c>
      <c r="M4543" s="14" t="s">
        <v>28251</v>
      </c>
      <c r="N4543" s="14" t="s">
        <v>75</v>
      </c>
      <c r="O4543" s="16" t="s">
        <v>76</v>
      </c>
      <c r="P4543" s="14" t="s">
        <v>28234</v>
      </c>
      <c r="Q4543" s="14" t="s">
        <v>577</v>
      </c>
      <c r="R4543" s="14" t="s">
        <v>75</v>
      </c>
      <c r="S4543" s="16" t="s">
        <v>1432</v>
      </c>
      <c r="T4543" s="14" t="s">
        <v>66</v>
      </c>
      <c r="U4543" s="16" t="s">
        <v>31</v>
      </c>
      <c r="V4543" s="14" t="s">
        <v>2379</v>
      </c>
      <c r="W4543" s="14" t="s">
        <v>28252</v>
      </c>
      <c r="X4543" s="17" t="str">
        <f>HYPERLINK("https://my.pitchbook.com?p=55528-30P","View People Online")</f>
        <v>View People Online</v>
      </c>
    </row>
    <row r="4544">
      <c r="A4544" s="10" t="s">
        <v>28253</v>
      </c>
      <c r="B4544" s="10" t="s">
        <v>28254</v>
      </c>
      <c r="C4544" s="10" t="s">
        <v>3052</v>
      </c>
      <c r="D4544" s="10" t="s">
        <v>200</v>
      </c>
      <c r="E4544" s="10" t="s">
        <v>28231</v>
      </c>
      <c r="F4544" s="10" t="s">
        <v>189</v>
      </c>
      <c r="G4544" s="10" t="s">
        <v>28255</v>
      </c>
      <c r="H4544" s="11">
        <v>2.0</v>
      </c>
      <c r="I4544" s="11">
        <v>33.0</v>
      </c>
      <c r="J4544" s="11">
        <v>1.0</v>
      </c>
      <c r="K4544" s="11">
        <v>24.0</v>
      </c>
      <c r="L4544" s="12" t="s">
        <v>28233</v>
      </c>
      <c r="M4544" s="10" t="s">
        <v>28256</v>
      </c>
      <c r="N4544" s="10" t="s">
        <v>75</v>
      </c>
      <c r="O4544" s="12" t="s">
        <v>76</v>
      </c>
      <c r="P4544" s="10" t="s">
        <v>28234</v>
      </c>
      <c r="Q4544" s="10" t="s">
        <v>577</v>
      </c>
      <c r="R4544" s="10" t="s">
        <v>75</v>
      </c>
      <c r="S4544" s="12" t="s">
        <v>1432</v>
      </c>
      <c r="T4544" s="10" t="s">
        <v>66</v>
      </c>
      <c r="U4544" s="12" t="s">
        <v>31</v>
      </c>
      <c r="V4544" s="10" t="s">
        <v>189</v>
      </c>
      <c r="W4544" s="10" t="s">
        <v>28231</v>
      </c>
      <c r="X4544" s="13" t="str">
        <f>HYPERLINK("https://my.pitchbook.com?p=36765-82P","View People Online")</f>
        <v>View People Online</v>
      </c>
    </row>
    <row r="4545">
      <c r="A4545" s="6" t="s">
        <v>28257</v>
      </c>
      <c r="B4545" s="6" t="s">
        <v>28258</v>
      </c>
      <c r="C4545" s="6" t="s">
        <v>18807</v>
      </c>
      <c r="D4545" s="6" t="s">
        <v>28259</v>
      </c>
      <c r="E4545" s="6" t="s">
        <v>28231</v>
      </c>
      <c r="F4545" s="6" t="s">
        <v>270</v>
      </c>
      <c r="G4545" s="6" t="s">
        <v>28260</v>
      </c>
      <c r="H4545" s="7" t="s">
        <v>31</v>
      </c>
      <c r="I4545" s="7">
        <v>2.0</v>
      </c>
      <c r="J4545" s="7">
        <v>2.0</v>
      </c>
      <c r="K4545" s="7" t="s">
        <v>31</v>
      </c>
      <c r="L4545" s="8" t="s">
        <v>28233</v>
      </c>
      <c r="M4545" s="6" t="s">
        <v>28261</v>
      </c>
      <c r="N4545" s="6" t="s">
        <v>75</v>
      </c>
      <c r="O4545" s="8" t="s">
        <v>76</v>
      </c>
      <c r="P4545" s="6" t="s">
        <v>1121</v>
      </c>
      <c r="Q4545" s="6" t="s">
        <v>31</v>
      </c>
      <c r="R4545" s="6" t="s">
        <v>75</v>
      </c>
      <c r="S4545" s="8" t="s">
        <v>1122</v>
      </c>
      <c r="T4545" s="6" t="s">
        <v>66</v>
      </c>
      <c r="U4545" s="8" t="s">
        <v>31</v>
      </c>
      <c r="V4545" s="6" t="s">
        <v>28262</v>
      </c>
      <c r="W4545" s="6" t="s">
        <v>28263</v>
      </c>
      <c r="X4545" s="9" t="str">
        <f>HYPERLINK("https://my.pitchbook.com?p=404259-13P","View People Online")</f>
        <v>View People Online</v>
      </c>
    </row>
    <row r="4546">
      <c r="A4546" s="10" t="s">
        <v>28264</v>
      </c>
      <c r="B4546" s="10" t="s">
        <v>28265</v>
      </c>
      <c r="C4546" s="10" t="s">
        <v>126</v>
      </c>
      <c r="D4546" s="10" t="s">
        <v>28266</v>
      </c>
      <c r="E4546" s="10" t="s">
        <v>28231</v>
      </c>
      <c r="F4546" s="10" t="s">
        <v>81</v>
      </c>
      <c r="G4546" s="10" t="s">
        <v>28267</v>
      </c>
      <c r="H4546" s="11" t="s">
        <v>31</v>
      </c>
      <c r="I4546" s="11">
        <v>2.0</v>
      </c>
      <c r="J4546" s="11">
        <v>1.0</v>
      </c>
      <c r="K4546" s="11" t="s">
        <v>31</v>
      </c>
      <c r="L4546" s="12" t="s">
        <v>31</v>
      </c>
      <c r="M4546" s="10" t="s">
        <v>28268</v>
      </c>
      <c r="N4546" s="10" t="s">
        <v>28269</v>
      </c>
      <c r="O4546" s="12" t="s">
        <v>28270</v>
      </c>
      <c r="P4546" s="10" t="s">
        <v>28271</v>
      </c>
      <c r="Q4546" s="10" t="s">
        <v>28272</v>
      </c>
      <c r="R4546" s="10" t="s">
        <v>10326</v>
      </c>
      <c r="S4546" s="12" t="s">
        <v>28273</v>
      </c>
      <c r="T4546" s="10" t="s">
        <v>66</v>
      </c>
      <c r="U4546" s="12" t="s">
        <v>31</v>
      </c>
      <c r="V4546" s="10" t="s">
        <v>502</v>
      </c>
      <c r="W4546" s="10" t="s">
        <v>28274</v>
      </c>
      <c r="X4546" s="13" t="str">
        <f>HYPERLINK("https://my.pitchbook.com?p=44185-78P","View People Online")</f>
        <v>View People Online</v>
      </c>
    </row>
    <row r="4547">
      <c r="A4547" s="14" t="s">
        <v>28275</v>
      </c>
      <c r="B4547" s="14" t="s">
        <v>28276</v>
      </c>
      <c r="C4547" s="14" t="s">
        <v>3875</v>
      </c>
      <c r="D4547" s="14" t="s">
        <v>28277</v>
      </c>
      <c r="E4547" s="14" t="s">
        <v>28231</v>
      </c>
      <c r="F4547" s="14" t="s">
        <v>318</v>
      </c>
      <c r="G4547" s="14" t="s">
        <v>28278</v>
      </c>
      <c r="H4547" s="15">
        <v>1.0</v>
      </c>
      <c r="I4547" s="15">
        <v>4.0</v>
      </c>
      <c r="J4547" s="15">
        <v>1.0</v>
      </c>
      <c r="K4547" s="15">
        <v>2.0</v>
      </c>
      <c r="L4547" s="16" t="s">
        <v>28233</v>
      </c>
      <c r="M4547" s="14" t="s">
        <v>28279</v>
      </c>
      <c r="N4547" s="14" t="s">
        <v>75</v>
      </c>
      <c r="O4547" s="16" t="s">
        <v>76</v>
      </c>
      <c r="P4547" s="14" t="s">
        <v>28234</v>
      </c>
      <c r="Q4547" s="14" t="s">
        <v>577</v>
      </c>
      <c r="R4547" s="14" t="s">
        <v>75</v>
      </c>
      <c r="S4547" s="16" t="s">
        <v>1432</v>
      </c>
      <c r="T4547" s="14" t="s">
        <v>66</v>
      </c>
      <c r="U4547" s="16" t="s">
        <v>31</v>
      </c>
      <c r="V4547" s="14" t="s">
        <v>318</v>
      </c>
      <c r="W4547" s="14" t="s">
        <v>28231</v>
      </c>
      <c r="X4547" s="17" t="str">
        <f>HYPERLINK("https://my.pitchbook.com?p=226225-09P","View People Online")</f>
        <v>View People Online</v>
      </c>
    </row>
    <row r="4548">
      <c r="A4548" s="10" t="s">
        <v>28280</v>
      </c>
      <c r="B4548" s="10" t="s">
        <v>28281</v>
      </c>
      <c r="C4548" s="10" t="s">
        <v>12242</v>
      </c>
      <c r="D4548" s="10" t="s">
        <v>2505</v>
      </c>
      <c r="E4548" s="10" t="s">
        <v>28231</v>
      </c>
      <c r="F4548" s="10" t="s">
        <v>825</v>
      </c>
      <c r="G4548" s="10" t="s">
        <v>28282</v>
      </c>
      <c r="H4548" s="11" t="s">
        <v>31</v>
      </c>
      <c r="I4548" s="11">
        <v>1.0</v>
      </c>
      <c r="J4548" s="11">
        <v>1.0</v>
      </c>
      <c r="K4548" s="11" t="s">
        <v>31</v>
      </c>
      <c r="L4548" s="12" t="s">
        <v>28233</v>
      </c>
      <c r="M4548" s="10" t="s">
        <v>28283</v>
      </c>
      <c r="N4548" s="10" t="s">
        <v>75</v>
      </c>
      <c r="O4548" s="12" t="s">
        <v>76</v>
      </c>
      <c r="P4548" s="10" t="s">
        <v>28234</v>
      </c>
      <c r="Q4548" s="10" t="s">
        <v>577</v>
      </c>
      <c r="R4548" s="10" t="s">
        <v>75</v>
      </c>
      <c r="S4548" s="12" t="s">
        <v>1432</v>
      </c>
      <c r="T4548" s="10" t="s">
        <v>66</v>
      </c>
      <c r="U4548" s="12" t="s">
        <v>31</v>
      </c>
      <c r="V4548" s="10" t="s">
        <v>28284</v>
      </c>
      <c r="W4548" s="10" t="s">
        <v>28231</v>
      </c>
      <c r="X4548" s="13" t="str">
        <f>HYPERLINK("https://my.pitchbook.com?p=260756-20P","View People Online")</f>
        <v>View People Online</v>
      </c>
    </row>
    <row r="4549">
      <c r="A4549" s="14" t="s">
        <v>28285</v>
      </c>
      <c r="B4549" s="14" t="s">
        <v>28286</v>
      </c>
      <c r="C4549" s="14" t="s">
        <v>28287</v>
      </c>
      <c r="D4549" s="14" t="s">
        <v>28288</v>
      </c>
      <c r="E4549" s="14" t="s">
        <v>28289</v>
      </c>
      <c r="F4549" s="14" t="s">
        <v>114</v>
      </c>
      <c r="G4549" s="14" t="s">
        <v>28290</v>
      </c>
      <c r="H4549" s="15" t="s">
        <v>31</v>
      </c>
      <c r="I4549" s="15">
        <v>4.0</v>
      </c>
      <c r="J4549" s="15">
        <v>2.0</v>
      </c>
      <c r="K4549" s="15">
        <v>1.0</v>
      </c>
      <c r="L4549" s="16" t="s">
        <v>31</v>
      </c>
      <c r="M4549" s="14" t="s">
        <v>28291</v>
      </c>
      <c r="N4549" s="14" t="s">
        <v>6669</v>
      </c>
      <c r="O4549" s="16" t="s">
        <v>6670</v>
      </c>
      <c r="P4549" s="14" t="s">
        <v>28292</v>
      </c>
      <c r="Q4549" s="14" t="s">
        <v>31</v>
      </c>
      <c r="R4549" s="14" t="s">
        <v>1185</v>
      </c>
      <c r="S4549" s="16" t="s">
        <v>28293</v>
      </c>
      <c r="T4549" s="14" t="s">
        <v>66</v>
      </c>
      <c r="U4549" s="16" t="s">
        <v>31</v>
      </c>
      <c r="V4549" s="14" t="s">
        <v>29</v>
      </c>
      <c r="W4549" s="14" t="s">
        <v>28294</v>
      </c>
      <c r="X4549" s="17" t="str">
        <f>HYPERLINK("https://my.pitchbook.com?p=13209-04P","View People Online")</f>
        <v>View People Online</v>
      </c>
    </row>
    <row r="4550">
      <c r="A4550" s="10" t="s">
        <v>28295</v>
      </c>
      <c r="B4550" s="10" t="s">
        <v>28296</v>
      </c>
      <c r="C4550" s="10" t="s">
        <v>4731</v>
      </c>
      <c r="D4550" s="10" t="s">
        <v>4662</v>
      </c>
      <c r="E4550" s="10" t="s">
        <v>28289</v>
      </c>
      <c r="F4550" s="10" t="s">
        <v>270</v>
      </c>
      <c r="G4550" s="10" t="s">
        <v>28297</v>
      </c>
      <c r="H4550" s="11" t="s">
        <v>31</v>
      </c>
      <c r="I4550" s="11">
        <v>1.0</v>
      </c>
      <c r="J4550" s="11">
        <v>1.0</v>
      </c>
      <c r="K4550" s="11" t="s">
        <v>31</v>
      </c>
      <c r="L4550" s="12" t="s">
        <v>31</v>
      </c>
      <c r="M4550" s="10" t="s">
        <v>31</v>
      </c>
      <c r="N4550" s="10" t="s">
        <v>1181</v>
      </c>
      <c r="O4550" s="12" t="s">
        <v>1182</v>
      </c>
      <c r="P4550" s="10" t="s">
        <v>28298</v>
      </c>
      <c r="Q4550" s="10" t="s">
        <v>28299</v>
      </c>
      <c r="R4550" s="10" t="s">
        <v>1185</v>
      </c>
      <c r="S4550" s="12" t="s">
        <v>1186</v>
      </c>
      <c r="T4550" s="10" t="s">
        <v>66</v>
      </c>
      <c r="U4550" s="12" t="s">
        <v>31</v>
      </c>
      <c r="V4550" s="10" t="s">
        <v>440</v>
      </c>
      <c r="W4550" s="10" t="s">
        <v>28289</v>
      </c>
      <c r="X4550" s="13" t="str">
        <f>HYPERLINK("https://my.pitchbook.com?p=426695-41P","View People Online")</f>
        <v>View People Online</v>
      </c>
    </row>
    <row r="4551">
      <c r="A4551" s="6" t="s">
        <v>28300</v>
      </c>
      <c r="B4551" s="6" t="s">
        <v>28301</v>
      </c>
      <c r="C4551" s="6" t="s">
        <v>28302</v>
      </c>
      <c r="D4551" s="6" t="s">
        <v>28303</v>
      </c>
      <c r="E4551" s="6" t="s">
        <v>28289</v>
      </c>
      <c r="F4551" s="6" t="s">
        <v>667</v>
      </c>
      <c r="G4551" s="6" t="s">
        <v>28304</v>
      </c>
      <c r="H4551" s="7" t="s">
        <v>31</v>
      </c>
      <c r="I4551" s="7">
        <v>1.0</v>
      </c>
      <c r="J4551" s="7">
        <v>1.0</v>
      </c>
      <c r="K4551" s="7" t="s">
        <v>31</v>
      </c>
      <c r="L4551" s="8" t="s">
        <v>31</v>
      </c>
      <c r="M4551" s="6" t="s">
        <v>28305</v>
      </c>
      <c r="N4551" s="6" t="s">
        <v>1181</v>
      </c>
      <c r="O4551" s="8" t="s">
        <v>1182</v>
      </c>
      <c r="P4551" s="6" t="s">
        <v>28298</v>
      </c>
      <c r="Q4551" s="6" t="s">
        <v>28299</v>
      </c>
      <c r="R4551" s="6" t="s">
        <v>1185</v>
      </c>
      <c r="S4551" s="8" t="s">
        <v>1186</v>
      </c>
      <c r="T4551" s="6" t="s">
        <v>66</v>
      </c>
      <c r="U4551" s="8" t="s">
        <v>31</v>
      </c>
      <c r="V4551" s="6" t="s">
        <v>667</v>
      </c>
      <c r="W4551" s="6" t="s">
        <v>28289</v>
      </c>
      <c r="X4551" s="9" t="str">
        <f>HYPERLINK("https://my.pitchbook.com?p=356100-58P","View People Online")</f>
        <v>View People Online</v>
      </c>
    </row>
    <row r="4552">
      <c r="A4552" s="2" t="s">
        <v>28306</v>
      </c>
      <c r="B4552" s="2" t="s">
        <v>28307</v>
      </c>
      <c r="C4552" s="2" t="s">
        <v>7252</v>
      </c>
      <c r="D4552" s="2" t="s">
        <v>28308</v>
      </c>
      <c r="E4552" s="2" t="s">
        <v>28289</v>
      </c>
      <c r="F4552" s="2" t="s">
        <v>114</v>
      </c>
      <c r="G4552" s="2" t="s">
        <v>28309</v>
      </c>
      <c r="H4552" s="3" t="s">
        <v>31</v>
      </c>
      <c r="I4552" s="3">
        <v>1.0</v>
      </c>
      <c r="J4552" s="3">
        <v>1.0</v>
      </c>
      <c r="K4552" s="3" t="s">
        <v>31</v>
      </c>
      <c r="L4552" s="4" t="s">
        <v>31</v>
      </c>
      <c r="M4552" s="2" t="s">
        <v>31</v>
      </c>
      <c r="N4552" s="2" t="s">
        <v>1181</v>
      </c>
      <c r="O4552" s="4" t="s">
        <v>1182</v>
      </c>
      <c r="P4552" s="2" t="s">
        <v>28298</v>
      </c>
      <c r="Q4552" s="2" t="s">
        <v>28299</v>
      </c>
      <c r="R4552" s="2" t="s">
        <v>1185</v>
      </c>
      <c r="S4552" s="4" t="s">
        <v>1186</v>
      </c>
      <c r="T4552" s="2" t="s">
        <v>66</v>
      </c>
      <c r="U4552" s="4" t="s">
        <v>31</v>
      </c>
      <c r="V4552" s="2" t="s">
        <v>29</v>
      </c>
      <c r="W4552" s="2" t="s">
        <v>28310</v>
      </c>
      <c r="X4552" s="5" t="str">
        <f>HYPERLINK("https://my.pitchbook.com?p=16078-60P","View People Online")</f>
        <v>View People Online</v>
      </c>
    </row>
    <row r="4553">
      <c r="A4553" s="6" t="s">
        <v>28311</v>
      </c>
      <c r="B4553" s="6" t="s">
        <v>28312</v>
      </c>
      <c r="C4553" s="6" t="s">
        <v>28313</v>
      </c>
      <c r="D4553" s="6" t="s">
        <v>28314</v>
      </c>
      <c r="E4553" s="6" t="s">
        <v>28289</v>
      </c>
      <c r="F4553" s="6" t="s">
        <v>114</v>
      </c>
      <c r="G4553" s="6" t="s">
        <v>28315</v>
      </c>
      <c r="H4553" s="7" t="s">
        <v>31</v>
      </c>
      <c r="I4553" s="7">
        <v>2.0</v>
      </c>
      <c r="J4553" s="7">
        <v>2.0</v>
      </c>
      <c r="K4553" s="7" t="s">
        <v>31</v>
      </c>
      <c r="L4553" s="8" t="s">
        <v>31</v>
      </c>
      <c r="M4553" s="6" t="s">
        <v>28316</v>
      </c>
      <c r="N4553" s="6" t="s">
        <v>6669</v>
      </c>
      <c r="O4553" s="8" t="s">
        <v>6670</v>
      </c>
      <c r="P4553" s="6" t="s">
        <v>28292</v>
      </c>
      <c r="Q4553" s="6" t="s">
        <v>31</v>
      </c>
      <c r="R4553" s="6" t="s">
        <v>1185</v>
      </c>
      <c r="S4553" s="8" t="s">
        <v>28293</v>
      </c>
      <c r="T4553" s="6" t="s">
        <v>66</v>
      </c>
      <c r="U4553" s="8" t="s">
        <v>31</v>
      </c>
      <c r="V4553" s="6" t="s">
        <v>29</v>
      </c>
      <c r="W4553" s="6" t="s">
        <v>28294</v>
      </c>
      <c r="X4553" s="9" t="str">
        <f>HYPERLINK("https://my.pitchbook.com?p=212276-98P","View People Online")</f>
        <v>View People Online</v>
      </c>
    </row>
    <row r="4554">
      <c r="A4554" s="2" t="s">
        <v>28317</v>
      </c>
      <c r="B4554" s="2" t="s">
        <v>28318</v>
      </c>
      <c r="C4554" s="2" t="s">
        <v>28319</v>
      </c>
      <c r="D4554" s="2" t="s">
        <v>28320</v>
      </c>
      <c r="E4554" s="2" t="s">
        <v>28289</v>
      </c>
      <c r="F4554" s="2" t="s">
        <v>114</v>
      </c>
      <c r="G4554" s="2" t="s">
        <v>28321</v>
      </c>
      <c r="H4554" s="3" t="s">
        <v>31</v>
      </c>
      <c r="I4554" s="3">
        <v>3.0</v>
      </c>
      <c r="J4554" s="3">
        <v>2.0</v>
      </c>
      <c r="K4554" s="3" t="s">
        <v>31</v>
      </c>
      <c r="L4554" s="4" t="s">
        <v>31</v>
      </c>
      <c r="M4554" s="2" t="s">
        <v>28322</v>
      </c>
      <c r="N4554" s="2" t="s">
        <v>6669</v>
      </c>
      <c r="O4554" s="4" t="s">
        <v>6670</v>
      </c>
      <c r="P4554" s="2" t="s">
        <v>28292</v>
      </c>
      <c r="Q4554" s="2" t="s">
        <v>31</v>
      </c>
      <c r="R4554" s="2" t="s">
        <v>1185</v>
      </c>
      <c r="S4554" s="4" t="s">
        <v>28293</v>
      </c>
      <c r="T4554" s="2" t="s">
        <v>66</v>
      </c>
      <c r="U4554" s="4" t="s">
        <v>31</v>
      </c>
      <c r="V4554" s="2" t="s">
        <v>29</v>
      </c>
      <c r="W4554" s="2" t="s">
        <v>28294</v>
      </c>
      <c r="X4554" s="5" t="str">
        <f>HYPERLINK("https://my.pitchbook.com?p=243406-81P","View People Online")</f>
        <v>View People Online</v>
      </c>
    </row>
    <row r="4555">
      <c r="A4555" s="6" t="s">
        <v>28323</v>
      </c>
      <c r="B4555" s="6" t="s">
        <v>28324</v>
      </c>
      <c r="C4555" s="6" t="s">
        <v>10983</v>
      </c>
      <c r="D4555" s="6" t="s">
        <v>18624</v>
      </c>
      <c r="E4555" s="6" t="s">
        <v>28289</v>
      </c>
      <c r="F4555" s="6" t="s">
        <v>318</v>
      </c>
      <c r="G4555" s="6" t="s">
        <v>28325</v>
      </c>
      <c r="H4555" s="7" t="s">
        <v>31</v>
      </c>
      <c r="I4555" s="7">
        <v>1.0</v>
      </c>
      <c r="J4555" s="7">
        <v>1.0</v>
      </c>
      <c r="K4555" s="7" t="s">
        <v>31</v>
      </c>
      <c r="L4555" s="8" t="s">
        <v>31</v>
      </c>
      <c r="M4555" s="6" t="s">
        <v>28326</v>
      </c>
      <c r="N4555" s="6" t="s">
        <v>243</v>
      </c>
      <c r="O4555" s="8" t="s">
        <v>244</v>
      </c>
      <c r="P4555" s="6" t="s">
        <v>28327</v>
      </c>
      <c r="Q4555" s="6" t="s">
        <v>31</v>
      </c>
      <c r="R4555" s="6" t="s">
        <v>247</v>
      </c>
      <c r="S4555" s="8" t="s">
        <v>28328</v>
      </c>
      <c r="T4555" s="6" t="s">
        <v>249</v>
      </c>
      <c r="U4555" s="8" t="s">
        <v>31</v>
      </c>
      <c r="V4555" s="6" t="s">
        <v>318</v>
      </c>
      <c r="W4555" s="6" t="s">
        <v>28289</v>
      </c>
      <c r="X4555" s="9" t="str">
        <f>HYPERLINK("https://my.pitchbook.com?p=426694-15P","View People Online")</f>
        <v>View People Online</v>
      </c>
    </row>
    <row r="4556">
      <c r="A4556" s="10" t="s">
        <v>28329</v>
      </c>
      <c r="B4556" s="10" t="s">
        <v>28330</v>
      </c>
      <c r="C4556" s="10" t="s">
        <v>9008</v>
      </c>
      <c r="D4556" s="10" t="s">
        <v>5978</v>
      </c>
      <c r="E4556" s="10" t="s">
        <v>28289</v>
      </c>
      <c r="F4556" s="10" t="s">
        <v>114</v>
      </c>
      <c r="G4556" s="10" t="s">
        <v>28331</v>
      </c>
      <c r="H4556" s="11">
        <v>1.0</v>
      </c>
      <c r="I4556" s="11">
        <v>6.0</v>
      </c>
      <c r="J4556" s="11">
        <v>2.0</v>
      </c>
      <c r="K4556" s="11">
        <v>2.0</v>
      </c>
      <c r="L4556" s="12" t="s">
        <v>28332</v>
      </c>
      <c r="M4556" s="10" t="s">
        <v>28333</v>
      </c>
      <c r="N4556" s="10" t="s">
        <v>28334</v>
      </c>
      <c r="O4556" s="12" t="s">
        <v>28335</v>
      </c>
      <c r="P4556" s="10" t="s">
        <v>28336</v>
      </c>
      <c r="Q4556" s="10" t="s">
        <v>28337</v>
      </c>
      <c r="R4556" s="10" t="s">
        <v>1185</v>
      </c>
      <c r="S4556" s="12" t="s">
        <v>28338</v>
      </c>
      <c r="T4556" s="10" t="s">
        <v>66</v>
      </c>
      <c r="U4556" s="12" t="s">
        <v>31</v>
      </c>
      <c r="V4556" s="10" t="s">
        <v>5518</v>
      </c>
      <c r="W4556" s="10" t="s">
        <v>28339</v>
      </c>
      <c r="X4556" s="13" t="str">
        <f>HYPERLINK("https://my.pitchbook.com?p=169704-73P","View People Online")</f>
        <v>View People Online</v>
      </c>
    </row>
    <row r="4557">
      <c r="A4557" s="6" t="s">
        <v>28340</v>
      </c>
      <c r="B4557" s="6" t="s">
        <v>28341</v>
      </c>
      <c r="C4557" s="6" t="s">
        <v>69</v>
      </c>
      <c r="D4557" s="6" t="s">
        <v>28342</v>
      </c>
      <c r="E4557" s="6" t="s">
        <v>28289</v>
      </c>
      <c r="F4557" s="6" t="s">
        <v>674</v>
      </c>
      <c r="G4557" s="6" t="s">
        <v>28343</v>
      </c>
      <c r="H4557" s="7">
        <v>10.0</v>
      </c>
      <c r="I4557" s="7">
        <v>48.0</v>
      </c>
      <c r="J4557" s="7">
        <v>1.0</v>
      </c>
      <c r="K4557" s="7">
        <v>32.0</v>
      </c>
      <c r="L4557" s="8" t="s">
        <v>31</v>
      </c>
      <c r="M4557" s="6" t="s">
        <v>28344</v>
      </c>
      <c r="N4557" s="6" t="s">
        <v>1181</v>
      </c>
      <c r="O4557" s="8" t="s">
        <v>1182</v>
      </c>
      <c r="P4557" s="6" t="s">
        <v>28298</v>
      </c>
      <c r="Q4557" s="6" t="s">
        <v>28299</v>
      </c>
      <c r="R4557" s="6" t="s">
        <v>1185</v>
      </c>
      <c r="S4557" s="8" t="s">
        <v>1186</v>
      </c>
      <c r="T4557" s="6" t="s">
        <v>66</v>
      </c>
      <c r="U4557" s="8" t="s">
        <v>31</v>
      </c>
      <c r="V4557" s="6" t="s">
        <v>1172</v>
      </c>
      <c r="W4557" s="6" t="s">
        <v>28289</v>
      </c>
      <c r="X4557" s="9" t="str">
        <f>HYPERLINK("https://my.pitchbook.com?p=35315-92P","View People Online")</f>
        <v>View People Online</v>
      </c>
    </row>
    <row r="4558">
      <c r="A4558" s="2" t="s">
        <v>28345</v>
      </c>
      <c r="B4558" s="2" t="s">
        <v>28346</v>
      </c>
      <c r="C4558" s="2" t="s">
        <v>1449</v>
      </c>
      <c r="D4558" s="2" t="s">
        <v>28011</v>
      </c>
      <c r="E4558" s="2" t="s">
        <v>28289</v>
      </c>
      <c r="F4558" s="2" t="s">
        <v>674</v>
      </c>
      <c r="G4558" s="2" t="s">
        <v>28347</v>
      </c>
      <c r="H4558" s="3">
        <v>3.0</v>
      </c>
      <c r="I4558" s="3">
        <v>14.0</v>
      </c>
      <c r="J4558" s="3">
        <v>1.0</v>
      </c>
      <c r="K4558" s="3">
        <v>6.0</v>
      </c>
      <c r="L4558" s="4" t="s">
        <v>31</v>
      </c>
      <c r="M4558" s="2" t="s">
        <v>28348</v>
      </c>
      <c r="N4558" s="2" t="s">
        <v>1181</v>
      </c>
      <c r="O4558" s="4" t="s">
        <v>1182</v>
      </c>
      <c r="P4558" s="2" t="s">
        <v>28298</v>
      </c>
      <c r="Q4558" s="2" t="s">
        <v>28299</v>
      </c>
      <c r="R4558" s="2" t="s">
        <v>1185</v>
      </c>
      <c r="S4558" s="4" t="s">
        <v>1186</v>
      </c>
      <c r="T4558" s="2" t="s">
        <v>66</v>
      </c>
      <c r="U4558" s="4" t="s">
        <v>31</v>
      </c>
      <c r="V4558" s="2" t="s">
        <v>1172</v>
      </c>
      <c r="W4558" s="2" t="s">
        <v>28289</v>
      </c>
      <c r="X4558" s="5" t="str">
        <f>HYPERLINK("https://my.pitchbook.com?p=43265-62P","View People Online")</f>
        <v>View People Online</v>
      </c>
    </row>
    <row r="4559">
      <c r="A4559" s="6" t="s">
        <v>28349</v>
      </c>
      <c r="B4559" s="6" t="s">
        <v>28350</v>
      </c>
      <c r="C4559" s="6" t="s">
        <v>823</v>
      </c>
      <c r="D4559" s="6" t="s">
        <v>25901</v>
      </c>
      <c r="E4559" s="6" t="s">
        <v>28289</v>
      </c>
      <c r="F4559" s="6" t="s">
        <v>114</v>
      </c>
      <c r="G4559" s="6" t="s">
        <v>28351</v>
      </c>
      <c r="H4559" s="7" t="s">
        <v>31</v>
      </c>
      <c r="I4559" s="7">
        <v>1.0</v>
      </c>
      <c r="J4559" s="7">
        <v>1.0</v>
      </c>
      <c r="K4559" s="7" t="s">
        <v>31</v>
      </c>
      <c r="L4559" s="8" t="s">
        <v>31</v>
      </c>
      <c r="M4559" s="6" t="s">
        <v>31</v>
      </c>
      <c r="N4559" s="6" t="s">
        <v>1181</v>
      </c>
      <c r="O4559" s="8" t="s">
        <v>1182</v>
      </c>
      <c r="P4559" s="6" t="s">
        <v>28298</v>
      </c>
      <c r="Q4559" s="6" t="s">
        <v>28299</v>
      </c>
      <c r="R4559" s="6" t="s">
        <v>1185</v>
      </c>
      <c r="S4559" s="8" t="s">
        <v>1186</v>
      </c>
      <c r="T4559" s="6" t="s">
        <v>66</v>
      </c>
      <c r="U4559" s="8" t="s">
        <v>31</v>
      </c>
      <c r="V4559" s="6" t="s">
        <v>114</v>
      </c>
      <c r="W4559" s="6" t="s">
        <v>28289</v>
      </c>
      <c r="X4559" s="9" t="str">
        <f>HYPERLINK("https://my.pitchbook.com?p=243408-79P","View People Online")</f>
        <v>View People Online</v>
      </c>
    </row>
    <row r="4560">
      <c r="A4560" s="10" t="s">
        <v>28352</v>
      </c>
      <c r="B4560" s="10" t="s">
        <v>28353</v>
      </c>
      <c r="C4560" s="10" t="s">
        <v>28354</v>
      </c>
      <c r="D4560" s="10" t="s">
        <v>28355</v>
      </c>
      <c r="E4560" s="10" t="s">
        <v>28289</v>
      </c>
      <c r="F4560" s="10" t="s">
        <v>114</v>
      </c>
      <c r="G4560" s="10" t="s">
        <v>28356</v>
      </c>
      <c r="H4560" s="11" t="s">
        <v>31</v>
      </c>
      <c r="I4560" s="11">
        <v>2.0</v>
      </c>
      <c r="J4560" s="11">
        <v>2.0</v>
      </c>
      <c r="K4560" s="11" t="s">
        <v>31</v>
      </c>
      <c r="L4560" s="12" t="s">
        <v>28357</v>
      </c>
      <c r="M4560" s="10" t="s">
        <v>31</v>
      </c>
      <c r="N4560" s="10" t="s">
        <v>28358</v>
      </c>
      <c r="O4560" s="12" t="s">
        <v>28359</v>
      </c>
      <c r="P4560" s="10" t="s">
        <v>28360</v>
      </c>
      <c r="Q4560" s="10" t="s">
        <v>31</v>
      </c>
      <c r="R4560" s="10" t="s">
        <v>1277</v>
      </c>
      <c r="S4560" s="12" t="s">
        <v>28361</v>
      </c>
      <c r="T4560" s="10" t="s">
        <v>66</v>
      </c>
      <c r="U4560" s="12" t="s">
        <v>31</v>
      </c>
      <c r="V4560" s="10" t="s">
        <v>28362</v>
      </c>
      <c r="W4560" s="10" t="s">
        <v>28363</v>
      </c>
      <c r="X4560" s="13" t="str">
        <f>HYPERLINK("https://my.pitchbook.com?p=243407-35P","View People Online")</f>
        <v>View People Online</v>
      </c>
    </row>
    <row r="4561">
      <c r="A4561" s="6" t="s">
        <v>28364</v>
      </c>
      <c r="B4561" s="6" t="s">
        <v>28365</v>
      </c>
      <c r="C4561" s="6" t="s">
        <v>26</v>
      </c>
      <c r="D4561" s="6" t="s">
        <v>5431</v>
      </c>
      <c r="E4561" s="6" t="s">
        <v>28289</v>
      </c>
      <c r="F4561" s="6" t="s">
        <v>114</v>
      </c>
      <c r="G4561" s="6" t="s">
        <v>28366</v>
      </c>
      <c r="H4561" s="7">
        <v>2.0</v>
      </c>
      <c r="I4561" s="7">
        <v>5.0</v>
      </c>
      <c r="J4561" s="7">
        <v>2.0</v>
      </c>
      <c r="K4561" s="7" t="s">
        <v>31</v>
      </c>
      <c r="L4561" s="8" t="s">
        <v>28367</v>
      </c>
      <c r="M4561" s="6" t="s">
        <v>28368</v>
      </c>
      <c r="N4561" s="6" t="s">
        <v>28369</v>
      </c>
      <c r="O4561" s="8" t="s">
        <v>28370</v>
      </c>
      <c r="P4561" s="6" t="s">
        <v>28371</v>
      </c>
      <c r="Q4561" s="6" t="s">
        <v>31</v>
      </c>
      <c r="R4561" s="6" t="s">
        <v>1185</v>
      </c>
      <c r="S4561" s="8" t="s">
        <v>28372</v>
      </c>
      <c r="T4561" s="6" t="s">
        <v>66</v>
      </c>
      <c r="U4561" s="8" t="s">
        <v>31</v>
      </c>
      <c r="V4561" s="6" t="s">
        <v>29</v>
      </c>
      <c r="W4561" s="6" t="s">
        <v>28294</v>
      </c>
      <c r="X4561" s="9" t="str">
        <f>HYPERLINK("https://my.pitchbook.com?p=33582-25P","View People Online")</f>
        <v>View People Online</v>
      </c>
    </row>
    <row r="4562">
      <c r="A4562" s="10" t="s">
        <v>28373</v>
      </c>
      <c r="B4562" s="10" t="s">
        <v>28374</v>
      </c>
      <c r="C4562" s="10" t="s">
        <v>1343</v>
      </c>
      <c r="D4562" s="10" t="s">
        <v>28375</v>
      </c>
      <c r="E4562" s="10" t="s">
        <v>28289</v>
      </c>
      <c r="F4562" s="10" t="s">
        <v>114</v>
      </c>
      <c r="G4562" s="10" t="s">
        <v>28376</v>
      </c>
      <c r="H4562" s="11">
        <v>2.0</v>
      </c>
      <c r="I4562" s="11">
        <v>3.0</v>
      </c>
      <c r="J4562" s="11">
        <v>1.0</v>
      </c>
      <c r="K4562" s="11" t="s">
        <v>31</v>
      </c>
      <c r="L4562" s="12" t="s">
        <v>28377</v>
      </c>
      <c r="M4562" s="10" t="s">
        <v>31</v>
      </c>
      <c r="N4562" s="10" t="s">
        <v>1181</v>
      </c>
      <c r="O4562" s="12" t="s">
        <v>1182</v>
      </c>
      <c r="P4562" s="10" t="s">
        <v>28298</v>
      </c>
      <c r="Q4562" s="10" t="s">
        <v>28299</v>
      </c>
      <c r="R4562" s="10" t="s">
        <v>1185</v>
      </c>
      <c r="S4562" s="12" t="s">
        <v>1186</v>
      </c>
      <c r="T4562" s="10" t="s">
        <v>66</v>
      </c>
      <c r="U4562" s="12" t="s">
        <v>31</v>
      </c>
      <c r="V4562" s="10" t="s">
        <v>114</v>
      </c>
      <c r="W4562" s="10" t="s">
        <v>28289</v>
      </c>
      <c r="X4562" s="13" t="str">
        <f>HYPERLINK("https://my.pitchbook.com?p=243410-14P","View People Online")</f>
        <v>View People Online</v>
      </c>
    </row>
    <row r="4563">
      <c r="A4563" s="6" t="s">
        <v>28378</v>
      </c>
      <c r="B4563" s="6" t="s">
        <v>28379</v>
      </c>
      <c r="C4563" s="6" t="s">
        <v>1343</v>
      </c>
      <c r="D4563" s="6" t="s">
        <v>5645</v>
      </c>
      <c r="E4563" s="6" t="s">
        <v>28289</v>
      </c>
      <c r="F4563" s="6" t="s">
        <v>114</v>
      </c>
      <c r="G4563" s="6" t="s">
        <v>28380</v>
      </c>
      <c r="H4563" s="7">
        <v>1.0</v>
      </c>
      <c r="I4563" s="7">
        <v>5.0</v>
      </c>
      <c r="J4563" s="7">
        <v>2.0</v>
      </c>
      <c r="K4563" s="7">
        <v>2.0</v>
      </c>
      <c r="L4563" s="8" t="s">
        <v>28381</v>
      </c>
      <c r="M4563" s="6" t="s">
        <v>28382</v>
      </c>
      <c r="N4563" s="6" t="s">
        <v>1181</v>
      </c>
      <c r="O4563" s="8" t="s">
        <v>1182</v>
      </c>
      <c r="P4563" s="6" t="s">
        <v>31</v>
      </c>
      <c r="Q4563" s="6" t="s">
        <v>31</v>
      </c>
      <c r="R4563" s="6" t="s">
        <v>1185</v>
      </c>
      <c r="S4563" s="8" t="s">
        <v>31</v>
      </c>
      <c r="T4563" s="6" t="s">
        <v>66</v>
      </c>
      <c r="U4563" s="8" t="s">
        <v>31</v>
      </c>
      <c r="V4563" s="6" t="s">
        <v>29</v>
      </c>
      <c r="W4563" s="6" t="s">
        <v>28294</v>
      </c>
      <c r="X4563" s="9" t="str">
        <f>HYPERLINK("https://my.pitchbook.com?p=236117-26P","View People Online")</f>
        <v>View People Online</v>
      </c>
    </row>
    <row r="4564">
      <c r="A4564" s="10" t="s">
        <v>28383</v>
      </c>
      <c r="B4564" s="10" t="s">
        <v>28384</v>
      </c>
      <c r="C4564" s="10" t="s">
        <v>1343</v>
      </c>
      <c r="D4564" s="10" t="s">
        <v>7358</v>
      </c>
      <c r="E4564" s="10" t="s">
        <v>28289</v>
      </c>
      <c r="F4564" s="10" t="s">
        <v>114</v>
      </c>
      <c r="G4564" s="10" t="s">
        <v>28385</v>
      </c>
      <c r="H4564" s="11">
        <v>1.0</v>
      </c>
      <c r="I4564" s="11">
        <v>11.0</v>
      </c>
      <c r="J4564" s="11">
        <v>1.0</v>
      </c>
      <c r="K4564" s="11">
        <v>9.0</v>
      </c>
      <c r="L4564" s="12" t="s">
        <v>28386</v>
      </c>
      <c r="M4564" s="10" t="s">
        <v>31</v>
      </c>
      <c r="N4564" s="10" t="s">
        <v>1454</v>
      </c>
      <c r="O4564" s="12" t="s">
        <v>1455</v>
      </c>
      <c r="P4564" s="10" t="s">
        <v>28387</v>
      </c>
      <c r="Q4564" s="10" t="s">
        <v>31</v>
      </c>
      <c r="R4564" s="10" t="s">
        <v>93</v>
      </c>
      <c r="S4564" s="12" t="s">
        <v>28388</v>
      </c>
      <c r="T4564" s="10" t="s">
        <v>66</v>
      </c>
      <c r="U4564" s="12" t="s">
        <v>31</v>
      </c>
      <c r="V4564" s="10" t="s">
        <v>152</v>
      </c>
      <c r="W4564" s="10" t="s">
        <v>28389</v>
      </c>
      <c r="X4564" s="13" t="str">
        <f>HYPERLINK("https://my.pitchbook.com?p=15135-13P","View People Online")</f>
        <v>View People Online</v>
      </c>
    </row>
    <row r="4565">
      <c r="A4565" s="14" t="s">
        <v>28390</v>
      </c>
      <c r="B4565" s="14" t="s">
        <v>28391</v>
      </c>
      <c r="C4565" s="14" t="s">
        <v>1343</v>
      </c>
      <c r="D4565" s="14" t="s">
        <v>12077</v>
      </c>
      <c r="E4565" s="14" t="s">
        <v>28289</v>
      </c>
      <c r="F4565" s="14" t="s">
        <v>114</v>
      </c>
      <c r="G4565" s="14" t="s">
        <v>28392</v>
      </c>
      <c r="H4565" s="15" t="s">
        <v>31</v>
      </c>
      <c r="I4565" s="15">
        <v>7.0</v>
      </c>
      <c r="J4565" s="15">
        <v>2.0</v>
      </c>
      <c r="K4565" s="15">
        <v>4.0</v>
      </c>
      <c r="L4565" s="16" t="s">
        <v>31</v>
      </c>
      <c r="M4565" s="14" t="s">
        <v>28393</v>
      </c>
      <c r="N4565" s="14" t="s">
        <v>6669</v>
      </c>
      <c r="O4565" s="16" t="s">
        <v>6670</v>
      </c>
      <c r="P4565" s="14" t="s">
        <v>28292</v>
      </c>
      <c r="Q4565" s="14" t="s">
        <v>31</v>
      </c>
      <c r="R4565" s="14" t="s">
        <v>1185</v>
      </c>
      <c r="S4565" s="16" t="s">
        <v>28293</v>
      </c>
      <c r="T4565" s="14" t="s">
        <v>66</v>
      </c>
      <c r="U4565" s="16" t="s">
        <v>31</v>
      </c>
      <c r="V4565" s="14" t="s">
        <v>29</v>
      </c>
      <c r="W4565" s="14" t="s">
        <v>28294</v>
      </c>
      <c r="X4565" s="17" t="str">
        <f>HYPERLINK("https://my.pitchbook.com?p=128840-50P","View People Online")</f>
        <v>View People Online</v>
      </c>
    </row>
    <row r="4566">
      <c r="A4566" s="10" t="s">
        <v>28394</v>
      </c>
      <c r="B4566" s="10" t="s">
        <v>28395</v>
      </c>
      <c r="C4566" s="10" t="s">
        <v>1343</v>
      </c>
      <c r="D4566" s="10" t="s">
        <v>28396</v>
      </c>
      <c r="E4566" s="10" t="s">
        <v>28289</v>
      </c>
      <c r="F4566" s="10" t="s">
        <v>114</v>
      </c>
      <c r="G4566" s="10" t="s">
        <v>28397</v>
      </c>
      <c r="H4566" s="11">
        <v>2.0</v>
      </c>
      <c r="I4566" s="11">
        <v>14.0</v>
      </c>
      <c r="J4566" s="11">
        <v>2.0</v>
      </c>
      <c r="K4566" s="11">
        <v>6.0</v>
      </c>
      <c r="L4566" s="12" t="s">
        <v>28398</v>
      </c>
      <c r="M4566" s="10" t="s">
        <v>28399</v>
      </c>
      <c r="N4566" s="10" t="s">
        <v>6669</v>
      </c>
      <c r="O4566" s="12" t="s">
        <v>6670</v>
      </c>
      <c r="P4566" s="10" t="s">
        <v>28292</v>
      </c>
      <c r="Q4566" s="10" t="s">
        <v>31</v>
      </c>
      <c r="R4566" s="10" t="s">
        <v>1185</v>
      </c>
      <c r="S4566" s="12" t="s">
        <v>28293</v>
      </c>
      <c r="T4566" s="10" t="s">
        <v>66</v>
      </c>
      <c r="U4566" s="12" t="s">
        <v>31</v>
      </c>
      <c r="V4566" s="10" t="s">
        <v>29</v>
      </c>
      <c r="W4566" s="10" t="s">
        <v>28294</v>
      </c>
      <c r="X4566" s="13" t="str">
        <f>HYPERLINK("https://my.pitchbook.com?p=45600-22P","View People Online")</f>
        <v>View People Online</v>
      </c>
    </row>
    <row r="4567">
      <c r="A4567" s="14" t="s">
        <v>28400</v>
      </c>
      <c r="B4567" s="14" t="s">
        <v>28401</v>
      </c>
      <c r="C4567" s="14" t="s">
        <v>1343</v>
      </c>
      <c r="D4567" s="14" t="s">
        <v>28402</v>
      </c>
      <c r="E4567" s="14" t="s">
        <v>28289</v>
      </c>
      <c r="F4567" s="14" t="s">
        <v>114</v>
      </c>
      <c r="G4567" s="14" t="s">
        <v>28403</v>
      </c>
      <c r="H4567" s="15" t="s">
        <v>31</v>
      </c>
      <c r="I4567" s="15">
        <v>2.0</v>
      </c>
      <c r="J4567" s="15">
        <v>2.0</v>
      </c>
      <c r="K4567" s="15" t="s">
        <v>31</v>
      </c>
      <c r="L4567" s="16" t="s">
        <v>31</v>
      </c>
      <c r="M4567" s="14" t="s">
        <v>28404</v>
      </c>
      <c r="N4567" s="14" t="s">
        <v>6669</v>
      </c>
      <c r="O4567" s="16" t="s">
        <v>6670</v>
      </c>
      <c r="P4567" s="14" t="s">
        <v>28292</v>
      </c>
      <c r="Q4567" s="14" t="s">
        <v>31</v>
      </c>
      <c r="R4567" s="14" t="s">
        <v>1185</v>
      </c>
      <c r="S4567" s="16" t="s">
        <v>28293</v>
      </c>
      <c r="T4567" s="14" t="s">
        <v>66</v>
      </c>
      <c r="U4567" s="16" t="s">
        <v>31</v>
      </c>
      <c r="V4567" s="14" t="s">
        <v>29</v>
      </c>
      <c r="W4567" s="14" t="s">
        <v>28294</v>
      </c>
      <c r="X4567" s="17" t="str">
        <f>HYPERLINK("https://my.pitchbook.com?p=145111-51P","View People Online")</f>
        <v>View People Online</v>
      </c>
    </row>
    <row r="4568">
      <c r="A4568" s="2" t="s">
        <v>28405</v>
      </c>
      <c r="B4568" s="2" t="s">
        <v>28406</v>
      </c>
      <c r="C4568" s="2" t="s">
        <v>28407</v>
      </c>
      <c r="D4568" s="2" t="s">
        <v>2432</v>
      </c>
      <c r="E4568" s="2" t="s">
        <v>28289</v>
      </c>
      <c r="F4568" s="2" t="s">
        <v>114</v>
      </c>
      <c r="G4568" s="2" t="s">
        <v>28408</v>
      </c>
      <c r="H4568" s="3">
        <v>1.0</v>
      </c>
      <c r="I4568" s="3">
        <v>2.0</v>
      </c>
      <c r="J4568" s="3">
        <v>1.0</v>
      </c>
      <c r="K4568" s="3" t="s">
        <v>31</v>
      </c>
      <c r="L4568" s="4" t="s">
        <v>31</v>
      </c>
      <c r="M4568" s="2" t="s">
        <v>31</v>
      </c>
      <c r="N4568" s="2" t="s">
        <v>1181</v>
      </c>
      <c r="O4568" s="4" t="s">
        <v>1182</v>
      </c>
      <c r="P4568" s="2" t="s">
        <v>28298</v>
      </c>
      <c r="Q4568" s="2" t="s">
        <v>28299</v>
      </c>
      <c r="R4568" s="2" t="s">
        <v>1185</v>
      </c>
      <c r="S4568" s="4" t="s">
        <v>1186</v>
      </c>
      <c r="T4568" s="2" t="s">
        <v>66</v>
      </c>
      <c r="U4568" s="4" t="s">
        <v>31</v>
      </c>
      <c r="V4568" s="2" t="s">
        <v>114</v>
      </c>
      <c r="W4568" s="2" t="s">
        <v>28289</v>
      </c>
      <c r="X4568" s="5" t="str">
        <f>HYPERLINK("https://my.pitchbook.com?p=243411-22P","View People Online")</f>
        <v>View People Online</v>
      </c>
    </row>
    <row r="4569">
      <c r="A4569" s="14" t="s">
        <v>28409</v>
      </c>
      <c r="B4569" s="14" t="s">
        <v>28410</v>
      </c>
      <c r="C4569" s="14" t="s">
        <v>28411</v>
      </c>
      <c r="D4569" s="14" t="s">
        <v>28412</v>
      </c>
      <c r="E4569" s="14" t="s">
        <v>28289</v>
      </c>
      <c r="F4569" s="14" t="s">
        <v>114</v>
      </c>
      <c r="G4569" s="14" t="s">
        <v>28413</v>
      </c>
      <c r="H4569" s="15" t="s">
        <v>31</v>
      </c>
      <c r="I4569" s="15">
        <v>3.0</v>
      </c>
      <c r="J4569" s="15">
        <v>3.0</v>
      </c>
      <c r="K4569" s="15" t="s">
        <v>31</v>
      </c>
      <c r="L4569" s="16" t="s">
        <v>28414</v>
      </c>
      <c r="M4569" s="14" t="s">
        <v>31</v>
      </c>
      <c r="N4569" s="14" t="s">
        <v>28415</v>
      </c>
      <c r="O4569" s="16" t="s">
        <v>28416</v>
      </c>
      <c r="P4569" s="14" t="s">
        <v>28417</v>
      </c>
      <c r="Q4569" s="14" t="s">
        <v>31</v>
      </c>
      <c r="R4569" s="14" t="s">
        <v>28418</v>
      </c>
      <c r="S4569" s="16" t="s">
        <v>28419</v>
      </c>
      <c r="T4569" s="14" t="s">
        <v>66</v>
      </c>
      <c r="U4569" s="16" t="s">
        <v>31</v>
      </c>
      <c r="V4569" s="14" t="s">
        <v>28420</v>
      </c>
      <c r="W4569" s="14" t="s">
        <v>28421</v>
      </c>
      <c r="X4569" s="17" t="str">
        <f>HYPERLINK("https://my.pitchbook.com?p=243408-34P","View People Online")</f>
        <v>View People Online</v>
      </c>
    </row>
    <row r="4570">
      <c r="A4570" s="10" t="s">
        <v>28422</v>
      </c>
      <c r="B4570" s="10" t="s">
        <v>28423</v>
      </c>
      <c r="C4570" s="10" t="s">
        <v>6453</v>
      </c>
      <c r="D4570" s="10" t="s">
        <v>28424</v>
      </c>
      <c r="E4570" s="10" t="s">
        <v>28289</v>
      </c>
      <c r="F4570" s="10" t="s">
        <v>548</v>
      </c>
      <c r="G4570" s="10" t="s">
        <v>28425</v>
      </c>
      <c r="H4570" s="11" t="s">
        <v>31</v>
      </c>
      <c r="I4570" s="11">
        <v>1.0</v>
      </c>
      <c r="J4570" s="11">
        <v>1.0</v>
      </c>
      <c r="K4570" s="11" t="s">
        <v>31</v>
      </c>
      <c r="L4570" s="12" t="s">
        <v>28426</v>
      </c>
      <c r="M4570" s="10" t="s">
        <v>28427</v>
      </c>
      <c r="N4570" s="10" t="s">
        <v>1181</v>
      </c>
      <c r="O4570" s="12" t="s">
        <v>1182</v>
      </c>
      <c r="P4570" s="10" t="s">
        <v>28298</v>
      </c>
      <c r="Q4570" s="10" t="s">
        <v>28299</v>
      </c>
      <c r="R4570" s="10" t="s">
        <v>1185</v>
      </c>
      <c r="S4570" s="12" t="s">
        <v>1186</v>
      </c>
      <c r="T4570" s="10" t="s">
        <v>66</v>
      </c>
      <c r="U4570" s="12" t="s">
        <v>31</v>
      </c>
      <c r="V4570" s="10" t="s">
        <v>28428</v>
      </c>
      <c r="W4570" s="10" t="s">
        <v>28289</v>
      </c>
      <c r="X4570" s="13" t="str">
        <f>HYPERLINK("https://my.pitchbook.com?p=31687-75P","View People Online")</f>
        <v>View People Online</v>
      </c>
    </row>
    <row r="4571">
      <c r="A4571" s="6" t="s">
        <v>28429</v>
      </c>
      <c r="B4571" s="6" t="s">
        <v>28430</v>
      </c>
      <c r="C4571" s="6" t="s">
        <v>28431</v>
      </c>
      <c r="D4571" s="6" t="s">
        <v>28432</v>
      </c>
      <c r="E4571" s="6" t="s">
        <v>28289</v>
      </c>
      <c r="F4571" s="6" t="s">
        <v>114</v>
      </c>
      <c r="G4571" s="6" t="s">
        <v>28433</v>
      </c>
      <c r="H4571" s="7">
        <v>1.0</v>
      </c>
      <c r="I4571" s="7">
        <v>2.0</v>
      </c>
      <c r="J4571" s="7">
        <v>1.0</v>
      </c>
      <c r="K4571" s="7" t="s">
        <v>31</v>
      </c>
      <c r="L4571" s="8" t="s">
        <v>28434</v>
      </c>
      <c r="M4571" s="6" t="s">
        <v>31</v>
      </c>
      <c r="N4571" s="6" t="s">
        <v>1181</v>
      </c>
      <c r="O4571" s="8" t="s">
        <v>1182</v>
      </c>
      <c r="P4571" s="6" t="s">
        <v>28298</v>
      </c>
      <c r="Q4571" s="6" t="s">
        <v>28299</v>
      </c>
      <c r="R4571" s="6" t="s">
        <v>1185</v>
      </c>
      <c r="S4571" s="8" t="s">
        <v>1186</v>
      </c>
      <c r="T4571" s="6" t="s">
        <v>66</v>
      </c>
      <c r="U4571" s="8" t="s">
        <v>31</v>
      </c>
      <c r="V4571" s="6" t="s">
        <v>31</v>
      </c>
      <c r="W4571" s="6" t="s">
        <v>28435</v>
      </c>
      <c r="X4571" s="9" t="str">
        <f>HYPERLINK("https://my.pitchbook.com?p=259268-14P","View People Online")</f>
        <v>View People Online</v>
      </c>
    </row>
    <row r="4572">
      <c r="A4572" s="2" t="s">
        <v>28436</v>
      </c>
      <c r="B4572" s="2" t="s">
        <v>28437</v>
      </c>
      <c r="C4572" s="2" t="s">
        <v>160</v>
      </c>
      <c r="D4572" s="2" t="s">
        <v>200</v>
      </c>
      <c r="E4572" s="2" t="s">
        <v>28289</v>
      </c>
      <c r="F4572" s="2" t="s">
        <v>318</v>
      </c>
      <c r="G4572" s="2" t="s">
        <v>28438</v>
      </c>
      <c r="H4572" s="3" t="s">
        <v>31</v>
      </c>
      <c r="I4572" s="3">
        <v>4.0</v>
      </c>
      <c r="J4572" s="3">
        <v>1.0</v>
      </c>
      <c r="K4572" s="3">
        <v>2.0</v>
      </c>
      <c r="L4572" s="4" t="s">
        <v>31</v>
      </c>
      <c r="M4572" s="2" t="s">
        <v>28439</v>
      </c>
      <c r="N4572" s="2" t="s">
        <v>1181</v>
      </c>
      <c r="O4572" s="4" t="s">
        <v>1182</v>
      </c>
      <c r="P4572" s="2" t="s">
        <v>28298</v>
      </c>
      <c r="Q4572" s="2" t="s">
        <v>28299</v>
      </c>
      <c r="R4572" s="2" t="s">
        <v>1185</v>
      </c>
      <c r="S4572" s="4" t="s">
        <v>1186</v>
      </c>
      <c r="T4572" s="2" t="s">
        <v>66</v>
      </c>
      <c r="U4572" s="4" t="s">
        <v>31</v>
      </c>
      <c r="V4572" s="2" t="s">
        <v>318</v>
      </c>
      <c r="W4572" s="2" t="s">
        <v>28289</v>
      </c>
      <c r="X4572" s="5" t="str">
        <f>HYPERLINK("https://my.pitchbook.com?p=83760-94P","View People Online")</f>
        <v>View People Online</v>
      </c>
    </row>
    <row r="4573">
      <c r="A4573" s="6" t="s">
        <v>28440</v>
      </c>
      <c r="B4573" s="6" t="s">
        <v>28441</v>
      </c>
      <c r="C4573" s="6" t="s">
        <v>28442</v>
      </c>
      <c r="D4573" s="6" t="s">
        <v>28443</v>
      </c>
      <c r="E4573" s="6" t="s">
        <v>28289</v>
      </c>
      <c r="F4573" s="6" t="s">
        <v>270</v>
      </c>
      <c r="G4573" s="6" t="s">
        <v>28444</v>
      </c>
      <c r="H4573" s="7" t="s">
        <v>31</v>
      </c>
      <c r="I4573" s="7">
        <v>1.0</v>
      </c>
      <c r="J4573" s="7">
        <v>1.0</v>
      </c>
      <c r="K4573" s="7" t="s">
        <v>31</v>
      </c>
      <c r="L4573" s="8" t="s">
        <v>31</v>
      </c>
      <c r="M4573" s="6" t="s">
        <v>31</v>
      </c>
      <c r="N4573" s="6" t="s">
        <v>1181</v>
      </c>
      <c r="O4573" s="8" t="s">
        <v>1182</v>
      </c>
      <c r="P4573" s="6" t="s">
        <v>28298</v>
      </c>
      <c r="Q4573" s="6" t="s">
        <v>28299</v>
      </c>
      <c r="R4573" s="6" t="s">
        <v>1185</v>
      </c>
      <c r="S4573" s="8" t="s">
        <v>1186</v>
      </c>
      <c r="T4573" s="6" t="s">
        <v>66</v>
      </c>
      <c r="U4573" s="8" t="s">
        <v>31</v>
      </c>
      <c r="V4573" s="6" t="s">
        <v>440</v>
      </c>
      <c r="W4573" s="6" t="s">
        <v>28289</v>
      </c>
      <c r="X4573" s="9" t="str">
        <f>HYPERLINK("https://my.pitchbook.com?p=345130-03P","View People Online")</f>
        <v>View People Online</v>
      </c>
    </row>
    <row r="4574">
      <c r="A4574" s="10" t="s">
        <v>28445</v>
      </c>
      <c r="B4574" s="10" t="s">
        <v>28446</v>
      </c>
      <c r="C4574" s="10" t="s">
        <v>126</v>
      </c>
      <c r="D4574" s="10" t="s">
        <v>28447</v>
      </c>
      <c r="E4574" s="10" t="s">
        <v>28289</v>
      </c>
      <c r="F4574" s="10" t="s">
        <v>114</v>
      </c>
      <c r="G4574" s="10" t="s">
        <v>28448</v>
      </c>
      <c r="H4574" s="11">
        <v>2.0</v>
      </c>
      <c r="I4574" s="11">
        <v>6.0</v>
      </c>
      <c r="J4574" s="11">
        <v>3.0</v>
      </c>
      <c r="K4574" s="11">
        <v>1.0</v>
      </c>
      <c r="L4574" s="12" t="s">
        <v>31</v>
      </c>
      <c r="M4574" s="10" t="s">
        <v>28449</v>
      </c>
      <c r="N4574" s="10" t="s">
        <v>75</v>
      </c>
      <c r="O4574" s="12" t="s">
        <v>76</v>
      </c>
      <c r="P4574" s="10" t="s">
        <v>31</v>
      </c>
      <c r="Q4574" s="10" t="s">
        <v>31</v>
      </c>
      <c r="R4574" s="10" t="s">
        <v>75</v>
      </c>
      <c r="S4574" s="12" t="s">
        <v>31</v>
      </c>
      <c r="T4574" s="10" t="s">
        <v>66</v>
      </c>
      <c r="U4574" s="12" t="s">
        <v>31</v>
      </c>
      <c r="V4574" s="10" t="s">
        <v>29</v>
      </c>
      <c r="W4574" s="10" t="s">
        <v>28294</v>
      </c>
      <c r="X4574" s="13" t="str">
        <f>HYPERLINK("https://my.pitchbook.com?p=148879-81P","View People Online")</f>
        <v>View People Online</v>
      </c>
    </row>
    <row r="4575">
      <c r="A4575" s="14" t="s">
        <v>28450</v>
      </c>
      <c r="B4575" s="14" t="s">
        <v>28451</v>
      </c>
      <c r="C4575" s="14" t="s">
        <v>11992</v>
      </c>
      <c r="D4575" s="14" t="s">
        <v>28241</v>
      </c>
      <c r="E4575" s="14" t="s">
        <v>28289</v>
      </c>
      <c r="F4575" s="14" t="s">
        <v>114</v>
      </c>
      <c r="G4575" s="14" t="s">
        <v>28452</v>
      </c>
      <c r="H4575" s="15">
        <v>5.0</v>
      </c>
      <c r="I4575" s="15">
        <v>12.0</v>
      </c>
      <c r="J4575" s="15">
        <v>2.0</v>
      </c>
      <c r="K4575" s="15">
        <v>4.0</v>
      </c>
      <c r="L4575" s="16" t="s">
        <v>28367</v>
      </c>
      <c r="M4575" s="14" t="s">
        <v>28453</v>
      </c>
      <c r="N4575" s="14" t="s">
        <v>28369</v>
      </c>
      <c r="O4575" s="16" t="s">
        <v>28370</v>
      </c>
      <c r="P4575" s="14" t="s">
        <v>28371</v>
      </c>
      <c r="Q4575" s="14" t="s">
        <v>31</v>
      </c>
      <c r="R4575" s="14" t="s">
        <v>1185</v>
      </c>
      <c r="S4575" s="16" t="s">
        <v>28372</v>
      </c>
      <c r="T4575" s="14" t="s">
        <v>66</v>
      </c>
      <c r="U4575" s="16" t="s">
        <v>31</v>
      </c>
      <c r="V4575" s="14" t="s">
        <v>29</v>
      </c>
      <c r="W4575" s="14" t="s">
        <v>28294</v>
      </c>
      <c r="X4575" s="17" t="str">
        <f>HYPERLINK("https://my.pitchbook.com?p=43265-26P","View People Online")</f>
        <v>View People Online</v>
      </c>
    </row>
    <row r="4576">
      <c r="A4576" s="10" t="s">
        <v>28454</v>
      </c>
      <c r="B4576" s="10" t="s">
        <v>28455</v>
      </c>
      <c r="C4576" s="10" t="s">
        <v>28456</v>
      </c>
      <c r="D4576" s="10" t="s">
        <v>28457</v>
      </c>
      <c r="E4576" s="10" t="s">
        <v>28289</v>
      </c>
      <c r="F4576" s="10" t="s">
        <v>114</v>
      </c>
      <c r="G4576" s="10" t="s">
        <v>28458</v>
      </c>
      <c r="H4576" s="11">
        <v>2.0</v>
      </c>
      <c r="I4576" s="11">
        <v>6.0</v>
      </c>
      <c r="J4576" s="11">
        <v>3.0</v>
      </c>
      <c r="K4576" s="11">
        <v>1.0</v>
      </c>
      <c r="L4576" s="12" t="s">
        <v>31</v>
      </c>
      <c r="M4576" s="10" t="s">
        <v>28459</v>
      </c>
      <c r="N4576" s="10" t="s">
        <v>28460</v>
      </c>
      <c r="O4576" s="12" t="s">
        <v>28461</v>
      </c>
      <c r="P4576" s="10" t="s">
        <v>31</v>
      </c>
      <c r="Q4576" s="10" t="s">
        <v>31</v>
      </c>
      <c r="R4576" s="10" t="s">
        <v>616</v>
      </c>
      <c r="S4576" s="12" t="s">
        <v>28462</v>
      </c>
      <c r="T4576" s="10" t="s">
        <v>66</v>
      </c>
      <c r="U4576" s="12" t="s">
        <v>31</v>
      </c>
      <c r="V4576" s="10" t="s">
        <v>157</v>
      </c>
      <c r="W4576" s="10" t="s">
        <v>28463</v>
      </c>
      <c r="X4576" s="13" t="str">
        <f>HYPERLINK("https://my.pitchbook.com?p=63148-06P","View People Online")</f>
        <v>View People Online</v>
      </c>
    </row>
    <row r="4577">
      <c r="A4577" s="14" t="s">
        <v>28464</v>
      </c>
      <c r="B4577" s="14" t="s">
        <v>28465</v>
      </c>
      <c r="C4577" s="14" t="s">
        <v>2388</v>
      </c>
      <c r="D4577" s="14" t="s">
        <v>28466</v>
      </c>
      <c r="E4577" s="14" t="s">
        <v>28289</v>
      </c>
      <c r="F4577" s="14" t="s">
        <v>1433</v>
      </c>
      <c r="G4577" s="14" t="s">
        <v>28467</v>
      </c>
      <c r="H4577" s="15">
        <v>2.0</v>
      </c>
      <c r="I4577" s="15">
        <v>4.0</v>
      </c>
      <c r="J4577" s="15">
        <v>1.0</v>
      </c>
      <c r="K4577" s="15">
        <v>1.0</v>
      </c>
      <c r="L4577" s="16" t="s">
        <v>31</v>
      </c>
      <c r="M4577" s="14" t="s">
        <v>28468</v>
      </c>
      <c r="N4577" s="14" t="s">
        <v>1181</v>
      </c>
      <c r="O4577" s="16" t="s">
        <v>1182</v>
      </c>
      <c r="P4577" s="14" t="s">
        <v>28298</v>
      </c>
      <c r="Q4577" s="14" t="s">
        <v>28299</v>
      </c>
      <c r="R4577" s="14" t="s">
        <v>1185</v>
      </c>
      <c r="S4577" s="16" t="s">
        <v>1186</v>
      </c>
      <c r="T4577" s="14" t="s">
        <v>66</v>
      </c>
      <c r="U4577" s="16" t="s">
        <v>31</v>
      </c>
      <c r="V4577" s="14" t="s">
        <v>1433</v>
      </c>
      <c r="W4577" s="14" t="s">
        <v>28289</v>
      </c>
      <c r="X4577" s="17" t="str">
        <f>HYPERLINK("https://my.pitchbook.com?p=212275-36P","View People Online")</f>
        <v>View People Online</v>
      </c>
    </row>
    <row r="4578">
      <c r="A4578" s="10" t="s">
        <v>28469</v>
      </c>
      <c r="B4578" s="10" t="s">
        <v>28470</v>
      </c>
      <c r="C4578" s="10" t="s">
        <v>28471</v>
      </c>
      <c r="D4578" s="10" t="s">
        <v>2432</v>
      </c>
      <c r="E4578" s="10" t="s">
        <v>28289</v>
      </c>
      <c r="F4578" s="10" t="s">
        <v>318</v>
      </c>
      <c r="G4578" s="10" t="s">
        <v>28472</v>
      </c>
      <c r="H4578" s="11" t="s">
        <v>31</v>
      </c>
      <c r="I4578" s="11">
        <v>1.0</v>
      </c>
      <c r="J4578" s="11">
        <v>1.0</v>
      </c>
      <c r="K4578" s="11" t="s">
        <v>31</v>
      </c>
      <c r="L4578" s="12" t="s">
        <v>31</v>
      </c>
      <c r="M4578" s="10" t="s">
        <v>28473</v>
      </c>
      <c r="N4578" s="10" t="s">
        <v>1181</v>
      </c>
      <c r="O4578" s="12" t="s">
        <v>1182</v>
      </c>
      <c r="P4578" s="10" t="s">
        <v>28298</v>
      </c>
      <c r="Q4578" s="10" t="s">
        <v>28299</v>
      </c>
      <c r="R4578" s="10" t="s">
        <v>1185</v>
      </c>
      <c r="S4578" s="12" t="s">
        <v>1186</v>
      </c>
      <c r="T4578" s="10" t="s">
        <v>66</v>
      </c>
      <c r="U4578" s="12" t="s">
        <v>31</v>
      </c>
      <c r="V4578" s="10" t="s">
        <v>318</v>
      </c>
      <c r="W4578" s="10" t="s">
        <v>28289</v>
      </c>
      <c r="X4578" s="13" t="str">
        <f>HYPERLINK("https://my.pitchbook.com?p=243405-19P","View People Online")</f>
        <v>View People Online</v>
      </c>
    </row>
    <row r="4579">
      <c r="A4579" s="14" t="s">
        <v>28474</v>
      </c>
      <c r="B4579" s="14" t="s">
        <v>28475</v>
      </c>
      <c r="C4579" s="14" t="s">
        <v>4679</v>
      </c>
      <c r="D4579" s="14" t="s">
        <v>28476</v>
      </c>
      <c r="E4579" s="14" t="s">
        <v>28289</v>
      </c>
      <c r="F4579" s="14" t="s">
        <v>114</v>
      </c>
      <c r="G4579" s="14" t="s">
        <v>28477</v>
      </c>
      <c r="H4579" s="15" t="s">
        <v>31</v>
      </c>
      <c r="I4579" s="15">
        <v>4.0</v>
      </c>
      <c r="J4579" s="15">
        <v>2.0</v>
      </c>
      <c r="K4579" s="15">
        <v>2.0</v>
      </c>
      <c r="L4579" s="16" t="s">
        <v>28478</v>
      </c>
      <c r="M4579" s="14" t="s">
        <v>31</v>
      </c>
      <c r="N4579" s="14" t="s">
        <v>28369</v>
      </c>
      <c r="O4579" s="16" t="s">
        <v>28370</v>
      </c>
      <c r="P4579" s="14" t="s">
        <v>28371</v>
      </c>
      <c r="Q4579" s="14" t="s">
        <v>31</v>
      </c>
      <c r="R4579" s="14" t="s">
        <v>1185</v>
      </c>
      <c r="S4579" s="16" t="s">
        <v>28372</v>
      </c>
      <c r="T4579" s="14" t="s">
        <v>66</v>
      </c>
      <c r="U4579" s="16" t="s">
        <v>31</v>
      </c>
      <c r="V4579" s="14" t="s">
        <v>29</v>
      </c>
      <c r="W4579" s="14" t="s">
        <v>28294</v>
      </c>
      <c r="X4579" s="17" t="str">
        <f>HYPERLINK("https://my.pitchbook.com?p=43264-72P","View People Online")</f>
        <v>View People Online</v>
      </c>
    </row>
    <row r="4580">
      <c r="A4580" s="2" t="s">
        <v>28479</v>
      </c>
      <c r="B4580" s="2" t="s">
        <v>28480</v>
      </c>
      <c r="C4580" s="2" t="s">
        <v>12457</v>
      </c>
      <c r="D4580" s="2" t="s">
        <v>4970</v>
      </c>
      <c r="E4580" s="2" t="s">
        <v>28289</v>
      </c>
      <c r="F4580" s="2" t="s">
        <v>78</v>
      </c>
      <c r="G4580" s="2" t="s">
        <v>28481</v>
      </c>
      <c r="H4580" s="3" t="s">
        <v>31</v>
      </c>
      <c r="I4580" s="3">
        <v>1.0</v>
      </c>
      <c r="J4580" s="3">
        <v>1.0</v>
      </c>
      <c r="K4580" s="3" t="s">
        <v>31</v>
      </c>
      <c r="L4580" s="4" t="s">
        <v>28482</v>
      </c>
      <c r="M4580" s="2" t="s">
        <v>28483</v>
      </c>
      <c r="N4580" s="2" t="s">
        <v>1181</v>
      </c>
      <c r="O4580" s="4" t="s">
        <v>1182</v>
      </c>
      <c r="P4580" s="2" t="s">
        <v>28298</v>
      </c>
      <c r="Q4580" s="2" t="s">
        <v>28299</v>
      </c>
      <c r="R4580" s="2" t="s">
        <v>1185</v>
      </c>
      <c r="S4580" s="4" t="s">
        <v>1186</v>
      </c>
      <c r="T4580" s="2" t="s">
        <v>66</v>
      </c>
      <c r="U4580" s="4" t="s">
        <v>31</v>
      </c>
      <c r="V4580" s="2" t="s">
        <v>78</v>
      </c>
      <c r="W4580" s="2" t="s">
        <v>28289</v>
      </c>
      <c r="X4580" s="5" t="str">
        <f>HYPERLINK("https://my.pitchbook.com?p=323878-96P","View People Online")</f>
        <v>View People Online</v>
      </c>
    </row>
    <row r="4581">
      <c r="A4581" s="14" t="s">
        <v>28484</v>
      </c>
      <c r="B4581" s="14" t="s">
        <v>28485</v>
      </c>
      <c r="C4581" s="14" t="s">
        <v>28486</v>
      </c>
      <c r="D4581" s="14" t="s">
        <v>28487</v>
      </c>
      <c r="E4581" s="14" t="s">
        <v>28289</v>
      </c>
      <c r="F4581" s="14" t="s">
        <v>674</v>
      </c>
      <c r="G4581" s="14" t="s">
        <v>28488</v>
      </c>
      <c r="H4581" s="15">
        <v>3.0</v>
      </c>
      <c r="I4581" s="15">
        <v>17.0</v>
      </c>
      <c r="J4581" s="15">
        <v>2.0</v>
      </c>
      <c r="K4581" s="15">
        <v>9.0</v>
      </c>
      <c r="L4581" s="16" t="s">
        <v>31</v>
      </c>
      <c r="M4581" s="14" t="s">
        <v>28489</v>
      </c>
      <c r="N4581" s="14" t="s">
        <v>1181</v>
      </c>
      <c r="O4581" s="16" t="s">
        <v>1182</v>
      </c>
      <c r="P4581" s="14" t="s">
        <v>28298</v>
      </c>
      <c r="Q4581" s="14" t="s">
        <v>28299</v>
      </c>
      <c r="R4581" s="14" t="s">
        <v>1185</v>
      </c>
      <c r="S4581" s="16" t="s">
        <v>1186</v>
      </c>
      <c r="T4581" s="14" t="s">
        <v>66</v>
      </c>
      <c r="U4581" s="16" t="s">
        <v>31</v>
      </c>
      <c r="V4581" s="14" t="s">
        <v>1172</v>
      </c>
      <c r="W4581" s="14" t="s">
        <v>28289</v>
      </c>
      <c r="X4581" s="17" t="str">
        <f>HYPERLINK("https://my.pitchbook.com?p=168226-39P","View People Online")</f>
        <v>View People Online</v>
      </c>
    </row>
    <row r="4582">
      <c r="A4582" s="10" t="s">
        <v>28490</v>
      </c>
      <c r="B4582" s="10" t="s">
        <v>28491</v>
      </c>
      <c r="C4582" s="10" t="s">
        <v>616</v>
      </c>
      <c r="D4582" s="10" t="s">
        <v>28492</v>
      </c>
      <c r="E4582" s="10" t="s">
        <v>28289</v>
      </c>
      <c r="F4582" s="10" t="s">
        <v>114</v>
      </c>
      <c r="G4582" s="10" t="s">
        <v>28493</v>
      </c>
      <c r="H4582" s="11" t="s">
        <v>31</v>
      </c>
      <c r="I4582" s="11">
        <v>2.0</v>
      </c>
      <c r="J4582" s="11">
        <v>2.0</v>
      </c>
      <c r="K4582" s="11" t="s">
        <v>31</v>
      </c>
      <c r="L4582" s="12" t="s">
        <v>28494</v>
      </c>
      <c r="M4582" s="10" t="s">
        <v>28495</v>
      </c>
      <c r="N4582" s="10" t="s">
        <v>6669</v>
      </c>
      <c r="O4582" s="12" t="s">
        <v>6670</v>
      </c>
      <c r="P4582" s="10" t="s">
        <v>28292</v>
      </c>
      <c r="Q4582" s="10" t="s">
        <v>31</v>
      </c>
      <c r="R4582" s="10" t="s">
        <v>1185</v>
      </c>
      <c r="S4582" s="12" t="s">
        <v>28293</v>
      </c>
      <c r="T4582" s="10" t="s">
        <v>66</v>
      </c>
      <c r="U4582" s="12" t="s">
        <v>31</v>
      </c>
      <c r="V4582" s="10" t="s">
        <v>29</v>
      </c>
      <c r="W4582" s="10" t="s">
        <v>28294</v>
      </c>
      <c r="X4582" s="13" t="str">
        <f>HYPERLINK("https://my.pitchbook.com?p=46691-74P","View People Online")</f>
        <v>View People Online</v>
      </c>
    </row>
    <row r="4583">
      <c r="A4583" s="6" t="s">
        <v>28496</v>
      </c>
      <c r="B4583" s="6" t="s">
        <v>28497</v>
      </c>
      <c r="C4583" s="6" t="s">
        <v>28498</v>
      </c>
      <c r="D4583" s="6" t="s">
        <v>28499</v>
      </c>
      <c r="E4583" s="6" t="s">
        <v>28289</v>
      </c>
      <c r="F4583" s="6" t="s">
        <v>114</v>
      </c>
      <c r="G4583" s="6" t="s">
        <v>28500</v>
      </c>
      <c r="H4583" s="7" t="s">
        <v>31</v>
      </c>
      <c r="I4583" s="7">
        <v>2.0</v>
      </c>
      <c r="J4583" s="7">
        <v>2.0</v>
      </c>
      <c r="K4583" s="7" t="s">
        <v>31</v>
      </c>
      <c r="L4583" s="8" t="s">
        <v>28367</v>
      </c>
      <c r="M4583" s="6" t="s">
        <v>28501</v>
      </c>
      <c r="N4583" s="6" t="s">
        <v>28369</v>
      </c>
      <c r="O4583" s="8" t="s">
        <v>28370</v>
      </c>
      <c r="P4583" s="6" t="s">
        <v>28371</v>
      </c>
      <c r="Q4583" s="6" t="s">
        <v>31</v>
      </c>
      <c r="R4583" s="6" t="s">
        <v>1185</v>
      </c>
      <c r="S4583" s="8" t="s">
        <v>28372</v>
      </c>
      <c r="T4583" s="6" t="s">
        <v>66</v>
      </c>
      <c r="U4583" s="8" t="s">
        <v>31</v>
      </c>
      <c r="V4583" s="6" t="s">
        <v>29</v>
      </c>
      <c r="W4583" s="6" t="s">
        <v>28294</v>
      </c>
      <c r="X4583" s="9" t="str">
        <f>HYPERLINK("https://my.pitchbook.com?p=47543-32P","View People Online")</f>
        <v>View People Online</v>
      </c>
    </row>
    <row r="4584">
      <c r="A4584" s="2" t="s">
        <v>28502</v>
      </c>
      <c r="B4584" s="2" t="s">
        <v>28503</v>
      </c>
      <c r="C4584" s="2" t="s">
        <v>1697</v>
      </c>
      <c r="D4584" s="2" t="s">
        <v>28504</v>
      </c>
      <c r="E4584" s="2" t="s">
        <v>28289</v>
      </c>
      <c r="F4584" s="2" t="s">
        <v>114</v>
      </c>
      <c r="G4584" s="2" t="s">
        <v>28505</v>
      </c>
      <c r="H4584" s="3">
        <v>3.0</v>
      </c>
      <c r="I4584" s="3">
        <v>6.0</v>
      </c>
      <c r="J4584" s="3">
        <v>5.0</v>
      </c>
      <c r="K4584" s="3" t="s">
        <v>31</v>
      </c>
      <c r="L4584" s="4" t="s">
        <v>28506</v>
      </c>
      <c r="M4584" s="2" t="s">
        <v>28507</v>
      </c>
      <c r="N4584" s="2" t="s">
        <v>1368</v>
      </c>
      <c r="O4584" s="4" t="s">
        <v>1369</v>
      </c>
      <c r="P4584" s="2" t="s">
        <v>6399</v>
      </c>
      <c r="Q4584" s="2" t="s">
        <v>31</v>
      </c>
      <c r="R4584" s="2" t="s">
        <v>1185</v>
      </c>
      <c r="S4584" s="4" t="s">
        <v>28508</v>
      </c>
      <c r="T4584" s="2" t="s">
        <v>66</v>
      </c>
      <c r="U4584" s="4" t="s">
        <v>31</v>
      </c>
      <c r="V4584" s="2" t="s">
        <v>28509</v>
      </c>
      <c r="W4584" s="2" t="s">
        <v>28510</v>
      </c>
      <c r="X4584" s="5" t="str">
        <f>HYPERLINK("https://my.pitchbook.com?p=35515-09P","View People Online")</f>
        <v>View People Online</v>
      </c>
    </row>
    <row r="4585">
      <c r="A4585" s="6" t="s">
        <v>28511</v>
      </c>
      <c r="B4585" s="6" t="s">
        <v>28512</v>
      </c>
      <c r="C4585" s="6" t="s">
        <v>28513</v>
      </c>
      <c r="D4585" s="6" t="s">
        <v>7698</v>
      </c>
      <c r="E4585" s="6" t="s">
        <v>28289</v>
      </c>
      <c r="F4585" s="6" t="s">
        <v>270</v>
      </c>
      <c r="G4585" s="6" t="s">
        <v>28514</v>
      </c>
      <c r="H4585" s="7" t="s">
        <v>31</v>
      </c>
      <c r="I4585" s="7">
        <v>1.0</v>
      </c>
      <c r="J4585" s="7">
        <v>1.0</v>
      </c>
      <c r="K4585" s="7" t="s">
        <v>31</v>
      </c>
      <c r="L4585" s="8" t="s">
        <v>28515</v>
      </c>
      <c r="M4585" s="6" t="s">
        <v>28516</v>
      </c>
      <c r="N4585" s="6" t="s">
        <v>1181</v>
      </c>
      <c r="O4585" s="8" t="s">
        <v>1182</v>
      </c>
      <c r="P4585" s="6" t="s">
        <v>28298</v>
      </c>
      <c r="Q4585" s="6" t="s">
        <v>28299</v>
      </c>
      <c r="R4585" s="6" t="s">
        <v>1185</v>
      </c>
      <c r="S4585" s="8" t="s">
        <v>1186</v>
      </c>
      <c r="T4585" s="6" t="s">
        <v>66</v>
      </c>
      <c r="U4585" s="8" t="s">
        <v>31</v>
      </c>
      <c r="V4585" s="6" t="s">
        <v>440</v>
      </c>
      <c r="W4585" s="6" t="s">
        <v>28289</v>
      </c>
      <c r="X4585" s="9" t="str">
        <f>HYPERLINK("https://my.pitchbook.com?p=345128-23P","View People Online")</f>
        <v>View People Online</v>
      </c>
    </row>
    <row r="4586">
      <c r="A4586" s="10" t="s">
        <v>28517</v>
      </c>
      <c r="B4586" s="10" t="s">
        <v>28518</v>
      </c>
      <c r="C4586" s="10" t="s">
        <v>28519</v>
      </c>
      <c r="D4586" s="10" t="s">
        <v>3598</v>
      </c>
      <c r="E4586" s="10" t="s">
        <v>28289</v>
      </c>
      <c r="F4586" s="10" t="s">
        <v>29</v>
      </c>
      <c r="G4586" s="10" t="s">
        <v>28520</v>
      </c>
      <c r="H4586" s="11" t="s">
        <v>31</v>
      </c>
      <c r="I4586" s="11">
        <v>1.0</v>
      </c>
      <c r="J4586" s="11">
        <v>1.0</v>
      </c>
      <c r="K4586" s="11" t="s">
        <v>31</v>
      </c>
      <c r="L4586" s="12" t="s">
        <v>31</v>
      </c>
      <c r="M4586" s="10" t="s">
        <v>28521</v>
      </c>
      <c r="N4586" s="10" t="s">
        <v>1181</v>
      </c>
      <c r="O4586" s="12" t="s">
        <v>1182</v>
      </c>
      <c r="P4586" s="10" t="s">
        <v>28298</v>
      </c>
      <c r="Q4586" s="10" t="s">
        <v>28299</v>
      </c>
      <c r="R4586" s="10" t="s">
        <v>1185</v>
      </c>
      <c r="S4586" s="12" t="s">
        <v>1186</v>
      </c>
      <c r="T4586" s="10" t="s">
        <v>66</v>
      </c>
      <c r="U4586" s="12" t="s">
        <v>31</v>
      </c>
      <c r="V4586" s="10" t="s">
        <v>1433</v>
      </c>
      <c r="W4586" s="10" t="s">
        <v>28289</v>
      </c>
      <c r="X4586" s="13" t="str">
        <f>HYPERLINK("https://my.pitchbook.com?p=242580-34P","View People Online")</f>
        <v>View People Online</v>
      </c>
    </row>
    <row r="4587">
      <c r="A4587" s="6" t="s">
        <v>28522</v>
      </c>
      <c r="B4587" s="6" t="s">
        <v>28523</v>
      </c>
      <c r="C4587" s="6" t="s">
        <v>237</v>
      </c>
      <c r="D4587" s="6" t="s">
        <v>5431</v>
      </c>
      <c r="E4587" s="6" t="s">
        <v>28524</v>
      </c>
      <c r="F4587" s="6" t="s">
        <v>25083</v>
      </c>
      <c r="G4587" s="6" t="s">
        <v>28525</v>
      </c>
      <c r="H4587" s="7">
        <v>8.0</v>
      </c>
      <c r="I4587" s="7">
        <v>40.0</v>
      </c>
      <c r="J4587" s="7">
        <v>1.0</v>
      </c>
      <c r="K4587" s="7">
        <v>27.0</v>
      </c>
      <c r="L4587" s="8" t="s">
        <v>28526</v>
      </c>
      <c r="M4587" s="6" t="s">
        <v>28527</v>
      </c>
      <c r="N4587" s="6" t="s">
        <v>28185</v>
      </c>
      <c r="O4587" s="8" t="s">
        <v>28186</v>
      </c>
      <c r="P4587" s="6" t="s">
        <v>28528</v>
      </c>
      <c r="Q4587" s="6" t="s">
        <v>25468</v>
      </c>
      <c r="R4587" s="6" t="s">
        <v>396</v>
      </c>
      <c r="S4587" s="8" t="s">
        <v>28529</v>
      </c>
      <c r="T4587" s="6" t="s">
        <v>66</v>
      </c>
      <c r="U4587" s="8" t="s">
        <v>31</v>
      </c>
      <c r="V4587" s="6" t="s">
        <v>28530</v>
      </c>
      <c r="W4587" s="6" t="s">
        <v>28524</v>
      </c>
      <c r="X4587" s="9" t="str">
        <f>HYPERLINK("https://my.pitchbook.com?p=209976-49P","View People Online")</f>
        <v>View People Online</v>
      </c>
    </row>
    <row r="4588">
      <c r="A4588" s="10" t="s">
        <v>28531</v>
      </c>
      <c r="B4588" s="10" t="s">
        <v>28532</v>
      </c>
      <c r="C4588" s="10" t="s">
        <v>28533</v>
      </c>
      <c r="D4588" s="10" t="s">
        <v>28534</v>
      </c>
      <c r="E4588" s="10" t="s">
        <v>28524</v>
      </c>
      <c r="F4588" s="10" t="s">
        <v>667</v>
      </c>
      <c r="G4588" s="10" t="s">
        <v>28535</v>
      </c>
      <c r="H4588" s="11" t="s">
        <v>31</v>
      </c>
      <c r="I4588" s="11">
        <v>1.0</v>
      </c>
      <c r="J4588" s="11">
        <v>1.0</v>
      </c>
      <c r="K4588" s="11" t="s">
        <v>31</v>
      </c>
      <c r="L4588" s="12" t="s">
        <v>28526</v>
      </c>
      <c r="M4588" s="10" t="s">
        <v>28536</v>
      </c>
      <c r="N4588" s="10" t="s">
        <v>28185</v>
      </c>
      <c r="O4588" s="12" t="s">
        <v>28186</v>
      </c>
      <c r="P4588" s="10" t="s">
        <v>28528</v>
      </c>
      <c r="Q4588" s="10" t="s">
        <v>25468</v>
      </c>
      <c r="R4588" s="10" t="s">
        <v>396</v>
      </c>
      <c r="S4588" s="12" t="s">
        <v>28529</v>
      </c>
      <c r="T4588" s="10" t="s">
        <v>66</v>
      </c>
      <c r="U4588" s="12" t="s">
        <v>31</v>
      </c>
      <c r="V4588" s="10" t="s">
        <v>667</v>
      </c>
      <c r="W4588" s="10" t="s">
        <v>28524</v>
      </c>
      <c r="X4588" s="13" t="str">
        <f>HYPERLINK("https://my.pitchbook.com?p=357801-76P","View People Online")</f>
        <v>View People Online</v>
      </c>
    </row>
    <row r="4589">
      <c r="A4589" s="14" t="s">
        <v>28537</v>
      </c>
      <c r="B4589" s="14" t="s">
        <v>28538</v>
      </c>
      <c r="C4589" s="14" t="s">
        <v>665</v>
      </c>
      <c r="D4589" s="14" t="s">
        <v>28539</v>
      </c>
      <c r="E4589" s="14" t="s">
        <v>28524</v>
      </c>
      <c r="F4589" s="14" t="s">
        <v>312</v>
      </c>
      <c r="G4589" s="14" t="s">
        <v>28540</v>
      </c>
      <c r="H4589" s="15">
        <v>1.0</v>
      </c>
      <c r="I4589" s="15">
        <v>4.0</v>
      </c>
      <c r="J4589" s="15">
        <v>1.0</v>
      </c>
      <c r="K4589" s="15">
        <v>1.0</v>
      </c>
      <c r="L4589" s="16" t="s">
        <v>28526</v>
      </c>
      <c r="M4589" s="14" t="s">
        <v>28541</v>
      </c>
      <c r="N4589" s="14" t="s">
        <v>28185</v>
      </c>
      <c r="O4589" s="16" t="s">
        <v>28186</v>
      </c>
      <c r="P4589" s="14" t="s">
        <v>28528</v>
      </c>
      <c r="Q4589" s="14" t="s">
        <v>25468</v>
      </c>
      <c r="R4589" s="14" t="s">
        <v>396</v>
      </c>
      <c r="S4589" s="16" t="s">
        <v>28529</v>
      </c>
      <c r="T4589" s="14" t="s">
        <v>66</v>
      </c>
      <c r="U4589" s="16" t="s">
        <v>31</v>
      </c>
      <c r="V4589" s="14" t="s">
        <v>312</v>
      </c>
      <c r="W4589" s="14" t="s">
        <v>28524</v>
      </c>
      <c r="X4589" s="17" t="str">
        <f>HYPERLINK("https://my.pitchbook.com?p=126285-22P","View People Online")</f>
        <v>View People Online</v>
      </c>
    </row>
    <row r="4590">
      <c r="A4590" s="2" t="s">
        <v>28542</v>
      </c>
      <c r="B4590" s="2" t="s">
        <v>28543</v>
      </c>
      <c r="C4590" s="2" t="s">
        <v>8106</v>
      </c>
      <c r="D4590" s="2" t="s">
        <v>28544</v>
      </c>
      <c r="E4590" s="2" t="s">
        <v>28524</v>
      </c>
      <c r="F4590" s="2" t="s">
        <v>29</v>
      </c>
      <c r="G4590" s="2" t="s">
        <v>28545</v>
      </c>
      <c r="H4590" s="3">
        <v>4.0</v>
      </c>
      <c r="I4590" s="3">
        <v>40.0</v>
      </c>
      <c r="J4590" s="3">
        <v>1.0</v>
      </c>
      <c r="K4590" s="3">
        <v>26.0</v>
      </c>
      <c r="L4590" s="4" t="s">
        <v>28526</v>
      </c>
      <c r="M4590" s="2" t="s">
        <v>28546</v>
      </c>
      <c r="N4590" s="2" t="s">
        <v>28185</v>
      </c>
      <c r="O4590" s="4" t="s">
        <v>28186</v>
      </c>
      <c r="P4590" s="2" t="s">
        <v>28528</v>
      </c>
      <c r="Q4590" s="2" t="s">
        <v>25468</v>
      </c>
      <c r="R4590" s="2" t="s">
        <v>396</v>
      </c>
      <c r="S4590" s="4" t="s">
        <v>28529</v>
      </c>
      <c r="T4590" s="2" t="s">
        <v>66</v>
      </c>
      <c r="U4590" s="4" t="s">
        <v>31</v>
      </c>
      <c r="V4590" s="2" t="s">
        <v>29</v>
      </c>
      <c r="W4590" s="2" t="s">
        <v>28524</v>
      </c>
      <c r="X4590" s="5" t="str">
        <f>HYPERLINK("https://my.pitchbook.com?p=13660-93P","View People Online")</f>
        <v>View People Online</v>
      </c>
    </row>
    <row r="4591">
      <c r="A4591" s="14" t="s">
        <v>28547</v>
      </c>
      <c r="B4591" s="14" t="s">
        <v>28548</v>
      </c>
      <c r="C4591" s="14" t="s">
        <v>7138</v>
      </c>
      <c r="D4591" s="14" t="s">
        <v>28549</v>
      </c>
      <c r="E4591" s="14" t="s">
        <v>28524</v>
      </c>
      <c r="F4591" s="14" t="s">
        <v>114</v>
      </c>
      <c r="G4591" s="14" t="s">
        <v>28550</v>
      </c>
      <c r="H4591" s="15" t="s">
        <v>31</v>
      </c>
      <c r="I4591" s="15">
        <v>2.0</v>
      </c>
      <c r="J4591" s="15">
        <v>2.0</v>
      </c>
      <c r="K4591" s="15" t="s">
        <v>31</v>
      </c>
      <c r="L4591" s="16" t="s">
        <v>31</v>
      </c>
      <c r="M4591" s="14" t="s">
        <v>28551</v>
      </c>
      <c r="N4591" s="14" t="s">
        <v>10290</v>
      </c>
      <c r="O4591" s="16" t="s">
        <v>10291</v>
      </c>
      <c r="P4591" s="14" t="s">
        <v>31</v>
      </c>
      <c r="Q4591" s="14" t="s">
        <v>31</v>
      </c>
      <c r="R4591" s="14" t="s">
        <v>31</v>
      </c>
      <c r="S4591" s="16" t="s">
        <v>31</v>
      </c>
      <c r="T4591" s="14" t="s">
        <v>10295</v>
      </c>
      <c r="U4591" s="16" t="s">
        <v>31</v>
      </c>
      <c r="V4591" s="14" t="s">
        <v>991</v>
      </c>
      <c r="W4591" s="14" t="s">
        <v>28552</v>
      </c>
      <c r="X4591" s="17" t="str">
        <f>HYPERLINK("https://my.pitchbook.com?p=392641-48P","View People Online")</f>
        <v>View People Online</v>
      </c>
    </row>
    <row r="4592">
      <c r="A4592" s="2" t="s">
        <v>28553</v>
      </c>
      <c r="B4592" s="2" t="s">
        <v>28554</v>
      </c>
      <c r="C4592" s="2" t="s">
        <v>28555</v>
      </c>
      <c r="D4592" s="2" t="s">
        <v>9293</v>
      </c>
      <c r="E4592" s="2" t="s">
        <v>28524</v>
      </c>
      <c r="F4592" s="2" t="s">
        <v>81</v>
      </c>
      <c r="G4592" s="2" t="s">
        <v>28556</v>
      </c>
      <c r="H4592" s="3" t="s">
        <v>31</v>
      </c>
      <c r="I4592" s="3">
        <v>1.0</v>
      </c>
      <c r="J4592" s="3" t="s">
        <v>31</v>
      </c>
      <c r="K4592" s="3" t="s">
        <v>31</v>
      </c>
      <c r="L4592" s="4" t="s">
        <v>28526</v>
      </c>
      <c r="M4592" s="2" t="s">
        <v>28557</v>
      </c>
      <c r="N4592" s="2" t="s">
        <v>28185</v>
      </c>
      <c r="O4592" s="4" t="s">
        <v>28186</v>
      </c>
      <c r="P4592" s="2" t="s">
        <v>28528</v>
      </c>
      <c r="Q4592" s="2" t="s">
        <v>25468</v>
      </c>
      <c r="R4592" s="2" t="s">
        <v>396</v>
      </c>
      <c r="S4592" s="4" t="s">
        <v>28529</v>
      </c>
      <c r="T4592" s="2" t="s">
        <v>66</v>
      </c>
      <c r="U4592" s="4" t="s">
        <v>31</v>
      </c>
      <c r="V4592" s="2" t="s">
        <v>302</v>
      </c>
      <c r="W4592" s="2" t="s">
        <v>28524</v>
      </c>
      <c r="X4592" s="5" t="str">
        <f>HYPERLINK("https://my.pitchbook.com?p=86720-59P","View People Online")</f>
        <v>View People Online</v>
      </c>
    </row>
    <row r="4593">
      <c r="A4593" s="14" t="s">
        <v>28558</v>
      </c>
      <c r="B4593" s="14" t="s">
        <v>28559</v>
      </c>
      <c r="C4593" s="14" t="s">
        <v>6913</v>
      </c>
      <c r="D4593" s="14" t="s">
        <v>28560</v>
      </c>
      <c r="E4593" s="14" t="s">
        <v>28524</v>
      </c>
      <c r="F4593" s="14" t="s">
        <v>29</v>
      </c>
      <c r="G4593" s="14" t="s">
        <v>28561</v>
      </c>
      <c r="H4593" s="15" t="s">
        <v>31</v>
      </c>
      <c r="I4593" s="15">
        <v>1.0</v>
      </c>
      <c r="J4593" s="15">
        <v>1.0</v>
      </c>
      <c r="K4593" s="15" t="s">
        <v>31</v>
      </c>
      <c r="L4593" s="16" t="s">
        <v>28526</v>
      </c>
      <c r="M4593" s="14" t="s">
        <v>28562</v>
      </c>
      <c r="N4593" s="14" t="s">
        <v>28185</v>
      </c>
      <c r="O4593" s="16" t="s">
        <v>28186</v>
      </c>
      <c r="P4593" s="14" t="s">
        <v>28528</v>
      </c>
      <c r="Q4593" s="14" t="s">
        <v>25468</v>
      </c>
      <c r="R4593" s="14" t="s">
        <v>396</v>
      </c>
      <c r="S4593" s="16" t="s">
        <v>28529</v>
      </c>
      <c r="T4593" s="14" t="s">
        <v>66</v>
      </c>
      <c r="U4593" s="16" t="s">
        <v>31</v>
      </c>
      <c r="V4593" s="14" t="s">
        <v>28563</v>
      </c>
      <c r="W4593" s="14" t="s">
        <v>28524</v>
      </c>
      <c r="X4593" s="17" t="str">
        <f>HYPERLINK("https://my.pitchbook.com?p=392644-00P","View People Online")</f>
        <v>View People Online</v>
      </c>
    </row>
    <row r="4594">
      <c r="A4594" s="2" t="s">
        <v>28564</v>
      </c>
      <c r="B4594" s="2" t="s">
        <v>28565</v>
      </c>
      <c r="C4594" s="2" t="s">
        <v>2122</v>
      </c>
      <c r="D4594" s="2" t="s">
        <v>28566</v>
      </c>
      <c r="E4594" s="2" t="s">
        <v>28524</v>
      </c>
      <c r="F4594" s="2" t="s">
        <v>2652</v>
      </c>
      <c r="G4594" s="2" t="s">
        <v>28567</v>
      </c>
      <c r="H4594" s="3" t="s">
        <v>31</v>
      </c>
      <c r="I4594" s="3">
        <v>1.0</v>
      </c>
      <c r="J4594" s="3">
        <v>1.0</v>
      </c>
      <c r="K4594" s="3" t="s">
        <v>31</v>
      </c>
      <c r="L4594" s="4" t="s">
        <v>28526</v>
      </c>
      <c r="M4594" s="2" t="s">
        <v>28568</v>
      </c>
      <c r="N4594" s="2" t="s">
        <v>28185</v>
      </c>
      <c r="O4594" s="4" t="s">
        <v>28186</v>
      </c>
      <c r="P4594" s="2" t="s">
        <v>28528</v>
      </c>
      <c r="Q4594" s="2" t="s">
        <v>25468</v>
      </c>
      <c r="R4594" s="2" t="s">
        <v>396</v>
      </c>
      <c r="S4594" s="4" t="s">
        <v>28529</v>
      </c>
      <c r="T4594" s="2" t="s">
        <v>66</v>
      </c>
      <c r="U4594" s="4" t="s">
        <v>31</v>
      </c>
      <c r="V4594" s="2" t="s">
        <v>28569</v>
      </c>
      <c r="W4594" s="2" t="s">
        <v>28524</v>
      </c>
      <c r="X4594" s="5" t="str">
        <f>HYPERLINK("https://my.pitchbook.com?p=223156-72P","View People Online")</f>
        <v>View People Online</v>
      </c>
    </row>
    <row r="4595">
      <c r="A4595" s="14" t="s">
        <v>28570</v>
      </c>
      <c r="B4595" s="14" t="s">
        <v>28571</v>
      </c>
      <c r="C4595" s="14" t="s">
        <v>823</v>
      </c>
      <c r="D4595" s="14" t="s">
        <v>28572</v>
      </c>
      <c r="E4595" s="14" t="s">
        <v>28524</v>
      </c>
      <c r="F4595" s="14" t="s">
        <v>674</v>
      </c>
      <c r="G4595" s="14" t="s">
        <v>28573</v>
      </c>
      <c r="H4595" s="15">
        <v>1.0</v>
      </c>
      <c r="I4595" s="15">
        <v>20.0</v>
      </c>
      <c r="J4595" s="15">
        <v>1.0</v>
      </c>
      <c r="K4595" s="15">
        <v>13.0</v>
      </c>
      <c r="L4595" s="16" t="s">
        <v>28526</v>
      </c>
      <c r="M4595" s="14" t="s">
        <v>28574</v>
      </c>
      <c r="N4595" s="14" t="s">
        <v>28185</v>
      </c>
      <c r="O4595" s="16" t="s">
        <v>28186</v>
      </c>
      <c r="P4595" s="14" t="s">
        <v>28528</v>
      </c>
      <c r="Q4595" s="14" t="s">
        <v>25468</v>
      </c>
      <c r="R4595" s="14" t="s">
        <v>396</v>
      </c>
      <c r="S4595" s="16" t="s">
        <v>28529</v>
      </c>
      <c r="T4595" s="14" t="s">
        <v>66</v>
      </c>
      <c r="U4595" s="16" t="s">
        <v>31</v>
      </c>
      <c r="V4595" s="14" t="s">
        <v>1172</v>
      </c>
      <c r="W4595" s="14" t="s">
        <v>28524</v>
      </c>
      <c r="X4595" s="17" t="str">
        <f>HYPERLINK("https://my.pitchbook.com?p=43385-50P","View People Online")</f>
        <v>View People Online</v>
      </c>
    </row>
    <row r="4596">
      <c r="A4596" s="2" t="s">
        <v>28575</v>
      </c>
      <c r="B4596" s="2" t="s">
        <v>28576</v>
      </c>
      <c r="C4596" s="2" t="s">
        <v>6414</v>
      </c>
      <c r="D4596" s="2" t="s">
        <v>28577</v>
      </c>
      <c r="E4596" s="2" t="s">
        <v>28524</v>
      </c>
      <c r="F4596" s="2" t="s">
        <v>81</v>
      </c>
      <c r="G4596" s="2" t="s">
        <v>28578</v>
      </c>
      <c r="H4596" s="3">
        <v>1.0</v>
      </c>
      <c r="I4596" s="3">
        <v>3.0</v>
      </c>
      <c r="J4596" s="3">
        <v>1.0</v>
      </c>
      <c r="K4596" s="3" t="s">
        <v>31</v>
      </c>
      <c r="L4596" s="4" t="s">
        <v>28579</v>
      </c>
      <c r="M4596" s="2" t="s">
        <v>28580</v>
      </c>
      <c r="N4596" s="2" t="s">
        <v>155</v>
      </c>
      <c r="O4596" s="4" t="s">
        <v>156</v>
      </c>
      <c r="P4596" s="2" t="s">
        <v>28581</v>
      </c>
      <c r="Q4596" s="2" t="s">
        <v>28582</v>
      </c>
      <c r="R4596" s="2" t="s">
        <v>64</v>
      </c>
      <c r="S4596" s="4" t="s">
        <v>3487</v>
      </c>
      <c r="T4596" s="2" t="s">
        <v>66</v>
      </c>
      <c r="U4596" s="4" t="s">
        <v>28583</v>
      </c>
      <c r="V4596" s="2" t="s">
        <v>28584</v>
      </c>
      <c r="W4596" s="2" t="s">
        <v>28585</v>
      </c>
      <c r="X4596" s="5" t="str">
        <f>HYPERLINK("https://my.pitchbook.com?p=342287-38P","View People Online")</f>
        <v>View People Online</v>
      </c>
    </row>
    <row r="4597">
      <c r="A4597" s="6" t="s">
        <v>28586</v>
      </c>
      <c r="B4597" s="6" t="s">
        <v>28587</v>
      </c>
      <c r="C4597" s="6" t="s">
        <v>28588</v>
      </c>
      <c r="D4597" s="6" t="s">
        <v>28589</v>
      </c>
      <c r="E4597" s="6" t="s">
        <v>28524</v>
      </c>
      <c r="F4597" s="6" t="s">
        <v>201</v>
      </c>
      <c r="G4597" s="6" t="s">
        <v>28590</v>
      </c>
      <c r="H4597" s="7" t="s">
        <v>31</v>
      </c>
      <c r="I4597" s="7">
        <v>1.0</v>
      </c>
      <c r="J4597" s="7">
        <v>1.0</v>
      </c>
      <c r="K4597" s="7" t="s">
        <v>31</v>
      </c>
      <c r="L4597" s="8" t="s">
        <v>28526</v>
      </c>
      <c r="M4597" s="6" t="s">
        <v>28591</v>
      </c>
      <c r="N4597" s="6" t="s">
        <v>28185</v>
      </c>
      <c r="O4597" s="8" t="s">
        <v>28186</v>
      </c>
      <c r="P4597" s="6" t="s">
        <v>28528</v>
      </c>
      <c r="Q4597" s="6" t="s">
        <v>25468</v>
      </c>
      <c r="R4597" s="6" t="s">
        <v>396</v>
      </c>
      <c r="S4597" s="8" t="s">
        <v>28529</v>
      </c>
      <c r="T4597" s="6" t="s">
        <v>66</v>
      </c>
      <c r="U4597" s="8" t="s">
        <v>31</v>
      </c>
      <c r="V4597" s="6" t="s">
        <v>201</v>
      </c>
      <c r="W4597" s="6" t="s">
        <v>28524</v>
      </c>
      <c r="X4597" s="9" t="str">
        <f>HYPERLINK("https://my.pitchbook.com?p=208929-97P","View People Online")</f>
        <v>View People Online</v>
      </c>
    </row>
    <row r="4598">
      <c r="A4598" s="10" t="s">
        <v>28592</v>
      </c>
      <c r="B4598" s="10" t="s">
        <v>28593</v>
      </c>
      <c r="C4598" s="10" t="s">
        <v>132</v>
      </c>
      <c r="D4598" s="10" t="s">
        <v>28594</v>
      </c>
      <c r="E4598" s="10" t="s">
        <v>28524</v>
      </c>
      <c r="F4598" s="10" t="s">
        <v>28595</v>
      </c>
      <c r="G4598" s="10" t="s">
        <v>28596</v>
      </c>
      <c r="H4598" s="11" t="s">
        <v>31</v>
      </c>
      <c r="I4598" s="11">
        <v>1.0</v>
      </c>
      <c r="J4598" s="11">
        <v>1.0</v>
      </c>
      <c r="K4598" s="11" t="s">
        <v>31</v>
      </c>
      <c r="L4598" s="12" t="s">
        <v>28526</v>
      </c>
      <c r="M4598" s="10" t="s">
        <v>28597</v>
      </c>
      <c r="N4598" s="10" t="s">
        <v>28185</v>
      </c>
      <c r="O4598" s="12" t="s">
        <v>28186</v>
      </c>
      <c r="P4598" s="10" t="s">
        <v>28528</v>
      </c>
      <c r="Q4598" s="10" t="s">
        <v>25468</v>
      </c>
      <c r="R4598" s="10" t="s">
        <v>396</v>
      </c>
      <c r="S4598" s="12" t="s">
        <v>28529</v>
      </c>
      <c r="T4598" s="10" t="s">
        <v>66</v>
      </c>
      <c r="U4598" s="12" t="s">
        <v>31</v>
      </c>
      <c r="V4598" s="10" t="s">
        <v>28598</v>
      </c>
      <c r="W4598" s="10" t="s">
        <v>28524</v>
      </c>
      <c r="X4598" s="13" t="str">
        <f>HYPERLINK("https://my.pitchbook.com?p=223155-64P","View People Online")</f>
        <v>View People Online</v>
      </c>
    </row>
    <row r="4599">
      <c r="A4599" s="6" t="s">
        <v>28599</v>
      </c>
      <c r="B4599" s="6" t="s">
        <v>28600</v>
      </c>
      <c r="C4599" s="6" t="s">
        <v>536</v>
      </c>
      <c r="D4599" s="6" t="s">
        <v>28601</v>
      </c>
      <c r="E4599" s="6" t="s">
        <v>28524</v>
      </c>
      <c r="F4599" s="6" t="s">
        <v>29</v>
      </c>
      <c r="G4599" s="6" t="s">
        <v>28602</v>
      </c>
      <c r="H4599" s="7">
        <v>3.0</v>
      </c>
      <c r="I4599" s="7">
        <v>4.0</v>
      </c>
      <c r="J4599" s="7">
        <v>1.0</v>
      </c>
      <c r="K4599" s="7" t="s">
        <v>31</v>
      </c>
      <c r="L4599" s="8" t="s">
        <v>28526</v>
      </c>
      <c r="M4599" s="6" t="s">
        <v>28603</v>
      </c>
      <c r="N4599" s="6" t="s">
        <v>28185</v>
      </c>
      <c r="O4599" s="8" t="s">
        <v>28186</v>
      </c>
      <c r="P4599" s="6" t="s">
        <v>28528</v>
      </c>
      <c r="Q4599" s="6" t="s">
        <v>25468</v>
      </c>
      <c r="R4599" s="6" t="s">
        <v>396</v>
      </c>
      <c r="S4599" s="8" t="s">
        <v>28529</v>
      </c>
      <c r="T4599" s="6" t="s">
        <v>66</v>
      </c>
      <c r="U4599" s="8" t="s">
        <v>31</v>
      </c>
      <c r="V4599" s="6" t="s">
        <v>29</v>
      </c>
      <c r="W4599" s="6" t="s">
        <v>28524</v>
      </c>
      <c r="X4599" s="9" t="str">
        <f>HYPERLINK("https://my.pitchbook.com?p=75146-05P","View People Online")</f>
        <v>View People Online</v>
      </c>
    </row>
    <row r="4600">
      <c r="A4600" s="2" t="s">
        <v>28604</v>
      </c>
      <c r="B4600" s="2" t="s">
        <v>28605</v>
      </c>
      <c r="C4600" s="2" t="s">
        <v>180</v>
      </c>
      <c r="D4600" s="2" t="s">
        <v>11874</v>
      </c>
      <c r="E4600" s="2" t="s">
        <v>28524</v>
      </c>
      <c r="F4600" s="2" t="s">
        <v>28606</v>
      </c>
      <c r="G4600" s="2" t="s">
        <v>28607</v>
      </c>
      <c r="H4600" s="3" t="s">
        <v>31</v>
      </c>
      <c r="I4600" s="3">
        <v>1.0</v>
      </c>
      <c r="J4600" s="3">
        <v>1.0</v>
      </c>
      <c r="K4600" s="3" t="s">
        <v>31</v>
      </c>
      <c r="L4600" s="4" t="s">
        <v>28526</v>
      </c>
      <c r="M4600" s="2" t="s">
        <v>28608</v>
      </c>
      <c r="N4600" s="2" t="s">
        <v>28185</v>
      </c>
      <c r="O4600" s="4" t="s">
        <v>28186</v>
      </c>
      <c r="P4600" s="2" t="s">
        <v>28528</v>
      </c>
      <c r="Q4600" s="2" t="s">
        <v>25468</v>
      </c>
      <c r="R4600" s="2" t="s">
        <v>396</v>
      </c>
      <c r="S4600" s="4" t="s">
        <v>28529</v>
      </c>
      <c r="T4600" s="2" t="s">
        <v>66</v>
      </c>
      <c r="U4600" s="4" t="s">
        <v>31</v>
      </c>
      <c r="V4600" s="2" t="s">
        <v>28609</v>
      </c>
      <c r="W4600" s="2" t="s">
        <v>28524</v>
      </c>
      <c r="X4600" s="5" t="str">
        <f>HYPERLINK("https://my.pitchbook.com?p=83588-77P","View People Online")</f>
        <v>View People Online</v>
      </c>
    </row>
    <row r="4601">
      <c r="A4601" s="14" t="s">
        <v>28610</v>
      </c>
      <c r="B4601" s="14" t="s">
        <v>28611</v>
      </c>
      <c r="C4601" s="14" t="s">
        <v>7207</v>
      </c>
      <c r="D4601" s="14" t="s">
        <v>28612</v>
      </c>
      <c r="E4601" s="14" t="s">
        <v>28524</v>
      </c>
      <c r="F4601" s="14" t="s">
        <v>6567</v>
      </c>
      <c r="G4601" s="14" t="s">
        <v>28613</v>
      </c>
      <c r="H4601" s="15" t="s">
        <v>31</v>
      </c>
      <c r="I4601" s="15">
        <v>1.0</v>
      </c>
      <c r="J4601" s="15">
        <v>1.0</v>
      </c>
      <c r="K4601" s="15" t="s">
        <v>31</v>
      </c>
      <c r="L4601" s="16" t="s">
        <v>28526</v>
      </c>
      <c r="M4601" s="14" t="s">
        <v>28614</v>
      </c>
      <c r="N4601" s="14" t="s">
        <v>28185</v>
      </c>
      <c r="O4601" s="16" t="s">
        <v>28186</v>
      </c>
      <c r="P4601" s="14" t="s">
        <v>28528</v>
      </c>
      <c r="Q4601" s="14" t="s">
        <v>25468</v>
      </c>
      <c r="R4601" s="14" t="s">
        <v>396</v>
      </c>
      <c r="S4601" s="16" t="s">
        <v>28529</v>
      </c>
      <c r="T4601" s="14" t="s">
        <v>66</v>
      </c>
      <c r="U4601" s="16" t="s">
        <v>31</v>
      </c>
      <c r="V4601" s="14" t="s">
        <v>6567</v>
      </c>
      <c r="W4601" s="14" t="s">
        <v>28524</v>
      </c>
      <c r="X4601" s="17" t="str">
        <f>HYPERLINK("https://my.pitchbook.com?p=223158-25P","View People Online")</f>
        <v>View People Online</v>
      </c>
    </row>
    <row r="4602">
      <c r="A4602" s="2" t="s">
        <v>28615</v>
      </c>
      <c r="B4602" s="2" t="s">
        <v>28616</v>
      </c>
      <c r="C4602" s="2" t="s">
        <v>28617</v>
      </c>
      <c r="D4602" s="2" t="s">
        <v>15536</v>
      </c>
      <c r="E4602" s="2" t="s">
        <v>28618</v>
      </c>
      <c r="F4602" s="2" t="s">
        <v>270</v>
      </c>
      <c r="G4602" s="2" t="s">
        <v>28619</v>
      </c>
      <c r="H4602" s="3" t="s">
        <v>31</v>
      </c>
      <c r="I4602" s="3">
        <v>1.0</v>
      </c>
      <c r="J4602" s="3">
        <v>1.0</v>
      </c>
      <c r="K4602" s="3" t="s">
        <v>31</v>
      </c>
      <c r="L4602" s="4" t="s">
        <v>28620</v>
      </c>
      <c r="M4602" s="2" t="s">
        <v>28621</v>
      </c>
      <c r="N4602" s="2" t="s">
        <v>155</v>
      </c>
      <c r="O4602" s="4" t="s">
        <v>156</v>
      </c>
      <c r="P4602" s="2" t="s">
        <v>31</v>
      </c>
      <c r="Q4602" s="2" t="s">
        <v>31</v>
      </c>
      <c r="R4602" s="2" t="s">
        <v>64</v>
      </c>
      <c r="S4602" s="4" t="s">
        <v>31</v>
      </c>
      <c r="T4602" s="2" t="s">
        <v>66</v>
      </c>
      <c r="U4602" s="4" t="s">
        <v>31</v>
      </c>
      <c r="V4602" s="2" t="s">
        <v>662</v>
      </c>
      <c r="W4602" s="2" t="s">
        <v>28618</v>
      </c>
      <c r="X4602" s="5" t="str">
        <f>HYPERLINK("https://my.pitchbook.com?p=446752-99P","View People Online")</f>
        <v>View People Online</v>
      </c>
    </row>
    <row r="4603">
      <c r="A4603" s="14" t="s">
        <v>28622</v>
      </c>
      <c r="B4603" s="14" t="s">
        <v>28623</v>
      </c>
      <c r="C4603" s="14" t="s">
        <v>3052</v>
      </c>
      <c r="D4603" s="14" t="s">
        <v>28624</v>
      </c>
      <c r="E4603" s="14" t="s">
        <v>28618</v>
      </c>
      <c r="F4603" s="14" t="s">
        <v>674</v>
      </c>
      <c r="G4603" s="14" t="s">
        <v>28625</v>
      </c>
      <c r="H4603" s="15">
        <v>4.0</v>
      </c>
      <c r="I4603" s="15">
        <v>71.0</v>
      </c>
      <c r="J4603" s="15">
        <v>1.0</v>
      </c>
      <c r="K4603" s="15">
        <v>60.0</v>
      </c>
      <c r="L4603" s="16" t="s">
        <v>28620</v>
      </c>
      <c r="M4603" s="14" t="s">
        <v>28626</v>
      </c>
      <c r="N4603" s="14" t="s">
        <v>155</v>
      </c>
      <c r="O4603" s="16" t="s">
        <v>156</v>
      </c>
      <c r="P4603" s="14" t="s">
        <v>31</v>
      </c>
      <c r="Q4603" s="14" t="s">
        <v>31</v>
      </c>
      <c r="R4603" s="14" t="s">
        <v>64</v>
      </c>
      <c r="S4603" s="16" t="s">
        <v>31</v>
      </c>
      <c r="T4603" s="14" t="s">
        <v>66</v>
      </c>
      <c r="U4603" s="16" t="s">
        <v>31</v>
      </c>
      <c r="V4603" s="14" t="s">
        <v>1172</v>
      </c>
      <c r="W4603" s="14" t="s">
        <v>28618</v>
      </c>
      <c r="X4603" s="17" t="str">
        <f>HYPERLINK("https://my.pitchbook.com?p=39047-95P","View People Online")</f>
        <v>View People Online</v>
      </c>
    </row>
    <row r="4604">
      <c r="A4604" s="10" t="s">
        <v>28627</v>
      </c>
      <c r="B4604" s="10" t="s">
        <v>28628</v>
      </c>
      <c r="C4604" s="10" t="s">
        <v>2388</v>
      </c>
      <c r="D4604" s="10" t="s">
        <v>6496</v>
      </c>
      <c r="E4604" s="10" t="s">
        <v>28618</v>
      </c>
      <c r="F4604" s="10" t="s">
        <v>318</v>
      </c>
      <c r="G4604" s="10" t="s">
        <v>28629</v>
      </c>
      <c r="H4604" s="11" t="s">
        <v>31</v>
      </c>
      <c r="I4604" s="11">
        <v>1.0</v>
      </c>
      <c r="J4604" s="11">
        <v>1.0</v>
      </c>
      <c r="K4604" s="11" t="s">
        <v>31</v>
      </c>
      <c r="L4604" s="12" t="s">
        <v>28630</v>
      </c>
      <c r="M4604" s="10" t="s">
        <v>28631</v>
      </c>
      <c r="N4604" s="10" t="s">
        <v>155</v>
      </c>
      <c r="O4604" s="12" t="s">
        <v>156</v>
      </c>
      <c r="P4604" s="10" t="s">
        <v>31</v>
      </c>
      <c r="Q4604" s="10" t="s">
        <v>31</v>
      </c>
      <c r="R4604" s="10" t="s">
        <v>64</v>
      </c>
      <c r="S4604" s="12" t="s">
        <v>31</v>
      </c>
      <c r="T4604" s="10" t="s">
        <v>66</v>
      </c>
      <c r="U4604" s="12" t="s">
        <v>31</v>
      </c>
      <c r="V4604" s="10" t="s">
        <v>28632</v>
      </c>
      <c r="W4604" s="10" t="s">
        <v>28618</v>
      </c>
      <c r="X4604" s="13" t="str">
        <f>HYPERLINK("https://my.pitchbook.com?p=313679-08P","View People Online")</f>
        <v>View People Online</v>
      </c>
    </row>
    <row r="4605">
      <c r="A4605" s="6" t="s">
        <v>28633</v>
      </c>
      <c r="B4605" s="6" t="s">
        <v>28634</v>
      </c>
      <c r="C4605" s="6" t="s">
        <v>28635</v>
      </c>
      <c r="D4605" s="6" t="s">
        <v>27855</v>
      </c>
      <c r="E4605" s="6" t="s">
        <v>28618</v>
      </c>
      <c r="F4605" s="6" t="s">
        <v>674</v>
      </c>
      <c r="G4605" s="6" t="s">
        <v>28636</v>
      </c>
      <c r="H4605" s="7">
        <v>2.0</v>
      </c>
      <c r="I4605" s="7">
        <v>38.0</v>
      </c>
      <c r="J4605" s="7">
        <v>1.0</v>
      </c>
      <c r="K4605" s="7">
        <v>27.0</v>
      </c>
      <c r="L4605" s="8" t="s">
        <v>28620</v>
      </c>
      <c r="M4605" s="6" t="s">
        <v>28637</v>
      </c>
      <c r="N4605" s="6" t="s">
        <v>155</v>
      </c>
      <c r="O4605" s="8" t="s">
        <v>156</v>
      </c>
      <c r="P4605" s="6" t="s">
        <v>31</v>
      </c>
      <c r="Q4605" s="6" t="s">
        <v>31</v>
      </c>
      <c r="R4605" s="6" t="s">
        <v>64</v>
      </c>
      <c r="S4605" s="8" t="s">
        <v>31</v>
      </c>
      <c r="T4605" s="6" t="s">
        <v>66</v>
      </c>
      <c r="U4605" s="8" t="s">
        <v>31</v>
      </c>
      <c r="V4605" s="6" t="s">
        <v>1172</v>
      </c>
      <c r="W4605" s="6" t="s">
        <v>28618</v>
      </c>
      <c r="X4605" s="9" t="str">
        <f>HYPERLINK("https://my.pitchbook.com?p=13600-90P","View People Online")</f>
        <v>View People Online</v>
      </c>
    </row>
    <row r="4606">
      <c r="A4606" s="10" t="s">
        <v>28638</v>
      </c>
      <c r="B4606" s="10" t="s">
        <v>28639</v>
      </c>
      <c r="C4606" s="10" t="s">
        <v>28640</v>
      </c>
      <c r="D4606" s="10" t="s">
        <v>3941</v>
      </c>
      <c r="E4606" s="10" t="s">
        <v>28618</v>
      </c>
      <c r="F4606" s="10" t="s">
        <v>81</v>
      </c>
      <c r="G4606" s="10" t="s">
        <v>28641</v>
      </c>
      <c r="H4606" s="11" t="s">
        <v>31</v>
      </c>
      <c r="I4606" s="11">
        <v>2.0</v>
      </c>
      <c r="J4606" s="11">
        <v>1.0</v>
      </c>
      <c r="K4606" s="11" t="s">
        <v>31</v>
      </c>
      <c r="L4606" s="12" t="s">
        <v>31</v>
      </c>
      <c r="M4606" s="10" t="s">
        <v>31</v>
      </c>
      <c r="N4606" s="10" t="s">
        <v>28211</v>
      </c>
      <c r="O4606" s="12" t="s">
        <v>28212</v>
      </c>
      <c r="P4606" s="10" t="s">
        <v>28642</v>
      </c>
      <c r="Q4606" s="10" t="s">
        <v>31</v>
      </c>
      <c r="R4606" s="10" t="s">
        <v>28214</v>
      </c>
      <c r="S4606" s="12" t="s">
        <v>28643</v>
      </c>
      <c r="T4606" s="10" t="s">
        <v>66</v>
      </c>
      <c r="U4606" s="12" t="s">
        <v>31</v>
      </c>
      <c r="V4606" s="10" t="s">
        <v>27016</v>
      </c>
      <c r="W4606" s="10" t="s">
        <v>28644</v>
      </c>
      <c r="X4606" s="13" t="str">
        <f>HYPERLINK("https://my.pitchbook.com?p=341022-43P","View People Online")</f>
        <v>View People Online</v>
      </c>
    </row>
    <row r="4607">
      <c r="A4607" s="6" t="s">
        <v>28645</v>
      </c>
      <c r="B4607" s="6" t="s">
        <v>28646</v>
      </c>
      <c r="C4607" s="6" t="s">
        <v>622</v>
      </c>
      <c r="D4607" s="6" t="s">
        <v>28647</v>
      </c>
      <c r="E4607" s="6" t="s">
        <v>28648</v>
      </c>
      <c r="F4607" s="6" t="s">
        <v>270</v>
      </c>
      <c r="G4607" s="6" t="s">
        <v>28649</v>
      </c>
      <c r="H4607" s="7" t="s">
        <v>31</v>
      </c>
      <c r="I4607" s="7">
        <v>1.0</v>
      </c>
      <c r="J4607" s="7">
        <v>1.0</v>
      </c>
      <c r="K4607" s="7" t="s">
        <v>31</v>
      </c>
      <c r="L4607" s="8" t="s">
        <v>28650</v>
      </c>
      <c r="M4607" s="6" t="s">
        <v>28651</v>
      </c>
      <c r="N4607" s="6" t="s">
        <v>155</v>
      </c>
      <c r="O4607" s="8" t="s">
        <v>156</v>
      </c>
      <c r="P4607" s="6" t="s">
        <v>31</v>
      </c>
      <c r="Q4607" s="6" t="s">
        <v>31</v>
      </c>
      <c r="R4607" s="6" t="s">
        <v>64</v>
      </c>
      <c r="S4607" s="8" t="s">
        <v>28652</v>
      </c>
      <c r="T4607" s="6" t="s">
        <v>66</v>
      </c>
      <c r="U4607" s="8" t="s">
        <v>31</v>
      </c>
      <c r="V4607" s="6" t="s">
        <v>28653</v>
      </c>
      <c r="W4607" s="6" t="s">
        <v>28648</v>
      </c>
      <c r="X4607" s="9" t="str">
        <f>HYPERLINK("https://my.pitchbook.com?p=383776-12P","View People Online")</f>
        <v>View People Online</v>
      </c>
    </row>
    <row r="4608">
      <c r="A4608" s="2" t="s">
        <v>28654</v>
      </c>
      <c r="B4608" s="2" t="s">
        <v>28655</v>
      </c>
      <c r="C4608" s="2" t="s">
        <v>28656</v>
      </c>
      <c r="D4608" s="2" t="s">
        <v>28657</v>
      </c>
      <c r="E4608" s="2" t="s">
        <v>28648</v>
      </c>
      <c r="F4608" s="2" t="s">
        <v>29</v>
      </c>
      <c r="G4608" s="2" t="s">
        <v>28658</v>
      </c>
      <c r="H4608" s="3" t="s">
        <v>31</v>
      </c>
      <c r="I4608" s="3">
        <v>4.0</v>
      </c>
      <c r="J4608" s="3">
        <v>2.0</v>
      </c>
      <c r="K4608" s="3">
        <v>2.0</v>
      </c>
      <c r="L4608" s="4" t="s">
        <v>28659</v>
      </c>
      <c r="M4608" s="2" t="s">
        <v>31</v>
      </c>
      <c r="N4608" s="2" t="s">
        <v>155</v>
      </c>
      <c r="O4608" s="4" t="s">
        <v>156</v>
      </c>
      <c r="P4608" s="2" t="s">
        <v>28660</v>
      </c>
      <c r="Q4608" s="2" t="s">
        <v>1719</v>
      </c>
      <c r="R4608" s="2" t="s">
        <v>64</v>
      </c>
      <c r="S4608" s="4" t="s">
        <v>28661</v>
      </c>
      <c r="T4608" s="2" t="s">
        <v>66</v>
      </c>
      <c r="U4608" s="4" t="s">
        <v>31</v>
      </c>
      <c r="V4608" s="2" t="s">
        <v>28662</v>
      </c>
      <c r="W4608" s="2" t="s">
        <v>28663</v>
      </c>
      <c r="X4608" s="5" t="str">
        <f>HYPERLINK("https://my.pitchbook.com?p=210963-43P","View People Online")</f>
        <v>View People Online</v>
      </c>
    </row>
    <row r="4609">
      <c r="A4609" s="14" t="s">
        <v>5610</v>
      </c>
      <c r="B4609" s="14" t="s">
        <v>5611</v>
      </c>
      <c r="C4609" s="14" t="s">
        <v>69</v>
      </c>
      <c r="D4609" s="14" t="s">
        <v>5612</v>
      </c>
      <c r="E4609" s="14" t="s">
        <v>28648</v>
      </c>
      <c r="F4609" s="14" t="s">
        <v>114</v>
      </c>
      <c r="G4609" s="14" t="s">
        <v>5613</v>
      </c>
      <c r="H4609" s="15" t="s">
        <v>31</v>
      </c>
      <c r="I4609" s="15">
        <v>3.0</v>
      </c>
      <c r="J4609" s="15">
        <v>2.0</v>
      </c>
      <c r="K4609" s="15" t="s">
        <v>31</v>
      </c>
      <c r="L4609" s="16" t="s">
        <v>5595</v>
      </c>
      <c r="M4609" s="14" t="s">
        <v>5614</v>
      </c>
      <c r="N4609" s="14" t="s">
        <v>155</v>
      </c>
      <c r="O4609" s="16" t="s">
        <v>156</v>
      </c>
      <c r="P4609" s="14" t="s">
        <v>5597</v>
      </c>
      <c r="Q4609" s="14" t="s">
        <v>5598</v>
      </c>
      <c r="R4609" s="14" t="s">
        <v>64</v>
      </c>
      <c r="S4609" s="16" t="s">
        <v>5599</v>
      </c>
      <c r="T4609" s="14" t="s">
        <v>66</v>
      </c>
      <c r="U4609" s="16" t="s">
        <v>31</v>
      </c>
      <c r="V4609" s="14" t="s">
        <v>114</v>
      </c>
      <c r="W4609" s="14" t="s">
        <v>5593</v>
      </c>
      <c r="X4609" s="17" t="str">
        <f>HYPERLINK("https://my.pitchbook.com?p=299073-34P","View People Online")</f>
        <v>View People Online</v>
      </c>
    </row>
    <row r="4610">
      <c r="A4610" s="2" t="s">
        <v>28664</v>
      </c>
      <c r="B4610" s="2" t="s">
        <v>28665</v>
      </c>
      <c r="C4610" s="2" t="s">
        <v>1449</v>
      </c>
      <c r="D4610" s="2" t="s">
        <v>28666</v>
      </c>
      <c r="E4610" s="2" t="s">
        <v>28648</v>
      </c>
      <c r="F4610" s="2" t="s">
        <v>29</v>
      </c>
      <c r="G4610" s="2" t="s">
        <v>28667</v>
      </c>
      <c r="H4610" s="3" t="s">
        <v>31</v>
      </c>
      <c r="I4610" s="3">
        <v>3.0</v>
      </c>
      <c r="J4610" s="3">
        <v>2.0</v>
      </c>
      <c r="K4610" s="3">
        <v>1.0</v>
      </c>
      <c r="L4610" s="4" t="s">
        <v>31</v>
      </c>
      <c r="M4610" s="2" t="s">
        <v>28668</v>
      </c>
      <c r="N4610" s="2" t="s">
        <v>6588</v>
      </c>
      <c r="O4610" s="4" t="s">
        <v>6589</v>
      </c>
      <c r="P4610" s="2" t="s">
        <v>31</v>
      </c>
      <c r="Q4610" s="2" t="s">
        <v>31</v>
      </c>
      <c r="R4610" s="2" t="s">
        <v>93</v>
      </c>
      <c r="S4610" s="4" t="s">
        <v>31</v>
      </c>
      <c r="T4610" s="2" t="s">
        <v>66</v>
      </c>
      <c r="U4610" s="4" t="s">
        <v>31</v>
      </c>
      <c r="V4610" s="2" t="s">
        <v>28669</v>
      </c>
      <c r="W4610" s="2" t="s">
        <v>28670</v>
      </c>
      <c r="X4610" s="5" t="str">
        <f>HYPERLINK("https://my.pitchbook.com?p=329601-07P","View People Online")</f>
        <v>View People Online</v>
      </c>
    </row>
    <row r="4611">
      <c r="A4611" s="6" t="s">
        <v>28671</v>
      </c>
      <c r="B4611" s="6" t="s">
        <v>28672</v>
      </c>
      <c r="C4611" s="6" t="s">
        <v>3521</v>
      </c>
      <c r="D4611" s="6" t="s">
        <v>290</v>
      </c>
      <c r="E4611" s="6" t="s">
        <v>28648</v>
      </c>
      <c r="F4611" s="6" t="s">
        <v>201</v>
      </c>
      <c r="G4611" s="6" t="s">
        <v>28673</v>
      </c>
      <c r="H4611" s="7" t="s">
        <v>31</v>
      </c>
      <c r="I4611" s="7">
        <v>1.0</v>
      </c>
      <c r="J4611" s="7">
        <v>1.0</v>
      </c>
      <c r="K4611" s="7" t="s">
        <v>31</v>
      </c>
      <c r="L4611" s="8" t="s">
        <v>28650</v>
      </c>
      <c r="M4611" s="6" t="s">
        <v>28674</v>
      </c>
      <c r="N4611" s="6" t="s">
        <v>155</v>
      </c>
      <c r="O4611" s="8" t="s">
        <v>156</v>
      </c>
      <c r="P4611" s="6" t="s">
        <v>31</v>
      </c>
      <c r="Q4611" s="6" t="s">
        <v>31</v>
      </c>
      <c r="R4611" s="6" t="s">
        <v>64</v>
      </c>
      <c r="S4611" s="8" t="s">
        <v>28652</v>
      </c>
      <c r="T4611" s="6" t="s">
        <v>66</v>
      </c>
      <c r="U4611" s="8" t="s">
        <v>31</v>
      </c>
      <c r="V4611" s="6" t="s">
        <v>201</v>
      </c>
      <c r="W4611" s="6" t="s">
        <v>28648</v>
      </c>
      <c r="X4611" s="9" t="str">
        <f>HYPERLINK("https://my.pitchbook.com?p=289036-81P","View People Online")</f>
        <v>View People Online</v>
      </c>
    </row>
    <row r="4612">
      <c r="A4612" s="10" t="s">
        <v>28675</v>
      </c>
      <c r="B4612" s="10" t="s">
        <v>28676</v>
      </c>
      <c r="C4612" s="10" t="s">
        <v>4404</v>
      </c>
      <c r="D4612" s="10" t="s">
        <v>28677</v>
      </c>
      <c r="E4612" s="10" t="s">
        <v>28648</v>
      </c>
      <c r="F4612" s="10" t="s">
        <v>57</v>
      </c>
      <c r="G4612" s="10" t="s">
        <v>28678</v>
      </c>
      <c r="H4612" s="11" t="s">
        <v>31</v>
      </c>
      <c r="I4612" s="11">
        <v>5.0</v>
      </c>
      <c r="J4612" s="11">
        <v>2.0</v>
      </c>
      <c r="K4612" s="11">
        <v>2.0</v>
      </c>
      <c r="L4612" s="12" t="s">
        <v>31</v>
      </c>
      <c r="M4612" s="10" t="s">
        <v>31</v>
      </c>
      <c r="N4612" s="10" t="s">
        <v>6692</v>
      </c>
      <c r="O4612" s="12" t="s">
        <v>6693</v>
      </c>
      <c r="P4612" s="10" t="s">
        <v>6692</v>
      </c>
      <c r="Q4612" s="10" t="s">
        <v>31</v>
      </c>
      <c r="R4612" s="10" t="s">
        <v>64</v>
      </c>
      <c r="S4612" s="12" t="s">
        <v>31</v>
      </c>
      <c r="T4612" s="10" t="s">
        <v>66</v>
      </c>
      <c r="U4612" s="12" t="s">
        <v>31</v>
      </c>
      <c r="V4612" s="10" t="s">
        <v>196</v>
      </c>
      <c r="W4612" s="10" t="s">
        <v>28679</v>
      </c>
      <c r="X4612" s="13" t="str">
        <f>HYPERLINK("https://my.pitchbook.com?p=311504-23P","View People Online")</f>
        <v>View People Online</v>
      </c>
    </row>
    <row r="4613">
      <c r="A4613" s="14" t="s">
        <v>28680</v>
      </c>
      <c r="B4613" s="14" t="s">
        <v>28681</v>
      </c>
      <c r="C4613" s="14" t="s">
        <v>5092</v>
      </c>
      <c r="D4613" s="14" t="s">
        <v>28682</v>
      </c>
      <c r="E4613" s="14" t="s">
        <v>28648</v>
      </c>
      <c r="F4613" s="14" t="s">
        <v>29</v>
      </c>
      <c r="G4613" s="14" t="s">
        <v>28683</v>
      </c>
      <c r="H4613" s="15" t="s">
        <v>31</v>
      </c>
      <c r="I4613" s="15">
        <v>1.0</v>
      </c>
      <c r="J4613" s="15">
        <v>1.0</v>
      </c>
      <c r="K4613" s="15" t="s">
        <v>31</v>
      </c>
      <c r="L4613" s="16" t="s">
        <v>28650</v>
      </c>
      <c r="M4613" s="14" t="s">
        <v>28684</v>
      </c>
      <c r="N4613" s="14" t="s">
        <v>155</v>
      </c>
      <c r="O4613" s="16" t="s">
        <v>156</v>
      </c>
      <c r="P4613" s="14" t="s">
        <v>31</v>
      </c>
      <c r="Q4613" s="14" t="s">
        <v>31</v>
      </c>
      <c r="R4613" s="14" t="s">
        <v>64</v>
      </c>
      <c r="S4613" s="16" t="s">
        <v>28652</v>
      </c>
      <c r="T4613" s="14" t="s">
        <v>66</v>
      </c>
      <c r="U4613" s="16" t="s">
        <v>31</v>
      </c>
      <c r="V4613" s="14" t="s">
        <v>29</v>
      </c>
      <c r="W4613" s="14" t="s">
        <v>28648</v>
      </c>
      <c r="X4613" s="17" t="str">
        <f>HYPERLINK("https://my.pitchbook.com?p=428889-79P","View People Online")</f>
        <v>View People Online</v>
      </c>
    </row>
    <row r="4614">
      <c r="A4614" s="10" t="s">
        <v>28685</v>
      </c>
      <c r="B4614" s="10" t="s">
        <v>28686</v>
      </c>
      <c r="C4614" s="10" t="s">
        <v>28687</v>
      </c>
      <c r="D4614" s="10" t="s">
        <v>28688</v>
      </c>
      <c r="E4614" s="10" t="s">
        <v>28648</v>
      </c>
      <c r="F4614" s="10" t="s">
        <v>318</v>
      </c>
      <c r="G4614" s="10" t="s">
        <v>28689</v>
      </c>
      <c r="H4614" s="11" t="s">
        <v>31</v>
      </c>
      <c r="I4614" s="11">
        <v>1.0</v>
      </c>
      <c r="J4614" s="11">
        <v>1.0</v>
      </c>
      <c r="K4614" s="11" t="s">
        <v>31</v>
      </c>
      <c r="L4614" s="12" t="s">
        <v>28650</v>
      </c>
      <c r="M4614" s="10" t="s">
        <v>28690</v>
      </c>
      <c r="N4614" s="10" t="s">
        <v>155</v>
      </c>
      <c r="O4614" s="12" t="s">
        <v>156</v>
      </c>
      <c r="P4614" s="10" t="s">
        <v>31</v>
      </c>
      <c r="Q4614" s="10" t="s">
        <v>31</v>
      </c>
      <c r="R4614" s="10" t="s">
        <v>64</v>
      </c>
      <c r="S4614" s="12" t="s">
        <v>28652</v>
      </c>
      <c r="T4614" s="10" t="s">
        <v>66</v>
      </c>
      <c r="U4614" s="12" t="s">
        <v>31</v>
      </c>
      <c r="V4614" s="10" t="s">
        <v>318</v>
      </c>
      <c r="W4614" s="10" t="s">
        <v>28648</v>
      </c>
      <c r="X4614" s="13" t="str">
        <f>HYPERLINK("https://my.pitchbook.com?p=428894-92P","View People Online")</f>
        <v>View People Online</v>
      </c>
    </row>
    <row r="4615">
      <c r="A4615" s="6" t="s">
        <v>28691</v>
      </c>
      <c r="B4615" s="6" t="s">
        <v>28692</v>
      </c>
      <c r="C4615" s="6" t="s">
        <v>19806</v>
      </c>
      <c r="D4615" s="6" t="s">
        <v>28693</v>
      </c>
      <c r="E4615" s="6" t="s">
        <v>28648</v>
      </c>
      <c r="F4615" s="6" t="s">
        <v>71</v>
      </c>
      <c r="G4615" s="6" t="s">
        <v>28694</v>
      </c>
      <c r="H4615" s="7">
        <v>3.0</v>
      </c>
      <c r="I4615" s="7">
        <v>31.0</v>
      </c>
      <c r="J4615" s="7">
        <v>2.0</v>
      </c>
      <c r="K4615" s="7">
        <v>25.0</v>
      </c>
      <c r="L4615" s="8" t="s">
        <v>28650</v>
      </c>
      <c r="M4615" s="6" t="s">
        <v>31</v>
      </c>
      <c r="N4615" s="6" t="s">
        <v>155</v>
      </c>
      <c r="O4615" s="8" t="s">
        <v>156</v>
      </c>
      <c r="P4615" s="6" t="s">
        <v>31</v>
      </c>
      <c r="Q4615" s="6" t="s">
        <v>31</v>
      </c>
      <c r="R4615" s="6" t="s">
        <v>64</v>
      </c>
      <c r="S4615" s="8" t="s">
        <v>28652</v>
      </c>
      <c r="T4615" s="6" t="s">
        <v>66</v>
      </c>
      <c r="U4615" s="8" t="s">
        <v>31</v>
      </c>
      <c r="V4615" s="6" t="s">
        <v>71</v>
      </c>
      <c r="W4615" s="6" t="s">
        <v>28648</v>
      </c>
      <c r="X4615" s="9" t="str">
        <f>HYPERLINK("https://my.pitchbook.com?p=158563-00P","View People Online")</f>
        <v>View People Online</v>
      </c>
    </row>
    <row r="4616">
      <c r="A4616" s="10" t="s">
        <v>28695</v>
      </c>
      <c r="B4616" s="10" t="s">
        <v>28696</v>
      </c>
      <c r="C4616" s="10" t="s">
        <v>126</v>
      </c>
      <c r="D4616" s="10" t="s">
        <v>28697</v>
      </c>
      <c r="E4616" s="10" t="s">
        <v>28648</v>
      </c>
      <c r="F4616" s="10" t="s">
        <v>674</v>
      </c>
      <c r="G4616" s="10" t="s">
        <v>28698</v>
      </c>
      <c r="H4616" s="11" t="s">
        <v>31</v>
      </c>
      <c r="I4616" s="11">
        <v>10.0</v>
      </c>
      <c r="J4616" s="11">
        <v>3.0</v>
      </c>
      <c r="K4616" s="11">
        <v>5.0</v>
      </c>
      <c r="L4616" s="12" t="s">
        <v>28650</v>
      </c>
      <c r="M4616" s="10" t="s">
        <v>28699</v>
      </c>
      <c r="N4616" s="10" t="s">
        <v>155</v>
      </c>
      <c r="O4616" s="12" t="s">
        <v>156</v>
      </c>
      <c r="P4616" s="10" t="s">
        <v>31</v>
      </c>
      <c r="Q4616" s="10" t="s">
        <v>31</v>
      </c>
      <c r="R4616" s="10" t="s">
        <v>64</v>
      </c>
      <c r="S4616" s="12" t="s">
        <v>28652</v>
      </c>
      <c r="T4616" s="10" t="s">
        <v>66</v>
      </c>
      <c r="U4616" s="12" t="s">
        <v>31</v>
      </c>
      <c r="V4616" s="10" t="s">
        <v>1172</v>
      </c>
      <c r="W4616" s="10" t="s">
        <v>28648</v>
      </c>
      <c r="X4616" s="13" t="str">
        <f>HYPERLINK("https://my.pitchbook.com?p=206654-59P","View People Online")</f>
        <v>View People Online</v>
      </c>
    </row>
    <row r="4617">
      <c r="A4617" s="6" t="s">
        <v>28700</v>
      </c>
      <c r="B4617" s="6" t="s">
        <v>28701</v>
      </c>
      <c r="C4617" s="6" t="s">
        <v>28702</v>
      </c>
      <c r="D4617" s="6" t="s">
        <v>9216</v>
      </c>
      <c r="E4617" s="6" t="s">
        <v>28648</v>
      </c>
      <c r="F4617" s="6" t="s">
        <v>29</v>
      </c>
      <c r="G4617" s="6" t="s">
        <v>28703</v>
      </c>
      <c r="H4617" s="7" t="s">
        <v>31</v>
      </c>
      <c r="I4617" s="7">
        <v>2.0</v>
      </c>
      <c r="J4617" s="7">
        <v>2.0</v>
      </c>
      <c r="K4617" s="7" t="s">
        <v>31</v>
      </c>
      <c r="L4617" s="8" t="s">
        <v>28704</v>
      </c>
      <c r="M4617" s="6" t="s">
        <v>28705</v>
      </c>
      <c r="N4617" s="6" t="s">
        <v>3514</v>
      </c>
      <c r="O4617" s="8" t="s">
        <v>3515</v>
      </c>
      <c r="P4617" s="6" t="s">
        <v>28706</v>
      </c>
      <c r="Q4617" s="6" t="s">
        <v>28707</v>
      </c>
      <c r="R4617" s="6" t="s">
        <v>64</v>
      </c>
      <c r="S4617" s="8" t="s">
        <v>28708</v>
      </c>
      <c r="T4617" s="6" t="s">
        <v>66</v>
      </c>
      <c r="U4617" s="8" t="s">
        <v>31</v>
      </c>
      <c r="V4617" s="6" t="s">
        <v>1529</v>
      </c>
      <c r="W4617" s="6" t="s">
        <v>28709</v>
      </c>
      <c r="X4617" s="9" t="str">
        <f>HYPERLINK("https://my.pitchbook.com?p=66659-59P","View People Online")</f>
        <v>View People Online</v>
      </c>
    </row>
    <row r="4618">
      <c r="A4618" s="2" t="s">
        <v>28710</v>
      </c>
      <c r="B4618" s="2" t="s">
        <v>28711</v>
      </c>
      <c r="C4618" s="2" t="s">
        <v>180</v>
      </c>
      <c r="D4618" s="2" t="s">
        <v>28712</v>
      </c>
      <c r="E4618" s="2" t="s">
        <v>28648</v>
      </c>
      <c r="F4618" s="2" t="s">
        <v>270</v>
      </c>
      <c r="G4618" s="2" t="s">
        <v>28713</v>
      </c>
      <c r="H4618" s="3" t="s">
        <v>31</v>
      </c>
      <c r="I4618" s="3">
        <v>1.0</v>
      </c>
      <c r="J4618" s="3">
        <v>1.0</v>
      </c>
      <c r="K4618" s="3" t="s">
        <v>31</v>
      </c>
      <c r="L4618" s="4" t="s">
        <v>28650</v>
      </c>
      <c r="M4618" s="2" t="s">
        <v>28714</v>
      </c>
      <c r="N4618" s="2" t="s">
        <v>155</v>
      </c>
      <c r="O4618" s="4" t="s">
        <v>156</v>
      </c>
      <c r="P4618" s="2" t="s">
        <v>31</v>
      </c>
      <c r="Q4618" s="2" t="s">
        <v>31</v>
      </c>
      <c r="R4618" s="2" t="s">
        <v>64</v>
      </c>
      <c r="S4618" s="4" t="s">
        <v>28652</v>
      </c>
      <c r="T4618" s="2" t="s">
        <v>66</v>
      </c>
      <c r="U4618" s="4" t="s">
        <v>31</v>
      </c>
      <c r="V4618" s="2" t="s">
        <v>440</v>
      </c>
      <c r="W4618" s="2" t="s">
        <v>28648</v>
      </c>
      <c r="X4618" s="5" t="str">
        <f>HYPERLINK("https://my.pitchbook.com?p=311508-28P","View People Online")</f>
        <v>View People Online</v>
      </c>
    </row>
    <row r="4619">
      <c r="A4619" s="14" t="s">
        <v>28715</v>
      </c>
      <c r="B4619" s="14" t="s">
        <v>28716</v>
      </c>
      <c r="C4619" s="14" t="s">
        <v>27135</v>
      </c>
      <c r="D4619" s="14" t="s">
        <v>28717</v>
      </c>
      <c r="E4619" s="14" t="s">
        <v>28648</v>
      </c>
      <c r="F4619" s="14" t="s">
        <v>270</v>
      </c>
      <c r="G4619" s="14" t="s">
        <v>28718</v>
      </c>
      <c r="H4619" s="15" t="s">
        <v>31</v>
      </c>
      <c r="I4619" s="15">
        <v>3.0</v>
      </c>
      <c r="J4619" s="15">
        <v>1.0</v>
      </c>
      <c r="K4619" s="15">
        <v>1.0</v>
      </c>
      <c r="L4619" s="16" t="s">
        <v>28650</v>
      </c>
      <c r="M4619" s="14" t="s">
        <v>31</v>
      </c>
      <c r="N4619" s="14" t="s">
        <v>155</v>
      </c>
      <c r="O4619" s="16" t="s">
        <v>156</v>
      </c>
      <c r="P4619" s="14" t="s">
        <v>31</v>
      </c>
      <c r="Q4619" s="14" t="s">
        <v>31</v>
      </c>
      <c r="R4619" s="14" t="s">
        <v>64</v>
      </c>
      <c r="S4619" s="16" t="s">
        <v>28652</v>
      </c>
      <c r="T4619" s="14" t="s">
        <v>66</v>
      </c>
      <c r="U4619" s="16" t="s">
        <v>31</v>
      </c>
      <c r="V4619" s="14" t="s">
        <v>440</v>
      </c>
      <c r="W4619" s="14" t="s">
        <v>28648</v>
      </c>
      <c r="X4619" s="17" t="str">
        <f>HYPERLINK("https://my.pitchbook.com?p=310454-92P","View People Online")</f>
        <v>View People Online</v>
      </c>
    </row>
    <row r="4620">
      <c r="A4620" s="10" t="s">
        <v>28719</v>
      </c>
      <c r="B4620" s="10" t="s">
        <v>28720</v>
      </c>
      <c r="C4620" s="10" t="s">
        <v>28721</v>
      </c>
      <c r="D4620" s="10" t="s">
        <v>27223</v>
      </c>
      <c r="E4620" s="10" t="s">
        <v>28648</v>
      </c>
      <c r="F4620" s="10" t="s">
        <v>86</v>
      </c>
      <c r="G4620" s="10" t="s">
        <v>28722</v>
      </c>
      <c r="H4620" s="11" t="s">
        <v>31</v>
      </c>
      <c r="I4620" s="11">
        <v>13.0</v>
      </c>
      <c r="J4620" s="11">
        <v>3.0</v>
      </c>
      <c r="K4620" s="11">
        <v>10.0</v>
      </c>
      <c r="L4620" s="12" t="s">
        <v>28650</v>
      </c>
      <c r="M4620" s="10" t="s">
        <v>28723</v>
      </c>
      <c r="N4620" s="10" t="s">
        <v>155</v>
      </c>
      <c r="O4620" s="12" t="s">
        <v>156</v>
      </c>
      <c r="P4620" s="10" t="s">
        <v>31</v>
      </c>
      <c r="Q4620" s="10" t="s">
        <v>31</v>
      </c>
      <c r="R4620" s="10" t="s">
        <v>64</v>
      </c>
      <c r="S4620" s="12" t="s">
        <v>28652</v>
      </c>
      <c r="T4620" s="10" t="s">
        <v>66</v>
      </c>
      <c r="U4620" s="12" t="s">
        <v>31</v>
      </c>
      <c r="V4620" s="10" t="s">
        <v>95</v>
      </c>
      <c r="W4620" s="10" t="s">
        <v>28648</v>
      </c>
      <c r="X4620" s="13" t="str">
        <f>HYPERLINK("https://my.pitchbook.com?p=44898-67P","View People Online")</f>
        <v>View People Online</v>
      </c>
    </row>
    <row r="4621">
      <c r="A4621" s="6" t="s">
        <v>28724</v>
      </c>
      <c r="B4621" s="6" t="s">
        <v>28725</v>
      </c>
      <c r="C4621" s="6" t="s">
        <v>28726</v>
      </c>
      <c r="D4621" s="6" t="s">
        <v>28727</v>
      </c>
      <c r="E4621" s="6" t="s">
        <v>28728</v>
      </c>
      <c r="F4621" s="6" t="s">
        <v>189</v>
      </c>
      <c r="G4621" s="6" t="s">
        <v>28729</v>
      </c>
      <c r="H4621" s="7" t="s">
        <v>31</v>
      </c>
      <c r="I4621" s="7">
        <v>3.0</v>
      </c>
      <c r="J4621" s="7">
        <v>2.0</v>
      </c>
      <c r="K4621" s="7">
        <v>1.0</v>
      </c>
      <c r="L4621" s="8" t="s">
        <v>31</v>
      </c>
      <c r="M4621" s="6" t="s">
        <v>28730</v>
      </c>
      <c r="N4621" s="6" t="s">
        <v>28731</v>
      </c>
      <c r="O4621" s="8" t="s">
        <v>28732</v>
      </c>
      <c r="P4621" s="6" t="s">
        <v>28733</v>
      </c>
      <c r="Q4621" s="6" t="s">
        <v>28734</v>
      </c>
      <c r="R4621" s="6" t="s">
        <v>28735</v>
      </c>
      <c r="S4621" s="8" t="s">
        <v>28736</v>
      </c>
      <c r="T4621" s="6" t="s">
        <v>1209</v>
      </c>
      <c r="U4621" s="8" t="s">
        <v>31</v>
      </c>
      <c r="V4621" s="6" t="s">
        <v>189</v>
      </c>
      <c r="W4621" s="6" t="s">
        <v>28728</v>
      </c>
      <c r="X4621" s="9" t="str">
        <f>HYPERLINK("https://my.pitchbook.com?p=278669-26P","View People Online")</f>
        <v>View People Online</v>
      </c>
    </row>
    <row r="4622">
      <c r="A4622" s="2" t="s">
        <v>28737</v>
      </c>
      <c r="B4622" s="2" t="s">
        <v>28738</v>
      </c>
      <c r="C4622" s="2" t="s">
        <v>568</v>
      </c>
      <c r="D4622" s="2" t="s">
        <v>28739</v>
      </c>
      <c r="E4622" s="2" t="s">
        <v>28740</v>
      </c>
      <c r="F4622" s="2" t="s">
        <v>667</v>
      </c>
      <c r="G4622" s="2" t="s">
        <v>28741</v>
      </c>
      <c r="H4622" s="3" t="s">
        <v>31</v>
      </c>
      <c r="I4622" s="3">
        <v>1.0</v>
      </c>
      <c r="J4622" s="3">
        <v>1.0</v>
      </c>
      <c r="K4622" s="3" t="s">
        <v>31</v>
      </c>
      <c r="L4622" s="4" t="s">
        <v>31</v>
      </c>
      <c r="M4622" s="2" t="s">
        <v>31</v>
      </c>
      <c r="N4622" s="2" t="s">
        <v>1348</v>
      </c>
      <c r="O4622" s="4" t="s">
        <v>1349</v>
      </c>
      <c r="P4622" s="2" t="s">
        <v>28742</v>
      </c>
      <c r="Q4622" s="2" t="s">
        <v>27567</v>
      </c>
      <c r="R4622" s="2" t="s">
        <v>1018</v>
      </c>
      <c r="S4622" s="4" t="s">
        <v>28743</v>
      </c>
      <c r="T4622" s="2" t="s">
        <v>1019</v>
      </c>
      <c r="U4622" s="4" t="s">
        <v>31</v>
      </c>
      <c r="V4622" s="2" t="s">
        <v>667</v>
      </c>
      <c r="W4622" s="2" t="s">
        <v>28740</v>
      </c>
      <c r="X4622" s="5" t="str">
        <f>HYPERLINK("https://my.pitchbook.com?p=434349-46P","View People Online")</f>
        <v>View People Online</v>
      </c>
    </row>
    <row r="4623">
      <c r="A4623" s="14" t="s">
        <v>28744</v>
      </c>
      <c r="B4623" s="14" t="s">
        <v>28745</v>
      </c>
      <c r="C4623" s="14" t="s">
        <v>28302</v>
      </c>
      <c r="D4623" s="14" t="s">
        <v>28746</v>
      </c>
      <c r="E4623" s="14" t="s">
        <v>28740</v>
      </c>
      <c r="F4623" s="14" t="s">
        <v>26897</v>
      </c>
      <c r="G4623" s="14" t="s">
        <v>28747</v>
      </c>
      <c r="H4623" s="15" t="s">
        <v>31</v>
      </c>
      <c r="I4623" s="15">
        <v>1.0</v>
      </c>
      <c r="J4623" s="15">
        <v>1.0</v>
      </c>
      <c r="K4623" s="15" t="s">
        <v>31</v>
      </c>
      <c r="L4623" s="16" t="s">
        <v>31</v>
      </c>
      <c r="M4623" s="14" t="s">
        <v>28748</v>
      </c>
      <c r="N4623" s="14" t="s">
        <v>1348</v>
      </c>
      <c r="O4623" s="16" t="s">
        <v>1349</v>
      </c>
      <c r="P4623" s="14" t="s">
        <v>28742</v>
      </c>
      <c r="Q4623" s="14" t="s">
        <v>27567</v>
      </c>
      <c r="R4623" s="14" t="s">
        <v>1018</v>
      </c>
      <c r="S4623" s="16" t="s">
        <v>28743</v>
      </c>
      <c r="T4623" s="14" t="s">
        <v>1019</v>
      </c>
      <c r="U4623" s="16" t="s">
        <v>31</v>
      </c>
      <c r="V4623" s="14" t="s">
        <v>26897</v>
      </c>
      <c r="W4623" s="14" t="s">
        <v>28740</v>
      </c>
      <c r="X4623" s="17" t="str">
        <f>HYPERLINK("https://my.pitchbook.com?p=255803-14P","View People Online")</f>
        <v>View People Online</v>
      </c>
    </row>
    <row r="4624">
      <c r="A4624" s="2" t="s">
        <v>28749</v>
      </c>
      <c r="B4624" s="2" t="s">
        <v>28750</v>
      </c>
      <c r="C4624" s="2" t="s">
        <v>28751</v>
      </c>
      <c r="D4624" s="2" t="s">
        <v>28752</v>
      </c>
      <c r="E4624" s="2" t="s">
        <v>28740</v>
      </c>
      <c r="F4624" s="2" t="s">
        <v>270</v>
      </c>
      <c r="G4624" s="2" t="s">
        <v>28753</v>
      </c>
      <c r="H4624" s="3">
        <v>1.0</v>
      </c>
      <c r="I4624" s="3">
        <v>3.0</v>
      </c>
      <c r="J4624" s="3">
        <v>2.0</v>
      </c>
      <c r="K4624" s="3" t="s">
        <v>31</v>
      </c>
      <c r="L4624" s="4" t="s">
        <v>31</v>
      </c>
      <c r="M4624" s="2" t="s">
        <v>28754</v>
      </c>
      <c r="N4624" s="2" t="s">
        <v>1348</v>
      </c>
      <c r="O4624" s="4" t="s">
        <v>1349</v>
      </c>
      <c r="P4624" s="2" t="s">
        <v>28755</v>
      </c>
      <c r="Q4624" s="2" t="s">
        <v>31</v>
      </c>
      <c r="R4624" s="2" t="s">
        <v>1018</v>
      </c>
      <c r="S4624" s="4" t="s">
        <v>31</v>
      </c>
      <c r="T4624" s="2" t="s">
        <v>1019</v>
      </c>
      <c r="U4624" s="4" t="s">
        <v>31</v>
      </c>
      <c r="V4624" s="2" t="s">
        <v>27152</v>
      </c>
      <c r="W4624" s="2" t="s">
        <v>28756</v>
      </c>
      <c r="X4624" s="5" t="str">
        <f>HYPERLINK("https://my.pitchbook.com?p=329024-26P","View People Online")</f>
        <v>View People Online</v>
      </c>
    </row>
    <row r="4625">
      <c r="A4625" s="14" t="s">
        <v>28757</v>
      </c>
      <c r="B4625" s="14" t="s">
        <v>28758</v>
      </c>
      <c r="C4625" s="14" t="s">
        <v>1489</v>
      </c>
      <c r="D4625" s="14" t="s">
        <v>28759</v>
      </c>
      <c r="E4625" s="14" t="s">
        <v>28740</v>
      </c>
      <c r="F4625" s="14" t="s">
        <v>674</v>
      </c>
      <c r="G4625" s="14" t="s">
        <v>28760</v>
      </c>
      <c r="H4625" s="15">
        <v>6.0</v>
      </c>
      <c r="I4625" s="15">
        <v>28.0</v>
      </c>
      <c r="J4625" s="15">
        <v>3.0</v>
      </c>
      <c r="K4625" s="15">
        <v>17.0</v>
      </c>
      <c r="L4625" s="16" t="s">
        <v>31</v>
      </c>
      <c r="M4625" s="14" t="s">
        <v>28761</v>
      </c>
      <c r="N4625" s="14" t="s">
        <v>1348</v>
      </c>
      <c r="O4625" s="16" t="s">
        <v>1349</v>
      </c>
      <c r="P4625" s="14" t="s">
        <v>28762</v>
      </c>
      <c r="Q4625" s="14" t="s">
        <v>28763</v>
      </c>
      <c r="R4625" s="14" t="s">
        <v>1018</v>
      </c>
      <c r="S4625" s="16" t="s">
        <v>28764</v>
      </c>
      <c r="T4625" s="14" t="s">
        <v>1019</v>
      </c>
      <c r="U4625" s="16" t="s">
        <v>31</v>
      </c>
      <c r="V4625" s="14" t="s">
        <v>28765</v>
      </c>
      <c r="W4625" s="14" t="s">
        <v>28766</v>
      </c>
      <c r="X4625" s="17" t="str">
        <f>HYPERLINK("https://my.pitchbook.com?p=30319-21P","View People Online")</f>
        <v>View People Online</v>
      </c>
    </row>
    <row r="4626">
      <c r="A4626" s="2" t="s">
        <v>28767</v>
      </c>
      <c r="B4626" s="2" t="s">
        <v>28768</v>
      </c>
      <c r="C4626" s="2" t="s">
        <v>28769</v>
      </c>
      <c r="D4626" s="2" t="s">
        <v>28770</v>
      </c>
      <c r="E4626" s="2" t="s">
        <v>28740</v>
      </c>
      <c r="F4626" s="2" t="s">
        <v>201</v>
      </c>
      <c r="G4626" s="2" t="s">
        <v>28771</v>
      </c>
      <c r="H4626" s="3" t="s">
        <v>31</v>
      </c>
      <c r="I4626" s="3">
        <v>1.0</v>
      </c>
      <c r="J4626" s="3">
        <v>1.0</v>
      </c>
      <c r="K4626" s="3" t="s">
        <v>31</v>
      </c>
      <c r="L4626" s="4" t="s">
        <v>31</v>
      </c>
      <c r="M4626" s="2" t="s">
        <v>28772</v>
      </c>
      <c r="N4626" s="2" t="s">
        <v>1348</v>
      </c>
      <c r="O4626" s="4" t="s">
        <v>1349</v>
      </c>
      <c r="P4626" s="2" t="s">
        <v>28742</v>
      </c>
      <c r="Q4626" s="2" t="s">
        <v>27567</v>
      </c>
      <c r="R4626" s="2" t="s">
        <v>1018</v>
      </c>
      <c r="S4626" s="4" t="s">
        <v>28743</v>
      </c>
      <c r="T4626" s="2" t="s">
        <v>1019</v>
      </c>
      <c r="U4626" s="4" t="s">
        <v>31</v>
      </c>
      <c r="V4626" s="2" t="s">
        <v>201</v>
      </c>
      <c r="W4626" s="2" t="s">
        <v>28740</v>
      </c>
      <c r="X4626" s="5" t="str">
        <f>HYPERLINK("https://my.pitchbook.com?p=288384-04P","View People Online")</f>
        <v>View People Online</v>
      </c>
    </row>
    <row r="4627">
      <c r="A4627" s="6" t="s">
        <v>28773</v>
      </c>
      <c r="B4627" s="6" t="s">
        <v>28774</v>
      </c>
      <c r="C4627" s="6" t="s">
        <v>28047</v>
      </c>
      <c r="D4627" s="6" t="s">
        <v>28775</v>
      </c>
      <c r="E4627" s="6" t="s">
        <v>28740</v>
      </c>
      <c r="F4627" s="6" t="s">
        <v>674</v>
      </c>
      <c r="G4627" s="6" t="s">
        <v>28776</v>
      </c>
      <c r="H4627" s="7">
        <v>1.0</v>
      </c>
      <c r="I4627" s="7">
        <v>4.0</v>
      </c>
      <c r="J4627" s="7">
        <v>1.0</v>
      </c>
      <c r="K4627" s="7">
        <v>2.0</v>
      </c>
      <c r="L4627" s="8" t="s">
        <v>31</v>
      </c>
      <c r="M4627" s="6" t="s">
        <v>28777</v>
      </c>
      <c r="N4627" s="6" t="s">
        <v>1348</v>
      </c>
      <c r="O4627" s="8" t="s">
        <v>1349</v>
      </c>
      <c r="P4627" s="6" t="s">
        <v>28742</v>
      </c>
      <c r="Q4627" s="6" t="s">
        <v>27567</v>
      </c>
      <c r="R4627" s="6" t="s">
        <v>1018</v>
      </c>
      <c r="S4627" s="8" t="s">
        <v>28743</v>
      </c>
      <c r="T4627" s="6" t="s">
        <v>1019</v>
      </c>
      <c r="U4627" s="8" t="s">
        <v>31</v>
      </c>
      <c r="V4627" s="6" t="s">
        <v>1172</v>
      </c>
      <c r="W4627" s="6" t="s">
        <v>28740</v>
      </c>
      <c r="X4627" s="9" t="str">
        <f>HYPERLINK("https://my.pitchbook.com?p=262451-08P","View People Online")</f>
        <v>View People Online</v>
      </c>
    </row>
    <row r="4628">
      <c r="A4628" s="2" t="s">
        <v>28778</v>
      </c>
      <c r="B4628" s="2" t="s">
        <v>28779</v>
      </c>
      <c r="C4628" s="2" t="s">
        <v>934</v>
      </c>
      <c r="D4628" s="2" t="s">
        <v>5467</v>
      </c>
      <c r="E4628" s="2" t="s">
        <v>28740</v>
      </c>
      <c r="F4628" s="2" t="s">
        <v>674</v>
      </c>
      <c r="G4628" s="2" t="s">
        <v>28780</v>
      </c>
      <c r="H4628" s="3">
        <v>1.0</v>
      </c>
      <c r="I4628" s="3">
        <v>5.0</v>
      </c>
      <c r="J4628" s="3">
        <v>1.0</v>
      </c>
      <c r="K4628" s="3">
        <v>3.0</v>
      </c>
      <c r="L4628" s="4" t="s">
        <v>31</v>
      </c>
      <c r="M4628" s="2" t="s">
        <v>28781</v>
      </c>
      <c r="N4628" s="2" t="s">
        <v>1348</v>
      </c>
      <c r="O4628" s="4" t="s">
        <v>1349</v>
      </c>
      <c r="P4628" s="2" t="s">
        <v>28742</v>
      </c>
      <c r="Q4628" s="2" t="s">
        <v>27567</v>
      </c>
      <c r="R4628" s="2" t="s">
        <v>1018</v>
      </c>
      <c r="S4628" s="4" t="s">
        <v>28743</v>
      </c>
      <c r="T4628" s="2" t="s">
        <v>1019</v>
      </c>
      <c r="U4628" s="4" t="s">
        <v>31</v>
      </c>
      <c r="V4628" s="2" t="s">
        <v>1172</v>
      </c>
      <c r="W4628" s="2" t="s">
        <v>28740</v>
      </c>
      <c r="X4628" s="5" t="str">
        <f>HYPERLINK("https://my.pitchbook.com?p=157500-37P","View People Online")</f>
        <v>View People Online</v>
      </c>
    </row>
    <row r="4629">
      <c r="A4629" s="6" t="s">
        <v>28782</v>
      </c>
      <c r="B4629" s="6" t="s">
        <v>28783</v>
      </c>
      <c r="C4629" s="6" t="s">
        <v>1401</v>
      </c>
      <c r="D4629" s="6" t="s">
        <v>28784</v>
      </c>
      <c r="E4629" s="6" t="s">
        <v>28740</v>
      </c>
      <c r="F4629" s="6" t="s">
        <v>201</v>
      </c>
      <c r="G4629" s="6" t="s">
        <v>28785</v>
      </c>
      <c r="H4629" s="7" t="s">
        <v>31</v>
      </c>
      <c r="I4629" s="7">
        <v>1.0</v>
      </c>
      <c r="J4629" s="7">
        <v>1.0</v>
      </c>
      <c r="K4629" s="7" t="s">
        <v>31</v>
      </c>
      <c r="L4629" s="8" t="s">
        <v>31</v>
      </c>
      <c r="M4629" s="6" t="s">
        <v>28786</v>
      </c>
      <c r="N4629" s="6" t="s">
        <v>1348</v>
      </c>
      <c r="O4629" s="8" t="s">
        <v>1349</v>
      </c>
      <c r="P4629" s="6" t="s">
        <v>28742</v>
      </c>
      <c r="Q4629" s="6" t="s">
        <v>27567</v>
      </c>
      <c r="R4629" s="6" t="s">
        <v>1018</v>
      </c>
      <c r="S4629" s="8" t="s">
        <v>28743</v>
      </c>
      <c r="T4629" s="6" t="s">
        <v>1019</v>
      </c>
      <c r="U4629" s="8" t="s">
        <v>31</v>
      </c>
      <c r="V4629" s="6" t="s">
        <v>201</v>
      </c>
      <c r="W4629" s="6" t="s">
        <v>28740</v>
      </c>
      <c r="X4629" s="9" t="str">
        <f>HYPERLINK("https://my.pitchbook.com?p=288385-12P","View People Online")</f>
        <v>View People Online</v>
      </c>
    </row>
    <row r="4630">
      <c r="A4630" s="2" t="s">
        <v>28787</v>
      </c>
      <c r="B4630" s="2" t="s">
        <v>28788</v>
      </c>
      <c r="C4630" s="2" t="s">
        <v>4731</v>
      </c>
      <c r="D4630" s="2" t="s">
        <v>28789</v>
      </c>
      <c r="E4630" s="2" t="s">
        <v>28790</v>
      </c>
      <c r="F4630" s="2" t="s">
        <v>28791</v>
      </c>
      <c r="G4630" s="2" t="s">
        <v>28792</v>
      </c>
      <c r="H4630" s="3" t="s">
        <v>31</v>
      </c>
      <c r="I4630" s="3">
        <v>1.0</v>
      </c>
      <c r="J4630" s="3">
        <v>1.0</v>
      </c>
      <c r="K4630" s="3" t="s">
        <v>31</v>
      </c>
      <c r="L4630" s="4" t="s">
        <v>28793</v>
      </c>
      <c r="M4630" s="2" t="s">
        <v>28794</v>
      </c>
      <c r="N4630" s="2" t="s">
        <v>75</v>
      </c>
      <c r="O4630" s="4" t="s">
        <v>76</v>
      </c>
      <c r="P4630" s="2" t="s">
        <v>28795</v>
      </c>
      <c r="Q4630" s="2" t="s">
        <v>4580</v>
      </c>
      <c r="R4630" s="2" t="s">
        <v>75</v>
      </c>
      <c r="S4630" s="4" t="s">
        <v>1478</v>
      </c>
      <c r="T4630" s="2" t="s">
        <v>66</v>
      </c>
      <c r="U4630" s="4" t="s">
        <v>28796</v>
      </c>
      <c r="V4630" s="2" t="s">
        <v>28797</v>
      </c>
      <c r="W4630" s="2" t="s">
        <v>28790</v>
      </c>
      <c r="X4630" s="5" t="str">
        <f>HYPERLINK("https://my.pitchbook.com?p=397068-67P","View People Online")</f>
        <v>View People Online</v>
      </c>
    </row>
    <row r="4631">
      <c r="A4631" s="6" t="s">
        <v>28798</v>
      </c>
      <c r="B4631" s="6" t="s">
        <v>28799</v>
      </c>
      <c r="C4631" s="6" t="s">
        <v>7413</v>
      </c>
      <c r="D4631" s="6" t="s">
        <v>4314</v>
      </c>
      <c r="E4631" s="6" t="s">
        <v>28790</v>
      </c>
      <c r="F4631" s="6" t="s">
        <v>43</v>
      </c>
      <c r="G4631" s="6" t="s">
        <v>28800</v>
      </c>
      <c r="H4631" s="7">
        <v>1.0</v>
      </c>
      <c r="I4631" s="7">
        <v>9.0</v>
      </c>
      <c r="J4631" s="7">
        <v>1.0</v>
      </c>
      <c r="K4631" s="7">
        <v>7.0</v>
      </c>
      <c r="L4631" s="8" t="s">
        <v>28793</v>
      </c>
      <c r="M4631" s="6" t="s">
        <v>28801</v>
      </c>
      <c r="N4631" s="6" t="s">
        <v>75</v>
      </c>
      <c r="O4631" s="8" t="s">
        <v>76</v>
      </c>
      <c r="P4631" s="6" t="s">
        <v>28795</v>
      </c>
      <c r="Q4631" s="6" t="s">
        <v>4580</v>
      </c>
      <c r="R4631" s="6" t="s">
        <v>75</v>
      </c>
      <c r="S4631" s="8" t="s">
        <v>1478</v>
      </c>
      <c r="T4631" s="6" t="s">
        <v>66</v>
      </c>
      <c r="U4631" s="8" t="s">
        <v>28796</v>
      </c>
      <c r="V4631" s="6" t="s">
        <v>43</v>
      </c>
      <c r="W4631" s="6" t="s">
        <v>28790</v>
      </c>
      <c r="X4631" s="9" t="str">
        <f>HYPERLINK("https://my.pitchbook.com?p=286484-41P","View People Online")</f>
        <v>View People Online</v>
      </c>
    </row>
    <row r="4632">
      <c r="A4632" s="2" t="s">
        <v>28802</v>
      </c>
      <c r="B4632" s="2" t="s">
        <v>28803</v>
      </c>
      <c r="C4632" s="2" t="s">
        <v>7252</v>
      </c>
      <c r="D4632" s="2" t="s">
        <v>28804</v>
      </c>
      <c r="E4632" s="2" t="s">
        <v>28790</v>
      </c>
      <c r="F4632" s="2" t="s">
        <v>270</v>
      </c>
      <c r="G4632" s="2" t="s">
        <v>28805</v>
      </c>
      <c r="H4632" s="3" t="s">
        <v>31</v>
      </c>
      <c r="I4632" s="3">
        <v>1.0</v>
      </c>
      <c r="J4632" s="3">
        <v>1.0</v>
      </c>
      <c r="K4632" s="3" t="s">
        <v>31</v>
      </c>
      <c r="L4632" s="4" t="s">
        <v>28793</v>
      </c>
      <c r="M4632" s="2" t="s">
        <v>28806</v>
      </c>
      <c r="N4632" s="2" t="s">
        <v>75</v>
      </c>
      <c r="O4632" s="4" t="s">
        <v>76</v>
      </c>
      <c r="P4632" s="2" t="s">
        <v>28795</v>
      </c>
      <c r="Q4632" s="2" t="s">
        <v>4580</v>
      </c>
      <c r="R4632" s="2" t="s">
        <v>75</v>
      </c>
      <c r="S4632" s="4" t="s">
        <v>1478</v>
      </c>
      <c r="T4632" s="2" t="s">
        <v>66</v>
      </c>
      <c r="U4632" s="4" t="s">
        <v>28796</v>
      </c>
      <c r="V4632" s="2" t="s">
        <v>7071</v>
      </c>
      <c r="W4632" s="2" t="s">
        <v>28790</v>
      </c>
      <c r="X4632" s="5" t="str">
        <f>HYPERLINK("https://my.pitchbook.com?p=47015-47P","View People Online")</f>
        <v>View People Online</v>
      </c>
    </row>
    <row r="4633">
      <c r="A4633" s="14" t="s">
        <v>28807</v>
      </c>
      <c r="B4633" s="14" t="s">
        <v>28808</v>
      </c>
      <c r="C4633" s="14" t="s">
        <v>28809</v>
      </c>
      <c r="D4633" s="14" t="s">
        <v>28810</v>
      </c>
      <c r="E4633" s="14" t="s">
        <v>28790</v>
      </c>
      <c r="F4633" s="14" t="s">
        <v>43</v>
      </c>
      <c r="G4633" s="14" t="s">
        <v>28811</v>
      </c>
      <c r="H4633" s="15">
        <v>8.0</v>
      </c>
      <c r="I4633" s="15">
        <v>29.0</v>
      </c>
      <c r="J4633" s="15">
        <v>2.0</v>
      </c>
      <c r="K4633" s="15">
        <v>18.0</v>
      </c>
      <c r="L4633" s="16" t="s">
        <v>28812</v>
      </c>
      <c r="M4633" s="14" t="s">
        <v>28813</v>
      </c>
      <c r="N4633" s="14" t="s">
        <v>155</v>
      </c>
      <c r="O4633" s="16" t="s">
        <v>156</v>
      </c>
      <c r="P4633" s="14" t="s">
        <v>28814</v>
      </c>
      <c r="Q4633" s="14" t="s">
        <v>28815</v>
      </c>
      <c r="R4633" s="14" t="s">
        <v>64</v>
      </c>
      <c r="S4633" s="16" t="s">
        <v>2567</v>
      </c>
      <c r="T4633" s="14" t="s">
        <v>66</v>
      </c>
      <c r="U4633" s="16" t="s">
        <v>31</v>
      </c>
      <c r="V4633" s="14" t="s">
        <v>2379</v>
      </c>
      <c r="W4633" s="14" t="s">
        <v>28816</v>
      </c>
      <c r="X4633" s="17" t="str">
        <f>HYPERLINK("https://my.pitchbook.com?p=61262-11P","View People Online")</f>
        <v>View People Online</v>
      </c>
    </row>
    <row r="4634">
      <c r="A4634" s="2" t="s">
        <v>28817</v>
      </c>
      <c r="B4634" s="2" t="s">
        <v>28818</v>
      </c>
      <c r="C4634" s="2" t="s">
        <v>4248</v>
      </c>
      <c r="D4634" s="2" t="s">
        <v>28819</v>
      </c>
      <c r="E4634" s="2" t="s">
        <v>28790</v>
      </c>
      <c r="F4634" s="2" t="s">
        <v>28820</v>
      </c>
      <c r="G4634" s="2" t="s">
        <v>28821</v>
      </c>
      <c r="H4634" s="3">
        <v>10.0</v>
      </c>
      <c r="I4634" s="3">
        <v>19.0</v>
      </c>
      <c r="J4634" s="3">
        <v>1.0</v>
      </c>
      <c r="K4634" s="3">
        <v>6.0</v>
      </c>
      <c r="L4634" s="4" t="s">
        <v>31</v>
      </c>
      <c r="M4634" s="2" t="s">
        <v>31</v>
      </c>
      <c r="N4634" s="2" t="s">
        <v>2083</v>
      </c>
      <c r="O4634" s="4" t="s">
        <v>2084</v>
      </c>
      <c r="P4634" s="2" t="s">
        <v>28822</v>
      </c>
      <c r="Q4634" s="2" t="s">
        <v>28823</v>
      </c>
      <c r="R4634" s="2" t="s">
        <v>31</v>
      </c>
      <c r="S4634" s="4" t="s">
        <v>28824</v>
      </c>
      <c r="T4634" s="2" t="s">
        <v>2088</v>
      </c>
      <c r="U4634" s="4" t="s">
        <v>31</v>
      </c>
      <c r="V4634" s="2" t="s">
        <v>2379</v>
      </c>
      <c r="W4634" s="2" t="s">
        <v>28825</v>
      </c>
      <c r="X4634" s="5" t="str">
        <f>HYPERLINK("https://my.pitchbook.com?p=15579-55P","View People Online")</f>
        <v>View People Online</v>
      </c>
    </row>
    <row r="4635">
      <c r="A4635" s="14" t="s">
        <v>28826</v>
      </c>
      <c r="B4635" s="14" t="s">
        <v>28827</v>
      </c>
      <c r="C4635" s="14" t="s">
        <v>1449</v>
      </c>
      <c r="D4635" s="14" t="s">
        <v>6447</v>
      </c>
      <c r="E4635" s="14" t="s">
        <v>28790</v>
      </c>
      <c r="F4635" s="14" t="s">
        <v>43</v>
      </c>
      <c r="G4635" s="14" t="s">
        <v>28828</v>
      </c>
      <c r="H4635" s="15">
        <v>6.0</v>
      </c>
      <c r="I4635" s="15">
        <v>23.0</v>
      </c>
      <c r="J4635" s="15">
        <v>1.0</v>
      </c>
      <c r="K4635" s="15">
        <v>15.0</v>
      </c>
      <c r="L4635" s="16" t="s">
        <v>28829</v>
      </c>
      <c r="M4635" s="14" t="s">
        <v>28830</v>
      </c>
      <c r="N4635" s="14" t="s">
        <v>986</v>
      </c>
      <c r="O4635" s="16" t="s">
        <v>987</v>
      </c>
      <c r="P4635" s="14" t="s">
        <v>28831</v>
      </c>
      <c r="Q4635" s="14" t="s">
        <v>31</v>
      </c>
      <c r="R4635" s="14" t="s">
        <v>64</v>
      </c>
      <c r="S4635" s="16" t="s">
        <v>28832</v>
      </c>
      <c r="T4635" s="14" t="s">
        <v>66</v>
      </c>
      <c r="U4635" s="16" t="s">
        <v>31</v>
      </c>
      <c r="V4635" s="14" t="s">
        <v>2379</v>
      </c>
      <c r="W4635" s="14" t="s">
        <v>28833</v>
      </c>
      <c r="X4635" s="17" t="str">
        <f>HYPERLINK("https://my.pitchbook.com?p=42248-62P","View People Online")</f>
        <v>View People Online</v>
      </c>
    </row>
    <row r="4636">
      <c r="A4636" s="10" t="s">
        <v>28834</v>
      </c>
      <c r="B4636" s="10" t="s">
        <v>28835</v>
      </c>
      <c r="C4636" s="10" t="s">
        <v>28836</v>
      </c>
      <c r="D4636" s="10" t="s">
        <v>28837</v>
      </c>
      <c r="E4636" s="10" t="s">
        <v>28790</v>
      </c>
      <c r="F4636" s="10" t="s">
        <v>825</v>
      </c>
      <c r="G4636" s="10" t="s">
        <v>28838</v>
      </c>
      <c r="H4636" s="11" t="s">
        <v>31</v>
      </c>
      <c r="I4636" s="11">
        <v>1.0</v>
      </c>
      <c r="J4636" s="11">
        <v>1.0</v>
      </c>
      <c r="K4636" s="11" t="s">
        <v>31</v>
      </c>
      <c r="L4636" s="12" t="s">
        <v>28793</v>
      </c>
      <c r="M4636" s="10" t="s">
        <v>28839</v>
      </c>
      <c r="N4636" s="10" t="s">
        <v>75</v>
      </c>
      <c r="O4636" s="12" t="s">
        <v>76</v>
      </c>
      <c r="P4636" s="10" t="s">
        <v>28795</v>
      </c>
      <c r="Q4636" s="10" t="s">
        <v>4580</v>
      </c>
      <c r="R4636" s="10" t="s">
        <v>75</v>
      </c>
      <c r="S4636" s="12" t="s">
        <v>1478</v>
      </c>
      <c r="T4636" s="10" t="s">
        <v>66</v>
      </c>
      <c r="U4636" s="12" t="s">
        <v>28796</v>
      </c>
      <c r="V4636" s="10" t="s">
        <v>28840</v>
      </c>
      <c r="W4636" s="10" t="s">
        <v>28790</v>
      </c>
      <c r="X4636" s="13" t="str">
        <f>HYPERLINK("https://my.pitchbook.com?p=397173-52P","View People Online")</f>
        <v>View People Online</v>
      </c>
    </row>
    <row r="4637">
      <c r="A4637" s="6" t="s">
        <v>28841</v>
      </c>
      <c r="B4637" s="6" t="s">
        <v>28842</v>
      </c>
      <c r="C4637" s="6" t="s">
        <v>17432</v>
      </c>
      <c r="D4637" s="6" t="s">
        <v>28843</v>
      </c>
      <c r="E4637" s="6" t="s">
        <v>28790</v>
      </c>
      <c r="F4637" s="6" t="s">
        <v>29</v>
      </c>
      <c r="G4637" s="6" t="s">
        <v>28844</v>
      </c>
      <c r="H4637" s="7" t="s">
        <v>31</v>
      </c>
      <c r="I4637" s="7">
        <v>2.0</v>
      </c>
      <c r="J4637" s="7">
        <v>1.0</v>
      </c>
      <c r="K4637" s="7">
        <v>1.0</v>
      </c>
      <c r="L4637" s="8" t="s">
        <v>28845</v>
      </c>
      <c r="M4637" s="6" t="s">
        <v>28846</v>
      </c>
      <c r="N4637" s="6" t="s">
        <v>75</v>
      </c>
      <c r="O4637" s="8" t="s">
        <v>76</v>
      </c>
      <c r="P4637" s="6" t="s">
        <v>28795</v>
      </c>
      <c r="Q4637" s="6" t="s">
        <v>4580</v>
      </c>
      <c r="R4637" s="6" t="s">
        <v>75</v>
      </c>
      <c r="S4637" s="8" t="s">
        <v>1478</v>
      </c>
      <c r="T4637" s="6" t="s">
        <v>66</v>
      </c>
      <c r="U4637" s="8" t="s">
        <v>28796</v>
      </c>
      <c r="V4637" s="6" t="s">
        <v>29</v>
      </c>
      <c r="W4637" s="6" t="s">
        <v>28790</v>
      </c>
      <c r="X4637" s="9" t="str">
        <f>HYPERLINK("https://my.pitchbook.com?p=211475-89P","View People Online")</f>
        <v>View People Online</v>
      </c>
    </row>
    <row r="4638">
      <c r="A4638" s="10" t="s">
        <v>28847</v>
      </c>
      <c r="B4638" s="10" t="s">
        <v>28848</v>
      </c>
      <c r="C4638" s="10" t="s">
        <v>28849</v>
      </c>
      <c r="D4638" s="10" t="s">
        <v>28850</v>
      </c>
      <c r="E4638" s="10" t="s">
        <v>28790</v>
      </c>
      <c r="F4638" s="10" t="s">
        <v>6993</v>
      </c>
      <c r="G4638" s="10" t="s">
        <v>28851</v>
      </c>
      <c r="H4638" s="11">
        <v>6.0</v>
      </c>
      <c r="I4638" s="11">
        <v>25.0</v>
      </c>
      <c r="J4638" s="11">
        <v>1.0</v>
      </c>
      <c r="K4638" s="11">
        <v>18.0</v>
      </c>
      <c r="L4638" s="12" t="s">
        <v>28793</v>
      </c>
      <c r="M4638" s="10" t="s">
        <v>28852</v>
      </c>
      <c r="N4638" s="10" t="s">
        <v>75</v>
      </c>
      <c r="O4638" s="12" t="s">
        <v>76</v>
      </c>
      <c r="P4638" s="10" t="s">
        <v>28795</v>
      </c>
      <c r="Q4638" s="10" t="s">
        <v>4580</v>
      </c>
      <c r="R4638" s="10" t="s">
        <v>75</v>
      </c>
      <c r="S4638" s="12" t="s">
        <v>1478</v>
      </c>
      <c r="T4638" s="10" t="s">
        <v>66</v>
      </c>
      <c r="U4638" s="12" t="s">
        <v>28796</v>
      </c>
      <c r="V4638" s="10" t="s">
        <v>6993</v>
      </c>
      <c r="W4638" s="10" t="s">
        <v>28790</v>
      </c>
      <c r="X4638" s="13" t="str">
        <f>HYPERLINK("https://my.pitchbook.com?p=221951-17P","View People Online")</f>
        <v>View People Online</v>
      </c>
    </row>
    <row r="4639">
      <c r="A4639" s="6" t="s">
        <v>28853</v>
      </c>
      <c r="B4639" s="6" t="s">
        <v>28854</v>
      </c>
      <c r="C4639" s="6" t="s">
        <v>823</v>
      </c>
      <c r="D4639" s="6" t="s">
        <v>1147</v>
      </c>
      <c r="E4639" s="6" t="s">
        <v>28790</v>
      </c>
      <c r="F4639" s="6" t="s">
        <v>6993</v>
      </c>
      <c r="G4639" s="6" t="s">
        <v>28855</v>
      </c>
      <c r="H4639" s="7" t="s">
        <v>31</v>
      </c>
      <c r="I4639" s="7">
        <v>1.0</v>
      </c>
      <c r="J4639" s="7">
        <v>1.0</v>
      </c>
      <c r="K4639" s="7" t="s">
        <v>31</v>
      </c>
      <c r="L4639" s="8" t="s">
        <v>28793</v>
      </c>
      <c r="M4639" s="6" t="s">
        <v>28856</v>
      </c>
      <c r="N4639" s="6" t="s">
        <v>75</v>
      </c>
      <c r="O4639" s="8" t="s">
        <v>76</v>
      </c>
      <c r="P4639" s="6" t="s">
        <v>28795</v>
      </c>
      <c r="Q4639" s="6" t="s">
        <v>4580</v>
      </c>
      <c r="R4639" s="6" t="s">
        <v>75</v>
      </c>
      <c r="S4639" s="8" t="s">
        <v>1478</v>
      </c>
      <c r="T4639" s="6" t="s">
        <v>66</v>
      </c>
      <c r="U4639" s="8" t="s">
        <v>28796</v>
      </c>
      <c r="V4639" s="6" t="s">
        <v>6993</v>
      </c>
      <c r="W4639" s="6" t="s">
        <v>28790</v>
      </c>
      <c r="X4639" s="9" t="str">
        <f>HYPERLINK("https://my.pitchbook.com?p=184807-72P","View People Online")</f>
        <v>View People Online</v>
      </c>
    </row>
    <row r="4640">
      <c r="A4640" s="10" t="s">
        <v>28857</v>
      </c>
      <c r="B4640" s="10" t="s">
        <v>28858</v>
      </c>
      <c r="C4640" s="10" t="s">
        <v>28859</v>
      </c>
      <c r="D4640" s="10" t="s">
        <v>28860</v>
      </c>
      <c r="E4640" s="10" t="s">
        <v>28790</v>
      </c>
      <c r="F4640" s="10" t="s">
        <v>371</v>
      </c>
      <c r="G4640" s="10" t="s">
        <v>28861</v>
      </c>
      <c r="H4640" s="11" t="s">
        <v>31</v>
      </c>
      <c r="I4640" s="11">
        <v>1.0</v>
      </c>
      <c r="J4640" s="11">
        <v>1.0</v>
      </c>
      <c r="K4640" s="11" t="s">
        <v>31</v>
      </c>
      <c r="L4640" s="12" t="s">
        <v>28793</v>
      </c>
      <c r="M4640" s="10" t="s">
        <v>28862</v>
      </c>
      <c r="N4640" s="10" t="s">
        <v>75</v>
      </c>
      <c r="O4640" s="12" t="s">
        <v>76</v>
      </c>
      <c r="P4640" s="10" t="s">
        <v>28795</v>
      </c>
      <c r="Q4640" s="10" t="s">
        <v>4580</v>
      </c>
      <c r="R4640" s="10" t="s">
        <v>75</v>
      </c>
      <c r="S4640" s="12" t="s">
        <v>1478</v>
      </c>
      <c r="T4640" s="10" t="s">
        <v>66</v>
      </c>
      <c r="U4640" s="12" t="s">
        <v>28796</v>
      </c>
      <c r="V4640" s="10" t="s">
        <v>371</v>
      </c>
      <c r="W4640" s="10" t="s">
        <v>28790</v>
      </c>
      <c r="X4640" s="13" t="str">
        <f>HYPERLINK("https://my.pitchbook.com?p=284828-59P","View People Online")</f>
        <v>View People Online</v>
      </c>
    </row>
    <row r="4641">
      <c r="A4641" s="14" t="s">
        <v>28863</v>
      </c>
      <c r="B4641" s="14" t="s">
        <v>28864</v>
      </c>
      <c r="C4641" s="14" t="s">
        <v>11659</v>
      </c>
      <c r="D4641" s="14" t="s">
        <v>3638</v>
      </c>
      <c r="E4641" s="14" t="s">
        <v>28790</v>
      </c>
      <c r="F4641" s="14" t="s">
        <v>6993</v>
      </c>
      <c r="G4641" s="14" t="s">
        <v>28865</v>
      </c>
      <c r="H4641" s="15">
        <v>1.0</v>
      </c>
      <c r="I4641" s="15">
        <v>7.0</v>
      </c>
      <c r="J4641" s="15">
        <v>1.0</v>
      </c>
      <c r="K4641" s="15">
        <v>5.0</v>
      </c>
      <c r="L4641" s="16" t="s">
        <v>28866</v>
      </c>
      <c r="M4641" s="14" t="s">
        <v>28867</v>
      </c>
      <c r="N4641" s="14" t="s">
        <v>3603</v>
      </c>
      <c r="O4641" s="16" t="s">
        <v>3604</v>
      </c>
      <c r="P4641" s="14" t="s">
        <v>28868</v>
      </c>
      <c r="Q4641" s="14" t="s">
        <v>28869</v>
      </c>
      <c r="R4641" s="14" t="s">
        <v>31</v>
      </c>
      <c r="S4641" s="16" t="s">
        <v>31</v>
      </c>
      <c r="T4641" s="14" t="s">
        <v>3603</v>
      </c>
      <c r="U4641" s="16" t="s">
        <v>31</v>
      </c>
      <c r="V4641" s="14" t="s">
        <v>28870</v>
      </c>
      <c r="W4641" s="14" t="s">
        <v>28790</v>
      </c>
      <c r="X4641" s="17" t="str">
        <f>HYPERLINK("https://my.pitchbook.com?p=40425-94P","View People Online")</f>
        <v>View People Online</v>
      </c>
    </row>
    <row r="4642">
      <c r="A4642" s="2" t="s">
        <v>28871</v>
      </c>
      <c r="B4642" s="2" t="s">
        <v>28872</v>
      </c>
      <c r="C4642" s="2" t="s">
        <v>28873</v>
      </c>
      <c r="D4642" s="2" t="s">
        <v>3671</v>
      </c>
      <c r="E4642" s="2" t="s">
        <v>28790</v>
      </c>
      <c r="F4642" s="2" t="s">
        <v>270</v>
      </c>
      <c r="G4642" s="2" t="s">
        <v>28874</v>
      </c>
      <c r="H4642" s="3" t="s">
        <v>31</v>
      </c>
      <c r="I4642" s="3">
        <v>1.0</v>
      </c>
      <c r="J4642" s="3">
        <v>1.0</v>
      </c>
      <c r="K4642" s="3" t="s">
        <v>31</v>
      </c>
      <c r="L4642" s="4" t="s">
        <v>28875</v>
      </c>
      <c r="M4642" s="2" t="s">
        <v>31</v>
      </c>
      <c r="N4642" s="2" t="s">
        <v>75</v>
      </c>
      <c r="O4642" s="4" t="s">
        <v>76</v>
      </c>
      <c r="P4642" s="2" t="s">
        <v>28795</v>
      </c>
      <c r="Q4642" s="2" t="s">
        <v>4580</v>
      </c>
      <c r="R4642" s="2" t="s">
        <v>75</v>
      </c>
      <c r="S4642" s="4" t="s">
        <v>1478</v>
      </c>
      <c r="T4642" s="2" t="s">
        <v>66</v>
      </c>
      <c r="U4642" s="4" t="s">
        <v>28796</v>
      </c>
      <c r="V4642" s="2" t="s">
        <v>440</v>
      </c>
      <c r="W4642" s="2" t="s">
        <v>28790</v>
      </c>
      <c r="X4642" s="5" t="str">
        <f>HYPERLINK("https://my.pitchbook.com?p=170086-42P","View People Online")</f>
        <v>View People Online</v>
      </c>
    </row>
    <row r="4643">
      <c r="A4643" s="6" t="s">
        <v>28876</v>
      </c>
      <c r="B4643" s="6" t="s">
        <v>28877</v>
      </c>
      <c r="C4643" s="6" t="s">
        <v>4465</v>
      </c>
      <c r="D4643" s="6" t="s">
        <v>28878</v>
      </c>
      <c r="E4643" s="6" t="s">
        <v>28790</v>
      </c>
      <c r="F4643" s="6" t="s">
        <v>270</v>
      </c>
      <c r="G4643" s="6" t="s">
        <v>28879</v>
      </c>
      <c r="H4643" s="7" t="s">
        <v>31</v>
      </c>
      <c r="I4643" s="7">
        <v>10.0</v>
      </c>
      <c r="J4643" s="7">
        <v>1.0</v>
      </c>
      <c r="K4643" s="7">
        <v>8.0</v>
      </c>
      <c r="L4643" s="8" t="s">
        <v>28880</v>
      </c>
      <c r="M4643" s="6" t="s">
        <v>28881</v>
      </c>
      <c r="N4643" s="6" t="s">
        <v>1292</v>
      </c>
      <c r="O4643" s="8" t="s">
        <v>1293</v>
      </c>
      <c r="P4643" s="6" t="s">
        <v>28882</v>
      </c>
      <c r="Q4643" s="6" t="s">
        <v>6831</v>
      </c>
      <c r="R4643" s="6" t="s">
        <v>64</v>
      </c>
      <c r="S4643" s="8" t="s">
        <v>1296</v>
      </c>
      <c r="T4643" s="6" t="s">
        <v>66</v>
      </c>
      <c r="U4643" s="8" t="s">
        <v>31</v>
      </c>
      <c r="V4643" s="6" t="s">
        <v>28883</v>
      </c>
      <c r="W4643" s="6" t="s">
        <v>28790</v>
      </c>
      <c r="X4643" s="9" t="str">
        <f>HYPERLINK("https://my.pitchbook.com?p=227701-27P","View People Online")</f>
        <v>View People Online</v>
      </c>
    </row>
    <row r="4644">
      <c r="A4644" s="10" t="s">
        <v>28884</v>
      </c>
      <c r="B4644" s="10" t="s">
        <v>28885</v>
      </c>
      <c r="C4644" s="10" t="s">
        <v>28886</v>
      </c>
      <c r="D4644" s="10" t="s">
        <v>5555</v>
      </c>
      <c r="E4644" s="10" t="s">
        <v>28790</v>
      </c>
      <c r="F4644" s="10" t="s">
        <v>29</v>
      </c>
      <c r="G4644" s="10" t="s">
        <v>28887</v>
      </c>
      <c r="H4644" s="11" t="s">
        <v>31</v>
      </c>
      <c r="I4644" s="11">
        <v>3.0</v>
      </c>
      <c r="J4644" s="11">
        <v>1.0</v>
      </c>
      <c r="K4644" s="11">
        <v>2.0</v>
      </c>
      <c r="L4644" s="12" t="s">
        <v>28793</v>
      </c>
      <c r="M4644" s="10" t="s">
        <v>28888</v>
      </c>
      <c r="N4644" s="10" t="s">
        <v>75</v>
      </c>
      <c r="O4644" s="12" t="s">
        <v>76</v>
      </c>
      <c r="P4644" s="10" t="s">
        <v>28795</v>
      </c>
      <c r="Q4644" s="10" t="s">
        <v>4580</v>
      </c>
      <c r="R4644" s="10" t="s">
        <v>75</v>
      </c>
      <c r="S4644" s="12" t="s">
        <v>1478</v>
      </c>
      <c r="T4644" s="10" t="s">
        <v>66</v>
      </c>
      <c r="U4644" s="12" t="s">
        <v>28796</v>
      </c>
      <c r="V4644" s="10" t="s">
        <v>29</v>
      </c>
      <c r="W4644" s="10" t="s">
        <v>28790</v>
      </c>
      <c r="X4644" s="13" t="str">
        <f>HYPERLINK("https://my.pitchbook.com?p=213245-11P","View People Online")</f>
        <v>View People Online</v>
      </c>
    </row>
    <row r="4645">
      <c r="A4645" s="14" t="s">
        <v>28889</v>
      </c>
      <c r="B4645" s="14" t="s">
        <v>28890</v>
      </c>
      <c r="C4645" s="14" t="s">
        <v>20141</v>
      </c>
      <c r="D4645" s="14" t="s">
        <v>28891</v>
      </c>
      <c r="E4645" s="14" t="s">
        <v>28790</v>
      </c>
      <c r="F4645" s="14" t="s">
        <v>318</v>
      </c>
      <c r="G4645" s="14" t="s">
        <v>28892</v>
      </c>
      <c r="H4645" s="15" t="s">
        <v>31</v>
      </c>
      <c r="I4645" s="15">
        <v>1.0</v>
      </c>
      <c r="J4645" s="15">
        <v>1.0</v>
      </c>
      <c r="K4645" s="15" t="s">
        <v>31</v>
      </c>
      <c r="L4645" s="16" t="s">
        <v>31</v>
      </c>
      <c r="M4645" s="14" t="s">
        <v>28893</v>
      </c>
      <c r="N4645" s="14" t="s">
        <v>1170</v>
      </c>
      <c r="O4645" s="16" t="s">
        <v>1171</v>
      </c>
      <c r="P4645" s="14" t="s">
        <v>28894</v>
      </c>
      <c r="Q4645" s="14" t="s">
        <v>3794</v>
      </c>
      <c r="R4645" s="14" t="s">
        <v>64</v>
      </c>
      <c r="S4645" s="16" t="s">
        <v>26876</v>
      </c>
      <c r="T4645" s="14" t="s">
        <v>66</v>
      </c>
      <c r="U4645" s="16" t="s">
        <v>31</v>
      </c>
      <c r="V4645" s="14" t="s">
        <v>28895</v>
      </c>
      <c r="W4645" s="14" t="s">
        <v>28790</v>
      </c>
      <c r="X4645" s="17" t="str">
        <f>HYPERLINK("https://my.pitchbook.com?p=138506-23P","View People Online")</f>
        <v>View People Online</v>
      </c>
    </row>
    <row r="4646">
      <c r="A4646" s="10" t="s">
        <v>28896</v>
      </c>
      <c r="B4646" s="10" t="s">
        <v>28897</v>
      </c>
      <c r="C4646" s="10" t="s">
        <v>20212</v>
      </c>
      <c r="D4646" s="10" t="s">
        <v>28898</v>
      </c>
      <c r="E4646" s="10" t="s">
        <v>28790</v>
      </c>
      <c r="F4646" s="10" t="s">
        <v>583</v>
      </c>
      <c r="G4646" s="10" t="s">
        <v>28899</v>
      </c>
      <c r="H4646" s="11" t="s">
        <v>31</v>
      </c>
      <c r="I4646" s="11">
        <v>1.0</v>
      </c>
      <c r="J4646" s="11">
        <v>1.0</v>
      </c>
      <c r="K4646" s="11" t="s">
        <v>31</v>
      </c>
      <c r="L4646" s="12" t="s">
        <v>28793</v>
      </c>
      <c r="M4646" s="10" t="s">
        <v>28900</v>
      </c>
      <c r="N4646" s="10" t="s">
        <v>75</v>
      </c>
      <c r="O4646" s="12" t="s">
        <v>76</v>
      </c>
      <c r="P4646" s="10" t="s">
        <v>28795</v>
      </c>
      <c r="Q4646" s="10" t="s">
        <v>4580</v>
      </c>
      <c r="R4646" s="10" t="s">
        <v>75</v>
      </c>
      <c r="S4646" s="12" t="s">
        <v>1478</v>
      </c>
      <c r="T4646" s="10" t="s">
        <v>66</v>
      </c>
      <c r="U4646" s="12" t="s">
        <v>28796</v>
      </c>
      <c r="V4646" s="10" t="s">
        <v>583</v>
      </c>
      <c r="W4646" s="10" t="s">
        <v>28790</v>
      </c>
      <c r="X4646" s="13" t="str">
        <f>HYPERLINK("https://my.pitchbook.com?p=187928-38P","View People Online")</f>
        <v>View People Online</v>
      </c>
    </row>
    <row r="4647">
      <c r="A4647" s="6" t="s">
        <v>28901</v>
      </c>
      <c r="B4647" s="6" t="s">
        <v>28902</v>
      </c>
      <c r="C4647" s="6" t="s">
        <v>541</v>
      </c>
      <c r="D4647" s="6" t="s">
        <v>28903</v>
      </c>
      <c r="E4647" s="6" t="s">
        <v>28790</v>
      </c>
      <c r="F4647" s="6" t="s">
        <v>7044</v>
      </c>
      <c r="G4647" s="6" t="s">
        <v>28904</v>
      </c>
      <c r="H4647" s="7">
        <v>1.0</v>
      </c>
      <c r="I4647" s="7">
        <v>39.0</v>
      </c>
      <c r="J4647" s="7">
        <v>1.0</v>
      </c>
      <c r="K4647" s="7">
        <v>19.0</v>
      </c>
      <c r="L4647" s="8" t="s">
        <v>28793</v>
      </c>
      <c r="M4647" s="6" t="s">
        <v>28905</v>
      </c>
      <c r="N4647" s="6" t="s">
        <v>75</v>
      </c>
      <c r="O4647" s="8" t="s">
        <v>76</v>
      </c>
      <c r="P4647" s="6" t="s">
        <v>28795</v>
      </c>
      <c r="Q4647" s="6" t="s">
        <v>4580</v>
      </c>
      <c r="R4647" s="6" t="s">
        <v>75</v>
      </c>
      <c r="S4647" s="8" t="s">
        <v>1478</v>
      </c>
      <c r="T4647" s="6" t="s">
        <v>66</v>
      </c>
      <c r="U4647" s="8" t="s">
        <v>28796</v>
      </c>
      <c r="V4647" s="6" t="s">
        <v>7051</v>
      </c>
      <c r="W4647" s="6" t="s">
        <v>28790</v>
      </c>
      <c r="X4647" s="9" t="str">
        <f>HYPERLINK("https://my.pitchbook.com?p=47014-75P","View People Online")</f>
        <v>View People Online</v>
      </c>
    </row>
    <row r="4648">
      <c r="A4648" s="10" t="s">
        <v>28906</v>
      </c>
      <c r="B4648" s="10" t="s">
        <v>28907</v>
      </c>
      <c r="C4648" s="10" t="s">
        <v>388</v>
      </c>
      <c r="D4648" s="10" t="s">
        <v>28908</v>
      </c>
      <c r="E4648" s="10" t="s">
        <v>28790</v>
      </c>
      <c r="F4648" s="10" t="s">
        <v>6993</v>
      </c>
      <c r="G4648" s="10" t="s">
        <v>28909</v>
      </c>
      <c r="H4648" s="11">
        <v>5.0</v>
      </c>
      <c r="I4648" s="11">
        <v>20.0</v>
      </c>
      <c r="J4648" s="11">
        <v>1.0</v>
      </c>
      <c r="K4648" s="11">
        <v>12.0</v>
      </c>
      <c r="L4648" s="12" t="s">
        <v>28793</v>
      </c>
      <c r="M4648" s="10" t="s">
        <v>31</v>
      </c>
      <c r="N4648" s="10" t="s">
        <v>75</v>
      </c>
      <c r="O4648" s="12" t="s">
        <v>76</v>
      </c>
      <c r="P4648" s="10" t="s">
        <v>28795</v>
      </c>
      <c r="Q4648" s="10" t="s">
        <v>4580</v>
      </c>
      <c r="R4648" s="10" t="s">
        <v>75</v>
      </c>
      <c r="S4648" s="12" t="s">
        <v>1478</v>
      </c>
      <c r="T4648" s="10" t="s">
        <v>66</v>
      </c>
      <c r="U4648" s="12" t="s">
        <v>28796</v>
      </c>
      <c r="V4648" s="10" t="s">
        <v>6993</v>
      </c>
      <c r="W4648" s="10" t="s">
        <v>28790</v>
      </c>
      <c r="X4648" s="13" t="str">
        <f>HYPERLINK("https://my.pitchbook.com?p=223523-29P","View People Online")</f>
        <v>View People Online</v>
      </c>
    </row>
    <row r="4649">
      <c r="A4649" s="14" t="s">
        <v>28910</v>
      </c>
      <c r="B4649" s="14" t="s">
        <v>28911</v>
      </c>
      <c r="C4649" s="14" t="s">
        <v>28912</v>
      </c>
      <c r="D4649" s="14" t="s">
        <v>28913</v>
      </c>
      <c r="E4649" s="14" t="s">
        <v>28790</v>
      </c>
      <c r="F4649" s="14" t="s">
        <v>28914</v>
      </c>
      <c r="G4649" s="14" t="s">
        <v>28915</v>
      </c>
      <c r="H4649" s="15">
        <v>3.0</v>
      </c>
      <c r="I4649" s="15">
        <v>24.0</v>
      </c>
      <c r="J4649" s="15">
        <v>1.0</v>
      </c>
      <c r="K4649" s="15">
        <v>19.0</v>
      </c>
      <c r="L4649" s="16" t="s">
        <v>28793</v>
      </c>
      <c r="M4649" s="14" t="s">
        <v>31</v>
      </c>
      <c r="N4649" s="14" t="s">
        <v>75</v>
      </c>
      <c r="O4649" s="16" t="s">
        <v>76</v>
      </c>
      <c r="P4649" s="14" t="s">
        <v>28795</v>
      </c>
      <c r="Q4649" s="14" t="s">
        <v>4580</v>
      </c>
      <c r="R4649" s="14" t="s">
        <v>75</v>
      </c>
      <c r="S4649" s="16" t="s">
        <v>1478</v>
      </c>
      <c r="T4649" s="14" t="s">
        <v>66</v>
      </c>
      <c r="U4649" s="16" t="s">
        <v>28796</v>
      </c>
      <c r="V4649" s="14" t="s">
        <v>28916</v>
      </c>
      <c r="W4649" s="14" t="s">
        <v>28917</v>
      </c>
      <c r="X4649" s="17" t="str">
        <f>HYPERLINK("https://my.pitchbook.com?p=55845-73P","View People Online")</f>
        <v>View People Online</v>
      </c>
    </row>
    <row r="4650">
      <c r="A4650" s="10" t="s">
        <v>28918</v>
      </c>
      <c r="B4650" s="10" t="s">
        <v>28919</v>
      </c>
      <c r="C4650" s="10" t="s">
        <v>3722</v>
      </c>
      <c r="D4650" s="10" t="s">
        <v>6893</v>
      </c>
      <c r="E4650" s="10" t="s">
        <v>28790</v>
      </c>
      <c r="F4650" s="10" t="s">
        <v>29</v>
      </c>
      <c r="G4650" s="10" t="s">
        <v>28920</v>
      </c>
      <c r="H4650" s="11" t="s">
        <v>31</v>
      </c>
      <c r="I4650" s="11">
        <v>1.0</v>
      </c>
      <c r="J4650" s="11">
        <v>1.0</v>
      </c>
      <c r="K4650" s="11" t="s">
        <v>31</v>
      </c>
      <c r="L4650" s="12" t="s">
        <v>28793</v>
      </c>
      <c r="M4650" s="10" t="s">
        <v>28921</v>
      </c>
      <c r="N4650" s="10" t="s">
        <v>75</v>
      </c>
      <c r="O4650" s="12" t="s">
        <v>76</v>
      </c>
      <c r="P4650" s="10" t="s">
        <v>28795</v>
      </c>
      <c r="Q4650" s="10" t="s">
        <v>4580</v>
      </c>
      <c r="R4650" s="10" t="s">
        <v>75</v>
      </c>
      <c r="S4650" s="12" t="s">
        <v>1478</v>
      </c>
      <c r="T4650" s="10" t="s">
        <v>66</v>
      </c>
      <c r="U4650" s="12" t="s">
        <v>28796</v>
      </c>
      <c r="V4650" s="10" t="s">
        <v>29</v>
      </c>
      <c r="W4650" s="10" t="s">
        <v>28790</v>
      </c>
      <c r="X4650" s="13" t="str">
        <f>HYPERLINK("https://my.pitchbook.com?p=240538-69P","View People Online")</f>
        <v>View People Online</v>
      </c>
    </row>
    <row r="4651">
      <c r="A4651" s="6" t="s">
        <v>28922</v>
      </c>
      <c r="B4651" s="6" t="s">
        <v>28923</v>
      </c>
      <c r="C4651" s="6" t="s">
        <v>562</v>
      </c>
      <c r="D4651" s="6" t="s">
        <v>28903</v>
      </c>
      <c r="E4651" s="6" t="s">
        <v>28790</v>
      </c>
      <c r="F4651" s="6" t="s">
        <v>152</v>
      </c>
      <c r="G4651" s="6" t="s">
        <v>28924</v>
      </c>
      <c r="H4651" s="7">
        <v>7.0</v>
      </c>
      <c r="I4651" s="7">
        <v>42.0</v>
      </c>
      <c r="J4651" s="7">
        <v>1.0</v>
      </c>
      <c r="K4651" s="7">
        <v>29.0</v>
      </c>
      <c r="L4651" s="8" t="s">
        <v>28793</v>
      </c>
      <c r="M4651" s="6" t="s">
        <v>28925</v>
      </c>
      <c r="N4651" s="6" t="s">
        <v>75</v>
      </c>
      <c r="O4651" s="8" t="s">
        <v>76</v>
      </c>
      <c r="P4651" s="6" t="s">
        <v>28795</v>
      </c>
      <c r="Q4651" s="6" t="s">
        <v>4580</v>
      </c>
      <c r="R4651" s="6" t="s">
        <v>75</v>
      </c>
      <c r="S4651" s="8" t="s">
        <v>1478</v>
      </c>
      <c r="T4651" s="6" t="s">
        <v>66</v>
      </c>
      <c r="U4651" s="8" t="s">
        <v>28796</v>
      </c>
      <c r="V4651" s="6" t="s">
        <v>157</v>
      </c>
      <c r="W4651" s="6" t="s">
        <v>28790</v>
      </c>
      <c r="X4651" s="9" t="str">
        <f>HYPERLINK("https://my.pitchbook.com?p=47015-02P","View People Online")</f>
        <v>View People Online</v>
      </c>
    </row>
    <row r="4652">
      <c r="A4652" s="10" t="s">
        <v>28926</v>
      </c>
      <c r="B4652" s="10" t="s">
        <v>28927</v>
      </c>
      <c r="C4652" s="10" t="s">
        <v>28928</v>
      </c>
      <c r="D4652" s="10" t="s">
        <v>28929</v>
      </c>
      <c r="E4652" s="10" t="s">
        <v>28930</v>
      </c>
      <c r="F4652" s="10" t="s">
        <v>57</v>
      </c>
      <c r="G4652" s="10" t="s">
        <v>28931</v>
      </c>
      <c r="H4652" s="11" t="s">
        <v>31</v>
      </c>
      <c r="I4652" s="11">
        <v>60.0</v>
      </c>
      <c r="J4652" s="11">
        <v>1.0</v>
      </c>
      <c r="K4652" s="11">
        <v>47.0</v>
      </c>
      <c r="L4652" s="12" t="s">
        <v>31</v>
      </c>
      <c r="M4652" s="10" t="s">
        <v>28932</v>
      </c>
      <c r="N4652" s="10" t="s">
        <v>155</v>
      </c>
      <c r="O4652" s="12" t="s">
        <v>156</v>
      </c>
      <c r="P4652" s="10" t="s">
        <v>28933</v>
      </c>
      <c r="Q4652" s="10" t="s">
        <v>31</v>
      </c>
      <c r="R4652" s="10" t="s">
        <v>64</v>
      </c>
      <c r="S4652" s="12" t="s">
        <v>5599</v>
      </c>
      <c r="T4652" s="10" t="s">
        <v>66</v>
      </c>
      <c r="U4652" s="12" t="s">
        <v>31</v>
      </c>
      <c r="V4652" s="10" t="s">
        <v>57</v>
      </c>
      <c r="W4652" s="10" t="s">
        <v>28930</v>
      </c>
      <c r="X4652" s="13" t="str">
        <f>HYPERLINK("https://my.pitchbook.com?p=35569-36P","View People Online")</f>
        <v>View People Online</v>
      </c>
    </row>
    <row r="4653">
      <c r="A4653" s="14" t="s">
        <v>28934</v>
      </c>
      <c r="B4653" s="14" t="s">
        <v>28935</v>
      </c>
      <c r="C4653" s="14" t="s">
        <v>316</v>
      </c>
      <c r="D4653" s="14" t="s">
        <v>16220</v>
      </c>
      <c r="E4653" s="14" t="s">
        <v>28936</v>
      </c>
      <c r="F4653" s="14" t="s">
        <v>152</v>
      </c>
      <c r="G4653" s="14" t="s">
        <v>28937</v>
      </c>
      <c r="H4653" s="15" t="s">
        <v>31</v>
      </c>
      <c r="I4653" s="15">
        <v>4.0</v>
      </c>
      <c r="J4653" s="15">
        <v>1.0</v>
      </c>
      <c r="K4653" s="15">
        <v>2.0</v>
      </c>
      <c r="L4653" s="16" t="s">
        <v>28938</v>
      </c>
      <c r="M4653" s="14" t="s">
        <v>28939</v>
      </c>
      <c r="N4653" s="14" t="s">
        <v>1348</v>
      </c>
      <c r="O4653" s="16" t="s">
        <v>1349</v>
      </c>
      <c r="P4653" s="14" t="s">
        <v>28940</v>
      </c>
      <c r="Q4653" s="14" t="s">
        <v>28941</v>
      </c>
      <c r="R4653" s="14" t="s">
        <v>1018</v>
      </c>
      <c r="S4653" s="16" t="s">
        <v>28942</v>
      </c>
      <c r="T4653" s="14" t="s">
        <v>1019</v>
      </c>
      <c r="U4653" s="16" t="s">
        <v>31</v>
      </c>
      <c r="V4653" s="14" t="s">
        <v>152</v>
      </c>
      <c r="W4653" s="14" t="s">
        <v>28936</v>
      </c>
      <c r="X4653" s="17" t="str">
        <f>HYPERLINK("https://my.pitchbook.com?p=239218-57P","View People Online")</f>
        <v>View People Online</v>
      </c>
    </row>
    <row r="4654">
      <c r="A4654" s="10" t="s">
        <v>28943</v>
      </c>
      <c r="B4654" s="10" t="s">
        <v>28944</v>
      </c>
      <c r="C4654" s="10" t="s">
        <v>28945</v>
      </c>
      <c r="D4654" s="10" t="s">
        <v>17678</v>
      </c>
      <c r="E4654" s="10" t="s">
        <v>28936</v>
      </c>
      <c r="F4654" s="10" t="s">
        <v>29</v>
      </c>
      <c r="G4654" s="10" t="s">
        <v>28946</v>
      </c>
      <c r="H4654" s="11" t="s">
        <v>31</v>
      </c>
      <c r="I4654" s="11">
        <v>1.0</v>
      </c>
      <c r="J4654" s="11">
        <v>1.0</v>
      </c>
      <c r="K4654" s="11" t="s">
        <v>31</v>
      </c>
      <c r="L4654" s="12" t="s">
        <v>31</v>
      </c>
      <c r="M4654" s="10" t="s">
        <v>28947</v>
      </c>
      <c r="N4654" s="10" t="s">
        <v>1348</v>
      </c>
      <c r="O4654" s="12" t="s">
        <v>1349</v>
      </c>
      <c r="P4654" s="10" t="s">
        <v>28940</v>
      </c>
      <c r="Q4654" s="10" t="s">
        <v>28941</v>
      </c>
      <c r="R4654" s="10" t="s">
        <v>1018</v>
      </c>
      <c r="S4654" s="12" t="s">
        <v>28942</v>
      </c>
      <c r="T4654" s="10" t="s">
        <v>1019</v>
      </c>
      <c r="U4654" s="12" t="s">
        <v>31</v>
      </c>
      <c r="V4654" s="10" t="s">
        <v>29</v>
      </c>
      <c r="W4654" s="10" t="s">
        <v>28936</v>
      </c>
      <c r="X4654" s="13" t="str">
        <f>HYPERLINK("https://my.pitchbook.com?p=125849-80P","View People Online")</f>
        <v>View People Online</v>
      </c>
    </row>
    <row r="4655">
      <c r="A4655" s="14" t="s">
        <v>28948</v>
      </c>
      <c r="B4655" s="14" t="s">
        <v>28949</v>
      </c>
      <c r="C4655" s="14" t="s">
        <v>28950</v>
      </c>
      <c r="D4655" s="14" t="s">
        <v>28951</v>
      </c>
      <c r="E4655" s="14" t="s">
        <v>28936</v>
      </c>
      <c r="F4655" s="14" t="s">
        <v>29</v>
      </c>
      <c r="G4655" s="14" t="s">
        <v>28952</v>
      </c>
      <c r="H4655" s="15" t="s">
        <v>31</v>
      </c>
      <c r="I4655" s="15">
        <v>1.0</v>
      </c>
      <c r="J4655" s="15">
        <v>1.0</v>
      </c>
      <c r="K4655" s="15" t="s">
        <v>31</v>
      </c>
      <c r="L4655" s="16" t="s">
        <v>31</v>
      </c>
      <c r="M4655" s="14" t="s">
        <v>28953</v>
      </c>
      <c r="N4655" s="14" t="s">
        <v>3603</v>
      </c>
      <c r="O4655" s="16" t="s">
        <v>3604</v>
      </c>
      <c r="P4655" s="14" t="s">
        <v>28954</v>
      </c>
      <c r="Q4655" s="14" t="s">
        <v>28955</v>
      </c>
      <c r="R4655" s="14" t="s">
        <v>31</v>
      </c>
      <c r="S4655" s="16" t="s">
        <v>31</v>
      </c>
      <c r="T4655" s="14" t="s">
        <v>3603</v>
      </c>
      <c r="U4655" s="16" t="s">
        <v>31</v>
      </c>
      <c r="V4655" s="14" t="s">
        <v>29</v>
      </c>
      <c r="W4655" s="14" t="s">
        <v>28936</v>
      </c>
      <c r="X4655" s="17" t="str">
        <f>HYPERLINK("https://my.pitchbook.com?p=415745-92P","View People Online")</f>
        <v>View People Online</v>
      </c>
    </row>
    <row r="4656">
      <c r="A4656" s="2" t="s">
        <v>28956</v>
      </c>
      <c r="B4656" s="2" t="s">
        <v>28957</v>
      </c>
      <c r="C4656" s="2" t="s">
        <v>4128</v>
      </c>
      <c r="D4656" s="2" t="s">
        <v>28958</v>
      </c>
      <c r="E4656" s="2" t="s">
        <v>28959</v>
      </c>
      <c r="F4656" s="2" t="s">
        <v>270</v>
      </c>
      <c r="G4656" s="2" t="s">
        <v>28960</v>
      </c>
      <c r="H4656" s="3" t="s">
        <v>31</v>
      </c>
      <c r="I4656" s="3">
        <v>1.0</v>
      </c>
      <c r="J4656" s="3">
        <v>1.0</v>
      </c>
      <c r="K4656" s="3" t="s">
        <v>31</v>
      </c>
      <c r="L4656" s="4" t="s">
        <v>28961</v>
      </c>
      <c r="M4656" s="2" t="s">
        <v>31</v>
      </c>
      <c r="N4656" s="2" t="s">
        <v>75</v>
      </c>
      <c r="O4656" s="4" t="s">
        <v>76</v>
      </c>
      <c r="P4656" s="2" t="s">
        <v>28962</v>
      </c>
      <c r="Q4656" s="2" t="s">
        <v>6831</v>
      </c>
      <c r="R4656" s="2" t="s">
        <v>75</v>
      </c>
      <c r="S4656" s="4" t="s">
        <v>28963</v>
      </c>
      <c r="T4656" s="2" t="s">
        <v>66</v>
      </c>
      <c r="U4656" s="4" t="s">
        <v>31</v>
      </c>
      <c r="V4656" s="2" t="s">
        <v>440</v>
      </c>
      <c r="W4656" s="2" t="s">
        <v>28959</v>
      </c>
      <c r="X4656" s="5" t="str">
        <f>HYPERLINK("https://my.pitchbook.com?p=445596-40P","View People Online")</f>
        <v>View People Online</v>
      </c>
    </row>
    <row r="4657">
      <c r="A4657" s="14" t="s">
        <v>28964</v>
      </c>
      <c r="B4657" s="14" t="s">
        <v>28965</v>
      </c>
      <c r="C4657" s="14" t="s">
        <v>1117</v>
      </c>
      <c r="D4657" s="14" t="s">
        <v>2191</v>
      </c>
      <c r="E4657" s="14" t="s">
        <v>28959</v>
      </c>
      <c r="F4657" s="14" t="s">
        <v>29</v>
      </c>
      <c r="G4657" s="14" t="s">
        <v>28966</v>
      </c>
      <c r="H4657" s="15" t="s">
        <v>31</v>
      </c>
      <c r="I4657" s="15">
        <v>8.0</v>
      </c>
      <c r="J4657" s="15">
        <v>1.0</v>
      </c>
      <c r="K4657" s="15">
        <v>5.0</v>
      </c>
      <c r="L4657" s="16" t="s">
        <v>28967</v>
      </c>
      <c r="M4657" s="14" t="s">
        <v>28968</v>
      </c>
      <c r="N4657" s="14" t="s">
        <v>75</v>
      </c>
      <c r="O4657" s="16" t="s">
        <v>76</v>
      </c>
      <c r="P4657" s="14" t="s">
        <v>28962</v>
      </c>
      <c r="Q4657" s="14" t="s">
        <v>6831</v>
      </c>
      <c r="R4657" s="14" t="s">
        <v>75</v>
      </c>
      <c r="S4657" s="16" t="s">
        <v>28963</v>
      </c>
      <c r="T4657" s="14" t="s">
        <v>66</v>
      </c>
      <c r="U4657" s="16" t="s">
        <v>31</v>
      </c>
      <c r="V4657" s="14" t="s">
        <v>29</v>
      </c>
      <c r="W4657" s="14" t="s">
        <v>28959</v>
      </c>
      <c r="X4657" s="17" t="str">
        <f>HYPERLINK("https://my.pitchbook.com?p=29755-36P","View People Online")</f>
        <v>View People Online</v>
      </c>
    </row>
    <row r="4658">
      <c r="A4658" s="10" t="s">
        <v>28969</v>
      </c>
      <c r="B4658" s="10" t="s">
        <v>28970</v>
      </c>
      <c r="C4658" s="10" t="s">
        <v>54</v>
      </c>
      <c r="D4658" s="10" t="s">
        <v>28971</v>
      </c>
      <c r="E4658" s="10" t="s">
        <v>28959</v>
      </c>
      <c r="F4658" s="10" t="s">
        <v>81</v>
      </c>
      <c r="G4658" s="10" t="s">
        <v>28972</v>
      </c>
      <c r="H4658" s="11">
        <v>3.0</v>
      </c>
      <c r="I4658" s="11">
        <v>5.0</v>
      </c>
      <c r="J4658" s="11">
        <v>2.0</v>
      </c>
      <c r="K4658" s="11">
        <v>1.0</v>
      </c>
      <c r="L4658" s="12" t="s">
        <v>31</v>
      </c>
      <c r="M4658" s="10" t="s">
        <v>28973</v>
      </c>
      <c r="N4658" s="10" t="s">
        <v>6588</v>
      </c>
      <c r="O4658" s="12" t="s">
        <v>6589</v>
      </c>
      <c r="P4658" s="10" t="s">
        <v>6590</v>
      </c>
      <c r="Q4658" s="10" t="s">
        <v>6591</v>
      </c>
      <c r="R4658" s="10" t="s">
        <v>93</v>
      </c>
      <c r="S4658" s="12" t="s">
        <v>6592</v>
      </c>
      <c r="T4658" s="10" t="s">
        <v>66</v>
      </c>
      <c r="U4658" s="12" t="s">
        <v>31</v>
      </c>
      <c r="V4658" s="10" t="s">
        <v>2168</v>
      </c>
      <c r="W4658" s="10" t="s">
        <v>6594</v>
      </c>
      <c r="X4658" s="13" t="str">
        <f>HYPERLINK("https://my.pitchbook.com?p=55526-05P","View People Online")</f>
        <v>View People Online</v>
      </c>
    </row>
    <row r="4659">
      <c r="A4659" s="14" t="s">
        <v>28974</v>
      </c>
      <c r="B4659" s="14" t="s">
        <v>28975</v>
      </c>
      <c r="C4659" s="14" t="s">
        <v>740</v>
      </c>
      <c r="D4659" s="14" t="s">
        <v>1723</v>
      </c>
      <c r="E4659" s="14" t="s">
        <v>28959</v>
      </c>
      <c r="F4659" s="14" t="s">
        <v>318</v>
      </c>
      <c r="G4659" s="14" t="s">
        <v>28976</v>
      </c>
      <c r="H4659" s="15" t="s">
        <v>31</v>
      </c>
      <c r="I4659" s="15">
        <v>3.0</v>
      </c>
      <c r="J4659" s="15">
        <v>1.0</v>
      </c>
      <c r="K4659" s="15">
        <v>1.0</v>
      </c>
      <c r="L4659" s="16" t="s">
        <v>28961</v>
      </c>
      <c r="M4659" s="14" t="s">
        <v>28977</v>
      </c>
      <c r="N4659" s="14" t="s">
        <v>75</v>
      </c>
      <c r="O4659" s="16" t="s">
        <v>76</v>
      </c>
      <c r="P4659" s="14" t="s">
        <v>28962</v>
      </c>
      <c r="Q4659" s="14" t="s">
        <v>6831</v>
      </c>
      <c r="R4659" s="14" t="s">
        <v>75</v>
      </c>
      <c r="S4659" s="16" t="s">
        <v>28963</v>
      </c>
      <c r="T4659" s="14" t="s">
        <v>66</v>
      </c>
      <c r="U4659" s="16" t="s">
        <v>31</v>
      </c>
      <c r="V4659" s="14" t="s">
        <v>318</v>
      </c>
      <c r="W4659" s="14" t="s">
        <v>28959</v>
      </c>
      <c r="X4659" s="17" t="str">
        <f>HYPERLINK("https://my.pitchbook.com?p=129361-96P","View People Online")</f>
        <v>View People Online</v>
      </c>
    </row>
    <row r="4660">
      <c r="A4660" s="10" t="s">
        <v>28978</v>
      </c>
      <c r="B4660" s="10" t="s">
        <v>28979</v>
      </c>
      <c r="C4660" s="10" t="s">
        <v>1437</v>
      </c>
      <c r="D4660" s="10" t="s">
        <v>28980</v>
      </c>
      <c r="E4660" s="10" t="s">
        <v>28959</v>
      </c>
      <c r="F4660" s="10" t="s">
        <v>270</v>
      </c>
      <c r="G4660" s="10" t="s">
        <v>28981</v>
      </c>
      <c r="H4660" s="11" t="s">
        <v>31</v>
      </c>
      <c r="I4660" s="11">
        <v>1.0</v>
      </c>
      <c r="J4660" s="11">
        <v>1.0</v>
      </c>
      <c r="K4660" s="11" t="s">
        <v>31</v>
      </c>
      <c r="L4660" s="12" t="s">
        <v>28961</v>
      </c>
      <c r="M4660" s="10" t="s">
        <v>28982</v>
      </c>
      <c r="N4660" s="10" t="s">
        <v>75</v>
      </c>
      <c r="O4660" s="12" t="s">
        <v>76</v>
      </c>
      <c r="P4660" s="10" t="s">
        <v>28962</v>
      </c>
      <c r="Q4660" s="10" t="s">
        <v>6831</v>
      </c>
      <c r="R4660" s="10" t="s">
        <v>75</v>
      </c>
      <c r="S4660" s="12" t="s">
        <v>28963</v>
      </c>
      <c r="T4660" s="10" t="s">
        <v>66</v>
      </c>
      <c r="U4660" s="12" t="s">
        <v>31</v>
      </c>
      <c r="V4660" s="10" t="s">
        <v>440</v>
      </c>
      <c r="W4660" s="10" t="s">
        <v>28959</v>
      </c>
      <c r="X4660" s="13" t="str">
        <f>HYPERLINK("https://my.pitchbook.com?p=379229-14P","View People Online")</f>
        <v>View People Online</v>
      </c>
    </row>
    <row r="4661">
      <c r="A4661" s="6" t="s">
        <v>28983</v>
      </c>
      <c r="B4661" s="6" t="s">
        <v>28984</v>
      </c>
      <c r="C4661" s="6" t="s">
        <v>1982</v>
      </c>
      <c r="D4661" s="6" t="s">
        <v>28985</v>
      </c>
      <c r="E4661" s="6" t="s">
        <v>28959</v>
      </c>
      <c r="F4661" s="6" t="s">
        <v>5086</v>
      </c>
      <c r="G4661" s="6" t="s">
        <v>28986</v>
      </c>
      <c r="H4661" s="7" t="s">
        <v>31</v>
      </c>
      <c r="I4661" s="7">
        <v>6.0</v>
      </c>
      <c r="J4661" s="7">
        <v>1.0</v>
      </c>
      <c r="K4661" s="7">
        <v>4.0</v>
      </c>
      <c r="L4661" s="8" t="s">
        <v>28961</v>
      </c>
      <c r="M4661" s="6" t="s">
        <v>28987</v>
      </c>
      <c r="N4661" s="6" t="s">
        <v>75</v>
      </c>
      <c r="O4661" s="8" t="s">
        <v>76</v>
      </c>
      <c r="P4661" s="6" t="s">
        <v>28962</v>
      </c>
      <c r="Q4661" s="6" t="s">
        <v>6831</v>
      </c>
      <c r="R4661" s="6" t="s">
        <v>75</v>
      </c>
      <c r="S4661" s="8" t="s">
        <v>28963</v>
      </c>
      <c r="T4661" s="6" t="s">
        <v>66</v>
      </c>
      <c r="U4661" s="8" t="s">
        <v>31</v>
      </c>
      <c r="V4661" s="6" t="s">
        <v>28988</v>
      </c>
      <c r="W4661" s="6" t="s">
        <v>28959</v>
      </c>
      <c r="X4661" s="9" t="str">
        <f>HYPERLINK("https://my.pitchbook.com?p=130004-29P","View People Online")</f>
        <v>View People Online</v>
      </c>
    </row>
    <row r="4662">
      <c r="A4662" s="2" t="s">
        <v>28989</v>
      </c>
      <c r="B4662" s="2" t="s">
        <v>28990</v>
      </c>
      <c r="C4662" s="2" t="s">
        <v>1982</v>
      </c>
      <c r="D4662" s="2" t="s">
        <v>4285</v>
      </c>
      <c r="E4662" s="2" t="s">
        <v>28959</v>
      </c>
      <c r="F4662" s="2" t="s">
        <v>674</v>
      </c>
      <c r="G4662" s="2" t="s">
        <v>28991</v>
      </c>
      <c r="H4662" s="3">
        <v>13.0</v>
      </c>
      <c r="I4662" s="3">
        <v>107.0</v>
      </c>
      <c r="J4662" s="3">
        <v>1.0</v>
      </c>
      <c r="K4662" s="3">
        <v>73.0</v>
      </c>
      <c r="L4662" s="4" t="s">
        <v>28961</v>
      </c>
      <c r="M4662" s="2" t="s">
        <v>28992</v>
      </c>
      <c r="N4662" s="2" t="s">
        <v>75</v>
      </c>
      <c r="O4662" s="4" t="s">
        <v>76</v>
      </c>
      <c r="P4662" s="2" t="s">
        <v>28962</v>
      </c>
      <c r="Q4662" s="2" t="s">
        <v>6831</v>
      </c>
      <c r="R4662" s="2" t="s">
        <v>75</v>
      </c>
      <c r="S4662" s="4" t="s">
        <v>28963</v>
      </c>
      <c r="T4662" s="2" t="s">
        <v>66</v>
      </c>
      <c r="U4662" s="4" t="s">
        <v>31</v>
      </c>
      <c r="V4662" s="2" t="s">
        <v>1172</v>
      </c>
      <c r="W4662" s="2" t="s">
        <v>28959</v>
      </c>
      <c r="X4662" s="5" t="str">
        <f>HYPERLINK("https://my.pitchbook.com?p=39012-67P","View People Online")</f>
        <v>View People Online</v>
      </c>
    </row>
    <row r="4663">
      <c r="A4663" s="14" t="s">
        <v>28993</v>
      </c>
      <c r="B4663" s="14" t="s">
        <v>28994</v>
      </c>
      <c r="C4663" s="14" t="s">
        <v>1982</v>
      </c>
      <c r="D4663" s="14" t="s">
        <v>8429</v>
      </c>
      <c r="E4663" s="14" t="s">
        <v>28959</v>
      </c>
      <c r="F4663" s="14" t="s">
        <v>114</v>
      </c>
      <c r="G4663" s="14" t="s">
        <v>28995</v>
      </c>
      <c r="H4663" s="15" t="s">
        <v>31</v>
      </c>
      <c r="I4663" s="15">
        <v>1.0</v>
      </c>
      <c r="J4663" s="15">
        <v>1.0</v>
      </c>
      <c r="K4663" s="15" t="s">
        <v>31</v>
      </c>
      <c r="L4663" s="16" t="s">
        <v>28961</v>
      </c>
      <c r="M4663" s="14" t="s">
        <v>28996</v>
      </c>
      <c r="N4663" s="14" t="s">
        <v>75</v>
      </c>
      <c r="O4663" s="16" t="s">
        <v>76</v>
      </c>
      <c r="P4663" s="14" t="s">
        <v>28962</v>
      </c>
      <c r="Q4663" s="14" t="s">
        <v>6831</v>
      </c>
      <c r="R4663" s="14" t="s">
        <v>75</v>
      </c>
      <c r="S4663" s="16" t="s">
        <v>28963</v>
      </c>
      <c r="T4663" s="14" t="s">
        <v>66</v>
      </c>
      <c r="U4663" s="16" t="s">
        <v>31</v>
      </c>
      <c r="V4663" s="14" t="s">
        <v>114</v>
      </c>
      <c r="W4663" s="14" t="s">
        <v>28959</v>
      </c>
      <c r="X4663" s="17" t="str">
        <f>HYPERLINK("https://my.pitchbook.com?p=245239-57P","View People Online")</f>
        <v>View People Online</v>
      </c>
    </row>
    <row r="4664">
      <c r="A4664" s="2" t="s">
        <v>28997</v>
      </c>
      <c r="B4664" s="2" t="s">
        <v>28998</v>
      </c>
      <c r="C4664" s="2" t="s">
        <v>1449</v>
      </c>
      <c r="D4664" s="2" t="s">
        <v>200</v>
      </c>
      <c r="E4664" s="2" t="s">
        <v>28959</v>
      </c>
      <c r="F4664" s="2" t="s">
        <v>28999</v>
      </c>
      <c r="G4664" s="2" t="s">
        <v>29000</v>
      </c>
      <c r="H4664" s="3" t="s">
        <v>31</v>
      </c>
      <c r="I4664" s="3">
        <v>3.0</v>
      </c>
      <c r="J4664" s="3">
        <v>3.0</v>
      </c>
      <c r="K4664" s="3" t="s">
        <v>31</v>
      </c>
      <c r="L4664" s="4" t="s">
        <v>29001</v>
      </c>
      <c r="M4664" s="2" t="s">
        <v>29002</v>
      </c>
      <c r="N4664" s="2" t="s">
        <v>75</v>
      </c>
      <c r="O4664" s="4" t="s">
        <v>76</v>
      </c>
      <c r="P4664" s="2" t="s">
        <v>29003</v>
      </c>
      <c r="Q4664" s="2" t="s">
        <v>1955</v>
      </c>
      <c r="R4664" s="2" t="s">
        <v>75</v>
      </c>
      <c r="S4664" s="4" t="s">
        <v>28963</v>
      </c>
      <c r="T4664" s="2" t="s">
        <v>66</v>
      </c>
      <c r="U4664" s="4" t="s">
        <v>31</v>
      </c>
      <c r="V4664" s="2" t="s">
        <v>120</v>
      </c>
      <c r="W4664" s="2" t="s">
        <v>29004</v>
      </c>
      <c r="X4664" s="5" t="str">
        <f>HYPERLINK("https://my.pitchbook.com?p=76245-49P","View People Online")</f>
        <v>View People Online</v>
      </c>
    </row>
    <row r="4665">
      <c r="A4665" s="6" t="s">
        <v>29005</v>
      </c>
      <c r="B4665" s="6" t="s">
        <v>29006</v>
      </c>
      <c r="C4665" s="6" t="s">
        <v>7138</v>
      </c>
      <c r="D4665" s="6" t="s">
        <v>29007</v>
      </c>
      <c r="E4665" s="6" t="s">
        <v>28959</v>
      </c>
      <c r="F4665" s="6" t="s">
        <v>29</v>
      </c>
      <c r="G4665" s="6" t="s">
        <v>29008</v>
      </c>
      <c r="H4665" s="7">
        <v>2.0</v>
      </c>
      <c r="I4665" s="7">
        <v>9.0</v>
      </c>
      <c r="J4665" s="7">
        <v>1.0</v>
      </c>
      <c r="K4665" s="7">
        <v>5.0</v>
      </c>
      <c r="L4665" s="8" t="s">
        <v>28961</v>
      </c>
      <c r="M4665" s="6" t="s">
        <v>29009</v>
      </c>
      <c r="N4665" s="6" t="s">
        <v>75</v>
      </c>
      <c r="O4665" s="8" t="s">
        <v>76</v>
      </c>
      <c r="P4665" s="6" t="s">
        <v>28962</v>
      </c>
      <c r="Q4665" s="6" t="s">
        <v>6831</v>
      </c>
      <c r="R4665" s="6" t="s">
        <v>75</v>
      </c>
      <c r="S4665" s="8" t="s">
        <v>28963</v>
      </c>
      <c r="T4665" s="6" t="s">
        <v>66</v>
      </c>
      <c r="U4665" s="8" t="s">
        <v>31</v>
      </c>
      <c r="V4665" s="6" t="s">
        <v>29</v>
      </c>
      <c r="W4665" s="6" t="s">
        <v>28959</v>
      </c>
      <c r="X4665" s="9" t="str">
        <f>HYPERLINK("https://my.pitchbook.com?p=108515-26P","View People Online")</f>
        <v>View People Online</v>
      </c>
    </row>
    <row r="4666">
      <c r="A4666" s="2" t="s">
        <v>29010</v>
      </c>
      <c r="B4666" s="2" t="s">
        <v>29011</v>
      </c>
      <c r="C4666" s="2" t="s">
        <v>3670</v>
      </c>
      <c r="D4666" s="2" t="s">
        <v>20772</v>
      </c>
      <c r="E4666" s="2" t="s">
        <v>28959</v>
      </c>
      <c r="F4666" s="2" t="s">
        <v>502</v>
      </c>
      <c r="G4666" s="2" t="s">
        <v>29012</v>
      </c>
      <c r="H4666" s="3" t="s">
        <v>31</v>
      </c>
      <c r="I4666" s="3">
        <v>1.0</v>
      </c>
      <c r="J4666" s="3">
        <v>1.0</v>
      </c>
      <c r="K4666" s="3" t="s">
        <v>31</v>
      </c>
      <c r="L4666" s="4" t="s">
        <v>28961</v>
      </c>
      <c r="M4666" s="2" t="s">
        <v>29013</v>
      </c>
      <c r="N4666" s="2" t="s">
        <v>75</v>
      </c>
      <c r="O4666" s="4" t="s">
        <v>76</v>
      </c>
      <c r="P4666" s="2" t="s">
        <v>28962</v>
      </c>
      <c r="Q4666" s="2" t="s">
        <v>6831</v>
      </c>
      <c r="R4666" s="2" t="s">
        <v>75</v>
      </c>
      <c r="S4666" s="4" t="s">
        <v>28963</v>
      </c>
      <c r="T4666" s="2" t="s">
        <v>66</v>
      </c>
      <c r="U4666" s="4" t="s">
        <v>31</v>
      </c>
      <c r="V4666" s="2" t="s">
        <v>29014</v>
      </c>
      <c r="W4666" s="2" t="s">
        <v>28959</v>
      </c>
      <c r="X4666" s="5" t="str">
        <f>HYPERLINK("https://my.pitchbook.com?p=203611-15P","View People Online")</f>
        <v>View People Online</v>
      </c>
    </row>
    <row r="4667">
      <c r="A4667" s="6" t="s">
        <v>29015</v>
      </c>
      <c r="B4667" s="6" t="s">
        <v>29016</v>
      </c>
      <c r="C4667" s="6" t="s">
        <v>29017</v>
      </c>
      <c r="D4667" s="6" t="s">
        <v>29018</v>
      </c>
      <c r="E4667" s="6" t="s">
        <v>28959</v>
      </c>
      <c r="F4667" s="6" t="s">
        <v>318</v>
      </c>
      <c r="G4667" s="6" t="s">
        <v>29019</v>
      </c>
      <c r="H4667" s="7" t="s">
        <v>31</v>
      </c>
      <c r="I4667" s="7">
        <v>2.0</v>
      </c>
      <c r="J4667" s="7">
        <v>1.0</v>
      </c>
      <c r="K4667" s="7">
        <v>1.0</v>
      </c>
      <c r="L4667" s="8" t="s">
        <v>28961</v>
      </c>
      <c r="M4667" s="6" t="s">
        <v>29020</v>
      </c>
      <c r="N4667" s="6" t="s">
        <v>75</v>
      </c>
      <c r="O4667" s="8" t="s">
        <v>76</v>
      </c>
      <c r="P4667" s="6" t="s">
        <v>28962</v>
      </c>
      <c r="Q4667" s="6" t="s">
        <v>6831</v>
      </c>
      <c r="R4667" s="6" t="s">
        <v>75</v>
      </c>
      <c r="S4667" s="8" t="s">
        <v>28963</v>
      </c>
      <c r="T4667" s="6" t="s">
        <v>66</v>
      </c>
      <c r="U4667" s="8" t="s">
        <v>31</v>
      </c>
      <c r="V4667" s="6" t="s">
        <v>318</v>
      </c>
      <c r="W4667" s="6" t="s">
        <v>28959</v>
      </c>
      <c r="X4667" s="9" t="str">
        <f>HYPERLINK("https://my.pitchbook.com?p=319083-40P","View People Online")</f>
        <v>View People Online</v>
      </c>
    </row>
    <row r="4668">
      <c r="A4668" s="10" t="s">
        <v>29021</v>
      </c>
      <c r="B4668" s="10" t="s">
        <v>29022</v>
      </c>
      <c r="C4668" s="10" t="s">
        <v>29023</v>
      </c>
      <c r="D4668" s="10" t="s">
        <v>29024</v>
      </c>
      <c r="E4668" s="10" t="s">
        <v>28959</v>
      </c>
      <c r="F4668" s="10" t="s">
        <v>270</v>
      </c>
      <c r="G4668" s="10" t="s">
        <v>29025</v>
      </c>
      <c r="H4668" s="11" t="s">
        <v>31</v>
      </c>
      <c r="I4668" s="11">
        <v>1.0</v>
      </c>
      <c r="J4668" s="11">
        <v>1.0</v>
      </c>
      <c r="K4668" s="11" t="s">
        <v>31</v>
      </c>
      <c r="L4668" s="12" t="s">
        <v>28961</v>
      </c>
      <c r="M4668" s="10" t="s">
        <v>29026</v>
      </c>
      <c r="N4668" s="10" t="s">
        <v>75</v>
      </c>
      <c r="O4668" s="12" t="s">
        <v>76</v>
      </c>
      <c r="P4668" s="10" t="s">
        <v>28962</v>
      </c>
      <c r="Q4668" s="10" t="s">
        <v>6831</v>
      </c>
      <c r="R4668" s="10" t="s">
        <v>75</v>
      </c>
      <c r="S4668" s="12" t="s">
        <v>28963</v>
      </c>
      <c r="T4668" s="10" t="s">
        <v>66</v>
      </c>
      <c r="U4668" s="12" t="s">
        <v>31</v>
      </c>
      <c r="V4668" s="10" t="s">
        <v>662</v>
      </c>
      <c r="W4668" s="10" t="s">
        <v>28959</v>
      </c>
      <c r="X4668" s="13" t="str">
        <f>HYPERLINK("https://my.pitchbook.com?p=445598-20P","View People Online")</f>
        <v>View People Online</v>
      </c>
    </row>
    <row r="4669">
      <c r="A4669" s="14" t="s">
        <v>29027</v>
      </c>
      <c r="B4669" s="14" t="s">
        <v>29028</v>
      </c>
      <c r="C4669" s="14" t="s">
        <v>3554</v>
      </c>
      <c r="D4669" s="14" t="s">
        <v>28476</v>
      </c>
      <c r="E4669" s="14" t="s">
        <v>28959</v>
      </c>
      <c r="F4669" s="14" t="s">
        <v>270</v>
      </c>
      <c r="G4669" s="14" t="s">
        <v>29029</v>
      </c>
      <c r="H4669" s="15" t="s">
        <v>31</v>
      </c>
      <c r="I4669" s="15">
        <v>1.0</v>
      </c>
      <c r="J4669" s="15">
        <v>1.0</v>
      </c>
      <c r="K4669" s="15" t="s">
        <v>31</v>
      </c>
      <c r="L4669" s="16" t="s">
        <v>28961</v>
      </c>
      <c r="M4669" s="14" t="s">
        <v>31</v>
      </c>
      <c r="N4669" s="14" t="s">
        <v>75</v>
      </c>
      <c r="O4669" s="16" t="s">
        <v>76</v>
      </c>
      <c r="P4669" s="14" t="s">
        <v>28962</v>
      </c>
      <c r="Q4669" s="14" t="s">
        <v>6831</v>
      </c>
      <c r="R4669" s="14" t="s">
        <v>75</v>
      </c>
      <c r="S4669" s="16" t="s">
        <v>28963</v>
      </c>
      <c r="T4669" s="14" t="s">
        <v>66</v>
      </c>
      <c r="U4669" s="16" t="s">
        <v>31</v>
      </c>
      <c r="V4669" s="14" t="s">
        <v>440</v>
      </c>
      <c r="W4669" s="14" t="s">
        <v>28959</v>
      </c>
      <c r="X4669" s="17" t="str">
        <f>HYPERLINK("https://my.pitchbook.com?p=445600-09P","View People Online")</f>
        <v>View People Online</v>
      </c>
    </row>
    <row r="4670">
      <c r="A4670" s="10" t="s">
        <v>29030</v>
      </c>
      <c r="B4670" s="10" t="s">
        <v>29031</v>
      </c>
      <c r="C4670" s="10" t="s">
        <v>26641</v>
      </c>
      <c r="D4670" s="10" t="s">
        <v>29032</v>
      </c>
      <c r="E4670" s="10" t="s">
        <v>28959</v>
      </c>
      <c r="F4670" s="10" t="s">
        <v>29</v>
      </c>
      <c r="G4670" s="10" t="s">
        <v>29033</v>
      </c>
      <c r="H4670" s="11">
        <v>1.0</v>
      </c>
      <c r="I4670" s="11">
        <v>2.0</v>
      </c>
      <c r="J4670" s="11">
        <v>1.0</v>
      </c>
      <c r="K4670" s="11" t="s">
        <v>31</v>
      </c>
      <c r="L4670" s="12" t="s">
        <v>28961</v>
      </c>
      <c r="M4670" s="10" t="s">
        <v>29034</v>
      </c>
      <c r="N4670" s="10" t="s">
        <v>75</v>
      </c>
      <c r="O4670" s="12" t="s">
        <v>76</v>
      </c>
      <c r="P4670" s="10" t="s">
        <v>28962</v>
      </c>
      <c r="Q4670" s="10" t="s">
        <v>6831</v>
      </c>
      <c r="R4670" s="10" t="s">
        <v>75</v>
      </c>
      <c r="S4670" s="12" t="s">
        <v>28963</v>
      </c>
      <c r="T4670" s="10" t="s">
        <v>66</v>
      </c>
      <c r="U4670" s="12" t="s">
        <v>31</v>
      </c>
      <c r="V4670" s="10" t="s">
        <v>29</v>
      </c>
      <c r="W4670" s="10" t="s">
        <v>28959</v>
      </c>
      <c r="X4670" s="13" t="str">
        <f>HYPERLINK("https://my.pitchbook.com?p=144073-63P","View People Online")</f>
        <v>View People Online</v>
      </c>
    </row>
    <row r="4671">
      <c r="A4671" s="6" t="s">
        <v>29035</v>
      </c>
      <c r="B4671" s="6" t="s">
        <v>29036</v>
      </c>
      <c r="C4671" s="6" t="s">
        <v>382</v>
      </c>
      <c r="D4671" s="6" t="s">
        <v>29037</v>
      </c>
      <c r="E4671" s="6" t="s">
        <v>28959</v>
      </c>
      <c r="F4671" s="6" t="s">
        <v>1624</v>
      </c>
      <c r="G4671" s="6" t="s">
        <v>29038</v>
      </c>
      <c r="H4671" s="7" t="s">
        <v>31</v>
      </c>
      <c r="I4671" s="7">
        <v>1.0</v>
      </c>
      <c r="J4671" s="7">
        <v>1.0</v>
      </c>
      <c r="K4671" s="7" t="s">
        <v>31</v>
      </c>
      <c r="L4671" s="8" t="s">
        <v>28961</v>
      </c>
      <c r="M4671" s="6" t="s">
        <v>29039</v>
      </c>
      <c r="N4671" s="6" t="s">
        <v>75</v>
      </c>
      <c r="O4671" s="8" t="s">
        <v>76</v>
      </c>
      <c r="P4671" s="6" t="s">
        <v>28962</v>
      </c>
      <c r="Q4671" s="6" t="s">
        <v>6831</v>
      </c>
      <c r="R4671" s="6" t="s">
        <v>75</v>
      </c>
      <c r="S4671" s="8" t="s">
        <v>28963</v>
      </c>
      <c r="T4671" s="6" t="s">
        <v>66</v>
      </c>
      <c r="U4671" s="8" t="s">
        <v>31</v>
      </c>
      <c r="V4671" s="6" t="s">
        <v>1627</v>
      </c>
      <c r="W4671" s="6" t="s">
        <v>28959</v>
      </c>
      <c r="X4671" s="9" t="str">
        <f>HYPERLINK("https://my.pitchbook.com?p=203611-51P","View People Online")</f>
        <v>View People Online</v>
      </c>
    </row>
    <row r="4672">
      <c r="A4672" s="2" t="s">
        <v>29040</v>
      </c>
      <c r="B4672" s="2" t="s">
        <v>29041</v>
      </c>
      <c r="C4672" s="2" t="s">
        <v>1824</v>
      </c>
      <c r="D4672" s="2" t="s">
        <v>29042</v>
      </c>
      <c r="E4672" s="2" t="s">
        <v>28959</v>
      </c>
      <c r="F4672" s="2" t="s">
        <v>29</v>
      </c>
      <c r="G4672" s="2" t="s">
        <v>29043</v>
      </c>
      <c r="H4672" s="3">
        <v>5.0</v>
      </c>
      <c r="I4672" s="3">
        <v>15.0</v>
      </c>
      <c r="J4672" s="3">
        <v>2.0</v>
      </c>
      <c r="K4672" s="3">
        <v>8.0</v>
      </c>
      <c r="L4672" s="4" t="s">
        <v>28961</v>
      </c>
      <c r="M4672" s="2" t="s">
        <v>29044</v>
      </c>
      <c r="N4672" s="2" t="s">
        <v>75</v>
      </c>
      <c r="O4672" s="4" t="s">
        <v>76</v>
      </c>
      <c r="P4672" s="2" t="s">
        <v>28962</v>
      </c>
      <c r="Q4672" s="2" t="s">
        <v>6831</v>
      </c>
      <c r="R4672" s="2" t="s">
        <v>75</v>
      </c>
      <c r="S4672" s="4" t="s">
        <v>28963</v>
      </c>
      <c r="T4672" s="2" t="s">
        <v>66</v>
      </c>
      <c r="U4672" s="4" t="s">
        <v>31</v>
      </c>
      <c r="V4672" s="2" t="s">
        <v>29</v>
      </c>
      <c r="W4672" s="2" t="s">
        <v>28959</v>
      </c>
      <c r="X4672" s="5" t="str">
        <f>HYPERLINK("https://my.pitchbook.com?p=166399-84P","View People Online")</f>
        <v>View People Online</v>
      </c>
    </row>
    <row r="4673">
      <c r="A4673" s="14" t="s">
        <v>29045</v>
      </c>
      <c r="B4673" s="14" t="s">
        <v>29046</v>
      </c>
      <c r="C4673" s="14" t="s">
        <v>29047</v>
      </c>
      <c r="D4673" s="14" t="s">
        <v>29048</v>
      </c>
      <c r="E4673" s="14" t="s">
        <v>28959</v>
      </c>
      <c r="F4673" s="14" t="s">
        <v>270</v>
      </c>
      <c r="G4673" s="14" t="s">
        <v>31</v>
      </c>
      <c r="H4673" s="15" t="s">
        <v>31</v>
      </c>
      <c r="I4673" s="15">
        <v>1.0</v>
      </c>
      <c r="J4673" s="15">
        <v>1.0</v>
      </c>
      <c r="K4673" s="15" t="s">
        <v>31</v>
      </c>
      <c r="L4673" s="16" t="s">
        <v>28961</v>
      </c>
      <c r="M4673" s="14" t="s">
        <v>29049</v>
      </c>
      <c r="N4673" s="14" t="s">
        <v>75</v>
      </c>
      <c r="O4673" s="16" t="s">
        <v>76</v>
      </c>
      <c r="P4673" s="14" t="s">
        <v>28962</v>
      </c>
      <c r="Q4673" s="14" t="s">
        <v>6831</v>
      </c>
      <c r="R4673" s="14" t="s">
        <v>75</v>
      </c>
      <c r="S4673" s="16" t="s">
        <v>28963</v>
      </c>
      <c r="T4673" s="14" t="s">
        <v>66</v>
      </c>
      <c r="U4673" s="16" t="s">
        <v>31</v>
      </c>
      <c r="V4673" s="14" t="s">
        <v>440</v>
      </c>
      <c r="W4673" s="14" t="s">
        <v>28959</v>
      </c>
      <c r="X4673" s="17" t="str">
        <f>HYPERLINK("https://my.pitchbook.com?p=354504-79P","View People Online")</f>
        <v>View People Online</v>
      </c>
    </row>
    <row r="4674">
      <c r="A4674" s="2" t="s">
        <v>29050</v>
      </c>
      <c r="B4674" s="2" t="s">
        <v>29051</v>
      </c>
      <c r="C4674" s="2" t="s">
        <v>1929</v>
      </c>
      <c r="D4674" s="2" t="s">
        <v>9782</v>
      </c>
      <c r="E4674" s="2" t="s">
        <v>29052</v>
      </c>
      <c r="F4674" s="2" t="s">
        <v>4527</v>
      </c>
      <c r="G4674" s="2" t="s">
        <v>29053</v>
      </c>
      <c r="H4674" s="3">
        <v>1.0</v>
      </c>
      <c r="I4674" s="3">
        <v>18.0</v>
      </c>
      <c r="J4674" s="3">
        <v>1.0</v>
      </c>
      <c r="K4674" s="3">
        <v>17.0</v>
      </c>
      <c r="L4674" s="4" t="s">
        <v>31</v>
      </c>
      <c r="M4674" s="2" t="s">
        <v>29054</v>
      </c>
      <c r="N4674" s="2" t="s">
        <v>11029</v>
      </c>
      <c r="O4674" s="4" t="s">
        <v>11030</v>
      </c>
      <c r="P4674" s="2" t="s">
        <v>29055</v>
      </c>
      <c r="Q4674" s="2" t="s">
        <v>29056</v>
      </c>
      <c r="R4674" s="2" t="s">
        <v>10017</v>
      </c>
      <c r="S4674" s="4" t="s">
        <v>13843</v>
      </c>
      <c r="T4674" s="2" t="s">
        <v>66</v>
      </c>
      <c r="U4674" s="4" t="s">
        <v>31</v>
      </c>
      <c r="V4674" s="2" t="s">
        <v>6811</v>
      </c>
      <c r="W4674" s="2" t="s">
        <v>29052</v>
      </c>
      <c r="X4674" s="5" t="str">
        <f>HYPERLINK("https://my.pitchbook.com?p=15175-81P","View People Online")</f>
        <v>View People Online</v>
      </c>
    </row>
    <row r="4675">
      <c r="A4675" s="6" t="s">
        <v>29057</v>
      </c>
      <c r="B4675" s="6" t="s">
        <v>29058</v>
      </c>
      <c r="C4675" s="6" t="s">
        <v>285</v>
      </c>
      <c r="D4675" s="6" t="s">
        <v>29059</v>
      </c>
      <c r="E4675" s="6" t="s">
        <v>29052</v>
      </c>
      <c r="F4675" s="6" t="s">
        <v>2540</v>
      </c>
      <c r="G4675" s="6" t="s">
        <v>29060</v>
      </c>
      <c r="H4675" s="7" t="s">
        <v>31</v>
      </c>
      <c r="I4675" s="7">
        <v>4.0</v>
      </c>
      <c r="J4675" s="7">
        <v>1.0</v>
      </c>
      <c r="K4675" s="7">
        <v>2.0</v>
      </c>
      <c r="L4675" s="8" t="s">
        <v>31</v>
      </c>
      <c r="M4675" s="6" t="s">
        <v>29061</v>
      </c>
      <c r="N4675" s="6" t="s">
        <v>11029</v>
      </c>
      <c r="O4675" s="8" t="s">
        <v>11030</v>
      </c>
      <c r="P4675" s="6" t="s">
        <v>29055</v>
      </c>
      <c r="Q4675" s="6" t="s">
        <v>29056</v>
      </c>
      <c r="R4675" s="6" t="s">
        <v>10017</v>
      </c>
      <c r="S4675" s="8" t="s">
        <v>13843</v>
      </c>
      <c r="T4675" s="6" t="s">
        <v>66</v>
      </c>
      <c r="U4675" s="8" t="s">
        <v>31</v>
      </c>
      <c r="V4675" s="6" t="s">
        <v>2540</v>
      </c>
      <c r="W4675" s="6" t="s">
        <v>29052</v>
      </c>
      <c r="X4675" s="9" t="str">
        <f>HYPERLINK("https://my.pitchbook.com?p=88175-26P","View People Online")</f>
        <v>View People Online</v>
      </c>
    </row>
    <row r="4676">
      <c r="A4676" s="2" t="s">
        <v>29062</v>
      </c>
      <c r="B4676" s="2" t="s">
        <v>29063</v>
      </c>
      <c r="C4676" s="2" t="s">
        <v>29064</v>
      </c>
      <c r="D4676" s="2" t="s">
        <v>29065</v>
      </c>
      <c r="E4676" s="2" t="s">
        <v>29052</v>
      </c>
      <c r="F4676" s="2" t="s">
        <v>29066</v>
      </c>
      <c r="G4676" s="2" t="s">
        <v>29067</v>
      </c>
      <c r="H4676" s="3">
        <v>1.0</v>
      </c>
      <c r="I4676" s="3">
        <v>3.0</v>
      </c>
      <c r="J4676" s="3">
        <v>1.0</v>
      </c>
      <c r="K4676" s="3">
        <v>1.0</v>
      </c>
      <c r="L4676" s="4" t="s">
        <v>31</v>
      </c>
      <c r="M4676" s="2" t="s">
        <v>31</v>
      </c>
      <c r="N4676" s="2" t="s">
        <v>11029</v>
      </c>
      <c r="O4676" s="4" t="s">
        <v>11030</v>
      </c>
      <c r="P4676" s="2" t="s">
        <v>29055</v>
      </c>
      <c r="Q4676" s="2" t="s">
        <v>29056</v>
      </c>
      <c r="R4676" s="2" t="s">
        <v>10017</v>
      </c>
      <c r="S4676" s="4" t="s">
        <v>13843</v>
      </c>
      <c r="T4676" s="2" t="s">
        <v>66</v>
      </c>
      <c r="U4676" s="4" t="s">
        <v>31</v>
      </c>
      <c r="V4676" s="2" t="s">
        <v>29068</v>
      </c>
      <c r="W4676" s="2" t="s">
        <v>29052</v>
      </c>
      <c r="X4676" s="5" t="str">
        <f>HYPERLINK("https://my.pitchbook.com?p=89857-81P","View People Online")</f>
        <v>View People Online</v>
      </c>
    </row>
    <row r="4677">
      <c r="A4677" s="14" t="s">
        <v>29069</v>
      </c>
      <c r="B4677" s="14" t="s">
        <v>29070</v>
      </c>
      <c r="C4677" s="14" t="s">
        <v>69</v>
      </c>
      <c r="D4677" s="14" t="s">
        <v>29071</v>
      </c>
      <c r="E4677" s="14" t="s">
        <v>29052</v>
      </c>
      <c r="F4677" s="14" t="s">
        <v>7930</v>
      </c>
      <c r="G4677" s="14" t="s">
        <v>29072</v>
      </c>
      <c r="H4677" s="15" t="s">
        <v>31</v>
      </c>
      <c r="I4677" s="15">
        <v>1.0</v>
      </c>
      <c r="J4677" s="15">
        <v>1.0</v>
      </c>
      <c r="K4677" s="15" t="s">
        <v>31</v>
      </c>
      <c r="L4677" s="16" t="s">
        <v>31</v>
      </c>
      <c r="M4677" s="14" t="s">
        <v>29073</v>
      </c>
      <c r="N4677" s="14" t="s">
        <v>11029</v>
      </c>
      <c r="O4677" s="16" t="s">
        <v>11030</v>
      </c>
      <c r="P4677" s="14" t="s">
        <v>29055</v>
      </c>
      <c r="Q4677" s="14" t="s">
        <v>29056</v>
      </c>
      <c r="R4677" s="14" t="s">
        <v>10017</v>
      </c>
      <c r="S4677" s="16" t="s">
        <v>13843</v>
      </c>
      <c r="T4677" s="14" t="s">
        <v>66</v>
      </c>
      <c r="U4677" s="16" t="s">
        <v>31</v>
      </c>
      <c r="V4677" s="14" t="s">
        <v>29074</v>
      </c>
      <c r="W4677" s="14" t="s">
        <v>29052</v>
      </c>
      <c r="X4677" s="17" t="str">
        <f>HYPERLINK("https://my.pitchbook.com?p=160164-64P","View People Online")</f>
        <v>View People Online</v>
      </c>
    </row>
    <row r="4678">
      <c r="A4678" s="10" t="s">
        <v>29075</v>
      </c>
      <c r="B4678" s="10" t="s">
        <v>28998</v>
      </c>
      <c r="C4678" s="10" t="s">
        <v>1449</v>
      </c>
      <c r="D4678" s="10" t="s">
        <v>200</v>
      </c>
      <c r="E4678" s="10" t="s">
        <v>29052</v>
      </c>
      <c r="F4678" s="10" t="s">
        <v>29076</v>
      </c>
      <c r="G4678" s="10" t="s">
        <v>29077</v>
      </c>
      <c r="H4678" s="11">
        <v>3.0</v>
      </c>
      <c r="I4678" s="11">
        <v>4.0</v>
      </c>
      <c r="J4678" s="11">
        <v>1.0</v>
      </c>
      <c r="K4678" s="11" t="s">
        <v>31</v>
      </c>
      <c r="L4678" s="12" t="s">
        <v>31</v>
      </c>
      <c r="M4678" s="10" t="s">
        <v>31</v>
      </c>
      <c r="N4678" s="10" t="s">
        <v>11029</v>
      </c>
      <c r="O4678" s="12" t="s">
        <v>11030</v>
      </c>
      <c r="P4678" s="10" t="s">
        <v>29055</v>
      </c>
      <c r="Q4678" s="10" t="s">
        <v>29056</v>
      </c>
      <c r="R4678" s="10" t="s">
        <v>10017</v>
      </c>
      <c r="S4678" s="12" t="s">
        <v>13843</v>
      </c>
      <c r="T4678" s="10" t="s">
        <v>66</v>
      </c>
      <c r="U4678" s="12" t="s">
        <v>31</v>
      </c>
      <c r="V4678" s="10" t="s">
        <v>29078</v>
      </c>
      <c r="W4678" s="10" t="s">
        <v>29052</v>
      </c>
      <c r="X4678" s="13" t="str">
        <f>HYPERLINK("https://my.pitchbook.com?p=146318-23P","View People Online")</f>
        <v>View People Online</v>
      </c>
    </row>
    <row r="4679">
      <c r="A4679" s="14" t="s">
        <v>29079</v>
      </c>
      <c r="B4679" s="14" t="s">
        <v>29080</v>
      </c>
      <c r="C4679" s="14" t="s">
        <v>1449</v>
      </c>
      <c r="D4679" s="14" t="s">
        <v>29081</v>
      </c>
      <c r="E4679" s="14" t="s">
        <v>29052</v>
      </c>
      <c r="F4679" s="14" t="s">
        <v>312</v>
      </c>
      <c r="G4679" s="14" t="s">
        <v>29082</v>
      </c>
      <c r="H4679" s="15" t="s">
        <v>31</v>
      </c>
      <c r="I4679" s="15">
        <v>4.0</v>
      </c>
      <c r="J4679" s="15">
        <v>2.0</v>
      </c>
      <c r="K4679" s="15">
        <v>2.0</v>
      </c>
      <c r="L4679" s="16" t="s">
        <v>31</v>
      </c>
      <c r="M4679" s="14" t="s">
        <v>29083</v>
      </c>
      <c r="N4679" s="14" t="s">
        <v>11029</v>
      </c>
      <c r="O4679" s="16" t="s">
        <v>11030</v>
      </c>
      <c r="P4679" s="14" t="s">
        <v>29055</v>
      </c>
      <c r="Q4679" s="14" t="s">
        <v>29056</v>
      </c>
      <c r="R4679" s="14" t="s">
        <v>10017</v>
      </c>
      <c r="S4679" s="16" t="s">
        <v>13843</v>
      </c>
      <c r="T4679" s="14" t="s">
        <v>66</v>
      </c>
      <c r="U4679" s="16" t="s">
        <v>31</v>
      </c>
      <c r="V4679" s="14" t="s">
        <v>29084</v>
      </c>
      <c r="W4679" s="14" t="s">
        <v>29052</v>
      </c>
      <c r="X4679" s="17" t="str">
        <f>HYPERLINK("https://my.pitchbook.com?p=438242-23P","View People Online")</f>
        <v>View People Online</v>
      </c>
    </row>
    <row r="4680">
      <c r="A4680" s="2" t="s">
        <v>29085</v>
      </c>
      <c r="B4680" s="2" t="s">
        <v>29086</v>
      </c>
      <c r="C4680" s="2" t="s">
        <v>3529</v>
      </c>
      <c r="D4680" s="2" t="s">
        <v>29087</v>
      </c>
      <c r="E4680" s="2" t="s">
        <v>29052</v>
      </c>
      <c r="F4680" s="2" t="s">
        <v>502</v>
      </c>
      <c r="G4680" s="2" t="s">
        <v>29088</v>
      </c>
      <c r="H4680" s="3" t="s">
        <v>31</v>
      </c>
      <c r="I4680" s="3">
        <v>1.0</v>
      </c>
      <c r="J4680" s="3">
        <v>1.0</v>
      </c>
      <c r="K4680" s="3" t="s">
        <v>31</v>
      </c>
      <c r="L4680" s="4" t="s">
        <v>31</v>
      </c>
      <c r="M4680" s="2" t="s">
        <v>29089</v>
      </c>
      <c r="N4680" s="2" t="s">
        <v>11029</v>
      </c>
      <c r="O4680" s="4" t="s">
        <v>11030</v>
      </c>
      <c r="P4680" s="2" t="s">
        <v>29055</v>
      </c>
      <c r="Q4680" s="2" t="s">
        <v>29056</v>
      </c>
      <c r="R4680" s="2" t="s">
        <v>10017</v>
      </c>
      <c r="S4680" s="4" t="s">
        <v>13843</v>
      </c>
      <c r="T4680" s="2" t="s">
        <v>66</v>
      </c>
      <c r="U4680" s="4" t="s">
        <v>31</v>
      </c>
      <c r="V4680" s="2" t="s">
        <v>502</v>
      </c>
      <c r="W4680" s="2" t="s">
        <v>29052</v>
      </c>
      <c r="X4680" s="5" t="str">
        <f>HYPERLINK("https://my.pitchbook.com?p=288320-59P","View People Online")</f>
        <v>View People Online</v>
      </c>
    </row>
    <row r="4681">
      <c r="A4681" s="14" t="s">
        <v>29090</v>
      </c>
      <c r="B4681" s="14" t="s">
        <v>29091</v>
      </c>
      <c r="C4681" s="14" t="s">
        <v>4404</v>
      </c>
      <c r="D4681" s="14" t="s">
        <v>17919</v>
      </c>
      <c r="E4681" s="14" t="s">
        <v>29052</v>
      </c>
      <c r="F4681" s="14" t="s">
        <v>270</v>
      </c>
      <c r="G4681" s="14" t="s">
        <v>29092</v>
      </c>
      <c r="H4681" s="15" t="s">
        <v>31</v>
      </c>
      <c r="I4681" s="15">
        <v>1.0</v>
      </c>
      <c r="J4681" s="15">
        <v>1.0</v>
      </c>
      <c r="K4681" s="15" t="s">
        <v>31</v>
      </c>
      <c r="L4681" s="16" t="s">
        <v>31</v>
      </c>
      <c r="M4681" s="14" t="s">
        <v>29093</v>
      </c>
      <c r="N4681" s="14" t="s">
        <v>11029</v>
      </c>
      <c r="O4681" s="16" t="s">
        <v>11030</v>
      </c>
      <c r="P4681" s="14" t="s">
        <v>29055</v>
      </c>
      <c r="Q4681" s="14" t="s">
        <v>29056</v>
      </c>
      <c r="R4681" s="14" t="s">
        <v>10017</v>
      </c>
      <c r="S4681" s="16" t="s">
        <v>13843</v>
      </c>
      <c r="T4681" s="14" t="s">
        <v>66</v>
      </c>
      <c r="U4681" s="16" t="s">
        <v>31</v>
      </c>
      <c r="V4681" s="14" t="s">
        <v>29094</v>
      </c>
      <c r="W4681" s="14" t="s">
        <v>29052</v>
      </c>
      <c r="X4681" s="17" t="str">
        <f>HYPERLINK("https://my.pitchbook.com?p=224016-85P","View People Online")</f>
        <v>View People Online</v>
      </c>
    </row>
    <row r="4682">
      <c r="A4682" s="10" t="s">
        <v>29095</v>
      </c>
      <c r="B4682" s="10" t="s">
        <v>29096</v>
      </c>
      <c r="C4682" s="10" t="s">
        <v>126</v>
      </c>
      <c r="D4682" s="10" t="s">
        <v>29097</v>
      </c>
      <c r="E4682" s="10" t="s">
        <v>29052</v>
      </c>
      <c r="F4682" s="10" t="s">
        <v>583</v>
      </c>
      <c r="G4682" s="10" t="s">
        <v>29098</v>
      </c>
      <c r="H4682" s="11">
        <v>2.0</v>
      </c>
      <c r="I4682" s="11">
        <v>4.0</v>
      </c>
      <c r="J4682" s="11">
        <v>2.0</v>
      </c>
      <c r="K4682" s="11" t="s">
        <v>31</v>
      </c>
      <c r="L4682" s="12" t="s">
        <v>31</v>
      </c>
      <c r="M4682" s="10" t="s">
        <v>31</v>
      </c>
      <c r="N4682" s="10" t="s">
        <v>11029</v>
      </c>
      <c r="O4682" s="12" t="s">
        <v>11030</v>
      </c>
      <c r="P4682" s="10" t="s">
        <v>29055</v>
      </c>
      <c r="Q4682" s="10" t="s">
        <v>29056</v>
      </c>
      <c r="R4682" s="10" t="s">
        <v>10017</v>
      </c>
      <c r="S4682" s="12" t="s">
        <v>13843</v>
      </c>
      <c r="T4682" s="10" t="s">
        <v>66</v>
      </c>
      <c r="U4682" s="12" t="s">
        <v>31</v>
      </c>
      <c r="V4682" s="10" t="s">
        <v>29099</v>
      </c>
      <c r="W4682" s="10" t="s">
        <v>29052</v>
      </c>
      <c r="X4682" s="13" t="str">
        <f>HYPERLINK("https://my.pitchbook.com?p=17896-06P","View People Online")</f>
        <v>View People Online</v>
      </c>
    </row>
    <row r="4683">
      <c r="A4683" s="14" t="s">
        <v>29100</v>
      </c>
      <c r="B4683" s="14" t="s">
        <v>29101</v>
      </c>
      <c r="C4683" s="14" t="s">
        <v>934</v>
      </c>
      <c r="D4683" s="14" t="s">
        <v>29102</v>
      </c>
      <c r="E4683" s="14" t="s">
        <v>29052</v>
      </c>
      <c r="F4683" s="14" t="s">
        <v>713</v>
      </c>
      <c r="G4683" s="14" t="s">
        <v>29103</v>
      </c>
      <c r="H4683" s="15" t="s">
        <v>31</v>
      </c>
      <c r="I4683" s="15">
        <v>1.0</v>
      </c>
      <c r="J4683" s="15">
        <v>1.0</v>
      </c>
      <c r="K4683" s="15" t="s">
        <v>31</v>
      </c>
      <c r="L4683" s="16" t="s">
        <v>31</v>
      </c>
      <c r="M4683" s="14" t="s">
        <v>29104</v>
      </c>
      <c r="N4683" s="14" t="s">
        <v>11029</v>
      </c>
      <c r="O4683" s="16" t="s">
        <v>11030</v>
      </c>
      <c r="P4683" s="14" t="s">
        <v>29055</v>
      </c>
      <c r="Q4683" s="14" t="s">
        <v>29056</v>
      </c>
      <c r="R4683" s="14" t="s">
        <v>10017</v>
      </c>
      <c r="S4683" s="16" t="s">
        <v>13843</v>
      </c>
      <c r="T4683" s="14" t="s">
        <v>66</v>
      </c>
      <c r="U4683" s="16" t="s">
        <v>31</v>
      </c>
      <c r="V4683" s="14" t="s">
        <v>29105</v>
      </c>
      <c r="W4683" s="14" t="s">
        <v>29052</v>
      </c>
      <c r="X4683" s="17" t="str">
        <f>HYPERLINK("https://my.pitchbook.com?p=449252-56P","View People Online")</f>
        <v>View People Online</v>
      </c>
    </row>
    <row r="4684">
      <c r="A4684" s="2" t="s">
        <v>29106</v>
      </c>
      <c r="B4684" s="2" t="s">
        <v>29107</v>
      </c>
      <c r="C4684" s="2" t="s">
        <v>6199</v>
      </c>
      <c r="D4684" s="2" t="s">
        <v>29108</v>
      </c>
      <c r="E4684" s="2" t="s">
        <v>29052</v>
      </c>
      <c r="F4684" s="2" t="s">
        <v>78</v>
      </c>
      <c r="G4684" s="2" t="s">
        <v>29109</v>
      </c>
      <c r="H4684" s="3" t="s">
        <v>31</v>
      </c>
      <c r="I4684" s="3">
        <v>1.0</v>
      </c>
      <c r="J4684" s="3">
        <v>1.0</v>
      </c>
      <c r="K4684" s="3" t="s">
        <v>31</v>
      </c>
      <c r="L4684" s="4" t="s">
        <v>31</v>
      </c>
      <c r="M4684" s="2" t="s">
        <v>29110</v>
      </c>
      <c r="N4684" s="2" t="s">
        <v>11029</v>
      </c>
      <c r="O4684" s="4" t="s">
        <v>11030</v>
      </c>
      <c r="P4684" s="2" t="s">
        <v>29055</v>
      </c>
      <c r="Q4684" s="2" t="s">
        <v>29056</v>
      </c>
      <c r="R4684" s="2" t="s">
        <v>10017</v>
      </c>
      <c r="S4684" s="4" t="s">
        <v>13843</v>
      </c>
      <c r="T4684" s="2" t="s">
        <v>66</v>
      </c>
      <c r="U4684" s="4" t="s">
        <v>31</v>
      </c>
      <c r="V4684" s="2" t="s">
        <v>78</v>
      </c>
      <c r="W4684" s="2" t="s">
        <v>29052</v>
      </c>
      <c r="X4684" s="5" t="str">
        <f>HYPERLINK("https://my.pitchbook.com?p=431137-63P","View People Online")</f>
        <v>View People Online</v>
      </c>
    </row>
    <row r="4685">
      <c r="A4685" s="14" t="s">
        <v>29111</v>
      </c>
      <c r="B4685" s="14" t="s">
        <v>29112</v>
      </c>
      <c r="C4685" s="14" t="s">
        <v>562</v>
      </c>
      <c r="D4685" s="14" t="s">
        <v>1672</v>
      </c>
      <c r="E4685" s="14" t="s">
        <v>29052</v>
      </c>
      <c r="F4685" s="14" t="s">
        <v>29113</v>
      </c>
      <c r="G4685" s="14" t="s">
        <v>29114</v>
      </c>
      <c r="H4685" s="15">
        <v>1.0</v>
      </c>
      <c r="I4685" s="15">
        <v>5.0</v>
      </c>
      <c r="J4685" s="15">
        <v>1.0</v>
      </c>
      <c r="K4685" s="15">
        <v>3.0</v>
      </c>
      <c r="L4685" s="16" t="s">
        <v>29115</v>
      </c>
      <c r="M4685" s="14" t="s">
        <v>29116</v>
      </c>
      <c r="N4685" s="14" t="s">
        <v>11029</v>
      </c>
      <c r="O4685" s="16" t="s">
        <v>11030</v>
      </c>
      <c r="P4685" s="14" t="s">
        <v>29055</v>
      </c>
      <c r="Q4685" s="14" t="s">
        <v>29056</v>
      </c>
      <c r="R4685" s="14" t="s">
        <v>10017</v>
      </c>
      <c r="S4685" s="16" t="s">
        <v>13843</v>
      </c>
      <c r="T4685" s="14" t="s">
        <v>66</v>
      </c>
      <c r="U4685" s="16" t="s">
        <v>29117</v>
      </c>
      <c r="V4685" s="14" t="s">
        <v>29113</v>
      </c>
      <c r="W4685" s="14" t="s">
        <v>29052</v>
      </c>
      <c r="X4685" s="17" t="str">
        <f>HYPERLINK("https://my.pitchbook.com?p=29278-18P","View People Online")</f>
        <v>View People Online</v>
      </c>
    </row>
    <row r="4686">
      <c r="A4686" s="10" t="s">
        <v>29118</v>
      </c>
      <c r="B4686" s="10" t="s">
        <v>29119</v>
      </c>
      <c r="C4686" s="10" t="s">
        <v>29120</v>
      </c>
      <c r="D4686" s="10" t="s">
        <v>29121</v>
      </c>
      <c r="E4686" s="10" t="s">
        <v>29122</v>
      </c>
      <c r="F4686" s="10" t="s">
        <v>114</v>
      </c>
      <c r="G4686" s="10" t="s">
        <v>29123</v>
      </c>
      <c r="H4686" s="11" t="s">
        <v>31</v>
      </c>
      <c r="I4686" s="11">
        <v>1.0</v>
      </c>
      <c r="J4686" s="11">
        <v>1.0</v>
      </c>
      <c r="K4686" s="11" t="s">
        <v>31</v>
      </c>
      <c r="L4686" s="12" t="s">
        <v>31</v>
      </c>
      <c r="M4686" s="10" t="s">
        <v>31</v>
      </c>
      <c r="N4686" s="10" t="s">
        <v>1181</v>
      </c>
      <c r="O4686" s="12" t="s">
        <v>1182</v>
      </c>
      <c r="P4686" s="10" t="s">
        <v>29124</v>
      </c>
      <c r="Q4686" s="10" t="s">
        <v>29125</v>
      </c>
      <c r="R4686" s="10" t="s">
        <v>1185</v>
      </c>
      <c r="S4686" s="12" t="s">
        <v>1186</v>
      </c>
      <c r="T4686" s="10" t="s">
        <v>66</v>
      </c>
      <c r="U4686" s="12" t="s">
        <v>31</v>
      </c>
      <c r="V4686" s="10" t="s">
        <v>114</v>
      </c>
      <c r="W4686" s="10" t="s">
        <v>29122</v>
      </c>
      <c r="X4686" s="13" t="str">
        <f>HYPERLINK("https://my.pitchbook.com?p=65217-88P","View People Online")</f>
        <v>View People Online</v>
      </c>
    </row>
    <row r="4687">
      <c r="A4687" s="6" t="s">
        <v>29126</v>
      </c>
      <c r="B4687" s="6" t="s">
        <v>29127</v>
      </c>
      <c r="C4687" s="6" t="s">
        <v>1410</v>
      </c>
      <c r="D4687" s="6" t="s">
        <v>119</v>
      </c>
      <c r="E4687" s="6" t="s">
        <v>29122</v>
      </c>
      <c r="F4687" s="6" t="s">
        <v>114</v>
      </c>
      <c r="G4687" s="6" t="s">
        <v>29128</v>
      </c>
      <c r="H4687" s="7" t="s">
        <v>31</v>
      </c>
      <c r="I4687" s="7">
        <v>1.0</v>
      </c>
      <c r="J4687" s="7">
        <v>1.0</v>
      </c>
      <c r="K4687" s="7" t="s">
        <v>31</v>
      </c>
      <c r="L4687" s="8" t="s">
        <v>31</v>
      </c>
      <c r="M4687" s="6" t="s">
        <v>31</v>
      </c>
      <c r="N4687" s="6" t="s">
        <v>1181</v>
      </c>
      <c r="O4687" s="8" t="s">
        <v>1182</v>
      </c>
      <c r="P4687" s="6" t="s">
        <v>29124</v>
      </c>
      <c r="Q4687" s="6" t="s">
        <v>29125</v>
      </c>
      <c r="R4687" s="6" t="s">
        <v>1185</v>
      </c>
      <c r="S4687" s="8" t="s">
        <v>1186</v>
      </c>
      <c r="T4687" s="6" t="s">
        <v>66</v>
      </c>
      <c r="U4687" s="8" t="s">
        <v>31</v>
      </c>
      <c r="V4687" s="6" t="s">
        <v>114</v>
      </c>
      <c r="W4687" s="6" t="s">
        <v>29122</v>
      </c>
      <c r="X4687" s="9" t="str">
        <f>HYPERLINK("https://my.pitchbook.com?p=328198-78P","View People Online")</f>
        <v>View People Online</v>
      </c>
    </row>
    <row r="4688">
      <c r="A4688" s="2" t="s">
        <v>29129</v>
      </c>
      <c r="B4688" s="2" t="s">
        <v>29130</v>
      </c>
      <c r="C4688" s="2" t="s">
        <v>186</v>
      </c>
      <c r="D4688" s="2" t="s">
        <v>29131</v>
      </c>
      <c r="E4688" s="2" t="s">
        <v>29122</v>
      </c>
      <c r="F4688" s="2" t="s">
        <v>114</v>
      </c>
      <c r="G4688" s="2" t="s">
        <v>29132</v>
      </c>
      <c r="H4688" s="3" t="s">
        <v>31</v>
      </c>
      <c r="I4688" s="3">
        <v>1.0</v>
      </c>
      <c r="J4688" s="3">
        <v>1.0</v>
      </c>
      <c r="K4688" s="3" t="s">
        <v>31</v>
      </c>
      <c r="L4688" s="4" t="s">
        <v>31</v>
      </c>
      <c r="M4688" s="2" t="s">
        <v>31</v>
      </c>
      <c r="N4688" s="2" t="s">
        <v>1181</v>
      </c>
      <c r="O4688" s="4" t="s">
        <v>1182</v>
      </c>
      <c r="P4688" s="2" t="s">
        <v>29124</v>
      </c>
      <c r="Q4688" s="2" t="s">
        <v>29125</v>
      </c>
      <c r="R4688" s="2" t="s">
        <v>1185</v>
      </c>
      <c r="S4688" s="4" t="s">
        <v>1186</v>
      </c>
      <c r="T4688" s="2" t="s">
        <v>66</v>
      </c>
      <c r="U4688" s="4" t="s">
        <v>31</v>
      </c>
      <c r="V4688" s="2" t="s">
        <v>114</v>
      </c>
      <c r="W4688" s="2" t="s">
        <v>29122</v>
      </c>
      <c r="X4688" s="5" t="str">
        <f>HYPERLINK("https://my.pitchbook.com?p=427348-90P","View People Online")</f>
        <v>View People Online</v>
      </c>
    </row>
    <row r="4689">
      <c r="A4689" s="14" t="s">
        <v>29133</v>
      </c>
      <c r="B4689" s="14" t="s">
        <v>29134</v>
      </c>
      <c r="C4689" s="14" t="s">
        <v>29135</v>
      </c>
      <c r="D4689" s="14" t="s">
        <v>25062</v>
      </c>
      <c r="E4689" s="14" t="s">
        <v>29122</v>
      </c>
      <c r="F4689" s="14" t="s">
        <v>1801</v>
      </c>
      <c r="G4689" s="14" t="s">
        <v>29136</v>
      </c>
      <c r="H4689" s="15" t="s">
        <v>31</v>
      </c>
      <c r="I4689" s="15">
        <v>1.0</v>
      </c>
      <c r="J4689" s="15">
        <v>1.0</v>
      </c>
      <c r="K4689" s="15" t="s">
        <v>31</v>
      </c>
      <c r="L4689" s="16" t="s">
        <v>31</v>
      </c>
      <c r="M4689" s="14" t="s">
        <v>29137</v>
      </c>
      <c r="N4689" s="14" t="s">
        <v>1181</v>
      </c>
      <c r="O4689" s="16" t="s">
        <v>1182</v>
      </c>
      <c r="P4689" s="14" t="s">
        <v>29124</v>
      </c>
      <c r="Q4689" s="14" t="s">
        <v>29125</v>
      </c>
      <c r="R4689" s="14" t="s">
        <v>1185</v>
      </c>
      <c r="S4689" s="16" t="s">
        <v>1186</v>
      </c>
      <c r="T4689" s="14" t="s">
        <v>66</v>
      </c>
      <c r="U4689" s="16" t="s">
        <v>31</v>
      </c>
      <c r="V4689" s="14" t="s">
        <v>1804</v>
      </c>
      <c r="W4689" s="14" t="s">
        <v>29122</v>
      </c>
      <c r="X4689" s="17" t="str">
        <f>HYPERLINK("https://my.pitchbook.com?p=328109-50P","View People Online")</f>
        <v>View People Online</v>
      </c>
    </row>
    <row r="4690">
      <c r="A4690" s="2" t="s">
        <v>29138</v>
      </c>
      <c r="B4690" s="2" t="s">
        <v>29139</v>
      </c>
      <c r="C4690" s="2" t="s">
        <v>4731</v>
      </c>
      <c r="D4690" s="2" t="s">
        <v>4098</v>
      </c>
      <c r="E4690" s="2" t="s">
        <v>29122</v>
      </c>
      <c r="F4690" s="2" t="s">
        <v>114</v>
      </c>
      <c r="G4690" s="2" t="s">
        <v>29140</v>
      </c>
      <c r="H4690" s="3" t="s">
        <v>31</v>
      </c>
      <c r="I4690" s="3">
        <v>1.0</v>
      </c>
      <c r="J4690" s="3">
        <v>1.0</v>
      </c>
      <c r="K4690" s="3" t="s">
        <v>31</v>
      </c>
      <c r="L4690" s="4" t="s">
        <v>31</v>
      </c>
      <c r="M4690" s="2" t="s">
        <v>31</v>
      </c>
      <c r="N4690" s="2" t="s">
        <v>1181</v>
      </c>
      <c r="O4690" s="4" t="s">
        <v>1182</v>
      </c>
      <c r="P4690" s="2" t="s">
        <v>29124</v>
      </c>
      <c r="Q4690" s="2" t="s">
        <v>29125</v>
      </c>
      <c r="R4690" s="2" t="s">
        <v>1185</v>
      </c>
      <c r="S4690" s="4" t="s">
        <v>1186</v>
      </c>
      <c r="T4690" s="2" t="s">
        <v>66</v>
      </c>
      <c r="U4690" s="4" t="s">
        <v>31</v>
      </c>
      <c r="V4690" s="2" t="s">
        <v>114</v>
      </c>
      <c r="W4690" s="2" t="s">
        <v>29122</v>
      </c>
      <c r="X4690" s="5" t="str">
        <f>HYPERLINK("https://my.pitchbook.com?p=63085-15P","View People Online")</f>
        <v>View People Online</v>
      </c>
    </row>
    <row r="4691">
      <c r="A4691" s="6" t="s">
        <v>29141</v>
      </c>
      <c r="B4691" s="6" t="s">
        <v>29142</v>
      </c>
      <c r="C4691" s="6" t="s">
        <v>1117</v>
      </c>
      <c r="D4691" s="6" t="s">
        <v>20866</v>
      </c>
      <c r="E4691" s="6" t="s">
        <v>29122</v>
      </c>
      <c r="F4691" s="6" t="s">
        <v>548</v>
      </c>
      <c r="G4691" s="6" t="s">
        <v>29143</v>
      </c>
      <c r="H4691" s="7">
        <v>1.0</v>
      </c>
      <c r="I4691" s="7">
        <v>5.0</v>
      </c>
      <c r="J4691" s="7">
        <v>1.0</v>
      </c>
      <c r="K4691" s="7">
        <v>2.0</v>
      </c>
      <c r="L4691" s="8" t="s">
        <v>31</v>
      </c>
      <c r="M4691" s="6" t="s">
        <v>29144</v>
      </c>
      <c r="N4691" s="6" t="s">
        <v>1181</v>
      </c>
      <c r="O4691" s="8" t="s">
        <v>1182</v>
      </c>
      <c r="P4691" s="6" t="s">
        <v>29124</v>
      </c>
      <c r="Q4691" s="6" t="s">
        <v>29125</v>
      </c>
      <c r="R4691" s="6" t="s">
        <v>1185</v>
      </c>
      <c r="S4691" s="8" t="s">
        <v>1186</v>
      </c>
      <c r="T4691" s="6" t="s">
        <v>66</v>
      </c>
      <c r="U4691" s="8" t="s">
        <v>31</v>
      </c>
      <c r="V4691" s="6" t="s">
        <v>548</v>
      </c>
      <c r="W4691" s="6" t="s">
        <v>29122</v>
      </c>
      <c r="X4691" s="9" t="str">
        <f>HYPERLINK("https://my.pitchbook.com?p=378538-66P","View People Online")</f>
        <v>View People Online</v>
      </c>
    </row>
    <row r="4692">
      <c r="A4692" s="2" t="s">
        <v>29145</v>
      </c>
      <c r="B4692" s="2" t="s">
        <v>29146</v>
      </c>
      <c r="C4692" s="2" t="s">
        <v>29147</v>
      </c>
      <c r="D4692" s="2" t="s">
        <v>29148</v>
      </c>
      <c r="E4692" s="2" t="s">
        <v>29122</v>
      </c>
      <c r="F4692" s="2" t="s">
        <v>114</v>
      </c>
      <c r="G4692" s="2" t="s">
        <v>29149</v>
      </c>
      <c r="H4692" s="3" t="s">
        <v>31</v>
      </c>
      <c r="I4692" s="3">
        <v>1.0</v>
      </c>
      <c r="J4692" s="3">
        <v>1.0</v>
      </c>
      <c r="K4692" s="3" t="s">
        <v>31</v>
      </c>
      <c r="L4692" s="4" t="s">
        <v>29150</v>
      </c>
      <c r="M4692" s="2" t="s">
        <v>29151</v>
      </c>
      <c r="N4692" s="2" t="s">
        <v>12252</v>
      </c>
      <c r="O4692" s="4" t="s">
        <v>29152</v>
      </c>
      <c r="P4692" s="2" t="s">
        <v>29153</v>
      </c>
      <c r="Q4692" s="2" t="s">
        <v>29154</v>
      </c>
      <c r="R4692" s="2" t="s">
        <v>1277</v>
      </c>
      <c r="S4692" s="4" t="s">
        <v>29155</v>
      </c>
      <c r="T4692" s="2" t="s">
        <v>66</v>
      </c>
      <c r="U4692" s="4" t="s">
        <v>31</v>
      </c>
      <c r="V4692" s="2" t="s">
        <v>29156</v>
      </c>
      <c r="W4692" s="2" t="s">
        <v>29157</v>
      </c>
      <c r="X4692" s="5" t="str">
        <f>HYPERLINK("https://my.pitchbook.com?p=183083-41P","View People Online")</f>
        <v>View People Online</v>
      </c>
    </row>
    <row r="4693">
      <c r="A4693" s="14" t="s">
        <v>29158</v>
      </c>
      <c r="B4693" s="14" t="s">
        <v>29159</v>
      </c>
      <c r="C4693" s="14" t="s">
        <v>7116</v>
      </c>
      <c r="D4693" s="14" t="s">
        <v>15268</v>
      </c>
      <c r="E4693" s="14" t="s">
        <v>29122</v>
      </c>
      <c r="F4693" s="14" t="s">
        <v>114</v>
      </c>
      <c r="G4693" s="14" t="s">
        <v>29160</v>
      </c>
      <c r="H4693" s="15" t="s">
        <v>31</v>
      </c>
      <c r="I4693" s="15">
        <v>1.0</v>
      </c>
      <c r="J4693" s="15">
        <v>1.0</v>
      </c>
      <c r="K4693" s="15" t="s">
        <v>31</v>
      </c>
      <c r="L4693" s="16" t="s">
        <v>31</v>
      </c>
      <c r="M4693" s="14" t="s">
        <v>31</v>
      </c>
      <c r="N4693" s="14" t="s">
        <v>1181</v>
      </c>
      <c r="O4693" s="16" t="s">
        <v>1182</v>
      </c>
      <c r="P4693" s="14" t="s">
        <v>29124</v>
      </c>
      <c r="Q4693" s="14" t="s">
        <v>29125</v>
      </c>
      <c r="R4693" s="14" t="s">
        <v>1185</v>
      </c>
      <c r="S4693" s="16" t="s">
        <v>1186</v>
      </c>
      <c r="T4693" s="14" t="s">
        <v>66</v>
      </c>
      <c r="U4693" s="16" t="s">
        <v>31</v>
      </c>
      <c r="V4693" s="14" t="s">
        <v>114</v>
      </c>
      <c r="W4693" s="14" t="s">
        <v>29122</v>
      </c>
      <c r="X4693" s="17" t="str">
        <f>HYPERLINK("https://my.pitchbook.com?p=46593-19P","View People Online")</f>
        <v>View People Online</v>
      </c>
    </row>
    <row r="4694">
      <c r="A4694" s="10" t="s">
        <v>29161</v>
      </c>
      <c r="B4694" s="10" t="s">
        <v>29162</v>
      </c>
      <c r="C4694" s="10" t="s">
        <v>29163</v>
      </c>
      <c r="D4694" s="10" t="s">
        <v>29164</v>
      </c>
      <c r="E4694" s="10" t="s">
        <v>29122</v>
      </c>
      <c r="F4694" s="10" t="s">
        <v>114</v>
      </c>
      <c r="G4694" s="10" t="s">
        <v>29165</v>
      </c>
      <c r="H4694" s="11">
        <v>2.0</v>
      </c>
      <c r="I4694" s="11">
        <v>3.0</v>
      </c>
      <c r="J4694" s="11">
        <v>1.0</v>
      </c>
      <c r="K4694" s="11" t="s">
        <v>31</v>
      </c>
      <c r="L4694" s="12" t="s">
        <v>29166</v>
      </c>
      <c r="M4694" s="10" t="s">
        <v>31</v>
      </c>
      <c r="N4694" s="10" t="s">
        <v>29167</v>
      </c>
      <c r="O4694" s="12" t="s">
        <v>29168</v>
      </c>
      <c r="P4694" s="10" t="s">
        <v>29169</v>
      </c>
      <c r="Q4694" s="10" t="s">
        <v>989</v>
      </c>
      <c r="R4694" s="10" t="s">
        <v>1185</v>
      </c>
      <c r="S4694" s="12" t="s">
        <v>29170</v>
      </c>
      <c r="T4694" s="10" t="s">
        <v>66</v>
      </c>
      <c r="U4694" s="12" t="s">
        <v>31</v>
      </c>
      <c r="V4694" s="10" t="s">
        <v>29171</v>
      </c>
      <c r="W4694" s="10" t="s">
        <v>29172</v>
      </c>
      <c r="X4694" s="13" t="str">
        <f>HYPERLINK("https://my.pitchbook.com?p=236170-00P","View People Online")</f>
        <v>View People Online</v>
      </c>
    </row>
    <row r="4695">
      <c r="A4695" s="6" t="s">
        <v>29173</v>
      </c>
      <c r="B4695" s="6" t="s">
        <v>29174</v>
      </c>
      <c r="C4695" s="6" t="s">
        <v>4169</v>
      </c>
      <c r="D4695" s="6" t="s">
        <v>29175</v>
      </c>
      <c r="E4695" s="6" t="s">
        <v>29122</v>
      </c>
      <c r="F4695" s="6" t="s">
        <v>114</v>
      </c>
      <c r="G4695" s="6" t="s">
        <v>29176</v>
      </c>
      <c r="H4695" s="7" t="s">
        <v>31</v>
      </c>
      <c r="I4695" s="7">
        <v>3.0</v>
      </c>
      <c r="J4695" s="7">
        <v>1.0</v>
      </c>
      <c r="K4695" s="7">
        <v>1.0</v>
      </c>
      <c r="L4695" s="8" t="s">
        <v>29177</v>
      </c>
      <c r="M4695" s="6" t="s">
        <v>31</v>
      </c>
      <c r="N4695" s="6" t="s">
        <v>1181</v>
      </c>
      <c r="O4695" s="8" t="s">
        <v>1182</v>
      </c>
      <c r="P4695" s="6" t="s">
        <v>29124</v>
      </c>
      <c r="Q4695" s="6" t="s">
        <v>29125</v>
      </c>
      <c r="R4695" s="6" t="s">
        <v>1185</v>
      </c>
      <c r="S4695" s="8" t="s">
        <v>1186</v>
      </c>
      <c r="T4695" s="6" t="s">
        <v>66</v>
      </c>
      <c r="U4695" s="8" t="s">
        <v>31</v>
      </c>
      <c r="V4695" s="6" t="s">
        <v>114</v>
      </c>
      <c r="W4695" s="6" t="s">
        <v>29122</v>
      </c>
      <c r="X4695" s="9" t="str">
        <f>HYPERLINK("https://my.pitchbook.com?p=38824-48P","View People Online")</f>
        <v>View People Online</v>
      </c>
    </row>
    <row r="4696">
      <c r="A4696" s="10" t="s">
        <v>29178</v>
      </c>
      <c r="B4696" s="10" t="s">
        <v>29179</v>
      </c>
      <c r="C4696" s="10" t="s">
        <v>4169</v>
      </c>
      <c r="D4696" s="10" t="s">
        <v>29180</v>
      </c>
      <c r="E4696" s="10" t="s">
        <v>29122</v>
      </c>
      <c r="F4696" s="10" t="s">
        <v>114</v>
      </c>
      <c r="G4696" s="10" t="s">
        <v>29181</v>
      </c>
      <c r="H4696" s="11" t="s">
        <v>31</v>
      </c>
      <c r="I4696" s="11">
        <v>4.0</v>
      </c>
      <c r="J4696" s="11">
        <v>3.0</v>
      </c>
      <c r="K4696" s="11">
        <v>1.0</v>
      </c>
      <c r="L4696" s="12" t="s">
        <v>29182</v>
      </c>
      <c r="M4696" s="10" t="s">
        <v>29183</v>
      </c>
      <c r="N4696" s="10" t="s">
        <v>75</v>
      </c>
      <c r="O4696" s="12" t="s">
        <v>76</v>
      </c>
      <c r="P4696" s="10" t="s">
        <v>31</v>
      </c>
      <c r="Q4696" s="10" t="s">
        <v>31</v>
      </c>
      <c r="R4696" s="10" t="s">
        <v>75</v>
      </c>
      <c r="S4696" s="12" t="s">
        <v>31</v>
      </c>
      <c r="T4696" s="10" t="s">
        <v>66</v>
      </c>
      <c r="U4696" s="12" t="s">
        <v>31</v>
      </c>
      <c r="V4696" s="10" t="s">
        <v>27013</v>
      </c>
      <c r="W4696" s="10" t="s">
        <v>29184</v>
      </c>
      <c r="X4696" s="13" t="str">
        <f>HYPERLINK("https://my.pitchbook.com?p=328222-54P","View People Online")</f>
        <v>View People Online</v>
      </c>
    </row>
    <row r="4697">
      <c r="A4697" s="14" t="s">
        <v>29185</v>
      </c>
      <c r="B4697" s="14" t="s">
        <v>29186</v>
      </c>
      <c r="C4697" s="14" t="s">
        <v>4858</v>
      </c>
      <c r="D4697" s="14" t="s">
        <v>29187</v>
      </c>
      <c r="E4697" s="14" t="s">
        <v>29122</v>
      </c>
      <c r="F4697" s="14" t="s">
        <v>114</v>
      </c>
      <c r="G4697" s="14" t="s">
        <v>29188</v>
      </c>
      <c r="H4697" s="15" t="s">
        <v>31</v>
      </c>
      <c r="I4697" s="15">
        <v>1.0</v>
      </c>
      <c r="J4697" s="15">
        <v>1.0</v>
      </c>
      <c r="K4697" s="15" t="s">
        <v>31</v>
      </c>
      <c r="L4697" s="16" t="s">
        <v>31</v>
      </c>
      <c r="M4697" s="14" t="s">
        <v>31</v>
      </c>
      <c r="N4697" s="14" t="s">
        <v>1181</v>
      </c>
      <c r="O4697" s="16" t="s">
        <v>1182</v>
      </c>
      <c r="P4697" s="14" t="s">
        <v>29124</v>
      </c>
      <c r="Q4697" s="14" t="s">
        <v>29125</v>
      </c>
      <c r="R4697" s="14" t="s">
        <v>1185</v>
      </c>
      <c r="S4697" s="16" t="s">
        <v>1186</v>
      </c>
      <c r="T4697" s="14" t="s">
        <v>66</v>
      </c>
      <c r="U4697" s="16" t="s">
        <v>31</v>
      </c>
      <c r="V4697" s="14" t="s">
        <v>114</v>
      </c>
      <c r="W4697" s="14" t="s">
        <v>29122</v>
      </c>
      <c r="X4697" s="17" t="str">
        <f>HYPERLINK("https://my.pitchbook.com?p=32622-22P","View People Online")</f>
        <v>View People Online</v>
      </c>
    </row>
    <row r="4698">
      <c r="A4698" s="10" t="s">
        <v>29189</v>
      </c>
      <c r="B4698" s="10" t="s">
        <v>29190</v>
      </c>
      <c r="C4698" s="10" t="s">
        <v>1929</v>
      </c>
      <c r="D4698" s="10" t="s">
        <v>29191</v>
      </c>
      <c r="E4698" s="10" t="s">
        <v>29122</v>
      </c>
      <c r="F4698" s="10" t="s">
        <v>114</v>
      </c>
      <c r="G4698" s="10" t="s">
        <v>29192</v>
      </c>
      <c r="H4698" s="11" t="s">
        <v>31</v>
      </c>
      <c r="I4698" s="11">
        <v>1.0</v>
      </c>
      <c r="J4698" s="11">
        <v>1.0</v>
      </c>
      <c r="K4698" s="11" t="s">
        <v>31</v>
      </c>
      <c r="L4698" s="12" t="s">
        <v>31</v>
      </c>
      <c r="M4698" s="10" t="s">
        <v>31</v>
      </c>
      <c r="N4698" s="10" t="s">
        <v>1181</v>
      </c>
      <c r="O4698" s="12" t="s">
        <v>1182</v>
      </c>
      <c r="P4698" s="10" t="s">
        <v>29124</v>
      </c>
      <c r="Q4698" s="10" t="s">
        <v>29125</v>
      </c>
      <c r="R4698" s="10" t="s">
        <v>1185</v>
      </c>
      <c r="S4698" s="12" t="s">
        <v>1186</v>
      </c>
      <c r="T4698" s="10" t="s">
        <v>66</v>
      </c>
      <c r="U4698" s="12" t="s">
        <v>31</v>
      </c>
      <c r="V4698" s="10" t="s">
        <v>114</v>
      </c>
      <c r="W4698" s="10" t="s">
        <v>29122</v>
      </c>
      <c r="X4698" s="13" t="str">
        <f>HYPERLINK("https://my.pitchbook.com?p=44382-70P","View People Online")</f>
        <v>View People Online</v>
      </c>
    </row>
    <row r="4699">
      <c r="A4699" s="14" t="s">
        <v>29193</v>
      </c>
      <c r="B4699" s="14" t="s">
        <v>29194</v>
      </c>
      <c r="C4699" s="14" t="s">
        <v>29195</v>
      </c>
      <c r="D4699" s="14" t="s">
        <v>29196</v>
      </c>
      <c r="E4699" s="14" t="s">
        <v>29122</v>
      </c>
      <c r="F4699" s="14" t="s">
        <v>114</v>
      </c>
      <c r="G4699" s="14" t="s">
        <v>29197</v>
      </c>
      <c r="H4699" s="15" t="s">
        <v>31</v>
      </c>
      <c r="I4699" s="15">
        <v>1.0</v>
      </c>
      <c r="J4699" s="15">
        <v>1.0</v>
      </c>
      <c r="K4699" s="15" t="s">
        <v>31</v>
      </c>
      <c r="L4699" s="16" t="s">
        <v>29198</v>
      </c>
      <c r="M4699" s="14" t="s">
        <v>31</v>
      </c>
      <c r="N4699" s="14" t="s">
        <v>1181</v>
      </c>
      <c r="O4699" s="16" t="s">
        <v>1182</v>
      </c>
      <c r="P4699" s="14" t="s">
        <v>29124</v>
      </c>
      <c r="Q4699" s="14" t="s">
        <v>29125</v>
      </c>
      <c r="R4699" s="14" t="s">
        <v>1185</v>
      </c>
      <c r="S4699" s="16" t="s">
        <v>1186</v>
      </c>
      <c r="T4699" s="14" t="s">
        <v>66</v>
      </c>
      <c r="U4699" s="16" t="s">
        <v>31</v>
      </c>
      <c r="V4699" s="14" t="s">
        <v>114</v>
      </c>
      <c r="W4699" s="14" t="s">
        <v>29122</v>
      </c>
      <c r="X4699" s="17" t="str">
        <f>HYPERLINK("https://my.pitchbook.com?p=121713-04P","View People Online")</f>
        <v>View People Online</v>
      </c>
    </row>
    <row r="4700">
      <c r="A4700" s="10" t="s">
        <v>29199</v>
      </c>
      <c r="B4700" s="10" t="s">
        <v>29200</v>
      </c>
      <c r="C4700" s="10" t="s">
        <v>1197</v>
      </c>
      <c r="D4700" s="10" t="s">
        <v>29201</v>
      </c>
      <c r="E4700" s="10" t="s">
        <v>29122</v>
      </c>
      <c r="F4700" s="10" t="s">
        <v>114</v>
      </c>
      <c r="G4700" s="10" t="s">
        <v>29202</v>
      </c>
      <c r="H4700" s="11">
        <v>1.0</v>
      </c>
      <c r="I4700" s="11">
        <v>2.0</v>
      </c>
      <c r="J4700" s="11">
        <v>2.0</v>
      </c>
      <c r="K4700" s="11" t="s">
        <v>31</v>
      </c>
      <c r="L4700" s="12" t="s">
        <v>29203</v>
      </c>
      <c r="M4700" s="10" t="s">
        <v>29204</v>
      </c>
      <c r="N4700" s="10" t="s">
        <v>29205</v>
      </c>
      <c r="O4700" s="12" t="s">
        <v>29206</v>
      </c>
      <c r="P4700" s="10" t="s">
        <v>29207</v>
      </c>
      <c r="Q4700" s="10" t="s">
        <v>29208</v>
      </c>
      <c r="R4700" s="10" t="s">
        <v>29209</v>
      </c>
      <c r="S4700" s="12" t="s">
        <v>29210</v>
      </c>
      <c r="T4700" s="10" t="s">
        <v>1209</v>
      </c>
      <c r="U4700" s="12" t="s">
        <v>31</v>
      </c>
      <c r="V4700" s="10" t="s">
        <v>3930</v>
      </c>
      <c r="W4700" s="10" t="s">
        <v>29211</v>
      </c>
      <c r="X4700" s="13" t="str">
        <f>HYPERLINK("https://my.pitchbook.com?p=113647-06P","View People Online")</f>
        <v>View People Online</v>
      </c>
    </row>
    <row r="4701">
      <c r="A4701" s="6" t="s">
        <v>29212</v>
      </c>
      <c r="B4701" s="6" t="s">
        <v>29213</v>
      </c>
      <c r="C4701" s="6" t="s">
        <v>1437</v>
      </c>
      <c r="D4701" s="6" t="s">
        <v>29214</v>
      </c>
      <c r="E4701" s="6" t="s">
        <v>29122</v>
      </c>
      <c r="F4701" s="6" t="s">
        <v>114</v>
      </c>
      <c r="G4701" s="6" t="s">
        <v>29215</v>
      </c>
      <c r="H4701" s="7" t="s">
        <v>31</v>
      </c>
      <c r="I4701" s="7">
        <v>1.0</v>
      </c>
      <c r="J4701" s="7">
        <v>1.0</v>
      </c>
      <c r="K4701" s="7" t="s">
        <v>31</v>
      </c>
      <c r="L4701" s="8" t="s">
        <v>31</v>
      </c>
      <c r="M4701" s="6" t="s">
        <v>31</v>
      </c>
      <c r="N4701" s="6" t="s">
        <v>1181</v>
      </c>
      <c r="O4701" s="8" t="s">
        <v>1182</v>
      </c>
      <c r="P4701" s="6" t="s">
        <v>29124</v>
      </c>
      <c r="Q4701" s="6" t="s">
        <v>29125</v>
      </c>
      <c r="R4701" s="6" t="s">
        <v>1185</v>
      </c>
      <c r="S4701" s="8" t="s">
        <v>1186</v>
      </c>
      <c r="T4701" s="6" t="s">
        <v>66</v>
      </c>
      <c r="U4701" s="8" t="s">
        <v>31</v>
      </c>
      <c r="V4701" s="6" t="s">
        <v>114</v>
      </c>
      <c r="W4701" s="6" t="s">
        <v>29122</v>
      </c>
      <c r="X4701" s="9" t="str">
        <f>HYPERLINK("https://my.pitchbook.com?p=44526-97P","View People Online")</f>
        <v>View People Online</v>
      </c>
    </row>
    <row r="4702">
      <c r="A4702" s="2" t="s">
        <v>29216</v>
      </c>
      <c r="B4702" s="2" t="s">
        <v>29217</v>
      </c>
      <c r="C4702" s="2" t="s">
        <v>285</v>
      </c>
      <c r="D4702" s="2" t="s">
        <v>29218</v>
      </c>
      <c r="E4702" s="2" t="s">
        <v>29122</v>
      </c>
      <c r="F4702" s="2" t="s">
        <v>114</v>
      </c>
      <c r="G4702" s="2" t="s">
        <v>29219</v>
      </c>
      <c r="H4702" s="3">
        <v>1.0</v>
      </c>
      <c r="I4702" s="3">
        <v>2.0</v>
      </c>
      <c r="J4702" s="3">
        <v>2.0</v>
      </c>
      <c r="K4702" s="3" t="s">
        <v>31</v>
      </c>
      <c r="L4702" s="4" t="s">
        <v>29220</v>
      </c>
      <c r="M4702" s="2" t="s">
        <v>29221</v>
      </c>
      <c r="N4702" s="2" t="s">
        <v>1181</v>
      </c>
      <c r="O4702" s="4" t="s">
        <v>1182</v>
      </c>
      <c r="P4702" s="2" t="s">
        <v>29222</v>
      </c>
      <c r="Q4702" s="2" t="s">
        <v>29223</v>
      </c>
      <c r="R4702" s="2" t="s">
        <v>1185</v>
      </c>
      <c r="S4702" s="4" t="s">
        <v>10902</v>
      </c>
      <c r="T4702" s="2" t="s">
        <v>66</v>
      </c>
      <c r="U4702" s="4" t="s">
        <v>31</v>
      </c>
      <c r="V4702" s="2" t="s">
        <v>24354</v>
      </c>
      <c r="W4702" s="2" t="s">
        <v>29224</v>
      </c>
      <c r="X4702" s="5" t="str">
        <f>HYPERLINK("https://my.pitchbook.com?p=85244-77P","View People Online")</f>
        <v>View People Online</v>
      </c>
    </row>
    <row r="4703">
      <c r="A4703" s="6" t="s">
        <v>29225</v>
      </c>
      <c r="B4703" s="6" t="s">
        <v>29226</v>
      </c>
      <c r="C4703" s="6" t="s">
        <v>29227</v>
      </c>
      <c r="D4703" s="6" t="s">
        <v>15454</v>
      </c>
      <c r="E4703" s="6" t="s">
        <v>29122</v>
      </c>
      <c r="F4703" s="6" t="s">
        <v>114</v>
      </c>
      <c r="G4703" s="6" t="s">
        <v>29228</v>
      </c>
      <c r="H4703" s="7" t="s">
        <v>31</v>
      </c>
      <c r="I4703" s="7">
        <v>1.0</v>
      </c>
      <c r="J4703" s="7">
        <v>1.0</v>
      </c>
      <c r="K4703" s="7" t="s">
        <v>31</v>
      </c>
      <c r="L4703" s="8" t="s">
        <v>31</v>
      </c>
      <c r="M4703" s="6" t="s">
        <v>31</v>
      </c>
      <c r="N4703" s="6" t="s">
        <v>1181</v>
      </c>
      <c r="O4703" s="8" t="s">
        <v>1182</v>
      </c>
      <c r="P4703" s="6" t="s">
        <v>29124</v>
      </c>
      <c r="Q4703" s="6" t="s">
        <v>29125</v>
      </c>
      <c r="R4703" s="6" t="s">
        <v>1185</v>
      </c>
      <c r="S4703" s="8" t="s">
        <v>1186</v>
      </c>
      <c r="T4703" s="6" t="s">
        <v>66</v>
      </c>
      <c r="U4703" s="8" t="s">
        <v>31</v>
      </c>
      <c r="V4703" s="6" t="s">
        <v>114</v>
      </c>
      <c r="W4703" s="6" t="s">
        <v>29122</v>
      </c>
      <c r="X4703" s="9" t="str">
        <f>HYPERLINK("https://my.pitchbook.com?p=426889-54P","View People Online")</f>
        <v>View People Online</v>
      </c>
    </row>
    <row r="4704">
      <c r="A4704" s="2" t="s">
        <v>29229</v>
      </c>
      <c r="B4704" s="2" t="s">
        <v>29230</v>
      </c>
      <c r="C4704" s="2" t="s">
        <v>1982</v>
      </c>
      <c r="D4704" s="2" t="s">
        <v>29231</v>
      </c>
      <c r="E4704" s="2" t="s">
        <v>29122</v>
      </c>
      <c r="F4704" s="2" t="s">
        <v>114</v>
      </c>
      <c r="G4704" s="2" t="s">
        <v>29232</v>
      </c>
      <c r="H4704" s="3" t="s">
        <v>31</v>
      </c>
      <c r="I4704" s="3">
        <v>3.0</v>
      </c>
      <c r="J4704" s="3">
        <v>2.0</v>
      </c>
      <c r="K4704" s="3">
        <v>1.0</v>
      </c>
      <c r="L4704" s="4" t="s">
        <v>31</v>
      </c>
      <c r="M4704" s="2" t="s">
        <v>31</v>
      </c>
      <c r="N4704" s="2" t="s">
        <v>1181</v>
      </c>
      <c r="O4704" s="4" t="s">
        <v>1182</v>
      </c>
      <c r="P4704" s="2" t="s">
        <v>29124</v>
      </c>
      <c r="Q4704" s="2" t="s">
        <v>29125</v>
      </c>
      <c r="R4704" s="2" t="s">
        <v>1185</v>
      </c>
      <c r="S4704" s="4" t="s">
        <v>1186</v>
      </c>
      <c r="T4704" s="2" t="s">
        <v>66</v>
      </c>
      <c r="U4704" s="4" t="s">
        <v>31</v>
      </c>
      <c r="V4704" s="2" t="s">
        <v>29</v>
      </c>
      <c r="W4704" s="2" t="s">
        <v>29230</v>
      </c>
      <c r="X4704" s="5" t="str">
        <f>HYPERLINK("https://my.pitchbook.com?p=60824-62P","View People Online")</f>
        <v>View People Online</v>
      </c>
    </row>
    <row r="4705">
      <c r="A4705" s="6" t="s">
        <v>29233</v>
      </c>
      <c r="B4705" s="6" t="s">
        <v>29234</v>
      </c>
      <c r="C4705" s="6" t="s">
        <v>69</v>
      </c>
      <c r="D4705" s="6" t="s">
        <v>29235</v>
      </c>
      <c r="E4705" s="6" t="s">
        <v>29122</v>
      </c>
      <c r="F4705" s="6" t="s">
        <v>114</v>
      </c>
      <c r="G4705" s="6" t="s">
        <v>29236</v>
      </c>
      <c r="H4705" s="7" t="s">
        <v>31</v>
      </c>
      <c r="I4705" s="7">
        <v>1.0</v>
      </c>
      <c r="J4705" s="7">
        <v>1.0</v>
      </c>
      <c r="K4705" s="7" t="s">
        <v>31</v>
      </c>
      <c r="L4705" s="8" t="s">
        <v>31</v>
      </c>
      <c r="M4705" s="6" t="s">
        <v>31</v>
      </c>
      <c r="N4705" s="6" t="s">
        <v>1181</v>
      </c>
      <c r="O4705" s="8" t="s">
        <v>1182</v>
      </c>
      <c r="P4705" s="6" t="s">
        <v>29124</v>
      </c>
      <c r="Q4705" s="6" t="s">
        <v>29125</v>
      </c>
      <c r="R4705" s="6" t="s">
        <v>1185</v>
      </c>
      <c r="S4705" s="8" t="s">
        <v>1186</v>
      </c>
      <c r="T4705" s="6" t="s">
        <v>66</v>
      </c>
      <c r="U4705" s="8" t="s">
        <v>31</v>
      </c>
      <c r="V4705" s="6" t="s">
        <v>114</v>
      </c>
      <c r="W4705" s="6" t="s">
        <v>29122</v>
      </c>
      <c r="X4705" s="9" t="str">
        <f>HYPERLINK("https://my.pitchbook.com?p=42221-08P","View People Online")</f>
        <v>View People Online</v>
      </c>
    </row>
    <row r="4706">
      <c r="A4706" s="2" t="s">
        <v>29237</v>
      </c>
      <c r="B4706" s="2" t="s">
        <v>29238</v>
      </c>
      <c r="C4706" s="2" t="s">
        <v>1449</v>
      </c>
      <c r="D4706" s="2" t="s">
        <v>29239</v>
      </c>
      <c r="E4706" s="2" t="s">
        <v>29122</v>
      </c>
      <c r="F4706" s="2" t="s">
        <v>114</v>
      </c>
      <c r="G4706" s="2" t="s">
        <v>29240</v>
      </c>
      <c r="H4706" s="3" t="s">
        <v>31</v>
      </c>
      <c r="I4706" s="3">
        <v>4.0</v>
      </c>
      <c r="J4706" s="3">
        <v>1.0</v>
      </c>
      <c r="K4706" s="3">
        <v>3.0</v>
      </c>
      <c r="L4706" s="4" t="s">
        <v>31</v>
      </c>
      <c r="M4706" s="2" t="s">
        <v>31</v>
      </c>
      <c r="N4706" s="2" t="s">
        <v>1181</v>
      </c>
      <c r="O4706" s="4" t="s">
        <v>1182</v>
      </c>
      <c r="P4706" s="2" t="s">
        <v>29124</v>
      </c>
      <c r="Q4706" s="2" t="s">
        <v>29125</v>
      </c>
      <c r="R4706" s="2" t="s">
        <v>1185</v>
      </c>
      <c r="S4706" s="4" t="s">
        <v>1186</v>
      </c>
      <c r="T4706" s="2" t="s">
        <v>66</v>
      </c>
      <c r="U4706" s="4" t="s">
        <v>31</v>
      </c>
      <c r="V4706" s="2" t="s">
        <v>114</v>
      </c>
      <c r="W4706" s="2" t="s">
        <v>29122</v>
      </c>
      <c r="X4706" s="5" t="str">
        <f>HYPERLINK("https://my.pitchbook.com?p=247146-13P","View People Online")</f>
        <v>View People Online</v>
      </c>
    </row>
    <row r="4707">
      <c r="A4707" s="6" t="s">
        <v>29241</v>
      </c>
      <c r="B4707" s="6" t="s">
        <v>29242</v>
      </c>
      <c r="C4707" s="6" t="s">
        <v>1449</v>
      </c>
      <c r="D4707" s="6" t="s">
        <v>29243</v>
      </c>
      <c r="E4707" s="6" t="s">
        <v>29122</v>
      </c>
      <c r="F4707" s="6" t="s">
        <v>114</v>
      </c>
      <c r="G4707" s="6" t="s">
        <v>29244</v>
      </c>
      <c r="H4707" s="7">
        <v>1.0</v>
      </c>
      <c r="I4707" s="7">
        <v>2.0</v>
      </c>
      <c r="J4707" s="7">
        <v>2.0</v>
      </c>
      <c r="K4707" s="7" t="s">
        <v>31</v>
      </c>
      <c r="L4707" s="8" t="s">
        <v>29245</v>
      </c>
      <c r="M4707" s="6" t="s">
        <v>29246</v>
      </c>
      <c r="N4707" s="6" t="s">
        <v>29247</v>
      </c>
      <c r="O4707" s="8" t="s">
        <v>29248</v>
      </c>
      <c r="P4707" s="6" t="s">
        <v>29249</v>
      </c>
      <c r="Q4707" s="6" t="s">
        <v>6591</v>
      </c>
      <c r="R4707" s="6" t="s">
        <v>1185</v>
      </c>
      <c r="S4707" s="8" t="s">
        <v>29250</v>
      </c>
      <c r="T4707" s="6" t="s">
        <v>66</v>
      </c>
      <c r="U4707" s="8" t="s">
        <v>31</v>
      </c>
      <c r="V4707" s="6" t="s">
        <v>4809</v>
      </c>
      <c r="W4707" s="6" t="s">
        <v>29251</v>
      </c>
      <c r="X4707" s="9" t="str">
        <f>HYPERLINK("https://my.pitchbook.com?p=36111-07P","View People Online")</f>
        <v>View People Online</v>
      </c>
    </row>
    <row r="4708">
      <c r="A4708" s="10" t="s">
        <v>29252</v>
      </c>
      <c r="B4708" s="10" t="s">
        <v>29253</v>
      </c>
      <c r="C4708" s="10" t="s">
        <v>1449</v>
      </c>
      <c r="D4708" s="10" t="s">
        <v>29254</v>
      </c>
      <c r="E4708" s="10" t="s">
        <v>29122</v>
      </c>
      <c r="F4708" s="10" t="s">
        <v>114</v>
      </c>
      <c r="G4708" s="10" t="s">
        <v>29255</v>
      </c>
      <c r="H4708" s="11" t="s">
        <v>31</v>
      </c>
      <c r="I4708" s="11">
        <v>2.0</v>
      </c>
      <c r="J4708" s="11">
        <v>2.0</v>
      </c>
      <c r="K4708" s="11" t="s">
        <v>31</v>
      </c>
      <c r="L4708" s="12" t="s">
        <v>29256</v>
      </c>
      <c r="M4708" s="10" t="s">
        <v>29257</v>
      </c>
      <c r="N4708" s="10" t="s">
        <v>665</v>
      </c>
      <c r="O4708" s="12" t="s">
        <v>3857</v>
      </c>
      <c r="P4708" s="10" t="s">
        <v>29258</v>
      </c>
      <c r="Q4708" s="10" t="s">
        <v>29259</v>
      </c>
      <c r="R4708" s="10" t="s">
        <v>1420</v>
      </c>
      <c r="S4708" s="12" t="s">
        <v>23539</v>
      </c>
      <c r="T4708" s="10" t="s">
        <v>66</v>
      </c>
      <c r="U4708" s="12" t="s">
        <v>31</v>
      </c>
      <c r="V4708" s="10" t="s">
        <v>502</v>
      </c>
      <c r="W4708" s="10" t="s">
        <v>29260</v>
      </c>
      <c r="X4708" s="13" t="str">
        <f>HYPERLINK("https://my.pitchbook.com?p=36699-85P","View People Online")</f>
        <v>View People Online</v>
      </c>
    </row>
    <row r="4709">
      <c r="A4709" s="6" t="s">
        <v>29261</v>
      </c>
      <c r="B4709" s="6" t="s">
        <v>29262</v>
      </c>
      <c r="C4709" s="6" t="s">
        <v>1449</v>
      </c>
      <c r="D4709" s="6" t="s">
        <v>29263</v>
      </c>
      <c r="E4709" s="6" t="s">
        <v>29122</v>
      </c>
      <c r="F4709" s="6" t="s">
        <v>114</v>
      </c>
      <c r="G4709" s="6" t="s">
        <v>29264</v>
      </c>
      <c r="H4709" s="7">
        <v>2.0</v>
      </c>
      <c r="I4709" s="7">
        <v>3.0</v>
      </c>
      <c r="J4709" s="7">
        <v>1.0</v>
      </c>
      <c r="K4709" s="7" t="s">
        <v>31</v>
      </c>
      <c r="L4709" s="8" t="s">
        <v>29265</v>
      </c>
      <c r="M4709" s="6" t="s">
        <v>31</v>
      </c>
      <c r="N4709" s="6" t="s">
        <v>29266</v>
      </c>
      <c r="O4709" s="8" t="s">
        <v>29267</v>
      </c>
      <c r="P4709" s="6" t="s">
        <v>29268</v>
      </c>
      <c r="Q4709" s="6" t="s">
        <v>29269</v>
      </c>
      <c r="R4709" s="6" t="s">
        <v>29270</v>
      </c>
      <c r="S4709" s="8" t="s">
        <v>29271</v>
      </c>
      <c r="T4709" s="6" t="s">
        <v>66</v>
      </c>
      <c r="U4709" s="8" t="s">
        <v>31</v>
      </c>
      <c r="V4709" s="6" t="s">
        <v>2379</v>
      </c>
      <c r="W4709" s="6" t="s">
        <v>29272</v>
      </c>
      <c r="X4709" s="9" t="str">
        <f>HYPERLINK("https://my.pitchbook.com?p=70397-02P","View People Online")</f>
        <v>View People Online</v>
      </c>
    </row>
    <row r="4710">
      <c r="A4710" s="2" t="s">
        <v>29273</v>
      </c>
      <c r="B4710" s="2" t="s">
        <v>29274</v>
      </c>
      <c r="C4710" s="2" t="s">
        <v>8698</v>
      </c>
      <c r="D4710" s="2" t="s">
        <v>29275</v>
      </c>
      <c r="E4710" s="2" t="s">
        <v>29122</v>
      </c>
      <c r="F4710" s="2" t="s">
        <v>114</v>
      </c>
      <c r="G4710" s="2" t="s">
        <v>29276</v>
      </c>
      <c r="H4710" s="3" t="s">
        <v>31</v>
      </c>
      <c r="I4710" s="3">
        <v>2.0</v>
      </c>
      <c r="J4710" s="3">
        <v>2.0</v>
      </c>
      <c r="K4710" s="3" t="s">
        <v>31</v>
      </c>
      <c r="L4710" s="4" t="s">
        <v>29277</v>
      </c>
      <c r="M4710" s="2" t="s">
        <v>29278</v>
      </c>
      <c r="N4710" s="2" t="s">
        <v>29279</v>
      </c>
      <c r="O4710" s="4" t="s">
        <v>29280</v>
      </c>
      <c r="P4710" s="2" t="s">
        <v>29281</v>
      </c>
      <c r="Q4710" s="2" t="s">
        <v>31</v>
      </c>
      <c r="R4710" s="2" t="s">
        <v>1420</v>
      </c>
      <c r="S4710" s="4" t="s">
        <v>29282</v>
      </c>
      <c r="T4710" s="2" t="s">
        <v>66</v>
      </c>
      <c r="U4710" s="4" t="s">
        <v>31</v>
      </c>
      <c r="V4710" s="2" t="s">
        <v>29283</v>
      </c>
      <c r="W4710" s="2" t="s">
        <v>29284</v>
      </c>
      <c r="X4710" s="5" t="str">
        <f>HYPERLINK("https://my.pitchbook.com?p=328208-86P","View People Online")</f>
        <v>View People Online</v>
      </c>
    </row>
    <row r="4711">
      <c r="A4711" s="6" t="s">
        <v>29285</v>
      </c>
      <c r="B4711" s="6" t="s">
        <v>29286</v>
      </c>
      <c r="C4711" s="6" t="s">
        <v>29287</v>
      </c>
      <c r="D4711" s="6" t="s">
        <v>1866</v>
      </c>
      <c r="E4711" s="6" t="s">
        <v>29122</v>
      </c>
      <c r="F4711" s="6" t="s">
        <v>114</v>
      </c>
      <c r="G4711" s="6" t="s">
        <v>29288</v>
      </c>
      <c r="H4711" s="7" t="s">
        <v>31</v>
      </c>
      <c r="I4711" s="7">
        <v>1.0</v>
      </c>
      <c r="J4711" s="7">
        <v>1.0</v>
      </c>
      <c r="K4711" s="7" t="s">
        <v>31</v>
      </c>
      <c r="L4711" s="8" t="s">
        <v>29150</v>
      </c>
      <c r="M4711" s="6" t="s">
        <v>31</v>
      </c>
      <c r="N4711" s="6" t="s">
        <v>12252</v>
      </c>
      <c r="O4711" s="8" t="s">
        <v>29152</v>
      </c>
      <c r="P4711" s="6" t="s">
        <v>29153</v>
      </c>
      <c r="Q4711" s="6" t="s">
        <v>29154</v>
      </c>
      <c r="R4711" s="6" t="s">
        <v>1277</v>
      </c>
      <c r="S4711" s="8" t="s">
        <v>29155</v>
      </c>
      <c r="T4711" s="6" t="s">
        <v>66</v>
      </c>
      <c r="U4711" s="8" t="s">
        <v>31</v>
      </c>
      <c r="V4711" s="6" t="s">
        <v>29289</v>
      </c>
      <c r="W4711" s="6" t="s">
        <v>29157</v>
      </c>
      <c r="X4711" s="9" t="str">
        <f>HYPERLINK("https://my.pitchbook.com?p=183082-87P","View People Online")</f>
        <v>View People Online</v>
      </c>
    </row>
    <row r="4712">
      <c r="A4712" s="10" t="s">
        <v>29290</v>
      </c>
      <c r="B4712" s="10" t="s">
        <v>29291</v>
      </c>
      <c r="C4712" s="10" t="s">
        <v>323</v>
      </c>
      <c r="D4712" s="10" t="s">
        <v>26641</v>
      </c>
      <c r="E4712" s="10" t="s">
        <v>29122</v>
      </c>
      <c r="F4712" s="10" t="s">
        <v>114</v>
      </c>
      <c r="G4712" s="10" t="s">
        <v>29292</v>
      </c>
      <c r="H4712" s="11" t="s">
        <v>31</v>
      </c>
      <c r="I4712" s="11">
        <v>5.0</v>
      </c>
      <c r="J4712" s="11">
        <v>1.0</v>
      </c>
      <c r="K4712" s="11">
        <v>3.0</v>
      </c>
      <c r="L4712" s="12" t="s">
        <v>31</v>
      </c>
      <c r="M4712" s="10" t="s">
        <v>31</v>
      </c>
      <c r="N4712" s="10" t="s">
        <v>1181</v>
      </c>
      <c r="O4712" s="12" t="s">
        <v>1182</v>
      </c>
      <c r="P4712" s="10" t="s">
        <v>29124</v>
      </c>
      <c r="Q4712" s="10" t="s">
        <v>29125</v>
      </c>
      <c r="R4712" s="10" t="s">
        <v>1185</v>
      </c>
      <c r="S4712" s="12" t="s">
        <v>1186</v>
      </c>
      <c r="T4712" s="10" t="s">
        <v>66</v>
      </c>
      <c r="U4712" s="12" t="s">
        <v>31</v>
      </c>
      <c r="V4712" s="10" t="s">
        <v>2312</v>
      </c>
      <c r="W4712" s="10" t="s">
        <v>29291</v>
      </c>
      <c r="X4712" s="13" t="str">
        <f>HYPERLINK("https://my.pitchbook.com?p=32178-34P","View People Online")</f>
        <v>View People Online</v>
      </c>
    </row>
    <row r="4713">
      <c r="A4713" s="6" t="s">
        <v>29293</v>
      </c>
      <c r="B4713" s="6" t="s">
        <v>29294</v>
      </c>
      <c r="C4713" s="6" t="s">
        <v>8106</v>
      </c>
      <c r="D4713" s="6" t="s">
        <v>1426</v>
      </c>
      <c r="E4713" s="6" t="s">
        <v>29122</v>
      </c>
      <c r="F4713" s="6" t="s">
        <v>114</v>
      </c>
      <c r="G4713" s="6" t="s">
        <v>29295</v>
      </c>
      <c r="H4713" s="7" t="s">
        <v>31</v>
      </c>
      <c r="I4713" s="7">
        <v>1.0</v>
      </c>
      <c r="J4713" s="7">
        <v>1.0</v>
      </c>
      <c r="K4713" s="7" t="s">
        <v>31</v>
      </c>
      <c r="L4713" s="8" t="s">
        <v>31</v>
      </c>
      <c r="M4713" s="6" t="s">
        <v>31</v>
      </c>
      <c r="N4713" s="6" t="s">
        <v>1181</v>
      </c>
      <c r="O4713" s="8" t="s">
        <v>1182</v>
      </c>
      <c r="P4713" s="6" t="s">
        <v>29124</v>
      </c>
      <c r="Q4713" s="6" t="s">
        <v>29125</v>
      </c>
      <c r="R4713" s="6" t="s">
        <v>1185</v>
      </c>
      <c r="S4713" s="8" t="s">
        <v>1186</v>
      </c>
      <c r="T4713" s="6" t="s">
        <v>66</v>
      </c>
      <c r="U4713" s="8" t="s">
        <v>31</v>
      </c>
      <c r="V4713" s="6" t="s">
        <v>114</v>
      </c>
      <c r="W4713" s="6" t="s">
        <v>29122</v>
      </c>
      <c r="X4713" s="9" t="str">
        <f>HYPERLINK("https://my.pitchbook.com?p=426889-00P","View People Online")</f>
        <v>View People Online</v>
      </c>
    </row>
    <row r="4714">
      <c r="A4714" s="10" t="s">
        <v>29296</v>
      </c>
      <c r="B4714" s="10" t="s">
        <v>29297</v>
      </c>
      <c r="C4714" s="10" t="s">
        <v>29298</v>
      </c>
      <c r="D4714" s="10" t="s">
        <v>29299</v>
      </c>
      <c r="E4714" s="10" t="s">
        <v>29122</v>
      </c>
      <c r="F4714" s="10" t="s">
        <v>86</v>
      </c>
      <c r="G4714" s="10" t="s">
        <v>29300</v>
      </c>
      <c r="H4714" s="11">
        <v>7.0</v>
      </c>
      <c r="I4714" s="11">
        <v>40.0</v>
      </c>
      <c r="J4714" s="11">
        <v>1.0</v>
      </c>
      <c r="K4714" s="11">
        <v>27.0</v>
      </c>
      <c r="L4714" s="12" t="s">
        <v>29301</v>
      </c>
      <c r="M4714" s="10" t="s">
        <v>29302</v>
      </c>
      <c r="N4714" s="10" t="s">
        <v>1181</v>
      </c>
      <c r="O4714" s="12" t="s">
        <v>1182</v>
      </c>
      <c r="P4714" s="10" t="s">
        <v>29124</v>
      </c>
      <c r="Q4714" s="10" t="s">
        <v>29125</v>
      </c>
      <c r="R4714" s="10" t="s">
        <v>1185</v>
      </c>
      <c r="S4714" s="12" t="s">
        <v>1186</v>
      </c>
      <c r="T4714" s="10" t="s">
        <v>66</v>
      </c>
      <c r="U4714" s="12" t="s">
        <v>31</v>
      </c>
      <c r="V4714" s="10" t="s">
        <v>95</v>
      </c>
      <c r="W4714" s="10" t="s">
        <v>29122</v>
      </c>
      <c r="X4714" s="13" t="str">
        <f>HYPERLINK("https://my.pitchbook.com?p=13745-80P","View People Online")</f>
        <v>View People Online</v>
      </c>
    </row>
    <row r="4715">
      <c r="A4715" s="14" t="s">
        <v>29303</v>
      </c>
      <c r="B4715" s="14" t="s">
        <v>29304</v>
      </c>
      <c r="C4715" s="14" t="s">
        <v>24756</v>
      </c>
      <c r="D4715" s="14" t="s">
        <v>5140</v>
      </c>
      <c r="E4715" s="14" t="s">
        <v>29122</v>
      </c>
      <c r="F4715" s="14" t="s">
        <v>114</v>
      </c>
      <c r="G4715" s="14" t="s">
        <v>29305</v>
      </c>
      <c r="H4715" s="15">
        <v>1.0</v>
      </c>
      <c r="I4715" s="15">
        <v>13.0</v>
      </c>
      <c r="J4715" s="15">
        <v>2.0</v>
      </c>
      <c r="K4715" s="15">
        <v>7.0</v>
      </c>
      <c r="L4715" s="16" t="s">
        <v>29306</v>
      </c>
      <c r="M4715" s="14" t="s">
        <v>31</v>
      </c>
      <c r="N4715" s="14" t="s">
        <v>29307</v>
      </c>
      <c r="O4715" s="16" t="s">
        <v>29308</v>
      </c>
      <c r="P4715" s="14" t="s">
        <v>29309</v>
      </c>
      <c r="Q4715" s="14" t="s">
        <v>31</v>
      </c>
      <c r="R4715" s="14" t="s">
        <v>75</v>
      </c>
      <c r="S4715" s="16" t="s">
        <v>29310</v>
      </c>
      <c r="T4715" s="14" t="s">
        <v>66</v>
      </c>
      <c r="U4715" s="16" t="s">
        <v>31</v>
      </c>
      <c r="V4715" s="14" t="s">
        <v>1283</v>
      </c>
      <c r="W4715" s="14" t="s">
        <v>29311</v>
      </c>
      <c r="X4715" s="17" t="str">
        <f>HYPERLINK("https://my.pitchbook.com?p=51483-07P","View People Online")</f>
        <v>View People Online</v>
      </c>
    </row>
    <row r="4716">
      <c r="A4716" s="2" t="s">
        <v>29312</v>
      </c>
      <c r="B4716" s="2" t="s">
        <v>29313</v>
      </c>
      <c r="C4716" s="2" t="s">
        <v>4345</v>
      </c>
      <c r="D4716" s="2" t="s">
        <v>29314</v>
      </c>
      <c r="E4716" s="2" t="s">
        <v>29122</v>
      </c>
      <c r="F4716" s="2" t="s">
        <v>114</v>
      </c>
      <c r="G4716" s="2" t="s">
        <v>29315</v>
      </c>
      <c r="H4716" s="3" t="s">
        <v>31</v>
      </c>
      <c r="I4716" s="3">
        <v>5.0</v>
      </c>
      <c r="J4716" s="3">
        <v>2.0</v>
      </c>
      <c r="K4716" s="3">
        <v>2.0</v>
      </c>
      <c r="L4716" s="4" t="s">
        <v>29316</v>
      </c>
      <c r="M4716" s="2" t="s">
        <v>31</v>
      </c>
      <c r="N4716" s="2" t="s">
        <v>29317</v>
      </c>
      <c r="O4716" s="4" t="s">
        <v>29318</v>
      </c>
      <c r="P4716" s="2" t="s">
        <v>29319</v>
      </c>
      <c r="Q4716" s="2" t="s">
        <v>7742</v>
      </c>
      <c r="R4716" s="2" t="s">
        <v>64</v>
      </c>
      <c r="S4716" s="4" t="s">
        <v>29320</v>
      </c>
      <c r="T4716" s="2" t="s">
        <v>66</v>
      </c>
      <c r="U4716" s="4" t="s">
        <v>31</v>
      </c>
      <c r="V4716" s="2" t="s">
        <v>24485</v>
      </c>
      <c r="W4716" s="2" t="s">
        <v>29321</v>
      </c>
      <c r="X4716" s="5" t="str">
        <f>HYPERLINK("https://my.pitchbook.com?p=57809-26P","View People Online")</f>
        <v>View People Online</v>
      </c>
    </row>
    <row r="4717">
      <c r="A4717" s="14" t="s">
        <v>29322</v>
      </c>
      <c r="B4717" s="14" t="s">
        <v>29323</v>
      </c>
      <c r="C4717" s="14" t="s">
        <v>8956</v>
      </c>
      <c r="D4717" s="14" t="s">
        <v>29324</v>
      </c>
      <c r="E4717" s="14" t="s">
        <v>29122</v>
      </c>
      <c r="F4717" s="14" t="s">
        <v>114</v>
      </c>
      <c r="G4717" s="14" t="s">
        <v>29325</v>
      </c>
      <c r="H4717" s="15" t="s">
        <v>31</v>
      </c>
      <c r="I4717" s="15">
        <v>1.0</v>
      </c>
      <c r="J4717" s="15">
        <v>1.0</v>
      </c>
      <c r="K4717" s="15" t="s">
        <v>31</v>
      </c>
      <c r="L4717" s="16" t="s">
        <v>31</v>
      </c>
      <c r="M4717" s="14" t="s">
        <v>29326</v>
      </c>
      <c r="N4717" s="14" t="s">
        <v>1181</v>
      </c>
      <c r="O4717" s="16" t="s">
        <v>1182</v>
      </c>
      <c r="P4717" s="14" t="s">
        <v>29124</v>
      </c>
      <c r="Q4717" s="14" t="s">
        <v>29125</v>
      </c>
      <c r="R4717" s="14" t="s">
        <v>1185</v>
      </c>
      <c r="S4717" s="16" t="s">
        <v>1186</v>
      </c>
      <c r="T4717" s="14" t="s">
        <v>66</v>
      </c>
      <c r="U4717" s="16" t="s">
        <v>31</v>
      </c>
      <c r="V4717" s="14" t="s">
        <v>114</v>
      </c>
      <c r="W4717" s="14" t="s">
        <v>29122</v>
      </c>
      <c r="X4717" s="17" t="str">
        <f>HYPERLINK("https://my.pitchbook.com?p=42988-78P","View People Online")</f>
        <v>View People Online</v>
      </c>
    </row>
    <row r="4718">
      <c r="A4718" s="2" t="s">
        <v>29327</v>
      </c>
      <c r="B4718" s="2" t="s">
        <v>29328</v>
      </c>
      <c r="C4718" s="2" t="s">
        <v>3977</v>
      </c>
      <c r="D4718" s="2" t="s">
        <v>29329</v>
      </c>
      <c r="E4718" s="2" t="s">
        <v>29122</v>
      </c>
      <c r="F4718" s="2" t="s">
        <v>114</v>
      </c>
      <c r="G4718" s="2" t="s">
        <v>29330</v>
      </c>
      <c r="H4718" s="3">
        <v>1.0</v>
      </c>
      <c r="I4718" s="3">
        <v>3.0</v>
      </c>
      <c r="J4718" s="3">
        <v>1.0</v>
      </c>
      <c r="K4718" s="3" t="s">
        <v>31</v>
      </c>
      <c r="L4718" s="4" t="s">
        <v>29331</v>
      </c>
      <c r="M4718" s="2" t="s">
        <v>31</v>
      </c>
      <c r="N4718" s="2" t="s">
        <v>1181</v>
      </c>
      <c r="O4718" s="4" t="s">
        <v>1182</v>
      </c>
      <c r="P4718" s="2" t="s">
        <v>29332</v>
      </c>
      <c r="Q4718" s="2" t="s">
        <v>29333</v>
      </c>
      <c r="R4718" s="2" t="s">
        <v>1185</v>
      </c>
      <c r="S4718" s="4" t="s">
        <v>1186</v>
      </c>
      <c r="T4718" s="2" t="s">
        <v>66</v>
      </c>
      <c r="U4718" s="4" t="s">
        <v>31</v>
      </c>
      <c r="V4718" s="2" t="s">
        <v>302</v>
      </c>
      <c r="W4718" s="2" t="s">
        <v>29334</v>
      </c>
      <c r="X4718" s="5" t="str">
        <f>HYPERLINK("https://my.pitchbook.com?p=76284-10P","View People Online")</f>
        <v>View People Online</v>
      </c>
    </row>
    <row r="4719">
      <c r="A4719" s="6" t="s">
        <v>29335</v>
      </c>
      <c r="B4719" s="6" t="s">
        <v>29336</v>
      </c>
      <c r="C4719" s="6" t="s">
        <v>350</v>
      </c>
      <c r="D4719" s="6" t="s">
        <v>29337</v>
      </c>
      <c r="E4719" s="6" t="s">
        <v>29122</v>
      </c>
      <c r="F4719" s="6" t="s">
        <v>114</v>
      </c>
      <c r="G4719" s="6" t="s">
        <v>29338</v>
      </c>
      <c r="H4719" s="7" t="s">
        <v>31</v>
      </c>
      <c r="I4719" s="7">
        <v>1.0</v>
      </c>
      <c r="J4719" s="7">
        <v>1.0</v>
      </c>
      <c r="K4719" s="7" t="s">
        <v>31</v>
      </c>
      <c r="L4719" s="8" t="s">
        <v>31</v>
      </c>
      <c r="M4719" s="6" t="s">
        <v>29339</v>
      </c>
      <c r="N4719" s="6" t="s">
        <v>1181</v>
      </c>
      <c r="O4719" s="8" t="s">
        <v>1182</v>
      </c>
      <c r="P4719" s="6" t="s">
        <v>29124</v>
      </c>
      <c r="Q4719" s="6" t="s">
        <v>29125</v>
      </c>
      <c r="R4719" s="6" t="s">
        <v>1185</v>
      </c>
      <c r="S4719" s="8" t="s">
        <v>1186</v>
      </c>
      <c r="T4719" s="6" t="s">
        <v>66</v>
      </c>
      <c r="U4719" s="8" t="s">
        <v>31</v>
      </c>
      <c r="V4719" s="6" t="s">
        <v>114</v>
      </c>
      <c r="W4719" s="6" t="s">
        <v>29122</v>
      </c>
      <c r="X4719" s="9" t="str">
        <f>HYPERLINK("https://my.pitchbook.com?p=33599-26P","View People Online")</f>
        <v>View People Online</v>
      </c>
    </row>
    <row r="4720">
      <c r="A4720" s="2" t="s">
        <v>29340</v>
      </c>
      <c r="B4720" s="2" t="s">
        <v>29341</v>
      </c>
      <c r="C4720" s="2" t="s">
        <v>2992</v>
      </c>
      <c r="D4720" s="2" t="s">
        <v>12452</v>
      </c>
      <c r="E4720" s="2" t="s">
        <v>29122</v>
      </c>
      <c r="F4720" s="2" t="s">
        <v>114</v>
      </c>
      <c r="G4720" s="2" t="s">
        <v>29342</v>
      </c>
      <c r="H4720" s="3">
        <v>1.0</v>
      </c>
      <c r="I4720" s="3">
        <v>2.0</v>
      </c>
      <c r="J4720" s="3">
        <v>1.0</v>
      </c>
      <c r="K4720" s="3" t="s">
        <v>31</v>
      </c>
      <c r="L4720" s="4" t="s">
        <v>31</v>
      </c>
      <c r="M4720" s="2" t="s">
        <v>29343</v>
      </c>
      <c r="N4720" s="2" t="s">
        <v>1181</v>
      </c>
      <c r="O4720" s="4" t="s">
        <v>1182</v>
      </c>
      <c r="P4720" s="2" t="s">
        <v>29124</v>
      </c>
      <c r="Q4720" s="2" t="s">
        <v>29125</v>
      </c>
      <c r="R4720" s="2" t="s">
        <v>1185</v>
      </c>
      <c r="S4720" s="4" t="s">
        <v>1186</v>
      </c>
      <c r="T4720" s="2" t="s">
        <v>66</v>
      </c>
      <c r="U4720" s="4" t="s">
        <v>31</v>
      </c>
      <c r="V4720" s="2" t="s">
        <v>5234</v>
      </c>
      <c r="W4720" s="2" t="s">
        <v>29344</v>
      </c>
      <c r="X4720" s="5" t="str">
        <f>HYPERLINK("https://my.pitchbook.com?p=156372-49P","View People Online")</f>
        <v>View People Online</v>
      </c>
    </row>
    <row r="4721">
      <c r="A4721" s="6" t="s">
        <v>29345</v>
      </c>
      <c r="B4721" s="6" t="s">
        <v>29346</v>
      </c>
      <c r="C4721" s="6" t="s">
        <v>1343</v>
      </c>
      <c r="D4721" s="6" t="s">
        <v>29347</v>
      </c>
      <c r="E4721" s="6" t="s">
        <v>29122</v>
      </c>
      <c r="F4721" s="6" t="s">
        <v>114</v>
      </c>
      <c r="G4721" s="6" t="s">
        <v>29348</v>
      </c>
      <c r="H4721" s="7" t="s">
        <v>31</v>
      </c>
      <c r="I4721" s="7">
        <v>2.0</v>
      </c>
      <c r="J4721" s="7">
        <v>2.0</v>
      </c>
      <c r="K4721" s="7" t="s">
        <v>31</v>
      </c>
      <c r="L4721" s="8" t="s">
        <v>29349</v>
      </c>
      <c r="M4721" s="6" t="s">
        <v>29350</v>
      </c>
      <c r="N4721" s="6" t="s">
        <v>29351</v>
      </c>
      <c r="O4721" s="8" t="s">
        <v>29352</v>
      </c>
      <c r="P4721" s="6" t="s">
        <v>29353</v>
      </c>
      <c r="Q4721" s="6" t="s">
        <v>29354</v>
      </c>
      <c r="R4721" s="6" t="s">
        <v>247</v>
      </c>
      <c r="S4721" s="8" t="s">
        <v>29355</v>
      </c>
      <c r="T4721" s="6" t="s">
        <v>249</v>
      </c>
      <c r="U4721" s="8" t="s">
        <v>31</v>
      </c>
      <c r="V4721" s="6" t="s">
        <v>13081</v>
      </c>
      <c r="W4721" s="6" t="s">
        <v>29356</v>
      </c>
      <c r="X4721" s="9" t="str">
        <f>HYPERLINK("https://my.pitchbook.com?p=161287-03P","View People Online")</f>
        <v>View People Online</v>
      </c>
    </row>
    <row r="4722">
      <c r="A4722" s="10" t="s">
        <v>29357</v>
      </c>
      <c r="B4722" s="10" t="s">
        <v>29358</v>
      </c>
      <c r="C4722" s="10" t="s">
        <v>3052</v>
      </c>
      <c r="D4722" s="10" t="s">
        <v>29359</v>
      </c>
      <c r="E4722" s="10" t="s">
        <v>29122</v>
      </c>
      <c r="F4722" s="10" t="s">
        <v>114</v>
      </c>
      <c r="G4722" s="10" t="s">
        <v>29360</v>
      </c>
      <c r="H4722" s="11" t="s">
        <v>31</v>
      </c>
      <c r="I4722" s="11">
        <v>1.0</v>
      </c>
      <c r="J4722" s="11">
        <v>1.0</v>
      </c>
      <c r="K4722" s="11" t="s">
        <v>31</v>
      </c>
      <c r="L4722" s="12" t="s">
        <v>31</v>
      </c>
      <c r="M4722" s="10" t="s">
        <v>31</v>
      </c>
      <c r="N4722" s="10" t="s">
        <v>1181</v>
      </c>
      <c r="O4722" s="12" t="s">
        <v>1182</v>
      </c>
      <c r="P4722" s="10" t="s">
        <v>29124</v>
      </c>
      <c r="Q4722" s="10" t="s">
        <v>29125</v>
      </c>
      <c r="R4722" s="10" t="s">
        <v>1185</v>
      </c>
      <c r="S4722" s="12" t="s">
        <v>1186</v>
      </c>
      <c r="T4722" s="10" t="s">
        <v>66</v>
      </c>
      <c r="U4722" s="12" t="s">
        <v>31</v>
      </c>
      <c r="V4722" s="10" t="s">
        <v>114</v>
      </c>
      <c r="W4722" s="10" t="s">
        <v>29122</v>
      </c>
      <c r="X4722" s="13" t="str">
        <f>HYPERLINK("https://my.pitchbook.com?p=41649-67P","View People Online")</f>
        <v>View People Online</v>
      </c>
    </row>
    <row r="4723">
      <c r="A4723" s="14" t="s">
        <v>29361</v>
      </c>
      <c r="B4723" s="14" t="s">
        <v>29362</v>
      </c>
      <c r="C4723" s="14" t="s">
        <v>6856</v>
      </c>
      <c r="D4723" s="14" t="s">
        <v>29363</v>
      </c>
      <c r="E4723" s="14" t="s">
        <v>29122</v>
      </c>
      <c r="F4723" s="14" t="s">
        <v>114</v>
      </c>
      <c r="G4723" s="14" t="s">
        <v>29364</v>
      </c>
      <c r="H4723" s="15" t="s">
        <v>31</v>
      </c>
      <c r="I4723" s="15">
        <v>2.0</v>
      </c>
      <c r="J4723" s="15">
        <v>2.0</v>
      </c>
      <c r="K4723" s="15" t="s">
        <v>31</v>
      </c>
      <c r="L4723" s="16" t="s">
        <v>31</v>
      </c>
      <c r="M4723" s="14" t="s">
        <v>29365</v>
      </c>
      <c r="N4723" s="14" t="s">
        <v>29366</v>
      </c>
      <c r="O4723" s="16" t="s">
        <v>29367</v>
      </c>
      <c r="P4723" s="14" t="s">
        <v>29368</v>
      </c>
      <c r="Q4723" s="14" t="s">
        <v>29369</v>
      </c>
      <c r="R4723" s="14" t="s">
        <v>24327</v>
      </c>
      <c r="S4723" s="16" t="s">
        <v>29370</v>
      </c>
      <c r="T4723" s="14" t="s">
        <v>66</v>
      </c>
      <c r="U4723" s="16" t="s">
        <v>31</v>
      </c>
      <c r="V4723" s="14" t="s">
        <v>558</v>
      </c>
      <c r="W4723" s="14" t="s">
        <v>29371</v>
      </c>
      <c r="X4723" s="17" t="str">
        <f>HYPERLINK("https://my.pitchbook.com?p=229256-38P","View People Online")</f>
        <v>View People Online</v>
      </c>
    </row>
    <row r="4724">
      <c r="A4724" s="2" t="s">
        <v>29372</v>
      </c>
      <c r="B4724" s="2" t="s">
        <v>29373</v>
      </c>
      <c r="C4724" s="2" t="s">
        <v>6453</v>
      </c>
      <c r="D4724" s="2" t="s">
        <v>29374</v>
      </c>
      <c r="E4724" s="2" t="s">
        <v>29122</v>
      </c>
      <c r="F4724" s="2" t="s">
        <v>114</v>
      </c>
      <c r="G4724" s="2" t="s">
        <v>29375</v>
      </c>
      <c r="H4724" s="3">
        <v>6.0</v>
      </c>
      <c r="I4724" s="3">
        <v>12.0</v>
      </c>
      <c r="J4724" s="3">
        <v>1.0</v>
      </c>
      <c r="K4724" s="3">
        <v>3.0</v>
      </c>
      <c r="L4724" s="4" t="s">
        <v>29376</v>
      </c>
      <c r="M4724" s="2" t="s">
        <v>31</v>
      </c>
      <c r="N4724" s="2" t="s">
        <v>273</v>
      </c>
      <c r="O4724" s="4" t="s">
        <v>274</v>
      </c>
      <c r="P4724" s="2" t="s">
        <v>29377</v>
      </c>
      <c r="Q4724" s="2" t="s">
        <v>31</v>
      </c>
      <c r="R4724" s="2" t="s">
        <v>31</v>
      </c>
      <c r="S4724" s="4" t="s">
        <v>29378</v>
      </c>
      <c r="T4724" s="2" t="s">
        <v>276</v>
      </c>
      <c r="U4724" s="4" t="s">
        <v>31</v>
      </c>
      <c r="V4724" s="2" t="s">
        <v>2379</v>
      </c>
      <c r="W4724" s="2" t="s">
        <v>29379</v>
      </c>
      <c r="X4724" s="5" t="str">
        <f>HYPERLINK("https://my.pitchbook.com?p=39425-86P","View People Online")</f>
        <v>View People Online</v>
      </c>
    </row>
    <row r="4725">
      <c r="A4725" s="14" t="s">
        <v>29380</v>
      </c>
      <c r="B4725" s="14" t="s">
        <v>29381</v>
      </c>
      <c r="C4725" s="14" t="s">
        <v>4480</v>
      </c>
      <c r="D4725" s="14" t="s">
        <v>29382</v>
      </c>
      <c r="E4725" s="14" t="s">
        <v>29122</v>
      </c>
      <c r="F4725" s="14" t="s">
        <v>114</v>
      </c>
      <c r="G4725" s="14" t="s">
        <v>29383</v>
      </c>
      <c r="H4725" s="15" t="s">
        <v>31</v>
      </c>
      <c r="I4725" s="15">
        <v>1.0</v>
      </c>
      <c r="J4725" s="15">
        <v>1.0</v>
      </c>
      <c r="K4725" s="15" t="s">
        <v>31</v>
      </c>
      <c r="L4725" s="16" t="s">
        <v>31</v>
      </c>
      <c r="M4725" s="14" t="s">
        <v>31</v>
      </c>
      <c r="N4725" s="14" t="s">
        <v>1181</v>
      </c>
      <c r="O4725" s="16" t="s">
        <v>1182</v>
      </c>
      <c r="P4725" s="14" t="s">
        <v>29124</v>
      </c>
      <c r="Q4725" s="14" t="s">
        <v>29125</v>
      </c>
      <c r="R4725" s="14" t="s">
        <v>1185</v>
      </c>
      <c r="S4725" s="16" t="s">
        <v>1186</v>
      </c>
      <c r="T4725" s="14" t="s">
        <v>66</v>
      </c>
      <c r="U4725" s="16" t="s">
        <v>31</v>
      </c>
      <c r="V4725" s="14" t="s">
        <v>558</v>
      </c>
      <c r="W4725" s="14" t="s">
        <v>29384</v>
      </c>
      <c r="X4725" s="17" t="str">
        <f>HYPERLINK("https://my.pitchbook.com?p=263213-20P","View People Online")</f>
        <v>View People Online</v>
      </c>
    </row>
    <row r="4726">
      <c r="A4726" s="10" t="s">
        <v>29385</v>
      </c>
      <c r="B4726" s="10" t="s">
        <v>29386</v>
      </c>
      <c r="C4726" s="10" t="s">
        <v>2288</v>
      </c>
      <c r="D4726" s="10" t="s">
        <v>29387</v>
      </c>
      <c r="E4726" s="10" t="s">
        <v>29122</v>
      </c>
      <c r="F4726" s="10" t="s">
        <v>114</v>
      </c>
      <c r="G4726" s="10" t="s">
        <v>29388</v>
      </c>
      <c r="H4726" s="11">
        <v>1.0</v>
      </c>
      <c r="I4726" s="11">
        <v>2.0</v>
      </c>
      <c r="J4726" s="11">
        <v>2.0</v>
      </c>
      <c r="K4726" s="11" t="s">
        <v>31</v>
      </c>
      <c r="L4726" s="12" t="s">
        <v>29389</v>
      </c>
      <c r="M4726" s="10" t="s">
        <v>29390</v>
      </c>
      <c r="N4726" s="10" t="s">
        <v>29391</v>
      </c>
      <c r="O4726" s="12" t="s">
        <v>29392</v>
      </c>
      <c r="P4726" s="10" t="s">
        <v>29393</v>
      </c>
      <c r="Q4726" s="10" t="s">
        <v>18516</v>
      </c>
      <c r="R4726" s="10" t="s">
        <v>1185</v>
      </c>
      <c r="S4726" s="12" t="s">
        <v>29394</v>
      </c>
      <c r="T4726" s="10" t="s">
        <v>66</v>
      </c>
      <c r="U4726" s="12" t="s">
        <v>31</v>
      </c>
      <c r="V4726" s="10" t="s">
        <v>1384</v>
      </c>
      <c r="W4726" s="10" t="s">
        <v>29395</v>
      </c>
      <c r="X4726" s="13" t="str">
        <f>HYPERLINK("https://my.pitchbook.com?p=46566-55P","View People Online")</f>
        <v>View People Online</v>
      </c>
    </row>
    <row r="4727">
      <c r="A4727" s="6" t="s">
        <v>29396</v>
      </c>
      <c r="B4727" s="6" t="s">
        <v>29397</v>
      </c>
      <c r="C4727" s="6" t="s">
        <v>160</v>
      </c>
      <c r="D4727" s="6" t="s">
        <v>29398</v>
      </c>
      <c r="E4727" s="6" t="s">
        <v>29122</v>
      </c>
      <c r="F4727" s="6" t="s">
        <v>114</v>
      </c>
      <c r="G4727" s="6" t="s">
        <v>29399</v>
      </c>
      <c r="H4727" s="7" t="s">
        <v>31</v>
      </c>
      <c r="I4727" s="7">
        <v>1.0</v>
      </c>
      <c r="J4727" s="7">
        <v>1.0</v>
      </c>
      <c r="K4727" s="7" t="s">
        <v>31</v>
      </c>
      <c r="L4727" s="8" t="s">
        <v>31</v>
      </c>
      <c r="M4727" s="6" t="s">
        <v>31</v>
      </c>
      <c r="N4727" s="6" t="s">
        <v>1181</v>
      </c>
      <c r="O4727" s="8" t="s">
        <v>1182</v>
      </c>
      <c r="P4727" s="6" t="s">
        <v>29124</v>
      </c>
      <c r="Q4727" s="6" t="s">
        <v>29125</v>
      </c>
      <c r="R4727" s="6" t="s">
        <v>1185</v>
      </c>
      <c r="S4727" s="8" t="s">
        <v>1186</v>
      </c>
      <c r="T4727" s="6" t="s">
        <v>66</v>
      </c>
      <c r="U4727" s="8" t="s">
        <v>31</v>
      </c>
      <c r="V4727" s="6" t="s">
        <v>114</v>
      </c>
      <c r="W4727" s="6" t="s">
        <v>29122</v>
      </c>
      <c r="X4727" s="9" t="str">
        <f>HYPERLINK("https://my.pitchbook.com?p=328194-28P","View People Online")</f>
        <v>View People Online</v>
      </c>
    </row>
    <row r="4728">
      <c r="A4728" s="2" t="s">
        <v>29400</v>
      </c>
      <c r="B4728" s="2" t="s">
        <v>29401</v>
      </c>
      <c r="C4728" s="2" t="s">
        <v>27095</v>
      </c>
      <c r="D4728" s="2" t="s">
        <v>4345</v>
      </c>
      <c r="E4728" s="2" t="s">
        <v>29122</v>
      </c>
      <c r="F4728" s="2" t="s">
        <v>825</v>
      </c>
      <c r="G4728" s="2" t="s">
        <v>29402</v>
      </c>
      <c r="H4728" s="3" t="s">
        <v>31</v>
      </c>
      <c r="I4728" s="3">
        <v>1.0</v>
      </c>
      <c r="J4728" s="3">
        <v>1.0</v>
      </c>
      <c r="K4728" s="3" t="s">
        <v>31</v>
      </c>
      <c r="L4728" s="4" t="s">
        <v>31</v>
      </c>
      <c r="M4728" s="2" t="s">
        <v>29403</v>
      </c>
      <c r="N4728" s="2" t="s">
        <v>1181</v>
      </c>
      <c r="O4728" s="4" t="s">
        <v>1182</v>
      </c>
      <c r="P4728" s="2" t="s">
        <v>29124</v>
      </c>
      <c r="Q4728" s="2" t="s">
        <v>29125</v>
      </c>
      <c r="R4728" s="2" t="s">
        <v>1185</v>
      </c>
      <c r="S4728" s="4" t="s">
        <v>1186</v>
      </c>
      <c r="T4728" s="2" t="s">
        <v>66</v>
      </c>
      <c r="U4728" s="4" t="s">
        <v>31</v>
      </c>
      <c r="V4728" s="2" t="s">
        <v>29404</v>
      </c>
      <c r="W4728" s="2" t="s">
        <v>29122</v>
      </c>
      <c r="X4728" s="5" t="str">
        <f>HYPERLINK("https://my.pitchbook.com?p=427420-00P","View People Online")</f>
        <v>View People Online</v>
      </c>
    </row>
    <row r="4729">
      <c r="A4729" s="6" t="s">
        <v>29405</v>
      </c>
      <c r="B4729" s="6" t="s">
        <v>29406</v>
      </c>
      <c r="C4729" s="6" t="s">
        <v>4033</v>
      </c>
      <c r="D4729" s="6" t="s">
        <v>29407</v>
      </c>
      <c r="E4729" s="6" t="s">
        <v>29122</v>
      </c>
      <c r="F4729" s="6" t="s">
        <v>114</v>
      </c>
      <c r="G4729" s="6" t="s">
        <v>29408</v>
      </c>
      <c r="H4729" s="7" t="s">
        <v>31</v>
      </c>
      <c r="I4729" s="7">
        <v>4.0</v>
      </c>
      <c r="J4729" s="7">
        <v>4.0</v>
      </c>
      <c r="K4729" s="7" t="s">
        <v>31</v>
      </c>
      <c r="L4729" s="8" t="s">
        <v>1379</v>
      </c>
      <c r="M4729" s="6" t="s">
        <v>31</v>
      </c>
      <c r="N4729" s="6" t="s">
        <v>1181</v>
      </c>
      <c r="O4729" s="8" t="s">
        <v>1182</v>
      </c>
      <c r="P4729" s="6" t="s">
        <v>1381</v>
      </c>
      <c r="Q4729" s="6" t="s">
        <v>1382</v>
      </c>
      <c r="R4729" s="6" t="s">
        <v>1185</v>
      </c>
      <c r="S4729" s="8" t="s">
        <v>1383</v>
      </c>
      <c r="T4729" s="6" t="s">
        <v>66</v>
      </c>
      <c r="U4729" s="8" t="s">
        <v>31</v>
      </c>
      <c r="V4729" s="6" t="s">
        <v>502</v>
      </c>
      <c r="W4729" s="6" t="s">
        <v>1385</v>
      </c>
      <c r="X4729" s="9" t="str">
        <f>HYPERLINK("https://my.pitchbook.com?p=68257-00P","View People Online")</f>
        <v>View People Online</v>
      </c>
    </row>
    <row r="4730">
      <c r="A4730" s="10" t="s">
        <v>29409</v>
      </c>
      <c r="B4730" s="10" t="s">
        <v>29410</v>
      </c>
      <c r="C4730" s="10" t="s">
        <v>26528</v>
      </c>
      <c r="D4730" s="10" t="s">
        <v>29411</v>
      </c>
      <c r="E4730" s="10" t="s">
        <v>29122</v>
      </c>
      <c r="F4730" s="10" t="s">
        <v>114</v>
      </c>
      <c r="G4730" s="10" t="s">
        <v>29412</v>
      </c>
      <c r="H4730" s="11">
        <v>1.0</v>
      </c>
      <c r="I4730" s="11">
        <v>4.0</v>
      </c>
      <c r="J4730" s="11">
        <v>2.0</v>
      </c>
      <c r="K4730" s="11">
        <v>1.0</v>
      </c>
      <c r="L4730" s="12" t="s">
        <v>29413</v>
      </c>
      <c r="M4730" s="10" t="s">
        <v>31</v>
      </c>
      <c r="N4730" s="10" t="s">
        <v>29414</v>
      </c>
      <c r="O4730" s="12" t="s">
        <v>29415</v>
      </c>
      <c r="P4730" s="10" t="s">
        <v>29416</v>
      </c>
      <c r="Q4730" s="10" t="s">
        <v>2566</v>
      </c>
      <c r="R4730" s="10" t="s">
        <v>24327</v>
      </c>
      <c r="S4730" s="12" t="s">
        <v>29417</v>
      </c>
      <c r="T4730" s="10" t="s">
        <v>66</v>
      </c>
      <c r="U4730" s="12" t="s">
        <v>31</v>
      </c>
      <c r="V4730" s="10" t="s">
        <v>29418</v>
      </c>
      <c r="W4730" s="10" t="s">
        <v>29419</v>
      </c>
      <c r="X4730" s="13" t="str">
        <f>HYPERLINK("https://my.pitchbook.com?p=50159-08P","View People Online")</f>
        <v>View People Online</v>
      </c>
    </row>
    <row r="4731">
      <c r="A4731" s="6" t="s">
        <v>29420</v>
      </c>
      <c r="B4731" s="6" t="s">
        <v>29421</v>
      </c>
      <c r="C4731" s="6" t="s">
        <v>29422</v>
      </c>
      <c r="D4731" s="6" t="s">
        <v>29423</v>
      </c>
      <c r="E4731" s="6" t="s">
        <v>29122</v>
      </c>
      <c r="F4731" s="6" t="s">
        <v>29424</v>
      </c>
      <c r="G4731" s="6" t="s">
        <v>29425</v>
      </c>
      <c r="H4731" s="7" t="s">
        <v>31</v>
      </c>
      <c r="I4731" s="7">
        <v>2.0</v>
      </c>
      <c r="J4731" s="7">
        <v>1.0</v>
      </c>
      <c r="K4731" s="7" t="s">
        <v>31</v>
      </c>
      <c r="L4731" s="8" t="s">
        <v>31</v>
      </c>
      <c r="M4731" s="6" t="s">
        <v>29426</v>
      </c>
      <c r="N4731" s="6" t="s">
        <v>1181</v>
      </c>
      <c r="O4731" s="8" t="s">
        <v>1182</v>
      </c>
      <c r="P4731" s="6" t="s">
        <v>29124</v>
      </c>
      <c r="Q4731" s="6" t="s">
        <v>29125</v>
      </c>
      <c r="R4731" s="6" t="s">
        <v>1185</v>
      </c>
      <c r="S4731" s="8" t="s">
        <v>1186</v>
      </c>
      <c r="T4731" s="6" t="s">
        <v>66</v>
      </c>
      <c r="U4731" s="8" t="s">
        <v>31</v>
      </c>
      <c r="V4731" s="6" t="s">
        <v>29427</v>
      </c>
      <c r="W4731" s="6" t="s">
        <v>29122</v>
      </c>
      <c r="X4731" s="9" t="str">
        <f>HYPERLINK("https://my.pitchbook.com?p=138644-11P","View People Online")</f>
        <v>View People Online</v>
      </c>
    </row>
    <row r="4732">
      <c r="A4732" s="10" t="s">
        <v>29428</v>
      </c>
      <c r="B4732" s="10" t="s">
        <v>29429</v>
      </c>
      <c r="C4732" s="10" t="s">
        <v>26616</v>
      </c>
      <c r="D4732" s="10" t="s">
        <v>29430</v>
      </c>
      <c r="E4732" s="10" t="s">
        <v>29122</v>
      </c>
      <c r="F4732" s="10" t="s">
        <v>114</v>
      </c>
      <c r="G4732" s="10" t="s">
        <v>29431</v>
      </c>
      <c r="H4732" s="11">
        <v>1.0</v>
      </c>
      <c r="I4732" s="11">
        <v>11.0</v>
      </c>
      <c r="J4732" s="11">
        <v>5.0</v>
      </c>
      <c r="K4732" s="11">
        <v>4.0</v>
      </c>
      <c r="L4732" s="12" t="s">
        <v>29432</v>
      </c>
      <c r="M4732" s="10" t="s">
        <v>29433</v>
      </c>
      <c r="N4732" s="10" t="s">
        <v>29434</v>
      </c>
      <c r="O4732" s="12" t="s">
        <v>29435</v>
      </c>
      <c r="P4732" s="10" t="s">
        <v>29436</v>
      </c>
      <c r="Q4732" s="10" t="s">
        <v>29437</v>
      </c>
      <c r="R4732" s="10" t="s">
        <v>75</v>
      </c>
      <c r="S4732" s="12" t="s">
        <v>29438</v>
      </c>
      <c r="T4732" s="10" t="s">
        <v>66</v>
      </c>
      <c r="U4732" s="12" t="s">
        <v>31</v>
      </c>
      <c r="V4732" s="10" t="s">
        <v>1283</v>
      </c>
      <c r="W4732" s="10" t="s">
        <v>29439</v>
      </c>
      <c r="X4732" s="13" t="str">
        <f>HYPERLINK("https://my.pitchbook.com?p=110757-16P","View People Online")</f>
        <v>View People Online</v>
      </c>
    </row>
    <row r="4733">
      <c r="A4733" s="6" t="s">
        <v>29440</v>
      </c>
      <c r="B4733" s="6" t="s">
        <v>29441</v>
      </c>
      <c r="C4733" s="6" t="s">
        <v>536</v>
      </c>
      <c r="D4733" s="6" t="s">
        <v>15536</v>
      </c>
      <c r="E4733" s="6" t="s">
        <v>29122</v>
      </c>
      <c r="F4733" s="6" t="s">
        <v>114</v>
      </c>
      <c r="G4733" s="6" t="s">
        <v>29442</v>
      </c>
      <c r="H4733" s="7">
        <v>1.0</v>
      </c>
      <c r="I4733" s="7">
        <v>2.0</v>
      </c>
      <c r="J4733" s="7">
        <v>2.0</v>
      </c>
      <c r="K4733" s="7" t="s">
        <v>31</v>
      </c>
      <c r="L4733" s="8" t="s">
        <v>29443</v>
      </c>
      <c r="M4733" s="6" t="s">
        <v>29444</v>
      </c>
      <c r="N4733" s="6" t="s">
        <v>75</v>
      </c>
      <c r="O4733" s="8" t="s">
        <v>76</v>
      </c>
      <c r="P4733" s="6" t="s">
        <v>29445</v>
      </c>
      <c r="Q4733" s="6" t="s">
        <v>29446</v>
      </c>
      <c r="R4733" s="6" t="s">
        <v>75</v>
      </c>
      <c r="S4733" s="8" t="s">
        <v>2167</v>
      </c>
      <c r="T4733" s="6" t="s">
        <v>66</v>
      </c>
      <c r="U4733" s="8" t="s">
        <v>31</v>
      </c>
      <c r="V4733" s="6" t="s">
        <v>29447</v>
      </c>
      <c r="W4733" s="6" t="s">
        <v>29448</v>
      </c>
      <c r="X4733" s="9" t="str">
        <f>HYPERLINK("https://my.pitchbook.com?p=191877-58P","View People Online")</f>
        <v>View People Online</v>
      </c>
    </row>
    <row r="4734">
      <c r="A4734" s="2" t="s">
        <v>29449</v>
      </c>
      <c r="B4734" s="2" t="s">
        <v>29450</v>
      </c>
      <c r="C4734" s="2" t="s">
        <v>29451</v>
      </c>
      <c r="D4734" s="2" t="s">
        <v>29452</v>
      </c>
      <c r="E4734" s="2" t="s">
        <v>29122</v>
      </c>
      <c r="F4734" s="2" t="s">
        <v>114</v>
      </c>
      <c r="G4734" s="2" t="s">
        <v>29453</v>
      </c>
      <c r="H4734" s="3">
        <v>7.0</v>
      </c>
      <c r="I4734" s="3">
        <v>8.0</v>
      </c>
      <c r="J4734" s="3">
        <v>1.0</v>
      </c>
      <c r="K4734" s="3" t="s">
        <v>31</v>
      </c>
      <c r="L4734" s="4" t="s">
        <v>29454</v>
      </c>
      <c r="M4734" s="2" t="s">
        <v>31</v>
      </c>
      <c r="N4734" s="2" t="s">
        <v>7690</v>
      </c>
      <c r="O4734" s="4" t="s">
        <v>7691</v>
      </c>
      <c r="P4734" s="2" t="s">
        <v>29455</v>
      </c>
      <c r="Q4734" s="2" t="s">
        <v>31</v>
      </c>
      <c r="R4734" s="2" t="s">
        <v>7693</v>
      </c>
      <c r="S4734" s="4" t="s">
        <v>29456</v>
      </c>
      <c r="T4734" s="2" t="s">
        <v>66</v>
      </c>
      <c r="U4734" s="4" t="s">
        <v>31</v>
      </c>
      <c r="V4734" s="2" t="s">
        <v>29457</v>
      </c>
      <c r="W4734" s="2" t="s">
        <v>29458</v>
      </c>
      <c r="X4734" s="5" t="str">
        <f>HYPERLINK("https://my.pitchbook.com?p=130044-07P","View People Online")</f>
        <v>View People Online</v>
      </c>
    </row>
    <row r="4735">
      <c r="A4735" s="14" t="s">
        <v>29459</v>
      </c>
      <c r="B4735" s="14" t="s">
        <v>29460</v>
      </c>
      <c r="C4735" s="14" t="s">
        <v>21366</v>
      </c>
      <c r="D4735" s="14" t="s">
        <v>29461</v>
      </c>
      <c r="E4735" s="14" t="s">
        <v>29122</v>
      </c>
      <c r="F4735" s="14" t="s">
        <v>371</v>
      </c>
      <c r="G4735" s="14" t="s">
        <v>29462</v>
      </c>
      <c r="H4735" s="15" t="s">
        <v>31</v>
      </c>
      <c r="I4735" s="15">
        <v>1.0</v>
      </c>
      <c r="J4735" s="15">
        <v>1.0</v>
      </c>
      <c r="K4735" s="15" t="s">
        <v>31</v>
      </c>
      <c r="L4735" s="16" t="s">
        <v>29463</v>
      </c>
      <c r="M4735" s="14" t="s">
        <v>29464</v>
      </c>
      <c r="N4735" s="14" t="s">
        <v>1181</v>
      </c>
      <c r="O4735" s="16" t="s">
        <v>1182</v>
      </c>
      <c r="P4735" s="14" t="s">
        <v>29124</v>
      </c>
      <c r="Q4735" s="14" t="s">
        <v>29125</v>
      </c>
      <c r="R4735" s="14" t="s">
        <v>1185</v>
      </c>
      <c r="S4735" s="16" t="s">
        <v>1186</v>
      </c>
      <c r="T4735" s="14" t="s">
        <v>66</v>
      </c>
      <c r="U4735" s="16" t="s">
        <v>31</v>
      </c>
      <c r="V4735" s="14" t="s">
        <v>371</v>
      </c>
      <c r="W4735" s="14" t="s">
        <v>29122</v>
      </c>
      <c r="X4735" s="17" t="str">
        <f>HYPERLINK("https://my.pitchbook.com?p=261608-68P","View People Online")</f>
        <v>View People Online</v>
      </c>
    </row>
    <row r="4736">
      <c r="A4736" s="2" t="s">
        <v>29465</v>
      </c>
      <c r="B4736" s="2" t="s">
        <v>29466</v>
      </c>
      <c r="C4736" s="2" t="s">
        <v>1376</v>
      </c>
      <c r="D4736" s="2" t="s">
        <v>29467</v>
      </c>
      <c r="E4736" s="2" t="s">
        <v>29122</v>
      </c>
      <c r="F4736" s="2" t="s">
        <v>114</v>
      </c>
      <c r="G4736" s="2" t="s">
        <v>29468</v>
      </c>
      <c r="H4736" s="3" t="s">
        <v>31</v>
      </c>
      <c r="I4736" s="3">
        <v>1.0</v>
      </c>
      <c r="J4736" s="3">
        <v>1.0</v>
      </c>
      <c r="K4736" s="3" t="s">
        <v>31</v>
      </c>
      <c r="L4736" s="4" t="s">
        <v>31</v>
      </c>
      <c r="M4736" s="2" t="s">
        <v>31</v>
      </c>
      <c r="N4736" s="2" t="s">
        <v>1181</v>
      </c>
      <c r="O4736" s="4" t="s">
        <v>1182</v>
      </c>
      <c r="P4736" s="2" t="s">
        <v>29124</v>
      </c>
      <c r="Q4736" s="2" t="s">
        <v>29125</v>
      </c>
      <c r="R4736" s="2" t="s">
        <v>1185</v>
      </c>
      <c r="S4736" s="4" t="s">
        <v>1186</v>
      </c>
      <c r="T4736" s="2" t="s">
        <v>66</v>
      </c>
      <c r="U4736" s="4" t="s">
        <v>31</v>
      </c>
      <c r="V4736" s="2" t="s">
        <v>114</v>
      </c>
      <c r="W4736" s="2" t="s">
        <v>29122</v>
      </c>
      <c r="X4736" s="5" t="str">
        <f>HYPERLINK("https://my.pitchbook.com?p=328212-46P","View People Online")</f>
        <v>View People Online</v>
      </c>
    </row>
    <row r="4737">
      <c r="A4737" s="6" t="s">
        <v>29469</v>
      </c>
      <c r="B4737" s="6" t="s">
        <v>29470</v>
      </c>
      <c r="C4737" s="6" t="s">
        <v>3716</v>
      </c>
      <c r="D4737" s="6" t="s">
        <v>29275</v>
      </c>
      <c r="E4737" s="6" t="s">
        <v>29122</v>
      </c>
      <c r="F4737" s="6" t="s">
        <v>114</v>
      </c>
      <c r="G4737" s="6" t="s">
        <v>29471</v>
      </c>
      <c r="H4737" s="7" t="s">
        <v>31</v>
      </c>
      <c r="I4737" s="7">
        <v>1.0</v>
      </c>
      <c r="J4737" s="7">
        <v>1.0</v>
      </c>
      <c r="K4737" s="7" t="s">
        <v>31</v>
      </c>
      <c r="L4737" s="8" t="s">
        <v>31</v>
      </c>
      <c r="M4737" s="6" t="s">
        <v>31</v>
      </c>
      <c r="N4737" s="6" t="s">
        <v>1181</v>
      </c>
      <c r="O4737" s="8" t="s">
        <v>1182</v>
      </c>
      <c r="P4737" s="6" t="s">
        <v>29124</v>
      </c>
      <c r="Q4737" s="6" t="s">
        <v>29125</v>
      </c>
      <c r="R4737" s="6" t="s">
        <v>1185</v>
      </c>
      <c r="S4737" s="8" t="s">
        <v>1186</v>
      </c>
      <c r="T4737" s="6" t="s">
        <v>66</v>
      </c>
      <c r="U4737" s="8" t="s">
        <v>31</v>
      </c>
      <c r="V4737" s="6" t="s">
        <v>114</v>
      </c>
      <c r="W4737" s="6" t="s">
        <v>29122</v>
      </c>
      <c r="X4737" s="9" t="str">
        <f>HYPERLINK("https://my.pitchbook.com?p=328209-94P","View People Online")</f>
        <v>View People Online</v>
      </c>
    </row>
    <row r="4738">
      <c r="A4738" s="10" t="s">
        <v>29472</v>
      </c>
      <c r="B4738" s="10" t="s">
        <v>29473</v>
      </c>
      <c r="C4738" s="10" t="s">
        <v>6199</v>
      </c>
      <c r="D4738" s="10" t="s">
        <v>24129</v>
      </c>
      <c r="E4738" s="10" t="s">
        <v>29122</v>
      </c>
      <c r="F4738" s="10" t="s">
        <v>114</v>
      </c>
      <c r="G4738" s="10" t="s">
        <v>29474</v>
      </c>
      <c r="H4738" s="11" t="s">
        <v>31</v>
      </c>
      <c r="I4738" s="11">
        <v>1.0</v>
      </c>
      <c r="J4738" s="11">
        <v>1.0</v>
      </c>
      <c r="K4738" s="11" t="s">
        <v>31</v>
      </c>
      <c r="L4738" s="12" t="s">
        <v>31</v>
      </c>
      <c r="M4738" s="10" t="s">
        <v>31</v>
      </c>
      <c r="N4738" s="10" t="s">
        <v>1181</v>
      </c>
      <c r="O4738" s="12" t="s">
        <v>1182</v>
      </c>
      <c r="P4738" s="10" t="s">
        <v>29124</v>
      </c>
      <c r="Q4738" s="10" t="s">
        <v>29125</v>
      </c>
      <c r="R4738" s="10" t="s">
        <v>1185</v>
      </c>
      <c r="S4738" s="12" t="s">
        <v>1186</v>
      </c>
      <c r="T4738" s="10" t="s">
        <v>66</v>
      </c>
      <c r="U4738" s="12" t="s">
        <v>31</v>
      </c>
      <c r="V4738" s="10" t="s">
        <v>114</v>
      </c>
      <c r="W4738" s="10" t="s">
        <v>29122</v>
      </c>
      <c r="X4738" s="13" t="str">
        <f>HYPERLINK("https://my.pitchbook.com?p=204245-65P","View People Online")</f>
        <v>View People Online</v>
      </c>
    </row>
    <row r="4739">
      <c r="A4739" s="6" t="s">
        <v>29475</v>
      </c>
      <c r="B4739" s="6" t="s">
        <v>29476</v>
      </c>
      <c r="C4739" s="6" t="s">
        <v>562</v>
      </c>
      <c r="D4739" s="6" t="s">
        <v>29477</v>
      </c>
      <c r="E4739" s="6" t="s">
        <v>29122</v>
      </c>
      <c r="F4739" s="6" t="s">
        <v>86</v>
      </c>
      <c r="G4739" s="6" t="s">
        <v>29478</v>
      </c>
      <c r="H4739" s="7">
        <v>4.0</v>
      </c>
      <c r="I4739" s="7">
        <v>19.0</v>
      </c>
      <c r="J4739" s="7">
        <v>1.0</v>
      </c>
      <c r="K4739" s="7">
        <v>11.0</v>
      </c>
      <c r="L4739" s="8" t="s">
        <v>31</v>
      </c>
      <c r="M4739" s="6" t="s">
        <v>29479</v>
      </c>
      <c r="N4739" s="6" t="s">
        <v>1181</v>
      </c>
      <c r="O4739" s="8" t="s">
        <v>1182</v>
      </c>
      <c r="P4739" s="6" t="s">
        <v>29124</v>
      </c>
      <c r="Q4739" s="6" t="s">
        <v>29125</v>
      </c>
      <c r="R4739" s="6" t="s">
        <v>1185</v>
      </c>
      <c r="S4739" s="8" t="s">
        <v>1186</v>
      </c>
      <c r="T4739" s="6" t="s">
        <v>66</v>
      </c>
      <c r="U4739" s="8" t="s">
        <v>31</v>
      </c>
      <c r="V4739" s="6" t="s">
        <v>95</v>
      </c>
      <c r="W4739" s="6" t="s">
        <v>29122</v>
      </c>
      <c r="X4739" s="9" t="str">
        <f>HYPERLINK("https://my.pitchbook.com?p=16296-49P","View People Online")</f>
        <v>View People Online</v>
      </c>
    </row>
    <row r="4740">
      <c r="A4740" s="2" t="s">
        <v>29480</v>
      </c>
      <c r="B4740" s="2" t="s">
        <v>29481</v>
      </c>
      <c r="C4740" s="2" t="s">
        <v>2483</v>
      </c>
      <c r="D4740" s="2" t="s">
        <v>29482</v>
      </c>
      <c r="E4740" s="2" t="s">
        <v>29122</v>
      </c>
      <c r="F4740" s="2" t="s">
        <v>114</v>
      </c>
      <c r="G4740" s="2" t="s">
        <v>29483</v>
      </c>
      <c r="H4740" s="3">
        <v>1.0</v>
      </c>
      <c r="I4740" s="3">
        <v>5.0</v>
      </c>
      <c r="J4740" s="3">
        <v>2.0</v>
      </c>
      <c r="K4740" s="3">
        <v>2.0</v>
      </c>
      <c r="L4740" s="4" t="s">
        <v>29484</v>
      </c>
      <c r="M4740" s="2" t="s">
        <v>29485</v>
      </c>
      <c r="N4740" s="2" t="s">
        <v>1181</v>
      </c>
      <c r="O4740" s="4" t="s">
        <v>1182</v>
      </c>
      <c r="P4740" s="2" t="s">
        <v>29486</v>
      </c>
      <c r="Q4740" s="2" t="s">
        <v>23552</v>
      </c>
      <c r="R4740" s="2" t="s">
        <v>1185</v>
      </c>
      <c r="S4740" s="4" t="s">
        <v>29487</v>
      </c>
      <c r="T4740" s="2" t="s">
        <v>66</v>
      </c>
      <c r="U4740" s="4" t="s">
        <v>31</v>
      </c>
      <c r="V4740" s="2" t="s">
        <v>470</v>
      </c>
      <c r="W4740" s="2" t="s">
        <v>29488</v>
      </c>
      <c r="X4740" s="5" t="str">
        <f>HYPERLINK("https://my.pitchbook.com?p=328182-22P","View People Online")</f>
        <v>View People Online</v>
      </c>
    </row>
    <row r="4741">
      <c r="A4741" s="6" t="s">
        <v>29489</v>
      </c>
      <c r="B4741" s="6" t="s">
        <v>29490</v>
      </c>
      <c r="C4741" s="6" t="s">
        <v>1830</v>
      </c>
      <c r="D4741" s="6" t="s">
        <v>29491</v>
      </c>
      <c r="E4741" s="6" t="s">
        <v>29122</v>
      </c>
      <c r="F4741" s="6" t="s">
        <v>114</v>
      </c>
      <c r="G4741" s="6" t="s">
        <v>29492</v>
      </c>
      <c r="H4741" s="7" t="s">
        <v>31</v>
      </c>
      <c r="I4741" s="7">
        <v>1.0</v>
      </c>
      <c r="J4741" s="7">
        <v>1.0</v>
      </c>
      <c r="K4741" s="7" t="s">
        <v>31</v>
      </c>
      <c r="L4741" s="8" t="s">
        <v>31</v>
      </c>
      <c r="M4741" s="6" t="s">
        <v>31</v>
      </c>
      <c r="N4741" s="6" t="s">
        <v>1181</v>
      </c>
      <c r="O4741" s="8" t="s">
        <v>1182</v>
      </c>
      <c r="P4741" s="6" t="s">
        <v>29124</v>
      </c>
      <c r="Q4741" s="6" t="s">
        <v>29125</v>
      </c>
      <c r="R4741" s="6" t="s">
        <v>1185</v>
      </c>
      <c r="S4741" s="8" t="s">
        <v>1186</v>
      </c>
      <c r="T4741" s="6" t="s">
        <v>66</v>
      </c>
      <c r="U4741" s="8" t="s">
        <v>31</v>
      </c>
      <c r="V4741" s="6" t="s">
        <v>114</v>
      </c>
      <c r="W4741" s="6" t="s">
        <v>29122</v>
      </c>
      <c r="X4741" s="9" t="str">
        <f>HYPERLINK("https://my.pitchbook.com?p=49197-70P","View People Online")</f>
        <v>View People Online</v>
      </c>
    </row>
    <row r="4742">
      <c r="A4742" s="10" t="s">
        <v>29493</v>
      </c>
      <c r="B4742" s="10" t="s">
        <v>29494</v>
      </c>
      <c r="C4742" s="10" t="s">
        <v>1830</v>
      </c>
      <c r="D4742" s="10" t="s">
        <v>29495</v>
      </c>
      <c r="E4742" s="10" t="s">
        <v>29122</v>
      </c>
      <c r="F4742" s="10" t="s">
        <v>114</v>
      </c>
      <c r="G4742" s="10" t="s">
        <v>29496</v>
      </c>
      <c r="H4742" s="11" t="s">
        <v>31</v>
      </c>
      <c r="I4742" s="11">
        <v>1.0</v>
      </c>
      <c r="J4742" s="11">
        <v>1.0</v>
      </c>
      <c r="K4742" s="11" t="s">
        <v>31</v>
      </c>
      <c r="L4742" s="12" t="s">
        <v>31</v>
      </c>
      <c r="M4742" s="10" t="s">
        <v>29497</v>
      </c>
      <c r="N4742" s="10" t="s">
        <v>1181</v>
      </c>
      <c r="O4742" s="12" t="s">
        <v>1182</v>
      </c>
      <c r="P4742" s="10" t="s">
        <v>29124</v>
      </c>
      <c r="Q4742" s="10" t="s">
        <v>29125</v>
      </c>
      <c r="R4742" s="10" t="s">
        <v>1185</v>
      </c>
      <c r="S4742" s="12" t="s">
        <v>1186</v>
      </c>
      <c r="T4742" s="10" t="s">
        <v>66</v>
      </c>
      <c r="U4742" s="12" t="s">
        <v>31</v>
      </c>
      <c r="V4742" s="10" t="s">
        <v>114</v>
      </c>
      <c r="W4742" s="10" t="s">
        <v>29122</v>
      </c>
      <c r="X4742" s="13" t="str">
        <f>HYPERLINK("https://my.pitchbook.com?p=106845-76P","View People Online")</f>
        <v>View People Online</v>
      </c>
    </row>
    <row r="4743">
      <c r="A4743" s="14" t="s">
        <v>29498</v>
      </c>
      <c r="B4743" s="14" t="s">
        <v>29499</v>
      </c>
      <c r="C4743" s="14" t="s">
        <v>7372</v>
      </c>
      <c r="D4743" s="14" t="s">
        <v>29500</v>
      </c>
      <c r="E4743" s="14" t="s">
        <v>29122</v>
      </c>
      <c r="F4743" s="14" t="s">
        <v>114</v>
      </c>
      <c r="G4743" s="14" t="s">
        <v>29501</v>
      </c>
      <c r="H4743" s="15" t="s">
        <v>31</v>
      </c>
      <c r="I4743" s="15">
        <v>2.0</v>
      </c>
      <c r="J4743" s="15">
        <v>2.0</v>
      </c>
      <c r="K4743" s="15" t="s">
        <v>31</v>
      </c>
      <c r="L4743" s="16" t="s">
        <v>29502</v>
      </c>
      <c r="M4743" s="14" t="s">
        <v>29503</v>
      </c>
      <c r="N4743" s="14" t="s">
        <v>2599</v>
      </c>
      <c r="O4743" s="16" t="s">
        <v>2600</v>
      </c>
      <c r="P4743" s="14" t="s">
        <v>29504</v>
      </c>
      <c r="Q4743" s="14" t="s">
        <v>29505</v>
      </c>
      <c r="R4743" s="14" t="s">
        <v>396</v>
      </c>
      <c r="S4743" s="16" t="s">
        <v>13435</v>
      </c>
      <c r="T4743" s="14" t="s">
        <v>66</v>
      </c>
      <c r="U4743" s="16" t="s">
        <v>31</v>
      </c>
      <c r="V4743" s="14" t="s">
        <v>29506</v>
      </c>
      <c r="W4743" s="14" t="s">
        <v>29507</v>
      </c>
      <c r="X4743" s="17" t="str">
        <f>HYPERLINK("https://my.pitchbook.com?p=378540-73P","View People Online")</f>
        <v>View People Online</v>
      </c>
    </row>
    <row r="4744">
      <c r="A4744" s="10" t="s">
        <v>29508</v>
      </c>
      <c r="B4744" s="10" t="s">
        <v>29509</v>
      </c>
      <c r="C4744" s="10" t="s">
        <v>7372</v>
      </c>
      <c r="D4744" s="10" t="s">
        <v>29510</v>
      </c>
      <c r="E4744" s="10" t="s">
        <v>29122</v>
      </c>
      <c r="F4744" s="10" t="s">
        <v>114</v>
      </c>
      <c r="G4744" s="10" t="s">
        <v>29511</v>
      </c>
      <c r="H4744" s="11" t="s">
        <v>31</v>
      </c>
      <c r="I4744" s="11">
        <v>2.0</v>
      </c>
      <c r="J4744" s="11">
        <v>2.0</v>
      </c>
      <c r="K4744" s="11" t="s">
        <v>31</v>
      </c>
      <c r="L4744" s="12" t="s">
        <v>29512</v>
      </c>
      <c r="M4744" s="10" t="s">
        <v>29513</v>
      </c>
      <c r="N4744" s="10" t="s">
        <v>4232</v>
      </c>
      <c r="O4744" s="12" t="s">
        <v>4233</v>
      </c>
      <c r="P4744" s="10" t="s">
        <v>29514</v>
      </c>
      <c r="Q4744" s="10" t="s">
        <v>29515</v>
      </c>
      <c r="R4744" s="10" t="s">
        <v>4236</v>
      </c>
      <c r="S4744" s="12" t="s">
        <v>11182</v>
      </c>
      <c r="T4744" s="10" t="s">
        <v>66</v>
      </c>
      <c r="U4744" s="12" t="s">
        <v>31</v>
      </c>
      <c r="V4744" s="10" t="s">
        <v>114</v>
      </c>
      <c r="W4744" s="10" t="s">
        <v>29516</v>
      </c>
      <c r="X4744" s="13" t="str">
        <f>HYPERLINK("https://my.pitchbook.com?p=328236-04P","View People Online")</f>
        <v>View People Online</v>
      </c>
    </row>
    <row r="4745">
      <c r="A4745" s="6" t="s">
        <v>29517</v>
      </c>
      <c r="B4745" s="6" t="s">
        <v>29518</v>
      </c>
      <c r="C4745" s="6" t="s">
        <v>29519</v>
      </c>
      <c r="D4745" s="6" t="s">
        <v>29520</v>
      </c>
      <c r="E4745" s="6" t="s">
        <v>29122</v>
      </c>
      <c r="F4745" s="6" t="s">
        <v>114</v>
      </c>
      <c r="G4745" s="6" t="s">
        <v>29521</v>
      </c>
      <c r="H4745" s="7" t="s">
        <v>31</v>
      </c>
      <c r="I4745" s="7">
        <v>2.0</v>
      </c>
      <c r="J4745" s="7">
        <v>2.0</v>
      </c>
      <c r="K4745" s="7" t="s">
        <v>31</v>
      </c>
      <c r="L4745" s="8" t="s">
        <v>29522</v>
      </c>
      <c r="M4745" s="6" t="s">
        <v>29523</v>
      </c>
      <c r="N4745" s="6" t="s">
        <v>4232</v>
      </c>
      <c r="O4745" s="8" t="s">
        <v>4233</v>
      </c>
      <c r="P4745" s="6" t="s">
        <v>29524</v>
      </c>
      <c r="Q4745" s="6" t="s">
        <v>10345</v>
      </c>
      <c r="R4745" s="6" t="s">
        <v>4236</v>
      </c>
      <c r="S4745" s="8" t="s">
        <v>29525</v>
      </c>
      <c r="T4745" s="6" t="s">
        <v>66</v>
      </c>
      <c r="U4745" s="8" t="s">
        <v>31</v>
      </c>
      <c r="V4745" s="6" t="s">
        <v>470</v>
      </c>
      <c r="W4745" s="6" t="s">
        <v>29526</v>
      </c>
      <c r="X4745" s="9" t="str">
        <f>HYPERLINK("https://my.pitchbook.com?p=42664-24P","View People Online")</f>
        <v>View People Online</v>
      </c>
    </row>
    <row r="4746">
      <c r="A4746" s="10" t="s">
        <v>29527</v>
      </c>
      <c r="B4746" s="10" t="s">
        <v>29528</v>
      </c>
      <c r="C4746" s="10" t="s">
        <v>8483</v>
      </c>
      <c r="D4746" s="10" t="s">
        <v>29529</v>
      </c>
      <c r="E4746" s="10" t="s">
        <v>29530</v>
      </c>
      <c r="F4746" s="10" t="s">
        <v>318</v>
      </c>
      <c r="G4746" s="10" t="s">
        <v>29531</v>
      </c>
      <c r="H4746" s="11">
        <v>1.0</v>
      </c>
      <c r="I4746" s="11">
        <v>5.0</v>
      </c>
      <c r="J4746" s="11">
        <v>1.0</v>
      </c>
      <c r="K4746" s="11">
        <v>2.0</v>
      </c>
      <c r="L4746" s="12" t="s">
        <v>29532</v>
      </c>
      <c r="M4746" s="10" t="s">
        <v>29533</v>
      </c>
      <c r="N4746" s="10" t="s">
        <v>775</v>
      </c>
      <c r="O4746" s="12" t="s">
        <v>776</v>
      </c>
      <c r="P4746" s="10" t="s">
        <v>29534</v>
      </c>
      <c r="Q4746" s="10" t="s">
        <v>31</v>
      </c>
      <c r="R4746" s="10" t="s">
        <v>64</v>
      </c>
      <c r="S4746" s="12" t="s">
        <v>5635</v>
      </c>
      <c r="T4746" s="10" t="s">
        <v>66</v>
      </c>
      <c r="U4746" s="12" t="s">
        <v>31</v>
      </c>
      <c r="V4746" s="10" t="s">
        <v>318</v>
      </c>
      <c r="W4746" s="10" t="s">
        <v>29530</v>
      </c>
      <c r="X4746" s="13" t="str">
        <f>HYPERLINK("https://my.pitchbook.com?p=239018-59P","View People Online")</f>
        <v>View People Online</v>
      </c>
    </row>
    <row r="4747">
      <c r="A4747" s="6" t="s">
        <v>29535</v>
      </c>
      <c r="B4747" s="6" t="s">
        <v>29536</v>
      </c>
      <c r="C4747" s="6" t="s">
        <v>29537</v>
      </c>
      <c r="D4747" s="6" t="s">
        <v>28843</v>
      </c>
      <c r="E4747" s="6" t="s">
        <v>29530</v>
      </c>
      <c r="F4747" s="6" t="s">
        <v>1106</v>
      </c>
      <c r="G4747" s="6" t="s">
        <v>29538</v>
      </c>
      <c r="H4747" s="7">
        <v>7.0</v>
      </c>
      <c r="I4747" s="7">
        <v>35.0</v>
      </c>
      <c r="J4747" s="7">
        <v>1.0</v>
      </c>
      <c r="K4747" s="7">
        <v>22.0</v>
      </c>
      <c r="L4747" s="8" t="s">
        <v>29532</v>
      </c>
      <c r="M4747" s="6" t="s">
        <v>29539</v>
      </c>
      <c r="N4747" s="6" t="s">
        <v>775</v>
      </c>
      <c r="O4747" s="8" t="s">
        <v>776</v>
      </c>
      <c r="P4747" s="6" t="s">
        <v>29534</v>
      </c>
      <c r="Q4747" s="6" t="s">
        <v>31</v>
      </c>
      <c r="R4747" s="6" t="s">
        <v>64</v>
      </c>
      <c r="S4747" s="8" t="s">
        <v>5635</v>
      </c>
      <c r="T4747" s="6" t="s">
        <v>66</v>
      </c>
      <c r="U4747" s="8" t="s">
        <v>31</v>
      </c>
      <c r="V4747" s="6" t="s">
        <v>29540</v>
      </c>
      <c r="W4747" s="6" t="s">
        <v>29530</v>
      </c>
      <c r="X4747" s="9" t="str">
        <f>HYPERLINK("https://my.pitchbook.com?p=13417-48P","View People Online")</f>
        <v>View People Online</v>
      </c>
    </row>
    <row r="4748">
      <c r="A4748" s="10" t="s">
        <v>29541</v>
      </c>
      <c r="B4748" s="10" t="s">
        <v>29542</v>
      </c>
      <c r="C4748" s="10" t="s">
        <v>1426</v>
      </c>
      <c r="D4748" s="10" t="s">
        <v>6341</v>
      </c>
      <c r="E4748" s="10" t="s">
        <v>29530</v>
      </c>
      <c r="F4748" s="10" t="s">
        <v>81</v>
      </c>
      <c r="G4748" s="10" t="s">
        <v>29543</v>
      </c>
      <c r="H4748" s="11">
        <v>2.0</v>
      </c>
      <c r="I4748" s="11">
        <v>8.0</v>
      </c>
      <c r="J4748" s="11">
        <v>2.0</v>
      </c>
      <c r="K4748" s="11" t="s">
        <v>31</v>
      </c>
      <c r="L4748" s="12" t="s">
        <v>29544</v>
      </c>
      <c r="M4748" s="10" t="s">
        <v>29545</v>
      </c>
      <c r="N4748" s="10" t="s">
        <v>155</v>
      </c>
      <c r="O4748" s="12" t="s">
        <v>156</v>
      </c>
      <c r="P4748" s="10" t="s">
        <v>29546</v>
      </c>
      <c r="Q4748" s="10" t="s">
        <v>31</v>
      </c>
      <c r="R4748" s="10" t="s">
        <v>64</v>
      </c>
      <c r="S4748" s="12" t="s">
        <v>3487</v>
      </c>
      <c r="T4748" s="10" t="s">
        <v>66</v>
      </c>
      <c r="U4748" s="12" t="s">
        <v>31</v>
      </c>
      <c r="V4748" s="10" t="s">
        <v>71</v>
      </c>
      <c r="W4748" s="10" t="s">
        <v>29547</v>
      </c>
      <c r="X4748" s="13" t="str">
        <f>HYPERLINK("https://my.pitchbook.com?p=44622-55P","View People Online")</f>
        <v>View People Online</v>
      </c>
    </row>
    <row r="4749">
      <c r="A4749" s="6" t="s">
        <v>29548</v>
      </c>
      <c r="B4749" s="6" t="s">
        <v>29549</v>
      </c>
      <c r="C4749" s="6" t="s">
        <v>29550</v>
      </c>
      <c r="D4749" s="6" t="s">
        <v>29551</v>
      </c>
      <c r="E4749" s="6" t="s">
        <v>29530</v>
      </c>
      <c r="F4749" s="6" t="s">
        <v>81</v>
      </c>
      <c r="G4749" s="6" t="s">
        <v>29552</v>
      </c>
      <c r="H4749" s="7">
        <v>1.0</v>
      </c>
      <c r="I4749" s="7">
        <v>2.0</v>
      </c>
      <c r="J4749" s="7" t="s">
        <v>31</v>
      </c>
      <c r="K4749" s="7" t="s">
        <v>31</v>
      </c>
      <c r="L4749" s="8" t="s">
        <v>29553</v>
      </c>
      <c r="M4749" s="6" t="s">
        <v>31</v>
      </c>
      <c r="N4749" s="6" t="s">
        <v>155</v>
      </c>
      <c r="O4749" s="8" t="s">
        <v>156</v>
      </c>
      <c r="P4749" s="6" t="s">
        <v>29554</v>
      </c>
      <c r="Q4749" s="6" t="s">
        <v>31</v>
      </c>
      <c r="R4749" s="6" t="s">
        <v>64</v>
      </c>
      <c r="S4749" s="8" t="s">
        <v>29555</v>
      </c>
      <c r="T4749" s="6" t="s">
        <v>66</v>
      </c>
      <c r="U4749" s="8" t="s">
        <v>29556</v>
      </c>
      <c r="V4749" s="6" t="s">
        <v>2379</v>
      </c>
      <c r="W4749" s="6" t="s">
        <v>29557</v>
      </c>
      <c r="X4749" s="9" t="str">
        <f>HYPERLINK("https://my.pitchbook.com?p=175782-79P","View People Online")</f>
        <v>View People Online</v>
      </c>
    </row>
    <row r="4750">
      <c r="A4750" s="2" t="s">
        <v>29558</v>
      </c>
      <c r="B4750" s="2" t="s">
        <v>29559</v>
      </c>
      <c r="C4750" s="2" t="s">
        <v>1343</v>
      </c>
      <c r="D4750" s="2" t="s">
        <v>4169</v>
      </c>
      <c r="E4750" s="2" t="s">
        <v>29530</v>
      </c>
      <c r="F4750" s="2" t="s">
        <v>81</v>
      </c>
      <c r="G4750" s="2" t="s">
        <v>29560</v>
      </c>
      <c r="H4750" s="3" t="s">
        <v>31</v>
      </c>
      <c r="I4750" s="3">
        <v>1.0</v>
      </c>
      <c r="J4750" s="3" t="s">
        <v>31</v>
      </c>
      <c r="K4750" s="3" t="s">
        <v>31</v>
      </c>
      <c r="L4750" s="4" t="s">
        <v>29532</v>
      </c>
      <c r="M4750" s="2" t="s">
        <v>31</v>
      </c>
      <c r="N4750" s="2" t="s">
        <v>775</v>
      </c>
      <c r="O4750" s="4" t="s">
        <v>776</v>
      </c>
      <c r="P4750" s="2" t="s">
        <v>29534</v>
      </c>
      <c r="Q4750" s="2" t="s">
        <v>31</v>
      </c>
      <c r="R4750" s="2" t="s">
        <v>64</v>
      </c>
      <c r="S4750" s="4" t="s">
        <v>5635</v>
      </c>
      <c r="T4750" s="2" t="s">
        <v>66</v>
      </c>
      <c r="U4750" s="4" t="s">
        <v>31</v>
      </c>
      <c r="V4750" s="2" t="s">
        <v>81</v>
      </c>
      <c r="W4750" s="2" t="s">
        <v>29530</v>
      </c>
      <c r="X4750" s="5" t="str">
        <f>HYPERLINK("https://my.pitchbook.com?p=183390-31P","View People Online")</f>
        <v>View People Online</v>
      </c>
    </row>
    <row r="4751">
      <c r="A4751" s="14" t="s">
        <v>29561</v>
      </c>
      <c r="B4751" s="14" t="s">
        <v>29562</v>
      </c>
      <c r="C4751" s="14" t="s">
        <v>1489</v>
      </c>
      <c r="D4751" s="14" t="s">
        <v>11075</v>
      </c>
      <c r="E4751" s="14" t="s">
        <v>29530</v>
      </c>
      <c r="F4751" s="14" t="s">
        <v>81</v>
      </c>
      <c r="G4751" s="14" t="s">
        <v>29563</v>
      </c>
      <c r="H4751" s="15">
        <v>2.0</v>
      </c>
      <c r="I4751" s="15">
        <v>31.0</v>
      </c>
      <c r="J4751" s="15">
        <v>6.0</v>
      </c>
      <c r="K4751" s="15">
        <v>19.0</v>
      </c>
      <c r="L4751" s="16" t="s">
        <v>31</v>
      </c>
      <c r="M4751" s="14" t="s">
        <v>29564</v>
      </c>
      <c r="N4751" s="14" t="s">
        <v>1034</v>
      </c>
      <c r="O4751" s="16" t="s">
        <v>1035</v>
      </c>
      <c r="P4751" s="14" t="s">
        <v>29565</v>
      </c>
      <c r="Q4751" s="14" t="s">
        <v>29566</v>
      </c>
      <c r="R4751" s="14" t="s">
        <v>31</v>
      </c>
      <c r="S4751" s="16" t="s">
        <v>29567</v>
      </c>
      <c r="T4751" s="14" t="s">
        <v>1034</v>
      </c>
      <c r="U4751" s="16" t="s">
        <v>31</v>
      </c>
      <c r="V4751" s="14" t="s">
        <v>29568</v>
      </c>
      <c r="W4751" s="14" t="s">
        <v>29569</v>
      </c>
      <c r="X4751" s="17" t="str">
        <f>HYPERLINK("https://my.pitchbook.com?p=36399-61P","View People Online")</f>
        <v>View People Online</v>
      </c>
    </row>
    <row r="4752">
      <c r="A4752" s="10" t="s">
        <v>29570</v>
      </c>
      <c r="B4752" s="10" t="s">
        <v>29571</v>
      </c>
      <c r="C4752" s="10" t="s">
        <v>934</v>
      </c>
      <c r="D4752" s="10" t="s">
        <v>22525</v>
      </c>
      <c r="E4752" s="10" t="s">
        <v>29530</v>
      </c>
      <c r="F4752" s="10" t="s">
        <v>1106</v>
      </c>
      <c r="G4752" s="10" t="s">
        <v>29572</v>
      </c>
      <c r="H4752" s="11">
        <v>1.0</v>
      </c>
      <c r="I4752" s="11">
        <v>8.0</v>
      </c>
      <c r="J4752" s="11">
        <v>1.0</v>
      </c>
      <c r="K4752" s="11">
        <v>4.0</v>
      </c>
      <c r="L4752" s="12" t="s">
        <v>29532</v>
      </c>
      <c r="M4752" s="10" t="s">
        <v>29573</v>
      </c>
      <c r="N4752" s="10" t="s">
        <v>775</v>
      </c>
      <c r="O4752" s="12" t="s">
        <v>776</v>
      </c>
      <c r="P4752" s="10" t="s">
        <v>29534</v>
      </c>
      <c r="Q4752" s="10" t="s">
        <v>31</v>
      </c>
      <c r="R4752" s="10" t="s">
        <v>64</v>
      </c>
      <c r="S4752" s="12" t="s">
        <v>5635</v>
      </c>
      <c r="T4752" s="10" t="s">
        <v>66</v>
      </c>
      <c r="U4752" s="12" t="s">
        <v>31</v>
      </c>
      <c r="V4752" s="10" t="s">
        <v>29574</v>
      </c>
      <c r="W4752" s="10" t="s">
        <v>29530</v>
      </c>
      <c r="X4752" s="13" t="str">
        <f>HYPERLINK("https://my.pitchbook.com?p=65365-84P","View People Online")</f>
        <v>View People Online</v>
      </c>
    </row>
    <row r="4753">
      <c r="A4753" s="14" t="s">
        <v>29575</v>
      </c>
      <c r="B4753" s="14" t="s">
        <v>29576</v>
      </c>
      <c r="C4753" s="14" t="s">
        <v>3370</v>
      </c>
      <c r="D4753" s="14" t="s">
        <v>8016</v>
      </c>
      <c r="E4753" s="14" t="s">
        <v>29530</v>
      </c>
      <c r="F4753" s="14" t="s">
        <v>270</v>
      </c>
      <c r="G4753" s="14" t="s">
        <v>29577</v>
      </c>
      <c r="H4753" s="15" t="s">
        <v>31</v>
      </c>
      <c r="I4753" s="15">
        <v>1.0</v>
      </c>
      <c r="J4753" s="15">
        <v>1.0</v>
      </c>
      <c r="K4753" s="15" t="s">
        <v>31</v>
      </c>
      <c r="L4753" s="16" t="s">
        <v>29532</v>
      </c>
      <c r="M4753" s="14" t="s">
        <v>31</v>
      </c>
      <c r="N4753" s="14" t="s">
        <v>775</v>
      </c>
      <c r="O4753" s="16" t="s">
        <v>776</v>
      </c>
      <c r="P4753" s="14" t="s">
        <v>29534</v>
      </c>
      <c r="Q4753" s="14" t="s">
        <v>31</v>
      </c>
      <c r="R4753" s="14" t="s">
        <v>64</v>
      </c>
      <c r="S4753" s="16" t="s">
        <v>5635</v>
      </c>
      <c r="T4753" s="14" t="s">
        <v>66</v>
      </c>
      <c r="U4753" s="16" t="s">
        <v>31</v>
      </c>
      <c r="V4753" s="14" t="s">
        <v>440</v>
      </c>
      <c r="W4753" s="14" t="s">
        <v>29530</v>
      </c>
      <c r="X4753" s="17" t="str">
        <f>HYPERLINK("https://my.pitchbook.com?p=410051-53P","View People Online")</f>
        <v>View People Online</v>
      </c>
    </row>
    <row r="4754">
      <c r="A4754" s="2" t="s">
        <v>29578</v>
      </c>
      <c r="B4754" s="2" t="s">
        <v>29579</v>
      </c>
      <c r="C4754" s="2" t="s">
        <v>22263</v>
      </c>
      <c r="D4754" s="2" t="s">
        <v>29580</v>
      </c>
      <c r="E4754" s="2" t="s">
        <v>29530</v>
      </c>
      <c r="F4754" s="2" t="s">
        <v>1283</v>
      </c>
      <c r="G4754" s="2" t="s">
        <v>29581</v>
      </c>
      <c r="H4754" s="3" t="s">
        <v>31</v>
      </c>
      <c r="I4754" s="3">
        <v>1.0</v>
      </c>
      <c r="J4754" s="3">
        <v>1.0</v>
      </c>
      <c r="K4754" s="3" t="s">
        <v>31</v>
      </c>
      <c r="L4754" s="4" t="s">
        <v>29532</v>
      </c>
      <c r="M4754" s="2" t="s">
        <v>29582</v>
      </c>
      <c r="N4754" s="2" t="s">
        <v>775</v>
      </c>
      <c r="O4754" s="4" t="s">
        <v>776</v>
      </c>
      <c r="P4754" s="2" t="s">
        <v>29534</v>
      </c>
      <c r="Q4754" s="2" t="s">
        <v>31</v>
      </c>
      <c r="R4754" s="2" t="s">
        <v>64</v>
      </c>
      <c r="S4754" s="4" t="s">
        <v>5635</v>
      </c>
      <c r="T4754" s="2" t="s">
        <v>66</v>
      </c>
      <c r="U4754" s="4" t="s">
        <v>31</v>
      </c>
      <c r="V4754" s="2" t="s">
        <v>1283</v>
      </c>
      <c r="W4754" s="2" t="s">
        <v>29530</v>
      </c>
      <c r="X4754" s="5" t="str">
        <f>HYPERLINK("https://my.pitchbook.com?p=183389-50P","View People Online")</f>
        <v>View People Online</v>
      </c>
    </row>
    <row r="4755">
      <c r="A4755" s="14" t="s">
        <v>29583</v>
      </c>
      <c r="B4755" s="14" t="s">
        <v>29584</v>
      </c>
      <c r="C4755" s="14" t="s">
        <v>29585</v>
      </c>
      <c r="D4755" s="14" t="s">
        <v>5302</v>
      </c>
      <c r="E4755" s="14" t="s">
        <v>29530</v>
      </c>
      <c r="F4755" s="14" t="s">
        <v>29586</v>
      </c>
      <c r="G4755" s="14" t="s">
        <v>29587</v>
      </c>
      <c r="H4755" s="15" t="s">
        <v>31</v>
      </c>
      <c r="I4755" s="15">
        <v>1.0</v>
      </c>
      <c r="J4755" s="15">
        <v>1.0</v>
      </c>
      <c r="K4755" s="15" t="s">
        <v>31</v>
      </c>
      <c r="L4755" s="16" t="s">
        <v>29532</v>
      </c>
      <c r="M4755" s="14" t="s">
        <v>29588</v>
      </c>
      <c r="N4755" s="14" t="s">
        <v>775</v>
      </c>
      <c r="O4755" s="16" t="s">
        <v>776</v>
      </c>
      <c r="P4755" s="14" t="s">
        <v>29534</v>
      </c>
      <c r="Q4755" s="14" t="s">
        <v>31</v>
      </c>
      <c r="R4755" s="14" t="s">
        <v>64</v>
      </c>
      <c r="S4755" s="16" t="s">
        <v>5635</v>
      </c>
      <c r="T4755" s="14" t="s">
        <v>66</v>
      </c>
      <c r="U4755" s="16" t="s">
        <v>31</v>
      </c>
      <c r="V4755" s="14" t="s">
        <v>29589</v>
      </c>
      <c r="W4755" s="14" t="s">
        <v>29530</v>
      </c>
      <c r="X4755" s="17" t="str">
        <f>HYPERLINK("https://my.pitchbook.com?p=410053-33P","View People Online")</f>
        <v>View People Online</v>
      </c>
    </row>
    <row r="4756">
      <c r="A4756" s="10" t="s">
        <v>29590</v>
      </c>
      <c r="B4756" s="10" t="s">
        <v>29591</v>
      </c>
      <c r="C4756" s="10" t="s">
        <v>29592</v>
      </c>
      <c r="D4756" s="10" t="s">
        <v>29593</v>
      </c>
      <c r="E4756" s="10" t="s">
        <v>29594</v>
      </c>
      <c r="F4756" s="10" t="s">
        <v>8217</v>
      </c>
      <c r="G4756" s="10" t="s">
        <v>29595</v>
      </c>
      <c r="H4756" s="11" t="s">
        <v>31</v>
      </c>
      <c r="I4756" s="11">
        <v>1.0</v>
      </c>
      <c r="J4756" s="11">
        <v>1.0</v>
      </c>
      <c r="K4756" s="11" t="s">
        <v>31</v>
      </c>
      <c r="L4756" s="12" t="s">
        <v>29596</v>
      </c>
      <c r="M4756" s="10" t="s">
        <v>29597</v>
      </c>
      <c r="N4756" s="10" t="s">
        <v>155</v>
      </c>
      <c r="O4756" s="12" t="s">
        <v>156</v>
      </c>
      <c r="P4756" s="10" t="s">
        <v>29598</v>
      </c>
      <c r="Q4756" s="10" t="s">
        <v>29599</v>
      </c>
      <c r="R4756" s="10" t="s">
        <v>64</v>
      </c>
      <c r="S4756" s="12" t="s">
        <v>3487</v>
      </c>
      <c r="T4756" s="10" t="s">
        <v>66</v>
      </c>
      <c r="U4756" s="12" t="s">
        <v>31</v>
      </c>
      <c r="V4756" s="10" t="s">
        <v>8217</v>
      </c>
      <c r="W4756" s="10" t="s">
        <v>29594</v>
      </c>
      <c r="X4756" s="13" t="str">
        <f>HYPERLINK("https://my.pitchbook.com?p=351090-28P","View People Online")</f>
        <v>View People Online</v>
      </c>
    </row>
    <row r="4757">
      <c r="A4757" s="6" t="s">
        <v>29600</v>
      </c>
      <c r="B4757" s="6" t="s">
        <v>29601</v>
      </c>
      <c r="C4757" s="6" t="s">
        <v>149</v>
      </c>
      <c r="D4757" s="6" t="s">
        <v>29602</v>
      </c>
      <c r="E4757" s="6" t="s">
        <v>29594</v>
      </c>
      <c r="F4757" s="6" t="s">
        <v>674</v>
      </c>
      <c r="G4757" s="6" t="s">
        <v>29603</v>
      </c>
      <c r="H4757" s="7">
        <v>7.0</v>
      </c>
      <c r="I4757" s="7">
        <v>52.0</v>
      </c>
      <c r="J4757" s="7">
        <v>1.0</v>
      </c>
      <c r="K4757" s="7">
        <v>36.0</v>
      </c>
      <c r="L4757" s="8" t="s">
        <v>29596</v>
      </c>
      <c r="M4757" s="6" t="s">
        <v>29604</v>
      </c>
      <c r="N4757" s="6" t="s">
        <v>155</v>
      </c>
      <c r="O4757" s="8" t="s">
        <v>156</v>
      </c>
      <c r="P4757" s="6" t="s">
        <v>29598</v>
      </c>
      <c r="Q4757" s="6" t="s">
        <v>29599</v>
      </c>
      <c r="R4757" s="6" t="s">
        <v>64</v>
      </c>
      <c r="S4757" s="8" t="s">
        <v>3487</v>
      </c>
      <c r="T4757" s="6" t="s">
        <v>66</v>
      </c>
      <c r="U4757" s="8" t="s">
        <v>31</v>
      </c>
      <c r="V4757" s="6" t="s">
        <v>1172</v>
      </c>
      <c r="W4757" s="6" t="s">
        <v>29594</v>
      </c>
      <c r="X4757" s="9" t="str">
        <f>HYPERLINK("https://my.pitchbook.com?p=13881-34P","View People Online")</f>
        <v>View People Online</v>
      </c>
    </row>
    <row r="4758">
      <c r="A4758" s="10" t="s">
        <v>29605</v>
      </c>
      <c r="B4758" s="10" t="s">
        <v>29606</v>
      </c>
      <c r="C4758" s="10" t="s">
        <v>29607</v>
      </c>
      <c r="D4758" s="10" t="s">
        <v>29608</v>
      </c>
      <c r="E4758" s="10" t="s">
        <v>29594</v>
      </c>
      <c r="F4758" s="10" t="s">
        <v>270</v>
      </c>
      <c r="G4758" s="10" t="s">
        <v>29609</v>
      </c>
      <c r="H4758" s="11">
        <v>1.0</v>
      </c>
      <c r="I4758" s="11">
        <v>2.0</v>
      </c>
      <c r="J4758" s="11">
        <v>1.0</v>
      </c>
      <c r="K4758" s="11" t="s">
        <v>31</v>
      </c>
      <c r="L4758" s="12" t="s">
        <v>29596</v>
      </c>
      <c r="M4758" s="10" t="s">
        <v>29610</v>
      </c>
      <c r="N4758" s="10" t="s">
        <v>155</v>
      </c>
      <c r="O4758" s="12" t="s">
        <v>156</v>
      </c>
      <c r="P4758" s="10" t="s">
        <v>29598</v>
      </c>
      <c r="Q4758" s="10" t="s">
        <v>29599</v>
      </c>
      <c r="R4758" s="10" t="s">
        <v>64</v>
      </c>
      <c r="S4758" s="12" t="s">
        <v>3487</v>
      </c>
      <c r="T4758" s="10" t="s">
        <v>66</v>
      </c>
      <c r="U4758" s="12" t="s">
        <v>31</v>
      </c>
      <c r="V4758" s="10" t="s">
        <v>440</v>
      </c>
      <c r="W4758" s="10" t="s">
        <v>29594</v>
      </c>
      <c r="X4758" s="13" t="str">
        <f>HYPERLINK("https://my.pitchbook.com?p=364731-49P","View People Online")</f>
        <v>View People Online</v>
      </c>
    </row>
    <row r="4759">
      <c r="A4759" s="6" t="s">
        <v>29611</v>
      </c>
      <c r="B4759" s="6" t="s">
        <v>29612</v>
      </c>
      <c r="C4759" s="6" t="s">
        <v>7527</v>
      </c>
      <c r="D4759" s="6" t="s">
        <v>4098</v>
      </c>
      <c r="E4759" s="6" t="s">
        <v>29594</v>
      </c>
      <c r="F4759" s="6" t="s">
        <v>29</v>
      </c>
      <c r="G4759" s="6" t="s">
        <v>29613</v>
      </c>
      <c r="H4759" s="7" t="s">
        <v>31</v>
      </c>
      <c r="I4759" s="7">
        <v>1.0</v>
      </c>
      <c r="J4759" s="7">
        <v>1.0</v>
      </c>
      <c r="K4759" s="7" t="s">
        <v>31</v>
      </c>
      <c r="L4759" s="8" t="s">
        <v>29596</v>
      </c>
      <c r="M4759" s="6" t="s">
        <v>29614</v>
      </c>
      <c r="N4759" s="6" t="s">
        <v>155</v>
      </c>
      <c r="O4759" s="8" t="s">
        <v>156</v>
      </c>
      <c r="P4759" s="6" t="s">
        <v>29598</v>
      </c>
      <c r="Q4759" s="6" t="s">
        <v>29599</v>
      </c>
      <c r="R4759" s="6" t="s">
        <v>64</v>
      </c>
      <c r="S4759" s="8" t="s">
        <v>3487</v>
      </c>
      <c r="T4759" s="6" t="s">
        <v>66</v>
      </c>
      <c r="U4759" s="8" t="s">
        <v>31</v>
      </c>
      <c r="V4759" s="6" t="s">
        <v>29</v>
      </c>
      <c r="W4759" s="6" t="s">
        <v>29594</v>
      </c>
      <c r="X4759" s="9" t="str">
        <f>HYPERLINK("https://my.pitchbook.com?p=156121-21P","View People Online")</f>
        <v>View People Online</v>
      </c>
    </row>
    <row r="4760">
      <c r="A4760" s="2" t="s">
        <v>29615</v>
      </c>
      <c r="B4760" s="2" t="s">
        <v>29616</v>
      </c>
      <c r="C4760" s="2" t="s">
        <v>29617</v>
      </c>
      <c r="D4760" s="2" t="s">
        <v>29618</v>
      </c>
      <c r="E4760" s="2" t="s">
        <v>29594</v>
      </c>
      <c r="F4760" s="2" t="s">
        <v>29</v>
      </c>
      <c r="G4760" s="2" t="s">
        <v>29619</v>
      </c>
      <c r="H4760" s="3" t="s">
        <v>31</v>
      </c>
      <c r="I4760" s="3">
        <v>1.0</v>
      </c>
      <c r="J4760" s="3">
        <v>1.0</v>
      </c>
      <c r="K4760" s="3" t="s">
        <v>31</v>
      </c>
      <c r="L4760" s="4" t="s">
        <v>29596</v>
      </c>
      <c r="M4760" s="2" t="s">
        <v>29620</v>
      </c>
      <c r="N4760" s="2" t="s">
        <v>155</v>
      </c>
      <c r="O4760" s="4" t="s">
        <v>156</v>
      </c>
      <c r="P4760" s="2" t="s">
        <v>29598</v>
      </c>
      <c r="Q4760" s="2" t="s">
        <v>29599</v>
      </c>
      <c r="R4760" s="2" t="s">
        <v>64</v>
      </c>
      <c r="S4760" s="4" t="s">
        <v>3487</v>
      </c>
      <c r="T4760" s="2" t="s">
        <v>66</v>
      </c>
      <c r="U4760" s="4" t="s">
        <v>31</v>
      </c>
      <c r="V4760" s="2" t="s">
        <v>29621</v>
      </c>
      <c r="W4760" s="2" t="s">
        <v>29594</v>
      </c>
      <c r="X4760" s="5" t="str">
        <f>HYPERLINK("https://my.pitchbook.com?p=318061-45P","View People Online")</f>
        <v>View People Online</v>
      </c>
    </row>
    <row r="4761">
      <c r="A4761" s="14" t="s">
        <v>29622</v>
      </c>
      <c r="B4761" s="14" t="s">
        <v>29623</v>
      </c>
      <c r="C4761" s="14" t="s">
        <v>17392</v>
      </c>
      <c r="D4761" s="14" t="s">
        <v>29624</v>
      </c>
      <c r="E4761" s="14" t="s">
        <v>29594</v>
      </c>
      <c r="F4761" s="14" t="s">
        <v>29</v>
      </c>
      <c r="G4761" s="14" t="s">
        <v>29625</v>
      </c>
      <c r="H4761" s="15">
        <v>1.0</v>
      </c>
      <c r="I4761" s="15">
        <v>12.0</v>
      </c>
      <c r="J4761" s="15">
        <v>2.0</v>
      </c>
      <c r="K4761" s="15">
        <v>7.0</v>
      </c>
      <c r="L4761" s="16" t="s">
        <v>29596</v>
      </c>
      <c r="M4761" s="14" t="s">
        <v>29626</v>
      </c>
      <c r="N4761" s="14" t="s">
        <v>155</v>
      </c>
      <c r="O4761" s="16" t="s">
        <v>156</v>
      </c>
      <c r="P4761" s="14" t="s">
        <v>29598</v>
      </c>
      <c r="Q4761" s="14" t="s">
        <v>29599</v>
      </c>
      <c r="R4761" s="14" t="s">
        <v>64</v>
      </c>
      <c r="S4761" s="16" t="s">
        <v>3487</v>
      </c>
      <c r="T4761" s="14" t="s">
        <v>66</v>
      </c>
      <c r="U4761" s="16" t="s">
        <v>31</v>
      </c>
      <c r="V4761" s="14" t="s">
        <v>29</v>
      </c>
      <c r="W4761" s="14" t="s">
        <v>29594</v>
      </c>
      <c r="X4761" s="17" t="str">
        <f>HYPERLINK("https://my.pitchbook.com?p=147421-99P","View People Online")</f>
        <v>View People Online</v>
      </c>
    </row>
    <row r="4762">
      <c r="A4762" s="2" t="s">
        <v>29627</v>
      </c>
      <c r="B4762" s="2" t="s">
        <v>29628</v>
      </c>
      <c r="C4762" s="2" t="s">
        <v>3052</v>
      </c>
      <c r="D4762" s="2" t="s">
        <v>29629</v>
      </c>
      <c r="E4762" s="2" t="s">
        <v>29594</v>
      </c>
      <c r="F4762" s="2" t="s">
        <v>674</v>
      </c>
      <c r="G4762" s="2" t="s">
        <v>29630</v>
      </c>
      <c r="H4762" s="3">
        <v>9.0</v>
      </c>
      <c r="I4762" s="3">
        <v>50.0</v>
      </c>
      <c r="J4762" s="3">
        <v>1.0</v>
      </c>
      <c r="K4762" s="3">
        <v>34.0</v>
      </c>
      <c r="L4762" s="4" t="s">
        <v>29596</v>
      </c>
      <c r="M4762" s="2" t="s">
        <v>29631</v>
      </c>
      <c r="N4762" s="2" t="s">
        <v>155</v>
      </c>
      <c r="O4762" s="4" t="s">
        <v>156</v>
      </c>
      <c r="P4762" s="2" t="s">
        <v>29598</v>
      </c>
      <c r="Q4762" s="2" t="s">
        <v>29599</v>
      </c>
      <c r="R4762" s="2" t="s">
        <v>64</v>
      </c>
      <c r="S4762" s="4" t="s">
        <v>3487</v>
      </c>
      <c r="T4762" s="2" t="s">
        <v>66</v>
      </c>
      <c r="U4762" s="4" t="s">
        <v>31</v>
      </c>
      <c r="V4762" s="2" t="s">
        <v>1172</v>
      </c>
      <c r="W4762" s="2" t="s">
        <v>29594</v>
      </c>
      <c r="X4762" s="5" t="str">
        <f>HYPERLINK("https://my.pitchbook.com?p=68129-56P","View People Online")</f>
        <v>View People Online</v>
      </c>
    </row>
    <row r="4763">
      <c r="A4763" s="6" t="s">
        <v>29632</v>
      </c>
      <c r="B4763" s="6" t="s">
        <v>29633</v>
      </c>
      <c r="C4763" s="6" t="s">
        <v>1489</v>
      </c>
      <c r="D4763" s="6" t="s">
        <v>29634</v>
      </c>
      <c r="E4763" s="6" t="s">
        <v>29594</v>
      </c>
      <c r="F4763" s="6" t="s">
        <v>29</v>
      </c>
      <c r="G4763" s="6" t="s">
        <v>29635</v>
      </c>
      <c r="H4763" s="7" t="s">
        <v>31</v>
      </c>
      <c r="I4763" s="7">
        <v>10.0</v>
      </c>
      <c r="J4763" s="7">
        <v>1.0</v>
      </c>
      <c r="K4763" s="7">
        <v>6.0</v>
      </c>
      <c r="L4763" s="8" t="s">
        <v>29596</v>
      </c>
      <c r="M4763" s="6" t="s">
        <v>29636</v>
      </c>
      <c r="N4763" s="6" t="s">
        <v>155</v>
      </c>
      <c r="O4763" s="8" t="s">
        <v>156</v>
      </c>
      <c r="P4763" s="6" t="s">
        <v>29598</v>
      </c>
      <c r="Q4763" s="6" t="s">
        <v>29599</v>
      </c>
      <c r="R4763" s="6" t="s">
        <v>64</v>
      </c>
      <c r="S4763" s="8" t="s">
        <v>3487</v>
      </c>
      <c r="T4763" s="6" t="s">
        <v>66</v>
      </c>
      <c r="U4763" s="8" t="s">
        <v>31</v>
      </c>
      <c r="V4763" s="6" t="s">
        <v>29637</v>
      </c>
      <c r="W4763" s="6" t="s">
        <v>29638</v>
      </c>
      <c r="X4763" s="9" t="str">
        <f>HYPERLINK("https://my.pitchbook.com?p=39920-68P","View People Online")</f>
        <v>View People Online</v>
      </c>
    </row>
    <row r="4764">
      <c r="A4764" s="10" t="s">
        <v>29639</v>
      </c>
      <c r="B4764" s="10" t="s">
        <v>29640</v>
      </c>
      <c r="C4764" s="10" t="s">
        <v>19321</v>
      </c>
      <c r="D4764" s="10" t="s">
        <v>831</v>
      </c>
      <c r="E4764" s="10" t="s">
        <v>29594</v>
      </c>
      <c r="F4764" s="10" t="s">
        <v>114</v>
      </c>
      <c r="G4764" s="10" t="s">
        <v>29641</v>
      </c>
      <c r="H4764" s="11">
        <v>4.0</v>
      </c>
      <c r="I4764" s="11">
        <v>31.0</v>
      </c>
      <c r="J4764" s="11">
        <v>2.0</v>
      </c>
      <c r="K4764" s="11">
        <v>19.0</v>
      </c>
      <c r="L4764" s="12" t="s">
        <v>29596</v>
      </c>
      <c r="M4764" s="10" t="s">
        <v>31</v>
      </c>
      <c r="N4764" s="10" t="s">
        <v>155</v>
      </c>
      <c r="O4764" s="12" t="s">
        <v>156</v>
      </c>
      <c r="P4764" s="10" t="s">
        <v>29598</v>
      </c>
      <c r="Q4764" s="10" t="s">
        <v>29599</v>
      </c>
      <c r="R4764" s="10" t="s">
        <v>64</v>
      </c>
      <c r="S4764" s="12" t="s">
        <v>3487</v>
      </c>
      <c r="T4764" s="10" t="s">
        <v>66</v>
      </c>
      <c r="U4764" s="12" t="s">
        <v>31</v>
      </c>
      <c r="V4764" s="10" t="s">
        <v>114</v>
      </c>
      <c r="W4764" s="10" t="s">
        <v>29594</v>
      </c>
      <c r="X4764" s="13" t="str">
        <f>HYPERLINK("https://my.pitchbook.com?p=13661-29P","View People Online")</f>
        <v>View People Online</v>
      </c>
    </row>
    <row r="4765">
      <c r="A4765" s="6" t="s">
        <v>29642</v>
      </c>
      <c r="B4765" s="6" t="s">
        <v>29643</v>
      </c>
      <c r="C4765" s="6" t="s">
        <v>20141</v>
      </c>
      <c r="D4765" s="6" t="s">
        <v>29644</v>
      </c>
      <c r="E4765" s="6" t="s">
        <v>29594</v>
      </c>
      <c r="F4765" s="6" t="s">
        <v>3710</v>
      </c>
      <c r="G4765" s="6" t="s">
        <v>29645</v>
      </c>
      <c r="H4765" s="7" t="s">
        <v>31</v>
      </c>
      <c r="I4765" s="7">
        <v>2.0</v>
      </c>
      <c r="J4765" s="7">
        <v>2.0</v>
      </c>
      <c r="K4765" s="7" t="s">
        <v>31</v>
      </c>
      <c r="L4765" s="8" t="s">
        <v>29596</v>
      </c>
      <c r="M4765" s="6" t="s">
        <v>29646</v>
      </c>
      <c r="N4765" s="6" t="s">
        <v>155</v>
      </c>
      <c r="O4765" s="8" t="s">
        <v>156</v>
      </c>
      <c r="P4765" s="6" t="s">
        <v>29598</v>
      </c>
      <c r="Q4765" s="6" t="s">
        <v>29599</v>
      </c>
      <c r="R4765" s="6" t="s">
        <v>64</v>
      </c>
      <c r="S4765" s="8" t="s">
        <v>3487</v>
      </c>
      <c r="T4765" s="6" t="s">
        <v>66</v>
      </c>
      <c r="U4765" s="8" t="s">
        <v>31</v>
      </c>
      <c r="V4765" s="6" t="s">
        <v>3710</v>
      </c>
      <c r="W4765" s="6" t="s">
        <v>29594</v>
      </c>
      <c r="X4765" s="9" t="str">
        <f>HYPERLINK("https://my.pitchbook.com?p=333155-08P","View People Online")</f>
        <v>View People Online</v>
      </c>
    </row>
    <row r="4766">
      <c r="A4766" s="2" t="s">
        <v>29647</v>
      </c>
      <c r="B4766" s="2" t="s">
        <v>29648</v>
      </c>
      <c r="C4766" s="2" t="s">
        <v>907</v>
      </c>
      <c r="D4766" s="2" t="s">
        <v>29649</v>
      </c>
      <c r="E4766" s="2" t="s">
        <v>29594</v>
      </c>
      <c r="F4766" s="2" t="s">
        <v>270</v>
      </c>
      <c r="G4766" s="2" t="s">
        <v>29650</v>
      </c>
      <c r="H4766" s="3" t="s">
        <v>31</v>
      </c>
      <c r="I4766" s="3">
        <v>2.0</v>
      </c>
      <c r="J4766" s="3">
        <v>1.0</v>
      </c>
      <c r="K4766" s="3" t="s">
        <v>31</v>
      </c>
      <c r="L4766" s="4" t="s">
        <v>29596</v>
      </c>
      <c r="M4766" s="2" t="s">
        <v>29651</v>
      </c>
      <c r="N4766" s="2" t="s">
        <v>155</v>
      </c>
      <c r="O4766" s="4" t="s">
        <v>156</v>
      </c>
      <c r="P4766" s="2" t="s">
        <v>29598</v>
      </c>
      <c r="Q4766" s="2" t="s">
        <v>29599</v>
      </c>
      <c r="R4766" s="2" t="s">
        <v>64</v>
      </c>
      <c r="S4766" s="4" t="s">
        <v>3487</v>
      </c>
      <c r="T4766" s="2" t="s">
        <v>66</v>
      </c>
      <c r="U4766" s="4" t="s">
        <v>31</v>
      </c>
      <c r="V4766" s="2" t="s">
        <v>440</v>
      </c>
      <c r="W4766" s="2" t="s">
        <v>29594</v>
      </c>
      <c r="X4766" s="5" t="str">
        <f>HYPERLINK("https://my.pitchbook.com?p=252074-35P","View People Online")</f>
        <v>View People Online</v>
      </c>
    </row>
    <row r="4767">
      <c r="A4767" s="6" t="s">
        <v>29652</v>
      </c>
      <c r="B4767" s="6" t="s">
        <v>29653</v>
      </c>
      <c r="C4767" s="6" t="s">
        <v>25331</v>
      </c>
      <c r="D4767" s="6" t="s">
        <v>29654</v>
      </c>
      <c r="E4767" s="6" t="s">
        <v>29594</v>
      </c>
      <c r="F4767" s="6" t="s">
        <v>371</v>
      </c>
      <c r="G4767" s="6" t="s">
        <v>29655</v>
      </c>
      <c r="H4767" s="7" t="s">
        <v>31</v>
      </c>
      <c r="I4767" s="7">
        <v>1.0</v>
      </c>
      <c r="J4767" s="7">
        <v>1.0</v>
      </c>
      <c r="K4767" s="7" t="s">
        <v>31</v>
      </c>
      <c r="L4767" s="8" t="s">
        <v>29596</v>
      </c>
      <c r="M4767" s="6" t="s">
        <v>29656</v>
      </c>
      <c r="N4767" s="6" t="s">
        <v>155</v>
      </c>
      <c r="O4767" s="8" t="s">
        <v>156</v>
      </c>
      <c r="P4767" s="6" t="s">
        <v>29598</v>
      </c>
      <c r="Q4767" s="6" t="s">
        <v>29599</v>
      </c>
      <c r="R4767" s="6" t="s">
        <v>64</v>
      </c>
      <c r="S4767" s="8" t="s">
        <v>3487</v>
      </c>
      <c r="T4767" s="6" t="s">
        <v>66</v>
      </c>
      <c r="U4767" s="8" t="s">
        <v>31</v>
      </c>
      <c r="V4767" s="6" t="s">
        <v>29657</v>
      </c>
      <c r="W4767" s="6" t="s">
        <v>29594</v>
      </c>
      <c r="X4767" s="9" t="str">
        <f>HYPERLINK("https://my.pitchbook.com?p=39921-31P","View People Online")</f>
        <v>View People Online</v>
      </c>
    </row>
    <row r="4768">
      <c r="A4768" s="10" t="s">
        <v>29658</v>
      </c>
      <c r="B4768" s="10" t="s">
        <v>29659</v>
      </c>
      <c r="C4768" s="10" t="s">
        <v>29660</v>
      </c>
      <c r="D4768" s="10" t="s">
        <v>21740</v>
      </c>
      <c r="E4768" s="10" t="s">
        <v>29594</v>
      </c>
      <c r="F4768" s="10" t="s">
        <v>29</v>
      </c>
      <c r="G4768" s="10" t="s">
        <v>29661</v>
      </c>
      <c r="H4768" s="11">
        <v>2.0</v>
      </c>
      <c r="I4768" s="11">
        <v>11.0</v>
      </c>
      <c r="J4768" s="11">
        <v>1.0</v>
      </c>
      <c r="K4768" s="11">
        <v>6.0</v>
      </c>
      <c r="L4768" s="12" t="s">
        <v>29596</v>
      </c>
      <c r="M4768" s="10" t="s">
        <v>29662</v>
      </c>
      <c r="N4768" s="10" t="s">
        <v>155</v>
      </c>
      <c r="O4768" s="12" t="s">
        <v>156</v>
      </c>
      <c r="P4768" s="10" t="s">
        <v>29598</v>
      </c>
      <c r="Q4768" s="10" t="s">
        <v>29599</v>
      </c>
      <c r="R4768" s="10" t="s">
        <v>64</v>
      </c>
      <c r="S4768" s="12" t="s">
        <v>3487</v>
      </c>
      <c r="T4768" s="10" t="s">
        <v>66</v>
      </c>
      <c r="U4768" s="12" t="s">
        <v>31</v>
      </c>
      <c r="V4768" s="10" t="s">
        <v>29</v>
      </c>
      <c r="W4768" s="10" t="s">
        <v>29594</v>
      </c>
      <c r="X4768" s="13" t="str">
        <f>HYPERLINK("https://my.pitchbook.com?p=185436-01P","View People Online")</f>
        <v>View People Online</v>
      </c>
    </row>
    <row r="4769">
      <c r="A4769" s="6" t="s">
        <v>29663</v>
      </c>
      <c r="B4769" s="6" t="s">
        <v>29664</v>
      </c>
      <c r="C4769" s="6" t="s">
        <v>7413</v>
      </c>
      <c r="D4769" s="6" t="s">
        <v>29665</v>
      </c>
      <c r="E4769" s="6" t="s">
        <v>29666</v>
      </c>
      <c r="F4769" s="6" t="s">
        <v>312</v>
      </c>
      <c r="G4769" s="6" t="s">
        <v>29667</v>
      </c>
      <c r="H4769" s="7" t="s">
        <v>31</v>
      </c>
      <c r="I4769" s="7">
        <v>1.0</v>
      </c>
      <c r="J4769" s="7">
        <v>1.0</v>
      </c>
      <c r="K4769" s="7" t="s">
        <v>31</v>
      </c>
      <c r="L4769" s="8" t="s">
        <v>29668</v>
      </c>
      <c r="M4769" s="6" t="s">
        <v>29669</v>
      </c>
      <c r="N4769" s="6" t="s">
        <v>13041</v>
      </c>
      <c r="O4769" s="8" t="s">
        <v>13042</v>
      </c>
      <c r="P4769" s="6" t="s">
        <v>29670</v>
      </c>
      <c r="Q4769" s="6" t="s">
        <v>31</v>
      </c>
      <c r="R4769" s="6" t="s">
        <v>10326</v>
      </c>
      <c r="S4769" s="8" t="s">
        <v>29671</v>
      </c>
      <c r="T4769" s="6" t="s">
        <v>66</v>
      </c>
      <c r="U4769" s="8" t="s">
        <v>31</v>
      </c>
      <c r="V4769" s="6" t="s">
        <v>29672</v>
      </c>
      <c r="W4769" s="6" t="s">
        <v>29666</v>
      </c>
      <c r="X4769" s="9" t="str">
        <f>HYPERLINK("https://my.pitchbook.com?p=77847-76P","View People Online")</f>
        <v>View People Online</v>
      </c>
    </row>
    <row r="4770">
      <c r="A4770" s="2" t="s">
        <v>29673</v>
      </c>
      <c r="B4770" s="2" t="s">
        <v>29674</v>
      </c>
      <c r="C4770" s="2" t="s">
        <v>740</v>
      </c>
      <c r="D4770" s="2" t="s">
        <v>29675</v>
      </c>
      <c r="E4770" s="2" t="s">
        <v>29666</v>
      </c>
      <c r="F4770" s="2" t="s">
        <v>7608</v>
      </c>
      <c r="G4770" s="2" t="s">
        <v>29676</v>
      </c>
      <c r="H4770" s="3" t="s">
        <v>31</v>
      </c>
      <c r="I4770" s="3">
        <v>1.0</v>
      </c>
      <c r="J4770" s="3">
        <v>1.0</v>
      </c>
      <c r="K4770" s="3" t="s">
        <v>31</v>
      </c>
      <c r="L4770" s="4" t="s">
        <v>29668</v>
      </c>
      <c r="M4770" s="2" t="s">
        <v>29677</v>
      </c>
      <c r="N4770" s="2" t="s">
        <v>13041</v>
      </c>
      <c r="O4770" s="4" t="s">
        <v>13042</v>
      </c>
      <c r="P4770" s="2" t="s">
        <v>29670</v>
      </c>
      <c r="Q4770" s="2" t="s">
        <v>31</v>
      </c>
      <c r="R4770" s="2" t="s">
        <v>10326</v>
      </c>
      <c r="S4770" s="4" t="s">
        <v>29671</v>
      </c>
      <c r="T4770" s="2" t="s">
        <v>66</v>
      </c>
      <c r="U4770" s="4" t="s">
        <v>31</v>
      </c>
      <c r="V4770" s="2" t="s">
        <v>29678</v>
      </c>
      <c r="W4770" s="2" t="s">
        <v>29666</v>
      </c>
      <c r="X4770" s="5" t="str">
        <f>HYPERLINK("https://my.pitchbook.com?p=235065-88P","View People Online")</f>
        <v>View People Online</v>
      </c>
    </row>
    <row r="4771">
      <c r="A4771" s="6" t="s">
        <v>29679</v>
      </c>
      <c r="B4771" s="6" t="s">
        <v>29680</v>
      </c>
      <c r="C4771" s="6" t="s">
        <v>581</v>
      </c>
      <c r="D4771" s="6" t="s">
        <v>9727</v>
      </c>
      <c r="E4771" s="6" t="s">
        <v>29666</v>
      </c>
      <c r="F4771" s="6" t="s">
        <v>371</v>
      </c>
      <c r="G4771" s="6" t="s">
        <v>29681</v>
      </c>
      <c r="H4771" s="7">
        <v>1.0</v>
      </c>
      <c r="I4771" s="7">
        <v>2.0</v>
      </c>
      <c r="J4771" s="7">
        <v>1.0</v>
      </c>
      <c r="K4771" s="7" t="s">
        <v>31</v>
      </c>
      <c r="L4771" s="8" t="s">
        <v>29668</v>
      </c>
      <c r="M4771" s="6" t="s">
        <v>29682</v>
      </c>
      <c r="N4771" s="6" t="s">
        <v>13041</v>
      </c>
      <c r="O4771" s="8" t="s">
        <v>13042</v>
      </c>
      <c r="P4771" s="6" t="s">
        <v>29670</v>
      </c>
      <c r="Q4771" s="6" t="s">
        <v>31</v>
      </c>
      <c r="R4771" s="6" t="s">
        <v>10326</v>
      </c>
      <c r="S4771" s="8" t="s">
        <v>29671</v>
      </c>
      <c r="T4771" s="6" t="s">
        <v>66</v>
      </c>
      <c r="U4771" s="8" t="s">
        <v>31</v>
      </c>
      <c r="V4771" s="6" t="s">
        <v>29683</v>
      </c>
      <c r="W4771" s="6" t="s">
        <v>29666</v>
      </c>
      <c r="X4771" s="9" t="str">
        <f>HYPERLINK("https://my.pitchbook.com?p=361398-79P","View People Online")</f>
        <v>View People Online</v>
      </c>
    </row>
    <row r="4772">
      <c r="A4772" s="10" t="s">
        <v>29684</v>
      </c>
      <c r="B4772" s="10" t="s">
        <v>29685</v>
      </c>
      <c r="C4772" s="10" t="s">
        <v>69</v>
      </c>
      <c r="D4772" s="10" t="s">
        <v>29686</v>
      </c>
      <c r="E4772" s="10" t="s">
        <v>29666</v>
      </c>
      <c r="F4772" s="10" t="s">
        <v>5418</v>
      </c>
      <c r="G4772" s="10" t="s">
        <v>29687</v>
      </c>
      <c r="H4772" s="11" t="s">
        <v>31</v>
      </c>
      <c r="I4772" s="11">
        <v>1.0</v>
      </c>
      <c r="J4772" s="11">
        <v>1.0</v>
      </c>
      <c r="K4772" s="11" t="s">
        <v>31</v>
      </c>
      <c r="L4772" s="12" t="s">
        <v>29688</v>
      </c>
      <c r="M4772" s="10" t="s">
        <v>29689</v>
      </c>
      <c r="N4772" s="10" t="s">
        <v>13041</v>
      </c>
      <c r="O4772" s="12" t="s">
        <v>13042</v>
      </c>
      <c r="P4772" s="10" t="s">
        <v>29670</v>
      </c>
      <c r="Q4772" s="10" t="s">
        <v>31</v>
      </c>
      <c r="R4772" s="10" t="s">
        <v>10326</v>
      </c>
      <c r="S4772" s="12" t="s">
        <v>29671</v>
      </c>
      <c r="T4772" s="10" t="s">
        <v>66</v>
      </c>
      <c r="U4772" s="12" t="s">
        <v>31</v>
      </c>
      <c r="V4772" s="10" t="s">
        <v>29690</v>
      </c>
      <c r="W4772" s="10" t="s">
        <v>29666</v>
      </c>
      <c r="X4772" s="13" t="str">
        <f>HYPERLINK("https://my.pitchbook.com?p=280137-52P","View People Online")</f>
        <v>View People Online</v>
      </c>
    </row>
    <row r="4773">
      <c r="A4773" s="14" t="s">
        <v>29691</v>
      </c>
      <c r="B4773" s="14" t="s">
        <v>29692</v>
      </c>
      <c r="C4773" s="14" t="s">
        <v>1449</v>
      </c>
      <c r="D4773" s="14" t="s">
        <v>29693</v>
      </c>
      <c r="E4773" s="14" t="s">
        <v>29666</v>
      </c>
      <c r="F4773" s="14" t="s">
        <v>7381</v>
      </c>
      <c r="G4773" s="14" t="s">
        <v>29694</v>
      </c>
      <c r="H4773" s="15" t="s">
        <v>31</v>
      </c>
      <c r="I4773" s="15">
        <v>1.0</v>
      </c>
      <c r="J4773" s="15">
        <v>1.0</v>
      </c>
      <c r="K4773" s="15" t="s">
        <v>31</v>
      </c>
      <c r="L4773" s="16" t="s">
        <v>29668</v>
      </c>
      <c r="M4773" s="14" t="s">
        <v>31</v>
      </c>
      <c r="N4773" s="14" t="s">
        <v>13041</v>
      </c>
      <c r="O4773" s="16" t="s">
        <v>13042</v>
      </c>
      <c r="P4773" s="14" t="s">
        <v>29670</v>
      </c>
      <c r="Q4773" s="14" t="s">
        <v>31</v>
      </c>
      <c r="R4773" s="14" t="s">
        <v>10326</v>
      </c>
      <c r="S4773" s="16" t="s">
        <v>29671</v>
      </c>
      <c r="T4773" s="14" t="s">
        <v>66</v>
      </c>
      <c r="U4773" s="16" t="s">
        <v>31</v>
      </c>
      <c r="V4773" s="14" t="s">
        <v>7381</v>
      </c>
      <c r="W4773" s="14" t="s">
        <v>29666</v>
      </c>
      <c r="X4773" s="17" t="str">
        <f>HYPERLINK("https://my.pitchbook.com?p=58404-61P","View People Online")</f>
        <v>View People Online</v>
      </c>
    </row>
    <row r="4774">
      <c r="A4774" s="10" t="s">
        <v>29695</v>
      </c>
      <c r="B4774" s="10" t="s">
        <v>29696</v>
      </c>
      <c r="C4774" s="10" t="s">
        <v>11152</v>
      </c>
      <c r="D4774" s="10" t="s">
        <v>29697</v>
      </c>
      <c r="E4774" s="10" t="s">
        <v>29666</v>
      </c>
      <c r="F4774" s="10" t="s">
        <v>896</v>
      </c>
      <c r="G4774" s="10" t="s">
        <v>29698</v>
      </c>
      <c r="H4774" s="11" t="s">
        <v>31</v>
      </c>
      <c r="I4774" s="11">
        <v>1.0</v>
      </c>
      <c r="J4774" s="11">
        <v>1.0</v>
      </c>
      <c r="K4774" s="11" t="s">
        <v>31</v>
      </c>
      <c r="L4774" s="12" t="s">
        <v>29699</v>
      </c>
      <c r="M4774" s="10" t="s">
        <v>29700</v>
      </c>
      <c r="N4774" s="10" t="s">
        <v>13041</v>
      </c>
      <c r="O4774" s="12" t="s">
        <v>13042</v>
      </c>
      <c r="P4774" s="10" t="s">
        <v>29670</v>
      </c>
      <c r="Q4774" s="10" t="s">
        <v>31</v>
      </c>
      <c r="R4774" s="10" t="s">
        <v>10326</v>
      </c>
      <c r="S4774" s="12" t="s">
        <v>29671</v>
      </c>
      <c r="T4774" s="10" t="s">
        <v>66</v>
      </c>
      <c r="U4774" s="12" t="s">
        <v>31</v>
      </c>
      <c r="V4774" s="10" t="s">
        <v>29701</v>
      </c>
      <c r="W4774" s="10" t="s">
        <v>29666</v>
      </c>
      <c r="X4774" s="13" t="str">
        <f>HYPERLINK("https://my.pitchbook.com?p=82014-49P","View People Online")</f>
        <v>View People Online</v>
      </c>
    </row>
    <row r="4775">
      <c r="A4775" s="14" t="s">
        <v>29702</v>
      </c>
      <c r="B4775" s="14" t="s">
        <v>29703</v>
      </c>
      <c r="C4775" s="14" t="s">
        <v>29704</v>
      </c>
      <c r="D4775" s="14" t="s">
        <v>29705</v>
      </c>
      <c r="E4775" s="14" t="s">
        <v>29666</v>
      </c>
      <c r="F4775" s="14" t="s">
        <v>312</v>
      </c>
      <c r="G4775" s="14" t="s">
        <v>29706</v>
      </c>
      <c r="H4775" s="15" t="s">
        <v>31</v>
      </c>
      <c r="I4775" s="15">
        <v>1.0</v>
      </c>
      <c r="J4775" s="15">
        <v>1.0</v>
      </c>
      <c r="K4775" s="15" t="s">
        <v>31</v>
      </c>
      <c r="L4775" s="16" t="s">
        <v>29668</v>
      </c>
      <c r="M4775" s="14" t="s">
        <v>29707</v>
      </c>
      <c r="N4775" s="14" t="s">
        <v>13041</v>
      </c>
      <c r="O4775" s="16" t="s">
        <v>13042</v>
      </c>
      <c r="P4775" s="14" t="s">
        <v>29670</v>
      </c>
      <c r="Q4775" s="14" t="s">
        <v>31</v>
      </c>
      <c r="R4775" s="14" t="s">
        <v>10326</v>
      </c>
      <c r="S4775" s="16" t="s">
        <v>29671</v>
      </c>
      <c r="T4775" s="14" t="s">
        <v>66</v>
      </c>
      <c r="U4775" s="16" t="s">
        <v>31</v>
      </c>
      <c r="V4775" s="14" t="s">
        <v>29708</v>
      </c>
      <c r="W4775" s="14" t="s">
        <v>29666</v>
      </c>
      <c r="X4775" s="17" t="str">
        <f>HYPERLINK("https://my.pitchbook.com?p=156310-39P","View People Online")</f>
        <v>View People Online</v>
      </c>
    </row>
    <row r="4776">
      <c r="A4776" s="10" t="s">
        <v>29709</v>
      </c>
      <c r="B4776" s="10" t="s">
        <v>29710</v>
      </c>
      <c r="C4776" s="10" t="s">
        <v>1255</v>
      </c>
      <c r="D4776" s="10" t="s">
        <v>5495</v>
      </c>
      <c r="E4776" s="10" t="s">
        <v>29666</v>
      </c>
      <c r="F4776" s="10" t="s">
        <v>29711</v>
      </c>
      <c r="G4776" s="10" t="s">
        <v>29712</v>
      </c>
      <c r="H4776" s="11" t="s">
        <v>31</v>
      </c>
      <c r="I4776" s="11">
        <v>1.0</v>
      </c>
      <c r="J4776" s="11">
        <v>1.0</v>
      </c>
      <c r="K4776" s="11" t="s">
        <v>31</v>
      </c>
      <c r="L4776" s="12" t="s">
        <v>29668</v>
      </c>
      <c r="M4776" s="10" t="s">
        <v>29713</v>
      </c>
      <c r="N4776" s="10" t="s">
        <v>13041</v>
      </c>
      <c r="O4776" s="12" t="s">
        <v>13042</v>
      </c>
      <c r="P4776" s="10" t="s">
        <v>29670</v>
      </c>
      <c r="Q4776" s="10" t="s">
        <v>31</v>
      </c>
      <c r="R4776" s="10" t="s">
        <v>10326</v>
      </c>
      <c r="S4776" s="12" t="s">
        <v>29671</v>
      </c>
      <c r="T4776" s="10" t="s">
        <v>66</v>
      </c>
      <c r="U4776" s="12" t="s">
        <v>31</v>
      </c>
      <c r="V4776" s="10" t="s">
        <v>29714</v>
      </c>
      <c r="W4776" s="10" t="s">
        <v>29666</v>
      </c>
      <c r="X4776" s="13" t="str">
        <f>HYPERLINK("https://my.pitchbook.com?p=379803-25P","View People Online")</f>
        <v>View People Online</v>
      </c>
    </row>
    <row r="4777">
      <c r="A4777" s="14" t="s">
        <v>29715</v>
      </c>
      <c r="B4777" s="14" t="s">
        <v>29716</v>
      </c>
      <c r="C4777" s="14" t="s">
        <v>823</v>
      </c>
      <c r="D4777" s="14" t="s">
        <v>29717</v>
      </c>
      <c r="E4777" s="14" t="s">
        <v>29666</v>
      </c>
      <c r="F4777" s="14" t="s">
        <v>7608</v>
      </c>
      <c r="G4777" s="14" t="s">
        <v>29718</v>
      </c>
      <c r="H4777" s="15" t="s">
        <v>31</v>
      </c>
      <c r="I4777" s="15">
        <v>2.0</v>
      </c>
      <c r="J4777" s="15">
        <v>1.0</v>
      </c>
      <c r="K4777" s="15">
        <v>1.0</v>
      </c>
      <c r="L4777" s="16" t="s">
        <v>29668</v>
      </c>
      <c r="M4777" s="14" t="s">
        <v>29719</v>
      </c>
      <c r="N4777" s="14" t="s">
        <v>13041</v>
      </c>
      <c r="O4777" s="16" t="s">
        <v>13042</v>
      </c>
      <c r="P4777" s="14" t="s">
        <v>29670</v>
      </c>
      <c r="Q4777" s="14" t="s">
        <v>31</v>
      </c>
      <c r="R4777" s="14" t="s">
        <v>10326</v>
      </c>
      <c r="S4777" s="16" t="s">
        <v>29671</v>
      </c>
      <c r="T4777" s="14" t="s">
        <v>66</v>
      </c>
      <c r="U4777" s="16" t="s">
        <v>31</v>
      </c>
      <c r="V4777" s="14" t="s">
        <v>29720</v>
      </c>
      <c r="W4777" s="14" t="s">
        <v>29666</v>
      </c>
      <c r="X4777" s="17" t="str">
        <f>HYPERLINK("https://my.pitchbook.com?p=235065-07P","View People Online")</f>
        <v>View People Online</v>
      </c>
    </row>
    <row r="4778">
      <c r="A4778" s="10" t="s">
        <v>29721</v>
      </c>
      <c r="B4778" s="10" t="s">
        <v>29722</v>
      </c>
      <c r="C4778" s="10" t="s">
        <v>1343</v>
      </c>
      <c r="D4778" s="10" t="s">
        <v>29723</v>
      </c>
      <c r="E4778" s="10" t="s">
        <v>29666</v>
      </c>
      <c r="F4778" s="10" t="s">
        <v>371</v>
      </c>
      <c r="G4778" s="10" t="s">
        <v>29724</v>
      </c>
      <c r="H4778" s="11" t="s">
        <v>31</v>
      </c>
      <c r="I4778" s="11">
        <v>1.0</v>
      </c>
      <c r="J4778" s="11">
        <v>1.0</v>
      </c>
      <c r="K4778" s="11" t="s">
        <v>31</v>
      </c>
      <c r="L4778" s="12" t="s">
        <v>29668</v>
      </c>
      <c r="M4778" s="10" t="s">
        <v>29725</v>
      </c>
      <c r="N4778" s="10" t="s">
        <v>13041</v>
      </c>
      <c r="O4778" s="12" t="s">
        <v>13042</v>
      </c>
      <c r="P4778" s="10" t="s">
        <v>29670</v>
      </c>
      <c r="Q4778" s="10" t="s">
        <v>31</v>
      </c>
      <c r="R4778" s="10" t="s">
        <v>10326</v>
      </c>
      <c r="S4778" s="12" t="s">
        <v>29671</v>
      </c>
      <c r="T4778" s="10" t="s">
        <v>66</v>
      </c>
      <c r="U4778" s="12" t="s">
        <v>31</v>
      </c>
      <c r="V4778" s="10" t="s">
        <v>29726</v>
      </c>
      <c r="W4778" s="10" t="s">
        <v>29666</v>
      </c>
      <c r="X4778" s="13" t="str">
        <f>HYPERLINK("https://my.pitchbook.com?p=146077-12P","View People Online")</f>
        <v>View People Online</v>
      </c>
    </row>
    <row r="4779">
      <c r="A4779" s="14" t="s">
        <v>29727</v>
      </c>
      <c r="B4779" s="14" t="s">
        <v>29728</v>
      </c>
      <c r="C4779" s="14" t="s">
        <v>3040</v>
      </c>
      <c r="D4779" s="14" t="s">
        <v>29729</v>
      </c>
      <c r="E4779" s="14" t="s">
        <v>29666</v>
      </c>
      <c r="F4779" s="14" t="s">
        <v>1249</v>
      </c>
      <c r="G4779" s="14" t="s">
        <v>29730</v>
      </c>
      <c r="H4779" s="15">
        <v>3.0</v>
      </c>
      <c r="I4779" s="15">
        <v>5.0</v>
      </c>
      <c r="J4779" s="15">
        <v>1.0</v>
      </c>
      <c r="K4779" s="15">
        <v>2.0</v>
      </c>
      <c r="L4779" s="16" t="s">
        <v>29668</v>
      </c>
      <c r="M4779" s="14" t="s">
        <v>29731</v>
      </c>
      <c r="N4779" s="14" t="s">
        <v>13041</v>
      </c>
      <c r="O4779" s="16" t="s">
        <v>13042</v>
      </c>
      <c r="P4779" s="14" t="s">
        <v>29670</v>
      </c>
      <c r="Q4779" s="14" t="s">
        <v>31</v>
      </c>
      <c r="R4779" s="14" t="s">
        <v>10326</v>
      </c>
      <c r="S4779" s="16" t="s">
        <v>29671</v>
      </c>
      <c r="T4779" s="14" t="s">
        <v>66</v>
      </c>
      <c r="U4779" s="16" t="s">
        <v>31</v>
      </c>
      <c r="V4779" s="14" t="s">
        <v>29732</v>
      </c>
      <c r="W4779" s="14" t="s">
        <v>29666</v>
      </c>
      <c r="X4779" s="17" t="str">
        <f>HYPERLINK("https://my.pitchbook.com?p=215853-58P","View People Online")</f>
        <v>View People Online</v>
      </c>
    </row>
    <row r="4780">
      <c r="A4780" s="10" t="s">
        <v>29733</v>
      </c>
      <c r="B4780" s="10" t="s">
        <v>29734</v>
      </c>
      <c r="C4780" s="10" t="s">
        <v>3692</v>
      </c>
      <c r="D4780" s="10" t="s">
        <v>29735</v>
      </c>
      <c r="E4780" s="10" t="s">
        <v>29666</v>
      </c>
      <c r="F4780" s="10" t="s">
        <v>5365</v>
      </c>
      <c r="G4780" s="10" t="s">
        <v>29736</v>
      </c>
      <c r="H4780" s="11" t="s">
        <v>31</v>
      </c>
      <c r="I4780" s="11">
        <v>1.0</v>
      </c>
      <c r="J4780" s="11">
        <v>1.0</v>
      </c>
      <c r="K4780" s="11" t="s">
        <v>31</v>
      </c>
      <c r="L4780" s="12" t="s">
        <v>29737</v>
      </c>
      <c r="M4780" s="10" t="s">
        <v>31</v>
      </c>
      <c r="N4780" s="10" t="s">
        <v>13041</v>
      </c>
      <c r="O4780" s="12" t="s">
        <v>13042</v>
      </c>
      <c r="P4780" s="10" t="s">
        <v>29670</v>
      </c>
      <c r="Q4780" s="10" t="s">
        <v>31</v>
      </c>
      <c r="R4780" s="10" t="s">
        <v>10326</v>
      </c>
      <c r="S4780" s="12" t="s">
        <v>29671</v>
      </c>
      <c r="T4780" s="10" t="s">
        <v>66</v>
      </c>
      <c r="U4780" s="12" t="s">
        <v>31</v>
      </c>
      <c r="V4780" s="10" t="s">
        <v>29738</v>
      </c>
      <c r="W4780" s="10" t="s">
        <v>29666</v>
      </c>
      <c r="X4780" s="13" t="str">
        <f>HYPERLINK("https://my.pitchbook.com?p=309357-64P","View People Online")</f>
        <v>View People Online</v>
      </c>
    </row>
    <row r="4781">
      <c r="A4781" s="6" t="s">
        <v>29739</v>
      </c>
      <c r="B4781" s="6" t="s">
        <v>29740</v>
      </c>
      <c r="C4781" s="6" t="s">
        <v>1630</v>
      </c>
      <c r="D4781" s="6" t="s">
        <v>29741</v>
      </c>
      <c r="E4781" s="6" t="s">
        <v>29666</v>
      </c>
      <c r="F4781" s="6" t="s">
        <v>7467</v>
      </c>
      <c r="G4781" s="6" t="s">
        <v>29742</v>
      </c>
      <c r="H4781" s="7" t="s">
        <v>31</v>
      </c>
      <c r="I4781" s="7">
        <v>1.0</v>
      </c>
      <c r="J4781" s="7">
        <v>1.0</v>
      </c>
      <c r="K4781" s="7" t="s">
        <v>31</v>
      </c>
      <c r="L4781" s="8" t="s">
        <v>29743</v>
      </c>
      <c r="M4781" s="6" t="s">
        <v>29744</v>
      </c>
      <c r="N4781" s="6" t="s">
        <v>13041</v>
      </c>
      <c r="O4781" s="8" t="s">
        <v>13042</v>
      </c>
      <c r="P4781" s="6" t="s">
        <v>29670</v>
      </c>
      <c r="Q4781" s="6" t="s">
        <v>31</v>
      </c>
      <c r="R4781" s="6" t="s">
        <v>10326</v>
      </c>
      <c r="S4781" s="8" t="s">
        <v>29671</v>
      </c>
      <c r="T4781" s="6" t="s">
        <v>66</v>
      </c>
      <c r="U4781" s="8" t="s">
        <v>31</v>
      </c>
      <c r="V4781" s="6" t="s">
        <v>29745</v>
      </c>
      <c r="W4781" s="6" t="s">
        <v>29666</v>
      </c>
      <c r="X4781" s="9" t="str">
        <f>HYPERLINK("https://my.pitchbook.com?p=309355-30P","View People Online")</f>
        <v>View People Online</v>
      </c>
    </row>
    <row r="4782">
      <c r="A4782" s="2" t="s">
        <v>29746</v>
      </c>
      <c r="B4782" s="2" t="s">
        <v>29747</v>
      </c>
      <c r="C4782" s="2" t="s">
        <v>160</v>
      </c>
      <c r="D4782" s="2" t="s">
        <v>6648</v>
      </c>
      <c r="E4782" s="2" t="s">
        <v>29666</v>
      </c>
      <c r="F4782" s="2" t="s">
        <v>7930</v>
      </c>
      <c r="G4782" s="2" t="s">
        <v>29748</v>
      </c>
      <c r="H4782" s="3" t="s">
        <v>31</v>
      </c>
      <c r="I4782" s="3">
        <v>1.0</v>
      </c>
      <c r="J4782" s="3">
        <v>1.0</v>
      </c>
      <c r="K4782" s="3" t="s">
        <v>31</v>
      </c>
      <c r="L4782" s="4" t="s">
        <v>29668</v>
      </c>
      <c r="M4782" s="2" t="s">
        <v>29749</v>
      </c>
      <c r="N4782" s="2" t="s">
        <v>13041</v>
      </c>
      <c r="O4782" s="4" t="s">
        <v>13042</v>
      </c>
      <c r="P4782" s="2" t="s">
        <v>29670</v>
      </c>
      <c r="Q4782" s="2" t="s">
        <v>31</v>
      </c>
      <c r="R4782" s="2" t="s">
        <v>10326</v>
      </c>
      <c r="S4782" s="4" t="s">
        <v>29671</v>
      </c>
      <c r="T4782" s="2" t="s">
        <v>66</v>
      </c>
      <c r="U4782" s="4" t="s">
        <v>31</v>
      </c>
      <c r="V4782" s="2" t="s">
        <v>7933</v>
      </c>
      <c r="W4782" s="2" t="s">
        <v>29666</v>
      </c>
      <c r="X4782" s="5" t="str">
        <f>HYPERLINK("https://my.pitchbook.com?p=235061-92P","View People Online")</f>
        <v>View People Online</v>
      </c>
    </row>
    <row r="4783">
      <c r="A4783" s="6" t="s">
        <v>29750</v>
      </c>
      <c r="B4783" s="6" t="s">
        <v>29751</v>
      </c>
      <c r="C4783" s="6" t="s">
        <v>126</v>
      </c>
      <c r="D4783" s="6" t="s">
        <v>11251</v>
      </c>
      <c r="E4783" s="6" t="s">
        <v>29666</v>
      </c>
      <c r="F4783" s="6" t="s">
        <v>29752</v>
      </c>
      <c r="G4783" s="6" t="s">
        <v>29753</v>
      </c>
      <c r="H4783" s="7" t="s">
        <v>31</v>
      </c>
      <c r="I4783" s="7">
        <v>1.0</v>
      </c>
      <c r="J4783" s="7">
        <v>1.0</v>
      </c>
      <c r="K4783" s="7" t="s">
        <v>31</v>
      </c>
      <c r="L4783" s="8" t="s">
        <v>29668</v>
      </c>
      <c r="M4783" s="6" t="s">
        <v>29754</v>
      </c>
      <c r="N4783" s="6" t="s">
        <v>13041</v>
      </c>
      <c r="O4783" s="8" t="s">
        <v>13042</v>
      </c>
      <c r="P4783" s="6" t="s">
        <v>29670</v>
      </c>
      <c r="Q4783" s="6" t="s">
        <v>31</v>
      </c>
      <c r="R4783" s="6" t="s">
        <v>10326</v>
      </c>
      <c r="S4783" s="8" t="s">
        <v>29671</v>
      </c>
      <c r="T4783" s="6" t="s">
        <v>66</v>
      </c>
      <c r="U4783" s="8" t="s">
        <v>31</v>
      </c>
      <c r="V4783" s="6" t="s">
        <v>29755</v>
      </c>
      <c r="W4783" s="6" t="s">
        <v>29666</v>
      </c>
      <c r="X4783" s="9" t="str">
        <f>HYPERLINK("https://my.pitchbook.com?p=65958-67P","View People Online")</f>
        <v>View People Online</v>
      </c>
    </row>
    <row r="4784">
      <c r="A4784" s="2" t="s">
        <v>29756</v>
      </c>
      <c r="B4784" s="2" t="s">
        <v>29757</v>
      </c>
      <c r="C4784" s="2" t="s">
        <v>3564</v>
      </c>
      <c r="D4784" s="2" t="s">
        <v>29758</v>
      </c>
      <c r="E4784" s="2" t="s">
        <v>29666</v>
      </c>
      <c r="F4784" s="2" t="s">
        <v>312</v>
      </c>
      <c r="G4784" s="2" t="s">
        <v>29759</v>
      </c>
      <c r="H4784" s="3" t="s">
        <v>31</v>
      </c>
      <c r="I4784" s="3">
        <v>1.0</v>
      </c>
      <c r="J4784" s="3">
        <v>1.0</v>
      </c>
      <c r="K4784" s="3" t="s">
        <v>31</v>
      </c>
      <c r="L4784" s="4" t="s">
        <v>29668</v>
      </c>
      <c r="M4784" s="2" t="s">
        <v>29760</v>
      </c>
      <c r="N4784" s="2" t="s">
        <v>13041</v>
      </c>
      <c r="O4784" s="4" t="s">
        <v>13042</v>
      </c>
      <c r="P4784" s="2" t="s">
        <v>29670</v>
      </c>
      <c r="Q4784" s="2" t="s">
        <v>31</v>
      </c>
      <c r="R4784" s="2" t="s">
        <v>10326</v>
      </c>
      <c r="S4784" s="4" t="s">
        <v>29671</v>
      </c>
      <c r="T4784" s="2" t="s">
        <v>66</v>
      </c>
      <c r="U4784" s="4" t="s">
        <v>31</v>
      </c>
      <c r="V4784" s="2" t="s">
        <v>29761</v>
      </c>
      <c r="W4784" s="2" t="s">
        <v>29666</v>
      </c>
      <c r="X4784" s="5" t="str">
        <f>HYPERLINK("https://my.pitchbook.com?p=146023-30P","View People Online")</f>
        <v>View People Online</v>
      </c>
    </row>
    <row r="4785">
      <c r="A4785" s="14" t="s">
        <v>29762</v>
      </c>
      <c r="B4785" s="14" t="s">
        <v>29763</v>
      </c>
      <c r="C4785" s="14" t="s">
        <v>536</v>
      </c>
      <c r="D4785" s="14" t="s">
        <v>29764</v>
      </c>
      <c r="E4785" s="14" t="s">
        <v>29666</v>
      </c>
      <c r="F4785" s="14" t="s">
        <v>371</v>
      </c>
      <c r="G4785" s="14" t="s">
        <v>29765</v>
      </c>
      <c r="H4785" s="15" t="s">
        <v>31</v>
      </c>
      <c r="I4785" s="15">
        <v>1.0</v>
      </c>
      <c r="J4785" s="15">
        <v>1.0</v>
      </c>
      <c r="K4785" s="15" t="s">
        <v>31</v>
      </c>
      <c r="L4785" s="16" t="s">
        <v>31</v>
      </c>
      <c r="M4785" s="14" t="s">
        <v>29766</v>
      </c>
      <c r="N4785" s="14" t="s">
        <v>1181</v>
      </c>
      <c r="O4785" s="16" t="s">
        <v>1182</v>
      </c>
      <c r="P4785" s="14" t="s">
        <v>31</v>
      </c>
      <c r="Q4785" s="14" t="s">
        <v>31</v>
      </c>
      <c r="R4785" s="14" t="s">
        <v>1185</v>
      </c>
      <c r="S4785" s="16" t="s">
        <v>31</v>
      </c>
      <c r="T4785" s="14" t="s">
        <v>66</v>
      </c>
      <c r="U4785" s="16" t="s">
        <v>31</v>
      </c>
      <c r="V4785" s="14" t="s">
        <v>29767</v>
      </c>
      <c r="W4785" s="14" t="s">
        <v>29666</v>
      </c>
      <c r="X4785" s="17" t="str">
        <f>HYPERLINK("https://my.pitchbook.com?p=158192-02P","View People Online")</f>
        <v>View People Online</v>
      </c>
    </row>
    <row r="4786">
      <c r="A4786" s="2" t="s">
        <v>29768</v>
      </c>
      <c r="B4786" s="2" t="s">
        <v>29769</v>
      </c>
      <c r="C4786" s="2" t="s">
        <v>21604</v>
      </c>
      <c r="D4786" s="2" t="s">
        <v>5127</v>
      </c>
      <c r="E4786" s="2" t="s">
        <v>29666</v>
      </c>
      <c r="F4786" s="2" t="s">
        <v>270</v>
      </c>
      <c r="G4786" s="2" t="s">
        <v>29770</v>
      </c>
      <c r="H4786" s="3" t="s">
        <v>31</v>
      </c>
      <c r="I4786" s="3">
        <v>1.0</v>
      </c>
      <c r="J4786" s="3">
        <v>1.0</v>
      </c>
      <c r="K4786" s="3" t="s">
        <v>31</v>
      </c>
      <c r="L4786" s="4" t="s">
        <v>29668</v>
      </c>
      <c r="M4786" s="2" t="s">
        <v>29771</v>
      </c>
      <c r="N4786" s="2" t="s">
        <v>13041</v>
      </c>
      <c r="O4786" s="4" t="s">
        <v>13042</v>
      </c>
      <c r="P4786" s="2" t="s">
        <v>29670</v>
      </c>
      <c r="Q4786" s="2" t="s">
        <v>31</v>
      </c>
      <c r="R4786" s="2" t="s">
        <v>10326</v>
      </c>
      <c r="S4786" s="4" t="s">
        <v>29671</v>
      </c>
      <c r="T4786" s="2" t="s">
        <v>66</v>
      </c>
      <c r="U4786" s="4" t="s">
        <v>31</v>
      </c>
      <c r="V4786" s="2" t="s">
        <v>29772</v>
      </c>
      <c r="W4786" s="2" t="s">
        <v>29666</v>
      </c>
      <c r="X4786" s="5" t="str">
        <f>HYPERLINK("https://my.pitchbook.com?p=146091-97P","View People Online")</f>
        <v>View People Online</v>
      </c>
    </row>
    <row r="4787">
      <c r="A4787" s="6" t="s">
        <v>29773</v>
      </c>
      <c r="B4787" s="6" t="s">
        <v>29774</v>
      </c>
      <c r="C4787" s="6" t="s">
        <v>29775</v>
      </c>
      <c r="D4787" s="6" t="s">
        <v>14427</v>
      </c>
      <c r="E4787" s="6" t="s">
        <v>29666</v>
      </c>
      <c r="F4787" s="6" t="s">
        <v>1283</v>
      </c>
      <c r="G4787" s="6" t="s">
        <v>29776</v>
      </c>
      <c r="H4787" s="7">
        <v>5.0</v>
      </c>
      <c r="I4787" s="7">
        <v>14.0</v>
      </c>
      <c r="J4787" s="7">
        <v>2.0</v>
      </c>
      <c r="K4787" s="7">
        <v>7.0</v>
      </c>
      <c r="L4787" s="8" t="s">
        <v>31</v>
      </c>
      <c r="M4787" s="6" t="s">
        <v>29777</v>
      </c>
      <c r="N4787" s="6" t="s">
        <v>13041</v>
      </c>
      <c r="O4787" s="8" t="s">
        <v>13042</v>
      </c>
      <c r="P4787" s="6" t="s">
        <v>29670</v>
      </c>
      <c r="Q4787" s="6" t="s">
        <v>31</v>
      </c>
      <c r="R4787" s="6" t="s">
        <v>10326</v>
      </c>
      <c r="S4787" s="8" t="s">
        <v>13044</v>
      </c>
      <c r="T4787" s="6" t="s">
        <v>66</v>
      </c>
      <c r="U4787" s="8" t="s">
        <v>31</v>
      </c>
      <c r="V4787" s="6" t="s">
        <v>29778</v>
      </c>
      <c r="W4787" s="6" t="s">
        <v>29779</v>
      </c>
      <c r="X4787" s="9" t="str">
        <f>HYPERLINK("https://my.pitchbook.com?p=208814-05P","View People Online")</f>
        <v>View People Online</v>
      </c>
    </row>
    <row r="4788">
      <c r="A4788" s="2" t="s">
        <v>29780</v>
      </c>
      <c r="B4788" s="2" t="s">
        <v>29781</v>
      </c>
      <c r="C4788" s="2" t="s">
        <v>29782</v>
      </c>
      <c r="D4788" s="2" t="s">
        <v>29783</v>
      </c>
      <c r="E4788" s="2" t="s">
        <v>29666</v>
      </c>
      <c r="F4788" s="2" t="s">
        <v>29784</v>
      </c>
      <c r="G4788" s="2" t="s">
        <v>29785</v>
      </c>
      <c r="H4788" s="3" t="s">
        <v>31</v>
      </c>
      <c r="I4788" s="3">
        <v>1.0</v>
      </c>
      <c r="J4788" s="3">
        <v>1.0</v>
      </c>
      <c r="K4788" s="3" t="s">
        <v>31</v>
      </c>
      <c r="L4788" s="4" t="s">
        <v>29786</v>
      </c>
      <c r="M4788" s="2" t="s">
        <v>29787</v>
      </c>
      <c r="N4788" s="2" t="s">
        <v>13041</v>
      </c>
      <c r="O4788" s="4" t="s">
        <v>13042</v>
      </c>
      <c r="P4788" s="2" t="s">
        <v>29670</v>
      </c>
      <c r="Q4788" s="2" t="s">
        <v>31</v>
      </c>
      <c r="R4788" s="2" t="s">
        <v>10326</v>
      </c>
      <c r="S4788" s="4" t="s">
        <v>29671</v>
      </c>
      <c r="T4788" s="2" t="s">
        <v>66</v>
      </c>
      <c r="U4788" s="4" t="s">
        <v>31</v>
      </c>
      <c r="V4788" s="2" t="s">
        <v>29788</v>
      </c>
      <c r="W4788" s="2" t="s">
        <v>29666</v>
      </c>
      <c r="X4788" s="5" t="str">
        <f>HYPERLINK("https://my.pitchbook.com?p=309357-10P","View People Online")</f>
        <v>View People Online</v>
      </c>
    </row>
    <row r="4789">
      <c r="A4789" s="6" t="s">
        <v>29789</v>
      </c>
      <c r="B4789" s="6" t="s">
        <v>29790</v>
      </c>
      <c r="C4789" s="6" t="s">
        <v>233</v>
      </c>
      <c r="D4789" s="6" t="s">
        <v>29791</v>
      </c>
      <c r="E4789" s="6" t="s">
        <v>29792</v>
      </c>
      <c r="F4789" s="6" t="s">
        <v>1801</v>
      </c>
      <c r="G4789" s="6" t="s">
        <v>29793</v>
      </c>
      <c r="H4789" s="7" t="s">
        <v>31</v>
      </c>
      <c r="I4789" s="7">
        <v>1.0</v>
      </c>
      <c r="J4789" s="7">
        <v>1.0</v>
      </c>
      <c r="K4789" s="7" t="s">
        <v>31</v>
      </c>
      <c r="L4789" s="8" t="s">
        <v>29794</v>
      </c>
      <c r="M4789" s="6" t="s">
        <v>29795</v>
      </c>
      <c r="N4789" s="6" t="s">
        <v>1277</v>
      </c>
      <c r="O4789" s="8" t="s">
        <v>1278</v>
      </c>
      <c r="P4789" s="6" t="s">
        <v>29796</v>
      </c>
      <c r="Q4789" s="6" t="s">
        <v>1331</v>
      </c>
      <c r="R4789" s="6" t="s">
        <v>1281</v>
      </c>
      <c r="S4789" s="8" t="s">
        <v>29797</v>
      </c>
      <c r="T4789" s="6" t="s">
        <v>66</v>
      </c>
      <c r="U4789" s="8" t="s">
        <v>31</v>
      </c>
      <c r="V4789" s="6" t="s">
        <v>29798</v>
      </c>
      <c r="W4789" s="6" t="s">
        <v>29792</v>
      </c>
      <c r="X4789" s="9" t="str">
        <f>HYPERLINK("https://my.pitchbook.com?p=379668-61P","View People Online")</f>
        <v>View People Online</v>
      </c>
    </row>
    <row r="4790">
      <c r="A4790" s="2" t="s">
        <v>29799</v>
      </c>
      <c r="B4790" s="2" t="s">
        <v>29800</v>
      </c>
      <c r="C4790" s="2" t="s">
        <v>29801</v>
      </c>
      <c r="D4790" s="2" t="s">
        <v>1914</v>
      </c>
      <c r="E4790" s="2" t="s">
        <v>29792</v>
      </c>
      <c r="F4790" s="2" t="s">
        <v>270</v>
      </c>
      <c r="G4790" s="2" t="s">
        <v>29802</v>
      </c>
      <c r="H4790" s="3" t="s">
        <v>31</v>
      </c>
      <c r="I4790" s="3">
        <v>1.0</v>
      </c>
      <c r="J4790" s="3">
        <v>1.0</v>
      </c>
      <c r="K4790" s="3" t="s">
        <v>31</v>
      </c>
      <c r="L4790" s="4" t="s">
        <v>29794</v>
      </c>
      <c r="M4790" s="2" t="s">
        <v>29803</v>
      </c>
      <c r="N4790" s="2" t="s">
        <v>1277</v>
      </c>
      <c r="O4790" s="4" t="s">
        <v>1278</v>
      </c>
      <c r="P4790" s="2" t="s">
        <v>29796</v>
      </c>
      <c r="Q4790" s="2" t="s">
        <v>1331</v>
      </c>
      <c r="R4790" s="2" t="s">
        <v>1281</v>
      </c>
      <c r="S4790" s="4" t="s">
        <v>29797</v>
      </c>
      <c r="T4790" s="2" t="s">
        <v>66</v>
      </c>
      <c r="U4790" s="4" t="s">
        <v>31</v>
      </c>
      <c r="V4790" s="2" t="s">
        <v>440</v>
      </c>
      <c r="W4790" s="2" t="s">
        <v>29792</v>
      </c>
      <c r="X4790" s="5" t="str">
        <f>HYPERLINK("https://my.pitchbook.com?p=379666-90P","View People Online")</f>
        <v>View People Online</v>
      </c>
    </row>
    <row r="4791">
      <c r="A4791" s="6" t="s">
        <v>29804</v>
      </c>
      <c r="B4791" s="6" t="s">
        <v>29805</v>
      </c>
      <c r="C4791" s="6" t="s">
        <v>14956</v>
      </c>
      <c r="D4791" s="6" t="s">
        <v>29806</v>
      </c>
      <c r="E4791" s="6" t="s">
        <v>29792</v>
      </c>
      <c r="F4791" s="6" t="s">
        <v>270</v>
      </c>
      <c r="G4791" s="6" t="s">
        <v>29807</v>
      </c>
      <c r="H4791" s="7" t="s">
        <v>31</v>
      </c>
      <c r="I4791" s="7">
        <v>3.0</v>
      </c>
      <c r="J4791" s="7">
        <v>1.0</v>
      </c>
      <c r="K4791" s="7">
        <v>2.0</v>
      </c>
      <c r="L4791" s="8" t="s">
        <v>29794</v>
      </c>
      <c r="M4791" s="6" t="s">
        <v>29808</v>
      </c>
      <c r="N4791" s="6" t="s">
        <v>1277</v>
      </c>
      <c r="O4791" s="8" t="s">
        <v>1278</v>
      </c>
      <c r="P4791" s="6" t="s">
        <v>29796</v>
      </c>
      <c r="Q4791" s="6" t="s">
        <v>1331</v>
      </c>
      <c r="R4791" s="6" t="s">
        <v>1281</v>
      </c>
      <c r="S4791" s="8" t="s">
        <v>29797</v>
      </c>
      <c r="T4791" s="6" t="s">
        <v>66</v>
      </c>
      <c r="U4791" s="8" t="s">
        <v>31</v>
      </c>
      <c r="V4791" s="6" t="s">
        <v>440</v>
      </c>
      <c r="W4791" s="6" t="s">
        <v>29792</v>
      </c>
      <c r="X4791" s="9" t="str">
        <f>HYPERLINK("https://my.pitchbook.com?p=108958-33P","View People Online")</f>
        <v>View People Online</v>
      </c>
    </row>
    <row r="4792">
      <c r="A4792" s="2" t="s">
        <v>29809</v>
      </c>
      <c r="B4792" s="2" t="s">
        <v>29810</v>
      </c>
      <c r="C4792" s="2" t="s">
        <v>4943</v>
      </c>
      <c r="D4792" s="2" t="s">
        <v>29811</v>
      </c>
      <c r="E4792" s="2" t="s">
        <v>29792</v>
      </c>
      <c r="F4792" s="2" t="s">
        <v>270</v>
      </c>
      <c r="G4792" s="2" t="s">
        <v>29812</v>
      </c>
      <c r="H4792" s="3" t="s">
        <v>31</v>
      </c>
      <c r="I4792" s="3">
        <v>1.0</v>
      </c>
      <c r="J4792" s="3">
        <v>1.0</v>
      </c>
      <c r="K4792" s="3" t="s">
        <v>31</v>
      </c>
      <c r="L4792" s="4" t="s">
        <v>29794</v>
      </c>
      <c r="M4792" s="2" t="s">
        <v>29813</v>
      </c>
      <c r="N4792" s="2" t="s">
        <v>1277</v>
      </c>
      <c r="O4792" s="4" t="s">
        <v>1278</v>
      </c>
      <c r="P4792" s="2" t="s">
        <v>29796</v>
      </c>
      <c r="Q4792" s="2" t="s">
        <v>1331</v>
      </c>
      <c r="R4792" s="2" t="s">
        <v>1281</v>
      </c>
      <c r="S4792" s="4" t="s">
        <v>29797</v>
      </c>
      <c r="T4792" s="2" t="s">
        <v>66</v>
      </c>
      <c r="U4792" s="4" t="s">
        <v>31</v>
      </c>
      <c r="V4792" s="2" t="s">
        <v>440</v>
      </c>
      <c r="W4792" s="2" t="s">
        <v>29792</v>
      </c>
      <c r="X4792" s="5" t="str">
        <f>HYPERLINK("https://my.pitchbook.com?p=335991-97P","View People Online")</f>
        <v>View People Online</v>
      </c>
    </row>
    <row r="4793">
      <c r="A4793" s="14" t="s">
        <v>29814</v>
      </c>
      <c r="B4793" s="14" t="s">
        <v>29815</v>
      </c>
      <c r="C4793" s="14" t="s">
        <v>29816</v>
      </c>
      <c r="D4793" s="14" t="s">
        <v>29817</v>
      </c>
      <c r="E4793" s="14" t="s">
        <v>29792</v>
      </c>
      <c r="F4793" s="14" t="s">
        <v>86</v>
      </c>
      <c r="G4793" s="14" t="s">
        <v>29818</v>
      </c>
      <c r="H4793" s="15">
        <v>12.0</v>
      </c>
      <c r="I4793" s="15">
        <v>69.0</v>
      </c>
      <c r="J4793" s="15">
        <v>1.0</v>
      </c>
      <c r="K4793" s="15">
        <v>43.0</v>
      </c>
      <c r="L4793" s="16" t="s">
        <v>29794</v>
      </c>
      <c r="M4793" s="14" t="s">
        <v>29819</v>
      </c>
      <c r="N4793" s="14" t="s">
        <v>1277</v>
      </c>
      <c r="O4793" s="16" t="s">
        <v>1278</v>
      </c>
      <c r="P4793" s="14" t="s">
        <v>29796</v>
      </c>
      <c r="Q4793" s="14" t="s">
        <v>1331</v>
      </c>
      <c r="R4793" s="14" t="s">
        <v>1281</v>
      </c>
      <c r="S4793" s="16" t="s">
        <v>29797</v>
      </c>
      <c r="T4793" s="14" t="s">
        <v>66</v>
      </c>
      <c r="U4793" s="16" t="s">
        <v>31</v>
      </c>
      <c r="V4793" s="14" t="s">
        <v>689</v>
      </c>
      <c r="W4793" s="14" t="s">
        <v>29792</v>
      </c>
      <c r="X4793" s="17" t="str">
        <f>HYPERLINK("https://my.pitchbook.com?p=30356-20P","View People Online")</f>
        <v>View People Online</v>
      </c>
    </row>
    <row r="4794">
      <c r="A4794" s="2" t="s">
        <v>29820</v>
      </c>
      <c r="B4794" s="2" t="s">
        <v>29821</v>
      </c>
      <c r="C4794" s="2" t="s">
        <v>27053</v>
      </c>
      <c r="D4794" s="2" t="s">
        <v>29822</v>
      </c>
      <c r="E4794" s="2" t="s">
        <v>29792</v>
      </c>
      <c r="F4794" s="2" t="s">
        <v>270</v>
      </c>
      <c r="G4794" s="2" t="s">
        <v>29823</v>
      </c>
      <c r="H4794" s="3" t="s">
        <v>31</v>
      </c>
      <c r="I4794" s="3">
        <v>1.0</v>
      </c>
      <c r="J4794" s="3">
        <v>1.0</v>
      </c>
      <c r="K4794" s="3" t="s">
        <v>31</v>
      </c>
      <c r="L4794" s="4" t="s">
        <v>29794</v>
      </c>
      <c r="M4794" s="2" t="s">
        <v>29824</v>
      </c>
      <c r="N4794" s="2" t="s">
        <v>1277</v>
      </c>
      <c r="O4794" s="4" t="s">
        <v>1278</v>
      </c>
      <c r="P4794" s="2" t="s">
        <v>29796</v>
      </c>
      <c r="Q4794" s="2" t="s">
        <v>1331</v>
      </c>
      <c r="R4794" s="2" t="s">
        <v>1281</v>
      </c>
      <c r="S4794" s="4" t="s">
        <v>29797</v>
      </c>
      <c r="T4794" s="2" t="s">
        <v>66</v>
      </c>
      <c r="U4794" s="4" t="s">
        <v>31</v>
      </c>
      <c r="V4794" s="2" t="s">
        <v>440</v>
      </c>
      <c r="W4794" s="2" t="s">
        <v>29792</v>
      </c>
      <c r="X4794" s="5" t="str">
        <f>HYPERLINK("https://my.pitchbook.com?p=239152-96P","View People Online")</f>
        <v>View People Online</v>
      </c>
    </row>
    <row r="4795">
      <c r="A4795" s="14" t="s">
        <v>29825</v>
      </c>
      <c r="B4795" s="14" t="s">
        <v>29826</v>
      </c>
      <c r="C4795" s="14" t="s">
        <v>29827</v>
      </c>
      <c r="D4795" s="14" t="s">
        <v>29828</v>
      </c>
      <c r="E4795" s="14" t="s">
        <v>29792</v>
      </c>
      <c r="F4795" s="14" t="s">
        <v>1544</v>
      </c>
      <c r="G4795" s="14" t="s">
        <v>29829</v>
      </c>
      <c r="H4795" s="15" t="s">
        <v>31</v>
      </c>
      <c r="I4795" s="15">
        <v>1.0</v>
      </c>
      <c r="J4795" s="15">
        <v>1.0</v>
      </c>
      <c r="K4795" s="15" t="s">
        <v>31</v>
      </c>
      <c r="L4795" s="16" t="s">
        <v>29830</v>
      </c>
      <c r="M4795" s="14" t="s">
        <v>29831</v>
      </c>
      <c r="N4795" s="14" t="s">
        <v>1277</v>
      </c>
      <c r="O4795" s="16" t="s">
        <v>1278</v>
      </c>
      <c r="P4795" s="14" t="s">
        <v>29796</v>
      </c>
      <c r="Q4795" s="14" t="s">
        <v>1331</v>
      </c>
      <c r="R4795" s="14" t="s">
        <v>1281</v>
      </c>
      <c r="S4795" s="16" t="s">
        <v>29797</v>
      </c>
      <c r="T4795" s="14" t="s">
        <v>66</v>
      </c>
      <c r="U4795" s="16" t="s">
        <v>31</v>
      </c>
      <c r="V4795" s="14" t="s">
        <v>1544</v>
      </c>
      <c r="W4795" s="14" t="s">
        <v>29792</v>
      </c>
      <c r="X4795" s="17" t="str">
        <f>HYPERLINK("https://my.pitchbook.com?p=12914-20P","View People Online")</f>
        <v>View People Online</v>
      </c>
    </row>
    <row r="4796">
      <c r="A4796" s="10" t="s">
        <v>29832</v>
      </c>
      <c r="B4796" s="10" t="s">
        <v>29833</v>
      </c>
      <c r="C4796" s="10" t="s">
        <v>29834</v>
      </c>
      <c r="D4796" s="10" t="s">
        <v>29835</v>
      </c>
      <c r="E4796" s="10" t="s">
        <v>29792</v>
      </c>
      <c r="F4796" s="10" t="s">
        <v>270</v>
      </c>
      <c r="G4796" s="10" t="s">
        <v>29836</v>
      </c>
      <c r="H4796" s="11" t="s">
        <v>31</v>
      </c>
      <c r="I4796" s="11">
        <v>1.0</v>
      </c>
      <c r="J4796" s="11">
        <v>1.0</v>
      </c>
      <c r="K4796" s="11" t="s">
        <v>31</v>
      </c>
      <c r="L4796" s="12" t="s">
        <v>29794</v>
      </c>
      <c r="M4796" s="10" t="s">
        <v>29837</v>
      </c>
      <c r="N4796" s="10" t="s">
        <v>1277</v>
      </c>
      <c r="O4796" s="12" t="s">
        <v>1278</v>
      </c>
      <c r="P4796" s="10" t="s">
        <v>29796</v>
      </c>
      <c r="Q4796" s="10" t="s">
        <v>1331</v>
      </c>
      <c r="R4796" s="10" t="s">
        <v>1281</v>
      </c>
      <c r="S4796" s="12" t="s">
        <v>29797</v>
      </c>
      <c r="T4796" s="10" t="s">
        <v>66</v>
      </c>
      <c r="U4796" s="12" t="s">
        <v>31</v>
      </c>
      <c r="V4796" s="10" t="s">
        <v>440</v>
      </c>
      <c r="W4796" s="10" t="s">
        <v>29792</v>
      </c>
      <c r="X4796" s="13" t="str">
        <f>HYPERLINK("https://my.pitchbook.com?p=144956-80P","View People Online")</f>
        <v>View People Online</v>
      </c>
    </row>
    <row r="4797">
      <c r="A4797" s="6" t="s">
        <v>29838</v>
      </c>
      <c r="B4797" s="6" t="s">
        <v>29839</v>
      </c>
      <c r="C4797" s="6" t="s">
        <v>3875</v>
      </c>
      <c r="D4797" s="6" t="s">
        <v>7117</v>
      </c>
      <c r="E4797" s="6" t="s">
        <v>29792</v>
      </c>
      <c r="F4797" s="6" t="s">
        <v>86</v>
      </c>
      <c r="G4797" s="6" t="s">
        <v>29840</v>
      </c>
      <c r="H4797" s="7">
        <v>5.0</v>
      </c>
      <c r="I4797" s="7">
        <v>20.0</v>
      </c>
      <c r="J4797" s="7">
        <v>1.0</v>
      </c>
      <c r="K4797" s="7">
        <v>9.0</v>
      </c>
      <c r="L4797" s="8" t="s">
        <v>29794</v>
      </c>
      <c r="M4797" s="6" t="s">
        <v>29841</v>
      </c>
      <c r="N4797" s="6" t="s">
        <v>1277</v>
      </c>
      <c r="O4797" s="8" t="s">
        <v>1278</v>
      </c>
      <c r="P4797" s="6" t="s">
        <v>29796</v>
      </c>
      <c r="Q4797" s="6" t="s">
        <v>1331</v>
      </c>
      <c r="R4797" s="6" t="s">
        <v>1281</v>
      </c>
      <c r="S4797" s="8" t="s">
        <v>29797</v>
      </c>
      <c r="T4797" s="6" t="s">
        <v>66</v>
      </c>
      <c r="U4797" s="8" t="s">
        <v>31</v>
      </c>
      <c r="V4797" s="6" t="s">
        <v>95</v>
      </c>
      <c r="W4797" s="6" t="s">
        <v>29792</v>
      </c>
      <c r="X4797" s="9" t="str">
        <f>HYPERLINK("https://my.pitchbook.com?p=189510-04P","View People Online")</f>
        <v>View People Online</v>
      </c>
    </row>
    <row r="4798">
      <c r="A4798" s="2" t="s">
        <v>29842</v>
      </c>
      <c r="B4798" s="2" t="s">
        <v>29843</v>
      </c>
      <c r="C4798" s="2" t="s">
        <v>29844</v>
      </c>
      <c r="D4798" s="2" t="s">
        <v>29845</v>
      </c>
      <c r="E4798" s="2" t="s">
        <v>29846</v>
      </c>
      <c r="F4798" s="2" t="s">
        <v>12616</v>
      </c>
      <c r="G4798" s="2" t="s">
        <v>29847</v>
      </c>
      <c r="H4798" s="3" t="s">
        <v>31</v>
      </c>
      <c r="I4798" s="3">
        <v>1.0</v>
      </c>
      <c r="J4798" s="3">
        <v>1.0</v>
      </c>
      <c r="K4798" s="3" t="s">
        <v>31</v>
      </c>
      <c r="L4798" s="4" t="s">
        <v>31</v>
      </c>
      <c r="M4798" s="2" t="s">
        <v>29848</v>
      </c>
      <c r="N4798" s="2" t="s">
        <v>29849</v>
      </c>
      <c r="O4798" s="4" t="s">
        <v>29850</v>
      </c>
      <c r="P4798" s="2" t="s">
        <v>29851</v>
      </c>
      <c r="Q4798" s="2" t="s">
        <v>31</v>
      </c>
      <c r="R4798" s="2" t="s">
        <v>31</v>
      </c>
      <c r="S4798" s="4" t="s">
        <v>31</v>
      </c>
      <c r="T4798" s="2" t="s">
        <v>249</v>
      </c>
      <c r="U4798" s="4" t="s">
        <v>31</v>
      </c>
      <c r="V4798" s="2" t="s">
        <v>29852</v>
      </c>
      <c r="W4798" s="2" t="s">
        <v>29846</v>
      </c>
      <c r="X4798" s="5" t="str">
        <f>HYPERLINK("https://my.pitchbook.com?p=329587-03P","View People Online")</f>
        <v>View People Online</v>
      </c>
    </row>
    <row r="4799">
      <c r="A4799" s="6" t="s">
        <v>29853</v>
      </c>
      <c r="B4799" s="6" t="s">
        <v>29854</v>
      </c>
      <c r="C4799" s="6" t="s">
        <v>12581</v>
      </c>
      <c r="D4799" s="6" t="s">
        <v>29855</v>
      </c>
      <c r="E4799" s="6" t="s">
        <v>29846</v>
      </c>
      <c r="F4799" s="6" t="s">
        <v>771</v>
      </c>
      <c r="G4799" s="6" t="s">
        <v>29856</v>
      </c>
      <c r="H4799" s="7" t="s">
        <v>31</v>
      </c>
      <c r="I4799" s="7">
        <v>1.0</v>
      </c>
      <c r="J4799" s="7" t="s">
        <v>31</v>
      </c>
      <c r="K4799" s="7" t="s">
        <v>31</v>
      </c>
      <c r="L4799" s="8" t="s">
        <v>31</v>
      </c>
      <c r="M4799" s="6" t="s">
        <v>31</v>
      </c>
      <c r="N4799" s="6" t="s">
        <v>29849</v>
      </c>
      <c r="O4799" s="8" t="s">
        <v>29850</v>
      </c>
      <c r="P4799" s="6" t="s">
        <v>29851</v>
      </c>
      <c r="Q4799" s="6" t="s">
        <v>31</v>
      </c>
      <c r="R4799" s="6" t="s">
        <v>31</v>
      </c>
      <c r="S4799" s="8" t="s">
        <v>31</v>
      </c>
      <c r="T4799" s="6" t="s">
        <v>249</v>
      </c>
      <c r="U4799" s="8" t="s">
        <v>31</v>
      </c>
      <c r="V4799" s="6" t="s">
        <v>771</v>
      </c>
      <c r="W4799" s="6" t="s">
        <v>29846</v>
      </c>
      <c r="X4799" s="9" t="str">
        <f>HYPERLINK("https://my.pitchbook.com?p=427003-75P","View People Online")</f>
        <v>View People Online</v>
      </c>
    </row>
    <row r="4800">
      <c r="A4800" s="2" t="s">
        <v>29857</v>
      </c>
      <c r="B4800" s="2" t="s">
        <v>29858</v>
      </c>
      <c r="C4800" s="2" t="s">
        <v>9032</v>
      </c>
      <c r="D4800" s="2" t="s">
        <v>29859</v>
      </c>
      <c r="E4800" s="2" t="s">
        <v>29846</v>
      </c>
      <c r="F4800" s="2" t="s">
        <v>43</v>
      </c>
      <c r="G4800" s="2" t="s">
        <v>29860</v>
      </c>
      <c r="H4800" s="3" t="s">
        <v>31</v>
      </c>
      <c r="I4800" s="3">
        <v>1.0</v>
      </c>
      <c r="J4800" s="3">
        <v>1.0</v>
      </c>
      <c r="K4800" s="3" t="s">
        <v>31</v>
      </c>
      <c r="L4800" s="4" t="s">
        <v>31</v>
      </c>
      <c r="M4800" s="2" t="s">
        <v>29861</v>
      </c>
      <c r="N4800" s="2" t="s">
        <v>29849</v>
      </c>
      <c r="O4800" s="4" t="s">
        <v>29850</v>
      </c>
      <c r="P4800" s="2" t="s">
        <v>29851</v>
      </c>
      <c r="Q4800" s="2" t="s">
        <v>31</v>
      </c>
      <c r="R4800" s="2" t="s">
        <v>31</v>
      </c>
      <c r="S4800" s="4" t="s">
        <v>31</v>
      </c>
      <c r="T4800" s="2" t="s">
        <v>249</v>
      </c>
      <c r="U4800" s="4" t="s">
        <v>31</v>
      </c>
      <c r="V4800" s="2" t="s">
        <v>43</v>
      </c>
      <c r="W4800" s="2" t="s">
        <v>29846</v>
      </c>
      <c r="X4800" s="5" t="str">
        <f>HYPERLINK("https://my.pitchbook.com?p=231445-45P","View People Online")</f>
        <v>View People Online</v>
      </c>
    </row>
    <row r="4801">
      <c r="A4801" s="14" t="s">
        <v>29862</v>
      </c>
      <c r="B4801" s="14" t="s">
        <v>29863</v>
      </c>
      <c r="C4801" s="14" t="s">
        <v>12912</v>
      </c>
      <c r="D4801" s="14" t="s">
        <v>11225</v>
      </c>
      <c r="E4801" s="14" t="s">
        <v>29846</v>
      </c>
      <c r="F4801" s="14" t="s">
        <v>771</v>
      </c>
      <c r="G4801" s="14" t="s">
        <v>29864</v>
      </c>
      <c r="H4801" s="15">
        <v>2.0</v>
      </c>
      <c r="I4801" s="15">
        <v>6.0</v>
      </c>
      <c r="J4801" s="15">
        <v>1.0</v>
      </c>
      <c r="K4801" s="15">
        <v>3.0</v>
      </c>
      <c r="L4801" s="16" t="s">
        <v>31</v>
      </c>
      <c r="M4801" s="14" t="s">
        <v>29865</v>
      </c>
      <c r="N4801" s="14" t="s">
        <v>29849</v>
      </c>
      <c r="O4801" s="16" t="s">
        <v>29850</v>
      </c>
      <c r="P4801" s="14" t="s">
        <v>29851</v>
      </c>
      <c r="Q4801" s="14" t="s">
        <v>31</v>
      </c>
      <c r="R4801" s="14" t="s">
        <v>31</v>
      </c>
      <c r="S4801" s="16" t="s">
        <v>31</v>
      </c>
      <c r="T4801" s="14" t="s">
        <v>249</v>
      </c>
      <c r="U4801" s="16" t="s">
        <v>31</v>
      </c>
      <c r="V4801" s="14" t="s">
        <v>29866</v>
      </c>
      <c r="W4801" s="14" t="s">
        <v>29846</v>
      </c>
      <c r="X4801" s="17" t="str">
        <f>HYPERLINK("https://my.pitchbook.com?p=376790-50P","View People Online")</f>
        <v>View People Online</v>
      </c>
    </row>
    <row r="4802">
      <c r="A4802" s="10" t="s">
        <v>29867</v>
      </c>
      <c r="B4802" s="10" t="s">
        <v>29868</v>
      </c>
      <c r="C4802" s="10" t="s">
        <v>29869</v>
      </c>
      <c r="D4802" s="10" t="s">
        <v>29870</v>
      </c>
      <c r="E4802" s="10" t="s">
        <v>29846</v>
      </c>
      <c r="F4802" s="10" t="s">
        <v>29871</v>
      </c>
      <c r="G4802" s="10" t="s">
        <v>29872</v>
      </c>
      <c r="H4802" s="11" t="s">
        <v>31</v>
      </c>
      <c r="I4802" s="11">
        <v>4.0</v>
      </c>
      <c r="J4802" s="11">
        <v>4.0</v>
      </c>
      <c r="K4802" s="11" t="s">
        <v>31</v>
      </c>
      <c r="L4802" s="12" t="s">
        <v>29873</v>
      </c>
      <c r="M4802" s="10" t="s">
        <v>29874</v>
      </c>
      <c r="N4802" s="10" t="s">
        <v>29875</v>
      </c>
      <c r="O4802" s="12" t="s">
        <v>29876</v>
      </c>
      <c r="P4802" s="10" t="s">
        <v>29877</v>
      </c>
      <c r="Q4802" s="10" t="s">
        <v>31</v>
      </c>
      <c r="R4802" s="10" t="s">
        <v>31</v>
      </c>
      <c r="S4802" s="12" t="s">
        <v>29878</v>
      </c>
      <c r="T4802" s="10" t="s">
        <v>3104</v>
      </c>
      <c r="U4802" s="12" t="s">
        <v>31</v>
      </c>
      <c r="V4802" s="10" t="s">
        <v>29879</v>
      </c>
      <c r="W4802" s="10" t="s">
        <v>29880</v>
      </c>
      <c r="X4802" s="13" t="str">
        <f>HYPERLINK("https://my.pitchbook.com?p=43178-95P","View People Online")</f>
        <v>View People Online</v>
      </c>
    </row>
    <row r="4803">
      <c r="A4803" s="14" t="s">
        <v>29881</v>
      </c>
      <c r="B4803" s="14" t="s">
        <v>29882</v>
      </c>
      <c r="C4803" s="14" t="s">
        <v>29883</v>
      </c>
      <c r="D4803" s="14" t="s">
        <v>1571</v>
      </c>
      <c r="E4803" s="14" t="s">
        <v>29846</v>
      </c>
      <c r="F4803" s="14" t="s">
        <v>86</v>
      </c>
      <c r="G4803" s="14" t="s">
        <v>29884</v>
      </c>
      <c r="H4803" s="15">
        <v>3.0</v>
      </c>
      <c r="I4803" s="15">
        <v>43.0</v>
      </c>
      <c r="J4803" s="15">
        <v>8.0</v>
      </c>
      <c r="K4803" s="15">
        <v>30.0</v>
      </c>
      <c r="L4803" s="16" t="s">
        <v>29885</v>
      </c>
      <c r="M4803" s="14" t="s">
        <v>31</v>
      </c>
      <c r="N4803" s="14" t="s">
        <v>29875</v>
      </c>
      <c r="O4803" s="16" t="s">
        <v>29876</v>
      </c>
      <c r="P4803" s="14" t="s">
        <v>29886</v>
      </c>
      <c r="Q4803" s="14" t="s">
        <v>31</v>
      </c>
      <c r="R4803" s="14" t="s">
        <v>31</v>
      </c>
      <c r="S4803" s="16" t="s">
        <v>29878</v>
      </c>
      <c r="T4803" s="14" t="s">
        <v>3104</v>
      </c>
      <c r="U4803" s="16" t="s">
        <v>31</v>
      </c>
      <c r="V4803" s="14" t="s">
        <v>29887</v>
      </c>
      <c r="W4803" s="14" t="s">
        <v>29888</v>
      </c>
      <c r="X4803" s="17" t="str">
        <f>HYPERLINK("https://my.pitchbook.com?p=34159-42P","View People Online")</f>
        <v>View People Online</v>
      </c>
    </row>
    <row r="4804">
      <c r="A4804" s="2" t="s">
        <v>29889</v>
      </c>
      <c r="B4804" s="2" t="s">
        <v>29890</v>
      </c>
      <c r="C4804" s="2" t="s">
        <v>160</v>
      </c>
      <c r="D4804" s="2" t="s">
        <v>29891</v>
      </c>
      <c r="E4804" s="2" t="s">
        <v>29892</v>
      </c>
      <c r="F4804" s="2" t="s">
        <v>674</v>
      </c>
      <c r="G4804" s="2" t="s">
        <v>29893</v>
      </c>
      <c r="H4804" s="3">
        <v>9.0</v>
      </c>
      <c r="I4804" s="3">
        <v>59.0</v>
      </c>
      <c r="J4804" s="3">
        <v>1.0</v>
      </c>
      <c r="K4804" s="3">
        <v>40.0</v>
      </c>
      <c r="L4804" s="4" t="s">
        <v>29894</v>
      </c>
      <c r="M4804" s="2" t="s">
        <v>29895</v>
      </c>
      <c r="N4804" s="2" t="s">
        <v>75</v>
      </c>
      <c r="O4804" s="4" t="s">
        <v>76</v>
      </c>
      <c r="P4804" s="2" t="s">
        <v>29896</v>
      </c>
      <c r="Q4804" s="2" t="s">
        <v>1895</v>
      </c>
      <c r="R4804" s="2" t="s">
        <v>75</v>
      </c>
      <c r="S4804" s="4" t="s">
        <v>2167</v>
      </c>
      <c r="T4804" s="2" t="s">
        <v>66</v>
      </c>
      <c r="U4804" s="4" t="s">
        <v>29897</v>
      </c>
      <c r="V4804" s="2" t="s">
        <v>1172</v>
      </c>
      <c r="W4804" s="2" t="s">
        <v>29892</v>
      </c>
      <c r="X4804" s="5" t="str">
        <f>HYPERLINK("https://my.pitchbook.com?p=13092-31P","View People Online")</f>
        <v>View People Online</v>
      </c>
    </row>
    <row r="4805">
      <c r="A4805" s="6" t="s">
        <v>29898</v>
      </c>
      <c r="B4805" s="6" t="s">
        <v>29899</v>
      </c>
      <c r="C4805" s="6" t="s">
        <v>12077</v>
      </c>
      <c r="D4805" s="6" t="s">
        <v>18117</v>
      </c>
      <c r="E4805" s="6" t="s">
        <v>29892</v>
      </c>
      <c r="F4805" s="6" t="s">
        <v>43</v>
      </c>
      <c r="G4805" s="6" t="s">
        <v>29900</v>
      </c>
      <c r="H4805" s="7">
        <v>3.0</v>
      </c>
      <c r="I4805" s="7">
        <v>23.0</v>
      </c>
      <c r="J4805" s="7">
        <v>3.0</v>
      </c>
      <c r="K4805" s="7">
        <v>16.0</v>
      </c>
      <c r="L4805" s="8" t="s">
        <v>29894</v>
      </c>
      <c r="M4805" s="6" t="s">
        <v>29901</v>
      </c>
      <c r="N4805" s="6" t="s">
        <v>75</v>
      </c>
      <c r="O4805" s="8" t="s">
        <v>76</v>
      </c>
      <c r="P4805" s="6" t="s">
        <v>29896</v>
      </c>
      <c r="Q4805" s="6" t="s">
        <v>1895</v>
      </c>
      <c r="R4805" s="6" t="s">
        <v>75</v>
      </c>
      <c r="S4805" s="8" t="s">
        <v>2167</v>
      </c>
      <c r="T4805" s="6" t="s">
        <v>66</v>
      </c>
      <c r="U4805" s="8" t="s">
        <v>29897</v>
      </c>
      <c r="V4805" s="6" t="s">
        <v>43</v>
      </c>
      <c r="W4805" s="6" t="s">
        <v>29892</v>
      </c>
      <c r="X4805" s="9" t="str">
        <f>HYPERLINK("https://my.pitchbook.com?p=29674-72P","View People Online")</f>
        <v>View People Online</v>
      </c>
    </row>
    <row r="4806">
      <c r="A4806" s="2" t="s">
        <v>29902</v>
      </c>
      <c r="B4806" s="2" t="s">
        <v>29903</v>
      </c>
      <c r="C4806" s="2" t="s">
        <v>536</v>
      </c>
      <c r="D4806" s="2" t="s">
        <v>25078</v>
      </c>
      <c r="E4806" s="2" t="s">
        <v>29892</v>
      </c>
      <c r="F4806" s="2" t="s">
        <v>674</v>
      </c>
      <c r="G4806" s="2" t="s">
        <v>29904</v>
      </c>
      <c r="H4806" s="3">
        <v>6.0</v>
      </c>
      <c r="I4806" s="3">
        <v>39.0</v>
      </c>
      <c r="J4806" s="3">
        <v>1.0</v>
      </c>
      <c r="K4806" s="3">
        <v>25.0</v>
      </c>
      <c r="L4806" s="4" t="s">
        <v>29894</v>
      </c>
      <c r="M4806" s="2" t="s">
        <v>29905</v>
      </c>
      <c r="N4806" s="2" t="s">
        <v>75</v>
      </c>
      <c r="O4806" s="4" t="s">
        <v>76</v>
      </c>
      <c r="P4806" s="2" t="s">
        <v>29896</v>
      </c>
      <c r="Q4806" s="2" t="s">
        <v>1895</v>
      </c>
      <c r="R4806" s="2" t="s">
        <v>75</v>
      </c>
      <c r="S4806" s="4" t="s">
        <v>2167</v>
      </c>
      <c r="T4806" s="2" t="s">
        <v>66</v>
      </c>
      <c r="U4806" s="4" t="s">
        <v>29897</v>
      </c>
      <c r="V4806" s="2" t="s">
        <v>1172</v>
      </c>
      <c r="W4806" s="2" t="s">
        <v>29892</v>
      </c>
      <c r="X4806" s="5" t="str">
        <f>HYPERLINK("https://my.pitchbook.com?p=13092-40P","View People Online")</f>
        <v>View People Online</v>
      </c>
    </row>
    <row r="4807">
      <c r="A4807" s="14" t="s">
        <v>29906</v>
      </c>
      <c r="B4807" s="14" t="s">
        <v>29907</v>
      </c>
      <c r="C4807" s="14" t="s">
        <v>2871</v>
      </c>
      <c r="D4807" s="14" t="s">
        <v>29908</v>
      </c>
      <c r="E4807" s="14" t="s">
        <v>29909</v>
      </c>
      <c r="F4807" s="14" t="s">
        <v>29</v>
      </c>
      <c r="G4807" s="14" t="s">
        <v>29910</v>
      </c>
      <c r="H4807" s="15" t="s">
        <v>31</v>
      </c>
      <c r="I4807" s="15">
        <v>2.0</v>
      </c>
      <c r="J4807" s="15">
        <v>2.0</v>
      </c>
      <c r="K4807" s="15" t="s">
        <v>31</v>
      </c>
      <c r="L4807" s="16" t="s">
        <v>29911</v>
      </c>
      <c r="M4807" s="14" t="s">
        <v>31</v>
      </c>
      <c r="N4807" s="14" t="s">
        <v>155</v>
      </c>
      <c r="O4807" s="16" t="s">
        <v>156</v>
      </c>
      <c r="P4807" s="14" t="s">
        <v>25538</v>
      </c>
      <c r="Q4807" s="14" t="s">
        <v>29912</v>
      </c>
      <c r="R4807" s="14" t="s">
        <v>64</v>
      </c>
      <c r="S4807" s="16" t="s">
        <v>1549</v>
      </c>
      <c r="T4807" s="14" t="s">
        <v>66</v>
      </c>
      <c r="U4807" s="16" t="s">
        <v>31</v>
      </c>
      <c r="V4807" s="14" t="s">
        <v>29913</v>
      </c>
      <c r="W4807" s="14" t="s">
        <v>29914</v>
      </c>
      <c r="X4807" s="17" t="str">
        <f>HYPERLINK("https://my.pitchbook.com?p=92922-67P","View People Online")</f>
        <v>View People Online</v>
      </c>
    </row>
    <row r="4808">
      <c r="A4808" s="10" t="s">
        <v>29915</v>
      </c>
      <c r="B4808" s="10" t="s">
        <v>29916</v>
      </c>
      <c r="C4808" s="10" t="s">
        <v>29917</v>
      </c>
      <c r="D4808" s="10" t="s">
        <v>29918</v>
      </c>
      <c r="E4808" s="10" t="s">
        <v>29909</v>
      </c>
      <c r="F4808" s="10" t="s">
        <v>29</v>
      </c>
      <c r="G4808" s="10" t="s">
        <v>29919</v>
      </c>
      <c r="H4808" s="11" t="s">
        <v>31</v>
      </c>
      <c r="I4808" s="11">
        <v>12.0</v>
      </c>
      <c r="J4808" s="11">
        <v>2.0</v>
      </c>
      <c r="K4808" s="11">
        <v>9.0</v>
      </c>
      <c r="L4808" s="12" t="s">
        <v>29920</v>
      </c>
      <c r="M4808" s="10" t="s">
        <v>29921</v>
      </c>
      <c r="N4808" s="10" t="s">
        <v>155</v>
      </c>
      <c r="O4808" s="12" t="s">
        <v>156</v>
      </c>
      <c r="P4808" s="10" t="s">
        <v>25538</v>
      </c>
      <c r="Q4808" s="10" t="s">
        <v>29912</v>
      </c>
      <c r="R4808" s="10" t="s">
        <v>64</v>
      </c>
      <c r="S4808" s="12" t="s">
        <v>1549</v>
      </c>
      <c r="T4808" s="10" t="s">
        <v>66</v>
      </c>
      <c r="U4808" s="12" t="s">
        <v>31</v>
      </c>
      <c r="V4808" s="10" t="s">
        <v>29</v>
      </c>
      <c r="W4808" s="10" t="s">
        <v>29909</v>
      </c>
      <c r="X4808" s="13" t="str">
        <f>HYPERLINK("https://my.pitchbook.com?p=46243-54P","View People Online")</f>
        <v>View People Online</v>
      </c>
    </row>
    <row r="4809">
      <c r="A4809" s="6" t="s">
        <v>29922</v>
      </c>
      <c r="B4809" s="6" t="s">
        <v>29923</v>
      </c>
      <c r="C4809" s="6" t="s">
        <v>3977</v>
      </c>
      <c r="D4809" s="6" t="s">
        <v>29924</v>
      </c>
      <c r="E4809" s="6" t="s">
        <v>29909</v>
      </c>
      <c r="F4809" s="6" t="s">
        <v>318</v>
      </c>
      <c r="G4809" s="6" t="s">
        <v>29925</v>
      </c>
      <c r="H4809" s="7" t="s">
        <v>31</v>
      </c>
      <c r="I4809" s="7">
        <v>3.0</v>
      </c>
      <c r="J4809" s="7">
        <v>1.0</v>
      </c>
      <c r="K4809" s="7">
        <v>1.0</v>
      </c>
      <c r="L4809" s="8" t="s">
        <v>29911</v>
      </c>
      <c r="M4809" s="6" t="s">
        <v>29926</v>
      </c>
      <c r="N4809" s="6" t="s">
        <v>155</v>
      </c>
      <c r="O4809" s="8" t="s">
        <v>156</v>
      </c>
      <c r="P4809" s="6" t="s">
        <v>25538</v>
      </c>
      <c r="Q4809" s="6" t="s">
        <v>29912</v>
      </c>
      <c r="R4809" s="6" t="s">
        <v>64</v>
      </c>
      <c r="S4809" s="8" t="s">
        <v>1549</v>
      </c>
      <c r="T4809" s="6" t="s">
        <v>66</v>
      </c>
      <c r="U4809" s="8" t="s">
        <v>31</v>
      </c>
      <c r="V4809" s="6" t="s">
        <v>318</v>
      </c>
      <c r="W4809" s="6" t="s">
        <v>29909</v>
      </c>
      <c r="X4809" s="9" t="str">
        <f>HYPERLINK("https://my.pitchbook.com?p=402365-26P","View People Online")</f>
        <v>View People Online</v>
      </c>
    </row>
    <row r="4810">
      <c r="A4810" s="10" t="s">
        <v>29927</v>
      </c>
      <c r="B4810" s="10" t="s">
        <v>29928</v>
      </c>
      <c r="C4810" s="10" t="s">
        <v>1343</v>
      </c>
      <c r="D4810" s="10" t="s">
        <v>8787</v>
      </c>
      <c r="E4810" s="10" t="s">
        <v>29909</v>
      </c>
      <c r="F4810" s="10" t="s">
        <v>81</v>
      </c>
      <c r="G4810" s="10" t="s">
        <v>29929</v>
      </c>
      <c r="H4810" s="11" t="s">
        <v>31</v>
      </c>
      <c r="I4810" s="11">
        <v>1.0</v>
      </c>
      <c r="J4810" s="11" t="s">
        <v>31</v>
      </c>
      <c r="K4810" s="11" t="s">
        <v>31</v>
      </c>
      <c r="L4810" s="12" t="s">
        <v>29911</v>
      </c>
      <c r="M4810" s="10" t="s">
        <v>31</v>
      </c>
      <c r="N4810" s="10" t="s">
        <v>155</v>
      </c>
      <c r="O4810" s="12" t="s">
        <v>156</v>
      </c>
      <c r="P4810" s="10" t="s">
        <v>25538</v>
      </c>
      <c r="Q4810" s="10" t="s">
        <v>29912</v>
      </c>
      <c r="R4810" s="10" t="s">
        <v>64</v>
      </c>
      <c r="S4810" s="12" t="s">
        <v>1549</v>
      </c>
      <c r="T4810" s="10" t="s">
        <v>66</v>
      </c>
      <c r="U4810" s="12" t="s">
        <v>31</v>
      </c>
      <c r="V4810" s="10" t="s">
        <v>81</v>
      </c>
      <c r="W4810" s="10" t="s">
        <v>29909</v>
      </c>
      <c r="X4810" s="13" t="str">
        <f>HYPERLINK("https://my.pitchbook.com?p=94612-87P","View People Online")</f>
        <v>View People Online</v>
      </c>
    </row>
    <row r="4811">
      <c r="A4811" s="6" t="s">
        <v>29930</v>
      </c>
      <c r="B4811" s="6" t="s">
        <v>29931</v>
      </c>
      <c r="C4811" s="6" t="s">
        <v>3554</v>
      </c>
      <c r="D4811" s="6" t="s">
        <v>29932</v>
      </c>
      <c r="E4811" s="6" t="s">
        <v>29909</v>
      </c>
      <c r="F4811" s="6" t="s">
        <v>81</v>
      </c>
      <c r="G4811" s="6" t="s">
        <v>29933</v>
      </c>
      <c r="H4811" s="7" t="s">
        <v>31</v>
      </c>
      <c r="I4811" s="7">
        <v>1.0</v>
      </c>
      <c r="J4811" s="7" t="s">
        <v>31</v>
      </c>
      <c r="K4811" s="7" t="s">
        <v>31</v>
      </c>
      <c r="L4811" s="8" t="s">
        <v>29911</v>
      </c>
      <c r="M4811" s="6" t="s">
        <v>31</v>
      </c>
      <c r="N4811" s="6" t="s">
        <v>155</v>
      </c>
      <c r="O4811" s="8" t="s">
        <v>156</v>
      </c>
      <c r="P4811" s="6" t="s">
        <v>25538</v>
      </c>
      <c r="Q4811" s="6" t="s">
        <v>29912</v>
      </c>
      <c r="R4811" s="6" t="s">
        <v>64</v>
      </c>
      <c r="S4811" s="8" t="s">
        <v>1549</v>
      </c>
      <c r="T4811" s="6" t="s">
        <v>66</v>
      </c>
      <c r="U4811" s="8" t="s">
        <v>31</v>
      </c>
      <c r="V4811" s="6" t="s">
        <v>81</v>
      </c>
      <c r="W4811" s="6" t="s">
        <v>29909</v>
      </c>
      <c r="X4811" s="9" t="str">
        <f>HYPERLINK("https://my.pitchbook.com?p=372545-65P","View People Online")</f>
        <v>View People Online</v>
      </c>
    </row>
    <row r="4812">
      <c r="A4812" s="2" t="s">
        <v>29934</v>
      </c>
      <c r="B4812" s="2" t="s">
        <v>29935</v>
      </c>
      <c r="C4812" s="2" t="s">
        <v>29936</v>
      </c>
      <c r="D4812" s="2" t="s">
        <v>29937</v>
      </c>
      <c r="E4812" s="2" t="s">
        <v>29909</v>
      </c>
      <c r="F4812" s="2" t="s">
        <v>81</v>
      </c>
      <c r="G4812" s="2" t="s">
        <v>29938</v>
      </c>
      <c r="H4812" s="3" t="s">
        <v>31</v>
      </c>
      <c r="I4812" s="3">
        <v>1.0</v>
      </c>
      <c r="J4812" s="3" t="s">
        <v>31</v>
      </c>
      <c r="K4812" s="3" t="s">
        <v>31</v>
      </c>
      <c r="L4812" s="4" t="s">
        <v>29911</v>
      </c>
      <c r="M4812" s="2" t="s">
        <v>31</v>
      </c>
      <c r="N4812" s="2" t="s">
        <v>155</v>
      </c>
      <c r="O4812" s="4" t="s">
        <v>156</v>
      </c>
      <c r="P4812" s="2" t="s">
        <v>25538</v>
      </c>
      <c r="Q4812" s="2" t="s">
        <v>29912</v>
      </c>
      <c r="R4812" s="2" t="s">
        <v>64</v>
      </c>
      <c r="S4812" s="4" t="s">
        <v>1549</v>
      </c>
      <c r="T4812" s="2" t="s">
        <v>66</v>
      </c>
      <c r="U4812" s="4" t="s">
        <v>31</v>
      </c>
      <c r="V4812" s="2" t="s">
        <v>81</v>
      </c>
      <c r="W4812" s="2" t="s">
        <v>29909</v>
      </c>
      <c r="X4812" s="5" t="str">
        <f>HYPERLINK("https://my.pitchbook.com?p=372543-49P","View People Online")</f>
        <v>View People Online</v>
      </c>
    </row>
    <row r="4813">
      <c r="A4813" s="6" t="s">
        <v>29939</v>
      </c>
      <c r="B4813" s="6" t="s">
        <v>29940</v>
      </c>
      <c r="C4813" s="6" t="s">
        <v>1697</v>
      </c>
      <c r="D4813" s="6" t="s">
        <v>29941</v>
      </c>
      <c r="E4813" s="6" t="s">
        <v>29909</v>
      </c>
      <c r="F4813" s="6" t="s">
        <v>674</v>
      </c>
      <c r="G4813" s="6" t="s">
        <v>29942</v>
      </c>
      <c r="H4813" s="7">
        <v>1.0</v>
      </c>
      <c r="I4813" s="7">
        <v>19.0</v>
      </c>
      <c r="J4813" s="7">
        <v>2.0</v>
      </c>
      <c r="K4813" s="7">
        <v>13.0</v>
      </c>
      <c r="L4813" s="8" t="s">
        <v>29943</v>
      </c>
      <c r="M4813" s="6" t="s">
        <v>29944</v>
      </c>
      <c r="N4813" s="6" t="s">
        <v>155</v>
      </c>
      <c r="O4813" s="8" t="s">
        <v>156</v>
      </c>
      <c r="P4813" s="6" t="s">
        <v>25538</v>
      </c>
      <c r="Q4813" s="6" t="s">
        <v>29912</v>
      </c>
      <c r="R4813" s="6" t="s">
        <v>64</v>
      </c>
      <c r="S4813" s="8" t="s">
        <v>1549</v>
      </c>
      <c r="T4813" s="6" t="s">
        <v>66</v>
      </c>
      <c r="U4813" s="8" t="s">
        <v>31</v>
      </c>
      <c r="V4813" s="6" t="s">
        <v>674</v>
      </c>
      <c r="W4813" s="6" t="s">
        <v>29909</v>
      </c>
      <c r="X4813" s="9" t="str">
        <f>HYPERLINK("https://my.pitchbook.com?p=38126-53P","View People Online")</f>
        <v>View People Online</v>
      </c>
    </row>
    <row r="4814">
      <c r="A4814" s="2" t="s">
        <v>29945</v>
      </c>
      <c r="B4814" s="2" t="s">
        <v>29946</v>
      </c>
      <c r="C4814" s="2" t="s">
        <v>14512</v>
      </c>
      <c r="D4814" s="2" t="s">
        <v>27855</v>
      </c>
      <c r="E4814" s="2" t="s">
        <v>29947</v>
      </c>
      <c r="F4814" s="2" t="s">
        <v>5515</v>
      </c>
      <c r="G4814" s="2" t="s">
        <v>29948</v>
      </c>
      <c r="H4814" s="3">
        <v>1.0</v>
      </c>
      <c r="I4814" s="3">
        <v>3.0</v>
      </c>
      <c r="J4814" s="3">
        <v>3.0</v>
      </c>
      <c r="K4814" s="3" t="s">
        <v>31</v>
      </c>
      <c r="L4814" s="4" t="s">
        <v>29949</v>
      </c>
      <c r="M4814" s="2" t="s">
        <v>29950</v>
      </c>
      <c r="N4814" s="2" t="s">
        <v>1348</v>
      </c>
      <c r="O4814" s="4" t="s">
        <v>1349</v>
      </c>
      <c r="P4814" s="2" t="s">
        <v>29951</v>
      </c>
      <c r="Q4814" s="2" t="s">
        <v>1784</v>
      </c>
      <c r="R4814" s="2" t="s">
        <v>1018</v>
      </c>
      <c r="S4814" s="4" t="s">
        <v>29952</v>
      </c>
      <c r="T4814" s="2" t="s">
        <v>1019</v>
      </c>
      <c r="U4814" s="4" t="s">
        <v>31</v>
      </c>
      <c r="V4814" s="2" t="s">
        <v>29953</v>
      </c>
      <c r="W4814" s="2" t="s">
        <v>29947</v>
      </c>
      <c r="X4814" s="5" t="str">
        <f>HYPERLINK("https://my.pitchbook.com?p=32984-47P","View People Online")</f>
        <v>View People Online</v>
      </c>
    </row>
    <row r="4815">
      <c r="A4815" s="14" t="s">
        <v>29954</v>
      </c>
      <c r="B4815" s="14" t="s">
        <v>29955</v>
      </c>
      <c r="C4815" s="14" t="s">
        <v>20194</v>
      </c>
      <c r="D4815" s="14" t="s">
        <v>29956</v>
      </c>
      <c r="E4815" s="14" t="s">
        <v>29947</v>
      </c>
      <c r="F4815" s="14" t="s">
        <v>78</v>
      </c>
      <c r="G4815" s="14" t="s">
        <v>29957</v>
      </c>
      <c r="H4815" s="15" t="s">
        <v>31</v>
      </c>
      <c r="I4815" s="15">
        <v>1.0</v>
      </c>
      <c r="J4815" s="15">
        <v>1.0</v>
      </c>
      <c r="K4815" s="15" t="s">
        <v>31</v>
      </c>
      <c r="L4815" s="16" t="s">
        <v>29949</v>
      </c>
      <c r="M4815" s="14" t="s">
        <v>31</v>
      </c>
      <c r="N4815" s="14" t="s">
        <v>1348</v>
      </c>
      <c r="O4815" s="16" t="s">
        <v>1349</v>
      </c>
      <c r="P4815" s="14" t="s">
        <v>29951</v>
      </c>
      <c r="Q4815" s="14" t="s">
        <v>1784</v>
      </c>
      <c r="R4815" s="14" t="s">
        <v>1018</v>
      </c>
      <c r="S4815" s="16" t="s">
        <v>29952</v>
      </c>
      <c r="T4815" s="14" t="s">
        <v>1019</v>
      </c>
      <c r="U4815" s="16" t="s">
        <v>31</v>
      </c>
      <c r="V4815" s="14" t="s">
        <v>78</v>
      </c>
      <c r="W4815" s="14" t="s">
        <v>29947</v>
      </c>
      <c r="X4815" s="17" t="str">
        <f>HYPERLINK("https://my.pitchbook.com?p=230825-89P","View People Online")</f>
        <v>View People Online</v>
      </c>
    </row>
    <row r="4816">
      <c r="A4816" s="2" t="s">
        <v>29958</v>
      </c>
      <c r="B4816" s="2" t="s">
        <v>29959</v>
      </c>
      <c r="C4816" s="2" t="s">
        <v>562</v>
      </c>
      <c r="D4816" s="2" t="s">
        <v>10124</v>
      </c>
      <c r="E4816" s="2" t="s">
        <v>29947</v>
      </c>
      <c r="F4816" s="2" t="s">
        <v>4527</v>
      </c>
      <c r="G4816" s="2" t="s">
        <v>29960</v>
      </c>
      <c r="H4816" s="3">
        <v>1.0</v>
      </c>
      <c r="I4816" s="3">
        <v>7.0</v>
      </c>
      <c r="J4816" s="3">
        <v>1.0</v>
      </c>
      <c r="K4816" s="3">
        <v>6.0</v>
      </c>
      <c r="L4816" s="4" t="s">
        <v>29949</v>
      </c>
      <c r="M4816" s="2" t="s">
        <v>29961</v>
      </c>
      <c r="N4816" s="2" t="s">
        <v>1348</v>
      </c>
      <c r="O4816" s="4" t="s">
        <v>1349</v>
      </c>
      <c r="P4816" s="2" t="s">
        <v>29951</v>
      </c>
      <c r="Q4816" s="2" t="s">
        <v>1784</v>
      </c>
      <c r="R4816" s="2" t="s">
        <v>1018</v>
      </c>
      <c r="S4816" s="4" t="s">
        <v>29952</v>
      </c>
      <c r="T4816" s="2" t="s">
        <v>1019</v>
      </c>
      <c r="U4816" s="4" t="s">
        <v>31</v>
      </c>
      <c r="V4816" s="2" t="s">
        <v>6811</v>
      </c>
      <c r="W4816" s="2" t="s">
        <v>29947</v>
      </c>
      <c r="X4816" s="5" t="str">
        <f>HYPERLINK("https://my.pitchbook.com?p=176328-37P","View People Online")</f>
        <v>View People Online</v>
      </c>
    </row>
    <row r="4817">
      <c r="A4817" s="6" t="s">
        <v>29962</v>
      </c>
      <c r="B4817" s="6" t="s">
        <v>29963</v>
      </c>
      <c r="C4817" s="6" t="s">
        <v>29964</v>
      </c>
      <c r="D4817" s="6" t="s">
        <v>29965</v>
      </c>
      <c r="E4817" s="6" t="s">
        <v>29966</v>
      </c>
      <c r="F4817" s="6" t="s">
        <v>1283</v>
      </c>
      <c r="G4817" s="6" t="s">
        <v>29967</v>
      </c>
      <c r="H4817" s="7" t="s">
        <v>31</v>
      </c>
      <c r="I4817" s="7">
        <v>2.0</v>
      </c>
      <c r="J4817" s="7">
        <v>1.0</v>
      </c>
      <c r="K4817" s="7" t="s">
        <v>31</v>
      </c>
      <c r="L4817" s="8" t="s">
        <v>29968</v>
      </c>
      <c r="M4817" s="6" t="s">
        <v>29969</v>
      </c>
      <c r="N4817" s="6" t="s">
        <v>6692</v>
      </c>
      <c r="O4817" s="8" t="s">
        <v>6693</v>
      </c>
      <c r="P4817" s="6" t="s">
        <v>29970</v>
      </c>
      <c r="Q4817" s="6" t="s">
        <v>29971</v>
      </c>
      <c r="R4817" s="6" t="s">
        <v>64</v>
      </c>
      <c r="S4817" s="8" t="s">
        <v>29972</v>
      </c>
      <c r="T4817" s="6" t="s">
        <v>66</v>
      </c>
      <c r="U4817" s="8" t="s">
        <v>29973</v>
      </c>
      <c r="V4817" s="6" t="s">
        <v>29974</v>
      </c>
      <c r="W4817" s="6" t="s">
        <v>29966</v>
      </c>
      <c r="X4817" s="9" t="str">
        <f>HYPERLINK("https://my.pitchbook.com?p=41746-15P","View People Online")</f>
        <v>View People Online</v>
      </c>
    </row>
    <row r="4818">
      <c r="A4818" s="10" t="s">
        <v>29975</v>
      </c>
      <c r="B4818" s="10" t="s">
        <v>29976</v>
      </c>
      <c r="C4818" s="10" t="s">
        <v>1449</v>
      </c>
      <c r="D4818" s="10" t="s">
        <v>29977</v>
      </c>
      <c r="E4818" s="10" t="s">
        <v>29966</v>
      </c>
      <c r="F4818" s="10" t="s">
        <v>1106</v>
      </c>
      <c r="G4818" s="10" t="s">
        <v>29978</v>
      </c>
      <c r="H4818" s="11">
        <v>1.0</v>
      </c>
      <c r="I4818" s="11">
        <v>19.0</v>
      </c>
      <c r="J4818" s="11">
        <v>1.0</v>
      </c>
      <c r="K4818" s="11">
        <v>13.0</v>
      </c>
      <c r="L4818" s="12" t="s">
        <v>29979</v>
      </c>
      <c r="M4818" s="10" t="s">
        <v>29980</v>
      </c>
      <c r="N4818" s="10" t="s">
        <v>6692</v>
      </c>
      <c r="O4818" s="12" t="s">
        <v>6693</v>
      </c>
      <c r="P4818" s="10" t="s">
        <v>29970</v>
      </c>
      <c r="Q4818" s="10" t="s">
        <v>29971</v>
      </c>
      <c r="R4818" s="10" t="s">
        <v>64</v>
      </c>
      <c r="S4818" s="12" t="s">
        <v>29972</v>
      </c>
      <c r="T4818" s="10" t="s">
        <v>66</v>
      </c>
      <c r="U4818" s="12" t="s">
        <v>29973</v>
      </c>
      <c r="V4818" s="10" t="s">
        <v>1114</v>
      </c>
      <c r="W4818" s="10" t="s">
        <v>29966</v>
      </c>
      <c r="X4818" s="13" t="str">
        <f>HYPERLINK("https://my.pitchbook.com?p=14199-94P","View People Online")</f>
        <v>View People Online</v>
      </c>
    </row>
    <row r="4819">
      <c r="A4819" s="14" t="s">
        <v>29981</v>
      </c>
      <c r="B4819" s="14" t="s">
        <v>29982</v>
      </c>
      <c r="C4819" s="14" t="s">
        <v>807</v>
      </c>
      <c r="D4819" s="14" t="s">
        <v>29983</v>
      </c>
      <c r="E4819" s="14" t="s">
        <v>29966</v>
      </c>
      <c r="F4819" s="14" t="s">
        <v>502</v>
      </c>
      <c r="G4819" s="14" t="s">
        <v>29984</v>
      </c>
      <c r="H4819" s="15" t="s">
        <v>31</v>
      </c>
      <c r="I4819" s="15">
        <v>2.0</v>
      </c>
      <c r="J4819" s="15">
        <v>1.0</v>
      </c>
      <c r="K4819" s="15" t="s">
        <v>31</v>
      </c>
      <c r="L4819" s="16" t="s">
        <v>29985</v>
      </c>
      <c r="M4819" s="14" t="s">
        <v>29986</v>
      </c>
      <c r="N4819" s="14" t="s">
        <v>6692</v>
      </c>
      <c r="O4819" s="16" t="s">
        <v>6693</v>
      </c>
      <c r="P4819" s="14" t="s">
        <v>29970</v>
      </c>
      <c r="Q4819" s="14" t="s">
        <v>29971</v>
      </c>
      <c r="R4819" s="14" t="s">
        <v>64</v>
      </c>
      <c r="S4819" s="16" t="s">
        <v>29972</v>
      </c>
      <c r="T4819" s="14" t="s">
        <v>66</v>
      </c>
      <c r="U4819" s="16" t="s">
        <v>29973</v>
      </c>
      <c r="V4819" s="14" t="s">
        <v>502</v>
      </c>
      <c r="W4819" s="14" t="s">
        <v>29966</v>
      </c>
      <c r="X4819" s="17" t="str">
        <f>HYPERLINK("https://my.pitchbook.com?p=41112-01P","View People Online")</f>
        <v>View People Online</v>
      </c>
    </row>
    <row r="4820">
      <c r="A4820" s="10" t="s">
        <v>29987</v>
      </c>
      <c r="B4820" s="10" t="s">
        <v>29988</v>
      </c>
      <c r="C4820" s="10" t="s">
        <v>160</v>
      </c>
      <c r="D4820" s="10" t="s">
        <v>29989</v>
      </c>
      <c r="E4820" s="10" t="s">
        <v>29966</v>
      </c>
      <c r="F4820" s="10" t="s">
        <v>81</v>
      </c>
      <c r="G4820" s="10" t="s">
        <v>29990</v>
      </c>
      <c r="H4820" s="11">
        <v>6.0</v>
      </c>
      <c r="I4820" s="11">
        <v>23.0</v>
      </c>
      <c r="J4820" s="11">
        <v>1.0</v>
      </c>
      <c r="K4820" s="11">
        <v>11.0</v>
      </c>
      <c r="L4820" s="12" t="s">
        <v>29991</v>
      </c>
      <c r="M4820" s="10" t="s">
        <v>29992</v>
      </c>
      <c r="N4820" s="10" t="s">
        <v>18516</v>
      </c>
      <c r="O4820" s="12" t="s">
        <v>29993</v>
      </c>
      <c r="P4820" s="10" t="s">
        <v>29994</v>
      </c>
      <c r="Q4820" s="10" t="s">
        <v>31</v>
      </c>
      <c r="R4820" s="10" t="s">
        <v>1185</v>
      </c>
      <c r="S4820" s="12" t="s">
        <v>29995</v>
      </c>
      <c r="T4820" s="10" t="s">
        <v>66</v>
      </c>
      <c r="U4820" s="12" t="s">
        <v>31</v>
      </c>
      <c r="V4820" s="10" t="s">
        <v>57</v>
      </c>
      <c r="W4820" s="10" t="s">
        <v>29996</v>
      </c>
      <c r="X4820" s="13" t="str">
        <f>HYPERLINK("https://my.pitchbook.com?p=41090-41P","View People Online")</f>
        <v>View People Online</v>
      </c>
    </row>
    <row r="4821">
      <c r="A4821" s="14" t="s">
        <v>29997</v>
      </c>
      <c r="B4821" s="14" t="s">
        <v>29998</v>
      </c>
      <c r="C4821" s="14" t="s">
        <v>9308</v>
      </c>
      <c r="D4821" s="14" t="s">
        <v>29999</v>
      </c>
      <c r="E4821" s="14" t="s">
        <v>29966</v>
      </c>
      <c r="F4821" s="14" t="s">
        <v>26897</v>
      </c>
      <c r="G4821" s="14" t="s">
        <v>30000</v>
      </c>
      <c r="H4821" s="15" t="s">
        <v>31</v>
      </c>
      <c r="I4821" s="15">
        <v>1.0</v>
      </c>
      <c r="J4821" s="15">
        <v>1.0</v>
      </c>
      <c r="K4821" s="15" t="s">
        <v>31</v>
      </c>
      <c r="L4821" s="16" t="s">
        <v>30001</v>
      </c>
      <c r="M4821" s="14" t="s">
        <v>30002</v>
      </c>
      <c r="N4821" s="14" t="s">
        <v>155</v>
      </c>
      <c r="O4821" s="16" t="s">
        <v>156</v>
      </c>
      <c r="P4821" s="14" t="s">
        <v>30003</v>
      </c>
      <c r="Q4821" s="14" t="s">
        <v>23552</v>
      </c>
      <c r="R4821" s="14" t="s">
        <v>64</v>
      </c>
      <c r="S4821" s="16" t="s">
        <v>2567</v>
      </c>
      <c r="T4821" s="14" t="s">
        <v>66</v>
      </c>
      <c r="U4821" s="16" t="s">
        <v>31</v>
      </c>
      <c r="V4821" s="14" t="s">
        <v>26897</v>
      </c>
      <c r="W4821" s="14" t="s">
        <v>29966</v>
      </c>
      <c r="X4821" s="17" t="str">
        <f>HYPERLINK("https://my.pitchbook.com?p=268745-95P","View People Online")</f>
        <v>View People Online</v>
      </c>
    </row>
    <row r="4822">
      <c r="A4822" s="10" t="s">
        <v>30004</v>
      </c>
      <c r="B4822" s="10" t="s">
        <v>30005</v>
      </c>
      <c r="C4822" s="10" t="s">
        <v>126</v>
      </c>
      <c r="D4822" s="10" t="s">
        <v>30006</v>
      </c>
      <c r="E4822" s="10" t="s">
        <v>29966</v>
      </c>
      <c r="F4822" s="10" t="s">
        <v>81</v>
      </c>
      <c r="G4822" s="10" t="s">
        <v>30007</v>
      </c>
      <c r="H4822" s="11" t="s">
        <v>31</v>
      </c>
      <c r="I4822" s="11">
        <v>1.0</v>
      </c>
      <c r="J4822" s="11" t="s">
        <v>31</v>
      </c>
      <c r="K4822" s="11" t="s">
        <v>31</v>
      </c>
      <c r="L4822" s="12" t="s">
        <v>30008</v>
      </c>
      <c r="M4822" s="10" t="s">
        <v>31</v>
      </c>
      <c r="N4822" s="10" t="s">
        <v>6692</v>
      </c>
      <c r="O4822" s="12" t="s">
        <v>6693</v>
      </c>
      <c r="P4822" s="10" t="s">
        <v>29970</v>
      </c>
      <c r="Q4822" s="10" t="s">
        <v>29971</v>
      </c>
      <c r="R4822" s="10" t="s">
        <v>64</v>
      </c>
      <c r="S4822" s="12" t="s">
        <v>29972</v>
      </c>
      <c r="T4822" s="10" t="s">
        <v>66</v>
      </c>
      <c r="U4822" s="12" t="s">
        <v>29973</v>
      </c>
      <c r="V4822" s="10" t="s">
        <v>81</v>
      </c>
      <c r="W4822" s="10" t="s">
        <v>29966</v>
      </c>
      <c r="X4822" s="13" t="str">
        <f>HYPERLINK("https://my.pitchbook.com?p=54919-27P","View People Online")</f>
        <v>View People Online</v>
      </c>
    </row>
    <row r="4823">
      <c r="A4823" s="14" t="s">
        <v>30009</v>
      </c>
      <c r="B4823" s="14" t="s">
        <v>30010</v>
      </c>
      <c r="C4823" s="14" t="s">
        <v>126</v>
      </c>
      <c r="D4823" s="14" t="s">
        <v>30011</v>
      </c>
      <c r="E4823" s="14" t="s">
        <v>29966</v>
      </c>
      <c r="F4823" s="14" t="s">
        <v>81</v>
      </c>
      <c r="G4823" s="14" t="s">
        <v>30012</v>
      </c>
      <c r="H4823" s="15">
        <v>1.0</v>
      </c>
      <c r="I4823" s="15">
        <v>3.0</v>
      </c>
      <c r="J4823" s="15">
        <v>1.0</v>
      </c>
      <c r="K4823" s="15" t="s">
        <v>31</v>
      </c>
      <c r="L4823" s="16" t="s">
        <v>30013</v>
      </c>
      <c r="M4823" s="14" t="s">
        <v>30014</v>
      </c>
      <c r="N4823" s="14" t="s">
        <v>30015</v>
      </c>
      <c r="O4823" s="16" t="s">
        <v>30016</v>
      </c>
      <c r="P4823" s="14" t="s">
        <v>30017</v>
      </c>
      <c r="Q4823" s="14" t="s">
        <v>6831</v>
      </c>
      <c r="R4823" s="14" t="s">
        <v>64</v>
      </c>
      <c r="S4823" s="16" t="s">
        <v>30018</v>
      </c>
      <c r="T4823" s="14" t="s">
        <v>66</v>
      </c>
      <c r="U4823" s="16" t="s">
        <v>31</v>
      </c>
      <c r="V4823" s="14" t="s">
        <v>157</v>
      </c>
      <c r="W4823" s="14" t="s">
        <v>30019</v>
      </c>
      <c r="X4823" s="17" t="str">
        <f>HYPERLINK("https://my.pitchbook.com?p=39696-85P","View People Online")</f>
        <v>View People Online</v>
      </c>
    </row>
    <row r="4824">
      <c r="A4824" s="2" t="s">
        <v>30020</v>
      </c>
      <c r="B4824" s="2" t="s">
        <v>30021</v>
      </c>
      <c r="C4824" s="2" t="s">
        <v>30022</v>
      </c>
      <c r="D4824" s="2" t="s">
        <v>30023</v>
      </c>
      <c r="E4824" s="2" t="s">
        <v>29966</v>
      </c>
      <c r="F4824" s="2" t="s">
        <v>29</v>
      </c>
      <c r="G4824" s="2" t="s">
        <v>30024</v>
      </c>
      <c r="H4824" s="3" t="s">
        <v>31</v>
      </c>
      <c r="I4824" s="3">
        <v>1.0</v>
      </c>
      <c r="J4824" s="3">
        <v>1.0</v>
      </c>
      <c r="K4824" s="3" t="s">
        <v>31</v>
      </c>
      <c r="L4824" s="4" t="s">
        <v>30025</v>
      </c>
      <c r="M4824" s="2" t="s">
        <v>30026</v>
      </c>
      <c r="N4824" s="2" t="s">
        <v>6692</v>
      </c>
      <c r="O4824" s="4" t="s">
        <v>6693</v>
      </c>
      <c r="P4824" s="2" t="s">
        <v>29970</v>
      </c>
      <c r="Q4824" s="2" t="s">
        <v>29971</v>
      </c>
      <c r="R4824" s="2" t="s">
        <v>64</v>
      </c>
      <c r="S4824" s="4" t="s">
        <v>29972</v>
      </c>
      <c r="T4824" s="2" t="s">
        <v>66</v>
      </c>
      <c r="U4824" s="4" t="s">
        <v>29973</v>
      </c>
      <c r="V4824" s="2" t="s">
        <v>30027</v>
      </c>
      <c r="W4824" s="2" t="s">
        <v>29966</v>
      </c>
      <c r="X4824" s="5" t="str">
        <f>HYPERLINK("https://my.pitchbook.com?p=44819-02P","View People Online")</f>
        <v>View People Online</v>
      </c>
    </row>
    <row r="4825">
      <c r="A4825" s="14" t="s">
        <v>30028</v>
      </c>
      <c r="B4825" s="14" t="s">
        <v>30029</v>
      </c>
      <c r="C4825" s="14" t="s">
        <v>30030</v>
      </c>
      <c r="D4825" s="14" t="s">
        <v>30031</v>
      </c>
      <c r="E4825" s="14" t="s">
        <v>29966</v>
      </c>
      <c r="F4825" s="14" t="s">
        <v>667</v>
      </c>
      <c r="G4825" s="14" t="s">
        <v>30032</v>
      </c>
      <c r="H4825" s="15" t="s">
        <v>31</v>
      </c>
      <c r="I4825" s="15">
        <v>1.0</v>
      </c>
      <c r="J4825" s="15">
        <v>1.0</v>
      </c>
      <c r="K4825" s="15" t="s">
        <v>31</v>
      </c>
      <c r="L4825" s="16" t="s">
        <v>30033</v>
      </c>
      <c r="M4825" s="14" t="s">
        <v>30034</v>
      </c>
      <c r="N4825" s="14" t="s">
        <v>6692</v>
      </c>
      <c r="O4825" s="16" t="s">
        <v>6693</v>
      </c>
      <c r="P4825" s="14" t="s">
        <v>29970</v>
      </c>
      <c r="Q4825" s="14" t="s">
        <v>29971</v>
      </c>
      <c r="R4825" s="14" t="s">
        <v>64</v>
      </c>
      <c r="S4825" s="16" t="s">
        <v>29972</v>
      </c>
      <c r="T4825" s="14" t="s">
        <v>66</v>
      </c>
      <c r="U4825" s="16" t="s">
        <v>29973</v>
      </c>
      <c r="V4825" s="14" t="s">
        <v>667</v>
      </c>
      <c r="W4825" s="14" t="s">
        <v>29966</v>
      </c>
      <c r="X4825" s="17" t="str">
        <f>HYPERLINK("https://my.pitchbook.com?p=379257-31P","View People Online")</f>
        <v>View People Online</v>
      </c>
    </row>
    <row r="4826">
      <c r="A4826" s="10" t="s">
        <v>30035</v>
      </c>
      <c r="B4826" s="10" t="s">
        <v>30036</v>
      </c>
      <c r="C4826" s="10" t="s">
        <v>4679</v>
      </c>
      <c r="D4826" s="10" t="s">
        <v>18045</v>
      </c>
      <c r="E4826" s="10" t="s">
        <v>29966</v>
      </c>
      <c r="F4826" s="10" t="s">
        <v>81</v>
      </c>
      <c r="G4826" s="10" t="s">
        <v>30037</v>
      </c>
      <c r="H4826" s="11">
        <v>1.0</v>
      </c>
      <c r="I4826" s="11">
        <v>5.0</v>
      </c>
      <c r="J4826" s="11">
        <v>1.0</v>
      </c>
      <c r="K4826" s="11" t="s">
        <v>31</v>
      </c>
      <c r="L4826" s="12" t="s">
        <v>30008</v>
      </c>
      <c r="M4826" s="10" t="s">
        <v>31</v>
      </c>
      <c r="N4826" s="10" t="s">
        <v>6692</v>
      </c>
      <c r="O4826" s="12" t="s">
        <v>6693</v>
      </c>
      <c r="P4826" s="10" t="s">
        <v>29970</v>
      </c>
      <c r="Q4826" s="10" t="s">
        <v>29971</v>
      </c>
      <c r="R4826" s="10" t="s">
        <v>64</v>
      </c>
      <c r="S4826" s="12" t="s">
        <v>29972</v>
      </c>
      <c r="T4826" s="10" t="s">
        <v>66</v>
      </c>
      <c r="U4826" s="12" t="s">
        <v>29973</v>
      </c>
      <c r="V4826" s="10" t="s">
        <v>81</v>
      </c>
      <c r="W4826" s="10" t="s">
        <v>29966</v>
      </c>
      <c r="X4826" s="13" t="str">
        <f>HYPERLINK("https://my.pitchbook.com?p=54920-35P","View People Online")</f>
        <v>View People Online</v>
      </c>
    </row>
    <row r="4827">
      <c r="A4827" s="6" t="s">
        <v>30038</v>
      </c>
      <c r="B4827" s="6" t="s">
        <v>30039</v>
      </c>
      <c r="C4827" s="6" t="s">
        <v>30040</v>
      </c>
      <c r="D4827" s="6" t="s">
        <v>30041</v>
      </c>
      <c r="E4827" s="6" t="s">
        <v>29966</v>
      </c>
      <c r="F4827" s="6" t="s">
        <v>1106</v>
      </c>
      <c r="G4827" s="6" t="s">
        <v>30042</v>
      </c>
      <c r="H4827" s="7" t="s">
        <v>31</v>
      </c>
      <c r="I4827" s="7">
        <v>18.0</v>
      </c>
      <c r="J4827" s="7">
        <v>1.0</v>
      </c>
      <c r="K4827" s="7">
        <v>13.0</v>
      </c>
      <c r="L4827" s="8" t="s">
        <v>30043</v>
      </c>
      <c r="M4827" s="6" t="s">
        <v>30044</v>
      </c>
      <c r="N4827" s="6" t="s">
        <v>155</v>
      </c>
      <c r="O4827" s="8" t="s">
        <v>156</v>
      </c>
      <c r="P4827" s="6" t="s">
        <v>30003</v>
      </c>
      <c r="Q4827" s="6" t="s">
        <v>23552</v>
      </c>
      <c r="R4827" s="6" t="s">
        <v>64</v>
      </c>
      <c r="S4827" s="8" t="s">
        <v>2567</v>
      </c>
      <c r="T4827" s="6" t="s">
        <v>66</v>
      </c>
      <c r="U4827" s="8" t="s">
        <v>31</v>
      </c>
      <c r="V4827" s="6" t="s">
        <v>1114</v>
      </c>
      <c r="W4827" s="6" t="s">
        <v>29966</v>
      </c>
      <c r="X4827" s="9" t="str">
        <f>HYPERLINK("https://my.pitchbook.com?p=41111-92P","View People Online")</f>
        <v>View People Online</v>
      </c>
    </row>
    <row r="4828">
      <c r="A4828" s="10" t="s">
        <v>30045</v>
      </c>
      <c r="B4828" s="10" t="s">
        <v>30046</v>
      </c>
      <c r="C4828" s="10" t="s">
        <v>4717</v>
      </c>
      <c r="D4828" s="10" t="s">
        <v>30047</v>
      </c>
      <c r="E4828" s="10" t="s">
        <v>29966</v>
      </c>
      <c r="F4828" s="10" t="s">
        <v>29</v>
      </c>
      <c r="G4828" s="10" t="s">
        <v>30048</v>
      </c>
      <c r="H4828" s="11" t="s">
        <v>31</v>
      </c>
      <c r="I4828" s="11">
        <v>42.0</v>
      </c>
      <c r="J4828" s="11">
        <v>2.0</v>
      </c>
      <c r="K4828" s="11">
        <v>38.0</v>
      </c>
      <c r="L4828" s="12" t="s">
        <v>30049</v>
      </c>
      <c r="M4828" s="10" t="s">
        <v>30050</v>
      </c>
      <c r="N4828" s="10" t="s">
        <v>30051</v>
      </c>
      <c r="O4828" s="12" t="s">
        <v>30052</v>
      </c>
      <c r="P4828" s="10" t="s">
        <v>30053</v>
      </c>
      <c r="Q4828" s="10" t="s">
        <v>31</v>
      </c>
      <c r="R4828" s="10" t="s">
        <v>75</v>
      </c>
      <c r="S4828" s="12" t="s">
        <v>30054</v>
      </c>
      <c r="T4828" s="10" t="s">
        <v>66</v>
      </c>
      <c r="U4828" s="12" t="s">
        <v>31</v>
      </c>
      <c r="V4828" s="10" t="s">
        <v>30055</v>
      </c>
      <c r="W4828" s="10" t="s">
        <v>30056</v>
      </c>
      <c r="X4828" s="13" t="str">
        <f>HYPERLINK("https://my.pitchbook.com?p=46629-82P","View People Online")</f>
        <v>View People Online</v>
      </c>
    </row>
    <row r="4829">
      <c r="A4829" s="14" t="s">
        <v>30057</v>
      </c>
      <c r="B4829" s="14" t="s">
        <v>30058</v>
      </c>
      <c r="C4829" s="14" t="s">
        <v>1117</v>
      </c>
      <c r="D4829" s="14" t="s">
        <v>30059</v>
      </c>
      <c r="E4829" s="14" t="s">
        <v>30060</v>
      </c>
      <c r="F4829" s="14" t="s">
        <v>57</v>
      </c>
      <c r="G4829" s="14" t="s">
        <v>30061</v>
      </c>
      <c r="H4829" s="15">
        <v>1.0</v>
      </c>
      <c r="I4829" s="15">
        <v>8.0</v>
      </c>
      <c r="J4829" s="15">
        <v>1.0</v>
      </c>
      <c r="K4829" s="15">
        <v>3.0</v>
      </c>
      <c r="L4829" s="16" t="s">
        <v>30062</v>
      </c>
      <c r="M4829" s="14" t="s">
        <v>30063</v>
      </c>
      <c r="N4829" s="14" t="s">
        <v>243</v>
      </c>
      <c r="O4829" s="16" t="s">
        <v>244</v>
      </c>
      <c r="P4829" s="14" t="s">
        <v>30064</v>
      </c>
      <c r="Q4829" s="14" t="s">
        <v>31</v>
      </c>
      <c r="R4829" s="14" t="s">
        <v>247</v>
      </c>
      <c r="S4829" s="16" t="s">
        <v>30065</v>
      </c>
      <c r="T4829" s="14" t="s">
        <v>249</v>
      </c>
      <c r="U4829" s="16" t="s">
        <v>31</v>
      </c>
      <c r="V4829" s="14" t="s">
        <v>57</v>
      </c>
      <c r="W4829" s="14" t="s">
        <v>30060</v>
      </c>
      <c r="X4829" s="17" t="str">
        <f>HYPERLINK("https://my.pitchbook.com?p=118844-02P","View People Online")</f>
        <v>View People Online</v>
      </c>
    </row>
    <row r="4830">
      <c r="A4830" s="10" t="s">
        <v>30066</v>
      </c>
      <c r="B4830" s="10" t="s">
        <v>30067</v>
      </c>
      <c r="C4830" s="10" t="s">
        <v>1117</v>
      </c>
      <c r="D4830" s="10" t="s">
        <v>30068</v>
      </c>
      <c r="E4830" s="10" t="s">
        <v>30060</v>
      </c>
      <c r="F4830" s="10" t="s">
        <v>57</v>
      </c>
      <c r="G4830" s="10" t="s">
        <v>30069</v>
      </c>
      <c r="H4830" s="11">
        <v>1.0</v>
      </c>
      <c r="I4830" s="11">
        <v>7.0</v>
      </c>
      <c r="J4830" s="11">
        <v>1.0</v>
      </c>
      <c r="K4830" s="11">
        <v>4.0</v>
      </c>
      <c r="L4830" s="12" t="s">
        <v>31</v>
      </c>
      <c r="M4830" s="10" t="s">
        <v>30070</v>
      </c>
      <c r="N4830" s="10" t="s">
        <v>243</v>
      </c>
      <c r="O4830" s="12" t="s">
        <v>244</v>
      </c>
      <c r="P4830" s="10" t="s">
        <v>30064</v>
      </c>
      <c r="Q4830" s="10" t="s">
        <v>31</v>
      </c>
      <c r="R4830" s="10" t="s">
        <v>247</v>
      </c>
      <c r="S4830" s="12" t="s">
        <v>30065</v>
      </c>
      <c r="T4830" s="10" t="s">
        <v>249</v>
      </c>
      <c r="U4830" s="12" t="s">
        <v>31</v>
      </c>
      <c r="V4830" s="10" t="s">
        <v>57</v>
      </c>
      <c r="W4830" s="10" t="s">
        <v>30060</v>
      </c>
      <c r="X4830" s="13" t="str">
        <f>HYPERLINK("https://my.pitchbook.com?p=260365-33P","View People Online")</f>
        <v>View People Online</v>
      </c>
    </row>
    <row r="4831">
      <c r="A4831" s="14" t="s">
        <v>30071</v>
      </c>
      <c r="B4831" s="14" t="s">
        <v>30072</v>
      </c>
      <c r="C4831" s="14" t="s">
        <v>30073</v>
      </c>
      <c r="D4831" s="14" t="s">
        <v>30074</v>
      </c>
      <c r="E4831" s="14" t="s">
        <v>30060</v>
      </c>
      <c r="F4831" s="14" t="s">
        <v>1801</v>
      </c>
      <c r="G4831" s="14" t="s">
        <v>30075</v>
      </c>
      <c r="H4831" s="15" t="s">
        <v>31</v>
      </c>
      <c r="I4831" s="15">
        <v>1.0</v>
      </c>
      <c r="J4831" s="15">
        <v>1.0</v>
      </c>
      <c r="K4831" s="15" t="s">
        <v>31</v>
      </c>
      <c r="L4831" s="16" t="s">
        <v>31</v>
      </c>
      <c r="M4831" s="14" t="s">
        <v>30076</v>
      </c>
      <c r="N4831" s="14" t="s">
        <v>243</v>
      </c>
      <c r="O4831" s="16" t="s">
        <v>244</v>
      </c>
      <c r="P4831" s="14" t="s">
        <v>30064</v>
      </c>
      <c r="Q4831" s="14" t="s">
        <v>31</v>
      </c>
      <c r="R4831" s="14" t="s">
        <v>247</v>
      </c>
      <c r="S4831" s="16" t="s">
        <v>30065</v>
      </c>
      <c r="T4831" s="14" t="s">
        <v>249</v>
      </c>
      <c r="U4831" s="16" t="s">
        <v>31</v>
      </c>
      <c r="V4831" s="14" t="s">
        <v>30077</v>
      </c>
      <c r="W4831" s="14" t="s">
        <v>30060</v>
      </c>
      <c r="X4831" s="17" t="str">
        <f>HYPERLINK("https://my.pitchbook.com?p=405940-06P","View People Online")</f>
        <v>View People Online</v>
      </c>
    </row>
    <row r="4832">
      <c r="A4832" s="10" t="s">
        <v>30078</v>
      </c>
      <c r="B4832" s="10" t="s">
        <v>30079</v>
      </c>
      <c r="C4832" s="10" t="s">
        <v>3554</v>
      </c>
      <c r="D4832" s="10" t="s">
        <v>30080</v>
      </c>
      <c r="E4832" s="10" t="s">
        <v>30060</v>
      </c>
      <c r="F4832" s="10" t="s">
        <v>57</v>
      </c>
      <c r="G4832" s="10" t="s">
        <v>30081</v>
      </c>
      <c r="H4832" s="11" t="s">
        <v>31</v>
      </c>
      <c r="I4832" s="11">
        <v>7.0</v>
      </c>
      <c r="J4832" s="11">
        <v>1.0</v>
      </c>
      <c r="K4832" s="11">
        <v>4.0</v>
      </c>
      <c r="L4832" s="12" t="s">
        <v>30082</v>
      </c>
      <c r="M4832" s="10" t="s">
        <v>30083</v>
      </c>
      <c r="N4832" s="10" t="s">
        <v>243</v>
      </c>
      <c r="O4832" s="12" t="s">
        <v>244</v>
      </c>
      <c r="P4832" s="10" t="s">
        <v>30064</v>
      </c>
      <c r="Q4832" s="10" t="s">
        <v>31</v>
      </c>
      <c r="R4832" s="10" t="s">
        <v>247</v>
      </c>
      <c r="S4832" s="12" t="s">
        <v>30065</v>
      </c>
      <c r="T4832" s="10" t="s">
        <v>249</v>
      </c>
      <c r="U4832" s="12" t="s">
        <v>31</v>
      </c>
      <c r="V4832" s="10" t="s">
        <v>57</v>
      </c>
      <c r="W4832" s="10" t="s">
        <v>30060</v>
      </c>
      <c r="X4832" s="13" t="str">
        <f>HYPERLINK("https://my.pitchbook.com?p=103213-81P","View People Online")</f>
        <v>View People Online</v>
      </c>
    </row>
    <row r="4833">
      <c r="A4833" s="14" t="s">
        <v>30084</v>
      </c>
      <c r="B4833" s="14" t="s">
        <v>30085</v>
      </c>
      <c r="C4833" s="14" t="s">
        <v>30086</v>
      </c>
      <c r="D4833" s="14" t="s">
        <v>5240</v>
      </c>
      <c r="E4833" s="14" t="s">
        <v>30060</v>
      </c>
      <c r="F4833" s="14" t="s">
        <v>221</v>
      </c>
      <c r="G4833" s="14" t="s">
        <v>30087</v>
      </c>
      <c r="H4833" s="15" t="s">
        <v>31</v>
      </c>
      <c r="I4833" s="15">
        <v>1.0</v>
      </c>
      <c r="J4833" s="15">
        <v>1.0</v>
      </c>
      <c r="K4833" s="15" t="s">
        <v>31</v>
      </c>
      <c r="L4833" s="16" t="s">
        <v>31</v>
      </c>
      <c r="M4833" s="14" t="s">
        <v>30088</v>
      </c>
      <c r="N4833" s="14" t="s">
        <v>243</v>
      </c>
      <c r="O4833" s="16" t="s">
        <v>244</v>
      </c>
      <c r="P4833" s="14" t="s">
        <v>30064</v>
      </c>
      <c r="Q4833" s="14" t="s">
        <v>31</v>
      </c>
      <c r="R4833" s="14" t="s">
        <v>247</v>
      </c>
      <c r="S4833" s="16" t="s">
        <v>30065</v>
      </c>
      <c r="T4833" s="14" t="s">
        <v>249</v>
      </c>
      <c r="U4833" s="16" t="s">
        <v>31</v>
      </c>
      <c r="V4833" s="14" t="s">
        <v>30089</v>
      </c>
      <c r="W4833" s="14" t="s">
        <v>30060</v>
      </c>
      <c r="X4833" s="17" t="str">
        <f>HYPERLINK("https://my.pitchbook.com?p=336883-69P","View People Online")</f>
        <v>View People Online</v>
      </c>
    </row>
    <row r="4834">
      <c r="A4834" s="2" t="s">
        <v>30090</v>
      </c>
      <c r="B4834" s="2" t="s">
        <v>30091</v>
      </c>
      <c r="C4834" s="2" t="s">
        <v>395</v>
      </c>
      <c r="D4834" s="2" t="s">
        <v>30092</v>
      </c>
      <c r="E4834" s="2" t="s">
        <v>30060</v>
      </c>
      <c r="F4834" s="2" t="s">
        <v>29</v>
      </c>
      <c r="G4834" s="2" t="s">
        <v>30093</v>
      </c>
      <c r="H4834" s="3">
        <v>2.0</v>
      </c>
      <c r="I4834" s="3">
        <v>6.0</v>
      </c>
      <c r="J4834" s="3">
        <v>1.0</v>
      </c>
      <c r="K4834" s="3">
        <v>2.0</v>
      </c>
      <c r="L4834" s="4" t="s">
        <v>31</v>
      </c>
      <c r="M4834" s="2" t="s">
        <v>30094</v>
      </c>
      <c r="N4834" s="2" t="s">
        <v>243</v>
      </c>
      <c r="O4834" s="4" t="s">
        <v>244</v>
      </c>
      <c r="P4834" s="2" t="s">
        <v>30064</v>
      </c>
      <c r="Q4834" s="2" t="s">
        <v>31</v>
      </c>
      <c r="R4834" s="2" t="s">
        <v>247</v>
      </c>
      <c r="S4834" s="4" t="s">
        <v>30065</v>
      </c>
      <c r="T4834" s="2" t="s">
        <v>249</v>
      </c>
      <c r="U4834" s="4" t="s">
        <v>31</v>
      </c>
      <c r="V4834" s="2" t="s">
        <v>29</v>
      </c>
      <c r="W4834" s="2" t="s">
        <v>30060</v>
      </c>
      <c r="X4834" s="5" t="str">
        <f>HYPERLINK("https://my.pitchbook.com?p=117683-20P","View People Online")</f>
        <v>View People Online</v>
      </c>
    </row>
    <row r="4835">
      <c r="A4835" s="6" t="s">
        <v>30095</v>
      </c>
      <c r="B4835" s="6" t="s">
        <v>30096</v>
      </c>
      <c r="C4835" s="6" t="s">
        <v>30097</v>
      </c>
      <c r="D4835" s="6" t="s">
        <v>30098</v>
      </c>
      <c r="E4835" s="6" t="s">
        <v>30060</v>
      </c>
      <c r="F4835" s="6" t="s">
        <v>221</v>
      </c>
      <c r="G4835" s="6" t="s">
        <v>30099</v>
      </c>
      <c r="H4835" s="7" t="s">
        <v>31</v>
      </c>
      <c r="I4835" s="7">
        <v>1.0</v>
      </c>
      <c r="J4835" s="7">
        <v>1.0</v>
      </c>
      <c r="K4835" s="7" t="s">
        <v>31</v>
      </c>
      <c r="L4835" s="8" t="s">
        <v>31</v>
      </c>
      <c r="M4835" s="6" t="s">
        <v>30100</v>
      </c>
      <c r="N4835" s="6" t="s">
        <v>243</v>
      </c>
      <c r="O4835" s="8" t="s">
        <v>244</v>
      </c>
      <c r="P4835" s="6" t="s">
        <v>30064</v>
      </c>
      <c r="Q4835" s="6" t="s">
        <v>31</v>
      </c>
      <c r="R4835" s="6" t="s">
        <v>247</v>
      </c>
      <c r="S4835" s="8" t="s">
        <v>30065</v>
      </c>
      <c r="T4835" s="6" t="s">
        <v>249</v>
      </c>
      <c r="U4835" s="8" t="s">
        <v>31</v>
      </c>
      <c r="V4835" s="6" t="s">
        <v>957</v>
      </c>
      <c r="W4835" s="6" t="s">
        <v>30060</v>
      </c>
      <c r="X4835" s="9" t="str">
        <f>HYPERLINK("https://my.pitchbook.com?p=331334-83P","View People Online")</f>
        <v>View People Online</v>
      </c>
    </row>
    <row r="4836">
      <c r="A4836" s="10" t="s">
        <v>30101</v>
      </c>
      <c r="B4836" s="10" t="s">
        <v>30102</v>
      </c>
      <c r="C4836" s="10" t="s">
        <v>30103</v>
      </c>
      <c r="D4836" s="10" t="s">
        <v>6900</v>
      </c>
      <c r="E4836" s="10" t="s">
        <v>30060</v>
      </c>
      <c r="F4836" s="10" t="s">
        <v>221</v>
      </c>
      <c r="G4836" s="10" t="s">
        <v>30104</v>
      </c>
      <c r="H4836" s="11" t="s">
        <v>31</v>
      </c>
      <c r="I4836" s="11">
        <v>1.0</v>
      </c>
      <c r="J4836" s="11">
        <v>1.0</v>
      </c>
      <c r="K4836" s="11" t="s">
        <v>31</v>
      </c>
      <c r="L4836" s="12" t="s">
        <v>31</v>
      </c>
      <c r="M4836" s="10" t="s">
        <v>30105</v>
      </c>
      <c r="N4836" s="10" t="s">
        <v>243</v>
      </c>
      <c r="O4836" s="12" t="s">
        <v>244</v>
      </c>
      <c r="P4836" s="10" t="s">
        <v>30064</v>
      </c>
      <c r="Q4836" s="10" t="s">
        <v>31</v>
      </c>
      <c r="R4836" s="10" t="s">
        <v>247</v>
      </c>
      <c r="S4836" s="12" t="s">
        <v>30065</v>
      </c>
      <c r="T4836" s="10" t="s">
        <v>249</v>
      </c>
      <c r="U4836" s="12" t="s">
        <v>31</v>
      </c>
      <c r="V4836" s="10" t="s">
        <v>957</v>
      </c>
      <c r="W4836" s="10" t="s">
        <v>30060</v>
      </c>
      <c r="X4836" s="13" t="str">
        <f>HYPERLINK("https://my.pitchbook.com?p=381269-08P","View People Online")</f>
        <v>View People Online</v>
      </c>
    </row>
    <row r="4837">
      <c r="A4837" s="6" t="s">
        <v>30106</v>
      </c>
      <c r="B4837" s="6" t="s">
        <v>30107</v>
      </c>
      <c r="C4837" s="6" t="s">
        <v>1449</v>
      </c>
      <c r="D4837" s="6" t="s">
        <v>30108</v>
      </c>
      <c r="E4837" s="6" t="s">
        <v>30109</v>
      </c>
      <c r="F4837" s="6" t="s">
        <v>43</v>
      </c>
      <c r="G4837" s="6" t="s">
        <v>30110</v>
      </c>
      <c r="H4837" s="7" t="s">
        <v>31</v>
      </c>
      <c r="I4837" s="7">
        <v>7.0</v>
      </c>
      <c r="J4837" s="7">
        <v>4.0</v>
      </c>
      <c r="K4837" s="7">
        <v>2.0</v>
      </c>
      <c r="L4837" s="8" t="s">
        <v>30111</v>
      </c>
      <c r="M4837" s="6" t="s">
        <v>30112</v>
      </c>
      <c r="N4837" s="6" t="s">
        <v>1442</v>
      </c>
      <c r="O4837" s="8" t="s">
        <v>1443</v>
      </c>
      <c r="P4837" s="6" t="s">
        <v>30113</v>
      </c>
      <c r="Q4837" s="6" t="s">
        <v>30114</v>
      </c>
      <c r="R4837" s="6" t="s">
        <v>1277</v>
      </c>
      <c r="S4837" s="8" t="s">
        <v>4780</v>
      </c>
      <c r="T4837" s="6" t="s">
        <v>66</v>
      </c>
      <c r="U4837" s="8" t="s">
        <v>31</v>
      </c>
      <c r="V4837" s="6" t="s">
        <v>674</v>
      </c>
      <c r="W4837" s="6" t="s">
        <v>30115</v>
      </c>
      <c r="X4837" s="9" t="str">
        <f>HYPERLINK("https://my.pitchbook.com?p=81449-74P","View People Online")</f>
        <v>View People Online</v>
      </c>
    </row>
    <row r="4838">
      <c r="A4838" s="10" t="s">
        <v>30116</v>
      </c>
      <c r="B4838" s="10" t="s">
        <v>30117</v>
      </c>
      <c r="C4838" s="10" t="s">
        <v>3811</v>
      </c>
      <c r="D4838" s="10" t="s">
        <v>30118</v>
      </c>
      <c r="E4838" s="10" t="s">
        <v>30109</v>
      </c>
      <c r="F4838" s="10" t="s">
        <v>674</v>
      </c>
      <c r="G4838" s="10" t="s">
        <v>30119</v>
      </c>
      <c r="H4838" s="11">
        <v>1.0</v>
      </c>
      <c r="I4838" s="11">
        <v>5.0</v>
      </c>
      <c r="J4838" s="11">
        <v>1.0</v>
      </c>
      <c r="K4838" s="11">
        <v>3.0</v>
      </c>
      <c r="L4838" s="12" t="s">
        <v>30120</v>
      </c>
      <c r="M4838" s="10" t="s">
        <v>30121</v>
      </c>
      <c r="N4838" s="10" t="s">
        <v>1442</v>
      </c>
      <c r="O4838" s="12" t="s">
        <v>1443</v>
      </c>
      <c r="P4838" s="10" t="s">
        <v>30122</v>
      </c>
      <c r="Q4838" s="10" t="s">
        <v>2839</v>
      </c>
      <c r="R4838" s="10" t="s">
        <v>1277</v>
      </c>
      <c r="S4838" s="12" t="s">
        <v>30123</v>
      </c>
      <c r="T4838" s="10" t="s">
        <v>66</v>
      </c>
      <c r="U4838" s="12" t="s">
        <v>31</v>
      </c>
      <c r="V4838" s="10" t="s">
        <v>674</v>
      </c>
      <c r="W4838" s="10" t="s">
        <v>30109</v>
      </c>
      <c r="X4838" s="13" t="str">
        <f>HYPERLINK("https://my.pitchbook.com?p=100477-09P","View People Online")</f>
        <v>View People Online</v>
      </c>
    </row>
    <row r="4839">
      <c r="A4839" s="6" t="s">
        <v>30124</v>
      </c>
      <c r="B4839" s="6" t="s">
        <v>30125</v>
      </c>
      <c r="C4839" s="6" t="s">
        <v>2190</v>
      </c>
      <c r="D4839" s="6" t="s">
        <v>30126</v>
      </c>
      <c r="E4839" s="6" t="s">
        <v>30109</v>
      </c>
      <c r="F4839" s="6" t="s">
        <v>896</v>
      </c>
      <c r="G4839" s="6" t="s">
        <v>30127</v>
      </c>
      <c r="H4839" s="7" t="s">
        <v>31</v>
      </c>
      <c r="I4839" s="7">
        <v>1.0</v>
      </c>
      <c r="J4839" s="7">
        <v>1.0</v>
      </c>
      <c r="K4839" s="7" t="s">
        <v>31</v>
      </c>
      <c r="L4839" s="8" t="s">
        <v>30128</v>
      </c>
      <c r="M4839" s="6" t="s">
        <v>31</v>
      </c>
      <c r="N4839" s="6" t="s">
        <v>1442</v>
      </c>
      <c r="O4839" s="8" t="s">
        <v>1443</v>
      </c>
      <c r="P4839" s="6" t="s">
        <v>30122</v>
      </c>
      <c r="Q4839" s="6" t="s">
        <v>2839</v>
      </c>
      <c r="R4839" s="6" t="s">
        <v>1277</v>
      </c>
      <c r="S4839" s="8" t="s">
        <v>30123</v>
      </c>
      <c r="T4839" s="6" t="s">
        <v>66</v>
      </c>
      <c r="U4839" s="8" t="s">
        <v>31</v>
      </c>
      <c r="V4839" s="6" t="s">
        <v>896</v>
      </c>
      <c r="W4839" s="6" t="s">
        <v>30109</v>
      </c>
      <c r="X4839" s="9" t="str">
        <f>HYPERLINK("https://my.pitchbook.com?p=172809-64P","View People Online")</f>
        <v>View People Online</v>
      </c>
    </row>
    <row r="4840">
      <c r="A4840" s="10" t="s">
        <v>30129</v>
      </c>
      <c r="B4840" s="10" t="s">
        <v>30130</v>
      </c>
      <c r="C4840" s="10" t="s">
        <v>1343</v>
      </c>
      <c r="D4840" s="10" t="s">
        <v>30131</v>
      </c>
      <c r="E4840" s="10" t="s">
        <v>30132</v>
      </c>
      <c r="F4840" s="10" t="s">
        <v>30133</v>
      </c>
      <c r="G4840" s="10" t="s">
        <v>30134</v>
      </c>
      <c r="H4840" s="11" t="s">
        <v>31</v>
      </c>
      <c r="I4840" s="11">
        <v>1.0</v>
      </c>
      <c r="J4840" s="11">
        <v>1.0</v>
      </c>
      <c r="K4840" s="11" t="s">
        <v>31</v>
      </c>
      <c r="L4840" s="12" t="s">
        <v>31</v>
      </c>
      <c r="M4840" s="10" t="s">
        <v>30135</v>
      </c>
      <c r="N4840" s="10" t="s">
        <v>1109</v>
      </c>
      <c r="O4840" s="12" t="s">
        <v>13169</v>
      </c>
      <c r="P4840" s="10" t="s">
        <v>31</v>
      </c>
      <c r="Q4840" s="10" t="s">
        <v>31</v>
      </c>
      <c r="R4840" s="10" t="s">
        <v>13171</v>
      </c>
      <c r="S4840" s="12" t="s">
        <v>31</v>
      </c>
      <c r="T4840" s="10" t="s">
        <v>66</v>
      </c>
      <c r="U4840" s="12" t="s">
        <v>31</v>
      </c>
      <c r="V4840" s="10" t="s">
        <v>30136</v>
      </c>
      <c r="W4840" s="10" t="s">
        <v>30132</v>
      </c>
      <c r="X4840" s="13" t="str">
        <f>HYPERLINK("https://my.pitchbook.com?p=407733-76P","View People Online")</f>
        <v>View People Online</v>
      </c>
    </row>
    <row r="4841">
      <c r="A4841" s="14" t="s">
        <v>30137</v>
      </c>
      <c r="B4841" s="14" t="s">
        <v>30138</v>
      </c>
      <c r="C4841" s="14" t="s">
        <v>568</v>
      </c>
      <c r="D4841" s="14" t="s">
        <v>30139</v>
      </c>
      <c r="E4841" s="14" t="s">
        <v>30140</v>
      </c>
      <c r="F4841" s="14" t="s">
        <v>2731</v>
      </c>
      <c r="G4841" s="14" t="s">
        <v>30141</v>
      </c>
      <c r="H4841" s="15">
        <v>5.0</v>
      </c>
      <c r="I4841" s="15">
        <v>54.0</v>
      </c>
      <c r="J4841" s="15">
        <v>2.0</v>
      </c>
      <c r="K4841" s="15">
        <v>39.0</v>
      </c>
      <c r="L4841" s="16" t="s">
        <v>31</v>
      </c>
      <c r="M4841" s="14" t="s">
        <v>30142</v>
      </c>
      <c r="N4841" s="14" t="s">
        <v>11530</v>
      </c>
      <c r="O4841" s="16" t="s">
        <v>11531</v>
      </c>
      <c r="P4841" s="14" t="s">
        <v>30143</v>
      </c>
      <c r="Q4841" s="14" t="s">
        <v>6591</v>
      </c>
      <c r="R4841" s="14" t="s">
        <v>64</v>
      </c>
      <c r="S4841" s="16" t="s">
        <v>11533</v>
      </c>
      <c r="T4841" s="14" t="s">
        <v>66</v>
      </c>
      <c r="U4841" s="16" t="s">
        <v>31</v>
      </c>
      <c r="V4841" s="14" t="s">
        <v>12577</v>
      </c>
      <c r="W4841" s="14" t="s">
        <v>30144</v>
      </c>
      <c r="X4841" s="17" t="str">
        <f>HYPERLINK("https://my.pitchbook.com?p=13304-08P","View People Online")</f>
        <v>View People Online</v>
      </c>
    </row>
    <row r="4842">
      <c r="A4842" s="10" t="s">
        <v>30145</v>
      </c>
      <c r="B4842" s="10" t="s">
        <v>30146</v>
      </c>
      <c r="C4842" s="10" t="s">
        <v>30147</v>
      </c>
      <c r="D4842" s="10" t="s">
        <v>30148</v>
      </c>
      <c r="E4842" s="10" t="s">
        <v>30140</v>
      </c>
      <c r="F4842" s="10" t="s">
        <v>2652</v>
      </c>
      <c r="G4842" s="10" t="s">
        <v>30149</v>
      </c>
      <c r="H4842" s="11" t="s">
        <v>31</v>
      </c>
      <c r="I4842" s="11">
        <v>8.0</v>
      </c>
      <c r="J4842" s="11">
        <v>1.0</v>
      </c>
      <c r="K4842" s="11">
        <v>5.0</v>
      </c>
      <c r="L4842" s="12" t="s">
        <v>30150</v>
      </c>
      <c r="M4842" s="10" t="s">
        <v>30151</v>
      </c>
      <c r="N4842" s="10" t="s">
        <v>1348</v>
      </c>
      <c r="O4842" s="12" t="s">
        <v>1349</v>
      </c>
      <c r="P4842" s="10" t="s">
        <v>30152</v>
      </c>
      <c r="Q4842" s="10" t="s">
        <v>30153</v>
      </c>
      <c r="R4842" s="10" t="s">
        <v>1018</v>
      </c>
      <c r="S4842" s="12" t="s">
        <v>30154</v>
      </c>
      <c r="T4842" s="10" t="s">
        <v>1019</v>
      </c>
      <c r="U4842" s="12" t="s">
        <v>31</v>
      </c>
      <c r="V4842" s="10" t="s">
        <v>30155</v>
      </c>
      <c r="W4842" s="10" t="s">
        <v>30140</v>
      </c>
      <c r="X4842" s="13" t="str">
        <f>HYPERLINK("https://my.pitchbook.com?p=33646-87P","View People Online")</f>
        <v>View People Online</v>
      </c>
    </row>
    <row r="4843">
      <c r="A4843" s="6" t="s">
        <v>30156</v>
      </c>
      <c r="B4843" s="6" t="s">
        <v>30157</v>
      </c>
      <c r="C4843" s="6" t="s">
        <v>30158</v>
      </c>
      <c r="D4843" s="6" t="s">
        <v>30159</v>
      </c>
      <c r="E4843" s="6" t="s">
        <v>30140</v>
      </c>
      <c r="F4843" s="6" t="s">
        <v>6993</v>
      </c>
      <c r="G4843" s="6" t="s">
        <v>30160</v>
      </c>
      <c r="H4843" s="7" t="s">
        <v>31</v>
      </c>
      <c r="I4843" s="7">
        <v>6.0</v>
      </c>
      <c r="J4843" s="7">
        <v>1.0</v>
      </c>
      <c r="K4843" s="7">
        <v>4.0</v>
      </c>
      <c r="L4843" s="8" t="s">
        <v>30161</v>
      </c>
      <c r="M4843" s="6" t="s">
        <v>30162</v>
      </c>
      <c r="N4843" s="6" t="s">
        <v>3603</v>
      </c>
      <c r="O4843" s="8" t="s">
        <v>3604</v>
      </c>
      <c r="P4843" s="6" t="s">
        <v>30163</v>
      </c>
      <c r="Q4843" s="6" t="s">
        <v>30164</v>
      </c>
      <c r="R4843" s="6" t="s">
        <v>31</v>
      </c>
      <c r="S4843" s="8" t="s">
        <v>31</v>
      </c>
      <c r="T4843" s="6" t="s">
        <v>3603</v>
      </c>
      <c r="U4843" s="8" t="s">
        <v>31</v>
      </c>
      <c r="V4843" s="6" t="s">
        <v>30165</v>
      </c>
      <c r="W4843" s="6" t="s">
        <v>30140</v>
      </c>
      <c r="X4843" s="9" t="str">
        <f>HYPERLINK("https://my.pitchbook.com?p=59619-61P","View People Online")</f>
        <v>View People Online</v>
      </c>
    </row>
    <row r="4844">
      <c r="A4844" s="2" t="s">
        <v>30166</v>
      </c>
      <c r="B4844" s="2" t="s">
        <v>30167</v>
      </c>
      <c r="C4844" s="2" t="s">
        <v>30168</v>
      </c>
      <c r="D4844" s="2" t="s">
        <v>30169</v>
      </c>
      <c r="E4844" s="2" t="s">
        <v>30140</v>
      </c>
      <c r="F4844" s="2" t="s">
        <v>221</v>
      </c>
      <c r="G4844" s="2" t="s">
        <v>30170</v>
      </c>
      <c r="H4844" s="3" t="s">
        <v>31</v>
      </c>
      <c r="I4844" s="3">
        <v>1.0</v>
      </c>
      <c r="J4844" s="3">
        <v>1.0</v>
      </c>
      <c r="K4844" s="3" t="s">
        <v>31</v>
      </c>
      <c r="L4844" s="4" t="s">
        <v>30171</v>
      </c>
      <c r="M4844" s="2" t="s">
        <v>30172</v>
      </c>
      <c r="N4844" s="2" t="s">
        <v>1348</v>
      </c>
      <c r="O4844" s="4" t="s">
        <v>1349</v>
      </c>
      <c r="P4844" s="2" t="s">
        <v>30152</v>
      </c>
      <c r="Q4844" s="2" t="s">
        <v>30153</v>
      </c>
      <c r="R4844" s="2" t="s">
        <v>1018</v>
      </c>
      <c r="S4844" s="4" t="s">
        <v>30154</v>
      </c>
      <c r="T4844" s="2" t="s">
        <v>1019</v>
      </c>
      <c r="U4844" s="4" t="s">
        <v>31</v>
      </c>
      <c r="V4844" s="2" t="s">
        <v>221</v>
      </c>
      <c r="W4844" s="2" t="s">
        <v>30140</v>
      </c>
      <c r="X4844" s="5" t="str">
        <f>HYPERLINK("https://my.pitchbook.com?p=444534-31P","View People Online")</f>
        <v>View People Online</v>
      </c>
    </row>
    <row r="4845">
      <c r="A4845" s="14" t="s">
        <v>30173</v>
      </c>
      <c r="B4845" s="14" t="s">
        <v>30174</v>
      </c>
      <c r="C4845" s="14" t="s">
        <v>30175</v>
      </c>
      <c r="D4845" s="14" t="s">
        <v>30176</v>
      </c>
      <c r="E4845" s="14" t="s">
        <v>30140</v>
      </c>
      <c r="F4845" s="14" t="s">
        <v>1283</v>
      </c>
      <c r="G4845" s="14" t="s">
        <v>30177</v>
      </c>
      <c r="H4845" s="15" t="s">
        <v>31</v>
      </c>
      <c r="I4845" s="15">
        <v>1.0</v>
      </c>
      <c r="J4845" s="15">
        <v>1.0</v>
      </c>
      <c r="K4845" s="15" t="s">
        <v>31</v>
      </c>
      <c r="L4845" s="16" t="s">
        <v>30178</v>
      </c>
      <c r="M4845" s="14" t="s">
        <v>30179</v>
      </c>
      <c r="N4845" s="14" t="s">
        <v>243</v>
      </c>
      <c r="O4845" s="16" t="s">
        <v>244</v>
      </c>
      <c r="P4845" s="14" t="s">
        <v>30180</v>
      </c>
      <c r="Q4845" s="14" t="s">
        <v>6831</v>
      </c>
      <c r="R4845" s="14" t="s">
        <v>247</v>
      </c>
      <c r="S4845" s="16" t="s">
        <v>30181</v>
      </c>
      <c r="T4845" s="14" t="s">
        <v>249</v>
      </c>
      <c r="U4845" s="16" t="s">
        <v>31</v>
      </c>
      <c r="V4845" s="14" t="s">
        <v>30182</v>
      </c>
      <c r="W4845" s="14" t="s">
        <v>30140</v>
      </c>
      <c r="X4845" s="17" t="str">
        <f>HYPERLINK("https://my.pitchbook.com?p=447597-91P","View People Online")</f>
        <v>View People Online</v>
      </c>
    </row>
    <row r="4846">
      <c r="A4846" s="10" t="s">
        <v>30183</v>
      </c>
      <c r="B4846" s="10" t="s">
        <v>30184</v>
      </c>
      <c r="C4846" s="10" t="s">
        <v>186</v>
      </c>
      <c r="D4846" s="10" t="s">
        <v>30185</v>
      </c>
      <c r="E4846" s="10" t="s">
        <v>30140</v>
      </c>
      <c r="F4846" s="10" t="s">
        <v>1283</v>
      </c>
      <c r="G4846" s="10" t="s">
        <v>30186</v>
      </c>
      <c r="H4846" s="11">
        <v>1.0</v>
      </c>
      <c r="I4846" s="11">
        <v>2.0</v>
      </c>
      <c r="J4846" s="11">
        <v>1.0</v>
      </c>
      <c r="K4846" s="11" t="s">
        <v>31</v>
      </c>
      <c r="L4846" s="12" t="s">
        <v>30187</v>
      </c>
      <c r="M4846" s="10" t="s">
        <v>30188</v>
      </c>
      <c r="N4846" s="10" t="s">
        <v>2478</v>
      </c>
      <c r="O4846" s="12" t="s">
        <v>7332</v>
      </c>
      <c r="P4846" s="10" t="s">
        <v>30189</v>
      </c>
      <c r="Q4846" s="10" t="s">
        <v>30190</v>
      </c>
      <c r="R4846" s="10" t="s">
        <v>7335</v>
      </c>
      <c r="S4846" s="12" t="s">
        <v>7336</v>
      </c>
      <c r="T4846" s="10" t="s">
        <v>5484</v>
      </c>
      <c r="U4846" s="12" t="s">
        <v>31</v>
      </c>
      <c r="V4846" s="10" t="s">
        <v>30191</v>
      </c>
      <c r="W4846" s="10" t="s">
        <v>30140</v>
      </c>
      <c r="X4846" s="13" t="str">
        <f>HYPERLINK("https://my.pitchbook.com?p=267791-23P","View People Online")</f>
        <v>View People Online</v>
      </c>
    </row>
    <row r="4847">
      <c r="A4847" s="6" t="s">
        <v>30192</v>
      </c>
      <c r="B4847" s="6" t="s">
        <v>30193</v>
      </c>
      <c r="C4847" s="6" t="s">
        <v>622</v>
      </c>
      <c r="D4847" s="6" t="s">
        <v>30194</v>
      </c>
      <c r="E4847" s="6" t="s">
        <v>30140</v>
      </c>
      <c r="F4847" s="6" t="s">
        <v>201</v>
      </c>
      <c r="G4847" s="6" t="s">
        <v>30195</v>
      </c>
      <c r="H4847" s="7" t="s">
        <v>31</v>
      </c>
      <c r="I4847" s="7">
        <v>1.0</v>
      </c>
      <c r="J4847" s="7">
        <v>1.0</v>
      </c>
      <c r="K4847" s="7" t="s">
        <v>31</v>
      </c>
      <c r="L4847" s="8" t="s">
        <v>30171</v>
      </c>
      <c r="M4847" s="6" t="s">
        <v>30196</v>
      </c>
      <c r="N4847" s="6" t="s">
        <v>1348</v>
      </c>
      <c r="O4847" s="8" t="s">
        <v>1349</v>
      </c>
      <c r="P4847" s="6" t="s">
        <v>30152</v>
      </c>
      <c r="Q4847" s="6" t="s">
        <v>30153</v>
      </c>
      <c r="R4847" s="6" t="s">
        <v>1018</v>
      </c>
      <c r="S4847" s="8" t="s">
        <v>30154</v>
      </c>
      <c r="T4847" s="6" t="s">
        <v>1019</v>
      </c>
      <c r="U4847" s="8" t="s">
        <v>31</v>
      </c>
      <c r="V4847" s="6" t="s">
        <v>30197</v>
      </c>
      <c r="W4847" s="6" t="s">
        <v>30140</v>
      </c>
      <c r="X4847" s="9" t="str">
        <f>HYPERLINK("https://my.pitchbook.com?p=419662-54P","View People Online")</f>
        <v>View People Online</v>
      </c>
    </row>
    <row r="4848">
      <c r="A4848" s="2" t="s">
        <v>30198</v>
      </c>
      <c r="B4848" s="2" t="s">
        <v>30199</v>
      </c>
      <c r="C4848" s="2" t="s">
        <v>622</v>
      </c>
      <c r="D4848" s="2" t="s">
        <v>30200</v>
      </c>
      <c r="E4848" s="2" t="s">
        <v>30140</v>
      </c>
      <c r="F4848" s="2" t="s">
        <v>221</v>
      </c>
      <c r="G4848" s="2" t="s">
        <v>30201</v>
      </c>
      <c r="H4848" s="3" t="s">
        <v>31</v>
      </c>
      <c r="I4848" s="3">
        <v>1.0</v>
      </c>
      <c r="J4848" s="3">
        <v>1.0</v>
      </c>
      <c r="K4848" s="3" t="s">
        <v>31</v>
      </c>
      <c r="L4848" s="4" t="s">
        <v>30171</v>
      </c>
      <c r="M4848" s="2" t="s">
        <v>30202</v>
      </c>
      <c r="N4848" s="2" t="s">
        <v>1348</v>
      </c>
      <c r="O4848" s="4" t="s">
        <v>1349</v>
      </c>
      <c r="P4848" s="2" t="s">
        <v>30152</v>
      </c>
      <c r="Q4848" s="2" t="s">
        <v>30153</v>
      </c>
      <c r="R4848" s="2" t="s">
        <v>1018</v>
      </c>
      <c r="S4848" s="4" t="s">
        <v>30154</v>
      </c>
      <c r="T4848" s="2" t="s">
        <v>1019</v>
      </c>
      <c r="U4848" s="4" t="s">
        <v>31</v>
      </c>
      <c r="V4848" s="2" t="s">
        <v>30203</v>
      </c>
      <c r="W4848" s="2" t="s">
        <v>30140</v>
      </c>
      <c r="X4848" s="5" t="str">
        <f>HYPERLINK("https://my.pitchbook.com?p=297444-43P","View People Online")</f>
        <v>View People Online</v>
      </c>
    </row>
    <row r="4849">
      <c r="A4849" s="14" t="s">
        <v>30204</v>
      </c>
      <c r="B4849" s="14" t="s">
        <v>30205</v>
      </c>
      <c r="C4849" s="14" t="s">
        <v>233</v>
      </c>
      <c r="D4849" s="14" t="s">
        <v>30206</v>
      </c>
      <c r="E4849" s="14" t="s">
        <v>30140</v>
      </c>
      <c r="F4849" s="14" t="s">
        <v>201</v>
      </c>
      <c r="G4849" s="14" t="s">
        <v>30207</v>
      </c>
      <c r="H4849" s="15" t="s">
        <v>31</v>
      </c>
      <c r="I4849" s="15">
        <v>1.0</v>
      </c>
      <c r="J4849" s="15">
        <v>1.0</v>
      </c>
      <c r="K4849" s="15" t="s">
        <v>31</v>
      </c>
      <c r="L4849" s="16" t="s">
        <v>30171</v>
      </c>
      <c r="M4849" s="14" t="s">
        <v>30208</v>
      </c>
      <c r="N4849" s="14" t="s">
        <v>1348</v>
      </c>
      <c r="O4849" s="16" t="s">
        <v>1349</v>
      </c>
      <c r="P4849" s="14" t="s">
        <v>30152</v>
      </c>
      <c r="Q4849" s="14" t="s">
        <v>30153</v>
      </c>
      <c r="R4849" s="14" t="s">
        <v>1018</v>
      </c>
      <c r="S4849" s="16" t="s">
        <v>30154</v>
      </c>
      <c r="T4849" s="14" t="s">
        <v>1019</v>
      </c>
      <c r="U4849" s="16" t="s">
        <v>31</v>
      </c>
      <c r="V4849" s="14" t="s">
        <v>30209</v>
      </c>
      <c r="W4849" s="14" t="s">
        <v>30140</v>
      </c>
      <c r="X4849" s="17" t="str">
        <f>HYPERLINK("https://my.pitchbook.com?p=397101-16P","View People Online")</f>
        <v>View People Online</v>
      </c>
    </row>
    <row r="4850">
      <c r="A4850" s="2" t="s">
        <v>30210</v>
      </c>
      <c r="B4850" s="2" t="s">
        <v>30211</v>
      </c>
      <c r="C4850" s="2" t="s">
        <v>13807</v>
      </c>
      <c r="D4850" s="2" t="s">
        <v>673</v>
      </c>
      <c r="E4850" s="2" t="s">
        <v>30140</v>
      </c>
      <c r="F4850" s="2" t="s">
        <v>1283</v>
      </c>
      <c r="G4850" s="2" t="s">
        <v>30212</v>
      </c>
      <c r="H4850" s="3">
        <v>1.0</v>
      </c>
      <c r="I4850" s="3">
        <v>2.0</v>
      </c>
      <c r="J4850" s="3">
        <v>1.0</v>
      </c>
      <c r="K4850" s="3" t="s">
        <v>31</v>
      </c>
      <c r="L4850" s="4" t="s">
        <v>30213</v>
      </c>
      <c r="M4850" s="2" t="s">
        <v>30214</v>
      </c>
      <c r="N4850" s="2" t="s">
        <v>75</v>
      </c>
      <c r="O4850" s="4" t="s">
        <v>76</v>
      </c>
      <c r="P4850" s="2" t="s">
        <v>30215</v>
      </c>
      <c r="Q4850" s="2" t="s">
        <v>24925</v>
      </c>
      <c r="R4850" s="2" t="s">
        <v>75</v>
      </c>
      <c r="S4850" s="4" t="s">
        <v>1432</v>
      </c>
      <c r="T4850" s="2" t="s">
        <v>66</v>
      </c>
      <c r="U4850" s="4" t="s">
        <v>31</v>
      </c>
      <c r="V4850" s="2" t="s">
        <v>30216</v>
      </c>
      <c r="W4850" s="2" t="s">
        <v>30140</v>
      </c>
      <c r="X4850" s="5" t="str">
        <f>HYPERLINK("https://my.pitchbook.com?p=48517-12P","View People Online")</f>
        <v>View People Online</v>
      </c>
    </row>
    <row r="4851">
      <c r="A4851" s="6" t="s">
        <v>30217</v>
      </c>
      <c r="B4851" s="6" t="s">
        <v>30218</v>
      </c>
      <c r="C4851" s="6" t="s">
        <v>10717</v>
      </c>
      <c r="D4851" s="6" t="s">
        <v>30219</v>
      </c>
      <c r="E4851" s="6" t="s">
        <v>30140</v>
      </c>
      <c r="F4851" s="6" t="s">
        <v>1283</v>
      </c>
      <c r="G4851" s="6" t="s">
        <v>30220</v>
      </c>
      <c r="H4851" s="7" t="s">
        <v>31</v>
      </c>
      <c r="I4851" s="7">
        <v>1.0</v>
      </c>
      <c r="J4851" s="7">
        <v>1.0</v>
      </c>
      <c r="K4851" s="7" t="s">
        <v>31</v>
      </c>
      <c r="L4851" s="8" t="s">
        <v>30161</v>
      </c>
      <c r="M4851" s="6" t="s">
        <v>30221</v>
      </c>
      <c r="N4851" s="6" t="s">
        <v>3603</v>
      </c>
      <c r="O4851" s="8" t="s">
        <v>3604</v>
      </c>
      <c r="P4851" s="6" t="s">
        <v>30163</v>
      </c>
      <c r="Q4851" s="6" t="s">
        <v>30164</v>
      </c>
      <c r="R4851" s="6" t="s">
        <v>31</v>
      </c>
      <c r="S4851" s="8" t="s">
        <v>31</v>
      </c>
      <c r="T4851" s="6" t="s">
        <v>3603</v>
      </c>
      <c r="U4851" s="8" t="s">
        <v>31</v>
      </c>
      <c r="V4851" s="6" t="s">
        <v>30222</v>
      </c>
      <c r="W4851" s="6" t="s">
        <v>30140</v>
      </c>
      <c r="X4851" s="9" t="str">
        <f>HYPERLINK("https://my.pitchbook.com?p=329835-70P","View People Online")</f>
        <v>View People Online</v>
      </c>
    </row>
    <row r="4852">
      <c r="A4852" s="2" t="s">
        <v>30223</v>
      </c>
      <c r="B4852" s="2" t="s">
        <v>30224</v>
      </c>
      <c r="C4852" s="2" t="s">
        <v>8397</v>
      </c>
      <c r="D4852" s="2" t="s">
        <v>30225</v>
      </c>
      <c r="E4852" s="2" t="s">
        <v>30140</v>
      </c>
      <c r="F4852" s="2" t="s">
        <v>2652</v>
      </c>
      <c r="G4852" s="2" t="s">
        <v>30226</v>
      </c>
      <c r="H4852" s="3" t="s">
        <v>31</v>
      </c>
      <c r="I4852" s="3">
        <v>1.0</v>
      </c>
      <c r="J4852" s="3">
        <v>1.0</v>
      </c>
      <c r="K4852" s="3" t="s">
        <v>31</v>
      </c>
      <c r="L4852" s="4" t="s">
        <v>30171</v>
      </c>
      <c r="M4852" s="2" t="s">
        <v>30227</v>
      </c>
      <c r="N4852" s="2" t="s">
        <v>1348</v>
      </c>
      <c r="O4852" s="4" t="s">
        <v>1349</v>
      </c>
      <c r="P4852" s="2" t="s">
        <v>30152</v>
      </c>
      <c r="Q4852" s="2" t="s">
        <v>30153</v>
      </c>
      <c r="R4852" s="2" t="s">
        <v>1018</v>
      </c>
      <c r="S4852" s="4" t="s">
        <v>30154</v>
      </c>
      <c r="T4852" s="2" t="s">
        <v>1019</v>
      </c>
      <c r="U4852" s="4" t="s">
        <v>31</v>
      </c>
      <c r="V4852" s="2" t="s">
        <v>30228</v>
      </c>
      <c r="W4852" s="2" t="s">
        <v>30140</v>
      </c>
      <c r="X4852" s="5" t="str">
        <f>HYPERLINK("https://my.pitchbook.com?p=93663-91P","View People Online")</f>
        <v>View People Online</v>
      </c>
    </row>
    <row r="4853">
      <c r="A4853" s="6" t="s">
        <v>30229</v>
      </c>
      <c r="B4853" s="6" t="s">
        <v>30230</v>
      </c>
      <c r="C4853" s="6" t="s">
        <v>4731</v>
      </c>
      <c r="D4853" s="6" t="s">
        <v>30231</v>
      </c>
      <c r="E4853" s="6" t="s">
        <v>30140</v>
      </c>
      <c r="F4853" s="6" t="s">
        <v>2652</v>
      </c>
      <c r="G4853" s="6" t="s">
        <v>30232</v>
      </c>
      <c r="H4853" s="7" t="s">
        <v>31</v>
      </c>
      <c r="I4853" s="7">
        <v>1.0</v>
      </c>
      <c r="J4853" s="7">
        <v>1.0</v>
      </c>
      <c r="K4853" s="7" t="s">
        <v>31</v>
      </c>
      <c r="L4853" s="8" t="s">
        <v>30178</v>
      </c>
      <c r="M4853" s="6" t="s">
        <v>30233</v>
      </c>
      <c r="N4853" s="6" t="s">
        <v>243</v>
      </c>
      <c r="O4853" s="8" t="s">
        <v>244</v>
      </c>
      <c r="P4853" s="6" t="s">
        <v>30180</v>
      </c>
      <c r="Q4853" s="6" t="s">
        <v>6831</v>
      </c>
      <c r="R4853" s="6" t="s">
        <v>247</v>
      </c>
      <c r="S4853" s="8" t="s">
        <v>30181</v>
      </c>
      <c r="T4853" s="6" t="s">
        <v>249</v>
      </c>
      <c r="U4853" s="8" t="s">
        <v>31</v>
      </c>
      <c r="V4853" s="6" t="s">
        <v>30234</v>
      </c>
      <c r="W4853" s="6" t="s">
        <v>30140</v>
      </c>
      <c r="X4853" s="9" t="str">
        <f>HYPERLINK("https://my.pitchbook.com?p=326031-40P","View People Online")</f>
        <v>View People Online</v>
      </c>
    </row>
    <row r="4854">
      <c r="A4854" s="2" t="s">
        <v>30235</v>
      </c>
      <c r="B4854" s="2" t="s">
        <v>30236</v>
      </c>
      <c r="C4854" s="2" t="s">
        <v>2658</v>
      </c>
      <c r="D4854" s="2" t="s">
        <v>3984</v>
      </c>
      <c r="E4854" s="2" t="s">
        <v>30140</v>
      </c>
      <c r="F4854" s="2" t="s">
        <v>2652</v>
      </c>
      <c r="G4854" s="2" t="s">
        <v>30237</v>
      </c>
      <c r="H4854" s="3">
        <v>2.0</v>
      </c>
      <c r="I4854" s="3">
        <v>5.0</v>
      </c>
      <c r="J4854" s="3">
        <v>1.0</v>
      </c>
      <c r="K4854" s="3">
        <v>2.0</v>
      </c>
      <c r="L4854" s="4" t="s">
        <v>30171</v>
      </c>
      <c r="M4854" s="2" t="s">
        <v>30238</v>
      </c>
      <c r="N4854" s="2" t="s">
        <v>1348</v>
      </c>
      <c r="O4854" s="4" t="s">
        <v>1349</v>
      </c>
      <c r="P4854" s="2" t="s">
        <v>30152</v>
      </c>
      <c r="Q4854" s="2" t="s">
        <v>30153</v>
      </c>
      <c r="R4854" s="2" t="s">
        <v>1018</v>
      </c>
      <c r="S4854" s="4" t="s">
        <v>30154</v>
      </c>
      <c r="T4854" s="2" t="s">
        <v>1019</v>
      </c>
      <c r="U4854" s="4" t="s">
        <v>31</v>
      </c>
      <c r="V4854" s="2" t="s">
        <v>30239</v>
      </c>
      <c r="W4854" s="2" t="s">
        <v>30140</v>
      </c>
      <c r="X4854" s="5" t="str">
        <f>HYPERLINK("https://my.pitchbook.com?p=258370-57P","View People Online")</f>
        <v>View People Online</v>
      </c>
    </row>
    <row r="4855">
      <c r="A4855" s="14" t="s">
        <v>30240</v>
      </c>
      <c r="B4855" s="14" t="s">
        <v>30241</v>
      </c>
      <c r="C4855" s="14" t="s">
        <v>14160</v>
      </c>
      <c r="D4855" s="14" t="s">
        <v>30242</v>
      </c>
      <c r="E4855" s="14" t="s">
        <v>30140</v>
      </c>
      <c r="F4855" s="14" t="s">
        <v>1283</v>
      </c>
      <c r="G4855" s="14" t="s">
        <v>30243</v>
      </c>
      <c r="H4855" s="15">
        <v>2.0</v>
      </c>
      <c r="I4855" s="15">
        <v>5.0</v>
      </c>
      <c r="J4855" s="15">
        <v>1.0</v>
      </c>
      <c r="K4855" s="15">
        <v>1.0</v>
      </c>
      <c r="L4855" s="16" t="s">
        <v>30171</v>
      </c>
      <c r="M4855" s="14" t="s">
        <v>30244</v>
      </c>
      <c r="N4855" s="14" t="s">
        <v>1348</v>
      </c>
      <c r="O4855" s="16" t="s">
        <v>1349</v>
      </c>
      <c r="P4855" s="14" t="s">
        <v>30152</v>
      </c>
      <c r="Q4855" s="14" t="s">
        <v>30153</v>
      </c>
      <c r="R4855" s="14" t="s">
        <v>1018</v>
      </c>
      <c r="S4855" s="16" t="s">
        <v>30154</v>
      </c>
      <c r="T4855" s="14" t="s">
        <v>1019</v>
      </c>
      <c r="U4855" s="16" t="s">
        <v>31</v>
      </c>
      <c r="V4855" s="14" t="s">
        <v>30245</v>
      </c>
      <c r="W4855" s="14" t="s">
        <v>30140</v>
      </c>
      <c r="X4855" s="17" t="str">
        <f>HYPERLINK("https://my.pitchbook.com?p=49225-96P","View People Online")</f>
        <v>View People Online</v>
      </c>
    </row>
    <row r="4856">
      <c r="A4856" s="10" t="s">
        <v>30246</v>
      </c>
      <c r="B4856" s="10" t="s">
        <v>30247</v>
      </c>
      <c r="C4856" s="10" t="s">
        <v>1117</v>
      </c>
      <c r="D4856" s="10" t="s">
        <v>30248</v>
      </c>
      <c r="E4856" s="10" t="s">
        <v>30140</v>
      </c>
      <c r="F4856" s="10" t="s">
        <v>2652</v>
      </c>
      <c r="G4856" s="10" t="s">
        <v>30249</v>
      </c>
      <c r="H4856" s="11" t="s">
        <v>31</v>
      </c>
      <c r="I4856" s="11">
        <v>1.0</v>
      </c>
      <c r="J4856" s="11">
        <v>1.0</v>
      </c>
      <c r="K4856" s="11" t="s">
        <v>31</v>
      </c>
      <c r="L4856" s="12" t="s">
        <v>30250</v>
      </c>
      <c r="M4856" s="10" t="s">
        <v>30251</v>
      </c>
      <c r="N4856" s="10" t="s">
        <v>1348</v>
      </c>
      <c r="O4856" s="12" t="s">
        <v>1349</v>
      </c>
      <c r="P4856" s="10" t="s">
        <v>30152</v>
      </c>
      <c r="Q4856" s="10" t="s">
        <v>30153</v>
      </c>
      <c r="R4856" s="10" t="s">
        <v>1018</v>
      </c>
      <c r="S4856" s="12" t="s">
        <v>30154</v>
      </c>
      <c r="T4856" s="10" t="s">
        <v>1019</v>
      </c>
      <c r="U4856" s="12" t="s">
        <v>31</v>
      </c>
      <c r="V4856" s="10" t="s">
        <v>30252</v>
      </c>
      <c r="W4856" s="10" t="s">
        <v>30140</v>
      </c>
      <c r="X4856" s="13" t="str">
        <f>HYPERLINK("https://my.pitchbook.com?p=33655-42P","View People Online")</f>
        <v>View People Online</v>
      </c>
    </row>
    <row r="4857">
      <c r="A4857" s="14" t="s">
        <v>30253</v>
      </c>
      <c r="B4857" s="14" t="s">
        <v>30254</v>
      </c>
      <c r="C4857" s="14" t="s">
        <v>1117</v>
      </c>
      <c r="D4857" s="14" t="s">
        <v>30255</v>
      </c>
      <c r="E4857" s="14" t="s">
        <v>30140</v>
      </c>
      <c r="F4857" s="14" t="s">
        <v>11160</v>
      </c>
      <c r="G4857" s="14" t="s">
        <v>30256</v>
      </c>
      <c r="H4857" s="15" t="s">
        <v>31</v>
      </c>
      <c r="I4857" s="15">
        <v>2.0</v>
      </c>
      <c r="J4857" s="15">
        <v>2.0</v>
      </c>
      <c r="K4857" s="15" t="s">
        <v>31</v>
      </c>
      <c r="L4857" s="16" t="s">
        <v>30257</v>
      </c>
      <c r="M4857" s="14" t="s">
        <v>30258</v>
      </c>
      <c r="N4857" s="14" t="s">
        <v>1348</v>
      </c>
      <c r="O4857" s="16" t="s">
        <v>1349</v>
      </c>
      <c r="P4857" s="14" t="s">
        <v>30152</v>
      </c>
      <c r="Q4857" s="14" t="s">
        <v>30153</v>
      </c>
      <c r="R4857" s="14" t="s">
        <v>1018</v>
      </c>
      <c r="S4857" s="16" t="s">
        <v>30154</v>
      </c>
      <c r="T4857" s="14" t="s">
        <v>1019</v>
      </c>
      <c r="U4857" s="16" t="s">
        <v>31</v>
      </c>
      <c r="V4857" s="14" t="s">
        <v>30259</v>
      </c>
      <c r="W4857" s="14" t="s">
        <v>30140</v>
      </c>
      <c r="X4857" s="17" t="str">
        <f>HYPERLINK("https://my.pitchbook.com?p=33657-40P","View People Online")</f>
        <v>View People Online</v>
      </c>
    </row>
    <row r="4858">
      <c r="A4858" s="10" t="s">
        <v>30260</v>
      </c>
      <c r="B4858" s="10" t="s">
        <v>30261</v>
      </c>
      <c r="C4858" s="10" t="s">
        <v>24470</v>
      </c>
      <c r="D4858" s="10" t="s">
        <v>30262</v>
      </c>
      <c r="E4858" s="10" t="s">
        <v>30140</v>
      </c>
      <c r="F4858" s="10" t="s">
        <v>1283</v>
      </c>
      <c r="G4858" s="10" t="s">
        <v>30263</v>
      </c>
      <c r="H4858" s="11" t="s">
        <v>31</v>
      </c>
      <c r="I4858" s="11">
        <v>1.0</v>
      </c>
      <c r="J4858" s="11">
        <v>1.0</v>
      </c>
      <c r="K4858" s="11" t="s">
        <v>31</v>
      </c>
      <c r="L4858" s="12" t="s">
        <v>30264</v>
      </c>
      <c r="M4858" s="10" t="s">
        <v>30265</v>
      </c>
      <c r="N4858" s="10" t="s">
        <v>1348</v>
      </c>
      <c r="O4858" s="12" t="s">
        <v>1349</v>
      </c>
      <c r="P4858" s="10" t="s">
        <v>30152</v>
      </c>
      <c r="Q4858" s="10" t="s">
        <v>30153</v>
      </c>
      <c r="R4858" s="10" t="s">
        <v>1018</v>
      </c>
      <c r="S4858" s="12" t="s">
        <v>30154</v>
      </c>
      <c r="T4858" s="10" t="s">
        <v>1019</v>
      </c>
      <c r="U4858" s="12" t="s">
        <v>31</v>
      </c>
      <c r="V4858" s="10" t="s">
        <v>30266</v>
      </c>
      <c r="W4858" s="10" t="s">
        <v>30140</v>
      </c>
      <c r="X4858" s="13" t="str">
        <f>HYPERLINK("https://my.pitchbook.com?p=33656-23P","View People Online")</f>
        <v>View People Online</v>
      </c>
    </row>
    <row r="4859">
      <c r="A4859" s="14" t="s">
        <v>30267</v>
      </c>
      <c r="B4859" s="14" t="s">
        <v>30268</v>
      </c>
      <c r="C4859" s="14" t="s">
        <v>30269</v>
      </c>
      <c r="D4859" s="14" t="s">
        <v>30270</v>
      </c>
      <c r="E4859" s="14" t="s">
        <v>30140</v>
      </c>
      <c r="F4859" s="14" t="s">
        <v>1283</v>
      </c>
      <c r="G4859" s="14" t="s">
        <v>30271</v>
      </c>
      <c r="H4859" s="15" t="s">
        <v>31</v>
      </c>
      <c r="I4859" s="15">
        <v>1.0</v>
      </c>
      <c r="J4859" s="15">
        <v>1.0</v>
      </c>
      <c r="K4859" s="15" t="s">
        <v>31</v>
      </c>
      <c r="L4859" s="16" t="s">
        <v>30272</v>
      </c>
      <c r="M4859" s="14" t="s">
        <v>30273</v>
      </c>
      <c r="N4859" s="14" t="s">
        <v>75</v>
      </c>
      <c r="O4859" s="16" t="s">
        <v>76</v>
      </c>
      <c r="P4859" s="14" t="s">
        <v>30215</v>
      </c>
      <c r="Q4859" s="14" t="s">
        <v>24925</v>
      </c>
      <c r="R4859" s="14" t="s">
        <v>75</v>
      </c>
      <c r="S4859" s="16" t="s">
        <v>1432</v>
      </c>
      <c r="T4859" s="14" t="s">
        <v>66</v>
      </c>
      <c r="U4859" s="16" t="s">
        <v>31</v>
      </c>
      <c r="V4859" s="14" t="s">
        <v>24417</v>
      </c>
      <c r="W4859" s="14" t="s">
        <v>30140</v>
      </c>
      <c r="X4859" s="17" t="str">
        <f>HYPERLINK("https://my.pitchbook.com?p=421123-51P","View People Online")</f>
        <v>View People Online</v>
      </c>
    </row>
    <row r="4860">
      <c r="A4860" s="10" t="s">
        <v>30274</v>
      </c>
      <c r="B4860" s="10" t="s">
        <v>30275</v>
      </c>
      <c r="C4860" s="10" t="s">
        <v>1103</v>
      </c>
      <c r="D4860" s="10" t="s">
        <v>30276</v>
      </c>
      <c r="E4860" s="10" t="s">
        <v>30140</v>
      </c>
      <c r="F4860" s="10" t="s">
        <v>1283</v>
      </c>
      <c r="G4860" s="10" t="s">
        <v>30277</v>
      </c>
      <c r="H4860" s="11" t="s">
        <v>31</v>
      </c>
      <c r="I4860" s="11">
        <v>1.0</v>
      </c>
      <c r="J4860" s="11">
        <v>1.0</v>
      </c>
      <c r="K4860" s="11" t="s">
        <v>31</v>
      </c>
      <c r="L4860" s="12" t="s">
        <v>30171</v>
      </c>
      <c r="M4860" s="10" t="s">
        <v>30278</v>
      </c>
      <c r="N4860" s="10" t="s">
        <v>1348</v>
      </c>
      <c r="O4860" s="12" t="s">
        <v>1349</v>
      </c>
      <c r="P4860" s="10" t="s">
        <v>30152</v>
      </c>
      <c r="Q4860" s="10" t="s">
        <v>30153</v>
      </c>
      <c r="R4860" s="10" t="s">
        <v>1018</v>
      </c>
      <c r="S4860" s="12" t="s">
        <v>30154</v>
      </c>
      <c r="T4860" s="10" t="s">
        <v>1019</v>
      </c>
      <c r="U4860" s="12" t="s">
        <v>31</v>
      </c>
      <c r="V4860" s="10" t="s">
        <v>30279</v>
      </c>
      <c r="W4860" s="10" t="s">
        <v>30140</v>
      </c>
      <c r="X4860" s="13" t="str">
        <f>HYPERLINK("https://my.pitchbook.com?p=53313-58P","View People Online")</f>
        <v>View People Online</v>
      </c>
    </row>
    <row r="4861">
      <c r="A4861" s="14" t="s">
        <v>30280</v>
      </c>
      <c r="B4861" s="14" t="s">
        <v>30281</v>
      </c>
      <c r="C4861" s="14" t="s">
        <v>30282</v>
      </c>
      <c r="D4861" s="14" t="s">
        <v>360</v>
      </c>
      <c r="E4861" s="14" t="s">
        <v>30140</v>
      </c>
      <c r="F4861" s="14" t="s">
        <v>221</v>
      </c>
      <c r="G4861" s="14" t="s">
        <v>30283</v>
      </c>
      <c r="H4861" s="15" t="s">
        <v>31</v>
      </c>
      <c r="I4861" s="15">
        <v>1.0</v>
      </c>
      <c r="J4861" s="15">
        <v>1.0</v>
      </c>
      <c r="K4861" s="15" t="s">
        <v>31</v>
      </c>
      <c r="L4861" s="16" t="s">
        <v>30171</v>
      </c>
      <c r="M4861" s="14" t="s">
        <v>30284</v>
      </c>
      <c r="N4861" s="14" t="s">
        <v>1348</v>
      </c>
      <c r="O4861" s="16" t="s">
        <v>1349</v>
      </c>
      <c r="P4861" s="14" t="s">
        <v>30152</v>
      </c>
      <c r="Q4861" s="14" t="s">
        <v>30153</v>
      </c>
      <c r="R4861" s="14" t="s">
        <v>1018</v>
      </c>
      <c r="S4861" s="16" t="s">
        <v>30154</v>
      </c>
      <c r="T4861" s="14" t="s">
        <v>1019</v>
      </c>
      <c r="U4861" s="16" t="s">
        <v>31</v>
      </c>
      <c r="V4861" s="14" t="s">
        <v>30285</v>
      </c>
      <c r="W4861" s="14" t="s">
        <v>30140</v>
      </c>
      <c r="X4861" s="17" t="str">
        <f>HYPERLINK("https://my.pitchbook.com?p=351792-73P","View People Online")</f>
        <v>View People Online</v>
      </c>
    </row>
    <row r="4862">
      <c r="A4862" s="10" t="s">
        <v>30286</v>
      </c>
      <c r="B4862" s="10" t="s">
        <v>30287</v>
      </c>
      <c r="C4862" s="10" t="s">
        <v>665</v>
      </c>
      <c r="D4862" s="10" t="s">
        <v>30288</v>
      </c>
      <c r="E4862" s="10" t="s">
        <v>30140</v>
      </c>
      <c r="F4862" s="10" t="s">
        <v>1283</v>
      </c>
      <c r="G4862" s="10" t="s">
        <v>30289</v>
      </c>
      <c r="H4862" s="11">
        <v>1.0</v>
      </c>
      <c r="I4862" s="11">
        <v>2.0</v>
      </c>
      <c r="J4862" s="11">
        <v>1.0</v>
      </c>
      <c r="K4862" s="11" t="s">
        <v>31</v>
      </c>
      <c r="L4862" s="12" t="s">
        <v>30290</v>
      </c>
      <c r="M4862" s="10" t="s">
        <v>30291</v>
      </c>
      <c r="N4862" s="10" t="s">
        <v>6651</v>
      </c>
      <c r="O4862" s="12" t="s">
        <v>6652</v>
      </c>
      <c r="P4862" s="10" t="s">
        <v>30292</v>
      </c>
      <c r="Q4862" s="10" t="s">
        <v>31</v>
      </c>
      <c r="R4862" s="10" t="s">
        <v>64</v>
      </c>
      <c r="S4862" s="12" t="s">
        <v>6655</v>
      </c>
      <c r="T4862" s="10" t="s">
        <v>66</v>
      </c>
      <c r="U4862" s="12" t="s">
        <v>30293</v>
      </c>
      <c r="V4862" s="10" t="s">
        <v>2379</v>
      </c>
      <c r="W4862" s="10" t="s">
        <v>30294</v>
      </c>
      <c r="X4862" s="13" t="str">
        <f>HYPERLINK("https://my.pitchbook.com?p=277240-33P","View People Online")</f>
        <v>View People Online</v>
      </c>
    </row>
    <row r="4863">
      <c r="A4863" s="6" t="s">
        <v>30295</v>
      </c>
      <c r="B4863" s="6" t="s">
        <v>30296</v>
      </c>
      <c r="C4863" s="6" t="s">
        <v>30297</v>
      </c>
      <c r="D4863" s="6" t="s">
        <v>30298</v>
      </c>
      <c r="E4863" s="6" t="s">
        <v>30140</v>
      </c>
      <c r="F4863" s="6" t="s">
        <v>1283</v>
      </c>
      <c r="G4863" s="6" t="s">
        <v>30299</v>
      </c>
      <c r="H4863" s="7" t="s">
        <v>31</v>
      </c>
      <c r="I4863" s="7">
        <v>1.0</v>
      </c>
      <c r="J4863" s="7">
        <v>1.0</v>
      </c>
      <c r="K4863" s="7" t="s">
        <v>31</v>
      </c>
      <c r="L4863" s="8" t="s">
        <v>30178</v>
      </c>
      <c r="M4863" s="6" t="s">
        <v>30300</v>
      </c>
      <c r="N4863" s="6" t="s">
        <v>243</v>
      </c>
      <c r="O4863" s="8" t="s">
        <v>244</v>
      </c>
      <c r="P4863" s="6" t="s">
        <v>30180</v>
      </c>
      <c r="Q4863" s="6" t="s">
        <v>6831</v>
      </c>
      <c r="R4863" s="6" t="s">
        <v>247</v>
      </c>
      <c r="S4863" s="8" t="s">
        <v>30181</v>
      </c>
      <c r="T4863" s="6" t="s">
        <v>249</v>
      </c>
      <c r="U4863" s="8" t="s">
        <v>31</v>
      </c>
      <c r="V4863" s="6" t="s">
        <v>30301</v>
      </c>
      <c r="W4863" s="6" t="s">
        <v>30140</v>
      </c>
      <c r="X4863" s="9" t="str">
        <f>HYPERLINK("https://my.pitchbook.com?p=421120-27P","View People Online")</f>
        <v>View People Online</v>
      </c>
    </row>
    <row r="4864">
      <c r="A4864" s="10" t="s">
        <v>30302</v>
      </c>
      <c r="B4864" s="10" t="s">
        <v>30303</v>
      </c>
      <c r="C4864" s="10" t="s">
        <v>7252</v>
      </c>
      <c r="D4864" s="10" t="s">
        <v>4505</v>
      </c>
      <c r="E4864" s="10" t="s">
        <v>30140</v>
      </c>
      <c r="F4864" s="10" t="s">
        <v>2652</v>
      </c>
      <c r="G4864" s="10" t="s">
        <v>30304</v>
      </c>
      <c r="H4864" s="11" t="s">
        <v>31</v>
      </c>
      <c r="I4864" s="11">
        <v>2.0</v>
      </c>
      <c r="J4864" s="11">
        <v>1.0</v>
      </c>
      <c r="K4864" s="11">
        <v>1.0</v>
      </c>
      <c r="L4864" s="12" t="s">
        <v>30178</v>
      </c>
      <c r="M4864" s="10" t="s">
        <v>30305</v>
      </c>
      <c r="N4864" s="10" t="s">
        <v>243</v>
      </c>
      <c r="O4864" s="12" t="s">
        <v>244</v>
      </c>
      <c r="P4864" s="10" t="s">
        <v>30180</v>
      </c>
      <c r="Q4864" s="10" t="s">
        <v>6831</v>
      </c>
      <c r="R4864" s="10" t="s">
        <v>247</v>
      </c>
      <c r="S4864" s="12" t="s">
        <v>30181</v>
      </c>
      <c r="T4864" s="10" t="s">
        <v>249</v>
      </c>
      <c r="U4864" s="12" t="s">
        <v>31</v>
      </c>
      <c r="V4864" s="10" t="s">
        <v>30306</v>
      </c>
      <c r="W4864" s="10" t="s">
        <v>30140</v>
      </c>
      <c r="X4864" s="13" t="str">
        <f>HYPERLINK("https://my.pitchbook.com?p=343397-08P","View People Online")</f>
        <v>View People Online</v>
      </c>
    </row>
    <row r="4865">
      <c r="A4865" s="14" t="s">
        <v>30307</v>
      </c>
      <c r="B4865" s="14" t="s">
        <v>30308</v>
      </c>
      <c r="C4865" s="14" t="s">
        <v>54</v>
      </c>
      <c r="D4865" s="14" t="s">
        <v>30309</v>
      </c>
      <c r="E4865" s="14" t="s">
        <v>30140</v>
      </c>
      <c r="F4865" s="14" t="s">
        <v>201</v>
      </c>
      <c r="G4865" s="14" t="s">
        <v>30310</v>
      </c>
      <c r="H4865" s="15" t="s">
        <v>31</v>
      </c>
      <c r="I4865" s="15">
        <v>1.0</v>
      </c>
      <c r="J4865" s="15">
        <v>1.0</v>
      </c>
      <c r="K4865" s="15" t="s">
        <v>31</v>
      </c>
      <c r="L4865" s="16" t="s">
        <v>30171</v>
      </c>
      <c r="M4865" s="14" t="s">
        <v>30311</v>
      </c>
      <c r="N4865" s="14" t="s">
        <v>1348</v>
      </c>
      <c r="O4865" s="16" t="s">
        <v>1349</v>
      </c>
      <c r="P4865" s="14" t="s">
        <v>30152</v>
      </c>
      <c r="Q4865" s="14" t="s">
        <v>30153</v>
      </c>
      <c r="R4865" s="14" t="s">
        <v>1018</v>
      </c>
      <c r="S4865" s="16" t="s">
        <v>30154</v>
      </c>
      <c r="T4865" s="14" t="s">
        <v>1019</v>
      </c>
      <c r="U4865" s="16" t="s">
        <v>31</v>
      </c>
      <c r="V4865" s="14" t="s">
        <v>201</v>
      </c>
      <c r="W4865" s="14" t="s">
        <v>30140</v>
      </c>
      <c r="X4865" s="17" t="str">
        <f>HYPERLINK("https://my.pitchbook.com?p=178891-21P","View People Online")</f>
        <v>View People Online</v>
      </c>
    </row>
    <row r="4866">
      <c r="A4866" s="10" t="s">
        <v>30312</v>
      </c>
      <c r="B4866" s="10" t="s">
        <v>30313</v>
      </c>
      <c r="C4866" s="10" t="s">
        <v>30314</v>
      </c>
      <c r="D4866" s="10" t="s">
        <v>30315</v>
      </c>
      <c r="E4866" s="10" t="s">
        <v>30140</v>
      </c>
      <c r="F4866" s="10" t="s">
        <v>1283</v>
      </c>
      <c r="G4866" s="10" t="s">
        <v>30316</v>
      </c>
      <c r="H4866" s="11" t="s">
        <v>31</v>
      </c>
      <c r="I4866" s="11">
        <v>1.0</v>
      </c>
      <c r="J4866" s="11">
        <v>1.0</v>
      </c>
      <c r="K4866" s="11" t="s">
        <v>31</v>
      </c>
      <c r="L4866" s="12" t="s">
        <v>30178</v>
      </c>
      <c r="M4866" s="10" t="s">
        <v>30317</v>
      </c>
      <c r="N4866" s="10" t="s">
        <v>243</v>
      </c>
      <c r="O4866" s="12" t="s">
        <v>244</v>
      </c>
      <c r="P4866" s="10" t="s">
        <v>30180</v>
      </c>
      <c r="Q4866" s="10" t="s">
        <v>6831</v>
      </c>
      <c r="R4866" s="10" t="s">
        <v>247</v>
      </c>
      <c r="S4866" s="12" t="s">
        <v>30181</v>
      </c>
      <c r="T4866" s="10" t="s">
        <v>249</v>
      </c>
      <c r="U4866" s="12" t="s">
        <v>31</v>
      </c>
      <c r="V4866" s="10" t="s">
        <v>30318</v>
      </c>
      <c r="W4866" s="10" t="s">
        <v>30140</v>
      </c>
      <c r="X4866" s="13" t="str">
        <f>HYPERLINK("https://my.pitchbook.com?p=421055-11P","View People Online")</f>
        <v>View People Online</v>
      </c>
    </row>
    <row r="4867">
      <c r="A4867" s="14" t="s">
        <v>30319</v>
      </c>
      <c r="B4867" s="14" t="s">
        <v>30320</v>
      </c>
      <c r="C4867" s="14" t="s">
        <v>30321</v>
      </c>
      <c r="D4867" s="14" t="s">
        <v>30322</v>
      </c>
      <c r="E4867" s="14" t="s">
        <v>30140</v>
      </c>
      <c r="F4867" s="14" t="s">
        <v>1283</v>
      </c>
      <c r="G4867" s="14" t="s">
        <v>30323</v>
      </c>
      <c r="H4867" s="15" t="s">
        <v>31</v>
      </c>
      <c r="I4867" s="15">
        <v>1.0</v>
      </c>
      <c r="J4867" s="15">
        <v>1.0</v>
      </c>
      <c r="K4867" s="15" t="s">
        <v>31</v>
      </c>
      <c r="L4867" s="16" t="s">
        <v>30178</v>
      </c>
      <c r="M4867" s="14" t="s">
        <v>30324</v>
      </c>
      <c r="N4867" s="14" t="s">
        <v>243</v>
      </c>
      <c r="O4867" s="16" t="s">
        <v>244</v>
      </c>
      <c r="P4867" s="14" t="s">
        <v>30180</v>
      </c>
      <c r="Q4867" s="14" t="s">
        <v>6831</v>
      </c>
      <c r="R4867" s="14" t="s">
        <v>247</v>
      </c>
      <c r="S4867" s="16" t="s">
        <v>30181</v>
      </c>
      <c r="T4867" s="14" t="s">
        <v>249</v>
      </c>
      <c r="U4867" s="16" t="s">
        <v>31</v>
      </c>
      <c r="V4867" s="14" t="s">
        <v>30216</v>
      </c>
      <c r="W4867" s="14" t="s">
        <v>30140</v>
      </c>
      <c r="X4867" s="17" t="str">
        <f>HYPERLINK("https://my.pitchbook.com?p=111331-81P","View People Online")</f>
        <v>View People Online</v>
      </c>
    </row>
    <row r="4868">
      <c r="A4868" s="2" t="s">
        <v>30325</v>
      </c>
      <c r="B4868" s="2" t="s">
        <v>30326</v>
      </c>
      <c r="C4868" s="2" t="s">
        <v>7116</v>
      </c>
      <c r="D4868" s="2" t="s">
        <v>30327</v>
      </c>
      <c r="E4868" s="2" t="s">
        <v>30140</v>
      </c>
      <c r="F4868" s="2" t="s">
        <v>2652</v>
      </c>
      <c r="G4868" s="2" t="s">
        <v>30328</v>
      </c>
      <c r="H4868" s="3" t="s">
        <v>31</v>
      </c>
      <c r="I4868" s="3">
        <v>3.0</v>
      </c>
      <c r="J4868" s="3">
        <v>1.0</v>
      </c>
      <c r="K4868" s="3">
        <v>1.0</v>
      </c>
      <c r="L4868" s="4" t="s">
        <v>30171</v>
      </c>
      <c r="M4868" s="2" t="s">
        <v>30329</v>
      </c>
      <c r="N4868" s="2" t="s">
        <v>1348</v>
      </c>
      <c r="O4868" s="4" t="s">
        <v>1349</v>
      </c>
      <c r="P4868" s="2" t="s">
        <v>30152</v>
      </c>
      <c r="Q4868" s="2" t="s">
        <v>30153</v>
      </c>
      <c r="R4868" s="2" t="s">
        <v>1018</v>
      </c>
      <c r="S4868" s="4" t="s">
        <v>30154</v>
      </c>
      <c r="T4868" s="2" t="s">
        <v>1019</v>
      </c>
      <c r="U4868" s="4" t="s">
        <v>31</v>
      </c>
      <c r="V4868" s="2" t="s">
        <v>30330</v>
      </c>
      <c r="W4868" s="2" t="s">
        <v>30140</v>
      </c>
      <c r="X4868" s="5" t="str">
        <f>HYPERLINK("https://my.pitchbook.com?p=186382-45P","View People Online")</f>
        <v>View People Online</v>
      </c>
    </row>
    <row r="4869">
      <c r="A4869" s="14" t="s">
        <v>30331</v>
      </c>
      <c r="B4869" s="14" t="s">
        <v>30332</v>
      </c>
      <c r="C4869" s="14" t="s">
        <v>7116</v>
      </c>
      <c r="D4869" s="14" t="s">
        <v>30333</v>
      </c>
      <c r="E4869" s="14" t="s">
        <v>30140</v>
      </c>
      <c r="F4869" s="14" t="s">
        <v>1283</v>
      </c>
      <c r="G4869" s="14" t="s">
        <v>30334</v>
      </c>
      <c r="H4869" s="15" t="s">
        <v>31</v>
      </c>
      <c r="I4869" s="15">
        <v>1.0</v>
      </c>
      <c r="J4869" s="15">
        <v>1.0</v>
      </c>
      <c r="K4869" s="15" t="s">
        <v>31</v>
      </c>
      <c r="L4869" s="16" t="s">
        <v>30272</v>
      </c>
      <c r="M4869" s="14" t="s">
        <v>30335</v>
      </c>
      <c r="N4869" s="14" t="s">
        <v>75</v>
      </c>
      <c r="O4869" s="16" t="s">
        <v>76</v>
      </c>
      <c r="P4869" s="14" t="s">
        <v>30215</v>
      </c>
      <c r="Q4869" s="14" t="s">
        <v>24925</v>
      </c>
      <c r="R4869" s="14" t="s">
        <v>75</v>
      </c>
      <c r="S4869" s="16" t="s">
        <v>1432</v>
      </c>
      <c r="T4869" s="14" t="s">
        <v>66</v>
      </c>
      <c r="U4869" s="16" t="s">
        <v>31</v>
      </c>
      <c r="V4869" s="14" t="s">
        <v>30336</v>
      </c>
      <c r="W4869" s="14" t="s">
        <v>30140</v>
      </c>
      <c r="X4869" s="17" t="str">
        <f>HYPERLINK("https://my.pitchbook.com?p=421123-15P","View People Online")</f>
        <v>View People Online</v>
      </c>
    </row>
    <row r="4870">
      <c r="A4870" s="2" t="s">
        <v>30337</v>
      </c>
      <c r="B4870" s="2" t="s">
        <v>30338</v>
      </c>
      <c r="C4870" s="2" t="s">
        <v>7116</v>
      </c>
      <c r="D4870" s="2" t="s">
        <v>6734</v>
      </c>
      <c r="E4870" s="2" t="s">
        <v>30140</v>
      </c>
      <c r="F4870" s="2" t="s">
        <v>2652</v>
      </c>
      <c r="G4870" s="2" t="s">
        <v>30339</v>
      </c>
      <c r="H4870" s="3">
        <v>1.0</v>
      </c>
      <c r="I4870" s="3">
        <v>4.0</v>
      </c>
      <c r="J4870" s="3">
        <v>1.0</v>
      </c>
      <c r="K4870" s="3">
        <v>2.0</v>
      </c>
      <c r="L4870" s="4" t="s">
        <v>30340</v>
      </c>
      <c r="M4870" s="2" t="s">
        <v>30341</v>
      </c>
      <c r="N4870" s="2" t="s">
        <v>243</v>
      </c>
      <c r="O4870" s="4" t="s">
        <v>244</v>
      </c>
      <c r="P4870" s="2" t="s">
        <v>30180</v>
      </c>
      <c r="Q4870" s="2" t="s">
        <v>6831</v>
      </c>
      <c r="R4870" s="2" t="s">
        <v>247</v>
      </c>
      <c r="S4870" s="4" t="s">
        <v>30181</v>
      </c>
      <c r="T4870" s="2" t="s">
        <v>249</v>
      </c>
      <c r="U4870" s="4" t="s">
        <v>31</v>
      </c>
      <c r="V4870" s="2" t="s">
        <v>30342</v>
      </c>
      <c r="W4870" s="2" t="s">
        <v>30140</v>
      </c>
      <c r="X4870" s="5" t="str">
        <f>HYPERLINK("https://my.pitchbook.com?p=15381-01P","View People Online")</f>
        <v>View People Online</v>
      </c>
    </row>
    <row r="4871">
      <c r="A4871" s="14" t="s">
        <v>30343</v>
      </c>
      <c r="B4871" s="14" t="s">
        <v>30344</v>
      </c>
      <c r="C4871" s="14" t="s">
        <v>6326</v>
      </c>
      <c r="D4871" s="14" t="s">
        <v>30345</v>
      </c>
      <c r="E4871" s="14" t="s">
        <v>30140</v>
      </c>
      <c r="F4871" s="14" t="s">
        <v>2652</v>
      </c>
      <c r="G4871" s="14" t="s">
        <v>30346</v>
      </c>
      <c r="H4871" s="15" t="s">
        <v>31</v>
      </c>
      <c r="I4871" s="15">
        <v>26.0</v>
      </c>
      <c r="J4871" s="15">
        <v>1.0</v>
      </c>
      <c r="K4871" s="15">
        <v>23.0</v>
      </c>
      <c r="L4871" s="16" t="s">
        <v>30347</v>
      </c>
      <c r="M4871" s="14" t="s">
        <v>30348</v>
      </c>
      <c r="N4871" s="14" t="s">
        <v>1348</v>
      </c>
      <c r="O4871" s="16" t="s">
        <v>1349</v>
      </c>
      <c r="P4871" s="14" t="s">
        <v>30152</v>
      </c>
      <c r="Q4871" s="14" t="s">
        <v>30153</v>
      </c>
      <c r="R4871" s="14" t="s">
        <v>1018</v>
      </c>
      <c r="S4871" s="16" t="s">
        <v>30154</v>
      </c>
      <c r="T4871" s="14" t="s">
        <v>1019</v>
      </c>
      <c r="U4871" s="16" t="s">
        <v>31</v>
      </c>
      <c r="V4871" s="14" t="s">
        <v>30349</v>
      </c>
      <c r="W4871" s="14" t="s">
        <v>30140</v>
      </c>
      <c r="X4871" s="17" t="str">
        <f>HYPERLINK("https://my.pitchbook.com?p=33649-57P","View People Online")</f>
        <v>View People Online</v>
      </c>
    </row>
    <row r="4872">
      <c r="A4872" s="10" t="s">
        <v>30350</v>
      </c>
      <c r="B4872" s="10" t="s">
        <v>30351</v>
      </c>
      <c r="C4872" s="10" t="s">
        <v>4879</v>
      </c>
      <c r="D4872" s="10" t="s">
        <v>30352</v>
      </c>
      <c r="E4872" s="10" t="s">
        <v>30140</v>
      </c>
      <c r="F4872" s="10" t="s">
        <v>11160</v>
      </c>
      <c r="G4872" s="10" t="s">
        <v>30353</v>
      </c>
      <c r="H4872" s="11">
        <v>1.0</v>
      </c>
      <c r="I4872" s="11">
        <v>2.0</v>
      </c>
      <c r="J4872" s="11">
        <v>1.0</v>
      </c>
      <c r="K4872" s="11" t="s">
        <v>31</v>
      </c>
      <c r="L4872" s="12" t="s">
        <v>30171</v>
      </c>
      <c r="M4872" s="10" t="s">
        <v>30354</v>
      </c>
      <c r="N4872" s="10" t="s">
        <v>1348</v>
      </c>
      <c r="O4872" s="12" t="s">
        <v>1349</v>
      </c>
      <c r="P4872" s="10" t="s">
        <v>30152</v>
      </c>
      <c r="Q4872" s="10" t="s">
        <v>30153</v>
      </c>
      <c r="R4872" s="10" t="s">
        <v>1018</v>
      </c>
      <c r="S4872" s="12" t="s">
        <v>30154</v>
      </c>
      <c r="T4872" s="10" t="s">
        <v>1019</v>
      </c>
      <c r="U4872" s="12" t="s">
        <v>31</v>
      </c>
      <c r="V4872" s="10" t="s">
        <v>30355</v>
      </c>
      <c r="W4872" s="10" t="s">
        <v>30140</v>
      </c>
      <c r="X4872" s="13" t="str">
        <f>HYPERLINK("https://my.pitchbook.com?p=62947-72P","View People Online")</f>
        <v>View People Online</v>
      </c>
    </row>
    <row r="4873">
      <c r="A4873" s="14" t="s">
        <v>30356</v>
      </c>
      <c r="B4873" s="14" t="s">
        <v>30357</v>
      </c>
      <c r="C4873" s="14" t="s">
        <v>30358</v>
      </c>
      <c r="D4873" s="14" t="s">
        <v>11569</v>
      </c>
      <c r="E4873" s="14" t="s">
        <v>30140</v>
      </c>
      <c r="F4873" s="14" t="s">
        <v>318</v>
      </c>
      <c r="G4873" s="14" t="s">
        <v>30359</v>
      </c>
      <c r="H4873" s="15" t="s">
        <v>31</v>
      </c>
      <c r="I4873" s="15">
        <v>1.0</v>
      </c>
      <c r="J4873" s="15">
        <v>1.0</v>
      </c>
      <c r="K4873" s="15" t="s">
        <v>31</v>
      </c>
      <c r="L4873" s="16" t="s">
        <v>30178</v>
      </c>
      <c r="M4873" s="14" t="s">
        <v>30360</v>
      </c>
      <c r="N4873" s="14" t="s">
        <v>243</v>
      </c>
      <c r="O4873" s="16" t="s">
        <v>244</v>
      </c>
      <c r="P4873" s="14" t="s">
        <v>30180</v>
      </c>
      <c r="Q4873" s="14" t="s">
        <v>6831</v>
      </c>
      <c r="R4873" s="14" t="s">
        <v>247</v>
      </c>
      <c r="S4873" s="16" t="s">
        <v>30181</v>
      </c>
      <c r="T4873" s="14" t="s">
        <v>249</v>
      </c>
      <c r="U4873" s="16" t="s">
        <v>31</v>
      </c>
      <c r="V4873" s="14" t="s">
        <v>30361</v>
      </c>
      <c r="W4873" s="14" t="s">
        <v>30140</v>
      </c>
      <c r="X4873" s="17" t="str">
        <f>HYPERLINK("https://my.pitchbook.com?p=245313-19P","View People Online")</f>
        <v>View People Online</v>
      </c>
    </row>
    <row r="4874">
      <c r="A4874" s="2" t="s">
        <v>30362</v>
      </c>
      <c r="B4874" s="2" t="s">
        <v>30363</v>
      </c>
      <c r="C4874" s="2" t="s">
        <v>443</v>
      </c>
      <c r="D4874" s="2" t="s">
        <v>30364</v>
      </c>
      <c r="E4874" s="2" t="s">
        <v>30140</v>
      </c>
      <c r="F4874" s="2" t="s">
        <v>2652</v>
      </c>
      <c r="G4874" s="2" t="s">
        <v>30365</v>
      </c>
      <c r="H4874" s="3">
        <v>2.0</v>
      </c>
      <c r="I4874" s="3">
        <v>3.0</v>
      </c>
      <c r="J4874" s="3">
        <v>1.0</v>
      </c>
      <c r="K4874" s="3" t="s">
        <v>31</v>
      </c>
      <c r="L4874" s="4" t="s">
        <v>30366</v>
      </c>
      <c r="M4874" s="2" t="s">
        <v>30367</v>
      </c>
      <c r="N4874" s="2" t="s">
        <v>1348</v>
      </c>
      <c r="O4874" s="4" t="s">
        <v>1349</v>
      </c>
      <c r="P4874" s="2" t="s">
        <v>30152</v>
      </c>
      <c r="Q4874" s="2" t="s">
        <v>30153</v>
      </c>
      <c r="R4874" s="2" t="s">
        <v>1018</v>
      </c>
      <c r="S4874" s="4" t="s">
        <v>30154</v>
      </c>
      <c r="T4874" s="2" t="s">
        <v>1019</v>
      </c>
      <c r="U4874" s="4" t="s">
        <v>31</v>
      </c>
      <c r="V4874" s="2" t="s">
        <v>30368</v>
      </c>
      <c r="W4874" s="2" t="s">
        <v>30140</v>
      </c>
      <c r="X4874" s="5" t="str">
        <f>HYPERLINK("https://my.pitchbook.com?p=220484-08P","View People Online")</f>
        <v>View People Online</v>
      </c>
    </row>
    <row r="4875">
      <c r="A4875" s="14" t="s">
        <v>30369</v>
      </c>
      <c r="B4875" s="14" t="s">
        <v>30370</v>
      </c>
      <c r="C4875" s="14" t="s">
        <v>15104</v>
      </c>
      <c r="D4875" s="14" t="s">
        <v>8863</v>
      </c>
      <c r="E4875" s="14" t="s">
        <v>30140</v>
      </c>
      <c r="F4875" s="14" t="s">
        <v>1283</v>
      </c>
      <c r="G4875" s="14" t="s">
        <v>30371</v>
      </c>
      <c r="H4875" s="15" t="s">
        <v>31</v>
      </c>
      <c r="I4875" s="15">
        <v>1.0</v>
      </c>
      <c r="J4875" s="15">
        <v>1.0</v>
      </c>
      <c r="K4875" s="15" t="s">
        <v>31</v>
      </c>
      <c r="L4875" s="16" t="s">
        <v>30171</v>
      </c>
      <c r="M4875" s="14" t="s">
        <v>30372</v>
      </c>
      <c r="N4875" s="14" t="s">
        <v>1348</v>
      </c>
      <c r="O4875" s="16" t="s">
        <v>1349</v>
      </c>
      <c r="P4875" s="14" t="s">
        <v>30152</v>
      </c>
      <c r="Q4875" s="14" t="s">
        <v>30153</v>
      </c>
      <c r="R4875" s="14" t="s">
        <v>1018</v>
      </c>
      <c r="S4875" s="16" t="s">
        <v>30154</v>
      </c>
      <c r="T4875" s="14" t="s">
        <v>1019</v>
      </c>
      <c r="U4875" s="16" t="s">
        <v>31</v>
      </c>
      <c r="V4875" s="14" t="s">
        <v>30373</v>
      </c>
      <c r="W4875" s="14" t="s">
        <v>30140</v>
      </c>
      <c r="X4875" s="17" t="str">
        <f>HYPERLINK("https://my.pitchbook.com?p=401534-29P","View People Online")</f>
        <v>View People Online</v>
      </c>
    </row>
    <row r="4876">
      <c r="A4876" s="10" t="s">
        <v>30374</v>
      </c>
      <c r="B4876" s="10" t="s">
        <v>30375</v>
      </c>
      <c r="C4876" s="10" t="s">
        <v>30376</v>
      </c>
      <c r="D4876" s="10" t="s">
        <v>30377</v>
      </c>
      <c r="E4876" s="10" t="s">
        <v>30140</v>
      </c>
      <c r="F4876" s="10" t="s">
        <v>1283</v>
      </c>
      <c r="G4876" s="10" t="s">
        <v>30378</v>
      </c>
      <c r="H4876" s="11" t="s">
        <v>31</v>
      </c>
      <c r="I4876" s="11">
        <v>1.0</v>
      </c>
      <c r="J4876" s="11">
        <v>1.0</v>
      </c>
      <c r="K4876" s="11" t="s">
        <v>31</v>
      </c>
      <c r="L4876" s="12" t="s">
        <v>30178</v>
      </c>
      <c r="M4876" s="10" t="s">
        <v>30379</v>
      </c>
      <c r="N4876" s="10" t="s">
        <v>243</v>
      </c>
      <c r="O4876" s="12" t="s">
        <v>244</v>
      </c>
      <c r="P4876" s="10" t="s">
        <v>30180</v>
      </c>
      <c r="Q4876" s="10" t="s">
        <v>6831</v>
      </c>
      <c r="R4876" s="10" t="s">
        <v>247</v>
      </c>
      <c r="S4876" s="12" t="s">
        <v>30181</v>
      </c>
      <c r="T4876" s="10" t="s">
        <v>249</v>
      </c>
      <c r="U4876" s="12" t="s">
        <v>31</v>
      </c>
      <c r="V4876" s="10" t="s">
        <v>24417</v>
      </c>
      <c r="W4876" s="10" t="s">
        <v>30140</v>
      </c>
      <c r="X4876" s="13" t="str">
        <f>HYPERLINK("https://my.pitchbook.com?p=421124-05P","View People Online")</f>
        <v>View People Online</v>
      </c>
    </row>
    <row r="4877">
      <c r="A4877" s="14" t="s">
        <v>30380</v>
      </c>
      <c r="B4877" s="14" t="s">
        <v>30381</v>
      </c>
      <c r="C4877" s="14" t="s">
        <v>30382</v>
      </c>
      <c r="D4877" s="14" t="s">
        <v>30383</v>
      </c>
      <c r="E4877" s="14" t="s">
        <v>30140</v>
      </c>
      <c r="F4877" s="14" t="s">
        <v>1283</v>
      </c>
      <c r="G4877" s="14" t="s">
        <v>30384</v>
      </c>
      <c r="H4877" s="15" t="s">
        <v>31</v>
      </c>
      <c r="I4877" s="15">
        <v>1.0</v>
      </c>
      <c r="J4877" s="15">
        <v>1.0</v>
      </c>
      <c r="K4877" s="15" t="s">
        <v>31</v>
      </c>
      <c r="L4877" s="16" t="s">
        <v>30161</v>
      </c>
      <c r="M4877" s="14" t="s">
        <v>30385</v>
      </c>
      <c r="N4877" s="14" t="s">
        <v>3603</v>
      </c>
      <c r="O4877" s="16" t="s">
        <v>3604</v>
      </c>
      <c r="P4877" s="14" t="s">
        <v>30163</v>
      </c>
      <c r="Q4877" s="14" t="s">
        <v>30164</v>
      </c>
      <c r="R4877" s="14" t="s">
        <v>31</v>
      </c>
      <c r="S4877" s="16" t="s">
        <v>31</v>
      </c>
      <c r="T4877" s="14" t="s">
        <v>3603</v>
      </c>
      <c r="U4877" s="16" t="s">
        <v>31</v>
      </c>
      <c r="V4877" s="14" t="s">
        <v>30386</v>
      </c>
      <c r="W4877" s="14" t="s">
        <v>30140</v>
      </c>
      <c r="X4877" s="17" t="str">
        <f>HYPERLINK("https://my.pitchbook.com?p=421124-95P","View People Online")</f>
        <v>View People Online</v>
      </c>
    </row>
    <row r="4878">
      <c r="A4878" s="2" t="s">
        <v>30387</v>
      </c>
      <c r="B4878" s="2" t="s">
        <v>30388</v>
      </c>
      <c r="C4878" s="2" t="s">
        <v>1437</v>
      </c>
      <c r="D4878" s="2" t="s">
        <v>30389</v>
      </c>
      <c r="E4878" s="2" t="s">
        <v>30140</v>
      </c>
      <c r="F4878" s="2" t="s">
        <v>1283</v>
      </c>
      <c r="G4878" s="2" t="s">
        <v>30390</v>
      </c>
      <c r="H4878" s="3" t="s">
        <v>31</v>
      </c>
      <c r="I4878" s="3">
        <v>1.0</v>
      </c>
      <c r="J4878" s="3">
        <v>1.0</v>
      </c>
      <c r="K4878" s="3" t="s">
        <v>31</v>
      </c>
      <c r="L4878" s="4" t="s">
        <v>30171</v>
      </c>
      <c r="M4878" s="2" t="s">
        <v>30391</v>
      </c>
      <c r="N4878" s="2" t="s">
        <v>1348</v>
      </c>
      <c r="O4878" s="4" t="s">
        <v>1349</v>
      </c>
      <c r="P4878" s="2" t="s">
        <v>30152</v>
      </c>
      <c r="Q4878" s="2" t="s">
        <v>30153</v>
      </c>
      <c r="R4878" s="2" t="s">
        <v>1018</v>
      </c>
      <c r="S4878" s="4" t="s">
        <v>30154</v>
      </c>
      <c r="T4878" s="2" t="s">
        <v>1019</v>
      </c>
      <c r="U4878" s="4" t="s">
        <v>31</v>
      </c>
      <c r="V4878" s="2" t="s">
        <v>30182</v>
      </c>
      <c r="W4878" s="2" t="s">
        <v>30140</v>
      </c>
      <c r="X4878" s="5" t="str">
        <f>HYPERLINK("https://my.pitchbook.com?p=447600-07P","View People Online")</f>
        <v>View People Online</v>
      </c>
    </row>
    <row r="4879">
      <c r="A4879" s="14" t="s">
        <v>30392</v>
      </c>
      <c r="B4879" s="14" t="s">
        <v>30393</v>
      </c>
      <c r="C4879" s="14" t="s">
        <v>1437</v>
      </c>
      <c r="D4879" s="14" t="s">
        <v>30394</v>
      </c>
      <c r="E4879" s="14" t="s">
        <v>30140</v>
      </c>
      <c r="F4879" s="14" t="s">
        <v>2652</v>
      </c>
      <c r="G4879" s="14" t="s">
        <v>30395</v>
      </c>
      <c r="H4879" s="15" t="s">
        <v>31</v>
      </c>
      <c r="I4879" s="15">
        <v>1.0</v>
      </c>
      <c r="J4879" s="15">
        <v>1.0</v>
      </c>
      <c r="K4879" s="15" t="s">
        <v>31</v>
      </c>
      <c r="L4879" s="16" t="s">
        <v>30171</v>
      </c>
      <c r="M4879" s="14" t="s">
        <v>30396</v>
      </c>
      <c r="N4879" s="14" t="s">
        <v>1348</v>
      </c>
      <c r="O4879" s="16" t="s">
        <v>1349</v>
      </c>
      <c r="P4879" s="14" t="s">
        <v>30152</v>
      </c>
      <c r="Q4879" s="14" t="s">
        <v>30153</v>
      </c>
      <c r="R4879" s="14" t="s">
        <v>1018</v>
      </c>
      <c r="S4879" s="16" t="s">
        <v>30154</v>
      </c>
      <c r="T4879" s="14" t="s">
        <v>1019</v>
      </c>
      <c r="U4879" s="16" t="s">
        <v>31</v>
      </c>
      <c r="V4879" s="14" t="s">
        <v>30397</v>
      </c>
      <c r="W4879" s="14" t="s">
        <v>30140</v>
      </c>
      <c r="X4879" s="17" t="str">
        <f>HYPERLINK("https://my.pitchbook.com?p=155858-95P","View People Online")</f>
        <v>View People Online</v>
      </c>
    </row>
    <row r="4880">
      <c r="A4880" s="2" t="s">
        <v>30398</v>
      </c>
      <c r="B4880" s="2" t="s">
        <v>30399</v>
      </c>
      <c r="C4880" s="2" t="s">
        <v>1437</v>
      </c>
      <c r="D4880" s="2" t="s">
        <v>30400</v>
      </c>
      <c r="E4880" s="2" t="s">
        <v>30140</v>
      </c>
      <c r="F4880" s="2" t="s">
        <v>1283</v>
      </c>
      <c r="G4880" s="2" t="s">
        <v>30401</v>
      </c>
      <c r="H4880" s="3" t="s">
        <v>31</v>
      </c>
      <c r="I4880" s="3">
        <v>1.0</v>
      </c>
      <c r="J4880" s="3">
        <v>1.0</v>
      </c>
      <c r="K4880" s="3" t="s">
        <v>31</v>
      </c>
      <c r="L4880" s="4" t="s">
        <v>30171</v>
      </c>
      <c r="M4880" s="2" t="s">
        <v>30402</v>
      </c>
      <c r="N4880" s="2" t="s">
        <v>1348</v>
      </c>
      <c r="O4880" s="4" t="s">
        <v>1349</v>
      </c>
      <c r="P4880" s="2" t="s">
        <v>30152</v>
      </c>
      <c r="Q4880" s="2" t="s">
        <v>30153</v>
      </c>
      <c r="R4880" s="2" t="s">
        <v>1018</v>
      </c>
      <c r="S4880" s="4" t="s">
        <v>30154</v>
      </c>
      <c r="T4880" s="2" t="s">
        <v>1019</v>
      </c>
      <c r="U4880" s="4" t="s">
        <v>31</v>
      </c>
      <c r="V4880" s="2" t="s">
        <v>30403</v>
      </c>
      <c r="W4880" s="2" t="s">
        <v>30140</v>
      </c>
      <c r="X4880" s="5" t="str">
        <f>HYPERLINK("https://my.pitchbook.com?p=40966-57P","View People Online")</f>
        <v>View People Online</v>
      </c>
    </row>
    <row r="4881">
      <c r="A4881" s="14" t="s">
        <v>30404</v>
      </c>
      <c r="B4881" s="14" t="s">
        <v>30405</v>
      </c>
      <c r="C4881" s="14" t="s">
        <v>4911</v>
      </c>
      <c r="D4881" s="14" t="s">
        <v>2801</v>
      </c>
      <c r="E4881" s="14" t="s">
        <v>30140</v>
      </c>
      <c r="F4881" s="14" t="s">
        <v>2652</v>
      </c>
      <c r="G4881" s="14" t="s">
        <v>30406</v>
      </c>
      <c r="H4881" s="15">
        <v>1.0</v>
      </c>
      <c r="I4881" s="15">
        <v>2.0</v>
      </c>
      <c r="J4881" s="15">
        <v>1.0</v>
      </c>
      <c r="K4881" s="15" t="s">
        <v>31</v>
      </c>
      <c r="L4881" s="16" t="s">
        <v>30178</v>
      </c>
      <c r="M4881" s="14" t="s">
        <v>30407</v>
      </c>
      <c r="N4881" s="14" t="s">
        <v>243</v>
      </c>
      <c r="O4881" s="16" t="s">
        <v>244</v>
      </c>
      <c r="P4881" s="14" t="s">
        <v>30180</v>
      </c>
      <c r="Q4881" s="14" t="s">
        <v>6831</v>
      </c>
      <c r="R4881" s="14" t="s">
        <v>247</v>
      </c>
      <c r="S4881" s="16" t="s">
        <v>30181</v>
      </c>
      <c r="T4881" s="14" t="s">
        <v>249</v>
      </c>
      <c r="U4881" s="16" t="s">
        <v>31</v>
      </c>
      <c r="V4881" s="14" t="s">
        <v>30408</v>
      </c>
      <c r="W4881" s="14" t="s">
        <v>30140</v>
      </c>
      <c r="X4881" s="17" t="str">
        <f>HYPERLINK("https://my.pitchbook.com?p=258373-09P","View People Online")</f>
        <v>View People Online</v>
      </c>
    </row>
    <row r="4882">
      <c r="A4882" s="2" t="s">
        <v>30409</v>
      </c>
      <c r="B4882" s="2" t="s">
        <v>30410</v>
      </c>
      <c r="C4882" s="2" t="s">
        <v>731</v>
      </c>
      <c r="D4882" s="2" t="s">
        <v>30411</v>
      </c>
      <c r="E4882" s="2" t="s">
        <v>30140</v>
      </c>
      <c r="F4882" s="2" t="s">
        <v>1283</v>
      </c>
      <c r="G4882" s="2" t="s">
        <v>30412</v>
      </c>
      <c r="H4882" s="3" t="s">
        <v>31</v>
      </c>
      <c r="I4882" s="3">
        <v>1.0</v>
      </c>
      <c r="J4882" s="3">
        <v>1.0</v>
      </c>
      <c r="K4882" s="3" t="s">
        <v>31</v>
      </c>
      <c r="L4882" s="4" t="s">
        <v>30178</v>
      </c>
      <c r="M4882" s="2" t="s">
        <v>30413</v>
      </c>
      <c r="N4882" s="2" t="s">
        <v>243</v>
      </c>
      <c r="O4882" s="4" t="s">
        <v>244</v>
      </c>
      <c r="P4882" s="2" t="s">
        <v>30180</v>
      </c>
      <c r="Q4882" s="2" t="s">
        <v>6831</v>
      </c>
      <c r="R4882" s="2" t="s">
        <v>247</v>
      </c>
      <c r="S4882" s="4" t="s">
        <v>30181</v>
      </c>
      <c r="T4882" s="2" t="s">
        <v>249</v>
      </c>
      <c r="U4882" s="4" t="s">
        <v>31</v>
      </c>
      <c r="V4882" s="2" t="s">
        <v>30216</v>
      </c>
      <c r="W4882" s="2" t="s">
        <v>30140</v>
      </c>
      <c r="X4882" s="5" t="str">
        <f>HYPERLINK("https://my.pitchbook.com?p=421128-46P","View People Online")</f>
        <v>View People Online</v>
      </c>
    </row>
    <row r="4883">
      <c r="A4883" s="14" t="s">
        <v>30414</v>
      </c>
      <c r="B4883" s="14" t="s">
        <v>30415</v>
      </c>
      <c r="C4883" s="14" t="s">
        <v>30416</v>
      </c>
      <c r="D4883" s="14" t="s">
        <v>19677</v>
      </c>
      <c r="E4883" s="14" t="s">
        <v>30140</v>
      </c>
      <c r="F4883" s="14" t="s">
        <v>2652</v>
      </c>
      <c r="G4883" s="14" t="s">
        <v>30417</v>
      </c>
      <c r="H4883" s="15" t="s">
        <v>31</v>
      </c>
      <c r="I4883" s="15">
        <v>1.0</v>
      </c>
      <c r="J4883" s="15">
        <v>1.0</v>
      </c>
      <c r="K4883" s="15" t="s">
        <v>31</v>
      </c>
      <c r="L4883" s="16" t="s">
        <v>30171</v>
      </c>
      <c r="M4883" s="14" t="s">
        <v>30418</v>
      </c>
      <c r="N4883" s="14" t="s">
        <v>1348</v>
      </c>
      <c r="O4883" s="16" t="s">
        <v>1349</v>
      </c>
      <c r="P4883" s="14" t="s">
        <v>30152</v>
      </c>
      <c r="Q4883" s="14" t="s">
        <v>30153</v>
      </c>
      <c r="R4883" s="14" t="s">
        <v>1018</v>
      </c>
      <c r="S4883" s="16" t="s">
        <v>30154</v>
      </c>
      <c r="T4883" s="14" t="s">
        <v>1019</v>
      </c>
      <c r="U4883" s="16" t="s">
        <v>31</v>
      </c>
      <c r="V4883" s="14" t="s">
        <v>30419</v>
      </c>
      <c r="W4883" s="14" t="s">
        <v>30140</v>
      </c>
      <c r="X4883" s="17" t="str">
        <f>HYPERLINK("https://my.pitchbook.com?p=326036-53P","View People Online")</f>
        <v>View People Online</v>
      </c>
    </row>
    <row r="4884">
      <c r="A4884" s="2" t="s">
        <v>30420</v>
      </c>
      <c r="B4884" s="2" t="s">
        <v>30421</v>
      </c>
      <c r="C4884" s="2" t="s">
        <v>30422</v>
      </c>
      <c r="D4884" s="2" t="s">
        <v>7465</v>
      </c>
      <c r="E4884" s="2" t="s">
        <v>30140</v>
      </c>
      <c r="F4884" s="2" t="s">
        <v>318</v>
      </c>
      <c r="G4884" s="2" t="s">
        <v>30423</v>
      </c>
      <c r="H4884" s="3" t="s">
        <v>31</v>
      </c>
      <c r="I4884" s="3">
        <v>2.0</v>
      </c>
      <c r="J4884" s="3">
        <v>1.0</v>
      </c>
      <c r="K4884" s="3">
        <v>1.0</v>
      </c>
      <c r="L4884" s="4" t="s">
        <v>30171</v>
      </c>
      <c r="M4884" s="2" t="s">
        <v>30424</v>
      </c>
      <c r="N4884" s="2" t="s">
        <v>1348</v>
      </c>
      <c r="O4884" s="4" t="s">
        <v>1349</v>
      </c>
      <c r="P4884" s="2" t="s">
        <v>30152</v>
      </c>
      <c r="Q4884" s="2" t="s">
        <v>30153</v>
      </c>
      <c r="R4884" s="2" t="s">
        <v>1018</v>
      </c>
      <c r="S4884" s="4" t="s">
        <v>30154</v>
      </c>
      <c r="T4884" s="2" t="s">
        <v>1019</v>
      </c>
      <c r="U4884" s="4" t="s">
        <v>31</v>
      </c>
      <c r="V4884" s="2" t="s">
        <v>318</v>
      </c>
      <c r="W4884" s="2" t="s">
        <v>30140</v>
      </c>
      <c r="X4884" s="5" t="str">
        <f>HYPERLINK("https://my.pitchbook.com?p=135344-80P","View People Online")</f>
        <v>View People Online</v>
      </c>
    </row>
    <row r="4885">
      <c r="A4885" s="6" t="s">
        <v>30425</v>
      </c>
      <c r="B4885" s="6" t="s">
        <v>30426</v>
      </c>
      <c r="C4885" s="6" t="s">
        <v>12792</v>
      </c>
      <c r="D4885" s="6" t="s">
        <v>30427</v>
      </c>
      <c r="E4885" s="6" t="s">
        <v>30140</v>
      </c>
      <c r="F4885" s="6" t="s">
        <v>1283</v>
      </c>
      <c r="G4885" s="6" t="s">
        <v>30428</v>
      </c>
      <c r="H4885" s="7" t="s">
        <v>31</v>
      </c>
      <c r="I4885" s="7">
        <v>1.0</v>
      </c>
      <c r="J4885" s="7">
        <v>1.0</v>
      </c>
      <c r="K4885" s="7" t="s">
        <v>31</v>
      </c>
      <c r="L4885" s="8" t="s">
        <v>30178</v>
      </c>
      <c r="M4885" s="6" t="s">
        <v>30429</v>
      </c>
      <c r="N4885" s="6" t="s">
        <v>243</v>
      </c>
      <c r="O4885" s="8" t="s">
        <v>244</v>
      </c>
      <c r="P4885" s="6" t="s">
        <v>30180</v>
      </c>
      <c r="Q4885" s="6" t="s">
        <v>6831</v>
      </c>
      <c r="R4885" s="6" t="s">
        <v>247</v>
      </c>
      <c r="S4885" s="8" t="s">
        <v>30181</v>
      </c>
      <c r="T4885" s="6" t="s">
        <v>249</v>
      </c>
      <c r="U4885" s="8" t="s">
        <v>31</v>
      </c>
      <c r="V4885" s="6" t="s">
        <v>30182</v>
      </c>
      <c r="W4885" s="6" t="s">
        <v>30140</v>
      </c>
      <c r="X4885" s="9" t="str">
        <f>HYPERLINK("https://my.pitchbook.com?p=447598-81P","View People Online")</f>
        <v>View People Online</v>
      </c>
    </row>
    <row r="4886">
      <c r="A4886" s="2" t="s">
        <v>30430</v>
      </c>
      <c r="B4886" s="2" t="s">
        <v>30431</v>
      </c>
      <c r="C4886" s="2" t="s">
        <v>6626</v>
      </c>
      <c r="D4886" s="2" t="s">
        <v>13523</v>
      </c>
      <c r="E4886" s="2" t="s">
        <v>30140</v>
      </c>
      <c r="F4886" s="2" t="s">
        <v>1283</v>
      </c>
      <c r="G4886" s="2" t="s">
        <v>30432</v>
      </c>
      <c r="H4886" s="3" t="s">
        <v>31</v>
      </c>
      <c r="I4886" s="3">
        <v>1.0</v>
      </c>
      <c r="J4886" s="3">
        <v>1.0</v>
      </c>
      <c r="K4886" s="3" t="s">
        <v>31</v>
      </c>
      <c r="L4886" s="4" t="s">
        <v>30171</v>
      </c>
      <c r="M4886" s="2" t="s">
        <v>30433</v>
      </c>
      <c r="N4886" s="2" t="s">
        <v>1348</v>
      </c>
      <c r="O4886" s="4" t="s">
        <v>1349</v>
      </c>
      <c r="P4886" s="2" t="s">
        <v>30152</v>
      </c>
      <c r="Q4886" s="2" t="s">
        <v>30153</v>
      </c>
      <c r="R4886" s="2" t="s">
        <v>1018</v>
      </c>
      <c r="S4886" s="4" t="s">
        <v>30154</v>
      </c>
      <c r="T4886" s="2" t="s">
        <v>1019</v>
      </c>
      <c r="U4886" s="4" t="s">
        <v>31</v>
      </c>
      <c r="V4886" s="2" t="s">
        <v>30182</v>
      </c>
      <c r="W4886" s="2" t="s">
        <v>30140</v>
      </c>
      <c r="X4886" s="5" t="str">
        <f>HYPERLINK("https://my.pitchbook.com?p=447594-04P","View People Online")</f>
        <v>View People Online</v>
      </c>
    </row>
    <row r="4887">
      <c r="A4887" s="14" t="s">
        <v>30434</v>
      </c>
      <c r="B4887" s="14" t="s">
        <v>30435</v>
      </c>
      <c r="C4887" s="14" t="s">
        <v>30436</v>
      </c>
      <c r="D4887" s="14" t="s">
        <v>30437</v>
      </c>
      <c r="E4887" s="14" t="s">
        <v>30140</v>
      </c>
      <c r="F4887" s="14" t="s">
        <v>2652</v>
      </c>
      <c r="G4887" s="14" t="s">
        <v>30438</v>
      </c>
      <c r="H4887" s="15" t="s">
        <v>31</v>
      </c>
      <c r="I4887" s="15">
        <v>1.0</v>
      </c>
      <c r="J4887" s="15">
        <v>1.0</v>
      </c>
      <c r="K4887" s="15" t="s">
        <v>31</v>
      </c>
      <c r="L4887" s="16" t="s">
        <v>30171</v>
      </c>
      <c r="M4887" s="14" t="s">
        <v>30439</v>
      </c>
      <c r="N4887" s="14" t="s">
        <v>1348</v>
      </c>
      <c r="O4887" s="16" t="s">
        <v>1349</v>
      </c>
      <c r="P4887" s="14" t="s">
        <v>30152</v>
      </c>
      <c r="Q4887" s="14" t="s">
        <v>30153</v>
      </c>
      <c r="R4887" s="14" t="s">
        <v>1018</v>
      </c>
      <c r="S4887" s="16" t="s">
        <v>30154</v>
      </c>
      <c r="T4887" s="14" t="s">
        <v>1019</v>
      </c>
      <c r="U4887" s="16" t="s">
        <v>31</v>
      </c>
      <c r="V4887" s="14" t="s">
        <v>30440</v>
      </c>
      <c r="W4887" s="14" t="s">
        <v>30140</v>
      </c>
      <c r="X4887" s="17" t="str">
        <f>HYPERLINK("https://my.pitchbook.com?p=326039-14P","View People Online")</f>
        <v>View People Online</v>
      </c>
    </row>
    <row r="4888">
      <c r="A4888" s="10" t="s">
        <v>30441</v>
      </c>
      <c r="B4888" s="10" t="s">
        <v>30442</v>
      </c>
      <c r="C4888" s="10" t="s">
        <v>69</v>
      </c>
      <c r="D4888" s="10" t="s">
        <v>30443</v>
      </c>
      <c r="E4888" s="10" t="s">
        <v>30140</v>
      </c>
      <c r="F4888" s="10" t="s">
        <v>1283</v>
      </c>
      <c r="G4888" s="10" t="s">
        <v>30444</v>
      </c>
      <c r="H4888" s="11" t="s">
        <v>31</v>
      </c>
      <c r="I4888" s="11">
        <v>1.0</v>
      </c>
      <c r="J4888" s="11">
        <v>1.0</v>
      </c>
      <c r="K4888" s="11" t="s">
        <v>31</v>
      </c>
      <c r="L4888" s="12" t="s">
        <v>30178</v>
      </c>
      <c r="M4888" s="10" t="s">
        <v>30445</v>
      </c>
      <c r="N4888" s="10" t="s">
        <v>243</v>
      </c>
      <c r="O4888" s="12" t="s">
        <v>244</v>
      </c>
      <c r="P4888" s="10" t="s">
        <v>30180</v>
      </c>
      <c r="Q4888" s="10" t="s">
        <v>6831</v>
      </c>
      <c r="R4888" s="10" t="s">
        <v>247</v>
      </c>
      <c r="S4888" s="12" t="s">
        <v>30181</v>
      </c>
      <c r="T4888" s="10" t="s">
        <v>249</v>
      </c>
      <c r="U4888" s="12" t="s">
        <v>31</v>
      </c>
      <c r="V4888" s="10" t="s">
        <v>30446</v>
      </c>
      <c r="W4888" s="10" t="s">
        <v>30140</v>
      </c>
      <c r="X4888" s="13" t="str">
        <f>HYPERLINK("https://my.pitchbook.com?p=421053-58P","View People Online")</f>
        <v>View People Online</v>
      </c>
    </row>
    <row r="4889">
      <c r="A4889" s="14" t="s">
        <v>30447</v>
      </c>
      <c r="B4889" s="14" t="s">
        <v>30448</v>
      </c>
      <c r="C4889" s="14" t="s">
        <v>69</v>
      </c>
      <c r="D4889" s="14" t="s">
        <v>19668</v>
      </c>
      <c r="E4889" s="14" t="s">
        <v>30140</v>
      </c>
      <c r="F4889" s="14" t="s">
        <v>318</v>
      </c>
      <c r="G4889" s="14" t="s">
        <v>30449</v>
      </c>
      <c r="H4889" s="15" t="s">
        <v>31</v>
      </c>
      <c r="I4889" s="15">
        <v>1.0</v>
      </c>
      <c r="J4889" s="15">
        <v>1.0</v>
      </c>
      <c r="K4889" s="15" t="s">
        <v>31</v>
      </c>
      <c r="L4889" s="16" t="s">
        <v>30171</v>
      </c>
      <c r="M4889" s="14" t="s">
        <v>30450</v>
      </c>
      <c r="N4889" s="14" t="s">
        <v>1348</v>
      </c>
      <c r="O4889" s="16" t="s">
        <v>1349</v>
      </c>
      <c r="P4889" s="14" t="s">
        <v>30152</v>
      </c>
      <c r="Q4889" s="14" t="s">
        <v>30153</v>
      </c>
      <c r="R4889" s="14" t="s">
        <v>1018</v>
      </c>
      <c r="S4889" s="16" t="s">
        <v>30154</v>
      </c>
      <c r="T4889" s="14" t="s">
        <v>1019</v>
      </c>
      <c r="U4889" s="16" t="s">
        <v>31</v>
      </c>
      <c r="V4889" s="14" t="s">
        <v>30451</v>
      </c>
      <c r="W4889" s="14" t="s">
        <v>30140</v>
      </c>
      <c r="X4889" s="17" t="str">
        <f>HYPERLINK("https://my.pitchbook.com?p=257054-86P","View People Online")</f>
        <v>View People Online</v>
      </c>
    </row>
    <row r="4890">
      <c r="A4890" s="2" t="s">
        <v>30452</v>
      </c>
      <c r="B4890" s="2" t="s">
        <v>30453</v>
      </c>
      <c r="C4890" s="2" t="s">
        <v>69</v>
      </c>
      <c r="D4890" s="2" t="s">
        <v>30454</v>
      </c>
      <c r="E4890" s="2" t="s">
        <v>30140</v>
      </c>
      <c r="F4890" s="2" t="s">
        <v>8581</v>
      </c>
      <c r="G4890" s="2" t="s">
        <v>30455</v>
      </c>
      <c r="H4890" s="3" t="s">
        <v>31</v>
      </c>
      <c r="I4890" s="3">
        <v>1.0</v>
      </c>
      <c r="J4890" s="3">
        <v>1.0</v>
      </c>
      <c r="K4890" s="3" t="s">
        <v>31</v>
      </c>
      <c r="L4890" s="4" t="s">
        <v>30171</v>
      </c>
      <c r="M4890" s="2" t="s">
        <v>30456</v>
      </c>
      <c r="N4890" s="2" t="s">
        <v>1348</v>
      </c>
      <c r="O4890" s="4" t="s">
        <v>1349</v>
      </c>
      <c r="P4890" s="2" t="s">
        <v>30152</v>
      </c>
      <c r="Q4890" s="2" t="s">
        <v>30153</v>
      </c>
      <c r="R4890" s="2" t="s">
        <v>1018</v>
      </c>
      <c r="S4890" s="4" t="s">
        <v>30154</v>
      </c>
      <c r="T4890" s="2" t="s">
        <v>1019</v>
      </c>
      <c r="U4890" s="4" t="s">
        <v>31</v>
      </c>
      <c r="V4890" s="2" t="s">
        <v>30457</v>
      </c>
      <c r="W4890" s="2" t="s">
        <v>30140</v>
      </c>
      <c r="X4890" s="5" t="str">
        <f>HYPERLINK("https://my.pitchbook.com?p=136510-12P","View People Online")</f>
        <v>View People Online</v>
      </c>
    </row>
    <row r="4891">
      <c r="A4891" s="6" t="s">
        <v>30458</v>
      </c>
      <c r="B4891" s="6" t="s">
        <v>30459</v>
      </c>
      <c r="C4891" s="6" t="s">
        <v>15655</v>
      </c>
      <c r="D4891" s="6" t="s">
        <v>30460</v>
      </c>
      <c r="E4891" s="6" t="s">
        <v>30140</v>
      </c>
      <c r="F4891" s="6" t="s">
        <v>2652</v>
      </c>
      <c r="G4891" s="6" t="s">
        <v>30461</v>
      </c>
      <c r="H4891" s="7" t="s">
        <v>31</v>
      </c>
      <c r="I4891" s="7">
        <v>1.0</v>
      </c>
      <c r="J4891" s="7">
        <v>1.0</v>
      </c>
      <c r="K4891" s="7" t="s">
        <v>31</v>
      </c>
      <c r="L4891" s="8" t="s">
        <v>30171</v>
      </c>
      <c r="M4891" s="6" t="s">
        <v>30462</v>
      </c>
      <c r="N4891" s="6" t="s">
        <v>1348</v>
      </c>
      <c r="O4891" s="8" t="s">
        <v>1349</v>
      </c>
      <c r="P4891" s="6" t="s">
        <v>30152</v>
      </c>
      <c r="Q4891" s="6" t="s">
        <v>30153</v>
      </c>
      <c r="R4891" s="6" t="s">
        <v>1018</v>
      </c>
      <c r="S4891" s="8" t="s">
        <v>30154</v>
      </c>
      <c r="T4891" s="6" t="s">
        <v>1019</v>
      </c>
      <c r="U4891" s="8" t="s">
        <v>31</v>
      </c>
      <c r="V4891" s="6" t="s">
        <v>30463</v>
      </c>
      <c r="W4891" s="6" t="s">
        <v>30140</v>
      </c>
      <c r="X4891" s="9" t="str">
        <f>HYPERLINK("https://my.pitchbook.com?p=186380-74P","View People Online")</f>
        <v>View People Online</v>
      </c>
    </row>
    <row r="4892">
      <c r="A4892" s="10" t="s">
        <v>30464</v>
      </c>
      <c r="B4892" s="10" t="s">
        <v>30465</v>
      </c>
      <c r="C4892" s="10" t="s">
        <v>30466</v>
      </c>
      <c r="D4892" s="10" t="s">
        <v>30467</v>
      </c>
      <c r="E4892" s="10" t="s">
        <v>30140</v>
      </c>
      <c r="F4892" s="10" t="s">
        <v>1283</v>
      </c>
      <c r="G4892" s="10" t="s">
        <v>30468</v>
      </c>
      <c r="H4892" s="11" t="s">
        <v>31</v>
      </c>
      <c r="I4892" s="11">
        <v>1.0</v>
      </c>
      <c r="J4892" s="11">
        <v>1.0</v>
      </c>
      <c r="K4892" s="11" t="s">
        <v>31</v>
      </c>
      <c r="L4892" s="12" t="s">
        <v>30171</v>
      </c>
      <c r="M4892" s="10" t="s">
        <v>30469</v>
      </c>
      <c r="N4892" s="10" t="s">
        <v>1348</v>
      </c>
      <c r="O4892" s="12" t="s">
        <v>1349</v>
      </c>
      <c r="P4892" s="10" t="s">
        <v>30152</v>
      </c>
      <c r="Q4892" s="10" t="s">
        <v>30153</v>
      </c>
      <c r="R4892" s="10" t="s">
        <v>1018</v>
      </c>
      <c r="S4892" s="12" t="s">
        <v>30154</v>
      </c>
      <c r="T4892" s="10" t="s">
        <v>1019</v>
      </c>
      <c r="U4892" s="12" t="s">
        <v>31</v>
      </c>
      <c r="V4892" s="10" t="s">
        <v>1283</v>
      </c>
      <c r="W4892" s="10" t="s">
        <v>30140</v>
      </c>
      <c r="X4892" s="13" t="str">
        <f>HYPERLINK("https://my.pitchbook.com?p=368729-74P","View People Online")</f>
        <v>View People Online</v>
      </c>
    </row>
    <row r="4893">
      <c r="A4893" s="14" t="s">
        <v>30470</v>
      </c>
      <c r="B4893" s="14" t="s">
        <v>30471</v>
      </c>
      <c r="C4893" s="14" t="s">
        <v>1449</v>
      </c>
      <c r="D4893" s="14" t="s">
        <v>27012</v>
      </c>
      <c r="E4893" s="14" t="s">
        <v>30140</v>
      </c>
      <c r="F4893" s="14" t="s">
        <v>1283</v>
      </c>
      <c r="G4893" s="14" t="s">
        <v>30472</v>
      </c>
      <c r="H4893" s="15">
        <v>2.0</v>
      </c>
      <c r="I4893" s="15">
        <v>6.0</v>
      </c>
      <c r="J4893" s="15">
        <v>1.0</v>
      </c>
      <c r="K4893" s="15">
        <v>3.0</v>
      </c>
      <c r="L4893" s="16" t="s">
        <v>30171</v>
      </c>
      <c r="M4893" s="14" t="s">
        <v>30473</v>
      </c>
      <c r="N4893" s="14" t="s">
        <v>1348</v>
      </c>
      <c r="O4893" s="16" t="s">
        <v>1349</v>
      </c>
      <c r="P4893" s="14" t="s">
        <v>30152</v>
      </c>
      <c r="Q4893" s="14" t="s">
        <v>30153</v>
      </c>
      <c r="R4893" s="14" t="s">
        <v>1018</v>
      </c>
      <c r="S4893" s="16" t="s">
        <v>30154</v>
      </c>
      <c r="T4893" s="14" t="s">
        <v>1019</v>
      </c>
      <c r="U4893" s="16" t="s">
        <v>31</v>
      </c>
      <c r="V4893" s="14" t="s">
        <v>30474</v>
      </c>
      <c r="W4893" s="14" t="s">
        <v>30140</v>
      </c>
      <c r="X4893" s="17" t="str">
        <f>HYPERLINK("https://my.pitchbook.com?p=33648-85P","View People Online")</f>
        <v>View People Online</v>
      </c>
    </row>
    <row r="4894">
      <c r="A4894" s="10" t="s">
        <v>30475</v>
      </c>
      <c r="B4894" s="10" t="s">
        <v>30476</v>
      </c>
      <c r="C4894" s="10" t="s">
        <v>1449</v>
      </c>
      <c r="D4894" s="10" t="s">
        <v>30477</v>
      </c>
      <c r="E4894" s="10" t="s">
        <v>30140</v>
      </c>
      <c r="F4894" s="10" t="s">
        <v>2652</v>
      </c>
      <c r="G4894" s="10" t="s">
        <v>30478</v>
      </c>
      <c r="H4894" s="11">
        <v>1.0</v>
      </c>
      <c r="I4894" s="11">
        <v>3.0</v>
      </c>
      <c r="J4894" s="11">
        <v>2.0</v>
      </c>
      <c r="K4894" s="11" t="s">
        <v>31</v>
      </c>
      <c r="L4894" s="12" t="s">
        <v>30479</v>
      </c>
      <c r="M4894" s="10" t="s">
        <v>30480</v>
      </c>
      <c r="N4894" s="10" t="s">
        <v>1348</v>
      </c>
      <c r="O4894" s="12" t="s">
        <v>1349</v>
      </c>
      <c r="P4894" s="10" t="s">
        <v>30152</v>
      </c>
      <c r="Q4894" s="10" t="s">
        <v>30153</v>
      </c>
      <c r="R4894" s="10" t="s">
        <v>1018</v>
      </c>
      <c r="S4894" s="12" t="s">
        <v>30154</v>
      </c>
      <c r="T4894" s="10" t="s">
        <v>1019</v>
      </c>
      <c r="U4894" s="12" t="s">
        <v>31</v>
      </c>
      <c r="V4894" s="10" t="s">
        <v>30481</v>
      </c>
      <c r="W4894" s="10" t="s">
        <v>30140</v>
      </c>
      <c r="X4894" s="13" t="str">
        <f>HYPERLINK("https://my.pitchbook.com?p=186378-04P","View People Online")</f>
        <v>View People Online</v>
      </c>
    </row>
    <row r="4895">
      <c r="A4895" s="14" t="s">
        <v>30482</v>
      </c>
      <c r="B4895" s="14" t="s">
        <v>30483</v>
      </c>
      <c r="C4895" s="14" t="s">
        <v>1449</v>
      </c>
      <c r="D4895" s="14" t="s">
        <v>30484</v>
      </c>
      <c r="E4895" s="14" t="s">
        <v>30140</v>
      </c>
      <c r="F4895" s="14" t="s">
        <v>1283</v>
      </c>
      <c r="G4895" s="14" t="s">
        <v>30485</v>
      </c>
      <c r="H4895" s="15" t="s">
        <v>31</v>
      </c>
      <c r="I4895" s="15">
        <v>1.0</v>
      </c>
      <c r="J4895" s="15">
        <v>1.0</v>
      </c>
      <c r="K4895" s="15" t="s">
        <v>31</v>
      </c>
      <c r="L4895" s="16" t="s">
        <v>30486</v>
      </c>
      <c r="M4895" s="14" t="s">
        <v>30487</v>
      </c>
      <c r="N4895" s="14" t="s">
        <v>1348</v>
      </c>
      <c r="O4895" s="16" t="s">
        <v>1349</v>
      </c>
      <c r="P4895" s="14" t="s">
        <v>30152</v>
      </c>
      <c r="Q4895" s="14" t="s">
        <v>30153</v>
      </c>
      <c r="R4895" s="14" t="s">
        <v>1018</v>
      </c>
      <c r="S4895" s="16" t="s">
        <v>30154</v>
      </c>
      <c r="T4895" s="14" t="s">
        <v>1019</v>
      </c>
      <c r="U4895" s="16" t="s">
        <v>31</v>
      </c>
      <c r="V4895" s="14" t="s">
        <v>30245</v>
      </c>
      <c r="W4895" s="14" t="s">
        <v>30140</v>
      </c>
      <c r="X4895" s="17" t="str">
        <f>HYPERLINK("https://my.pitchbook.com?p=33648-40P","View People Online")</f>
        <v>View People Online</v>
      </c>
    </row>
    <row r="4896">
      <c r="A4896" s="10" t="s">
        <v>30488</v>
      </c>
      <c r="B4896" s="10" t="s">
        <v>30489</v>
      </c>
      <c r="C4896" s="10" t="s">
        <v>1449</v>
      </c>
      <c r="D4896" s="10" t="s">
        <v>30490</v>
      </c>
      <c r="E4896" s="10" t="s">
        <v>30140</v>
      </c>
      <c r="F4896" s="10" t="s">
        <v>318</v>
      </c>
      <c r="G4896" s="10" t="s">
        <v>30491</v>
      </c>
      <c r="H4896" s="11" t="s">
        <v>31</v>
      </c>
      <c r="I4896" s="11">
        <v>1.0</v>
      </c>
      <c r="J4896" s="11">
        <v>1.0</v>
      </c>
      <c r="K4896" s="11" t="s">
        <v>31</v>
      </c>
      <c r="L4896" s="12" t="s">
        <v>30171</v>
      </c>
      <c r="M4896" s="10" t="s">
        <v>30492</v>
      </c>
      <c r="N4896" s="10" t="s">
        <v>1348</v>
      </c>
      <c r="O4896" s="12" t="s">
        <v>1349</v>
      </c>
      <c r="P4896" s="10" t="s">
        <v>30152</v>
      </c>
      <c r="Q4896" s="10" t="s">
        <v>30153</v>
      </c>
      <c r="R4896" s="10" t="s">
        <v>1018</v>
      </c>
      <c r="S4896" s="12" t="s">
        <v>30154</v>
      </c>
      <c r="T4896" s="10" t="s">
        <v>1019</v>
      </c>
      <c r="U4896" s="12" t="s">
        <v>31</v>
      </c>
      <c r="V4896" s="10" t="s">
        <v>318</v>
      </c>
      <c r="W4896" s="10" t="s">
        <v>30140</v>
      </c>
      <c r="X4896" s="13" t="str">
        <f>HYPERLINK("https://my.pitchbook.com?p=321332-05P","View People Online")</f>
        <v>View People Online</v>
      </c>
    </row>
    <row r="4897">
      <c r="A4897" s="6" t="s">
        <v>30493</v>
      </c>
      <c r="B4897" s="6" t="s">
        <v>30494</v>
      </c>
      <c r="C4897" s="6" t="s">
        <v>5785</v>
      </c>
      <c r="D4897" s="6" t="s">
        <v>30495</v>
      </c>
      <c r="E4897" s="6" t="s">
        <v>30140</v>
      </c>
      <c r="F4897" s="6" t="s">
        <v>221</v>
      </c>
      <c r="G4897" s="6" t="s">
        <v>30496</v>
      </c>
      <c r="H4897" s="7" t="s">
        <v>31</v>
      </c>
      <c r="I4897" s="7">
        <v>1.0</v>
      </c>
      <c r="J4897" s="7">
        <v>1.0</v>
      </c>
      <c r="K4897" s="7" t="s">
        <v>31</v>
      </c>
      <c r="L4897" s="8" t="s">
        <v>30178</v>
      </c>
      <c r="M4897" s="6" t="s">
        <v>30497</v>
      </c>
      <c r="N4897" s="6" t="s">
        <v>243</v>
      </c>
      <c r="O4897" s="8" t="s">
        <v>244</v>
      </c>
      <c r="P4897" s="6" t="s">
        <v>30180</v>
      </c>
      <c r="Q4897" s="6" t="s">
        <v>6831</v>
      </c>
      <c r="R4897" s="6" t="s">
        <v>247</v>
      </c>
      <c r="S4897" s="8" t="s">
        <v>30181</v>
      </c>
      <c r="T4897" s="6" t="s">
        <v>249</v>
      </c>
      <c r="U4897" s="8" t="s">
        <v>31</v>
      </c>
      <c r="V4897" s="6" t="s">
        <v>30498</v>
      </c>
      <c r="W4897" s="6" t="s">
        <v>30140</v>
      </c>
      <c r="X4897" s="9" t="str">
        <f>HYPERLINK("https://my.pitchbook.com?p=438939-82P","View People Online")</f>
        <v>View People Online</v>
      </c>
    </row>
    <row r="4898">
      <c r="A4898" s="10" t="s">
        <v>30499</v>
      </c>
      <c r="B4898" s="10" t="s">
        <v>30500</v>
      </c>
      <c r="C4898" s="10" t="s">
        <v>316</v>
      </c>
      <c r="D4898" s="10" t="s">
        <v>15840</v>
      </c>
      <c r="E4898" s="10" t="s">
        <v>30140</v>
      </c>
      <c r="F4898" s="10" t="s">
        <v>2652</v>
      </c>
      <c r="G4898" s="10" t="s">
        <v>30501</v>
      </c>
      <c r="H4898" s="11" t="s">
        <v>31</v>
      </c>
      <c r="I4898" s="11">
        <v>1.0</v>
      </c>
      <c r="J4898" s="11">
        <v>1.0</v>
      </c>
      <c r="K4898" s="11" t="s">
        <v>31</v>
      </c>
      <c r="L4898" s="12" t="s">
        <v>30171</v>
      </c>
      <c r="M4898" s="10" t="s">
        <v>30502</v>
      </c>
      <c r="N4898" s="10" t="s">
        <v>1348</v>
      </c>
      <c r="O4898" s="12" t="s">
        <v>1349</v>
      </c>
      <c r="P4898" s="10" t="s">
        <v>30152</v>
      </c>
      <c r="Q4898" s="10" t="s">
        <v>30153</v>
      </c>
      <c r="R4898" s="10" t="s">
        <v>1018</v>
      </c>
      <c r="S4898" s="12" t="s">
        <v>30154</v>
      </c>
      <c r="T4898" s="10" t="s">
        <v>1019</v>
      </c>
      <c r="U4898" s="12" t="s">
        <v>31</v>
      </c>
      <c r="V4898" s="10" t="s">
        <v>30503</v>
      </c>
      <c r="W4898" s="10" t="s">
        <v>30140</v>
      </c>
      <c r="X4898" s="13" t="str">
        <f>HYPERLINK("https://my.pitchbook.com?p=186385-60P","View People Online")</f>
        <v>View People Online</v>
      </c>
    </row>
    <row r="4899">
      <c r="A4899" s="6" t="s">
        <v>30504</v>
      </c>
      <c r="B4899" s="6" t="s">
        <v>30505</v>
      </c>
      <c r="C4899" s="6" t="s">
        <v>30506</v>
      </c>
      <c r="D4899" s="6" t="s">
        <v>30507</v>
      </c>
      <c r="E4899" s="6" t="s">
        <v>30140</v>
      </c>
      <c r="F4899" s="6" t="s">
        <v>2652</v>
      </c>
      <c r="G4899" s="6" t="s">
        <v>30508</v>
      </c>
      <c r="H4899" s="7" t="s">
        <v>31</v>
      </c>
      <c r="I4899" s="7">
        <v>1.0</v>
      </c>
      <c r="J4899" s="7">
        <v>1.0</v>
      </c>
      <c r="K4899" s="7" t="s">
        <v>31</v>
      </c>
      <c r="L4899" s="8" t="s">
        <v>30509</v>
      </c>
      <c r="M4899" s="6" t="s">
        <v>30510</v>
      </c>
      <c r="N4899" s="6" t="s">
        <v>243</v>
      </c>
      <c r="O4899" s="8" t="s">
        <v>244</v>
      </c>
      <c r="P4899" s="6" t="s">
        <v>30180</v>
      </c>
      <c r="Q4899" s="6" t="s">
        <v>6831</v>
      </c>
      <c r="R4899" s="6" t="s">
        <v>247</v>
      </c>
      <c r="S4899" s="8" t="s">
        <v>30181</v>
      </c>
      <c r="T4899" s="6" t="s">
        <v>249</v>
      </c>
      <c r="U4899" s="8" t="s">
        <v>31</v>
      </c>
      <c r="V4899" s="6" t="s">
        <v>30511</v>
      </c>
      <c r="W4899" s="6" t="s">
        <v>30140</v>
      </c>
      <c r="X4899" s="9" t="str">
        <f>HYPERLINK("https://my.pitchbook.com?p=36377-02P","View People Online")</f>
        <v>View People Online</v>
      </c>
    </row>
    <row r="4900">
      <c r="A4900" s="10" t="s">
        <v>30512</v>
      </c>
      <c r="B4900" s="10" t="s">
        <v>30513</v>
      </c>
      <c r="C4900" s="10" t="s">
        <v>11231</v>
      </c>
      <c r="D4900" s="10" t="s">
        <v>30514</v>
      </c>
      <c r="E4900" s="10" t="s">
        <v>30140</v>
      </c>
      <c r="F4900" s="10" t="s">
        <v>30515</v>
      </c>
      <c r="G4900" s="10" t="s">
        <v>30516</v>
      </c>
      <c r="H4900" s="11" t="s">
        <v>31</v>
      </c>
      <c r="I4900" s="11">
        <v>3.0</v>
      </c>
      <c r="J4900" s="11">
        <v>2.0</v>
      </c>
      <c r="K4900" s="11">
        <v>1.0</v>
      </c>
      <c r="L4900" s="12" t="s">
        <v>30178</v>
      </c>
      <c r="M4900" s="10" t="s">
        <v>30517</v>
      </c>
      <c r="N4900" s="10" t="s">
        <v>243</v>
      </c>
      <c r="O4900" s="12" t="s">
        <v>244</v>
      </c>
      <c r="P4900" s="10" t="s">
        <v>30180</v>
      </c>
      <c r="Q4900" s="10" t="s">
        <v>6831</v>
      </c>
      <c r="R4900" s="10" t="s">
        <v>247</v>
      </c>
      <c r="S4900" s="12" t="s">
        <v>30181</v>
      </c>
      <c r="T4900" s="10" t="s">
        <v>249</v>
      </c>
      <c r="U4900" s="12" t="s">
        <v>31</v>
      </c>
      <c r="V4900" s="10" t="s">
        <v>30518</v>
      </c>
      <c r="W4900" s="10" t="s">
        <v>30140</v>
      </c>
      <c r="X4900" s="13" t="str">
        <f>HYPERLINK("https://my.pitchbook.com?p=32671-63P","View People Online")</f>
        <v>View People Online</v>
      </c>
    </row>
    <row r="4901">
      <c r="A4901" s="14" t="s">
        <v>30519</v>
      </c>
      <c r="B4901" s="14" t="s">
        <v>30520</v>
      </c>
      <c r="C4901" s="14" t="s">
        <v>30521</v>
      </c>
      <c r="D4901" s="14" t="s">
        <v>5985</v>
      </c>
      <c r="E4901" s="14" t="s">
        <v>30140</v>
      </c>
      <c r="F4901" s="14" t="s">
        <v>2652</v>
      </c>
      <c r="G4901" s="14" t="s">
        <v>30522</v>
      </c>
      <c r="H4901" s="15">
        <v>2.0</v>
      </c>
      <c r="I4901" s="15">
        <v>6.0</v>
      </c>
      <c r="J4901" s="15">
        <v>2.0</v>
      </c>
      <c r="K4901" s="15">
        <v>3.0</v>
      </c>
      <c r="L4901" s="16" t="s">
        <v>30171</v>
      </c>
      <c r="M4901" s="14" t="s">
        <v>30523</v>
      </c>
      <c r="N4901" s="14" t="s">
        <v>1348</v>
      </c>
      <c r="O4901" s="16" t="s">
        <v>1349</v>
      </c>
      <c r="P4901" s="14" t="s">
        <v>30152</v>
      </c>
      <c r="Q4901" s="14" t="s">
        <v>30153</v>
      </c>
      <c r="R4901" s="14" t="s">
        <v>1018</v>
      </c>
      <c r="S4901" s="16" t="s">
        <v>30154</v>
      </c>
      <c r="T4901" s="14" t="s">
        <v>1019</v>
      </c>
      <c r="U4901" s="16" t="s">
        <v>31</v>
      </c>
      <c r="V4901" s="14" t="s">
        <v>2379</v>
      </c>
      <c r="W4901" s="14" t="s">
        <v>30524</v>
      </c>
      <c r="X4901" s="17" t="str">
        <f>HYPERLINK("https://my.pitchbook.com?p=257567-50P","View People Online")</f>
        <v>View People Online</v>
      </c>
    </row>
    <row r="4902">
      <c r="A4902" s="2" t="s">
        <v>30525</v>
      </c>
      <c r="B4902" s="2" t="s">
        <v>30526</v>
      </c>
      <c r="C4902" s="2" t="s">
        <v>30527</v>
      </c>
      <c r="D4902" s="2" t="s">
        <v>30528</v>
      </c>
      <c r="E4902" s="2" t="s">
        <v>30140</v>
      </c>
      <c r="F4902" s="2" t="s">
        <v>2652</v>
      </c>
      <c r="G4902" s="2" t="s">
        <v>30529</v>
      </c>
      <c r="H4902" s="3">
        <v>1.0</v>
      </c>
      <c r="I4902" s="3">
        <v>2.0</v>
      </c>
      <c r="J4902" s="3">
        <v>1.0</v>
      </c>
      <c r="K4902" s="3" t="s">
        <v>31</v>
      </c>
      <c r="L4902" s="4" t="s">
        <v>30171</v>
      </c>
      <c r="M4902" s="2" t="s">
        <v>30530</v>
      </c>
      <c r="N4902" s="2" t="s">
        <v>1348</v>
      </c>
      <c r="O4902" s="4" t="s">
        <v>1349</v>
      </c>
      <c r="P4902" s="2" t="s">
        <v>30152</v>
      </c>
      <c r="Q4902" s="2" t="s">
        <v>30153</v>
      </c>
      <c r="R4902" s="2" t="s">
        <v>1018</v>
      </c>
      <c r="S4902" s="4" t="s">
        <v>30154</v>
      </c>
      <c r="T4902" s="2" t="s">
        <v>1019</v>
      </c>
      <c r="U4902" s="4" t="s">
        <v>31</v>
      </c>
      <c r="V4902" s="2" t="s">
        <v>30531</v>
      </c>
      <c r="W4902" s="2" t="s">
        <v>30140</v>
      </c>
      <c r="X4902" s="5" t="str">
        <f>HYPERLINK("https://my.pitchbook.com?p=329839-12P","View People Online")</f>
        <v>View People Online</v>
      </c>
    </row>
    <row r="4903">
      <c r="A4903" s="14" t="s">
        <v>30532</v>
      </c>
      <c r="B4903" s="14" t="s">
        <v>30533</v>
      </c>
      <c r="C4903" s="14" t="s">
        <v>323</v>
      </c>
      <c r="D4903" s="14" t="s">
        <v>30534</v>
      </c>
      <c r="E4903" s="14" t="s">
        <v>30140</v>
      </c>
      <c r="F4903" s="14" t="s">
        <v>2652</v>
      </c>
      <c r="G4903" s="14" t="s">
        <v>30535</v>
      </c>
      <c r="H4903" s="15" t="s">
        <v>31</v>
      </c>
      <c r="I4903" s="15">
        <v>1.0</v>
      </c>
      <c r="J4903" s="15">
        <v>1.0</v>
      </c>
      <c r="K4903" s="15" t="s">
        <v>31</v>
      </c>
      <c r="L4903" s="16" t="s">
        <v>30171</v>
      </c>
      <c r="M4903" s="14" t="s">
        <v>30536</v>
      </c>
      <c r="N4903" s="14" t="s">
        <v>1348</v>
      </c>
      <c r="O4903" s="16" t="s">
        <v>1349</v>
      </c>
      <c r="P4903" s="14" t="s">
        <v>30152</v>
      </c>
      <c r="Q4903" s="14" t="s">
        <v>30153</v>
      </c>
      <c r="R4903" s="14" t="s">
        <v>1018</v>
      </c>
      <c r="S4903" s="16" t="s">
        <v>30154</v>
      </c>
      <c r="T4903" s="14" t="s">
        <v>1019</v>
      </c>
      <c r="U4903" s="16" t="s">
        <v>31</v>
      </c>
      <c r="V4903" s="14" t="s">
        <v>30537</v>
      </c>
      <c r="W4903" s="14" t="s">
        <v>30140</v>
      </c>
      <c r="X4903" s="17" t="str">
        <f>HYPERLINK("https://my.pitchbook.com?p=157453-84P","View People Online")</f>
        <v>View People Online</v>
      </c>
    </row>
    <row r="4904">
      <c r="A4904" s="10" t="s">
        <v>30538</v>
      </c>
      <c r="B4904" s="10" t="s">
        <v>30539</v>
      </c>
      <c r="C4904" s="10" t="s">
        <v>30540</v>
      </c>
      <c r="D4904" s="10" t="s">
        <v>4314</v>
      </c>
      <c r="E4904" s="10" t="s">
        <v>30140</v>
      </c>
      <c r="F4904" s="10" t="s">
        <v>1283</v>
      </c>
      <c r="G4904" s="10" t="s">
        <v>30541</v>
      </c>
      <c r="H4904" s="11" t="s">
        <v>31</v>
      </c>
      <c r="I4904" s="11">
        <v>2.0</v>
      </c>
      <c r="J4904" s="11">
        <v>1.0</v>
      </c>
      <c r="K4904" s="11">
        <v>1.0</v>
      </c>
      <c r="L4904" s="12" t="s">
        <v>31</v>
      </c>
      <c r="M4904" s="10" t="s">
        <v>30542</v>
      </c>
      <c r="N4904" s="10" t="s">
        <v>155</v>
      </c>
      <c r="O4904" s="12" t="s">
        <v>156</v>
      </c>
      <c r="P4904" s="10" t="s">
        <v>30543</v>
      </c>
      <c r="Q4904" s="10" t="s">
        <v>31</v>
      </c>
      <c r="R4904" s="10" t="s">
        <v>64</v>
      </c>
      <c r="S4904" s="12" t="s">
        <v>3487</v>
      </c>
      <c r="T4904" s="10" t="s">
        <v>66</v>
      </c>
      <c r="U4904" s="12" t="s">
        <v>31</v>
      </c>
      <c r="V4904" s="10" t="s">
        <v>30544</v>
      </c>
      <c r="W4904" s="10" t="s">
        <v>30140</v>
      </c>
      <c r="X4904" s="13" t="str">
        <f>HYPERLINK("https://my.pitchbook.com?p=38235-43P","View People Online")</f>
        <v>View People Online</v>
      </c>
    </row>
    <row r="4905">
      <c r="A4905" s="6" t="s">
        <v>30545</v>
      </c>
      <c r="B4905" s="6" t="s">
        <v>30546</v>
      </c>
      <c r="C4905" s="6" t="s">
        <v>30547</v>
      </c>
      <c r="D4905" s="6" t="s">
        <v>3671</v>
      </c>
      <c r="E4905" s="6" t="s">
        <v>30140</v>
      </c>
      <c r="F4905" s="6" t="s">
        <v>1283</v>
      </c>
      <c r="G4905" s="6" t="s">
        <v>30548</v>
      </c>
      <c r="H4905" s="7" t="s">
        <v>31</v>
      </c>
      <c r="I4905" s="7">
        <v>1.0</v>
      </c>
      <c r="J4905" s="7">
        <v>1.0</v>
      </c>
      <c r="K4905" s="7" t="s">
        <v>31</v>
      </c>
      <c r="L4905" s="8" t="s">
        <v>30178</v>
      </c>
      <c r="M4905" s="6" t="s">
        <v>30549</v>
      </c>
      <c r="N4905" s="6" t="s">
        <v>243</v>
      </c>
      <c r="O4905" s="8" t="s">
        <v>244</v>
      </c>
      <c r="P4905" s="6" t="s">
        <v>30180</v>
      </c>
      <c r="Q4905" s="6" t="s">
        <v>6831</v>
      </c>
      <c r="R4905" s="6" t="s">
        <v>247</v>
      </c>
      <c r="S4905" s="8" t="s">
        <v>30181</v>
      </c>
      <c r="T4905" s="6" t="s">
        <v>249</v>
      </c>
      <c r="U4905" s="8" t="s">
        <v>31</v>
      </c>
      <c r="V4905" s="6" t="s">
        <v>30550</v>
      </c>
      <c r="W4905" s="6" t="s">
        <v>30140</v>
      </c>
      <c r="X4905" s="9" t="str">
        <f>HYPERLINK("https://my.pitchbook.com?p=339997-51P","View People Online")</f>
        <v>View People Online</v>
      </c>
    </row>
    <row r="4906">
      <c r="A4906" s="2" t="s">
        <v>30551</v>
      </c>
      <c r="B4906" s="2" t="s">
        <v>30552</v>
      </c>
      <c r="C4906" s="2" t="s">
        <v>7194</v>
      </c>
      <c r="D4906" s="2" t="s">
        <v>30553</v>
      </c>
      <c r="E4906" s="2" t="s">
        <v>30140</v>
      </c>
      <c r="F4906" s="2" t="s">
        <v>2652</v>
      </c>
      <c r="G4906" s="2" t="s">
        <v>30554</v>
      </c>
      <c r="H4906" s="3" t="s">
        <v>31</v>
      </c>
      <c r="I4906" s="3">
        <v>1.0</v>
      </c>
      <c r="J4906" s="3">
        <v>1.0</v>
      </c>
      <c r="K4906" s="3" t="s">
        <v>31</v>
      </c>
      <c r="L4906" s="4" t="s">
        <v>30171</v>
      </c>
      <c r="M4906" s="2" t="s">
        <v>30555</v>
      </c>
      <c r="N4906" s="2" t="s">
        <v>1348</v>
      </c>
      <c r="O4906" s="4" t="s">
        <v>1349</v>
      </c>
      <c r="P4906" s="2" t="s">
        <v>30152</v>
      </c>
      <c r="Q4906" s="2" t="s">
        <v>30153</v>
      </c>
      <c r="R4906" s="2" t="s">
        <v>1018</v>
      </c>
      <c r="S4906" s="4" t="s">
        <v>30154</v>
      </c>
      <c r="T4906" s="2" t="s">
        <v>1019</v>
      </c>
      <c r="U4906" s="4" t="s">
        <v>31</v>
      </c>
      <c r="V4906" s="2" t="s">
        <v>30556</v>
      </c>
      <c r="W4906" s="2" t="s">
        <v>30140</v>
      </c>
      <c r="X4906" s="5" t="str">
        <f>HYPERLINK("https://my.pitchbook.com?p=297528-67P","View People Online")</f>
        <v>View People Online</v>
      </c>
    </row>
    <row r="4907">
      <c r="A4907" s="14" t="s">
        <v>30557</v>
      </c>
      <c r="B4907" s="14" t="s">
        <v>30558</v>
      </c>
      <c r="C4907" s="14" t="s">
        <v>2800</v>
      </c>
      <c r="D4907" s="14" t="s">
        <v>30559</v>
      </c>
      <c r="E4907" s="14" t="s">
        <v>30140</v>
      </c>
      <c r="F4907" s="14" t="s">
        <v>1283</v>
      </c>
      <c r="G4907" s="14" t="s">
        <v>30560</v>
      </c>
      <c r="H4907" s="15" t="s">
        <v>31</v>
      </c>
      <c r="I4907" s="15">
        <v>1.0</v>
      </c>
      <c r="J4907" s="15">
        <v>1.0</v>
      </c>
      <c r="K4907" s="15" t="s">
        <v>31</v>
      </c>
      <c r="L4907" s="16" t="s">
        <v>30272</v>
      </c>
      <c r="M4907" s="14" t="s">
        <v>30561</v>
      </c>
      <c r="N4907" s="14" t="s">
        <v>75</v>
      </c>
      <c r="O4907" s="16" t="s">
        <v>76</v>
      </c>
      <c r="P4907" s="14" t="s">
        <v>30215</v>
      </c>
      <c r="Q4907" s="14" t="s">
        <v>24925</v>
      </c>
      <c r="R4907" s="14" t="s">
        <v>75</v>
      </c>
      <c r="S4907" s="16" t="s">
        <v>1432</v>
      </c>
      <c r="T4907" s="14" t="s">
        <v>66</v>
      </c>
      <c r="U4907" s="16" t="s">
        <v>31</v>
      </c>
      <c r="V4907" s="14" t="s">
        <v>30562</v>
      </c>
      <c r="W4907" s="14" t="s">
        <v>30140</v>
      </c>
      <c r="X4907" s="17" t="str">
        <f>HYPERLINK("https://my.pitchbook.com?p=181452-52P","View People Online")</f>
        <v>View People Online</v>
      </c>
    </row>
    <row r="4908">
      <c r="A4908" s="2" t="s">
        <v>30563</v>
      </c>
      <c r="B4908" s="2" t="s">
        <v>30564</v>
      </c>
      <c r="C4908" s="2" t="s">
        <v>1323</v>
      </c>
      <c r="D4908" s="2" t="s">
        <v>30565</v>
      </c>
      <c r="E4908" s="2" t="s">
        <v>30140</v>
      </c>
      <c r="F4908" s="2" t="s">
        <v>11160</v>
      </c>
      <c r="G4908" s="2" t="s">
        <v>30566</v>
      </c>
      <c r="H4908" s="3">
        <v>1.0</v>
      </c>
      <c r="I4908" s="3">
        <v>3.0</v>
      </c>
      <c r="J4908" s="3">
        <v>1.0</v>
      </c>
      <c r="K4908" s="3">
        <v>1.0</v>
      </c>
      <c r="L4908" s="4" t="s">
        <v>30567</v>
      </c>
      <c r="M4908" s="2" t="s">
        <v>30568</v>
      </c>
      <c r="N4908" s="2" t="s">
        <v>1348</v>
      </c>
      <c r="O4908" s="4" t="s">
        <v>1349</v>
      </c>
      <c r="P4908" s="2" t="s">
        <v>30152</v>
      </c>
      <c r="Q4908" s="2" t="s">
        <v>30153</v>
      </c>
      <c r="R4908" s="2" t="s">
        <v>1018</v>
      </c>
      <c r="S4908" s="4" t="s">
        <v>30154</v>
      </c>
      <c r="T4908" s="2" t="s">
        <v>1019</v>
      </c>
      <c r="U4908" s="4" t="s">
        <v>31</v>
      </c>
      <c r="V4908" s="2" t="s">
        <v>30569</v>
      </c>
      <c r="W4908" s="2" t="s">
        <v>30140</v>
      </c>
      <c r="X4908" s="5" t="str">
        <f>HYPERLINK("https://my.pitchbook.com?p=155843-29P","View People Online")</f>
        <v>View People Online</v>
      </c>
    </row>
    <row r="4909">
      <c r="A4909" s="6" t="s">
        <v>30570</v>
      </c>
      <c r="B4909" s="6" t="s">
        <v>30571</v>
      </c>
      <c r="C4909" s="6" t="s">
        <v>30572</v>
      </c>
      <c r="D4909" s="6" t="s">
        <v>30573</v>
      </c>
      <c r="E4909" s="6" t="s">
        <v>30140</v>
      </c>
      <c r="F4909" s="6" t="s">
        <v>2652</v>
      </c>
      <c r="G4909" s="6" t="s">
        <v>30574</v>
      </c>
      <c r="H4909" s="7" t="s">
        <v>31</v>
      </c>
      <c r="I4909" s="7">
        <v>1.0</v>
      </c>
      <c r="J4909" s="7">
        <v>1.0</v>
      </c>
      <c r="K4909" s="7" t="s">
        <v>31</v>
      </c>
      <c r="L4909" s="8" t="s">
        <v>30171</v>
      </c>
      <c r="M4909" s="6" t="s">
        <v>30575</v>
      </c>
      <c r="N4909" s="6" t="s">
        <v>1348</v>
      </c>
      <c r="O4909" s="8" t="s">
        <v>1349</v>
      </c>
      <c r="P4909" s="6" t="s">
        <v>30152</v>
      </c>
      <c r="Q4909" s="6" t="s">
        <v>30153</v>
      </c>
      <c r="R4909" s="6" t="s">
        <v>1018</v>
      </c>
      <c r="S4909" s="8" t="s">
        <v>30154</v>
      </c>
      <c r="T4909" s="6" t="s">
        <v>1019</v>
      </c>
      <c r="U4909" s="8" t="s">
        <v>31</v>
      </c>
      <c r="V4909" s="6" t="s">
        <v>30576</v>
      </c>
      <c r="W4909" s="6" t="s">
        <v>30140</v>
      </c>
      <c r="X4909" s="9" t="str">
        <f>HYPERLINK("https://my.pitchbook.com?p=297531-64P","View People Online")</f>
        <v>View People Online</v>
      </c>
    </row>
    <row r="4910">
      <c r="A4910" s="2" t="s">
        <v>30577</v>
      </c>
      <c r="B4910" s="2" t="s">
        <v>30578</v>
      </c>
      <c r="C4910" s="2" t="s">
        <v>8847</v>
      </c>
      <c r="D4910" s="2" t="s">
        <v>3822</v>
      </c>
      <c r="E4910" s="2" t="s">
        <v>30140</v>
      </c>
      <c r="F4910" s="2" t="s">
        <v>11160</v>
      </c>
      <c r="G4910" s="2" t="s">
        <v>30579</v>
      </c>
      <c r="H4910" s="3">
        <v>1.0</v>
      </c>
      <c r="I4910" s="3">
        <v>3.0</v>
      </c>
      <c r="J4910" s="3">
        <v>2.0</v>
      </c>
      <c r="K4910" s="3" t="s">
        <v>31</v>
      </c>
      <c r="L4910" s="4" t="s">
        <v>30580</v>
      </c>
      <c r="M4910" s="2" t="s">
        <v>30581</v>
      </c>
      <c r="N4910" s="2" t="s">
        <v>1348</v>
      </c>
      <c r="O4910" s="4" t="s">
        <v>1349</v>
      </c>
      <c r="P4910" s="2" t="s">
        <v>30152</v>
      </c>
      <c r="Q4910" s="2" t="s">
        <v>30153</v>
      </c>
      <c r="R4910" s="2" t="s">
        <v>1018</v>
      </c>
      <c r="S4910" s="4" t="s">
        <v>30154</v>
      </c>
      <c r="T4910" s="2" t="s">
        <v>1019</v>
      </c>
      <c r="U4910" s="4" t="s">
        <v>31</v>
      </c>
      <c r="V4910" s="2" t="s">
        <v>30582</v>
      </c>
      <c r="W4910" s="2" t="s">
        <v>30140</v>
      </c>
      <c r="X4910" s="5" t="str">
        <f>HYPERLINK("https://my.pitchbook.com?p=40966-84P","View People Online")</f>
        <v>View People Online</v>
      </c>
    </row>
    <row r="4911">
      <c r="A4911" s="6" t="s">
        <v>30583</v>
      </c>
      <c r="B4911" s="6" t="s">
        <v>30584</v>
      </c>
      <c r="C4911" s="6" t="s">
        <v>8847</v>
      </c>
      <c r="D4911" s="6" t="s">
        <v>30585</v>
      </c>
      <c r="E4911" s="6" t="s">
        <v>30140</v>
      </c>
      <c r="F4911" s="6" t="s">
        <v>2652</v>
      </c>
      <c r="G4911" s="6" t="s">
        <v>30586</v>
      </c>
      <c r="H4911" s="7" t="s">
        <v>31</v>
      </c>
      <c r="I4911" s="7">
        <v>5.0</v>
      </c>
      <c r="J4911" s="7">
        <v>1.0</v>
      </c>
      <c r="K4911" s="7">
        <v>4.0</v>
      </c>
      <c r="L4911" s="8" t="s">
        <v>30587</v>
      </c>
      <c r="M4911" s="6" t="s">
        <v>30588</v>
      </c>
      <c r="N4911" s="6" t="s">
        <v>1348</v>
      </c>
      <c r="O4911" s="8" t="s">
        <v>1349</v>
      </c>
      <c r="P4911" s="6" t="s">
        <v>30152</v>
      </c>
      <c r="Q4911" s="6" t="s">
        <v>30153</v>
      </c>
      <c r="R4911" s="6" t="s">
        <v>1018</v>
      </c>
      <c r="S4911" s="8" t="s">
        <v>30154</v>
      </c>
      <c r="T4911" s="6" t="s">
        <v>1019</v>
      </c>
      <c r="U4911" s="8" t="s">
        <v>31</v>
      </c>
      <c r="V4911" s="6" t="s">
        <v>30589</v>
      </c>
      <c r="W4911" s="6" t="s">
        <v>30140</v>
      </c>
      <c r="X4911" s="9" t="str">
        <f>HYPERLINK("https://my.pitchbook.com?p=81715-24P","View People Online")</f>
        <v>View People Online</v>
      </c>
    </row>
    <row r="4912">
      <c r="A4912" s="2" t="s">
        <v>30590</v>
      </c>
      <c r="B4912" s="2" t="s">
        <v>30591</v>
      </c>
      <c r="C4912" s="2" t="s">
        <v>30592</v>
      </c>
      <c r="D4912" s="2" t="s">
        <v>3598</v>
      </c>
      <c r="E4912" s="2" t="s">
        <v>30140</v>
      </c>
      <c r="F4912" s="2" t="s">
        <v>2652</v>
      </c>
      <c r="G4912" s="2" t="s">
        <v>30593</v>
      </c>
      <c r="H4912" s="3" t="s">
        <v>31</v>
      </c>
      <c r="I4912" s="3">
        <v>1.0</v>
      </c>
      <c r="J4912" s="3">
        <v>1.0</v>
      </c>
      <c r="K4912" s="3" t="s">
        <v>31</v>
      </c>
      <c r="L4912" s="4" t="s">
        <v>30161</v>
      </c>
      <c r="M4912" s="2" t="s">
        <v>30594</v>
      </c>
      <c r="N4912" s="2" t="s">
        <v>3603</v>
      </c>
      <c r="O4912" s="4" t="s">
        <v>3604</v>
      </c>
      <c r="P4912" s="2" t="s">
        <v>30163</v>
      </c>
      <c r="Q4912" s="2" t="s">
        <v>30164</v>
      </c>
      <c r="R4912" s="2" t="s">
        <v>31</v>
      </c>
      <c r="S4912" s="4" t="s">
        <v>31</v>
      </c>
      <c r="T4912" s="2" t="s">
        <v>3603</v>
      </c>
      <c r="U4912" s="4" t="s">
        <v>31</v>
      </c>
      <c r="V4912" s="2" t="s">
        <v>30595</v>
      </c>
      <c r="W4912" s="2" t="s">
        <v>30140</v>
      </c>
      <c r="X4912" s="5" t="str">
        <f>HYPERLINK("https://my.pitchbook.com?p=186375-79P","View People Online")</f>
        <v>View People Online</v>
      </c>
    </row>
    <row r="4913">
      <c r="A4913" s="14" t="s">
        <v>30596</v>
      </c>
      <c r="B4913" s="14" t="s">
        <v>30597</v>
      </c>
      <c r="C4913" s="14" t="s">
        <v>807</v>
      </c>
      <c r="D4913" s="14" t="s">
        <v>30598</v>
      </c>
      <c r="E4913" s="14" t="s">
        <v>30140</v>
      </c>
      <c r="F4913" s="14" t="s">
        <v>2652</v>
      </c>
      <c r="G4913" s="14" t="s">
        <v>30599</v>
      </c>
      <c r="H4913" s="15" t="s">
        <v>31</v>
      </c>
      <c r="I4913" s="15">
        <v>1.0</v>
      </c>
      <c r="J4913" s="15">
        <v>1.0</v>
      </c>
      <c r="K4913" s="15" t="s">
        <v>31</v>
      </c>
      <c r="L4913" s="16" t="s">
        <v>30161</v>
      </c>
      <c r="M4913" s="14" t="s">
        <v>30600</v>
      </c>
      <c r="N4913" s="14" t="s">
        <v>3603</v>
      </c>
      <c r="O4913" s="16" t="s">
        <v>3604</v>
      </c>
      <c r="P4913" s="14" t="s">
        <v>30163</v>
      </c>
      <c r="Q4913" s="14" t="s">
        <v>30164</v>
      </c>
      <c r="R4913" s="14" t="s">
        <v>31</v>
      </c>
      <c r="S4913" s="16" t="s">
        <v>31</v>
      </c>
      <c r="T4913" s="14" t="s">
        <v>3603</v>
      </c>
      <c r="U4913" s="16" t="s">
        <v>31</v>
      </c>
      <c r="V4913" s="14" t="s">
        <v>30601</v>
      </c>
      <c r="W4913" s="14" t="s">
        <v>30140</v>
      </c>
      <c r="X4913" s="17" t="str">
        <f>HYPERLINK("https://my.pitchbook.com?p=329841-37P","View People Online")</f>
        <v>View People Online</v>
      </c>
    </row>
    <row r="4914">
      <c r="A4914" s="10" t="s">
        <v>30602</v>
      </c>
      <c r="B4914" s="10" t="s">
        <v>30603</v>
      </c>
      <c r="C4914" s="10" t="s">
        <v>8873</v>
      </c>
      <c r="D4914" s="10" t="s">
        <v>30604</v>
      </c>
      <c r="E4914" s="10" t="s">
        <v>30140</v>
      </c>
      <c r="F4914" s="10" t="s">
        <v>81</v>
      </c>
      <c r="G4914" s="10" t="s">
        <v>30605</v>
      </c>
      <c r="H4914" s="11" t="s">
        <v>31</v>
      </c>
      <c r="I4914" s="11">
        <v>14.0</v>
      </c>
      <c r="J4914" s="11" t="s">
        <v>31</v>
      </c>
      <c r="K4914" s="11">
        <v>10.0</v>
      </c>
      <c r="L4914" s="12" t="s">
        <v>30171</v>
      </c>
      <c r="M4914" s="10" t="s">
        <v>31</v>
      </c>
      <c r="N4914" s="10" t="s">
        <v>1348</v>
      </c>
      <c r="O4914" s="12" t="s">
        <v>1349</v>
      </c>
      <c r="P4914" s="10" t="s">
        <v>30152</v>
      </c>
      <c r="Q4914" s="10" t="s">
        <v>30153</v>
      </c>
      <c r="R4914" s="10" t="s">
        <v>1018</v>
      </c>
      <c r="S4914" s="12" t="s">
        <v>30154</v>
      </c>
      <c r="T4914" s="10" t="s">
        <v>1019</v>
      </c>
      <c r="U4914" s="12" t="s">
        <v>31</v>
      </c>
      <c r="V4914" s="10" t="s">
        <v>81</v>
      </c>
      <c r="W4914" s="10" t="s">
        <v>30140</v>
      </c>
      <c r="X4914" s="13" t="str">
        <f>HYPERLINK("https://my.pitchbook.com?p=16076-80P","View People Online")</f>
        <v>View People Online</v>
      </c>
    </row>
    <row r="4915">
      <c r="A4915" s="14" t="s">
        <v>30606</v>
      </c>
      <c r="B4915" s="14" t="s">
        <v>30607</v>
      </c>
      <c r="C4915" s="14" t="s">
        <v>4332</v>
      </c>
      <c r="D4915" s="14" t="s">
        <v>30608</v>
      </c>
      <c r="E4915" s="14" t="s">
        <v>30140</v>
      </c>
      <c r="F4915" s="14" t="s">
        <v>1283</v>
      </c>
      <c r="G4915" s="14" t="s">
        <v>30609</v>
      </c>
      <c r="H4915" s="15" t="s">
        <v>31</v>
      </c>
      <c r="I4915" s="15">
        <v>1.0</v>
      </c>
      <c r="J4915" s="15">
        <v>1.0</v>
      </c>
      <c r="K4915" s="15" t="s">
        <v>31</v>
      </c>
      <c r="L4915" s="16" t="s">
        <v>30178</v>
      </c>
      <c r="M4915" s="14" t="s">
        <v>30610</v>
      </c>
      <c r="N4915" s="14" t="s">
        <v>243</v>
      </c>
      <c r="O4915" s="16" t="s">
        <v>244</v>
      </c>
      <c r="P4915" s="14" t="s">
        <v>30180</v>
      </c>
      <c r="Q4915" s="14" t="s">
        <v>6831</v>
      </c>
      <c r="R4915" s="14" t="s">
        <v>247</v>
      </c>
      <c r="S4915" s="16" t="s">
        <v>30181</v>
      </c>
      <c r="T4915" s="14" t="s">
        <v>249</v>
      </c>
      <c r="U4915" s="16" t="s">
        <v>31</v>
      </c>
      <c r="V4915" s="14" t="s">
        <v>30191</v>
      </c>
      <c r="W4915" s="14" t="s">
        <v>30140</v>
      </c>
      <c r="X4915" s="17" t="str">
        <f>HYPERLINK("https://my.pitchbook.com?p=421120-45P","View People Online")</f>
        <v>View People Online</v>
      </c>
    </row>
    <row r="4916">
      <c r="A4916" s="10" t="s">
        <v>30611</v>
      </c>
      <c r="B4916" s="10" t="s">
        <v>30612</v>
      </c>
      <c r="C4916" s="10" t="s">
        <v>7138</v>
      </c>
      <c r="D4916" s="10" t="s">
        <v>30327</v>
      </c>
      <c r="E4916" s="10" t="s">
        <v>30140</v>
      </c>
      <c r="F4916" s="10" t="s">
        <v>1283</v>
      </c>
      <c r="G4916" s="10" t="s">
        <v>30613</v>
      </c>
      <c r="H4916" s="11" t="s">
        <v>31</v>
      </c>
      <c r="I4916" s="11">
        <v>1.0</v>
      </c>
      <c r="J4916" s="11">
        <v>1.0</v>
      </c>
      <c r="K4916" s="11" t="s">
        <v>31</v>
      </c>
      <c r="L4916" s="12" t="s">
        <v>30178</v>
      </c>
      <c r="M4916" s="10" t="s">
        <v>30614</v>
      </c>
      <c r="N4916" s="10" t="s">
        <v>243</v>
      </c>
      <c r="O4916" s="12" t="s">
        <v>244</v>
      </c>
      <c r="P4916" s="10" t="s">
        <v>30180</v>
      </c>
      <c r="Q4916" s="10" t="s">
        <v>6831</v>
      </c>
      <c r="R4916" s="10" t="s">
        <v>247</v>
      </c>
      <c r="S4916" s="12" t="s">
        <v>30181</v>
      </c>
      <c r="T4916" s="10" t="s">
        <v>249</v>
      </c>
      <c r="U4916" s="12" t="s">
        <v>31</v>
      </c>
      <c r="V4916" s="10" t="s">
        <v>30615</v>
      </c>
      <c r="W4916" s="10" t="s">
        <v>30140</v>
      </c>
      <c r="X4916" s="13" t="str">
        <f>HYPERLINK("https://my.pitchbook.com?p=421054-84P","View People Online")</f>
        <v>View People Online</v>
      </c>
    </row>
    <row r="4917">
      <c r="A4917" s="14" t="s">
        <v>30616</v>
      </c>
      <c r="B4917" s="14" t="s">
        <v>30617</v>
      </c>
      <c r="C4917" s="14" t="s">
        <v>30618</v>
      </c>
      <c r="D4917" s="14" t="s">
        <v>18701</v>
      </c>
      <c r="E4917" s="14" t="s">
        <v>30140</v>
      </c>
      <c r="F4917" s="14" t="s">
        <v>2652</v>
      </c>
      <c r="G4917" s="14" t="s">
        <v>30619</v>
      </c>
      <c r="H4917" s="15" t="s">
        <v>31</v>
      </c>
      <c r="I4917" s="15">
        <v>8.0</v>
      </c>
      <c r="J4917" s="15">
        <v>1.0</v>
      </c>
      <c r="K4917" s="15">
        <v>5.0</v>
      </c>
      <c r="L4917" s="16" t="s">
        <v>30620</v>
      </c>
      <c r="M4917" s="14" t="s">
        <v>30621</v>
      </c>
      <c r="N4917" s="14" t="s">
        <v>1203</v>
      </c>
      <c r="O4917" s="16" t="s">
        <v>1204</v>
      </c>
      <c r="P4917" s="14" t="s">
        <v>30622</v>
      </c>
      <c r="Q4917" s="14" t="s">
        <v>30623</v>
      </c>
      <c r="R4917" s="14" t="s">
        <v>1207</v>
      </c>
      <c r="S4917" s="16" t="s">
        <v>13235</v>
      </c>
      <c r="T4917" s="14" t="s">
        <v>1209</v>
      </c>
      <c r="U4917" s="16" t="s">
        <v>31</v>
      </c>
      <c r="V4917" s="14" t="s">
        <v>30624</v>
      </c>
      <c r="W4917" s="14" t="s">
        <v>30140</v>
      </c>
      <c r="X4917" s="17" t="str">
        <f>HYPERLINK("https://my.pitchbook.com?p=56739-79P","View People Online")</f>
        <v>View People Online</v>
      </c>
    </row>
    <row r="4918">
      <c r="A4918" s="2" t="s">
        <v>30625</v>
      </c>
      <c r="B4918" s="2" t="s">
        <v>30626</v>
      </c>
      <c r="C4918" s="2" t="s">
        <v>30627</v>
      </c>
      <c r="D4918" s="2" t="s">
        <v>30628</v>
      </c>
      <c r="E4918" s="2" t="s">
        <v>30140</v>
      </c>
      <c r="F4918" s="2" t="s">
        <v>221</v>
      </c>
      <c r="G4918" s="2" t="s">
        <v>30629</v>
      </c>
      <c r="H4918" s="3" t="s">
        <v>31</v>
      </c>
      <c r="I4918" s="3">
        <v>1.0</v>
      </c>
      <c r="J4918" s="3">
        <v>1.0</v>
      </c>
      <c r="K4918" s="3" t="s">
        <v>31</v>
      </c>
      <c r="L4918" s="4" t="s">
        <v>30171</v>
      </c>
      <c r="M4918" s="2" t="s">
        <v>30630</v>
      </c>
      <c r="N4918" s="2" t="s">
        <v>1348</v>
      </c>
      <c r="O4918" s="4" t="s">
        <v>1349</v>
      </c>
      <c r="P4918" s="2" t="s">
        <v>30152</v>
      </c>
      <c r="Q4918" s="2" t="s">
        <v>30153</v>
      </c>
      <c r="R4918" s="2" t="s">
        <v>1018</v>
      </c>
      <c r="S4918" s="4" t="s">
        <v>30154</v>
      </c>
      <c r="T4918" s="2" t="s">
        <v>1019</v>
      </c>
      <c r="U4918" s="4" t="s">
        <v>31</v>
      </c>
      <c r="V4918" s="2" t="s">
        <v>30285</v>
      </c>
      <c r="W4918" s="2" t="s">
        <v>30140</v>
      </c>
      <c r="X4918" s="5" t="str">
        <f>HYPERLINK("https://my.pitchbook.com?p=346456-54P","View People Online")</f>
        <v>View People Online</v>
      </c>
    </row>
    <row r="4919">
      <c r="A4919" s="6" t="s">
        <v>30631</v>
      </c>
      <c r="B4919" s="6" t="s">
        <v>30632</v>
      </c>
      <c r="C4919" s="6" t="s">
        <v>4739</v>
      </c>
      <c r="D4919" s="6" t="s">
        <v>28320</v>
      </c>
      <c r="E4919" s="6" t="s">
        <v>30140</v>
      </c>
      <c r="F4919" s="6" t="s">
        <v>2652</v>
      </c>
      <c r="G4919" s="6" t="s">
        <v>30633</v>
      </c>
      <c r="H4919" s="7" t="s">
        <v>31</v>
      </c>
      <c r="I4919" s="7">
        <v>1.0</v>
      </c>
      <c r="J4919" s="7">
        <v>1.0</v>
      </c>
      <c r="K4919" s="7" t="s">
        <v>31</v>
      </c>
      <c r="L4919" s="8" t="s">
        <v>30634</v>
      </c>
      <c r="M4919" s="6" t="s">
        <v>30635</v>
      </c>
      <c r="N4919" s="6" t="s">
        <v>1348</v>
      </c>
      <c r="O4919" s="8" t="s">
        <v>1349</v>
      </c>
      <c r="P4919" s="6" t="s">
        <v>30152</v>
      </c>
      <c r="Q4919" s="6" t="s">
        <v>30153</v>
      </c>
      <c r="R4919" s="6" t="s">
        <v>1018</v>
      </c>
      <c r="S4919" s="8" t="s">
        <v>30154</v>
      </c>
      <c r="T4919" s="6" t="s">
        <v>1019</v>
      </c>
      <c r="U4919" s="8" t="s">
        <v>30636</v>
      </c>
      <c r="V4919" s="6" t="s">
        <v>30637</v>
      </c>
      <c r="W4919" s="6" t="s">
        <v>30140</v>
      </c>
      <c r="X4919" s="9" t="str">
        <f>HYPERLINK("https://my.pitchbook.com?p=33657-04P","View People Online")</f>
        <v>View People Online</v>
      </c>
    </row>
    <row r="4920">
      <c r="A4920" s="10" t="s">
        <v>30638</v>
      </c>
      <c r="B4920" s="10" t="s">
        <v>30639</v>
      </c>
      <c r="C4920" s="10" t="s">
        <v>4345</v>
      </c>
      <c r="D4920" s="10" t="s">
        <v>30640</v>
      </c>
      <c r="E4920" s="10" t="s">
        <v>30140</v>
      </c>
      <c r="F4920" s="10" t="s">
        <v>2652</v>
      </c>
      <c r="G4920" s="10" t="s">
        <v>30641</v>
      </c>
      <c r="H4920" s="11" t="s">
        <v>31</v>
      </c>
      <c r="I4920" s="11">
        <v>1.0</v>
      </c>
      <c r="J4920" s="11">
        <v>1.0</v>
      </c>
      <c r="K4920" s="11" t="s">
        <v>31</v>
      </c>
      <c r="L4920" s="12" t="s">
        <v>30161</v>
      </c>
      <c r="M4920" s="10" t="s">
        <v>30642</v>
      </c>
      <c r="N4920" s="10" t="s">
        <v>3603</v>
      </c>
      <c r="O4920" s="12" t="s">
        <v>3604</v>
      </c>
      <c r="P4920" s="10" t="s">
        <v>30163</v>
      </c>
      <c r="Q4920" s="10" t="s">
        <v>30164</v>
      </c>
      <c r="R4920" s="10" t="s">
        <v>31</v>
      </c>
      <c r="S4920" s="12" t="s">
        <v>31</v>
      </c>
      <c r="T4920" s="10" t="s">
        <v>3603</v>
      </c>
      <c r="U4920" s="12" t="s">
        <v>31</v>
      </c>
      <c r="V4920" s="10" t="s">
        <v>30643</v>
      </c>
      <c r="W4920" s="10" t="s">
        <v>30140</v>
      </c>
      <c r="X4920" s="13" t="str">
        <f>HYPERLINK("https://my.pitchbook.com?p=326202-58P","View People Online")</f>
        <v>View People Online</v>
      </c>
    </row>
    <row r="4921">
      <c r="A4921" s="6" t="s">
        <v>30644</v>
      </c>
      <c r="B4921" s="6" t="s">
        <v>30645</v>
      </c>
      <c r="C4921" s="6" t="s">
        <v>607</v>
      </c>
      <c r="D4921" s="6" t="s">
        <v>30646</v>
      </c>
      <c r="E4921" s="6" t="s">
        <v>30140</v>
      </c>
      <c r="F4921" s="6" t="s">
        <v>1283</v>
      </c>
      <c r="G4921" s="6" t="s">
        <v>30647</v>
      </c>
      <c r="H4921" s="7" t="s">
        <v>31</v>
      </c>
      <c r="I4921" s="7">
        <v>1.0</v>
      </c>
      <c r="J4921" s="7">
        <v>1.0</v>
      </c>
      <c r="K4921" s="7" t="s">
        <v>31</v>
      </c>
      <c r="L4921" s="8" t="s">
        <v>30648</v>
      </c>
      <c r="M4921" s="6" t="s">
        <v>30649</v>
      </c>
      <c r="N4921" s="6" t="s">
        <v>75</v>
      </c>
      <c r="O4921" s="8" t="s">
        <v>76</v>
      </c>
      <c r="P4921" s="6" t="s">
        <v>30215</v>
      </c>
      <c r="Q4921" s="6" t="s">
        <v>24925</v>
      </c>
      <c r="R4921" s="6" t="s">
        <v>75</v>
      </c>
      <c r="S4921" s="8" t="s">
        <v>1432</v>
      </c>
      <c r="T4921" s="6" t="s">
        <v>66</v>
      </c>
      <c r="U4921" s="8" t="s">
        <v>30636</v>
      </c>
      <c r="V4921" s="6" t="s">
        <v>30562</v>
      </c>
      <c r="W4921" s="6" t="s">
        <v>30140</v>
      </c>
      <c r="X4921" s="9" t="str">
        <f>HYPERLINK("https://my.pitchbook.com?p=33657-67P","View People Online")</f>
        <v>View People Online</v>
      </c>
    </row>
    <row r="4922">
      <c r="A4922" s="2" t="s">
        <v>30650</v>
      </c>
      <c r="B4922" s="2" t="s">
        <v>30651</v>
      </c>
      <c r="C4922" s="2" t="s">
        <v>3521</v>
      </c>
      <c r="D4922" s="2" t="s">
        <v>28985</v>
      </c>
      <c r="E4922" s="2" t="s">
        <v>30140</v>
      </c>
      <c r="F4922" s="2" t="s">
        <v>30652</v>
      </c>
      <c r="G4922" s="2" t="s">
        <v>30653</v>
      </c>
      <c r="H4922" s="3" t="s">
        <v>31</v>
      </c>
      <c r="I4922" s="3">
        <v>1.0</v>
      </c>
      <c r="J4922" s="3">
        <v>1.0</v>
      </c>
      <c r="K4922" s="3" t="s">
        <v>31</v>
      </c>
      <c r="L4922" s="4" t="s">
        <v>30178</v>
      </c>
      <c r="M4922" s="2" t="s">
        <v>30654</v>
      </c>
      <c r="N4922" s="2" t="s">
        <v>243</v>
      </c>
      <c r="O4922" s="4" t="s">
        <v>244</v>
      </c>
      <c r="P4922" s="2" t="s">
        <v>30180</v>
      </c>
      <c r="Q4922" s="2" t="s">
        <v>6831</v>
      </c>
      <c r="R4922" s="2" t="s">
        <v>247</v>
      </c>
      <c r="S4922" s="4" t="s">
        <v>30181</v>
      </c>
      <c r="T4922" s="2" t="s">
        <v>249</v>
      </c>
      <c r="U4922" s="4" t="s">
        <v>31</v>
      </c>
      <c r="V4922" s="2" t="s">
        <v>30652</v>
      </c>
      <c r="W4922" s="2" t="s">
        <v>30140</v>
      </c>
      <c r="X4922" s="5" t="str">
        <f>HYPERLINK("https://my.pitchbook.com?p=254381-59P","View People Online")</f>
        <v>View People Online</v>
      </c>
    </row>
    <row r="4923">
      <c r="A4923" s="14" t="s">
        <v>30655</v>
      </c>
      <c r="B4923" s="14" t="s">
        <v>30656</v>
      </c>
      <c r="C4923" s="14" t="s">
        <v>30657</v>
      </c>
      <c r="D4923" s="14" t="s">
        <v>30658</v>
      </c>
      <c r="E4923" s="14" t="s">
        <v>30140</v>
      </c>
      <c r="F4923" s="14" t="s">
        <v>318</v>
      </c>
      <c r="G4923" s="14" t="s">
        <v>30659</v>
      </c>
      <c r="H4923" s="15" t="s">
        <v>31</v>
      </c>
      <c r="I4923" s="15">
        <v>1.0</v>
      </c>
      <c r="J4923" s="15">
        <v>1.0</v>
      </c>
      <c r="K4923" s="15" t="s">
        <v>31</v>
      </c>
      <c r="L4923" s="16" t="s">
        <v>30171</v>
      </c>
      <c r="M4923" s="14" t="s">
        <v>30660</v>
      </c>
      <c r="N4923" s="14" t="s">
        <v>1348</v>
      </c>
      <c r="O4923" s="16" t="s">
        <v>1349</v>
      </c>
      <c r="P4923" s="14" t="s">
        <v>30152</v>
      </c>
      <c r="Q4923" s="14" t="s">
        <v>30153</v>
      </c>
      <c r="R4923" s="14" t="s">
        <v>1018</v>
      </c>
      <c r="S4923" s="16" t="s">
        <v>30154</v>
      </c>
      <c r="T4923" s="14" t="s">
        <v>1019</v>
      </c>
      <c r="U4923" s="16" t="s">
        <v>31</v>
      </c>
      <c r="V4923" s="14" t="s">
        <v>30661</v>
      </c>
      <c r="W4923" s="14" t="s">
        <v>30140</v>
      </c>
      <c r="X4923" s="17" t="str">
        <f>HYPERLINK("https://my.pitchbook.com?p=34573-06P","View People Online")</f>
        <v>View People Online</v>
      </c>
    </row>
    <row r="4924">
      <c r="A4924" s="2" t="s">
        <v>30662</v>
      </c>
      <c r="B4924" s="2" t="s">
        <v>30663</v>
      </c>
      <c r="C4924" s="2" t="s">
        <v>17438</v>
      </c>
      <c r="D4924" s="2" t="s">
        <v>2801</v>
      </c>
      <c r="E4924" s="2" t="s">
        <v>30140</v>
      </c>
      <c r="F4924" s="2" t="s">
        <v>201</v>
      </c>
      <c r="G4924" s="2" t="s">
        <v>30664</v>
      </c>
      <c r="H4924" s="3" t="s">
        <v>31</v>
      </c>
      <c r="I4924" s="3">
        <v>1.0</v>
      </c>
      <c r="J4924" s="3">
        <v>1.0</v>
      </c>
      <c r="K4924" s="3" t="s">
        <v>31</v>
      </c>
      <c r="L4924" s="4" t="s">
        <v>30171</v>
      </c>
      <c r="M4924" s="2" t="s">
        <v>30665</v>
      </c>
      <c r="N4924" s="2" t="s">
        <v>1348</v>
      </c>
      <c r="O4924" s="4" t="s">
        <v>1349</v>
      </c>
      <c r="P4924" s="2" t="s">
        <v>30152</v>
      </c>
      <c r="Q4924" s="2" t="s">
        <v>30153</v>
      </c>
      <c r="R4924" s="2" t="s">
        <v>1018</v>
      </c>
      <c r="S4924" s="4" t="s">
        <v>30154</v>
      </c>
      <c r="T4924" s="2" t="s">
        <v>1019</v>
      </c>
      <c r="U4924" s="4" t="s">
        <v>31</v>
      </c>
      <c r="V4924" s="2" t="s">
        <v>30666</v>
      </c>
      <c r="W4924" s="2" t="s">
        <v>30140</v>
      </c>
      <c r="X4924" s="5" t="str">
        <f>HYPERLINK("https://my.pitchbook.com?p=397008-91P","View People Online")</f>
        <v>View People Online</v>
      </c>
    </row>
    <row r="4925">
      <c r="A4925" s="14" t="s">
        <v>30667</v>
      </c>
      <c r="B4925" s="14" t="s">
        <v>30668</v>
      </c>
      <c r="C4925" s="14" t="s">
        <v>823</v>
      </c>
      <c r="D4925" s="14" t="s">
        <v>30669</v>
      </c>
      <c r="E4925" s="14" t="s">
        <v>30140</v>
      </c>
      <c r="F4925" s="14" t="s">
        <v>2652</v>
      </c>
      <c r="G4925" s="14" t="s">
        <v>30670</v>
      </c>
      <c r="H4925" s="15">
        <v>2.0</v>
      </c>
      <c r="I4925" s="15">
        <v>12.0</v>
      </c>
      <c r="J4925" s="15">
        <v>1.0</v>
      </c>
      <c r="K4925" s="15">
        <v>9.0</v>
      </c>
      <c r="L4925" s="16" t="s">
        <v>30671</v>
      </c>
      <c r="M4925" s="14" t="s">
        <v>30672</v>
      </c>
      <c r="N4925" s="14" t="s">
        <v>243</v>
      </c>
      <c r="O4925" s="16" t="s">
        <v>244</v>
      </c>
      <c r="P4925" s="14" t="s">
        <v>30180</v>
      </c>
      <c r="Q4925" s="14" t="s">
        <v>6831</v>
      </c>
      <c r="R4925" s="14" t="s">
        <v>247</v>
      </c>
      <c r="S4925" s="16" t="s">
        <v>30181</v>
      </c>
      <c r="T4925" s="14" t="s">
        <v>249</v>
      </c>
      <c r="U4925" s="16" t="s">
        <v>31</v>
      </c>
      <c r="V4925" s="14" t="s">
        <v>30673</v>
      </c>
      <c r="W4925" s="14" t="s">
        <v>30140</v>
      </c>
      <c r="X4925" s="17" t="str">
        <f>HYPERLINK("https://my.pitchbook.com?p=168104-89P","View People Online")</f>
        <v>View People Online</v>
      </c>
    </row>
    <row r="4926">
      <c r="A4926" s="2" t="s">
        <v>30674</v>
      </c>
      <c r="B4926" s="2" t="s">
        <v>30675</v>
      </c>
      <c r="C4926" s="2" t="s">
        <v>823</v>
      </c>
      <c r="D4926" s="2" t="s">
        <v>6030</v>
      </c>
      <c r="E4926" s="2" t="s">
        <v>30140</v>
      </c>
      <c r="F4926" s="2" t="s">
        <v>1283</v>
      </c>
      <c r="G4926" s="2" t="s">
        <v>30676</v>
      </c>
      <c r="H4926" s="3">
        <v>2.0</v>
      </c>
      <c r="I4926" s="3">
        <v>5.0</v>
      </c>
      <c r="J4926" s="3">
        <v>1.0</v>
      </c>
      <c r="K4926" s="3">
        <v>2.0</v>
      </c>
      <c r="L4926" s="4" t="s">
        <v>30171</v>
      </c>
      <c r="M4926" s="2" t="s">
        <v>30677</v>
      </c>
      <c r="N4926" s="2" t="s">
        <v>1348</v>
      </c>
      <c r="O4926" s="4" t="s">
        <v>1349</v>
      </c>
      <c r="P4926" s="2" t="s">
        <v>30152</v>
      </c>
      <c r="Q4926" s="2" t="s">
        <v>30153</v>
      </c>
      <c r="R4926" s="2" t="s">
        <v>1018</v>
      </c>
      <c r="S4926" s="4" t="s">
        <v>30154</v>
      </c>
      <c r="T4926" s="2" t="s">
        <v>1019</v>
      </c>
      <c r="U4926" s="4" t="s">
        <v>31</v>
      </c>
      <c r="V4926" s="2" t="s">
        <v>30216</v>
      </c>
      <c r="W4926" s="2" t="s">
        <v>30140</v>
      </c>
      <c r="X4926" s="5" t="str">
        <f>HYPERLINK("https://my.pitchbook.com?p=331643-80P","View People Online")</f>
        <v>View People Online</v>
      </c>
    </row>
    <row r="4927">
      <c r="A4927" s="6" t="s">
        <v>30678</v>
      </c>
      <c r="B4927" s="6" t="s">
        <v>30679</v>
      </c>
      <c r="C4927" s="6" t="s">
        <v>3529</v>
      </c>
      <c r="D4927" s="6" t="s">
        <v>19861</v>
      </c>
      <c r="E4927" s="6" t="s">
        <v>30140</v>
      </c>
      <c r="F4927" s="6" t="s">
        <v>1283</v>
      </c>
      <c r="G4927" s="6" t="s">
        <v>30680</v>
      </c>
      <c r="H4927" s="7" t="s">
        <v>31</v>
      </c>
      <c r="I4927" s="7">
        <v>1.0</v>
      </c>
      <c r="J4927" s="7">
        <v>1.0</v>
      </c>
      <c r="K4927" s="7" t="s">
        <v>31</v>
      </c>
      <c r="L4927" s="8" t="s">
        <v>30161</v>
      </c>
      <c r="M4927" s="6" t="s">
        <v>30681</v>
      </c>
      <c r="N4927" s="6" t="s">
        <v>3603</v>
      </c>
      <c r="O4927" s="8" t="s">
        <v>3604</v>
      </c>
      <c r="P4927" s="6" t="s">
        <v>30163</v>
      </c>
      <c r="Q4927" s="6" t="s">
        <v>30164</v>
      </c>
      <c r="R4927" s="6" t="s">
        <v>31</v>
      </c>
      <c r="S4927" s="8" t="s">
        <v>31</v>
      </c>
      <c r="T4927" s="6" t="s">
        <v>3603</v>
      </c>
      <c r="U4927" s="8" t="s">
        <v>31</v>
      </c>
      <c r="V4927" s="6" t="s">
        <v>24452</v>
      </c>
      <c r="W4927" s="6" t="s">
        <v>30140</v>
      </c>
      <c r="X4927" s="9" t="str">
        <f>HYPERLINK("https://my.pitchbook.com?p=421039-09P","View People Online")</f>
        <v>View People Online</v>
      </c>
    </row>
    <row r="4928">
      <c r="A4928" s="2" t="s">
        <v>30682</v>
      </c>
      <c r="B4928" s="2" t="s">
        <v>30683</v>
      </c>
      <c r="C4928" s="2" t="s">
        <v>3529</v>
      </c>
      <c r="D4928" s="2" t="s">
        <v>30684</v>
      </c>
      <c r="E4928" s="2" t="s">
        <v>30140</v>
      </c>
      <c r="F4928" s="2" t="s">
        <v>1283</v>
      </c>
      <c r="G4928" s="2" t="s">
        <v>30685</v>
      </c>
      <c r="H4928" s="3" t="s">
        <v>31</v>
      </c>
      <c r="I4928" s="3">
        <v>1.0</v>
      </c>
      <c r="J4928" s="3">
        <v>1.0</v>
      </c>
      <c r="K4928" s="3" t="s">
        <v>31</v>
      </c>
      <c r="L4928" s="4" t="s">
        <v>30686</v>
      </c>
      <c r="M4928" s="2" t="s">
        <v>30687</v>
      </c>
      <c r="N4928" s="2" t="s">
        <v>1348</v>
      </c>
      <c r="O4928" s="4" t="s">
        <v>1349</v>
      </c>
      <c r="P4928" s="2" t="s">
        <v>30152</v>
      </c>
      <c r="Q4928" s="2" t="s">
        <v>30153</v>
      </c>
      <c r="R4928" s="2" t="s">
        <v>1018</v>
      </c>
      <c r="S4928" s="4" t="s">
        <v>30154</v>
      </c>
      <c r="T4928" s="2" t="s">
        <v>1019</v>
      </c>
      <c r="U4928" s="4" t="s">
        <v>31</v>
      </c>
      <c r="V4928" s="2" t="s">
        <v>30688</v>
      </c>
      <c r="W4928" s="2" t="s">
        <v>30140</v>
      </c>
      <c r="X4928" s="5" t="str">
        <f>HYPERLINK("https://my.pitchbook.com?p=33656-50P","View People Online")</f>
        <v>View People Online</v>
      </c>
    </row>
    <row r="4929">
      <c r="A4929" s="6" t="s">
        <v>30689</v>
      </c>
      <c r="B4929" s="6" t="s">
        <v>30690</v>
      </c>
      <c r="C4929" s="6" t="s">
        <v>350</v>
      </c>
      <c r="D4929" s="6" t="s">
        <v>30691</v>
      </c>
      <c r="E4929" s="6" t="s">
        <v>30140</v>
      </c>
      <c r="F4929" s="6" t="s">
        <v>1283</v>
      </c>
      <c r="G4929" s="6" t="s">
        <v>30692</v>
      </c>
      <c r="H4929" s="7" t="s">
        <v>31</v>
      </c>
      <c r="I4929" s="7">
        <v>1.0</v>
      </c>
      <c r="J4929" s="7">
        <v>1.0</v>
      </c>
      <c r="K4929" s="7" t="s">
        <v>31</v>
      </c>
      <c r="L4929" s="8" t="s">
        <v>30272</v>
      </c>
      <c r="M4929" s="6" t="s">
        <v>30693</v>
      </c>
      <c r="N4929" s="6" t="s">
        <v>75</v>
      </c>
      <c r="O4929" s="8" t="s">
        <v>76</v>
      </c>
      <c r="P4929" s="6" t="s">
        <v>30215</v>
      </c>
      <c r="Q4929" s="6" t="s">
        <v>24925</v>
      </c>
      <c r="R4929" s="6" t="s">
        <v>75</v>
      </c>
      <c r="S4929" s="8" t="s">
        <v>1432</v>
      </c>
      <c r="T4929" s="6" t="s">
        <v>66</v>
      </c>
      <c r="U4929" s="8" t="s">
        <v>31</v>
      </c>
      <c r="V4929" s="6" t="s">
        <v>30550</v>
      </c>
      <c r="W4929" s="6" t="s">
        <v>30140</v>
      </c>
      <c r="X4929" s="9" t="str">
        <f>HYPERLINK("https://my.pitchbook.com?p=38092-42P","View People Online")</f>
        <v>View People Online</v>
      </c>
    </row>
    <row r="4930">
      <c r="A4930" s="10" t="s">
        <v>30694</v>
      </c>
      <c r="B4930" s="10" t="s">
        <v>30695</v>
      </c>
      <c r="C4930" s="10" t="s">
        <v>9049</v>
      </c>
      <c r="D4930" s="10" t="s">
        <v>17760</v>
      </c>
      <c r="E4930" s="10" t="s">
        <v>30140</v>
      </c>
      <c r="F4930" s="10" t="s">
        <v>221</v>
      </c>
      <c r="G4930" s="10" t="s">
        <v>30696</v>
      </c>
      <c r="H4930" s="11" t="s">
        <v>31</v>
      </c>
      <c r="I4930" s="11">
        <v>1.0</v>
      </c>
      <c r="J4930" s="11">
        <v>1.0</v>
      </c>
      <c r="K4930" s="11" t="s">
        <v>31</v>
      </c>
      <c r="L4930" s="12" t="s">
        <v>30171</v>
      </c>
      <c r="M4930" s="10" t="s">
        <v>30697</v>
      </c>
      <c r="N4930" s="10" t="s">
        <v>1348</v>
      </c>
      <c r="O4930" s="12" t="s">
        <v>1349</v>
      </c>
      <c r="P4930" s="10" t="s">
        <v>30152</v>
      </c>
      <c r="Q4930" s="10" t="s">
        <v>30153</v>
      </c>
      <c r="R4930" s="10" t="s">
        <v>1018</v>
      </c>
      <c r="S4930" s="12" t="s">
        <v>30154</v>
      </c>
      <c r="T4930" s="10" t="s">
        <v>1019</v>
      </c>
      <c r="U4930" s="12" t="s">
        <v>31</v>
      </c>
      <c r="V4930" s="10" t="s">
        <v>30203</v>
      </c>
      <c r="W4930" s="10" t="s">
        <v>30140</v>
      </c>
      <c r="X4930" s="13" t="str">
        <f>HYPERLINK("https://my.pitchbook.com?p=153673-84P","View People Online")</f>
        <v>View People Online</v>
      </c>
    </row>
    <row r="4931">
      <c r="A4931" s="6" t="s">
        <v>30698</v>
      </c>
      <c r="B4931" s="6" t="s">
        <v>30699</v>
      </c>
      <c r="C4931" s="6" t="s">
        <v>17839</v>
      </c>
      <c r="D4931" s="6" t="s">
        <v>30700</v>
      </c>
      <c r="E4931" s="6" t="s">
        <v>30140</v>
      </c>
      <c r="F4931" s="6" t="s">
        <v>2652</v>
      </c>
      <c r="G4931" s="6" t="s">
        <v>30701</v>
      </c>
      <c r="H4931" s="7" t="s">
        <v>31</v>
      </c>
      <c r="I4931" s="7">
        <v>23.0</v>
      </c>
      <c r="J4931" s="7">
        <v>1.0</v>
      </c>
      <c r="K4931" s="7">
        <v>15.0</v>
      </c>
      <c r="L4931" s="8" t="s">
        <v>30702</v>
      </c>
      <c r="M4931" s="6" t="s">
        <v>30703</v>
      </c>
      <c r="N4931" s="6" t="s">
        <v>3603</v>
      </c>
      <c r="O4931" s="8" t="s">
        <v>3604</v>
      </c>
      <c r="P4931" s="6" t="s">
        <v>30163</v>
      </c>
      <c r="Q4931" s="6" t="s">
        <v>30164</v>
      </c>
      <c r="R4931" s="6" t="s">
        <v>31</v>
      </c>
      <c r="S4931" s="8" t="s">
        <v>31</v>
      </c>
      <c r="T4931" s="6" t="s">
        <v>3603</v>
      </c>
      <c r="U4931" s="8" t="s">
        <v>31</v>
      </c>
      <c r="V4931" s="6" t="s">
        <v>30595</v>
      </c>
      <c r="W4931" s="6" t="s">
        <v>30140</v>
      </c>
      <c r="X4931" s="9" t="str">
        <f>HYPERLINK("https://my.pitchbook.com?p=40966-48P","View People Online")</f>
        <v>View People Online</v>
      </c>
    </row>
    <row r="4932">
      <c r="A4932" s="10" t="s">
        <v>30704</v>
      </c>
      <c r="B4932" s="10" t="s">
        <v>30705</v>
      </c>
      <c r="C4932" s="10" t="s">
        <v>1343</v>
      </c>
      <c r="D4932" s="10" t="s">
        <v>4332</v>
      </c>
      <c r="E4932" s="10" t="s">
        <v>30140</v>
      </c>
      <c r="F4932" s="10" t="s">
        <v>1459</v>
      </c>
      <c r="G4932" s="10" t="s">
        <v>30706</v>
      </c>
      <c r="H4932" s="11">
        <v>1.0</v>
      </c>
      <c r="I4932" s="11">
        <v>5.0</v>
      </c>
      <c r="J4932" s="11">
        <v>3.0</v>
      </c>
      <c r="K4932" s="11">
        <v>1.0</v>
      </c>
      <c r="L4932" s="12" t="s">
        <v>30707</v>
      </c>
      <c r="M4932" s="10" t="s">
        <v>30708</v>
      </c>
      <c r="N4932" s="10" t="s">
        <v>1348</v>
      </c>
      <c r="O4932" s="12" t="s">
        <v>1349</v>
      </c>
      <c r="P4932" s="10" t="s">
        <v>30152</v>
      </c>
      <c r="Q4932" s="10" t="s">
        <v>30153</v>
      </c>
      <c r="R4932" s="10" t="s">
        <v>1018</v>
      </c>
      <c r="S4932" s="12" t="s">
        <v>30154</v>
      </c>
      <c r="T4932" s="10" t="s">
        <v>1019</v>
      </c>
      <c r="U4932" s="12" t="s">
        <v>30636</v>
      </c>
      <c r="V4932" s="10" t="s">
        <v>1612</v>
      </c>
      <c r="W4932" s="10" t="s">
        <v>30140</v>
      </c>
      <c r="X4932" s="13" t="str">
        <f>HYPERLINK("https://my.pitchbook.com?p=133327-36P","View People Online")</f>
        <v>View People Online</v>
      </c>
    </row>
    <row r="4933">
      <c r="A4933" s="6" t="s">
        <v>30709</v>
      </c>
      <c r="B4933" s="6" t="s">
        <v>30710</v>
      </c>
      <c r="C4933" s="6" t="s">
        <v>30711</v>
      </c>
      <c r="D4933" s="6" t="s">
        <v>30712</v>
      </c>
      <c r="E4933" s="6" t="s">
        <v>30140</v>
      </c>
      <c r="F4933" s="6" t="s">
        <v>1283</v>
      </c>
      <c r="G4933" s="6" t="s">
        <v>30713</v>
      </c>
      <c r="H4933" s="7" t="s">
        <v>31</v>
      </c>
      <c r="I4933" s="7">
        <v>1.0</v>
      </c>
      <c r="J4933" s="7">
        <v>1.0</v>
      </c>
      <c r="K4933" s="7" t="s">
        <v>31</v>
      </c>
      <c r="L4933" s="8" t="s">
        <v>30171</v>
      </c>
      <c r="M4933" s="6" t="s">
        <v>30714</v>
      </c>
      <c r="N4933" s="6" t="s">
        <v>1348</v>
      </c>
      <c r="O4933" s="8" t="s">
        <v>1349</v>
      </c>
      <c r="P4933" s="6" t="s">
        <v>30152</v>
      </c>
      <c r="Q4933" s="6" t="s">
        <v>30153</v>
      </c>
      <c r="R4933" s="6" t="s">
        <v>1018</v>
      </c>
      <c r="S4933" s="8" t="s">
        <v>30154</v>
      </c>
      <c r="T4933" s="6" t="s">
        <v>1019</v>
      </c>
      <c r="U4933" s="8" t="s">
        <v>31</v>
      </c>
      <c r="V4933" s="6" t="s">
        <v>30245</v>
      </c>
      <c r="W4933" s="6" t="s">
        <v>30140</v>
      </c>
      <c r="X4933" s="9" t="str">
        <f>HYPERLINK("https://my.pitchbook.com?p=421033-87P","View People Online")</f>
        <v>View People Online</v>
      </c>
    </row>
    <row r="4934">
      <c r="A4934" s="2" t="s">
        <v>30715</v>
      </c>
      <c r="B4934" s="2" t="s">
        <v>30716</v>
      </c>
      <c r="C4934" s="2" t="s">
        <v>1356</v>
      </c>
      <c r="D4934" s="2" t="s">
        <v>9675</v>
      </c>
      <c r="E4934" s="2" t="s">
        <v>30140</v>
      </c>
      <c r="F4934" s="2" t="s">
        <v>1283</v>
      </c>
      <c r="G4934" s="2" t="s">
        <v>30717</v>
      </c>
      <c r="H4934" s="3" t="s">
        <v>31</v>
      </c>
      <c r="I4934" s="3">
        <v>1.0</v>
      </c>
      <c r="J4934" s="3">
        <v>1.0</v>
      </c>
      <c r="K4934" s="3" t="s">
        <v>31</v>
      </c>
      <c r="L4934" s="4" t="s">
        <v>30171</v>
      </c>
      <c r="M4934" s="2" t="s">
        <v>30718</v>
      </c>
      <c r="N4934" s="2" t="s">
        <v>1348</v>
      </c>
      <c r="O4934" s="4" t="s">
        <v>1349</v>
      </c>
      <c r="P4934" s="2" t="s">
        <v>30152</v>
      </c>
      <c r="Q4934" s="2" t="s">
        <v>30153</v>
      </c>
      <c r="R4934" s="2" t="s">
        <v>1018</v>
      </c>
      <c r="S4934" s="4" t="s">
        <v>30154</v>
      </c>
      <c r="T4934" s="2" t="s">
        <v>1019</v>
      </c>
      <c r="U4934" s="4" t="s">
        <v>31</v>
      </c>
      <c r="V4934" s="2" t="s">
        <v>30719</v>
      </c>
      <c r="W4934" s="2" t="s">
        <v>30140</v>
      </c>
      <c r="X4934" s="5" t="str">
        <f>HYPERLINK("https://my.pitchbook.com?p=92854-99P","View People Online")</f>
        <v>View People Online</v>
      </c>
    </row>
    <row r="4935">
      <c r="A4935" s="6" t="s">
        <v>30720</v>
      </c>
      <c r="B4935" s="6" t="s">
        <v>30721</v>
      </c>
      <c r="C4935" s="6" t="s">
        <v>1356</v>
      </c>
      <c r="D4935" s="6" t="s">
        <v>17473</v>
      </c>
      <c r="E4935" s="6" t="s">
        <v>30140</v>
      </c>
      <c r="F4935" s="6" t="s">
        <v>30722</v>
      </c>
      <c r="G4935" s="6" t="s">
        <v>30723</v>
      </c>
      <c r="H4935" s="7" t="s">
        <v>31</v>
      </c>
      <c r="I4935" s="7">
        <v>1.0</v>
      </c>
      <c r="J4935" s="7">
        <v>1.0</v>
      </c>
      <c r="K4935" s="7" t="s">
        <v>31</v>
      </c>
      <c r="L4935" s="8" t="s">
        <v>30171</v>
      </c>
      <c r="M4935" s="6" t="s">
        <v>30724</v>
      </c>
      <c r="N4935" s="6" t="s">
        <v>1348</v>
      </c>
      <c r="O4935" s="8" t="s">
        <v>1349</v>
      </c>
      <c r="P4935" s="6" t="s">
        <v>30152</v>
      </c>
      <c r="Q4935" s="6" t="s">
        <v>30153</v>
      </c>
      <c r="R4935" s="6" t="s">
        <v>1018</v>
      </c>
      <c r="S4935" s="8" t="s">
        <v>30154</v>
      </c>
      <c r="T4935" s="6" t="s">
        <v>1019</v>
      </c>
      <c r="U4935" s="8" t="s">
        <v>31</v>
      </c>
      <c r="V4935" s="6" t="s">
        <v>30722</v>
      </c>
      <c r="W4935" s="6" t="s">
        <v>30140</v>
      </c>
      <c r="X4935" s="9" t="str">
        <f>HYPERLINK("https://my.pitchbook.com?p=336458-26P","View People Online")</f>
        <v>View People Online</v>
      </c>
    </row>
    <row r="4936">
      <c r="A4936" s="2" t="s">
        <v>30725</v>
      </c>
      <c r="B4936" s="2" t="s">
        <v>30726</v>
      </c>
      <c r="C4936" s="2" t="s">
        <v>30727</v>
      </c>
      <c r="D4936" s="2" t="s">
        <v>666</v>
      </c>
      <c r="E4936" s="2" t="s">
        <v>30140</v>
      </c>
      <c r="F4936" s="2" t="s">
        <v>1283</v>
      </c>
      <c r="G4936" s="2" t="s">
        <v>30728</v>
      </c>
      <c r="H4936" s="3" t="s">
        <v>31</v>
      </c>
      <c r="I4936" s="3">
        <v>1.0</v>
      </c>
      <c r="J4936" s="3">
        <v>1.0</v>
      </c>
      <c r="K4936" s="3" t="s">
        <v>31</v>
      </c>
      <c r="L4936" s="4" t="s">
        <v>30161</v>
      </c>
      <c r="M4936" s="2" t="s">
        <v>30729</v>
      </c>
      <c r="N4936" s="2" t="s">
        <v>3603</v>
      </c>
      <c r="O4936" s="4" t="s">
        <v>3604</v>
      </c>
      <c r="P4936" s="2" t="s">
        <v>30163</v>
      </c>
      <c r="Q4936" s="2" t="s">
        <v>30164</v>
      </c>
      <c r="R4936" s="2" t="s">
        <v>31</v>
      </c>
      <c r="S4936" s="4" t="s">
        <v>31</v>
      </c>
      <c r="T4936" s="2" t="s">
        <v>3603</v>
      </c>
      <c r="U4936" s="4" t="s">
        <v>31</v>
      </c>
      <c r="V4936" s="2" t="s">
        <v>24452</v>
      </c>
      <c r="W4936" s="2" t="s">
        <v>30140</v>
      </c>
      <c r="X4936" s="5" t="str">
        <f>HYPERLINK("https://my.pitchbook.com?p=290009-98P","View People Online")</f>
        <v>View People Online</v>
      </c>
    </row>
    <row r="4937">
      <c r="A4937" s="14" t="s">
        <v>30730</v>
      </c>
      <c r="B4937" s="14" t="s">
        <v>30731</v>
      </c>
      <c r="C4937" s="14" t="s">
        <v>18382</v>
      </c>
      <c r="D4937" s="14" t="s">
        <v>30732</v>
      </c>
      <c r="E4937" s="14" t="s">
        <v>30140</v>
      </c>
      <c r="F4937" s="14" t="s">
        <v>1283</v>
      </c>
      <c r="G4937" s="14" t="s">
        <v>30733</v>
      </c>
      <c r="H4937" s="15">
        <v>1.0</v>
      </c>
      <c r="I4937" s="15">
        <v>2.0</v>
      </c>
      <c r="J4937" s="15">
        <v>2.0</v>
      </c>
      <c r="K4937" s="15" t="s">
        <v>31</v>
      </c>
      <c r="L4937" s="16" t="s">
        <v>30171</v>
      </c>
      <c r="M4937" s="14" t="s">
        <v>30734</v>
      </c>
      <c r="N4937" s="14" t="s">
        <v>1348</v>
      </c>
      <c r="O4937" s="16" t="s">
        <v>1349</v>
      </c>
      <c r="P4937" s="14" t="s">
        <v>30152</v>
      </c>
      <c r="Q4937" s="14" t="s">
        <v>30153</v>
      </c>
      <c r="R4937" s="14" t="s">
        <v>1018</v>
      </c>
      <c r="S4937" s="16" t="s">
        <v>30154</v>
      </c>
      <c r="T4937" s="14" t="s">
        <v>1019</v>
      </c>
      <c r="U4937" s="16" t="s">
        <v>31</v>
      </c>
      <c r="V4937" s="14" t="s">
        <v>30216</v>
      </c>
      <c r="W4937" s="14" t="s">
        <v>30140</v>
      </c>
      <c r="X4937" s="17" t="str">
        <f>HYPERLINK("https://my.pitchbook.com?p=393030-91P","View People Online")</f>
        <v>View People Online</v>
      </c>
    </row>
    <row r="4938">
      <c r="A4938" s="10" t="s">
        <v>30735</v>
      </c>
      <c r="B4938" s="10" t="s">
        <v>30736</v>
      </c>
      <c r="C4938" s="10" t="s">
        <v>28147</v>
      </c>
      <c r="D4938" s="10" t="s">
        <v>29398</v>
      </c>
      <c r="E4938" s="10" t="s">
        <v>30140</v>
      </c>
      <c r="F4938" s="10" t="s">
        <v>2652</v>
      </c>
      <c r="G4938" s="10" t="s">
        <v>30737</v>
      </c>
      <c r="H4938" s="11" t="s">
        <v>31</v>
      </c>
      <c r="I4938" s="11">
        <v>1.0</v>
      </c>
      <c r="J4938" s="11">
        <v>1.0</v>
      </c>
      <c r="K4938" s="11" t="s">
        <v>31</v>
      </c>
      <c r="L4938" s="12" t="s">
        <v>30171</v>
      </c>
      <c r="M4938" s="10" t="s">
        <v>30738</v>
      </c>
      <c r="N4938" s="10" t="s">
        <v>1348</v>
      </c>
      <c r="O4938" s="12" t="s">
        <v>1349</v>
      </c>
      <c r="P4938" s="10" t="s">
        <v>30152</v>
      </c>
      <c r="Q4938" s="10" t="s">
        <v>30153</v>
      </c>
      <c r="R4938" s="10" t="s">
        <v>1018</v>
      </c>
      <c r="S4938" s="12" t="s">
        <v>30154</v>
      </c>
      <c r="T4938" s="10" t="s">
        <v>1019</v>
      </c>
      <c r="U4938" s="12" t="s">
        <v>31</v>
      </c>
      <c r="V4938" s="10" t="s">
        <v>30739</v>
      </c>
      <c r="W4938" s="10" t="s">
        <v>30140</v>
      </c>
      <c r="X4938" s="13" t="str">
        <f>HYPERLINK("https://my.pitchbook.com?p=155832-58P","View People Online")</f>
        <v>View People Online</v>
      </c>
    </row>
    <row r="4939">
      <c r="A4939" s="6" t="s">
        <v>30740</v>
      </c>
      <c r="B4939" s="6" t="s">
        <v>30741</v>
      </c>
      <c r="C4939" s="6" t="s">
        <v>28147</v>
      </c>
      <c r="D4939" s="6" t="s">
        <v>7776</v>
      </c>
      <c r="E4939" s="6" t="s">
        <v>30140</v>
      </c>
      <c r="F4939" s="6" t="s">
        <v>1283</v>
      </c>
      <c r="G4939" s="6" t="s">
        <v>30742</v>
      </c>
      <c r="H4939" s="7" t="s">
        <v>31</v>
      </c>
      <c r="I4939" s="7">
        <v>1.0</v>
      </c>
      <c r="J4939" s="7">
        <v>1.0</v>
      </c>
      <c r="K4939" s="7" t="s">
        <v>31</v>
      </c>
      <c r="L4939" s="8" t="s">
        <v>30743</v>
      </c>
      <c r="M4939" s="6" t="s">
        <v>30744</v>
      </c>
      <c r="N4939" s="6" t="s">
        <v>1348</v>
      </c>
      <c r="O4939" s="8" t="s">
        <v>1349</v>
      </c>
      <c r="P4939" s="6" t="s">
        <v>30152</v>
      </c>
      <c r="Q4939" s="6" t="s">
        <v>30153</v>
      </c>
      <c r="R4939" s="6" t="s">
        <v>1018</v>
      </c>
      <c r="S4939" s="8" t="s">
        <v>30154</v>
      </c>
      <c r="T4939" s="6" t="s">
        <v>1019</v>
      </c>
      <c r="U4939" s="8" t="s">
        <v>31</v>
      </c>
      <c r="V4939" s="6" t="s">
        <v>30745</v>
      </c>
      <c r="W4939" s="6" t="s">
        <v>30140</v>
      </c>
      <c r="X4939" s="9" t="str">
        <f>HYPERLINK("https://my.pitchbook.com?p=40962-34P","View People Online")</f>
        <v>View People Online</v>
      </c>
    </row>
    <row r="4940">
      <c r="A4940" s="10" t="s">
        <v>30746</v>
      </c>
      <c r="B4940" s="10" t="s">
        <v>30747</v>
      </c>
      <c r="C4940" s="10" t="s">
        <v>30748</v>
      </c>
      <c r="D4940" s="10" t="s">
        <v>26444</v>
      </c>
      <c r="E4940" s="10" t="s">
        <v>30140</v>
      </c>
      <c r="F4940" s="10" t="s">
        <v>2652</v>
      </c>
      <c r="G4940" s="10" t="s">
        <v>30749</v>
      </c>
      <c r="H4940" s="11" t="s">
        <v>31</v>
      </c>
      <c r="I4940" s="11">
        <v>1.0</v>
      </c>
      <c r="J4940" s="11">
        <v>1.0</v>
      </c>
      <c r="K4940" s="11" t="s">
        <v>31</v>
      </c>
      <c r="L4940" s="12" t="s">
        <v>30620</v>
      </c>
      <c r="M4940" s="10" t="s">
        <v>30750</v>
      </c>
      <c r="N4940" s="10" t="s">
        <v>1203</v>
      </c>
      <c r="O4940" s="12" t="s">
        <v>1204</v>
      </c>
      <c r="P4940" s="10" t="s">
        <v>30622</v>
      </c>
      <c r="Q4940" s="10" t="s">
        <v>30623</v>
      </c>
      <c r="R4940" s="10" t="s">
        <v>1207</v>
      </c>
      <c r="S4940" s="12" t="s">
        <v>13235</v>
      </c>
      <c r="T4940" s="10" t="s">
        <v>1209</v>
      </c>
      <c r="U4940" s="12" t="s">
        <v>31</v>
      </c>
      <c r="V4940" s="10" t="s">
        <v>30751</v>
      </c>
      <c r="W4940" s="10" t="s">
        <v>30140</v>
      </c>
      <c r="X4940" s="13" t="str">
        <f>HYPERLINK("https://my.pitchbook.com?p=329842-90P","View People Online")</f>
        <v>View People Online</v>
      </c>
    </row>
    <row r="4941">
      <c r="A4941" s="14" t="s">
        <v>30752</v>
      </c>
      <c r="B4941" s="14" t="s">
        <v>30753</v>
      </c>
      <c r="C4941" s="14" t="s">
        <v>17744</v>
      </c>
      <c r="D4941" s="14" t="s">
        <v>3637</v>
      </c>
      <c r="E4941" s="14" t="s">
        <v>30140</v>
      </c>
      <c r="F4941" s="14" t="s">
        <v>1283</v>
      </c>
      <c r="G4941" s="14" t="s">
        <v>30754</v>
      </c>
      <c r="H4941" s="15" t="s">
        <v>31</v>
      </c>
      <c r="I4941" s="15">
        <v>1.0</v>
      </c>
      <c r="J4941" s="15">
        <v>1.0</v>
      </c>
      <c r="K4941" s="15" t="s">
        <v>31</v>
      </c>
      <c r="L4941" s="16" t="s">
        <v>30161</v>
      </c>
      <c r="M4941" s="14" t="s">
        <v>30755</v>
      </c>
      <c r="N4941" s="14" t="s">
        <v>3603</v>
      </c>
      <c r="O4941" s="16" t="s">
        <v>3604</v>
      </c>
      <c r="P4941" s="14" t="s">
        <v>30163</v>
      </c>
      <c r="Q4941" s="14" t="s">
        <v>30164</v>
      </c>
      <c r="R4941" s="14" t="s">
        <v>31</v>
      </c>
      <c r="S4941" s="16" t="s">
        <v>31</v>
      </c>
      <c r="T4941" s="14" t="s">
        <v>3603</v>
      </c>
      <c r="U4941" s="16" t="s">
        <v>31</v>
      </c>
      <c r="V4941" s="14" t="s">
        <v>30756</v>
      </c>
      <c r="W4941" s="14" t="s">
        <v>30140</v>
      </c>
      <c r="X4941" s="17" t="str">
        <f>HYPERLINK("https://my.pitchbook.com?p=421124-23P","View People Online")</f>
        <v>View People Online</v>
      </c>
    </row>
    <row r="4942">
      <c r="A4942" s="10" t="s">
        <v>30757</v>
      </c>
      <c r="B4942" s="10" t="s">
        <v>30758</v>
      </c>
      <c r="C4942" s="10" t="s">
        <v>2469</v>
      </c>
      <c r="D4942" s="10" t="s">
        <v>9727</v>
      </c>
      <c r="E4942" s="10" t="s">
        <v>30140</v>
      </c>
      <c r="F4942" s="10" t="s">
        <v>2652</v>
      </c>
      <c r="G4942" s="10" t="s">
        <v>30759</v>
      </c>
      <c r="H4942" s="11" t="s">
        <v>31</v>
      </c>
      <c r="I4942" s="11">
        <v>2.0</v>
      </c>
      <c r="J4942" s="11">
        <v>1.0</v>
      </c>
      <c r="K4942" s="11">
        <v>1.0</v>
      </c>
      <c r="L4942" s="12" t="s">
        <v>30161</v>
      </c>
      <c r="M4942" s="10" t="s">
        <v>30760</v>
      </c>
      <c r="N4942" s="10" t="s">
        <v>3603</v>
      </c>
      <c r="O4942" s="12" t="s">
        <v>3604</v>
      </c>
      <c r="P4942" s="10" t="s">
        <v>30163</v>
      </c>
      <c r="Q4942" s="10" t="s">
        <v>30164</v>
      </c>
      <c r="R4942" s="10" t="s">
        <v>31</v>
      </c>
      <c r="S4942" s="12" t="s">
        <v>31</v>
      </c>
      <c r="T4942" s="10" t="s">
        <v>3603</v>
      </c>
      <c r="U4942" s="12" t="s">
        <v>31</v>
      </c>
      <c r="V4942" s="10" t="s">
        <v>30761</v>
      </c>
      <c r="W4942" s="10" t="s">
        <v>30140</v>
      </c>
      <c r="X4942" s="13" t="str">
        <f>HYPERLINK("https://my.pitchbook.com?p=329844-97P","View People Online")</f>
        <v>View People Online</v>
      </c>
    </row>
    <row r="4943">
      <c r="A4943" s="14" t="s">
        <v>30762</v>
      </c>
      <c r="B4943" s="14" t="s">
        <v>30763</v>
      </c>
      <c r="C4943" s="14" t="s">
        <v>5106</v>
      </c>
      <c r="D4943" s="14" t="s">
        <v>30764</v>
      </c>
      <c r="E4943" s="14" t="s">
        <v>30140</v>
      </c>
      <c r="F4943" s="14" t="s">
        <v>2652</v>
      </c>
      <c r="G4943" s="14" t="s">
        <v>30765</v>
      </c>
      <c r="H4943" s="15" t="s">
        <v>31</v>
      </c>
      <c r="I4943" s="15">
        <v>1.0</v>
      </c>
      <c r="J4943" s="15">
        <v>1.0</v>
      </c>
      <c r="K4943" s="15" t="s">
        <v>31</v>
      </c>
      <c r="L4943" s="16" t="s">
        <v>30178</v>
      </c>
      <c r="M4943" s="14" t="s">
        <v>30766</v>
      </c>
      <c r="N4943" s="14" t="s">
        <v>243</v>
      </c>
      <c r="O4943" s="16" t="s">
        <v>244</v>
      </c>
      <c r="P4943" s="14" t="s">
        <v>30180</v>
      </c>
      <c r="Q4943" s="14" t="s">
        <v>6831</v>
      </c>
      <c r="R4943" s="14" t="s">
        <v>247</v>
      </c>
      <c r="S4943" s="16" t="s">
        <v>30181</v>
      </c>
      <c r="T4943" s="14" t="s">
        <v>249</v>
      </c>
      <c r="U4943" s="16" t="s">
        <v>31</v>
      </c>
      <c r="V4943" s="14" t="s">
        <v>30767</v>
      </c>
      <c r="W4943" s="14" t="s">
        <v>30140</v>
      </c>
      <c r="X4943" s="17" t="str">
        <f>HYPERLINK("https://my.pitchbook.com?p=297533-80P","View People Online")</f>
        <v>View People Online</v>
      </c>
    </row>
    <row r="4944">
      <c r="A4944" s="10" t="s">
        <v>30768</v>
      </c>
      <c r="B4944" s="10" t="s">
        <v>30769</v>
      </c>
      <c r="C4944" s="10" t="s">
        <v>6017</v>
      </c>
      <c r="D4944" s="10" t="s">
        <v>30770</v>
      </c>
      <c r="E4944" s="10" t="s">
        <v>30140</v>
      </c>
      <c r="F4944" s="10" t="s">
        <v>30771</v>
      </c>
      <c r="G4944" s="10" t="s">
        <v>30772</v>
      </c>
      <c r="H4944" s="11">
        <v>1.0</v>
      </c>
      <c r="I4944" s="11">
        <v>2.0</v>
      </c>
      <c r="J4944" s="11">
        <v>1.0</v>
      </c>
      <c r="K4944" s="11" t="s">
        <v>31</v>
      </c>
      <c r="L4944" s="12" t="s">
        <v>30171</v>
      </c>
      <c r="M4944" s="10" t="s">
        <v>30773</v>
      </c>
      <c r="N4944" s="10" t="s">
        <v>1348</v>
      </c>
      <c r="O4944" s="12" t="s">
        <v>1349</v>
      </c>
      <c r="P4944" s="10" t="s">
        <v>30152</v>
      </c>
      <c r="Q4944" s="10" t="s">
        <v>30153</v>
      </c>
      <c r="R4944" s="10" t="s">
        <v>1018</v>
      </c>
      <c r="S4944" s="12" t="s">
        <v>30154</v>
      </c>
      <c r="T4944" s="10" t="s">
        <v>1019</v>
      </c>
      <c r="U4944" s="12" t="s">
        <v>31</v>
      </c>
      <c r="V4944" s="10" t="s">
        <v>30771</v>
      </c>
      <c r="W4944" s="10" t="s">
        <v>30140</v>
      </c>
      <c r="X4944" s="13" t="str">
        <f>HYPERLINK("https://my.pitchbook.com?p=155837-80P","View People Online")</f>
        <v>View People Online</v>
      </c>
    </row>
    <row r="4945">
      <c r="A4945" s="14" t="s">
        <v>30774</v>
      </c>
      <c r="B4945" s="14" t="s">
        <v>30775</v>
      </c>
      <c r="C4945" s="14" t="s">
        <v>2596</v>
      </c>
      <c r="D4945" s="14" t="s">
        <v>20866</v>
      </c>
      <c r="E4945" s="14" t="s">
        <v>30140</v>
      </c>
      <c r="F4945" s="14" t="s">
        <v>1283</v>
      </c>
      <c r="G4945" s="14" t="s">
        <v>30776</v>
      </c>
      <c r="H4945" s="15" t="s">
        <v>31</v>
      </c>
      <c r="I4945" s="15">
        <v>1.0</v>
      </c>
      <c r="J4945" s="15">
        <v>1.0</v>
      </c>
      <c r="K4945" s="15" t="s">
        <v>31</v>
      </c>
      <c r="L4945" s="16" t="s">
        <v>30272</v>
      </c>
      <c r="M4945" s="14" t="s">
        <v>30777</v>
      </c>
      <c r="N4945" s="14" t="s">
        <v>75</v>
      </c>
      <c r="O4945" s="16" t="s">
        <v>76</v>
      </c>
      <c r="P4945" s="14" t="s">
        <v>30215</v>
      </c>
      <c r="Q4945" s="14" t="s">
        <v>24925</v>
      </c>
      <c r="R4945" s="14" t="s">
        <v>75</v>
      </c>
      <c r="S4945" s="16" t="s">
        <v>1432</v>
      </c>
      <c r="T4945" s="14" t="s">
        <v>66</v>
      </c>
      <c r="U4945" s="16" t="s">
        <v>31</v>
      </c>
      <c r="V4945" s="14" t="s">
        <v>30182</v>
      </c>
      <c r="W4945" s="14" t="s">
        <v>30140</v>
      </c>
      <c r="X4945" s="17" t="str">
        <f>HYPERLINK("https://my.pitchbook.com?p=447595-03P","View People Online")</f>
        <v>View People Online</v>
      </c>
    </row>
    <row r="4946">
      <c r="A4946" s="2" t="s">
        <v>30778</v>
      </c>
      <c r="B4946" s="2" t="s">
        <v>30779</v>
      </c>
      <c r="C4946" s="2" t="s">
        <v>30780</v>
      </c>
      <c r="D4946" s="2" t="s">
        <v>3775</v>
      </c>
      <c r="E4946" s="2" t="s">
        <v>30140</v>
      </c>
      <c r="F4946" s="2" t="s">
        <v>12616</v>
      </c>
      <c r="G4946" s="2" t="s">
        <v>30781</v>
      </c>
      <c r="H4946" s="3" t="s">
        <v>31</v>
      </c>
      <c r="I4946" s="3">
        <v>1.0</v>
      </c>
      <c r="J4946" s="3">
        <v>1.0</v>
      </c>
      <c r="K4946" s="3" t="s">
        <v>31</v>
      </c>
      <c r="L4946" s="4" t="s">
        <v>30171</v>
      </c>
      <c r="M4946" s="2" t="s">
        <v>30782</v>
      </c>
      <c r="N4946" s="2" t="s">
        <v>1348</v>
      </c>
      <c r="O4946" s="4" t="s">
        <v>1349</v>
      </c>
      <c r="P4946" s="2" t="s">
        <v>30152</v>
      </c>
      <c r="Q4946" s="2" t="s">
        <v>30153</v>
      </c>
      <c r="R4946" s="2" t="s">
        <v>1018</v>
      </c>
      <c r="S4946" s="4" t="s">
        <v>30154</v>
      </c>
      <c r="T4946" s="2" t="s">
        <v>1019</v>
      </c>
      <c r="U4946" s="4" t="s">
        <v>31</v>
      </c>
      <c r="V4946" s="2" t="s">
        <v>30783</v>
      </c>
      <c r="W4946" s="2" t="s">
        <v>30140</v>
      </c>
      <c r="X4946" s="5" t="str">
        <f>HYPERLINK("https://my.pitchbook.com?p=241564-87P","View People Online")</f>
        <v>View People Online</v>
      </c>
    </row>
    <row r="4947">
      <c r="A4947" s="6" t="s">
        <v>30784</v>
      </c>
      <c r="B4947" s="6" t="s">
        <v>30785</v>
      </c>
      <c r="C4947" s="6" t="s">
        <v>18807</v>
      </c>
      <c r="D4947" s="6" t="s">
        <v>7238</v>
      </c>
      <c r="E4947" s="6" t="s">
        <v>30140</v>
      </c>
      <c r="F4947" s="6" t="s">
        <v>1283</v>
      </c>
      <c r="G4947" s="6" t="s">
        <v>30786</v>
      </c>
      <c r="H4947" s="7" t="s">
        <v>31</v>
      </c>
      <c r="I4947" s="7">
        <v>1.0</v>
      </c>
      <c r="J4947" s="7">
        <v>1.0</v>
      </c>
      <c r="K4947" s="7" t="s">
        <v>31</v>
      </c>
      <c r="L4947" s="8" t="s">
        <v>30171</v>
      </c>
      <c r="M4947" s="6" t="s">
        <v>30787</v>
      </c>
      <c r="N4947" s="6" t="s">
        <v>1348</v>
      </c>
      <c r="O4947" s="8" t="s">
        <v>1349</v>
      </c>
      <c r="P4947" s="6" t="s">
        <v>30152</v>
      </c>
      <c r="Q4947" s="6" t="s">
        <v>30153</v>
      </c>
      <c r="R4947" s="6" t="s">
        <v>1018</v>
      </c>
      <c r="S4947" s="8" t="s">
        <v>30154</v>
      </c>
      <c r="T4947" s="6" t="s">
        <v>1019</v>
      </c>
      <c r="U4947" s="8" t="s">
        <v>31</v>
      </c>
      <c r="V4947" s="6" t="s">
        <v>30788</v>
      </c>
      <c r="W4947" s="6" t="s">
        <v>30140</v>
      </c>
      <c r="X4947" s="9" t="str">
        <f>HYPERLINK("https://my.pitchbook.com?p=41759-20P","View People Online")</f>
        <v>View People Online</v>
      </c>
    </row>
    <row r="4948">
      <c r="A4948" s="2" t="s">
        <v>30789</v>
      </c>
      <c r="B4948" s="2" t="s">
        <v>30790</v>
      </c>
      <c r="C4948" s="2" t="s">
        <v>11743</v>
      </c>
      <c r="D4948" s="2" t="s">
        <v>30791</v>
      </c>
      <c r="E4948" s="2" t="s">
        <v>30140</v>
      </c>
      <c r="F4948" s="2" t="s">
        <v>2652</v>
      </c>
      <c r="G4948" s="2" t="s">
        <v>30792</v>
      </c>
      <c r="H4948" s="3" t="s">
        <v>31</v>
      </c>
      <c r="I4948" s="3">
        <v>1.0</v>
      </c>
      <c r="J4948" s="3">
        <v>1.0</v>
      </c>
      <c r="K4948" s="3" t="s">
        <v>31</v>
      </c>
      <c r="L4948" s="4" t="s">
        <v>30178</v>
      </c>
      <c r="M4948" s="2" t="s">
        <v>30793</v>
      </c>
      <c r="N4948" s="2" t="s">
        <v>243</v>
      </c>
      <c r="O4948" s="4" t="s">
        <v>244</v>
      </c>
      <c r="P4948" s="2" t="s">
        <v>30180</v>
      </c>
      <c r="Q4948" s="2" t="s">
        <v>6831</v>
      </c>
      <c r="R4948" s="2" t="s">
        <v>247</v>
      </c>
      <c r="S4948" s="4" t="s">
        <v>30181</v>
      </c>
      <c r="T4948" s="2" t="s">
        <v>249</v>
      </c>
      <c r="U4948" s="4" t="s">
        <v>31</v>
      </c>
      <c r="V4948" s="2" t="s">
        <v>30794</v>
      </c>
      <c r="W4948" s="2" t="s">
        <v>30140</v>
      </c>
      <c r="X4948" s="5" t="str">
        <f>HYPERLINK("https://my.pitchbook.com?p=329846-32P","View People Online")</f>
        <v>View People Online</v>
      </c>
    </row>
    <row r="4949">
      <c r="A4949" s="14" t="s">
        <v>30795</v>
      </c>
      <c r="B4949" s="14" t="s">
        <v>30796</v>
      </c>
      <c r="C4949" s="14" t="s">
        <v>30797</v>
      </c>
      <c r="D4949" s="14" t="s">
        <v>30798</v>
      </c>
      <c r="E4949" s="14" t="s">
        <v>30140</v>
      </c>
      <c r="F4949" s="14" t="s">
        <v>1283</v>
      </c>
      <c r="G4949" s="14" t="s">
        <v>30799</v>
      </c>
      <c r="H4949" s="15" t="s">
        <v>31</v>
      </c>
      <c r="I4949" s="15">
        <v>1.0</v>
      </c>
      <c r="J4949" s="15">
        <v>1.0</v>
      </c>
      <c r="K4949" s="15" t="s">
        <v>31</v>
      </c>
      <c r="L4949" s="16" t="s">
        <v>30800</v>
      </c>
      <c r="M4949" s="14" t="s">
        <v>30801</v>
      </c>
      <c r="N4949" s="14" t="s">
        <v>1348</v>
      </c>
      <c r="O4949" s="16" t="s">
        <v>1349</v>
      </c>
      <c r="P4949" s="14" t="s">
        <v>30152</v>
      </c>
      <c r="Q4949" s="14" t="s">
        <v>30153</v>
      </c>
      <c r="R4949" s="14" t="s">
        <v>1018</v>
      </c>
      <c r="S4949" s="16" t="s">
        <v>30154</v>
      </c>
      <c r="T4949" s="14" t="s">
        <v>1019</v>
      </c>
      <c r="U4949" s="16" t="s">
        <v>31</v>
      </c>
      <c r="V4949" s="14" t="s">
        <v>30802</v>
      </c>
      <c r="W4949" s="14" t="s">
        <v>30140</v>
      </c>
      <c r="X4949" s="17" t="str">
        <f>HYPERLINK("https://my.pitchbook.com?p=33656-59P","View People Online")</f>
        <v>View People Online</v>
      </c>
    </row>
    <row r="4950">
      <c r="A4950" s="10" t="s">
        <v>30803</v>
      </c>
      <c r="B4950" s="10" t="s">
        <v>30804</v>
      </c>
      <c r="C4950" s="10" t="s">
        <v>5890</v>
      </c>
      <c r="D4950" s="10" t="s">
        <v>30805</v>
      </c>
      <c r="E4950" s="10" t="s">
        <v>30140</v>
      </c>
      <c r="F4950" s="10" t="s">
        <v>1283</v>
      </c>
      <c r="G4950" s="10" t="s">
        <v>30806</v>
      </c>
      <c r="H4950" s="11" t="s">
        <v>31</v>
      </c>
      <c r="I4950" s="11">
        <v>1.0</v>
      </c>
      <c r="J4950" s="11">
        <v>1.0</v>
      </c>
      <c r="K4950" s="11" t="s">
        <v>31</v>
      </c>
      <c r="L4950" s="12" t="s">
        <v>30171</v>
      </c>
      <c r="M4950" s="10" t="s">
        <v>30807</v>
      </c>
      <c r="N4950" s="10" t="s">
        <v>1348</v>
      </c>
      <c r="O4950" s="12" t="s">
        <v>1349</v>
      </c>
      <c r="P4950" s="10" t="s">
        <v>30152</v>
      </c>
      <c r="Q4950" s="10" t="s">
        <v>30153</v>
      </c>
      <c r="R4950" s="10" t="s">
        <v>1018</v>
      </c>
      <c r="S4950" s="12" t="s">
        <v>30154</v>
      </c>
      <c r="T4950" s="10" t="s">
        <v>1019</v>
      </c>
      <c r="U4950" s="12" t="s">
        <v>31</v>
      </c>
      <c r="V4950" s="10" t="s">
        <v>30808</v>
      </c>
      <c r="W4950" s="10" t="s">
        <v>30140</v>
      </c>
      <c r="X4950" s="13" t="str">
        <f>HYPERLINK("https://my.pitchbook.com?p=326057-41P","View People Online")</f>
        <v>View People Online</v>
      </c>
    </row>
    <row r="4951">
      <c r="A4951" s="6" t="s">
        <v>30809</v>
      </c>
      <c r="B4951" s="6" t="s">
        <v>30810</v>
      </c>
      <c r="C4951" s="6" t="s">
        <v>30811</v>
      </c>
      <c r="D4951" s="6" t="s">
        <v>30812</v>
      </c>
      <c r="E4951" s="6" t="s">
        <v>30140</v>
      </c>
      <c r="F4951" s="6" t="s">
        <v>1283</v>
      </c>
      <c r="G4951" s="6" t="s">
        <v>30813</v>
      </c>
      <c r="H4951" s="7" t="s">
        <v>31</v>
      </c>
      <c r="I4951" s="7">
        <v>1.0</v>
      </c>
      <c r="J4951" s="7">
        <v>1.0</v>
      </c>
      <c r="K4951" s="7" t="s">
        <v>31</v>
      </c>
      <c r="L4951" s="8" t="s">
        <v>30171</v>
      </c>
      <c r="M4951" s="6" t="s">
        <v>30814</v>
      </c>
      <c r="N4951" s="6" t="s">
        <v>1348</v>
      </c>
      <c r="O4951" s="8" t="s">
        <v>1349</v>
      </c>
      <c r="P4951" s="6" t="s">
        <v>30152</v>
      </c>
      <c r="Q4951" s="6" t="s">
        <v>30153</v>
      </c>
      <c r="R4951" s="6" t="s">
        <v>1018</v>
      </c>
      <c r="S4951" s="8" t="s">
        <v>30154</v>
      </c>
      <c r="T4951" s="6" t="s">
        <v>1019</v>
      </c>
      <c r="U4951" s="8" t="s">
        <v>31</v>
      </c>
      <c r="V4951" s="6" t="s">
        <v>30318</v>
      </c>
      <c r="W4951" s="6" t="s">
        <v>30140</v>
      </c>
      <c r="X4951" s="9" t="str">
        <f>HYPERLINK("https://my.pitchbook.com?p=421051-51P","View People Online")</f>
        <v>View People Online</v>
      </c>
    </row>
    <row r="4952">
      <c r="A4952" s="10" t="s">
        <v>30815</v>
      </c>
      <c r="B4952" s="10" t="s">
        <v>30816</v>
      </c>
      <c r="C4952" s="10" t="s">
        <v>24993</v>
      </c>
      <c r="D4952" s="10" t="s">
        <v>30817</v>
      </c>
      <c r="E4952" s="10" t="s">
        <v>30140</v>
      </c>
      <c r="F4952" s="10" t="s">
        <v>1283</v>
      </c>
      <c r="G4952" s="10" t="s">
        <v>30818</v>
      </c>
      <c r="H4952" s="11" t="s">
        <v>31</v>
      </c>
      <c r="I4952" s="11">
        <v>1.0</v>
      </c>
      <c r="J4952" s="11">
        <v>1.0</v>
      </c>
      <c r="K4952" s="11" t="s">
        <v>31</v>
      </c>
      <c r="L4952" s="12" t="s">
        <v>30171</v>
      </c>
      <c r="M4952" s="10" t="s">
        <v>30819</v>
      </c>
      <c r="N4952" s="10" t="s">
        <v>1348</v>
      </c>
      <c r="O4952" s="12" t="s">
        <v>1349</v>
      </c>
      <c r="P4952" s="10" t="s">
        <v>30152</v>
      </c>
      <c r="Q4952" s="10" t="s">
        <v>30153</v>
      </c>
      <c r="R4952" s="10" t="s">
        <v>1018</v>
      </c>
      <c r="S4952" s="12" t="s">
        <v>30154</v>
      </c>
      <c r="T4952" s="10" t="s">
        <v>1019</v>
      </c>
      <c r="U4952" s="12" t="s">
        <v>31</v>
      </c>
      <c r="V4952" s="10" t="s">
        <v>30820</v>
      </c>
      <c r="W4952" s="10" t="s">
        <v>30140</v>
      </c>
      <c r="X4952" s="13" t="str">
        <f>HYPERLINK("https://my.pitchbook.com?p=245335-87P","View People Online")</f>
        <v>View People Online</v>
      </c>
    </row>
    <row r="4953">
      <c r="A4953" s="6" t="s">
        <v>30821</v>
      </c>
      <c r="B4953" s="6" t="s">
        <v>30822</v>
      </c>
      <c r="C4953" s="6" t="s">
        <v>30823</v>
      </c>
      <c r="D4953" s="6" t="s">
        <v>30824</v>
      </c>
      <c r="E4953" s="6" t="s">
        <v>30140</v>
      </c>
      <c r="F4953" s="6" t="s">
        <v>11160</v>
      </c>
      <c r="G4953" s="6" t="s">
        <v>30825</v>
      </c>
      <c r="H4953" s="7" t="s">
        <v>31</v>
      </c>
      <c r="I4953" s="7">
        <v>1.0</v>
      </c>
      <c r="J4953" s="7">
        <v>1.0</v>
      </c>
      <c r="K4953" s="7" t="s">
        <v>31</v>
      </c>
      <c r="L4953" s="8" t="s">
        <v>30171</v>
      </c>
      <c r="M4953" s="6" t="s">
        <v>30826</v>
      </c>
      <c r="N4953" s="6" t="s">
        <v>1348</v>
      </c>
      <c r="O4953" s="8" t="s">
        <v>1349</v>
      </c>
      <c r="P4953" s="6" t="s">
        <v>30152</v>
      </c>
      <c r="Q4953" s="6" t="s">
        <v>30153</v>
      </c>
      <c r="R4953" s="6" t="s">
        <v>1018</v>
      </c>
      <c r="S4953" s="8" t="s">
        <v>30154</v>
      </c>
      <c r="T4953" s="6" t="s">
        <v>1019</v>
      </c>
      <c r="U4953" s="8" t="s">
        <v>31</v>
      </c>
      <c r="V4953" s="6" t="s">
        <v>30827</v>
      </c>
      <c r="W4953" s="6" t="s">
        <v>30140</v>
      </c>
      <c r="X4953" s="9" t="str">
        <f>HYPERLINK("https://my.pitchbook.com?p=367653-25P","View People Online")</f>
        <v>View People Online</v>
      </c>
    </row>
    <row r="4954">
      <c r="A4954" s="10" t="s">
        <v>30828</v>
      </c>
      <c r="B4954" s="10" t="s">
        <v>30829</v>
      </c>
      <c r="C4954" s="10" t="s">
        <v>19268</v>
      </c>
      <c r="D4954" s="10" t="s">
        <v>30830</v>
      </c>
      <c r="E4954" s="10" t="s">
        <v>30140</v>
      </c>
      <c r="F4954" s="10" t="s">
        <v>1283</v>
      </c>
      <c r="G4954" s="10" t="s">
        <v>30831</v>
      </c>
      <c r="H4954" s="11" t="s">
        <v>31</v>
      </c>
      <c r="I4954" s="11">
        <v>1.0</v>
      </c>
      <c r="J4954" s="11">
        <v>1.0</v>
      </c>
      <c r="K4954" s="11" t="s">
        <v>31</v>
      </c>
      <c r="L4954" s="12" t="s">
        <v>30832</v>
      </c>
      <c r="M4954" s="10" t="s">
        <v>30833</v>
      </c>
      <c r="N4954" s="10" t="s">
        <v>13768</v>
      </c>
      <c r="O4954" s="12" t="s">
        <v>13769</v>
      </c>
      <c r="P4954" s="10" t="s">
        <v>30834</v>
      </c>
      <c r="Q4954" s="10" t="s">
        <v>30835</v>
      </c>
      <c r="R4954" s="10" t="s">
        <v>31</v>
      </c>
      <c r="S4954" s="12" t="s">
        <v>13772</v>
      </c>
      <c r="T4954" s="10" t="s">
        <v>13773</v>
      </c>
      <c r="U4954" s="12" t="s">
        <v>31</v>
      </c>
      <c r="V4954" s="10" t="s">
        <v>24417</v>
      </c>
      <c r="W4954" s="10" t="s">
        <v>30140</v>
      </c>
      <c r="X4954" s="13" t="str">
        <f>HYPERLINK("https://my.pitchbook.com?p=421125-58P","View People Online")</f>
        <v>View People Online</v>
      </c>
    </row>
    <row r="4955">
      <c r="A4955" s="6" t="s">
        <v>30836</v>
      </c>
      <c r="B4955" s="6" t="s">
        <v>30837</v>
      </c>
      <c r="C4955" s="6" t="s">
        <v>30838</v>
      </c>
      <c r="D4955" s="6" t="s">
        <v>30839</v>
      </c>
      <c r="E4955" s="6" t="s">
        <v>30140</v>
      </c>
      <c r="F4955" s="6" t="s">
        <v>1283</v>
      </c>
      <c r="G4955" s="6" t="s">
        <v>30840</v>
      </c>
      <c r="H4955" s="7" t="s">
        <v>31</v>
      </c>
      <c r="I4955" s="7">
        <v>1.0</v>
      </c>
      <c r="J4955" s="7">
        <v>1.0</v>
      </c>
      <c r="K4955" s="7" t="s">
        <v>31</v>
      </c>
      <c r="L4955" s="8" t="s">
        <v>30832</v>
      </c>
      <c r="M4955" s="6" t="s">
        <v>30841</v>
      </c>
      <c r="N4955" s="6" t="s">
        <v>13768</v>
      </c>
      <c r="O4955" s="8" t="s">
        <v>13769</v>
      </c>
      <c r="P4955" s="6" t="s">
        <v>30834</v>
      </c>
      <c r="Q4955" s="6" t="s">
        <v>30835</v>
      </c>
      <c r="R4955" s="6" t="s">
        <v>31</v>
      </c>
      <c r="S4955" s="8" t="s">
        <v>13772</v>
      </c>
      <c r="T4955" s="6" t="s">
        <v>13773</v>
      </c>
      <c r="U4955" s="8" t="s">
        <v>31</v>
      </c>
      <c r="V4955" s="6" t="s">
        <v>30842</v>
      </c>
      <c r="W4955" s="6" t="s">
        <v>30140</v>
      </c>
      <c r="X4955" s="9" t="str">
        <f>HYPERLINK("https://my.pitchbook.com?p=421121-98P","View People Online")</f>
        <v>View People Online</v>
      </c>
    </row>
    <row r="4956">
      <c r="A4956" s="10" t="s">
        <v>30843</v>
      </c>
      <c r="B4956" s="10" t="s">
        <v>30844</v>
      </c>
      <c r="C4956" s="10" t="s">
        <v>1645</v>
      </c>
      <c r="D4956" s="10" t="s">
        <v>30845</v>
      </c>
      <c r="E4956" s="10" t="s">
        <v>30140</v>
      </c>
      <c r="F4956" s="10" t="s">
        <v>2731</v>
      </c>
      <c r="G4956" s="10" t="s">
        <v>30846</v>
      </c>
      <c r="H4956" s="11" t="s">
        <v>31</v>
      </c>
      <c r="I4956" s="11">
        <v>3.0</v>
      </c>
      <c r="J4956" s="11">
        <v>2.0</v>
      </c>
      <c r="K4956" s="11">
        <v>1.0</v>
      </c>
      <c r="L4956" s="12" t="s">
        <v>30847</v>
      </c>
      <c r="M4956" s="10" t="s">
        <v>30848</v>
      </c>
      <c r="N4956" s="10" t="s">
        <v>243</v>
      </c>
      <c r="O4956" s="12" t="s">
        <v>244</v>
      </c>
      <c r="P4956" s="10" t="s">
        <v>30180</v>
      </c>
      <c r="Q4956" s="10" t="s">
        <v>6831</v>
      </c>
      <c r="R4956" s="10" t="s">
        <v>247</v>
      </c>
      <c r="S4956" s="12" t="s">
        <v>30181</v>
      </c>
      <c r="T4956" s="10" t="s">
        <v>249</v>
      </c>
      <c r="U4956" s="12" t="s">
        <v>31</v>
      </c>
      <c r="V4956" s="10" t="s">
        <v>30849</v>
      </c>
      <c r="W4956" s="10" t="s">
        <v>30140</v>
      </c>
      <c r="X4956" s="13" t="str">
        <f>HYPERLINK("https://my.pitchbook.com?p=81717-49P","View People Online")</f>
        <v>View People Online</v>
      </c>
    </row>
    <row r="4957">
      <c r="A4957" s="14" t="s">
        <v>30850</v>
      </c>
      <c r="B4957" s="14" t="s">
        <v>30851</v>
      </c>
      <c r="C4957" s="14" t="s">
        <v>3846</v>
      </c>
      <c r="D4957" s="14" t="s">
        <v>16230</v>
      </c>
      <c r="E4957" s="14" t="s">
        <v>30140</v>
      </c>
      <c r="F4957" s="14" t="s">
        <v>12178</v>
      </c>
      <c r="G4957" s="14" t="s">
        <v>30852</v>
      </c>
      <c r="H4957" s="15">
        <v>1.0</v>
      </c>
      <c r="I4957" s="15">
        <v>2.0</v>
      </c>
      <c r="J4957" s="15">
        <v>1.0</v>
      </c>
      <c r="K4957" s="15" t="s">
        <v>31</v>
      </c>
      <c r="L4957" s="16" t="s">
        <v>30171</v>
      </c>
      <c r="M4957" s="14" t="s">
        <v>30853</v>
      </c>
      <c r="N4957" s="14" t="s">
        <v>1348</v>
      </c>
      <c r="O4957" s="16" t="s">
        <v>1349</v>
      </c>
      <c r="P4957" s="14" t="s">
        <v>30152</v>
      </c>
      <c r="Q4957" s="14" t="s">
        <v>30153</v>
      </c>
      <c r="R4957" s="14" t="s">
        <v>1018</v>
      </c>
      <c r="S4957" s="16" t="s">
        <v>30154</v>
      </c>
      <c r="T4957" s="14" t="s">
        <v>1019</v>
      </c>
      <c r="U4957" s="16" t="s">
        <v>31</v>
      </c>
      <c r="V4957" s="14" t="s">
        <v>30854</v>
      </c>
      <c r="W4957" s="14" t="s">
        <v>30140</v>
      </c>
      <c r="X4957" s="17" t="str">
        <f>HYPERLINK("https://my.pitchbook.com?p=155826-73P","View People Online")</f>
        <v>View People Online</v>
      </c>
    </row>
    <row r="4958">
      <c r="A4958" s="10" t="s">
        <v>30855</v>
      </c>
      <c r="B4958" s="10" t="s">
        <v>30856</v>
      </c>
      <c r="C4958" s="10" t="s">
        <v>160</v>
      </c>
      <c r="D4958" s="10" t="s">
        <v>30857</v>
      </c>
      <c r="E4958" s="10" t="s">
        <v>30140</v>
      </c>
      <c r="F4958" s="10" t="s">
        <v>1283</v>
      </c>
      <c r="G4958" s="10" t="s">
        <v>30858</v>
      </c>
      <c r="H4958" s="11" t="s">
        <v>31</v>
      </c>
      <c r="I4958" s="11">
        <v>1.0</v>
      </c>
      <c r="J4958" s="11">
        <v>1.0</v>
      </c>
      <c r="K4958" s="11" t="s">
        <v>31</v>
      </c>
      <c r="L4958" s="12" t="s">
        <v>30178</v>
      </c>
      <c r="M4958" s="10" t="s">
        <v>30859</v>
      </c>
      <c r="N4958" s="10" t="s">
        <v>243</v>
      </c>
      <c r="O4958" s="12" t="s">
        <v>244</v>
      </c>
      <c r="P4958" s="10" t="s">
        <v>30180</v>
      </c>
      <c r="Q4958" s="10" t="s">
        <v>6831</v>
      </c>
      <c r="R4958" s="10" t="s">
        <v>247</v>
      </c>
      <c r="S4958" s="12" t="s">
        <v>30181</v>
      </c>
      <c r="T4958" s="10" t="s">
        <v>249</v>
      </c>
      <c r="U4958" s="12" t="s">
        <v>31</v>
      </c>
      <c r="V4958" s="10" t="s">
        <v>30336</v>
      </c>
      <c r="W4958" s="10" t="s">
        <v>30140</v>
      </c>
      <c r="X4958" s="13" t="str">
        <f>HYPERLINK("https://my.pitchbook.com?p=421123-78P","View People Online")</f>
        <v>View People Online</v>
      </c>
    </row>
    <row r="4959">
      <c r="A4959" s="6" t="s">
        <v>30860</v>
      </c>
      <c r="B4959" s="6" t="s">
        <v>30861</v>
      </c>
      <c r="C4959" s="6" t="s">
        <v>369</v>
      </c>
      <c r="D4959" s="6" t="s">
        <v>28011</v>
      </c>
      <c r="E4959" s="6" t="s">
        <v>30140</v>
      </c>
      <c r="F4959" s="6" t="s">
        <v>1283</v>
      </c>
      <c r="G4959" s="6" t="s">
        <v>30862</v>
      </c>
      <c r="H4959" s="7" t="s">
        <v>31</v>
      </c>
      <c r="I4959" s="7">
        <v>1.0</v>
      </c>
      <c r="J4959" s="7">
        <v>1.0</v>
      </c>
      <c r="K4959" s="7" t="s">
        <v>31</v>
      </c>
      <c r="L4959" s="8" t="s">
        <v>30171</v>
      </c>
      <c r="M4959" s="6" t="s">
        <v>30863</v>
      </c>
      <c r="N4959" s="6" t="s">
        <v>1348</v>
      </c>
      <c r="O4959" s="8" t="s">
        <v>1349</v>
      </c>
      <c r="P4959" s="6" t="s">
        <v>30152</v>
      </c>
      <c r="Q4959" s="6" t="s">
        <v>30153</v>
      </c>
      <c r="R4959" s="6" t="s">
        <v>1018</v>
      </c>
      <c r="S4959" s="8" t="s">
        <v>30154</v>
      </c>
      <c r="T4959" s="6" t="s">
        <v>1019</v>
      </c>
      <c r="U4959" s="8" t="s">
        <v>31</v>
      </c>
      <c r="V4959" s="6" t="s">
        <v>30544</v>
      </c>
      <c r="W4959" s="6" t="s">
        <v>30140</v>
      </c>
      <c r="X4959" s="9" t="str">
        <f>HYPERLINK("https://my.pitchbook.com?p=421049-17P","View People Online")</f>
        <v>View People Online</v>
      </c>
    </row>
    <row r="4960">
      <c r="A4960" s="2" t="s">
        <v>30864</v>
      </c>
      <c r="B4960" s="2" t="s">
        <v>30865</v>
      </c>
      <c r="C4960" s="2" t="s">
        <v>19736</v>
      </c>
      <c r="D4960" s="2" t="s">
        <v>30866</v>
      </c>
      <c r="E4960" s="2" t="s">
        <v>30140</v>
      </c>
      <c r="F4960" s="2" t="s">
        <v>11160</v>
      </c>
      <c r="G4960" s="2" t="s">
        <v>30867</v>
      </c>
      <c r="H4960" s="3">
        <v>1.0</v>
      </c>
      <c r="I4960" s="3">
        <v>8.0</v>
      </c>
      <c r="J4960" s="3">
        <v>1.0</v>
      </c>
      <c r="K4960" s="3">
        <v>6.0</v>
      </c>
      <c r="L4960" s="4" t="s">
        <v>30868</v>
      </c>
      <c r="M4960" s="2" t="s">
        <v>31</v>
      </c>
      <c r="N4960" s="2" t="s">
        <v>8054</v>
      </c>
      <c r="O4960" s="4" t="s">
        <v>8055</v>
      </c>
      <c r="P4960" s="2" t="s">
        <v>30869</v>
      </c>
      <c r="Q4960" s="2" t="s">
        <v>30870</v>
      </c>
      <c r="R4960" s="2" t="s">
        <v>7335</v>
      </c>
      <c r="S4960" s="4" t="s">
        <v>8057</v>
      </c>
      <c r="T4960" s="2" t="s">
        <v>5484</v>
      </c>
      <c r="U4960" s="4" t="s">
        <v>31</v>
      </c>
      <c r="V4960" s="2" t="s">
        <v>2379</v>
      </c>
      <c r="W4960" s="2" t="s">
        <v>30871</v>
      </c>
      <c r="X4960" s="5" t="str">
        <f>HYPERLINK("https://my.pitchbook.com?p=48996-28P","View People Online")</f>
        <v>View People Online</v>
      </c>
    </row>
    <row r="4961">
      <c r="A4961" s="6" t="s">
        <v>30872</v>
      </c>
      <c r="B4961" s="6" t="s">
        <v>30873</v>
      </c>
      <c r="C4961" s="6" t="s">
        <v>3852</v>
      </c>
      <c r="D4961" s="6" t="s">
        <v>16467</v>
      </c>
      <c r="E4961" s="6" t="s">
        <v>30140</v>
      </c>
      <c r="F4961" s="6" t="s">
        <v>1283</v>
      </c>
      <c r="G4961" s="6" t="s">
        <v>30874</v>
      </c>
      <c r="H4961" s="7">
        <v>1.0</v>
      </c>
      <c r="I4961" s="7">
        <v>2.0</v>
      </c>
      <c r="J4961" s="7">
        <v>1.0</v>
      </c>
      <c r="K4961" s="7" t="s">
        <v>31</v>
      </c>
      <c r="L4961" s="8" t="s">
        <v>30875</v>
      </c>
      <c r="M4961" s="6" t="s">
        <v>30876</v>
      </c>
      <c r="N4961" s="6" t="s">
        <v>75</v>
      </c>
      <c r="O4961" s="8" t="s">
        <v>76</v>
      </c>
      <c r="P4961" s="6" t="s">
        <v>30215</v>
      </c>
      <c r="Q4961" s="6" t="s">
        <v>24925</v>
      </c>
      <c r="R4961" s="6" t="s">
        <v>75</v>
      </c>
      <c r="S4961" s="8" t="s">
        <v>1432</v>
      </c>
      <c r="T4961" s="6" t="s">
        <v>66</v>
      </c>
      <c r="U4961" s="8" t="s">
        <v>31</v>
      </c>
      <c r="V4961" s="6" t="s">
        <v>30191</v>
      </c>
      <c r="W4961" s="6" t="s">
        <v>30140</v>
      </c>
      <c r="X4961" s="9" t="str">
        <f>HYPERLINK("https://my.pitchbook.com?p=163439-83P","View People Online")</f>
        <v>View People Online</v>
      </c>
    </row>
    <row r="4962">
      <c r="A4962" s="2" t="s">
        <v>30877</v>
      </c>
      <c r="B4962" s="2" t="s">
        <v>30878</v>
      </c>
      <c r="C4962" s="2" t="s">
        <v>3852</v>
      </c>
      <c r="D4962" s="2" t="s">
        <v>30879</v>
      </c>
      <c r="E4962" s="2" t="s">
        <v>30140</v>
      </c>
      <c r="F4962" s="2" t="s">
        <v>1283</v>
      </c>
      <c r="G4962" s="2" t="s">
        <v>30880</v>
      </c>
      <c r="H4962" s="3" t="s">
        <v>31</v>
      </c>
      <c r="I4962" s="3">
        <v>1.0</v>
      </c>
      <c r="J4962" s="3">
        <v>1.0</v>
      </c>
      <c r="K4962" s="3" t="s">
        <v>31</v>
      </c>
      <c r="L4962" s="4" t="s">
        <v>30881</v>
      </c>
      <c r="M4962" s="2" t="s">
        <v>30882</v>
      </c>
      <c r="N4962" s="2" t="s">
        <v>1348</v>
      </c>
      <c r="O4962" s="4" t="s">
        <v>1349</v>
      </c>
      <c r="P4962" s="2" t="s">
        <v>30152</v>
      </c>
      <c r="Q4962" s="2" t="s">
        <v>30153</v>
      </c>
      <c r="R4962" s="2" t="s">
        <v>1018</v>
      </c>
      <c r="S4962" s="4" t="s">
        <v>30154</v>
      </c>
      <c r="T4962" s="2" t="s">
        <v>1019</v>
      </c>
      <c r="U4962" s="4" t="s">
        <v>31</v>
      </c>
      <c r="V4962" s="2" t="s">
        <v>30820</v>
      </c>
      <c r="W4962" s="2" t="s">
        <v>30140</v>
      </c>
      <c r="X4962" s="5" t="str">
        <f>HYPERLINK("https://my.pitchbook.com?p=241545-79P","View People Online")</f>
        <v>View People Online</v>
      </c>
    </row>
    <row r="4963">
      <c r="A4963" s="14" t="s">
        <v>30883</v>
      </c>
      <c r="B4963" s="14" t="s">
        <v>30884</v>
      </c>
      <c r="C4963" s="14" t="s">
        <v>887</v>
      </c>
      <c r="D4963" s="14" t="s">
        <v>30885</v>
      </c>
      <c r="E4963" s="14" t="s">
        <v>30140</v>
      </c>
      <c r="F4963" s="14" t="s">
        <v>2652</v>
      </c>
      <c r="G4963" s="14" t="s">
        <v>30886</v>
      </c>
      <c r="H4963" s="15" t="s">
        <v>31</v>
      </c>
      <c r="I4963" s="15">
        <v>2.0</v>
      </c>
      <c r="J4963" s="15">
        <v>1.0</v>
      </c>
      <c r="K4963" s="15">
        <v>1.0</v>
      </c>
      <c r="L4963" s="16" t="s">
        <v>30887</v>
      </c>
      <c r="M4963" s="14" t="s">
        <v>30888</v>
      </c>
      <c r="N4963" s="14" t="s">
        <v>243</v>
      </c>
      <c r="O4963" s="16" t="s">
        <v>244</v>
      </c>
      <c r="P4963" s="14" t="s">
        <v>30180</v>
      </c>
      <c r="Q4963" s="14" t="s">
        <v>6831</v>
      </c>
      <c r="R4963" s="14" t="s">
        <v>247</v>
      </c>
      <c r="S4963" s="16" t="s">
        <v>30181</v>
      </c>
      <c r="T4963" s="14" t="s">
        <v>249</v>
      </c>
      <c r="U4963" s="16" t="s">
        <v>31</v>
      </c>
      <c r="V4963" s="14" t="s">
        <v>30889</v>
      </c>
      <c r="W4963" s="14" t="s">
        <v>30140</v>
      </c>
      <c r="X4963" s="17" t="str">
        <f>HYPERLINK("https://my.pitchbook.com?p=75748-87P","View People Online")</f>
        <v>View People Online</v>
      </c>
    </row>
    <row r="4964">
      <c r="A4964" s="2" t="s">
        <v>30890</v>
      </c>
      <c r="B4964" s="2" t="s">
        <v>30891</v>
      </c>
      <c r="C4964" s="2" t="s">
        <v>126</v>
      </c>
      <c r="D4964" s="2" t="s">
        <v>30892</v>
      </c>
      <c r="E4964" s="2" t="s">
        <v>30140</v>
      </c>
      <c r="F4964" s="2" t="s">
        <v>1283</v>
      </c>
      <c r="G4964" s="2" t="s">
        <v>30893</v>
      </c>
      <c r="H4964" s="3" t="s">
        <v>31</v>
      </c>
      <c r="I4964" s="3">
        <v>1.0</v>
      </c>
      <c r="J4964" s="3">
        <v>1.0</v>
      </c>
      <c r="K4964" s="3" t="s">
        <v>31</v>
      </c>
      <c r="L4964" s="4" t="s">
        <v>30171</v>
      </c>
      <c r="M4964" s="2" t="s">
        <v>30894</v>
      </c>
      <c r="N4964" s="2" t="s">
        <v>1348</v>
      </c>
      <c r="O4964" s="4" t="s">
        <v>1349</v>
      </c>
      <c r="P4964" s="2" t="s">
        <v>30152</v>
      </c>
      <c r="Q4964" s="2" t="s">
        <v>30153</v>
      </c>
      <c r="R4964" s="2" t="s">
        <v>1018</v>
      </c>
      <c r="S4964" s="4" t="s">
        <v>30154</v>
      </c>
      <c r="T4964" s="2" t="s">
        <v>1019</v>
      </c>
      <c r="U4964" s="4" t="s">
        <v>31</v>
      </c>
      <c r="V4964" s="2" t="s">
        <v>30216</v>
      </c>
      <c r="W4964" s="2" t="s">
        <v>30140</v>
      </c>
      <c r="X4964" s="5" t="str">
        <f>HYPERLINK("https://my.pitchbook.com?p=421126-48P","View People Online")</f>
        <v>View People Online</v>
      </c>
    </row>
    <row r="4965">
      <c r="A4965" s="6" t="s">
        <v>30895</v>
      </c>
      <c r="B4965" s="6" t="s">
        <v>30896</v>
      </c>
      <c r="C4965" s="6" t="s">
        <v>126</v>
      </c>
      <c r="D4965" s="6" t="s">
        <v>3953</v>
      </c>
      <c r="E4965" s="6" t="s">
        <v>30140</v>
      </c>
      <c r="F4965" s="6" t="s">
        <v>2652</v>
      </c>
      <c r="G4965" s="6" t="s">
        <v>30897</v>
      </c>
      <c r="H4965" s="7">
        <v>1.0</v>
      </c>
      <c r="I4965" s="7">
        <v>5.0</v>
      </c>
      <c r="J4965" s="7">
        <v>2.0</v>
      </c>
      <c r="K4965" s="7">
        <v>1.0</v>
      </c>
      <c r="L4965" s="8" t="s">
        <v>30171</v>
      </c>
      <c r="M4965" s="6" t="s">
        <v>30898</v>
      </c>
      <c r="N4965" s="6" t="s">
        <v>1348</v>
      </c>
      <c r="O4965" s="8" t="s">
        <v>1349</v>
      </c>
      <c r="P4965" s="6" t="s">
        <v>30152</v>
      </c>
      <c r="Q4965" s="6" t="s">
        <v>30153</v>
      </c>
      <c r="R4965" s="6" t="s">
        <v>1018</v>
      </c>
      <c r="S4965" s="8" t="s">
        <v>30154</v>
      </c>
      <c r="T4965" s="6" t="s">
        <v>1019</v>
      </c>
      <c r="U4965" s="8" t="s">
        <v>31</v>
      </c>
      <c r="V4965" s="6" t="s">
        <v>30899</v>
      </c>
      <c r="W4965" s="6" t="s">
        <v>30140</v>
      </c>
      <c r="X4965" s="9" t="str">
        <f>HYPERLINK("https://my.pitchbook.com?p=204377-14P","View People Online")</f>
        <v>View People Online</v>
      </c>
    </row>
    <row r="4966">
      <c r="A4966" s="2" t="s">
        <v>30900</v>
      </c>
      <c r="B4966" s="2" t="s">
        <v>30901</v>
      </c>
      <c r="C4966" s="2" t="s">
        <v>126</v>
      </c>
      <c r="D4966" s="2" t="s">
        <v>30902</v>
      </c>
      <c r="E4966" s="2" t="s">
        <v>30140</v>
      </c>
      <c r="F4966" s="2" t="s">
        <v>1283</v>
      </c>
      <c r="G4966" s="2" t="s">
        <v>30903</v>
      </c>
      <c r="H4966" s="3" t="s">
        <v>31</v>
      </c>
      <c r="I4966" s="3">
        <v>1.0</v>
      </c>
      <c r="J4966" s="3">
        <v>1.0</v>
      </c>
      <c r="K4966" s="3" t="s">
        <v>31</v>
      </c>
      <c r="L4966" s="4" t="s">
        <v>30187</v>
      </c>
      <c r="M4966" s="2" t="s">
        <v>30904</v>
      </c>
      <c r="N4966" s="2" t="s">
        <v>2478</v>
      </c>
      <c r="O4966" s="4" t="s">
        <v>7332</v>
      </c>
      <c r="P4966" s="2" t="s">
        <v>30189</v>
      </c>
      <c r="Q4966" s="2" t="s">
        <v>30190</v>
      </c>
      <c r="R4966" s="2" t="s">
        <v>7335</v>
      </c>
      <c r="S4966" s="4" t="s">
        <v>7336</v>
      </c>
      <c r="T4966" s="2" t="s">
        <v>5484</v>
      </c>
      <c r="U4966" s="4" t="s">
        <v>31</v>
      </c>
      <c r="V4966" s="2" t="s">
        <v>24417</v>
      </c>
      <c r="W4966" s="2" t="s">
        <v>30140</v>
      </c>
      <c r="X4966" s="5" t="str">
        <f>HYPERLINK("https://my.pitchbook.com?p=421125-22P","View People Online")</f>
        <v>View People Online</v>
      </c>
    </row>
    <row r="4967">
      <c r="A4967" s="14" t="s">
        <v>30905</v>
      </c>
      <c r="B4967" s="14" t="s">
        <v>30906</v>
      </c>
      <c r="C4967" s="14" t="s">
        <v>126</v>
      </c>
      <c r="D4967" s="14" t="s">
        <v>30907</v>
      </c>
      <c r="E4967" s="14" t="s">
        <v>30140</v>
      </c>
      <c r="F4967" s="14" t="s">
        <v>1283</v>
      </c>
      <c r="G4967" s="14" t="s">
        <v>30908</v>
      </c>
      <c r="H4967" s="15" t="s">
        <v>31</v>
      </c>
      <c r="I4967" s="15">
        <v>1.0</v>
      </c>
      <c r="J4967" s="15">
        <v>1.0</v>
      </c>
      <c r="K4967" s="15" t="s">
        <v>31</v>
      </c>
      <c r="L4967" s="16" t="s">
        <v>30171</v>
      </c>
      <c r="M4967" s="14" t="s">
        <v>30909</v>
      </c>
      <c r="N4967" s="14" t="s">
        <v>1348</v>
      </c>
      <c r="O4967" s="16" t="s">
        <v>1349</v>
      </c>
      <c r="P4967" s="14" t="s">
        <v>30152</v>
      </c>
      <c r="Q4967" s="14" t="s">
        <v>30153</v>
      </c>
      <c r="R4967" s="14" t="s">
        <v>1018</v>
      </c>
      <c r="S4967" s="16" t="s">
        <v>30154</v>
      </c>
      <c r="T4967" s="14" t="s">
        <v>1019</v>
      </c>
      <c r="U4967" s="16" t="s">
        <v>31</v>
      </c>
      <c r="V4967" s="14" t="s">
        <v>30245</v>
      </c>
      <c r="W4967" s="14" t="s">
        <v>30140</v>
      </c>
      <c r="X4967" s="17" t="str">
        <f>HYPERLINK("https://my.pitchbook.com?p=421037-65P","View People Online")</f>
        <v>View People Online</v>
      </c>
    </row>
    <row r="4968">
      <c r="A4968" s="10" t="s">
        <v>30910</v>
      </c>
      <c r="B4968" s="10" t="s">
        <v>30911</v>
      </c>
      <c r="C4968" s="10" t="s">
        <v>10613</v>
      </c>
      <c r="D4968" s="10" t="s">
        <v>14090</v>
      </c>
      <c r="E4968" s="10" t="s">
        <v>30140</v>
      </c>
      <c r="F4968" s="10" t="s">
        <v>11160</v>
      </c>
      <c r="G4968" s="10" t="s">
        <v>30912</v>
      </c>
      <c r="H4968" s="11" t="s">
        <v>31</v>
      </c>
      <c r="I4968" s="11">
        <v>2.0</v>
      </c>
      <c r="J4968" s="11">
        <v>1.0</v>
      </c>
      <c r="K4968" s="11">
        <v>1.0</v>
      </c>
      <c r="L4968" s="12" t="s">
        <v>30171</v>
      </c>
      <c r="M4968" s="10" t="s">
        <v>30913</v>
      </c>
      <c r="N4968" s="10" t="s">
        <v>1348</v>
      </c>
      <c r="O4968" s="12" t="s">
        <v>1349</v>
      </c>
      <c r="P4968" s="10" t="s">
        <v>30152</v>
      </c>
      <c r="Q4968" s="10" t="s">
        <v>30153</v>
      </c>
      <c r="R4968" s="10" t="s">
        <v>1018</v>
      </c>
      <c r="S4968" s="12" t="s">
        <v>30154</v>
      </c>
      <c r="T4968" s="10" t="s">
        <v>1019</v>
      </c>
      <c r="U4968" s="12" t="s">
        <v>31</v>
      </c>
      <c r="V4968" s="10" t="s">
        <v>30914</v>
      </c>
      <c r="W4968" s="10" t="s">
        <v>30140</v>
      </c>
      <c r="X4968" s="13" t="str">
        <f>HYPERLINK("https://my.pitchbook.com?p=40962-97P","View People Online")</f>
        <v>View People Online</v>
      </c>
    </row>
    <row r="4969">
      <c r="A4969" s="6" t="s">
        <v>30915</v>
      </c>
      <c r="B4969" s="6" t="s">
        <v>30916</v>
      </c>
      <c r="C4969" s="6" t="s">
        <v>4033</v>
      </c>
      <c r="D4969" s="6" t="s">
        <v>4314</v>
      </c>
      <c r="E4969" s="6" t="s">
        <v>30140</v>
      </c>
      <c r="F4969" s="6" t="s">
        <v>318</v>
      </c>
      <c r="G4969" s="6" t="s">
        <v>30917</v>
      </c>
      <c r="H4969" s="7" t="s">
        <v>31</v>
      </c>
      <c r="I4969" s="7">
        <v>1.0</v>
      </c>
      <c r="J4969" s="7">
        <v>1.0</v>
      </c>
      <c r="K4969" s="7" t="s">
        <v>31</v>
      </c>
      <c r="L4969" s="8" t="s">
        <v>30178</v>
      </c>
      <c r="M4969" s="6" t="s">
        <v>30918</v>
      </c>
      <c r="N4969" s="6" t="s">
        <v>243</v>
      </c>
      <c r="O4969" s="8" t="s">
        <v>244</v>
      </c>
      <c r="P4969" s="6" t="s">
        <v>30180</v>
      </c>
      <c r="Q4969" s="6" t="s">
        <v>6831</v>
      </c>
      <c r="R4969" s="6" t="s">
        <v>247</v>
      </c>
      <c r="S4969" s="8" t="s">
        <v>30181</v>
      </c>
      <c r="T4969" s="6" t="s">
        <v>249</v>
      </c>
      <c r="U4969" s="8" t="s">
        <v>31</v>
      </c>
      <c r="V4969" s="6" t="s">
        <v>30919</v>
      </c>
      <c r="W4969" s="6" t="s">
        <v>30140</v>
      </c>
      <c r="X4969" s="9" t="str">
        <f>HYPERLINK("https://my.pitchbook.com?p=298928-80P","View People Online")</f>
        <v>View People Online</v>
      </c>
    </row>
    <row r="4970">
      <c r="A4970" s="2" t="s">
        <v>30920</v>
      </c>
      <c r="B4970" s="2" t="s">
        <v>30921</v>
      </c>
      <c r="C4970" s="2" t="s">
        <v>1807</v>
      </c>
      <c r="D4970" s="2" t="s">
        <v>30922</v>
      </c>
      <c r="E4970" s="2" t="s">
        <v>30140</v>
      </c>
      <c r="F4970" s="2" t="s">
        <v>2652</v>
      </c>
      <c r="G4970" s="2" t="s">
        <v>30923</v>
      </c>
      <c r="H4970" s="3" t="s">
        <v>31</v>
      </c>
      <c r="I4970" s="3">
        <v>1.0</v>
      </c>
      <c r="J4970" s="3">
        <v>1.0</v>
      </c>
      <c r="K4970" s="3" t="s">
        <v>31</v>
      </c>
      <c r="L4970" s="4" t="s">
        <v>30171</v>
      </c>
      <c r="M4970" s="2" t="s">
        <v>30924</v>
      </c>
      <c r="N4970" s="2" t="s">
        <v>1348</v>
      </c>
      <c r="O4970" s="4" t="s">
        <v>1349</v>
      </c>
      <c r="P4970" s="2" t="s">
        <v>30152</v>
      </c>
      <c r="Q4970" s="2" t="s">
        <v>30153</v>
      </c>
      <c r="R4970" s="2" t="s">
        <v>1018</v>
      </c>
      <c r="S4970" s="4" t="s">
        <v>30154</v>
      </c>
      <c r="T4970" s="2" t="s">
        <v>1019</v>
      </c>
      <c r="U4970" s="4" t="s">
        <v>31</v>
      </c>
      <c r="V4970" s="2" t="s">
        <v>30925</v>
      </c>
      <c r="W4970" s="2" t="s">
        <v>30140</v>
      </c>
      <c r="X4970" s="5" t="str">
        <f>HYPERLINK("https://my.pitchbook.com?p=326064-61P","View People Online")</f>
        <v>View People Online</v>
      </c>
    </row>
    <row r="4971">
      <c r="A4971" s="14" t="s">
        <v>30926</v>
      </c>
      <c r="B4971" s="14" t="s">
        <v>30927</v>
      </c>
      <c r="C4971" s="14" t="s">
        <v>20078</v>
      </c>
      <c r="D4971" s="14" t="s">
        <v>30928</v>
      </c>
      <c r="E4971" s="14" t="s">
        <v>30140</v>
      </c>
      <c r="F4971" s="14" t="s">
        <v>2652</v>
      </c>
      <c r="G4971" s="14" t="s">
        <v>30929</v>
      </c>
      <c r="H4971" s="15" t="s">
        <v>31</v>
      </c>
      <c r="I4971" s="15">
        <v>1.0</v>
      </c>
      <c r="J4971" s="15">
        <v>1.0</v>
      </c>
      <c r="K4971" s="15" t="s">
        <v>31</v>
      </c>
      <c r="L4971" s="16" t="s">
        <v>31</v>
      </c>
      <c r="M4971" s="14" t="s">
        <v>30930</v>
      </c>
      <c r="N4971" s="14" t="s">
        <v>155</v>
      </c>
      <c r="O4971" s="16" t="s">
        <v>156</v>
      </c>
      <c r="P4971" s="14" t="s">
        <v>30543</v>
      </c>
      <c r="Q4971" s="14" t="s">
        <v>31</v>
      </c>
      <c r="R4971" s="14" t="s">
        <v>64</v>
      </c>
      <c r="S4971" s="16" t="s">
        <v>3487</v>
      </c>
      <c r="T4971" s="14" t="s">
        <v>66</v>
      </c>
      <c r="U4971" s="16" t="s">
        <v>31</v>
      </c>
      <c r="V4971" s="14" t="s">
        <v>30931</v>
      </c>
      <c r="W4971" s="14" t="s">
        <v>30140</v>
      </c>
      <c r="X4971" s="17" t="str">
        <f>HYPERLINK("https://my.pitchbook.com?p=329847-40P","View People Online")</f>
        <v>View People Online</v>
      </c>
    </row>
    <row r="4972">
      <c r="A4972" s="10" t="s">
        <v>30932</v>
      </c>
      <c r="B4972" s="10" t="s">
        <v>30933</v>
      </c>
      <c r="C4972" s="10" t="s">
        <v>30934</v>
      </c>
      <c r="D4972" s="10" t="s">
        <v>30935</v>
      </c>
      <c r="E4972" s="10" t="s">
        <v>30140</v>
      </c>
      <c r="F4972" s="10" t="s">
        <v>1283</v>
      </c>
      <c r="G4972" s="10" t="s">
        <v>30936</v>
      </c>
      <c r="H4972" s="11" t="s">
        <v>31</v>
      </c>
      <c r="I4972" s="11">
        <v>1.0</v>
      </c>
      <c r="J4972" s="11">
        <v>1.0</v>
      </c>
      <c r="K4972" s="11" t="s">
        <v>31</v>
      </c>
      <c r="L4972" s="12" t="s">
        <v>30178</v>
      </c>
      <c r="M4972" s="10" t="s">
        <v>30937</v>
      </c>
      <c r="N4972" s="10" t="s">
        <v>243</v>
      </c>
      <c r="O4972" s="12" t="s">
        <v>244</v>
      </c>
      <c r="P4972" s="10" t="s">
        <v>30180</v>
      </c>
      <c r="Q4972" s="10" t="s">
        <v>6831</v>
      </c>
      <c r="R4972" s="10" t="s">
        <v>247</v>
      </c>
      <c r="S4972" s="12" t="s">
        <v>30181</v>
      </c>
      <c r="T4972" s="10" t="s">
        <v>249</v>
      </c>
      <c r="U4972" s="12" t="s">
        <v>31</v>
      </c>
      <c r="V4972" s="10" t="s">
        <v>30191</v>
      </c>
      <c r="W4972" s="10" t="s">
        <v>30140</v>
      </c>
      <c r="X4972" s="13" t="str">
        <f>HYPERLINK("https://my.pitchbook.com?p=421120-54P","View People Online")</f>
        <v>View People Online</v>
      </c>
    </row>
    <row r="4973">
      <c r="A4973" s="6" t="s">
        <v>30938</v>
      </c>
      <c r="B4973" s="6" t="s">
        <v>30939</v>
      </c>
      <c r="C4973" s="6" t="s">
        <v>5185</v>
      </c>
      <c r="D4973" s="6" t="s">
        <v>3847</v>
      </c>
      <c r="E4973" s="6" t="s">
        <v>30140</v>
      </c>
      <c r="F4973" s="6" t="s">
        <v>1283</v>
      </c>
      <c r="G4973" s="6" t="s">
        <v>30940</v>
      </c>
      <c r="H4973" s="7" t="s">
        <v>31</v>
      </c>
      <c r="I4973" s="7">
        <v>1.0</v>
      </c>
      <c r="J4973" s="7">
        <v>1.0</v>
      </c>
      <c r="K4973" s="7" t="s">
        <v>31</v>
      </c>
      <c r="L4973" s="8" t="s">
        <v>30941</v>
      </c>
      <c r="M4973" s="6" t="s">
        <v>30942</v>
      </c>
      <c r="N4973" s="6" t="s">
        <v>243</v>
      </c>
      <c r="O4973" s="8" t="s">
        <v>244</v>
      </c>
      <c r="P4973" s="6" t="s">
        <v>30180</v>
      </c>
      <c r="Q4973" s="6" t="s">
        <v>6831</v>
      </c>
      <c r="R4973" s="6" t="s">
        <v>247</v>
      </c>
      <c r="S4973" s="8" t="s">
        <v>30181</v>
      </c>
      <c r="T4973" s="6" t="s">
        <v>249</v>
      </c>
      <c r="U4973" s="8" t="s">
        <v>31</v>
      </c>
      <c r="V4973" s="6" t="s">
        <v>30943</v>
      </c>
      <c r="W4973" s="6" t="s">
        <v>30140</v>
      </c>
      <c r="X4973" s="9" t="str">
        <f>HYPERLINK("https://my.pitchbook.com?p=155847-52P","View People Online")</f>
        <v>View People Online</v>
      </c>
    </row>
    <row r="4974">
      <c r="A4974" s="2" t="s">
        <v>30944</v>
      </c>
      <c r="B4974" s="2" t="s">
        <v>30945</v>
      </c>
      <c r="C4974" s="2" t="s">
        <v>132</v>
      </c>
      <c r="D4974" s="2" t="s">
        <v>4377</v>
      </c>
      <c r="E4974" s="2" t="s">
        <v>30140</v>
      </c>
      <c r="F4974" s="2" t="s">
        <v>1283</v>
      </c>
      <c r="G4974" s="2" t="s">
        <v>30946</v>
      </c>
      <c r="H4974" s="3" t="s">
        <v>31</v>
      </c>
      <c r="I4974" s="3">
        <v>1.0</v>
      </c>
      <c r="J4974" s="3">
        <v>1.0</v>
      </c>
      <c r="K4974" s="3" t="s">
        <v>31</v>
      </c>
      <c r="L4974" s="4" t="s">
        <v>30178</v>
      </c>
      <c r="M4974" s="2" t="s">
        <v>30947</v>
      </c>
      <c r="N4974" s="2" t="s">
        <v>243</v>
      </c>
      <c r="O4974" s="4" t="s">
        <v>244</v>
      </c>
      <c r="P4974" s="2" t="s">
        <v>30180</v>
      </c>
      <c r="Q4974" s="2" t="s">
        <v>6831</v>
      </c>
      <c r="R4974" s="2" t="s">
        <v>247</v>
      </c>
      <c r="S4974" s="4" t="s">
        <v>30181</v>
      </c>
      <c r="T4974" s="2" t="s">
        <v>249</v>
      </c>
      <c r="U4974" s="4" t="s">
        <v>31</v>
      </c>
      <c r="V4974" s="2" t="s">
        <v>30948</v>
      </c>
      <c r="W4974" s="2" t="s">
        <v>30140</v>
      </c>
      <c r="X4974" s="5" t="str">
        <f>HYPERLINK("https://my.pitchbook.com?p=149750-11P","View People Online")</f>
        <v>View People Online</v>
      </c>
    </row>
    <row r="4975">
      <c r="A4975" s="6" t="s">
        <v>30949</v>
      </c>
      <c r="B4975" s="6" t="s">
        <v>30950</v>
      </c>
      <c r="C4975" s="6" t="s">
        <v>132</v>
      </c>
      <c r="D4975" s="6" t="s">
        <v>30951</v>
      </c>
      <c r="E4975" s="6" t="s">
        <v>30140</v>
      </c>
      <c r="F4975" s="6" t="s">
        <v>1283</v>
      </c>
      <c r="G4975" s="6" t="s">
        <v>30952</v>
      </c>
      <c r="H4975" s="7" t="s">
        <v>31</v>
      </c>
      <c r="I4975" s="7">
        <v>1.0</v>
      </c>
      <c r="J4975" s="7">
        <v>1.0</v>
      </c>
      <c r="K4975" s="7" t="s">
        <v>31</v>
      </c>
      <c r="L4975" s="8" t="s">
        <v>30171</v>
      </c>
      <c r="M4975" s="6" t="s">
        <v>30953</v>
      </c>
      <c r="N4975" s="6" t="s">
        <v>1348</v>
      </c>
      <c r="O4975" s="8" t="s">
        <v>1349</v>
      </c>
      <c r="P4975" s="6" t="s">
        <v>30152</v>
      </c>
      <c r="Q4975" s="6" t="s">
        <v>30153</v>
      </c>
      <c r="R4975" s="6" t="s">
        <v>1018</v>
      </c>
      <c r="S4975" s="8" t="s">
        <v>30154</v>
      </c>
      <c r="T4975" s="6" t="s">
        <v>1019</v>
      </c>
      <c r="U4975" s="8" t="s">
        <v>31</v>
      </c>
      <c r="V4975" s="6" t="s">
        <v>30245</v>
      </c>
      <c r="W4975" s="6" t="s">
        <v>30140</v>
      </c>
      <c r="X4975" s="9" t="str">
        <f>HYPERLINK("https://my.pitchbook.com?p=421036-84P","View People Online")</f>
        <v>View People Online</v>
      </c>
    </row>
    <row r="4976">
      <c r="A4976" s="2" t="s">
        <v>30954</v>
      </c>
      <c r="B4976" s="2" t="s">
        <v>30955</v>
      </c>
      <c r="C4976" s="2" t="s">
        <v>30956</v>
      </c>
      <c r="D4976" s="2" t="s">
        <v>30957</v>
      </c>
      <c r="E4976" s="2" t="s">
        <v>30140</v>
      </c>
      <c r="F4976" s="2" t="s">
        <v>1283</v>
      </c>
      <c r="G4976" s="2" t="s">
        <v>30958</v>
      </c>
      <c r="H4976" s="3" t="s">
        <v>31</v>
      </c>
      <c r="I4976" s="3">
        <v>1.0</v>
      </c>
      <c r="J4976" s="3">
        <v>1.0</v>
      </c>
      <c r="K4976" s="3" t="s">
        <v>31</v>
      </c>
      <c r="L4976" s="4" t="s">
        <v>30171</v>
      </c>
      <c r="M4976" s="2" t="s">
        <v>30959</v>
      </c>
      <c r="N4976" s="2" t="s">
        <v>1348</v>
      </c>
      <c r="O4976" s="4" t="s">
        <v>1349</v>
      </c>
      <c r="P4976" s="2" t="s">
        <v>30152</v>
      </c>
      <c r="Q4976" s="2" t="s">
        <v>30153</v>
      </c>
      <c r="R4976" s="2" t="s">
        <v>1018</v>
      </c>
      <c r="S4976" s="4" t="s">
        <v>30154</v>
      </c>
      <c r="T4976" s="2" t="s">
        <v>1019</v>
      </c>
      <c r="U4976" s="4" t="s">
        <v>31</v>
      </c>
      <c r="V4976" s="2" t="s">
        <v>30245</v>
      </c>
      <c r="W4976" s="2" t="s">
        <v>30140</v>
      </c>
      <c r="X4976" s="5" t="str">
        <f>HYPERLINK("https://my.pitchbook.com?p=421036-03P","View People Online")</f>
        <v>View People Online</v>
      </c>
    </row>
    <row r="4977">
      <c r="A4977" s="14" t="s">
        <v>30960</v>
      </c>
      <c r="B4977" s="14" t="s">
        <v>30961</v>
      </c>
      <c r="C4977" s="14" t="s">
        <v>30962</v>
      </c>
      <c r="D4977" s="14" t="s">
        <v>30963</v>
      </c>
      <c r="E4977" s="14" t="s">
        <v>30140</v>
      </c>
      <c r="F4977" s="14" t="s">
        <v>1283</v>
      </c>
      <c r="G4977" s="14" t="s">
        <v>30964</v>
      </c>
      <c r="H4977" s="15" t="s">
        <v>31</v>
      </c>
      <c r="I4977" s="15">
        <v>1.0</v>
      </c>
      <c r="J4977" s="15">
        <v>1.0</v>
      </c>
      <c r="K4977" s="15" t="s">
        <v>31</v>
      </c>
      <c r="L4977" s="16" t="s">
        <v>30965</v>
      </c>
      <c r="M4977" s="14" t="s">
        <v>30966</v>
      </c>
      <c r="N4977" s="14" t="s">
        <v>75</v>
      </c>
      <c r="O4977" s="16" t="s">
        <v>76</v>
      </c>
      <c r="P4977" s="14" t="s">
        <v>30215</v>
      </c>
      <c r="Q4977" s="14" t="s">
        <v>24925</v>
      </c>
      <c r="R4977" s="14" t="s">
        <v>75</v>
      </c>
      <c r="S4977" s="16" t="s">
        <v>1432</v>
      </c>
      <c r="T4977" s="14" t="s">
        <v>66</v>
      </c>
      <c r="U4977" s="16" t="s">
        <v>31</v>
      </c>
      <c r="V4977" s="14" t="s">
        <v>30562</v>
      </c>
      <c r="W4977" s="14" t="s">
        <v>30140</v>
      </c>
      <c r="X4977" s="17" t="str">
        <f>HYPERLINK("https://my.pitchbook.com?p=36465-67P","View People Online")</f>
        <v>View People Online</v>
      </c>
    </row>
    <row r="4978">
      <c r="A4978" s="10" t="s">
        <v>30967</v>
      </c>
      <c r="B4978" s="10" t="s">
        <v>30968</v>
      </c>
      <c r="C4978" s="10" t="s">
        <v>7584</v>
      </c>
      <c r="D4978" s="10" t="s">
        <v>30969</v>
      </c>
      <c r="E4978" s="10" t="s">
        <v>30140</v>
      </c>
      <c r="F4978" s="10" t="s">
        <v>2652</v>
      </c>
      <c r="G4978" s="10" t="s">
        <v>30970</v>
      </c>
      <c r="H4978" s="11">
        <v>1.0</v>
      </c>
      <c r="I4978" s="11">
        <v>7.0</v>
      </c>
      <c r="J4978" s="11">
        <v>1.0</v>
      </c>
      <c r="K4978" s="11">
        <v>4.0</v>
      </c>
      <c r="L4978" s="12" t="s">
        <v>30178</v>
      </c>
      <c r="M4978" s="10" t="s">
        <v>30971</v>
      </c>
      <c r="N4978" s="10" t="s">
        <v>243</v>
      </c>
      <c r="O4978" s="12" t="s">
        <v>244</v>
      </c>
      <c r="P4978" s="10" t="s">
        <v>30180</v>
      </c>
      <c r="Q4978" s="10" t="s">
        <v>6831</v>
      </c>
      <c r="R4978" s="10" t="s">
        <v>247</v>
      </c>
      <c r="S4978" s="12" t="s">
        <v>30181</v>
      </c>
      <c r="T4978" s="10" t="s">
        <v>249</v>
      </c>
      <c r="U4978" s="12" t="s">
        <v>31</v>
      </c>
      <c r="V4978" s="10" t="s">
        <v>30972</v>
      </c>
      <c r="W4978" s="10" t="s">
        <v>30140</v>
      </c>
      <c r="X4978" s="13" t="str">
        <f>HYPERLINK("https://my.pitchbook.com?p=38650-15P","View People Online")</f>
        <v>View People Online</v>
      </c>
    </row>
    <row r="4979">
      <c r="A4979" s="14" t="s">
        <v>30973</v>
      </c>
      <c r="B4979" s="14" t="s">
        <v>30974</v>
      </c>
      <c r="C4979" s="14" t="s">
        <v>30975</v>
      </c>
      <c r="D4979" s="14" t="s">
        <v>22384</v>
      </c>
      <c r="E4979" s="14" t="s">
        <v>30140</v>
      </c>
      <c r="F4979" s="14" t="s">
        <v>2652</v>
      </c>
      <c r="G4979" s="14" t="s">
        <v>30976</v>
      </c>
      <c r="H4979" s="15" t="s">
        <v>31</v>
      </c>
      <c r="I4979" s="15">
        <v>1.0</v>
      </c>
      <c r="J4979" s="15">
        <v>1.0</v>
      </c>
      <c r="K4979" s="15" t="s">
        <v>31</v>
      </c>
      <c r="L4979" s="16" t="s">
        <v>30178</v>
      </c>
      <c r="M4979" s="14" t="s">
        <v>30977</v>
      </c>
      <c r="N4979" s="14" t="s">
        <v>243</v>
      </c>
      <c r="O4979" s="16" t="s">
        <v>244</v>
      </c>
      <c r="P4979" s="14" t="s">
        <v>30180</v>
      </c>
      <c r="Q4979" s="14" t="s">
        <v>6831</v>
      </c>
      <c r="R4979" s="14" t="s">
        <v>247</v>
      </c>
      <c r="S4979" s="16" t="s">
        <v>30181</v>
      </c>
      <c r="T4979" s="14" t="s">
        <v>249</v>
      </c>
      <c r="U4979" s="16" t="s">
        <v>31</v>
      </c>
      <c r="V4979" s="14" t="s">
        <v>30978</v>
      </c>
      <c r="W4979" s="14" t="s">
        <v>30140</v>
      </c>
      <c r="X4979" s="17" t="str">
        <f>HYPERLINK("https://my.pitchbook.com?p=227359-72P","View People Online")</f>
        <v>View People Online</v>
      </c>
    </row>
    <row r="4980">
      <c r="A4980" s="2" t="s">
        <v>30979</v>
      </c>
      <c r="B4980" s="2" t="s">
        <v>30980</v>
      </c>
      <c r="C4980" s="2" t="s">
        <v>30981</v>
      </c>
      <c r="D4980" s="2" t="s">
        <v>30982</v>
      </c>
      <c r="E4980" s="2" t="s">
        <v>30140</v>
      </c>
      <c r="F4980" s="2" t="s">
        <v>30983</v>
      </c>
      <c r="G4980" s="2" t="s">
        <v>30984</v>
      </c>
      <c r="H4980" s="3" t="s">
        <v>31</v>
      </c>
      <c r="I4980" s="3">
        <v>3.0</v>
      </c>
      <c r="J4980" s="3">
        <v>1.0</v>
      </c>
      <c r="K4980" s="3">
        <v>2.0</v>
      </c>
      <c r="L4980" s="4" t="s">
        <v>30985</v>
      </c>
      <c r="M4980" s="2" t="s">
        <v>30986</v>
      </c>
      <c r="N4980" s="2" t="s">
        <v>1348</v>
      </c>
      <c r="O4980" s="4" t="s">
        <v>1349</v>
      </c>
      <c r="P4980" s="2" t="s">
        <v>30152</v>
      </c>
      <c r="Q4980" s="2" t="s">
        <v>30153</v>
      </c>
      <c r="R4980" s="2" t="s">
        <v>1018</v>
      </c>
      <c r="S4980" s="4" t="s">
        <v>30154</v>
      </c>
      <c r="T4980" s="2" t="s">
        <v>1019</v>
      </c>
      <c r="U4980" s="4" t="s">
        <v>30987</v>
      </c>
      <c r="V4980" s="2" t="s">
        <v>30988</v>
      </c>
      <c r="W4980" s="2" t="s">
        <v>30140</v>
      </c>
      <c r="X4980" s="5" t="str">
        <f>HYPERLINK("https://my.pitchbook.com?p=60982-48P","View People Online")</f>
        <v>View People Online</v>
      </c>
    </row>
    <row r="4981">
      <c r="A4981" s="14" t="s">
        <v>30989</v>
      </c>
      <c r="B4981" s="14" t="s">
        <v>30990</v>
      </c>
      <c r="C4981" s="14" t="s">
        <v>934</v>
      </c>
      <c r="D4981" s="14" t="s">
        <v>30991</v>
      </c>
      <c r="E4981" s="14" t="s">
        <v>30140</v>
      </c>
      <c r="F4981" s="14" t="s">
        <v>1283</v>
      </c>
      <c r="G4981" s="14" t="s">
        <v>30992</v>
      </c>
      <c r="H4981" s="15" t="s">
        <v>31</v>
      </c>
      <c r="I4981" s="15">
        <v>1.0</v>
      </c>
      <c r="J4981" s="15">
        <v>1.0</v>
      </c>
      <c r="K4981" s="15" t="s">
        <v>31</v>
      </c>
      <c r="L4981" s="16" t="s">
        <v>30187</v>
      </c>
      <c r="M4981" s="14" t="s">
        <v>30993</v>
      </c>
      <c r="N4981" s="14" t="s">
        <v>2478</v>
      </c>
      <c r="O4981" s="16" t="s">
        <v>7332</v>
      </c>
      <c r="P4981" s="14" t="s">
        <v>30189</v>
      </c>
      <c r="Q4981" s="14" t="s">
        <v>30190</v>
      </c>
      <c r="R4981" s="14" t="s">
        <v>7335</v>
      </c>
      <c r="S4981" s="16" t="s">
        <v>7336</v>
      </c>
      <c r="T4981" s="14" t="s">
        <v>5484</v>
      </c>
      <c r="U4981" s="16" t="s">
        <v>31</v>
      </c>
      <c r="V4981" s="14" t="s">
        <v>30994</v>
      </c>
      <c r="W4981" s="14" t="s">
        <v>30140</v>
      </c>
      <c r="X4981" s="17" t="str">
        <f>HYPERLINK("https://my.pitchbook.com?p=317829-07P","View People Online")</f>
        <v>View People Online</v>
      </c>
    </row>
    <row r="4982">
      <c r="A4982" s="10" t="s">
        <v>30995</v>
      </c>
      <c r="B4982" s="10" t="s">
        <v>30996</v>
      </c>
      <c r="C4982" s="10" t="s">
        <v>934</v>
      </c>
      <c r="D4982" s="10" t="s">
        <v>30997</v>
      </c>
      <c r="E4982" s="10" t="s">
        <v>30140</v>
      </c>
      <c r="F4982" s="10" t="s">
        <v>1283</v>
      </c>
      <c r="G4982" s="10" t="s">
        <v>30998</v>
      </c>
      <c r="H4982" s="11">
        <v>2.0</v>
      </c>
      <c r="I4982" s="11">
        <v>4.0</v>
      </c>
      <c r="J4982" s="11">
        <v>1.0</v>
      </c>
      <c r="K4982" s="11">
        <v>1.0</v>
      </c>
      <c r="L4982" s="12" t="s">
        <v>30171</v>
      </c>
      <c r="M4982" s="10" t="s">
        <v>30999</v>
      </c>
      <c r="N4982" s="10" t="s">
        <v>1348</v>
      </c>
      <c r="O4982" s="12" t="s">
        <v>1349</v>
      </c>
      <c r="P4982" s="10" t="s">
        <v>30152</v>
      </c>
      <c r="Q4982" s="10" t="s">
        <v>30153</v>
      </c>
      <c r="R4982" s="10" t="s">
        <v>1018</v>
      </c>
      <c r="S4982" s="12" t="s">
        <v>30154</v>
      </c>
      <c r="T4982" s="10" t="s">
        <v>1019</v>
      </c>
      <c r="U4982" s="12" t="s">
        <v>31</v>
      </c>
      <c r="V4982" s="10" t="s">
        <v>30544</v>
      </c>
      <c r="W4982" s="10" t="s">
        <v>30140</v>
      </c>
      <c r="X4982" s="13" t="str">
        <f>HYPERLINK("https://my.pitchbook.com?p=230866-75P","View People Online")</f>
        <v>View People Online</v>
      </c>
    </row>
    <row r="4983">
      <c r="A4983" s="14" t="s">
        <v>31000</v>
      </c>
      <c r="B4983" s="14" t="s">
        <v>31001</v>
      </c>
      <c r="C4983" s="14" t="s">
        <v>2388</v>
      </c>
      <c r="D4983" s="14" t="s">
        <v>31002</v>
      </c>
      <c r="E4983" s="14" t="s">
        <v>30140</v>
      </c>
      <c r="F4983" s="14" t="s">
        <v>825</v>
      </c>
      <c r="G4983" s="14" t="s">
        <v>31003</v>
      </c>
      <c r="H4983" s="15" t="s">
        <v>31</v>
      </c>
      <c r="I4983" s="15">
        <v>10.0</v>
      </c>
      <c r="J4983" s="15">
        <v>1.0</v>
      </c>
      <c r="K4983" s="15">
        <v>6.0</v>
      </c>
      <c r="L4983" s="16" t="s">
        <v>31004</v>
      </c>
      <c r="M4983" s="14" t="s">
        <v>31005</v>
      </c>
      <c r="N4983" s="14" t="s">
        <v>1348</v>
      </c>
      <c r="O4983" s="16" t="s">
        <v>1349</v>
      </c>
      <c r="P4983" s="14" t="s">
        <v>30152</v>
      </c>
      <c r="Q4983" s="14" t="s">
        <v>30153</v>
      </c>
      <c r="R4983" s="14" t="s">
        <v>1018</v>
      </c>
      <c r="S4983" s="16" t="s">
        <v>30154</v>
      </c>
      <c r="T4983" s="14" t="s">
        <v>1019</v>
      </c>
      <c r="U4983" s="16" t="s">
        <v>31</v>
      </c>
      <c r="V4983" s="14" t="s">
        <v>31006</v>
      </c>
      <c r="W4983" s="14" t="s">
        <v>30140</v>
      </c>
      <c r="X4983" s="17" t="str">
        <f>HYPERLINK("https://my.pitchbook.com?p=33642-28P","View People Online")</f>
        <v>View People Online</v>
      </c>
    </row>
    <row r="4984">
      <c r="A4984" s="10" t="s">
        <v>31007</v>
      </c>
      <c r="B4984" s="10" t="s">
        <v>31008</v>
      </c>
      <c r="C4984" s="10" t="s">
        <v>5219</v>
      </c>
      <c r="D4984" s="10" t="s">
        <v>31009</v>
      </c>
      <c r="E4984" s="10" t="s">
        <v>30140</v>
      </c>
      <c r="F4984" s="10" t="s">
        <v>1283</v>
      </c>
      <c r="G4984" s="10" t="s">
        <v>31010</v>
      </c>
      <c r="H4984" s="11" t="s">
        <v>31</v>
      </c>
      <c r="I4984" s="11">
        <v>1.0</v>
      </c>
      <c r="J4984" s="11">
        <v>1.0</v>
      </c>
      <c r="K4984" s="11" t="s">
        <v>31</v>
      </c>
      <c r="L4984" s="12" t="s">
        <v>30178</v>
      </c>
      <c r="M4984" s="10" t="s">
        <v>31011</v>
      </c>
      <c r="N4984" s="10" t="s">
        <v>243</v>
      </c>
      <c r="O4984" s="12" t="s">
        <v>244</v>
      </c>
      <c r="P4984" s="10" t="s">
        <v>30180</v>
      </c>
      <c r="Q4984" s="10" t="s">
        <v>6831</v>
      </c>
      <c r="R4984" s="10" t="s">
        <v>247</v>
      </c>
      <c r="S4984" s="12" t="s">
        <v>30181</v>
      </c>
      <c r="T4984" s="10" t="s">
        <v>249</v>
      </c>
      <c r="U4984" s="12" t="s">
        <v>31</v>
      </c>
      <c r="V4984" s="10" t="s">
        <v>30191</v>
      </c>
      <c r="W4984" s="10" t="s">
        <v>30140</v>
      </c>
      <c r="X4984" s="13" t="str">
        <f>HYPERLINK("https://my.pitchbook.com?p=421120-36P","View People Online")</f>
        <v>View People Online</v>
      </c>
    </row>
    <row r="4985">
      <c r="A4985" s="6" t="s">
        <v>31012</v>
      </c>
      <c r="B4985" s="6" t="s">
        <v>31013</v>
      </c>
      <c r="C4985" s="6" t="s">
        <v>31014</v>
      </c>
      <c r="D4985" s="6" t="s">
        <v>31015</v>
      </c>
      <c r="E4985" s="6" t="s">
        <v>30140</v>
      </c>
      <c r="F4985" s="6" t="s">
        <v>2652</v>
      </c>
      <c r="G4985" s="6" t="s">
        <v>31016</v>
      </c>
      <c r="H4985" s="7">
        <v>2.0</v>
      </c>
      <c r="I4985" s="7">
        <v>8.0</v>
      </c>
      <c r="J4985" s="7">
        <v>1.0</v>
      </c>
      <c r="K4985" s="7">
        <v>4.0</v>
      </c>
      <c r="L4985" s="8" t="s">
        <v>30620</v>
      </c>
      <c r="M4985" s="6" t="s">
        <v>31017</v>
      </c>
      <c r="N4985" s="6" t="s">
        <v>1203</v>
      </c>
      <c r="O4985" s="8" t="s">
        <v>1204</v>
      </c>
      <c r="P4985" s="6" t="s">
        <v>30622</v>
      </c>
      <c r="Q4985" s="6" t="s">
        <v>30623</v>
      </c>
      <c r="R4985" s="6" t="s">
        <v>1207</v>
      </c>
      <c r="S4985" s="8" t="s">
        <v>13235</v>
      </c>
      <c r="T4985" s="6" t="s">
        <v>1209</v>
      </c>
      <c r="U4985" s="8" t="s">
        <v>31</v>
      </c>
      <c r="V4985" s="6" t="s">
        <v>31018</v>
      </c>
      <c r="W4985" s="6" t="s">
        <v>30140</v>
      </c>
      <c r="X4985" s="9" t="str">
        <f>HYPERLINK("https://my.pitchbook.com?p=343398-07P","View People Online")</f>
        <v>View People Online</v>
      </c>
    </row>
    <row r="4986">
      <c r="A4986" s="10" t="s">
        <v>31019</v>
      </c>
      <c r="B4986" s="10" t="s">
        <v>31020</v>
      </c>
      <c r="C4986" s="10" t="s">
        <v>31021</v>
      </c>
      <c r="D4986" s="10" t="s">
        <v>4569</v>
      </c>
      <c r="E4986" s="10" t="s">
        <v>30140</v>
      </c>
      <c r="F4986" s="10" t="s">
        <v>825</v>
      </c>
      <c r="G4986" s="10" t="s">
        <v>31022</v>
      </c>
      <c r="H4986" s="11" t="s">
        <v>31</v>
      </c>
      <c r="I4986" s="11">
        <v>1.0</v>
      </c>
      <c r="J4986" s="11">
        <v>1.0</v>
      </c>
      <c r="K4986" s="11" t="s">
        <v>31</v>
      </c>
      <c r="L4986" s="12" t="s">
        <v>30272</v>
      </c>
      <c r="M4986" s="10" t="s">
        <v>31023</v>
      </c>
      <c r="N4986" s="10" t="s">
        <v>75</v>
      </c>
      <c r="O4986" s="12" t="s">
        <v>76</v>
      </c>
      <c r="P4986" s="10" t="s">
        <v>30215</v>
      </c>
      <c r="Q4986" s="10" t="s">
        <v>24925</v>
      </c>
      <c r="R4986" s="10" t="s">
        <v>75</v>
      </c>
      <c r="S4986" s="12" t="s">
        <v>1432</v>
      </c>
      <c r="T4986" s="10" t="s">
        <v>66</v>
      </c>
      <c r="U4986" s="12" t="s">
        <v>31</v>
      </c>
      <c r="V4986" s="10" t="s">
        <v>31024</v>
      </c>
      <c r="W4986" s="10" t="s">
        <v>30140</v>
      </c>
      <c r="X4986" s="13" t="str">
        <f>HYPERLINK("https://my.pitchbook.com?p=326066-77P","View People Online")</f>
        <v>View People Online</v>
      </c>
    </row>
    <row r="4987">
      <c r="A4987" s="6" t="s">
        <v>31025</v>
      </c>
      <c r="B4987" s="6" t="s">
        <v>31026</v>
      </c>
      <c r="C4987" s="6" t="s">
        <v>31027</v>
      </c>
      <c r="D4987" s="6" t="s">
        <v>1866</v>
      </c>
      <c r="E4987" s="6" t="s">
        <v>30140</v>
      </c>
      <c r="F4987" s="6" t="s">
        <v>31028</v>
      </c>
      <c r="G4987" s="6" t="s">
        <v>31029</v>
      </c>
      <c r="H4987" s="7" t="s">
        <v>31</v>
      </c>
      <c r="I4987" s="7">
        <v>1.0</v>
      </c>
      <c r="J4987" s="7">
        <v>1.0</v>
      </c>
      <c r="K4987" s="7" t="s">
        <v>31</v>
      </c>
      <c r="L4987" s="8" t="s">
        <v>30171</v>
      </c>
      <c r="M4987" s="6" t="s">
        <v>31030</v>
      </c>
      <c r="N4987" s="6" t="s">
        <v>1348</v>
      </c>
      <c r="O4987" s="8" t="s">
        <v>1349</v>
      </c>
      <c r="P4987" s="6" t="s">
        <v>30152</v>
      </c>
      <c r="Q4987" s="6" t="s">
        <v>30153</v>
      </c>
      <c r="R4987" s="6" t="s">
        <v>1018</v>
      </c>
      <c r="S4987" s="8" t="s">
        <v>30154</v>
      </c>
      <c r="T4987" s="6" t="s">
        <v>1019</v>
      </c>
      <c r="U4987" s="8" t="s">
        <v>31</v>
      </c>
      <c r="V4987" s="6" t="s">
        <v>31031</v>
      </c>
      <c r="W4987" s="6" t="s">
        <v>30140</v>
      </c>
      <c r="X4987" s="9" t="str">
        <f>HYPERLINK("https://my.pitchbook.com?p=197277-94P","View People Online")</f>
        <v>View People Online</v>
      </c>
    </row>
    <row r="4988">
      <c r="A4988" s="10" t="s">
        <v>31032</v>
      </c>
      <c r="B4988" s="10" t="s">
        <v>31033</v>
      </c>
      <c r="C4988" s="10" t="s">
        <v>31034</v>
      </c>
      <c r="D4988" s="10" t="s">
        <v>31035</v>
      </c>
      <c r="E4988" s="10" t="s">
        <v>30140</v>
      </c>
      <c r="F4988" s="10" t="s">
        <v>1283</v>
      </c>
      <c r="G4988" s="10" t="s">
        <v>31036</v>
      </c>
      <c r="H4988" s="11">
        <v>2.0</v>
      </c>
      <c r="I4988" s="11">
        <v>4.0</v>
      </c>
      <c r="J4988" s="11">
        <v>1.0</v>
      </c>
      <c r="K4988" s="11">
        <v>1.0</v>
      </c>
      <c r="L4988" s="12" t="s">
        <v>30620</v>
      </c>
      <c r="M4988" s="10" t="s">
        <v>31037</v>
      </c>
      <c r="N4988" s="10" t="s">
        <v>1203</v>
      </c>
      <c r="O4988" s="12" t="s">
        <v>1204</v>
      </c>
      <c r="P4988" s="10" t="s">
        <v>30622</v>
      </c>
      <c r="Q4988" s="10" t="s">
        <v>30623</v>
      </c>
      <c r="R4988" s="10" t="s">
        <v>1207</v>
      </c>
      <c r="S4988" s="12" t="s">
        <v>13235</v>
      </c>
      <c r="T4988" s="10" t="s">
        <v>1209</v>
      </c>
      <c r="U4988" s="12" t="s">
        <v>31</v>
      </c>
      <c r="V4988" s="10" t="s">
        <v>30842</v>
      </c>
      <c r="W4988" s="10" t="s">
        <v>30140</v>
      </c>
      <c r="X4988" s="13" t="str">
        <f>HYPERLINK("https://my.pitchbook.com?p=272431-81P","View People Online")</f>
        <v>View People Online</v>
      </c>
    </row>
    <row r="4989">
      <c r="A4989" s="6" t="s">
        <v>31038</v>
      </c>
      <c r="B4989" s="6" t="s">
        <v>31039</v>
      </c>
      <c r="C4989" s="6" t="s">
        <v>3875</v>
      </c>
      <c r="D4989" s="6" t="s">
        <v>4662</v>
      </c>
      <c r="E4989" s="6" t="s">
        <v>30140</v>
      </c>
      <c r="F4989" s="6" t="s">
        <v>1283</v>
      </c>
      <c r="G4989" s="6" t="s">
        <v>31040</v>
      </c>
      <c r="H4989" s="7" t="s">
        <v>31</v>
      </c>
      <c r="I4989" s="7">
        <v>1.0</v>
      </c>
      <c r="J4989" s="7">
        <v>1.0</v>
      </c>
      <c r="K4989" s="7" t="s">
        <v>31</v>
      </c>
      <c r="L4989" s="8" t="s">
        <v>30161</v>
      </c>
      <c r="M4989" s="6" t="s">
        <v>31041</v>
      </c>
      <c r="N4989" s="6" t="s">
        <v>3603</v>
      </c>
      <c r="O4989" s="8" t="s">
        <v>3604</v>
      </c>
      <c r="P4989" s="6" t="s">
        <v>30163</v>
      </c>
      <c r="Q4989" s="6" t="s">
        <v>30164</v>
      </c>
      <c r="R4989" s="6" t="s">
        <v>31</v>
      </c>
      <c r="S4989" s="8" t="s">
        <v>31</v>
      </c>
      <c r="T4989" s="6" t="s">
        <v>3603</v>
      </c>
      <c r="U4989" s="8" t="s">
        <v>31</v>
      </c>
      <c r="V4989" s="6" t="s">
        <v>24452</v>
      </c>
      <c r="W4989" s="6" t="s">
        <v>30140</v>
      </c>
      <c r="X4989" s="9" t="str">
        <f>HYPERLINK("https://my.pitchbook.com?p=49232-44P","View People Online")</f>
        <v>View People Online</v>
      </c>
    </row>
    <row r="4990">
      <c r="A4990" s="2" t="s">
        <v>31042</v>
      </c>
      <c r="B4990" s="2" t="s">
        <v>31043</v>
      </c>
      <c r="C4990" s="2" t="s">
        <v>12189</v>
      </c>
      <c r="D4990" s="2" t="s">
        <v>8016</v>
      </c>
      <c r="E4990" s="2" t="s">
        <v>30140</v>
      </c>
      <c r="F4990" s="2" t="s">
        <v>2652</v>
      </c>
      <c r="G4990" s="2" t="s">
        <v>31044</v>
      </c>
      <c r="H4990" s="3" t="s">
        <v>31</v>
      </c>
      <c r="I4990" s="3">
        <v>2.0</v>
      </c>
      <c r="J4990" s="3">
        <v>1.0</v>
      </c>
      <c r="K4990" s="3">
        <v>1.0</v>
      </c>
      <c r="L4990" s="4" t="s">
        <v>30161</v>
      </c>
      <c r="M4990" s="2" t="s">
        <v>31045</v>
      </c>
      <c r="N4990" s="2" t="s">
        <v>3603</v>
      </c>
      <c r="O4990" s="4" t="s">
        <v>3604</v>
      </c>
      <c r="P4990" s="2" t="s">
        <v>30163</v>
      </c>
      <c r="Q4990" s="2" t="s">
        <v>30164</v>
      </c>
      <c r="R4990" s="2" t="s">
        <v>31</v>
      </c>
      <c r="S4990" s="4" t="s">
        <v>31</v>
      </c>
      <c r="T4990" s="2" t="s">
        <v>3603</v>
      </c>
      <c r="U4990" s="4" t="s">
        <v>31</v>
      </c>
      <c r="V4990" s="2" t="s">
        <v>31046</v>
      </c>
      <c r="W4990" s="2" t="s">
        <v>30140</v>
      </c>
      <c r="X4990" s="5" t="str">
        <f>HYPERLINK("https://my.pitchbook.com?p=283609-90P","View People Online")</f>
        <v>View People Online</v>
      </c>
    </row>
    <row r="4991">
      <c r="A4991" s="14" t="s">
        <v>31047</v>
      </c>
      <c r="B4991" s="14" t="s">
        <v>31048</v>
      </c>
      <c r="C4991" s="14" t="s">
        <v>2412</v>
      </c>
      <c r="D4991" s="14" t="s">
        <v>24942</v>
      </c>
      <c r="E4991" s="14" t="s">
        <v>30140</v>
      </c>
      <c r="F4991" s="14" t="s">
        <v>1283</v>
      </c>
      <c r="G4991" s="14" t="s">
        <v>31049</v>
      </c>
      <c r="H4991" s="15" t="s">
        <v>31</v>
      </c>
      <c r="I4991" s="15">
        <v>1.0</v>
      </c>
      <c r="J4991" s="15">
        <v>1.0</v>
      </c>
      <c r="K4991" s="15" t="s">
        <v>31</v>
      </c>
      <c r="L4991" s="16" t="s">
        <v>30161</v>
      </c>
      <c r="M4991" s="14" t="s">
        <v>31050</v>
      </c>
      <c r="N4991" s="14" t="s">
        <v>3603</v>
      </c>
      <c r="O4991" s="16" t="s">
        <v>3604</v>
      </c>
      <c r="P4991" s="14" t="s">
        <v>30163</v>
      </c>
      <c r="Q4991" s="14" t="s">
        <v>30164</v>
      </c>
      <c r="R4991" s="14" t="s">
        <v>31</v>
      </c>
      <c r="S4991" s="16" t="s">
        <v>31</v>
      </c>
      <c r="T4991" s="14" t="s">
        <v>3603</v>
      </c>
      <c r="U4991" s="16" t="s">
        <v>31</v>
      </c>
      <c r="V4991" s="14" t="s">
        <v>24417</v>
      </c>
      <c r="W4991" s="14" t="s">
        <v>30140</v>
      </c>
      <c r="X4991" s="17" t="str">
        <f>HYPERLINK("https://my.pitchbook.com?p=421124-86P","View People Online")</f>
        <v>View People Online</v>
      </c>
    </row>
    <row r="4992">
      <c r="A4992" s="10" t="s">
        <v>31051</v>
      </c>
      <c r="B4992" s="10" t="s">
        <v>31052</v>
      </c>
      <c r="C4992" s="10" t="s">
        <v>9511</v>
      </c>
      <c r="D4992" s="10" t="s">
        <v>31053</v>
      </c>
      <c r="E4992" s="10" t="s">
        <v>30140</v>
      </c>
      <c r="F4992" s="10" t="s">
        <v>2652</v>
      </c>
      <c r="G4992" s="10" t="s">
        <v>31054</v>
      </c>
      <c r="H4992" s="11">
        <v>1.0</v>
      </c>
      <c r="I4992" s="11">
        <v>2.0</v>
      </c>
      <c r="J4992" s="11">
        <v>1.0</v>
      </c>
      <c r="K4992" s="11" t="s">
        <v>31</v>
      </c>
      <c r="L4992" s="12" t="s">
        <v>30178</v>
      </c>
      <c r="M4992" s="10" t="s">
        <v>31055</v>
      </c>
      <c r="N4992" s="10" t="s">
        <v>243</v>
      </c>
      <c r="O4992" s="12" t="s">
        <v>244</v>
      </c>
      <c r="P4992" s="10" t="s">
        <v>30180</v>
      </c>
      <c r="Q4992" s="10" t="s">
        <v>6831</v>
      </c>
      <c r="R4992" s="10" t="s">
        <v>247</v>
      </c>
      <c r="S4992" s="12" t="s">
        <v>30181</v>
      </c>
      <c r="T4992" s="10" t="s">
        <v>249</v>
      </c>
      <c r="U4992" s="12" t="s">
        <v>31</v>
      </c>
      <c r="V4992" s="10" t="s">
        <v>31056</v>
      </c>
      <c r="W4992" s="10" t="s">
        <v>30140</v>
      </c>
      <c r="X4992" s="13" t="str">
        <f>HYPERLINK("https://my.pitchbook.com?p=417831-31P","View People Online")</f>
        <v>View People Online</v>
      </c>
    </row>
    <row r="4993">
      <c r="A4993" s="14" t="s">
        <v>31057</v>
      </c>
      <c r="B4993" s="14" t="s">
        <v>31058</v>
      </c>
      <c r="C4993" s="14" t="s">
        <v>9511</v>
      </c>
      <c r="D4993" s="14" t="s">
        <v>31059</v>
      </c>
      <c r="E4993" s="14" t="s">
        <v>30140</v>
      </c>
      <c r="F4993" s="14" t="s">
        <v>2652</v>
      </c>
      <c r="G4993" s="14" t="s">
        <v>31060</v>
      </c>
      <c r="H4993" s="15">
        <v>1.0</v>
      </c>
      <c r="I4993" s="15">
        <v>3.0</v>
      </c>
      <c r="J4993" s="15">
        <v>1.0</v>
      </c>
      <c r="K4993" s="15">
        <v>1.0</v>
      </c>
      <c r="L4993" s="16" t="s">
        <v>30832</v>
      </c>
      <c r="M4993" s="14" t="s">
        <v>31061</v>
      </c>
      <c r="N4993" s="14" t="s">
        <v>13768</v>
      </c>
      <c r="O4993" s="16" t="s">
        <v>13769</v>
      </c>
      <c r="P4993" s="14" t="s">
        <v>30834</v>
      </c>
      <c r="Q4993" s="14" t="s">
        <v>30835</v>
      </c>
      <c r="R4993" s="14" t="s">
        <v>31</v>
      </c>
      <c r="S4993" s="16" t="s">
        <v>13772</v>
      </c>
      <c r="T4993" s="14" t="s">
        <v>13773</v>
      </c>
      <c r="U4993" s="16" t="s">
        <v>31</v>
      </c>
      <c r="V4993" s="14" t="s">
        <v>31062</v>
      </c>
      <c r="W4993" s="14" t="s">
        <v>30140</v>
      </c>
      <c r="X4993" s="17" t="str">
        <f>HYPERLINK("https://my.pitchbook.com?p=268867-72P","View People Online")</f>
        <v>View People Online</v>
      </c>
    </row>
    <row r="4994">
      <c r="A4994" s="10" t="s">
        <v>31063</v>
      </c>
      <c r="B4994" s="10" t="s">
        <v>31064</v>
      </c>
      <c r="C4994" s="10" t="s">
        <v>31065</v>
      </c>
      <c r="D4994" s="10" t="s">
        <v>31066</v>
      </c>
      <c r="E4994" s="10" t="s">
        <v>30140</v>
      </c>
      <c r="F4994" s="10" t="s">
        <v>1283</v>
      </c>
      <c r="G4994" s="10" t="s">
        <v>31067</v>
      </c>
      <c r="H4994" s="11" t="s">
        <v>31</v>
      </c>
      <c r="I4994" s="11">
        <v>1.0</v>
      </c>
      <c r="J4994" s="11">
        <v>1.0</v>
      </c>
      <c r="K4994" s="11" t="s">
        <v>31</v>
      </c>
      <c r="L4994" s="12" t="s">
        <v>30178</v>
      </c>
      <c r="M4994" s="10" t="s">
        <v>31068</v>
      </c>
      <c r="N4994" s="10" t="s">
        <v>243</v>
      </c>
      <c r="O4994" s="12" t="s">
        <v>244</v>
      </c>
      <c r="P4994" s="10" t="s">
        <v>30180</v>
      </c>
      <c r="Q4994" s="10" t="s">
        <v>6831</v>
      </c>
      <c r="R4994" s="10" t="s">
        <v>247</v>
      </c>
      <c r="S4994" s="12" t="s">
        <v>30181</v>
      </c>
      <c r="T4994" s="10" t="s">
        <v>249</v>
      </c>
      <c r="U4994" s="12" t="s">
        <v>31</v>
      </c>
      <c r="V4994" s="10" t="s">
        <v>30245</v>
      </c>
      <c r="W4994" s="10" t="s">
        <v>30140</v>
      </c>
      <c r="X4994" s="13" t="str">
        <f>HYPERLINK("https://my.pitchbook.com?p=200927-89P","View People Online")</f>
        <v>View People Online</v>
      </c>
    </row>
    <row r="4995">
      <c r="A4995" s="14" t="s">
        <v>31069</v>
      </c>
      <c r="B4995" s="14" t="s">
        <v>31070</v>
      </c>
      <c r="C4995" s="14" t="s">
        <v>395</v>
      </c>
      <c r="D4995" s="14" t="s">
        <v>31071</v>
      </c>
      <c r="E4995" s="14" t="s">
        <v>30140</v>
      </c>
      <c r="F4995" s="14" t="s">
        <v>1283</v>
      </c>
      <c r="G4995" s="14" t="s">
        <v>31072</v>
      </c>
      <c r="H4995" s="15" t="s">
        <v>31</v>
      </c>
      <c r="I4995" s="15">
        <v>1.0</v>
      </c>
      <c r="J4995" s="15">
        <v>1.0</v>
      </c>
      <c r="K4995" s="15" t="s">
        <v>31</v>
      </c>
      <c r="L4995" s="16" t="s">
        <v>30161</v>
      </c>
      <c r="M4995" s="14" t="s">
        <v>31073</v>
      </c>
      <c r="N4995" s="14" t="s">
        <v>3603</v>
      </c>
      <c r="O4995" s="16" t="s">
        <v>3604</v>
      </c>
      <c r="P4995" s="14" t="s">
        <v>30163</v>
      </c>
      <c r="Q4995" s="14" t="s">
        <v>30164</v>
      </c>
      <c r="R4995" s="14" t="s">
        <v>31</v>
      </c>
      <c r="S4995" s="16" t="s">
        <v>31</v>
      </c>
      <c r="T4995" s="14" t="s">
        <v>3603</v>
      </c>
      <c r="U4995" s="16" t="s">
        <v>31</v>
      </c>
      <c r="V4995" s="14" t="s">
        <v>24452</v>
      </c>
      <c r="W4995" s="14" t="s">
        <v>30140</v>
      </c>
      <c r="X4995" s="17" t="str">
        <f>HYPERLINK("https://my.pitchbook.com?p=421040-80P","View People Online")</f>
        <v>View People Online</v>
      </c>
    </row>
    <row r="4996">
      <c r="A4996" s="2" t="s">
        <v>31074</v>
      </c>
      <c r="B4996" s="2" t="s">
        <v>31075</v>
      </c>
      <c r="C4996" s="2" t="s">
        <v>395</v>
      </c>
      <c r="D4996" s="2" t="s">
        <v>31076</v>
      </c>
      <c r="E4996" s="2" t="s">
        <v>30140</v>
      </c>
      <c r="F4996" s="2" t="s">
        <v>270</v>
      </c>
      <c r="G4996" s="2" t="s">
        <v>31077</v>
      </c>
      <c r="H4996" s="3" t="s">
        <v>31</v>
      </c>
      <c r="I4996" s="3">
        <v>1.0</v>
      </c>
      <c r="J4996" s="3">
        <v>1.0</v>
      </c>
      <c r="K4996" s="3" t="s">
        <v>31</v>
      </c>
      <c r="L4996" s="4" t="s">
        <v>30178</v>
      </c>
      <c r="M4996" s="2" t="s">
        <v>31078</v>
      </c>
      <c r="N4996" s="2" t="s">
        <v>243</v>
      </c>
      <c r="O4996" s="4" t="s">
        <v>244</v>
      </c>
      <c r="P4996" s="2" t="s">
        <v>30180</v>
      </c>
      <c r="Q4996" s="2" t="s">
        <v>6831</v>
      </c>
      <c r="R4996" s="2" t="s">
        <v>247</v>
      </c>
      <c r="S4996" s="4" t="s">
        <v>30181</v>
      </c>
      <c r="T4996" s="2" t="s">
        <v>249</v>
      </c>
      <c r="U4996" s="4" t="s">
        <v>31</v>
      </c>
      <c r="V4996" s="2" t="s">
        <v>7535</v>
      </c>
      <c r="W4996" s="2" t="s">
        <v>30140</v>
      </c>
      <c r="X4996" s="5" t="str">
        <f>HYPERLINK("https://my.pitchbook.com?p=84682-27P","View People Online")</f>
        <v>View People Online</v>
      </c>
    </row>
    <row r="4997">
      <c r="A4997" s="14" t="s">
        <v>31079</v>
      </c>
      <c r="B4997" s="14" t="s">
        <v>31080</v>
      </c>
      <c r="C4997" s="14" t="s">
        <v>536</v>
      </c>
      <c r="D4997" s="14" t="s">
        <v>31081</v>
      </c>
      <c r="E4997" s="14" t="s">
        <v>30140</v>
      </c>
      <c r="F4997" s="14" t="s">
        <v>1283</v>
      </c>
      <c r="G4997" s="14" t="s">
        <v>31082</v>
      </c>
      <c r="H4997" s="15">
        <v>2.0</v>
      </c>
      <c r="I4997" s="15">
        <v>3.0</v>
      </c>
      <c r="J4997" s="15">
        <v>1.0</v>
      </c>
      <c r="K4997" s="15" t="s">
        <v>31</v>
      </c>
      <c r="L4997" s="16" t="s">
        <v>31083</v>
      </c>
      <c r="M4997" s="14" t="s">
        <v>31084</v>
      </c>
      <c r="N4997" s="14" t="s">
        <v>1348</v>
      </c>
      <c r="O4997" s="16" t="s">
        <v>1349</v>
      </c>
      <c r="P4997" s="14" t="s">
        <v>30152</v>
      </c>
      <c r="Q4997" s="14" t="s">
        <v>30153</v>
      </c>
      <c r="R4997" s="14" t="s">
        <v>1018</v>
      </c>
      <c r="S4997" s="16" t="s">
        <v>30154</v>
      </c>
      <c r="T4997" s="14" t="s">
        <v>1019</v>
      </c>
      <c r="U4997" s="16" t="s">
        <v>31</v>
      </c>
      <c r="V4997" s="14" t="s">
        <v>31085</v>
      </c>
      <c r="W4997" s="14" t="s">
        <v>30140</v>
      </c>
      <c r="X4997" s="17" t="str">
        <f>HYPERLINK("https://my.pitchbook.com?p=33648-58P","View People Online")</f>
        <v>View People Online</v>
      </c>
    </row>
    <row r="4998">
      <c r="A4998" s="2" t="s">
        <v>31086</v>
      </c>
      <c r="B4998" s="2" t="s">
        <v>31087</v>
      </c>
      <c r="C4998" s="2" t="s">
        <v>3370</v>
      </c>
      <c r="D4998" s="2" t="s">
        <v>31088</v>
      </c>
      <c r="E4998" s="2" t="s">
        <v>30140</v>
      </c>
      <c r="F4998" s="2" t="s">
        <v>201</v>
      </c>
      <c r="G4998" s="2" t="s">
        <v>31089</v>
      </c>
      <c r="H4998" s="3" t="s">
        <v>31</v>
      </c>
      <c r="I4998" s="3">
        <v>1.0</v>
      </c>
      <c r="J4998" s="3">
        <v>1.0</v>
      </c>
      <c r="K4998" s="3" t="s">
        <v>31</v>
      </c>
      <c r="L4998" s="4" t="s">
        <v>30171</v>
      </c>
      <c r="M4998" s="2" t="s">
        <v>31090</v>
      </c>
      <c r="N4998" s="2" t="s">
        <v>1348</v>
      </c>
      <c r="O4998" s="4" t="s">
        <v>1349</v>
      </c>
      <c r="P4998" s="2" t="s">
        <v>30152</v>
      </c>
      <c r="Q4998" s="2" t="s">
        <v>30153</v>
      </c>
      <c r="R4998" s="2" t="s">
        <v>1018</v>
      </c>
      <c r="S4998" s="4" t="s">
        <v>30154</v>
      </c>
      <c r="T4998" s="2" t="s">
        <v>1019</v>
      </c>
      <c r="U4998" s="4" t="s">
        <v>31</v>
      </c>
      <c r="V4998" s="2" t="s">
        <v>201</v>
      </c>
      <c r="W4998" s="2" t="s">
        <v>30140</v>
      </c>
      <c r="X4998" s="5" t="str">
        <f>HYPERLINK("https://my.pitchbook.com?p=235741-87P","View People Online")</f>
        <v>View People Online</v>
      </c>
    </row>
    <row r="4999">
      <c r="A4999" s="6" t="s">
        <v>31091</v>
      </c>
      <c r="B4999" s="6" t="s">
        <v>31092</v>
      </c>
      <c r="C4999" s="6" t="s">
        <v>31093</v>
      </c>
      <c r="D4999" s="6" t="s">
        <v>30565</v>
      </c>
      <c r="E4999" s="6" t="s">
        <v>30140</v>
      </c>
      <c r="F4999" s="6" t="s">
        <v>2652</v>
      </c>
      <c r="G4999" s="6" t="s">
        <v>31094</v>
      </c>
      <c r="H4999" s="7">
        <v>1.0</v>
      </c>
      <c r="I4999" s="7">
        <v>2.0</v>
      </c>
      <c r="J4999" s="7">
        <v>1.0</v>
      </c>
      <c r="K4999" s="7" t="s">
        <v>31</v>
      </c>
      <c r="L4999" s="8" t="s">
        <v>30171</v>
      </c>
      <c r="M4999" s="6" t="s">
        <v>31095</v>
      </c>
      <c r="N4999" s="6" t="s">
        <v>1348</v>
      </c>
      <c r="O4999" s="8" t="s">
        <v>1349</v>
      </c>
      <c r="P4999" s="6" t="s">
        <v>30152</v>
      </c>
      <c r="Q4999" s="6" t="s">
        <v>30153</v>
      </c>
      <c r="R4999" s="6" t="s">
        <v>1018</v>
      </c>
      <c r="S4999" s="8" t="s">
        <v>30154</v>
      </c>
      <c r="T4999" s="6" t="s">
        <v>1019</v>
      </c>
      <c r="U4999" s="8" t="s">
        <v>31</v>
      </c>
      <c r="V4999" s="6" t="s">
        <v>31096</v>
      </c>
      <c r="W4999" s="6" t="s">
        <v>30140</v>
      </c>
      <c r="X4999" s="9" t="str">
        <f>HYPERLINK("https://my.pitchbook.com?p=155844-73P","View People Online")</f>
        <v>View People Online</v>
      </c>
    </row>
    <row r="5000">
      <c r="A5000" s="10" t="s">
        <v>31097</v>
      </c>
      <c r="B5000" s="10" t="s">
        <v>31098</v>
      </c>
      <c r="C5000" s="10" t="s">
        <v>4015</v>
      </c>
      <c r="D5000" s="10" t="s">
        <v>31099</v>
      </c>
      <c r="E5000" s="10" t="s">
        <v>30140</v>
      </c>
      <c r="F5000" s="10" t="s">
        <v>2652</v>
      </c>
      <c r="G5000" s="10" t="s">
        <v>31100</v>
      </c>
      <c r="H5000" s="11">
        <v>1.0</v>
      </c>
      <c r="I5000" s="11">
        <v>2.0</v>
      </c>
      <c r="J5000" s="11">
        <v>1.0</v>
      </c>
      <c r="K5000" s="11" t="s">
        <v>31</v>
      </c>
      <c r="L5000" s="12" t="s">
        <v>30171</v>
      </c>
      <c r="M5000" s="10" t="s">
        <v>31101</v>
      </c>
      <c r="N5000" s="10" t="s">
        <v>1348</v>
      </c>
      <c r="O5000" s="12" t="s">
        <v>1349</v>
      </c>
      <c r="P5000" s="10" t="s">
        <v>30152</v>
      </c>
      <c r="Q5000" s="10" t="s">
        <v>30153</v>
      </c>
      <c r="R5000" s="10" t="s">
        <v>1018</v>
      </c>
      <c r="S5000" s="12" t="s">
        <v>30154</v>
      </c>
      <c r="T5000" s="10" t="s">
        <v>1019</v>
      </c>
      <c r="U5000" s="12" t="s">
        <v>31</v>
      </c>
      <c r="V5000" s="10" t="s">
        <v>31102</v>
      </c>
      <c r="W5000" s="10" t="s">
        <v>30140</v>
      </c>
      <c r="X5000" s="13" t="str">
        <f>HYPERLINK("https://my.pitchbook.com?p=99858-97P","View People Online")</f>
        <v>View People Online</v>
      </c>
    </row>
    <row r="5001">
      <c r="A5001" s="6" t="s">
        <v>31103</v>
      </c>
      <c r="B5001" s="6" t="s">
        <v>31104</v>
      </c>
      <c r="C5001" s="6" t="s">
        <v>4015</v>
      </c>
      <c r="D5001" s="6" t="s">
        <v>31105</v>
      </c>
      <c r="E5001" s="6" t="s">
        <v>30140</v>
      </c>
      <c r="F5001" s="6" t="s">
        <v>2652</v>
      </c>
      <c r="G5001" s="6" t="s">
        <v>31106</v>
      </c>
      <c r="H5001" s="7" t="s">
        <v>31</v>
      </c>
      <c r="I5001" s="7">
        <v>50.0</v>
      </c>
      <c r="J5001" s="7">
        <v>1.0</v>
      </c>
      <c r="K5001" s="7">
        <v>45.0</v>
      </c>
      <c r="L5001" s="8" t="s">
        <v>31107</v>
      </c>
      <c r="M5001" s="6" t="s">
        <v>31108</v>
      </c>
      <c r="N5001" s="6" t="s">
        <v>1348</v>
      </c>
      <c r="O5001" s="8" t="s">
        <v>1349</v>
      </c>
      <c r="P5001" s="6" t="s">
        <v>30152</v>
      </c>
      <c r="Q5001" s="6" t="s">
        <v>30153</v>
      </c>
      <c r="R5001" s="6" t="s">
        <v>1018</v>
      </c>
      <c r="S5001" s="8" t="s">
        <v>30154</v>
      </c>
      <c r="T5001" s="6" t="s">
        <v>1019</v>
      </c>
      <c r="U5001" s="8" t="s">
        <v>31</v>
      </c>
      <c r="V5001" s="6" t="s">
        <v>31109</v>
      </c>
      <c r="W5001" s="6" t="s">
        <v>30140</v>
      </c>
      <c r="X5001" s="9" t="str">
        <f>HYPERLINK("https://my.pitchbook.com?p=14508-46P","View People Online")</f>
        <v>View People Online</v>
      </c>
    </row>
    <row r="5002">
      <c r="A5002" s="2" t="s">
        <v>31110</v>
      </c>
      <c r="B5002" s="2" t="s">
        <v>31111</v>
      </c>
      <c r="C5002" s="2" t="s">
        <v>180</v>
      </c>
      <c r="D5002" s="2" t="s">
        <v>31112</v>
      </c>
      <c r="E5002" s="2" t="s">
        <v>30140</v>
      </c>
      <c r="F5002" s="2" t="s">
        <v>2652</v>
      </c>
      <c r="G5002" s="2" t="s">
        <v>31113</v>
      </c>
      <c r="H5002" s="3">
        <v>2.0</v>
      </c>
      <c r="I5002" s="3">
        <v>8.0</v>
      </c>
      <c r="J5002" s="3">
        <v>1.0</v>
      </c>
      <c r="K5002" s="3">
        <v>4.0</v>
      </c>
      <c r="L5002" s="4" t="s">
        <v>31114</v>
      </c>
      <c r="M5002" s="2" t="s">
        <v>31115</v>
      </c>
      <c r="N5002" s="2" t="s">
        <v>1348</v>
      </c>
      <c r="O5002" s="4" t="s">
        <v>1349</v>
      </c>
      <c r="P5002" s="2" t="s">
        <v>30152</v>
      </c>
      <c r="Q5002" s="2" t="s">
        <v>30153</v>
      </c>
      <c r="R5002" s="2" t="s">
        <v>1018</v>
      </c>
      <c r="S5002" s="4" t="s">
        <v>30154</v>
      </c>
      <c r="T5002" s="2" t="s">
        <v>1019</v>
      </c>
      <c r="U5002" s="4" t="s">
        <v>31</v>
      </c>
      <c r="V5002" s="2" t="s">
        <v>31109</v>
      </c>
      <c r="W5002" s="2" t="s">
        <v>30140</v>
      </c>
      <c r="X5002" s="5" t="str">
        <f>HYPERLINK("https://my.pitchbook.com?p=33647-68P","View People Online")</f>
        <v>View People Online</v>
      </c>
    </row>
    <row r="5003">
      <c r="A5003" s="6" t="s">
        <v>31116</v>
      </c>
      <c r="B5003" s="6" t="s">
        <v>31117</v>
      </c>
      <c r="C5003" s="6" t="s">
        <v>5264</v>
      </c>
      <c r="D5003" s="6" t="s">
        <v>3935</v>
      </c>
      <c r="E5003" s="6" t="s">
        <v>30140</v>
      </c>
      <c r="F5003" s="6" t="s">
        <v>2652</v>
      </c>
      <c r="G5003" s="6" t="s">
        <v>31118</v>
      </c>
      <c r="H5003" s="7" t="s">
        <v>31</v>
      </c>
      <c r="I5003" s="7">
        <v>1.0</v>
      </c>
      <c r="J5003" s="7">
        <v>1.0</v>
      </c>
      <c r="K5003" s="7" t="s">
        <v>31</v>
      </c>
      <c r="L5003" s="8" t="s">
        <v>30171</v>
      </c>
      <c r="M5003" s="6" t="s">
        <v>31119</v>
      </c>
      <c r="N5003" s="6" t="s">
        <v>1348</v>
      </c>
      <c r="O5003" s="8" t="s">
        <v>1349</v>
      </c>
      <c r="P5003" s="6" t="s">
        <v>30152</v>
      </c>
      <c r="Q5003" s="6" t="s">
        <v>30153</v>
      </c>
      <c r="R5003" s="6" t="s">
        <v>1018</v>
      </c>
      <c r="S5003" s="8" t="s">
        <v>30154</v>
      </c>
      <c r="T5003" s="6" t="s">
        <v>1019</v>
      </c>
      <c r="U5003" s="8" t="s">
        <v>31</v>
      </c>
      <c r="V5003" s="6" t="s">
        <v>31120</v>
      </c>
      <c r="W5003" s="6" t="s">
        <v>30140</v>
      </c>
      <c r="X5003" s="9" t="str">
        <f>HYPERLINK("https://my.pitchbook.com?p=338530-42P","View People Online")</f>
        <v>View People Online</v>
      </c>
    </row>
    <row r="5004">
      <c r="A5004" s="2" t="s">
        <v>31121</v>
      </c>
      <c r="B5004" s="2" t="s">
        <v>31122</v>
      </c>
      <c r="C5004" s="2" t="s">
        <v>1013</v>
      </c>
      <c r="D5004" s="2" t="s">
        <v>31123</v>
      </c>
      <c r="E5004" s="2" t="s">
        <v>30140</v>
      </c>
      <c r="F5004" s="2" t="s">
        <v>2652</v>
      </c>
      <c r="G5004" s="2" t="s">
        <v>31124</v>
      </c>
      <c r="H5004" s="3" t="s">
        <v>31</v>
      </c>
      <c r="I5004" s="3">
        <v>1.0</v>
      </c>
      <c r="J5004" s="3">
        <v>1.0</v>
      </c>
      <c r="K5004" s="3" t="s">
        <v>31</v>
      </c>
      <c r="L5004" s="4" t="s">
        <v>30171</v>
      </c>
      <c r="M5004" s="2" t="s">
        <v>31125</v>
      </c>
      <c r="N5004" s="2" t="s">
        <v>1348</v>
      </c>
      <c r="O5004" s="4" t="s">
        <v>1349</v>
      </c>
      <c r="P5004" s="2" t="s">
        <v>30152</v>
      </c>
      <c r="Q5004" s="2" t="s">
        <v>30153</v>
      </c>
      <c r="R5004" s="2" t="s">
        <v>1018</v>
      </c>
      <c r="S5004" s="4" t="s">
        <v>30154</v>
      </c>
      <c r="T5004" s="2" t="s">
        <v>1019</v>
      </c>
      <c r="U5004" s="4" t="s">
        <v>31</v>
      </c>
      <c r="V5004" s="2" t="s">
        <v>31126</v>
      </c>
      <c r="W5004" s="2" t="s">
        <v>30140</v>
      </c>
      <c r="X5004" s="5" t="str">
        <f>HYPERLINK("https://my.pitchbook.com?p=336278-08P","View People Online")</f>
        <v>View People Online</v>
      </c>
    </row>
    <row r="5005">
      <c r="A5005" s="14" t="s">
        <v>31127</v>
      </c>
      <c r="B5005" s="14" t="s">
        <v>31128</v>
      </c>
      <c r="C5005" s="14" t="s">
        <v>3888</v>
      </c>
      <c r="D5005" s="14" t="s">
        <v>31129</v>
      </c>
      <c r="E5005" s="14" t="s">
        <v>30140</v>
      </c>
      <c r="F5005" s="14" t="s">
        <v>1283</v>
      </c>
      <c r="G5005" s="14" t="s">
        <v>31130</v>
      </c>
      <c r="H5005" s="15" t="s">
        <v>31</v>
      </c>
      <c r="I5005" s="15">
        <v>1.0</v>
      </c>
      <c r="J5005" s="15">
        <v>1.0</v>
      </c>
      <c r="K5005" s="15" t="s">
        <v>31</v>
      </c>
      <c r="L5005" s="16" t="s">
        <v>30272</v>
      </c>
      <c r="M5005" s="14" t="s">
        <v>31131</v>
      </c>
      <c r="N5005" s="14" t="s">
        <v>75</v>
      </c>
      <c r="O5005" s="16" t="s">
        <v>76</v>
      </c>
      <c r="P5005" s="14" t="s">
        <v>30215</v>
      </c>
      <c r="Q5005" s="14" t="s">
        <v>24925</v>
      </c>
      <c r="R5005" s="14" t="s">
        <v>75</v>
      </c>
      <c r="S5005" s="16" t="s">
        <v>1432</v>
      </c>
      <c r="T5005" s="14" t="s">
        <v>66</v>
      </c>
      <c r="U5005" s="16" t="s">
        <v>31</v>
      </c>
      <c r="V5005" s="14" t="s">
        <v>30191</v>
      </c>
      <c r="W5005" s="14" t="s">
        <v>30140</v>
      </c>
      <c r="X5005" s="17" t="str">
        <f>HYPERLINK("https://my.pitchbook.com?p=204964-03P","View People Online")</f>
        <v>View People Online</v>
      </c>
    </row>
    <row r="5006">
      <c r="A5006" s="10" t="s">
        <v>31132</v>
      </c>
      <c r="B5006" s="10" t="s">
        <v>31133</v>
      </c>
      <c r="C5006" s="10" t="s">
        <v>31134</v>
      </c>
      <c r="D5006" s="10" t="s">
        <v>673</v>
      </c>
      <c r="E5006" s="10" t="s">
        <v>30140</v>
      </c>
      <c r="F5006" s="10" t="s">
        <v>1283</v>
      </c>
      <c r="G5006" s="10" t="s">
        <v>31135</v>
      </c>
      <c r="H5006" s="11" t="s">
        <v>31</v>
      </c>
      <c r="I5006" s="11">
        <v>1.0</v>
      </c>
      <c r="J5006" s="11">
        <v>1.0</v>
      </c>
      <c r="K5006" s="11" t="s">
        <v>31</v>
      </c>
      <c r="L5006" s="12" t="s">
        <v>31136</v>
      </c>
      <c r="M5006" s="10" t="s">
        <v>31137</v>
      </c>
      <c r="N5006" s="10" t="s">
        <v>1348</v>
      </c>
      <c r="O5006" s="12" t="s">
        <v>1349</v>
      </c>
      <c r="P5006" s="10" t="s">
        <v>30152</v>
      </c>
      <c r="Q5006" s="10" t="s">
        <v>30153</v>
      </c>
      <c r="R5006" s="10" t="s">
        <v>1018</v>
      </c>
      <c r="S5006" s="12" t="s">
        <v>30154</v>
      </c>
      <c r="T5006" s="10" t="s">
        <v>1019</v>
      </c>
      <c r="U5006" s="12" t="s">
        <v>31</v>
      </c>
      <c r="V5006" s="10" t="s">
        <v>30191</v>
      </c>
      <c r="W5006" s="10" t="s">
        <v>30140</v>
      </c>
      <c r="X5006" s="13" t="str">
        <f>HYPERLINK("https://my.pitchbook.com?p=33649-39P","View People Online")</f>
        <v>View People Online</v>
      </c>
    </row>
    <row r="5007">
      <c r="A5007" s="14" t="s">
        <v>31138</v>
      </c>
      <c r="B5007" s="14" t="s">
        <v>31139</v>
      </c>
      <c r="C5007" s="14" t="s">
        <v>31140</v>
      </c>
      <c r="D5007" s="14" t="s">
        <v>31141</v>
      </c>
      <c r="E5007" s="14" t="s">
        <v>30140</v>
      </c>
      <c r="F5007" s="14" t="s">
        <v>2652</v>
      </c>
      <c r="G5007" s="14" t="s">
        <v>31142</v>
      </c>
      <c r="H5007" s="15" t="s">
        <v>31</v>
      </c>
      <c r="I5007" s="15">
        <v>1.0</v>
      </c>
      <c r="J5007" s="15">
        <v>1.0</v>
      </c>
      <c r="K5007" s="15" t="s">
        <v>31</v>
      </c>
      <c r="L5007" s="16" t="s">
        <v>30272</v>
      </c>
      <c r="M5007" s="14" t="s">
        <v>31143</v>
      </c>
      <c r="N5007" s="14" t="s">
        <v>75</v>
      </c>
      <c r="O5007" s="16" t="s">
        <v>76</v>
      </c>
      <c r="P5007" s="14" t="s">
        <v>30215</v>
      </c>
      <c r="Q5007" s="14" t="s">
        <v>24925</v>
      </c>
      <c r="R5007" s="14" t="s">
        <v>75</v>
      </c>
      <c r="S5007" s="16" t="s">
        <v>1432</v>
      </c>
      <c r="T5007" s="14" t="s">
        <v>66</v>
      </c>
      <c r="U5007" s="16" t="s">
        <v>31</v>
      </c>
      <c r="V5007" s="14" t="s">
        <v>31144</v>
      </c>
      <c r="W5007" s="14" t="s">
        <v>30140</v>
      </c>
      <c r="X5007" s="17" t="str">
        <f>HYPERLINK("https://my.pitchbook.com?p=326069-20P","View People Online")</f>
        <v>View People Online</v>
      </c>
    </row>
    <row r="5008">
      <c r="A5008" s="10" t="s">
        <v>31145</v>
      </c>
      <c r="B5008" s="10" t="s">
        <v>31146</v>
      </c>
      <c r="C5008" s="10" t="s">
        <v>1824</v>
      </c>
      <c r="D5008" s="10" t="s">
        <v>31147</v>
      </c>
      <c r="E5008" s="10" t="s">
        <v>30140</v>
      </c>
      <c r="F5008" s="10" t="s">
        <v>2652</v>
      </c>
      <c r="G5008" s="10" t="s">
        <v>31148</v>
      </c>
      <c r="H5008" s="11">
        <v>1.0</v>
      </c>
      <c r="I5008" s="11">
        <v>5.0</v>
      </c>
      <c r="J5008" s="11">
        <v>2.0</v>
      </c>
      <c r="K5008" s="11">
        <v>3.0</v>
      </c>
      <c r="L5008" s="12" t="s">
        <v>30171</v>
      </c>
      <c r="M5008" s="10" t="s">
        <v>31149</v>
      </c>
      <c r="N5008" s="10" t="s">
        <v>1348</v>
      </c>
      <c r="O5008" s="12" t="s">
        <v>1349</v>
      </c>
      <c r="P5008" s="10" t="s">
        <v>30152</v>
      </c>
      <c r="Q5008" s="10" t="s">
        <v>30153</v>
      </c>
      <c r="R5008" s="10" t="s">
        <v>1018</v>
      </c>
      <c r="S5008" s="12" t="s">
        <v>30154</v>
      </c>
      <c r="T5008" s="10" t="s">
        <v>1019</v>
      </c>
      <c r="U5008" s="12" t="s">
        <v>31</v>
      </c>
      <c r="V5008" s="10" t="s">
        <v>31150</v>
      </c>
      <c r="W5008" s="10" t="s">
        <v>30140</v>
      </c>
      <c r="X5008" s="13" t="str">
        <f>HYPERLINK("https://my.pitchbook.com?p=92335-24P","View People Online")</f>
        <v>View People Online</v>
      </c>
    </row>
    <row r="5009">
      <c r="A5009" s="14" t="s">
        <v>31151</v>
      </c>
      <c r="B5009" s="14" t="s">
        <v>31152</v>
      </c>
      <c r="C5009" s="14" t="s">
        <v>4679</v>
      </c>
      <c r="D5009" s="14" t="s">
        <v>823</v>
      </c>
      <c r="E5009" s="14" t="s">
        <v>30140</v>
      </c>
      <c r="F5009" s="14" t="s">
        <v>1283</v>
      </c>
      <c r="G5009" s="14" t="s">
        <v>31153</v>
      </c>
      <c r="H5009" s="15" t="s">
        <v>31</v>
      </c>
      <c r="I5009" s="15">
        <v>1.0</v>
      </c>
      <c r="J5009" s="15">
        <v>1.0</v>
      </c>
      <c r="K5009" s="15" t="s">
        <v>31</v>
      </c>
      <c r="L5009" s="16" t="s">
        <v>30171</v>
      </c>
      <c r="M5009" s="14" t="s">
        <v>31154</v>
      </c>
      <c r="N5009" s="14" t="s">
        <v>1348</v>
      </c>
      <c r="O5009" s="16" t="s">
        <v>1349</v>
      </c>
      <c r="P5009" s="14" t="s">
        <v>30152</v>
      </c>
      <c r="Q5009" s="14" t="s">
        <v>30153</v>
      </c>
      <c r="R5009" s="14" t="s">
        <v>1018</v>
      </c>
      <c r="S5009" s="16" t="s">
        <v>30154</v>
      </c>
      <c r="T5009" s="14" t="s">
        <v>1019</v>
      </c>
      <c r="U5009" s="16" t="s">
        <v>31</v>
      </c>
      <c r="V5009" s="14" t="s">
        <v>31155</v>
      </c>
      <c r="W5009" s="14" t="s">
        <v>30140</v>
      </c>
      <c r="X5009" s="17" t="str">
        <f>HYPERLINK("https://my.pitchbook.com?p=301289-68P","View People Online")</f>
        <v>View People Online</v>
      </c>
    </row>
    <row r="5010">
      <c r="A5010" s="10" t="s">
        <v>31156</v>
      </c>
      <c r="B5010" s="10" t="s">
        <v>31157</v>
      </c>
      <c r="C5010" s="10" t="s">
        <v>2468</v>
      </c>
      <c r="D5010" s="10" t="s">
        <v>666</v>
      </c>
      <c r="E5010" s="10" t="s">
        <v>30140</v>
      </c>
      <c r="F5010" s="10" t="s">
        <v>1283</v>
      </c>
      <c r="G5010" s="10" t="s">
        <v>31158</v>
      </c>
      <c r="H5010" s="11" t="s">
        <v>31</v>
      </c>
      <c r="I5010" s="11">
        <v>3.0</v>
      </c>
      <c r="J5010" s="11">
        <v>3.0</v>
      </c>
      <c r="K5010" s="11" t="s">
        <v>31</v>
      </c>
      <c r="L5010" s="12" t="s">
        <v>31159</v>
      </c>
      <c r="M5010" s="10" t="s">
        <v>31160</v>
      </c>
      <c r="N5010" s="10" t="s">
        <v>1348</v>
      </c>
      <c r="O5010" s="12" t="s">
        <v>1349</v>
      </c>
      <c r="P5010" s="10" t="s">
        <v>30152</v>
      </c>
      <c r="Q5010" s="10" t="s">
        <v>30153</v>
      </c>
      <c r="R5010" s="10" t="s">
        <v>1018</v>
      </c>
      <c r="S5010" s="12" t="s">
        <v>30154</v>
      </c>
      <c r="T5010" s="10" t="s">
        <v>1019</v>
      </c>
      <c r="U5010" s="12" t="s">
        <v>31</v>
      </c>
      <c r="V5010" s="10" t="s">
        <v>31161</v>
      </c>
      <c r="W5010" s="10" t="s">
        <v>30140</v>
      </c>
      <c r="X5010" s="13" t="str">
        <f>HYPERLINK("https://my.pitchbook.com?p=33648-22P","View People Online")</f>
        <v>View People Online</v>
      </c>
    </row>
    <row r="5011">
      <c r="A5011" s="14" t="s">
        <v>31162</v>
      </c>
      <c r="B5011" s="14" t="s">
        <v>31163</v>
      </c>
      <c r="C5011" s="14" t="s">
        <v>31164</v>
      </c>
      <c r="D5011" s="14" t="s">
        <v>31165</v>
      </c>
      <c r="E5011" s="14" t="s">
        <v>30140</v>
      </c>
      <c r="F5011" s="14" t="s">
        <v>2652</v>
      </c>
      <c r="G5011" s="14" t="s">
        <v>31166</v>
      </c>
      <c r="H5011" s="15" t="s">
        <v>31</v>
      </c>
      <c r="I5011" s="15">
        <v>2.0</v>
      </c>
      <c r="J5011" s="15">
        <v>1.0</v>
      </c>
      <c r="K5011" s="15">
        <v>1.0</v>
      </c>
      <c r="L5011" s="16" t="s">
        <v>31167</v>
      </c>
      <c r="M5011" s="14" t="s">
        <v>31168</v>
      </c>
      <c r="N5011" s="14" t="s">
        <v>13768</v>
      </c>
      <c r="O5011" s="16" t="s">
        <v>13769</v>
      </c>
      <c r="P5011" s="14" t="s">
        <v>30834</v>
      </c>
      <c r="Q5011" s="14" t="s">
        <v>30835</v>
      </c>
      <c r="R5011" s="14" t="s">
        <v>31</v>
      </c>
      <c r="S5011" s="16" t="s">
        <v>13772</v>
      </c>
      <c r="T5011" s="14" t="s">
        <v>13773</v>
      </c>
      <c r="U5011" s="16" t="s">
        <v>31</v>
      </c>
      <c r="V5011" s="14" t="s">
        <v>31169</v>
      </c>
      <c r="W5011" s="14" t="s">
        <v>30140</v>
      </c>
      <c r="X5011" s="17" t="str">
        <f>HYPERLINK("https://my.pitchbook.com?p=62127-01P","View People Online")</f>
        <v>View People Online</v>
      </c>
    </row>
    <row r="5012">
      <c r="A5012" s="10" t="s">
        <v>31170</v>
      </c>
      <c r="B5012" s="10" t="s">
        <v>31171</v>
      </c>
      <c r="C5012" s="10" t="s">
        <v>14256</v>
      </c>
      <c r="D5012" s="10" t="s">
        <v>31172</v>
      </c>
      <c r="E5012" s="10" t="s">
        <v>30140</v>
      </c>
      <c r="F5012" s="10" t="s">
        <v>2652</v>
      </c>
      <c r="G5012" s="10" t="s">
        <v>31173</v>
      </c>
      <c r="H5012" s="11" t="s">
        <v>31</v>
      </c>
      <c r="I5012" s="11">
        <v>1.0</v>
      </c>
      <c r="J5012" s="11">
        <v>1.0</v>
      </c>
      <c r="K5012" s="11" t="s">
        <v>31</v>
      </c>
      <c r="L5012" s="12" t="s">
        <v>30171</v>
      </c>
      <c r="M5012" s="10" t="s">
        <v>31174</v>
      </c>
      <c r="N5012" s="10" t="s">
        <v>1348</v>
      </c>
      <c r="O5012" s="12" t="s">
        <v>1349</v>
      </c>
      <c r="P5012" s="10" t="s">
        <v>30152</v>
      </c>
      <c r="Q5012" s="10" t="s">
        <v>30153</v>
      </c>
      <c r="R5012" s="10" t="s">
        <v>1018</v>
      </c>
      <c r="S5012" s="12" t="s">
        <v>30154</v>
      </c>
      <c r="T5012" s="10" t="s">
        <v>1019</v>
      </c>
      <c r="U5012" s="12" t="s">
        <v>31</v>
      </c>
      <c r="V5012" s="10" t="s">
        <v>31175</v>
      </c>
      <c r="W5012" s="10" t="s">
        <v>30140</v>
      </c>
      <c r="X5012" s="13" t="str">
        <f>HYPERLINK("https://my.pitchbook.com?p=343399-87P","View People Online")</f>
        <v>View People Online</v>
      </c>
    </row>
    <row r="5013">
      <c r="A5013" s="6" t="s">
        <v>31176</v>
      </c>
      <c r="B5013" s="6" t="s">
        <v>31177</v>
      </c>
      <c r="C5013" s="6" t="s">
        <v>562</v>
      </c>
      <c r="D5013" s="6" t="s">
        <v>6030</v>
      </c>
      <c r="E5013" s="6" t="s">
        <v>30140</v>
      </c>
      <c r="F5013" s="6" t="s">
        <v>2652</v>
      </c>
      <c r="G5013" s="6" t="s">
        <v>31178</v>
      </c>
      <c r="H5013" s="7" t="s">
        <v>31</v>
      </c>
      <c r="I5013" s="7">
        <v>6.0</v>
      </c>
      <c r="J5013" s="7">
        <v>1.0</v>
      </c>
      <c r="K5013" s="7">
        <v>5.0</v>
      </c>
      <c r="L5013" s="8" t="s">
        <v>30178</v>
      </c>
      <c r="M5013" s="6" t="s">
        <v>31179</v>
      </c>
      <c r="N5013" s="6" t="s">
        <v>243</v>
      </c>
      <c r="O5013" s="8" t="s">
        <v>244</v>
      </c>
      <c r="P5013" s="6" t="s">
        <v>30180</v>
      </c>
      <c r="Q5013" s="6" t="s">
        <v>6831</v>
      </c>
      <c r="R5013" s="6" t="s">
        <v>247</v>
      </c>
      <c r="S5013" s="8" t="s">
        <v>30181</v>
      </c>
      <c r="T5013" s="6" t="s">
        <v>249</v>
      </c>
      <c r="U5013" s="8" t="s">
        <v>31</v>
      </c>
      <c r="V5013" s="6" t="s">
        <v>31180</v>
      </c>
      <c r="W5013" s="6" t="s">
        <v>30140</v>
      </c>
      <c r="X5013" s="9" t="str">
        <f>HYPERLINK("https://my.pitchbook.com?p=284876-47P","View People Online")</f>
        <v>View People Online</v>
      </c>
    </row>
    <row r="5014">
      <c r="A5014" s="2" t="s">
        <v>31181</v>
      </c>
      <c r="B5014" s="2" t="s">
        <v>31182</v>
      </c>
      <c r="C5014" s="2" t="s">
        <v>2483</v>
      </c>
      <c r="D5014" s="2" t="s">
        <v>3041</v>
      </c>
      <c r="E5014" s="2" t="s">
        <v>30140</v>
      </c>
      <c r="F5014" s="2" t="s">
        <v>1283</v>
      </c>
      <c r="G5014" s="2" t="s">
        <v>31183</v>
      </c>
      <c r="H5014" s="3" t="s">
        <v>31</v>
      </c>
      <c r="I5014" s="3">
        <v>1.0</v>
      </c>
      <c r="J5014" s="3">
        <v>1.0</v>
      </c>
      <c r="K5014" s="3" t="s">
        <v>31</v>
      </c>
      <c r="L5014" s="4" t="s">
        <v>30171</v>
      </c>
      <c r="M5014" s="2" t="s">
        <v>31184</v>
      </c>
      <c r="N5014" s="2" t="s">
        <v>1348</v>
      </c>
      <c r="O5014" s="4" t="s">
        <v>1349</v>
      </c>
      <c r="P5014" s="2" t="s">
        <v>30152</v>
      </c>
      <c r="Q5014" s="2" t="s">
        <v>30153</v>
      </c>
      <c r="R5014" s="2" t="s">
        <v>1018</v>
      </c>
      <c r="S5014" s="4" t="s">
        <v>30154</v>
      </c>
      <c r="T5014" s="2" t="s">
        <v>1019</v>
      </c>
      <c r="U5014" s="4" t="s">
        <v>31</v>
      </c>
      <c r="V5014" s="2" t="s">
        <v>31185</v>
      </c>
      <c r="W5014" s="2" t="s">
        <v>30140</v>
      </c>
      <c r="X5014" s="5" t="str">
        <f>HYPERLINK("https://my.pitchbook.com?p=329851-99P","View People Online")</f>
        <v>View People Online</v>
      </c>
    </row>
    <row r="5015">
      <c r="A5015" s="14" t="s">
        <v>31186</v>
      </c>
      <c r="B5015" s="14" t="s">
        <v>31187</v>
      </c>
      <c r="C5015" s="14" t="s">
        <v>1830</v>
      </c>
      <c r="D5015" s="14" t="s">
        <v>25277</v>
      </c>
      <c r="E5015" s="14" t="s">
        <v>30140</v>
      </c>
      <c r="F5015" s="14" t="s">
        <v>318</v>
      </c>
      <c r="G5015" s="14" t="s">
        <v>31188</v>
      </c>
      <c r="H5015" s="15" t="s">
        <v>31</v>
      </c>
      <c r="I5015" s="15">
        <v>1.0</v>
      </c>
      <c r="J5015" s="15">
        <v>1.0</v>
      </c>
      <c r="K5015" s="15" t="s">
        <v>31</v>
      </c>
      <c r="L5015" s="16" t="s">
        <v>30171</v>
      </c>
      <c r="M5015" s="14" t="s">
        <v>31189</v>
      </c>
      <c r="N5015" s="14" t="s">
        <v>1348</v>
      </c>
      <c r="O5015" s="16" t="s">
        <v>1349</v>
      </c>
      <c r="P5015" s="14" t="s">
        <v>30152</v>
      </c>
      <c r="Q5015" s="14" t="s">
        <v>30153</v>
      </c>
      <c r="R5015" s="14" t="s">
        <v>1018</v>
      </c>
      <c r="S5015" s="16" t="s">
        <v>30154</v>
      </c>
      <c r="T5015" s="14" t="s">
        <v>1019</v>
      </c>
      <c r="U5015" s="16" t="s">
        <v>31</v>
      </c>
      <c r="V5015" s="14" t="s">
        <v>318</v>
      </c>
      <c r="W5015" s="14" t="s">
        <v>30140</v>
      </c>
      <c r="X5015" s="17" t="str">
        <f>HYPERLINK("https://my.pitchbook.com?p=392235-04P","View People Online")</f>
        <v>View People Online</v>
      </c>
    </row>
    <row r="5016">
      <c r="A5016" s="2" t="s">
        <v>31190</v>
      </c>
      <c r="B5016" s="2" t="s">
        <v>31191</v>
      </c>
      <c r="C5016" s="2" t="s">
        <v>1830</v>
      </c>
      <c r="D5016" s="2" t="s">
        <v>31192</v>
      </c>
      <c r="E5016" s="2" t="s">
        <v>30140</v>
      </c>
      <c r="F5016" s="2" t="s">
        <v>1283</v>
      </c>
      <c r="G5016" s="2" t="s">
        <v>31193</v>
      </c>
      <c r="H5016" s="3" t="s">
        <v>31</v>
      </c>
      <c r="I5016" s="3">
        <v>1.0</v>
      </c>
      <c r="J5016" s="3">
        <v>1.0</v>
      </c>
      <c r="K5016" s="3" t="s">
        <v>31</v>
      </c>
      <c r="L5016" s="4" t="s">
        <v>30171</v>
      </c>
      <c r="M5016" s="2" t="s">
        <v>31194</v>
      </c>
      <c r="N5016" s="2" t="s">
        <v>1348</v>
      </c>
      <c r="O5016" s="4" t="s">
        <v>1349</v>
      </c>
      <c r="P5016" s="2" t="s">
        <v>30152</v>
      </c>
      <c r="Q5016" s="2" t="s">
        <v>30153</v>
      </c>
      <c r="R5016" s="2" t="s">
        <v>1018</v>
      </c>
      <c r="S5016" s="4" t="s">
        <v>30154</v>
      </c>
      <c r="T5016" s="2" t="s">
        <v>1019</v>
      </c>
      <c r="U5016" s="4" t="s">
        <v>31</v>
      </c>
      <c r="V5016" s="2" t="s">
        <v>30550</v>
      </c>
      <c r="W5016" s="2" t="s">
        <v>30140</v>
      </c>
      <c r="X5016" s="5" t="str">
        <f>HYPERLINK("https://my.pitchbook.com?p=245335-06P","View People Online")</f>
        <v>View People Online</v>
      </c>
    </row>
    <row r="5017">
      <c r="A5017" s="6" t="s">
        <v>31195</v>
      </c>
      <c r="B5017" s="6" t="s">
        <v>31196</v>
      </c>
      <c r="C5017" s="6" t="s">
        <v>22822</v>
      </c>
      <c r="D5017" s="6" t="s">
        <v>5302</v>
      </c>
      <c r="E5017" s="6" t="s">
        <v>30140</v>
      </c>
      <c r="F5017" s="6" t="s">
        <v>1283</v>
      </c>
      <c r="G5017" s="6" t="s">
        <v>31197</v>
      </c>
      <c r="H5017" s="7" t="s">
        <v>31</v>
      </c>
      <c r="I5017" s="7">
        <v>1.0</v>
      </c>
      <c r="J5017" s="7">
        <v>1.0</v>
      </c>
      <c r="K5017" s="7" t="s">
        <v>31</v>
      </c>
      <c r="L5017" s="8" t="s">
        <v>30171</v>
      </c>
      <c r="M5017" s="6" t="s">
        <v>31198</v>
      </c>
      <c r="N5017" s="6" t="s">
        <v>1348</v>
      </c>
      <c r="O5017" s="8" t="s">
        <v>1349</v>
      </c>
      <c r="P5017" s="6" t="s">
        <v>30152</v>
      </c>
      <c r="Q5017" s="6" t="s">
        <v>30153</v>
      </c>
      <c r="R5017" s="6" t="s">
        <v>1018</v>
      </c>
      <c r="S5017" s="8" t="s">
        <v>30154</v>
      </c>
      <c r="T5017" s="6" t="s">
        <v>1019</v>
      </c>
      <c r="U5017" s="8" t="s">
        <v>31</v>
      </c>
      <c r="V5017" s="6" t="s">
        <v>30182</v>
      </c>
      <c r="W5017" s="6" t="s">
        <v>30140</v>
      </c>
      <c r="X5017" s="9" t="str">
        <f>HYPERLINK("https://my.pitchbook.com?p=343400-50P","View People Online")</f>
        <v>View People Online</v>
      </c>
    </row>
    <row r="5018">
      <c r="A5018" s="10" t="s">
        <v>31199</v>
      </c>
      <c r="B5018" s="10" t="s">
        <v>31200</v>
      </c>
      <c r="C5018" s="10" t="s">
        <v>31201</v>
      </c>
      <c r="D5018" s="10" t="s">
        <v>10351</v>
      </c>
      <c r="E5018" s="10" t="s">
        <v>30140</v>
      </c>
      <c r="F5018" s="10" t="s">
        <v>2652</v>
      </c>
      <c r="G5018" s="10" t="s">
        <v>31202</v>
      </c>
      <c r="H5018" s="11" t="s">
        <v>31</v>
      </c>
      <c r="I5018" s="11">
        <v>1.0</v>
      </c>
      <c r="J5018" s="11">
        <v>1.0</v>
      </c>
      <c r="K5018" s="11" t="s">
        <v>31</v>
      </c>
      <c r="L5018" s="12" t="s">
        <v>30178</v>
      </c>
      <c r="M5018" s="10" t="s">
        <v>31203</v>
      </c>
      <c r="N5018" s="10" t="s">
        <v>243</v>
      </c>
      <c r="O5018" s="12" t="s">
        <v>244</v>
      </c>
      <c r="P5018" s="10" t="s">
        <v>30180</v>
      </c>
      <c r="Q5018" s="10" t="s">
        <v>6831</v>
      </c>
      <c r="R5018" s="10" t="s">
        <v>247</v>
      </c>
      <c r="S5018" s="12" t="s">
        <v>30181</v>
      </c>
      <c r="T5018" s="10" t="s">
        <v>249</v>
      </c>
      <c r="U5018" s="12" t="s">
        <v>31</v>
      </c>
      <c r="V5018" s="10" t="s">
        <v>31204</v>
      </c>
      <c r="W5018" s="10" t="s">
        <v>30140</v>
      </c>
      <c r="X5018" s="13" t="str">
        <f>HYPERLINK("https://my.pitchbook.com?p=329854-06P","View People Online")</f>
        <v>View People Online</v>
      </c>
    </row>
    <row r="5019">
      <c r="A5019" s="6" t="s">
        <v>31205</v>
      </c>
      <c r="B5019" s="6" t="s">
        <v>31206</v>
      </c>
      <c r="C5019" s="6" t="s">
        <v>1317</v>
      </c>
      <c r="D5019" s="6" t="s">
        <v>31207</v>
      </c>
      <c r="E5019" s="6" t="s">
        <v>30140</v>
      </c>
      <c r="F5019" s="6" t="s">
        <v>825</v>
      </c>
      <c r="G5019" s="6" t="s">
        <v>31208</v>
      </c>
      <c r="H5019" s="7" t="s">
        <v>31</v>
      </c>
      <c r="I5019" s="7">
        <v>1.0</v>
      </c>
      <c r="J5019" s="7">
        <v>1.0</v>
      </c>
      <c r="K5019" s="7" t="s">
        <v>31</v>
      </c>
      <c r="L5019" s="8" t="s">
        <v>30171</v>
      </c>
      <c r="M5019" s="6" t="s">
        <v>31209</v>
      </c>
      <c r="N5019" s="6" t="s">
        <v>1348</v>
      </c>
      <c r="O5019" s="8" t="s">
        <v>1349</v>
      </c>
      <c r="P5019" s="6" t="s">
        <v>30152</v>
      </c>
      <c r="Q5019" s="6" t="s">
        <v>30153</v>
      </c>
      <c r="R5019" s="6" t="s">
        <v>1018</v>
      </c>
      <c r="S5019" s="8" t="s">
        <v>30154</v>
      </c>
      <c r="T5019" s="6" t="s">
        <v>1019</v>
      </c>
      <c r="U5019" s="8" t="s">
        <v>31</v>
      </c>
      <c r="V5019" s="6" t="s">
        <v>31210</v>
      </c>
      <c r="W5019" s="6" t="s">
        <v>30140</v>
      </c>
      <c r="X5019" s="9" t="str">
        <f>HYPERLINK("https://my.pitchbook.com?p=194256-91P","View People Online")</f>
        <v>View People Online</v>
      </c>
    </row>
    <row r="5020">
      <c r="A5020" s="2" t="s">
        <v>31211</v>
      </c>
      <c r="B5020" s="2" t="s">
        <v>31212</v>
      </c>
      <c r="C5020" s="2" t="s">
        <v>1117</v>
      </c>
      <c r="D5020" s="2" t="s">
        <v>31213</v>
      </c>
      <c r="E5020" s="2" t="s">
        <v>31214</v>
      </c>
      <c r="F5020" s="2" t="s">
        <v>318</v>
      </c>
      <c r="G5020" s="2" t="s">
        <v>31215</v>
      </c>
      <c r="H5020" s="3" t="s">
        <v>31</v>
      </c>
      <c r="I5020" s="3">
        <v>2.0</v>
      </c>
      <c r="J5020" s="3">
        <v>2.0</v>
      </c>
      <c r="K5020" s="3" t="s">
        <v>31</v>
      </c>
      <c r="L5020" s="4" t="s">
        <v>31216</v>
      </c>
      <c r="M5020" s="2" t="s">
        <v>31217</v>
      </c>
      <c r="N5020" s="2" t="s">
        <v>1170</v>
      </c>
      <c r="O5020" s="4" t="s">
        <v>1171</v>
      </c>
      <c r="P5020" s="2" t="s">
        <v>31218</v>
      </c>
      <c r="Q5020" s="2" t="s">
        <v>4152</v>
      </c>
      <c r="R5020" s="2" t="s">
        <v>64</v>
      </c>
      <c r="S5020" s="4" t="s">
        <v>12621</v>
      </c>
      <c r="T5020" s="2" t="s">
        <v>66</v>
      </c>
      <c r="U5020" s="4" t="s">
        <v>31</v>
      </c>
      <c r="V5020" s="2" t="s">
        <v>318</v>
      </c>
      <c r="W5020" s="2" t="s">
        <v>31219</v>
      </c>
      <c r="X5020" s="5" t="str">
        <f>HYPERLINK("https://my.pitchbook.com?p=282613-15P","View People Online")</f>
        <v>View People Online</v>
      </c>
    </row>
    <row r="5021">
      <c r="A5021" s="6" t="s">
        <v>31220</v>
      </c>
      <c r="B5021" s="6" t="s">
        <v>31221</v>
      </c>
      <c r="C5021" s="6" t="s">
        <v>1929</v>
      </c>
      <c r="D5021" s="6" t="s">
        <v>3908</v>
      </c>
      <c r="E5021" s="6" t="s">
        <v>31214</v>
      </c>
      <c r="F5021" s="6" t="s">
        <v>3144</v>
      </c>
      <c r="G5021" s="6" t="s">
        <v>31222</v>
      </c>
      <c r="H5021" s="7">
        <v>8.0</v>
      </c>
      <c r="I5021" s="7">
        <v>30.0</v>
      </c>
      <c r="J5021" s="7">
        <v>2.0</v>
      </c>
      <c r="K5021" s="7">
        <v>19.0</v>
      </c>
      <c r="L5021" s="8" t="s">
        <v>31216</v>
      </c>
      <c r="M5021" s="6" t="s">
        <v>31223</v>
      </c>
      <c r="N5021" s="6" t="s">
        <v>155</v>
      </c>
      <c r="O5021" s="8" t="s">
        <v>156</v>
      </c>
      <c r="P5021" s="6" t="s">
        <v>31224</v>
      </c>
      <c r="Q5021" s="6" t="s">
        <v>31</v>
      </c>
      <c r="R5021" s="6" t="s">
        <v>64</v>
      </c>
      <c r="S5021" s="8" t="s">
        <v>1549</v>
      </c>
      <c r="T5021" s="6" t="s">
        <v>66</v>
      </c>
      <c r="U5021" s="8" t="s">
        <v>31</v>
      </c>
      <c r="V5021" s="6" t="s">
        <v>3146</v>
      </c>
      <c r="W5021" s="6" t="s">
        <v>31214</v>
      </c>
      <c r="X5021" s="9" t="str">
        <f>HYPERLINK("https://my.pitchbook.com?p=197221-87P","View People Online")</f>
        <v>View People Online</v>
      </c>
    </row>
    <row r="5022">
      <c r="A5022" s="10" t="s">
        <v>31225</v>
      </c>
      <c r="B5022" s="10" t="s">
        <v>31226</v>
      </c>
      <c r="C5022" s="10" t="s">
        <v>740</v>
      </c>
      <c r="D5022" s="10" t="s">
        <v>31227</v>
      </c>
      <c r="E5022" s="10" t="s">
        <v>31214</v>
      </c>
      <c r="F5022" s="10" t="s">
        <v>29</v>
      </c>
      <c r="G5022" s="10" t="s">
        <v>31228</v>
      </c>
      <c r="H5022" s="11">
        <v>4.0</v>
      </c>
      <c r="I5022" s="11">
        <v>20.0</v>
      </c>
      <c r="J5022" s="11">
        <v>1.0</v>
      </c>
      <c r="K5022" s="11">
        <v>12.0</v>
      </c>
      <c r="L5022" s="12" t="s">
        <v>31216</v>
      </c>
      <c r="M5022" s="10" t="s">
        <v>31229</v>
      </c>
      <c r="N5022" s="10" t="s">
        <v>155</v>
      </c>
      <c r="O5022" s="12" t="s">
        <v>156</v>
      </c>
      <c r="P5022" s="10" t="s">
        <v>31224</v>
      </c>
      <c r="Q5022" s="10" t="s">
        <v>31</v>
      </c>
      <c r="R5022" s="10" t="s">
        <v>64</v>
      </c>
      <c r="S5022" s="12" t="s">
        <v>1549</v>
      </c>
      <c r="T5022" s="10" t="s">
        <v>66</v>
      </c>
      <c r="U5022" s="12" t="s">
        <v>31</v>
      </c>
      <c r="V5022" s="10" t="s">
        <v>29</v>
      </c>
      <c r="W5022" s="10" t="s">
        <v>31214</v>
      </c>
      <c r="X5022" s="13" t="str">
        <f>HYPERLINK("https://my.pitchbook.com?p=197223-94P","View People Online")</f>
        <v>View People Online</v>
      </c>
    </row>
    <row r="5023">
      <c r="A5023" s="6" t="s">
        <v>31230</v>
      </c>
      <c r="B5023" s="6" t="s">
        <v>31231</v>
      </c>
      <c r="C5023" s="6" t="s">
        <v>69</v>
      </c>
      <c r="D5023" s="6" t="s">
        <v>5205</v>
      </c>
      <c r="E5023" s="6" t="s">
        <v>31214</v>
      </c>
      <c r="F5023" s="6" t="s">
        <v>81</v>
      </c>
      <c r="G5023" s="6" t="s">
        <v>31232</v>
      </c>
      <c r="H5023" s="7" t="s">
        <v>31</v>
      </c>
      <c r="I5023" s="7">
        <v>4.0</v>
      </c>
      <c r="J5023" s="7">
        <v>1.0</v>
      </c>
      <c r="K5023" s="7">
        <v>2.0</v>
      </c>
      <c r="L5023" s="8" t="s">
        <v>31233</v>
      </c>
      <c r="M5023" s="6" t="s">
        <v>31234</v>
      </c>
      <c r="N5023" s="6" t="s">
        <v>8132</v>
      </c>
      <c r="O5023" s="8" t="s">
        <v>8133</v>
      </c>
      <c r="P5023" s="6" t="s">
        <v>31235</v>
      </c>
      <c r="Q5023" s="6" t="s">
        <v>1719</v>
      </c>
      <c r="R5023" s="6" t="s">
        <v>64</v>
      </c>
      <c r="S5023" s="8" t="s">
        <v>8136</v>
      </c>
      <c r="T5023" s="6" t="s">
        <v>66</v>
      </c>
      <c r="U5023" s="8" t="s">
        <v>31</v>
      </c>
      <c r="V5023" s="6" t="s">
        <v>31236</v>
      </c>
      <c r="W5023" s="6" t="s">
        <v>31237</v>
      </c>
      <c r="X5023" s="9" t="str">
        <f>HYPERLINK("https://my.pitchbook.com?p=205609-96P","View People Online")</f>
        <v>View People Online</v>
      </c>
    </row>
    <row r="5024">
      <c r="A5024" s="2" t="s">
        <v>31238</v>
      </c>
      <c r="B5024" s="2" t="s">
        <v>31239</v>
      </c>
      <c r="C5024" s="2" t="s">
        <v>1449</v>
      </c>
      <c r="D5024" s="2" t="s">
        <v>31240</v>
      </c>
      <c r="E5024" s="2" t="s">
        <v>31214</v>
      </c>
      <c r="F5024" s="2" t="s">
        <v>189</v>
      </c>
      <c r="G5024" s="2" t="s">
        <v>31241</v>
      </c>
      <c r="H5024" s="3">
        <v>13.0</v>
      </c>
      <c r="I5024" s="3">
        <v>146.0</v>
      </c>
      <c r="J5024" s="3">
        <v>3.0</v>
      </c>
      <c r="K5024" s="3">
        <v>120.0</v>
      </c>
      <c r="L5024" s="4" t="s">
        <v>31216</v>
      </c>
      <c r="M5024" s="2" t="s">
        <v>31242</v>
      </c>
      <c r="N5024" s="2" t="s">
        <v>155</v>
      </c>
      <c r="O5024" s="4" t="s">
        <v>156</v>
      </c>
      <c r="P5024" s="2" t="s">
        <v>31224</v>
      </c>
      <c r="Q5024" s="2" t="s">
        <v>31</v>
      </c>
      <c r="R5024" s="2" t="s">
        <v>64</v>
      </c>
      <c r="S5024" s="4" t="s">
        <v>1549</v>
      </c>
      <c r="T5024" s="2" t="s">
        <v>66</v>
      </c>
      <c r="U5024" s="4" t="s">
        <v>31</v>
      </c>
      <c r="V5024" s="2" t="s">
        <v>196</v>
      </c>
      <c r="W5024" s="2" t="s">
        <v>31214</v>
      </c>
      <c r="X5024" s="5" t="str">
        <f>HYPERLINK("https://my.pitchbook.com?p=36350-92P","View People Online")</f>
        <v>View People Online</v>
      </c>
    </row>
    <row r="5025">
      <c r="A5025" s="14" t="s">
        <v>31243</v>
      </c>
      <c r="B5025" s="14" t="s">
        <v>31244</v>
      </c>
      <c r="C5025" s="14" t="s">
        <v>1776</v>
      </c>
      <c r="D5025" s="14" t="s">
        <v>18117</v>
      </c>
      <c r="E5025" s="14" t="s">
        <v>31214</v>
      </c>
      <c r="F5025" s="14" t="s">
        <v>270</v>
      </c>
      <c r="G5025" s="14" t="s">
        <v>31245</v>
      </c>
      <c r="H5025" s="15" t="s">
        <v>31</v>
      </c>
      <c r="I5025" s="15">
        <v>1.0</v>
      </c>
      <c r="J5025" s="15">
        <v>1.0</v>
      </c>
      <c r="K5025" s="15" t="s">
        <v>31</v>
      </c>
      <c r="L5025" s="16" t="s">
        <v>31216</v>
      </c>
      <c r="M5025" s="14" t="s">
        <v>31246</v>
      </c>
      <c r="N5025" s="14" t="s">
        <v>155</v>
      </c>
      <c r="O5025" s="16" t="s">
        <v>156</v>
      </c>
      <c r="P5025" s="14" t="s">
        <v>31224</v>
      </c>
      <c r="Q5025" s="14" t="s">
        <v>31</v>
      </c>
      <c r="R5025" s="14" t="s">
        <v>64</v>
      </c>
      <c r="S5025" s="16" t="s">
        <v>1549</v>
      </c>
      <c r="T5025" s="14" t="s">
        <v>66</v>
      </c>
      <c r="U5025" s="16" t="s">
        <v>31</v>
      </c>
      <c r="V5025" s="14" t="s">
        <v>31247</v>
      </c>
      <c r="W5025" s="14" t="s">
        <v>31214</v>
      </c>
      <c r="X5025" s="17" t="str">
        <f>HYPERLINK("https://my.pitchbook.com?p=197226-10P","View People Online")</f>
        <v>View People Online</v>
      </c>
    </row>
    <row r="5026">
      <c r="A5026" s="2" t="s">
        <v>31248</v>
      </c>
      <c r="B5026" s="2" t="s">
        <v>31249</v>
      </c>
      <c r="C5026" s="2" t="s">
        <v>16709</v>
      </c>
      <c r="D5026" s="2" t="s">
        <v>31250</v>
      </c>
      <c r="E5026" s="2" t="s">
        <v>31214</v>
      </c>
      <c r="F5026" s="2" t="s">
        <v>114</v>
      </c>
      <c r="G5026" s="2" t="s">
        <v>31251</v>
      </c>
      <c r="H5026" s="3">
        <v>1.0</v>
      </c>
      <c r="I5026" s="3">
        <v>9.0</v>
      </c>
      <c r="J5026" s="3">
        <v>4.0</v>
      </c>
      <c r="K5026" s="3">
        <v>4.0</v>
      </c>
      <c r="L5026" s="4" t="s">
        <v>31252</v>
      </c>
      <c r="M5026" s="2" t="s">
        <v>31253</v>
      </c>
      <c r="N5026" s="2" t="s">
        <v>31254</v>
      </c>
      <c r="O5026" s="4" t="s">
        <v>31255</v>
      </c>
      <c r="P5026" s="2" t="s">
        <v>31</v>
      </c>
      <c r="Q5026" s="2" t="s">
        <v>31</v>
      </c>
      <c r="R5026" s="2" t="s">
        <v>247</v>
      </c>
      <c r="S5026" s="4" t="s">
        <v>31</v>
      </c>
      <c r="T5026" s="2" t="s">
        <v>249</v>
      </c>
      <c r="U5026" s="4" t="s">
        <v>31</v>
      </c>
      <c r="V5026" s="2" t="s">
        <v>1252</v>
      </c>
      <c r="W5026" s="2" t="s">
        <v>31256</v>
      </c>
      <c r="X5026" s="5" t="str">
        <f>HYPERLINK("https://my.pitchbook.com?p=54444-70P","View People Online")</f>
        <v>View People Online</v>
      </c>
    </row>
    <row r="5027">
      <c r="A5027" s="14" t="s">
        <v>31257</v>
      </c>
      <c r="B5027" s="14" t="s">
        <v>31258</v>
      </c>
      <c r="C5027" s="14" t="s">
        <v>3670</v>
      </c>
      <c r="D5027" s="14" t="s">
        <v>31259</v>
      </c>
      <c r="E5027" s="14" t="s">
        <v>31214</v>
      </c>
      <c r="F5027" s="14" t="s">
        <v>189</v>
      </c>
      <c r="G5027" s="14" t="s">
        <v>31260</v>
      </c>
      <c r="H5027" s="15">
        <v>6.0</v>
      </c>
      <c r="I5027" s="15">
        <v>44.0</v>
      </c>
      <c r="J5027" s="15">
        <v>1.0</v>
      </c>
      <c r="K5027" s="15">
        <v>35.0</v>
      </c>
      <c r="L5027" s="16" t="s">
        <v>31216</v>
      </c>
      <c r="M5027" s="14" t="s">
        <v>31261</v>
      </c>
      <c r="N5027" s="14" t="s">
        <v>155</v>
      </c>
      <c r="O5027" s="16" t="s">
        <v>156</v>
      </c>
      <c r="P5027" s="14" t="s">
        <v>31224</v>
      </c>
      <c r="Q5027" s="14" t="s">
        <v>31</v>
      </c>
      <c r="R5027" s="14" t="s">
        <v>64</v>
      </c>
      <c r="S5027" s="16" t="s">
        <v>1549</v>
      </c>
      <c r="T5027" s="14" t="s">
        <v>66</v>
      </c>
      <c r="U5027" s="16" t="s">
        <v>31</v>
      </c>
      <c r="V5027" s="14" t="s">
        <v>196</v>
      </c>
      <c r="W5027" s="14" t="s">
        <v>31214</v>
      </c>
      <c r="X5027" s="17" t="str">
        <f>HYPERLINK("https://my.pitchbook.com?p=39633-67P","View People Online")</f>
        <v>View People Online</v>
      </c>
    </row>
    <row r="5028">
      <c r="A5028" s="10" t="s">
        <v>31262</v>
      </c>
      <c r="B5028" s="10" t="s">
        <v>31263</v>
      </c>
      <c r="C5028" s="10" t="s">
        <v>4404</v>
      </c>
      <c r="D5028" s="10" t="s">
        <v>31264</v>
      </c>
      <c r="E5028" s="10" t="s">
        <v>31214</v>
      </c>
      <c r="F5028" s="10" t="s">
        <v>318</v>
      </c>
      <c r="G5028" s="10" t="s">
        <v>31265</v>
      </c>
      <c r="H5028" s="11" t="s">
        <v>31</v>
      </c>
      <c r="I5028" s="11">
        <v>1.0</v>
      </c>
      <c r="J5028" s="11">
        <v>1.0</v>
      </c>
      <c r="K5028" s="11" t="s">
        <v>31</v>
      </c>
      <c r="L5028" s="12" t="s">
        <v>31216</v>
      </c>
      <c r="M5028" s="10" t="s">
        <v>31</v>
      </c>
      <c r="N5028" s="10" t="s">
        <v>155</v>
      </c>
      <c r="O5028" s="12" t="s">
        <v>156</v>
      </c>
      <c r="P5028" s="10" t="s">
        <v>31224</v>
      </c>
      <c r="Q5028" s="10" t="s">
        <v>31</v>
      </c>
      <c r="R5028" s="10" t="s">
        <v>64</v>
      </c>
      <c r="S5028" s="12" t="s">
        <v>1549</v>
      </c>
      <c r="T5028" s="10" t="s">
        <v>66</v>
      </c>
      <c r="U5028" s="12" t="s">
        <v>31</v>
      </c>
      <c r="V5028" s="10" t="s">
        <v>31266</v>
      </c>
      <c r="W5028" s="10" t="s">
        <v>31214</v>
      </c>
      <c r="X5028" s="13" t="str">
        <f>HYPERLINK("https://my.pitchbook.com?p=258121-45P","View People Online")</f>
        <v>View People Online</v>
      </c>
    </row>
    <row r="5029">
      <c r="A5029" s="14" t="s">
        <v>31267</v>
      </c>
      <c r="B5029" s="14" t="s">
        <v>31268</v>
      </c>
      <c r="C5029" s="14" t="s">
        <v>5071</v>
      </c>
      <c r="D5029" s="14" t="s">
        <v>5140</v>
      </c>
      <c r="E5029" s="14" t="s">
        <v>31214</v>
      </c>
      <c r="F5029" s="14" t="s">
        <v>31269</v>
      </c>
      <c r="G5029" s="14" t="s">
        <v>31270</v>
      </c>
      <c r="H5029" s="15" t="s">
        <v>31</v>
      </c>
      <c r="I5029" s="15">
        <v>1.0</v>
      </c>
      <c r="J5029" s="15">
        <v>1.0</v>
      </c>
      <c r="K5029" s="15" t="s">
        <v>31</v>
      </c>
      <c r="L5029" s="16" t="s">
        <v>31216</v>
      </c>
      <c r="M5029" s="14" t="s">
        <v>31271</v>
      </c>
      <c r="N5029" s="14" t="s">
        <v>155</v>
      </c>
      <c r="O5029" s="16" t="s">
        <v>156</v>
      </c>
      <c r="P5029" s="14" t="s">
        <v>31224</v>
      </c>
      <c r="Q5029" s="14" t="s">
        <v>31</v>
      </c>
      <c r="R5029" s="14" t="s">
        <v>64</v>
      </c>
      <c r="S5029" s="16" t="s">
        <v>1549</v>
      </c>
      <c r="T5029" s="14" t="s">
        <v>66</v>
      </c>
      <c r="U5029" s="16" t="s">
        <v>31</v>
      </c>
      <c r="V5029" s="14" t="s">
        <v>31272</v>
      </c>
      <c r="W5029" s="14" t="s">
        <v>31214</v>
      </c>
      <c r="X5029" s="17" t="str">
        <f>HYPERLINK("https://my.pitchbook.com?p=129393-19P","View People Online")</f>
        <v>View People Online</v>
      </c>
    </row>
    <row r="5030">
      <c r="A5030" s="2" t="s">
        <v>31273</v>
      </c>
      <c r="B5030" s="2" t="s">
        <v>31274</v>
      </c>
      <c r="C5030" s="2" t="s">
        <v>31275</v>
      </c>
      <c r="D5030" s="2" t="s">
        <v>31276</v>
      </c>
      <c r="E5030" s="2" t="s">
        <v>31214</v>
      </c>
      <c r="F5030" s="2" t="s">
        <v>31277</v>
      </c>
      <c r="G5030" s="2" t="s">
        <v>31278</v>
      </c>
      <c r="H5030" s="3" t="s">
        <v>31</v>
      </c>
      <c r="I5030" s="3">
        <v>1.0</v>
      </c>
      <c r="J5030" s="3">
        <v>1.0</v>
      </c>
      <c r="K5030" s="3" t="s">
        <v>31</v>
      </c>
      <c r="L5030" s="4" t="s">
        <v>31216</v>
      </c>
      <c r="M5030" s="2" t="s">
        <v>31279</v>
      </c>
      <c r="N5030" s="2" t="s">
        <v>155</v>
      </c>
      <c r="O5030" s="4" t="s">
        <v>156</v>
      </c>
      <c r="P5030" s="2" t="s">
        <v>31224</v>
      </c>
      <c r="Q5030" s="2" t="s">
        <v>31</v>
      </c>
      <c r="R5030" s="2" t="s">
        <v>64</v>
      </c>
      <c r="S5030" s="4" t="s">
        <v>1549</v>
      </c>
      <c r="T5030" s="2" t="s">
        <v>66</v>
      </c>
      <c r="U5030" s="4" t="s">
        <v>31</v>
      </c>
      <c r="V5030" s="2" t="s">
        <v>31280</v>
      </c>
      <c r="W5030" s="2" t="s">
        <v>31214</v>
      </c>
      <c r="X5030" s="5" t="str">
        <f>HYPERLINK("https://my.pitchbook.com?p=447445-45P","View People Online")</f>
        <v>View People Online</v>
      </c>
    </row>
    <row r="5031">
      <c r="A5031" s="14" t="s">
        <v>31281</v>
      </c>
      <c r="B5031" s="14" t="s">
        <v>31282</v>
      </c>
      <c r="C5031" s="14" t="s">
        <v>1489</v>
      </c>
      <c r="D5031" s="14" t="s">
        <v>31283</v>
      </c>
      <c r="E5031" s="14" t="s">
        <v>31214</v>
      </c>
      <c r="F5031" s="14" t="s">
        <v>371</v>
      </c>
      <c r="G5031" s="14" t="s">
        <v>31284</v>
      </c>
      <c r="H5031" s="15" t="s">
        <v>31</v>
      </c>
      <c r="I5031" s="15">
        <v>1.0</v>
      </c>
      <c r="J5031" s="15">
        <v>1.0</v>
      </c>
      <c r="K5031" s="15" t="s">
        <v>31</v>
      </c>
      <c r="L5031" s="16" t="s">
        <v>31216</v>
      </c>
      <c r="M5031" s="14" t="s">
        <v>31285</v>
      </c>
      <c r="N5031" s="14" t="s">
        <v>155</v>
      </c>
      <c r="O5031" s="16" t="s">
        <v>156</v>
      </c>
      <c r="P5031" s="14" t="s">
        <v>31224</v>
      </c>
      <c r="Q5031" s="14" t="s">
        <v>31</v>
      </c>
      <c r="R5031" s="14" t="s">
        <v>64</v>
      </c>
      <c r="S5031" s="16" t="s">
        <v>1549</v>
      </c>
      <c r="T5031" s="14" t="s">
        <v>66</v>
      </c>
      <c r="U5031" s="16" t="s">
        <v>31</v>
      </c>
      <c r="V5031" s="14" t="s">
        <v>371</v>
      </c>
      <c r="W5031" s="14" t="s">
        <v>31214</v>
      </c>
      <c r="X5031" s="17" t="str">
        <f>HYPERLINK("https://my.pitchbook.com?p=142096-69P","View People Online")</f>
        <v>View People Online</v>
      </c>
    </row>
    <row r="5032">
      <c r="A5032" s="10" t="s">
        <v>31286</v>
      </c>
      <c r="B5032" s="10" t="s">
        <v>31287</v>
      </c>
      <c r="C5032" s="10" t="s">
        <v>31288</v>
      </c>
      <c r="D5032" s="10" t="s">
        <v>28640</v>
      </c>
      <c r="E5032" s="10" t="s">
        <v>31214</v>
      </c>
      <c r="F5032" s="10" t="s">
        <v>371</v>
      </c>
      <c r="G5032" s="10" t="s">
        <v>31289</v>
      </c>
      <c r="H5032" s="11" t="s">
        <v>31</v>
      </c>
      <c r="I5032" s="11">
        <v>1.0</v>
      </c>
      <c r="J5032" s="11">
        <v>1.0</v>
      </c>
      <c r="K5032" s="11" t="s">
        <v>31</v>
      </c>
      <c r="L5032" s="12" t="s">
        <v>31216</v>
      </c>
      <c r="M5032" s="10" t="s">
        <v>31290</v>
      </c>
      <c r="N5032" s="10" t="s">
        <v>155</v>
      </c>
      <c r="O5032" s="12" t="s">
        <v>156</v>
      </c>
      <c r="P5032" s="10" t="s">
        <v>31224</v>
      </c>
      <c r="Q5032" s="10" t="s">
        <v>31</v>
      </c>
      <c r="R5032" s="10" t="s">
        <v>64</v>
      </c>
      <c r="S5032" s="12" t="s">
        <v>1549</v>
      </c>
      <c r="T5032" s="10" t="s">
        <v>66</v>
      </c>
      <c r="U5032" s="12" t="s">
        <v>31</v>
      </c>
      <c r="V5032" s="10" t="s">
        <v>371</v>
      </c>
      <c r="W5032" s="10" t="s">
        <v>31214</v>
      </c>
      <c r="X5032" s="13" t="str">
        <f>HYPERLINK("https://my.pitchbook.com?p=247731-67P","View People Online")</f>
        <v>View People Online</v>
      </c>
    </row>
    <row r="5033">
      <c r="A5033" s="6" t="s">
        <v>31291</v>
      </c>
      <c r="B5033" s="6" t="s">
        <v>31292</v>
      </c>
      <c r="C5033" s="6" t="s">
        <v>31293</v>
      </c>
      <c r="D5033" s="6" t="s">
        <v>1866</v>
      </c>
      <c r="E5033" s="6" t="s">
        <v>31214</v>
      </c>
      <c r="F5033" s="6" t="s">
        <v>29</v>
      </c>
      <c r="G5033" s="6" t="s">
        <v>31294</v>
      </c>
      <c r="H5033" s="7">
        <v>2.0</v>
      </c>
      <c r="I5033" s="7">
        <v>9.0</v>
      </c>
      <c r="J5033" s="7">
        <v>1.0</v>
      </c>
      <c r="K5033" s="7">
        <v>4.0</v>
      </c>
      <c r="L5033" s="8" t="s">
        <v>31216</v>
      </c>
      <c r="M5033" s="6" t="s">
        <v>31295</v>
      </c>
      <c r="N5033" s="6" t="s">
        <v>155</v>
      </c>
      <c r="O5033" s="8" t="s">
        <v>156</v>
      </c>
      <c r="P5033" s="6" t="s">
        <v>31224</v>
      </c>
      <c r="Q5033" s="6" t="s">
        <v>31</v>
      </c>
      <c r="R5033" s="6" t="s">
        <v>64</v>
      </c>
      <c r="S5033" s="8" t="s">
        <v>1549</v>
      </c>
      <c r="T5033" s="6" t="s">
        <v>66</v>
      </c>
      <c r="U5033" s="8" t="s">
        <v>31</v>
      </c>
      <c r="V5033" s="6" t="s">
        <v>29</v>
      </c>
      <c r="W5033" s="6" t="s">
        <v>31214</v>
      </c>
      <c r="X5033" s="9" t="str">
        <f>HYPERLINK("https://my.pitchbook.com?p=197227-54P","View People Online")</f>
        <v>View People Online</v>
      </c>
    </row>
    <row r="5034">
      <c r="A5034" s="10" t="s">
        <v>31296</v>
      </c>
      <c r="B5034" s="10" t="s">
        <v>31297</v>
      </c>
      <c r="C5034" s="10" t="s">
        <v>31298</v>
      </c>
      <c r="D5034" s="10" t="s">
        <v>31299</v>
      </c>
      <c r="E5034" s="10" t="s">
        <v>31214</v>
      </c>
      <c r="F5034" s="10" t="s">
        <v>2574</v>
      </c>
      <c r="G5034" s="10" t="s">
        <v>31300</v>
      </c>
      <c r="H5034" s="11" t="s">
        <v>31</v>
      </c>
      <c r="I5034" s="11">
        <v>1.0</v>
      </c>
      <c r="J5034" s="11">
        <v>1.0</v>
      </c>
      <c r="K5034" s="11" t="s">
        <v>31</v>
      </c>
      <c r="L5034" s="12" t="s">
        <v>31216</v>
      </c>
      <c r="M5034" s="10" t="s">
        <v>31301</v>
      </c>
      <c r="N5034" s="10" t="s">
        <v>155</v>
      </c>
      <c r="O5034" s="12" t="s">
        <v>156</v>
      </c>
      <c r="P5034" s="10" t="s">
        <v>31224</v>
      </c>
      <c r="Q5034" s="10" t="s">
        <v>31</v>
      </c>
      <c r="R5034" s="10" t="s">
        <v>64</v>
      </c>
      <c r="S5034" s="12" t="s">
        <v>1549</v>
      </c>
      <c r="T5034" s="10" t="s">
        <v>66</v>
      </c>
      <c r="U5034" s="12" t="s">
        <v>31</v>
      </c>
      <c r="V5034" s="10" t="s">
        <v>31302</v>
      </c>
      <c r="W5034" s="10" t="s">
        <v>31214</v>
      </c>
      <c r="X5034" s="13" t="str">
        <f>HYPERLINK("https://my.pitchbook.com?p=383563-99P","View People Online")</f>
        <v>View People Online</v>
      </c>
    </row>
    <row r="5035">
      <c r="A5035" s="6" t="s">
        <v>31303</v>
      </c>
      <c r="B5035" s="6" t="s">
        <v>31304</v>
      </c>
      <c r="C5035" s="6" t="s">
        <v>2288</v>
      </c>
      <c r="D5035" s="6" t="s">
        <v>31305</v>
      </c>
      <c r="E5035" s="6" t="s">
        <v>31214</v>
      </c>
      <c r="F5035" s="6" t="s">
        <v>583</v>
      </c>
      <c r="G5035" s="6" t="s">
        <v>31306</v>
      </c>
      <c r="H5035" s="7" t="s">
        <v>31</v>
      </c>
      <c r="I5035" s="7">
        <v>43.0</v>
      </c>
      <c r="J5035" s="7">
        <v>1.0</v>
      </c>
      <c r="K5035" s="7" t="s">
        <v>31</v>
      </c>
      <c r="L5035" s="8" t="s">
        <v>31216</v>
      </c>
      <c r="M5035" s="6" t="s">
        <v>31307</v>
      </c>
      <c r="N5035" s="6" t="s">
        <v>155</v>
      </c>
      <c r="O5035" s="8" t="s">
        <v>156</v>
      </c>
      <c r="P5035" s="6" t="s">
        <v>31224</v>
      </c>
      <c r="Q5035" s="6" t="s">
        <v>31</v>
      </c>
      <c r="R5035" s="6" t="s">
        <v>64</v>
      </c>
      <c r="S5035" s="8" t="s">
        <v>1549</v>
      </c>
      <c r="T5035" s="6" t="s">
        <v>66</v>
      </c>
      <c r="U5035" s="8" t="s">
        <v>31</v>
      </c>
      <c r="V5035" s="6" t="s">
        <v>583</v>
      </c>
      <c r="W5035" s="6" t="s">
        <v>31214</v>
      </c>
      <c r="X5035" s="9" t="str">
        <f>HYPERLINK("https://my.pitchbook.com?p=59880-43P","View People Online")</f>
        <v>View People Online</v>
      </c>
    </row>
    <row r="5036">
      <c r="A5036" s="2" t="s">
        <v>31308</v>
      </c>
      <c r="B5036" s="2" t="s">
        <v>31309</v>
      </c>
      <c r="C5036" s="2" t="s">
        <v>126</v>
      </c>
      <c r="D5036" s="2" t="s">
        <v>4098</v>
      </c>
      <c r="E5036" s="2" t="s">
        <v>31214</v>
      </c>
      <c r="F5036" s="2" t="s">
        <v>1134</v>
      </c>
      <c r="G5036" s="2" t="s">
        <v>31310</v>
      </c>
      <c r="H5036" s="3">
        <v>1.0</v>
      </c>
      <c r="I5036" s="3">
        <v>11.0</v>
      </c>
      <c r="J5036" s="3">
        <v>1.0</v>
      </c>
      <c r="K5036" s="3">
        <v>6.0</v>
      </c>
      <c r="L5036" s="4" t="s">
        <v>31311</v>
      </c>
      <c r="M5036" s="2" t="s">
        <v>31312</v>
      </c>
      <c r="N5036" s="2" t="s">
        <v>155</v>
      </c>
      <c r="O5036" s="4" t="s">
        <v>156</v>
      </c>
      <c r="P5036" s="2" t="s">
        <v>31224</v>
      </c>
      <c r="Q5036" s="2" t="s">
        <v>31</v>
      </c>
      <c r="R5036" s="2" t="s">
        <v>64</v>
      </c>
      <c r="S5036" s="4" t="s">
        <v>1549</v>
      </c>
      <c r="T5036" s="2" t="s">
        <v>66</v>
      </c>
      <c r="U5036" s="4" t="s">
        <v>31</v>
      </c>
      <c r="V5036" s="2" t="s">
        <v>31313</v>
      </c>
      <c r="W5036" s="2" t="s">
        <v>31214</v>
      </c>
      <c r="X5036" s="5" t="str">
        <f>HYPERLINK("https://my.pitchbook.com?p=125323-57P","View People Online")</f>
        <v>View People Online</v>
      </c>
    </row>
    <row r="5037">
      <c r="A5037" s="14" t="s">
        <v>31314</v>
      </c>
      <c r="B5037" s="14" t="s">
        <v>31315</v>
      </c>
      <c r="C5037" s="14" t="s">
        <v>1807</v>
      </c>
      <c r="D5037" s="14" t="s">
        <v>31316</v>
      </c>
      <c r="E5037" s="14" t="s">
        <v>31214</v>
      </c>
      <c r="F5037" s="14" t="s">
        <v>29</v>
      </c>
      <c r="G5037" s="14" t="s">
        <v>31317</v>
      </c>
      <c r="H5037" s="15">
        <v>1.0</v>
      </c>
      <c r="I5037" s="15">
        <v>9.0</v>
      </c>
      <c r="J5037" s="15">
        <v>1.0</v>
      </c>
      <c r="K5037" s="15">
        <v>6.0</v>
      </c>
      <c r="L5037" s="16" t="s">
        <v>31216</v>
      </c>
      <c r="M5037" s="14" t="s">
        <v>31318</v>
      </c>
      <c r="N5037" s="14" t="s">
        <v>155</v>
      </c>
      <c r="O5037" s="16" t="s">
        <v>156</v>
      </c>
      <c r="P5037" s="14" t="s">
        <v>31224</v>
      </c>
      <c r="Q5037" s="14" t="s">
        <v>31</v>
      </c>
      <c r="R5037" s="14" t="s">
        <v>64</v>
      </c>
      <c r="S5037" s="16" t="s">
        <v>1549</v>
      </c>
      <c r="T5037" s="14" t="s">
        <v>66</v>
      </c>
      <c r="U5037" s="16" t="s">
        <v>31</v>
      </c>
      <c r="V5037" s="14" t="s">
        <v>27379</v>
      </c>
      <c r="W5037" s="14" t="s">
        <v>31214</v>
      </c>
      <c r="X5037" s="17" t="str">
        <f>HYPERLINK("https://my.pitchbook.com?p=242967-70P","View People Online")</f>
        <v>View People Online</v>
      </c>
    </row>
    <row r="5038">
      <c r="A5038" s="2" t="s">
        <v>31319</v>
      </c>
      <c r="B5038" s="2" t="s">
        <v>31320</v>
      </c>
      <c r="C5038" s="2" t="s">
        <v>31321</v>
      </c>
      <c r="D5038" s="2" t="s">
        <v>10601</v>
      </c>
      <c r="E5038" s="2" t="s">
        <v>31214</v>
      </c>
      <c r="F5038" s="2" t="s">
        <v>81</v>
      </c>
      <c r="G5038" s="2" t="s">
        <v>31322</v>
      </c>
      <c r="H5038" s="3">
        <v>3.0</v>
      </c>
      <c r="I5038" s="3">
        <v>4.0</v>
      </c>
      <c r="J5038" s="3" t="s">
        <v>31</v>
      </c>
      <c r="K5038" s="3" t="s">
        <v>31</v>
      </c>
      <c r="L5038" s="4" t="s">
        <v>31323</v>
      </c>
      <c r="M5038" s="2" t="s">
        <v>31</v>
      </c>
      <c r="N5038" s="2" t="s">
        <v>75</v>
      </c>
      <c r="O5038" s="4" t="s">
        <v>76</v>
      </c>
      <c r="P5038" s="2" t="s">
        <v>31324</v>
      </c>
      <c r="Q5038" s="2" t="s">
        <v>31325</v>
      </c>
      <c r="R5038" s="2" t="s">
        <v>75</v>
      </c>
      <c r="S5038" s="4" t="s">
        <v>28963</v>
      </c>
      <c r="T5038" s="2" t="s">
        <v>66</v>
      </c>
      <c r="U5038" s="4" t="s">
        <v>31</v>
      </c>
      <c r="V5038" s="2" t="s">
        <v>31326</v>
      </c>
      <c r="W5038" s="2" t="s">
        <v>31327</v>
      </c>
      <c r="X5038" s="5" t="str">
        <f>HYPERLINK("https://my.pitchbook.com?p=65342-98P","View People Online")</f>
        <v>View People Online</v>
      </c>
    </row>
    <row r="5039">
      <c r="A5039" s="6" t="s">
        <v>31328</v>
      </c>
      <c r="B5039" s="6" t="s">
        <v>31329</v>
      </c>
      <c r="C5039" s="6" t="s">
        <v>907</v>
      </c>
      <c r="D5039" s="6" t="s">
        <v>5665</v>
      </c>
      <c r="E5039" s="6" t="s">
        <v>31214</v>
      </c>
      <c r="F5039" s="6" t="s">
        <v>81</v>
      </c>
      <c r="G5039" s="6" t="s">
        <v>31330</v>
      </c>
      <c r="H5039" s="7">
        <v>4.0</v>
      </c>
      <c r="I5039" s="7">
        <v>9.0</v>
      </c>
      <c r="J5039" s="7" t="s">
        <v>31</v>
      </c>
      <c r="K5039" s="7">
        <v>2.0</v>
      </c>
      <c r="L5039" s="8" t="s">
        <v>31331</v>
      </c>
      <c r="M5039" s="6" t="s">
        <v>31332</v>
      </c>
      <c r="N5039" s="6" t="s">
        <v>1181</v>
      </c>
      <c r="O5039" s="8" t="s">
        <v>1182</v>
      </c>
      <c r="P5039" s="6" t="s">
        <v>10901</v>
      </c>
      <c r="Q5039" s="6" t="s">
        <v>31333</v>
      </c>
      <c r="R5039" s="6" t="s">
        <v>1185</v>
      </c>
      <c r="S5039" s="8" t="s">
        <v>10902</v>
      </c>
      <c r="T5039" s="6" t="s">
        <v>66</v>
      </c>
      <c r="U5039" s="8" t="s">
        <v>31</v>
      </c>
      <c r="V5039" s="6" t="s">
        <v>583</v>
      </c>
      <c r="W5039" s="6" t="s">
        <v>31237</v>
      </c>
      <c r="X5039" s="9" t="str">
        <f>HYPERLINK("https://my.pitchbook.com?p=86571-01P","View People Online")</f>
        <v>View People Online</v>
      </c>
    </row>
    <row r="5040">
      <c r="A5040" s="10" t="s">
        <v>31334</v>
      </c>
      <c r="B5040" s="10" t="s">
        <v>31335</v>
      </c>
      <c r="C5040" s="10" t="s">
        <v>4015</v>
      </c>
      <c r="D5040" s="10" t="s">
        <v>31336</v>
      </c>
      <c r="E5040" s="10" t="s">
        <v>31214</v>
      </c>
      <c r="F5040" s="10" t="s">
        <v>318</v>
      </c>
      <c r="G5040" s="10" t="s">
        <v>31337</v>
      </c>
      <c r="H5040" s="11" t="s">
        <v>31</v>
      </c>
      <c r="I5040" s="11">
        <v>1.0</v>
      </c>
      <c r="J5040" s="11">
        <v>1.0</v>
      </c>
      <c r="K5040" s="11" t="s">
        <v>31</v>
      </c>
      <c r="L5040" s="12" t="s">
        <v>31216</v>
      </c>
      <c r="M5040" s="10" t="s">
        <v>31338</v>
      </c>
      <c r="N5040" s="10" t="s">
        <v>155</v>
      </c>
      <c r="O5040" s="12" t="s">
        <v>156</v>
      </c>
      <c r="P5040" s="10" t="s">
        <v>31224</v>
      </c>
      <c r="Q5040" s="10" t="s">
        <v>31</v>
      </c>
      <c r="R5040" s="10" t="s">
        <v>64</v>
      </c>
      <c r="S5040" s="12" t="s">
        <v>1549</v>
      </c>
      <c r="T5040" s="10" t="s">
        <v>66</v>
      </c>
      <c r="U5040" s="12" t="s">
        <v>31</v>
      </c>
      <c r="V5040" s="10" t="s">
        <v>318</v>
      </c>
      <c r="W5040" s="10" t="s">
        <v>31214</v>
      </c>
      <c r="X5040" s="13" t="str">
        <f>HYPERLINK("https://my.pitchbook.com?p=86373-19P","View People Online")</f>
        <v>View People Online</v>
      </c>
    </row>
    <row r="5041">
      <c r="A5041" s="14" t="s">
        <v>31339</v>
      </c>
      <c r="B5041" s="14" t="s">
        <v>31340</v>
      </c>
      <c r="C5041" s="14" t="s">
        <v>1388</v>
      </c>
      <c r="D5041" s="14" t="s">
        <v>31341</v>
      </c>
      <c r="E5041" s="14" t="s">
        <v>31214</v>
      </c>
      <c r="F5041" s="14" t="s">
        <v>120</v>
      </c>
      <c r="G5041" s="14" t="s">
        <v>31342</v>
      </c>
      <c r="H5041" s="15" t="s">
        <v>31</v>
      </c>
      <c r="I5041" s="15">
        <v>1.0</v>
      </c>
      <c r="J5041" s="15">
        <v>1.0</v>
      </c>
      <c r="K5041" s="15" t="s">
        <v>31</v>
      </c>
      <c r="L5041" s="16" t="s">
        <v>31216</v>
      </c>
      <c r="M5041" s="14" t="s">
        <v>31343</v>
      </c>
      <c r="N5041" s="14" t="s">
        <v>155</v>
      </c>
      <c r="O5041" s="16" t="s">
        <v>156</v>
      </c>
      <c r="P5041" s="14" t="s">
        <v>31224</v>
      </c>
      <c r="Q5041" s="14" t="s">
        <v>31</v>
      </c>
      <c r="R5041" s="14" t="s">
        <v>64</v>
      </c>
      <c r="S5041" s="16" t="s">
        <v>1549</v>
      </c>
      <c r="T5041" s="14" t="s">
        <v>66</v>
      </c>
      <c r="U5041" s="16" t="s">
        <v>31</v>
      </c>
      <c r="V5041" s="14" t="s">
        <v>31344</v>
      </c>
      <c r="W5041" s="14" t="s">
        <v>31214</v>
      </c>
      <c r="X5041" s="17" t="str">
        <f>HYPERLINK("https://my.pitchbook.com?p=266495-05P","View People Online")</f>
        <v>View People Online</v>
      </c>
    </row>
    <row r="5042">
      <c r="A5042" s="2" t="s">
        <v>31345</v>
      </c>
      <c r="B5042" s="2" t="s">
        <v>31346</v>
      </c>
      <c r="C5042" s="2" t="s">
        <v>6855</v>
      </c>
      <c r="D5042" s="2" t="s">
        <v>23041</v>
      </c>
      <c r="E5042" s="2" t="s">
        <v>31214</v>
      </c>
      <c r="F5042" s="2" t="s">
        <v>318</v>
      </c>
      <c r="G5042" s="2" t="s">
        <v>31347</v>
      </c>
      <c r="H5042" s="3" t="s">
        <v>31</v>
      </c>
      <c r="I5042" s="3">
        <v>2.0</v>
      </c>
      <c r="J5042" s="3">
        <v>1.0</v>
      </c>
      <c r="K5042" s="3">
        <v>1.0</v>
      </c>
      <c r="L5042" s="4" t="s">
        <v>31216</v>
      </c>
      <c r="M5042" s="2" t="s">
        <v>31348</v>
      </c>
      <c r="N5042" s="2" t="s">
        <v>155</v>
      </c>
      <c r="O5042" s="4" t="s">
        <v>156</v>
      </c>
      <c r="P5042" s="2" t="s">
        <v>31224</v>
      </c>
      <c r="Q5042" s="2" t="s">
        <v>31</v>
      </c>
      <c r="R5042" s="2" t="s">
        <v>64</v>
      </c>
      <c r="S5042" s="4" t="s">
        <v>1549</v>
      </c>
      <c r="T5042" s="2" t="s">
        <v>66</v>
      </c>
      <c r="U5042" s="4" t="s">
        <v>31</v>
      </c>
      <c r="V5042" s="2" t="s">
        <v>318</v>
      </c>
      <c r="W5042" s="2" t="s">
        <v>31214</v>
      </c>
      <c r="X5042" s="5" t="str">
        <f>HYPERLINK("https://my.pitchbook.com?p=326898-55P","View People Online")</f>
        <v>View People Online</v>
      </c>
    </row>
    <row r="5043">
      <c r="A5043" s="14" t="s">
        <v>31349</v>
      </c>
      <c r="B5043" s="14" t="s">
        <v>31350</v>
      </c>
      <c r="C5043" s="14" t="s">
        <v>31351</v>
      </c>
      <c r="D5043" s="14" t="s">
        <v>31352</v>
      </c>
      <c r="E5043" s="14" t="s">
        <v>31214</v>
      </c>
      <c r="F5043" s="14" t="s">
        <v>114</v>
      </c>
      <c r="G5043" s="14" t="s">
        <v>31353</v>
      </c>
      <c r="H5043" s="15">
        <v>7.0</v>
      </c>
      <c r="I5043" s="15">
        <v>53.0</v>
      </c>
      <c r="J5043" s="15">
        <v>4.0</v>
      </c>
      <c r="K5043" s="15">
        <v>38.0</v>
      </c>
      <c r="L5043" s="16" t="s">
        <v>31354</v>
      </c>
      <c r="M5043" s="14" t="s">
        <v>31355</v>
      </c>
      <c r="N5043" s="14" t="s">
        <v>75</v>
      </c>
      <c r="O5043" s="16" t="s">
        <v>76</v>
      </c>
      <c r="P5043" s="14" t="s">
        <v>31356</v>
      </c>
      <c r="Q5043" s="14" t="s">
        <v>577</v>
      </c>
      <c r="R5043" s="14" t="s">
        <v>75</v>
      </c>
      <c r="S5043" s="16" t="s">
        <v>1855</v>
      </c>
      <c r="T5043" s="14" t="s">
        <v>66</v>
      </c>
      <c r="U5043" s="16" t="s">
        <v>31</v>
      </c>
      <c r="V5043" s="14" t="s">
        <v>152</v>
      </c>
      <c r="W5043" s="14" t="s">
        <v>31357</v>
      </c>
      <c r="X5043" s="17" t="str">
        <f>HYPERLINK("https://my.pitchbook.com?p=15434-47P","View People Online")</f>
        <v>View People Online</v>
      </c>
    </row>
    <row r="5044">
      <c r="A5044" s="10" t="s">
        <v>31358</v>
      </c>
      <c r="B5044" s="10" t="s">
        <v>31359</v>
      </c>
      <c r="C5044" s="10" t="s">
        <v>4692</v>
      </c>
      <c r="D5044" s="10" t="s">
        <v>15327</v>
      </c>
      <c r="E5044" s="10" t="s">
        <v>31214</v>
      </c>
      <c r="F5044" s="10" t="s">
        <v>221</v>
      </c>
      <c r="G5044" s="10" t="s">
        <v>31360</v>
      </c>
      <c r="H5044" s="11" t="s">
        <v>31</v>
      </c>
      <c r="I5044" s="11">
        <v>1.0</v>
      </c>
      <c r="J5044" s="11">
        <v>1.0</v>
      </c>
      <c r="K5044" s="11" t="s">
        <v>31</v>
      </c>
      <c r="L5044" s="12" t="s">
        <v>31216</v>
      </c>
      <c r="M5044" s="10" t="s">
        <v>31361</v>
      </c>
      <c r="N5044" s="10" t="s">
        <v>155</v>
      </c>
      <c r="O5044" s="12" t="s">
        <v>156</v>
      </c>
      <c r="P5044" s="10" t="s">
        <v>31224</v>
      </c>
      <c r="Q5044" s="10" t="s">
        <v>31</v>
      </c>
      <c r="R5044" s="10" t="s">
        <v>64</v>
      </c>
      <c r="S5044" s="12" t="s">
        <v>1549</v>
      </c>
      <c r="T5044" s="10" t="s">
        <v>66</v>
      </c>
      <c r="U5044" s="12" t="s">
        <v>31</v>
      </c>
      <c r="V5044" s="10" t="s">
        <v>221</v>
      </c>
      <c r="W5044" s="10" t="s">
        <v>31214</v>
      </c>
      <c r="X5044" s="13" t="str">
        <f>HYPERLINK("https://my.pitchbook.com?p=428250-70P","View People Online")</f>
        <v>View People Online</v>
      </c>
    </row>
    <row r="5045">
      <c r="A5045" s="6" t="s">
        <v>31362</v>
      </c>
      <c r="B5045" s="6" t="s">
        <v>31363</v>
      </c>
      <c r="C5045" s="6" t="s">
        <v>562</v>
      </c>
      <c r="D5045" s="6" t="s">
        <v>1698</v>
      </c>
      <c r="E5045" s="6" t="s">
        <v>31214</v>
      </c>
      <c r="F5045" s="6" t="s">
        <v>81</v>
      </c>
      <c r="G5045" s="6" t="s">
        <v>31364</v>
      </c>
      <c r="H5045" s="7">
        <v>3.0</v>
      </c>
      <c r="I5045" s="7">
        <v>12.0</v>
      </c>
      <c r="J5045" s="7">
        <v>1.0</v>
      </c>
      <c r="K5045" s="7">
        <v>5.0</v>
      </c>
      <c r="L5045" s="8" t="s">
        <v>31311</v>
      </c>
      <c r="M5045" s="6" t="s">
        <v>31365</v>
      </c>
      <c r="N5045" s="6" t="s">
        <v>1348</v>
      </c>
      <c r="O5045" s="8" t="s">
        <v>1349</v>
      </c>
      <c r="P5045" s="6" t="s">
        <v>31366</v>
      </c>
      <c r="Q5045" s="6" t="s">
        <v>31367</v>
      </c>
      <c r="R5045" s="6" t="s">
        <v>1018</v>
      </c>
      <c r="S5045" s="8" t="s">
        <v>31368</v>
      </c>
      <c r="T5045" s="6" t="s">
        <v>1019</v>
      </c>
      <c r="U5045" s="8" t="s">
        <v>31369</v>
      </c>
      <c r="V5045" s="6" t="s">
        <v>1252</v>
      </c>
      <c r="W5045" s="6" t="s">
        <v>31370</v>
      </c>
      <c r="X5045" s="9" t="str">
        <f>HYPERLINK("https://my.pitchbook.com?p=50627-08P","View People Online")</f>
        <v>View People Online</v>
      </c>
    </row>
    <row r="5046">
      <c r="A5046" s="2" t="s">
        <v>31371</v>
      </c>
      <c r="B5046" s="2" t="s">
        <v>31372</v>
      </c>
      <c r="C5046" s="2" t="s">
        <v>5321</v>
      </c>
      <c r="D5046" s="2" t="s">
        <v>3744</v>
      </c>
      <c r="E5046" s="2" t="s">
        <v>31214</v>
      </c>
      <c r="F5046" s="2" t="s">
        <v>916</v>
      </c>
      <c r="G5046" s="2" t="s">
        <v>31373</v>
      </c>
      <c r="H5046" s="3" t="s">
        <v>31</v>
      </c>
      <c r="I5046" s="3">
        <v>1.0</v>
      </c>
      <c r="J5046" s="3">
        <v>1.0</v>
      </c>
      <c r="K5046" s="3" t="s">
        <v>31</v>
      </c>
      <c r="L5046" s="4" t="s">
        <v>31216</v>
      </c>
      <c r="M5046" s="2" t="s">
        <v>31</v>
      </c>
      <c r="N5046" s="2" t="s">
        <v>155</v>
      </c>
      <c r="O5046" s="4" t="s">
        <v>156</v>
      </c>
      <c r="P5046" s="2" t="s">
        <v>31224</v>
      </c>
      <c r="Q5046" s="2" t="s">
        <v>31</v>
      </c>
      <c r="R5046" s="2" t="s">
        <v>64</v>
      </c>
      <c r="S5046" s="4" t="s">
        <v>1549</v>
      </c>
      <c r="T5046" s="2" t="s">
        <v>66</v>
      </c>
      <c r="U5046" s="4" t="s">
        <v>31</v>
      </c>
      <c r="V5046" s="2" t="s">
        <v>916</v>
      </c>
      <c r="W5046" s="2" t="s">
        <v>31214</v>
      </c>
      <c r="X5046" s="5" t="str">
        <f>HYPERLINK("https://my.pitchbook.com?p=383557-42P","View People Online")</f>
        <v>View People Online</v>
      </c>
    </row>
    <row r="5047">
      <c r="A5047" s="6" t="s">
        <v>31374</v>
      </c>
      <c r="B5047" s="6" t="s">
        <v>31375</v>
      </c>
      <c r="C5047" s="6" t="s">
        <v>1697</v>
      </c>
      <c r="D5047" s="6" t="s">
        <v>666</v>
      </c>
      <c r="E5047" s="6" t="s">
        <v>31214</v>
      </c>
      <c r="F5047" s="6" t="s">
        <v>31376</v>
      </c>
      <c r="G5047" s="6" t="s">
        <v>31377</v>
      </c>
      <c r="H5047" s="7">
        <v>2.0</v>
      </c>
      <c r="I5047" s="7">
        <v>7.0</v>
      </c>
      <c r="J5047" s="7">
        <v>1.0</v>
      </c>
      <c r="K5047" s="7">
        <v>3.0</v>
      </c>
      <c r="L5047" s="8" t="s">
        <v>31216</v>
      </c>
      <c r="M5047" s="6" t="s">
        <v>31378</v>
      </c>
      <c r="N5047" s="6" t="s">
        <v>155</v>
      </c>
      <c r="O5047" s="8" t="s">
        <v>156</v>
      </c>
      <c r="P5047" s="6" t="s">
        <v>31224</v>
      </c>
      <c r="Q5047" s="6" t="s">
        <v>31</v>
      </c>
      <c r="R5047" s="6" t="s">
        <v>64</v>
      </c>
      <c r="S5047" s="8" t="s">
        <v>1549</v>
      </c>
      <c r="T5047" s="6" t="s">
        <v>66</v>
      </c>
      <c r="U5047" s="8" t="s">
        <v>31</v>
      </c>
      <c r="V5047" s="6" t="s">
        <v>31379</v>
      </c>
      <c r="W5047" s="6" t="s">
        <v>31214</v>
      </c>
      <c r="X5047" s="9" t="str">
        <f>HYPERLINK("https://my.pitchbook.com?p=180015-31P","View People Online")</f>
        <v>View People Online</v>
      </c>
    </row>
    <row r="5048">
      <c r="A5048" s="2" t="s">
        <v>31380</v>
      </c>
      <c r="B5048" s="2" t="s">
        <v>31381</v>
      </c>
      <c r="C5048" s="2" t="s">
        <v>12548</v>
      </c>
      <c r="D5048" s="2" t="s">
        <v>11159</v>
      </c>
      <c r="E5048" s="2" t="s">
        <v>31214</v>
      </c>
      <c r="F5048" s="2" t="s">
        <v>114</v>
      </c>
      <c r="G5048" s="2" t="s">
        <v>31382</v>
      </c>
      <c r="H5048" s="3">
        <v>1.0</v>
      </c>
      <c r="I5048" s="3">
        <v>15.0</v>
      </c>
      <c r="J5048" s="3">
        <v>2.0</v>
      </c>
      <c r="K5048" s="3">
        <v>10.0</v>
      </c>
      <c r="L5048" s="4" t="s">
        <v>31383</v>
      </c>
      <c r="M5048" s="2" t="s">
        <v>31</v>
      </c>
      <c r="N5048" s="2" t="s">
        <v>155</v>
      </c>
      <c r="O5048" s="4" t="s">
        <v>156</v>
      </c>
      <c r="P5048" s="2" t="s">
        <v>31</v>
      </c>
      <c r="Q5048" s="2" t="s">
        <v>31</v>
      </c>
      <c r="R5048" s="2" t="s">
        <v>64</v>
      </c>
      <c r="S5048" s="4" t="s">
        <v>31</v>
      </c>
      <c r="T5048" s="2" t="s">
        <v>66</v>
      </c>
      <c r="U5048" s="4" t="s">
        <v>31</v>
      </c>
      <c r="V5048" s="2" t="s">
        <v>157</v>
      </c>
      <c r="W5048" s="2" t="s">
        <v>31384</v>
      </c>
      <c r="X5048" s="5" t="str">
        <f>HYPERLINK("https://my.pitchbook.com?p=212793-49P","View People Online")</f>
        <v>View People Online</v>
      </c>
    </row>
    <row r="5049">
      <c r="A5049" s="14" t="s">
        <v>31385</v>
      </c>
      <c r="B5049" s="14" t="s">
        <v>31386</v>
      </c>
      <c r="C5049" s="14" t="s">
        <v>31387</v>
      </c>
      <c r="D5049" s="14" t="s">
        <v>4314</v>
      </c>
      <c r="E5049" s="14" t="s">
        <v>31214</v>
      </c>
      <c r="F5049" s="14" t="s">
        <v>31388</v>
      </c>
      <c r="G5049" s="14" t="s">
        <v>31389</v>
      </c>
      <c r="H5049" s="15" t="s">
        <v>31</v>
      </c>
      <c r="I5049" s="15">
        <v>1.0</v>
      </c>
      <c r="J5049" s="15">
        <v>1.0</v>
      </c>
      <c r="K5049" s="15" t="s">
        <v>31</v>
      </c>
      <c r="L5049" s="16" t="s">
        <v>31216</v>
      </c>
      <c r="M5049" s="14" t="s">
        <v>31390</v>
      </c>
      <c r="N5049" s="14" t="s">
        <v>155</v>
      </c>
      <c r="O5049" s="16" t="s">
        <v>156</v>
      </c>
      <c r="P5049" s="14" t="s">
        <v>31224</v>
      </c>
      <c r="Q5049" s="14" t="s">
        <v>31</v>
      </c>
      <c r="R5049" s="14" t="s">
        <v>64</v>
      </c>
      <c r="S5049" s="16" t="s">
        <v>1549</v>
      </c>
      <c r="T5049" s="14" t="s">
        <v>66</v>
      </c>
      <c r="U5049" s="16" t="s">
        <v>31</v>
      </c>
      <c r="V5049" s="14" t="s">
        <v>31391</v>
      </c>
      <c r="W5049" s="14" t="s">
        <v>31214</v>
      </c>
      <c r="X5049" s="17" t="str">
        <f>HYPERLINK("https://my.pitchbook.com?p=255401-92P","View People Online")</f>
        <v>View People Online</v>
      </c>
    </row>
    <row r="5050">
      <c r="A5050" s="10" t="s">
        <v>31392</v>
      </c>
      <c r="B5050" s="10" t="s">
        <v>31393</v>
      </c>
      <c r="C5050" s="10" t="s">
        <v>622</v>
      </c>
      <c r="D5050" s="10" t="s">
        <v>18864</v>
      </c>
      <c r="E5050" s="10" t="s">
        <v>31394</v>
      </c>
      <c r="F5050" s="10" t="s">
        <v>29</v>
      </c>
      <c r="G5050" s="10" t="s">
        <v>31395</v>
      </c>
      <c r="H5050" s="11" t="s">
        <v>31</v>
      </c>
      <c r="I5050" s="11">
        <v>1.0</v>
      </c>
      <c r="J5050" s="11">
        <v>1.0</v>
      </c>
      <c r="K5050" s="11" t="s">
        <v>31</v>
      </c>
      <c r="L5050" s="12" t="s">
        <v>31396</v>
      </c>
      <c r="M5050" s="10" t="s">
        <v>31397</v>
      </c>
      <c r="N5050" s="10" t="s">
        <v>155</v>
      </c>
      <c r="O5050" s="12" t="s">
        <v>156</v>
      </c>
      <c r="P5050" s="10" t="s">
        <v>31398</v>
      </c>
      <c r="Q5050" s="10" t="s">
        <v>31399</v>
      </c>
      <c r="R5050" s="10" t="s">
        <v>64</v>
      </c>
      <c r="S5050" s="12" t="s">
        <v>1549</v>
      </c>
      <c r="T5050" s="10" t="s">
        <v>66</v>
      </c>
      <c r="U5050" s="12" t="s">
        <v>31400</v>
      </c>
      <c r="V5050" s="10" t="s">
        <v>29</v>
      </c>
      <c r="W5050" s="10" t="s">
        <v>31394</v>
      </c>
      <c r="X5050" s="13" t="str">
        <f>HYPERLINK("https://my.pitchbook.com?p=260798-32P","View People Online")</f>
        <v>View People Online</v>
      </c>
    </row>
    <row r="5051">
      <c r="A5051" s="14" t="s">
        <v>31401</v>
      </c>
      <c r="B5051" s="14" t="s">
        <v>31402</v>
      </c>
      <c r="C5051" s="14" t="s">
        <v>31403</v>
      </c>
      <c r="D5051" s="14" t="s">
        <v>26342</v>
      </c>
      <c r="E5051" s="14" t="s">
        <v>31394</v>
      </c>
      <c r="F5051" s="14" t="s">
        <v>29</v>
      </c>
      <c r="G5051" s="14" t="s">
        <v>31404</v>
      </c>
      <c r="H5051" s="15">
        <v>1.0</v>
      </c>
      <c r="I5051" s="15">
        <v>10.0</v>
      </c>
      <c r="J5051" s="15">
        <v>1.0</v>
      </c>
      <c r="K5051" s="15">
        <v>6.0</v>
      </c>
      <c r="L5051" s="16" t="s">
        <v>31396</v>
      </c>
      <c r="M5051" s="14" t="s">
        <v>31405</v>
      </c>
      <c r="N5051" s="14" t="s">
        <v>155</v>
      </c>
      <c r="O5051" s="16" t="s">
        <v>156</v>
      </c>
      <c r="P5051" s="14" t="s">
        <v>31398</v>
      </c>
      <c r="Q5051" s="14" t="s">
        <v>31399</v>
      </c>
      <c r="R5051" s="14" t="s">
        <v>64</v>
      </c>
      <c r="S5051" s="16" t="s">
        <v>1549</v>
      </c>
      <c r="T5051" s="14" t="s">
        <v>66</v>
      </c>
      <c r="U5051" s="16" t="s">
        <v>31400</v>
      </c>
      <c r="V5051" s="14" t="s">
        <v>29</v>
      </c>
      <c r="W5051" s="14" t="s">
        <v>31394</v>
      </c>
      <c r="X5051" s="17" t="str">
        <f>HYPERLINK("https://my.pitchbook.com?p=47283-58P","View People Online")</f>
        <v>View People Online</v>
      </c>
    </row>
    <row r="5052">
      <c r="A5052" s="10" t="s">
        <v>31406</v>
      </c>
      <c r="B5052" s="10" t="s">
        <v>31407</v>
      </c>
      <c r="C5052" s="10" t="s">
        <v>31408</v>
      </c>
      <c r="D5052" s="10" t="s">
        <v>17840</v>
      </c>
      <c r="E5052" s="10" t="s">
        <v>31394</v>
      </c>
      <c r="F5052" s="10" t="s">
        <v>29</v>
      </c>
      <c r="G5052" s="10" t="s">
        <v>31409</v>
      </c>
      <c r="H5052" s="11" t="s">
        <v>31</v>
      </c>
      <c r="I5052" s="11">
        <v>1.0</v>
      </c>
      <c r="J5052" s="11">
        <v>1.0</v>
      </c>
      <c r="K5052" s="11" t="s">
        <v>31</v>
      </c>
      <c r="L5052" s="12" t="s">
        <v>31396</v>
      </c>
      <c r="M5052" s="10" t="s">
        <v>31</v>
      </c>
      <c r="N5052" s="10" t="s">
        <v>155</v>
      </c>
      <c r="O5052" s="12" t="s">
        <v>156</v>
      </c>
      <c r="P5052" s="10" t="s">
        <v>31398</v>
      </c>
      <c r="Q5052" s="10" t="s">
        <v>31399</v>
      </c>
      <c r="R5052" s="10" t="s">
        <v>64</v>
      </c>
      <c r="S5052" s="12" t="s">
        <v>1549</v>
      </c>
      <c r="T5052" s="10" t="s">
        <v>66</v>
      </c>
      <c r="U5052" s="12" t="s">
        <v>31400</v>
      </c>
      <c r="V5052" s="10" t="s">
        <v>29</v>
      </c>
      <c r="W5052" s="10" t="s">
        <v>31394</v>
      </c>
      <c r="X5052" s="13" t="str">
        <f>HYPERLINK("https://my.pitchbook.com?p=144660-34P","View People Online")</f>
        <v>View People Online</v>
      </c>
    </row>
    <row r="5053">
      <c r="A5053" s="14" t="s">
        <v>31410</v>
      </c>
      <c r="B5053" s="14" t="s">
        <v>31411</v>
      </c>
      <c r="C5053" s="14" t="s">
        <v>15387</v>
      </c>
      <c r="D5053" s="14" t="s">
        <v>11930</v>
      </c>
      <c r="E5053" s="14" t="s">
        <v>31394</v>
      </c>
      <c r="F5053" s="14" t="s">
        <v>634</v>
      </c>
      <c r="G5053" s="14" t="s">
        <v>31412</v>
      </c>
      <c r="H5053" s="15" t="s">
        <v>31</v>
      </c>
      <c r="I5053" s="15">
        <v>8.0</v>
      </c>
      <c r="J5053" s="15">
        <v>1.0</v>
      </c>
      <c r="K5053" s="15">
        <v>5.0</v>
      </c>
      <c r="L5053" s="16" t="s">
        <v>31396</v>
      </c>
      <c r="M5053" s="14" t="s">
        <v>31413</v>
      </c>
      <c r="N5053" s="14" t="s">
        <v>155</v>
      </c>
      <c r="O5053" s="16" t="s">
        <v>156</v>
      </c>
      <c r="P5053" s="14" t="s">
        <v>31398</v>
      </c>
      <c r="Q5053" s="14" t="s">
        <v>31399</v>
      </c>
      <c r="R5053" s="14" t="s">
        <v>64</v>
      </c>
      <c r="S5053" s="16" t="s">
        <v>1549</v>
      </c>
      <c r="T5053" s="14" t="s">
        <v>66</v>
      </c>
      <c r="U5053" s="16" t="s">
        <v>31400</v>
      </c>
      <c r="V5053" s="14" t="s">
        <v>31414</v>
      </c>
      <c r="W5053" s="14" t="s">
        <v>31394</v>
      </c>
      <c r="X5053" s="17" t="str">
        <f>HYPERLINK("https://my.pitchbook.com?p=85974-31P","View People Online")</f>
        <v>View People Online</v>
      </c>
    </row>
    <row r="5054">
      <c r="A5054" s="2" t="s">
        <v>31415</v>
      </c>
      <c r="B5054" s="2" t="s">
        <v>31416</v>
      </c>
      <c r="C5054" s="2" t="s">
        <v>3811</v>
      </c>
      <c r="D5054" s="2" t="s">
        <v>31417</v>
      </c>
      <c r="E5054" s="2" t="s">
        <v>31394</v>
      </c>
      <c r="F5054" s="2" t="s">
        <v>81</v>
      </c>
      <c r="G5054" s="2" t="s">
        <v>31418</v>
      </c>
      <c r="H5054" s="3" t="s">
        <v>31</v>
      </c>
      <c r="I5054" s="3">
        <v>62.0</v>
      </c>
      <c r="J5054" s="3">
        <v>2.0</v>
      </c>
      <c r="K5054" s="3">
        <v>57.0</v>
      </c>
      <c r="L5054" s="4" t="s">
        <v>31419</v>
      </c>
      <c r="M5054" s="2" t="s">
        <v>31</v>
      </c>
      <c r="N5054" s="2" t="s">
        <v>31420</v>
      </c>
      <c r="O5054" s="4" t="s">
        <v>31421</v>
      </c>
      <c r="P5054" s="2" t="s">
        <v>31</v>
      </c>
      <c r="Q5054" s="2" t="s">
        <v>31</v>
      </c>
      <c r="R5054" s="2" t="s">
        <v>64</v>
      </c>
      <c r="S5054" s="4" t="s">
        <v>31422</v>
      </c>
      <c r="T5054" s="2" t="s">
        <v>66</v>
      </c>
      <c r="U5054" s="4" t="s">
        <v>31</v>
      </c>
      <c r="V5054" s="2" t="s">
        <v>31423</v>
      </c>
      <c r="W5054" s="2" t="s">
        <v>31424</v>
      </c>
      <c r="X5054" s="5" t="str">
        <f>HYPERLINK("https://my.pitchbook.com?p=88628-41P","View People Online")</f>
        <v>View People Online</v>
      </c>
    </row>
    <row r="5055">
      <c r="A5055" s="6" t="s">
        <v>31425</v>
      </c>
      <c r="B5055" s="6" t="s">
        <v>31426</v>
      </c>
      <c r="C5055" s="6" t="s">
        <v>5071</v>
      </c>
      <c r="D5055" s="6" t="s">
        <v>26163</v>
      </c>
      <c r="E5055" s="6" t="s">
        <v>31394</v>
      </c>
      <c r="F5055" s="6" t="s">
        <v>502</v>
      </c>
      <c r="G5055" s="6" t="s">
        <v>31427</v>
      </c>
      <c r="H5055" s="7" t="s">
        <v>31</v>
      </c>
      <c r="I5055" s="7">
        <v>1.0</v>
      </c>
      <c r="J5055" s="7">
        <v>1.0</v>
      </c>
      <c r="K5055" s="7" t="s">
        <v>31</v>
      </c>
      <c r="L5055" s="8" t="s">
        <v>31428</v>
      </c>
      <c r="M5055" s="6" t="s">
        <v>31</v>
      </c>
      <c r="N5055" s="6" t="s">
        <v>155</v>
      </c>
      <c r="O5055" s="8" t="s">
        <v>156</v>
      </c>
      <c r="P5055" s="6" t="s">
        <v>31398</v>
      </c>
      <c r="Q5055" s="6" t="s">
        <v>31399</v>
      </c>
      <c r="R5055" s="6" t="s">
        <v>64</v>
      </c>
      <c r="S5055" s="8" t="s">
        <v>1549</v>
      </c>
      <c r="T5055" s="6" t="s">
        <v>66</v>
      </c>
      <c r="U5055" s="8" t="s">
        <v>31400</v>
      </c>
      <c r="V5055" s="6" t="s">
        <v>502</v>
      </c>
      <c r="W5055" s="6" t="s">
        <v>31394</v>
      </c>
      <c r="X5055" s="9" t="str">
        <f>HYPERLINK("https://my.pitchbook.com?p=200515-06P","View People Online")</f>
        <v>View People Online</v>
      </c>
    </row>
    <row r="5056">
      <c r="A5056" s="10" t="s">
        <v>31429</v>
      </c>
      <c r="B5056" s="10" t="s">
        <v>31430</v>
      </c>
      <c r="C5056" s="10" t="s">
        <v>7319</v>
      </c>
      <c r="D5056" s="10" t="s">
        <v>819</v>
      </c>
      <c r="E5056" s="10" t="s">
        <v>31394</v>
      </c>
      <c r="F5056" s="10" t="s">
        <v>78</v>
      </c>
      <c r="G5056" s="10" t="s">
        <v>31431</v>
      </c>
      <c r="H5056" s="11" t="s">
        <v>31</v>
      </c>
      <c r="I5056" s="11">
        <v>1.0</v>
      </c>
      <c r="J5056" s="11">
        <v>1.0</v>
      </c>
      <c r="K5056" s="11" t="s">
        <v>31</v>
      </c>
      <c r="L5056" s="12" t="s">
        <v>31396</v>
      </c>
      <c r="M5056" s="10" t="s">
        <v>31432</v>
      </c>
      <c r="N5056" s="10" t="s">
        <v>155</v>
      </c>
      <c r="O5056" s="12" t="s">
        <v>156</v>
      </c>
      <c r="P5056" s="10" t="s">
        <v>31398</v>
      </c>
      <c r="Q5056" s="10" t="s">
        <v>31399</v>
      </c>
      <c r="R5056" s="10" t="s">
        <v>64</v>
      </c>
      <c r="S5056" s="12" t="s">
        <v>1549</v>
      </c>
      <c r="T5056" s="10" t="s">
        <v>66</v>
      </c>
      <c r="U5056" s="12" t="s">
        <v>31400</v>
      </c>
      <c r="V5056" s="10" t="s">
        <v>78</v>
      </c>
      <c r="W5056" s="10" t="s">
        <v>31394</v>
      </c>
      <c r="X5056" s="13" t="str">
        <f>HYPERLINK("https://my.pitchbook.com?p=200515-33P","View People Online")</f>
        <v>View People Online</v>
      </c>
    </row>
    <row r="5057">
      <c r="A5057" s="14" t="s">
        <v>31433</v>
      </c>
      <c r="B5057" s="14" t="s">
        <v>31434</v>
      </c>
      <c r="C5057" s="14" t="s">
        <v>1376</v>
      </c>
      <c r="D5057" s="14" t="s">
        <v>4346</v>
      </c>
      <c r="E5057" s="14" t="s">
        <v>31394</v>
      </c>
      <c r="F5057" s="14" t="s">
        <v>5365</v>
      </c>
      <c r="G5057" s="14" t="s">
        <v>31435</v>
      </c>
      <c r="H5057" s="15" t="s">
        <v>31</v>
      </c>
      <c r="I5057" s="15">
        <v>1.0</v>
      </c>
      <c r="J5057" s="15">
        <v>1.0</v>
      </c>
      <c r="K5057" s="15" t="s">
        <v>31</v>
      </c>
      <c r="L5057" s="16" t="s">
        <v>31396</v>
      </c>
      <c r="M5057" s="14" t="s">
        <v>31436</v>
      </c>
      <c r="N5057" s="14" t="s">
        <v>155</v>
      </c>
      <c r="O5057" s="16" t="s">
        <v>156</v>
      </c>
      <c r="P5057" s="14" t="s">
        <v>31398</v>
      </c>
      <c r="Q5057" s="14" t="s">
        <v>31399</v>
      </c>
      <c r="R5057" s="14" t="s">
        <v>64</v>
      </c>
      <c r="S5057" s="16" t="s">
        <v>1549</v>
      </c>
      <c r="T5057" s="14" t="s">
        <v>66</v>
      </c>
      <c r="U5057" s="16" t="s">
        <v>31400</v>
      </c>
      <c r="V5057" s="14" t="s">
        <v>31437</v>
      </c>
      <c r="W5057" s="14" t="s">
        <v>31394</v>
      </c>
      <c r="X5057" s="17" t="str">
        <f>HYPERLINK("https://my.pitchbook.com?p=240794-38P","View People Online")</f>
        <v>View People Online</v>
      </c>
    </row>
    <row r="5058">
      <c r="A5058" s="2" t="s">
        <v>31438</v>
      </c>
      <c r="B5058" s="2" t="s">
        <v>31439</v>
      </c>
      <c r="C5058" s="2" t="s">
        <v>31440</v>
      </c>
      <c r="D5058" s="2" t="s">
        <v>3775</v>
      </c>
      <c r="E5058" s="2" t="s">
        <v>31394</v>
      </c>
      <c r="F5058" s="2" t="s">
        <v>548</v>
      </c>
      <c r="G5058" s="2" t="s">
        <v>31441</v>
      </c>
      <c r="H5058" s="3" t="s">
        <v>31</v>
      </c>
      <c r="I5058" s="3">
        <v>1.0</v>
      </c>
      <c r="J5058" s="3">
        <v>1.0</v>
      </c>
      <c r="K5058" s="3" t="s">
        <v>31</v>
      </c>
      <c r="L5058" s="4" t="s">
        <v>31396</v>
      </c>
      <c r="M5058" s="2" t="s">
        <v>31442</v>
      </c>
      <c r="N5058" s="2" t="s">
        <v>155</v>
      </c>
      <c r="O5058" s="4" t="s">
        <v>156</v>
      </c>
      <c r="P5058" s="2" t="s">
        <v>31398</v>
      </c>
      <c r="Q5058" s="2" t="s">
        <v>31399</v>
      </c>
      <c r="R5058" s="2" t="s">
        <v>64</v>
      </c>
      <c r="S5058" s="4" t="s">
        <v>1549</v>
      </c>
      <c r="T5058" s="2" t="s">
        <v>66</v>
      </c>
      <c r="U5058" s="4" t="s">
        <v>31400</v>
      </c>
      <c r="V5058" s="2" t="s">
        <v>548</v>
      </c>
      <c r="W5058" s="2" t="s">
        <v>31394</v>
      </c>
      <c r="X5058" s="5" t="str">
        <f>HYPERLINK("https://my.pitchbook.com?p=47287-00P","View People Online")</f>
        <v>View People Online</v>
      </c>
    </row>
    <row r="5059">
      <c r="A5059" s="14" t="s">
        <v>31443</v>
      </c>
      <c r="B5059" s="14" t="s">
        <v>31444</v>
      </c>
      <c r="C5059" s="14" t="s">
        <v>31445</v>
      </c>
      <c r="D5059" s="14" t="s">
        <v>3739</v>
      </c>
      <c r="E5059" s="14" t="s">
        <v>31394</v>
      </c>
      <c r="F5059" s="14" t="s">
        <v>221</v>
      </c>
      <c r="G5059" s="14" t="s">
        <v>31446</v>
      </c>
      <c r="H5059" s="15" t="s">
        <v>31</v>
      </c>
      <c r="I5059" s="15">
        <v>1.0</v>
      </c>
      <c r="J5059" s="15">
        <v>1.0</v>
      </c>
      <c r="K5059" s="15" t="s">
        <v>31</v>
      </c>
      <c r="L5059" s="16" t="s">
        <v>31396</v>
      </c>
      <c r="M5059" s="14" t="s">
        <v>31447</v>
      </c>
      <c r="N5059" s="14" t="s">
        <v>155</v>
      </c>
      <c r="O5059" s="16" t="s">
        <v>156</v>
      </c>
      <c r="P5059" s="14" t="s">
        <v>31398</v>
      </c>
      <c r="Q5059" s="14" t="s">
        <v>31399</v>
      </c>
      <c r="R5059" s="14" t="s">
        <v>64</v>
      </c>
      <c r="S5059" s="16" t="s">
        <v>1549</v>
      </c>
      <c r="T5059" s="14" t="s">
        <v>66</v>
      </c>
      <c r="U5059" s="16" t="s">
        <v>31400</v>
      </c>
      <c r="V5059" s="14" t="s">
        <v>221</v>
      </c>
      <c r="W5059" s="14" t="s">
        <v>31394</v>
      </c>
      <c r="X5059" s="17" t="str">
        <f>HYPERLINK("https://my.pitchbook.com?p=211430-26P","View People Online")</f>
        <v>View People Online</v>
      </c>
    </row>
    <row r="5060">
      <c r="A5060" s="10" t="s">
        <v>31448</v>
      </c>
      <c r="B5060" s="10" t="s">
        <v>31449</v>
      </c>
      <c r="C5060" s="10" t="s">
        <v>8348</v>
      </c>
      <c r="D5060" s="10" t="s">
        <v>20943</v>
      </c>
      <c r="E5060" s="10" t="s">
        <v>31450</v>
      </c>
      <c r="F5060" s="10" t="s">
        <v>152</v>
      </c>
      <c r="G5060" s="10" t="s">
        <v>31451</v>
      </c>
      <c r="H5060" s="11">
        <v>2.0</v>
      </c>
      <c r="I5060" s="11">
        <v>19.0</v>
      </c>
      <c r="J5060" s="11">
        <v>1.0</v>
      </c>
      <c r="K5060" s="11">
        <v>15.0</v>
      </c>
      <c r="L5060" s="12" t="s">
        <v>31</v>
      </c>
      <c r="M5060" s="10" t="s">
        <v>31452</v>
      </c>
      <c r="N5060" s="10" t="s">
        <v>1348</v>
      </c>
      <c r="O5060" s="12" t="s">
        <v>1349</v>
      </c>
      <c r="P5060" s="10" t="s">
        <v>31453</v>
      </c>
      <c r="Q5060" s="10" t="s">
        <v>31454</v>
      </c>
      <c r="R5060" s="10" t="s">
        <v>1018</v>
      </c>
      <c r="S5060" s="12" t="s">
        <v>31455</v>
      </c>
      <c r="T5060" s="10" t="s">
        <v>1019</v>
      </c>
      <c r="U5060" s="12" t="s">
        <v>31</v>
      </c>
      <c r="V5060" s="10" t="s">
        <v>152</v>
      </c>
      <c r="W5060" s="10" t="s">
        <v>31450</v>
      </c>
      <c r="X5060" s="13" t="str">
        <f>HYPERLINK("https://my.pitchbook.com?p=82748-71P","View People Online")</f>
        <v>View People Online</v>
      </c>
    </row>
    <row r="5061">
      <c r="A5061" s="14" t="s">
        <v>31456</v>
      </c>
      <c r="B5061" s="14" t="s">
        <v>31457</v>
      </c>
      <c r="C5061" s="14" t="s">
        <v>3934</v>
      </c>
      <c r="D5061" s="14" t="s">
        <v>31458</v>
      </c>
      <c r="E5061" s="14" t="s">
        <v>31450</v>
      </c>
      <c r="F5061" s="14" t="s">
        <v>3390</v>
      </c>
      <c r="G5061" s="14" t="s">
        <v>31459</v>
      </c>
      <c r="H5061" s="15" t="s">
        <v>31</v>
      </c>
      <c r="I5061" s="15">
        <v>4.0</v>
      </c>
      <c r="J5061" s="15">
        <v>3.0</v>
      </c>
      <c r="K5061" s="15">
        <v>1.0</v>
      </c>
      <c r="L5061" s="16" t="s">
        <v>31460</v>
      </c>
      <c r="M5061" s="14" t="s">
        <v>31461</v>
      </c>
      <c r="N5061" s="14" t="s">
        <v>155</v>
      </c>
      <c r="O5061" s="16" t="s">
        <v>156</v>
      </c>
      <c r="P5061" s="14" t="s">
        <v>2565</v>
      </c>
      <c r="Q5061" s="14" t="s">
        <v>2566</v>
      </c>
      <c r="R5061" s="14" t="s">
        <v>64</v>
      </c>
      <c r="S5061" s="16" t="s">
        <v>2567</v>
      </c>
      <c r="T5061" s="14" t="s">
        <v>66</v>
      </c>
      <c r="U5061" s="16" t="s">
        <v>31462</v>
      </c>
      <c r="V5061" s="14" t="s">
        <v>270</v>
      </c>
      <c r="W5061" s="14" t="s">
        <v>31457</v>
      </c>
      <c r="X5061" s="17" t="str">
        <f>HYPERLINK("https://my.pitchbook.com?p=145414-27P","View People Online")</f>
        <v>View People Online</v>
      </c>
    </row>
    <row r="5062">
      <c r="A5062" s="10" t="s">
        <v>31463</v>
      </c>
      <c r="B5062" s="10" t="s">
        <v>31464</v>
      </c>
      <c r="C5062" s="10" t="s">
        <v>1103</v>
      </c>
      <c r="D5062" s="10" t="s">
        <v>31465</v>
      </c>
      <c r="E5062" s="10" t="s">
        <v>31450</v>
      </c>
      <c r="F5062" s="10" t="s">
        <v>3390</v>
      </c>
      <c r="G5062" s="10" t="s">
        <v>31466</v>
      </c>
      <c r="H5062" s="11">
        <v>4.0</v>
      </c>
      <c r="I5062" s="11">
        <v>30.0</v>
      </c>
      <c r="J5062" s="11">
        <v>3.0</v>
      </c>
      <c r="K5062" s="11">
        <v>23.0</v>
      </c>
      <c r="L5062" s="12" t="s">
        <v>31467</v>
      </c>
      <c r="M5062" s="10" t="s">
        <v>31468</v>
      </c>
      <c r="N5062" s="10" t="s">
        <v>1348</v>
      </c>
      <c r="O5062" s="12" t="s">
        <v>1349</v>
      </c>
      <c r="P5062" s="10" t="s">
        <v>31469</v>
      </c>
      <c r="Q5062" s="10" t="s">
        <v>31</v>
      </c>
      <c r="R5062" s="10" t="s">
        <v>1018</v>
      </c>
      <c r="S5062" s="12" t="s">
        <v>31470</v>
      </c>
      <c r="T5062" s="10" t="s">
        <v>1019</v>
      </c>
      <c r="U5062" s="12" t="s">
        <v>31</v>
      </c>
      <c r="V5062" s="10" t="s">
        <v>12675</v>
      </c>
      <c r="W5062" s="10" t="s">
        <v>31471</v>
      </c>
      <c r="X5062" s="13" t="str">
        <f>HYPERLINK("https://my.pitchbook.com?p=71048-44P","View People Online")</f>
        <v>View People Online</v>
      </c>
    </row>
    <row r="5063">
      <c r="A5063" s="6" t="s">
        <v>31472</v>
      </c>
      <c r="B5063" s="6" t="s">
        <v>31473</v>
      </c>
      <c r="C5063" s="6" t="s">
        <v>2688</v>
      </c>
      <c r="D5063" s="6" t="s">
        <v>31474</v>
      </c>
      <c r="E5063" s="6" t="s">
        <v>31450</v>
      </c>
      <c r="F5063" s="6" t="s">
        <v>221</v>
      </c>
      <c r="G5063" s="6" t="s">
        <v>31475</v>
      </c>
      <c r="H5063" s="7" t="s">
        <v>31</v>
      </c>
      <c r="I5063" s="7">
        <v>51.0</v>
      </c>
      <c r="J5063" s="7">
        <v>1.0</v>
      </c>
      <c r="K5063" s="7">
        <v>41.0</v>
      </c>
      <c r="L5063" s="8" t="s">
        <v>31</v>
      </c>
      <c r="M5063" s="6" t="s">
        <v>31</v>
      </c>
      <c r="N5063" s="6" t="s">
        <v>1348</v>
      </c>
      <c r="O5063" s="8" t="s">
        <v>1349</v>
      </c>
      <c r="P5063" s="6" t="s">
        <v>31453</v>
      </c>
      <c r="Q5063" s="6" t="s">
        <v>31454</v>
      </c>
      <c r="R5063" s="6" t="s">
        <v>1018</v>
      </c>
      <c r="S5063" s="8" t="s">
        <v>31455</v>
      </c>
      <c r="T5063" s="6" t="s">
        <v>1019</v>
      </c>
      <c r="U5063" s="8" t="s">
        <v>31</v>
      </c>
      <c r="V5063" s="6" t="s">
        <v>221</v>
      </c>
      <c r="W5063" s="6" t="s">
        <v>31450</v>
      </c>
      <c r="X5063" s="9" t="str">
        <f>HYPERLINK("https://my.pitchbook.com?p=66775-51P","View People Online")</f>
        <v>View People Online</v>
      </c>
    </row>
    <row r="5064">
      <c r="A5064" s="10" t="s">
        <v>31476</v>
      </c>
      <c r="B5064" s="10" t="s">
        <v>31477</v>
      </c>
      <c r="C5064" s="10" t="s">
        <v>28162</v>
      </c>
      <c r="D5064" s="10" t="s">
        <v>25089</v>
      </c>
      <c r="E5064" s="10" t="s">
        <v>31450</v>
      </c>
      <c r="F5064" s="10" t="s">
        <v>270</v>
      </c>
      <c r="G5064" s="10" t="s">
        <v>31478</v>
      </c>
      <c r="H5064" s="11" t="s">
        <v>31</v>
      </c>
      <c r="I5064" s="11">
        <v>2.0</v>
      </c>
      <c r="J5064" s="11">
        <v>1.0</v>
      </c>
      <c r="K5064" s="11" t="s">
        <v>31</v>
      </c>
      <c r="L5064" s="12" t="s">
        <v>31479</v>
      </c>
      <c r="M5064" s="10" t="s">
        <v>31480</v>
      </c>
      <c r="N5064" s="10" t="s">
        <v>1348</v>
      </c>
      <c r="O5064" s="12" t="s">
        <v>1349</v>
      </c>
      <c r="P5064" s="10" t="s">
        <v>31453</v>
      </c>
      <c r="Q5064" s="10" t="s">
        <v>31454</v>
      </c>
      <c r="R5064" s="10" t="s">
        <v>1018</v>
      </c>
      <c r="S5064" s="12" t="s">
        <v>31455</v>
      </c>
      <c r="T5064" s="10" t="s">
        <v>1019</v>
      </c>
      <c r="U5064" s="12" t="s">
        <v>31</v>
      </c>
      <c r="V5064" s="10" t="s">
        <v>270</v>
      </c>
      <c r="W5064" s="10" t="s">
        <v>31450</v>
      </c>
      <c r="X5064" s="13" t="str">
        <f>HYPERLINK("https://my.pitchbook.com?p=112857-76P","View People Online")</f>
        <v>View People Online</v>
      </c>
    </row>
    <row r="5065">
      <c r="A5065" s="6" t="s">
        <v>31481</v>
      </c>
      <c r="B5065" s="6" t="s">
        <v>31482</v>
      </c>
      <c r="C5065" s="6" t="s">
        <v>69</v>
      </c>
      <c r="D5065" s="6" t="s">
        <v>31483</v>
      </c>
      <c r="E5065" s="6" t="s">
        <v>31450</v>
      </c>
      <c r="F5065" s="6" t="s">
        <v>71</v>
      </c>
      <c r="G5065" s="6" t="s">
        <v>31484</v>
      </c>
      <c r="H5065" s="7">
        <v>1.0</v>
      </c>
      <c r="I5065" s="7">
        <v>37.0</v>
      </c>
      <c r="J5065" s="7">
        <v>1.0</v>
      </c>
      <c r="K5065" s="7">
        <v>34.0</v>
      </c>
      <c r="L5065" s="8" t="s">
        <v>31485</v>
      </c>
      <c r="M5065" s="6" t="s">
        <v>31486</v>
      </c>
      <c r="N5065" s="6" t="s">
        <v>1348</v>
      </c>
      <c r="O5065" s="8" t="s">
        <v>1349</v>
      </c>
      <c r="P5065" s="6" t="s">
        <v>31453</v>
      </c>
      <c r="Q5065" s="6" t="s">
        <v>31454</v>
      </c>
      <c r="R5065" s="6" t="s">
        <v>1018</v>
      </c>
      <c r="S5065" s="8" t="s">
        <v>31455</v>
      </c>
      <c r="T5065" s="6" t="s">
        <v>1019</v>
      </c>
      <c r="U5065" s="8" t="s">
        <v>31</v>
      </c>
      <c r="V5065" s="6" t="s">
        <v>31487</v>
      </c>
      <c r="W5065" s="6" t="s">
        <v>31450</v>
      </c>
      <c r="X5065" s="9" t="str">
        <f>HYPERLINK("https://my.pitchbook.com?p=40012-48P","View People Online")</f>
        <v>View People Online</v>
      </c>
    </row>
    <row r="5066">
      <c r="A5066" s="2" t="s">
        <v>31488</v>
      </c>
      <c r="B5066" s="2" t="s">
        <v>31489</v>
      </c>
      <c r="C5066" s="2" t="s">
        <v>31490</v>
      </c>
      <c r="D5066" s="2" t="s">
        <v>31491</v>
      </c>
      <c r="E5066" s="2" t="s">
        <v>31450</v>
      </c>
      <c r="F5066" s="2" t="s">
        <v>825</v>
      </c>
      <c r="G5066" s="2" t="s">
        <v>31492</v>
      </c>
      <c r="H5066" s="3">
        <v>2.0</v>
      </c>
      <c r="I5066" s="3">
        <v>3.0</v>
      </c>
      <c r="J5066" s="3">
        <v>3.0</v>
      </c>
      <c r="K5066" s="3" t="s">
        <v>31</v>
      </c>
      <c r="L5066" s="4" t="s">
        <v>31493</v>
      </c>
      <c r="M5066" s="2" t="s">
        <v>31494</v>
      </c>
      <c r="N5066" s="2" t="s">
        <v>1781</v>
      </c>
      <c r="O5066" s="4" t="s">
        <v>1782</v>
      </c>
      <c r="P5066" s="2" t="s">
        <v>31495</v>
      </c>
      <c r="Q5066" s="2" t="s">
        <v>31</v>
      </c>
      <c r="R5066" s="2" t="s">
        <v>1785</v>
      </c>
      <c r="S5066" s="4" t="s">
        <v>31496</v>
      </c>
      <c r="T5066" s="2" t="s">
        <v>1019</v>
      </c>
      <c r="U5066" s="4" t="s">
        <v>31</v>
      </c>
      <c r="V5066" s="2" t="s">
        <v>31497</v>
      </c>
      <c r="W5066" s="2" t="s">
        <v>31498</v>
      </c>
      <c r="X5066" s="5" t="str">
        <f>HYPERLINK("https://my.pitchbook.com?p=137234-26P","View People Online")</f>
        <v>View People Online</v>
      </c>
    </row>
    <row r="5067">
      <c r="A5067" s="6" t="s">
        <v>31499</v>
      </c>
      <c r="B5067" s="6" t="s">
        <v>31500</v>
      </c>
      <c r="C5067" s="6" t="s">
        <v>1449</v>
      </c>
      <c r="D5067" s="6" t="s">
        <v>31501</v>
      </c>
      <c r="E5067" s="6" t="s">
        <v>31450</v>
      </c>
      <c r="F5067" s="6" t="s">
        <v>270</v>
      </c>
      <c r="G5067" s="6" t="s">
        <v>31502</v>
      </c>
      <c r="H5067" s="7">
        <v>1.0</v>
      </c>
      <c r="I5067" s="7">
        <v>37.0</v>
      </c>
      <c r="J5067" s="7">
        <v>3.0</v>
      </c>
      <c r="K5067" s="7">
        <v>28.0</v>
      </c>
      <c r="L5067" s="8" t="s">
        <v>31</v>
      </c>
      <c r="M5067" s="6" t="s">
        <v>31503</v>
      </c>
      <c r="N5067" s="6" t="s">
        <v>10742</v>
      </c>
      <c r="O5067" s="8" t="s">
        <v>10743</v>
      </c>
      <c r="P5067" s="6" t="s">
        <v>31</v>
      </c>
      <c r="Q5067" s="6" t="s">
        <v>31</v>
      </c>
      <c r="R5067" s="6" t="s">
        <v>10745</v>
      </c>
      <c r="S5067" s="8" t="s">
        <v>31</v>
      </c>
      <c r="T5067" s="6" t="s">
        <v>1019</v>
      </c>
      <c r="U5067" s="8" t="s">
        <v>31</v>
      </c>
      <c r="V5067" s="6" t="s">
        <v>95</v>
      </c>
      <c r="W5067" s="6" t="s">
        <v>31504</v>
      </c>
      <c r="X5067" s="9" t="str">
        <f>HYPERLINK("https://my.pitchbook.com?p=71936-38P","View People Online")</f>
        <v>View People Online</v>
      </c>
    </row>
    <row r="5068">
      <c r="A5068" s="10" t="s">
        <v>31505</v>
      </c>
      <c r="B5068" s="10" t="s">
        <v>31506</v>
      </c>
      <c r="C5068" s="10" t="s">
        <v>11152</v>
      </c>
      <c r="D5068" s="10" t="s">
        <v>31507</v>
      </c>
      <c r="E5068" s="10" t="s">
        <v>31450</v>
      </c>
      <c r="F5068" s="10" t="s">
        <v>71</v>
      </c>
      <c r="G5068" s="10" t="s">
        <v>31508</v>
      </c>
      <c r="H5068" s="11" t="s">
        <v>31</v>
      </c>
      <c r="I5068" s="11">
        <v>24.0</v>
      </c>
      <c r="J5068" s="11">
        <v>2.0</v>
      </c>
      <c r="K5068" s="11">
        <v>19.0</v>
      </c>
      <c r="L5068" s="12" t="s">
        <v>31509</v>
      </c>
      <c r="M5068" s="10" t="s">
        <v>31510</v>
      </c>
      <c r="N5068" s="10" t="s">
        <v>1348</v>
      </c>
      <c r="O5068" s="12" t="s">
        <v>1349</v>
      </c>
      <c r="P5068" s="10" t="s">
        <v>31511</v>
      </c>
      <c r="Q5068" s="10" t="s">
        <v>31512</v>
      </c>
      <c r="R5068" s="10" t="s">
        <v>1018</v>
      </c>
      <c r="S5068" s="12" t="s">
        <v>31513</v>
      </c>
      <c r="T5068" s="10" t="s">
        <v>1019</v>
      </c>
      <c r="U5068" s="12" t="s">
        <v>31514</v>
      </c>
      <c r="V5068" s="10" t="s">
        <v>152</v>
      </c>
      <c r="W5068" s="10" t="s">
        <v>31515</v>
      </c>
      <c r="X5068" s="13" t="str">
        <f>HYPERLINK("https://my.pitchbook.com?p=14216-14P","View People Online")</f>
        <v>View People Online</v>
      </c>
    </row>
    <row r="5069">
      <c r="A5069" s="14" t="s">
        <v>31516</v>
      </c>
      <c r="B5069" s="14" t="s">
        <v>31517</v>
      </c>
      <c r="C5069" s="14" t="s">
        <v>11152</v>
      </c>
      <c r="D5069" s="14" t="s">
        <v>31518</v>
      </c>
      <c r="E5069" s="14" t="s">
        <v>31450</v>
      </c>
      <c r="F5069" s="14" t="s">
        <v>71</v>
      </c>
      <c r="G5069" s="14" t="s">
        <v>31519</v>
      </c>
      <c r="H5069" s="15">
        <v>5.0</v>
      </c>
      <c r="I5069" s="15">
        <v>24.0</v>
      </c>
      <c r="J5069" s="15">
        <v>2.0</v>
      </c>
      <c r="K5069" s="15">
        <v>12.0</v>
      </c>
      <c r="L5069" s="16" t="s">
        <v>31520</v>
      </c>
      <c r="M5069" s="14" t="s">
        <v>31521</v>
      </c>
      <c r="N5069" s="14" t="s">
        <v>1348</v>
      </c>
      <c r="O5069" s="16" t="s">
        <v>1349</v>
      </c>
      <c r="P5069" s="14" t="s">
        <v>31522</v>
      </c>
      <c r="Q5069" s="14" t="s">
        <v>31523</v>
      </c>
      <c r="R5069" s="14" t="s">
        <v>1018</v>
      </c>
      <c r="S5069" s="16" t="s">
        <v>31524</v>
      </c>
      <c r="T5069" s="14" t="s">
        <v>1019</v>
      </c>
      <c r="U5069" s="16" t="s">
        <v>31</v>
      </c>
      <c r="V5069" s="14" t="s">
        <v>29</v>
      </c>
      <c r="W5069" s="14" t="s">
        <v>31525</v>
      </c>
      <c r="X5069" s="17" t="str">
        <f>HYPERLINK("https://my.pitchbook.com?p=59680-90P","View People Online")</f>
        <v>View People Online</v>
      </c>
    </row>
    <row r="5070">
      <c r="A5070" s="2" t="s">
        <v>31526</v>
      </c>
      <c r="B5070" s="2" t="s">
        <v>31527</v>
      </c>
      <c r="C5070" s="2" t="s">
        <v>27062</v>
      </c>
      <c r="D5070" s="2" t="s">
        <v>31528</v>
      </c>
      <c r="E5070" s="2" t="s">
        <v>31450</v>
      </c>
      <c r="F5070" s="2" t="s">
        <v>71</v>
      </c>
      <c r="G5070" s="2" t="s">
        <v>31529</v>
      </c>
      <c r="H5070" s="3" t="s">
        <v>31</v>
      </c>
      <c r="I5070" s="3">
        <v>1.0</v>
      </c>
      <c r="J5070" s="3">
        <v>1.0</v>
      </c>
      <c r="K5070" s="3" t="s">
        <v>31</v>
      </c>
      <c r="L5070" s="4" t="s">
        <v>31</v>
      </c>
      <c r="M5070" s="2" t="s">
        <v>31</v>
      </c>
      <c r="N5070" s="2" t="s">
        <v>1348</v>
      </c>
      <c r="O5070" s="4" t="s">
        <v>1349</v>
      </c>
      <c r="P5070" s="2" t="s">
        <v>31453</v>
      </c>
      <c r="Q5070" s="2" t="s">
        <v>31454</v>
      </c>
      <c r="R5070" s="2" t="s">
        <v>1018</v>
      </c>
      <c r="S5070" s="4" t="s">
        <v>31455</v>
      </c>
      <c r="T5070" s="2" t="s">
        <v>1019</v>
      </c>
      <c r="U5070" s="4" t="s">
        <v>31</v>
      </c>
      <c r="V5070" s="2" t="s">
        <v>31487</v>
      </c>
      <c r="W5070" s="2" t="s">
        <v>31450</v>
      </c>
      <c r="X5070" s="5" t="str">
        <f>HYPERLINK("https://my.pitchbook.com?p=112852-27P","View People Online")</f>
        <v>View People Online</v>
      </c>
    </row>
    <row r="5071">
      <c r="A5071" s="6" t="s">
        <v>31530</v>
      </c>
      <c r="B5071" s="6" t="s">
        <v>31531</v>
      </c>
      <c r="C5071" s="6" t="s">
        <v>31532</v>
      </c>
      <c r="D5071" s="6" t="s">
        <v>31533</v>
      </c>
      <c r="E5071" s="6" t="s">
        <v>31450</v>
      </c>
      <c r="F5071" s="6" t="s">
        <v>24050</v>
      </c>
      <c r="G5071" s="6" t="s">
        <v>31534</v>
      </c>
      <c r="H5071" s="7" t="s">
        <v>31</v>
      </c>
      <c r="I5071" s="7">
        <v>2.0</v>
      </c>
      <c r="J5071" s="7">
        <v>1.0</v>
      </c>
      <c r="K5071" s="7">
        <v>1.0</v>
      </c>
      <c r="L5071" s="8" t="s">
        <v>31</v>
      </c>
      <c r="M5071" s="6" t="s">
        <v>31535</v>
      </c>
      <c r="N5071" s="6" t="s">
        <v>1348</v>
      </c>
      <c r="O5071" s="8" t="s">
        <v>1349</v>
      </c>
      <c r="P5071" s="6" t="s">
        <v>31453</v>
      </c>
      <c r="Q5071" s="6" t="s">
        <v>31454</v>
      </c>
      <c r="R5071" s="6" t="s">
        <v>1018</v>
      </c>
      <c r="S5071" s="8" t="s">
        <v>31455</v>
      </c>
      <c r="T5071" s="6" t="s">
        <v>1019</v>
      </c>
      <c r="U5071" s="8" t="s">
        <v>31</v>
      </c>
      <c r="V5071" s="6" t="s">
        <v>24050</v>
      </c>
      <c r="W5071" s="6" t="s">
        <v>31450</v>
      </c>
      <c r="X5071" s="9" t="str">
        <f>HYPERLINK("https://my.pitchbook.com?p=408589-93P","View People Online")</f>
        <v>View People Online</v>
      </c>
    </row>
    <row r="5072">
      <c r="A5072" s="2" t="s">
        <v>31536</v>
      </c>
      <c r="B5072" s="2" t="s">
        <v>31537</v>
      </c>
      <c r="C5072" s="2" t="s">
        <v>2871</v>
      </c>
      <c r="D5072" s="2" t="s">
        <v>31538</v>
      </c>
      <c r="E5072" s="2" t="s">
        <v>31450</v>
      </c>
      <c r="F5072" s="2" t="s">
        <v>270</v>
      </c>
      <c r="G5072" s="2" t="s">
        <v>31539</v>
      </c>
      <c r="H5072" s="3" t="s">
        <v>31</v>
      </c>
      <c r="I5072" s="3">
        <v>8.0</v>
      </c>
      <c r="J5072" s="3">
        <v>2.0</v>
      </c>
      <c r="K5072" s="3">
        <v>3.0</v>
      </c>
      <c r="L5072" s="4" t="s">
        <v>31</v>
      </c>
      <c r="M5072" s="2" t="s">
        <v>31540</v>
      </c>
      <c r="N5072" s="2" t="s">
        <v>155</v>
      </c>
      <c r="O5072" s="4" t="s">
        <v>156</v>
      </c>
      <c r="P5072" s="2" t="s">
        <v>31</v>
      </c>
      <c r="Q5072" s="2" t="s">
        <v>31</v>
      </c>
      <c r="R5072" s="2" t="s">
        <v>64</v>
      </c>
      <c r="S5072" s="4" t="s">
        <v>31</v>
      </c>
      <c r="T5072" s="2" t="s">
        <v>66</v>
      </c>
      <c r="U5072" s="4" t="s">
        <v>31</v>
      </c>
      <c r="V5072" s="2" t="s">
        <v>991</v>
      </c>
      <c r="W5072" s="2" t="s">
        <v>31541</v>
      </c>
      <c r="X5072" s="5" t="str">
        <f>HYPERLINK("https://my.pitchbook.com?p=14005-54P","View People Online")</f>
        <v>View People Online</v>
      </c>
    </row>
    <row r="5073">
      <c r="A5073" s="6" t="s">
        <v>31542</v>
      </c>
      <c r="B5073" s="6" t="s">
        <v>31543</v>
      </c>
      <c r="C5073" s="6" t="s">
        <v>17275</v>
      </c>
      <c r="D5073" s="6" t="s">
        <v>31544</v>
      </c>
      <c r="E5073" s="6" t="s">
        <v>31450</v>
      </c>
      <c r="F5073" s="6" t="s">
        <v>270</v>
      </c>
      <c r="G5073" s="6" t="s">
        <v>31545</v>
      </c>
      <c r="H5073" s="7" t="s">
        <v>31</v>
      </c>
      <c r="I5073" s="7">
        <v>1.0</v>
      </c>
      <c r="J5073" s="7">
        <v>1.0</v>
      </c>
      <c r="K5073" s="7" t="s">
        <v>31</v>
      </c>
      <c r="L5073" s="8" t="s">
        <v>31</v>
      </c>
      <c r="M5073" s="6" t="s">
        <v>31</v>
      </c>
      <c r="N5073" s="6" t="s">
        <v>1348</v>
      </c>
      <c r="O5073" s="8" t="s">
        <v>1349</v>
      </c>
      <c r="P5073" s="6" t="s">
        <v>31453</v>
      </c>
      <c r="Q5073" s="6" t="s">
        <v>31454</v>
      </c>
      <c r="R5073" s="6" t="s">
        <v>1018</v>
      </c>
      <c r="S5073" s="8" t="s">
        <v>31455</v>
      </c>
      <c r="T5073" s="6" t="s">
        <v>1019</v>
      </c>
      <c r="U5073" s="8" t="s">
        <v>31</v>
      </c>
      <c r="V5073" s="6" t="s">
        <v>27009</v>
      </c>
      <c r="W5073" s="6" t="s">
        <v>31450</v>
      </c>
      <c r="X5073" s="9" t="str">
        <f>HYPERLINK("https://my.pitchbook.com?p=112859-29P","View People Online")</f>
        <v>View People Online</v>
      </c>
    </row>
    <row r="5074">
      <c r="A5074" s="2" t="s">
        <v>31546</v>
      </c>
      <c r="B5074" s="2" t="s">
        <v>31547</v>
      </c>
      <c r="C5074" s="2" t="s">
        <v>26</v>
      </c>
      <c r="D5074" s="2" t="s">
        <v>19779</v>
      </c>
      <c r="E5074" s="2" t="s">
        <v>31450</v>
      </c>
      <c r="F5074" s="2" t="s">
        <v>270</v>
      </c>
      <c r="G5074" s="2" t="s">
        <v>31548</v>
      </c>
      <c r="H5074" s="3" t="s">
        <v>31</v>
      </c>
      <c r="I5074" s="3">
        <v>3.0</v>
      </c>
      <c r="J5074" s="3">
        <v>1.0</v>
      </c>
      <c r="K5074" s="3">
        <v>2.0</v>
      </c>
      <c r="L5074" s="4" t="s">
        <v>31</v>
      </c>
      <c r="M5074" s="2" t="s">
        <v>31549</v>
      </c>
      <c r="N5074" s="2" t="s">
        <v>31550</v>
      </c>
      <c r="O5074" s="4" t="s">
        <v>31551</v>
      </c>
      <c r="P5074" s="2" t="s">
        <v>31552</v>
      </c>
      <c r="Q5074" s="2" t="s">
        <v>31553</v>
      </c>
      <c r="R5074" s="2" t="s">
        <v>31554</v>
      </c>
      <c r="S5074" s="4" t="s">
        <v>31555</v>
      </c>
      <c r="T5074" s="2" t="s">
        <v>1019</v>
      </c>
      <c r="U5074" s="4" t="s">
        <v>31</v>
      </c>
      <c r="V5074" s="2" t="s">
        <v>31556</v>
      </c>
      <c r="W5074" s="2" t="s">
        <v>31450</v>
      </c>
      <c r="X5074" s="5" t="str">
        <f>HYPERLINK("https://my.pitchbook.com?p=165462-85P","View People Online")</f>
        <v>View People Online</v>
      </c>
    </row>
    <row r="5075">
      <c r="A5075" s="14" t="s">
        <v>31557</v>
      </c>
      <c r="B5075" s="14" t="s">
        <v>31558</v>
      </c>
      <c r="C5075" s="14" t="s">
        <v>1343</v>
      </c>
      <c r="D5075" s="14" t="s">
        <v>18625</v>
      </c>
      <c r="E5075" s="14" t="s">
        <v>31450</v>
      </c>
      <c r="F5075" s="14" t="s">
        <v>71</v>
      </c>
      <c r="G5075" s="14" t="s">
        <v>31559</v>
      </c>
      <c r="H5075" s="15">
        <v>3.0</v>
      </c>
      <c r="I5075" s="15">
        <v>7.0</v>
      </c>
      <c r="J5075" s="15">
        <v>1.0</v>
      </c>
      <c r="K5075" s="15">
        <v>2.0</v>
      </c>
      <c r="L5075" s="16" t="s">
        <v>31</v>
      </c>
      <c r="M5075" s="14" t="s">
        <v>31560</v>
      </c>
      <c r="N5075" s="14" t="s">
        <v>1348</v>
      </c>
      <c r="O5075" s="16" t="s">
        <v>1349</v>
      </c>
      <c r="P5075" s="14" t="s">
        <v>31453</v>
      </c>
      <c r="Q5075" s="14" t="s">
        <v>31454</v>
      </c>
      <c r="R5075" s="14" t="s">
        <v>1018</v>
      </c>
      <c r="S5075" s="16" t="s">
        <v>31455</v>
      </c>
      <c r="T5075" s="14" t="s">
        <v>1019</v>
      </c>
      <c r="U5075" s="16" t="s">
        <v>31</v>
      </c>
      <c r="V5075" s="14" t="s">
        <v>31487</v>
      </c>
      <c r="W5075" s="14" t="s">
        <v>31450</v>
      </c>
      <c r="X5075" s="17" t="str">
        <f>HYPERLINK("https://my.pitchbook.com?p=43880-68P","View People Online")</f>
        <v>View People Online</v>
      </c>
    </row>
    <row r="5076">
      <c r="A5076" s="2" t="s">
        <v>31561</v>
      </c>
      <c r="B5076" s="2" t="s">
        <v>31562</v>
      </c>
      <c r="C5076" s="2" t="s">
        <v>1343</v>
      </c>
      <c r="D5076" s="2" t="s">
        <v>5608</v>
      </c>
      <c r="E5076" s="2" t="s">
        <v>31450</v>
      </c>
      <c r="F5076" s="2" t="s">
        <v>3390</v>
      </c>
      <c r="G5076" s="2" t="s">
        <v>31563</v>
      </c>
      <c r="H5076" s="3" t="s">
        <v>31</v>
      </c>
      <c r="I5076" s="3">
        <v>1.0</v>
      </c>
      <c r="J5076" s="3">
        <v>1.0</v>
      </c>
      <c r="K5076" s="3" t="s">
        <v>31</v>
      </c>
      <c r="L5076" s="4" t="s">
        <v>31</v>
      </c>
      <c r="M5076" s="2" t="s">
        <v>31</v>
      </c>
      <c r="N5076" s="2" t="s">
        <v>1348</v>
      </c>
      <c r="O5076" s="4" t="s">
        <v>1349</v>
      </c>
      <c r="P5076" s="2" t="s">
        <v>31453</v>
      </c>
      <c r="Q5076" s="2" t="s">
        <v>31454</v>
      </c>
      <c r="R5076" s="2" t="s">
        <v>1018</v>
      </c>
      <c r="S5076" s="4" t="s">
        <v>31455</v>
      </c>
      <c r="T5076" s="2" t="s">
        <v>1019</v>
      </c>
      <c r="U5076" s="4" t="s">
        <v>31</v>
      </c>
      <c r="V5076" s="2" t="s">
        <v>31564</v>
      </c>
      <c r="W5076" s="2" t="s">
        <v>31450</v>
      </c>
      <c r="X5076" s="5" t="str">
        <f>HYPERLINK("https://my.pitchbook.com?p=112851-19P","View People Online")</f>
        <v>View People Online</v>
      </c>
    </row>
    <row r="5077">
      <c r="A5077" s="6" t="s">
        <v>31565</v>
      </c>
      <c r="B5077" s="6" t="s">
        <v>31566</v>
      </c>
      <c r="C5077" s="6" t="s">
        <v>3052</v>
      </c>
      <c r="D5077" s="6" t="s">
        <v>31567</v>
      </c>
      <c r="E5077" s="6" t="s">
        <v>31450</v>
      </c>
      <c r="F5077" s="6" t="s">
        <v>270</v>
      </c>
      <c r="G5077" s="6" t="s">
        <v>31568</v>
      </c>
      <c r="H5077" s="7" t="s">
        <v>31</v>
      </c>
      <c r="I5077" s="7">
        <v>3.0</v>
      </c>
      <c r="J5077" s="7">
        <v>2.0</v>
      </c>
      <c r="K5077" s="7">
        <v>1.0</v>
      </c>
      <c r="L5077" s="8" t="s">
        <v>31</v>
      </c>
      <c r="M5077" s="6" t="s">
        <v>31569</v>
      </c>
      <c r="N5077" s="6" t="s">
        <v>1348</v>
      </c>
      <c r="O5077" s="8" t="s">
        <v>1349</v>
      </c>
      <c r="P5077" s="6" t="s">
        <v>31570</v>
      </c>
      <c r="Q5077" s="6" t="s">
        <v>31</v>
      </c>
      <c r="R5077" s="6" t="s">
        <v>1018</v>
      </c>
      <c r="S5077" s="8" t="s">
        <v>31571</v>
      </c>
      <c r="T5077" s="6" t="s">
        <v>1019</v>
      </c>
      <c r="U5077" s="8" t="s">
        <v>31</v>
      </c>
      <c r="V5077" s="6" t="s">
        <v>31572</v>
      </c>
      <c r="W5077" s="6" t="s">
        <v>31573</v>
      </c>
      <c r="X5077" s="9" t="str">
        <f>HYPERLINK("https://my.pitchbook.com?p=112855-51P","View People Online")</f>
        <v>View People Online</v>
      </c>
    </row>
    <row r="5078">
      <c r="A5078" s="2" t="s">
        <v>31574</v>
      </c>
      <c r="B5078" s="2" t="s">
        <v>31575</v>
      </c>
      <c r="C5078" s="2" t="s">
        <v>27465</v>
      </c>
      <c r="D5078" s="2" t="s">
        <v>31576</v>
      </c>
      <c r="E5078" s="2" t="s">
        <v>31450</v>
      </c>
      <c r="F5078" s="2" t="s">
        <v>548</v>
      </c>
      <c r="G5078" s="2" t="s">
        <v>31577</v>
      </c>
      <c r="H5078" s="3" t="s">
        <v>31</v>
      </c>
      <c r="I5078" s="3">
        <v>1.0</v>
      </c>
      <c r="J5078" s="3">
        <v>1.0</v>
      </c>
      <c r="K5078" s="3" t="s">
        <v>31</v>
      </c>
      <c r="L5078" s="4" t="s">
        <v>31</v>
      </c>
      <c r="M5078" s="2" t="s">
        <v>31578</v>
      </c>
      <c r="N5078" s="2" t="s">
        <v>31550</v>
      </c>
      <c r="O5078" s="4" t="s">
        <v>31551</v>
      </c>
      <c r="P5078" s="2" t="s">
        <v>31552</v>
      </c>
      <c r="Q5078" s="2" t="s">
        <v>31553</v>
      </c>
      <c r="R5078" s="2" t="s">
        <v>31554</v>
      </c>
      <c r="S5078" s="4" t="s">
        <v>31555</v>
      </c>
      <c r="T5078" s="2" t="s">
        <v>1019</v>
      </c>
      <c r="U5078" s="4" t="s">
        <v>31</v>
      </c>
      <c r="V5078" s="2" t="s">
        <v>31579</v>
      </c>
      <c r="W5078" s="2" t="s">
        <v>31450</v>
      </c>
      <c r="X5078" s="5" t="str">
        <f>HYPERLINK("https://my.pitchbook.com?p=183760-93P","View People Online")</f>
        <v>View People Online</v>
      </c>
    </row>
    <row r="5079">
      <c r="A5079" s="6" t="s">
        <v>31580</v>
      </c>
      <c r="B5079" s="6" t="s">
        <v>31581</v>
      </c>
      <c r="C5079" s="6" t="s">
        <v>6453</v>
      </c>
      <c r="D5079" s="6" t="s">
        <v>31582</v>
      </c>
      <c r="E5079" s="6" t="s">
        <v>31450</v>
      </c>
      <c r="F5079" s="6" t="s">
        <v>825</v>
      </c>
      <c r="G5079" s="6" t="s">
        <v>31583</v>
      </c>
      <c r="H5079" s="7" t="s">
        <v>31</v>
      </c>
      <c r="I5079" s="7">
        <v>2.0</v>
      </c>
      <c r="J5079" s="7">
        <v>2.0</v>
      </c>
      <c r="K5079" s="7" t="s">
        <v>31</v>
      </c>
      <c r="L5079" s="8" t="s">
        <v>31</v>
      </c>
      <c r="M5079" s="6" t="s">
        <v>31584</v>
      </c>
      <c r="N5079" s="6" t="s">
        <v>31550</v>
      </c>
      <c r="O5079" s="8" t="s">
        <v>31551</v>
      </c>
      <c r="P5079" s="6" t="s">
        <v>31552</v>
      </c>
      <c r="Q5079" s="6" t="s">
        <v>31553</v>
      </c>
      <c r="R5079" s="6" t="s">
        <v>31554</v>
      </c>
      <c r="S5079" s="8" t="s">
        <v>31555</v>
      </c>
      <c r="T5079" s="6" t="s">
        <v>1019</v>
      </c>
      <c r="U5079" s="8" t="s">
        <v>31585</v>
      </c>
      <c r="V5079" s="6" t="s">
        <v>31586</v>
      </c>
      <c r="W5079" s="6" t="s">
        <v>31450</v>
      </c>
      <c r="X5079" s="9" t="str">
        <f>HYPERLINK("https://my.pitchbook.com?p=183760-03P","View People Online")</f>
        <v>View People Online</v>
      </c>
    </row>
    <row r="5080">
      <c r="A5080" s="10" t="s">
        <v>31587</v>
      </c>
      <c r="B5080" s="10" t="s">
        <v>31588</v>
      </c>
      <c r="C5080" s="10" t="s">
        <v>31589</v>
      </c>
      <c r="D5080" s="10" t="s">
        <v>6648</v>
      </c>
      <c r="E5080" s="10" t="s">
        <v>31450</v>
      </c>
      <c r="F5080" s="10" t="s">
        <v>270</v>
      </c>
      <c r="G5080" s="10" t="s">
        <v>31590</v>
      </c>
      <c r="H5080" s="11">
        <v>2.0</v>
      </c>
      <c r="I5080" s="11">
        <v>5.0</v>
      </c>
      <c r="J5080" s="11">
        <v>1.0</v>
      </c>
      <c r="K5080" s="11">
        <v>1.0</v>
      </c>
      <c r="L5080" s="12" t="s">
        <v>31591</v>
      </c>
      <c r="M5080" s="10" t="s">
        <v>31</v>
      </c>
      <c r="N5080" s="10" t="s">
        <v>31592</v>
      </c>
      <c r="O5080" s="12" t="s">
        <v>31593</v>
      </c>
      <c r="P5080" s="10" t="s">
        <v>31594</v>
      </c>
      <c r="Q5080" s="10" t="s">
        <v>31</v>
      </c>
      <c r="R5080" s="10" t="s">
        <v>31</v>
      </c>
      <c r="S5080" s="12" t="s">
        <v>31595</v>
      </c>
      <c r="T5080" s="10" t="s">
        <v>6315</v>
      </c>
      <c r="U5080" s="12" t="s">
        <v>31</v>
      </c>
      <c r="V5080" s="10" t="s">
        <v>2379</v>
      </c>
      <c r="W5080" s="10" t="s">
        <v>31596</v>
      </c>
      <c r="X5080" s="13" t="str">
        <f>HYPERLINK("https://my.pitchbook.com?p=207366-13P","View People Online")</f>
        <v>View People Online</v>
      </c>
    </row>
    <row r="5081">
      <c r="A5081" s="6" t="s">
        <v>31597</v>
      </c>
      <c r="B5081" s="6" t="s">
        <v>31598</v>
      </c>
      <c r="C5081" s="6" t="s">
        <v>126</v>
      </c>
      <c r="D5081" s="6" t="s">
        <v>31599</v>
      </c>
      <c r="E5081" s="6" t="s">
        <v>31450</v>
      </c>
      <c r="F5081" s="6" t="s">
        <v>270</v>
      </c>
      <c r="G5081" s="6" t="s">
        <v>31600</v>
      </c>
      <c r="H5081" s="7">
        <v>1.0</v>
      </c>
      <c r="I5081" s="7">
        <v>17.0</v>
      </c>
      <c r="J5081" s="7">
        <v>2.0</v>
      </c>
      <c r="K5081" s="7">
        <v>13.0</v>
      </c>
      <c r="L5081" s="8" t="s">
        <v>31601</v>
      </c>
      <c r="M5081" s="6" t="s">
        <v>31</v>
      </c>
      <c r="N5081" s="6" t="s">
        <v>1348</v>
      </c>
      <c r="O5081" s="8" t="s">
        <v>1349</v>
      </c>
      <c r="P5081" s="6" t="s">
        <v>10344</v>
      </c>
      <c r="Q5081" s="6" t="s">
        <v>31602</v>
      </c>
      <c r="R5081" s="6" t="s">
        <v>1018</v>
      </c>
      <c r="S5081" s="8" t="s">
        <v>31603</v>
      </c>
      <c r="T5081" s="6" t="s">
        <v>1019</v>
      </c>
      <c r="U5081" s="8" t="s">
        <v>31</v>
      </c>
      <c r="V5081" s="6" t="s">
        <v>3930</v>
      </c>
      <c r="W5081" s="6" t="s">
        <v>31604</v>
      </c>
      <c r="X5081" s="9" t="str">
        <f>HYPERLINK("https://my.pitchbook.com?p=38290-69P","View People Online")</f>
        <v>View People Online</v>
      </c>
    </row>
    <row r="5082">
      <c r="A5082" s="2" t="s">
        <v>31605</v>
      </c>
      <c r="B5082" s="2" t="s">
        <v>31606</v>
      </c>
      <c r="C5082" s="2" t="s">
        <v>3875</v>
      </c>
      <c r="D5082" s="2" t="s">
        <v>5608</v>
      </c>
      <c r="E5082" s="2" t="s">
        <v>31450</v>
      </c>
      <c r="F5082" s="2" t="s">
        <v>548</v>
      </c>
      <c r="G5082" s="2" t="s">
        <v>31607</v>
      </c>
      <c r="H5082" s="3" t="s">
        <v>31</v>
      </c>
      <c r="I5082" s="3">
        <v>1.0</v>
      </c>
      <c r="J5082" s="3">
        <v>1.0</v>
      </c>
      <c r="K5082" s="3" t="s">
        <v>31</v>
      </c>
      <c r="L5082" s="4" t="s">
        <v>31</v>
      </c>
      <c r="M5082" s="2" t="s">
        <v>31608</v>
      </c>
      <c r="N5082" s="2" t="s">
        <v>1348</v>
      </c>
      <c r="O5082" s="4" t="s">
        <v>1349</v>
      </c>
      <c r="P5082" s="2" t="s">
        <v>31453</v>
      </c>
      <c r="Q5082" s="2" t="s">
        <v>31454</v>
      </c>
      <c r="R5082" s="2" t="s">
        <v>1018</v>
      </c>
      <c r="S5082" s="4" t="s">
        <v>31455</v>
      </c>
      <c r="T5082" s="2" t="s">
        <v>1019</v>
      </c>
      <c r="U5082" s="4" t="s">
        <v>31</v>
      </c>
      <c r="V5082" s="2" t="s">
        <v>31609</v>
      </c>
      <c r="W5082" s="2" t="s">
        <v>31450</v>
      </c>
      <c r="X5082" s="5" t="str">
        <f>HYPERLINK("https://my.pitchbook.com?p=183757-33P","View People Online")</f>
        <v>View People Online</v>
      </c>
    </row>
    <row r="5083">
      <c r="A5083" s="14" t="s">
        <v>31610</v>
      </c>
      <c r="B5083" s="14" t="s">
        <v>31611</v>
      </c>
      <c r="C5083" s="14" t="s">
        <v>395</v>
      </c>
      <c r="D5083" s="14" t="s">
        <v>31612</v>
      </c>
      <c r="E5083" s="14" t="s">
        <v>31450</v>
      </c>
      <c r="F5083" s="14" t="s">
        <v>31613</v>
      </c>
      <c r="G5083" s="14" t="s">
        <v>31614</v>
      </c>
      <c r="H5083" s="15" t="s">
        <v>31</v>
      </c>
      <c r="I5083" s="15">
        <v>7.0</v>
      </c>
      <c r="J5083" s="15">
        <v>2.0</v>
      </c>
      <c r="K5083" s="15">
        <v>4.0</v>
      </c>
      <c r="L5083" s="16" t="s">
        <v>31615</v>
      </c>
      <c r="M5083" s="14" t="s">
        <v>31616</v>
      </c>
      <c r="N5083" s="14" t="s">
        <v>155</v>
      </c>
      <c r="O5083" s="16" t="s">
        <v>156</v>
      </c>
      <c r="P5083" s="14" t="s">
        <v>2402</v>
      </c>
      <c r="Q5083" s="14" t="s">
        <v>2403</v>
      </c>
      <c r="R5083" s="14" t="s">
        <v>64</v>
      </c>
      <c r="S5083" s="16" t="s">
        <v>1339</v>
      </c>
      <c r="T5083" s="14" t="s">
        <v>66</v>
      </c>
      <c r="U5083" s="16" t="s">
        <v>31</v>
      </c>
      <c r="V5083" s="14" t="s">
        <v>31617</v>
      </c>
      <c r="W5083" s="14" t="s">
        <v>31618</v>
      </c>
      <c r="X5083" s="17" t="str">
        <f>HYPERLINK("https://my.pitchbook.com?p=207490-69P","View People Online")</f>
        <v>View People Online</v>
      </c>
    </row>
    <row r="5084">
      <c r="A5084" s="10" t="s">
        <v>31619</v>
      </c>
      <c r="B5084" s="10" t="s">
        <v>31620</v>
      </c>
      <c r="C5084" s="10" t="s">
        <v>395</v>
      </c>
      <c r="D5084" s="10" t="s">
        <v>31621</v>
      </c>
      <c r="E5084" s="10" t="s">
        <v>31450</v>
      </c>
      <c r="F5084" s="10" t="s">
        <v>270</v>
      </c>
      <c r="G5084" s="10" t="s">
        <v>31622</v>
      </c>
      <c r="H5084" s="11" t="s">
        <v>31</v>
      </c>
      <c r="I5084" s="11">
        <v>2.0</v>
      </c>
      <c r="J5084" s="11">
        <v>1.0</v>
      </c>
      <c r="K5084" s="11" t="s">
        <v>31</v>
      </c>
      <c r="L5084" s="12" t="s">
        <v>31623</v>
      </c>
      <c r="M5084" s="10" t="s">
        <v>31624</v>
      </c>
      <c r="N5084" s="10" t="s">
        <v>1348</v>
      </c>
      <c r="O5084" s="12" t="s">
        <v>1349</v>
      </c>
      <c r="P5084" s="10" t="s">
        <v>31453</v>
      </c>
      <c r="Q5084" s="10" t="s">
        <v>31454</v>
      </c>
      <c r="R5084" s="10" t="s">
        <v>1018</v>
      </c>
      <c r="S5084" s="12" t="s">
        <v>31455</v>
      </c>
      <c r="T5084" s="10" t="s">
        <v>1019</v>
      </c>
      <c r="U5084" s="12" t="s">
        <v>31</v>
      </c>
      <c r="V5084" s="10" t="s">
        <v>27009</v>
      </c>
      <c r="W5084" s="10" t="s">
        <v>31450</v>
      </c>
      <c r="X5084" s="13" t="str">
        <f>HYPERLINK("https://my.pitchbook.com?p=112863-70P","View People Online")</f>
        <v>View People Online</v>
      </c>
    </row>
    <row r="5085">
      <c r="A5085" s="14" t="s">
        <v>31625</v>
      </c>
      <c r="B5085" s="14" t="s">
        <v>31626</v>
      </c>
      <c r="C5085" s="14" t="s">
        <v>7366</v>
      </c>
      <c r="D5085" s="14" t="s">
        <v>31627</v>
      </c>
      <c r="E5085" s="14" t="s">
        <v>31450</v>
      </c>
      <c r="F5085" s="14" t="s">
        <v>470</v>
      </c>
      <c r="G5085" s="14" t="s">
        <v>31628</v>
      </c>
      <c r="H5085" s="15" t="s">
        <v>31</v>
      </c>
      <c r="I5085" s="15">
        <v>2.0</v>
      </c>
      <c r="J5085" s="15">
        <v>1.0</v>
      </c>
      <c r="K5085" s="15">
        <v>1.0</v>
      </c>
      <c r="L5085" s="16" t="s">
        <v>31</v>
      </c>
      <c r="M5085" s="14" t="s">
        <v>31629</v>
      </c>
      <c r="N5085" s="14" t="s">
        <v>1348</v>
      </c>
      <c r="O5085" s="16" t="s">
        <v>1349</v>
      </c>
      <c r="P5085" s="14" t="s">
        <v>31453</v>
      </c>
      <c r="Q5085" s="14" t="s">
        <v>31454</v>
      </c>
      <c r="R5085" s="14" t="s">
        <v>1018</v>
      </c>
      <c r="S5085" s="16" t="s">
        <v>31455</v>
      </c>
      <c r="T5085" s="14" t="s">
        <v>1019</v>
      </c>
      <c r="U5085" s="16" t="s">
        <v>31</v>
      </c>
      <c r="V5085" s="14" t="s">
        <v>470</v>
      </c>
      <c r="W5085" s="14" t="s">
        <v>31450</v>
      </c>
      <c r="X5085" s="17" t="str">
        <f>HYPERLINK("https://my.pitchbook.com?p=387371-80P","View People Online")</f>
        <v>View People Online</v>
      </c>
    </row>
    <row r="5086">
      <c r="A5086" s="2" t="s">
        <v>31630</v>
      </c>
      <c r="B5086" s="2" t="s">
        <v>31631</v>
      </c>
      <c r="C5086" s="2" t="s">
        <v>31632</v>
      </c>
      <c r="D5086" s="2" t="s">
        <v>31633</v>
      </c>
      <c r="E5086" s="2" t="s">
        <v>31634</v>
      </c>
      <c r="F5086" s="2" t="s">
        <v>548</v>
      </c>
      <c r="G5086" s="2" t="s">
        <v>31635</v>
      </c>
      <c r="H5086" s="3" t="s">
        <v>31</v>
      </c>
      <c r="I5086" s="3">
        <v>1.0</v>
      </c>
      <c r="J5086" s="3">
        <v>1.0</v>
      </c>
      <c r="K5086" s="3" t="s">
        <v>31</v>
      </c>
      <c r="L5086" s="4" t="s">
        <v>31636</v>
      </c>
      <c r="M5086" s="2" t="s">
        <v>31</v>
      </c>
      <c r="N5086" s="2" t="s">
        <v>3190</v>
      </c>
      <c r="O5086" s="4" t="s">
        <v>3191</v>
      </c>
      <c r="P5086" s="2" t="s">
        <v>31637</v>
      </c>
      <c r="Q5086" s="2" t="s">
        <v>31638</v>
      </c>
      <c r="R5086" s="2" t="s">
        <v>31</v>
      </c>
      <c r="S5086" s="4" t="s">
        <v>31639</v>
      </c>
      <c r="T5086" s="2" t="s">
        <v>3194</v>
      </c>
      <c r="U5086" s="4" t="s">
        <v>31640</v>
      </c>
      <c r="V5086" s="2" t="s">
        <v>31641</v>
      </c>
      <c r="W5086" s="2" t="s">
        <v>31634</v>
      </c>
      <c r="X5086" s="5" t="str">
        <f>HYPERLINK("https://my.pitchbook.com?p=389440-90P","View People Online")</f>
        <v>View People Online</v>
      </c>
    </row>
    <row r="5087">
      <c r="A5087" s="14" t="s">
        <v>31642</v>
      </c>
      <c r="B5087" s="14" t="s">
        <v>31643</v>
      </c>
      <c r="C5087" s="14" t="s">
        <v>13523</v>
      </c>
      <c r="D5087" s="14" t="s">
        <v>31644</v>
      </c>
      <c r="E5087" s="14" t="s">
        <v>31634</v>
      </c>
      <c r="F5087" s="14" t="s">
        <v>1249</v>
      </c>
      <c r="G5087" s="14" t="s">
        <v>31645</v>
      </c>
      <c r="H5087" s="15">
        <v>3.0</v>
      </c>
      <c r="I5087" s="15">
        <v>15.0</v>
      </c>
      <c r="J5087" s="15">
        <v>2.0</v>
      </c>
      <c r="K5087" s="15">
        <v>11.0</v>
      </c>
      <c r="L5087" s="16" t="s">
        <v>31636</v>
      </c>
      <c r="M5087" s="14" t="s">
        <v>31646</v>
      </c>
      <c r="N5087" s="14" t="s">
        <v>3190</v>
      </c>
      <c r="O5087" s="16" t="s">
        <v>3191</v>
      </c>
      <c r="P5087" s="14" t="s">
        <v>31637</v>
      </c>
      <c r="Q5087" s="14" t="s">
        <v>31638</v>
      </c>
      <c r="R5087" s="14" t="s">
        <v>31</v>
      </c>
      <c r="S5087" s="16" t="s">
        <v>31639</v>
      </c>
      <c r="T5087" s="14" t="s">
        <v>3194</v>
      </c>
      <c r="U5087" s="16" t="s">
        <v>31640</v>
      </c>
      <c r="V5087" s="14" t="s">
        <v>23948</v>
      </c>
      <c r="W5087" s="14" t="s">
        <v>31634</v>
      </c>
      <c r="X5087" s="17" t="str">
        <f>HYPERLINK("https://my.pitchbook.com?p=52062-31P","View People Online")</f>
        <v>View People Online</v>
      </c>
    </row>
    <row r="5088">
      <c r="A5088" s="10" t="s">
        <v>31647</v>
      </c>
      <c r="B5088" s="10" t="s">
        <v>31648</v>
      </c>
      <c r="C5088" s="10" t="s">
        <v>10008</v>
      </c>
      <c r="D5088" s="10" t="s">
        <v>31649</v>
      </c>
      <c r="E5088" s="10" t="s">
        <v>31634</v>
      </c>
      <c r="F5088" s="10" t="s">
        <v>3740</v>
      </c>
      <c r="G5088" s="10" t="s">
        <v>31650</v>
      </c>
      <c r="H5088" s="11" t="s">
        <v>31</v>
      </c>
      <c r="I5088" s="11">
        <v>1.0</v>
      </c>
      <c r="J5088" s="11">
        <v>1.0</v>
      </c>
      <c r="K5088" s="11" t="s">
        <v>31</v>
      </c>
      <c r="L5088" s="12" t="s">
        <v>31636</v>
      </c>
      <c r="M5088" s="10" t="s">
        <v>31</v>
      </c>
      <c r="N5088" s="10" t="s">
        <v>3190</v>
      </c>
      <c r="O5088" s="12" t="s">
        <v>3191</v>
      </c>
      <c r="P5088" s="10" t="s">
        <v>31637</v>
      </c>
      <c r="Q5088" s="10" t="s">
        <v>31638</v>
      </c>
      <c r="R5088" s="10" t="s">
        <v>31</v>
      </c>
      <c r="S5088" s="12" t="s">
        <v>31639</v>
      </c>
      <c r="T5088" s="10" t="s">
        <v>3194</v>
      </c>
      <c r="U5088" s="12" t="s">
        <v>31640</v>
      </c>
      <c r="V5088" s="10" t="s">
        <v>31651</v>
      </c>
      <c r="W5088" s="10" t="s">
        <v>31634</v>
      </c>
      <c r="X5088" s="13" t="str">
        <f>HYPERLINK("https://my.pitchbook.com?p=392688-55P","View People Online")</f>
        <v>View People Online</v>
      </c>
    </row>
    <row r="5089">
      <c r="A5089" s="6" t="s">
        <v>31652</v>
      </c>
      <c r="B5089" s="6" t="s">
        <v>31653</v>
      </c>
      <c r="C5089" s="6" t="s">
        <v>31654</v>
      </c>
      <c r="D5089" s="6" t="s">
        <v>31655</v>
      </c>
      <c r="E5089" s="6" t="s">
        <v>31634</v>
      </c>
      <c r="F5089" s="6" t="s">
        <v>10522</v>
      </c>
      <c r="G5089" s="6" t="s">
        <v>31656</v>
      </c>
      <c r="H5089" s="7">
        <v>1.0</v>
      </c>
      <c r="I5089" s="7">
        <v>4.0</v>
      </c>
      <c r="J5089" s="7">
        <v>1.0</v>
      </c>
      <c r="K5089" s="7">
        <v>2.0</v>
      </c>
      <c r="L5089" s="8" t="s">
        <v>31636</v>
      </c>
      <c r="M5089" s="6" t="s">
        <v>31</v>
      </c>
      <c r="N5089" s="6" t="s">
        <v>3190</v>
      </c>
      <c r="O5089" s="8" t="s">
        <v>3191</v>
      </c>
      <c r="P5089" s="6" t="s">
        <v>31637</v>
      </c>
      <c r="Q5089" s="6" t="s">
        <v>31638</v>
      </c>
      <c r="R5089" s="6" t="s">
        <v>31</v>
      </c>
      <c r="S5089" s="8" t="s">
        <v>31639</v>
      </c>
      <c r="T5089" s="6" t="s">
        <v>3194</v>
      </c>
      <c r="U5089" s="8" t="s">
        <v>31640</v>
      </c>
      <c r="V5089" s="6" t="s">
        <v>31657</v>
      </c>
      <c r="W5089" s="6" t="s">
        <v>31634</v>
      </c>
      <c r="X5089" s="9" t="str">
        <f>HYPERLINK("https://my.pitchbook.com?p=63010-99P","View People Online")</f>
        <v>View People Online</v>
      </c>
    </row>
    <row r="5090">
      <c r="A5090" s="2" t="s">
        <v>31658</v>
      </c>
      <c r="B5090" s="2" t="s">
        <v>31659</v>
      </c>
      <c r="C5090" s="2" t="s">
        <v>31660</v>
      </c>
      <c r="D5090" s="2" t="s">
        <v>31661</v>
      </c>
      <c r="E5090" s="2" t="s">
        <v>31634</v>
      </c>
      <c r="F5090" s="2" t="s">
        <v>583</v>
      </c>
      <c r="G5090" s="2" t="s">
        <v>31662</v>
      </c>
      <c r="H5090" s="3" t="s">
        <v>31</v>
      </c>
      <c r="I5090" s="3">
        <v>2.0</v>
      </c>
      <c r="J5090" s="3">
        <v>1.0</v>
      </c>
      <c r="K5090" s="3">
        <v>1.0</v>
      </c>
      <c r="L5090" s="4" t="s">
        <v>31636</v>
      </c>
      <c r="M5090" s="2" t="s">
        <v>31</v>
      </c>
      <c r="N5090" s="2" t="s">
        <v>3190</v>
      </c>
      <c r="O5090" s="4" t="s">
        <v>3191</v>
      </c>
      <c r="P5090" s="2" t="s">
        <v>31637</v>
      </c>
      <c r="Q5090" s="2" t="s">
        <v>31638</v>
      </c>
      <c r="R5090" s="2" t="s">
        <v>31</v>
      </c>
      <c r="S5090" s="4" t="s">
        <v>31639</v>
      </c>
      <c r="T5090" s="2" t="s">
        <v>3194</v>
      </c>
      <c r="U5090" s="4" t="s">
        <v>31640</v>
      </c>
      <c r="V5090" s="2" t="s">
        <v>31663</v>
      </c>
      <c r="W5090" s="2" t="s">
        <v>31634</v>
      </c>
      <c r="X5090" s="5" t="str">
        <f>HYPERLINK("https://my.pitchbook.com?p=391813-84P","View People Online")</f>
        <v>View People Online</v>
      </c>
    </row>
    <row r="5091">
      <c r="A5091" s="14" t="s">
        <v>31664</v>
      </c>
      <c r="B5091" s="14" t="s">
        <v>31665</v>
      </c>
      <c r="C5091" s="14" t="s">
        <v>31666</v>
      </c>
      <c r="D5091" s="14" t="s">
        <v>31667</v>
      </c>
      <c r="E5091" s="14" t="s">
        <v>31634</v>
      </c>
      <c r="F5091" s="14" t="s">
        <v>825</v>
      </c>
      <c r="G5091" s="14" t="s">
        <v>31668</v>
      </c>
      <c r="H5091" s="15" t="s">
        <v>31</v>
      </c>
      <c r="I5091" s="15">
        <v>1.0</v>
      </c>
      <c r="J5091" s="15">
        <v>1.0</v>
      </c>
      <c r="K5091" s="15" t="s">
        <v>31</v>
      </c>
      <c r="L5091" s="16" t="s">
        <v>31636</v>
      </c>
      <c r="M5091" s="14" t="s">
        <v>31669</v>
      </c>
      <c r="N5091" s="14" t="s">
        <v>3190</v>
      </c>
      <c r="O5091" s="16" t="s">
        <v>3191</v>
      </c>
      <c r="P5091" s="14" t="s">
        <v>31637</v>
      </c>
      <c r="Q5091" s="14" t="s">
        <v>31638</v>
      </c>
      <c r="R5091" s="14" t="s">
        <v>31</v>
      </c>
      <c r="S5091" s="16" t="s">
        <v>31639</v>
      </c>
      <c r="T5091" s="14" t="s">
        <v>3194</v>
      </c>
      <c r="U5091" s="16" t="s">
        <v>31640</v>
      </c>
      <c r="V5091" s="14" t="s">
        <v>31670</v>
      </c>
      <c r="W5091" s="14" t="s">
        <v>31634</v>
      </c>
      <c r="X5091" s="17" t="str">
        <f>HYPERLINK("https://my.pitchbook.com?p=316548-10P","View People Online")</f>
        <v>View People Online</v>
      </c>
    </row>
    <row r="5092">
      <c r="A5092" s="2" t="s">
        <v>31671</v>
      </c>
      <c r="B5092" s="2" t="s">
        <v>31672</v>
      </c>
      <c r="C5092" s="2" t="s">
        <v>6414</v>
      </c>
      <c r="D5092" s="2" t="s">
        <v>31673</v>
      </c>
      <c r="E5092" s="2" t="s">
        <v>31634</v>
      </c>
      <c r="F5092" s="2" t="s">
        <v>1249</v>
      </c>
      <c r="G5092" s="2" t="s">
        <v>31674</v>
      </c>
      <c r="H5092" s="3">
        <v>1.0</v>
      </c>
      <c r="I5092" s="3">
        <v>1.0</v>
      </c>
      <c r="J5092" s="3">
        <v>1.0</v>
      </c>
      <c r="K5092" s="3" t="s">
        <v>31</v>
      </c>
      <c r="L5092" s="4" t="s">
        <v>31636</v>
      </c>
      <c r="M5092" s="2" t="s">
        <v>31675</v>
      </c>
      <c r="N5092" s="2" t="s">
        <v>3190</v>
      </c>
      <c r="O5092" s="4" t="s">
        <v>3191</v>
      </c>
      <c r="P5092" s="2" t="s">
        <v>31637</v>
      </c>
      <c r="Q5092" s="2" t="s">
        <v>31638</v>
      </c>
      <c r="R5092" s="2" t="s">
        <v>31</v>
      </c>
      <c r="S5092" s="4" t="s">
        <v>31639</v>
      </c>
      <c r="T5092" s="2" t="s">
        <v>3194</v>
      </c>
      <c r="U5092" s="4" t="s">
        <v>31640</v>
      </c>
      <c r="V5092" s="2" t="s">
        <v>1252</v>
      </c>
      <c r="W5092" s="2" t="s">
        <v>31634</v>
      </c>
      <c r="X5092" s="5" t="str">
        <f>HYPERLINK("https://my.pitchbook.com?p=242267-95P","View People Online")</f>
        <v>View People Online</v>
      </c>
    </row>
    <row r="5093">
      <c r="A5093" s="6" t="s">
        <v>31676</v>
      </c>
      <c r="B5093" s="6" t="s">
        <v>31677</v>
      </c>
      <c r="C5093" s="6" t="s">
        <v>3058</v>
      </c>
      <c r="D5093" s="6" t="s">
        <v>31678</v>
      </c>
      <c r="E5093" s="6" t="s">
        <v>31634</v>
      </c>
      <c r="F5093" s="6" t="s">
        <v>270</v>
      </c>
      <c r="G5093" s="6" t="s">
        <v>31679</v>
      </c>
      <c r="H5093" s="7" t="s">
        <v>31</v>
      </c>
      <c r="I5093" s="7">
        <v>1.0</v>
      </c>
      <c r="J5093" s="7">
        <v>1.0</v>
      </c>
      <c r="K5093" s="7" t="s">
        <v>31</v>
      </c>
      <c r="L5093" s="8" t="s">
        <v>31636</v>
      </c>
      <c r="M5093" s="6" t="s">
        <v>31680</v>
      </c>
      <c r="N5093" s="6" t="s">
        <v>3190</v>
      </c>
      <c r="O5093" s="8" t="s">
        <v>3191</v>
      </c>
      <c r="P5093" s="6" t="s">
        <v>31637</v>
      </c>
      <c r="Q5093" s="6" t="s">
        <v>31638</v>
      </c>
      <c r="R5093" s="6" t="s">
        <v>31</v>
      </c>
      <c r="S5093" s="8" t="s">
        <v>31639</v>
      </c>
      <c r="T5093" s="6" t="s">
        <v>3194</v>
      </c>
      <c r="U5093" s="8" t="s">
        <v>31640</v>
      </c>
      <c r="V5093" s="6" t="s">
        <v>31681</v>
      </c>
      <c r="W5093" s="6" t="s">
        <v>31634</v>
      </c>
      <c r="X5093" s="9" t="str">
        <f>HYPERLINK("https://my.pitchbook.com?p=215121-79P","View People Online")</f>
        <v>View People Online</v>
      </c>
    </row>
    <row r="5094">
      <c r="A5094" s="2" t="s">
        <v>31682</v>
      </c>
      <c r="B5094" s="2" t="s">
        <v>31683</v>
      </c>
      <c r="C5094" s="2" t="s">
        <v>6010</v>
      </c>
      <c r="D5094" s="2" t="s">
        <v>18762</v>
      </c>
      <c r="E5094" s="2" t="s">
        <v>31634</v>
      </c>
      <c r="F5094" s="2" t="s">
        <v>13096</v>
      </c>
      <c r="G5094" s="2" t="s">
        <v>31684</v>
      </c>
      <c r="H5094" s="3" t="s">
        <v>31</v>
      </c>
      <c r="I5094" s="3">
        <v>1.0</v>
      </c>
      <c r="J5094" s="3">
        <v>1.0</v>
      </c>
      <c r="K5094" s="3" t="s">
        <v>31</v>
      </c>
      <c r="L5094" s="4" t="s">
        <v>31636</v>
      </c>
      <c r="M5094" s="2" t="s">
        <v>31685</v>
      </c>
      <c r="N5094" s="2" t="s">
        <v>3190</v>
      </c>
      <c r="O5094" s="4" t="s">
        <v>3191</v>
      </c>
      <c r="P5094" s="2" t="s">
        <v>31637</v>
      </c>
      <c r="Q5094" s="2" t="s">
        <v>31638</v>
      </c>
      <c r="R5094" s="2" t="s">
        <v>31</v>
      </c>
      <c r="S5094" s="4" t="s">
        <v>31639</v>
      </c>
      <c r="T5094" s="2" t="s">
        <v>3194</v>
      </c>
      <c r="U5094" s="4" t="s">
        <v>31640</v>
      </c>
      <c r="V5094" s="2" t="s">
        <v>13096</v>
      </c>
      <c r="W5094" s="2" t="s">
        <v>31634</v>
      </c>
      <c r="X5094" s="5" t="str">
        <f>HYPERLINK("https://my.pitchbook.com?p=416656-00P","View People Online")</f>
        <v>View People Online</v>
      </c>
    </row>
    <row r="5095">
      <c r="A5095" s="14" t="s">
        <v>31686</v>
      </c>
      <c r="B5095" s="14" t="s">
        <v>31687</v>
      </c>
      <c r="C5095" s="14" t="s">
        <v>18807</v>
      </c>
      <c r="D5095" s="14" t="s">
        <v>31688</v>
      </c>
      <c r="E5095" s="14" t="s">
        <v>31634</v>
      </c>
      <c r="F5095" s="14" t="s">
        <v>270</v>
      </c>
      <c r="G5095" s="14" t="s">
        <v>31689</v>
      </c>
      <c r="H5095" s="15" t="s">
        <v>31</v>
      </c>
      <c r="I5095" s="15">
        <v>1.0</v>
      </c>
      <c r="J5095" s="15">
        <v>1.0</v>
      </c>
      <c r="K5095" s="15" t="s">
        <v>31</v>
      </c>
      <c r="L5095" s="16" t="s">
        <v>31636</v>
      </c>
      <c r="M5095" s="14" t="s">
        <v>31690</v>
      </c>
      <c r="N5095" s="14" t="s">
        <v>3190</v>
      </c>
      <c r="O5095" s="16" t="s">
        <v>3191</v>
      </c>
      <c r="P5095" s="14" t="s">
        <v>31637</v>
      </c>
      <c r="Q5095" s="14" t="s">
        <v>31638</v>
      </c>
      <c r="R5095" s="14" t="s">
        <v>31</v>
      </c>
      <c r="S5095" s="16" t="s">
        <v>31639</v>
      </c>
      <c r="T5095" s="14" t="s">
        <v>3194</v>
      </c>
      <c r="U5095" s="16" t="s">
        <v>31640</v>
      </c>
      <c r="V5095" s="14" t="s">
        <v>29094</v>
      </c>
      <c r="W5095" s="14" t="s">
        <v>31634</v>
      </c>
      <c r="X5095" s="17" t="str">
        <f>HYPERLINK("https://my.pitchbook.com?p=410693-95P","View People Online")</f>
        <v>View People Online</v>
      </c>
    </row>
    <row r="5096">
      <c r="A5096" s="2" t="s">
        <v>31691</v>
      </c>
      <c r="B5096" s="2" t="s">
        <v>31692</v>
      </c>
      <c r="C5096" s="2" t="s">
        <v>29017</v>
      </c>
      <c r="D5096" s="2" t="s">
        <v>31693</v>
      </c>
      <c r="E5096" s="2" t="s">
        <v>31634</v>
      </c>
      <c r="F5096" s="2" t="s">
        <v>1801</v>
      </c>
      <c r="G5096" s="2" t="s">
        <v>31694</v>
      </c>
      <c r="H5096" s="3" t="s">
        <v>31</v>
      </c>
      <c r="I5096" s="3">
        <v>1.0</v>
      </c>
      <c r="J5096" s="3">
        <v>1.0</v>
      </c>
      <c r="K5096" s="3" t="s">
        <v>31</v>
      </c>
      <c r="L5096" s="4" t="s">
        <v>31636</v>
      </c>
      <c r="M5096" s="2" t="s">
        <v>31695</v>
      </c>
      <c r="N5096" s="2" t="s">
        <v>3190</v>
      </c>
      <c r="O5096" s="4" t="s">
        <v>3191</v>
      </c>
      <c r="P5096" s="2" t="s">
        <v>31637</v>
      </c>
      <c r="Q5096" s="2" t="s">
        <v>31638</v>
      </c>
      <c r="R5096" s="2" t="s">
        <v>31</v>
      </c>
      <c r="S5096" s="4" t="s">
        <v>31639</v>
      </c>
      <c r="T5096" s="2" t="s">
        <v>3194</v>
      </c>
      <c r="U5096" s="4" t="s">
        <v>31640</v>
      </c>
      <c r="V5096" s="2" t="s">
        <v>31696</v>
      </c>
      <c r="W5096" s="2" t="s">
        <v>31634</v>
      </c>
      <c r="X5096" s="5" t="str">
        <f>HYPERLINK("https://my.pitchbook.com?p=316549-81P","View People Online")</f>
        <v>View People Online</v>
      </c>
    </row>
    <row r="5097">
      <c r="A5097" s="6" t="s">
        <v>31697</v>
      </c>
      <c r="B5097" s="6" t="s">
        <v>31698</v>
      </c>
      <c r="C5097" s="6" t="s">
        <v>6966</v>
      </c>
      <c r="D5097" s="6" t="s">
        <v>3611</v>
      </c>
      <c r="E5097" s="6" t="s">
        <v>31634</v>
      </c>
      <c r="F5097" s="6" t="s">
        <v>270</v>
      </c>
      <c r="G5097" s="6" t="s">
        <v>31699</v>
      </c>
      <c r="H5097" s="7" t="s">
        <v>31</v>
      </c>
      <c r="I5097" s="7">
        <v>1.0</v>
      </c>
      <c r="J5097" s="7">
        <v>1.0</v>
      </c>
      <c r="K5097" s="7" t="s">
        <v>31</v>
      </c>
      <c r="L5097" s="8" t="s">
        <v>31636</v>
      </c>
      <c r="M5097" s="6" t="s">
        <v>31</v>
      </c>
      <c r="N5097" s="6" t="s">
        <v>3190</v>
      </c>
      <c r="O5097" s="8" t="s">
        <v>3191</v>
      </c>
      <c r="P5097" s="6" t="s">
        <v>31637</v>
      </c>
      <c r="Q5097" s="6" t="s">
        <v>31638</v>
      </c>
      <c r="R5097" s="6" t="s">
        <v>31</v>
      </c>
      <c r="S5097" s="8" t="s">
        <v>31639</v>
      </c>
      <c r="T5097" s="6" t="s">
        <v>3194</v>
      </c>
      <c r="U5097" s="8" t="s">
        <v>31640</v>
      </c>
      <c r="V5097" s="6" t="s">
        <v>31700</v>
      </c>
      <c r="W5097" s="6" t="s">
        <v>31634</v>
      </c>
      <c r="X5097" s="9" t="str">
        <f>HYPERLINK("https://my.pitchbook.com?p=158614-93P","View People Online")</f>
        <v>View People Online</v>
      </c>
    </row>
    <row r="5098">
      <c r="A5098" s="10" t="s">
        <v>31701</v>
      </c>
      <c r="B5098" s="10" t="s">
        <v>31702</v>
      </c>
      <c r="C5098" s="10" t="s">
        <v>7089</v>
      </c>
      <c r="D5098" s="10" t="s">
        <v>31703</v>
      </c>
      <c r="E5098" s="10" t="s">
        <v>31634</v>
      </c>
      <c r="F5098" s="10" t="s">
        <v>502</v>
      </c>
      <c r="G5098" s="10" t="s">
        <v>31704</v>
      </c>
      <c r="H5098" s="11" t="s">
        <v>31</v>
      </c>
      <c r="I5098" s="11">
        <v>1.0</v>
      </c>
      <c r="J5098" s="11">
        <v>1.0</v>
      </c>
      <c r="K5098" s="11" t="s">
        <v>31</v>
      </c>
      <c r="L5098" s="12" t="s">
        <v>31636</v>
      </c>
      <c r="M5098" s="10" t="s">
        <v>31705</v>
      </c>
      <c r="N5098" s="10" t="s">
        <v>3190</v>
      </c>
      <c r="O5098" s="12" t="s">
        <v>3191</v>
      </c>
      <c r="P5098" s="10" t="s">
        <v>31637</v>
      </c>
      <c r="Q5098" s="10" t="s">
        <v>31638</v>
      </c>
      <c r="R5098" s="10" t="s">
        <v>31</v>
      </c>
      <c r="S5098" s="12" t="s">
        <v>31639</v>
      </c>
      <c r="T5098" s="10" t="s">
        <v>3194</v>
      </c>
      <c r="U5098" s="12" t="s">
        <v>31640</v>
      </c>
      <c r="V5098" s="10" t="s">
        <v>502</v>
      </c>
      <c r="W5098" s="10" t="s">
        <v>31634</v>
      </c>
      <c r="X5098" s="13" t="str">
        <f>HYPERLINK("https://my.pitchbook.com?p=443437-93P","View People Online")</f>
        <v>View People Online</v>
      </c>
    </row>
    <row r="5099">
      <c r="A5099" s="6" t="s">
        <v>31706</v>
      </c>
      <c r="B5099" s="6" t="s">
        <v>31707</v>
      </c>
      <c r="C5099" s="6" t="s">
        <v>5185</v>
      </c>
      <c r="D5099" s="6" t="s">
        <v>20057</v>
      </c>
      <c r="E5099" s="6" t="s">
        <v>31634</v>
      </c>
      <c r="F5099" s="6" t="s">
        <v>2835</v>
      </c>
      <c r="G5099" s="6" t="s">
        <v>31708</v>
      </c>
      <c r="H5099" s="7" t="s">
        <v>31</v>
      </c>
      <c r="I5099" s="7">
        <v>1.0</v>
      </c>
      <c r="J5099" s="7">
        <v>1.0</v>
      </c>
      <c r="K5099" s="7" t="s">
        <v>31</v>
      </c>
      <c r="L5099" s="8" t="s">
        <v>31636</v>
      </c>
      <c r="M5099" s="6" t="s">
        <v>31709</v>
      </c>
      <c r="N5099" s="6" t="s">
        <v>3190</v>
      </c>
      <c r="O5099" s="8" t="s">
        <v>3191</v>
      </c>
      <c r="P5099" s="6" t="s">
        <v>31637</v>
      </c>
      <c r="Q5099" s="6" t="s">
        <v>31638</v>
      </c>
      <c r="R5099" s="6" t="s">
        <v>31</v>
      </c>
      <c r="S5099" s="8" t="s">
        <v>31639</v>
      </c>
      <c r="T5099" s="6" t="s">
        <v>3194</v>
      </c>
      <c r="U5099" s="8" t="s">
        <v>31640</v>
      </c>
      <c r="V5099" s="6" t="s">
        <v>3689</v>
      </c>
      <c r="W5099" s="6" t="s">
        <v>31634</v>
      </c>
      <c r="X5099" s="9" t="str">
        <f>HYPERLINK("https://my.pitchbook.com?p=225709-66P","View People Online")</f>
        <v>View People Online</v>
      </c>
    </row>
    <row r="5100">
      <c r="A5100" s="10" t="s">
        <v>31710</v>
      </c>
      <c r="B5100" s="10" t="s">
        <v>31711</v>
      </c>
      <c r="C5100" s="10" t="s">
        <v>3274</v>
      </c>
      <c r="D5100" s="10" t="s">
        <v>18724</v>
      </c>
      <c r="E5100" s="10" t="s">
        <v>31634</v>
      </c>
      <c r="F5100" s="10" t="s">
        <v>270</v>
      </c>
      <c r="G5100" s="10" t="s">
        <v>31712</v>
      </c>
      <c r="H5100" s="11" t="s">
        <v>31</v>
      </c>
      <c r="I5100" s="11">
        <v>1.0</v>
      </c>
      <c r="J5100" s="11">
        <v>1.0</v>
      </c>
      <c r="K5100" s="11" t="s">
        <v>31</v>
      </c>
      <c r="L5100" s="12" t="s">
        <v>31636</v>
      </c>
      <c r="M5100" s="10" t="s">
        <v>31713</v>
      </c>
      <c r="N5100" s="10" t="s">
        <v>3190</v>
      </c>
      <c r="O5100" s="12" t="s">
        <v>3191</v>
      </c>
      <c r="P5100" s="10" t="s">
        <v>31637</v>
      </c>
      <c r="Q5100" s="10" t="s">
        <v>31638</v>
      </c>
      <c r="R5100" s="10" t="s">
        <v>31</v>
      </c>
      <c r="S5100" s="12" t="s">
        <v>31639</v>
      </c>
      <c r="T5100" s="10" t="s">
        <v>3194</v>
      </c>
      <c r="U5100" s="12" t="s">
        <v>31640</v>
      </c>
      <c r="V5100" s="10" t="s">
        <v>1762</v>
      </c>
      <c r="W5100" s="10" t="s">
        <v>31634</v>
      </c>
      <c r="X5100" s="13" t="str">
        <f>HYPERLINK("https://my.pitchbook.com?p=313653-43P","View People Online")</f>
        <v>View People Online</v>
      </c>
    </row>
    <row r="5101">
      <c r="A5101" s="14" t="s">
        <v>31714</v>
      </c>
      <c r="B5101" s="14" t="s">
        <v>31715</v>
      </c>
      <c r="C5101" s="14" t="s">
        <v>10538</v>
      </c>
      <c r="D5101" s="14" t="s">
        <v>31716</v>
      </c>
      <c r="E5101" s="14" t="s">
        <v>31634</v>
      </c>
      <c r="F5101" s="14" t="s">
        <v>78</v>
      </c>
      <c r="G5101" s="14" t="s">
        <v>31717</v>
      </c>
      <c r="H5101" s="15" t="s">
        <v>31</v>
      </c>
      <c r="I5101" s="15">
        <v>1.0</v>
      </c>
      <c r="J5101" s="15">
        <v>1.0</v>
      </c>
      <c r="K5101" s="15" t="s">
        <v>31</v>
      </c>
      <c r="L5101" s="16" t="s">
        <v>31636</v>
      </c>
      <c r="M5101" s="14" t="s">
        <v>31718</v>
      </c>
      <c r="N5101" s="14" t="s">
        <v>3190</v>
      </c>
      <c r="O5101" s="16" t="s">
        <v>3191</v>
      </c>
      <c r="P5101" s="14" t="s">
        <v>31637</v>
      </c>
      <c r="Q5101" s="14" t="s">
        <v>31638</v>
      </c>
      <c r="R5101" s="14" t="s">
        <v>31</v>
      </c>
      <c r="S5101" s="16" t="s">
        <v>31639</v>
      </c>
      <c r="T5101" s="14" t="s">
        <v>3194</v>
      </c>
      <c r="U5101" s="16" t="s">
        <v>31640</v>
      </c>
      <c r="V5101" s="14" t="s">
        <v>78</v>
      </c>
      <c r="W5101" s="14" t="s">
        <v>31634</v>
      </c>
      <c r="X5101" s="17" t="str">
        <f>HYPERLINK("https://my.pitchbook.com?p=189104-23P","View People Online")</f>
        <v>View People Online</v>
      </c>
    </row>
    <row r="5102">
      <c r="A5102" s="10" t="s">
        <v>31719</v>
      </c>
      <c r="B5102" s="10" t="s">
        <v>31720</v>
      </c>
      <c r="C5102" s="10" t="s">
        <v>31721</v>
      </c>
      <c r="D5102" s="10" t="s">
        <v>408</v>
      </c>
      <c r="E5102" s="10" t="s">
        <v>31634</v>
      </c>
      <c r="F5102" s="10" t="s">
        <v>371</v>
      </c>
      <c r="G5102" s="10" t="s">
        <v>31722</v>
      </c>
      <c r="H5102" s="11" t="s">
        <v>31</v>
      </c>
      <c r="I5102" s="11">
        <v>1.0</v>
      </c>
      <c r="J5102" s="11">
        <v>1.0</v>
      </c>
      <c r="K5102" s="11" t="s">
        <v>31</v>
      </c>
      <c r="L5102" s="12" t="s">
        <v>31636</v>
      </c>
      <c r="M5102" s="10" t="s">
        <v>31723</v>
      </c>
      <c r="N5102" s="10" t="s">
        <v>3190</v>
      </c>
      <c r="O5102" s="12" t="s">
        <v>3191</v>
      </c>
      <c r="P5102" s="10" t="s">
        <v>31637</v>
      </c>
      <c r="Q5102" s="10" t="s">
        <v>31638</v>
      </c>
      <c r="R5102" s="10" t="s">
        <v>31</v>
      </c>
      <c r="S5102" s="12" t="s">
        <v>31639</v>
      </c>
      <c r="T5102" s="10" t="s">
        <v>3194</v>
      </c>
      <c r="U5102" s="12" t="s">
        <v>31640</v>
      </c>
      <c r="V5102" s="10" t="s">
        <v>31724</v>
      </c>
      <c r="W5102" s="10" t="s">
        <v>31634</v>
      </c>
      <c r="X5102" s="13" t="str">
        <f>HYPERLINK("https://my.pitchbook.com?p=389444-14P","View People Online")</f>
        <v>View People Online</v>
      </c>
    </row>
    <row r="5103">
      <c r="A5103" s="14" t="s">
        <v>31725</v>
      </c>
      <c r="B5103" s="14" t="s">
        <v>31726</v>
      </c>
      <c r="C5103" s="14" t="s">
        <v>3716</v>
      </c>
      <c r="D5103" s="14" t="s">
        <v>31727</v>
      </c>
      <c r="E5103" s="14" t="s">
        <v>31634</v>
      </c>
      <c r="F5103" s="14" t="s">
        <v>583</v>
      </c>
      <c r="G5103" s="14" t="s">
        <v>31728</v>
      </c>
      <c r="H5103" s="15" t="s">
        <v>31</v>
      </c>
      <c r="I5103" s="15">
        <v>5.0</v>
      </c>
      <c r="J5103" s="15">
        <v>1.0</v>
      </c>
      <c r="K5103" s="15">
        <v>4.0</v>
      </c>
      <c r="L5103" s="16" t="s">
        <v>31636</v>
      </c>
      <c r="M5103" s="14" t="s">
        <v>31729</v>
      </c>
      <c r="N5103" s="14" t="s">
        <v>3190</v>
      </c>
      <c r="O5103" s="16" t="s">
        <v>3191</v>
      </c>
      <c r="P5103" s="14" t="s">
        <v>31637</v>
      </c>
      <c r="Q5103" s="14" t="s">
        <v>31638</v>
      </c>
      <c r="R5103" s="14" t="s">
        <v>31</v>
      </c>
      <c r="S5103" s="16" t="s">
        <v>31639</v>
      </c>
      <c r="T5103" s="14" t="s">
        <v>3194</v>
      </c>
      <c r="U5103" s="16" t="s">
        <v>31640</v>
      </c>
      <c r="V5103" s="14" t="s">
        <v>31730</v>
      </c>
      <c r="W5103" s="14" t="s">
        <v>31634</v>
      </c>
      <c r="X5103" s="17" t="str">
        <f>HYPERLINK("https://my.pitchbook.com?p=392348-26P","View People Online")</f>
        <v>View People Online</v>
      </c>
    </row>
    <row r="5104">
      <c r="A5104" s="10" t="s">
        <v>31731</v>
      </c>
      <c r="B5104" s="10" t="s">
        <v>31732</v>
      </c>
      <c r="C5104" s="10" t="s">
        <v>31733</v>
      </c>
      <c r="D5104" s="10" t="s">
        <v>31734</v>
      </c>
      <c r="E5104" s="10" t="s">
        <v>31634</v>
      </c>
      <c r="F5104" s="10" t="s">
        <v>7624</v>
      </c>
      <c r="G5104" s="10" t="s">
        <v>31735</v>
      </c>
      <c r="H5104" s="11" t="s">
        <v>31</v>
      </c>
      <c r="I5104" s="11">
        <v>2.0</v>
      </c>
      <c r="J5104" s="11">
        <v>1.0</v>
      </c>
      <c r="K5104" s="11">
        <v>1.0</v>
      </c>
      <c r="L5104" s="12" t="s">
        <v>31636</v>
      </c>
      <c r="M5104" s="10" t="s">
        <v>31</v>
      </c>
      <c r="N5104" s="10" t="s">
        <v>3190</v>
      </c>
      <c r="O5104" s="12" t="s">
        <v>3191</v>
      </c>
      <c r="P5104" s="10" t="s">
        <v>31637</v>
      </c>
      <c r="Q5104" s="10" t="s">
        <v>31638</v>
      </c>
      <c r="R5104" s="10" t="s">
        <v>31</v>
      </c>
      <c r="S5104" s="12" t="s">
        <v>31639</v>
      </c>
      <c r="T5104" s="10" t="s">
        <v>3194</v>
      </c>
      <c r="U5104" s="12" t="s">
        <v>31640</v>
      </c>
      <c r="V5104" s="10" t="s">
        <v>31736</v>
      </c>
      <c r="W5104" s="10" t="s">
        <v>31634</v>
      </c>
      <c r="X5104" s="13" t="str">
        <f>HYPERLINK("https://my.pitchbook.com?p=453418-93P","View People Online")</f>
        <v>View People Online</v>
      </c>
    </row>
    <row r="5105">
      <c r="A5105" s="6" t="s">
        <v>31737</v>
      </c>
      <c r="B5105" s="6" t="s">
        <v>31738</v>
      </c>
      <c r="C5105" s="6" t="s">
        <v>22172</v>
      </c>
      <c r="D5105" s="6" t="s">
        <v>25757</v>
      </c>
      <c r="E5105" s="6" t="s">
        <v>31634</v>
      </c>
      <c r="F5105" s="6" t="s">
        <v>8021</v>
      </c>
      <c r="G5105" s="6" t="s">
        <v>31739</v>
      </c>
      <c r="H5105" s="7" t="s">
        <v>31</v>
      </c>
      <c r="I5105" s="7">
        <v>1.0</v>
      </c>
      <c r="J5105" s="7">
        <v>1.0</v>
      </c>
      <c r="K5105" s="7" t="s">
        <v>31</v>
      </c>
      <c r="L5105" s="8" t="s">
        <v>31636</v>
      </c>
      <c r="M5105" s="6" t="s">
        <v>31740</v>
      </c>
      <c r="N5105" s="6" t="s">
        <v>3190</v>
      </c>
      <c r="O5105" s="8" t="s">
        <v>3191</v>
      </c>
      <c r="P5105" s="6" t="s">
        <v>31637</v>
      </c>
      <c r="Q5105" s="6" t="s">
        <v>31638</v>
      </c>
      <c r="R5105" s="6" t="s">
        <v>31</v>
      </c>
      <c r="S5105" s="8" t="s">
        <v>31639</v>
      </c>
      <c r="T5105" s="6" t="s">
        <v>3194</v>
      </c>
      <c r="U5105" s="8" t="s">
        <v>31640</v>
      </c>
      <c r="V5105" s="6" t="s">
        <v>8021</v>
      </c>
      <c r="W5105" s="6" t="s">
        <v>31634</v>
      </c>
      <c r="X5105" s="9" t="str">
        <f>HYPERLINK("https://my.pitchbook.com?p=187498-99P","View People Online")</f>
        <v>View People Online</v>
      </c>
    </row>
    <row r="5106">
      <c r="A5106" s="2" t="s">
        <v>31741</v>
      </c>
      <c r="B5106" s="2" t="s">
        <v>31742</v>
      </c>
      <c r="C5106" s="2" t="s">
        <v>1830</v>
      </c>
      <c r="D5106" s="2" t="s">
        <v>31743</v>
      </c>
      <c r="E5106" s="2" t="s">
        <v>31634</v>
      </c>
      <c r="F5106" s="2" t="s">
        <v>825</v>
      </c>
      <c r="G5106" s="2" t="s">
        <v>31744</v>
      </c>
      <c r="H5106" s="3" t="s">
        <v>31</v>
      </c>
      <c r="I5106" s="3">
        <v>1.0</v>
      </c>
      <c r="J5106" s="3">
        <v>1.0</v>
      </c>
      <c r="K5106" s="3" t="s">
        <v>31</v>
      </c>
      <c r="L5106" s="4" t="s">
        <v>31745</v>
      </c>
      <c r="M5106" s="2" t="s">
        <v>31746</v>
      </c>
      <c r="N5106" s="2" t="s">
        <v>3190</v>
      </c>
      <c r="O5106" s="4" t="s">
        <v>3191</v>
      </c>
      <c r="P5106" s="2" t="s">
        <v>31637</v>
      </c>
      <c r="Q5106" s="2" t="s">
        <v>31638</v>
      </c>
      <c r="R5106" s="2" t="s">
        <v>31</v>
      </c>
      <c r="S5106" s="4" t="s">
        <v>31639</v>
      </c>
      <c r="T5106" s="2" t="s">
        <v>3194</v>
      </c>
      <c r="U5106" s="4" t="s">
        <v>31640</v>
      </c>
      <c r="V5106" s="2" t="s">
        <v>31747</v>
      </c>
      <c r="W5106" s="2" t="s">
        <v>31634</v>
      </c>
      <c r="X5106" s="5" t="str">
        <f>HYPERLINK("https://my.pitchbook.com?p=224784-37P","View People Online")</f>
        <v>View People Online</v>
      </c>
    </row>
    <row r="5107">
      <c r="A5107" s="6" t="s">
        <v>31748</v>
      </c>
      <c r="B5107" s="6" t="s">
        <v>31749</v>
      </c>
      <c r="C5107" s="6" t="s">
        <v>69</v>
      </c>
      <c r="D5107" s="6" t="s">
        <v>22723</v>
      </c>
      <c r="E5107" s="6" t="s">
        <v>31750</v>
      </c>
      <c r="F5107" s="6" t="s">
        <v>4527</v>
      </c>
      <c r="G5107" s="6" t="s">
        <v>31751</v>
      </c>
      <c r="H5107" s="7">
        <v>1.0</v>
      </c>
      <c r="I5107" s="7">
        <v>4.0</v>
      </c>
      <c r="J5107" s="7">
        <v>1.0</v>
      </c>
      <c r="K5107" s="7">
        <v>2.0</v>
      </c>
      <c r="L5107" s="8" t="s">
        <v>31752</v>
      </c>
      <c r="M5107" s="6" t="s">
        <v>31753</v>
      </c>
      <c r="N5107" s="6" t="s">
        <v>31754</v>
      </c>
      <c r="O5107" s="8" t="s">
        <v>31755</v>
      </c>
      <c r="P5107" s="6" t="s">
        <v>31756</v>
      </c>
      <c r="Q5107" s="6" t="s">
        <v>31757</v>
      </c>
      <c r="R5107" s="6" t="s">
        <v>75</v>
      </c>
      <c r="S5107" s="8" t="s">
        <v>31758</v>
      </c>
      <c r="T5107" s="6" t="s">
        <v>66</v>
      </c>
      <c r="U5107" s="8" t="s">
        <v>31</v>
      </c>
      <c r="V5107" s="6" t="s">
        <v>6811</v>
      </c>
      <c r="W5107" s="6" t="s">
        <v>31750</v>
      </c>
      <c r="X5107" s="9" t="str">
        <f>HYPERLINK("https://my.pitchbook.com?p=12308-23P","View People Online")</f>
        <v>View People Online</v>
      </c>
    </row>
    <row r="5108">
      <c r="A5108" s="2" t="s">
        <v>31759</v>
      </c>
      <c r="B5108" s="2" t="s">
        <v>31760</v>
      </c>
      <c r="C5108" s="2" t="s">
        <v>16058</v>
      </c>
      <c r="D5108" s="2" t="s">
        <v>31761</v>
      </c>
      <c r="E5108" s="2" t="s">
        <v>31750</v>
      </c>
      <c r="F5108" s="2" t="s">
        <v>78</v>
      </c>
      <c r="G5108" s="2" t="s">
        <v>31762</v>
      </c>
      <c r="H5108" s="3" t="s">
        <v>31</v>
      </c>
      <c r="I5108" s="3">
        <v>1.0</v>
      </c>
      <c r="J5108" s="3">
        <v>1.0</v>
      </c>
      <c r="K5108" s="3" t="s">
        <v>31</v>
      </c>
      <c r="L5108" s="4" t="s">
        <v>31752</v>
      </c>
      <c r="M5108" s="2" t="s">
        <v>31763</v>
      </c>
      <c r="N5108" s="2" t="s">
        <v>31754</v>
      </c>
      <c r="O5108" s="4" t="s">
        <v>31755</v>
      </c>
      <c r="P5108" s="2" t="s">
        <v>31756</v>
      </c>
      <c r="Q5108" s="2" t="s">
        <v>31757</v>
      </c>
      <c r="R5108" s="2" t="s">
        <v>75</v>
      </c>
      <c r="S5108" s="4" t="s">
        <v>31758</v>
      </c>
      <c r="T5108" s="2" t="s">
        <v>66</v>
      </c>
      <c r="U5108" s="4" t="s">
        <v>31</v>
      </c>
      <c r="V5108" s="2" t="s">
        <v>78</v>
      </c>
      <c r="W5108" s="2" t="s">
        <v>31750</v>
      </c>
      <c r="X5108" s="5" t="str">
        <f>HYPERLINK("https://my.pitchbook.com?p=336139-93P","View People Online")</f>
        <v>View People Online</v>
      </c>
    </row>
    <row r="5109">
      <c r="A5109" s="14" t="s">
        <v>31764</v>
      </c>
      <c r="B5109" s="14" t="s">
        <v>31765</v>
      </c>
      <c r="C5109" s="14" t="s">
        <v>1630</v>
      </c>
      <c r="D5109" s="14" t="s">
        <v>31766</v>
      </c>
      <c r="E5109" s="14" t="s">
        <v>31750</v>
      </c>
      <c r="F5109" s="14" t="s">
        <v>24351</v>
      </c>
      <c r="G5109" s="14" t="s">
        <v>31767</v>
      </c>
      <c r="H5109" s="15">
        <v>1.0</v>
      </c>
      <c r="I5109" s="15">
        <v>2.0</v>
      </c>
      <c r="J5109" s="15">
        <v>1.0</v>
      </c>
      <c r="K5109" s="15" t="s">
        <v>31</v>
      </c>
      <c r="L5109" s="16" t="s">
        <v>31752</v>
      </c>
      <c r="M5109" s="14" t="s">
        <v>31768</v>
      </c>
      <c r="N5109" s="14" t="s">
        <v>31754</v>
      </c>
      <c r="O5109" s="16" t="s">
        <v>31755</v>
      </c>
      <c r="P5109" s="14" t="s">
        <v>31756</v>
      </c>
      <c r="Q5109" s="14" t="s">
        <v>31757</v>
      </c>
      <c r="R5109" s="14" t="s">
        <v>75</v>
      </c>
      <c r="S5109" s="16" t="s">
        <v>31758</v>
      </c>
      <c r="T5109" s="14" t="s">
        <v>66</v>
      </c>
      <c r="U5109" s="16" t="s">
        <v>31</v>
      </c>
      <c r="V5109" s="14" t="s">
        <v>31769</v>
      </c>
      <c r="W5109" s="14" t="s">
        <v>31750</v>
      </c>
      <c r="X5109" s="17" t="str">
        <f>HYPERLINK("https://my.pitchbook.com?p=164026-90P","View People Online")</f>
        <v>View People Online</v>
      </c>
    </row>
    <row r="5110">
      <c r="A5110" s="2" t="s">
        <v>31770</v>
      </c>
      <c r="B5110" s="2" t="s">
        <v>31771</v>
      </c>
      <c r="C5110" s="2" t="s">
        <v>18807</v>
      </c>
      <c r="D5110" s="2" t="s">
        <v>6913</v>
      </c>
      <c r="E5110" s="2" t="s">
        <v>31750</v>
      </c>
      <c r="F5110" s="2" t="s">
        <v>7415</v>
      </c>
      <c r="G5110" s="2" t="s">
        <v>31772</v>
      </c>
      <c r="H5110" s="3" t="s">
        <v>31</v>
      </c>
      <c r="I5110" s="3">
        <v>1.0</v>
      </c>
      <c r="J5110" s="3">
        <v>1.0</v>
      </c>
      <c r="K5110" s="3" t="s">
        <v>31</v>
      </c>
      <c r="L5110" s="4" t="s">
        <v>31752</v>
      </c>
      <c r="M5110" s="2" t="s">
        <v>31773</v>
      </c>
      <c r="N5110" s="2" t="s">
        <v>31754</v>
      </c>
      <c r="O5110" s="4" t="s">
        <v>31755</v>
      </c>
      <c r="P5110" s="2" t="s">
        <v>31756</v>
      </c>
      <c r="Q5110" s="2" t="s">
        <v>31757</v>
      </c>
      <c r="R5110" s="2" t="s">
        <v>75</v>
      </c>
      <c r="S5110" s="4" t="s">
        <v>31758</v>
      </c>
      <c r="T5110" s="2" t="s">
        <v>66</v>
      </c>
      <c r="U5110" s="4" t="s">
        <v>31</v>
      </c>
      <c r="V5110" s="2" t="s">
        <v>7415</v>
      </c>
      <c r="W5110" s="2" t="s">
        <v>31750</v>
      </c>
      <c r="X5110" s="5" t="str">
        <f>HYPERLINK("https://my.pitchbook.com?p=414292-24P","View People Online")</f>
        <v>View People Online</v>
      </c>
    </row>
    <row r="5111">
      <c r="A5111" s="6" t="s">
        <v>31774</v>
      </c>
      <c r="B5111" s="6" t="s">
        <v>31775</v>
      </c>
      <c r="C5111" s="6" t="s">
        <v>1807</v>
      </c>
      <c r="D5111" s="6" t="s">
        <v>2659</v>
      </c>
      <c r="E5111" s="6" t="s">
        <v>31750</v>
      </c>
      <c r="F5111" s="6" t="s">
        <v>371</v>
      </c>
      <c r="G5111" s="6" t="s">
        <v>31776</v>
      </c>
      <c r="H5111" s="7" t="s">
        <v>31</v>
      </c>
      <c r="I5111" s="7">
        <v>1.0</v>
      </c>
      <c r="J5111" s="7">
        <v>1.0</v>
      </c>
      <c r="K5111" s="7" t="s">
        <v>31</v>
      </c>
      <c r="L5111" s="8" t="s">
        <v>31752</v>
      </c>
      <c r="M5111" s="6" t="s">
        <v>31777</v>
      </c>
      <c r="N5111" s="6" t="s">
        <v>31754</v>
      </c>
      <c r="O5111" s="8" t="s">
        <v>31755</v>
      </c>
      <c r="P5111" s="6" t="s">
        <v>31756</v>
      </c>
      <c r="Q5111" s="6" t="s">
        <v>31757</v>
      </c>
      <c r="R5111" s="6" t="s">
        <v>75</v>
      </c>
      <c r="S5111" s="8" t="s">
        <v>31758</v>
      </c>
      <c r="T5111" s="6" t="s">
        <v>66</v>
      </c>
      <c r="U5111" s="8" t="s">
        <v>31</v>
      </c>
      <c r="V5111" s="6" t="s">
        <v>29657</v>
      </c>
      <c r="W5111" s="6" t="s">
        <v>31750</v>
      </c>
      <c r="X5111" s="9" t="str">
        <f>HYPERLINK("https://my.pitchbook.com?p=414292-78P","View People Online")</f>
        <v>View People Online</v>
      </c>
    </row>
    <row r="5112">
      <c r="A5112" s="10" t="s">
        <v>31778</v>
      </c>
      <c r="B5112" s="10" t="s">
        <v>31779</v>
      </c>
      <c r="C5112" s="10" t="s">
        <v>1410</v>
      </c>
      <c r="D5112" s="10" t="s">
        <v>4550</v>
      </c>
      <c r="E5112" s="10" t="s">
        <v>31780</v>
      </c>
      <c r="F5112" s="10" t="s">
        <v>81</v>
      </c>
      <c r="G5112" s="10" t="s">
        <v>31781</v>
      </c>
      <c r="H5112" s="11" t="s">
        <v>31</v>
      </c>
      <c r="I5112" s="11">
        <v>4.0</v>
      </c>
      <c r="J5112" s="11">
        <v>2.0</v>
      </c>
      <c r="K5112" s="11">
        <v>1.0</v>
      </c>
      <c r="L5112" s="12" t="s">
        <v>31</v>
      </c>
      <c r="M5112" s="10" t="s">
        <v>31</v>
      </c>
      <c r="N5112" s="10" t="s">
        <v>31782</v>
      </c>
      <c r="O5112" s="12" t="s">
        <v>31783</v>
      </c>
      <c r="P5112" s="10" t="s">
        <v>31784</v>
      </c>
      <c r="Q5112" s="10" t="s">
        <v>31</v>
      </c>
      <c r="R5112" s="10" t="s">
        <v>4092</v>
      </c>
      <c r="S5112" s="12" t="s">
        <v>31785</v>
      </c>
      <c r="T5112" s="10" t="s">
        <v>66</v>
      </c>
      <c r="U5112" s="12" t="s">
        <v>31</v>
      </c>
      <c r="V5112" s="10" t="s">
        <v>157</v>
      </c>
      <c r="W5112" s="10" t="s">
        <v>31786</v>
      </c>
      <c r="X5112" s="13" t="str">
        <f>HYPERLINK("https://my.pitchbook.com?p=226320-04P","View People Online")</f>
        <v>View People Online</v>
      </c>
    </row>
    <row r="5113">
      <c r="A5113" s="14" t="s">
        <v>31787</v>
      </c>
      <c r="B5113" s="14" t="s">
        <v>31788</v>
      </c>
      <c r="C5113" s="14" t="s">
        <v>6326</v>
      </c>
      <c r="D5113" s="14" t="s">
        <v>31789</v>
      </c>
      <c r="E5113" s="14" t="s">
        <v>31780</v>
      </c>
      <c r="F5113" s="14" t="s">
        <v>502</v>
      </c>
      <c r="G5113" s="14" t="s">
        <v>31790</v>
      </c>
      <c r="H5113" s="15" t="s">
        <v>31</v>
      </c>
      <c r="I5113" s="15">
        <v>1.0</v>
      </c>
      <c r="J5113" s="15">
        <v>1.0</v>
      </c>
      <c r="K5113" s="15" t="s">
        <v>31</v>
      </c>
      <c r="L5113" s="16" t="s">
        <v>31791</v>
      </c>
      <c r="M5113" s="14" t="s">
        <v>31792</v>
      </c>
      <c r="N5113" s="14" t="s">
        <v>1181</v>
      </c>
      <c r="O5113" s="16" t="s">
        <v>1182</v>
      </c>
      <c r="P5113" s="14" t="s">
        <v>31793</v>
      </c>
      <c r="Q5113" s="14" t="s">
        <v>31794</v>
      </c>
      <c r="R5113" s="14" t="s">
        <v>1185</v>
      </c>
      <c r="S5113" s="16" t="s">
        <v>31795</v>
      </c>
      <c r="T5113" s="14" t="s">
        <v>66</v>
      </c>
      <c r="U5113" s="16" t="s">
        <v>31</v>
      </c>
      <c r="V5113" s="14" t="s">
        <v>502</v>
      </c>
      <c r="W5113" s="14" t="s">
        <v>31780</v>
      </c>
      <c r="X5113" s="17" t="str">
        <f>HYPERLINK("https://my.pitchbook.com?p=365627-98P","View People Online")</f>
        <v>View People Online</v>
      </c>
    </row>
    <row r="5114">
      <c r="A5114" s="10" t="s">
        <v>31796</v>
      </c>
      <c r="B5114" s="10" t="s">
        <v>31797</v>
      </c>
      <c r="C5114" s="10" t="s">
        <v>4248</v>
      </c>
      <c r="D5114" s="10" t="s">
        <v>31798</v>
      </c>
      <c r="E5114" s="10" t="s">
        <v>31780</v>
      </c>
      <c r="F5114" s="10" t="s">
        <v>81</v>
      </c>
      <c r="G5114" s="10" t="s">
        <v>31799</v>
      </c>
      <c r="H5114" s="11">
        <v>4.0</v>
      </c>
      <c r="I5114" s="11">
        <v>13.0</v>
      </c>
      <c r="J5114" s="11">
        <v>2.0</v>
      </c>
      <c r="K5114" s="11">
        <v>7.0</v>
      </c>
      <c r="L5114" s="12" t="s">
        <v>31800</v>
      </c>
      <c r="M5114" s="10" t="s">
        <v>31801</v>
      </c>
      <c r="N5114" s="10" t="s">
        <v>75</v>
      </c>
      <c r="O5114" s="12" t="s">
        <v>76</v>
      </c>
      <c r="P5114" s="10" t="s">
        <v>31802</v>
      </c>
      <c r="Q5114" s="10" t="s">
        <v>31803</v>
      </c>
      <c r="R5114" s="10" t="s">
        <v>75</v>
      </c>
      <c r="S5114" s="12" t="s">
        <v>31804</v>
      </c>
      <c r="T5114" s="10" t="s">
        <v>66</v>
      </c>
      <c r="U5114" s="12" t="s">
        <v>31805</v>
      </c>
      <c r="V5114" s="10" t="s">
        <v>2379</v>
      </c>
      <c r="W5114" s="10" t="s">
        <v>31806</v>
      </c>
      <c r="X5114" s="13" t="str">
        <f>HYPERLINK("https://my.pitchbook.com?p=43357-51P","View People Online")</f>
        <v>View People Online</v>
      </c>
    </row>
    <row r="5115">
      <c r="A5115" s="14" t="s">
        <v>31807</v>
      </c>
      <c r="B5115" s="14" t="s">
        <v>31808</v>
      </c>
      <c r="C5115" s="14" t="s">
        <v>24134</v>
      </c>
      <c r="D5115" s="14" t="s">
        <v>31809</v>
      </c>
      <c r="E5115" s="14" t="s">
        <v>31780</v>
      </c>
      <c r="F5115" s="14" t="s">
        <v>81</v>
      </c>
      <c r="G5115" s="14" t="s">
        <v>31810</v>
      </c>
      <c r="H5115" s="15">
        <v>4.0</v>
      </c>
      <c r="I5115" s="15">
        <v>10.0</v>
      </c>
      <c r="J5115" s="15">
        <v>2.0</v>
      </c>
      <c r="K5115" s="15">
        <v>3.0</v>
      </c>
      <c r="L5115" s="16" t="s">
        <v>31811</v>
      </c>
      <c r="M5115" s="14" t="s">
        <v>31812</v>
      </c>
      <c r="N5115" s="14" t="s">
        <v>31813</v>
      </c>
      <c r="O5115" s="16" t="s">
        <v>31814</v>
      </c>
      <c r="P5115" s="14" t="s">
        <v>31815</v>
      </c>
      <c r="Q5115" s="14" t="s">
        <v>29125</v>
      </c>
      <c r="R5115" s="14" t="s">
        <v>209</v>
      </c>
      <c r="S5115" s="16" t="s">
        <v>31816</v>
      </c>
      <c r="T5115" s="14" t="s">
        <v>66</v>
      </c>
      <c r="U5115" s="16" t="s">
        <v>31</v>
      </c>
      <c r="V5115" s="14" t="s">
        <v>2379</v>
      </c>
      <c r="W5115" s="14" t="s">
        <v>31817</v>
      </c>
      <c r="X5115" s="17" t="str">
        <f>HYPERLINK("https://my.pitchbook.com?p=42272-20P","View People Online")</f>
        <v>View People Online</v>
      </c>
    </row>
    <row r="5116">
      <c r="A5116" s="10" t="s">
        <v>31818</v>
      </c>
      <c r="B5116" s="10" t="s">
        <v>31819</v>
      </c>
      <c r="C5116" s="10" t="s">
        <v>27062</v>
      </c>
      <c r="D5116" s="10" t="s">
        <v>31820</v>
      </c>
      <c r="E5116" s="10" t="s">
        <v>31780</v>
      </c>
      <c r="F5116" s="10" t="s">
        <v>81</v>
      </c>
      <c r="G5116" s="10" t="s">
        <v>31821</v>
      </c>
      <c r="H5116" s="11" t="s">
        <v>31</v>
      </c>
      <c r="I5116" s="11">
        <v>2.0</v>
      </c>
      <c r="J5116" s="11">
        <v>1.0</v>
      </c>
      <c r="K5116" s="11" t="s">
        <v>31</v>
      </c>
      <c r="L5116" s="12" t="s">
        <v>31822</v>
      </c>
      <c r="M5116" s="10" t="s">
        <v>31823</v>
      </c>
      <c r="N5116" s="10" t="s">
        <v>1181</v>
      </c>
      <c r="O5116" s="12" t="s">
        <v>1182</v>
      </c>
      <c r="P5116" s="10" t="s">
        <v>31824</v>
      </c>
      <c r="Q5116" s="10" t="s">
        <v>31</v>
      </c>
      <c r="R5116" s="10" t="s">
        <v>1185</v>
      </c>
      <c r="S5116" s="12" t="s">
        <v>1332</v>
      </c>
      <c r="T5116" s="10" t="s">
        <v>66</v>
      </c>
      <c r="U5116" s="12" t="s">
        <v>31</v>
      </c>
      <c r="V5116" s="10" t="s">
        <v>27016</v>
      </c>
      <c r="W5116" s="10" t="s">
        <v>31825</v>
      </c>
      <c r="X5116" s="13" t="str">
        <f>HYPERLINK("https://my.pitchbook.com?p=42271-75P","View People Online")</f>
        <v>View People Online</v>
      </c>
    </row>
    <row r="5117">
      <c r="A5117" s="14" t="s">
        <v>31826</v>
      </c>
      <c r="B5117" s="14" t="s">
        <v>31827</v>
      </c>
      <c r="C5117" s="14" t="s">
        <v>24756</v>
      </c>
      <c r="D5117" s="14" t="s">
        <v>25123</v>
      </c>
      <c r="E5117" s="14" t="s">
        <v>31780</v>
      </c>
      <c r="F5117" s="14" t="s">
        <v>81</v>
      </c>
      <c r="G5117" s="14" t="s">
        <v>31828</v>
      </c>
      <c r="H5117" s="15">
        <v>3.0</v>
      </c>
      <c r="I5117" s="15">
        <v>9.0</v>
      </c>
      <c r="J5117" s="15" t="s">
        <v>31</v>
      </c>
      <c r="K5117" s="15">
        <v>3.0</v>
      </c>
      <c r="L5117" s="16" t="s">
        <v>31829</v>
      </c>
      <c r="M5117" s="14" t="s">
        <v>31830</v>
      </c>
      <c r="N5117" s="14" t="s">
        <v>1368</v>
      </c>
      <c r="O5117" s="16" t="s">
        <v>1369</v>
      </c>
      <c r="P5117" s="14" t="s">
        <v>31</v>
      </c>
      <c r="Q5117" s="14" t="s">
        <v>31</v>
      </c>
      <c r="R5117" s="14" t="s">
        <v>1185</v>
      </c>
      <c r="S5117" s="16" t="s">
        <v>31</v>
      </c>
      <c r="T5117" s="14" t="s">
        <v>66</v>
      </c>
      <c r="U5117" s="16" t="s">
        <v>31</v>
      </c>
      <c r="V5117" s="14" t="s">
        <v>31831</v>
      </c>
      <c r="W5117" s="14" t="s">
        <v>31832</v>
      </c>
      <c r="X5117" s="17" t="str">
        <f>HYPERLINK("https://my.pitchbook.com?p=36573-31P","View People Online")</f>
        <v>View People Online</v>
      </c>
    </row>
    <row r="5118">
      <c r="A5118" s="10" t="s">
        <v>31833</v>
      </c>
      <c r="B5118" s="10" t="s">
        <v>31834</v>
      </c>
      <c r="C5118" s="10" t="s">
        <v>8847</v>
      </c>
      <c r="D5118" s="10" t="s">
        <v>31835</v>
      </c>
      <c r="E5118" s="10" t="s">
        <v>31780</v>
      </c>
      <c r="F5118" s="10" t="s">
        <v>57</v>
      </c>
      <c r="G5118" s="10" t="s">
        <v>31836</v>
      </c>
      <c r="H5118" s="11">
        <v>2.0</v>
      </c>
      <c r="I5118" s="11">
        <v>32.0</v>
      </c>
      <c r="J5118" s="11">
        <v>1.0</v>
      </c>
      <c r="K5118" s="11">
        <v>24.0</v>
      </c>
      <c r="L5118" s="12" t="s">
        <v>31791</v>
      </c>
      <c r="M5118" s="10" t="s">
        <v>31837</v>
      </c>
      <c r="N5118" s="10" t="s">
        <v>1181</v>
      </c>
      <c r="O5118" s="12" t="s">
        <v>1182</v>
      </c>
      <c r="P5118" s="10" t="s">
        <v>31793</v>
      </c>
      <c r="Q5118" s="10" t="s">
        <v>31794</v>
      </c>
      <c r="R5118" s="10" t="s">
        <v>1185</v>
      </c>
      <c r="S5118" s="12" t="s">
        <v>31795</v>
      </c>
      <c r="T5118" s="10" t="s">
        <v>66</v>
      </c>
      <c r="U5118" s="12" t="s">
        <v>31</v>
      </c>
      <c r="V5118" s="10" t="s">
        <v>57</v>
      </c>
      <c r="W5118" s="10" t="s">
        <v>31780</v>
      </c>
      <c r="X5118" s="13" t="str">
        <f>HYPERLINK("https://my.pitchbook.com?p=13804-57P","View People Online")</f>
        <v>View People Online</v>
      </c>
    </row>
    <row r="5119">
      <c r="A5119" s="14" t="s">
        <v>31838</v>
      </c>
      <c r="B5119" s="14" t="s">
        <v>31839</v>
      </c>
      <c r="C5119" s="14" t="s">
        <v>1849</v>
      </c>
      <c r="D5119" s="14" t="s">
        <v>31840</v>
      </c>
      <c r="E5119" s="14" t="s">
        <v>31780</v>
      </c>
      <c r="F5119" s="14" t="s">
        <v>81</v>
      </c>
      <c r="G5119" s="14" t="s">
        <v>31841</v>
      </c>
      <c r="H5119" s="15" t="s">
        <v>31</v>
      </c>
      <c r="I5119" s="15">
        <v>1.0</v>
      </c>
      <c r="J5119" s="15" t="s">
        <v>31</v>
      </c>
      <c r="K5119" s="15" t="s">
        <v>31</v>
      </c>
      <c r="L5119" s="16" t="s">
        <v>31842</v>
      </c>
      <c r="M5119" s="14" t="s">
        <v>31843</v>
      </c>
      <c r="N5119" s="14" t="s">
        <v>1181</v>
      </c>
      <c r="O5119" s="16" t="s">
        <v>1182</v>
      </c>
      <c r="P5119" s="14" t="s">
        <v>31793</v>
      </c>
      <c r="Q5119" s="14" t="s">
        <v>31794</v>
      </c>
      <c r="R5119" s="14" t="s">
        <v>1185</v>
      </c>
      <c r="S5119" s="16" t="s">
        <v>31795</v>
      </c>
      <c r="T5119" s="14" t="s">
        <v>66</v>
      </c>
      <c r="U5119" s="16" t="s">
        <v>31</v>
      </c>
      <c r="V5119" s="14" t="s">
        <v>81</v>
      </c>
      <c r="W5119" s="14" t="s">
        <v>31780</v>
      </c>
      <c r="X5119" s="17" t="str">
        <f>HYPERLINK("https://my.pitchbook.com?p=40085-83P","View People Online")</f>
        <v>View People Online</v>
      </c>
    </row>
    <row r="5120">
      <c r="A5120" s="10" t="s">
        <v>31844</v>
      </c>
      <c r="B5120" s="10" t="s">
        <v>31845</v>
      </c>
      <c r="C5120" s="10" t="s">
        <v>31846</v>
      </c>
      <c r="D5120" s="10" t="s">
        <v>31847</v>
      </c>
      <c r="E5120" s="10" t="s">
        <v>31780</v>
      </c>
      <c r="F5120" s="10" t="s">
        <v>81</v>
      </c>
      <c r="G5120" s="10" t="s">
        <v>31848</v>
      </c>
      <c r="H5120" s="11">
        <v>3.0</v>
      </c>
      <c r="I5120" s="11">
        <v>9.0</v>
      </c>
      <c r="J5120" s="11">
        <v>4.0</v>
      </c>
      <c r="K5120" s="11">
        <v>1.0</v>
      </c>
      <c r="L5120" s="12" t="s">
        <v>31849</v>
      </c>
      <c r="M5120" s="10" t="s">
        <v>31850</v>
      </c>
      <c r="N5120" s="10" t="s">
        <v>31851</v>
      </c>
      <c r="O5120" s="12" t="s">
        <v>31852</v>
      </c>
      <c r="P5120" s="10" t="s">
        <v>31853</v>
      </c>
      <c r="Q5120" s="10" t="s">
        <v>30153</v>
      </c>
      <c r="R5120" s="10" t="s">
        <v>1185</v>
      </c>
      <c r="S5120" s="12" t="s">
        <v>31854</v>
      </c>
      <c r="T5120" s="10" t="s">
        <v>66</v>
      </c>
      <c r="U5120" s="12" t="s">
        <v>31855</v>
      </c>
      <c r="V5120" s="10" t="s">
        <v>31856</v>
      </c>
      <c r="W5120" s="10" t="s">
        <v>31857</v>
      </c>
      <c r="X5120" s="13" t="str">
        <f>HYPERLINK("https://my.pitchbook.com?p=31067-38P","View People Online")</f>
        <v>View People Online</v>
      </c>
    </row>
    <row r="5121">
      <c r="A5121" s="14" t="s">
        <v>31858</v>
      </c>
      <c r="B5121" s="14" t="s">
        <v>31859</v>
      </c>
      <c r="C5121" s="14" t="s">
        <v>13148</v>
      </c>
      <c r="D5121" s="14" t="s">
        <v>31860</v>
      </c>
      <c r="E5121" s="14" t="s">
        <v>31780</v>
      </c>
      <c r="F5121" s="14" t="s">
        <v>31861</v>
      </c>
      <c r="G5121" s="14" t="s">
        <v>31862</v>
      </c>
      <c r="H5121" s="15" t="s">
        <v>31</v>
      </c>
      <c r="I5121" s="15">
        <v>2.0</v>
      </c>
      <c r="J5121" s="15">
        <v>2.0</v>
      </c>
      <c r="K5121" s="15" t="s">
        <v>31</v>
      </c>
      <c r="L5121" s="16" t="s">
        <v>31</v>
      </c>
      <c r="M5121" s="14" t="s">
        <v>31</v>
      </c>
      <c r="N5121" s="14" t="s">
        <v>31863</v>
      </c>
      <c r="O5121" s="16" t="s">
        <v>31864</v>
      </c>
      <c r="P5121" s="14" t="s">
        <v>30153</v>
      </c>
      <c r="Q5121" s="14" t="s">
        <v>31865</v>
      </c>
      <c r="R5121" s="14" t="s">
        <v>15676</v>
      </c>
      <c r="S5121" s="16" t="s">
        <v>31866</v>
      </c>
      <c r="T5121" s="14" t="s">
        <v>66</v>
      </c>
      <c r="U5121" s="16" t="s">
        <v>31</v>
      </c>
      <c r="V5121" s="14" t="s">
        <v>470</v>
      </c>
      <c r="W5121" s="14" t="s">
        <v>31867</v>
      </c>
      <c r="X5121" s="17" t="str">
        <f>HYPERLINK("https://my.pitchbook.com?p=203143-60P","View People Online")</f>
        <v>View People Online</v>
      </c>
    </row>
    <row r="5122">
      <c r="A5122" s="10" t="s">
        <v>31868</v>
      </c>
      <c r="B5122" s="10" t="s">
        <v>31869</v>
      </c>
      <c r="C5122" s="10" t="s">
        <v>28617</v>
      </c>
      <c r="D5122" s="10" t="s">
        <v>31870</v>
      </c>
      <c r="E5122" s="10" t="s">
        <v>31780</v>
      </c>
      <c r="F5122" s="10" t="s">
        <v>201</v>
      </c>
      <c r="G5122" s="10" t="s">
        <v>31871</v>
      </c>
      <c r="H5122" s="11" t="s">
        <v>31</v>
      </c>
      <c r="I5122" s="11">
        <v>3.0</v>
      </c>
      <c r="J5122" s="11">
        <v>1.0</v>
      </c>
      <c r="K5122" s="11">
        <v>1.0</v>
      </c>
      <c r="L5122" s="12" t="s">
        <v>31791</v>
      </c>
      <c r="M5122" s="10" t="s">
        <v>31872</v>
      </c>
      <c r="N5122" s="10" t="s">
        <v>1181</v>
      </c>
      <c r="O5122" s="12" t="s">
        <v>1182</v>
      </c>
      <c r="P5122" s="10" t="s">
        <v>31793</v>
      </c>
      <c r="Q5122" s="10" t="s">
        <v>31794</v>
      </c>
      <c r="R5122" s="10" t="s">
        <v>1185</v>
      </c>
      <c r="S5122" s="12" t="s">
        <v>31795</v>
      </c>
      <c r="T5122" s="10" t="s">
        <v>66</v>
      </c>
      <c r="U5122" s="12" t="s">
        <v>31</v>
      </c>
      <c r="V5122" s="10" t="s">
        <v>201</v>
      </c>
      <c r="W5122" s="10" t="s">
        <v>31780</v>
      </c>
      <c r="X5122" s="13" t="str">
        <f>HYPERLINK("https://my.pitchbook.com?p=275399-38P","View People Online")</f>
        <v>View People Online</v>
      </c>
    </row>
    <row r="5123">
      <c r="A5123" s="14" t="s">
        <v>31873</v>
      </c>
      <c r="B5123" s="14" t="s">
        <v>31874</v>
      </c>
      <c r="C5123" s="14" t="s">
        <v>3529</v>
      </c>
      <c r="D5123" s="14" t="s">
        <v>31875</v>
      </c>
      <c r="E5123" s="14" t="s">
        <v>31780</v>
      </c>
      <c r="F5123" s="14" t="s">
        <v>81</v>
      </c>
      <c r="G5123" s="14" t="s">
        <v>31876</v>
      </c>
      <c r="H5123" s="15">
        <v>3.0</v>
      </c>
      <c r="I5123" s="15">
        <v>13.0</v>
      </c>
      <c r="J5123" s="15" t="s">
        <v>31</v>
      </c>
      <c r="K5123" s="15">
        <v>8.0</v>
      </c>
      <c r="L5123" s="16" t="s">
        <v>31877</v>
      </c>
      <c r="M5123" s="14" t="s">
        <v>31878</v>
      </c>
      <c r="N5123" s="14" t="s">
        <v>31879</v>
      </c>
      <c r="O5123" s="16" t="s">
        <v>31880</v>
      </c>
      <c r="P5123" s="14" t="s">
        <v>31881</v>
      </c>
      <c r="Q5123" s="14" t="s">
        <v>1784</v>
      </c>
      <c r="R5123" s="14" t="s">
        <v>1185</v>
      </c>
      <c r="S5123" s="16" t="s">
        <v>31882</v>
      </c>
      <c r="T5123" s="14" t="s">
        <v>66</v>
      </c>
      <c r="U5123" s="16" t="s">
        <v>31</v>
      </c>
      <c r="V5123" s="14" t="s">
        <v>6873</v>
      </c>
      <c r="W5123" s="14" t="s">
        <v>31883</v>
      </c>
      <c r="X5123" s="17" t="str">
        <f>HYPERLINK("https://my.pitchbook.com?p=94658-86P","View People Online")</f>
        <v>View People Online</v>
      </c>
    </row>
    <row r="5124">
      <c r="A5124" s="2" t="s">
        <v>31884</v>
      </c>
      <c r="B5124" s="2" t="s">
        <v>31885</v>
      </c>
      <c r="C5124" s="2" t="s">
        <v>3529</v>
      </c>
      <c r="D5124" s="2" t="s">
        <v>31886</v>
      </c>
      <c r="E5124" s="2" t="s">
        <v>31780</v>
      </c>
      <c r="F5124" s="2" t="s">
        <v>81</v>
      </c>
      <c r="G5124" s="2" t="s">
        <v>31887</v>
      </c>
      <c r="H5124" s="3">
        <v>2.0</v>
      </c>
      <c r="I5124" s="3">
        <v>40.0</v>
      </c>
      <c r="J5124" s="3">
        <v>1.0</v>
      </c>
      <c r="K5124" s="3">
        <v>30.0</v>
      </c>
      <c r="L5124" s="4" t="s">
        <v>31888</v>
      </c>
      <c r="M5124" s="2" t="s">
        <v>31889</v>
      </c>
      <c r="N5124" s="2" t="s">
        <v>1181</v>
      </c>
      <c r="O5124" s="4" t="s">
        <v>1182</v>
      </c>
      <c r="P5124" s="2" t="s">
        <v>31890</v>
      </c>
      <c r="Q5124" s="2" t="s">
        <v>31891</v>
      </c>
      <c r="R5124" s="2" t="s">
        <v>1185</v>
      </c>
      <c r="S5124" s="4" t="s">
        <v>6739</v>
      </c>
      <c r="T5124" s="2" t="s">
        <v>66</v>
      </c>
      <c r="U5124" s="4" t="s">
        <v>31</v>
      </c>
      <c r="V5124" s="2" t="s">
        <v>11734</v>
      </c>
      <c r="W5124" s="2" t="s">
        <v>31892</v>
      </c>
      <c r="X5124" s="5" t="str">
        <f>HYPERLINK("https://my.pitchbook.com?p=42272-92P","View People Online")</f>
        <v>View People Online</v>
      </c>
    </row>
    <row r="5125">
      <c r="A5125" s="14" t="s">
        <v>31893</v>
      </c>
      <c r="B5125" s="14" t="s">
        <v>31894</v>
      </c>
      <c r="C5125" s="14" t="s">
        <v>6414</v>
      </c>
      <c r="D5125" s="14" t="s">
        <v>31895</v>
      </c>
      <c r="E5125" s="14" t="s">
        <v>31780</v>
      </c>
      <c r="F5125" s="14" t="s">
        <v>81</v>
      </c>
      <c r="G5125" s="14" t="s">
        <v>31896</v>
      </c>
      <c r="H5125" s="15">
        <v>1.0</v>
      </c>
      <c r="I5125" s="15">
        <v>2.0</v>
      </c>
      <c r="J5125" s="15" t="s">
        <v>31</v>
      </c>
      <c r="K5125" s="15" t="s">
        <v>31</v>
      </c>
      <c r="L5125" s="16" t="s">
        <v>31897</v>
      </c>
      <c r="M5125" s="14" t="s">
        <v>31898</v>
      </c>
      <c r="N5125" s="14" t="s">
        <v>1181</v>
      </c>
      <c r="O5125" s="16" t="s">
        <v>1182</v>
      </c>
      <c r="P5125" s="14" t="s">
        <v>31793</v>
      </c>
      <c r="Q5125" s="14" t="s">
        <v>31794</v>
      </c>
      <c r="R5125" s="14" t="s">
        <v>1185</v>
      </c>
      <c r="S5125" s="16" t="s">
        <v>31795</v>
      </c>
      <c r="T5125" s="14" t="s">
        <v>66</v>
      </c>
      <c r="U5125" s="16" t="s">
        <v>31</v>
      </c>
      <c r="V5125" s="14" t="s">
        <v>470</v>
      </c>
      <c r="W5125" s="14" t="s">
        <v>31899</v>
      </c>
      <c r="X5125" s="17" t="str">
        <f>HYPERLINK("https://my.pitchbook.com?p=156477-79P","View People Online")</f>
        <v>View People Online</v>
      </c>
    </row>
    <row r="5126">
      <c r="A5126" s="10" t="s">
        <v>31900</v>
      </c>
      <c r="B5126" s="10" t="s">
        <v>31901</v>
      </c>
      <c r="C5126" s="10" t="s">
        <v>1343</v>
      </c>
      <c r="D5126" s="10" t="s">
        <v>31902</v>
      </c>
      <c r="E5126" s="10" t="s">
        <v>31780</v>
      </c>
      <c r="F5126" s="10" t="s">
        <v>81</v>
      </c>
      <c r="G5126" s="10" t="s">
        <v>31903</v>
      </c>
      <c r="H5126" s="11">
        <v>3.0</v>
      </c>
      <c r="I5126" s="11">
        <v>8.0</v>
      </c>
      <c r="J5126" s="11">
        <v>2.0</v>
      </c>
      <c r="K5126" s="11">
        <v>2.0</v>
      </c>
      <c r="L5126" s="12" t="s">
        <v>31904</v>
      </c>
      <c r="M5126" s="10" t="s">
        <v>31905</v>
      </c>
      <c r="N5126" s="10" t="s">
        <v>4232</v>
      </c>
      <c r="O5126" s="12" t="s">
        <v>4233</v>
      </c>
      <c r="P5126" s="10" t="s">
        <v>31906</v>
      </c>
      <c r="Q5126" s="10" t="s">
        <v>31</v>
      </c>
      <c r="R5126" s="10" t="s">
        <v>4236</v>
      </c>
      <c r="S5126" s="12" t="s">
        <v>31907</v>
      </c>
      <c r="T5126" s="10" t="s">
        <v>66</v>
      </c>
      <c r="U5126" s="12" t="s">
        <v>31908</v>
      </c>
      <c r="V5126" s="10" t="s">
        <v>1252</v>
      </c>
      <c r="W5126" s="10" t="s">
        <v>31909</v>
      </c>
      <c r="X5126" s="13" t="str">
        <f>HYPERLINK("https://my.pitchbook.com?p=38370-88P","View People Online")</f>
        <v>View People Online</v>
      </c>
    </row>
    <row r="5127">
      <c r="A5127" s="6" t="s">
        <v>31910</v>
      </c>
      <c r="B5127" s="6" t="s">
        <v>31911</v>
      </c>
      <c r="C5127" s="6" t="s">
        <v>18773</v>
      </c>
      <c r="D5127" s="6" t="s">
        <v>31912</v>
      </c>
      <c r="E5127" s="6" t="s">
        <v>31780</v>
      </c>
      <c r="F5127" s="6" t="s">
        <v>81</v>
      </c>
      <c r="G5127" s="6" t="s">
        <v>31913</v>
      </c>
      <c r="H5127" s="7">
        <v>2.0</v>
      </c>
      <c r="I5127" s="7">
        <v>26.0</v>
      </c>
      <c r="J5127" s="7">
        <v>1.0</v>
      </c>
      <c r="K5127" s="7">
        <v>20.0</v>
      </c>
      <c r="L5127" s="8" t="s">
        <v>31914</v>
      </c>
      <c r="M5127" s="6" t="s">
        <v>31915</v>
      </c>
      <c r="N5127" s="6" t="s">
        <v>1292</v>
      </c>
      <c r="O5127" s="8" t="s">
        <v>1293</v>
      </c>
      <c r="P5127" s="6" t="s">
        <v>31916</v>
      </c>
      <c r="Q5127" s="6" t="s">
        <v>12923</v>
      </c>
      <c r="R5127" s="6" t="s">
        <v>64</v>
      </c>
      <c r="S5127" s="8" t="s">
        <v>1296</v>
      </c>
      <c r="T5127" s="6" t="s">
        <v>66</v>
      </c>
      <c r="U5127" s="8" t="s">
        <v>31</v>
      </c>
      <c r="V5127" s="6" t="s">
        <v>43</v>
      </c>
      <c r="W5127" s="6" t="s">
        <v>31917</v>
      </c>
      <c r="X5127" s="9" t="str">
        <f>HYPERLINK("https://my.pitchbook.com?p=37184-95P","View People Online")</f>
        <v>View People Online</v>
      </c>
    </row>
    <row r="5128">
      <c r="A5128" s="10" t="s">
        <v>31918</v>
      </c>
      <c r="B5128" s="10" t="s">
        <v>31919</v>
      </c>
      <c r="C5128" s="10" t="s">
        <v>868</v>
      </c>
      <c r="D5128" s="10" t="s">
        <v>31920</v>
      </c>
      <c r="E5128" s="10" t="s">
        <v>31780</v>
      </c>
      <c r="F5128" s="10" t="s">
        <v>81</v>
      </c>
      <c r="G5128" s="10" t="s">
        <v>31921</v>
      </c>
      <c r="H5128" s="11">
        <v>3.0</v>
      </c>
      <c r="I5128" s="11">
        <v>5.0</v>
      </c>
      <c r="J5128" s="11">
        <v>1.0</v>
      </c>
      <c r="K5128" s="11" t="s">
        <v>31</v>
      </c>
      <c r="L5128" s="12" t="s">
        <v>31791</v>
      </c>
      <c r="M5128" s="10" t="s">
        <v>31</v>
      </c>
      <c r="N5128" s="10" t="s">
        <v>1181</v>
      </c>
      <c r="O5128" s="12" t="s">
        <v>1182</v>
      </c>
      <c r="P5128" s="10" t="s">
        <v>31793</v>
      </c>
      <c r="Q5128" s="10" t="s">
        <v>31794</v>
      </c>
      <c r="R5128" s="10" t="s">
        <v>1185</v>
      </c>
      <c r="S5128" s="12" t="s">
        <v>31795</v>
      </c>
      <c r="T5128" s="10" t="s">
        <v>66</v>
      </c>
      <c r="U5128" s="12" t="s">
        <v>31</v>
      </c>
      <c r="V5128" s="10" t="s">
        <v>23948</v>
      </c>
      <c r="W5128" s="10" t="s">
        <v>31780</v>
      </c>
      <c r="X5128" s="13" t="str">
        <f>HYPERLINK("https://my.pitchbook.com?p=11769-85P","View People Online")</f>
        <v>View People Online</v>
      </c>
    </row>
    <row r="5129">
      <c r="A5129" s="6" t="s">
        <v>31922</v>
      </c>
      <c r="B5129" s="6" t="s">
        <v>31923</v>
      </c>
      <c r="C5129" s="6" t="s">
        <v>24971</v>
      </c>
      <c r="D5129" s="6" t="s">
        <v>31924</v>
      </c>
      <c r="E5129" s="6" t="s">
        <v>31780</v>
      </c>
      <c r="F5129" s="6" t="s">
        <v>81</v>
      </c>
      <c r="G5129" s="6" t="s">
        <v>31925</v>
      </c>
      <c r="H5129" s="7">
        <v>1.0</v>
      </c>
      <c r="I5129" s="7">
        <v>46.0</v>
      </c>
      <c r="J5129" s="7" t="s">
        <v>31</v>
      </c>
      <c r="K5129" s="7">
        <v>34.0</v>
      </c>
      <c r="L5129" s="8" t="s">
        <v>31926</v>
      </c>
      <c r="M5129" s="6" t="s">
        <v>31</v>
      </c>
      <c r="N5129" s="6" t="s">
        <v>27306</v>
      </c>
      <c r="O5129" s="8" t="s">
        <v>27307</v>
      </c>
      <c r="P5129" s="6" t="s">
        <v>31927</v>
      </c>
      <c r="Q5129" s="6" t="s">
        <v>6654</v>
      </c>
      <c r="R5129" s="6" t="s">
        <v>64</v>
      </c>
      <c r="S5129" s="8" t="s">
        <v>31928</v>
      </c>
      <c r="T5129" s="6" t="s">
        <v>66</v>
      </c>
      <c r="U5129" s="8" t="s">
        <v>31</v>
      </c>
      <c r="V5129" s="6" t="s">
        <v>81</v>
      </c>
      <c r="W5129" s="6" t="s">
        <v>31929</v>
      </c>
      <c r="X5129" s="9" t="str">
        <f>HYPERLINK("https://my.pitchbook.com?p=88696-72P","View People Online")</f>
        <v>View People Online</v>
      </c>
    </row>
    <row r="5130">
      <c r="A5130" s="2" t="s">
        <v>31930</v>
      </c>
      <c r="B5130" s="2" t="s">
        <v>31931</v>
      </c>
      <c r="C5130" s="2" t="s">
        <v>126</v>
      </c>
      <c r="D5130" s="2" t="s">
        <v>31932</v>
      </c>
      <c r="E5130" s="2" t="s">
        <v>31780</v>
      </c>
      <c r="F5130" s="2" t="s">
        <v>57</v>
      </c>
      <c r="G5130" s="2" t="s">
        <v>31933</v>
      </c>
      <c r="H5130" s="3">
        <v>6.0</v>
      </c>
      <c r="I5130" s="3">
        <v>21.0</v>
      </c>
      <c r="J5130" s="3">
        <v>1.0</v>
      </c>
      <c r="K5130" s="3">
        <v>11.0</v>
      </c>
      <c r="L5130" s="4" t="s">
        <v>31934</v>
      </c>
      <c r="M5130" s="2" t="s">
        <v>31935</v>
      </c>
      <c r="N5130" s="2" t="s">
        <v>1181</v>
      </c>
      <c r="O5130" s="4" t="s">
        <v>1182</v>
      </c>
      <c r="P5130" s="2" t="s">
        <v>31793</v>
      </c>
      <c r="Q5130" s="2" t="s">
        <v>31794</v>
      </c>
      <c r="R5130" s="2" t="s">
        <v>1185</v>
      </c>
      <c r="S5130" s="4" t="s">
        <v>31795</v>
      </c>
      <c r="T5130" s="2" t="s">
        <v>66</v>
      </c>
      <c r="U5130" s="4" t="s">
        <v>31</v>
      </c>
      <c r="V5130" s="2" t="s">
        <v>57</v>
      </c>
      <c r="W5130" s="2" t="s">
        <v>31780</v>
      </c>
      <c r="X5130" s="5" t="str">
        <f>HYPERLINK("https://my.pitchbook.com?p=34155-28P","View People Online")</f>
        <v>View People Online</v>
      </c>
    </row>
    <row r="5131">
      <c r="A5131" s="6" t="s">
        <v>31936</v>
      </c>
      <c r="B5131" s="6" t="s">
        <v>31937</v>
      </c>
      <c r="C5131" s="6" t="s">
        <v>132</v>
      </c>
      <c r="D5131" s="6" t="s">
        <v>13914</v>
      </c>
      <c r="E5131" s="6" t="s">
        <v>31780</v>
      </c>
      <c r="F5131" s="6" t="s">
        <v>6793</v>
      </c>
      <c r="G5131" s="6" t="s">
        <v>31938</v>
      </c>
      <c r="H5131" s="7">
        <v>1.0</v>
      </c>
      <c r="I5131" s="7">
        <v>2.0</v>
      </c>
      <c r="J5131" s="7">
        <v>1.0</v>
      </c>
      <c r="K5131" s="7" t="s">
        <v>31</v>
      </c>
      <c r="L5131" s="8" t="s">
        <v>31</v>
      </c>
      <c r="M5131" s="6" t="s">
        <v>31939</v>
      </c>
      <c r="N5131" s="6" t="s">
        <v>31940</v>
      </c>
      <c r="O5131" s="8" t="s">
        <v>31941</v>
      </c>
      <c r="P5131" s="6" t="s">
        <v>31</v>
      </c>
      <c r="Q5131" s="6" t="s">
        <v>31</v>
      </c>
      <c r="R5131" s="6" t="s">
        <v>93</v>
      </c>
      <c r="S5131" s="8" t="s">
        <v>31</v>
      </c>
      <c r="T5131" s="6" t="s">
        <v>66</v>
      </c>
      <c r="U5131" s="8" t="s">
        <v>31</v>
      </c>
      <c r="V5131" s="6" t="s">
        <v>558</v>
      </c>
      <c r="W5131" s="6" t="s">
        <v>31942</v>
      </c>
      <c r="X5131" s="9" t="str">
        <f>HYPERLINK("https://my.pitchbook.com?p=274025-89P","View People Online")</f>
        <v>View People Online</v>
      </c>
    </row>
    <row r="5132">
      <c r="A5132" s="10" t="s">
        <v>31943</v>
      </c>
      <c r="B5132" s="10" t="s">
        <v>31944</v>
      </c>
      <c r="C5132" s="10" t="s">
        <v>31945</v>
      </c>
      <c r="D5132" s="10" t="s">
        <v>31946</v>
      </c>
      <c r="E5132" s="10" t="s">
        <v>31780</v>
      </c>
      <c r="F5132" s="10" t="s">
        <v>81</v>
      </c>
      <c r="G5132" s="10" t="s">
        <v>31947</v>
      </c>
      <c r="H5132" s="11" t="s">
        <v>31</v>
      </c>
      <c r="I5132" s="11">
        <v>12.0</v>
      </c>
      <c r="J5132" s="11" t="s">
        <v>31</v>
      </c>
      <c r="K5132" s="11">
        <v>7.0</v>
      </c>
      <c r="L5132" s="12" t="s">
        <v>31791</v>
      </c>
      <c r="M5132" s="10" t="s">
        <v>31</v>
      </c>
      <c r="N5132" s="10" t="s">
        <v>1181</v>
      </c>
      <c r="O5132" s="12" t="s">
        <v>1182</v>
      </c>
      <c r="P5132" s="10" t="s">
        <v>31793</v>
      </c>
      <c r="Q5132" s="10" t="s">
        <v>31794</v>
      </c>
      <c r="R5132" s="10" t="s">
        <v>1185</v>
      </c>
      <c r="S5132" s="12" t="s">
        <v>31795</v>
      </c>
      <c r="T5132" s="10" t="s">
        <v>66</v>
      </c>
      <c r="U5132" s="12" t="s">
        <v>31</v>
      </c>
      <c r="V5132" s="10" t="s">
        <v>31948</v>
      </c>
      <c r="W5132" s="10" t="s">
        <v>31949</v>
      </c>
      <c r="X5132" s="13" t="str">
        <f>HYPERLINK("https://my.pitchbook.com?p=31889-89P","View People Online")</f>
        <v>View People Online</v>
      </c>
    </row>
    <row r="5133">
      <c r="A5133" s="14" t="s">
        <v>31950</v>
      </c>
      <c r="B5133" s="14" t="s">
        <v>31951</v>
      </c>
      <c r="C5133" s="14" t="s">
        <v>3716</v>
      </c>
      <c r="D5133" s="14" t="s">
        <v>31952</v>
      </c>
      <c r="E5133" s="14" t="s">
        <v>31780</v>
      </c>
      <c r="F5133" s="14" t="s">
        <v>674</v>
      </c>
      <c r="G5133" s="14" t="s">
        <v>31953</v>
      </c>
      <c r="H5133" s="15">
        <v>6.0</v>
      </c>
      <c r="I5133" s="15">
        <v>33.0</v>
      </c>
      <c r="J5133" s="15">
        <v>1.0</v>
      </c>
      <c r="K5133" s="15">
        <v>23.0</v>
      </c>
      <c r="L5133" s="16" t="s">
        <v>31791</v>
      </c>
      <c r="M5133" s="14" t="s">
        <v>31954</v>
      </c>
      <c r="N5133" s="14" t="s">
        <v>1181</v>
      </c>
      <c r="O5133" s="16" t="s">
        <v>1182</v>
      </c>
      <c r="P5133" s="14" t="s">
        <v>31793</v>
      </c>
      <c r="Q5133" s="14" t="s">
        <v>31794</v>
      </c>
      <c r="R5133" s="14" t="s">
        <v>1185</v>
      </c>
      <c r="S5133" s="16" t="s">
        <v>31795</v>
      </c>
      <c r="T5133" s="14" t="s">
        <v>66</v>
      </c>
      <c r="U5133" s="16" t="s">
        <v>31</v>
      </c>
      <c r="V5133" s="14" t="s">
        <v>674</v>
      </c>
      <c r="W5133" s="14" t="s">
        <v>31780</v>
      </c>
      <c r="X5133" s="17" t="str">
        <f>HYPERLINK("https://my.pitchbook.com?p=42271-57P","View People Online")</f>
        <v>View People Online</v>
      </c>
    </row>
    <row r="5134">
      <c r="A5134" s="10" t="s">
        <v>31955</v>
      </c>
      <c r="B5134" s="10" t="s">
        <v>31956</v>
      </c>
      <c r="C5134" s="10" t="s">
        <v>6199</v>
      </c>
      <c r="D5134" s="10" t="s">
        <v>31957</v>
      </c>
      <c r="E5134" s="10" t="s">
        <v>31780</v>
      </c>
      <c r="F5134" s="10" t="s">
        <v>81</v>
      </c>
      <c r="G5134" s="10" t="s">
        <v>31958</v>
      </c>
      <c r="H5134" s="11">
        <v>4.0</v>
      </c>
      <c r="I5134" s="11">
        <v>21.0</v>
      </c>
      <c r="J5134" s="11">
        <v>1.0</v>
      </c>
      <c r="K5134" s="11">
        <v>13.0</v>
      </c>
      <c r="L5134" s="12" t="s">
        <v>31959</v>
      </c>
      <c r="M5134" s="10" t="s">
        <v>31960</v>
      </c>
      <c r="N5134" s="10" t="s">
        <v>31782</v>
      </c>
      <c r="O5134" s="12" t="s">
        <v>31783</v>
      </c>
      <c r="P5134" s="10" t="s">
        <v>31961</v>
      </c>
      <c r="Q5134" s="10" t="s">
        <v>31962</v>
      </c>
      <c r="R5134" s="10" t="s">
        <v>4092</v>
      </c>
      <c r="S5134" s="12" t="s">
        <v>31963</v>
      </c>
      <c r="T5134" s="10" t="s">
        <v>66</v>
      </c>
      <c r="U5134" s="12" t="s">
        <v>31</v>
      </c>
      <c r="V5134" s="10" t="s">
        <v>11734</v>
      </c>
      <c r="W5134" s="10" t="s">
        <v>31964</v>
      </c>
      <c r="X5134" s="13" t="str">
        <f>HYPERLINK("https://my.pitchbook.com?p=42272-47P","View People Online")</f>
        <v>View People Online</v>
      </c>
    </row>
    <row r="5135">
      <c r="A5135" s="6" t="s">
        <v>31965</v>
      </c>
      <c r="B5135" s="6" t="s">
        <v>31966</v>
      </c>
      <c r="C5135" s="6" t="s">
        <v>13523</v>
      </c>
      <c r="D5135" s="6" t="s">
        <v>18864</v>
      </c>
      <c r="E5135" s="6" t="s">
        <v>31967</v>
      </c>
      <c r="F5135" s="6" t="s">
        <v>270</v>
      </c>
      <c r="G5135" s="6" t="s">
        <v>31968</v>
      </c>
      <c r="H5135" s="7" t="s">
        <v>31</v>
      </c>
      <c r="I5135" s="7">
        <v>1.0</v>
      </c>
      <c r="J5135" s="7">
        <v>1.0</v>
      </c>
      <c r="K5135" s="7" t="s">
        <v>31</v>
      </c>
      <c r="L5135" s="8" t="s">
        <v>31969</v>
      </c>
      <c r="M5135" s="6" t="s">
        <v>31970</v>
      </c>
      <c r="N5135" s="6" t="s">
        <v>1348</v>
      </c>
      <c r="O5135" s="8" t="s">
        <v>1349</v>
      </c>
      <c r="P5135" s="6" t="s">
        <v>31971</v>
      </c>
      <c r="Q5135" s="6" t="s">
        <v>31</v>
      </c>
      <c r="R5135" s="6" t="s">
        <v>1018</v>
      </c>
      <c r="S5135" s="8" t="s">
        <v>31972</v>
      </c>
      <c r="T5135" s="6" t="s">
        <v>1019</v>
      </c>
      <c r="U5135" s="8" t="s">
        <v>31</v>
      </c>
      <c r="V5135" s="6" t="s">
        <v>31973</v>
      </c>
      <c r="W5135" s="6" t="s">
        <v>31967</v>
      </c>
      <c r="X5135" s="9" t="str">
        <f>HYPERLINK("https://my.pitchbook.com?p=419594-77P","View People Online")</f>
        <v>View People Online</v>
      </c>
    </row>
    <row r="5136">
      <c r="A5136" s="10" t="s">
        <v>31974</v>
      </c>
      <c r="B5136" s="10" t="s">
        <v>31975</v>
      </c>
      <c r="C5136" s="10" t="s">
        <v>1410</v>
      </c>
      <c r="D5136" s="10" t="s">
        <v>200</v>
      </c>
      <c r="E5136" s="10" t="s">
        <v>31976</v>
      </c>
      <c r="F5136" s="10" t="s">
        <v>43</v>
      </c>
      <c r="G5136" s="10" t="s">
        <v>31977</v>
      </c>
      <c r="H5136" s="11">
        <v>3.0</v>
      </c>
      <c r="I5136" s="11">
        <v>14.0</v>
      </c>
      <c r="J5136" s="11">
        <v>1.0</v>
      </c>
      <c r="K5136" s="11">
        <v>6.0</v>
      </c>
      <c r="L5136" s="12" t="s">
        <v>31978</v>
      </c>
      <c r="M5136" s="10" t="s">
        <v>31979</v>
      </c>
      <c r="N5136" s="10" t="s">
        <v>775</v>
      </c>
      <c r="O5136" s="12" t="s">
        <v>776</v>
      </c>
      <c r="P5136" s="10" t="s">
        <v>31980</v>
      </c>
      <c r="Q5136" s="10" t="s">
        <v>31</v>
      </c>
      <c r="R5136" s="10" t="s">
        <v>64</v>
      </c>
      <c r="S5136" s="12" t="s">
        <v>779</v>
      </c>
      <c r="T5136" s="10" t="s">
        <v>66</v>
      </c>
      <c r="U5136" s="12" t="s">
        <v>31981</v>
      </c>
      <c r="V5136" s="10" t="s">
        <v>43</v>
      </c>
      <c r="W5136" s="10" t="s">
        <v>31976</v>
      </c>
      <c r="X5136" s="13" t="str">
        <f>HYPERLINK("https://my.pitchbook.com?p=39588-31P","View People Online")</f>
        <v>View People Online</v>
      </c>
    </row>
    <row r="5137">
      <c r="A5137" s="14" t="s">
        <v>31982</v>
      </c>
      <c r="B5137" s="14" t="s">
        <v>31983</v>
      </c>
      <c r="C5137" s="14" t="s">
        <v>233</v>
      </c>
      <c r="D5137" s="14" t="s">
        <v>31984</v>
      </c>
      <c r="E5137" s="14" t="s">
        <v>31976</v>
      </c>
      <c r="F5137" s="14" t="s">
        <v>43</v>
      </c>
      <c r="G5137" s="14" t="s">
        <v>31985</v>
      </c>
      <c r="H5137" s="15">
        <v>4.0</v>
      </c>
      <c r="I5137" s="15">
        <v>38.0</v>
      </c>
      <c r="J5137" s="15">
        <v>1.0</v>
      </c>
      <c r="K5137" s="15">
        <v>28.0</v>
      </c>
      <c r="L5137" s="16" t="s">
        <v>31978</v>
      </c>
      <c r="M5137" s="14" t="s">
        <v>31986</v>
      </c>
      <c r="N5137" s="14" t="s">
        <v>775</v>
      </c>
      <c r="O5137" s="16" t="s">
        <v>776</v>
      </c>
      <c r="P5137" s="14" t="s">
        <v>31980</v>
      </c>
      <c r="Q5137" s="14" t="s">
        <v>31</v>
      </c>
      <c r="R5137" s="14" t="s">
        <v>64</v>
      </c>
      <c r="S5137" s="16" t="s">
        <v>779</v>
      </c>
      <c r="T5137" s="14" t="s">
        <v>66</v>
      </c>
      <c r="U5137" s="16" t="s">
        <v>31981</v>
      </c>
      <c r="V5137" s="14" t="s">
        <v>43</v>
      </c>
      <c r="W5137" s="14" t="s">
        <v>31976</v>
      </c>
      <c r="X5137" s="17" t="str">
        <f>HYPERLINK("https://my.pitchbook.com?p=192844-45P","View People Online")</f>
        <v>View People Online</v>
      </c>
    </row>
    <row r="5138">
      <c r="A5138" s="10" t="s">
        <v>31987</v>
      </c>
      <c r="B5138" s="10" t="s">
        <v>31988</v>
      </c>
      <c r="C5138" s="10" t="s">
        <v>31989</v>
      </c>
      <c r="D5138" s="10" t="s">
        <v>28476</v>
      </c>
      <c r="E5138" s="10" t="s">
        <v>31976</v>
      </c>
      <c r="F5138" s="10" t="s">
        <v>825</v>
      </c>
      <c r="G5138" s="10" t="s">
        <v>31990</v>
      </c>
      <c r="H5138" s="11" t="s">
        <v>31</v>
      </c>
      <c r="I5138" s="11">
        <v>1.0</v>
      </c>
      <c r="J5138" s="11">
        <v>1.0</v>
      </c>
      <c r="K5138" s="11" t="s">
        <v>31</v>
      </c>
      <c r="L5138" s="12" t="s">
        <v>31978</v>
      </c>
      <c r="M5138" s="10" t="s">
        <v>31991</v>
      </c>
      <c r="N5138" s="10" t="s">
        <v>775</v>
      </c>
      <c r="O5138" s="12" t="s">
        <v>776</v>
      </c>
      <c r="P5138" s="10" t="s">
        <v>31980</v>
      </c>
      <c r="Q5138" s="10" t="s">
        <v>31</v>
      </c>
      <c r="R5138" s="10" t="s">
        <v>64</v>
      </c>
      <c r="S5138" s="12" t="s">
        <v>779</v>
      </c>
      <c r="T5138" s="10" t="s">
        <v>66</v>
      </c>
      <c r="U5138" s="12" t="s">
        <v>31981</v>
      </c>
      <c r="V5138" s="10" t="s">
        <v>950</v>
      </c>
      <c r="W5138" s="10" t="s">
        <v>31976</v>
      </c>
      <c r="X5138" s="13" t="str">
        <f>HYPERLINK("https://my.pitchbook.com?p=41474-08P","View People Online")</f>
        <v>View People Online</v>
      </c>
    </row>
    <row r="5139">
      <c r="A5139" s="14" t="s">
        <v>31992</v>
      </c>
      <c r="B5139" s="14" t="s">
        <v>31993</v>
      </c>
      <c r="C5139" s="14" t="s">
        <v>1437</v>
      </c>
      <c r="D5139" s="14" t="s">
        <v>31994</v>
      </c>
      <c r="E5139" s="14" t="s">
        <v>31976</v>
      </c>
      <c r="F5139" s="14" t="s">
        <v>29</v>
      </c>
      <c r="G5139" s="14" t="s">
        <v>31995</v>
      </c>
      <c r="H5139" s="15" t="s">
        <v>31</v>
      </c>
      <c r="I5139" s="15">
        <v>3.0</v>
      </c>
      <c r="J5139" s="15">
        <v>1.0</v>
      </c>
      <c r="K5139" s="15">
        <v>1.0</v>
      </c>
      <c r="L5139" s="16" t="s">
        <v>31978</v>
      </c>
      <c r="M5139" s="14" t="s">
        <v>31996</v>
      </c>
      <c r="N5139" s="14" t="s">
        <v>775</v>
      </c>
      <c r="O5139" s="16" t="s">
        <v>776</v>
      </c>
      <c r="P5139" s="14" t="s">
        <v>31980</v>
      </c>
      <c r="Q5139" s="14" t="s">
        <v>31</v>
      </c>
      <c r="R5139" s="14" t="s">
        <v>64</v>
      </c>
      <c r="S5139" s="16" t="s">
        <v>779</v>
      </c>
      <c r="T5139" s="14" t="s">
        <v>66</v>
      </c>
      <c r="U5139" s="16" t="s">
        <v>31981</v>
      </c>
      <c r="V5139" s="14" t="s">
        <v>29</v>
      </c>
      <c r="W5139" s="14" t="s">
        <v>31976</v>
      </c>
      <c r="X5139" s="17" t="str">
        <f>HYPERLINK("https://my.pitchbook.com?p=50407-93P","View People Online")</f>
        <v>View People Online</v>
      </c>
    </row>
    <row r="5140">
      <c r="A5140" s="10" t="s">
        <v>31997</v>
      </c>
      <c r="B5140" s="10" t="s">
        <v>31998</v>
      </c>
      <c r="C5140" s="10" t="s">
        <v>454</v>
      </c>
      <c r="D5140" s="10" t="s">
        <v>1723</v>
      </c>
      <c r="E5140" s="10" t="s">
        <v>31976</v>
      </c>
      <c r="F5140" s="10" t="s">
        <v>371</v>
      </c>
      <c r="G5140" s="10" t="s">
        <v>31999</v>
      </c>
      <c r="H5140" s="11" t="s">
        <v>31</v>
      </c>
      <c r="I5140" s="11">
        <v>1.0</v>
      </c>
      <c r="J5140" s="11">
        <v>1.0</v>
      </c>
      <c r="K5140" s="11" t="s">
        <v>31</v>
      </c>
      <c r="L5140" s="12" t="s">
        <v>31978</v>
      </c>
      <c r="M5140" s="10" t="s">
        <v>32000</v>
      </c>
      <c r="N5140" s="10" t="s">
        <v>775</v>
      </c>
      <c r="O5140" s="12" t="s">
        <v>776</v>
      </c>
      <c r="P5140" s="10" t="s">
        <v>31980</v>
      </c>
      <c r="Q5140" s="10" t="s">
        <v>31</v>
      </c>
      <c r="R5140" s="10" t="s">
        <v>64</v>
      </c>
      <c r="S5140" s="12" t="s">
        <v>779</v>
      </c>
      <c r="T5140" s="10" t="s">
        <v>66</v>
      </c>
      <c r="U5140" s="12" t="s">
        <v>31981</v>
      </c>
      <c r="V5140" s="10" t="s">
        <v>3808</v>
      </c>
      <c r="W5140" s="10" t="s">
        <v>31976</v>
      </c>
      <c r="X5140" s="13" t="str">
        <f>HYPERLINK("https://my.pitchbook.com?p=264275-38P","View People Online")</f>
        <v>View People Online</v>
      </c>
    </row>
    <row r="5141">
      <c r="A5141" s="6" t="s">
        <v>32001</v>
      </c>
      <c r="B5141" s="6" t="s">
        <v>32002</v>
      </c>
      <c r="C5141" s="6" t="s">
        <v>32003</v>
      </c>
      <c r="D5141" s="6" t="s">
        <v>3941</v>
      </c>
      <c r="E5141" s="6" t="s">
        <v>31976</v>
      </c>
      <c r="F5141" s="6" t="s">
        <v>120</v>
      </c>
      <c r="G5141" s="6" t="s">
        <v>32004</v>
      </c>
      <c r="H5141" s="7">
        <v>1.0</v>
      </c>
      <c r="I5141" s="7">
        <v>6.0</v>
      </c>
      <c r="J5141" s="7">
        <v>1.0</v>
      </c>
      <c r="K5141" s="7">
        <v>2.0</v>
      </c>
      <c r="L5141" s="8" t="s">
        <v>31978</v>
      </c>
      <c r="M5141" s="6" t="s">
        <v>32005</v>
      </c>
      <c r="N5141" s="6" t="s">
        <v>775</v>
      </c>
      <c r="O5141" s="8" t="s">
        <v>776</v>
      </c>
      <c r="P5141" s="6" t="s">
        <v>31980</v>
      </c>
      <c r="Q5141" s="6" t="s">
        <v>31</v>
      </c>
      <c r="R5141" s="6" t="s">
        <v>64</v>
      </c>
      <c r="S5141" s="8" t="s">
        <v>779</v>
      </c>
      <c r="T5141" s="6" t="s">
        <v>66</v>
      </c>
      <c r="U5141" s="8" t="s">
        <v>31981</v>
      </c>
      <c r="V5141" s="6" t="s">
        <v>31</v>
      </c>
      <c r="W5141" s="6" t="s">
        <v>32006</v>
      </c>
      <c r="X5141" s="9" t="str">
        <f>HYPERLINK("https://my.pitchbook.com?p=46487-35P","View People Online")</f>
        <v>View People Online</v>
      </c>
    </row>
    <row r="5142">
      <c r="A5142" s="10" t="s">
        <v>32007</v>
      </c>
      <c r="B5142" s="10" t="s">
        <v>32008</v>
      </c>
      <c r="C5142" s="10" t="s">
        <v>4358</v>
      </c>
      <c r="D5142" s="10" t="s">
        <v>32009</v>
      </c>
      <c r="E5142" s="10" t="s">
        <v>31976</v>
      </c>
      <c r="F5142" s="10" t="s">
        <v>221</v>
      </c>
      <c r="G5142" s="10" t="s">
        <v>32010</v>
      </c>
      <c r="H5142" s="11" t="s">
        <v>31</v>
      </c>
      <c r="I5142" s="11">
        <v>1.0</v>
      </c>
      <c r="J5142" s="11">
        <v>1.0</v>
      </c>
      <c r="K5142" s="11" t="s">
        <v>31</v>
      </c>
      <c r="L5142" s="12" t="s">
        <v>31978</v>
      </c>
      <c r="M5142" s="10" t="s">
        <v>32011</v>
      </c>
      <c r="N5142" s="10" t="s">
        <v>775</v>
      </c>
      <c r="O5142" s="12" t="s">
        <v>776</v>
      </c>
      <c r="P5142" s="10" t="s">
        <v>31980</v>
      </c>
      <c r="Q5142" s="10" t="s">
        <v>31</v>
      </c>
      <c r="R5142" s="10" t="s">
        <v>64</v>
      </c>
      <c r="S5142" s="12" t="s">
        <v>779</v>
      </c>
      <c r="T5142" s="10" t="s">
        <v>66</v>
      </c>
      <c r="U5142" s="12" t="s">
        <v>31981</v>
      </c>
      <c r="V5142" s="10" t="s">
        <v>221</v>
      </c>
      <c r="W5142" s="10" t="s">
        <v>31976</v>
      </c>
      <c r="X5142" s="13" t="str">
        <f>HYPERLINK("https://my.pitchbook.com?p=229825-81P","View People Online")</f>
        <v>View People Online</v>
      </c>
    </row>
    <row r="5143">
      <c r="A5143" s="6" t="s">
        <v>32012</v>
      </c>
      <c r="B5143" s="6" t="s">
        <v>32013</v>
      </c>
      <c r="C5143" s="6" t="s">
        <v>4358</v>
      </c>
      <c r="D5143" s="6" t="s">
        <v>32014</v>
      </c>
      <c r="E5143" s="6" t="s">
        <v>31976</v>
      </c>
      <c r="F5143" s="6" t="s">
        <v>221</v>
      </c>
      <c r="G5143" s="6" t="s">
        <v>32015</v>
      </c>
      <c r="H5143" s="7" t="s">
        <v>31</v>
      </c>
      <c r="I5143" s="7">
        <v>1.0</v>
      </c>
      <c r="J5143" s="7">
        <v>1.0</v>
      </c>
      <c r="K5143" s="7" t="s">
        <v>31</v>
      </c>
      <c r="L5143" s="8" t="s">
        <v>31978</v>
      </c>
      <c r="M5143" s="6" t="s">
        <v>32016</v>
      </c>
      <c r="N5143" s="6" t="s">
        <v>775</v>
      </c>
      <c r="O5143" s="8" t="s">
        <v>776</v>
      </c>
      <c r="P5143" s="6" t="s">
        <v>31980</v>
      </c>
      <c r="Q5143" s="6" t="s">
        <v>31</v>
      </c>
      <c r="R5143" s="6" t="s">
        <v>64</v>
      </c>
      <c r="S5143" s="8" t="s">
        <v>779</v>
      </c>
      <c r="T5143" s="6" t="s">
        <v>66</v>
      </c>
      <c r="U5143" s="8" t="s">
        <v>31981</v>
      </c>
      <c r="V5143" s="6" t="s">
        <v>221</v>
      </c>
      <c r="W5143" s="6" t="s">
        <v>31976</v>
      </c>
      <c r="X5143" s="9" t="str">
        <f>HYPERLINK("https://my.pitchbook.com?p=440809-84P","View People Online")</f>
        <v>View People Online</v>
      </c>
    </row>
    <row r="5144">
      <c r="A5144" s="10" t="s">
        <v>32017</v>
      </c>
      <c r="B5144" s="10" t="s">
        <v>32018</v>
      </c>
      <c r="C5144" s="10" t="s">
        <v>823</v>
      </c>
      <c r="D5144" s="10" t="s">
        <v>32019</v>
      </c>
      <c r="E5144" s="10" t="s">
        <v>31976</v>
      </c>
      <c r="F5144" s="10" t="s">
        <v>43</v>
      </c>
      <c r="G5144" s="10" t="s">
        <v>32020</v>
      </c>
      <c r="H5144" s="11">
        <v>9.0</v>
      </c>
      <c r="I5144" s="11">
        <v>33.0</v>
      </c>
      <c r="J5144" s="11">
        <v>1.0</v>
      </c>
      <c r="K5144" s="11">
        <v>17.0</v>
      </c>
      <c r="L5144" s="12" t="s">
        <v>31978</v>
      </c>
      <c r="M5144" s="10" t="s">
        <v>32021</v>
      </c>
      <c r="N5144" s="10" t="s">
        <v>775</v>
      </c>
      <c r="O5144" s="12" t="s">
        <v>776</v>
      </c>
      <c r="P5144" s="10" t="s">
        <v>31980</v>
      </c>
      <c r="Q5144" s="10" t="s">
        <v>31</v>
      </c>
      <c r="R5144" s="10" t="s">
        <v>64</v>
      </c>
      <c r="S5144" s="12" t="s">
        <v>779</v>
      </c>
      <c r="T5144" s="10" t="s">
        <v>66</v>
      </c>
      <c r="U5144" s="12" t="s">
        <v>31981</v>
      </c>
      <c r="V5144" s="10" t="s">
        <v>43</v>
      </c>
      <c r="W5144" s="10" t="s">
        <v>31976</v>
      </c>
      <c r="X5144" s="13" t="str">
        <f>HYPERLINK("https://my.pitchbook.com?p=72593-29P","View People Online")</f>
        <v>View People Online</v>
      </c>
    </row>
    <row r="5145">
      <c r="A5145" s="6" t="s">
        <v>32022</v>
      </c>
      <c r="B5145" s="6" t="s">
        <v>32023</v>
      </c>
      <c r="C5145" s="6" t="s">
        <v>3529</v>
      </c>
      <c r="D5145" s="6" t="s">
        <v>32024</v>
      </c>
      <c r="E5145" s="6" t="s">
        <v>31976</v>
      </c>
      <c r="F5145" s="6" t="s">
        <v>2574</v>
      </c>
      <c r="G5145" s="6" t="s">
        <v>32025</v>
      </c>
      <c r="H5145" s="7">
        <v>7.0</v>
      </c>
      <c r="I5145" s="7">
        <v>19.0</v>
      </c>
      <c r="J5145" s="7">
        <v>5.0</v>
      </c>
      <c r="K5145" s="7">
        <v>8.0</v>
      </c>
      <c r="L5145" s="8" t="s">
        <v>31978</v>
      </c>
      <c r="M5145" s="6" t="s">
        <v>32026</v>
      </c>
      <c r="N5145" s="6" t="s">
        <v>775</v>
      </c>
      <c r="O5145" s="8" t="s">
        <v>776</v>
      </c>
      <c r="P5145" s="6" t="s">
        <v>31980</v>
      </c>
      <c r="Q5145" s="6" t="s">
        <v>31</v>
      </c>
      <c r="R5145" s="6" t="s">
        <v>64</v>
      </c>
      <c r="S5145" s="8" t="s">
        <v>779</v>
      </c>
      <c r="T5145" s="6" t="s">
        <v>66</v>
      </c>
      <c r="U5145" s="8" t="s">
        <v>31981</v>
      </c>
      <c r="V5145" s="6" t="s">
        <v>32027</v>
      </c>
      <c r="W5145" s="6" t="s">
        <v>31976</v>
      </c>
      <c r="X5145" s="9" t="str">
        <f>HYPERLINK("https://my.pitchbook.com?p=62952-58P","View People Online")</f>
        <v>View People Online</v>
      </c>
    </row>
    <row r="5146">
      <c r="A5146" s="10" t="s">
        <v>32028</v>
      </c>
      <c r="B5146" s="10" t="s">
        <v>32029</v>
      </c>
      <c r="C5146" s="10" t="s">
        <v>3670</v>
      </c>
      <c r="D5146" s="10" t="s">
        <v>32030</v>
      </c>
      <c r="E5146" s="10" t="s">
        <v>31976</v>
      </c>
      <c r="F5146" s="10" t="s">
        <v>270</v>
      </c>
      <c r="G5146" s="10" t="s">
        <v>32031</v>
      </c>
      <c r="H5146" s="11" t="s">
        <v>31</v>
      </c>
      <c r="I5146" s="11">
        <v>1.0</v>
      </c>
      <c r="J5146" s="11">
        <v>1.0</v>
      </c>
      <c r="K5146" s="11" t="s">
        <v>31</v>
      </c>
      <c r="L5146" s="12" t="s">
        <v>31978</v>
      </c>
      <c r="M5146" s="10" t="s">
        <v>32032</v>
      </c>
      <c r="N5146" s="10" t="s">
        <v>775</v>
      </c>
      <c r="O5146" s="12" t="s">
        <v>776</v>
      </c>
      <c r="P5146" s="10" t="s">
        <v>31980</v>
      </c>
      <c r="Q5146" s="10" t="s">
        <v>31</v>
      </c>
      <c r="R5146" s="10" t="s">
        <v>64</v>
      </c>
      <c r="S5146" s="12" t="s">
        <v>779</v>
      </c>
      <c r="T5146" s="10" t="s">
        <v>66</v>
      </c>
      <c r="U5146" s="12" t="s">
        <v>31981</v>
      </c>
      <c r="V5146" s="10" t="s">
        <v>662</v>
      </c>
      <c r="W5146" s="10" t="s">
        <v>31976</v>
      </c>
      <c r="X5146" s="13" t="str">
        <f>HYPERLINK("https://my.pitchbook.com?p=440813-62P","View People Online")</f>
        <v>View People Online</v>
      </c>
    </row>
    <row r="5147">
      <c r="A5147" s="6" t="s">
        <v>32033</v>
      </c>
      <c r="B5147" s="6" t="s">
        <v>32034</v>
      </c>
      <c r="C5147" s="6" t="s">
        <v>24935</v>
      </c>
      <c r="D5147" s="6" t="s">
        <v>32035</v>
      </c>
      <c r="E5147" s="6" t="s">
        <v>31976</v>
      </c>
      <c r="F5147" s="6" t="s">
        <v>318</v>
      </c>
      <c r="G5147" s="6" t="s">
        <v>32036</v>
      </c>
      <c r="H5147" s="7">
        <v>1.0</v>
      </c>
      <c r="I5147" s="7">
        <v>2.0</v>
      </c>
      <c r="J5147" s="7">
        <v>1.0</v>
      </c>
      <c r="K5147" s="7" t="s">
        <v>31</v>
      </c>
      <c r="L5147" s="8" t="s">
        <v>31978</v>
      </c>
      <c r="M5147" s="6" t="s">
        <v>32037</v>
      </c>
      <c r="N5147" s="6" t="s">
        <v>155</v>
      </c>
      <c r="O5147" s="8" t="s">
        <v>156</v>
      </c>
      <c r="P5147" s="6" t="s">
        <v>32038</v>
      </c>
      <c r="Q5147" s="6" t="s">
        <v>310</v>
      </c>
      <c r="R5147" s="6" t="s">
        <v>64</v>
      </c>
      <c r="S5147" s="8" t="s">
        <v>7810</v>
      </c>
      <c r="T5147" s="6" t="s">
        <v>66</v>
      </c>
      <c r="U5147" s="8" t="s">
        <v>31981</v>
      </c>
      <c r="V5147" s="6" t="s">
        <v>318</v>
      </c>
      <c r="W5147" s="6" t="s">
        <v>31976</v>
      </c>
      <c r="X5147" s="9" t="str">
        <f>HYPERLINK("https://my.pitchbook.com?p=212066-11P","View People Online")</f>
        <v>View People Online</v>
      </c>
    </row>
    <row r="5148">
      <c r="A5148" s="10" t="s">
        <v>32039</v>
      </c>
      <c r="B5148" s="10" t="s">
        <v>32040</v>
      </c>
      <c r="C5148" s="10" t="s">
        <v>18876</v>
      </c>
      <c r="D5148" s="10" t="s">
        <v>1723</v>
      </c>
      <c r="E5148" s="10" t="s">
        <v>31976</v>
      </c>
      <c r="F5148" s="10" t="s">
        <v>6567</v>
      </c>
      <c r="G5148" s="10" t="s">
        <v>32041</v>
      </c>
      <c r="H5148" s="11" t="s">
        <v>31</v>
      </c>
      <c r="I5148" s="11">
        <v>1.0</v>
      </c>
      <c r="J5148" s="11">
        <v>1.0</v>
      </c>
      <c r="K5148" s="11" t="s">
        <v>31</v>
      </c>
      <c r="L5148" s="12" t="s">
        <v>31978</v>
      </c>
      <c r="M5148" s="10" t="s">
        <v>32042</v>
      </c>
      <c r="N5148" s="10" t="s">
        <v>775</v>
      </c>
      <c r="O5148" s="12" t="s">
        <v>776</v>
      </c>
      <c r="P5148" s="10" t="s">
        <v>31980</v>
      </c>
      <c r="Q5148" s="10" t="s">
        <v>31</v>
      </c>
      <c r="R5148" s="10" t="s">
        <v>64</v>
      </c>
      <c r="S5148" s="12" t="s">
        <v>779</v>
      </c>
      <c r="T5148" s="10" t="s">
        <v>66</v>
      </c>
      <c r="U5148" s="12" t="s">
        <v>31981</v>
      </c>
      <c r="V5148" s="10" t="s">
        <v>6567</v>
      </c>
      <c r="W5148" s="10" t="s">
        <v>31976</v>
      </c>
      <c r="X5148" s="13" t="str">
        <f>HYPERLINK("https://my.pitchbook.com?p=389867-23P","View People Online")</f>
        <v>View People Online</v>
      </c>
    </row>
    <row r="5149">
      <c r="A5149" s="14" t="s">
        <v>32043</v>
      </c>
      <c r="B5149" s="14" t="s">
        <v>32044</v>
      </c>
      <c r="C5149" s="14" t="s">
        <v>160</v>
      </c>
      <c r="D5149" s="14" t="s">
        <v>1490</v>
      </c>
      <c r="E5149" s="14" t="s">
        <v>31976</v>
      </c>
      <c r="F5149" s="14" t="s">
        <v>120</v>
      </c>
      <c r="G5149" s="14" t="s">
        <v>32045</v>
      </c>
      <c r="H5149" s="15">
        <v>3.0</v>
      </c>
      <c r="I5149" s="15">
        <v>7.0</v>
      </c>
      <c r="J5149" s="15">
        <v>1.0</v>
      </c>
      <c r="K5149" s="15">
        <v>3.0</v>
      </c>
      <c r="L5149" s="16" t="s">
        <v>32046</v>
      </c>
      <c r="M5149" s="14" t="s">
        <v>32047</v>
      </c>
      <c r="N5149" s="14" t="s">
        <v>775</v>
      </c>
      <c r="O5149" s="16" t="s">
        <v>776</v>
      </c>
      <c r="P5149" s="14" t="s">
        <v>31980</v>
      </c>
      <c r="Q5149" s="14" t="s">
        <v>31</v>
      </c>
      <c r="R5149" s="14" t="s">
        <v>64</v>
      </c>
      <c r="S5149" s="16" t="s">
        <v>779</v>
      </c>
      <c r="T5149" s="14" t="s">
        <v>66</v>
      </c>
      <c r="U5149" s="16" t="s">
        <v>31981</v>
      </c>
      <c r="V5149" s="14" t="s">
        <v>120</v>
      </c>
      <c r="W5149" s="14" t="s">
        <v>31976</v>
      </c>
      <c r="X5149" s="17" t="str">
        <f>HYPERLINK("https://my.pitchbook.com?p=32704-66P","View People Online")</f>
        <v>View People Online</v>
      </c>
    </row>
    <row r="5150">
      <c r="A5150" s="2" t="s">
        <v>32048</v>
      </c>
      <c r="B5150" s="2" t="s">
        <v>32049</v>
      </c>
      <c r="C5150" s="2" t="s">
        <v>160</v>
      </c>
      <c r="D5150" s="2" t="s">
        <v>32050</v>
      </c>
      <c r="E5150" s="2" t="s">
        <v>31976</v>
      </c>
      <c r="F5150" s="2" t="s">
        <v>674</v>
      </c>
      <c r="G5150" s="2" t="s">
        <v>32051</v>
      </c>
      <c r="H5150" s="3">
        <v>15.0</v>
      </c>
      <c r="I5150" s="3">
        <v>222.0</v>
      </c>
      <c r="J5150" s="3">
        <v>2.0</v>
      </c>
      <c r="K5150" s="3">
        <v>190.0</v>
      </c>
      <c r="L5150" s="4" t="s">
        <v>31978</v>
      </c>
      <c r="M5150" s="2" t="s">
        <v>32052</v>
      </c>
      <c r="N5150" s="2" t="s">
        <v>775</v>
      </c>
      <c r="O5150" s="4" t="s">
        <v>776</v>
      </c>
      <c r="P5150" s="2" t="s">
        <v>31980</v>
      </c>
      <c r="Q5150" s="2" t="s">
        <v>31</v>
      </c>
      <c r="R5150" s="2" t="s">
        <v>64</v>
      </c>
      <c r="S5150" s="4" t="s">
        <v>779</v>
      </c>
      <c r="T5150" s="2" t="s">
        <v>66</v>
      </c>
      <c r="U5150" s="4" t="s">
        <v>31981</v>
      </c>
      <c r="V5150" s="2" t="s">
        <v>1172</v>
      </c>
      <c r="W5150" s="2" t="s">
        <v>31976</v>
      </c>
      <c r="X5150" s="5" t="str">
        <f>HYPERLINK("https://my.pitchbook.com?p=40534-03P","View People Online")</f>
        <v>View People Online</v>
      </c>
    </row>
    <row r="5151">
      <c r="A5151" s="14" t="s">
        <v>32053</v>
      </c>
      <c r="B5151" s="14" t="s">
        <v>32054</v>
      </c>
      <c r="C5151" s="14" t="s">
        <v>126</v>
      </c>
      <c r="D5151" s="14" t="s">
        <v>32055</v>
      </c>
      <c r="E5151" s="14" t="s">
        <v>31976</v>
      </c>
      <c r="F5151" s="14" t="s">
        <v>71</v>
      </c>
      <c r="G5151" s="14" t="s">
        <v>32056</v>
      </c>
      <c r="H5151" s="15">
        <v>1.0</v>
      </c>
      <c r="I5151" s="15">
        <v>9.0</v>
      </c>
      <c r="J5151" s="15">
        <v>3.0</v>
      </c>
      <c r="K5151" s="15">
        <v>3.0</v>
      </c>
      <c r="L5151" s="16" t="s">
        <v>31</v>
      </c>
      <c r="M5151" s="14" t="s">
        <v>32057</v>
      </c>
      <c r="N5151" s="14" t="s">
        <v>155</v>
      </c>
      <c r="O5151" s="16" t="s">
        <v>156</v>
      </c>
      <c r="P5151" s="14" t="s">
        <v>32058</v>
      </c>
      <c r="Q5151" s="14" t="s">
        <v>32059</v>
      </c>
      <c r="R5151" s="14" t="s">
        <v>64</v>
      </c>
      <c r="S5151" s="16" t="s">
        <v>1339</v>
      </c>
      <c r="T5151" s="14" t="s">
        <v>66</v>
      </c>
      <c r="U5151" s="16" t="s">
        <v>31</v>
      </c>
      <c r="V5151" s="14" t="s">
        <v>991</v>
      </c>
      <c r="W5151" s="14" t="s">
        <v>32060</v>
      </c>
      <c r="X5151" s="17" t="str">
        <f>HYPERLINK("https://my.pitchbook.com?p=41064-40P","View People Online")</f>
        <v>View People Online</v>
      </c>
    </row>
    <row r="5152">
      <c r="A5152" s="2" t="s">
        <v>32061</v>
      </c>
      <c r="B5152" s="2" t="s">
        <v>32062</v>
      </c>
      <c r="C5152" s="2" t="s">
        <v>32063</v>
      </c>
      <c r="D5152" s="2" t="s">
        <v>5327</v>
      </c>
      <c r="E5152" s="2" t="s">
        <v>31976</v>
      </c>
      <c r="F5152" s="2" t="s">
        <v>43</v>
      </c>
      <c r="G5152" s="2" t="s">
        <v>32064</v>
      </c>
      <c r="H5152" s="3">
        <v>2.0</v>
      </c>
      <c r="I5152" s="3">
        <v>20.0</v>
      </c>
      <c r="J5152" s="3">
        <v>1.0</v>
      </c>
      <c r="K5152" s="3">
        <v>15.0</v>
      </c>
      <c r="L5152" s="4" t="s">
        <v>32065</v>
      </c>
      <c r="M5152" s="2" t="s">
        <v>32066</v>
      </c>
      <c r="N5152" s="2" t="s">
        <v>775</v>
      </c>
      <c r="O5152" s="4" t="s">
        <v>776</v>
      </c>
      <c r="P5152" s="2" t="s">
        <v>31980</v>
      </c>
      <c r="Q5152" s="2" t="s">
        <v>31</v>
      </c>
      <c r="R5152" s="2" t="s">
        <v>64</v>
      </c>
      <c r="S5152" s="4" t="s">
        <v>779</v>
      </c>
      <c r="T5152" s="2" t="s">
        <v>66</v>
      </c>
      <c r="U5152" s="4" t="s">
        <v>31981</v>
      </c>
      <c r="V5152" s="2" t="s">
        <v>43</v>
      </c>
      <c r="W5152" s="2" t="s">
        <v>31976</v>
      </c>
      <c r="X5152" s="5" t="str">
        <f>HYPERLINK("https://my.pitchbook.com?p=187994-62P","View People Online")</f>
        <v>View People Online</v>
      </c>
    </row>
    <row r="5153">
      <c r="A5153" s="14" t="s">
        <v>32067</v>
      </c>
      <c r="B5153" s="14" t="s">
        <v>32068</v>
      </c>
      <c r="C5153" s="14" t="s">
        <v>20078</v>
      </c>
      <c r="D5153" s="14" t="s">
        <v>32069</v>
      </c>
      <c r="E5153" s="14" t="s">
        <v>31976</v>
      </c>
      <c r="F5153" s="14" t="s">
        <v>29</v>
      </c>
      <c r="G5153" s="14" t="s">
        <v>32070</v>
      </c>
      <c r="H5153" s="15" t="s">
        <v>31</v>
      </c>
      <c r="I5153" s="15">
        <v>1.0</v>
      </c>
      <c r="J5153" s="15">
        <v>1.0</v>
      </c>
      <c r="K5153" s="15" t="s">
        <v>31</v>
      </c>
      <c r="L5153" s="16" t="s">
        <v>31978</v>
      </c>
      <c r="M5153" s="14" t="s">
        <v>32071</v>
      </c>
      <c r="N5153" s="14" t="s">
        <v>775</v>
      </c>
      <c r="O5153" s="16" t="s">
        <v>776</v>
      </c>
      <c r="P5153" s="14" t="s">
        <v>31980</v>
      </c>
      <c r="Q5153" s="14" t="s">
        <v>31</v>
      </c>
      <c r="R5153" s="14" t="s">
        <v>64</v>
      </c>
      <c r="S5153" s="16" t="s">
        <v>779</v>
      </c>
      <c r="T5153" s="14" t="s">
        <v>66</v>
      </c>
      <c r="U5153" s="16" t="s">
        <v>31981</v>
      </c>
      <c r="V5153" s="14" t="s">
        <v>32072</v>
      </c>
      <c r="W5153" s="14" t="s">
        <v>31976</v>
      </c>
      <c r="X5153" s="17" t="str">
        <f>HYPERLINK("https://my.pitchbook.com?p=53354-53P","View People Online")</f>
        <v>View People Online</v>
      </c>
    </row>
    <row r="5154">
      <c r="A5154" s="2" t="s">
        <v>32073</v>
      </c>
      <c r="B5154" s="2" t="s">
        <v>32074</v>
      </c>
      <c r="C5154" s="2" t="s">
        <v>3875</v>
      </c>
      <c r="D5154" s="2" t="s">
        <v>32075</v>
      </c>
      <c r="E5154" s="2" t="s">
        <v>31976</v>
      </c>
      <c r="F5154" s="2" t="s">
        <v>29</v>
      </c>
      <c r="G5154" s="2" t="s">
        <v>32076</v>
      </c>
      <c r="H5154" s="3">
        <v>4.0</v>
      </c>
      <c r="I5154" s="3">
        <v>14.0</v>
      </c>
      <c r="J5154" s="3">
        <v>1.0</v>
      </c>
      <c r="K5154" s="3">
        <v>7.0</v>
      </c>
      <c r="L5154" s="4" t="s">
        <v>31978</v>
      </c>
      <c r="M5154" s="2" t="s">
        <v>32077</v>
      </c>
      <c r="N5154" s="2" t="s">
        <v>775</v>
      </c>
      <c r="O5154" s="4" t="s">
        <v>776</v>
      </c>
      <c r="P5154" s="2" t="s">
        <v>31980</v>
      </c>
      <c r="Q5154" s="2" t="s">
        <v>31</v>
      </c>
      <c r="R5154" s="2" t="s">
        <v>64</v>
      </c>
      <c r="S5154" s="4" t="s">
        <v>779</v>
      </c>
      <c r="T5154" s="2" t="s">
        <v>66</v>
      </c>
      <c r="U5154" s="4" t="s">
        <v>31981</v>
      </c>
      <c r="V5154" s="2" t="s">
        <v>29</v>
      </c>
      <c r="W5154" s="2" t="s">
        <v>31976</v>
      </c>
      <c r="X5154" s="5" t="str">
        <f>HYPERLINK("https://my.pitchbook.com?p=304350-40P","View People Online")</f>
        <v>View People Online</v>
      </c>
    </row>
    <row r="5155">
      <c r="A5155" s="14" t="s">
        <v>32078</v>
      </c>
      <c r="B5155" s="14" t="s">
        <v>32079</v>
      </c>
      <c r="C5155" s="14" t="s">
        <v>4015</v>
      </c>
      <c r="D5155" s="14" t="s">
        <v>19668</v>
      </c>
      <c r="E5155" s="14" t="s">
        <v>31976</v>
      </c>
      <c r="F5155" s="14" t="s">
        <v>13066</v>
      </c>
      <c r="G5155" s="14" t="s">
        <v>32080</v>
      </c>
      <c r="H5155" s="15" t="s">
        <v>31</v>
      </c>
      <c r="I5155" s="15">
        <v>1.0</v>
      </c>
      <c r="J5155" s="15">
        <v>1.0</v>
      </c>
      <c r="K5155" s="15" t="s">
        <v>31</v>
      </c>
      <c r="L5155" s="16" t="s">
        <v>31978</v>
      </c>
      <c r="M5155" s="14" t="s">
        <v>32081</v>
      </c>
      <c r="N5155" s="14" t="s">
        <v>775</v>
      </c>
      <c r="O5155" s="16" t="s">
        <v>776</v>
      </c>
      <c r="P5155" s="14" t="s">
        <v>31980</v>
      </c>
      <c r="Q5155" s="14" t="s">
        <v>31</v>
      </c>
      <c r="R5155" s="14" t="s">
        <v>64</v>
      </c>
      <c r="S5155" s="16" t="s">
        <v>779</v>
      </c>
      <c r="T5155" s="14" t="s">
        <v>66</v>
      </c>
      <c r="U5155" s="16" t="s">
        <v>31981</v>
      </c>
      <c r="V5155" s="14" t="s">
        <v>13066</v>
      </c>
      <c r="W5155" s="14" t="s">
        <v>31976</v>
      </c>
      <c r="X5155" s="17" t="str">
        <f>HYPERLINK("https://my.pitchbook.com?p=78632-38P","View People Online")</f>
        <v>View People Online</v>
      </c>
    </row>
    <row r="5156">
      <c r="A5156" s="2" t="s">
        <v>32082</v>
      </c>
      <c r="B5156" s="2" t="s">
        <v>32083</v>
      </c>
      <c r="C5156" s="2" t="s">
        <v>22105</v>
      </c>
      <c r="D5156" s="2" t="s">
        <v>32084</v>
      </c>
      <c r="E5156" s="2" t="s">
        <v>31976</v>
      </c>
      <c r="F5156" s="2" t="s">
        <v>3144</v>
      </c>
      <c r="G5156" s="2" t="s">
        <v>32085</v>
      </c>
      <c r="H5156" s="3" t="s">
        <v>31</v>
      </c>
      <c r="I5156" s="3">
        <v>5.0</v>
      </c>
      <c r="J5156" s="3">
        <v>1.0</v>
      </c>
      <c r="K5156" s="3">
        <v>3.0</v>
      </c>
      <c r="L5156" s="4" t="s">
        <v>32086</v>
      </c>
      <c r="M5156" s="2" t="s">
        <v>32087</v>
      </c>
      <c r="N5156" s="2" t="s">
        <v>775</v>
      </c>
      <c r="O5156" s="4" t="s">
        <v>776</v>
      </c>
      <c r="P5156" s="2" t="s">
        <v>31980</v>
      </c>
      <c r="Q5156" s="2" t="s">
        <v>31</v>
      </c>
      <c r="R5156" s="2" t="s">
        <v>64</v>
      </c>
      <c r="S5156" s="4" t="s">
        <v>779</v>
      </c>
      <c r="T5156" s="2" t="s">
        <v>66</v>
      </c>
      <c r="U5156" s="4" t="s">
        <v>31981</v>
      </c>
      <c r="V5156" s="2" t="s">
        <v>3144</v>
      </c>
      <c r="W5156" s="2" t="s">
        <v>31976</v>
      </c>
      <c r="X5156" s="5" t="str">
        <f>HYPERLINK("https://my.pitchbook.com?p=32629-96P","View People Online")</f>
        <v>View People Online</v>
      </c>
    </row>
    <row r="5157">
      <c r="A5157" s="6" t="s">
        <v>32088</v>
      </c>
      <c r="B5157" s="6" t="s">
        <v>32089</v>
      </c>
      <c r="C5157" s="6" t="s">
        <v>3722</v>
      </c>
      <c r="D5157" s="6" t="s">
        <v>32090</v>
      </c>
      <c r="E5157" s="6" t="s">
        <v>31976</v>
      </c>
      <c r="F5157" s="6" t="s">
        <v>916</v>
      </c>
      <c r="G5157" s="6" t="s">
        <v>32091</v>
      </c>
      <c r="H5157" s="7" t="s">
        <v>31</v>
      </c>
      <c r="I5157" s="7">
        <v>1.0</v>
      </c>
      <c r="J5157" s="7">
        <v>1.0</v>
      </c>
      <c r="K5157" s="7" t="s">
        <v>31</v>
      </c>
      <c r="L5157" s="8" t="s">
        <v>31978</v>
      </c>
      <c r="M5157" s="6" t="s">
        <v>32092</v>
      </c>
      <c r="N5157" s="6" t="s">
        <v>775</v>
      </c>
      <c r="O5157" s="8" t="s">
        <v>776</v>
      </c>
      <c r="P5157" s="6" t="s">
        <v>31980</v>
      </c>
      <c r="Q5157" s="6" t="s">
        <v>31</v>
      </c>
      <c r="R5157" s="6" t="s">
        <v>64</v>
      </c>
      <c r="S5157" s="8" t="s">
        <v>779</v>
      </c>
      <c r="T5157" s="6" t="s">
        <v>66</v>
      </c>
      <c r="U5157" s="8" t="s">
        <v>31981</v>
      </c>
      <c r="V5157" s="6" t="s">
        <v>916</v>
      </c>
      <c r="W5157" s="6" t="s">
        <v>31976</v>
      </c>
      <c r="X5157" s="9" t="str">
        <f>HYPERLINK("https://my.pitchbook.com?p=389858-50P","View People Online")</f>
        <v>View People Online</v>
      </c>
    </row>
    <row r="5158">
      <c r="A5158" s="10" t="s">
        <v>32093</v>
      </c>
      <c r="B5158" s="10" t="s">
        <v>32094</v>
      </c>
      <c r="C5158" s="10" t="s">
        <v>12548</v>
      </c>
      <c r="D5158" s="10" t="s">
        <v>32095</v>
      </c>
      <c r="E5158" s="10" t="s">
        <v>31976</v>
      </c>
      <c r="F5158" s="10" t="s">
        <v>674</v>
      </c>
      <c r="G5158" s="10" t="s">
        <v>32096</v>
      </c>
      <c r="H5158" s="11">
        <v>6.0</v>
      </c>
      <c r="I5158" s="11">
        <v>68.0</v>
      </c>
      <c r="J5158" s="11">
        <v>3.0</v>
      </c>
      <c r="K5158" s="11">
        <v>45.0</v>
      </c>
      <c r="L5158" s="12" t="s">
        <v>32097</v>
      </c>
      <c r="M5158" s="10" t="s">
        <v>32098</v>
      </c>
      <c r="N5158" s="10" t="s">
        <v>155</v>
      </c>
      <c r="O5158" s="12" t="s">
        <v>156</v>
      </c>
      <c r="P5158" s="10" t="s">
        <v>27239</v>
      </c>
      <c r="Q5158" s="10" t="s">
        <v>2403</v>
      </c>
      <c r="R5158" s="10" t="s">
        <v>64</v>
      </c>
      <c r="S5158" s="12" t="s">
        <v>7810</v>
      </c>
      <c r="T5158" s="10" t="s">
        <v>66</v>
      </c>
      <c r="U5158" s="12" t="s">
        <v>31</v>
      </c>
      <c r="V5158" s="10" t="s">
        <v>2379</v>
      </c>
      <c r="W5158" s="10" t="s">
        <v>27240</v>
      </c>
      <c r="X5158" s="13" t="str">
        <f>HYPERLINK("https://my.pitchbook.com?p=52827-04P","View People Online")</f>
        <v>View People Online</v>
      </c>
    </row>
    <row r="5159">
      <c r="A5159" s="14" t="s">
        <v>32099</v>
      </c>
      <c r="B5159" s="14" t="s">
        <v>32100</v>
      </c>
      <c r="C5159" s="14" t="s">
        <v>1807</v>
      </c>
      <c r="D5159" s="14" t="s">
        <v>32101</v>
      </c>
      <c r="E5159" s="14" t="s">
        <v>32102</v>
      </c>
      <c r="F5159" s="14" t="s">
        <v>270</v>
      </c>
      <c r="G5159" s="14" t="s">
        <v>32103</v>
      </c>
      <c r="H5159" s="15" t="s">
        <v>31</v>
      </c>
      <c r="I5159" s="15">
        <v>2.0</v>
      </c>
      <c r="J5159" s="15">
        <v>1.0</v>
      </c>
      <c r="K5159" s="15">
        <v>1.0</v>
      </c>
      <c r="L5159" s="16" t="s">
        <v>31</v>
      </c>
      <c r="M5159" s="14" t="s">
        <v>32104</v>
      </c>
      <c r="N5159" s="14" t="s">
        <v>1416</v>
      </c>
      <c r="O5159" s="16" t="s">
        <v>1417</v>
      </c>
      <c r="P5159" s="14" t="s">
        <v>32105</v>
      </c>
      <c r="Q5159" s="14" t="s">
        <v>31</v>
      </c>
      <c r="R5159" s="14" t="s">
        <v>1420</v>
      </c>
      <c r="S5159" s="16" t="s">
        <v>32106</v>
      </c>
      <c r="T5159" s="14" t="s">
        <v>66</v>
      </c>
      <c r="U5159" s="16" t="s">
        <v>31</v>
      </c>
      <c r="V5159" s="14" t="s">
        <v>32107</v>
      </c>
      <c r="W5159" s="14" t="s">
        <v>32102</v>
      </c>
      <c r="X5159" s="17" t="str">
        <f>HYPERLINK("https://my.pitchbook.com?p=285625-00P","View People Online")</f>
        <v>View People Online</v>
      </c>
    </row>
    <row r="5160">
      <c r="A5160" s="2" t="s">
        <v>32108</v>
      </c>
      <c r="B5160" s="2" t="s">
        <v>32109</v>
      </c>
      <c r="C5160" s="2" t="s">
        <v>32110</v>
      </c>
      <c r="D5160" s="2" t="s">
        <v>32111</v>
      </c>
      <c r="E5160" s="2" t="s">
        <v>32112</v>
      </c>
      <c r="F5160" s="2" t="s">
        <v>674</v>
      </c>
      <c r="G5160" s="2" t="s">
        <v>32113</v>
      </c>
      <c r="H5160" s="3" t="s">
        <v>31</v>
      </c>
      <c r="I5160" s="3">
        <v>6.0</v>
      </c>
      <c r="J5160" s="3">
        <v>1.0</v>
      </c>
      <c r="K5160" s="3">
        <v>4.0</v>
      </c>
      <c r="L5160" s="4" t="s">
        <v>32114</v>
      </c>
      <c r="M5160" s="2" t="s">
        <v>32115</v>
      </c>
      <c r="N5160" s="2" t="s">
        <v>30051</v>
      </c>
      <c r="O5160" s="4" t="s">
        <v>30052</v>
      </c>
      <c r="P5160" s="2" t="s">
        <v>31</v>
      </c>
      <c r="Q5160" s="2" t="s">
        <v>31</v>
      </c>
      <c r="R5160" s="2" t="s">
        <v>75</v>
      </c>
      <c r="S5160" s="4" t="s">
        <v>31</v>
      </c>
      <c r="T5160" s="2" t="s">
        <v>66</v>
      </c>
      <c r="U5160" s="4" t="s">
        <v>31</v>
      </c>
      <c r="V5160" s="2" t="s">
        <v>1172</v>
      </c>
      <c r="W5160" s="2" t="s">
        <v>32112</v>
      </c>
      <c r="X5160" s="5" t="str">
        <f>HYPERLINK("https://my.pitchbook.com?p=246694-96P","View People Online")</f>
        <v>View People Online</v>
      </c>
    </row>
    <row r="5161">
      <c r="A5161" s="6" t="s">
        <v>32116</v>
      </c>
      <c r="B5161" s="6" t="s">
        <v>32117</v>
      </c>
      <c r="C5161" s="6" t="s">
        <v>32118</v>
      </c>
      <c r="D5161" s="6" t="s">
        <v>32119</v>
      </c>
      <c r="E5161" s="6" t="s">
        <v>32112</v>
      </c>
      <c r="F5161" s="6" t="s">
        <v>114</v>
      </c>
      <c r="G5161" s="6" t="s">
        <v>32120</v>
      </c>
      <c r="H5161" s="7">
        <v>4.0</v>
      </c>
      <c r="I5161" s="7">
        <v>6.0</v>
      </c>
      <c r="J5161" s="7">
        <v>2.0</v>
      </c>
      <c r="K5161" s="7" t="s">
        <v>31</v>
      </c>
      <c r="L5161" s="8" t="s">
        <v>32121</v>
      </c>
      <c r="M5161" s="6" t="s">
        <v>32122</v>
      </c>
      <c r="N5161" s="6" t="s">
        <v>32123</v>
      </c>
      <c r="O5161" s="8" t="s">
        <v>32124</v>
      </c>
      <c r="P5161" s="6" t="s">
        <v>32125</v>
      </c>
      <c r="Q5161" s="6" t="s">
        <v>31</v>
      </c>
      <c r="R5161" s="6" t="s">
        <v>64</v>
      </c>
      <c r="S5161" s="8" t="s">
        <v>32126</v>
      </c>
      <c r="T5161" s="6" t="s">
        <v>66</v>
      </c>
      <c r="U5161" s="8" t="s">
        <v>31</v>
      </c>
      <c r="V5161" s="6" t="s">
        <v>32127</v>
      </c>
      <c r="W5161" s="6" t="s">
        <v>32128</v>
      </c>
      <c r="X5161" s="9" t="str">
        <f>HYPERLINK("https://my.pitchbook.com?p=152620-84P","View People Online")</f>
        <v>View People Online</v>
      </c>
    </row>
    <row r="5162">
      <c r="A5162" s="10" t="s">
        <v>32129</v>
      </c>
      <c r="B5162" s="10" t="s">
        <v>32130</v>
      </c>
      <c r="C5162" s="10" t="s">
        <v>32131</v>
      </c>
      <c r="D5162" s="10" t="s">
        <v>32132</v>
      </c>
      <c r="E5162" s="10" t="s">
        <v>32112</v>
      </c>
      <c r="F5162" s="10" t="s">
        <v>81</v>
      </c>
      <c r="G5162" s="10" t="s">
        <v>32133</v>
      </c>
      <c r="H5162" s="11">
        <v>1.0</v>
      </c>
      <c r="I5162" s="11">
        <v>19.0</v>
      </c>
      <c r="J5162" s="11">
        <v>1.0</v>
      </c>
      <c r="K5162" s="11">
        <v>13.0</v>
      </c>
      <c r="L5162" s="12" t="s">
        <v>32134</v>
      </c>
      <c r="M5162" s="10" t="s">
        <v>32135</v>
      </c>
      <c r="N5162" s="10" t="s">
        <v>10144</v>
      </c>
      <c r="O5162" s="12" t="s">
        <v>10145</v>
      </c>
      <c r="P5162" s="10" t="s">
        <v>32136</v>
      </c>
      <c r="Q5162" s="10" t="s">
        <v>31</v>
      </c>
      <c r="R5162" s="10" t="s">
        <v>64</v>
      </c>
      <c r="S5162" s="12" t="s">
        <v>10147</v>
      </c>
      <c r="T5162" s="10" t="s">
        <v>66</v>
      </c>
      <c r="U5162" s="12" t="s">
        <v>31</v>
      </c>
      <c r="V5162" s="10" t="s">
        <v>86</v>
      </c>
      <c r="W5162" s="10" t="s">
        <v>32137</v>
      </c>
      <c r="X5162" s="13" t="str">
        <f>HYPERLINK("https://my.pitchbook.com?p=112472-47P","View People Online")</f>
        <v>View People Online</v>
      </c>
    </row>
    <row r="5163">
      <c r="A5163" s="6" t="s">
        <v>32138</v>
      </c>
      <c r="B5163" s="6" t="s">
        <v>32139</v>
      </c>
      <c r="C5163" s="6" t="s">
        <v>32140</v>
      </c>
      <c r="D5163" s="6" t="s">
        <v>119</v>
      </c>
      <c r="E5163" s="6" t="s">
        <v>32112</v>
      </c>
      <c r="F5163" s="6" t="s">
        <v>674</v>
      </c>
      <c r="G5163" s="6" t="s">
        <v>32141</v>
      </c>
      <c r="H5163" s="7" t="s">
        <v>31</v>
      </c>
      <c r="I5163" s="7">
        <v>4.0</v>
      </c>
      <c r="J5163" s="7">
        <v>1.0</v>
      </c>
      <c r="K5163" s="7">
        <v>2.0</v>
      </c>
      <c r="L5163" s="8" t="s">
        <v>31</v>
      </c>
      <c r="M5163" s="6" t="s">
        <v>32142</v>
      </c>
      <c r="N5163" s="6" t="s">
        <v>30051</v>
      </c>
      <c r="O5163" s="8" t="s">
        <v>30052</v>
      </c>
      <c r="P5163" s="6" t="s">
        <v>31</v>
      </c>
      <c r="Q5163" s="6" t="s">
        <v>31</v>
      </c>
      <c r="R5163" s="6" t="s">
        <v>75</v>
      </c>
      <c r="S5163" s="8" t="s">
        <v>31</v>
      </c>
      <c r="T5163" s="6" t="s">
        <v>66</v>
      </c>
      <c r="U5163" s="8" t="s">
        <v>31</v>
      </c>
      <c r="V5163" s="6" t="s">
        <v>1172</v>
      </c>
      <c r="W5163" s="6" t="s">
        <v>32112</v>
      </c>
      <c r="X5163" s="9" t="str">
        <f>HYPERLINK("https://my.pitchbook.com?p=246694-15P","View People Online")</f>
        <v>View People Online</v>
      </c>
    </row>
    <row r="5164">
      <c r="A5164" s="10" t="s">
        <v>32143</v>
      </c>
      <c r="B5164" s="10" t="s">
        <v>32144</v>
      </c>
      <c r="C5164" s="10" t="s">
        <v>568</v>
      </c>
      <c r="D5164" s="10" t="s">
        <v>32145</v>
      </c>
      <c r="E5164" s="10" t="s">
        <v>32146</v>
      </c>
      <c r="F5164" s="10" t="s">
        <v>548</v>
      </c>
      <c r="G5164" s="10" t="s">
        <v>32147</v>
      </c>
      <c r="H5164" s="11" t="s">
        <v>31</v>
      </c>
      <c r="I5164" s="11">
        <v>1.0</v>
      </c>
      <c r="J5164" s="11">
        <v>1.0</v>
      </c>
      <c r="K5164" s="11" t="s">
        <v>31</v>
      </c>
      <c r="L5164" s="12" t="s">
        <v>31</v>
      </c>
      <c r="M5164" s="10" t="s">
        <v>32148</v>
      </c>
      <c r="N5164" s="10" t="s">
        <v>75</v>
      </c>
      <c r="O5164" s="12" t="s">
        <v>76</v>
      </c>
      <c r="P5164" s="10" t="s">
        <v>32149</v>
      </c>
      <c r="Q5164" s="10" t="s">
        <v>6831</v>
      </c>
      <c r="R5164" s="10" t="s">
        <v>75</v>
      </c>
      <c r="S5164" s="12" t="s">
        <v>1855</v>
      </c>
      <c r="T5164" s="10" t="s">
        <v>66</v>
      </c>
      <c r="U5164" s="12" t="s">
        <v>31</v>
      </c>
      <c r="V5164" s="10" t="s">
        <v>4696</v>
      </c>
      <c r="W5164" s="10" t="s">
        <v>32146</v>
      </c>
      <c r="X5164" s="13" t="str">
        <f>HYPERLINK("https://my.pitchbook.com?p=333997-30P","View People Online")</f>
        <v>View People Online</v>
      </c>
    </row>
    <row r="5165">
      <c r="A5165" s="6" t="s">
        <v>32150</v>
      </c>
      <c r="B5165" s="6" t="s">
        <v>32151</v>
      </c>
      <c r="C5165" s="6" t="s">
        <v>3521</v>
      </c>
      <c r="D5165" s="6" t="s">
        <v>29729</v>
      </c>
      <c r="E5165" s="6" t="s">
        <v>32146</v>
      </c>
      <c r="F5165" s="6" t="s">
        <v>32152</v>
      </c>
      <c r="G5165" s="6" t="s">
        <v>32153</v>
      </c>
      <c r="H5165" s="7">
        <v>1.0</v>
      </c>
      <c r="I5165" s="7">
        <v>9.0</v>
      </c>
      <c r="J5165" s="7">
        <v>1.0</v>
      </c>
      <c r="K5165" s="7">
        <v>7.0</v>
      </c>
      <c r="L5165" s="8" t="s">
        <v>32154</v>
      </c>
      <c r="M5165" s="6" t="s">
        <v>32155</v>
      </c>
      <c r="N5165" s="6" t="s">
        <v>75</v>
      </c>
      <c r="O5165" s="8" t="s">
        <v>76</v>
      </c>
      <c r="P5165" s="6" t="s">
        <v>32149</v>
      </c>
      <c r="Q5165" s="6" t="s">
        <v>6831</v>
      </c>
      <c r="R5165" s="6" t="s">
        <v>75</v>
      </c>
      <c r="S5165" s="8" t="s">
        <v>1855</v>
      </c>
      <c r="T5165" s="6" t="s">
        <v>66</v>
      </c>
      <c r="U5165" s="8" t="s">
        <v>31</v>
      </c>
      <c r="V5165" s="6" t="s">
        <v>32156</v>
      </c>
      <c r="W5165" s="6" t="s">
        <v>32146</v>
      </c>
      <c r="X5165" s="9" t="str">
        <f>HYPERLINK("https://my.pitchbook.com?p=207702-91P","View People Online")</f>
        <v>View People Online</v>
      </c>
    </row>
    <row r="5166">
      <c r="A5166" s="2" t="s">
        <v>32157</v>
      </c>
      <c r="B5166" s="2" t="s">
        <v>32158</v>
      </c>
      <c r="C5166" s="2" t="s">
        <v>126</v>
      </c>
      <c r="D5166" s="2" t="s">
        <v>3275</v>
      </c>
      <c r="E5166" s="2" t="s">
        <v>32146</v>
      </c>
      <c r="F5166" s="2" t="s">
        <v>318</v>
      </c>
      <c r="G5166" s="2" t="s">
        <v>32159</v>
      </c>
      <c r="H5166" s="3" t="s">
        <v>31</v>
      </c>
      <c r="I5166" s="3">
        <v>2.0</v>
      </c>
      <c r="J5166" s="3">
        <v>1.0</v>
      </c>
      <c r="K5166" s="3">
        <v>1.0</v>
      </c>
      <c r="L5166" s="4" t="s">
        <v>31</v>
      </c>
      <c r="M5166" s="2" t="s">
        <v>32160</v>
      </c>
      <c r="N5166" s="2" t="s">
        <v>75</v>
      </c>
      <c r="O5166" s="4" t="s">
        <v>76</v>
      </c>
      <c r="P5166" s="2" t="s">
        <v>32149</v>
      </c>
      <c r="Q5166" s="2" t="s">
        <v>6831</v>
      </c>
      <c r="R5166" s="2" t="s">
        <v>75</v>
      </c>
      <c r="S5166" s="4" t="s">
        <v>1855</v>
      </c>
      <c r="T5166" s="2" t="s">
        <v>66</v>
      </c>
      <c r="U5166" s="4" t="s">
        <v>31</v>
      </c>
      <c r="V5166" s="2" t="s">
        <v>318</v>
      </c>
      <c r="W5166" s="2" t="s">
        <v>32146</v>
      </c>
      <c r="X5166" s="5" t="str">
        <f>HYPERLINK("https://my.pitchbook.com?p=241347-97P","View People Online")</f>
        <v>View People Online</v>
      </c>
    </row>
    <row r="5167">
      <c r="A5167" s="6" t="s">
        <v>32161</v>
      </c>
      <c r="B5167" s="6" t="s">
        <v>32162</v>
      </c>
      <c r="C5167" s="6" t="s">
        <v>32163</v>
      </c>
      <c r="D5167" s="6" t="s">
        <v>4819</v>
      </c>
      <c r="E5167" s="6" t="s">
        <v>32164</v>
      </c>
      <c r="F5167" s="6" t="s">
        <v>29</v>
      </c>
      <c r="G5167" s="6" t="s">
        <v>32165</v>
      </c>
      <c r="H5167" s="7" t="s">
        <v>31</v>
      </c>
      <c r="I5167" s="7">
        <v>4.0</v>
      </c>
      <c r="J5167" s="7">
        <v>1.0</v>
      </c>
      <c r="K5167" s="7">
        <v>3.0</v>
      </c>
      <c r="L5167" s="8" t="s">
        <v>31</v>
      </c>
      <c r="M5167" s="6" t="s">
        <v>32166</v>
      </c>
      <c r="N5167" s="6" t="s">
        <v>32167</v>
      </c>
      <c r="O5167" s="8" t="s">
        <v>32168</v>
      </c>
      <c r="P5167" s="6" t="s">
        <v>31</v>
      </c>
      <c r="Q5167" s="6" t="s">
        <v>31</v>
      </c>
      <c r="R5167" s="6" t="s">
        <v>1223</v>
      </c>
      <c r="S5167" s="8" t="s">
        <v>31</v>
      </c>
      <c r="T5167" s="6" t="s">
        <v>1209</v>
      </c>
      <c r="U5167" s="8" t="s">
        <v>31</v>
      </c>
      <c r="V5167" s="6" t="s">
        <v>32169</v>
      </c>
      <c r="W5167" s="6" t="s">
        <v>32164</v>
      </c>
      <c r="X5167" s="9" t="str">
        <f>HYPERLINK("https://my.pitchbook.com?p=360057-34P","View People Online")</f>
        <v>View People Online</v>
      </c>
    </row>
    <row r="5168">
      <c r="A5168" s="2" t="s">
        <v>32170</v>
      </c>
      <c r="B5168" s="2" t="s">
        <v>32171</v>
      </c>
      <c r="C5168" s="2" t="s">
        <v>32172</v>
      </c>
      <c r="D5168" s="2" t="s">
        <v>5302</v>
      </c>
      <c r="E5168" s="2" t="s">
        <v>32164</v>
      </c>
      <c r="F5168" s="2" t="s">
        <v>470</v>
      </c>
      <c r="G5168" s="2" t="s">
        <v>32173</v>
      </c>
      <c r="H5168" s="3" t="s">
        <v>31</v>
      </c>
      <c r="I5168" s="3">
        <v>1.0</v>
      </c>
      <c r="J5168" s="3">
        <v>1.0</v>
      </c>
      <c r="K5168" s="3" t="s">
        <v>31</v>
      </c>
      <c r="L5168" s="4" t="s">
        <v>31</v>
      </c>
      <c r="M5168" s="2" t="s">
        <v>32174</v>
      </c>
      <c r="N5168" s="2" t="s">
        <v>32167</v>
      </c>
      <c r="O5168" s="4" t="s">
        <v>32168</v>
      </c>
      <c r="P5168" s="2" t="s">
        <v>31</v>
      </c>
      <c r="Q5168" s="2" t="s">
        <v>31</v>
      </c>
      <c r="R5168" s="2" t="s">
        <v>1223</v>
      </c>
      <c r="S5168" s="4" t="s">
        <v>31</v>
      </c>
      <c r="T5168" s="2" t="s">
        <v>1209</v>
      </c>
      <c r="U5168" s="4" t="s">
        <v>31</v>
      </c>
      <c r="V5168" s="2" t="s">
        <v>470</v>
      </c>
      <c r="W5168" s="2" t="s">
        <v>32164</v>
      </c>
      <c r="X5168" s="5" t="str">
        <f>HYPERLINK("https://my.pitchbook.com?p=360058-69P","View People Online")</f>
        <v>View People Online</v>
      </c>
    </row>
    <row r="5169">
      <c r="A5169" s="6" t="s">
        <v>32175</v>
      </c>
      <c r="B5169" s="6" t="s">
        <v>32176</v>
      </c>
      <c r="C5169" s="6" t="s">
        <v>32177</v>
      </c>
      <c r="D5169" s="6" t="s">
        <v>4819</v>
      </c>
      <c r="E5169" s="6" t="s">
        <v>32164</v>
      </c>
      <c r="F5169" s="6" t="s">
        <v>29</v>
      </c>
      <c r="G5169" s="6" t="s">
        <v>32178</v>
      </c>
      <c r="H5169" s="7">
        <v>2.0</v>
      </c>
      <c r="I5169" s="7">
        <v>12.0</v>
      </c>
      <c r="J5169" s="7">
        <v>2.0</v>
      </c>
      <c r="K5169" s="7">
        <v>8.0</v>
      </c>
      <c r="L5169" s="8" t="s">
        <v>32179</v>
      </c>
      <c r="M5169" s="6" t="s">
        <v>32180</v>
      </c>
      <c r="N5169" s="6" t="s">
        <v>32167</v>
      </c>
      <c r="O5169" s="8" t="s">
        <v>32168</v>
      </c>
      <c r="P5169" s="6" t="s">
        <v>32181</v>
      </c>
      <c r="Q5169" s="6" t="s">
        <v>32182</v>
      </c>
      <c r="R5169" s="6" t="s">
        <v>1223</v>
      </c>
      <c r="S5169" s="8" t="s">
        <v>32183</v>
      </c>
      <c r="T5169" s="6" t="s">
        <v>1209</v>
      </c>
      <c r="U5169" s="8" t="s">
        <v>31</v>
      </c>
      <c r="V5169" s="6" t="s">
        <v>32184</v>
      </c>
      <c r="W5169" s="6" t="s">
        <v>32185</v>
      </c>
      <c r="X5169" s="9" t="str">
        <f>HYPERLINK("https://my.pitchbook.com?p=274218-67P","View People Online")</f>
        <v>View People Online</v>
      </c>
    </row>
    <row r="5170">
      <c r="A5170" s="2" t="s">
        <v>32186</v>
      </c>
      <c r="B5170" s="2" t="s">
        <v>32187</v>
      </c>
      <c r="C5170" s="2" t="s">
        <v>32188</v>
      </c>
      <c r="D5170" s="2" t="s">
        <v>22252</v>
      </c>
      <c r="E5170" s="2" t="s">
        <v>32189</v>
      </c>
      <c r="F5170" s="2" t="s">
        <v>32190</v>
      </c>
      <c r="G5170" s="2" t="s">
        <v>32191</v>
      </c>
      <c r="H5170" s="3">
        <v>1.0</v>
      </c>
      <c r="I5170" s="3">
        <v>1.0</v>
      </c>
      <c r="J5170" s="3">
        <v>1.0</v>
      </c>
      <c r="K5170" s="3" t="s">
        <v>31</v>
      </c>
      <c r="L5170" s="4" t="s">
        <v>32192</v>
      </c>
      <c r="M5170" s="2" t="s">
        <v>32193</v>
      </c>
      <c r="N5170" s="2" t="s">
        <v>1005</v>
      </c>
      <c r="O5170" s="4" t="s">
        <v>1006</v>
      </c>
      <c r="P5170" s="2" t="s">
        <v>32194</v>
      </c>
      <c r="Q5170" s="2" t="s">
        <v>32195</v>
      </c>
      <c r="R5170" s="2" t="s">
        <v>31</v>
      </c>
      <c r="S5170" s="4" t="s">
        <v>32196</v>
      </c>
      <c r="T5170" s="2" t="s">
        <v>1010</v>
      </c>
      <c r="U5170" s="4" t="s">
        <v>31</v>
      </c>
      <c r="V5170" s="2" t="s">
        <v>32197</v>
      </c>
      <c r="W5170" s="2" t="s">
        <v>32189</v>
      </c>
      <c r="X5170" s="5" t="str">
        <f>HYPERLINK("https://my.pitchbook.com?p=165726-64P","View People Online")</f>
        <v>View People Online</v>
      </c>
    </row>
    <row r="5171">
      <c r="A5171" s="6" t="s">
        <v>32198</v>
      </c>
      <c r="B5171" s="6" t="s">
        <v>32199</v>
      </c>
      <c r="C5171" s="6" t="s">
        <v>18503</v>
      </c>
      <c r="D5171" s="6" t="s">
        <v>32200</v>
      </c>
      <c r="E5171" s="6" t="s">
        <v>32189</v>
      </c>
      <c r="F5171" s="6" t="s">
        <v>32201</v>
      </c>
      <c r="G5171" s="6" t="s">
        <v>32202</v>
      </c>
      <c r="H5171" s="7" t="s">
        <v>31</v>
      </c>
      <c r="I5171" s="7">
        <v>1.0</v>
      </c>
      <c r="J5171" s="7">
        <v>1.0</v>
      </c>
      <c r="K5171" s="7" t="s">
        <v>31</v>
      </c>
      <c r="L5171" s="8" t="s">
        <v>32192</v>
      </c>
      <c r="M5171" s="6" t="s">
        <v>32203</v>
      </c>
      <c r="N5171" s="6" t="s">
        <v>1005</v>
      </c>
      <c r="O5171" s="8" t="s">
        <v>1006</v>
      </c>
      <c r="P5171" s="6" t="s">
        <v>32194</v>
      </c>
      <c r="Q5171" s="6" t="s">
        <v>32195</v>
      </c>
      <c r="R5171" s="6" t="s">
        <v>31</v>
      </c>
      <c r="S5171" s="8" t="s">
        <v>32196</v>
      </c>
      <c r="T5171" s="6" t="s">
        <v>1010</v>
      </c>
      <c r="U5171" s="8" t="s">
        <v>31</v>
      </c>
      <c r="V5171" s="6" t="s">
        <v>32204</v>
      </c>
      <c r="W5171" s="6" t="s">
        <v>32189</v>
      </c>
      <c r="X5171" s="9" t="str">
        <f>HYPERLINK("https://my.pitchbook.com?p=194806-54P","View People Online")</f>
        <v>View People Online</v>
      </c>
    </row>
    <row r="5172">
      <c r="A5172" s="10" t="s">
        <v>32205</v>
      </c>
      <c r="B5172" s="10" t="s">
        <v>32206</v>
      </c>
      <c r="C5172" s="10" t="s">
        <v>19128</v>
      </c>
      <c r="D5172" s="10" t="s">
        <v>32207</v>
      </c>
      <c r="E5172" s="10" t="s">
        <v>32189</v>
      </c>
      <c r="F5172" s="10" t="s">
        <v>713</v>
      </c>
      <c r="G5172" s="10" t="s">
        <v>32208</v>
      </c>
      <c r="H5172" s="11" t="s">
        <v>31</v>
      </c>
      <c r="I5172" s="11">
        <v>1.0</v>
      </c>
      <c r="J5172" s="11">
        <v>1.0</v>
      </c>
      <c r="K5172" s="11" t="s">
        <v>31</v>
      </c>
      <c r="L5172" s="12" t="s">
        <v>32192</v>
      </c>
      <c r="M5172" s="10" t="s">
        <v>32209</v>
      </c>
      <c r="N5172" s="10" t="s">
        <v>1005</v>
      </c>
      <c r="O5172" s="12" t="s">
        <v>1006</v>
      </c>
      <c r="P5172" s="10" t="s">
        <v>32194</v>
      </c>
      <c r="Q5172" s="10" t="s">
        <v>32195</v>
      </c>
      <c r="R5172" s="10" t="s">
        <v>31</v>
      </c>
      <c r="S5172" s="12" t="s">
        <v>32196</v>
      </c>
      <c r="T5172" s="10" t="s">
        <v>1010</v>
      </c>
      <c r="U5172" s="12" t="s">
        <v>31</v>
      </c>
      <c r="V5172" s="10" t="s">
        <v>32210</v>
      </c>
      <c r="W5172" s="10" t="s">
        <v>32189</v>
      </c>
      <c r="X5172" s="13" t="str">
        <f>HYPERLINK("https://my.pitchbook.com?p=117747-01P","View People Online")</f>
        <v>View People Online</v>
      </c>
    </row>
    <row r="5173">
      <c r="A5173" s="6" t="s">
        <v>32211</v>
      </c>
      <c r="B5173" s="6" t="s">
        <v>32212</v>
      </c>
      <c r="C5173" s="6" t="s">
        <v>32213</v>
      </c>
      <c r="D5173" s="6" t="s">
        <v>32214</v>
      </c>
      <c r="E5173" s="6" t="s">
        <v>32189</v>
      </c>
      <c r="F5173" s="6" t="s">
        <v>2199</v>
      </c>
      <c r="G5173" s="6" t="s">
        <v>32215</v>
      </c>
      <c r="H5173" s="7">
        <v>1.0</v>
      </c>
      <c r="I5173" s="7">
        <v>1.0</v>
      </c>
      <c r="J5173" s="7">
        <v>1.0</v>
      </c>
      <c r="K5173" s="7" t="s">
        <v>31</v>
      </c>
      <c r="L5173" s="8" t="s">
        <v>32192</v>
      </c>
      <c r="M5173" s="6" t="s">
        <v>32216</v>
      </c>
      <c r="N5173" s="6" t="s">
        <v>1005</v>
      </c>
      <c r="O5173" s="8" t="s">
        <v>1006</v>
      </c>
      <c r="P5173" s="6" t="s">
        <v>32194</v>
      </c>
      <c r="Q5173" s="6" t="s">
        <v>32195</v>
      </c>
      <c r="R5173" s="6" t="s">
        <v>31</v>
      </c>
      <c r="S5173" s="8" t="s">
        <v>32196</v>
      </c>
      <c r="T5173" s="6" t="s">
        <v>1010</v>
      </c>
      <c r="U5173" s="8" t="s">
        <v>31</v>
      </c>
      <c r="V5173" s="6" t="s">
        <v>2199</v>
      </c>
      <c r="W5173" s="6" t="s">
        <v>32189</v>
      </c>
      <c r="X5173" s="9" t="str">
        <f>HYPERLINK("https://my.pitchbook.com?p=364638-52P","View People Online")</f>
        <v>View People Online</v>
      </c>
    </row>
    <row r="5174">
      <c r="A5174" s="10" t="s">
        <v>32217</v>
      </c>
      <c r="B5174" s="10" t="s">
        <v>32218</v>
      </c>
      <c r="C5174" s="10" t="s">
        <v>32219</v>
      </c>
      <c r="D5174" s="10" t="s">
        <v>32220</v>
      </c>
      <c r="E5174" s="10" t="s">
        <v>32189</v>
      </c>
      <c r="F5174" s="10" t="s">
        <v>583</v>
      </c>
      <c r="G5174" s="10" t="s">
        <v>32221</v>
      </c>
      <c r="H5174" s="11" t="s">
        <v>31</v>
      </c>
      <c r="I5174" s="11">
        <v>1.0</v>
      </c>
      <c r="J5174" s="11">
        <v>1.0</v>
      </c>
      <c r="K5174" s="11" t="s">
        <v>31</v>
      </c>
      <c r="L5174" s="12" t="s">
        <v>32192</v>
      </c>
      <c r="M5174" s="10" t="s">
        <v>32222</v>
      </c>
      <c r="N5174" s="10" t="s">
        <v>1005</v>
      </c>
      <c r="O5174" s="12" t="s">
        <v>1006</v>
      </c>
      <c r="P5174" s="10" t="s">
        <v>32194</v>
      </c>
      <c r="Q5174" s="10" t="s">
        <v>32195</v>
      </c>
      <c r="R5174" s="10" t="s">
        <v>31</v>
      </c>
      <c r="S5174" s="12" t="s">
        <v>32196</v>
      </c>
      <c r="T5174" s="10" t="s">
        <v>1010</v>
      </c>
      <c r="U5174" s="12" t="s">
        <v>31</v>
      </c>
      <c r="V5174" s="10" t="s">
        <v>32223</v>
      </c>
      <c r="W5174" s="10" t="s">
        <v>32189</v>
      </c>
      <c r="X5174" s="13" t="str">
        <f>HYPERLINK("https://my.pitchbook.com?p=117750-97P","View People Online")</f>
        <v>View People Online</v>
      </c>
    </row>
    <row r="5175">
      <c r="A5175" s="6" t="s">
        <v>32224</v>
      </c>
      <c r="B5175" s="6" t="s">
        <v>32225</v>
      </c>
      <c r="C5175" s="6" t="s">
        <v>32226</v>
      </c>
      <c r="D5175" s="6" t="s">
        <v>32227</v>
      </c>
      <c r="E5175" s="6" t="s">
        <v>32189</v>
      </c>
      <c r="F5175" s="6" t="s">
        <v>3652</v>
      </c>
      <c r="G5175" s="6" t="s">
        <v>32228</v>
      </c>
      <c r="H5175" s="7">
        <v>1.0</v>
      </c>
      <c r="I5175" s="7">
        <v>4.0</v>
      </c>
      <c r="J5175" s="7">
        <v>1.0</v>
      </c>
      <c r="K5175" s="7">
        <v>3.0</v>
      </c>
      <c r="L5175" s="8" t="s">
        <v>32192</v>
      </c>
      <c r="M5175" s="6" t="s">
        <v>32229</v>
      </c>
      <c r="N5175" s="6" t="s">
        <v>1005</v>
      </c>
      <c r="O5175" s="8" t="s">
        <v>1006</v>
      </c>
      <c r="P5175" s="6" t="s">
        <v>32194</v>
      </c>
      <c r="Q5175" s="6" t="s">
        <v>32195</v>
      </c>
      <c r="R5175" s="6" t="s">
        <v>31</v>
      </c>
      <c r="S5175" s="8" t="s">
        <v>32196</v>
      </c>
      <c r="T5175" s="6" t="s">
        <v>1010</v>
      </c>
      <c r="U5175" s="8" t="s">
        <v>31</v>
      </c>
      <c r="V5175" s="6" t="s">
        <v>7404</v>
      </c>
      <c r="W5175" s="6" t="s">
        <v>32189</v>
      </c>
      <c r="X5175" s="9" t="str">
        <f>HYPERLINK("https://my.pitchbook.com?p=117747-46P","View People Online")</f>
        <v>View People Online</v>
      </c>
    </row>
    <row r="5176">
      <c r="A5176" s="10" t="s">
        <v>32230</v>
      </c>
      <c r="B5176" s="10" t="s">
        <v>32231</v>
      </c>
      <c r="C5176" s="10" t="s">
        <v>21795</v>
      </c>
      <c r="D5176" s="10" t="s">
        <v>32232</v>
      </c>
      <c r="E5176" s="10" t="s">
        <v>32189</v>
      </c>
      <c r="F5176" s="10" t="s">
        <v>312</v>
      </c>
      <c r="G5176" s="10" t="s">
        <v>32233</v>
      </c>
      <c r="H5176" s="11" t="s">
        <v>31</v>
      </c>
      <c r="I5176" s="11">
        <v>1.0</v>
      </c>
      <c r="J5176" s="11">
        <v>1.0</v>
      </c>
      <c r="K5176" s="11" t="s">
        <v>31</v>
      </c>
      <c r="L5176" s="12" t="s">
        <v>32192</v>
      </c>
      <c r="M5176" s="10" t="s">
        <v>32234</v>
      </c>
      <c r="N5176" s="10" t="s">
        <v>1005</v>
      </c>
      <c r="O5176" s="12" t="s">
        <v>1006</v>
      </c>
      <c r="P5176" s="10" t="s">
        <v>32194</v>
      </c>
      <c r="Q5176" s="10" t="s">
        <v>32195</v>
      </c>
      <c r="R5176" s="10" t="s">
        <v>31</v>
      </c>
      <c r="S5176" s="12" t="s">
        <v>32196</v>
      </c>
      <c r="T5176" s="10" t="s">
        <v>1010</v>
      </c>
      <c r="U5176" s="12" t="s">
        <v>31</v>
      </c>
      <c r="V5176" s="10" t="s">
        <v>32235</v>
      </c>
      <c r="W5176" s="10" t="s">
        <v>32189</v>
      </c>
      <c r="X5176" s="13" t="str">
        <f>HYPERLINK("https://my.pitchbook.com?p=165730-42P","View People Online")</f>
        <v>View People Online</v>
      </c>
    </row>
    <row r="5177">
      <c r="A5177" s="14" t="s">
        <v>32236</v>
      </c>
      <c r="B5177" s="14" t="s">
        <v>32237</v>
      </c>
      <c r="C5177" s="14" t="s">
        <v>32238</v>
      </c>
      <c r="D5177" s="14" t="s">
        <v>32239</v>
      </c>
      <c r="E5177" s="14" t="s">
        <v>32189</v>
      </c>
      <c r="F5177" s="14" t="s">
        <v>1801</v>
      </c>
      <c r="G5177" s="14" t="s">
        <v>32240</v>
      </c>
      <c r="H5177" s="15" t="s">
        <v>31</v>
      </c>
      <c r="I5177" s="15">
        <v>1.0</v>
      </c>
      <c r="J5177" s="15">
        <v>1.0</v>
      </c>
      <c r="K5177" s="15" t="s">
        <v>31</v>
      </c>
      <c r="L5177" s="16" t="s">
        <v>32192</v>
      </c>
      <c r="M5177" s="14" t="s">
        <v>31</v>
      </c>
      <c r="N5177" s="14" t="s">
        <v>1005</v>
      </c>
      <c r="O5177" s="16" t="s">
        <v>1006</v>
      </c>
      <c r="P5177" s="14" t="s">
        <v>32194</v>
      </c>
      <c r="Q5177" s="14" t="s">
        <v>32195</v>
      </c>
      <c r="R5177" s="14" t="s">
        <v>31</v>
      </c>
      <c r="S5177" s="16" t="s">
        <v>32196</v>
      </c>
      <c r="T5177" s="14" t="s">
        <v>1010</v>
      </c>
      <c r="U5177" s="16" t="s">
        <v>31</v>
      </c>
      <c r="V5177" s="14" t="s">
        <v>32241</v>
      </c>
      <c r="W5177" s="14" t="s">
        <v>32189</v>
      </c>
      <c r="X5177" s="17" t="str">
        <f>HYPERLINK("https://my.pitchbook.com?p=408679-48P","View People Online")</f>
        <v>View People Online</v>
      </c>
    </row>
    <row r="5178">
      <c r="A5178" s="2" t="s">
        <v>32242</v>
      </c>
      <c r="B5178" s="2" t="s">
        <v>32243</v>
      </c>
      <c r="C5178" s="2" t="s">
        <v>32244</v>
      </c>
      <c r="D5178" s="2" t="s">
        <v>32245</v>
      </c>
      <c r="E5178" s="2" t="s">
        <v>32189</v>
      </c>
      <c r="F5178" s="2" t="s">
        <v>32190</v>
      </c>
      <c r="G5178" s="2" t="s">
        <v>32246</v>
      </c>
      <c r="H5178" s="3">
        <v>1.0</v>
      </c>
      <c r="I5178" s="3">
        <v>1.0</v>
      </c>
      <c r="J5178" s="3">
        <v>1.0</v>
      </c>
      <c r="K5178" s="3" t="s">
        <v>31</v>
      </c>
      <c r="L5178" s="4" t="s">
        <v>32192</v>
      </c>
      <c r="M5178" s="2" t="s">
        <v>32247</v>
      </c>
      <c r="N5178" s="2" t="s">
        <v>1005</v>
      </c>
      <c r="O5178" s="4" t="s">
        <v>1006</v>
      </c>
      <c r="P5178" s="2" t="s">
        <v>32194</v>
      </c>
      <c r="Q5178" s="2" t="s">
        <v>32195</v>
      </c>
      <c r="R5178" s="2" t="s">
        <v>31</v>
      </c>
      <c r="S5178" s="4" t="s">
        <v>32196</v>
      </c>
      <c r="T5178" s="2" t="s">
        <v>1010</v>
      </c>
      <c r="U5178" s="4" t="s">
        <v>31</v>
      </c>
      <c r="V5178" s="2" t="s">
        <v>32197</v>
      </c>
      <c r="W5178" s="2" t="s">
        <v>32189</v>
      </c>
      <c r="X5178" s="5" t="str">
        <f>HYPERLINK("https://my.pitchbook.com?p=194807-26P","View People Online")</f>
        <v>View People Online</v>
      </c>
    </row>
    <row r="5179">
      <c r="A5179" s="14" t="s">
        <v>32248</v>
      </c>
      <c r="B5179" s="14" t="s">
        <v>32249</v>
      </c>
      <c r="C5179" s="14" t="s">
        <v>22764</v>
      </c>
      <c r="D5179" s="14" t="s">
        <v>32250</v>
      </c>
      <c r="E5179" s="14" t="s">
        <v>32189</v>
      </c>
      <c r="F5179" s="14" t="s">
        <v>32190</v>
      </c>
      <c r="G5179" s="14" t="s">
        <v>32251</v>
      </c>
      <c r="H5179" s="15">
        <v>2.0</v>
      </c>
      <c r="I5179" s="15">
        <v>2.0</v>
      </c>
      <c r="J5179" s="15">
        <v>1.0</v>
      </c>
      <c r="K5179" s="15" t="s">
        <v>31</v>
      </c>
      <c r="L5179" s="16" t="s">
        <v>32192</v>
      </c>
      <c r="M5179" s="14" t="s">
        <v>32252</v>
      </c>
      <c r="N5179" s="14" t="s">
        <v>1005</v>
      </c>
      <c r="O5179" s="16" t="s">
        <v>1006</v>
      </c>
      <c r="P5179" s="14" t="s">
        <v>32194</v>
      </c>
      <c r="Q5179" s="14" t="s">
        <v>32195</v>
      </c>
      <c r="R5179" s="14" t="s">
        <v>31</v>
      </c>
      <c r="S5179" s="16" t="s">
        <v>32196</v>
      </c>
      <c r="T5179" s="14" t="s">
        <v>1010</v>
      </c>
      <c r="U5179" s="16" t="s">
        <v>31</v>
      </c>
      <c r="V5179" s="14" t="s">
        <v>32197</v>
      </c>
      <c r="W5179" s="14" t="s">
        <v>32189</v>
      </c>
      <c r="X5179" s="17" t="str">
        <f>HYPERLINK("https://my.pitchbook.com?p=243004-42P","View People Online")</f>
        <v>View People Online</v>
      </c>
    </row>
    <row r="5180">
      <c r="A5180" s="2" t="s">
        <v>32253</v>
      </c>
      <c r="B5180" s="2" t="s">
        <v>32254</v>
      </c>
      <c r="C5180" s="2" t="s">
        <v>32255</v>
      </c>
      <c r="D5180" s="2" t="s">
        <v>32256</v>
      </c>
      <c r="E5180" s="2" t="s">
        <v>32189</v>
      </c>
      <c r="F5180" s="2" t="s">
        <v>5065</v>
      </c>
      <c r="G5180" s="2" t="s">
        <v>32257</v>
      </c>
      <c r="H5180" s="3" t="s">
        <v>31</v>
      </c>
      <c r="I5180" s="3">
        <v>2.0</v>
      </c>
      <c r="J5180" s="3">
        <v>1.0</v>
      </c>
      <c r="K5180" s="3">
        <v>1.0</v>
      </c>
      <c r="L5180" s="4" t="s">
        <v>32192</v>
      </c>
      <c r="M5180" s="2" t="s">
        <v>32258</v>
      </c>
      <c r="N5180" s="2" t="s">
        <v>1005</v>
      </c>
      <c r="O5180" s="4" t="s">
        <v>1006</v>
      </c>
      <c r="P5180" s="2" t="s">
        <v>32194</v>
      </c>
      <c r="Q5180" s="2" t="s">
        <v>32195</v>
      </c>
      <c r="R5180" s="2" t="s">
        <v>31</v>
      </c>
      <c r="S5180" s="4" t="s">
        <v>32196</v>
      </c>
      <c r="T5180" s="2" t="s">
        <v>1010</v>
      </c>
      <c r="U5180" s="4" t="s">
        <v>31</v>
      </c>
      <c r="V5180" s="2" t="s">
        <v>32259</v>
      </c>
      <c r="W5180" s="2" t="s">
        <v>32189</v>
      </c>
      <c r="X5180" s="5" t="str">
        <f>HYPERLINK("https://my.pitchbook.com?p=197559-37P","View People Online")</f>
        <v>View People Online</v>
      </c>
    </row>
    <row r="5181">
      <c r="A5181" s="14" t="s">
        <v>32260</v>
      </c>
      <c r="B5181" s="14" t="s">
        <v>32261</v>
      </c>
      <c r="C5181" s="14" t="s">
        <v>23272</v>
      </c>
      <c r="D5181" s="14" t="s">
        <v>32262</v>
      </c>
      <c r="E5181" s="14" t="s">
        <v>32189</v>
      </c>
      <c r="F5181" s="14" t="s">
        <v>548</v>
      </c>
      <c r="G5181" s="14" t="s">
        <v>32263</v>
      </c>
      <c r="H5181" s="15">
        <v>1.0</v>
      </c>
      <c r="I5181" s="15">
        <v>4.0</v>
      </c>
      <c r="J5181" s="15">
        <v>1.0</v>
      </c>
      <c r="K5181" s="15">
        <v>2.0</v>
      </c>
      <c r="L5181" s="16" t="s">
        <v>32192</v>
      </c>
      <c r="M5181" s="14" t="s">
        <v>31</v>
      </c>
      <c r="N5181" s="14" t="s">
        <v>1005</v>
      </c>
      <c r="O5181" s="16" t="s">
        <v>1006</v>
      </c>
      <c r="P5181" s="14" t="s">
        <v>32194</v>
      </c>
      <c r="Q5181" s="14" t="s">
        <v>32195</v>
      </c>
      <c r="R5181" s="14" t="s">
        <v>31</v>
      </c>
      <c r="S5181" s="16" t="s">
        <v>32196</v>
      </c>
      <c r="T5181" s="14" t="s">
        <v>1010</v>
      </c>
      <c r="U5181" s="16" t="s">
        <v>31</v>
      </c>
      <c r="V5181" s="14" t="s">
        <v>32264</v>
      </c>
      <c r="W5181" s="14" t="s">
        <v>32189</v>
      </c>
      <c r="X5181" s="17" t="str">
        <f>HYPERLINK("https://my.pitchbook.com?p=382613-86P","View People Online")</f>
        <v>View People Online</v>
      </c>
    </row>
    <row r="5182">
      <c r="A5182" s="10" t="s">
        <v>32265</v>
      </c>
      <c r="B5182" s="10" t="s">
        <v>32266</v>
      </c>
      <c r="C5182" s="10" t="s">
        <v>285</v>
      </c>
      <c r="D5182" s="10" t="s">
        <v>1306</v>
      </c>
      <c r="E5182" s="10" t="s">
        <v>32267</v>
      </c>
      <c r="F5182" s="10" t="s">
        <v>1801</v>
      </c>
      <c r="G5182" s="10" t="s">
        <v>32268</v>
      </c>
      <c r="H5182" s="11" t="s">
        <v>31</v>
      </c>
      <c r="I5182" s="11">
        <v>1.0</v>
      </c>
      <c r="J5182" s="11">
        <v>1.0</v>
      </c>
      <c r="K5182" s="11" t="s">
        <v>31</v>
      </c>
      <c r="L5182" s="12" t="s">
        <v>32269</v>
      </c>
      <c r="M5182" s="10" t="s">
        <v>32270</v>
      </c>
      <c r="N5182" s="10" t="s">
        <v>32271</v>
      </c>
      <c r="O5182" s="12" t="s">
        <v>32272</v>
      </c>
      <c r="P5182" s="10" t="s">
        <v>32273</v>
      </c>
      <c r="Q5182" s="10" t="s">
        <v>31</v>
      </c>
      <c r="R5182" s="10" t="s">
        <v>32274</v>
      </c>
      <c r="S5182" s="12" t="s">
        <v>32275</v>
      </c>
      <c r="T5182" s="10" t="s">
        <v>66</v>
      </c>
      <c r="U5182" s="12" t="s">
        <v>31</v>
      </c>
      <c r="V5182" s="10" t="s">
        <v>32276</v>
      </c>
      <c r="W5182" s="10" t="s">
        <v>32267</v>
      </c>
      <c r="X5182" s="13" t="str">
        <f>HYPERLINK("https://my.pitchbook.com?p=355491-64P","View People Online")</f>
        <v>View People Online</v>
      </c>
    </row>
    <row r="5183">
      <c r="A5183" s="6" t="s">
        <v>32277</v>
      </c>
      <c r="B5183" s="6" t="s">
        <v>32278</v>
      </c>
      <c r="C5183" s="6" t="s">
        <v>32279</v>
      </c>
      <c r="D5183" s="6" t="s">
        <v>32280</v>
      </c>
      <c r="E5183" s="6" t="s">
        <v>32267</v>
      </c>
      <c r="F5183" s="6" t="s">
        <v>1249</v>
      </c>
      <c r="G5183" s="6" t="s">
        <v>32281</v>
      </c>
      <c r="H5183" s="7">
        <v>2.0</v>
      </c>
      <c r="I5183" s="7">
        <v>2.0</v>
      </c>
      <c r="J5183" s="7">
        <v>1.0</v>
      </c>
      <c r="K5183" s="7" t="s">
        <v>31</v>
      </c>
      <c r="L5183" s="8" t="s">
        <v>32269</v>
      </c>
      <c r="M5183" s="6" t="s">
        <v>32282</v>
      </c>
      <c r="N5183" s="6" t="s">
        <v>32271</v>
      </c>
      <c r="O5183" s="8" t="s">
        <v>32272</v>
      </c>
      <c r="P5183" s="6" t="s">
        <v>32273</v>
      </c>
      <c r="Q5183" s="6" t="s">
        <v>31</v>
      </c>
      <c r="R5183" s="6" t="s">
        <v>32274</v>
      </c>
      <c r="S5183" s="8" t="s">
        <v>32275</v>
      </c>
      <c r="T5183" s="6" t="s">
        <v>66</v>
      </c>
      <c r="U5183" s="8" t="s">
        <v>31</v>
      </c>
      <c r="V5183" s="6" t="s">
        <v>7404</v>
      </c>
      <c r="W5183" s="6" t="s">
        <v>32267</v>
      </c>
      <c r="X5183" s="9" t="str">
        <f>HYPERLINK("https://my.pitchbook.com?p=83766-97P","View People Online")</f>
        <v>View People Online</v>
      </c>
    </row>
    <row r="5184">
      <c r="A5184" s="2" t="s">
        <v>32283</v>
      </c>
      <c r="B5184" s="2" t="s">
        <v>32284</v>
      </c>
      <c r="C5184" s="2" t="s">
        <v>69</v>
      </c>
      <c r="D5184" s="2" t="s">
        <v>32285</v>
      </c>
      <c r="E5184" s="2" t="s">
        <v>32267</v>
      </c>
      <c r="F5184" s="2" t="s">
        <v>270</v>
      </c>
      <c r="G5184" s="2" t="s">
        <v>32286</v>
      </c>
      <c r="H5184" s="3" t="s">
        <v>31</v>
      </c>
      <c r="I5184" s="3">
        <v>1.0</v>
      </c>
      <c r="J5184" s="3">
        <v>1.0</v>
      </c>
      <c r="K5184" s="3" t="s">
        <v>31</v>
      </c>
      <c r="L5184" s="4" t="s">
        <v>32269</v>
      </c>
      <c r="M5184" s="2" t="s">
        <v>32287</v>
      </c>
      <c r="N5184" s="2" t="s">
        <v>32271</v>
      </c>
      <c r="O5184" s="4" t="s">
        <v>32272</v>
      </c>
      <c r="P5184" s="2" t="s">
        <v>32273</v>
      </c>
      <c r="Q5184" s="2" t="s">
        <v>31</v>
      </c>
      <c r="R5184" s="2" t="s">
        <v>32274</v>
      </c>
      <c r="S5184" s="4" t="s">
        <v>32275</v>
      </c>
      <c r="T5184" s="2" t="s">
        <v>66</v>
      </c>
      <c r="U5184" s="4" t="s">
        <v>31</v>
      </c>
      <c r="V5184" s="2" t="s">
        <v>32288</v>
      </c>
      <c r="W5184" s="2" t="s">
        <v>32267</v>
      </c>
      <c r="X5184" s="5" t="str">
        <f>HYPERLINK("https://my.pitchbook.com?p=289887-22P","View People Online")</f>
        <v>View People Online</v>
      </c>
    </row>
    <row r="5185">
      <c r="A5185" s="6" t="s">
        <v>32289</v>
      </c>
      <c r="B5185" s="6" t="s">
        <v>32290</v>
      </c>
      <c r="C5185" s="6" t="s">
        <v>1449</v>
      </c>
      <c r="D5185" s="6" t="s">
        <v>5608</v>
      </c>
      <c r="E5185" s="6" t="s">
        <v>32267</v>
      </c>
      <c r="F5185" s="6" t="s">
        <v>7608</v>
      </c>
      <c r="G5185" s="6" t="s">
        <v>32291</v>
      </c>
      <c r="H5185" s="7" t="s">
        <v>31</v>
      </c>
      <c r="I5185" s="7">
        <v>3.0</v>
      </c>
      <c r="J5185" s="7">
        <v>2.0</v>
      </c>
      <c r="K5185" s="7">
        <v>1.0</v>
      </c>
      <c r="L5185" s="8" t="s">
        <v>32269</v>
      </c>
      <c r="M5185" s="6" t="s">
        <v>32292</v>
      </c>
      <c r="N5185" s="6" t="s">
        <v>32271</v>
      </c>
      <c r="O5185" s="8" t="s">
        <v>32272</v>
      </c>
      <c r="P5185" s="6" t="s">
        <v>32273</v>
      </c>
      <c r="Q5185" s="6" t="s">
        <v>31</v>
      </c>
      <c r="R5185" s="6" t="s">
        <v>32274</v>
      </c>
      <c r="S5185" s="8" t="s">
        <v>32275</v>
      </c>
      <c r="T5185" s="6" t="s">
        <v>66</v>
      </c>
      <c r="U5185" s="8" t="s">
        <v>31</v>
      </c>
      <c r="V5185" s="6" t="s">
        <v>32293</v>
      </c>
      <c r="W5185" s="6" t="s">
        <v>32267</v>
      </c>
      <c r="X5185" s="9" t="str">
        <f>HYPERLINK("https://my.pitchbook.com?p=265662-37P","View People Online")</f>
        <v>View People Online</v>
      </c>
    </row>
    <row r="5186">
      <c r="A5186" s="2" t="s">
        <v>32294</v>
      </c>
      <c r="B5186" s="2" t="s">
        <v>32295</v>
      </c>
      <c r="C5186" s="2" t="s">
        <v>11152</v>
      </c>
      <c r="D5186" s="2" t="s">
        <v>7267</v>
      </c>
      <c r="E5186" s="2" t="s">
        <v>32267</v>
      </c>
      <c r="F5186" s="2" t="s">
        <v>32296</v>
      </c>
      <c r="G5186" s="2" t="s">
        <v>32297</v>
      </c>
      <c r="H5186" s="3" t="s">
        <v>31</v>
      </c>
      <c r="I5186" s="3">
        <v>1.0</v>
      </c>
      <c r="J5186" s="3">
        <v>1.0</v>
      </c>
      <c r="K5186" s="3" t="s">
        <v>31</v>
      </c>
      <c r="L5186" s="4" t="s">
        <v>32269</v>
      </c>
      <c r="M5186" s="2" t="s">
        <v>32298</v>
      </c>
      <c r="N5186" s="2" t="s">
        <v>32271</v>
      </c>
      <c r="O5186" s="4" t="s">
        <v>32272</v>
      </c>
      <c r="P5186" s="2" t="s">
        <v>32273</v>
      </c>
      <c r="Q5186" s="2" t="s">
        <v>31</v>
      </c>
      <c r="R5186" s="2" t="s">
        <v>32274</v>
      </c>
      <c r="S5186" s="4" t="s">
        <v>32275</v>
      </c>
      <c r="T5186" s="2" t="s">
        <v>66</v>
      </c>
      <c r="U5186" s="4" t="s">
        <v>31</v>
      </c>
      <c r="V5186" s="2" t="s">
        <v>32296</v>
      </c>
      <c r="W5186" s="2" t="s">
        <v>32267</v>
      </c>
      <c r="X5186" s="5" t="str">
        <f>HYPERLINK("https://my.pitchbook.com?p=265661-83P","View People Online")</f>
        <v>View People Online</v>
      </c>
    </row>
    <row r="5187">
      <c r="A5187" s="14" t="s">
        <v>32299</v>
      </c>
      <c r="B5187" s="14" t="s">
        <v>32300</v>
      </c>
      <c r="C5187" s="14" t="s">
        <v>32301</v>
      </c>
      <c r="D5187" s="14" t="s">
        <v>31661</v>
      </c>
      <c r="E5187" s="14" t="s">
        <v>32267</v>
      </c>
      <c r="F5187" s="14" t="s">
        <v>695</v>
      </c>
      <c r="G5187" s="14" t="s">
        <v>32302</v>
      </c>
      <c r="H5187" s="15" t="s">
        <v>31</v>
      </c>
      <c r="I5187" s="15">
        <v>1.0</v>
      </c>
      <c r="J5187" s="15">
        <v>1.0</v>
      </c>
      <c r="K5187" s="15" t="s">
        <v>31</v>
      </c>
      <c r="L5187" s="16" t="s">
        <v>32269</v>
      </c>
      <c r="M5187" s="14" t="s">
        <v>32303</v>
      </c>
      <c r="N5187" s="14" t="s">
        <v>32271</v>
      </c>
      <c r="O5187" s="16" t="s">
        <v>32272</v>
      </c>
      <c r="P5187" s="14" t="s">
        <v>32273</v>
      </c>
      <c r="Q5187" s="14" t="s">
        <v>31</v>
      </c>
      <c r="R5187" s="14" t="s">
        <v>32274</v>
      </c>
      <c r="S5187" s="16" t="s">
        <v>32275</v>
      </c>
      <c r="T5187" s="14" t="s">
        <v>66</v>
      </c>
      <c r="U5187" s="16" t="s">
        <v>31</v>
      </c>
      <c r="V5187" s="14" t="s">
        <v>32304</v>
      </c>
      <c r="W5187" s="14" t="s">
        <v>32267</v>
      </c>
      <c r="X5187" s="17" t="str">
        <f>HYPERLINK("https://my.pitchbook.com?p=180383-32P","View People Online")</f>
        <v>View People Online</v>
      </c>
    </row>
    <row r="5188">
      <c r="A5188" s="2" t="s">
        <v>32305</v>
      </c>
      <c r="B5188" s="2" t="s">
        <v>32306</v>
      </c>
      <c r="C5188" s="2" t="s">
        <v>4320</v>
      </c>
      <c r="D5188" s="2" t="s">
        <v>6030</v>
      </c>
      <c r="E5188" s="2" t="s">
        <v>32267</v>
      </c>
      <c r="F5188" s="2" t="s">
        <v>371</v>
      </c>
      <c r="G5188" s="2" t="s">
        <v>32307</v>
      </c>
      <c r="H5188" s="3" t="s">
        <v>31</v>
      </c>
      <c r="I5188" s="3">
        <v>1.0</v>
      </c>
      <c r="J5188" s="3">
        <v>1.0</v>
      </c>
      <c r="K5188" s="3" t="s">
        <v>31</v>
      </c>
      <c r="L5188" s="4" t="s">
        <v>32269</v>
      </c>
      <c r="M5188" s="2" t="s">
        <v>32308</v>
      </c>
      <c r="N5188" s="2" t="s">
        <v>32271</v>
      </c>
      <c r="O5188" s="4" t="s">
        <v>32272</v>
      </c>
      <c r="P5188" s="2" t="s">
        <v>32273</v>
      </c>
      <c r="Q5188" s="2" t="s">
        <v>31</v>
      </c>
      <c r="R5188" s="2" t="s">
        <v>32274</v>
      </c>
      <c r="S5188" s="4" t="s">
        <v>32275</v>
      </c>
      <c r="T5188" s="2" t="s">
        <v>66</v>
      </c>
      <c r="U5188" s="4" t="s">
        <v>31</v>
      </c>
      <c r="V5188" s="2" t="s">
        <v>32309</v>
      </c>
      <c r="W5188" s="2" t="s">
        <v>32267</v>
      </c>
      <c r="X5188" s="5" t="str">
        <f>HYPERLINK("https://my.pitchbook.com?p=242087-05P","View People Online")</f>
        <v>View People Online</v>
      </c>
    </row>
    <row r="5189">
      <c r="A5189" s="14" t="s">
        <v>32310</v>
      </c>
      <c r="B5189" s="14" t="s">
        <v>32311</v>
      </c>
      <c r="C5189" s="14" t="s">
        <v>3811</v>
      </c>
      <c r="D5189" s="14" t="s">
        <v>32312</v>
      </c>
      <c r="E5189" s="14" t="s">
        <v>32267</v>
      </c>
      <c r="F5189" s="14" t="s">
        <v>371</v>
      </c>
      <c r="G5189" s="14" t="s">
        <v>32313</v>
      </c>
      <c r="H5189" s="15">
        <v>1.0</v>
      </c>
      <c r="I5189" s="15">
        <v>2.0</v>
      </c>
      <c r="J5189" s="15">
        <v>1.0</v>
      </c>
      <c r="K5189" s="15" t="s">
        <v>31</v>
      </c>
      <c r="L5189" s="16" t="s">
        <v>32269</v>
      </c>
      <c r="M5189" s="14" t="s">
        <v>32314</v>
      </c>
      <c r="N5189" s="14" t="s">
        <v>32271</v>
      </c>
      <c r="O5189" s="16" t="s">
        <v>32272</v>
      </c>
      <c r="P5189" s="14" t="s">
        <v>32273</v>
      </c>
      <c r="Q5189" s="14" t="s">
        <v>31</v>
      </c>
      <c r="R5189" s="14" t="s">
        <v>32274</v>
      </c>
      <c r="S5189" s="16" t="s">
        <v>32275</v>
      </c>
      <c r="T5189" s="14" t="s">
        <v>66</v>
      </c>
      <c r="U5189" s="16" t="s">
        <v>31</v>
      </c>
      <c r="V5189" s="14" t="s">
        <v>32315</v>
      </c>
      <c r="W5189" s="14" t="s">
        <v>32267</v>
      </c>
      <c r="X5189" s="17" t="str">
        <f>HYPERLINK("https://my.pitchbook.com?p=359358-04P","View People Online")</f>
        <v>View People Online</v>
      </c>
    </row>
    <row r="5190">
      <c r="A5190" s="2" t="s">
        <v>32316</v>
      </c>
      <c r="B5190" s="2" t="s">
        <v>32317</v>
      </c>
      <c r="C5190" s="2" t="s">
        <v>32318</v>
      </c>
      <c r="D5190" s="2" t="s">
        <v>32319</v>
      </c>
      <c r="E5190" s="2" t="s">
        <v>32267</v>
      </c>
      <c r="F5190" s="2" t="s">
        <v>152</v>
      </c>
      <c r="G5190" s="2" t="s">
        <v>32320</v>
      </c>
      <c r="H5190" s="3">
        <v>1.0</v>
      </c>
      <c r="I5190" s="3">
        <v>5.0</v>
      </c>
      <c r="J5190" s="3">
        <v>1.0</v>
      </c>
      <c r="K5190" s="3">
        <v>3.0</v>
      </c>
      <c r="L5190" s="4" t="s">
        <v>32269</v>
      </c>
      <c r="M5190" s="2" t="s">
        <v>32321</v>
      </c>
      <c r="N5190" s="2" t="s">
        <v>32271</v>
      </c>
      <c r="O5190" s="4" t="s">
        <v>32272</v>
      </c>
      <c r="P5190" s="2" t="s">
        <v>32273</v>
      </c>
      <c r="Q5190" s="2" t="s">
        <v>31</v>
      </c>
      <c r="R5190" s="2" t="s">
        <v>32274</v>
      </c>
      <c r="S5190" s="4" t="s">
        <v>32275</v>
      </c>
      <c r="T5190" s="2" t="s">
        <v>66</v>
      </c>
      <c r="U5190" s="4" t="s">
        <v>31</v>
      </c>
      <c r="V5190" s="2" t="s">
        <v>157</v>
      </c>
      <c r="W5190" s="2" t="s">
        <v>32267</v>
      </c>
      <c r="X5190" s="5" t="str">
        <f>HYPERLINK("https://my.pitchbook.com?p=48465-10P","View People Online")</f>
        <v>View People Online</v>
      </c>
    </row>
    <row r="5191">
      <c r="A5191" s="6" t="s">
        <v>32322</v>
      </c>
      <c r="B5191" s="6" t="s">
        <v>32323</v>
      </c>
      <c r="C5191" s="6" t="s">
        <v>26</v>
      </c>
      <c r="D5191" s="6" t="s">
        <v>32324</v>
      </c>
      <c r="E5191" s="6" t="s">
        <v>32267</v>
      </c>
      <c r="F5191" s="6" t="s">
        <v>5418</v>
      </c>
      <c r="G5191" s="6" t="s">
        <v>32325</v>
      </c>
      <c r="H5191" s="7" t="s">
        <v>31</v>
      </c>
      <c r="I5191" s="7">
        <v>1.0</v>
      </c>
      <c r="J5191" s="7">
        <v>1.0</v>
      </c>
      <c r="K5191" s="7" t="s">
        <v>31</v>
      </c>
      <c r="L5191" s="8" t="s">
        <v>32269</v>
      </c>
      <c r="M5191" s="6" t="s">
        <v>32326</v>
      </c>
      <c r="N5191" s="6" t="s">
        <v>32271</v>
      </c>
      <c r="O5191" s="8" t="s">
        <v>32272</v>
      </c>
      <c r="P5191" s="6" t="s">
        <v>32273</v>
      </c>
      <c r="Q5191" s="6" t="s">
        <v>31</v>
      </c>
      <c r="R5191" s="6" t="s">
        <v>32274</v>
      </c>
      <c r="S5191" s="8" t="s">
        <v>32275</v>
      </c>
      <c r="T5191" s="6" t="s">
        <v>66</v>
      </c>
      <c r="U5191" s="8" t="s">
        <v>31</v>
      </c>
      <c r="V5191" s="6" t="s">
        <v>5418</v>
      </c>
      <c r="W5191" s="6" t="s">
        <v>32267</v>
      </c>
      <c r="X5191" s="9" t="str">
        <f>HYPERLINK("https://my.pitchbook.com?p=173812-60P","View People Online")</f>
        <v>View People Online</v>
      </c>
    </row>
    <row r="5192">
      <c r="A5192" s="10" t="s">
        <v>32327</v>
      </c>
      <c r="B5192" s="10" t="s">
        <v>32328</v>
      </c>
      <c r="C5192" s="10" t="s">
        <v>5363</v>
      </c>
      <c r="D5192" s="10" t="s">
        <v>32329</v>
      </c>
      <c r="E5192" s="10" t="s">
        <v>32267</v>
      </c>
      <c r="F5192" s="10" t="s">
        <v>28075</v>
      </c>
      <c r="G5192" s="10" t="s">
        <v>32330</v>
      </c>
      <c r="H5192" s="11" t="s">
        <v>31</v>
      </c>
      <c r="I5192" s="11">
        <v>1.0</v>
      </c>
      <c r="J5192" s="11">
        <v>1.0</v>
      </c>
      <c r="K5192" s="11" t="s">
        <v>31</v>
      </c>
      <c r="L5192" s="12" t="s">
        <v>32269</v>
      </c>
      <c r="M5192" s="10" t="s">
        <v>32331</v>
      </c>
      <c r="N5192" s="10" t="s">
        <v>32271</v>
      </c>
      <c r="O5192" s="12" t="s">
        <v>32272</v>
      </c>
      <c r="P5192" s="10" t="s">
        <v>32273</v>
      </c>
      <c r="Q5192" s="10" t="s">
        <v>31</v>
      </c>
      <c r="R5192" s="10" t="s">
        <v>32274</v>
      </c>
      <c r="S5192" s="12" t="s">
        <v>32275</v>
      </c>
      <c r="T5192" s="10" t="s">
        <v>66</v>
      </c>
      <c r="U5192" s="12" t="s">
        <v>31</v>
      </c>
      <c r="V5192" s="10" t="s">
        <v>32332</v>
      </c>
      <c r="W5192" s="10" t="s">
        <v>32267</v>
      </c>
      <c r="X5192" s="13" t="str">
        <f>HYPERLINK("https://my.pitchbook.com?p=442735-39P","View People Online")</f>
        <v>View People Online</v>
      </c>
    </row>
    <row r="5193">
      <c r="A5193" s="6" t="s">
        <v>32333</v>
      </c>
      <c r="B5193" s="6" t="s">
        <v>32334</v>
      </c>
      <c r="C5193" s="6" t="s">
        <v>1343</v>
      </c>
      <c r="D5193" s="6" t="s">
        <v>32335</v>
      </c>
      <c r="E5193" s="6" t="s">
        <v>32267</v>
      </c>
      <c r="F5193" s="6" t="s">
        <v>7930</v>
      </c>
      <c r="G5193" s="6" t="s">
        <v>32336</v>
      </c>
      <c r="H5193" s="7" t="s">
        <v>31</v>
      </c>
      <c r="I5193" s="7">
        <v>1.0</v>
      </c>
      <c r="J5193" s="7">
        <v>1.0</v>
      </c>
      <c r="K5193" s="7" t="s">
        <v>31</v>
      </c>
      <c r="L5193" s="8" t="s">
        <v>32269</v>
      </c>
      <c r="M5193" s="6" t="s">
        <v>32337</v>
      </c>
      <c r="N5193" s="6" t="s">
        <v>32271</v>
      </c>
      <c r="O5193" s="8" t="s">
        <v>32272</v>
      </c>
      <c r="P5193" s="6" t="s">
        <v>32273</v>
      </c>
      <c r="Q5193" s="6" t="s">
        <v>31</v>
      </c>
      <c r="R5193" s="6" t="s">
        <v>32274</v>
      </c>
      <c r="S5193" s="8" t="s">
        <v>32275</v>
      </c>
      <c r="T5193" s="6" t="s">
        <v>66</v>
      </c>
      <c r="U5193" s="8" t="s">
        <v>31</v>
      </c>
      <c r="V5193" s="6" t="s">
        <v>7933</v>
      </c>
      <c r="W5193" s="6" t="s">
        <v>32267</v>
      </c>
      <c r="X5193" s="9" t="str">
        <f>HYPERLINK("https://my.pitchbook.com?p=393352-66P","View People Online")</f>
        <v>View People Online</v>
      </c>
    </row>
    <row r="5194">
      <c r="A5194" s="10" t="s">
        <v>32338</v>
      </c>
      <c r="B5194" s="10" t="s">
        <v>32339</v>
      </c>
      <c r="C5194" s="10" t="s">
        <v>3052</v>
      </c>
      <c r="D5194" s="10" t="s">
        <v>32340</v>
      </c>
      <c r="E5194" s="10" t="s">
        <v>32267</v>
      </c>
      <c r="F5194" s="10" t="s">
        <v>270</v>
      </c>
      <c r="G5194" s="10" t="s">
        <v>32341</v>
      </c>
      <c r="H5194" s="11" t="s">
        <v>31</v>
      </c>
      <c r="I5194" s="11">
        <v>1.0</v>
      </c>
      <c r="J5194" s="11">
        <v>1.0</v>
      </c>
      <c r="K5194" s="11" t="s">
        <v>31</v>
      </c>
      <c r="L5194" s="12" t="s">
        <v>32269</v>
      </c>
      <c r="M5194" s="10" t="s">
        <v>32342</v>
      </c>
      <c r="N5194" s="10" t="s">
        <v>32271</v>
      </c>
      <c r="O5194" s="12" t="s">
        <v>32272</v>
      </c>
      <c r="P5194" s="10" t="s">
        <v>32273</v>
      </c>
      <c r="Q5194" s="10" t="s">
        <v>31</v>
      </c>
      <c r="R5194" s="10" t="s">
        <v>32274</v>
      </c>
      <c r="S5194" s="12" t="s">
        <v>32275</v>
      </c>
      <c r="T5194" s="10" t="s">
        <v>66</v>
      </c>
      <c r="U5194" s="12" t="s">
        <v>31</v>
      </c>
      <c r="V5194" s="10" t="s">
        <v>32343</v>
      </c>
      <c r="W5194" s="10" t="s">
        <v>32267</v>
      </c>
      <c r="X5194" s="13" t="str">
        <f>HYPERLINK("https://my.pitchbook.com?p=92124-10P","View People Online")</f>
        <v>View People Online</v>
      </c>
    </row>
    <row r="5195">
      <c r="A5195" s="6" t="s">
        <v>32344</v>
      </c>
      <c r="B5195" s="6" t="s">
        <v>32345</v>
      </c>
      <c r="C5195" s="6" t="s">
        <v>7538</v>
      </c>
      <c r="D5195" s="6" t="s">
        <v>32346</v>
      </c>
      <c r="E5195" s="6" t="s">
        <v>32267</v>
      </c>
      <c r="F5195" s="6" t="s">
        <v>371</v>
      </c>
      <c r="G5195" s="6" t="s">
        <v>32347</v>
      </c>
      <c r="H5195" s="7" t="s">
        <v>31</v>
      </c>
      <c r="I5195" s="7">
        <v>1.0</v>
      </c>
      <c r="J5195" s="7">
        <v>1.0</v>
      </c>
      <c r="K5195" s="7" t="s">
        <v>31</v>
      </c>
      <c r="L5195" s="8" t="s">
        <v>32269</v>
      </c>
      <c r="M5195" s="6" t="s">
        <v>32348</v>
      </c>
      <c r="N5195" s="6" t="s">
        <v>32271</v>
      </c>
      <c r="O5195" s="8" t="s">
        <v>32272</v>
      </c>
      <c r="P5195" s="6" t="s">
        <v>32273</v>
      </c>
      <c r="Q5195" s="6" t="s">
        <v>31</v>
      </c>
      <c r="R5195" s="6" t="s">
        <v>32274</v>
      </c>
      <c r="S5195" s="8" t="s">
        <v>32275</v>
      </c>
      <c r="T5195" s="6" t="s">
        <v>66</v>
      </c>
      <c r="U5195" s="8" t="s">
        <v>31</v>
      </c>
      <c r="V5195" s="6" t="s">
        <v>32349</v>
      </c>
      <c r="W5195" s="6" t="s">
        <v>32267</v>
      </c>
      <c r="X5195" s="9" t="str">
        <f>HYPERLINK("https://my.pitchbook.com?p=216752-95P","View People Online")</f>
        <v>View People Online</v>
      </c>
    </row>
    <row r="5196">
      <c r="A5196" s="2" t="s">
        <v>32350</v>
      </c>
      <c r="B5196" s="2" t="s">
        <v>32351</v>
      </c>
      <c r="C5196" s="2" t="s">
        <v>2596</v>
      </c>
      <c r="D5196" s="2" t="s">
        <v>32352</v>
      </c>
      <c r="E5196" s="2" t="s">
        <v>32267</v>
      </c>
      <c r="F5196" s="2" t="s">
        <v>1801</v>
      </c>
      <c r="G5196" s="2" t="s">
        <v>32353</v>
      </c>
      <c r="H5196" s="3" t="s">
        <v>31</v>
      </c>
      <c r="I5196" s="3">
        <v>1.0</v>
      </c>
      <c r="J5196" s="3">
        <v>1.0</v>
      </c>
      <c r="K5196" s="3" t="s">
        <v>31</v>
      </c>
      <c r="L5196" s="4" t="s">
        <v>32269</v>
      </c>
      <c r="M5196" s="2" t="s">
        <v>32354</v>
      </c>
      <c r="N5196" s="2" t="s">
        <v>32271</v>
      </c>
      <c r="O5196" s="4" t="s">
        <v>32272</v>
      </c>
      <c r="P5196" s="2" t="s">
        <v>32273</v>
      </c>
      <c r="Q5196" s="2" t="s">
        <v>31</v>
      </c>
      <c r="R5196" s="2" t="s">
        <v>32274</v>
      </c>
      <c r="S5196" s="4" t="s">
        <v>32275</v>
      </c>
      <c r="T5196" s="2" t="s">
        <v>66</v>
      </c>
      <c r="U5196" s="4" t="s">
        <v>31</v>
      </c>
      <c r="V5196" s="2" t="s">
        <v>32355</v>
      </c>
      <c r="W5196" s="2" t="s">
        <v>32267</v>
      </c>
      <c r="X5196" s="5" t="str">
        <f>HYPERLINK("https://my.pitchbook.com?p=351314-20P","View People Online")</f>
        <v>View People Online</v>
      </c>
    </row>
    <row r="5197">
      <c r="A5197" s="14" t="s">
        <v>32356</v>
      </c>
      <c r="B5197" s="14" t="s">
        <v>32357</v>
      </c>
      <c r="C5197" s="14" t="s">
        <v>11929</v>
      </c>
      <c r="D5197" s="14" t="s">
        <v>32358</v>
      </c>
      <c r="E5197" s="14" t="s">
        <v>32267</v>
      </c>
      <c r="F5197" s="14" t="s">
        <v>667</v>
      </c>
      <c r="G5197" s="14" t="s">
        <v>32359</v>
      </c>
      <c r="H5197" s="15" t="s">
        <v>31</v>
      </c>
      <c r="I5197" s="15">
        <v>1.0</v>
      </c>
      <c r="J5197" s="15">
        <v>1.0</v>
      </c>
      <c r="K5197" s="15" t="s">
        <v>31</v>
      </c>
      <c r="L5197" s="16" t="s">
        <v>32269</v>
      </c>
      <c r="M5197" s="14" t="s">
        <v>32360</v>
      </c>
      <c r="N5197" s="14" t="s">
        <v>32271</v>
      </c>
      <c r="O5197" s="16" t="s">
        <v>32272</v>
      </c>
      <c r="P5197" s="14" t="s">
        <v>32273</v>
      </c>
      <c r="Q5197" s="14" t="s">
        <v>31</v>
      </c>
      <c r="R5197" s="14" t="s">
        <v>32274</v>
      </c>
      <c r="S5197" s="16" t="s">
        <v>32275</v>
      </c>
      <c r="T5197" s="14" t="s">
        <v>66</v>
      </c>
      <c r="U5197" s="16" t="s">
        <v>31</v>
      </c>
      <c r="V5197" s="14" t="s">
        <v>32361</v>
      </c>
      <c r="W5197" s="14" t="s">
        <v>32267</v>
      </c>
      <c r="X5197" s="17" t="str">
        <f>HYPERLINK("https://my.pitchbook.com?p=92124-37P","View People Online")</f>
        <v>View People Online</v>
      </c>
    </row>
    <row r="5198">
      <c r="A5198" s="2" t="s">
        <v>32362</v>
      </c>
      <c r="B5198" s="2" t="s">
        <v>32363</v>
      </c>
      <c r="C5198" s="2" t="s">
        <v>126</v>
      </c>
      <c r="D5198" s="2" t="s">
        <v>32364</v>
      </c>
      <c r="E5198" s="2" t="s">
        <v>32267</v>
      </c>
      <c r="F5198" s="2" t="s">
        <v>371</v>
      </c>
      <c r="G5198" s="2" t="s">
        <v>32365</v>
      </c>
      <c r="H5198" s="3" t="s">
        <v>31</v>
      </c>
      <c r="I5198" s="3">
        <v>1.0</v>
      </c>
      <c r="J5198" s="3">
        <v>1.0</v>
      </c>
      <c r="K5198" s="3" t="s">
        <v>31</v>
      </c>
      <c r="L5198" s="4" t="s">
        <v>32269</v>
      </c>
      <c r="M5198" s="2" t="s">
        <v>31</v>
      </c>
      <c r="N5198" s="2" t="s">
        <v>32271</v>
      </c>
      <c r="O5198" s="4" t="s">
        <v>32272</v>
      </c>
      <c r="P5198" s="2" t="s">
        <v>32273</v>
      </c>
      <c r="Q5198" s="2" t="s">
        <v>31</v>
      </c>
      <c r="R5198" s="2" t="s">
        <v>32274</v>
      </c>
      <c r="S5198" s="4" t="s">
        <v>32275</v>
      </c>
      <c r="T5198" s="2" t="s">
        <v>66</v>
      </c>
      <c r="U5198" s="4" t="s">
        <v>31</v>
      </c>
      <c r="V5198" s="2" t="s">
        <v>32366</v>
      </c>
      <c r="W5198" s="2" t="s">
        <v>32267</v>
      </c>
      <c r="X5198" s="5" t="str">
        <f>HYPERLINK("https://my.pitchbook.com?p=173813-68P","View People Online")</f>
        <v>View People Online</v>
      </c>
    </row>
    <row r="5199">
      <c r="A5199" s="6" t="s">
        <v>32367</v>
      </c>
      <c r="B5199" s="6" t="s">
        <v>32368</v>
      </c>
      <c r="C5199" s="6" t="s">
        <v>395</v>
      </c>
      <c r="D5199" s="6" t="s">
        <v>32369</v>
      </c>
      <c r="E5199" s="6" t="s">
        <v>32267</v>
      </c>
      <c r="F5199" s="6" t="s">
        <v>1249</v>
      </c>
      <c r="G5199" s="6" t="s">
        <v>32370</v>
      </c>
      <c r="H5199" s="7">
        <v>2.0</v>
      </c>
      <c r="I5199" s="7">
        <v>9.0</v>
      </c>
      <c r="J5199" s="7">
        <v>1.0</v>
      </c>
      <c r="K5199" s="7">
        <v>7.0</v>
      </c>
      <c r="L5199" s="8" t="s">
        <v>32269</v>
      </c>
      <c r="M5199" s="6" t="s">
        <v>31</v>
      </c>
      <c r="N5199" s="6" t="s">
        <v>32271</v>
      </c>
      <c r="O5199" s="8" t="s">
        <v>32272</v>
      </c>
      <c r="P5199" s="6" t="s">
        <v>32273</v>
      </c>
      <c r="Q5199" s="6" t="s">
        <v>31</v>
      </c>
      <c r="R5199" s="6" t="s">
        <v>32274</v>
      </c>
      <c r="S5199" s="8" t="s">
        <v>32275</v>
      </c>
      <c r="T5199" s="6" t="s">
        <v>66</v>
      </c>
      <c r="U5199" s="8" t="s">
        <v>31</v>
      </c>
      <c r="V5199" s="6" t="s">
        <v>1252</v>
      </c>
      <c r="W5199" s="6" t="s">
        <v>32267</v>
      </c>
      <c r="X5199" s="9" t="str">
        <f>HYPERLINK("https://my.pitchbook.com?p=83766-88P","View People Online")</f>
        <v>View People Online</v>
      </c>
    </row>
    <row r="5200">
      <c r="A5200" s="10" t="s">
        <v>32371</v>
      </c>
      <c r="B5200" s="10" t="s">
        <v>32372</v>
      </c>
      <c r="C5200" s="10" t="s">
        <v>32373</v>
      </c>
      <c r="D5200" s="10" t="s">
        <v>32374</v>
      </c>
      <c r="E5200" s="10" t="s">
        <v>32267</v>
      </c>
      <c r="F5200" s="10" t="s">
        <v>371</v>
      </c>
      <c r="G5200" s="10" t="s">
        <v>32375</v>
      </c>
      <c r="H5200" s="11" t="s">
        <v>31</v>
      </c>
      <c r="I5200" s="11">
        <v>1.0</v>
      </c>
      <c r="J5200" s="11">
        <v>1.0</v>
      </c>
      <c r="K5200" s="11" t="s">
        <v>31</v>
      </c>
      <c r="L5200" s="12" t="s">
        <v>32269</v>
      </c>
      <c r="M5200" s="10" t="s">
        <v>32376</v>
      </c>
      <c r="N5200" s="10" t="s">
        <v>32271</v>
      </c>
      <c r="O5200" s="12" t="s">
        <v>32272</v>
      </c>
      <c r="P5200" s="10" t="s">
        <v>32273</v>
      </c>
      <c r="Q5200" s="10" t="s">
        <v>31</v>
      </c>
      <c r="R5200" s="10" t="s">
        <v>32274</v>
      </c>
      <c r="S5200" s="12" t="s">
        <v>32275</v>
      </c>
      <c r="T5200" s="10" t="s">
        <v>66</v>
      </c>
      <c r="U5200" s="12" t="s">
        <v>31</v>
      </c>
      <c r="V5200" s="10" t="s">
        <v>32377</v>
      </c>
      <c r="W5200" s="10" t="s">
        <v>32378</v>
      </c>
      <c r="X5200" s="13" t="str">
        <f>HYPERLINK("https://my.pitchbook.com?p=217930-96P","View People Online")</f>
        <v>View People Online</v>
      </c>
    </row>
    <row r="5201">
      <c r="A5201" s="14" t="s">
        <v>32379</v>
      </c>
      <c r="B5201" s="14" t="s">
        <v>32380</v>
      </c>
      <c r="C5201" s="14" t="s">
        <v>3716</v>
      </c>
      <c r="D5201" s="14" t="s">
        <v>32381</v>
      </c>
      <c r="E5201" s="14" t="s">
        <v>32267</v>
      </c>
      <c r="F5201" s="14" t="s">
        <v>371</v>
      </c>
      <c r="G5201" s="14" t="s">
        <v>32382</v>
      </c>
      <c r="H5201" s="15" t="s">
        <v>31</v>
      </c>
      <c r="I5201" s="15">
        <v>1.0</v>
      </c>
      <c r="J5201" s="15">
        <v>1.0</v>
      </c>
      <c r="K5201" s="15" t="s">
        <v>31</v>
      </c>
      <c r="L5201" s="16" t="s">
        <v>32269</v>
      </c>
      <c r="M5201" s="14" t="s">
        <v>32383</v>
      </c>
      <c r="N5201" s="14" t="s">
        <v>32271</v>
      </c>
      <c r="O5201" s="16" t="s">
        <v>32272</v>
      </c>
      <c r="P5201" s="14" t="s">
        <v>32273</v>
      </c>
      <c r="Q5201" s="14" t="s">
        <v>31</v>
      </c>
      <c r="R5201" s="14" t="s">
        <v>32274</v>
      </c>
      <c r="S5201" s="16" t="s">
        <v>32275</v>
      </c>
      <c r="T5201" s="14" t="s">
        <v>66</v>
      </c>
      <c r="U5201" s="16" t="s">
        <v>31</v>
      </c>
      <c r="V5201" s="14" t="s">
        <v>32384</v>
      </c>
      <c r="W5201" s="14" t="s">
        <v>32267</v>
      </c>
      <c r="X5201" s="17" t="str">
        <f>HYPERLINK("https://my.pitchbook.com?p=242087-50P","View People Online")</f>
        <v>View People Online</v>
      </c>
    </row>
    <row r="5202">
      <c r="A5202" s="10" t="s">
        <v>32385</v>
      </c>
      <c r="B5202" s="10" t="s">
        <v>32386</v>
      </c>
      <c r="C5202" s="10" t="s">
        <v>32387</v>
      </c>
      <c r="D5202" s="10" t="s">
        <v>32388</v>
      </c>
      <c r="E5202" s="10" t="s">
        <v>32267</v>
      </c>
      <c r="F5202" s="10" t="s">
        <v>3740</v>
      </c>
      <c r="G5202" s="10" t="s">
        <v>32389</v>
      </c>
      <c r="H5202" s="11" t="s">
        <v>31</v>
      </c>
      <c r="I5202" s="11">
        <v>2.0</v>
      </c>
      <c r="J5202" s="11">
        <v>2.0</v>
      </c>
      <c r="K5202" s="11" t="s">
        <v>31</v>
      </c>
      <c r="L5202" s="12" t="s">
        <v>32269</v>
      </c>
      <c r="M5202" s="10" t="s">
        <v>32390</v>
      </c>
      <c r="N5202" s="10" t="s">
        <v>32271</v>
      </c>
      <c r="O5202" s="12" t="s">
        <v>32272</v>
      </c>
      <c r="P5202" s="10" t="s">
        <v>32273</v>
      </c>
      <c r="Q5202" s="10" t="s">
        <v>31</v>
      </c>
      <c r="R5202" s="10" t="s">
        <v>32274</v>
      </c>
      <c r="S5202" s="12" t="s">
        <v>32391</v>
      </c>
      <c r="T5202" s="10" t="s">
        <v>66</v>
      </c>
      <c r="U5202" s="12" t="s">
        <v>31</v>
      </c>
      <c r="V5202" s="10" t="s">
        <v>32392</v>
      </c>
      <c r="W5202" s="10" t="s">
        <v>32393</v>
      </c>
      <c r="X5202" s="13" t="str">
        <f>HYPERLINK("https://my.pitchbook.com?p=183508-30P","View People Online")</f>
        <v>View People Online</v>
      </c>
    </row>
    <row r="5203">
      <c r="A5203" s="14" t="s">
        <v>32394</v>
      </c>
      <c r="B5203" s="14" t="s">
        <v>32395</v>
      </c>
      <c r="C5203" s="14" t="s">
        <v>32396</v>
      </c>
      <c r="D5203" s="14" t="s">
        <v>32397</v>
      </c>
      <c r="E5203" s="14" t="s">
        <v>32267</v>
      </c>
      <c r="F5203" s="14" t="s">
        <v>270</v>
      </c>
      <c r="G5203" s="14" t="s">
        <v>32398</v>
      </c>
      <c r="H5203" s="15" t="s">
        <v>31</v>
      </c>
      <c r="I5203" s="15">
        <v>1.0</v>
      </c>
      <c r="J5203" s="15">
        <v>1.0</v>
      </c>
      <c r="K5203" s="15" t="s">
        <v>31</v>
      </c>
      <c r="L5203" s="16" t="s">
        <v>32269</v>
      </c>
      <c r="M5203" s="14" t="s">
        <v>32399</v>
      </c>
      <c r="N5203" s="14" t="s">
        <v>32271</v>
      </c>
      <c r="O5203" s="16" t="s">
        <v>32272</v>
      </c>
      <c r="P5203" s="14" t="s">
        <v>32273</v>
      </c>
      <c r="Q5203" s="14" t="s">
        <v>31</v>
      </c>
      <c r="R5203" s="14" t="s">
        <v>32274</v>
      </c>
      <c r="S5203" s="16" t="s">
        <v>32275</v>
      </c>
      <c r="T5203" s="14" t="s">
        <v>66</v>
      </c>
      <c r="U5203" s="16" t="s">
        <v>31</v>
      </c>
      <c r="V5203" s="14" t="s">
        <v>32400</v>
      </c>
      <c r="W5203" s="14" t="s">
        <v>32267</v>
      </c>
      <c r="X5203" s="17" t="str">
        <f>HYPERLINK("https://my.pitchbook.com?p=92123-56P","View People Online")</f>
        <v>View People Online</v>
      </c>
    </row>
    <row r="5204">
      <c r="A5204" s="10" t="s">
        <v>32401</v>
      </c>
      <c r="B5204" s="10" t="s">
        <v>32402</v>
      </c>
      <c r="C5204" s="10" t="s">
        <v>32403</v>
      </c>
      <c r="D5204" s="10" t="s">
        <v>32404</v>
      </c>
      <c r="E5204" s="10" t="s">
        <v>32267</v>
      </c>
      <c r="F5204" s="10" t="s">
        <v>3678</v>
      </c>
      <c r="G5204" s="10" t="s">
        <v>32405</v>
      </c>
      <c r="H5204" s="11" t="s">
        <v>31</v>
      </c>
      <c r="I5204" s="11">
        <v>1.0</v>
      </c>
      <c r="J5204" s="11">
        <v>1.0</v>
      </c>
      <c r="K5204" s="11" t="s">
        <v>31</v>
      </c>
      <c r="L5204" s="12" t="s">
        <v>32269</v>
      </c>
      <c r="M5204" s="10" t="s">
        <v>32406</v>
      </c>
      <c r="N5204" s="10" t="s">
        <v>32271</v>
      </c>
      <c r="O5204" s="12" t="s">
        <v>32272</v>
      </c>
      <c r="P5204" s="10" t="s">
        <v>32273</v>
      </c>
      <c r="Q5204" s="10" t="s">
        <v>31</v>
      </c>
      <c r="R5204" s="10" t="s">
        <v>32274</v>
      </c>
      <c r="S5204" s="12" t="s">
        <v>32275</v>
      </c>
      <c r="T5204" s="10" t="s">
        <v>66</v>
      </c>
      <c r="U5204" s="12" t="s">
        <v>31</v>
      </c>
      <c r="V5204" s="10" t="s">
        <v>32407</v>
      </c>
      <c r="W5204" s="10" t="s">
        <v>32267</v>
      </c>
      <c r="X5204" s="13" t="str">
        <f>HYPERLINK("https://my.pitchbook.com?p=312190-48P","View People Online")</f>
        <v>View People Online</v>
      </c>
    </row>
    <row r="5205">
      <c r="A5205" s="14" t="s">
        <v>32408</v>
      </c>
      <c r="B5205" s="14" t="s">
        <v>32409</v>
      </c>
      <c r="C5205" s="14" t="s">
        <v>32410</v>
      </c>
      <c r="D5205" s="14" t="s">
        <v>32411</v>
      </c>
      <c r="E5205" s="14" t="s">
        <v>32412</v>
      </c>
      <c r="F5205" s="14" t="s">
        <v>12225</v>
      </c>
      <c r="G5205" s="14" t="s">
        <v>32413</v>
      </c>
      <c r="H5205" s="15">
        <v>1.0</v>
      </c>
      <c r="I5205" s="15">
        <v>1.0</v>
      </c>
      <c r="J5205" s="15">
        <v>1.0</v>
      </c>
      <c r="K5205" s="15" t="s">
        <v>31</v>
      </c>
      <c r="L5205" s="16" t="s">
        <v>32414</v>
      </c>
      <c r="M5205" s="14" t="s">
        <v>31</v>
      </c>
      <c r="N5205" s="14" t="s">
        <v>32415</v>
      </c>
      <c r="O5205" s="16" t="s">
        <v>32416</v>
      </c>
      <c r="P5205" s="14" t="s">
        <v>32417</v>
      </c>
      <c r="Q5205" s="14" t="s">
        <v>31</v>
      </c>
      <c r="R5205" s="14" t="s">
        <v>31</v>
      </c>
      <c r="S5205" s="16" t="s">
        <v>32418</v>
      </c>
      <c r="T5205" s="14" t="s">
        <v>10295</v>
      </c>
      <c r="U5205" s="16" t="s">
        <v>31</v>
      </c>
      <c r="V5205" s="14" t="s">
        <v>3930</v>
      </c>
      <c r="W5205" s="14" t="s">
        <v>32412</v>
      </c>
      <c r="X5205" s="17" t="str">
        <f>HYPERLINK("https://my.pitchbook.com?p=242506-36P","View People Online")</f>
        <v>View People Online</v>
      </c>
    </row>
    <row r="5206">
      <c r="A5206" s="10" t="s">
        <v>32419</v>
      </c>
      <c r="B5206" s="10" t="s">
        <v>32420</v>
      </c>
      <c r="C5206" s="10" t="s">
        <v>24614</v>
      </c>
      <c r="D5206" s="10" t="s">
        <v>32421</v>
      </c>
      <c r="E5206" s="10" t="s">
        <v>32412</v>
      </c>
      <c r="F5206" s="10" t="s">
        <v>371</v>
      </c>
      <c r="G5206" s="10" t="s">
        <v>32422</v>
      </c>
      <c r="H5206" s="11" t="s">
        <v>31</v>
      </c>
      <c r="I5206" s="11">
        <v>1.0</v>
      </c>
      <c r="J5206" s="11">
        <v>1.0</v>
      </c>
      <c r="K5206" s="11" t="s">
        <v>31</v>
      </c>
      <c r="L5206" s="12" t="s">
        <v>32414</v>
      </c>
      <c r="M5206" s="10" t="s">
        <v>32423</v>
      </c>
      <c r="N5206" s="10" t="s">
        <v>32415</v>
      </c>
      <c r="O5206" s="12" t="s">
        <v>32416</v>
      </c>
      <c r="P5206" s="10" t="s">
        <v>32417</v>
      </c>
      <c r="Q5206" s="10" t="s">
        <v>31</v>
      </c>
      <c r="R5206" s="10" t="s">
        <v>31</v>
      </c>
      <c r="S5206" s="12" t="s">
        <v>32418</v>
      </c>
      <c r="T5206" s="10" t="s">
        <v>10295</v>
      </c>
      <c r="U5206" s="12" t="s">
        <v>31</v>
      </c>
      <c r="V5206" s="10" t="s">
        <v>32424</v>
      </c>
      <c r="W5206" s="10" t="s">
        <v>32412</v>
      </c>
      <c r="X5206" s="13" t="str">
        <f>HYPERLINK("https://my.pitchbook.com?p=360236-71P","View People Online")</f>
        <v>View People Online</v>
      </c>
    </row>
    <row r="5207">
      <c r="A5207" s="6" t="s">
        <v>32425</v>
      </c>
      <c r="B5207" s="6" t="s">
        <v>32426</v>
      </c>
      <c r="C5207" s="6" t="s">
        <v>32427</v>
      </c>
      <c r="D5207" s="6" t="s">
        <v>32428</v>
      </c>
      <c r="E5207" s="6" t="s">
        <v>32412</v>
      </c>
      <c r="F5207" s="6" t="s">
        <v>2590</v>
      </c>
      <c r="G5207" s="6" t="s">
        <v>32429</v>
      </c>
      <c r="H5207" s="7">
        <v>3.0</v>
      </c>
      <c r="I5207" s="7">
        <v>3.0</v>
      </c>
      <c r="J5207" s="7">
        <v>2.0</v>
      </c>
      <c r="K5207" s="7" t="s">
        <v>31</v>
      </c>
      <c r="L5207" s="8" t="s">
        <v>32414</v>
      </c>
      <c r="M5207" s="6" t="s">
        <v>31</v>
      </c>
      <c r="N5207" s="6" t="s">
        <v>32415</v>
      </c>
      <c r="O5207" s="8" t="s">
        <v>32416</v>
      </c>
      <c r="P5207" s="6" t="s">
        <v>32417</v>
      </c>
      <c r="Q5207" s="6" t="s">
        <v>31</v>
      </c>
      <c r="R5207" s="6" t="s">
        <v>31</v>
      </c>
      <c r="S5207" s="8" t="s">
        <v>32418</v>
      </c>
      <c r="T5207" s="6" t="s">
        <v>10295</v>
      </c>
      <c r="U5207" s="8" t="s">
        <v>31</v>
      </c>
      <c r="V5207" s="6" t="s">
        <v>2168</v>
      </c>
      <c r="W5207" s="6" t="s">
        <v>32412</v>
      </c>
      <c r="X5207" s="9" t="str">
        <f>HYPERLINK("https://my.pitchbook.com?p=242506-00P","View People Online")</f>
        <v>View People Online</v>
      </c>
    </row>
    <row r="5208">
      <c r="A5208" s="2" t="s">
        <v>32430</v>
      </c>
      <c r="B5208" s="2" t="s">
        <v>32431</v>
      </c>
      <c r="C5208" s="2" t="s">
        <v>8163</v>
      </c>
      <c r="D5208" s="2" t="s">
        <v>12110</v>
      </c>
      <c r="E5208" s="2" t="s">
        <v>32412</v>
      </c>
      <c r="F5208" s="2" t="s">
        <v>1283</v>
      </c>
      <c r="G5208" s="2" t="s">
        <v>32432</v>
      </c>
      <c r="H5208" s="3" t="s">
        <v>31</v>
      </c>
      <c r="I5208" s="3">
        <v>2.0</v>
      </c>
      <c r="J5208" s="3">
        <v>1.0</v>
      </c>
      <c r="K5208" s="3">
        <v>1.0</v>
      </c>
      <c r="L5208" s="4" t="s">
        <v>32414</v>
      </c>
      <c r="M5208" s="2" t="s">
        <v>32433</v>
      </c>
      <c r="N5208" s="2" t="s">
        <v>32415</v>
      </c>
      <c r="O5208" s="4" t="s">
        <v>32416</v>
      </c>
      <c r="P5208" s="2" t="s">
        <v>32417</v>
      </c>
      <c r="Q5208" s="2" t="s">
        <v>31</v>
      </c>
      <c r="R5208" s="2" t="s">
        <v>31</v>
      </c>
      <c r="S5208" s="4" t="s">
        <v>32418</v>
      </c>
      <c r="T5208" s="2" t="s">
        <v>10295</v>
      </c>
      <c r="U5208" s="4" t="s">
        <v>31</v>
      </c>
      <c r="V5208" s="2" t="s">
        <v>32434</v>
      </c>
      <c r="W5208" s="2" t="s">
        <v>32412</v>
      </c>
      <c r="X5208" s="5" t="str">
        <f>HYPERLINK("https://my.pitchbook.com?p=355661-02P","View People Online")</f>
        <v>View People Online</v>
      </c>
    </row>
    <row r="5209">
      <c r="A5209" s="6" t="s">
        <v>32435</v>
      </c>
      <c r="B5209" s="6" t="s">
        <v>32436</v>
      </c>
      <c r="C5209" s="6" t="s">
        <v>32437</v>
      </c>
      <c r="D5209" s="6" t="s">
        <v>32438</v>
      </c>
      <c r="E5209" s="6" t="s">
        <v>32412</v>
      </c>
      <c r="F5209" s="6" t="s">
        <v>371</v>
      </c>
      <c r="G5209" s="6" t="s">
        <v>32439</v>
      </c>
      <c r="H5209" s="7" t="s">
        <v>31</v>
      </c>
      <c r="I5209" s="7">
        <v>1.0</v>
      </c>
      <c r="J5209" s="7">
        <v>1.0</v>
      </c>
      <c r="K5209" s="7" t="s">
        <v>31</v>
      </c>
      <c r="L5209" s="8" t="s">
        <v>32414</v>
      </c>
      <c r="M5209" s="6" t="s">
        <v>32440</v>
      </c>
      <c r="N5209" s="6" t="s">
        <v>32415</v>
      </c>
      <c r="O5209" s="8" t="s">
        <v>32416</v>
      </c>
      <c r="P5209" s="6" t="s">
        <v>32417</v>
      </c>
      <c r="Q5209" s="6" t="s">
        <v>31</v>
      </c>
      <c r="R5209" s="6" t="s">
        <v>31</v>
      </c>
      <c r="S5209" s="8" t="s">
        <v>32418</v>
      </c>
      <c r="T5209" s="6" t="s">
        <v>10295</v>
      </c>
      <c r="U5209" s="8" t="s">
        <v>31</v>
      </c>
      <c r="V5209" s="6" t="s">
        <v>29657</v>
      </c>
      <c r="W5209" s="6" t="s">
        <v>32412</v>
      </c>
      <c r="X5209" s="9" t="str">
        <f>HYPERLINK("https://my.pitchbook.com?p=242505-73P","View People Online")</f>
        <v>View People Online</v>
      </c>
    </row>
    <row r="5210">
      <c r="A5210" s="10" t="s">
        <v>32441</v>
      </c>
      <c r="B5210" s="10" t="s">
        <v>32442</v>
      </c>
      <c r="C5210" s="10" t="s">
        <v>19921</v>
      </c>
      <c r="D5210" s="10" t="s">
        <v>32443</v>
      </c>
      <c r="E5210" s="10" t="s">
        <v>32412</v>
      </c>
      <c r="F5210" s="10" t="s">
        <v>5206</v>
      </c>
      <c r="G5210" s="10" t="s">
        <v>32444</v>
      </c>
      <c r="H5210" s="11" t="s">
        <v>31</v>
      </c>
      <c r="I5210" s="11">
        <v>1.0</v>
      </c>
      <c r="J5210" s="11">
        <v>1.0</v>
      </c>
      <c r="K5210" s="11" t="s">
        <v>31</v>
      </c>
      <c r="L5210" s="12" t="s">
        <v>32414</v>
      </c>
      <c r="M5210" s="10" t="s">
        <v>32445</v>
      </c>
      <c r="N5210" s="10" t="s">
        <v>32415</v>
      </c>
      <c r="O5210" s="12" t="s">
        <v>32416</v>
      </c>
      <c r="P5210" s="10" t="s">
        <v>32417</v>
      </c>
      <c r="Q5210" s="10" t="s">
        <v>31</v>
      </c>
      <c r="R5210" s="10" t="s">
        <v>31</v>
      </c>
      <c r="S5210" s="12" t="s">
        <v>32418</v>
      </c>
      <c r="T5210" s="10" t="s">
        <v>10295</v>
      </c>
      <c r="U5210" s="12" t="s">
        <v>31</v>
      </c>
      <c r="V5210" s="10" t="s">
        <v>32446</v>
      </c>
      <c r="W5210" s="10" t="s">
        <v>32412</v>
      </c>
      <c r="X5210" s="13" t="str">
        <f>HYPERLINK("https://my.pitchbook.com?p=360227-80P","View People Online")</f>
        <v>View People Online</v>
      </c>
    </row>
    <row r="5211">
      <c r="A5211" s="14" t="s">
        <v>32447</v>
      </c>
      <c r="B5211" s="14" t="s">
        <v>32448</v>
      </c>
      <c r="C5211" s="14" t="s">
        <v>167</v>
      </c>
      <c r="D5211" s="14" t="s">
        <v>32449</v>
      </c>
      <c r="E5211" s="14" t="s">
        <v>32412</v>
      </c>
      <c r="F5211" s="14" t="s">
        <v>25501</v>
      </c>
      <c r="G5211" s="14" t="s">
        <v>32450</v>
      </c>
      <c r="H5211" s="15" t="s">
        <v>31</v>
      </c>
      <c r="I5211" s="15">
        <v>1.0</v>
      </c>
      <c r="J5211" s="15">
        <v>1.0</v>
      </c>
      <c r="K5211" s="15" t="s">
        <v>31</v>
      </c>
      <c r="L5211" s="16" t="s">
        <v>32414</v>
      </c>
      <c r="M5211" s="14" t="s">
        <v>31</v>
      </c>
      <c r="N5211" s="14" t="s">
        <v>32415</v>
      </c>
      <c r="O5211" s="16" t="s">
        <v>32416</v>
      </c>
      <c r="P5211" s="14" t="s">
        <v>32417</v>
      </c>
      <c r="Q5211" s="14" t="s">
        <v>31</v>
      </c>
      <c r="R5211" s="14" t="s">
        <v>31</v>
      </c>
      <c r="S5211" s="16" t="s">
        <v>32418</v>
      </c>
      <c r="T5211" s="14" t="s">
        <v>10295</v>
      </c>
      <c r="U5211" s="16" t="s">
        <v>31</v>
      </c>
      <c r="V5211" s="14" t="s">
        <v>32451</v>
      </c>
      <c r="W5211" s="14" t="s">
        <v>32412</v>
      </c>
      <c r="X5211" s="17" t="str">
        <f>HYPERLINK("https://my.pitchbook.com?p=360238-87P","View People Online")</f>
        <v>View People Online</v>
      </c>
    </row>
    <row r="5212">
      <c r="A5212" s="10" t="s">
        <v>32452</v>
      </c>
      <c r="B5212" s="10" t="s">
        <v>32453</v>
      </c>
      <c r="C5212" s="10" t="s">
        <v>25287</v>
      </c>
      <c r="D5212" s="10" t="s">
        <v>32454</v>
      </c>
      <c r="E5212" s="10" t="s">
        <v>32412</v>
      </c>
      <c r="F5212" s="10" t="s">
        <v>270</v>
      </c>
      <c r="G5212" s="10" t="s">
        <v>32455</v>
      </c>
      <c r="H5212" s="11" t="s">
        <v>31</v>
      </c>
      <c r="I5212" s="11">
        <v>1.0</v>
      </c>
      <c r="J5212" s="11">
        <v>1.0</v>
      </c>
      <c r="K5212" s="11" t="s">
        <v>31</v>
      </c>
      <c r="L5212" s="12" t="s">
        <v>32456</v>
      </c>
      <c r="M5212" s="10" t="s">
        <v>32457</v>
      </c>
      <c r="N5212" s="10" t="s">
        <v>32415</v>
      </c>
      <c r="O5212" s="12" t="s">
        <v>32416</v>
      </c>
      <c r="P5212" s="10" t="s">
        <v>32417</v>
      </c>
      <c r="Q5212" s="10" t="s">
        <v>31</v>
      </c>
      <c r="R5212" s="10" t="s">
        <v>31</v>
      </c>
      <c r="S5212" s="12" t="s">
        <v>32418</v>
      </c>
      <c r="T5212" s="10" t="s">
        <v>10295</v>
      </c>
      <c r="U5212" s="12" t="s">
        <v>31</v>
      </c>
      <c r="V5212" s="10" t="s">
        <v>32458</v>
      </c>
      <c r="W5212" s="10" t="s">
        <v>32412</v>
      </c>
      <c r="X5212" s="13" t="str">
        <f>HYPERLINK("https://my.pitchbook.com?p=359683-93P","View People Online")</f>
        <v>View People Online</v>
      </c>
    </row>
    <row r="5213">
      <c r="A5213" s="14" t="s">
        <v>32459</v>
      </c>
      <c r="B5213" s="14" t="s">
        <v>32460</v>
      </c>
      <c r="C5213" s="14" t="s">
        <v>32461</v>
      </c>
      <c r="D5213" s="14" t="s">
        <v>32462</v>
      </c>
      <c r="E5213" s="14" t="s">
        <v>32412</v>
      </c>
      <c r="F5213" s="14" t="s">
        <v>371</v>
      </c>
      <c r="G5213" s="14" t="s">
        <v>32463</v>
      </c>
      <c r="H5213" s="15" t="s">
        <v>31</v>
      </c>
      <c r="I5213" s="15">
        <v>1.0</v>
      </c>
      <c r="J5213" s="15">
        <v>1.0</v>
      </c>
      <c r="K5213" s="15" t="s">
        <v>31</v>
      </c>
      <c r="L5213" s="16" t="s">
        <v>32414</v>
      </c>
      <c r="M5213" s="14" t="s">
        <v>32464</v>
      </c>
      <c r="N5213" s="14" t="s">
        <v>32415</v>
      </c>
      <c r="O5213" s="16" t="s">
        <v>32416</v>
      </c>
      <c r="P5213" s="14" t="s">
        <v>32417</v>
      </c>
      <c r="Q5213" s="14" t="s">
        <v>31</v>
      </c>
      <c r="R5213" s="14" t="s">
        <v>31</v>
      </c>
      <c r="S5213" s="16" t="s">
        <v>32418</v>
      </c>
      <c r="T5213" s="14" t="s">
        <v>10295</v>
      </c>
      <c r="U5213" s="16" t="s">
        <v>31</v>
      </c>
      <c r="V5213" s="14" t="s">
        <v>371</v>
      </c>
      <c r="W5213" s="14" t="s">
        <v>32412</v>
      </c>
      <c r="X5213" s="17" t="str">
        <f>HYPERLINK("https://my.pitchbook.com?p=360227-26P","View People Online")</f>
        <v>View People Online</v>
      </c>
    </row>
    <row r="5214">
      <c r="A5214" s="10" t="s">
        <v>32465</v>
      </c>
      <c r="B5214" s="10" t="s">
        <v>32466</v>
      </c>
      <c r="C5214" s="10" t="s">
        <v>32467</v>
      </c>
      <c r="D5214" s="10" t="s">
        <v>32468</v>
      </c>
      <c r="E5214" s="10" t="s">
        <v>32412</v>
      </c>
      <c r="F5214" s="10" t="s">
        <v>470</v>
      </c>
      <c r="G5214" s="10" t="s">
        <v>32469</v>
      </c>
      <c r="H5214" s="11">
        <v>1.0</v>
      </c>
      <c r="I5214" s="11">
        <v>4.0</v>
      </c>
      <c r="J5214" s="11">
        <v>1.0</v>
      </c>
      <c r="K5214" s="11">
        <v>2.0</v>
      </c>
      <c r="L5214" s="12" t="s">
        <v>32414</v>
      </c>
      <c r="M5214" s="10" t="s">
        <v>32470</v>
      </c>
      <c r="N5214" s="10" t="s">
        <v>32415</v>
      </c>
      <c r="O5214" s="12" t="s">
        <v>32416</v>
      </c>
      <c r="P5214" s="10" t="s">
        <v>32417</v>
      </c>
      <c r="Q5214" s="10" t="s">
        <v>31</v>
      </c>
      <c r="R5214" s="10" t="s">
        <v>31</v>
      </c>
      <c r="S5214" s="12" t="s">
        <v>32418</v>
      </c>
      <c r="T5214" s="10" t="s">
        <v>10295</v>
      </c>
      <c r="U5214" s="12" t="s">
        <v>31</v>
      </c>
      <c r="V5214" s="10" t="s">
        <v>470</v>
      </c>
      <c r="W5214" s="10" t="s">
        <v>32412</v>
      </c>
      <c r="X5214" s="13" t="str">
        <f>HYPERLINK("https://my.pitchbook.com?p=242505-64P","View People Online")</f>
        <v>View People Online</v>
      </c>
    </row>
    <row r="5215">
      <c r="A5215" s="14" t="s">
        <v>32471</v>
      </c>
      <c r="B5215" s="14" t="s">
        <v>32472</v>
      </c>
      <c r="C5215" s="14" t="s">
        <v>32473</v>
      </c>
      <c r="D5215" s="14" t="s">
        <v>32474</v>
      </c>
      <c r="E5215" s="14" t="s">
        <v>32412</v>
      </c>
      <c r="F5215" s="14" t="s">
        <v>81</v>
      </c>
      <c r="G5215" s="14" t="s">
        <v>32475</v>
      </c>
      <c r="H5215" s="15" t="s">
        <v>31</v>
      </c>
      <c r="I5215" s="15">
        <v>1.0</v>
      </c>
      <c r="J5215" s="15" t="s">
        <v>31</v>
      </c>
      <c r="K5215" s="15" t="s">
        <v>31</v>
      </c>
      <c r="L5215" s="16" t="s">
        <v>32414</v>
      </c>
      <c r="M5215" s="14" t="s">
        <v>32476</v>
      </c>
      <c r="N5215" s="14" t="s">
        <v>32415</v>
      </c>
      <c r="O5215" s="16" t="s">
        <v>32416</v>
      </c>
      <c r="P5215" s="14" t="s">
        <v>32417</v>
      </c>
      <c r="Q5215" s="14" t="s">
        <v>31</v>
      </c>
      <c r="R5215" s="14" t="s">
        <v>31</v>
      </c>
      <c r="S5215" s="16" t="s">
        <v>32418</v>
      </c>
      <c r="T5215" s="14" t="s">
        <v>10295</v>
      </c>
      <c r="U5215" s="16" t="s">
        <v>31</v>
      </c>
      <c r="V5215" s="14" t="s">
        <v>31</v>
      </c>
      <c r="W5215" s="14" t="s">
        <v>32477</v>
      </c>
      <c r="X5215" s="17" t="str">
        <f>HYPERLINK("https://my.pitchbook.com?p=242506-81P","View People Online")</f>
        <v>View People Online</v>
      </c>
    </row>
    <row r="5216">
      <c r="A5216" s="2" t="s">
        <v>32478</v>
      </c>
      <c r="B5216" s="2" t="s">
        <v>32479</v>
      </c>
      <c r="C5216" s="2" t="s">
        <v>32480</v>
      </c>
      <c r="D5216" s="2" t="s">
        <v>32481</v>
      </c>
      <c r="E5216" s="2" t="s">
        <v>32482</v>
      </c>
      <c r="F5216" s="2" t="s">
        <v>189</v>
      </c>
      <c r="G5216" s="2" t="s">
        <v>32483</v>
      </c>
      <c r="H5216" s="3" t="s">
        <v>31</v>
      </c>
      <c r="I5216" s="3">
        <v>3.0</v>
      </c>
      <c r="J5216" s="3">
        <v>1.0</v>
      </c>
      <c r="K5216" s="3">
        <v>2.0</v>
      </c>
      <c r="L5216" s="4" t="s">
        <v>31</v>
      </c>
      <c r="M5216" s="2" t="s">
        <v>32484</v>
      </c>
      <c r="N5216" s="2" t="s">
        <v>155</v>
      </c>
      <c r="O5216" s="4" t="s">
        <v>156</v>
      </c>
      <c r="P5216" s="2" t="s">
        <v>31</v>
      </c>
      <c r="Q5216" s="2" t="s">
        <v>31</v>
      </c>
      <c r="R5216" s="2" t="s">
        <v>64</v>
      </c>
      <c r="S5216" s="4" t="s">
        <v>31</v>
      </c>
      <c r="T5216" s="2" t="s">
        <v>66</v>
      </c>
      <c r="U5216" s="4" t="s">
        <v>31</v>
      </c>
      <c r="V5216" s="2" t="s">
        <v>196</v>
      </c>
      <c r="W5216" s="2" t="s">
        <v>32482</v>
      </c>
      <c r="X5216" s="5" t="str">
        <f>HYPERLINK("https://my.pitchbook.com?p=210002-59P","View People Online")</f>
        <v>View People Online</v>
      </c>
    </row>
    <row r="5217">
      <c r="A5217" s="14" t="s">
        <v>32485</v>
      </c>
      <c r="B5217" s="14" t="s">
        <v>32486</v>
      </c>
      <c r="C5217" s="14" t="s">
        <v>32487</v>
      </c>
      <c r="D5217" s="14" t="s">
        <v>32488</v>
      </c>
      <c r="E5217" s="14" t="s">
        <v>32482</v>
      </c>
      <c r="F5217" s="14" t="s">
        <v>189</v>
      </c>
      <c r="G5217" s="14" t="s">
        <v>32489</v>
      </c>
      <c r="H5217" s="15" t="s">
        <v>31</v>
      </c>
      <c r="I5217" s="15">
        <v>3.0</v>
      </c>
      <c r="J5217" s="15">
        <v>1.0</v>
      </c>
      <c r="K5217" s="15">
        <v>2.0</v>
      </c>
      <c r="L5217" s="16" t="s">
        <v>31</v>
      </c>
      <c r="M5217" s="14" t="s">
        <v>32490</v>
      </c>
      <c r="N5217" s="14" t="s">
        <v>155</v>
      </c>
      <c r="O5217" s="16" t="s">
        <v>156</v>
      </c>
      <c r="P5217" s="14" t="s">
        <v>31</v>
      </c>
      <c r="Q5217" s="14" t="s">
        <v>31</v>
      </c>
      <c r="R5217" s="14" t="s">
        <v>64</v>
      </c>
      <c r="S5217" s="16" t="s">
        <v>31</v>
      </c>
      <c r="T5217" s="14" t="s">
        <v>66</v>
      </c>
      <c r="U5217" s="16" t="s">
        <v>31</v>
      </c>
      <c r="V5217" s="14" t="s">
        <v>196</v>
      </c>
      <c r="W5217" s="14" t="s">
        <v>32482</v>
      </c>
      <c r="X5217" s="17" t="str">
        <f>HYPERLINK("https://my.pitchbook.com?p=273263-23P","View People Online")</f>
        <v>View People Online</v>
      </c>
    </row>
    <row r="5218">
      <c r="A5218" s="2" t="s">
        <v>32491</v>
      </c>
      <c r="B5218" s="2" t="s">
        <v>32492</v>
      </c>
      <c r="C5218" s="2" t="s">
        <v>1117</v>
      </c>
      <c r="D5218" s="2" t="s">
        <v>32493</v>
      </c>
      <c r="E5218" s="2" t="s">
        <v>32494</v>
      </c>
      <c r="F5218" s="2" t="s">
        <v>29</v>
      </c>
      <c r="G5218" s="2" t="s">
        <v>32495</v>
      </c>
      <c r="H5218" s="3" t="s">
        <v>31</v>
      </c>
      <c r="I5218" s="3">
        <v>2.0</v>
      </c>
      <c r="J5218" s="3">
        <v>2.0</v>
      </c>
      <c r="K5218" s="3" t="s">
        <v>31</v>
      </c>
      <c r="L5218" s="4" t="s">
        <v>32496</v>
      </c>
      <c r="M5218" s="2" t="s">
        <v>32497</v>
      </c>
      <c r="N5218" s="2" t="s">
        <v>32498</v>
      </c>
      <c r="O5218" s="4" t="s">
        <v>32499</v>
      </c>
      <c r="P5218" s="2" t="s">
        <v>31</v>
      </c>
      <c r="Q5218" s="2" t="s">
        <v>31</v>
      </c>
      <c r="R5218" s="2" t="s">
        <v>24115</v>
      </c>
      <c r="S5218" s="4" t="s">
        <v>32500</v>
      </c>
      <c r="T5218" s="2" t="s">
        <v>66</v>
      </c>
      <c r="U5218" s="4" t="s">
        <v>31</v>
      </c>
      <c r="V5218" s="2" t="s">
        <v>29</v>
      </c>
      <c r="W5218" s="2" t="s">
        <v>32494</v>
      </c>
      <c r="X5218" s="5" t="str">
        <f>HYPERLINK("https://my.pitchbook.com?p=286030-99P","View People Online")</f>
        <v>View People Online</v>
      </c>
    </row>
    <row r="5219">
      <c r="A5219" s="6" t="s">
        <v>32501</v>
      </c>
      <c r="B5219" s="6" t="s">
        <v>32502</v>
      </c>
      <c r="C5219" s="6" t="s">
        <v>5985</v>
      </c>
      <c r="D5219" s="6" t="s">
        <v>5555</v>
      </c>
      <c r="E5219" s="6" t="s">
        <v>32494</v>
      </c>
      <c r="F5219" s="6" t="s">
        <v>29</v>
      </c>
      <c r="G5219" s="6" t="s">
        <v>32503</v>
      </c>
      <c r="H5219" s="7">
        <v>1.0</v>
      </c>
      <c r="I5219" s="7">
        <v>2.0</v>
      </c>
      <c r="J5219" s="7">
        <v>1.0</v>
      </c>
      <c r="K5219" s="7" t="s">
        <v>31</v>
      </c>
      <c r="L5219" s="8" t="s">
        <v>31</v>
      </c>
      <c r="M5219" s="6" t="s">
        <v>32504</v>
      </c>
      <c r="N5219" s="6" t="s">
        <v>32498</v>
      </c>
      <c r="O5219" s="8" t="s">
        <v>32499</v>
      </c>
      <c r="P5219" s="6" t="s">
        <v>31</v>
      </c>
      <c r="Q5219" s="6" t="s">
        <v>31</v>
      </c>
      <c r="R5219" s="6" t="s">
        <v>24115</v>
      </c>
      <c r="S5219" s="8" t="s">
        <v>32500</v>
      </c>
      <c r="T5219" s="6" t="s">
        <v>66</v>
      </c>
      <c r="U5219" s="8" t="s">
        <v>31</v>
      </c>
      <c r="V5219" s="6" t="s">
        <v>29</v>
      </c>
      <c r="W5219" s="6" t="s">
        <v>32494</v>
      </c>
      <c r="X5219" s="9" t="str">
        <f>HYPERLINK("https://my.pitchbook.com?p=234598-33P","View People Online")</f>
        <v>View People Online</v>
      </c>
    </row>
    <row r="5220">
      <c r="A5220" s="10" t="s">
        <v>32505</v>
      </c>
      <c r="B5220" s="10" t="s">
        <v>32506</v>
      </c>
      <c r="C5220" s="10" t="s">
        <v>1541</v>
      </c>
      <c r="D5220" s="10" t="s">
        <v>32507</v>
      </c>
      <c r="E5220" s="10" t="s">
        <v>32508</v>
      </c>
      <c r="F5220" s="10" t="s">
        <v>548</v>
      </c>
      <c r="G5220" s="10" t="s">
        <v>32509</v>
      </c>
      <c r="H5220" s="11" t="s">
        <v>31</v>
      </c>
      <c r="I5220" s="11">
        <v>1.0</v>
      </c>
      <c r="J5220" s="11">
        <v>1.0</v>
      </c>
      <c r="K5220" s="11" t="s">
        <v>31</v>
      </c>
      <c r="L5220" s="12" t="s">
        <v>31</v>
      </c>
      <c r="M5220" s="10" t="s">
        <v>32510</v>
      </c>
      <c r="N5220" s="10" t="s">
        <v>32511</v>
      </c>
      <c r="O5220" s="12" t="s">
        <v>32512</v>
      </c>
      <c r="P5220" s="10" t="s">
        <v>32513</v>
      </c>
      <c r="Q5220" s="10" t="s">
        <v>31</v>
      </c>
      <c r="R5220" s="10" t="s">
        <v>31</v>
      </c>
      <c r="S5220" s="12" t="s">
        <v>32514</v>
      </c>
      <c r="T5220" s="10" t="s">
        <v>796</v>
      </c>
      <c r="U5220" s="12" t="s">
        <v>31</v>
      </c>
      <c r="V5220" s="10" t="s">
        <v>4696</v>
      </c>
      <c r="W5220" s="10" t="s">
        <v>32508</v>
      </c>
      <c r="X5220" s="13" t="str">
        <f>HYPERLINK("https://my.pitchbook.com?p=263050-84P","View People Online")</f>
        <v>View People Online</v>
      </c>
    </row>
    <row r="5221">
      <c r="A5221" s="6" t="s">
        <v>32515</v>
      </c>
      <c r="B5221" s="6" t="s">
        <v>32516</v>
      </c>
      <c r="C5221" s="6" t="s">
        <v>32517</v>
      </c>
      <c r="D5221" s="6" t="s">
        <v>13217</v>
      </c>
      <c r="E5221" s="6" t="s">
        <v>32508</v>
      </c>
      <c r="F5221" s="6" t="s">
        <v>371</v>
      </c>
      <c r="G5221" s="6" t="s">
        <v>32518</v>
      </c>
      <c r="H5221" s="7" t="s">
        <v>31</v>
      </c>
      <c r="I5221" s="7">
        <v>1.0</v>
      </c>
      <c r="J5221" s="7">
        <v>1.0</v>
      </c>
      <c r="K5221" s="7" t="s">
        <v>31</v>
      </c>
      <c r="L5221" s="8" t="s">
        <v>31</v>
      </c>
      <c r="M5221" s="6" t="s">
        <v>32519</v>
      </c>
      <c r="N5221" s="6" t="s">
        <v>32511</v>
      </c>
      <c r="O5221" s="8" t="s">
        <v>32512</v>
      </c>
      <c r="P5221" s="6" t="s">
        <v>32513</v>
      </c>
      <c r="Q5221" s="6" t="s">
        <v>31</v>
      </c>
      <c r="R5221" s="6" t="s">
        <v>31</v>
      </c>
      <c r="S5221" s="8" t="s">
        <v>32514</v>
      </c>
      <c r="T5221" s="6" t="s">
        <v>796</v>
      </c>
      <c r="U5221" s="8" t="s">
        <v>31</v>
      </c>
      <c r="V5221" s="6" t="s">
        <v>10442</v>
      </c>
      <c r="W5221" s="6" t="s">
        <v>32508</v>
      </c>
      <c r="X5221" s="9" t="str">
        <f>HYPERLINK("https://my.pitchbook.com?p=88983-64P","View People Online")</f>
        <v>View People Online</v>
      </c>
    </row>
    <row r="5222">
      <c r="A5222" s="10" t="s">
        <v>32520</v>
      </c>
      <c r="B5222" s="10" t="s">
        <v>32521</v>
      </c>
      <c r="C5222" s="10" t="s">
        <v>7978</v>
      </c>
      <c r="D5222" s="10" t="s">
        <v>32522</v>
      </c>
      <c r="E5222" s="10" t="s">
        <v>32508</v>
      </c>
      <c r="F5222" s="10" t="s">
        <v>312</v>
      </c>
      <c r="G5222" s="10" t="s">
        <v>32523</v>
      </c>
      <c r="H5222" s="11" t="s">
        <v>31</v>
      </c>
      <c r="I5222" s="11">
        <v>1.0</v>
      </c>
      <c r="J5222" s="11">
        <v>1.0</v>
      </c>
      <c r="K5222" s="11" t="s">
        <v>31</v>
      </c>
      <c r="L5222" s="12" t="s">
        <v>31</v>
      </c>
      <c r="M5222" s="10" t="s">
        <v>32524</v>
      </c>
      <c r="N5222" s="10" t="s">
        <v>32511</v>
      </c>
      <c r="O5222" s="12" t="s">
        <v>32512</v>
      </c>
      <c r="P5222" s="10" t="s">
        <v>32513</v>
      </c>
      <c r="Q5222" s="10" t="s">
        <v>31</v>
      </c>
      <c r="R5222" s="10" t="s">
        <v>31</v>
      </c>
      <c r="S5222" s="12" t="s">
        <v>32514</v>
      </c>
      <c r="T5222" s="10" t="s">
        <v>796</v>
      </c>
      <c r="U5222" s="12" t="s">
        <v>31</v>
      </c>
      <c r="V5222" s="10" t="s">
        <v>4355</v>
      </c>
      <c r="W5222" s="10" t="s">
        <v>32508</v>
      </c>
      <c r="X5222" s="13" t="str">
        <f>HYPERLINK("https://my.pitchbook.com?p=263050-21P","View People Online")</f>
        <v>View People Online</v>
      </c>
    </row>
    <row r="5223">
      <c r="A5223" s="6" t="s">
        <v>32525</v>
      </c>
      <c r="B5223" s="6" t="s">
        <v>32526</v>
      </c>
      <c r="C5223" s="6" t="s">
        <v>13352</v>
      </c>
      <c r="D5223" s="6" t="s">
        <v>32527</v>
      </c>
      <c r="E5223" s="6" t="s">
        <v>32508</v>
      </c>
      <c r="F5223" s="6" t="s">
        <v>470</v>
      </c>
      <c r="G5223" s="6" t="s">
        <v>32528</v>
      </c>
      <c r="H5223" s="7" t="s">
        <v>31</v>
      </c>
      <c r="I5223" s="7">
        <v>3.0</v>
      </c>
      <c r="J5223" s="7">
        <v>1.0</v>
      </c>
      <c r="K5223" s="7">
        <v>2.0</v>
      </c>
      <c r="L5223" s="8" t="s">
        <v>31</v>
      </c>
      <c r="M5223" s="6" t="s">
        <v>32529</v>
      </c>
      <c r="N5223" s="6" t="s">
        <v>32511</v>
      </c>
      <c r="O5223" s="8" t="s">
        <v>32512</v>
      </c>
      <c r="P5223" s="6" t="s">
        <v>32513</v>
      </c>
      <c r="Q5223" s="6" t="s">
        <v>31</v>
      </c>
      <c r="R5223" s="6" t="s">
        <v>31</v>
      </c>
      <c r="S5223" s="8" t="s">
        <v>32514</v>
      </c>
      <c r="T5223" s="6" t="s">
        <v>796</v>
      </c>
      <c r="U5223" s="8" t="s">
        <v>31</v>
      </c>
      <c r="V5223" s="6" t="s">
        <v>32530</v>
      </c>
      <c r="W5223" s="6" t="s">
        <v>32508</v>
      </c>
      <c r="X5223" s="9" t="str">
        <f>HYPERLINK("https://my.pitchbook.com?p=233882-83P","View People Online")</f>
        <v>View People Online</v>
      </c>
    </row>
    <row r="5224">
      <c r="A5224" s="10" t="s">
        <v>32531</v>
      </c>
      <c r="B5224" s="10" t="s">
        <v>32532</v>
      </c>
      <c r="C5224" s="10" t="s">
        <v>16168</v>
      </c>
      <c r="D5224" s="10" t="s">
        <v>32533</v>
      </c>
      <c r="E5224" s="10" t="s">
        <v>32508</v>
      </c>
      <c r="F5224" s="10" t="s">
        <v>25501</v>
      </c>
      <c r="G5224" s="10" t="s">
        <v>32534</v>
      </c>
      <c r="H5224" s="11" t="s">
        <v>31</v>
      </c>
      <c r="I5224" s="11">
        <v>6.0</v>
      </c>
      <c r="J5224" s="11">
        <v>1.0</v>
      </c>
      <c r="K5224" s="11">
        <v>4.0</v>
      </c>
      <c r="L5224" s="12" t="s">
        <v>31</v>
      </c>
      <c r="M5224" s="10" t="s">
        <v>32535</v>
      </c>
      <c r="N5224" s="10" t="s">
        <v>32511</v>
      </c>
      <c r="O5224" s="12" t="s">
        <v>32512</v>
      </c>
      <c r="P5224" s="10" t="s">
        <v>32513</v>
      </c>
      <c r="Q5224" s="10" t="s">
        <v>31</v>
      </c>
      <c r="R5224" s="10" t="s">
        <v>31</v>
      </c>
      <c r="S5224" s="12" t="s">
        <v>32514</v>
      </c>
      <c r="T5224" s="10" t="s">
        <v>796</v>
      </c>
      <c r="U5224" s="12" t="s">
        <v>31</v>
      </c>
      <c r="V5224" s="10" t="s">
        <v>32536</v>
      </c>
      <c r="W5224" s="10" t="s">
        <v>32508</v>
      </c>
      <c r="X5224" s="13" t="str">
        <f>HYPERLINK("https://my.pitchbook.com?p=97579-00P","View People Online")</f>
        <v>View People Online</v>
      </c>
    </row>
    <row r="5225">
      <c r="A5225" s="14" t="s">
        <v>32537</v>
      </c>
      <c r="B5225" s="14" t="s">
        <v>32538</v>
      </c>
      <c r="C5225" s="14" t="s">
        <v>32539</v>
      </c>
      <c r="D5225" s="14" t="s">
        <v>30092</v>
      </c>
      <c r="E5225" s="14" t="s">
        <v>32508</v>
      </c>
      <c r="F5225" s="14" t="s">
        <v>583</v>
      </c>
      <c r="G5225" s="14" t="s">
        <v>32540</v>
      </c>
      <c r="H5225" s="15" t="s">
        <v>31</v>
      </c>
      <c r="I5225" s="15">
        <v>2.0</v>
      </c>
      <c r="J5225" s="15">
        <v>1.0</v>
      </c>
      <c r="K5225" s="15">
        <v>1.0</v>
      </c>
      <c r="L5225" s="16" t="s">
        <v>31</v>
      </c>
      <c r="M5225" s="14" t="s">
        <v>32541</v>
      </c>
      <c r="N5225" s="14" t="s">
        <v>32511</v>
      </c>
      <c r="O5225" s="16" t="s">
        <v>32512</v>
      </c>
      <c r="P5225" s="14" t="s">
        <v>32513</v>
      </c>
      <c r="Q5225" s="14" t="s">
        <v>31</v>
      </c>
      <c r="R5225" s="14" t="s">
        <v>31</v>
      </c>
      <c r="S5225" s="16" t="s">
        <v>32514</v>
      </c>
      <c r="T5225" s="14" t="s">
        <v>796</v>
      </c>
      <c r="U5225" s="16" t="s">
        <v>31</v>
      </c>
      <c r="V5225" s="14" t="s">
        <v>32542</v>
      </c>
      <c r="W5225" s="14" t="s">
        <v>32508</v>
      </c>
      <c r="X5225" s="17" t="str">
        <f>HYPERLINK("https://my.pitchbook.com?p=258453-46P","View People Online")</f>
        <v>View People Online</v>
      </c>
    </row>
    <row r="5226">
      <c r="A5226" s="2" t="s">
        <v>32543</v>
      </c>
      <c r="B5226" s="2" t="s">
        <v>32544</v>
      </c>
      <c r="C5226" s="2" t="s">
        <v>7304</v>
      </c>
      <c r="D5226" s="2" t="s">
        <v>32545</v>
      </c>
      <c r="E5226" s="2" t="s">
        <v>32508</v>
      </c>
      <c r="F5226" s="2" t="s">
        <v>5979</v>
      </c>
      <c r="G5226" s="2" t="s">
        <v>32546</v>
      </c>
      <c r="H5226" s="3" t="s">
        <v>31</v>
      </c>
      <c r="I5226" s="3">
        <v>1.0</v>
      </c>
      <c r="J5226" s="3">
        <v>1.0</v>
      </c>
      <c r="K5226" s="3" t="s">
        <v>31</v>
      </c>
      <c r="L5226" s="4" t="s">
        <v>32547</v>
      </c>
      <c r="M5226" s="2" t="s">
        <v>32548</v>
      </c>
      <c r="N5226" s="2" t="s">
        <v>32511</v>
      </c>
      <c r="O5226" s="4" t="s">
        <v>32512</v>
      </c>
      <c r="P5226" s="2" t="s">
        <v>32513</v>
      </c>
      <c r="Q5226" s="2" t="s">
        <v>31</v>
      </c>
      <c r="R5226" s="2" t="s">
        <v>31</v>
      </c>
      <c r="S5226" s="4" t="s">
        <v>32514</v>
      </c>
      <c r="T5226" s="2" t="s">
        <v>796</v>
      </c>
      <c r="U5226" s="4" t="s">
        <v>31</v>
      </c>
      <c r="V5226" s="2" t="s">
        <v>32549</v>
      </c>
      <c r="W5226" s="2" t="s">
        <v>32508</v>
      </c>
      <c r="X5226" s="5" t="str">
        <f>HYPERLINK("https://my.pitchbook.com?p=65758-24P","View People Online")</f>
        <v>View People Online</v>
      </c>
    </row>
    <row r="5227">
      <c r="A5227" s="14" t="s">
        <v>32550</v>
      </c>
      <c r="B5227" s="14" t="s">
        <v>32551</v>
      </c>
      <c r="C5227" s="14" t="s">
        <v>32552</v>
      </c>
      <c r="D5227" s="14" t="s">
        <v>32553</v>
      </c>
      <c r="E5227" s="14" t="s">
        <v>32508</v>
      </c>
      <c r="F5227" s="14" t="s">
        <v>583</v>
      </c>
      <c r="G5227" s="14" t="s">
        <v>32554</v>
      </c>
      <c r="H5227" s="15" t="s">
        <v>31</v>
      </c>
      <c r="I5227" s="15">
        <v>3.0</v>
      </c>
      <c r="J5227" s="15">
        <v>2.0</v>
      </c>
      <c r="K5227" s="15">
        <v>1.0</v>
      </c>
      <c r="L5227" s="16" t="s">
        <v>31</v>
      </c>
      <c r="M5227" s="14" t="s">
        <v>32555</v>
      </c>
      <c r="N5227" s="14" t="s">
        <v>32511</v>
      </c>
      <c r="O5227" s="16" t="s">
        <v>32512</v>
      </c>
      <c r="P5227" s="14" t="s">
        <v>32513</v>
      </c>
      <c r="Q5227" s="14" t="s">
        <v>31</v>
      </c>
      <c r="R5227" s="14" t="s">
        <v>31</v>
      </c>
      <c r="S5227" s="16" t="s">
        <v>32514</v>
      </c>
      <c r="T5227" s="14" t="s">
        <v>796</v>
      </c>
      <c r="U5227" s="16" t="s">
        <v>31</v>
      </c>
      <c r="V5227" s="14" t="s">
        <v>32556</v>
      </c>
      <c r="W5227" s="14" t="s">
        <v>32508</v>
      </c>
      <c r="X5227" s="17" t="str">
        <f>HYPERLINK("https://my.pitchbook.com?p=325422-19P","View People Online")</f>
        <v>View People Online</v>
      </c>
    </row>
    <row r="5228">
      <c r="A5228" s="10" t="s">
        <v>32557</v>
      </c>
      <c r="B5228" s="10" t="s">
        <v>32558</v>
      </c>
      <c r="C5228" s="10" t="s">
        <v>3658</v>
      </c>
      <c r="D5228" s="10" t="s">
        <v>32559</v>
      </c>
      <c r="E5228" s="10" t="s">
        <v>32508</v>
      </c>
      <c r="F5228" s="10" t="s">
        <v>32560</v>
      </c>
      <c r="G5228" s="10" t="s">
        <v>32561</v>
      </c>
      <c r="H5228" s="11" t="s">
        <v>31</v>
      </c>
      <c r="I5228" s="11">
        <v>1.0</v>
      </c>
      <c r="J5228" s="11">
        <v>1.0</v>
      </c>
      <c r="K5228" s="11" t="s">
        <v>31</v>
      </c>
      <c r="L5228" s="12" t="s">
        <v>32562</v>
      </c>
      <c r="M5228" s="10" t="s">
        <v>32563</v>
      </c>
      <c r="N5228" s="10" t="s">
        <v>32564</v>
      </c>
      <c r="O5228" s="12" t="s">
        <v>32565</v>
      </c>
      <c r="P5228" s="10" t="s">
        <v>32566</v>
      </c>
      <c r="Q5228" s="10" t="s">
        <v>31</v>
      </c>
      <c r="R5228" s="10" t="s">
        <v>31</v>
      </c>
      <c r="S5228" s="12" t="s">
        <v>32567</v>
      </c>
      <c r="T5228" s="10" t="s">
        <v>3104</v>
      </c>
      <c r="U5228" s="12" t="s">
        <v>31</v>
      </c>
      <c r="V5228" s="10" t="s">
        <v>32568</v>
      </c>
      <c r="W5228" s="10" t="s">
        <v>32508</v>
      </c>
      <c r="X5228" s="13" t="str">
        <f>HYPERLINK("https://my.pitchbook.com?p=348971-68P","View People Online")</f>
        <v>View People Online</v>
      </c>
    </row>
    <row r="5229">
      <c r="A5229" s="6" t="s">
        <v>32569</v>
      </c>
      <c r="B5229" s="6" t="s">
        <v>32570</v>
      </c>
      <c r="C5229" s="6" t="s">
        <v>16531</v>
      </c>
      <c r="D5229" s="6" t="s">
        <v>32571</v>
      </c>
      <c r="E5229" s="6" t="s">
        <v>32508</v>
      </c>
      <c r="F5229" s="6" t="s">
        <v>583</v>
      </c>
      <c r="G5229" s="6" t="s">
        <v>32572</v>
      </c>
      <c r="H5229" s="7" t="s">
        <v>31</v>
      </c>
      <c r="I5229" s="7">
        <v>1.0</v>
      </c>
      <c r="J5229" s="7">
        <v>1.0</v>
      </c>
      <c r="K5229" s="7" t="s">
        <v>31</v>
      </c>
      <c r="L5229" s="8" t="s">
        <v>32573</v>
      </c>
      <c r="M5229" s="6" t="s">
        <v>32574</v>
      </c>
      <c r="N5229" s="6" t="s">
        <v>32511</v>
      </c>
      <c r="O5229" s="8" t="s">
        <v>32512</v>
      </c>
      <c r="P5229" s="6" t="s">
        <v>32513</v>
      </c>
      <c r="Q5229" s="6" t="s">
        <v>31</v>
      </c>
      <c r="R5229" s="6" t="s">
        <v>31</v>
      </c>
      <c r="S5229" s="8" t="s">
        <v>32514</v>
      </c>
      <c r="T5229" s="6" t="s">
        <v>796</v>
      </c>
      <c r="U5229" s="8" t="s">
        <v>31</v>
      </c>
      <c r="V5229" s="6" t="s">
        <v>32575</v>
      </c>
      <c r="W5229" s="6" t="s">
        <v>32508</v>
      </c>
      <c r="X5229" s="9" t="str">
        <f>HYPERLINK("https://my.pitchbook.com?p=88982-38P","View People Online")</f>
        <v>View People Online</v>
      </c>
    </row>
    <row r="5230">
      <c r="A5230" s="2" t="s">
        <v>32576</v>
      </c>
      <c r="B5230" s="2" t="s">
        <v>32577</v>
      </c>
      <c r="C5230" s="2" t="s">
        <v>18428</v>
      </c>
      <c r="D5230" s="2" t="s">
        <v>32578</v>
      </c>
      <c r="E5230" s="2" t="s">
        <v>32508</v>
      </c>
      <c r="F5230" s="2" t="s">
        <v>270</v>
      </c>
      <c r="G5230" s="2" t="s">
        <v>32579</v>
      </c>
      <c r="H5230" s="3" t="s">
        <v>31</v>
      </c>
      <c r="I5230" s="3">
        <v>1.0</v>
      </c>
      <c r="J5230" s="3">
        <v>1.0</v>
      </c>
      <c r="K5230" s="3" t="s">
        <v>31</v>
      </c>
      <c r="L5230" s="4" t="s">
        <v>31</v>
      </c>
      <c r="M5230" s="2" t="s">
        <v>32580</v>
      </c>
      <c r="N5230" s="2" t="s">
        <v>32511</v>
      </c>
      <c r="O5230" s="4" t="s">
        <v>32512</v>
      </c>
      <c r="P5230" s="2" t="s">
        <v>32513</v>
      </c>
      <c r="Q5230" s="2" t="s">
        <v>31</v>
      </c>
      <c r="R5230" s="2" t="s">
        <v>31</v>
      </c>
      <c r="S5230" s="4" t="s">
        <v>32514</v>
      </c>
      <c r="T5230" s="2" t="s">
        <v>796</v>
      </c>
      <c r="U5230" s="4" t="s">
        <v>31</v>
      </c>
      <c r="V5230" s="2" t="s">
        <v>7535</v>
      </c>
      <c r="W5230" s="2" t="s">
        <v>32508</v>
      </c>
      <c r="X5230" s="5" t="str">
        <f>HYPERLINK("https://my.pitchbook.com?p=349215-94P","View People Online")</f>
        <v>View People Online</v>
      </c>
    </row>
    <row r="5231">
      <c r="A5231" s="6" t="s">
        <v>32581</v>
      </c>
      <c r="B5231" s="6" t="s">
        <v>32582</v>
      </c>
      <c r="C5231" s="6" t="s">
        <v>1502</v>
      </c>
      <c r="D5231" s="6" t="s">
        <v>32583</v>
      </c>
      <c r="E5231" s="6" t="s">
        <v>32508</v>
      </c>
      <c r="F5231" s="6" t="s">
        <v>548</v>
      </c>
      <c r="G5231" s="6" t="s">
        <v>32584</v>
      </c>
      <c r="H5231" s="7" t="s">
        <v>31</v>
      </c>
      <c r="I5231" s="7">
        <v>1.0</v>
      </c>
      <c r="J5231" s="7">
        <v>1.0</v>
      </c>
      <c r="K5231" s="7" t="s">
        <v>31</v>
      </c>
      <c r="L5231" s="8" t="s">
        <v>32585</v>
      </c>
      <c r="M5231" s="6" t="s">
        <v>32586</v>
      </c>
      <c r="N5231" s="6" t="s">
        <v>32511</v>
      </c>
      <c r="O5231" s="8" t="s">
        <v>32512</v>
      </c>
      <c r="P5231" s="6" t="s">
        <v>32513</v>
      </c>
      <c r="Q5231" s="6" t="s">
        <v>31</v>
      </c>
      <c r="R5231" s="6" t="s">
        <v>31</v>
      </c>
      <c r="S5231" s="8" t="s">
        <v>32514</v>
      </c>
      <c r="T5231" s="6" t="s">
        <v>796</v>
      </c>
      <c r="U5231" s="8" t="s">
        <v>31</v>
      </c>
      <c r="V5231" s="6" t="s">
        <v>4696</v>
      </c>
      <c r="W5231" s="6" t="s">
        <v>32508</v>
      </c>
      <c r="X5231" s="9" t="str">
        <f>HYPERLINK("https://my.pitchbook.com?p=263051-92P","View People Online")</f>
        <v>View People Online</v>
      </c>
    </row>
    <row r="5232">
      <c r="A5232" s="2" t="s">
        <v>32587</v>
      </c>
      <c r="B5232" s="2" t="s">
        <v>32588</v>
      </c>
      <c r="C5232" s="2" t="s">
        <v>126</v>
      </c>
      <c r="D5232" s="2" t="s">
        <v>14749</v>
      </c>
      <c r="E5232" s="2" t="s">
        <v>32508</v>
      </c>
      <c r="F5232" s="2" t="s">
        <v>371</v>
      </c>
      <c r="G5232" s="2" t="s">
        <v>32589</v>
      </c>
      <c r="H5232" s="3" t="s">
        <v>31</v>
      </c>
      <c r="I5232" s="3">
        <v>1.0</v>
      </c>
      <c r="J5232" s="3">
        <v>1.0</v>
      </c>
      <c r="K5232" s="3" t="s">
        <v>31</v>
      </c>
      <c r="L5232" s="4" t="s">
        <v>31</v>
      </c>
      <c r="M5232" s="2" t="s">
        <v>32590</v>
      </c>
      <c r="N5232" s="2" t="s">
        <v>32511</v>
      </c>
      <c r="O5232" s="4" t="s">
        <v>32512</v>
      </c>
      <c r="P5232" s="2" t="s">
        <v>32513</v>
      </c>
      <c r="Q5232" s="2" t="s">
        <v>31</v>
      </c>
      <c r="R5232" s="2" t="s">
        <v>31</v>
      </c>
      <c r="S5232" s="4" t="s">
        <v>32514</v>
      </c>
      <c r="T5232" s="2" t="s">
        <v>796</v>
      </c>
      <c r="U5232" s="4" t="s">
        <v>31</v>
      </c>
      <c r="V5232" s="2" t="s">
        <v>10442</v>
      </c>
      <c r="W5232" s="2" t="s">
        <v>32508</v>
      </c>
      <c r="X5232" s="5" t="str">
        <f>HYPERLINK("https://my.pitchbook.com?p=88976-62P","View People Online")</f>
        <v>View People Online</v>
      </c>
    </row>
    <row r="5233">
      <c r="A5233" s="14" t="s">
        <v>32591</v>
      </c>
      <c r="B5233" s="14" t="s">
        <v>32592</v>
      </c>
      <c r="C5233" s="14" t="s">
        <v>10520</v>
      </c>
      <c r="D5233" s="14" t="s">
        <v>32593</v>
      </c>
      <c r="E5233" s="14" t="s">
        <v>32508</v>
      </c>
      <c r="F5233" s="14" t="s">
        <v>371</v>
      </c>
      <c r="G5233" s="14" t="s">
        <v>32594</v>
      </c>
      <c r="H5233" s="15" t="s">
        <v>31</v>
      </c>
      <c r="I5233" s="15">
        <v>2.0</v>
      </c>
      <c r="J5233" s="15">
        <v>1.0</v>
      </c>
      <c r="K5233" s="15">
        <v>1.0</v>
      </c>
      <c r="L5233" s="16" t="s">
        <v>31</v>
      </c>
      <c r="M5233" s="14" t="s">
        <v>32595</v>
      </c>
      <c r="N5233" s="14" t="s">
        <v>32511</v>
      </c>
      <c r="O5233" s="16" t="s">
        <v>32512</v>
      </c>
      <c r="P5233" s="14" t="s">
        <v>32513</v>
      </c>
      <c r="Q5233" s="14" t="s">
        <v>31</v>
      </c>
      <c r="R5233" s="14" t="s">
        <v>31</v>
      </c>
      <c r="S5233" s="16" t="s">
        <v>32514</v>
      </c>
      <c r="T5233" s="14" t="s">
        <v>796</v>
      </c>
      <c r="U5233" s="16" t="s">
        <v>31</v>
      </c>
      <c r="V5233" s="14" t="s">
        <v>32596</v>
      </c>
      <c r="W5233" s="14" t="s">
        <v>32508</v>
      </c>
      <c r="X5233" s="17" t="str">
        <f>HYPERLINK("https://my.pitchbook.com?p=68313-88P","View People Online")</f>
        <v>View People Online</v>
      </c>
    </row>
    <row r="5234">
      <c r="A5234" s="10" t="s">
        <v>32597</v>
      </c>
      <c r="B5234" s="10" t="s">
        <v>32598</v>
      </c>
      <c r="C5234" s="10" t="s">
        <v>167</v>
      </c>
      <c r="D5234" s="10" t="s">
        <v>20346</v>
      </c>
      <c r="E5234" s="10" t="s">
        <v>32508</v>
      </c>
      <c r="F5234" s="10" t="s">
        <v>583</v>
      </c>
      <c r="G5234" s="10" t="s">
        <v>32599</v>
      </c>
      <c r="H5234" s="11" t="s">
        <v>31</v>
      </c>
      <c r="I5234" s="11">
        <v>6.0</v>
      </c>
      <c r="J5234" s="11">
        <v>1.0</v>
      </c>
      <c r="K5234" s="11">
        <v>5.0</v>
      </c>
      <c r="L5234" s="12" t="s">
        <v>31</v>
      </c>
      <c r="M5234" s="10" t="s">
        <v>32600</v>
      </c>
      <c r="N5234" s="10" t="s">
        <v>32511</v>
      </c>
      <c r="O5234" s="12" t="s">
        <v>32512</v>
      </c>
      <c r="P5234" s="10" t="s">
        <v>32513</v>
      </c>
      <c r="Q5234" s="10" t="s">
        <v>31</v>
      </c>
      <c r="R5234" s="10" t="s">
        <v>31</v>
      </c>
      <c r="S5234" s="12" t="s">
        <v>32514</v>
      </c>
      <c r="T5234" s="10" t="s">
        <v>796</v>
      </c>
      <c r="U5234" s="12" t="s">
        <v>31</v>
      </c>
      <c r="V5234" s="10" t="s">
        <v>32601</v>
      </c>
      <c r="W5234" s="10" t="s">
        <v>32508</v>
      </c>
      <c r="X5234" s="13" t="str">
        <f>HYPERLINK("https://my.pitchbook.com?p=196380-46P","View People Online")</f>
        <v>View People Online</v>
      </c>
    </row>
    <row r="5235">
      <c r="A5235" s="14" t="s">
        <v>32602</v>
      </c>
      <c r="B5235" s="14" t="s">
        <v>32603</v>
      </c>
      <c r="C5235" s="14" t="s">
        <v>32604</v>
      </c>
      <c r="D5235" s="14" t="s">
        <v>32605</v>
      </c>
      <c r="E5235" s="14" t="s">
        <v>32508</v>
      </c>
      <c r="F5235" s="14" t="s">
        <v>270</v>
      </c>
      <c r="G5235" s="14" t="s">
        <v>32606</v>
      </c>
      <c r="H5235" s="15" t="s">
        <v>31</v>
      </c>
      <c r="I5235" s="15">
        <v>1.0</v>
      </c>
      <c r="J5235" s="15">
        <v>1.0</v>
      </c>
      <c r="K5235" s="15" t="s">
        <v>31</v>
      </c>
      <c r="L5235" s="16" t="s">
        <v>31</v>
      </c>
      <c r="M5235" s="14" t="s">
        <v>32607</v>
      </c>
      <c r="N5235" s="14" t="s">
        <v>32511</v>
      </c>
      <c r="O5235" s="16" t="s">
        <v>32512</v>
      </c>
      <c r="P5235" s="14" t="s">
        <v>32513</v>
      </c>
      <c r="Q5235" s="14" t="s">
        <v>31</v>
      </c>
      <c r="R5235" s="14" t="s">
        <v>31</v>
      </c>
      <c r="S5235" s="16" t="s">
        <v>32514</v>
      </c>
      <c r="T5235" s="14" t="s">
        <v>796</v>
      </c>
      <c r="U5235" s="16" t="s">
        <v>31</v>
      </c>
      <c r="V5235" s="14" t="s">
        <v>32608</v>
      </c>
      <c r="W5235" s="14" t="s">
        <v>32508</v>
      </c>
      <c r="X5235" s="17" t="str">
        <f>HYPERLINK("https://my.pitchbook.com?p=263053-72P","View People Online")</f>
        <v>View People Online</v>
      </c>
    </row>
    <row r="5236">
      <c r="A5236" s="2" t="s">
        <v>32609</v>
      </c>
      <c r="B5236" s="2" t="s">
        <v>32610</v>
      </c>
      <c r="C5236" s="2" t="s">
        <v>3274</v>
      </c>
      <c r="D5236" s="2" t="s">
        <v>32611</v>
      </c>
      <c r="E5236" s="2" t="s">
        <v>32508</v>
      </c>
      <c r="F5236" s="2" t="s">
        <v>3740</v>
      </c>
      <c r="G5236" s="2" t="s">
        <v>32612</v>
      </c>
      <c r="H5236" s="3">
        <v>1.0</v>
      </c>
      <c r="I5236" s="3">
        <v>3.0</v>
      </c>
      <c r="J5236" s="3">
        <v>1.0</v>
      </c>
      <c r="K5236" s="3">
        <v>1.0</v>
      </c>
      <c r="L5236" s="4" t="s">
        <v>31</v>
      </c>
      <c r="M5236" s="2" t="s">
        <v>32613</v>
      </c>
      <c r="N5236" s="2" t="s">
        <v>32511</v>
      </c>
      <c r="O5236" s="4" t="s">
        <v>32512</v>
      </c>
      <c r="P5236" s="2" t="s">
        <v>32513</v>
      </c>
      <c r="Q5236" s="2" t="s">
        <v>31</v>
      </c>
      <c r="R5236" s="2" t="s">
        <v>31</v>
      </c>
      <c r="S5236" s="4" t="s">
        <v>32514</v>
      </c>
      <c r="T5236" s="2" t="s">
        <v>796</v>
      </c>
      <c r="U5236" s="4" t="s">
        <v>31</v>
      </c>
      <c r="V5236" s="2" t="s">
        <v>32614</v>
      </c>
      <c r="W5236" s="2" t="s">
        <v>32508</v>
      </c>
      <c r="X5236" s="5" t="str">
        <f>HYPERLINK("https://my.pitchbook.com?p=88977-52P","View People Online")</f>
        <v>View People Online</v>
      </c>
    </row>
    <row r="5237">
      <c r="A5237" s="14" t="s">
        <v>32615</v>
      </c>
      <c r="B5237" s="14" t="s">
        <v>32616</v>
      </c>
      <c r="C5237" s="14" t="s">
        <v>20865</v>
      </c>
      <c r="D5237" s="14" t="s">
        <v>32617</v>
      </c>
      <c r="E5237" s="14" t="s">
        <v>32508</v>
      </c>
      <c r="F5237" s="14" t="s">
        <v>1283</v>
      </c>
      <c r="G5237" s="14" t="s">
        <v>32618</v>
      </c>
      <c r="H5237" s="15" t="s">
        <v>31</v>
      </c>
      <c r="I5237" s="15">
        <v>25.0</v>
      </c>
      <c r="J5237" s="15">
        <v>1.0</v>
      </c>
      <c r="K5237" s="15">
        <v>24.0</v>
      </c>
      <c r="L5237" s="16" t="s">
        <v>31</v>
      </c>
      <c r="M5237" s="14" t="s">
        <v>31</v>
      </c>
      <c r="N5237" s="14" t="s">
        <v>32511</v>
      </c>
      <c r="O5237" s="16" t="s">
        <v>32512</v>
      </c>
      <c r="P5237" s="14" t="s">
        <v>32513</v>
      </c>
      <c r="Q5237" s="14" t="s">
        <v>31</v>
      </c>
      <c r="R5237" s="14" t="s">
        <v>31</v>
      </c>
      <c r="S5237" s="16" t="s">
        <v>32514</v>
      </c>
      <c r="T5237" s="14" t="s">
        <v>796</v>
      </c>
      <c r="U5237" s="16" t="s">
        <v>31</v>
      </c>
      <c r="V5237" s="14" t="s">
        <v>32619</v>
      </c>
      <c r="W5237" s="14" t="s">
        <v>32508</v>
      </c>
      <c r="X5237" s="17" t="str">
        <f>HYPERLINK("https://my.pitchbook.com?p=55173-43P","View People Online")</f>
        <v>View People Online</v>
      </c>
    </row>
    <row r="5238">
      <c r="A5238" s="10" t="s">
        <v>32620</v>
      </c>
      <c r="B5238" s="10" t="s">
        <v>32621</v>
      </c>
      <c r="C5238" s="10" t="s">
        <v>21032</v>
      </c>
      <c r="D5238" s="10" t="s">
        <v>32622</v>
      </c>
      <c r="E5238" s="10" t="s">
        <v>32508</v>
      </c>
      <c r="F5238" s="10" t="s">
        <v>502</v>
      </c>
      <c r="G5238" s="10" t="s">
        <v>32623</v>
      </c>
      <c r="H5238" s="11" t="s">
        <v>31</v>
      </c>
      <c r="I5238" s="11">
        <v>1.0</v>
      </c>
      <c r="J5238" s="11">
        <v>1.0</v>
      </c>
      <c r="K5238" s="11" t="s">
        <v>31</v>
      </c>
      <c r="L5238" s="12" t="s">
        <v>32562</v>
      </c>
      <c r="M5238" s="10" t="s">
        <v>32624</v>
      </c>
      <c r="N5238" s="10" t="s">
        <v>32564</v>
      </c>
      <c r="O5238" s="12" t="s">
        <v>32565</v>
      </c>
      <c r="P5238" s="10" t="s">
        <v>32566</v>
      </c>
      <c r="Q5238" s="10" t="s">
        <v>31</v>
      </c>
      <c r="R5238" s="10" t="s">
        <v>31</v>
      </c>
      <c r="S5238" s="12" t="s">
        <v>32567</v>
      </c>
      <c r="T5238" s="10" t="s">
        <v>3104</v>
      </c>
      <c r="U5238" s="12" t="s">
        <v>31</v>
      </c>
      <c r="V5238" s="10" t="s">
        <v>502</v>
      </c>
      <c r="W5238" s="10" t="s">
        <v>32508</v>
      </c>
      <c r="X5238" s="13" t="str">
        <f>HYPERLINK("https://my.pitchbook.com?p=371904-13P","View People Online")</f>
        <v>View People Online</v>
      </c>
    </row>
    <row r="5239">
      <c r="A5239" s="6" t="s">
        <v>32625</v>
      </c>
      <c r="B5239" s="6" t="s">
        <v>32626</v>
      </c>
      <c r="C5239" s="6" t="s">
        <v>2426</v>
      </c>
      <c r="D5239" s="6" t="s">
        <v>32627</v>
      </c>
      <c r="E5239" s="6" t="s">
        <v>32508</v>
      </c>
      <c r="F5239" s="6" t="s">
        <v>3600</v>
      </c>
      <c r="G5239" s="6" t="s">
        <v>32628</v>
      </c>
      <c r="H5239" s="7" t="s">
        <v>31</v>
      </c>
      <c r="I5239" s="7">
        <v>1.0</v>
      </c>
      <c r="J5239" s="7">
        <v>1.0</v>
      </c>
      <c r="K5239" s="7" t="s">
        <v>31</v>
      </c>
      <c r="L5239" s="8" t="s">
        <v>31</v>
      </c>
      <c r="M5239" s="6" t="s">
        <v>32629</v>
      </c>
      <c r="N5239" s="6" t="s">
        <v>32511</v>
      </c>
      <c r="O5239" s="8" t="s">
        <v>32512</v>
      </c>
      <c r="P5239" s="6" t="s">
        <v>32513</v>
      </c>
      <c r="Q5239" s="6" t="s">
        <v>31</v>
      </c>
      <c r="R5239" s="6" t="s">
        <v>31</v>
      </c>
      <c r="S5239" s="8" t="s">
        <v>32514</v>
      </c>
      <c r="T5239" s="6" t="s">
        <v>796</v>
      </c>
      <c r="U5239" s="8" t="s">
        <v>31</v>
      </c>
      <c r="V5239" s="6" t="s">
        <v>32630</v>
      </c>
      <c r="W5239" s="6" t="s">
        <v>32508</v>
      </c>
      <c r="X5239" s="9" t="str">
        <f>HYPERLINK("https://my.pitchbook.com?p=230042-53P","View People Online")</f>
        <v>View People Online</v>
      </c>
    </row>
    <row r="5240">
      <c r="A5240" s="2" t="s">
        <v>32631</v>
      </c>
      <c r="B5240" s="2" t="s">
        <v>32632</v>
      </c>
      <c r="C5240" s="2" t="s">
        <v>219</v>
      </c>
      <c r="D5240" s="2" t="s">
        <v>32633</v>
      </c>
      <c r="E5240" s="2" t="s">
        <v>32508</v>
      </c>
      <c r="F5240" s="2" t="s">
        <v>270</v>
      </c>
      <c r="G5240" s="2" t="s">
        <v>32634</v>
      </c>
      <c r="H5240" s="3" t="s">
        <v>31</v>
      </c>
      <c r="I5240" s="3">
        <v>1.0</v>
      </c>
      <c r="J5240" s="3">
        <v>1.0</v>
      </c>
      <c r="K5240" s="3" t="s">
        <v>31</v>
      </c>
      <c r="L5240" s="4" t="s">
        <v>31</v>
      </c>
      <c r="M5240" s="2" t="s">
        <v>32635</v>
      </c>
      <c r="N5240" s="2" t="s">
        <v>32511</v>
      </c>
      <c r="O5240" s="4" t="s">
        <v>32512</v>
      </c>
      <c r="P5240" s="2" t="s">
        <v>32513</v>
      </c>
      <c r="Q5240" s="2" t="s">
        <v>31</v>
      </c>
      <c r="R5240" s="2" t="s">
        <v>31</v>
      </c>
      <c r="S5240" s="4" t="s">
        <v>32514</v>
      </c>
      <c r="T5240" s="2" t="s">
        <v>796</v>
      </c>
      <c r="U5240" s="4" t="s">
        <v>31</v>
      </c>
      <c r="V5240" s="2" t="s">
        <v>32608</v>
      </c>
      <c r="W5240" s="2" t="s">
        <v>32508</v>
      </c>
      <c r="X5240" s="5" t="str">
        <f>HYPERLINK("https://my.pitchbook.com?p=263053-27P","View People Online")</f>
        <v>View People Online</v>
      </c>
    </row>
    <row r="5241">
      <c r="A5241" s="14" t="s">
        <v>32636</v>
      </c>
      <c r="B5241" s="14" t="s">
        <v>32637</v>
      </c>
      <c r="C5241" s="14" t="s">
        <v>32638</v>
      </c>
      <c r="D5241" s="14" t="s">
        <v>32639</v>
      </c>
      <c r="E5241" s="14" t="s">
        <v>32640</v>
      </c>
      <c r="F5241" s="14" t="s">
        <v>470</v>
      </c>
      <c r="G5241" s="14" t="s">
        <v>32641</v>
      </c>
      <c r="H5241" s="15">
        <v>3.0</v>
      </c>
      <c r="I5241" s="15">
        <v>13.0</v>
      </c>
      <c r="J5241" s="15">
        <v>2.0</v>
      </c>
      <c r="K5241" s="15">
        <v>8.0</v>
      </c>
      <c r="L5241" s="16" t="s">
        <v>32642</v>
      </c>
      <c r="M5241" s="14" t="s">
        <v>32643</v>
      </c>
      <c r="N5241" s="14" t="s">
        <v>601</v>
      </c>
      <c r="O5241" s="16" t="s">
        <v>602</v>
      </c>
      <c r="P5241" s="14" t="s">
        <v>32644</v>
      </c>
      <c r="Q5241" s="14" t="s">
        <v>23552</v>
      </c>
      <c r="R5241" s="14" t="s">
        <v>31</v>
      </c>
      <c r="S5241" s="16" t="s">
        <v>31</v>
      </c>
      <c r="T5241" s="14" t="s">
        <v>603</v>
      </c>
      <c r="U5241" s="16" t="s">
        <v>31</v>
      </c>
      <c r="V5241" s="14" t="s">
        <v>32645</v>
      </c>
      <c r="W5241" s="14" t="s">
        <v>32646</v>
      </c>
      <c r="X5241" s="17" t="str">
        <f>HYPERLINK("https://my.pitchbook.com?p=167232-34P","View People Online")</f>
        <v>View People Online</v>
      </c>
    </row>
    <row r="5242">
      <c r="A5242" s="2" t="s">
        <v>32647</v>
      </c>
      <c r="B5242" s="2" t="s">
        <v>32648</v>
      </c>
      <c r="C5242" s="2" t="s">
        <v>32649</v>
      </c>
      <c r="D5242" s="2" t="s">
        <v>32650</v>
      </c>
      <c r="E5242" s="2" t="s">
        <v>32640</v>
      </c>
      <c r="F5242" s="2" t="s">
        <v>32651</v>
      </c>
      <c r="G5242" s="2" t="s">
        <v>32652</v>
      </c>
      <c r="H5242" s="3" t="s">
        <v>31</v>
      </c>
      <c r="I5242" s="3">
        <v>1.0</v>
      </c>
      <c r="J5242" s="3">
        <v>1.0</v>
      </c>
      <c r="K5242" s="3" t="s">
        <v>31</v>
      </c>
      <c r="L5242" s="4" t="s">
        <v>32642</v>
      </c>
      <c r="M5242" s="2" t="s">
        <v>31</v>
      </c>
      <c r="N5242" s="2" t="s">
        <v>601</v>
      </c>
      <c r="O5242" s="4" t="s">
        <v>602</v>
      </c>
      <c r="P5242" s="2" t="s">
        <v>32644</v>
      </c>
      <c r="Q5242" s="2" t="s">
        <v>23552</v>
      </c>
      <c r="R5242" s="2" t="s">
        <v>31</v>
      </c>
      <c r="S5242" s="4" t="s">
        <v>32653</v>
      </c>
      <c r="T5242" s="2" t="s">
        <v>603</v>
      </c>
      <c r="U5242" s="4" t="s">
        <v>31</v>
      </c>
      <c r="V5242" s="2" t="s">
        <v>32651</v>
      </c>
      <c r="W5242" s="2" t="s">
        <v>32640</v>
      </c>
      <c r="X5242" s="5" t="str">
        <f>HYPERLINK("https://my.pitchbook.com?p=232754-41P","View People Online")</f>
        <v>View People Online</v>
      </c>
    </row>
    <row r="5243">
      <c r="A5243" s="14" t="s">
        <v>32654</v>
      </c>
      <c r="B5243" s="14" t="s">
        <v>32655</v>
      </c>
      <c r="C5243" s="14" t="s">
        <v>894</v>
      </c>
      <c r="D5243" s="14" t="s">
        <v>32656</v>
      </c>
      <c r="E5243" s="14" t="s">
        <v>32640</v>
      </c>
      <c r="F5243" s="14" t="s">
        <v>32657</v>
      </c>
      <c r="G5243" s="14" t="s">
        <v>32658</v>
      </c>
      <c r="H5243" s="15">
        <v>2.0</v>
      </c>
      <c r="I5243" s="15">
        <v>2.0</v>
      </c>
      <c r="J5243" s="15">
        <v>2.0</v>
      </c>
      <c r="K5243" s="15" t="s">
        <v>31</v>
      </c>
      <c r="L5243" s="16" t="s">
        <v>32642</v>
      </c>
      <c r="M5243" s="14" t="s">
        <v>31</v>
      </c>
      <c r="N5243" s="14" t="s">
        <v>601</v>
      </c>
      <c r="O5243" s="16" t="s">
        <v>602</v>
      </c>
      <c r="P5243" s="14" t="s">
        <v>32644</v>
      </c>
      <c r="Q5243" s="14" t="s">
        <v>23552</v>
      </c>
      <c r="R5243" s="14" t="s">
        <v>31</v>
      </c>
      <c r="S5243" s="16" t="s">
        <v>32653</v>
      </c>
      <c r="T5243" s="14" t="s">
        <v>603</v>
      </c>
      <c r="U5243" s="16" t="s">
        <v>31</v>
      </c>
      <c r="V5243" s="14" t="s">
        <v>32659</v>
      </c>
      <c r="W5243" s="14" t="s">
        <v>32640</v>
      </c>
      <c r="X5243" s="17" t="str">
        <f>HYPERLINK("https://my.pitchbook.com?p=175401-91P","View People Online")</f>
        <v>View People Online</v>
      </c>
    </row>
    <row r="5244">
      <c r="A5244" s="2" t="s">
        <v>32660</v>
      </c>
      <c r="B5244" s="2" t="s">
        <v>32661</v>
      </c>
      <c r="C5244" s="2" t="s">
        <v>4039</v>
      </c>
      <c r="D5244" s="2" t="s">
        <v>32662</v>
      </c>
      <c r="E5244" s="2" t="s">
        <v>32640</v>
      </c>
      <c r="F5244" s="2" t="s">
        <v>32663</v>
      </c>
      <c r="G5244" s="2" t="s">
        <v>32664</v>
      </c>
      <c r="H5244" s="3" t="s">
        <v>31</v>
      </c>
      <c r="I5244" s="3">
        <v>1.0</v>
      </c>
      <c r="J5244" s="3">
        <v>1.0</v>
      </c>
      <c r="K5244" s="3" t="s">
        <v>31</v>
      </c>
      <c r="L5244" s="4" t="s">
        <v>32642</v>
      </c>
      <c r="M5244" s="2" t="s">
        <v>32665</v>
      </c>
      <c r="N5244" s="2" t="s">
        <v>601</v>
      </c>
      <c r="O5244" s="4" t="s">
        <v>602</v>
      </c>
      <c r="P5244" s="2" t="s">
        <v>32644</v>
      </c>
      <c r="Q5244" s="2" t="s">
        <v>23552</v>
      </c>
      <c r="R5244" s="2" t="s">
        <v>31</v>
      </c>
      <c r="S5244" s="4" t="s">
        <v>32653</v>
      </c>
      <c r="T5244" s="2" t="s">
        <v>603</v>
      </c>
      <c r="U5244" s="4" t="s">
        <v>31</v>
      </c>
      <c r="V5244" s="2" t="s">
        <v>32666</v>
      </c>
      <c r="W5244" s="2" t="s">
        <v>32640</v>
      </c>
      <c r="X5244" s="5" t="str">
        <f>HYPERLINK("https://my.pitchbook.com?p=175409-92P","View People Online")</f>
        <v>View People Online</v>
      </c>
    </row>
    <row r="5245">
      <c r="A5245" s="14" t="s">
        <v>32667</v>
      </c>
      <c r="B5245" s="14" t="s">
        <v>32668</v>
      </c>
      <c r="C5245" s="14" t="s">
        <v>32669</v>
      </c>
      <c r="D5245" s="14" t="s">
        <v>32670</v>
      </c>
      <c r="E5245" s="14" t="s">
        <v>32640</v>
      </c>
      <c r="F5245" s="14" t="s">
        <v>32651</v>
      </c>
      <c r="G5245" s="14" t="s">
        <v>32671</v>
      </c>
      <c r="H5245" s="15">
        <v>1.0</v>
      </c>
      <c r="I5245" s="15">
        <v>4.0</v>
      </c>
      <c r="J5245" s="15">
        <v>1.0</v>
      </c>
      <c r="K5245" s="15">
        <v>1.0</v>
      </c>
      <c r="L5245" s="16" t="s">
        <v>31</v>
      </c>
      <c r="M5245" s="14" t="s">
        <v>31</v>
      </c>
      <c r="N5245" s="14" t="s">
        <v>601</v>
      </c>
      <c r="O5245" s="16" t="s">
        <v>602</v>
      </c>
      <c r="P5245" s="14" t="s">
        <v>32672</v>
      </c>
      <c r="Q5245" s="14" t="s">
        <v>32673</v>
      </c>
      <c r="R5245" s="14" t="s">
        <v>601</v>
      </c>
      <c r="S5245" s="16" t="s">
        <v>32674</v>
      </c>
      <c r="T5245" s="14" t="s">
        <v>603</v>
      </c>
      <c r="U5245" s="16" t="s">
        <v>31</v>
      </c>
      <c r="V5245" s="14" t="s">
        <v>2199</v>
      </c>
      <c r="W5245" s="14" t="s">
        <v>32675</v>
      </c>
      <c r="X5245" s="17" t="str">
        <f>HYPERLINK("https://my.pitchbook.com?p=147029-95P","View People Online")</f>
        <v>View People Online</v>
      </c>
    </row>
    <row r="5246">
      <c r="A5246" s="2" t="s">
        <v>32676</v>
      </c>
      <c r="B5246" s="2" t="s">
        <v>32677</v>
      </c>
      <c r="C5246" s="2" t="s">
        <v>2658</v>
      </c>
      <c r="D5246" s="2" t="s">
        <v>32678</v>
      </c>
      <c r="E5246" s="2" t="s">
        <v>32679</v>
      </c>
      <c r="F5246" s="2" t="s">
        <v>825</v>
      </c>
      <c r="G5246" s="2" t="s">
        <v>32680</v>
      </c>
      <c r="H5246" s="3" t="s">
        <v>31</v>
      </c>
      <c r="I5246" s="3">
        <v>1.0</v>
      </c>
      <c r="J5246" s="3">
        <v>1.0</v>
      </c>
      <c r="K5246" s="3" t="s">
        <v>31</v>
      </c>
      <c r="L5246" s="4" t="s">
        <v>32681</v>
      </c>
      <c r="M5246" s="2" t="s">
        <v>32682</v>
      </c>
      <c r="N5246" s="2" t="s">
        <v>6669</v>
      </c>
      <c r="O5246" s="4" t="s">
        <v>6670</v>
      </c>
      <c r="P5246" s="2" t="s">
        <v>32683</v>
      </c>
      <c r="Q5246" s="2" t="s">
        <v>32684</v>
      </c>
      <c r="R5246" s="2" t="s">
        <v>1185</v>
      </c>
      <c r="S5246" s="4" t="s">
        <v>1709</v>
      </c>
      <c r="T5246" s="2" t="s">
        <v>66</v>
      </c>
      <c r="U5246" s="4" t="s">
        <v>31</v>
      </c>
      <c r="V5246" s="2" t="s">
        <v>32685</v>
      </c>
      <c r="W5246" s="2" t="s">
        <v>32679</v>
      </c>
      <c r="X5246" s="5" t="str">
        <f>HYPERLINK("https://my.pitchbook.com?p=411766-21P","View People Online")</f>
        <v>View People Online</v>
      </c>
    </row>
    <row r="5247">
      <c r="A5247" s="14" t="s">
        <v>32686</v>
      </c>
      <c r="B5247" s="14" t="s">
        <v>32687</v>
      </c>
      <c r="C5247" s="14" t="s">
        <v>32688</v>
      </c>
      <c r="D5247" s="14" t="s">
        <v>8070</v>
      </c>
      <c r="E5247" s="14" t="s">
        <v>32679</v>
      </c>
      <c r="F5247" s="14" t="s">
        <v>57</v>
      </c>
      <c r="G5247" s="14" t="s">
        <v>32689</v>
      </c>
      <c r="H5247" s="15">
        <v>6.0</v>
      </c>
      <c r="I5247" s="15">
        <v>25.0</v>
      </c>
      <c r="J5247" s="15">
        <v>1.0</v>
      </c>
      <c r="K5247" s="15">
        <v>13.0</v>
      </c>
      <c r="L5247" s="16" t="s">
        <v>31</v>
      </c>
      <c r="M5247" s="14" t="s">
        <v>32690</v>
      </c>
      <c r="N5247" s="14" t="s">
        <v>775</v>
      </c>
      <c r="O5247" s="16" t="s">
        <v>776</v>
      </c>
      <c r="P5247" s="14" t="s">
        <v>31</v>
      </c>
      <c r="Q5247" s="14" t="s">
        <v>31</v>
      </c>
      <c r="R5247" s="14" t="s">
        <v>64</v>
      </c>
      <c r="S5247" s="16" t="s">
        <v>31</v>
      </c>
      <c r="T5247" s="14" t="s">
        <v>66</v>
      </c>
      <c r="U5247" s="16" t="s">
        <v>31</v>
      </c>
      <c r="V5247" s="14" t="s">
        <v>57</v>
      </c>
      <c r="W5247" s="14" t="s">
        <v>32679</v>
      </c>
      <c r="X5247" s="17" t="str">
        <f>HYPERLINK("https://my.pitchbook.com?p=107778-97P","View People Online")</f>
        <v>View People Online</v>
      </c>
    </row>
    <row r="5248">
      <c r="A5248" s="10" t="s">
        <v>32691</v>
      </c>
      <c r="B5248" s="10" t="s">
        <v>32692</v>
      </c>
      <c r="C5248" s="10" t="s">
        <v>32693</v>
      </c>
      <c r="D5248" s="10" t="s">
        <v>32694</v>
      </c>
      <c r="E5248" s="10" t="s">
        <v>32679</v>
      </c>
      <c r="F5248" s="10" t="s">
        <v>57</v>
      </c>
      <c r="G5248" s="10" t="s">
        <v>32695</v>
      </c>
      <c r="H5248" s="11">
        <v>7.0</v>
      </c>
      <c r="I5248" s="11">
        <v>45.0</v>
      </c>
      <c r="J5248" s="11">
        <v>2.0</v>
      </c>
      <c r="K5248" s="11">
        <v>28.0</v>
      </c>
      <c r="L5248" s="12" t="s">
        <v>32696</v>
      </c>
      <c r="M5248" s="10" t="s">
        <v>32697</v>
      </c>
      <c r="N5248" s="10" t="s">
        <v>6669</v>
      </c>
      <c r="O5248" s="12" t="s">
        <v>6670</v>
      </c>
      <c r="P5248" s="10" t="s">
        <v>32683</v>
      </c>
      <c r="Q5248" s="10" t="s">
        <v>32684</v>
      </c>
      <c r="R5248" s="10" t="s">
        <v>1185</v>
      </c>
      <c r="S5248" s="12" t="s">
        <v>1709</v>
      </c>
      <c r="T5248" s="10" t="s">
        <v>66</v>
      </c>
      <c r="U5248" s="12" t="s">
        <v>31</v>
      </c>
      <c r="V5248" s="10" t="s">
        <v>57</v>
      </c>
      <c r="W5248" s="10" t="s">
        <v>32679</v>
      </c>
      <c r="X5248" s="13" t="str">
        <f>HYPERLINK("https://my.pitchbook.com?p=58822-57P","View People Online")</f>
        <v>View People Online</v>
      </c>
    </row>
    <row r="5249">
      <c r="A5249" s="6" t="s">
        <v>32698</v>
      </c>
      <c r="B5249" s="6" t="s">
        <v>32699</v>
      </c>
      <c r="C5249" s="6" t="s">
        <v>32700</v>
      </c>
      <c r="D5249" s="6" t="s">
        <v>680</v>
      </c>
      <c r="E5249" s="6" t="s">
        <v>32701</v>
      </c>
      <c r="F5249" s="6" t="s">
        <v>201</v>
      </c>
      <c r="G5249" s="6" t="s">
        <v>32702</v>
      </c>
      <c r="H5249" s="7" t="s">
        <v>31</v>
      </c>
      <c r="I5249" s="7">
        <v>1.0</v>
      </c>
      <c r="J5249" s="7">
        <v>1.0</v>
      </c>
      <c r="K5249" s="7" t="s">
        <v>31</v>
      </c>
      <c r="L5249" s="8" t="s">
        <v>32703</v>
      </c>
      <c r="M5249" s="6" t="s">
        <v>32704</v>
      </c>
      <c r="N5249" s="6" t="s">
        <v>683</v>
      </c>
      <c r="O5249" s="8" t="s">
        <v>684</v>
      </c>
      <c r="P5249" s="6" t="s">
        <v>32705</v>
      </c>
      <c r="Q5249" s="6" t="s">
        <v>32706</v>
      </c>
      <c r="R5249" s="6" t="s">
        <v>32706</v>
      </c>
      <c r="S5249" s="8" t="s">
        <v>687</v>
      </c>
      <c r="T5249" s="6" t="s">
        <v>688</v>
      </c>
      <c r="U5249" s="8" t="s">
        <v>31</v>
      </c>
      <c r="V5249" s="6" t="s">
        <v>201</v>
      </c>
      <c r="W5249" s="6" t="s">
        <v>32701</v>
      </c>
      <c r="X5249" s="9" t="str">
        <f>HYPERLINK("https://my.pitchbook.com?p=413877-88P","View People Online")</f>
        <v>View People Online</v>
      </c>
    </row>
    <row r="5250">
      <c r="A5250" s="2" t="s">
        <v>32707</v>
      </c>
      <c r="B5250" s="2" t="s">
        <v>32708</v>
      </c>
      <c r="C5250" s="2" t="s">
        <v>32709</v>
      </c>
      <c r="D5250" s="2" t="s">
        <v>9464</v>
      </c>
      <c r="E5250" s="2" t="s">
        <v>32701</v>
      </c>
      <c r="F5250" s="2" t="s">
        <v>318</v>
      </c>
      <c r="G5250" s="2" t="s">
        <v>32710</v>
      </c>
      <c r="H5250" s="3" t="s">
        <v>31</v>
      </c>
      <c r="I5250" s="3">
        <v>1.0</v>
      </c>
      <c r="J5250" s="3">
        <v>1.0</v>
      </c>
      <c r="K5250" s="3" t="s">
        <v>31</v>
      </c>
      <c r="L5250" s="4" t="s">
        <v>32703</v>
      </c>
      <c r="M5250" s="2" t="s">
        <v>32711</v>
      </c>
      <c r="N5250" s="2" t="s">
        <v>683</v>
      </c>
      <c r="O5250" s="4" t="s">
        <v>684</v>
      </c>
      <c r="P5250" s="2" t="s">
        <v>32705</v>
      </c>
      <c r="Q5250" s="2" t="s">
        <v>32706</v>
      </c>
      <c r="R5250" s="2" t="s">
        <v>32706</v>
      </c>
      <c r="S5250" s="4" t="s">
        <v>687</v>
      </c>
      <c r="T5250" s="2" t="s">
        <v>688</v>
      </c>
      <c r="U5250" s="4" t="s">
        <v>31</v>
      </c>
      <c r="V5250" s="2" t="s">
        <v>318</v>
      </c>
      <c r="W5250" s="2" t="s">
        <v>32701</v>
      </c>
      <c r="X5250" s="5" t="str">
        <f>HYPERLINK("https://my.pitchbook.com?p=344966-95P","View People Online")</f>
        <v>View People Online</v>
      </c>
    </row>
    <row r="5251">
      <c r="A5251" s="14" t="s">
        <v>32712</v>
      </c>
      <c r="B5251" s="14" t="s">
        <v>32713</v>
      </c>
      <c r="C5251" s="14" t="s">
        <v>32714</v>
      </c>
      <c r="D5251" s="14" t="s">
        <v>7791</v>
      </c>
      <c r="E5251" s="14" t="s">
        <v>32701</v>
      </c>
      <c r="F5251" s="14" t="s">
        <v>71</v>
      </c>
      <c r="G5251" s="14" t="s">
        <v>32715</v>
      </c>
      <c r="H5251" s="15" t="s">
        <v>31</v>
      </c>
      <c r="I5251" s="15">
        <v>2.0</v>
      </c>
      <c r="J5251" s="15">
        <v>1.0</v>
      </c>
      <c r="K5251" s="15">
        <v>1.0</v>
      </c>
      <c r="L5251" s="16" t="s">
        <v>32703</v>
      </c>
      <c r="M5251" s="14" t="s">
        <v>32716</v>
      </c>
      <c r="N5251" s="14" t="s">
        <v>683</v>
      </c>
      <c r="O5251" s="16" t="s">
        <v>684</v>
      </c>
      <c r="P5251" s="14" t="s">
        <v>32705</v>
      </c>
      <c r="Q5251" s="14" t="s">
        <v>32706</v>
      </c>
      <c r="R5251" s="14" t="s">
        <v>32706</v>
      </c>
      <c r="S5251" s="16" t="s">
        <v>687</v>
      </c>
      <c r="T5251" s="14" t="s">
        <v>688</v>
      </c>
      <c r="U5251" s="16" t="s">
        <v>31</v>
      </c>
      <c r="V5251" s="14" t="s">
        <v>71</v>
      </c>
      <c r="W5251" s="14" t="s">
        <v>32701</v>
      </c>
      <c r="X5251" s="17" t="str">
        <f>HYPERLINK("https://my.pitchbook.com?p=295398-01P","View People Online")</f>
        <v>View People Online</v>
      </c>
    </row>
    <row r="5252">
      <c r="A5252" s="2" t="s">
        <v>32717</v>
      </c>
      <c r="B5252" s="2" t="s">
        <v>32718</v>
      </c>
      <c r="C5252" s="2" t="s">
        <v>32719</v>
      </c>
      <c r="D5252" s="2" t="s">
        <v>680</v>
      </c>
      <c r="E5252" s="2" t="s">
        <v>32701</v>
      </c>
      <c r="F5252" s="2" t="s">
        <v>221</v>
      </c>
      <c r="G5252" s="2" t="s">
        <v>32720</v>
      </c>
      <c r="H5252" s="3" t="s">
        <v>31</v>
      </c>
      <c r="I5252" s="3">
        <v>1.0</v>
      </c>
      <c r="J5252" s="3">
        <v>1.0</v>
      </c>
      <c r="K5252" s="3" t="s">
        <v>31</v>
      </c>
      <c r="L5252" s="4" t="s">
        <v>32703</v>
      </c>
      <c r="M5252" s="2" t="s">
        <v>32721</v>
      </c>
      <c r="N5252" s="2" t="s">
        <v>683</v>
      </c>
      <c r="O5252" s="4" t="s">
        <v>684</v>
      </c>
      <c r="P5252" s="2" t="s">
        <v>32705</v>
      </c>
      <c r="Q5252" s="2" t="s">
        <v>32706</v>
      </c>
      <c r="R5252" s="2" t="s">
        <v>32706</v>
      </c>
      <c r="S5252" s="4" t="s">
        <v>687</v>
      </c>
      <c r="T5252" s="2" t="s">
        <v>688</v>
      </c>
      <c r="U5252" s="4" t="s">
        <v>31</v>
      </c>
      <c r="V5252" s="2" t="s">
        <v>957</v>
      </c>
      <c r="W5252" s="2" t="s">
        <v>32701</v>
      </c>
      <c r="X5252" s="5" t="str">
        <f>HYPERLINK("https://my.pitchbook.com?p=344967-94P","View People Online")</f>
        <v>View People Online</v>
      </c>
    </row>
    <row r="5253">
      <c r="A5253" s="6" t="s">
        <v>32722</v>
      </c>
      <c r="B5253" s="6" t="s">
        <v>32723</v>
      </c>
      <c r="C5253" s="6" t="s">
        <v>2500</v>
      </c>
      <c r="D5253" s="6" t="s">
        <v>32724</v>
      </c>
      <c r="E5253" s="6" t="s">
        <v>32701</v>
      </c>
      <c r="F5253" s="6" t="s">
        <v>825</v>
      </c>
      <c r="G5253" s="6" t="s">
        <v>32725</v>
      </c>
      <c r="H5253" s="7" t="s">
        <v>31</v>
      </c>
      <c r="I5253" s="7">
        <v>1.0</v>
      </c>
      <c r="J5253" s="7">
        <v>1.0</v>
      </c>
      <c r="K5253" s="7" t="s">
        <v>31</v>
      </c>
      <c r="L5253" s="8" t="s">
        <v>32703</v>
      </c>
      <c r="M5253" s="6" t="s">
        <v>32726</v>
      </c>
      <c r="N5253" s="6" t="s">
        <v>683</v>
      </c>
      <c r="O5253" s="8" t="s">
        <v>684</v>
      </c>
      <c r="P5253" s="6" t="s">
        <v>32705</v>
      </c>
      <c r="Q5253" s="6" t="s">
        <v>32706</v>
      </c>
      <c r="R5253" s="6" t="s">
        <v>32706</v>
      </c>
      <c r="S5253" s="8" t="s">
        <v>687</v>
      </c>
      <c r="T5253" s="6" t="s">
        <v>688</v>
      </c>
      <c r="U5253" s="8" t="s">
        <v>31</v>
      </c>
      <c r="V5253" s="6" t="s">
        <v>32727</v>
      </c>
      <c r="W5253" s="6" t="s">
        <v>32701</v>
      </c>
      <c r="X5253" s="9" t="str">
        <f>HYPERLINK("https://my.pitchbook.com?p=450316-72P","View People Online")</f>
        <v>View People Online</v>
      </c>
    </row>
    <row r="5254">
      <c r="A5254" s="10" t="s">
        <v>32728</v>
      </c>
      <c r="B5254" s="10" t="s">
        <v>32729</v>
      </c>
      <c r="C5254" s="10" t="s">
        <v>32730</v>
      </c>
      <c r="D5254" s="10" t="s">
        <v>7791</v>
      </c>
      <c r="E5254" s="10" t="s">
        <v>32701</v>
      </c>
      <c r="F5254" s="10" t="s">
        <v>71</v>
      </c>
      <c r="G5254" s="10" t="s">
        <v>32731</v>
      </c>
      <c r="H5254" s="11" t="s">
        <v>31</v>
      </c>
      <c r="I5254" s="11">
        <v>5.0</v>
      </c>
      <c r="J5254" s="11">
        <v>1.0</v>
      </c>
      <c r="K5254" s="11">
        <v>2.0</v>
      </c>
      <c r="L5254" s="12" t="s">
        <v>32732</v>
      </c>
      <c r="M5254" s="10" t="s">
        <v>32733</v>
      </c>
      <c r="N5254" s="10" t="s">
        <v>683</v>
      </c>
      <c r="O5254" s="12" t="s">
        <v>684</v>
      </c>
      <c r="P5254" s="10" t="s">
        <v>32705</v>
      </c>
      <c r="Q5254" s="10" t="s">
        <v>32706</v>
      </c>
      <c r="R5254" s="10" t="s">
        <v>32706</v>
      </c>
      <c r="S5254" s="12" t="s">
        <v>687</v>
      </c>
      <c r="T5254" s="10" t="s">
        <v>688</v>
      </c>
      <c r="U5254" s="12" t="s">
        <v>31</v>
      </c>
      <c r="V5254" s="10" t="s">
        <v>71</v>
      </c>
      <c r="W5254" s="10" t="s">
        <v>32701</v>
      </c>
      <c r="X5254" s="13" t="str">
        <f>HYPERLINK("https://my.pitchbook.com?p=285640-12P","View People Online")</f>
        <v>View People Online</v>
      </c>
    </row>
    <row r="5255">
      <c r="A5255" s="14" t="s">
        <v>32734</v>
      </c>
      <c r="B5255" s="14" t="s">
        <v>32735</v>
      </c>
      <c r="C5255" s="14" t="s">
        <v>263</v>
      </c>
      <c r="D5255" s="14" t="s">
        <v>32736</v>
      </c>
      <c r="E5255" s="14" t="s">
        <v>12642</v>
      </c>
      <c r="F5255" s="14" t="s">
        <v>825</v>
      </c>
      <c r="G5255" s="14" t="s">
        <v>32737</v>
      </c>
      <c r="H5255" s="15" t="s">
        <v>31</v>
      </c>
      <c r="I5255" s="15">
        <v>1.0</v>
      </c>
      <c r="J5255" s="15">
        <v>1.0</v>
      </c>
      <c r="K5255" s="15" t="s">
        <v>31</v>
      </c>
      <c r="L5255" s="16" t="s">
        <v>32738</v>
      </c>
      <c r="M5255" s="14" t="s">
        <v>32739</v>
      </c>
      <c r="N5255" s="14" t="s">
        <v>12638</v>
      </c>
      <c r="O5255" s="16" t="s">
        <v>12639</v>
      </c>
      <c r="P5255" s="14" t="s">
        <v>12640</v>
      </c>
      <c r="Q5255" s="14" t="s">
        <v>31</v>
      </c>
      <c r="R5255" s="14" t="s">
        <v>12588</v>
      </c>
      <c r="S5255" s="16" t="s">
        <v>12641</v>
      </c>
      <c r="T5255" s="14" t="s">
        <v>66</v>
      </c>
      <c r="U5255" s="16" t="s">
        <v>31</v>
      </c>
      <c r="V5255" s="14" t="s">
        <v>7191</v>
      </c>
      <c r="W5255" s="14" t="s">
        <v>12642</v>
      </c>
      <c r="X5255" s="17" t="str">
        <f>HYPERLINK("https://my.pitchbook.com?p=314203-51P","View People Online")</f>
        <v>View People Online</v>
      </c>
    </row>
    <row r="5256">
      <c r="A5256" s="10" t="s">
        <v>32740</v>
      </c>
      <c r="B5256" s="10" t="s">
        <v>32741</v>
      </c>
      <c r="C5256" s="10" t="s">
        <v>1449</v>
      </c>
      <c r="D5256" s="10" t="s">
        <v>32742</v>
      </c>
      <c r="E5256" s="10" t="s">
        <v>12642</v>
      </c>
      <c r="F5256" s="10" t="s">
        <v>29</v>
      </c>
      <c r="G5256" s="10" t="s">
        <v>32743</v>
      </c>
      <c r="H5256" s="11">
        <v>1.0</v>
      </c>
      <c r="I5256" s="11">
        <v>5.0</v>
      </c>
      <c r="J5256" s="11">
        <v>2.0</v>
      </c>
      <c r="K5256" s="11">
        <v>2.0</v>
      </c>
      <c r="L5256" s="12" t="s">
        <v>32744</v>
      </c>
      <c r="M5256" s="10" t="s">
        <v>32745</v>
      </c>
      <c r="N5256" s="10" t="s">
        <v>6692</v>
      </c>
      <c r="O5256" s="12" t="s">
        <v>6693</v>
      </c>
      <c r="P5256" s="10" t="s">
        <v>31</v>
      </c>
      <c r="Q5256" s="10" t="s">
        <v>31</v>
      </c>
      <c r="R5256" s="10" t="s">
        <v>64</v>
      </c>
      <c r="S5256" s="12" t="s">
        <v>31</v>
      </c>
      <c r="T5256" s="10" t="s">
        <v>66</v>
      </c>
      <c r="U5256" s="12" t="s">
        <v>31</v>
      </c>
      <c r="V5256" s="10" t="s">
        <v>29</v>
      </c>
      <c r="W5256" s="10" t="s">
        <v>12642</v>
      </c>
      <c r="X5256" s="13" t="str">
        <f>HYPERLINK("https://my.pitchbook.com?p=276821-56P","View People Online")</f>
        <v>View People Online</v>
      </c>
    </row>
    <row r="5257">
      <c r="A5257" s="14" t="s">
        <v>32746</v>
      </c>
      <c r="B5257" s="14" t="s">
        <v>32747</v>
      </c>
      <c r="C5257" s="14" t="s">
        <v>8106</v>
      </c>
      <c r="D5257" s="14" t="s">
        <v>25533</v>
      </c>
      <c r="E5257" s="14" t="s">
        <v>12642</v>
      </c>
      <c r="F5257" s="14" t="s">
        <v>3665</v>
      </c>
      <c r="G5257" s="14" t="s">
        <v>32748</v>
      </c>
      <c r="H5257" s="15" t="s">
        <v>31</v>
      </c>
      <c r="I5257" s="15">
        <v>1.0</v>
      </c>
      <c r="J5257" s="15">
        <v>1.0</v>
      </c>
      <c r="K5257" s="15" t="s">
        <v>31</v>
      </c>
      <c r="L5257" s="16" t="s">
        <v>31</v>
      </c>
      <c r="M5257" s="14" t="s">
        <v>32749</v>
      </c>
      <c r="N5257" s="14" t="s">
        <v>12638</v>
      </c>
      <c r="O5257" s="16" t="s">
        <v>12639</v>
      </c>
      <c r="P5257" s="14" t="s">
        <v>12640</v>
      </c>
      <c r="Q5257" s="14" t="s">
        <v>31</v>
      </c>
      <c r="R5257" s="14" t="s">
        <v>12588</v>
      </c>
      <c r="S5257" s="16" t="s">
        <v>12641</v>
      </c>
      <c r="T5257" s="14" t="s">
        <v>66</v>
      </c>
      <c r="U5257" s="16" t="s">
        <v>31</v>
      </c>
      <c r="V5257" s="14" t="s">
        <v>3665</v>
      </c>
      <c r="W5257" s="14" t="s">
        <v>12642</v>
      </c>
      <c r="X5257" s="17" t="str">
        <f>HYPERLINK("https://my.pitchbook.com?p=355321-45P","View People Online")</f>
        <v>View People Online</v>
      </c>
    </row>
    <row r="5258">
      <c r="A5258" s="2" t="s">
        <v>12633</v>
      </c>
      <c r="B5258" s="2" t="s">
        <v>12634</v>
      </c>
      <c r="C5258" s="2" t="s">
        <v>2992</v>
      </c>
      <c r="D5258" s="2" t="s">
        <v>12635</v>
      </c>
      <c r="E5258" s="2" t="s">
        <v>12642</v>
      </c>
      <c r="F5258" s="2" t="s">
        <v>57</v>
      </c>
      <c r="G5258" s="2" t="s">
        <v>12636</v>
      </c>
      <c r="H5258" s="3">
        <v>6.0</v>
      </c>
      <c r="I5258" s="3">
        <v>18.0</v>
      </c>
      <c r="J5258" s="3">
        <v>1.0</v>
      </c>
      <c r="K5258" s="3">
        <v>8.0</v>
      </c>
      <c r="L5258" s="4" t="s">
        <v>31</v>
      </c>
      <c r="M5258" s="2" t="s">
        <v>12637</v>
      </c>
      <c r="N5258" s="2" t="s">
        <v>12638</v>
      </c>
      <c r="O5258" s="4" t="s">
        <v>12639</v>
      </c>
      <c r="P5258" s="2" t="s">
        <v>12640</v>
      </c>
      <c r="Q5258" s="2" t="s">
        <v>31</v>
      </c>
      <c r="R5258" s="2" t="s">
        <v>12588</v>
      </c>
      <c r="S5258" s="4" t="s">
        <v>12641</v>
      </c>
      <c r="T5258" s="2" t="s">
        <v>66</v>
      </c>
      <c r="U5258" s="4" t="s">
        <v>31</v>
      </c>
      <c r="V5258" s="2" t="s">
        <v>57</v>
      </c>
      <c r="W5258" s="2" t="s">
        <v>12642</v>
      </c>
      <c r="X5258" s="5" t="str">
        <f>HYPERLINK("https://my.pitchbook.com?p=36577-00P","View People Online")</f>
        <v>View People Online</v>
      </c>
    </row>
    <row r="5259">
      <c r="A5259" s="14" t="s">
        <v>32750</v>
      </c>
      <c r="B5259" s="14" t="s">
        <v>32751</v>
      </c>
      <c r="C5259" s="14" t="s">
        <v>24917</v>
      </c>
      <c r="D5259" s="14" t="s">
        <v>32752</v>
      </c>
      <c r="E5259" s="14" t="s">
        <v>12642</v>
      </c>
      <c r="F5259" s="14" t="s">
        <v>29</v>
      </c>
      <c r="G5259" s="14" t="s">
        <v>32753</v>
      </c>
      <c r="H5259" s="15" t="s">
        <v>31</v>
      </c>
      <c r="I5259" s="15">
        <v>1.0</v>
      </c>
      <c r="J5259" s="15">
        <v>1.0</v>
      </c>
      <c r="K5259" s="15" t="s">
        <v>31</v>
      </c>
      <c r="L5259" s="16" t="s">
        <v>31</v>
      </c>
      <c r="M5259" s="14" t="s">
        <v>32754</v>
      </c>
      <c r="N5259" s="14" t="s">
        <v>12638</v>
      </c>
      <c r="O5259" s="16" t="s">
        <v>12639</v>
      </c>
      <c r="P5259" s="14" t="s">
        <v>12640</v>
      </c>
      <c r="Q5259" s="14" t="s">
        <v>31</v>
      </c>
      <c r="R5259" s="14" t="s">
        <v>12588</v>
      </c>
      <c r="S5259" s="16" t="s">
        <v>12641</v>
      </c>
      <c r="T5259" s="14" t="s">
        <v>66</v>
      </c>
      <c r="U5259" s="16" t="s">
        <v>31</v>
      </c>
      <c r="V5259" s="14" t="s">
        <v>29</v>
      </c>
      <c r="W5259" s="14" t="s">
        <v>12642</v>
      </c>
      <c r="X5259" s="17" t="str">
        <f>HYPERLINK("https://my.pitchbook.com?p=170653-15P","View People Online")</f>
        <v>View People Online</v>
      </c>
    </row>
    <row r="5260">
      <c r="A5260" s="2" t="s">
        <v>32755</v>
      </c>
      <c r="B5260" s="2" t="s">
        <v>32756</v>
      </c>
      <c r="C5260" s="2" t="s">
        <v>568</v>
      </c>
      <c r="D5260" s="2" t="s">
        <v>32757</v>
      </c>
      <c r="E5260" s="2" t="s">
        <v>32758</v>
      </c>
      <c r="F5260" s="2" t="s">
        <v>32759</v>
      </c>
      <c r="G5260" s="2" t="s">
        <v>32760</v>
      </c>
      <c r="H5260" s="3">
        <v>5.0</v>
      </c>
      <c r="I5260" s="3">
        <v>24.0</v>
      </c>
      <c r="J5260" s="3">
        <v>1.0</v>
      </c>
      <c r="K5260" s="3">
        <v>15.0</v>
      </c>
      <c r="L5260" s="4" t="s">
        <v>32761</v>
      </c>
      <c r="M5260" s="2" t="s">
        <v>32762</v>
      </c>
      <c r="N5260" s="2" t="s">
        <v>665</v>
      </c>
      <c r="O5260" s="4" t="s">
        <v>3857</v>
      </c>
      <c r="P5260" s="2" t="s">
        <v>32763</v>
      </c>
      <c r="Q5260" s="2" t="s">
        <v>2839</v>
      </c>
      <c r="R5260" s="2" t="s">
        <v>1420</v>
      </c>
      <c r="S5260" s="4" t="s">
        <v>8300</v>
      </c>
      <c r="T5260" s="2" t="s">
        <v>66</v>
      </c>
      <c r="U5260" s="4" t="s">
        <v>31</v>
      </c>
      <c r="V5260" s="2" t="s">
        <v>32764</v>
      </c>
      <c r="W5260" s="2" t="s">
        <v>32758</v>
      </c>
      <c r="X5260" s="5" t="str">
        <f>HYPERLINK("https://my.pitchbook.com?p=220588-30P","View People Online")</f>
        <v>View People Online</v>
      </c>
    </row>
    <row r="5261">
      <c r="A5261" s="6" t="s">
        <v>32765</v>
      </c>
      <c r="B5261" s="6" t="s">
        <v>32766</v>
      </c>
      <c r="C5261" s="6" t="s">
        <v>1449</v>
      </c>
      <c r="D5261" s="6" t="s">
        <v>32767</v>
      </c>
      <c r="E5261" s="6" t="s">
        <v>32758</v>
      </c>
      <c r="F5261" s="6" t="s">
        <v>29</v>
      </c>
      <c r="G5261" s="6" t="s">
        <v>32768</v>
      </c>
      <c r="H5261" s="7" t="s">
        <v>31</v>
      </c>
      <c r="I5261" s="7">
        <v>1.0</v>
      </c>
      <c r="J5261" s="7">
        <v>1.0</v>
      </c>
      <c r="K5261" s="7" t="s">
        <v>31</v>
      </c>
      <c r="L5261" s="8" t="s">
        <v>32761</v>
      </c>
      <c r="M5261" s="6" t="s">
        <v>32769</v>
      </c>
      <c r="N5261" s="6" t="s">
        <v>665</v>
      </c>
      <c r="O5261" s="8" t="s">
        <v>3857</v>
      </c>
      <c r="P5261" s="6" t="s">
        <v>32763</v>
      </c>
      <c r="Q5261" s="6" t="s">
        <v>2839</v>
      </c>
      <c r="R5261" s="6" t="s">
        <v>1420</v>
      </c>
      <c r="S5261" s="8" t="s">
        <v>8300</v>
      </c>
      <c r="T5261" s="6" t="s">
        <v>66</v>
      </c>
      <c r="U5261" s="8" t="s">
        <v>31</v>
      </c>
      <c r="V5261" s="6" t="s">
        <v>32770</v>
      </c>
      <c r="W5261" s="6" t="s">
        <v>32758</v>
      </c>
      <c r="X5261" s="9" t="str">
        <f>HYPERLINK("https://my.pitchbook.com?p=399805-30P","View People Online")</f>
        <v>View People Online</v>
      </c>
    </row>
    <row r="5262">
      <c r="A5262" s="10" t="s">
        <v>32771</v>
      </c>
      <c r="B5262" s="10" t="s">
        <v>32772</v>
      </c>
      <c r="C5262" s="10" t="s">
        <v>3811</v>
      </c>
      <c r="D5262" s="10" t="s">
        <v>32773</v>
      </c>
      <c r="E5262" s="10" t="s">
        <v>32758</v>
      </c>
      <c r="F5262" s="10" t="s">
        <v>9952</v>
      </c>
      <c r="G5262" s="10" t="s">
        <v>32774</v>
      </c>
      <c r="H5262" s="11" t="s">
        <v>31</v>
      </c>
      <c r="I5262" s="11">
        <v>1.0</v>
      </c>
      <c r="J5262" s="11">
        <v>1.0</v>
      </c>
      <c r="K5262" s="11" t="s">
        <v>31</v>
      </c>
      <c r="L5262" s="12" t="s">
        <v>32775</v>
      </c>
      <c r="M5262" s="10" t="s">
        <v>32776</v>
      </c>
      <c r="N5262" s="10" t="s">
        <v>665</v>
      </c>
      <c r="O5262" s="12" t="s">
        <v>3857</v>
      </c>
      <c r="P5262" s="10" t="s">
        <v>32763</v>
      </c>
      <c r="Q5262" s="10" t="s">
        <v>2839</v>
      </c>
      <c r="R5262" s="10" t="s">
        <v>1420</v>
      </c>
      <c r="S5262" s="12" t="s">
        <v>8300</v>
      </c>
      <c r="T5262" s="10" t="s">
        <v>66</v>
      </c>
      <c r="U5262" s="12" t="s">
        <v>31</v>
      </c>
      <c r="V5262" s="10" t="s">
        <v>9952</v>
      </c>
      <c r="W5262" s="10" t="s">
        <v>32758</v>
      </c>
      <c r="X5262" s="13" t="str">
        <f>HYPERLINK("https://my.pitchbook.com?p=301486-69P","View People Online")</f>
        <v>View People Online</v>
      </c>
    </row>
    <row r="5263">
      <c r="A5263" s="6" t="s">
        <v>32777</v>
      </c>
      <c r="B5263" s="6" t="s">
        <v>32778</v>
      </c>
      <c r="C5263" s="6" t="s">
        <v>823</v>
      </c>
      <c r="D5263" s="6" t="s">
        <v>17370</v>
      </c>
      <c r="E5263" s="6" t="s">
        <v>32758</v>
      </c>
      <c r="F5263" s="6" t="s">
        <v>936</v>
      </c>
      <c r="G5263" s="6" t="s">
        <v>32779</v>
      </c>
      <c r="H5263" s="7" t="s">
        <v>31</v>
      </c>
      <c r="I5263" s="7">
        <v>1.0</v>
      </c>
      <c r="J5263" s="7">
        <v>1.0</v>
      </c>
      <c r="K5263" s="7" t="s">
        <v>31</v>
      </c>
      <c r="L5263" s="8" t="s">
        <v>32780</v>
      </c>
      <c r="M5263" s="6" t="s">
        <v>32781</v>
      </c>
      <c r="N5263" s="6" t="s">
        <v>665</v>
      </c>
      <c r="O5263" s="8" t="s">
        <v>3857</v>
      </c>
      <c r="P5263" s="6" t="s">
        <v>32763</v>
      </c>
      <c r="Q5263" s="6" t="s">
        <v>2839</v>
      </c>
      <c r="R5263" s="6" t="s">
        <v>1420</v>
      </c>
      <c r="S5263" s="8" t="s">
        <v>8300</v>
      </c>
      <c r="T5263" s="6" t="s">
        <v>66</v>
      </c>
      <c r="U5263" s="8" t="s">
        <v>31</v>
      </c>
      <c r="V5263" s="6" t="s">
        <v>32782</v>
      </c>
      <c r="W5263" s="6" t="s">
        <v>32758</v>
      </c>
      <c r="X5263" s="9" t="str">
        <f>HYPERLINK("https://my.pitchbook.com?p=301485-97P","View People Online")</f>
        <v>View People Online</v>
      </c>
    </row>
    <row r="5264">
      <c r="A5264" s="10" t="s">
        <v>32783</v>
      </c>
      <c r="B5264" s="10" t="s">
        <v>32784</v>
      </c>
      <c r="C5264" s="10" t="s">
        <v>1807</v>
      </c>
      <c r="D5264" s="10" t="s">
        <v>29275</v>
      </c>
      <c r="E5264" s="10" t="s">
        <v>32758</v>
      </c>
      <c r="F5264" s="10" t="s">
        <v>29</v>
      </c>
      <c r="G5264" s="10" t="s">
        <v>32785</v>
      </c>
      <c r="H5264" s="11" t="s">
        <v>31</v>
      </c>
      <c r="I5264" s="11">
        <v>50.0</v>
      </c>
      <c r="J5264" s="11">
        <v>1.0</v>
      </c>
      <c r="K5264" s="11">
        <v>49.0</v>
      </c>
      <c r="L5264" s="12" t="s">
        <v>32786</v>
      </c>
      <c r="M5264" s="10" t="s">
        <v>32787</v>
      </c>
      <c r="N5264" s="10" t="s">
        <v>665</v>
      </c>
      <c r="O5264" s="12" t="s">
        <v>3857</v>
      </c>
      <c r="P5264" s="10" t="s">
        <v>32763</v>
      </c>
      <c r="Q5264" s="10" t="s">
        <v>2839</v>
      </c>
      <c r="R5264" s="10" t="s">
        <v>1420</v>
      </c>
      <c r="S5264" s="12" t="s">
        <v>8300</v>
      </c>
      <c r="T5264" s="10" t="s">
        <v>66</v>
      </c>
      <c r="U5264" s="12" t="s">
        <v>31</v>
      </c>
      <c r="V5264" s="10" t="s">
        <v>32788</v>
      </c>
      <c r="W5264" s="10" t="s">
        <v>32758</v>
      </c>
      <c r="X5264" s="13" t="str">
        <f>HYPERLINK("https://my.pitchbook.com?p=32434-66P","View People Online")</f>
        <v>View People Online</v>
      </c>
    </row>
    <row r="5265">
      <c r="A5265" s="14" t="s">
        <v>32789</v>
      </c>
      <c r="B5265" s="14" t="s">
        <v>32790</v>
      </c>
      <c r="C5265" s="14" t="s">
        <v>22863</v>
      </c>
      <c r="D5265" s="14" t="s">
        <v>23474</v>
      </c>
      <c r="E5265" s="14" t="s">
        <v>32758</v>
      </c>
      <c r="F5265" s="14" t="s">
        <v>29</v>
      </c>
      <c r="G5265" s="14" t="s">
        <v>32791</v>
      </c>
      <c r="H5265" s="15">
        <v>1.0</v>
      </c>
      <c r="I5265" s="15">
        <v>2.0</v>
      </c>
      <c r="J5265" s="15">
        <v>1.0</v>
      </c>
      <c r="K5265" s="15" t="s">
        <v>31</v>
      </c>
      <c r="L5265" s="16" t="s">
        <v>32792</v>
      </c>
      <c r="M5265" s="14" t="s">
        <v>32793</v>
      </c>
      <c r="N5265" s="14" t="s">
        <v>665</v>
      </c>
      <c r="O5265" s="16" t="s">
        <v>3857</v>
      </c>
      <c r="P5265" s="14" t="s">
        <v>32763</v>
      </c>
      <c r="Q5265" s="14" t="s">
        <v>2839</v>
      </c>
      <c r="R5265" s="14" t="s">
        <v>1420</v>
      </c>
      <c r="S5265" s="16" t="s">
        <v>8300</v>
      </c>
      <c r="T5265" s="14" t="s">
        <v>66</v>
      </c>
      <c r="U5265" s="16" t="s">
        <v>31</v>
      </c>
      <c r="V5265" s="14" t="s">
        <v>32794</v>
      </c>
      <c r="W5265" s="14" t="s">
        <v>32758</v>
      </c>
      <c r="X5265" s="17" t="str">
        <f>HYPERLINK("https://my.pitchbook.com?p=250747-03P","View People Online")</f>
        <v>View People Online</v>
      </c>
    </row>
    <row r="5266">
      <c r="A5266" s="2" t="s">
        <v>32795</v>
      </c>
      <c r="B5266" s="2" t="s">
        <v>32796</v>
      </c>
      <c r="C5266" s="2" t="s">
        <v>1697</v>
      </c>
      <c r="D5266" s="2" t="s">
        <v>32797</v>
      </c>
      <c r="E5266" s="2" t="s">
        <v>32758</v>
      </c>
      <c r="F5266" s="2" t="s">
        <v>86</v>
      </c>
      <c r="G5266" s="2" t="s">
        <v>32798</v>
      </c>
      <c r="H5266" s="3">
        <v>2.0</v>
      </c>
      <c r="I5266" s="3">
        <v>3.0</v>
      </c>
      <c r="J5266" s="3">
        <v>2.0</v>
      </c>
      <c r="K5266" s="3" t="s">
        <v>31</v>
      </c>
      <c r="L5266" s="4" t="s">
        <v>32761</v>
      </c>
      <c r="M5266" s="2" t="s">
        <v>32799</v>
      </c>
      <c r="N5266" s="2" t="s">
        <v>665</v>
      </c>
      <c r="O5266" s="4" t="s">
        <v>3857</v>
      </c>
      <c r="P5266" s="2" t="s">
        <v>32763</v>
      </c>
      <c r="Q5266" s="2" t="s">
        <v>2839</v>
      </c>
      <c r="R5266" s="2" t="s">
        <v>1420</v>
      </c>
      <c r="S5266" s="4" t="s">
        <v>8300</v>
      </c>
      <c r="T5266" s="2" t="s">
        <v>66</v>
      </c>
      <c r="U5266" s="4" t="s">
        <v>31</v>
      </c>
      <c r="V5266" s="2" t="s">
        <v>95</v>
      </c>
      <c r="W5266" s="2" t="s">
        <v>32758</v>
      </c>
      <c r="X5266" s="5" t="str">
        <f>HYPERLINK("https://my.pitchbook.com?p=95700-88P","View People Online")</f>
        <v>View People Online</v>
      </c>
    </row>
    <row r="5267">
      <c r="A5267" s="14" t="s">
        <v>32800</v>
      </c>
      <c r="B5267" s="14" t="s">
        <v>32801</v>
      </c>
      <c r="C5267" s="14" t="s">
        <v>1929</v>
      </c>
      <c r="D5267" s="14" t="s">
        <v>32802</v>
      </c>
      <c r="E5267" s="14" t="s">
        <v>32803</v>
      </c>
      <c r="F5267" s="14" t="s">
        <v>5979</v>
      </c>
      <c r="G5267" s="14" t="s">
        <v>32804</v>
      </c>
      <c r="H5267" s="15" t="s">
        <v>31</v>
      </c>
      <c r="I5267" s="15">
        <v>1.0</v>
      </c>
      <c r="J5267" s="15">
        <v>1.0</v>
      </c>
      <c r="K5267" s="15" t="s">
        <v>31</v>
      </c>
      <c r="L5267" s="16" t="s">
        <v>32805</v>
      </c>
      <c r="M5267" s="14" t="s">
        <v>32806</v>
      </c>
      <c r="N5267" s="14" t="s">
        <v>18812</v>
      </c>
      <c r="O5267" s="16" t="s">
        <v>18813</v>
      </c>
      <c r="P5267" s="14" t="s">
        <v>32807</v>
      </c>
      <c r="Q5267" s="14" t="s">
        <v>31367</v>
      </c>
      <c r="R5267" s="14" t="s">
        <v>18816</v>
      </c>
      <c r="S5267" s="16" t="s">
        <v>32808</v>
      </c>
      <c r="T5267" s="14" t="s">
        <v>66</v>
      </c>
      <c r="U5267" s="16" t="s">
        <v>31</v>
      </c>
      <c r="V5267" s="14" t="s">
        <v>32809</v>
      </c>
      <c r="W5267" s="14" t="s">
        <v>32803</v>
      </c>
      <c r="X5267" s="17" t="str">
        <f>HYPERLINK("https://my.pitchbook.com?p=428943-61P","View People Online")</f>
        <v>View People Online</v>
      </c>
    </row>
    <row r="5268">
      <c r="A5268" s="2" t="s">
        <v>32810</v>
      </c>
      <c r="B5268" s="2" t="s">
        <v>32811</v>
      </c>
      <c r="C5268" s="2" t="s">
        <v>4943</v>
      </c>
      <c r="D5268" s="2" t="s">
        <v>21711</v>
      </c>
      <c r="E5268" s="2" t="s">
        <v>32803</v>
      </c>
      <c r="F5268" s="2" t="s">
        <v>1459</v>
      </c>
      <c r="G5268" s="2" t="s">
        <v>32812</v>
      </c>
      <c r="H5268" s="3" t="s">
        <v>31</v>
      </c>
      <c r="I5268" s="3">
        <v>1.0</v>
      </c>
      <c r="J5268" s="3">
        <v>1.0</v>
      </c>
      <c r="K5268" s="3" t="s">
        <v>31</v>
      </c>
      <c r="L5268" s="4" t="s">
        <v>32805</v>
      </c>
      <c r="M5268" s="2" t="s">
        <v>32813</v>
      </c>
      <c r="N5268" s="2" t="s">
        <v>18812</v>
      </c>
      <c r="O5268" s="4" t="s">
        <v>18813</v>
      </c>
      <c r="P5268" s="2" t="s">
        <v>32807</v>
      </c>
      <c r="Q5268" s="2" t="s">
        <v>31367</v>
      </c>
      <c r="R5268" s="2" t="s">
        <v>18816</v>
      </c>
      <c r="S5268" s="4" t="s">
        <v>32808</v>
      </c>
      <c r="T5268" s="2" t="s">
        <v>66</v>
      </c>
      <c r="U5268" s="4" t="s">
        <v>31</v>
      </c>
      <c r="V5268" s="2" t="s">
        <v>32814</v>
      </c>
      <c r="W5268" s="2" t="s">
        <v>32803</v>
      </c>
      <c r="X5268" s="5" t="str">
        <f>HYPERLINK("https://my.pitchbook.com?p=349606-63P","View People Online")</f>
        <v>View People Online</v>
      </c>
    </row>
    <row r="5269">
      <c r="A5269" s="14" t="s">
        <v>32815</v>
      </c>
      <c r="B5269" s="14" t="s">
        <v>32816</v>
      </c>
      <c r="C5269" s="14" t="s">
        <v>1471</v>
      </c>
      <c r="D5269" s="14" t="s">
        <v>32817</v>
      </c>
      <c r="E5269" s="14" t="s">
        <v>32803</v>
      </c>
      <c r="F5269" s="14" t="s">
        <v>3823</v>
      </c>
      <c r="G5269" s="14" t="s">
        <v>32818</v>
      </c>
      <c r="H5269" s="15" t="s">
        <v>31</v>
      </c>
      <c r="I5269" s="15">
        <v>1.0</v>
      </c>
      <c r="J5269" s="15">
        <v>1.0</v>
      </c>
      <c r="K5269" s="15" t="s">
        <v>31</v>
      </c>
      <c r="L5269" s="16" t="s">
        <v>32805</v>
      </c>
      <c r="M5269" s="14" t="s">
        <v>32819</v>
      </c>
      <c r="N5269" s="14" t="s">
        <v>18812</v>
      </c>
      <c r="O5269" s="16" t="s">
        <v>18813</v>
      </c>
      <c r="P5269" s="14" t="s">
        <v>32807</v>
      </c>
      <c r="Q5269" s="14" t="s">
        <v>31367</v>
      </c>
      <c r="R5269" s="14" t="s">
        <v>18816</v>
      </c>
      <c r="S5269" s="16" t="s">
        <v>32808</v>
      </c>
      <c r="T5269" s="14" t="s">
        <v>66</v>
      </c>
      <c r="U5269" s="16" t="s">
        <v>31</v>
      </c>
      <c r="V5269" s="14" t="s">
        <v>3823</v>
      </c>
      <c r="W5269" s="14" t="s">
        <v>32803</v>
      </c>
      <c r="X5269" s="17" t="str">
        <f>HYPERLINK("https://my.pitchbook.com?p=187526-80P","View People Online")</f>
        <v>View People Online</v>
      </c>
    </row>
    <row r="5270">
      <c r="A5270" s="10" t="s">
        <v>32820</v>
      </c>
      <c r="B5270" s="10" t="s">
        <v>32821</v>
      </c>
      <c r="C5270" s="10" t="s">
        <v>32822</v>
      </c>
      <c r="D5270" s="10" t="s">
        <v>119</v>
      </c>
      <c r="E5270" s="10" t="s">
        <v>32803</v>
      </c>
      <c r="F5270" s="10" t="s">
        <v>5365</v>
      </c>
      <c r="G5270" s="10" t="s">
        <v>32823</v>
      </c>
      <c r="H5270" s="11" t="s">
        <v>31</v>
      </c>
      <c r="I5270" s="11">
        <v>1.0</v>
      </c>
      <c r="J5270" s="11">
        <v>1.0</v>
      </c>
      <c r="K5270" s="11" t="s">
        <v>31</v>
      </c>
      <c r="L5270" s="12" t="s">
        <v>32805</v>
      </c>
      <c r="M5270" s="10" t="s">
        <v>32824</v>
      </c>
      <c r="N5270" s="10" t="s">
        <v>18812</v>
      </c>
      <c r="O5270" s="12" t="s">
        <v>18813</v>
      </c>
      <c r="P5270" s="10" t="s">
        <v>32807</v>
      </c>
      <c r="Q5270" s="10" t="s">
        <v>31367</v>
      </c>
      <c r="R5270" s="10" t="s">
        <v>18816</v>
      </c>
      <c r="S5270" s="12" t="s">
        <v>32808</v>
      </c>
      <c r="T5270" s="10" t="s">
        <v>66</v>
      </c>
      <c r="U5270" s="12" t="s">
        <v>31</v>
      </c>
      <c r="V5270" s="10" t="s">
        <v>32825</v>
      </c>
      <c r="W5270" s="10" t="s">
        <v>32803</v>
      </c>
      <c r="X5270" s="13" t="str">
        <f>HYPERLINK("https://my.pitchbook.com?p=428947-66P","View People Online")</f>
        <v>View People Online</v>
      </c>
    </row>
    <row r="5271">
      <c r="A5271" s="14" t="s">
        <v>32826</v>
      </c>
      <c r="B5271" s="14" t="s">
        <v>32827</v>
      </c>
      <c r="C5271" s="14" t="s">
        <v>823</v>
      </c>
      <c r="D5271" s="14" t="s">
        <v>32828</v>
      </c>
      <c r="E5271" s="14" t="s">
        <v>32803</v>
      </c>
      <c r="F5271" s="14" t="s">
        <v>32829</v>
      </c>
      <c r="G5271" s="14" t="s">
        <v>32830</v>
      </c>
      <c r="H5271" s="15">
        <v>5.0</v>
      </c>
      <c r="I5271" s="15">
        <v>5.0</v>
      </c>
      <c r="J5271" s="15">
        <v>1.0</v>
      </c>
      <c r="K5271" s="15" t="s">
        <v>31</v>
      </c>
      <c r="L5271" s="16" t="s">
        <v>32831</v>
      </c>
      <c r="M5271" s="14" t="s">
        <v>32832</v>
      </c>
      <c r="N5271" s="14" t="s">
        <v>32833</v>
      </c>
      <c r="O5271" s="16" t="s">
        <v>32834</v>
      </c>
      <c r="P5271" s="14" t="s">
        <v>32835</v>
      </c>
      <c r="Q5271" s="14" t="s">
        <v>31</v>
      </c>
      <c r="R5271" s="14" t="s">
        <v>10017</v>
      </c>
      <c r="S5271" s="16" t="s">
        <v>32836</v>
      </c>
      <c r="T5271" s="14" t="s">
        <v>66</v>
      </c>
      <c r="U5271" s="16" t="s">
        <v>32837</v>
      </c>
      <c r="V5271" s="14" t="s">
        <v>2379</v>
      </c>
      <c r="W5271" s="14" t="s">
        <v>32838</v>
      </c>
      <c r="X5271" s="17" t="str">
        <f>HYPERLINK("https://my.pitchbook.com?p=11827-99P","View People Online")</f>
        <v>View People Online</v>
      </c>
    </row>
    <row r="5272">
      <c r="A5272" s="10" t="s">
        <v>32839</v>
      </c>
      <c r="B5272" s="10" t="s">
        <v>32840</v>
      </c>
      <c r="C5272" s="10" t="s">
        <v>3040</v>
      </c>
      <c r="D5272" s="10" t="s">
        <v>18964</v>
      </c>
      <c r="E5272" s="10" t="s">
        <v>32803</v>
      </c>
      <c r="F5272" s="10" t="s">
        <v>1283</v>
      </c>
      <c r="G5272" s="10" t="s">
        <v>32841</v>
      </c>
      <c r="H5272" s="11">
        <v>1.0</v>
      </c>
      <c r="I5272" s="11">
        <v>23.0</v>
      </c>
      <c r="J5272" s="11">
        <v>2.0</v>
      </c>
      <c r="K5272" s="11">
        <v>19.0</v>
      </c>
      <c r="L5272" s="12" t="s">
        <v>32831</v>
      </c>
      <c r="M5272" s="10" t="s">
        <v>32842</v>
      </c>
      <c r="N5272" s="10" t="s">
        <v>18812</v>
      </c>
      <c r="O5272" s="12" t="s">
        <v>18813</v>
      </c>
      <c r="P5272" s="10" t="s">
        <v>32807</v>
      </c>
      <c r="Q5272" s="10" t="s">
        <v>31367</v>
      </c>
      <c r="R5272" s="10" t="s">
        <v>18816</v>
      </c>
      <c r="S5272" s="12" t="s">
        <v>32808</v>
      </c>
      <c r="T5272" s="10" t="s">
        <v>66</v>
      </c>
      <c r="U5272" s="12" t="s">
        <v>31</v>
      </c>
      <c r="V5272" s="10" t="s">
        <v>32843</v>
      </c>
      <c r="W5272" s="10" t="s">
        <v>32803</v>
      </c>
      <c r="X5272" s="13" t="str">
        <f>HYPERLINK("https://my.pitchbook.com?p=221282-38P","View People Online")</f>
        <v>View People Online</v>
      </c>
    </row>
    <row r="5273">
      <c r="A5273" s="6" t="s">
        <v>32844</v>
      </c>
      <c r="B5273" s="6" t="s">
        <v>32845</v>
      </c>
      <c r="C5273" s="6" t="s">
        <v>1645</v>
      </c>
      <c r="D5273" s="6" t="s">
        <v>32846</v>
      </c>
      <c r="E5273" s="6" t="s">
        <v>32803</v>
      </c>
      <c r="F5273" s="6" t="s">
        <v>502</v>
      </c>
      <c r="G5273" s="6" t="s">
        <v>32847</v>
      </c>
      <c r="H5273" s="7" t="s">
        <v>31</v>
      </c>
      <c r="I5273" s="7">
        <v>1.0</v>
      </c>
      <c r="J5273" s="7">
        <v>1.0</v>
      </c>
      <c r="K5273" s="7" t="s">
        <v>31</v>
      </c>
      <c r="L5273" s="8" t="s">
        <v>32805</v>
      </c>
      <c r="M5273" s="6" t="s">
        <v>32848</v>
      </c>
      <c r="N5273" s="6" t="s">
        <v>18812</v>
      </c>
      <c r="O5273" s="8" t="s">
        <v>18813</v>
      </c>
      <c r="P5273" s="6" t="s">
        <v>32807</v>
      </c>
      <c r="Q5273" s="6" t="s">
        <v>31367</v>
      </c>
      <c r="R5273" s="6" t="s">
        <v>18816</v>
      </c>
      <c r="S5273" s="8" t="s">
        <v>32808</v>
      </c>
      <c r="T5273" s="6" t="s">
        <v>66</v>
      </c>
      <c r="U5273" s="8" t="s">
        <v>31</v>
      </c>
      <c r="V5273" s="6" t="s">
        <v>502</v>
      </c>
      <c r="W5273" s="6" t="s">
        <v>32803</v>
      </c>
      <c r="X5273" s="9" t="str">
        <f>HYPERLINK("https://my.pitchbook.com?p=139608-01P","View People Online")</f>
        <v>View People Online</v>
      </c>
    </row>
    <row r="5274">
      <c r="A5274" s="10" t="s">
        <v>32849</v>
      </c>
      <c r="B5274" s="10" t="s">
        <v>32850</v>
      </c>
      <c r="C5274" s="10" t="s">
        <v>5219</v>
      </c>
      <c r="D5274" s="10" t="s">
        <v>19677</v>
      </c>
      <c r="E5274" s="10" t="s">
        <v>32803</v>
      </c>
      <c r="F5274" s="10" t="s">
        <v>3823</v>
      </c>
      <c r="G5274" s="10" t="s">
        <v>32851</v>
      </c>
      <c r="H5274" s="11" t="s">
        <v>31</v>
      </c>
      <c r="I5274" s="11">
        <v>1.0</v>
      </c>
      <c r="J5274" s="11">
        <v>1.0</v>
      </c>
      <c r="K5274" s="11" t="s">
        <v>31</v>
      </c>
      <c r="L5274" s="12" t="s">
        <v>32852</v>
      </c>
      <c r="M5274" s="10" t="s">
        <v>32853</v>
      </c>
      <c r="N5274" s="10" t="s">
        <v>18812</v>
      </c>
      <c r="O5274" s="12" t="s">
        <v>18813</v>
      </c>
      <c r="P5274" s="10" t="s">
        <v>32807</v>
      </c>
      <c r="Q5274" s="10" t="s">
        <v>31367</v>
      </c>
      <c r="R5274" s="10" t="s">
        <v>18816</v>
      </c>
      <c r="S5274" s="12" t="s">
        <v>32808</v>
      </c>
      <c r="T5274" s="10" t="s">
        <v>66</v>
      </c>
      <c r="U5274" s="12" t="s">
        <v>31</v>
      </c>
      <c r="V5274" s="10" t="s">
        <v>4145</v>
      </c>
      <c r="W5274" s="10" t="s">
        <v>32803</v>
      </c>
      <c r="X5274" s="13" t="str">
        <f>HYPERLINK("https://my.pitchbook.com?p=195315-76P","View People Online")</f>
        <v>View People Online</v>
      </c>
    </row>
    <row r="5275">
      <c r="A5275" s="6" t="s">
        <v>32854</v>
      </c>
      <c r="B5275" s="6" t="s">
        <v>32855</v>
      </c>
      <c r="C5275" s="6" t="s">
        <v>2040</v>
      </c>
      <c r="D5275" s="6" t="s">
        <v>32856</v>
      </c>
      <c r="E5275" s="6" t="s">
        <v>32857</v>
      </c>
      <c r="F5275" s="6" t="s">
        <v>6567</v>
      </c>
      <c r="G5275" s="6" t="s">
        <v>32858</v>
      </c>
      <c r="H5275" s="7" t="s">
        <v>31</v>
      </c>
      <c r="I5275" s="7">
        <v>1.0</v>
      </c>
      <c r="J5275" s="7">
        <v>1.0</v>
      </c>
      <c r="K5275" s="7" t="s">
        <v>31</v>
      </c>
      <c r="L5275" s="8" t="s">
        <v>32859</v>
      </c>
      <c r="M5275" s="6" t="s">
        <v>32860</v>
      </c>
      <c r="N5275" s="6" t="s">
        <v>32861</v>
      </c>
      <c r="O5275" s="8" t="s">
        <v>32862</v>
      </c>
      <c r="P5275" s="6" t="s">
        <v>32863</v>
      </c>
      <c r="Q5275" s="6" t="s">
        <v>31</v>
      </c>
      <c r="R5275" s="6" t="s">
        <v>15997</v>
      </c>
      <c r="S5275" s="8" t="s">
        <v>32864</v>
      </c>
      <c r="T5275" s="6" t="s">
        <v>1019</v>
      </c>
      <c r="U5275" s="8" t="s">
        <v>31</v>
      </c>
      <c r="V5275" s="6" t="s">
        <v>6567</v>
      </c>
      <c r="W5275" s="6" t="s">
        <v>32857</v>
      </c>
      <c r="X5275" s="9" t="str">
        <f>HYPERLINK("https://my.pitchbook.com?p=446484-43P","View People Online")</f>
        <v>View People Online</v>
      </c>
    </row>
    <row r="5276">
      <c r="A5276" s="2" t="s">
        <v>32865</v>
      </c>
      <c r="B5276" s="2" t="s">
        <v>32866</v>
      </c>
      <c r="C5276" s="2" t="s">
        <v>32867</v>
      </c>
      <c r="D5276" s="2" t="s">
        <v>32868</v>
      </c>
      <c r="E5276" s="2" t="s">
        <v>32857</v>
      </c>
      <c r="F5276" s="2" t="s">
        <v>371</v>
      </c>
      <c r="G5276" s="2" t="s">
        <v>32869</v>
      </c>
      <c r="H5276" s="3" t="s">
        <v>31</v>
      </c>
      <c r="I5276" s="3">
        <v>1.0</v>
      </c>
      <c r="J5276" s="3">
        <v>1.0</v>
      </c>
      <c r="K5276" s="3" t="s">
        <v>31</v>
      </c>
      <c r="L5276" s="4" t="s">
        <v>32859</v>
      </c>
      <c r="M5276" s="2" t="s">
        <v>32870</v>
      </c>
      <c r="N5276" s="2" t="s">
        <v>32861</v>
      </c>
      <c r="O5276" s="4" t="s">
        <v>32862</v>
      </c>
      <c r="P5276" s="2" t="s">
        <v>32863</v>
      </c>
      <c r="Q5276" s="2" t="s">
        <v>31</v>
      </c>
      <c r="R5276" s="2" t="s">
        <v>15997</v>
      </c>
      <c r="S5276" s="4" t="s">
        <v>32864</v>
      </c>
      <c r="T5276" s="2" t="s">
        <v>1019</v>
      </c>
      <c r="U5276" s="4" t="s">
        <v>31</v>
      </c>
      <c r="V5276" s="2" t="s">
        <v>32871</v>
      </c>
      <c r="W5276" s="2" t="s">
        <v>32857</v>
      </c>
      <c r="X5276" s="5" t="str">
        <f>HYPERLINK("https://my.pitchbook.com?p=376428-34P","View People Online")</f>
        <v>View People Online</v>
      </c>
    </row>
    <row r="5277">
      <c r="A5277" s="14" t="s">
        <v>32872</v>
      </c>
      <c r="B5277" s="14" t="s">
        <v>32873</v>
      </c>
      <c r="C5277" s="14" t="s">
        <v>1830</v>
      </c>
      <c r="D5277" s="14" t="s">
        <v>32874</v>
      </c>
      <c r="E5277" s="14" t="s">
        <v>32857</v>
      </c>
      <c r="F5277" s="14" t="s">
        <v>470</v>
      </c>
      <c r="G5277" s="14" t="s">
        <v>32875</v>
      </c>
      <c r="H5277" s="15" t="s">
        <v>31</v>
      </c>
      <c r="I5277" s="15">
        <v>1.0</v>
      </c>
      <c r="J5277" s="15">
        <v>1.0</v>
      </c>
      <c r="K5277" s="15" t="s">
        <v>31</v>
      </c>
      <c r="L5277" s="16" t="s">
        <v>32859</v>
      </c>
      <c r="M5277" s="14" t="s">
        <v>32876</v>
      </c>
      <c r="N5277" s="14" t="s">
        <v>32861</v>
      </c>
      <c r="O5277" s="16" t="s">
        <v>32862</v>
      </c>
      <c r="P5277" s="14" t="s">
        <v>32863</v>
      </c>
      <c r="Q5277" s="14" t="s">
        <v>31</v>
      </c>
      <c r="R5277" s="14" t="s">
        <v>15997</v>
      </c>
      <c r="S5277" s="16" t="s">
        <v>32864</v>
      </c>
      <c r="T5277" s="14" t="s">
        <v>1019</v>
      </c>
      <c r="U5277" s="16" t="s">
        <v>31</v>
      </c>
      <c r="V5277" s="14" t="s">
        <v>470</v>
      </c>
      <c r="W5277" s="14" t="s">
        <v>32857</v>
      </c>
      <c r="X5277" s="17" t="str">
        <f>HYPERLINK("https://my.pitchbook.com?p=219274-93P","View People Online")</f>
        <v>View People Online</v>
      </c>
    </row>
    <row r="5278">
      <c r="A5278" s="10" t="s">
        <v>32877</v>
      </c>
      <c r="B5278" s="10" t="s">
        <v>32878</v>
      </c>
      <c r="C5278" s="10" t="s">
        <v>2658</v>
      </c>
      <c r="D5278" s="10" t="s">
        <v>32879</v>
      </c>
      <c r="E5278" s="10" t="s">
        <v>32880</v>
      </c>
      <c r="F5278" s="10" t="s">
        <v>12225</v>
      </c>
      <c r="G5278" s="10" t="s">
        <v>32881</v>
      </c>
      <c r="H5278" s="11">
        <v>1.0</v>
      </c>
      <c r="I5278" s="11">
        <v>26.0</v>
      </c>
      <c r="J5278" s="11">
        <v>1.0</v>
      </c>
      <c r="K5278" s="11">
        <v>23.0</v>
      </c>
      <c r="L5278" s="12" t="s">
        <v>31</v>
      </c>
      <c r="M5278" s="10" t="s">
        <v>32882</v>
      </c>
      <c r="N5278" s="10" t="s">
        <v>465</v>
      </c>
      <c r="O5278" s="12" t="s">
        <v>466</v>
      </c>
      <c r="P5278" s="10" t="s">
        <v>32883</v>
      </c>
      <c r="Q5278" s="10" t="s">
        <v>31</v>
      </c>
      <c r="R5278" s="10" t="s">
        <v>31</v>
      </c>
      <c r="S5278" s="12" t="s">
        <v>32884</v>
      </c>
      <c r="T5278" s="10" t="s">
        <v>422</v>
      </c>
      <c r="U5278" s="12" t="s">
        <v>31</v>
      </c>
      <c r="V5278" s="10" t="s">
        <v>3930</v>
      </c>
      <c r="W5278" s="10" t="s">
        <v>32880</v>
      </c>
      <c r="X5278" s="13" t="str">
        <f>HYPERLINK("https://my.pitchbook.com?p=265627-18P","View People Online")</f>
        <v>View People Online</v>
      </c>
    </row>
    <row r="5279">
      <c r="A5279" s="14" t="s">
        <v>32885</v>
      </c>
      <c r="B5279" s="14" t="s">
        <v>32886</v>
      </c>
      <c r="C5279" s="14" t="s">
        <v>15489</v>
      </c>
      <c r="D5279" s="14" t="s">
        <v>32887</v>
      </c>
      <c r="E5279" s="14" t="s">
        <v>32880</v>
      </c>
      <c r="F5279" s="14" t="s">
        <v>1167</v>
      </c>
      <c r="G5279" s="14" t="s">
        <v>32888</v>
      </c>
      <c r="H5279" s="15" t="s">
        <v>31</v>
      </c>
      <c r="I5279" s="15">
        <v>3.0</v>
      </c>
      <c r="J5279" s="15">
        <v>1.0</v>
      </c>
      <c r="K5279" s="15">
        <v>1.0</v>
      </c>
      <c r="L5279" s="16" t="s">
        <v>31</v>
      </c>
      <c r="M5279" s="14" t="s">
        <v>32889</v>
      </c>
      <c r="N5279" s="14" t="s">
        <v>465</v>
      </c>
      <c r="O5279" s="16" t="s">
        <v>466</v>
      </c>
      <c r="P5279" s="14" t="s">
        <v>32883</v>
      </c>
      <c r="Q5279" s="14" t="s">
        <v>31</v>
      </c>
      <c r="R5279" s="14" t="s">
        <v>31</v>
      </c>
      <c r="S5279" s="16" t="s">
        <v>32884</v>
      </c>
      <c r="T5279" s="14" t="s">
        <v>422</v>
      </c>
      <c r="U5279" s="16" t="s">
        <v>31</v>
      </c>
      <c r="V5279" s="14" t="s">
        <v>991</v>
      </c>
      <c r="W5279" s="14" t="s">
        <v>32880</v>
      </c>
      <c r="X5279" s="17" t="str">
        <f>HYPERLINK("https://my.pitchbook.com?p=118557-01P","View People Online")</f>
        <v>View People Online</v>
      </c>
    </row>
    <row r="5280">
      <c r="A5280" s="10" t="s">
        <v>32890</v>
      </c>
      <c r="B5280" s="10" t="s">
        <v>32891</v>
      </c>
      <c r="C5280" s="10" t="s">
        <v>32892</v>
      </c>
      <c r="D5280" s="10" t="s">
        <v>32893</v>
      </c>
      <c r="E5280" s="10" t="s">
        <v>32880</v>
      </c>
      <c r="F5280" s="10" t="s">
        <v>32894</v>
      </c>
      <c r="G5280" s="10" t="s">
        <v>32895</v>
      </c>
      <c r="H5280" s="11">
        <v>3.0</v>
      </c>
      <c r="I5280" s="11">
        <v>3.0</v>
      </c>
      <c r="J5280" s="11">
        <v>1.0</v>
      </c>
      <c r="K5280" s="11" t="s">
        <v>31</v>
      </c>
      <c r="L5280" s="12" t="s">
        <v>31</v>
      </c>
      <c r="M5280" s="10" t="s">
        <v>31</v>
      </c>
      <c r="N5280" s="10" t="s">
        <v>465</v>
      </c>
      <c r="O5280" s="12" t="s">
        <v>466</v>
      </c>
      <c r="P5280" s="10" t="s">
        <v>32883</v>
      </c>
      <c r="Q5280" s="10" t="s">
        <v>31</v>
      </c>
      <c r="R5280" s="10" t="s">
        <v>31</v>
      </c>
      <c r="S5280" s="12" t="s">
        <v>32884</v>
      </c>
      <c r="T5280" s="10" t="s">
        <v>422</v>
      </c>
      <c r="U5280" s="12" t="s">
        <v>31</v>
      </c>
      <c r="V5280" s="10" t="s">
        <v>32894</v>
      </c>
      <c r="W5280" s="10" t="s">
        <v>32880</v>
      </c>
      <c r="X5280" s="13" t="str">
        <f>HYPERLINK("https://my.pitchbook.com?p=62451-01P","View People Online")</f>
        <v>View People Online</v>
      </c>
    </row>
    <row r="5281">
      <c r="A5281" s="6" t="s">
        <v>32896</v>
      </c>
      <c r="B5281" s="6" t="s">
        <v>32897</v>
      </c>
      <c r="C5281" s="6" t="s">
        <v>7476</v>
      </c>
      <c r="D5281" s="6" t="s">
        <v>32898</v>
      </c>
      <c r="E5281" s="6" t="s">
        <v>32899</v>
      </c>
      <c r="F5281" s="6" t="s">
        <v>270</v>
      </c>
      <c r="G5281" s="6" t="s">
        <v>32900</v>
      </c>
      <c r="H5281" s="7" t="s">
        <v>31</v>
      </c>
      <c r="I5281" s="7">
        <v>1.0</v>
      </c>
      <c r="J5281" s="7">
        <v>1.0</v>
      </c>
      <c r="K5281" s="7" t="s">
        <v>31</v>
      </c>
      <c r="L5281" s="8" t="s">
        <v>31</v>
      </c>
      <c r="M5281" s="6" t="s">
        <v>32901</v>
      </c>
      <c r="N5281" s="6" t="s">
        <v>1034</v>
      </c>
      <c r="O5281" s="8" t="s">
        <v>1035</v>
      </c>
      <c r="P5281" s="6" t="s">
        <v>32902</v>
      </c>
      <c r="Q5281" s="6" t="s">
        <v>32903</v>
      </c>
      <c r="R5281" s="6" t="s">
        <v>31</v>
      </c>
      <c r="S5281" s="8" t="s">
        <v>32904</v>
      </c>
      <c r="T5281" s="6" t="s">
        <v>1034</v>
      </c>
      <c r="U5281" s="8" t="s">
        <v>31</v>
      </c>
      <c r="V5281" s="6" t="s">
        <v>270</v>
      </c>
      <c r="W5281" s="6" t="s">
        <v>32899</v>
      </c>
      <c r="X5281" s="9" t="str">
        <f>HYPERLINK("https://my.pitchbook.com?p=286628-95P","View People Online")</f>
        <v>View People Online</v>
      </c>
    </row>
    <row r="5282">
      <c r="A5282" s="2" t="s">
        <v>32905</v>
      </c>
      <c r="B5282" s="2" t="s">
        <v>32906</v>
      </c>
      <c r="C5282" s="2" t="s">
        <v>541</v>
      </c>
      <c r="D5282" s="2" t="s">
        <v>32907</v>
      </c>
      <c r="E5282" s="2" t="s">
        <v>32899</v>
      </c>
      <c r="F5282" s="2" t="s">
        <v>81</v>
      </c>
      <c r="G5282" s="2" t="s">
        <v>32908</v>
      </c>
      <c r="H5282" s="3" t="s">
        <v>31</v>
      </c>
      <c r="I5282" s="3">
        <v>1.0</v>
      </c>
      <c r="J5282" s="3" t="s">
        <v>31</v>
      </c>
      <c r="K5282" s="3" t="s">
        <v>31</v>
      </c>
      <c r="L5282" s="4" t="s">
        <v>31</v>
      </c>
      <c r="M5282" s="2" t="s">
        <v>32909</v>
      </c>
      <c r="N5282" s="2" t="s">
        <v>1034</v>
      </c>
      <c r="O5282" s="4" t="s">
        <v>1035</v>
      </c>
      <c r="P5282" s="2" t="s">
        <v>32902</v>
      </c>
      <c r="Q5282" s="2" t="s">
        <v>32903</v>
      </c>
      <c r="R5282" s="2" t="s">
        <v>31</v>
      </c>
      <c r="S5282" s="4" t="s">
        <v>32904</v>
      </c>
      <c r="T5282" s="2" t="s">
        <v>1034</v>
      </c>
      <c r="U5282" s="4" t="s">
        <v>31</v>
      </c>
      <c r="V5282" s="2" t="s">
        <v>32910</v>
      </c>
      <c r="W5282" s="2" t="s">
        <v>32899</v>
      </c>
      <c r="X5282" s="5" t="str">
        <f>HYPERLINK("https://my.pitchbook.com?p=286629-13P","View People Online")</f>
        <v>View People Online</v>
      </c>
    </row>
    <row r="5283">
      <c r="A5283" s="14" t="s">
        <v>32911</v>
      </c>
      <c r="B5283" s="14" t="s">
        <v>32912</v>
      </c>
      <c r="C5283" s="14" t="s">
        <v>9645</v>
      </c>
      <c r="D5283" s="14" t="s">
        <v>32913</v>
      </c>
      <c r="E5283" s="14" t="s">
        <v>32899</v>
      </c>
      <c r="F5283" s="14" t="s">
        <v>270</v>
      </c>
      <c r="G5283" s="14" t="s">
        <v>32914</v>
      </c>
      <c r="H5283" s="15" t="s">
        <v>31</v>
      </c>
      <c r="I5283" s="15">
        <v>1.0</v>
      </c>
      <c r="J5283" s="15">
        <v>1.0</v>
      </c>
      <c r="K5283" s="15" t="s">
        <v>31</v>
      </c>
      <c r="L5283" s="16" t="s">
        <v>31</v>
      </c>
      <c r="M5283" s="14" t="s">
        <v>32915</v>
      </c>
      <c r="N5283" s="14" t="s">
        <v>1034</v>
      </c>
      <c r="O5283" s="16" t="s">
        <v>1035</v>
      </c>
      <c r="P5283" s="14" t="s">
        <v>32902</v>
      </c>
      <c r="Q5283" s="14" t="s">
        <v>32903</v>
      </c>
      <c r="R5283" s="14" t="s">
        <v>31</v>
      </c>
      <c r="S5283" s="16" t="s">
        <v>32904</v>
      </c>
      <c r="T5283" s="14" t="s">
        <v>1034</v>
      </c>
      <c r="U5283" s="16" t="s">
        <v>31</v>
      </c>
      <c r="V5283" s="14" t="s">
        <v>270</v>
      </c>
      <c r="W5283" s="14" t="s">
        <v>32899</v>
      </c>
      <c r="X5283" s="17" t="str">
        <f>HYPERLINK("https://my.pitchbook.com?p=286629-04P","View People Online")</f>
        <v>View People Online</v>
      </c>
    </row>
    <row r="5284">
      <c r="A5284" s="2" t="s">
        <v>32916</v>
      </c>
      <c r="B5284" s="2" t="s">
        <v>32917</v>
      </c>
      <c r="C5284" s="2" t="s">
        <v>7413</v>
      </c>
      <c r="D5284" s="2" t="s">
        <v>32918</v>
      </c>
      <c r="E5284" s="2" t="s">
        <v>32919</v>
      </c>
      <c r="F5284" s="2" t="s">
        <v>2156</v>
      </c>
      <c r="G5284" s="2" t="s">
        <v>32920</v>
      </c>
      <c r="H5284" s="3" t="s">
        <v>31</v>
      </c>
      <c r="I5284" s="3">
        <v>1.0</v>
      </c>
      <c r="J5284" s="3">
        <v>1.0</v>
      </c>
      <c r="K5284" s="3" t="s">
        <v>31</v>
      </c>
      <c r="L5284" s="4" t="s">
        <v>31</v>
      </c>
      <c r="M5284" s="2" t="s">
        <v>32921</v>
      </c>
      <c r="N5284" s="2" t="s">
        <v>794</v>
      </c>
      <c r="O5284" s="4" t="s">
        <v>795</v>
      </c>
      <c r="P5284" s="2" t="s">
        <v>32922</v>
      </c>
      <c r="Q5284" s="2" t="s">
        <v>31</v>
      </c>
      <c r="R5284" s="2" t="s">
        <v>31</v>
      </c>
      <c r="S5284" s="4" t="s">
        <v>32923</v>
      </c>
      <c r="T5284" s="2" t="s">
        <v>796</v>
      </c>
      <c r="U5284" s="4" t="s">
        <v>31</v>
      </c>
      <c r="V5284" s="2" t="s">
        <v>2156</v>
      </c>
      <c r="W5284" s="2" t="s">
        <v>32919</v>
      </c>
      <c r="X5284" s="5" t="str">
        <f>HYPERLINK("https://my.pitchbook.com?p=338873-32P","View People Online")</f>
        <v>View People Online</v>
      </c>
    </row>
    <row r="5285">
      <c r="A5285" s="14" t="s">
        <v>32924</v>
      </c>
      <c r="B5285" s="14" t="s">
        <v>32925</v>
      </c>
      <c r="C5285" s="14" t="s">
        <v>32926</v>
      </c>
      <c r="D5285" s="14" t="s">
        <v>32927</v>
      </c>
      <c r="E5285" s="14" t="s">
        <v>32919</v>
      </c>
      <c r="F5285" s="14" t="s">
        <v>502</v>
      </c>
      <c r="G5285" s="14" t="s">
        <v>32928</v>
      </c>
      <c r="H5285" s="15" t="s">
        <v>31</v>
      </c>
      <c r="I5285" s="15">
        <v>1.0</v>
      </c>
      <c r="J5285" s="15">
        <v>1.0</v>
      </c>
      <c r="K5285" s="15" t="s">
        <v>31</v>
      </c>
      <c r="L5285" s="16" t="s">
        <v>31</v>
      </c>
      <c r="M5285" s="14" t="s">
        <v>32929</v>
      </c>
      <c r="N5285" s="14" t="s">
        <v>794</v>
      </c>
      <c r="O5285" s="16" t="s">
        <v>795</v>
      </c>
      <c r="P5285" s="14" t="s">
        <v>32922</v>
      </c>
      <c r="Q5285" s="14" t="s">
        <v>31</v>
      </c>
      <c r="R5285" s="14" t="s">
        <v>31</v>
      </c>
      <c r="S5285" s="16" t="s">
        <v>32923</v>
      </c>
      <c r="T5285" s="14" t="s">
        <v>796</v>
      </c>
      <c r="U5285" s="16" t="s">
        <v>31</v>
      </c>
      <c r="V5285" s="14" t="s">
        <v>502</v>
      </c>
      <c r="W5285" s="14" t="s">
        <v>32919</v>
      </c>
      <c r="X5285" s="17" t="str">
        <f>HYPERLINK("https://my.pitchbook.com?p=444491-92P","View People Online")</f>
        <v>View People Online</v>
      </c>
    </row>
    <row r="5286">
      <c r="A5286" s="2" t="s">
        <v>32930</v>
      </c>
      <c r="B5286" s="2" t="s">
        <v>32931</v>
      </c>
      <c r="C5286" s="2" t="s">
        <v>32932</v>
      </c>
      <c r="D5286" s="2" t="s">
        <v>32933</v>
      </c>
      <c r="E5286" s="2" t="s">
        <v>32919</v>
      </c>
      <c r="F5286" s="2" t="s">
        <v>5206</v>
      </c>
      <c r="G5286" s="2" t="s">
        <v>32934</v>
      </c>
      <c r="H5286" s="3" t="s">
        <v>31</v>
      </c>
      <c r="I5286" s="3">
        <v>3.0</v>
      </c>
      <c r="J5286" s="3">
        <v>1.0</v>
      </c>
      <c r="K5286" s="3">
        <v>2.0</v>
      </c>
      <c r="L5286" s="4" t="s">
        <v>32935</v>
      </c>
      <c r="M5286" s="2" t="s">
        <v>32936</v>
      </c>
      <c r="N5286" s="2" t="s">
        <v>3100</v>
      </c>
      <c r="O5286" s="4" t="s">
        <v>3101</v>
      </c>
      <c r="P5286" s="2" t="s">
        <v>32937</v>
      </c>
      <c r="Q5286" s="2" t="s">
        <v>31</v>
      </c>
      <c r="R5286" s="2" t="s">
        <v>31</v>
      </c>
      <c r="S5286" s="4" t="s">
        <v>32938</v>
      </c>
      <c r="T5286" s="2" t="s">
        <v>3104</v>
      </c>
      <c r="U5286" s="4" t="s">
        <v>31</v>
      </c>
      <c r="V5286" s="2" t="s">
        <v>32939</v>
      </c>
      <c r="W5286" s="2" t="s">
        <v>32919</v>
      </c>
      <c r="X5286" s="5" t="str">
        <f>HYPERLINK("https://my.pitchbook.com?p=238966-57P","View People Online")</f>
        <v>View People Online</v>
      </c>
    </row>
    <row r="5287">
      <c r="A5287" s="14" t="s">
        <v>32940</v>
      </c>
      <c r="B5287" s="14" t="s">
        <v>32941</v>
      </c>
      <c r="C5287" s="14" t="s">
        <v>32942</v>
      </c>
      <c r="D5287" s="14" t="s">
        <v>32943</v>
      </c>
      <c r="E5287" s="14" t="s">
        <v>32919</v>
      </c>
      <c r="F5287" s="14" t="s">
        <v>78</v>
      </c>
      <c r="G5287" s="14" t="s">
        <v>32944</v>
      </c>
      <c r="H5287" s="15" t="s">
        <v>31</v>
      </c>
      <c r="I5287" s="15">
        <v>1.0</v>
      </c>
      <c r="J5287" s="15">
        <v>1.0</v>
      </c>
      <c r="K5287" s="15" t="s">
        <v>31</v>
      </c>
      <c r="L5287" s="16" t="s">
        <v>31</v>
      </c>
      <c r="M5287" s="14" t="s">
        <v>32945</v>
      </c>
      <c r="N5287" s="14" t="s">
        <v>794</v>
      </c>
      <c r="O5287" s="16" t="s">
        <v>795</v>
      </c>
      <c r="P5287" s="14" t="s">
        <v>32922</v>
      </c>
      <c r="Q5287" s="14" t="s">
        <v>31</v>
      </c>
      <c r="R5287" s="14" t="s">
        <v>31</v>
      </c>
      <c r="S5287" s="16" t="s">
        <v>32923</v>
      </c>
      <c r="T5287" s="14" t="s">
        <v>796</v>
      </c>
      <c r="U5287" s="16" t="s">
        <v>31</v>
      </c>
      <c r="V5287" s="14" t="s">
        <v>78</v>
      </c>
      <c r="W5287" s="14" t="s">
        <v>32919</v>
      </c>
      <c r="X5287" s="17" t="str">
        <f>HYPERLINK("https://my.pitchbook.com?p=179356-15P","View People Online")</f>
        <v>View People Online</v>
      </c>
    </row>
    <row r="5288">
      <c r="A5288" s="10" t="s">
        <v>32946</v>
      </c>
      <c r="B5288" s="10" t="s">
        <v>32947</v>
      </c>
      <c r="C5288" s="10" t="s">
        <v>32948</v>
      </c>
      <c r="D5288" s="10" t="s">
        <v>32949</v>
      </c>
      <c r="E5288" s="10" t="s">
        <v>32919</v>
      </c>
      <c r="F5288" s="10" t="s">
        <v>3710</v>
      </c>
      <c r="G5288" s="10" t="s">
        <v>32950</v>
      </c>
      <c r="H5288" s="11" t="s">
        <v>31</v>
      </c>
      <c r="I5288" s="11">
        <v>1.0</v>
      </c>
      <c r="J5288" s="11">
        <v>1.0</v>
      </c>
      <c r="K5288" s="11" t="s">
        <v>31</v>
      </c>
      <c r="L5288" s="12" t="s">
        <v>31</v>
      </c>
      <c r="M5288" s="10" t="s">
        <v>32951</v>
      </c>
      <c r="N5288" s="10" t="s">
        <v>794</v>
      </c>
      <c r="O5288" s="12" t="s">
        <v>795</v>
      </c>
      <c r="P5288" s="10" t="s">
        <v>32922</v>
      </c>
      <c r="Q5288" s="10" t="s">
        <v>31</v>
      </c>
      <c r="R5288" s="10" t="s">
        <v>31</v>
      </c>
      <c r="S5288" s="12" t="s">
        <v>32923</v>
      </c>
      <c r="T5288" s="10" t="s">
        <v>796</v>
      </c>
      <c r="U5288" s="12" t="s">
        <v>31</v>
      </c>
      <c r="V5288" s="10" t="s">
        <v>3710</v>
      </c>
      <c r="W5288" s="10" t="s">
        <v>32919</v>
      </c>
      <c r="X5288" s="13" t="str">
        <f>HYPERLINK("https://my.pitchbook.com?p=408206-17P","View People Online")</f>
        <v>View People Online</v>
      </c>
    </row>
    <row r="5289">
      <c r="A5289" s="6" t="s">
        <v>32952</v>
      </c>
      <c r="B5289" s="6" t="s">
        <v>32953</v>
      </c>
      <c r="C5289" s="6" t="s">
        <v>4444</v>
      </c>
      <c r="D5289" s="6" t="s">
        <v>32954</v>
      </c>
      <c r="E5289" s="6" t="s">
        <v>32919</v>
      </c>
      <c r="F5289" s="6" t="s">
        <v>470</v>
      </c>
      <c r="G5289" s="6" t="s">
        <v>32955</v>
      </c>
      <c r="H5289" s="7">
        <v>1.0</v>
      </c>
      <c r="I5289" s="7">
        <v>2.0</v>
      </c>
      <c r="J5289" s="7">
        <v>1.0</v>
      </c>
      <c r="K5289" s="7" t="s">
        <v>31</v>
      </c>
      <c r="L5289" s="8" t="s">
        <v>32956</v>
      </c>
      <c r="M5289" s="6" t="s">
        <v>32957</v>
      </c>
      <c r="N5289" s="6" t="s">
        <v>243</v>
      </c>
      <c r="O5289" s="8" t="s">
        <v>244</v>
      </c>
      <c r="P5289" s="6" t="s">
        <v>32958</v>
      </c>
      <c r="Q5289" s="6" t="s">
        <v>31</v>
      </c>
      <c r="R5289" s="6" t="s">
        <v>247</v>
      </c>
      <c r="S5289" s="8" t="s">
        <v>32959</v>
      </c>
      <c r="T5289" s="6" t="s">
        <v>249</v>
      </c>
      <c r="U5289" s="8" t="s">
        <v>31</v>
      </c>
      <c r="V5289" s="6" t="s">
        <v>470</v>
      </c>
      <c r="W5289" s="6" t="s">
        <v>32919</v>
      </c>
      <c r="X5289" s="9" t="str">
        <f>HYPERLINK("https://my.pitchbook.com?p=191868-58P","View People Online")</f>
        <v>View People Online</v>
      </c>
    </row>
    <row r="5290">
      <c r="A5290" s="2" t="s">
        <v>32960</v>
      </c>
      <c r="B5290" s="2" t="s">
        <v>32961</v>
      </c>
      <c r="C5290" s="2" t="s">
        <v>9293</v>
      </c>
      <c r="D5290" s="2" t="s">
        <v>9571</v>
      </c>
      <c r="E5290" s="2" t="s">
        <v>32962</v>
      </c>
      <c r="F5290" s="2" t="s">
        <v>29</v>
      </c>
      <c r="G5290" s="2" t="s">
        <v>32963</v>
      </c>
      <c r="H5290" s="3" t="s">
        <v>31</v>
      </c>
      <c r="I5290" s="3">
        <v>4.0</v>
      </c>
      <c r="J5290" s="3">
        <v>1.0</v>
      </c>
      <c r="K5290" s="3">
        <v>2.0</v>
      </c>
      <c r="L5290" s="4" t="s">
        <v>32964</v>
      </c>
      <c r="M5290" s="2" t="s">
        <v>32965</v>
      </c>
      <c r="N5290" s="2" t="s">
        <v>32966</v>
      </c>
      <c r="O5290" s="4" t="s">
        <v>32967</v>
      </c>
      <c r="P5290" s="2" t="s">
        <v>32968</v>
      </c>
      <c r="Q5290" s="2" t="s">
        <v>32969</v>
      </c>
      <c r="R5290" s="2" t="s">
        <v>64</v>
      </c>
      <c r="S5290" s="4" t="s">
        <v>32970</v>
      </c>
      <c r="T5290" s="2" t="s">
        <v>66</v>
      </c>
      <c r="U5290" s="4" t="s">
        <v>31</v>
      </c>
      <c r="V5290" s="2" t="s">
        <v>29</v>
      </c>
      <c r="W5290" s="2" t="s">
        <v>32962</v>
      </c>
      <c r="X5290" s="5" t="str">
        <f>HYPERLINK("https://my.pitchbook.com?p=327011-14P","View People Online")</f>
        <v>View People Online</v>
      </c>
    </row>
    <row r="5291">
      <c r="A5291" s="14" t="s">
        <v>32971</v>
      </c>
      <c r="B5291" s="14" t="s">
        <v>32972</v>
      </c>
      <c r="C5291" s="14" t="s">
        <v>1449</v>
      </c>
      <c r="D5291" s="14" t="s">
        <v>32973</v>
      </c>
      <c r="E5291" s="14" t="s">
        <v>32962</v>
      </c>
      <c r="F5291" s="14" t="s">
        <v>57</v>
      </c>
      <c r="G5291" s="14" t="s">
        <v>32974</v>
      </c>
      <c r="H5291" s="15">
        <v>3.0</v>
      </c>
      <c r="I5291" s="15">
        <v>18.0</v>
      </c>
      <c r="J5291" s="15">
        <v>2.0</v>
      </c>
      <c r="K5291" s="15">
        <v>11.0</v>
      </c>
      <c r="L5291" s="16" t="s">
        <v>32964</v>
      </c>
      <c r="M5291" s="14" t="s">
        <v>32975</v>
      </c>
      <c r="N5291" s="14" t="s">
        <v>32966</v>
      </c>
      <c r="O5291" s="16" t="s">
        <v>32967</v>
      </c>
      <c r="P5291" s="14" t="s">
        <v>32968</v>
      </c>
      <c r="Q5291" s="14" t="s">
        <v>32969</v>
      </c>
      <c r="R5291" s="14" t="s">
        <v>64</v>
      </c>
      <c r="S5291" s="16" t="s">
        <v>32970</v>
      </c>
      <c r="T5291" s="14" t="s">
        <v>66</v>
      </c>
      <c r="U5291" s="16" t="s">
        <v>31</v>
      </c>
      <c r="V5291" s="14" t="s">
        <v>57</v>
      </c>
      <c r="W5291" s="14" t="s">
        <v>32962</v>
      </c>
      <c r="X5291" s="17" t="str">
        <f>HYPERLINK("https://my.pitchbook.com?p=87348-52P","View People Online")</f>
        <v>View People Online</v>
      </c>
    </row>
    <row r="5292">
      <c r="A5292" s="10" t="s">
        <v>32976</v>
      </c>
      <c r="B5292" s="10" t="s">
        <v>32977</v>
      </c>
      <c r="C5292" s="10" t="s">
        <v>13342</v>
      </c>
      <c r="D5292" s="10" t="s">
        <v>25901</v>
      </c>
      <c r="E5292" s="10" t="s">
        <v>32978</v>
      </c>
      <c r="F5292" s="10" t="s">
        <v>548</v>
      </c>
      <c r="G5292" s="10" t="s">
        <v>32979</v>
      </c>
      <c r="H5292" s="11" t="s">
        <v>31</v>
      </c>
      <c r="I5292" s="11">
        <v>1.0</v>
      </c>
      <c r="J5292" s="11">
        <v>1.0</v>
      </c>
      <c r="K5292" s="11" t="s">
        <v>31</v>
      </c>
      <c r="L5292" s="12" t="s">
        <v>31</v>
      </c>
      <c r="M5292" s="10" t="s">
        <v>32980</v>
      </c>
      <c r="N5292" s="10" t="s">
        <v>775</v>
      </c>
      <c r="O5292" s="12" t="s">
        <v>776</v>
      </c>
      <c r="P5292" s="10" t="s">
        <v>7157</v>
      </c>
      <c r="Q5292" s="10" t="s">
        <v>32981</v>
      </c>
      <c r="R5292" s="10" t="s">
        <v>64</v>
      </c>
      <c r="S5292" s="12" t="s">
        <v>779</v>
      </c>
      <c r="T5292" s="10" t="s">
        <v>66</v>
      </c>
      <c r="U5292" s="12" t="s">
        <v>31</v>
      </c>
      <c r="V5292" s="10" t="s">
        <v>32982</v>
      </c>
      <c r="W5292" s="10" t="s">
        <v>32978</v>
      </c>
      <c r="X5292" s="13" t="str">
        <f>HYPERLINK("https://my.pitchbook.com?p=397272-79P","View People Online")</f>
        <v>View People Online</v>
      </c>
    </row>
    <row r="5293">
      <c r="A5293" s="14" t="s">
        <v>32983</v>
      </c>
      <c r="B5293" s="14" t="s">
        <v>32984</v>
      </c>
      <c r="C5293" s="14" t="s">
        <v>25787</v>
      </c>
      <c r="D5293" s="14" t="s">
        <v>32985</v>
      </c>
      <c r="E5293" s="14" t="s">
        <v>32978</v>
      </c>
      <c r="F5293" s="14" t="s">
        <v>3600</v>
      </c>
      <c r="G5293" s="14" t="s">
        <v>32986</v>
      </c>
      <c r="H5293" s="15" t="s">
        <v>31</v>
      </c>
      <c r="I5293" s="15">
        <v>1.0</v>
      </c>
      <c r="J5293" s="15">
        <v>1.0</v>
      </c>
      <c r="K5293" s="15" t="s">
        <v>31</v>
      </c>
      <c r="L5293" s="16" t="s">
        <v>31</v>
      </c>
      <c r="M5293" s="14" t="s">
        <v>32987</v>
      </c>
      <c r="N5293" s="14" t="s">
        <v>775</v>
      </c>
      <c r="O5293" s="16" t="s">
        <v>776</v>
      </c>
      <c r="P5293" s="14" t="s">
        <v>7157</v>
      </c>
      <c r="Q5293" s="14" t="s">
        <v>32981</v>
      </c>
      <c r="R5293" s="14" t="s">
        <v>64</v>
      </c>
      <c r="S5293" s="16" t="s">
        <v>779</v>
      </c>
      <c r="T5293" s="14" t="s">
        <v>66</v>
      </c>
      <c r="U5293" s="16" t="s">
        <v>31</v>
      </c>
      <c r="V5293" s="14" t="s">
        <v>32988</v>
      </c>
      <c r="W5293" s="14" t="s">
        <v>32978</v>
      </c>
      <c r="X5293" s="17" t="str">
        <f>HYPERLINK("https://my.pitchbook.com?p=158009-95P","View People Online")</f>
        <v>View People Online</v>
      </c>
    </row>
    <row r="5294">
      <c r="A5294" s="2" t="s">
        <v>32989</v>
      </c>
      <c r="B5294" s="2" t="s">
        <v>32990</v>
      </c>
      <c r="C5294" s="2" t="s">
        <v>4731</v>
      </c>
      <c r="D5294" s="2" t="s">
        <v>32991</v>
      </c>
      <c r="E5294" s="2" t="s">
        <v>32978</v>
      </c>
      <c r="F5294" s="2" t="s">
        <v>1283</v>
      </c>
      <c r="G5294" s="2" t="s">
        <v>32992</v>
      </c>
      <c r="H5294" s="3" t="s">
        <v>31</v>
      </c>
      <c r="I5294" s="3">
        <v>1.0</v>
      </c>
      <c r="J5294" s="3">
        <v>1.0</v>
      </c>
      <c r="K5294" s="3" t="s">
        <v>31</v>
      </c>
      <c r="L5294" s="4" t="s">
        <v>31</v>
      </c>
      <c r="M5294" s="2" t="s">
        <v>32993</v>
      </c>
      <c r="N5294" s="2" t="s">
        <v>775</v>
      </c>
      <c r="O5294" s="4" t="s">
        <v>776</v>
      </c>
      <c r="P5294" s="2" t="s">
        <v>7157</v>
      </c>
      <c r="Q5294" s="2" t="s">
        <v>32981</v>
      </c>
      <c r="R5294" s="2" t="s">
        <v>64</v>
      </c>
      <c r="S5294" s="4" t="s">
        <v>779</v>
      </c>
      <c r="T5294" s="2" t="s">
        <v>66</v>
      </c>
      <c r="U5294" s="4" t="s">
        <v>31</v>
      </c>
      <c r="V5294" s="2" t="s">
        <v>32994</v>
      </c>
      <c r="W5294" s="2" t="s">
        <v>32978</v>
      </c>
      <c r="X5294" s="5" t="str">
        <f>HYPERLINK("https://my.pitchbook.com?p=158014-90P","View People Online")</f>
        <v>View People Online</v>
      </c>
    </row>
    <row r="5295">
      <c r="A5295" s="14" t="s">
        <v>32995</v>
      </c>
      <c r="B5295" s="14" t="s">
        <v>32996</v>
      </c>
      <c r="C5295" s="14" t="s">
        <v>10162</v>
      </c>
      <c r="D5295" s="14" t="s">
        <v>32997</v>
      </c>
      <c r="E5295" s="14" t="s">
        <v>32978</v>
      </c>
      <c r="F5295" s="14" t="s">
        <v>1283</v>
      </c>
      <c r="G5295" s="14" t="s">
        <v>32998</v>
      </c>
      <c r="H5295" s="15">
        <v>1.0</v>
      </c>
      <c r="I5295" s="15">
        <v>3.0</v>
      </c>
      <c r="J5295" s="15">
        <v>2.0</v>
      </c>
      <c r="K5295" s="15" t="s">
        <v>31</v>
      </c>
      <c r="L5295" s="16" t="s">
        <v>32999</v>
      </c>
      <c r="M5295" s="14" t="s">
        <v>33000</v>
      </c>
      <c r="N5295" s="14" t="s">
        <v>775</v>
      </c>
      <c r="O5295" s="16" t="s">
        <v>776</v>
      </c>
      <c r="P5295" s="14" t="s">
        <v>7157</v>
      </c>
      <c r="Q5295" s="14" t="s">
        <v>32981</v>
      </c>
      <c r="R5295" s="14" t="s">
        <v>64</v>
      </c>
      <c r="S5295" s="16" t="s">
        <v>779</v>
      </c>
      <c r="T5295" s="14" t="s">
        <v>66</v>
      </c>
      <c r="U5295" s="16" t="s">
        <v>31</v>
      </c>
      <c r="V5295" s="14" t="s">
        <v>33001</v>
      </c>
      <c r="W5295" s="14" t="s">
        <v>32978</v>
      </c>
      <c r="X5295" s="17" t="str">
        <f>HYPERLINK("https://my.pitchbook.com?p=158007-70P","View People Online")</f>
        <v>View People Online</v>
      </c>
    </row>
    <row r="5296">
      <c r="A5296" s="2" t="s">
        <v>33002</v>
      </c>
      <c r="B5296" s="2" t="s">
        <v>33003</v>
      </c>
      <c r="C5296" s="2" t="s">
        <v>33004</v>
      </c>
      <c r="D5296" s="2" t="s">
        <v>33005</v>
      </c>
      <c r="E5296" s="2" t="s">
        <v>32978</v>
      </c>
      <c r="F5296" s="2" t="s">
        <v>548</v>
      </c>
      <c r="G5296" s="2" t="s">
        <v>33006</v>
      </c>
      <c r="H5296" s="3" t="s">
        <v>31</v>
      </c>
      <c r="I5296" s="3">
        <v>1.0</v>
      </c>
      <c r="J5296" s="3">
        <v>1.0</v>
      </c>
      <c r="K5296" s="3" t="s">
        <v>31</v>
      </c>
      <c r="L5296" s="4" t="s">
        <v>31</v>
      </c>
      <c r="M5296" s="2" t="s">
        <v>33007</v>
      </c>
      <c r="N5296" s="2" t="s">
        <v>775</v>
      </c>
      <c r="O5296" s="4" t="s">
        <v>776</v>
      </c>
      <c r="P5296" s="2" t="s">
        <v>7157</v>
      </c>
      <c r="Q5296" s="2" t="s">
        <v>32981</v>
      </c>
      <c r="R5296" s="2" t="s">
        <v>64</v>
      </c>
      <c r="S5296" s="4" t="s">
        <v>779</v>
      </c>
      <c r="T5296" s="2" t="s">
        <v>66</v>
      </c>
      <c r="U5296" s="4" t="s">
        <v>31</v>
      </c>
      <c r="V5296" s="2" t="s">
        <v>33008</v>
      </c>
      <c r="W5296" s="2" t="s">
        <v>32978</v>
      </c>
      <c r="X5296" s="5" t="str">
        <f>HYPERLINK("https://my.pitchbook.com?p=144096-49P","View People Online")</f>
        <v>View People Online</v>
      </c>
    </row>
    <row r="5297">
      <c r="A5297" s="14" t="s">
        <v>33009</v>
      </c>
      <c r="B5297" s="14" t="s">
        <v>33010</v>
      </c>
      <c r="C5297" s="14" t="s">
        <v>33011</v>
      </c>
      <c r="D5297" s="14" t="s">
        <v>33012</v>
      </c>
      <c r="E5297" s="14" t="s">
        <v>32978</v>
      </c>
      <c r="F5297" s="14" t="s">
        <v>3600</v>
      </c>
      <c r="G5297" s="14" t="s">
        <v>33013</v>
      </c>
      <c r="H5297" s="15" t="s">
        <v>31</v>
      </c>
      <c r="I5297" s="15">
        <v>1.0</v>
      </c>
      <c r="J5297" s="15">
        <v>1.0</v>
      </c>
      <c r="K5297" s="15" t="s">
        <v>31</v>
      </c>
      <c r="L5297" s="16" t="s">
        <v>31</v>
      </c>
      <c r="M5297" s="14" t="s">
        <v>33014</v>
      </c>
      <c r="N5297" s="14" t="s">
        <v>775</v>
      </c>
      <c r="O5297" s="16" t="s">
        <v>776</v>
      </c>
      <c r="P5297" s="14" t="s">
        <v>7157</v>
      </c>
      <c r="Q5297" s="14" t="s">
        <v>32981</v>
      </c>
      <c r="R5297" s="14" t="s">
        <v>64</v>
      </c>
      <c r="S5297" s="16" t="s">
        <v>779</v>
      </c>
      <c r="T5297" s="14" t="s">
        <v>66</v>
      </c>
      <c r="U5297" s="16" t="s">
        <v>31</v>
      </c>
      <c r="V5297" s="14" t="s">
        <v>33015</v>
      </c>
      <c r="W5297" s="14" t="s">
        <v>32978</v>
      </c>
      <c r="X5297" s="17" t="str">
        <f>HYPERLINK("https://my.pitchbook.com?p=158019-58P","View People Online")</f>
        <v>View People Online</v>
      </c>
    </row>
    <row r="5298">
      <c r="A5298" s="10" t="s">
        <v>33016</v>
      </c>
      <c r="B5298" s="10" t="s">
        <v>33017</v>
      </c>
      <c r="C5298" s="10" t="s">
        <v>33018</v>
      </c>
      <c r="D5298" s="10" t="s">
        <v>33019</v>
      </c>
      <c r="E5298" s="10" t="s">
        <v>32978</v>
      </c>
      <c r="F5298" s="10" t="s">
        <v>29</v>
      </c>
      <c r="G5298" s="10" t="s">
        <v>33020</v>
      </c>
      <c r="H5298" s="11" t="s">
        <v>31</v>
      </c>
      <c r="I5298" s="11">
        <v>4.0</v>
      </c>
      <c r="J5298" s="11">
        <v>2.0</v>
      </c>
      <c r="K5298" s="11">
        <v>1.0</v>
      </c>
      <c r="L5298" s="12" t="s">
        <v>33021</v>
      </c>
      <c r="M5298" s="10" t="s">
        <v>31</v>
      </c>
      <c r="N5298" s="10" t="s">
        <v>665</v>
      </c>
      <c r="O5298" s="12" t="s">
        <v>3857</v>
      </c>
      <c r="P5298" s="10" t="s">
        <v>33022</v>
      </c>
      <c r="Q5298" s="10" t="s">
        <v>29971</v>
      </c>
      <c r="R5298" s="10" t="s">
        <v>1420</v>
      </c>
      <c r="S5298" s="12" t="s">
        <v>23539</v>
      </c>
      <c r="T5298" s="10" t="s">
        <v>66</v>
      </c>
      <c r="U5298" s="12" t="s">
        <v>31</v>
      </c>
      <c r="V5298" s="10" t="s">
        <v>3665</v>
      </c>
      <c r="W5298" s="10" t="s">
        <v>33023</v>
      </c>
      <c r="X5298" s="13" t="str">
        <f>HYPERLINK("https://my.pitchbook.com?p=41219-47P","View People Online")</f>
        <v>View People Online</v>
      </c>
    </row>
    <row r="5299">
      <c r="A5299" s="6" t="s">
        <v>33024</v>
      </c>
      <c r="B5299" s="6" t="s">
        <v>33025</v>
      </c>
      <c r="C5299" s="6" t="s">
        <v>6306</v>
      </c>
      <c r="D5299" s="6" t="s">
        <v>5495</v>
      </c>
      <c r="E5299" s="6" t="s">
        <v>32978</v>
      </c>
      <c r="F5299" s="6" t="s">
        <v>1283</v>
      </c>
      <c r="G5299" s="6" t="s">
        <v>33026</v>
      </c>
      <c r="H5299" s="7">
        <v>2.0</v>
      </c>
      <c r="I5299" s="7">
        <v>4.0</v>
      </c>
      <c r="J5299" s="7">
        <v>1.0</v>
      </c>
      <c r="K5299" s="7">
        <v>1.0</v>
      </c>
      <c r="L5299" s="8" t="s">
        <v>31</v>
      </c>
      <c r="M5299" s="6" t="s">
        <v>33027</v>
      </c>
      <c r="N5299" s="6" t="s">
        <v>775</v>
      </c>
      <c r="O5299" s="8" t="s">
        <v>776</v>
      </c>
      <c r="P5299" s="6" t="s">
        <v>7157</v>
      </c>
      <c r="Q5299" s="6" t="s">
        <v>32981</v>
      </c>
      <c r="R5299" s="6" t="s">
        <v>64</v>
      </c>
      <c r="S5299" s="8" t="s">
        <v>779</v>
      </c>
      <c r="T5299" s="6" t="s">
        <v>66</v>
      </c>
      <c r="U5299" s="8" t="s">
        <v>31</v>
      </c>
      <c r="V5299" s="6" t="s">
        <v>33028</v>
      </c>
      <c r="W5299" s="6" t="s">
        <v>32978</v>
      </c>
      <c r="X5299" s="9" t="str">
        <f>HYPERLINK("https://my.pitchbook.com?p=158008-78P","View People Online")</f>
        <v>View People Online</v>
      </c>
    </row>
    <row r="5300">
      <c r="A5300" s="10" t="s">
        <v>33029</v>
      </c>
      <c r="B5300" s="10" t="s">
        <v>33030</v>
      </c>
      <c r="C5300" s="10" t="s">
        <v>4851</v>
      </c>
      <c r="D5300" s="10" t="s">
        <v>747</v>
      </c>
      <c r="E5300" s="10" t="s">
        <v>32978</v>
      </c>
      <c r="F5300" s="10" t="s">
        <v>1283</v>
      </c>
      <c r="G5300" s="10" t="s">
        <v>33031</v>
      </c>
      <c r="H5300" s="11">
        <v>1.0</v>
      </c>
      <c r="I5300" s="11">
        <v>8.0</v>
      </c>
      <c r="J5300" s="11">
        <v>2.0</v>
      </c>
      <c r="K5300" s="11">
        <v>5.0</v>
      </c>
      <c r="L5300" s="12" t="s">
        <v>31</v>
      </c>
      <c r="M5300" s="10" t="s">
        <v>31</v>
      </c>
      <c r="N5300" s="10" t="s">
        <v>33032</v>
      </c>
      <c r="O5300" s="12" t="s">
        <v>33033</v>
      </c>
      <c r="P5300" s="10" t="s">
        <v>31</v>
      </c>
      <c r="Q5300" s="10" t="s">
        <v>31</v>
      </c>
      <c r="R5300" s="10" t="s">
        <v>93</v>
      </c>
      <c r="S5300" s="12" t="s">
        <v>31</v>
      </c>
      <c r="T5300" s="10" t="s">
        <v>66</v>
      </c>
      <c r="U5300" s="12" t="s">
        <v>31</v>
      </c>
      <c r="V5300" s="10" t="s">
        <v>991</v>
      </c>
      <c r="W5300" s="10" t="s">
        <v>33034</v>
      </c>
      <c r="X5300" s="13" t="str">
        <f>HYPERLINK("https://my.pitchbook.com?p=75902-23P","View People Online")</f>
        <v>View People Online</v>
      </c>
    </row>
    <row r="5301">
      <c r="A5301" s="6" t="s">
        <v>33035</v>
      </c>
      <c r="B5301" s="6" t="s">
        <v>33036</v>
      </c>
      <c r="C5301" s="6" t="s">
        <v>33037</v>
      </c>
      <c r="D5301" s="6" t="s">
        <v>33038</v>
      </c>
      <c r="E5301" s="6" t="s">
        <v>32978</v>
      </c>
      <c r="F5301" s="6" t="s">
        <v>8217</v>
      </c>
      <c r="G5301" s="6" t="s">
        <v>33039</v>
      </c>
      <c r="H5301" s="7" t="s">
        <v>31</v>
      </c>
      <c r="I5301" s="7">
        <v>1.0</v>
      </c>
      <c r="J5301" s="7">
        <v>1.0</v>
      </c>
      <c r="K5301" s="7" t="s">
        <v>31</v>
      </c>
      <c r="L5301" s="8" t="s">
        <v>31</v>
      </c>
      <c r="M5301" s="6" t="s">
        <v>33040</v>
      </c>
      <c r="N5301" s="6" t="s">
        <v>775</v>
      </c>
      <c r="O5301" s="8" t="s">
        <v>776</v>
      </c>
      <c r="P5301" s="6" t="s">
        <v>7157</v>
      </c>
      <c r="Q5301" s="6" t="s">
        <v>32981</v>
      </c>
      <c r="R5301" s="6" t="s">
        <v>64</v>
      </c>
      <c r="S5301" s="8" t="s">
        <v>779</v>
      </c>
      <c r="T5301" s="6" t="s">
        <v>66</v>
      </c>
      <c r="U5301" s="8" t="s">
        <v>31</v>
      </c>
      <c r="V5301" s="6" t="s">
        <v>33041</v>
      </c>
      <c r="W5301" s="6" t="s">
        <v>32978</v>
      </c>
      <c r="X5301" s="9" t="str">
        <f>HYPERLINK("https://my.pitchbook.com?p=447388-39P","View People Online")</f>
        <v>View People Online</v>
      </c>
    </row>
    <row r="5302">
      <c r="A5302" s="10" t="s">
        <v>33042</v>
      </c>
      <c r="B5302" s="10" t="s">
        <v>33043</v>
      </c>
      <c r="C5302" s="10" t="s">
        <v>740</v>
      </c>
      <c r="D5302" s="10" t="s">
        <v>33044</v>
      </c>
      <c r="E5302" s="10" t="s">
        <v>32978</v>
      </c>
      <c r="F5302" s="10" t="s">
        <v>3710</v>
      </c>
      <c r="G5302" s="10" t="s">
        <v>33045</v>
      </c>
      <c r="H5302" s="11" t="s">
        <v>31</v>
      </c>
      <c r="I5302" s="11">
        <v>1.0</v>
      </c>
      <c r="J5302" s="11">
        <v>1.0</v>
      </c>
      <c r="K5302" s="11" t="s">
        <v>31</v>
      </c>
      <c r="L5302" s="12" t="s">
        <v>33046</v>
      </c>
      <c r="M5302" s="10" t="s">
        <v>33047</v>
      </c>
      <c r="N5302" s="10" t="s">
        <v>775</v>
      </c>
      <c r="O5302" s="12" t="s">
        <v>776</v>
      </c>
      <c r="P5302" s="10" t="s">
        <v>7157</v>
      </c>
      <c r="Q5302" s="10" t="s">
        <v>32981</v>
      </c>
      <c r="R5302" s="10" t="s">
        <v>64</v>
      </c>
      <c r="S5302" s="12" t="s">
        <v>779</v>
      </c>
      <c r="T5302" s="10" t="s">
        <v>66</v>
      </c>
      <c r="U5302" s="12" t="s">
        <v>33048</v>
      </c>
      <c r="V5302" s="10" t="s">
        <v>33049</v>
      </c>
      <c r="W5302" s="10" t="s">
        <v>32978</v>
      </c>
      <c r="X5302" s="13" t="str">
        <f>HYPERLINK("https://my.pitchbook.com?p=29239-66P","View People Online")</f>
        <v>View People Online</v>
      </c>
    </row>
    <row r="5303">
      <c r="A5303" s="6" t="s">
        <v>33050</v>
      </c>
      <c r="B5303" s="6" t="s">
        <v>33051</v>
      </c>
      <c r="C5303" s="6" t="s">
        <v>33052</v>
      </c>
      <c r="D5303" s="6" t="s">
        <v>33053</v>
      </c>
      <c r="E5303" s="6" t="s">
        <v>32978</v>
      </c>
      <c r="F5303" s="6" t="s">
        <v>896</v>
      </c>
      <c r="G5303" s="6" t="s">
        <v>33054</v>
      </c>
      <c r="H5303" s="7" t="s">
        <v>31</v>
      </c>
      <c r="I5303" s="7">
        <v>1.0</v>
      </c>
      <c r="J5303" s="7">
        <v>1.0</v>
      </c>
      <c r="K5303" s="7" t="s">
        <v>31</v>
      </c>
      <c r="L5303" s="8" t="s">
        <v>31</v>
      </c>
      <c r="M5303" s="6" t="s">
        <v>33055</v>
      </c>
      <c r="N5303" s="6" t="s">
        <v>775</v>
      </c>
      <c r="O5303" s="8" t="s">
        <v>776</v>
      </c>
      <c r="P5303" s="6" t="s">
        <v>7157</v>
      </c>
      <c r="Q5303" s="6" t="s">
        <v>32981</v>
      </c>
      <c r="R5303" s="6" t="s">
        <v>64</v>
      </c>
      <c r="S5303" s="8" t="s">
        <v>779</v>
      </c>
      <c r="T5303" s="6" t="s">
        <v>66</v>
      </c>
      <c r="U5303" s="8" t="s">
        <v>31</v>
      </c>
      <c r="V5303" s="6" t="s">
        <v>33056</v>
      </c>
      <c r="W5303" s="6" t="s">
        <v>32978</v>
      </c>
      <c r="X5303" s="9" t="str">
        <f>HYPERLINK("https://my.pitchbook.com?p=397274-32P","View People Online")</f>
        <v>View People Online</v>
      </c>
    </row>
    <row r="5304">
      <c r="A5304" s="2" t="s">
        <v>33057</v>
      </c>
      <c r="B5304" s="2" t="s">
        <v>33058</v>
      </c>
      <c r="C5304" s="2" t="s">
        <v>5602</v>
      </c>
      <c r="D5304" s="2" t="s">
        <v>33059</v>
      </c>
      <c r="E5304" s="2" t="s">
        <v>32978</v>
      </c>
      <c r="F5304" s="2" t="s">
        <v>1283</v>
      </c>
      <c r="G5304" s="2" t="s">
        <v>33060</v>
      </c>
      <c r="H5304" s="3" t="s">
        <v>31</v>
      </c>
      <c r="I5304" s="3">
        <v>1.0</v>
      </c>
      <c r="J5304" s="3">
        <v>1.0</v>
      </c>
      <c r="K5304" s="3" t="s">
        <v>31</v>
      </c>
      <c r="L5304" s="4" t="s">
        <v>31</v>
      </c>
      <c r="M5304" s="2" t="s">
        <v>33061</v>
      </c>
      <c r="N5304" s="2" t="s">
        <v>775</v>
      </c>
      <c r="O5304" s="4" t="s">
        <v>776</v>
      </c>
      <c r="P5304" s="2" t="s">
        <v>7157</v>
      </c>
      <c r="Q5304" s="2" t="s">
        <v>32981</v>
      </c>
      <c r="R5304" s="2" t="s">
        <v>64</v>
      </c>
      <c r="S5304" s="4" t="s">
        <v>779</v>
      </c>
      <c r="T5304" s="2" t="s">
        <v>66</v>
      </c>
      <c r="U5304" s="4" t="s">
        <v>31</v>
      </c>
      <c r="V5304" s="2" t="s">
        <v>33062</v>
      </c>
      <c r="W5304" s="2" t="s">
        <v>32978</v>
      </c>
      <c r="X5304" s="5" t="str">
        <f>HYPERLINK("https://my.pitchbook.com?p=334086-22P","View People Online")</f>
        <v>View People Online</v>
      </c>
    </row>
    <row r="5305">
      <c r="A5305" s="6" t="s">
        <v>33063</v>
      </c>
      <c r="B5305" s="6" t="s">
        <v>33064</v>
      </c>
      <c r="C5305" s="6" t="s">
        <v>15368</v>
      </c>
      <c r="D5305" s="6" t="s">
        <v>4190</v>
      </c>
      <c r="E5305" s="6" t="s">
        <v>32978</v>
      </c>
      <c r="F5305" s="6" t="s">
        <v>33065</v>
      </c>
      <c r="G5305" s="6" t="s">
        <v>33066</v>
      </c>
      <c r="H5305" s="7" t="s">
        <v>31</v>
      </c>
      <c r="I5305" s="7">
        <v>1.0</v>
      </c>
      <c r="J5305" s="7">
        <v>1.0</v>
      </c>
      <c r="K5305" s="7" t="s">
        <v>31</v>
      </c>
      <c r="L5305" s="8" t="s">
        <v>31</v>
      </c>
      <c r="M5305" s="6" t="s">
        <v>33067</v>
      </c>
      <c r="N5305" s="6" t="s">
        <v>775</v>
      </c>
      <c r="O5305" s="8" t="s">
        <v>776</v>
      </c>
      <c r="P5305" s="6" t="s">
        <v>7157</v>
      </c>
      <c r="Q5305" s="6" t="s">
        <v>32981</v>
      </c>
      <c r="R5305" s="6" t="s">
        <v>64</v>
      </c>
      <c r="S5305" s="8" t="s">
        <v>779</v>
      </c>
      <c r="T5305" s="6" t="s">
        <v>66</v>
      </c>
      <c r="U5305" s="8" t="s">
        <v>31</v>
      </c>
      <c r="V5305" s="6" t="s">
        <v>33065</v>
      </c>
      <c r="W5305" s="6" t="s">
        <v>32978</v>
      </c>
      <c r="X5305" s="9" t="str">
        <f>HYPERLINK("https://my.pitchbook.com?p=397272-16P","View People Online")</f>
        <v>View People Online</v>
      </c>
    </row>
    <row r="5306">
      <c r="A5306" s="10" t="s">
        <v>33068</v>
      </c>
      <c r="B5306" s="10" t="s">
        <v>33069</v>
      </c>
      <c r="C5306" s="10" t="s">
        <v>23683</v>
      </c>
      <c r="D5306" s="10" t="s">
        <v>20040</v>
      </c>
      <c r="E5306" s="10" t="s">
        <v>32978</v>
      </c>
      <c r="F5306" s="10" t="s">
        <v>1922</v>
      </c>
      <c r="G5306" s="10" t="s">
        <v>33070</v>
      </c>
      <c r="H5306" s="11" t="s">
        <v>31</v>
      </c>
      <c r="I5306" s="11">
        <v>1.0</v>
      </c>
      <c r="J5306" s="11">
        <v>1.0</v>
      </c>
      <c r="K5306" s="11" t="s">
        <v>31</v>
      </c>
      <c r="L5306" s="12" t="s">
        <v>31</v>
      </c>
      <c r="M5306" s="10" t="s">
        <v>33071</v>
      </c>
      <c r="N5306" s="10" t="s">
        <v>775</v>
      </c>
      <c r="O5306" s="12" t="s">
        <v>776</v>
      </c>
      <c r="P5306" s="10" t="s">
        <v>7157</v>
      </c>
      <c r="Q5306" s="10" t="s">
        <v>32981</v>
      </c>
      <c r="R5306" s="10" t="s">
        <v>64</v>
      </c>
      <c r="S5306" s="12" t="s">
        <v>779</v>
      </c>
      <c r="T5306" s="10" t="s">
        <v>66</v>
      </c>
      <c r="U5306" s="12" t="s">
        <v>31</v>
      </c>
      <c r="V5306" s="10" t="s">
        <v>33072</v>
      </c>
      <c r="W5306" s="10" t="s">
        <v>32978</v>
      </c>
      <c r="X5306" s="13" t="str">
        <f>HYPERLINK("https://my.pitchbook.com?p=192127-06P","View People Online")</f>
        <v>View People Online</v>
      </c>
    </row>
    <row r="5307">
      <c r="A5307" s="14" t="s">
        <v>33073</v>
      </c>
      <c r="B5307" s="14" t="s">
        <v>33074</v>
      </c>
      <c r="C5307" s="14" t="s">
        <v>4943</v>
      </c>
      <c r="D5307" s="14" t="s">
        <v>4135</v>
      </c>
      <c r="E5307" s="14" t="s">
        <v>32978</v>
      </c>
      <c r="F5307" s="14" t="s">
        <v>3600</v>
      </c>
      <c r="G5307" s="14" t="s">
        <v>33075</v>
      </c>
      <c r="H5307" s="15" t="s">
        <v>31</v>
      </c>
      <c r="I5307" s="15">
        <v>1.0</v>
      </c>
      <c r="J5307" s="15">
        <v>1.0</v>
      </c>
      <c r="K5307" s="15" t="s">
        <v>31</v>
      </c>
      <c r="L5307" s="16" t="s">
        <v>31</v>
      </c>
      <c r="M5307" s="14" t="s">
        <v>33076</v>
      </c>
      <c r="N5307" s="14" t="s">
        <v>775</v>
      </c>
      <c r="O5307" s="16" t="s">
        <v>776</v>
      </c>
      <c r="P5307" s="14" t="s">
        <v>7157</v>
      </c>
      <c r="Q5307" s="14" t="s">
        <v>32981</v>
      </c>
      <c r="R5307" s="14" t="s">
        <v>64</v>
      </c>
      <c r="S5307" s="16" t="s">
        <v>779</v>
      </c>
      <c r="T5307" s="14" t="s">
        <v>66</v>
      </c>
      <c r="U5307" s="16" t="s">
        <v>31</v>
      </c>
      <c r="V5307" s="14" t="s">
        <v>33077</v>
      </c>
      <c r="W5307" s="14" t="s">
        <v>32978</v>
      </c>
      <c r="X5307" s="17" t="str">
        <f>HYPERLINK("https://my.pitchbook.com?p=397271-17P","View People Online")</f>
        <v>View People Online</v>
      </c>
    </row>
    <row r="5308">
      <c r="A5308" s="10" t="s">
        <v>33078</v>
      </c>
      <c r="B5308" s="10" t="s">
        <v>33079</v>
      </c>
      <c r="C5308" s="10" t="s">
        <v>69</v>
      </c>
      <c r="D5308" s="10" t="s">
        <v>33080</v>
      </c>
      <c r="E5308" s="10" t="s">
        <v>32978</v>
      </c>
      <c r="F5308" s="10" t="s">
        <v>548</v>
      </c>
      <c r="G5308" s="10" t="s">
        <v>33081</v>
      </c>
      <c r="H5308" s="11" t="s">
        <v>31</v>
      </c>
      <c r="I5308" s="11">
        <v>1.0</v>
      </c>
      <c r="J5308" s="11">
        <v>1.0</v>
      </c>
      <c r="K5308" s="11" t="s">
        <v>31</v>
      </c>
      <c r="L5308" s="12" t="s">
        <v>31</v>
      </c>
      <c r="M5308" s="10" t="s">
        <v>33082</v>
      </c>
      <c r="N5308" s="10" t="s">
        <v>775</v>
      </c>
      <c r="O5308" s="12" t="s">
        <v>776</v>
      </c>
      <c r="P5308" s="10" t="s">
        <v>7157</v>
      </c>
      <c r="Q5308" s="10" t="s">
        <v>32981</v>
      </c>
      <c r="R5308" s="10" t="s">
        <v>64</v>
      </c>
      <c r="S5308" s="12" t="s">
        <v>779</v>
      </c>
      <c r="T5308" s="10" t="s">
        <v>66</v>
      </c>
      <c r="U5308" s="12" t="s">
        <v>31</v>
      </c>
      <c r="V5308" s="10" t="s">
        <v>33083</v>
      </c>
      <c r="W5308" s="10" t="s">
        <v>32978</v>
      </c>
      <c r="X5308" s="13" t="str">
        <f>HYPERLINK("https://my.pitchbook.com?p=287186-32P","View People Online")</f>
        <v>View People Online</v>
      </c>
    </row>
    <row r="5309">
      <c r="A5309" s="14" t="s">
        <v>33084</v>
      </c>
      <c r="B5309" s="14" t="s">
        <v>33085</v>
      </c>
      <c r="C5309" s="14" t="s">
        <v>69</v>
      </c>
      <c r="D5309" s="14" t="s">
        <v>33086</v>
      </c>
      <c r="E5309" s="14" t="s">
        <v>32978</v>
      </c>
      <c r="F5309" s="14" t="s">
        <v>1283</v>
      </c>
      <c r="G5309" s="14" t="s">
        <v>33087</v>
      </c>
      <c r="H5309" s="15">
        <v>1.0</v>
      </c>
      <c r="I5309" s="15">
        <v>2.0</v>
      </c>
      <c r="J5309" s="15">
        <v>1.0</v>
      </c>
      <c r="K5309" s="15" t="s">
        <v>31</v>
      </c>
      <c r="L5309" s="16" t="s">
        <v>31</v>
      </c>
      <c r="M5309" s="14" t="s">
        <v>33088</v>
      </c>
      <c r="N5309" s="14" t="s">
        <v>775</v>
      </c>
      <c r="O5309" s="16" t="s">
        <v>776</v>
      </c>
      <c r="P5309" s="14" t="s">
        <v>7157</v>
      </c>
      <c r="Q5309" s="14" t="s">
        <v>32981</v>
      </c>
      <c r="R5309" s="14" t="s">
        <v>64</v>
      </c>
      <c r="S5309" s="16" t="s">
        <v>779</v>
      </c>
      <c r="T5309" s="14" t="s">
        <v>66</v>
      </c>
      <c r="U5309" s="16" t="s">
        <v>31</v>
      </c>
      <c r="V5309" s="14" t="s">
        <v>33089</v>
      </c>
      <c r="W5309" s="14" t="s">
        <v>32978</v>
      </c>
      <c r="X5309" s="17" t="str">
        <f>HYPERLINK("https://my.pitchbook.com?p=205120-00P","View People Online")</f>
        <v>View People Online</v>
      </c>
    </row>
    <row r="5310">
      <c r="A5310" s="2" t="s">
        <v>33090</v>
      </c>
      <c r="B5310" s="2" t="s">
        <v>33091</v>
      </c>
      <c r="C5310" s="2" t="s">
        <v>33092</v>
      </c>
      <c r="D5310" s="2" t="s">
        <v>28047</v>
      </c>
      <c r="E5310" s="2" t="s">
        <v>32978</v>
      </c>
      <c r="F5310" s="2" t="s">
        <v>9692</v>
      </c>
      <c r="G5310" s="2" t="s">
        <v>33093</v>
      </c>
      <c r="H5310" s="3" t="s">
        <v>31</v>
      </c>
      <c r="I5310" s="3">
        <v>1.0</v>
      </c>
      <c r="J5310" s="3">
        <v>1.0</v>
      </c>
      <c r="K5310" s="3" t="s">
        <v>31</v>
      </c>
      <c r="L5310" s="4" t="s">
        <v>31</v>
      </c>
      <c r="M5310" s="2" t="s">
        <v>33094</v>
      </c>
      <c r="N5310" s="2" t="s">
        <v>775</v>
      </c>
      <c r="O5310" s="4" t="s">
        <v>776</v>
      </c>
      <c r="P5310" s="2" t="s">
        <v>7157</v>
      </c>
      <c r="Q5310" s="2" t="s">
        <v>32981</v>
      </c>
      <c r="R5310" s="2" t="s">
        <v>64</v>
      </c>
      <c r="S5310" s="4" t="s">
        <v>779</v>
      </c>
      <c r="T5310" s="2" t="s">
        <v>66</v>
      </c>
      <c r="U5310" s="4" t="s">
        <v>31</v>
      </c>
      <c r="V5310" s="2" t="s">
        <v>9692</v>
      </c>
      <c r="W5310" s="2" t="s">
        <v>32978</v>
      </c>
      <c r="X5310" s="5" t="str">
        <f>HYPERLINK("https://my.pitchbook.com?p=162894-88P","View People Online")</f>
        <v>View People Online</v>
      </c>
    </row>
    <row r="5311">
      <c r="A5311" s="6" t="s">
        <v>33095</v>
      </c>
      <c r="B5311" s="6" t="s">
        <v>33096</v>
      </c>
      <c r="C5311" s="6" t="s">
        <v>33097</v>
      </c>
      <c r="D5311" s="6" t="s">
        <v>4332</v>
      </c>
      <c r="E5311" s="6" t="s">
        <v>32978</v>
      </c>
      <c r="F5311" s="6" t="s">
        <v>825</v>
      </c>
      <c r="G5311" s="6" t="s">
        <v>33098</v>
      </c>
      <c r="H5311" s="7" t="s">
        <v>31</v>
      </c>
      <c r="I5311" s="7">
        <v>1.0</v>
      </c>
      <c r="J5311" s="7">
        <v>1.0</v>
      </c>
      <c r="K5311" s="7" t="s">
        <v>31</v>
      </c>
      <c r="L5311" s="8" t="s">
        <v>31</v>
      </c>
      <c r="M5311" s="6" t="s">
        <v>33099</v>
      </c>
      <c r="N5311" s="6" t="s">
        <v>775</v>
      </c>
      <c r="O5311" s="8" t="s">
        <v>776</v>
      </c>
      <c r="P5311" s="6" t="s">
        <v>7157</v>
      </c>
      <c r="Q5311" s="6" t="s">
        <v>32981</v>
      </c>
      <c r="R5311" s="6" t="s">
        <v>64</v>
      </c>
      <c r="S5311" s="8" t="s">
        <v>779</v>
      </c>
      <c r="T5311" s="6" t="s">
        <v>66</v>
      </c>
      <c r="U5311" s="8" t="s">
        <v>31</v>
      </c>
      <c r="V5311" s="6" t="s">
        <v>33100</v>
      </c>
      <c r="W5311" s="6" t="s">
        <v>32978</v>
      </c>
      <c r="X5311" s="9" t="str">
        <f>HYPERLINK("https://my.pitchbook.com?p=397273-78P","View People Online")</f>
        <v>View People Online</v>
      </c>
    </row>
    <row r="5312">
      <c r="A5312" s="2" t="s">
        <v>33101</v>
      </c>
      <c r="B5312" s="2" t="s">
        <v>33102</v>
      </c>
      <c r="C5312" s="2" t="s">
        <v>11244</v>
      </c>
      <c r="D5312" s="2" t="s">
        <v>4506</v>
      </c>
      <c r="E5312" s="2" t="s">
        <v>32978</v>
      </c>
      <c r="F5312" s="2" t="s">
        <v>33103</v>
      </c>
      <c r="G5312" s="2" t="s">
        <v>33104</v>
      </c>
      <c r="H5312" s="3" t="s">
        <v>31</v>
      </c>
      <c r="I5312" s="3">
        <v>1.0</v>
      </c>
      <c r="J5312" s="3">
        <v>1.0</v>
      </c>
      <c r="K5312" s="3" t="s">
        <v>31</v>
      </c>
      <c r="L5312" s="4" t="s">
        <v>31</v>
      </c>
      <c r="M5312" s="2" t="s">
        <v>33105</v>
      </c>
      <c r="N5312" s="2" t="s">
        <v>775</v>
      </c>
      <c r="O5312" s="4" t="s">
        <v>776</v>
      </c>
      <c r="P5312" s="2" t="s">
        <v>7157</v>
      </c>
      <c r="Q5312" s="2" t="s">
        <v>32981</v>
      </c>
      <c r="R5312" s="2" t="s">
        <v>64</v>
      </c>
      <c r="S5312" s="4" t="s">
        <v>779</v>
      </c>
      <c r="T5312" s="2" t="s">
        <v>66</v>
      </c>
      <c r="U5312" s="4" t="s">
        <v>31</v>
      </c>
      <c r="V5312" s="2" t="s">
        <v>33106</v>
      </c>
      <c r="W5312" s="2" t="s">
        <v>32978</v>
      </c>
      <c r="X5312" s="5" t="str">
        <f>HYPERLINK("https://my.pitchbook.com?p=158010-31P","View People Online")</f>
        <v>View People Online</v>
      </c>
    </row>
    <row r="5313">
      <c r="A5313" s="6" t="s">
        <v>33107</v>
      </c>
      <c r="B5313" s="6" t="s">
        <v>33108</v>
      </c>
      <c r="C5313" s="6" t="s">
        <v>1998</v>
      </c>
      <c r="D5313" s="6" t="s">
        <v>33109</v>
      </c>
      <c r="E5313" s="6" t="s">
        <v>32978</v>
      </c>
      <c r="F5313" s="6" t="s">
        <v>896</v>
      </c>
      <c r="G5313" s="6" t="s">
        <v>33110</v>
      </c>
      <c r="H5313" s="7" t="s">
        <v>31</v>
      </c>
      <c r="I5313" s="7">
        <v>1.0</v>
      </c>
      <c r="J5313" s="7">
        <v>1.0</v>
      </c>
      <c r="K5313" s="7" t="s">
        <v>31</v>
      </c>
      <c r="L5313" s="8" t="s">
        <v>31</v>
      </c>
      <c r="M5313" s="6" t="s">
        <v>33111</v>
      </c>
      <c r="N5313" s="6" t="s">
        <v>775</v>
      </c>
      <c r="O5313" s="8" t="s">
        <v>776</v>
      </c>
      <c r="P5313" s="6" t="s">
        <v>7157</v>
      </c>
      <c r="Q5313" s="6" t="s">
        <v>32981</v>
      </c>
      <c r="R5313" s="6" t="s">
        <v>64</v>
      </c>
      <c r="S5313" s="8" t="s">
        <v>779</v>
      </c>
      <c r="T5313" s="6" t="s">
        <v>66</v>
      </c>
      <c r="U5313" s="8" t="s">
        <v>31</v>
      </c>
      <c r="V5313" s="6" t="s">
        <v>33112</v>
      </c>
      <c r="W5313" s="6" t="s">
        <v>32978</v>
      </c>
      <c r="X5313" s="9" t="str">
        <f>HYPERLINK("https://my.pitchbook.com?p=334083-79P","View People Online")</f>
        <v>View People Online</v>
      </c>
    </row>
    <row r="5314">
      <c r="A5314" s="10" t="s">
        <v>33113</v>
      </c>
      <c r="B5314" s="10" t="s">
        <v>33114</v>
      </c>
      <c r="C5314" s="10" t="s">
        <v>33115</v>
      </c>
      <c r="D5314" s="10" t="s">
        <v>33116</v>
      </c>
      <c r="E5314" s="10" t="s">
        <v>32978</v>
      </c>
      <c r="F5314" s="10" t="s">
        <v>548</v>
      </c>
      <c r="G5314" s="10" t="s">
        <v>33117</v>
      </c>
      <c r="H5314" s="11" t="s">
        <v>31</v>
      </c>
      <c r="I5314" s="11">
        <v>1.0</v>
      </c>
      <c r="J5314" s="11">
        <v>1.0</v>
      </c>
      <c r="K5314" s="11" t="s">
        <v>31</v>
      </c>
      <c r="L5314" s="12" t="s">
        <v>31</v>
      </c>
      <c r="M5314" s="10" t="s">
        <v>33118</v>
      </c>
      <c r="N5314" s="10" t="s">
        <v>775</v>
      </c>
      <c r="O5314" s="12" t="s">
        <v>776</v>
      </c>
      <c r="P5314" s="10" t="s">
        <v>7157</v>
      </c>
      <c r="Q5314" s="10" t="s">
        <v>32981</v>
      </c>
      <c r="R5314" s="10" t="s">
        <v>64</v>
      </c>
      <c r="S5314" s="12" t="s">
        <v>779</v>
      </c>
      <c r="T5314" s="10" t="s">
        <v>66</v>
      </c>
      <c r="U5314" s="12" t="s">
        <v>31</v>
      </c>
      <c r="V5314" s="10" t="s">
        <v>33119</v>
      </c>
      <c r="W5314" s="10" t="s">
        <v>32978</v>
      </c>
      <c r="X5314" s="13" t="str">
        <f>HYPERLINK("https://my.pitchbook.com?p=334084-69P","View People Online")</f>
        <v>View People Online</v>
      </c>
    </row>
    <row r="5315">
      <c r="A5315" s="6" t="s">
        <v>33120</v>
      </c>
      <c r="B5315" s="6" t="s">
        <v>33121</v>
      </c>
      <c r="C5315" s="6" t="s">
        <v>1255</v>
      </c>
      <c r="D5315" s="6" t="s">
        <v>33122</v>
      </c>
      <c r="E5315" s="6" t="s">
        <v>32978</v>
      </c>
      <c r="F5315" s="6" t="s">
        <v>3600</v>
      </c>
      <c r="G5315" s="6" t="s">
        <v>33123</v>
      </c>
      <c r="H5315" s="7" t="s">
        <v>31</v>
      </c>
      <c r="I5315" s="7">
        <v>1.0</v>
      </c>
      <c r="J5315" s="7">
        <v>1.0</v>
      </c>
      <c r="K5315" s="7" t="s">
        <v>31</v>
      </c>
      <c r="L5315" s="8" t="s">
        <v>31</v>
      </c>
      <c r="M5315" s="6" t="s">
        <v>33124</v>
      </c>
      <c r="N5315" s="6" t="s">
        <v>775</v>
      </c>
      <c r="O5315" s="8" t="s">
        <v>776</v>
      </c>
      <c r="P5315" s="6" t="s">
        <v>7157</v>
      </c>
      <c r="Q5315" s="6" t="s">
        <v>32981</v>
      </c>
      <c r="R5315" s="6" t="s">
        <v>64</v>
      </c>
      <c r="S5315" s="8" t="s">
        <v>779</v>
      </c>
      <c r="T5315" s="6" t="s">
        <v>66</v>
      </c>
      <c r="U5315" s="8" t="s">
        <v>31</v>
      </c>
      <c r="V5315" s="6" t="s">
        <v>33125</v>
      </c>
      <c r="W5315" s="6" t="s">
        <v>32978</v>
      </c>
      <c r="X5315" s="9" t="str">
        <f>HYPERLINK("https://my.pitchbook.com?p=158005-63P","View People Online")</f>
        <v>View People Online</v>
      </c>
    </row>
    <row r="5316">
      <c r="A5316" s="10" t="s">
        <v>33126</v>
      </c>
      <c r="B5316" s="10" t="s">
        <v>33127</v>
      </c>
      <c r="C5316" s="10" t="s">
        <v>33128</v>
      </c>
      <c r="D5316" s="10" t="s">
        <v>33129</v>
      </c>
      <c r="E5316" s="10" t="s">
        <v>32978</v>
      </c>
      <c r="F5316" s="10" t="s">
        <v>1283</v>
      </c>
      <c r="G5316" s="10" t="s">
        <v>33130</v>
      </c>
      <c r="H5316" s="11">
        <v>3.0</v>
      </c>
      <c r="I5316" s="11">
        <v>31.0</v>
      </c>
      <c r="J5316" s="11">
        <v>1.0</v>
      </c>
      <c r="K5316" s="11">
        <v>25.0</v>
      </c>
      <c r="L5316" s="12" t="s">
        <v>31</v>
      </c>
      <c r="M5316" s="10" t="s">
        <v>33131</v>
      </c>
      <c r="N5316" s="10" t="s">
        <v>775</v>
      </c>
      <c r="O5316" s="12" t="s">
        <v>776</v>
      </c>
      <c r="P5316" s="10" t="s">
        <v>7157</v>
      </c>
      <c r="Q5316" s="10" t="s">
        <v>32981</v>
      </c>
      <c r="R5316" s="10" t="s">
        <v>64</v>
      </c>
      <c r="S5316" s="12" t="s">
        <v>779</v>
      </c>
      <c r="T5316" s="10" t="s">
        <v>66</v>
      </c>
      <c r="U5316" s="12" t="s">
        <v>31</v>
      </c>
      <c r="V5316" s="10" t="s">
        <v>33132</v>
      </c>
      <c r="W5316" s="10" t="s">
        <v>32978</v>
      </c>
      <c r="X5316" s="13" t="str">
        <f>HYPERLINK("https://my.pitchbook.com?p=13662-55P","View People Online")</f>
        <v>View People Online</v>
      </c>
    </row>
    <row r="5317">
      <c r="A5317" s="6" t="s">
        <v>33133</v>
      </c>
      <c r="B5317" s="6" t="s">
        <v>33134</v>
      </c>
      <c r="C5317" s="6" t="s">
        <v>5844</v>
      </c>
      <c r="D5317" s="6" t="s">
        <v>33135</v>
      </c>
      <c r="E5317" s="6" t="s">
        <v>32978</v>
      </c>
      <c r="F5317" s="6" t="s">
        <v>120</v>
      </c>
      <c r="G5317" s="6" t="s">
        <v>33136</v>
      </c>
      <c r="H5317" s="7" t="s">
        <v>31</v>
      </c>
      <c r="I5317" s="7">
        <v>1.0</v>
      </c>
      <c r="J5317" s="7">
        <v>1.0</v>
      </c>
      <c r="K5317" s="7" t="s">
        <v>31</v>
      </c>
      <c r="L5317" s="8" t="s">
        <v>31</v>
      </c>
      <c r="M5317" s="6" t="s">
        <v>33137</v>
      </c>
      <c r="N5317" s="6" t="s">
        <v>775</v>
      </c>
      <c r="O5317" s="8" t="s">
        <v>776</v>
      </c>
      <c r="P5317" s="6" t="s">
        <v>7157</v>
      </c>
      <c r="Q5317" s="6" t="s">
        <v>32981</v>
      </c>
      <c r="R5317" s="6" t="s">
        <v>64</v>
      </c>
      <c r="S5317" s="8" t="s">
        <v>779</v>
      </c>
      <c r="T5317" s="6" t="s">
        <v>66</v>
      </c>
      <c r="U5317" s="8" t="s">
        <v>31</v>
      </c>
      <c r="V5317" s="6" t="s">
        <v>33138</v>
      </c>
      <c r="W5317" s="6" t="s">
        <v>32978</v>
      </c>
      <c r="X5317" s="9" t="str">
        <f>HYPERLINK("https://my.pitchbook.com?p=82653-22P","View People Online")</f>
        <v>View People Online</v>
      </c>
    </row>
    <row r="5318">
      <c r="A5318" s="2" t="s">
        <v>33139</v>
      </c>
      <c r="B5318" s="2" t="s">
        <v>33140</v>
      </c>
      <c r="C5318" s="2" t="s">
        <v>823</v>
      </c>
      <c r="D5318" s="2" t="s">
        <v>33141</v>
      </c>
      <c r="E5318" s="2" t="s">
        <v>32978</v>
      </c>
      <c r="F5318" s="2" t="s">
        <v>2731</v>
      </c>
      <c r="G5318" s="2" t="s">
        <v>33142</v>
      </c>
      <c r="H5318" s="3">
        <v>2.0</v>
      </c>
      <c r="I5318" s="3">
        <v>4.0</v>
      </c>
      <c r="J5318" s="3" t="s">
        <v>31</v>
      </c>
      <c r="K5318" s="3" t="s">
        <v>31</v>
      </c>
      <c r="L5318" s="4" t="s">
        <v>33143</v>
      </c>
      <c r="M5318" s="2" t="s">
        <v>31</v>
      </c>
      <c r="N5318" s="2" t="s">
        <v>1181</v>
      </c>
      <c r="O5318" s="4" t="s">
        <v>1182</v>
      </c>
      <c r="P5318" s="2" t="s">
        <v>28298</v>
      </c>
      <c r="Q5318" s="2" t="s">
        <v>28299</v>
      </c>
      <c r="R5318" s="2" t="s">
        <v>1185</v>
      </c>
      <c r="S5318" s="4" t="s">
        <v>1186</v>
      </c>
      <c r="T5318" s="2" t="s">
        <v>66</v>
      </c>
      <c r="U5318" s="4" t="s">
        <v>31</v>
      </c>
      <c r="V5318" s="2" t="s">
        <v>2379</v>
      </c>
      <c r="W5318" s="2" t="s">
        <v>33144</v>
      </c>
      <c r="X5318" s="5" t="str">
        <f>HYPERLINK("https://my.pitchbook.com?p=194198-14P","View People Online")</f>
        <v>View People Online</v>
      </c>
    </row>
    <row r="5319">
      <c r="A5319" s="14" t="s">
        <v>33145</v>
      </c>
      <c r="B5319" s="14" t="s">
        <v>33146</v>
      </c>
      <c r="C5319" s="14" t="s">
        <v>6414</v>
      </c>
      <c r="D5319" s="14" t="s">
        <v>17219</v>
      </c>
      <c r="E5319" s="14" t="s">
        <v>32978</v>
      </c>
      <c r="F5319" s="14" t="s">
        <v>548</v>
      </c>
      <c r="G5319" s="14" t="s">
        <v>33147</v>
      </c>
      <c r="H5319" s="15" t="s">
        <v>31</v>
      </c>
      <c r="I5319" s="15">
        <v>1.0</v>
      </c>
      <c r="J5319" s="15">
        <v>1.0</v>
      </c>
      <c r="K5319" s="15" t="s">
        <v>31</v>
      </c>
      <c r="L5319" s="16" t="s">
        <v>31</v>
      </c>
      <c r="M5319" s="14" t="s">
        <v>33148</v>
      </c>
      <c r="N5319" s="14" t="s">
        <v>775</v>
      </c>
      <c r="O5319" s="16" t="s">
        <v>776</v>
      </c>
      <c r="P5319" s="14" t="s">
        <v>7157</v>
      </c>
      <c r="Q5319" s="14" t="s">
        <v>32981</v>
      </c>
      <c r="R5319" s="14" t="s">
        <v>64</v>
      </c>
      <c r="S5319" s="16" t="s">
        <v>779</v>
      </c>
      <c r="T5319" s="14" t="s">
        <v>66</v>
      </c>
      <c r="U5319" s="16" t="s">
        <v>31</v>
      </c>
      <c r="V5319" s="14" t="s">
        <v>3455</v>
      </c>
      <c r="W5319" s="14" t="s">
        <v>32978</v>
      </c>
      <c r="X5319" s="17" t="str">
        <f>HYPERLINK("https://my.pitchbook.com?p=447354-01P","View People Online")</f>
        <v>View People Online</v>
      </c>
    </row>
    <row r="5320">
      <c r="A5320" s="2" t="s">
        <v>33149</v>
      </c>
      <c r="B5320" s="2" t="s">
        <v>33150</v>
      </c>
      <c r="C5320" s="2" t="s">
        <v>17879</v>
      </c>
      <c r="D5320" s="2" t="s">
        <v>33151</v>
      </c>
      <c r="E5320" s="2" t="s">
        <v>32978</v>
      </c>
      <c r="F5320" s="2" t="s">
        <v>1922</v>
      </c>
      <c r="G5320" s="2" t="s">
        <v>33152</v>
      </c>
      <c r="H5320" s="3" t="s">
        <v>31</v>
      </c>
      <c r="I5320" s="3">
        <v>1.0</v>
      </c>
      <c r="J5320" s="3">
        <v>1.0</v>
      </c>
      <c r="K5320" s="3" t="s">
        <v>31</v>
      </c>
      <c r="L5320" s="4" t="s">
        <v>31</v>
      </c>
      <c r="M5320" s="2" t="s">
        <v>33153</v>
      </c>
      <c r="N5320" s="2" t="s">
        <v>775</v>
      </c>
      <c r="O5320" s="4" t="s">
        <v>776</v>
      </c>
      <c r="P5320" s="2" t="s">
        <v>7157</v>
      </c>
      <c r="Q5320" s="2" t="s">
        <v>32981</v>
      </c>
      <c r="R5320" s="2" t="s">
        <v>64</v>
      </c>
      <c r="S5320" s="4" t="s">
        <v>779</v>
      </c>
      <c r="T5320" s="2" t="s">
        <v>66</v>
      </c>
      <c r="U5320" s="4" t="s">
        <v>31</v>
      </c>
      <c r="V5320" s="2" t="s">
        <v>33072</v>
      </c>
      <c r="W5320" s="2" t="s">
        <v>32978</v>
      </c>
      <c r="X5320" s="5" t="str">
        <f>HYPERLINK("https://my.pitchbook.com?p=248578-75P","View People Online")</f>
        <v>View People Online</v>
      </c>
    </row>
    <row r="5321">
      <c r="A5321" s="14" t="s">
        <v>33154</v>
      </c>
      <c r="B5321" s="14" t="s">
        <v>33155</v>
      </c>
      <c r="C5321" s="14" t="s">
        <v>5363</v>
      </c>
      <c r="D5321" s="14" t="s">
        <v>15869</v>
      </c>
      <c r="E5321" s="14" t="s">
        <v>32978</v>
      </c>
      <c r="F5321" s="14" t="s">
        <v>2731</v>
      </c>
      <c r="G5321" s="14" t="s">
        <v>33156</v>
      </c>
      <c r="H5321" s="15" t="s">
        <v>31</v>
      </c>
      <c r="I5321" s="15">
        <v>1.0</v>
      </c>
      <c r="J5321" s="15" t="s">
        <v>31</v>
      </c>
      <c r="K5321" s="15" t="s">
        <v>31</v>
      </c>
      <c r="L5321" s="16" t="s">
        <v>31</v>
      </c>
      <c r="M5321" s="14" t="s">
        <v>33157</v>
      </c>
      <c r="N5321" s="14" t="s">
        <v>775</v>
      </c>
      <c r="O5321" s="16" t="s">
        <v>776</v>
      </c>
      <c r="P5321" s="14" t="s">
        <v>7157</v>
      </c>
      <c r="Q5321" s="14" t="s">
        <v>32981</v>
      </c>
      <c r="R5321" s="14" t="s">
        <v>64</v>
      </c>
      <c r="S5321" s="16" t="s">
        <v>779</v>
      </c>
      <c r="T5321" s="14" t="s">
        <v>66</v>
      </c>
      <c r="U5321" s="16" t="s">
        <v>31</v>
      </c>
      <c r="V5321" s="14" t="s">
        <v>2731</v>
      </c>
      <c r="W5321" s="14" t="s">
        <v>32978</v>
      </c>
      <c r="X5321" s="17" t="str">
        <f>HYPERLINK("https://my.pitchbook.com?p=287184-70P","View People Online")</f>
        <v>View People Online</v>
      </c>
    </row>
    <row r="5322">
      <c r="A5322" s="2" t="s">
        <v>33158</v>
      </c>
      <c r="B5322" s="2" t="s">
        <v>33159</v>
      </c>
      <c r="C5322" s="2" t="s">
        <v>33160</v>
      </c>
      <c r="D5322" s="2" t="s">
        <v>1950</v>
      </c>
      <c r="E5322" s="2" t="s">
        <v>32978</v>
      </c>
      <c r="F5322" s="2" t="s">
        <v>270</v>
      </c>
      <c r="G5322" s="2" t="s">
        <v>33161</v>
      </c>
      <c r="H5322" s="3" t="s">
        <v>31</v>
      </c>
      <c r="I5322" s="3">
        <v>1.0</v>
      </c>
      <c r="J5322" s="3">
        <v>1.0</v>
      </c>
      <c r="K5322" s="3" t="s">
        <v>31</v>
      </c>
      <c r="L5322" s="4" t="s">
        <v>31</v>
      </c>
      <c r="M5322" s="2" t="s">
        <v>33162</v>
      </c>
      <c r="N5322" s="2" t="s">
        <v>775</v>
      </c>
      <c r="O5322" s="4" t="s">
        <v>776</v>
      </c>
      <c r="P5322" s="2" t="s">
        <v>7157</v>
      </c>
      <c r="Q5322" s="2" t="s">
        <v>32981</v>
      </c>
      <c r="R5322" s="2" t="s">
        <v>64</v>
      </c>
      <c r="S5322" s="4" t="s">
        <v>779</v>
      </c>
      <c r="T5322" s="2" t="s">
        <v>66</v>
      </c>
      <c r="U5322" s="4" t="s">
        <v>31</v>
      </c>
      <c r="V5322" s="2" t="s">
        <v>33163</v>
      </c>
      <c r="W5322" s="2" t="s">
        <v>32978</v>
      </c>
      <c r="X5322" s="5" t="str">
        <f>HYPERLINK("https://my.pitchbook.com?p=397270-72P","View People Online")</f>
        <v>View People Online</v>
      </c>
    </row>
    <row r="5323">
      <c r="A5323" s="6" t="s">
        <v>33164</v>
      </c>
      <c r="B5323" s="6" t="s">
        <v>33165</v>
      </c>
      <c r="C5323" s="6" t="s">
        <v>2197</v>
      </c>
      <c r="D5323" s="6" t="s">
        <v>33166</v>
      </c>
      <c r="E5323" s="6" t="s">
        <v>32978</v>
      </c>
      <c r="F5323" s="6" t="s">
        <v>270</v>
      </c>
      <c r="G5323" s="6" t="s">
        <v>33167</v>
      </c>
      <c r="H5323" s="7" t="s">
        <v>31</v>
      </c>
      <c r="I5323" s="7">
        <v>1.0</v>
      </c>
      <c r="J5323" s="7">
        <v>1.0</v>
      </c>
      <c r="K5323" s="7" t="s">
        <v>31</v>
      </c>
      <c r="L5323" s="8" t="s">
        <v>33168</v>
      </c>
      <c r="M5323" s="6" t="s">
        <v>33169</v>
      </c>
      <c r="N5323" s="6" t="s">
        <v>775</v>
      </c>
      <c r="O5323" s="8" t="s">
        <v>776</v>
      </c>
      <c r="P5323" s="6" t="s">
        <v>7157</v>
      </c>
      <c r="Q5323" s="6" t="s">
        <v>32981</v>
      </c>
      <c r="R5323" s="6" t="s">
        <v>64</v>
      </c>
      <c r="S5323" s="8" t="s">
        <v>779</v>
      </c>
      <c r="T5323" s="6" t="s">
        <v>66</v>
      </c>
      <c r="U5323" s="8" t="s">
        <v>31</v>
      </c>
      <c r="V5323" s="6" t="s">
        <v>33170</v>
      </c>
      <c r="W5323" s="6" t="s">
        <v>32978</v>
      </c>
      <c r="X5323" s="9" t="str">
        <f>HYPERLINK("https://my.pitchbook.com?p=367584-76P","View People Online")</f>
        <v>View People Online</v>
      </c>
    </row>
    <row r="5324">
      <c r="A5324" s="2" t="s">
        <v>33171</v>
      </c>
      <c r="B5324" s="2" t="s">
        <v>33172</v>
      </c>
      <c r="C5324" s="2" t="s">
        <v>33173</v>
      </c>
      <c r="D5324" s="2" t="s">
        <v>33174</v>
      </c>
      <c r="E5324" s="2" t="s">
        <v>32978</v>
      </c>
      <c r="F5324" s="2" t="s">
        <v>27013</v>
      </c>
      <c r="G5324" s="2" t="s">
        <v>33175</v>
      </c>
      <c r="H5324" s="3">
        <v>2.0</v>
      </c>
      <c r="I5324" s="3">
        <v>32.0</v>
      </c>
      <c r="J5324" s="3">
        <v>1.0</v>
      </c>
      <c r="K5324" s="3">
        <v>28.0</v>
      </c>
      <c r="L5324" s="4" t="s">
        <v>31</v>
      </c>
      <c r="M5324" s="2" t="s">
        <v>33176</v>
      </c>
      <c r="N5324" s="2" t="s">
        <v>775</v>
      </c>
      <c r="O5324" s="4" t="s">
        <v>776</v>
      </c>
      <c r="P5324" s="2" t="s">
        <v>7157</v>
      </c>
      <c r="Q5324" s="2" t="s">
        <v>32981</v>
      </c>
      <c r="R5324" s="2" t="s">
        <v>64</v>
      </c>
      <c r="S5324" s="4" t="s">
        <v>779</v>
      </c>
      <c r="T5324" s="2" t="s">
        <v>66</v>
      </c>
      <c r="U5324" s="4" t="s">
        <v>31</v>
      </c>
      <c r="V5324" s="2" t="s">
        <v>27013</v>
      </c>
      <c r="W5324" s="2" t="s">
        <v>32978</v>
      </c>
      <c r="X5324" s="5" t="str">
        <f>HYPERLINK("https://my.pitchbook.com?p=81748-63P","View People Online")</f>
        <v>View People Online</v>
      </c>
    </row>
    <row r="5325">
      <c r="A5325" s="6" t="s">
        <v>33177</v>
      </c>
      <c r="B5325" s="6" t="s">
        <v>33178</v>
      </c>
      <c r="C5325" s="6" t="s">
        <v>33179</v>
      </c>
      <c r="D5325" s="6" t="s">
        <v>33180</v>
      </c>
      <c r="E5325" s="6" t="s">
        <v>32978</v>
      </c>
      <c r="F5325" s="6" t="s">
        <v>6567</v>
      </c>
      <c r="G5325" s="6" t="s">
        <v>33181</v>
      </c>
      <c r="H5325" s="7" t="s">
        <v>31</v>
      </c>
      <c r="I5325" s="7">
        <v>1.0</v>
      </c>
      <c r="J5325" s="7">
        <v>1.0</v>
      </c>
      <c r="K5325" s="7" t="s">
        <v>31</v>
      </c>
      <c r="L5325" s="8" t="s">
        <v>31</v>
      </c>
      <c r="M5325" s="6" t="s">
        <v>33182</v>
      </c>
      <c r="N5325" s="6" t="s">
        <v>775</v>
      </c>
      <c r="O5325" s="8" t="s">
        <v>776</v>
      </c>
      <c r="P5325" s="6" t="s">
        <v>7157</v>
      </c>
      <c r="Q5325" s="6" t="s">
        <v>32981</v>
      </c>
      <c r="R5325" s="6" t="s">
        <v>64</v>
      </c>
      <c r="S5325" s="8" t="s">
        <v>779</v>
      </c>
      <c r="T5325" s="6" t="s">
        <v>66</v>
      </c>
      <c r="U5325" s="8" t="s">
        <v>31</v>
      </c>
      <c r="V5325" s="6" t="s">
        <v>33183</v>
      </c>
      <c r="W5325" s="6" t="s">
        <v>32978</v>
      </c>
      <c r="X5325" s="9" t="str">
        <f>HYPERLINK("https://my.pitchbook.com?p=447383-98P","View People Online")</f>
        <v>View People Online</v>
      </c>
    </row>
    <row r="5326">
      <c r="A5326" s="10" t="s">
        <v>33184</v>
      </c>
      <c r="B5326" s="10" t="s">
        <v>33185</v>
      </c>
      <c r="C5326" s="10" t="s">
        <v>9032</v>
      </c>
      <c r="D5326" s="10" t="s">
        <v>2469</v>
      </c>
      <c r="E5326" s="10" t="s">
        <v>32978</v>
      </c>
      <c r="F5326" s="10" t="s">
        <v>8217</v>
      </c>
      <c r="G5326" s="10" t="s">
        <v>33186</v>
      </c>
      <c r="H5326" s="11" t="s">
        <v>31</v>
      </c>
      <c r="I5326" s="11">
        <v>1.0</v>
      </c>
      <c r="J5326" s="11">
        <v>1.0</v>
      </c>
      <c r="K5326" s="11" t="s">
        <v>31</v>
      </c>
      <c r="L5326" s="12" t="s">
        <v>31</v>
      </c>
      <c r="M5326" s="10" t="s">
        <v>33187</v>
      </c>
      <c r="N5326" s="10" t="s">
        <v>775</v>
      </c>
      <c r="O5326" s="12" t="s">
        <v>776</v>
      </c>
      <c r="P5326" s="10" t="s">
        <v>7157</v>
      </c>
      <c r="Q5326" s="10" t="s">
        <v>32981</v>
      </c>
      <c r="R5326" s="10" t="s">
        <v>64</v>
      </c>
      <c r="S5326" s="12" t="s">
        <v>779</v>
      </c>
      <c r="T5326" s="10" t="s">
        <v>66</v>
      </c>
      <c r="U5326" s="12" t="s">
        <v>31</v>
      </c>
      <c r="V5326" s="10" t="s">
        <v>33188</v>
      </c>
      <c r="W5326" s="10" t="s">
        <v>32978</v>
      </c>
      <c r="X5326" s="13" t="str">
        <f>HYPERLINK("https://my.pitchbook.com?p=447354-46P","View People Online")</f>
        <v>View People Online</v>
      </c>
    </row>
    <row r="5327">
      <c r="A5327" s="6" t="s">
        <v>33189</v>
      </c>
      <c r="B5327" s="6" t="s">
        <v>33190</v>
      </c>
      <c r="C5327" s="6" t="s">
        <v>4027</v>
      </c>
      <c r="D5327" s="6" t="s">
        <v>21115</v>
      </c>
      <c r="E5327" s="6" t="s">
        <v>32978</v>
      </c>
      <c r="F5327" s="6" t="s">
        <v>1283</v>
      </c>
      <c r="G5327" s="6" t="s">
        <v>33191</v>
      </c>
      <c r="H5327" s="7" t="s">
        <v>31</v>
      </c>
      <c r="I5327" s="7">
        <v>1.0</v>
      </c>
      <c r="J5327" s="7">
        <v>1.0</v>
      </c>
      <c r="K5327" s="7" t="s">
        <v>31</v>
      </c>
      <c r="L5327" s="8" t="s">
        <v>31</v>
      </c>
      <c r="M5327" s="6" t="s">
        <v>33192</v>
      </c>
      <c r="N5327" s="6" t="s">
        <v>775</v>
      </c>
      <c r="O5327" s="8" t="s">
        <v>776</v>
      </c>
      <c r="P5327" s="6" t="s">
        <v>7157</v>
      </c>
      <c r="Q5327" s="6" t="s">
        <v>32981</v>
      </c>
      <c r="R5327" s="6" t="s">
        <v>64</v>
      </c>
      <c r="S5327" s="8" t="s">
        <v>779</v>
      </c>
      <c r="T5327" s="6" t="s">
        <v>66</v>
      </c>
      <c r="U5327" s="8" t="s">
        <v>31</v>
      </c>
      <c r="V5327" s="6" t="s">
        <v>33193</v>
      </c>
      <c r="W5327" s="6" t="s">
        <v>32978</v>
      </c>
      <c r="X5327" s="9" t="str">
        <f>HYPERLINK("https://my.pitchbook.com?p=158008-96P","View People Online")</f>
        <v>View People Online</v>
      </c>
    </row>
    <row r="5328">
      <c r="A5328" s="2" t="s">
        <v>33194</v>
      </c>
      <c r="B5328" s="2" t="s">
        <v>33195</v>
      </c>
      <c r="C5328" s="2" t="s">
        <v>3554</v>
      </c>
      <c r="D5328" s="2" t="s">
        <v>33196</v>
      </c>
      <c r="E5328" s="2" t="s">
        <v>32978</v>
      </c>
      <c r="F5328" s="2" t="s">
        <v>6567</v>
      </c>
      <c r="G5328" s="2" t="s">
        <v>33197</v>
      </c>
      <c r="H5328" s="3" t="s">
        <v>31</v>
      </c>
      <c r="I5328" s="3">
        <v>1.0</v>
      </c>
      <c r="J5328" s="3">
        <v>1.0</v>
      </c>
      <c r="K5328" s="3" t="s">
        <v>31</v>
      </c>
      <c r="L5328" s="4" t="s">
        <v>31</v>
      </c>
      <c r="M5328" s="2" t="s">
        <v>33198</v>
      </c>
      <c r="N5328" s="2" t="s">
        <v>775</v>
      </c>
      <c r="O5328" s="4" t="s">
        <v>776</v>
      </c>
      <c r="P5328" s="2" t="s">
        <v>7157</v>
      </c>
      <c r="Q5328" s="2" t="s">
        <v>32981</v>
      </c>
      <c r="R5328" s="2" t="s">
        <v>64</v>
      </c>
      <c r="S5328" s="4" t="s">
        <v>779</v>
      </c>
      <c r="T5328" s="2" t="s">
        <v>66</v>
      </c>
      <c r="U5328" s="4" t="s">
        <v>31</v>
      </c>
      <c r="V5328" s="2" t="s">
        <v>33199</v>
      </c>
      <c r="W5328" s="2" t="s">
        <v>32978</v>
      </c>
      <c r="X5328" s="5" t="str">
        <f>HYPERLINK("https://my.pitchbook.com?p=447353-74P","View People Online")</f>
        <v>View People Online</v>
      </c>
    </row>
    <row r="5329">
      <c r="A5329" s="14" t="s">
        <v>33200</v>
      </c>
      <c r="B5329" s="14" t="s">
        <v>33201</v>
      </c>
      <c r="C5329" s="14" t="s">
        <v>33202</v>
      </c>
      <c r="D5329" s="14" t="s">
        <v>33203</v>
      </c>
      <c r="E5329" s="14" t="s">
        <v>32978</v>
      </c>
      <c r="F5329" s="14" t="s">
        <v>548</v>
      </c>
      <c r="G5329" s="14" t="s">
        <v>33204</v>
      </c>
      <c r="H5329" s="15" t="s">
        <v>31</v>
      </c>
      <c r="I5329" s="15">
        <v>1.0</v>
      </c>
      <c r="J5329" s="15">
        <v>1.0</v>
      </c>
      <c r="K5329" s="15" t="s">
        <v>31</v>
      </c>
      <c r="L5329" s="16" t="s">
        <v>31</v>
      </c>
      <c r="M5329" s="14" t="s">
        <v>33205</v>
      </c>
      <c r="N5329" s="14" t="s">
        <v>775</v>
      </c>
      <c r="O5329" s="16" t="s">
        <v>776</v>
      </c>
      <c r="P5329" s="14" t="s">
        <v>7157</v>
      </c>
      <c r="Q5329" s="14" t="s">
        <v>32981</v>
      </c>
      <c r="R5329" s="14" t="s">
        <v>64</v>
      </c>
      <c r="S5329" s="16" t="s">
        <v>779</v>
      </c>
      <c r="T5329" s="14" t="s">
        <v>66</v>
      </c>
      <c r="U5329" s="16" t="s">
        <v>31</v>
      </c>
      <c r="V5329" s="14" t="s">
        <v>26268</v>
      </c>
      <c r="W5329" s="14" t="s">
        <v>32978</v>
      </c>
      <c r="X5329" s="17" t="str">
        <f>HYPERLINK("https://my.pitchbook.com?p=447352-30P","View People Online")</f>
        <v>View People Online</v>
      </c>
    </row>
    <row r="5330">
      <c r="A5330" s="10" t="s">
        <v>33206</v>
      </c>
      <c r="B5330" s="10" t="s">
        <v>33207</v>
      </c>
      <c r="C5330" s="10" t="s">
        <v>126</v>
      </c>
      <c r="D5330" s="10" t="s">
        <v>6326</v>
      </c>
      <c r="E5330" s="10" t="s">
        <v>32978</v>
      </c>
      <c r="F5330" s="10" t="s">
        <v>3600</v>
      </c>
      <c r="G5330" s="10" t="s">
        <v>33208</v>
      </c>
      <c r="H5330" s="11">
        <v>1.0</v>
      </c>
      <c r="I5330" s="11">
        <v>3.0</v>
      </c>
      <c r="J5330" s="11">
        <v>1.0</v>
      </c>
      <c r="K5330" s="11">
        <v>1.0</v>
      </c>
      <c r="L5330" s="12" t="s">
        <v>31</v>
      </c>
      <c r="M5330" s="10" t="s">
        <v>33209</v>
      </c>
      <c r="N5330" s="10" t="s">
        <v>775</v>
      </c>
      <c r="O5330" s="12" t="s">
        <v>776</v>
      </c>
      <c r="P5330" s="10" t="s">
        <v>7157</v>
      </c>
      <c r="Q5330" s="10" t="s">
        <v>32981</v>
      </c>
      <c r="R5330" s="10" t="s">
        <v>64</v>
      </c>
      <c r="S5330" s="12" t="s">
        <v>779</v>
      </c>
      <c r="T5330" s="10" t="s">
        <v>66</v>
      </c>
      <c r="U5330" s="12" t="s">
        <v>31</v>
      </c>
      <c r="V5330" s="10" t="s">
        <v>33210</v>
      </c>
      <c r="W5330" s="10" t="s">
        <v>32978</v>
      </c>
      <c r="X5330" s="13" t="str">
        <f>HYPERLINK("https://my.pitchbook.com?p=64997-38P","View People Online")</f>
        <v>View People Online</v>
      </c>
    </row>
    <row r="5331">
      <c r="A5331" s="14" t="s">
        <v>33211</v>
      </c>
      <c r="B5331" s="14" t="s">
        <v>33212</v>
      </c>
      <c r="C5331" s="14" t="s">
        <v>5185</v>
      </c>
      <c r="D5331" s="14" t="s">
        <v>4346</v>
      </c>
      <c r="E5331" s="14" t="s">
        <v>32978</v>
      </c>
      <c r="F5331" s="14" t="s">
        <v>2731</v>
      </c>
      <c r="G5331" s="14" t="s">
        <v>33213</v>
      </c>
      <c r="H5331" s="15" t="s">
        <v>31</v>
      </c>
      <c r="I5331" s="15">
        <v>2.0</v>
      </c>
      <c r="J5331" s="15" t="s">
        <v>31</v>
      </c>
      <c r="K5331" s="15">
        <v>1.0</v>
      </c>
      <c r="L5331" s="16" t="s">
        <v>31</v>
      </c>
      <c r="M5331" s="14" t="s">
        <v>33214</v>
      </c>
      <c r="N5331" s="14" t="s">
        <v>775</v>
      </c>
      <c r="O5331" s="16" t="s">
        <v>776</v>
      </c>
      <c r="P5331" s="14" t="s">
        <v>7157</v>
      </c>
      <c r="Q5331" s="14" t="s">
        <v>32981</v>
      </c>
      <c r="R5331" s="14" t="s">
        <v>64</v>
      </c>
      <c r="S5331" s="16" t="s">
        <v>779</v>
      </c>
      <c r="T5331" s="14" t="s">
        <v>66</v>
      </c>
      <c r="U5331" s="16" t="s">
        <v>31</v>
      </c>
      <c r="V5331" s="14" t="s">
        <v>33215</v>
      </c>
      <c r="W5331" s="14" t="s">
        <v>32978</v>
      </c>
      <c r="X5331" s="17" t="str">
        <f>HYPERLINK("https://my.pitchbook.com?p=320087-53P","View People Online")</f>
        <v>View People Online</v>
      </c>
    </row>
    <row r="5332">
      <c r="A5332" s="10" t="s">
        <v>33216</v>
      </c>
      <c r="B5332" s="10" t="s">
        <v>33217</v>
      </c>
      <c r="C5332" s="10" t="s">
        <v>167</v>
      </c>
      <c r="D5332" s="10" t="s">
        <v>33218</v>
      </c>
      <c r="E5332" s="10" t="s">
        <v>32978</v>
      </c>
      <c r="F5332" s="10" t="s">
        <v>3600</v>
      </c>
      <c r="G5332" s="10" t="s">
        <v>33219</v>
      </c>
      <c r="H5332" s="11" t="s">
        <v>31</v>
      </c>
      <c r="I5332" s="11">
        <v>1.0</v>
      </c>
      <c r="J5332" s="11">
        <v>1.0</v>
      </c>
      <c r="K5332" s="11" t="s">
        <v>31</v>
      </c>
      <c r="L5332" s="12" t="s">
        <v>31</v>
      </c>
      <c r="M5332" s="10" t="s">
        <v>33220</v>
      </c>
      <c r="N5332" s="10" t="s">
        <v>775</v>
      </c>
      <c r="O5332" s="12" t="s">
        <v>776</v>
      </c>
      <c r="P5332" s="10" t="s">
        <v>7157</v>
      </c>
      <c r="Q5332" s="10" t="s">
        <v>32981</v>
      </c>
      <c r="R5332" s="10" t="s">
        <v>64</v>
      </c>
      <c r="S5332" s="12" t="s">
        <v>779</v>
      </c>
      <c r="T5332" s="10" t="s">
        <v>66</v>
      </c>
      <c r="U5332" s="12" t="s">
        <v>31</v>
      </c>
      <c r="V5332" s="10" t="s">
        <v>33221</v>
      </c>
      <c r="W5332" s="10" t="s">
        <v>32978</v>
      </c>
      <c r="X5332" s="13" t="str">
        <f>HYPERLINK("https://my.pitchbook.com?p=447353-29P","View People Online")</f>
        <v>View People Online</v>
      </c>
    </row>
    <row r="5333">
      <c r="A5333" s="14" t="s">
        <v>33222</v>
      </c>
      <c r="B5333" s="14" t="s">
        <v>33223</v>
      </c>
      <c r="C5333" s="14" t="s">
        <v>2388</v>
      </c>
      <c r="D5333" s="14" t="s">
        <v>33224</v>
      </c>
      <c r="E5333" s="14" t="s">
        <v>32978</v>
      </c>
      <c r="F5333" s="14" t="s">
        <v>1283</v>
      </c>
      <c r="G5333" s="14" t="s">
        <v>33225</v>
      </c>
      <c r="H5333" s="15" t="s">
        <v>31</v>
      </c>
      <c r="I5333" s="15">
        <v>2.0</v>
      </c>
      <c r="J5333" s="15">
        <v>1.0</v>
      </c>
      <c r="K5333" s="15">
        <v>1.0</v>
      </c>
      <c r="L5333" s="16" t="s">
        <v>31</v>
      </c>
      <c r="M5333" s="14" t="s">
        <v>33226</v>
      </c>
      <c r="N5333" s="14" t="s">
        <v>775</v>
      </c>
      <c r="O5333" s="16" t="s">
        <v>776</v>
      </c>
      <c r="P5333" s="14" t="s">
        <v>7157</v>
      </c>
      <c r="Q5333" s="14" t="s">
        <v>32981</v>
      </c>
      <c r="R5333" s="14" t="s">
        <v>64</v>
      </c>
      <c r="S5333" s="16" t="s">
        <v>779</v>
      </c>
      <c r="T5333" s="14" t="s">
        <v>66</v>
      </c>
      <c r="U5333" s="16" t="s">
        <v>31</v>
      </c>
      <c r="V5333" s="14" t="s">
        <v>33227</v>
      </c>
      <c r="W5333" s="14" t="s">
        <v>32978</v>
      </c>
      <c r="X5333" s="17" t="str">
        <f>HYPERLINK("https://my.pitchbook.com?p=158013-37P","View People Online")</f>
        <v>View People Online</v>
      </c>
    </row>
    <row r="5334">
      <c r="A5334" s="10" t="s">
        <v>33228</v>
      </c>
      <c r="B5334" s="10" t="s">
        <v>33229</v>
      </c>
      <c r="C5334" s="10" t="s">
        <v>2388</v>
      </c>
      <c r="D5334" s="10" t="s">
        <v>33230</v>
      </c>
      <c r="E5334" s="10" t="s">
        <v>32978</v>
      </c>
      <c r="F5334" s="10" t="s">
        <v>33231</v>
      </c>
      <c r="G5334" s="10" t="s">
        <v>33232</v>
      </c>
      <c r="H5334" s="11" t="s">
        <v>31</v>
      </c>
      <c r="I5334" s="11">
        <v>2.0</v>
      </c>
      <c r="J5334" s="11">
        <v>2.0</v>
      </c>
      <c r="K5334" s="11" t="s">
        <v>31</v>
      </c>
      <c r="L5334" s="12" t="s">
        <v>33233</v>
      </c>
      <c r="M5334" s="10" t="s">
        <v>33234</v>
      </c>
      <c r="N5334" s="10" t="s">
        <v>1292</v>
      </c>
      <c r="O5334" s="12" t="s">
        <v>1293</v>
      </c>
      <c r="P5334" s="10" t="s">
        <v>33235</v>
      </c>
      <c r="Q5334" s="10" t="s">
        <v>6591</v>
      </c>
      <c r="R5334" s="10" t="s">
        <v>64</v>
      </c>
      <c r="S5334" s="12" t="s">
        <v>1296</v>
      </c>
      <c r="T5334" s="10" t="s">
        <v>66</v>
      </c>
      <c r="U5334" s="12" t="s">
        <v>33236</v>
      </c>
      <c r="V5334" s="10" t="s">
        <v>29</v>
      </c>
      <c r="W5334" s="10" t="s">
        <v>33237</v>
      </c>
      <c r="X5334" s="13" t="str">
        <f>HYPERLINK("https://my.pitchbook.com?p=200329-75P","View People Online")</f>
        <v>View People Online</v>
      </c>
    </row>
    <row r="5335">
      <c r="A5335" s="6" t="s">
        <v>33238</v>
      </c>
      <c r="B5335" s="6" t="s">
        <v>33239</v>
      </c>
      <c r="C5335" s="6" t="s">
        <v>33240</v>
      </c>
      <c r="D5335" s="6" t="s">
        <v>33241</v>
      </c>
      <c r="E5335" s="6" t="s">
        <v>32978</v>
      </c>
      <c r="F5335" s="6" t="s">
        <v>33242</v>
      </c>
      <c r="G5335" s="6" t="s">
        <v>33243</v>
      </c>
      <c r="H5335" s="7">
        <v>1.0</v>
      </c>
      <c r="I5335" s="7">
        <v>2.0</v>
      </c>
      <c r="J5335" s="7">
        <v>1.0</v>
      </c>
      <c r="K5335" s="7" t="s">
        <v>31</v>
      </c>
      <c r="L5335" s="8" t="s">
        <v>33244</v>
      </c>
      <c r="M5335" s="6" t="s">
        <v>33245</v>
      </c>
      <c r="N5335" s="6" t="s">
        <v>775</v>
      </c>
      <c r="O5335" s="8" t="s">
        <v>776</v>
      </c>
      <c r="P5335" s="6" t="s">
        <v>7157</v>
      </c>
      <c r="Q5335" s="6" t="s">
        <v>32981</v>
      </c>
      <c r="R5335" s="6" t="s">
        <v>64</v>
      </c>
      <c r="S5335" s="8" t="s">
        <v>779</v>
      </c>
      <c r="T5335" s="6" t="s">
        <v>66</v>
      </c>
      <c r="U5335" s="8" t="s">
        <v>33246</v>
      </c>
      <c r="V5335" s="6" t="s">
        <v>33247</v>
      </c>
      <c r="W5335" s="6" t="s">
        <v>32978</v>
      </c>
      <c r="X5335" s="9" t="str">
        <f>HYPERLINK("https://my.pitchbook.com?p=96550-84P","View People Online")</f>
        <v>View People Online</v>
      </c>
    </row>
    <row r="5336">
      <c r="A5336" s="2" t="s">
        <v>33248</v>
      </c>
      <c r="B5336" s="2" t="s">
        <v>33249</v>
      </c>
      <c r="C5336" s="2" t="s">
        <v>29451</v>
      </c>
      <c r="D5336" s="2" t="s">
        <v>33250</v>
      </c>
      <c r="E5336" s="2" t="s">
        <v>32978</v>
      </c>
      <c r="F5336" s="2" t="s">
        <v>2652</v>
      </c>
      <c r="G5336" s="2" t="s">
        <v>33251</v>
      </c>
      <c r="H5336" s="3" t="s">
        <v>31</v>
      </c>
      <c r="I5336" s="3">
        <v>1.0</v>
      </c>
      <c r="J5336" s="3">
        <v>1.0</v>
      </c>
      <c r="K5336" s="3" t="s">
        <v>31</v>
      </c>
      <c r="L5336" s="4" t="s">
        <v>31</v>
      </c>
      <c r="M5336" s="2" t="s">
        <v>33252</v>
      </c>
      <c r="N5336" s="2" t="s">
        <v>775</v>
      </c>
      <c r="O5336" s="4" t="s">
        <v>776</v>
      </c>
      <c r="P5336" s="2" t="s">
        <v>7157</v>
      </c>
      <c r="Q5336" s="2" t="s">
        <v>32981</v>
      </c>
      <c r="R5336" s="2" t="s">
        <v>64</v>
      </c>
      <c r="S5336" s="4" t="s">
        <v>779</v>
      </c>
      <c r="T5336" s="2" t="s">
        <v>66</v>
      </c>
      <c r="U5336" s="4" t="s">
        <v>31</v>
      </c>
      <c r="V5336" s="2" t="s">
        <v>33253</v>
      </c>
      <c r="W5336" s="2" t="s">
        <v>32978</v>
      </c>
      <c r="X5336" s="5" t="str">
        <f>HYPERLINK("https://my.pitchbook.com?p=334082-89P","View People Online")</f>
        <v>View People Online</v>
      </c>
    </row>
    <row r="5337">
      <c r="A5337" s="6" t="s">
        <v>33254</v>
      </c>
      <c r="B5337" s="6" t="s">
        <v>33255</v>
      </c>
      <c r="C5337" s="6" t="s">
        <v>33256</v>
      </c>
      <c r="D5337" s="6" t="s">
        <v>233</v>
      </c>
      <c r="E5337" s="6" t="s">
        <v>32978</v>
      </c>
      <c r="F5337" s="6" t="s">
        <v>1283</v>
      </c>
      <c r="G5337" s="6" t="s">
        <v>33257</v>
      </c>
      <c r="H5337" s="7">
        <v>1.0</v>
      </c>
      <c r="I5337" s="7">
        <v>3.0</v>
      </c>
      <c r="J5337" s="7">
        <v>2.0</v>
      </c>
      <c r="K5337" s="7" t="s">
        <v>31</v>
      </c>
      <c r="L5337" s="8" t="s">
        <v>31</v>
      </c>
      <c r="M5337" s="6" t="s">
        <v>33258</v>
      </c>
      <c r="N5337" s="6" t="s">
        <v>775</v>
      </c>
      <c r="O5337" s="8" t="s">
        <v>776</v>
      </c>
      <c r="P5337" s="6" t="s">
        <v>7157</v>
      </c>
      <c r="Q5337" s="6" t="s">
        <v>32981</v>
      </c>
      <c r="R5337" s="6" t="s">
        <v>64</v>
      </c>
      <c r="S5337" s="8" t="s">
        <v>779</v>
      </c>
      <c r="T5337" s="6" t="s">
        <v>66</v>
      </c>
      <c r="U5337" s="8" t="s">
        <v>31</v>
      </c>
      <c r="V5337" s="6" t="s">
        <v>33259</v>
      </c>
      <c r="W5337" s="6" t="s">
        <v>32978</v>
      </c>
      <c r="X5337" s="9" t="str">
        <f>HYPERLINK("https://my.pitchbook.com?p=158004-73P","View People Online")</f>
        <v>View People Online</v>
      </c>
    </row>
    <row r="5338">
      <c r="A5338" s="10" t="s">
        <v>33260</v>
      </c>
      <c r="B5338" s="10" t="s">
        <v>33261</v>
      </c>
      <c r="C5338" s="10" t="s">
        <v>1388</v>
      </c>
      <c r="D5338" s="10" t="s">
        <v>33262</v>
      </c>
      <c r="E5338" s="10" t="s">
        <v>32978</v>
      </c>
      <c r="F5338" s="10" t="s">
        <v>3600</v>
      </c>
      <c r="G5338" s="10" t="s">
        <v>33263</v>
      </c>
      <c r="H5338" s="11">
        <v>1.0</v>
      </c>
      <c r="I5338" s="11">
        <v>4.0</v>
      </c>
      <c r="J5338" s="11">
        <v>1.0</v>
      </c>
      <c r="K5338" s="11">
        <v>2.0</v>
      </c>
      <c r="L5338" s="12" t="s">
        <v>33264</v>
      </c>
      <c r="M5338" s="10" t="s">
        <v>33265</v>
      </c>
      <c r="N5338" s="10" t="s">
        <v>775</v>
      </c>
      <c r="O5338" s="12" t="s">
        <v>776</v>
      </c>
      <c r="P5338" s="10" t="s">
        <v>7157</v>
      </c>
      <c r="Q5338" s="10" t="s">
        <v>32981</v>
      </c>
      <c r="R5338" s="10" t="s">
        <v>64</v>
      </c>
      <c r="S5338" s="12" t="s">
        <v>779</v>
      </c>
      <c r="T5338" s="10" t="s">
        <v>66</v>
      </c>
      <c r="U5338" s="12" t="s">
        <v>31</v>
      </c>
      <c r="V5338" s="10" t="s">
        <v>33266</v>
      </c>
      <c r="W5338" s="10" t="s">
        <v>32978</v>
      </c>
      <c r="X5338" s="13" t="str">
        <f>HYPERLINK("https://my.pitchbook.com?p=98806-51P","View People Online")</f>
        <v>View People Online</v>
      </c>
    </row>
    <row r="5339">
      <c r="A5339" s="14" t="s">
        <v>33267</v>
      </c>
      <c r="B5339" s="14" t="s">
        <v>33268</v>
      </c>
      <c r="C5339" s="14" t="s">
        <v>1388</v>
      </c>
      <c r="D5339" s="14" t="s">
        <v>14048</v>
      </c>
      <c r="E5339" s="14" t="s">
        <v>32978</v>
      </c>
      <c r="F5339" s="14" t="s">
        <v>3600</v>
      </c>
      <c r="G5339" s="14" t="s">
        <v>33269</v>
      </c>
      <c r="H5339" s="15" t="s">
        <v>31</v>
      </c>
      <c r="I5339" s="15">
        <v>1.0</v>
      </c>
      <c r="J5339" s="15">
        <v>1.0</v>
      </c>
      <c r="K5339" s="15" t="s">
        <v>31</v>
      </c>
      <c r="L5339" s="16" t="s">
        <v>31</v>
      </c>
      <c r="M5339" s="14" t="s">
        <v>31</v>
      </c>
      <c r="N5339" s="14" t="s">
        <v>775</v>
      </c>
      <c r="O5339" s="16" t="s">
        <v>776</v>
      </c>
      <c r="P5339" s="14" t="s">
        <v>7157</v>
      </c>
      <c r="Q5339" s="14" t="s">
        <v>32981</v>
      </c>
      <c r="R5339" s="14" t="s">
        <v>64</v>
      </c>
      <c r="S5339" s="16" t="s">
        <v>779</v>
      </c>
      <c r="T5339" s="14" t="s">
        <v>66</v>
      </c>
      <c r="U5339" s="16" t="s">
        <v>31</v>
      </c>
      <c r="V5339" s="14" t="s">
        <v>33270</v>
      </c>
      <c r="W5339" s="14" t="s">
        <v>32978</v>
      </c>
      <c r="X5339" s="17" t="str">
        <f>HYPERLINK("https://my.pitchbook.com?p=447385-60P","View People Online")</f>
        <v>View People Online</v>
      </c>
    </row>
    <row r="5340">
      <c r="A5340" s="10" t="s">
        <v>33271</v>
      </c>
      <c r="B5340" s="10" t="s">
        <v>33272</v>
      </c>
      <c r="C5340" s="10" t="s">
        <v>1388</v>
      </c>
      <c r="D5340" s="10" t="s">
        <v>33273</v>
      </c>
      <c r="E5340" s="10" t="s">
        <v>32978</v>
      </c>
      <c r="F5340" s="10" t="s">
        <v>33274</v>
      </c>
      <c r="G5340" s="10" t="s">
        <v>33275</v>
      </c>
      <c r="H5340" s="11" t="s">
        <v>31</v>
      </c>
      <c r="I5340" s="11">
        <v>1.0</v>
      </c>
      <c r="J5340" s="11">
        <v>1.0</v>
      </c>
      <c r="K5340" s="11" t="s">
        <v>31</v>
      </c>
      <c r="L5340" s="12" t="s">
        <v>31</v>
      </c>
      <c r="M5340" s="10" t="s">
        <v>31</v>
      </c>
      <c r="N5340" s="10" t="s">
        <v>775</v>
      </c>
      <c r="O5340" s="12" t="s">
        <v>776</v>
      </c>
      <c r="P5340" s="10" t="s">
        <v>7157</v>
      </c>
      <c r="Q5340" s="10" t="s">
        <v>32981</v>
      </c>
      <c r="R5340" s="10" t="s">
        <v>64</v>
      </c>
      <c r="S5340" s="12" t="s">
        <v>779</v>
      </c>
      <c r="T5340" s="10" t="s">
        <v>66</v>
      </c>
      <c r="U5340" s="12" t="s">
        <v>31</v>
      </c>
      <c r="V5340" s="10" t="s">
        <v>33276</v>
      </c>
      <c r="W5340" s="10" t="s">
        <v>32978</v>
      </c>
      <c r="X5340" s="13" t="str">
        <f>HYPERLINK("https://my.pitchbook.com?p=334084-06P","View People Online")</f>
        <v>View People Online</v>
      </c>
    </row>
    <row r="5341">
      <c r="A5341" s="14" t="s">
        <v>33277</v>
      </c>
      <c r="B5341" s="14" t="s">
        <v>33278</v>
      </c>
      <c r="C5341" s="14" t="s">
        <v>3716</v>
      </c>
      <c r="D5341" s="14" t="s">
        <v>33279</v>
      </c>
      <c r="E5341" s="14" t="s">
        <v>32978</v>
      </c>
      <c r="F5341" s="14" t="s">
        <v>270</v>
      </c>
      <c r="G5341" s="14" t="s">
        <v>33280</v>
      </c>
      <c r="H5341" s="15" t="s">
        <v>31</v>
      </c>
      <c r="I5341" s="15">
        <v>1.0</v>
      </c>
      <c r="J5341" s="15">
        <v>1.0</v>
      </c>
      <c r="K5341" s="15" t="s">
        <v>31</v>
      </c>
      <c r="L5341" s="16" t="s">
        <v>31</v>
      </c>
      <c r="M5341" s="14" t="s">
        <v>33281</v>
      </c>
      <c r="N5341" s="14" t="s">
        <v>775</v>
      </c>
      <c r="O5341" s="16" t="s">
        <v>776</v>
      </c>
      <c r="P5341" s="14" t="s">
        <v>7157</v>
      </c>
      <c r="Q5341" s="14" t="s">
        <v>32981</v>
      </c>
      <c r="R5341" s="14" t="s">
        <v>64</v>
      </c>
      <c r="S5341" s="16" t="s">
        <v>779</v>
      </c>
      <c r="T5341" s="14" t="s">
        <v>66</v>
      </c>
      <c r="U5341" s="16" t="s">
        <v>31</v>
      </c>
      <c r="V5341" s="14" t="s">
        <v>33282</v>
      </c>
      <c r="W5341" s="14" t="s">
        <v>32978</v>
      </c>
      <c r="X5341" s="17" t="str">
        <f>HYPERLINK("https://my.pitchbook.com?p=71855-11P","View People Online")</f>
        <v>View People Online</v>
      </c>
    </row>
    <row r="5342">
      <c r="A5342" s="10" t="s">
        <v>33283</v>
      </c>
      <c r="B5342" s="10" t="s">
        <v>33284</v>
      </c>
      <c r="C5342" s="10" t="s">
        <v>4668</v>
      </c>
      <c r="D5342" s="10" t="s">
        <v>3822</v>
      </c>
      <c r="E5342" s="10" t="s">
        <v>32978</v>
      </c>
      <c r="F5342" s="10" t="s">
        <v>8581</v>
      </c>
      <c r="G5342" s="10" t="s">
        <v>33285</v>
      </c>
      <c r="H5342" s="11" t="s">
        <v>31</v>
      </c>
      <c r="I5342" s="11">
        <v>1.0</v>
      </c>
      <c r="J5342" s="11">
        <v>1.0</v>
      </c>
      <c r="K5342" s="11" t="s">
        <v>31</v>
      </c>
      <c r="L5342" s="12" t="s">
        <v>31</v>
      </c>
      <c r="M5342" s="10" t="s">
        <v>33286</v>
      </c>
      <c r="N5342" s="10" t="s">
        <v>775</v>
      </c>
      <c r="O5342" s="12" t="s">
        <v>776</v>
      </c>
      <c r="P5342" s="10" t="s">
        <v>7157</v>
      </c>
      <c r="Q5342" s="10" t="s">
        <v>32981</v>
      </c>
      <c r="R5342" s="10" t="s">
        <v>64</v>
      </c>
      <c r="S5342" s="12" t="s">
        <v>779</v>
      </c>
      <c r="T5342" s="10" t="s">
        <v>66</v>
      </c>
      <c r="U5342" s="12" t="s">
        <v>31</v>
      </c>
      <c r="V5342" s="10" t="s">
        <v>33287</v>
      </c>
      <c r="W5342" s="10" t="s">
        <v>32978</v>
      </c>
      <c r="X5342" s="13" t="str">
        <f>HYPERLINK("https://my.pitchbook.com?p=158020-21P","View People Online")</f>
        <v>View People Online</v>
      </c>
    </row>
    <row r="5343">
      <c r="A5343" s="14" t="s">
        <v>33288</v>
      </c>
      <c r="B5343" s="14" t="s">
        <v>33289</v>
      </c>
      <c r="C5343" s="14" t="s">
        <v>3722</v>
      </c>
      <c r="D5343" s="14" t="s">
        <v>33290</v>
      </c>
      <c r="E5343" s="14" t="s">
        <v>32978</v>
      </c>
      <c r="F5343" s="14" t="s">
        <v>3600</v>
      </c>
      <c r="G5343" s="14" t="s">
        <v>33291</v>
      </c>
      <c r="H5343" s="15" t="s">
        <v>31</v>
      </c>
      <c r="I5343" s="15">
        <v>1.0</v>
      </c>
      <c r="J5343" s="15">
        <v>1.0</v>
      </c>
      <c r="K5343" s="15" t="s">
        <v>31</v>
      </c>
      <c r="L5343" s="16" t="s">
        <v>31</v>
      </c>
      <c r="M5343" s="14" t="s">
        <v>33292</v>
      </c>
      <c r="N5343" s="14" t="s">
        <v>775</v>
      </c>
      <c r="O5343" s="16" t="s">
        <v>776</v>
      </c>
      <c r="P5343" s="14" t="s">
        <v>7157</v>
      </c>
      <c r="Q5343" s="14" t="s">
        <v>32981</v>
      </c>
      <c r="R5343" s="14" t="s">
        <v>64</v>
      </c>
      <c r="S5343" s="16" t="s">
        <v>779</v>
      </c>
      <c r="T5343" s="14" t="s">
        <v>66</v>
      </c>
      <c r="U5343" s="16" t="s">
        <v>31</v>
      </c>
      <c r="V5343" s="14" t="s">
        <v>33293</v>
      </c>
      <c r="W5343" s="14" t="s">
        <v>32978</v>
      </c>
      <c r="X5343" s="17" t="str">
        <f>HYPERLINK("https://my.pitchbook.com?p=447354-91P","View People Online")</f>
        <v>View People Online</v>
      </c>
    </row>
    <row r="5344">
      <c r="A5344" s="2" t="s">
        <v>33294</v>
      </c>
      <c r="B5344" s="2" t="s">
        <v>33295</v>
      </c>
      <c r="C5344" s="2" t="s">
        <v>3722</v>
      </c>
      <c r="D5344" s="2" t="s">
        <v>33296</v>
      </c>
      <c r="E5344" s="2" t="s">
        <v>32978</v>
      </c>
      <c r="F5344" s="2" t="s">
        <v>1283</v>
      </c>
      <c r="G5344" s="2" t="s">
        <v>33297</v>
      </c>
      <c r="H5344" s="3" t="s">
        <v>31</v>
      </c>
      <c r="I5344" s="3">
        <v>1.0</v>
      </c>
      <c r="J5344" s="3">
        <v>1.0</v>
      </c>
      <c r="K5344" s="3" t="s">
        <v>31</v>
      </c>
      <c r="L5344" s="4" t="s">
        <v>31</v>
      </c>
      <c r="M5344" s="2" t="s">
        <v>33298</v>
      </c>
      <c r="N5344" s="2" t="s">
        <v>775</v>
      </c>
      <c r="O5344" s="4" t="s">
        <v>776</v>
      </c>
      <c r="P5344" s="2" t="s">
        <v>7157</v>
      </c>
      <c r="Q5344" s="2" t="s">
        <v>32981</v>
      </c>
      <c r="R5344" s="2" t="s">
        <v>64</v>
      </c>
      <c r="S5344" s="4" t="s">
        <v>779</v>
      </c>
      <c r="T5344" s="2" t="s">
        <v>66</v>
      </c>
      <c r="U5344" s="4" t="s">
        <v>31</v>
      </c>
      <c r="V5344" s="2" t="s">
        <v>33132</v>
      </c>
      <c r="W5344" s="2" t="s">
        <v>32978</v>
      </c>
      <c r="X5344" s="5" t="str">
        <f>HYPERLINK("https://my.pitchbook.com?p=31285-27P","View People Online")</f>
        <v>View People Online</v>
      </c>
    </row>
    <row r="5345">
      <c r="A5345" s="6" t="s">
        <v>33299</v>
      </c>
      <c r="B5345" s="6" t="s">
        <v>33300</v>
      </c>
      <c r="C5345" s="6" t="s">
        <v>33301</v>
      </c>
      <c r="D5345" s="6" t="s">
        <v>33302</v>
      </c>
      <c r="E5345" s="6" t="s">
        <v>32978</v>
      </c>
      <c r="F5345" s="6" t="s">
        <v>548</v>
      </c>
      <c r="G5345" s="6" t="s">
        <v>33303</v>
      </c>
      <c r="H5345" s="7" t="s">
        <v>31</v>
      </c>
      <c r="I5345" s="7">
        <v>1.0</v>
      </c>
      <c r="J5345" s="7">
        <v>1.0</v>
      </c>
      <c r="K5345" s="7" t="s">
        <v>31</v>
      </c>
      <c r="L5345" s="8" t="s">
        <v>31</v>
      </c>
      <c r="M5345" s="6" t="s">
        <v>33304</v>
      </c>
      <c r="N5345" s="6" t="s">
        <v>775</v>
      </c>
      <c r="O5345" s="8" t="s">
        <v>776</v>
      </c>
      <c r="P5345" s="6" t="s">
        <v>7157</v>
      </c>
      <c r="Q5345" s="6" t="s">
        <v>32981</v>
      </c>
      <c r="R5345" s="6" t="s">
        <v>64</v>
      </c>
      <c r="S5345" s="8" t="s">
        <v>779</v>
      </c>
      <c r="T5345" s="6" t="s">
        <v>66</v>
      </c>
      <c r="U5345" s="8" t="s">
        <v>31</v>
      </c>
      <c r="V5345" s="6" t="s">
        <v>33305</v>
      </c>
      <c r="W5345" s="6" t="s">
        <v>32978</v>
      </c>
      <c r="X5345" s="9" t="str">
        <f>HYPERLINK("https://my.pitchbook.com?p=447387-85P","View People Online")</f>
        <v>View People Online</v>
      </c>
    </row>
    <row r="5346">
      <c r="A5346" s="10" t="s">
        <v>33306</v>
      </c>
      <c r="B5346" s="10" t="s">
        <v>33307</v>
      </c>
      <c r="C5346" s="10" t="s">
        <v>4061</v>
      </c>
      <c r="D5346" s="10" t="s">
        <v>6333</v>
      </c>
      <c r="E5346" s="10" t="s">
        <v>32978</v>
      </c>
      <c r="F5346" s="10" t="s">
        <v>33308</v>
      </c>
      <c r="G5346" s="10" t="s">
        <v>33309</v>
      </c>
      <c r="H5346" s="11" t="s">
        <v>31</v>
      </c>
      <c r="I5346" s="11">
        <v>1.0</v>
      </c>
      <c r="J5346" s="11">
        <v>1.0</v>
      </c>
      <c r="K5346" s="11" t="s">
        <v>31</v>
      </c>
      <c r="L5346" s="12" t="s">
        <v>31</v>
      </c>
      <c r="M5346" s="10" t="s">
        <v>33310</v>
      </c>
      <c r="N5346" s="10" t="s">
        <v>775</v>
      </c>
      <c r="O5346" s="12" t="s">
        <v>776</v>
      </c>
      <c r="P5346" s="10" t="s">
        <v>7157</v>
      </c>
      <c r="Q5346" s="10" t="s">
        <v>32981</v>
      </c>
      <c r="R5346" s="10" t="s">
        <v>64</v>
      </c>
      <c r="S5346" s="12" t="s">
        <v>779</v>
      </c>
      <c r="T5346" s="10" t="s">
        <v>66</v>
      </c>
      <c r="U5346" s="12" t="s">
        <v>31</v>
      </c>
      <c r="V5346" s="10" t="s">
        <v>33311</v>
      </c>
      <c r="W5346" s="10" t="s">
        <v>32978</v>
      </c>
      <c r="X5346" s="13" t="str">
        <f>HYPERLINK("https://my.pitchbook.com?p=287136-37P","View People Online")</f>
        <v>View People Online</v>
      </c>
    </row>
    <row r="5347">
      <c r="A5347" s="6" t="s">
        <v>33312</v>
      </c>
      <c r="B5347" s="6" t="s">
        <v>33313</v>
      </c>
      <c r="C5347" s="6" t="s">
        <v>6205</v>
      </c>
      <c r="D5347" s="6" t="s">
        <v>33314</v>
      </c>
      <c r="E5347" s="6" t="s">
        <v>32978</v>
      </c>
      <c r="F5347" s="6" t="s">
        <v>667</v>
      </c>
      <c r="G5347" s="6" t="s">
        <v>33315</v>
      </c>
      <c r="H5347" s="7" t="s">
        <v>31</v>
      </c>
      <c r="I5347" s="7">
        <v>2.0</v>
      </c>
      <c r="J5347" s="7">
        <v>2.0</v>
      </c>
      <c r="K5347" s="7" t="s">
        <v>31</v>
      </c>
      <c r="L5347" s="8" t="s">
        <v>31</v>
      </c>
      <c r="M5347" s="6" t="s">
        <v>33316</v>
      </c>
      <c r="N5347" s="6" t="s">
        <v>775</v>
      </c>
      <c r="O5347" s="8" t="s">
        <v>776</v>
      </c>
      <c r="P5347" s="6" t="s">
        <v>7157</v>
      </c>
      <c r="Q5347" s="6" t="s">
        <v>32981</v>
      </c>
      <c r="R5347" s="6" t="s">
        <v>64</v>
      </c>
      <c r="S5347" s="8" t="s">
        <v>779</v>
      </c>
      <c r="T5347" s="6" t="s">
        <v>66</v>
      </c>
      <c r="U5347" s="8" t="s">
        <v>31</v>
      </c>
      <c r="V5347" s="6" t="s">
        <v>33317</v>
      </c>
      <c r="W5347" s="6" t="s">
        <v>32978</v>
      </c>
      <c r="X5347" s="9" t="str">
        <f>HYPERLINK("https://my.pitchbook.com?p=286241-95P","View People Online")</f>
        <v>View People Online</v>
      </c>
    </row>
    <row r="5348">
      <c r="A5348" s="10" t="s">
        <v>33318</v>
      </c>
      <c r="B5348" s="10" t="s">
        <v>33319</v>
      </c>
      <c r="C5348" s="10" t="s">
        <v>5574</v>
      </c>
      <c r="D5348" s="10" t="s">
        <v>33320</v>
      </c>
      <c r="E5348" s="10" t="s">
        <v>32978</v>
      </c>
      <c r="F5348" s="10" t="s">
        <v>1283</v>
      </c>
      <c r="G5348" s="10" t="s">
        <v>33321</v>
      </c>
      <c r="H5348" s="11" t="s">
        <v>31</v>
      </c>
      <c r="I5348" s="11">
        <v>1.0</v>
      </c>
      <c r="J5348" s="11">
        <v>1.0</v>
      </c>
      <c r="K5348" s="11" t="s">
        <v>31</v>
      </c>
      <c r="L5348" s="12" t="s">
        <v>31</v>
      </c>
      <c r="M5348" s="10" t="s">
        <v>33322</v>
      </c>
      <c r="N5348" s="10" t="s">
        <v>775</v>
      </c>
      <c r="O5348" s="12" t="s">
        <v>776</v>
      </c>
      <c r="P5348" s="10" t="s">
        <v>7157</v>
      </c>
      <c r="Q5348" s="10" t="s">
        <v>32981</v>
      </c>
      <c r="R5348" s="10" t="s">
        <v>64</v>
      </c>
      <c r="S5348" s="12" t="s">
        <v>779</v>
      </c>
      <c r="T5348" s="10" t="s">
        <v>66</v>
      </c>
      <c r="U5348" s="12" t="s">
        <v>31</v>
      </c>
      <c r="V5348" s="10" t="s">
        <v>33323</v>
      </c>
      <c r="W5348" s="10" t="s">
        <v>32978</v>
      </c>
      <c r="X5348" s="13" t="str">
        <f>HYPERLINK("https://my.pitchbook.com?p=338547-70P","View People Online")</f>
        <v>View People Online</v>
      </c>
    </row>
    <row r="5349">
      <c r="A5349" s="6" t="s">
        <v>33324</v>
      </c>
      <c r="B5349" s="6" t="s">
        <v>33325</v>
      </c>
      <c r="C5349" s="6" t="s">
        <v>1697</v>
      </c>
      <c r="D5349" s="6" t="s">
        <v>33326</v>
      </c>
      <c r="E5349" s="6" t="s">
        <v>32978</v>
      </c>
      <c r="F5349" s="6" t="s">
        <v>548</v>
      </c>
      <c r="G5349" s="6" t="s">
        <v>33327</v>
      </c>
      <c r="H5349" s="7" t="s">
        <v>31</v>
      </c>
      <c r="I5349" s="7">
        <v>1.0</v>
      </c>
      <c r="J5349" s="7">
        <v>1.0</v>
      </c>
      <c r="K5349" s="7" t="s">
        <v>31</v>
      </c>
      <c r="L5349" s="8" t="s">
        <v>31</v>
      </c>
      <c r="M5349" s="6" t="s">
        <v>33328</v>
      </c>
      <c r="N5349" s="6" t="s">
        <v>775</v>
      </c>
      <c r="O5349" s="8" t="s">
        <v>776</v>
      </c>
      <c r="P5349" s="6" t="s">
        <v>7157</v>
      </c>
      <c r="Q5349" s="6" t="s">
        <v>32981</v>
      </c>
      <c r="R5349" s="6" t="s">
        <v>64</v>
      </c>
      <c r="S5349" s="8" t="s">
        <v>779</v>
      </c>
      <c r="T5349" s="6" t="s">
        <v>66</v>
      </c>
      <c r="U5349" s="8" t="s">
        <v>31</v>
      </c>
      <c r="V5349" s="6" t="s">
        <v>33329</v>
      </c>
      <c r="W5349" s="6" t="s">
        <v>32978</v>
      </c>
      <c r="X5349" s="9" t="str">
        <f>HYPERLINK("https://my.pitchbook.com?p=397270-36P","View People Online")</f>
        <v>View People Online</v>
      </c>
    </row>
    <row r="5350">
      <c r="A5350" s="2" t="s">
        <v>33330</v>
      </c>
      <c r="B5350" s="2" t="s">
        <v>33331</v>
      </c>
      <c r="C5350" s="2" t="s">
        <v>16168</v>
      </c>
      <c r="D5350" s="2" t="s">
        <v>33332</v>
      </c>
      <c r="E5350" s="2" t="s">
        <v>33333</v>
      </c>
      <c r="F5350" s="2" t="s">
        <v>4600</v>
      </c>
      <c r="G5350" s="2" t="s">
        <v>33334</v>
      </c>
      <c r="H5350" s="3" t="s">
        <v>31</v>
      </c>
      <c r="I5350" s="3">
        <v>2.0</v>
      </c>
      <c r="J5350" s="3">
        <v>2.0</v>
      </c>
      <c r="K5350" s="3" t="s">
        <v>31</v>
      </c>
      <c r="L5350" s="4" t="s">
        <v>31</v>
      </c>
      <c r="M5350" s="2" t="s">
        <v>33335</v>
      </c>
      <c r="N5350" s="2" t="s">
        <v>26958</v>
      </c>
      <c r="O5350" s="4" t="s">
        <v>33336</v>
      </c>
      <c r="P5350" s="2" t="s">
        <v>33337</v>
      </c>
      <c r="Q5350" s="2" t="s">
        <v>31</v>
      </c>
      <c r="R5350" s="2" t="s">
        <v>31</v>
      </c>
      <c r="S5350" s="4" t="s">
        <v>33338</v>
      </c>
      <c r="T5350" s="2" t="s">
        <v>33339</v>
      </c>
      <c r="U5350" s="4" t="s">
        <v>31</v>
      </c>
      <c r="V5350" s="2" t="s">
        <v>1762</v>
      </c>
      <c r="W5350" s="2" t="s">
        <v>33333</v>
      </c>
      <c r="X5350" s="5" t="str">
        <f>HYPERLINK("https://my.pitchbook.com?p=141626-44P","View People Online")</f>
        <v>View People Online</v>
      </c>
    </row>
    <row r="5351">
      <c r="A5351" s="14" t="s">
        <v>33340</v>
      </c>
      <c r="B5351" s="14" t="s">
        <v>33341</v>
      </c>
      <c r="C5351" s="14" t="s">
        <v>33342</v>
      </c>
      <c r="D5351" s="14" t="s">
        <v>33343</v>
      </c>
      <c r="E5351" s="14" t="s">
        <v>33333</v>
      </c>
      <c r="F5351" s="14" t="s">
        <v>4406</v>
      </c>
      <c r="G5351" s="14" t="s">
        <v>33344</v>
      </c>
      <c r="H5351" s="15" t="s">
        <v>31</v>
      </c>
      <c r="I5351" s="15">
        <v>1.0</v>
      </c>
      <c r="J5351" s="15">
        <v>1.0</v>
      </c>
      <c r="K5351" s="15" t="s">
        <v>31</v>
      </c>
      <c r="L5351" s="16" t="s">
        <v>31</v>
      </c>
      <c r="M5351" s="14" t="s">
        <v>33345</v>
      </c>
      <c r="N5351" s="14" t="s">
        <v>26958</v>
      </c>
      <c r="O5351" s="16" t="s">
        <v>33336</v>
      </c>
      <c r="P5351" s="14" t="s">
        <v>33337</v>
      </c>
      <c r="Q5351" s="14" t="s">
        <v>31</v>
      </c>
      <c r="R5351" s="14" t="s">
        <v>31</v>
      </c>
      <c r="S5351" s="16" t="s">
        <v>33338</v>
      </c>
      <c r="T5351" s="14" t="s">
        <v>33339</v>
      </c>
      <c r="U5351" s="16" t="s">
        <v>31</v>
      </c>
      <c r="V5351" s="14" t="s">
        <v>4406</v>
      </c>
      <c r="W5351" s="14" t="s">
        <v>33333</v>
      </c>
      <c r="X5351" s="17" t="str">
        <f>HYPERLINK("https://my.pitchbook.com?p=396345-70P","View People Online")</f>
        <v>View People Online</v>
      </c>
    </row>
    <row r="5352">
      <c r="A5352" s="2" t="s">
        <v>33346</v>
      </c>
      <c r="B5352" s="2" t="s">
        <v>33347</v>
      </c>
      <c r="C5352" s="2" t="s">
        <v>16825</v>
      </c>
      <c r="D5352" s="2" t="s">
        <v>33348</v>
      </c>
      <c r="E5352" s="2" t="s">
        <v>33333</v>
      </c>
      <c r="F5352" s="2" t="s">
        <v>5206</v>
      </c>
      <c r="G5352" s="2" t="s">
        <v>33349</v>
      </c>
      <c r="H5352" s="3" t="s">
        <v>31</v>
      </c>
      <c r="I5352" s="3">
        <v>1.0</v>
      </c>
      <c r="J5352" s="3">
        <v>1.0</v>
      </c>
      <c r="K5352" s="3" t="s">
        <v>31</v>
      </c>
      <c r="L5352" s="4" t="s">
        <v>31</v>
      </c>
      <c r="M5352" s="2" t="s">
        <v>33350</v>
      </c>
      <c r="N5352" s="2" t="s">
        <v>26958</v>
      </c>
      <c r="O5352" s="4" t="s">
        <v>33336</v>
      </c>
      <c r="P5352" s="2" t="s">
        <v>33337</v>
      </c>
      <c r="Q5352" s="2" t="s">
        <v>31</v>
      </c>
      <c r="R5352" s="2" t="s">
        <v>31</v>
      </c>
      <c r="S5352" s="4" t="s">
        <v>33338</v>
      </c>
      <c r="T5352" s="2" t="s">
        <v>33339</v>
      </c>
      <c r="U5352" s="4" t="s">
        <v>31</v>
      </c>
      <c r="V5352" s="2" t="s">
        <v>33351</v>
      </c>
      <c r="W5352" s="2" t="s">
        <v>33333</v>
      </c>
      <c r="X5352" s="5" t="str">
        <f>HYPERLINK("https://my.pitchbook.com?p=194266-27P","View People Online")</f>
        <v>View People Online</v>
      </c>
    </row>
    <row r="5353">
      <c r="A5353" s="6" t="s">
        <v>33352</v>
      </c>
      <c r="B5353" s="6" t="s">
        <v>33353</v>
      </c>
      <c r="C5353" s="6" t="s">
        <v>33354</v>
      </c>
      <c r="D5353" s="6" t="s">
        <v>33355</v>
      </c>
      <c r="E5353" s="6" t="s">
        <v>33333</v>
      </c>
      <c r="F5353" s="6" t="s">
        <v>1167</v>
      </c>
      <c r="G5353" s="6" t="s">
        <v>33356</v>
      </c>
      <c r="H5353" s="7" t="s">
        <v>31</v>
      </c>
      <c r="I5353" s="7">
        <v>1.0</v>
      </c>
      <c r="J5353" s="7">
        <v>1.0</v>
      </c>
      <c r="K5353" s="7" t="s">
        <v>31</v>
      </c>
      <c r="L5353" s="8" t="s">
        <v>31</v>
      </c>
      <c r="M5353" s="6" t="s">
        <v>33357</v>
      </c>
      <c r="N5353" s="6" t="s">
        <v>26958</v>
      </c>
      <c r="O5353" s="8" t="s">
        <v>33336</v>
      </c>
      <c r="P5353" s="6" t="s">
        <v>33337</v>
      </c>
      <c r="Q5353" s="6" t="s">
        <v>31</v>
      </c>
      <c r="R5353" s="6" t="s">
        <v>31</v>
      </c>
      <c r="S5353" s="8" t="s">
        <v>33338</v>
      </c>
      <c r="T5353" s="6" t="s">
        <v>33339</v>
      </c>
      <c r="U5353" s="8" t="s">
        <v>31</v>
      </c>
      <c r="V5353" s="6" t="s">
        <v>991</v>
      </c>
      <c r="W5353" s="6" t="s">
        <v>33333</v>
      </c>
      <c r="X5353" s="9" t="str">
        <f>HYPERLINK("https://my.pitchbook.com?p=151171-48P","View People Online")</f>
        <v>View People Online</v>
      </c>
    </row>
    <row r="5354">
      <c r="A5354" s="10" t="s">
        <v>33358</v>
      </c>
      <c r="B5354" s="10" t="s">
        <v>33359</v>
      </c>
      <c r="C5354" s="10" t="s">
        <v>33360</v>
      </c>
      <c r="D5354" s="10" t="s">
        <v>33361</v>
      </c>
      <c r="E5354" s="10" t="s">
        <v>33333</v>
      </c>
      <c r="F5354" s="10" t="s">
        <v>1730</v>
      </c>
      <c r="G5354" s="10" t="s">
        <v>33362</v>
      </c>
      <c r="H5354" s="11" t="s">
        <v>31</v>
      </c>
      <c r="I5354" s="11">
        <v>1.0</v>
      </c>
      <c r="J5354" s="11">
        <v>1.0</v>
      </c>
      <c r="K5354" s="11" t="s">
        <v>31</v>
      </c>
      <c r="L5354" s="12" t="s">
        <v>31</v>
      </c>
      <c r="M5354" s="10" t="s">
        <v>33363</v>
      </c>
      <c r="N5354" s="10" t="s">
        <v>26958</v>
      </c>
      <c r="O5354" s="12" t="s">
        <v>33336</v>
      </c>
      <c r="P5354" s="10" t="s">
        <v>33337</v>
      </c>
      <c r="Q5354" s="10" t="s">
        <v>31</v>
      </c>
      <c r="R5354" s="10" t="s">
        <v>31</v>
      </c>
      <c r="S5354" s="12" t="s">
        <v>33338</v>
      </c>
      <c r="T5354" s="10" t="s">
        <v>33339</v>
      </c>
      <c r="U5354" s="12" t="s">
        <v>31</v>
      </c>
      <c r="V5354" s="10" t="s">
        <v>33364</v>
      </c>
      <c r="W5354" s="10" t="s">
        <v>33333</v>
      </c>
      <c r="X5354" s="13" t="str">
        <f>HYPERLINK("https://my.pitchbook.com?p=151171-84P","View People Online")</f>
        <v>View People Online</v>
      </c>
    </row>
    <row r="5355">
      <c r="A5355" s="6" t="s">
        <v>33365</v>
      </c>
      <c r="B5355" s="6" t="s">
        <v>33366</v>
      </c>
      <c r="C5355" s="6" t="s">
        <v>33367</v>
      </c>
      <c r="D5355" s="6" t="s">
        <v>33368</v>
      </c>
      <c r="E5355" s="6" t="s">
        <v>33333</v>
      </c>
      <c r="F5355" s="6" t="s">
        <v>5206</v>
      </c>
      <c r="G5355" s="6" t="s">
        <v>33369</v>
      </c>
      <c r="H5355" s="7" t="s">
        <v>31</v>
      </c>
      <c r="I5355" s="7">
        <v>1.0</v>
      </c>
      <c r="J5355" s="7">
        <v>1.0</v>
      </c>
      <c r="K5355" s="7" t="s">
        <v>31</v>
      </c>
      <c r="L5355" s="8" t="s">
        <v>31</v>
      </c>
      <c r="M5355" s="6" t="s">
        <v>33370</v>
      </c>
      <c r="N5355" s="6" t="s">
        <v>26958</v>
      </c>
      <c r="O5355" s="8" t="s">
        <v>33336</v>
      </c>
      <c r="P5355" s="6" t="s">
        <v>33337</v>
      </c>
      <c r="Q5355" s="6" t="s">
        <v>31</v>
      </c>
      <c r="R5355" s="6" t="s">
        <v>31</v>
      </c>
      <c r="S5355" s="8" t="s">
        <v>33338</v>
      </c>
      <c r="T5355" s="6" t="s">
        <v>33339</v>
      </c>
      <c r="U5355" s="8" t="s">
        <v>31</v>
      </c>
      <c r="V5355" s="6" t="s">
        <v>33371</v>
      </c>
      <c r="W5355" s="6" t="s">
        <v>33333</v>
      </c>
      <c r="X5355" s="9" t="str">
        <f>HYPERLINK("https://my.pitchbook.com?p=266536-90P","View People Online")</f>
        <v>View People Online</v>
      </c>
    </row>
    <row r="5356">
      <c r="A5356" s="2" t="s">
        <v>33372</v>
      </c>
      <c r="B5356" s="2" t="s">
        <v>33373</v>
      </c>
      <c r="C5356" s="2" t="s">
        <v>33374</v>
      </c>
      <c r="D5356" s="2" t="s">
        <v>33375</v>
      </c>
      <c r="E5356" s="2" t="s">
        <v>33333</v>
      </c>
      <c r="F5356" s="2" t="s">
        <v>270</v>
      </c>
      <c r="G5356" s="2" t="s">
        <v>33376</v>
      </c>
      <c r="H5356" s="3" t="s">
        <v>31</v>
      </c>
      <c r="I5356" s="3">
        <v>1.0</v>
      </c>
      <c r="J5356" s="3">
        <v>1.0</v>
      </c>
      <c r="K5356" s="3" t="s">
        <v>31</v>
      </c>
      <c r="L5356" s="4" t="s">
        <v>31</v>
      </c>
      <c r="M5356" s="2" t="s">
        <v>33377</v>
      </c>
      <c r="N5356" s="2" t="s">
        <v>26958</v>
      </c>
      <c r="O5356" s="4" t="s">
        <v>33336</v>
      </c>
      <c r="P5356" s="2" t="s">
        <v>33337</v>
      </c>
      <c r="Q5356" s="2" t="s">
        <v>31</v>
      </c>
      <c r="R5356" s="2" t="s">
        <v>31</v>
      </c>
      <c r="S5356" s="4" t="s">
        <v>33338</v>
      </c>
      <c r="T5356" s="2" t="s">
        <v>33339</v>
      </c>
      <c r="U5356" s="4" t="s">
        <v>31</v>
      </c>
      <c r="V5356" s="2" t="s">
        <v>33378</v>
      </c>
      <c r="W5356" s="2" t="s">
        <v>33333</v>
      </c>
      <c r="X5356" s="5" t="str">
        <f>HYPERLINK("https://my.pitchbook.com?p=264484-81P","View People Online")</f>
        <v>View People Online</v>
      </c>
    </row>
    <row r="5357">
      <c r="A5357" s="14" t="s">
        <v>33379</v>
      </c>
      <c r="B5357" s="14" t="s">
        <v>33380</v>
      </c>
      <c r="C5357" s="14" t="s">
        <v>23006</v>
      </c>
      <c r="D5357" s="14" t="s">
        <v>33381</v>
      </c>
      <c r="E5357" s="14" t="s">
        <v>33333</v>
      </c>
      <c r="F5357" s="14" t="s">
        <v>4551</v>
      </c>
      <c r="G5357" s="14" t="s">
        <v>33382</v>
      </c>
      <c r="H5357" s="15" t="s">
        <v>31</v>
      </c>
      <c r="I5357" s="15">
        <v>1.0</v>
      </c>
      <c r="J5357" s="15">
        <v>1.0</v>
      </c>
      <c r="K5357" s="15" t="s">
        <v>31</v>
      </c>
      <c r="L5357" s="16" t="s">
        <v>31</v>
      </c>
      <c r="M5357" s="14" t="s">
        <v>33383</v>
      </c>
      <c r="N5357" s="14" t="s">
        <v>26958</v>
      </c>
      <c r="O5357" s="16" t="s">
        <v>33336</v>
      </c>
      <c r="P5357" s="14" t="s">
        <v>33337</v>
      </c>
      <c r="Q5357" s="14" t="s">
        <v>31</v>
      </c>
      <c r="R5357" s="14" t="s">
        <v>31</v>
      </c>
      <c r="S5357" s="16" t="s">
        <v>33338</v>
      </c>
      <c r="T5357" s="14" t="s">
        <v>33339</v>
      </c>
      <c r="U5357" s="16" t="s">
        <v>31</v>
      </c>
      <c r="V5357" s="14" t="s">
        <v>33384</v>
      </c>
      <c r="W5357" s="14" t="s">
        <v>33333</v>
      </c>
      <c r="X5357" s="17" t="str">
        <f>HYPERLINK("https://my.pitchbook.com?p=194265-91P","View People Online")</f>
        <v>View People Online</v>
      </c>
    </row>
    <row r="5358">
      <c r="A5358" s="2" t="s">
        <v>33385</v>
      </c>
      <c r="B5358" s="2" t="s">
        <v>33386</v>
      </c>
      <c r="C5358" s="2" t="s">
        <v>33387</v>
      </c>
      <c r="D5358" s="2" t="s">
        <v>33388</v>
      </c>
      <c r="E5358" s="2" t="s">
        <v>33333</v>
      </c>
      <c r="F5358" s="2" t="s">
        <v>502</v>
      </c>
      <c r="G5358" s="2" t="s">
        <v>33389</v>
      </c>
      <c r="H5358" s="3" t="s">
        <v>31</v>
      </c>
      <c r="I5358" s="3">
        <v>1.0</v>
      </c>
      <c r="J5358" s="3">
        <v>1.0</v>
      </c>
      <c r="K5358" s="3" t="s">
        <v>31</v>
      </c>
      <c r="L5358" s="4" t="s">
        <v>31</v>
      </c>
      <c r="M5358" s="2" t="s">
        <v>33390</v>
      </c>
      <c r="N5358" s="2" t="s">
        <v>26958</v>
      </c>
      <c r="O5358" s="4" t="s">
        <v>33336</v>
      </c>
      <c r="P5358" s="2" t="s">
        <v>33337</v>
      </c>
      <c r="Q5358" s="2" t="s">
        <v>31</v>
      </c>
      <c r="R5358" s="2" t="s">
        <v>31</v>
      </c>
      <c r="S5358" s="4" t="s">
        <v>33338</v>
      </c>
      <c r="T5358" s="2" t="s">
        <v>33339</v>
      </c>
      <c r="U5358" s="4" t="s">
        <v>31</v>
      </c>
      <c r="V5358" s="2" t="s">
        <v>502</v>
      </c>
      <c r="W5358" s="2" t="s">
        <v>33333</v>
      </c>
      <c r="X5358" s="5" t="str">
        <f>HYPERLINK("https://my.pitchbook.com?p=245659-87P","View People Online")</f>
        <v>View People Online</v>
      </c>
    </row>
    <row r="5359">
      <c r="A5359" s="14" t="s">
        <v>33391</v>
      </c>
      <c r="B5359" s="14" t="s">
        <v>33392</v>
      </c>
      <c r="C5359" s="14" t="s">
        <v>33393</v>
      </c>
      <c r="D5359" s="14" t="s">
        <v>33394</v>
      </c>
      <c r="E5359" s="14" t="s">
        <v>33333</v>
      </c>
      <c r="F5359" s="14" t="s">
        <v>270</v>
      </c>
      <c r="G5359" s="14" t="s">
        <v>33395</v>
      </c>
      <c r="H5359" s="15" t="s">
        <v>31</v>
      </c>
      <c r="I5359" s="15">
        <v>1.0</v>
      </c>
      <c r="J5359" s="15">
        <v>1.0</v>
      </c>
      <c r="K5359" s="15" t="s">
        <v>31</v>
      </c>
      <c r="L5359" s="16" t="s">
        <v>31</v>
      </c>
      <c r="M5359" s="14" t="s">
        <v>33396</v>
      </c>
      <c r="N5359" s="14" t="s">
        <v>26958</v>
      </c>
      <c r="O5359" s="16" t="s">
        <v>33336</v>
      </c>
      <c r="P5359" s="14" t="s">
        <v>33337</v>
      </c>
      <c r="Q5359" s="14" t="s">
        <v>31</v>
      </c>
      <c r="R5359" s="14" t="s">
        <v>31</v>
      </c>
      <c r="S5359" s="16" t="s">
        <v>33338</v>
      </c>
      <c r="T5359" s="14" t="s">
        <v>33339</v>
      </c>
      <c r="U5359" s="16" t="s">
        <v>31</v>
      </c>
      <c r="V5359" s="14" t="s">
        <v>2004</v>
      </c>
      <c r="W5359" s="14" t="s">
        <v>33333</v>
      </c>
      <c r="X5359" s="17" t="str">
        <f>HYPERLINK("https://my.pitchbook.com?p=220962-16P","View People Online")</f>
        <v>View People Online</v>
      </c>
    </row>
    <row r="5360">
      <c r="A5360" s="2" t="s">
        <v>33397</v>
      </c>
      <c r="B5360" s="2" t="s">
        <v>33398</v>
      </c>
      <c r="C5360" s="2" t="s">
        <v>54</v>
      </c>
      <c r="D5360" s="2" t="s">
        <v>28047</v>
      </c>
      <c r="E5360" s="2" t="s">
        <v>33399</v>
      </c>
      <c r="F5360" s="2" t="s">
        <v>583</v>
      </c>
      <c r="G5360" s="2" t="s">
        <v>33400</v>
      </c>
      <c r="H5360" s="3" t="s">
        <v>31</v>
      </c>
      <c r="I5360" s="3">
        <v>2.0</v>
      </c>
      <c r="J5360" s="3">
        <v>2.0</v>
      </c>
      <c r="K5360" s="3" t="s">
        <v>31</v>
      </c>
      <c r="L5360" s="4" t="s">
        <v>33401</v>
      </c>
      <c r="M5360" s="2" t="s">
        <v>33402</v>
      </c>
      <c r="N5360" s="2" t="s">
        <v>14203</v>
      </c>
      <c r="O5360" s="4" t="s">
        <v>14204</v>
      </c>
      <c r="P5360" s="2" t="s">
        <v>33403</v>
      </c>
      <c r="Q5360" s="2" t="s">
        <v>14206</v>
      </c>
      <c r="R5360" s="2" t="s">
        <v>1420</v>
      </c>
      <c r="S5360" s="4" t="s">
        <v>14207</v>
      </c>
      <c r="T5360" s="2" t="s">
        <v>66</v>
      </c>
      <c r="U5360" s="4" t="s">
        <v>31</v>
      </c>
      <c r="V5360" s="2" t="s">
        <v>78</v>
      </c>
      <c r="W5360" s="2" t="s">
        <v>33404</v>
      </c>
      <c r="X5360" s="5" t="str">
        <f>HYPERLINK("https://my.pitchbook.com?p=15906-88P","View People Online")</f>
        <v>View People Online</v>
      </c>
    </row>
    <row r="5361">
      <c r="A5361" s="14" t="s">
        <v>33405</v>
      </c>
      <c r="B5361" s="14" t="s">
        <v>33406</v>
      </c>
      <c r="C5361" s="14" t="s">
        <v>1449</v>
      </c>
      <c r="D5361" s="14" t="s">
        <v>8429</v>
      </c>
      <c r="E5361" s="14" t="s">
        <v>33399</v>
      </c>
      <c r="F5361" s="14" t="s">
        <v>14489</v>
      </c>
      <c r="G5361" s="14" t="s">
        <v>33407</v>
      </c>
      <c r="H5361" s="15" t="s">
        <v>31</v>
      </c>
      <c r="I5361" s="15">
        <v>1.0</v>
      </c>
      <c r="J5361" s="15">
        <v>1.0</v>
      </c>
      <c r="K5361" s="15" t="s">
        <v>31</v>
      </c>
      <c r="L5361" s="16" t="s">
        <v>33408</v>
      </c>
      <c r="M5361" s="14" t="s">
        <v>33409</v>
      </c>
      <c r="N5361" s="14" t="s">
        <v>14203</v>
      </c>
      <c r="O5361" s="16" t="s">
        <v>14204</v>
      </c>
      <c r="P5361" s="14" t="s">
        <v>33410</v>
      </c>
      <c r="Q5361" s="14" t="s">
        <v>31</v>
      </c>
      <c r="R5361" s="14" t="s">
        <v>1420</v>
      </c>
      <c r="S5361" s="16" t="s">
        <v>14207</v>
      </c>
      <c r="T5361" s="14" t="s">
        <v>66</v>
      </c>
      <c r="U5361" s="16" t="s">
        <v>31</v>
      </c>
      <c r="V5361" s="14" t="s">
        <v>33411</v>
      </c>
      <c r="W5361" s="14" t="s">
        <v>33399</v>
      </c>
      <c r="X5361" s="17" t="str">
        <f>HYPERLINK("https://my.pitchbook.com?p=243262-54P","View People Online")</f>
        <v>View People Online</v>
      </c>
    </row>
    <row r="5362">
      <c r="A5362" s="2" t="s">
        <v>33412</v>
      </c>
      <c r="B5362" s="2" t="s">
        <v>33413</v>
      </c>
      <c r="C5362" s="2" t="s">
        <v>3670</v>
      </c>
      <c r="D5362" s="2" t="s">
        <v>33414</v>
      </c>
      <c r="E5362" s="2" t="s">
        <v>33399</v>
      </c>
      <c r="F5362" s="2" t="s">
        <v>371</v>
      </c>
      <c r="G5362" s="2" t="s">
        <v>33415</v>
      </c>
      <c r="H5362" s="3" t="s">
        <v>31</v>
      </c>
      <c r="I5362" s="3">
        <v>1.0</v>
      </c>
      <c r="J5362" s="3">
        <v>1.0</v>
      </c>
      <c r="K5362" s="3" t="s">
        <v>31</v>
      </c>
      <c r="L5362" s="4" t="s">
        <v>33416</v>
      </c>
      <c r="M5362" s="2" t="s">
        <v>33417</v>
      </c>
      <c r="N5362" s="2" t="s">
        <v>75</v>
      </c>
      <c r="O5362" s="4" t="s">
        <v>76</v>
      </c>
      <c r="P5362" s="2" t="s">
        <v>33418</v>
      </c>
      <c r="Q5362" s="2" t="s">
        <v>31</v>
      </c>
      <c r="R5362" s="2" t="s">
        <v>75</v>
      </c>
      <c r="S5362" s="4" t="s">
        <v>33419</v>
      </c>
      <c r="T5362" s="2" t="s">
        <v>66</v>
      </c>
      <c r="U5362" s="4" t="s">
        <v>31</v>
      </c>
      <c r="V5362" s="2" t="s">
        <v>371</v>
      </c>
      <c r="W5362" s="2" t="s">
        <v>33399</v>
      </c>
      <c r="X5362" s="5" t="str">
        <f>HYPERLINK("https://my.pitchbook.com?p=198881-83P","View People Online")</f>
        <v>View People Online</v>
      </c>
    </row>
    <row r="5363">
      <c r="A5363" s="14" t="s">
        <v>33420</v>
      </c>
      <c r="B5363" s="14" t="s">
        <v>33421</v>
      </c>
      <c r="C5363" s="14" t="s">
        <v>160</v>
      </c>
      <c r="D5363" s="14" t="s">
        <v>1147</v>
      </c>
      <c r="E5363" s="14" t="s">
        <v>33399</v>
      </c>
      <c r="F5363" s="14" t="s">
        <v>33422</v>
      </c>
      <c r="G5363" s="14" t="s">
        <v>33423</v>
      </c>
      <c r="H5363" s="15">
        <v>3.0</v>
      </c>
      <c r="I5363" s="15">
        <v>9.0</v>
      </c>
      <c r="J5363" s="15">
        <v>3.0</v>
      </c>
      <c r="K5363" s="15">
        <v>2.0</v>
      </c>
      <c r="L5363" s="16" t="s">
        <v>33424</v>
      </c>
      <c r="M5363" s="14" t="s">
        <v>33425</v>
      </c>
      <c r="N5363" s="14" t="s">
        <v>14203</v>
      </c>
      <c r="O5363" s="16" t="s">
        <v>14204</v>
      </c>
      <c r="P5363" s="14" t="s">
        <v>33410</v>
      </c>
      <c r="Q5363" s="14" t="s">
        <v>31</v>
      </c>
      <c r="R5363" s="14" t="s">
        <v>1420</v>
      </c>
      <c r="S5363" s="16" t="s">
        <v>14207</v>
      </c>
      <c r="T5363" s="14" t="s">
        <v>66</v>
      </c>
      <c r="U5363" s="16" t="s">
        <v>31</v>
      </c>
      <c r="V5363" s="14" t="s">
        <v>33426</v>
      </c>
      <c r="W5363" s="14" t="s">
        <v>33399</v>
      </c>
      <c r="X5363" s="17" t="str">
        <f>HYPERLINK("https://my.pitchbook.com?p=42550-03P","View People Online")</f>
        <v>View People Online</v>
      </c>
    </row>
    <row r="5364">
      <c r="A5364" s="10" t="s">
        <v>33427</v>
      </c>
      <c r="B5364" s="10" t="s">
        <v>33428</v>
      </c>
      <c r="C5364" s="10" t="s">
        <v>907</v>
      </c>
      <c r="D5364" s="10" t="s">
        <v>33429</v>
      </c>
      <c r="E5364" s="10" t="s">
        <v>33399</v>
      </c>
      <c r="F5364" s="10" t="s">
        <v>583</v>
      </c>
      <c r="G5364" s="10" t="s">
        <v>33430</v>
      </c>
      <c r="H5364" s="11" t="s">
        <v>31</v>
      </c>
      <c r="I5364" s="11">
        <v>1.0</v>
      </c>
      <c r="J5364" s="11">
        <v>1.0</v>
      </c>
      <c r="K5364" s="11" t="s">
        <v>31</v>
      </c>
      <c r="L5364" s="12" t="s">
        <v>33416</v>
      </c>
      <c r="M5364" s="10" t="s">
        <v>31</v>
      </c>
      <c r="N5364" s="10" t="s">
        <v>75</v>
      </c>
      <c r="O5364" s="12" t="s">
        <v>76</v>
      </c>
      <c r="P5364" s="10" t="s">
        <v>33418</v>
      </c>
      <c r="Q5364" s="10" t="s">
        <v>31</v>
      </c>
      <c r="R5364" s="10" t="s">
        <v>75</v>
      </c>
      <c r="S5364" s="12" t="s">
        <v>33419</v>
      </c>
      <c r="T5364" s="10" t="s">
        <v>66</v>
      </c>
      <c r="U5364" s="12" t="s">
        <v>31</v>
      </c>
      <c r="V5364" s="10" t="s">
        <v>33431</v>
      </c>
      <c r="W5364" s="10" t="s">
        <v>33399</v>
      </c>
      <c r="X5364" s="13" t="str">
        <f>HYPERLINK("https://my.pitchbook.com?p=449811-46P","View People Online")</f>
        <v>View People Online</v>
      </c>
    </row>
    <row r="5365">
      <c r="A5365" s="6" t="s">
        <v>33432</v>
      </c>
      <c r="B5365" s="6" t="s">
        <v>33433</v>
      </c>
      <c r="C5365" s="6" t="s">
        <v>21710</v>
      </c>
      <c r="D5365" s="6" t="s">
        <v>33434</v>
      </c>
      <c r="E5365" s="6" t="s">
        <v>33399</v>
      </c>
      <c r="F5365" s="6" t="s">
        <v>33435</v>
      </c>
      <c r="G5365" s="6" t="s">
        <v>33436</v>
      </c>
      <c r="H5365" s="7" t="s">
        <v>31</v>
      </c>
      <c r="I5365" s="7">
        <v>2.0</v>
      </c>
      <c r="J5365" s="7">
        <v>1.0</v>
      </c>
      <c r="K5365" s="7" t="s">
        <v>31</v>
      </c>
      <c r="L5365" s="8" t="s">
        <v>33408</v>
      </c>
      <c r="M5365" s="6" t="s">
        <v>33437</v>
      </c>
      <c r="N5365" s="6" t="s">
        <v>14203</v>
      </c>
      <c r="O5365" s="8" t="s">
        <v>14204</v>
      </c>
      <c r="P5365" s="6" t="s">
        <v>33410</v>
      </c>
      <c r="Q5365" s="6" t="s">
        <v>31</v>
      </c>
      <c r="R5365" s="6" t="s">
        <v>1420</v>
      </c>
      <c r="S5365" s="8" t="s">
        <v>14207</v>
      </c>
      <c r="T5365" s="6" t="s">
        <v>66</v>
      </c>
      <c r="U5365" s="8" t="s">
        <v>31</v>
      </c>
      <c r="V5365" s="6" t="s">
        <v>33438</v>
      </c>
      <c r="W5365" s="6" t="s">
        <v>33399</v>
      </c>
      <c r="X5365" s="9" t="str">
        <f>HYPERLINK("https://my.pitchbook.com?p=45817-03P","View People Online")</f>
        <v>View People Online</v>
      </c>
    </row>
    <row r="5366">
      <c r="A5366" s="10" t="s">
        <v>33439</v>
      </c>
      <c r="B5366" s="10" t="s">
        <v>33440</v>
      </c>
      <c r="C5366" s="10" t="s">
        <v>33441</v>
      </c>
      <c r="D5366" s="10" t="s">
        <v>10054</v>
      </c>
      <c r="E5366" s="10" t="s">
        <v>33399</v>
      </c>
      <c r="F5366" s="10" t="s">
        <v>1234</v>
      </c>
      <c r="G5366" s="10" t="s">
        <v>33442</v>
      </c>
      <c r="H5366" s="11">
        <v>2.0</v>
      </c>
      <c r="I5366" s="11">
        <v>2.0</v>
      </c>
      <c r="J5366" s="11">
        <v>2.0</v>
      </c>
      <c r="K5366" s="11" t="s">
        <v>31</v>
      </c>
      <c r="L5366" s="12" t="s">
        <v>31</v>
      </c>
      <c r="M5366" s="10" t="s">
        <v>31</v>
      </c>
      <c r="N5366" s="10" t="s">
        <v>33443</v>
      </c>
      <c r="O5366" s="12" t="s">
        <v>33444</v>
      </c>
      <c r="P5366" s="10" t="s">
        <v>33445</v>
      </c>
      <c r="Q5366" s="10" t="s">
        <v>31</v>
      </c>
      <c r="R5366" s="10" t="s">
        <v>64</v>
      </c>
      <c r="S5366" s="12" t="s">
        <v>33446</v>
      </c>
      <c r="T5366" s="10" t="s">
        <v>66</v>
      </c>
      <c r="U5366" s="12" t="s">
        <v>31</v>
      </c>
      <c r="V5366" s="10" t="s">
        <v>1252</v>
      </c>
      <c r="W5366" s="10" t="s">
        <v>33447</v>
      </c>
      <c r="X5366" s="13" t="str">
        <f>HYPERLINK("https://my.pitchbook.com?p=359597-80P","View People Online")</f>
        <v>View People Online</v>
      </c>
    </row>
    <row r="5367">
      <c r="A5367" s="6" t="s">
        <v>33448</v>
      </c>
      <c r="B5367" s="6" t="s">
        <v>33449</v>
      </c>
      <c r="C5367" s="6" t="s">
        <v>568</v>
      </c>
      <c r="D5367" s="6" t="s">
        <v>823</v>
      </c>
      <c r="E5367" s="6" t="s">
        <v>33450</v>
      </c>
      <c r="F5367" s="6" t="s">
        <v>1134</v>
      </c>
      <c r="G5367" s="6" t="s">
        <v>33451</v>
      </c>
      <c r="H5367" s="7" t="s">
        <v>31</v>
      </c>
      <c r="I5367" s="7">
        <v>2.0</v>
      </c>
      <c r="J5367" s="7">
        <v>1.0</v>
      </c>
      <c r="K5367" s="7" t="s">
        <v>31</v>
      </c>
      <c r="L5367" s="8" t="s">
        <v>33452</v>
      </c>
      <c r="M5367" s="6" t="s">
        <v>33453</v>
      </c>
      <c r="N5367" s="6" t="s">
        <v>75</v>
      </c>
      <c r="O5367" s="8" t="s">
        <v>76</v>
      </c>
      <c r="P5367" s="6" t="s">
        <v>33454</v>
      </c>
      <c r="Q5367" s="6" t="s">
        <v>12967</v>
      </c>
      <c r="R5367" s="6" t="s">
        <v>75</v>
      </c>
      <c r="S5367" s="8" t="s">
        <v>2167</v>
      </c>
      <c r="T5367" s="6" t="s">
        <v>66</v>
      </c>
      <c r="U5367" s="8" t="s">
        <v>31</v>
      </c>
      <c r="V5367" s="6" t="s">
        <v>33455</v>
      </c>
      <c r="W5367" s="6" t="s">
        <v>33450</v>
      </c>
      <c r="X5367" s="9" t="str">
        <f>HYPERLINK("https://my.pitchbook.com?p=117006-40P","View People Online")</f>
        <v>View People Online</v>
      </c>
    </row>
    <row r="5368">
      <c r="A5368" s="10" t="s">
        <v>33456</v>
      </c>
      <c r="B5368" s="10" t="s">
        <v>33457</v>
      </c>
      <c r="C5368" s="10" t="s">
        <v>33458</v>
      </c>
      <c r="D5368" s="10" t="s">
        <v>33459</v>
      </c>
      <c r="E5368" s="10" t="s">
        <v>33450</v>
      </c>
      <c r="F5368" s="10" t="s">
        <v>2731</v>
      </c>
      <c r="G5368" s="10" t="s">
        <v>33460</v>
      </c>
      <c r="H5368" s="11" t="s">
        <v>31</v>
      </c>
      <c r="I5368" s="11">
        <v>1.0</v>
      </c>
      <c r="J5368" s="11" t="s">
        <v>31</v>
      </c>
      <c r="K5368" s="11" t="s">
        <v>31</v>
      </c>
      <c r="L5368" s="12" t="s">
        <v>33461</v>
      </c>
      <c r="M5368" s="10" t="s">
        <v>33462</v>
      </c>
      <c r="N5368" s="10" t="s">
        <v>75</v>
      </c>
      <c r="O5368" s="12" t="s">
        <v>76</v>
      </c>
      <c r="P5368" s="10" t="s">
        <v>33454</v>
      </c>
      <c r="Q5368" s="10" t="s">
        <v>12967</v>
      </c>
      <c r="R5368" s="10" t="s">
        <v>75</v>
      </c>
      <c r="S5368" s="12" t="s">
        <v>2167</v>
      </c>
      <c r="T5368" s="10" t="s">
        <v>66</v>
      </c>
      <c r="U5368" s="12" t="s">
        <v>31</v>
      </c>
      <c r="V5368" s="10" t="s">
        <v>31</v>
      </c>
      <c r="W5368" s="10" t="s">
        <v>33463</v>
      </c>
      <c r="X5368" s="13" t="str">
        <f>HYPERLINK("https://my.pitchbook.com?p=46967-95P","View People Online")</f>
        <v>View People Online</v>
      </c>
    </row>
    <row r="5369">
      <c r="A5369" s="14" t="s">
        <v>33464</v>
      </c>
      <c r="B5369" s="14" t="s">
        <v>33465</v>
      </c>
      <c r="C5369" s="14" t="s">
        <v>13523</v>
      </c>
      <c r="D5369" s="14" t="s">
        <v>33466</v>
      </c>
      <c r="E5369" s="14" t="s">
        <v>33450</v>
      </c>
      <c r="F5369" s="14" t="s">
        <v>9167</v>
      </c>
      <c r="G5369" s="14" t="s">
        <v>33467</v>
      </c>
      <c r="H5369" s="15" t="s">
        <v>31</v>
      </c>
      <c r="I5369" s="15">
        <v>1.0</v>
      </c>
      <c r="J5369" s="15">
        <v>1.0</v>
      </c>
      <c r="K5369" s="15" t="s">
        <v>31</v>
      </c>
      <c r="L5369" s="16" t="s">
        <v>33452</v>
      </c>
      <c r="M5369" s="14" t="s">
        <v>33468</v>
      </c>
      <c r="N5369" s="14" t="s">
        <v>75</v>
      </c>
      <c r="O5369" s="16" t="s">
        <v>76</v>
      </c>
      <c r="P5369" s="14" t="s">
        <v>33454</v>
      </c>
      <c r="Q5369" s="14" t="s">
        <v>12967</v>
      </c>
      <c r="R5369" s="14" t="s">
        <v>75</v>
      </c>
      <c r="S5369" s="16" t="s">
        <v>2167</v>
      </c>
      <c r="T5369" s="14" t="s">
        <v>66</v>
      </c>
      <c r="U5369" s="16" t="s">
        <v>31</v>
      </c>
      <c r="V5369" s="14" t="s">
        <v>33469</v>
      </c>
      <c r="W5369" s="14" t="s">
        <v>33450</v>
      </c>
      <c r="X5369" s="17" t="str">
        <f>HYPERLINK("https://my.pitchbook.com?p=439078-24P","View People Online")</f>
        <v>View People Online</v>
      </c>
    </row>
    <row r="5370">
      <c r="A5370" s="2" t="s">
        <v>33470</v>
      </c>
      <c r="B5370" s="2" t="s">
        <v>33471</v>
      </c>
      <c r="C5370" s="2" t="s">
        <v>186</v>
      </c>
      <c r="D5370" s="2" t="s">
        <v>3354</v>
      </c>
      <c r="E5370" s="2" t="s">
        <v>33450</v>
      </c>
      <c r="F5370" s="2" t="s">
        <v>201</v>
      </c>
      <c r="G5370" s="2" t="s">
        <v>33472</v>
      </c>
      <c r="H5370" s="3" t="s">
        <v>31</v>
      </c>
      <c r="I5370" s="3">
        <v>1.0</v>
      </c>
      <c r="J5370" s="3">
        <v>1.0</v>
      </c>
      <c r="K5370" s="3" t="s">
        <v>31</v>
      </c>
      <c r="L5370" s="4" t="s">
        <v>33452</v>
      </c>
      <c r="M5370" s="2" t="s">
        <v>33473</v>
      </c>
      <c r="N5370" s="2" t="s">
        <v>75</v>
      </c>
      <c r="O5370" s="4" t="s">
        <v>76</v>
      </c>
      <c r="P5370" s="2" t="s">
        <v>33454</v>
      </c>
      <c r="Q5370" s="2" t="s">
        <v>12967</v>
      </c>
      <c r="R5370" s="2" t="s">
        <v>75</v>
      </c>
      <c r="S5370" s="4" t="s">
        <v>2167</v>
      </c>
      <c r="T5370" s="2" t="s">
        <v>66</v>
      </c>
      <c r="U5370" s="4" t="s">
        <v>31</v>
      </c>
      <c r="V5370" s="2" t="s">
        <v>201</v>
      </c>
      <c r="W5370" s="2" t="s">
        <v>33450</v>
      </c>
      <c r="X5370" s="5" t="str">
        <f>HYPERLINK("https://my.pitchbook.com?p=456483-25P","View People Online")</f>
        <v>View People Online</v>
      </c>
    </row>
    <row r="5371">
      <c r="A5371" s="6" t="s">
        <v>33474</v>
      </c>
      <c r="B5371" s="6" t="s">
        <v>33475</v>
      </c>
      <c r="C5371" s="6" t="s">
        <v>237</v>
      </c>
      <c r="D5371" s="6" t="s">
        <v>33476</v>
      </c>
      <c r="E5371" s="6" t="s">
        <v>33450</v>
      </c>
      <c r="F5371" s="6" t="s">
        <v>318</v>
      </c>
      <c r="G5371" s="6" t="s">
        <v>33477</v>
      </c>
      <c r="H5371" s="7" t="s">
        <v>31</v>
      </c>
      <c r="I5371" s="7">
        <v>1.0</v>
      </c>
      <c r="J5371" s="7">
        <v>1.0</v>
      </c>
      <c r="K5371" s="7" t="s">
        <v>31</v>
      </c>
      <c r="L5371" s="8" t="s">
        <v>33452</v>
      </c>
      <c r="M5371" s="6" t="s">
        <v>33478</v>
      </c>
      <c r="N5371" s="6" t="s">
        <v>75</v>
      </c>
      <c r="O5371" s="8" t="s">
        <v>76</v>
      </c>
      <c r="P5371" s="6" t="s">
        <v>33454</v>
      </c>
      <c r="Q5371" s="6" t="s">
        <v>12967</v>
      </c>
      <c r="R5371" s="6" t="s">
        <v>75</v>
      </c>
      <c r="S5371" s="8" t="s">
        <v>2167</v>
      </c>
      <c r="T5371" s="6" t="s">
        <v>66</v>
      </c>
      <c r="U5371" s="8" t="s">
        <v>31</v>
      </c>
      <c r="V5371" s="6" t="s">
        <v>318</v>
      </c>
      <c r="W5371" s="6" t="s">
        <v>33450</v>
      </c>
      <c r="X5371" s="9" t="str">
        <f>HYPERLINK("https://my.pitchbook.com?p=302319-64P","View People Online")</f>
        <v>View People Online</v>
      </c>
    </row>
    <row r="5372">
      <c r="A5372" s="10" t="s">
        <v>33479</v>
      </c>
      <c r="B5372" s="10" t="s">
        <v>33480</v>
      </c>
      <c r="C5372" s="10" t="s">
        <v>425</v>
      </c>
      <c r="D5372" s="10" t="s">
        <v>33481</v>
      </c>
      <c r="E5372" s="10" t="s">
        <v>33450</v>
      </c>
      <c r="F5372" s="10" t="s">
        <v>114</v>
      </c>
      <c r="G5372" s="10" t="s">
        <v>33482</v>
      </c>
      <c r="H5372" s="11" t="s">
        <v>31</v>
      </c>
      <c r="I5372" s="11">
        <v>1.0</v>
      </c>
      <c r="J5372" s="11">
        <v>1.0</v>
      </c>
      <c r="K5372" s="11" t="s">
        <v>31</v>
      </c>
      <c r="L5372" s="12" t="s">
        <v>33452</v>
      </c>
      <c r="M5372" s="10" t="s">
        <v>33483</v>
      </c>
      <c r="N5372" s="10" t="s">
        <v>75</v>
      </c>
      <c r="O5372" s="12" t="s">
        <v>76</v>
      </c>
      <c r="P5372" s="10" t="s">
        <v>33454</v>
      </c>
      <c r="Q5372" s="10" t="s">
        <v>12967</v>
      </c>
      <c r="R5372" s="10" t="s">
        <v>75</v>
      </c>
      <c r="S5372" s="12" t="s">
        <v>2167</v>
      </c>
      <c r="T5372" s="10" t="s">
        <v>66</v>
      </c>
      <c r="U5372" s="12" t="s">
        <v>31</v>
      </c>
      <c r="V5372" s="10" t="s">
        <v>114</v>
      </c>
      <c r="W5372" s="10" t="s">
        <v>33450</v>
      </c>
      <c r="X5372" s="13" t="str">
        <f>HYPERLINK("https://my.pitchbook.com?p=100730-35P","View People Online")</f>
        <v>View People Online</v>
      </c>
    </row>
    <row r="5373">
      <c r="A5373" s="14" t="s">
        <v>33484</v>
      </c>
      <c r="B5373" s="14" t="s">
        <v>33485</v>
      </c>
      <c r="C5373" s="14" t="s">
        <v>10710</v>
      </c>
      <c r="D5373" s="14" t="s">
        <v>33486</v>
      </c>
      <c r="E5373" s="14" t="s">
        <v>33450</v>
      </c>
      <c r="F5373" s="14" t="s">
        <v>2731</v>
      </c>
      <c r="G5373" s="14" t="s">
        <v>33487</v>
      </c>
      <c r="H5373" s="15" t="s">
        <v>31</v>
      </c>
      <c r="I5373" s="15">
        <v>2.0</v>
      </c>
      <c r="J5373" s="15">
        <v>1.0</v>
      </c>
      <c r="K5373" s="15" t="s">
        <v>31</v>
      </c>
      <c r="L5373" s="16" t="s">
        <v>33488</v>
      </c>
      <c r="M5373" s="14" t="s">
        <v>33489</v>
      </c>
      <c r="N5373" s="14" t="s">
        <v>33490</v>
      </c>
      <c r="O5373" s="16" t="s">
        <v>33491</v>
      </c>
      <c r="P5373" s="14" t="s">
        <v>33492</v>
      </c>
      <c r="Q5373" s="14" t="s">
        <v>31</v>
      </c>
      <c r="R5373" s="14" t="s">
        <v>24115</v>
      </c>
      <c r="S5373" s="16" t="s">
        <v>33493</v>
      </c>
      <c r="T5373" s="14" t="s">
        <v>66</v>
      </c>
      <c r="U5373" s="16" t="s">
        <v>31</v>
      </c>
      <c r="V5373" s="14" t="s">
        <v>33494</v>
      </c>
      <c r="W5373" s="14" t="s">
        <v>33495</v>
      </c>
      <c r="X5373" s="17" t="str">
        <f>HYPERLINK("https://my.pitchbook.com?p=213636-97P","View People Online")</f>
        <v>View People Online</v>
      </c>
    </row>
    <row r="5374">
      <c r="A5374" s="2" t="s">
        <v>33496</v>
      </c>
      <c r="B5374" s="2" t="s">
        <v>33497</v>
      </c>
      <c r="C5374" s="2" t="s">
        <v>33498</v>
      </c>
      <c r="D5374" s="2" t="s">
        <v>1677</v>
      </c>
      <c r="E5374" s="2" t="s">
        <v>33450</v>
      </c>
      <c r="F5374" s="2" t="s">
        <v>201</v>
      </c>
      <c r="G5374" s="2" t="s">
        <v>33499</v>
      </c>
      <c r="H5374" s="3" t="s">
        <v>31</v>
      </c>
      <c r="I5374" s="3">
        <v>1.0</v>
      </c>
      <c r="J5374" s="3">
        <v>1.0</v>
      </c>
      <c r="K5374" s="3" t="s">
        <v>31</v>
      </c>
      <c r="L5374" s="4" t="s">
        <v>33452</v>
      </c>
      <c r="M5374" s="2" t="s">
        <v>31</v>
      </c>
      <c r="N5374" s="2" t="s">
        <v>75</v>
      </c>
      <c r="O5374" s="4" t="s">
        <v>76</v>
      </c>
      <c r="P5374" s="2" t="s">
        <v>33454</v>
      </c>
      <c r="Q5374" s="2" t="s">
        <v>12967</v>
      </c>
      <c r="R5374" s="2" t="s">
        <v>75</v>
      </c>
      <c r="S5374" s="4" t="s">
        <v>2167</v>
      </c>
      <c r="T5374" s="2" t="s">
        <v>66</v>
      </c>
      <c r="U5374" s="4" t="s">
        <v>31</v>
      </c>
      <c r="V5374" s="2" t="s">
        <v>201</v>
      </c>
      <c r="W5374" s="2" t="s">
        <v>33450</v>
      </c>
      <c r="X5374" s="5" t="str">
        <f>HYPERLINK("https://my.pitchbook.com?p=371254-42P","View People Online")</f>
        <v>View People Online</v>
      </c>
    </row>
    <row r="5375">
      <c r="A5375" s="14" t="s">
        <v>33500</v>
      </c>
      <c r="B5375" s="14" t="s">
        <v>33501</v>
      </c>
      <c r="C5375" s="14" t="s">
        <v>7413</v>
      </c>
      <c r="D5375" s="14" t="s">
        <v>33502</v>
      </c>
      <c r="E5375" s="14" t="s">
        <v>33450</v>
      </c>
      <c r="F5375" s="14" t="s">
        <v>29</v>
      </c>
      <c r="G5375" s="14" t="s">
        <v>33503</v>
      </c>
      <c r="H5375" s="15" t="s">
        <v>31</v>
      </c>
      <c r="I5375" s="15">
        <v>1.0</v>
      </c>
      <c r="J5375" s="15">
        <v>1.0</v>
      </c>
      <c r="K5375" s="15" t="s">
        <v>31</v>
      </c>
      <c r="L5375" s="16" t="s">
        <v>33452</v>
      </c>
      <c r="M5375" s="14" t="s">
        <v>33504</v>
      </c>
      <c r="N5375" s="14" t="s">
        <v>75</v>
      </c>
      <c r="O5375" s="16" t="s">
        <v>76</v>
      </c>
      <c r="P5375" s="14" t="s">
        <v>33454</v>
      </c>
      <c r="Q5375" s="14" t="s">
        <v>12967</v>
      </c>
      <c r="R5375" s="14" t="s">
        <v>75</v>
      </c>
      <c r="S5375" s="16" t="s">
        <v>2167</v>
      </c>
      <c r="T5375" s="14" t="s">
        <v>66</v>
      </c>
      <c r="U5375" s="16" t="s">
        <v>31</v>
      </c>
      <c r="V5375" s="14" t="s">
        <v>33505</v>
      </c>
      <c r="W5375" s="14" t="s">
        <v>33450</v>
      </c>
      <c r="X5375" s="17" t="str">
        <f>HYPERLINK("https://my.pitchbook.com?p=302324-77P","View People Online")</f>
        <v>View People Online</v>
      </c>
    </row>
    <row r="5376">
      <c r="A5376" s="2" t="s">
        <v>33506</v>
      </c>
      <c r="B5376" s="2" t="s">
        <v>33507</v>
      </c>
      <c r="C5376" s="2" t="s">
        <v>33508</v>
      </c>
      <c r="D5376" s="2" t="s">
        <v>33509</v>
      </c>
      <c r="E5376" s="2" t="s">
        <v>33450</v>
      </c>
      <c r="F5376" s="2" t="s">
        <v>29</v>
      </c>
      <c r="G5376" s="2" t="s">
        <v>33510</v>
      </c>
      <c r="H5376" s="3">
        <v>3.0</v>
      </c>
      <c r="I5376" s="3">
        <v>20.0</v>
      </c>
      <c r="J5376" s="3">
        <v>1.0</v>
      </c>
      <c r="K5376" s="3">
        <v>15.0</v>
      </c>
      <c r="L5376" s="4" t="s">
        <v>33452</v>
      </c>
      <c r="M5376" s="2" t="s">
        <v>33511</v>
      </c>
      <c r="N5376" s="2" t="s">
        <v>75</v>
      </c>
      <c r="O5376" s="4" t="s">
        <v>76</v>
      </c>
      <c r="P5376" s="2" t="s">
        <v>33454</v>
      </c>
      <c r="Q5376" s="2" t="s">
        <v>12967</v>
      </c>
      <c r="R5376" s="2" t="s">
        <v>75</v>
      </c>
      <c r="S5376" s="4" t="s">
        <v>2167</v>
      </c>
      <c r="T5376" s="2" t="s">
        <v>66</v>
      </c>
      <c r="U5376" s="4" t="s">
        <v>31</v>
      </c>
      <c r="V5376" s="2" t="s">
        <v>29</v>
      </c>
      <c r="W5376" s="2" t="s">
        <v>33450</v>
      </c>
      <c r="X5376" s="5" t="str">
        <f>HYPERLINK("https://my.pitchbook.com?p=95572-09P","View People Online")</f>
        <v>View People Online</v>
      </c>
    </row>
    <row r="5377">
      <c r="A5377" s="6" t="s">
        <v>33512</v>
      </c>
      <c r="B5377" s="6" t="s">
        <v>33513</v>
      </c>
      <c r="C5377" s="6" t="s">
        <v>10383</v>
      </c>
      <c r="D5377" s="6" t="s">
        <v>33514</v>
      </c>
      <c r="E5377" s="6" t="s">
        <v>33450</v>
      </c>
      <c r="F5377" s="6" t="s">
        <v>2731</v>
      </c>
      <c r="G5377" s="6" t="s">
        <v>33515</v>
      </c>
      <c r="H5377" s="7">
        <v>1.0</v>
      </c>
      <c r="I5377" s="7">
        <v>2.0</v>
      </c>
      <c r="J5377" s="7" t="s">
        <v>31</v>
      </c>
      <c r="K5377" s="7" t="s">
        <v>31</v>
      </c>
      <c r="L5377" s="8" t="s">
        <v>33516</v>
      </c>
      <c r="M5377" s="6" t="s">
        <v>31</v>
      </c>
      <c r="N5377" s="6" t="s">
        <v>33517</v>
      </c>
      <c r="O5377" s="8" t="s">
        <v>33518</v>
      </c>
      <c r="P5377" s="6" t="s">
        <v>33519</v>
      </c>
      <c r="Q5377" s="6" t="s">
        <v>31</v>
      </c>
      <c r="R5377" s="6" t="s">
        <v>1018</v>
      </c>
      <c r="S5377" s="8" t="s">
        <v>33520</v>
      </c>
      <c r="T5377" s="6" t="s">
        <v>1019</v>
      </c>
      <c r="U5377" s="8" t="s">
        <v>33521</v>
      </c>
      <c r="V5377" s="6" t="s">
        <v>2379</v>
      </c>
      <c r="W5377" s="6" t="s">
        <v>33522</v>
      </c>
      <c r="X5377" s="9" t="str">
        <f>HYPERLINK("https://my.pitchbook.com?p=319454-83P","View People Online")</f>
        <v>View People Online</v>
      </c>
    </row>
    <row r="5378">
      <c r="A5378" s="10" t="s">
        <v>33523</v>
      </c>
      <c r="B5378" s="10" t="s">
        <v>33524</v>
      </c>
      <c r="C5378" s="10" t="s">
        <v>1103</v>
      </c>
      <c r="D5378" s="10" t="s">
        <v>33525</v>
      </c>
      <c r="E5378" s="10" t="s">
        <v>33450</v>
      </c>
      <c r="F5378" s="10" t="s">
        <v>57</v>
      </c>
      <c r="G5378" s="10" t="s">
        <v>33526</v>
      </c>
      <c r="H5378" s="11">
        <v>2.0</v>
      </c>
      <c r="I5378" s="11">
        <v>7.0</v>
      </c>
      <c r="J5378" s="11">
        <v>1.0</v>
      </c>
      <c r="K5378" s="11">
        <v>3.0</v>
      </c>
      <c r="L5378" s="12" t="s">
        <v>33452</v>
      </c>
      <c r="M5378" s="10" t="s">
        <v>33527</v>
      </c>
      <c r="N5378" s="10" t="s">
        <v>75</v>
      </c>
      <c r="O5378" s="12" t="s">
        <v>76</v>
      </c>
      <c r="P5378" s="10" t="s">
        <v>33454</v>
      </c>
      <c r="Q5378" s="10" t="s">
        <v>12967</v>
      </c>
      <c r="R5378" s="10" t="s">
        <v>75</v>
      </c>
      <c r="S5378" s="12" t="s">
        <v>2167</v>
      </c>
      <c r="T5378" s="10" t="s">
        <v>66</v>
      </c>
      <c r="U5378" s="12" t="s">
        <v>31</v>
      </c>
      <c r="V5378" s="10" t="s">
        <v>33528</v>
      </c>
      <c r="W5378" s="10" t="s">
        <v>33450</v>
      </c>
      <c r="X5378" s="13" t="str">
        <f>HYPERLINK("https://my.pitchbook.com?p=259000-84P","View People Online")</f>
        <v>View People Online</v>
      </c>
    </row>
    <row r="5379">
      <c r="A5379" s="6" t="s">
        <v>33529</v>
      </c>
      <c r="B5379" s="6" t="s">
        <v>33530</v>
      </c>
      <c r="C5379" s="6" t="s">
        <v>14460</v>
      </c>
      <c r="D5379" s="6" t="s">
        <v>33531</v>
      </c>
      <c r="E5379" s="6" t="s">
        <v>33450</v>
      </c>
      <c r="F5379" s="6" t="s">
        <v>270</v>
      </c>
      <c r="G5379" s="6" t="s">
        <v>33532</v>
      </c>
      <c r="H5379" s="7" t="s">
        <v>31</v>
      </c>
      <c r="I5379" s="7">
        <v>1.0</v>
      </c>
      <c r="J5379" s="7">
        <v>1.0</v>
      </c>
      <c r="K5379" s="7" t="s">
        <v>31</v>
      </c>
      <c r="L5379" s="8" t="s">
        <v>33452</v>
      </c>
      <c r="M5379" s="6" t="s">
        <v>31</v>
      </c>
      <c r="N5379" s="6" t="s">
        <v>75</v>
      </c>
      <c r="O5379" s="8" t="s">
        <v>76</v>
      </c>
      <c r="P5379" s="6" t="s">
        <v>33454</v>
      </c>
      <c r="Q5379" s="6" t="s">
        <v>12967</v>
      </c>
      <c r="R5379" s="6" t="s">
        <v>75</v>
      </c>
      <c r="S5379" s="8" t="s">
        <v>2167</v>
      </c>
      <c r="T5379" s="6" t="s">
        <v>66</v>
      </c>
      <c r="U5379" s="8" t="s">
        <v>31</v>
      </c>
      <c r="V5379" s="6" t="s">
        <v>440</v>
      </c>
      <c r="W5379" s="6" t="s">
        <v>33450</v>
      </c>
      <c r="X5379" s="9" t="str">
        <f>HYPERLINK("https://my.pitchbook.com?p=176020-39P","View People Online")</f>
        <v>View People Online</v>
      </c>
    </row>
    <row r="5380">
      <c r="A5380" s="2" t="s">
        <v>33533</v>
      </c>
      <c r="B5380" s="2" t="s">
        <v>33534</v>
      </c>
      <c r="C5380" s="2" t="s">
        <v>10805</v>
      </c>
      <c r="D5380" s="2" t="s">
        <v>33535</v>
      </c>
      <c r="E5380" s="2" t="s">
        <v>33450</v>
      </c>
      <c r="F5380" s="2" t="s">
        <v>29</v>
      </c>
      <c r="G5380" s="2" t="s">
        <v>33536</v>
      </c>
      <c r="H5380" s="3">
        <v>4.0</v>
      </c>
      <c r="I5380" s="3">
        <v>24.0</v>
      </c>
      <c r="J5380" s="3">
        <v>1.0</v>
      </c>
      <c r="K5380" s="3">
        <v>18.0</v>
      </c>
      <c r="L5380" s="4" t="s">
        <v>33537</v>
      </c>
      <c r="M5380" s="2" t="s">
        <v>33538</v>
      </c>
      <c r="N5380" s="2" t="s">
        <v>75</v>
      </c>
      <c r="O5380" s="4" t="s">
        <v>76</v>
      </c>
      <c r="P5380" s="2" t="s">
        <v>33454</v>
      </c>
      <c r="Q5380" s="2" t="s">
        <v>12967</v>
      </c>
      <c r="R5380" s="2" t="s">
        <v>75</v>
      </c>
      <c r="S5380" s="4" t="s">
        <v>2167</v>
      </c>
      <c r="T5380" s="2" t="s">
        <v>66</v>
      </c>
      <c r="U5380" s="4" t="s">
        <v>31</v>
      </c>
      <c r="V5380" s="2" t="s">
        <v>29</v>
      </c>
      <c r="W5380" s="2" t="s">
        <v>33450</v>
      </c>
      <c r="X5380" s="5" t="str">
        <f>HYPERLINK("https://my.pitchbook.com?p=90703-09P","View People Online")</f>
        <v>View People Online</v>
      </c>
    </row>
    <row r="5381">
      <c r="A5381" s="6" t="s">
        <v>33539</v>
      </c>
      <c r="B5381" s="6" t="s">
        <v>33540</v>
      </c>
      <c r="C5381" s="6" t="s">
        <v>33541</v>
      </c>
      <c r="D5381" s="6" t="s">
        <v>33542</v>
      </c>
      <c r="E5381" s="6" t="s">
        <v>33450</v>
      </c>
      <c r="F5381" s="6" t="s">
        <v>221</v>
      </c>
      <c r="G5381" s="6" t="s">
        <v>33543</v>
      </c>
      <c r="H5381" s="7" t="s">
        <v>31</v>
      </c>
      <c r="I5381" s="7">
        <v>1.0</v>
      </c>
      <c r="J5381" s="7">
        <v>1.0</v>
      </c>
      <c r="K5381" s="7" t="s">
        <v>31</v>
      </c>
      <c r="L5381" s="8" t="s">
        <v>33452</v>
      </c>
      <c r="M5381" s="6" t="s">
        <v>33544</v>
      </c>
      <c r="N5381" s="6" t="s">
        <v>75</v>
      </c>
      <c r="O5381" s="8" t="s">
        <v>76</v>
      </c>
      <c r="P5381" s="6" t="s">
        <v>33454</v>
      </c>
      <c r="Q5381" s="6" t="s">
        <v>12967</v>
      </c>
      <c r="R5381" s="6" t="s">
        <v>75</v>
      </c>
      <c r="S5381" s="8" t="s">
        <v>2167</v>
      </c>
      <c r="T5381" s="6" t="s">
        <v>66</v>
      </c>
      <c r="U5381" s="8" t="s">
        <v>31</v>
      </c>
      <c r="V5381" s="6" t="s">
        <v>33545</v>
      </c>
      <c r="W5381" s="6" t="s">
        <v>33450</v>
      </c>
      <c r="X5381" s="9" t="str">
        <f>HYPERLINK("https://my.pitchbook.com?p=302336-47P","View People Online")</f>
        <v>View People Online</v>
      </c>
    </row>
    <row r="5382">
      <c r="A5382" s="10" t="s">
        <v>33546</v>
      </c>
      <c r="B5382" s="10" t="s">
        <v>33547</v>
      </c>
      <c r="C5382" s="10" t="s">
        <v>27913</v>
      </c>
      <c r="D5382" s="10" t="s">
        <v>33548</v>
      </c>
      <c r="E5382" s="10" t="s">
        <v>33450</v>
      </c>
      <c r="F5382" s="10" t="s">
        <v>2731</v>
      </c>
      <c r="G5382" s="10" t="s">
        <v>33549</v>
      </c>
      <c r="H5382" s="11" t="s">
        <v>31</v>
      </c>
      <c r="I5382" s="11">
        <v>25.0</v>
      </c>
      <c r="J5382" s="11" t="s">
        <v>31</v>
      </c>
      <c r="K5382" s="11">
        <v>18.0</v>
      </c>
      <c r="L5382" s="12" t="s">
        <v>31</v>
      </c>
      <c r="M5382" s="10" t="s">
        <v>33550</v>
      </c>
      <c r="N5382" s="10" t="s">
        <v>1005</v>
      </c>
      <c r="O5382" s="12" t="s">
        <v>1006</v>
      </c>
      <c r="P5382" s="10" t="s">
        <v>33551</v>
      </c>
      <c r="Q5382" s="10" t="s">
        <v>33552</v>
      </c>
      <c r="R5382" s="10" t="s">
        <v>31</v>
      </c>
      <c r="S5382" s="12" t="s">
        <v>33553</v>
      </c>
      <c r="T5382" s="10" t="s">
        <v>1010</v>
      </c>
      <c r="U5382" s="12" t="s">
        <v>31</v>
      </c>
      <c r="V5382" s="10" t="s">
        <v>81</v>
      </c>
      <c r="W5382" s="10" t="s">
        <v>33554</v>
      </c>
      <c r="X5382" s="13" t="str">
        <f>HYPERLINK("https://my.pitchbook.com?p=54224-11P","View People Online")</f>
        <v>View People Online</v>
      </c>
    </row>
    <row r="5383">
      <c r="A5383" s="14" t="s">
        <v>33555</v>
      </c>
      <c r="B5383" s="14" t="s">
        <v>33556</v>
      </c>
      <c r="C5383" s="14" t="s">
        <v>24222</v>
      </c>
      <c r="D5383" s="14" t="s">
        <v>6333</v>
      </c>
      <c r="E5383" s="14" t="s">
        <v>33450</v>
      </c>
      <c r="F5383" s="14" t="s">
        <v>2731</v>
      </c>
      <c r="G5383" s="14" t="s">
        <v>33557</v>
      </c>
      <c r="H5383" s="15">
        <v>2.0</v>
      </c>
      <c r="I5383" s="15">
        <v>3.0</v>
      </c>
      <c r="J5383" s="15" t="s">
        <v>31</v>
      </c>
      <c r="K5383" s="15" t="s">
        <v>31</v>
      </c>
      <c r="L5383" s="16" t="s">
        <v>33452</v>
      </c>
      <c r="M5383" s="14" t="s">
        <v>33558</v>
      </c>
      <c r="N5383" s="14" t="s">
        <v>75</v>
      </c>
      <c r="O5383" s="16" t="s">
        <v>76</v>
      </c>
      <c r="P5383" s="14" t="s">
        <v>33454</v>
      </c>
      <c r="Q5383" s="14" t="s">
        <v>12967</v>
      </c>
      <c r="R5383" s="14" t="s">
        <v>75</v>
      </c>
      <c r="S5383" s="16" t="s">
        <v>2167</v>
      </c>
      <c r="T5383" s="14" t="s">
        <v>66</v>
      </c>
      <c r="U5383" s="16" t="s">
        <v>31</v>
      </c>
      <c r="V5383" s="14" t="s">
        <v>32293</v>
      </c>
      <c r="W5383" s="14" t="s">
        <v>33559</v>
      </c>
      <c r="X5383" s="17" t="str">
        <f>HYPERLINK("https://my.pitchbook.com?p=188629-66P","View People Online")</f>
        <v>View People Online</v>
      </c>
    </row>
    <row r="5384">
      <c r="A5384" s="10" t="s">
        <v>33560</v>
      </c>
      <c r="B5384" s="10" t="s">
        <v>33561</v>
      </c>
      <c r="C5384" s="10" t="s">
        <v>33562</v>
      </c>
      <c r="D5384" s="10" t="s">
        <v>33563</v>
      </c>
      <c r="E5384" s="10" t="s">
        <v>33450</v>
      </c>
      <c r="F5384" s="10" t="s">
        <v>270</v>
      </c>
      <c r="G5384" s="10" t="s">
        <v>33564</v>
      </c>
      <c r="H5384" s="11" t="s">
        <v>31</v>
      </c>
      <c r="I5384" s="11">
        <v>1.0</v>
      </c>
      <c r="J5384" s="11">
        <v>1.0</v>
      </c>
      <c r="K5384" s="11" t="s">
        <v>31</v>
      </c>
      <c r="L5384" s="12" t="s">
        <v>33452</v>
      </c>
      <c r="M5384" s="10" t="s">
        <v>31</v>
      </c>
      <c r="N5384" s="10" t="s">
        <v>75</v>
      </c>
      <c r="O5384" s="12" t="s">
        <v>76</v>
      </c>
      <c r="P5384" s="10" t="s">
        <v>33454</v>
      </c>
      <c r="Q5384" s="10" t="s">
        <v>12967</v>
      </c>
      <c r="R5384" s="10" t="s">
        <v>75</v>
      </c>
      <c r="S5384" s="12" t="s">
        <v>2167</v>
      </c>
      <c r="T5384" s="10" t="s">
        <v>66</v>
      </c>
      <c r="U5384" s="12" t="s">
        <v>31</v>
      </c>
      <c r="V5384" s="10" t="s">
        <v>440</v>
      </c>
      <c r="W5384" s="10" t="s">
        <v>33450</v>
      </c>
      <c r="X5384" s="13" t="str">
        <f>HYPERLINK("https://my.pitchbook.com?p=428245-75P","View People Online")</f>
        <v>View People Online</v>
      </c>
    </row>
    <row r="5385">
      <c r="A5385" s="14" t="s">
        <v>33565</v>
      </c>
      <c r="B5385" s="14" t="s">
        <v>33566</v>
      </c>
      <c r="C5385" s="14" t="s">
        <v>33567</v>
      </c>
      <c r="D5385" s="14" t="s">
        <v>33568</v>
      </c>
      <c r="E5385" s="14" t="s">
        <v>33450</v>
      </c>
      <c r="F5385" s="14" t="s">
        <v>29</v>
      </c>
      <c r="G5385" s="14" t="s">
        <v>33569</v>
      </c>
      <c r="H5385" s="15">
        <v>4.0</v>
      </c>
      <c r="I5385" s="15">
        <v>16.0</v>
      </c>
      <c r="J5385" s="15">
        <v>1.0</v>
      </c>
      <c r="K5385" s="15">
        <v>8.0</v>
      </c>
      <c r="L5385" s="16" t="s">
        <v>33452</v>
      </c>
      <c r="M5385" s="14" t="s">
        <v>33570</v>
      </c>
      <c r="N5385" s="14" t="s">
        <v>75</v>
      </c>
      <c r="O5385" s="16" t="s">
        <v>76</v>
      </c>
      <c r="P5385" s="14" t="s">
        <v>33454</v>
      </c>
      <c r="Q5385" s="14" t="s">
        <v>12967</v>
      </c>
      <c r="R5385" s="14" t="s">
        <v>75</v>
      </c>
      <c r="S5385" s="16" t="s">
        <v>2167</v>
      </c>
      <c r="T5385" s="14" t="s">
        <v>66</v>
      </c>
      <c r="U5385" s="16" t="s">
        <v>31</v>
      </c>
      <c r="V5385" s="14" t="s">
        <v>29</v>
      </c>
      <c r="W5385" s="14" t="s">
        <v>33450</v>
      </c>
      <c r="X5385" s="17" t="str">
        <f>HYPERLINK("https://my.pitchbook.com?p=196614-01P","View People Online")</f>
        <v>View People Online</v>
      </c>
    </row>
    <row r="5386">
      <c r="A5386" s="10" t="s">
        <v>33571</v>
      </c>
      <c r="B5386" s="10" t="s">
        <v>33572</v>
      </c>
      <c r="C5386" s="10" t="s">
        <v>1426</v>
      </c>
      <c r="D5386" s="10" t="s">
        <v>33573</v>
      </c>
      <c r="E5386" s="10" t="s">
        <v>33450</v>
      </c>
      <c r="F5386" s="10" t="s">
        <v>2731</v>
      </c>
      <c r="G5386" s="10" t="s">
        <v>33574</v>
      </c>
      <c r="H5386" s="11" t="s">
        <v>31</v>
      </c>
      <c r="I5386" s="11">
        <v>2.0</v>
      </c>
      <c r="J5386" s="11" t="s">
        <v>31</v>
      </c>
      <c r="K5386" s="11" t="s">
        <v>31</v>
      </c>
      <c r="L5386" s="12" t="s">
        <v>33575</v>
      </c>
      <c r="M5386" s="10" t="s">
        <v>33576</v>
      </c>
      <c r="N5386" s="10" t="s">
        <v>1170</v>
      </c>
      <c r="O5386" s="12" t="s">
        <v>1171</v>
      </c>
      <c r="P5386" s="10" t="s">
        <v>33577</v>
      </c>
      <c r="Q5386" s="10" t="s">
        <v>33578</v>
      </c>
      <c r="R5386" s="10" t="s">
        <v>64</v>
      </c>
      <c r="S5386" s="12" t="s">
        <v>12621</v>
      </c>
      <c r="T5386" s="10" t="s">
        <v>66</v>
      </c>
      <c r="U5386" s="12" t="s">
        <v>31</v>
      </c>
      <c r="V5386" s="10" t="s">
        <v>81</v>
      </c>
      <c r="W5386" s="10" t="s">
        <v>33579</v>
      </c>
      <c r="X5386" s="13" t="str">
        <f>HYPERLINK("https://my.pitchbook.com?p=50747-32P","View People Online")</f>
        <v>View People Online</v>
      </c>
    </row>
    <row r="5387">
      <c r="A5387" s="14" t="s">
        <v>33580</v>
      </c>
      <c r="B5387" s="14" t="s">
        <v>33581</v>
      </c>
      <c r="C5387" s="14" t="s">
        <v>10983</v>
      </c>
      <c r="D5387" s="14" t="s">
        <v>33582</v>
      </c>
      <c r="E5387" s="14" t="s">
        <v>33450</v>
      </c>
      <c r="F5387" s="14" t="s">
        <v>371</v>
      </c>
      <c r="G5387" s="14" t="s">
        <v>33583</v>
      </c>
      <c r="H5387" s="15" t="s">
        <v>31</v>
      </c>
      <c r="I5387" s="15">
        <v>1.0</v>
      </c>
      <c r="J5387" s="15">
        <v>1.0</v>
      </c>
      <c r="K5387" s="15" t="s">
        <v>31</v>
      </c>
      <c r="L5387" s="16" t="s">
        <v>33452</v>
      </c>
      <c r="M5387" s="14" t="s">
        <v>33584</v>
      </c>
      <c r="N5387" s="14" t="s">
        <v>75</v>
      </c>
      <c r="O5387" s="16" t="s">
        <v>76</v>
      </c>
      <c r="P5387" s="14" t="s">
        <v>33454</v>
      </c>
      <c r="Q5387" s="14" t="s">
        <v>12967</v>
      </c>
      <c r="R5387" s="14" t="s">
        <v>75</v>
      </c>
      <c r="S5387" s="16" t="s">
        <v>2167</v>
      </c>
      <c r="T5387" s="14" t="s">
        <v>66</v>
      </c>
      <c r="U5387" s="16" t="s">
        <v>31</v>
      </c>
      <c r="V5387" s="14" t="s">
        <v>27482</v>
      </c>
      <c r="W5387" s="14" t="s">
        <v>33450</v>
      </c>
      <c r="X5387" s="17" t="str">
        <f>HYPERLINK("https://my.pitchbook.com?p=302327-92P","View People Online")</f>
        <v>View People Online</v>
      </c>
    </row>
    <row r="5388">
      <c r="A5388" s="2" t="s">
        <v>33585</v>
      </c>
      <c r="B5388" s="2" t="s">
        <v>33586</v>
      </c>
      <c r="C5388" s="2" t="s">
        <v>285</v>
      </c>
      <c r="D5388" s="2" t="s">
        <v>24911</v>
      </c>
      <c r="E5388" s="2" t="s">
        <v>33450</v>
      </c>
      <c r="F5388" s="2" t="s">
        <v>2731</v>
      </c>
      <c r="G5388" s="2" t="s">
        <v>33587</v>
      </c>
      <c r="H5388" s="3">
        <v>2.0</v>
      </c>
      <c r="I5388" s="3">
        <v>17.0</v>
      </c>
      <c r="J5388" s="3">
        <v>1.0</v>
      </c>
      <c r="K5388" s="3">
        <v>10.0</v>
      </c>
      <c r="L5388" s="4" t="s">
        <v>31</v>
      </c>
      <c r="M5388" s="2" t="s">
        <v>33588</v>
      </c>
      <c r="N5388" s="2" t="s">
        <v>243</v>
      </c>
      <c r="O5388" s="4" t="s">
        <v>244</v>
      </c>
      <c r="P5388" s="2" t="s">
        <v>33589</v>
      </c>
      <c r="Q5388" s="2" t="s">
        <v>31</v>
      </c>
      <c r="R5388" s="2" t="s">
        <v>247</v>
      </c>
      <c r="S5388" s="4" t="s">
        <v>33590</v>
      </c>
      <c r="T5388" s="2" t="s">
        <v>249</v>
      </c>
      <c r="U5388" s="4" t="s">
        <v>31</v>
      </c>
      <c r="V5388" s="2" t="s">
        <v>33591</v>
      </c>
      <c r="W5388" s="2" t="s">
        <v>33592</v>
      </c>
      <c r="X5388" s="5" t="str">
        <f>HYPERLINK("https://my.pitchbook.com?p=22365-46P","View People Online")</f>
        <v>View People Online</v>
      </c>
    </row>
    <row r="5389">
      <c r="A5389" s="6" t="s">
        <v>33593</v>
      </c>
      <c r="B5389" s="6" t="s">
        <v>33594</v>
      </c>
      <c r="C5389" s="6" t="s">
        <v>4943</v>
      </c>
      <c r="D5389" s="6" t="s">
        <v>33595</v>
      </c>
      <c r="E5389" s="6" t="s">
        <v>33450</v>
      </c>
      <c r="F5389" s="6" t="s">
        <v>2731</v>
      </c>
      <c r="G5389" s="6" t="s">
        <v>33596</v>
      </c>
      <c r="H5389" s="7" t="s">
        <v>31</v>
      </c>
      <c r="I5389" s="7">
        <v>2.0</v>
      </c>
      <c r="J5389" s="7">
        <v>1.0</v>
      </c>
      <c r="K5389" s="7" t="s">
        <v>31</v>
      </c>
      <c r="L5389" s="8" t="s">
        <v>31</v>
      </c>
      <c r="M5389" s="6" t="s">
        <v>31</v>
      </c>
      <c r="N5389" s="6" t="s">
        <v>1277</v>
      </c>
      <c r="O5389" s="8" t="s">
        <v>1278</v>
      </c>
      <c r="P5389" s="6" t="s">
        <v>33597</v>
      </c>
      <c r="Q5389" s="6" t="s">
        <v>33598</v>
      </c>
      <c r="R5389" s="6" t="s">
        <v>1281</v>
      </c>
      <c r="S5389" s="8" t="s">
        <v>21357</v>
      </c>
      <c r="T5389" s="6" t="s">
        <v>66</v>
      </c>
      <c r="U5389" s="8" t="s">
        <v>31</v>
      </c>
      <c r="V5389" s="6" t="s">
        <v>33599</v>
      </c>
      <c r="W5389" s="6" t="s">
        <v>33450</v>
      </c>
      <c r="X5389" s="9" t="str">
        <f>HYPERLINK("https://my.pitchbook.com?p=360541-36P","View People Online")</f>
        <v>View People Online</v>
      </c>
    </row>
    <row r="5390">
      <c r="A5390" s="2" t="s">
        <v>33600</v>
      </c>
      <c r="B5390" s="2" t="s">
        <v>33601</v>
      </c>
      <c r="C5390" s="2" t="s">
        <v>33602</v>
      </c>
      <c r="D5390" s="2" t="s">
        <v>33603</v>
      </c>
      <c r="E5390" s="2" t="s">
        <v>33450</v>
      </c>
      <c r="F5390" s="2" t="s">
        <v>1801</v>
      </c>
      <c r="G5390" s="2" t="s">
        <v>33604</v>
      </c>
      <c r="H5390" s="3" t="s">
        <v>31</v>
      </c>
      <c r="I5390" s="3">
        <v>1.0</v>
      </c>
      <c r="J5390" s="3">
        <v>1.0</v>
      </c>
      <c r="K5390" s="3" t="s">
        <v>31</v>
      </c>
      <c r="L5390" s="4" t="s">
        <v>33452</v>
      </c>
      <c r="M5390" s="2" t="s">
        <v>33605</v>
      </c>
      <c r="N5390" s="2" t="s">
        <v>75</v>
      </c>
      <c r="O5390" s="4" t="s">
        <v>76</v>
      </c>
      <c r="P5390" s="2" t="s">
        <v>33454</v>
      </c>
      <c r="Q5390" s="2" t="s">
        <v>12967</v>
      </c>
      <c r="R5390" s="2" t="s">
        <v>75</v>
      </c>
      <c r="S5390" s="4" t="s">
        <v>2167</v>
      </c>
      <c r="T5390" s="2" t="s">
        <v>66</v>
      </c>
      <c r="U5390" s="4" t="s">
        <v>31</v>
      </c>
      <c r="V5390" s="2" t="s">
        <v>33606</v>
      </c>
      <c r="W5390" s="2" t="s">
        <v>33450</v>
      </c>
      <c r="X5390" s="5" t="str">
        <f>HYPERLINK("https://my.pitchbook.com?p=208986-49P","View People Online")</f>
        <v>View People Online</v>
      </c>
    </row>
    <row r="5391">
      <c r="A5391" s="14" t="s">
        <v>33607</v>
      </c>
      <c r="B5391" s="14" t="s">
        <v>33608</v>
      </c>
      <c r="C5391" s="14" t="s">
        <v>24140</v>
      </c>
      <c r="D5391" s="14" t="s">
        <v>21299</v>
      </c>
      <c r="E5391" s="14" t="s">
        <v>33450</v>
      </c>
      <c r="F5391" s="14" t="s">
        <v>2731</v>
      </c>
      <c r="G5391" s="14" t="s">
        <v>33609</v>
      </c>
      <c r="H5391" s="15" t="s">
        <v>31</v>
      </c>
      <c r="I5391" s="15">
        <v>21.0</v>
      </c>
      <c r="J5391" s="15" t="s">
        <v>31</v>
      </c>
      <c r="K5391" s="15">
        <v>13.0</v>
      </c>
      <c r="L5391" s="16" t="s">
        <v>33452</v>
      </c>
      <c r="M5391" s="14" t="s">
        <v>33610</v>
      </c>
      <c r="N5391" s="14" t="s">
        <v>75</v>
      </c>
      <c r="O5391" s="16" t="s">
        <v>76</v>
      </c>
      <c r="P5391" s="14" t="s">
        <v>33454</v>
      </c>
      <c r="Q5391" s="14" t="s">
        <v>12967</v>
      </c>
      <c r="R5391" s="14" t="s">
        <v>75</v>
      </c>
      <c r="S5391" s="16" t="s">
        <v>2167</v>
      </c>
      <c r="T5391" s="14" t="s">
        <v>66</v>
      </c>
      <c r="U5391" s="16" t="s">
        <v>31</v>
      </c>
      <c r="V5391" s="14" t="s">
        <v>33611</v>
      </c>
      <c r="W5391" s="14" t="s">
        <v>33450</v>
      </c>
      <c r="X5391" s="17" t="str">
        <f>HYPERLINK("https://my.pitchbook.com?p=13143-52P","View People Online")</f>
        <v>View People Online</v>
      </c>
    </row>
    <row r="5392">
      <c r="A5392" s="10" t="s">
        <v>33612</v>
      </c>
      <c r="B5392" s="10" t="s">
        <v>33613</v>
      </c>
      <c r="C5392" s="10" t="s">
        <v>3788</v>
      </c>
      <c r="D5392" s="10" t="s">
        <v>11874</v>
      </c>
      <c r="E5392" s="10" t="s">
        <v>33450</v>
      </c>
      <c r="F5392" s="10" t="s">
        <v>201</v>
      </c>
      <c r="G5392" s="10" t="s">
        <v>33614</v>
      </c>
      <c r="H5392" s="11" t="s">
        <v>31</v>
      </c>
      <c r="I5392" s="11">
        <v>1.0</v>
      </c>
      <c r="J5392" s="11">
        <v>1.0</v>
      </c>
      <c r="K5392" s="11" t="s">
        <v>31</v>
      </c>
      <c r="L5392" s="12" t="s">
        <v>33452</v>
      </c>
      <c r="M5392" s="10" t="s">
        <v>31</v>
      </c>
      <c r="N5392" s="10" t="s">
        <v>75</v>
      </c>
      <c r="O5392" s="12" t="s">
        <v>76</v>
      </c>
      <c r="P5392" s="10" t="s">
        <v>33454</v>
      </c>
      <c r="Q5392" s="10" t="s">
        <v>12967</v>
      </c>
      <c r="R5392" s="10" t="s">
        <v>75</v>
      </c>
      <c r="S5392" s="12" t="s">
        <v>2167</v>
      </c>
      <c r="T5392" s="10" t="s">
        <v>66</v>
      </c>
      <c r="U5392" s="12" t="s">
        <v>31</v>
      </c>
      <c r="V5392" s="10" t="s">
        <v>201</v>
      </c>
      <c r="W5392" s="10" t="s">
        <v>33450</v>
      </c>
      <c r="X5392" s="13" t="str">
        <f>HYPERLINK("https://my.pitchbook.com?p=428219-38P","View People Online")</f>
        <v>View People Online</v>
      </c>
    </row>
    <row r="5393">
      <c r="A5393" s="6" t="s">
        <v>33615</v>
      </c>
      <c r="B5393" s="6" t="s">
        <v>33616</v>
      </c>
      <c r="C5393" s="6" t="s">
        <v>1588</v>
      </c>
      <c r="D5393" s="6" t="s">
        <v>13813</v>
      </c>
      <c r="E5393" s="6" t="s">
        <v>33450</v>
      </c>
      <c r="F5393" s="6" t="s">
        <v>1134</v>
      </c>
      <c r="G5393" s="6" t="s">
        <v>33617</v>
      </c>
      <c r="H5393" s="7" t="s">
        <v>31</v>
      </c>
      <c r="I5393" s="7">
        <v>1.0</v>
      </c>
      <c r="J5393" s="7">
        <v>1.0</v>
      </c>
      <c r="K5393" s="7" t="s">
        <v>31</v>
      </c>
      <c r="L5393" s="8" t="s">
        <v>33452</v>
      </c>
      <c r="M5393" s="6" t="s">
        <v>33618</v>
      </c>
      <c r="N5393" s="6" t="s">
        <v>75</v>
      </c>
      <c r="O5393" s="8" t="s">
        <v>76</v>
      </c>
      <c r="P5393" s="6" t="s">
        <v>33454</v>
      </c>
      <c r="Q5393" s="6" t="s">
        <v>12967</v>
      </c>
      <c r="R5393" s="6" t="s">
        <v>75</v>
      </c>
      <c r="S5393" s="8" t="s">
        <v>2167</v>
      </c>
      <c r="T5393" s="6" t="s">
        <v>66</v>
      </c>
      <c r="U5393" s="8" t="s">
        <v>31</v>
      </c>
      <c r="V5393" s="6" t="s">
        <v>33619</v>
      </c>
      <c r="W5393" s="6" t="s">
        <v>33450</v>
      </c>
      <c r="X5393" s="9" t="str">
        <f>HYPERLINK("https://my.pitchbook.com?p=338532-85P","View People Online")</f>
        <v>View People Online</v>
      </c>
    </row>
    <row r="5394">
      <c r="A5394" s="10" t="s">
        <v>33620</v>
      </c>
      <c r="B5394" s="10" t="s">
        <v>33621</v>
      </c>
      <c r="C5394" s="10" t="s">
        <v>33622</v>
      </c>
      <c r="D5394" s="10" t="s">
        <v>33623</v>
      </c>
      <c r="E5394" s="10" t="s">
        <v>33450</v>
      </c>
      <c r="F5394" s="10" t="s">
        <v>33624</v>
      </c>
      <c r="G5394" s="10" t="s">
        <v>33625</v>
      </c>
      <c r="H5394" s="11" t="s">
        <v>31</v>
      </c>
      <c r="I5394" s="11">
        <v>1.0</v>
      </c>
      <c r="J5394" s="11" t="s">
        <v>31</v>
      </c>
      <c r="K5394" s="11" t="s">
        <v>31</v>
      </c>
      <c r="L5394" s="12" t="s">
        <v>33452</v>
      </c>
      <c r="M5394" s="10" t="s">
        <v>31</v>
      </c>
      <c r="N5394" s="10" t="s">
        <v>75</v>
      </c>
      <c r="O5394" s="12" t="s">
        <v>76</v>
      </c>
      <c r="P5394" s="10" t="s">
        <v>33454</v>
      </c>
      <c r="Q5394" s="10" t="s">
        <v>12967</v>
      </c>
      <c r="R5394" s="10" t="s">
        <v>75</v>
      </c>
      <c r="S5394" s="12" t="s">
        <v>2167</v>
      </c>
      <c r="T5394" s="10" t="s">
        <v>66</v>
      </c>
      <c r="U5394" s="12" t="s">
        <v>31</v>
      </c>
      <c r="V5394" s="10" t="s">
        <v>33626</v>
      </c>
      <c r="W5394" s="10" t="s">
        <v>33450</v>
      </c>
      <c r="X5394" s="13" t="str">
        <f>HYPERLINK("https://my.pitchbook.com?p=63637-21P","View People Online")</f>
        <v>View People Online</v>
      </c>
    </row>
    <row r="5395">
      <c r="A5395" s="14" t="s">
        <v>33627</v>
      </c>
      <c r="B5395" s="14" t="s">
        <v>33628</v>
      </c>
      <c r="C5395" s="14" t="s">
        <v>1471</v>
      </c>
      <c r="D5395" s="14" t="s">
        <v>33629</v>
      </c>
      <c r="E5395" s="14" t="s">
        <v>33450</v>
      </c>
      <c r="F5395" s="14" t="s">
        <v>1283</v>
      </c>
      <c r="G5395" s="14" t="s">
        <v>33630</v>
      </c>
      <c r="H5395" s="15" t="s">
        <v>31</v>
      </c>
      <c r="I5395" s="15">
        <v>1.0</v>
      </c>
      <c r="J5395" s="15">
        <v>1.0</v>
      </c>
      <c r="K5395" s="15" t="s">
        <v>31</v>
      </c>
      <c r="L5395" s="16" t="s">
        <v>31</v>
      </c>
      <c r="M5395" s="14" t="s">
        <v>33631</v>
      </c>
      <c r="N5395" s="14" t="s">
        <v>1277</v>
      </c>
      <c r="O5395" s="16" t="s">
        <v>1278</v>
      </c>
      <c r="P5395" s="14" t="s">
        <v>33597</v>
      </c>
      <c r="Q5395" s="14" t="s">
        <v>33598</v>
      </c>
      <c r="R5395" s="14" t="s">
        <v>1281</v>
      </c>
      <c r="S5395" s="16" t="s">
        <v>21357</v>
      </c>
      <c r="T5395" s="14" t="s">
        <v>66</v>
      </c>
      <c r="U5395" s="16" t="s">
        <v>31</v>
      </c>
      <c r="V5395" s="14" t="s">
        <v>33632</v>
      </c>
      <c r="W5395" s="14" t="s">
        <v>33450</v>
      </c>
      <c r="X5395" s="17" t="str">
        <f>HYPERLINK("https://my.pitchbook.com?p=302329-09P","View People Online")</f>
        <v>View People Online</v>
      </c>
    </row>
    <row r="5396">
      <c r="A5396" s="10" t="s">
        <v>33633</v>
      </c>
      <c r="B5396" s="10" t="s">
        <v>33634</v>
      </c>
      <c r="C5396" s="10" t="s">
        <v>6383</v>
      </c>
      <c r="D5396" s="10" t="s">
        <v>33563</v>
      </c>
      <c r="E5396" s="10" t="s">
        <v>33450</v>
      </c>
      <c r="F5396" s="10" t="s">
        <v>674</v>
      </c>
      <c r="G5396" s="10" t="s">
        <v>33635</v>
      </c>
      <c r="H5396" s="11">
        <v>1.0</v>
      </c>
      <c r="I5396" s="11">
        <v>20.0</v>
      </c>
      <c r="J5396" s="11">
        <v>2.0</v>
      </c>
      <c r="K5396" s="11">
        <v>12.0</v>
      </c>
      <c r="L5396" s="12" t="s">
        <v>33452</v>
      </c>
      <c r="M5396" s="10" t="s">
        <v>33636</v>
      </c>
      <c r="N5396" s="10" t="s">
        <v>75</v>
      </c>
      <c r="O5396" s="12" t="s">
        <v>76</v>
      </c>
      <c r="P5396" s="10" t="s">
        <v>33454</v>
      </c>
      <c r="Q5396" s="10" t="s">
        <v>12967</v>
      </c>
      <c r="R5396" s="10" t="s">
        <v>75</v>
      </c>
      <c r="S5396" s="12" t="s">
        <v>2167</v>
      </c>
      <c r="T5396" s="10" t="s">
        <v>66</v>
      </c>
      <c r="U5396" s="12" t="s">
        <v>31</v>
      </c>
      <c r="V5396" s="10" t="s">
        <v>1172</v>
      </c>
      <c r="W5396" s="10" t="s">
        <v>33450</v>
      </c>
      <c r="X5396" s="13" t="str">
        <f>HYPERLINK("https://my.pitchbook.com?p=47800-54P","View People Online")</f>
        <v>View People Online</v>
      </c>
    </row>
    <row r="5397">
      <c r="A5397" s="6" t="s">
        <v>33637</v>
      </c>
      <c r="B5397" s="6" t="s">
        <v>33638</v>
      </c>
      <c r="C5397" s="6" t="s">
        <v>112</v>
      </c>
      <c r="D5397" s="6" t="s">
        <v>33639</v>
      </c>
      <c r="E5397" s="6" t="s">
        <v>33450</v>
      </c>
      <c r="F5397" s="6" t="s">
        <v>25083</v>
      </c>
      <c r="G5397" s="6" t="s">
        <v>33640</v>
      </c>
      <c r="H5397" s="7" t="s">
        <v>31</v>
      </c>
      <c r="I5397" s="7">
        <v>29.0</v>
      </c>
      <c r="J5397" s="7">
        <v>1.0</v>
      </c>
      <c r="K5397" s="7">
        <v>25.0</v>
      </c>
      <c r="L5397" s="8" t="s">
        <v>33641</v>
      </c>
      <c r="M5397" s="6" t="s">
        <v>33642</v>
      </c>
      <c r="N5397" s="6" t="s">
        <v>75</v>
      </c>
      <c r="O5397" s="8" t="s">
        <v>76</v>
      </c>
      <c r="P5397" s="6" t="s">
        <v>33454</v>
      </c>
      <c r="Q5397" s="6" t="s">
        <v>12967</v>
      </c>
      <c r="R5397" s="6" t="s">
        <v>75</v>
      </c>
      <c r="S5397" s="8" t="s">
        <v>2167</v>
      </c>
      <c r="T5397" s="6" t="s">
        <v>66</v>
      </c>
      <c r="U5397" s="8" t="s">
        <v>31</v>
      </c>
      <c r="V5397" s="6" t="s">
        <v>33643</v>
      </c>
      <c r="W5397" s="6" t="s">
        <v>33450</v>
      </c>
      <c r="X5397" s="9" t="str">
        <f>HYPERLINK("https://my.pitchbook.com?p=31711-15P","View People Online")</f>
        <v>View People Online</v>
      </c>
    </row>
    <row r="5398">
      <c r="A5398" s="2" t="s">
        <v>33644</v>
      </c>
      <c r="B5398" s="2" t="s">
        <v>33645</v>
      </c>
      <c r="C5398" s="2" t="s">
        <v>33646</v>
      </c>
      <c r="D5398" s="2" t="s">
        <v>33647</v>
      </c>
      <c r="E5398" s="2" t="s">
        <v>33450</v>
      </c>
      <c r="F5398" s="2" t="s">
        <v>2731</v>
      </c>
      <c r="G5398" s="2" t="s">
        <v>33648</v>
      </c>
      <c r="H5398" s="3" t="s">
        <v>31</v>
      </c>
      <c r="I5398" s="3">
        <v>1.0</v>
      </c>
      <c r="J5398" s="3" t="s">
        <v>31</v>
      </c>
      <c r="K5398" s="3" t="s">
        <v>31</v>
      </c>
      <c r="L5398" s="4" t="s">
        <v>33452</v>
      </c>
      <c r="M5398" s="2" t="s">
        <v>31</v>
      </c>
      <c r="N5398" s="2" t="s">
        <v>75</v>
      </c>
      <c r="O5398" s="4" t="s">
        <v>76</v>
      </c>
      <c r="P5398" s="2" t="s">
        <v>33454</v>
      </c>
      <c r="Q5398" s="2" t="s">
        <v>12967</v>
      </c>
      <c r="R5398" s="2" t="s">
        <v>75</v>
      </c>
      <c r="S5398" s="4" t="s">
        <v>2167</v>
      </c>
      <c r="T5398" s="2" t="s">
        <v>66</v>
      </c>
      <c r="U5398" s="4" t="s">
        <v>31</v>
      </c>
      <c r="V5398" s="2" t="s">
        <v>33599</v>
      </c>
      <c r="W5398" s="2" t="s">
        <v>33450</v>
      </c>
      <c r="X5398" s="5" t="str">
        <f>HYPERLINK("https://my.pitchbook.com?p=456514-03P","View People Online")</f>
        <v>View People Online</v>
      </c>
    </row>
    <row r="5399">
      <c r="A5399" s="14" t="s">
        <v>33649</v>
      </c>
      <c r="B5399" s="14" t="s">
        <v>33650</v>
      </c>
      <c r="C5399" s="14" t="s">
        <v>7304</v>
      </c>
      <c r="D5399" s="14" t="s">
        <v>33651</v>
      </c>
      <c r="E5399" s="14" t="s">
        <v>33450</v>
      </c>
      <c r="F5399" s="14" t="s">
        <v>371</v>
      </c>
      <c r="G5399" s="14" t="s">
        <v>33652</v>
      </c>
      <c r="H5399" s="15" t="s">
        <v>31</v>
      </c>
      <c r="I5399" s="15">
        <v>1.0</v>
      </c>
      <c r="J5399" s="15">
        <v>1.0</v>
      </c>
      <c r="K5399" s="15" t="s">
        <v>31</v>
      </c>
      <c r="L5399" s="16" t="s">
        <v>33452</v>
      </c>
      <c r="M5399" s="14" t="s">
        <v>33653</v>
      </c>
      <c r="N5399" s="14" t="s">
        <v>75</v>
      </c>
      <c r="O5399" s="16" t="s">
        <v>76</v>
      </c>
      <c r="P5399" s="14" t="s">
        <v>33454</v>
      </c>
      <c r="Q5399" s="14" t="s">
        <v>12967</v>
      </c>
      <c r="R5399" s="14" t="s">
        <v>75</v>
      </c>
      <c r="S5399" s="16" t="s">
        <v>2167</v>
      </c>
      <c r="T5399" s="14" t="s">
        <v>66</v>
      </c>
      <c r="U5399" s="16" t="s">
        <v>31</v>
      </c>
      <c r="V5399" s="14" t="s">
        <v>371</v>
      </c>
      <c r="W5399" s="14" t="s">
        <v>33450</v>
      </c>
      <c r="X5399" s="17" t="str">
        <f>HYPERLINK("https://my.pitchbook.com?p=456477-49P","View People Online")</f>
        <v>View People Online</v>
      </c>
    </row>
    <row r="5400">
      <c r="A5400" s="10" t="s">
        <v>33654</v>
      </c>
      <c r="B5400" s="10" t="s">
        <v>33655</v>
      </c>
      <c r="C5400" s="10" t="s">
        <v>343</v>
      </c>
      <c r="D5400" s="10" t="s">
        <v>33656</v>
      </c>
      <c r="E5400" s="10" t="s">
        <v>33450</v>
      </c>
      <c r="F5400" s="10" t="s">
        <v>371</v>
      </c>
      <c r="G5400" s="10" t="s">
        <v>33657</v>
      </c>
      <c r="H5400" s="11" t="s">
        <v>31</v>
      </c>
      <c r="I5400" s="11">
        <v>1.0</v>
      </c>
      <c r="J5400" s="11">
        <v>1.0</v>
      </c>
      <c r="K5400" s="11" t="s">
        <v>31</v>
      </c>
      <c r="L5400" s="12" t="s">
        <v>33658</v>
      </c>
      <c r="M5400" s="10" t="s">
        <v>33659</v>
      </c>
      <c r="N5400" s="10" t="s">
        <v>75</v>
      </c>
      <c r="O5400" s="12" t="s">
        <v>76</v>
      </c>
      <c r="P5400" s="10" t="s">
        <v>33454</v>
      </c>
      <c r="Q5400" s="10" t="s">
        <v>12967</v>
      </c>
      <c r="R5400" s="10" t="s">
        <v>75</v>
      </c>
      <c r="S5400" s="12" t="s">
        <v>2167</v>
      </c>
      <c r="T5400" s="10" t="s">
        <v>66</v>
      </c>
      <c r="U5400" s="12" t="s">
        <v>31</v>
      </c>
      <c r="V5400" s="10" t="s">
        <v>33660</v>
      </c>
      <c r="W5400" s="10" t="s">
        <v>33450</v>
      </c>
      <c r="X5400" s="13" t="str">
        <f>HYPERLINK("https://my.pitchbook.com?p=371233-09P","View People Online")</f>
        <v>View People Online</v>
      </c>
    </row>
    <row r="5401">
      <c r="A5401" s="14" t="s">
        <v>33661</v>
      </c>
      <c r="B5401" s="14" t="s">
        <v>33662</v>
      </c>
      <c r="C5401" s="14" t="s">
        <v>823</v>
      </c>
      <c r="D5401" s="14" t="s">
        <v>33663</v>
      </c>
      <c r="E5401" s="14" t="s">
        <v>33450</v>
      </c>
      <c r="F5401" s="14" t="s">
        <v>120</v>
      </c>
      <c r="G5401" s="14" t="s">
        <v>33664</v>
      </c>
      <c r="H5401" s="15">
        <v>1.0</v>
      </c>
      <c r="I5401" s="15">
        <v>2.0</v>
      </c>
      <c r="J5401" s="15">
        <v>1.0</v>
      </c>
      <c r="K5401" s="15" t="s">
        <v>31</v>
      </c>
      <c r="L5401" s="16" t="s">
        <v>33665</v>
      </c>
      <c r="M5401" s="14" t="s">
        <v>31</v>
      </c>
      <c r="N5401" s="14" t="s">
        <v>33666</v>
      </c>
      <c r="O5401" s="16" t="s">
        <v>33667</v>
      </c>
      <c r="P5401" s="14" t="s">
        <v>33668</v>
      </c>
      <c r="Q5401" s="14" t="s">
        <v>31</v>
      </c>
      <c r="R5401" s="14" t="s">
        <v>15275</v>
      </c>
      <c r="S5401" s="16" t="s">
        <v>33669</v>
      </c>
      <c r="T5401" s="14" t="s">
        <v>66</v>
      </c>
      <c r="U5401" s="16" t="s">
        <v>31</v>
      </c>
      <c r="V5401" s="14" t="s">
        <v>2379</v>
      </c>
      <c r="W5401" s="14" t="s">
        <v>33670</v>
      </c>
      <c r="X5401" s="17" t="str">
        <f>HYPERLINK("https://my.pitchbook.com?p=302338-99P","View People Online")</f>
        <v>View People Online</v>
      </c>
    </row>
    <row r="5402">
      <c r="A5402" s="10" t="s">
        <v>33671</v>
      </c>
      <c r="B5402" s="10" t="s">
        <v>33672</v>
      </c>
      <c r="C5402" s="10" t="s">
        <v>823</v>
      </c>
      <c r="D5402" s="10" t="s">
        <v>33673</v>
      </c>
      <c r="E5402" s="10" t="s">
        <v>33450</v>
      </c>
      <c r="F5402" s="10" t="s">
        <v>318</v>
      </c>
      <c r="G5402" s="10" t="s">
        <v>33674</v>
      </c>
      <c r="H5402" s="11">
        <v>1.0</v>
      </c>
      <c r="I5402" s="11">
        <v>6.0</v>
      </c>
      <c r="J5402" s="11">
        <v>1.0</v>
      </c>
      <c r="K5402" s="11">
        <v>2.0</v>
      </c>
      <c r="L5402" s="12" t="s">
        <v>31</v>
      </c>
      <c r="M5402" s="10" t="s">
        <v>33675</v>
      </c>
      <c r="N5402" s="10" t="s">
        <v>14016</v>
      </c>
      <c r="O5402" s="12" t="s">
        <v>14017</v>
      </c>
      <c r="P5402" s="10" t="s">
        <v>33676</v>
      </c>
      <c r="Q5402" s="10" t="s">
        <v>31</v>
      </c>
      <c r="R5402" s="10" t="s">
        <v>31</v>
      </c>
      <c r="S5402" s="12" t="s">
        <v>14020</v>
      </c>
      <c r="T5402" s="10" t="s">
        <v>38</v>
      </c>
      <c r="U5402" s="12" t="s">
        <v>31</v>
      </c>
      <c r="V5402" s="10" t="s">
        <v>33677</v>
      </c>
      <c r="W5402" s="10" t="s">
        <v>33450</v>
      </c>
      <c r="X5402" s="13" t="str">
        <f>HYPERLINK("https://my.pitchbook.com?p=302326-48P","View People Online")</f>
        <v>View People Online</v>
      </c>
    </row>
    <row r="5403">
      <c r="A5403" s="6" t="s">
        <v>33678</v>
      </c>
      <c r="B5403" s="6" t="s">
        <v>33679</v>
      </c>
      <c r="C5403" s="6" t="s">
        <v>33680</v>
      </c>
      <c r="D5403" s="6" t="s">
        <v>33681</v>
      </c>
      <c r="E5403" s="6" t="s">
        <v>33450</v>
      </c>
      <c r="F5403" s="6" t="s">
        <v>201</v>
      </c>
      <c r="G5403" s="6" t="s">
        <v>33682</v>
      </c>
      <c r="H5403" s="7" t="s">
        <v>31</v>
      </c>
      <c r="I5403" s="7">
        <v>1.0</v>
      </c>
      <c r="J5403" s="7">
        <v>1.0</v>
      </c>
      <c r="K5403" s="7" t="s">
        <v>31</v>
      </c>
      <c r="L5403" s="8" t="s">
        <v>33683</v>
      </c>
      <c r="M5403" s="6" t="s">
        <v>33684</v>
      </c>
      <c r="N5403" s="6" t="s">
        <v>75</v>
      </c>
      <c r="O5403" s="8" t="s">
        <v>76</v>
      </c>
      <c r="P5403" s="6" t="s">
        <v>33454</v>
      </c>
      <c r="Q5403" s="6" t="s">
        <v>12967</v>
      </c>
      <c r="R5403" s="6" t="s">
        <v>75</v>
      </c>
      <c r="S5403" s="8" t="s">
        <v>2167</v>
      </c>
      <c r="T5403" s="6" t="s">
        <v>66</v>
      </c>
      <c r="U5403" s="8" t="s">
        <v>31</v>
      </c>
      <c r="V5403" s="6" t="s">
        <v>201</v>
      </c>
      <c r="W5403" s="6" t="s">
        <v>33450</v>
      </c>
      <c r="X5403" s="9" t="str">
        <f>HYPERLINK("https://my.pitchbook.com?p=277492-96P","View People Online")</f>
        <v>View People Online</v>
      </c>
    </row>
    <row r="5404">
      <c r="A5404" s="10" t="s">
        <v>33685</v>
      </c>
      <c r="B5404" s="10" t="s">
        <v>33686</v>
      </c>
      <c r="C5404" s="10" t="s">
        <v>2964</v>
      </c>
      <c r="D5404" s="10" t="s">
        <v>28945</v>
      </c>
      <c r="E5404" s="10" t="s">
        <v>33450</v>
      </c>
      <c r="F5404" s="10" t="s">
        <v>221</v>
      </c>
      <c r="G5404" s="10" t="s">
        <v>33687</v>
      </c>
      <c r="H5404" s="11" t="s">
        <v>31</v>
      </c>
      <c r="I5404" s="11">
        <v>1.0</v>
      </c>
      <c r="J5404" s="11">
        <v>1.0</v>
      </c>
      <c r="K5404" s="11" t="s">
        <v>31</v>
      </c>
      <c r="L5404" s="12" t="s">
        <v>33452</v>
      </c>
      <c r="M5404" s="10" t="s">
        <v>33688</v>
      </c>
      <c r="N5404" s="10" t="s">
        <v>75</v>
      </c>
      <c r="O5404" s="12" t="s">
        <v>76</v>
      </c>
      <c r="P5404" s="10" t="s">
        <v>33454</v>
      </c>
      <c r="Q5404" s="10" t="s">
        <v>12967</v>
      </c>
      <c r="R5404" s="10" t="s">
        <v>75</v>
      </c>
      <c r="S5404" s="12" t="s">
        <v>2167</v>
      </c>
      <c r="T5404" s="10" t="s">
        <v>66</v>
      </c>
      <c r="U5404" s="12" t="s">
        <v>31</v>
      </c>
      <c r="V5404" s="10" t="s">
        <v>33689</v>
      </c>
      <c r="W5404" s="10" t="s">
        <v>33450</v>
      </c>
      <c r="X5404" s="13" t="str">
        <f>HYPERLINK("https://my.pitchbook.com?p=428212-45P","View People Online")</f>
        <v>View People Online</v>
      </c>
    </row>
    <row r="5405">
      <c r="A5405" s="14" t="s">
        <v>33690</v>
      </c>
      <c r="B5405" s="14" t="s">
        <v>33691</v>
      </c>
      <c r="C5405" s="14" t="s">
        <v>30073</v>
      </c>
      <c r="D5405" s="14" t="s">
        <v>17678</v>
      </c>
      <c r="E5405" s="14" t="s">
        <v>33450</v>
      </c>
      <c r="F5405" s="14" t="s">
        <v>371</v>
      </c>
      <c r="G5405" s="14" t="s">
        <v>33692</v>
      </c>
      <c r="H5405" s="15">
        <v>1.0</v>
      </c>
      <c r="I5405" s="15">
        <v>4.0</v>
      </c>
      <c r="J5405" s="15">
        <v>1.0</v>
      </c>
      <c r="K5405" s="15">
        <v>1.0</v>
      </c>
      <c r="L5405" s="16" t="s">
        <v>33452</v>
      </c>
      <c r="M5405" s="14" t="s">
        <v>33693</v>
      </c>
      <c r="N5405" s="14" t="s">
        <v>75</v>
      </c>
      <c r="O5405" s="16" t="s">
        <v>76</v>
      </c>
      <c r="P5405" s="14" t="s">
        <v>33454</v>
      </c>
      <c r="Q5405" s="14" t="s">
        <v>12967</v>
      </c>
      <c r="R5405" s="14" t="s">
        <v>75</v>
      </c>
      <c r="S5405" s="16" t="s">
        <v>2167</v>
      </c>
      <c r="T5405" s="14" t="s">
        <v>66</v>
      </c>
      <c r="U5405" s="16" t="s">
        <v>31</v>
      </c>
      <c r="V5405" s="14" t="s">
        <v>33694</v>
      </c>
      <c r="W5405" s="14" t="s">
        <v>33450</v>
      </c>
      <c r="X5405" s="17" t="str">
        <f>HYPERLINK("https://my.pitchbook.com?p=178740-01P","View People Online")</f>
        <v>View People Online</v>
      </c>
    </row>
    <row r="5406">
      <c r="A5406" s="2" t="s">
        <v>33695</v>
      </c>
      <c r="B5406" s="2" t="s">
        <v>33696</v>
      </c>
      <c r="C5406" s="2" t="s">
        <v>350</v>
      </c>
      <c r="D5406" s="2" t="s">
        <v>3275</v>
      </c>
      <c r="E5406" s="2" t="s">
        <v>33450</v>
      </c>
      <c r="F5406" s="2" t="s">
        <v>2731</v>
      </c>
      <c r="G5406" s="2" t="s">
        <v>33697</v>
      </c>
      <c r="H5406" s="3" t="s">
        <v>31</v>
      </c>
      <c r="I5406" s="3">
        <v>1.0</v>
      </c>
      <c r="J5406" s="3" t="s">
        <v>31</v>
      </c>
      <c r="K5406" s="3" t="s">
        <v>31</v>
      </c>
      <c r="L5406" s="4" t="s">
        <v>33452</v>
      </c>
      <c r="M5406" s="2" t="s">
        <v>31</v>
      </c>
      <c r="N5406" s="2" t="s">
        <v>75</v>
      </c>
      <c r="O5406" s="4" t="s">
        <v>76</v>
      </c>
      <c r="P5406" s="2" t="s">
        <v>33454</v>
      </c>
      <c r="Q5406" s="2" t="s">
        <v>12967</v>
      </c>
      <c r="R5406" s="2" t="s">
        <v>75</v>
      </c>
      <c r="S5406" s="4" t="s">
        <v>2167</v>
      </c>
      <c r="T5406" s="2" t="s">
        <v>66</v>
      </c>
      <c r="U5406" s="4" t="s">
        <v>31</v>
      </c>
      <c r="V5406" s="2" t="s">
        <v>2731</v>
      </c>
      <c r="W5406" s="2" t="s">
        <v>33450</v>
      </c>
      <c r="X5406" s="5" t="str">
        <f>HYPERLINK("https://my.pitchbook.com?p=417278-35P","View People Online")</f>
        <v>View People Online</v>
      </c>
    </row>
    <row r="5407">
      <c r="A5407" s="14" t="s">
        <v>33698</v>
      </c>
      <c r="B5407" s="14" t="s">
        <v>33699</v>
      </c>
      <c r="C5407" s="14" t="s">
        <v>2149</v>
      </c>
      <c r="D5407" s="14" t="s">
        <v>25277</v>
      </c>
      <c r="E5407" s="14" t="s">
        <v>33450</v>
      </c>
      <c r="F5407" s="14" t="s">
        <v>2731</v>
      </c>
      <c r="G5407" s="14" t="s">
        <v>33700</v>
      </c>
      <c r="H5407" s="15" t="s">
        <v>31</v>
      </c>
      <c r="I5407" s="15">
        <v>1.0</v>
      </c>
      <c r="J5407" s="15" t="s">
        <v>31</v>
      </c>
      <c r="K5407" s="15" t="s">
        <v>31</v>
      </c>
      <c r="L5407" s="16" t="s">
        <v>33452</v>
      </c>
      <c r="M5407" s="14" t="s">
        <v>31</v>
      </c>
      <c r="N5407" s="14" t="s">
        <v>75</v>
      </c>
      <c r="O5407" s="16" t="s">
        <v>76</v>
      </c>
      <c r="P5407" s="14" t="s">
        <v>33454</v>
      </c>
      <c r="Q5407" s="14" t="s">
        <v>12967</v>
      </c>
      <c r="R5407" s="14" t="s">
        <v>75</v>
      </c>
      <c r="S5407" s="16" t="s">
        <v>2167</v>
      </c>
      <c r="T5407" s="14" t="s">
        <v>66</v>
      </c>
      <c r="U5407" s="16" t="s">
        <v>31</v>
      </c>
      <c r="V5407" s="14" t="s">
        <v>33611</v>
      </c>
      <c r="W5407" s="14" t="s">
        <v>33450</v>
      </c>
      <c r="X5407" s="17" t="str">
        <f>HYPERLINK("https://my.pitchbook.com?p=388061-11P","View People Online")</f>
        <v>View People Online</v>
      </c>
    </row>
    <row r="5408">
      <c r="A5408" s="10" t="s">
        <v>33701</v>
      </c>
      <c r="B5408" s="10" t="s">
        <v>33702</v>
      </c>
      <c r="C5408" s="10" t="s">
        <v>3040</v>
      </c>
      <c r="D5408" s="10" t="s">
        <v>33703</v>
      </c>
      <c r="E5408" s="10" t="s">
        <v>33450</v>
      </c>
      <c r="F5408" s="10" t="s">
        <v>221</v>
      </c>
      <c r="G5408" s="10" t="s">
        <v>33704</v>
      </c>
      <c r="H5408" s="11" t="s">
        <v>31</v>
      </c>
      <c r="I5408" s="11">
        <v>1.0</v>
      </c>
      <c r="J5408" s="11">
        <v>1.0</v>
      </c>
      <c r="K5408" s="11" t="s">
        <v>31</v>
      </c>
      <c r="L5408" s="12" t="s">
        <v>33452</v>
      </c>
      <c r="M5408" s="10" t="s">
        <v>33705</v>
      </c>
      <c r="N5408" s="10" t="s">
        <v>75</v>
      </c>
      <c r="O5408" s="12" t="s">
        <v>76</v>
      </c>
      <c r="P5408" s="10" t="s">
        <v>33454</v>
      </c>
      <c r="Q5408" s="10" t="s">
        <v>12967</v>
      </c>
      <c r="R5408" s="10" t="s">
        <v>75</v>
      </c>
      <c r="S5408" s="12" t="s">
        <v>2167</v>
      </c>
      <c r="T5408" s="10" t="s">
        <v>66</v>
      </c>
      <c r="U5408" s="12" t="s">
        <v>31</v>
      </c>
      <c r="V5408" s="10" t="s">
        <v>221</v>
      </c>
      <c r="W5408" s="10" t="s">
        <v>33450</v>
      </c>
      <c r="X5408" s="13" t="str">
        <f>HYPERLINK("https://my.pitchbook.com?p=428249-62P","View People Online")</f>
        <v>View People Online</v>
      </c>
    </row>
    <row r="5409">
      <c r="A5409" s="6" t="s">
        <v>33706</v>
      </c>
      <c r="B5409" s="6" t="s">
        <v>33707</v>
      </c>
      <c r="C5409" s="6" t="s">
        <v>3052</v>
      </c>
      <c r="D5409" s="6" t="s">
        <v>14687</v>
      </c>
      <c r="E5409" s="6" t="s">
        <v>33450</v>
      </c>
      <c r="F5409" s="6" t="s">
        <v>3144</v>
      </c>
      <c r="G5409" s="6" t="s">
        <v>33708</v>
      </c>
      <c r="H5409" s="7">
        <v>1.0</v>
      </c>
      <c r="I5409" s="7">
        <v>5.0</v>
      </c>
      <c r="J5409" s="7">
        <v>1.0</v>
      </c>
      <c r="K5409" s="7">
        <v>1.0</v>
      </c>
      <c r="L5409" s="8" t="s">
        <v>33452</v>
      </c>
      <c r="M5409" s="6" t="s">
        <v>33709</v>
      </c>
      <c r="N5409" s="6" t="s">
        <v>75</v>
      </c>
      <c r="O5409" s="8" t="s">
        <v>76</v>
      </c>
      <c r="P5409" s="6" t="s">
        <v>33454</v>
      </c>
      <c r="Q5409" s="6" t="s">
        <v>12967</v>
      </c>
      <c r="R5409" s="6" t="s">
        <v>75</v>
      </c>
      <c r="S5409" s="8" t="s">
        <v>2167</v>
      </c>
      <c r="T5409" s="6" t="s">
        <v>66</v>
      </c>
      <c r="U5409" s="8" t="s">
        <v>31</v>
      </c>
      <c r="V5409" s="6" t="s">
        <v>33710</v>
      </c>
      <c r="W5409" s="6" t="s">
        <v>33450</v>
      </c>
      <c r="X5409" s="9" t="str">
        <f>HYPERLINK("https://my.pitchbook.com?p=90995-50P","View People Online")</f>
        <v>View People Online</v>
      </c>
    </row>
    <row r="5410">
      <c r="A5410" s="2" t="s">
        <v>33711</v>
      </c>
      <c r="B5410" s="2" t="s">
        <v>33712</v>
      </c>
      <c r="C5410" s="2" t="s">
        <v>3052</v>
      </c>
      <c r="D5410" s="2" t="s">
        <v>33713</v>
      </c>
      <c r="E5410" s="2" t="s">
        <v>33450</v>
      </c>
      <c r="F5410" s="2" t="s">
        <v>318</v>
      </c>
      <c r="G5410" s="2" t="s">
        <v>33714</v>
      </c>
      <c r="H5410" s="3" t="s">
        <v>31</v>
      </c>
      <c r="I5410" s="3">
        <v>1.0</v>
      </c>
      <c r="J5410" s="3">
        <v>1.0</v>
      </c>
      <c r="K5410" s="3" t="s">
        <v>31</v>
      </c>
      <c r="L5410" s="4" t="s">
        <v>33715</v>
      </c>
      <c r="M5410" s="2" t="s">
        <v>33716</v>
      </c>
      <c r="N5410" s="2" t="s">
        <v>75</v>
      </c>
      <c r="O5410" s="4" t="s">
        <v>76</v>
      </c>
      <c r="P5410" s="2" t="s">
        <v>33454</v>
      </c>
      <c r="Q5410" s="2" t="s">
        <v>12967</v>
      </c>
      <c r="R5410" s="2" t="s">
        <v>75</v>
      </c>
      <c r="S5410" s="4" t="s">
        <v>2167</v>
      </c>
      <c r="T5410" s="2" t="s">
        <v>66</v>
      </c>
      <c r="U5410" s="4" t="s">
        <v>31</v>
      </c>
      <c r="V5410" s="2" t="s">
        <v>318</v>
      </c>
      <c r="W5410" s="2" t="s">
        <v>33450</v>
      </c>
      <c r="X5410" s="5" t="str">
        <f>HYPERLINK("https://my.pitchbook.com?p=131672-17P","View People Online")</f>
        <v>View People Online</v>
      </c>
    </row>
    <row r="5411">
      <c r="A5411" s="14" t="s">
        <v>33717</v>
      </c>
      <c r="B5411" s="14" t="s">
        <v>33718</v>
      </c>
      <c r="C5411" s="14" t="s">
        <v>3828</v>
      </c>
      <c r="D5411" s="14" t="s">
        <v>33719</v>
      </c>
      <c r="E5411" s="14" t="s">
        <v>33450</v>
      </c>
      <c r="F5411" s="14" t="s">
        <v>221</v>
      </c>
      <c r="G5411" s="14" t="s">
        <v>33720</v>
      </c>
      <c r="H5411" s="15" t="s">
        <v>31</v>
      </c>
      <c r="I5411" s="15">
        <v>2.0</v>
      </c>
      <c r="J5411" s="15">
        <v>2.0</v>
      </c>
      <c r="K5411" s="15" t="s">
        <v>31</v>
      </c>
      <c r="L5411" s="16" t="s">
        <v>33452</v>
      </c>
      <c r="M5411" s="14" t="s">
        <v>33721</v>
      </c>
      <c r="N5411" s="14" t="s">
        <v>75</v>
      </c>
      <c r="O5411" s="16" t="s">
        <v>76</v>
      </c>
      <c r="P5411" s="14" t="s">
        <v>33454</v>
      </c>
      <c r="Q5411" s="14" t="s">
        <v>12967</v>
      </c>
      <c r="R5411" s="14" t="s">
        <v>75</v>
      </c>
      <c r="S5411" s="16" t="s">
        <v>2167</v>
      </c>
      <c r="T5411" s="14" t="s">
        <v>66</v>
      </c>
      <c r="U5411" s="16" t="s">
        <v>31</v>
      </c>
      <c r="V5411" s="14" t="s">
        <v>221</v>
      </c>
      <c r="W5411" s="14" t="s">
        <v>33450</v>
      </c>
      <c r="X5411" s="17" t="str">
        <f>HYPERLINK("https://my.pitchbook.com?p=365498-56P","View People Online")</f>
        <v>View People Online</v>
      </c>
    </row>
    <row r="5412">
      <c r="A5412" s="10" t="s">
        <v>33722</v>
      </c>
      <c r="B5412" s="10" t="s">
        <v>33723</v>
      </c>
      <c r="C5412" s="10" t="s">
        <v>1489</v>
      </c>
      <c r="D5412" s="10" t="s">
        <v>18122</v>
      </c>
      <c r="E5412" s="10" t="s">
        <v>33450</v>
      </c>
      <c r="F5412" s="10" t="s">
        <v>3429</v>
      </c>
      <c r="G5412" s="10" t="s">
        <v>33724</v>
      </c>
      <c r="H5412" s="11">
        <v>1.0</v>
      </c>
      <c r="I5412" s="11">
        <v>2.0</v>
      </c>
      <c r="J5412" s="11">
        <v>2.0</v>
      </c>
      <c r="K5412" s="11" t="s">
        <v>31</v>
      </c>
      <c r="L5412" s="12" t="s">
        <v>33452</v>
      </c>
      <c r="M5412" s="10" t="s">
        <v>33725</v>
      </c>
      <c r="N5412" s="10" t="s">
        <v>75</v>
      </c>
      <c r="O5412" s="12" t="s">
        <v>76</v>
      </c>
      <c r="P5412" s="10" t="s">
        <v>33454</v>
      </c>
      <c r="Q5412" s="10" t="s">
        <v>12967</v>
      </c>
      <c r="R5412" s="10" t="s">
        <v>75</v>
      </c>
      <c r="S5412" s="12" t="s">
        <v>2167</v>
      </c>
      <c r="T5412" s="10" t="s">
        <v>66</v>
      </c>
      <c r="U5412" s="12" t="s">
        <v>31</v>
      </c>
      <c r="V5412" s="10" t="s">
        <v>33726</v>
      </c>
      <c r="W5412" s="10" t="s">
        <v>33450</v>
      </c>
      <c r="X5412" s="13" t="str">
        <f>HYPERLINK("https://my.pitchbook.com?p=87846-76P","View People Online")</f>
        <v>View People Online</v>
      </c>
    </row>
    <row r="5413">
      <c r="A5413" s="6" t="s">
        <v>33727</v>
      </c>
      <c r="B5413" s="6" t="s">
        <v>33728</v>
      </c>
      <c r="C5413" s="6" t="s">
        <v>33729</v>
      </c>
      <c r="D5413" s="6" t="s">
        <v>33730</v>
      </c>
      <c r="E5413" s="6" t="s">
        <v>33450</v>
      </c>
      <c r="F5413" s="6" t="s">
        <v>2731</v>
      </c>
      <c r="G5413" s="6" t="s">
        <v>33731</v>
      </c>
      <c r="H5413" s="7" t="s">
        <v>31</v>
      </c>
      <c r="I5413" s="7">
        <v>1.0</v>
      </c>
      <c r="J5413" s="7" t="s">
        <v>31</v>
      </c>
      <c r="K5413" s="7" t="s">
        <v>31</v>
      </c>
      <c r="L5413" s="8" t="s">
        <v>33452</v>
      </c>
      <c r="M5413" s="6" t="s">
        <v>33732</v>
      </c>
      <c r="N5413" s="6" t="s">
        <v>75</v>
      </c>
      <c r="O5413" s="8" t="s">
        <v>76</v>
      </c>
      <c r="P5413" s="6" t="s">
        <v>33454</v>
      </c>
      <c r="Q5413" s="6" t="s">
        <v>12967</v>
      </c>
      <c r="R5413" s="6" t="s">
        <v>75</v>
      </c>
      <c r="S5413" s="8" t="s">
        <v>2167</v>
      </c>
      <c r="T5413" s="6" t="s">
        <v>66</v>
      </c>
      <c r="U5413" s="8" t="s">
        <v>31</v>
      </c>
      <c r="V5413" s="6" t="s">
        <v>33611</v>
      </c>
      <c r="W5413" s="6" t="s">
        <v>33450</v>
      </c>
      <c r="X5413" s="9" t="str">
        <f>HYPERLINK("https://my.pitchbook.com?p=319453-66P","View People Online")</f>
        <v>View People Online</v>
      </c>
    </row>
    <row r="5414">
      <c r="A5414" s="10" t="s">
        <v>33733</v>
      </c>
      <c r="B5414" s="10" t="s">
        <v>33734</v>
      </c>
      <c r="C5414" s="10" t="s">
        <v>2596</v>
      </c>
      <c r="D5414" s="10" t="s">
        <v>33735</v>
      </c>
      <c r="E5414" s="10" t="s">
        <v>33450</v>
      </c>
      <c r="F5414" s="10" t="s">
        <v>502</v>
      </c>
      <c r="G5414" s="10" t="s">
        <v>33736</v>
      </c>
      <c r="H5414" s="11" t="s">
        <v>31</v>
      </c>
      <c r="I5414" s="11">
        <v>2.0</v>
      </c>
      <c r="J5414" s="11">
        <v>1.0</v>
      </c>
      <c r="K5414" s="11" t="s">
        <v>31</v>
      </c>
      <c r="L5414" s="12" t="s">
        <v>33452</v>
      </c>
      <c r="M5414" s="10" t="s">
        <v>33737</v>
      </c>
      <c r="N5414" s="10" t="s">
        <v>75</v>
      </c>
      <c r="O5414" s="12" t="s">
        <v>76</v>
      </c>
      <c r="P5414" s="10" t="s">
        <v>33454</v>
      </c>
      <c r="Q5414" s="10" t="s">
        <v>12967</v>
      </c>
      <c r="R5414" s="10" t="s">
        <v>75</v>
      </c>
      <c r="S5414" s="12" t="s">
        <v>2167</v>
      </c>
      <c r="T5414" s="10" t="s">
        <v>66</v>
      </c>
      <c r="U5414" s="12" t="s">
        <v>31</v>
      </c>
      <c r="V5414" s="10" t="s">
        <v>502</v>
      </c>
      <c r="W5414" s="10" t="s">
        <v>33450</v>
      </c>
      <c r="X5414" s="13" t="str">
        <f>HYPERLINK("https://my.pitchbook.com?p=262478-17P","View People Online")</f>
        <v>View People Online</v>
      </c>
    </row>
    <row r="5415">
      <c r="A5415" s="14" t="s">
        <v>33738</v>
      </c>
      <c r="B5415" s="14" t="s">
        <v>33739</v>
      </c>
      <c r="C5415" s="14" t="s">
        <v>33740</v>
      </c>
      <c r="D5415" s="14" t="s">
        <v>33741</v>
      </c>
      <c r="E5415" s="14" t="s">
        <v>33450</v>
      </c>
      <c r="F5415" s="14" t="s">
        <v>270</v>
      </c>
      <c r="G5415" s="14" t="s">
        <v>33742</v>
      </c>
      <c r="H5415" s="15" t="s">
        <v>31</v>
      </c>
      <c r="I5415" s="15">
        <v>1.0</v>
      </c>
      <c r="J5415" s="15">
        <v>1.0</v>
      </c>
      <c r="K5415" s="15" t="s">
        <v>31</v>
      </c>
      <c r="L5415" s="16" t="s">
        <v>33452</v>
      </c>
      <c r="M5415" s="14" t="s">
        <v>33743</v>
      </c>
      <c r="N5415" s="14" t="s">
        <v>75</v>
      </c>
      <c r="O5415" s="16" t="s">
        <v>76</v>
      </c>
      <c r="P5415" s="14" t="s">
        <v>33454</v>
      </c>
      <c r="Q5415" s="14" t="s">
        <v>12967</v>
      </c>
      <c r="R5415" s="14" t="s">
        <v>75</v>
      </c>
      <c r="S5415" s="16" t="s">
        <v>2167</v>
      </c>
      <c r="T5415" s="14" t="s">
        <v>66</v>
      </c>
      <c r="U5415" s="16" t="s">
        <v>31</v>
      </c>
      <c r="V5415" s="14" t="s">
        <v>33744</v>
      </c>
      <c r="W5415" s="14" t="s">
        <v>33450</v>
      </c>
      <c r="X5415" s="17" t="str">
        <f>HYPERLINK("https://my.pitchbook.com?p=428227-03P","View People Online")</f>
        <v>View People Online</v>
      </c>
    </row>
    <row r="5416">
      <c r="A5416" s="2" t="s">
        <v>33745</v>
      </c>
      <c r="B5416" s="2" t="s">
        <v>33746</v>
      </c>
      <c r="C5416" s="2" t="s">
        <v>2221</v>
      </c>
      <c r="D5416" s="2" t="s">
        <v>33747</v>
      </c>
      <c r="E5416" s="2" t="s">
        <v>33450</v>
      </c>
      <c r="F5416" s="2" t="s">
        <v>270</v>
      </c>
      <c r="G5416" s="2" t="s">
        <v>33748</v>
      </c>
      <c r="H5416" s="3" t="s">
        <v>31</v>
      </c>
      <c r="I5416" s="3">
        <v>1.0</v>
      </c>
      <c r="J5416" s="3">
        <v>1.0</v>
      </c>
      <c r="K5416" s="3" t="s">
        <v>31</v>
      </c>
      <c r="L5416" s="4" t="s">
        <v>33452</v>
      </c>
      <c r="M5416" s="2" t="s">
        <v>31</v>
      </c>
      <c r="N5416" s="2" t="s">
        <v>75</v>
      </c>
      <c r="O5416" s="4" t="s">
        <v>76</v>
      </c>
      <c r="P5416" s="2" t="s">
        <v>33454</v>
      </c>
      <c r="Q5416" s="2" t="s">
        <v>12967</v>
      </c>
      <c r="R5416" s="2" t="s">
        <v>75</v>
      </c>
      <c r="S5416" s="4" t="s">
        <v>2167</v>
      </c>
      <c r="T5416" s="2" t="s">
        <v>66</v>
      </c>
      <c r="U5416" s="4" t="s">
        <v>31</v>
      </c>
      <c r="V5416" s="2" t="s">
        <v>440</v>
      </c>
      <c r="W5416" s="2" t="s">
        <v>33450</v>
      </c>
      <c r="X5416" s="5" t="str">
        <f>HYPERLINK("https://my.pitchbook.com?p=314386-21P","View People Online")</f>
        <v>View People Online</v>
      </c>
    </row>
    <row r="5417">
      <c r="A5417" s="6" t="s">
        <v>33749</v>
      </c>
      <c r="B5417" s="6" t="s">
        <v>33750</v>
      </c>
      <c r="C5417" s="6" t="s">
        <v>33751</v>
      </c>
      <c r="D5417" s="6" t="s">
        <v>33752</v>
      </c>
      <c r="E5417" s="6" t="s">
        <v>33450</v>
      </c>
      <c r="F5417" s="6" t="s">
        <v>270</v>
      </c>
      <c r="G5417" s="6" t="s">
        <v>33753</v>
      </c>
      <c r="H5417" s="7" t="s">
        <v>31</v>
      </c>
      <c r="I5417" s="7">
        <v>1.0</v>
      </c>
      <c r="J5417" s="7">
        <v>1.0</v>
      </c>
      <c r="K5417" s="7" t="s">
        <v>31</v>
      </c>
      <c r="L5417" s="8" t="s">
        <v>33452</v>
      </c>
      <c r="M5417" s="6" t="s">
        <v>33754</v>
      </c>
      <c r="N5417" s="6" t="s">
        <v>75</v>
      </c>
      <c r="O5417" s="8" t="s">
        <v>76</v>
      </c>
      <c r="P5417" s="6" t="s">
        <v>33454</v>
      </c>
      <c r="Q5417" s="6" t="s">
        <v>12967</v>
      </c>
      <c r="R5417" s="6" t="s">
        <v>75</v>
      </c>
      <c r="S5417" s="8" t="s">
        <v>2167</v>
      </c>
      <c r="T5417" s="6" t="s">
        <v>66</v>
      </c>
      <c r="U5417" s="8" t="s">
        <v>31</v>
      </c>
      <c r="V5417" s="6" t="s">
        <v>957</v>
      </c>
      <c r="W5417" s="6" t="s">
        <v>33450</v>
      </c>
      <c r="X5417" s="9" t="str">
        <f>HYPERLINK("https://my.pitchbook.com?p=332462-98P","View People Online")</f>
        <v>View People Online</v>
      </c>
    </row>
    <row r="5418">
      <c r="A5418" s="10" t="s">
        <v>33755</v>
      </c>
      <c r="B5418" s="10" t="s">
        <v>33756</v>
      </c>
      <c r="C5418" s="10" t="s">
        <v>18876</v>
      </c>
      <c r="D5418" s="10" t="s">
        <v>33757</v>
      </c>
      <c r="E5418" s="10" t="s">
        <v>33450</v>
      </c>
      <c r="F5418" s="10" t="s">
        <v>201</v>
      </c>
      <c r="G5418" s="10" t="s">
        <v>33758</v>
      </c>
      <c r="H5418" s="11" t="s">
        <v>31</v>
      </c>
      <c r="I5418" s="11">
        <v>1.0</v>
      </c>
      <c r="J5418" s="11">
        <v>1.0</v>
      </c>
      <c r="K5418" s="11" t="s">
        <v>31</v>
      </c>
      <c r="L5418" s="12" t="s">
        <v>33452</v>
      </c>
      <c r="M5418" s="10" t="s">
        <v>33759</v>
      </c>
      <c r="N5418" s="10" t="s">
        <v>75</v>
      </c>
      <c r="O5418" s="12" t="s">
        <v>76</v>
      </c>
      <c r="P5418" s="10" t="s">
        <v>33454</v>
      </c>
      <c r="Q5418" s="10" t="s">
        <v>12967</v>
      </c>
      <c r="R5418" s="10" t="s">
        <v>75</v>
      </c>
      <c r="S5418" s="12" t="s">
        <v>2167</v>
      </c>
      <c r="T5418" s="10" t="s">
        <v>66</v>
      </c>
      <c r="U5418" s="12" t="s">
        <v>31</v>
      </c>
      <c r="V5418" s="10" t="s">
        <v>201</v>
      </c>
      <c r="W5418" s="10" t="s">
        <v>33450</v>
      </c>
      <c r="X5418" s="13" t="str">
        <f>HYPERLINK("https://my.pitchbook.com?p=319427-92P","View People Online")</f>
        <v>View People Online</v>
      </c>
    </row>
    <row r="5419">
      <c r="A5419" s="6" t="s">
        <v>33760</v>
      </c>
      <c r="B5419" s="6" t="s">
        <v>33761</v>
      </c>
      <c r="C5419" s="6" t="s">
        <v>5186</v>
      </c>
      <c r="D5419" s="6" t="s">
        <v>33762</v>
      </c>
      <c r="E5419" s="6" t="s">
        <v>33450</v>
      </c>
      <c r="F5419" s="6" t="s">
        <v>189</v>
      </c>
      <c r="G5419" s="6" t="s">
        <v>33763</v>
      </c>
      <c r="H5419" s="7">
        <v>7.0</v>
      </c>
      <c r="I5419" s="7">
        <v>36.0</v>
      </c>
      <c r="J5419" s="7">
        <v>1.0</v>
      </c>
      <c r="K5419" s="7">
        <v>24.0</v>
      </c>
      <c r="L5419" s="8" t="s">
        <v>33452</v>
      </c>
      <c r="M5419" s="6" t="s">
        <v>33764</v>
      </c>
      <c r="N5419" s="6" t="s">
        <v>75</v>
      </c>
      <c r="O5419" s="8" t="s">
        <v>76</v>
      </c>
      <c r="P5419" s="6" t="s">
        <v>33454</v>
      </c>
      <c r="Q5419" s="6" t="s">
        <v>12967</v>
      </c>
      <c r="R5419" s="6" t="s">
        <v>75</v>
      </c>
      <c r="S5419" s="8" t="s">
        <v>2167</v>
      </c>
      <c r="T5419" s="6" t="s">
        <v>66</v>
      </c>
      <c r="U5419" s="8" t="s">
        <v>31</v>
      </c>
      <c r="V5419" s="6" t="s">
        <v>196</v>
      </c>
      <c r="W5419" s="6" t="s">
        <v>33450</v>
      </c>
      <c r="X5419" s="9" t="str">
        <f>HYPERLINK("https://my.pitchbook.com?p=156066-76P","View People Online")</f>
        <v>View People Online</v>
      </c>
    </row>
    <row r="5420">
      <c r="A5420" s="2" t="s">
        <v>33765</v>
      </c>
      <c r="B5420" s="2" t="s">
        <v>33766</v>
      </c>
      <c r="C5420" s="2" t="s">
        <v>4021</v>
      </c>
      <c r="D5420" s="2" t="s">
        <v>33767</v>
      </c>
      <c r="E5420" s="2" t="s">
        <v>33450</v>
      </c>
      <c r="F5420" s="2" t="s">
        <v>2731</v>
      </c>
      <c r="G5420" s="2" t="s">
        <v>33768</v>
      </c>
      <c r="H5420" s="3">
        <v>2.0</v>
      </c>
      <c r="I5420" s="3">
        <v>5.0</v>
      </c>
      <c r="J5420" s="3" t="s">
        <v>31</v>
      </c>
      <c r="K5420" s="3">
        <v>1.0</v>
      </c>
      <c r="L5420" s="4" t="s">
        <v>31</v>
      </c>
      <c r="M5420" s="2" t="s">
        <v>33769</v>
      </c>
      <c r="N5420" s="2" t="s">
        <v>33770</v>
      </c>
      <c r="O5420" s="4" t="s">
        <v>33771</v>
      </c>
      <c r="P5420" s="2" t="s">
        <v>33772</v>
      </c>
      <c r="Q5420" s="2" t="s">
        <v>31</v>
      </c>
      <c r="R5420" s="2" t="s">
        <v>31</v>
      </c>
      <c r="S5420" s="4" t="s">
        <v>33773</v>
      </c>
      <c r="T5420" s="2" t="s">
        <v>433</v>
      </c>
      <c r="U5420" s="4" t="s">
        <v>31</v>
      </c>
      <c r="V5420" s="2" t="s">
        <v>6873</v>
      </c>
      <c r="W5420" s="2" t="s">
        <v>33774</v>
      </c>
      <c r="X5420" s="5" t="str">
        <f>HYPERLINK("https://my.pitchbook.com?p=268896-43P","View People Online")</f>
        <v>View People Online</v>
      </c>
    </row>
    <row r="5421">
      <c r="A5421" s="14" t="s">
        <v>33775</v>
      </c>
      <c r="B5421" s="14" t="s">
        <v>33776</v>
      </c>
      <c r="C5421" s="14" t="s">
        <v>33777</v>
      </c>
      <c r="D5421" s="14" t="s">
        <v>33778</v>
      </c>
      <c r="E5421" s="14" t="s">
        <v>33450</v>
      </c>
      <c r="F5421" s="14" t="s">
        <v>2731</v>
      </c>
      <c r="G5421" s="14" t="s">
        <v>33779</v>
      </c>
      <c r="H5421" s="15">
        <v>1.0</v>
      </c>
      <c r="I5421" s="15">
        <v>2.0</v>
      </c>
      <c r="J5421" s="15" t="s">
        <v>31</v>
      </c>
      <c r="K5421" s="15" t="s">
        <v>31</v>
      </c>
      <c r="L5421" s="16" t="s">
        <v>33452</v>
      </c>
      <c r="M5421" s="14" t="s">
        <v>31</v>
      </c>
      <c r="N5421" s="14" t="s">
        <v>75</v>
      </c>
      <c r="O5421" s="16" t="s">
        <v>76</v>
      </c>
      <c r="P5421" s="14" t="s">
        <v>33454</v>
      </c>
      <c r="Q5421" s="14" t="s">
        <v>12967</v>
      </c>
      <c r="R5421" s="14" t="s">
        <v>75</v>
      </c>
      <c r="S5421" s="16" t="s">
        <v>2167</v>
      </c>
      <c r="T5421" s="14" t="s">
        <v>66</v>
      </c>
      <c r="U5421" s="16" t="s">
        <v>31</v>
      </c>
      <c r="V5421" s="14" t="s">
        <v>33599</v>
      </c>
      <c r="W5421" s="14" t="s">
        <v>33450</v>
      </c>
      <c r="X5421" s="17" t="str">
        <f>HYPERLINK("https://my.pitchbook.com?p=421271-02P","View People Online")</f>
        <v>View People Online</v>
      </c>
    </row>
    <row r="5422">
      <c r="A5422" s="10" t="s">
        <v>33780</v>
      </c>
      <c r="B5422" s="10" t="s">
        <v>33781</v>
      </c>
      <c r="C5422" s="10" t="s">
        <v>2288</v>
      </c>
      <c r="D5422" s="10" t="s">
        <v>33782</v>
      </c>
      <c r="E5422" s="10" t="s">
        <v>33450</v>
      </c>
      <c r="F5422" s="10" t="s">
        <v>33624</v>
      </c>
      <c r="G5422" s="10" t="s">
        <v>33783</v>
      </c>
      <c r="H5422" s="11">
        <v>1.0</v>
      </c>
      <c r="I5422" s="11">
        <v>4.0</v>
      </c>
      <c r="J5422" s="11" t="s">
        <v>31</v>
      </c>
      <c r="K5422" s="11">
        <v>2.0</v>
      </c>
      <c r="L5422" s="12" t="s">
        <v>33784</v>
      </c>
      <c r="M5422" s="10" t="s">
        <v>33785</v>
      </c>
      <c r="N5422" s="10" t="s">
        <v>1277</v>
      </c>
      <c r="O5422" s="12" t="s">
        <v>1278</v>
      </c>
      <c r="P5422" s="10" t="s">
        <v>33786</v>
      </c>
      <c r="Q5422" s="10" t="s">
        <v>31</v>
      </c>
      <c r="R5422" s="10" t="s">
        <v>1281</v>
      </c>
      <c r="S5422" s="12" t="s">
        <v>33787</v>
      </c>
      <c r="T5422" s="10" t="s">
        <v>66</v>
      </c>
      <c r="U5422" s="12" t="s">
        <v>31</v>
      </c>
      <c r="V5422" s="10" t="s">
        <v>33788</v>
      </c>
      <c r="W5422" s="10" t="s">
        <v>33789</v>
      </c>
      <c r="X5422" s="13" t="str">
        <f>HYPERLINK("https://my.pitchbook.com?p=182816-65P","View People Online")</f>
        <v>View People Online</v>
      </c>
    </row>
    <row r="5423">
      <c r="A5423" s="14" t="s">
        <v>33790</v>
      </c>
      <c r="B5423" s="14" t="s">
        <v>33791</v>
      </c>
      <c r="C5423" s="14" t="s">
        <v>2288</v>
      </c>
      <c r="D5423" s="14" t="s">
        <v>33792</v>
      </c>
      <c r="E5423" s="14" t="s">
        <v>33450</v>
      </c>
      <c r="F5423" s="14" t="s">
        <v>2731</v>
      </c>
      <c r="G5423" s="14" t="s">
        <v>33793</v>
      </c>
      <c r="H5423" s="15">
        <v>4.0</v>
      </c>
      <c r="I5423" s="15">
        <v>14.0</v>
      </c>
      <c r="J5423" s="15">
        <v>1.0</v>
      </c>
      <c r="K5423" s="15">
        <v>5.0</v>
      </c>
      <c r="L5423" s="16" t="s">
        <v>31</v>
      </c>
      <c r="M5423" s="14" t="s">
        <v>33794</v>
      </c>
      <c r="N5423" s="14" t="s">
        <v>1181</v>
      </c>
      <c r="O5423" s="16" t="s">
        <v>1182</v>
      </c>
      <c r="P5423" s="14" t="s">
        <v>33795</v>
      </c>
      <c r="Q5423" s="14" t="s">
        <v>2839</v>
      </c>
      <c r="R5423" s="14" t="s">
        <v>1185</v>
      </c>
      <c r="S5423" s="16" t="s">
        <v>6739</v>
      </c>
      <c r="T5423" s="14" t="s">
        <v>66</v>
      </c>
      <c r="U5423" s="16" t="s">
        <v>31</v>
      </c>
      <c r="V5423" s="14" t="s">
        <v>120</v>
      </c>
      <c r="W5423" s="14" t="s">
        <v>33796</v>
      </c>
      <c r="X5423" s="17" t="str">
        <f>HYPERLINK("https://my.pitchbook.com?p=31065-67P","View People Online")</f>
        <v>View People Online</v>
      </c>
    </row>
    <row r="5424">
      <c r="A5424" s="10" t="s">
        <v>33797</v>
      </c>
      <c r="B5424" s="10" t="s">
        <v>33798</v>
      </c>
      <c r="C5424" s="10" t="s">
        <v>2288</v>
      </c>
      <c r="D5424" s="10" t="s">
        <v>55</v>
      </c>
      <c r="E5424" s="10" t="s">
        <v>33450</v>
      </c>
      <c r="F5424" s="10" t="s">
        <v>2731</v>
      </c>
      <c r="G5424" s="10" t="s">
        <v>33799</v>
      </c>
      <c r="H5424" s="11" t="s">
        <v>31</v>
      </c>
      <c r="I5424" s="11">
        <v>1.0</v>
      </c>
      <c r="J5424" s="11" t="s">
        <v>31</v>
      </c>
      <c r="K5424" s="11" t="s">
        <v>31</v>
      </c>
      <c r="L5424" s="12" t="s">
        <v>33452</v>
      </c>
      <c r="M5424" s="10" t="s">
        <v>31</v>
      </c>
      <c r="N5424" s="10" t="s">
        <v>75</v>
      </c>
      <c r="O5424" s="12" t="s">
        <v>76</v>
      </c>
      <c r="P5424" s="10" t="s">
        <v>33454</v>
      </c>
      <c r="Q5424" s="10" t="s">
        <v>12967</v>
      </c>
      <c r="R5424" s="10" t="s">
        <v>75</v>
      </c>
      <c r="S5424" s="12" t="s">
        <v>2167</v>
      </c>
      <c r="T5424" s="10" t="s">
        <v>66</v>
      </c>
      <c r="U5424" s="12" t="s">
        <v>31</v>
      </c>
      <c r="V5424" s="10" t="s">
        <v>33611</v>
      </c>
      <c r="W5424" s="10" t="s">
        <v>33450</v>
      </c>
      <c r="X5424" s="13" t="str">
        <f>HYPERLINK("https://my.pitchbook.com?p=354572-02P","View People Online")</f>
        <v>View People Online</v>
      </c>
    </row>
    <row r="5425">
      <c r="A5425" s="6" t="s">
        <v>33800</v>
      </c>
      <c r="B5425" s="6" t="s">
        <v>33801</v>
      </c>
      <c r="C5425" s="6" t="s">
        <v>12912</v>
      </c>
      <c r="D5425" s="6" t="s">
        <v>33802</v>
      </c>
      <c r="E5425" s="6" t="s">
        <v>33450</v>
      </c>
      <c r="F5425" s="6" t="s">
        <v>25083</v>
      </c>
      <c r="G5425" s="6" t="s">
        <v>33803</v>
      </c>
      <c r="H5425" s="7">
        <v>4.0</v>
      </c>
      <c r="I5425" s="7">
        <v>40.0</v>
      </c>
      <c r="J5425" s="7">
        <v>1.0</v>
      </c>
      <c r="K5425" s="7">
        <v>27.0</v>
      </c>
      <c r="L5425" s="8" t="s">
        <v>33804</v>
      </c>
      <c r="M5425" s="6" t="s">
        <v>33805</v>
      </c>
      <c r="N5425" s="6" t="s">
        <v>75</v>
      </c>
      <c r="O5425" s="8" t="s">
        <v>76</v>
      </c>
      <c r="P5425" s="6" t="s">
        <v>33454</v>
      </c>
      <c r="Q5425" s="6" t="s">
        <v>12967</v>
      </c>
      <c r="R5425" s="6" t="s">
        <v>75</v>
      </c>
      <c r="S5425" s="8" t="s">
        <v>2167</v>
      </c>
      <c r="T5425" s="6" t="s">
        <v>66</v>
      </c>
      <c r="U5425" s="8" t="s">
        <v>33806</v>
      </c>
      <c r="V5425" s="6" t="s">
        <v>33807</v>
      </c>
      <c r="W5425" s="6" t="s">
        <v>33450</v>
      </c>
      <c r="X5425" s="9" t="str">
        <f>HYPERLINK("https://my.pitchbook.com?p=47866-69P","View People Online")</f>
        <v>View People Online</v>
      </c>
    </row>
    <row r="5426">
      <c r="A5426" s="10" t="s">
        <v>33808</v>
      </c>
      <c r="B5426" s="10" t="s">
        <v>33809</v>
      </c>
      <c r="C5426" s="10" t="s">
        <v>11919</v>
      </c>
      <c r="D5426" s="10" t="s">
        <v>33810</v>
      </c>
      <c r="E5426" s="10" t="s">
        <v>33450</v>
      </c>
      <c r="F5426" s="10" t="s">
        <v>667</v>
      </c>
      <c r="G5426" s="10" t="s">
        <v>33811</v>
      </c>
      <c r="H5426" s="11" t="s">
        <v>31</v>
      </c>
      <c r="I5426" s="11">
        <v>1.0</v>
      </c>
      <c r="J5426" s="11">
        <v>1.0</v>
      </c>
      <c r="K5426" s="11" t="s">
        <v>31</v>
      </c>
      <c r="L5426" s="12" t="s">
        <v>33452</v>
      </c>
      <c r="M5426" s="10" t="s">
        <v>33812</v>
      </c>
      <c r="N5426" s="10" t="s">
        <v>75</v>
      </c>
      <c r="O5426" s="12" t="s">
        <v>76</v>
      </c>
      <c r="P5426" s="10" t="s">
        <v>33454</v>
      </c>
      <c r="Q5426" s="10" t="s">
        <v>12967</v>
      </c>
      <c r="R5426" s="10" t="s">
        <v>75</v>
      </c>
      <c r="S5426" s="12" t="s">
        <v>2167</v>
      </c>
      <c r="T5426" s="10" t="s">
        <v>66</v>
      </c>
      <c r="U5426" s="12" t="s">
        <v>31</v>
      </c>
      <c r="V5426" s="10" t="s">
        <v>33813</v>
      </c>
      <c r="W5426" s="10" t="s">
        <v>33450</v>
      </c>
      <c r="X5426" s="13" t="str">
        <f>HYPERLINK("https://my.pitchbook.com?p=388050-76P","View People Online")</f>
        <v>View People Online</v>
      </c>
    </row>
    <row r="5427">
      <c r="A5427" s="14" t="s">
        <v>33814</v>
      </c>
      <c r="B5427" s="14" t="s">
        <v>33815</v>
      </c>
      <c r="C5427" s="14" t="s">
        <v>126</v>
      </c>
      <c r="D5427" s="14" t="s">
        <v>25990</v>
      </c>
      <c r="E5427" s="14" t="s">
        <v>33450</v>
      </c>
      <c r="F5427" s="14" t="s">
        <v>371</v>
      </c>
      <c r="G5427" s="14" t="s">
        <v>33816</v>
      </c>
      <c r="H5427" s="15" t="s">
        <v>31</v>
      </c>
      <c r="I5427" s="15">
        <v>3.0</v>
      </c>
      <c r="J5427" s="15">
        <v>1.0</v>
      </c>
      <c r="K5427" s="15">
        <v>1.0</v>
      </c>
      <c r="L5427" s="16" t="s">
        <v>33452</v>
      </c>
      <c r="M5427" s="14" t="s">
        <v>31</v>
      </c>
      <c r="N5427" s="14" t="s">
        <v>75</v>
      </c>
      <c r="O5427" s="16" t="s">
        <v>76</v>
      </c>
      <c r="P5427" s="14" t="s">
        <v>33454</v>
      </c>
      <c r="Q5427" s="14" t="s">
        <v>12967</v>
      </c>
      <c r="R5427" s="14" t="s">
        <v>75</v>
      </c>
      <c r="S5427" s="16" t="s">
        <v>2167</v>
      </c>
      <c r="T5427" s="14" t="s">
        <v>66</v>
      </c>
      <c r="U5427" s="16" t="s">
        <v>31</v>
      </c>
      <c r="V5427" s="14" t="s">
        <v>371</v>
      </c>
      <c r="W5427" s="14" t="s">
        <v>33450</v>
      </c>
      <c r="X5427" s="17" t="str">
        <f>HYPERLINK("https://my.pitchbook.com?p=212219-92P","View People Online")</f>
        <v>View People Online</v>
      </c>
    </row>
    <row r="5428">
      <c r="A5428" s="2" t="s">
        <v>33817</v>
      </c>
      <c r="B5428" s="2" t="s">
        <v>33818</v>
      </c>
      <c r="C5428" s="2" t="s">
        <v>126</v>
      </c>
      <c r="D5428" s="2" t="s">
        <v>33819</v>
      </c>
      <c r="E5428" s="2" t="s">
        <v>33450</v>
      </c>
      <c r="F5428" s="2" t="s">
        <v>33820</v>
      </c>
      <c r="G5428" s="2" t="s">
        <v>33821</v>
      </c>
      <c r="H5428" s="3">
        <v>2.0</v>
      </c>
      <c r="I5428" s="3">
        <v>17.0</v>
      </c>
      <c r="J5428" s="3">
        <v>1.0</v>
      </c>
      <c r="K5428" s="3">
        <v>12.0</v>
      </c>
      <c r="L5428" s="4" t="s">
        <v>33822</v>
      </c>
      <c r="M5428" s="2" t="s">
        <v>33823</v>
      </c>
      <c r="N5428" s="2" t="s">
        <v>75</v>
      </c>
      <c r="O5428" s="4" t="s">
        <v>76</v>
      </c>
      <c r="P5428" s="2" t="s">
        <v>33454</v>
      </c>
      <c r="Q5428" s="2" t="s">
        <v>12967</v>
      </c>
      <c r="R5428" s="2" t="s">
        <v>75</v>
      </c>
      <c r="S5428" s="4" t="s">
        <v>2167</v>
      </c>
      <c r="T5428" s="2" t="s">
        <v>66</v>
      </c>
      <c r="U5428" s="4" t="s">
        <v>31</v>
      </c>
      <c r="V5428" s="2" t="s">
        <v>33824</v>
      </c>
      <c r="W5428" s="2" t="s">
        <v>33450</v>
      </c>
      <c r="X5428" s="5" t="str">
        <f>HYPERLINK("https://my.pitchbook.com?p=88419-97P","View People Online")</f>
        <v>View People Online</v>
      </c>
    </row>
    <row r="5429">
      <c r="A5429" s="14" t="s">
        <v>33825</v>
      </c>
      <c r="B5429" s="14" t="s">
        <v>33826</v>
      </c>
      <c r="C5429" s="14" t="s">
        <v>33827</v>
      </c>
      <c r="D5429" s="14" t="s">
        <v>33828</v>
      </c>
      <c r="E5429" s="14" t="s">
        <v>33450</v>
      </c>
      <c r="F5429" s="14" t="s">
        <v>221</v>
      </c>
      <c r="G5429" s="14" t="s">
        <v>33829</v>
      </c>
      <c r="H5429" s="15" t="s">
        <v>31</v>
      </c>
      <c r="I5429" s="15">
        <v>1.0</v>
      </c>
      <c r="J5429" s="15">
        <v>1.0</v>
      </c>
      <c r="K5429" s="15" t="s">
        <v>31</v>
      </c>
      <c r="L5429" s="16" t="s">
        <v>33452</v>
      </c>
      <c r="M5429" s="14" t="s">
        <v>33830</v>
      </c>
      <c r="N5429" s="14" t="s">
        <v>75</v>
      </c>
      <c r="O5429" s="16" t="s">
        <v>76</v>
      </c>
      <c r="P5429" s="14" t="s">
        <v>33454</v>
      </c>
      <c r="Q5429" s="14" t="s">
        <v>12967</v>
      </c>
      <c r="R5429" s="14" t="s">
        <v>75</v>
      </c>
      <c r="S5429" s="16" t="s">
        <v>2167</v>
      </c>
      <c r="T5429" s="14" t="s">
        <v>66</v>
      </c>
      <c r="U5429" s="16" t="s">
        <v>31</v>
      </c>
      <c r="V5429" s="14" t="s">
        <v>957</v>
      </c>
      <c r="W5429" s="14" t="s">
        <v>33450</v>
      </c>
      <c r="X5429" s="17" t="str">
        <f>HYPERLINK("https://my.pitchbook.com?p=456489-64P","View People Online")</f>
        <v>View People Online</v>
      </c>
    </row>
    <row r="5430">
      <c r="A5430" s="10" t="s">
        <v>33831</v>
      </c>
      <c r="B5430" s="10" t="s">
        <v>33832</v>
      </c>
      <c r="C5430" s="10" t="s">
        <v>7558</v>
      </c>
      <c r="D5430" s="10" t="s">
        <v>33833</v>
      </c>
      <c r="E5430" s="10" t="s">
        <v>33450</v>
      </c>
      <c r="F5430" s="10" t="s">
        <v>221</v>
      </c>
      <c r="G5430" s="10" t="s">
        <v>33834</v>
      </c>
      <c r="H5430" s="11" t="s">
        <v>31</v>
      </c>
      <c r="I5430" s="11">
        <v>1.0</v>
      </c>
      <c r="J5430" s="11">
        <v>1.0</v>
      </c>
      <c r="K5430" s="11" t="s">
        <v>31</v>
      </c>
      <c r="L5430" s="12" t="s">
        <v>33452</v>
      </c>
      <c r="M5430" s="10" t="s">
        <v>33835</v>
      </c>
      <c r="N5430" s="10" t="s">
        <v>75</v>
      </c>
      <c r="O5430" s="12" t="s">
        <v>76</v>
      </c>
      <c r="P5430" s="10" t="s">
        <v>33454</v>
      </c>
      <c r="Q5430" s="10" t="s">
        <v>12967</v>
      </c>
      <c r="R5430" s="10" t="s">
        <v>75</v>
      </c>
      <c r="S5430" s="12" t="s">
        <v>2167</v>
      </c>
      <c r="T5430" s="10" t="s">
        <v>66</v>
      </c>
      <c r="U5430" s="12" t="s">
        <v>31</v>
      </c>
      <c r="V5430" s="10" t="s">
        <v>33836</v>
      </c>
      <c r="W5430" s="10" t="s">
        <v>33450</v>
      </c>
      <c r="X5430" s="13" t="str">
        <f>HYPERLINK("https://my.pitchbook.com?p=410443-66P","View People Online")</f>
        <v>View People Online</v>
      </c>
    </row>
    <row r="5431">
      <c r="A5431" s="14" t="s">
        <v>33837</v>
      </c>
      <c r="B5431" s="14" t="s">
        <v>33838</v>
      </c>
      <c r="C5431" s="14" t="s">
        <v>33839</v>
      </c>
      <c r="D5431" s="14" t="s">
        <v>33840</v>
      </c>
      <c r="E5431" s="14" t="s">
        <v>33450</v>
      </c>
      <c r="F5431" s="14" t="s">
        <v>4406</v>
      </c>
      <c r="G5431" s="14" t="s">
        <v>33841</v>
      </c>
      <c r="H5431" s="15" t="s">
        <v>31</v>
      </c>
      <c r="I5431" s="15">
        <v>1.0</v>
      </c>
      <c r="J5431" s="15">
        <v>1.0</v>
      </c>
      <c r="K5431" s="15" t="s">
        <v>31</v>
      </c>
      <c r="L5431" s="16" t="s">
        <v>33452</v>
      </c>
      <c r="M5431" s="14" t="s">
        <v>33842</v>
      </c>
      <c r="N5431" s="14" t="s">
        <v>75</v>
      </c>
      <c r="O5431" s="16" t="s">
        <v>76</v>
      </c>
      <c r="P5431" s="14" t="s">
        <v>33454</v>
      </c>
      <c r="Q5431" s="14" t="s">
        <v>12967</v>
      </c>
      <c r="R5431" s="14" t="s">
        <v>75</v>
      </c>
      <c r="S5431" s="16" t="s">
        <v>2167</v>
      </c>
      <c r="T5431" s="14" t="s">
        <v>66</v>
      </c>
      <c r="U5431" s="16" t="s">
        <v>31</v>
      </c>
      <c r="V5431" s="14" t="s">
        <v>4406</v>
      </c>
      <c r="W5431" s="14" t="s">
        <v>33450</v>
      </c>
      <c r="X5431" s="17" t="str">
        <f>HYPERLINK("https://my.pitchbook.com?p=388020-07P","View People Online")</f>
        <v>View People Online</v>
      </c>
    </row>
    <row r="5432">
      <c r="A5432" s="2" t="s">
        <v>33843</v>
      </c>
      <c r="B5432" s="2" t="s">
        <v>33844</v>
      </c>
      <c r="C5432" s="2" t="s">
        <v>167</v>
      </c>
      <c r="D5432" s="2" t="s">
        <v>33845</v>
      </c>
      <c r="E5432" s="2" t="s">
        <v>33450</v>
      </c>
      <c r="F5432" s="2" t="s">
        <v>2731</v>
      </c>
      <c r="G5432" s="2" t="s">
        <v>33846</v>
      </c>
      <c r="H5432" s="3" t="s">
        <v>31</v>
      </c>
      <c r="I5432" s="3">
        <v>1.0</v>
      </c>
      <c r="J5432" s="3" t="s">
        <v>31</v>
      </c>
      <c r="K5432" s="3" t="s">
        <v>31</v>
      </c>
      <c r="L5432" s="4" t="s">
        <v>31</v>
      </c>
      <c r="M5432" s="2" t="s">
        <v>31</v>
      </c>
      <c r="N5432" s="2" t="s">
        <v>1277</v>
      </c>
      <c r="O5432" s="4" t="s">
        <v>1278</v>
      </c>
      <c r="P5432" s="2" t="s">
        <v>33597</v>
      </c>
      <c r="Q5432" s="2" t="s">
        <v>33598</v>
      </c>
      <c r="R5432" s="2" t="s">
        <v>1281</v>
      </c>
      <c r="S5432" s="4" t="s">
        <v>21357</v>
      </c>
      <c r="T5432" s="2" t="s">
        <v>66</v>
      </c>
      <c r="U5432" s="4" t="s">
        <v>31</v>
      </c>
      <c r="V5432" s="2" t="s">
        <v>33611</v>
      </c>
      <c r="W5432" s="2" t="s">
        <v>33450</v>
      </c>
      <c r="X5432" s="5" t="str">
        <f>HYPERLINK("https://my.pitchbook.com?p=70588-72P","View People Online")</f>
        <v>View People Online</v>
      </c>
    </row>
    <row r="5433">
      <c r="A5433" s="14" t="s">
        <v>33847</v>
      </c>
      <c r="B5433" s="14" t="s">
        <v>33848</v>
      </c>
      <c r="C5433" s="14" t="s">
        <v>395</v>
      </c>
      <c r="D5433" s="14" t="s">
        <v>7623</v>
      </c>
      <c r="E5433" s="14" t="s">
        <v>33450</v>
      </c>
      <c r="F5433" s="14" t="s">
        <v>2731</v>
      </c>
      <c r="G5433" s="14" t="s">
        <v>33849</v>
      </c>
      <c r="H5433" s="15" t="s">
        <v>31</v>
      </c>
      <c r="I5433" s="15">
        <v>2.0</v>
      </c>
      <c r="J5433" s="15" t="s">
        <v>31</v>
      </c>
      <c r="K5433" s="15" t="s">
        <v>31</v>
      </c>
      <c r="L5433" s="16" t="s">
        <v>33452</v>
      </c>
      <c r="M5433" s="14" t="s">
        <v>31</v>
      </c>
      <c r="N5433" s="14" t="s">
        <v>75</v>
      </c>
      <c r="O5433" s="16" t="s">
        <v>76</v>
      </c>
      <c r="P5433" s="14" t="s">
        <v>33454</v>
      </c>
      <c r="Q5433" s="14" t="s">
        <v>12967</v>
      </c>
      <c r="R5433" s="14" t="s">
        <v>75</v>
      </c>
      <c r="S5433" s="16" t="s">
        <v>2167</v>
      </c>
      <c r="T5433" s="14" t="s">
        <v>66</v>
      </c>
      <c r="U5433" s="16" t="s">
        <v>31</v>
      </c>
      <c r="V5433" s="14" t="s">
        <v>33599</v>
      </c>
      <c r="W5433" s="14" t="s">
        <v>33450</v>
      </c>
      <c r="X5433" s="17" t="str">
        <f>HYPERLINK("https://my.pitchbook.com?p=375801-94P","View People Online")</f>
        <v>View People Online</v>
      </c>
    </row>
    <row r="5434">
      <c r="A5434" s="10" t="s">
        <v>33850</v>
      </c>
      <c r="B5434" s="10" t="s">
        <v>33851</v>
      </c>
      <c r="C5434" s="10" t="s">
        <v>536</v>
      </c>
      <c r="D5434" s="10" t="s">
        <v>4494</v>
      </c>
      <c r="E5434" s="10" t="s">
        <v>33450</v>
      </c>
      <c r="F5434" s="10" t="s">
        <v>221</v>
      </c>
      <c r="G5434" s="10" t="s">
        <v>33852</v>
      </c>
      <c r="H5434" s="11" t="s">
        <v>31</v>
      </c>
      <c r="I5434" s="11">
        <v>1.0</v>
      </c>
      <c r="J5434" s="11">
        <v>1.0</v>
      </c>
      <c r="K5434" s="11" t="s">
        <v>31</v>
      </c>
      <c r="L5434" s="12" t="s">
        <v>33452</v>
      </c>
      <c r="M5434" s="10" t="s">
        <v>33853</v>
      </c>
      <c r="N5434" s="10" t="s">
        <v>75</v>
      </c>
      <c r="O5434" s="12" t="s">
        <v>76</v>
      </c>
      <c r="P5434" s="10" t="s">
        <v>33454</v>
      </c>
      <c r="Q5434" s="10" t="s">
        <v>12967</v>
      </c>
      <c r="R5434" s="10" t="s">
        <v>75</v>
      </c>
      <c r="S5434" s="12" t="s">
        <v>2167</v>
      </c>
      <c r="T5434" s="10" t="s">
        <v>66</v>
      </c>
      <c r="U5434" s="12" t="s">
        <v>31</v>
      </c>
      <c r="V5434" s="10" t="s">
        <v>221</v>
      </c>
      <c r="W5434" s="10" t="s">
        <v>33450</v>
      </c>
      <c r="X5434" s="13" t="str">
        <f>HYPERLINK("https://my.pitchbook.com?p=354555-28P","View People Online")</f>
        <v>View People Online</v>
      </c>
    </row>
    <row r="5435">
      <c r="A5435" s="14" t="s">
        <v>33854</v>
      </c>
      <c r="B5435" s="14" t="s">
        <v>33855</v>
      </c>
      <c r="C5435" s="14" t="s">
        <v>4015</v>
      </c>
      <c r="D5435" s="14" t="s">
        <v>22105</v>
      </c>
      <c r="E5435" s="14" t="s">
        <v>33450</v>
      </c>
      <c r="F5435" s="14" t="s">
        <v>371</v>
      </c>
      <c r="G5435" s="14" t="s">
        <v>33856</v>
      </c>
      <c r="H5435" s="15" t="s">
        <v>31</v>
      </c>
      <c r="I5435" s="15">
        <v>1.0</v>
      </c>
      <c r="J5435" s="15">
        <v>1.0</v>
      </c>
      <c r="K5435" s="15" t="s">
        <v>31</v>
      </c>
      <c r="L5435" s="16" t="s">
        <v>33452</v>
      </c>
      <c r="M5435" s="14" t="s">
        <v>33857</v>
      </c>
      <c r="N5435" s="14" t="s">
        <v>75</v>
      </c>
      <c r="O5435" s="16" t="s">
        <v>76</v>
      </c>
      <c r="P5435" s="14" t="s">
        <v>33454</v>
      </c>
      <c r="Q5435" s="14" t="s">
        <v>12967</v>
      </c>
      <c r="R5435" s="14" t="s">
        <v>75</v>
      </c>
      <c r="S5435" s="16" t="s">
        <v>2167</v>
      </c>
      <c r="T5435" s="14" t="s">
        <v>66</v>
      </c>
      <c r="U5435" s="16" t="s">
        <v>31</v>
      </c>
      <c r="V5435" s="14" t="s">
        <v>371</v>
      </c>
      <c r="W5435" s="14" t="s">
        <v>33450</v>
      </c>
      <c r="X5435" s="17" t="str">
        <f>HYPERLINK("https://my.pitchbook.com?p=264609-01P","View People Online")</f>
        <v>View People Online</v>
      </c>
    </row>
    <row r="5436">
      <c r="A5436" s="2" t="s">
        <v>33858</v>
      </c>
      <c r="B5436" s="2" t="s">
        <v>33859</v>
      </c>
      <c r="C5436" s="2" t="s">
        <v>33860</v>
      </c>
      <c r="D5436" s="2" t="s">
        <v>27348</v>
      </c>
      <c r="E5436" s="2" t="s">
        <v>33450</v>
      </c>
      <c r="F5436" s="2" t="s">
        <v>57</v>
      </c>
      <c r="G5436" s="2" t="s">
        <v>33861</v>
      </c>
      <c r="H5436" s="3">
        <v>9.0</v>
      </c>
      <c r="I5436" s="3">
        <v>53.0</v>
      </c>
      <c r="J5436" s="3">
        <v>1.0</v>
      </c>
      <c r="K5436" s="3">
        <v>39.0</v>
      </c>
      <c r="L5436" s="4" t="s">
        <v>33452</v>
      </c>
      <c r="M5436" s="2" t="s">
        <v>33862</v>
      </c>
      <c r="N5436" s="2" t="s">
        <v>75</v>
      </c>
      <c r="O5436" s="4" t="s">
        <v>76</v>
      </c>
      <c r="P5436" s="2" t="s">
        <v>33454</v>
      </c>
      <c r="Q5436" s="2" t="s">
        <v>12967</v>
      </c>
      <c r="R5436" s="2" t="s">
        <v>75</v>
      </c>
      <c r="S5436" s="4" t="s">
        <v>2167</v>
      </c>
      <c r="T5436" s="2" t="s">
        <v>66</v>
      </c>
      <c r="U5436" s="4" t="s">
        <v>31</v>
      </c>
      <c r="V5436" s="2" t="s">
        <v>33863</v>
      </c>
      <c r="W5436" s="2" t="s">
        <v>33450</v>
      </c>
      <c r="X5436" s="5" t="str">
        <f>HYPERLINK("https://my.pitchbook.com?p=125324-92P","View People Online")</f>
        <v>View People Online</v>
      </c>
    </row>
    <row r="5437">
      <c r="A5437" s="6" t="s">
        <v>33864</v>
      </c>
      <c r="B5437" s="6" t="s">
        <v>33865</v>
      </c>
      <c r="C5437" s="6" t="s">
        <v>1376</v>
      </c>
      <c r="D5437" s="6" t="s">
        <v>33866</v>
      </c>
      <c r="E5437" s="6" t="s">
        <v>33450</v>
      </c>
      <c r="F5437" s="6" t="s">
        <v>318</v>
      </c>
      <c r="G5437" s="6" t="s">
        <v>33867</v>
      </c>
      <c r="H5437" s="7">
        <v>3.0</v>
      </c>
      <c r="I5437" s="7">
        <v>11.0</v>
      </c>
      <c r="J5437" s="7">
        <v>1.0</v>
      </c>
      <c r="K5437" s="7">
        <v>7.0</v>
      </c>
      <c r="L5437" s="8" t="s">
        <v>33452</v>
      </c>
      <c r="M5437" s="6" t="s">
        <v>33868</v>
      </c>
      <c r="N5437" s="6" t="s">
        <v>75</v>
      </c>
      <c r="O5437" s="8" t="s">
        <v>76</v>
      </c>
      <c r="P5437" s="6" t="s">
        <v>33454</v>
      </c>
      <c r="Q5437" s="6" t="s">
        <v>12967</v>
      </c>
      <c r="R5437" s="6" t="s">
        <v>75</v>
      </c>
      <c r="S5437" s="8" t="s">
        <v>2167</v>
      </c>
      <c r="T5437" s="6" t="s">
        <v>66</v>
      </c>
      <c r="U5437" s="8" t="s">
        <v>31</v>
      </c>
      <c r="V5437" s="6" t="s">
        <v>318</v>
      </c>
      <c r="W5437" s="6" t="s">
        <v>33450</v>
      </c>
      <c r="X5437" s="9" t="str">
        <f>HYPERLINK("https://my.pitchbook.com?p=169784-92P","View People Online")</f>
        <v>View People Online</v>
      </c>
    </row>
    <row r="5438">
      <c r="A5438" s="10" t="s">
        <v>33869</v>
      </c>
      <c r="B5438" s="10" t="s">
        <v>33870</v>
      </c>
      <c r="C5438" s="10" t="s">
        <v>1388</v>
      </c>
      <c r="D5438" s="10" t="s">
        <v>33871</v>
      </c>
      <c r="E5438" s="10" t="s">
        <v>33450</v>
      </c>
      <c r="F5438" s="10" t="s">
        <v>2731</v>
      </c>
      <c r="G5438" s="10" t="s">
        <v>33872</v>
      </c>
      <c r="H5438" s="11">
        <v>3.0</v>
      </c>
      <c r="I5438" s="11">
        <v>4.0</v>
      </c>
      <c r="J5438" s="11">
        <v>1.0</v>
      </c>
      <c r="K5438" s="11" t="s">
        <v>31</v>
      </c>
      <c r="L5438" s="12" t="s">
        <v>33873</v>
      </c>
      <c r="M5438" s="10" t="s">
        <v>31</v>
      </c>
      <c r="N5438" s="10" t="s">
        <v>33874</v>
      </c>
      <c r="O5438" s="12" t="s">
        <v>33875</v>
      </c>
      <c r="P5438" s="10" t="s">
        <v>33876</v>
      </c>
      <c r="Q5438" s="10" t="s">
        <v>31</v>
      </c>
      <c r="R5438" s="10" t="s">
        <v>31</v>
      </c>
      <c r="S5438" s="12" t="s">
        <v>33877</v>
      </c>
      <c r="T5438" s="10" t="s">
        <v>2768</v>
      </c>
      <c r="U5438" s="12" t="s">
        <v>31</v>
      </c>
      <c r="V5438" s="10" t="s">
        <v>2379</v>
      </c>
      <c r="W5438" s="10" t="s">
        <v>33878</v>
      </c>
      <c r="X5438" s="13" t="str">
        <f>HYPERLINK("https://my.pitchbook.com?p=40391-02P","View People Online")</f>
        <v>View People Online</v>
      </c>
    </row>
    <row r="5439">
      <c r="A5439" s="14" t="s">
        <v>33879</v>
      </c>
      <c r="B5439" s="14" t="s">
        <v>33880</v>
      </c>
      <c r="C5439" s="14" t="s">
        <v>33881</v>
      </c>
      <c r="D5439" s="14" t="s">
        <v>33882</v>
      </c>
      <c r="E5439" s="14" t="s">
        <v>33450</v>
      </c>
      <c r="F5439" s="14" t="s">
        <v>371</v>
      </c>
      <c r="G5439" s="14" t="s">
        <v>33883</v>
      </c>
      <c r="H5439" s="15" t="s">
        <v>31</v>
      </c>
      <c r="I5439" s="15">
        <v>1.0</v>
      </c>
      <c r="J5439" s="15">
        <v>1.0</v>
      </c>
      <c r="K5439" s="15" t="s">
        <v>31</v>
      </c>
      <c r="L5439" s="16" t="s">
        <v>33452</v>
      </c>
      <c r="M5439" s="14" t="s">
        <v>33884</v>
      </c>
      <c r="N5439" s="14" t="s">
        <v>75</v>
      </c>
      <c r="O5439" s="16" t="s">
        <v>76</v>
      </c>
      <c r="P5439" s="14" t="s">
        <v>33454</v>
      </c>
      <c r="Q5439" s="14" t="s">
        <v>12967</v>
      </c>
      <c r="R5439" s="14" t="s">
        <v>75</v>
      </c>
      <c r="S5439" s="16" t="s">
        <v>2167</v>
      </c>
      <c r="T5439" s="14" t="s">
        <v>66</v>
      </c>
      <c r="U5439" s="16" t="s">
        <v>31</v>
      </c>
      <c r="V5439" s="14" t="s">
        <v>371</v>
      </c>
      <c r="W5439" s="14" t="s">
        <v>33450</v>
      </c>
      <c r="X5439" s="17" t="str">
        <f>HYPERLINK("https://my.pitchbook.com?p=307318-51P","View People Online")</f>
        <v>View People Online</v>
      </c>
    </row>
    <row r="5440">
      <c r="A5440" s="2" t="s">
        <v>33885</v>
      </c>
      <c r="B5440" s="2" t="s">
        <v>33886</v>
      </c>
      <c r="C5440" s="2" t="s">
        <v>1042</v>
      </c>
      <c r="D5440" s="2" t="s">
        <v>10565</v>
      </c>
      <c r="E5440" s="2" t="s">
        <v>33450</v>
      </c>
      <c r="F5440" s="2" t="s">
        <v>29</v>
      </c>
      <c r="G5440" s="2" t="s">
        <v>33887</v>
      </c>
      <c r="H5440" s="3">
        <v>5.0</v>
      </c>
      <c r="I5440" s="3">
        <v>20.0</v>
      </c>
      <c r="J5440" s="3">
        <v>1.0</v>
      </c>
      <c r="K5440" s="3">
        <v>10.0</v>
      </c>
      <c r="L5440" s="4" t="s">
        <v>33452</v>
      </c>
      <c r="M5440" s="2" t="s">
        <v>33888</v>
      </c>
      <c r="N5440" s="2" t="s">
        <v>75</v>
      </c>
      <c r="O5440" s="4" t="s">
        <v>76</v>
      </c>
      <c r="P5440" s="2" t="s">
        <v>33454</v>
      </c>
      <c r="Q5440" s="2" t="s">
        <v>12967</v>
      </c>
      <c r="R5440" s="2" t="s">
        <v>75</v>
      </c>
      <c r="S5440" s="4" t="s">
        <v>2167</v>
      </c>
      <c r="T5440" s="2" t="s">
        <v>66</v>
      </c>
      <c r="U5440" s="4" t="s">
        <v>31</v>
      </c>
      <c r="V5440" s="2" t="s">
        <v>29</v>
      </c>
      <c r="W5440" s="2" t="s">
        <v>33450</v>
      </c>
      <c r="X5440" s="5" t="str">
        <f>HYPERLINK("https://my.pitchbook.com?p=78813-19P","View People Online")</f>
        <v>View People Online</v>
      </c>
    </row>
    <row r="5441">
      <c r="A5441" s="6" t="s">
        <v>33889</v>
      </c>
      <c r="B5441" s="6" t="s">
        <v>33890</v>
      </c>
      <c r="C5441" s="6" t="s">
        <v>33891</v>
      </c>
      <c r="D5441" s="6" t="s">
        <v>33892</v>
      </c>
      <c r="E5441" s="6" t="s">
        <v>33450</v>
      </c>
      <c r="F5441" s="6" t="s">
        <v>57</v>
      </c>
      <c r="G5441" s="6" t="s">
        <v>33893</v>
      </c>
      <c r="H5441" s="7">
        <v>5.0</v>
      </c>
      <c r="I5441" s="7">
        <v>19.0</v>
      </c>
      <c r="J5441" s="7">
        <v>1.0</v>
      </c>
      <c r="K5441" s="7">
        <v>11.0</v>
      </c>
      <c r="L5441" s="8" t="s">
        <v>33452</v>
      </c>
      <c r="M5441" s="6" t="s">
        <v>33894</v>
      </c>
      <c r="N5441" s="6" t="s">
        <v>75</v>
      </c>
      <c r="O5441" s="8" t="s">
        <v>76</v>
      </c>
      <c r="P5441" s="6" t="s">
        <v>33454</v>
      </c>
      <c r="Q5441" s="6" t="s">
        <v>12967</v>
      </c>
      <c r="R5441" s="6" t="s">
        <v>75</v>
      </c>
      <c r="S5441" s="8" t="s">
        <v>2167</v>
      </c>
      <c r="T5441" s="6" t="s">
        <v>66</v>
      </c>
      <c r="U5441" s="8" t="s">
        <v>31</v>
      </c>
      <c r="V5441" s="6" t="s">
        <v>33895</v>
      </c>
      <c r="W5441" s="6" t="s">
        <v>33450</v>
      </c>
      <c r="X5441" s="9" t="str">
        <f>HYPERLINK("https://my.pitchbook.com?p=371582-29P","View People Online")</f>
        <v>View People Online</v>
      </c>
    </row>
    <row r="5442">
      <c r="A5442" s="10" t="s">
        <v>33896</v>
      </c>
      <c r="B5442" s="10" t="s">
        <v>33897</v>
      </c>
      <c r="C5442" s="10" t="s">
        <v>33898</v>
      </c>
      <c r="D5442" s="10" t="s">
        <v>33899</v>
      </c>
      <c r="E5442" s="10" t="s">
        <v>33450</v>
      </c>
      <c r="F5442" s="10" t="s">
        <v>221</v>
      </c>
      <c r="G5442" s="10" t="s">
        <v>33900</v>
      </c>
      <c r="H5442" s="11" t="s">
        <v>31</v>
      </c>
      <c r="I5442" s="11">
        <v>1.0</v>
      </c>
      <c r="J5442" s="11">
        <v>1.0</v>
      </c>
      <c r="K5442" s="11" t="s">
        <v>31</v>
      </c>
      <c r="L5442" s="12" t="s">
        <v>33452</v>
      </c>
      <c r="M5442" s="10" t="s">
        <v>33901</v>
      </c>
      <c r="N5442" s="10" t="s">
        <v>75</v>
      </c>
      <c r="O5442" s="12" t="s">
        <v>76</v>
      </c>
      <c r="P5442" s="10" t="s">
        <v>33454</v>
      </c>
      <c r="Q5442" s="10" t="s">
        <v>12967</v>
      </c>
      <c r="R5442" s="10" t="s">
        <v>75</v>
      </c>
      <c r="S5442" s="12" t="s">
        <v>2167</v>
      </c>
      <c r="T5442" s="10" t="s">
        <v>66</v>
      </c>
      <c r="U5442" s="12" t="s">
        <v>31</v>
      </c>
      <c r="V5442" s="10" t="s">
        <v>221</v>
      </c>
      <c r="W5442" s="10" t="s">
        <v>33450</v>
      </c>
      <c r="X5442" s="13" t="str">
        <f>HYPERLINK("https://my.pitchbook.com?p=388048-33P","View People Online")</f>
        <v>View People Online</v>
      </c>
    </row>
    <row r="5443">
      <c r="A5443" s="6" t="s">
        <v>33902</v>
      </c>
      <c r="B5443" s="6" t="s">
        <v>33903</v>
      </c>
      <c r="C5443" s="6" t="s">
        <v>26958</v>
      </c>
      <c r="D5443" s="6" t="s">
        <v>33904</v>
      </c>
      <c r="E5443" s="6" t="s">
        <v>33450</v>
      </c>
      <c r="F5443" s="6" t="s">
        <v>201</v>
      </c>
      <c r="G5443" s="6" t="s">
        <v>33905</v>
      </c>
      <c r="H5443" s="7" t="s">
        <v>31</v>
      </c>
      <c r="I5443" s="7">
        <v>1.0</v>
      </c>
      <c r="J5443" s="7">
        <v>1.0</v>
      </c>
      <c r="K5443" s="7" t="s">
        <v>31</v>
      </c>
      <c r="L5443" s="8" t="s">
        <v>33452</v>
      </c>
      <c r="M5443" s="6" t="s">
        <v>33906</v>
      </c>
      <c r="N5443" s="6" t="s">
        <v>75</v>
      </c>
      <c r="O5443" s="8" t="s">
        <v>76</v>
      </c>
      <c r="P5443" s="6" t="s">
        <v>33454</v>
      </c>
      <c r="Q5443" s="6" t="s">
        <v>12967</v>
      </c>
      <c r="R5443" s="6" t="s">
        <v>75</v>
      </c>
      <c r="S5443" s="8" t="s">
        <v>2167</v>
      </c>
      <c r="T5443" s="6" t="s">
        <v>66</v>
      </c>
      <c r="U5443" s="8" t="s">
        <v>31</v>
      </c>
      <c r="V5443" s="6" t="s">
        <v>201</v>
      </c>
      <c r="W5443" s="6" t="s">
        <v>33450</v>
      </c>
      <c r="X5443" s="9" t="str">
        <f>HYPERLINK("https://my.pitchbook.com?p=354556-90P","View People Online")</f>
        <v>View People Online</v>
      </c>
    </row>
    <row r="5444">
      <c r="A5444" s="10" t="s">
        <v>33907</v>
      </c>
      <c r="B5444" s="10" t="s">
        <v>33908</v>
      </c>
      <c r="C5444" s="10" t="s">
        <v>1820</v>
      </c>
      <c r="D5444" s="10" t="s">
        <v>27</v>
      </c>
      <c r="E5444" s="10" t="s">
        <v>33450</v>
      </c>
      <c r="F5444" s="10" t="s">
        <v>201</v>
      </c>
      <c r="G5444" s="10" t="s">
        <v>33909</v>
      </c>
      <c r="H5444" s="11" t="s">
        <v>31</v>
      </c>
      <c r="I5444" s="11">
        <v>1.0</v>
      </c>
      <c r="J5444" s="11">
        <v>1.0</v>
      </c>
      <c r="K5444" s="11" t="s">
        <v>31</v>
      </c>
      <c r="L5444" s="12" t="s">
        <v>33452</v>
      </c>
      <c r="M5444" s="10" t="s">
        <v>33910</v>
      </c>
      <c r="N5444" s="10" t="s">
        <v>75</v>
      </c>
      <c r="O5444" s="12" t="s">
        <v>76</v>
      </c>
      <c r="P5444" s="10" t="s">
        <v>33454</v>
      </c>
      <c r="Q5444" s="10" t="s">
        <v>12967</v>
      </c>
      <c r="R5444" s="10" t="s">
        <v>75</v>
      </c>
      <c r="S5444" s="12" t="s">
        <v>2167</v>
      </c>
      <c r="T5444" s="10" t="s">
        <v>66</v>
      </c>
      <c r="U5444" s="12" t="s">
        <v>31</v>
      </c>
      <c r="V5444" s="10" t="s">
        <v>201</v>
      </c>
      <c r="W5444" s="10" t="s">
        <v>33450</v>
      </c>
      <c r="X5444" s="13" t="str">
        <f>HYPERLINK("https://my.pitchbook.com?p=406552-51P","View People Online")</f>
        <v>View People Online</v>
      </c>
    </row>
    <row r="5445">
      <c r="A5445" s="14" t="s">
        <v>33911</v>
      </c>
      <c r="B5445" s="14" t="s">
        <v>33912</v>
      </c>
      <c r="C5445" s="14" t="s">
        <v>22105</v>
      </c>
      <c r="D5445" s="14" t="s">
        <v>149</v>
      </c>
      <c r="E5445" s="14" t="s">
        <v>33450</v>
      </c>
      <c r="F5445" s="14" t="s">
        <v>2731</v>
      </c>
      <c r="G5445" s="14" t="s">
        <v>33913</v>
      </c>
      <c r="H5445" s="15">
        <v>1.0</v>
      </c>
      <c r="I5445" s="15">
        <v>4.0</v>
      </c>
      <c r="J5445" s="15">
        <v>2.0</v>
      </c>
      <c r="K5445" s="15" t="s">
        <v>31</v>
      </c>
      <c r="L5445" s="16" t="s">
        <v>33914</v>
      </c>
      <c r="M5445" s="14" t="s">
        <v>33915</v>
      </c>
      <c r="N5445" s="14" t="s">
        <v>1277</v>
      </c>
      <c r="O5445" s="16" t="s">
        <v>1278</v>
      </c>
      <c r="P5445" s="14" t="s">
        <v>33916</v>
      </c>
      <c r="Q5445" s="14" t="s">
        <v>1895</v>
      </c>
      <c r="R5445" s="14" t="s">
        <v>1281</v>
      </c>
      <c r="S5445" s="16" t="s">
        <v>31</v>
      </c>
      <c r="T5445" s="14" t="s">
        <v>66</v>
      </c>
      <c r="U5445" s="16" t="s">
        <v>31</v>
      </c>
      <c r="V5445" s="14" t="s">
        <v>4527</v>
      </c>
      <c r="W5445" s="14" t="s">
        <v>33917</v>
      </c>
      <c r="X5445" s="17" t="str">
        <f>HYPERLINK("https://my.pitchbook.com?p=45230-50P","View People Online")</f>
        <v>View People Online</v>
      </c>
    </row>
    <row r="5446">
      <c r="A5446" s="2" t="s">
        <v>33918</v>
      </c>
      <c r="B5446" s="2" t="s">
        <v>33919</v>
      </c>
      <c r="C5446" s="2" t="s">
        <v>4679</v>
      </c>
      <c r="D5446" s="2" t="s">
        <v>33920</v>
      </c>
      <c r="E5446" s="2" t="s">
        <v>33450</v>
      </c>
      <c r="F5446" s="2" t="s">
        <v>57</v>
      </c>
      <c r="G5446" s="2" t="s">
        <v>33921</v>
      </c>
      <c r="H5446" s="3">
        <v>2.0</v>
      </c>
      <c r="I5446" s="3">
        <v>11.0</v>
      </c>
      <c r="J5446" s="3">
        <v>1.0</v>
      </c>
      <c r="K5446" s="3">
        <v>6.0</v>
      </c>
      <c r="L5446" s="4" t="s">
        <v>33452</v>
      </c>
      <c r="M5446" s="2" t="s">
        <v>33922</v>
      </c>
      <c r="N5446" s="2" t="s">
        <v>75</v>
      </c>
      <c r="O5446" s="4" t="s">
        <v>76</v>
      </c>
      <c r="P5446" s="2" t="s">
        <v>33454</v>
      </c>
      <c r="Q5446" s="2" t="s">
        <v>12967</v>
      </c>
      <c r="R5446" s="2" t="s">
        <v>75</v>
      </c>
      <c r="S5446" s="4" t="s">
        <v>2167</v>
      </c>
      <c r="T5446" s="2" t="s">
        <v>66</v>
      </c>
      <c r="U5446" s="4" t="s">
        <v>31</v>
      </c>
      <c r="V5446" s="2" t="s">
        <v>24408</v>
      </c>
      <c r="W5446" s="2" t="s">
        <v>33450</v>
      </c>
      <c r="X5446" s="5" t="str">
        <f>HYPERLINK("https://my.pitchbook.com?p=163814-32P","View People Online")</f>
        <v>View People Online</v>
      </c>
    </row>
    <row r="5447">
      <c r="A5447" s="14" t="s">
        <v>33923</v>
      </c>
      <c r="B5447" s="14" t="s">
        <v>33924</v>
      </c>
      <c r="C5447" s="14" t="s">
        <v>4679</v>
      </c>
      <c r="D5447" s="14" t="s">
        <v>6192</v>
      </c>
      <c r="E5447" s="14" t="s">
        <v>33450</v>
      </c>
      <c r="F5447" s="14" t="s">
        <v>2652</v>
      </c>
      <c r="G5447" s="14" t="s">
        <v>33925</v>
      </c>
      <c r="H5447" s="15" t="s">
        <v>31</v>
      </c>
      <c r="I5447" s="15">
        <v>1.0</v>
      </c>
      <c r="J5447" s="15">
        <v>1.0</v>
      </c>
      <c r="K5447" s="15" t="s">
        <v>31</v>
      </c>
      <c r="L5447" s="16" t="s">
        <v>33452</v>
      </c>
      <c r="M5447" s="14" t="s">
        <v>33926</v>
      </c>
      <c r="N5447" s="14" t="s">
        <v>75</v>
      </c>
      <c r="O5447" s="16" t="s">
        <v>76</v>
      </c>
      <c r="P5447" s="14" t="s">
        <v>33454</v>
      </c>
      <c r="Q5447" s="14" t="s">
        <v>12967</v>
      </c>
      <c r="R5447" s="14" t="s">
        <v>75</v>
      </c>
      <c r="S5447" s="16" t="s">
        <v>2167</v>
      </c>
      <c r="T5447" s="14" t="s">
        <v>66</v>
      </c>
      <c r="U5447" s="16" t="s">
        <v>31</v>
      </c>
      <c r="V5447" s="14" t="s">
        <v>28569</v>
      </c>
      <c r="W5447" s="14" t="s">
        <v>33450</v>
      </c>
      <c r="X5447" s="17" t="str">
        <f>HYPERLINK("https://my.pitchbook.com?p=262479-16P","View People Online")</f>
        <v>View People Online</v>
      </c>
    </row>
    <row r="5448">
      <c r="A5448" s="2" t="s">
        <v>33927</v>
      </c>
      <c r="B5448" s="2" t="s">
        <v>33928</v>
      </c>
      <c r="C5448" s="2" t="s">
        <v>4679</v>
      </c>
      <c r="D5448" s="2" t="s">
        <v>673</v>
      </c>
      <c r="E5448" s="2" t="s">
        <v>33450</v>
      </c>
      <c r="F5448" s="2" t="s">
        <v>318</v>
      </c>
      <c r="G5448" s="2" t="s">
        <v>33929</v>
      </c>
      <c r="H5448" s="3">
        <v>1.0</v>
      </c>
      <c r="I5448" s="3">
        <v>4.0</v>
      </c>
      <c r="J5448" s="3">
        <v>1.0</v>
      </c>
      <c r="K5448" s="3">
        <v>1.0</v>
      </c>
      <c r="L5448" s="4" t="s">
        <v>33930</v>
      </c>
      <c r="M5448" s="2" t="s">
        <v>33931</v>
      </c>
      <c r="N5448" s="2" t="s">
        <v>75</v>
      </c>
      <c r="O5448" s="4" t="s">
        <v>76</v>
      </c>
      <c r="P5448" s="2" t="s">
        <v>33454</v>
      </c>
      <c r="Q5448" s="2" t="s">
        <v>12967</v>
      </c>
      <c r="R5448" s="2" t="s">
        <v>75</v>
      </c>
      <c r="S5448" s="4" t="s">
        <v>2167</v>
      </c>
      <c r="T5448" s="2" t="s">
        <v>66</v>
      </c>
      <c r="U5448" s="4" t="s">
        <v>31</v>
      </c>
      <c r="V5448" s="2" t="s">
        <v>318</v>
      </c>
      <c r="W5448" s="2" t="s">
        <v>33450</v>
      </c>
      <c r="X5448" s="5" t="str">
        <f>HYPERLINK("https://my.pitchbook.com?p=43679-80P","View People Online")</f>
        <v>View People Online</v>
      </c>
    </row>
    <row r="5449">
      <c r="A5449" s="14" t="s">
        <v>33932</v>
      </c>
      <c r="B5449" s="14" t="s">
        <v>33933</v>
      </c>
      <c r="C5449" s="14" t="s">
        <v>33934</v>
      </c>
      <c r="D5449" s="14" t="s">
        <v>9309</v>
      </c>
      <c r="E5449" s="14" t="s">
        <v>33450</v>
      </c>
      <c r="F5449" s="14" t="s">
        <v>29</v>
      </c>
      <c r="G5449" s="14" t="s">
        <v>33935</v>
      </c>
      <c r="H5449" s="15">
        <v>1.0</v>
      </c>
      <c r="I5449" s="15">
        <v>2.0</v>
      </c>
      <c r="J5449" s="15">
        <v>1.0</v>
      </c>
      <c r="K5449" s="15" t="s">
        <v>31</v>
      </c>
      <c r="L5449" s="16" t="s">
        <v>33936</v>
      </c>
      <c r="M5449" s="14" t="s">
        <v>33937</v>
      </c>
      <c r="N5449" s="14" t="s">
        <v>75</v>
      </c>
      <c r="O5449" s="16" t="s">
        <v>76</v>
      </c>
      <c r="P5449" s="14" t="s">
        <v>33454</v>
      </c>
      <c r="Q5449" s="14" t="s">
        <v>12967</v>
      </c>
      <c r="R5449" s="14" t="s">
        <v>75</v>
      </c>
      <c r="S5449" s="16" t="s">
        <v>2167</v>
      </c>
      <c r="T5449" s="14" t="s">
        <v>66</v>
      </c>
      <c r="U5449" s="16" t="s">
        <v>31</v>
      </c>
      <c r="V5449" s="14" t="s">
        <v>29</v>
      </c>
      <c r="W5449" s="14" t="s">
        <v>33450</v>
      </c>
      <c r="X5449" s="17" t="str">
        <f>HYPERLINK("https://my.pitchbook.com?p=36587-17P","View People Online")</f>
        <v>View People Online</v>
      </c>
    </row>
    <row r="5450">
      <c r="A5450" s="10" t="s">
        <v>33938</v>
      </c>
      <c r="B5450" s="10" t="s">
        <v>33939</v>
      </c>
      <c r="C5450" s="10" t="s">
        <v>33940</v>
      </c>
      <c r="D5450" s="10" t="s">
        <v>33941</v>
      </c>
      <c r="E5450" s="10" t="s">
        <v>33450</v>
      </c>
      <c r="F5450" s="10" t="s">
        <v>57</v>
      </c>
      <c r="G5450" s="10" t="s">
        <v>33942</v>
      </c>
      <c r="H5450" s="11" t="s">
        <v>31</v>
      </c>
      <c r="I5450" s="11">
        <v>7.0</v>
      </c>
      <c r="J5450" s="11">
        <v>1.0</v>
      </c>
      <c r="K5450" s="11">
        <v>6.0</v>
      </c>
      <c r="L5450" s="12" t="s">
        <v>33943</v>
      </c>
      <c r="M5450" s="10" t="s">
        <v>33944</v>
      </c>
      <c r="N5450" s="10" t="s">
        <v>75</v>
      </c>
      <c r="O5450" s="12" t="s">
        <v>76</v>
      </c>
      <c r="P5450" s="10" t="s">
        <v>33454</v>
      </c>
      <c r="Q5450" s="10" t="s">
        <v>12967</v>
      </c>
      <c r="R5450" s="10" t="s">
        <v>75</v>
      </c>
      <c r="S5450" s="12" t="s">
        <v>2167</v>
      </c>
      <c r="T5450" s="10" t="s">
        <v>66</v>
      </c>
      <c r="U5450" s="12" t="s">
        <v>31</v>
      </c>
      <c r="V5450" s="10" t="s">
        <v>33945</v>
      </c>
      <c r="W5450" s="10" t="s">
        <v>33450</v>
      </c>
      <c r="X5450" s="13" t="str">
        <f>HYPERLINK("https://my.pitchbook.com?p=194686-03P","View People Online")</f>
        <v>View People Online</v>
      </c>
    </row>
    <row r="5451">
      <c r="A5451" s="14" t="s">
        <v>33946</v>
      </c>
      <c r="B5451" s="14" t="s">
        <v>33947</v>
      </c>
      <c r="C5451" s="14" t="s">
        <v>33948</v>
      </c>
      <c r="D5451" s="14" t="s">
        <v>33949</v>
      </c>
      <c r="E5451" s="14" t="s">
        <v>33450</v>
      </c>
      <c r="F5451" s="14" t="s">
        <v>318</v>
      </c>
      <c r="G5451" s="14" t="s">
        <v>33950</v>
      </c>
      <c r="H5451" s="15">
        <v>4.0</v>
      </c>
      <c r="I5451" s="15">
        <v>11.0</v>
      </c>
      <c r="J5451" s="15">
        <v>1.0</v>
      </c>
      <c r="K5451" s="15">
        <v>4.0</v>
      </c>
      <c r="L5451" s="16" t="s">
        <v>33452</v>
      </c>
      <c r="M5451" s="14" t="s">
        <v>33951</v>
      </c>
      <c r="N5451" s="14" t="s">
        <v>75</v>
      </c>
      <c r="O5451" s="16" t="s">
        <v>76</v>
      </c>
      <c r="P5451" s="14" t="s">
        <v>33454</v>
      </c>
      <c r="Q5451" s="14" t="s">
        <v>12967</v>
      </c>
      <c r="R5451" s="14" t="s">
        <v>75</v>
      </c>
      <c r="S5451" s="16" t="s">
        <v>2167</v>
      </c>
      <c r="T5451" s="14" t="s">
        <v>66</v>
      </c>
      <c r="U5451" s="16" t="s">
        <v>31</v>
      </c>
      <c r="V5451" s="14" t="s">
        <v>318</v>
      </c>
      <c r="W5451" s="14" t="s">
        <v>33450</v>
      </c>
      <c r="X5451" s="17" t="str">
        <f>HYPERLINK("https://my.pitchbook.com?p=196613-92P","View People Online")</f>
        <v>View People Online</v>
      </c>
    </row>
    <row r="5452">
      <c r="A5452" s="10" t="s">
        <v>33952</v>
      </c>
      <c r="B5452" s="10" t="s">
        <v>33953</v>
      </c>
      <c r="C5452" s="10" t="s">
        <v>4692</v>
      </c>
      <c r="D5452" s="10" t="s">
        <v>12902</v>
      </c>
      <c r="E5452" s="10" t="s">
        <v>33450</v>
      </c>
      <c r="F5452" s="10" t="s">
        <v>371</v>
      </c>
      <c r="G5452" s="10" t="s">
        <v>33954</v>
      </c>
      <c r="H5452" s="11" t="s">
        <v>31</v>
      </c>
      <c r="I5452" s="11">
        <v>1.0</v>
      </c>
      <c r="J5452" s="11">
        <v>1.0</v>
      </c>
      <c r="K5452" s="11" t="s">
        <v>31</v>
      </c>
      <c r="L5452" s="12" t="s">
        <v>33452</v>
      </c>
      <c r="M5452" s="10" t="s">
        <v>33955</v>
      </c>
      <c r="N5452" s="10" t="s">
        <v>75</v>
      </c>
      <c r="O5452" s="12" t="s">
        <v>76</v>
      </c>
      <c r="P5452" s="10" t="s">
        <v>33454</v>
      </c>
      <c r="Q5452" s="10" t="s">
        <v>12967</v>
      </c>
      <c r="R5452" s="10" t="s">
        <v>75</v>
      </c>
      <c r="S5452" s="12" t="s">
        <v>2167</v>
      </c>
      <c r="T5452" s="10" t="s">
        <v>66</v>
      </c>
      <c r="U5452" s="12" t="s">
        <v>31</v>
      </c>
      <c r="V5452" s="10" t="s">
        <v>371</v>
      </c>
      <c r="W5452" s="10" t="s">
        <v>33450</v>
      </c>
      <c r="X5452" s="13" t="str">
        <f>HYPERLINK("https://my.pitchbook.com?p=83828-26P","View People Online")</f>
        <v>View People Online</v>
      </c>
    </row>
    <row r="5453">
      <c r="A5453" s="14" t="s">
        <v>33956</v>
      </c>
      <c r="B5453" s="14" t="s">
        <v>33957</v>
      </c>
      <c r="C5453" s="14" t="s">
        <v>562</v>
      </c>
      <c r="D5453" s="14" t="s">
        <v>33958</v>
      </c>
      <c r="E5453" s="14" t="s">
        <v>33450</v>
      </c>
      <c r="F5453" s="14" t="s">
        <v>2731</v>
      </c>
      <c r="G5453" s="14" t="s">
        <v>33959</v>
      </c>
      <c r="H5453" s="15" t="s">
        <v>31</v>
      </c>
      <c r="I5453" s="15">
        <v>2.0</v>
      </c>
      <c r="J5453" s="15" t="s">
        <v>31</v>
      </c>
      <c r="K5453" s="15" t="s">
        <v>31</v>
      </c>
      <c r="L5453" s="16" t="s">
        <v>33452</v>
      </c>
      <c r="M5453" s="14" t="s">
        <v>31</v>
      </c>
      <c r="N5453" s="14" t="s">
        <v>75</v>
      </c>
      <c r="O5453" s="16" t="s">
        <v>76</v>
      </c>
      <c r="P5453" s="14" t="s">
        <v>33454</v>
      </c>
      <c r="Q5453" s="14" t="s">
        <v>12967</v>
      </c>
      <c r="R5453" s="14" t="s">
        <v>75</v>
      </c>
      <c r="S5453" s="16" t="s">
        <v>2167</v>
      </c>
      <c r="T5453" s="14" t="s">
        <v>66</v>
      </c>
      <c r="U5453" s="16" t="s">
        <v>31</v>
      </c>
      <c r="V5453" s="14" t="s">
        <v>33599</v>
      </c>
      <c r="W5453" s="14" t="s">
        <v>33450</v>
      </c>
      <c r="X5453" s="17" t="str">
        <f>HYPERLINK("https://my.pitchbook.com?p=61228-18P","View People Online")</f>
        <v>View People Online</v>
      </c>
    </row>
    <row r="5454">
      <c r="A5454" s="10" t="s">
        <v>33960</v>
      </c>
      <c r="B5454" s="10" t="s">
        <v>33961</v>
      </c>
      <c r="C5454" s="10" t="s">
        <v>2483</v>
      </c>
      <c r="D5454" s="10" t="s">
        <v>33962</v>
      </c>
      <c r="E5454" s="10" t="s">
        <v>33450</v>
      </c>
      <c r="F5454" s="10" t="s">
        <v>2731</v>
      </c>
      <c r="G5454" s="10" t="s">
        <v>33963</v>
      </c>
      <c r="H5454" s="11" t="s">
        <v>31</v>
      </c>
      <c r="I5454" s="11">
        <v>2.0</v>
      </c>
      <c r="J5454" s="11">
        <v>1.0</v>
      </c>
      <c r="K5454" s="11" t="s">
        <v>31</v>
      </c>
      <c r="L5454" s="12" t="s">
        <v>31</v>
      </c>
      <c r="M5454" s="10" t="s">
        <v>31</v>
      </c>
      <c r="N5454" s="10" t="s">
        <v>33964</v>
      </c>
      <c r="O5454" s="12" t="s">
        <v>33965</v>
      </c>
      <c r="P5454" s="10" t="s">
        <v>33966</v>
      </c>
      <c r="Q5454" s="10" t="s">
        <v>33967</v>
      </c>
      <c r="R5454" s="10" t="s">
        <v>64</v>
      </c>
      <c r="S5454" s="12" t="s">
        <v>33968</v>
      </c>
      <c r="T5454" s="10" t="s">
        <v>66</v>
      </c>
      <c r="U5454" s="12" t="s">
        <v>31</v>
      </c>
      <c r="V5454" s="10" t="s">
        <v>2731</v>
      </c>
      <c r="W5454" s="10" t="s">
        <v>33969</v>
      </c>
      <c r="X5454" s="13" t="str">
        <f>HYPERLINK("https://my.pitchbook.com?p=354568-69P","View People Online")</f>
        <v>View People Online</v>
      </c>
    </row>
    <row r="5455">
      <c r="A5455" s="6" t="s">
        <v>33970</v>
      </c>
      <c r="B5455" s="6" t="s">
        <v>33971</v>
      </c>
      <c r="C5455" s="6" t="s">
        <v>1066</v>
      </c>
      <c r="D5455" s="6" t="s">
        <v>9822</v>
      </c>
      <c r="E5455" s="6" t="s">
        <v>33450</v>
      </c>
      <c r="F5455" s="6" t="s">
        <v>221</v>
      </c>
      <c r="G5455" s="6" t="s">
        <v>33972</v>
      </c>
      <c r="H5455" s="7" t="s">
        <v>31</v>
      </c>
      <c r="I5455" s="7">
        <v>1.0</v>
      </c>
      <c r="J5455" s="7">
        <v>1.0</v>
      </c>
      <c r="K5455" s="7" t="s">
        <v>31</v>
      </c>
      <c r="L5455" s="8" t="s">
        <v>33452</v>
      </c>
      <c r="M5455" s="6" t="s">
        <v>33973</v>
      </c>
      <c r="N5455" s="6" t="s">
        <v>75</v>
      </c>
      <c r="O5455" s="8" t="s">
        <v>76</v>
      </c>
      <c r="P5455" s="6" t="s">
        <v>33454</v>
      </c>
      <c r="Q5455" s="6" t="s">
        <v>12967</v>
      </c>
      <c r="R5455" s="6" t="s">
        <v>75</v>
      </c>
      <c r="S5455" s="8" t="s">
        <v>2167</v>
      </c>
      <c r="T5455" s="6" t="s">
        <v>66</v>
      </c>
      <c r="U5455" s="8" t="s">
        <v>31</v>
      </c>
      <c r="V5455" s="6" t="s">
        <v>221</v>
      </c>
      <c r="W5455" s="6" t="s">
        <v>33450</v>
      </c>
      <c r="X5455" s="9" t="str">
        <f>HYPERLINK("https://my.pitchbook.com?p=428231-08P","View People Online")</f>
        <v>View People Online</v>
      </c>
    </row>
    <row r="5456">
      <c r="A5456" s="10" t="s">
        <v>33974</v>
      </c>
      <c r="B5456" s="10" t="s">
        <v>33975</v>
      </c>
      <c r="C5456" s="10" t="s">
        <v>22692</v>
      </c>
      <c r="D5456" s="10" t="s">
        <v>6868</v>
      </c>
      <c r="E5456" s="10" t="s">
        <v>33450</v>
      </c>
      <c r="F5456" s="10" t="s">
        <v>33624</v>
      </c>
      <c r="G5456" s="10" t="s">
        <v>33976</v>
      </c>
      <c r="H5456" s="11" t="s">
        <v>31</v>
      </c>
      <c r="I5456" s="11">
        <v>1.0</v>
      </c>
      <c r="J5456" s="11">
        <v>1.0</v>
      </c>
      <c r="K5456" s="11" t="s">
        <v>31</v>
      </c>
      <c r="L5456" s="12" t="s">
        <v>33452</v>
      </c>
      <c r="M5456" s="10" t="s">
        <v>31</v>
      </c>
      <c r="N5456" s="10" t="s">
        <v>75</v>
      </c>
      <c r="O5456" s="12" t="s">
        <v>76</v>
      </c>
      <c r="P5456" s="10" t="s">
        <v>33454</v>
      </c>
      <c r="Q5456" s="10" t="s">
        <v>12967</v>
      </c>
      <c r="R5456" s="10" t="s">
        <v>75</v>
      </c>
      <c r="S5456" s="12" t="s">
        <v>2167</v>
      </c>
      <c r="T5456" s="10" t="s">
        <v>66</v>
      </c>
      <c r="U5456" s="12" t="s">
        <v>31</v>
      </c>
      <c r="V5456" s="10" t="s">
        <v>33977</v>
      </c>
      <c r="W5456" s="10" t="s">
        <v>33450</v>
      </c>
      <c r="X5456" s="13" t="str">
        <f>HYPERLINK("https://my.pitchbook.com?p=428251-51P","View People Online")</f>
        <v>View People Online</v>
      </c>
    </row>
    <row r="5457">
      <c r="A5457" s="14" t="s">
        <v>33978</v>
      </c>
      <c r="B5457" s="14" t="s">
        <v>33979</v>
      </c>
      <c r="C5457" s="14" t="s">
        <v>33980</v>
      </c>
      <c r="D5457" s="14" t="s">
        <v>9987</v>
      </c>
      <c r="E5457" s="14" t="s">
        <v>33450</v>
      </c>
      <c r="F5457" s="14" t="s">
        <v>2731</v>
      </c>
      <c r="G5457" s="14" t="s">
        <v>33981</v>
      </c>
      <c r="H5457" s="15">
        <v>3.0</v>
      </c>
      <c r="I5457" s="15">
        <v>4.0</v>
      </c>
      <c r="J5457" s="15" t="s">
        <v>31</v>
      </c>
      <c r="K5457" s="15" t="s">
        <v>31</v>
      </c>
      <c r="L5457" s="16" t="s">
        <v>33982</v>
      </c>
      <c r="M5457" s="14" t="s">
        <v>31</v>
      </c>
      <c r="N5457" s="14" t="s">
        <v>75</v>
      </c>
      <c r="O5457" s="16" t="s">
        <v>76</v>
      </c>
      <c r="P5457" s="14" t="s">
        <v>33983</v>
      </c>
      <c r="Q5457" s="14" t="s">
        <v>33984</v>
      </c>
      <c r="R5457" s="14" t="s">
        <v>75</v>
      </c>
      <c r="S5457" s="16" t="s">
        <v>33985</v>
      </c>
      <c r="T5457" s="14" t="s">
        <v>66</v>
      </c>
      <c r="U5457" s="16" t="s">
        <v>31</v>
      </c>
      <c r="V5457" s="14" t="s">
        <v>2379</v>
      </c>
      <c r="W5457" s="14" t="s">
        <v>33986</v>
      </c>
      <c r="X5457" s="17" t="str">
        <f>HYPERLINK("https://my.pitchbook.com?p=263573-56P","View People Online")</f>
        <v>View People Online</v>
      </c>
    </row>
    <row r="5458">
      <c r="A5458" s="10" t="s">
        <v>33987</v>
      </c>
      <c r="B5458" s="10" t="s">
        <v>33988</v>
      </c>
      <c r="C5458" s="10" t="s">
        <v>33989</v>
      </c>
      <c r="D5458" s="10" t="s">
        <v>4083</v>
      </c>
      <c r="E5458" s="10" t="s">
        <v>33450</v>
      </c>
      <c r="F5458" s="10" t="s">
        <v>2731</v>
      </c>
      <c r="G5458" s="10" t="s">
        <v>33990</v>
      </c>
      <c r="H5458" s="11">
        <v>1.0</v>
      </c>
      <c r="I5458" s="11">
        <v>2.0</v>
      </c>
      <c r="J5458" s="11" t="s">
        <v>31</v>
      </c>
      <c r="K5458" s="11" t="s">
        <v>31</v>
      </c>
      <c r="L5458" s="12" t="s">
        <v>33991</v>
      </c>
      <c r="M5458" s="10" t="s">
        <v>31</v>
      </c>
      <c r="N5458" s="10" t="s">
        <v>1034</v>
      </c>
      <c r="O5458" s="12" t="s">
        <v>1035</v>
      </c>
      <c r="P5458" s="10" t="s">
        <v>33992</v>
      </c>
      <c r="Q5458" s="10" t="s">
        <v>33993</v>
      </c>
      <c r="R5458" s="10" t="s">
        <v>31</v>
      </c>
      <c r="S5458" s="12" t="s">
        <v>33994</v>
      </c>
      <c r="T5458" s="10" t="s">
        <v>1034</v>
      </c>
      <c r="U5458" s="12" t="s">
        <v>33995</v>
      </c>
      <c r="V5458" s="10" t="s">
        <v>2379</v>
      </c>
      <c r="W5458" s="10" t="s">
        <v>33996</v>
      </c>
      <c r="X5458" s="13" t="str">
        <f>HYPERLINK("https://my.pitchbook.com?p=100322-47P","View People Online")</f>
        <v>View People Online</v>
      </c>
    </row>
    <row r="5459">
      <c r="A5459" s="14" t="s">
        <v>33997</v>
      </c>
      <c r="B5459" s="14" t="s">
        <v>33998</v>
      </c>
      <c r="C5459" s="14" t="s">
        <v>4717</v>
      </c>
      <c r="D5459" s="14" t="s">
        <v>2561</v>
      </c>
      <c r="E5459" s="14" t="s">
        <v>33450</v>
      </c>
      <c r="F5459" s="14" t="s">
        <v>114</v>
      </c>
      <c r="G5459" s="14" t="s">
        <v>33999</v>
      </c>
      <c r="H5459" s="15">
        <v>1.0</v>
      </c>
      <c r="I5459" s="15">
        <v>8.0</v>
      </c>
      <c r="J5459" s="15">
        <v>2.0</v>
      </c>
      <c r="K5459" s="15">
        <v>3.0</v>
      </c>
      <c r="L5459" s="16" t="s">
        <v>34000</v>
      </c>
      <c r="M5459" s="14" t="s">
        <v>34001</v>
      </c>
      <c r="N5459" s="14" t="s">
        <v>155</v>
      </c>
      <c r="O5459" s="16" t="s">
        <v>156</v>
      </c>
      <c r="P5459" s="14" t="s">
        <v>34002</v>
      </c>
      <c r="Q5459" s="14" t="s">
        <v>31</v>
      </c>
      <c r="R5459" s="14" t="s">
        <v>64</v>
      </c>
      <c r="S5459" s="16" t="s">
        <v>24247</v>
      </c>
      <c r="T5459" s="14" t="s">
        <v>66</v>
      </c>
      <c r="U5459" s="16" t="s">
        <v>31</v>
      </c>
      <c r="V5459" s="14" t="s">
        <v>43</v>
      </c>
      <c r="W5459" s="14" t="s">
        <v>34003</v>
      </c>
      <c r="X5459" s="17" t="str">
        <f>HYPERLINK("https://my.pitchbook.com?p=41439-61P","View People Online")</f>
        <v>View People Online</v>
      </c>
    </row>
    <row r="5460">
      <c r="A5460" s="10" t="s">
        <v>34004</v>
      </c>
      <c r="B5460" s="10" t="s">
        <v>34005</v>
      </c>
      <c r="C5460" s="10" t="s">
        <v>7372</v>
      </c>
      <c r="D5460" s="10" t="s">
        <v>34006</v>
      </c>
      <c r="E5460" s="10" t="s">
        <v>33450</v>
      </c>
      <c r="F5460" s="10" t="s">
        <v>371</v>
      </c>
      <c r="G5460" s="10" t="s">
        <v>34007</v>
      </c>
      <c r="H5460" s="11" t="s">
        <v>31</v>
      </c>
      <c r="I5460" s="11">
        <v>1.0</v>
      </c>
      <c r="J5460" s="11">
        <v>1.0</v>
      </c>
      <c r="K5460" s="11" t="s">
        <v>31</v>
      </c>
      <c r="L5460" s="12" t="s">
        <v>31</v>
      </c>
      <c r="M5460" s="10" t="s">
        <v>34008</v>
      </c>
      <c r="N5460" s="10" t="s">
        <v>155</v>
      </c>
      <c r="O5460" s="12" t="s">
        <v>156</v>
      </c>
      <c r="P5460" s="10" t="s">
        <v>34009</v>
      </c>
      <c r="Q5460" s="10" t="s">
        <v>29599</v>
      </c>
      <c r="R5460" s="10" t="s">
        <v>64</v>
      </c>
      <c r="S5460" s="12" t="s">
        <v>3487</v>
      </c>
      <c r="T5460" s="10" t="s">
        <v>66</v>
      </c>
      <c r="U5460" s="12" t="s">
        <v>31</v>
      </c>
      <c r="V5460" s="10" t="s">
        <v>371</v>
      </c>
      <c r="W5460" s="10" t="s">
        <v>33450</v>
      </c>
      <c r="X5460" s="13" t="str">
        <f>HYPERLINK("https://my.pitchbook.com?p=319429-00P","View People Online")</f>
        <v>View People Online</v>
      </c>
    </row>
    <row r="5461">
      <c r="A5461" s="14" t="s">
        <v>34010</v>
      </c>
      <c r="B5461" s="14" t="s">
        <v>34011</v>
      </c>
      <c r="C5461" s="14" t="s">
        <v>34012</v>
      </c>
      <c r="D5461" s="14" t="s">
        <v>34013</v>
      </c>
      <c r="E5461" s="14" t="s">
        <v>33450</v>
      </c>
      <c r="F5461" s="14" t="s">
        <v>312</v>
      </c>
      <c r="G5461" s="14" t="s">
        <v>34014</v>
      </c>
      <c r="H5461" s="15" t="s">
        <v>31</v>
      </c>
      <c r="I5461" s="15">
        <v>1.0</v>
      </c>
      <c r="J5461" s="15">
        <v>1.0</v>
      </c>
      <c r="K5461" s="15" t="s">
        <v>31</v>
      </c>
      <c r="L5461" s="16" t="s">
        <v>33452</v>
      </c>
      <c r="M5461" s="14" t="s">
        <v>34015</v>
      </c>
      <c r="N5461" s="14" t="s">
        <v>75</v>
      </c>
      <c r="O5461" s="16" t="s">
        <v>76</v>
      </c>
      <c r="P5461" s="14" t="s">
        <v>33454</v>
      </c>
      <c r="Q5461" s="14" t="s">
        <v>12967</v>
      </c>
      <c r="R5461" s="14" t="s">
        <v>75</v>
      </c>
      <c r="S5461" s="16" t="s">
        <v>2167</v>
      </c>
      <c r="T5461" s="14" t="s">
        <v>66</v>
      </c>
      <c r="U5461" s="16" t="s">
        <v>31</v>
      </c>
      <c r="V5461" s="14" t="s">
        <v>34016</v>
      </c>
      <c r="W5461" s="14" t="s">
        <v>33450</v>
      </c>
      <c r="X5461" s="17" t="str">
        <f>HYPERLINK("https://my.pitchbook.com?p=240790-42P","View People Online")</f>
        <v>View People Online</v>
      </c>
    </row>
    <row r="5462">
      <c r="A5462" s="10" t="s">
        <v>34017</v>
      </c>
      <c r="B5462" s="10" t="s">
        <v>34018</v>
      </c>
      <c r="C5462" s="10" t="s">
        <v>1117</v>
      </c>
      <c r="D5462" s="10" t="s">
        <v>34019</v>
      </c>
      <c r="E5462" s="10" t="s">
        <v>34020</v>
      </c>
      <c r="F5462" s="10" t="s">
        <v>1283</v>
      </c>
      <c r="G5462" s="10" t="s">
        <v>34021</v>
      </c>
      <c r="H5462" s="11" t="s">
        <v>31</v>
      </c>
      <c r="I5462" s="11">
        <v>3.0</v>
      </c>
      <c r="J5462" s="11">
        <v>2.0</v>
      </c>
      <c r="K5462" s="11">
        <v>1.0</v>
      </c>
      <c r="L5462" s="12" t="s">
        <v>34022</v>
      </c>
      <c r="M5462" s="10" t="s">
        <v>34023</v>
      </c>
      <c r="N5462" s="10" t="s">
        <v>1181</v>
      </c>
      <c r="O5462" s="12" t="s">
        <v>1182</v>
      </c>
      <c r="P5462" s="10" t="s">
        <v>31</v>
      </c>
      <c r="Q5462" s="10" t="s">
        <v>31</v>
      </c>
      <c r="R5462" s="10" t="s">
        <v>1185</v>
      </c>
      <c r="S5462" s="12" t="s">
        <v>31</v>
      </c>
      <c r="T5462" s="10" t="s">
        <v>66</v>
      </c>
      <c r="U5462" s="12" t="s">
        <v>31</v>
      </c>
      <c r="V5462" s="10" t="s">
        <v>1283</v>
      </c>
      <c r="W5462" s="10" t="s">
        <v>34020</v>
      </c>
      <c r="X5462" s="13" t="str">
        <f>HYPERLINK("https://my.pitchbook.com?p=281830-42P","View People Online")</f>
        <v>View People Online</v>
      </c>
    </row>
    <row r="5463">
      <c r="A5463" s="6" t="s">
        <v>34024</v>
      </c>
      <c r="B5463" s="6" t="s">
        <v>34025</v>
      </c>
      <c r="C5463" s="6" t="s">
        <v>1103</v>
      </c>
      <c r="D5463" s="6" t="s">
        <v>34026</v>
      </c>
      <c r="E5463" s="6" t="s">
        <v>34020</v>
      </c>
      <c r="F5463" s="6" t="s">
        <v>81</v>
      </c>
      <c r="G5463" s="6" t="s">
        <v>34027</v>
      </c>
      <c r="H5463" s="7">
        <v>5.0</v>
      </c>
      <c r="I5463" s="7">
        <v>30.0</v>
      </c>
      <c r="J5463" s="7">
        <v>1.0</v>
      </c>
      <c r="K5463" s="7">
        <v>16.0</v>
      </c>
      <c r="L5463" s="8" t="s">
        <v>34028</v>
      </c>
      <c r="M5463" s="6" t="s">
        <v>34029</v>
      </c>
      <c r="N5463" s="6" t="s">
        <v>1442</v>
      </c>
      <c r="O5463" s="8" t="s">
        <v>1443</v>
      </c>
      <c r="P5463" s="6" t="s">
        <v>34030</v>
      </c>
      <c r="Q5463" s="6" t="s">
        <v>34031</v>
      </c>
      <c r="R5463" s="6" t="s">
        <v>1277</v>
      </c>
      <c r="S5463" s="8" t="s">
        <v>30123</v>
      </c>
      <c r="T5463" s="6" t="s">
        <v>66</v>
      </c>
      <c r="U5463" s="8" t="s">
        <v>34032</v>
      </c>
      <c r="V5463" s="6" t="s">
        <v>1283</v>
      </c>
      <c r="W5463" s="6" t="s">
        <v>34033</v>
      </c>
      <c r="X5463" s="9" t="str">
        <f>HYPERLINK("https://my.pitchbook.com?p=40263-58P","View People Online")</f>
        <v>View People Online</v>
      </c>
    </row>
    <row r="5464">
      <c r="A5464" s="10" t="s">
        <v>34034</v>
      </c>
      <c r="B5464" s="10" t="s">
        <v>34035</v>
      </c>
      <c r="C5464" s="10" t="s">
        <v>5602</v>
      </c>
      <c r="D5464" s="10" t="s">
        <v>24482</v>
      </c>
      <c r="E5464" s="10" t="s">
        <v>34020</v>
      </c>
      <c r="F5464" s="10" t="s">
        <v>20655</v>
      </c>
      <c r="G5464" s="10" t="s">
        <v>34036</v>
      </c>
      <c r="H5464" s="11" t="s">
        <v>31</v>
      </c>
      <c r="I5464" s="11">
        <v>1.0</v>
      </c>
      <c r="J5464" s="11">
        <v>1.0</v>
      </c>
      <c r="K5464" s="11" t="s">
        <v>31</v>
      </c>
      <c r="L5464" s="12" t="s">
        <v>31</v>
      </c>
      <c r="M5464" s="10" t="s">
        <v>34037</v>
      </c>
      <c r="N5464" s="10" t="s">
        <v>1416</v>
      </c>
      <c r="O5464" s="12" t="s">
        <v>1417</v>
      </c>
      <c r="P5464" s="10" t="s">
        <v>31</v>
      </c>
      <c r="Q5464" s="10" t="s">
        <v>31</v>
      </c>
      <c r="R5464" s="10" t="s">
        <v>1420</v>
      </c>
      <c r="S5464" s="12" t="s">
        <v>31</v>
      </c>
      <c r="T5464" s="10" t="s">
        <v>66</v>
      </c>
      <c r="U5464" s="12" t="s">
        <v>31</v>
      </c>
      <c r="V5464" s="10" t="s">
        <v>20655</v>
      </c>
      <c r="W5464" s="10" t="s">
        <v>34020</v>
      </c>
      <c r="X5464" s="13" t="str">
        <f>HYPERLINK("https://my.pitchbook.com?p=101823-58P","View People Online")</f>
        <v>View People Online</v>
      </c>
    </row>
    <row r="5465">
      <c r="A5465" s="6" t="s">
        <v>34038</v>
      </c>
      <c r="B5465" s="6" t="s">
        <v>34039</v>
      </c>
      <c r="C5465" s="6" t="s">
        <v>285</v>
      </c>
      <c r="D5465" s="6" t="s">
        <v>3275</v>
      </c>
      <c r="E5465" s="6" t="s">
        <v>34020</v>
      </c>
      <c r="F5465" s="6" t="s">
        <v>1283</v>
      </c>
      <c r="G5465" s="6" t="s">
        <v>34040</v>
      </c>
      <c r="H5465" s="7">
        <v>2.0</v>
      </c>
      <c r="I5465" s="7">
        <v>7.0</v>
      </c>
      <c r="J5465" s="7">
        <v>1.0</v>
      </c>
      <c r="K5465" s="7">
        <v>2.0</v>
      </c>
      <c r="L5465" s="8" t="s">
        <v>31</v>
      </c>
      <c r="M5465" s="6" t="s">
        <v>34041</v>
      </c>
      <c r="N5465" s="6" t="s">
        <v>155</v>
      </c>
      <c r="O5465" s="8" t="s">
        <v>156</v>
      </c>
      <c r="P5465" s="6" t="s">
        <v>31</v>
      </c>
      <c r="Q5465" s="6" t="s">
        <v>31</v>
      </c>
      <c r="R5465" s="6" t="s">
        <v>64</v>
      </c>
      <c r="S5465" s="8" t="s">
        <v>24337</v>
      </c>
      <c r="T5465" s="6" t="s">
        <v>66</v>
      </c>
      <c r="U5465" s="8" t="s">
        <v>31</v>
      </c>
      <c r="V5465" s="6" t="s">
        <v>1283</v>
      </c>
      <c r="W5465" s="6" t="s">
        <v>34020</v>
      </c>
      <c r="X5465" s="9" t="str">
        <f>HYPERLINK("https://my.pitchbook.com?p=215893-81P","View People Online")</f>
        <v>View People Online</v>
      </c>
    </row>
    <row r="5466">
      <c r="A5466" s="10" t="s">
        <v>34042</v>
      </c>
      <c r="B5466" s="10" t="s">
        <v>34043</v>
      </c>
      <c r="C5466" s="10" t="s">
        <v>11074</v>
      </c>
      <c r="D5466" s="10" t="s">
        <v>28572</v>
      </c>
      <c r="E5466" s="10" t="s">
        <v>34020</v>
      </c>
      <c r="F5466" s="10" t="s">
        <v>81</v>
      </c>
      <c r="G5466" s="10" t="s">
        <v>34044</v>
      </c>
      <c r="H5466" s="11">
        <v>4.0</v>
      </c>
      <c r="I5466" s="11">
        <v>25.0</v>
      </c>
      <c r="J5466" s="11" t="s">
        <v>31</v>
      </c>
      <c r="K5466" s="11">
        <v>16.0</v>
      </c>
      <c r="L5466" s="12" t="s">
        <v>34045</v>
      </c>
      <c r="M5466" s="10" t="s">
        <v>31</v>
      </c>
      <c r="N5466" s="10" t="s">
        <v>1416</v>
      </c>
      <c r="O5466" s="12" t="s">
        <v>1417</v>
      </c>
      <c r="P5466" s="10" t="s">
        <v>34046</v>
      </c>
      <c r="Q5466" s="10" t="s">
        <v>34047</v>
      </c>
      <c r="R5466" s="10" t="s">
        <v>1420</v>
      </c>
      <c r="S5466" s="12" t="s">
        <v>12674</v>
      </c>
      <c r="T5466" s="10" t="s">
        <v>66</v>
      </c>
      <c r="U5466" s="12" t="s">
        <v>34048</v>
      </c>
      <c r="V5466" s="10" t="s">
        <v>2312</v>
      </c>
      <c r="W5466" s="10" t="s">
        <v>34049</v>
      </c>
      <c r="X5466" s="13" t="str">
        <f>HYPERLINK("https://my.pitchbook.com?p=13054-15P","View People Online")</f>
        <v>View People Online</v>
      </c>
    </row>
    <row r="5467">
      <c r="A5467" s="14" t="s">
        <v>34050</v>
      </c>
      <c r="B5467" s="14" t="s">
        <v>34051</v>
      </c>
      <c r="C5467" s="14" t="s">
        <v>1449</v>
      </c>
      <c r="D5467" s="14" t="s">
        <v>34052</v>
      </c>
      <c r="E5467" s="14" t="s">
        <v>34020</v>
      </c>
      <c r="F5467" s="14" t="s">
        <v>1283</v>
      </c>
      <c r="G5467" s="14" t="s">
        <v>34053</v>
      </c>
      <c r="H5467" s="15" t="s">
        <v>31</v>
      </c>
      <c r="I5467" s="15">
        <v>5.0</v>
      </c>
      <c r="J5467" s="15">
        <v>2.0</v>
      </c>
      <c r="K5467" s="15">
        <v>2.0</v>
      </c>
      <c r="L5467" s="16" t="s">
        <v>34054</v>
      </c>
      <c r="M5467" s="14" t="s">
        <v>34055</v>
      </c>
      <c r="N5467" s="14" t="s">
        <v>34056</v>
      </c>
      <c r="O5467" s="16" t="s">
        <v>34057</v>
      </c>
      <c r="P5467" s="14" t="s">
        <v>31</v>
      </c>
      <c r="Q5467" s="14" t="s">
        <v>31</v>
      </c>
      <c r="R5467" s="14" t="s">
        <v>32274</v>
      </c>
      <c r="S5467" s="16" t="s">
        <v>31</v>
      </c>
      <c r="T5467" s="14" t="s">
        <v>66</v>
      </c>
      <c r="U5467" s="16" t="s">
        <v>31</v>
      </c>
      <c r="V5467" s="14" t="s">
        <v>1283</v>
      </c>
      <c r="W5467" s="14" t="s">
        <v>34020</v>
      </c>
      <c r="X5467" s="17" t="str">
        <f>HYPERLINK("https://my.pitchbook.com?p=146492-29P","View People Online")</f>
        <v>View People Online</v>
      </c>
    </row>
    <row r="5468">
      <c r="A5468" s="2" t="s">
        <v>34058</v>
      </c>
      <c r="B5468" s="2" t="s">
        <v>34059</v>
      </c>
      <c r="C5468" s="2" t="s">
        <v>29287</v>
      </c>
      <c r="D5468" s="2" t="s">
        <v>3458</v>
      </c>
      <c r="E5468" s="2" t="s">
        <v>34020</v>
      </c>
      <c r="F5468" s="2" t="s">
        <v>81</v>
      </c>
      <c r="G5468" s="2" t="s">
        <v>34060</v>
      </c>
      <c r="H5468" s="3" t="s">
        <v>31</v>
      </c>
      <c r="I5468" s="3">
        <v>4.0</v>
      </c>
      <c r="J5468" s="3" t="s">
        <v>31</v>
      </c>
      <c r="K5468" s="3">
        <v>2.0</v>
      </c>
      <c r="L5468" s="4" t="s">
        <v>34061</v>
      </c>
      <c r="M5468" s="2" t="s">
        <v>34062</v>
      </c>
      <c r="N5468" s="2" t="s">
        <v>1416</v>
      </c>
      <c r="O5468" s="4" t="s">
        <v>1417</v>
      </c>
      <c r="P5468" s="2" t="s">
        <v>31</v>
      </c>
      <c r="Q5468" s="2" t="s">
        <v>31</v>
      </c>
      <c r="R5468" s="2" t="s">
        <v>1420</v>
      </c>
      <c r="S5468" s="4" t="s">
        <v>31</v>
      </c>
      <c r="T5468" s="2" t="s">
        <v>66</v>
      </c>
      <c r="U5468" s="4" t="s">
        <v>31</v>
      </c>
      <c r="V5468" s="2" t="s">
        <v>81</v>
      </c>
      <c r="W5468" s="2" t="s">
        <v>34020</v>
      </c>
      <c r="X5468" s="5" t="str">
        <f>HYPERLINK("https://my.pitchbook.com?p=96179-77P","View People Online")</f>
        <v>View People Online</v>
      </c>
    </row>
    <row r="5469">
      <c r="A5469" s="6" t="s">
        <v>34063</v>
      </c>
      <c r="B5469" s="6" t="s">
        <v>34064</v>
      </c>
      <c r="C5469" s="6" t="s">
        <v>2871</v>
      </c>
      <c r="D5469" s="6" t="s">
        <v>34065</v>
      </c>
      <c r="E5469" s="6" t="s">
        <v>34020</v>
      </c>
      <c r="F5469" s="6" t="s">
        <v>57</v>
      </c>
      <c r="G5469" s="6" t="s">
        <v>34066</v>
      </c>
      <c r="H5469" s="7">
        <v>5.0</v>
      </c>
      <c r="I5469" s="7">
        <v>30.0</v>
      </c>
      <c r="J5469" s="7">
        <v>2.0</v>
      </c>
      <c r="K5469" s="7">
        <v>20.0</v>
      </c>
      <c r="L5469" s="8" t="s">
        <v>31</v>
      </c>
      <c r="M5469" s="6" t="s">
        <v>34067</v>
      </c>
      <c r="N5469" s="6" t="s">
        <v>1416</v>
      </c>
      <c r="O5469" s="8" t="s">
        <v>1417</v>
      </c>
      <c r="P5469" s="6" t="s">
        <v>31</v>
      </c>
      <c r="Q5469" s="6" t="s">
        <v>31</v>
      </c>
      <c r="R5469" s="6" t="s">
        <v>1420</v>
      </c>
      <c r="S5469" s="8" t="s">
        <v>31</v>
      </c>
      <c r="T5469" s="6" t="s">
        <v>66</v>
      </c>
      <c r="U5469" s="8" t="s">
        <v>31</v>
      </c>
      <c r="V5469" s="6" t="s">
        <v>57</v>
      </c>
      <c r="W5469" s="6" t="s">
        <v>34020</v>
      </c>
      <c r="X5469" s="9" t="str">
        <f>HYPERLINK("https://my.pitchbook.com?p=13055-32P","View People Online")</f>
        <v>View People Online</v>
      </c>
    </row>
    <row r="5470">
      <c r="A5470" s="2" t="s">
        <v>34068</v>
      </c>
      <c r="B5470" s="2" t="s">
        <v>34069</v>
      </c>
      <c r="C5470" s="2" t="s">
        <v>34070</v>
      </c>
      <c r="D5470" s="2" t="s">
        <v>34071</v>
      </c>
      <c r="E5470" s="2" t="s">
        <v>34020</v>
      </c>
      <c r="F5470" s="2" t="s">
        <v>120</v>
      </c>
      <c r="G5470" s="2" t="s">
        <v>34072</v>
      </c>
      <c r="H5470" s="3">
        <v>1.0</v>
      </c>
      <c r="I5470" s="3">
        <v>2.0</v>
      </c>
      <c r="J5470" s="3">
        <v>2.0</v>
      </c>
      <c r="K5470" s="3" t="s">
        <v>31</v>
      </c>
      <c r="L5470" s="4" t="s">
        <v>34073</v>
      </c>
      <c r="M5470" s="2" t="s">
        <v>34074</v>
      </c>
      <c r="N5470" s="2" t="s">
        <v>8132</v>
      </c>
      <c r="O5470" s="4" t="s">
        <v>8133</v>
      </c>
      <c r="P5470" s="2" t="s">
        <v>34075</v>
      </c>
      <c r="Q5470" s="2" t="s">
        <v>31</v>
      </c>
      <c r="R5470" s="2" t="s">
        <v>64</v>
      </c>
      <c r="S5470" s="4" t="s">
        <v>34076</v>
      </c>
      <c r="T5470" s="2" t="s">
        <v>66</v>
      </c>
      <c r="U5470" s="4" t="s">
        <v>31</v>
      </c>
      <c r="V5470" s="2" t="s">
        <v>34077</v>
      </c>
      <c r="W5470" s="2" t="s">
        <v>34078</v>
      </c>
      <c r="X5470" s="5" t="str">
        <f>HYPERLINK("https://my.pitchbook.com?p=316933-75P","View People Online")</f>
        <v>View People Online</v>
      </c>
    </row>
    <row r="5471">
      <c r="A5471" s="14" t="s">
        <v>34079</v>
      </c>
      <c r="B5471" s="14" t="s">
        <v>34080</v>
      </c>
      <c r="C5471" s="14" t="s">
        <v>4404</v>
      </c>
      <c r="D5471" s="14" t="s">
        <v>9709</v>
      </c>
      <c r="E5471" s="14" t="s">
        <v>34020</v>
      </c>
      <c r="F5471" s="14" t="s">
        <v>120</v>
      </c>
      <c r="G5471" s="14" t="s">
        <v>34081</v>
      </c>
      <c r="H5471" s="15" t="s">
        <v>31</v>
      </c>
      <c r="I5471" s="15">
        <v>2.0</v>
      </c>
      <c r="J5471" s="15">
        <v>2.0</v>
      </c>
      <c r="K5471" s="15" t="s">
        <v>31</v>
      </c>
      <c r="L5471" s="16" t="s">
        <v>34082</v>
      </c>
      <c r="M5471" s="14" t="s">
        <v>34083</v>
      </c>
      <c r="N5471" s="14" t="s">
        <v>14203</v>
      </c>
      <c r="O5471" s="16" t="s">
        <v>14204</v>
      </c>
      <c r="P5471" s="14" t="s">
        <v>31</v>
      </c>
      <c r="Q5471" s="14" t="s">
        <v>31</v>
      </c>
      <c r="R5471" s="14" t="s">
        <v>1420</v>
      </c>
      <c r="S5471" s="16" t="s">
        <v>31</v>
      </c>
      <c r="T5471" s="14" t="s">
        <v>66</v>
      </c>
      <c r="U5471" s="16" t="s">
        <v>31</v>
      </c>
      <c r="V5471" s="14" t="s">
        <v>502</v>
      </c>
      <c r="W5471" s="14" t="s">
        <v>34084</v>
      </c>
      <c r="X5471" s="17" t="str">
        <f>HYPERLINK("https://my.pitchbook.com?p=212716-54P","View People Online")</f>
        <v>View People Online</v>
      </c>
    </row>
    <row r="5472">
      <c r="A5472" s="10" t="s">
        <v>34085</v>
      </c>
      <c r="B5472" s="10" t="s">
        <v>34086</v>
      </c>
      <c r="C5472" s="10" t="s">
        <v>2149</v>
      </c>
      <c r="D5472" s="10" t="s">
        <v>34087</v>
      </c>
      <c r="E5472" s="10" t="s">
        <v>34020</v>
      </c>
      <c r="F5472" s="10" t="s">
        <v>81</v>
      </c>
      <c r="G5472" s="10" t="s">
        <v>34088</v>
      </c>
      <c r="H5472" s="11" t="s">
        <v>31</v>
      </c>
      <c r="I5472" s="11">
        <v>1.0</v>
      </c>
      <c r="J5472" s="11" t="s">
        <v>31</v>
      </c>
      <c r="K5472" s="11" t="s">
        <v>31</v>
      </c>
      <c r="L5472" s="12" t="s">
        <v>31</v>
      </c>
      <c r="M5472" s="10" t="s">
        <v>31</v>
      </c>
      <c r="N5472" s="10" t="s">
        <v>1416</v>
      </c>
      <c r="O5472" s="12" t="s">
        <v>1417</v>
      </c>
      <c r="P5472" s="10" t="s">
        <v>31</v>
      </c>
      <c r="Q5472" s="10" t="s">
        <v>31</v>
      </c>
      <c r="R5472" s="10" t="s">
        <v>1420</v>
      </c>
      <c r="S5472" s="12" t="s">
        <v>31</v>
      </c>
      <c r="T5472" s="10" t="s">
        <v>66</v>
      </c>
      <c r="U5472" s="12" t="s">
        <v>31</v>
      </c>
      <c r="V5472" s="10" t="s">
        <v>81</v>
      </c>
      <c r="W5472" s="10" t="s">
        <v>34020</v>
      </c>
      <c r="X5472" s="13" t="str">
        <f>HYPERLINK("https://my.pitchbook.com?p=281839-42P","View People Online")</f>
        <v>View People Online</v>
      </c>
    </row>
    <row r="5473">
      <c r="A5473" s="6" t="s">
        <v>34089</v>
      </c>
      <c r="B5473" s="6" t="s">
        <v>34090</v>
      </c>
      <c r="C5473" s="6" t="s">
        <v>17891</v>
      </c>
      <c r="D5473" s="6" t="s">
        <v>34091</v>
      </c>
      <c r="E5473" s="6" t="s">
        <v>34020</v>
      </c>
      <c r="F5473" s="6" t="s">
        <v>57</v>
      </c>
      <c r="G5473" s="6" t="s">
        <v>34092</v>
      </c>
      <c r="H5473" s="7">
        <v>1.0</v>
      </c>
      <c r="I5473" s="7">
        <v>3.0</v>
      </c>
      <c r="J5473" s="7">
        <v>2.0</v>
      </c>
      <c r="K5473" s="7" t="s">
        <v>31</v>
      </c>
      <c r="L5473" s="8" t="s">
        <v>34093</v>
      </c>
      <c r="M5473" s="6" t="s">
        <v>34094</v>
      </c>
      <c r="N5473" s="6" t="s">
        <v>34095</v>
      </c>
      <c r="O5473" s="8" t="s">
        <v>34096</v>
      </c>
      <c r="P5473" s="6" t="s">
        <v>34097</v>
      </c>
      <c r="Q5473" s="6" t="s">
        <v>34098</v>
      </c>
      <c r="R5473" s="6" t="s">
        <v>64</v>
      </c>
      <c r="S5473" s="8" t="s">
        <v>34099</v>
      </c>
      <c r="T5473" s="6" t="s">
        <v>66</v>
      </c>
      <c r="U5473" s="8" t="s">
        <v>31</v>
      </c>
      <c r="V5473" s="6" t="s">
        <v>57</v>
      </c>
      <c r="W5473" s="6" t="s">
        <v>34020</v>
      </c>
      <c r="X5473" s="9" t="str">
        <f>HYPERLINK("https://my.pitchbook.com?p=38163-79P","View People Online")</f>
        <v>View People Online</v>
      </c>
    </row>
    <row r="5474">
      <c r="A5474" s="10" t="s">
        <v>34100</v>
      </c>
      <c r="B5474" s="10" t="s">
        <v>34101</v>
      </c>
      <c r="C5474" s="10" t="s">
        <v>1343</v>
      </c>
      <c r="D5474" s="10" t="s">
        <v>34102</v>
      </c>
      <c r="E5474" s="10" t="s">
        <v>34020</v>
      </c>
      <c r="F5474" s="10" t="s">
        <v>34103</v>
      </c>
      <c r="G5474" s="10" t="s">
        <v>34104</v>
      </c>
      <c r="H5474" s="11">
        <v>1.0</v>
      </c>
      <c r="I5474" s="11">
        <v>4.0</v>
      </c>
      <c r="J5474" s="11">
        <v>1.0</v>
      </c>
      <c r="K5474" s="11">
        <v>1.0</v>
      </c>
      <c r="L5474" s="12" t="s">
        <v>31</v>
      </c>
      <c r="M5474" s="10" t="s">
        <v>34105</v>
      </c>
      <c r="N5474" s="10" t="s">
        <v>34056</v>
      </c>
      <c r="O5474" s="12" t="s">
        <v>34057</v>
      </c>
      <c r="P5474" s="10" t="s">
        <v>34106</v>
      </c>
      <c r="Q5474" s="10" t="s">
        <v>34107</v>
      </c>
      <c r="R5474" s="10" t="s">
        <v>32274</v>
      </c>
      <c r="S5474" s="12" t="s">
        <v>34108</v>
      </c>
      <c r="T5474" s="10" t="s">
        <v>66</v>
      </c>
      <c r="U5474" s="12" t="s">
        <v>31</v>
      </c>
      <c r="V5474" s="10" t="s">
        <v>270</v>
      </c>
      <c r="W5474" s="10" t="s">
        <v>34109</v>
      </c>
      <c r="X5474" s="13" t="str">
        <f>HYPERLINK("https://my.pitchbook.com?p=340392-61P","View People Online")</f>
        <v>View People Online</v>
      </c>
    </row>
    <row r="5475">
      <c r="A5475" s="14" t="s">
        <v>34110</v>
      </c>
      <c r="B5475" s="14" t="s">
        <v>34111</v>
      </c>
      <c r="C5475" s="14" t="s">
        <v>1343</v>
      </c>
      <c r="D5475" s="14" t="s">
        <v>34112</v>
      </c>
      <c r="E5475" s="14" t="s">
        <v>34020</v>
      </c>
      <c r="F5475" s="14" t="s">
        <v>34103</v>
      </c>
      <c r="G5475" s="14" t="s">
        <v>34113</v>
      </c>
      <c r="H5475" s="15">
        <v>1.0</v>
      </c>
      <c r="I5475" s="15">
        <v>7.0</v>
      </c>
      <c r="J5475" s="15" t="s">
        <v>31</v>
      </c>
      <c r="K5475" s="15">
        <v>3.0</v>
      </c>
      <c r="L5475" s="16" t="s">
        <v>31</v>
      </c>
      <c r="M5475" s="14" t="s">
        <v>34114</v>
      </c>
      <c r="N5475" s="14" t="s">
        <v>1416</v>
      </c>
      <c r="O5475" s="16" t="s">
        <v>1417</v>
      </c>
      <c r="P5475" s="14" t="s">
        <v>31</v>
      </c>
      <c r="Q5475" s="14" t="s">
        <v>31</v>
      </c>
      <c r="R5475" s="14" t="s">
        <v>1420</v>
      </c>
      <c r="S5475" s="16" t="s">
        <v>31</v>
      </c>
      <c r="T5475" s="14" t="s">
        <v>66</v>
      </c>
      <c r="U5475" s="16" t="s">
        <v>31</v>
      </c>
      <c r="V5475" s="14" t="s">
        <v>34115</v>
      </c>
      <c r="W5475" s="14" t="s">
        <v>34020</v>
      </c>
      <c r="X5475" s="17" t="str">
        <f>HYPERLINK("https://my.pitchbook.com?p=13055-50P","View People Online")</f>
        <v>View People Online</v>
      </c>
    </row>
    <row r="5476">
      <c r="A5476" s="10" t="s">
        <v>34116</v>
      </c>
      <c r="B5476" s="10" t="s">
        <v>34117</v>
      </c>
      <c r="C5476" s="10" t="s">
        <v>1489</v>
      </c>
      <c r="D5476" s="10" t="s">
        <v>34118</v>
      </c>
      <c r="E5476" s="10" t="s">
        <v>34020</v>
      </c>
      <c r="F5476" s="10" t="s">
        <v>57</v>
      </c>
      <c r="G5476" s="10" t="s">
        <v>34119</v>
      </c>
      <c r="H5476" s="11">
        <v>4.0</v>
      </c>
      <c r="I5476" s="11">
        <v>31.0</v>
      </c>
      <c r="J5476" s="11">
        <v>3.0</v>
      </c>
      <c r="K5476" s="11">
        <v>21.0</v>
      </c>
      <c r="L5476" s="12" t="s">
        <v>31</v>
      </c>
      <c r="M5476" s="10" t="s">
        <v>34120</v>
      </c>
      <c r="N5476" s="10" t="s">
        <v>155</v>
      </c>
      <c r="O5476" s="12" t="s">
        <v>156</v>
      </c>
      <c r="P5476" s="10" t="s">
        <v>31</v>
      </c>
      <c r="Q5476" s="10" t="s">
        <v>31</v>
      </c>
      <c r="R5476" s="10" t="s">
        <v>64</v>
      </c>
      <c r="S5476" s="12" t="s">
        <v>24337</v>
      </c>
      <c r="T5476" s="10" t="s">
        <v>66</v>
      </c>
      <c r="U5476" s="12" t="s">
        <v>31</v>
      </c>
      <c r="V5476" s="10" t="s">
        <v>57</v>
      </c>
      <c r="W5476" s="10" t="s">
        <v>34020</v>
      </c>
      <c r="X5476" s="13" t="str">
        <f>HYPERLINK("https://my.pitchbook.com?p=31073-23P","View People Online")</f>
        <v>View People Online</v>
      </c>
    </row>
    <row r="5477">
      <c r="A5477" s="14" t="s">
        <v>34121</v>
      </c>
      <c r="B5477" s="14" t="s">
        <v>34122</v>
      </c>
      <c r="C5477" s="14" t="s">
        <v>1502</v>
      </c>
      <c r="D5477" s="14" t="s">
        <v>9709</v>
      </c>
      <c r="E5477" s="14" t="s">
        <v>34020</v>
      </c>
      <c r="F5477" s="14" t="s">
        <v>81</v>
      </c>
      <c r="G5477" s="14" t="s">
        <v>34123</v>
      </c>
      <c r="H5477" s="15" t="s">
        <v>31</v>
      </c>
      <c r="I5477" s="15">
        <v>1.0</v>
      </c>
      <c r="J5477" s="15" t="s">
        <v>31</v>
      </c>
      <c r="K5477" s="15" t="s">
        <v>31</v>
      </c>
      <c r="L5477" s="16" t="s">
        <v>31</v>
      </c>
      <c r="M5477" s="14" t="s">
        <v>31</v>
      </c>
      <c r="N5477" s="14" t="s">
        <v>1416</v>
      </c>
      <c r="O5477" s="16" t="s">
        <v>1417</v>
      </c>
      <c r="P5477" s="14" t="s">
        <v>31</v>
      </c>
      <c r="Q5477" s="14" t="s">
        <v>31</v>
      </c>
      <c r="R5477" s="14" t="s">
        <v>1420</v>
      </c>
      <c r="S5477" s="16" t="s">
        <v>31</v>
      </c>
      <c r="T5477" s="14" t="s">
        <v>66</v>
      </c>
      <c r="U5477" s="16" t="s">
        <v>31</v>
      </c>
      <c r="V5477" s="14" t="s">
        <v>81</v>
      </c>
      <c r="W5477" s="14" t="s">
        <v>34020</v>
      </c>
      <c r="X5477" s="17" t="str">
        <f>HYPERLINK("https://my.pitchbook.com?p=283974-22P","View People Online")</f>
        <v>View People Online</v>
      </c>
    </row>
    <row r="5478">
      <c r="A5478" s="10" t="s">
        <v>34124</v>
      </c>
      <c r="B5478" s="10" t="s">
        <v>34125</v>
      </c>
      <c r="C5478" s="10" t="s">
        <v>2288</v>
      </c>
      <c r="D5478" s="10" t="s">
        <v>8429</v>
      </c>
      <c r="E5478" s="10" t="s">
        <v>34020</v>
      </c>
      <c r="F5478" s="10" t="s">
        <v>81</v>
      </c>
      <c r="G5478" s="10" t="s">
        <v>34126</v>
      </c>
      <c r="H5478" s="11" t="s">
        <v>31</v>
      </c>
      <c r="I5478" s="11">
        <v>2.0</v>
      </c>
      <c r="J5478" s="11">
        <v>1.0</v>
      </c>
      <c r="K5478" s="11" t="s">
        <v>31</v>
      </c>
      <c r="L5478" s="12" t="s">
        <v>31</v>
      </c>
      <c r="M5478" s="10" t="s">
        <v>34127</v>
      </c>
      <c r="N5478" s="10" t="s">
        <v>1416</v>
      </c>
      <c r="O5478" s="12" t="s">
        <v>1417</v>
      </c>
      <c r="P5478" s="10" t="s">
        <v>31</v>
      </c>
      <c r="Q5478" s="10" t="s">
        <v>31</v>
      </c>
      <c r="R5478" s="10" t="s">
        <v>1420</v>
      </c>
      <c r="S5478" s="12" t="s">
        <v>31</v>
      </c>
      <c r="T5478" s="10" t="s">
        <v>66</v>
      </c>
      <c r="U5478" s="12" t="s">
        <v>31</v>
      </c>
      <c r="V5478" s="10" t="s">
        <v>674</v>
      </c>
      <c r="W5478" s="10" t="s">
        <v>34128</v>
      </c>
      <c r="X5478" s="13" t="str">
        <f>HYPERLINK("https://my.pitchbook.com?p=16555-69P","View People Online")</f>
        <v>View People Online</v>
      </c>
    </row>
    <row r="5479">
      <c r="A5479" s="14" t="s">
        <v>34129</v>
      </c>
      <c r="B5479" s="14" t="s">
        <v>34130</v>
      </c>
      <c r="C5479" s="14" t="s">
        <v>126</v>
      </c>
      <c r="D5479" s="14" t="s">
        <v>9451</v>
      </c>
      <c r="E5479" s="14" t="s">
        <v>34020</v>
      </c>
      <c r="F5479" s="14" t="s">
        <v>81</v>
      </c>
      <c r="G5479" s="14" t="s">
        <v>34131</v>
      </c>
      <c r="H5479" s="15">
        <v>8.0</v>
      </c>
      <c r="I5479" s="15">
        <v>11.0</v>
      </c>
      <c r="J5479" s="15">
        <v>2.0</v>
      </c>
      <c r="K5479" s="15" t="s">
        <v>31</v>
      </c>
      <c r="L5479" s="16" t="s">
        <v>34132</v>
      </c>
      <c r="M5479" s="14" t="s">
        <v>31</v>
      </c>
      <c r="N5479" s="14" t="s">
        <v>1781</v>
      </c>
      <c r="O5479" s="16" t="s">
        <v>1782</v>
      </c>
      <c r="P5479" s="14" t="s">
        <v>34133</v>
      </c>
      <c r="Q5479" s="14" t="s">
        <v>31</v>
      </c>
      <c r="R5479" s="14" t="s">
        <v>1785</v>
      </c>
      <c r="S5479" s="16" t="s">
        <v>34134</v>
      </c>
      <c r="T5479" s="14" t="s">
        <v>1019</v>
      </c>
      <c r="U5479" s="16" t="s">
        <v>31</v>
      </c>
      <c r="V5479" s="14" t="s">
        <v>2199</v>
      </c>
      <c r="W5479" s="14" t="s">
        <v>34135</v>
      </c>
      <c r="X5479" s="17" t="str">
        <f>HYPERLINK("https://my.pitchbook.com?p=60581-53P","View People Online")</f>
        <v>View People Online</v>
      </c>
    </row>
    <row r="5480">
      <c r="A5480" s="10" t="s">
        <v>34136</v>
      </c>
      <c r="B5480" s="10" t="s">
        <v>34137</v>
      </c>
      <c r="C5480" s="10" t="s">
        <v>934</v>
      </c>
      <c r="D5480" s="10" t="s">
        <v>34138</v>
      </c>
      <c r="E5480" s="10" t="s">
        <v>34020</v>
      </c>
      <c r="F5480" s="10" t="s">
        <v>9692</v>
      </c>
      <c r="G5480" s="10" t="s">
        <v>34139</v>
      </c>
      <c r="H5480" s="11" t="s">
        <v>31</v>
      </c>
      <c r="I5480" s="11">
        <v>4.0</v>
      </c>
      <c r="J5480" s="11">
        <v>2.0</v>
      </c>
      <c r="K5480" s="11">
        <v>2.0</v>
      </c>
      <c r="L5480" s="12" t="s">
        <v>34140</v>
      </c>
      <c r="M5480" s="10" t="s">
        <v>34141</v>
      </c>
      <c r="N5480" s="10" t="s">
        <v>1416</v>
      </c>
      <c r="O5480" s="12" t="s">
        <v>1417</v>
      </c>
      <c r="P5480" s="10" t="s">
        <v>31</v>
      </c>
      <c r="Q5480" s="10" t="s">
        <v>31</v>
      </c>
      <c r="R5480" s="10" t="s">
        <v>1420</v>
      </c>
      <c r="S5480" s="12" t="s">
        <v>31</v>
      </c>
      <c r="T5480" s="10" t="s">
        <v>66</v>
      </c>
      <c r="U5480" s="12" t="s">
        <v>31</v>
      </c>
      <c r="V5480" s="10" t="s">
        <v>9692</v>
      </c>
      <c r="W5480" s="10" t="s">
        <v>34020</v>
      </c>
      <c r="X5480" s="13" t="str">
        <f>HYPERLINK("https://my.pitchbook.com?p=27534-61P","View People Online")</f>
        <v>View People Online</v>
      </c>
    </row>
    <row r="5481">
      <c r="A5481" s="14" t="s">
        <v>34142</v>
      </c>
      <c r="B5481" s="14" t="s">
        <v>34143</v>
      </c>
      <c r="C5481" s="14" t="s">
        <v>34144</v>
      </c>
      <c r="D5481" s="14" t="s">
        <v>2432</v>
      </c>
      <c r="E5481" s="14" t="s">
        <v>34020</v>
      </c>
      <c r="F5481" s="14" t="s">
        <v>6993</v>
      </c>
      <c r="G5481" s="14" t="s">
        <v>34145</v>
      </c>
      <c r="H5481" s="15">
        <v>3.0</v>
      </c>
      <c r="I5481" s="15">
        <v>9.0</v>
      </c>
      <c r="J5481" s="15">
        <v>1.0</v>
      </c>
      <c r="K5481" s="15">
        <v>4.0</v>
      </c>
      <c r="L5481" s="16" t="s">
        <v>34146</v>
      </c>
      <c r="M5481" s="14" t="s">
        <v>34147</v>
      </c>
      <c r="N5481" s="14" t="s">
        <v>34095</v>
      </c>
      <c r="O5481" s="16" t="s">
        <v>34096</v>
      </c>
      <c r="P5481" s="14" t="s">
        <v>34097</v>
      </c>
      <c r="Q5481" s="14" t="s">
        <v>34098</v>
      </c>
      <c r="R5481" s="14" t="s">
        <v>64</v>
      </c>
      <c r="S5481" s="16" t="s">
        <v>34099</v>
      </c>
      <c r="T5481" s="14" t="s">
        <v>66</v>
      </c>
      <c r="U5481" s="16" t="s">
        <v>31</v>
      </c>
      <c r="V5481" s="14" t="s">
        <v>6993</v>
      </c>
      <c r="W5481" s="14" t="s">
        <v>34020</v>
      </c>
      <c r="X5481" s="17" t="str">
        <f>HYPERLINK("https://my.pitchbook.com?p=63914-05P","View People Online")</f>
        <v>View People Online</v>
      </c>
    </row>
    <row r="5482">
      <c r="A5482" s="2" t="s">
        <v>34148</v>
      </c>
      <c r="B5482" s="2" t="s">
        <v>34149</v>
      </c>
      <c r="C5482" s="2" t="s">
        <v>536</v>
      </c>
      <c r="D5482" s="2" t="s">
        <v>34150</v>
      </c>
      <c r="E5482" s="2" t="s">
        <v>34020</v>
      </c>
      <c r="F5482" s="2" t="s">
        <v>114</v>
      </c>
      <c r="G5482" s="2" t="s">
        <v>34151</v>
      </c>
      <c r="H5482" s="3" t="s">
        <v>31</v>
      </c>
      <c r="I5482" s="3">
        <v>3.0</v>
      </c>
      <c r="J5482" s="3">
        <v>2.0</v>
      </c>
      <c r="K5482" s="3">
        <v>1.0</v>
      </c>
      <c r="L5482" s="4" t="s">
        <v>34152</v>
      </c>
      <c r="M5482" s="2" t="s">
        <v>34153</v>
      </c>
      <c r="N5482" s="2" t="s">
        <v>10946</v>
      </c>
      <c r="O5482" s="4" t="s">
        <v>34154</v>
      </c>
      <c r="P5482" s="2" t="s">
        <v>34155</v>
      </c>
      <c r="Q5482" s="2" t="s">
        <v>6591</v>
      </c>
      <c r="R5482" s="2" t="s">
        <v>1112</v>
      </c>
      <c r="S5482" s="4" t="s">
        <v>34156</v>
      </c>
      <c r="T5482" s="2" t="s">
        <v>66</v>
      </c>
      <c r="U5482" s="4" t="s">
        <v>31</v>
      </c>
      <c r="V5482" s="2" t="s">
        <v>470</v>
      </c>
      <c r="W5482" s="2" t="s">
        <v>34084</v>
      </c>
      <c r="X5482" s="5" t="str">
        <f>HYPERLINK("https://my.pitchbook.com?p=121354-84P","View People Online")</f>
        <v>View People Online</v>
      </c>
    </row>
    <row r="5483">
      <c r="A5483" s="6" t="s">
        <v>34157</v>
      </c>
      <c r="B5483" s="6" t="s">
        <v>34158</v>
      </c>
      <c r="C5483" s="6" t="s">
        <v>536</v>
      </c>
      <c r="D5483" s="6" t="s">
        <v>562</v>
      </c>
      <c r="E5483" s="6" t="s">
        <v>34020</v>
      </c>
      <c r="F5483" s="6" t="s">
        <v>81</v>
      </c>
      <c r="G5483" s="6" t="s">
        <v>34159</v>
      </c>
      <c r="H5483" s="7">
        <v>2.0</v>
      </c>
      <c r="I5483" s="7">
        <v>8.0</v>
      </c>
      <c r="J5483" s="7">
        <v>1.0</v>
      </c>
      <c r="K5483" s="7">
        <v>4.0</v>
      </c>
      <c r="L5483" s="8" t="s">
        <v>31</v>
      </c>
      <c r="M5483" s="6" t="s">
        <v>31</v>
      </c>
      <c r="N5483" s="6" t="s">
        <v>34056</v>
      </c>
      <c r="O5483" s="8" t="s">
        <v>34057</v>
      </c>
      <c r="P5483" s="6" t="s">
        <v>34160</v>
      </c>
      <c r="Q5483" s="6" t="s">
        <v>31</v>
      </c>
      <c r="R5483" s="6" t="s">
        <v>32274</v>
      </c>
      <c r="S5483" s="8" t="s">
        <v>34108</v>
      </c>
      <c r="T5483" s="6" t="s">
        <v>66</v>
      </c>
      <c r="U5483" s="8" t="s">
        <v>31</v>
      </c>
      <c r="V5483" s="6" t="s">
        <v>29</v>
      </c>
      <c r="W5483" s="6" t="s">
        <v>34161</v>
      </c>
      <c r="X5483" s="9" t="str">
        <f>HYPERLINK("https://my.pitchbook.com?p=71286-76P","View People Online")</f>
        <v>View People Online</v>
      </c>
    </row>
    <row r="5484">
      <c r="A5484" s="10" t="s">
        <v>34162</v>
      </c>
      <c r="B5484" s="10" t="s">
        <v>34163</v>
      </c>
      <c r="C5484" s="10" t="s">
        <v>1013</v>
      </c>
      <c r="D5484" s="10" t="s">
        <v>13108</v>
      </c>
      <c r="E5484" s="10" t="s">
        <v>34020</v>
      </c>
      <c r="F5484" s="10" t="s">
        <v>81</v>
      </c>
      <c r="G5484" s="10" t="s">
        <v>34164</v>
      </c>
      <c r="H5484" s="11" t="s">
        <v>31</v>
      </c>
      <c r="I5484" s="11">
        <v>3.0</v>
      </c>
      <c r="J5484" s="11">
        <v>1.0</v>
      </c>
      <c r="K5484" s="11" t="s">
        <v>31</v>
      </c>
      <c r="L5484" s="12" t="s">
        <v>34165</v>
      </c>
      <c r="M5484" s="10" t="s">
        <v>34166</v>
      </c>
      <c r="N5484" s="10" t="s">
        <v>34167</v>
      </c>
      <c r="O5484" s="12" t="s">
        <v>34168</v>
      </c>
      <c r="P5484" s="10" t="s">
        <v>34169</v>
      </c>
      <c r="Q5484" s="10" t="s">
        <v>34170</v>
      </c>
      <c r="R5484" s="10" t="s">
        <v>1420</v>
      </c>
      <c r="S5484" s="12" t="s">
        <v>34171</v>
      </c>
      <c r="T5484" s="10" t="s">
        <v>66</v>
      </c>
      <c r="U5484" s="12" t="s">
        <v>31</v>
      </c>
      <c r="V5484" s="10" t="s">
        <v>34172</v>
      </c>
      <c r="W5484" s="10" t="s">
        <v>34173</v>
      </c>
      <c r="X5484" s="13" t="str">
        <f>HYPERLINK("https://my.pitchbook.com?p=88335-46P","View People Online")</f>
        <v>View People Online</v>
      </c>
    </row>
    <row r="5485">
      <c r="A5485" s="14" t="s">
        <v>34174</v>
      </c>
      <c r="B5485" s="14" t="s">
        <v>34175</v>
      </c>
      <c r="C5485" s="14" t="s">
        <v>2499</v>
      </c>
      <c r="D5485" s="14" t="s">
        <v>26891</v>
      </c>
      <c r="E5485" s="14" t="s">
        <v>34020</v>
      </c>
      <c r="F5485" s="14" t="s">
        <v>34103</v>
      </c>
      <c r="G5485" s="14" t="s">
        <v>34176</v>
      </c>
      <c r="H5485" s="15" t="s">
        <v>31</v>
      </c>
      <c r="I5485" s="15">
        <v>2.0</v>
      </c>
      <c r="J5485" s="15">
        <v>1.0</v>
      </c>
      <c r="K5485" s="15" t="s">
        <v>31</v>
      </c>
      <c r="L5485" s="16" t="s">
        <v>34177</v>
      </c>
      <c r="M5485" s="14" t="s">
        <v>34178</v>
      </c>
      <c r="N5485" s="14" t="s">
        <v>1416</v>
      </c>
      <c r="O5485" s="16" t="s">
        <v>1417</v>
      </c>
      <c r="P5485" s="14" t="s">
        <v>34179</v>
      </c>
      <c r="Q5485" s="14" t="s">
        <v>34180</v>
      </c>
      <c r="R5485" s="14" t="s">
        <v>1420</v>
      </c>
      <c r="S5485" s="16" t="s">
        <v>34181</v>
      </c>
      <c r="T5485" s="14" t="s">
        <v>66</v>
      </c>
      <c r="U5485" s="16" t="s">
        <v>31</v>
      </c>
      <c r="V5485" s="14" t="s">
        <v>34182</v>
      </c>
      <c r="W5485" s="14" t="s">
        <v>34183</v>
      </c>
      <c r="X5485" s="17" t="str">
        <f>HYPERLINK("https://my.pitchbook.com?p=70835-95P","View People Online")</f>
        <v>View People Online</v>
      </c>
    </row>
    <row r="5486">
      <c r="A5486" s="2" t="s">
        <v>34184</v>
      </c>
      <c r="B5486" s="2" t="s">
        <v>34185</v>
      </c>
      <c r="C5486" s="2" t="s">
        <v>34186</v>
      </c>
      <c r="D5486" s="2" t="s">
        <v>13640</v>
      </c>
      <c r="E5486" s="2" t="s">
        <v>34020</v>
      </c>
      <c r="F5486" s="2" t="s">
        <v>4192</v>
      </c>
      <c r="G5486" s="2" t="s">
        <v>34187</v>
      </c>
      <c r="H5486" s="3">
        <v>1.0</v>
      </c>
      <c r="I5486" s="3">
        <v>2.0</v>
      </c>
      <c r="J5486" s="3">
        <v>1.0</v>
      </c>
      <c r="K5486" s="3" t="s">
        <v>31</v>
      </c>
      <c r="L5486" s="4" t="s">
        <v>34188</v>
      </c>
      <c r="M5486" s="2" t="s">
        <v>34189</v>
      </c>
      <c r="N5486" s="2" t="s">
        <v>155</v>
      </c>
      <c r="O5486" s="4" t="s">
        <v>156</v>
      </c>
      <c r="P5486" s="2" t="s">
        <v>31</v>
      </c>
      <c r="Q5486" s="2" t="s">
        <v>31</v>
      </c>
      <c r="R5486" s="2" t="s">
        <v>64</v>
      </c>
      <c r="S5486" s="4" t="s">
        <v>24337</v>
      </c>
      <c r="T5486" s="2" t="s">
        <v>66</v>
      </c>
      <c r="U5486" s="4" t="s">
        <v>31</v>
      </c>
      <c r="V5486" s="2" t="s">
        <v>4192</v>
      </c>
      <c r="W5486" s="2" t="s">
        <v>34020</v>
      </c>
      <c r="X5486" s="5" t="str">
        <f>HYPERLINK("https://my.pitchbook.com?p=281834-29P","View People Online")</f>
        <v>View People Online</v>
      </c>
    </row>
    <row r="5487">
      <c r="A5487" s="14" t="s">
        <v>34190</v>
      </c>
      <c r="B5487" s="14" t="s">
        <v>34191</v>
      </c>
      <c r="C5487" s="14" t="s">
        <v>1982</v>
      </c>
      <c r="D5487" s="14" t="s">
        <v>11737</v>
      </c>
      <c r="E5487" s="14" t="s">
        <v>34192</v>
      </c>
      <c r="F5487" s="14" t="s">
        <v>189</v>
      </c>
      <c r="G5487" s="14" t="s">
        <v>34193</v>
      </c>
      <c r="H5487" s="15" t="s">
        <v>31</v>
      </c>
      <c r="I5487" s="15">
        <v>6.0</v>
      </c>
      <c r="J5487" s="15">
        <v>1.0</v>
      </c>
      <c r="K5487" s="15">
        <v>3.0</v>
      </c>
      <c r="L5487" s="16" t="s">
        <v>34194</v>
      </c>
      <c r="M5487" s="14" t="s">
        <v>34195</v>
      </c>
      <c r="N5487" s="14" t="s">
        <v>665</v>
      </c>
      <c r="O5487" s="16" t="s">
        <v>3857</v>
      </c>
      <c r="P5487" s="14" t="s">
        <v>31</v>
      </c>
      <c r="Q5487" s="14" t="s">
        <v>31</v>
      </c>
      <c r="R5487" s="14" t="s">
        <v>1420</v>
      </c>
      <c r="S5487" s="16" t="s">
        <v>31</v>
      </c>
      <c r="T5487" s="14" t="s">
        <v>66</v>
      </c>
      <c r="U5487" s="16" t="s">
        <v>31</v>
      </c>
      <c r="V5487" s="14" t="s">
        <v>34196</v>
      </c>
      <c r="W5487" s="14" t="s">
        <v>34192</v>
      </c>
      <c r="X5487" s="17" t="str">
        <f>HYPERLINK("https://my.pitchbook.com?p=42126-31P","View People Online")</f>
        <v>View People Online</v>
      </c>
    </row>
    <row r="5488">
      <c r="A5488" s="10" t="s">
        <v>34197</v>
      </c>
      <c r="B5488" s="10" t="s">
        <v>34198</v>
      </c>
      <c r="C5488" s="10" t="s">
        <v>7464</v>
      </c>
      <c r="D5488" s="10" t="s">
        <v>34199</v>
      </c>
      <c r="E5488" s="10" t="s">
        <v>34192</v>
      </c>
      <c r="F5488" s="10" t="s">
        <v>81</v>
      </c>
      <c r="G5488" s="10" t="s">
        <v>34200</v>
      </c>
      <c r="H5488" s="11" t="s">
        <v>31</v>
      </c>
      <c r="I5488" s="11">
        <v>5.0</v>
      </c>
      <c r="J5488" s="11" t="s">
        <v>31</v>
      </c>
      <c r="K5488" s="11">
        <v>3.0</v>
      </c>
      <c r="L5488" s="12" t="s">
        <v>34201</v>
      </c>
      <c r="M5488" s="10" t="s">
        <v>34202</v>
      </c>
      <c r="N5488" s="10" t="s">
        <v>1416</v>
      </c>
      <c r="O5488" s="12" t="s">
        <v>1417</v>
      </c>
      <c r="P5488" s="10" t="s">
        <v>34203</v>
      </c>
      <c r="Q5488" s="10" t="s">
        <v>31</v>
      </c>
      <c r="R5488" s="10" t="s">
        <v>1420</v>
      </c>
      <c r="S5488" s="12" t="s">
        <v>34204</v>
      </c>
      <c r="T5488" s="10" t="s">
        <v>66</v>
      </c>
      <c r="U5488" s="12" t="s">
        <v>31</v>
      </c>
      <c r="V5488" s="10" t="s">
        <v>2379</v>
      </c>
      <c r="W5488" s="10" t="s">
        <v>34205</v>
      </c>
      <c r="X5488" s="13" t="str">
        <f>HYPERLINK("https://my.pitchbook.com?p=89187-13P","View People Online")</f>
        <v>View People Online</v>
      </c>
    </row>
    <row r="5489">
      <c r="A5489" s="6" t="s">
        <v>34206</v>
      </c>
      <c r="B5489" s="6" t="s">
        <v>34207</v>
      </c>
      <c r="C5489" s="6" t="s">
        <v>34208</v>
      </c>
      <c r="D5489" s="6" t="s">
        <v>26271</v>
      </c>
      <c r="E5489" s="6" t="s">
        <v>34192</v>
      </c>
      <c r="F5489" s="6" t="s">
        <v>29</v>
      </c>
      <c r="G5489" s="6" t="s">
        <v>34209</v>
      </c>
      <c r="H5489" s="7" t="s">
        <v>31</v>
      </c>
      <c r="I5489" s="7">
        <v>1.0</v>
      </c>
      <c r="J5489" s="7">
        <v>1.0</v>
      </c>
      <c r="K5489" s="7" t="s">
        <v>31</v>
      </c>
      <c r="L5489" s="8" t="s">
        <v>34201</v>
      </c>
      <c r="M5489" s="6" t="s">
        <v>34210</v>
      </c>
      <c r="N5489" s="6" t="s">
        <v>1416</v>
      </c>
      <c r="O5489" s="8" t="s">
        <v>1417</v>
      </c>
      <c r="P5489" s="6" t="s">
        <v>34203</v>
      </c>
      <c r="Q5489" s="6" t="s">
        <v>31</v>
      </c>
      <c r="R5489" s="6" t="s">
        <v>1420</v>
      </c>
      <c r="S5489" s="8" t="s">
        <v>34204</v>
      </c>
      <c r="T5489" s="6" t="s">
        <v>66</v>
      </c>
      <c r="U5489" s="8" t="s">
        <v>31</v>
      </c>
      <c r="V5489" s="6" t="s">
        <v>29</v>
      </c>
      <c r="W5489" s="6" t="s">
        <v>34192</v>
      </c>
      <c r="X5489" s="9" t="str">
        <f>HYPERLINK("https://my.pitchbook.com?p=259956-19P","View People Online")</f>
        <v>View People Online</v>
      </c>
    </row>
    <row r="5490">
      <c r="A5490" s="2" t="s">
        <v>34211</v>
      </c>
      <c r="B5490" s="2" t="s">
        <v>34212</v>
      </c>
      <c r="C5490" s="2" t="s">
        <v>7028</v>
      </c>
      <c r="D5490" s="2" t="s">
        <v>34213</v>
      </c>
      <c r="E5490" s="2" t="s">
        <v>34192</v>
      </c>
      <c r="F5490" s="2" t="s">
        <v>29</v>
      </c>
      <c r="G5490" s="2" t="s">
        <v>34214</v>
      </c>
      <c r="H5490" s="3">
        <v>1.0</v>
      </c>
      <c r="I5490" s="3">
        <v>6.0</v>
      </c>
      <c r="J5490" s="3">
        <v>2.0</v>
      </c>
      <c r="K5490" s="3">
        <v>3.0</v>
      </c>
      <c r="L5490" s="4" t="s">
        <v>34215</v>
      </c>
      <c r="M5490" s="2" t="s">
        <v>34216</v>
      </c>
      <c r="N5490" s="2" t="s">
        <v>1416</v>
      </c>
      <c r="O5490" s="4" t="s">
        <v>1417</v>
      </c>
      <c r="P5490" s="2" t="s">
        <v>34203</v>
      </c>
      <c r="Q5490" s="2" t="s">
        <v>31</v>
      </c>
      <c r="R5490" s="2" t="s">
        <v>1420</v>
      </c>
      <c r="S5490" s="4" t="s">
        <v>34204</v>
      </c>
      <c r="T5490" s="2" t="s">
        <v>66</v>
      </c>
      <c r="U5490" s="4" t="s">
        <v>31</v>
      </c>
      <c r="V5490" s="2" t="s">
        <v>2379</v>
      </c>
      <c r="W5490" s="2" t="s">
        <v>34217</v>
      </c>
      <c r="X5490" s="5" t="str">
        <f>HYPERLINK("https://my.pitchbook.com?p=31287-52P","View People Online")</f>
        <v>View People Online</v>
      </c>
    </row>
    <row r="5491">
      <c r="A5491" s="14" t="s">
        <v>34218</v>
      </c>
      <c r="B5491" s="14" t="s">
        <v>34219</v>
      </c>
      <c r="C5491" s="14" t="s">
        <v>10383</v>
      </c>
      <c r="D5491" s="14" t="s">
        <v>34220</v>
      </c>
      <c r="E5491" s="14" t="s">
        <v>25634</v>
      </c>
      <c r="F5491" s="14" t="s">
        <v>43</v>
      </c>
      <c r="G5491" s="14" t="s">
        <v>34221</v>
      </c>
      <c r="H5491" s="15">
        <v>10.0</v>
      </c>
      <c r="I5491" s="15">
        <v>44.0</v>
      </c>
      <c r="J5491" s="15">
        <v>4.0</v>
      </c>
      <c r="K5491" s="15">
        <v>29.0</v>
      </c>
      <c r="L5491" s="16" t="s">
        <v>34222</v>
      </c>
      <c r="M5491" s="14" t="s">
        <v>34223</v>
      </c>
      <c r="N5491" s="14" t="s">
        <v>6669</v>
      </c>
      <c r="O5491" s="16" t="s">
        <v>6670</v>
      </c>
      <c r="P5491" s="14" t="s">
        <v>25633</v>
      </c>
      <c r="Q5491" s="14" t="s">
        <v>31</v>
      </c>
      <c r="R5491" s="14" t="s">
        <v>1185</v>
      </c>
      <c r="S5491" s="16" t="s">
        <v>6712</v>
      </c>
      <c r="T5491" s="14" t="s">
        <v>66</v>
      </c>
      <c r="U5491" s="16" t="s">
        <v>31</v>
      </c>
      <c r="V5491" s="14" t="s">
        <v>43</v>
      </c>
      <c r="W5491" s="14" t="s">
        <v>25634</v>
      </c>
      <c r="X5491" s="17" t="str">
        <f>HYPERLINK("https://my.pitchbook.com?p=58430-80P","View People Online")</f>
        <v>View People Online</v>
      </c>
    </row>
    <row r="5492">
      <c r="A5492" s="10" t="s">
        <v>34224</v>
      </c>
      <c r="B5492" s="10" t="s">
        <v>34225</v>
      </c>
      <c r="C5492" s="10" t="s">
        <v>10859</v>
      </c>
      <c r="D5492" s="10" t="s">
        <v>34226</v>
      </c>
      <c r="E5492" s="10" t="s">
        <v>25634</v>
      </c>
      <c r="F5492" s="10" t="s">
        <v>371</v>
      </c>
      <c r="G5492" s="10" t="s">
        <v>34227</v>
      </c>
      <c r="H5492" s="11" t="s">
        <v>31</v>
      </c>
      <c r="I5492" s="11">
        <v>1.0</v>
      </c>
      <c r="J5492" s="11">
        <v>1.0</v>
      </c>
      <c r="K5492" s="11" t="s">
        <v>31</v>
      </c>
      <c r="L5492" s="12" t="s">
        <v>34228</v>
      </c>
      <c r="M5492" s="10" t="s">
        <v>34229</v>
      </c>
      <c r="N5492" s="10" t="s">
        <v>6669</v>
      </c>
      <c r="O5492" s="12" t="s">
        <v>6670</v>
      </c>
      <c r="P5492" s="10" t="s">
        <v>25633</v>
      </c>
      <c r="Q5492" s="10" t="s">
        <v>31</v>
      </c>
      <c r="R5492" s="10" t="s">
        <v>1185</v>
      </c>
      <c r="S5492" s="12" t="s">
        <v>6712</v>
      </c>
      <c r="T5492" s="10" t="s">
        <v>66</v>
      </c>
      <c r="U5492" s="12" t="s">
        <v>31</v>
      </c>
      <c r="V5492" s="10" t="s">
        <v>34230</v>
      </c>
      <c r="W5492" s="10" t="s">
        <v>25634</v>
      </c>
      <c r="X5492" s="13" t="str">
        <f>HYPERLINK("https://my.pitchbook.com?p=13881-70P","View People Online")</f>
        <v>View People Online</v>
      </c>
    </row>
    <row r="5493">
      <c r="A5493" s="14" t="s">
        <v>25627</v>
      </c>
      <c r="B5493" s="14" t="s">
        <v>25628</v>
      </c>
      <c r="C5493" s="14" t="s">
        <v>581</v>
      </c>
      <c r="D5493" s="14" t="s">
        <v>25629</v>
      </c>
      <c r="E5493" s="14" t="s">
        <v>25634</v>
      </c>
      <c r="F5493" s="14" t="s">
        <v>120</v>
      </c>
      <c r="G5493" s="14" t="s">
        <v>25630</v>
      </c>
      <c r="H5493" s="15" t="s">
        <v>31</v>
      </c>
      <c r="I5493" s="15">
        <v>9.0</v>
      </c>
      <c r="J5493" s="15">
        <v>1.0</v>
      </c>
      <c r="K5493" s="15">
        <v>6.0</v>
      </c>
      <c r="L5493" s="16" t="s">
        <v>25631</v>
      </c>
      <c r="M5493" s="14" t="s">
        <v>25632</v>
      </c>
      <c r="N5493" s="14" t="s">
        <v>6669</v>
      </c>
      <c r="O5493" s="16" t="s">
        <v>6670</v>
      </c>
      <c r="P5493" s="14" t="s">
        <v>25633</v>
      </c>
      <c r="Q5493" s="14" t="s">
        <v>31</v>
      </c>
      <c r="R5493" s="14" t="s">
        <v>1185</v>
      </c>
      <c r="S5493" s="16" t="s">
        <v>6712</v>
      </c>
      <c r="T5493" s="14" t="s">
        <v>66</v>
      </c>
      <c r="U5493" s="16" t="s">
        <v>31</v>
      </c>
      <c r="V5493" s="14" t="s">
        <v>120</v>
      </c>
      <c r="W5493" s="14" t="s">
        <v>25634</v>
      </c>
      <c r="X5493" s="17" t="str">
        <f>HYPERLINK("https://my.pitchbook.com?p=51188-77P","View People Online")</f>
        <v>View People Online</v>
      </c>
    </row>
    <row r="5494">
      <c r="A5494" s="2" t="s">
        <v>34231</v>
      </c>
      <c r="B5494" s="2" t="s">
        <v>34232</v>
      </c>
      <c r="C5494" s="2" t="s">
        <v>69</v>
      </c>
      <c r="D5494" s="2" t="s">
        <v>34233</v>
      </c>
      <c r="E5494" s="2" t="s">
        <v>25634</v>
      </c>
      <c r="F5494" s="2" t="s">
        <v>120</v>
      </c>
      <c r="G5494" s="2" t="s">
        <v>34234</v>
      </c>
      <c r="H5494" s="3" t="s">
        <v>31</v>
      </c>
      <c r="I5494" s="3">
        <v>2.0</v>
      </c>
      <c r="J5494" s="3">
        <v>2.0</v>
      </c>
      <c r="K5494" s="3" t="s">
        <v>31</v>
      </c>
      <c r="L5494" s="4" t="s">
        <v>31</v>
      </c>
      <c r="M5494" s="2" t="s">
        <v>34235</v>
      </c>
      <c r="N5494" s="2" t="s">
        <v>28369</v>
      </c>
      <c r="O5494" s="4" t="s">
        <v>28370</v>
      </c>
      <c r="P5494" s="2" t="s">
        <v>34236</v>
      </c>
      <c r="Q5494" s="2" t="s">
        <v>34237</v>
      </c>
      <c r="R5494" s="2" t="s">
        <v>1185</v>
      </c>
      <c r="S5494" s="4" t="s">
        <v>34238</v>
      </c>
      <c r="T5494" s="2" t="s">
        <v>66</v>
      </c>
      <c r="U5494" s="4" t="s">
        <v>31</v>
      </c>
      <c r="V5494" s="2" t="s">
        <v>2974</v>
      </c>
      <c r="W5494" s="2" t="s">
        <v>34239</v>
      </c>
      <c r="X5494" s="5" t="str">
        <f>HYPERLINK("https://my.pitchbook.com?p=425334-16P","View People Online")</f>
        <v>View People Online</v>
      </c>
    </row>
    <row r="5495">
      <c r="A5495" s="6" t="s">
        <v>34240</v>
      </c>
      <c r="B5495" s="6" t="s">
        <v>34241</v>
      </c>
      <c r="C5495" s="6" t="s">
        <v>1449</v>
      </c>
      <c r="D5495" s="6" t="s">
        <v>5959</v>
      </c>
      <c r="E5495" s="6" t="s">
        <v>25634</v>
      </c>
      <c r="F5495" s="6" t="s">
        <v>81</v>
      </c>
      <c r="G5495" s="6" t="s">
        <v>34242</v>
      </c>
      <c r="H5495" s="7">
        <v>1.0</v>
      </c>
      <c r="I5495" s="7">
        <v>2.0</v>
      </c>
      <c r="J5495" s="7" t="s">
        <v>31</v>
      </c>
      <c r="K5495" s="7" t="s">
        <v>31</v>
      </c>
      <c r="L5495" s="8" t="s">
        <v>34243</v>
      </c>
      <c r="M5495" s="6" t="s">
        <v>31</v>
      </c>
      <c r="N5495" s="6" t="s">
        <v>34244</v>
      </c>
      <c r="O5495" s="8" t="s">
        <v>34245</v>
      </c>
      <c r="P5495" s="6" t="s">
        <v>34246</v>
      </c>
      <c r="Q5495" s="6" t="s">
        <v>6654</v>
      </c>
      <c r="R5495" s="6" t="s">
        <v>64</v>
      </c>
      <c r="S5495" s="8" t="s">
        <v>34247</v>
      </c>
      <c r="T5495" s="6" t="s">
        <v>66</v>
      </c>
      <c r="U5495" s="8" t="s">
        <v>31</v>
      </c>
      <c r="V5495" s="6" t="s">
        <v>2379</v>
      </c>
      <c r="W5495" s="6" t="s">
        <v>34248</v>
      </c>
      <c r="X5495" s="9" t="str">
        <f>HYPERLINK("https://my.pitchbook.com?p=271682-38P","View People Online")</f>
        <v>View People Online</v>
      </c>
    </row>
    <row r="5496">
      <c r="A5496" s="10" t="s">
        <v>34249</v>
      </c>
      <c r="B5496" s="10" t="s">
        <v>34250</v>
      </c>
      <c r="C5496" s="10" t="s">
        <v>34251</v>
      </c>
      <c r="D5496" s="10" t="s">
        <v>10601</v>
      </c>
      <c r="E5496" s="10" t="s">
        <v>25634</v>
      </c>
      <c r="F5496" s="10" t="s">
        <v>221</v>
      </c>
      <c r="G5496" s="10" t="s">
        <v>34252</v>
      </c>
      <c r="H5496" s="11" t="s">
        <v>31</v>
      </c>
      <c r="I5496" s="11">
        <v>1.0</v>
      </c>
      <c r="J5496" s="11">
        <v>1.0</v>
      </c>
      <c r="K5496" s="11" t="s">
        <v>31</v>
      </c>
      <c r="L5496" s="12" t="s">
        <v>34222</v>
      </c>
      <c r="M5496" s="10" t="s">
        <v>34253</v>
      </c>
      <c r="N5496" s="10" t="s">
        <v>6669</v>
      </c>
      <c r="O5496" s="12" t="s">
        <v>6670</v>
      </c>
      <c r="P5496" s="10" t="s">
        <v>25633</v>
      </c>
      <c r="Q5496" s="10" t="s">
        <v>31</v>
      </c>
      <c r="R5496" s="10" t="s">
        <v>1185</v>
      </c>
      <c r="S5496" s="12" t="s">
        <v>6712</v>
      </c>
      <c r="T5496" s="10" t="s">
        <v>66</v>
      </c>
      <c r="U5496" s="12" t="s">
        <v>31</v>
      </c>
      <c r="V5496" s="10" t="s">
        <v>221</v>
      </c>
      <c r="W5496" s="10" t="s">
        <v>25634</v>
      </c>
      <c r="X5496" s="13" t="str">
        <f>HYPERLINK("https://my.pitchbook.com?p=450345-07P","View People Online")</f>
        <v>View People Online</v>
      </c>
    </row>
    <row r="5497">
      <c r="A5497" s="6" t="s">
        <v>34254</v>
      </c>
      <c r="B5497" s="6" t="s">
        <v>34255</v>
      </c>
      <c r="C5497" s="6" t="s">
        <v>34256</v>
      </c>
      <c r="D5497" s="6" t="s">
        <v>34257</v>
      </c>
      <c r="E5497" s="6" t="s">
        <v>25634</v>
      </c>
      <c r="F5497" s="6" t="s">
        <v>34258</v>
      </c>
      <c r="G5497" s="6" t="s">
        <v>34259</v>
      </c>
      <c r="H5497" s="7">
        <v>1.0</v>
      </c>
      <c r="I5497" s="7">
        <v>2.0</v>
      </c>
      <c r="J5497" s="7">
        <v>1.0</v>
      </c>
      <c r="K5497" s="7" t="s">
        <v>31</v>
      </c>
      <c r="L5497" s="8" t="s">
        <v>34228</v>
      </c>
      <c r="M5497" s="6" t="s">
        <v>34260</v>
      </c>
      <c r="N5497" s="6" t="s">
        <v>6669</v>
      </c>
      <c r="O5497" s="8" t="s">
        <v>6670</v>
      </c>
      <c r="P5497" s="6" t="s">
        <v>25633</v>
      </c>
      <c r="Q5497" s="6" t="s">
        <v>31</v>
      </c>
      <c r="R5497" s="6" t="s">
        <v>1185</v>
      </c>
      <c r="S5497" s="8" t="s">
        <v>6712</v>
      </c>
      <c r="T5497" s="6" t="s">
        <v>66</v>
      </c>
      <c r="U5497" s="8" t="s">
        <v>31</v>
      </c>
      <c r="V5497" s="6" t="s">
        <v>34261</v>
      </c>
      <c r="W5497" s="6" t="s">
        <v>25634</v>
      </c>
      <c r="X5497" s="9" t="str">
        <f>HYPERLINK("https://my.pitchbook.com?p=208483-12P","View People Online")</f>
        <v>View People Online</v>
      </c>
    </row>
    <row r="5498">
      <c r="A5498" s="2" t="s">
        <v>34262</v>
      </c>
      <c r="B5498" s="2" t="s">
        <v>34263</v>
      </c>
      <c r="C5498" s="2" t="s">
        <v>4332</v>
      </c>
      <c r="D5498" s="2" t="s">
        <v>34264</v>
      </c>
      <c r="E5498" s="2" t="s">
        <v>25634</v>
      </c>
      <c r="F5498" s="2" t="s">
        <v>120</v>
      </c>
      <c r="G5498" s="2" t="s">
        <v>34265</v>
      </c>
      <c r="H5498" s="3" t="s">
        <v>31</v>
      </c>
      <c r="I5498" s="3">
        <v>10.0</v>
      </c>
      <c r="J5498" s="3">
        <v>2.0</v>
      </c>
      <c r="K5498" s="3">
        <v>8.0</v>
      </c>
      <c r="L5498" s="4" t="s">
        <v>34266</v>
      </c>
      <c r="M5498" s="2" t="s">
        <v>34267</v>
      </c>
      <c r="N5498" s="2" t="s">
        <v>75</v>
      </c>
      <c r="O5498" s="4" t="s">
        <v>76</v>
      </c>
      <c r="P5498" s="2" t="s">
        <v>34268</v>
      </c>
      <c r="Q5498" s="2" t="s">
        <v>31</v>
      </c>
      <c r="R5498" s="2" t="s">
        <v>75</v>
      </c>
      <c r="S5498" s="4" t="s">
        <v>4581</v>
      </c>
      <c r="T5498" s="2" t="s">
        <v>66</v>
      </c>
      <c r="U5498" s="4" t="s">
        <v>31</v>
      </c>
      <c r="V5498" s="2" t="s">
        <v>34269</v>
      </c>
      <c r="W5498" s="2" t="s">
        <v>34270</v>
      </c>
      <c r="X5498" s="5" t="str">
        <f>HYPERLINK("https://my.pitchbook.com?p=47940-40P","View People Online")</f>
        <v>View People Online</v>
      </c>
    </row>
    <row r="5499">
      <c r="A5499" s="14" t="s">
        <v>34271</v>
      </c>
      <c r="B5499" s="14" t="s">
        <v>34272</v>
      </c>
      <c r="C5499" s="14" t="s">
        <v>10295</v>
      </c>
      <c r="D5499" s="14" t="s">
        <v>34273</v>
      </c>
      <c r="E5499" s="14" t="s">
        <v>25634</v>
      </c>
      <c r="F5499" s="14" t="s">
        <v>583</v>
      </c>
      <c r="G5499" s="14" t="s">
        <v>34274</v>
      </c>
      <c r="H5499" s="15">
        <v>2.0</v>
      </c>
      <c r="I5499" s="15">
        <v>3.0</v>
      </c>
      <c r="J5499" s="15">
        <v>1.0</v>
      </c>
      <c r="K5499" s="15" t="s">
        <v>31</v>
      </c>
      <c r="L5499" s="16" t="s">
        <v>34275</v>
      </c>
      <c r="M5499" s="14" t="s">
        <v>34276</v>
      </c>
      <c r="N5499" s="14" t="s">
        <v>6669</v>
      </c>
      <c r="O5499" s="16" t="s">
        <v>6670</v>
      </c>
      <c r="P5499" s="14" t="s">
        <v>34277</v>
      </c>
      <c r="Q5499" s="14" t="s">
        <v>31</v>
      </c>
      <c r="R5499" s="14" t="s">
        <v>1185</v>
      </c>
      <c r="S5499" s="16" t="s">
        <v>1709</v>
      </c>
      <c r="T5499" s="14" t="s">
        <v>66</v>
      </c>
      <c r="U5499" s="16" t="s">
        <v>31</v>
      </c>
      <c r="V5499" s="14" t="s">
        <v>2379</v>
      </c>
      <c r="W5499" s="14" t="s">
        <v>34278</v>
      </c>
      <c r="X5499" s="17" t="str">
        <f>HYPERLINK("https://my.pitchbook.com?p=50025-97P","View People Online")</f>
        <v>View People Online</v>
      </c>
    </row>
    <row r="5500">
      <c r="A5500" s="10" t="s">
        <v>34279</v>
      </c>
      <c r="B5500" s="10" t="s">
        <v>34280</v>
      </c>
      <c r="C5500" s="10" t="s">
        <v>823</v>
      </c>
      <c r="D5500" s="10" t="s">
        <v>34281</v>
      </c>
      <c r="E5500" s="10" t="s">
        <v>25634</v>
      </c>
      <c r="F5500" s="10" t="s">
        <v>29</v>
      </c>
      <c r="G5500" s="10" t="s">
        <v>34282</v>
      </c>
      <c r="H5500" s="11">
        <v>2.0</v>
      </c>
      <c r="I5500" s="11">
        <v>22.0</v>
      </c>
      <c r="J5500" s="11">
        <v>2.0</v>
      </c>
      <c r="K5500" s="11">
        <v>14.0</v>
      </c>
      <c r="L5500" s="12" t="s">
        <v>34283</v>
      </c>
      <c r="M5500" s="10" t="s">
        <v>34284</v>
      </c>
      <c r="N5500" s="10" t="s">
        <v>6669</v>
      </c>
      <c r="O5500" s="12" t="s">
        <v>6670</v>
      </c>
      <c r="P5500" s="10" t="s">
        <v>25633</v>
      </c>
      <c r="Q5500" s="10" t="s">
        <v>31</v>
      </c>
      <c r="R5500" s="10" t="s">
        <v>1185</v>
      </c>
      <c r="S5500" s="12" t="s">
        <v>6712</v>
      </c>
      <c r="T5500" s="10" t="s">
        <v>66</v>
      </c>
      <c r="U5500" s="12" t="s">
        <v>31</v>
      </c>
      <c r="V5500" s="10" t="s">
        <v>34285</v>
      </c>
      <c r="W5500" s="10" t="s">
        <v>25634</v>
      </c>
      <c r="X5500" s="13" t="str">
        <f>HYPERLINK("https://my.pitchbook.com?p=13739-86P","View People Online")</f>
        <v>View People Online</v>
      </c>
    </row>
    <row r="5501">
      <c r="A5501" s="14" t="s">
        <v>34286</v>
      </c>
      <c r="B5501" s="14" t="s">
        <v>34287</v>
      </c>
      <c r="C5501" s="14" t="s">
        <v>3977</v>
      </c>
      <c r="D5501" s="14" t="s">
        <v>34288</v>
      </c>
      <c r="E5501" s="14" t="s">
        <v>25634</v>
      </c>
      <c r="F5501" s="14" t="s">
        <v>26897</v>
      </c>
      <c r="G5501" s="14" t="s">
        <v>34289</v>
      </c>
      <c r="H5501" s="15" t="s">
        <v>31</v>
      </c>
      <c r="I5501" s="15">
        <v>2.0</v>
      </c>
      <c r="J5501" s="15">
        <v>2.0</v>
      </c>
      <c r="K5501" s="15" t="s">
        <v>31</v>
      </c>
      <c r="L5501" s="16" t="s">
        <v>31</v>
      </c>
      <c r="M5501" s="14" t="s">
        <v>31</v>
      </c>
      <c r="N5501" s="14" t="s">
        <v>775</v>
      </c>
      <c r="O5501" s="16" t="s">
        <v>776</v>
      </c>
      <c r="P5501" s="14" t="s">
        <v>31</v>
      </c>
      <c r="Q5501" s="14" t="s">
        <v>31</v>
      </c>
      <c r="R5501" s="14" t="s">
        <v>64</v>
      </c>
      <c r="S5501" s="16" t="s">
        <v>31</v>
      </c>
      <c r="T5501" s="14" t="s">
        <v>66</v>
      </c>
      <c r="U5501" s="16" t="s">
        <v>31</v>
      </c>
      <c r="V5501" s="14" t="s">
        <v>157</v>
      </c>
      <c r="W5501" s="14" t="s">
        <v>34290</v>
      </c>
      <c r="X5501" s="17" t="str">
        <f>HYPERLINK("https://my.pitchbook.com?p=295536-25P","View People Online")</f>
        <v>View People Online</v>
      </c>
    </row>
    <row r="5502">
      <c r="A5502" s="2" t="s">
        <v>34291</v>
      </c>
      <c r="B5502" s="2" t="s">
        <v>34292</v>
      </c>
      <c r="C5502" s="2" t="s">
        <v>34293</v>
      </c>
      <c r="D5502" s="2" t="s">
        <v>34294</v>
      </c>
      <c r="E5502" s="2" t="s">
        <v>25634</v>
      </c>
      <c r="F5502" s="2" t="s">
        <v>3710</v>
      </c>
      <c r="G5502" s="2" t="s">
        <v>34295</v>
      </c>
      <c r="H5502" s="3" t="s">
        <v>31</v>
      </c>
      <c r="I5502" s="3">
        <v>1.0</v>
      </c>
      <c r="J5502" s="3">
        <v>1.0</v>
      </c>
      <c r="K5502" s="3" t="s">
        <v>31</v>
      </c>
      <c r="L5502" s="4" t="s">
        <v>34222</v>
      </c>
      <c r="M5502" s="2" t="s">
        <v>34296</v>
      </c>
      <c r="N5502" s="2" t="s">
        <v>6669</v>
      </c>
      <c r="O5502" s="4" t="s">
        <v>6670</v>
      </c>
      <c r="P5502" s="2" t="s">
        <v>25633</v>
      </c>
      <c r="Q5502" s="2" t="s">
        <v>31</v>
      </c>
      <c r="R5502" s="2" t="s">
        <v>1185</v>
      </c>
      <c r="S5502" s="4" t="s">
        <v>6712</v>
      </c>
      <c r="T5502" s="2" t="s">
        <v>66</v>
      </c>
      <c r="U5502" s="4" t="s">
        <v>31</v>
      </c>
      <c r="V5502" s="2" t="s">
        <v>3710</v>
      </c>
      <c r="W5502" s="2" t="s">
        <v>25634</v>
      </c>
      <c r="X5502" s="5" t="str">
        <f>HYPERLINK("https://my.pitchbook.com?p=450341-02P","View People Online")</f>
        <v>View People Online</v>
      </c>
    </row>
    <row r="5503">
      <c r="A5503" s="6" t="s">
        <v>34297</v>
      </c>
      <c r="B5503" s="6" t="s">
        <v>34298</v>
      </c>
      <c r="C5503" s="6" t="s">
        <v>5092</v>
      </c>
      <c r="D5503" s="6" t="s">
        <v>20958</v>
      </c>
      <c r="E5503" s="6" t="s">
        <v>25634</v>
      </c>
      <c r="F5503" s="6" t="s">
        <v>25083</v>
      </c>
      <c r="G5503" s="6" t="s">
        <v>34299</v>
      </c>
      <c r="H5503" s="7">
        <v>8.0</v>
      </c>
      <c r="I5503" s="7">
        <v>94.0</v>
      </c>
      <c r="J5503" s="7">
        <v>2.0</v>
      </c>
      <c r="K5503" s="7">
        <v>73.0</v>
      </c>
      <c r="L5503" s="8" t="s">
        <v>34228</v>
      </c>
      <c r="M5503" s="6" t="s">
        <v>34300</v>
      </c>
      <c r="N5503" s="6" t="s">
        <v>6669</v>
      </c>
      <c r="O5503" s="8" t="s">
        <v>6670</v>
      </c>
      <c r="P5503" s="6" t="s">
        <v>25633</v>
      </c>
      <c r="Q5503" s="6" t="s">
        <v>31</v>
      </c>
      <c r="R5503" s="6" t="s">
        <v>1185</v>
      </c>
      <c r="S5503" s="8" t="s">
        <v>6712</v>
      </c>
      <c r="T5503" s="6" t="s">
        <v>66</v>
      </c>
      <c r="U5503" s="8" t="s">
        <v>31</v>
      </c>
      <c r="V5503" s="6" t="s">
        <v>25083</v>
      </c>
      <c r="W5503" s="6" t="s">
        <v>25634</v>
      </c>
      <c r="X5503" s="9" t="str">
        <f>HYPERLINK("https://my.pitchbook.com?p=42005-62P","View People Online")</f>
        <v>View People Online</v>
      </c>
    </row>
    <row r="5504">
      <c r="A5504" s="10" t="s">
        <v>34301</v>
      </c>
      <c r="B5504" s="10" t="s">
        <v>34302</v>
      </c>
      <c r="C5504" s="10" t="s">
        <v>5113</v>
      </c>
      <c r="D5504" s="10" t="s">
        <v>21299</v>
      </c>
      <c r="E5504" s="10" t="s">
        <v>25634</v>
      </c>
      <c r="F5504" s="10" t="s">
        <v>152</v>
      </c>
      <c r="G5504" s="10" t="s">
        <v>34303</v>
      </c>
      <c r="H5504" s="11" t="s">
        <v>31</v>
      </c>
      <c r="I5504" s="11">
        <v>3.0</v>
      </c>
      <c r="J5504" s="11">
        <v>2.0</v>
      </c>
      <c r="K5504" s="11" t="s">
        <v>31</v>
      </c>
      <c r="L5504" s="12" t="s">
        <v>31</v>
      </c>
      <c r="M5504" s="10" t="s">
        <v>31</v>
      </c>
      <c r="N5504" s="10" t="s">
        <v>31</v>
      </c>
      <c r="O5504" s="12" t="s">
        <v>34304</v>
      </c>
      <c r="P5504" s="10" t="s">
        <v>31</v>
      </c>
      <c r="Q5504" s="10" t="s">
        <v>31</v>
      </c>
      <c r="R5504" s="10" t="s">
        <v>1185</v>
      </c>
      <c r="S5504" s="12" t="s">
        <v>31</v>
      </c>
      <c r="T5504" s="10" t="s">
        <v>66</v>
      </c>
      <c r="U5504" s="12" t="s">
        <v>31</v>
      </c>
      <c r="V5504" s="10" t="s">
        <v>81</v>
      </c>
      <c r="W5504" s="10" t="s">
        <v>34305</v>
      </c>
      <c r="X5504" s="13" t="str">
        <f>HYPERLINK("https://my.pitchbook.com?p=375802-84P","View People Online")</f>
        <v>View People Online</v>
      </c>
    </row>
    <row r="5505">
      <c r="A5505" s="14" t="s">
        <v>34306</v>
      </c>
      <c r="B5505" s="14" t="s">
        <v>34307</v>
      </c>
      <c r="C5505" s="14" t="s">
        <v>25014</v>
      </c>
      <c r="D5505" s="14" t="s">
        <v>34308</v>
      </c>
      <c r="E5505" s="14" t="s">
        <v>25634</v>
      </c>
      <c r="F5505" s="14" t="s">
        <v>201</v>
      </c>
      <c r="G5505" s="14" t="s">
        <v>34309</v>
      </c>
      <c r="H5505" s="15" t="s">
        <v>31</v>
      </c>
      <c r="I5505" s="15">
        <v>1.0</v>
      </c>
      <c r="J5505" s="15">
        <v>1.0</v>
      </c>
      <c r="K5505" s="15" t="s">
        <v>31</v>
      </c>
      <c r="L5505" s="16" t="s">
        <v>34222</v>
      </c>
      <c r="M5505" s="14" t="s">
        <v>34310</v>
      </c>
      <c r="N5505" s="14" t="s">
        <v>6669</v>
      </c>
      <c r="O5505" s="16" t="s">
        <v>6670</v>
      </c>
      <c r="P5505" s="14" t="s">
        <v>25633</v>
      </c>
      <c r="Q5505" s="14" t="s">
        <v>31</v>
      </c>
      <c r="R5505" s="14" t="s">
        <v>1185</v>
      </c>
      <c r="S5505" s="16" t="s">
        <v>6712</v>
      </c>
      <c r="T5505" s="14" t="s">
        <v>66</v>
      </c>
      <c r="U5505" s="16" t="s">
        <v>31</v>
      </c>
      <c r="V5505" s="14" t="s">
        <v>201</v>
      </c>
      <c r="W5505" s="14" t="s">
        <v>25634</v>
      </c>
      <c r="X5505" s="17" t="str">
        <f>HYPERLINK("https://my.pitchbook.com?p=404686-36P","View People Online")</f>
        <v>View People Online</v>
      </c>
    </row>
    <row r="5506">
      <c r="A5506" s="10" t="s">
        <v>34311</v>
      </c>
      <c r="B5506" s="10" t="s">
        <v>34312</v>
      </c>
      <c r="C5506" s="10" t="s">
        <v>126</v>
      </c>
      <c r="D5506" s="10" t="s">
        <v>34313</v>
      </c>
      <c r="E5506" s="10" t="s">
        <v>25634</v>
      </c>
      <c r="F5506" s="10" t="s">
        <v>43</v>
      </c>
      <c r="G5506" s="10" t="s">
        <v>34314</v>
      </c>
      <c r="H5506" s="11">
        <v>4.0</v>
      </c>
      <c r="I5506" s="11">
        <v>17.0</v>
      </c>
      <c r="J5506" s="11">
        <v>1.0</v>
      </c>
      <c r="K5506" s="11">
        <v>10.0</v>
      </c>
      <c r="L5506" s="12" t="s">
        <v>34228</v>
      </c>
      <c r="M5506" s="10" t="s">
        <v>34315</v>
      </c>
      <c r="N5506" s="10" t="s">
        <v>6669</v>
      </c>
      <c r="O5506" s="12" t="s">
        <v>6670</v>
      </c>
      <c r="P5506" s="10" t="s">
        <v>25633</v>
      </c>
      <c r="Q5506" s="10" t="s">
        <v>31</v>
      </c>
      <c r="R5506" s="10" t="s">
        <v>1185</v>
      </c>
      <c r="S5506" s="12" t="s">
        <v>6712</v>
      </c>
      <c r="T5506" s="10" t="s">
        <v>66</v>
      </c>
      <c r="U5506" s="12" t="s">
        <v>31</v>
      </c>
      <c r="V5506" s="10" t="s">
        <v>43</v>
      </c>
      <c r="W5506" s="10" t="s">
        <v>25634</v>
      </c>
      <c r="X5506" s="13" t="str">
        <f>HYPERLINK("https://my.pitchbook.com?p=49790-53P","View People Online")</f>
        <v>View People Online</v>
      </c>
    </row>
    <row r="5507">
      <c r="A5507" s="14" t="s">
        <v>34316</v>
      </c>
      <c r="B5507" s="14" t="s">
        <v>34317</v>
      </c>
      <c r="C5507" s="14" t="s">
        <v>12005</v>
      </c>
      <c r="D5507" s="14" t="s">
        <v>34318</v>
      </c>
      <c r="E5507" s="14" t="s">
        <v>25634</v>
      </c>
      <c r="F5507" s="14" t="s">
        <v>371</v>
      </c>
      <c r="G5507" s="14" t="s">
        <v>34319</v>
      </c>
      <c r="H5507" s="15" t="s">
        <v>31</v>
      </c>
      <c r="I5507" s="15">
        <v>1.0</v>
      </c>
      <c r="J5507" s="15">
        <v>1.0</v>
      </c>
      <c r="K5507" s="15" t="s">
        <v>31</v>
      </c>
      <c r="L5507" s="16" t="s">
        <v>34228</v>
      </c>
      <c r="M5507" s="14" t="s">
        <v>34320</v>
      </c>
      <c r="N5507" s="14" t="s">
        <v>6669</v>
      </c>
      <c r="O5507" s="16" t="s">
        <v>6670</v>
      </c>
      <c r="P5507" s="14" t="s">
        <v>25633</v>
      </c>
      <c r="Q5507" s="14" t="s">
        <v>31</v>
      </c>
      <c r="R5507" s="14" t="s">
        <v>1185</v>
      </c>
      <c r="S5507" s="16" t="s">
        <v>6712</v>
      </c>
      <c r="T5507" s="14" t="s">
        <v>66</v>
      </c>
      <c r="U5507" s="16" t="s">
        <v>31</v>
      </c>
      <c r="V5507" s="14" t="s">
        <v>34321</v>
      </c>
      <c r="W5507" s="14" t="s">
        <v>25634</v>
      </c>
      <c r="X5507" s="17" t="str">
        <f>HYPERLINK("https://my.pitchbook.com?p=162969-49P","View People Online")</f>
        <v>View People Online</v>
      </c>
    </row>
    <row r="5508">
      <c r="A5508" s="10" t="s">
        <v>34322</v>
      </c>
      <c r="B5508" s="10" t="s">
        <v>34323</v>
      </c>
      <c r="C5508" s="10" t="s">
        <v>34324</v>
      </c>
      <c r="D5508" s="10" t="s">
        <v>1866</v>
      </c>
      <c r="E5508" s="10" t="s">
        <v>25634</v>
      </c>
      <c r="F5508" s="10" t="s">
        <v>81</v>
      </c>
      <c r="G5508" s="10" t="s">
        <v>34325</v>
      </c>
      <c r="H5508" s="11">
        <v>1.0</v>
      </c>
      <c r="I5508" s="11">
        <v>2.0</v>
      </c>
      <c r="J5508" s="11" t="s">
        <v>31</v>
      </c>
      <c r="K5508" s="11" t="s">
        <v>31</v>
      </c>
      <c r="L5508" s="12" t="s">
        <v>28845</v>
      </c>
      <c r="M5508" s="10" t="s">
        <v>31</v>
      </c>
      <c r="N5508" s="10" t="s">
        <v>775</v>
      </c>
      <c r="O5508" s="12" t="s">
        <v>776</v>
      </c>
      <c r="P5508" s="10" t="s">
        <v>34326</v>
      </c>
      <c r="Q5508" s="10" t="s">
        <v>31</v>
      </c>
      <c r="R5508" s="10" t="s">
        <v>64</v>
      </c>
      <c r="S5508" s="12" t="s">
        <v>5635</v>
      </c>
      <c r="T5508" s="10" t="s">
        <v>66</v>
      </c>
      <c r="U5508" s="12" t="s">
        <v>31</v>
      </c>
      <c r="V5508" s="10" t="s">
        <v>2379</v>
      </c>
      <c r="W5508" s="10" t="s">
        <v>34327</v>
      </c>
      <c r="X5508" s="13" t="str">
        <f>HYPERLINK("https://my.pitchbook.com?p=253823-68P","View People Online")</f>
        <v>View People Online</v>
      </c>
    </row>
    <row r="5509">
      <c r="A5509" s="14" t="s">
        <v>34328</v>
      </c>
      <c r="B5509" s="14" t="s">
        <v>34329</v>
      </c>
      <c r="C5509" s="14" t="s">
        <v>934</v>
      </c>
      <c r="D5509" s="14" t="s">
        <v>34330</v>
      </c>
      <c r="E5509" s="14" t="s">
        <v>25634</v>
      </c>
      <c r="F5509" s="14" t="s">
        <v>81</v>
      </c>
      <c r="G5509" s="14" t="s">
        <v>34331</v>
      </c>
      <c r="H5509" s="15" t="s">
        <v>31</v>
      </c>
      <c r="I5509" s="15">
        <v>2.0</v>
      </c>
      <c r="J5509" s="15">
        <v>1.0</v>
      </c>
      <c r="K5509" s="15" t="s">
        <v>31</v>
      </c>
      <c r="L5509" s="16" t="s">
        <v>34222</v>
      </c>
      <c r="M5509" s="14" t="s">
        <v>31</v>
      </c>
      <c r="N5509" s="14" t="s">
        <v>6669</v>
      </c>
      <c r="O5509" s="16" t="s">
        <v>6670</v>
      </c>
      <c r="P5509" s="14" t="s">
        <v>25633</v>
      </c>
      <c r="Q5509" s="14" t="s">
        <v>31</v>
      </c>
      <c r="R5509" s="14" t="s">
        <v>1185</v>
      </c>
      <c r="S5509" s="16" t="s">
        <v>6712</v>
      </c>
      <c r="T5509" s="14" t="s">
        <v>66</v>
      </c>
      <c r="U5509" s="16" t="s">
        <v>31</v>
      </c>
      <c r="V5509" s="14" t="s">
        <v>34332</v>
      </c>
      <c r="W5509" s="14" t="s">
        <v>25634</v>
      </c>
      <c r="X5509" s="17" t="str">
        <f>HYPERLINK("https://my.pitchbook.com?p=357269-95P","View People Online")</f>
        <v>View People Online</v>
      </c>
    </row>
    <row r="5510">
      <c r="A5510" s="2" t="s">
        <v>34333</v>
      </c>
      <c r="B5510" s="2" t="s">
        <v>34334</v>
      </c>
      <c r="C5510" s="2" t="s">
        <v>3875</v>
      </c>
      <c r="D5510" s="2" t="s">
        <v>11675</v>
      </c>
      <c r="E5510" s="2" t="s">
        <v>25634</v>
      </c>
      <c r="F5510" s="2" t="s">
        <v>201</v>
      </c>
      <c r="G5510" s="2" t="s">
        <v>34335</v>
      </c>
      <c r="H5510" s="3" t="s">
        <v>31</v>
      </c>
      <c r="I5510" s="3">
        <v>1.0</v>
      </c>
      <c r="J5510" s="3">
        <v>1.0</v>
      </c>
      <c r="K5510" s="3" t="s">
        <v>31</v>
      </c>
      <c r="L5510" s="4" t="s">
        <v>34228</v>
      </c>
      <c r="M5510" s="2" t="s">
        <v>34336</v>
      </c>
      <c r="N5510" s="2" t="s">
        <v>6669</v>
      </c>
      <c r="O5510" s="4" t="s">
        <v>6670</v>
      </c>
      <c r="P5510" s="2" t="s">
        <v>25633</v>
      </c>
      <c r="Q5510" s="2" t="s">
        <v>31</v>
      </c>
      <c r="R5510" s="2" t="s">
        <v>1185</v>
      </c>
      <c r="S5510" s="4" t="s">
        <v>6712</v>
      </c>
      <c r="T5510" s="2" t="s">
        <v>66</v>
      </c>
      <c r="U5510" s="4" t="s">
        <v>31</v>
      </c>
      <c r="V5510" s="2" t="s">
        <v>201</v>
      </c>
      <c r="W5510" s="2" t="s">
        <v>25634</v>
      </c>
      <c r="X5510" s="5" t="str">
        <f>HYPERLINK("https://my.pitchbook.com?p=328088-26P","View People Online")</f>
        <v>View People Online</v>
      </c>
    </row>
    <row r="5511">
      <c r="A5511" s="6" t="s">
        <v>34337</v>
      </c>
      <c r="B5511" s="6" t="s">
        <v>34338</v>
      </c>
      <c r="C5511" s="6" t="s">
        <v>7698</v>
      </c>
      <c r="D5511" s="6" t="s">
        <v>34339</v>
      </c>
      <c r="E5511" s="6" t="s">
        <v>25634</v>
      </c>
      <c r="F5511" s="6" t="s">
        <v>43</v>
      </c>
      <c r="G5511" s="6" t="s">
        <v>34340</v>
      </c>
      <c r="H5511" s="7">
        <v>9.0</v>
      </c>
      <c r="I5511" s="7">
        <v>48.0</v>
      </c>
      <c r="J5511" s="7">
        <v>2.0</v>
      </c>
      <c r="K5511" s="7">
        <v>31.0</v>
      </c>
      <c r="L5511" s="8" t="s">
        <v>34341</v>
      </c>
      <c r="M5511" s="6" t="s">
        <v>34342</v>
      </c>
      <c r="N5511" s="6" t="s">
        <v>6669</v>
      </c>
      <c r="O5511" s="8" t="s">
        <v>6670</v>
      </c>
      <c r="P5511" s="6" t="s">
        <v>25633</v>
      </c>
      <c r="Q5511" s="6" t="s">
        <v>31</v>
      </c>
      <c r="R5511" s="6" t="s">
        <v>1185</v>
      </c>
      <c r="S5511" s="8" t="s">
        <v>6712</v>
      </c>
      <c r="T5511" s="6" t="s">
        <v>66</v>
      </c>
      <c r="U5511" s="8" t="s">
        <v>31</v>
      </c>
      <c r="V5511" s="6" t="s">
        <v>43</v>
      </c>
      <c r="W5511" s="6" t="s">
        <v>25634</v>
      </c>
      <c r="X5511" s="9" t="str">
        <f>HYPERLINK("https://my.pitchbook.com?p=47976-22P","View People Online")</f>
        <v>View People Online</v>
      </c>
    </row>
    <row r="5512">
      <c r="A5512" s="2" t="s">
        <v>34343</v>
      </c>
      <c r="B5512" s="2" t="s">
        <v>34344</v>
      </c>
      <c r="C5512" s="2" t="s">
        <v>395</v>
      </c>
      <c r="D5512" s="2" t="s">
        <v>4526</v>
      </c>
      <c r="E5512" s="2" t="s">
        <v>25634</v>
      </c>
      <c r="F5512" s="2" t="s">
        <v>548</v>
      </c>
      <c r="G5512" s="2" t="s">
        <v>34345</v>
      </c>
      <c r="H5512" s="3" t="s">
        <v>31</v>
      </c>
      <c r="I5512" s="3">
        <v>1.0</v>
      </c>
      <c r="J5512" s="3">
        <v>1.0</v>
      </c>
      <c r="K5512" s="3" t="s">
        <v>31</v>
      </c>
      <c r="L5512" s="4" t="s">
        <v>34228</v>
      </c>
      <c r="M5512" s="2" t="s">
        <v>34346</v>
      </c>
      <c r="N5512" s="2" t="s">
        <v>6669</v>
      </c>
      <c r="O5512" s="4" t="s">
        <v>6670</v>
      </c>
      <c r="P5512" s="2" t="s">
        <v>25633</v>
      </c>
      <c r="Q5512" s="2" t="s">
        <v>31</v>
      </c>
      <c r="R5512" s="2" t="s">
        <v>1185</v>
      </c>
      <c r="S5512" s="4" t="s">
        <v>6712</v>
      </c>
      <c r="T5512" s="2" t="s">
        <v>66</v>
      </c>
      <c r="U5512" s="4" t="s">
        <v>31</v>
      </c>
      <c r="V5512" s="2" t="s">
        <v>34347</v>
      </c>
      <c r="W5512" s="2" t="s">
        <v>25634</v>
      </c>
      <c r="X5512" s="5" t="str">
        <f>HYPERLINK("https://my.pitchbook.com?p=378439-84P","View People Online")</f>
        <v>View People Online</v>
      </c>
    </row>
    <row r="5513">
      <c r="A5513" s="6" t="s">
        <v>34348</v>
      </c>
      <c r="B5513" s="6" t="s">
        <v>34349</v>
      </c>
      <c r="C5513" s="6" t="s">
        <v>10955</v>
      </c>
      <c r="D5513" s="6" t="s">
        <v>4550</v>
      </c>
      <c r="E5513" s="6" t="s">
        <v>25634</v>
      </c>
      <c r="F5513" s="6" t="s">
        <v>270</v>
      </c>
      <c r="G5513" s="6" t="s">
        <v>34350</v>
      </c>
      <c r="H5513" s="7" t="s">
        <v>31</v>
      </c>
      <c r="I5513" s="7">
        <v>1.0</v>
      </c>
      <c r="J5513" s="7">
        <v>1.0</v>
      </c>
      <c r="K5513" s="7" t="s">
        <v>31</v>
      </c>
      <c r="L5513" s="8" t="s">
        <v>34222</v>
      </c>
      <c r="M5513" s="6" t="s">
        <v>34351</v>
      </c>
      <c r="N5513" s="6" t="s">
        <v>6669</v>
      </c>
      <c r="O5513" s="8" t="s">
        <v>6670</v>
      </c>
      <c r="P5513" s="6" t="s">
        <v>25633</v>
      </c>
      <c r="Q5513" s="6" t="s">
        <v>31</v>
      </c>
      <c r="R5513" s="6" t="s">
        <v>1185</v>
      </c>
      <c r="S5513" s="8" t="s">
        <v>6712</v>
      </c>
      <c r="T5513" s="6" t="s">
        <v>66</v>
      </c>
      <c r="U5513" s="8" t="s">
        <v>31</v>
      </c>
      <c r="V5513" s="6" t="s">
        <v>662</v>
      </c>
      <c r="W5513" s="6" t="s">
        <v>25634</v>
      </c>
      <c r="X5513" s="9" t="str">
        <f>HYPERLINK("https://my.pitchbook.com?p=450341-92P","View People Online")</f>
        <v>View People Online</v>
      </c>
    </row>
    <row r="5514">
      <c r="A5514" s="2" t="s">
        <v>34352</v>
      </c>
      <c r="B5514" s="2" t="s">
        <v>34353</v>
      </c>
      <c r="C5514" s="2" t="s">
        <v>34354</v>
      </c>
      <c r="D5514" s="2" t="s">
        <v>34355</v>
      </c>
      <c r="E5514" s="2" t="s">
        <v>25634</v>
      </c>
      <c r="F5514" s="2" t="s">
        <v>318</v>
      </c>
      <c r="G5514" s="2" t="s">
        <v>34356</v>
      </c>
      <c r="H5514" s="3">
        <v>2.0</v>
      </c>
      <c r="I5514" s="3">
        <v>3.0</v>
      </c>
      <c r="J5514" s="3">
        <v>1.0</v>
      </c>
      <c r="K5514" s="3" t="s">
        <v>31</v>
      </c>
      <c r="L5514" s="4" t="s">
        <v>34228</v>
      </c>
      <c r="M5514" s="2" t="s">
        <v>34357</v>
      </c>
      <c r="N5514" s="2" t="s">
        <v>6669</v>
      </c>
      <c r="O5514" s="4" t="s">
        <v>6670</v>
      </c>
      <c r="P5514" s="2" t="s">
        <v>25633</v>
      </c>
      <c r="Q5514" s="2" t="s">
        <v>31</v>
      </c>
      <c r="R5514" s="2" t="s">
        <v>1185</v>
      </c>
      <c r="S5514" s="4" t="s">
        <v>6712</v>
      </c>
      <c r="T5514" s="2" t="s">
        <v>66</v>
      </c>
      <c r="U5514" s="4" t="s">
        <v>31</v>
      </c>
      <c r="V5514" s="2" t="s">
        <v>318</v>
      </c>
      <c r="W5514" s="2" t="s">
        <v>25634</v>
      </c>
      <c r="X5514" s="5" t="str">
        <f>HYPERLINK("https://my.pitchbook.com?p=378440-29P","View People Online")</f>
        <v>View People Online</v>
      </c>
    </row>
    <row r="5515">
      <c r="A5515" s="6" t="s">
        <v>34358</v>
      </c>
      <c r="B5515" s="6" t="s">
        <v>34359</v>
      </c>
      <c r="C5515" s="6" t="s">
        <v>413</v>
      </c>
      <c r="D5515" s="6" t="s">
        <v>34360</v>
      </c>
      <c r="E5515" s="6" t="s">
        <v>34361</v>
      </c>
      <c r="F5515" s="6" t="s">
        <v>318</v>
      </c>
      <c r="G5515" s="6" t="s">
        <v>34362</v>
      </c>
      <c r="H5515" s="7" t="s">
        <v>31</v>
      </c>
      <c r="I5515" s="7">
        <v>2.0</v>
      </c>
      <c r="J5515" s="7">
        <v>2.0</v>
      </c>
      <c r="K5515" s="7" t="s">
        <v>31</v>
      </c>
      <c r="L5515" s="8" t="s">
        <v>34363</v>
      </c>
      <c r="M5515" s="6" t="s">
        <v>34364</v>
      </c>
      <c r="N5515" s="6" t="s">
        <v>465</v>
      </c>
      <c r="O5515" s="8" t="s">
        <v>466</v>
      </c>
      <c r="P5515" s="6" t="s">
        <v>34365</v>
      </c>
      <c r="Q5515" s="6" t="s">
        <v>31</v>
      </c>
      <c r="R5515" s="6" t="s">
        <v>31</v>
      </c>
      <c r="S5515" s="8" t="s">
        <v>34366</v>
      </c>
      <c r="T5515" s="6" t="s">
        <v>422</v>
      </c>
      <c r="U5515" s="8" t="s">
        <v>34367</v>
      </c>
      <c r="V5515" s="6" t="s">
        <v>318</v>
      </c>
      <c r="W5515" s="6" t="s">
        <v>34361</v>
      </c>
      <c r="X5515" s="9" t="str">
        <f>HYPERLINK("https://my.pitchbook.com?p=341573-77P","View People Online")</f>
        <v>View People Online</v>
      </c>
    </row>
    <row r="5516">
      <c r="A5516" s="2" t="s">
        <v>34368</v>
      </c>
      <c r="B5516" s="2" t="s">
        <v>34369</v>
      </c>
      <c r="C5516" s="2" t="s">
        <v>413</v>
      </c>
      <c r="D5516" s="2" t="s">
        <v>34370</v>
      </c>
      <c r="E5516" s="2" t="s">
        <v>34361</v>
      </c>
      <c r="F5516" s="2" t="s">
        <v>78</v>
      </c>
      <c r="G5516" s="2" t="s">
        <v>34371</v>
      </c>
      <c r="H5516" s="3" t="s">
        <v>31</v>
      </c>
      <c r="I5516" s="3">
        <v>1.0</v>
      </c>
      <c r="J5516" s="3">
        <v>1.0</v>
      </c>
      <c r="K5516" s="3" t="s">
        <v>31</v>
      </c>
      <c r="L5516" s="4" t="s">
        <v>34372</v>
      </c>
      <c r="M5516" s="2" t="s">
        <v>34373</v>
      </c>
      <c r="N5516" s="2" t="s">
        <v>465</v>
      </c>
      <c r="O5516" s="4" t="s">
        <v>466</v>
      </c>
      <c r="P5516" s="2" t="s">
        <v>34365</v>
      </c>
      <c r="Q5516" s="2" t="s">
        <v>31</v>
      </c>
      <c r="R5516" s="2" t="s">
        <v>31</v>
      </c>
      <c r="S5516" s="4" t="s">
        <v>34366</v>
      </c>
      <c r="T5516" s="2" t="s">
        <v>422</v>
      </c>
      <c r="U5516" s="4" t="s">
        <v>34367</v>
      </c>
      <c r="V5516" s="2" t="s">
        <v>10197</v>
      </c>
      <c r="W5516" s="2" t="s">
        <v>34361</v>
      </c>
      <c r="X5516" s="5" t="str">
        <f>HYPERLINK("https://my.pitchbook.com?p=190018-45P","View People Online")</f>
        <v>View People Online</v>
      </c>
    </row>
    <row r="5517">
      <c r="A5517" s="14" t="s">
        <v>34374</v>
      </c>
      <c r="B5517" s="14" t="s">
        <v>34375</v>
      </c>
      <c r="C5517" s="14" t="s">
        <v>4886</v>
      </c>
      <c r="D5517" s="14" t="s">
        <v>34376</v>
      </c>
      <c r="E5517" s="14" t="s">
        <v>34361</v>
      </c>
      <c r="F5517" s="14" t="s">
        <v>1801</v>
      </c>
      <c r="G5517" s="14" t="s">
        <v>34377</v>
      </c>
      <c r="H5517" s="15" t="s">
        <v>31</v>
      </c>
      <c r="I5517" s="15">
        <v>1.0</v>
      </c>
      <c r="J5517" s="15">
        <v>1.0</v>
      </c>
      <c r="K5517" s="15" t="s">
        <v>31</v>
      </c>
      <c r="L5517" s="16" t="s">
        <v>34372</v>
      </c>
      <c r="M5517" s="14" t="s">
        <v>34378</v>
      </c>
      <c r="N5517" s="14" t="s">
        <v>465</v>
      </c>
      <c r="O5517" s="16" t="s">
        <v>466</v>
      </c>
      <c r="P5517" s="14" t="s">
        <v>34365</v>
      </c>
      <c r="Q5517" s="14" t="s">
        <v>31</v>
      </c>
      <c r="R5517" s="14" t="s">
        <v>31</v>
      </c>
      <c r="S5517" s="16" t="s">
        <v>34366</v>
      </c>
      <c r="T5517" s="14" t="s">
        <v>422</v>
      </c>
      <c r="U5517" s="16" t="s">
        <v>34367</v>
      </c>
      <c r="V5517" s="14" t="s">
        <v>34379</v>
      </c>
      <c r="W5517" s="14" t="s">
        <v>34361</v>
      </c>
      <c r="X5517" s="17" t="str">
        <f>HYPERLINK("https://my.pitchbook.com?p=386347-42P","View People Online")</f>
        <v>View People Online</v>
      </c>
    </row>
    <row r="5518">
      <c r="A5518" s="2" t="s">
        <v>34380</v>
      </c>
      <c r="B5518" s="2" t="s">
        <v>34381</v>
      </c>
      <c r="C5518" s="2" t="s">
        <v>34382</v>
      </c>
      <c r="D5518" s="2" t="s">
        <v>34383</v>
      </c>
      <c r="E5518" s="2" t="s">
        <v>34361</v>
      </c>
      <c r="F5518" s="2" t="s">
        <v>1801</v>
      </c>
      <c r="G5518" s="2" t="s">
        <v>34384</v>
      </c>
      <c r="H5518" s="3" t="s">
        <v>31</v>
      </c>
      <c r="I5518" s="3">
        <v>1.0</v>
      </c>
      <c r="J5518" s="3">
        <v>1.0</v>
      </c>
      <c r="K5518" s="3" t="s">
        <v>31</v>
      </c>
      <c r="L5518" s="4" t="s">
        <v>34385</v>
      </c>
      <c r="M5518" s="2" t="s">
        <v>34386</v>
      </c>
      <c r="N5518" s="2" t="s">
        <v>465</v>
      </c>
      <c r="O5518" s="4" t="s">
        <v>466</v>
      </c>
      <c r="P5518" s="2" t="s">
        <v>34365</v>
      </c>
      <c r="Q5518" s="2" t="s">
        <v>31</v>
      </c>
      <c r="R5518" s="2" t="s">
        <v>31</v>
      </c>
      <c r="S5518" s="4" t="s">
        <v>34366</v>
      </c>
      <c r="T5518" s="2" t="s">
        <v>422</v>
      </c>
      <c r="U5518" s="4" t="s">
        <v>34367</v>
      </c>
      <c r="V5518" s="2" t="s">
        <v>34387</v>
      </c>
      <c r="W5518" s="2" t="s">
        <v>34361</v>
      </c>
      <c r="X5518" s="5" t="str">
        <f>HYPERLINK("https://my.pitchbook.com?p=227650-15P","View People Online")</f>
        <v>View People Online</v>
      </c>
    </row>
    <row r="5519">
      <c r="A5519" s="14" t="s">
        <v>34388</v>
      </c>
      <c r="B5519" s="14" t="s">
        <v>34389</v>
      </c>
      <c r="C5519" s="14" t="s">
        <v>34390</v>
      </c>
      <c r="D5519" s="14" t="s">
        <v>34391</v>
      </c>
      <c r="E5519" s="14" t="s">
        <v>34361</v>
      </c>
      <c r="F5519" s="14" t="s">
        <v>1249</v>
      </c>
      <c r="G5519" s="14" t="s">
        <v>34392</v>
      </c>
      <c r="H5519" s="15">
        <v>1.0</v>
      </c>
      <c r="I5519" s="15">
        <v>24.0</v>
      </c>
      <c r="J5519" s="15">
        <v>1.0</v>
      </c>
      <c r="K5519" s="15">
        <v>23.0</v>
      </c>
      <c r="L5519" s="16" t="s">
        <v>34372</v>
      </c>
      <c r="M5519" s="14" t="s">
        <v>34393</v>
      </c>
      <c r="N5519" s="14" t="s">
        <v>465</v>
      </c>
      <c r="O5519" s="16" t="s">
        <v>466</v>
      </c>
      <c r="P5519" s="14" t="s">
        <v>34365</v>
      </c>
      <c r="Q5519" s="14" t="s">
        <v>31</v>
      </c>
      <c r="R5519" s="14" t="s">
        <v>31</v>
      </c>
      <c r="S5519" s="16" t="s">
        <v>34366</v>
      </c>
      <c r="T5519" s="14" t="s">
        <v>422</v>
      </c>
      <c r="U5519" s="16" t="s">
        <v>34367</v>
      </c>
      <c r="V5519" s="14" t="s">
        <v>1252</v>
      </c>
      <c r="W5519" s="14" t="s">
        <v>34361</v>
      </c>
      <c r="X5519" s="17" t="str">
        <f>HYPERLINK("https://my.pitchbook.com?p=78750-91P","View People Online")</f>
        <v>View People Online</v>
      </c>
    </row>
    <row r="5520">
      <c r="A5520" s="10" t="s">
        <v>34394</v>
      </c>
      <c r="B5520" s="10" t="s">
        <v>34395</v>
      </c>
      <c r="C5520" s="10" t="s">
        <v>34390</v>
      </c>
      <c r="D5520" s="10" t="s">
        <v>34396</v>
      </c>
      <c r="E5520" s="10" t="s">
        <v>34361</v>
      </c>
      <c r="F5520" s="10" t="s">
        <v>270</v>
      </c>
      <c r="G5520" s="10" t="s">
        <v>34397</v>
      </c>
      <c r="H5520" s="11" t="s">
        <v>31</v>
      </c>
      <c r="I5520" s="11">
        <v>2.0</v>
      </c>
      <c r="J5520" s="11">
        <v>1.0</v>
      </c>
      <c r="K5520" s="11">
        <v>1.0</v>
      </c>
      <c r="L5520" s="12" t="s">
        <v>34372</v>
      </c>
      <c r="M5520" s="10" t="s">
        <v>34398</v>
      </c>
      <c r="N5520" s="10" t="s">
        <v>465</v>
      </c>
      <c r="O5520" s="12" t="s">
        <v>466</v>
      </c>
      <c r="P5520" s="10" t="s">
        <v>34365</v>
      </c>
      <c r="Q5520" s="10" t="s">
        <v>31</v>
      </c>
      <c r="R5520" s="10" t="s">
        <v>31</v>
      </c>
      <c r="S5520" s="12" t="s">
        <v>34366</v>
      </c>
      <c r="T5520" s="10" t="s">
        <v>422</v>
      </c>
      <c r="U5520" s="12" t="s">
        <v>34367</v>
      </c>
      <c r="V5520" s="10" t="s">
        <v>270</v>
      </c>
      <c r="W5520" s="10" t="s">
        <v>34361</v>
      </c>
      <c r="X5520" s="13" t="str">
        <f>HYPERLINK("https://my.pitchbook.com?p=113283-46P","View People Online")</f>
        <v>View People Online</v>
      </c>
    </row>
    <row r="5521">
      <c r="A5521" s="14" t="s">
        <v>34399</v>
      </c>
      <c r="B5521" s="14" t="s">
        <v>34400</v>
      </c>
      <c r="C5521" s="14" t="s">
        <v>15655</v>
      </c>
      <c r="D5521" s="14" t="s">
        <v>34401</v>
      </c>
      <c r="E5521" s="14" t="s">
        <v>34361</v>
      </c>
      <c r="F5521" s="14" t="s">
        <v>3740</v>
      </c>
      <c r="G5521" s="14" t="s">
        <v>34402</v>
      </c>
      <c r="H5521" s="15" t="s">
        <v>31</v>
      </c>
      <c r="I5521" s="15">
        <v>3.0</v>
      </c>
      <c r="J5521" s="15">
        <v>2.0</v>
      </c>
      <c r="K5521" s="15">
        <v>1.0</v>
      </c>
      <c r="L5521" s="16" t="s">
        <v>31</v>
      </c>
      <c r="M5521" s="14" t="s">
        <v>34403</v>
      </c>
      <c r="N5521" s="14" t="s">
        <v>465</v>
      </c>
      <c r="O5521" s="16" t="s">
        <v>466</v>
      </c>
      <c r="P5521" s="14" t="s">
        <v>31</v>
      </c>
      <c r="Q5521" s="14" t="s">
        <v>31</v>
      </c>
      <c r="R5521" s="14" t="s">
        <v>31</v>
      </c>
      <c r="S5521" s="16" t="s">
        <v>31</v>
      </c>
      <c r="T5521" s="14" t="s">
        <v>422</v>
      </c>
      <c r="U5521" s="16" t="s">
        <v>31</v>
      </c>
      <c r="V5521" s="14" t="s">
        <v>470</v>
      </c>
      <c r="W5521" s="14" t="s">
        <v>34404</v>
      </c>
      <c r="X5521" s="17" t="str">
        <f>HYPERLINK("https://my.pitchbook.com?p=404900-29P","View People Online")</f>
        <v>View People Online</v>
      </c>
    </row>
    <row r="5522">
      <c r="A5522" s="10" t="s">
        <v>34405</v>
      </c>
      <c r="B5522" s="10" t="s">
        <v>34406</v>
      </c>
      <c r="C5522" s="10" t="s">
        <v>15655</v>
      </c>
      <c r="D5522" s="10" t="s">
        <v>12237</v>
      </c>
      <c r="E5522" s="10" t="s">
        <v>34361</v>
      </c>
      <c r="F5522" s="10" t="s">
        <v>29711</v>
      </c>
      <c r="G5522" s="10" t="s">
        <v>34407</v>
      </c>
      <c r="H5522" s="11" t="s">
        <v>31</v>
      </c>
      <c r="I5522" s="11">
        <v>1.0</v>
      </c>
      <c r="J5522" s="11">
        <v>1.0</v>
      </c>
      <c r="K5522" s="11" t="s">
        <v>31</v>
      </c>
      <c r="L5522" s="12" t="s">
        <v>34372</v>
      </c>
      <c r="M5522" s="10" t="s">
        <v>34408</v>
      </c>
      <c r="N5522" s="10" t="s">
        <v>465</v>
      </c>
      <c r="O5522" s="12" t="s">
        <v>466</v>
      </c>
      <c r="P5522" s="10" t="s">
        <v>34365</v>
      </c>
      <c r="Q5522" s="10" t="s">
        <v>31</v>
      </c>
      <c r="R5522" s="10" t="s">
        <v>31</v>
      </c>
      <c r="S5522" s="12" t="s">
        <v>34366</v>
      </c>
      <c r="T5522" s="10" t="s">
        <v>422</v>
      </c>
      <c r="U5522" s="12" t="s">
        <v>34367</v>
      </c>
      <c r="V5522" s="10" t="s">
        <v>34409</v>
      </c>
      <c r="W5522" s="10" t="s">
        <v>34361</v>
      </c>
      <c r="X5522" s="13" t="str">
        <f>HYPERLINK("https://my.pitchbook.com?p=335243-53P","View People Online")</f>
        <v>View People Online</v>
      </c>
    </row>
    <row r="5523">
      <c r="A5523" s="6" t="s">
        <v>34410</v>
      </c>
      <c r="B5523" s="6" t="s">
        <v>34411</v>
      </c>
      <c r="C5523" s="6" t="s">
        <v>8681</v>
      </c>
      <c r="D5523" s="6" t="s">
        <v>34412</v>
      </c>
      <c r="E5523" s="6" t="s">
        <v>34361</v>
      </c>
      <c r="F5523" s="6" t="s">
        <v>1801</v>
      </c>
      <c r="G5523" s="6" t="s">
        <v>34413</v>
      </c>
      <c r="H5523" s="7" t="s">
        <v>31</v>
      </c>
      <c r="I5523" s="7">
        <v>1.0</v>
      </c>
      <c r="J5523" s="7">
        <v>1.0</v>
      </c>
      <c r="K5523" s="7" t="s">
        <v>31</v>
      </c>
      <c r="L5523" s="8" t="s">
        <v>34372</v>
      </c>
      <c r="M5523" s="6" t="s">
        <v>34414</v>
      </c>
      <c r="N5523" s="6" t="s">
        <v>465</v>
      </c>
      <c r="O5523" s="8" t="s">
        <v>466</v>
      </c>
      <c r="P5523" s="6" t="s">
        <v>34365</v>
      </c>
      <c r="Q5523" s="6" t="s">
        <v>31</v>
      </c>
      <c r="R5523" s="6" t="s">
        <v>31</v>
      </c>
      <c r="S5523" s="8" t="s">
        <v>34366</v>
      </c>
      <c r="T5523" s="6" t="s">
        <v>422</v>
      </c>
      <c r="U5523" s="8" t="s">
        <v>34367</v>
      </c>
      <c r="V5523" s="6" t="s">
        <v>34415</v>
      </c>
      <c r="W5523" s="6" t="s">
        <v>34361</v>
      </c>
      <c r="X5523" s="9" t="str">
        <f>HYPERLINK("https://my.pitchbook.com?p=326365-39P","View People Online")</f>
        <v>View People Online</v>
      </c>
    </row>
    <row r="5524">
      <c r="A5524" s="2" t="s">
        <v>34416</v>
      </c>
      <c r="B5524" s="2" t="s">
        <v>34417</v>
      </c>
      <c r="C5524" s="2" t="s">
        <v>11244</v>
      </c>
      <c r="D5524" s="2" t="s">
        <v>34418</v>
      </c>
      <c r="E5524" s="2" t="s">
        <v>34361</v>
      </c>
      <c r="F5524" s="2" t="s">
        <v>667</v>
      </c>
      <c r="G5524" s="2" t="s">
        <v>34419</v>
      </c>
      <c r="H5524" s="3" t="s">
        <v>31</v>
      </c>
      <c r="I5524" s="3">
        <v>1.0</v>
      </c>
      <c r="J5524" s="3">
        <v>1.0</v>
      </c>
      <c r="K5524" s="3" t="s">
        <v>31</v>
      </c>
      <c r="L5524" s="4" t="s">
        <v>34372</v>
      </c>
      <c r="M5524" s="2" t="s">
        <v>34420</v>
      </c>
      <c r="N5524" s="2" t="s">
        <v>465</v>
      </c>
      <c r="O5524" s="4" t="s">
        <v>466</v>
      </c>
      <c r="P5524" s="2" t="s">
        <v>34365</v>
      </c>
      <c r="Q5524" s="2" t="s">
        <v>31</v>
      </c>
      <c r="R5524" s="2" t="s">
        <v>31</v>
      </c>
      <c r="S5524" s="4" t="s">
        <v>34366</v>
      </c>
      <c r="T5524" s="2" t="s">
        <v>422</v>
      </c>
      <c r="U5524" s="4" t="s">
        <v>34367</v>
      </c>
      <c r="V5524" s="2" t="s">
        <v>33813</v>
      </c>
      <c r="W5524" s="2" t="s">
        <v>34361</v>
      </c>
      <c r="X5524" s="5" t="str">
        <f>HYPERLINK("https://my.pitchbook.com?p=227651-41P","View People Online")</f>
        <v>View People Online</v>
      </c>
    </row>
    <row r="5525">
      <c r="A5525" s="14" t="s">
        <v>34421</v>
      </c>
      <c r="B5525" s="14" t="s">
        <v>34422</v>
      </c>
      <c r="C5525" s="14" t="s">
        <v>7483</v>
      </c>
      <c r="D5525" s="14" t="s">
        <v>34423</v>
      </c>
      <c r="E5525" s="14" t="s">
        <v>34361</v>
      </c>
      <c r="F5525" s="14" t="s">
        <v>270</v>
      </c>
      <c r="G5525" s="14" t="s">
        <v>34424</v>
      </c>
      <c r="H5525" s="15" t="s">
        <v>31</v>
      </c>
      <c r="I5525" s="15">
        <v>1.0</v>
      </c>
      <c r="J5525" s="15">
        <v>1.0</v>
      </c>
      <c r="K5525" s="15" t="s">
        <v>31</v>
      </c>
      <c r="L5525" s="16" t="s">
        <v>34372</v>
      </c>
      <c r="M5525" s="14" t="s">
        <v>34425</v>
      </c>
      <c r="N5525" s="14" t="s">
        <v>465</v>
      </c>
      <c r="O5525" s="16" t="s">
        <v>466</v>
      </c>
      <c r="P5525" s="14" t="s">
        <v>34365</v>
      </c>
      <c r="Q5525" s="14" t="s">
        <v>31</v>
      </c>
      <c r="R5525" s="14" t="s">
        <v>31</v>
      </c>
      <c r="S5525" s="16" t="s">
        <v>34366</v>
      </c>
      <c r="T5525" s="14" t="s">
        <v>422</v>
      </c>
      <c r="U5525" s="16" t="s">
        <v>34367</v>
      </c>
      <c r="V5525" s="14" t="s">
        <v>270</v>
      </c>
      <c r="W5525" s="14" t="s">
        <v>34361</v>
      </c>
      <c r="X5525" s="17" t="str">
        <f>HYPERLINK("https://my.pitchbook.com?p=272998-27P","View People Online")</f>
        <v>View People Online</v>
      </c>
    </row>
    <row r="5526">
      <c r="A5526" s="2" t="s">
        <v>34426</v>
      </c>
      <c r="B5526" s="2" t="s">
        <v>34427</v>
      </c>
      <c r="C5526" s="2" t="s">
        <v>8827</v>
      </c>
      <c r="D5526" s="2" t="s">
        <v>34428</v>
      </c>
      <c r="E5526" s="2" t="s">
        <v>34361</v>
      </c>
      <c r="F5526" s="2" t="s">
        <v>1544</v>
      </c>
      <c r="G5526" s="2" t="s">
        <v>34429</v>
      </c>
      <c r="H5526" s="3">
        <v>1.0</v>
      </c>
      <c r="I5526" s="3">
        <v>2.0</v>
      </c>
      <c r="J5526" s="3">
        <v>1.0</v>
      </c>
      <c r="K5526" s="3" t="s">
        <v>31</v>
      </c>
      <c r="L5526" s="4" t="s">
        <v>34372</v>
      </c>
      <c r="M5526" s="2" t="s">
        <v>34430</v>
      </c>
      <c r="N5526" s="2" t="s">
        <v>465</v>
      </c>
      <c r="O5526" s="4" t="s">
        <v>466</v>
      </c>
      <c r="P5526" s="2" t="s">
        <v>34365</v>
      </c>
      <c r="Q5526" s="2" t="s">
        <v>31</v>
      </c>
      <c r="R5526" s="2" t="s">
        <v>31</v>
      </c>
      <c r="S5526" s="4" t="s">
        <v>34366</v>
      </c>
      <c r="T5526" s="2" t="s">
        <v>422</v>
      </c>
      <c r="U5526" s="4" t="s">
        <v>34367</v>
      </c>
      <c r="V5526" s="2" t="s">
        <v>34431</v>
      </c>
      <c r="W5526" s="2" t="s">
        <v>34361</v>
      </c>
      <c r="X5526" s="5" t="str">
        <f>HYPERLINK("https://my.pitchbook.com?p=237161-53P","View People Online")</f>
        <v>View People Online</v>
      </c>
    </row>
    <row r="5527">
      <c r="A5527" s="14" t="s">
        <v>34432</v>
      </c>
      <c r="B5527" s="14" t="s">
        <v>34433</v>
      </c>
      <c r="C5527" s="14" t="s">
        <v>16770</v>
      </c>
      <c r="D5527" s="14" t="s">
        <v>34434</v>
      </c>
      <c r="E5527" s="14" t="s">
        <v>34361</v>
      </c>
      <c r="F5527" s="14" t="s">
        <v>270</v>
      </c>
      <c r="G5527" s="14" t="s">
        <v>34435</v>
      </c>
      <c r="H5527" s="15" t="s">
        <v>31</v>
      </c>
      <c r="I5527" s="15">
        <v>1.0</v>
      </c>
      <c r="J5527" s="15">
        <v>1.0</v>
      </c>
      <c r="K5527" s="15" t="s">
        <v>31</v>
      </c>
      <c r="L5527" s="16" t="s">
        <v>34372</v>
      </c>
      <c r="M5527" s="14" t="s">
        <v>34436</v>
      </c>
      <c r="N5527" s="14" t="s">
        <v>465</v>
      </c>
      <c r="O5527" s="16" t="s">
        <v>466</v>
      </c>
      <c r="P5527" s="14" t="s">
        <v>34365</v>
      </c>
      <c r="Q5527" s="14" t="s">
        <v>31</v>
      </c>
      <c r="R5527" s="14" t="s">
        <v>31</v>
      </c>
      <c r="S5527" s="16" t="s">
        <v>34366</v>
      </c>
      <c r="T5527" s="14" t="s">
        <v>422</v>
      </c>
      <c r="U5527" s="16" t="s">
        <v>34367</v>
      </c>
      <c r="V5527" s="14" t="s">
        <v>270</v>
      </c>
      <c r="W5527" s="14" t="s">
        <v>34361</v>
      </c>
      <c r="X5527" s="17" t="str">
        <f>HYPERLINK("https://my.pitchbook.com?p=300591-55P","View People Online")</f>
        <v>View People Online</v>
      </c>
    </row>
    <row r="5528">
      <c r="A5528" s="10" t="s">
        <v>34437</v>
      </c>
      <c r="B5528" s="10" t="s">
        <v>34438</v>
      </c>
      <c r="C5528" s="10" t="s">
        <v>34439</v>
      </c>
      <c r="D5528" s="10" t="s">
        <v>34440</v>
      </c>
      <c r="E5528" s="10" t="s">
        <v>34361</v>
      </c>
      <c r="F5528" s="10" t="s">
        <v>825</v>
      </c>
      <c r="G5528" s="10" t="s">
        <v>34441</v>
      </c>
      <c r="H5528" s="11" t="s">
        <v>31</v>
      </c>
      <c r="I5528" s="11">
        <v>1.0</v>
      </c>
      <c r="J5528" s="11">
        <v>1.0</v>
      </c>
      <c r="K5528" s="11" t="s">
        <v>31</v>
      </c>
      <c r="L5528" s="12" t="s">
        <v>34372</v>
      </c>
      <c r="M5528" s="10" t="s">
        <v>34442</v>
      </c>
      <c r="N5528" s="10" t="s">
        <v>465</v>
      </c>
      <c r="O5528" s="12" t="s">
        <v>466</v>
      </c>
      <c r="P5528" s="10" t="s">
        <v>34365</v>
      </c>
      <c r="Q5528" s="10" t="s">
        <v>31</v>
      </c>
      <c r="R5528" s="10" t="s">
        <v>31</v>
      </c>
      <c r="S5528" s="12" t="s">
        <v>34366</v>
      </c>
      <c r="T5528" s="10" t="s">
        <v>422</v>
      </c>
      <c r="U5528" s="12" t="s">
        <v>34367</v>
      </c>
      <c r="V5528" s="10" t="s">
        <v>34443</v>
      </c>
      <c r="W5528" s="10" t="s">
        <v>34361</v>
      </c>
      <c r="X5528" s="13" t="str">
        <f>HYPERLINK("https://my.pitchbook.com?p=386740-99P","View People Online")</f>
        <v>View People Online</v>
      </c>
    </row>
    <row r="5529">
      <c r="A5529" s="6" t="s">
        <v>34444</v>
      </c>
      <c r="B5529" s="6" t="s">
        <v>34445</v>
      </c>
      <c r="C5529" s="6" t="s">
        <v>16825</v>
      </c>
      <c r="D5529" s="6" t="s">
        <v>16924</v>
      </c>
      <c r="E5529" s="6" t="s">
        <v>34361</v>
      </c>
      <c r="F5529" s="6" t="s">
        <v>78</v>
      </c>
      <c r="G5529" s="6" t="s">
        <v>34446</v>
      </c>
      <c r="H5529" s="7" t="s">
        <v>31</v>
      </c>
      <c r="I5529" s="7">
        <v>2.0</v>
      </c>
      <c r="J5529" s="7">
        <v>1.0</v>
      </c>
      <c r="K5529" s="7">
        <v>1.0</v>
      </c>
      <c r="L5529" s="8" t="s">
        <v>34372</v>
      </c>
      <c r="M5529" s="6" t="s">
        <v>34447</v>
      </c>
      <c r="N5529" s="6" t="s">
        <v>465</v>
      </c>
      <c r="O5529" s="8" t="s">
        <v>466</v>
      </c>
      <c r="P5529" s="6" t="s">
        <v>34365</v>
      </c>
      <c r="Q5529" s="6" t="s">
        <v>31</v>
      </c>
      <c r="R5529" s="6" t="s">
        <v>31</v>
      </c>
      <c r="S5529" s="8" t="s">
        <v>34366</v>
      </c>
      <c r="T5529" s="6" t="s">
        <v>422</v>
      </c>
      <c r="U5529" s="8" t="s">
        <v>34367</v>
      </c>
      <c r="V5529" s="6" t="s">
        <v>10197</v>
      </c>
      <c r="W5529" s="6" t="s">
        <v>34361</v>
      </c>
      <c r="X5529" s="9" t="str">
        <f>HYPERLINK("https://my.pitchbook.com?p=156313-45P","View People Online")</f>
        <v>View People Online</v>
      </c>
    </row>
    <row r="5530">
      <c r="A5530" s="2" t="s">
        <v>34448</v>
      </c>
      <c r="B5530" s="2" t="s">
        <v>34449</v>
      </c>
      <c r="C5530" s="2" t="s">
        <v>23810</v>
      </c>
      <c r="D5530" s="2" t="s">
        <v>34450</v>
      </c>
      <c r="E5530" s="2" t="s">
        <v>34361</v>
      </c>
      <c r="F5530" s="2" t="s">
        <v>34451</v>
      </c>
      <c r="G5530" s="2" t="s">
        <v>34452</v>
      </c>
      <c r="H5530" s="3">
        <v>1.0</v>
      </c>
      <c r="I5530" s="3">
        <v>2.0</v>
      </c>
      <c r="J5530" s="3">
        <v>1.0</v>
      </c>
      <c r="K5530" s="3" t="s">
        <v>31</v>
      </c>
      <c r="L5530" s="4" t="s">
        <v>34372</v>
      </c>
      <c r="M5530" s="2" t="s">
        <v>34453</v>
      </c>
      <c r="N5530" s="2" t="s">
        <v>465</v>
      </c>
      <c r="O5530" s="4" t="s">
        <v>466</v>
      </c>
      <c r="P5530" s="2" t="s">
        <v>34365</v>
      </c>
      <c r="Q5530" s="2" t="s">
        <v>31</v>
      </c>
      <c r="R5530" s="2" t="s">
        <v>31</v>
      </c>
      <c r="S5530" s="4" t="s">
        <v>34366</v>
      </c>
      <c r="T5530" s="2" t="s">
        <v>422</v>
      </c>
      <c r="U5530" s="4" t="s">
        <v>34367</v>
      </c>
      <c r="V5530" s="2" t="s">
        <v>34454</v>
      </c>
      <c r="W5530" s="2" t="s">
        <v>34361</v>
      </c>
      <c r="X5530" s="5" t="str">
        <f>HYPERLINK("https://my.pitchbook.com?p=288978-40P","View People Online")</f>
        <v>View People Online</v>
      </c>
    </row>
    <row r="5531">
      <c r="A5531" s="6" t="s">
        <v>34455</v>
      </c>
      <c r="B5531" s="6" t="s">
        <v>34456</v>
      </c>
      <c r="C5531" s="6" t="s">
        <v>1616</v>
      </c>
      <c r="D5531" s="6" t="s">
        <v>34457</v>
      </c>
      <c r="E5531" s="6" t="s">
        <v>34361</v>
      </c>
      <c r="F5531" s="6" t="s">
        <v>825</v>
      </c>
      <c r="G5531" s="6" t="s">
        <v>34458</v>
      </c>
      <c r="H5531" s="7" t="s">
        <v>31</v>
      </c>
      <c r="I5531" s="7">
        <v>1.0</v>
      </c>
      <c r="J5531" s="7">
        <v>1.0</v>
      </c>
      <c r="K5531" s="7" t="s">
        <v>31</v>
      </c>
      <c r="L5531" s="8" t="s">
        <v>34372</v>
      </c>
      <c r="M5531" s="6" t="s">
        <v>34459</v>
      </c>
      <c r="N5531" s="6" t="s">
        <v>465</v>
      </c>
      <c r="O5531" s="8" t="s">
        <v>466</v>
      </c>
      <c r="P5531" s="6" t="s">
        <v>34365</v>
      </c>
      <c r="Q5531" s="6" t="s">
        <v>31</v>
      </c>
      <c r="R5531" s="6" t="s">
        <v>31</v>
      </c>
      <c r="S5531" s="8" t="s">
        <v>34366</v>
      </c>
      <c r="T5531" s="6" t="s">
        <v>422</v>
      </c>
      <c r="U5531" s="8" t="s">
        <v>34367</v>
      </c>
      <c r="V5531" s="6" t="s">
        <v>34460</v>
      </c>
      <c r="W5531" s="6" t="s">
        <v>34361</v>
      </c>
      <c r="X5531" s="9" t="str">
        <f>HYPERLINK("https://my.pitchbook.com?p=326365-12P","View People Online")</f>
        <v>View People Online</v>
      </c>
    </row>
    <row r="5532">
      <c r="A5532" s="10" t="s">
        <v>34461</v>
      </c>
      <c r="B5532" s="10" t="s">
        <v>34462</v>
      </c>
      <c r="C5532" s="10" t="s">
        <v>34463</v>
      </c>
      <c r="D5532" s="10" t="s">
        <v>34464</v>
      </c>
      <c r="E5532" s="10" t="s">
        <v>34361</v>
      </c>
      <c r="F5532" s="10" t="s">
        <v>270</v>
      </c>
      <c r="G5532" s="10" t="s">
        <v>34465</v>
      </c>
      <c r="H5532" s="11" t="s">
        <v>31</v>
      </c>
      <c r="I5532" s="11">
        <v>1.0</v>
      </c>
      <c r="J5532" s="11">
        <v>1.0</v>
      </c>
      <c r="K5532" s="11" t="s">
        <v>31</v>
      </c>
      <c r="L5532" s="12" t="s">
        <v>34372</v>
      </c>
      <c r="M5532" s="10" t="s">
        <v>34466</v>
      </c>
      <c r="N5532" s="10" t="s">
        <v>465</v>
      </c>
      <c r="O5532" s="12" t="s">
        <v>466</v>
      </c>
      <c r="P5532" s="10" t="s">
        <v>34365</v>
      </c>
      <c r="Q5532" s="10" t="s">
        <v>31</v>
      </c>
      <c r="R5532" s="10" t="s">
        <v>31</v>
      </c>
      <c r="S5532" s="12" t="s">
        <v>34366</v>
      </c>
      <c r="T5532" s="10" t="s">
        <v>422</v>
      </c>
      <c r="U5532" s="12" t="s">
        <v>34367</v>
      </c>
      <c r="V5532" s="10" t="s">
        <v>270</v>
      </c>
      <c r="W5532" s="10" t="s">
        <v>34361</v>
      </c>
      <c r="X5532" s="13" t="str">
        <f>HYPERLINK("https://my.pitchbook.com?p=217733-95P","View People Online")</f>
        <v>View People Online</v>
      </c>
    </row>
    <row r="5533">
      <c r="A5533" s="14" t="s">
        <v>34467</v>
      </c>
      <c r="B5533" s="14" t="s">
        <v>34468</v>
      </c>
      <c r="C5533" s="14" t="s">
        <v>2221</v>
      </c>
      <c r="D5533" s="14" t="s">
        <v>34469</v>
      </c>
      <c r="E5533" s="14" t="s">
        <v>34361</v>
      </c>
      <c r="F5533" s="14" t="s">
        <v>825</v>
      </c>
      <c r="G5533" s="14" t="s">
        <v>34470</v>
      </c>
      <c r="H5533" s="15" t="s">
        <v>31</v>
      </c>
      <c r="I5533" s="15">
        <v>1.0</v>
      </c>
      <c r="J5533" s="15">
        <v>1.0</v>
      </c>
      <c r="K5533" s="15" t="s">
        <v>31</v>
      </c>
      <c r="L5533" s="16" t="s">
        <v>34372</v>
      </c>
      <c r="M5533" s="14" t="s">
        <v>34471</v>
      </c>
      <c r="N5533" s="14" t="s">
        <v>465</v>
      </c>
      <c r="O5533" s="16" t="s">
        <v>466</v>
      </c>
      <c r="P5533" s="14" t="s">
        <v>34365</v>
      </c>
      <c r="Q5533" s="14" t="s">
        <v>31</v>
      </c>
      <c r="R5533" s="14" t="s">
        <v>31</v>
      </c>
      <c r="S5533" s="16" t="s">
        <v>34366</v>
      </c>
      <c r="T5533" s="14" t="s">
        <v>422</v>
      </c>
      <c r="U5533" s="16" t="s">
        <v>34367</v>
      </c>
      <c r="V5533" s="14" t="s">
        <v>34472</v>
      </c>
      <c r="W5533" s="14" t="s">
        <v>34361</v>
      </c>
      <c r="X5533" s="17" t="str">
        <f>HYPERLINK("https://my.pitchbook.com?p=202569-94P","View People Online")</f>
        <v>View People Online</v>
      </c>
    </row>
    <row r="5534">
      <c r="A5534" s="10" t="s">
        <v>34473</v>
      </c>
      <c r="B5534" s="10" t="s">
        <v>34474</v>
      </c>
      <c r="C5534" s="10" t="s">
        <v>18953</v>
      </c>
      <c r="D5534" s="10" t="s">
        <v>34475</v>
      </c>
      <c r="E5534" s="10" t="s">
        <v>34361</v>
      </c>
      <c r="F5534" s="10" t="s">
        <v>270</v>
      </c>
      <c r="G5534" s="10" t="s">
        <v>34476</v>
      </c>
      <c r="H5534" s="11" t="s">
        <v>31</v>
      </c>
      <c r="I5534" s="11">
        <v>1.0</v>
      </c>
      <c r="J5534" s="11">
        <v>1.0</v>
      </c>
      <c r="K5534" s="11" t="s">
        <v>31</v>
      </c>
      <c r="L5534" s="12" t="s">
        <v>34372</v>
      </c>
      <c r="M5534" s="10" t="s">
        <v>34477</v>
      </c>
      <c r="N5534" s="10" t="s">
        <v>465</v>
      </c>
      <c r="O5534" s="12" t="s">
        <v>466</v>
      </c>
      <c r="P5534" s="10" t="s">
        <v>34365</v>
      </c>
      <c r="Q5534" s="10" t="s">
        <v>31</v>
      </c>
      <c r="R5534" s="10" t="s">
        <v>31</v>
      </c>
      <c r="S5534" s="12" t="s">
        <v>34366</v>
      </c>
      <c r="T5534" s="10" t="s">
        <v>422</v>
      </c>
      <c r="U5534" s="12" t="s">
        <v>34367</v>
      </c>
      <c r="V5534" s="10" t="s">
        <v>270</v>
      </c>
      <c r="W5534" s="10" t="s">
        <v>34361</v>
      </c>
      <c r="X5534" s="13" t="str">
        <f>HYPERLINK("https://my.pitchbook.com?p=441608-05P","View People Online")</f>
        <v>View People Online</v>
      </c>
    </row>
    <row r="5535">
      <c r="A5535" s="14" t="s">
        <v>34478</v>
      </c>
      <c r="B5535" s="14" t="s">
        <v>34479</v>
      </c>
      <c r="C5535" s="14" t="s">
        <v>3113</v>
      </c>
      <c r="D5535" s="14" t="s">
        <v>34480</v>
      </c>
      <c r="E5535" s="14" t="s">
        <v>34361</v>
      </c>
      <c r="F5535" s="14" t="s">
        <v>270</v>
      </c>
      <c r="G5535" s="14" t="s">
        <v>34481</v>
      </c>
      <c r="H5535" s="15">
        <v>1.0</v>
      </c>
      <c r="I5535" s="15">
        <v>2.0</v>
      </c>
      <c r="J5535" s="15">
        <v>1.0</v>
      </c>
      <c r="K5535" s="15" t="s">
        <v>31</v>
      </c>
      <c r="L5535" s="16" t="s">
        <v>34372</v>
      </c>
      <c r="M5535" s="14" t="s">
        <v>34482</v>
      </c>
      <c r="N5535" s="14" t="s">
        <v>465</v>
      </c>
      <c r="O5535" s="16" t="s">
        <v>466</v>
      </c>
      <c r="P5535" s="14" t="s">
        <v>34365</v>
      </c>
      <c r="Q5535" s="14" t="s">
        <v>31</v>
      </c>
      <c r="R5535" s="14" t="s">
        <v>31</v>
      </c>
      <c r="S5535" s="16" t="s">
        <v>34366</v>
      </c>
      <c r="T5535" s="14" t="s">
        <v>422</v>
      </c>
      <c r="U5535" s="16" t="s">
        <v>34367</v>
      </c>
      <c r="V5535" s="14" t="s">
        <v>270</v>
      </c>
      <c r="W5535" s="14" t="s">
        <v>34361</v>
      </c>
      <c r="X5535" s="17" t="str">
        <f>HYPERLINK("https://my.pitchbook.com?p=217734-85P","View People Online")</f>
        <v>View People Online</v>
      </c>
    </row>
    <row r="5536">
      <c r="A5536" s="2" t="s">
        <v>34483</v>
      </c>
      <c r="B5536" s="2" t="s">
        <v>34484</v>
      </c>
      <c r="C5536" s="2" t="s">
        <v>2283</v>
      </c>
      <c r="D5536" s="2" t="s">
        <v>34485</v>
      </c>
      <c r="E5536" s="2" t="s">
        <v>34361</v>
      </c>
      <c r="F5536" s="2" t="s">
        <v>825</v>
      </c>
      <c r="G5536" s="2" t="s">
        <v>34486</v>
      </c>
      <c r="H5536" s="3" t="s">
        <v>31</v>
      </c>
      <c r="I5536" s="3">
        <v>1.0</v>
      </c>
      <c r="J5536" s="3">
        <v>1.0</v>
      </c>
      <c r="K5536" s="3" t="s">
        <v>31</v>
      </c>
      <c r="L5536" s="4" t="s">
        <v>34372</v>
      </c>
      <c r="M5536" s="2" t="s">
        <v>34487</v>
      </c>
      <c r="N5536" s="2" t="s">
        <v>465</v>
      </c>
      <c r="O5536" s="4" t="s">
        <v>466</v>
      </c>
      <c r="P5536" s="2" t="s">
        <v>34365</v>
      </c>
      <c r="Q5536" s="2" t="s">
        <v>31</v>
      </c>
      <c r="R5536" s="2" t="s">
        <v>31</v>
      </c>
      <c r="S5536" s="4" t="s">
        <v>34366</v>
      </c>
      <c r="T5536" s="2" t="s">
        <v>422</v>
      </c>
      <c r="U5536" s="4" t="s">
        <v>34367</v>
      </c>
      <c r="V5536" s="2" t="s">
        <v>34488</v>
      </c>
      <c r="W5536" s="2" t="s">
        <v>34361</v>
      </c>
      <c r="X5536" s="5" t="str">
        <f>HYPERLINK("https://my.pitchbook.com?p=326365-93P","View People Online")</f>
        <v>View People Online</v>
      </c>
    </row>
    <row r="5537">
      <c r="A5537" s="6" t="s">
        <v>34489</v>
      </c>
      <c r="B5537" s="6" t="s">
        <v>34490</v>
      </c>
      <c r="C5537" s="6" t="s">
        <v>34491</v>
      </c>
      <c r="D5537" s="6" t="s">
        <v>34492</v>
      </c>
      <c r="E5537" s="6" t="s">
        <v>34361</v>
      </c>
      <c r="F5537" s="6" t="s">
        <v>825</v>
      </c>
      <c r="G5537" s="6" t="s">
        <v>34493</v>
      </c>
      <c r="H5537" s="7" t="s">
        <v>31</v>
      </c>
      <c r="I5537" s="7">
        <v>2.0</v>
      </c>
      <c r="J5537" s="7">
        <v>1.0</v>
      </c>
      <c r="K5537" s="7">
        <v>1.0</v>
      </c>
      <c r="L5537" s="8" t="s">
        <v>34372</v>
      </c>
      <c r="M5537" s="6" t="s">
        <v>34494</v>
      </c>
      <c r="N5537" s="6" t="s">
        <v>465</v>
      </c>
      <c r="O5537" s="8" t="s">
        <v>466</v>
      </c>
      <c r="P5537" s="6" t="s">
        <v>34365</v>
      </c>
      <c r="Q5537" s="6" t="s">
        <v>31</v>
      </c>
      <c r="R5537" s="6" t="s">
        <v>31</v>
      </c>
      <c r="S5537" s="8" t="s">
        <v>34366</v>
      </c>
      <c r="T5537" s="6" t="s">
        <v>422</v>
      </c>
      <c r="U5537" s="8" t="s">
        <v>34367</v>
      </c>
      <c r="V5537" s="6" t="s">
        <v>825</v>
      </c>
      <c r="W5537" s="6" t="s">
        <v>34361</v>
      </c>
      <c r="X5537" s="9" t="str">
        <f>HYPERLINK("https://my.pitchbook.com?p=325528-93P","View People Online")</f>
        <v>View People Online</v>
      </c>
    </row>
    <row r="5538">
      <c r="A5538" s="10" t="s">
        <v>34495</v>
      </c>
      <c r="B5538" s="10" t="s">
        <v>34496</v>
      </c>
      <c r="C5538" s="10" t="s">
        <v>9417</v>
      </c>
      <c r="D5538" s="10" t="s">
        <v>34497</v>
      </c>
      <c r="E5538" s="10" t="s">
        <v>34361</v>
      </c>
      <c r="F5538" s="10" t="s">
        <v>8950</v>
      </c>
      <c r="G5538" s="10" t="s">
        <v>34498</v>
      </c>
      <c r="H5538" s="11" t="s">
        <v>31</v>
      </c>
      <c r="I5538" s="11">
        <v>2.0</v>
      </c>
      <c r="J5538" s="11">
        <v>1.0</v>
      </c>
      <c r="K5538" s="11">
        <v>1.0</v>
      </c>
      <c r="L5538" s="12" t="s">
        <v>34372</v>
      </c>
      <c r="M5538" s="10" t="s">
        <v>34499</v>
      </c>
      <c r="N5538" s="10" t="s">
        <v>465</v>
      </c>
      <c r="O5538" s="12" t="s">
        <v>466</v>
      </c>
      <c r="P5538" s="10" t="s">
        <v>34365</v>
      </c>
      <c r="Q5538" s="10" t="s">
        <v>31</v>
      </c>
      <c r="R5538" s="10" t="s">
        <v>31</v>
      </c>
      <c r="S5538" s="12" t="s">
        <v>34366</v>
      </c>
      <c r="T5538" s="10" t="s">
        <v>422</v>
      </c>
      <c r="U5538" s="12" t="s">
        <v>34367</v>
      </c>
      <c r="V5538" s="10" t="s">
        <v>34500</v>
      </c>
      <c r="W5538" s="10" t="s">
        <v>34361</v>
      </c>
      <c r="X5538" s="13" t="str">
        <f>HYPERLINK("https://my.pitchbook.com?p=354619-27P","View People Online")</f>
        <v>View People Online</v>
      </c>
    </row>
    <row r="5539">
      <c r="A5539" s="6" t="s">
        <v>34501</v>
      </c>
      <c r="B5539" s="6" t="s">
        <v>34502</v>
      </c>
      <c r="C5539" s="6" t="s">
        <v>34503</v>
      </c>
      <c r="D5539" s="6" t="s">
        <v>34504</v>
      </c>
      <c r="E5539" s="6" t="s">
        <v>34361</v>
      </c>
      <c r="F5539" s="6" t="s">
        <v>34505</v>
      </c>
      <c r="G5539" s="6" t="s">
        <v>34506</v>
      </c>
      <c r="H5539" s="7" t="s">
        <v>31</v>
      </c>
      <c r="I5539" s="7">
        <v>1.0</v>
      </c>
      <c r="J5539" s="7">
        <v>1.0</v>
      </c>
      <c r="K5539" s="7" t="s">
        <v>31</v>
      </c>
      <c r="L5539" s="8" t="s">
        <v>34372</v>
      </c>
      <c r="M5539" s="6" t="s">
        <v>34507</v>
      </c>
      <c r="N5539" s="6" t="s">
        <v>465</v>
      </c>
      <c r="O5539" s="8" t="s">
        <v>466</v>
      </c>
      <c r="P5539" s="6" t="s">
        <v>34365</v>
      </c>
      <c r="Q5539" s="6" t="s">
        <v>31</v>
      </c>
      <c r="R5539" s="6" t="s">
        <v>31</v>
      </c>
      <c r="S5539" s="8" t="s">
        <v>34366</v>
      </c>
      <c r="T5539" s="6" t="s">
        <v>422</v>
      </c>
      <c r="U5539" s="8" t="s">
        <v>34367</v>
      </c>
      <c r="V5539" s="6" t="s">
        <v>34508</v>
      </c>
      <c r="W5539" s="6" t="s">
        <v>34361</v>
      </c>
      <c r="X5539" s="9" t="str">
        <f>HYPERLINK("https://my.pitchbook.com?p=386349-31P","View People Online")</f>
        <v>View People Online</v>
      </c>
    </row>
    <row r="5540">
      <c r="A5540" s="2" t="s">
        <v>34509</v>
      </c>
      <c r="B5540" s="2" t="s">
        <v>34510</v>
      </c>
      <c r="C5540" s="2" t="s">
        <v>3359</v>
      </c>
      <c r="D5540" s="2" t="s">
        <v>34511</v>
      </c>
      <c r="E5540" s="2" t="s">
        <v>34361</v>
      </c>
      <c r="F5540" s="2" t="s">
        <v>270</v>
      </c>
      <c r="G5540" s="2" t="s">
        <v>34512</v>
      </c>
      <c r="H5540" s="3" t="s">
        <v>31</v>
      </c>
      <c r="I5540" s="3">
        <v>1.0</v>
      </c>
      <c r="J5540" s="3">
        <v>1.0</v>
      </c>
      <c r="K5540" s="3" t="s">
        <v>31</v>
      </c>
      <c r="L5540" s="4" t="s">
        <v>34372</v>
      </c>
      <c r="M5540" s="2" t="s">
        <v>34513</v>
      </c>
      <c r="N5540" s="2" t="s">
        <v>465</v>
      </c>
      <c r="O5540" s="4" t="s">
        <v>466</v>
      </c>
      <c r="P5540" s="2" t="s">
        <v>34365</v>
      </c>
      <c r="Q5540" s="2" t="s">
        <v>31</v>
      </c>
      <c r="R5540" s="2" t="s">
        <v>31</v>
      </c>
      <c r="S5540" s="4" t="s">
        <v>34366</v>
      </c>
      <c r="T5540" s="2" t="s">
        <v>422</v>
      </c>
      <c r="U5540" s="4" t="s">
        <v>34367</v>
      </c>
      <c r="V5540" s="2" t="s">
        <v>34514</v>
      </c>
      <c r="W5540" s="2" t="s">
        <v>34361</v>
      </c>
      <c r="X5540" s="5" t="str">
        <f>HYPERLINK("https://my.pitchbook.com?p=251629-75P","View People Online")</f>
        <v>View People Online</v>
      </c>
    </row>
    <row r="5541">
      <c r="A5541" s="14" t="s">
        <v>34515</v>
      </c>
      <c r="B5541" s="14" t="s">
        <v>34516</v>
      </c>
      <c r="C5541" s="14" t="s">
        <v>34517</v>
      </c>
      <c r="D5541" s="14" t="s">
        <v>34518</v>
      </c>
      <c r="E5541" s="14" t="s">
        <v>34361</v>
      </c>
      <c r="F5541" s="14" t="s">
        <v>270</v>
      </c>
      <c r="G5541" s="14" t="s">
        <v>34519</v>
      </c>
      <c r="H5541" s="15" t="s">
        <v>31</v>
      </c>
      <c r="I5541" s="15">
        <v>1.0</v>
      </c>
      <c r="J5541" s="15">
        <v>1.0</v>
      </c>
      <c r="K5541" s="15" t="s">
        <v>31</v>
      </c>
      <c r="L5541" s="16" t="s">
        <v>34372</v>
      </c>
      <c r="M5541" s="14" t="s">
        <v>34520</v>
      </c>
      <c r="N5541" s="14" t="s">
        <v>465</v>
      </c>
      <c r="O5541" s="16" t="s">
        <v>466</v>
      </c>
      <c r="P5541" s="14" t="s">
        <v>34365</v>
      </c>
      <c r="Q5541" s="14" t="s">
        <v>31</v>
      </c>
      <c r="R5541" s="14" t="s">
        <v>31</v>
      </c>
      <c r="S5541" s="16" t="s">
        <v>34366</v>
      </c>
      <c r="T5541" s="14" t="s">
        <v>422</v>
      </c>
      <c r="U5541" s="16" t="s">
        <v>34367</v>
      </c>
      <c r="V5541" s="14" t="s">
        <v>34521</v>
      </c>
      <c r="W5541" s="14" t="s">
        <v>34361</v>
      </c>
      <c r="X5541" s="17" t="str">
        <f>HYPERLINK("https://my.pitchbook.com?p=227650-51P","View People Online")</f>
        <v>View People Online</v>
      </c>
    </row>
    <row r="5542">
      <c r="A5542" s="10" t="s">
        <v>34522</v>
      </c>
      <c r="B5542" s="10" t="s">
        <v>34523</v>
      </c>
      <c r="C5542" s="10" t="s">
        <v>21750</v>
      </c>
      <c r="D5542" s="10" t="s">
        <v>3775</v>
      </c>
      <c r="E5542" s="10" t="s">
        <v>34361</v>
      </c>
      <c r="F5542" s="10" t="s">
        <v>1801</v>
      </c>
      <c r="G5542" s="10" t="s">
        <v>34524</v>
      </c>
      <c r="H5542" s="11" t="s">
        <v>31</v>
      </c>
      <c r="I5542" s="11">
        <v>1.0</v>
      </c>
      <c r="J5542" s="11">
        <v>1.0</v>
      </c>
      <c r="K5542" s="11" t="s">
        <v>31</v>
      </c>
      <c r="L5542" s="12" t="s">
        <v>34372</v>
      </c>
      <c r="M5542" s="10" t="s">
        <v>34525</v>
      </c>
      <c r="N5542" s="10" t="s">
        <v>465</v>
      </c>
      <c r="O5542" s="12" t="s">
        <v>466</v>
      </c>
      <c r="P5542" s="10" t="s">
        <v>34365</v>
      </c>
      <c r="Q5542" s="10" t="s">
        <v>31</v>
      </c>
      <c r="R5542" s="10" t="s">
        <v>31</v>
      </c>
      <c r="S5542" s="12" t="s">
        <v>34366</v>
      </c>
      <c r="T5542" s="10" t="s">
        <v>422</v>
      </c>
      <c r="U5542" s="12" t="s">
        <v>34367</v>
      </c>
      <c r="V5542" s="10" t="s">
        <v>34526</v>
      </c>
      <c r="W5542" s="10" t="s">
        <v>34361</v>
      </c>
      <c r="X5542" s="13" t="str">
        <f>HYPERLINK("https://my.pitchbook.com?p=227650-78P","View People Online")</f>
        <v>View People Online</v>
      </c>
    </row>
    <row r="5543">
      <c r="A5543" s="14" t="s">
        <v>34527</v>
      </c>
      <c r="B5543" s="14" t="s">
        <v>34528</v>
      </c>
      <c r="C5543" s="14" t="s">
        <v>22016</v>
      </c>
      <c r="D5543" s="14" t="s">
        <v>34529</v>
      </c>
      <c r="E5543" s="14" t="s">
        <v>34361</v>
      </c>
      <c r="F5543" s="14" t="s">
        <v>825</v>
      </c>
      <c r="G5543" s="14" t="s">
        <v>34530</v>
      </c>
      <c r="H5543" s="15" t="s">
        <v>31</v>
      </c>
      <c r="I5543" s="15">
        <v>1.0</v>
      </c>
      <c r="J5543" s="15">
        <v>1.0</v>
      </c>
      <c r="K5543" s="15" t="s">
        <v>31</v>
      </c>
      <c r="L5543" s="16" t="s">
        <v>34372</v>
      </c>
      <c r="M5543" s="14" t="s">
        <v>34531</v>
      </c>
      <c r="N5543" s="14" t="s">
        <v>465</v>
      </c>
      <c r="O5543" s="16" t="s">
        <v>466</v>
      </c>
      <c r="P5543" s="14" t="s">
        <v>34365</v>
      </c>
      <c r="Q5543" s="14" t="s">
        <v>31</v>
      </c>
      <c r="R5543" s="14" t="s">
        <v>31</v>
      </c>
      <c r="S5543" s="16" t="s">
        <v>34366</v>
      </c>
      <c r="T5543" s="14" t="s">
        <v>422</v>
      </c>
      <c r="U5543" s="16" t="s">
        <v>34367</v>
      </c>
      <c r="V5543" s="14" t="s">
        <v>34532</v>
      </c>
      <c r="W5543" s="14" t="s">
        <v>34361</v>
      </c>
      <c r="X5543" s="17" t="str">
        <f>HYPERLINK("https://my.pitchbook.com?p=227649-61P","View People Online")</f>
        <v>View People Online</v>
      </c>
    </row>
    <row r="5544">
      <c r="A5544" s="10" t="s">
        <v>34533</v>
      </c>
      <c r="B5544" s="10" t="s">
        <v>34534</v>
      </c>
      <c r="C5544" s="10" t="s">
        <v>3409</v>
      </c>
      <c r="D5544" s="10" t="s">
        <v>34535</v>
      </c>
      <c r="E5544" s="10" t="s">
        <v>34361</v>
      </c>
      <c r="F5544" s="10" t="s">
        <v>270</v>
      </c>
      <c r="G5544" s="10" t="s">
        <v>34536</v>
      </c>
      <c r="H5544" s="11" t="s">
        <v>31</v>
      </c>
      <c r="I5544" s="11">
        <v>5.0</v>
      </c>
      <c r="J5544" s="11">
        <v>1.0</v>
      </c>
      <c r="K5544" s="11">
        <v>4.0</v>
      </c>
      <c r="L5544" s="12" t="s">
        <v>34372</v>
      </c>
      <c r="M5544" s="10" t="s">
        <v>34537</v>
      </c>
      <c r="N5544" s="10" t="s">
        <v>465</v>
      </c>
      <c r="O5544" s="12" t="s">
        <v>466</v>
      </c>
      <c r="P5544" s="10" t="s">
        <v>34365</v>
      </c>
      <c r="Q5544" s="10" t="s">
        <v>31</v>
      </c>
      <c r="R5544" s="10" t="s">
        <v>31</v>
      </c>
      <c r="S5544" s="12" t="s">
        <v>34366</v>
      </c>
      <c r="T5544" s="10" t="s">
        <v>422</v>
      </c>
      <c r="U5544" s="12" t="s">
        <v>34367</v>
      </c>
      <c r="V5544" s="10" t="s">
        <v>34538</v>
      </c>
      <c r="W5544" s="10" t="s">
        <v>34361</v>
      </c>
      <c r="X5544" s="13" t="str">
        <f>HYPERLINK("https://my.pitchbook.com?p=29798-38P","View People Online")</f>
        <v>View People Online</v>
      </c>
    </row>
    <row r="5545">
      <c r="A5545" s="6" t="s">
        <v>34539</v>
      </c>
      <c r="B5545" s="6" t="s">
        <v>34540</v>
      </c>
      <c r="C5545" s="6" t="s">
        <v>34541</v>
      </c>
      <c r="D5545" s="6" t="s">
        <v>34542</v>
      </c>
      <c r="E5545" s="6" t="s">
        <v>34361</v>
      </c>
      <c r="F5545" s="6" t="s">
        <v>3877</v>
      </c>
      <c r="G5545" s="6" t="s">
        <v>34543</v>
      </c>
      <c r="H5545" s="7" t="s">
        <v>31</v>
      </c>
      <c r="I5545" s="7">
        <v>1.0</v>
      </c>
      <c r="J5545" s="7">
        <v>1.0</v>
      </c>
      <c r="K5545" s="7" t="s">
        <v>31</v>
      </c>
      <c r="L5545" s="8" t="s">
        <v>34372</v>
      </c>
      <c r="M5545" s="6" t="s">
        <v>34544</v>
      </c>
      <c r="N5545" s="6" t="s">
        <v>465</v>
      </c>
      <c r="O5545" s="8" t="s">
        <v>466</v>
      </c>
      <c r="P5545" s="6" t="s">
        <v>34365</v>
      </c>
      <c r="Q5545" s="6" t="s">
        <v>31</v>
      </c>
      <c r="R5545" s="6" t="s">
        <v>31</v>
      </c>
      <c r="S5545" s="8" t="s">
        <v>34366</v>
      </c>
      <c r="T5545" s="6" t="s">
        <v>422</v>
      </c>
      <c r="U5545" s="8" t="s">
        <v>34367</v>
      </c>
      <c r="V5545" s="6" t="s">
        <v>34545</v>
      </c>
      <c r="W5545" s="6" t="s">
        <v>34361</v>
      </c>
      <c r="X5545" s="9" t="str">
        <f>HYPERLINK("https://my.pitchbook.com?p=386350-39P","View People Online")</f>
        <v>View People Online</v>
      </c>
    </row>
    <row r="5546">
      <c r="A5546" s="2" t="s">
        <v>34546</v>
      </c>
      <c r="B5546" s="2" t="s">
        <v>34547</v>
      </c>
      <c r="C5546" s="2" t="s">
        <v>22840</v>
      </c>
      <c r="D5546" s="2" t="s">
        <v>34548</v>
      </c>
      <c r="E5546" s="2" t="s">
        <v>34361</v>
      </c>
      <c r="F5546" s="2" t="s">
        <v>34549</v>
      </c>
      <c r="G5546" s="2" t="s">
        <v>34550</v>
      </c>
      <c r="H5546" s="3" t="s">
        <v>31</v>
      </c>
      <c r="I5546" s="3">
        <v>1.0</v>
      </c>
      <c r="J5546" s="3">
        <v>1.0</v>
      </c>
      <c r="K5546" s="3" t="s">
        <v>31</v>
      </c>
      <c r="L5546" s="4" t="s">
        <v>34372</v>
      </c>
      <c r="M5546" s="2" t="s">
        <v>34551</v>
      </c>
      <c r="N5546" s="2" t="s">
        <v>465</v>
      </c>
      <c r="O5546" s="4" t="s">
        <v>466</v>
      </c>
      <c r="P5546" s="2" t="s">
        <v>34365</v>
      </c>
      <c r="Q5546" s="2" t="s">
        <v>31</v>
      </c>
      <c r="R5546" s="2" t="s">
        <v>31</v>
      </c>
      <c r="S5546" s="4" t="s">
        <v>34366</v>
      </c>
      <c r="T5546" s="2" t="s">
        <v>422</v>
      </c>
      <c r="U5546" s="4" t="s">
        <v>34367</v>
      </c>
      <c r="V5546" s="2" t="s">
        <v>34552</v>
      </c>
      <c r="W5546" s="2" t="s">
        <v>34361</v>
      </c>
      <c r="X5546" s="5" t="str">
        <f>HYPERLINK("https://my.pitchbook.com?p=386348-14P","View People Online")</f>
        <v>View People Online</v>
      </c>
    </row>
    <row r="5547">
      <c r="A5547" s="14" t="s">
        <v>34553</v>
      </c>
      <c r="B5547" s="14" t="s">
        <v>34554</v>
      </c>
      <c r="C5547" s="14" t="s">
        <v>69</v>
      </c>
      <c r="D5547" s="14" t="s">
        <v>34555</v>
      </c>
      <c r="E5547" s="14" t="s">
        <v>34556</v>
      </c>
      <c r="F5547" s="14" t="s">
        <v>318</v>
      </c>
      <c r="G5547" s="14" t="s">
        <v>34557</v>
      </c>
      <c r="H5547" s="15" t="s">
        <v>31</v>
      </c>
      <c r="I5547" s="15">
        <v>1.0</v>
      </c>
      <c r="J5547" s="15">
        <v>1.0</v>
      </c>
      <c r="K5547" s="15" t="s">
        <v>31</v>
      </c>
      <c r="L5547" s="16" t="s">
        <v>34558</v>
      </c>
      <c r="M5547" s="14" t="s">
        <v>34559</v>
      </c>
      <c r="N5547" s="14" t="s">
        <v>75</v>
      </c>
      <c r="O5547" s="16" t="s">
        <v>76</v>
      </c>
      <c r="P5547" s="14" t="s">
        <v>34560</v>
      </c>
      <c r="Q5547" s="14" t="s">
        <v>34561</v>
      </c>
      <c r="R5547" s="14" t="s">
        <v>75</v>
      </c>
      <c r="S5547" s="16" t="s">
        <v>1896</v>
      </c>
      <c r="T5547" s="14" t="s">
        <v>66</v>
      </c>
      <c r="U5547" s="16" t="s">
        <v>31</v>
      </c>
      <c r="V5547" s="14" t="s">
        <v>318</v>
      </c>
      <c r="W5547" s="14" t="s">
        <v>34556</v>
      </c>
      <c r="X5547" s="17" t="str">
        <f>HYPERLINK("https://my.pitchbook.com?p=277713-10P","View People Online")</f>
        <v>View People Online</v>
      </c>
    </row>
    <row r="5548">
      <c r="A5548" s="2" t="s">
        <v>34562</v>
      </c>
      <c r="B5548" s="2" t="s">
        <v>34563</v>
      </c>
      <c r="C5548" s="2" t="s">
        <v>24775</v>
      </c>
      <c r="D5548" s="2" t="s">
        <v>5608</v>
      </c>
      <c r="E5548" s="2" t="s">
        <v>34556</v>
      </c>
      <c r="F5548" s="2" t="s">
        <v>86</v>
      </c>
      <c r="G5548" s="2" t="s">
        <v>34564</v>
      </c>
      <c r="H5548" s="3">
        <v>1.0</v>
      </c>
      <c r="I5548" s="3">
        <v>37.0</v>
      </c>
      <c r="J5548" s="3">
        <v>1.0</v>
      </c>
      <c r="K5548" s="3">
        <v>27.0</v>
      </c>
      <c r="L5548" s="4" t="s">
        <v>34565</v>
      </c>
      <c r="M5548" s="2" t="s">
        <v>34566</v>
      </c>
      <c r="N5548" s="2" t="s">
        <v>75</v>
      </c>
      <c r="O5548" s="4" t="s">
        <v>76</v>
      </c>
      <c r="P5548" s="2" t="s">
        <v>34560</v>
      </c>
      <c r="Q5548" s="2" t="s">
        <v>34561</v>
      </c>
      <c r="R5548" s="2" t="s">
        <v>75</v>
      </c>
      <c r="S5548" s="4" t="s">
        <v>1896</v>
      </c>
      <c r="T5548" s="2" t="s">
        <v>66</v>
      </c>
      <c r="U5548" s="4" t="s">
        <v>31</v>
      </c>
      <c r="V5548" s="2" t="s">
        <v>95</v>
      </c>
      <c r="W5548" s="2" t="s">
        <v>34556</v>
      </c>
      <c r="X5548" s="5" t="str">
        <f>HYPERLINK("https://my.pitchbook.com?p=43365-07P","View People Online")</f>
        <v>View People Online</v>
      </c>
    </row>
    <row r="5549">
      <c r="A5549" s="14" t="s">
        <v>34567</v>
      </c>
      <c r="B5549" s="14" t="s">
        <v>34568</v>
      </c>
      <c r="C5549" s="14" t="s">
        <v>6010</v>
      </c>
      <c r="D5549" s="14" t="s">
        <v>10339</v>
      </c>
      <c r="E5549" s="14" t="s">
        <v>34556</v>
      </c>
      <c r="F5549" s="14" t="s">
        <v>29</v>
      </c>
      <c r="G5549" s="14" t="s">
        <v>34569</v>
      </c>
      <c r="H5549" s="15" t="s">
        <v>31</v>
      </c>
      <c r="I5549" s="15">
        <v>2.0</v>
      </c>
      <c r="J5549" s="15">
        <v>1.0</v>
      </c>
      <c r="K5549" s="15">
        <v>1.0</v>
      </c>
      <c r="L5549" s="16" t="s">
        <v>34558</v>
      </c>
      <c r="M5549" s="14" t="s">
        <v>34570</v>
      </c>
      <c r="N5549" s="14" t="s">
        <v>75</v>
      </c>
      <c r="O5549" s="16" t="s">
        <v>76</v>
      </c>
      <c r="P5549" s="14" t="s">
        <v>34560</v>
      </c>
      <c r="Q5549" s="14" t="s">
        <v>34561</v>
      </c>
      <c r="R5549" s="14" t="s">
        <v>75</v>
      </c>
      <c r="S5549" s="16" t="s">
        <v>1896</v>
      </c>
      <c r="T5549" s="14" t="s">
        <v>66</v>
      </c>
      <c r="U5549" s="16" t="s">
        <v>31</v>
      </c>
      <c r="V5549" s="14" t="s">
        <v>29</v>
      </c>
      <c r="W5549" s="14" t="s">
        <v>34556</v>
      </c>
      <c r="X5549" s="17" t="str">
        <f>HYPERLINK("https://my.pitchbook.com?p=221550-85P","View People Online")</f>
        <v>View People Online</v>
      </c>
    </row>
    <row r="5550">
      <c r="A5550" s="10" t="s">
        <v>34571</v>
      </c>
      <c r="B5550" s="10" t="s">
        <v>34572</v>
      </c>
      <c r="C5550" s="10" t="s">
        <v>34573</v>
      </c>
      <c r="D5550" s="10" t="s">
        <v>3458</v>
      </c>
      <c r="E5550" s="10" t="s">
        <v>34556</v>
      </c>
      <c r="F5550" s="10" t="s">
        <v>86</v>
      </c>
      <c r="G5550" s="10" t="s">
        <v>34574</v>
      </c>
      <c r="H5550" s="11">
        <v>3.0</v>
      </c>
      <c r="I5550" s="11">
        <v>146.0</v>
      </c>
      <c r="J5550" s="11">
        <v>2.0</v>
      </c>
      <c r="K5550" s="11">
        <v>128.0</v>
      </c>
      <c r="L5550" s="12" t="s">
        <v>34558</v>
      </c>
      <c r="M5550" s="10" t="s">
        <v>34575</v>
      </c>
      <c r="N5550" s="10" t="s">
        <v>75</v>
      </c>
      <c r="O5550" s="12" t="s">
        <v>76</v>
      </c>
      <c r="P5550" s="10" t="s">
        <v>34560</v>
      </c>
      <c r="Q5550" s="10" t="s">
        <v>34561</v>
      </c>
      <c r="R5550" s="10" t="s">
        <v>75</v>
      </c>
      <c r="S5550" s="12" t="s">
        <v>1896</v>
      </c>
      <c r="T5550" s="10" t="s">
        <v>66</v>
      </c>
      <c r="U5550" s="12" t="s">
        <v>31</v>
      </c>
      <c r="V5550" s="10" t="s">
        <v>95</v>
      </c>
      <c r="W5550" s="10" t="s">
        <v>34556</v>
      </c>
      <c r="X5550" s="13" t="str">
        <f>HYPERLINK("https://my.pitchbook.com?p=37027-99P","View People Online")</f>
        <v>View People Online</v>
      </c>
    </row>
    <row r="5551">
      <c r="A5551" s="14" t="s">
        <v>34576</v>
      </c>
      <c r="B5551" s="14" t="s">
        <v>34577</v>
      </c>
      <c r="C5551" s="14" t="s">
        <v>12077</v>
      </c>
      <c r="D5551" s="14" t="s">
        <v>15387</v>
      </c>
      <c r="E5551" s="14" t="s">
        <v>34556</v>
      </c>
      <c r="F5551" s="14" t="s">
        <v>270</v>
      </c>
      <c r="G5551" s="14" t="s">
        <v>34578</v>
      </c>
      <c r="H5551" s="15" t="s">
        <v>31</v>
      </c>
      <c r="I5551" s="15">
        <v>1.0</v>
      </c>
      <c r="J5551" s="15">
        <v>1.0</v>
      </c>
      <c r="K5551" s="15" t="s">
        <v>31</v>
      </c>
      <c r="L5551" s="16" t="s">
        <v>34558</v>
      </c>
      <c r="M5551" s="14" t="s">
        <v>34579</v>
      </c>
      <c r="N5551" s="14" t="s">
        <v>75</v>
      </c>
      <c r="O5551" s="16" t="s">
        <v>76</v>
      </c>
      <c r="P5551" s="14" t="s">
        <v>34560</v>
      </c>
      <c r="Q5551" s="14" t="s">
        <v>34561</v>
      </c>
      <c r="R5551" s="14" t="s">
        <v>75</v>
      </c>
      <c r="S5551" s="16" t="s">
        <v>1896</v>
      </c>
      <c r="T5551" s="14" t="s">
        <v>66</v>
      </c>
      <c r="U5551" s="16" t="s">
        <v>31</v>
      </c>
      <c r="V5551" s="14" t="s">
        <v>440</v>
      </c>
      <c r="W5551" s="14" t="s">
        <v>34556</v>
      </c>
      <c r="X5551" s="17" t="str">
        <f>HYPERLINK("https://my.pitchbook.com?p=350493-76P","View People Online")</f>
        <v>View People Online</v>
      </c>
    </row>
    <row r="5552">
      <c r="A5552" s="10" t="s">
        <v>34580</v>
      </c>
      <c r="B5552" s="10" t="s">
        <v>34581</v>
      </c>
      <c r="C5552" s="10" t="s">
        <v>34582</v>
      </c>
      <c r="D5552" s="10" t="s">
        <v>34583</v>
      </c>
      <c r="E5552" s="10" t="s">
        <v>34556</v>
      </c>
      <c r="F5552" s="10" t="s">
        <v>502</v>
      </c>
      <c r="G5552" s="10" t="s">
        <v>34584</v>
      </c>
      <c r="H5552" s="11" t="s">
        <v>31</v>
      </c>
      <c r="I5552" s="11">
        <v>1.0</v>
      </c>
      <c r="J5552" s="11">
        <v>1.0</v>
      </c>
      <c r="K5552" s="11" t="s">
        <v>31</v>
      </c>
      <c r="L5552" s="12" t="s">
        <v>34558</v>
      </c>
      <c r="M5552" s="10" t="s">
        <v>34585</v>
      </c>
      <c r="N5552" s="10" t="s">
        <v>75</v>
      </c>
      <c r="O5552" s="12" t="s">
        <v>76</v>
      </c>
      <c r="P5552" s="10" t="s">
        <v>34560</v>
      </c>
      <c r="Q5552" s="10" t="s">
        <v>34561</v>
      </c>
      <c r="R5552" s="10" t="s">
        <v>75</v>
      </c>
      <c r="S5552" s="12" t="s">
        <v>1896</v>
      </c>
      <c r="T5552" s="10" t="s">
        <v>66</v>
      </c>
      <c r="U5552" s="12" t="s">
        <v>31</v>
      </c>
      <c r="V5552" s="10" t="s">
        <v>502</v>
      </c>
      <c r="W5552" s="10" t="s">
        <v>34556</v>
      </c>
      <c r="X5552" s="13" t="str">
        <f>HYPERLINK("https://my.pitchbook.com?p=84568-06P","View People Online")</f>
        <v>View People Online</v>
      </c>
    </row>
    <row r="5553">
      <c r="A5553" s="6" t="s">
        <v>34586</v>
      </c>
      <c r="B5553" s="6" t="s">
        <v>34587</v>
      </c>
      <c r="C5553" s="6" t="s">
        <v>34588</v>
      </c>
      <c r="D5553" s="6" t="s">
        <v>34589</v>
      </c>
      <c r="E5553" s="6" t="s">
        <v>34556</v>
      </c>
      <c r="F5553" s="6" t="s">
        <v>270</v>
      </c>
      <c r="G5553" s="6" t="s">
        <v>34590</v>
      </c>
      <c r="H5553" s="7" t="s">
        <v>31</v>
      </c>
      <c r="I5553" s="7">
        <v>1.0</v>
      </c>
      <c r="J5553" s="7">
        <v>1.0</v>
      </c>
      <c r="K5553" s="7" t="s">
        <v>31</v>
      </c>
      <c r="L5553" s="8" t="s">
        <v>34558</v>
      </c>
      <c r="M5553" s="6" t="s">
        <v>31</v>
      </c>
      <c r="N5553" s="6" t="s">
        <v>75</v>
      </c>
      <c r="O5553" s="8" t="s">
        <v>76</v>
      </c>
      <c r="P5553" s="6" t="s">
        <v>34560</v>
      </c>
      <c r="Q5553" s="6" t="s">
        <v>34561</v>
      </c>
      <c r="R5553" s="6" t="s">
        <v>75</v>
      </c>
      <c r="S5553" s="8" t="s">
        <v>1896</v>
      </c>
      <c r="T5553" s="6" t="s">
        <v>66</v>
      </c>
      <c r="U5553" s="8" t="s">
        <v>31</v>
      </c>
      <c r="V5553" s="6" t="s">
        <v>440</v>
      </c>
      <c r="W5553" s="6" t="s">
        <v>34556</v>
      </c>
      <c r="X5553" s="9" t="str">
        <f>HYPERLINK("https://my.pitchbook.com?p=428356-09P","View People Online")</f>
        <v>View People Online</v>
      </c>
    </row>
    <row r="5554">
      <c r="A5554" s="2" t="s">
        <v>34591</v>
      </c>
      <c r="B5554" s="2" t="s">
        <v>34592</v>
      </c>
      <c r="C5554" s="2" t="s">
        <v>1066</v>
      </c>
      <c r="D5554" s="2" t="s">
        <v>3354</v>
      </c>
      <c r="E5554" s="2" t="s">
        <v>34556</v>
      </c>
      <c r="F5554" s="2" t="s">
        <v>86</v>
      </c>
      <c r="G5554" s="2" t="s">
        <v>34593</v>
      </c>
      <c r="H5554" s="3">
        <v>1.0</v>
      </c>
      <c r="I5554" s="3">
        <v>39.0</v>
      </c>
      <c r="J5554" s="3">
        <v>1.0</v>
      </c>
      <c r="K5554" s="3">
        <v>29.0</v>
      </c>
      <c r="L5554" s="4" t="s">
        <v>34558</v>
      </c>
      <c r="M5554" s="2" t="s">
        <v>34594</v>
      </c>
      <c r="N5554" s="2" t="s">
        <v>75</v>
      </c>
      <c r="O5554" s="4" t="s">
        <v>76</v>
      </c>
      <c r="P5554" s="2" t="s">
        <v>34560</v>
      </c>
      <c r="Q5554" s="2" t="s">
        <v>34561</v>
      </c>
      <c r="R5554" s="2" t="s">
        <v>75</v>
      </c>
      <c r="S5554" s="4" t="s">
        <v>1896</v>
      </c>
      <c r="T5554" s="2" t="s">
        <v>66</v>
      </c>
      <c r="U5554" s="4" t="s">
        <v>31</v>
      </c>
      <c r="V5554" s="2" t="s">
        <v>95</v>
      </c>
      <c r="W5554" s="2" t="s">
        <v>34556</v>
      </c>
      <c r="X5554" s="5" t="str">
        <f>HYPERLINK("https://my.pitchbook.com?p=43365-79P","View People Online")</f>
        <v>View People Online</v>
      </c>
    </row>
    <row r="5555">
      <c r="A5555" s="14" t="s">
        <v>34595</v>
      </c>
      <c r="B5555" s="14" t="s">
        <v>34596</v>
      </c>
      <c r="C5555" s="14" t="s">
        <v>316</v>
      </c>
      <c r="D5555" s="14" t="s">
        <v>6701</v>
      </c>
      <c r="E5555" s="14" t="s">
        <v>34597</v>
      </c>
      <c r="F5555" s="14" t="s">
        <v>318</v>
      </c>
      <c r="G5555" s="14" t="s">
        <v>34598</v>
      </c>
      <c r="H5555" s="15" t="s">
        <v>31</v>
      </c>
      <c r="I5555" s="15">
        <v>1.0</v>
      </c>
      <c r="J5555" s="15">
        <v>1.0</v>
      </c>
      <c r="K5555" s="15" t="s">
        <v>31</v>
      </c>
      <c r="L5555" s="16" t="s">
        <v>31</v>
      </c>
      <c r="M5555" s="14" t="s">
        <v>34599</v>
      </c>
      <c r="N5555" s="14" t="s">
        <v>6960</v>
      </c>
      <c r="O5555" s="16" t="s">
        <v>6961</v>
      </c>
      <c r="P5555" s="14" t="s">
        <v>34600</v>
      </c>
      <c r="Q5555" s="14" t="s">
        <v>34601</v>
      </c>
      <c r="R5555" s="14" t="s">
        <v>31</v>
      </c>
      <c r="S5555" s="16" t="s">
        <v>31</v>
      </c>
      <c r="T5555" s="14" t="s">
        <v>6962</v>
      </c>
      <c r="U5555" s="16" t="s">
        <v>31</v>
      </c>
      <c r="V5555" s="14" t="s">
        <v>318</v>
      </c>
      <c r="W5555" s="14" t="s">
        <v>34597</v>
      </c>
      <c r="X5555" s="17" t="str">
        <f>HYPERLINK("https://my.pitchbook.com?p=315678-07P","View People Online")</f>
        <v>View People Online</v>
      </c>
    </row>
    <row r="5556">
      <c r="A5556" s="10" t="s">
        <v>34602</v>
      </c>
      <c r="B5556" s="10" t="s">
        <v>34603</v>
      </c>
      <c r="C5556" s="10" t="s">
        <v>34604</v>
      </c>
      <c r="D5556" s="10" t="s">
        <v>34605</v>
      </c>
      <c r="E5556" s="10" t="s">
        <v>34597</v>
      </c>
      <c r="F5556" s="10" t="s">
        <v>57</v>
      </c>
      <c r="G5556" s="10" t="s">
        <v>34606</v>
      </c>
      <c r="H5556" s="11" t="s">
        <v>31</v>
      </c>
      <c r="I5556" s="11">
        <v>11.0</v>
      </c>
      <c r="J5556" s="11">
        <v>2.0</v>
      </c>
      <c r="K5556" s="11">
        <v>8.0</v>
      </c>
      <c r="L5556" s="12" t="s">
        <v>31</v>
      </c>
      <c r="M5556" s="10" t="s">
        <v>34607</v>
      </c>
      <c r="N5556" s="10" t="s">
        <v>6960</v>
      </c>
      <c r="O5556" s="12" t="s">
        <v>6961</v>
      </c>
      <c r="P5556" s="10" t="s">
        <v>34600</v>
      </c>
      <c r="Q5556" s="10" t="s">
        <v>34601</v>
      </c>
      <c r="R5556" s="10" t="s">
        <v>31</v>
      </c>
      <c r="S5556" s="12" t="s">
        <v>31</v>
      </c>
      <c r="T5556" s="10" t="s">
        <v>6962</v>
      </c>
      <c r="U5556" s="12" t="s">
        <v>31</v>
      </c>
      <c r="V5556" s="10" t="s">
        <v>57</v>
      </c>
      <c r="W5556" s="10" t="s">
        <v>34597</v>
      </c>
      <c r="X5556" s="13" t="str">
        <f>HYPERLINK("https://my.pitchbook.com?p=184368-25P","View People Online")</f>
        <v>View People Online</v>
      </c>
    </row>
    <row r="5557">
      <c r="A5557" s="14" t="s">
        <v>34608</v>
      </c>
      <c r="B5557" s="14" t="s">
        <v>34609</v>
      </c>
      <c r="C5557" s="14" t="s">
        <v>34610</v>
      </c>
      <c r="D5557" s="14" t="s">
        <v>21687</v>
      </c>
      <c r="E5557" s="14" t="s">
        <v>34597</v>
      </c>
      <c r="F5557" s="14" t="s">
        <v>318</v>
      </c>
      <c r="G5557" s="14" t="s">
        <v>34611</v>
      </c>
      <c r="H5557" s="15" t="s">
        <v>31</v>
      </c>
      <c r="I5557" s="15">
        <v>1.0</v>
      </c>
      <c r="J5557" s="15">
        <v>1.0</v>
      </c>
      <c r="K5557" s="15" t="s">
        <v>31</v>
      </c>
      <c r="L5557" s="16" t="s">
        <v>31</v>
      </c>
      <c r="M5557" s="14" t="s">
        <v>34612</v>
      </c>
      <c r="N5557" s="14" t="s">
        <v>6960</v>
      </c>
      <c r="O5557" s="16" t="s">
        <v>6961</v>
      </c>
      <c r="P5557" s="14" t="s">
        <v>34600</v>
      </c>
      <c r="Q5557" s="14" t="s">
        <v>34601</v>
      </c>
      <c r="R5557" s="14" t="s">
        <v>31</v>
      </c>
      <c r="S5557" s="16" t="s">
        <v>31</v>
      </c>
      <c r="T5557" s="14" t="s">
        <v>6962</v>
      </c>
      <c r="U5557" s="16" t="s">
        <v>31</v>
      </c>
      <c r="V5557" s="14" t="s">
        <v>318</v>
      </c>
      <c r="W5557" s="14" t="s">
        <v>34597</v>
      </c>
      <c r="X5557" s="17" t="str">
        <f>HYPERLINK("https://my.pitchbook.com?p=255837-16P","View People Online")</f>
        <v>View People Online</v>
      </c>
    </row>
    <row r="5558">
      <c r="A5558" s="2" t="s">
        <v>34613</v>
      </c>
      <c r="B5558" s="2" t="s">
        <v>34614</v>
      </c>
      <c r="C5558" s="2" t="s">
        <v>26281</v>
      </c>
      <c r="D5558" s="2" t="s">
        <v>34615</v>
      </c>
      <c r="E5558" s="2" t="s">
        <v>34597</v>
      </c>
      <c r="F5558" s="2" t="s">
        <v>29</v>
      </c>
      <c r="G5558" s="2" t="s">
        <v>34616</v>
      </c>
      <c r="H5558" s="3">
        <v>1.0</v>
      </c>
      <c r="I5558" s="3">
        <v>6.0</v>
      </c>
      <c r="J5558" s="3">
        <v>1.0</v>
      </c>
      <c r="K5558" s="3">
        <v>4.0</v>
      </c>
      <c r="L5558" s="4" t="s">
        <v>31</v>
      </c>
      <c r="M5558" s="2" t="s">
        <v>34617</v>
      </c>
      <c r="N5558" s="2" t="s">
        <v>6960</v>
      </c>
      <c r="O5558" s="4" t="s">
        <v>6961</v>
      </c>
      <c r="P5558" s="2" t="s">
        <v>34600</v>
      </c>
      <c r="Q5558" s="2" t="s">
        <v>34601</v>
      </c>
      <c r="R5558" s="2" t="s">
        <v>31</v>
      </c>
      <c r="S5558" s="4" t="s">
        <v>31</v>
      </c>
      <c r="T5558" s="2" t="s">
        <v>6962</v>
      </c>
      <c r="U5558" s="4" t="s">
        <v>31</v>
      </c>
      <c r="V5558" s="2" t="s">
        <v>29</v>
      </c>
      <c r="W5558" s="2" t="s">
        <v>34597</v>
      </c>
      <c r="X5558" s="5" t="str">
        <f>HYPERLINK("https://my.pitchbook.com?p=184950-55P","View People Online")</f>
        <v>View People Online</v>
      </c>
    </row>
    <row r="5559">
      <c r="A5559" s="14" t="s">
        <v>34618</v>
      </c>
      <c r="B5559" s="14" t="s">
        <v>34619</v>
      </c>
      <c r="C5559" s="14" t="s">
        <v>34620</v>
      </c>
      <c r="D5559" s="14" t="s">
        <v>3643</v>
      </c>
      <c r="E5559" s="14" t="s">
        <v>34597</v>
      </c>
      <c r="F5559" s="14" t="s">
        <v>270</v>
      </c>
      <c r="G5559" s="14" t="s">
        <v>34621</v>
      </c>
      <c r="H5559" s="15" t="s">
        <v>31</v>
      </c>
      <c r="I5559" s="15">
        <v>1.0</v>
      </c>
      <c r="J5559" s="15">
        <v>1.0</v>
      </c>
      <c r="K5559" s="15" t="s">
        <v>31</v>
      </c>
      <c r="L5559" s="16" t="s">
        <v>31</v>
      </c>
      <c r="M5559" s="14" t="s">
        <v>34622</v>
      </c>
      <c r="N5559" s="14" t="s">
        <v>6960</v>
      </c>
      <c r="O5559" s="16" t="s">
        <v>6961</v>
      </c>
      <c r="P5559" s="14" t="s">
        <v>34600</v>
      </c>
      <c r="Q5559" s="14" t="s">
        <v>34601</v>
      </c>
      <c r="R5559" s="14" t="s">
        <v>31</v>
      </c>
      <c r="S5559" s="16" t="s">
        <v>31</v>
      </c>
      <c r="T5559" s="14" t="s">
        <v>6962</v>
      </c>
      <c r="U5559" s="16" t="s">
        <v>31</v>
      </c>
      <c r="V5559" s="14" t="s">
        <v>270</v>
      </c>
      <c r="W5559" s="14" t="s">
        <v>34597</v>
      </c>
      <c r="X5559" s="17" t="str">
        <f>HYPERLINK("https://my.pitchbook.com?p=255839-50P","View People Online")</f>
        <v>View People Online</v>
      </c>
    </row>
    <row r="5560">
      <c r="A5560" s="10" t="s">
        <v>34623</v>
      </c>
      <c r="B5560" s="10" t="s">
        <v>34624</v>
      </c>
      <c r="C5560" s="10" t="s">
        <v>34625</v>
      </c>
      <c r="D5560" s="10" t="s">
        <v>34626</v>
      </c>
      <c r="E5560" s="10" t="s">
        <v>34597</v>
      </c>
      <c r="F5560" s="10" t="s">
        <v>548</v>
      </c>
      <c r="G5560" s="10" t="s">
        <v>34627</v>
      </c>
      <c r="H5560" s="11" t="s">
        <v>31</v>
      </c>
      <c r="I5560" s="11">
        <v>1.0</v>
      </c>
      <c r="J5560" s="11">
        <v>1.0</v>
      </c>
      <c r="K5560" s="11" t="s">
        <v>31</v>
      </c>
      <c r="L5560" s="12" t="s">
        <v>34628</v>
      </c>
      <c r="M5560" s="10" t="s">
        <v>34629</v>
      </c>
      <c r="N5560" s="10" t="s">
        <v>6960</v>
      </c>
      <c r="O5560" s="12" t="s">
        <v>6961</v>
      </c>
      <c r="P5560" s="10" t="s">
        <v>34600</v>
      </c>
      <c r="Q5560" s="10" t="s">
        <v>34601</v>
      </c>
      <c r="R5560" s="10" t="s">
        <v>31</v>
      </c>
      <c r="S5560" s="12" t="s">
        <v>31</v>
      </c>
      <c r="T5560" s="10" t="s">
        <v>6962</v>
      </c>
      <c r="U5560" s="12" t="s">
        <v>31</v>
      </c>
      <c r="V5560" s="10" t="s">
        <v>548</v>
      </c>
      <c r="W5560" s="10" t="s">
        <v>34597</v>
      </c>
      <c r="X5560" s="13" t="str">
        <f>HYPERLINK("https://my.pitchbook.com?p=255836-62P","View People Online")</f>
        <v>View People Online</v>
      </c>
    </row>
    <row r="5561">
      <c r="A5561" s="14" t="s">
        <v>34630</v>
      </c>
      <c r="B5561" s="14" t="s">
        <v>34631</v>
      </c>
      <c r="C5561" s="14" t="s">
        <v>34632</v>
      </c>
      <c r="D5561" s="14" t="s">
        <v>34633</v>
      </c>
      <c r="E5561" s="14" t="s">
        <v>34597</v>
      </c>
      <c r="F5561" s="14" t="s">
        <v>548</v>
      </c>
      <c r="G5561" s="14" t="s">
        <v>34634</v>
      </c>
      <c r="H5561" s="15" t="s">
        <v>31</v>
      </c>
      <c r="I5561" s="15">
        <v>1.0</v>
      </c>
      <c r="J5561" s="15">
        <v>1.0</v>
      </c>
      <c r="K5561" s="15" t="s">
        <v>31</v>
      </c>
      <c r="L5561" s="16" t="s">
        <v>34635</v>
      </c>
      <c r="M5561" s="14" t="s">
        <v>34636</v>
      </c>
      <c r="N5561" s="14" t="s">
        <v>6960</v>
      </c>
      <c r="O5561" s="16" t="s">
        <v>6961</v>
      </c>
      <c r="P5561" s="14" t="s">
        <v>34600</v>
      </c>
      <c r="Q5561" s="14" t="s">
        <v>34601</v>
      </c>
      <c r="R5561" s="14" t="s">
        <v>31</v>
      </c>
      <c r="S5561" s="16" t="s">
        <v>31</v>
      </c>
      <c r="T5561" s="14" t="s">
        <v>6962</v>
      </c>
      <c r="U5561" s="16" t="s">
        <v>31</v>
      </c>
      <c r="V5561" s="14" t="s">
        <v>34637</v>
      </c>
      <c r="W5561" s="14" t="s">
        <v>34597</v>
      </c>
      <c r="X5561" s="17" t="str">
        <f>HYPERLINK("https://my.pitchbook.com?p=315677-53P","View People Online")</f>
        <v>View People Online</v>
      </c>
    </row>
    <row r="5562">
      <c r="A5562" s="2" t="s">
        <v>34638</v>
      </c>
      <c r="B5562" s="2" t="s">
        <v>34639</v>
      </c>
      <c r="C5562" s="2" t="s">
        <v>15061</v>
      </c>
      <c r="D5562" s="2" t="s">
        <v>2469</v>
      </c>
      <c r="E5562" s="2" t="s">
        <v>34597</v>
      </c>
      <c r="F5562" s="2" t="s">
        <v>57</v>
      </c>
      <c r="G5562" s="2" t="s">
        <v>34640</v>
      </c>
      <c r="H5562" s="3" t="s">
        <v>31</v>
      </c>
      <c r="I5562" s="3">
        <v>2.0</v>
      </c>
      <c r="J5562" s="3">
        <v>1.0</v>
      </c>
      <c r="K5562" s="3">
        <v>1.0</v>
      </c>
      <c r="L5562" s="4" t="s">
        <v>31</v>
      </c>
      <c r="M5562" s="2" t="s">
        <v>34641</v>
      </c>
      <c r="N5562" s="2" t="s">
        <v>6960</v>
      </c>
      <c r="O5562" s="4" t="s">
        <v>6961</v>
      </c>
      <c r="P5562" s="2" t="s">
        <v>34600</v>
      </c>
      <c r="Q5562" s="2" t="s">
        <v>34601</v>
      </c>
      <c r="R5562" s="2" t="s">
        <v>31</v>
      </c>
      <c r="S5562" s="4" t="s">
        <v>31</v>
      </c>
      <c r="T5562" s="2" t="s">
        <v>6962</v>
      </c>
      <c r="U5562" s="4" t="s">
        <v>31</v>
      </c>
      <c r="V5562" s="2" t="s">
        <v>57</v>
      </c>
      <c r="W5562" s="2" t="s">
        <v>34597</v>
      </c>
      <c r="X5562" s="5" t="str">
        <f>HYPERLINK("https://my.pitchbook.com?p=34546-60P","View People Online")</f>
        <v>View People Online</v>
      </c>
    </row>
    <row r="5563">
      <c r="A5563" s="14" t="s">
        <v>34642</v>
      </c>
      <c r="B5563" s="14" t="s">
        <v>34643</v>
      </c>
      <c r="C5563" s="14" t="s">
        <v>2040</v>
      </c>
      <c r="D5563" s="14" t="s">
        <v>34644</v>
      </c>
      <c r="E5563" s="14" t="s">
        <v>34645</v>
      </c>
      <c r="F5563" s="14" t="s">
        <v>1801</v>
      </c>
      <c r="G5563" s="14" t="s">
        <v>34646</v>
      </c>
      <c r="H5563" s="15" t="s">
        <v>31</v>
      </c>
      <c r="I5563" s="15">
        <v>1.0</v>
      </c>
      <c r="J5563" s="15">
        <v>1.0</v>
      </c>
      <c r="K5563" s="15" t="s">
        <v>31</v>
      </c>
      <c r="L5563" s="16" t="s">
        <v>34647</v>
      </c>
      <c r="M5563" s="14" t="s">
        <v>31</v>
      </c>
      <c r="N5563" s="14" t="s">
        <v>34648</v>
      </c>
      <c r="O5563" s="16" t="s">
        <v>34649</v>
      </c>
      <c r="P5563" s="14" t="s">
        <v>34650</v>
      </c>
      <c r="Q5563" s="14" t="s">
        <v>31</v>
      </c>
      <c r="R5563" s="14" t="s">
        <v>31</v>
      </c>
      <c r="S5563" s="16" t="s">
        <v>34651</v>
      </c>
      <c r="T5563" s="14" t="s">
        <v>6315</v>
      </c>
      <c r="U5563" s="16" t="s">
        <v>31</v>
      </c>
      <c r="V5563" s="14" t="s">
        <v>34652</v>
      </c>
      <c r="W5563" s="14" t="s">
        <v>34645</v>
      </c>
      <c r="X5563" s="17" t="str">
        <f>HYPERLINK("https://my.pitchbook.com?p=288738-01P","View People Online")</f>
        <v>View People Online</v>
      </c>
    </row>
    <row r="5564">
      <c r="A5564" s="10" t="s">
        <v>34653</v>
      </c>
      <c r="B5564" s="10" t="s">
        <v>34654</v>
      </c>
      <c r="C5564" s="10" t="s">
        <v>34655</v>
      </c>
      <c r="D5564" s="10" t="s">
        <v>34656</v>
      </c>
      <c r="E5564" s="10" t="s">
        <v>34645</v>
      </c>
      <c r="F5564" s="10" t="s">
        <v>3740</v>
      </c>
      <c r="G5564" s="10" t="s">
        <v>34657</v>
      </c>
      <c r="H5564" s="11" t="s">
        <v>31</v>
      </c>
      <c r="I5564" s="11">
        <v>1.0</v>
      </c>
      <c r="J5564" s="11">
        <v>1.0</v>
      </c>
      <c r="K5564" s="11" t="s">
        <v>31</v>
      </c>
      <c r="L5564" s="12" t="s">
        <v>34647</v>
      </c>
      <c r="M5564" s="10" t="s">
        <v>34658</v>
      </c>
      <c r="N5564" s="10" t="s">
        <v>34648</v>
      </c>
      <c r="O5564" s="12" t="s">
        <v>34649</v>
      </c>
      <c r="P5564" s="10" t="s">
        <v>34650</v>
      </c>
      <c r="Q5564" s="10" t="s">
        <v>31</v>
      </c>
      <c r="R5564" s="10" t="s">
        <v>31</v>
      </c>
      <c r="S5564" s="12" t="s">
        <v>34651</v>
      </c>
      <c r="T5564" s="10" t="s">
        <v>6315</v>
      </c>
      <c r="U5564" s="12" t="s">
        <v>31</v>
      </c>
      <c r="V5564" s="10" t="s">
        <v>34659</v>
      </c>
      <c r="W5564" s="10" t="s">
        <v>34645</v>
      </c>
      <c r="X5564" s="13" t="str">
        <f>HYPERLINK("https://my.pitchbook.com?p=340922-44P","View People Online")</f>
        <v>View People Online</v>
      </c>
    </row>
    <row r="5565">
      <c r="A5565" s="14" t="s">
        <v>34660</v>
      </c>
      <c r="B5565" s="14" t="s">
        <v>34661</v>
      </c>
      <c r="C5565" s="14" t="s">
        <v>34662</v>
      </c>
      <c r="D5565" s="14" t="s">
        <v>34663</v>
      </c>
      <c r="E5565" s="14" t="s">
        <v>34645</v>
      </c>
      <c r="F5565" s="14" t="s">
        <v>26897</v>
      </c>
      <c r="G5565" s="14" t="s">
        <v>34664</v>
      </c>
      <c r="H5565" s="15">
        <v>1.0</v>
      </c>
      <c r="I5565" s="15">
        <v>4.0</v>
      </c>
      <c r="J5565" s="15">
        <v>2.0</v>
      </c>
      <c r="K5565" s="15" t="s">
        <v>31</v>
      </c>
      <c r="L5565" s="16" t="s">
        <v>34665</v>
      </c>
      <c r="M5565" s="14" t="s">
        <v>34666</v>
      </c>
      <c r="N5565" s="14" t="s">
        <v>1416</v>
      </c>
      <c r="O5565" s="16" t="s">
        <v>1417</v>
      </c>
      <c r="P5565" s="14" t="s">
        <v>34667</v>
      </c>
      <c r="Q5565" s="14" t="s">
        <v>989</v>
      </c>
      <c r="R5565" s="14" t="s">
        <v>1420</v>
      </c>
      <c r="S5565" s="16" t="s">
        <v>34668</v>
      </c>
      <c r="T5565" s="14" t="s">
        <v>66</v>
      </c>
      <c r="U5565" s="16" t="s">
        <v>31</v>
      </c>
      <c r="V5565" s="14" t="s">
        <v>26897</v>
      </c>
      <c r="W5565" s="14" t="s">
        <v>34669</v>
      </c>
      <c r="X5565" s="17" t="str">
        <f>HYPERLINK("https://my.pitchbook.com?p=379708-03P","View People Online")</f>
        <v>View People Online</v>
      </c>
    </row>
    <row r="5566">
      <c r="A5566" s="2" t="s">
        <v>34670</v>
      </c>
      <c r="B5566" s="2" t="s">
        <v>34671</v>
      </c>
      <c r="C5566" s="2" t="s">
        <v>34672</v>
      </c>
      <c r="D5566" s="2" t="s">
        <v>34673</v>
      </c>
      <c r="E5566" s="2" t="s">
        <v>34645</v>
      </c>
      <c r="F5566" s="2" t="s">
        <v>1801</v>
      </c>
      <c r="G5566" s="2" t="s">
        <v>34674</v>
      </c>
      <c r="H5566" s="3" t="s">
        <v>31</v>
      </c>
      <c r="I5566" s="3">
        <v>1.0</v>
      </c>
      <c r="J5566" s="3">
        <v>1.0</v>
      </c>
      <c r="K5566" s="3" t="s">
        <v>31</v>
      </c>
      <c r="L5566" s="4" t="s">
        <v>34675</v>
      </c>
      <c r="M5566" s="2" t="s">
        <v>34676</v>
      </c>
      <c r="N5566" s="2" t="s">
        <v>34648</v>
      </c>
      <c r="O5566" s="4" t="s">
        <v>34649</v>
      </c>
      <c r="P5566" s="2" t="s">
        <v>34650</v>
      </c>
      <c r="Q5566" s="2" t="s">
        <v>31</v>
      </c>
      <c r="R5566" s="2" t="s">
        <v>31</v>
      </c>
      <c r="S5566" s="4" t="s">
        <v>34651</v>
      </c>
      <c r="T5566" s="2" t="s">
        <v>6315</v>
      </c>
      <c r="U5566" s="4" t="s">
        <v>31</v>
      </c>
      <c r="V5566" s="2" t="s">
        <v>34677</v>
      </c>
      <c r="W5566" s="2" t="s">
        <v>34645</v>
      </c>
      <c r="X5566" s="5" t="str">
        <f>HYPERLINK("https://my.pitchbook.com?p=265881-25P","View People Online")</f>
        <v>View People Online</v>
      </c>
    </row>
    <row r="5567">
      <c r="A5567" s="14" t="s">
        <v>34678</v>
      </c>
      <c r="B5567" s="14" t="s">
        <v>34679</v>
      </c>
      <c r="C5567" s="14" t="s">
        <v>10730</v>
      </c>
      <c r="D5567" s="14" t="s">
        <v>34680</v>
      </c>
      <c r="E5567" s="14" t="s">
        <v>34645</v>
      </c>
      <c r="F5567" s="14" t="s">
        <v>1459</v>
      </c>
      <c r="G5567" s="14" t="s">
        <v>34681</v>
      </c>
      <c r="H5567" s="15" t="s">
        <v>31</v>
      </c>
      <c r="I5567" s="15">
        <v>4.0</v>
      </c>
      <c r="J5567" s="15">
        <v>1.0</v>
      </c>
      <c r="K5567" s="15">
        <v>3.0</v>
      </c>
      <c r="L5567" s="16" t="s">
        <v>34647</v>
      </c>
      <c r="M5567" s="14" t="s">
        <v>34682</v>
      </c>
      <c r="N5567" s="14" t="s">
        <v>34648</v>
      </c>
      <c r="O5567" s="16" t="s">
        <v>34649</v>
      </c>
      <c r="P5567" s="14" t="s">
        <v>34650</v>
      </c>
      <c r="Q5567" s="14" t="s">
        <v>31</v>
      </c>
      <c r="R5567" s="14" t="s">
        <v>31</v>
      </c>
      <c r="S5567" s="16" t="s">
        <v>34651</v>
      </c>
      <c r="T5567" s="14" t="s">
        <v>6315</v>
      </c>
      <c r="U5567" s="16" t="s">
        <v>31</v>
      </c>
      <c r="V5567" s="14" t="s">
        <v>1612</v>
      </c>
      <c r="W5567" s="14" t="s">
        <v>34645</v>
      </c>
      <c r="X5567" s="17" t="str">
        <f>HYPERLINK("https://my.pitchbook.com?p=117661-87P","View People Online")</f>
        <v>View People Online</v>
      </c>
    </row>
    <row r="5568">
      <c r="A5568" s="10" t="s">
        <v>34683</v>
      </c>
      <c r="B5568" s="10" t="s">
        <v>34684</v>
      </c>
      <c r="C5568" s="10" t="s">
        <v>8155</v>
      </c>
      <c r="D5568" s="10" t="s">
        <v>34685</v>
      </c>
      <c r="E5568" s="10" t="s">
        <v>34645</v>
      </c>
      <c r="F5568" s="10" t="s">
        <v>371</v>
      </c>
      <c r="G5568" s="10" t="s">
        <v>34686</v>
      </c>
      <c r="H5568" s="11" t="s">
        <v>31</v>
      </c>
      <c r="I5568" s="11">
        <v>1.0</v>
      </c>
      <c r="J5568" s="11">
        <v>1.0</v>
      </c>
      <c r="K5568" s="11" t="s">
        <v>31</v>
      </c>
      <c r="L5568" s="12" t="s">
        <v>34647</v>
      </c>
      <c r="M5568" s="10" t="s">
        <v>34687</v>
      </c>
      <c r="N5568" s="10" t="s">
        <v>34648</v>
      </c>
      <c r="O5568" s="12" t="s">
        <v>34649</v>
      </c>
      <c r="P5568" s="10" t="s">
        <v>34650</v>
      </c>
      <c r="Q5568" s="10" t="s">
        <v>31</v>
      </c>
      <c r="R5568" s="10" t="s">
        <v>31</v>
      </c>
      <c r="S5568" s="12" t="s">
        <v>34651</v>
      </c>
      <c r="T5568" s="10" t="s">
        <v>6315</v>
      </c>
      <c r="U5568" s="12" t="s">
        <v>31</v>
      </c>
      <c r="V5568" s="10" t="s">
        <v>34688</v>
      </c>
      <c r="W5568" s="10" t="s">
        <v>34645</v>
      </c>
      <c r="X5568" s="13" t="str">
        <f>HYPERLINK("https://my.pitchbook.com?p=431568-19P","View People Online")</f>
        <v>View People Online</v>
      </c>
    </row>
    <row r="5569">
      <c r="A5569" s="6" t="s">
        <v>34689</v>
      </c>
      <c r="B5569" s="6" t="s">
        <v>34690</v>
      </c>
      <c r="C5569" s="6" t="s">
        <v>1117</v>
      </c>
      <c r="D5569" s="6" t="s">
        <v>34691</v>
      </c>
      <c r="E5569" s="6" t="s">
        <v>34645</v>
      </c>
      <c r="F5569" s="6" t="s">
        <v>1801</v>
      </c>
      <c r="G5569" s="6" t="s">
        <v>34692</v>
      </c>
      <c r="H5569" s="7" t="s">
        <v>31</v>
      </c>
      <c r="I5569" s="7">
        <v>1.0</v>
      </c>
      <c r="J5569" s="7">
        <v>1.0</v>
      </c>
      <c r="K5569" s="7" t="s">
        <v>31</v>
      </c>
      <c r="L5569" s="8" t="s">
        <v>34693</v>
      </c>
      <c r="M5569" s="6" t="s">
        <v>34694</v>
      </c>
      <c r="N5569" s="6" t="s">
        <v>34648</v>
      </c>
      <c r="O5569" s="8" t="s">
        <v>34649</v>
      </c>
      <c r="P5569" s="6" t="s">
        <v>34650</v>
      </c>
      <c r="Q5569" s="6" t="s">
        <v>31</v>
      </c>
      <c r="R5569" s="6" t="s">
        <v>31</v>
      </c>
      <c r="S5569" s="8" t="s">
        <v>34651</v>
      </c>
      <c r="T5569" s="6" t="s">
        <v>6315</v>
      </c>
      <c r="U5569" s="8" t="s">
        <v>31</v>
      </c>
      <c r="V5569" s="6" t="s">
        <v>9543</v>
      </c>
      <c r="W5569" s="6" t="s">
        <v>34645</v>
      </c>
      <c r="X5569" s="9" t="str">
        <f>HYPERLINK("https://my.pitchbook.com?p=288738-46P","View People Online")</f>
        <v>View People Online</v>
      </c>
    </row>
    <row r="5570">
      <c r="A5570" s="10" t="s">
        <v>34695</v>
      </c>
      <c r="B5570" s="10" t="s">
        <v>34696</v>
      </c>
      <c r="C5570" s="10" t="s">
        <v>34697</v>
      </c>
      <c r="D5570" s="10" t="s">
        <v>34698</v>
      </c>
      <c r="E5570" s="10" t="s">
        <v>34645</v>
      </c>
      <c r="F5570" s="10" t="s">
        <v>5365</v>
      </c>
      <c r="G5570" s="10" t="s">
        <v>34699</v>
      </c>
      <c r="H5570" s="11" t="s">
        <v>31</v>
      </c>
      <c r="I5570" s="11">
        <v>1.0</v>
      </c>
      <c r="J5570" s="11">
        <v>1.0</v>
      </c>
      <c r="K5570" s="11" t="s">
        <v>31</v>
      </c>
      <c r="L5570" s="12" t="s">
        <v>34647</v>
      </c>
      <c r="M5570" s="10" t="s">
        <v>34700</v>
      </c>
      <c r="N5570" s="10" t="s">
        <v>34648</v>
      </c>
      <c r="O5570" s="12" t="s">
        <v>34649</v>
      </c>
      <c r="P5570" s="10" t="s">
        <v>34650</v>
      </c>
      <c r="Q5570" s="10" t="s">
        <v>31</v>
      </c>
      <c r="R5570" s="10" t="s">
        <v>31</v>
      </c>
      <c r="S5570" s="12" t="s">
        <v>34651</v>
      </c>
      <c r="T5570" s="10" t="s">
        <v>6315</v>
      </c>
      <c r="U5570" s="12" t="s">
        <v>31</v>
      </c>
      <c r="V5570" s="10" t="s">
        <v>34701</v>
      </c>
      <c r="W5570" s="10" t="s">
        <v>34645</v>
      </c>
      <c r="X5570" s="13" t="str">
        <f>HYPERLINK("https://my.pitchbook.com?p=431569-54P","View People Online")</f>
        <v>View People Online</v>
      </c>
    </row>
    <row r="5571">
      <c r="A5571" s="6" t="s">
        <v>34702</v>
      </c>
      <c r="B5571" s="6" t="s">
        <v>34703</v>
      </c>
      <c r="C5571" s="6" t="s">
        <v>10162</v>
      </c>
      <c r="D5571" s="6" t="s">
        <v>19827</v>
      </c>
      <c r="E5571" s="6" t="s">
        <v>34645</v>
      </c>
      <c r="F5571" s="6" t="s">
        <v>2532</v>
      </c>
      <c r="G5571" s="6" t="s">
        <v>34704</v>
      </c>
      <c r="H5571" s="7" t="s">
        <v>31</v>
      </c>
      <c r="I5571" s="7">
        <v>1.0</v>
      </c>
      <c r="J5571" s="7">
        <v>1.0</v>
      </c>
      <c r="K5571" s="7" t="s">
        <v>31</v>
      </c>
      <c r="L5571" s="8" t="s">
        <v>34705</v>
      </c>
      <c r="M5571" s="6" t="s">
        <v>34706</v>
      </c>
      <c r="N5571" s="6" t="s">
        <v>34648</v>
      </c>
      <c r="O5571" s="8" t="s">
        <v>34649</v>
      </c>
      <c r="P5571" s="6" t="s">
        <v>34650</v>
      </c>
      <c r="Q5571" s="6" t="s">
        <v>31</v>
      </c>
      <c r="R5571" s="6" t="s">
        <v>31</v>
      </c>
      <c r="S5571" s="8" t="s">
        <v>34651</v>
      </c>
      <c r="T5571" s="6" t="s">
        <v>6315</v>
      </c>
      <c r="U5571" s="8" t="s">
        <v>31</v>
      </c>
      <c r="V5571" s="6" t="s">
        <v>34707</v>
      </c>
      <c r="W5571" s="6" t="s">
        <v>34645</v>
      </c>
      <c r="X5571" s="9" t="str">
        <f>HYPERLINK("https://my.pitchbook.com?p=219753-64P","View People Online")</f>
        <v>View People Online</v>
      </c>
    </row>
    <row r="5572">
      <c r="A5572" s="10" t="s">
        <v>34708</v>
      </c>
      <c r="B5572" s="10" t="s">
        <v>34709</v>
      </c>
      <c r="C5572" s="10" t="s">
        <v>6306</v>
      </c>
      <c r="D5572" s="10" t="s">
        <v>34710</v>
      </c>
      <c r="E5572" s="10" t="s">
        <v>34645</v>
      </c>
      <c r="F5572" s="10" t="s">
        <v>312</v>
      </c>
      <c r="G5572" s="10" t="s">
        <v>34711</v>
      </c>
      <c r="H5572" s="11" t="s">
        <v>31</v>
      </c>
      <c r="I5572" s="11">
        <v>1.0</v>
      </c>
      <c r="J5572" s="11">
        <v>1.0</v>
      </c>
      <c r="K5572" s="11" t="s">
        <v>31</v>
      </c>
      <c r="L5572" s="12" t="s">
        <v>34647</v>
      </c>
      <c r="M5572" s="10" t="s">
        <v>34712</v>
      </c>
      <c r="N5572" s="10" t="s">
        <v>34648</v>
      </c>
      <c r="O5572" s="12" t="s">
        <v>34649</v>
      </c>
      <c r="P5572" s="10" t="s">
        <v>34650</v>
      </c>
      <c r="Q5572" s="10" t="s">
        <v>31</v>
      </c>
      <c r="R5572" s="10" t="s">
        <v>31</v>
      </c>
      <c r="S5572" s="12" t="s">
        <v>34651</v>
      </c>
      <c r="T5572" s="10" t="s">
        <v>6315</v>
      </c>
      <c r="U5572" s="12" t="s">
        <v>31</v>
      </c>
      <c r="V5572" s="10" t="s">
        <v>34713</v>
      </c>
      <c r="W5572" s="10" t="s">
        <v>34645</v>
      </c>
      <c r="X5572" s="13" t="str">
        <f>HYPERLINK("https://my.pitchbook.com?p=237101-95P","View People Online")</f>
        <v>View People Online</v>
      </c>
    </row>
    <row r="5573">
      <c r="A5573" s="6" t="s">
        <v>34714</v>
      </c>
      <c r="B5573" s="6" t="s">
        <v>34715</v>
      </c>
      <c r="C5573" s="6" t="s">
        <v>34716</v>
      </c>
      <c r="D5573" s="6" t="s">
        <v>34717</v>
      </c>
      <c r="E5573" s="6" t="s">
        <v>34645</v>
      </c>
      <c r="F5573" s="6" t="s">
        <v>371</v>
      </c>
      <c r="G5573" s="6" t="s">
        <v>34718</v>
      </c>
      <c r="H5573" s="7" t="s">
        <v>31</v>
      </c>
      <c r="I5573" s="7">
        <v>1.0</v>
      </c>
      <c r="J5573" s="7">
        <v>1.0</v>
      </c>
      <c r="K5573" s="7" t="s">
        <v>31</v>
      </c>
      <c r="L5573" s="8" t="s">
        <v>34647</v>
      </c>
      <c r="M5573" s="6" t="s">
        <v>34719</v>
      </c>
      <c r="N5573" s="6" t="s">
        <v>34648</v>
      </c>
      <c r="O5573" s="8" t="s">
        <v>34649</v>
      </c>
      <c r="P5573" s="6" t="s">
        <v>34650</v>
      </c>
      <c r="Q5573" s="6" t="s">
        <v>31</v>
      </c>
      <c r="R5573" s="6" t="s">
        <v>31</v>
      </c>
      <c r="S5573" s="8" t="s">
        <v>34651</v>
      </c>
      <c r="T5573" s="6" t="s">
        <v>6315</v>
      </c>
      <c r="U5573" s="8" t="s">
        <v>31</v>
      </c>
      <c r="V5573" s="6" t="s">
        <v>34720</v>
      </c>
      <c r="W5573" s="6" t="s">
        <v>34645</v>
      </c>
      <c r="X5573" s="9" t="str">
        <f>HYPERLINK("https://my.pitchbook.com?p=288737-47P","View People Online")</f>
        <v>View People Online</v>
      </c>
    </row>
    <row r="5574">
      <c r="A5574" s="2" t="s">
        <v>34721</v>
      </c>
      <c r="B5574" s="2" t="s">
        <v>34722</v>
      </c>
      <c r="C5574" s="2" t="s">
        <v>34723</v>
      </c>
      <c r="D5574" s="2" t="s">
        <v>34724</v>
      </c>
      <c r="E5574" s="2" t="s">
        <v>34645</v>
      </c>
      <c r="F5574" s="2" t="s">
        <v>4800</v>
      </c>
      <c r="G5574" s="2" t="s">
        <v>34725</v>
      </c>
      <c r="H5574" s="3" t="s">
        <v>31</v>
      </c>
      <c r="I5574" s="3">
        <v>1.0</v>
      </c>
      <c r="J5574" s="3">
        <v>1.0</v>
      </c>
      <c r="K5574" s="3" t="s">
        <v>31</v>
      </c>
      <c r="L5574" s="4" t="s">
        <v>34726</v>
      </c>
      <c r="M5574" s="2" t="s">
        <v>34727</v>
      </c>
      <c r="N5574" s="2" t="s">
        <v>34648</v>
      </c>
      <c r="O5574" s="4" t="s">
        <v>34649</v>
      </c>
      <c r="P5574" s="2" t="s">
        <v>34650</v>
      </c>
      <c r="Q5574" s="2" t="s">
        <v>31</v>
      </c>
      <c r="R5574" s="2" t="s">
        <v>31</v>
      </c>
      <c r="S5574" s="4" t="s">
        <v>34651</v>
      </c>
      <c r="T5574" s="2" t="s">
        <v>6315</v>
      </c>
      <c r="U5574" s="4" t="s">
        <v>31</v>
      </c>
      <c r="V5574" s="2" t="s">
        <v>34728</v>
      </c>
      <c r="W5574" s="2" t="s">
        <v>34645</v>
      </c>
      <c r="X5574" s="5" t="str">
        <f>HYPERLINK("https://my.pitchbook.com?p=338390-56P","View People Online")</f>
        <v>View People Online</v>
      </c>
    </row>
    <row r="5575">
      <c r="A5575" s="14" t="s">
        <v>34729</v>
      </c>
      <c r="B5575" s="14" t="s">
        <v>34730</v>
      </c>
      <c r="C5575" s="14" t="s">
        <v>33562</v>
      </c>
      <c r="D5575" s="14" t="s">
        <v>34731</v>
      </c>
      <c r="E5575" s="14" t="s">
        <v>34645</v>
      </c>
      <c r="F5575" s="14" t="s">
        <v>312</v>
      </c>
      <c r="G5575" s="14" t="s">
        <v>34732</v>
      </c>
      <c r="H5575" s="15" t="s">
        <v>31</v>
      </c>
      <c r="I5575" s="15">
        <v>2.0</v>
      </c>
      <c r="J5575" s="15">
        <v>1.0</v>
      </c>
      <c r="K5575" s="15">
        <v>1.0</v>
      </c>
      <c r="L5575" s="16" t="s">
        <v>34647</v>
      </c>
      <c r="M5575" s="14" t="s">
        <v>31</v>
      </c>
      <c r="N5575" s="14" t="s">
        <v>34648</v>
      </c>
      <c r="O5575" s="16" t="s">
        <v>34649</v>
      </c>
      <c r="P5575" s="14" t="s">
        <v>34650</v>
      </c>
      <c r="Q5575" s="14" t="s">
        <v>31</v>
      </c>
      <c r="R5575" s="14" t="s">
        <v>31</v>
      </c>
      <c r="S5575" s="16" t="s">
        <v>34651</v>
      </c>
      <c r="T5575" s="14" t="s">
        <v>6315</v>
      </c>
      <c r="U5575" s="16" t="s">
        <v>31</v>
      </c>
      <c r="V5575" s="14" t="s">
        <v>34733</v>
      </c>
      <c r="W5575" s="14" t="s">
        <v>34645</v>
      </c>
      <c r="X5575" s="17" t="str">
        <f>HYPERLINK("https://my.pitchbook.com?p=285076-99P","View People Online")</f>
        <v>View People Online</v>
      </c>
    </row>
    <row r="5576">
      <c r="A5576" s="10" t="s">
        <v>34734</v>
      </c>
      <c r="B5576" s="10" t="s">
        <v>34735</v>
      </c>
      <c r="C5576" s="10" t="s">
        <v>3946</v>
      </c>
      <c r="D5576" s="10" t="s">
        <v>34736</v>
      </c>
      <c r="E5576" s="10" t="s">
        <v>34645</v>
      </c>
      <c r="F5576" s="10" t="s">
        <v>825</v>
      </c>
      <c r="G5576" s="10" t="s">
        <v>34737</v>
      </c>
      <c r="H5576" s="11" t="s">
        <v>31</v>
      </c>
      <c r="I5576" s="11">
        <v>3.0</v>
      </c>
      <c r="J5576" s="11">
        <v>1.0</v>
      </c>
      <c r="K5576" s="11">
        <v>1.0</v>
      </c>
      <c r="L5576" s="12" t="s">
        <v>34647</v>
      </c>
      <c r="M5576" s="10" t="s">
        <v>34738</v>
      </c>
      <c r="N5576" s="10" t="s">
        <v>34648</v>
      </c>
      <c r="O5576" s="12" t="s">
        <v>34649</v>
      </c>
      <c r="P5576" s="10" t="s">
        <v>34650</v>
      </c>
      <c r="Q5576" s="10" t="s">
        <v>31</v>
      </c>
      <c r="R5576" s="10" t="s">
        <v>31</v>
      </c>
      <c r="S5576" s="12" t="s">
        <v>34651</v>
      </c>
      <c r="T5576" s="10" t="s">
        <v>6315</v>
      </c>
      <c r="U5576" s="12" t="s">
        <v>31</v>
      </c>
      <c r="V5576" s="10" t="s">
        <v>34739</v>
      </c>
      <c r="W5576" s="10" t="s">
        <v>34645</v>
      </c>
      <c r="X5576" s="13" t="str">
        <f>HYPERLINK("https://my.pitchbook.com?p=294603-85P","View People Online")</f>
        <v>View People Online</v>
      </c>
    </row>
    <row r="5577">
      <c r="A5577" s="14" t="s">
        <v>34740</v>
      </c>
      <c r="B5577" s="14" t="s">
        <v>34741</v>
      </c>
      <c r="C5577" s="14" t="s">
        <v>11152</v>
      </c>
      <c r="D5577" s="14" t="s">
        <v>14460</v>
      </c>
      <c r="E5577" s="14" t="s">
        <v>34645</v>
      </c>
      <c r="F5577" s="14" t="s">
        <v>270</v>
      </c>
      <c r="G5577" s="14" t="s">
        <v>34742</v>
      </c>
      <c r="H5577" s="15" t="s">
        <v>31</v>
      </c>
      <c r="I5577" s="15">
        <v>1.0</v>
      </c>
      <c r="J5577" s="15">
        <v>1.0</v>
      </c>
      <c r="K5577" s="15" t="s">
        <v>31</v>
      </c>
      <c r="L5577" s="16" t="s">
        <v>34743</v>
      </c>
      <c r="M5577" s="14" t="s">
        <v>34744</v>
      </c>
      <c r="N5577" s="14" t="s">
        <v>34648</v>
      </c>
      <c r="O5577" s="16" t="s">
        <v>34649</v>
      </c>
      <c r="P5577" s="14" t="s">
        <v>34650</v>
      </c>
      <c r="Q5577" s="14" t="s">
        <v>31</v>
      </c>
      <c r="R5577" s="14" t="s">
        <v>31</v>
      </c>
      <c r="S5577" s="16" t="s">
        <v>34651</v>
      </c>
      <c r="T5577" s="14" t="s">
        <v>6315</v>
      </c>
      <c r="U5577" s="16" t="s">
        <v>31</v>
      </c>
      <c r="V5577" s="14" t="s">
        <v>34745</v>
      </c>
      <c r="W5577" s="14" t="s">
        <v>34645</v>
      </c>
      <c r="X5577" s="17" t="str">
        <f>HYPERLINK("https://my.pitchbook.com?p=265879-90P","View People Online")</f>
        <v>View People Online</v>
      </c>
    </row>
    <row r="5578">
      <c r="A5578" s="10" t="s">
        <v>34746</v>
      </c>
      <c r="B5578" s="10" t="s">
        <v>34747</v>
      </c>
      <c r="C5578" s="10" t="s">
        <v>34748</v>
      </c>
      <c r="D5578" s="10" t="s">
        <v>34749</v>
      </c>
      <c r="E5578" s="10" t="s">
        <v>34645</v>
      </c>
      <c r="F5578" s="10" t="s">
        <v>81</v>
      </c>
      <c r="G5578" s="10" t="s">
        <v>34750</v>
      </c>
      <c r="H5578" s="11" t="s">
        <v>31</v>
      </c>
      <c r="I5578" s="11">
        <v>2.0</v>
      </c>
      <c r="J5578" s="11" t="s">
        <v>31</v>
      </c>
      <c r="K5578" s="11">
        <v>1.0</v>
      </c>
      <c r="L5578" s="12" t="s">
        <v>34647</v>
      </c>
      <c r="M5578" s="10" t="s">
        <v>31</v>
      </c>
      <c r="N5578" s="10" t="s">
        <v>34648</v>
      </c>
      <c r="O5578" s="12" t="s">
        <v>34649</v>
      </c>
      <c r="P5578" s="10" t="s">
        <v>34650</v>
      </c>
      <c r="Q5578" s="10" t="s">
        <v>31</v>
      </c>
      <c r="R5578" s="10" t="s">
        <v>31</v>
      </c>
      <c r="S5578" s="12" t="s">
        <v>34651</v>
      </c>
      <c r="T5578" s="10" t="s">
        <v>6315</v>
      </c>
      <c r="U5578" s="12" t="s">
        <v>31</v>
      </c>
      <c r="V5578" s="10" t="s">
        <v>23948</v>
      </c>
      <c r="W5578" s="10" t="s">
        <v>34645</v>
      </c>
      <c r="X5578" s="13" t="str">
        <f>HYPERLINK("https://my.pitchbook.com?p=432560-89P","View People Online")</f>
        <v>View People Online</v>
      </c>
    </row>
    <row r="5579">
      <c r="A5579" s="14" t="s">
        <v>34751</v>
      </c>
      <c r="B5579" s="14" t="s">
        <v>34752</v>
      </c>
      <c r="C5579" s="14" t="s">
        <v>8106</v>
      </c>
      <c r="D5579" s="14" t="s">
        <v>34753</v>
      </c>
      <c r="E5579" s="14" t="s">
        <v>34645</v>
      </c>
      <c r="F5579" s="14" t="s">
        <v>4600</v>
      </c>
      <c r="G5579" s="14" t="s">
        <v>34754</v>
      </c>
      <c r="H5579" s="15" t="s">
        <v>31</v>
      </c>
      <c r="I5579" s="15">
        <v>1.0</v>
      </c>
      <c r="J5579" s="15">
        <v>1.0</v>
      </c>
      <c r="K5579" s="15" t="s">
        <v>31</v>
      </c>
      <c r="L5579" s="16" t="s">
        <v>34755</v>
      </c>
      <c r="M5579" s="14" t="s">
        <v>34756</v>
      </c>
      <c r="N5579" s="14" t="s">
        <v>34648</v>
      </c>
      <c r="O5579" s="16" t="s">
        <v>34649</v>
      </c>
      <c r="P5579" s="14" t="s">
        <v>34650</v>
      </c>
      <c r="Q5579" s="14" t="s">
        <v>31</v>
      </c>
      <c r="R5579" s="14" t="s">
        <v>31</v>
      </c>
      <c r="S5579" s="16" t="s">
        <v>34651</v>
      </c>
      <c r="T5579" s="14" t="s">
        <v>6315</v>
      </c>
      <c r="U5579" s="16" t="s">
        <v>31</v>
      </c>
      <c r="V5579" s="14" t="s">
        <v>34757</v>
      </c>
      <c r="W5579" s="14" t="s">
        <v>34645</v>
      </c>
      <c r="X5579" s="17" t="str">
        <f>HYPERLINK("https://my.pitchbook.com?p=219740-41P","View People Online")</f>
        <v>View People Online</v>
      </c>
    </row>
    <row r="5580">
      <c r="A5580" s="10" t="s">
        <v>34758</v>
      </c>
      <c r="B5580" s="10" t="s">
        <v>34759</v>
      </c>
      <c r="C5580" s="10" t="s">
        <v>3637</v>
      </c>
      <c r="D5580" s="10" t="s">
        <v>17678</v>
      </c>
      <c r="E5580" s="10" t="s">
        <v>34645</v>
      </c>
      <c r="F5580" s="10" t="s">
        <v>825</v>
      </c>
      <c r="G5580" s="10" t="s">
        <v>34760</v>
      </c>
      <c r="H5580" s="11" t="s">
        <v>31</v>
      </c>
      <c r="I5580" s="11">
        <v>1.0</v>
      </c>
      <c r="J5580" s="11">
        <v>1.0</v>
      </c>
      <c r="K5580" s="11" t="s">
        <v>31</v>
      </c>
      <c r="L5580" s="12" t="s">
        <v>34647</v>
      </c>
      <c r="M5580" s="10" t="s">
        <v>34761</v>
      </c>
      <c r="N5580" s="10" t="s">
        <v>34648</v>
      </c>
      <c r="O5580" s="12" t="s">
        <v>34649</v>
      </c>
      <c r="P5580" s="10" t="s">
        <v>34650</v>
      </c>
      <c r="Q5580" s="10" t="s">
        <v>31</v>
      </c>
      <c r="R5580" s="10" t="s">
        <v>31</v>
      </c>
      <c r="S5580" s="12" t="s">
        <v>34651</v>
      </c>
      <c r="T5580" s="10" t="s">
        <v>6315</v>
      </c>
      <c r="U5580" s="12" t="s">
        <v>31</v>
      </c>
      <c r="V5580" s="10" t="s">
        <v>34762</v>
      </c>
      <c r="W5580" s="10" t="s">
        <v>34645</v>
      </c>
      <c r="X5580" s="13" t="str">
        <f>HYPERLINK("https://my.pitchbook.com?p=265880-62P","View People Online")</f>
        <v>View People Online</v>
      </c>
    </row>
    <row r="5581">
      <c r="A5581" s="14" t="s">
        <v>34763</v>
      </c>
      <c r="B5581" s="14" t="s">
        <v>34764</v>
      </c>
      <c r="C5581" s="14" t="s">
        <v>34765</v>
      </c>
      <c r="D5581" s="14" t="s">
        <v>34766</v>
      </c>
      <c r="E5581" s="14" t="s">
        <v>34645</v>
      </c>
      <c r="F5581" s="14" t="s">
        <v>3740</v>
      </c>
      <c r="G5581" s="14" t="s">
        <v>34767</v>
      </c>
      <c r="H5581" s="15" t="s">
        <v>31</v>
      </c>
      <c r="I5581" s="15">
        <v>1.0</v>
      </c>
      <c r="J5581" s="15">
        <v>1.0</v>
      </c>
      <c r="K5581" s="15" t="s">
        <v>31</v>
      </c>
      <c r="L5581" s="16" t="s">
        <v>34647</v>
      </c>
      <c r="M5581" s="14" t="s">
        <v>34768</v>
      </c>
      <c r="N5581" s="14" t="s">
        <v>34648</v>
      </c>
      <c r="O5581" s="16" t="s">
        <v>34649</v>
      </c>
      <c r="P5581" s="14" t="s">
        <v>34650</v>
      </c>
      <c r="Q5581" s="14" t="s">
        <v>31</v>
      </c>
      <c r="R5581" s="14" t="s">
        <v>31</v>
      </c>
      <c r="S5581" s="16" t="s">
        <v>34651</v>
      </c>
      <c r="T5581" s="14" t="s">
        <v>6315</v>
      </c>
      <c r="U5581" s="16" t="s">
        <v>31</v>
      </c>
      <c r="V5581" s="14" t="s">
        <v>34769</v>
      </c>
      <c r="W5581" s="14" t="s">
        <v>34645</v>
      </c>
      <c r="X5581" s="17" t="str">
        <f>HYPERLINK("https://my.pitchbook.com?p=257408-56P","View People Online")</f>
        <v>View People Online</v>
      </c>
    </row>
    <row r="5582">
      <c r="A5582" s="10" t="s">
        <v>34770</v>
      </c>
      <c r="B5582" s="10" t="s">
        <v>34771</v>
      </c>
      <c r="C5582" s="10" t="s">
        <v>34772</v>
      </c>
      <c r="D5582" s="10" t="s">
        <v>34773</v>
      </c>
      <c r="E5582" s="10" t="s">
        <v>34645</v>
      </c>
      <c r="F5582" s="10" t="s">
        <v>312</v>
      </c>
      <c r="G5582" s="10" t="s">
        <v>34774</v>
      </c>
      <c r="H5582" s="11" t="s">
        <v>31</v>
      </c>
      <c r="I5582" s="11">
        <v>2.0</v>
      </c>
      <c r="J5582" s="11">
        <v>1.0</v>
      </c>
      <c r="K5582" s="11">
        <v>1.0</v>
      </c>
      <c r="L5582" s="12" t="s">
        <v>34647</v>
      </c>
      <c r="M5582" s="10" t="s">
        <v>34775</v>
      </c>
      <c r="N5582" s="10" t="s">
        <v>34648</v>
      </c>
      <c r="O5582" s="12" t="s">
        <v>34649</v>
      </c>
      <c r="P5582" s="10" t="s">
        <v>34650</v>
      </c>
      <c r="Q5582" s="10" t="s">
        <v>31</v>
      </c>
      <c r="R5582" s="10" t="s">
        <v>31</v>
      </c>
      <c r="S5582" s="12" t="s">
        <v>34651</v>
      </c>
      <c r="T5582" s="10" t="s">
        <v>6315</v>
      </c>
      <c r="U5582" s="12" t="s">
        <v>31</v>
      </c>
      <c r="V5582" s="10" t="s">
        <v>34776</v>
      </c>
      <c r="W5582" s="10" t="s">
        <v>34645</v>
      </c>
      <c r="X5582" s="13" t="str">
        <f>HYPERLINK("https://my.pitchbook.com?p=420632-47P","View People Online")</f>
        <v>View People Online</v>
      </c>
    </row>
    <row r="5583">
      <c r="A5583" s="6" t="s">
        <v>34777</v>
      </c>
      <c r="B5583" s="6" t="s">
        <v>34778</v>
      </c>
      <c r="C5583" s="6" t="s">
        <v>34779</v>
      </c>
      <c r="D5583" s="6" t="s">
        <v>34780</v>
      </c>
      <c r="E5583" s="6" t="s">
        <v>34645</v>
      </c>
      <c r="F5583" s="6" t="s">
        <v>1801</v>
      </c>
      <c r="G5583" s="6" t="s">
        <v>34781</v>
      </c>
      <c r="H5583" s="7">
        <v>1.0</v>
      </c>
      <c r="I5583" s="7">
        <v>2.0</v>
      </c>
      <c r="J5583" s="7">
        <v>1.0</v>
      </c>
      <c r="K5583" s="7" t="s">
        <v>31</v>
      </c>
      <c r="L5583" s="8" t="s">
        <v>34647</v>
      </c>
      <c r="M5583" s="6" t="s">
        <v>34782</v>
      </c>
      <c r="N5583" s="6" t="s">
        <v>34648</v>
      </c>
      <c r="O5583" s="8" t="s">
        <v>34649</v>
      </c>
      <c r="P5583" s="6" t="s">
        <v>34650</v>
      </c>
      <c r="Q5583" s="6" t="s">
        <v>31</v>
      </c>
      <c r="R5583" s="6" t="s">
        <v>31</v>
      </c>
      <c r="S5583" s="8" t="s">
        <v>34651</v>
      </c>
      <c r="T5583" s="6" t="s">
        <v>6315</v>
      </c>
      <c r="U5583" s="8" t="s">
        <v>31</v>
      </c>
      <c r="V5583" s="6" t="s">
        <v>802</v>
      </c>
      <c r="W5583" s="6" t="s">
        <v>34645</v>
      </c>
      <c r="X5583" s="9" t="str">
        <f>HYPERLINK("https://my.pitchbook.com?p=305471-44P","View People Online")</f>
        <v>View People Online</v>
      </c>
    </row>
    <row r="5584">
      <c r="A5584" s="2" t="s">
        <v>34783</v>
      </c>
      <c r="B5584" s="2" t="s">
        <v>34784</v>
      </c>
      <c r="C5584" s="2" t="s">
        <v>34779</v>
      </c>
      <c r="D5584" s="2" t="s">
        <v>34785</v>
      </c>
      <c r="E5584" s="2" t="s">
        <v>34645</v>
      </c>
      <c r="F5584" s="2" t="s">
        <v>1801</v>
      </c>
      <c r="G5584" s="2" t="s">
        <v>34786</v>
      </c>
      <c r="H5584" s="3" t="s">
        <v>31</v>
      </c>
      <c r="I5584" s="3">
        <v>2.0</v>
      </c>
      <c r="J5584" s="3">
        <v>1.0</v>
      </c>
      <c r="K5584" s="3">
        <v>1.0</v>
      </c>
      <c r="L5584" s="4" t="s">
        <v>34647</v>
      </c>
      <c r="M5584" s="2" t="s">
        <v>34787</v>
      </c>
      <c r="N5584" s="2" t="s">
        <v>34648</v>
      </c>
      <c r="O5584" s="4" t="s">
        <v>34649</v>
      </c>
      <c r="P5584" s="2" t="s">
        <v>34650</v>
      </c>
      <c r="Q5584" s="2" t="s">
        <v>31</v>
      </c>
      <c r="R5584" s="2" t="s">
        <v>31</v>
      </c>
      <c r="S5584" s="4" t="s">
        <v>34651</v>
      </c>
      <c r="T5584" s="2" t="s">
        <v>6315</v>
      </c>
      <c r="U5584" s="4" t="s">
        <v>31</v>
      </c>
      <c r="V5584" s="2" t="s">
        <v>34788</v>
      </c>
      <c r="W5584" s="2" t="s">
        <v>34645</v>
      </c>
      <c r="X5584" s="5" t="str">
        <f>HYPERLINK("https://my.pitchbook.com?p=432541-90P","View People Online")</f>
        <v>View People Online</v>
      </c>
    </row>
    <row r="5585">
      <c r="A5585" s="14" t="s">
        <v>34789</v>
      </c>
      <c r="B5585" s="14" t="s">
        <v>34790</v>
      </c>
      <c r="C5585" s="14" t="s">
        <v>34791</v>
      </c>
      <c r="D5585" s="14" t="s">
        <v>34792</v>
      </c>
      <c r="E5585" s="14" t="s">
        <v>34645</v>
      </c>
      <c r="F5585" s="14" t="s">
        <v>3740</v>
      </c>
      <c r="G5585" s="14" t="s">
        <v>34793</v>
      </c>
      <c r="H5585" s="15">
        <v>1.0</v>
      </c>
      <c r="I5585" s="15">
        <v>5.0</v>
      </c>
      <c r="J5585" s="15">
        <v>1.0</v>
      </c>
      <c r="K5585" s="15">
        <v>3.0</v>
      </c>
      <c r="L5585" s="16" t="s">
        <v>34647</v>
      </c>
      <c r="M5585" s="14" t="s">
        <v>34794</v>
      </c>
      <c r="N5585" s="14" t="s">
        <v>34648</v>
      </c>
      <c r="O5585" s="16" t="s">
        <v>34649</v>
      </c>
      <c r="P5585" s="14" t="s">
        <v>34650</v>
      </c>
      <c r="Q5585" s="14" t="s">
        <v>31</v>
      </c>
      <c r="R5585" s="14" t="s">
        <v>31</v>
      </c>
      <c r="S5585" s="16" t="s">
        <v>34651</v>
      </c>
      <c r="T5585" s="14" t="s">
        <v>6315</v>
      </c>
      <c r="U5585" s="16" t="s">
        <v>31</v>
      </c>
      <c r="V5585" s="14" t="s">
        <v>34795</v>
      </c>
      <c r="W5585" s="14" t="s">
        <v>34645</v>
      </c>
      <c r="X5585" s="17" t="str">
        <f>HYPERLINK("https://my.pitchbook.com?p=153666-73P","View People Online")</f>
        <v>View People Online</v>
      </c>
    </row>
    <row r="5586">
      <c r="A5586" s="10" t="s">
        <v>34796</v>
      </c>
      <c r="B5586" s="10" t="s">
        <v>34797</v>
      </c>
      <c r="C5586" s="10" t="s">
        <v>34798</v>
      </c>
      <c r="D5586" s="10" t="s">
        <v>34799</v>
      </c>
      <c r="E5586" s="10" t="s">
        <v>34645</v>
      </c>
      <c r="F5586" s="10" t="s">
        <v>34800</v>
      </c>
      <c r="G5586" s="10" t="s">
        <v>34801</v>
      </c>
      <c r="H5586" s="11">
        <v>1.0</v>
      </c>
      <c r="I5586" s="11">
        <v>2.0</v>
      </c>
      <c r="J5586" s="11">
        <v>1.0</v>
      </c>
      <c r="K5586" s="11" t="s">
        <v>31</v>
      </c>
      <c r="L5586" s="12" t="s">
        <v>34647</v>
      </c>
      <c r="M5586" s="10" t="s">
        <v>34802</v>
      </c>
      <c r="N5586" s="10" t="s">
        <v>34648</v>
      </c>
      <c r="O5586" s="12" t="s">
        <v>34649</v>
      </c>
      <c r="P5586" s="10" t="s">
        <v>34650</v>
      </c>
      <c r="Q5586" s="10" t="s">
        <v>31</v>
      </c>
      <c r="R5586" s="10" t="s">
        <v>31</v>
      </c>
      <c r="S5586" s="12" t="s">
        <v>34651</v>
      </c>
      <c r="T5586" s="10" t="s">
        <v>6315</v>
      </c>
      <c r="U5586" s="12" t="s">
        <v>34803</v>
      </c>
      <c r="V5586" s="10" t="s">
        <v>34804</v>
      </c>
      <c r="W5586" s="10" t="s">
        <v>34645</v>
      </c>
      <c r="X5586" s="13" t="str">
        <f>HYPERLINK("https://my.pitchbook.com?p=156771-91P","View People Online")</f>
        <v>View People Online</v>
      </c>
    </row>
    <row r="5587">
      <c r="A5587" s="14" t="s">
        <v>34805</v>
      </c>
      <c r="B5587" s="14" t="s">
        <v>34806</v>
      </c>
      <c r="C5587" s="14" t="s">
        <v>34807</v>
      </c>
      <c r="D5587" s="14" t="s">
        <v>34808</v>
      </c>
      <c r="E5587" s="14" t="s">
        <v>34645</v>
      </c>
      <c r="F5587" s="14" t="s">
        <v>2422</v>
      </c>
      <c r="G5587" s="14" t="s">
        <v>34809</v>
      </c>
      <c r="H5587" s="15">
        <v>3.0</v>
      </c>
      <c r="I5587" s="15">
        <v>9.0</v>
      </c>
      <c r="J5587" s="15">
        <v>2.0</v>
      </c>
      <c r="K5587" s="15">
        <v>3.0</v>
      </c>
      <c r="L5587" s="16" t="s">
        <v>34810</v>
      </c>
      <c r="M5587" s="14" t="s">
        <v>34811</v>
      </c>
      <c r="N5587" s="14" t="s">
        <v>34648</v>
      </c>
      <c r="O5587" s="16" t="s">
        <v>34649</v>
      </c>
      <c r="P5587" s="14" t="s">
        <v>34650</v>
      </c>
      <c r="Q5587" s="14" t="s">
        <v>31</v>
      </c>
      <c r="R5587" s="14" t="s">
        <v>31</v>
      </c>
      <c r="S5587" s="16" t="s">
        <v>34651</v>
      </c>
      <c r="T5587" s="14" t="s">
        <v>6315</v>
      </c>
      <c r="U5587" s="16" t="s">
        <v>31</v>
      </c>
      <c r="V5587" s="14" t="s">
        <v>34812</v>
      </c>
      <c r="W5587" s="14" t="s">
        <v>34645</v>
      </c>
      <c r="X5587" s="17" t="str">
        <f>HYPERLINK("https://my.pitchbook.com?p=52812-10P","View People Online")</f>
        <v>View People Online</v>
      </c>
    </row>
    <row r="5588">
      <c r="A5588" s="2" t="s">
        <v>34813</v>
      </c>
      <c r="B5588" s="2" t="s">
        <v>34814</v>
      </c>
      <c r="C5588" s="2" t="s">
        <v>34815</v>
      </c>
      <c r="D5588" s="2" t="s">
        <v>34816</v>
      </c>
      <c r="E5588" s="2" t="s">
        <v>34645</v>
      </c>
      <c r="F5588" s="2" t="s">
        <v>312</v>
      </c>
      <c r="G5588" s="2" t="s">
        <v>34817</v>
      </c>
      <c r="H5588" s="3" t="s">
        <v>31</v>
      </c>
      <c r="I5588" s="3">
        <v>1.0</v>
      </c>
      <c r="J5588" s="3">
        <v>1.0</v>
      </c>
      <c r="K5588" s="3" t="s">
        <v>31</v>
      </c>
      <c r="L5588" s="4" t="s">
        <v>34647</v>
      </c>
      <c r="M5588" s="2" t="s">
        <v>34818</v>
      </c>
      <c r="N5588" s="2" t="s">
        <v>34648</v>
      </c>
      <c r="O5588" s="4" t="s">
        <v>34649</v>
      </c>
      <c r="P5588" s="2" t="s">
        <v>34650</v>
      </c>
      <c r="Q5588" s="2" t="s">
        <v>31</v>
      </c>
      <c r="R5588" s="2" t="s">
        <v>31</v>
      </c>
      <c r="S5588" s="4" t="s">
        <v>34651</v>
      </c>
      <c r="T5588" s="2" t="s">
        <v>6315</v>
      </c>
      <c r="U5588" s="4" t="s">
        <v>31</v>
      </c>
      <c r="V5588" s="2" t="s">
        <v>34819</v>
      </c>
      <c r="W5588" s="2" t="s">
        <v>34645</v>
      </c>
      <c r="X5588" s="5" t="str">
        <f>HYPERLINK("https://my.pitchbook.com?p=184253-41P","View People Online")</f>
        <v>View People Online</v>
      </c>
    </row>
    <row r="5589">
      <c r="A5589" s="6" t="s">
        <v>34820</v>
      </c>
      <c r="B5589" s="6" t="s">
        <v>34821</v>
      </c>
      <c r="C5589" s="6" t="s">
        <v>34822</v>
      </c>
      <c r="D5589" s="6" t="s">
        <v>34823</v>
      </c>
      <c r="E5589" s="6" t="s">
        <v>34645</v>
      </c>
      <c r="F5589" s="6" t="s">
        <v>1801</v>
      </c>
      <c r="G5589" s="6" t="s">
        <v>34824</v>
      </c>
      <c r="H5589" s="7" t="s">
        <v>31</v>
      </c>
      <c r="I5589" s="7">
        <v>1.0</v>
      </c>
      <c r="J5589" s="7">
        <v>1.0</v>
      </c>
      <c r="K5589" s="7" t="s">
        <v>31</v>
      </c>
      <c r="L5589" s="8" t="s">
        <v>34825</v>
      </c>
      <c r="M5589" s="6" t="s">
        <v>34826</v>
      </c>
      <c r="N5589" s="6" t="s">
        <v>34648</v>
      </c>
      <c r="O5589" s="8" t="s">
        <v>34649</v>
      </c>
      <c r="P5589" s="6" t="s">
        <v>34650</v>
      </c>
      <c r="Q5589" s="6" t="s">
        <v>31</v>
      </c>
      <c r="R5589" s="6" t="s">
        <v>31</v>
      </c>
      <c r="S5589" s="8" t="s">
        <v>34651</v>
      </c>
      <c r="T5589" s="6" t="s">
        <v>6315</v>
      </c>
      <c r="U5589" s="8" t="s">
        <v>31</v>
      </c>
      <c r="V5589" s="6" t="s">
        <v>34827</v>
      </c>
      <c r="W5589" s="6" t="s">
        <v>34645</v>
      </c>
      <c r="X5589" s="9" t="str">
        <f>HYPERLINK("https://my.pitchbook.com?p=388056-88P","View People Online")</f>
        <v>View People Online</v>
      </c>
    </row>
    <row r="5590">
      <c r="A5590" s="10" t="s">
        <v>34828</v>
      </c>
      <c r="B5590" s="10" t="s">
        <v>34829</v>
      </c>
      <c r="C5590" s="10" t="s">
        <v>34830</v>
      </c>
      <c r="D5590" s="10" t="s">
        <v>34831</v>
      </c>
      <c r="E5590" s="10" t="s">
        <v>34645</v>
      </c>
      <c r="F5590" s="10" t="s">
        <v>3740</v>
      </c>
      <c r="G5590" s="10" t="s">
        <v>34832</v>
      </c>
      <c r="H5590" s="11">
        <v>1.0</v>
      </c>
      <c r="I5590" s="11">
        <v>5.0</v>
      </c>
      <c r="J5590" s="11">
        <v>1.0</v>
      </c>
      <c r="K5590" s="11">
        <v>3.0</v>
      </c>
      <c r="L5590" s="12" t="s">
        <v>34647</v>
      </c>
      <c r="M5590" s="10" t="s">
        <v>31</v>
      </c>
      <c r="N5590" s="10" t="s">
        <v>34648</v>
      </c>
      <c r="O5590" s="12" t="s">
        <v>34649</v>
      </c>
      <c r="P5590" s="10" t="s">
        <v>34650</v>
      </c>
      <c r="Q5590" s="10" t="s">
        <v>31</v>
      </c>
      <c r="R5590" s="10" t="s">
        <v>31</v>
      </c>
      <c r="S5590" s="12" t="s">
        <v>34651</v>
      </c>
      <c r="T5590" s="10" t="s">
        <v>6315</v>
      </c>
      <c r="U5590" s="12" t="s">
        <v>31</v>
      </c>
      <c r="V5590" s="10" t="s">
        <v>34833</v>
      </c>
      <c r="W5590" s="10" t="s">
        <v>34645</v>
      </c>
      <c r="X5590" s="13" t="str">
        <f>HYPERLINK("https://my.pitchbook.com?p=145671-13P","View People Online")</f>
        <v>View People Online</v>
      </c>
    </row>
    <row r="5591">
      <c r="A5591" s="14" t="s">
        <v>34834</v>
      </c>
      <c r="B5591" s="14" t="s">
        <v>34835</v>
      </c>
      <c r="C5591" s="14" t="s">
        <v>34836</v>
      </c>
      <c r="D5591" s="14" t="s">
        <v>34837</v>
      </c>
      <c r="E5591" s="14" t="s">
        <v>34645</v>
      </c>
      <c r="F5591" s="14" t="s">
        <v>3740</v>
      </c>
      <c r="G5591" s="14" t="s">
        <v>34838</v>
      </c>
      <c r="H5591" s="15">
        <v>1.0</v>
      </c>
      <c r="I5591" s="15">
        <v>2.0</v>
      </c>
      <c r="J5591" s="15">
        <v>1.0</v>
      </c>
      <c r="K5591" s="15" t="s">
        <v>31</v>
      </c>
      <c r="L5591" s="16" t="s">
        <v>34647</v>
      </c>
      <c r="M5591" s="14" t="s">
        <v>34839</v>
      </c>
      <c r="N5591" s="14" t="s">
        <v>34648</v>
      </c>
      <c r="O5591" s="16" t="s">
        <v>34649</v>
      </c>
      <c r="P5591" s="14" t="s">
        <v>34650</v>
      </c>
      <c r="Q5591" s="14" t="s">
        <v>31</v>
      </c>
      <c r="R5591" s="14" t="s">
        <v>31</v>
      </c>
      <c r="S5591" s="16" t="s">
        <v>34651</v>
      </c>
      <c r="T5591" s="14" t="s">
        <v>6315</v>
      </c>
      <c r="U5591" s="16" t="s">
        <v>31</v>
      </c>
      <c r="V5591" s="14" t="s">
        <v>34840</v>
      </c>
      <c r="W5591" s="14" t="s">
        <v>34645</v>
      </c>
      <c r="X5591" s="17" t="str">
        <f>HYPERLINK("https://my.pitchbook.com?p=154640-26P","View People Online")</f>
        <v>View People Online</v>
      </c>
    </row>
    <row r="5592">
      <c r="A5592" s="2" t="s">
        <v>34841</v>
      </c>
      <c r="B5592" s="2" t="s">
        <v>34842</v>
      </c>
      <c r="C5592" s="2" t="s">
        <v>3529</v>
      </c>
      <c r="D5592" s="2" t="s">
        <v>34843</v>
      </c>
      <c r="E5592" s="2" t="s">
        <v>34645</v>
      </c>
      <c r="F5592" s="2" t="s">
        <v>312</v>
      </c>
      <c r="G5592" s="2" t="s">
        <v>34844</v>
      </c>
      <c r="H5592" s="3" t="s">
        <v>31</v>
      </c>
      <c r="I5592" s="3">
        <v>2.0</v>
      </c>
      <c r="J5592" s="3">
        <v>1.0</v>
      </c>
      <c r="K5592" s="3">
        <v>1.0</v>
      </c>
      <c r="L5592" s="4" t="s">
        <v>34647</v>
      </c>
      <c r="M5592" s="2" t="s">
        <v>31</v>
      </c>
      <c r="N5592" s="2" t="s">
        <v>34648</v>
      </c>
      <c r="O5592" s="4" t="s">
        <v>34649</v>
      </c>
      <c r="P5592" s="2" t="s">
        <v>34650</v>
      </c>
      <c r="Q5592" s="2" t="s">
        <v>31</v>
      </c>
      <c r="R5592" s="2" t="s">
        <v>31</v>
      </c>
      <c r="S5592" s="4" t="s">
        <v>34651</v>
      </c>
      <c r="T5592" s="2" t="s">
        <v>6315</v>
      </c>
      <c r="U5592" s="4" t="s">
        <v>31</v>
      </c>
      <c r="V5592" s="2" t="s">
        <v>34845</v>
      </c>
      <c r="W5592" s="2" t="s">
        <v>34645</v>
      </c>
      <c r="X5592" s="5" t="str">
        <f>HYPERLINK("https://my.pitchbook.com?p=83808-46P","View People Online")</f>
        <v>View People Online</v>
      </c>
    </row>
    <row r="5593">
      <c r="A5593" s="14" t="s">
        <v>34846</v>
      </c>
      <c r="B5593" s="14" t="s">
        <v>34847</v>
      </c>
      <c r="C5593" s="14" t="s">
        <v>17699</v>
      </c>
      <c r="D5593" s="14" t="s">
        <v>34848</v>
      </c>
      <c r="E5593" s="14" t="s">
        <v>34645</v>
      </c>
      <c r="F5593" s="14" t="s">
        <v>3740</v>
      </c>
      <c r="G5593" s="14" t="s">
        <v>34849</v>
      </c>
      <c r="H5593" s="15" t="s">
        <v>31</v>
      </c>
      <c r="I5593" s="15">
        <v>2.0</v>
      </c>
      <c r="J5593" s="15">
        <v>1.0</v>
      </c>
      <c r="K5593" s="15">
        <v>1.0</v>
      </c>
      <c r="L5593" s="16" t="s">
        <v>34647</v>
      </c>
      <c r="M5593" s="14" t="s">
        <v>34850</v>
      </c>
      <c r="N5593" s="14" t="s">
        <v>34648</v>
      </c>
      <c r="O5593" s="16" t="s">
        <v>34649</v>
      </c>
      <c r="P5593" s="14" t="s">
        <v>34650</v>
      </c>
      <c r="Q5593" s="14" t="s">
        <v>31</v>
      </c>
      <c r="R5593" s="14" t="s">
        <v>31</v>
      </c>
      <c r="S5593" s="16" t="s">
        <v>34651</v>
      </c>
      <c r="T5593" s="14" t="s">
        <v>6315</v>
      </c>
      <c r="U5593" s="16" t="s">
        <v>31</v>
      </c>
      <c r="V5593" s="14" t="s">
        <v>34851</v>
      </c>
      <c r="W5593" s="14" t="s">
        <v>34645</v>
      </c>
      <c r="X5593" s="17" t="str">
        <f>HYPERLINK("https://my.pitchbook.com?p=198673-66P","View People Online")</f>
        <v>View People Online</v>
      </c>
    </row>
    <row r="5594">
      <c r="A5594" s="2" t="s">
        <v>34852</v>
      </c>
      <c r="B5594" s="2" t="s">
        <v>34853</v>
      </c>
      <c r="C5594" s="2" t="s">
        <v>18718</v>
      </c>
      <c r="D5594" s="2" t="s">
        <v>34854</v>
      </c>
      <c r="E5594" s="2" t="s">
        <v>34645</v>
      </c>
      <c r="F5594" s="2" t="s">
        <v>1801</v>
      </c>
      <c r="G5594" s="2" t="s">
        <v>34855</v>
      </c>
      <c r="H5594" s="3" t="s">
        <v>31</v>
      </c>
      <c r="I5594" s="3">
        <v>1.0</v>
      </c>
      <c r="J5594" s="3">
        <v>1.0</v>
      </c>
      <c r="K5594" s="3" t="s">
        <v>31</v>
      </c>
      <c r="L5594" s="4" t="s">
        <v>34647</v>
      </c>
      <c r="M5594" s="2" t="s">
        <v>34856</v>
      </c>
      <c r="N5594" s="2" t="s">
        <v>34648</v>
      </c>
      <c r="O5594" s="4" t="s">
        <v>34649</v>
      </c>
      <c r="P5594" s="2" t="s">
        <v>34650</v>
      </c>
      <c r="Q5594" s="2" t="s">
        <v>31</v>
      </c>
      <c r="R5594" s="2" t="s">
        <v>31</v>
      </c>
      <c r="S5594" s="4" t="s">
        <v>34651</v>
      </c>
      <c r="T5594" s="2" t="s">
        <v>6315</v>
      </c>
      <c r="U5594" s="4" t="s">
        <v>31</v>
      </c>
      <c r="V5594" s="2" t="s">
        <v>34857</v>
      </c>
      <c r="W5594" s="2" t="s">
        <v>34645</v>
      </c>
      <c r="X5594" s="5" t="str">
        <f>HYPERLINK("https://my.pitchbook.com?p=219892-42P","View People Online")</f>
        <v>View People Online</v>
      </c>
    </row>
    <row r="5595">
      <c r="A5595" s="6" t="s">
        <v>34858</v>
      </c>
      <c r="B5595" s="6" t="s">
        <v>34859</v>
      </c>
      <c r="C5595" s="6" t="s">
        <v>18718</v>
      </c>
      <c r="D5595" s="6" t="s">
        <v>34860</v>
      </c>
      <c r="E5595" s="6" t="s">
        <v>34645</v>
      </c>
      <c r="F5595" s="6" t="s">
        <v>371</v>
      </c>
      <c r="G5595" s="6" t="s">
        <v>34861</v>
      </c>
      <c r="H5595" s="7" t="s">
        <v>31</v>
      </c>
      <c r="I5595" s="7">
        <v>1.0</v>
      </c>
      <c r="J5595" s="7">
        <v>1.0</v>
      </c>
      <c r="K5595" s="7" t="s">
        <v>31</v>
      </c>
      <c r="L5595" s="8" t="s">
        <v>34647</v>
      </c>
      <c r="M5595" s="6" t="s">
        <v>34862</v>
      </c>
      <c r="N5595" s="6" t="s">
        <v>34648</v>
      </c>
      <c r="O5595" s="8" t="s">
        <v>34649</v>
      </c>
      <c r="P5595" s="6" t="s">
        <v>34650</v>
      </c>
      <c r="Q5595" s="6" t="s">
        <v>31</v>
      </c>
      <c r="R5595" s="6" t="s">
        <v>31</v>
      </c>
      <c r="S5595" s="8" t="s">
        <v>34651</v>
      </c>
      <c r="T5595" s="6" t="s">
        <v>6315</v>
      </c>
      <c r="U5595" s="8" t="s">
        <v>31</v>
      </c>
      <c r="V5595" s="6" t="s">
        <v>34863</v>
      </c>
      <c r="W5595" s="6" t="s">
        <v>34645</v>
      </c>
      <c r="X5595" s="9" t="str">
        <f>HYPERLINK("https://my.pitchbook.com?p=432444-07P","View People Online")</f>
        <v>View People Online</v>
      </c>
    </row>
    <row r="5596">
      <c r="A5596" s="10" t="s">
        <v>34864</v>
      </c>
      <c r="B5596" s="10" t="s">
        <v>34865</v>
      </c>
      <c r="C5596" s="10" t="s">
        <v>34866</v>
      </c>
      <c r="D5596" s="10" t="s">
        <v>34867</v>
      </c>
      <c r="E5596" s="10" t="s">
        <v>34645</v>
      </c>
      <c r="F5596" s="10" t="s">
        <v>825</v>
      </c>
      <c r="G5596" s="10" t="s">
        <v>34868</v>
      </c>
      <c r="H5596" s="11" t="s">
        <v>31</v>
      </c>
      <c r="I5596" s="11">
        <v>1.0</v>
      </c>
      <c r="J5596" s="11">
        <v>1.0</v>
      </c>
      <c r="K5596" s="11" t="s">
        <v>31</v>
      </c>
      <c r="L5596" s="12" t="s">
        <v>34647</v>
      </c>
      <c r="M5596" s="10" t="s">
        <v>31</v>
      </c>
      <c r="N5596" s="10" t="s">
        <v>34648</v>
      </c>
      <c r="O5596" s="12" t="s">
        <v>34649</v>
      </c>
      <c r="P5596" s="10" t="s">
        <v>34650</v>
      </c>
      <c r="Q5596" s="10" t="s">
        <v>31</v>
      </c>
      <c r="R5596" s="10" t="s">
        <v>31</v>
      </c>
      <c r="S5596" s="12" t="s">
        <v>34651</v>
      </c>
      <c r="T5596" s="10" t="s">
        <v>6315</v>
      </c>
      <c r="U5596" s="12" t="s">
        <v>31</v>
      </c>
      <c r="V5596" s="10" t="s">
        <v>34869</v>
      </c>
      <c r="W5596" s="10" t="s">
        <v>34645</v>
      </c>
      <c r="X5596" s="13" t="str">
        <f>HYPERLINK("https://my.pitchbook.com?p=448049-71P","View People Online")</f>
        <v>View People Online</v>
      </c>
    </row>
    <row r="5597">
      <c r="A5597" s="14" t="s">
        <v>34870</v>
      </c>
      <c r="B5597" s="14" t="s">
        <v>34871</v>
      </c>
      <c r="C5597" s="14" t="s">
        <v>34872</v>
      </c>
      <c r="D5597" s="14" t="s">
        <v>34873</v>
      </c>
      <c r="E5597" s="14" t="s">
        <v>34645</v>
      </c>
      <c r="F5597" s="14" t="s">
        <v>270</v>
      </c>
      <c r="G5597" s="14" t="s">
        <v>34874</v>
      </c>
      <c r="H5597" s="15" t="s">
        <v>31</v>
      </c>
      <c r="I5597" s="15">
        <v>1.0</v>
      </c>
      <c r="J5597" s="15">
        <v>1.0</v>
      </c>
      <c r="K5597" s="15" t="s">
        <v>31</v>
      </c>
      <c r="L5597" s="16" t="s">
        <v>34875</v>
      </c>
      <c r="M5597" s="14" t="s">
        <v>34876</v>
      </c>
      <c r="N5597" s="14" t="s">
        <v>34648</v>
      </c>
      <c r="O5597" s="16" t="s">
        <v>34649</v>
      </c>
      <c r="P5597" s="14" t="s">
        <v>34650</v>
      </c>
      <c r="Q5597" s="14" t="s">
        <v>31</v>
      </c>
      <c r="R5597" s="14" t="s">
        <v>31</v>
      </c>
      <c r="S5597" s="16" t="s">
        <v>34651</v>
      </c>
      <c r="T5597" s="14" t="s">
        <v>6315</v>
      </c>
      <c r="U5597" s="16" t="s">
        <v>31</v>
      </c>
      <c r="V5597" s="14" t="s">
        <v>34757</v>
      </c>
      <c r="W5597" s="14" t="s">
        <v>34645</v>
      </c>
      <c r="X5597" s="17" t="str">
        <f>HYPERLINK("https://my.pitchbook.com?p=431567-02P","View People Online")</f>
        <v>View People Online</v>
      </c>
    </row>
    <row r="5598">
      <c r="A5598" s="10" t="s">
        <v>34877</v>
      </c>
      <c r="B5598" s="10" t="s">
        <v>34878</v>
      </c>
      <c r="C5598" s="10" t="s">
        <v>18773</v>
      </c>
      <c r="D5598" s="10" t="s">
        <v>34879</v>
      </c>
      <c r="E5598" s="10" t="s">
        <v>34645</v>
      </c>
      <c r="F5598" s="10" t="s">
        <v>1801</v>
      </c>
      <c r="G5598" s="10" t="s">
        <v>34880</v>
      </c>
      <c r="H5598" s="11" t="s">
        <v>31</v>
      </c>
      <c r="I5598" s="11">
        <v>2.0</v>
      </c>
      <c r="J5598" s="11">
        <v>1.0</v>
      </c>
      <c r="K5598" s="11">
        <v>1.0</v>
      </c>
      <c r="L5598" s="12" t="s">
        <v>34881</v>
      </c>
      <c r="M5598" s="10" t="s">
        <v>34882</v>
      </c>
      <c r="N5598" s="10" t="s">
        <v>34648</v>
      </c>
      <c r="O5598" s="12" t="s">
        <v>34649</v>
      </c>
      <c r="P5598" s="10" t="s">
        <v>34650</v>
      </c>
      <c r="Q5598" s="10" t="s">
        <v>31</v>
      </c>
      <c r="R5598" s="10" t="s">
        <v>31</v>
      </c>
      <c r="S5598" s="12" t="s">
        <v>34651</v>
      </c>
      <c r="T5598" s="10" t="s">
        <v>6315</v>
      </c>
      <c r="U5598" s="12" t="s">
        <v>31</v>
      </c>
      <c r="V5598" s="10" t="s">
        <v>4118</v>
      </c>
      <c r="W5598" s="10" t="s">
        <v>34645</v>
      </c>
      <c r="X5598" s="13" t="str">
        <f>HYPERLINK("https://my.pitchbook.com?p=219746-80P","View People Online")</f>
        <v>View People Online</v>
      </c>
    </row>
    <row r="5599">
      <c r="A5599" s="14" t="s">
        <v>34883</v>
      </c>
      <c r="B5599" s="14" t="s">
        <v>34884</v>
      </c>
      <c r="C5599" s="14" t="s">
        <v>6023</v>
      </c>
      <c r="D5599" s="14" t="s">
        <v>34885</v>
      </c>
      <c r="E5599" s="14" t="s">
        <v>34645</v>
      </c>
      <c r="F5599" s="14" t="s">
        <v>270</v>
      </c>
      <c r="G5599" s="14" t="s">
        <v>34886</v>
      </c>
      <c r="H5599" s="15" t="s">
        <v>31</v>
      </c>
      <c r="I5599" s="15">
        <v>1.0</v>
      </c>
      <c r="J5599" s="15">
        <v>1.0</v>
      </c>
      <c r="K5599" s="15" t="s">
        <v>31</v>
      </c>
      <c r="L5599" s="16" t="s">
        <v>34647</v>
      </c>
      <c r="M5599" s="14" t="s">
        <v>34887</v>
      </c>
      <c r="N5599" s="14" t="s">
        <v>34648</v>
      </c>
      <c r="O5599" s="16" t="s">
        <v>34649</v>
      </c>
      <c r="P5599" s="14" t="s">
        <v>34650</v>
      </c>
      <c r="Q5599" s="14" t="s">
        <v>31</v>
      </c>
      <c r="R5599" s="14" t="s">
        <v>31</v>
      </c>
      <c r="S5599" s="16" t="s">
        <v>34651</v>
      </c>
      <c r="T5599" s="14" t="s">
        <v>6315</v>
      </c>
      <c r="U5599" s="16" t="s">
        <v>31</v>
      </c>
      <c r="V5599" s="14" t="s">
        <v>34888</v>
      </c>
      <c r="W5599" s="14" t="s">
        <v>34645</v>
      </c>
      <c r="X5599" s="17" t="str">
        <f>HYPERLINK("https://my.pitchbook.com?p=388085-14P","View People Online")</f>
        <v>View People Online</v>
      </c>
    </row>
    <row r="5600">
      <c r="A5600" s="2" t="s">
        <v>34889</v>
      </c>
      <c r="B5600" s="2" t="s">
        <v>34890</v>
      </c>
      <c r="C5600" s="2" t="s">
        <v>1502</v>
      </c>
      <c r="D5600" s="2" t="s">
        <v>34891</v>
      </c>
      <c r="E5600" s="2" t="s">
        <v>34645</v>
      </c>
      <c r="F5600" s="2" t="s">
        <v>270</v>
      </c>
      <c r="G5600" s="2" t="s">
        <v>34892</v>
      </c>
      <c r="H5600" s="3" t="s">
        <v>31</v>
      </c>
      <c r="I5600" s="3">
        <v>1.0</v>
      </c>
      <c r="J5600" s="3">
        <v>1.0</v>
      </c>
      <c r="K5600" s="3" t="s">
        <v>31</v>
      </c>
      <c r="L5600" s="4" t="s">
        <v>34647</v>
      </c>
      <c r="M5600" s="2" t="s">
        <v>34893</v>
      </c>
      <c r="N5600" s="2" t="s">
        <v>34648</v>
      </c>
      <c r="O5600" s="4" t="s">
        <v>34649</v>
      </c>
      <c r="P5600" s="2" t="s">
        <v>34650</v>
      </c>
      <c r="Q5600" s="2" t="s">
        <v>31</v>
      </c>
      <c r="R5600" s="2" t="s">
        <v>31</v>
      </c>
      <c r="S5600" s="4" t="s">
        <v>34651</v>
      </c>
      <c r="T5600" s="2" t="s">
        <v>6315</v>
      </c>
      <c r="U5600" s="4" t="s">
        <v>31</v>
      </c>
      <c r="V5600" s="2" t="s">
        <v>34894</v>
      </c>
      <c r="W5600" s="2" t="s">
        <v>34645</v>
      </c>
      <c r="X5600" s="5" t="str">
        <f>HYPERLINK("https://my.pitchbook.com?p=388092-25P","View People Online")</f>
        <v>View People Online</v>
      </c>
    </row>
    <row r="5601">
      <c r="A5601" s="14" t="s">
        <v>34895</v>
      </c>
      <c r="B5601" s="14" t="s">
        <v>34896</v>
      </c>
      <c r="C5601" s="14" t="s">
        <v>3202</v>
      </c>
      <c r="D5601" s="14" t="s">
        <v>34897</v>
      </c>
      <c r="E5601" s="14" t="s">
        <v>34645</v>
      </c>
      <c r="F5601" s="14" t="s">
        <v>3710</v>
      </c>
      <c r="G5601" s="14" t="s">
        <v>34898</v>
      </c>
      <c r="H5601" s="15" t="s">
        <v>31</v>
      </c>
      <c r="I5601" s="15">
        <v>1.0</v>
      </c>
      <c r="J5601" s="15">
        <v>1.0</v>
      </c>
      <c r="K5601" s="15" t="s">
        <v>31</v>
      </c>
      <c r="L5601" s="16" t="s">
        <v>34647</v>
      </c>
      <c r="M5601" s="14" t="s">
        <v>34899</v>
      </c>
      <c r="N5601" s="14" t="s">
        <v>34648</v>
      </c>
      <c r="O5601" s="16" t="s">
        <v>34649</v>
      </c>
      <c r="P5601" s="14" t="s">
        <v>34650</v>
      </c>
      <c r="Q5601" s="14" t="s">
        <v>31</v>
      </c>
      <c r="R5601" s="14" t="s">
        <v>31</v>
      </c>
      <c r="S5601" s="16" t="s">
        <v>34651</v>
      </c>
      <c r="T5601" s="14" t="s">
        <v>6315</v>
      </c>
      <c r="U5601" s="16" t="s">
        <v>31</v>
      </c>
      <c r="V5601" s="14" t="s">
        <v>34900</v>
      </c>
      <c r="W5601" s="14" t="s">
        <v>34645</v>
      </c>
      <c r="X5601" s="17" t="str">
        <f>HYPERLINK("https://my.pitchbook.com?p=141786-01P","View People Online")</f>
        <v>View People Online</v>
      </c>
    </row>
    <row r="5602">
      <c r="A5602" s="10" t="s">
        <v>34901</v>
      </c>
      <c r="B5602" s="10" t="s">
        <v>34902</v>
      </c>
      <c r="C5602" s="10" t="s">
        <v>20100</v>
      </c>
      <c r="D5602" s="10" t="s">
        <v>34903</v>
      </c>
      <c r="E5602" s="10" t="s">
        <v>34645</v>
      </c>
      <c r="F5602" s="10" t="s">
        <v>312</v>
      </c>
      <c r="G5602" s="10" t="s">
        <v>34904</v>
      </c>
      <c r="H5602" s="11" t="s">
        <v>31</v>
      </c>
      <c r="I5602" s="11">
        <v>3.0</v>
      </c>
      <c r="J5602" s="11">
        <v>1.0</v>
      </c>
      <c r="K5602" s="11">
        <v>2.0</v>
      </c>
      <c r="L5602" s="12" t="s">
        <v>34647</v>
      </c>
      <c r="M5602" s="10" t="s">
        <v>34905</v>
      </c>
      <c r="N5602" s="10" t="s">
        <v>34648</v>
      </c>
      <c r="O5602" s="12" t="s">
        <v>34649</v>
      </c>
      <c r="P5602" s="10" t="s">
        <v>34650</v>
      </c>
      <c r="Q5602" s="10" t="s">
        <v>31</v>
      </c>
      <c r="R5602" s="10" t="s">
        <v>31</v>
      </c>
      <c r="S5602" s="12" t="s">
        <v>34651</v>
      </c>
      <c r="T5602" s="10" t="s">
        <v>6315</v>
      </c>
      <c r="U5602" s="12" t="s">
        <v>31</v>
      </c>
      <c r="V5602" s="10" t="s">
        <v>34906</v>
      </c>
      <c r="W5602" s="10" t="s">
        <v>34645</v>
      </c>
      <c r="X5602" s="13" t="str">
        <f>HYPERLINK("https://my.pitchbook.com?p=63145-36P","View People Online")</f>
        <v>View People Online</v>
      </c>
    </row>
    <row r="5603">
      <c r="A5603" s="14" t="s">
        <v>34907</v>
      </c>
      <c r="B5603" s="14" t="s">
        <v>34908</v>
      </c>
      <c r="C5603" s="14" t="s">
        <v>20212</v>
      </c>
      <c r="D5603" s="14" t="s">
        <v>34909</v>
      </c>
      <c r="E5603" s="14" t="s">
        <v>34645</v>
      </c>
      <c r="F5603" s="14" t="s">
        <v>270</v>
      </c>
      <c r="G5603" s="14" t="s">
        <v>34910</v>
      </c>
      <c r="H5603" s="15" t="s">
        <v>31</v>
      </c>
      <c r="I5603" s="15">
        <v>1.0</v>
      </c>
      <c r="J5603" s="15">
        <v>1.0</v>
      </c>
      <c r="K5603" s="15" t="s">
        <v>31</v>
      </c>
      <c r="L5603" s="16" t="s">
        <v>34911</v>
      </c>
      <c r="M5603" s="14" t="s">
        <v>34912</v>
      </c>
      <c r="N5603" s="14" t="s">
        <v>34648</v>
      </c>
      <c r="O5603" s="16" t="s">
        <v>34649</v>
      </c>
      <c r="P5603" s="14" t="s">
        <v>34650</v>
      </c>
      <c r="Q5603" s="14" t="s">
        <v>31</v>
      </c>
      <c r="R5603" s="14" t="s">
        <v>31</v>
      </c>
      <c r="S5603" s="16" t="s">
        <v>34651</v>
      </c>
      <c r="T5603" s="14" t="s">
        <v>6315</v>
      </c>
      <c r="U5603" s="16" t="s">
        <v>31</v>
      </c>
      <c r="V5603" s="14" t="s">
        <v>34913</v>
      </c>
      <c r="W5603" s="14" t="s">
        <v>34645</v>
      </c>
      <c r="X5603" s="17" t="str">
        <f>HYPERLINK("https://my.pitchbook.com?p=288734-86P","View People Online")</f>
        <v>View People Online</v>
      </c>
    </row>
    <row r="5604">
      <c r="A5604" s="2" t="s">
        <v>34914</v>
      </c>
      <c r="B5604" s="2" t="s">
        <v>34915</v>
      </c>
      <c r="C5604" s="2" t="s">
        <v>132</v>
      </c>
      <c r="D5604" s="2" t="s">
        <v>34916</v>
      </c>
      <c r="E5604" s="2" t="s">
        <v>34645</v>
      </c>
      <c r="F5604" s="2" t="s">
        <v>312</v>
      </c>
      <c r="G5604" s="2" t="s">
        <v>34917</v>
      </c>
      <c r="H5604" s="3" t="s">
        <v>31</v>
      </c>
      <c r="I5604" s="3">
        <v>2.0</v>
      </c>
      <c r="J5604" s="3">
        <v>1.0</v>
      </c>
      <c r="K5604" s="3">
        <v>1.0</v>
      </c>
      <c r="L5604" s="4" t="s">
        <v>34647</v>
      </c>
      <c r="M5604" s="2" t="s">
        <v>34918</v>
      </c>
      <c r="N5604" s="2" t="s">
        <v>34648</v>
      </c>
      <c r="O5604" s="4" t="s">
        <v>34649</v>
      </c>
      <c r="P5604" s="2" t="s">
        <v>34650</v>
      </c>
      <c r="Q5604" s="2" t="s">
        <v>31</v>
      </c>
      <c r="R5604" s="2" t="s">
        <v>31</v>
      </c>
      <c r="S5604" s="4" t="s">
        <v>34651</v>
      </c>
      <c r="T5604" s="2" t="s">
        <v>6315</v>
      </c>
      <c r="U5604" s="4" t="s">
        <v>31</v>
      </c>
      <c r="V5604" s="2" t="s">
        <v>34919</v>
      </c>
      <c r="W5604" s="2" t="s">
        <v>34645</v>
      </c>
      <c r="X5604" s="5" t="str">
        <f>HYPERLINK("https://my.pitchbook.com?p=302227-48P","View People Online")</f>
        <v>View People Online</v>
      </c>
    </row>
    <row r="5605">
      <c r="A5605" s="14" t="s">
        <v>34920</v>
      </c>
      <c r="B5605" s="14" t="s">
        <v>34921</v>
      </c>
      <c r="C5605" s="14" t="s">
        <v>34922</v>
      </c>
      <c r="D5605" s="14" t="s">
        <v>34923</v>
      </c>
      <c r="E5605" s="14" t="s">
        <v>34645</v>
      </c>
      <c r="F5605" s="14" t="s">
        <v>502</v>
      </c>
      <c r="G5605" s="14" t="s">
        <v>34924</v>
      </c>
      <c r="H5605" s="15">
        <v>1.0</v>
      </c>
      <c r="I5605" s="15">
        <v>5.0</v>
      </c>
      <c r="J5605" s="15">
        <v>1.0</v>
      </c>
      <c r="K5605" s="15">
        <v>3.0</v>
      </c>
      <c r="L5605" s="16" t="s">
        <v>34647</v>
      </c>
      <c r="M5605" s="14" t="s">
        <v>34925</v>
      </c>
      <c r="N5605" s="14" t="s">
        <v>34648</v>
      </c>
      <c r="O5605" s="16" t="s">
        <v>34649</v>
      </c>
      <c r="P5605" s="14" t="s">
        <v>34650</v>
      </c>
      <c r="Q5605" s="14" t="s">
        <v>31</v>
      </c>
      <c r="R5605" s="14" t="s">
        <v>31</v>
      </c>
      <c r="S5605" s="16" t="s">
        <v>34651</v>
      </c>
      <c r="T5605" s="14" t="s">
        <v>6315</v>
      </c>
      <c r="U5605" s="16" t="s">
        <v>31</v>
      </c>
      <c r="V5605" s="14" t="s">
        <v>34926</v>
      </c>
      <c r="W5605" s="14" t="s">
        <v>34645</v>
      </c>
      <c r="X5605" s="17" t="str">
        <f>HYPERLINK("https://my.pitchbook.com?p=279665-83P","View People Online")</f>
        <v>View People Online</v>
      </c>
    </row>
    <row r="5606">
      <c r="A5606" s="10" t="s">
        <v>34927</v>
      </c>
      <c r="B5606" s="10" t="s">
        <v>34928</v>
      </c>
      <c r="C5606" s="10" t="s">
        <v>2383</v>
      </c>
      <c r="D5606" s="10" t="s">
        <v>34929</v>
      </c>
      <c r="E5606" s="10" t="s">
        <v>34645</v>
      </c>
      <c r="F5606" s="10" t="s">
        <v>1215</v>
      </c>
      <c r="G5606" s="10" t="s">
        <v>34930</v>
      </c>
      <c r="H5606" s="11" t="s">
        <v>31</v>
      </c>
      <c r="I5606" s="11">
        <v>1.0</v>
      </c>
      <c r="J5606" s="11">
        <v>1.0</v>
      </c>
      <c r="K5606" s="11" t="s">
        <v>31</v>
      </c>
      <c r="L5606" s="12" t="s">
        <v>34647</v>
      </c>
      <c r="M5606" s="10" t="s">
        <v>34931</v>
      </c>
      <c r="N5606" s="10" t="s">
        <v>34648</v>
      </c>
      <c r="O5606" s="12" t="s">
        <v>34649</v>
      </c>
      <c r="P5606" s="10" t="s">
        <v>34650</v>
      </c>
      <c r="Q5606" s="10" t="s">
        <v>31</v>
      </c>
      <c r="R5606" s="10" t="s">
        <v>31</v>
      </c>
      <c r="S5606" s="12" t="s">
        <v>34651</v>
      </c>
      <c r="T5606" s="10" t="s">
        <v>6315</v>
      </c>
      <c r="U5606" s="12" t="s">
        <v>31</v>
      </c>
      <c r="V5606" s="10" t="s">
        <v>34932</v>
      </c>
      <c r="W5606" s="10" t="s">
        <v>34645</v>
      </c>
      <c r="X5606" s="13" t="str">
        <f>HYPERLINK("https://my.pitchbook.com?p=431570-98P","View People Online")</f>
        <v>View People Online</v>
      </c>
    </row>
    <row r="5607">
      <c r="A5607" s="14" t="s">
        <v>34933</v>
      </c>
      <c r="B5607" s="14" t="s">
        <v>34934</v>
      </c>
      <c r="C5607" s="14" t="s">
        <v>541</v>
      </c>
      <c r="D5607" s="14" t="s">
        <v>19547</v>
      </c>
      <c r="E5607" s="14" t="s">
        <v>34645</v>
      </c>
      <c r="F5607" s="14" t="s">
        <v>3740</v>
      </c>
      <c r="G5607" s="14" t="s">
        <v>34935</v>
      </c>
      <c r="H5607" s="15" t="s">
        <v>31</v>
      </c>
      <c r="I5607" s="15">
        <v>4.0</v>
      </c>
      <c r="J5607" s="15">
        <v>1.0</v>
      </c>
      <c r="K5607" s="15">
        <v>3.0</v>
      </c>
      <c r="L5607" s="16" t="s">
        <v>34647</v>
      </c>
      <c r="M5607" s="14" t="s">
        <v>31</v>
      </c>
      <c r="N5607" s="14" t="s">
        <v>34648</v>
      </c>
      <c r="O5607" s="16" t="s">
        <v>34649</v>
      </c>
      <c r="P5607" s="14" t="s">
        <v>34650</v>
      </c>
      <c r="Q5607" s="14" t="s">
        <v>31</v>
      </c>
      <c r="R5607" s="14" t="s">
        <v>31</v>
      </c>
      <c r="S5607" s="16" t="s">
        <v>34651</v>
      </c>
      <c r="T5607" s="14" t="s">
        <v>6315</v>
      </c>
      <c r="U5607" s="16" t="s">
        <v>31</v>
      </c>
      <c r="V5607" s="14" t="s">
        <v>34936</v>
      </c>
      <c r="W5607" s="14" t="s">
        <v>34645</v>
      </c>
      <c r="X5607" s="17" t="str">
        <f>HYPERLINK("https://my.pitchbook.com?p=338289-49P","View People Online")</f>
        <v>View People Online</v>
      </c>
    </row>
    <row r="5608">
      <c r="A5608" s="2" t="s">
        <v>34937</v>
      </c>
      <c r="B5608" s="2" t="s">
        <v>34938</v>
      </c>
      <c r="C5608" s="2" t="s">
        <v>536</v>
      </c>
      <c r="D5608" s="2" t="s">
        <v>34939</v>
      </c>
      <c r="E5608" s="2" t="s">
        <v>34645</v>
      </c>
      <c r="F5608" s="2" t="s">
        <v>1801</v>
      </c>
      <c r="G5608" s="2" t="s">
        <v>34940</v>
      </c>
      <c r="H5608" s="3" t="s">
        <v>31</v>
      </c>
      <c r="I5608" s="3">
        <v>1.0</v>
      </c>
      <c r="J5608" s="3">
        <v>1.0</v>
      </c>
      <c r="K5608" s="3" t="s">
        <v>31</v>
      </c>
      <c r="L5608" s="4" t="s">
        <v>34647</v>
      </c>
      <c r="M5608" s="2" t="s">
        <v>34941</v>
      </c>
      <c r="N5608" s="2" t="s">
        <v>34648</v>
      </c>
      <c r="O5608" s="4" t="s">
        <v>34649</v>
      </c>
      <c r="P5608" s="2" t="s">
        <v>34650</v>
      </c>
      <c r="Q5608" s="2" t="s">
        <v>31</v>
      </c>
      <c r="R5608" s="2" t="s">
        <v>31</v>
      </c>
      <c r="S5608" s="4" t="s">
        <v>34651</v>
      </c>
      <c r="T5608" s="2" t="s">
        <v>6315</v>
      </c>
      <c r="U5608" s="4" t="s">
        <v>31</v>
      </c>
      <c r="V5608" s="2" t="s">
        <v>34942</v>
      </c>
      <c r="W5608" s="2" t="s">
        <v>34645</v>
      </c>
      <c r="X5608" s="5" t="str">
        <f>HYPERLINK("https://my.pitchbook.com?p=14811-76P","View People Online")</f>
        <v>View People Online</v>
      </c>
    </row>
    <row r="5609">
      <c r="A5609" s="6" t="s">
        <v>34943</v>
      </c>
      <c r="B5609" s="6" t="s">
        <v>34944</v>
      </c>
      <c r="C5609" s="6" t="s">
        <v>34945</v>
      </c>
      <c r="D5609" s="6" t="s">
        <v>34946</v>
      </c>
      <c r="E5609" s="6" t="s">
        <v>34645</v>
      </c>
      <c r="F5609" s="6" t="s">
        <v>3740</v>
      </c>
      <c r="G5609" s="6" t="s">
        <v>34947</v>
      </c>
      <c r="H5609" s="7">
        <v>1.0</v>
      </c>
      <c r="I5609" s="7">
        <v>2.0</v>
      </c>
      <c r="J5609" s="7">
        <v>1.0</v>
      </c>
      <c r="K5609" s="7" t="s">
        <v>31</v>
      </c>
      <c r="L5609" s="8" t="s">
        <v>34647</v>
      </c>
      <c r="M5609" s="6" t="s">
        <v>34948</v>
      </c>
      <c r="N5609" s="6" t="s">
        <v>34648</v>
      </c>
      <c r="O5609" s="8" t="s">
        <v>34649</v>
      </c>
      <c r="P5609" s="6" t="s">
        <v>34650</v>
      </c>
      <c r="Q5609" s="6" t="s">
        <v>31</v>
      </c>
      <c r="R5609" s="6" t="s">
        <v>31</v>
      </c>
      <c r="S5609" s="8" t="s">
        <v>34651</v>
      </c>
      <c r="T5609" s="6" t="s">
        <v>6315</v>
      </c>
      <c r="U5609" s="8" t="s">
        <v>31</v>
      </c>
      <c r="V5609" s="6" t="s">
        <v>34949</v>
      </c>
      <c r="W5609" s="6" t="s">
        <v>34645</v>
      </c>
      <c r="X5609" s="9" t="str">
        <f>HYPERLINK("https://my.pitchbook.com?p=224181-01P","View People Online")</f>
        <v>View People Online</v>
      </c>
    </row>
    <row r="5610">
      <c r="A5610" s="10" t="s">
        <v>34950</v>
      </c>
      <c r="B5610" s="10" t="s">
        <v>34951</v>
      </c>
      <c r="C5610" s="10" t="s">
        <v>6496</v>
      </c>
      <c r="D5610" s="10" t="s">
        <v>1317</v>
      </c>
      <c r="E5610" s="10" t="s">
        <v>34645</v>
      </c>
      <c r="F5610" s="10" t="s">
        <v>1801</v>
      </c>
      <c r="G5610" s="10" t="s">
        <v>34952</v>
      </c>
      <c r="H5610" s="11" t="s">
        <v>31</v>
      </c>
      <c r="I5610" s="11">
        <v>1.0</v>
      </c>
      <c r="J5610" s="11">
        <v>1.0</v>
      </c>
      <c r="K5610" s="11" t="s">
        <v>31</v>
      </c>
      <c r="L5610" s="12" t="s">
        <v>34647</v>
      </c>
      <c r="M5610" s="10" t="s">
        <v>34953</v>
      </c>
      <c r="N5610" s="10" t="s">
        <v>34648</v>
      </c>
      <c r="O5610" s="12" t="s">
        <v>34649</v>
      </c>
      <c r="P5610" s="10" t="s">
        <v>34650</v>
      </c>
      <c r="Q5610" s="10" t="s">
        <v>31</v>
      </c>
      <c r="R5610" s="10" t="s">
        <v>31</v>
      </c>
      <c r="S5610" s="12" t="s">
        <v>34651</v>
      </c>
      <c r="T5610" s="10" t="s">
        <v>6315</v>
      </c>
      <c r="U5610" s="12" t="s">
        <v>31</v>
      </c>
      <c r="V5610" s="10" t="s">
        <v>34954</v>
      </c>
      <c r="W5610" s="10" t="s">
        <v>34645</v>
      </c>
      <c r="X5610" s="13" t="str">
        <f>HYPERLINK("https://my.pitchbook.com?p=388087-93P","View People Online")</f>
        <v>View People Online</v>
      </c>
    </row>
    <row r="5611">
      <c r="A5611" s="14" t="s">
        <v>34955</v>
      </c>
      <c r="B5611" s="14" t="s">
        <v>34956</v>
      </c>
      <c r="C5611" s="14" t="s">
        <v>34957</v>
      </c>
      <c r="D5611" s="14" t="s">
        <v>34958</v>
      </c>
      <c r="E5611" s="14" t="s">
        <v>34645</v>
      </c>
      <c r="F5611" s="14" t="s">
        <v>8021</v>
      </c>
      <c r="G5611" s="14" t="s">
        <v>34959</v>
      </c>
      <c r="H5611" s="15">
        <v>1.0</v>
      </c>
      <c r="I5611" s="15">
        <v>3.0</v>
      </c>
      <c r="J5611" s="15">
        <v>1.0</v>
      </c>
      <c r="K5611" s="15">
        <v>1.0</v>
      </c>
      <c r="L5611" s="16" t="s">
        <v>34647</v>
      </c>
      <c r="M5611" s="14" t="s">
        <v>34960</v>
      </c>
      <c r="N5611" s="14" t="s">
        <v>34648</v>
      </c>
      <c r="O5611" s="16" t="s">
        <v>34649</v>
      </c>
      <c r="P5611" s="14" t="s">
        <v>34650</v>
      </c>
      <c r="Q5611" s="14" t="s">
        <v>31</v>
      </c>
      <c r="R5611" s="14" t="s">
        <v>31</v>
      </c>
      <c r="S5611" s="16" t="s">
        <v>34651</v>
      </c>
      <c r="T5611" s="14" t="s">
        <v>6315</v>
      </c>
      <c r="U5611" s="16" t="s">
        <v>31</v>
      </c>
      <c r="V5611" s="14" t="s">
        <v>8021</v>
      </c>
      <c r="W5611" s="14" t="s">
        <v>34645</v>
      </c>
      <c r="X5611" s="17" t="str">
        <f>HYPERLINK("https://my.pitchbook.com?p=240861-79P","View People Online")</f>
        <v>View People Online</v>
      </c>
    </row>
    <row r="5612">
      <c r="A5612" s="10" t="s">
        <v>34961</v>
      </c>
      <c r="B5612" s="10" t="s">
        <v>34962</v>
      </c>
      <c r="C5612" s="10" t="s">
        <v>34963</v>
      </c>
      <c r="D5612" s="10" t="s">
        <v>34964</v>
      </c>
      <c r="E5612" s="10" t="s">
        <v>34645</v>
      </c>
      <c r="F5612" s="10" t="s">
        <v>5418</v>
      </c>
      <c r="G5612" s="10" t="s">
        <v>34965</v>
      </c>
      <c r="H5612" s="11" t="s">
        <v>31</v>
      </c>
      <c r="I5612" s="11">
        <v>1.0</v>
      </c>
      <c r="J5612" s="11">
        <v>1.0</v>
      </c>
      <c r="K5612" s="11" t="s">
        <v>31</v>
      </c>
      <c r="L5612" s="12" t="s">
        <v>34647</v>
      </c>
      <c r="M5612" s="10" t="s">
        <v>34966</v>
      </c>
      <c r="N5612" s="10" t="s">
        <v>34648</v>
      </c>
      <c r="O5612" s="12" t="s">
        <v>34649</v>
      </c>
      <c r="P5612" s="10" t="s">
        <v>34650</v>
      </c>
      <c r="Q5612" s="10" t="s">
        <v>31</v>
      </c>
      <c r="R5612" s="10" t="s">
        <v>31</v>
      </c>
      <c r="S5612" s="12" t="s">
        <v>34651</v>
      </c>
      <c r="T5612" s="10" t="s">
        <v>6315</v>
      </c>
      <c r="U5612" s="12" t="s">
        <v>31</v>
      </c>
      <c r="V5612" s="10" t="s">
        <v>34967</v>
      </c>
      <c r="W5612" s="10" t="s">
        <v>34645</v>
      </c>
      <c r="X5612" s="13" t="str">
        <f>HYPERLINK("https://my.pitchbook.com?p=71148-16P","View People Online")</f>
        <v>View People Online</v>
      </c>
    </row>
    <row r="5613">
      <c r="A5613" s="6" t="s">
        <v>34968</v>
      </c>
      <c r="B5613" s="6" t="s">
        <v>34969</v>
      </c>
      <c r="C5613" s="6" t="s">
        <v>34970</v>
      </c>
      <c r="D5613" s="6" t="s">
        <v>34971</v>
      </c>
      <c r="E5613" s="6" t="s">
        <v>34645</v>
      </c>
      <c r="F5613" s="6" t="s">
        <v>312</v>
      </c>
      <c r="G5613" s="6" t="s">
        <v>34972</v>
      </c>
      <c r="H5613" s="7" t="s">
        <v>31</v>
      </c>
      <c r="I5613" s="7">
        <v>2.0</v>
      </c>
      <c r="J5613" s="7">
        <v>1.0</v>
      </c>
      <c r="K5613" s="7">
        <v>1.0</v>
      </c>
      <c r="L5613" s="8" t="s">
        <v>34647</v>
      </c>
      <c r="M5613" s="6" t="s">
        <v>34973</v>
      </c>
      <c r="N5613" s="6" t="s">
        <v>34648</v>
      </c>
      <c r="O5613" s="8" t="s">
        <v>34649</v>
      </c>
      <c r="P5613" s="6" t="s">
        <v>34650</v>
      </c>
      <c r="Q5613" s="6" t="s">
        <v>31</v>
      </c>
      <c r="R5613" s="6" t="s">
        <v>31</v>
      </c>
      <c r="S5613" s="8" t="s">
        <v>34651</v>
      </c>
      <c r="T5613" s="6" t="s">
        <v>6315</v>
      </c>
      <c r="U5613" s="8" t="s">
        <v>31</v>
      </c>
      <c r="V5613" s="6" t="s">
        <v>312</v>
      </c>
      <c r="W5613" s="6" t="s">
        <v>34645</v>
      </c>
      <c r="X5613" s="9" t="str">
        <f>HYPERLINK("https://my.pitchbook.com?p=270000-37P","View People Online")</f>
        <v>View People Online</v>
      </c>
    </row>
    <row r="5614">
      <c r="A5614" s="10" t="s">
        <v>34974</v>
      </c>
      <c r="B5614" s="10" t="s">
        <v>34975</v>
      </c>
      <c r="C5614" s="10" t="s">
        <v>2254</v>
      </c>
      <c r="D5614" s="10" t="s">
        <v>34976</v>
      </c>
      <c r="E5614" s="10" t="s">
        <v>34977</v>
      </c>
      <c r="F5614" s="10" t="s">
        <v>114</v>
      </c>
      <c r="G5614" s="10" t="s">
        <v>34978</v>
      </c>
      <c r="H5614" s="11" t="s">
        <v>31</v>
      </c>
      <c r="I5614" s="11">
        <v>4.0</v>
      </c>
      <c r="J5614" s="11">
        <v>2.0</v>
      </c>
      <c r="K5614" s="11">
        <v>1.0</v>
      </c>
      <c r="L5614" s="12" t="s">
        <v>34979</v>
      </c>
      <c r="M5614" s="10" t="s">
        <v>34980</v>
      </c>
      <c r="N5614" s="10" t="s">
        <v>29205</v>
      </c>
      <c r="O5614" s="12" t="s">
        <v>29206</v>
      </c>
      <c r="P5614" s="10" t="s">
        <v>34981</v>
      </c>
      <c r="Q5614" s="10" t="s">
        <v>34982</v>
      </c>
      <c r="R5614" s="10" t="s">
        <v>29209</v>
      </c>
      <c r="S5614" s="12" t="s">
        <v>34983</v>
      </c>
      <c r="T5614" s="10" t="s">
        <v>1209</v>
      </c>
      <c r="U5614" s="12" t="s">
        <v>31</v>
      </c>
      <c r="V5614" s="10" t="s">
        <v>34984</v>
      </c>
      <c r="W5614" s="10" t="s">
        <v>34985</v>
      </c>
      <c r="X5614" s="13" t="str">
        <f>HYPERLINK("https://my.pitchbook.com?p=116971-21P","View People Online")</f>
        <v>View People Online</v>
      </c>
    </row>
    <row r="5615">
      <c r="A5615" s="6" t="s">
        <v>34986</v>
      </c>
      <c r="B5615" s="6" t="s">
        <v>34987</v>
      </c>
      <c r="C5615" s="6" t="s">
        <v>1411</v>
      </c>
      <c r="D5615" s="6" t="s">
        <v>11620</v>
      </c>
      <c r="E5615" s="6" t="s">
        <v>34977</v>
      </c>
      <c r="F5615" s="6" t="s">
        <v>318</v>
      </c>
      <c r="G5615" s="6" t="s">
        <v>34988</v>
      </c>
      <c r="H5615" s="7" t="s">
        <v>31</v>
      </c>
      <c r="I5615" s="7">
        <v>1.0</v>
      </c>
      <c r="J5615" s="7">
        <v>1.0</v>
      </c>
      <c r="K5615" s="7" t="s">
        <v>31</v>
      </c>
      <c r="L5615" s="8" t="s">
        <v>34989</v>
      </c>
      <c r="M5615" s="6" t="s">
        <v>34990</v>
      </c>
      <c r="N5615" s="6" t="s">
        <v>7258</v>
      </c>
      <c r="O5615" s="8" t="s">
        <v>7259</v>
      </c>
      <c r="P5615" s="6" t="s">
        <v>34991</v>
      </c>
      <c r="Q5615" s="6" t="s">
        <v>34992</v>
      </c>
      <c r="R5615" s="6" t="s">
        <v>7262</v>
      </c>
      <c r="S5615" s="8" t="s">
        <v>34993</v>
      </c>
      <c r="T5615" s="6" t="s">
        <v>5484</v>
      </c>
      <c r="U5615" s="8" t="s">
        <v>31</v>
      </c>
      <c r="V5615" s="6" t="s">
        <v>318</v>
      </c>
      <c r="W5615" s="6" t="s">
        <v>34977</v>
      </c>
      <c r="X5615" s="9" t="str">
        <f>HYPERLINK("https://my.pitchbook.com?p=373543-57P","View People Online")</f>
        <v>View People Online</v>
      </c>
    </row>
    <row r="5616">
      <c r="A5616" s="10" t="s">
        <v>34994</v>
      </c>
      <c r="B5616" s="10" t="s">
        <v>34995</v>
      </c>
      <c r="C5616" s="10" t="s">
        <v>1117</v>
      </c>
      <c r="D5616" s="10" t="s">
        <v>16641</v>
      </c>
      <c r="E5616" s="10" t="s">
        <v>34996</v>
      </c>
      <c r="F5616" s="10" t="s">
        <v>29</v>
      </c>
      <c r="G5616" s="10" t="s">
        <v>34997</v>
      </c>
      <c r="H5616" s="11" t="s">
        <v>31</v>
      </c>
      <c r="I5616" s="11">
        <v>1.0</v>
      </c>
      <c r="J5616" s="11">
        <v>1.0</v>
      </c>
      <c r="K5616" s="11" t="s">
        <v>31</v>
      </c>
      <c r="L5616" s="12" t="s">
        <v>34998</v>
      </c>
      <c r="M5616" s="10" t="s">
        <v>34999</v>
      </c>
      <c r="N5616" s="10" t="s">
        <v>3766</v>
      </c>
      <c r="O5616" s="12" t="s">
        <v>3767</v>
      </c>
      <c r="P5616" s="10" t="s">
        <v>35000</v>
      </c>
      <c r="Q5616" s="10" t="s">
        <v>6728</v>
      </c>
      <c r="R5616" s="10" t="s">
        <v>64</v>
      </c>
      <c r="S5616" s="12" t="s">
        <v>13031</v>
      </c>
      <c r="T5616" s="10" t="s">
        <v>66</v>
      </c>
      <c r="U5616" s="12" t="s">
        <v>35001</v>
      </c>
      <c r="V5616" s="10" t="s">
        <v>29</v>
      </c>
      <c r="W5616" s="10" t="s">
        <v>34996</v>
      </c>
      <c r="X5616" s="13" t="str">
        <f>HYPERLINK("https://my.pitchbook.com?p=194101-30P","View People Online")</f>
        <v>View People Online</v>
      </c>
    </row>
    <row r="5617">
      <c r="A5617" s="14" t="s">
        <v>35002</v>
      </c>
      <c r="B5617" s="14" t="s">
        <v>35003</v>
      </c>
      <c r="C5617" s="14" t="s">
        <v>7116</v>
      </c>
      <c r="D5617" s="14" t="s">
        <v>1317</v>
      </c>
      <c r="E5617" s="14" t="s">
        <v>34996</v>
      </c>
      <c r="F5617" s="14" t="s">
        <v>29</v>
      </c>
      <c r="G5617" s="14" t="s">
        <v>35004</v>
      </c>
      <c r="H5617" s="15" t="s">
        <v>31</v>
      </c>
      <c r="I5617" s="15">
        <v>1.0</v>
      </c>
      <c r="J5617" s="15">
        <v>1.0</v>
      </c>
      <c r="K5617" s="15" t="s">
        <v>31</v>
      </c>
      <c r="L5617" s="16" t="s">
        <v>35005</v>
      </c>
      <c r="M5617" s="14" t="s">
        <v>35006</v>
      </c>
      <c r="N5617" s="14" t="s">
        <v>3766</v>
      </c>
      <c r="O5617" s="16" t="s">
        <v>3767</v>
      </c>
      <c r="P5617" s="14" t="s">
        <v>35000</v>
      </c>
      <c r="Q5617" s="14" t="s">
        <v>6728</v>
      </c>
      <c r="R5617" s="14" t="s">
        <v>64</v>
      </c>
      <c r="S5617" s="16" t="s">
        <v>13031</v>
      </c>
      <c r="T5617" s="14" t="s">
        <v>66</v>
      </c>
      <c r="U5617" s="16" t="s">
        <v>35001</v>
      </c>
      <c r="V5617" s="14" t="s">
        <v>29</v>
      </c>
      <c r="W5617" s="14" t="s">
        <v>34996</v>
      </c>
      <c r="X5617" s="17" t="str">
        <f>HYPERLINK("https://my.pitchbook.com?p=194102-38P","View People Online")</f>
        <v>View People Online</v>
      </c>
    </row>
    <row r="5618">
      <c r="A5618" s="10" t="s">
        <v>35007</v>
      </c>
      <c r="B5618" s="10" t="s">
        <v>35008</v>
      </c>
      <c r="C5618" s="10" t="s">
        <v>823</v>
      </c>
      <c r="D5618" s="10" t="s">
        <v>35009</v>
      </c>
      <c r="E5618" s="10" t="s">
        <v>34996</v>
      </c>
      <c r="F5618" s="10" t="s">
        <v>674</v>
      </c>
      <c r="G5618" s="10" t="s">
        <v>35010</v>
      </c>
      <c r="H5618" s="11">
        <v>4.0</v>
      </c>
      <c r="I5618" s="11">
        <v>14.0</v>
      </c>
      <c r="J5618" s="11">
        <v>3.0</v>
      </c>
      <c r="K5618" s="11">
        <v>5.0</v>
      </c>
      <c r="L5618" s="12" t="s">
        <v>35011</v>
      </c>
      <c r="M5618" s="10" t="s">
        <v>35012</v>
      </c>
      <c r="N5618" s="10" t="s">
        <v>35013</v>
      </c>
      <c r="O5618" s="12" t="s">
        <v>35014</v>
      </c>
      <c r="P5618" s="10" t="s">
        <v>35015</v>
      </c>
      <c r="Q5618" s="10" t="s">
        <v>35016</v>
      </c>
      <c r="R5618" s="10" t="s">
        <v>15275</v>
      </c>
      <c r="S5618" s="12" t="s">
        <v>35017</v>
      </c>
      <c r="T5618" s="10" t="s">
        <v>66</v>
      </c>
      <c r="U5618" s="12" t="s">
        <v>31</v>
      </c>
      <c r="V5618" s="10" t="s">
        <v>1172</v>
      </c>
      <c r="W5618" s="10" t="s">
        <v>34996</v>
      </c>
      <c r="X5618" s="13" t="str">
        <f>HYPERLINK("https://my.pitchbook.com?p=41330-26P","View People Online")</f>
        <v>View People Online</v>
      </c>
    </row>
    <row r="5619">
      <c r="A5619" s="14" t="s">
        <v>35018</v>
      </c>
      <c r="B5619" s="14" t="s">
        <v>35019</v>
      </c>
      <c r="C5619" s="14" t="s">
        <v>843</v>
      </c>
      <c r="D5619" s="14" t="s">
        <v>35020</v>
      </c>
      <c r="E5619" s="14" t="s">
        <v>34996</v>
      </c>
      <c r="F5619" s="14" t="s">
        <v>29</v>
      </c>
      <c r="G5619" s="14" t="s">
        <v>35021</v>
      </c>
      <c r="H5619" s="15" t="s">
        <v>31</v>
      </c>
      <c r="I5619" s="15">
        <v>1.0</v>
      </c>
      <c r="J5619" s="15">
        <v>1.0</v>
      </c>
      <c r="K5619" s="15" t="s">
        <v>31</v>
      </c>
      <c r="L5619" s="16" t="s">
        <v>34998</v>
      </c>
      <c r="M5619" s="14" t="s">
        <v>35022</v>
      </c>
      <c r="N5619" s="14" t="s">
        <v>3766</v>
      </c>
      <c r="O5619" s="16" t="s">
        <v>3767</v>
      </c>
      <c r="P5619" s="14" t="s">
        <v>35000</v>
      </c>
      <c r="Q5619" s="14" t="s">
        <v>6728</v>
      </c>
      <c r="R5619" s="14" t="s">
        <v>64</v>
      </c>
      <c r="S5619" s="16" t="s">
        <v>13031</v>
      </c>
      <c r="T5619" s="14" t="s">
        <v>66</v>
      </c>
      <c r="U5619" s="16" t="s">
        <v>35001</v>
      </c>
      <c r="V5619" s="14" t="s">
        <v>35023</v>
      </c>
      <c r="W5619" s="14" t="s">
        <v>34996</v>
      </c>
      <c r="X5619" s="17" t="str">
        <f>HYPERLINK("https://my.pitchbook.com?p=194102-74P","View People Online")</f>
        <v>View People Online</v>
      </c>
    </row>
    <row r="5620">
      <c r="A5620" s="10" t="s">
        <v>35024</v>
      </c>
      <c r="B5620" s="10" t="s">
        <v>35025</v>
      </c>
      <c r="C5620" s="10" t="s">
        <v>4009</v>
      </c>
      <c r="D5620" s="10" t="s">
        <v>28342</v>
      </c>
      <c r="E5620" s="10" t="s">
        <v>34996</v>
      </c>
      <c r="F5620" s="10" t="s">
        <v>29</v>
      </c>
      <c r="G5620" s="10" t="s">
        <v>35026</v>
      </c>
      <c r="H5620" s="11" t="s">
        <v>31</v>
      </c>
      <c r="I5620" s="11">
        <v>1.0</v>
      </c>
      <c r="J5620" s="11">
        <v>1.0</v>
      </c>
      <c r="K5620" s="11" t="s">
        <v>31</v>
      </c>
      <c r="L5620" s="12" t="s">
        <v>34998</v>
      </c>
      <c r="M5620" s="10" t="s">
        <v>35027</v>
      </c>
      <c r="N5620" s="10" t="s">
        <v>3766</v>
      </c>
      <c r="O5620" s="12" t="s">
        <v>3767</v>
      </c>
      <c r="P5620" s="10" t="s">
        <v>35000</v>
      </c>
      <c r="Q5620" s="10" t="s">
        <v>6728</v>
      </c>
      <c r="R5620" s="10" t="s">
        <v>64</v>
      </c>
      <c r="S5620" s="12" t="s">
        <v>13031</v>
      </c>
      <c r="T5620" s="10" t="s">
        <v>66</v>
      </c>
      <c r="U5620" s="12" t="s">
        <v>35001</v>
      </c>
      <c r="V5620" s="10" t="s">
        <v>29</v>
      </c>
      <c r="W5620" s="10" t="s">
        <v>34996</v>
      </c>
      <c r="X5620" s="13" t="str">
        <f>HYPERLINK("https://my.pitchbook.com?p=182299-87P","View People Online")</f>
        <v>View People Online</v>
      </c>
    </row>
    <row r="5621">
      <c r="A5621" s="6" t="s">
        <v>35028</v>
      </c>
      <c r="B5621" s="6" t="s">
        <v>35029</v>
      </c>
      <c r="C5621" s="6" t="s">
        <v>126</v>
      </c>
      <c r="D5621" s="6" t="s">
        <v>35030</v>
      </c>
      <c r="E5621" s="6" t="s">
        <v>34996</v>
      </c>
      <c r="F5621" s="6" t="s">
        <v>502</v>
      </c>
      <c r="G5621" s="6" t="s">
        <v>35031</v>
      </c>
      <c r="H5621" s="7" t="s">
        <v>31</v>
      </c>
      <c r="I5621" s="7">
        <v>1.0</v>
      </c>
      <c r="J5621" s="7">
        <v>1.0</v>
      </c>
      <c r="K5621" s="7" t="s">
        <v>31</v>
      </c>
      <c r="L5621" s="8" t="s">
        <v>34998</v>
      </c>
      <c r="M5621" s="6" t="s">
        <v>35032</v>
      </c>
      <c r="N5621" s="6" t="s">
        <v>3766</v>
      </c>
      <c r="O5621" s="8" t="s">
        <v>3767</v>
      </c>
      <c r="P5621" s="6" t="s">
        <v>35000</v>
      </c>
      <c r="Q5621" s="6" t="s">
        <v>6728</v>
      </c>
      <c r="R5621" s="6" t="s">
        <v>64</v>
      </c>
      <c r="S5621" s="8" t="s">
        <v>13031</v>
      </c>
      <c r="T5621" s="6" t="s">
        <v>66</v>
      </c>
      <c r="U5621" s="8" t="s">
        <v>35001</v>
      </c>
      <c r="V5621" s="6" t="s">
        <v>502</v>
      </c>
      <c r="W5621" s="6" t="s">
        <v>34996</v>
      </c>
      <c r="X5621" s="9" t="str">
        <f>HYPERLINK("https://my.pitchbook.com?p=307086-67P","View People Online")</f>
        <v>View People Online</v>
      </c>
    </row>
    <row r="5622">
      <c r="A5622" s="2" t="s">
        <v>35033</v>
      </c>
      <c r="B5622" s="2" t="s">
        <v>35034</v>
      </c>
      <c r="C5622" s="2" t="s">
        <v>35035</v>
      </c>
      <c r="D5622" s="2" t="s">
        <v>35036</v>
      </c>
      <c r="E5622" s="2" t="s">
        <v>34996</v>
      </c>
      <c r="F5622" s="2" t="s">
        <v>29</v>
      </c>
      <c r="G5622" s="2" t="s">
        <v>35037</v>
      </c>
      <c r="H5622" s="3" t="s">
        <v>31</v>
      </c>
      <c r="I5622" s="3">
        <v>1.0</v>
      </c>
      <c r="J5622" s="3">
        <v>1.0</v>
      </c>
      <c r="K5622" s="3" t="s">
        <v>31</v>
      </c>
      <c r="L5622" s="4" t="s">
        <v>34998</v>
      </c>
      <c r="M5622" s="2" t="s">
        <v>35038</v>
      </c>
      <c r="N5622" s="2" t="s">
        <v>3766</v>
      </c>
      <c r="O5622" s="4" t="s">
        <v>3767</v>
      </c>
      <c r="P5622" s="2" t="s">
        <v>35000</v>
      </c>
      <c r="Q5622" s="2" t="s">
        <v>6728</v>
      </c>
      <c r="R5622" s="2" t="s">
        <v>64</v>
      </c>
      <c r="S5622" s="4" t="s">
        <v>13031</v>
      </c>
      <c r="T5622" s="2" t="s">
        <v>66</v>
      </c>
      <c r="U5622" s="4" t="s">
        <v>35001</v>
      </c>
      <c r="V5622" s="2" t="s">
        <v>29</v>
      </c>
      <c r="W5622" s="2" t="s">
        <v>34996</v>
      </c>
      <c r="X5622" s="5" t="str">
        <f>HYPERLINK("https://my.pitchbook.com?p=194104-00P","View People Online")</f>
        <v>View People Online</v>
      </c>
    </row>
    <row r="5623">
      <c r="A5623" s="6" t="s">
        <v>35039</v>
      </c>
      <c r="B5623" s="6" t="s">
        <v>35040</v>
      </c>
      <c r="C5623" s="6" t="s">
        <v>1376</v>
      </c>
      <c r="D5623" s="6" t="s">
        <v>4191</v>
      </c>
      <c r="E5623" s="6" t="s">
        <v>34996</v>
      </c>
      <c r="F5623" s="6" t="s">
        <v>29</v>
      </c>
      <c r="G5623" s="6" t="s">
        <v>35041</v>
      </c>
      <c r="H5623" s="7" t="s">
        <v>31</v>
      </c>
      <c r="I5623" s="7">
        <v>1.0</v>
      </c>
      <c r="J5623" s="7">
        <v>1.0</v>
      </c>
      <c r="K5623" s="7" t="s">
        <v>31</v>
      </c>
      <c r="L5623" s="8" t="s">
        <v>35042</v>
      </c>
      <c r="M5623" s="6" t="s">
        <v>35043</v>
      </c>
      <c r="N5623" s="6" t="s">
        <v>3766</v>
      </c>
      <c r="O5623" s="8" t="s">
        <v>3767</v>
      </c>
      <c r="P5623" s="6" t="s">
        <v>35000</v>
      </c>
      <c r="Q5623" s="6" t="s">
        <v>6728</v>
      </c>
      <c r="R5623" s="6" t="s">
        <v>64</v>
      </c>
      <c r="S5623" s="8" t="s">
        <v>13031</v>
      </c>
      <c r="T5623" s="6" t="s">
        <v>66</v>
      </c>
      <c r="U5623" s="8" t="s">
        <v>35001</v>
      </c>
      <c r="V5623" s="6" t="s">
        <v>29</v>
      </c>
      <c r="W5623" s="6" t="s">
        <v>34996</v>
      </c>
      <c r="X5623" s="9" t="str">
        <f>HYPERLINK("https://my.pitchbook.com?p=307090-27P","View People Online")</f>
        <v>View People Online</v>
      </c>
    </row>
    <row r="5624">
      <c r="A5624" s="2" t="s">
        <v>35044</v>
      </c>
      <c r="B5624" s="2" t="s">
        <v>35045</v>
      </c>
      <c r="C5624" s="2" t="s">
        <v>3716</v>
      </c>
      <c r="D5624" s="2" t="s">
        <v>11075</v>
      </c>
      <c r="E5624" s="2" t="s">
        <v>34996</v>
      </c>
      <c r="F5624" s="2" t="s">
        <v>674</v>
      </c>
      <c r="G5624" s="2" t="s">
        <v>35046</v>
      </c>
      <c r="H5624" s="3" t="s">
        <v>31</v>
      </c>
      <c r="I5624" s="3">
        <v>26.0</v>
      </c>
      <c r="J5624" s="3">
        <v>1.0</v>
      </c>
      <c r="K5624" s="3">
        <v>20.0</v>
      </c>
      <c r="L5624" s="4" t="s">
        <v>35047</v>
      </c>
      <c r="M5624" s="2" t="s">
        <v>35048</v>
      </c>
      <c r="N5624" s="2" t="s">
        <v>3766</v>
      </c>
      <c r="O5624" s="4" t="s">
        <v>3767</v>
      </c>
      <c r="P5624" s="2" t="s">
        <v>35000</v>
      </c>
      <c r="Q5624" s="2" t="s">
        <v>6728</v>
      </c>
      <c r="R5624" s="2" t="s">
        <v>64</v>
      </c>
      <c r="S5624" s="4" t="s">
        <v>13031</v>
      </c>
      <c r="T5624" s="2" t="s">
        <v>66</v>
      </c>
      <c r="U5624" s="4" t="s">
        <v>35001</v>
      </c>
      <c r="V5624" s="2" t="s">
        <v>1172</v>
      </c>
      <c r="W5624" s="2" t="s">
        <v>34996</v>
      </c>
      <c r="X5624" s="5" t="str">
        <f>HYPERLINK("https://my.pitchbook.com?p=13318-03P","View People Online")</f>
        <v>View People Online</v>
      </c>
    </row>
    <row r="5625">
      <c r="A5625" s="6" t="s">
        <v>35049</v>
      </c>
      <c r="B5625" s="6" t="s">
        <v>35050</v>
      </c>
      <c r="C5625" s="6" t="s">
        <v>6855</v>
      </c>
      <c r="D5625" s="6" t="s">
        <v>27533</v>
      </c>
      <c r="E5625" s="6" t="s">
        <v>34996</v>
      </c>
      <c r="F5625" s="6" t="s">
        <v>371</v>
      </c>
      <c r="G5625" s="6" t="s">
        <v>35051</v>
      </c>
      <c r="H5625" s="7" t="s">
        <v>31</v>
      </c>
      <c r="I5625" s="7">
        <v>1.0</v>
      </c>
      <c r="J5625" s="7">
        <v>1.0</v>
      </c>
      <c r="K5625" s="7" t="s">
        <v>31</v>
      </c>
      <c r="L5625" s="8" t="s">
        <v>34998</v>
      </c>
      <c r="M5625" s="6" t="s">
        <v>35052</v>
      </c>
      <c r="N5625" s="6" t="s">
        <v>3766</v>
      </c>
      <c r="O5625" s="8" t="s">
        <v>3767</v>
      </c>
      <c r="P5625" s="6" t="s">
        <v>35000</v>
      </c>
      <c r="Q5625" s="6" t="s">
        <v>6728</v>
      </c>
      <c r="R5625" s="6" t="s">
        <v>64</v>
      </c>
      <c r="S5625" s="8" t="s">
        <v>13031</v>
      </c>
      <c r="T5625" s="6" t="s">
        <v>66</v>
      </c>
      <c r="U5625" s="8" t="s">
        <v>35001</v>
      </c>
      <c r="V5625" s="6" t="s">
        <v>35053</v>
      </c>
      <c r="W5625" s="6" t="s">
        <v>34996</v>
      </c>
      <c r="X5625" s="9" t="str">
        <f>HYPERLINK("https://my.pitchbook.com?p=182305-18P","View People Online")</f>
        <v>View People Online</v>
      </c>
    </row>
    <row r="5626">
      <c r="A5626" s="2" t="s">
        <v>35054</v>
      </c>
      <c r="B5626" s="2" t="s">
        <v>35055</v>
      </c>
      <c r="C5626" s="2" t="s">
        <v>3722</v>
      </c>
      <c r="D5626" s="2" t="s">
        <v>9782</v>
      </c>
      <c r="E5626" s="2" t="s">
        <v>34996</v>
      </c>
      <c r="F5626" s="2" t="s">
        <v>152</v>
      </c>
      <c r="G5626" s="2" t="s">
        <v>35056</v>
      </c>
      <c r="H5626" s="3">
        <v>1.0</v>
      </c>
      <c r="I5626" s="3">
        <v>6.0</v>
      </c>
      <c r="J5626" s="3">
        <v>2.0</v>
      </c>
      <c r="K5626" s="3" t="s">
        <v>31</v>
      </c>
      <c r="L5626" s="4" t="s">
        <v>34998</v>
      </c>
      <c r="M5626" s="2" t="s">
        <v>35057</v>
      </c>
      <c r="N5626" s="2" t="s">
        <v>3766</v>
      </c>
      <c r="O5626" s="4" t="s">
        <v>3767</v>
      </c>
      <c r="P5626" s="2" t="s">
        <v>35000</v>
      </c>
      <c r="Q5626" s="2" t="s">
        <v>6728</v>
      </c>
      <c r="R5626" s="2" t="s">
        <v>64</v>
      </c>
      <c r="S5626" s="4" t="s">
        <v>13031</v>
      </c>
      <c r="T5626" s="2" t="s">
        <v>66</v>
      </c>
      <c r="U5626" s="4" t="s">
        <v>35001</v>
      </c>
      <c r="V5626" s="2" t="s">
        <v>157</v>
      </c>
      <c r="W5626" s="2" t="s">
        <v>34996</v>
      </c>
      <c r="X5626" s="5" t="str">
        <f>HYPERLINK("https://my.pitchbook.com?p=44434-63P","View People Online")</f>
        <v>View People Online</v>
      </c>
    </row>
    <row r="5627">
      <c r="A5627" s="6" t="s">
        <v>35058</v>
      </c>
      <c r="B5627" s="6" t="s">
        <v>35059</v>
      </c>
      <c r="C5627" s="6" t="s">
        <v>1072</v>
      </c>
      <c r="D5627" s="6" t="s">
        <v>26790</v>
      </c>
      <c r="E5627" s="6" t="s">
        <v>34996</v>
      </c>
      <c r="F5627" s="6" t="s">
        <v>29</v>
      </c>
      <c r="G5627" s="6" t="s">
        <v>35060</v>
      </c>
      <c r="H5627" s="7" t="s">
        <v>31</v>
      </c>
      <c r="I5627" s="7">
        <v>1.0</v>
      </c>
      <c r="J5627" s="7">
        <v>1.0</v>
      </c>
      <c r="K5627" s="7" t="s">
        <v>31</v>
      </c>
      <c r="L5627" s="8" t="s">
        <v>34998</v>
      </c>
      <c r="M5627" s="6" t="s">
        <v>35061</v>
      </c>
      <c r="N5627" s="6" t="s">
        <v>3766</v>
      </c>
      <c r="O5627" s="8" t="s">
        <v>3767</v>
      </c>
      <c r="P5627" s="6" t="s">
        <v>35000</v>
      </c>
      <c r="Q5627" s="6" t="s">
        <v>6728</v>
      </c>
      <c r="R5627" s="6" t="s">
        <v>64</v>
      </c>
      <c r="S5627" s="8" t="s">
        <v>13031</v>
      </c>
      <c r="T5627" s="6" t="s">
        <v>66</v>
      </c>
      <c r="U5627" s="8" t="s">
        <v>35001</v>
      </c>
      <c r="V5627" s="6" t="s">
        <v>29</v>
      </c>
      <c r="W5627" s="6" t="s">
        <v>34996</v>
      </c>
      <c r="X5627" s="9" t="str">
        <f>HYPERLINK("https://my.pitchbook.com?p=13933-63P","View People Online")</f>
        <v>View People Online</v>
      </c>
    </row>
    <row r="5628">
      <c r="A5628" s="2" t="s">
        <v>35062</v>
      </c>
      <c r="B5628" s="2" t="s">
        <v>35063</v>
      </c>
      <c r="C5628" s="2" t="s">
        <v>35064</v>
      </c>
      <c r="D5628" s="2" t="s">
        <v>6461</v>
      </c>
      <c r="E5628" s="2" t="s">
        <v>34996</v>
      </c>
      <c r="F5628" s="2" t="s">
        <v>12616</v>
      </c>
      <c r="G5628" s="2" t="s">
        <v>35065</v>
      </c>
      <c r="H5628" s="3" t="s">
        <v>31</v>
      </c>
      <c r="I5628" s="3">
        <v>1.0</v>
      </c>
      <c r="J5628" s="3">
        <v>1.0</v>
      </c>
      <c r="K5628" s="3" t="s">
        <v>31</v>
      </c>
      <c r="L5628" s="4" t="s">
        <v>34998</v>
      </c>
      <c r="M5628" s="2" t="s">
        <v>31</v>
      </c>
      <c r="N5628" s="2" t="s">
        <v>3766</v>
      </c>
      <c r="O5628" s="4" t="s">
        <v>3767</v>
      </c>
      <c r="P5628" s="2" t="s">
        <v>35000</v>
      </c>
      <c r="Q5628" s="2" t="s">
        <v>6728</v>
      </c>
      <c r="R5628" s="2" t="s">
        <v>64</v>
      </c>
      <c r="S5628" s="4" t="s">
        <v>13031</v>
      </c>
      <c r="T5628" s="2" t="s">
        <v>66</v>
      </c>
      <c r="U5628" s="4" t="s">
        <v>35001</v>
      </c>
      <c r="V5628" s="2" t="s">
        <v>440</v>
      </c>
      <c r="W5628" s="2" t="s">
        <v>34996</v>
      </c>
      <c r="X5628" s="5" t="str">
        <f>HYPERLINK("https://my.pitchbook.com?p=194103-64P","View People Online")</f>
        <v>View People Online</v>
      </c>
    </row>
    <row r="5629">
      <c r="A5629" s="6" t="s">
        <v>35066</v>
      </c>
      <c r="B5629" s="6" t="s">
        <v>35067</v>
      </c>
      <c r="C5629" s="6" t="s">
        <v>10710</v>
      </c>
      <c r="D5629" s="6" t="s">
        <v>35068</v>
      </c>
      <c r="E5629" s="6" t="s">
        <v>35069</v>
      </c>
      <c r="F5629" s="6" t="s">
        <v>270</v>
      </c>
      <c r="G5629" s="6" t="s">
        <v>35070</v>
      </c>
      <c r="H5629" s="7" t="s">
        <v>31</v>
      </c>
      <c r="I5629" s="7">
        <v>1.0</v>
      </c>
      <c r="J5629" s="7">
        <v>1.0</v>
      </c>
      <c r="K5629" s="7" t="s">
        <v>31</v>
      </c>
      <c r="L5629" s="8" t="s">
        <v>35071</v>
      </c>
      <c r="M5629" s="6" t="s">
        <v>35072</v>
      </c>
      <c r="N5629" s="6" t="s">
        <v>14333</v>
      </c>
      <c r="O5629" s="8" t="s">
        <v>14334</v>
      </c>
      <c r="P5629" s="6" t="s">
        <v>35073</v>
      </c>
      <c r="Q5629" s="6" t="s">
        <v>35074</v>
      </c>
      <c r="R5629" s="6" t="s">
        <v>31</v>
      </c>
      <c r="S5629" s="8" t="s">
        <v>35075</v>
      </c>
      <c r="T5629" s="6" t="s">
        <v>14338</v>
      </c>
      <c r="U5629" s="8" t="s">
        <v>31</v>
      </c>
      <c r="V5629" s="6" t="s">
        <v>35076</v>
      </c>
      <c r="W5629" s="6" t="s">
        <v>35069</v>
      </c>
      <c r="X5629" s="9" t="str">
        <f>HYPERLINK("https://my.pitchbook.com?p=138326-68P","View People Online")</f>
        <v>View People Online</v>
      </c>
    </row>
    <row r="5630">
      <c r="A5630" s="10" t="s">
        <v>35077</v>
      </c>
      <c r="B5630" s="10" t="s">
        <v>35078</v>
      </c>
      <c r="C5630" s="10" t="s">
        <v>35079</v>
      </c>
      <c r="D5630" s="10" t="s">
        <v>1645</v>
      </c>
      <c r="E5630" s="10" t="s">
        <v>35069</v>
      </c>
      <c r="F5630" s="10" t="s">
        <v>35080</v>
      </c>
      <c r="G5630" s="10" t="s">
        <v>35081</v>
      </c>
      <c r="H5630" s="11" t="s">
        <v>31</v>
      </c>
      <c r="I5630" s="11">
        <v>1.0</v>
      </c>
      <c r="J5630" s="11">
        <v>1.0</v>
      </c>
      <c r="K5630" s="11" t="s">
        <v>31</v>
      </c>
      <c r="L5630" s="12" t="s">
        <v>35082</v>
      </c>
      <c r="M5630" s="10" t="s">
        <v>35083</v>
      </c>
      <c r="N5630" s="10" t="s">
        <v>14333</v>
      </c>
      <c r="O5630" s="12" t="s">
        <v>14334</v>
      </c>
      <c r="P5630" s="10" t="s">
        <v>35073</v>
      </c>
      <c r="Q5630" s="10" t="s">
        <v>35074</v>
      </c>
      <c r="R5630" s="10" t="s">
        <v>31</v>
      </c>
      <c r="S5630" s="12" t="s">
        <v>35075</v>
      </c>
      <c r="T5630" s="10" t="s">
        <v>14338</v>
      </c>
      <c r="U5630" s="12" t="s">
        <v>31</v>
      </c>
      <c r="V5630" s="10" t="s">
        <v>35084</v>
      </c>
      <c r="W5630" s="10" t="s">
        <v>35069</v>
      </c>
      <c r="X5630" s="13" t="str">
        <f>HYPERLINK("https://my.pitchbook.com?p=170702-38P","View People Online")</f>
        <v>View People Online</v>
      </c>
    </row>
    <row r="5631">
      <c r="A5631" s="14" t="s">
        <v>35085</v>
      </c>
      <c r="B5631" s="14" t="s">
        <v>35086</v>
      </c>
      <c r="C5631" s="14" t="s">
        <v>54</v>
      </c>
      <c r="D5631" s="14" t="s">
        <v>14243</v>
      </c>
      <c r="E5631" s="14" t="s">
        <v>35069</v>
      </c>
      <c r="F5631" s="14" t="s">
        <v>548</v>
      </c>
      <c r="G5631" s="14" t="s">
        <v>35087</v>
      </c>
      <c r="H5631" s="15" t="s">
        <v>31</v>
      </c>
      <c r="I5631" s="15">
        <v>1.0</v>
      </c>
      <c r="J5631" s="15">
        <v>1.0</v>
      </c>
      <c r="K5631" s="15" t="s">
        <v>31</v>
      </c>
      <c r="L5631" s="16" t="s">
        <v>35088</v>
      </c>
      <c r="M5631" s="14" t="s">
        <v>35089</v>
      </c>
      <c r="N5631" s="14" t="s">
        <v>14333</v>
      </c>
      <c r="O5631" s="16" t="s">
        <v>14334</v>
      </c>
      <c r="P5631" s="14" t="s">
        <v>35073</v>
      </c>
      <c r="Q5631" s="14" t="s">
        <v>35074</v>
      </c>
      <c r="R5631" s="14" t="s">
        <v>31</v>
      </c>
      <c r="S5631" s="16" t="s">
        <v>35075</v>
      </c>
      <c r="T5631" s="14" t="s">
        <v>14338</v>
      </c>
      <c r="U5631" s="16" t="s">
        <v>31</v>
      </c>
      <c r="V5631" s="14" t="s">
        <v>35090</v>
      </c>
      <c r="W5631" s="14" t="s">
        <v>35069</v>
      </c>
      <c r="X5631" s="17" t="str">
        <f>HYPERLINK("https://my.pitchbook.com?p=167570-20P","View People Online")</f>
        <v>View People Online</v>
      </c>
    </row>
    <row r="5632">
      <c r="A5632" s="10" t="s">
        <v>35091</v>
      </c>
      <c r="B5632" s="10" t="s">
        <v>35092</v>
      </c>
      <c r="C5632" s="10" t="s">
        <v>35093</v>
      </c>
      <c r="D5632" s="10" t="s">
        <v>35094</v>
      </c>
      <c r="E5632" s="10" t="s">
        <v>35069</v>
      </c>
      <c r="F5632" s="10" t="s">
        <v>270</v>
      </c>
      <c r="G5632" s="10" t="s">
        <v>35095</v>
      </c>
      <c r="H5632" s="11" t="s">
        <v>31</v>
      </c>
      <c r="I5632" s="11">
        <v>1.0</v>
      </c>
      <c r="J5632" s="11">
        <v>1.0</v>
      </c>
      <c r="K5632" s="11" t="s">
        <v>31</v>
      </c>
      <c r="L5632" s="12" t="s">
        <v>35082</v>
      </c>
      <c r="M5632" s="10" t="s">
        <v>35096</v>
      </c>
      <c r="N5632" s="10" t="s">
        <v>14333</v>
      </c>
      <c r="O5632" s="12" t="s">
        <v>14334</v>
      </c>
      <c r="P5632" s="10" t="s">
        <v>35073</v>
      </c>
      <c r="Q5632" s="10" t="s">
        <v>35074</v>
      </c>
      <c r="R5632" s="10" t="s">
        <v>31</v>
      </c>
      <c r="S5632" s="12" t="s">
        <v>35075</v>
      </c>
      <c r="T5632" s="10" t="s">
        <v>14338</v>
      </c>
      <c r="U5632" s="12" t="s">
        <v>31</v>
      </c>
      <c r="V5632" s="10" t="s">
        <v>35097</v>
      </c>
      <c r="W5632" s="10" t="s">
        <v>35069</v>
      </c>
      <c r="X5632" s="13" t="str">
        <f>HYPERLINK("https://my.pitchbook.com?p=150591-70P","View People Online")</f>
        <v>View People Online</v>
      </c>
    </row>
    <row r="5633">
      <c r="A5633" s="14" t="s">
        <v>35098</v>
      </c>
      <c r="B5633" s="14" t="s">
        <v>35099</v>
      </c>
      <c r="C5633" s="14" t="s">
        <v>5785</v>
      </c>
      <c r="D5633" s="14" t="s">
        <v>35100</v>
      </c>
      <c r="E5633" s="14" t="s">
        <v>35069</v>
      </c>
      <c r="F5633" s="14" t="s">
        <v>548</v>
      </c>
      <c r="G5633" s="14" t="s">
        <v>35101</v>
      </c>
      <c r="H5633" s="15" t="s">
        <v>31</v>
      </c>
      <c r="I5633" s="15">
        <v>1.0</v>
      </c>
      <c r="J5633" s="15">
        <v>1.0</v>
      </c>
      <c r="K5633" s="15" t="s">
        <v>31</v>
      </c>
      <c r="L5633" s="16" t="s">
        <v>35088</v>
      </c>
      <c r="M5633" s="14" t="s">
        <v>35102</v>
      </c>
      <c r="N5633" s="14" t="s">
        <v>14333</v>
      </c>
      <c r="O5633" s="16" t="s">
        <v>14334</v>
      </c>
      <c r="P5633" s="14" t="s">
        <v>35073</v>
      </c>
      <c r="Q5633" s="14" t="s">
        <v>35074</v>
      </c>
      <c r="R5633" s="14" t="s">
        <v>31</v>
      </c>
      <c r="S5633" s="16" t="s">
        <v>35075</v>
      </c>
      <c r="T5633" s="14" t="s">
        <v>14338</v>
      </c>
      <c r="U5633" s="16" t="s">
        <v>31</v>
      </c>
      <c r="V5633" s="14" t="s">
        <v>35103</v>
      </c>
      <c r="W5633" s="14" t="s">
        <v>35069</v>
      </c>
      <c r="X5633" s="17" t="str">
        <f>HYPERLINK("https://my.pitchbook.com?p=246348-37P","View People Online")</f>
        <v>View People Online</v>
      </c>
    </row>
    <row r="5634">
      <c r="A5634" s="2" t="s">
        <v>35104</v>
      </c>
      <c r="B5634" s="2" t="s">
        <v>35105</v>
      </c>
      <c r="C5634" s="2" t="s">
        <v>32948</v>
      </c>
      <c r="D5634" s="2" t="s">
        <v>35106</v>
      </c>
      <c r="E5634" s="2" t="s">
        <v>35069</v>
      </c>
      <c r="F5634" s="2" t="s">
        <v>81</v>
      </c>
      <c r="G5634" s="2" t="s">
        <v>35107</v>
      </c>
      <c r="H5634" s="3" t="s">
        <v>31</v>
      </c>
      <c r="I5634" s="3">
        <v>2.0</v>
      </c>
      <c r="J5634" s="3">
        <v>1.0</v>
      </c>
      <c r="K5634" s="3" t="s">
        <v>31</v>
      </c>
      <c r="L5634" s="4" t="s">
        <v>31</v>
      </c>
      <c r="M5634" s="2" t="s">
        <v>35108</v>
      </c>
      <c r="N5634" s="2" t="s">
        <v>1442</v>
      </c>
      <c r="O5634" s="4" t="s">
        <v>1443</v>
      </c>
      <c r="P5634" s="2" t="s">
        <v>4779</v>
      </c>
      <c r="Q5634" s="2" t="s">
        <v>31</v>
      </c>
      <c r="R5634" s="2" t="s">
        <v>1277</v>
      </c>
      <c r="S5634" s="4" t="s">
        <v>35109</v>
      </c>
      <c r="T5634" s="2" t="s">
        <v>66</v>
      </c>
      <c r="U5634" s="4" t="s">
        <v>31</v>
      </c>
      <c r="V5634" s="2" t="s">
        <v>35110</v>
      </c>
      <c r="W5634" s="2" t="s">
        <v>35111</v>
      </c>
      <c r="X5634" s="5" t="str">
        <f>HYPERLINK("https://my.pitchbook.com?p=124584-13P","View People Online")</f>
        <v>View People Online</v>
      </c>
    </row>
    <row r="5635">
      <c r="A5635" s="6" t="s">
        <v>35112</v>
      </c>
      <c r="B5635" s="6" t="s">
        <v>35113</v>
      </c>
      <c r="C5635" s="6" t="s">
        <v>30592</v>
      </c>
      <c r="D5635" s="6" t="s">
        <v>35114</v>
      </c>
      <c r="E5635" s="6" t="s">
        <v>35069</v>
      </c>
      <c r="F5635" s="6" t="s">
        <v>270</v>
      </c>
      <c r="G5635" s="6" t="s">
        <v>35115</v>
      </c>
      <c r="H5635" s="7" t="s">
        <v>31</v>
      </c>
      <c r="I5635" s="7">
        <v>1.0</v>
      </c>
      <c r="J5635" s="7">
        <v>1.0</v>
      </c>
      <c r="K5635" s="7" t="s">
        <v>31</v>
      </c>
      <c r="L5635" s="8" t="s">
        <v>35088</v>
      </c>
      <c r="M5635" s="6" t="s">
        <v>31</v>
      </c>
      <c r="N5635" s="6" t="s">
        <v>14333</v>
      </c>
      <c r="O5635" s="8" t="s">
        <v>14334</v>
      </c>
      <c r="P5635" s="6" t="s">
        <v>35073</v>
      </c>
      <c r="Q5635" s="6" t="s">
        <v>35074</v>
      </c>
      <c r="R5635" s="6" t="s">
        <v>31</v>
      </c>
      <c r="S5635" s="8" t="s">
        <v>35075</v>
      </c>
      <c r="T5635" s="6" t="s">
        <v>14338</v>
      </c>
      <c r="U5635" s="8" t="s">
        <v>31</v>
      </c>
      <c r="V5635" s="6" t="s">
        <v>35116</v>
      </c>
      <c r="W5635" s="6" t="s">
        <v>35069</v>
      </c>
      <c r="X5635" s="9" t="str">
        <f>HYPERLINK("https://my.pitchbook.com?p=51692-86P","View People Online")</f>
        <v>View People Online</v>
      </c>
    </row>
    <row r="5636">
      <c r="A5636" s="10" t="s">
        <v>35117</v>
      </c>
      <c r="B5636" s="10" t="s">
        <v>35118</v>
      </c>
      <c r="C5636" s="10" t="s">
        <v>35119</v>
      </c>
      <c r="D5636" s="10" t="s">
        <v>35120</v>
      </c>
      <c r="E5636" s="10" t="s">
        <v>35069</v>
      </c>
      <c r="F5636" s="10" t="s">
        <v>270</v>
      </c>
      <c r="G5636" s="10" t="s">
        <v>35121</v>
      </c>
      <c r="H5636" s="11" t="s">
        <v>31</v>
      </c>
      <c r="I5636" s="11">
        <v>1.0</v>
      </c>
      <c r="J5636" s="11">
        <v>1.0</v>
      </c>
      <c r="K5636" s="11" t="s">
        <v>31</v>
      </c>
      <c r="L5636" s="12" t="s">
        <v>35122</v>
      </c>
      <c r="M5636" s="10" t="s">
        <v>35123</v>
      </c>
      <c r="N5636" s="10" t="s">
        <v>14333</v>
      </c>
      <c r="O5636" s="12" t="s">
        <v>14334</v>
      </c>
      <c r="P5636" s="10" t="s">
        <v>35073</v>
      </c>
      <c r="Q5636" s="10" t="s">
        <v>35074</v>
      </c>
      <c r="R5636" s="10" t="s">
        <v>31</v>
      </c>
      <c r="S5636" s="12" t="s">
        <v>35075</v>
      </c>
      <c r="T5636" s="10" t="s">
        <v>14338</v>
      </c>
      <c r="U5636" s="12" t="s">
        <v>31</v>
      </c>
      <c r="V5636" s="10" t="s">
        <v>35124</v>
      </c>
      <c r="W5636" s="10" t="s">
        <v>35069</v>
      </c>
      <c r="X5636" s="13" t="str">
        <f>HYPERLINK("https://my.pitchbook.com?p=199968-58P","View People Online")</f>
        <v>View People Online</v>
      </c>
    </row>
    <row r="5637">
      <c r="A5637" s="6" t="s">
        <v>35125</v>
      </c>
      <c r="B5637" s="6" t="s">
        <v>35126</v>
      </c>
      <c r="C5637" s="6" t="s">
        <v>35127</v>
      </c>
      <c r="D5637" s="6" t="s">
        <v>35128</v>
      </c>
      <c r="E5637" s="6" t="s">
        <v>35069</v>
      </c>
      <c r="F5637" s="6" t="s">
        <v>825</v>
      </c>
      <c r="G5637" s="6" t="s">
        <v>35129</v>
      </c>
      <c r="H5637" s="7" t="s">
        <v>31</v>
      </c>
      <c r="I5637" s="7">
        <v>1.0</v>
      </c>
      <c r="J5637" s="7">
        <v>1.0</v>
      </c>
      <c r="K5637" s="7" t="s">
        <v>31</v>
      </c>
      <c r="L5637" s="8" t="s">
        <v>35130</v>
      </c>
      <c r="M5637" s="6" t="s">
        <v>35131</v>
      </c>
      <c r="N5637" s="6" t="s">
        <v>14333</v>
      </c>
      <c r="O5637" s="8" t="s">
        <v>14334</v>
      </c>
      <c r="P5637" s="6" t="s">
        <v>35073</v>
      </c>
      <c r="Q5637" s="6" t="s">
        <v>35074</v>
      </c>
      <c r="R5637" s="6" t="s">
        <v>31</v>
      </c>
      <c r="S5637" s="8" t="s">
        <v>35075</v>
      </c>
      <c r="T5637" s="6" t="s">
        <v>14338</v>
      </c>
      <c r="U5637" s="8" t="s">
        <v>35132</v>
      </c>
      <c r="V5637" s="6" t="s">
        <v>35133</v>
      </c>
      <c r="W5637" s="6" t="s">
        <v>35069</v>
      </c>
      <c r="X5637" s="9" t="str">
        <f>HYPERLINK("https://my.pitchbook.com?p=29831-23P","View People Online")</f>
        <v>View People Online</v>
      </c>
    </row>
    <row r="5638">
      <c r="A5638" s="10" t="s">
        <v>35134</v>
      </c>
      <c r="B5638" s="10" t="s">
        <v>35135</v>
      </c>
      <c r="C5638" s="10" t="s">
        <v>5113</v>
      </c>
      <c r="D5638" s="10" t="s">
        <v>14352</v>
      </c>
      <c r="E5638" s="10" t="s">
        <v>35069</v>
      </c>
      <c r="F5638" s="10" t="s">
        <v>221</v>
      </c>
      <c r="G5638" s="10" t="s">
        <v>35136</v>
      </c>
      <c r="H5638" s="11" t="s">
        <v>31</v>
      </c>
      <c r="I5638" s="11">
        <v>1.0</v>
      </c>
      <c r="J5638" s="11">
        <v>1.0</v>
      </c>
      <c r="K5638" s="11" t="s">
        <v>31</v>
      </c>
      <c r="L5638" s="12" t="s">
        <v>35088</v>
      </c>
      <c r="M5638" s="10" t="s">
        <v>35137</v>
      </c>
      <c r="N5638" s="10" t="s">
        <v>14333</v>
      </c>
      <c r="O5638" s="12" t="s">
        <v>14334</v>
      </c>
      <c r="P5638" s="10" t="s">
        <v>35073</v>
      </c>
      <c r="Q5638" s="10" t="s">
        <v>35074</v>
      </c>
      <c r="R5638" s="10" t="s">
        <v>31</v>
      </c>
      <c r="S5638" s="12" t="s">
        <v>35075</v>
      </c>
      <c r="T5638" s="10" t="s">
        <v>14338</v>
      </c>
      <c r="U5638" s="12" t="s">
        <v>31</v>
      </c>
      <c r="V5638" s="10" t="s">
        <v>35138</v>
      </c>
      <c r="W5638" s="10" t="s">
        <v>35069</v>
      </c>
      <c r="X5638" s="13" t="str">
        <f>HYPERLINK("https://my.pitchbook.com?p=408541-24P","View People Online")</f>
        <v>View People Online</v>
      </c>
    </row>
    <row r="5639">
      <c r="A5639" s="6" t="s">
        <v>35139</v>
      </c>
      <c r="B5639" s="6" t="s">
        <v>35140</v>
      </c>
      <c r="C5639" s="6" t="s">
        <v>4021</v>
      </c>
      <c r="D5639" s="6" t="s">
        <v>9571</v>
      </c>
      <c r="E5639" s="6" t="s">
        <v>35069</v>
      </c>
      <c r="F5639" s="6" t="s">
        <v>1801</v>
      </c>
      <c r="G5639" s="6" t="s">
        <v>35141</v>
      </c>
      <c r="H5639" s="7" t="s">
        <v>31</v>
      </c>
      <c r="I5639" s="7">
        <v>1.0</v>
      </c>
      <c r="J5639" s="7">
        <v>1.0</v>
      </c>
      <c r="K5639" s="7" t="s">
        <v>31</v>
      </c>
      <c r="L5639" s="8" t="s">
        <v>35088</v>
      </c>
      <c r="M5639" s="6" t="s">
        <v>35142</v>
      </c>
      <c r="N5639" s="6" t="s">
        <v>14333</v>
      </c>
      <c r="O5639" s="8" t="s">
        <v>14334</v>
      </c>
      <c r="P5639" s="6" t="s">
        <v>35073</v>
      </c>
      <c r="Q5639" s="6" t="s">
        <v>35074</v>
      </c>
      <c r="R5639" s="6" t="s">
        <v>31</v>
      </c>
      <c r="S5639" s="8" t="s">
        <v>35075</v>
      </c>
      <c r="T5639" s="6" t="s">
        <v>14338</v>
      </c>
      <c r="U5639" s="8" t="s">
        <v>31</v>
      </c>
      <c r="V5639" s="6" t="s">
        <v>35143</v>
      </c>
      <c r="W5639" s="6" t="s">
        <v>35069</v>
      </c>
      <c r="X5639" s="9" t="str">
        <f>HYPERLINK("https://my.pitchbook.com?p=230796-64P","View People Online")</f>
        <v>View People Online</v>
      </c>
    </row>
    <row r="5640">
      <c r="A5640" s="10" t="s">
        <v>35144</v>
      </c>
      <c r="B5640" s="10" t="s">
        <v>35145</v>
      </c>
      <c r="C5640" s="10" t="s">
        <v>35146</v>
      </c>
      <c r="D5640" s="10" t="s">
        <v>35147</v>
      </c>
      <c r="E5640" s="10" t="s">
        <v>35069</v>
      </c>
      <c r="F5640" s="10" t="s">
        <v>270</v>
      </c>
      <c r="G5640" s="10" t="s">
        <v>35148</v>
      </c>
      <c r="H5640" s="11" t="s">
        <v>31</v>
      </c>
      <c r="I5640" s="11">
        <v>2.0</v>
      </c>
      <c r="J5640" s="11">
        <v>2.0</v>
      </c>
      <c r="K5640" s="11" t="s">
        <v>31</v>
      </c>
      <c r="L5640" s="12" t="s">
        <v>35082</v>
      </c>
      <c r="M5640" s="10" t="s">
        <v>31</v>
      </c>
      <c r="N5640" s="10" t="s">
        <v>14333</v>
      </c>
      <c r="O5640" s="12" t="s">
        <v>14334</v>
      </c>
      <c r="P5640" s="10" t="s">
        <v>35149</v>
      </c>
      <c r="Q5640" s="10" t="s">
        <v>31</v>
      </c>
      <c r="R5640" s="10" t="s">
        <v>31</v>
      </c>
      <c r="S5640" s="12" t="s">
        <v>35150</v>
      </c>
      <c r="T5640" s="10" t="s">
        <v>14338</v>
      </c>
      <c r="U5640" s="12" t="s">
        <v>31</v>
      </c>
      <c r="V5640" s="10" t="s">
        <v>802</v>
      </c>
      <c r="W5640" s="10" t="s">
        <v>35151</v>
      </c>
      <c r="X5640" s="13" t="str">
        <f>HYPERLINK("https://my.pitchbook.com?p=170695-36P","View People Online")</f>
        <v>View People Online</v>
      </c>
    </row>
    <row r="5641">
      <c r="A5641" s="14" t="s">
        <v>35152</v>
      </c>
      <c r="B5641" s="14" t="s">
        <v>35153</v>
      </c>
      <c r="C5641" s="14" t="s">
        <v>35154</v>
      </c>
      <c r="D5641" s="14" t="s">
        <v>35155</v>
      </c>
      <c r="E5641" s="14" t="s">
        <v>35069</v>
      </c>
      <c r="F5641" s="14" t="s">
        <v>3740</v>
      </c>
      <c r="G5641" s="14" t="s">
        <v>35156</v>
      </c>
      <c r="H5641" s="15" t="s">
        <v>31</v>
      </c>
      <c r="I5641" s="15">
        <v>2.0</v>
      </c>
      <c r="J5641" s="15">
        <v>1.0</v>
      </c>
      <c r="K5641" s="15">
        <v>1.0</v>
      </c>
      <c r="L5641" s="16" t="s">
        <v>35088</v>
      </c>
      <c r="M5641" s="14" t="s">
        <v>35157</v>
      </c>
      <c r="N5641" s="14" t="s">
        <v>14333</v>
      </c>
      <c r="O5641" s="16" t="s">
        <v>14334</v>
      </c>
      <c r="P5641" s="14" t="s">
        <v>35073</v>
      </c>
      <c r="Q5641" s="14" t="s">
        <v>35074</v>
      </c>
      <c r="R5641" s="14" t="s">
        <v>31</v>
      </c>
      <c r="S5641" s="16" t="s">
        <v>35075</v>
      </c>
      <c r="T5641" s="14" t="s">
        <v>14338</v>
      </c>
      <c r="U5641" s="16" t="s">
        <v>31</v>
      </c>
      <c r="V5641" s="14" t="s">
        <v>3740</v>
      </c>
      <c r="W5641" s="14" t="s">
        <v>35069</v>
      </c>
      <c r="X5641" s="17" t="str">
        <f>HYPERLINK("https://my.pitchbook.com?p=188849-17P","View People Online")</f>
        <v>View People Online</v>
      </c>
    </row>
    <row r="5642">
      <c r="A5642" s="10" t="s">
        <v>35158</v>
      </c>
      <c r="B5642" s="10" t="s">
        <v>35159</v>
      </c>
      <c r="C5642" s="10" t="s">
        <v>35160</v>
      </c>
      <c r="D5642" s="10" t="s">
        <v>3522</v>
      </c>
      <c r="E5642" s="10" t="s">
        <v>35069</v>
      </c>
      <c r="F5642" s="10" t="s">
        <v>81</v>
      </c>
      <c r="G5642" s="10" t="s">
        <v>35161</v>
      </c>
      <c r="H5642" s="11" t="s">
        <v>31</v>
      </c>
      <c r="I5642" s="11">
        <v>6.0</v>
      </c>
      <c r="J5642" s="11" t="s">
        <v>31</v>
      </c>
      <c r="K5642" s="11">
        <v>4.0</v>
      </c>
      <c r="L5642" s="12" t="s">
        <v>35162</v>
      </c>
      <c r="M5642" s="10" t="s">
        <v>31</v>
      </c>
      <c r="N5642" s="10" t="s">
        <v>14333</v>
      </c>
      <c r="O5642" s="12" t="s">
        <v>14334</v>
      </c>
      <c r="P5642" s="10" t="s">
        <v>35149</v>
      </c>
      <c r="Q5642" s="10" t="s">
        <v>31</v>
      </c>
      <c r="R5642" s="10" t="s">
        <v>31</v>
      </c>
      <c r="S5642" s="12" t="s">
        <v>35150</v>
      </c>
      <c r="T5642" s="10" t="s">
        <v>14338</v>
      </c>
      <c r="U5642" s="12" t="s">
        <v>31</v>
      </c>
      <c r="V5642" s="10" t="s">
        <v>35163</v>
      </c>
      <c r="W5642" s="10" t="s">
        <v>35151</v>
      </c>
      <c r="X5642" s="13" t="str">
        <f>HYPERLINK("https://my.pitchbook.com?p=258247-81P","View People Online")</f>
        <v>View People Online</v>
      </c>
    </row>
    <row r="5643">
      <c r="A5643" s="6" t="s">
        <v>35164</v>
      </c>
      <c r="B5643" s="6" t="s">
        <v>35165</v>
      </c>
      <c r="C5643" s="6" t="s">
        <v>35166</v>
      </c>
      <c r="D5643" s="6" t="s">
        <v>35167</v>
      </c>
      <c r="E5643" s="6" t="s">
        <v>35069</v>
      </c>
      <c r="F5643" s="6" t="s">
        <v>825</v>
      </c>
      <c r="G5643" s="6" t="s">
        <v>35168</v>
      </c>
      <c r="H5643" s="7" t="s">
        <v>31</v>
      </c>
      <c r="I5643" s="7">
        <v>1.0</v>
      </c>
      <c r="J5643" s="7">
        <v>1.0</v>
      </c>
      <c r="K5643" s="7" t="s">
        <v>31</v>
      </c>
      <c r="L5643" s="8" t="s">
        <v>35088</v>
      </c>
      <c r="M5643" s="6" t="s">
        <v>35169</v>
      </c>
      <c r="N5643" s="6" t="s">
        <v>14333</v>
      </c>
      <c r="O5643" s="8" t="s">
        <v>14334</v>
      </c>
      <c r="P5643" s="6" t="s">
        <v>35073</v>
      </c>
      <c r="Q5643" s="6" t="s">
        <v>35074</v>
      </c>
      <c r="R5643" s="6" t="s">
        <v>31</v>
      </c>
      <c r="S5643" s="8" t="s">
        <v>35075</v>
      </c>
      <c r="T5643" s="6" t="s">
        <v>14338</v>
      </c>
      <c r="U5643" s="8" t="s">
        <v>31</v>
      </c>
      <c r="V5643" s="6" t="s">
        <v>35170</v>
      </c>
      <c r="W5643" s="6" t="s">
        <v>35069</v>
      </c>
      <c r="X5643" s="9" t="str">
        <f>HYPERLINK("https://my.pitchbook.com?p=272311-21P","View People Online")</f>
        <v>View People Online</v>
      </c>
    </row>
    <row r="5644">
      <c r="A5644" s="10" t="s">
        <v>35171</v>
      </c>
      <c r="B5644" s="10" t="s">
        <v>35172</v>
      </c>
      <c r="C5644" s="10" t="s">
        <v>35173</v>
      </c>
      <c r="D5644" s="10" t="s">
        <v>35174</v>
      </c>
      <c r="E5644" s="10" t="s">
        <v>35069</v>
      </c>
      <c r="F5644" s="10" t="s">
        <v>270</v>
      </c>
      <c r="G5644" s="10" t="s">
        <v>35175</v>
      </c>
      <c r="H5644" s="11" t="s">
        <v>31</v>
      </c>
      <c r="I5644" s="11">
        <v>14.0</v>
      </c>
      <c r="J5644" s="11">
        <v>1.0</v>
      </c>
      <c r="K5644" s="11">
        <v>13.0</v>
      </c>
      <c r="L5644" s="12" t="s">
        <v>35088</v>
      </c>
      <c r="M5644" s="10" t="s">
        <v>31</v>
      </c>
      <c r="N5644" s="10" t="s">
        <v>14333</v>
      </c>
      <c r="O5644" s="12" t="s">
        <v>14334</v>
      </c>
      <c r="P5644" s="10" t="s">
        <v>35073</v>
      </c>
      <c r="Q5644" s="10" t="s">
        <v>35074</v>
      </c>
      <c r="R5644" s="10" t="s">
        <v>31</v>
      </c>
      <c r="S5644" s="12" t="s">
        <v>35075</v>
      </c>
      <c r="T5644" s="10" t="s">
        <v>14338</v>
      </c>
      <c r="U5644" s="12" t="s">
        <v>31</v>
      </c>
      <c r="V5644" s="10" t="s">
        <v>4527</v>
      </c>
      <c r="W5644" s="10" t="s">
        <v>35176</v>
      </c>
      <c r="X5644" s="13" t="str">
        <f>HYPERLINK("https://my.pitchbook.com?p=46038-79P","View People Online")</f>
        <v>View People Online</v>
      </c>
    </row>
    <row r="5645">
      <c r="A5645" s="14" t="s">
        <v>35177</v>
      </c>
      <c r="B5645" s="14" t="s">
        <v>35178</v>
      </c>
      <c r="C5645" s="14" t="s">
        <v>35179</v>
      </c>
      <c r="D5645" s="14" t="s">
        <v>35180</v>
      </c>
      <c r="E5645" s="14" t="s">
        <v>35069</v>
      </c>
      <c r="F5645" s="14" t="s">
        <v>583</v>
      </c>
      <c r="G5645" s="14" t="s">
        <v>35181</v>
      </c>
      <c r="H5645" s="15" t="s">
        <v>31</v>
      </c>
      <c r="I5645" s="15">
        <v>2.0</v>
      </c>
      <c r="J5645" s="15">
        <v>2.0</v>
      </c>
      <c r="K5645" s="15" t="s">
        <v>31</v>
      </c>
      <c r="L5645" s="16" t="s">
        <v>35088</v>
      </c>
      <c r="M5645" s="14" t="s">
        <v>35182</v>
      </c>
      <c r="N5645" s="14" t="s">
        <v>14333</v>
      </c>
      <c r="O5645" s="16" t="s">
        <v>14334</v>
      </c>
      <c r="P5645" s="14" t="s">
        <v>35073</v>
      </c>
      <c r="Q5645" s="14" t="s">
        <v>35074</v>
      </c>
      <c r="R5645" s="14" t="s">
        <v>31</v>
      </c>
      <c r="S5645" s="16" t="s">
        <v>35075</v>
      </c>
      <c r="T5645" s="14" t="s">
        <v>14338</v>
      </c>
      <c r="U5645" s="16" t="s">
        <v>31</v>
      </c>
      <c r="V5645" s="14" t="s">
        <v>583</v>
      </c>
      <c r="W5645" s="14" t="s">
        <v>35069</v>
      </c>
      <c r="X5645" s="17" t="str">
        <f>HYPERLINK("https://my.pitchbook.com?p=225134-02P","View People Online")</f>
        <v>View People Online</v>
      </c>
    </row>
    <row r="5646">
      <c r="A5646" s="2" t="s">
        <v>35183</v>
      </c>
      <c r="B5646" s="2" t="s">
        <v>35184</v>
      </c>
      <c r="C5646" s="2" t="s">
        <v>35185</v>
      </c>
      <c r="D5646" s="2" t="s">
        <v>35186</v>
      </c>
      <c r="E5646" s="2" t="s">
        <v>35069</v>
      </c>
      <c r="F5646" s="2" t="s">
        <v>270</v>
      </c>
      <c r="G5646" s="2" t="s">
        <v>35187</v>
      </c>
      <c r="H5646" s="3" t="s">
        <v>31</v>
      </c>
      <c r="I5646" s="3">
        <v>2.0</v>
      </c>
      <c r="J5646" s="3">
        <v>1.0</v>
      </c>
      <c r="K5646" s="3">
        <v>1.0</v>
      </c>
      <c r="L5646" s="4" t="s">
        <v>35088</v>
      </c>
      <c r="M5646" s="2" t="s">
        <v>35188</v>
      </c>
      <c r="N5646" s="2" t="s">
        <v>14333</v>
      </c>
      <c r="O5646" s="4" t="s">
        <v>14334</v>
      </c>
      <c r="P5646" s="2" t="s">
        <v>35073</v>
      </c>
      <c r="Q5646" s="2" t="s">
        <v>35074</v>
      </c>
      <c r="R5646" s="2" t="s">
        <v>31</v>
      </c>
      <c r="S5646" s="4" t="s">
        <v>35075</v>
      </c>
      <c r="T5646" s="2" t="s">
        <v>14338</v>
      </c>
      <c r="U5646" s="4" t="s">
        <v>31</v>
      </c>
      <c r="V5646" s="2" t="s">
        <v>35189</v>
      </c>
      <c r="W5646" s="2" t="s">
        <v>35069</v>
      </c>
      <c r="X5646" s="5" t="str">
        <f>HYPERLINK("https://my.pitchbook.com?p=215992-45P","View People Online")</f>
        <v>View People Online</v>
      </c>
    </row>
    <row r="5647">
      <c r="A5647" s="14" t="s">
        <v>35190</v>
      </c>
      <c r="B5647" s="14" t="s">
        <v>35191</v>
      </c>
      <c r="C5647" s="14" t="s">
        <v>35192</v>
      </c>
      <c r="D5647" s="14" t="s">
        <v>35193</v>
      </c>
      <c r="E5647" s="14" t="s">
        <v>35194</v>
      </c>
      <c r="F5647" s="14" t="s">
        <v>825</v>
      </c>
      <c r="G5647" s="14" t="s">
        <v>35195</v>
      </c>
      <c r="H5647" s="15" t="s">
        <v>31</v>
      </c>
      <c r="I5647" s="15">
        <v>1.0</v>
      </c>
      <c r="J5647" s="15">
        <v>1.0</v>
      </c>
      <c r="K5647" s="15" t="s">
        <v>31</v>
      </c>
      <c r="L5647" s="16" t="s">
        <v>35196</v>
      </c>
      <c r="M5647" s="14" t="s">
        <v>35197</v>
      </c>
      <c r="N5647" s="14" t="s">
        <v>429</v>
      </c>
      <c r="O5647" s="16" t="s">
        <v>430</v>
      </c>
      <c r="P5647" s="14" t="s">
        <v>35198</v>
      </c>
      <c r="Q5647" s="14" t="s">
        <v>31</v>
      </c>
      <c r="R5647" s="14" t="s">
        <v>31</v>
      </c>
      <c r="S5647" s="16" t="s">
        <v>35199</v>
      </c>
      <c r="T5647" s="14" t="s">
        <v>433</v>
      </c>
      <c r="U5647" s="16" t="s">
        <v>35200</v>
      </c>
      <c r="V5647" s="14" t="s">
        <v>35201</v>
      </c>
      <c r="W5647" s="14" t="s">
        <v>35194</v>
      </c>
      <c r="X5647" s="17" t="str">
        <f>HYPERLINK("https://my.pitchbook.com?p=368696-71P","View People Online")</f>
        <v>View People Online</v>
      </c>
    </row>
    <row r="5648">
      <c r="A5648" s="2" t="s">
        <v>35202</v>
      </c>
      <c r="B5648" s="2" t="s">
        <v>35203</v>
      </c>
      <c r="C5648" s="2" t="s">
        <v>35204</v>
      </c>
      <c r="D5648" s="2" t="s">
        <v>35205</v>
      </c>
      <c r="E5648" s="2" t="s">
        <v>35194</v>
      </c>
      <c r="F5648" s="2" t="s">
        <v>1801</v>
      </c>
      <c r="G5648" s="2" t="s">
        <v>35206</v>
      </c>
      <c r="H5648" s="3" t="s">
        <v>31</v>
      </c>
      <c r="I5648" s="3">
        <v>1.0</v>
      </c>
      <c r="J5648" s="3">
        <v>1.0</v>
      </c>
      <c r="K5648" s="3" t="s">
        <v>31</v>
      </c>
      <c r="L5648" s="4" t="s">
        <v>35196</v>
      </c>
      <c r="M5648" s="2" t="s">
        <v>35207</v>
      </c>
      <c r="N5648" s="2" t="s">
        <v>429</v>
      </c>
      <c r="O5648" s="4" t="s">
        <v>430</v>
      </c>
      <c r="P5648" s="2" t="s">
        <v>35198</v>
      </c>
      <c r="Q5648" s="2" t="s">
        <v>31</v>
      </c>
      <c r="R5648" s="2" t="s">
        <v>31</v>
      </c>
      <c r="S5648" s="4" t="s">
        <v>35199</v>
      </c>
      <c r="T5648" s="2" t="s">
        <v>433</v>
      </c>
      <c r="U5648" s="4" t="s">
        <v>35200</v>
      </c>
      <c r="V5648" s="2" t="s">
        <v>35208</v>
      </c>
      <c r="W5648" s="2" t="s">
        <v>35194</v>
      </c>
      <c r="X5648" s="5" t="str">
        <f>HYPERLINK("https://my.pitchbook.com?p=227759-05P","View People Online")</f>
        <v>View People Online</v>
      </c>
    </row>
    <row r="5649">
      <c r="A5649" s="6" t="s">
        <v>35209</v>
      </c>
      <c r="B5649" s="6" t="s">
        <v>35210</v>
      </c>
      <c r="C5649" s="6" t="s">
        <v>35211</v>
      </c>
      <c r="D5649" s="6" t="s">
        <v>35212</v>
      </c>
      <c r="E5649" s="6" t="s">
        <v>35194</v>
      </c>
      <c r="F5649" s="6" t="s">
        <v>825</v>
      </c>
      <c r="G5649" s="6" t="s">
        <v>35213</v>
      </c>
      <c r="H5649" s="7" t="s">
        <v>31</v>
      </c>
      <c r="I5649" s="7">
        <v>5.0</v>
      </c>
      <c r="J5649" s="7">
        <v>1.0</v>
      </c>
      <c r="K5649" s="7">
        <v>2.0</v>
      </c>
      <c r="L5649" s="8" t="s">
        <v>35196</v>
      </c>
      <c r="M5649" s="6" t="s">
        <v>35214</v>
      </c>
      <c r="N5649" s="6" t="s">
        <v>429</v>
      </c>
      <c r="O5649" s="8" t="s">
        <v>430</v>
      </c>
      <c r="P5649" s="6" t="s">
        <v>35198</v>
      </c>
      <c r="Q5649" s="6" t="s">
        <v>31</v>
      </c>
      <c r="R5649" s="6" t="s">
        <v>31</v>
      </c>
      <c r="S5649" s="8" t="s">
        <v>35199</v>
      </c>
      <c r="T5649" s="6" t="s">
        <v>433</v>
      </c>
      <c r="U5649" s="8" t="s">
        <v>35200</v>
      </c>
      <c r="V5649" s="6" t="s">
        <v>35215</v>
      </c>
      <c r="W5649" s="6" t="s">
        <v>35194</v>
      </c>
      <c r="X5649" s="9" t="str">
        <f>HYPERLINK("https://my.pitchbook.com?p=168410-71P","View People Online")</f>
        <v>View People Online</v>
      </c>
    </row>
    <row r="5650">
      <c r="A5650" s="2" t="s">
        <v>35216</v>
      </c>
      <c r="B5650" s="2" t="s">
        <v>35217</v>
      </c>
      <c r="C5650" s="2" t="s">
        <v>35218</v>
      </c>
      <c r="D5650" s="2" t="s">
        <v>22420</v>
      </c>
      <c r="E5650" s="2" t="s">
        <v>35194</v>
      </c>
      <c r="F5650" s="2" t="s">
        <v>548</v>
      </c>
      <c r="G5650" s="2" t="s">
        <v>35219</v>
      </c>
      <c r="H5650" s="3" t="s">
        <v>31</v>
      </c>
      <c r="I5650" s="3">
        <v>1.0</v>
      </c>
      <c r="J5650" s="3">
        <v>1.0</v>
      </c>
      <c r="K5650" s="3" t="s">
        <v>31</v>
      </c>
      <c r="L5650" s="4" t="s">
        <v>35196</v>
      </c>
      <c r="M5650" s="2" t="s">
        <v>35220</v>
      </c>
      <c r="N5650" s="2" t="s">
        <v>429</v>
      </c>
      <c r="O5650" s="4" t="s">
        <v>430</v>
      </c>
      <c r="P5650" s="2" t="s">
        <v>35198</v>
      </c>
      <c r="Q5650" s="2" t="s">
        <v>31</v>
      </c>
      <c r="R5650" s="2" t="s">
        <v>31</v>
      </c>
      <c r="S5650" s="4" t="s">
        <v>35199</v>
      </c>
      <c r="T5650" s="2" t="s">
        <v>433</v>
      </c>
      <c r="U5650" s="4" t="s">
        <v>35200</v>
      </c>
      <c r="V5650" s="2" t="s">
        <v>35221</v>
      </c>
      <c r="W5650" s="2" t="s">
        <v>35194</v>
      </c>
      <c r="X5650" s="5" t="str">
        <f>HYPERLINK("https://my.pitchbook.com?p=255694-42P","View People Online")</f>
        <v>View People Online</v>
      </c>
    </row>
    <row r="5651">
      <c r="A5651" s="6" t="s">
        <v>35222</v>
      </c>
      <c r="B5651" s="6" t="s">
        <v>35223</v>
      </c>
      <c r="C5651" s="6" t="s">
        <v>3113</v>
      </c>
      <c r="D5651" s="6" t="s">
        <v>35224</v>
      </c>
      <c r="E5651" s="6" t="s">
        <v>35194</v>
      </c>
      <c r="F5651" s="6" t="s">
        <v>825</v>
      </c>
      <c r="G5651" s="6" t="s">
        <v>35225</v>
      </c>
      <c r="H5651" s="7" t="s">
        <v>31</v>
      </c>
      <c r="I5651" s="7">
        <v>1.0</v>
      </c>
      <c r="J5651" s="7">
        <v>1.0</v>
      </c>
      <c r="K5651" s="7" t="s">
        <v>31</v>
      </c>
      <c r="L5651" s="8" t="s">
        <v>35196</v>
      </c>
      <c r="M5651" s="6" t="s">
        <v>31</v>
      </c>
      <c r="N5651" s="6" t="s">
        <v>429</v>
      </c>
      <c r="O5651" s="8" t="s">
        <v>430</v>
      </c>
      <c r="P5651" s="6" t="s">
        <v>35198</v>
      </c>
      <c r="Q5651" s="6" t="s">
        <v>31</v>
      </c>
      <c r="R5651" s="6" t="s">
        <v>31</v>
      </c>
      <c r="S5651" s="8" t="s">
        <v>35199</v>
      </c>
      <c r="T5651" s="6" t="s">
        <v>433</v>
      </c>
      <c r="U5651" s="8" t="s">
        <v>35200</v>
      </c>
      <c r="V5651" s="6" t="s">
        <v>35226</v>
      </c>
      <c r="W5651" s="6" t="s">
        <v>35194</v>
      </c>
      <c r="X5651" s="9" t="str">
        <f>HYPERLINK("https://my.pitchbook.com?p=412103-71P","View People Online")</f>
        <v>View People Online</v>
      </c>
    </row>
    <row r="5652">
      <c r="A5652" s="2" t="s">
        <v>35227</v>
      </c>
      <c r="B5652" s="2" t="s">
        <v>35228</v>
      </c>
      <c r="C5652" s="2" t="s">
        <v>35229</v>
      </c>
      <c r="D5652" s="2" t="s">
        <v>35230</v>
      </c>
      <c r="E5652" s="2" t="s">
        <v>35194</v>
      </c>
      <c r="F5652" s="2" t="s">
        <v>270</v>
      </c>
      <c r="G5652" s="2" t="s">
        <v>35231</v>
      </c>
      <c r="H5652" s="3" t="s">
        <v>31</v>
      </c>
      <c r="I5652" s="3">
        <v>1.0</v>
      </c>
      <c r="J5652" s="3">
        <v>1.0</v>
      </c>
      <c r="K5652" s="3" t="s">
        <v>31</v>
      </c>
      <c r="L5652" s="4" t="s">
        <v>35232</v>
      </c>
      <c r="M5652" s="2" t="s">
        <v>35233</v>
      </c>
      <c r="N5652" s="2" t="s">
        <v>429</v>
      </c>
      <c r="O5652" s="4" t="s">
        <v>430</v>
      </c>
      <c r="P5652" s="2" t="s">
        <v>35198</v>
      </c>
      <c r="Q5652" s="2" t="s">
        <v>31</v>
      </c>
      <c r="R5652" s="2" t="s">
        <v>31</v>
      </c>
      <c r="S5652" s="4" t="s">
        <v>35199</v>
      </c>
      <c r="T5652" s="2" t="s">
        <v>433</v>
      </c>
      <c r="U5652" s="4" t="s">
        <v>35200</v>
      </c>
      <c r="V5652" s="2" t="s">
        <v>35234</v>
      </c>
      <c r="W5652" s="2" t="s">
        <v>35194</v>
      </c>
      <c r="X5652" s="5" t="str">
        <f>HYPERLINK("https://my.pitchbook.com?p=168326-02P","View People Online")</f>
        <v>View People Online</v>
      </c>
    </row>
    <row r="5653">
      <c r="A5653" s="14" t="s">
        <v>35235</v>
      </c>
      <c r="B5653" s="14" t="s">
        <v>35236</v>
      </c>
      <c r="C5653" s="14" t="s">
        <v>20404</v>
      </c>
      <c r="D5653" s="14" t="s">
        <v>35237</v>
      </c>
      <c r="E5653" s="14" t="s">
        <v>35194</v>
      </c>
      <c r="F5653" s="14" t="s">
        <v>5538</v>
      </c>
      <c r="G5653" s="14" t="s">
        <v>35238</v>
      </c>
      <c r="H5653" s="15" t="s">
        <v>31</v>
      </c>
      <c r="I5653" s="15">
        <v>2.0</v>
      </c>
      <c r="J5653" s="15">
        <v>1.0</v>
      </c>
      <c r="K5653" s="15">
        <v>1.0</v>
      </c>
      <c r="L5653" s="16" t="s">
        <v>35196</v>
      </c>
      <c r="M5653" s="14" t="s">
        <v>31</v>
      </c>
      <c r="N5653" s="14" t="s">
        <v>429</v>
      </c>
      <c r="O5653" s="16" t="s">
        <v>430</v>
      </c>
      <c r="P5653" s="14" t="s">
        <v>35198</v>
      </c>
      <c r="Q5653" s="14" t="s">
        <v>31</v>
      </c>
      <c r="R5653" s="14" t="s">
        <v>31</v>
      </c>
      <c r="S5653" s="16" t="s">
        <v>35199</v>
      </c>
      <c r="T5653" s="14" t="s">
        <v>433</v>
      </c>
      <c r="U5653" s="16" t="s">
        <v>35200</v>
      </c>
      <c r="V5653" s="14" t="s">
        <v>5538</v>
      </c>
      <c r="W5653" s="14" t="s">
        <v>35194</v>
      </c>
      <c r="X5653" s="17" t="str">
        <f>HYPERLINK("https://my.pitchbook.com?p=453326-86P","View People Online")</f>
        <v>View People Online</v>
      </c>
    </row>
    <row r="5654">
      <c r="A5654" s="10" t="s">
        <v>35239</v>
      </c>
      <c r="B5654" s="10" t="s">
        <v>35240</v>
      </c>
      <c r="C5654" s="10" t="s">
        <v>3875</v>
      </c>
      <c r="D5654" s="10" t="s">
        <v>12945</v>
      </c>
      <c r="E5654" s="10" t="s">
        <v>35194</v>
      </c>
      <c r="F5654" s="10" t="s">
        <v>270</v>
      </c>
      <c r="G5654" s="10" t="s">
        <v>35241</v>
      </c>
      <c r="H5654" s="11" t="s">
        <v>31</v>
      </c>
      <c r="I5654" s="11">
        <v>1.0</v>
      </c>
      <c r="J5654" s="11">
        <v>1.0</v>
      </c>
      <c r="K5654" s="11" t="s">
        <v>31</v>
      </c>
      <c r="L5654" s="12" t="s">
        <v>35196</v>
      </c>
      <c r="M5654" s="10" t="s">
        <v>35242</v>
      </c>
      <c r="N5654" s="10" t="s">
        <v>429</v>
      </c>
      <c r="O5654" s="12" t="s">
        <v>430</v>
      </c>
      <c r="P5654" s="10" t="s">
        <v>35198</v>
      </c>
      <c r="Q5654" s="10" t="s">
        <v>31</v>
      </c>
      <c r="R5654" s="10" t="s">
        <v>31</v>
      </c>
      <c r="S5654" s="12" t="s">
        <v>35199</v>
      </c>
      <c r="T5654" s="10" t="s">
        <v>433</v>
      </c>
      <c r="U5654" s="12" t="s">
        <v>35200</v>
      </c>
      <c r="V5654" s="10" t="s">
        <v>35243</v>
      </c>
      <c r="W5654" s="10" t="s">
        <v>35194</v>
      </c>
      <c r="X5654" s="13" t="str">
        <f>HYPERLINK("https://my.pitchbook.com?p=317971-27P","View People Online")</f>
        <v>View People Online</v>
      </c>
    </row>
    <row r="5655">
      <c r="A5655" s="6" t="s">
        <v>35244</v>
      </c>
      <c r="B5655" s="6" t="s">
        <v>35245</v>
      </c>
      <c r="C5655" s="6" t="s">
        <v>5264</v>
      </c>
      <c r="D5655" s="6" t="s">
        <v>35246</v>
      </c>
      <c r="E5655" s="6" t="s">
        <v>35194</v>
      </c>
      <c r="F5655" s="6" t="s">
        <v>221</v>
      </c>
      <c r="G5655" s="6" t="s">
        <v>35247</v>
      </c>
      <c r="H5655" s="7" t="s">
        <v>31</v>
      </c>
      <c r="I5655" s="7">
        <v>1.0</v>
      </c>
      <c r="J5655" s="7">
        <v>1.0</v>
      </c>
      <c r="K5655" s="7" t="s">
        <v>31</v>
      </c>
      <c r="L5655" s="8" t="s">
        <v>35196</v>
      </c>
      <c r="M5655" s="6" t="s">
        <v>31</v>
      </c>
      <c r="N5655" s="6" t="s">
        <v>429</v>
      </c>
      <c r="O5655" s="8" t="s">
        <v>430</v>
      </c>
      <c r="P5655" s="6" t="s">
        <v>35198</v>
      </c>
      <c r="Q5655" s="6" t="s">
        <v>31</v>
      </c>
      <c r="R5655" s="6" t="s">
        <v>31</v>
      </c>
      <c r="S5655" s="8" t="s">
        <v>35199</v>
      </c>
      <c r="T5655" s="6" t="s">
        <v>433</v>
      </c>
      <c r="U5655" s="8" t="s">
        <v>35200</v>
      </c>
      <c r="V5655" s="6" t="s">
        <v>35248</v>
      </c>
      <c r="W5655" s="6" t="s">
        <v>35194</v>
      </c>
      <c r="X5655" s="9" t="str">
        <f>HYPERLINK("https://my.pitchbook.com?p=408682-27P","View People Online")</f>
        <v>View People Online</v>
      </c>
    </row>
    <row r="5656">
      <c r="A5656" s="10" t="s">
        <v>35249</v>
      </c>
      <c r="B5656" s="10" t="s">
        <v>35250</v>
      </c>
      <c r="C5656" s="10" t="s">
        <v>35251</v>
      </c>
      <c r="D5656" s="10" t="s">
        <v>35252</v>
      </c>
      <c r="E5656" s="10" t="s">
        <v>35194</v>
      </c>
      <c r="F5656" s="10" t="s">
        <v>548</v>
      </c>
      <c r="G5656" s="10" t="s">
        <v>35253</v>
      </c>
      <c r="H5656" s="11" t="s">
        <v>31</v>
      </c>
      <c r="I5656" s="11">
        <v>2.0</v>
      </c>
      <c r="J5656" s="11">
        <v>1.0</v>
      </c>
      <c r="K5656" s="11">
        <v>1.0</v>
      </c>
      <c r="L5656" s="12" t="s">
        <v>35196</v>
      </c>
      <c r="M5656" s="10" t="s">
        <v>35254</v>
      </c>
      <c r="N5656" s="10" t="s">
        <v>429</v>
      </c>
      <c r="O5656" s="12" t="s">
        <v>430</v>
      </c>
      <c r="P5656" s="10" t="s">
        <v>35198</v>
      </c>
      <c r="Q5656" s="10" t="s">
        <v>31</v>
      </c>
      <c r="R5656" s="10" t="s">
        <v>31</v>
      </c>
      <c r="S5656" s="12" t="s">
        <v>35199</v>
      </c>
      <c r="T5656" s="10" t="s">
        <v>433</v>
      </c>
      <c r="U5656" s="12" t="s">
        <v>35200</v>
      </c>
      <c r="V5656" s="10" t="s">
        <v>35255</v>
      </c>
      <c r="W5656" s="10" t="s">
        <v>35194</v>
      </c>
      <c r="X5656" s="13" t="str">
        <f>HYPERLINK("https://my.pitchbook.com?p=421760-80P","View People Online")</f>
        <v>View People Online</v>
      </c>
    </row>
    <row r="5657">
      <c r="A5657" s="14" t="s">
        <v>35256</v>
      </c>
      <c r="B5657" s="14" t="s">
        <v>35257</v>
      </c>
      <c r="C5657" s="14" t="s">
        <v>4872</v>
      </c>
      <c r="D5657" s="14" t="s">
        <v>3275</v>
      </c>
      <c r="E5657" s="14" t="s">
        <v>35258</v>
      </c>
      <c r="F5657" s="14" t="s">
        <v>371</v>
      </c>
      <c r="G5657" s="14" t="s">
        <v>35259</v>
      </c>
      <c r="H5657" s="15">
        <v>3.0</v>
      </c>
      <c r="I5657" s="15">
        <v>30.0</v>
      </c>
      <c r="J5657" s="15">
        <v>1.0</v>
      </c>
      <c r="K5657" s="15">
        <v>21.0</v>
      </c>
      <c r="L5657" s="16" t="s">
        <v>35260</v>
      </c>
      <c r="M5657" s="14" t="s">
        <v>35261</v>
      </c>
      <c r="N5657" s="14" t="s">
        <v>5345</v>
      </c>
      <c r="O5657" s="16" t="s">
        <v>5346</v>
      </c>
      <c r="P5657" s="14" t="s">
        <v>35262</v>
      </c>
      <c r="Q5657" s="14" t="s">
        <v>34047</v>
      </c>
      <c r="R5657" s="14" t="s">
        <v>5348</v>
      </c>
      <c r="S5657" s="16" t="s">
        <v>35263</v>
      </c>
      <c r="T5657" s="14" t="s">
        <v>66</v>
      </c>
      <c r="U5657" s="16" t="s">
        <v>31</v>
      </c>
      <c r="V5657" s="14" t="s">
        <v>371</v>
      </c>
      <c r="W5657" s="14" t="s">
        <v>35258</v>
      </c>
      <c r="X5657" s="17" t="str">
        <f>HYPERLINK("https://my.pitchbook.com?p=118308-70P","View People Online")</f>
        <v>View People Online</v>
      </c>
    </row>
    <row r="5658">
      <c r="A5658" s="10" t="s">
        <v>35264</v>
      </c>
      <c r="B5658" s="10" t="s">
        <v>35265</v>
      </c>
      <c r="C5658" s="10" t="s">
        <v>4299</v>
      </c>
      <c r="D5658" s="10" t="s">
        <v>4098</v>
      </c>
      <c r="E5658" s="10" t="s">
        <v>35258</v>
      </c>
      <c r="F5658" s="10" t="s">
        <v>35266</v>
      </c>
      <c r="G5658" s="10" t="s">
        <v>35267</v>
      </c>
      <c r="H5658" s="11">
        <v>1.0</v>
      </c>
      <c r="I5658" s="11">
        <v>2.0</v>
      </c>
      <c r="J5658" s="11">
        <v>1.0</v>
      </c>
      <c r="K5658" s="11" t="s">
        <v>31</v>
      </c>
      <c r="L5658" s="12" t="s">
        <v>35268</v>
      </c>
      <c r="M5658" s="10" t="s">
        <v>35269</v>
      </c>
      <c r="N5658" s="10" t="s">
        <v>5345</v>
      </c>
      <c r="O5658" s="12" t="s">
        <v>5346</v>
      </c>
      <c r="P5658" s="10" t="s">
        <v>35262</v>
      </c>
      <c r="Q5658" s="10" t="s">
        <v>34047</v>
      </c>
      <c r="R5658" s="10" t="s">
        <v>5348</v>
      </c>
      <c r="S5658" s="12" t="s">
        <v>35263</v>
      </c>
      <c r="T5658" s="10" t="s">
        <v>66</v>
      </c>
      <c r="U5658" s="12" t="s">
        <v>31</v>
      </c>
      <c r="V5658" s="10" t="s">
        <v>35270</v>
      </c>
      <c r="W5658" s="10" t="s">
        <v>35258</v>
      </c>
      <c r="X5658" s="13" t="str">
        <f>HYPERLINK("https://my.pitchbook.com?p=257448-07P","View People Online")</f>
        <v>View People Online</v>
      </c>
    </row>
    <row r="5659">
      <c r="A5659" s="6" t="s">
        <v>35271</v>
      </c>
      <c r="B5659" s="6" t="s">
        <v>35272</v>
      </c>
      <c r="C5659" s="6" t="s">
        <v>7116</v>
      </c>
      <c r="D5659" s="6" t="s">
        <v>35273</v>
      </c>
      <c r="E5659" s="6" t="s">
        <v>35274</v>
      </c>
      <c r="F5659" s="6" t="s">
        <v>221</v>
      </c>
      <c r="G5659" s="6" t="s">
        <v>35275</v>
      </c>
      <c r="H5659" s="7" t="s">
        <v>31</v>
      </c>
      <c r="I5659" s="7">
        <v>1.0</v>
      </c>
      <c r="J5659" s="7">
        <v>1.0</v>
      </c>
      <c r="K5659" s="7" t="s">
        <v>31</v>
      </c>
      <c r="L5659" s="8" t="s">
        <v>31</v>
      </c>
      <c r="M5659" s="6" t="s">
        <v>35276</v>
      </c>
      <c r="N5659" s="6" t="s">
        <v>1781</v>
      </c>
      <c r="O5659" s="8" t="s">
        <v>1782</v>
      </c>
      <c r="P5659" s="6" t="s">
        <v>35277</v>
      </c>
      <c r="Q5659" s="6" t="s">
        <v>31</v>
      </c>
      <c r="R5659" s="6" t="s">
        <v>1785</v>
      </c>
      <c r="S5659" s="8" t="s">
        <v>35278</v>
      </c>
      <c r="T5659" s="6" t="s">
        <v>1019</v>
      </c>
      <c r="U5659" s="8" t="s">
        <v>31</v>
      </c>
      <c r="V5659" s="6" t="s">
        <v>221</v>
      </c>
      <c r="W5659" s="6" t="s">
        <v>35274</v>
      </c>
      <c r="X5659" s="9" t="str">
        <f>HYPERLINK("https://my.pitchbook.com?p=295372-90P","View People Online")</f>
        <v>View People Online</v>
      </c>
    </row>
    <row r="5660">
      <c r="A5660" s="2" t="s">
        <v>35279</v>
      </c>
      <c r="B5660" s="2" t="s">
        <v>35280</v>
      </c>
      <c r="C5660" s="2" t="s">
        <v>11111</v>
      </c>
      <c r="D5660" s="2" t="s">
        <v>35281</v>
      </c>
      <c r="E5660" s="2" t="s">
        <v>35274</v>
      </c>
      <c r="F5660" s="2" t="s">
        <v>201</v>
      </c>
      <c r="G5660" s="2" t="s">
        <v>35282</v>
      </c>
      <c r="H5660" s="3" t="s">
        <v>31</v>
      </c>
      <c r="I5660" s="3">
        <v>1.0</v>
      </c>
      <c r="J5660" s="3">
        <v>1.0</v>
      </c>
      <c r="K5660" s="3" t="s">
        <v>31</v>
      </c>
      <c r="L5660" s="4" t="s">
        <v>31</v>
      </c>
      <c r="M5660" s="2" t="s">
        <v>35283</v>
      </c>
      <c r="N5660" s="2" t="s">
        <v>1781</v>
      </c>
      <c r="O5660" s="4" t="s">
        <v>1782</v>
      </c>
      <c r="P5660" s="2" t="s">
        <v>35277</v>
      </c>
      <c r="Q5660" s="2" t="s">
        <v>31</v>
      </c>
      <c r="R5660" s="2" t="s">
        <v>1785</v>
      </c>
      <c r="S5660" s="4" t="s">
        <v>35278</v>
      </c>
      <c r="T5660" s="2" t="s">
        <v>1019</v>
      </c>
      <c r="U5660" s="4" t="s">
        <v>31</v>
      </c>
      <c r="V5660" s="2" t="s">
        <v>201</v>
      </c>
      <c r="W5660" s="2" t="s">
        <v>35274</v>
      </c>
      <c r="X5660" s="5" t="str">
        <f>HYPERLINK("https://my.pitchbook.com?p=259304-59P","View People Online")</f>
        <v>View People Online</v>
      </c>
    </row>
    <row r="5661">
      <c r="A5661" s="6" t="s">
        <v>35284</v>
      </c>
      <c r="B5661" s="6" t="s">
        <v>35285</v>
      </c>
      <c r="C5661" s="6" t="s">
        <v>1125</v>
      </c>
      <c r="D5661" s="6" t="s">
        <v>35286</v>
      </c>
      <c r="E5661" s="6" t="s">
        <v>35274</v>
      </c>
      <c r="F5661" s="6" t="s">
        <v>1801</v>
      </c>
      <c r="G5661" s="6" t="s">
        <v>35287</v>
      </c>
      <c r="H5661" s="7" t="s">
        <v>31</v>
      </c>
      <c r="I5661" s="7">
        <v>1.0</v>
      </c>
      <c r="J5661" s="7">
        <v>1.0</v>
      </c>
      <c r="K5661" s="7" t="s">
        <v>31</v>
      </c>
      <c r="L5661" s="8" t="s">
        <v>31</v>
      </c>
      <c r="M5661" s="6" t="s">
        <v>35288</v>
      </c>
      <c r="N5661" s="6" t="s">
        <v>1781</v>
      </c>
      <c r="O5661" s="8" t="s">
        <v>1782</v>
      </c>
      <c r="P5661" s="6" t="s">
        <v>35277</v>
      </c>
      <c r="Q5661" s="6" t="s">
        <v>31</v>
      </c>
      <c r="R5661" s="6" t="s">
        <v>1785</v>
      </c>
      <c r="S5661" s="8" t="s">
        <v>35278</v>
      </c>
      <c r="T5661" s="6" t="s">
        <v>1019</v>
      </c>
      <c r="U5661" s="8" t="s">
        <v>31</v>
      </c>
      <c r="V5661" s="6" t="s">
        <v>35289</v>
      </c>
      <c r="W5661" s="6" t="s">
        <v>35274</v>
      </c>
      <c r="X5661" s="9" t="str">
        <f>HYPERLINK("https://my.pitchbook.com?p=210235-33P","View People Online")</f>
        <v>View People Online</v>
      </c>
    </row>
    <row r="5662">
      <c r="A5662" s="2" t="s">
        <v>35290</v>
      </c>
      <c r="B5662" s="2" t="s">
        <v>35291</v>
      </c>
      <c r="C5662" s="2" t="s">
        <v>4306</v>
      </c>
      <c r="D5662" s="2" t="s">
        <v>35292</v>
      </c>
      <c r="E5662" s="2" t="s">
        <v>35274</v>
      </c>
      <c r="F5662" s="2" t="s">
        <v>318</v>
      </c>
      <c r="G5662" s="2" t="s">
        <v>35293</v>
      </c>
      <c r="H5662" s="3" t="s">
        <v>31</v>
      </c>
      <c r="I5662" s="3">
        <v>3.0</v>
      </c>
      <c r="J5662" s="3">
        <v>1.0</v>
      </c>
      <c r="K5662" s="3" t="s">
        <v>31</v>
      </c>
      <c r="L5662" s="4" t="s">
        <v>31</v>
      </c>
      <c r="M5662" s="2" t="s">
        <v>35294</v>
      </c>
      <c r="N5662" s="2" t="s">
        <v>1781</v>
      </c>
      <c r="O5662" s="4" t="s">
        <v>1782</v>
      </c>
      <c r="P5662" s="2" t="s">
        <v>35277</v>
      </c>
      <c r="Q5662" s="2" t="s">
        <v>31</v>
      </c>
      <c r="R5662" s="2" t="s">
        <v>1785</v>
      </c>
      <c r="S5662" s="4" t="s">
        <v>35278</v>
      </c>
      <c r="T5662" s="2" t="s">
        <v>1019</v>
      </c>
      <c r="U5662" s="4" t="s">
        <v>31</v>
      </c>
      <c r="V5662" s="2" t="s">
        <v>318</v>
      </c>
      <c r="W5662" s="2" t="s">
        <v>35274</v>
      </c>
      <c r="X5662" s="5" t="str">
        <f>HYPERLINK("https://my.pitchbook.com?p=295372-18P","View People Online")</f>
        <v>View People Online</v>
      </c>
    </row>
    <row r="5663">
      <c r="A5663" s="14" t="s">
        <v>35295</v>
      </c>
      <c r="B5663" s="14" t="s">
        <v>35296</v>
      </c>
      <c r="C5663" s="14" t="s">
        <v>3658</v>
      </c>
      <c r="D5663" s="14" t="s">
        <v>27731</v>
      </c>
      <c r="E5663" s="14" t="s">
        <v>35274</v>
      </c>
      <c r="F5663" s="14" t="s">
        <v>29</v>
      </c>
      <c r="G5663" s="14" t="s">
        <v>35297</v>
      </c>
      <c r="H5663" s="15">
        <v>3.0</v>
      </c>
      <c r="I5663" s="15">
        <v>8.0</v>
      </c>
      <c r="J5663" s="15">
        <v>1.0</v>
      </c>
      <c r="K5663" s="15">
        <v>3.0</v>
      </c>
      <c r="L5663" s="16" t="s">
        <v>35298</v>
      </c>
      <c r="M5663" s="14" t="s">
        <v>31</v>
      </c>
      <c r="N5663" s="14" t="s">
        <v>1348</v>
      </c>
      <c r="O5663" s="16" t="s">
        <v>1349</v>
      </c>
      <c r="P5663" s="14" t="s">
        <v>35299</v>
      </c>
      <c r="Q5663" s="14" t="s">
        <v>35300</v>
      </c>
      <c r="R5663" s="14" t="s">
        <v>1018</v>
      </c>
      <c r="S5663" s="16" t="s">
        <v>35301</v>
      </c>
      <c r="T5663" s="14" t="s">
        <v>1019</v>
      </c>
      <c r="U5663" s="16" t="s">
        <v>35302</v>
      </c>
      <c r="V5663" s="14" t="s">
        <v>2379</v>
      </c>
      <c r="W5663" s="14" t="s">
        <v>35303</v>
      </c>
      <c r="X5663" s="17" t="str">
        <f>HYPERLINK("https://my.pitchbook.com?p=57024-37P","View People Online")</f>
        <v>View People Online</v>
      </c>
    </row>
    <row r="5664">
      <c r="A5664" s="10" t="s">
        <v>35304</v>
      </c>
      <c r="B5664" s="10" t="s">
        <v>35305</v>
      </c>
      <c r="C5664" s="10" t="s">
        <v>1356</v>
      </c>
      <c r="D5664" s="10" t="s">
        <v>35306</v>
      </c>
      <c r="E5664" s="10" t="s">
        <v>35274</v>
      </c>
      <c r="F5664" s="10" t="s">
        <v>4378</v>
      </c>
      <c r="G5664" s="10" t="s">
        <v>35307</v>
      </c>
      <c r="H5664" s="11" t="s">
        <v>31</v>
      </c>
      <c r="I5664" s="11">
        <v>2.0</v>
      </c>
      <c r="J5664" s="11">
        <v>2.0</v>
      </c>
      <c r="K5664" s="11" t="s">
        <v>31</v>
      </c>
      <c r="L5664" s="12" t="s">
        <v>35308</v>
      </c>
      <c r="M5664" s="10" t="s">
        <v>35309</v>
      </c>
      <c r="N5664" s="10" t="s">
        <v>1781</v>
      </c>
      <c r="O5664" s="12" t="s">
        <v>1782</v>
      </c>
      <c r="P5664" s="10" t="s">
        <v>35310</v>
      </c>
      <c r="Q5664" s="10" t="s">
        <v>31367</v>
      </c>
      <c r="R5664" s="10" t="s">
        <v>1785</v>
      </c>
      <c r="S5664" s="12" t="s">
        <v>35278</v>
      </c>
      <c r="T5664" s="10" t="s">
        <v>1019</v>
      </c>
      <c r="U5664" s="12" t="s">
        <v>31</v>
      </c>
      <c r="V5664" s="10" t="s">
        <v>35311</v>
      </c>
      <c r="W5664" s="10" t="s">
        <v>35312</v>
      </c>
      <c r="X5664" s="13" t="str">
        <f>HYPERLINK("https://my.pitchbook.com?p=34679-89P","View People Online")</f>
        <v>View People Online</v>
      </c>
    </row>
    <row r="5665">
      <c r="A5665" s="14" t="s">
        <v>35313</v>
      </c>
      <c r="B5665" s="14" t="s">
        <v>35314</v>
      </c>
      <c r="C5665" s="14" t="s">
        <v>1645</v>
      </c>
      <c r="D5665" s="14" t="s">
        <v>7698</v>
      </c>
      <c r="E5665" s="14" t="s">
        <v>35274</v>
      </c>
      <c r="F5665" s="14" t="s">
        <v>189</v>
      </c>
      <c r="G5665" s="14" t="s">
        <v>35315</v>
      </c>
      <c r="H5665" s="15">
        <v>5.0</v>
      </c>
      <c r="I5665" s="15">
        <v>32.0</v>
      </c>
      <c r="J5665" s="15">
        <v>2.0</v>
      </c>
      <c r="K5665" s="15">
        <v>23.0</v>
      </c>
      <c r="L5665" s="16" t="s">
        <v>31</v>
      </c>
      <c r="M5665" s="14" t="s">
        <v>35316</v>
      </c>
      <c r="N5665" s="14" t="s">
        <v>1781</v>
      </c>
      <c r="O5665" s="16" t="s">
        <v>1782</v>
      </c>
      <c r="P5665" s="14" t="s">
        <v>35277</v>
      </c>
      <c r="Q5665" s="14" t="s">
        <v>31</v>
      </c>
      <c r="R5665" s="14" t="s">
        <v>1785</v>
      </c>
      <c r="S5665" s="16" t="s">
        <v>35278</v>
      </c>
      <c r="T5665" s="14" t="s">
        <v>1019</v>
      </c>
      <c r="U5665" s="16" t="s">
        <v>31</v>
      </c>
      <c r="V5665" s="14" t="s">
        <v>196</v>
      </c>
      <c r="W5665" s="14" t="s">
        <v>35274</v>
      </c>
      <c r="X5665" s="17" t="str">
        <f>HYPERLINK("https://my.pitchbook.com?p=44082-64P","View People Online")</f>
        <v>View People Online</v>
      </c>
    </row>
    <row r="5666">
      <c r="A5666" s="2" t="s">
        <v>35317</v>
      </c>
      <c r="B5666" s="2" t="s">
        <v>35318</v>
      </c>
      <c r="C5666" s="2" t="s">
        <v>4033</v>
      </c>
      <c r="D5666" s="2" t="s">
        <v>27012</v>
      </c>
      <c r="E5666" s="2" t="s">
        <v>35274</v>
      </c>
      <c r="F5666" s="2" t="s">
        <v>502</v>
      </c>
      <c r="G5666" s="2" t="s">
        <v>35319</v>
      </c>
      <c r="H5666" s="3" t="s">
        <v>31</v>
      </c>
      <c r="I5666" s="3">
        <v>1.0</v>
      </c>
      <c r="J5666" s="3">
        <v>1.0</v>
      </c>
      <c r="K5666" s="3" t="s">
        <v>31</v>
      </c>
      <c r="L5666" s="4" t="s">
        <v>31</v>
      </c>
      <c r="M5666" s="2" t="s">
        <v>35320</v>
      </c>
      <c r="N5666" s="2" t="s">
        <v>1781</v>
      </c>
      <c r="O5666" s="4" t="s">
        <v>1782</v>
      </c>
      <c r="P5666" s="2" t="s">
        <v>35277</v>
      </c>
      <c r="Q5666" s="2" t="s">
        <v>31</v>
      </c>
      <c r="R5666" s="2" t="s">
        <v>1785</v>
      </c>
      <c r="S5666" s="4" t="s">
        <v>35278</v>
      </c>
      <c r="T5666" s="2" t="s">
        <v>1019</v>
      </c>
      <c r="U5666" s="4" t="s">
        <v>31</v>
      </c>
      <c r="V5666" s="2" t="s">
        <v>502</v>
      </c>
      <c r="W5666" s="2" t="s">
        <v>35274</v>
      </c>
      <c r="X5666" s="5" t="str">
        <f>HYPERLINK("https://my.pitchbook.com?p=357713-11P","View People Online")</f>
        <v>View People Online</v>
      </c>
    </row>
    <row r="5667">
      <c r="A5667" s="14" t="s">
        <v>35321</v>
      </c>
      <c r="B5667" s="14" t="s">
        <v>35322</v>
      </c>
      <c r="C5667" s="14" t="s">
        <v>1807</v>
      </c>
      <c r="D5667" s="14" t="s">
        <v>35323</v>
      </c>
      <c r="E5667" s="14" t="s">
        <v>35274</v>
      </c>
      <c r="F5667" s="14" t="s">
        <v>29</v>
      </c>
      <c r="G5667" s="14" t="s">
        <v>35324</v>
      </c>
      <c r="H5667" s="15">
        <v>6.0</v>
      </c>
      <c r="I5667" s="15">
        <v>20.0</v>
      </c>
      <c r="J5667" s="15">
        <v>2.0</v>
      </c>
      <c r="K5667" s="15">
        <v>10.0</v>
      </c>
      <c r="L5667" s="16" t="s">
        <v>31</v>
      </c>
      <c r="M5667" s="14" t="s">
        <v>35325</v>
      </c>
      <c r="N5667" s="14" t="s">
        <v>1781</v>
      </c>
      <c r="O5667" s="16" t="s">
        <v>1782</v>
      </c>
      <c r="P5667" s="14" t="s">
        <v>35277</v>
      </c>
      <c r="Q5667" s="14" t="s">
        <v>31</v>
      </c>
      <c r="R5667" s="14" t="s">
        <v>1785</v>
      </c>
      <c r="S5667" s="16" t="s">
        <v>35278</v>
      </c>
      <c r="T5667" s="14" t="s">
        <v>1019</v>
      </c>
      <c r="U5667" s="16" t="s">
        <v>31</v>
      </c>
      <c r="V5667" s="14" t="s">
        <v>29</v>
      </c>
      <c r="W5667" s="14" t="s">
        <v>35274</v>
      </c>
      <c r="X5667" s="17" t="str">
        <f>HYPERLINK("https://my.pitchbook.com?p=36621-82P","View People Online")</f>
        <v>View People Online</v>
      </c>
    </row>
    <row r="5668">
      <c r="A5668" s="10" t="s">
        <v>35326</v>
      </c>
      <c r="B5668" s="10" t="s">
        <v>35327</v>
      </c>
      <c r="C5668" s="10" t="s">
        <v>35328</v>
      </c>
      <c r="D5668" s="10" t="s">
        <v>35329</v>
      </c>
      <c r="E5668" s="10" t="s">
        <v>35274</v>
      </c>
      <c r="F5668" s="10" t="s">
        <v>29</v>
      </c>
      <c r="G5668" s="10" t="s">
        <v>35330</v>
      </c>
      <c r="H5668" s="11">
        <v>1.0</v>
      </c>
      <c r="I5668" s="11">
        <v>8.0</v>
      </c>
      <c r="J5668" s="11">
        <v>1.0</v>
      </c>
      <c r="K5668" s="11">
        <v>5.0</v>
      </c>
      <c r="L5668" s="12" t="s">
        <v>31</v>
      </c>
      <c r="M5668" s="10" t="s">
        <v>35331</v>
      </c>
      <c r="N5668" s="10" t="s">
        <v>1781</v>
      </c>
      <c r="O5668" s="12" t="s">
        <v>1782</v>
      </c>
      <c r="P5668" s="10" t="s">
        <v>35277</v>
      </c>
      <c r="Q5668" s="10" t="s">
        <v>31</v>
      </c>
      <c r="R5668" s="10" t="s">
        <v>1785</v>
      </c>
      <c r="S5668" s="12" t="s">
        <v>35278</v>
      </c>
      <c r="T5668" s="10" t="s">
        <v>1019</v>
      </c>
      <c r="U5668" s="12" t="s">
        <v>31</v>
      </c>
      <c r="V5668" s="10" t="s">
        <v>29</v>
      </c>
      <c r="W5668" s="10" t="s">
        <v>35274</v>
      </c>
      <c r="X5668" s="13" t="str">
        <f>HYPERLINK("https://my.pitchbook.com?p=285416-83P","View People Online")</f>
        <v>View People Online</v>
      </c>
    </row>
    <row r="5669">
      <c r="A5669" s="6" t="s">
        <v>35332</v>
      </c>
      <c r="B5669" s="6" t="s">
        <v>35333</v>
      </c>
      <c r="C5669" s="6" t="s">
        <v>536</v>
      </c>
      <c r="D5669" s="6" t="s">
        <v>25533</v>
      </c>
      <c r="E5669" s="6" t="s">
        <v>35274</v>
      </c>
      <c r="F5669" s="6" t="s">
        <v>312</v>
      </c>
      <c r="G5669" s="6" t="s">
        <v>35334</v>
      </c>
      <c r="H5669" s="7">
        <v>4.0</v>
      </c>
      <c r="I5669" s="7">
        <v>11.0</v>
      </c>
      <c r="J5669" s="7">
        <v>2.0</v>
      </c>
      <c r="K5669" s="7">
        <v>5.0</v>
      </c>
      <c r="L5669" s="8" t="s">
        <v>31</v>
      </c>
      <c r="M5669" s="6" t="s">
        <v>31</v>
      </c>
      <c r="N5669" s="6" t="s">
        <v>1781</v>
      </c>
      <c r="O5669" s="8" t="s">
        <v>1782</v>
      </c>
      <c r="P5669" s="6" t="s">
        <v>35277</v>
      </c>
      <c r="Q5669" s="6" t="s">
        <v>31</v>
      </c>
      <c r="R5669" s="6" t="s">
        <v>1785</v>
      </c>
      <c r="S5669" s="8" t="s">
        <v>35278</v>
      </c>
      <c r="T5669" s="6" t="s">
        <v>1019</v>
      </c>
      <c r="U5669" s="8" t="s">
        <v>31</v>
      </c>
      <c r="V5669" s="6" t="s">
        <v>312</v>
      </c>
      <c r="W5669" s="6" t="s">
        <v>35274</v>
      </c>
      <c r="X5669" s="9" t="str">
        <f>HYPERLINK("https://my.pitchbook.com?p=58897-81P","View People Online")</f>
        <v>View People Online</v>
      </c>
    </row>
    <row r="5670">
      <c r="A5670" s="10" t="s">
        <v>35335</v>
      </c>
      <c r="B5670" s="10" t="s">
        <v>35336</v>
      </c>
      <c r="C5670" s="10" t="s">
        <v>35337</v>
      </c>
      <c r="D5670" s="10" t="s">
        <v>35338</v>
      </c>
      <c r="E5670" s="10" t="s">
        <v>35274</v>
      </c>
      <c r="F5670" s="10" t="s">
        <v>201</v>
      </c>
      <c r="G5670" s="10" t="s">
        <v>35339</v>
      </c>
      <c r="H5670" s="11" t="s">
        <v>31</v>
      </c>
      <c r="I5670" s="11">
        <v>1.0</v>
      </c>
      <c r="J5670" s="11">
        <v>1.0</v>
      </c>
      <c r="K5670" s="11" t="s">
        <v>31</v>
      </c>
      <c r="L5670" s="12" t="s">
        <v>31</v>
      </c>
      <c r="M5670" s="10" t="s">
        <v>35340</v>
      </c>
      <c r="N5670" s="10" t="s">
        <v>1781</v>
      </c>
      <c r="O5670" s="12" t="s">
        <v>1782</v>
      </c>
      <c r="P5670" s="10" t="s">
        <v>35277</v>
      </c>
      <c r="Q5670" s="10" t="s">
        <v>31</v>
      </c>
      <c r="R5670" s="10" t="s">
        <v>1785</v>
      </c>
      <c r="S5670" s="12" t="s">
        <v>35278</v>
      </c>
      <c r="T5670" s="10" t="s">
        <v>1019</v>
      </c>
      <c r="U5670" s="12" t="s">
        <v>31</v>
      </c>
      <c r="V5670" s="10" t="s">
        <v>201</v>
      </c>
      <c r="W5670" s="10" t="s">
        <v>35274</v>
      </c>
      <c r="X5670" s="13" t="str">
        <f>HYPERLINK("https://my.pitchbook.com?p=295371-64P","View People Online")</f>
        <v>View People Online</v>
      </c>
    </row>
    <row r="5671">
      <c r="A5671" s="14" t="s">
        <v>35341</v>
      </c>
      <c r="B5671" s="14" t="s">
        <v>35342</v>
      </c>
      <c r="C5671" s="14" t="s">
        <v>237</v>
      </c>
      <c r="D5671" s="14" t="s">
        <v>35343</v>
      </c>
      <c r="E5671" s="14" t="s">
        <v>35344</v>
      </c>
      <c r="F5671" s="14" t="s">
        <v>502</v>
      </c>
      <c r="G5671" s="14" t="s">
        <v>35345</v>
      </c>
      <c r="H5671" s="15" t="s">
        <v>31</v>
      </c>
      <c r="I5671" s="15">
        <v>1.0</v>
      </c>
      <c r="J5671" s="15">
        <v>1.0</v>
      </c>
      <c r="K5671" s="15" t="s">
        <v>31</v>
      </c>
      <c r="L5671" s="16" t="s">
        <v>31</v>
      </c>
      <c r="M5671" s="14" t="s">
        <v>35346</v>
      </c>
      <c r="N5671" s="14" t="s">
        <v>243</v>
      </c>
      <c r="O5671" s="16" t="s">
        <v>244</v>
      </c>
      <c r="P5671" s="14" t="s">
        <v>35347</v>
      </c>
      <c r="Q5671" s="14" t="s">
        <v>31</v>
      </c>
      <c r="R5671" s="14" t="s">
        <v>247</v>
      </c>
      <c r="S5671" s="16" t="s">
        <v>35348</v>
      </c>
      <c r="T5671" s="14" t="s">
        <v>249</v>
      </c>
      <c r="U5671" s="16" t="s">
        <v>31</v>
      </c>
      <c r="V5671" s="14" t="s">
        <v>502</v>
      </c>
      <c r="W5671" s="14" t="s">
        <v>35344</v>
      </c>
      <c r="X5671" s="17" t="str">
        <f>HYPERLINK("https://my.pitchbook.com?p=367511-41P","View People Online")</f>
        <v>View People Online</v>
      </c>
    </row>
    <row r="5672">
      <c r="A5672" s="10" t="s">
        <v>35349</v>
      </c>
      <c r="B5672" s="10" t="s">
        <v>35350</v>
      </c>
      <c r="C5672" s="10" t="s">
        <v>3953</v>
      </c>
      <c r="D5672" s="10" t="s">
        <v>32918</v>
      </c>
      <c r="E5672" s="10" t="s">
        <v>35344</v>
      </c>
      <c r="F5672" s="10" t="s">
        <v>81</v>
      </c>
      <c r="G5672" s="10" t="s">
        <v>35351</v>
      </c>
      <c r="H5672" s="11">
        <v>3.0</v>
      </c>
      <c r="I5672" s="11">
        <v>6.0</v>
      </c>
      <c r="J5672" s="11">
        <v>1.0</v>
      </c>
      <c r="K5672" s="11" t="s">
        <v>31</v>
      </c>
      <c r="L5672" s="12" t="s">
        <v>35352</v>
      </c>
      <c r="M5672" s="10" t="s">
        <v>35353</v>
      </c>
      <c r="N5672" s="10" t="s">
        <v>35354</v>
      </c>
      <c r="O5672" s="12" t="s">
        <v>35355</v>
      </c>
      <c r="P5672" s="10" t="s">
        <v>35356</v>
      </c>
      <c r="Q5672" s="10" t="s">
        <v>31</v>
      </c>
      <c r="R5672" s="10" t="s">
        <v>1185</v>
      </c>
      <c r="S5672" s="12" t="s">
        <v>35357</v>
      </c>
      <c r="T5672" s="10" t="s">
        <v>66</v>
      </c>
      <c r="U5672" s="12" t="s">
        <v>35358</v>
      </c>
      <c r="V5672" s="10" t="s">
        <v>35359</v>
      </c>
      <c r="W5672" s="10" t="s">
        <v>35360</v>
      </c>
      <c r="X5672" s="13" t="str">
        <f>HYPERLINK("https://my.pitchbook.com?p=210925-99P","View People Online")</f>
        <v>View People Online</v>
      </c>
    </row>
    <row r="5673">
      <c r="A5673" s="14" t="s">
        <v>35361</v>
      </c>
      <c r="B5673" s="14" t="s">
        <v>35362</v>
      </c>
      <c r="C5673" s="14" t="s">
        <v>16392</v>
      </c>
      <c r="D5673" s="14" t="s">
        <v>35363</v>
      </c>
      <c r="E5673" s="14" t="s">
        <v>35344</v>
      </c>
      <c r="F5673" s="14" t="s">
        <v>81</v>
      </c>
      <c r="G5673" s="14" t="s">
        <v>35364</v>
      </c>
      <c r="H5673" s="15" t="s">
        <v>31</v>
      </c>
      <c r="I5673" s="15">
        <v>1.0</v>
      </c>
      <c r="J5673" s="15" t="s">
        <v>31</v>
      </c>
      <c r="K5673" s="15" t="s">
        <v>31</v>
      </c>
      <c r="L5673" s="16" t="s">
        <v>31</v>
      </c>
      <c r="M5673" s="14" t="s">
        <v>31</v>
      </c>
      <c r="N5673" s="14" t="s">
        <v>243</v>
      </c>
      <c r="O5673" s="16" t="s">
        <v>244</v>
      </c>
      <c r="P5673" s="14" t="s">
        <v>35347</v>
      </c>
      <c r="Q5673" s="14" t="s">
        <v>31</v>
      </c>
      <c r="R5673" s="14" t="s">
        <v>247</v>
      </c>
      <c r="S5673" s="16" t="s">
        <v>35348</v>
      </c>
      <c r="T5673" s="14" t="s">
        <v>249</v>
      </c>
      <c r="U5673" s="16" t="s">
        <v>31</v>
      </c>
      <c r="V5673" s="14" t="s">
        <v>35365</v>
      </c>
      <c r="W5673" s="14" t="s">
        <v>35344</v>
      </c>
      <c r="X5673" s="17" t="str">
        <f>HYPERLINK("https://my.pitchbook.com?p=245000-80P","View People Online")</f>
        <v>View People Online</v>
      </c>
    </row>
    <row r="5674">
      <c r="A5674" s="10" t="s">
        <v>35366</v>
      </c>
      <c r="B5674" s="10" t="s">
        <v>35367</v>
      </c>
      <c r="C5674" s="10" t="s">
        <v>18428</v>
      </c>
      <c r="D5674" s="10" t="s">
        <v>35368</v>
      </c>
      <c r="E5674" s="10" t="s">
        <v>35344</v>
      </c>
      <c r="F5674" s="10" t="s">
        <v>221</v>
      </c>
      <c r="G5674" s="10" t="s">
        <v>35369</v>
      </c>
      <c r="H5674" s="11" t="s">
        <v>31</v>
      </c>
      <c r="I5674" s="11">
        <v>1.0</v>
      </c>
      <c r="J5674" s="11">
        <v>1.0</v>
      </c>
      <c r="K5674" s="11" t="s">
        <v>31</v>
      </c>
      <c r="L5674" s="12" t="s">
        <v>31</v>
      </c>
      <c r="M5674" s="10" t="s">
        <v>35370</v>
      </c>
      <c r="N5674" s="10" t="s">
        <v>243</v>
      </c>
      <c r="O5674" s="12" t="s">
        <v>244</v>
      </c>
      <c r="P5674" s="10" t="s">
        <v>35347</v>
      </c>
      <c r="Q5674" s="10" t="s">
        <v>31</v>
      </c>
      <c r="R5674" s="10" t="s">
        <v>247</v>
      </c>
      <c r="S5674" s="12" t="s">
        <v>35348</v>
      </c>
      <c r="T5674" s="10" t="s">
        <v>249</v>
      </c>
      <c r="U5674" s="12" t="s">
        <v>31</v>
      </c>
      <c r="V5674" s="10" t="s">
        <v>957</v>
      </c>
      <c r="W5674" s="10" t="s">
        <v>35344</v>
      </c>
      <c r="X5674" s="13" t="str">
        <f>HYPERLINK("https://my.pitchbook.com?p=427654-90P","View People Online")</f>
        <v>View People Online</v>
      </c>
    </row>
    <row r="5675">
      <c r="A5675" s="14" t="s">
        <v>35371</v>
      </c>
      <c r="B5675" s="14" t="s">
        <v>35372</v>
      </c>
      <c r="C5675" s="14" t="s">
        <v>160</v>
      </c>
      <c r="D5675" s="14" t="s">
        <v>35373</v>
      </c>
      <c r="E5675" s="14" t="s">
        <v>35344</v>
      </c>
      <c r="F5675" s="14" t="s">
        <v>2590</v>
      </c>
      <c r="G5675" s="14" t="s">
        <v>35374</v>
      </c>
      <c r="H5675" s="15">
        <v>5.0</v>
      </c>
      <c r="I5675" s="15">
        <v>25.0</v>
      </c>
      <c r="J5675" s="15">
        <v>1.0</v>
      </c>
      <c r="K5675" s="15">
        <v>18.0</v>
      </c>
      <c r="L5675" s="16" t="s">
        <v>35375</v>
      </c>
      <c r="M5675" s="14" t="s">
        <v>31</v>
      </c>
      <c r="N5675" s="14" t="s">
        <v>35376</v>
      </c>
      <c r="O5675" s="16" t="s">
        <v>35377</v>
      </c>
      <c r="P5675" s="14" t="s">
        <v>35378</v>
      </c>
      <c r="Q5675" s="14" t="s">
        <v>29354</v>
      </c>
      <c r="R5675" s="14" t="s">
        <v>247</v>
      </c>
      <c r="S5675" s="16" t="s">
        <v>35379</v>
      </c>
      <c r="T5675" s="14" t="s">
        <v>249</v>
      </c>
      <c r="U5675" s="16" t="s">
        <v>31</v>
      </c>
      <c r="V5675" s="14" t="s">
        <v>2199</v>
      </c>
      <c r="W5675" s="14" t="s">
        <v>35380</v>
      </c>
      <c r="X5675" s="17" t="str">
        <f>HYPERLINK("https://my.pitchbook.com?p=75009-43P","View People Online")</f>
        <v>View People Online</v>
      </c>
    </row>
    <row r="5676">
      <c r="A5676" s="2" t="s">
        <v>35381</v>
      </c>
      <c r="B5676" s="2" t="s">
        <v>35382</v>
      </c>
      <c r="C5676" s="2" t="s">
        <v>35383</v>
      </c>
      <c r="D5676" s="2" t="s">
        <v>35384</v>
      </c>
      <c r="E5676" s="2" t="s">
        <v>35344</v>
      </c>
      <c r="F5676" s="2" t="s">
        <v>371</v>
      </c>
      <c r="G5676" s="2" t="s">
        <v>35385</v>
      </c>
      <c r="H5676" s="3" t="s">
        <v>31</v>
      </c>
      <c r="I5676" s="3">
        <v>2.0</v>
      </c>
      <c r="J5676" s="3">
        <v>1.0</v>
      </c>
      <c r="K5676" s="3">
        <v>1.0</v>
      </c>
      <c r="L5676" s="4" t="s">
        <v>31</v>
      </c>
      <c r="M5676" s="2" t="s">
        <v>35386</v>
      </c>
      <c r="N5676" s="2" t="s">
        <v>243</v>
      </c>
      <c r="O5676" s="4" t="s">
        <v>244</v>
      </c>
      <c r="P5676" s="2" t="s">
        <v>35347</v>
      </c>
      <c r="Q5676" s="2" t="s">
        <v>31</v>
      </c>
      <c r="R5676" s="2" t="s">
        <v>247</v>
      </c>
      <c r="S5676" s="4" t="s">
        <v>35348</v>
      </c>
      <c r="T5676" s="2" t="s">
        <v>249</v>
      </c>
      <c r="U5676" s="4" t="s">
        <v>31</v>
      </c>
      <c r="V5676" s="2" t="s">
        <v>371</v>
      </c>
      <c r="W5676" s="2" t="s">
        <v>35344</v>
      </c>
      <c r="X5676" s="5" t="str">
        <f>HYPERLINK("https://my.pitchbook.com?p=320420-89P","View People Online")</f>
        <v>View People Online</v>
      </c>
    </row>
    <row r="5677">
      <c r="A5677" s="14" t="s">
        <v>35387</v>
      </c>
      <c r="B5677" s="14" t="s">
        <v>35388</v>
      </c>
      <c r="C5677" s="14" t="s">
        <v>9417</v>
      </c>
      <c r="D5677" s="14" t="s">
        <v>35389</v>
      </c>
      <c r="E5677" s="14" t="s">
        <v>35344</v>
      </c>
      <c r="F5677" s="14" t="s">
        <v>86</v>
      </c>
      <c r="G5677" s="14" t="s">
        <v>35390</v>
      </c>
      <c r="H5677" s="15">
        <v>1.0</v>
      </c>
      <c r="I5677" s="15">
        <v>12.0</v>
      </c>
      <c r="J5677" s="15">
        <v>1.0</v>
      </c>
      <c r="K5677" s="15">
        <v>6.0</v>
      </c>
      <c r="L5677" s="16" t="s">
        <v>31</v>
      </c>
      <c r="M5677" s="14" t="s">
        <v>35391</v>
      </c>
      <c r="N5677" s="14" t="s">
        <v>243</v>
      </c>
      <c r="O5677" s="16" t="s">
        <v>244</v>
      </c>
      <c r="P5677" s="14" t="s">
        <v>35347</v>
      </c>
      <c r="Q5677" s="14" t="s">
        <v>31</v>
      </c>
      <c r="R5677" s="14" t="s">
        <v>247</v>
      </c>
      <c r="S5677" s="16" t="s">
        <v>35348</v>
      </c>
      <c r="T5677" s="14" t="s">
        <v>249</v>
      </c>
      <c r="U5677" s="16" t="s">
        <v>31</v>
      </c>
      <c r="V5677" s="14" t="s">
        <v>95</v>
      </c>
      <c r="W5677" s="14" t="s">
        <v>35344</v>
      </c>
      <c r="X5677" s="17" t="str">
        <f>HYPERLINK("https://my.pitchbook.com?p=210520-09P","View People Online")</f>
        <v>View People Online</v>
      </c>
    </row>
    <row r="5678">
      <c r="A5678" s="10" t="s">
        <v>35392</v>
      </c>
      <c r="B5678" s="10" t="s">
        <v>35393</v>
      </c>
      <c r="C5678" s="10" t="s">
        <v>6192</v>
      </c>
      <c r="D5678" s="10" t="s">
        <v>35394</v>
      </c>
      <c r="E5678" s="10" t="s">
        <v>35344</v>
      </c>
      <c r="F5678" s="10" t="s">
        <v>114</v>
      </c>
      <c r="G5678" s="10" t="s">
        <v>35395</v>
      </c>
      <c r="H5678" s="11">
        <v>1.0</v>
      </c>
      <c r="I5678" s="11">
        <v>12.0</v>
      </c>
      <c r="J5678" s="11">
        <v>1.0</v>
      </c>
      <c r="K5678" s="11">
        <v>9.0</v>
      </c>
      <c r="L5678" s="12" t="s">
        <v>31</v>
      </c>
      <c r="M5678" s="10" t="s">
        <v>35396</v>
      </c>
      <c r="N5678" s="10" t="s">
        <v>243</v>
      </c>
      <c r="O5678" s="12" t="s">
        <v>244</v>
      </c>
      <c r="P5678" s="10" t="s">
        <v>35347</v>
      </c>
      <c r="Q5678" s="10" t="s">
        <v>31</v>
      </c>
      <c r="R5678" s="10" t="s">
        <v>247</v>
      </c>
      <c r="S5678" s="12" t="s">
        <v>35348</v>
      </c>
      <c r="T5678" s="10" t="s">
        <v>249</v>
      </c>
      <c r="U5678" s="12" t="s">
        <v>31</v>
      </c>
      <c r="V5678" s="10" t="s">
        <v>114</v>
      </c>
      <c r="W5678" s="10" t="s">
        <v>35344</v>
      </c>
      <c r="X5678" s="13" t="str">
        <f>HYPERLINK("https://my.pitchbook.com?p=98075-98P","View People Online")</f>
        <v>View People Online</v>
      </c>
    </row>
    <row r="5679">
      <c r="A5679" s="14" t="s">
        <v>35397</v>
      </c>
      <c r="B5679" s="14" t="s">
        <v>35398</v>
      </c>
      <c r="C5679" s="14" t="s">
        <v>3409</v>
      </c>
      <c r="D5679" s="14" t="s">
        <v>35399</v>
      </c>
      <c r="E5679" s="14" t="s">
        <v>35344</v>
      </c>
      <c r="F5679" s="14" t="s">
        <v>81</v>
      </c>
      <c r="G5679" s="14" t="s">
        <v>35400</v>
      </c>
      <c r="H5679" s="15" t="s">
        <v>31</v>
      </c>
      <c r="I5679" s="15">
        <v>5.0</v>
      </c>
      <c r="J5679" s="15" t="s">
        <v>31</v>
      </c>
      <c r="K5679" s="15">
        <v>3.0</v>
      </c>
      <c r="L5679" s="16" t="s">
        <v>31</v>
      </c>
      <c r="M5679" s="14" t="s">
        <v>31</v>
      </c>
      <c r="N5679" s="14" t="s">
        <v>243</v>
      </c>
      <c r="O5679" s="16" t="s">
        <v>244</v>
      </c>
      <c r="P5679" s="14" t="s">
        <v>35347</v>
      </c>
      <c r="Q5679" s="14" t="s">
        <v>31</v>
      </c>
      <c r="R5679" s="14" t="s">
        <v>247</v>
      </c>
      <c r="S5679" s="16" t="s">
        <v>35348</v>
      </c>
      <c r="T5679" s="14" t="s">
        <v>249</v>
      </c>
      <c r="U5679" s="16" t="s">
        <v>31</v>
      </c>
      <c r="V5679" s="14" t="s">
        <v>35401</v>
      </c>
      <c r="W5679" s="14" t="s">
        <v>35344</v>
      </c>
      <c r="X5679" s="17" t="str">
        <f>HYPERLINK("https://my.pitchbook.com?p=155745-01P","View People Online")</f>
        <v>View People Online</v>
      </c>
    </row>
    <row r="5680">
      <c r="A5680" s="2" t="s">
        <v>35402</v>
      </c>
      <c r="B5680" s="2" t="s">
        <v>35403</v>
      </c>
      <c r="C5680" s="2" t="s">
        <v>12502</v>
      </c>
      <c r="D5680" s="2" t="s">
        <v>35404</v>
      </c>
      <c r="E5680" s="2" t="s">
        <v>35344</v>
      </c>
      <c r="F5680" s="2" t="s">
        <v>114</v>
      </c>
      <c r="G5680" s="2" t="s">
        <v>35405</v>
      </c>
      <c r="H5680" s="3" t="s">
        <v>31</v>
      </c>
      <c r="I5680" s="3">
        <v>5.0</v>
      </c>
      <c r="J5680" s="3">
        <v>3.0</v>
      </c>
      <c r="K5680" s="3">
        <v>1.0</v>
      </c>
      <c r="L5680" s="4" t="s">
        <v>35406</v>
      </c>
      <c r="M5680" s="2" t="s">
        <v>35407</v>
      </c>
      <c r="N5680" s="2" t="s">
        <v>35408</v>
      </c>
      <c r="O5680" s="4" t="s">
        <v>35409</v>
      </c>
      <c r="P5680" s="2" t="s">
        <v>35410</v>
      </c>
      <c r="Q5680" s="2" t="s">
        <v>31</v>
      </c>
      <c r="R5680" s="2" t="s">
        <v>31</v>
      </c>
      <c r="S5680" s="4" t="s">
        <v>35411</v>
      </c>
      <c r="T5680" s="2" t="s">
        <v>38</v>
      </c>
      <c r="U5680" s="4" t="s">
        <v>35412</v>
      </c>
      <c r="V5680" s="2" t="s">
        <v>991</v>
      </c>
      <c r="W5680" s="2" t="s">
        <v>35413</v>
      </c>
      <c r="X5680" s="5" t="str">
        <f>HYPERLINK("https://my.pitchbook.com?p=216668-71P","View People Online")</f>
        <v>View People Online</v>
      </c>
    </row>
    <row r="5681">
      <c r="A5681" s="6" t="s">
        <v>35414</v>
      </c>
      <c r="B5681" s="6" t="s">
        <v>35415</v>
      </c>
      <c r="C5681" s="6" t="s">
        <v>237</v>
      </c>
      <c r="D5681" s="6" t="s">
        <v>35416</v>
      </c>
      <c r="E5681" s="6" t="s">
        <v>35417</v>
      </c>
      <c r="F5681" s="6" t="s">
        <v>312</v>
      </c>
      <c r="G5681" s="6" t="s">
        <v>35418</v>
      </c>
      <c r="H5681" s="7" t="s">
        <v>31</v>
      </c>
      <c r="I5681" s="7">
        <v>1.0</v>
      </c>
      <c r="J5681" s="7">
        <v>1.0</v>
      </c>
      <c r="K5681" s="7" t="s">
        <v>31</v>
      </c>
      <c r="L5681" s="8" t="s">
        <v>35419</v>
      </c>
      <c r="M5681" s="6" t="s">
        <v>35420</v>
      </c>
      <c r="N5681" s="6" t="s">
        <v>4232</v>
      </c>
      <c r="O5681" s="8" t="s">
        <v>4233</v>
      </c>
      <c r="P5681" s="6" t="s">
        <v>35421</v>
      </c>
      <c r="Q5681" s="6" t="s">
        <v>35422</v>
      </c>
      <c r="R5681" s="6" t="s">
        <v>4236</v>
      </c>
      <c r="S5681" s="8" t="s">
        <v>35423</v>
      </c>
      <c r="T5681" s="6" t="s">
        <v>66</v>
      </c>
      <c r="U5681" s="8" t="s">
        <v>31</v>
      </c>
      <c r="V5681" s="6" t="s">
        <v>312</v>
      </c>
      <c r="W5681" s="6" t="s">
        <v>35417</v>
      </c>
      <c r="X5681" s="9" t="str">
        <f>HYPERLINK("https://my.pitchbook.com?p=235047-79P","View People Online")</f>
        <v>View People Online</v>
      </c>
    </row>
    <row r="5682">
      <c r="A5682" s="10" t="s">
        <v>35424</v>
      </c>
      <c r="B5682" s="10" t="s">
        <v>35425</v>
      </c>
      <c r="C5682" s="10" t="s">
        <v>10162</v>
      </c>
      <c r="D5682" s="10" t="s">
        <v>35426</v>
      </c>
      <c r="E5682" s="10" t="s">
        <v>35417</v>
      </c>
      <c r="F5682" s="10" t="s">
        <v>28089</v>
      </c>
      <c r="G5682" s="10" t="s">
        <v>35427</v>
      </c>
      <c r="H5682" s="11" t="s">
        <v>31</v>
      </c>
      <c r="I5682" s="11">
        <v>1.0</v>
      </c>
      <c r="J5682" s="11">
        <v>1.0</v>
      </c>
      <c r="K5682" s="11" t="s">
        <v>31</v>
      </c>
      <c r="L5682" s="12" t="s">
        <v>35419</v>
      </c>
      <c r="M5682" s="10" t="s">
        <v>35428</v>
      </c>
      <c r="N5682" s="10" t="s">
        <v>4232</v>
      </c>
      <c r="O5682" s="12" t="s">
        <v>4233</v>
      </c>
      <c r="P5682" s="10" t="s">
        <v>35421</v>
      </c>
      <c r="Q5682" s="10" t="s">
        <v>35422</v>
      </c>
      <c r="R5682" s="10" t="s">
        <v>4236</v>
      </c>
      <c r="S5682" s="12" t="s">
        <v>35423</v>
      </c>
      <c r="T5682" s="10" t="s">
        <v>66</v>
      </c>
      <c r="U5682" s="12" t="s">
        <v>31</v>
      </c>
      <c r="V5682" s="10" t="s">
        <v>35429</v>
      </c>
      <c r="W5682" s="10" t="s">
        <v>35417</v>
      </c>
      <c r="X5682" s="13" t="str">
        <f>HYPERLINK("https://my.pitchbook.com?p=293604-22P","View People Online")</f>
        <v>View People Online</v>
      </c>
    </row>
    <row r="5683">
      <c r="A5683" s="14" t="s">
        <v>35430</v>
      </c>
      <c r="B5683" s="14" t="s">
        <v>35431</v>
      </c>
      <c r="C5683" s="14" t="s">
        <v>1103</v>
      </c>
      <c r="D5683" s="14" t="s">
        <v>35432</v>
      </c>
      <c r="E5683" s="14" t="s">
        <v>35417</v>
      </c>
      <c r="F5683" s="14" t="s">
        <v>28089</v>
      </c>
      <c r="G5683" s="14" t="s">
        <v>35433</v>
      </c>
      <c r="H5683" s="15" t="s">
        <v>31</v>
      </c>
      <c r="I5683" s="15">
        <v>1.0</v>
      </c>
      <c r="J5683" s="15">
        <v>1.0</v>
      </c>
      <c r="K5683" s="15" t="s">
        <v>31</v>
      </c>
      <c r="L5683" s="16" t="s">
        <v>35419</v>
      </c>
      <c r="M5683" s="14" t="s">
        <v>35434</v>
      </c>
      <c r="N5683" s="14" t="s">
        <v>4232</v>
      </c>
      <c r="O5683" s="16" t="s">
        <v>4233</v>
      </c>
      <c r="P5683" s="14" t="s">
        <v>35421</v>
      </c>
      <c r="Q5683" s="14" t="s">
        <v>35422</v>
      </c>
      <c r="R5683" s="14" t="s">
        <v>4236</v>
      </c>
      <c r="S5683" s="16" t="s">
        <v>35423</v>
      </c>
      <c r="T5683" s="14" t="s">
        <v>66</v>
      </c>
      <c r="U5683" s="16" t="s">
        <v>31</v>
      </c>
      <c r="V5683" s="14" t="s">
        <v>35429</v>
      </c>
      <c r="W5683" s="14" t="s">
        <v>35417</v>
      </c>
      <c r="X5683" s="17" t="str">
        <f>HYPERLINK("https://my.pitchbook.com?p=235052-65P","View People Online")</f>
        <v>View People Online</v>
      </c>
    </row>
    <row r="5684">
      <c r="A5684" s="10" t="s">
        <v>35435</v>
      </c>
      <c r="B5684" s="10" t="s">
        <v>35436</v>
      </c>
      <c r="C5684" s="10" t="s">
        <v>32688</v>
      </c>
      <c r="D5684" s="10" t="s">
        <v>9686</v>
      </c>
      <c r="E5684" s="10" t="s">
        <v>35417</v>
      </c>
      <c r="F5684" s="10" t="s">
        <v>1249</v>
      </c>
      <c r="G5684" s="10" t="s">
        <v>35437</v>
      </c>
      <c r="H5684" s="11">
        <v>4.0</v>
      </c>
      <c r="I5684" s="11">
        <v>4.0</v>
      </c>
      <c r="J5684" s="11">
        <v>1.0</v>
      </c>
      <c r="K5684" s="11" t="s">
        <v>31</v>
      </c>
      <c r="L5684" s="12" t="s">
        <v>35419</v>
      </c>
      <c r="M5684" s="10" t="s">
        <v>35438</v>
      </c>
      <c r="N5684" s="10" t="s">
        <v>4232</v>
      </c>
      <c r="O5684" s="12" t="s">
        <v>4233</v>
      </c>
      <c r="P5684" s="10" t="s">
        <v>35421</v>
      </c>
      <c r="Q5684" s="10" t="s">
        <v>35422</v>
      </c>
      <c r="R5684" s="10" t="s">
        <v>4236</v>
      </c>
      <c r="S5684" s="12" t="s">
        <v>35423</v>
      </c>
      <c r="T5684" s="10" t="s">
        <v>66</v>
      </c>
      <c r="U5684" s="12" t="s">
        <v>31</v>
      </c>
      <c r="V5684" s="10" t="s">
        <v>35439</v>
      </c>
      <c r="W5684" s="10" t="s">
        <v>35417</v>
      </c>
      <c r="X5684" s="13" t="str">
        <f>HYPERLINK("https://my.pitchbook.com?p=112784-68P","View People Online")</f>
        <v>View People Online</v>
      </c>
    </row>
    <row r="5685">
      <c r="A5685" s="6" t="s">
        <v>35440</v>
      </c>
      <c r="B5685" s="6" t="s">
        <v>35441</v>
      </c>
      <c r="C5685" s="6" t="s">
        <v>35442</v>
      </c>
      <c r="D5685" s="6" t="s">
        <v>35443</v>
      </c>
      <c r="E5685" s="6" t="s">
        <v>35417</v>
      </c>
      <c r="F5685" s="6" t="s">
        <v>1459</v>
      </c>
      <c r="G5685" s="6" t="s">
        <v>35444</v>
      </c>
      <c r="H5685" s="7" t="s">
        <v>31</v>
      </c>
      <c r="I5685" s="7">
        <v>1.0</v>
      </c>
      <c r="J5685" s="7">
        <v>1.0</v>
      </c>
      <c r="K5685" s="7" t="s">
        <v>31</v>
      </c>
      <c r="L5685" s="8" t="s">
        <v>35419</v>
      </c>
      <c r="M5685" s="6" t="s">
        <v>35445</v>
      </c>
      <c r="N5685" s="6" t="s">
        <v>4232</v>
      </c>
      <c r="O5685" s="8" t="s">
        <v>4233</v>
      </c>
      <c r="P5685" s="6" t="s">
        <v>35421</v>
      </c>
      <c r="Q5685" s="6" t="s">
        <v>35422</v>
      </c>
      <c r="R5685" s="6" t="s">
        <v>4236</v>
      </c>
      <c r="S5685" s="8" t="s">
        <v>35423</v>
      </c>
      <c r="T5685" s="6" t="s">
        <v>66</v>
      </c>
      <c r="U5685" s="8" t="s">
        <v>31</v>
      </c>
      <c r="V5685" s="6" t="s">
        <v>1459</v>
      </c>
      <c r="W5685" s="6" t="s">
        <v>35417</v>
      </c>
      <c r="X5685" s="9" t="str">
        <f>HYPERLINK("https://my.pitchbook.com?p=218650-87P","View People Online")</f>
        <v>View People Online</v>
      </c>
    </row>
    <row r="5686">
      <c r="A5686" s="2" t="s">
        <v>35446</v>
      </c>
      <c r="B5686" s="2" t="s">
        <v>35447</v>
      </c>
      <c r="C5686" s="2" t="s">
        <v>1559</v>
      </c>
      <c r="D5686" s="2" t="s">
        <v>35448</v>
      </c>
      <c r="E5686" s="2" t="s">
        <v>35417</v>
      </c>
      <c r="F5686" s="2" t="s">
        <v>5287</v>
      </c>
      <c r="G5686" s="2" t="s">
        <v>35449</v>
      </c>
      <c r="H5686" s="3" t="s">
        <v>31</v>
      </c>
      <c r="I5686" s="3">
        <v>1.0</v>
      </c>
      <c r="J5686" s="3">
        <v>1.0</v>
      </c>
      <c r="K5686" s="3" t="s">
        <v>31</v>
      </c>
      <c r="L5686" s="4" t="s">
        <v>35419</v>
      </c>
      <c r="M5686" s="2" t="s">
        <v>35450</v>
      </c>
      <c r="N5686" s="2" t="s">
        <v>4232</v>
      </c>
      <c r="O5686" s="4" t="s">
        <v>4233</v>
      </c>
      <c r="P5686" s="2" t="s">
        <v>35421</v>
      </c>
      <c r="Q5686" s="2" t="s">
        <v>35422</v>
      </c>
      <c r="R5686" s="2" t="s">
        <v>4236</v>
      </c>
      <c r="S5686" s="4" t="s">
        <v>35423</v>
      </c>
      <c r="T5686" s="2" t="s">
        <v>66</v>
      </c>
      <c r="U5686" s="4" t="s">
        <v>31</v>
      </c>
      <c r="V5686" s="2" t="s">
        <v>35451</v>
      </c>
      <c r="W5686" s="2" t="s">
        <v>35417</v>
      </c>
      <c r="X5686" s="5" t="str">
        <f>HYPERLINK("https://my.pitchbook.com?p=254760-94P","View People Online")</f>
        <v>View People Online</v>
      </c>
    </row>
    <row r="5687">
      <c r="A5687" s="14" t="s">
        <v>35452</v>
      </c>
      <c r="B5687" s="14" t="s">
        <v>35453</v>
      </c>
      <c r="C5687" s="14" t="s">
        <v>35454</v>
      </c>
      <c r="D5687" s="14" t="s">
        <v>3275</v>
      </c>
      <c r="E5687" s="14" t="s">
        <v>35417</v>
      </c>
      <c r="F5687" s="14" t="s">
        <v>548</v>
      </c>
      <c r="G5687" s="14" t="s">
        <v>35455</v>
      </c>
      <c r="H5687" s="15" t="s">
        <v>31</v>
      </c>
      <c r="I5687" s="15">
        <v>1.0</v>
      </c>
      <c r="J5687" s="15">
        <v>1.0</v>
      </c>
      <c r="K5687" s="15" t="s">
        <v>31</v>
      </c>
      <c r="L5687" s="16" t="s">
        <v>35419</v>
      </c>
      <c r="M5687" s="14" t="s">
        <v>35456</v>
      </c>
      <c r="N5687" s="14" t="s">
        <v>4232</v>
      </c>
      <c r="O5687" s="16" t="s">
        <v>4233</v>
      </c>
      <c r="P5687" s="14" t="s">
        <v>35421</v>
      </c>
      <c r="Q5687" s="14" t="s">
        <v>35422</v>
      </c>
      <c r="R5687" s="14" t="s">
        <v>4236</v>
      </c>
      <c r="S5687" s="16" t="s">
        <v>35423</v>
      </c>
      <c r="T5687" s="14" t="s">
        <v>66</v>
      </c>
      <c r="U5687" s="16" t="s">
        <v>31</v>
      </c>
      <c r="V5687" s="14" t="s">
        <v>35457</v>
      </c>
      <c r="W5687" s="14" t="s">
        <v>35417</v>
      </c>
      <c r="X5687" s="17" t="str">
        <f>HYPERLINK("https://my.pitchbook.com?p=318898-99P","View People Online")</f>
        <v>View People Online</v>
      </c>
    </row>
    <row r="5688">
      <c r="A5688" s="2" t="s">
        <v>35458</v>
      </c>
      <c r="B5688" s="2" t="s">
        <v>35459</v>
      </c>
      <c r="C5688" s="2" t="s">
        <v>35460</v>
      </c>
      <c r="D5688" s="2" t="s">
        <v>35461</v>
      </c>
      <c r="E5688" s="2" t="s">
        <v>35417</v>
      </c>
      <c r="F5688" s="2" t="s">
        <v>35462</v>
      </c>
      <c r="G5688" s="2" t="s">
        <v>35463</v>
      </c>
      <c r="H5688" s="3" t="s">
        <v>31</v>
      </c>
      <c r="I5688" s="3">
        <v>1.0</v>
      </c>
      <c r="J5688" s="3">
        <v>1.0</v>
      </c>
      <c r="K5688" s="3" t="s">
        <v>31</v>
      </c>
      <c r="L5688" s="4" t="s">
        <v>35419</v>
      </c>
      <c r="M5688" s="2" t="s">
        <v>35464</v>
      </c>
      <c r="N5688" s="2" t="s">
        <v>4232</v>
      </c>
      <c r="O5688" s="4" t="s">
        <v>4233</v>
      </c>
      <c r="P5688" s="2" t="s">
        <v>35421</v>
      </c>
      <c r="Q5688" s="2" t="s">
        <v>35422</v>
      </c>
      <c r="R5688" s="2" t="s">
        <v>4236</v>
      </c>
      <c r="S5688" s="4" t="s">
        <v>35423</v>
      </c>
      <c r="T5688" s="2" t="s">
        <v>66</v>
      </c>
      <c r="U5688" s="4" t="s">
        <v>31</v>
      </c>
      <c r="V5688" s="2" t="s">
        <v>35465</v>
      </c>
      <c r="W5688" s="2" t="s">
        <v>35417</v>
      </c>
      <c r="X5688" s="5" t="str">
        <f>HYPERLINK("https://my.pitchbook.com?p=456332-14P","View People Online")</f>
        <v>View People Online</v>
      </c>
    </row>
    <row r="5689">
      <c r="A5689" s="14" t="s">
        <v>35466</v>
      </c>
      <c r="B5689" s="14" t="s">
        <v>35467</v>
      </c>
      <c r="C5689" s="14" t="s">
        <v>35468</v>
      </c>
      <c r="D5689" s="14" t="s">
        <v>16857</v>
      </c>
      <c r="E5689" s="14" t="s">
        <v>35417</v>
      </c>
      <c r="F5689" s="14" t="s">
        <v>5365</v>
      </c>
      <c r="G5689" s="14" t="s">
        <v>35469</v>
      </c>
      <c r="H5689" s="15" t="s">
        <v>31</v>
      </c>
      <c r="I5689" s="15">
        <v>1.0</v>
      </c>
      <c r="J5689" s="15">
        <v>1.0</v>
      </c>
      <c r="K5689" s="15" t="s">
        <v>31</v>
      </c>
      <c r="L5689" s="16" t="s">
        <v>35419</v>
      </c>
      <c r="M5689" s="14" t="s">
        <v>35470</v>
      </c>
      <c r="N5689" s="14" t="s">
        <v>4232</v>
      </c>
      <c r="O5689" s="16" t="s">
        <v>4233</v>
      </c>
      <c r="P5689" s="14" t="s">
        <v>35421</v>
      </c>
      <c r="Q5689" s="14" t="s">
        <v>35422</v>
      </c>
      <c r="R5689" s="14" t="s">
        <v>4236</v>
      </c>
      <c r="S5689" s="16" t="s">
        <v>35423</v>
      </c>
      <c r="T5689" s="14" t="s">
        <v>66</v>
      </c>
      <c r="U5689" s="16" t="s">
        <v>31</v>
      </c>
      <c r="V5689" s="14" t="s">
        <v>35471</v>
      </c>
      <c r="W5689" s="14" t="s">
        <v>35417</v>
      </c>
      <c r="X5689" s="17" t="str">
        <f>HYPERLINK("https://my.pitchbook.com?p=427300-57P","View People Online")</f>
        <v>View People Online</v>
      </c>
    </row>
    <row r="5690">
      <c r="A5690" s="2" t="s">
        <v>35472</v>
      </c>
      <c r="B5690" s="2" t="s">
        <v>35473</v>
      </c>
      <c r="C5690" s="2" t="s">
        <v>1449</v>
      </c>
      <c r="D5690" s="2" t="s">
        <v>35474</v>
      </c>
      <c r="E5690" s="2" t="s">
        <v>35417</v>
      </c>
      <c r="F5690" s="2" t="s">
        <v>3740</v>
      </c>
      <c r="G5690" s="2" t="s">
        <v>35475</v>
      </c>
      <c r="H5690" s="3" t="s">
        <v>31</v>
      </c>
      <c r="I5690" s="3">
        <v>1.0</v>
      </c>
      <c r="J5690" s="3">
        <v>1.0</v>
      </c>
      <c r="K5690" s="3" t="s">
        <v>31</v>
      </c>
      <c r="L5690" s="4" t="s">
        <v>35419</v>
      </c>
      <c r="M5690" s="2" t="s">
        <v>35476</v>
      </c>
      <c r="N5690" s="2" t="s">
        <v>4232</v>
      </c>
      <c r="O5690" s="4" t="s">
        <v>4233</v>
      </c>
      <c r="P5690" s="2" t="s">
        <v>35421</v>
      </c>
      <c r="Q5690" s="2" t="s">
        <v>35422</v>
      </c>
      <c r="R5690" s="2" t="s">
        <v>4236</v>
      </c>
      <c r="S5690" s="4" t="s">
        <v>35423</v>
      </c>
      <c r="T5690" s="2" t="s">
        <v>66</v>
      </c>
      <c r="U5690" s="4" t="s">
        <v>31</v>
      </c>
      <c r="V5690" s="2" t="s">
        <v>3740</v>
      </c>
      <c r="W5690" s="2" t="s">
        <v>35417</v>
      </c>
      <c r="X5690" s="5" t="str">
        <f>HYPERLINK("https://my.pitchbook.com?p=254761-57P","View People Online")</f>
        <v>View People Online</v>
      </c>
    </row>
    <row r="5691">
      <c r="A5691" s="14" t="s">
        <v>35477</v>
      </c>
      <c r="B5691" s="14" t="s">
        <v>35478</v>
      </c>
      <c r="C5691" s="14" t="s">
        <v>1449</v>
      </c>
      <c r="D5691" s="14" t="s">
        <v>26616</v>
      </c>
      <c r="E5691" s="14" t="s">
        <v>35417</v>
      </c>
      <c r="F5691" s="14" t="s">
        <v>28089</v>
      </c>
      <c r="G5691" s="14" t="s">
        <v>35479</v>
      </c>
      <c r="H5691" s="15" t="s">
        <v>31</v>
      </c>
      <c r="I5691" s="15">
        <v>2.0</v>
      </c>
      <c r="J5691" s="15">
        <v>2.0</v>
      </c>
      <c r="K5691" s="15" t="s">
        <v>31</v>
      </c>
      <c r="L5691" s="16" t="s">
        <v>35419</v>
      </c>
      <c r="M5691" s="14" t="s">
        <v>35480</v>
      </c>
      <c r="N5691" s="14" t="s">
        <v>4232</v>
      </c>
      <c r="O5691" s="16" t="s">
        <v>4233</v>
      </c>
      <c r="P5691" s="14" t="s">
        <v>35421</v>
      </c>
      <c r="Q5691" s="14" t="s">
        <v>35422</v>
      </c>
      <c r="R5691" s="14" t="s">
        <v>4236</v>
      </c>
      <c r="S5691" s="16" t="s">
        <v>35423</v>
      </c>
      <c r="T5691" s="14" t="s">
        <v>66</v>
      </c>
      <c r="U5691" s="16" t="s">
        <v>31</v>
      </c>
      <c r="V5691" s="14" t="s">
        <v>28089</v>
      </c>
      <c r="W5691" s="14" t="s">
        <v>35417</v>
      </c>
      <c r="X5691" s="17" t="str">
        <f>HYPERLINK("https://my.pitchbook.com?p=293601-25P","View People Online")</f>
        <v>View People Online</v>
      </c>
    </row>
    <row r="5692">
      <c r="A5692" s="2" t="s">
        <v>35481</v>
      </c>
      <c r="B5692" s="2" t="s">
        <v>35482</v>
      </c>
      <c r="C5692" s="2" t="s">
        <v>1449</v>
      </c>
      <c r="D5692" s="2" t="s">
        <v>35483</v>
      </c>
      <c r="E5692" s="2" t="s">
        <v>35417</v>
      </c>
      <c r="F5692" s="2" t="s">
        <v>4868</v>
      </c>
      <c r="G5692" s="2" t="s">
        <v>35484</v>
      </c>
      <c r="H5692" s="3" t="s">
        <v>31</v>
      </c>
      <c r="I5692" s="3">
        <v>1.0</v>
      </c>
      <c r="J5692" s="3">
        <v>1.0</v>
      </c>
      <c r="K5692" s="3" t="s">
        <v>31</v>
      </c>
      <c r="L5692" s="4" t="s">
        <v>35419</v>
      </c>
      <c r="M5692" s="2" t="s">
        <v>35485</v>
      </c>
      <c r="N5692" s="2" t="s">
        <v>4232</v>
      </c>
      <c r="O5692" s="4" t="s">
        <v>4233</v>
      </c>
      <c r="P5692" s="2" t="s">
        <v>35421</v>
      </c>
      <c r="Q5692" s="2" t="s">
        <v>35422</v>
      </c>
      <c r="R5692" s="2" t="s">
        <v>4236</v>
      </c>
      <c r="S5692" s="4" t="s">
        <v>35423</v>
      </c>
      <c r="T5692" s="2" t="s">
        <v>66</v>
      </c>
      <c r="U5692" s="4" t="s">
        <v>31</v>
      </c>
      <c r="V5692" s="2" t="s">
        <v>35486</v>
      </c>
      <c r="W5692" s="2" t="s">
        <v>35417</v>
      </c>
      <c r="X5692" s="5" t="str">
        <f>HYPERLINK("https://my.pitchbook.com?p=235046-08P","View People Online")</f>
        <v>View People Online</v>
      </c>
    </row>
    <row r="5693">
      <c r="A5693" s="14" t="s">
        <v>35487</v>
      </c>
      <c r="B5693" s="14" t="s">
        <v>35488</v>
      </c>
      <c r="C5693" s="14" t="s">
        <v>1449</v>
      </c>
      <c r="D5693" s="14" t="s">
        <v>35489</v>
      </c>
      <c r="E5693" s="14" t="s">
        <v>35417</v>
      </c>
      <c r="F5693" s="14" t="s">
        <v>1459</v>
      </c>
      <c r="G5693" s="14" t="s">
        <v>35490</v>
      </c>
      <c r="H5693" s="15" t="s">
        <v>31</v>
      </c>
      <c r="I5693" s="15">
        <v>1.0</v>
      </c>
      <c r="J5693" s="15">
        <v>1.0</v>
      </c>
      <c r="K5693" s="15" t="s">
        <v>31</v>
      </c>
      <c r="L5693" s="16" t="s">
        <v>35419</v>
      </c>
      <c r="M5693" s="14" t="s">
        <v>35491</v>
      </c>
      <c r="N5693" s="14" t="s">
        <v>4232</v>
      </c>
      <c r="O5693" s="16" t="s">
        <v>4233</v>
      </c>
      <c r="P5693" s="14" t="s">
        <v>35421</v>
      </c>
      <c r="Q5693" s="14" t="s">
        <v>35422</v>
      </c>
      <c r="R5693" s="14" t="s">
        <v>4236</v>
      </c>
      <c r="S5693" s="16" t="s">
        <v>35423</v>
      </c>
      <c r="T5693" s="14" t="s">
        <v>66</v>
      </c>
      <c r="U5693" s="16" t="s">
        <v>31</v>
      </c>
      <c r="V5693" s="14" t="s">
        <v>35492</v>
      </c>
      <c r="W5693" s="14" t="s">
        <v>35417</v>
      </c>
      <c r="X5693" s="17" t="str">
        <f>HYPERLINK("https://my.pitchbook.com?p=131328-37P","View People Online")</f>
        <v>View People Online</v>
      </c>
    </row>
    <row r="5694">
      <c r="A5694" s="2" t="s">
        <v>35493</v>
      </c>
      <c r="B5694" s="2" t="s">
        <v>35494</v>
      </c>
      <c r="C5694" s="2" t="s">
        <v>8698</v>
      </c>
      <c r="D5694" s="2" t="s">
        <v>35495</v>
      </c>
      <c r="E5694" s="2" t="s">
        <v>35417</v>
      </c>
      <c r="F5694" s="2" t="s">
        <v>5365</v>
      </c>
      <c r="G5694" s="2" t="s">
        <v>35496</v>
      </c>
      <c r="H5694" s="3" t="s">
        <v>31</v>
      </c>
      <c r="I5694" s="3">
        <v>2.0</v>
      </c>
      <c r="J5694" s="3">
        <v>2.0</v>
      </c>
      <c r="K5694" s="3" t="s">
        <v>31</v>
      </c>
      <c r="L5694" s="4" t="s">
        <v>35497</v>
      </c>
      <c r="M5694" s="2" t="s">
        <v>35498</v>
      </c>
      <c r="N5694" s="2" t="s">
        <v>13041</v>
      </c>
      <c r="O5694" s="4" t="s">
        <v>13042</v>
      </c>
      <c r="P5694" s="2" t="s">
        <v>35499</v>
      </c>
      <c r="Q5694" s="2" t="s">
        <v>31</v>
      </c>
      <c r="R5694" s="2" t="s">
        <v>10326</v>
      </c>
      <c r="S5694" s="4" t="s">
        <v>35500</v>
      </c>
      <c r="T5694" s="2" t="s">
        <v>66</v>
      </c>
      <c r="U5694" s="4" t="s">
        <v>31</v>
      </c>
      <c r="V5694" s="2" t="s">
        <v>35501</v>
      </c>
      <c r="W5694" s="2" t="s">
        <v>35502</v>
      </c>
      <c r="X5694" s="5" t="str">
        <f>HYPERLINK("https://my.pitchbook.com?p=292544-83P","View People Online")</f>
        <v>View People Online</v>
      </c>
    </row>
    <row r="5695">
      <c r="A5695" s="6" t="s">
        <v>35503</v>
      </c>
      <c r="B5695" s="6" t="s">
        <v>35504</v>
      </c>
      <c r="C5695" s="6" t="s">
        <v>11168</v>
      </c>
      <c r="D5695" s="6" t="s">
        <v>35505</v>
      </c>
      <c r="E5695" s="6" t="s">
        <v>35417</v>
      </c>
      <c r="F5695" s="6" t="s">
        <v>7381</v>
      </c>
      <c r="G5695" s="6" t="s">
        <v>35506</v>
      </c>
      <c r="H5695" s="7" t="s">
        <v>31</v>
      </c>
      <c r="I5695" s="7">
        <v>1.0</v>
      </c>
      <c r="J5695" s="7">
        <v>1.0</v>
      </c>
      <c r="K5695" s="7" t="s">
        <v>31</v>
      </c>
      <c r="L5695" s="8" t="s">
        <v>35419</v>
      </c>
      <c r="M5695" s="6" t="s">
        <v>35507</v>
      </c>
      <c r="N5695" s="6" t="s">
        <v>4232</v>
      </c>
      <c r="O5695" s="8" t="s">
        <v>4233</v>
      </c>
      <c r="P5695" s="6" t="s">
        <v>35421</v>
      </c>
      <c r="Q5695" s="6" t="s">
        <v>35422</v>
      </c>
      <c r="R5695" s="6" t="s">
        <v>4236</v>
      </c>
      <c r="S5695" s="8" t="s">
        <v>35423</v>
      </c>
      <c r="T5695" s="6" t="s">
        <v>66</v>
      </c>
      <c r="U5695" s="8" t="s">
        <v>31</v>
      </c>
      <c r="V5695" s="6" t="s">
        <v>35508</v>
      </c>
      <c r="W5695" s="6" t="s">
        <v>35417</v>
      </c>
      <c r="X5695" s="9" t="str">
        <f>HYPERLINK("https://my.pitchbook.com?p=235066-51P","View People Online")</f>
        <v>View People Online</v>
      </c>
    </row>
    <row r="5696">
      <c r="A5696" s="2" t="s">
        <v>35509</v>
      </c>
      <c r="B5696" s="2" t="s">
        <v>35510</v>
      </c>
      <c r="C5696" s="2" t="s">
        <v>35511</v>
      </c>
      <c r="D5696" s="2" t="s">
        <v>35512</v>
      </c>
      <c r="E5696" s="2" t="s">
        <v>35417</v>
      </c>
      <c r="F5696" s="2" t="s">
        <v>7268</v>
      </c>
      <c r="G5696" s="2" t="s">
        <v>35513</v>
      </c>
      <c r="H5696" s="3" t="s">
        <v>31</v>
      </c>
      <c r="I5696" s="3">
        <v>2.0</v>
      </c>
      <c r="J5696" s="3">
        <v>2.0</v>
      </c>
      <c r="K5696" s="3" t="s">
        <v>31</v>
      </c>
      <c r="L5696" s="4" t="s">
        <v>35419</v>
      </c>
      <c r="M5696" s="2" t="s">
        <v>35514</v>
      </c>
      <c r="N5696" s="2" t="s">
        <v>4232</v>
      </c>
      <c r="O5696" s="4" t="s">
        <v>4233</v>
      </c>
      <c r="P5696" s="2" t="s">
        <v>35421</v>
      </c>
      <c r="Q5696" s="2" t="s">
        <v>35422</v>
      </c>
      <c r="R5696" s="2" t="s">
        <v>4236</v>
      </c>
      <c r="S5696" s="4" t="s">
        <v>35423</v>
      </c>
      <c r="T5696" s="2" t="s">
        <v>66</v>
      </c>
      <c r="U5696" s="4" t="s">
        <v>31</v>
      </c>
      <c r="V5696" s="2" t="s">
        <v>35515</v>
      </c>
      <c r="W5696" s="2" t="s">
        <v>35417</v>
      </c>
      <c r="X5696" s="5" t="str">
        <f>HYPERLINK("https://my.pitchbook.com?p=293600-08P","View People Online")</f>
        <v>View People Online</v>
      </c>
    </row>
    <row r="5697">
      <c r="A5697" s="6" t="s">
        <v>35516</v>
      </c>
      <c r="B5697" s="6" t="s">
        <v>35517</v>
      </c>
      <c r="C5697" s="6" t="s">
        <v>11210</v>
      </c>
      <c r="D5697" s="6" t="s">
        <v>35518</v>
      </c>
      <c r="E5697" s="6" t="s">
        <v>35417</v>
      </c>
      <c r="F5697" s="6" t="s">
        <v>5086</v>
      </c>
      <c r="G5697" s="6" t="s">
        <v>35519</v>
      </c>
      <c r="H5697" s="7" t="s">
        <v>31</v>
      </c>
      <c r="I5697" s="7">
        <v>1.0</v>
      </c>
      <c r="J5697" s="7">
        <v>1.0</v>
      </c>
      <c r="K5697" s="7" t="s">
        <v>31</v>
      </c>
      <c r="L5697" s="8" t="s">
        <v>35419</v>
      </c>
      <c r="M5697" s="6" t="s">
        <v>35520</v>
      </c>
      <c r="N5697" s="6" t="s">
        <v>4232</v>
      </c>
      <c r="O5697" s="8" t="s">
        <v>4233</v>
      </c>
      <c r="P5697" s="6" t="s">
        <v>35421</v>
      </c>
      <c r="Q5697" s="6" t="s">
        <v>35422</v>
      </c>
      <c r="R5697" s="6" t="s">
        <v>4236</v>
      </c>
      <c r="S5697" s="8" t="s">
        <v>35423</v>
      </c>
      <c r="T5697" s="6" t="s">
        <v>66</v>
      </c>
      <c r="U5697" s="8" t="s">
        <v>31</v>
      </c>
      <c r="V5697" s="6" t="s">
        <v>35521</v>
      </c>
      <c r="W5697" s="6" t="s">
        <v>35417</v>
      </c>
      <c r="X5697" s="9" t="str">
        <f>HYPERLINK("https://my.pitchbook.com?p=138768-76P","View People Online")</f>
        <v>View People Online</v>
      </c>
    </row>
    <row r="5698">
      <c r="A5698" s="2" t="s">
        <v>35522</v>
      </c>
      <c r="B5698" s="2" t="s">
        <v>35523</v>
      </c>
      <c r="C5698" s="2" t="s">
        <v>35524</v>
      </c>
      <c r="D5698" s="2" t="s">
        <v>18117</v>
      </c>
      <c r="E5698" s="2" t="s">
        <v>35417</v>
      </c>
      <c r="F5698" s="2" t="s">
        <v>270</v>
      </c>
      <c r="G5698" s="2" t="s">
        <v>35525</v>
      </c>
      <c r="H5698" s="3" t="s">
        <v>31</v>
      </c>
      <c r="I5698" s="3">
        <v>2.0</v>
      </c>
      <c r="J5698" s="3">
        <v>1.0</v>
      </c>
      <c r="K5698" s="3" t="s">
        <v>31</v>
      </c>
      <c r="L5698" s="4" t="s">
        <v>35419</v>
      </c>
      <c r="M5698" s="2" t="s">
        <v>35526</v>
      </c>
      <c r="N5698" s="2" t="s">
        <v>4232</v>
      </c>
      <c r="O5698" s="4" t="s">
        <v>4233</v>
      </c>
      <c r="P5698" s="2" t="s">
        <v>35421</v>
      </c>
      <c r="Q5698" s="2" t="s">
        <v>35422</v>
      </c>
      <c r="R5698" s="2" t="s">
        <v>4236</v>
      </c>
      <c r="S5698" s="4" t="s">
        <v>35423</v>
      </c>
      <c r="T5698" s="2" t="s">
        <v>66</v>
      </c>
      <c r="U5698" s="4" t="s">
        <v>31</v>
      </c>
      <c r="V5698" s="2" t="s">
        <v>35527</v>
      </c>
      <c r="W5698" s="2" t="s">
        <v>35417</v>
      </c>
      <c r="X5698" s="5" t="str">
        <f>HYPERLINK("https://my.pitchbook.com?p=409003-30P","View People Online")</f>
        <v>View People Online</v>
      </c>
    </row>
    <row r="5699">
      <c r="A5699" s="6" t="s">
        <v>35528</v>
      </c>
      <c r="B5699" s="6" t="s">
        <v>35529</v>
      </c>
      <c r="C5699" s="6" t="s">
        <v>28751</v>
      </c>
      <c r="D5699" s="6" t="s">
        <v>35530</v>
      </c>
      <c r="E5699" s="6" t="s">
        <v>35417</v>
      </c>
      <c r="F5699" s="6" t="s">
        <v>1459</v>
      </c>
      <c r="G5699" s="6" t="s">
        <v>35531</v>
      </c>
      <c r="H5699" s="7">
        <v>1.0</v>
      </c>
      <c r="I5699" s="7">
        <v>3.0</v>
      </c>
      <c r="J5699" s="7">
        <v>2.0</v>
      </c>
      <c r="K5699" s="7" t="s">
        <v>31</v>
      </c>
      <c r="L5699" s="8" t="s">
        <v>35532</v>
      </c>
      <c r="M5699" s="6" t="s">
        <v>35533</v>
      </c>
      <c r="N5699" s="6" t="s">
        <v>4232</v>
      </c>
      <c r="O5699" s="8" t="s">
        <v>4233</v>
      </c>
      <c r="P5699" s="6" t="s">
        <v>35534</v>
      </c>
      <c r="Q5699" s="6" t="s">
        <v>31</v>
      </c>
      <c r="R5699" s="6" t="s">
        <v>4236</v>
      </c>
      <c r="S5699" s="8" t="s">
        <v>35535</v>
      </c>
      <c r="T5699" s="6" t="s">
        <v>66</v>
      </c>
      <c r="U5699" s="8" t="s">
        <v>31</v>
      </c>
      <c r="V5699" s="6" t="s">
        <v>4809</v>
      </c>
      <c r="W5699" s="6" t="s">
        <v>35536</v>
      </c>
      <c r="X5699" s="9" t="str">
        <f>HYPERLINK("https://my.pitchbook.com?p=170649-37P","View People Online")</f>
        <v>View People Online</v>
      </c>
    </row>
    <row r="5700">
      <c r="A5700" s="2" t="s">
        <v>35537</v>
      </c>
      <c r="B5700" s="2" t="s">
        <v>35538</v>
      </c>
      <c r="C5700" s="2" t="s">
        <v>3650</v>
      </c>
      <c r="D5700" s="2" t="s">
        <v>1103</v>
      </c>
      <c r="E5700" s="2" t="s">
        <v>35417</v>
      </c>
      <c r="F5700" s="2" t="s">
        <v>1459</v>
      </c>
      <c r="G5700" s="2" t="s">
        <v>35539</v>
      </c>
      <c r="H5700" s="3" t="s">
        <v>31</v>
      </c>
      <c r="I5700" s="3">
        <v>1.0</v>
      </c>
      <c r="J5700" s="3">
        <v>1.0</v>
      </c>
      <c r="K5700" s="3" t="s">
        <v>31</v>
      </c>
      <c r="L5700" s="4" t="s">
        <v>35419</v>
      </c>
      <c r="M5700" s="2" t="s">
        <v>35540</v>
      </c>
      <c r="N5700" s="2" t="s">
        <v>4232</v>
      </c>
      <c r="O5700" s="4" t="s">
        <v>4233</v>
      </c>
      <c r="P5700" s="2" t="s">
        <v>35421</v>
      </c>
      <c r="Q5700" s="2" t="s">
        <v>35422</v>
      </c>
      <c r="R5700" s="2" t="s">
        <v>4236</v>
      </c>
      <c r="S5700" s="4" t="s">
        <v>35423</v>
      </c>
      <c r="T5700" s="2" t="s">
        <v>66</v>
      </c>
      <c r="U5700" s="4" t="s">
        <v>31</v>
      </c>
      <c r="V5700" s="2" t="s">
        <v>35541</v>
      </c>
      <c r="W5700" s="2" t="s">
        <v>35417</v>
      </c>
      <c r="X5700" s="5" t="str">
        <f>HYPERLINK("https://my.pitchbook.com?p=89069-86P","View People Online")</f>
        <v>View People Online</v>
      </c>
    </row>
    <row r="5701">
      <c r="A5701" s="6" t="s">
        <v>35542</v>
      </c>
      <c r="B5701" s="6" t="s">
        <v>35543</v>
      </c>
      <c r="C5701" s="6" t="s">
        <v>3529</v>
      </c>
      <c r="D5701" s="6" t="s">
        <v>3941</v>
      </c>
      <c r="E5701" s="6" t="s">
        <v>35417</v>
      </c>
      <c r="F5701" s="6" t="s">
        <v>5760</v>
      </c>
      <c r="G5701" s="6" t="s">
        <v>35544</v>
      </c>
      <c r="H5701" s="7" t="s">
        <v>31</v>
      </c>
      <c r="I5701" s="7">
        <v>1.0</v>
      </c>
      <c r="J5701" s="7">
        <v>1.0</v>
      </c>
      <c r="K5701" s="7" t="s">
        <v>31</v>
      </c>
      <c r="L5701" s="8" t="s">
        <v>35419</v>
      </c>
      <c r="M5701" s="6" t="s">
        <v>35545</v>
      </c>
      <c r="N5701" s="6" t="s">
        <v>4232</v>
      </c>
      <c r="O5701" s="8" t="s">
        <v>4233</v>
      </c>
      <c r="P5701" s="6" t="s">
        <v>35421</v>
      </c>
      <c r="Q5701" s="6" t="s">
        <v>35422</v>
      </c>
      <c r="R5701" s="6" t="s">
        <v>4236</v>
      </c>
      <c r="S5701" s="8" t="s">
        <v>35423</v>
      </c>
      <c r="T5701" s="6" t="s">
        <v>66</v>
      </c>
      <c r="U5701" s="8" t="s">
        <v>31</v>
      </c>
      <c r="V5701" s="6" t="s">
        <v>5760</v>
      </c>
      <c r="W5701" s="6" t="s">
        <v>35417</v>
      </c>
      <c r="X5701" s="9" t="str">
        <f>HYPERLINK("https://my.pitchbook.com?p=254814-22P","View People Online")</f>
        <v>View People Online</v>
      </c>
    </row>
    <row r="5702">
      <c r="A5702" s="10" t="s">
        <v>35546</v>
      </c>
      <c r="B5702" s="10" t="s">
        <v>35547</v>
      </c>
      <c r="C5702" s="10" t="s">
        <v>35548</v>
      </c>
      <c r="D5702" s="10" t="s">
        <v>3941</v>
      </c>
      <c r="E5702" s="10" t="s">
        <v>35417</v>
      </c>
      <c r="F5702" s="10" t="s">
        <v>5418</v>
      </c>
      <c r="G5702" s="10" t="s">
        <v>35549</v>
      </c>
      <c r="H5702" s="11">
        <v>1.0</v>
      </c>
      <c r="I5702" s="11">
        <v>2.0</v>
      </c>
      <c r="J5702" s="11">
        <v>1.0</v>
      </c>
      <c r="K5702" s="11" t="s">
        <v>31</v>
      </c>
      <c r="L5702" s="12" t="s">
        <v>35419</v>
      </c>
      <c r="M5702" s="10" t="s">
        <v>35550</v>
      </c>
      <c r="N5702" s="10" t="s">
        <v>4232</v>
      </c>
      <c r="O5702" s="12" t="s">
        <v>4233</v>
      </c>
      <c r="P5702" s="10" t="s">
        <v>35421</v>
      </c>
      <c r="Q5702" s="10" t="s">
        <v>35422</v>
      </c>
      <c r="R5702" s="10" t="s">
        <v>4236</v>
      </c>
      <c r="S5702" s="12" t="s">
        <v>35423</v>
      </c>
      <c r="T5702" s="10" t="s">
        <v>66</v>
      </c>
      <c r="U5702" s="12" t="s">
        <v>31</v>
      </c>
      <c r="V5702" s="10" t="s">
        <v>5418</v>
      </c>
      <c r="W5702" s="10" t="s">
        <v>35417</v>
      </c>
      <c r="X5702" s="13" t="str">
        <f>HYPERLINK("https://my.pitchbook.com?p=204897-97P","View People Online")</f>
        <v>View People Online</v>
      </c>
    </row>
    <row r="5703">
      <c r="A5703" s="14" t="s">
        <v>35551</v>
      </c>
      <c r="B5703" s="14" t="s">
        <v>35552</v>
      </c>
      <c r="C5703" s="14" t="s">
        <v>4404</v>
      </c>
      <c r="D5703" s="14" t="s">
        <v>16836</v>
      </c>
      <c r="E5703" s="14" t="s">
        <v>35417</v>
      </c>
      <c r="F5703" s="14" t="s">
        <v>371</v>
      </c>
      <c r="G5703" s="14" t="s">
        <v>35553</v>
      </c>
      <c r="H5703" s="15" t="s">
        <v>31</v>
      </c>
      <c r="I5703" s="15">
        <v>14.0</v>
      </c>
      <c r="J5703" s="15">
        <v>14.0</v>
      </c>
      <c r="K5703" s="15" t="s">
        <v>31</v>
      </c>
      <c r="L5703" s="16" t="s">
        <v>35554</v>
      </c>
      <c r="M5703" s="14" t="s">
        <v>35555</v>
      </c>
      <c r="N5703" s="14" t="s">
        <v>4232</v>
      </c>
      <c r="O5703" s="16" t="s">
        <v>4233</v>
      </c>
      <c r="P5703" s="14" t="s">
        <v>35421</v>
      </c>
      <c r="Q5703" s="14" t="s">
        <v>35556</v>
      </c>
      <c r="R5703" s="14" t="s">
        <v>4236</v>
      </c>
      <c r="S5703" s="16" t="s">
        <v>35557</v>
      </c>
      <c r="T5703" s="14" t="s">
        <v>66</v>
      </c>
      <c r="U5703" s="16" t="s">
        <v>31</v>
      </c>
      <c r="V5703" s="14" t="s">
        <v>35558</v>
      </c>
      <c r="W5703" s="14" t="s">
        <v>35559</v>
      </c>
      <c r="X5703" s="17" t="str">
        <f>HYPERLINK("https://my.pitchbook.com?p=67354-84P","View People Online")</f>
        <v>View People Online</v>
      </c>
    </row>
    <row r="5704">
      <c r="A5704" s="10" t="s">
        <v>35560</v>
      </c>
      <c r="B5704" s="10" t="s">
        <v>35561</v>
      </c>
      <c r="C5704" s="10" t="s">
        <v>5071</v>
      </c>
      <c r="D5704" s="10" t="s">
        <v>35562</v>
      </c>
      <c r="E5704" s="10" t="s">
        <v>35417</v>
      </c>
      <c r="F5704" s="10" t="s">
        <v>5411</v>
      </c>
      <c r="G5704" s="10" t="s">
        <v>35563</v>
      </c>
      <c r="H5704" s="11" t="s">
        <v>31</v>
      </c>
      <c r="I5704" s="11">
        <v>1.0</v>
      </c>
      <c r="J5704" s="11">
        <v>1.0</v>
      </c>
      <c r="K5704" s="11" t="s">
        <v>31</v>
      </c>
      <c r="L5704" s="12" t="s">
        <v>35419</v>
      </c>
      <c r="M5704" s="10" t="s">
        <v>35564</v>
      </c>
      <c r="N5704" s="10" t="s">
        <v>4232</v>
      </c>
      <c r="O5704" s="12" t="s">
        <v>4233</v>
      </c>
      <c r="P5704" s="10" t="s">
        <v>35421</v>
      </c>
      <c r="Q5704" s="10" t="s">
        <v>35422</v>
      </c>
      <c r="R5704" s="10" t="s">
        <v>4236</v>
      </c>
      <c r="S5704" s="12" t="s">
        <v>35423</v>
      </c>
      <c r="T5704" s="10" t="s">
        <v>66</v>
      </c>
      <c r="U5704" s="12" t="s">
        <v>31</v>
      </c>
      <c r="V5704" s="10" t="s">
        <v>5411</v>
      </c>
      <c r="W5704" s="10" t="s">
        <v>35417</v>
      </c>
      <c r="X5704" s="13" t="str">
        <f>HYPERLINK("https://my.pitchbook.com?p=404342-11P","View People Online")</f>
        <v>View People Online</v>
      </c>
    </row>
    <row r="5705">
      <c r="A5705" s="6" t="s">
        <v>35565</v>
      </c>
      <c r="B5705" s="6" t="s">
        <v>35566</v>
      </c>
      <c r="C5705" s="6" t="s">
        <v>3052</v>
      </c>
      <c r="D5705" s="6" t="s">
        <v>4612</v>
      </c>
      <c r="E5705" s="6" t="s">
        <v>35417</v>
      </c>
      <c r="F5705" s="6" t="s">
        <v>4868</v>
      </c>
      <c r="G5705" s="6" t="s">
        <v>35567</v>
      </c>
      <c r="H5705" s="7" t="s">
        <v>31</v>
      </c>
      <c r="I5705" s="7">
        <v>2.0</v>
      </c>
      <c r="J5705" s="7">
        <v>2.0</v>
      </c>
      <c r="K5705" s="7" t="s">
        <v>31</v>
      </c>
      <c r="L5705" s="8" t="s">
        <v>35532</v>
      </c>
      <c r="M5705" s="6" t="s">
        <v>31</v>
      </c>
      <c r="N5705" s="6" t="s">
        <v>4232</v>
      </c>
      <c r="O5705" s="8" t="s">
        <v>4233</v>
      </c>
      <c r="P5705" s="6" t="s">
        <v>35534</v>
      </c>
      <c r="Q5705" s="6" t="s">
        <v>31</v>
      </c>
      <c r="R5705" s="6" t="s">
        <v>4236</v>
      </c>
      <c r="S5705" s="8" t="s">
        <v>35535</v>
      </c>
      <c r="T5705" s="6" t="s">
        <v>66</v>
      </c>
      <c r="U5705" s="8" t="s">
        <v>31</v>
      </c>
      <c r="V5705" s="6" t="s">
        <v>35568</v>
      </c>
      <c r="W5705" s="6" t="s">
        <v>35536</v>
      </c>
      <c r="X5705" s="9" t="str">
        <f>HYPERLINK("https://my.pitchbook.com?p=82474-57P","View People Online")</f>
        <v>View People Online</v>
      </c>
    </row>
    <row r="5706">
      <c r="A5706" s="10" t="s">
        <v>35569</v>
      </c>
      <c r="B5706" s="10" t="s">
        <v>35570</v>
      </c>
      <c r="C5706" s="10" t="s">
        <v>10911</v>
      </c>
      <c r="D5706" s="10" t="s">
        <v>16349</v>
      </c>
      <c r="E5706" s="10" t="s">
        <v>35417</v>
      </c>
      <c r="F5706" s="10" t="s">
        <v>896</v>
      </c>
      <c r="G5706" s="10" t="s">
        <v>35571</v>
      </c>
      <c r="H5706" s="11" t="s">
        <v>31</v>
      </c>
      <c r="I5706" s="11">
        <v>1.0</v>
      </c>
      <c r="J5706" s="11">
        <v>1.0</v>
      </c>
      <c r="K5706" s="11" t="s">
        <v>31</v>
      </c>
      <c r="L5706" s="12" t="s">
        <v>35419</v>
      </c>
      <c r="M5706" s="10" t="s">
        <v>35572</v>
      </c>
      <c r="N5706" s="10" t="s">
        <v>4232</v>
      </c>
      <c r="O5706" s="12" t="s">
        <v>4233</v>
      </c>
      <c r="P5706" s="10" t="s">
        <v>35421</v>
      </c>
      <c r="Q5706" s="10" t="s">
        <v>35422</v>
      </c>
      <c r="R5706" s="10" t="s">
        <v>4236</v>
      </c>
      <c r="S5706" s="12" t="s">
        <v>35423</v>
      </c>
      <c r="T5706" s="10" t="s">
        <v>66</v>
      </c>
      <c r="U5706" s="12" t="s">
        <v>31</v>
      </c>
      <c r="V5706" s="10" t="s">
        <v>35573</v>
      </c>
      <c r="W5706" s="10" t="s">
        <v>35417</v>
      </c>
      <c r="X5706" s="13" t="str">
        <f>HYPERLINK("https://my.pitchbook.com?p=444591-55P","View People Online")</f>
        <v>View People Online</v>
      </c>
    </row>
    <row r="5707">
      <c r="A5707" s="14" t="s">
        <v>35574</v>
      </c>
      <c r="B5707" s="14" t="s">
        <v>35575</v>
      </c>
      <c r="C5707" s="14" t="s">
        <v>35576</v>
      </c>
      <c r="D5707" s="14" t="s">
        <v>3835</v>
      </c>
      <c r="E5707" s="14" t="s">
        <v>35417</v>
      </c>
      <c r="F5707" s="14" t="s">
        <v>1801</v>
      </c>
      <c r="G5707" s="14" t="s">
        <v>35577</v>
      </c>
      <c r="H5707" s="15" t="s">
        <v>31</v>
      </c>
      <c r="I5707" s="15">
        <v>1.0</v>
      </c>
      <c r="J5707" s="15">
        <v>1.0</v>
      </c>
      <c r="K5707" s="15" t="s">
        <v>31</v>
      </c>
      <c r="L5707" s="16" t="s">
        <v>35419</v>
      </c>
      <c r="M5707" s="14" t="s">
        <v>35578</v>
      </c>
      <c r="N5707" s="14" t="s">
        <v>4232</v>
      </c>
      <c r="O5707" s="16" t="s">
        <v>4233</v>
      </c>
      <c r="P5707" s="14" t="s">
        <v>35421</v>
      </c>
      <c r="Q5707" s="14" t="s">
        <v>35422</v>
      </c>
      <c r="R5707" s="14" t="s">
        <v>4236</v>
      </c>
      <c r="S5707" s="16" t="s">
        <v>35423</v>
      </c>
      <c r="T5707" s="14" t="s">
        <v>66</v>
      </c>
      <c r="U5707" s="16" t="s">
        <v>31</v>
      </c>
      <c r="V5707" s="14" t="s">
        <v>35579</v>
      </c>
      <c r="W5707" s="14" t="s">
        <v>35417</v>
      </c>
      <c r="X5707" s="17" t="str">
        <f>HYPERLINK("https://my.pitchbook.com?p=318902-59P","View People Online")</f>
        <v>View People Online</v>
      </c>
    </row>
    <row r="5708">
      <c r="A5708" s="10" t="s">
        <v>35580</v>
      </c>
      <c r="B5708" s="10" t="s">
        <v>35581</v>
      </c>
      <c r="C5708" s="10" t="s">
        <v>5386</v>
      </c>
      <c r="D5708" s="10" t="s">
        <v>35582</v>
      </c>
      <c r="E5708" s="10" t="s">
        <v>35417</v>
      </c>
      <c r="F5708" s="10" t="s">
        <v>312</v>
      </c>
      <c r="G5708" s="10" t="s">
        <v>35583</v>
      </c>
      <c r="H5708" s="11" t="s">
        <v>31</v>
      </c>
      <c r="I5708" s="11">
        <v>1.0</v>
      </c>
      <c r="J5708" s="11">
        <v>1.0</v>
      </c>
      <c r="K5708" s="11" t="s">
        <v>31</v>
      </c>
      <c r="L5708" s="12" t="s">
        <v>35419</v>
      </c>
      <c r="M5708" s="10" t="s">
        <v>35584</v>
      </c>
      <c r="N5708" s="10" t="s">
        <v>4232</v>
      </c>
      <c r="O5708" s="12" t="s">
        <v>4233</v>
      </c>
      <c r="P5708" s="10" t="s">
        <v>35421</v>
      </c>
      <c r="Q5708" s="10" t="s">
        <v>35422</v>
      </c>
      <c r="R5708" s="10" t="s">
        <v>4236</v>
      </c>
      <c r="S5708" s="12" t="s">
        <v>35423</v>
      </c>
      <c r="T5708" s="10" t="s">
        <v>66</v>
      </c>
      <c r="U5708" s="12" t="s">
        <v>31</v>
      </c>
      <c r="V5708" s="10" t="s">
        <v>312</v>
      </c>
      <c r="W5708" s="10" t="s">
        <v>35417</v>
      </c>
      <c r="X5708" s="13" t="str">
        <f>HYPERLINK("https://my.pitchbook.com?p=335659-87P","View People Online")</f>
        <v>View People Online</v>
      </c>
    </row>
    <row r="5709">
      <c r="A5709" s="14" t="s">
        <v>35585</v>
      </c>
      <c r="B5709" s="14" t="s">
        <v>35586</v>
      </c>
      <c r="C5709" s="14" t="s">
        <v>30838</v>
      </c>
      <c r="D5709" s="14" t="s">
        <v>35587</v>
      </c>
      <c r="E5709" s="14" t="s">
        <v>35417</v>
      </c>
      <c r="F5709" s="14" t="s">
        <v>5760</v>
      </c>
      <c r="G5709" s="14" t="s">
        <v>35588</v>
      </c>
      <c r="H5709" s="15" t="s">
        <v>31</v>
      </c>
      <c r="I5709" s="15">
        <v>1.0</v>
      </c>
      <c r="J5709" s="15">
        <v>1.0</v>
      </c>
      <c r="K5709" s="15" t="s">
        <v>31</v>
      </c>
      <c r="L5709" s="16" t="s">
        <v>35419</v>
      </c>
      <c r="M5709" s="14" t="s">
        <v>35589</v>
      </c>
      <c r="N5709" s="14" t="s">
        <v>4232</v>
      </c>
      <c r="O5709" s="16" t="s">
        <v>4233</v>
      </c>
      <c r="P5709" s="14" t="s">
        <v>35421</v>
      </c>
      <c r="Q5709" s="14" t="s">
        <v>35422</v>
      </c>
      <c r="R5709" s="14" t="s">
        <v>4236</v>
      </c>
      <c r="S5709" s="16" t="s">
        <v>35423</v>
      </c>
      <c r="T5709" s="14" t="s">
        <v>66</v>
      </c>
      <c r="U5709" s="16" t="s">
        <v>31</v>
      </c>
      <c r="V5709" s="14" t="s">
        <v>35590</v>
      </c>
      <c r="W5709" s="14" t="s">
        <v>35417</v>
      </c>
      <c r="X5709" s="17" t="str">
        <f>HYPERLINK("https://my.pitchbook.com?p=433975-42P","View People Online")</f>
        <v>View People Online</v>
      </c>
    </row>
    <row r="5710">
      <c r="A5710" s="10" t="s">
        <v>35591</v>
      </c>
      <c r="B5710" s="10" t="s">
        <v>35592</v>
      </c>
      <c r="C5710" s="10" t="s">
        <v>25658</v>
      </c>
      <c r="D5710" s="10" t="s">
        <v>35593</v>
      </c>
      <c r="E5710" s="10" t="s">
        <v>35417</v>
      </c>
      <c r="F5710" s="10" t="s">
        <v>4868</v>
      </c>
      <c r="G5710" s="10" t="s">
        <v>35594</v>
      </c>
      <c r="H5710" s="11" t="s">
        <v>31</v>
      </c>
      <c r="I5710" s="11">
        <v>1.0</v>
      </c>
      <c r="J5710" s="11">
        <v>1.0</v>
      </c>
      <c r="K5710" s="11" t="s">
        <v>31</v>
      </c>
      <c r="L5710" s="12" t="s">
        <v>35419</v>
      </c>
      <c r="M5710" s="10" t="s">
        <v>35595</v>
      </c>
      <c r="N5710" s="10" t="s">
        <v>4232</v>
      </c>
      <c r="O5710" s="12" t="s">
        <v>4233</v>
      </c>
      <c r="P5710" s="10" t="s">
        <v>35421</v>
      </c>
      <c r="Q5710" s="10" t="s">
        <v>35422</v>
      </c>
      <c r="R5710" s="10" t="s">
        <v>4236</v>
      </c>
      <c r="S5710" s="12" t="s">
        <v>35423</v>
      </c>
      <c r="T5710" s="10" t="s">
        <v>66</v>
      </c>
      <c r="U5710" s="12" t="s">
        <v>31</v>
      </c>
      <c r="V5710" s="10" t="s">
        <v>35486</v>
      </c>
      <c r="W5710" s="10" t="s">
        <v>35417</v>
      </c>
      <c r="X5710" s="13" t="str">
        <f>HYPERLINK("https://my.pitchbook.com?p=254761-12P","View People Online")</f>
        <v>View People Online</v>
      </c>
    </row>
    <row r="5711">
      <c r="A5711" s="6" t="s">
        <v>35596</v>
      </c>
      <c r="B5711" s="6" t="s">
        <v>35597</v>
      </c>
      <c r="C5711" s="6" t="s">
        <v>35598</v>
      </c>
      <c r="D5711" s="6" t="s">
        <v>35599</v>
      </c>
      <c r="E5711" s="6" t="s">
        <v>35417</v>
      </c>
      <c r="F5711" s="6" t="s">
        <v>1801</v>
      </c>
      <c r="G5711" s="6" t="s">
        <v>35600</v>
      </c>
      <c r="H5711" s="7" t="s">
        <v>31</v>
      </c>
      <c r="I5711" s="7">
        <v>1.0</v>
      </c>
      <c r="J5711" s="7">
        <v>1.0</v>
      </c>
      <c r="K5711" s="7" t="s">
        <v>31</v>
      </c>
      <c r="L5711" s="8" t="s">
        <v>35419</v>
      </c>
      <c r="M5711" s="6" t="s">
        <v>35601</v>
      </c>
      <c r="N5711" s="6" t="s">
        <v>4232</v>
      </c>
      <c r="O5711" s="8" t="s">
        <v>4233</v>
      </c>
      <c r="P5711" s="6" t="s">
        <v>35421</v>
      </c>
      <c r="Q5711" s="6" t="s">
        <v>35422</v>
      </c>
      <c r="R5711" s="6" t="s">
        <v>4236</v>
      </c>
      <c r="S5711" s="8" t="s">
        <v>35423</v>
      </c>
      <c r="T5711" s="6" t="s">
        <v>66</v>
      </c>
      <c r="U5711" s="8" t="s">
        <v>31</v>
      </c>
      <c r="V5711" s="6" t="s">
        <v>7945</v>
      </c>
      <c r="W5711" s="6" t="s">
        <v>35417</v>
      </c>
      <c r="X5711" s="9" t="str">
        <f>HYPERLINK("https://my.pitchbook.com?p=318909-25P","View People Online")</f>
        <v>View People Online</v>
      </c>
    </row>
    <row r="5712">
      <c r="A5712" s="2" t="s">
        <v>35602</v>
      </c>
      <c r="B5712" s="2" t="s">
        <v>35603</v>
      </c>
      <c r="C5712" s="2" t="s">
        <v>126</v>
      </c>
      <c r="D5712" s="2" t="s">
        <v>35604</v>
      </c>
      <c r="E5712" s="2" t="s">
        <v>35417</v>
      </c>
      <c r="F5712" s="2" t="s">
        <v>6997</v>
      </c>
      <c r="G5712" s="2" t="s">
        <v>35605</v>
      </c>
      <c r="H5712" s="3">
        <v>1.0</v>
      </c>
      <c r="I5712" s="3">
        <v>3.0</v>
      </c>
      <c r="J5712" s="3">
        <v>2.0</v>
      </c>
      <c r="K5712" s="3" t="s">
        <v>31</v>
      </c>
      <c r="L5712" s="4" t="s">
        <v>35419</v>
      </c>
      <c r="M5712" s="2" t="s">
        <v>35606</v>
      </c>
      <c r="N5712" s="2" t="s">
        <v>4232</v>
      </c>
      <c r="O5712" s="4" t="s">
        <v>4233</v>
      </c>
      <c r="P5712" s="2" t="s">
        <v>35421</v>
      </c>
      <c r="Q5712" s="2" t="s">
        <v>35422</v>
      </c>
      <c r="R5712" s="2" t="s">
        <v>4236</v>
      </c>
      <c r="S5712" s="4" t="s">
        <v>35423</v>
      </c>
      <c r="T5712" s="2" t="s">
        <v>66</v>
      </c>
      <c r="U5712" s="4" t="s">
        <v>31</v>
      </c>
      <c r="V5712" s="2" t="s">
        <v>35607</v>
      </c>
      <c r="W5712" s="2" t="s">
        <v>35417</v>
      </c>
      <c r="X5712" s="5" t="str">
        <f>HYPERLINK("https://my.pitchbook.com?p=217724-50P","View People Online")</f>
        <v>View People Online</v>
      </c>
    </row>
    <row r="5713">
      <c r="A5713" s="6" t="s">
        <v>35608</v>
      </c>
      <c r="B5713" s="6" t="s">
        <v>35609</v>
      </c>
      <c r="C5713" s="6" t="s">
        <v>35610</v>
      </c>
      <c r="D5713" s="6" t="s">
        <v>35611</v>
      </c>
      <c r="E5713" s="6" t="s">
        <v>35417</v>
      </c>
      <c r="F5713" s="6" t="s">
        <v>1801</v>
      </c>
      <c r="G5713" s="6" t="s">
        <v>35612</v>
      </c>
      <c r="H5713" s="7" t="s">
        <v>31</v>
      </c>
      <c r="I5713" s="7">
        <v>1.0</v>
      </c>
      <c r="J5713" s="7">
        <v>1.0</v>
      </c>
      <c r="K5713" s="7" t="s">
        <v>31</v>
      </c>
      <c r="L5713" s="8" t="s">
        <v>35419</v>
      </c>
      <c r="M5713" s="6" t="s">
        <v>35613</v>
      </c>
      <c r="N5713" s="6" t="s">
        <v>4232</v>
      </c>
      <c r="O5713" s="8" t="s">
        <v>4233</v>
      </c>
      <c r="P5713" s="6" t="s">
        <v>35421</v>
      </c>
      <c r="Q5713" s="6" t="s">
        <v>35422</v>
      </c>
      <c r="R5713" s="6" t="s">
        <v>4236</v>
      </c>
      <c r="S5713" s="8" t="s">
        <v>35423</v>
      </c>
      <c r="T5713" s="6" t="s">
        <v>66</v>
      </c>
      <c r="U5713" s="8" t="s">
        <v>31</v>
      </c>
      <c r="V5713" s="6" t="s">
        <v>35614</v>
      </c>
      <c r="W5713" s="6" t="s">
        <v>35417</v>
      </c>
      <c r="X5713" s="9" t="str">
        <f>HYPERLINK("https://my.pitchbook.com?p=124840-54P","View People Online")</f>
        <v>View People Online</v>
      </c>
    </row>
    <row r="5714">
      <c r="A5714" s="10" t="s">
        <v>35615</v>
      </c>
      <c r="B5714" s="10" t="s">
        <v>35616</v>
      </c>
      <c r="C5714" s="10" t="s">
        <v>167</v>
      </c>
      <c r="D5714" s="10" t="s">
        <v>4015</v>
      </c>
      <c r="E5714" s="10" t="s">
        <v>35417</v>
      </c>
      <c r="F5714" s="10" t="s">
        <v>371</v>
      </c>
      <c r="G5714" s="10" t="s">
        <v>35617</v>
      </c>
      <c r="H5714" s="11" t="s">
        <v>31</v>
      </c>
      <c r="I5714" s="11">
        <v>1.0</v>
      </c>
      <c r="J5714" s="11">
        <v>1.0</v>
      </c>
      <c r="K5714" s="11" t="s">
        <v>31</v>
      </c>
      <c r="L5714" s="12" t="s">
        <v>35419</v>
      </c>
      <c r="M5714" s="10" t="s">
        <v>35618</v>
      </c>
      <c r="N5714" s="10" t="s">
        <v>4232</v>
      </c>
      <c r="O5714" s="12" t="s">
        <v>4233</v>
      </c>
      <c r="P5714" s="10" t="s">
        <v>35421</v>
      </c>
      <c r="Q5714" s="10" t="s">
        <v>35422</v>
      </c>
      <c r="R5714" s="10" t="s">
        <v>4236</v>
      </c>
      <c r="S5714" s="12" t="s">
        <v>35423</v>
      </c>
      <c r="T5714" s="10" t="s">
        <v>66</v>
      </c>
      <c r="U5714" s="12" t="s">
        <v>31</v>
      </c>
      <c r="V5714" s="10" t="s">
        <v>35619</v>
      </c>
      <c r="W5714" s="10" t="s">
        <v>35417</v>
      </c>
      <c r="X5714" s="13" t="str">
        <f>HYPERLINK("https://my.pitchbook.com?p=318900-70P","View People Online")</f>
        <v>View People Online</v>
      </c>
    </row>
    <row r="5715">
      <c r="A5715" s="6" t="s">
        <v>35620</v>
      </c>
      <c r="B5715" s="6" t="s">
        <v>35621</v>
      </c>
      <c r="C5715" s="6" t="s">
        <v>2329</v>
      </c>
      <c r="D5715" s="6" t="s">
        <v>35622</v>
      </c>
      <c r="E5715" s="6" t="s">
        <v>35417</v>
      </c>
      <c r="F5715" s="6" t="s">
        <v>4868</v>
      </c>
      <c r="G5715" s="6" t="s">
        <v>35623</v>
      </c>
      <c r="H5715" s="7" t="s">
        <v>31</v>
      </c>
      <c r="I5715" s="7">
        <v>1.0</v>
      </c>
      <c r="J5715" s="7">
        <v>1.0</v>
      </c>
      <c r="K5715" s="7" t="s">
        <v>31</v>
      </c>
      <c r="L5715" s="8" t="s">
        <v>35419</v>
      </c>
      <c r="M5715" s="6" t="s">
        <v>35624</v>
      </c>
      <c r="N5715" s="6" t="s">
        <v>4232</v>
      </c>
      <c r="O5715" s="8" t="s">
        <v>4233</v>
      </c>
      <c r="P5715" s="6" t="s">
        <v>35421</v>
      </c>
      <c r="Q5715" s="6" t="s">
        <v>35422</v>
      </c>
      <c r="R5715" s="6" t="s">
        <v>4236</v>
      </c>
      <c r="S5715" s="8" t="s">
        <v>35423</v>
      </c>
      <c r="T5715" s="6" t="s">
        <v>66</v>
      </c>
      <c r="U5715" s="8" t="s">
        <v>31</v>
      </c>
      <c r="V5715" s="6" t="s">
        <v>35486</v>
      </c>
      <c r="W5715" s="6" t="s">
        <v>35417</v>
      </c>
      <c r="X5715" s="9" t="str">
        <f>HYPERLINK("https://my.pitchbook.com?p=175721-32P","View People Online")</f>
        <v>View People Online</v>
      </c>
    </row>
    <row r="5716">
      <c r="A5716" s="2" t="s">
        <v>35625</v>
      </c>
      <c r="B5716" s="2" t="s">
        <v>35626</v>
      </c>
      <c r="C5716" s="2" t="s">
        <v>536</v>
      </c>
      <c r="D5716" s="2" t="s">
        <v>25556</v>
      </c>
      <c r="E5716" s="2" t="s">
        <v>35417</v>
      </c>
      <c r="F5716" s="2" t="s">
        <v>5086</v>
      </c>
      <c r="G5716" s="2" t="s">
        <v>35627</v>
      </c>
      <c r="H5716" s="3" t="s">
        <v>31</v>
      </c>
      <c r="I5716" s="3">
        <v>1.0</v>
      </c>
      <c r="J5716" s="3">
        <v>1.0</v>
      </c>
      <c r="K5716" s="3" t="s">
        <v>31</v>
      </c>
      <c r="L5716" s="4" t="s">
        <v>35419</v>
      </c>
      <c r="M5716" s="2" t="s">
        <v>35628</v>
      </c>
      <c r="N5716" s="2" t="s">
        <v>4232</v>
      </c>
      <c r="O5716" s="4" t="s">
        <v>4233</v>
      </c>
      <c r="P5716" s="2" t="s">
        <v>35421</v>
      </c>
      <c r="Q5716" s="2" t="s">
        <v>35422</v>
      </c>
      <c r="R5716" s="2" t="s">
        <v>4236</v>
      </c>
      <c r="S5716" s="4" t="s">
        <v>35423</v>
      </c>
      <c r="T5716" s="2" t="s">
        <v>66</v>
      </c>
      <c r="U5716" s="4" t="s">
        <v>31</v>
      </c>
      <c r="V5716" s="2" t="s">
        <v>35629</v>
      </c>
      <c r="W5716" s="2" t="s">
        <v>35417</v>
      </c>
      <c r="X5716" s="5" t="str">
        <f>HYPERLINK("https://my.pitchbook.com?p=318901-42P","View People Online")</f>
        <v>View People Online</v>
      </c>
    </row>
    <row r="5717">
      <c r="A5717" s="6" t="s">
        <v>35630</v>
      </c>
      <c r="B5717" s="6" t="s">
        <v>35631</v>
      </c>
      <c r="C5717" s="6" t="s">
        <v>29451</v>
      </c>
      <c r="D5717" s="6" t="s">
        <v>35632</v>
      </c>
      <c r="E5717" s="6" t="s">
        <v>35417</v>
      </c>
      <c r="F5717" s="6" t="s">
        <v>312</v>
      </c>
      <c r="G5717" s="6" t="s">
        <v>35633</v>
      </c>
      <c r="H5717" s="7" t="s">
        <v>31</v>
      </c>
      <c r="I5717" s="7">
        <v>1.0</v>
      </c>
      <c r="J5717" s="7">
        <v>1.0</v>
      </c>
      <c r="K5717" s="7" t="s">
        <v>31</v>
      </c>
      <c r="L5717" s="8" t="s">
        <v>35419</v>
      </c>
      <c r="M5717" s="6" t="s">
        <v>35634</v>
      </c>
      <c r="N5717" s="6" t="s">
        <v>4232</v>
      </c>
      <c r="O5717" s="8" t="s">
        <v>4233</v>
      </c>
      <c r="P5717" s="6" t="s">
        <v>35421</v>
      </c>
      <c r="Q5717" s="6" t="s">
        <v>35422</v>
      </c>
      <c r="R5717" s="6" t="s">
        <v>4236</v>
      </c>
      <c r="S5717" s="8" t="s">
        <v>35423</v>
      </c>
      <c r="T5717" s="6" t="s">
        <v>66</v>
      </c>
      <c r="U5717" s="8" t="s">
        <v>31</v>
      </c>
      <c r="V5717" s="6" t="s">
        <v>312</v>
      </c>
      <c r="W5717" s="6" t="s">
        <v>35417</v>
      </c>
      <c r="X5717" s="9" t="str">
        <f>HYPERLINK("https://my.pitchbook.com?p=222670-54P","View People Online")</f>
        <v>View People Online</v>
      </c>
    </row>
    <row r="5718">
      <c r="A5718" s="10" t="s">
        <v>35635</v>
      </c>
      <c r="B5718" s="10" t="s">
        <v>35636</v>
      </c>
      <c r="C5718" s="10" t="s">
        <v>2468</v>
      </c>
      <c r="D5718" s="10" t="s">
        <v>35637</v>
      </c>
      <c r="E5718" s="10" t="s">
        <v>35417</v>
      </c>
      <c r="F5718" s="10" t="s">
        <v>7882</v>
      </c>
      <c r="G5718" s="10" t="s">
        <v>35638</v>
      </c>
      <c r="H5718" s="11" t="s">
        <v>31</v>
      </c>
      <c r="I5718" s="11">
        <v>3.0</v>
      </c>
      <c r="J5718" s="11">
        <v>1.0</v>
      </c>
      <c r="K5718" s="11">
        <v>2.0</v>
      </c>
      <c r="L5718" s="12" t="s">
        <v>35419</v>
      </c>
      <c r="M5718" s="10" t="s">
        <v>35639</v>
      </c>
      <c r="N5718" s="10" t="s">
        <v>4232</v>
      </c>
      <c r="O5718" s="12" t="s">
        <v>4233</v>
      </c>
      <c r="P5718" s="10" t="s">
        <v>35421</v>
      </c>
      <c r="Q5718" s="10" t="s">
        <v>35422</v>
      </c>
      <c r="R5718" s="10" t="s">
        <v>4236</v>
      </c>
      <c r="S5718" s="12" t="s">
        <v>35423</v>
      </c>
      <c r="T5718" s="10" t="s">
        <v>66</v>
      </c>
      <c r="U5718" s="12" t="s">
        <v>31</v>
      </c>
      <c r="V5718" s="10" t="s">
        <v>35640</v>
      </c>
      <c r="W5718" s="10" t="s">
        <v>35417</v>
      </c>
      <c r="X5718" s="13" t="str">
        <f>HYPERLINK("https://my.pitchbook.com?p=82475-92P","View People Online")</f>
        <v>View People Online</v>
      </c>
    </row>
    <row r="5719">
      <c r="A5719" s="6" t="s">
        <v>35641</v>
      </c>
      <c r="B5719" s="6" t="s">
        <v>35642</v>
      </c>
      <c r="C5719" s="6" t="s">
        <v>35643</v>
      </c>
      <c r="D5719" s="6" t="s">
        <v>3233</v>
      </c>
      <c r="E5719" s="6" t="s">
        <v>35417</v>
      </c>
      <c r="F5719" s="6" t="s">
        <v>7381</v>
      </c>
      <c r="G5719" s="6" t="s">
        <v>35644</v>
      </c>
      <c r="H5719" s="7">
        <v>1.0</v>
      </c>
      <c r="I5719" s="7">
        <v>2.0</v>
      </c>
      <c r="J5719" s="7">
        <v>1.0</v>
      </c>
      <c r="K5719" s="7" t="s">
        <v>31</v>
      </c>
      <c r="L5719" s="8" t="s">
        <v>35419</v>
      </c>
      <c r="M5719" s="6" t="s">
        <v>35645</v>
      </c>
      <c r="N5719" s="6" t="s">
        <v>4232</v>
      </c>
      <c r="O5719" s="8" t="s">
        <v>4233</v>
      </c>
      <c r="P5719" s="6" t="s">
        <v>35421</v>
      </c>
      <c r="Q5719" s="6" t="s">
        <v>35422</v>
      </c>
      <c r="R5719" s="6" t="s">
        <v>4236</v>
      </c>
      <c r="S5719" s="8" t="s">
        <v>35423</v>
      </c>
      <c r="T5719" s="6" t="s">
        <v>66</v>
      </c>
      <c r="U5719" s="8" t="s">
        <v>31</v>
      </c>
      <c r="V5719" s="6" t="s">
        <v>35508</v>
      </c>
      <c r="W5719" s="6" t="s">
        <v>35417</v>
      </c>
      <c r="X5719" s="9" t="str">
        <f>HYPERLINK("https://my.pitchbook.com?p=222670-45P","View People Online")</f>
        <v>View People Online</v>
      </c>
    </row>
    <row r="5720">
      <c r="A5720" s="2" t="s">
        <v>35646</v>
      </c>
      <c r="B5720" s="2" t="s">
        <v>35647</v>
      </c>
      <c r="C5720" s="2" t="s">
        <v>12548</v>
      </c>
      <c r="D5720" s="2" t="s">
        <v>26891</v>
      </c>
      <c r="E5720" s="2" t="s">
        <v>35417</v>
      </c>
      <c r="F5720" s="2" t="s">
        <v>1801</v>
      </c>
      <c r="G5720" s="2" t="s">
        <v>35648</v>
      </c>
      <c r="H5720" s="3" t="s">
        <v>31</v>
      </c>
      <c r="I5720" s="3">
        <v>1.0</v>
      </c>
      <c r="J5720" s="3">
        <v>1.0</v>
      </c>
      <c r="K5720" s="3" t="s">
        <v>31</v>
      </c>
      <c r="L5720" s="4" t="s">
        <v>35419</v>
      </c>
      <c r="M5720" s="2" t="s">
        <v>35649</v>
      </c>
      <c r="N5720" s="2" t="s">
        <v>4232</v>
      </c>
      <c r="O5720" s="4" t="s">
        <v>4233</v>
      </c>
      <c r="P5720" s="2" t="s">
        <v>35421</v>
      </c>
      <c r="Q5720" s="2" t="s">
        <v>35422</v>
      </c>
      <c r="R5720" s="2" t="s">
        <v>4236</v>
      </c>
      <c r="S5720" s="4" t="s">
        <v>35423</v>
      </c>
      <c r="T5720" s="2" t="s">
        <v>66</v>
      </c>
      <c r="U5720" s="4" t="s">
        <v>31</v>
      </c>
      <c r="V5720" s="2" t="s">
        <v>35650</v>
      </c>
      <c r="W5720" s="2" t="s">
        <v>35417</v>
      </c>
      <c r="X5720" s="5" t="str">
        <f>HYPERLINK("https://my.pitchbook.com?p=355870-54P","View People Online")</f>
        <v>View People Online</v>
      </c>
    </row>
    <row r="5721">
      <c r="A5721" s="6" t="s">
        <v>35651</v>
      </c>
      <c r="B5721" s="6" t="s">
        <v>35652</v>
      </c>
      <c r="C5721" s="6" t="s">
        <v>1437</v>
      </c>
      <c r="D5721" s="6" t="s">
        <v>35653</v>
      </c>
      <c r="E5721" s="6" t="s">
        <v>35654</v>
      </c>
      <c r="F5721" s="6" t="s">
        <v>371</v>
      </c>
      <c r="G5721" s="6" t="s">
        <v>35655</v>
      </c>
      <c r="H5721" s="7" t="s">
        <v>31</v>
      </c>
      <c r="I5721" s="7">
        <v>1.0</v>
      </c>
      <c r="J5721" s="7">
        <v>1.0</v>
      </c>
      <c r="K5721" s="7" t="s">
        <v>31</v>
      </c>
      <c r="L5721" s="8" t="s">
        <v>35656</v>
      </c>
      <c r="M5721" s="6" t="s">
        <v>35657</v>
      </c>
      <c r="N5721" s="6" t="s">
        <v>32271</v>
      </c>
      <c r="O5721" s="8" t="s">
        <v>32272</v>
      </c>
      <c r="P5721" s="6" t="s">
        <v>35658</v>
      </c>
      <c r="Q5721" s="6" t="s">
        <v>31</v>
      </c>
      <c r="R5721" s="6" t="s">
        <v>32274</v>
      </c>
      <c r="S5721" s="8" t="s">
        <v>35659</v>
      </c>
      <c r="T5721" s="6" t="s">
        <v>66</v>
      </c>
      <c r="U5721" s="8" t="s">
        <v>31</v>
      </c>
      <c r="V5721" s="6" t="s">
        <v>35660</v>
      </c>
      <c r="W5721" s="6" t="s">
        <v>35654</v>
      </c>
      <c r="X5721" s="9" t="str">
        <f>HYPERLINK("https://my.pitchbook.com?p=344091-07P","View People Online")</f>
        <v>View People Online</v>
      </c>
    </row>
    <row r="5722">
      <c r="A5722" s="10" t="s">
        <v>35661</v>
      </c>
      <c r="B5722" s="10" t="s">
        <v>35662</v>
      </c>
      <c r="C5722" s="10" t="s">
        <v>285</v>
      </c>
      <c r="D5722" s="10" t="s">
        <v>35663</v>
      </c>
      <c r="E5722" s="10" t="s">
        <v>35654</v>
      </c>
      <c r="F5722" s="10" t="s">
        <v>32296</v>
      </c>
      <c r="G5722" s="10" t="s">
        <v>35664</v>
      </c>
      <c r="H5722" s="11" t="s">
        <v>31</v>
      </c>
      <c r="I5722" s="11">
        <v>1.0</v>
      </c>
      <c r="J5722" s="11">
        <v>1.0</v>
      </c>
      <c r="K5722" s="11" t="s">
        <v>31</v>
      </c>
      <c r="L5722" s="12" t="s">
        <v>35656</v>
      </c>
      <c r="M5722" s="10" t="s">
        <v>31</v>
      </c>
      <c r="N5722" s="10" t="s">
        <v>32271</v>
      </c>
      <c r="O5722" s="12" t="s">
        <v>32272</v>
      </c>
      <c r="P5722" s="10" t="s">
        <v>35658</v>
      </c>
      <c r="Q5722" s="10" t="s">
        <v>31</v>
      </c>
      <c r="R5722" s="10" t="s">
        <v>32274</v>
      </c>
      <c r="S5722" s="12" t="s">
        <v>35659</v>
      </c>
      <c r="T5722" s="10" t="s">
        <v>66</v>
      </c>
      <c r="U5722" s="12" t="s">
        <v>31</v>
      </c>
      <c r="V5722" s="10" t="s">
        <v>35665</v>
      </c>
      <c r="W5722" s="10" t="s">
        <v>35654</v>
      </c>
      <c r="X5722" s="13" t="str">
        <f>HYPERLINK("https://my.pitchbook.com?p=264961-09P","View People Online")</f>
        <v>View People Online</v>
      </c>
    </row>
    <row r="5723">
      <c r="A5723" s="6" t="s">
        <v>35666</v>
      </c>
      <c r="B5723" s="6" t="s">
        <v>35667</v>
      </c>
      <c r="C5723" s="6" t="s">
        <v>35668</v>
      </c>
      <c r="D5723" s="6" t="s">
        <v>35669</v>
      </c>
      <c r="E5723" s="6" t="s">
        <v>35654</v>
      </c>
      <c r="F5723" s="6" t="s">
        <v>1249</v>
      </c>
      <c r="G5723" s="6" t="s">
        <v>35670</v>
      </c>
      <c r="H5723" s="7">
        <v>2.0</v>
      </c>
      <c r="I5723" s="7">
        <v>6.0</v>
      </c>
      <c r="J5723" s="7">
        <v>1.0</v>
      </c>
      <c r="K5723" s="7">
        <v>3.0</v>
      </c>
      <c r="L5723" s="8" t="s">
        <v>35656</v>
      </c>
      <c r="M5723" s="6" t="s">
        <v>35671</v>
      </c>
      <c r="N5723" s="6" t="s">
        <v>32271</v>
      </c>
      <c r="O5723" s="8" t="s">
        <v>32272</v>
      </c>
      <c r="P5723" s="6" t="s">
        <v>35658</v>
      </c>
      <c r="Q5723" s="6" t="s">
        <v>31</v>
      </c>
      <c r="R5723" s="6" t="s">
        <v>32274</v>
      </c>
      <c r="S5723" s="8" t="s">
        <v>35659</v>
      </c>
      <c r="T5723" s="6" t="s">
        <v>66</v>
      </c>
      <c r="U5723" s="8" t="s">
        <v>31</v>
      </c>
      <c r="V5723" s="6" t="s">
        <v>7404</v>
      </c>
      <c r="W5723" s="6" t="s">
        <v>35654</v>
      </c>
      <c r="X5723" s="9" t="str">
        <f>HYPERLINK("https://my.pitchbook.com?p=36591-22P","View People Online")</f>
        <v>View People Online</v>
      </c>
    </row>
    <row r="5724">
      <c r="A5724" s="2" t="s">
        <v>35672</v>
      </c>
      <c r="B5724" s="2" t="s">
        <v>35673</v>
      </c>
      <c r="C5724" s="2" t="s">
        <v>1471</v>
      </c>
      <c r="D5724" s="2" t="s">
        <v>35674</v>
      </c>
      <c r="E5724" s="2" t="s">
        <v>35654</v>
      </c>
      <c r="F5724" s="2" t="s">
        <v>7930</v>
      </c>
      <c r="G5724" s="2" t="s">
        <v>35675</v>
      </c>
      <c r="H5724" s="3" t="s">
        <v>31</v>
      </c>
      <c r="I5724" s="3">
        <v>1.0</v>
      </c>
      <c r="J5724" s="3">
        <v>1.0</v>
      </c>
      <c r="K5724" s="3" t="s">
        <v>31</v>
      </c>
      <c r="L5724" s="4" t="s">
        <v>35656</v>
      </c>
      <c r="M5724" s="2" t="s">
        <v>35676</v>
      </c>
      <c r="N5724" s="2" t="s">
        <v>32271</v>
      </c>
      <c r="O5724" s="4" t="s">
        <v>32272</v>
      </c>
      <c r="P5724" s="2" t="s">
        <v>35658</v>
      </c>
      <c r="Q5724" s="2" t="s">
        <v>31</v>
      </c>
      <c r="R5724" s="2" t="s">
        <v>32274</v>
      </c>
      <c r="S5724" s="4" t="s">
        <v>35659</v>
      </c>
      <c r="T5724" s="2" t="s">
        <v>66</v>
      </c>
      <c r="U5724" s="4" t="s">
        <v>31</v>
      </c>
      <c r="V5724" s="2" t="s">
        <v>35677</v>
      </c>
      <c r="W5724" s="2" t="s">
        <v>35654</v>
      </c>
      <c r="X5724" s="5" t="str">
        <f>HYPERLINK("https://my.pitchbook.com?p=294257-35P","View People Online")</f>
        <v>View People Online</v>
      </c>
    </row>
    <row r="5725">
      <c r="A5725" s="6" t="s">
        <v>35678</v>
      </c>
      <c r="B5725" s="6" t="s">
        <v>35679</v>
      </c>
      <c r="C5725" s="6" t="s">
        <v>3529</v>
      </c>
      <c r="D5725" s="6" t="s">
        <v>35680</v>
      </c>
      <c r="E5725" s="6" t="s">
        <v>35654</v>
      </c>
      <c r="F5725" s="6" t="s">
        <v>371</v>
      </c>
      <c r="G5725" s="6" t="s">
        <v>35681</v>
      </c>
      <c r="H5725" s="7" t="s">
        <v>31</v>
      </c>
      <c r="I5725" s="7">
        <v>1.0</v>
      </c>
      <c r="J5725" s="7">
        <v>1.0</v>
      </c>
      <c r="K5725" s="7" t="s">
        <v>31</v>
      </c>
      <c r="L5725" s="8" t="s">
        <v>35656</v>
      </c>
      <c r="M5725" s="6" t="s">
        <v>35682</v>
      </c>
      <c r="N5725" s="6" t="s">
        <v>32271</v>
      </c>
      <c r="O5725" s="8" t="s">
        <v>32272</v>
      </c>
      <c r="P5725" s="6" t="s">
        <v>35658</v>
      </c>
      <c r="Q5725" s="6" t="s">
        <v>31</v>
      </c>
      <c r="R5725" s="6" t="s">
        <v>32274</v>
      </c>
      <c r="S5725" s="8" t="s">
        <v>35659</v>
      </c>
      <c r="T5725" s="6" t="s">
        <v>66</v>
      </c>
      <c r="U5725" s="8" t="s">
        <v>31</v>
      </c>
      <c r="V5725" s="6" t="s">
        <v>11455</v>
      </c>
      <c r="W5725" s="6" t="s">
        <v>35654</v>
      </c>
      <c r="X5725" s="9" t="str">
        <f>HYPERLINK("https://my.pitchbook.com?p=344097-28P","View People Online")</f>
        <v>View People Online</v>
      </c>
    </row>
    <row r="5726">
      <c r="A5726" s="10" t="s">
        <v>35683</v>
      </c>
      <c r="B5726" s="10" t="s">
        <v>35684</v>
      </c>
      <c r="C5726" s="10" t="s">
        <v>1343</v>
      </c>
      <c r="D5726" s="10" t="s">
        <v>35685</v>
      </c>
      <c r="E5726" s="10" t="s">
        <v>35654</v>
      </c>
      <c r="F5726" s="10" t="s">
        <v>270</v>
      </c>
      <c r="G5726" s="10" t="s">
        <v>35686</v>
      </c>
      <c r="H5726" s="11" t="s">
        <v>31</v>
      </c>
      <c r="I5726" s="11">
        <v>1.0</v>
      </c>
      <c r="J5726" s="11">
        <v>1.0</v>
      </c>
      <c r="K5726" s="11" t="s">
        <v>31</v>
      </c>
      <c r="L5726" s="12" t="s">
        <v>35656</v>
      </c>
      <c r="M5726" s="10" t="s">
        <v>35687</v>
      </c>
      <c r="N5726" s="10" t="s">
        <v>32271</v>
      </c>
      <c r="O5726" s="12" t="s">
        <v>32272</v>
      </c>
      <c r="P5726" s="10" t="s">
        <v>35658</v>
      </c>
      <c r="Q5726" s="10" t="s">
        <v>31</v>
      </c>
      <c r="R5726" s="10" t="s">
        <v>32274</v>
      </c>
      <c r="S5726" s="12" t="s">
        <v>35659</v>
      </c>
      <c r="T5726" s="10" t="s">
        <v>66</v>
      </c>
      <c r="U5726" s="12" t="s">
        <v>31</v>
      </c>
      <c r="V5726" s="10" t="s">
        <v>35688</v>
      </c>
      <c r="W5726" s="10" t="s">
        <v>35654</v>
      </c>
      <c r="X5726" s="13" t="str">
        <f>HYPERLINK("https://my.pitchbook.com?p=401088-88P","View People Online")</f>
        <v>View People Online</v>
      </c>
    </row>
    <row r="5727">
      <c r="A5727" s="6" t="s">
        <v>35689</v>
      </c>
      <c r="B5727" s="6" t="s">
        <v>35690</v>
      </c>
      <c r="C5727" s="6" t="s">
        <v>3052</v>
      </c>
      <c r="D5727" s="6" t="s">
        <v>35691</v>
      </c>
      <c r="E5727" s="6" t="s">
        <v>35654</v>
      </c>
      <c r="F5727" s="6" t="s">
        <v>6997</v>
      </c>
      <c r="G5727" s="6" t="s">
        <v>35692</v>
      </c>
      <c r="H5727" s="7" t="s">
        <v>31</v>
      </c>
      <c r="I5727" s="7">
        <v>1.0</v>
      </c>
      <c r="J5727" s="7">
        <v>1.0</v>
      </c>
      <c r="K5727" s="7" t="s">
        <v>31</v>
      </c>
      <c r="L5727" s="8" t="s">
        <v>35656</v>
      </c>
      <c r="M5727" s="6" t="s">
        <v>35693</v>
      </c>
      <c r="N5727" s="6" t="s">
        <v>32271</v>
      </c>
      <c r="O5727" s="8" t="s">
        <v>32272</v>
      </c>
      <c r="P5727" s="6" t="s">
        <v>35658</v>
      </c>
      <c r="Q5727" s="6" t="s">
        <v>31</v>
      </c>
      <c r="R5727" s="6" t="s">
        <v>32274</v>
      </c>
      <c r="S5727" s="8" t="s">
        <v>35659</v>
      </c>
      <c r="T5727" s="6" t="s">
        <v>66</v>
      </c>
      <c r="U5727" s="8" t="s">
        <v>31</v>
      </c>
      <c r="V5727" s="6" t="s">
        <v>35607</v>
      </c>
      <c r="W5727" s="6" t="s">
        <v>35654</v>
      </c>
      <c r="X5727" s="9" t="str">
        <f>HYPERLINK("https://my.pitchbook.com?p=289686-79P","View People Online")</f>
        <v>View People Online</v>
      </c>
    </row>
    <row r="5728">
      <c r="A5728" s="2" t="s">
        <v>35694</v>
      </c>
      <c r="B5728" s="2" t="s">
        <v>35695</v>
      </c>
      <c r="C5728" s="2" t="s">
        <v>35696</v>
      </c>
      <c r="D5728" s="2" t="s">
        <v>1866</v>
      </c>
      <c r="E5728" s="2" t="s">
        <v>35654</v>
      </c>
      <c r="F5728" s="2" t="s">
        <v>5418</v>
      </c>
      <c r="G5728" s="2" t="s">
        <v>35697</v>
      </c>
      <c r="H5728" s="3">
        <v>1.0</v>
      </c>
      <c r="I5728" s="3">
        <v>2.0</v>
      </c>
      <c r="J5728" s="3">
        <v>1.0</v>
      </c>
      <c r="K5728" s="3" t="s">
        <v>31</v>
      </c>
      <c r="L5728" s="4" t="s">
        <v>35656</v>
      </c>
      <c r="M5728" s="2" t="s">
        <v>35698</v>
      </c>
      <c r="N5728" s="2" t="s">
        <v>32271</v>
      </c>
      <c r="O5728" s="4" t="s">
        <v>32272</v>
      </c>
      <c r="P5728" s="2" t="s">
        <v>35658</v>
      </c>
      <c r="Q5728" s="2" t="s">
        <v>31</v>
      </c>
      <c r="R5728" s="2" t="s">
        <v>32274</v>
      </c>
      <c r="S5728" s="4" t="s">
        <v>35659</v>
      </c>
      <c r="T5728" s="2" t="s">
        <v>66</v>
      </c>
      <c r="U5728" s="4" t="s">
        <v>31</v>
      </c>
      <c r="V5728" s="2" t="s">
        <v>5418</v>
      </c>
      <c r="W5728" s="2" t="s">
        <v>35654</v>
      </c>
      <c r="X5728" s="5" t="str">
        <f>HYPERLINK("https://my.pitchbook.com?p=284534-02P","View People Online")</f>
        <v>View People Online</v>
      </c>
    </row>
    <row r="5729">
      <c r="A5729" s="14" t="s">
        <v>35699</v>
      </c>
      <c r="B5729" s="14" t="s">
        <v>35700</v>
      </c>
      <c r="C5729" s="14" t="s">
        <v>4668</v>
      </c>
      <c r="D5729" s="14" t="s">
        <v>35701</v>
      </c>
      <c r="E5729" s="14" t="s">
        <v>35654</v>
      </c>
      <c r="F5729" s="14" t="s">
        <v>548</v>
      </c>
      <c r="G5729" s="14" t="s">
        <v>35702</v>
      </c>
      <c r="H5729" s="15" t="s">
        <v>31</v>
      </c>
      <c r="I5729" s="15">
        <v>1.0</v>
      </c>
      <c r="J5729" s="15">
        <v>1.0</v>
      </c>
      <c r="K5729" s="15" t="s">
        <v>31</v>
      </c>
      <c r="L5729" s="16" t="s">
        <v>35656</v>
      </c>
      <c r="M5729" s="14" t="s">
        <v>31</v>
      </c>
      <c r="N5729" s="14" t="s">
        <v>32271</v>
      </c>
      <c r="O5729" s="16" t="s">
        <v>32272</v>
      </c>
      <c r="P5729" s="14" t="s">
        <v>35658</v>
      </c>
      <c r="Q5729" s="14" t="s">
        <v>31</v>
      </c>
      <c r="R5729" s="14" t="s">
        <v>32274</v>
      </c>
      <c r="S5729" s="16" t="s">
        <v>35659</v>
      </c>
      <c r="T5729" s="14" t="s">
        <v>66</v>
      </c>
      <c r="U5729" s="16" t="s">
        <v>31</v>
      </c>
      <c r="V5729" s="14" t="s">
        <v>4876</v>
      </c>
      <c r="W5729" s="14" t="s">
        <v>35654</v>
      </c>
      <c r="X5729" s="17" t="str">
        <f>HYPERLINK("https://my.pitchbook.com?p=271687-15P","View People Online")</f>
        <v>View People Online</v>
      </c>
    </row>
    <row r="5730">
      <c r="A5730" s="10" t="s">
        <v>35703</v>
      </c>
      <c r="B5730" s="10" t="s">
        <v>35704</v>
      </c>
      <c r="C5730" s="10" t="s">
        <v>35705</v>
      </c>
      <c r="D5730" s="10" t="s">
        <v>6900</v>
      </c>
      <c r="E5730" s="10" t="s">
        <v>35706</v>
      </c>
      <c r="F5730" s="10" t="s">
        <v>35707</v>
      </c>
      <c r="G5730" s="10" t="s">
        <v>35708</v>
      </c>
      <c r="H5730" s="11" t="s">
        <v>31</v>
      </c>
      <c r="I5730" s="11">
        <v>1.0</v>
      </c>
      <c r="J5730" s="11">
        <v>1.0</v>
      </c>
      <c r="K5730" s="11" t="s">
        <v>31</v>
      </c>
      <c r="L5730" s="12" t="s">
        <v>35709</v>
      </c>
      <c r="M5730" s="10" t="s">
        <v>35710</v>
      </c>
      <c r="N5730" s="10" t="s">
        <v>11530</v>
      </c>
      <c r="O5730" s="12" t="s">
        <v>11531</v>
      </c>
      <c r="P5730" s="10" t="s">
        <v>35711</v>
      </c>
      <c r="Q5730" s="10" t="s">
        <v>35712</v>
      </c>
      <c r="R5730" s="10" t="s">
        <v>64</v>
      </c>
      <c r="S5730" s="12" t="s">
        <v>26876</v>
      </c>
      <c r="T5730" s="10" t="s">
        <v>66</v>
      </c>
      <c r="U5730" s="12" t="s">
        <v>31</v>
      </c>
      <c r="V5730" s="10" t="s">
        <v>35713</v>
      </c>
      <c r="W5730" s="10" t="s">
        <v>35706</v>
      </c>
      <c r="X5730" s="13" t="str">
        <f>HYPERLINK("https://my.pitchbook.com?p=369499-06P","View People Online")</f>
        <v>View People Online</v>
      </c>
    </row>
    <row r="5731">
      <c r="A5731" s="6" t="s">
        <v>35714</v>
      </c>
      <c r="B5731" s="6" t="s">
        <v>35715</v>
      </c>
      <c r="C5731" s="6" t="s">
        <v>1929</v>
      </c>
      <c r="D5731" s="6" t="s">
        <v>35716</v>
      </c>
      <c r="E5731" s="6" t="s">
        <v>35706</v>
      </c>
      <c r="F5731" s="6" t="s">
        <v>674</v>
      </c>
      <c r="G5731" s="6" t="s">
        <v>35717</v>
      </c>
      <c r="H5731" s="7">
        <v>1.0</v>
      </c>
      <c r="I5731" s="7">
        <v>38.0</v>
      </c>
      <c r="J5731" s="7">
        <v>1.0</v>
      </c>
      <c r="K5731" s="7">
        <v>32.0</v>
      </c>
      <c r="L5731" s="8" t="s">
        <v>35709</v>
      </c>
      <c r="M5731" s="6" t="s">
        <v>35718</v>
      </c>
      <c r="N5731" s="6" t="s">
        <v>11530</v>
      </c>
      <c r="O5731" s="8" t="s">
        <v>11531</v>
      </c>
      <c r="P5731" s="6" t="s">
        <v>35711</v>
      </c>
      <c r="Q5731" s="6" t="s">
        <v>35712</v>
      </c>
      <c r="R5731" s="6" t="s">
        <v>64</v>
      </c>
      <c r="S5731" s="8" t="s">
        <v>26876</v>
      </c>
      <c r="T5731" s="6" t="s">
        <v>66</v>
      </c>
      <c r="U5731" s="8" t="s">
        <v>31</v>
      </c>
      <c r="V5731" s="6" t="s">
        <v>674</v>
      </c>
      <c r="W5731" s="6" t="s">
        <v>35706</v>
      </c>
      <c r="X5731" s="9" t="str">
        <f>HYPERLINK("https://my.pitchbook.com?p=118585-09P","View People Online")</f>
        <v>View People Online</v>
      </c>
    </row>
    <row r="5732">
      <c r="A5732" s="2" t="s">
        <v>35719</v>
      </c>
      <c r="B5732" s="2" t="s">
        <v>35720</v>
      </c>
      <c r="C5732" s="2" t="s">
        <v>1437</v>
      </c>
      <c r="D5732" s="2" t="s">
        <v>24471</v>
      </c>
      <c r="E5732" s="2" t="s">
        <v>35706</v>
      </c>
      <c r="F5732" s="2" t="s">
        <v>825</v>
      </c>
      <c r="G5732" s="2" t="s">
        <v>35721</v>
      </c>
      <c r="H5732" s="3" t="s">
        <v>31</v>
      </c>
      <c r="I5732" s="3">
        <v>2.0</v>
      </c>
      <c r="J5732" s="3">
        <v>2.0</v>
      </c>
      <c r="K5732" s="3" t="s">
        <v>31</v>
      </c>
      <c r="L5732" s="4" t="s">
        <v>35709</v>
      </c>
      <c r="M5732" s="2" t="s">
        <v>31</v>
      </c>
      <c r="N5732" s="2" t="s">
        <v>11530</v>
      </c>
      <c r="O5732" s="4" t="s">
        <v>11531</v>
      </c>
      <c r="P5732" s="2" t="s">
        <v>35711</v>
      </c>
      <c r="Q5732" s="2" t="s">
        <v>35712</v>
      </c>
      <c r="R5732" s="2" t="s">
        <v>64</v>
      </c>
      <c r="S5732" s="4" t="s">
        <v>26876</v>
      </c>
      <c r="T5732" s="2" t="s">
        <v>66</v>
      </c>
      <c r="U5732" s="4" t="s">
        <v>31</v>
      </c>
      <c r="V5732" s="2" t="s">
        <v>35722</v>
      </c>
      <c r="W5732" s="2" t="s">
        <v>35706</v>
      </c>
      <c r="X5732" s="5" t="str">
        <f>HYPERLINK("https://my.pitchbook.com?p=308448-46P","View People Online")</f>
        <v>View People Online</v>
      </c>
    </row>
    <row r="5733">
      <c r="A5733" s="6" t="s">
        <v>35723</v>
      </c>
      <c r="B5733" s="6" t="s">
        <v>35724</v>
      </c>
      <c r="C5733" s="6" t="s">
        <v>35725</v>
      </c>
      <c r="D5733" s="6" t="s">
        <v>35726</v>
      </c>
      <c r="E5733" s="6" t="s">
        <v>35706</v>
      </c>
      <c r="F5733" s="6" t="s">
        <v>1134</v>
      </c>
      <c r="G5733" s="6" t="s">
        <v>35727</v>
      </c>
      <c r="H5733" s="7" t="s">
        <v>31</v>
      </c>
      <c r="I5733" s="7">
        <v>1.0</v>
      </c>
      <c r="J5733" s="7">
        <v>1.0</v>
      </c>
      <c r="K5733" s="7" t="s">
        <v>31</v>
      </c>
      <c r="L5733" s="8" t="s">
        <v>35709</v>
      </c>
      <c r="M5733" s="6" t="s">
        <v>35728</v>
      </c>
      <c r="N5733" s="6" t="s">
        <v>11530</v>
      </c>
      <c r="O5733" s="8" t="s">
        <v>11531</v>
      </c>
      <c r="P5733" s="6" t="s">
        <v>35711</v>
      </c>
      <c r="Q5733" s="6" t="s">
        <v>35712</v>
      </c>
      <c r="R5733" s="6" t="s">
        <v>64</v>
      </c>
      <c r="S5733" s="8" t="s">
        <v>26876</v>
      </c>
      <c r="T5733" s="6" t="s">
        <v>66</v>
      </c>
      <c r="U5733" s="8" t="s">
        <v>31</v>
      </c>
      <c r="V5733" s="6" t="s">
        <v>35729</v>
      </c>
      <c r="W5733" s="6" t="s">
        <v>35706</v>
      </c>
      <c r="X5733" s="9" t="str">
        <f>HYPERLINK("https://my.pitchbook.com?p=420681-70P","View People Online")</f>
        <v>View People Online</v>
      </c>
    </row>
    <row r="5734">
      <c r="A5734" s="2" t="s">
        <v>35730</v>
      </c>
      <c r="B5734" s="2" t="s">
        <v>35731</v>
      </c>
      <c r="C5734" s="2" t="s">
        <v>1356</v>
      </c>
      <c r="D5734" s="2" t="s">
        <v>35732</v>
      </c>
      <c r="E5734" s="2" t="s">
        <v>35706</v>
      </c>
      <c r="F5734" s="2" t="s">
        <v>35707</v>
      </c>
      <c r="G5734" s="2" t="s">
        <v>35733</v>
      </c>
      <c r="H5734" s="3" t="s">
        <v>31</v>
      </c>
      <c r="I5734" s="3">
        <v>4.0</v>
      </c>
      <c r="J5734" s="3">
        <v>1.0</v>
      </c>
      <c r="K5734" s="3">
        <v>2.0</v>
      </c>
      <c r="L5734" s="4" t="s">
        <v>35709</v>
      </c>
      <c r="M5734" s="2" t="s">
        <v>35734</v>
      </c>
      <c r="N5734" s="2" t="s">
        <v>11530</v>
      </c>
      <c r="O5734" s="4" t="s">
        <v>11531</v>
      </c>
      <c r="P5734" s="2" t="s">
        <v>35711</v>
      </c>
      <c r="Q5734" s="2" t="s">
        <v>35712</v>
      </c>
      <c r="R5734" s="2" t="s">
        <v>64</v>
      </c>
      <c r="S5734" s="4" t="s">
        <v>26876</v>
      </c>
      <c r="T5734" s="2" t="s">
        <v>66</v>
      </c>
      <c r="U5734" s="4" t="s">
        <v>31</v>
      </c>
      <c r="V5734" s="2" t="s">
        <v>35735</v>
      </c>
      <c r="W5734" s="2" t="s">
        <v>35706</v>
      </c>
      <c r="X5734" s="5" t="str">
        <f>HYPERLINK("https://my.pitchbook.com?p=168008-14P","View People Online")</f>
        <v>View People Online</v>
      </c>
    </row>
    <row r="5735">
      <c r="A5735" s="6" t="s">
        <v>35736</v>
      </c>
      <c r="B5735" s="6" t="s">
        <v>35737</v>
      </c>
      <c r="C5735" s="6" t="s">
        <v>18365</v>
      </c>
      <c r="D5735" s="6" t="s">
        <v>35738</v>
      </c>
      <c r="E5735" s="6" t="s">
        <v>35706</v>
      </c>
      <c r="F5735" s="6" t="s">
        <v>1801</v>
      </c>
      <c r="G5735" s="6" t="s">
        <v>35739</v>
      </c>
      <c r="H5735" s="7" t="s">
        <v>31</v>
      </c>
      <c r="I5735" s="7">
        <v>1.0</v>
      </c>
      <c r="J5735" s="7">
        <v>1.0</v>
      </c>
      <c r="K5735" s="7" t="s">
        <v>31</v>
      </c>
      <c r="L5735" s="8" t="s">
        <v>35709</v>
      </c>
      <c r="M5735" s="6" t="s">
        <v>35740</v>
      </c>
      <c r="N5735" s="6" t="s">
        <v>11530</v>
      </c>
      <c r="O5735" s="8" t="s">
        <v>11531</v>
      </c>
      <c r="P5735" s="6" t="s">
        <v>35711</v>
      </c>
      <c r="Q5735" s="6" t="s">
        <v>35712</v>
      </c>
      <c r="R5735" s="6" t="s">
        <v>64</v>
      </c>
      <c r="S5735" s="8" t="s">
        <v>26876</v>
      </c>
      <c r="T5735" s="6" t="s">
        <v>66</v>
      </c>
      <c r="U5735" s="8" t="s">
        <v>31</v>
      </c>
      <c r="V5735" s="6" t="s">
        <v>35741</v>
      </c>
      <c r="W5735" s="6" t="s">
        <v>35706</v>
      </c>
      <c r="X5735" s="9" t="str">
        <f>HYPERLINK("https://my.pitchbook.com?p=420682-69P","View People Online")</f>
        <v>View People Online</v>
      </c>
    </row>
    <row r="5736">
      <c r="A5736" s="10" t="s">
        <v>35742</v>
      </c>
      <c r="B5736" s="10" t="s">
        <v>35743</v>
      </c>
      <c r="C5736" s="10" t="s">
        <v>35744</v>
      </c>
      <c r="D5736" s="10" t="s">
        <v>35745</v>
      </c>
      <c r="E5736" s="10" t="s">
        <v>35706</v>
      </c>
      <c r="F5736" s="10" t="s">
        <v>825</v>
      </c>
      <c r="G5736" s="10" t="s">
        <v>35746</v>
      </c>
      <c r="H5736" s="11" t="s">
        <v>31</v>
      </c>
      <c r="I5736" s="11">
        <v>3.0</v>
      </c>
      <c r="J5736" s="11">
        <v>3.0</v>
      </c>
      <c r="K5736" s="11" t="s">
        <v>31</v>
      </c>
      <c r="L5736" s="12" t="s">
        <v>35747</v>
      </c>
      <c r="M5736" s="10" t="s">
        <v>35748</v>
      </c>
      <c r="N5736" s="10" t="s">
        <v>11530</v>
      </c>
      <c r="O5736" s="12" t="s">
        <v>11531</v>
      </c>
      <c r="P5736" s="10" t="s">
        <v>35711</v>
      </c>
      <c r="Q5736" s="10" t="s">
        <v>35712</v>
      </c>
      <c r="R5736" s="10" t="s">
        <v>64</v>
      </c>
      <c r="S5736" s="12" t="s">
        <v>26876</v>
      </c>
      <c r="T5736" s="10" t="s">
        <v>66</v>
      </c>
      <c r="U5736" s="12" t="s">
        <v>31</v>
      </c>
      <c r="V5736" s="10" t="s">
        <v>35749</v>
      </c>
      <c r="W5736" s="10" t="s">
        <v>35706</v>
      </c>
      <c r="X5736" s="13" t="str">
        <f>HYPERLINK("https://my.pitchbook.com?p=147477-52P","View People Online")</f>
        <v>View People Online</v>
      </c>
    </row>
    <row r="5737">
      <c r="A5737" s="6" t="s">
        <v>35750</v>
      </c>
      <c r="B5737" s="6" t="s">
        <v>35751</v>
      </c>
      <c r="C5737" s="6" t="s">
        <v>552</v>
      </c>
      <c r="D5737" s="6" t="s">
        <v>35752</v>
      </c>
      <c r="E5737" s="6" t="s">
        <v>35706</v>
      </c>
      <c r="F5737" s="6" t="s">
        <v>825</v>
      </c>
      <c r="G5737" s="6" t="s">
        <v>35753</v>
      </c>
      <c r="H5737" s="7" t="s">
        <v>31</v>
      </c>
      <c r="I5737" s="7">
        <v>1.0</v>
      </c>
      <c r="J5737" s="7">
        <v>1.0</v>
      </c>
      <c r="K5737" s="7" t="s">
        <v>31</v>
      </c>
      <c r="L5737" s="8" t="s">
        <v>35709</v>
      </c>
      <c r="M5737" s="6" t="s">
        <v>35754</v>
      </c>
      <c r="N5737" s="6" t="s">
        <v>11530</v>
      </c>
      <c r="O5737" s="8" t="s">
        <v>11531</v>
      </c>
      <c r="P5737" s="6" t="s">
        <v>35711</v>
      </c>
      <c r="Q5737" s="6" t="s">
        <v>35712</v>
      </c>
      <c r="R5737" s="6" t="s">
        <v>64</v>
      </c>
      <c r="S5737" s="8" t="s">
        <v>26876</v>
      </c>
      <c r="T5737" s="6" t="s">
        <v>66</v>
      </c>
      <c r="U5737" s="8" t="s">
        <v>31</v>
      </c>
      <c r="V5737" s="6" t="s">
        <v>35755</v>
      </c>
      <c r="W5737" s="6" t="s">
        <v>35706</v>
      </c>
      <c r="X5737" s="9" t="str">
        <f>HYPERLINK("https://my.pitchbook.com?p=273404-35P","View People Online")</f>
        <v>View People Online</v>
      </c>
    </row>
    <row r="5738">
      <c r="A5738" s="10" t="s">
        <v>35756</v>
      </c>
      <c r="B5738" s="10" t="s">
        <v>35757</v>
      </c>
      <c r="C5738" s="10" t="s">
        <v>1824</v>
      </c>
      <c r="D5738" s="10" t="s">
        <v>35758</v>
      </c>
      <c r="E5738" s="10" t="s">
        <v>35706</v>
      </c>
      <c r="F5738" s="10" t="s">
        <v>1801</v>
      </c>
      <c r="G5738" s="10" t="s">
        <v>35759</v>
      </c>
      <c r="H5738" s="11" t="s">
        <v>31</v>
      </c>
      <c r="I5738" s="11">
        <v>1.0</v>
      </c>
      <c r="J5738" s="11">
        <v>1.0</v>
      </c>
      <c r="K5738" s="11" t="s">
        <v>31</v>
      </c>
      <c r="L5738" s="12" t="s">
        <v>35709</v>
      </c>
      <c r="M5738" s="10" t="s">
        <v>35760</v>
      </c>
      <c r="N5738" s="10" t="s">
        <v>11530</v>
      </c>
      <c r="O5738" s="12" t="s">
        <v>11531</v>
      </c>
      <c r="P5738" s="10" t="s">
        <v>35711</v>
      </c>
      <c r="Q5738" s="10" t="s">
        <v>35712</v>
      </c>
      <c r="R5738" s="10" t="s">
        <v>64</v>
      </c>
      <c r="S5738" s="12" t="s">
        <v>26876</v>
      </c>
      <c r="T5738" s="10" t="s">
        <v>66</v>
      </c>
      <c r="U5738" s="12" t="s">
        <v>31</v>
      </c>
      <c r="V5738" s="10" t="s">
        <v>35761</v>
      </c>
      <c r="W5738" s="10" t="s">
        <v>35706</v>
      </c>
      <c r="X5738" s="13" t="str">
        <f>HYPERLINK("https://my.pitchbook.com?p=186217-48P","View People Online")</f>
        <v>View People Online</v>
      </c>
    </row>
    <row r="5739">
      <c r="A5739" s="14" t="s">
        <v>35762</v>
      </c>
      <c r="B5739" s="14" t="s">
        <v>35763</v>
      </c>
      <c r="C5739" s="14" t="s">
        <v>562</v>
      </c>
      <c r="D5739" s="14" t="s">
        <v>19310</v>
      </c>
      <c r="E5739" s="14" t="s">
        <v>35706</v>
      </c>
      <c r="F5739" s="14" t="s">
        <v>35764</v>
      </c>
      <c r="G5739" s="14" t="s">
        <v>35765</v>
      </c>
      <c r="H5739" s="15" t="s">
        <v>31</v>
      </c>
      <c r="I5739" s="15">
        <v>2.0</v>
      </c>
      <c r="J5739" s="15">
        <v>1.0</v>
      </c>
      <c r="K5739" s="15">
        <v>1.0</v>
      </c>
      <c r="L5739" s="16" t="s">
        <v>35709</v>
      </c>
      <c r="M5739" s="14" t="s">
        <v>31</v>
      </c>
      <c r="N5739" s="14" t="s">
        <v>11530</v>
      </c>
      <c r="O5739" s="16" t="s">
        <v>11531</v>
      </c>
      <c r="P5739" s="14" t="s">
        <v>35711</v>
      </c>
      <c r="Q5739" s="14" t="s">
        <v>35712</v>
      </c>
      <c r="R5739" s="14" t="s">
        <v>64</v>
      </c>
      <c r="S5739" s="16" t="s">
        <v>26876</v>
      </c>
      <c r="T5739" s="14" t="s">
        <v>66</v>
      </c>
      <c r="U5739" s="16" t="s">
        <v>31</v>
      </c>
      <c r="V5739" s="14" t="s">
        <v>35766</v>
      </c>
      <c r="W5739" s="14" t="s">
        <v>35706</v>
      </c>
      <c r="X5739" s="17" t="str">
        <f>HYPERLINK("https://my.pitchbook.com?p=273403-99P","View People Online")</f>
        <v>View People Online</v>
      </c>
    </row>
    <row r="5740">
      <c r="A5740" s="2" t="s">
        <v>35767</v>
      </c>
      <c r="B5740" s="2" t="s">
        <v>35768</v>
      </c>
      <c r="C5740" s="2" t="s">
        <v>568</v>
      </c>
      <c r="D5740" s="2" t="s">
        <v>35769</v>
      </c>
      <c r="E5740" s="2" t="s">
        <v>35770</v>
      </c>
      <c r="F5740" s="2" t="s">
        <v>1801</v>
      </c>
      <c r="G5740" s="2" t="s">
        <v>35771</v>
      </c>
      <c r="H5740" s="3">
        <v>1.0</v>
      </c>
      <c r="I5740" s="3">
        <v>2.0</v>
      </c>
      <c r="J5740" s="3">
        <v>1.0</v>
      </c>
      <c r="K5740" s="3" t="s">
        <v>31</v>
      </c>
      <c r="L5740" s="4" t="s">
        <v>35772</v>
      </c>
      <c r="M5740" s="2" t="s">
        <v>35773</v>
      </c>
      <c r="N5740" s="2" t="s">
        <v>33517</v>
      </c>
      <c r="O5740" s="4" t="s">
        <v>33518</v>
      </c>
      <c r="P5740" s="2" t="s">
        <v>35774</v>
      </c>
      <c r="Q5740" s="2" t="s">
        <v>31</v>
      </c>
      <c r="R5740" s="2" t="s">
        <v>1018</v>
      </c>
      <c r="S5740" s="4" t="s">
        <v>35775</v>
      </c>
      <c r="T5740" s="2" t="s">
        <v>1019</v>
      </c>
      <c r="U5740" s="4" t="s">
        <v>31</v>
      </c>
      <c r="V5740" s="2" t="s">
        <v>35776</v>
      </c>
      <c r="W5740" s="2" t="s">
        <v>35770</v>
      </c>
      <c r="X5740" s="5" t="str">
        <f>HYPERLINK("https://my.pitchbook.com?p=311851-90P","View People Online")</f>
        <v>View People Online</v>
      </c>
    </row>
    <row r="5741">
      <c r="A5741" s="14" t="s">
        <v>35777</v>
      </c>
      <c r="B5741" s="14" t="s">
        <v>35778</v>
      </c>
      <c r="C5741" s="14" t="s">
        <v>425</v>
      </c>
      <c r="D5741" s="14" t="s">
        <v>35779</v>
      </c>
      <c r="E5741" s="14" t="s">
        <v>35770</v>
      </c>
      <c r="F5741" s="14" t="s">
        <v>57</v>
      </c>
      <c r="G5741" s="14" t="s">
        <v>35780</v>
      </c>
      <c r="H5741" s="15" t="s">
        <v>31</v>
      </c>
      <c r="I5741" s="15">
        <v>1.0</v>
      </c>
      <c r="J5741" s="15">
        <v>1.0</v>
      </c>
      <c r="K5741" s="15" t="s">
        <v>31</v>
      </c>
      <c r="L5741" s="16" t="s">
        <v>35781</v>
      </c>
      <c r="M5741" s="14" t="s">
        <v>35782</v>
      </c>
      <c r="N5741" s="14" t="s">
        <v>33517</v>
      </c>
      <c r="O5741" s="16" t="s">
        <v>33518</v>
      </c>
      <c r="P5741" s="14" t="s">
        <v>35774</v>
      </c>
      <c r="Q5741" s="14" t="s">
        <v>31</v>
      </c>
      <c r="R5741" s="14" t="s">
        <v>1018</v>
      </c>
      <c r="S5741" s="16" t="s">
        <v>35775</v>
      </c>
      <c r="T5741" s="14" t="s">
        <v>1019</v>
      </c>
      <c r="U5741" s="16" t="s">
        <v>31</v>
      </c>
      <c r="V5741" s="14" t="s">
        <v>35783</v>
      </c>
      <c r="W5741" s="14" t="s">
        <v>35770</v>
      </c>
      <c r="X5741" s="17" t="str">
        <f>HYPERLINK("https://my.pitchbook.com?p=66085-21P","View People Online")</f>
        <v>View People Online</v>
      </c>
    </row>
    <row r="5742">
      <c r="A5742" s="2" t="s">
        <v>35784</v>
      </c>
      <c r="B5742" s="2" t="s">
        <v>35785</v>
      </c>
      <c r="C5742" s="2" t="s">
        <v>3934</v>
      </c>
      <c r="D5742" s="2" t="s">
        <v>35786</v>
      </c>
      <c r="E5742" s="2" t="s">
        <v>35770</v>
      </c>
      <c r="F5742" s="2" t="s">
        <v>1459</v>
      </c>
      <c r="G5742" s="2" t="s">
        <v>35787</v>
      </c>
      <c r="H5742" s="3" t="s">
        <v>31</v>
      </c>
      <c r="I5742" s="3">
        <v>7.0</v>
      </c>
      <c r="J5742" s="3">
        <v>1.0</v>
      </c>
      <c r="K5742" s="3">
        <v>6.0</v>
      </c>
      <c r="L5742" s="4" t="s">
        <v>35788</v>
      </c>
      <c r="M5742" s="2" t="s">
        <v>35789</v>
      </c>
      <c r="N5742" s="2" t="s">
        <v>33517</v>
      </c>
      <c r="O5742" s="4" t="s">
        <v>33518</v>
      </c>
      <c r="P5742" s="2" t="s">
        <v>35774</v>
      </c>
      <c r="Q5742" s="2" t="s">
        <v>31</v>
      </c>
      <c r="R5742" s="2" t="s">
        <v>1018</v>
      </c>
      <c r="S5742" s="4" t="s">
        <v>35775</v>
      </c>
      <c r="T5742" s="2" t="s">
        <v>1019</v>
      </c>
      <c r="U5742" s="4" t="s">
        <v>31</v>
      </c>
      <c r="V5742" s="2" t="s">
        <v>1459</v>
      </c>
      <c r="W5742" s="2" t="s">
        <v>35770</v>
      </c>
      <c r="X5742" s="5" t="str">
        <f>HYPERLINK("https://my.pitchbook.com?p=53398-09P","View People Online")</f>
        <v>View People Online</v>
      </c>
    </row>
    <row r="5743">
      <c r="A5743" s="14" t="s">
        <v>35790</v>
      </c>
      <c r="B5743" s="14" t="s">
        <v>35791</v>
      </c>
      <c r="C5743" s="14" t="s">
        <v>10780</v>
      </c>
      <c r="D5743" s="14" t="s">
        <v>35792</v>
      </c>
      <c r="E5743" s="14" t="s">
        <v>35770</v>
      </c>
      <c r="F5743" s="14" t="s">
        <v>548</v>
      </c>
      <c r="G5743" s="14" t="s">
        <v>35793</v>
      </c>
      <c r="H5743" s="15" t="s">
        <v>31</v>
      </c>
      <c r="I5743" s="15">
        <v>1.0</v>
      </c>
      <c r="J5743" s="15">
        <v>1.0</v>
      </c>
      <c r="K5743" s="15" t="s">
        <v>31</v>
      </c>
      <c r="L5743" s="16" t="s">
        <v>35772</v>
      </c>
      <c r="M5743" s="14" t="s">
        <v>35794</v>
      </c>
      <c r="N5743" s="14" t="s">
        <v>33517</v>
      </c>
      <c r="O5743" s="16" t="s">
        <v>33518</v>
      </c>
      <c r="P5743" s="14" t="s">
        <v>35774</v>
      </c>
      <c r="Q5743" s="14" t="s">
        <v>31</v>
      </c>
      <c r="R5743" s="14" t="s">
        <v>1018</v>
      </c>
      <c r="S5743" s="16" t="s">
        <v>35775</v>
      </c>
      <c r="T5743" s="14" t="s">
        <v>1019</v>
      </c>
      <c r="U5743" s="16" t="s">
        <v>31</v>
      </c>
      <c r="V5743" s="14" t="s">
        <v>35795</v>
      </c>
      <c r="W5743" s="14" t="s">
        <v>35770</v>
      </c>
      <c r="X5743" s="17" t="str">
        <f>HYPERLINK("https://my.pitchbook.com?p=67374-64P","View People Online")</f>
        <v>View People Online</v>
      </c>
    </row>
    <row r="5744">
      <c r="A5744" s="10" t="s">
        <v>35796</v>
      </c>
      <c r="B5744" s="10" t="s">
        <v>35797</v>
      </c>
      <c r="C5744" s="10" t="s">
        <v>7252</v>
      </c>
      <c r="D5744" s="10" t="s">
        <v>35798</v>
      </c>
      <c r="E5744" s="10" t="s">
        <v>35770</v>
      </c>
      <c r="F5744" s="10" t="s">
        <v>802</v>
      </c>
      <c r="G5744" s="10" t="s">
        <v>35799</v>
      </c>
      <c r="H5744" s="11" t="s">
        <v>31</v>
      </c>
      <c r="I5744" s="11">
        <v>1.0</v>
      </c>
      <c r="J5744" s="11">
        <v>1.0</v>
      </c>
      <c r="K5744" s="11" t="s">
        <v>31</v>
      </c>
      <c r="L5744" s="12" t="s">
        <v>35800</v>
      </c>
      <c r="M5744" s="10" t="s">
        <v>35801</v>
      </c>
      <c r="N5744" s="10" t="s">
        <v>33517</v>
      </c>
      <c r="O5744" s="12" t="s">
        <v>33518</v>
      </c>
      <c r="P5744" s="10" t="s">
        <v>35774</v>
      </c>
      <c r="Q5744" s="10" t="s">
        <v>31</v>
      </c>
      <c r="R5744" s="10" t="s">
        <v>1018</v>
      </c>
      <c r="S5744" s="12" t="s">
        <v>35775</v>
      </c>
      <c r="T5744" s="10" t="s">
        <v>1019</v>
      </c>
      <c r="U5744" s="12" t="s">
        <v>31</v>
      </c>
      <c r="V5744" s="10" t="s">
        <v>802</v>
      </c>
      <c r="W5744" s="10" t="s">
        <v>35770</v>
      </c>
      <c r="X5744" s="13" t="str">
        <f>HYPERLINK("https://my.pitchbook.com?p=165567-52P","View People Online")</f>
        <v>View People Online</v>
      </c>
    </row>
    <row r="5745">
      <c r="A5745" s="6" t="s">
        <v>35802</v>
      </c>
      <c r="B5745" s="6" t="s">
        <v>35803</v>
      </c>
      <c r="C5745" s="6" t="s">
        <v>33037</v>
      </c>
      <c r="D5745" s="6" t="s">
        <v>35804</v>
      </c>
      <c r="E5745" s="6" t="s">
        <v>35770</v>
      </c>
      <c r="F5745" s="6" t="s">
        <v>35805</v>
      </c>
      <c r="G5745" s="6" t="s">
        <v>35806</v>
      </c>
      <c r="H5745" s="7" t="s">
        <v>31</v>
      </c>
      <c r="I5745" s="7">
        <v>1.0</v>
      </c>
      <c r="J5745" s="7">
        <v>1.0</v>
      </c>
      <c r="K5745" s="7" t="s">
        <v>31</v>
      </c>
      <c r="L5745" s="8" t="s">
        <v>35772</v>
      </c>
      <c r="M5745" s="6" t="s">
        <v>35807</v>
      </c>
      <c r="N5745" s="6" t="s">
        <v>33517</v>
      </c>
      <c r="O5745" s="8" t="s">
        <v>33518</v>
      </c>
      <c r="P5745" s="6" t="s">
        <v>35774</v>
      </c>
      <c r="Q5745" s="6" t="s">
        <v>31</v>
      </c>
      <c r="R5745" s="6" t="s">
        <v>1018</v>
      </c>
      <c r="S5745" s="8" t="s">
        <v>35775</v>
      </c>
      <c r="T5745" s="6" t="s">
        <v>1019</v>
      </c>
      <c r="U5745" s="8" t="s">
        <v>31</v>
      </c>
      <c r="V5745" s="6" t="s">
        <v>35808</v>
      </c>
      <c r="W5745" s="6" t="s">
        <v>35770</v>
      </c>
      <c r="X5745" s="9" t="str">
        <f>HYPERLINK("https://my.pitchbook.com?p=286994-98P","View People Online")</f>
        <v>View People Online</v>
      </c>
    </row>
    <row r="5746">
      <c r="A5746" s="2" t="s">
        <v>35809</v>
      </c>
      <c r="B5746" s="2" t="s">
        <v>35810</v>
      </c>
      <c r="C5746" s="2" t="s">
        <v>6326</v>
      </c>
      <c r="D5746" s="2" t="s">
        <v>32954</v>
      </c>
      <c r="E5746" s="2" t="s">
        <v>35770</v>
      </c>
      <c r="F5746" s="2" t="s">
        <v>371</v>
      </c>
      <c r="G5746" s="2" t="s">
        <v>35811</v>
      </c>
      <c r="H5746" s="3" t="s">
        <v>31</v>
      </c>
      <c r="I5746" s="3">
        <v>2.0</v>
      </c>
      <c r="J5746" s="3">
        <v>1.0</v>
      </c>
      <c r="K5746" s="3">
        <v>1.0</v>
      </c>
      <c r="L5746" s="4" t="s">
        <v>35772</v>
      </c>
      <c r="M5746" s="2" t="s">
        <v>35812</v>
      </c>
      <c r="N5746" s="2" t="s">
        <v>33517</v>
      </c>
      <c r="O5746" s="4" t="s">
        <v>33518</v>
      </c>
      <c r="P5746" s="2" t="s">
        <v>35774</v>
      </c>
      <c r="Q5746" s="2" t="s">
        <v>31</v>
      </c>
      <c r="R5746" s="2" t="s">
        <v>1018</v>
      </c>
      <c r="S5746" s="4" t="s">
        <v>35775</v>
      </c>
      <c r="T5746" s="2" t="s">
        <v>1019</v>
      </c>
      <c r="U5746" s="4" t="s">
        <v>31</v>
      </c>
      <c r="V5746" s="2" t="s">
        <v>35813</v>
      </c>
      <c r="W5746" s="2" t="s">
        <v>35770</v>
      </c>
      <c r="X5746" s="5" t="str">
        <f>HYPERLINK("https://my.pitchbook.com?p=115896-07P","View People Online")</f>
        <v>View People Online</v>
      </c>
    </row>
    <row r="5747">
      <c r="A5747" s="14" t="s">
        <v>35814</v>
      </c>
      <c r="B5747" s="14" t="s">
        <v>35815</v>
      </c>
      <c r="C5747" s="14" t="s">
        <v>4210</v>
      </c>
      <c r="D5747" s="14" t="s">
        <v>35816</v>
      </c>
      <c r="E5747" s="14" t="s">
        <v>35770</v>
      </c>
      <c r="F5747" s="14" t="s">
        <v>6997</v>
      </c>
      <c r="G5747" s="14" t="s">
        <v>35817</v>
      </c>
      <c r="H5747" s="15" t="s">
        <v>31</v>
      </c>
      <c r="I5747" s="15">
        <v>4.0</v>
      </c>
      <c r="J5747" s="15">
        <v>1.0</v>
      </c>
      <c r="K5747" s="15">
        <v>3.0</v>
      </c>
      <c r="L5747" s="16" t="s">
        <v>35772</v>
      </c>
      <c r="M5747" s="14" t="s">
        <v>35818</v>
      </c>
      <c r="N5747" s="14" t="s">
        <v>33517</v>
      </c>
      <c r="O5747" s="16" t="s">
        <v>33518</v>
      </c>
      <c r="P5747" s="14" t="s">
        <v>35774</v>
      </c>
      <c r="Q5747" s="14" t="s">
        <v>31</v>
      </c>
      <c r="R5747" s="14" t="s">
        <v>1018</v>
      </c>
      <c r="S5747" s="16" t="s">
        <v>35775</v>
      </c>
      <c r="T5747" s="14" t="s">
        <v>1019</v>
      </c>
      <c r="U5747" s="16" t="s">
        <v>31</v>
      </c>
      <c r="V5747" s="14" t="s">
        <v>7006</v>
      </c>
      <c r="W5747" s="14" t="s">
        <v>35770</v>
      </c>
      <c r="X5747" s="17" t="str">
        <f>HYPERLINK("https://my.pitchbook.com?p=72602-65P","View People Online")</f>
        <v>View People Online</v>
      </c>
    </row>
    <row r="5748">
      <c r="A5748" s="10" t="s">
        <v>35819</v>
      </c>
      <c r="B5748" s="10" t="s">
        <v>35820</v>
      </c>
      <c r="C5748" s="10" t="s">
        <v>4943</v>
      </c>
      <c r="D5748" s="10" t="s">
        <v>35821</v>
      </c>
      <c r="E5748" s="10" t="s">
        <v>35770</v>
      </c>
      <c r="F5748" s="10" t="s">
        <v>312</v>
      </c>
      <c r="G5748" s="10" t="s">
        <v>35822</v>
      </c>
      <c r="H5748" s="11" t="s">
        <v>31</v>
      </c>
      <c r="I5748" s="11">
        <v>1.0</v>
      </c>
      <c r="J5748" s="11">
        <v>1.0</v>
      </c>
      <c r="K5748" s="11" t="s">
        <v>31</v>
      </c>
      <c r="L5748" s="12" t="s">
        <v>35823</v>
      </c>
      <c r="M5748" s="10" t="s">
        <v>31</v>
      </c>
      <c r="N5748" s="10" t="s">
        <v>33517</v>
      </c>
      <c r="O5748" s="12" t="s">
        <v>33518</v>
      </c>
      <c r="P5748" s="10" t="s">
        <v>35774</v>
      </c>
      <c r="Q5748" s="10" t="s">
        <v>31</v>
      </c>
      <c r="R5748" s="10" t="s">
        <v>1018</v>
      </c>
      <c r="S5748" s="12" t="s">
        <v>35775</v>
      </c>
      <c r="T5748" s="10" t="s">
        <v>1019</v>
      </c>
      <c r="U5748" s="12" t="s">
        <v>31</v>
      </c>
      <c r="V5748" s="10" t="s">
        <v>35824</v>
      </c>
      <c r="W5748" s="10" t="s">
        <v>35770</v>
      </c>
      <c r="X5748" s="13" t="str">
        <f>HYPERLINK("https://my.pitchbook.com?p=165567-07P","View People Online")</f>
        <v>View People Online</v>
      </c>
    </row>
    <row r="5749">
      <c r="A5749" s="6" t="s">
        <v>35825</v>
      </c>
      <c r="B5749" s="6" t="s">
        <v>35826</v>
      </c>
      <c r="C5749" s="6" t="s">
        <v>8106</v>
      </c>
      <c r="D5749" s="6" t="s">
        <v>35827</v>
      </c>
      <c r="E5749" s="6" t="s">
        <v>35770</v>
      </c>
      <c r="F5749" s="6" t="s">
        <v>29</v>
      </c>
      <c r="G5749" s="6" t="s">
        <v>35828</v>
      </c>
      <c r="H5749" s="7">
        <v>2.0</v>
      </c>
      <c r="I5749" s="7">
        <v>4.0</v>
      </c>
      <c r="J5749" s="7">
        <v>2.0</v>
      </c>
      <c r="K5749" s="7">
        <v>1.0</v>
      </c>
      <c r="L5749" s="8" t="s">
        <v>35772</v>
      </c>
      <c r="M5749" s="6" t="s">
        <v>35829</v>
      </c>
      <c r="N5749" s="6" t="s">
        <v>33517</v>
      </c>
      <c r="O5749" s="8" t="s">
        <v>33518</v>
      </c>
      <c r="P5749" s="6" t="s">
        <v>35774</v>
      </c>
      <c r="Q5749" s="6" t="s">
        <v>31</v>
      </c>
      <c r="R5749" s="6" t="s">
        <v>1018</v>
      </c>
      <c r="S5749" s="8" t="s">
        <v>35775</v>
      </c>
      <c r="T5749" s="6" t="s">
        <v>1019</v>
      </c>
      <c r="U5749" s="8" t="s">
        <v>31</v>
      </c>
      <c r="V5749" s="6" t="s">
        <v>35830</v>
      </c>
      <c r="W5749" s="6" t="s">
        <v>35770</v>
      </c>
      <c r="X5749" s="9" t="str">
        <f>HYPERLINK("https://my.pitchbook.com?p=161446-33P","View People Online")</f>
        <v>View People Online</v>
      </c>
    </row>
    <row r="5750">
      <c r="A5750" s="10" t="s">
        <v>35831</v>
      </c>
      <c r="B5750" s="10" t="s">
        <v>35832</v>
      </c>
      <c r="C5750" s="10" t="s">
        <v>2871</v>
      </c>
      <c r="D5750" s="10" t="s">
        <v>35833</v>
      </c>
      <c r="E5750" s="10" t="s">
        <v>35770</v>
      </c>
      <c r="F5750" s="10" t="s">
        <v>2652</v>
      </c>
      <c r="G5750" s="10" t="s">
        <v>35834</v>
      </c>
      <c r="H5750" s="11" t="s">
        <v>31</v>
      </c>
      <c r="I5750" s="11">
        <v>1.0</v>
      </c>
      <c r="J5750" s="11">
        <v>1.0</v>
      </c>
      <c r="K5750" s="11" t="s">
        <v>31</v>
      </c>
      <c r="L5750" s="12" t="s">
        <v>35772</v>
      </c>
      <c r="M5750" s="10" t="s">
        <v>35835</v>
      </c>
      <c r="N5750" s="10" t="s">
        <v>33517</v>
      </c>
      <c r="O5750" s="12" t="s">
        <v>33518</v>
      </c>
      <c r="P5750" s="10" t="s">
        <v>35774</v>
      </c>
      <c r="Q5750" s="10" t="s">
        <v>31</v>
      </c>
      <c r="R5750" s="10" t="s">
        <v>1018</v>
      </c>
      <c r="S5750" s="12" t="s">
        <v>35775</v>
      </c>
      <c r="T5750" s="10" t="s">
        <v>1019</v>
      </c>
      <c r="U5750" s="12" t="s">
        <v>31</v>
      </c>
      <c r="V5750" s="10" t="s">
        <v>35836</v>
      </c>
      <c r="W5750" s="10" t="s">
        <v>35770</v>
      </c>
      <c r="X5750" s="13" t="str">
        <f>HYPERLINK("https://my.pitchbook.com?p=410144-86P","View People Online")</f>
        <v>View People Online</v>
      </c>
    </row>
    <row r="5751">
      <c r="A5751" s="6" t="s">
        <v>35837</v>
      </c>
      <c r="B5751" s="6" t="s">
        <v>35838</v>
      </c>
      <c r="C5751" s="6" t="s">
        <v>2895</v>
      </c>
      <c r="D5751" s="6" t="s">
        <v>35839</v>
      </c>
      <c r="E5751" s="6" t="s">
        <v>35770</v>
      </c>
      <c r="F5751" s="6" t="s">
        <v>371</v>
      </c>
      <c r="G5751" s="6" t="s">
        <v>35840</v>
      </c>
      <c r="H5751" s="7" t="s">
        <v>31</v>
      </c>
      <c r="I5751" s="7">
        <v>3.0</v>
      </c>
      <c r="J5751" s="7">
        <v>1.0</v>
      </c>
      <c r="K5751" s="7">
        <v>2.0</v>
      </c>
      <c r="L5751" s="8" t="s">
        <v>35841</v>
      </c>
      <c r="M5751" s="6" t="s">
        <v>35842</v>
      </c>
      <c r="N5751" s="6" t="s">
        <v>33517</v>
      </c>
      <c r="O5751" s="8" t="s">
        <v>33518</v>
      </c>
      <c r="P5751" s="6" t="s">
        <v>35774</v>
      </c>
      <c r="Q5751" s="6" t="s">
        <v>31</v>
      </c>
      <c r="R5751" s="6" t="s">
        <v>1018</v>
      </c>
      <c r="S5751" s="8" t="s">
        <v>35775</v>
      </c>
      <c r="T5751" s="6" t="s">
        <v>1019</v>
      </c>
      <c r="U5751" s="8" t="s">
        <v>31</v>
      </c>
      <c r="V5751" s="6" t="s">
        <v>35843</v>
      </c>
      <c r="W5751" s="6" t="s">
        <v>35770</v>
      </c>
      <c r="X5751" s="9" t="str">
        <f>HYPERLINK("https://my.pitchbook.com?p=310160-17P","View People Online")</f>
        <v>View People Online</v>
      </c>
    </row>
    <row r="5752">
      <c r="A5752" s="10" t="s">
        <v>35844</v>
      </c>
      <c r="B5752" s="10" t="s">
        <v>35845</v>
      </c>
      <c r="C5752" s="10" t="s">
        <v>35846</v>
      </c>
      <c r="D5752" s="10" t="s">
        <v>30646</v>
      </c>
      <c r="E5752" s="10" t="s">
        <v>35770</v>
      </c>
      <c r="F5752" s="10" t="s">
        <v>802</v>
      </c>
      <c r="G5752" s="10" t="s">
        <v>35847</v>
      </c>
      <c r="H5752" s="11">
        <v>2.0</v>
      </c>
      <c r="I5752" s="11">
        <v>5.0</v>
      </c>
      <c r="J5752" s="11">
        <v>1.0</v>
      </c>
      <c r="K5752" s="11">
        <v>2.0</v>
      </c>
      <c r="L5752" s="12" t="s">
        <v>35772</v>
      </c>
      <c r="M5752" s="10" t="s">
        <v>35848</v>
      </c>
      <c r="N5752" s="10" t="s">
        <v>1348</v>
      </c>
      <c r="O5752" s="12" t="s">
        <v>1349</v>
      </c>
      <c r="P5752" s="10" t="s">
        <v>35849</v>
      </c>
      <c r="Q5752" s="10" t="s">
        <v>35850</v>
      </c>
      <c r="R5752" s="10" t="s">
        <v>1018</v>
      </c>
      <c r="S5752" s="12" t="s">
        <v>35851</v>
      </c>
      <c r="T5752" s="10" t="s">
        <v>1019</v>
      </c>
      <c r="U5752" s="12" t="s">
        <v>35852</v>
      </c>
      <c r="V5752" s="10" t="s">
        <v>1433</v>
      </c>
      <c r="W5752" s="10" t="s">
        <v>35770</v>
      </c>
      <c r="X5752" s="13" t="str">
        <f>HYPERLINK("https://my.pitchbook.com?p=197330-50P","View People Online")</f>
        <v>View People Online</v>
      </c>
    </row>
    <row r="5753">
      <c r="A5753" s="14" t="s">
        <v>35853</v>
      </c>
      <c r="B5753" s="14" t="s">
        <v>35854</v>
      </c>
      <c r="C5753" s="14" t="s">
        <v>11586</v>
      </c>
      <c r="D5753" s="14" t="s">
        <v>35855</v>
      </c>
      <c r="E5753" s="14" t="s">
        <v>35770</v>
      </c>
      <c r="F5753" s="14" t="s">
        <v>57</v>
      </c>
      <c r="G5753" s="14" t="s">
        <v>35856</v>
      </c>
      <c r="H5753" s="15" t="s">
        <v>31</v>
      </c>
      <c r="I5753" s="15">
        <v>1.0</v>
      </c>
      <c r="J5753" s="15">
        <v>1.0</v>
      </c>
      <c r="K5753" s="15" t="s">
        <v>31</v>
      </c>
      <c r="L5753" s="16" t="s">
        <v>35857</v>
      </c>
      <c r="M5753" s="14" t="s">
        <v>35858</v>
      </c>
      <c r="N5753" s="14" t="s">
        <v>33517</v>
      </c>
      <c r="O5753" s="16" t="s">
        <v>33518</v>
      </c>
      <c r="P5753" s="14" t="s">
        <v>35774</v>
      </c>
      <c r="Q5753" s="14" t="s">
        <v>31</v>
      </c>
      <c r="R5753" s="14" t="s">
        <v>1018</v>
      </c>
      <c r="S5753" s="16" t="s">
        <v>35775</v>
      </c>
      <c r="T5753" s="14" t="s">
        <v>1019</v>
      </c>
      <c r="U5753" s="16" t="s">
        <v>35859</v>
      </c>
      <c r="V5753" s="14" t="s">
        <v>35860</v>
      </c>
      <c r="W5753" s="14" t="s">
        <v>35770</v>
      </c>
      <c r="X5753" s="17" t="str">
        <f>HYPERLINK("https://my.pitchbook.com?p=165566-17P","View People Online")</f>
        <v>View People Online</v>
      </c>
    </row>
    <row r="5754">
      <c r="A5754" s="10" t="s">
        <v>35861</v>
      </c>
      <c r="B5754" s="10" t="s">
        <v>35862</v>
      </c>
      <c r="C5754" s="10" t="s">
        <v>35863</v>
      </c>
      <c r="D5754" s="10" t="s">
        <v>35864</v>
      </c>
      <c r="E5754" s="10" t="s">
        <v>35770</v>
      </c>
      <c r="F5754" s="10" t="s">
        <v>371</v>
      </c>
      <c r="G5754" s="10" t="s">
        <v>35865</v>
      </c>
      <c r="H5754" s="11" t="s">
        <v>31</v>
      </c>
      <c r="I5754" s="11">
        <v>3.0</v>
      </c>
      <c r="J5754" s="11">
        <v>1.0</v>
      </c>
      <c r="K5754" s="11">
        <v>2.0</v>
      </c>
      <c r="L5754" s="12" t="s">
        <v>35772</v>
      </c>
      <c r="M5754" s="10" t="s">
        <v>35866</v>
      </c>
      <c r="N5754" s="10" t="s">
        <v>33517</v>
      </c>
      <c r="O5754" s="12" t="s">
        <v>33518</v>
      </c>
      <c r="P5754" s="10" t="s">
        <v>35774</v>
      </c>
      <c r="Q5754" s="10" t="s">
        <v>31</v>
      </c>
      <c r="R5754" s="10" t="s">
        <v>1018</v>
      </c>
      <c r="S5754" s="12" t="s">
        <v>35775</v>
      </c>
      <c r="T5754" s="10" t="s">
        <v>1019</v>
      </c>
      <c r="U5754" s="12" t="s">
        <v>31</v>
      </c>
      <c r="V5754" s="10" t="s">
        <v>35867</v>
      </c>
      <c r="W5754" s="10" t="s">
        <v>35770</v>
      </c>
      <c r="X5754" s="13" t="str">
        <f>HYPERLINK("https://my.pitchbook.com?p=300148-48P","View People Online")</f>
        <v>View People Online</v>
      </c>
    </row>
    <row r="5755">
      <c r="A5755" s="14" t="s">
        <v>35868</v>
      </c>
      <c r="B5755" s="14" t="s">
        <v>35869</v>
      </c>
      <c r="C5755" s="14" t="s">
        <v>35870</v>
      </c>
      <c r="D5755" s="14" t="s">
        <v>35871</v>
      </c>
      <c r="E5755" s="14" t="s">
        <v>35770</v>
      </c>
      <c r="F5755" s="14" t="s">
        <v>1801</v>
      </c>
      <c r="G5755" s="14" t="s">
        <v>35872</v>
      </c>
      <c r="H5755" s="15" t="s">
        <v>31</v>
      </c>
      <c r="I5755" s="15">
        <v>1.0</v>
      </c>
      <c r="J5755" s="15">
        <v>1.0</v>
      </c>
      <c r="K5755" s="15" t="s">
        <v>31</v>
      </c>
      <c r="L5755" s="16" t="s">
        <v>35772</v>
      </c>
      <c r="M5755" s="14" t="s">
        <v>35873</v>
      </c>
      <c r="N5755" s="14" t="s">
        <v>33517</v>
      </c>
      <c r="O5755" s="16" t="s">
        <v>33518</v>
      </c>
      <c r="P5755" s="14" t="s">
        <v>35774</v>
      </c>
      <c r="Q5755" s="14" t="s">
        <v>31</v>
      </c>
      <c r="R5755" s="14" t="s">
        <v>1018</v>
      </c>
      <c r="S5755" s="16" t="s">
        <v>35775</v>
      </c>
      <c r="T5755" s="14" t="s">
        <v>1019</v>
      </c>
      <c r="U5755" s="16" t="s">
        <v>31</v>
      </c>
      <c r="V5755" s="14" t="s">
        <v>35874</v>
      </c>
      <c r="W5755" s="14" t="s">
        <v>35770</v>
      </c>
      <c r="X5755" s="17" t="str">
        <f>HYPERLINK("https://my.pitchbook.com?p=452150-02P","View People Online")</f>
        <v>View People Online</v>
      </c>
    </row>
    <row r="5756">
      <c r="A5756" s="10" t="s">
        <v>35875</v>
      </c>
      <c r="B5756" s="10" t="s">
        <v>35876</v>
      </c>
      <c r="C5756" s="10" t="s">
        <v>1645</v>
      </c>
      <c r="D5756" s="10" t="s">
        <v>35877</v>
      </c>
      <c r="E5756" s="10" t="s">
        <v>35770</v>
      </c>
      <c r="F5756" s="10" t="s">
        <v>270</v>
      </c>
      <c r="G5756" s="10" t="s">
        <v>35878</v>
      </c>
      <c r="H5756" s="11" t="s">
        <v>31</v>
      </c>
      <c r="I5756" s="11">
        <v>1.0</v>
      </c>
      <c r="J5756" s="11">
        <v>1.0</v>
      </c>
      <c r="K5756" s="11" t="s">
        <v>31</v>
      </c>
      <c r="L5756" s="12" t="s">
        <v>35772</v>
      </c>
      <c r="M5756" s="10" t="s">
        <v>35879</v>
      </c>
      <c r="N5756" s="10" t="s">
        <v>33517</v>
      </c>
      <c r="O5756" s="12" t="s">
        <v>33518</v>
      </c>
      <c r="P5756" s="10" t="s">
        <v>35774</v>
      </c>
      <c r="Q5756" s="10" t="s">
        <v>31</v>
      </c>
      <c r="R5756" s="10" t="s">
        <v>1018</v>
      </c>
      <c r="S5756" s="12" t="s">
        <v>35775</v>
      </c>
      <c r="T5756" s="10" t="s">
        <v>1019</v>
      </c>
      <c r="U5756" s="12" t="s">
        <v>31</v>
      </c>
      <c r="V5756" s="10" t="s">
        <v>35880</v>
      </c>
      <c r="W5756" s="10" t="s">
        <v>35770</v>
      </c>
      <c r="X5756" s="13" t="str">
        <f>HYPERLINK("https://my.pitchbook.com?p=422928-37P","View People Online")</f>
        <v>View People Online</v>
      </c>
    </row>
    <row r="5757">
      <c r="A5757" s="14" t="s">
        <v>35881</v>
      </c>
      <c r="B5757" s="14" t="s">
        <v>35882</v>
      </c>
      <c r="C5757" s="14" t="s">
        <v>3554</v>
      </c>
      <c r="D5757" s="14" t="s">
        <v>35883</v>
      </c>
      <c r="E5757" s="14" t="s">
        <v>35770</v>
      </c>
      <c r="F5757" s="14" t="s">
        <v>802</v>
      </c>
      <c r="G5757" s="14" t="s">
        <v>35884</v>
      </c>
      <c r="H5757" s="15">
        <v>2.0</v>
      </c>
      <c r="I5757" s="15">
        <v>10.0</v>
      </c>
      <c r="J5757" s="15">
        <v>2.0</v>
      </c>
      <c r="K5757" s="15">
        <v>6.0</v>
      </c>
      <c r="L5757" s="16" t="s">
        <v>35885</v>
      </c>
      <c r="M5757" s="14" t="s">
        <v>35886</v>
      </c>
      <c r="N5757" s="14" t="s">
        <v>1348</v>
      </c>
      <c r="O5757" s="16" t="s">
        <v>1349</v>
      </c>
      <c r="P5757" s="14" t="s">
        <v>35849</v>
      </c>
      <c r="Q5757" s="14" t="s">
        <v>35850</v>
      </c>
      <c r="R5757" s="14" t="s">
        <v>1018</v>
      </c>
      <c r="S5757" s="16" t="s">
        <v>35851</v>
      </c>
      <c r="T5757" s="14" t="s">
        <v>1019</v>
      </c>
      <c r="U5757" s="16" t="s">
        <v>35852</v>
      </c>
      <c r="V5757" s="14" t="s">
        <v>35887</v>
      </c>
      <c r="W5757" s="14" t="s">
        <v>35770</v>
      </c>
      <c r="X5757" s="17" t="str">
        <f>HYPERLINK("https://my.pitchbook.com?p=316403-65P","View People Online")</f>
        <v>View People Online</v>
      </c>
    </row>
    <row r="5758">
      <c r="A5758" s="2" t="s">
        <v>35888</v>
      </c>
      <c r="B5758" s="2" t="s">
        <v>35889</v>
      </c>
      <c r="C5758" s="2" t="s">
        <v>126</v>
      </c>
      <c r="D5758" s="2" t="s">
        <v>3113</v>
      </c>
      <c r="E5758" s="2" t="s">
        <v>35770</v>
      </c>
      <c r="F5758" s="2" t="s">
        <v>1801</v>
      </c>
      <c r="G5758" s="2" t="s">
        <v>35890</v>
      </c>
      <c r="H5758" s="3" t="s">
        <v>31</v>
      </c>
      <c r="I5758" s="3">
        <v>2.0</v>
      </c>
      <c r="J5758" s="3">
        <v>1.0</v>
      </c>
      <c r="K5758" s="3">
        <v>1.0</v>
      </c>
      <c r="L5758" s="4" t="s">
        <v>35772</v>
      </c>
      <c r="M5758" s="2" t="s">
        <v>35891</v>
      </c>
      <c r="N5758" s="2" t="s">
        <v>33517</v>
      </c>
      <c r="O5758" s="4" t="s">
        <v>33518</v>
      </c>
      <c r="P5758" s="2" t="s">
        <v>35774</v>
      </c>
      <c r="Q5758" s="2" t="s">
        <v>31</v>
      </c>
      <c r="R5758" s="2" t="s">
        <v>1018</v>
      </c>
      <c r="S5758" s="4" t="s">
        <v>35775</v>
      </c>
      <c r="T5758" s="2" t="s">
        <v>1019</v>
      </c>
      <c r="U5758" s="4" t="s">
        <v>31</v>
      </c>
      <c r="V5758" s="2" t="s">
        <v>35892</v>
      </c>
      <c r="W5758" s="2" t="s">
        <v>35770</v>
      </c>
      <c r="X5758" s="5" t="str">
        <f>HYPERLINK("https://my.pitchbook.com?p=180310-15P","View People Online")</f>
        <v>View People Online</v>
      </c>
    </row>
    <row r="5759">
      <c r="A5759" s="6" t="s">
        <v>35893</v>
      </c>
      <c r="B5759" s="6" t="s">
        <v>35894</v>
      </c>
      <c r="C5759" s="6" t="s">
        <v>3202</v>
      </c>
      <c r="D5759" s="6" t="s">
        <v>35895</v>
      </c>
      <c r="E5759" s="6" t="s">
        <v>35770</v>
      </c>
      <c r="F5759" s="6" t="s">
        <v>13066</v>
      </c>
      <c r="G5759" s="6" t="s">
        <v>35896</v>
      </c>
      <c r="H5759" s="7" t="s">
        <v>31</v>
      </c>
      <c r="I5759" s="7">
        <v>1.0</v>
      </c>
      <c r="J5759" s="7">
        <v>1.0</v>
      </c>
      <c r="K5759" s="7" t="s">
        <v>31</v>
      </c>
      <c r="L5759" s="8" t="s">
        <v>35772</v>
      </c>
      <c r="M5759" s="6" t="s">
        <v>35897</v>
      </c>
      <c r="N5759" s="6" t="s">
        <v>33517</v>
      </c>
      <c r="O5759" s="8" t="s">
        <v>33518</v>
      </c>
      <c r="P5759" s="6" t="s">
        <v>35774</v>
      </c>
      <c r="Q5759" s="6" t="s">
        <v>31</v>
      </c>
      <c r="R5759" s="6" t="s">
        <v>1018</v>
      </c>
      <c r="S5759" s="8" t="s">
        <v>35775</v>
      </c>
      <c r="T5759" s="6" t="s">
        <v>1019</v>
      </c>
      <c r="U5759" s="8" t="s">
        <v>31</v>
      </c>
      <c r="V5759" s="6" t="s">
        <v>35898</v>
      </c>
      <c r="W5759" s="6" t="s">
        <v>35770</v>
      </c>
      <c r="X5759" s="9" t="str">
        <f>HYPERLINK("https://my.pitchbook.com?p=373335-58P","View People Online")</f>
        <v>View People Online</v>
      </c>
    </row>
    <row r="5760">
      <c r="A5760" s="10" t="s">
        <v>35899</v>
      </c>
      <c r="B5760" s="10" t="s">
        <v>35900</v>
      </c>
      <c r="C5760" s="10" t="s">
        <v>20212</v>
      </c>
      <c r="D5760" s="10" t="s">
        <v>35901</v>
      </c>
      <c r="E5760" s="10" t="s">
        <v>35770</v>
      </c>
      <c r="F5760" s="10" t="s">
        <v>57</v>
      </c>
      <c r="G5760" s="10" t="s">
        <v>35902</v>
      </c>
      <c r="H5760" s="11" t="s">
        <v>31</v>
      </c>
      <c r="I5760" s="11">
        <v>1.0</v>
      </c>
      <c r="J5760" s="11">
        <v>1.0</v>
      </c>
      <c r="K5760" s="11" t="s">
        <v>31</v>
      </c>
      <c r="L5760" s="12" t="s">
        <v>35903</v>
      </c>
      <c r="M5760" s="10" t="s">
        <v>35904</v>
      </c>
      <c r="N5760" s="10" t="s">
        <v>33517</v>
      </c>
      <c r="O5760" s="12" t="s">
        <v>33518</v>
      </c>
      <c r="P5760" s="10" t="s">
        <v>35774</v>
      </c>
      <c r="Q5760" s="10" t="s">
        <v>31</v>
      </c>
      <c r="R5760" s="10" t="s">
        <v>1018</v>
      </c>
      <c r="S5760" s="12" t="s">
        <v>35775</v>
      </c>
      <c r="T5760" s="10" t="s">
        <v>1019</v>
      </c>
      <c r="U5760" s="12" t="s">
        <v>31</v>
      </c>
      <c r="V5760" s="10" t="s">
        <v>57</v>
      </c>
      <c r="W5760" s="10" t="s">
        <v>35770</v>
      </c>
      <c r="X5760" s="13" t="str">
        <f>HYPERLINK("https://my.pitchbook.com?p=66086-02P","View People Online")</f>
        <v>View People Online</v>
      </c>
    </row>
    <row r="5761">
      <c r="A5761" s="6" t="s">
        <v>35905</v>
      </c>
      <c r="B5761" s="6" t="s">
        <v>35906</v>
      </c>
      <c r="C5761" s="6" t="s">
        <v>35907</v>
      </c>
      <c r="D5761" s="6" t="s">
        <v>7791</v>
      </c>
      <c r="E5761" s="6" t="s">
        <v>35770</v>
      </c>
      <c r="F5761" s="6" t="s">
        <v>1801</v>
      </c>
      <c r="G5761" s="6" t="s">
        <v>35908</v>
      </c>
      <c r="H5761" s="7" t="s">
        <v>31</v>
      </c>
      <c r="I5761" s="7">
        <v>1.0</v>
      </c>
      <c r="J5761" s="7">
        <v>1.0</v>
      </c>
      <c r="K5761" s="7" t="s">
        <v>31</v>
      </c>
      <c r="L5761" s="8" t="s">
        <v>35909</v>
      </c>
      <c r="M5761" s="6" t="s">
        <v>35910</v>
      </c>
      <c r="N5761" s="6" t="s">
        <v>1781</v>
      </c>
      <c r="O5761" s="8" t="s">
        <v>1782</v>
      </c>
      <c r="P5761" s="6" t="s">
        <v>35911</v>
      </c>
      <c r="Q5761" s="6" t="s">
        <v>35912</v>
      </c>
      <c r="R5761" s="6" t="s">
        <v>1785</v>
      </c>
      <c r="S5761" s="8" t="s">
        <v>35913</v>
      </c>
      <c r="T5761" s="6" t="s">
        <v>1019</v>
      </c>
      <c r="U5761" s="8" t="s">
        <v>35914</v>
      </c>
      <c r="V5761" s="6" t="s">
        <v>35915</v>
      </c>
      <c r="W5761" s="6" t="s">
        <v>35770</v>
      </c>
      <c r="X5761" s="9" t="str">
        <f>HYPERLINK("https://my.pitchbook.com?p=183186-37P","View People Online")</f>
        <v>View People Online</v>
      </c>
    </row>
    <row r="5762">
      <c r="A5762" s="2" t="s">
        <v>35916</v>
      </c>
      <c r="B5762" s="2" t="s">
        <v>35917</v>
      </c>
      <c r="C5762" s="2" t="s">
        <v>3716</v>
      </c>
      <c r="D5762" s="2" t="s">
        <v>12822</v>
      </c>
      <c r="E5762" s="2" t="s">
        <v>35770</v>
      </c>
      <c r="F5762" s="2" t="s">
        <v>5418</v>
      </c>
      <c r="G5762" s="2" t="s">
        <v>35918</v>
      </c>
      <c r="H5762" s="3" t="s">
        <v>31</v>
      </c>
      <c r="I5762" s="3">
        <v>1.0</v>
      </c>
      <c r="J5762" s="3">
        <v>1.0</v>
      </c>
      <c r="K5762" s="3" t="s">
        <v>31</v>
      </c>
      <c r="L5762" s="4" t="s">
        <v>35919</v>
      </c>
      <c r="M5762" s="2" t="s">
        <v>35920</v>
      </c>
      <c r="N5762" s="2" t="s">
        <v>10742</v>
      </c>
      <c r="O5762" s="4" t="s">
        <v>10743</v>
      </c>
      <c r="P5762" s="2" t="s">
        <v>35921</v>
      </c>
      <c r="Q5762" s="2" t="s">
        <v>35922</v>
      </c>
      <c r="R5762" s="2" t="s">
        <v>10745</v>
      </c>
      <c r="S5762" s="4" t="s">
        <v>35923</v>
      </c>
      <c r="T5762" s="2" t="s">
        <v>1019</v>
      </c>
      <c r="U5762" s="4" t="s">
        <v>35924</v>
      </c>
      <c r="V5762" s="2" t="s">
        <v>5418</v>
      </c>
      <c r="W5762" s="2" t="s">
        <v>35770</v>
      </c>
      <c r="X5762" s="5" t="str">
        <f>HYPERLINK("https://my.pitchbook.com?p=329654-89P","View People Online")</f>
        <v>View People Online</v>
      </c>
    </row>
    <row r="5763">
      <c r="A5763" s="14" t="s">
        <v>35925</v>
      </c>
      <c r="B5763" s="14" t="s">
        <v>35926</v>
      </c>
      <c r="C5763" s="14" t="s">
        <v>22190</v>
      </c>
      <c r="D5763" s="14" t="s">
        <v>35927</v>
      </c>
      <c r="E5763" s="14" t="s">
        <v>35770</v>
      </c>
      <c r="F5763" s="14" t="s">
        <v>312</v>
      </c>
      <c r="G5763" s="14" t="s">
        <v>35928</v>
      </c>
      <c r="H5763" s="15" t="s">
        <v>31</v>
      </c>
      <c r="I5763" s="15">
        <v>1.0</v>
      </c>
      <c r="J5763" s="15">
        <v>1.0</v>
      </c>
      <c r="K5763" s="15" t="s">
        <v>31</v>
      </c>
      <c r="L5763" s="16" t="s">
        <v>35772</v>
      </c>
      <c r="M5763" s="14" t="s">
        <v>35929</v>
      </c>
      <c r="N5763" s="14" t="s">
        <v>33517</v>
      </c>
      <c r="O5763" s="16" t="s">
        <v>33518</v>
      </c>
      <c r="P5763" s="14" t="s">
        <v>35774</v>
      </c>
      <c r="Q5763" s="14" t="s">
        <v>31</v>
      </c>
      <c r="R5763" s="14" t="s">
        <v>1018</v>
      </c>
      <c r="S5763" s="16" t="s">
        <v>35775</v>
      </c>
      <c r="T5763" s="14" t="s">
        <v>1019</v>
      </c>
      <c r="U5763" s="16" t="s">
        <v>31</v>
      </c>
      <c r="V5763" s="14" t="s">
        <v>35930</v>
      </c>
      <c r="W5763" s="14" t="s">
        <v>35770</v>
      </c>
      <c r="X5763" s="17" t="str">
        <f>HYPERLINK("https://my.pitchbook.com?p=115909-93P","View People Online")</f>
        <v>View People Online</v>
      </c>
    </row>
    <row r="5764">
      <c r="A5764" s="10" t="s">
        <v>35931</v>
      </c>
      <c r="B5764" s="10" t="s">
        <v>35932</v>
      </c>
      <c r="C5764" s="10" t="s">
        <v>1533</v>
      </c>
      <c r="D5764" s="10" t="s">
        <v>35933</v>
      </c>
      <c r="E5764" s="10" t="s">
        <v>35770</v>
      </c>
      <c r="F5764" s="10" t="s">
        <v>312</v>
      </c>
      <c r="G5764" s="10" t="s">
        <v>35934</v>
      </c>
      <c r="H5764" s="11" t="s">
        <v>31</v>
      </c>
      <c r="I5764" s="11">
        <v>1.0</v>
      </c>
      <c r="J5764" s="11">
        <v>1.0</v>
      </c>
      <c r="K5764" s="11" t="s">
        <v>31</v>
      </c>
      <c r="L5764" s="12" t="s">
        <v>35772</v>
      </c>
      <c r="M5764" s="10" t="s">
        <v>35935</v>
      </c>
      <c r="N5764" s="10" t="s">
        <v>33517</v>
      </c>
      <c r="O5764" s="12" t="s">
        <v>33518</v>
      </c>
      <c r="P5764" s="10" t="s">
        <v>35774</v>
      </c>
      <c r="Q5764" s="10" t="s">
        <v>31</v>
      </c>
      <c r="R5764" s="10" t="s">
        <v>1018</v>
      </c>
      <c r="S5764" s="12" t="s">
        <v>35775</v>
      </c>
      <c r="T5764" s="10" t="s">
        <v>1019</v>
      </c>
      <c r="U5764" s="12" t="s">
        <v>31</v>
      </c>
      <c r="V5764" s="10" t="s">
        <v>35936</v>
      </c>
      <c r="W5764" s="10" t="s">
        <v>35770</v>
      </c>
      <c r="X5764" s="13" t="str">
        <f>HYPERLINK("https://my.pitchbook.com?p=250705-27P","View People Online")</f>
        <v>View People Online</v>
      </c>
    </row>
    <row r="5765">
      <c r="A5765" s="6" t="s">
        <v>35937</v>
      </c>
      <c r="B5765" s="6" t="s">
        <v>35938</v>
      </c>
      <c r="C5765" s="6" t="s">
        <v>35939</v>
      </c>
      <c r="D5765" s="6" t="s">
        <v>35940</v>
      </c>
      <c r="E5765" s="6" t="s">
        <v>35941</v>
      </c>
      <c r="F5765" s="6" t="s">
        <v>270</v>
      </c>
      <c r="G5765" s="6" t="s">
        <v>35942</v>
      </c>
      <c r="H5765" s="7" t="s">
        <v>31</v>
      </c>
      <c r="I5765" s="7">
        <v>1.0</v>
      </c>
      <c r="J5765" s="7">
        <v>1.0</v>
      </c>
      <c r="K5765" s="7" t="s">
        <v>31</v>
      </c>
      <c r="L5765" s="8" t="s">
        <v>35943</v>
      </c>
      <c r="M5765" s="6" t="s">
        <v>35944</v>
      </c>
      <c r="N5765" s="6" t="s">
        <v>34</v>
      </c>
      <c r="O5765" s="8" t="s">
        <v>35</v>
      </c>
      <c r="P5765" s="6" t="s">
        <v>35945</v>
      </c>
      <c r="Q5765" s="6" t="s">
        <v>31</v>
      </c>
      <c r="R5765" s="6" t="s">
        <v>31</v>
      </c>
      <c r="S5765" s="8" t="s">
        <v>37</v>
      </c>
      <c r="T5765" s="6" t="s">
        <v>38</v>
      </c>
      <c r="U5765" s="8" t="s">
        <v>31</v>
      </c>
      <c r="V5765" s="6" t="s">
        <v>270</v>
      </c>
      <c r="W5765" s="6" t="s">
        <v>35941</v>
      </c>
      <c r="X5765" s="9" t="str">
        <f>HYPERLINK("https://my.pitchbook.com?p=448730-65P","View People Online")</f>
        <v>View People Online</v>
      </c>
    </row>
    <row r="5766">
      <c r="A5766" s="10" t="s">
        <v>35946</v>
      </c>
      <c r="B5766" s="10" t="s">
        <v>35947</v>
      </c>
      <c r="C5766" s="10" t="s">
        <v>35948</v>
      </c>
      <c r="D5766" s="10" t="s">
        <v>35949</v>
      </c>
      <c r="E5766" s="10" t="s">
        <v>35941</v>
      </c>
      <c r="F5766" s="10" t="s">
        <v>318</v>
      </c>
      <c r="G5766" s="10" t="s">
        <v>35950</v>
      </c>
      <c r="H5766" s="11">
        <v>1.0</v>
      </c>
      <c r="I5766" s="11">
        <v>4.0</v>
      </c>
      <c r="J5766" s="11">
        <v>1.0</v>
      </c>
      <c r="K5766" s="11">
        <v>1.0</v>
      </c>
      <c r="L5766" s="12" t="s">
        <v>35943</v>
      </c>
      <c r="M5766" s="10" t="s">
        <v>35951</v>
      </c>
      <c r="N5766" s="10" t="s">
        <v>34</v>
      </c>
      <c r="O5766" s="12" t="s">
        <v>35</v>
      </c>
      <c r="P5766" s="10" t="s">
        <v>35945</v>
      </c>
      <c r="Q5766" s="10" t="s">
        <v>31</v>
      </c>
      <c r="R5766" s="10" t="s">
        <v>31</v>
      </c>
      <c r="S5766" s="12" t="s">
        <v>37</v>
      </c>
      <c r="T5766" s="10" t="s">
        <v>38</v>
      </c>
      <c r="U5766" s="12" t="s">
        <v>31</v>
      </c>
      <c r="V5766" s="10" t="s">
        <v>318</v>
      </c>
      <c r="W5766" s="10" t="s">
        <v>35941</v>
      </c>
      <c r="X5766" s="13" t="str">
        <f>HYPERLINK("https://my.pitchbook.com?p=383655-61P","View People Online")</f>
        <v>View People Online</v>
      </c>
    </row>
    <row r="5767">
      <c r="A5767" s="14" t="s">
        <v>35952</v>
      </c>
      <c r="B5767" s="14" t="s">
        <v>35953</v>
      </c>
      <c r="C5767" s="14" t="s">
        <v>263</v>
      </c>
      <c r="D5767" s="14" t="s">
        <v>35954</v>
      </c>
      <c r="E5767" s="14" t="s">
        <v>35941</v>
      </c>
      <c r="F5767" s="14" t="s">
        <v>318</v>
      </c>
      <c r="G5767" s="14" t="s">
        <v>35955</v>
      </c>
      <c r="H5767" s="15" t="s">
        <v>31</v>
      </c>
      <c r="I5767" s="15">
        <v>6.0</v>
      </c>
      <c r="J5767" s="15">
        <v>1.0</v>
      </c>
      <c r="K5767" s="15">
        <v>3.0</v>
      </c>
      <c r="L5767" s="16" t="s">
        <v>35943</v>
      </c>
      <c r="M5767" s="14" t="s">
        <v>35956</v>
      </c>
      <c r="N5767" s="14" t="s">
        <v>34</v>
      </c>
      <c r="O5767" s="16" t="s">
        <v>35</v>
      </c>
      <c r="P5767" s="14" t="s">
        <v>35945</v>
      </c>
      <c r="Q5767" s="14" t="s">
        <v>31</v>
      </c>
      <c r="R5767" s="14" t="s">
        <v>31</v>
      </c>
      <c r="S5767" s="16" t="s">
        <v>37</v>
      </c>
      <c r="T5767" s="14" t="s">
        <v>38</v>
      </c>
      <c r="U5767" s="16" t="s">
        <v>31</v>
      </c>
      <c r="V5767" s="14" t="s">
        <v>318</v>
      </c>
      <c r="W5767" s="14" t="s">
        <v>35941</v>
      </c>
      <c r="X5767" s="17" t="str">
        <f>HYPERLINK("https://my.pitchbook.com?p=211572-55P","View People Online")</f>
        <v>View People Online</v>
      </c>
    </row>
    <row r="5768">
      <c r="A5768" s="10" t="s">
        <v>35957</v>
      </c>
      <c r="B5768" s="10" t="s">
        <v>35958</v>
      </c>
      <c r="C5768" s="10" t="s">
        <v>7476</v>
      </c>
      <c r="D5768" s="10" t="s">
        <v>35959</v>
      </c>
      <c r="E5768" s="10" t="s">
        <v>35941</v>
      </c>
      <c r="F5768" s="10" t="s">
        <v>221</v>
      </c>
      <c r="G5768" s="10" t="s">
        <v>35960</v>
      </c>
      <c r="H5768" s="11" t="s">
        <v>31</v>
      </c>
      <c r="I5768" s="11">
        <v>1.0</v>
      </c>
      <c r="J5768" s="11">
        <v>1.0</v>
      </c>
      <c r="K5768" s="11" t="s">
        <v>31</v>
      </c>
      <c r="L5768" s="12" t="s">
        <v>35943</v>
      </c>
      <c r="M5768" s="10" t="s">
        <v>35961</v>
      </c>
      <c r="N5768" s="10" t="s">
        <v>34</v>
      </c>
      <c r="O5768" s="12" t="s">
        <v>35</v>
      </c>
      <c r="P5768" s="10" t="s">
        <v>35945</v>
      </c>
      <c r="Q5768" s="10" t="s">
        <v>31</v>
      </c>
      <c r="R5768" s="10" t="s">
        <v>31</v>
      </c>
      <c r="S5768" s="12" t="s">
        <v>37</v>
      </c>
      <c r="T5768" s="10" t="s">
        <v>38</v>
      </c>
      <c r="U5768" s="12" t="s">
        <v>31</v>
      </c>
      <c r="V5768" s="10" t="s">
        <v>957</v>
      </c>
      <c r="W5768" s="10" t="s">
        <v>35941</v>
      </c>
      <c r="X5768" s="13" t="str">
        <f>HYPERLINK("https://my.pitchbook.com?p=415958-95P","View People Online")</f>
        <v>View People Online</v>
      </c>
    </row>
    <row r="5769">
      <c r="A5769" s="14" t="s">
        <v>35962</v>
      </c>
      <c r="B5769" s="14" t="s">
        <v>35963</v>
      </c>
      <c r="C5769" s="14" t="s">
        <v>35964</v>
      </c>
      <c r="D5769" s="14" t="s">
        <v>32757</v>
      </c>
      <c r="E5769" s="14" t="s">
        <v>35941</v>
      </c>
      <c r="F5769" s="14" t="s">
        <v>114</v>
      </c>
      <c r="G5769" s="14" t="s">
        <v>35965</v>
      </c>
      <c r="H5769" s="15" t="s">
        <v>31</v>
      </c>
      <c r="I5769" s="15">
        <v>1.0</v>
      </c>
      <c r="J5769" s="15">
        <v>1.0</v>
      </c>
      <c r="K5769" s="15" t="s">
        <v>31</v>
      </c>
      <c r="L5769" s="16" t="s">
        <v>35943</v>
      </c>
      <c r="M5769" s="14" t="s">
        <v>35966</v>
      </c>
      <c r="N5769" s="14" t="s">
        <v>34</v>
      </c>
      <c r="O5769" s="16" t="s">
        <v>35</v>
      </c>
      <c r="P5769" s="14" t="s">
        <v>35945</v>
      </c>
      <c r="Q5769" s="14" t="s">
        <v>31</v>
      </c>
      <c r="R5769" s="14" t="s">
        <v>31</v>
      </c>
      <c r="S5769" s="16" t="s">
        <v>37</v>
      </c>
      <c r="T5769" s="14" t="s">
        <v>38</v>
      </c>
      <c r="U5769" s="16" t="s">
        <v>31</v>
      </c>
      <c r="V5769" s="14" t="s">
        <v>114</v>
      </c>
      <c r="W5769" s="14" t="s">
        <v>35941</v>
      </c>
      <c r="X5769" s="17" t="str">
        <f>HYPERLINK("https://my.pitchbook.com?p=186497-47P","View People Online")</f>
        <v>View People Online</v>
      </c>
    </row>
    <row r="5770">
      <c r="A5770" s="2" t="s">
        <v>35967</v>
      </c>
      <c r="B5770" s="2" t="s">
        <v>35968</v>
      </c>
      <c r="C5770" s="2" t="s">
        <v>35969</v>
      </c>
      <c r="D5770" s="2" t="s">
        <v>35970</v>
      </c>
      <c r="E5770" s="2" t="s">
        <v>35941</v>
      </c>
      <c r="F5770" s="2" t="s">
        <v>548</v>
      </c>
      <c r="G5770" s="2" t="s">
        <v>35971</v>
      </c>
      <c r="H5770" s="3" t="s">
        <v>31</v>
      </c>
      <c r="I5770" s="3">
        <v>1.0</v>
      </c>
      <c r="J5770" s="3">
        <v>1.0</v>
      </c>
      <c r="K5770" s="3" t="s">
        <v>31</v>
      </c>
      <c r="L5770" s="4" t="s">
        <v>35943</v>
      </c>
      <c r="M5770" s="2" t="s">
        <v>35972</v>
      </c>
      <c r="N5770" s="2" t="s">
        <v>34</v>
      </c>
      <c r="O5770" s="4" t="s">
        <v>35</v>
      </c>
      <c r="P5770" s="2" t="s">
        <v>35945</v>
      </c>
      <c r="Q5770" s="2" t="s">
        <v>31</v>
      </c>
      <c r="R5770" s="2" t="s">
        <v>31</v>
      </c>
      <c r="S5770" s="4" t="s">
        <v>37</v>
      </c>
      <c r="T5770" s="2" t="s">
        <v>38</v>
      </c>
      <c r="U5770" s="4" t="s">
        <v>31</v>
      </c>
      <c r="V5770" s="2" t="s">
        <v>35973</v>
      </c>
      <c r="W5770" s="2" t="s">
        <v>35941</v>
      </c>
      <c r="X5770" s="5" t="str">
        <f>HYPERLINK("https://my.pitchbook.com?p=340871-77P","View People Online")</f>
        <v>View People Online</v>
      </c>
    </row>
    <row r="5771">
      <c r="A5771" s="6" t="s">
        <v>35974</v>
      </c>
      <c r="B5771" s="6" t="s">
        <v>35975</v>
      </c>
      <c r="C5771" s="6" t="s">
        <v>8827</v>
      </c>
      <c r="D5771" s="6" t="s">
        <v>35976</v>
      </c>
      <c r="E5771" s="6" t="s">
        <v>35941</v>
      </c>
      <c r="F5771" s="6" t="s">
        <v>825</v>
      </c>
      <c r="G5771" s="6" t="s">
        <v>35977</v>
      </c>
      <c r="H5771" s="7" t="s">
        <v>31</v>
      </c>
      <c r="I5771" s="7">
        <v>2.0</v>
      </c>
      <c r="J5771" s="7">
        <v>2.0</v>
      </c>
      <c r="K5771" s="7" t="s">
        <v>31</v>
      </c>
      <c r="L5771" s="8" t="s">
        <v>31</v>
      </c>
      <c r="M5771" s="6" t="s">
        <v>35978</v>
      </c>
      <c r="N5771" s="6" t="s">
        <v>6588</v>
      </c>
      <c r="O5771" s="8" t="s">
        <v>6589</v>
      </c>
      <c r="P5771" s="6" t="s">
        <v>31</v>
      </c>
      <c r="Q5771" s="6" t="s">
        <v>31</v>
      </c>
      <c r="R5771" s="6" t="s">
        <v>93</v>
      </c>
      <c r="S5771" s="8" t="s">
        <v>31</v>
      </c>
      <c r="T5771" s="6" t="s">
        <v>66</v>
      </c>
      <c r="U5771" s="8" t="s">
        <v>31</v>
      </c>
      <c r="V5771" s="6" t="s">
        <v>35979</v>
      </c>
      <c r="W5771" s="6" t="s">
        <v>35980</v>
      </c>
      <c r="X5771" s="9" t="str">
        <f>HYPERLINK("https://my.pitchbook.com?p=321965-11P","View People Online")</f>
        <v>View People Online</v>
      </c>
    </row>
    <row r="5772">
      <c r="A5772" s="2" t="s">
        <v>35981</v>
      </c>
      <c r="B5772" s="2" t="s">
        <v>35982</v>
      </c>
      <c r="C5772" s="2" t="s">
        <v>35983</v>
      </c>
      <c r="D5772" s="2" t="s">
        <v>35984</v>
      </c>
      <c r="E5772" s="2" t="s">
        <v>35941</v>
      </c>
      <c r="F5772" s="2" t="s">
        <v>667</v>
      </c>
      <c r="G5772" s="2" t="s">
        <v>35985</v>
      </c>
      <c r="H5772" s="3" t="s">
        <v>31</v>
      </c>
      <c r="I5772" s="3">
        <v>1.0</v>
      </c>
      <c r="J5772" s="3">
        <v>1.0</v>
      </c>
      <c r="K5772" s="3" t="s">
        <v>31</v>
      </c>
      <c r="L5772" s="4" t="s">
        <v>35943</v>
      </c>
      <c r="M5772" s="2" t="s">
        <v>35986</v>
      </c>
      <c r="N5772" s="2" t="s">
        <v>34</v>
      </c>
      <c r="O5772" s="4" t="s">
        <v>35</v>
      </c>
      <c r="P5772" s="2" t="s">
        <v>35945</v>
      </c>
      <c r="Q5772" s="2" t="s">
        <v>31</v>
      </c>
      <c r="R5772" s="2" t="s">
        <v>31</v>
      </c>
      <c r="S5772" s="4" t="s">
        <v>37</v>
      </c>
      <c r="T5772" s="2" t="s">
        <v>38</v>
      </c>
      <c r="U5772" s="4" t="s">
        <v>31</v>
      </c>
      <c r="V5772" s="2" t="s">
        <v>35987</v>
      </c>
      <c r="W5772" s="2" t="s">
        <v>35941</v>
      </c>
      <c r="X5772" s="5" t="str">
        <f>HYPERLINK("https://my.pitchbook.com?p=415965-70P","View People Online")</f>
        <v>View People Online</v>
      </c>
    </row>
    <row r="5773">
      <c r="A5773" s="6" t="s">
        <v>35988</v>
      </c>
      <c r="B5773" s="6" t="s">
        <v>35989</v>
      </c>
      <c r="C5773" s="6" t="s">
        <v>8163</v>
      </c>
      <c r="D5773" s="6" t="s">
        <v>35990</v>
      </c>
      <c r="E5773" s="6" t="s">
        <v>35941</v>
      </c>
      <c r="F5773" s="6" t="s">
        <v>221</v>
      </c>
      <c r="G5773" s="6" t="s">
        <v>35991</v>
      </c>
      <c r="H5773" s="7" t="s">
        <v>31</v>
      </c>
      <c r="I5773" s="7">
        <v>1.0</v>
      </c>
      <c r="J5773" s="7">
        <v>1.0</v>
      </c>
      <c r="K5773" s="7" t="s">
        <v>31</v>
      </c>
      <c r="L5773" s="8" t="s">
        <v>35943</v>
      </c>
      <c r="M5773" s="6" t="s">
        <v>35992</v>
      </c>
      <c r="N5773" s="6" t="s">
        <v>34</v>
      </c>
      <c r="O5773" s="8" t="s">
        <v>35</v>
      </c>
      <c r="P5773" s="6" t="s">
        <v>35945</v>
      </c>
      <c r="Q5773" s="6" t="s">
        <v>31</v>
      </c>
      <c r="R5773" s="6" t="s">
        <v>31</v>
      </c>
      <c r="S5773" s="8" t="s">
        <v>37</v>
      </c>
      <c r="T5773" s="6" t="s">
        <v>38</v>
      </c>
      <c r="U5773" s="8" t="s">
        <v>31</v>
      </c>
      <c r="V5773" s="6" t="s">
        <v>957</v>
      </c>
      <c r="W5773" s="6" t="s">
        <v>35941</v>
      </c>
      <c r="X5773" s="9" t="str">
        <f>HYPERLINK("https://my.pitchbook.com?p=276059-71P","View People Online")</f>
        <v>View People Online</v>
      </c>
    </row>
    <row r="5774">
      <c r="A5774" s="2" t="s">
        <v>35993</v>
      </c>
      <c r="B5774" s="2" t="s">
        <v>35994</v>
      </c>
      <c r="C5774" s="2" t="s">
        <v>35995</v>
      </c>
      <c r="D5774" s="2" t="s">
        <v>35996</v>
      </c>
      <c r="E5774" s="2" t="s">
        <v>35941</v>
      </c>
      <c r="F5774" s="2" t="s">
        <v>189</v>
      </c>
      <c r="G5774" s="2" t="s">
        <v>35997</v>
      </c>
      <c r="H5774" s="3" t="s">
        <v>31</v>
      </c>
      <c r="I5774" s="3">
        <v>10.0</v>
      </c>
      <c r="J5774" s="3">
        <v>2.0</v>
      </c>
      <c r="K5774" s="3">
        <v>8.0</v>
      </c>
      <c r="L5774" s="4" t="s">
        <v>35998</v>
      </c>
      <c r="M5774" s="2" t="s">
        <v>31</v>
      </c>
      <c r="N5774" s="2" t="s">
        <v>34</v>
      </c>
      <c r="O5774" s="4" t="s">
        <v>35</v>
      </c>
      <c r="P5774" s="2" t="s">
        <v>35945</v>
      </c>
      <c r="Q5774" s="2" t="s">
        <v>31</v>
      </c>
      <c r="R5774" s="2" t="s">
        <v>31</v>
      </c>
      <c r="S5774" s="4" t="s">
        <v>37</v>
      </c>
      <c r="T5774" s="2" t="s">
        <v>38</v>
      </c>
      <c r="U5774" s="4" t="s">
        <v>35999</v>
      </c>
      <c r="V5774" s="2" t="s">
        <v>196</v>
      </c>
      <c r="W5774" s="2" t="s">
        <v>35941</v>
      </c>
      <c r="X5774" s="5" t="str">
        <f>HYPERLINK("https://my.pitchbook.com?p=130829-14P","View People Online")</f>
        <v>View People Online</v>
      </c>
    </row>
    <row r="5775">
      <c r="A5775" s="14" t="s">
        <v>36000</v>
      </c>
      <c r="B5775" s="14" t="s">
        <v>36001</v>
      </c>
      <c r="C5775" s="14" t="s">
        <v>20381</v>
      </c>
      <c r="D5775" s="14" t="s">
        <v>36002</v>
      </c>
      <c r="E5775" s="14" t="s">
        <v>35941</v>
      </c>
      <c r="F5775" s="14" t="s">
        <v>802</v>
      </c>
      <c r="G5775" s="14" t="s">
        <v>36003</v>
      </c>
      <c r="H5775" s="15" t="s">
        <v>31</v>
      </c>
      <c r="I5775" s="15">
        <v>2.0</v>
      </c>
      <c r="J5775" s="15">
        <v>2.0</v>
      </c>
      <c r="K5775" s="15" t="s">
        <v>31</v>
      </c>
      <c r="L5775" s="16" t="s">
        <v>35943</v>
      </c>
      <c r="M5775" s="14" t="s">
        <v>36004</v>
      </c>
      <c r="N5775" s="14" t="s">
        <v>34</v>
      </c>
      <c r="O5775" s="16" t="s">
        <v>35</v>
      </c>
      <c r="P5775" s="14" t="s">
        <v>35945</v>
      </c>
      <c r="Q5775" s="14" t="s">
        <v>31</v>
      </c>
      <c r="R5775" s="14" t="s">
        <v>31</v>
      </c>
      <c r="S5775" s="16" t="s">
        <v>37</v>
      </c>
      <c r="T5775" s="14" t="s">
        <v>38</v>
      </c>
      <c r="U5775" s="16" t="s">
        <v>31</v>
      </c>
      <c r="V5775" s="14" t="s">
        <v>802</v>
      </c>
      <c r="W5775" s="14" t="s">
        <v>35941</v>
      </c>
      <c r="X5775" s="17" t="str">
        <f>HYPERLINK("https://my.pitchbook.com?p=350244-19P","View People Online")</f>
        <v>View People Online</v>
      </c>
    </row>
    <row r="5776">
      <c r="A5776" s="10" t="s">
        <v>36005</v>
      </c>
      <c r="B5776" s="10" t="s">
        <v>36006</v>
      </c>
      <c r="C5776" s="10" t="s">
        <v>3221</v>
      </c>
      <c r="D5776" s="10" t="s">
        <v>36007</v>
      </c>
      <c r="E5776" s="10" t="s">
        <v>35941</v>
      </c>
      <c r="F5776" s="10" t="s">
        <v>189</v>
      </c>
      <c r="G5776" s="10" t="s">
        <v>36008</v>
      </c>
      <c r="H5776" s="11" t="s">
        <v>31</v>
      </c>
      <c r="I5776" s="11">
        <v>4.0</v>
      </c>
      <c r="J5776" s="11">
        <v>2.0</v>
      </c>
      <c r="K5776" s="11">
        <v>1.0</v>
      </c>
      <c r="L5776" s="12" t="s">
        <v>35943</v>
      </c>
      <c r="M5776" s="10" t="s">
        <v>36009</v>
      </c>
      <c r="N5776" s="10" t="s">
        <v>34</v>
      </c>
      <c r="O5776" s="12" t="s">
        <v>35</v>
      </c>
      <c r="P5776" s="10" t="s">
        <v>35945</v>
      </c>
      <c r="Q5776" s="10" t="s">
        <v>31</v>
      </c>
      <c r="R5776" s="10" t="s">
        <v>31</v>
      </c>
      <c r="S5776" s="12" t="s">
        <v>37</v>
      </c>
      <c r="T5776" s="10" t="s">
        <v>38</v>
      </c>
      <c r="U5776" s="12" t="s">
        <v>31</v>
      </c>
      <c r="V5776" s="10" t="s">
        <v>36010</v>
      </c>
      <c r="W5776" s="10" t="s">
        <v>35941</v>
      </c>
      <c r="X5776" s="13" t="str">
        <f>HYPERLINK("https://my.pitchbook.com?p=240841-54P","View People Online")</f>
        <v>View People Online</v>
      </c>
    </row>
    <row r="5777">
      <c r="A5777" s="6" t="s">
        <v>36011</v>
      </c>
      <c r="B5777" s="6" t="s">
        <v>36012</v>
      </c>
      <c r="C5777" s="6" t="s">
        <v>20569</v>
      </c>
      <c r="D5777" s="6" t="s">
        <v>36013</v>
      </c>
      <c r="E5777" s="6" t="s">
        <v>35941</v>
      </c>
      <c r="F5777" s="6" t="s">
        <v>695</v>
      </c>
      <c r="G5777" s="6" t="s">
        <v>36014</v>
      </c>
      <c r="H5777" s="7" t="s">
        <v>31</v>
      </c>
      <c r="I5777" s="7">
        <v>1.0</v>
      </c>
      <c r="J5777" s="7">
        <v>1.0</v>
      </c>
      <c r="K5777" s="7" t="s">
        <v>31</v>
      </c>
      <c r="L5777" s="8" t="s">
        <v>35943</v>
      </c>
      <c r="M5777" s="6" t="s">
        <v>36015</v>
      </c>
      <c r="N5777" s="6" t="s">
        <v>34</v>
      </c>
      <c r="O5777" s="8" t="s">
        <v>35</v>
      </c>
      <c r="P5777" s="6" t="s">
        <v>35945</v>
      </c>
      <c r="Q5777" s="6" t="s">
        <v>31</v>
      </c>
      <c r="R5777" s="6" t="s">
        <v>31</v>
      </c>
      <c r="S5777" s="8" t="s">
        <v>37</v>
      </c>
      <c r="T5777" s="6" t="s">
        <v>38</v>
      </c>
      <c r="U5777" s="8" t="s">
        <v>31</v>
      </c>
      <c r="V5777" s="6" t="s">
        <v>695</v>
      </c>
      <c r="W5777" s="6" t="s">
        <v>35941</v>
      </c>
      <c r="X5777" s="9" t="str">
        <f>HYPERLINK("https://my.pitchbook.com?p=415957-78P","View People Online")</f>
        <v>View People Online</v>
      </c>
    </row>
    <row r="5778">
      <c r="A5778" s="2" t="s">
        <v>36016</v>
      </c>
      <c r="B5778" s="2" t="s">
        <v>36017</v>
      </c>
      <c r="C5778" s="2" t="s">
        <v>934</v>
      </c>
      <c r="D5778" s="2" t="s">
        <v>36018</v>
      </c>
      <c r="E5778" s="2" t="s">
        <v>35941</v>
      </c>
      <c r="F5778" s="2" t="s">
        <v>802</v>
      </c>
      <c r="G5778" s="2" t="s">
        <v>36019</v>
      </c>
      <c r="H5778" s="3" t="s">
        <v>31</v>
      </c>
      <c r="I5778" s="3">
        <v>1.0</v>
      </c>
      <c r="J5778" s="3">
        <v>1.0</v>
      </c>
      <c r="K5778" s="3" t="s">
        <v>31</v>
      </c>
      <c r="L5778" s="4" t="s">
        <v>35943</v>
      </c>
      <c r="M5778" s="2" t="s">
        <v>36020</v>
      </c>
      <c r="N5778" s="2" t="s">
        <v>34</v>
      </c>
      <c r="O5778" s="4" t="s">
        <v>35</v>
      </c>
      <c r="P5778" s="2" t="s">
        <v>35945</v>
      </c>
      <c r="Q5778" s="2" t="s">
        <v>31</v>
      </c>
      <c r="R5778" s="2" t="s">
        <v>31</v>
      </c>
      <c r="S5778" s="4" t="s">
        <v>37</v>
      </c>
      <c r="T5778" s="2" t="s">
        <v>38</v>
      </c>
      <c r="U5778" s="4" t="s">
        <v>31</v>
      </c>
      <c r="V5778" s="2" t="s">
        <v>802</v>
      </c>
      <c r="W5778" s="2" t="s">
        <v>35941</v>
      </c>
      <c r="X5778" s="5" t="str">
        <f>HYPERLINK("https://my.pitchbook.com?p=416438-47P","View People Online")</f>
        <v>View People Online</v>
      </c>
    </row>
    <row r="5779">
      <c r="A5779" s="6" t="s">
        <v>36021</v>
      </c>
      <c r="B5779" s="6" t="s">
        <v>36022</v>
      </c>
      <c r="C5779" s="6" t="s">
        <v>3888</v>
      </c>
      <c r="D5779" s="6" t="s">
        <v>36023</v>
      </c>
      <c r="E5779" s="6" t="s">
        <v>35941</v>
      </c>
      <c r="F5779" s="6" t="s">
        <v>189</v>
      </c>
      <c r="G5779" s="6" t="s">
        <v>36024</v>
      </c>
      <c r="H5779" s="7" t="s">
        <v>31</v>
      </c>
      <c r="I5779" s="7">
        <v>8.0</v>
      </c>
      <c r="J5779" s="7">
        <v>3.0</v>
      </c>
      <c r="K5779" s="7">
        <v>3.0</v>
      </c>
      <c r="L5779" s="8" t="s">
        <v>35943</v>
      </c>
      <c r="M5779" s="6" t="s">
        <v>36025</v>
      </c>
      <c r="N5779" s="6" t="s">
        <v>34</v>
      </c>
      <c r="O5779" s="8" t="s">
        <v>35</v>
      </c>
      <c r="P5779" s="6" t="s">
        <v>35945</v>
      </c>
      <c r="Q5779" s="6" t="s">
        <v>31</v>
      </c>
      <c r="R5779" s="6" t="s">
        <v>31</v>
      </c>
      <c r="S5779" s="8" t="s">
        <v>37</v>
      </c>
      <c r="T5779" s="6" t="s">
        <v>38</v>
      </c>
      <c r="U5779" s="8" t="s">
        <v>31</v>
      </c>
      <c r="V5779" s="6" t="s">
        <v>196</v>
      </c>
      <c r="W5779" s="6" t="s">
        <v>35941</v>
      </c>
      <c r="X5779" s="9" t="str">
        <f>HYPERLINK("https://my.pitchbook.com?p=92597-41P","View People Online")</f>
        <v>View People Online</v>
      </c>
    </row>
    <row r="5780">
      <c r="A5780" s="10" t="s">
        <v>36026</v>
      </c>
      <c r="B5780" s="10" t="s">
        <v>36027</v>
      </c>
      <c r="C5780" s="10" t="s">
        <v>36028</v>
      </c>
      <c r="D5780" s="10" t="s">
        <v>36029</v>
      </c>
      <c r="E5780" s="10" t="s">
        <v>35941</v>
      </c>
      <c r="F5780" s="10" t="s">
        <v>825</v>
      </c>
      <c r="G5780" s="10" t="s">
        <v>36030</v>
      </c>
      <c r="H5780" s="11" t="s">
        <v>31</v>
      </c>
      <c r="I5780" s="11">
        <v>1.0</v>
      </c>
      <c r="J5780" s="11">
        <v>1.0</v>
      </c>
      <c r="K5780" s="11" t="s">
        <v>31</v>
      </c>
      <c r="L5780" s="12" t="s">
        <v>35943</v>
      </c>
      <c r="M5780" s="10" t="s">
        <v>36031</v>
      </c>
      <c r="N5780" s="10" t="s">
        <v>34</v>
      </c>
      <c r="O5780" s="12" t="s">
        <v>35</v>
      </c>
      <c r="P5780" s="10" t="s">
        <v>35945</v>
      </c>
      <c r="Q5780" s="10" t="s">
        <v>31</v>
      </c>
      <c r="R5780" s="10" t="s">
        <v>31</v>
      </c>
      <c r="S5780" s="12" t="s">
        <v>37</v>
      </c>
      <c r="T5780" s="10" t="s">
        <v>38</v>
      </c>
      <c r="U5780" s="12" t="s">
        <v>31</v>
      </c>
      <c r="V5780" s="10" t="s">
        <v>36032</v>
      </c>
      <c r="W5780" s="10" t="s">
        <v>35941</v>
      </c>
      <c r="X5780" s="13" t="str">
        <f>HYPERLINK("https://my.pitchbook.com?p=340873-39P","View People Online")</f>
        <v>View People Online</v>
      </c>
    </row>
    <row r="5781">
      <c r="A5781" s="14" t="s">
        <v>36033</v>
      </c>
      <c r="B5781" s="14" t="s">
        <v>36034</v>
      </c>
      <c r="C5781" s="14" t="s">
        <v>36035</v>
      </c>
      <c r="D5781" s="14" t="s">
        <v>953</v>
      </c>
      <c r="E5781" s="14" t="s">
        <v>35941</v>
      </c>
      <c r="F5781" s="14" t="s">
        <v>189</v>
      </c>
      <c r="G5781" s="14" t="s">
        <v>36036</v>
      </c>
      <c r="H5781" s="15">
        <v>2.0</v>
      </c>
      <c r="I5781" s="15">
        <v>24.0</v>
      </c>
      <c r="J5781" s="15">
        <v>1.0</v>
      </c>
      <c r="K5781" s="15">
        <v>18.0</v>
      </c>
      <c r="L5781" s="16" t="s">
        <v>36037</v>
      </c>
      <c r="M5781" s="14" t="s">
        <v>36038</v>
      </c>
      <c r="N5781" s="14" t="s">
        <v>34</v>
      </c>
      <c r="O5781" s="16" t="s">
        <v>35</v>
      </c>
      <c r="P5781" s="14" t="s">
        <v>35945</v>
      </c>
      <c r="Q5781" s="14" t="s">
        <v>31</v>
      </c>
      <c r="R5781" s="14" t="s">
        <v>31</v>
      </c>
      <c r="S5781" s="16" t="s">
        <v>37</v>
      </c>
      <c r="T5781" s="14" t="s">
        <v>38</v>
      </c>
      <c r="U5781" s="16" t="s">
        <v>31</v>
      </c>
      <c r="V5781" s="14" t="s">
        <v>196</v>
      </c>
      <c r="W5781" s="14" t="s">
        <v>35941</v>
      </c>
      <c r="X5781" s="17" t="str">
        <f>HYPERLINK("https://my.pitchbook.com?p=50994-19P","View People Online")</f>
        <v>View People Online</v>
      </c>
    </row>
    <row r="5782">
      <c r="A5782" s="10" t="s">
        <v>36039</v>
      </c>
      <c r="B5782" s="10" t="s">
        <v>36040</v>
      </c>
      <c r="C5782" s="10" t="s">
        <v>36041</v>
      </c>
      <c r="D5782" s="10" t="s">
        <v>36042</v>
      </c>
      <c r="E5782" s="10" t="s">
        <v>36043</v>
      </c>
      <c r="F5782" s="10" t="s">
        <v>548</v>
      </c>
      <c r="G5782" s="10" t="s">
        <v>36044</v>
      </c>
      <c r="H5782" s="11" t="s">
        <v>31</v>
      </c>
      <c r="I5782" s="11">
        <v>2.0</v>
      </c>
      <c r="J5782" s="11">
        <v>2.0</v>
      </c>
      <c r="K5782" s="11" t="s">
        <v>31</v>
      </c>
      <c r="L5782" s="12" t="s">
        <v>36045</v>
      </c>
      <c r="M5782" s="10" t="s">
        <v>36046</v>
      </c>
      <c r="N5782" s="10" t="s">
        <v>75</v>
      </c>
      <c r="O5782" s="12" t="s">
        <v>76</v>
      </c>
      <c r="P5782" s="10" t="s">
        <v>36047</v>
      </c>
      <c r="Q5782" s="10" t="s">
        <v>24925</v>
      </c>
      <c r="R5782" s="10" t="s">
        <v>75</v>
      </c>
      <c r="S5782" s="12" t="s">
        <v>1478</v>
      </c>
      <c r="T5782" s="10" t="s">
        <v>66</v>
      </c>
      <c r="U5782" s="12" t="s">
        <v>31</v>
      </c>
      <c r="V5782" s="10" t="s">
        <v>36048</v>
      </c>
      <c r="W5782" s="10" t="s">
        <v>36043</v>
      </c>
      <c r="X5782" s="13" t="str">
        <f>HYPERLINK("https://my.pitchbook.com?p=291606-40P","View People Online")</f>
        <v>View People Online</v>
      </c>
    </row>
    <row r="5783">
      <c r="A5783" s="6" t="s">
        <v>36049</v>
      </c>
      <c r="B5783" s="6" t="s">
        <v>36050</v>
      </c>
      <c r="C5783" s="6" t="s">
        <v>28162</v>
      </c>
      <c r="D5783" s="6" t="s">
        <v>7661</v>
      </c>
      <c r="E5783" s="6" t="s">
        <v>36043</v>
      </c>
      <c r="F5783" s="6" t="s">
        <v>502</v>
      </c>
      <c r="G5783" s="6" t="s">
        <v>36051</v>
      </c>
      <c r="H5783" s="7" t="s">
        <v>31</v>
      </c>
      <c r="I5783" s="7">
        <v>1.0</v>
      </c>
      <c r="J5783" s="7">
        <v>1.0</v>
      </c>
      <c r="K5783" s="7" t="s">
        <v>31</v>
      </c>
      <c r="L5783" s="8" t="s">
        <v>36052</v>
      </c>
      <c r="M5783" s="6" t="s">
        <v>36053</v>
      </c>
      <c r="N5783" s="6" t="s">
        <v>75</v>
      </c>
      <c r="O5783" s="8" t="s">
        <v>76</v>
      </c>
      <c r="P5783" s="6" t="s">
        <v>36047</v>
      </c>
      <c r="Q5783" s="6" t="s">
        <v>24925</v>
      </c>
      <c r="R5783" s="6" t="s">
        <v>75</v>
      </c>
      <c r="S5783" s="8" t="s">
        <v>1478</v>
      </c>
      <c r="T5783" s="6" t="s">
        <v>66</v>
      </c>
      <c r="U5783" s="8" t="s">
        <v>31</v>
      </c>
      <c r="V5783" s="6" t="s">
        <v>31</v>
      </c>
      <c r="W5783" s="6" t="s">
        <v>36054</v>
      </c>
      <c r="X5783" s="9" t="str">
        <f>HYPERLINK("https://my.pitchbook.com?p=396823-06P","View People Online")</f>
        <v>View People Online</v>
      </c>
    </row>
    <row r="5784">
      <c r="A5784" s="10" t="s">
        <v>36055</v>
      </c>
      <c r="B5784" s="10" t="s">
        <v>36056</v>
      </c>
      <c r="C5784" s="10" t="s">
        <v>26</v>
      </c>
      <c r="D5784" s="10" t="s">
        <v>12088</v>
      </c>
      <c r="E5784" s="10" t="s">
        <v>36043</v>
      </c>
      <c r="F5784" s="10" t="s">
        <v>733</v>
      </c>
      <c r="G5784" s="10" t="s">
        <v>36057</v>
      </c>
      <c r="H5784" s="11" t="s">
        <v>31</v>
      </c>
      <c r="I5784" s="11">
        <v>5.0</v>
      </c>
      <c r="J5784" s="11">
        <v>2.0</v>
      </c>
      <c r="K5784" s="11">
        <v>3.0</v>
      </c>
      <c r="L5784" s="12" t="s">
        <v>36058</v>
      </c>
      <c r="M5784" s="10" t="s">
        <v>36059</v>
      </c>
      <c r="N5784" s="10" t="s">
        <v>75</v>
      </c>
      <c r="O5784" s="12" t="s">
        <v>76</v>
      </c>
      <c r="P5784" s="10" t="s">
        <v>36047</v>
      </c>
      <c r="Q5784" s="10" t="s">
        <v>24925</v>
      </c>
      <c r="R5784" s="10" t="s">
        <v>75</v>
      </c>
      <c r="S5784" s="12" t="s">
        <v>1478</v>
      </c>
      <c r="T5784" s="10" t="s">
        <v>66</v>
      </c>
      <c r="U5784" s="12" t="s">
        <v>36060</v>
      </c>
      <c r="V5784" s="10" t="s">
        <v>736</v>
      </c>
      <c r="W5784" s="10" t="s">
        <v>36043</v>
      </c>
      <c r="X5784" s="13" t="str">
        <f>HYPERLINK("https://my.pitchbook.com?p=16769-26P","View People Online")</f>
        <v>View People Online</v>
      </c>
    </row>
    <row r="5785">
      <c r="A5785" s="6" t="s">
        <v>36061</v>
      </c>
      <c r="B5785" s="6" t="s">
        <v>36062</v>
      </c>
      <c r="C5785" s="6" t="s">
        <v>36063</v>
      </c>
      <c r="D5785" s="6" t="s">
        <v>36064</v>
      </c>
      <c r="E5785" s="6" t="s">
        <v>36043</v>
      </c>
      <c r="F5785" s="6" t="s">
        <v>2652</v>
      </c>
      <c r="G5785" s="6" t="s">
        <v>36065</v>
      </c>
      <c r="H5785" s="7" t="s">
        <v>31</v>
      </c>
      <c r="I5785" s="7">
        <v>1.0</v>
      </c>
      <c r="J5785" s="7">
        <v>1.0</v>
      </c>
      <c r="K5785" s="7" t="s">
        <v>31</v>
      </c>
      <c r="L5785" s="8" t="s">
        <v>36052</v>
      </c>
      <c r="M5785" s="6" t="s">
        <v>36066</v>
      </c>
      <c r="N5785" s="6" t="s">
        <v>75</v>
      </c>
      <c r="O5785" s="8" t="s">
        <v>76</v>
      </c>
      <c r="P5785" s="6" t="s">
        <v>36047</v>
      </c>
      <c r="Q5785" s="6" t="s">
        <v>24925</v>
      </c>
      <c r="R5785" s="6" t="s">
        <v>75</v>
      </c>
      <c r="S5785" s="8" t="s">
        <v>1478</v>
      </c>
      <c r="T5785" s="6" t="s">
        <v>66</v>
      </c>
      <c r="U5785" s="8" t="s">
        <v>31</v>
      </c>
      <c r="V5785" s="6" t="s">
        <v>36067</v>
      </c>
      <c r="W5785" s="6" t="s">
        <v>36043</v>
      </c>
      <c r="X5785" s="9" t="str">
        <f>HYPERLINK("https://my.pitchbook.com?p=338906-71P","View People Online")</f>
        <v>View People Online</v>
      </c>
    </row>
    <row r="5786">
      <c r="A5786" s="10" t="s">
        <v>36068</v>
      </c>
      <c r="B5786" s="10" t="s">
        <v>36069</v>
      </c>
      <c r="C5786" s="10" t="s">
        <v>36070</v>
      </c>
      <c r="D5786" s="10" t="s">
        <v>36071</v>
      </c>
      <c r="E5786" s="10" t="s">
        <v>36072</v>
      </c>
      <c r="F5786" s="10" t="s">
        <v>470</v>
      </c>
      <c r="G5786" s="10" t="s">
        <v>36073</v>
      </c>
      <c r="H5786" s="11" t="s">
        <v>31</v>
      </c>
      <c r="I5786" s="11">
        <v>1.0</v>
      </c>
      <c r="J5786" s="11">
        <v>1.0</v>
      </c>
      <c r="K5786" s="11" t="s">
        <v>31</v>
      </c>
      <c r="L5786" s="12" t="s">
        <v>36074</v>
      </c>
      <c r="M5786" s="10" t="s">
        <v>36075</v>
      </c>
      <c r="N5786" s="10" t="s">
        <v>243</v>
      </c>
      <c r="O5786" s="12" t="s">
        <v>244</v>
      </c>
      <c r="P5786" s="10" t="s">
        <v>36076</v>
      </c>
      <c r="Q5786" s="10" t="s">
        <v>36077</v>
      </c>
      <c r="R5786" s="10" t="s">
        <v>247</v>
      </c>
      <c r="S5786" s="12" t="s">
        <v>36078</v>
      </c>
      <c r="T5786" s="10" t="s">
        <v>249</v>
      </c>
      <c r="U5786" s="12" t="s">
        <v>31</v>
      </c>
      <c r="V5786" s="10" t="s">
        <v>470</v>
      </c>
      <c r="W5786" s="10" t="s">
        <v>36072</v>
      </c>
      <c r="X5786" s="13" t="str">
        <f>HYPERLINK("https://my.pitchbook.com?p=298533-97P","View People Online")</f>
        <v>View People Online</v>
      </c>
    </row>
    <row r="5787">
      <c r="A5787" s="14" t="s">
        <v>36079</v>
      </c>
      <c r="B5787" s="14" t="s">
        <v>36080</v>
      </c>
      <c r="C5787" s="14" t="s">
        <v>6148</v>
      </c>
      <c r="D5787" s="14" t="s">
        <v>36081</v>
      </c>
      <c r="E5787" s="14" t="s">
        <v>36072</v>
      </c>
      <c r="F5787" s="14" t="s">
        <v>152</v>
      </c>
      <c r="G5787" s="14" t="s">
        <v>36082</v>
      </c>
      <c r="H5787" s="15" t="s">
        <v>31</v>
      </c>
      <c r="I5787" s="15">
        <v>1.0</v>
      </c>
      <c r="J5787" s="15">
        <v>1.0</v>
      </c>
      <c r="K5787" s="15" t="s">
        <v>31</v>
      </c>
      <c r="L5787" s="16" t="s">
        <v>36074</v>
      </c>
      <c r="M5787" s="14" t="s">
        <v>36083</v>
      </c>
      <c r="N5787" s="14" t="s">
        <v>243</v>
      </c>
      <c r="O5787" s="16" t="s">
        <v>244</v>
      </c>
      <c r="P5787" s="14" t="s">
        <v>36076</v>
      </c>
      <c r="Q5787" s="14" t="s">
        <v>36077</v>
      </c>
      <c r="R5787" s="14" t="s">
        <v>247</v>
      </c>
      <c r="S5787" s="16" t="s">
        <v>36078</v>
      </c>
      <c r="T5787" s="14" t="s">
        <v>249</v>
      </c>
      <c r="U5787" s="16" t="s">
        <v>31</v>
      </c>
      <c r="V5787" s="14" t="s">
        <v>152</v>
      </c>
      <c r="W5787" s="14" t="s">
        <v>36072</v>
      </c>
      <c r="X5787" s="17" t="str">
        <f>HYPERLINK("https://my.pitchbook.com?p=300437-65P","View People Online")</f>
        <v>View People Online</v>
      </c>
    </row>
    <row r="5788">
      <c r="A5788" s="10" t="s">
        <v>36084</v>
      </c>
      <c r="B5788" s="10" t="s">
        <v>36085</v>
      </c>
      <c r="C5788" s="10" t="s">
        <v>5684</v>
      </c>
      <c r="D5788" s="10" t="s">
        <v>36086</v>
      </c>
      <c r="E5788" s="10" t="s">
        <v>36087</v>
      </c>
      <c r="F5788" s="10" t="s">
        <v>114</v>
      </c>
      <c r="G5788" s="10" t="s">
        <v>36088</v>
      </c>
      <c r="H5788" s="11">
        <v>5.0</v>
      </c>
      <c r="I5788" s="11">
        <v>8.0</v>
      </c>
      <c r="J5788" s="11">
        <v>2.0</v>
      </c>
      <c r="K5788" s="11" t="s">
        <v>31</v>
      </c>
      <c r="L5788" s="12" t="s">
        <v>36089</v>
      </c>
      <c r="M5788" s="10" t="s">
        <v>31</v>
      </c>
      <c r="N5788" s="10" t="s">
        <v>36090</v>
      </c>
      <c r="O5788" s="12" t="s">
        <v>36091</v>
      </c>
      <c r="P5788" s="10" t="s">
        <v>36092</v>
      </c>
      <c r="Q5788" s="10" t="s">
        <v>31</v>
      </c>
      <c r="R5788" s="10" t="s">
        <v>7262</v>
      </c>
      <c r="S5788" s="12" t="s">
        <v>36093</v>
      </c>
      <c r="T5788" s="10" t="s">
        <v>5484</v>
      </c>
      <c r="U5788" s="12" t="s">
        <v>36094</v>
      </c>
      <c r="V5788" s="10" t="s">
        <v>2379</v>
      </c>
      <c r="W5788" s="10" t="s">
        <v>36095</v>
      </c>
      <c r="X5788" s="13" t="str">
        <f>HYPERLINK("https://my.pitchbook.com?p=202678-30P","View People Online")</f>
        <v>View People Online</v>
      </c>
    </row>
    <row r="5789">
      <c r="A5789" s="14" t="s">
        <v>36096</v>
      </c>
      <c r="B5789" s="14" t="s">
        <v>36097</v>
      </c>
      <c r="C5789" s="14" t="s">
        <v>10383</v>
      </c>
      <c r="D5789" s="14" t="s">
        <v>36098</v>
      </c>
      <c r="E5789" s="14" t="s">
        <v>36087</v>
      </c>
      <c r="F5789" s="14" t="s">
        <v>548</v>
      </c>
      <c r="G5789" s="14" t="s">
        <v>36099</v>
      </c>
      <c r="H5789" s="15" t="s">
        <v>31</v>
      </c>
      <c r="I5789" s="15">
        <v>2.0</v>
      </c>
      <c r="J5789" s="15">
        <v>2.0</v>
      </c>
      <c r="K5789" s="15" t="s">
        <v>31</v>
      </c>
      <c r="L5789" s="16" t="s">
        <v>36100</v>
      </c>
      <c r="M5789" s="14" t="s">
        <v>36101</v>
      </c>
      <c r="N5789" s="14" t="s">
        <v>36102</v>
      </c>
      <c r="O5789" s="16" t="s">
        <v>36103</v>
      </c>
      <c r="P5789" s="14" t="s">
        <v>36104</v>
      </c>
      <c r="Q5789" s="14" t="s">
        <v>5626</v>
      </c>
      <c r="R5789" s="14" t="s">
        <v>64</v>
      </c>
      <c r="S5789" s="16" t="s">
        <v>36105</v>
      </c>
      <c r="T5789" s="14" t="s">
        <v>66</v>
      </c>
      <c r="U5789" s="16" t="s">
        <v>31</v>
      </c>
      <c r="V5789" s="14" t="s">
        <v>36106</v>
      </c>
      <c r="W5789" s="14" t="s">
        <v>36087</v>
      </c>
      <c r="X5789" s="17" t="str">
        <f>HYPERLINK("https://my.pitchbook.com?p=40816-00P","View People Online")</f>
        <v>View People Online</v>
      </c>
    </row>
    <row r="5790">
      <c r="A5790" s="2" t="s">
        <v>36107</v>
      </c>
      <c r="B5790" s="2" t="s">
        <v>36108</v>
      </c>
      <c r="C5790" s="2" t="s">
        <v>1449</v>
      </c>
      <c r="D5790" s="2" t="s">
        <v>5495</v>
      </c>
      <c r="E5790" s="2" t="s">
        <v>36087</v>
      </c>
      <c r="F5790" s="2" t="s">
        <v>114</v>
      </c>
      <c r="G5790" s="2" t="s">
        <v>36109</v>
      </c>
      <c r="H5790" s="3" t="s">
        <v>31</v>
      </c>
      <c r="I5790" s="3">
        <v>1.0</v>
      </c>
      <c r="J5790" s="3">
        <v>1.0</v>
      </c>
      <c r="K5790" s="3" t="s">
        <v>31</v>
      </c>
      <c r="L5790" s="4" t="s">
        <v>36110</v>
      </c>
      <c r="M5790" s="2" t="s">
        <v>36111</v>
      </c>
      <c r="N5790" s="2" t="s">
        <v>36102</v>
      </c>
      <c r="O5790" s="4" t="s">
        <v>36103</v>
      </c>
      <c r="P5790" s="2" t="s">
        <v>36104</v>
      </c>
      <c r="Q5790" s="2" t="s">
        <v>5626</v>
      </c>
      <c r="R5790" s="2" t="s">
        <v>64</v>
      </c>
      <c r="S5790" s="4" t="s">
        <v>36105</v>
      </c>
      <c r="T5790" s="2" t="s">
        <v>66</v>
      </c>
      <c r="U5790" s="4" t="s">
        <v>31</v>
      </c>
      <c r="V5790" s="2" t="s">
        <v>36112</v>
      </c>
      <c r="W5790" s="2" t="s">
        <v>36087</v>
      </c>
      <c r="X5790" s="5" t="str">
        <f>HYPERLINK("https://my.pitchbook.com?p=94366-45P","View People Online")</f>
        <v>View People Online</v>
      </c>
    </row>
    <row r="5791">
      <c r="A5791" s="14" t="s">
        <v>36113</v>
      </c>
      <c r="B5791" s="14" t="s">
        <v>36114</v>
      </c>
      <c r="C5791" s="14" t="s">
        <v>7286</v>
      </c>
      <c r="D5791" s="14" t="s">
        <v>36115</v>
      </c>
      <c r="E5791" s="14" t="s">
        <v>36087</v>
      </c>
      <c r="F5791" s="14" t="s">
        <v>114</v>
      </c>
      <c r="G5791" s="14" t="s">
        <v>36116</v>
      </c>
      <c r="H5791" s="15">
        <v>4.0</v>
      </c>
      <c r="I5791" s="15">
        <v>13.0</v>
      </c>
      <c r="J5791" s="15">
        <v>2.0</v>
      </c>
      <c r="K5791" s="15">
        <v>3.0</v>
      </c>
      <c r="L5791" s="16" t="s">
        <v>36110</v>
      </c>
      <c r="M5791" s="14" t="s">
        <v>36117</v>
      </c>
      <c r="N5791" s="14" t="s">
        <v>36102</v>
      </c>
      <c r="O5791" s="16" t="s">
        <v>36103</v>
      </c>
      <c r="P5791" s="14" t="s">
        <v>36104</v>
      </c>
      <c r="Q5791" s="14" t="s">
        <v>5626</v>
      </c>
      <c r="R5791" s="14" t="s">
        <v>64</v>
      </c>
      <c r="S5791" s="16" t="s">
        <v>36105</v>
      </c>
      <c r="T5791" s="14" t="s">
        <v>66</v>
      </c>
      <c r="U5791" s="16" t="s">
        <v>31</v>
      </c>
      <c r="V5791" s="14" t="s">
        <v>29</v>
      </c>
      <c r="W5791" s="14" t="s">
        <v>36118</v>
      </c>
      <c r="X5791" s="17" t="str">
        <f>HYPERLINK("https://my.pitchbook.com?p=204310-45P","View People Online")</f>
        <v>View People Online</v>
      </c>
    </row>
    <row r="5792">
      <c r="A5792" s="2" t="s">
        <v>36119</v>
      </c>
      <c r="B5792" s="2" t="s">
        <v>36120</v>
      </c>
      <c r="C5792" s="2" t="s">
        <v>36121</v>
      </c>
      <c r="D5792" s="2" t="s">
        <v>4015</v>
      </c>
      <c r="E5792" s="2" t="s">
        <v>36087</v>
      </c>
      <c r="F5792" s="2" t="s">
        <v>114</v>
      </c>
      <c r="G5792" s="2" t="s">
        <v>36122</v>
      </c>
      <c r="H5792" s="3">
        <v>1.0</v>
      </c>
      <c r="I5792" s="3">
        <v>4.0</v>
      </c>
      <c r="J5792" s="3">
        <v>2.0</v>
      </c>
      <c r="K5792" s="3">
        <v>1.0</v>
      </c>
      <c r="L5792" s="4" t="s">
        <v>31</v>
      </c>
      <c r="M5792" s="2" t="s">
        <v>36123</v>
      </c>
      <c r="N5792" s="2" t="s">
        <v>3190</v>
      </c>
      <c r="O5792" s="4" t="s">
        <v>3191</v>
      </c>
      <c r="P5792" s="2" t="s">
        <v>36124</v>
      </c>
      <c r="Q5792" s="2" t="s">
        <v>36125</v>
      </c>
      <c r="R5792" s="2" t="s">
        <v>31</v>
      </c>
      <c r="S5792" s="4" t="s">
        <v>36126</v>
      </c>
      <c r="T5792" s="2" t="s">
        <v>3194</v>
      </c>
      <c r="U5792" s="4" t="s">
        <v>31</v>
      </c>
      <c r="V5792" s="2" t="s">
        <v>470</v>
      </c>
      <c r="W5792" s="2" t="s">
        <v>36127</v>
      </c>
      <c r="X5792" s="5" t="str">
        <f>HYPERLINK("https://my.pitchbook.com?p=123455-98P","View People Online")</f>
        <v>View People Online</v>
      </c>
    </row>
    <row r="5793">
      <c r="A5793" s="14" t="s">
        <v>36128</v>
      </c>
      <c r="B5793" s="14" t="s">
        <v>36129</v>
      </c>
      <c r="C5793" s="14" t="s">
        <v>36130</v>
      </c>
      <c r="D5793" s="14" t="s">
        <v>36131</v>
      </c>
      <c r="E5793" s="14" t="s">
        <v>36087</v>
      </c>
      <c r="F5793" s="14" t="s">
        <v>114</v>
      </c>
      <c r="G5793" s="14" t="s">
        <v>36132</v>
      </c>
      <c r="H5793" s="15">
        <v>1.0</v>
      </c>
      <c r="I5793" s="15">
        <v>3.0</v>
      </c>
      <c r="J5793" s="15">
        <v>2.0</v>
      </c>
      <c r="K5793" s="15" t="s">
        <v>31</v>
      </c>
      <c r="L5793" s="16" t="s">
        <v>36110</v>
      </c>
      <c r="M5793" s="14" t="s">
        <v>36133</v>
      </c>
      <c r="N5793" s="14" t="s">
        <v>36102</v>
      </c>
      <c r="O5793" s="16" t="s">
        <v>36103</v>
      </c>
      <c r="P5793" s="14" t="s">
        <v>36104</v>
      </c>
      <c r="Q5793" s="14" t="s">
        <v>5626</v>
      </c>
      <c r="R5793" s="14" t="s">
        <v>64</v>
      </c>
      <c r="S5793" s="16" t="s">
        <v>36105</v>
      </c>
      <c r="T5793" s="14" t="s">
        <v>66</v>
      </c>
      <c r="U5793" s="16" t="s">
        <v>31</v>
      </c>
      <c r="V5793" s="14" t="s">
        <v>114</v>
      </c>
      <c r="W5793" s="14" t="s">
        <v>36087</v>
      </c>
      <c r="X5793" s="17" t="str">
        <f>HYPERLINK("https://my.pitchbook.com?p=13736-98P","View People Online")</f>
        <v>View People Online</v>
      </c>
    </row>
    <row r="5794">
      <c r="A5794" s="10" t="s">
        <v>36134</v>
      </c>
      <c r="B5794" s="10" t="s">
        <v>36135</v>
      </c>
      <c r="C5794" s="10" t="s">
        <v>18624</v>
      </c>
      <c r="D5794" s="10" t="s">
        <v>36136</v>
      </c>
      <c r="E5794" s="10" t="s">
        <v>36087</v>
      </c>
      <c r="F5794" s="10" t="s">
        <v>7182</v>
      </c>
      <c r="G5794" s="10" t="s">
        <v>36137</v>
      </c>
      <c r="H5794" s="11">
        <v>1.0</v>
      </c>
      <c r="I5794" s="11">
        <v>6.0</v>
      </c>
      <c r="J5794" s="11">
        <v>1.0</v>
      </c>
      <c r="K5794" s="11">
        <v>1.0</v>
      </c>
      <c r="L5794" s="12" t="s">
        <v>36138</v>
      </c>
      <c r="M5794" s="10" t="s">
        <v>36139</v>
      </c>
      <c r="N5794" s="10" t="s">
        <v>36102</v>
      </c>
      <c r="O5794" s="12" t="s">
        <v>36103</v>
      </c>
      <c r="P5794" s="10" t="s">
        <v>36104</v>
      </c>
      <c r="Q5794" s="10" t="s">
        <v>5626</v>
      </c>
      <c r="R5794" s="10" t="s">
        <v>64</v>
      </c>
      <c r="S5794" s="12" t="s">
        <v>36105</v>
      </c>
      <c r="T5794" s="10" t="s">
        <v>66</v>
      </c>
      <c r="U5794" s="12" t="s">
        <v>31</v>
      </c>
      <c r="V5794" s="10" t="s">
        <v>7182</v>
      </c>
      <c r="W5794" s="10" t="s">
        <v>36087</v>
      </c>
      <c r="X5794" s="13" t="str">
        <f>HYPERLINK("https://my.pitchbook.com?p=46374-13P","View People Online")</f>
        <v>View People Online</v>
      </c>
    </row>
    <row r="5795">
      <c r="A5795" s="6" t="s">
        <v>36140</v>
      </c>
      <c r="B5795" s="6" t="s">
        <v>36141</v>
      </c>
      <c r="C5795" s="6" t="s">
        <v>126</v>
      </c>
      <c r="D5795" s="6" t="s">
        <v>12868</v>
      </c>
      <c r="E5795" s="6" t="s">
        <v>36087</v>
      </c>
      <c r="F5795" s="6" t="s">
        <v>36142</v>
      </c>
      <c r="G5795" s="6" t="s">
        <v>36143</v>
      </c>
      <c r="H5795" s="7" t="s">
        <v>31</v>
      </c>
      <c r="I5795" s="7">
        <v>2.0</v>
      </c>
      <c r="J5795" s="7">
        <v>2.0</v>
      </c>
      <c r="K5795" s="7" t="s">
        <v>31</v>
      </c>
      <c r="L5795" s="8" t="s">
        <v>36110</v>
      </c>
      <c r="M5795" s="6" t="s">
        <v>36144</v>
      </c>
      <c r="N5795" s="6" t="s">
        <v>36102</v>
      </c>
      <c r="O5795" s="8" t="s">
        <v>36103</v>
      </c>
      <c r="P5795" s="6" t="s">
        <v>36104</v>
      </c>
      <c r="Q5795" s="6" t="s">
        <v>5626</v>
      </c>
      <c r="R5795" s="6" t="s">
        <v>64</v>
      </c>
      <c r="S5795" s="8" t="s">
        <v>36105</v>
      </c>
      <c r="T5795" s="6" t="s">
        <v>66</v>
      </c>
      <c r="U5795" s="8" t="s">
        <v>31</v>
      </c>
      <c r="V5795" s="6" t="s">
        <v>36145</v>
      </c>
      <c r="W5795" s="6" t="s">
        <v>36087</v>
      </c>
      <c r="X5795" s="9" t="str">
        <f>HYPERLINK("https://my.pitchbook.com?p=74403-46P","View People Online")</f>
        <v>View People Online</v>
      </c>
    </row>
    <row r="5796">
      <c r="A5796" s="2" t="s">
        <v>36146</v>
      </c>
      <c r="B5796" s="2" t="s">
        <v>36147</v>
      </c>
      <c r="C5796" s="2" t="s">
        <v>3716</v>
      </c>
      <c r="D5796" s="2" t="s">
        <v>6051</v>
      </c>
      <c r="E5796" s="2" t="s">
        <v>36087</v>
      </c>
      <c r="F5796" s="2" t="s">
        <v>114</v>
      </c>
      <c r="G5796" s="2" t="s">
        <v>36148</v>
      </c>
      <c r="H5796" s="3" t="s">
        <v>31</v>
      </c>
      <c r="I5796" s="3">
        <v>2.0</v>
      </c>
      <c r="J5796" s="3">
        <v>2.0</v>
      </c>
      <c r="K5796" s="3" t="s">
        <v>31</v>
      </c>
      <c r="L5796" s="4" t="s">
        <v>36149</v>
      </c>
      <c r="M5796" s="2" t="s">
        <v>31</v>
      </c>
      <c r="N5796" s="2" t="s">
        <v>6599</v>
      </c>
      <c r="O5796" s="4" t="s">
        <v>6600</v>
      </c>
      <c r="P5796" s="2" t="s">
        <v>36150</v>
      </c>
      <c r="Q5796" s="2" t="s">
        <v>1719</v>
      </c>
      <c r="R5796" s="2" t="s">
        <v>64</v>
      </c>
      <c r="S5796" s="4" t="s">
        <v>6601</v>
      </c>
      <c r="T5796" s="2" t="s">
        <v>66</v>
      </c>
      <c r="U5796" s="4" t="s">
        <v>31</v>
      </c>
      <c r="V5796" s="2" t="s">
        <v>502</v>
      </c>
      <c r="W5796" s="2" t="s">
        <v>36151</v>
      </c>
      <c r="X5796" s="5" t="str">
        <f>HYPERLINK("https://my.pitchbook.com?p=115295-05P","View People Online")</f>
        <v>View People Online</v>
      </c>
    </row>
    <row r="5797">
      <c r="A5797" s="14" t="s">
        <v>36152</v>
      </c>
      <c r="B5797" s="14" t="s">
        <v>36153</v>
      </c>
      <c r="C5797" s="14" t="s">
        <v>4679</v>
      </c>
      <c r="D5797" s="14" t="s">
        <v>12088</v>
      </c>
      <c r="E5797" s="14" t="s">
        <v>36087</v>
      </c>
      <c r="F5797" s="14" t="s">
        <v>29</v>
      </c>
      <c r="G5797" s="14" t="s">
        <v>36154</v>
      </c>
      <c r="H5797" s="15">
        <v>4.0</v>
      </c>
      <c r="I5797" s="15">
        <v>31.0</v>
      </c>
      <c r="J5797" s="15">
        <v>2.0</v>
      </c>
      <c r="K5797" s="15">
        <v>19.0</v>
      </c>
      <c r="L5797" s="16" t="s">
        <v>36110</v>
      </c>
      <c r="M5797" s="14" t="s">
        <v>36155</v>
      </c>
      <c r="N5797" s="14" t="s">
        <v>36102</v>
      </c>
      <c r="O5797" s="16" t="s">
        <v>36103</v>
      </c>
      <c r="P5797" s="14" t="s">
        <v>36104</v>
      </c>
      <c r="Q5797" s="14" t="s">
        <v>5626</v>
      </c>
      <c r="R5797" s="14" t="s">
        <v>64</v>
      </c>
      <c r="S5797" s="16" t="s">
        <v>36105</v>
      </c>
      <c r="T5797" s="14" t="s">
        <v>66</v>
      </c>
      <c r="U5797" s="16" t="s">
        <v>31</v>
      </c>
      <c r="V5797" s="14" t="s">
        <v>29</v>
      </c>
      <c r="W5797" s="14" t="s">
        <v>36087</v>
      </c>
      <c r="X5797" s="17" t="str">
        <f>HYPERLINK("https://my.pitchbook.com?p=35757-91P","View People Online")</f>
        <v>View People Online</v>
      </c>
    </row>
    <row r="5798">
      <c r="A5798" s="2" t="s">
        <v>36156</v>
      </c>
      <c r="B5798" s="2" t="s">
        <v>36157</v>
      </c>
      <c r="C5798" s="2" t="s">
        <v>36158</v>
      </c>
      <c r="D5798" s="2" t="s">
        <v>36159</v>
      </c>
      <c r="E5798" s="2" t="s">
        <v>36160</v>
      </c>
      <c r="F5798" s="2" t="s">
        <v>81</v>
      </c>
      <c r="G5798" s="2" t="s">
        <v>36161</v>
      </c>
      <c r="H5798" s="3">
        <v>1.0</v>
      </c>
      <c r="I5798" s="3">
        <v>45.0</v>
      </c>
      <c r="J5798" s="3" t="s">
        <v>31</v>
      </c>
      <c r="K5798" s="3">
        <v>37.0</v>
      </c>
      <c r="L5798" s="4" t="s">
        <v>31</v>
      </c>
      <c r="M5798" s="2" t="s">
        <v>31</v>
      </c>
      <c r="N5798" s="2" t="s">
        <v>6588</v>
      </c>
      <c r="O5798" s="4" t="s">
        <v>6589</v>
      </c>
      <c r="P5798" s="2" t="s">
        <v>36162</v>
      </c>
      <c r="Q5798" s="2" t="s">
        <v>31</v>
      </c>
      <c r="R5798" s="2" t="s">
        <v>93</v>
      </c>
      <c r="S5798" s="4" t="s">
        <v>27077</v>
      </c>
      <c r="T5798" s="2" t="s">
        <v>66</v>
      </c>
      <c r="U5798" s="4" t="s">
        <v>31</v>
      </c>
      <c r="V5798" s="2" t="s">
        <v>302</v>
      </c>
      <c r="W5798" s="2" t="s">
        <v>36163</v>
      </c>
      <c r="X5798" s="5" t="str">
        <f>HYPERLINK("https://my.pitchbook.com?p=22327-93P","View People Online")</f>
        <v>View People Online</v>
      </c>
    </row>
    <row r="5799">
      <c r="A5799" s="14" t="s">
        <v>36164</v>
      </c>
      <c r="B5799" s="14" t="s">
        <v>36165</v>
      </c>
      <c r="C5799" s="14" t="s">
        <v>1437</v>
      </c>
      <c r="D5799" s="14" t="s">
        <v>36166</v>
      </c>
      <c r="E5799" s="14" t="s">
        <v>36160</v>
      </c>
      <c r="F5799" s="14" t="s">
        <v>57</v>
      </c>
      <c r="G5799" s="14" t="s">
        <v>36167</v>
      </c>
      <c r="H5799" s="15">
        <v>1.0</v>
      </c>
      <c r="I5799" s="15">
        <v>4.0</v>
      </c>
      <c r="J5799" s="15">
        <v>1.0</v>
      </c>
      <c r="K5799" s="15">
        <v>1.0</v>
      </c>
      <c r="L5799" s="16" t="s">
        <v>31</v>
      </c>
      <c r="M5799" s="14" t="s">
        <v>36168</v>
      </c>
      <c r="N5799" s="14" t="s">
        <v>5345</v>
      </c>
      <c r="O5799" s="16" t="s">
        <v>5346</v>
      </c>
      <c r="P5799" s="14" t="s">
        <v>36169</v>
      </c>
      <c r="Q5799" s="14" t="s">
        <v>31</v>
      </c>
      <c r="R5799" s="14" t="s">
        <v>5348</v>
      </c>
      <c r="S5799" s="16" t="s">
        <v>31</v>
      </c>
      <c r="T5799" s="14" t="s">
        <v>66</v>
      </c>
      <c r="U5799" s="16" t="s">
        <v>31</v>
      </c>
      <c r="V5799" s="14" t="s">
        <v>57</v>
      </c>
      <c r="W5799" s="14" t="s">
        <v>36160</v>
      </c>
      <c r="X5799" s="17" t="str">
        <f>HYPERLINK("https://my.pitchbook.com?p=240465-25P","View People Online")</f>
        <v>View People Online</v>
      </c>
    </row>
    <row r="5800">
      <c r="A5800" s="2" t="s">
        <v>36170</v>
      </c>
      <c r="B5800" s="2" t="s">
        <v>36171</v>
      </c>
      <c r="C5800" s="2" t="s">
        <v>4923</v>
      </c>
      <c r="D5800" s="2" t="s">
        <v>16467</v>
      </c>
      <c r="E5800" s="2" t="s">
        <v>36160</v>
      </c>
      <c r="F5800" s="2" t="s">
        <v>29</v>
      </c>
      <c r="G5800" s="2" t="s">
        <v>36172</v>
      </c>
      <c r="H5800" s="3">
        <v>2.0</v>
      </c>
      <c r="I5800" s="3">
        <v>4.0</v>
      </c>
      <c r="J5800" s="3">
        <v>1.0</v>
      </c>
      <c r="K5800" s="3">
        <v>1.0</v>
      </c>
      <c r="L5800" s="4" t="s">
        <v>31</v>
      </c>
      <c r="M5800" s="2" t="s">
        <v>36173</v>
      </c>
      <c r="N5800" s="2" t="s">
        <v>5345</v>
      </c>
      <c r="O5800" s="4" t="s">
        <v>5346</v>
      </c>
      <c r="P5800" s="2" t="s">
        <v>36169</v>
      </c>
      <c r="Q5800" s="2" t="s">
        <v>31</v>
      </c>
      <c r="R5800" s="2" t="s">
        <v>5348</v>
      </c>
      <c r="S5800" s="4" t="s">
        <v>31</v>
      </c>
      <c r="T5800" s="2" t="s">
        <v>66</v>
      </c>
      <c r="U5800" s="4" t="s">
        <v>31</v>
      </c>
      <c r="V5800" s="2" t="s">
        <v>29</v>
      </c>
      <c r="W5800" s="2" t="s">
        <v>36160</v>
      </c>
      <c r="X5800" s="5" t="str">
        <f>HYPERLINK("https://my.pitchbook.com?p=197967-25P","View People Online")</f>
        <v>View People Online</v>
      </c>
    </row>
    <row r="5801">
      <c r="A5801" s="6" t="s">
        <v>36174</v>
      </c>
      <c r="B5801" s="6" t="s">
        <v>36175</v>
      </c>
      <c r="C5801" s="6" t="s">
        <v>1449</v>
      </c>
      <c r="D5801" s="6" t="s">
        <v>200</v>
      </c>
      <c r="E5801" s="6" t="s">
        <v>36160</v>
      </c>
      <c r="F5801" s="6" t="s">
        <v>81</v>
      </c>
      <c r="G5801" s="6" t="s">
        <v>36176</v>
      </c>
      <c r="H5801" s="7">
        <v>3.0</v>
      </c>
      <c r="I5801" s="7">
        <v>217.0</v>
      </c>
      <c r="J5801" s="7">
        <v>1.0</v>
      </c>
      <c r="K5801" s="7">
        <v>192.0</v>
      </c>
      <c r="L5801" s="8" t="s">
        <v>27075</v>
      </c>
      <c r="M5801" s="6" t="s">
        <v>36177</v>
      </c>
      <c r="N5801" s="6" t="s">
        <v>6588</v>
      </c>
      <c r="O5801" s="8" t="s">
        <v>6589</v>
      </c>
      <c r="P5801" s="6" t="s">
        <v>27076</v>
      </c>
      <c r="Q5801" s="6" t="s">
        <v>31</v>
      </c>
      <c r="R5801" s="6" t="s">
        <v>93</v>
      </c>
      <c r="S5801" s="8" t="s">
        <v>27077</v>
      </c>
      <c r="T5801" s="6" t="s">
        <v>66</v>
      </c>
      <c r="U5801" s="8" t="s">
        <v>31</v>
      </c>
      <c r="V5801" s="6" t="s">
        <v>991</v>
      </c>
      <c r="W5801" s="6" t="s">
        <v>27079</v>
      </c>
      <c r="X5801" s="9" t="str">
        <f>HYPERLINK("https://my.pitchbook.com?p=35381-26P","View People Online")</f>
        <v>View People Online</v>
      </c>
    </row>
    <row r="5802">
      <c r="A5802" s="2" t="s">
        <v>36178</v>
      </c>
      <c r="B5802" s="2" t="s">
        <v>36179</v>
      </c>
      <c r="C5802" s="2" t="s">
        <v>1343</v>
      </c>
      <c r="D5802" s="2" t="s">
        <v>36180</v>
      </c>
      <c r="E5802" s="2" t="s">
        <v>36160</v>
      </c>
      <c r="F5802" s="2" t="s">
        <v>674</v>
      </c>
      <c r="G5802" s="2" t="s">
        <v>36181</v>
      </c>
      <c r="H5802" s="3">
        <v>2.0</v>
      </c>
      <c r="I5802" s="3">
        <v>34.0</v>
      </c>
      <c r="J5802" s="3">
        <v>1.0</v>
      </c>
      <c r="K5802" s="3">
        <v>28.0</v>
      </c>
      <c r="L5802" s="4" t="s">
        <v>31</v>
      </c>
      <c r="M5802" s="2" t="s">
        <v>36182</v>
      </c>
      <c r="N5802" s="2" t="s">
        <v>5345</v>
      </c>
      <c r="O5802" s="4" t="s">
        <v>5346</v>
      </c>
      <c r="P5802" s="2" t="s">
        <v>36169</v>
      </c>
      <c r="Q5802" s="2" t="s">
        <v>31</v>
      </c>
      <c r="R5802" s="2" t="s">
        <v>5348</v>
      </c>
      <c r="S5802" s="4" t="s">
        <v>31</v>
      </c>
      <c r="T5802" s="2" t="s">
        <v>66</v>
      </c>
      <c r="U5802" s="4" t="s">
        <v>31</v>
      </c>
      <c r="V5802" s="2" t="s">
        <v>1172</v>
      </c>
      <c r="W5802" s="2" t="s">
        <v>36160</v>
      </c>
      <c r="X5802" s="5" t="str">
        <f>HYPERLINK("https://my.pitchbook.com?p=95511-70P","View People Online")</f>
        <v>View People Online</v>
      </c>
    </row>
    <row r="5803">
      <c r="A5803" s="14" t="s">
        <v>36183</v>
      </c>
      <c r="B5803" s="14" t="s">
        <v>36184</v>
      </c>
      <c r="C5803" s="14" t="s">
        <v>3089</v>
      </c>
      <c r="D5803" s="14" t="s">
        <v>36185</v>
      </c>
      <c r="E5803" s="14" t="s">
        <v>36160</v>
      </c>
      <c r="F5803" s="14" t="s">
        <v>81</v>
      </c>
      <c r="G5803" s="14" t="s">
        <v>36186</v>
      </c>
      <c r="H5803" s="15" t="s">
        <v>31</v>
      </c>
      <c r="I5803" s="15">
        <v>4.0</v>
      </c>
      <c r="J5803" s="15">
        <v>1.0</v>
      </c>
      <c r="K5803" s="15">
        <v>2.0</v>
      </c>
      <c r="L5803" s="16" t="s">
        <v>36187</v>
      </c>
      <c r="M5803" s="14" t="s">
        <v>36188</v>
      </c>
      <c r="N5803" s="14" t="s">
        <v>10356</v>
      </c>
      <c r="O5803" s="16" t="s">
        <v>10357</v>
      </c>
      <c r="P5803" s="14" t="s">
        <v>36189</v>
      </c>
      <c r="Q5803" s="14" t="s">
        <v>1719</v>
      </c>
      <c r="R5803" s="14" t="s">
        <v>10359</v>
      </c>
      <c r="S5803" s="16" t="s">
        <v>36190</v>
      </c>
      <c r="T5803" s="14" t="s">
        <v>66</v>
      </c>
      <c r="U5803" s="16" t="s">
        <v>31</v>
      </c>
      <c r="V5803" s="14" t="s">
        <v>6970</v>
      </c>
      <c r="W5803" s="14" t="s">
        <v>36191</v>
      </c>
      <c r="X5803" s="17" t="str">
        <f>HYPERLINK("https://my.pitchbook.com?p=56722-24P","View People Online")</f>
        <v>View People Online</v>
      </c>
    </row>
    <row r="5804">
      <c r="A5804" s="2" t="s">
        <v>36192</v>
      </c>
      <c r="B5804" s="2" t="s">
        <v>36193</v>
      </c>
      <c r="C5804" s="2" t="s">
        <v>36194</v>
      </c>
      <c r="D5804" s="2" t="s">
        <v>7037</v>
      </c>
      <c r="E5804" s="2" t="s">
        <v>36160</v>
      </c>
      <c r="F5804" s="2" t="s">
        <v>81</v>
      </c>
      <c r="G5804" s="2" t="s">
        <v>36195</v>
      </c>
      <c r="H5804" s="3">
        <v>2.0</v>
      </c>
      <c r="I5804" s="3">
        <v>3.0</v>
      </c>
      <c r="J5804" s="3">
        <v>1.0</v>
      </c>
      <c r="K5804" s="3" t="s">
        <v>31</v>
      </c>
      <c r="L5804" s="4" t="s">
        <v>36196</v>
      </c>
      <c r="M5804" s="2" t="s">
        <v>36197</v>
      </c>
      <c r="N5804" s="2" t="s">
        <v>5345</v>
      </c>
      <c r="O5804" s="4" t="s">
        <v>5346</v>
      </c>
      <c r="P5804" s="2" t="s">
        <v>36198</v>
      </c>
      <c r="Q5804" s="2" t="s">
        <v>31</v>
      </c>
      <c r="R5804" s="2" t="s">
        <v>5348</v>
      </c>
      <c r="S5804" s="4" t="s">
        <v>36199</v>
      </c>
      <c r="T5804" s="2" t="s">
        <v>66</v>
      </c>
      <c r="U5804" s="4" t="s">
        <v>31</v>
      </c>
      <c r="V5804" s="2" t="s">
        <v>36200</v>
      </c>
      <c r="W5804" s="2" t="s">
        <v>36201</v>
      </c>
      <c r="X5804" s="5" t="str">
        <f>HYPERLINK("https://my.pitchbook.com?p=291542-41P","View People Online")</f>
        <v>View People Online</v>
      </c>
    </row>
    <row r="5805">
      <c r="A5805" s="14" t="s">
        <v>36202</v>
      </c>
      <c r="B5805" s="14" t="s">
        <v>36203</v>
      </c>
      <c r="C5805" s="14" t="s">
        <v>3716</v>
      </c>
      <c r="D5805" s="14" t="s">
        <v>8863</v>
      </c>
      <c r="E5805" s="14" t="s">
        <v>36160</v>
      </c>
      <c r="F5805" s="14" t="s">
        <v>81</v>
      </c>
      <c r="G5805" s="14" t="s">
        <v>36204</v>
      </c>
      <c r="H5805" s="15">
        <v>2.0</v>
      </c>
      <c r="I5805" s="15">
        <v>7.0</v>
      </c>
      <c r="J5805" s="15">
        <v>3.0</v>
      </c>
      <c r="K5805" s="15">
        <v>2.0</v>
      </c>
      <c r="L5805" s="16" t="s">
        <v>31</v>
      </c>
      <c r="M5805" s="14" t="s">
        <v>31</v>
      </c>
      <c r="N5805" s="14" t="s">
        <v>18812</v>
      </c>
      <c r="O5805" s="16" t="s">
        <v>18813</v>
      </c>
      <c r="P5805" s="14" t="s">
        <v>31</v>
      </c>
      <c r="Q5805" s="14" t="s">
        <v>31</v>
      </c>
      <c r="R5805" s="14" t="s">
        <v>18816</v>
      </c>
      <c r="S5805" s="16" t="s">
        <v>31</v>
      </c>
      <c r="T5805" s="14" t="s">
        <v>66</v>
      </c>
      <c r="U5805" s="16" t="s">
        <v>31</v>
      </c>
      <c r="V5805" s="14" t="s">
        <v>29</v>
      </c>
      <c r="W5805" s="14" t="s">
        <v>36205</v>
      </c>
      <c r="X5805" s="17" t="str">
        <f>HYPERLINK("https://my.pitchbook.com?p=128889-64P","View People Online")</f>
        <v>View People Online</v>
      </c>
    </row>
    <row r="5806">
      <c r="A5806" s="2" t="s">
        <v>36206</v>
      </c>
      <c r="B5806" s="2" t="s">
        <v>36207</v>
      </c>
      <c r="C5806" s="2" t="s">
        <v>3716</v>
      </c>
      <c r="D5806" s="2" t="s">
        <v>36208</v>
      </c>
      <c r="E5806" s="2" t="s">
        <v>36160</v>
      </c>
      <c r="F5806" s="2" t="s">
        <v>81</v>
      </c>
      <c r="G5806" s="2" t="s">
        <v>36209</v>
      </c>
      <c r="H5806" s="3">
        <v>3.0</v>
      </c>
      <c r="I5806" s="3">
        <v>15.0</v>
      </c>
      <c r="J5806" s="3">
        <v>2.0</v>
      </c>
      <c r="K5806" s="3">
        <v>8.0</v>
      </c>
      <c r="L5806" s="4" t="s">
        <v>31</v>
      </c>
      <c r="M5806" s="2" t="s">
        <v>31</v>
      </c>
      <c r="N5806" s="2" t="s">
        <v>18812</v>
      </c>
      <c r="O5806" s="4" t="s">
        <v>18813</v>
      </c>
      <c r="P5806" s="2" t="s">
        <v>31</v>
      </c>
      <c r="Q5806" s="2" t="s">
        <v>31</v>
      </c>
      <c r="R5806" s="2" t="s">
        <v>18816</v>
      </c>
      <c r="S5806" s="4" t="s">
        <v>31</v>
      </c>
      <c r="T5806" s="2" t="s">
        <v>66</v>
      </c>
      <c r="U5806" s="4" t="s">
        <v>31</v>
      </c>
      <c r="V5806" s="2" t="s">
        <v>29</v>
      </c>
      <c r="W5806" s="2" t="s">
        <v>36205</v>
      </c>
      <c r="X5806" s="5" t="str">
        <f>HYPERLINK("https://my.pitchbook.com?p=42444-46P","View People Online")</f>
        <v>View People Online</v>
      </c>
    </row>
    <row r="5807">
      <c r="A5807" s="6" t="s">
        <v>36210</v>
      </c>
      <c r="B5807" s="6" t="s">
        <v>36211</v>
      </c>
      <c r="C5807" s="6" t="s">
        <v>562</v>
      </c>
      <c r="D5807" s="6" t="s">
        <v>36212</v>
      </c>
      <c r="E5807" s="6" t="s">
        <v>36160</v>
      </c>
      <c r="F5807" s="6" t="s">
        <v>81</v>
      </c>
      <c r="G5807" s="6" t="s">
        <v>36213</v>
      </c>
      <c r="H5807" s="7">
        <v>7.0</v>
      </c>
      <c r="I5807" s="7">
        <v>102.0</v>
      </c>
      <c r="J5807" s="7">
        <v>2.0</v>
      </c>
      <c r="K5807" s="7">
        <v>79.0</v>
      </c>
      <c r="L5807" s="8" t="s">
        <v>36214</v>
      </c>
      <c r="M5807" s="6" t="s">
        <v>36215</v>
      </c>
      <c r="N5807" s="6" t="s">
        <v>665</v>
      </c>
      <c r="O5807" s="8" t="s">
        <v>3857</v>
      </c>
      <c r="P5807" s="6" t="s">
        <v>36216</v>
      </c>
      <c r="Q5807" s="6" t="s">
        <v>31</v>
      </c>
      <c r="R5807" s="6" t="s">
        <v>1420</v>
      </c>
      <c r="S5807" s="8" t="s">
        <v>8300</v>
      </c>
      <c r="T5807" s="6" t="s">
        <v>66</v>
      </c>
      <c r="U5807" s="8" t="s">
        <v>31</v>
      </c>
      <c r="V5807" s="6" t="s">
        <v>1114</v>
      </c>
      <c r="W5807" s="6" t="s">
        <v>36217</v>
      </c>
      <c r="X5807" s="9" t="str">
        <f>HYPERLINK("https://my.pitchbook.com?p=15364-09P","View People Online")</f>
        <v>View People Online</v>
      </c>
    </row>
    <row r="5808">
      <c r="A5808" s="10" t="s">
        <v>36218</v>
      </c>
      <c r="B5808" s="10" t="s">
        <v>36219</v>
      </c>
      <c r="C5808" s="10" t="s">
        <v>24384</v>
      </c>
      <c r="D5808" s="10" t="s">
        <v>28873</v>
      </c>
      <c r="E5808" s="10" t="s">
        <v>36160</v>
      </c>
      <c r="F5808" s="10" t="s">
        <v>81</v>
      </c>
      <c r="G5808" s="10" t="s">
        <v>36220</v>
      </c>
      <c r="H5808" s="11">
        <v>3.0</v>
      </c>
      <c r="I5808" s="11">
        <v>8.0</v>
      </c>
      <c r="J5808" s="11">
        <v>1.0</v>
      </c>
      <c r="K5808" s="11">
        <v>1.0</v>
      </c>
      <c r="L5808" s="12" t="s">
        <v>36221</v>
      </c>
      <c r="M5808" s="10" t="s">
        <v>36222</v>
      </c>
      <c r="N5808" s="10" t="s">
        <v>6588</v>
      </c>
      <c r="O5808" s="12" t="s">
        <v>6589</v>
      </c>
      <c r="P5808" s="10" t="s">
        <v>36223</v>
      </c>
      <c r="Q5808" s="10" t="s">
        <v>31</v>
      </c>
      <c r="R5808" s="10" t="s">
        <v>93</v>
      </c>
      <c r="S5808" s="12" t="s">
        <v>36224</v>
      </c>
      <c r="T5808" s="10" t="s">
        <v>66</v>
      </c>
      <c r="U5808" s="12" t="s">
        <v>31</v>
      </c>
      <c r="V5808" s="10" t="s">
        <v>36225</v>
      </c>
      <c r="W5808" s="10" t="s">
        <v>36226</v>
      </c>
      <c r="X5808" s="13" t="str">
        <f>HYPERLINK("https://my.pitchbook.com?p=35389-00P","View People Online")</f>
        <v>View People Online</v>
      </c>
    </row>
    <row r="5809">
      <c r="A5809" s="14" t="s">
        <v>36227</v>
      </c>
      <c r="B5809" s="14" t="s">
        <v>36228</v>
      </c>
      <c r="C5809" s="14" t="s">
        <v>36229</v>
      </c>
      <c r="D5809" s="14" t="s">
        <v>36230</v>
      </c>
      <c r="E5809" s="14" t="s">
        <v>36231</v>
      </c>
      <c r="F5809" s="14" t="s">
        <v>1167</v>
      </c>
      <c r="G5809" s="14" t="s">
        <v>36232</v>
      </c>
      <c r="H5809" s="15" t="s">
        <v>31</v>
      </c>
      <c r="I5809" s="15">
        <v>3.0</v>
      </c>
      <c r="J5809" s="15">
        <v>1.0</v>
      </c>
      <c r="K5809" s="15">
        <v>1.0</v>
      </c>
      <c r="L5809" s="16" t="s">
        <v>36233</v>
      </c>
      <c r="M5809" s="14" t="s">
        <v>36234</v>
      </c>
      <c r="N5809" s="14" t="s">
        <v>155</v>
      </c>
      <c r="O5809" s="16" t="s">
        <v>156</v>
      </c>
      <c r="P5809" s="14" t="s">
        <v>6578</v>
      </c>
      <c r="Q5809" s="14" t="s">
        <v>36235</v>
      </c>
      <c r="R5809" s="14" t="s">
        <v>64</v>
      </c>
      <c r="S5809" s="16" t="s">
        <v>6580</v>
      </c>
      <c r="T5809" s="14" t="s">
        <v>66</v>
      </c>
      <c r="U5809" s="16" t="s">
        <v>36236</v>
      </c>
      <c r="V5809" s="14" t="s">
        <v>991</v>
      </c>
      <c r="W5809" s="14" t="s">
        <v>36231</v>
      </c>
      <c r="X5809" s="17" t="str">
        <f>HYPERLINK("https://my.pitchbook.com?p=128444-95P","View People Online")</f>
        <v>View People Online</v>
      </c>
    </row>
    <row r="5810">
      <c r="A5810" s="10" t="s">
        <v>36237</v>
      </c>
      <c r="B5810" s="10" t="s">
        <v>36238</v>
      </c>
      <c r="C5810" s="10" t="s">
        <v>2288</v>
      </c>
      <c r="D5810" s="10" t="s">
        <v>36239</v>
      </c>
      <c r="E5810" s="10" t="s">
        <v>36231</v>
      </c>
      <c r="F5810" s="10" t="s">
        <v>152</v>
      </c>
      <c r="G5810" s="10" t="s">
        <v>36240</v>
      </c>
      <c r="H5810" s="11">
        <v>3.0</v>
      </c>
      <c r="I5810" s="11">
        <v>557.0</v>
      </c>
      <c r="J5810" s="11">
        <v>11.0</v>
      </c>
      <c r="K5810" s="11">
        <v>533.0</v>
      </c>
      <c r="L5810" s="12" t="s">
        <v>36233</v>
      </c>
      <c r="M5810" s="10" t="s">
        <v>36241</v>
      </c>
      <c r="N5810" s="10" t="s">
        <v>155</v>
      </c>
      <c r="O5810" s="12" t="s">
        <v>156</v>
      </c>
      <c r="P5810" s="10" t="s">
        <v>6578</v>
      </c>
      <c r="Q5810" s="10" t="s">
        <v>36235</v>
      </c>
      <c r="R5810" s="10" t="s">
        <v>64</v>
      </c>
      <c r="S5810" s="12" t="s">
        <v>6580</v>
      </c>
      <c r="T5810" s="10" t="s">
        <v>66</v>
      </c>
      <c r="U5810" s="12" t="s">
        <v>36236</v>
      </c>
      <c r="V5810" s="10" t="s">
        <v>157</v>
      </c>
      <c r="W5810" s="10" t="s">
        <v>36231</v>
      </c>
      <c r="X5810" s="13" t="str">
        <f>HYPERLINK("https://my.pitchbook.com?p=43563-97P","View People Online")</f>
        <v>View People Online</v>
      </c>
    </row>
    <row r="5811">
      <c r="A5811" s="14" t="s">
        <v>36242</v>
      </c>
      <c r="B5811" s="14" t="s">
        <v>36243</v>
      </c>
      <c r="C5811" s="14" t="s">
        <v>36244</v>
      </c>
      <c r="D5811" s="14" t="s">
        <v>36245</v>
      </c>
      <c r="E5811" s="14" t="s">
        <v>36246</v>
      </c>
      <c r="F5811" s="14" t="s">
        <v>114</v>
      </c>
      <c r="G5811" s="14" t="s">
        <v>36247</v>
      </c>
      <c r="H5811" s="15">
        <v>1.0</v>
      </c>
      <c r="I5811" s="15">
        <v>8.0</v>
      </c>
      <c r="J5811" s="15">
        <v>3.0</v>
      </c>
      <c r="K5811" s="15">
        <v>4.0</v>
      </c>
      <c r="L5811" s="16" t="s">
        <v>36248</v>
      </c>
      <c r="M5811" s="14" t="s">
        <v>36249</v>
      </c>
      <c r="N5811" s="14" t="s">
        <v>1348</v>
      </c>
      <c r="O5811" s="16" t="s">
        <v>1349</v>
      </c>
      <c r="P5811" s="14" t="s">
        <v>36250</v>
      </c>
      <c r="Q5811" s="14" t="s">
        <v>31</v>
      </c>
      <c r="R5811" s="14" t="s">
        <v>1018</v>
      </c>
      <c r="S5811" s="16" t="s">
        <v>36251</v>
      </c>
      <c r="T5811" s="14" t="s">
        <v>1019</v>
      </c>
      <c r="U5811" s="16" t="s">
        <v>31</v>
      </c>
      <c r="V5811" s="14" t="s">
        <v>5515</v>
      </c>
      <c r="W5811" s="14" t="s">
        <v>36252</v>
      </c>
      <c r="X5811" s="17" t="str">
        <f>HYPERLINK("https://my.pitchbook.com?p=253157-77P","View People Online")</f>
        <v>View People Online</v>
      </c>
    </row>
    <row r="5812">
      <c r="A5812" s="10" t="s">
        <v>36253</v>
      </c>
      <c r="B5812" s="10" t="s">
        <v>36254</v>
      </c>
      <c r="C5812" s="10" t="s">
        <v>28302</v>
      </c>
      <c r="D5812" s="10" t="s">
        <v>36255</v>
      </c>
      <c r="E5812" s="10" t="s">
        <v>36246</v>
      </c>
      <c r="F5812" s="10" t="s">
        <v>502</v>
      </c>
      <c r="G5812" s="10" t="s">
        <v>36256</v>
      </c>
      <c r="H5812" s="11">
        <v>1.0</v>
      </c>
      <c r="I5812" s="11">
        <v>3.0</v>
      </c>
      <c r="J5812" s="11">
        <v>1.0</v>
      </c>
      <c r="K5812" s="11">
        <v>1.0</v>
      </c>
      <c r="L5812" s="12" t="s">
        <v>36257</v>
      </c>
      <c r="M5812" s="10" t="s">
        <v>36258</v>
      </c>
      <c r="N5812" s="10" t="s">
        <v>75</v>
      </c>
      <c r="O5812" s="12" t="s">
        <v>76</v>
      </c>
      <c r="P5812" s="10" t="s">
        <v>36259</v>
      </c>
      <c r="Q5812" s="10" t="s">
        <v>194</v>
      </c>
      <c r="R5812" s="10" t="s">
        <v>75</v>
      </c>
      <c r="S5812" s="12" t="s">
        <v>36260</v>
      </c>
      <c r="T5812" s="10" t="s">
        <v>66</v>
      </c>
      <c r="U5812" s="12" t="s">
        <v>31</v>
      </c>
      <c r="V5812" s="10" t="s">
        <v>502</v>
      </c>
      <c r="W5812" s="10" t="s">
        <v>36246</v>
      </c>
      <c r="X5812" s="13" t="str">
        <f>HYPERLINK("https://my.pitchbook.com?p=182788-57P","View People Online")</f>
        <v>View People Online</v>
      </c>
    </row>
    <row r="5813">
      <c r="A5813" s="14" t="s">
        <v>36261</v>
      </c>
      <c r="B5813" s="14" t="s">
        <v>36262</v>
      </c>
      <c r="C5813" s="14" t="s">
        <v>6306</v>
      </c>
      <c r="D5813" s="14" t="s">
        <v>34903</v>
      </c>
      <c r="E5813" s="14" t="s">
        <v>36246</v>
      </c>
      <c r="F5813" s="14" t="s">
        <v>29</v>
      </c>
      <c r="G5813" s="14" t="s">
        <v>36263</v>
      </c>
      <c r="H5813" s="15">
        <v>1.0</v>
      </c>
      <c r="I5813" s="15">
        <v>4.0</v>
      </c>
      <c r="J5813" s="15">
        <v>1.0</v>
      </c>
      <c r="K5813" s="15">
        <v>2.0</v>
      </c>
      <c r="L5813" s="16" t="s">
        <v>31</v>
      </c>
      <c r="M5813" s="14" t="s">
        <v>36264</v>
      </c>
      <c r="N5813" s="14" t="s">
        <v>75</v>
      </c>
      <c r="O5813" s="16" t="s">
        <v>76</v>
      </c>
      <c r="P5813" s="14" t="s">
        <v>36259</v>
      </c>
      <c r="Q5813" s="14" t="s">
        <v>194</v>
      </c>
      <c r="R5813" s="14" t="s">
        <v>75</v>
      </c>
      <c r="S5813" s="16" t="s">
        <v>36260</v>
      </c>
      <c r="T5813" s="14" t="s">
        <v>66</v>
      </c>
      <c r="U5813" s="16" t="s">
        <v>31</v>
      </c>
      <c r="V5813" s="14" t="s">
        <v>29</v>
      </c>
      <c r="W5813" s="14" t="s">
        <v>36246</v>
      </c>
      <c r="X5813" s="17" t="str">
        <f>HYPERLINK("https://my.pitchbook.com?p=147777-67P","View People Online")</f>
        <v>View People Online</v>
      </c>
    </row>
    <row r="5814">
      <c r="A5814" s="2" t="s">
        <v>36265</v>
      </c>
      <c r="B5814" s="2" t="s">
        <v>36266</v>
      </c>
      <c r="C5814" s="2" t="s">
        <v>14956</v>
      </c>
      <c r="D5814" s="2" t="s">
        <v>36267</v>
      </c>
      <c r="E5814" s="2" t="s">
        <v>36246</v>
      </c>
      <c r="F5814" s="2" t="s">
        <v>29586</v>
      </c>
      <c r="G5814" s="2" t="s">
        <v>36268</v>
      </c>
      <c r="H5814" s="3" t="s">
        <v>31</v>
      </c>
      <c r="I5814" s="3">
        <v>1.0</v>
      </c>
      <c r="J5814" s="3">
        <v>1.0</v>
      </c>
      <c r="K5814" s="3" t="s">
        <v>31</v>
      </c>
      <c r="L5814" s="4" t="s">
        <v>31</v>
      </c>
      <c r="M5814" s="2" t="s">
        <v>36269</v>
      </c>
      <c r="N5814" s="2" t="s">
        <v>75</v>
      </c>
      <c r="O5814" s="4" t="s">
        <v>76</v>
      </c>
      <c r="P5814" s="2" t="s">
        <v>36259</v>
      </c>
      <c r="Q5814" s="2" t="s">
        <v>194</v>
      </c>
      <c r="R5814" s="2" t="s">
        <v>75</v>
      </c>
      <c r="S5814" s="4" t="s">
        <v>36260</v>
      </c>
      <c r="T5814" s="2" t="s">
        <v>66</v>
      </c>
      <c r="U5814" s="4" t="s">
        <v>31</v>
      </c>
      <c r="V5814" s="2" t="s">
        <v>36270</v>
      </c>
      <c r="W5814" s="2" t="s">
        <v>36246</v>
      </c>
      <c r="X5814" s="5" t="str">
        <f>HYPERLINK("https://my.pitchbook.com?p=277756-12P","View People Online")</f>
        <v>View People Online</v>
      </c>
    </row>
    <row r="5815">
      <c r="A5815" s="14" t="s">
        <v>36271</v>
      </c>
      <c r="B5815" s="14" t="s">
        <v>36272</v>
      </c>
      <c r="C5815" s="14" t="s">
        <v>285</v>
      </c>
      <c r="D5815" s="14" t="s">
        <v>36273</v>
      </c>
      <c r="E5815" s="14" t="s">
        <v>36246</v>
      </c>
      <c r="F5815" s="14" t="s">
        <v>825</v>
      </c>
      <c r="G5815" s="14" t="s">
        <v>36274</v>
      </c>
      <c r="H5815" s="15" t="s">
        <v>31</v>
      </c>
      <c r="I5815" s="15">
        <v>3.0</v>
      </c>
      <c r="J5815" s="15">
        <v>2.0</v>
      </c>
      <c r="K5815" s="15" t="s">
        <v>31</v>
      </c>
      <c r="L5815" s="16" t="s">
        <v>31</v>
      </c>
      <c r="M5815" s="14" t="s">
        <v>36275</v>
      </c>
      <c r="N5815" s="14" t="s">
        <v>75</v>
      </c>
      <c r="O5815" s="16" t="s">
        <v>76</v>
      </c>
      <c r="P5815" s="14" t="s">
        <v>36259</v>
      </c>
      <c r="Q5815" s="14" t="s">
        <v>194</v>
      </c>
      <c r="R5815" s="14" t="s">
        <v>75</v>
      </c>
      <c r="S5815" s="16" t="s">
        <v>36260</v>
      </c>
      <c r="T5815" s="14" t="s">
        <v>66</v>
      </c>
      <c r="U5815" s="16" t="s">
        <v>31</v>
      </c>
      <c r="V5815" s="14" t="s">
        <v>36276</v>
      </c>
      <c r="W5815" s="14" t="s">
        <v>36246</v>
      </c>
      <c r="X5815" s="17" t="str">
        <f>HYPERLINK("https://my.pitchbook.com?p=181502-92P","View People Online")</f>
        <v>View People Online</v>
      </c>
    </row>
    <row r="5816">
      <c r="A5816" s="2" t="s">
        <v>36277</v>
      </c>
      <c r="B5816" s="2" t="s">
        <v>36278</v>
      </c>
      <c r="C5816" s="2" t="s">
        <v>36279</v>
      </c>
      <c r="D5816" s="2" t="s">
        <v>36280</v>
      </c>
      <c r="E5816" s="2" t="s">
        <v>36246</v>
      </c>
      <c r="F5816" s="2" t="s">
        <v>114</v>
      </c>
      <c r="G5816" s="2" t="s">
        <v>36281</v>
      </c>
      <c r="H5816" s="3">
        <v>2.0</v>
      </c>
      <c r="I5816" s="3">
        <v>9.0</v>
      </c>
      <c r="J5816" s="3">
        <v>5.0</v>
      </c>
      <c r="K5816" s="3">
        <v>2.0</v>
      </c>
      <c r="L5816" s="4" t="s">
        <v>36282</v>
      </c>
      <c r="M5816" s="2" t="s">
        <v>36283</v>
      </c>
      <c r="N5816" s="2" t="s">
        <v>36284</v>
      </c>
      <c r="O5816" s="4" t="s">
        <v>36285</v>
      </c>
      <c r="P5816" s="2" t="s">
        <v>36286</v>
      </c>
      <c r="Q5816" s="2" t="s">
        <v>36287</v>
      </c>
      <c r="R5816" s="2" t="s">
        <v>28214</v>
      </c>
      <c r="S5816" s="4" t="s">
        <v>36288</v>
      </c>
      <c r="T5816" s="2" t="s">
        <v>66</v>
      </c>
      <c r="U5816" s="4" t="s">
        <v>31</v>
      </c>
      <c r="V5816" s="2" t="s">
        <v>558</v>
      </c>
      <c r="W5816" s="2" t="s">
        <v>36289</v>
      </c>
      <c r="X5816" s="5" t="str">
        <f>HYPERLINK("https://my.pitchbook.com?p=181640-17P","View People Online")</f>
        <v>View People Online</v>
      </c>
    </row>
    <row r="5817">
      <c r="A5817" s="6" t="s">
        <v>36290</v>
      </c>
      <c r="B5817" s="6" t="s">
        <v>36291</v>
      </c>
      <c r="C5817" s="6" t="s">
        <v>2788</v>
      </c>
      <c r="D5817" s="6" t="s">
        <v>36292</v>
      </c>
      <c r="E5817" s="6" t="s">
        <v>36246</v>
      </c>
      <c r="F5817" s="6" t="s">
        <v>71</v>
      </c>
      <c r="G5817" s="6" t="s">
        <v>36293</v>
      </c>
      <c r="H5817" s="7">
        <v>4.0</v>
      </c>
      <c r="I5817" s="7">
        <v>222.0</v>
      </c>
      <c r="J5817" s="7">
        <v>3.0</v>
      </c>
      <c r="K5817" s="7">
        <v>205.0</v>
      </c>
      <c r="L5817" s="8" t="s">
        <v>36294</v>
      </c>
      <c r="M5817" s="6" t="s">
        <v>36295</v>
      </c>
      <c r="N5817" s="6" t="s">
        <v>243</v>
      </c>
      <c r="O5817" s="8" t="s">
        <v>244</v>
      </c>
      <c r="P5817" s="6" t="s">
        <v>36296</v>
      </c>
      <c r="Q5817" s="6" t="s">
        <v>36297</v>
      </c>
      <c r="R5817" s="6" t="s">
        <v>247</v>
      </c>
      <c r="S5817" s="8" t="s">
        <v>36298</v>
      </c>
      <c r="T5817" s="6" t="s">
        <v>249</v>
      </c>
      <c r="U5817" s="8" t="s">
        <v>36299</v>
      </c>
      <c r="V5817" s="6" t="s">
        <v>36300</v>
      </c>
      <c r="W5817" s="6" t="s">
        <v>36301</v>
      </c>
      <c r="X5817" s="9" t="str">
        <f>HYPERLINK("https://my.pitchbook.com?p=46909-27P","View People Online")</f>
        <v>View People Online</v>
      </c>
    </row>
    <row r="5818">
      <c r="A5818" s="2" t="s">
        <v>36302</v>
      </c>
      <c r="B5818" s="2" t="s">
        <v>36303</v>
      </c>
      <c r="C5818" s="2" t="s">
        <v>36304</v>
      </c>
      <c r="D5818" s="2" t="s">
        <v>36305</v>
      </c>
      <c r="E5818" s="2" t="s">
        <v>36246</v>
      </c>
      <c r="F5818" s="2" t="s">
        <v>114</v>
      </c>
      <c r="G5818" s="2" t="s">
        <v>36306</v>
      </c>
      <c r="H5818" s="3">
        <v>1.0</v>
      </c>
      <c r="I5818" s="3">
        <v>22.0</v>
      </c>
      <c r="J5818" s="3">
        <v>1.0</v>
      </c>
      <c r="K5818" s="3">
        <v>18.0</v>
      </c>
      <c r="L5818" s="4" t="s">
        <v>31</v>
      </c>
      <c r="M5818" s="2" t="s">
        <v>31</v>
      </c>
      <c r="N5818" s="2" t="s">
        <v>75</v>
      </c>
      <c r="O5818" s="4" t="s">
        <v>76</v>
      </c>
      <c r="P5818" s="2" t="s">
        <v>36259</v>
      </c>
      <c r="Q5818" s="2" t="s">
        <v>194</v>
      </c>
      <c r="R5818" s="2" t="s">
        <v>75</v>
      </c>
      <c r="S5818" s="4" t="s">
        <v>36260</v>
      </c>
      <c r="T5818" s="2" t="s">
        <v>66</v>
      </c>
      <c r="U5818" s="4" t="s">
        <v>31</v>
      </c>
      <c r="V5818" s="2" t="s">
        <v>114</v>
      </c>
      <c r="W5818" s="2" t="s">
        <v>36246</v>
      </c>
      <c r="X5818" s="5" t="str">
        <f>HYPERLINK("https://my.pitchbook.com?p=100461-88P","View People Online")</f>
        <v>View People Online</v>
      </c>
    </row>
    <row r="5819">
      <c r="A5819" s="14" t="s">
        <v>36307</v>
      </c>
      <c r="B5819" s="14" t="s">
        <v>36308</v>
      </c>
      <c r="C5819" s="14" t="s">
        <v>36309</v>
      </c>
      <c r="D5819" s="14" t="s">
        <v>9309</v>
      </c>
      <c r="E5819" s="14" t="s">
        <v>36246</v>
      </c>
      <c r="F5819" s="14" t="s">
        <v>114</v>
      </c>
      <c r="G5819" s="14" t="s">
        <v>36310</v>
      </c>
      <c r="H5819" s="15">
        <v>1.0</v>
      </c>
      <c r="I5819" s="15">
        <v>3.0</v>
      </c>
      <c r="J5819" s="15">
        <v>3.0</v>
      </c>
      <c r="K5819" s="15" t="s">
        <v>31</v>
      </c>
      <c r="L5819" s="16" t="s">
        <v>31</v>
      </c>
      <c r="M5819" s="14" t="s">
        <v>36311</v>
      </c>
      <c r="N5819" s="14" t="s">
        <v>1203</v>
      </c>
      <c r="O5819" s="16" t="s">
        <v>1204</v>
      </c>
      <c r="P5819" s="14" t="s">
        <v>36312</v>
      </c>
      <c r="Q5819" s="14" t="s">
        <v>36313</v>
      </c>
      <c r="R5819" s="14" t="s">
        <v>1207</v>
      </c>
      <c r="S5819" s="16" t="s">
        <v>36314</v>
      </c>
      <c r="T5819" s="14" t="s">
        <v>1209</v>
      </c>
      <c r="U5819" s="16" t="s">
        <v>31</v>
      </c>
      <c r="V5819" s="14" t="s">
        <v>36315</v>
      </c>
      <c r="W5819" s="14" t="s">
        <v>36316</v>
      </c>
      <c r="X5819" s="17" t="str">
        <f>HYPERLINK("https://my.pitchbook.com?p=391065-22P","View People Online")</f>
        <v>View People Online</v>
      </c>
    </row>
    <row r="5820">
      <c r="A5820" s="10" t="s">
        <v>36317</v>
      </c>
      <c r="B5820" s="10" t="s">
        <v>36318</v>
      </c>
      <c r="C5820" s="10" t="s">
        <v>36319</v>
      </c>
      <c r="D5820" s="10" t="s">
        <v>36320</v>
      </c>
      <c r="E5820" s="10" t="s">
        <v>36246</v>
      </c>
      <c r="F5820" s="10" t="s">
        <v>825</v>
      </c>
      <c r="G5820" s="10" t="s">
        <v>36321</v>
      </c>
      <c r="H5820" s="11" t="s">
        <v>31</v>
      </c>
      <c r="I5820" s="11">
        <v>1.0</v>
      </c>
      <c r="J5820" s="11">
        <v>1.0</v>
      </c>
      <c r="K5820" s="11" t="s">
        <v>31</v>
      </c>
      <c r="L5820" s="12" t="s">
        <v>36322</v>
      </c>
      <c r="M5820" s="10" t="s">
        <v>36323</v>
      </c>
      <c r="N5820" s="10" t="s">
        <v>75</v>
      </c>
      <c r="O5820" s="12" t="s">
        <v>76</v>
      </c>
      <c r="P5820" s="10" t="s">
        <v>36259</v>
      </c>
      <c r="Q5820" s="10" t="s">
        <v>194</v>
      </c>
      <c r="R5820" s="10" t="s">
        <v>75</v>
      </c>
      <c r="S5820" s="12" t="s">
        <v>36260</v>
      </c>
      <c r="T5820" s="10" t="s">
        <v>66</v>
      </c>
      <c r="U5820" s="12" t="s">
        <v>31</v>
      </c>
      <c r="V5820" s="10" t="s">
        <v>950</v>
      </c>
      <c r="W5820" s="10" t="s">
        <v>36246</v>
      </c>
      <c r="X5820" s="13" t="str">
        <f>HYPERLINK("https://my.pitchbook.com?p=303412-51P","View People Online")</f>
        <v>View People Online</v>
      </c>
    </row>
    <row r="5821">
      <c r="A5821" s="14" t="s">
        <v>36324</v>
      </c>
      <c r="B5821" s="14" t="s">
        <v>36325</v>
      </c>
      <c r="C5821" s="14" t="s">
        <v>3670</v>
      </c>
      <c r="D5821" s="14" t="s">
        <v>21894</v>
      </c>
      <c r="E5821" s="14" t="s">
        <v>36246</v>
      </c>
      <c r="F5821" s="14" t="s">
        <v>29</v>
      </c>
      <c r="G5821" s="14" t="s">
        <v>36326</v>
      </c>
      <c r="H5821" s="15" t="s">
        <v>31</v>
      </c>
      <c r="I5821" s="15">
        <v>4.0</v>
      </c>
      <c r="J5821" s="15">
        <v>1.0</v>
      </c>
      <c r="K5821" s="15">
        <v>2.0</v>
      </c>
      <c r="L5821" s="16" t="s">
        <v>36327</v>
      </c>
      <c r="M5821" s="14" t="s">
        <v>36328</v>
      </c>
      <c r="N5821" s="14" t="s">
        <v>75</v>
      </c>
      <c r="O5821" s="16" t="s">
        <v>76</v>
      </c>
      <c r="P5821" s="14" t="s">
        <v>36259</v>
      </c>
      <c r="Q5821" s="14" t="s">
        <v>194</v>
      </c>
      <c r="R5821" s="14" t="s">
        <v>75</v>
      </c>
      <c r="S5821" s="16" t="s">
        <v>36260</v>
      </c>
      <c r="T5821" s="14" t="s">
        <v>66</v>
      </c>
      <c r="U5821" s="16" t="s">
        <v>31</v>
      </c>
      <c r="V5821" s="14" t="s">
        <v>29</v>
      </c>
      <c r="W5821" s="14" t="s">
        <v>36246</v>
      </c>
      <c r="X5821" s="17" t="str">
        <f>HYPERLINK("https://my.pitchbook.com?p=56927-26P","View People Online")</f>
        <v>View People Online</v>
      </c>
    </row>
    <row r="5822">
      <c r="A5822" s="10" t="s">
        <v>36329</v>
      </c>
      <c r="B5822" s="10" t="s">
        <v>36330</v>
      </c>
      <c r="C5822" s="10" t="s">
        <v>26</v>
      </c>
      <c r="D5822" s="10" t="s">
        <v>36331</v>
      </c>
      <c r="E5822" s="10" t="s">
        <v>36246</v>
      </c>
      <c r="F5822" s="10" t="s">
        <v>120</v>
      </c>
      <c r="G5822" s="10" t="s">
        <v>36332</v>
      </c>
      <c r="H5822" s="11" t="s">
        <v>31</v>
      </c>
      <c r="I5822" s="11">
        <v>5.0</v>
      </c>
      <c r="J5822" s="11">
        <v>1.0</v>
      </c>
      <c r="K5822" s="11">
        <v>4.0</v>
      </c>
      <c r="L5822" s="12" t="s">
        <v>31</v>
      </c>
      <c r="M5822" s="10" t="s">
        <v>31</v>
      </c>
      <c r="N5822" s="10" t="s">
        <v>75</v>
      </c>
      <c r="O5822" s="12" t="s">
        <v>76</v>
      </c>
      <c r="P5822" s="10" t="s">
        <v>36259</v>
      </c>
      <c r="Q5822" s="10" t="s">
        <v>194</v>
      </c>
      <c r="R5822" s="10" t="s">
        <v>75</v>
      </c>
      <c r="S5822" s="12" t="s">
        <v>36260</v>
      </c>
      <c r="T5822" s="10" t="s">
        <v>66</v>
      </c>
      <c r="U5822" s="12" t="s">
        <v>31</v>
      </c>
      <c r="V5822" s="10" t="s">
        <v>120</v>
      </c>
      <c r="W5822" s="10" t="s">
        <v>36246</v>
      </c>
      <c r="X5822" s="13" t="str">
        <f>HYPERLINK("https://my.pitchbook.com?p=91041-94P","View People Online")</f>
        <v>View People Online</v>
      </c>
    </row>
    <row r="5823">
      <c r="A5823" s="6" t="s">
        <v>36333</v>
      </c>
      <c r="B5823" s="6" t="s">
        <v>36334</v>
      </c>
      <c r="C5823" s="6" t="s">
        <v>3023</v>
      </c>
      <c r="D5823" s="6" t="s">
        <v>36335</v>
      </c>
      <c r="E5823" s="6" t="s">
        <v>36246</v>
      </c>
      <c r="F5823" s="6" t="s">
        <v>71</v>
      </c>
      <c r="G5823" s="6" t="s">
        <v>36336</v>
      </c>
      <c r="H5823" s="7" t="s">
        <v>31</v>
      </c>
      <c r="I5823" s="7">
        <v>12.0</v>
      </c>
      <c r="J5823" s="7">
        <v>1.0</v>
      </c>
      <c r="K5823" s="7">
        <v>8.0</v>
      </c>
      <c r="L5823" s="8" t="s">
        <v>31</v>
      </c>
      <c r="M5823" s="6" t="s">
        <v>36337</v>
      </c>
      <c r="N5823" s="6" t="s">
        <v>75</v>
      </c>
      <c r="O5823" s="8" t="s">
        <v>76</v>
      </c>
      <c r="P5823" s="6" t="s">
        <v>36259</v>
      </c>
      <c r="Q5823" s="6" t="s">
        <v>194</v>
      </c>
      <c r="R5823" s="6" t="s">
        <v>75</v>
      </c>
      <c r="S5823" s="8" t="s">
        <v>36260</v>
      </c>
      <c r="T5823" s="6" t="s">
        <v>66</v>
      </c>
      <c r="U5823" s="8" t="s">
        <v>31</v>
      </c>
      <c r="V5823" s="6" t="s">
        <v>71</v>
      </c>
      <c r="W5823" s="6" t="s">
        <v>36246</v>
      </c>
      <c r="X5823" s="9" t="str">
        <f>HYPERLINK("https://my.pitchbook.com?p=41577-67P","View People Online")</f>
        <v>View People Online</v>
      </c>
    </row>
    <row r="5824">
      <c r="A5824" s="2" t="s">
        <v>36338</v>
      </c>
      <c r="B5824" s="2" t="s">
        <v>36339</v>
      </c>
      <c r="C5824" s="2" t="s">
        <v>3052</v>
      </c>
      <c r="D5824" s="2" t="s">
        <v>36340</v>
      </c>
      <c r="E5824" s="2" t="s">
        <v>36246</v>
      </c>
      <c r="F5824" s="2" t="s">
        <v>114</v>
      </c>
      <c r="G5824" s="2" t="s">
        <v>36341</v>
      </c>
      <c r="H5824" s="3">
        <v>2.0</v>
      </c>
      <c r="I5824" s="3">
        <v>34.0</v>
      </c>
      <c r="J5824" s="3">
        <v>2.0</v>
      </c>
      <c r="K5824" s="3">
        <v>27.0</v>
      </c>
      <c r="L5824" s="4" t="s">
        <v>31</v>
      </c>
      <c r="M5824" s="2" t="s">
        <v>36342</v>
      </c>
      <c r="N5824" s="2" t="s">
        <v>36343</v>
      </c>
      <c r="O5824" s="4" t="s">
        <v>36344</v>
      </c>
      <c r="P5824" s="2" t="s">
        <v>36345</v>
      </c>
      <c r="Q5824" s="2" t="s">
        <v>31</v>
      </c>
      <c r="R5824" s="2" t="s">
        <v>64</v>
      </c>
      <c r="S5824" s="4" t="s">
        <v>36346</v>
      </c>
      <c r="T5824" s="2" t="s">
        <v>66</v>
      </c>
      <c r="U5824" s="4" t="s">
        <v>31</v>
      </c>
      <c r="V5824" s="2" t="s">
        <v>152</v>
      </c>
      <c r="W5824" s="2" t="s">
        <v>36347</v>
      </c>
      <c r="X5824" s="5" t="str">
        <f>HYPERLINK("https://my.pitchbook.com?p=37067-41P","View People Online")</f>
        <v>View People Online</v>
      </c>
    </row>
    <row r="5825">
      <c r="A5825" s="14" t="s">
        <v>36348</v>
      </c>
      <c r="B5825" s="14" t="s">
        <v>36349</v>
      </c>
      <c r="C5825" s="14" t="s">
        <v>18807</v>
      </c>
      <c r="D5825" s="14" t="s">
        <v>666</v>
      </c>
      <c r="E5825" s="14" t="s">
        <v>36246</v>
      </c>
      <c r="F5825" s="14" t="s">
        <v>270</v>
      </c>
      <c r="G5825" s="14" t="s">
        <v>36350</v>
      </c>
      <c r="H5825" s="15" t="s">
        <v>31</v>
      </c>
      <c r="I5825" s="15">
        <v>1.0</v>
      </c>
      <c r="J5825" s="15">
        <v>1.0</v>
      </c>
      <c r="K5825" s="15" t="s">
        <v>31</v>
      </c>
      <c r="L5825" s="16" t="s">
        <v>31</v>
      </c>
      <c r="M5825" s="14" t="s">
        <v>31</v>
      </c>
      <c r="N5825" s="14" t="s">
        <v>75</v>
      </c>
      <c r="O5825" s="16" t="s">
        <v>76</v>
      </c>
      <c r="P5825" s="14" t="s">
        <v>36259</v>
      </c>
      <c r="Q5825" s="14" t="s">
        <v>194</v>
      </c>
      <c r="R5825" s="14" t="s">
        <v>75</v>
      </c>
      <c r="S5825" s="16" t="s">
        <v>36260</v>
      </c>
      <c r="T5825" s="14" t="s">
        <v>66</v>
      </c>
      <c r="U5825" s="16" t="s">
        <v>31</v>
      </c>
      <c r="V5825" s="14" t="s">
        <v>440</v>
      </c>
      <c r="W5825" s="14" t="s">
        <v>36246</v>
      </c>
      <c r="X5825" s="17" t="str">
        <f>HYPERLINK("https://my.pitchbook.com?p=427749-31P","View People Online")</f>
        <v>View People Online</v>
      </c>
    </row>
    <row r="5826">
      <c r="A5826" s="10" t="s">
        <v>36351</v>
      </c>
      <c r="B5826" s="10" t="s">
        <v>36352</v>
      </c>
      <c r="C5826" s="10" t="s">
        <v>2288</v>
      </c>
      <c r="D5826" s="10" t="s">
        <v>36353</v>
      </c>
      <c r="E5826" s="10" t="s">
        <v>36246</v>
      </c>
      <c r="F5826" s="10" t="s">
        <v>114</v>
      </c>
      <c r="G5826" s="10" t="s">
        <v>36354</v>
      </c>
      <c r="H5826" s="11">
        <v>1.0</v>
      </c>
      <c r="I5826" s="11">
        <v>5.0</v>
      </c>
      <c r="J5826" s="11">
        <v>3.0</v>
      </c>
      <c r="K5826" s="11">
        <v>1.0</v>
      </c>
      <c r="L5826" s="12" t="s">
        <v>31</v>
      </c>
      <c r="M5826" s="10" t="s">
        <v>36355</v>
      </c>
      <c r="N5826" s="10" t="s">
        <v>9540</v>
      </c>
      <c r="O5826" s="12" t="s">
        <v>36356</v>
      </c>
      <c r="P5826" s="10" t="s">
        <v>36357</v>
      </c>
      <c r="Q5826" s="10" t="s">
        <v>31</v>
      </c>
      <c r="R5826" s="10" t="s">
        <v>1185</v>
      </c>
      <c r="S5826" s="12" t="s">
        <v>36358</v>
      </c>
      <c r="T5826" s="10" t="s">
        <v>66</v>
      </c>
      <c r="U5826" s="12" t="s">
        <v>31</v>
      </c>
      <c r="V5826" s="10" t="s">
        <v>36359</v>
      </c>
      <c r="W5826" s="10" t="s">
        <v>36360</v>
      </c>
      <c r="X5826" s="13" t="str">
        <f>HYPERLINK("https://my.pitchbook.com?p=41102-29P","View People Online")</f>
        <v>View People Online</v>
      </c>
    </row>
    <row r="5827">
      <c r="A5827" s="6" t="s">
        <v>36361</v>
      </c>
      <c r="B5827" s="6" t="s">
        <v>36362</v>
      </c>
      <c r="C5827" s="6" t="s">
        <v>19558</v>
      </c>
      <c r="D5827" s="6" t="s">
        <v>36363</v>
      </c>
      <c r="E5827" s="6" t="s">
        <v>36246</v>
      </c>
      <c r="F5827" s="6" t="s">
        <v>29</v>
      </c>
      <c r="G5827" s="6" t="s">
        <v>36364</v>
      </c>
      <c r="H5827" s="7" t="s">
        <v>31</v>
      </c>
      <c r="I5827" s="7">
        <v>1.0</v>
      </c>
      <c r="J5827" s="7">
        <v>1.0</v>
      </c>
      <c r="K5827" s="7" t="s">
        <v>31</v>
      </c>
      <c r="L5827" s="8" t="s">
        <v>31</v>
      </c>
      <c r="M5827" s="6" t="s">
        <v>36365</v>
      </c>
      <c r="N5827" s="6" t="s">
        <v>75</v>
      </c>
      <c r="O5827" s="8" t="s">
        <v>76</v>
      </c>
      <c r="P5827" s="6" t="s">
        <v>36259</v>
      </c>
      <c r="Q5827" s="6" t="s">
        <v>194</v>
      </c>
      <c r="R5827" s="6" t="s">
        <v>75</v>
      </c>
      <c r="S5827" s="8" t="s">
        <v>36260</v>
      </c>
      <c r="T5827" s="6" t="s">
        <v>66</v>
      </c>
      <c r="U5827" s="8" t="s">
        <v>31</v>
      </c>
      <c r="V5827" s="6" t="s">
        <v>29</v>
      </c>
      <c r="W5827" s="6" t="s">
        <v>36246</v>
      </c>
      <c r="X5827" s="9" t="str">
        <f>HYPERLINK("https://my.pitchbook.com?p=260873-65P","View People Online")</f>
        <v>View People Online</v>
      </c>
    </row>
    <row r="5828">
      <c r="A5828" s="10" t="s">
        <v>36366</v>
      </c>
      <c r="B5828" s="10" t="s">
        <v>36367</v>
      </c>
      <c r="C5828" s="10" t="s">
        <v>160</v>
      </c>
      <c r="D5828" s="10" t="s">
        <v>36368</v>
      </c>
      <c r="E5828" s="10" t="s">
        <v>36246</v>
      </c>
      <c r="F5828" s="10" t="s">
        <v>78</v>
      </c>
      <c r="G5828" s="10" t="s">
        <v>36369</v>
      </c>
      <c r="H5828" s="11" t="s">
        <v>31</v>
      </c>
      <c r="I5828" s="11">
        <v>1.0</v>
      </c>
      <c r="J5828" s="11">
        <v>1.0</v>
      </c>
      <c r="K5828" s="11" t="s">
        <v>31</v>
      </c>
      <c r="L5828" s="12" t="s">
        <v>31</v>
      </c>
      <c r="M5828" s="10" t="s">
        <v>36370</v>
      </c>
      <c r="N5828" s="10" t="s">
        <v>75</v>
      </c>
      <c r="O5828" s="12" t="s">
        <v>76</v>
      </c>
      <c r="P5828" s="10" t="s">
        <v>36259</v>
      </c>
      <c r="Q5828" s="10" t="s">
        <v>194</v>
      </c>
      <c r="R5828" s="10" t="s">
        <v>75</v>
      </c>
      <c r="S5828" s="12" t="s">
        <v>36260</v>
      </c>
      <c r="T5828" s="10" t="s">
        <v>66</v>
      </c>
      <c r="U5828" s="12" t="s">
        <v>31</v>
      </c>
      <c r="V5828" s="10" t="s">
        <v>78</v>
      </c>
      <c r="W5828" s="10" t="s">
        <v>36246</v>
      </c>
      <c r="X5828" s="13" t="str">
        <f>HYPERLINK("https://my.pitchbook.com?p=367330-42P","View People Online")</f>
        <v>View People Online</v>
      </c>
    </row>
    <row r="5829">
      <c r="A5829" s="14" t="s">
        <v>36371</v>
      </c>
      <c r="B5829" s="14" t="s">
        <v>36372</v>
      </c>
      <c r="C5829" s="14" t="s">
        <v>26641</v>
      </c>
      <c r="D5829" s="14" t="s">
        <v>36373</v>
      </c>
      <c r="E5829" s="14" t="s">
        <v>36246</v>
      </c>
      <c r="F5829" s="14" t="s">
        <v>114</v>
      </c>
      <c r="G5829" s="14" t="s">
        <v>36374</v>
      </c>
      <c r="H5829" s="15">
        <v>2.0</v>
      </c>
      <c r="I5829" s="15">
        <v>8.0</v>
      </c>
      <c r="J5829" s="15">
        <v>2.0</v>
      </c>
      <c r="K5829" s="15">
        <v>3.0</v>
      </c>
      <c r="L5829" s="16" t="s">
        <v>36375</v>
      </c>
      <c r="M5829" s="14" t="s">
        <v>36376</v>
      </c>
      <c r="N5829" s="14" t="s">
        <v>75</v>
      </c>
      <c r="O5829" s="16" t="s">
        <v>76</v>
      </c>
      <c r="P5829" s="14" t="s">
        <v>31356</v>
      </c>
      <c r="Q5829" s="14" t="s">
        <v>29446</v>
      </c>
      <c r="R5829" s="14" t="s">
        <v>75</v>
      </c>
      <c r="S5829" s="16" t="s">
        <v>1855</v>
      </c>
      <c r="T5829" s="14" t="s">
        <v>66</v>
      </c>
      <c r="U5829" s="16" t="s">
        <v>31</v>
      </c>
      <c r="V5829" s="14" t="s">
        <v>991</v>
      </c>
      <c r="W5829" s="14" t="s">
        <v>36377</v>
      </c>
      <c r="X5829" s="17" t="str">
        <f>HYPERLINK("https://my.pitchbook.com?p=41611-96P","View People Online")</f>
        <v>View People Online</v>
      </c>
    </row>
    <row r="5830">
      <c r="A5830" s="2" t="s">
        <v>36378</v>
      </c>
      <c r="B5830" s="2" t="s">
        <v>36379</v>
      </c>
      <c r="C5830" s="2" t="s">
        <v>26641</v>
      </c>
      <c r="D5830" s="2" t="s">
        <v>36380</v>
      </c>
      <c r="E5830" s="2" t="s">
        <v>36246</v>
      </c>
      <c r="F5830" s="2" t="s">
        <v>221</v>
      </c>
      <c r="G5830" s="2" t="s">
        <v>31</v>
      </c>
      <c r="H5830" s="3" t="s">
        <v>31</v>
      </c>
      <c r="I5830" s="3">
        <v>1.0</v>
      </c>
      <c r="J5830" s="3">
        <v>1.0</v>
      </c>
      <c r="K5830" s="3" t="s">
        <v>31</v>
      </c>
      <c r="L5830" s="4" t="s">
        <v>31</v>
      </c>
      <c r="M5830" s="2" t="s">
        <v>36381</v>
      </c>
      <c r="N5830" s="2" t="s">
        <v>75</v>
      </c>
      <c r="O5830" s="4" t="s">
        <v>76</v>
      </c>
      <c r="P5830" s="2" t="s">
        <v>36259</v>
      </c>
      <c r="Q5830" s="2" t="s">
        <v>194</v>
      </c>
      <c r="R5830" s="2" t="s">
        <v>75</v>
      </c>
      <c r="S5830" s="4" t="s">
        <v>36260</v>
      </c>
      <c r="T5830" s="2" t="s">
        <v>66</v>
      </c>
      <c r="U5830" s="4" t="s">
        <v>31</v>
      </c>
      <c r="V5830" s="2" t="s">
        <v>36382</v>
      </c>
      <c r="W5830" s="2" t="s">
        <v>36246</v>
      </c>
      <c r="X5830" s="5" t="str">
        <f>HYPERLINK("https://my.pitchbook.com?p=453794-86P","View People Online")</f>
        <v>View People Online</v>
      </c>
    </row>
    <row r="5831">
      <c r="A5831" s="6" t="s">
        <v>36383</v>
      </c>
      <c r="B5831" s="6" t="s">
        <v>36384</v>
      </c>
      <c r="C5831" s="6" t="s">
        <v>3233</v>
      </c>
      <c r="D5831" s="6" t="s">
        <v>36292</v>
      </c>
      <c r="E5831" s="6" t="s">
        <v>36246</v>
      </c>
      <c r="F5831" s="6" t="s">
        <v>114</v>
      </c>
      <c r="G5831" s="6" t="s">
        <v>36385</v>
      </c>
      <c r="H5831" s="7" t="s">
        <v>31</v>
      </c>
      <c r="I5831" s="7">
        <v>9.0</v>
      </c>
      <c r="J5831" s="7">
        <v>2.0</v>
      </c>
      <c r="K5831" s="7">
        <v>5.0</v>
      </c>
      <c r="L5831" s="8" t="s">
        <v>36386</v>
      </c>
      <c r="M5831" s="6" t="s">
        <v>36387</v>
      </c>
      <c r="N5831" s="6" t="s">
        <v>1348</v>
      </c>
      <c r="O5831" s="8" t="s">
        <v>1349</v>
      </c>
      <c r="P5831" s="6" t="s">
        <v>36388</v>
      </c>
      <c r="Q5831" s="6" t="s">
        <v>36389</v>
      </c>
      <c r="R5831" s="6" t="s">
        <v>1018</v>
      </c>
      <c r="S5831" s="8" t="s">
        <v>36390</v>
      </c>
      <c r="T5831" s="6" t="s">
        <v>1019</v>
      </c>
      <c r="U5831" s="8" t="s">
        <v>31</v>
      </c>
      <c r="V5831" s="6" t="s">
        <v>78</v>
      </c>
      <c r="W5831" s="6" t="s">
        <v>36391</v>
      </c>
      <c r="X5831" s="9" t="str">
        <f>HYPERLINK("https://my.pitchbook.com?p=39606-94P","View People Online")</f>
        <v>View People Online</v>
      </c>
    </row>
    <row r="5832">
      <c r="A5832" s="2" t="s">
        <v>36392</v>
      </c>
      <c r="B5832" s="2" t="s">
        <v>36393</v>
      </c>
      <c r="C5832" s="2" t="s">
        <v>4015</v>
      </c>
      <c r="D5832" s="2" t="s">
        <v>36394</v>
      </c>
      <c r="E5832" s="2" t="s">
        <v>36246</v>
      </c>
      <c r="F5832" s="2" t="s">
        <v>548</v>
      </c>
      <c r="G5832" s="2" t="s">
        <v>36395</v>
      </c>
      <c r="H5832" s="3" t="s">
        <v>31</v>
      </c>
      <c r="I5832" s="3">
        <v>1.0</v>
      </c>
      <c r="J5832" s="3">
        <v>1.0</v>
      </c>
      <c r="K5832" s="3" t="s">
        <v>31</v>
      </c>
      <c r="L5832" s="4" t="s">
        <v>31</v>
      </c>
      <c r="M5832" s="2" t="s">
        <v>36396</v>
      </c>
      <c r="N5832" s="2" t="s">
        <v>75</v>
      </c>
      <c r="O5832" s="4" t="s">
        <v>76</v>
      </c>
      <c r="P5832" s="2" t="s">
        <v>36259</v>
      </c>
      <c r="Q5832" s="2" t="s">
        <v>194</v>
      </c>
      <c r="R5832" s="2" t="s">
        <v>75</v>
      </c>
      <c r="S5832" s="4" t="s">
        <v>36260</v>
      </c>
      <c r="T5832" s="2" t="s">
        <v>66</v>
      </c>
      <c r="U5832" s="4" t="s">
        <v>31</v>
      </c>
      <c r="V5832" s="2" t="s">
        <v>834</v>
      </c>
      <c r="W5832" s="2" t="s">
        <v>36246</v>
      </c>
      <c r="X5832" s="5" t="str">
        <f>HYPERLINK("https://my.pitchbook.com?p=449026-30P","View People Online")</f>
        <v>View People Online</v>
      </c>
    </row>
    <row r="5833">
      <c r="A5833" s="6" t="s">
        <v>36397</v>
      </c>
      <c r="B5833" s="6" t="s">
        <v>36398</v>
      </c>
      <c r="C5833" s="6" t="s">
        <v>1697</v>
      </c>
      <c r="D5833" s="6" t="s">
        <v>36399</v>
      </c>
      <c r="E5833" s="6" t="s">
        <v>36246</v>
      </c>
      <c r="F5833" s="6" t="s">
        <v>120</v>
      </c>
      <c r="G5833" s="6" t="s">
        <v>36400</v>
      </c>
      <c r="H5833" s="7" t="s">
        <v>31</v>
      </c>
      <c r="I5833" s="7">
        <v>1.0</v>
      </c>
      <c r="J5833" s="7">
        <v>1.0</v>
      </c>
      <c r="K5833" s="7" t="s">
        <v>31</v>
      </c>
      <c r="L5833" s="8" t="s">
        <v>31</v>
      </c>
      <c r="M5833" s="6" t="s">
        <v>31</v>
      </c>
      <c r="N5833" s="6" t="s">
        <v>75</v>
      </c>
      <c r="O5833" s="8" t="s">
        <v>76</v>
      </c>
      <c r="P5833" s="6" t="s">
        <v>36259</v>
      </c>
      <c r="Q5833" s="6" t="s">
        <v>194</v>
      </c>
      <c r="R5833" s="6" t="s">
        <v>75</v>
      </c>
      <c r="S5833" s="8" t="s">
        <v>36260</v>
      </c>
      <c r="T5833" s="6" t="s">
        <v>66</v>
      </c>
      <c r="U5833" s="8" t="s">
        <v>31</v>
      </c>
      <c r="V5833" s="6" t="s">
        <v>120</v>
      </c>
      <c r="W5833" s="6" t="s">
        <v>36246</v>
      </c>
      <c r="X5833" s="9" t="str">
        <f>HYPERLINK("https://my.pitchbook.com?p=130828-60P","View People Online")</f>
        <v>View People Online</v>
      </c>
    </row>
    <row r="5834">
      <c r="A5834" s="10" t="s">
        <v>36401</v>
      </c>
      <c r="B5834" s="10" t="s">
        <v>36402</v>
      </c>
      <c r="C5834" s="10" t="s">
        <v>36403</v>
      </c>
      <c r="D5834" s="10" t="s">
        <v>36404</v>
      </c>
      <c r="E5834" s="10" t="s">
        <v>36246</v>
      </c>
      <c r="F5834" s="10" t="s">
        <v>221</v>
      </c>
      <c r="G5834" s="10" t="s">
        <v>36405</v>
      </c>
      <c r="H5834" s="11" t="s">
        <v>31</v>
      </c>
      <c r="I5834" s="11">
        <v>1.0</v>
      </c>
      <c r="J5834" s="11">
        <v>1.0</v>
      </c>
      <c r="K5834" s="11" t="s">
        <v>31</v>
      </c>
      <c r="L5834" s="12" t="s">
        <v>31</v>
      </c>
      <c r="M5834" s="10" t="s">
        <v>36406</v>
      </c>
      <c r="N5834" s="10" t="s">
        <v>75</v>
      </c>
      <c r="O5834" s="12" t="s">
        <v>76</v>
      </c>
      <c r="P5834" s="10" t="s">
        <v>36259</v>
      </c>
      <c r="Q5834" s="10" t="s">
        <v>194</v>
      </c>
      <c r="R5834" s="10" t="s">
        <v>75</v>
      </c>
      <c r="S5834" s="12" t="s">
        <v>36260</v>
      </c>
      <c r="T5834" s="10" t="s">
        <v>66</v>
      </c>
      <c r="U5834" s="12" t="s">
        <v>31</v>
      </c>
      <c r="V5834" s="10" t="s">
        <v>36382</v>
      </c>
      <c r="W5834" s="10" t="s">
        <v>36246</v>
      </c>
      <c r="X5834" s="13" t="str">
        <f>HYPERLINK("https://my.pitchbook.com?p=260878-33P","View People Online")</f>
        <v>View People Online</v>
      </c>
    </row>
    <row r="5835">
      <c r="A5835" s="14" t="s">
        <v>36407</v>
      </c>
      <c r="B5835" s="14" t="s">
        <v>36408</v>
      </c>
      <c r="C5835" s="14" t="s">
        <v>36409</v>
      </c>
      <c r="D5835" s="14" t="s">
        <v>36410</v>
      </c>
      <c r="E5835" s="14" t="s">
        <v>36411</v>
      </c>
      <c r="F5835" s="14" t="s">
        <v>270</v>
      </c>
      <c r="G5835" s="14" t="s">
        <v>36412</v>
      </c>
      <c r="H5835" s="15" t="s">
        <v>31</v>
      </c>
      <c r="I5835" s="15">
        <v>1.0</v>
      </c>
      <c r="J5835" s="15">
        <v>1.0</v>
      </c>
      <c r="K5835" s="15" t="s">
        <v>31</v>
      </c>
      <c r="L5835" s="16" t="s">
        <v>36413</v>
      </c>
      <c r="M5835" s="14" t="s">
        <v>36414</v>
      </c>
      <c r="N5835" s="14" t="s">
        <v>36415</v>
      </c>
      <c r="O5835" s="16" t="s">
        <v>36416</v>
      </c>
      <c r="P5835" s="14" t="s">
        <v>36417</v>
      </c>
      <c r="Q5835" s="14" t="s">
        <v>31</v>
      </c>
      <c r="R5835" s="14" t="s">
        <v>396</v>
      </c>
      <c r="S5835" s="16" t="s">
        <v>36418</v>
      </c>
      <c r="T5835" s="14" t="s">
        <v>66</v>
      </c>
      <c r="U5835" s="16" t="s">
        <v>31</v>
      </c>
      <c r="V5835" s="14" t="s">
        <v>36419</v>
      </c>
      <c r="W5835" s="14" t="s">
        <v>36411</v>
      </c>
      <c r="X5835" s="17" t="str">
        <f>HYPERLINK("https://my.pitchbook.com?p=255262-87P","View People Online")</f>
        <v>View People Online</v>
      </c>
    </row>
    <row r="5836">
      <c r="A5836" s="10" t="s">
        <v>36420</v>
      </c>
      <c r="B5836" s="10" t="s">
        <v>36421</v>
      </c>
      <c r="C5836" s="10" t="s">
        <v>10787</v>
      </c>
      <c r="D5836" s="10" t="s">
        <v>36422</v>
      </c>
      <c r="E5836" s="10" t="s">
        <v>36411</v>
      </c>
      <c r="F5836" s="10" t="s">
        <v>1459</v>
      </c>
      <c r="G5836" s="10" t="s">
        <v>36423</v>
      </c>
      <c r="H5836" s="11">
        <v>1.0</v>
      </c>
      <c r="I5836" s="11">
        <v>5.0</v>
      </c>
      <c r="J5836" s="11">
        <v>2.0</v>
      </c>
      <c r="K5836" s="11">
        <v>2.0</v>
      </c>
      <c r="L5836" s="12" t="s">
        <v>36424</v>
      </c>
      <c r="M5836" s="10" t="s">
        <v>36425</v>
      </c>
      <c r="N5836" s="10" t="s">
        <v>36415</v>
      </c>
      <c r="O5836" s="12" t="s">
        <v>36416</v>
      </c>
      <c r="P5836" s="10" t="s">
        <v>36417</v>
      </c>
      <c r="Q5836" s="10" t="s">
        <v>31</v>
      </c>
      <c r="R5836" s="10" t="s">
        <v>396</v>
      </c>
      <c r="S5836" s="12" t="s">
        <v>36418</v>
      </c>
      <c r="T5836" s="10" t="s">
        <v>66</v>
      </c>
      <c r="U5836" s="12" t="s">
        <v>31</v>
      </c>
      <c r="V5836" s="10" t="s">
        <v>36426</v>
      </c>
      <c r="W5836" s="10" t="s">
        <v>36427</v>
      </c>
      <c r="X5836" s="13" t="str">
        <f>HYPERLINK("https://my.pitchbook.com?p=121405-78P","View People Online")</f>
        <v>View People Online</v>
      </c>
    </row>
    <row r="5837">
      <c r="A5837" s="14" t="s">
        <v>36428</v>
      </c>
      <c r="B5837" s="14" t="s">
        <v>36429</v>
      </c>
      <c r="C5837" s="14" t="s">
        <v>8566</v>
      </c>
      <c r="D5837" s="14" t="s">
        <v>27012</v>
      </c>
      <c r="E5837" s="14" t="s">
        <v>36411</v>
      </c>
      <c r="F5837" s="14" t="s">
        <v>3600</v>
      </c>
      <c r="G5837" s="14" t="s">
        <v>36430</v>
      </c>
      <c r="H5837" s="15" t="s">
        <v>31</v>
      </c>
      <c r="I5837" s="15">
        <v>1.0</v>
      </c>
      <c r="J5837" s="15">
        <v>1.0</v>
      </c>
      <c r="K5837" s="15" t="s">
        <v>31</v>
      </c>
      <c r="L5837" s="16" t="s">
        <v>36431</v>
      </c>
      <c r="M5837" s="14" t="s">
        <v>36432</v>
      </c>
      <c r="N5837" s="14" t="s">
        <v>36415</v>
      </c>
      <c r="O5837" s="16" t="s">
        <v>36416</v>
      </c>
      <c r="P5837" s="14" t="s">
        <v>36417</v>
      </c>
      <c r="Q5837" s="14" t="s">
        <v>31</v>
      </c>
      <c r="R5837" s="14" t="s">
        <v>396</v>
      </c>
      <c r="S5837" s="16" t="s">
        <v>36418</v>
      </c>
      <c r="T5837" s="14" t="s">
        <v>66</v>
      </c>
      <c r="U5837" s="16" t="s">
        <v>31</v>
      </c>
      <c r="V5837" s="14" t="s">
        <v>36433</v>
      </c>
      <c r="W5837" s="14" t="s">
        <v>36411</v>
      </c>
      <c r="X5837" s="17" t="str">
        <f>HYPERLINK("https://my.pitchbook.com?p=255154-33P","View People Online")</f>
        <v>View People Online</v>
      </c>
    </row>
    <row r="5838">
      <c r="A5838" s="2" t="s">
        <v>36434</v>
      </c>
      <c r="B5838" s="2" t="s">
        <v>36435</v>
      </c>
      <c r="C5838" s="2" t="s">
        <v>36436</v>
      </c>
      <c r="D5838" s="2" t="s">
        <v>36437</v>
      </c>
      <c r="E5838" s="2" t="s">
        <v>36411</v>
      </c>
      <c r="F5838" s="2" t="s">
        <v>713</v>
      </c>
      <c r="G5838" s="2" t="s">
        <v>36438</v>
      </c>
      <c r="H5838" s="3" t="s">
        <v>31</v>
      </c>
      <c r="I5838" s="3">
        <v>1.0</v>
      </c>
      <c r="J5838" s="3">
        <v>1.0</v>
      </c>
      <c r="K5838" s="3" t="s">
        <v>31</v>
      </c>
      <c r="L5838" s="4" t="s">
        <v>36413</v>
      </c>
      <c r="M5838" s="2" t="s">
        <v>36439</v>
      </c>
      <c r="N5838" s="2" t="s">
        <v>36415</v>
      </c>
      <c r="O5838" s="4" t="s">
        <v>36416</v>
      </c>
      <c r="P5838" s="2" t="s">
        <v>36417</v>
      </c>
      <c r="Q5838" s="2" t="s">
        <v>31</v>
      </c>
      <c r="R5838" s="2" t="s">
        <v>396</v>
      </c>
      <c r="S5838" s="4" t="s">
        <v>36418</v>
      </c>
      <c r="T5838" s="2" t="s">
        <v>66</v>
      </c>
      <c r="U5838" s="4" t="s">
        <v>31</v>
      </c>
      <c r="V5838" s="2" t="s">
        <v>36440</v>
      </c>
      <c r="W5838" s="2" t="s">
        <v>36411</v>
      </c>
      <c r="X5838" s="5" t="str">
        <f>HYPERLINK("https://my.pitchbook.com?p=228038-68P","View People Online")</f>
        <v>View People Online</v>
      </c>
    </row>
    <row r="5839">
      <c r="A5839" s="14" t="s">
        <v>36441</v>
      </c>
      <c r="B5839" s="14" t="s">
        <v>36442</v>
      </c>
      <c r="C5839" s="14" t="s">
        <v>84</v>
      </c>
      <c r="D5839" s="14" t="s">
        <v>36443</v>
      </c>
      <c r="E5839" s="14" t="s">
        <v>36411</v>
      </c>
      <c r="F5839" s="14" t="s">
        <v>548</v>
      </c>
      <c r="G5839" s="14" t="s">
        <v>36444</v>
      </c>
      <c r="H5839" s="15">
        <v>1.0</v>
      </c>
      <c r="I5839" s="15">
        <v>7.0</v>
      </c>
      <c r="J5839" s="15">
        <v>2.0</v>
      </c>
      <c r="K5839" s="15">
        <v>4.0</v>
      </c>
      <c r="L5839" s="16" t="s">
        <v>36413</v>
      </c>
      <c r="M5839" s="14" t="s">
        <v>36445</v>
      </c>
      <c r="N5839" s="14" t="s">
        <v>36415</v>
      </c>
      <c r="O5839" s="16" t="s">
        <v>36416</v>
      </c>
      <c r="P5839" s="14" t="s">
        <v>36417</v>
      </c>
      <c r="Q5839" s="14" t="s">
        <v>31</v>
      </c>
      <c r="R5839" s="14" t="s">
        <v>396</v>
      </c>
      <c r="S5839" s="16" t="s">
        <v>36418</v>
      </c>
      <c r="T5839" s="14" t="s">
        <v>66</v>
      </c>
      <c r="U5839" s="16" t="s">
        <v>31</v>
      </c>
      <c r="V5839" s="14" t="s">
        <v>36446</v>
      </c>
      <c r="W5839" s="14" t="s">
        <v>36411</v>
      </c>
      <c r="X5839" s="17" t="str">
        <f>HYPERLINK("https://my.pitchbook.com?p=255157-93P","View People Online")</f>
        <v>View People Online</v>
      </c>
    </row>
    <row r="5840">
      <c r="A5840" s="10" t="s">
        <v>36447</v>
      </c>
      <c r="B5840" s="10" t="s">
        <v>36448</v>
      </c>
      <c r="C5840" s="10" t="s">
        <v>843</v>
      </c>
      <c r="D5840" s="10" t="s">
        <v>10613</v>
      </c>
      <c r="E5840" s="10" t="s">
        <v>36411</v>
      </c>
      <c r="F5840" s="10" t="s">
        <v>470</v>
      </c>
      <c r="G5840" s="10" t="s">
        <v>36449</v>
      </c>
      <c r="H5840" s="11" t="s">
        <v>31</v>
      </c>
      <c r="I5840" s="11">
        <v>1.0</v>
      </c>
      <c r="J5840" s="11">
        <v>1.0</v>
      </c>
      <c r="K5840" s="11" t="s">
        <v>31</v>
      </c>
      <c r="L5840" s="12" t="s">
        <v>36413</v>
      </c>
      <c r="M5840" s="10" t="s">
        <v>36450</v>
      </c>
      <c r="N5840" s="10" t="s">
        <v>36415</v>
      </c>
      <c r="O5840" s="12" t="s">
        <v>36416</v>
      </c>
      <c r="P5840" s="10" t="s">
        <v>36417</v>
      </c>
      <c r="Q5840" s="10" t="s">
        <v>31</v>
      </c>
      <c r="R5840" s="10" t="s">
        <v>396</v>
      </c>
      <c r="S5840" s="12" t="s">
        <v>36418</v>
      </c>
      <c r="T5840" s="10" t="s">
        <v>66</v>
      </c>
      <c r="U5840" s="12" t="s">
        <v>31</v>
      </c>
      <c r="V5840" s="10" t="s">
        <v>10347</v>
      </c>
      <c r="W5840" s="10" t="s">
        <v>36411</v>
      </c>
      <c r="X5840" s="13" t="str">
        <f>HYPERLINK("https://my.pitchbook.com?p=289910-08P","View People Online")</f>
        <v>View People Online</v>
      </c>
    </row>
    <row r="5841">
      <c r="A5841" s="14" t="s">
        <v>36451</v>
      </c>
      <c r="B5841" s="14" t="s">
        <v>36452</v>
      </c>
      <c r="C5841" s="14" t="s">
        <v>3089</v>
      </c>
      <c r="D5841" s="14" t="s">
        <v>12684</v>
      </c>
      <c r="E5841" s="14" t="s">
        <v>36411</v>
      </c>
      <c r="F5841" s="14" t="s">
        <v>36453</v>
      </c>
      <c r="G5841" s="14" t="s">
        <v>36454</v>
      </c>
      <c r="H5841" s="15" t="s">
        <v>31</v>
      </c>
      <c r="I5841" s="15">
        <v>2.0</v>
      </c>
      <c r="J5841" s="15">
        <v>2.0</v>
      </c>
      <c r="K5841" s="15" t="s">
        <v>31</v>
      </c>
      <c r="L5841" s="16" t="s">
        <v>36424</v>
      </c>
      <c r="M5841" s="14" t="s">
        <v>36455</v>
      </c>
      <c r="N5841" s="14" t="s">
        <v>36415</v>
      </c>
      <c r="O5841" s="16" t="s">
        <v>36416</v>
      </c>
      <c r="P5841" s="14" t="s">
        <v>36417</v>
      </c>
      <c r="Q5841" s="14" t="s">
        <v>31</v>
      </c>
      <c r="R5841" s="14" t="s">
        <v>396</v>
      </c>
      <c r="S5841" s="16" t="s">
        <v>36418</v>
      </c>
      <c r="T5841" s="14" t="s">
        <v>66</v>
      </c>
      <c r="U5841" s="16" t="s">
        <v>31</v>
      </c>
      <c r="V5841" s="14" t="s">
        <v>36456</v>
      </c>
      <c r="W5841" s="14" t="s">
        <v>36427</v>
      </c>
      <c r="X5841" s="17" t="str">
        <f>HYPERLINK("https://my.pitchbook.com?p=226557-91P","View People Online")</f>
        <v>View People Online</v>
      </c>
    </row>
    <row r="5842">
      <c r="A5842" s="10" t="s">
        <v>36457</v>
      </c>
      <c r="B5842" s="10" t="s">
        <v>36458</v>
      </c>
      <c r="C5842" s="10" t="s">
        <v>11801</v>
      </c>
      <c r="D5842" s="10" t="s">
        <v>429</v>
      </c>
      <c r="E5842" s="10" t="s">
        <v>36411</v>
      </c>
      <c r="F5842" s="10" t="s">
        <v>8021</v>
      </c>
      <c r="G5842" s="10" t="s">
        <v>36459</v>
      </c>
      <c r="H5842" s="11" t="s">
        <v>31</v>
      </c>
      <c r="I5842" s="11">
        <v>1.0</v>
      </c>
      <c r="J5842" s="11">
        <v>1.0</v>
      </c>
      <c r="K5842" s="11" t="s">
        <v>31</v>
      </c>
      <c r="L5842" s="12" t="s">
        <v>36413</v>
      </c>
      <c r="M5842" s="10" t="s">
        <v>36460</v>
      </c>
      <c r="N5842" s="10" t="s">
        <v>36415</v>
      </c>
      <c r="O5842" s="12" t="s">
        <v>36416</v>
      </c>
      <c r="P5842" s="10" t="s">
        <v>36417</v>
      </c>
      <c r="Q5842" s="10" t="s">
        <v>31</v>
      </c>
      <c r="R5842" s="10" t="s">
        <v>396</v>
      </c>
      <c r="S5842" s="12" t="s">
        <v>36418</v>
      </c>
      <c r="T5842" s="10" t="s">
        <v>66</v>
      </c>
      <c r="U5842" s="12" t="s">
        <v>31</v>
      </c>
      <c r="V5842" s="10" t="s">
        <v>8021</v>
      </c>
      <c r="W5842" s="10" t="s">
        <v>36411</v>
      </c>
      <c r="X5842" s="13" t="str">
        <f>HYPERLINK("https://my.pitchbook.com?p=331709-32P","View People Online")</f>
        <v>View People Online</v>
      </c>
    </row>
    <row r="5843">
      <c r="A5843" s="14" t="s">
        <v>36461</v>
      </c>
      <c r="B5843" s="14" t="s">
        <v>36462</v>
      </c>
      <c r="C5843" s="14" t="s">
        <v>26594</v>
      </c>
      <c r="D5843" s="14" t="s">
        <v>28601</v>
      </c>
      <c r="E5843" s="14" t="s">
        <v>36411</v>
      </c>
      <c r="F5843" s="14" t="s">
        <v>371</v>
      </c>
      <c r="G5843" s="14" t="s">
        <v>36463</v>
      </c>
      <c r="H5843" s="15" t="s">
        <v>31</v>
      </c>
      <c r="I5843" s="15">
        <v>1.0</v>
      </c>
      <c r="J5843" s="15">
        <v>1.0</v>
      </c>
      <c r="K5843" s="15" t="s">
        <v>31</v>
      </c>
      <c r="L5843" s="16" t="s">
        <v>36413</v>
      </c>
      <c r="M5843" s="14" t="s">
        <v>36464</v>
      </c>
      <c r="N5843" s="14" t="s">
        <v>36415</v>
      </c>
      <c r="O5843" s="16" t="s">
        <v>36416</v>
      </c>
      <c r="P5843" s="14" t="s">
        <v>36417</v>
      </c>
      <c r="Q5843" s="14" t="s">
        <v>31</v>
      </c>
      <c r="R5843" s="14" t="s">
        <v>396</v>
      </c>
      <c r="S5843" s="16" t="s">
        <v>36418</v>
      </c>
      <c r="T5843" s="14" t="s">
        <v>66</v>
      </c>
      <c r="U5843" s="16" t="s">
        <v>31</v>
      </c>
      <c r="V5843" s="14" t="s">
        <v>36465</v>
      </c>
      <c r="W5843" s="14" t="s">
        <v>36411</v>
      </c>
      <c r="X5843" s="17" t="str">
        <f>HYPERLINK("https://my.pitchbook.com?p=255272-14P","View People Online")</f>
        <v>View People Online</v>
      </c>
    </row>
    <row r="5844">
      <c r="A5844" s="10" t="s">
        <v>36466</v>
      </c>
      <c r="B5844" s="10" t="s">
        <v>36467</v>
      </c>
      <c r="C5844" s="10" t="s">
        <v>6855</v>
      </c>
      <c r="D5844" s="10" t="s">
        <v>36468</v>
      </c>
      <c r="E5844" s="10" t="s">
        <v>36411</v>
      </c>
      <c r="F5844" s="10" t="s">
        <v>270</v>
      </c>
      <c r="G5844" s="10" t="s">
        <v>36469</v>
      </c>
      <c r="H5844" s="11" t="s">
        <v>31</v>
      </c>
      <c r="I5844" s="11">
        <v>1.0</v>
      </c>
      <c r="J5844" s="11">
        <v>1.0</v>
      </c>
      <c r="K5844" s="11" t="s">
        <v>31</v>
      </c>
      <c r="L5844" s="12" t="s">
        <v>36413</v>
      </c>
      <c r="M5844" s="10" t="s">
        <v>36470</v>
      </c>
      <c r="N5844" s="10" t="s">
        <v>36415</v>
      </c>
      <c r="O5844" s="12" t="s">
        <v>36416</v>
      </c>
      <c r="P5844" s="10" t="s">
        <v>36417</v>
      </c>
      <c r="Q5844" s="10" t="s">
        <v>31</v>
      </c>
      <c r="R5844" s="10" t="s">
        <v>396</v>
      </c>
      <c r="S5844" s="12" t="s">
        <v>36418</v>
      </c>
      <c r="T5844" s="10" t="s">
        <v>66</v>
      </c>
      <c r="U5844" s="12" t="s">
        <v>31</v>
      </c>
      <c r="V5844" s="10" t="s">
        <v>36471</v>
      </c>
      <c r="W5844" s="10" t="s">
        <v>36411</v>
      </c>
      <c r="X5844" s="13" t="str">
        <f>HYPERLINK("https://my.pitchbook.com?p=255101-68P","View People Online")</f>
        <v>View People Online</v>
      </c>
    </row>
    <row r="5845">
      <c r="A5845" s="6" t="s">
        <v>36472</v>
      </c>
      <c r="B5845" s="6" t="s">
        <v>36473</v>
      </c>
      <c r="C5845" s="6" t="s">
        <v>10068</v>
      </c>
      <c r="D5845" s="6" t="s">
        <v>36474</v>
      </c>
      <c r="E5845" s="6" t="s">
        <v>36411</v>
      </c>
      <c r="F5845" s="6" t="s">
        <v>548</v>
      </c>
      <c r="G5845" s="6" t="s">
        <v>36475</v>
      </c>
      <c r="H5845" s="7" t="s">
        <v>31</v>
      </c>
      <c r="I5845" s="7">
        <v>1.0</v>
      </c>
      <c r="J5845" s="7">
        <v>1.0</v>
      </c>
      <c r="K5845" s="7" t="s">
        <v>31</v>
      </c>
      <c r="L5845" s="8" t="s">
        <v>36476</v>
      </c>
      <c r="M5845" s="6" t="s">
        <v>36477</v>
      </c>
      <c r="N5845" s="6" t="s">
        <v>36415</v>
      </c>
      <c r="O5845" s="8" t="s">
        <v>36416</v>
      </c>
      <c r="P5845" s="6" t="s">
        <v>36417</v>
      </c>
      <c r="Q5845" s="6" t="s">
        <v>31</v>
      </c>
      <c r="R5845" s="6" t="s">
        <v>396</v>
      </c>
      <c r="S5845" s="8" t="s">
        <v>36418</v>
      </c>
      <c r="T5845" s="6" t="s">
        <v>66</v>
      </c>
      <c r="U5845" s="8" t="s">
        <v>31</v>
      </c>
      <c r="V5845" s="6" t="s">
        <v>36478</v>
      </c>
      <c r="W5845" s="6" t="s">
        <v>36411</v>
      </c>
      <c r="X5845" s="9" t="str">
        <f>HYPERLINK("https://my.pitchbook.com?p=255106-00P","View People Online")</f>
        <v>View People Online</v>
      </c>
    </row>
    <row r="5846">
      <c r="A5846" s="2" t="s">
        <v>36479</v>
      </c>
      <c r="B5846" s="2" t="s">
        <v>36480</v>
      </c>
      <c r="C5846" s="2" t="s">
        <v>1117</v>
      </c>
      <c r="D5846" s="2" t="s">
        <v>770</v>
      </c>
      <c r="E5846" s="2" t="s">
        <v>36481</v>
      </c>
      <c r="F5846" s="2" t="s">
        <v>270</v>
      </c>
      <c r="G5846" s="2" t="s">
        <v>36482</v>
      </c>
      <c r="H5846" s="3" t="s">
        <v>31</v>
      </c>
      <c r="I5846" s="3">
        <v>8.0</v>
      </c>
      <c r="J5846" s="3">
        <v>2.0</v>
      </c>
      <c r="K5846" s="3">
        <v>4.0</v>
      </c>
      <c r="L5846" s="4" t="s">
        <v>31</v>
      </c>
      <c r="M5846" s="2" t="s">
        <v>36483</v>
      </c>
      <c r="N5846" s="2" t="s">
        <v>75</v>
      </c>
      <c r="O5846" s="4" t="s">
        <v>76</v>
      </c>
      <c r="P5846" s="2" t="s">
        <v>36484</v>
      </c>
      <c r="Q5846" s="2" t="s">
        <v>31</v>
      </c>
      <c r="R5846" s="2" t="s">
        <v>75</v>
      </c>
      <c r="S5846" s="4" t="s">
        <v>1122</v>
      </c>
      <c r="T5846" s="2" t="s">
        <v>66</v>
      </c>
      <c r="U5846" s="4" t="s">
        <v>31</v>
      </c>
      <c r="V5846" s="2" t="s">
        <v>1433</v>
      </c>
      <c r="W5846" s="2" t="s">
        <v>36485</v>
      </c>
      <c r="X5846" s="5" t="str">
        <f>HYPERLINK("https://my.pitchbook.com?p=400013-65P","View People Online")</f>
        <v>View People Online</v>
      </c>
    </row>
    <row r="5847">
      <c r="A5847" s="14" t="s">
        <v>36486</v>
      </c>
      <c r="B5847" s="14" t="s">
        <v>36487</v>
      </c>
      <c r="C5847" s="14" t="s">
        <v>1541</v>
      </c>
      <c r="D5847" s="14" t="s">
        <v>16608</v>
      </c>
      <c r="E5847" s="14" t="s">
        <v>36481</v>
      </c>
      <c r="F5847" s="14" t="s">
        <v>43</v>
      </c>
      <c r="G5847" s="14" t="s">
        <v>36488</v>
      </c>
      <c r="H5847" s="15">
        <v>2.0</v>
      </c>
      <c r="I5847" s="15">
        <v>24.0</v>
      </c>
      <c r="J5847" s="15">
        <v>2.0</v>
      </c>
      <c r="K5847" s="15">
        <v>13.0</v>
      </c>
      <c r="L5847" s="16" t="s">
        <v>36489</v>
      </c>
      <c r="M5847" s="14" t="s">
        <v>36490</v>
      </c>
      <c r="N5847" s="14" t="s">
        <v>1181</v>
      </c>
      <c r="O5847" s="16" t="s">
        <v>1182</v>
      </c>
      <c r="P5847" s="14" t="s">
        <v>31</v>
      </c>
      <c r="Q5847" s="14" t="s">
        <v>31</v>
      </c>
      <c r="R5847" s="14" t="s">
        <v>1185</v>
      </c>
      <c r="S5847" s="16" t="s">
        <v>31</v>
      </c>
      <c r="T5847" s="14" t="s">
        <v>66</v>
      </c>
      <c r="U5847" s="16" t="s">
        <v>31</v>
      </c>
      <c r="V5847" s="14" t="s">
        <v>95</v>
      </c>
      <c r="W5847" s="14" t="s">
        <v>36491</v>
      </c>
      <c r="X5847" s="17" t="str">
        <f>HYPERLINK("https://my.pitchbook.com?p=44246-26P","View People Online")</f>
        <v>View People Online</v>
      </c>
    </row>
    <row r="5848">
      <c r="A5848" s="2" t="s">
        <v>36492</v>
      </c>
      <c r="B5848" s="2" t="s">
        <v>36493</v>
      </c>
      <c r="C5848" s="2" t="s">
        <v>36494</v>
      </c>
      <c r="D5848" s="2" t="s">
        <v>36495</v>
      </c>
      <c r="E5848" s="2" t="s">
        <v>36481</v>
      </c>
      <c r="F5848" s="2" t="s">
        <v>270</v>
      </c>
      <c r="G5848" s="2" t="s">
        <v>36496</v>
      </c>
      <c r="H5848" s="3" t="s">
        <v>31</v>
      </c>
      <c r="I5848" s="3">
        <v>7.0</v>
      </c>
      <c r="J5848" s="3">
        <v>1.0</v>
      </c>
      <c r="K5848" s="3">
        <v>5.0</v>
      </c>
      <c r="L5848" s="4" t="s">
        <v>36497</v>
      </c>
      <c r="M5848" s="2" t="s">
        <v>31</v>
      </c>
      <c r="N5848" s="2" t="s">
        <v>75</v>
      </c>
      <c r="O5848" s="4" t="s">
        <v>76</v>
      </c>
      <c r="P5848" s="2" t="s">
        <v>36484</v>
      </c>
      <c r="Q5848" s="2" t="s">
        <v>23552</v>
      </c>
      <c r="R5848" s="2" t="s">
        <v>75</v>
      </c>
      <c r="S5848" s="4" t="s">
        <v>1122</v>
      </c>
      <c r="T5848" s="2" t="s">
        <v>66</v>
      </c>
      <c r="U5848" s="4" t="s">
        <v>36498</v>
      </c>
      <c r="V5848" s="2" t="s">
        <v>270</v>
      </c>
      <c r="W5848" s="2" t="s">
        <v>36481</v>
      </c>
      <c r="X5848" s="5" t="str">
        <f>HYPERLINK("https://my.pitchbook.com?p=456542-92P","View People Online")</f>
        <v>View People Online</v>
      </c>
    </row>
    <row r="5849">
      <c r="A5849" s="6" t="s">
        <v>36499</v>
      </c>
      <c r="B5849" s="6" t="s">
        <v>36500</v>
      </c>
      <c r="C5849" s="6" t="s">
        <v>1426</v>
      </c>
      <c r="D5849" s="6" t="s">
        <v>36501</v>
      </c>
      <c r="E5849" s="6" t="s">
        <v>36481</v>
      </c>
      <c r="F5849" s="6" t="s">
        <v>43</v>
      </c>
      <c r="G5849" s="6" t="s">
        <v>36502</v>
      </c>
      <c r="H5849" s="7">
        <v>7.0</v>
      </c>
      <c r="I5849" s="7">
        <v>114.0</v>
      </c>
      <c r="J5849" s="7">
        <v>3.0</v>
      </c>
      <c r="K5849" s="7">
        <v>91.0</v>
      </c>
      <c r="L5849" s="8" t="s">
        <v>36497</v>
      </c>
      <c r="M5849" s="6" t="s">
        <v>36503</v>
      </c>
      <c r="N5849" s="6" t="s">
        <v>75</v>
      </c>
      <c r="O5849" s="8" t="s">
        <v>76</v>
      </c>
      <c r="P5849" s="6" t="s">
        <v>36484</v>
      </c>
      <c r="Q5849" s="6" t="s">
        <v>23552</v>
      </c>
      <c r="R5849" s="6" t="s">
        <v>75</v>
      </c>
      <c r="S5849" s="8" t="s">
        <v>1122</v>
      </c>
      <c r="T5849" s="6" t="s">
        <v>66</v>
      </c>
      <c r="U5849" s="8" t="s">
        <v>36498</v>
      </c>
      <c r="V5849" s="6" t="s">
        <v>43</v>
      </c>
      <c r="W5849" s="6" t="s">
        <v>36481</v>
      </c>
      <c r="X5849" s="9" t="str">
        <f>HYPERLINK("https://my.pitchbook.com?p=13456-99P","View People Online")</f>
        <v>View People Online</v>
      </c>
    </row>
    <row r="5850">
      <c r="A5850" s="2" t="s">
        <v>36504</v>
      </c>
      <c r="B5850" s="2" t="s">
        <v>33079</v>
      </c>
      <c r="C5850" s="2" t="s">
        <v>69</v>
      </c>
      <c r="D5850" s="2" t="s">
        <v>33080</v>
      </c>
      <c r="E5850" s="2" t="s">
        <v>36481</v>
      </c>
      <c r="F5850" s="2" t="s">
        <v>221</v>
      </c>
      <c r="G5850" s="2" t="s">
        <v>36505</v>
      </c>
      <c r="H5850" s="3" t="s">
        <v>31</v>
      </c>
      <c r="I5850" s="3">
        <v>19.0</v>
      </c>
      <c r="J5850" s="3">
        <v>1.0</v>
      </c>
      <c r="K5850" s="3">
        <v>15.0</v>
      </c>
      <c r="L5850" s="4" t="s">
        <v>36497</v>
      </c>
      <c r="M5850" s="2" t="s">
        <v>36506</v>
      </c>
      <c r="N5850" s="2" t="s">
        <v>75</v>
      </c>
      <c r="O5850" s="4" t="s">
        <v>76</v>
      </c>
      <c r="P5850" s="2" t="s">
        <v>36484</v>
      </c>
      <c r="Q5850" s="2" t="s">
        <v>23552</v>
      </c>
      <c r="R5850" s="2" t="s">
        <v>75</v>
      </c>
      <c r="S5850" s="4" t="s">
        <v>1122</v>
      </c>
      <c r="T5850" s="2" t="s">
        <v>66</v>
      </c>
      <c r="U5850" s="4" t="s">
        <v>36498</v>
      </c>
      <c r="V5850" s="2" t="s">
        <v>221</v>
      </c>
      <c r="W5850" s="2" t="s">
        <v>36481</v>
      </c>
      <c r="X5850" s="5" t="str">
        <f>HYPERLINK("https://my.pitchbook.com?p=237898-27P","View People Online")</f>
        <v>View People Online</v>
      </c>
    </row>
    <row r="5851">
      <c r="A5851" s="6" t="s">
        <v>36507</v>
      </c>
      <c r="B5851" s="6" t="s">
        <v>36508</v>
      </c>
      <c r="C5851" s="6" t="s">
        <v>24684</v>
      </c>
      <c r="D5851" s="6" t="s">
        <v>1723</v>
      </c>
      <c r="E5851" s="6" t="s">
        <v>36481</v>
      </c>
      <c r="F5851" s="6" t="s">
        <v>114</v>
      </c>
      <c r="G5851" s="6" t="s">
        <v>36509</v>
      </c>
      <c r="H5851" s="7" t="s">
        <v>31</v>
      </c>
      <c r="I5851" s="7">
        <v>10.0</v>
      </c>
      <c r="J5851" s="7">
        <v>2.0</v>
      </c>
      <c r="K5851" s="7">
        <v>5.0</v>
      </c>
      <c r="L5851" s="8" t="s">
        <v>31</v>
      </c>
      <c r="M5851" s="6" t="s">
        <v>36510</v>
      </c>
      <c r="N5851" s="6" t="s">
        <v>75</v>
      </c>
      <c r="O5851" s="8" t="s">
        <v>76</v>
      </c>
      <c r="P5851" s="6" t="s">
        <v>36484</v>
      </c>
      <c r="Q5851" s="6" t="s">
        <v>31</v>
      </c>
      <c r="R5851" s="6" t="s">
        <v>75</v>
      </c>
      <c r="S5851" s="8" t="s">
        <v>1122</v>
      </c>
      <c r="T5851" s="6" t="s">
        <v>66</v>
      </c>
      <c r="U5851" s="8" t="s">
        <v>31</v>
      </c>
      <c r="V5851" s="6" t="s">
        <v>1433</v>
      </c>
      <c r="W5851" s="6" t="s">
        <v>36485</v>
      </c>
      <c r="X5851" s="9" t="str">
        <f>HYPERLINK("https://my.pitchbook.com?p=43098-04P","View People Online")</f>
        <v>View People Online</v>
      </c>
    </row>
    <row r="5852">
      <c r="A5852" s="10" t="s">
        <v>36511</v>
      </c>
      <c r="B5852" s="10" t="s">
        <v>36512</v>
      </c>
      <c r="C5852" s="10" t="s">
        <v>28342</v>
      </c>
      <c r="D5852" s="10" t="s">
        <v>36513</v>
      </c>
      <c r="E5852" s="10" t="s">
        <v>36481</v>
      </c>
      <c r="F5852" s="10" t="s">
        <v>270</v>
      </c>
      <c r="G5852" s="10" t="s">
        <v>36514</v>
      </c>
      <c r="H5852" s="11" t="s">
        <v>31</v>
      </c>
      <c r="I5852" s="11">
        <v>5.0</v>
      </c>
      <c r="J5852" s="11">
        <v>1.0</v>
      </c>
      <c r="K5852" s="11">
        <v>3.0</v>
      </c>
      <c r="L5852" s="12" t="s">
        <v>36497</v>
      </c>
      <c r="M5852" s="10" t="s">
        <v>31</v>
      </c>
      <c r="N5852" s="10" t="s">
        <v>75</v>
      </c>
      <c r="O5852" s="12" t="s">
        <v>76</v>
      </c>
      <c r="P5852" s="10" t="s">
        <v>36484</v>
      </c>
      <c r="Q5852" s="10" t="s">
        <v>23552</v>
      </c>
      <c r="R5852" s="10" t="s">
        <v>75</v>
      </c>
      <c r="S5852" s="12" t="s">
        <v>1122</v>
      </c>
      <c r="T5852" s="10" t="s">
        <v>66</v>
      </c>
      <c r="U5852" s="12" t="s">
        <v>36498</v>
      </c>
      <c r="V5852" s="10" t="s">
        <v>270</v>
      </c>
      <c r="W5852" s="10" t="s">
        <v>36481</v>
      </c>
      <c r="X5852" s="13" t="str">
        <f>HYPERLINK("https://my.pitchbook.com?p=456514-48P","View People Online")</f>
        <v>View People Online</v>
      </c>
    </row>
    <row r="5853">
      <c r="A5853" s="14" t="s">
        <v>36515</v>
      </c>
      <c r="B5853" s="14" t="s">
        <v>36516</v>
      </c>
      <c r="C5853" s="14" t="s">
        <v>26</v>
      </c>
      <c r="D5853" s="14" t="s">
        <v>36517</v>
      </c>
      <c r="E5853" s="14" t="s">
        <v>36481</v>
      </c>
      <c r="F5853" s="14" t="s">
        <v>86</v>
      </c>
      <c r="G5853" s="14" t="s">
        <v>36518</v>
      </c>
      <c r="H5853" s="15">
        <v>8.0</v>
      </c>
      <c r="I5853" s="15">
        <v>137.0</v>
      </c>
      <c r="J5853" s="15">
        <v>3.0</v>
      </c>
      <c r="K5853" s="15">
        <v>112.0</v>
      </c>
      <c r="L5853" s="16" t="s">
        <v>36497</v>
      </c>
      <c r="M5853" s="14" t="s">
        <v>36519</v>
      </c>
      <c r="N5853" s="14" t="s">
        <v>75</v>
      </c>
      <c r="O5853" s="16" t="s">
        <v>76</v>
      </c>
      <c r="P5853" s="14" t="s">
        <v>36484</v>
      </c>
      <c r="Q5853" s="14" t="s">
        <v>23552</v>
      </c>
      <c r="R5853" s="14" t="s">
        <v>75</v>
      </c>
      <c r="S5853" s="16" t="s">
        <v>1122</v>
      </c>
      <c r="T5853" s="14" t="s">
        <v>66</v>
      </c>
      <c r="U5853" s="16" t="s">
        <v>36498</v>
      </c>
      <c r="V5853" s="14" t="s">
        <v>95</v>
      </c>
      <c r="W5853" s="14" t="s">
        <v>36481</v>
      </c>
      <c r="X5853" s="17" t="str">
        <f>HYPERLINK("https://my.pitchbook.com?p=13456-72P","View People Online")</f>
        <v>View People Online</v>
      </c>
    </row>
    <row r="5854">
      <c r="A5854" s="2" t="s">
        <v>36520</v>
      </c>
      <c r="B5854" s="2" t="s">
        <v>36521</v>
      </c>
      <c r="C5854" s="2" t="s">
        <v>2149</v>
      </c>
      <c r="D5854" s="2" t="s">
        <v>21388</v>
      </c>
      <c r="E5854" s="2" t="s">
        <v>36481</v>
      </c>
      <c r="F5854" s="2" t="s">
        <v>43</v>
      </c>
      <c r="G5854" s="2" t="s">
        <v>36522</v>
      </c>
      <c r="H5854" s="3">
        <v>9.0</v>
      </c>
      <c r="I5854" s="3">
        <v>101.0</v>
      </c>
      <c r="J5854" s="3">
        <v>3.0</v>
      </c>
      <c r="K5854" s="3">
        <v>77.0</v>
      </c>
      <c r="L5854" s="4" t="s">
        <v>31</v>
      </c>
      <c r="M5854" s="2" t="s">
        <v>36523</v>
      </c>
      <c r="N5854" s="2" t="s">
        <v>75</v>
      </c>
      <c r="O5854" s="4" t="s">
        <v>76</v>
      </c>
      <c r="P5854" s="2" t="s">
        <v>36484</v>
      </c>
      <c r="Q5854" s="2" t="s">
        <v>31</v>
      </c>
      <c r="R5854" s="2" t="s">
        <v>75</v>
      </c>
      <c r="S5854" s="4" t="s">
        <v>1122</v>
      </c>
      <c r="T5854" s="2" t="s">
        <v>66</v>
      </c>
      <c r="U5854" s="4" t="s">
        <v>31</v>
      </c>
      <c r="V5854" s="2" t="s">
        <v>95</v>
      </c>
      <c r="W5854" s="2" t="s">
        <v>36524</v>
      </c>
      <c r="X5854" s="5" t="str">
        <f>HYPERLINK("https://my.pitchbook.com?p=64165-78P","View People Online")</f>
        <v>View People Online</v>
      </c>
    </row>
    <row r="5855">
      <c r="A5855" s="6" t="s">
        <v>36525</v>
      </c>
      <c r="B5855" s="6" t="s">
        <v>36526</v>
      </c>
      <c r="C5855" s="6" t="s">
        <v>160</v>
      </c>
      <c r="D5855" s="6" t="s">
        <v>36527</v>
      </c>
      <c r="E5855" s="6" t="s">
        <v>36481</v>
      </c>
      <c r="F5855" s="6" t="s">
        <v>502</v>
      </c>
      <c r="G5855" s="6" t="s">
        <v>36528</v>
      </c>
      <c r="H5855" s="7" t="s">
        <v>31</v>
      </c>
      <c r="I5855" s="7">
        <v>4.0</v>
      </c>
      <c r="J5855" s="7">
        <v>1.0</v>
      </c>
      <c r="K5855" s="7">
        <v>1.0</v>
      </c>
      <c r="L5855" s="8" t="s">
        <v>36497</v>
      </c>
      <c r="M5855" s="6" t="s">
        <v>36529</v>
      </c>
      <c r="N5855" s="6" t="s">
        <v>75</v>
      </c>
      <c r="O5855" s="8" t="s">
        <v>76</v>
      </c>
      <c r="P5855" s="6" t="s">
        <v>36484</v>
      </c>
      <c r="Q5855" s="6" t="s">
        <v>23552</v>
      </c>
      <c r="R5855" s="6" t="s">
        <v>75</v>
      </c>
      <c r="S5855" s="8" t="s">
        <v>1122</v>
      </c>
      <c r="T5855" s="6" t="s">
        <v>66</v>
      </c>
      <c r="U5855" s="8" t="s">
        <v>36498</v>
      </c>
      <c r="V5855" s="6" t="s">
        <v>502</v>
      </c>
      <c r="W5855" s="6" t="s">
        <v>36481</v>
      </c>
      <c r="X5855" s="9" t="str">
        <f>HYPERLINK("https://my.pitchbook.com?p=30488-68P","View People Online")</f>
        <v>View People Online</v>
      </c>
    </row>
    <row r="5856">
      <c r="A5856" s="10" t="s">
        <v>36530</v>
      </c>
      <c r="B5856" s="10" t="s">
        <v>36531</v>
      </c>
      <c r="C5856" s="10" t="s">
        <v>36532</v>
      </c>
      <c r="D5856" s="10" t="s">
        <v>15716</v>
      </c>
      <c r="E5856" s="10" t="s">
        <v>36533</v>
      </c>
      <c r="F5856" s="10" t="s">
        <v>114</v>
      </c>
      <c r="G5856" s="10" t="s">
        <v>36534</v>
      </c>
      <c r="H5856" s="11">
        <v>1.0</v>
      </c>
      <c r="I5856" s="11">
        <v>10.0</v>
      </c>
      <c r="J5856" s="11">
        <v>2.0</v>
      </c>
      <c r="K5856" s="11">
        <v>5.0</v>
      </c>
      <c r="L5856" s="12" t="s">
        <v>31</v>
      </c>
      <c r="M5856" s="10" t="s">
        <v>31</v>
      </c>
      <c r="N5856" s="10" t="s">
        <v>31</v>
      </c>
      <c r="O5856" s="12" t="s">
        <v>25459</v>
      </c>
      <c r="P5856" s="10" t="s">
        <v>31</v>
      </c>
      <c r="Q5856" s="10" t="s">
        <v>31</v>
      </c>
      <c r="R5856" s="10" t="s">
        <v>64</v>
      </c>
      <c r="S5856" s="12" t="s">
        <v>31</v>
      </c>
      <c r="T5856" s="10" t="s">
        <v>66</v>
      </c>
      <c r="U5856" s="12" t="s">
        <v>31</v>
      </c>
      <c r="V5856" s="10" t="s">
        <v>1433</v>
      </c>
      <c r="W5856" s="10" t="s">
        <v>36535</v>
      </c>
      <c r="X5856" s="13" t="str">
        <f>HYPERLINK("https://my.pitchbook.com?p=99413-11P","View People Online")</f>
        <v>View People Online</v>
      </c>
    </row>
    <row r="5857">
      <c r="A5857" s="6" t="s">
        <v>36536</v>
      </c>
      <c r="B5857" s="6" t="s">
        <v>36537</v>
      </c>
      <c r="C5857" s="6" t="s">
        <v>7116</v>
      </c>
      <c r="D5857" s="6" t="s">
        <v>36538</v>
      </c>
      <c r="E5857" s="6" t="s">
        <v>36533</v>
      </c>
      <c r="F5857" s="6" t="s">
        <v>114</v>
      </c>
      <c r="G5857" s="6" t="s">
        <v>36539</v>
      </c>
      <c r="H5857" s="7" t="s">
        <v>31</v>
      </c>
      <c r="I5857" s="7">
        <v>1.0</v>
      </c>
      <c r="J5857" s="7">
        <v>1.0</v>
      </c>
      <c r="K5857" s="7" t="s">
        <v>31</v>
      </c>
      <c r="L5857" s="8" t="s">
        <v>36540</v>
      </c>
      <c r="M5857" s="6" t="s">
        <v>36541</v>
      </c>
      <c r="N5857" s="6" t="s">
        <v>36542</v>
      </c>
      <c r="O5857" s="8" t="s">
        <v>36543</v>
      </c>
      <c r="P5857" s="6" t="s">
        <v>36544</v>
      </c>
      <c r="Q5857" s="6" t="s">
        <v>31</v>
      </c>
      <c r="R5857" s="6" t="s">
        <v>64</v>
      </c>
      <c r="S5857" s="8" t="s">
        <v>36545</v>
      </c>
      <c r="T5857" s="6" t="s">
        <v>66</v>
      </c>
      <c r="U5857" s="8" t="s">
        <v>31</v>
      </c>
      <c r="V5857" s="6" t="s">
        <v>114</v>
      </c>
      <c r="W5857" s="6" t="s">
        <v>36533</v>
      </c>
      <c r="X5857" s="9" t="str">
        <f>HYPERLINK("https://my.pitchbook.com?p=409305-61P","View People Online")</f>
        <v>View People Online</v>
      </c>
    </row>
    <row r="5858">
      <c r="A5858" s="2" t="s">
        <v>36546</v>
      </c>
      <c r="B5858" s="2" t="s">
        <v>36547</v>
      </c>
      <c r="C5858" s="2" t="s">
        <v>1426</v>
      </c>
      <c r="D5858" s="2" t="s">
        <v>36548</v>
      </c>
      <c r="E5858" s="2" t="s">
        <v>36533</v>
      </c>
      <c r="F5858" s="2" t="s">
        <v>2422</v>
      </c>
      <c r="G5858" s="2" t="s">
        <v>36549</v>
      </c>
      <c r="H5858" s="3" t="s">
        <v>31</v>
      </c>
      <c r="I5858" s="3">
        <v>3.0</v>
      </c>
      <c r="J5858" s="3">
        <v>1.0</v>
      </c>
      <c r="K5858" s="3">
        <v>1.0</v>
      </c>
      <c r="L5858" s="4" t="s">
        <v>36540</v>
      </c>
      <c r="M5858" s="2" t="s">
        <v>36550</v>
      </c>
      <c r="N5858" s="2" t="s">
        <v>36542</v>
      </c>
      <c r="O5858" s="4" t="s">
        <v>36543</v>
      </c>
      <c r="P5858" s="2" t="s">
        <v>36544</v>
      </c>
      <c r="Q5858" s="2" t="s">
        <v>31</v>
      </c>
      <c r="R5858" s="2" t="s">
        <v>64</v>
      </c>
      <c r="S5858" s="4" t="s">
        <v>36545</v>
      </c>
      <c r="T5858" s="2" t="s">
        <v>66</v>
      </c>
      <c r="U5858" s="4" t="s">
        <v>31</v>
      </c>
      <c r="V5858" s="2" t="s">
        <v>36551</v>
      </c>
      <c r="W5858" s="2" t="s">
        <v>36533</v>
      </c>
      <c r="X5858" s="5" t="str">
        <f>HYPERLINK("https://my.pitchbook.com?p=199967-23P","View People Online")</f>
        <v>View People Online</v>
      </c>
    </row>
    <row r="5859">
      <c r="A5859" s="6" t="s">
        <v>36552</v>
      </c>
      <c r="B5859" s="6" t="s">
        <v>36553</v>
      </c>
      <c r="C5859" s="6" t="s">
        <v>323</v>
      </c>
      <c r="D5859" s="6" t="s">
        <v>36554</v>
      </c>
      <c r="E5859" s="6" t="s">
        <v>36533</v>
      </c>
      <c r="F5859" s="6" t="s">
        <v>57</v>
      </c>
      <c r="G5859" s="6" t="s">
        <v>36555</v>
      </c>
      <c r="H5859" s="7">
        <v>4.0</v>
      </c>
      <c r="I5859" s="7">
        <v>46.0</v>
      </c>
      <c r="J5859" s="7">
        <v>1.0</v>
      </c>
      <c r="K5859" s="7">
        <v>36.0</v>
      </c>
      <c r="L5859" s="8" t="s">
        <v>36540</v>
      </c>
      <c r="M5859" s="6" t="s">
        <v>36556</v>
      </c>
      <c r="N5859" s="6" t="s">
        <v>36542</v>
      </c>
      <c r="O5859" s="8" t="s">
        <v>36543</v>
      </c>
      <c r="P5859" s="6" t="s">
        <v>36544</v>
      </c>
      <c r="Q5859" s="6" t="s">
        <v>31</v>
      </c>
      <c r="R5859" s="6" t="s">
        <v>64</v>
      </c>
      <c r="S5859" s="8" t="s">
        <v>36545</v>
      </c>
      <c r="T5859" s="6" t="s">
        <v>66</v>
      </c>
      <c r="U5859" s="8" t="s">
        <v>31</v>
      </c>
      <c r="V5859" s="6" t="s">
        <v>57</v>
      </c>
      <c r="W5859" s="6" t="s">
        <v>36533</v>
      </c>
      <c r="X5859" s="9" t="str">
        <f>HYPERLINK("https://my.pitchbook.com?p=45622-45P","View People Online")</f>
        <v>View People Online</v>
      </c>
    </row>
    <row r="5860">
      <c r="A5860" s="10" t="s">
        <v>36557</v>
      </c>
      <c r="B5860" s="10" t="s">
        <v>36558</v>
      </c>
      <c r="C5860" s="10" t="s">
        <v>3643</v>
      </c>
      <c r="D5860" s="10" t="s">
        <v>3729</v>
      </c>
      <c r="E5860" s="10" t="s">
        <v>36533</v>
      </c>
      <c r="F5860" s="10" t="s">
        <v>114</v>
      </c>
      <c r="G5860" s="10" t="s">
        <v>36559</v>
      </c>
      <c r="H5860" s="11" t="s">
        <v>31</v>
      </c>
      <c r="I5860" s="11">
        <v>1.0</v>
      </c>
      <c r="J5860" s="11">
        <v>1.0</v>
      </c>
      <c r="K5860" s="11" t="s">
        <v>31</v>
      </c>
      <c r="L5860" s="12" t="s">
        <v>36540</v>
      </c>
      <c r="M5860" s="10" t="s">
        <v>36560</v>
      </c>
      <c r="N5860" s="10" t="s">
        <v>36542</v>
      </c>
      <c r="O5860" s="12" t="s">
        <v>36543</v>
      </c>
      <c r="P5860" s="10" t="s">
        <v>36544</v>
      </c>
      <c r="Q5860" s="10" t="s">
        <v>31</v>
      </c>
      <c r="R5860" s="10" t="s">
        <v>64</v>
      </c>
      <c r="S5860" s="12" t="s">
        <v>36545</v>
      </c>
      <c r="T5860" s="10" t="s">
        <v>66</v>
      </c>
      <c r="U5860" s="12" t="s">
        <v>31</v>
      </c>
      <c r="V5860" s="10" t="s">
        <v>114</v>
      </c>
      <c r="W5860" s="10" t="s">
        <v>36533</v>
      </c>
      <c r="X5860" s="13" t="str">
        <f>HYPERLINK("https://my.pitchbook.com?p=156250-27P","View People Online")</f>
        <v>View People Online</v>
      </c>
    </row>
    <row r="5861">
      <c r="A5861" s="14" t="s">
        <v>36561</v>
      </c>
      <c r="B5861" s="14" t="s">
        <v>36562</v>
      </c>
      <c r="C5861" s="14" t="s">
        <v>823</v>
      </c>
      <c r="D5861" s="14" t="s">
        <v>4314</v>
      </c>
      <c r="E5861" s="14" t="s">
        <v>36533</v>
      </c>
      <c r="F5861" s="14" t="s">
        <v>114</v>
      </c>
      <c r="G5861" s="14" t="s">
        <v>36563</v>
      </c>
      <c r="H5861" s="15" t="s">
        <v>31</v>
      </c>
      <c r="I5861" s="15">
        <v>2.0</v>
      </c>
      <c r="J5861" s="15">
        <v>2.0</v>
      </c>
      <c r="K5861" s="15" t="s">
        <v>31</v>
      </c>
      <c r="L5861" s="16" t="s">
        <v>36540</v>
      </c>
      <c r="M5861" s="14" t="s">
        <v>36564</v>
      </c>
      <c r="N5861" s="14" t="s">
        <v>36542</v>
      </c>
      <c r="O5861" s="16" t="s">
        <v>36543</v>
      </c>
      <c r="P5861" s="14" t="s">
        <v>36544</v>
      </c>
      <c r="Q5861" s="14" t="s">
        <v>31</v>
      </c>
      <c r="R5861" s="14" t="s">
        <v>64</v>
      </c>
      <c r="S5861" s="16" t="s">
        <v>36545</v>
      </c>
      <c r="T5861" s="14" t="s">
        <v>66</v>
      </c>
      <c r="U5861" s="16" t="s">
        <v>31</v>
      </c>
      <c r="V5861" s="14" t="s">
        <v>114</v>
      </c>
      <c r="W5861" s="14" t="s">
        <v>36533</v>
      </c>
      <c r="X5861" s="17" t="str">
        <f>HYPERLINK("https://my.pitchbook.com?p=319492-90P","View People Online")</f>
        <v>View People Online</v>
      </c>
    </row>
    <row r="5862">
      <c r="A5862" s="10" t="s">
        <v>36565</v>
      </c>
      <c r="B5862" s="10" t="s">
        <v>36566</v>
      </c>
      <c r="C5862" s="10" t="s">
        <v>36567</v>
      </c>
      <c r="D5862" s="10" t="s">
        <v>1073</v>
      </c>
      <c r="E5862" s="10" t="s">
        <v>36533</v>
      </c>
      <c r="F5862" s="10" t="s">
        <v>43</v>
      </c>
      <c r="G5862" s="10" t="s">
        <v>36568</v>
      </c>
      <c r="H5862" s="11">
        <v>2.0</v>
      </c>
      <c r="I5862" s="11">
        <v>15.0</v>
      </c>
      <c r="J5862" s="11">
        <v>1.0</v>
      </c>
      <c r="K5862" s="11">
        <v>10.0</v>
      </c>
      <c r="L5862" s="12" t="s">
        <v>36540</v>
      </c>
      <c r="M5862" s="10" t="s">
        <v>36569</v>
      </c>
      <c r="N5862" s="10" t="s">
        <v>36542</v>
      </c>
      <c r="O5862" s="12" t="s">
        <v>36543</v>
      </c>
      <c r="P5862" s="10" t="s">
        <v>36544</v>
      </c>
      <c r="Q5862" s="10" t="s">
        <v>31</v>
      </c>
      <c r="R5862" s="10" t="s">
        <v>64</v>
      </c>
      <c r="S5862" s="12" t="s">
        <v>36545</v>
      </c>
      <c r="T5862" s="10" t="s">
        <v>66</v>
      </c>
      <c r="U5862" s="12" t="s">
        <v>31</v>
      </c>
      <c r="V5862" s="10" t="s">
        <v>43</v>
      </c>
      <c r="W5862" s="10" t="s">
        <v>36533</v>
      </c>
      <c r="X5862" s="13" t="str">
        <f>HYPERLINK("https://my.pitchbook.com?p=58354-75P","View People Online")</f>
        <v>View People Online</v>
      </c>
    </row>
    <row r="5863">
      <c r="A5863" s="14" t="s">
        <v>36570</v>
      </c>
      <c r="B5863" s="14" t="s">
        <v>36571</v>
      </c>
      <c r="C5863" s="14" t="s">
        <v>1343</v>
      </c>
      <c r="D5863" s="14" t="s">
        <v>36572</v>
      </c>
      <c r="E5863" s="14" t="s">
        <v>36533</v>
      </c>
      <c r="F5863" s="14" t="s">
        <v>114</v>
      </c>
      <c r="G5863" s="14" t="s">
        <v>36573</v>
      </c>
      <c r="H5863" s="15" t="s">
        <v>31</v>
      </c>
      <c r="I5863" s="15">
        <v>1.0</v>
      </c>
      <c r="J5863" s="15">
        <v>1.0</v>
      </c>
      <c r="K5863" s="15" t="s">
        <v>31</v>
      </c>
      <c r="L5863" s="16" t="s">
        <v>36540</v>
      </c>
      <c r="M5863" s="14" t="s">
        <v>36574</v>
      </c>
      <c r="N5863" s="14" t="s">
        <v>36542</v>
      </c>
      <c r="O5863" s="16" t="s">
        <v>36543</v>
      </c>
      <c r="P5863" s="14" t="s">
        <v>36544</v>
      </c>
      <c r="Q5863" s="14" t="s">
        <v>31</v>
      </c>
      <c r="R5863" s="14" t="s">
        <v>64</v>
      </c>
      <c r="S5863" s="16" t="s">
        <v>36545</v>
      </c>
      <c r="T5863" s="14" t="s">
        <v>66</v>
      </c>
      <c r="U5863" s="16" t="s">
        <v>31</v>
      </c>
      <c r="V5863" s="14" t="s">
        <v>114</v>
      </c>
      <c r="W5863" s="14" t="s">
        <v>36533</v>
      </c>
      <c r="X5863" s="17" t="str">
        <f>HYPERLINK("https://my.pitchbook.com?p=319492-27P","View People Online")</f>
        <v>View People Online</v>
      </c>
    </row>
    <row r="5864">
      <c r="A5864" s="10" t="s">
        <v>36575</v>
      </c>
      <c r="B5864" s="10" t="s">
        <v>36576</v>
      </c>
      <c r="C5864" s="10" t="s">
        <v>1343</v>
      </c>
      <c r="D5864" s="10" t="s">
        <v>1073</v>
      </c>
      <c r="E5864" s="10" t="s">
        <v>36533</v>
      </c>
      <c r="F5864" s="10" t="s">
        <v>114</v>
      </c>
      <c r="G5864" s="10" t="s">
        <v>36577</v>
      </c>
      <c r="H5864" s="11" t="s">
        <v>31</v>
      </c>
      <c r="I5864" s="11">
        <v>3.0</v>
      </c>
      <c r="J5864" s="11">
        <v>1.0</v>
      </c>
      <c r="K5864" s="11">
        <v>1.0</v>
      </c>
      <c r="L5864" s="12" t="s">
        <v>36540</v>
      </c>
      <c r="M5864" s="10" t="s">
        <v>36578</v>
      </c>
      <c r="N5864" s="10" t="s">
        <v>36542</v>
      </c>
      <c r="O5864" s="12" t="s">
        <v>36543</v>
      </c>
      <c r="P5864" s="10" t="s">
        <v>36544</v>
      </c>
      <c r="Q5864" s="10" t="s">
        <v>31</v>
      </c>
      <c r="R5864" s="10" t="s">
        <v>64</v>
      </c>
      <c r="S5864" s="12" t="s">
        <v>36545</v>
      </c>
      <c r="T5864" s="10" t="s">
        <v>66</v>
      </c>
      <c r="U5864" s="12" t="s">
        <v>31</v>
      </c>
      <c r="V5864" s="10" t="s">
        <v>114</v>
      </c>
      <c r="W5864" s="10" t="s">
        <v>36533</v>
      </c>
      <c r="X5864" s="13" t="str">
        <f>HYPERLINK("https://my.pitchbook.com?p=191542-42P","View People Online")</f>
        <v>View People Online</v>
      </c>
    </row>
    <row r="5865">
      <c r="A5865" s="14" t="s">
        <v>36579</v>
      </c>
      <c r="B5865" s="14" t="s">
        <v>36580</v>
      </c>
      <c r="C5865" s="14" t="s">
        <v>36581</v>
      </c>
      <c r="D5865" s="14" t="s">
        <v>1073</v>
      </c>
      <c r="E5865" s="14" t="s">
        <v>36533</v>
      </c>
      <c r="F5865" s="14" t="s">
        <v>2422</v>
      </c>
      <c r="G5865" s="14" t="s">
        <v>36582</v>
      </c>
      <c r="H5865" s="15" t="s">
        <v>31</v>
      </c>
      <c r="I5865" s="15">
        <v>1.0</v>
      </c>
      <c r="J5865" s="15">
        <v>1.0</v>
      </c>
      <c r="K5865" s="15" t="s">
        <v>31</v>
      </c>
      <c r="L5865" s="16" t="s">
        <v>36540</v>
      </c>
      <c r="M5865" s="14" t="s">
        <v>36583</v>
      </c>
      <c r="N5865" s="14" t="s">
        <v>36542</v>
      </c>
      <c r="O5865" s="16" t="s">
        <v>36543</v>
      </c>
      <c r="P5865" s="14" t="s">
        <v>36544</v>
      </c>
      <c r="Q5865" s="14" t="s">
        <v>31</v>
      </c>
      <c r="R5865" s="14" t="s">
        <v>64</v>
      </c>
      <c r="S5865" s="16" t="s">
        <v>36545</v>
      </c>
      <c r="T5865" s="14" t="s">
        <v>66</v>
      </c>
      <c r="U5865" s="16" t="s">
        <v>31</v>
      </c>
      <c r="V5865" s="14" t="s">
        <v>2422</v>
      </c>
      <c r="W5865" s="14" t="s">
        <v>36533</v>
      </c>
      <c r="X5865" s="17" t="str">
        <f>HYPERLINK("https://my.pitchbook.com?p=421237-00P","View People Online")</f>
        <v>View People Online</v>
      </c>
    </row>
    <row r="5866">
      <c r="A5866" s="2" t="s">
        <v>36584</v>
      </c>
      <c r="B5866" s="2" t="s">
        <v>36585</v>
      </c>
      <c r="C5866" s="2" t="s">
        <v>126</v>
      </c>
      <c r="D5866" s="2" t="s">
        <v>837</v>
      </c>
      <c r="E5866" s="2" t="s">
        <v>36533</v>
      </c>
      <c r="F5866" s="2" t="s">
        <v>57</v>
      </c>
      <c r="G5866" s="2" t="s">
        <v>36586</v>
      </c>
      <c r="H5866" s="3">
        <v>2.0</v>
      </c>
      <c r="I5866" s="3">
        <v>32.0</v>
      </c>
      <c r="J5866" s="3">
        <v>2.0</v>
      </c>
      <c r="K5866" s="3">
        <v>24.0</v>
      </c>
      <c r="L5866" s="4" t="s">
        <v>36587</v>
      </c>
      <c r="M5866" s="2" t="s">
        <v>36588</v>
      </c>
      <c r="N5866" s="2" t="s">
        <v>36589</v>
      </c>
      <c r="O5866" s="4" t="s">
        <v>36590</v>
      </c>
      <c r="P5866" s="2" t="s">
        <v>36591</v>
      </c>
      <c r="Q5866" s="2" t="s">
        <v>36592</v>
      </c>
      <c r="R5866" s="2" t="s">
        <v>31</v>
      </c>
      <c r="S5866" s="4" t="s">
        <v>36593</v>
      </c>
      <c r="T5866" s="2" t="s">
        <v>3339</v>
      </c>
      <c r="U5866" s="4" t="s">
        <v>36587</v>
      </c>
      <c r="V5866" s="2" t="s">
        <v>28216</v>
      </c>
      <c r="W5866" s="2" t="s">
        <v>36594</v>
      </c>
      <c r="X5866" s="5" t="str">
        <f>HYPERLINK("https://my.pitchbook.com?p=99410-23P","View People Online")</f>
        <v>View People Online</v>
      </c>
    </row>
    <row r="5867">
      <c r="A5867" s="6" t="s">
        <v>36595</v>
      </c>
      <c r="B5867" s="6" t="s">
        <v>36596</v>
      </c>
      <c r="C5867" s="6" t="s">
        <v>36597</v>
      </c>
      <c r="D5867" s="6" t="s">
        <v>16220</v>
      </c>
      <c r="E5867" s="6" t="s">
        <v>36533</v>
      </c>
      <c r="F5867" s="6" t="s">
        <v>114</v>
      </c>
      <c r="G5867" s="6" t="s">
        <v>36598</v>
      </c>
      <c r="H5867" s="7" t="s">
        <v>31</v>
      </c>
      <c r="I5867" s="7">
        <v>2.0</v>
      </c>
      <c r="J5867" s="7">
        <v>2.0</v>
      </c>
      <c r="K5867" s="7" t="s">
        <v>31</v>
      </c>
      <c r="L5867" s="8" t="s">
        <v>31</v>
      </c>
      <c r="M5867" s="6" t="s">
        <v>36599</v>
      </c>
      <c r="N5867" s="6" t="s">
        <v>36600</v>
      </c>
      <c r="O5867" s="8" t="s">
        <v>36601</v>
      </c>
      <c r="P5867" s="6" t="s">
        <v>31</v>
      </c>
      <c r="Q5867" s="6" t="s">
        <v>31</v>
      </c>
      <c r="R5867" s="6" t="s">
        <v>10017</v>
      </c>
      <c r="S5867" s="8" t="s">
        <v>36602</v>
      </c>
      <c r="T5867" s="6" t="s">
        <v>66</v>
      </c>
      <c r="U5867" s="8" t="s">
        <v>31</v>
      </c>
      <c r="V5867" s="6" t="s">
        <v>991</v>
      </c>
      <c r="W5867" s="6" t="s">
        <v>36603</v>
      </c>
      <c r="X5867" s="9" t="str">
        <f>HYPERLINK("https://my.pitchbook.com?p=172366-12P","View People Online")</f>
        <v>View People Online</v>
      </c>
    </row>
    <row r="5868">
      <c r="A5868" s="2" t="s">
        <v>36604</v>
      </c>
      <c r="B5868" s="2" t="s">
        <v>36605</v>
      </c>
      <c r="C5868" s="2" t="s">
        <v>395</v>
      </c>
      <c r="D5868" s="2" t="s">
        <v>3775</v>
      </c>
      <c r="E5868" s="2" t="s">
        <v>36533</v>
      </c>
      <c r="F5868" s="2" t="s">
        <v>114</v>
      </c>
      <c r="G5868" s="2" t="s">
        <v>36606</v>
      </c>
      <c r="H5868" s="3" t="s">
        <v>31</v>
      </c>
      <c r="I5868" s="3">
        <v>4.0</v>
      </c>
      <c r="J5868" s="3">
        <v>2.0</v>
      </c>
      <c r="K5868" s="3">
        <v>1.0</v>
      </c>
      <c r="L5868" s="4" t="s">
        <v>31</v>
      </c>
      <c r="M5868" s="2" t="s">
        <v>36607</v>
      </c>
      <c r="N5868" s="2" t="s">
        <v>155</v>
      </c>
      <c r="O5868" s="4" t="s">
        <v>156</v>
      </c>
      <c r="P5868" s="2" t="s">
        <v>31</v>
      </c>
      <c r="Q5868" s="2" t="s">
        <v>31</v>
      </c>
      <c r="R5868" s="2" t="s">
        <v>64</v>
      </c>
      <c r="S5868" s="4" t="s">
        <v>31</v>
      </c>
      <c r="T5868" s="2" t="s">
        <v>66</v>
      </c>
      <c r="U5868" s="4" t="s">
        <v>31</v>
      </c>
      <c r="V5868" s="2" t="s">
        <v>27899</v>
      </c>
      <c r="W5868" s="2" t="s">
        <v>36608</v>
      </c>
      <c r="X5868" s="5" t="str">
        <f>HYPERLINK("https://my.pitchbook.com?p=99415-18P","View People Online")</f>
        <v>View People Online</v>
      </c>
    </row>
    <row r="5869">
      <c r="A5869" s="6" t="s">
        <v>36609</v>
      </c>
      <c r="B5869" s="6" t="s">
        <v>36610</v>
      </c>
      <c r="C5869" s="6" t="s">
        <v>1820</v>
      </c>
      <c r="D5869" s="6" t="s">
        <v>1317</v>
      </c>
      <c r="E5869" s="6" t="s">
        <v>36533</v>
      </c>
      <c r="F5869" s="6" t="s">
        <v>221</v>
      </c>
      <c r="G5869" s="6" t="s">
        <v>36611</v>
      </c>
      <c r="H5869" s="7" t="s">
        <v>31</v>
      </c>
      <c r="I5869" s="7">
        <v>1.0</v>
      </c>
      <c r="J5869" s="7">
        <v>1.0</v>
      </c>
      <c r="K5869" s="7" t="s">
        <v>31</v>
      </c>
      <c r="L5869" s="8" t="s">
        <v>36540</v>
      </c>
      <c r="M5869" s="6" t="s">
        <v>36612</v>
      </c>
      <c r="N5869" s="6" t="s">
        <v>36542</v>
      </c>
      <c r="O5869" s="8" t="s">
        <v>36543</v>
      </c>
      <c r="P5869" s="6" t="s">
        <v>36544</v>
      </c>
      <c r="Q5869" s="6" t="s">
        <v>31</v>
      </c>
      <c r="R5869" s="6" t="s">
        <v>64</v>
      </c>
      <c r="S5869" s="8" t="s">
        <v>36545</v>
      </c>
      <c r="T5869" s="6" t="s">
        <v>66</v>
      </c>
      <c r="U5869" s="8" t="s">
        <v>31</v>
      </c>
      <c r="V5869" s="6" t="s">
        <v>957</v>
      </c>
      <c r="W5869" s="6" t="s">
        <v>36533</v>
      </c>
      <c r="X5869" s="9" t="str">
        <f>HYPERLINK("https://my.pitchbook.com?p=279723-34P","View People Online")</f>
        <v>View People Online</v>
      </c>
    </row>
    <row r="5870">
      <c r="A5870" s="2" t="s">
        <v>36613</v>
      </c>
      <c r="B5870" s="2" t="s">
        <v>36614</v>
      </c>
      <c r="C5870" s="2" t="s">
        <v>36615</v>
      </c>
      <c r="D5870" s="2" t="s">
        <v>8648</v>
      </c>
      <c r="E5870" s="2" t="s">
        <v>36533</v>
      </c>
      <c r="F5870" s="2" t="s">
        <v>270</v>
      </c>
      <c r="G5870" s="2" t="s">
        <v>36616</v>
      </c>
      <c r="H5870" s="3" t="s">
        <v>31</v>
      </c>
      <c r="I5870" s="3">
        <v>1.0</v>
      </c>
      <c r="J5870" s="3">
        <v>1.0</v>
      </c>
      <c r="K5870" s="3" t="s">
        <v>31</v>
      </c>
      <c r="L5870" s="4" t="s">
        <v>36540</v>
      </c>
      <c r="M5870" s="2" t="s">
        <v>36617</v>
      </c>
      <c r="N5870" s="2" t="s">
        <v>36542</v>
      </c>
      <c r="O5870" s="4" t="s">
        <v>36543</v>
      </c>
      <c r="P5870" s="2" t="s">
        <v>36544</v>
      </c>
      <c r="Q5870" s="2" t="s">
        <v>31</v>
      </c>
      <c r="R5870" s="2" t="s">
        <v>64</v>
      </c>
      <c r="S5870" s="4" t="s">
        <v>36545</v>
      </c>
      <c r="T5870" s="2" t="s">
        <v>66</v>
      </c>
      <c r="U5870" s="4" t="s">
        <v>31</v>
      </c>
      <c r="V5870" s="2" t="s">
        <v>440</v>
      </c>
      <c r="W5870" s="2" t="s">
        <v>36533</v>
      </c>
      <c r="X5870" s="5" t="str">
        <f>HYPERLINK("https://my.pitchbook.com?p=409307-05P","View People Online")</f>
        <v>View People Online</v>
      </c>
    </row>
    <row r="5871">
      <c r="A5871" s="14" t="s">
        <v>36618</v>
      </c>
      <c r="B5871" s="14" t="s">
        <v>36619</v>
      </c>
      <c r="C5871" s="14" t="s">
        <v>36620</v>
      </c>
      <c r="D5871" s="14" t="s">
        <v>24167</v>
      </c>
      <c r="E5871" s="14" t="s">
        <v>36533</v>
      </c>
      <c r="F5871" s="14" t="s">
        <v>6793</v>
      </c>
      <c r="G5871" s="14" t="s">
        <v>36621</v>
      </c>
      <c r="H5871" s="15">
        <v>1.0</v>
      </c>
      <c r="I5871" s="15">
        <v>7.0</v>
      </c>
      <c r="J5871" s="15">
        <v>1.0</v>
      </c>
      <c r="K5871" s="15">
        <v>2.0</v>
      </c>
      <c r="L5871" s="16" t="s">
        <v>36622</v>
      </c>
      <c r="M5871" s="14" t="s">
        <v>36623</v>
      </c>
      <c r="N5871" s="14" t="s">
        <v>1181</v>
      </c>
      <c r="O5871" s="16" t="s">
        <v>1182</v>
      </c>
      <c r="P5871" s="14" t="s">
        <v>36624</v>
      </c>
      <c r="Q5871" s="14" t="s">
        <v>31</v>
      </c>
      <c r="R5871" s="14" t="s">
        <v>1185</v>
      </c>
      <c r="S5871" s="16" t="s">
        <v>4438</v>
      </c>
      <c r="T5871" s="14" t="s">
        <v>66</v>
      </c>
      <c r="U5871" s="16" t="s">
        <v>36625</v>
      </c>
      <c r="V5871" s="14" t="s">
        <v>36626</v>
      </c>
      <c r="W5871" s="14" t="s">
        <v>36627</v>
      </c>
      <c r="X5871" s="17" t="str">
        <f>HYPERLINK("https://my.pitchbook.com?p=44406-37P","View People Online")</f>
        <v>View People Online</v>
      </c>
    </row>
    <row r="5872">
      <c r="A5872" s="2" t="s">
        <v>36628</v>
      </c>
      <c r="B5872" s="2" t="s">
        <v>36629</v>
      </c>
      <c r="C5872" s="2" t="s">
        <v>36630</v>
      </c>
      <c r="D5872" s="2" t="s">
        <v>3739</v>
      </c>
      <c r="E5872" s="2" t="s">
        <v>36533</v>
      </c>
      <c r="F5872" s="2" t="s">
        <v>57</v>
      </c>
      <c r="G5872" s="2" t="s">
        <v>36631</v>
      </c>
      <c r="H5872" s="3">
        <v>6.0</v>
      </c>
      <c r="I5872" s="3">
        <v>34.0</v>
      </c>
      <c r="J5872" s="3">
        <v>1.0</v>
      </c>
      <c r="K5872" s="3">
        <v>25.0</v>
      </c>
      <c r="L5872" s="4" t="s">
        <v>36540</v>
      </c>
      <c r="M5872" s="2" t="s">
        <v>36632</v>
      </c>
      <c r="N5872" s="2" t="s">
        <v>36542</v>
      </c>
      <c r="O5872" s="4" t="s">
        <v>36543</v>
      </c>
      <c r="P5872" s="2" t="s">
        <v>36544</v>
      </c>
      <c r="Q5872" s="2" t="s">
        <v>31</v>
      </c>
      <c r="R5872" s="2" t="s">
        <v>64</v>
      </c>
      <c r="S5872" s="4" t="s">
        <v>36545</v>
      </c>
      <c r="T5872" s="2" t="s">
        <v>66</v>
      </c>
      <c r="U5872" s="4" t="s">
        <v>31</v>
      </c>
      <c r="V5872" s="2" t="s">
        <v>57</v>
      </c>
      <c r="W5872" s="2" t="s">
        <v>36533</v>
      </c>
      <c r="X5872" s="5" t="str">
        <f>HYPERLINK("https://my.pitchbook.com?p=152064-37P","View People Online")</f>
        <v>View People Online</v>
      </c>
    </row>
    <row r="5873">
      <c r="A5873" s="14" t="s">
        <v>36633</v>
      </c>
      <c r="B5873" s="14" t="s">
        <v>36634</v>
      </c>
      <c r="C5873" s="14" t="s">
        <v>1356</v>
      </c>
      <c r="D5873" s="14" t="s">
        <v>36635</v>
      </c>
      <c r="E5873" s="14" t="s">
        <v>36636</v>
      </c>
      <c r="F5873" s="14" t="s">
        <v>57</v>
      </c>
      <c r="G5873" s="14" t="s">
        <v>36637</v>
      </c>
      <c r="H5873" s="15" t="s">
        <v>31</v>
      </c>
      <c r="I5873" s="15">
        <v>12.0</v>
      </c>
      <c r="J5873" s="15">
        <v>2.0</v>
      </c>
      <c r="K5873" s="15">
        <v>9.0</v>
      </c>
      <c r="L5873" s="16" t="s">
        <v>36638</v>
      </c>
      <c r="M5873" s="14" t="s">
        <v>36639</v>
      </c>
      <c r="N5873" s="14" t="s">
        <v>75</v>
      </c>
      <c r="O5873" s="16" t="s">
        <v>76</v>
      </c>
      <c r="P5873" s="14" t="s">
        <v>36640</v>
      </c>
      <c r="Q5873" s="14" t="s">
        <v>31</v>
      </c>
      <c r="R5873" s="14" t="s">
        <v>75</v>
      </c>
      <c r="S5873" s="16" t="s">
        <v>28963</v>
      </c>
      <c r="T5873" s="14" t="s">
        <v>66</v>
      </c>
      <c r="U5873" s="16" t="s">
        <v>31</v>
      </c>
      <c r="V5873" s="14" t="s">
        <v>558</v>
      </c>
      <c r="W5873" s="14" t="s">
        <v>36641</v>
      </c>
      <c r="X5873" s="17" t="str">
        <f>HYPERLINK("https://my.pitchbook.com?p=30440-35P","View People Online")</f>
        <v>View People Online</v>
      </c>
    </row>
    <row r="5874">
      <c r="A5874" s="2" t="s">
        <v>36642</v>
      </c>
      <c r="B5874" s="2" t="s">
        <v>36643</v>
      </c>
      <c r="C5874" s="2" t="s">
        <v>3828</v>
      </c>
      <c r="D5874" s="2" t="s">
        <v>36644</v>
      </c>
      <c r="E5874" s="2" t="s">
        <v>36636</v>
      </c>
      <c r="F5874" s="2" t="s">
        <v>1801</v>
      </c>
      <c r="G5874" s="2" t="s">
        <v>36645</v>
      </c>
      <c r="H5874" s="3" t="s">
        <v>31</v>
      </c>
      <c r="I5874" s="3">
        <v>1.0</v>
      </c>
      <c r="J5874" s="3">
        <v>1.0</v>
      </c>
      <c r="K5874" s="3" t="s">
        <v>31</v>
      </c>
      <c r="L5874" s="4" t="s">
        <v>36646</v>
      </c>
      <c r="M5874" s="2" t="s">
        <v>36647</v>
      </c>
      <c r="N5874" s="2" t="s">
        <v>1170</v>
      </c>
      <c r="O5874" s="4" t="s">
        <v>1171</v>
      </c>
      <c r="P5874" s="2" t="s">
        <v>31</v>
      </c>
      <c r="Q5874" s="2" t="s">
        <v>31</v>
      </c>
      <c r="R5874" s="2" t="s">
        <v>64</v>
      </c>
      <c r="S5874" s="4" t="s">
        <v>31</v>
      </c>
      <c r="T5874" s="2" t="s">
        <v>66</v>
      </c>
      <c r="U5874" s="4" t="s">
        <v>31</v>
      </c>
      <c r="V5874" s="2" t="s">
        <v>1801</v>
      </c>
      <c r="W5874" s="2" t="s">
        <v>36636</v>
      </c>
      <c r="X5874" s="5" t="str">
        <f>HYPERLINK("https://my.pitchbook.com?p=308673-37P","View People Online")</f>
        <v>View People Online</v>
      </c>
    </row>
    <row r="5875">
      <c r="A5875" s="6" t="s">
        <v>36648</v>
      </c>
      <c r="B5875" s="6" t="s">
        <v>36649</v>
      </c>
      <c r="C5875" s="6" t="s">
        <v>536</v>
      </c>
      <c r="D5875" s="6" t="s">
        <v>1389</v>
      </c>
      <c r="E5875" s="6" t="s">
        <v>36636</v>
      </c>
      <c r="F5875" s="6" t="s">
        <v>152</v>
      </c>
      <c r="G5875" s="6" t="s">
        <v>36650</v>
      </c>
      <c r="H5875" s="7">
        <v>3.0</v>
      </c>
      <c r="I5875" s="7">
        <v>25.0</v>
      </c>
      <c r="J5875" s="7">
        <v>4.0</v>
      </c>
      <c r="K5875" s="7">
        <v>18.0</v>
      </c>
      <c r="L5875" s="8" t="s">
        <v>31</v>
      </c>
      <c r="M5875" s="6" t="s">
        <v>36651</v>
      </c>
      <c r="N5875" s="6" t="s">
        <v>1170</v>
      </c>
      <c r="O5875" s="8" t="s">
        <v>1171</v>
      </c>
      <c r="P5875" s="6" t="s">
        <v>31</v>
      </c>
      <c r="Q5875" s="6" t="s">
        <v>31</v>
      </c>
      <c r="R5875" s="6" t="s">
        <v>64</v>
      </c>
      <c r="S5875" s="8" t="s">
        <v>31</v>
      </c>
      <c r="T5875" s="6" t="s">
        <v>66</v>
      </c>
      <c r="U5875" s="8" t="s">
        <v>31</v>
      </c>
      <c r="V5875" s="6" t="s">
        <v>152</v>
      </c>
      <c r="W5875" s="6" t="s">
        <v>36636</v>
      </c>
      <c r="X5875" s="9" t="str">
        <f>HYPERLINK("https://my.pitchbook.com?p=45125-20P","View People Online")</f>
        <v>View People Online</v>
      </c>
    </row>
    <row r="5876">
      <c r="A5876" s="2" t="s">
        <v>36652</v>
      </c>
      <c r="B5876" s="2" t="s">
        <v>36653</v>
      </c>
      <c r="C5876" s="2" t="s">
        <v>6199</v>
      </c>
      <c r="D5876" s="2" t="s">
        <v>4612</v>
      </c>
      <c r="E5876" s="2" t="s">
        <v>36636</v>
      </c>
      <c r="F5876" s="2" t="s">
        <v>29</v>
      </c>
      <c r="G5876" s="2" t="s">
        <v>36654</v>
      </c>
      <c r="H5876" s="3" t="s">
        <v>31</v>
      </c>
      <c r="I5876" s="3">
        <v>2.0</v>
      </c>
      <c r="J5876" s="3">
        <v>1.0</v>
      </c>
      <c r="K5876" s="3">
        <v>1.0</v>
      </c>
      <c r="L5876" s="4" t="s">
        <v>36655</v>
      </c>
      <c r="M5876" s="2" t="s">
        <v>31</v>
      </c>
      <c r="N5876" s="2" t="s">
        <v>1170</v>
      </c>
      <c r="O5876" s="4" t="s">
        <v>1171</v>
      </c>
      <c r="P5876" s="2" t="s">
        <v>31</v>
      </c>
      <c r="Q5876" s="2" t="s">
        <v>31</v>
      </c>
      <c r="R5876" s="2" t="s">
        <v>64</v>
      </c>
      <c r="S5876" s="4" t="s">
        <v>31</v>
      </c>
      <c r="T5876" s="2" t="s">
        <v>66</v>
      </c>
      <c r="U5876" s="4" t="s">
        <v>31</v>
      </c>
      <c r="V5876" s="2" t="s">
        <v>29</v>
      </c>
      <c r="W5876" s="2" t="s">
        <v>36636</v>
      </c>
      <c r="X5876" s="5" t="str">
        <f>HYPERLINK("https://my.pitchbook.com?p=137415-07P","View People Online")</f>
        <v>View People Online</v>
      </c>
    </row>
    <row r="5877">
      <c r="A5877" s="14" t="s">
        <v>36656</v>
      </c>
      <c r="B5877" s="14" t="s">
        <v>36657</v>
      </c>
      <c r="C5877" s="14" t="s">
        <v>1683</v>
      </c>
      <c r="D5877" s="14" t="s">
        <v>1389</v>
      </c>
      <c r="E5877" s="14" t="s">
        <v>36636</v>
      </c>
      <c r="F5877" s="14" t="s">
        <v>270</v>
      </c>
      <c r="G5877" s="14" t="s">
        <v>36658</v>
      </c>
      <c r="H5877" s="15" t="s">
        <v>31</v>
      </c>
      <c r="I5877" s="15">
        <v>2.0</v>
      </c>
      <c r="J5877" s="15">
        <v>2.0</v>
      </c>
      <c r="K5877" s="15" t="s">
        <v>31</v>
      </c>
      <c r="L5877" s="16" t="s">
        <v>31</v>
      </c>
      <c r="M5877" s="14" t="s">
        <v>31</v>
      </c>
      <c r="N5877" s="14" t="s">
        <v>1170</v>
      </c>
      <c r="O5877" s="16" t="s">
        <v>1171</v>
      </c>
      <c r="P5877" s="14" t="s">
        <v>31</v>
      </c>
      <c r="Q5877" s="14" t="s">
        <v>31</v>
      </c>
      <c r="R5877" s="14" t="s">
        <v>64</v>
      </c>
      <c r="S5877" s="16" t="s">
        <v>31</v>
      </c>
      <c r="T5877" s="14" t="s">
        <v>66</v>
      </c>
      <c r="U5877" s="16" t="s">
        <v>31</v>
      </c>
      <c r="V5877" s="14" t="s">
        <v>270</v>
      </c>
      <c r="W5877" s="14" t="s">
        <v>36636</v>
      </c>
      <c r="X5877" s="17" t="str">
        <f>HYPERLINK("https://my.pitchbook.com?p=308664-82P","View People Online")</f>
        <v>View People Online</v>
      </c>
    </row>
    <row r="5878">
      <c r="A5878" s="10" t="s">
        <v>36659</v>
      </c>
      <c r="B5878" s="10" t="s">
        <v>36660</v>
      </c>
      <c r="C5878" s="10" t="s">
        <v>36661</v>
      </c>
      <c r="D5878" s="10" t="s">
        <v>2155</v>
      </c>
      <c r="E5878" s="10" t="s">
        <v>36662</v>
      </c>
      <c r="F5878" s="10" t="s">
        <v>1283</v>
      </c>
      <c r="G5878" s="10" t="s">
        <v>36663</v>
      </c>
      <c r="H5878" s="11" t="s">
        <v>31</v>
      </c>
      <c r="I5878" s="11">
        <v>7.0</v>
      </c>
      <c r="J5878" s="11">
        <v>3.0</v>
      </c>
      <c r="K5878" s="11">
        <v>2.0</v>
      </c>
      <c r="L5878" s="12" t="s">
        <v>31</v>
      </c>
      <c r="M5878" s="10" t="s">
        <v>36664</v>
      </c>
      <c r="N5878" s="10" t="s">
        <v>1716</v>
      </c>
      <c r="O5878" s="12" t="s">
        <v>1717</v>
      </c>
      <c r="P5878" s="10" t="s">
        <v>31</v>
      </c>
      <c r="Q5878" s="10" t="s">
        <v>31</v>
      </c>
      <c r="R5878" s="10" t="s">
        <v>64</v>
      </c>
      <c r="S5878" s="12" t="s">
        <v>36665</v>
      </c>
      <c r="T5878" s="10" t="s">
        <v>66</v>
      </c>
      <c r="U5878" s="12" t="s">
        <v>31</v>
      </c>
      <c r="V5878" s="10" t="s">
        <v>1283</v>
      </c>
      <c r="W5878" s="10" t="s">
        <v>36662</v>
      </c>
      <c r="X5878" s="13" t="str">
        <f>HYPERLINK("https://my.pitchbook.com?p=13936-78P","View People Online")</f>
        <v>View People Online</v>
      </c>
    </row>
    <row r="5879">
      <c r="A5879" s="14" t="s">
        <v>36666</v>
      </c>
      <c r="B5879" s="14" t="s">
        <v>36667</v>
      </c>
      <c r="C5879" s="14" t="s">
        <v>2288</v>
      </c>
      <c r="D5879" s="14" t="s">
        <v>36668</v>
      </c>
      <c r="E5879" s="14" t="s">
        <v>36669</v>
      </c>
      <c r="F5879" s="14" t="s">
        <v>43</v>
      </c>
      <c r="G5879" s="14" t="s">
        <v>36670</v>
      </c>
      <c r="H5879" s="15" t="s">
        <v>31</v>
      </c>
      <c r="I5879" s="15">
        <v>19.0</v>
      </c>
      <c r="J5879" s="15">
        <v>1.0</v>
      </c>
      <c r="K5879" s="15">
        <v>17.0</v>
      </c>
      <c r="L5879" s="16" t="s">
        <v>31</v>
      </c>
      <c r="M5879" s="14" t="s">
        <v>36671</v>
      </c>
      <c r="N5879" s="14" t="s">
        <v>155</v>
      </c>
      <c r="O5879" s="16" t="s">
        <v>156</v>
      </c>
      <c r="P5879" s="14" t="s">
        <v>31</v>
      </c>
      <c r="Q5879" s="14" t="s">
        <v>31</v>
      </c>
      <c r="R5879" s="14" t="s">
        <v>64</v>
      </c>
      <c r="S5879" s="16" t="s">
        <v>31</v>
      </c>
      <c r="T5879" s="14" t="s">
        <v>66</v>
      </c>
      <c r="U5879" s="16" t="s">
        <v>31</v>
      </c>
      <c r="V5879" s="14" t="s">
        <v>43</v>
      </c>
      <c r="W5879" s="14" t="s">
        <v>36669</v>
      </c>
      <c r="X5879" s="17" t="str">
        <f>HYPERLINK("https://my.pitchbook.com?p=108627-58P","View People Online")</f>
        <v>View People Online</v>
      </c>
    </row>
    <row r="5880">
      <c r="A5880" s="2" t="s">
        <v>36672</v>
      </c>
      <c r="B5880" s="2" t="s">
        <v>36673</v>
      </c>
      <c r="C5880" s="2" t="s">
        <v>4128</v>
      </c>
      <c r="D5880" s="2" t="s">
        <v>36674</v>
      </c>
      <c r="E5880" s="2" t="s">
        <v>36675</v>
      </c>
      <c r="F5880" s="2" t="s">
        <v>43</v>
      </c>
      <c r="G5880" s="2" t="s">
        <v>36676</v>
      </c>
      <c r="H5880" s="3">
        <v>1.0</v>
      </c>
      <c r="I5880" s="3">
        <v>6.0</v>
      </c>
      <c r="J5880" s="3">
        <v>2.0</v>
      </c>
      <c r="K5880" s="3">
        <v>3.0</v>
      </c>
      <c r="L5880" s="4" t="s">
        <v>36677</v>
      </c>
      <c r="M5880" s="2" t="s">
        <v>36678</v>
      </c>
      <c r="N5880" s="2" t="s">
        <v>75</v>
      </c>
      <c r="O5880" s="4" t="s">
        <v>76</v>
      </c>
      <c r="P5880" s="2" t="s">
        <v>36679</v>
      </c>
      <c r="Q5880" s="2" t="s">
        <v>2276</v>
      </c>
      <c r="R5880" s="2" t="s">
        <v>75</v>
      </c>
      <c r="S5880" s="4" t="s">
        <v>1896</v>
      </c>
      <c r="T5880" s="2" t="s">
        <v>66</v>
      </c>
      <c r="U5880" s="4" t="s">
        <v>36680</v>
      </c>
      <c r="V5880" s="2" t="s">
        <v>43</v>
      </c>
      <c r="W5880" s="2" t="s">
        <v>36675</v>
      </c>
      <c r="X5880" s="5" t="str">
        <f>HYPERLINK("https://my.pitchbook.com?p=248578-66P","View People Online")</f>
        <v>View People Online</v>
      </c>
    </row>
    <row r="5881">
      <c r="A5881" s="14" t="s">
        <v>36681</v>
      </c>
      <c r="B5881" s="14" t="s">
        <v>36682</v>
      </c>
      <c r="C5881" s="14" t="s">
        <v>1117</v>
      </c>
      <c r="D5881" s="14" t="s">
        <v>16608</v>
      </c>
      <c r="E5881" s="14" t="s">
        <v>36675</v>
      </c>
      <c r="F5881" s="14" t="s">
        <v>189</v>
      </c>
      <c r="G5881" s="14" t="s">
        <v>36683</v>
      </c>
      <c r="H5881" s="15">
        <v>3.0</v>
      </c>
      <c r="I5881" s="15">
        <v>86.0</v>
      </c>
      <c r="J5881" s="15">
        <v>5.0</v>
      </c>
      <c r="K5881" s="15">
        <v>73.0</v>
      </c>
      <c r="L5881" s="16" t="s">
        <v>36684</v>
      </c>
      <c r="M5881" s="14" t="s">
        <v>36685</v>
      </c>
      <c r="N5881" s="14" t="s">
        <v>1181</v>
      </c>
      <c r="O5881" s="16" t="s">
        <v>1182</v>
      </c>
      <c r="P5881" s="14" t="s">
        <v>1381</v>
      </c>
      <c r="Q5881" s="14" t="s">
        <v>36686</v>
      </c>
      <c r="R5881" s="14" t="s">
        <v>1185</v>
      </c>
      <c r="S5881" s="16" t="s">
        <v>36687</v>
      </c>
      <c r="T5881" s="14" t="s">
        <v>66</v>
      </c>
      <c r="U5881" s="16" t="s">
        <v>31</v>
      </c>
      <c r="V5881" s="14" t="s">
        <v>2168</v>
      </c>
      <c r="W5881" s="14" t="s">
        <v>36688</v>
      </c>
      <c r="X5881" s="17" t="str">
        <f>HYPERLINK("https://my.pitchbook.com?p=53940-52P","View People Online")</f>
        <v>View People Online</v>
      </c>
    </row>
    <row r="5882">
      <c r="A5882" s="2" t="s">
        <v>36689</v>
      </c>
      <c r="B5882" s="2" t="s">
        <v>36690</v>
      </c>
      <c r="C5882" s="2" t="s">
        <v>4858</v>
      </c>
      <c r="D5882" s="2" t="s">
        <v>36691</v>
      </c>
      <c r="E5882" s="2" t="s">
        <v>36675</v>
      </c>
      <c r="F5882" s="2" t="s">
        <v>318</v>
      </c>
      <c r="G5882" s="2" t="s">
        <v>36692</v>
      </c>
      <c r="H5882" s="3" t="s">
        <v>31</v>
      </c>
      <c r="I5882" s="3">
        <v>1.0</v>
      </c>
      <c r="J5882" s="3">
        <v>1.0</v>
      </c>
      <c r="K5882" s="3" t="s">
        <v>31</v>
      </c>
      <c r="L5882" s="4" t="s">
        <v>36677</v>
      </c>
      <c r="M5882" s="2" t="s">
        <v>36693</v>
      </c>
      <c r="N5882" s="2" t="s">
        <v>6669</v>
      </c>
      <c r="O5882" s="4" t="s">
        <v>6670</v>
      </c>
      <c r="P5882" s="2" t="s">
        <v>36694</v>
      </c>
      <c r="Q5882" s="2" t="s">
        <v>1719</v>
      </c>
      <c r="R5882" s="2" t="s">
        <v>1185</v>
      </c>
      <c r="S5882" s="4" t="s">
        <v>6672</v>
      </c>
      <c r="T5882" s="2" t="s">
        <v>66</v>
      </c>
      <c r="U5882" s="4" t="s">
        <v>36680</v>
      </c>
      <c r="V5882" s="2" t="s">
        <v>318</v>
      </c>
      <c r="W5882" s="2" t="s">
        <v>36675</v>
      </c>
      <c r="X5882" s="5" t="str">
        <f>HYPERLINK("https://my.pitchbook.com?p=240829-84P","View People Online")</f>
        <v>View People Online</v>
      </c>
    </row>
    <row r="5883">
      <c r="A5883" s="6" t="s">
        <v>36695</v>
      </c>
      <c r="B5883" s="6" t="s">
        <v>36696</v>
      </c>
      <c r="C5883" s="6" t="s">
        <v>4943</v>
      </c>
      <c r="D5883" s="6" t="s">
        <v>36697</v>
      </c>
      <c r="E5883" s="6" t="s">
        <v>36675</v>
      </c>
      <c r="F5883" s="6" t="s">
        <v>189</v>
      </c>
      <c r="G5883" s="6" t="s">
        <v>36698</v>
      </c>
      <c r="H5883" s="7">
        <v>1.0</v>
      </c>
      <c r="I5883" s="7">
        <v>13.0</v>
      </c>
      <c r="J5883" s="7">
        <v>4.0</v>
      </c>
      <c r="K5883" s="7">
        <v>8.0</v>
      </c>
      <c r="L5883" s="8" t="s">
        <v>36699</v>
      </c>
      <c r="M5883" s="6" t="s">
        <v>36700</v>
      </c>
      <c r="N5883" s="6" t="s">
        <v>75</v>
      </c>
      <c r="O5883" s="8" t="s">
        <v>76</v>
      </c>
      <c r="P5883" s="6" t="s">
        <v>31</v>
      </c>
      <c r="Q5883" s="6" t="s">
        <v>31</v>
      </c>
      <c r="R5883" s="6" t="s">
        <v>75</v>
      </c>
      <c r="S5883" s="8" t="s">
        <v>1896</v>
      </c>
      <c r="T5883" s="6" t="s">
        <v>66</v>
      </c>
      <c r="U5883" s="8" t="s">
        <v>31</v>
      </c>
      <c r="V5883" s="6" t="s">
        <v>1172</v>
      </c>
      <c r="W5883" s="6" t="s">
        <v>36701</v>
      </c>
      <c r="X5883" s="9" t="str">
        <f>HYPERLINK("https://my.pitchbook.com?p=42178-60P","View People Online")</f>
        <v>View People Online</v>
      </c>
    </row>
    <row r="5884">
      <c r="A5884" s="2" t="s">
        <v>36702</v>
      </c>
      <c r="B5884" s="2" t="s">
        <v>36703</v>
      </c>
      <c r="C5884" s="2" t="s">
        <v>1449</v>
      </c>
      <c r="D5884" s="2" t="s">
        <v>36704</v>
      </c>
      <c r="E5884" s="2" t="s">
        <v>36675</v>
      </c>
      <c r="F5884" s="2" t="s">
        <v>43</v>
      </c>
      <c r="G5884" s="2" t="s">
        <v>36705</v>
      </c>
      <c r="H5884" s="3">
        <v>5.0</v>
      </c>
      <c r="I5884" s="3">
        <v>58.0</v>
      </c>
      <c r="J5884" s="3">
        <v>1.0</v>
      </c>
      <c r="K5884" s="3">
        <v>45.0</v>
      </c>
      <c r="L5884" s="4" t="s">
        <v>36706</v>
      </c>
      <c r="M5884" s="2" t="s">
        <v>36707</v>
      </c>
      <c r="N5884" s="2" t="s">
        <v>6669</v>
      </c>
      <c r="O5884" s="4" t="s">
        <v>6670</v>
      </c>
      <c r="P5884" s="2" t="s">
        <v>36694</v>
      </c>
      <c r="Q5884" s="2" t="s">
        <v>1719</v>
      </c>
      <c r="R5884" s="2" t="s">
        <v>1185</v>
      </c>
      <c r="S5884" s="4" t="s">
        <v>6672</v>
      </c>
      <c r="T5884" s="2" t="s">
        <v>66</v>
      </c>
      <c r="U5884" s="4" t="s">
        <v>36680</v>
      </c>
      <c r="V5884" s="2" t="s">
        <v>43</v>
      </c>
      <c r="W5884" s="2" t="s">
        <v>36675</v>
      </c>
      <c r="X5884" s="5" t="str">
        <f>HYPERLINK("https://my.pitchbook.com?p=39565-72P","View People Online")</f>
        <v>View People Online</v>
      </c>
    </row>
    <row r="5885">
      <c r="A5885" s="14" t="s">
        <v>36708</v>
      </c>
      <c r="B5885" s="14" t="s">
        <v>36709</v>
      </c>
      <c r="C5885" s="14" t="s">
        <v>16130</v>
      </c>
      <c r="D5885" s="14" t="s">
        <v>200</v>
      </c>
      <c r="E5885" s="14" t="s">
        <v>36675</v>
      </c>
      <c r="F5885" s="14" t="s">
        <v>189</v>
      </c>
      <c r="G5885" s="14" t="s">
        <v>36710</v>
      </c>
      <c r="H5885" s="15">
        <v>1.0</v>
      </c>
      <c r="I5885" s="15">
        <v>3.0</v>
      </c>
      <c r="J5885" s="15">
        <v>3.0</v>
      </c>
      <c r="K5885" s="15" t="s">
        <v>31</v>
      </c>
      <c r="L5885" s="16" t="s">
        <v>36711</v>
      </c>
      <c r="M5885" s="14" t="s">
        <v>36712</v>
      </c>
      <c r="N5885" s="14" t="s">
        <v>4088</v>
      </c>
      <c r="O5885" s="16" t="s">
        <v>4089</v>
      </c>
      <c r="P5885" s="14" t="s">
        <v>36713</v>
      </c>
      <c r="Q5885" s="14" t="s">
        <v>36714</v>
      </c>
      <c r="R5885" s="14" t="s">
        <v>4092</v>
      </c>
      <c r="S5885" s="16" t="s">
        <v>4093</v>
      </c>
      <c r="T5885" s="14" t="s">
        <v>66</v>
      </c>
      <c r="U5885" s="16" t="s">
        <v>31</v>
      </c>
      <c r="V5885" s="14" t="s">
        <v>36715</v>
      </c>
      <c r="W5885" s="14" t="s">
        <v>36716</v>
      </c>
      <c r="X5885" s="17" t="str">
        <f>HYPERLINK("https://my.pitchbook.com?p=49751-20P","View People Online")</f>
        <v>View People Online</v>
      </c>
    </row>
    <row r="5886">
      <c r="A5886" s="10" t="s">
        <v>36717</v>
      </c>
      <c r="B5886" s="10" t="s">
        <v>36718</v>
      </c>
      <c r="C5886" s="10" t="s">
        <v>323</v>
      </c>
      <c r="D5886" s="10" t="s">
        <v>36719</v>
      </c>
      <c r="E5886" s="10" t="s">
        <v>36675</v>
      </c>
      <c r="F5886" s="10" t="s">
        <v>43</v>
      </c>
      <c r="G5886" s="10" t="s">
        <v>36720</v>
      </c>
      <c r="H5886" s="11">
        <v>6.0</v>
      </c>
      <c r="I5886" s="11">
        <v>102.0</v>
      </c>
      <c r="J5886" s="11">
        <v>1.0</v>
      </c>
      <c r="K5886" s="11">
        <v>89.0</v>
      </c>
      <c r="L5886" s="12" t="s">
        <v>36677</v>
      </c>
      <c r="M5886" s="10" t="s">
        <v>36721</v>
      </c>
      <c r="N5886" s="10" t="s">
        <v>6669</v>
      </c>
      <c r="O5886" s="12" t="s">
        <v>6670</v>
      </c>
      <c r="P5886" s="10" t="s">
        <v>36694</v>
      </c>
      <c r="Q5886" s="10" t="s">
        <v>1719</v>
      </c>
      <c r="R5886" s="10" t="s">
        <v>1185</v>
      </c>
      <c r="S5886" s="12" t="s">
        <v>6672</v>
      </c>
      <c r="T5886" s="10" t="s">
        <v>66</v>
      </c>
      <c r="U5886" s="12" t="s">
        <v>36680</v>
      </c>
      <c r="V5886" s="10" t="s">
        <v>43</v>
      </c>
      <c r="W5886" s="10" t="s">
        <v>36675</v>
      </c>
      <c r="X5886" s="13" t="str">
        <f>HYPERLINK("https://my.pitchbook.com?p=35471-53P","View People Online")</f>
        <v>View People Online</v>
      </c>
    </row>
    <row r="5887">
      <c r="A5887" s="14" t="s">
        <v>36722</v>
      </c>
      <c r="B5887" s="14" t="s">
        <v>36723</v>
      </c>
      <c r="C5887" s="14" t="s">
        <v>4358</v>
      </c>
      <c r="D5887" s="14" t="s">
        <v>36724</v>
      </c>
      <c r="E5887" s="14" t="s">
        <v>36675</v>
      </c>
      <c r="F5887" s="14" t="s">
        <v>318</v>
      </c>
      <c r="G5887" s="14" t="s">
        <v>36725</v>
      </c>
      <c r="H5887" s="15" t="s">
        <v>31</v>
      </c>
      <c r="I5887" s="15">
        <v>4.0</v>
      </c>
      <c r="J5887" s="15">
        <v>1.0</v>
      </c>
      <c r="K5887" s="15">
        <v>2.0</v>
      </c>
      <c r="L5887" s="16" t="s">
        <v>36677</v>
      </c>
      <c r="M5887" s="14" t="s">
        <v>36726</v>
      </c>
      <c r="N5887" s="14" t="s">
        <v>6669</v>
      </c>
      <c r="O5887" s="16" t="s">
        <v>6670</v>
      </c>
      <c r="P5887" s="14" t="s">
        <v>36694</v>
      </c>
      <c r="Q5887" s="14" t="s">
        <v>1719</v>
      </c>
      <c r="R5887" s="14" t="s">
        <v>1185</v>
      </c>
      <c r="S5887" s="16" t="s">
        <v>6672</v>
      </c>
      <c r="T5887" s="14" t="s">
        <v>66</v>
      </c>
      <c r="U5887" s="16" t="s">
        <v>36680</v>
      </c>
      <c r="V5887" s="14" t="s">
        <v>318</v>
      </c>
      <c r="W5887" s="14" t="s">
        <v>36675</v>
      </c>
      <c r="X5887" s="17" t="str">
        <f>HYPERLINK("https://my.pitchbook.com?p=186682-60P","View People Online")</f>
        <v>View People Online</v>
      </c>
    </row>
    <row r="5888">
      <c r="A5888" s="2" t="s">
        <v>36727</v>
      </c>
      <c r="B5888" s="2" t="s">
        <v>36728</v>
      </c>
      <c r="C5888" s="2" t="s">
        <v>4358</v>
      </c>
      <c r="D5888" s="2" t="s">
        <v>36729</v>
      </c>
      <c r="E5888" s="2" t="s">
        <v>36675</v>
      </c>
      <c r="F5888" s="2" t="s">
        <v>189</v>
      </c>
      <c r="G5888" s="2" t="s">
        <v>36730</v>
      </c>
      <c r="H5888" s="3" t="s">
        <v>31</v>
      </c>
      <c r="I5888" s="3">
        <v>10.0</v>
      </c>
      <c r="J5888" s="3">
        <v>2.0</v>
      </c>
      <c r="K5888" s="3">
        <v>7.0</v>
      </c>
      <c r="L5888" s="4" t="s">
        <v>36731</v>
      </c>
      <c r="M5888" s="2" t="s">
        <v>36732</v>
      </c>
      <c r="N5888" s="2" t="s">
        <v>75</v>
      </c>
      <c r="O5888" s="4" t="s">
        <v>76</v>
      </c>
      <c r="P5888" s="2" t="s">
        <v>36733</v>
      </c>
      <c r="Q5888" s="2" t="s">
        <v>194</v>
      </c>
      <c r="R5888" s="2" t="s">
        <v>75</v>
      </c>
      <c r="S5888" s="4" t="s">
        <v>1122</v>
      </c>
      <c r="T5888" s="2" t="s">
        <v>66</v>
      </c>
      <c r="U5888" s="4" t="s">
        <v>31</v>
      </c>
      <c r="V5888" s="2" t="s">
        <v>991</v>
      </c>
      <c r="W5888" s="2" t="s">
        <v>36734</v>
      </c>
      <c r="X5888" s="5" t="str">
        <f>HYPERLINK("https://my.pitchbook.com?p=35678-89P","View People Online")</f>
        <v>View People Online</v>
      </c>
    </row>
    <row r="5889">
      <c r="A5889" s="14" t="s">
        <v>36735</v>
      </c>
      <c r="B5889" s="14" t="s">
        <v>36736</v>
      </c>
      <c r="C5889" s="14" t="s">
        <v>823</v>
      </c>
      <c r="D5889" s="14" t="s">
        <v>36737</v>
      </c>
      <c r="E5889" s="14" t="s">
        <v>36675</v>
      </c>
      <c r="F5889" s="14" t="s">
        <v>189</v>
      </c>
      <c r="G5889" s="14" t="s">
        <v>36738</v>
      </c>
      <c r="H5889" s="15">
        <v>1.0</v>
      </c>
      <c r="I5889" s="15">
        <v>29.0</v>
      </c>
      <c r="J5889" s="15">
        <v>2.0</v>
      </c>
      <c r="K5889" s="15">
        <v>25.0</v>
      </c>
      <c r="L5889" s="16" t="s">
        <v>36739</v>
      </c>
      <c r="M5889" s="14" t="s">
        <v>31</v>
      </c>
      <c r="N5889" s="14" t="s">
        <v>155</v>
      </c>
      <c r="O5889" s="16" t="s">
        <v>156</v>
      </c>
      <c r="P5889" s="14" t="s">
        <v>36740</v>
      </c>
      <c r="Q5889" s="14" t="s">
        <v>2003</v>
      </c>
      <c r="R5889" s="14" t="s">
        <v>64</v>
      </c>
      <c r="S5889" s="16" t="s">
        <v>3487</v>
      </c>
      <c r="T5889" s="14" t="s">
        <v>66</v>
      </c>
      <c r="U5889" s="16" t="s">
        <v>31</v>
      </c>
      <c r="V5889" s="14" t="s">
        <v>3930</v>
      </c>
      <c r="W5889" s="14" t="s">
        <v>36741</v>
      </c>
      <c r="X5889" s="17" t="str">
        <f>HYPERLINK("https://my.pitchbook.com?p=41420-80P","View People Online")</f>
        <v>View People Online</v>
      </c>
    </row>
    <row r="5890">
      <c r="A5890" s="10" t="s">
        <v>36742</v>
      </c>
      <c r="B5890" s="10" t="s">
        <v>36743</v>
      </c>
      <c r="C5890" s="10" t="s">
        <v>5363</v>
      </c>
      <c r="D5890" s="10" t="s">
        <v>36744</v>
      </c>
      <c r="E5890" s="10" t="s">
        <v>36675</v>
      </c>
      <c r="F5890" s="10" t="s">
        <v>7182</v>
      </c>
      <c r="G5890" s="10" t="s">
        <v>36745</v>
      </c>
      <c r="H5890" s="11" t="s">
        <v>31</v>
      </c>
      <c r="I5890" s="11">
        <v>1.0</v>
      </c>
      <c r="J5890" s="11">
        <v>1.0</v>
      </c>
      <c r="K5890" s="11" t="s">
        <v>31</v>
      </c>
      <c r="L5890" s="12" t="s">
        <v>36746</v>
      </c>
      <c r="M5890" s="10" t="s">
        <v>36747</v>
      </c>
      <c r="N5890" s="10" t="s">
        <v>6669</v>
      </c>
      <c r="O5890" s="12" t="s">
        <v>6670</v>
      </c>
      <c r="P5890" s="10" t="s">
        <v>36694</v>
      </c>
      <c r="Q5890" s="10" t="s">
        <v>1719</v>
      </c>
      <c r="R5890" s="10" t="s">
        <v>1185</v>
      </c>
      <c r="S5890" s="12" t="s">
        <v>6672</v>
      </c>
      <c r="T5890" s="10" t="s">
        <v>66</v>
      </c>
      <c r="U5890" s="12" t="s">
        <v>36680</v>
      </c>
      <c r="V5890" s="10" t="s">
        <v>36748</v>
      </c>
      <c r="W5890" s="10" t="s">
        <v>36675</v>
      </c>
      <c r="X5890" s="13" t="str">
        <f>HYPERLINK("https://my.pitchbook.com?p=101083-51P","View People Online")</f>
        <v>View People Online</v>
      </c>
    </row>
    <row r="5891">
      <c r="A5891" s="14" t="s">
        <v>36749</v>
      </c>
      <c r="B5891" s="14" t="s">
        <v>36750</v>
      </c>
      <c r="C5891" s="14" t="s">
        <v>19806</v>
      </c>
      <c r="D5891" s="14" t="s">
        <v>36751</v>
      </c>
      <c r="E5891" s="14" t="s">
        <v>36675</v>
      </c>
      <c r="F5891" s="14" t="s">
        <v>43</v>
      </c>
      <c r="G5891" s="14" t="s">
        <v>36752</v>
      </c>
      <c r="H5891" s="15">
        <v>4.0</v>
      </c>
      <c r="I5891" s="15">
        <v>29.0</v>
      </c>
      <c r="J5891" s="15">
        <v>1.0</v>
      </c>
      <c r="K5891" s="15">
        <v>17.0</v>
      </c>
      <c r="L5891" s="16" t="s">
        <v>36677</v>
      </c>
      <c r="M5891" s="14" t="s">
        <v>36753</v>
      </c>
      <c r="N5891" s="14" t="s">
        <v>6669</v>
      </c>
      <c r="O5891" s="16" t="s">
        <v>6670</v>
      </c>
      <c r="P5891" s="14" t="s">
        <v>36694</v>
      </c>
      <c r="Q5891" s="14" t="s">
        <v>1719</v>
      </c>
      <c r="R5891" s="14" t="s">
        <v>1185</v>
      </c>
      <c r="S5891" s="16" t="s">
        <v>6672</v>
      </c>
      <c r="T5891" s="14" t="s">
        <v>66</v>
      </c>
      <c r="U5891" s="16" t="s">
        <v>36680</v>
      </c>
      <c r="V5891" s="14" t="s">
        <v>43</v>
      </c>
      <c r="W5891" s="14" t="s">
        <v>36675</v>
      </c>
      <c r="X5891" s="17" t="str">
        <f>HYPERLINK("https://my.pitchbook.com?p=37250-11P","View People Online")</f>
        <v>View People Online</v>
      </c>
    </row>
    <row r="5892">
      <c r="A5892" s="10" t="s">
        <v>36754</v>
      </c>
      <c r="B5892" s="10" t="s">
        <v>36755</v>
      </c>
      <c r="C5892" s="10" t="s">
        <v>20141</v>
      </c>
      <c r="D5892" s="10" t="s">
        <v>36756</v>
      </c>
      <c r="E5892" s="10" t="s">
        <v>36675</v>
      </c>
      <c r="F5892" s="10" t="s">
        <v>189</v>
      </c>
      <c r="G5892" s="10" t="s">
        <v>36757</v>
      </c>
      <c r="H5892" s="11" t="s">
        <v>31</v>
      </c>
      <c r="I5892" s="11">
        <v>11.0</v>
      </c>
      <c r="J5892" s="11">
        <v>2.0</v>
      </c>
      <c r="K5892" s="11">
        <v>7.0</v>
      </c>
      <c r="L5892" s="12" t="s">
        <v>36758</v>
      </c>
      <c r="M5892" s="10" t="s">
        <v>36759</v>
      </c>
      <c r="N5892" s="10" t="s">
        <v>75</v>
      </c>
      <c r="O5892" s="12" t="s">
        <v>76</v>
      </c>
      <c r="P5892" s="10" t="s">
        <v>36760</v>
      </c>
      <c r="Q5892" s="10" t="s">
        <v>36761</v>
      </c>
      <c r="R5892" s="10" t="s">
        <v>75</v>
      </c>
      <c r="S5892" s="12" t="s">
        <v>1263</v>
      </c>
      <c r="T5892" s="10" t="s">
        <v>66</v>
      </c>
      <c r="U5892" s="12" t="s">
        <v>31</v>
      </c>
      <c r="V5892" s="10" t="s">
        <v>991</v>
      </c>
      <c r="W5892" s="10" t="s">
        <v>36762</v>
      </c>
      <c r="X5892" s="13" t="str">
        <f>HYPERLINK("https://my.pitchbook.com?p=124379-83P","View People Online")</f>
        <v>View People Online</v>
      </c>
    </row>
    <row r="5893">
      <c r="A5893" s="6" t="s">
        <v>36763</v>
      </c>
      <c r="B5893" s="6" t="s">
        <v>36764</v>
      </c>
      <c r="C5893" s="6" t="s">
        <v>12056</v>
      </c>
      <c r="D5893" s="6" t="s">
        <v>36765</v>
      </c>
      <c r="E5893" s="6" t="s">
        <v>36675</v>
      </c>
      <c r="F5893" s="6" t="s">
        <v>189</v>
      </c>
      <c r="G5893" s="6" t="s">
        <v>36766</v>
      </c>
      <c r="H5893" s="7">
        <v>2.0</v>
      </c>
      <c r="I5893" s="7">
        <v>7.0</v>
      </c>
      <c r="J5893" s="7">
        <v>2.0</v>
      </c>
      <c r="K5893" s="7">
        <v>3.0</v>
      </c>
      <c r="L5893" s="8" t="s">
        <v>36767</v>
      </c>
      <c r="M5893" s="6" t="s">
        <v>36768</v>
      </c>
      <c r="N5893" s="6" t="s">
        <v>75</v>
      </c>
      <c r="O5893" s="8" t="s">
        <v>76</v>
      </c>
      <c r="P5893" s="6" t="s">
        <v>36769</v>
      </c>
      <c r="Q5893" s="6" t="s">
        <v>194</v>
      </c>
      <c r="R5893" s="6" t="s">
        <v>75</v>
      </c>
      <c r="S5893" s="8" t="s">
        <v>1855</v>
      </c>
      <c r="T5893" s="6" t="s">
        <v>66</v>
      </c>
      <c r="U5893" s="8" t="s">
        <v>31</v>
      </c>
      <c r="V5893" s="6" t="s">
        <v>36770</v>
      </c>
      <c r="W5893" s="6" t="s">
        <v>36771</v>
      </c>
      <c r="X5893" s="9" t="str">
        <f>HYPERLINK("https://my.pitchbook.com?p=44388-19P","View People Online")</f>
        <v>View People Online</v>
      </c>
    </row>
    <row r="5894">
      <c r="A5894" s="2" t="s">
        <v>36772</v>
      </c>
      <c r="B5894" s="2" t="s">
        <v>36773</v>
      </c>
      <c r="C5894" s="2" t="s">
        <v>12177</v>
      </c>
      <c r="D5894" s="2" t="s">
        <v>36774</v>
      </c>
      <c r="E5894" s="2" t="s">
        <v>36675</v>
      </c>
      <c r="F5894" s="2" t="s">
        <v>189</v>
      </c>
      <c r="G5894" s="2" t="s">
        <v>36775</v>
      </c>
      <c r="H5894" s="3">
        <v>2.0</v>
      </c>
      <c r="I5894" s="3">
        <v>8.0</v>
      </c>
      <c r="J5894" s="3">
        <v>2.0</v>
      </c>
      <c r="K5894" s="3">
        <v>4.0</v>
      </c>
      <c r="L5894" s="4" t="s">
        <v>36776</v>
      </c>
      <c r="M5894" s="2" t="s">
        <v>36777</v>
      </c>
      <c r="N5894" s="2" t="s">
        <v>36778</v>
      </c>
      <c r="O5894" s="4" t="s">
        <v>36779</v>
      </c>
      <c r="P5894" s="2" t="s">
        <v>36780</v>
      </c>
      <c r="Q5894" s="2" t="s">
        <v>7742</v>
      </c>
      <c r="R5894" s="2" t="s">
        <v>64</v>
      </c>
      <c r="S5894" s="4" t="s">
        <v>36781</v>
      </c>
      <c r="T5894" s="2" t="s">
        <v>66</v>
      </c>
      <c r="U5894" s="4" t="s">
        <v>31</v>
      </c>
      <c r="V5894" s="2" t="s">
        <v>36782</v>
      </c>
      <c r="W5894" s="2" t="s">
        <v>36783</v>
      </c>
      <c r="X5894" s="5" t="str">
        <f>HYPERLINK("https://my.pitchbook.com?p=40618-45P","View People Online")</f>
        <v>View People Online</v>
      </c>
    </row>
    <row r="5895">
      <c r="A5895" s="14" t="s">
        <v>36784</v>
      </c>
      <c r="B5895" s="14" t="s">
        <v>36785</v>
      </c>
      <c r="C5895" s="14" t="s">
        <v>226</v>
      </c>
      <c r="D5895" s="14" t="s">
        <v>10129</v>
      </c>
      <c r="E5895" s="14" t="s">
        <v>36675</v>
      </c>
      <c r="F5895" s="14" t="s">
        <v>189</v>
      </c>
      <c r="G5895" s="14" t="s">
        <v>36786</v>
      </c>
      <c r="H5895" s="15" t="s">
        <v>31</v>
      </c>
      <c r="I5895" s="15">
        <v>13.0</v>
      </c>
      <c r="J5895" s="15">
        <v>1.0</v>
      </c>
      <c r="K5895" s="15">
        <v>9.0</v>
      </c>
      <c r="L5895" s="16" t="s">
        <v>36677</v>
      </c>
      <c r="M5895" s="14" t="s">
        <v>31</v>
      </c>
      <c r="N5895" s="14" t="s">
        <v>6669</v>
      </c>
      <c r="O5895" s="16" t="s">
        <v>6670</v>
      </c>
      <c r="P5895" s="14" t="s">
        <v>36694</v>
      </c>
      <c r="Q5895" s="14" t="s">
        <v>1719</v>
      </c>
      <c r="R5895" s="14" t="s">
        <v>1185</v>
      </c>
      <c r="S5895" s="16" t="s">
        <v>6672</v>
      </c>
      <c r="T5895" s="14" t="s">
        <v>66</v>
      </c>
      <c r="U5895" s="16" t="s">
        <v>36680</v>
      </c>
      <c r="V5895" s="14" t="s">
        <v>36787</v>
      </c>
      <c r="W5895" s="14" t="s">
        <v>36675</v>
      </c>
      <c r="X5895" s="17" t="str">
        <f>HYPERLINK("https://my.pitchbook.com?p=36983-89P","View People Online")</f>
        <v>View People Online</v>
      </c>
    </row>
    <row r="5896">
      <c r="A5896" s="2" t="s">
        <v>36788</v>
      </c>
      <c r="B5896" s="2" t="s">
        <v>36789</v>
      </c>
      <c r="C5896" s="2" t="s">
        <v>36790</v>
      </c>
      <c r="D5896" s="2" t="s">
        <v>36791</v>
      </c>
      <c r="E5896" s="2" t="s">
        <v>36792</v>
      </c>
      <c r="F5896" s="2" t="s">
        <v>502</v>
      </c>
      <c r="G5896" s="2" t="s">
        <v>36793</v>
      </c>
      <c r="H5896" s="3" t="s">
        <v>31</v>
      </c>
      <c r="I5896" s="3">
        <v>2.0</v>
      </c>
      <c r="J5896" s="3">
        <v>2.0</v>
      </c>
      <c r="K5896" s="3" t="s">
        <v>31</v>
      </c>
      <c r="L5896" s="4" t="s">
        <v>31</v>
      </c>
      <c r="M5896" s="2" t="s">
        <v>31</v>
      </c>
      <c r="N5896" s="2" t="s">
        <v>273</v>
      </c>
      <c r="O5896" s="4" t="s">
        <v>274</v>
      </c>
      <c r="P5896" s="2" t="s">
        <v>36794</v>
      </c>
      <c r="Q5896" s="2" t="s">
        <v>1895</v>
      </c>
      <c r="R5896" s="2" t="s">
        <v>31</v>
      </c>
      <c r="S5896" s="4" t="s">
        <v>36795</v>
      </c>
      <c r="T5896" s="2" t="s">
        <v>276</v>
      </c>
      <c r="U5896" s="4" t="s">
        <v>31</v>
      </c>
      <c r="V5896" s="2" t="s">
        <v>502</v>
      </c>
      <c r="W5896" s="2" t="s">
        <v>36792</v>
      </c>
      <c r="X5896" s="5" t="str">
        <f>HYPERLINK("https://my.pitchbook.com?p=156016-72P","View People Online")</f>
        <v>View People Online</v>
      </c>
    </row>
    <row r="5897">
      <c r="A5897" s="14" t="s">
        <v>36796</v>
      </c>
      <c r="B5897" s="14" t="s">
        <v>36797</v>
      </c>
      <c r="C5897" s="14" t="s">
        <v>3052</v>
      </c>
      <c r="D5897" s="14" t="s">
        <v>36798</v>
      </c>
      <c r="E5897" s="14" t="s">
        <v>36792</v>
      </c>
      <c r="F5897" s="14" t="s">
        <v>29</v>
      </c>
      <c r="G5897" s="14" t="s">
        <v>36799</v>
      </c>
      <c r="H5897" s="15" t="s">
        <v>31</v>
      </c>
      <c r="I5897" s="15">
        <v>1.0</v>
      </c>
      <c r="J5897" s="15">
        <v>1.0</v>
      </c>
      <c r="K5897" s="15" t="s">
        <v>31</v>
      </c>
      <c r="L5897" s="16" t="s">
        <v>31</v>
      </c>
      <c r="M5897" s="14" t="s">
        <v>36800</v>
      </c>
      <c r="N5897" s="14" t="s">
        <v>273</v>
      </c>
      <c r="O5897" s="16" t="s">
        <v>274</v>
      </c>
      <c r="P5897" s="14" t="s">
        <v>36794</v>
      </c>
      <c r="Q5897" s="14" t="s">
        <v>1895</v>
      </c>
      <c r="R5897" s="14" t="s">
        <v>31</v>
      </c>
      <c r="S5897" s="16" t="s">
        <v>36795</v>
      </c>
      <c r="T5897" s="14" t="s">
        <v>276</v>
      </c>
      <c r="U5897" s="16" t="s">
        <v>31</v>
      </c>
      <c r="V5897" s="14" t="s">
        <v>29</v>
      </c>
      <c r="W5897" s="14" t="s">
        <v>36792</v>
      </c>
      <c r="X5897" s="17" t="str">
        <f>HYPERLINK("https://my.pitchbook.com?p=156017-08P","View People Online")</f>
        <v>View People Online</v>
      </c>
    </row>
    <row r="5898">
      <c r="A5898" s="10" t="s">
        <v>36801</v>
      </c>
      <c r="B5898" s="10" t="s">
        <v>36802</v>
      </c>
      <c r="C5898" s="10" t="s">
        <v>2388</v>
      </c>
      <c r="D5898" s="10" t="s">
        <v>36803</v>
      </c>
      <c r="E5898" s="10" t="s">
        <v>36792</v>
      </c>
      <c r="F5898" s="10" t="s">
        <v>189</v>
      </c>
      <c r="G5898" s="10" t="s">
        <v>36804</v>
      </c>
      <c r="H5898" s="11">
        <v>1.0</v>
      </c>
      <c r="I5898" s="11">
        <v>2.0</v>
      </c>
      <c r="J5898" s="11">
        <v>1.0</v>
      </c>
      <c r="K5898" s="11" t="s">
        <v>31</v>
      </c>
      <c r="L5898" s="12" t="s">
        <v>31</v>
      </c>
      <c r="M5898" s="10" t="s">
        <v>36805</v>
      </c>
      <c r="N5898" s="10" t="s">
        <v>273</v>
      </c>
      <c r="O5898" s="12" t="s">
        <v>274</v>
      </c>
      <c r="P5898" s="10" t="s">
        <v>36794</v>
      </c>
      <c r="Q5898" s="10" t="s">
        <v>1895</v>
      </c>
      <c r="R5898" s="10" t="s">
        <v>31</v>
      </c>
      <c r="S5898" s="12" t="s">
        <v>36795</v>
      </c>
      <c r="T5898" s="10" t="s">
        <v>276</v>
      </c>
      <c r="U5898" s="12" t="s">
        <v>31</v>
      </c>
      <c r="V5898" s="10" t="s">
        <v>196</v>
      </c>
      <c r="W5898" s="10" t="s">
        <v>36792</v>
      </c>
      <c r="X5898" s="13" t="str">
        <f>HYPERLINK("https://my.pitchbook.com?p=156016-09P","View People Online")</f>
        <v>View People Online</v>
      </c>
    </row>
    <row r="5899">
      <c r="A5899" s="14" t="s">
        <v>36806</v>
      </c>
      <c r="B5899" s="14" t="s">
        <v>36807</v>
      </c>
      <c r="C5899" s="14" t="s">
        <v>3888</v>
      </c>
      <c r="D5899" s="14" t="s">
        <v>36808</v>
      </c>
      <c r="E5899" s="14" t="s">
        <v>36792</v>
      </c>
      <c r="F5899" s="14" t="s">
        <v>29</v>
      </c>
      <c r="G5899" s="14" t="s">
        <v>36809</v>
      </c>
      <c r="H5899" s="15" t="s">
        <v>31</v>
      </c>
      <c r="I5899" s="15">
        <v>5.0</v>
      </c>
      <c r="J5899" s="15">
        <v>1.0</v>
      </c>
      <c r="K5899" s="15">
        <v>2.0</v>
      </c>
      <c r="L5899" s="16" t="s">
        <v>31</v>
      </c>
      <c r="M5899" s="14" t="s">
        <v>36810</v>
      </c>
      <c r="N5899" s="14" t="s">
        <v>273</v>
      </c>
      <c r="O5899" s="16" t="s">
        <v>274</v>
      </c>
      <c r="P5899" s="14" t="s">
        <v>36794</v>
      </c>
      <c r="Q5899" s="14" t="s">
        <v>1895</v>
      </c>
      <c r="R5899" s="14" t="s">
        <v>31</v>
      </c>
      <c r="S5899" s="16" t="s">
        <v>36795</v>
      </c>
      <c r="T5899" s="14" t="s">
        <v>276</v>
      </c>
      <c r="U5899" s="16" t="s">
        <v>31</v>
      </c>
      <c r="V5899" s="14" t="s">
        <v>29</v>
      </c>
      <c r="W5899" s="14" t="s">
        <v>36792</v>
      </c>
      <c r="X5899" s="17" t="str">
        <f>HYPERLINK("https://my.pitchbook.com?p=64905-04P","View People Online")</f>
        <v>View People Online</v>
      </c>
    </row>
    <row r="5900">
      <c r="A5900" s="10" t="s">
        <v>36811</v>
      </c>
      <c r="B5900" s="10" t="s">
        <v>36812</v>
      </c>
      <c r="C5900" s="10" t="s">
        <v>1411</v>
      </c>
      <c r="D5900" s="10" t="s">
        <v>36813</v>
      </c>
      <c r="E5900" s="10" t="s">
        <v>36792</v>
      </c>
      <c r="F5900" s="10" t="s">
        <v>189</v>
      </c>
      <c r="G5900" s="10" t="s">
        <v>36814</v>
      </c>
      <c r="H5900" s="11">
        <v>1.0</v>
      </c>
      <c r="I5900" s="11">
        <v>5.0</v>
      </c>
      <c r="J5900" s="11">
        <v>1.0</v>
      </c>
      <c r="K5900" s="11">
        <v>3.0</v>
      </c>
      <c r="L5900" s="12" t="s">
        <v>31</v>
      </c>
      <c r="M5900" s="10" t="s">
        <v>36815</v>
      </c>
      <c r="N5900" s="10" t="s">
        <v>273</v>
      </c>
      <c r="O5900" s="12" t="s">
        <v>274</v>
      </c>
      <c r="P5900" s="10" t="s">
        <v>36794</v>
      </c>
      <c r="Q5900" s="10" t="s">
        <v>1895</v>
      </c>
      <c r="R5900" s="10" t="s">
        <v>31</v>
      </c>
      <c r="S5900" s="12" t="s">
        <v>36795</v>
      </c>
      <c r="T5900" s="10" t="s">
        <v>276</v>
      </c>
      <c r="U5900" s="12" t="s">
        <v>31</v>
      </c>
      <c r="V5900" s="10" t="s">
        <v>196</v>
      </c>
      <c r="W5900" s="10" t="s">
        <v>36792</v>
      </c>
      <c r="X5900" s="13" t="str">
        <f>HYPERLINK("https://my.pitchbook.com?p=120647-89P","View People Online")</f>
        <v>View People Online</v>
      </c>
    </row>
    <row r="5901">
      <c r="A5901" s="6" t="s">
        <v>36816</v>
      </c>
      <c r="B5901" s="6" t="s">
        <v>36817</v>
      </c>
      <c r="C5901" s="6" t="s">
        <v>3409</v>
      </c>
      <c r="D5901" s="6" t="s">
        <v>36818</v>
      </c>
      <c r="E5901" s="6" t="s">
        <v>36792</v>
      </c>
      <c r="F5901" s="6" t="s">
        <v>29</v>
      </c>
      <c r="G5901" s="6" t="s">
        <v>36819</v>
      </c>
      <c r="H5901" s="7">
        <v>3.0</v>
      </c>
      <c r="I5901" s="7">
        <v>17.0</v>
      </c>
      <c r="J5901" s="7">
        <v>1.0</v>
      </c>
      <c r="K5901" s="7">
        <v>11.0</v>
      </c>
      <c r="L5901" s="8" t="s">
        <v>31</v>
      </c>
      <c r="M5901" s="6" t="s">
        <v>36820</v>
      </c>
      <c r="N5901" s="6" t="s">
        <v>273</v>
      </c>
      <c r="O5901" s="8" t="s">
        <v>274</v>
      </c>
      <c r="P5901" s="6" t="s">
        <v>36794</v>
      </c>
      <c r="Q5901" s="6" t="s">
        <v>1895</v>
      </c>
      <c r="R5901" s="6" t="s">
        <v>31</v>
      </c>
      <c r="S5901" s="8" t="s">
        <v>36795</v>
      </c>
      <c r="T5901" s="6" t="s">
        <v>276</v>
      </c>
      <c r="U5901" s="8" t="s">
        <v>31</v>
      </c>
      <c r="V5901" s="6" t="s">
        <v>29</v>
      </c>
      <c r="W5901" s="6" t="s">
        <v>36792</v>
      </c>
      <c r="X5901" s="9" t="str">
        <f>HYPERLINK("https://my.pitchbook.com?p=120648-07P","View People Online")</f>
        <v>View People Online</v>
      </c>
    </row>
    <row r="5902">
      <c r="A5902" s="10" t="s">
        <v>36821</v>
      </c>
      <c r="B5902" s="10" t="s">
        <v>36822</v>
      </c>
      <c r="C5902" s="10" t="s">
        <v>22810</v>
      </c>
      <c r="D5902" s="10" t="s">
        <v>36823</v>
      </c>
      <c r="E5902" s="10" t="s">
        <v>36792</v>
      </c>
      <c r="F5902" s="10" t="s">
        <v>189</v>
      </c>
      <c r="G5902" s="10" t="s">
        <v>36824</v>
      </c>
      <c r="H5902" s="11">
        <v>3.0</v>
      </c>
      <c r="I5902" s="11">
        <v>4.0</v>
      </c>
      <c r="J5902" s="11">
        <v>2.0</v>
      </c>
      <c r="K5902" s="11" t="s">
        <v>31</v>
      </c>
      <c r="L5902" s="12" t="s">
        <v>31</v>
      </c>
      <c r="M5902" s="10" t="s">
        <v>36825</v>
      </c>
      <c r="N5902" s="10" t="s">
        <v>273</v>
      </c>
      <c r="O5902" s="12" t="s">
        <v>274</v>
      </c>
      <c r="P5902" s="10" t="s">
        <v>36794</v>
      </c>
      <c r="Q5902" s="10" t="s">
        <v>1895</v>
      </c>
      <c r="R5902" s="10" t="s">
        <v>31</v>
      </c>
      <c r="S5902" s="12" t="s">
        <v>36795</v>
      </c>
      <c r="T5902" s="10" t="s">
        <v>276</v>
      </c>
      <c r="U5902" s="12" t="s">
        <v>31</v>
      </c>
      <c r="V5902" s="10" t="s">
        <v>196</v>
      </c>
      <c r="W5902" s="10" t="s">
        <v>36792</v>
      </c>
      <c r="X5902" s="13" t="str">
        <f>HYPERLINK("https://my.pitchbook.com?p=156015-64P","View People Online")</f>
        <v>View People Online</v>
      </c>
    </row>
    <row r="5903">
      <c r="A5903" s="6" t="s">
        <v>36826</v>
      </c>
      <c r="B5903" s="6" t="s">
        <v>36827</v>
      </c>
      <c r="C5903" s="6" t="s">
        <v>36828</v>
      </c>
      <c r="D5903" s="6" t="s">
        <v>36829</v>
      </c>
      <c r="E5903" s="6" t="s">
        <v>36830</v>
      </c>
      <c r="F5903" s="6" t="s">
        <v>12225</v>
      </c>
      <c r="G5903" s="6" t="s">
        <v>36831</v>
      </c>
      <c r="H5903" s="7">
        <v>16.0</v>
      </c>
      <c r="I5903" s="7">
        <v>260.0</v>
      </c>
      <c r="J5903" s="7">
        <v>4.0</v>
      </c>
      <c r="K5903" s="7">
        <v>217.0</v>
      </c>
      <c r="L5903" s="8" t="s">
        <v>36832</v>
      </c>
      <c r="M5903" s="6" t="s">
        <v>36833</v>
      </c>
      <c r="N5903" s="6" t="s">
        <v>6588</v>
      </c>
      <c r="O5903" s="8" t="s">
        <v>6589</v>
      </c>
      <c r="P5903" s="6" t="s">
        <v>27076</v>
      </c>
      <c r="Q5903" s="6" t="s">
        <v>27524</v>
      </c>
      <c r="R5903" s="6" t="s">
        <v>93</v>
      </c>
      <c r="S5903" s="8" t="s">
        <v>27077</v>
      </c>
      <c r="T5903" s="6" t="s">
        <v>66</v>
      </c>
      <c r="U5903" s="8" t="s">
        <v>36834</v>
      </c>
      <c r="V5903" s="6" t="s">
        <v>3930</v>
      </c>
      <c r="W5903" s="6" t="s">
        <v>36830</v>
      </c>
      <c r="X5903" s="9" t="str">
        <f>HYPERLINK("https://my.pitchbook.com?p=31664-26P","View People Online")</f>
        <v>View People Online</v>
      </c>
    </row>
    <row r="5904">
      <c r="A5904" s="10" t="s">
        <v>36835</v>
      </c>
      <c r="B5904" s="10" t="s">
        <v>36836</v>
      </c>
      <c r="C5904" s="10" t="s">
        <v>1437</v>
      </c>
      <c r="D5904" s="10" t="s">
        <v>36837</v>
      </c>
      <c r="E5904" s="10" t="s">
        <v>36830</v>
      </c>
      <c r="F5904" s="10" t="s">
        <v>29</v>
      </c>
      <c r="G5904" s="10" t="s">
        <v>36838</v>
      </c>
      <c r="H5904" s="11">
        <v>6.0</v>
      </c>
      <c r="I5904" s="11">
        <v>32.0</v>
      </c>
      <c r="J5904" s="11">
        <v>1.0</v>
      </c>
      <c r="K5904" s="11">
        <v>20.0</v>
      </c>
      <c r="L5904" s="12" t="s">
        <v>36832</v>
      </c>
      <c r="M5904" s="10" t="s">
        <v>36839</v>
      </c>
      <c r="N5904" s="10" t="s">
        <v>6588</v>
      </c>
      <c r="O5904" s="12" t="s">
        <v>6589</v>
      </c>
      <c r="P5904" s="10" t="s">
        <v>27076</v>
      </c>
      <c r="Q5904" s="10" t="s">
        <v>27524</v>
      </c>
      <c r="R5904" s="10" t="s">
        <v>93</v>
      </c>
      <c r="S5904" s="12" t="s">
        <v>27077</v>
      </c>
      <c r="T5904" s="10" t="s">
        <v>66</v>
      </c>
      <c r="U5904" s="12" t="s">
        <v>36834</v>
      </c>
      <c r="V5904" s="10" t="s">
        <v>29</v>
      </c>
      <c r="W5904" s="10" t="s">
        <v>36830</v>
      </c>
      <c r="X5904" s="13" t="str">
        <f>HYPERLINK("https://my.pitchbook.com?p=38041-21P","View People Online")</f>
        <v>View People Online</v>
      </c>
    </row>
    <row r="5905">
      <c r="A5905" s="6" t="s">
        <v>36840</v>
      </c>
      <c r="B5905" s="6" t="s">
        <v>36841</v>
      </c>
      <c r="C5905" s="6" t="s">
        <v>17392</v>
      </c>
      <c r="D5905" s="6" t="s">
        <v>36842</v>
      </c>
      <c r="E5905" s="6" t="s">
        <v>36830</v>
      </c>
      <c r="F5905" s="6" t="s">
        <v>29</v>
      </c>
      <c r="G5905" s="6" t="s">
        <v>36843</v>
      </c>
      <c r="H5905" s="7">
        <v>5.0</v>
      </c>
      <c r="I5905" s="7">
        <v>21.0</v>
      </c>
      <c r="J5905" s="7">
        <v>1.0</v>
      </c>
      <c r="K5905" s="7">
        <v>12.0</v>
      </c>
      <c r="L5905" s="8" t="s">
        <v>36832</v>
      </c>
      <c r="M5905" s="6" t="s">
        <v>36844</v>
      </c>
      <c r="N5905" s="6" t="s">
        <v>6588</v>
      </c>
      <c r="O5905" s="8" t="s">
        <v>6589</v>
      </c>
      <c r="P5905" s="6" t="s">
        <v>27076</v>
      </c>
      <c r="Q5905" s="6" t="s">
        <v>27524</v>
      </c>
      <c r="R5905" s="6" t="s">
        <v>93</v>
      </c>
      <c r="S5905" s="8" t="s">
        <v>27077</v>
      </c>
      <c r="T5905" s="6" t="s">
        <v>66</v>
      </c>
      <c r="U5905" s="8" t="s">
        <v>36834</v>
      </c>
      <c r="V5905" s="6" t="s">
        <v>29</v>
      </c>
      <c r="W5905" s="6" t="s">
        <v>36830</v>
      </c>
      <c r="X5905" s="9" t="str">
        <f>HYPERLINK("https://my.pitchbook.com?p=175728-34P","View People Online")</f>
        <v>View People Online</v>
      </c>
    </row>
    <row r="5906">
      <c r="A5906" s="2" t="s">
        <v>36845</v>
      </c>
      <c r="B5906" s="2" t="s">
        <v>36846</v>
      </c>
      <c r="C5906" s="2" t="s">
        <v>3529</v>
      </c>
      <c r="D5906" s="2" t="s">
        <v>6004</v>
      </c>
      <c r="E5906" s="2" t="s">
        <v>36830</v>
      </c>
      <c r="F5906" s="2" t="s">
        <v>12608</v>
      </c>
      <c r="G5906" s="2" t="s">
        <v>36847</v>
      </c>
      <c r="H5906" s="3" t="s">
        <v>31</v>
      </c>
      <c r="I5906" s="3">
        <v>3.0</v>
      </c>
      <c r="J5906" s="3">
        <v>3.0</v>
      </c>
      <c r="K5906" s="3" t="s">
        <v>31</v>
      </c>
      <c r="L5906" s="4" t="s">
        <v>36832</v>
      </c>
      <c r="M5906" s="2" t="s">
        <v>36848</v>
      </c>
      <c r="N5906" s="2" t="s">
        <v>6588</v>
      </c>
      <c r="O5906" s="4" t="s">
        <v>6589</v>
      </c>
      <c r="P5906" s="2" t="s">
        <v>27076</v>
      </c>
      <c r="Q5906" s="2" t="s">
        <v>27524</v>
      </c>
      <c r="R5906" s="2" t="s">
        <v>93</v>
      </c>
      <c r="S5906" s="4" t="s">
        <v>27077</v>
      </c>
      <c r="T5906" s="2" t="s">
        <v>66</v>
      </c>
      <c r="U5906" s="4" t="s">
        <v>36834</v>
      </c>
      <c r="V5906" s="2" t="s">
        <v>12611</v>
      </c>
      <c r="W5906" s="2" t="s">
        <v>36830</v>
      </c>
      <c r="X5906" s="5" t="str">
        <f>HYPERLINK("https://my.pitchbook.com?p=197512-93P","View People Online")</f>
        <v>View People Online</v>
      </c>
    </row>
    <row r="5907">
      <c r="A5907" s="14" t="s">
        <v>36849</v>
      </c>
      <c r="B5907" s="14" t="s">
        <v>36850</v>
      </c>
      <c r="C5907" s="14" t="s">
        <v>36851</v>
      </c>
      <c r="D5907" s="14" t="s">
        <v>36852</v>
      </c>
      <c r="E5907" s="14" t="s">
        <v>36830</v>
      </c>
      <c r="F5907" s="14" t="s">
        <v>502</v>
      </c>
      <c r="G5907" s="14" t="s">
        <v>36853</v>
      </c>
      <c r="H5907" s="15" t="s">
        <v>31</v>
      </c>
      <c r="I5907" s="15">
        <v>1.0</v>
      </c>
      <c r="J5907" s="15">
        <v>1.0</v>
      </c>
      <c r="K5907" s="15" t="s">
        <v>31</v>
      </c>
      <c r="L5907" s="16" t="s">
        <v>36832</v>
      </c>
      <c r="M5907" s="14" t="s">
        <v>36854</v>
      </c>
      <c r="N5907" s="14" t="s">
        <v>6588</v>
      </c>
      <c r="O5907" s="16" t="s">
        <v>6589</v>
      </c>
      <c r="P5907" s="14" t="s">
        <v>27076</v>
      </c>
      <c r="Q5907" s="14" t="s">
        <v>27524</v>
      </c>
      <c r="R5907" s="14" t="s">
        <v>93</v>
      </c>
      <c r="S5907" s="16" t="s">
        <v>27077</v>
      </c>
      <c r="T5907" s="14" t="s">
        <v>66</v>
      </c>
      <c r="U5907" s="16" t="s">
        <v>36834</v>
      </c>
      <c r="V5907" s="14" t="s">
        <v>502</v>
      </c>
      <c r="W5907" s="14" t="s">
        <v>36830</v>
      </c>
      <c r="X5907" s="17" t="str">
        <f>HYPERLINK("https://my.pitchbook.com?p=66226-51P","View People Online")</f>
        <v>View People Online</v>
      </c>
    </row>
    <row r="5908">
      <c r="A5908" s="2" t="s">
        <v>36855</v>
      </c>
      <c r="B5908" s="2" t="s">
        <v>36856</v>
      </c>
      <c r="C5908" s="2" t="s">
        <v>36857</v>
      </c>
      <c r="D5908" s="2" t="s">
        <v>36858</v>
      </c>
      <c r="E5908" s="2" t="s">
        <v>36830</v>
      </c>
      <c r="F5908" s="2" t="s">
        <v>29</v>
      </c>
      <c r="G5908" s="2" t="s">
        <v>36859</v>
      </c>
      <c r="H5908" s="3">
        <v>2.0</v>
      </c>
      <c r="I5908" s="3">
        <v>14.0</v>
      </c>
      <c r="J5908" s="3">
        <v>1.0</v>
      </c>
      <c r="K5908" s="3">
        <v>6.0</v>
      </c>
      <c r="L5908" s="4" t="s">
        <v>36832</v>
      </c>
      <c r="M5908" s="2" t="s">
        <v>36860</v>
      </c>
      <c r="N5908" s="2" t="s">
        <v>6588</v>
      </c>
      <c r="O5908" s="4" t="s">
        <v>6589</v>
      </c>
      <c r="P5908" s="2" t="s">
        <v>27076</v>
      </c>
      <c r="Q5908" s="2" t="s">
        <v>27524</v>
      </c>
      <c r="R5908" s="2" t="s">
        <v>93</v>
      </c>
      <c r="S5908" s="4" t="s">
        <v>27077</v>
      </c>
      <c r="T5908" s="2" t="s">
        <v>66</v>
      </c>
      <c r="U5908" s="4" t="s">
        <v>36834</v>
      </c>
      <c r="V5908" s="2" t="s">
        <v>29</v>
      </c>
      <c r="W5908" s="2" t="s">
        <v>36830</v>
      </c>
      <c r="X5908" s="5" t="str">
        <f>HYPERLINK("https://my.pitchbook.com?p=14845-15P","View People Online")</f>
        <v>View People Online</v>
      </c>
    </row>
    <row r="5909">
      <c r="A5909" s="14" t="s">
        <v>36861</v>
      </c>
      <c r="B5909" s="14" t="s">
        <v>36862</v>
      </c>
      <c r="C5909" s="14" t="s">
        <v>4015</v>
      </c>
      <c r="D5909" s="14" t="s">
        <v>4711</v>
      </c>
      <c r="E5909" s="14" t="s">
        <v>36830</v>
      </c>
      <c r="F5909" s="14" t="s">
        <v>28199</v>
      </c>
      <c r="G5909" s="14" t="s">
        <v>36863</v>
      </c>
      <c r="H5909" s="15">
        <v>3.0</v>
      </c>
      <c r="I5909" s="15">
        <v>78.0</v>
      </c>
      <c r="J5909" s="15">
        <v>1.0</v>
      </c>
      <c r="K5909" s="15">
        <v>63.0</v>
      </c>
      <c r="L5909" s="16" t="s">
        <v>36832</v>
      </c>
      <c r="M5909" s="14" t="s">
        <v>36864</v>
      </c>
      <c r="N5909" s="14" t="s">
        <v>6588</v>
      </c>
      <c r="O5909" s="16" t="s">
        <v>6589</v>
      </c>
      <c r="P5909" s="14" t="s">
        <v>27076</v>
      </c>
      <c r="Q5909" s="14" t="s">
        <v>27524</v>
      </c>
      <c r="R5909" s="14" t="s">
        <v>93</v>
      </c>
      <c r="S5909" s="16" t="s">
        <v>27077</v>
      </c>
      <c r="T5909" s="14" t="s">
        <v>66</v>
      </c>
      <c r="U5909" s="16" t="s">
        <v>36834</v>
      </c>
      <c r="V5909" s="14" t="s">
        <v>28199</v>
      </c>
      <c r="W5909" s="14" t="s">
        <v>36830</v>
      </c>
      <c r="X5909" s="17" t="str">
        <f>HYPERLINK("https://my.pitchbook.com?p=31665-07P","View People Online")</f>
        <v>View People Online</v>
      </c>
    </row>
    <row r="5910">
      <c r="A5910" s="2" t="s">
        <v>36865</v>
      </c>
      <c r="B5910" s="2" t="s">
        <v>36866</v>
      </c>
      <c r="C5910" s="2" t="s">
        <v>2451</v>
      </c>
      <c r="D5910" s="2" t="s">
        <v>36867</v>
      </c>
      <c r="E5910" s="2" t="s">
        <v>36830</v>
      </c>
      <c r="F5910" s="2" t="s">
        <v>189</v>
      </c>
      <c r="G5910" s="2" t="s">
        <v>36868</v>
      </c>
      <c r="H5910" s="3">
        <v>11.0</v>
      </c>
      <c r="I5910" s="3">
        <v>104.0</v>
      </c>
      <c r="J5910" s="3">
        <v>3.0</v>
      </c>
      <c r="K5910" s="3">
        <v>74.0</v>
      </c>
      <c r="L5910" s="4" t="s">
        <v>31</v>
      </c>
      <c r="M5910" s="2" t="s">
        <v>36869</v>
      </c>
      <c r="N5910" s="2" t="s">
        <v>6588</v>
      </c>
      <c r="O5910" s="4" t="s">
        <v>6589</v>
      </c>
      <c r="P5910" s="2" t="s">
        <v>31</v>
      </c>
      <c r="Q5910" s="2" t="s">
        <v>31</v>
      </c>
      <c r="R5910" s="2" t="s">
        <v>93</v>
      </c>
      <c r="S5910" s="4" t="s">
        <v>31</v>
      </c>
      <c r="T5910" s="2" t="s">
        <v>66</v>
      </c>
      <c r="U5910" s="4" t="s">
        <v>31</v>
      </c>
      <c r="V5910" s="2" t="s">
        <v>36870</v>
      </c>
      <c r="W5910" s="2" t="s">
        <v>36871</v>
      </c>
      <c r="X5910" s="5" t="str">
        <f>HYPERLINK("https://my.pitchbook.com?p=31664-80P","View People Online")</f>
        <v>View People Online</v>
      </c>
    </row>
    <row r="5911">
      <c r="A5911" s="6" t="s">
        <v>36872</v>
      </c>
      <c r="B5911" s="6" t="s">
        <v>36873</v>
      </c>
      <c r="C5911" s="6" t="s">
        <v>36874</v>
      </c>
      <c r="D5911" s="6" t="s">
        <v>1866</v>
      </c>
      <c r="E5911" s="6" t="s">
        <v>36875</v>
      </c>
      <c r="F5911" s="6" t="s">
        <v>270</v>
      </c>
      <c r="G5911" s="6" t="s">
        <v>36876</v>
      </c>
      <c r="H5911" s="7" t="s">
        <v>31</v>
      </c>
      <c r="I5911" s="7">
        <v>1.0</v>
      </c>
      <c r="J5911" s="7">
        <v>1.0</v>
      </c>
      <c r="K5911" s="7" t="s">
        <v>31</v>
      </c>
      <c r="L5911" s="8" t="s">
        <v>36877</v>
      </c>
      <c r="M5911" s="6" t="s">
        <v>36878</v>
      </c>
      <c r="N5911" s="6" t="s">
        <v>1203</v>
      </c>
      <c r="O5911" s="8" t="s">
        <v>1204</v>
      </c>
      <c r="P5911" s="6" t="s">
        <v>36879</v>
      </c>
      <c r="Q5911" s="6" t="s">
        <v>36880</v>
      </c>
      <c r="R5911" s="6" t="s">
        <v>1207</v>
      </c>
      <c r="S5911" s="8" t="s">
        <v>11672</v>
      </c>
      <c r="T5911" s="6" t="s">
        <v>1209</v>
      </c>
      <c r="U5911" s="8" t="s">
        <v>31</v>
      </c>
      <c r="V5911" s="6" t="s">
        <v>36881</v>
      </c>
      <c r="W5911" s="6" t="s">
        <v>36875</v>
      </c>
      <c r="X5911" s="9" t="str">
        <f>HYPERLINK("https://my.pitchbook.com?p=144462-34P","View People Online")</f>
        <v>View People Online</v>
      </c>
    </row>
    <row r="5912">
      <c r="A5912" s="2" t="s">
        <v>36882</v>
      </c>
      <c r="B5912" s="2" t="s">
        <v>36883</v>
      </c>
      <c r="C5912" s="2" t="s">
        <v>14410</v>
      </c>
      <c r="D5912" s="2" t="s">
        <v>31035</v>
      </c>
      <c r="E5912" s="2" t="s">
        <v>36875</v>
      </c>
      <c r="F5912" s="2" t="s">
        <v>270</v>
      </c>
      <c r="G5912" s="2" t="s">
        <v>36884</v>
      </c>
      <c r="H5912" s="3" t="s">
        <v>31</v>
      </c>
      <c r="I5912" s="3">
        <v>1.0</v>
      </c>
      <c r="J5912" s="3">
        <v>1.0</v>
      </c>
      <c r="K5912" s="3" t="s">
        <v>31</v>
      </c>
      <c r="L5912" s="4" t="s">
        <v>36877</v>
      </c>
      <c r="M5912" s="2" t="s">
        <v>36885</v>
      </c>
      <c r="N5912" s="2" t="s">
        <v>1203</v>
      </c>
      <c r="O5912" s="4" t="s">
        <v>1204</v>
      </c>
      <c r="P5912" s="2" t="s">
        <v>36879</v>
      </c>
      <c r="Q5912" s="2" t="s">
        <v>36880</v>
      </c>
      <c r="R5912" s="2" t="s">
        <v>1207</v>
      </c>
      <c r="S5912" s="4" t="s">
        <v>11672</v>
      </c>
      <c r="T5912" s="2" t="s">
        <v>1209</v>
      </c>
      <c r="U5912" s="4" t="s">
        <v>31</v>
      </c>
      <c r="V5912" s="2" t="s">
        <v>36886</v>
      </c>
      <c r="W5912" s="2" t="s">
        <v>36875</v>
      </c>
      <c r="X5912" s="5" t="str">
        <f>HYPERLINK("https://my.pitchbook.com?p=184299-13P","View People Online")</f>
        <v>View People Online</v>
      </c>
    </row>
    <row r="5913">
      <c r="A5913" s="14" t="s">
        <v>36887</v>
      </c>
      <c r="B5913" s="14" t="s">
        <v>36888</v>
      </c>
      <c r="C5913" s="14" t="s">
        <v>36889</v>
      </c>
      <c r="D5913" s="14" t="s">
        <v>36890</v>
      </c>
      <c r="E5913" s="14" t="s">
        <v>36875</v>
      </c>
      <c r="F5913" s="14" t="s">
        <v>502</v>
      </c>
      <c r="G5913" s="14" t="s">
        <v>36891</v>
      </c>
      <c r="H5913" s="15" t="s">
        <v>31</v>
      </c>
      <c r="I5913" s="15">
        <v>3.0</v>
      </c>
      <c r="J5913" s="15">
        <v>1.0</v>
      </c>
      <c r="K5913" s="15">
        <v>1.0</v>
      </c>
      <c r="L5913" s="16" t="s">
        <v>36877</v>
      </c>
      <c r="M5913" s="14" t="s">
        <v>36892</v>
      </c>
      <c r="N5913" s="14" t="s">
        <v>1203</v>
      </c>
      <c r="O5913" s="16" t="s">
        <v>1204</v>
      </c>
      <c r="P5913" s="14" t="s">
        <v>36879</v>
      </c>
      <c r="Q5913" s="14" t="s">
        <v>36880</v>
      </c>
      <c r="R5913" s="14" t="s">
        <v>1207</v>
      </c>
      <c r="S5913" s="16" t="s">
        <v>11672</v>
      </c>
      <c r="T5913" s="14" t="s">
        <v>1209</v>
      </c>
      <c r="U5913" s="16" t="s">
        <v>31</v>
      </c>
      <c r="V5913" s="14" t="s">
        <v>502</v>
      </c>
      <c r="W5913" s="14" t="s">
        <v>36875</v>
      </c>
      <c r="X5913" s="17" t="str">
        <f>HYPERLINK("https://my.pitchbook.com?p=262492-84P","View People Online")</f>
        <v>View People Online</v>
      </c>
    </row>
    <row r="5914">
      <c r="A5914" s="2" t="s">
        <v>36893</v>
      </c>
      <c r="B5914" s="2" t="s">
        <v>36894</v>
      </c>
      <c r="C5914" s="2" t="s">
        <v>36895</v>
      </c>
      <c r="D5914" s="2" t="s">
        <v>36896</v>
      </c>
      <c r="E5914" s="2" t="s">
        <v>36875</v>
      </c>
      <c r="F5914" s="2" t="s">
        <v>270</v>
      </c>
      <c r="G5914" s="2" t="s">
        <v>36897</v>
      </c>
      <c r="H5914" s="3" t="s">
        <v>31</v>
      </c>
      <c r="I5914" s="3">
        <v>1.0</v>
      </c>
      <c r="J5914" s="3">
        <v>1.0</v>
      </c>
      <c r="K5914" s="3" t="s">
        <v>31</v>
      </c>
      <c r="L5914" s="4" t="s">
        <v>36877</v>
      </c>
      <c r="M5914" s="2" t="s">
        <v>36898</v>
      </c>
      <c r="N5914" s="2" t="s">
        <v>1203</v>
      </c>
      <c r="O5914" s="4" t="s">
        <v>1204</v>
      </c>
      <c r="P5914" s="2" t="s">
        <v>36879</v>
      </c>
      <c r="Q5914" s="2" t="s">
        <v>36880</v>
      </c>
      <c r="R5914" s="2" t="s">
        <v>1207</v>
      </c>
      <c r="S5914" s="4" t="s">
        <v>11672</v>
      </c>
      <c r="T5914" s="2" t="s">
        <v>1209</v>
      </c>
      <c r="U5914" s="4" t="s">
        <v>31</v>
      </c>
      <c r="V5914" s="2" t="s">
        <v>36899</v>
      </c>
      <c r="W5914" s="2" t="s">
        <v>36875</v>
      </c>
      <c r="X5914" s="5" t="str">
        <f>HYPERLINK("https://my.pitchbook.com?p=382981-06P","View People Online")</f>
        <v>View People Online</v>
      </c>
    </row>
    <row r="5915">
      <c r="A5915" s="14" t="s">
        <v>36900</v>
      </c>
      <c r="B5915" s="14" t="s">
        <v>36901</v>
      </c>
      <c r="C5915" s="14" t="s">
        <v>3788</v>
      </c>
      <c r="D5915" s="14" t="s">
        <v>36902</v>
      </c>
      <c r="E5915" s="14" t="s">
        <v>36875</v>
      </c>
      <c r="F5915" s="14" t="s">
        <v>270</v>
      </c>
      <c r="G5915" s="14" t="s">
        <v>36903</v>
      </c>
      <c r="H5915" s="15" t="s">
        <v>31</v>
      </c>
      <c r="I5915" s="15">
        <v>1.0</v>
      </c>
      <c r="J5915" s="15">
        <v>1.0</v>
      </c>
      <c r="K5915" s="15" t="s">
        <v>31</v>
      </c>
      <c r="L5915" s="16" t="s">
        <v>36877</v>
      </c>
      <c r="M5915" s="14" t="s">
        <v>36904</v>
      </c>
      <c r="N5915" s="14" t="s">
        <v>1203</v>
      </c>
      <c r="O5915" s="16" t="s">
        <v>1204</v>
      </c>
      <c r="P5915" s="14" t="s">
        <v>36879</v>
      </c>
      <c r="Q5915" s="14" t="s">
        <v>36880</v>
      </c>
      <c r="R5915" s="14" t="s">
        <v>1207</v>
      </c>
      <c r="S5915" s="16" t="s">
        <v>11672</v>
      </c>
      <c r="T5915" s="14" t="s">
        <v>1209</v>
      </c>
      <c r="U5915" s="16" t="s">
        <v>31</v>
      </c>
      <c r="V5915" s="14" t="s">
        <v>36905</v>
      </c>
      <c r="W5915" s="14" t="s">
        <v>36875</v>
      </c>
      <c r="X5915" s="17" t="str">
        <f>HYPERLINK("https://my.pitchbook.com?p=104587-30P","View People Online")</f>
        <v>View People Online</v>
      </c>
    </row>
    <row r="5916">
      <c r="A5916" s="2" t="s">
        <v>36906</v>
      </c>
      <c r="B5916" s="2" t="s">
        <v>36907</v>
      </c>
      <c r="C5916" s="2" t="s">
        <v>36908</v>
      </c>
      <c r="D5916" s="2" t="s">
        <v>36909</v>
      </c>
      <c r="E5916" s="2" t="s">
        <v>36875</v>
      </c>
      <c r="F5916" s="2" t="s">
        <v>270</v>
      </c>
      <c r="G5916" s="2" t="s">
        <v>36910</v>
      </c>
      <c r="H5916" s="3" t="s">
        <v>31</v>
      </c>
      <c r="I5916" s="3">
        <v>1.0</v>
      </c>
      <c r="J5916" s="3">
        <v>1.0</v>
      </c>
      <c r="K5916" s="3" t="s">
        <v>31</v>
      </c>
      <c r="L5916" s="4" t="s">
        <v>36877</v>
      </c>
      <c r="M5916" s="2" t="s">
        <v>36911</v>
      </c>
      <c r="N5916" s="2" t="s">
        <v>1203</v>
      </c>
      <c r="O5916" s="4" t="s">
        <v>1204</v>
      </c>
      <c r="P5916" s="2" t="s">
        <v>36879</v>
      </c>
      <c r="Q5916" s="2" t="s">
        <v>36880</v>
      </c>
      <c r="R5916" s="2" t="s">
        <v>1207</v>
      </c>
      <c r="S5916" s="4" t="s">
        <v>11672</v>
      </c>
      <c r="T5916" s="2" t="s">
        <v>1209</v>
      </c>
      <c r="U5916" s="4" t="s">
        <v>31</v>
      </c>
      <c r="V5916" s="2" t="s">
        <v>13081</v>
      </c>
      <c r="W5916" s="2" t="s">
        <v>36875</v>
      </c>
      <c r="X5916" s="5" t="str">
        <f>HYPERLINK("https://my.pitchbook.com?p=234139-69P","View People Online")</f>
        <v>View People Online</v>
      </c>
    </row>
    <row r="5917">
      <c r="A5917" s="14" t="s">
        <v>36912</v>
      </c>
      <c r="B5917" s="14" t="s">
        <v>36913</v>
      </c>
      <c r="C5917" s="14" t="s">
        <v>33680</v>
      </c>
      <c r="D5917" s="14" t="s">
        <v>36914</v>
      </c>
      <c r="E5917" s="14" t="s">
        <v>36875</v>
      </c>
      <c r="F5917" s="14" t="s">
        <v>548</v>
      </c>
      <c r="G5917" s="14" t="s">
        <v>36915</v>
      </c>
      <c r="H5917" s="15">
        <v>3.0</v>
      </c>
      <c r="I5917" s="15">
        <v>4.0</v>
      </c>
      <c r="J5917" s="15">
        <v>1.0</v>
      </c>
      <c r="K5917" s="15" t="s">
        <v>31</v>
      </c>
      <c r="L5917" s="16" t="s">
        <v>36916</v>
      </c>
      <c r="M5917" s="14" t="s">
        <v>31</v>
      </c>
      <c r="N5917" s="14" t="s">
        <v>36917</v>
      </c>
      <c r="O5917" s="16" t="s">
        <v>36918</v>
      </c>
      <c r="P5917" s="14" t="s">
        <v>36919</v>
      </c>
      <c r="Q5917" s="14" t="s">
        <v>31</v>
      </c>
      <c r="R5917" s="14" t="s">
        <v>24259</v>
      </c>
      <c r="S5917" s="16" t="s">
        <v>36920</v>
      </c>
      <c r="T5917" s="14" t="s">
        <v>66</v>
      </c>
      <c r="U5917" s="16" t="s">
        <v>31</v>
      </c>
      <c r="V5917" s="14" t="s">
        <v>2379</v>
      </c>
      <c r="W5917" s="14" t="s">
        <v>36921</v>
      </c>
      <c r="X5917" s="17" t="str">
        <f>HYPERLINK("https://my.pitchbook.com?p=219371-59P","View People Online")</f>
        <v>View People Online</v>
      </c>
    </row>
    <row r="5918">
      <c r="A5918" s="2" t="s">
        <v>36922</v>
      </c>
      <c r="B5918" s="2" t="s">
        <v>36923</v>
      </c>
      <c r="C5918" s="2" t="s">
        <v>36924</v>
      </c>
      <c r="D5918" s="2" t="s">
        <v>36925</v>
      </c>
      <c r="E5918" s="2" t="s">
        <v>36875</v>
      </c>
      <c r="F5918" s="2" t="s">
        <v>8021</v>
      </c>
      <c r="G5918" s="2" t="s">
        <v>36926</v>
      </c>
      <c r="H5918" s="3" t="s">
        <v>31</v>
      </c>
      <c r="I5918" s="3">
        <v>1.0</v>
      </c>
      <c r="J5918" s="3">
        <v>1.0</v>
      </c>
      <c r="K5918" s="3" t="s">
        <v>31</v>
      </c>
      <c r="L5918" s="4" t="s">
        <v>36877</v>
      </c>
      <c r="M5918" s="2" t="s">
        <v>36927</v>
      </c>
      <c r="N5918" s="2" t="s">
        <v>1203</v>
      </c>
      <c r="O5918" s="4" t="s">
        <v>1204</v>
      </c>
      <c r="P5918" s="2" t="s">
        <v>36879</v>
      </c>
      <c r="Q5918" s="2" t="s">
        <v>36880</v>
      </c>
      <c r="R5918" s="2" t="s">
        <v>1207</v>
      </c>
      <c r="S5918" s="4" t="s">
        <v>11672</v>
      </c>
      <c r="T5918" s="2" t="s">
        <v>1209</v>
      </c>
      <c r="U5918" s="4" t="s">
        <v>31</v>
      </c>
      <c r="V5918" s="2" t="s">
        <v>8021</v>
      </c>
      <c r="W5918" s="2" t="s">
        <v>36875</v>
      </c>
      <c r="X5918" s="5" t="str">
        <f>HYPERLINK("https://my.pitchbook.com?p=285175-45P","View People Online")</f>
        <v>View People Online</v>
      </c>
    </row>
    <row r="5919">
      <c r="A5919" s="14" t="s">
        <v>36928</v>
      </c>
      <c r="B5919" s="14" t="s">
        <v>36929</v>
      </c>
      <c r="C5919" s="14" t="s">
        <v>3554</v>
      </c>
      <c r="D5919" s="14" t="s">
        <v>36930</v>
      </c>
      <c r="E5919" s="14" t="s">
        <v>36875</v>
      </c>
      <c r="F5919" s="14" t="s">
        <v>5086</v>
      </c>
      <c r="G5919" s="14" t="s">
        <v>36931</v>
      </c>
      <c r="H5919" s="15" t="s">
        <v>31</v>
      </c>
      <c r="I5919" s="15">
        <v>1.0</v>
      </c>
      <c r="J5919" s="15">
        <v>1.0</v>
      </c>
      <c r="K5919" s="15" t="s">
        <v>31</v>
      </c>
      <c r="L5919" s="16" t="s">
        <v>36877</v>
      </c>
      <c r="M5919" s="14" t="s">
        <v>36932</v>
      </c>
      <c r="N5919" s="14" t="s">
        <v>1203</v>
      </c>
      <c r="O5919" s="16" t="s">
        <v>1204</v>
      </c>
      <c r="P5919" s="14" t="s">
        <v>36879</v>
      </c>
      <c r="Q5919" s="14" t="s">
        <v>36880</v>
      </c>
      <c r="R5919" s="14" t="s">
        <v>1207</v>
      </c>
      <c r="S5919" s="16" t="s">
        <v>11672</v>
      </c>
      <c r="T5919" s="14" t="s">
        <v>1209</v>
      </c>
      <c r="U5919" s="16" t="s">
        <v>31</v>
      </c>
      <c r="V5919" s="14" t="s">
        <v>36933</v>
      </c>
      <c r="W5919" s="14" t="s">
        <v>36875</v>
      </c>
      <c r="X5919" s="17" t="str">
        <f>HYPERLINK("https://my.pitchbook.com?p=277816-15P","View People Online")</f>
        <v>View People Online</v>
      </c>
    </row>
    <row r="5920">
      <c r="A5920" s="2" t="s">
        <v>36934</v>
      </c>
      <c r="B5920" s="2" t="s">
        <v>36935</v>
      </c>
      <c r="C5920" s="2" t="s">
        <v>36936</v>
      </c>
      <c r="D5920" s="2" t="s">
        <v>36937</v>
      </c>
      <c r="E5920" s="2" t="s">
        <v>36875</v>
      </c>
      <c r="F5920" s="2" t="s">
        <v>270</v>
      </c>
      <c r="G5920" s="2" t="s">
        <v>36938</v>
      </c>
      <c r="H5920" s="3" t="s">
        <v>31</v>
      </c>
      <c r="I5920" s="3">
        <v>1.0</v>
      </c>
      <c r="J5920" s="3">
        <v>1.0</v>
      </c>
      <c r="K5920" s="3" t="s">
        <v>31</v>
      </c>
      <c r="L5920" s="4" t="s">
        <v>36877</v>
      </c>
      <c r="M5920" s="2" t="s">
        <v>36939</v>
      </c>
      <c r="N5920" s="2" t="s">
        <v>1203</v>
      </c>
      <c r="O5920" s="4" t="s">
        <v>1204</v>
      </c>
      <c r="P5920" s="2" t="s">
        <v>36879</v>
      </c>
      <c r="Q5920" s="2" t="s">
        <v>36880</v>
      </c>
      <c r="R5920" s="2" t="s">
        <v>1207</v>
      </c>
      <c r="S5920" s="4" t="s">
        <v>11672</v>
      </c>
      <c r="T5920" s="2" t="s">
        <v>1209</v>
      </c>
      <c r="U5920" s="4" t="s">
        <v>31</v>
      </c>
      <c r="V5920" s="2" t="s">
        <v>36940</v>
      </c>
      <c r="W5920" s="2" t="s">
        <v>36875</v>
      </c>
      <c r="X5920" s="5" t="str">
        <f>HYPERLINK("https://my.pitchbook.com?p=382938-49P","View People Online")</f>
        <v>View People Online</v>
      </c>
    </row>
    <row r="5921">
      <c r="A5921" s="6" t="s">
        <v>36941</v>
      </c>
      <c r="B5921" s="6" t="s">
        <v>36942</v>
      </c>
      <c r="C5921" s="6" t="s">
        <v>36943</v>
      </c>
      <c r="D5921" s="6" t="s">
        <v>20111</v>
      </c>
      <c r="E5921" s="6" t="s">
        <v>36875</v>
      </c>
      <c r="F5921" s="6" t="s">
        <v>270</v>
      </c>
      <c r="G5921" s="6" t="s">
        <v>36944</v>
      </c>
      <c r="H5921" s="7" t="s">
        <v>31</v>
      </c>
      <c r="I5921" s="7">
        <v>1.0</v>
      </c>
      <c r="J5921" s="7">
        <v>1.0</v>
      </c>
      <c r="K5921" s="7" t="s">
        <v>31</v>
      </c>
      <c r="L5921" s="8" t="s">
        <v>36877</v>
      </c>
      <c r="M5921" s="6" t="s">
        <v>36945</v>
      </c>
      <c r="N5921" s="6" t="s">
        <v>1203</v>
      </c>
      <c r="O5921" s="8" t="s">
        <v>1204</v>
      </c>
      <c r="P5921" s="6" t="s">
        <v>36879</v>
      </c>
      <c r="Q5921" s="6" t="s">
        <v>36880</v>
      </c>
      <c r="R5921" s="6" t="s">
        <v>1207</v>
      </c>
      <c r="S5921" s="8" t="s">
        <v>11672</v>
      </c>
      <c r="T5921" s="6" t="s">
        <v>1209</v>
      </c>
      <c r="U5921" s="8" t="s">
        <v>31</v>
      </c>
      <c r="V5921" s="6" t="s">
        <v>36946</v>
      </c>
      <c r="W5921" s="6" t="s">
        <v>36875</v>
      </c>
      <c r="X5921" s="9" t="str">
        <f>HYPERLINK("https://my.pitchbook.com?p=382939-75P","View People Online")</f>
        <v>View People Online</v>
      </c>
    </row>
    <row r="5922">
      <c r="A5922" s="10" t="s">
        <v>36947</v>
      </c>
      <c r="B5922" s="10" t="s">
        <v>36948</v>
      </c>
      <c r="C5922" s="10" t="s">
        <v>36949</v>
      </c>
      <c r="D5922" s="10" t="s">
        <v>36950</v>
      </c>
      <c r="E5922" s="10" t="s">
        <v>36875</v>
      </c>
      <c r="F5922" s="10" t="s">
        <v>270</v>
      </c>
      <c r="G5922" s="10" t="s">
        <v>36951</v>
      </c>
      <c r="H5922" s="11" t="s">
        <v>31</v>
      </c>
      <c r="I5922" s="11">
        <v>1.0</v>
      </c>
      <c r="J5922" s="11">
        <v>1.0</v>
      </c>
      <c r="K5922" s="11" t="s">
        <v>31</v>
      </c>
      <c r="L5922" s="12" t="s">
        <v>36877</v>
      </c>
      <c r="M5922" s="10" t="s">
        <v>36952</v>
      </c>
      <c r="N5922" s="10" t="s">
        <v>1203</v>
      </c>
      <c r="O5922" s="12" t="s">
        <v>1204</v>
      </c>
      <c r="P5922" s="10" t="s">
        <v>36879</v>
      </c>
      <c r="Q5922" s="10" t="s">
        <v>36880</v>
      </c>
      <c r="R5922" s="10" t="s">
        <v>1207</v>
      </c>
      <c r="S5922" s="12" t="s">
        <v>11672</v>
      </c>
      <c r="T5922" s="10" t="s">
        <v>1209</v>
      </c>
      <c r="U5922" s="12" t="s">
        <v>31</v>
      </c>
      <c r="V5922" s="10" t="s">
        <v>36953</v>
      </c>
      <c r="W5922" s="10" t="s">
        <v>36875</v>
      </c>
      <c r="X5922" s="13" t="str">
        <f>HYPERLINK("https://my.pitchbook.com?p=90089-56P","View People Online")</f>
        <v>View People Online</v>
      </c>
    </row>
    <row r="5923">
      <c r="A5923" s="6" t="s">
        <v>36954</v>
      </c>
      <c r="B5923" s="6" t="s">
        <v>36955</v>
      </c>
      <c r="C5923" s="6" t="s">
        <v>20902</v>
      </c>
      <c r="D5923" s="6" t="s">
        <v>20943</v>
      </c>
      <c r="E5923" s="6" t="s">
        <v>36875</v>
      </c>
      <c r="F5923" s="6" t="s">
        <v>1249</v>
      </c>
      <c r="G5923" s="6" t="s">
        <v>36956</v>
      </c>
      <c r="H5923" s="7">
        <v>2.0</v>
      </c>
      <c r="I5923" s="7">
        <v>5.0</v>
      </c>
      <c r="J5923" s="7">
        <v>1.0</v>
      </c>
      <c r="K5923" s="7">
        <v>3.0</v>
      </c>
      <c r="L5923" s="8" t="s">
        <v>36877</v>
      </c>
      <c r="M5923" s="6" t="s">
        <v>36957</v>
      </c>
      <c r="N5923" s="6" t="s">
        <v>1203</v>
      </c>
      <c r="O5923" s="8" t="s">
        <v>1204</v>
      </c>
      <c r="P5923" s="6" t="s">
        <v>36879</v>
      </c>
      <c r="Q5923" s="6" t="s">
        <v>36880</v>
      </c>
      <c r="R5923" s="6" t="s">
        <v>1207</v>
      </c>
      <c r="S5923" s="8" t="s">
        <v>11672</v>
      </c>
      <c r="T5923" s="6" t="s">
        <v>1209</v>
      </c>
      <c r="U5923" s="8" t="s">
        <v>31</v>
      </c>
      <c r="V5923" s="6" t="s">
        <v>1384</v>
      </c>
      <c r="W5923" s="6" t="s">
        <v>36875</v>
      </c>
      <c r="X5923" s="9" t="str">
        <f>HYPERLINK("https://my.pitchbook.com?p=50791-06P","View People Online")</f>
        <v>View People Online</v>
      </c>
    </row>
    <row r="5924">
      <c r="A5924" s="10" t="s">
        <v>36958</v>
      </c>
      <c r="B5924" s="10" t="s">
        <v>36959</v>
      </c>
      <c r="C5924" s="10" t="s">
        <v>36960</v>
      </c>
      <c r="D5924" s="10" t="s">
        <v>36961</v>
      </c>
      <c r="E5924" s="10" t="s">
        <v>36875</v>
      </c>
      <c r="F5924" s="10" t="s">
        <v>270</v>
      </c>
      <c r="G5924" s="10" t="s">
        <v>36962</v>
      </c>
      <c r="H5924" s="11" t="s">
        <v>31</v>
      </c>
      <c r="I5924" s="11">
        <v>1.0</v>
      </c>
      <c r="J5924" s="11">
        <v>1.0</v>
      </c>
      <c r="K5924" s="11" t="s">
        <v>31</v>
      </c>
      <c r="L5924" s="12" t="s">
        <v>36877</v>
      </c>
      <c r="M5924" s="10" t="s">
        <v>31</v>
      </c>
      <c r="N5924" s="10" t="s">
        <v>1203</v>
      </c>
      <c r="O5924" s="12" t="s">
        <v>1204</v>
      </c>
      <c r="P5924" s="10" t="s">
        <v>36879</v>
      </c>
      <c r="Q5924" s="10" t="s">
        <v>36880</v>
      </c>
      <c r="R5924" s="10" t="s">
        <v>1207</v>
      </c>
      <c r="S5924" s="12" t="s">
        <v>11672</v>
      </c>
      <c r="T5924" s="10" t="s">
        <v>1209</v>
      </c>
      <c r="U5924" s="12" t="s">
        <v>31</v>
      </c>
      <c r="V5924" s="10" t="s">
        <v>270</v>
      </c>
      <c r="W5924" s="10" t="s">
        <v>36875</v>
      </c>
      <c r="X5924" s="13" t="str">
        <f>HYPERLINK("https://my.pitchbook.com?p=126261-10P","View People Online")</f>
        <v>View People Online</v>
      </c>
    </row>
    <row r="5925">
      <c r="A5925" s="14" t="s">
        <v>36963</v>
      </c>
      <c r="B5925" s="14" t="s">
        <v>36964</v>
      </c>
      <c r="C5925" s="14" t="s">
        <v>36965</v>
      </c>
      <c r="D5925" s="14" t="s">
        <v>9309</v>
      </c>
      <c r="E5925" s="14" t="s">
        <v>36875</v>
      </c>
      <c r="F5925" s="14" t="s">
        <v>7426</v>
      </c>
      <c r="G5925" s="14" t="s">
        <v>36966</v>
      </c>
      <c r="H5925" s="15" t="s">
        <v>31</v>
      </c>
      <c r="I5925" s="15">
        <v>1.0</v>
      </c>
      <c r="J5925" s="15">
        <v>1.0</v>
      </c>
      <c r="K5925" s="15" t="s">
        <v>31</v>
      </c>
      <c r="L5925" s="16" t="s">
        <v>36877</v>
      </c>
      <c r="M5925" s="14" t="s">
        <v>36967</v>
      </c>
      <c r="N5925" s="14" t="s">
        <v>1203</v>
      </c>
      <c r="O5925" s="16" t="s">
        <v>1204</v>
      </c>
      <c r="P5925" s="14" t="s">
        <v>36879</v>
      </c>
      <c r="Q5925" s="14" t="s">
        <v>36880</v>
      </c>
      <c r="R5925" s="14" t="s">
        <v>1207</v>
      </c>
      <c r="S5925" s="16" t="s">
        <v>11672</v>
      </c>
      <c r="T5925" s="14" t="s">
        <v>1209</v>
      </c>
      <c r="U5925" s="16" t="s">
        <v>31</v>
      </c>
      <c r="V5925" s="14" t="s">
        <v>36968</v>
      </c>
      <c r="W5925" s="14" t="s">
        <v>36875</v>
      </c>
      <c r="X5925" s="17" t="str">
        <f>HYPERLINK("https://my.pitchbook.com?p=126261-46P","View People Online")</f>
        <v>View People Online</v>
      </c>
    </row>
    <row r="5926">
      <c r="A5926" s="2" t="s">
        <v>36969</v>
      </c>
      <c r="B5926" s="2" t="s">
        <v>36970</v>
      </c>
      <c r="C5926" s="2" t="s">
        <v>36971</v>
      </c>
      <c r="D5926" s="2" t="s">
        <v>1866</v>
      </c>
      <c r="E5926" s="2" t="s">
        <v>36875</v>
      </c>
      <c r="F5926" s="2" t="s">
        <v>4406</v>
      </c>
      <c r="G5926" s="2" t="s">
        <v>36972</v>
      </c>
      <c r="H5926" s="3" t="s">
        <v>31</v>
      </c>
      <c r="I5926" s="3">
        <v>1.0</v>
      </c>
      <c r="J5926" s="3">
        <v>1.0</v>
      </c>
      <c r="K5926" s="3" t="s">
        <v>31</v>
      </c>
      <c r="L5926" s="4" t="s">
        <v>36877</v>
      </c>
      <c r="M5926" s="2" t="s">
        <v>36973</v>
      </c>
      <c r="N5926" s="2" t="s">
        <v>1203</v>
      </c>
      <c r="O5926" s="4" t="s">
        <v>1204</v>
      </c>
      <c r="P5926" s="2" t="s">
        <v>36879</v>
      </c>
      <c r="Q5926" s="2" t="s">
        <v>36880</v>
      </c>
      <c r="R5926" s="2" t="s">
        <v>1207</v>
      </c>
      <c r="S5926" s="4" t="s">
        <v>11672</v>
      </c>
      <c r="T5926" s="2" t="s">
        <v>1209</v>
      </c>
      <c r="U5926" s="4" t="s">
        <v>31</v>
      </c>
      <c r="V5926" s="2" t="s">
        <v>4406</v>
      </c>
      <c r="W5926" s="2" t="s">
        <v>36875</v>
      </c>
      <c r="X5926" s="5" t="str">
        <f>HYPERLINK("https://my.pitchbook.com?p=278259-85P","View People Online")</f>
        <v>View People Online</v>
      </c>
    </row>
    <row r="5927">
      <c r="A5927" s="6" t="s">
        <v>36974</v>
      </c>
      <c r="B5927" s="6" t="s">
        <v>36975</v>
      </c>
      <c r="C5927" s="6" t="s">
        <v>21304</v>
      </c>
      <c r="D5927" s="6" t="s">
        <v>24401</v>
      </c>
      <c r="E5927" s="6" t="s">
        <v>36875</v>
      </c>
      <c r="F5927" s="6" t="s">
        <v>825</v>
      </c>
      <c r="G5927" s="6" t="s">
        <v>36976</v>
      </c>
      <c r="H5927" s="7" t="s">
        <v>31</v>
      </c>
      <c r="I5927" s="7">
        <v>1.0</v>
      </c>
      <c r="J5927" s="7">
        <v>1.0</v>
      </c>
      <c r="K5927" s="7" t="s">
        <v>31</v>
      </c>
      <c r="L5927" s="8" t="s">
        <v>36877</v>
      </c>
      <c r="M5927" s="6" t="s">
        <v>36977</v>
      </c>
      <c r="N5927" s="6" t="s">
        <v>1203</v>
      </c>
      <c r="O5927" s="8" t="s">
        <v>1204</v>
      </c>
      <c r="P5927" s="6" t="s">
        <v>36879</v>
      </c>
      <c r="Q5927" s="6" t="s">
        <v>36880</v>
      </c>
      <c r="R5927" s="6" t="s">
        <v>1207</v>
      </c>
      <c r="S5927" s="8" t="s">
        <v>11672</v>
      </c>
      <c r="T5927" s="6" t="s">
        <v>1209</v>
      </c>
      <c r="U5927" s="8" t="s">
        <v>31</v>
      </c>
      <c r="V5927" s="6" t="s">
        <v>36978</v>
      </c>
      <c r="W5927" s="6" t="s">
        <v>36875</v>
      </c>
      <c r="X5927" s="9" t="str">
        <f>HYPERLINK("https://my.pitchbook.com?p=287220-88P","View People Online")</f>
        <v>View People Online</v>
      </c>
    </row>
    <row r="5928">
      <c r="A5928" s="2" t="s">
        <v>36979</v>
      </c>
      <c r="B5928" s="2" t="s">
        <v>36980</v>
      </c>
      <c r="C5928" s="2" t="s">
        <v>21525</v>
      </c>
      <c r="D5928" s="2" t="s">
        <v>21740</v>
      </c>
      <c r="E5928" s="2" t="s">
        <v>36875</v>
      </c>
      <c r="F5928" s="2" t="s">
        <v>270</v>
      </c>
      <c r="G5928" s="2" t="s">
        <v>36981</v>
      </c>
      <c r="H5928" s="3">
        <v>1.0</v>
      </c>
      <c r="I5928" s="3">
        <v>2.0</v>
      </c>
      <c r="J5928" s="3">
        <v>1.0</v>
      </c>
      <c r="K5928" s="3" t="s">
        <v>31</v>
      </c>
      <c r="L5928" s="4" t="s">
        <v>36877</v>
      </c>
      <c r="M5928" s="2" t="s">
        <v>36982</v>
      </c>
      <c r="N5928" s="2" t="s">
        <v>1203</v>
      </c>
      <c r="O5928" s="4" t="s">
        <v>1204</v>
      </c>
      <c r="P5928" s="2" t="s">
        <v>36879</v>
      </c>
      <c r="Q5928" s="2" t="s">
        <v>36880</v>
      </c>
      <c r="R5928" s="2" t="s">
        <v>1207</v>
      </c>
      <c r="S5928" s="4" t="s">
        <v>11672</v>
      </c>
      <c r="T5928" s="2" t="s">
        <v>1209</v>
      </c>
      <c r="U5928" s="4" t="s">
        <v>31</v>
      </c>
      <c r="V5928" s="2" t="s">
        <v>36983</v>
      </c>
      <c r="W5928" s="2" t="s">
        <v>36875</v>
      </c>
      <c r="X5928" s="5" t="str">
        <f>HYPERLINK("https://my.pitchbook.com?p=348530-23P","View People Online")</f>
        <v>View People Online</v>
      </c>
    </row>
    <row r="5929">
      <c r="A5929" s="14" t="s">
        <v>36984</v>
      </c>
      <c r="B5929" s="14" t="s">
        <v>36985</v>
      </c>
      <c r="C5929" s="14" t="s">
        <v>36986</v>
      </c>
      <c r="D5929" s="14" t="s">
        <v>33681</v>
      </c>
      <c r="E5929" s="14" t="s">
        <v>36875</v>
      </c>
      <c r="F5929" s="14" t="s">
        <v>270</v>
      </c>
      <c r="G5929" s="14" t="s">
        <v>36987</v>
      </c>
      <c r="H5929" s="15" t="s">
        <v>31</v>
      </c>
      <c r="I5929" s="15">
        <v>1.0</v>
      </c>
      <c r="J5929" s="15">
        <v>1.0</v>
      </c>
      <c r="K5929" s="15" t="s">
        <v>31</v>
      </c>
      <c r="L5929" s="16" t="s">
        <v>36877</v>
      </c>
      <c r="M5929" s="14" t="s">
        <v>36988</v>
      </c>
      <c r="N5929" s="14" t="s">
        <v>1203</v>
      </c>
      <c r="O5929" s="16" t="s">
        <v>1204</v>
      </c>
      <c r="P5929" s="14" t="s">
        <v>36879</v>
      </c>
      <c r="Q5929" s="14" t="s">
        <v>36880</v>
      </c>
      <c r="R5929" s="14" t="s">
        <v>1207</v>
      </c>
      <c r="S5929" s="16" t="s">
        <v>11672</v>
      </c>
      <c r="T5929" s="14" t="s">
        <v>1209</v>
      </c>
      <c r="U5929" s="16" t="s">
        <v>31</v>
      </c>
      <c r="V5929" s="14" t="s">
        <v>36989</v>
      </c>
      <c r="W5929" s="14" t="s">
        <v>36875</v>
      </c>
      <c r="X5929" s="17" t="str">
        <f>HYPERLINK("https://my.pitchbook.com?p=180339-94P","View People Online")</f>
        <v>View People Online</v>
      </c>
    </row>
    <row r="5930">
      <c r="A5930" s="2" t="s">
        <v>36990</v>
      </c>
      <c r="B5930" s="2" t="s">
        <v>36991</v>
      </c>
      <c r="C5930" s="2" t="s">
        <v>36992</v>
      </c>
      <c r="D5930" s="2" t="s">
        <v>36993</v>
      </c>
      <c r="E5930" s="2" t="s">
        <v>36875</v>
      </c>
      <c r="F5930" s="2" t="s">
        <v>2156</v>
      </c>
      <c r="G5930" s="2" t="s">
        <v>36994</v>
      </c>
      <c r="H5930" s="3">
        <v>1.0</v>
      </c>
      <c r="I5930" s="3">
        <v>3.0</v>
      </c>
      <c r="J5930" s="3">
        <v>1.0</v>
      </c>
      <c r="K5930" s="3">
        <v>1.0</v>
      </c>
      <c r="L5930" s="4" t="s">
        <v>36877</v>
      </c>
      <c r="M5930" s="2" t="s">
        <v>36995</v>
      </c>
      <c r="N5930" s="2" t="s">
        <v>1203</v>
      </c>
      <c r="O5930" s="4" t="s">
        <v>1204</v>
      </c>
      <c r="P5930" s="2" t="s">
        <v>36879</v>
      </c>
      <c r="Q5930" s="2" t="s">
        <v>36880</v>
      </c>
      <c r="R5930" s="2" t="s">
        <v>1207</v>
      </c>
      <c r="S5930" s="4" t="s">
        <v>11672</v>
      </c>
      <c r="T5930" s="2" t="s">
        <v>1209</v>
      </c>
      <c r="U5930" s="4" t="s">
        <v>31</v>
      </c>
      <c r="V5930" s="2" t="s">
        <v>2156</v>
      </c>
      <c r="W5930" s="2" t="s">
        <v>36875</v>
      </c>
      <c r="X5930" s="5" t="str">
        <f>HYPERLINK("https://my.pitchbook.com?p=144607-96P","View People Online")</f>
        <v>View People Online</v>
      </c>
    </row>
    <row r="5931">
      <c r="A5931" s="14" t="s">
        <v>36996</v>
      </c>
      <c r="B5931" s="14" t="s">
        <v>36997</v>
      </c>
      <c r="C5931" s="14" t="s">
        <v>36998</v>
      </c>
      <c r="D5931" s="14" t="s">
        <v>1866</v>
      </c>
      <c r="E5931" s="14" t="s">
        <v>36875</v>
      </c>
      <c r="F5931" s="14" t="s">
        <v>270</v>
      </c>
      <c r="G5931" s="14" t="s">
        <v>36999</v>
      </c>
      <c r="H5931" s="15" t="s">
        <v>31</v>
      </c>
      <c r="I5931" s="15">
        <v>4.0</v>
      </c>
      <c r="J5931" s="15">
        <v>1.0</v>
      </c>
      <c r="K5931" s="15">
        <v>2.0</v>
      </c>
      <c r="L5931" s="16" t="s">
        <v>36877</v>
      </c>
      <c r="M5931" s="14" t="s">
        <v>31</v>
      </c>
      <c r="N5931" s="14" t="s">
        <v>1203</v>
      </c>
      <c r="O5931" s="16" t="s">
        <v>1204</v>
      </c>
      <c r="P5931" s="14" t="s">
        <v>36879</v>
      </c>
      <c r="Q5931" s="14" t="s">
        <v>36880</v>
      </c>
      <c r="R5931" s="14" t="s">
        <v>1207</v>
      </c>
      <c r="S5931" s="16" t="s">
        <v>11672</v>
      </c>
      <c r="T5931" s="14" t="s">
        <v>1209</v>
      </c>
      <c r="U5931" s="16" t="s">
        <v>31</v>
      </c>
      <c r="V5931" s="14" t="s">
        <v>1762</v>
      </c>
      <c r="W5931" s="14" t="s">
        <v>36875</v>
      </c>
      <c r="X5931" s="17" t="str">
        <f>HYPERLINK("https://my.pitchbook.com?p=191424-61P","View People Online")</f>
        <v>View People Online</v>
      </c>
    </row>
    <row r="5932">
      <c r="A5932" s="2" t="s">
        <v>37000</v>
      </c>
      <c r="B5932" s="2" t="s">
        <v>37001</v>
      </c>
      <c r="C5932" s="2" t="s">
        <v>37002</v>
      </c>
      <c r="D5932" s="2" t="s">
        <v>37003</v>
      </c>
      <c r="E5932" s="2" t="s">
        <v>36875</v>
      </c>
      <c r="F5932" s="2" t="s">
        <v>8950</v>
      </c>
      <c r="G5932" s="2" t="s">
        <v>37004</v>
      </c>
      <c r="H5932" s="3">
        <v>1.0</v>
      </c>
      <c r="I5932" s="3">
        <v>10.0</v>
      </c>
      <c r="J5932" s="3">
        <v>2.0</v>
      </c>
      <c r="K5932" s="3">
        <v>7.0</v>
      </c>
      <c r="L5932" s="4" t="s">
        <v>36877</v>
      </c>
      <c r="M5932" s="2" t="s">
        <v>37005</v>
      </c>
      <c r="N5932" s="2" t="s">
        <v>1203</v>
      </c>
      <c r="O5932" s="4" t="s">
        <v>1204</v>
      </c>
      <c r="P5932" s="2" t="s">
        <v>36879</v>
      </c>
      <c r="Q5932" s="2" t="s">
        <v>36880</v>
      </c>
      <c r="R5932" s="2" t="s">
        <v>1207</v>
      </c>
      <c r="S5932" s="4" t="s">
        <v>11672</v>
      </c>
      <c r="T5932" s="2" t="s">
        <v>1209</v>
      </c>
      <c r="U5932" s="4" t="s">
        <v>31</v>
      </c>
      <c r="V5932" s="2" t="s">
        <v>37006</v>
      </c>
      <c r="W5932" s="2" t="s">
        <v>36875</v>
      </c>
      <c r="X5932" s="5" t="str">
        <f>HYPERLINK("https://my.pitchbook.com?p=50789-17P","View People Online")</f>
        <v>View People Online</v>
      </c>
    </row>
    <row r="5933">
      <c r="A5933" s="14" t="s">
        <v>37007</v>
      </c>
      <c r="B5933" s="14" t="s">
        <v>37008</v>
      </c>
      <c r="C5933" s="14" t="s">
        <v>37009</v>
      </c>
      <c r="D5933" s="14" t="s">
        <v>17334</v>
      </c>
      <c r="E5933" s="14" t="s">
        <v>36875</v>
      </c>
      <c r="F5933" s="14" t="s">
        <v>548</v>
      </c>
      <c r="G5933" s="14" t="s">
        <v>37010</v>
      </c>
      <c r="H5933" s="15" t="s">
        <v>31</v>
      </c>
      <c r="I5933" s="15">
        <v>1.0</v>
      </c>
      <c r="J5933" s="15">
        <v>1.0</v>
      </c>
      <c r="K5933" s="15" t="s">
        <v>31</v>
      </c>
      <c r="L5933" s="16" t="s">
        <v>36877</v>
      </c>
      <c r="M5933" s="14" t="s">
        <v>37011</v>
      </c>
      <c r="N5933" s="14" t="s">
        <v>1203</v>
      </c>
      <c r="O5933" s="16" t="s">
        <v>1204</v>
      </c>
      <c r="P5933" s="14" t="s">
        <v>36879</v>
      </c>
      <c r="Q5933" s="14" t="s">
        <v>36880</v>
      </c>
      <c r="R5933" s="14" t="s">
        <v>1207</v>
      </c>
      <c r="S5933" s="16" t="s">
        <v>11672</v>
      </c>
      <c r="T5933" s="14" t="s">
        <v>1209</v>
      </c>
      <c r="U5933" s="16" t="s">
        <v>31</v>
      </c>
      <c r="V5933" s="14" t="s">
        <v>4876</v>
      </c>
      <c r="W5933" s="14" t="s">
        <v>36875</v>
      </c>
      <c r="X5933" s="17" t="str">
        <f>HYPERLINK("https://my.pitchbook.com?p=272910-97P","View People Online")</f>
        <v>View People Online</v>
      </c>
    </row>
    <row r="5934">
      <c r="A5934" s="2" t="s">
        <v>37012</v>
      </c>
      <c r="B5934" s="2" t="s">
        <v>37013</v>
      </c>
      <c r="C5934" s="2" t="s">
        <v>1929</v>
      </c>
      <c r="D5934" s="2" t="s">
        <v>1323</v>
      </c>
      <c r="E5934" s="2" t="s">
        <v>37014</v>
      </c>
      <c r="F5934" s="2" t="s">
        <v>86</v>
      </c>
      <c r="G5934" s="2" t="s">
        <v>37015</v>
      </c>
      <c r="H5934" s="3" t="s">
        <v>31</v>
      </c>
      <c r="I5934" s="3">
        <v>6.0</v>
      </c>
      <c r="J5934" s="3">
        <v>1.0</v>
      </c>
      <c r="K5934" s="3">
        <v>4.0</v>
      </c>
      <c r="L5934" s="4" t="s">
        <v>37016</v>
      </c>
      <c r="M5934" s="2" t="s">
        <v>37017</v>
      </c>
      <c r="N5934" s="2" t="s">
        <v>155</v>
      </c>
      <c r="O5934" s="4" t="s">
        <v>156</v>
      </c>
      <c r="P5934" s="2" t="s">
        <v>24335</v>
      </c>
      <c r="Q5934" s="2" t="s">
        <v>37018</v>
      </c>
      <c r="R5934" s="2" t="s">
        <v>64</v>
      </c>
      <c r="S5934" s="4" t="s">
        <v>24337</v>
      </c>
      <c r="T5934" s="2" t="s">
        <v>66</v>
      </c>
      <c r="U5934" s="4" t="s">
        <v>31</v>
      </c>
      <c r="V5934" s="2" t="s">
        <v>86</v>
      </c>
      <c r="W5934" s="2" t="s">
        <v>37014</v>
      </c>
      <c r="X5934" s="5" t="str">
        <f>HYPERLINK("https://my.pitchbook.com?p=92414-08P","View People Online")</f>
        <v>View People Online</v>
      </c>
    </row>
    <row r="5935">
      <c r="A5935" s="6" t="s">
        <v>37019</v>
      </c>
      <c r="B5935" s="6" t="s">
        <v>37020</v>
      </c>
      <c r="C5935" s="6" t="s">
        <v>18625</v>
      </c>
      <c r="D5935" s="6" t="s">
        <v>37021</v>
      </c>
      <c r="E5935" s="6" t="s">
        <v>37014</v>
      </c>
      <c r="F5935" s="6" t="s">
        <v>270</v>
      </c>
      <c r="G5935" s="6" t="s">
        <v>37022</v>
      </c>
      <c r="H5935" s="7" t="s">
        <v>31</v>
      </c>
      <c r="I5935" s="7">
        <v>4.0</v>
      </c>
      <c r="J5935" s="7">
        <v>2.0</v>
      </c>
      <c r="K5935" s="7">
        <v>1.0</v>
      </c>
      <c r="L5935" s="8" t="s">
        <v>31</v>
      </c>
      <c r="M5935" s="6" t="s">
        <v>31</v>
      </c>
      <c r="N5935" s="6" t="s">
        <v>75</v>
      </c>
      <c r="O5935" s="8" t="s">
        <v>76</v>
      </c>
      <c r="P5935" s="6" t="s">
        <v>37023</v>
      </c>
      <c r="Q5935" s="6" t="s">
        <v>31</v>
      </c>
      <c r="R5935" s="6" t="s">
        <v>75</v>
      </c>
      <c r="S5935" s="8" t="s">
        <v>1855</v>
      </c>
      <c r="T5935" s="6" t="s">
        <v>66</v>
      </c>
      <c r="U5935" s="8" t="s">
        <v>31</v>
      </c>
      <c r="V5935" s="6" t="s">
        <v>991</v>
      </c>
      <c r="W5935" s="6" t="s">
        <v>37024</v>
      </c>
      <c r="X5935" s="9" t="str">
        <f>HYPERLINK("https://my.pitchbook.com?p=222437-08P","View People Online")</f>
        <v>View People Online</v>
      </c>
    </row>
    <row r="5936">
      <c r="A5936" s="10" t="s">
        <v>37025</v>
      </c>
      <c r="B5936" s="10" t="s">
        <v>37026</v>
      </c>
      <c r="C5936" s="10" t="s">
        <v>37027</v>
      </c>
      <c r="D5936" s="10" t="s">
        <v>37028</v>
      </c>
      <c r="E5936" s="10" t="s">
        <v>37014</v>
      </c>
      <c r="F5936" s="10" t="s">
        <v>7390</v>
      </c>
      <c r="G5936" s="10" t="s">
        <v>37029</v>
      </c>
      <c r="H5936" s="11">
        <v>1.0</v>
      </c>
      <c r="I5936" s="11">
        <v>4.0</v>
      </c>
      <c r="J5936" s="11">
        <v>1.0</v>
      </c>
      <c r="K5936" s="11">
        <v>1.0</v>
      </c>
      <c r="L5936" s="12" t="s">
        <v>37016</v>
      </c>
      <c r="M5936" s="10" t="s">
        <v>37030</v>
      </c>
      <c r="N5936" s="10" t="s">
        <v>155</v>
      </c>
      <c r="O5936" s="12" t="s">
        <v>156</v>
      </c>
      <c r="P5936" s="10" t="s">
        <v>24335</v>
      </c>
      <c r="Q5936" s="10" t="s">
        <v>37018</v>
      </c>
      <c r="R5936" s="10" t="s">
        <v>64</v>
      </c>
      <c r="S5936" s="12" t="s">
        <v>24337</v>
      </c>
      <c r="T5936" s="10" t="s">
        <v>66</v>
      </c>
      <c r="U5936" s="12" t="s">
        <v>31</v>
      </c>
      <c r="V5936" s="10" t="s">
        <v>37031</v>
      </c>
      <c r="W5936" s="10" t="s">
        <v>37014</v>
      </c>
      <c r="X5936" s="13" t="str">
        <f>HYPERLINK("https://my.pitchbook.com?p=334075-60P","View People Online")</f>
        <v>View People Online</v>
      </c>
    </row>
    <row r="5937">
      <c r="A5937" s="14" t="s">
        <v>37032</v>
      </c>
      <c r="B5937" s="14" t="s">
        <v>37033</v>
      </c>
      <c r="C5937" s="14" t="s">
        <v>536</v>
      </c>
      <c r="D5937" s="14" t="s">
        <v>37034</v>
      </c>
      <c r="E5937" s="14" t="s">
        <v>37014</v>
      </c>
      <c r="F5937" s="14" t="s">
        <v>114</v>
      </c>
      <c r="G5937" s="14" t="s">
        <v>37035</v>
      </c>
      <c r="H5937" s="15">
        <v>1.0</v>
      </c>
      <c r="I5937" s="15">
        <v>8.0</v>
      </c>
      <c r="J5937" s="15">
        <v>3.0</v>
      </c>
      <c r="K5937" s="15">
        <v>3.0</v>
      </c>
      <c r="L5937" s="16" t="s">
        <v>37036</v>
      </c>
      <c r="M5937" s="14" t="s">
        <v>37037</v>
      </c>
      <c r="N5937" s="14" t="s">
        <v>1277</v>
      </c>
      <c r="O5937" s="16" t="s">
        <v>1278</v>
      </c>
      <c r="P5937" s="14" t="s">
        <v>37038</v>
      </c>
      <c r="Q5937" s="14" t="s">
        <v>1895</v>
      </c>
      <c r="R5937" s="14" t="s">
        <v>1281</v>
      </c>
      <c r="S5937" s="16" t="s">
        <v>37039</v>
      </c>
      <c r="T5937" s="14" t="s">
        <v>66</v>
      </c>
      <c r="U5937" s="16" t="s">
        <v>37040</v>
      </c>
      <c r="V5937" s="14" t="s">
        <v>37041</v>
      </c>
      <c r="W5937" s="14" t="s">
        <v>37042</v>
      </c>
      <c r="X5937" s="17" t="str">
        <f>HYPERLINK("https://my.pitchbook.com?p=124160-32P","View People Online")</f>
        <v>View People Online</v>
      </c>
    </row>
    <row r="5938">
      <c r="A5938" s="10" t="s">
        <v>37043</v>
      </c>
      <c r="B5938" s="10" t="s">
        <v>37044</v>
      </c>
      <c r="C5938" s="10" t="s">
        <v>37045</v>
      </c>
      <c r="D5938" s="10" t="s">
        <v>37046</v>
      </c>
      <c r="E5938" s="10" t="s">
        <v>37014</v>
      </c>
      <c r="F5938" s="10" t="s">
        <v>221</v>
      </c>
      <c r="G5938" s="10" t="s">
        <v>37047</v>
      </c>
      <c r="H5938" s="11" t="s">
        <v>31</v>
      </c>
      <c r="I5938" s="11">
        <v>1.0</v>
      </c>
      <c r="J5938" s="11">
        <v>1.0</v>
      </c>
      <c r="K5938" s="11" t="s">
        <v>31</v>
      </c>
      <c r="L5938" s="12" t="s">
        <v>37016</v>
      </c>
      <c r="M5938" s="10" t="s">
        <v>37048</v>
      </c>
      <c r="N5938" s="10" t="s">
        <v>155</v>
      </c>
      <c r="O5938" s="12" t="s">
        <v>156</v>
      </c>
      <c r="P5938" s="10" t="s">
        <v>24335</v>
      </c>
      <c r="Q5938" s="10" t="s">
        <v>37018</v>
      </c>
      <c r="R5938" s="10" t="s">
        <v>64</v>
      </c>
      <c r="S5938" s="12" t="s">
        <v>24337</v>
      </c>
      <c r="T5938" s="10" t="s">
        <v>66</v>
      </c>
      <c r="U5938" s="12" t="s">
        <v>31</v>
      </c>
      <c r="V5938" s="10" t="s">
        <v>221</v>
      </c>
      <c r="W5938" s="10" t="s">
        <v>37014</v>
      </c>
      <c r="X5938" s="13" t="str">
        <f>HYPERLINK("https://my.pitchbook.com?p=210576-88P","View People Online")</f>
        <v>View People Online</v>
      </c>
    </row>
    <row r="5939">
      <c r="A5939" s="14" t="s">
        <v>37049</v>
      </c>
      <c r="B5939" s="14" t="s">
        <v>37050</v>
      </c>
      <c r="C5939" s="14" t="s">
        <v>263</v>
      </c>
      <c r="D5939" s="14" t="s">
        <v>37051</v>
      </c>
      <c r="E5939" s="14" t="s">
        <v>37052</v>
      </c>
      <c r="F5939" s="14" t="s">
        <v>71</v>
      </c>
      <c r="G5939" s="14" t="s">
        <v>37053</v>
      </c>
      <c r="H5939" s="15" t="s">
        <v>31</v>
      </c>
      <c r="I5939" s="15">
        <v>15.0</v>
      </c>
      <c r="J5939" s="15">
        <v>1.0</v>
      </c>
      <c r="K5939" s="15">
        <v>12.0</v>
      </c>
      <c r="L5939" s="16" t="s">
        <v>31</v>
      </c>
      <c r="M5939" s="14" t="s">
        <v>37054</v>
      </c>
      <c r="N5939" s="14" t="s">
        <v>273</v>
      </c>
      <c r="O5939" s="16" t="s">
        <v>274</v>
      </c>
      <c r="P5939" s="14" t="s">
        <v>37055</v>
      </c>
      <c r="Q5939" s="14" t="s">
        <v>31</v>
      </c>
      <c r="R5939" s="14" t="s">
        <v>31</v>
      </c>
      <c r="S5939" s="16" t="s">
        <v>311</v>
      </c>
      <c r="T5939" s="14" t="s">
        <v>276</v>
      </c>
      <c r="U5939" s="16" t="s">
        <v>31</v>
      </c>
      <c r="V5939" s="14" t="s">
        <v>71</v>
      </c>
      <c r="W5939" s="14" t="s">
        <v>37052</v>
      </c>
      <c r="X5939" s="17" t="str">
        <f>HYPERLINK("https://my.pitchbook.com?p=185068-81P","View People Online")</f>
        <v>View People Online</v>
      </c>
    </row>
    <row r="5940">
      <c r="A5940" s="10" t="s">
        <v>37056</v>
      </c>
      <c r="B5940" s="10" t="s">
        <v>37057</v>
      </c>
      <c r="C5940" s="10" t="s">
        <v>11244</v>
      </c>
      <c r="D5940" s="10" t="s">
        <v>37058</v>
      </c>
      <c r="E5940" s="10" t="s">
        <v>37059</v>
      </c>
      <c r="F5940" s="10" t="s">
        <v>713</v>
      </c>
      <c r="G5940" s="10" t="s">
        <v>37060</v>
      </c>
      <c r="H5940" s="11" t="s">
        <v>31</v>
      </c>
      <c r="I5940" s="11">
        <v>7.0</v>
      </c>
      <c r="J5940" s="11">
        <v>1.0</v>
      </c>
      <c r="K5940" s="11">
        <v>6.0</v>
      </c>
      <c r="L5940" s="12" t="s">
        <v>37061</v>
      </c>
      <c r="M5940" s="10" t="s">
        <v>37062</v>
      </c>
      <c r="N5940" s="10" t="s">
        <v>10946</v>
      </c>
      <c r="O5940" s="12" t="s">
        <v>10947</v>
      </c>
      <c r="P5940" s="10" t="s">
        <v>37063</v>
      </c>
      <c r="Q5940" s="10" t="s">
        <v>7124</v>
      </c>
      <c r="R5940" s="10" t="s">
        <v>75</v>
      </c>
      <c r="S5940" s="12" t="s">
        <v>37064</v>
      </c>
      <c r="T5940" s="10" t="s">
        <v>66</v>
      </c>
      <c r="U5940" s="12" t="s">
        <v>31</v>
      </c>
      <c r="V5940" s="10" t="s">
        <v>713</v>
      </c>
      <c r="W5940" s="10" t="s">
        <v>37059</v>
      </c>
      <c r="X5940" s="13" t="str">
        <f>HYPERLINK("https://my.pitchbook.com?p=246925-09P","View People Online")</f>
        <v>View People Online</v>
      </c>
    </row>
    <row r="5941">
      <c r="A5941" s="14" t="s">
        <v>37065</v>
      </c>
      <c r="B5941" s="14" t="s">
        <v>37066</v>
      </c>
      <c r="C5941" s="14" t="s">
        <v>934</v>
      </c>
      <c r="D5941" s="14" t="s">
        <v>23433</v>
      </c>
      <c r="E5941" s="14" t="s">
        <v>37059</v>
      </c>
      <c r="F5941" s="14" t="s">
        <v>1801</v>
      </c>
      <c r="G5941" s="14" t="s">
        <v>37067</v>
      </c>
      <c r="H5941" s="15" t="s">
        <v>31</v>
      </c>
      <c r="I5941" s="15">
        <v>1.0</v>
      </c>
      <c r="J5941" s="15">
        <v>1.0</v>
      </c>
      <c r="K5941" s="15" t="s">
        <v>31</v>
      </c>
      <c r="L5941" s="16" t="s">
        <v>37068</v>
      </c>
      <c r="M5941" s="14" t="s">
        <v>37069</v>
      </c>
      <c r="N5941" s="14" t="s">
        <v>10946</v>
      </c>
      <c r="O5941" s="16" t="s">
        <v>10947</v>
      </c>
      <c r="P5941" s="14" t="s">
        <v>37063</v>
      </c>
      <c r="Q5941" s="14" t="s">
        <v>7124</v>
      </c>
      <c r="R5941" s="14" t="s">
        <v>75</v>
      </c>
      <c r="S5941" s="16" t="s">
        <v>37064</v>
      </c>
      <c r="T5941" s="14" t="s">
        <v>66</v>
      </c>
      <c r="U5941" s="16" t="s">
        <v>31</v>
      </c>
      <c r="V5941" s="14" t="s">
        <v>33606</v>
      </c>
      <c r="W5941" s="14" t="s">
        <v>37059</v>
      </c>
      <c r="X5941" s="17" t="str">
        <f>HYPERLINK("https://my.pitchbook.com?p=246923-56P","View People Online")</f>
        <v>View People Online</v>
      </c>
    </row>
    <row r="5942">
      <c r="A5942" s="2" t="s">
        <v>37070</v>
      </c>
      <c r="B5942" s="2" t="s">
        <v>37071</v>
      </c>
      <c r="C5942" s="2" t="s">
        <v>2688</v>
      </c>
      <c r="D5942" s="2" t="s">
        <v>37072</v>
      </c>
      <c r="E5942" s="2" t="s">
        <v>37073</v>
      </c>
      <c r="F5942" s="2" t="s">
        <v>114</v>
      </c>
      <c r="G5942" s="2" t="s">
        <v>37074</v>
      </c>
      <c r="H5942" s="3" t="s">
        <v>31</v>
      </c>
      <c r="I5942" s="3">
        <v>40.0</v>
      </c>
      <c r="J5942" s="3">
        <v>2.0</v>
      </c>
      <c r="K5942" s="3">
        <v>36.0</v>
      </c>
      <c r="L5942" s="4" t="s">
        <v>31</v>
      </c>
      <c r="M5942" s="2" t="s">
        <v>37075</v>
      </c>
      <c r="N5942" s="2" t="s">
        <v>37076</v>
      </c>
      <c r="O5942" s="4" t="s">
        <v>37077</v>
      </c>
      <c r="P5942" s="2" t="s">
        <v>31</v>
      </c>
      <c r="Q5942" s="2" t="s">
        <v>31</v>
      </c>
      <c r="R5942" s="2" t="s">
        <v>396</v>
      </c>
      <c r="S5942" s="4" t="s">
        <v>31</v>
      </c>
      <c r="T5942" s="2" t="s">
        <v>66</v>
      </c>
      <c r="U5942" s="4" t="s">
        <v>31</v>
      </c>
      <c r="V5942" s="2" t="s">
        <v>86</v>
      </c>
      <c r="W5942" s="2" t="s">
        <v>37078</v>
      </c>
      <c r="X5942" s="5" t="str">
        <f>HYPERLINK("https://my.pitchbook.com?p=243247-51P","View People Online")</f>
        <v>View People Online</v>
      </c>
    </row>
    <row r="5943">
      <c r="A5943" s="14" t="s">
        <v>37079</v>
      </c>
      <c r="B5943" s="14" t="s">
        <v>37080</v>
      </c>
      <c r="C5943" s="14" t="s">
        <v>4169</v>
      </c>
      <c r="D5943" s="14" t="s">
        <v>8815</v>
      </c>
      <c r="E5943" s="14" t="s">
        <v>37073</v>
      </c>
      <c r="F5943" s="14" t="s">
        <v>548</v>
      </c>
      <c r="G5943" s="14" t="s">
        <v>37081</v>
      </c>
      <c r="H5943" s="15" t="s">
        <v>31</v>
      </c>
      <c r="I5943" s="15">
        <v>2.0</v>
      </c>
      <c r="J5943" s="15">
        <v>1.0</v>
      </c>
      <c r="K5943" s="15" t="s">
        <v>31</v>
      </c>
      <c r="L5943" s="16" t="s">
        <v>37082</v>
      </c>
      <c r="M5943" s="14" t="s">
        <v>37083</v>
      </c>
      <c r="N5943" s="14" t="s">
        <v>75</v>
      </c>
      <c r="O5943" s="16" t="s">
        <v>76</v>
      </c>
      <c r="P5943" s="14" t="s">
        <v>37084</v>
      </c>
      <c r="Q5943" s="14" t="s">
        <v>194</v>
      </c>
      <c r="R5943" s="14" t="s">
        <v>75</v>
      </c>
      <c r="S5943" s="16" t="s">
        <v>2167</v>
      </c>
      <c r="T5943" s="14" t="s">
        <v>66</v>
      </c>
      <c r="U5943" s="16" t="s">
        <v>31</v>
      </c>
      <c r="V5943" s="14" t="s">
        <v>37085</v>
      </c>
      <c r="W5943" s="14" t="s">
        <v>37073</v>
      </c>
      <c r="X5943" s="17" t="str">
        <f>HYPERLINK("https://my.pitchbook.com?p=246468-79P","View People Online")</f>
        <v>View People Online</v>
      </c>
    </row>
    <row r="5944">
      <c r="A5944" s="2" t="s">
        <v>37086</v>
      </c>
      <c r="B5944" s="2" t="s">
        <v>37087</v>
      </c>
      <c r="C5944" s="2" t="s">
        <v>1929</v>
      </c>
      <c r="D5944" s="2" t="s">
        <v>37088</v>
      </c>
      <c r="E5944" s="2" t="s">
        <v>37073</v>
      </c>
      <c r="F5944" s="2" t="s">
        <v>548</v>
      </c>
      <c r="G5944" s="2" t="s">
        <v>37089</v>
      </c>
      <c r="H5944" s="3" t="s">
        <v>31</v>
      </c>
      <c r="I5944" s="3">
        <v>1.0</v>
      </c>
      <c r="J5944" s="3">
        <v>1.0</v>
      </c>
      <c r="K5944" s="3" t="s">
        <v>31</v>
      </c>
      <c r="L5944" s="4" t="s">
        <v>37082</v>
      </c>
      <c r="M5944" s="2" t="s">
        <v>37090</v>
      </c>
      <c r="N5944" s="2" t="s">
        <v>75</v>
      </c>
      <c r="O5944" s="4" t="s">
        <v>76</v>
      </c>
      <c r="P5944" s="2" t="s">
        <v>37084</v>
      </c>
      <c r="Q5944" s="2" t="s">
        <v>194</v>
      </c>
      <c r="R5944" s="2" t="s">
        <v>75</v>
      </c>
      <c r="S5944" s="4" t="s">
        <v>2167</v>
      </c>
      <c r="T5944" s="2" t="s">
        <v>66</v>
      </c>
      <c r="U5944" s="4" t="s">
        <v>31</v>
      </c>
      <c r="V5944" s="2" t="s">
        <v>37091</v>
      </c>
      <c r="W5944" s="2" t="s">
        <v>37073</v>
      </c>
      <c r="X5944" s="5" t="str">
        <f>HYPERLINK("https://my.pitchbook.com?p=294848-47P","View People Online")</f>
        <v>View People Online</v>
      </c>
    </row>
    <row r="5945">
      <c r="A5945" s="14" t="s">
        <v>37092</v>
      </c>
      <c r="B5945" s="14" t="s">
        <v>37093</v>
      </c>
      <c r="C5945" s="14" t="s">
        <v>8554</v>
      </c>
      <c r="D5945" s="14" t="s">
        <v>37094</v>
      </c>
      <c r="E5945" s="14" t="s">
        <v>37073</v>
      </c>
      <c r="F5945" s="14" t="s">
        <v>548</v>
      </c>
      <c r="G5945" s="14" t="s">
        <v>37095</v>
      </c>
      <c r="H5945" s="15" t="s">
        <v>31</v>
      </c>
      <c r="I5945" s="15">
        <v>1.0</v>
      </c>
      <c r="J5945" s="15">
        <v>1.0</v>
      </c>
      <c r="K5945" s="15" t="s">
        <v>31</v>
      </c>
      <c r="L5945" s="16" t="s">
        <v>37096</v>
      </c>
      <c r="M5945" s="14" t="s">
        <v>37097</v>
      </c>
      <c r="N5945" s="14" t="s">
        <v>75</v>
      </c>
      <c r="O5945" s="16" t="s">
        <v>76</v>
      </c>
      <c r="P5945" s="14" t="s">
        <v>37084</v>
      </c>
      <c r="Q5945" s="14" t="s">
        <v>194</v>
      </c>
      <c r="R5945" s="14" t="s">
        <v>75</v>
      </c>
      <c r="S5945" s="16" t="s">
        <v>2167</v>
      </c>
      <c r="T5945" s="14" t="s">
        <v>66</v>
      </c>
      <c r="U5945" s="16" t="s">
        <v>31</v>
      </c>
      <c r="V5945" s="14" t="s">
        <v>37098</v>
      </c>
      <c r="W5945" s="14" t="s">
        <v>37073</v>
      </c>
      <c r="X5945" s="17" t="str">
        <f>HYPERLINK("https://my.pitchbook.com?p=382493-98P","View People Online")</f>
        <v>View People Online</v>
      </c>
    </row>
    <row r="5946">
      <c r="A5946" s="2" t="s">
        <v>37099</v>
      </c>
      <c r="B5946" s="2" t="s">
        <v>37100</v>
      </c>
      <c r="C5946" s="2" t="s">
        <v>3946</v>
      </c>
      <c r="D5946" s="2" t="s">
        <v>37101</v>
      </c>
      <c r="E5946" s="2" t="s">
        <v>37073</v>
      </c>
      <c r="F5946" s="2" t="s">
        <v>221</v>
      </c>
      <c r="G5946" s="2" t="s">
        <v>37102</v>
      </c>
      <c r="H5946" s="3" t="s">
        <v>31</v>
      </c>
      <c r="I5946" s="3">
        <v>1.0</v>
      </c>
      <c r="J5946" s="3">
        <v>1.0</v>
      </c>
      <c r="K5946" s="3" t="s">
        <v>31</v>
      </c>
      <c r="L5946" s="4" t="s">
        <v>37082</v>
      </c>
      <c r="M5946" s="2" t="s">
        <v>37103</v>
      </c>
      <c r="N5946" s="2" t="s">
        <v>75</v>
      </c>
      <c r="O5946" s="4" t="s">
        <v>76</v>
      </c>
      <c r="P5946" s="2" t="s">
        <v>37084</v>
      </c>
      <c r="Q5946" s="2" t="s">
        <v>194</v>
      </c>
      <c r="R5946" s="2" t="s">
        <v>75</v>
      </c>
      <c r="S5946" s="4" t="s">
        <v>2167</v>
      </c>
      <c r="T5946" s="2" t="s">
        <v>66</v>
      </c>
      <c r="U5946" s="4" t="s">
        <v>31</v>
      </c>
      <c r="V5946" s="2" t="s">
        <v>37104</v>
      </c>
      <c r="W5946" s="2" t="s">
        <v>37073</v>
      </c>
      <c r="X5946" s="5" t="str">
        <f>HYPERLINK("https://my.pitchbook.com?p=413691-58P","View People Online")</f>
        <v>View People Online</v>
      </c>
    </row>
    <row r="5947">
      <c r="A5947" s="6" t="s">
        <v>37105</v>
      </c>
      <c r="B5947" s="6" t="s">
        <v>37106</v>
      </c>
      <c r="C5947" s="6" t="s">
        <v>22426</v>
      </c>
      <c r="D5947" s="6" t="s">
        <v>37107</v>
      </c>
      <c r="E5947" s="6" t="s">
        <v>37073</v>
      </c>
      <c r="F5947" s="6" t="s">
        <v>221</v>
      </c>
      <c r="G5947" s="6" t="s">
        <v>37108</v>
      </c>
      <c r="H5947" s="7" t="s">
        <v>31</v>
      </c>
      <c r="I5947" s="7">
        <v>1.0</v>
      </c>
      <c r="J5947" s="7">
        <v>1.0</v>
      </c>
      <c r="K5947" s="7" t="s">
        <v>31</v>
      </c>
      <c r="L5947" s="8" t="s">
        <v>37082</v>
      </c>
      <c r="M5947" s="6" t="s">
        <v>37109</v>
      </c>
      <c r="N5947" s="6" t="s">
        <v>75</v>
      </c>
      <c r="O5947" s="8" t="s">
        <v>76</v>
      </c>
      <c r="P5947" s="6" t="s">
        <v>37084</v>
      </c>
      <c r="Q5947" s="6" t="s">
        <v>194</v>
      </c>
      <c r="R5947" s="6" t="s">
        <v>75</v>
      </c>
      <c r="S5947" s="8" t="s">
        <v>2167</v>
      </c>
      <c r="T5947" s="6" t="s">
        <v>66</v>
      </c>
      <c r="U5947" s="8" t="s">
        <v>31</v>
      </c>
      <c r="V5947" s="6" t="s">
        <v>37110</v>
      </c>
      <c r="W5947" s="6" t="s">
        <v>37073</v>
      </c>
      <c r="X5947" s="9" t="str">
        <f>HYPERLINK("https://my.pitchbook.com?p=413692-39P","View People Online")</f>
        <v>View People Online</v>
      </c>
    </row>
    <row r="5948">
      <c r="A5948" s="10" t="s">
        <v>37111</v>
      </c>
      <c r="B5948" s="10" t="s">
        <v>37112</v>
      </c>
      <c r="C5948" s="10" t="s">
        <v>37113</v>
      </c>
      <c r="D5948" s="10" t="s">
        <v>37114</v>
      </c>
      <c r="E5948" s="10" t="s">
        <v>37073</v>
      </c>
      <c r="F5948" s="10" t="s">
        <v>548</v>
      </c>
      <c r="G5948" s="10" t="s">
        <v>37115</v>
      </c>
      <c r="H5948" s="11" t="s">
        <v>31</v>
      </c>
      <c r="I5948" s="11">
        <v>1.0</v>
      </c>
      <c r="J5948" s="11">
        <v>1.0</v>
      </c>
      <c r="K5948" s="11" t="s">
        <v>31</v>
      </c>
      <c r="L5948" s="12" t="s">
        <v>37082</v>
      </c>
      <c r="M5948" s="10" t="s">
        <v>37116</v>
      </c>
      <c r="N5948" s="10" t="s">
        <v>75</v>
      </c>
      <c r="O5948" s="12" t="s">
        <v>76</v>
      </c>
      <c r="P5948" s="10" t="s">
        <v>37084</v>
      </c>
      <c r="Q5948" s="10" t="s">
        <v>194</v>
      </c>
      <c r="R5948" s="10" t="s">
        <v>75</v>
      </c>
      <c r="S5948" s="12" t="s">
        <v>2167</v>
      </c>
      <c r="T5948" s="10" t="s">
        <v>66</v>
      </c>
      <c r="U5948" s="12" t="s">
        <v>31</v>
      </c>
      <c r="V5948" s="10" t="s">
        <v>37117</v>
      </c>
      <c r="W5948" s="10" t="s">
        <v>37073</v>
      </c>
      <c r="X5948" s="13" t="str">
        <f>HYPERLINK("https://my.pitchbook.com?p=294844-87P","View People Online")</f>
        <v>View People Online</v>
      </c>
    </row>
    <row r="5949">
      <c r="A5949" s="14" t="s">
        <v>37118</v>
      </c>
      <c r="B5949" s="14" t="s">
        <v>4936</v>
      </c>
      <c r="C5949" s="14" t="s">
        <v>1982</v>
      </c>
      <c r="D5949" s="14" t="s">
        <v>4937</v>
      </c>
      <c r="E5949" s="14" t="s">
        <v>37073</v>
      </c>
      <c r="F5949" s="14" t="s">
        <v>114</v>
      </c>
      <c r="G5949" s="14" t="s">
        <v>37119</v>
      </c>
      <c r="H5949" s="15">
        <v>2.0</v>
      </c>
      <c r="I5949" s="15">
        <v>6.0</v>
      </c>
      <c r="J5949" s="15">
        <v>4.0</v>
      </c>
      <c r="K5949" s="15">
        <v>1.0</v>
      </c>
      <c r="L5949" s="16" t="s">
        <v>31</v>
      </c>
      <c r="M5949" s="14" t="s">
        <v>37120</v>
      </c>
      <c r="N5949" s="14" t="s">
        <v>1277</v>
      </c>
      <c r="O5949" s="16" t="s">
        <v>1278</v>
      </c>
      <c r="P5949" s="14" t="s">
        <v>31</v>
      </c>
      <c r="Q5949" s="14" t="s">
        <v>31</v>
      </c>
      <c r="R5949" s="14" t="s">
        <v>1281</v>
      </c>
      <c r="S5949" s="16" t="s">
        <v>31</v>
      </c>
      <c r="T5949" s="14" t="s">
        <v>66</v>
      </c>
      <c r="U5949" s="16" t="s">
        <v>31</v>
      </c>
      <c r="V5949" s="14" t="s">
        <v>674</v>
      </c>
      <c r="W5949" s="14" t="s">
        <v>37121</v>
      </c>
      <c r="X5949" s="17" t="str">
        <f>HYPERLINK("https://my.pitchbook.com?p=179669-89P","View People Online")</f>
        <v>View People Online</v>
      </c>
    </row>
    <row r="5950">
      <c r="A5950" s="10" t="s">
        <v>37122</v>
      </c>
      <c r="B5950" s="10" t="s">
        <v>37123</v>
      </c>
      <c r="C5950" s="10" t="s">
        <v>15465</v>
      </c>
      <c r="D5950" s="10" t="s">
        <v>37124</v>
      </c>
      <c r="E5950" s="10" t="s">
        <v>37073</v>
      </c>
      <c r="F5950" s="10" t="s">
        <v>114</v>
      </c>
      <c r="G5950" s="10" t="s">
        <v>37125</v>
      </c>
      <c r="H5950" s="11" t="s">
        <v>31</v>
      </c>
      <c r="I5950" s="11">
        <v>15.0</v>
      </c>
      <c r="J5950" s="11">
        <v>2.0</v>
      </c>
      <c r="K5950" s="11">
        <v>12.0</v>
      </c>
      <c r="L5950" s="12" t="s">
        <v>31</v>
      </c>
      <c r="M5950" s="10" t="s">
        <v>31</v>
      </c>
      <c r="N5950" s="10" t="s">
        <v>155</v>
      </c>
      <c r="O5950" s="12" t="s">
        <v>156</v>
      </c>
      <c r="P5950" s="10" t="s">
        <v>31</v>
      </c>
      <c r="Q5950" s="10" t="s">
        <v>31</v>
      </c>
      <c r="R5950" s="10" t="s">
        <v>64</v>
      </c>
      <c r="S5950" s="12" t="s">
        <v>31</v>
      </c>
      <c r="T5950" s="10" t="s">
        <v>66</v>
      </c>
      <c r="U5950" s="12" t="s">
        <v>31</v>
      </c>
      <c r="V5950" s="10" t="s">
        <v>71</v>
      </c>
      <c r="W5950" s="10" t="s">
        <v>37126</v>
      </c>
      <c r="X5950" s="13" t="str">
        <f>HYPERLINK("https://my.pitchbook.com?p=327112-84P","View People Online")</f>
        <v>View People Online</v>
      </c>
    </row>
    <row r="5951">
      <c r="A5951" s="14" t="s">
        <v>37127</v>
      </c>
      <c r="B5951" s="14" t="s">
        <v>37128</v>
      </c>
      <c r="C5951" s="14" t="s">
        <v>1449</v>
      </c>
      <c r="D5951" s="14" t="s">
        <v>37129</v>
      </c>
      <c r="E5951" s="14" t="s">
        <v>37073</v>
      </c>
      <c r="F5951" s="14" t="s">
        <v>81</v>
      </c>
      <c r="G5951" s="14" t="s">
        <v>37130</v>
      </c>
      <c r="H5951" s="15" t="s">
        <v>31</v>
      </c>
      <c r="I5951" s="15">
        <v>16.0</v>
      </c>
      <c r="J5951" s="15">
        <v>3.0</v>
      </c>
      <c r="K5951" s="15">
        <v>11.0</v>
      </c>
      <c r="L5951" s="16" t="s">
        <v>37131</v>
      </c>
      <c r="M5951" s="14" t="s">
        <v>37132</v>
      </c>
      <c r="N5951" s="14" t="s">
        <v>75</v>
      </c>
      <c r="O5951" s="16" t="s">
        <v>76</v>
      </c>
      <c r="P5951" s="14" t="s">
        <v>33418</v>
      </c>
      <c r="Q5951" s="14" t="s">
        <v>37133</v>
      </c>
      <c r="R5951" s="14" t="s">
        <v>75</v>
      </c>
      <c r="S5951" s="16" t="s">
        <v>33419</v>
      </c>
      <c r="T5951" s="14" t="s">
        <v>66</v>
      </c>
      <c r="U5951" s="16" t="s">
        <v>31</v>
      </c>
      <c r="V5951" s="14" t="s">
        <v>37134</v>
      </c>
      <c r="W5951" s="14" t="s">
        <v>37135</v>
      </c>
      <c r="X5951" s="17" t="str">
        <f>HYPERLINK("https://my.pitchbook.com?p=45706-06P","View People Online")</f>
        <v>View People Online</v>
      </c>
    </row>
    <row r="5952">
      <c r="A5952" s="10" t="s">
        <v>37136</v>
      </c>
      <c r="B5952" s="10" t="s">
        <v>37137</v>
      </c>
      <c r="C5952" s="10" t="s">
        <v>37138</v>
      </c>
      <c r="D5952" s="10" t="s">
        <v>37139</v>
      </c>
      <c r="E5952" s="10" t="s">
        <v>37073</v>
      </c>
      <c r="F5952" s="10" t="s">
        <v>114</v>
      </c>
      <c r="G5952" s="10" t="s">
        <v>37140</v>
      </c>
      <c r="H5952" s="11" t="s">
        <v>31</v>
      </c>
      <c r="I5952" s="11">
        <v>2.0</v>
      </c>
      <c r="J5952" s="11">
        <v>2.0</v>
      </c>
      <c r="K5952" s="11" t="s">
        <v>31</v>
      </c>
      <c r="L5952" s="12" t="s">
        <v>37141</v>
      </c>
      <c r="M5952" s="10" t="s">
        <v>37142</v>
      </c>
      <c r="N5952" s="10" t="s">
        <v>75</v>
      </c>
      <c r="O5952" s="12" t="s">
        <v>76</v>
      </c>
      <c r="P5952" s="10" t="s">
        <v>37143</v>
      </c>
      <c r="Q5952" s="10" t="s">
        <v>37144</v>
      </c>
      <c r="R5952" s="10" t="s">
        <v>75</v>
      </c>
      <c r="S5952" s="12" t="s">
        <v>2167</v>
      </c>
      <c r="T5952" s="10" t="s">
        <v>66</v>
      </c>
      <c r="U5952" s="12" t="s">
        <v>31</v>
      </c>
      <c r="V5952" s="10" t="s">
        <v>558</v>
      </c>
      <c r="W5952" s="10" t="s">
        <v>37145</v>
      </c>
      <c r="X5952" s="13" t="str">
        <f>HYPERLINK("https://my.pitchbook.com?p=246469-24P","View People Online")</f>
        <v>View People Online</v>
      </c>
    </row>
    <row r="5953">
      <c r="A5953" s="14" t="s">
        <v>37146</v>
      </c>
      <c r="B5953" s="14" t="s">
        <v>37147</v>
      </c>
      <c r="C5953" s="14" t="s">
        <v>37148</v>
      </c>
      <c r="D5953" s="14" t="s">
        <v>37149</v>
      </c>
      <c r="E5953" s="14" t="s">
        <v>37073</v>
      </c>
      <c r="F5953" s="14" t="s">
        <v>318</v>
      </c>
      <c r="G5953" s="14" t="s">
        <v>37150</v>
      </c>
      <c r="H5953" s="15" t="s">
        <v>31</v>
      </c>
      <c r="I5953" s="15">
        <v>3.0</v>
      </c>
      <c r="J5953" s="15">
        <v>2.0</v>
      </c>
      <c r="K5953" s="15">
        <v>1.0</v>
      </c>
      <c r="L5953" s="16" t="s">
        <v>37151</v>
      </c>
      <c r="M5953" s="14" t="s">
        <v>37152</v>
      </c>
      <c r="N5953" s="14" t="s">
        <v>11029</v>
      </c>
      <c r="O5953" s="16" t="s">
        <v>11030</v>
      </c>
      <c r="P5953" s="14" t="s">
        <v>37153</v>
      </c>
      <c r="Q5953" s="14" t="s">
        <v>1280</v>
      </c>
      <c r="R5953" s="14" t="s">
        <v>10017</v>
      </c>
      <c r="S5953" s="16" t="s">
        <v>11033</v>
      </c>
      <c r="T5953" s="14" t="s">
        <v>66</v>
      </c>
      <c r="U5953" s="16" t="s">
        <v>31</v>
      </c>
      <c r="V5953" s="14" t="s">
        <v>37154</v>
      </c>
      <c r="W5953" s="14" t="s">
        <v>37155</v>
      </c>
      <c r="X5953" s="17" t="str">
        <f>HYPERLINK("https://my.pitchbook.com?p=99952-84P","View People Online")</f>
        <v>View People Online</v>
      </c>
    </row>
    <row r="5954">
      <c r="A5954" s="2" t="s">
        <v>37156</v>
      </c>
      <c r="B5954" s="2" t="s">
        <v>37157</v>
      </c>
      <c r="C5954" s="2" t="s">
        <v>37158</v>
      </c>
      <c r="D5954" s="2" t="s">
        <v>37159</v>
      </c>
      <c r="E5954" s="2" t="s">
        <v>37073</v>
      </c>
      <c r="F5954" s="2" t="s">
        <v>270</v>
      </c>
      <c r="G5954" s="2" t="s">
        <v>37160</v>
      </c>
      <c r="H5954" s="3" t="s">
        <v>31</v>
      </c>
      <c r="I5954" s="3">
        <v>1.0</v>
      </c>
      <c r="J5954" s="3">
        <v>1.0</v>
      </c>
      <c r="K5954" s="3" t="s">
        <v>31</v>
      </c>
      <c r="L5954" s="4" t="s">
        <v>37082</v>
      </c>
      <c r="M5954" s="2" t="s">
        <v>37161</v>
      </c>
      <c r="N5954" s="2" t="s">
        <v>75</v>
      </c>
      <c r="O5954" s="4" t="s">
        <v>76</v>
      </c>
      <c r="P5954" s="2" t="s">
        <v>37084</v>
      </c>
      <c r="Q5954" s="2" t="s">
        <v>194</v>
      </c>
      <c r="R5954" s="2" t="s">
        <v>75</v>
      </c>
      <c r="S5954" s="4" t="s">
        <v>2167</v>
      </c>
      <c r="T5954" s="2" t="s">
        <v>66</v>
      </c>
      <c r="U5954" s="4" t="s">
        <v>31</v>
      </c>
      <c r="V5954" s="2" t="s">
        <v>662</v>
      </c>
      <c r="W5954" s="2" t="s">
        <v>37073</v>
      </c>
      <c r="X5954" s="5" t="str">
        <f>HYPERLINK("https://my.pitchbook.com?p=383775-67P","View People Online")</f>
        <v>View People Online</v>
      </c>
    </row>
    <row r="5955">
      <c r="A5955" s="6" t="s">
        <v>37162</v>
      </c>
      <c r="B5955" s="6" t="s">
        <v>37163</v>
      </c>
      <c r="C5955" s="6" t="s">
        <v>3529</v>
      </c>
      <c r="D5955" s="6" t="s">
        <v>37164</v>
      </c>
      <c r="E5955" s="6" t="s">
        <v>37073</v>
      </c>
      <c r="F5955" s="6" t="s">
        <v>114</v>
      </c>
      <c r="G5955" s="6" t="s">
        <v>37165</v>
      </c>
      <c r="H5955" s="7" t="s">
        <v>31</v>
      </c>
      <c r="I5955" s="7">
        <v>5.0</v>
      </c>
      <c r="J5955" s="7">
        <v>2.0</v>
      </c>
      <c r="K5955" s="7">
        <v>2.0</v>
      </c>
      <c r="L5955" s="8" t="s">
        <v>31</v>
      </c>
      <c r="M5955" s="6" t="s">
        <v>37166</v>
      </c>
      <c r="N5955" s="6" t="s">
        <v>1170</v>
      </c>
      <c r="O5955" s="8" t="s">
        <v>1171</v>
      </c>
      <c r="P5955" s="6" t="s">
        <v>37167</v>
      </c>
      <c r="Q5955" s="6" t="s">
        <v>31</v>
      </c>
      <c r="R5955" s="6" t="s">
        <v>64</v>
      </c>
      <c r="S5955" s="8" t="s">
        <v>37168</v>
      </c>
      <c r="T5955" s="6" t="s">
        <v>66</v>
      </c>
      <c r="U5955" s="8" t="s">
        <v>31</v>
      </c>
      <c r="V5955" s="6" t="s">
        <v>37169</v>
      </c>
      <c r="W5955" s="6" t="s">
        <v>37170</v>
      </c>
      <c r="X5955" s="9" t="str">
        <f>HYPERLINK("https://my.pitchbook.com?p=161358-94P","View People Online")</f>
        <v>View People Online</v>
      </c>
    </row>
    <row r="5956">
      <c r="A5956" s="10" t="s">
        <v>37171</v>
      </c>
      <c r="B5956" s="10" t="s">
        <v>37172</v>
      </c>
      <c r="C5956" s="10" t="s">
        <v>4404</v>
      </c>
      <c r="D5956" s="10" t="s">
        <v>3403</v>
      </c>
      <c r="E5956" s="10" t="s">
        <v>37073</v>
      </c>
      <c r="F5956" s="10" t="s">
        <v>7732</v>
      </c>
      <c r="G5956" s="10" t="s">
        <v>37173</v>
      </c>
      <c r="H5956" s="11" t="s">
        <v>31</v>
      </c>
      <c r="I5956" s="11">
        <v>2.0</v>
      </c>
      <c r="J5956" s="11">
        <v>1.0</v>
      </c>
      <c r="K5956" s="11">
        <v>1.0</v>
      </c>
      <c r="L5956" s="12" t="s">
        <v>37082</v>
      </c>
      <c r="M5956" s="10" t="s">
        <v>37174</v>
      </c>
      <c r="N5956" s="10" t="s">
        <v>75</v>
      </c>
      <c r="O5956" s="12" t="s">
        <v>76</v>
      </c>
      <c r="P5956" s="10" t="s">
        <v>37084</v>
      </c>
      <c r="Q5956" s="10" t="s">
        <v>194</v>
      </c>
      <c r="R5956" s="10" t="s">
        <v>75</v>
      </c>
      <c r="S5956" s="12" t="s">
        <v>2167</v>
      </c>
      <c r="T5956" s="10" t="s">
        <v>66</v>
      </c>
      <c r="U5956" s="12" t="s">
        <v>31</v>
      </c>
      <c r="V5956" s="10" t="s">
        <v>7732</v>
      </c>
      <c r="W5956" s="10" t="s">
        <v>37073</v>
      </c>
      <c r="X5956" s="13" t="str">
        <f>HYPERLINK("https://my.pitchbook.com?p=294816-16P","View People Online")</f>
        <v>View People Online</v>
      </c>
    </row>
    <row r="5957">
      <c r="A5957" s="6" t="s">
        <v>37175</v>
      </c>
      <c r="B5957" s="6" t="s">
        <v>37176</v>
      </c>
      <c r="C5957" s="6" t="s">
        <v>3040</v>
      </c>
      <c r="D5957" s="6" t="s">
        <v>37177</v>
      </c>
      <c r="E5957" s="6" t="s">
        <v>37073</v>
      </c>
      <c r="F5957" s="6" t="s">
        <v>270</v>
      </c>
      <c r="G5957" s="6" t="s">
        <v>37178</v>
      </c>
      <c r="H5957" s="7" t="s">
        <v>31</v>
      </c>
      <c r="I5957" s="7">
        <v>3.0</v>
      </c>
      <c r="J5957" s="7">
        <v>3.0</v>
      </c>
      <c r="K5957" s="7" t="s">
        <v>31</v>
      </c>
      <c r="L5957" s="8" t="s">
        <v>37179</v>
      </c>
      <c r="M5957" s="6" t="s">
        <v>37180</v>
      </c>
      <c r="N5957" s="6" t="s">
        <v>155</v>
      </c>
      <c r="O5957" s="8" t="s">
        <v>156</v>
      </c>
      <c r="P5957" s="6" t="s">
        <v>37181</v>
      </c>
      <c r="Q5957" s="6" t="s">
        <v>31</v>
      </c>
      <c r="R5957" s="6" t="s">
        <v>64</v>
      </c>
      <c r="S5957" s="8" t="s">
        <v>24337</v>
      </c>
      <c r="T5957" s="6" t="s">
        <v>66</v>
      </c>
      <c r="U5957" s="8" t="s">
        <v>31</v>
      </c>
      <c r="V5957" s="6" t="s">
        <v>991</v>
      </c>
      <c r="W5957" s="6" t="s">
        <v>37182</v>
      </c>
      <c r="X5957" s="9" t="str">
        <f>HYPERLINK("https://my.pitchbook.com?p=45435-16P","View People Online")</f>
        <v>View People Online</v>
      </c>
    </row>
    <row r="5958">
      <c r="A5958" s="10" t="s">
        <v>37183</v>
      </c>
      <c r="B5958" s="10" t="s">
        <v>37184</v>
      </c>
      <c r="C5958" s="10" t="s">
        <v>4457</v>
      </c>
      <c r="D5958" s="10" t="s">
        <v>4526</v>
      </c>
      <c r="E5958" s="10" t="s">
        <v>37073</v>
      </c>
      <c r="F5958" s="10" t="s">
        <v>221</v>
      </c>
      <c r="G5958" s="10" t="s">
        <v>37185</v>
      </c>
      <c r="H5958" s="11" t="s">
        <v>31</v>
      </c>
      <c r="I5958" s="11">
        <v>1.0</v>
      </c>
      <c r="J5958" s="11">
        <v>1.0</v>
      </c>
      <c r="K5958" s="11" t="s">
        <v>31</v>
      </c>
      <c r="L5958" s="12" t="s">
        <v>37082</v>
      </c>
      <c r="M5958" s="10" t="s">
        <v>37186</v>
      </c>
      <c r="N5958" s="10" t="s">
        <v>75</v>
      </c>
      <c r="O5958" s="12" t="s">
        <v>76</v>
      </c>
      <c r="P5958" s="10" t="s">
        <v>37084</v>
      </c>
      <c r="Q5958" s="10" t="s">
        <v>194</v>
      </c>
      <c r="R5958" s="10" t="s">
        <v>75</v>
      </c>
      <c r="S5958" s="12" t="s">
        <v>2167</v>
      </c>
      <c r="T5958" s="10" t="s">
        <v>66</v>
      </c>
      <c r="U5958" s="12" t="s">
        <v>31</v>
      </c>
      <c r="V5958" s="10" t="s">
        <v>37110</v>
      </c>
      <c r="W5958" s="10" t="s">
        <v>37073</v>
      </c>
      <c r="X5958" s="13" t="str">
        <f>HYPERLINK("https://my.pitchbook.com?p=413695-45P","View People Online")</f>
        <v>View People Online</v>
      </c>
    </row>
    <row r="5959">
      <c r="A5959" s="14" t="s">
        <v>37187</v>
      </c>
      <c r="B5959" s="14" t="s">
        <v>37188</v>
      </c>
      <c r="C5959" s="14" t="s">
        <v>18953</v>
      </c>
      <c r="D5959" s="14" t="s">
        <v>37189</v>
      </c>
      <c r="E5959" s="14" t="s">
        <v>37073</v>
      </c>
      <c r="F5959" s="14" t="s">
        <v>43</v>
      </c>
      <c r="G5959" s="14" t="s">
        <v>37190</v>
      </c>
      <c r="H5959" s="15" t="s">
        <v>31</v>
      </c>
      <c r="I5959" s="15">
        <v>31.0</v>
      </c>
      <c r="J5959" s="15">
        <v>1.0</v>
      </c>
      <c r="K5959" s="15">
        <v>26.0</v>
      </c>
      <c r="L5959" s="16" t="s">
        <v>37082</v>
      </c>
      <c r="M5959" s="14" t="s">
        <v>37191</v>
      </c>
      <c r="N5959" s="14" t="s">
        <v>75</v>
      </c>
      <c r="O5959" s="16" t="s">
        <v>76</v>
      </c>
      <c r="P5959" s="14" t="s">
        <v>37084</v>
      </c>
      <c r="Q5959" s="14" t="s">
        <v>194</v>
      </c>
      <c r="R5959" s="14" t="s">
        <v>75</v>
      </c>
      <c r="S5959" s="16" t="s">
        <v>2167</v>
      </c>
      <c r="T5959" s="14" t="s">
        <v>66</v>
      </c>
      <c r="U5959" s="16" t="s">
        <v>31</v>
      </c>
      <c r="V5959" s="14" t="s">
        <v>43</v>
      </c>
      <c r="W5959" s="14" t="s">
        <v>37073</v>
      </c>
      <c r="X5959" s="17" t="str">
        <f>HYPERLINK("https://my.pitchbook.com?p=40055-23P","View People Online")</f>
        <v>View People Online</v>
      </c>
    </row>
    <row r="5960">
      <c r="A5960" s="2" t="s">
        <v>37192</v>
      </c>
      <c r="B5960" s="2" t="s">
        <v>37193</v>
      </c>
      <c r="C5960" s="2" t="s">
        <v>369</v>
      </c>
      <c r="D5960" s="2" t="s">
        <v>37194</v>
      </c>
      <c r="E5960" s="2" t="s">
        <v>37073</v>
      </c>
      <c r="F5960" s="2" t="s">
        <v>43</v>
      </c>
      <c r="G5960" s="2" t="s">
        <v>37195</v>
      </c>
      <c r="H5960" s="3" t="s">
        <v>31</v>
      </c>
      <c r="I5960" s="3">
        <v>1.0</v>
      </c>
      <c r="J5960" s="3">
        <v>1.0</v>
      </c>
      <c r="K5960" s="3" t="s">
        <v>31</v>
      </c>
      <c r="L5960" s="4" t="s">
        <v>37082</v>
      </c>
      <c r="M5960" s="2" t="s">
        <v>37196</v>
      </c>
      <c r="N5960" s="2" t="s">
        <v>75</v>
      </c>
      <c r="O5960" s="4" t="s">
        <v>76</v>
      </c>
      <c r="P5960" s="2" t="s">
        <v>37084</v>
      </c>
      <c r="Q5960" s="2" t="s">
        <v>194</v>
      </c>
      <c r="R5960" s="2" t="s">
        <v>75</v>
      </c>
      <c r="S5960" s="4" t="s">
        <v>2167</v>
      </c>
      <c r="T5960" s="2" t="s">
        <v>66</v>
      </c>
      <c r="U5960" s="4" t="s">
        <v>31</v>
      </c>
      <c r="V5960" s="2" t="s">
        <v>43</v>
      </c>
      <c r="W5960" s="2" t="s">
        <v>37073</v>
      </c>
      <c r="X5960" s="5" t="str">
        <f>HYPERLINK("https://my.pitchbook.com?p=327112-75P","View People Online")</f>
        <v>View People Online</v>
      </c>
    </row>
    <row r="5961">
      <c r="A5961" s="6" t="s">
        <v>37197</v>
      </c>
      <c r="B5961" s="6" t="s">
        <v>37198</v>
      </c>
      <c r="C5961" s="6" t="s">
        <v>7089</v>
      </c>
      <c r="D5961" s="6" t="s">
        <v>37199</v>
      </c>
      <c r="E5961" s="6" t="s">
        <v>37073</v>
      </c>
      <c r="F5961" s="6" t="s">
        <v>114</v>
      </c>
      <c r="G5961" s="6" t="s">
        <v>37200</v>
      </c>
      <c r="H5961" s="7" t="s">
        <v>31</v>
      </c>
      <c r="I5961" s="7">
        <v>5.0</v>
      </c>
      <c r="J5961" s="7">
        <v>1.0</v>
      </c>
      <c r="K5961" s="7">
        <v>2.0</v>
      </c>
      <c r="L5961" s="8" t="s">
        <v>37201</v>
      </c>
      <c r="M5961" s="6" t="s">
        <v>31</v>
      </c>
      <c r="N5961" s="6" t="s">
        <v>75</v>
      </c>
      <c r="O5961" s="8" t="s">
        <v>76</v>
      </c>
      <c r="P5961" s="6" t="s">
        <v>37084</v>
      </c>
      <c r="Q5961" s="6" t="s">
        <v>194</v>
      </c>
      <c r="R5961" s="6" t="s">
        <v>75</v>
      </c>
      <c r="S5961" s="8" t="s">
        <v>2167</v>
      </c>
      <c r="T5961" s="6" t="s">
        <v>66</v>
      </c>
      <c r="U5961" s="8" t="s">
        <v>31</v>
      </c>
      <c r="V5961" s="6" t="s">
        <v>114</v>
      </c>
      <c r="W5961" s="6" t="s">
        <v>37073</v>
      </c>
      <c r="X5961" s="9" t="str">
        <f>HYPERLINK("https://my.pitchbook.com?p=84238-03P","View People Online")</f>
        <v>View People Online</v>
      </c>
    </row>
    <row r="5962">
      <c r="A5962" s="10" t="s">
        <v>37202</v>
      </c>
      <c r="B5962" s="10" t="s">
        <v>37203</v>
      </c>
      <c r="C5962" s="10" t="s">
        <v>3221</v>
      </c>
      <c r="D5962" s="10" t="s">
        <v>37204</v>
      </c>
      <c r="E5962" s="10" t="s">
        <v>37073</v>
      </c>
      <c r="F5962" s="10" t="s">
        <v>221</v>
      </c>
      <c r="G5962" s="10" t="s">
        <v>37205</v>
      </c>
      <c r="H5962" s="11" t="s">
        <v>31</v>
      </c>
      <c r="I5962" s="11">
        <v>1.0</v>
      </c>
      <c r="J5962" s="11">
        <v>1.0</v>
      </c>
      <c r="K5962" s="11" t="s">
        <v>31</v>
      </c>
      <c r="L5962" s="12" t="s">
        <v>37082</v>
      </c>
      <c r="M5962" s="10" t="s">
        <v>37206</v>
      </c>
      <c r="N5962" s="10" t="s">
        <v>75</v>
      </c>
      <c r="O5962" s="12" t="s">
        <v>76</v>
      </c>
      <c r="P5962" s="10" t="s">
        <v>37084</v>
      </c>
      <c r="Q5962" s="10" t="s">
        <v>194</v>
      </c>
      <c r="R5962" s="10" t="s">
        <v>75</v>
      </c>
      <c r="S5962" s="12" t="s">
        <v>2167</v>
      </c>
      <c r="T5962" s="10" t="s">
        <v>66</v>
      </c>
      <c r="U5962" s="12" t="s">
        <v>31</v>
      </c>
      <c r="V5962" s="10" t="s">
        <v>12974</v>
      </c>
      <c r="W5962" s="10" t="s">
        <v>37073</v>
      </c>
      <c r="X5962" s="13" t="str">
        <f>HYPERLINK("https://my.pitchbook.com?p=413671-51P","View People Online")</f>
        <v>View People Online</v>
      </c>
    </row>
    <row r="5963">
      <c r="A5963" s="14" t="s">
        <v>37207</v>
      </c>
      <c r="B5963" s="14" t="s">
        <v>37208</v>
      </c>
      <c r="C5963" s="14" t="s">
        <v>934</v>
      </c>
      <c r="D5963" s="14" t="s">
        <v>37209</v>
      </c>
      <c r="E5963" s="14" t="s">
        <v>37073</v>
      </c>
      <c r="F5963" s="14" t="s">
        <v>37210</v>
      </c>
      <c r="G5963" s="14" t="s">
        <v>37211</v>
      </c>
      <c r="H5963" s="15" t="s">
        <v>31</v>
      </c>
      <c r="I5963" s="15">
        <v>62.0</v>
      </c>
      <c r="J5963" s="15">
        <v>2.0</v>
      </c>
      <c r="K5963" s="15">
        <v>59.0</v>
      </c>
      <c r="L5963" s="16" t="s">
        <v>37212</v>
      </c>
      <c r="M5963" s="14" t="s">
        <v>37213</v>
      </c>
      <c r="N5963" s="14" t="s">
        <v>75</v>
      </c>
      <c r="O5963" s="16" t="s">
        <v>76</v>
      </c>
      <c r="P5963" s="14" t="s">
        <v>37084</v>
      </c>
      <c r="Q5963" s="14" t="s">
        <v>194</v>
      </c>
      <c r="R5963" s="14" t="s">
        <v>75</v>
      </c>
      <c r="S5963" s="16" t="s">
        <v>2167</v>
      </c>
      <c r="T5963" s="14" t="s">
        <v>66</v>
      </c>
      <c r="U5963" s="16" t="s">
        <v>31</v>
      </c>
      <c r="V5963" s="14" t="s">
        <v>37214</v>
      </c>
      <c r="W5963" s="14" t="s">
        <v>37073</v>
      </c>
      <c r="X5963" s="17" t="str">
        <f>HYPERLINK("https://my.pitchbook.com?p=47097-91P","View People Online")</f>
        <v>View People Online</v>
      </c>
    </row>
    <row r="5964">
      <c r="A5964" s="10" t="s">
        <v>37215</v>
      </c>
      <c r="B5964" s="10" t="s">
        <v>37216</v>
      </c>
      <c r="C5964" s="10" t="s">
        <v>2388</v>
      </c>
      <c r="D5964" s="10" t="s">
        <v>13365</v>
      </c>
      <c r="E5964" s="10" t="s">
        <v>37073</v>
      </c>
      <c r="F5964" s="10" t="s">
        <v>43</v>
      </c>
      <c r="G5964" s="10" t="s">
        <v>37217</v>
      </c>
      <c r="H5964" s="11" t="s">
        <v>31</v>
      </c>
      <c r="I5964" s="11">
        <v>7.0</v>
      </c>
      <c r="J5964" s="11">
        <v>1.0</v>
      </c>
      <c r="K5964" s="11">
        <v>5.0</v>
      </c>
      <c r="L5964" s="12" t="s">
        <v>37082</v>
      </c>
      <c r="M5964" s="10" t="s">
        <v>37218</v>
      </c>
      <c r="N5964" s="10" t="s">
        <v>75</v>
      </c>
      <c r="O5964" s="12" t="s">
        <v>76</v>
      </c>
      <c r="P5964" s="10" t="s">
        <v>37084</v>
      </c>
      <c r="Q5964" s="10" t="s">
        <v>194</v>
      </c>
      <c r="R5964" s="10" t="s">
        <v>75</v>
      </c>
      <c r="S5964" s="12" t="s">
        <v>2167</v>
      </c>
      <c r="T5964" s="10" t="s">
        <v>66</v>
      </c>
      <c r="U5964" s="12" t="s">
        <v>31</v>
      </c>
      <c r="V5964" s="10" t="s">
        <v>43</v>
      </c>
      <c r="W5964" s="10" t="s">
        <v>37073</v>
      </c>
      <c r="X5964" s="13" t="str">
        <f>HYPERLINK("https://my.pitchbook.com?p=213417-37P","View People Online")</f>
        <v>View People Online</v>
      </c>
    </row>
    <row r="5965">
      <c r="A5965" s="6" t="s">
        <v>37219</v>
      </c>
      <c r="B5965" s="6" t="s">
        <v>37220</v>
      </c>
      <c r="C5965" s="6" t="s">
        <v>3274</v>
      </c>
      <c r="D5965" s="6" t="s">
        <v>37221</v>
      </c>
      <c r="E5965" s="6" t="s">
        <v>37073</v>
      </c>
      <c r="F5965" s="6" t="s">
        <v>221</v>
      </c>
      <c r="G5965" s="6" t="s">
        <v>37222</v>
      </c>
      <c r="H5965" s="7" t="s">
        <v>31</v>
      </c>
      <c r="I5965" s="7">
        <v>1.0</v>
      </c>
      <c r="J5965" s="7">
        <v>1.0</v>
      </c>
      <c r="K5965" s="7" t="s">
        <v>31</v>
      </c>
      <c r="L5965" s="8" t="s">
        <v>37082</v>
      </c>
      <c r="M5965" s="6" t="s">
        <v>37223</v>
      </c>
      <c r="N5965" s="6" t="s">
        <v>75</v>
      </c>
      <c r="O5965" s="8" t="s">
        <v>76</v>
      </c>
      <c r="P5965" s="6" t="s">
        <v>37084</v>
      </c>
      <c r="Q5965" s="6" t="s">
        <v>194</v>
      </c>
      <c r="R5965" s="6" t="s">
        <v>75</v>
      </c>
      <c r="S5965" s="8" t="s">
        <v>2167</v>
      </c>
      <c r="T5965" s="6" t="s">
        <v>66</v>
      </c>
      <c r="U5965" s="8" t="s">
        <v>31</v>
      </c>
      <c r="V5965" s="6" t="s">
        <v>37110</v>
      </c>
      <c r="W5965" s="6" t="s">
        <v>37073</v>
      </c>
      <c r="X5965" s="9" t="str">
        <f>HYPERLINK("https://my.pitchbook.com?p=413670-70P","View People Online")</f>
        <v>View People Online</v>
      </c>
    </row>
    <row r="5966">
      <c r="A5966" s="10" t="s">
        <v>37224</v>
      </c>
      <c r="B5966" s="10" t="s">
        <v>37225</v>
      </c>
      <c r="C5966" s="10" t="s">
        <v>3716</v>
      </c>
      <c r="D5966" s="10" t="s">
        <v>5038</v>
      </c>
      <c r="E5966" s="10" t="s">
        <v>37073</v>
      </c>
      <c r="F5966" s="10" t="s">
        <v>548</v>
      </c>
      <c r="G5966" s="10" t="s">
        <v>37226</v>
      </c>
      <c r="H5966" s="11" t="s">
        <v>31</v>
      </c>
      <c r="I5966" s="11">
        <v>1.0</v>
      </c>
      <c r="J5966" s="11">
        <v>1.0</v>
      </c>
      <c r="K5966" s="11" t="s">
        <v>31</v>
      </c>
      <c r="L5966" s="12" t="s">
        <v>37227</v>
      </c>
      <c r="M5966" s="10" t="s">
        <v>37228</v>
      </c>
      <c r="N5966" s="10" t="s">
        <v>75</v>
      </c>
      <c r="O5966" s="12" t="s">
        <v>76</v>
      </c>
      <c r="P5966" s="10" t="s">
        <v>37084</v>
      </c>
      <c r="Q5966" s="10" t="s">
        <v>194</v>
      </c>
      <c r="R5966" s="10" t="s">
        <v>75</v>
      </c>
      <c r="S5966" s="12" t="s">
        <v>2167</v>
      </c>
      <c r="T5966" s="10" t="s">
        <v>66</v>
      </c>
      <c r="U5966" s="12" t="s">
        <v>31</v>
      </c>
      <c r="V5966" s="10" t="s">
        <v>37229</v>
      </c>
      <c r="W5966" s="10" t="s">
        <v>37073</v>
      </c>
      <c r="X5966" s="13" t="str">
        <f>HYPERLINK("https://my.pitchbook.com?p=382495-78P","View People Online")</f>
        <v>View People Online</v>
      </c>
    </row>
    <row r="5967">
      <c r="A5967" s="14" t="s">
        <v>26870</v>
      </c>
      <c r="B5967" s="14" t="s">
        <v>26871</v>
      </c>
      <c r="C5967" s="14" t="s">
        <v>12548</v>
      </c>
      <c r="D5967" s="14" t="s">
        <v>26872</v>
      </c>
      <c r="E5967" s="14" t="s">
        <v>37073</v>
      </c>
      <c r="F5967" s="14" t="s">
        <v>114</v>
      </c>
      <c r="G5967" s="14" t="s">
        <v>26874</v>
      </c>
      <c r="H5967" s="15" t="s">
        <v>31</v>
      </c>
      <c r="I5967" s="15">
        <v>22.0</v>
      </c>
      <c r="J5967" s="15">
        <v>3.0</v>
      </c>
      <c r="K5967" s="15">
        <v>18.0</v>
      </c>
      <c r="L5967" s="16" t="s">
        <v>31</v>
      </c>
      <c r="M5967" s="14" t="s">
        <v>26875</v>
      </c>
      <c r="N5967" s="14" t="s">
        <v>1170</v>
      </c>
      <c r="O5967" s="16" t="s">
        <v>1171</v>
      </c>
      <c r="P5967" s="14" t="s">
        <v>31</v>
      </c>
      <c r="Q5967" s="14" t="s">
        <v>31</v>
      </c>
      <c r="R5967" s="14" t="s">
        <v>64</v>
      </c>
      <c r="S5967" s="16" t="s">
        <v>26876</v>
      </c>
      <c r="T5967" s="14" t="s">
        <v>66</v>
      </c>
      <c r="U5967" s="16" t="s">
        <v>31</v>
      </c>
      <c r="V5967" s="14" t="s">
        <v>86</v>
      </c>
      <c r="W5967" s="14" t="s">
        <v>26873</v>
      </c>
      <c r="X5967" s="17" t="str">
        <f>HYPERLINK("https://my.pitchbook.com?p=112488-67P","View People Online")</f>
        <v>View People Online</v>
      </c>
    </row>
    <row r="5968">
      <c r="A5968" s="10" t="s">
        <v>37230</v>
      </c>
      <c r="B5968" s="10" t="s">
        <v>37231</v>
      </c>
      <c r="C5968" s="10" t="s">
        <v>568</v>
      </c>
      <c r="D5968" s="10" t="s">
        <v>37232</v>
      </c>
      <c r="E5968" s="10" t="s">
        <v>37233</v>
      </c>
      <c r="F5968" s="10" t="s">
        <v>502</v>
      </c>
      <c r="G5968" s="10" t="s">
        <v>37234</v>
      </c>
      <c r="H5968" s="11" t="s">
        <v>31</v>
      </c>
      <c r="I5968" s="11">
        <v>1.0</v>
      </c>
      <c r="J5968" s="11">
        <v>1.0</v>
      </c>
      <c r="K5968" s="11" t="s">
        <v>31</v>
      </c>
      <c r="L5968" s="12" t="s">
        <v>37235</v>
      </c>
      <c r="M5968" s="10" t="s">
        <v>37236</v>
      </c>
      <c r="N5968" s="10" t="s">
        <v>155</v>
      </c>
      <c r="O5968" s="12" t="s">
        <v>156</v>
      </c>
      <c r="P5968" s="10" t="s">
        <v>37237</v>
      </c>
      <c r="Q5968" s="10" t="s">
        <v>31</v>
      </c>
      <c r="R5968" s="10" t="s">
        <v>64</v>
      </c>
      <c r="S5968" s="12" t="s">
        <v>2463</v>
      </c>
      <c r="T5968" s="10" t="s">
        <v>66</v>
      </c>
      <c r="U5968" s="12" t="s">
        <v>31</v>
      </c>
      <c r="V5968" s="10" t="s">
        <v>502</v>
      </c>
      <c r="W5968" s="10" t="s">
        <v>37233</v>
      </c>
      <c r="X5968" s="13" t="str">
        <f>HYPERLINK("https://my.pitchbook.com?p=222445-45P","View People Online")</f>
        <v>View People Online</v>
      </c>
    </row>
    <row r="5969">
      <c r="A5969" s="14" t="s">
        <v>37238</v>
      </c>
      <c r="B5969" s="14" t="s">
        <v>37239</v>
      </c>
      <c r="C5969" s="14" t="s">
        <v>237</v>
      </c>
      <c r="D5969" s="14" t="s">
        <v>8164</v>
      </c>
      <c r="E5969" s="14" t="s">
        <v>37233</v>
      </c>
      <c r="F5969" s="14" t="s">
        <v>371</v>
      </c>
      <c r="G5969" s="14" t="s">
        <v>37240</v>
      </c>
      <c r="H5969" s="15" t="s">
        <v>31</v>
      </c>
      <c r="I5969" s="15">
        <v>1.0</v>
      </c>
      <c r="J5969" s="15">
        <v>1.0</v>
      </c>
      <c r="K5969" s="15" t="s">
        <v>31</v>
      </c>
      <c r="L5969" s="16" t="s">
        <v>37235</v>
      </c>
      <c r="M5969" s="14" t="s">
        <v>37241</v>
      </c>
      <c r="N5969" s="14" t="s">
        <v>155</v>
      </c>
      <c r="O5969" s="16" t="s">
        <v>156</v>
      </c>
      <c r="P5969" s="14" t="s">
        <v>37237</v>
      </c>
      <c r="Q5969" s="14" t="s">
        <v>31</v>
      </c>
      <c r="R5969" s="14" t="s">
        <v>64</v>
      </c>
      <c r="S5969" s="16" t="s">
        <v>2463</v>
      </c>
      <c r="T5969" s="14" t="s">
        <v>66</v>
      </c>
      <c r="U5969" s="16" t="s">
        <v>31</v>
      </c>
      <c r="V5969" s="14" t="s">
        <v>37242</v>
      </c>
      <c r="W5969" s="14" t="s">
        <v>37233</v>
      </c>
      <c r="X5969" s="17" t="str">
        <f>HYPERLINK("https://my.pitchbook.com?p=287095-33P","View People Online")</f>
        <v>View People Online</v>
      </c>
    </row>
    <row r="5970">
      <c r="A5970" s="10" t="s">
        <v>37243</v>
      </c>
      <c r="B5970" s="10" t="s">
        <v>37244</v>
      </c>
      <c r="C5970" s="10" t="s">
        <v>25787</v>
      </c>
      <c r="D5970" s="10" t="s">
        <v>37245</v>
      </c>
      <c r="E5970" s="10" t="s">
        <v>37233</v>
      </c>
      <c r="F5970" s="10" t="s">
        <v>37246</v>
      </c>
      <c r="G5970" s="10" t="s">
        <v>37247</v>
      </c>
      <c r="H5970" s="11" t="s">
        <v>31</v>
      </c>
      <c r="I5970" s="11">
        <v>1.0</v>
      </c>
      <c r="J5970" s="11">
        <v>1.0</v>
      </c>
      <c r="K5970" s="11" t="s">
        <v>31</v>
      </c>
      <c r="L5970" s="12" t="s">
        <v>37235</v>
      </c>
      <c r="M5970" s="10" t="s">
        <v>37248</v>
      </c>
      <c r="N5970" s="10" t="s">
        <v>155</v>
      </c>
      <c r="O5970" s="12" t="s">
        <v>156</v>
      </c>
      <c r="P5970" s="10" t="s">
        <v>37237</v>
      </c>
      <c r="Q5970" s="10" t="s">
        <v>31</v>
      </c>
      <c r="R5970" s="10" t="s">
        <v>64</v>
      </c>
      <c r="S5970" s="12" t="s">
        <v>2463</v>
      </c>
      <c r="T5970" s="10" t="s">
        <v>66</v>
      </c>
      <c r="U5970" s="12" t="s">
        <v>31</v>
      </c>
      <c r="V5970" s="10" t="s">
        <v>37249</v>
      </c>
      <c r="W5970" s="10" t="s">
        <v>37233</v>
      </c>
      <c r="X5970" s="13" t="str">
        <f>HYPERLINK("https://my.pitchbook.com?p=347934-34P","View People Online")</f>
        <v>View People Online</v>
      </c>
    </row>
    <row r="5971">
      <c r="A5971" s="6" t="s">
        <v>37250</v>
      </c>
      <c r="B5971" s="6" t="s">
        <v>37251</v>
      </c>
      <c r="C5971" s="6" t="s">
        <v>37252</v>
      </c>
      <c r="D5971" s="6" t="s">
        <v>33273</v>
      </c>
      <c r="E5971" s="6" t="s">
        <v>37233</v>
      </c>
      <c r="F5971" s="6" t="s">
        <v>896</v>
      </c>
      <c r="G5971" s="6" t="s">
        <v>37253</v>
      </c>
      <c r="H5971" s="7" t="s">
        <v>31</v>
      </c>
      <c r="I5971" s="7">
        <v>2.0</v>
      </c>
      <c r="J5971" s="7">
        <v>1.0</v>
      </c>
      <c r="K5971" s="7" t="s">
        <v>31</v>
      </c>
      <c r="L5971" s="8" t="s">
        <v>37235</v>
      </c>
      <c r="M5971" s="6" t="s">
        <v>37254</v>
      </c>
      <c r="N5971" s="6" t="s">
        <v>155</v>
      </c>
      <c r="O5971" s="8" t="s">
        <v>156</v>
      </c>
      <c r="P5971" s="6" t="s">
        <v>37237</v>
      </c>
      <c r="Q5971" s="6" t="s">
        <v>31</v>
      </c>
      <c r="R5971" s="6" t="s">
        <v>64</v>
      </c>
      <c r="S5971" s="8" t="s">
        <v>2463</v>
      </c>
      <c r="T5971" s="6" t="s">
        <v>66</v>
      </c>
      <c r="U5971" s="8" t="s">
        <v>31</v>
      </c>
      <c r="V5971" s="6" t="s">
        <v>896</v>
      </c>
      <c r="W5971" s="6" t="s">
        <v>37233</v>
      </c>
      <c r="X5971" s="9" t="str">
        <f>HYPERLINK("https://my.pitchbook.com?p=446442-58P","View People Online")</f>
        <v>View People Online</v>
      </c>
    </row>
    <row r="5972">
      <c r="A5972" s="2" t="s">
        <v>37255</v>
      </c>
      <c r="B5972" s="2" t="s">
        <v>37256</v>
      </c>
      <c r="C5972" s="2" t="s">
        <v>30376</v>
      </c>
      <c r="D5972" s="2" t="s">
        <v>1645</v>
      </c>
      <c r="E5972" s="2" t="s">
        <v>37233</v>
      </c>
      <c r="F5972" s="2" t="s">
        <v>81</v>
      </c>
      <c r="G5972" s="2" t="s">
        <v>37257</v>
      </c>
      <c r="H5972" s="3">
        <v>2.0</v>
      </c>
      <c r="I5972" s="3">
        <v>5.0</v>
      </c>
      <c r="J5972" s="3">
        <v>2.0</v>
      </c>
      <c r="K5972" s="3" t="s">
        <v>31</v>
      </c>
      <c r="L5972" s="4" t="s">
        <v>37258</v>
      </c>
      <c r="M5972" s="2" t="s">
        <v>37259</v>
      </c>
      <c r="N5972" s="2" t="s">
        <v>665</v>
      </c>
      <c r="O5972" s="4" t="s">
        <v>3857</v>
      </c>
      <c r="P5972" s="2" t="s">
        <v>37260</v>
      </c>
      <c r="Q5972" s="2" t="s">
        <v>37261</v>
      </c>
      <c r="R5972" s="2" t="s">
        <v>1420</v>
      </c>
      <c r="S5972" s="4" t="s">
        <v>37262</v>
      </c>
      <c r="T5972" s="2" t="s">
        <v>66</v>
      </c>
      <c r="U5972" s="4" t="s">
        <v>31</v>
      </c>
      <c r="V5972" s="2" t="s">
        <v>37263</v>
      </c>
      <c r="W5972" s="2" t="s">
        <v>37264</v>
      </c>
      <c r="X5972" s="5" t="str">
        <f>HYPERLINK("https://my.pitchbook.com?p=70564-78P","View People Online")</f>
        <v>View People Online</v>
      </c>
    </row>
    <row r="5973">
      <c r="A5973" s="6" t="s">
        <v>37265</v>
      </c>
      <c r="B5973" s="6" t="s">
        <v>37266</v>
      </c>
      <c r="C5973" s="6" t="s">
        <v>1437</v>
      </c>
      <c r="D5973" s="6" t="s">
        <v>37267</v>
      </c>
      <c r="E5973" s="6" t="s">
        <v>37233</v>
      </c>
      <c r="F5973" s="6" t="s">
        <v>5086</v>
      </c>
      <c r="G5973" s="6" t="s">
        <v>37268</v>
      </c>
      <c r="H5973" s="7" t="s">
        <v>31</v>
      </c>
      <c r="I5973" s="7">
        <v>2.0</v>
      </c>
      <c r="J5973" s="7">
        <v>1.0</v>
      </c>
      <c r="K5973" s="7" t="s">
        <v>31</v>
      </c>
      <c r="L5973" s="8" t="s">
        <v>37235</v>
      </c>
      <c r="M5973" s="6" t="s">
        <v>37269</v>
      </c>
      <c r="N5973" s="6" t="s">
        <v>155</v>
      </c>
      <c r="O5973" s="8" t="s">
        <v>156</v>
      </c>
      <c r="P5973" s="6" t="s">
        <v>37237</v>
      </c>
      <c r="Q5973" s="6" t="s">
        <v>31</v>
      </c>
      <c r="R5973" s="6" t="s">
        <v>64</v>
      </c>
      <c r="S5973" s="8" t="s">
        <v>2463</v>
      </c>
      <c r="T5973" s="6" t="s">
        <v>66</v>
      </c>
      <c r="U5973" s="8" t="s">
        <v>31</v>
      </c>
      <c r="V5973" s="6" t="s">
        <v>37270</v>
      </c>
      <c r="W5973" s="6" t="s">
        <v>37233</v>
      </c>
      <c r="X5973" s="9" t="str">
        <f>HYPERLINK("https://my.pitchbook.com?p=342090-01P","View People Online")</f>
        <v>View People Online</v>
      </c>
    </row>
    <row r="5974">
      <c r="A5974" s="10" t="s">
        <v>37271</v>
      </c>
      <c r="B5974" s="10" t="s">
        <v>37272</v>
      </c>
      <c r="C5974" s="10" t="s">
        <v>263</v>
      </c>
      <c r="D5974" s="10" t="s">
        <v>37273</v>
      </c>
      <c r="E5974" s="10" t="s">
        <v>37233</v>
      </c>
      <c r="F5974" s="10" t="s">
        <v>12608</v>
      </c>
      <c r="G5974" s="10" t="s">
        <v>37274</v>
      </c>
      <c r="H5974" s="11" t="s">
        <v>31</v>
      </c>
      <c r="I5974" s="11">
        <v>1.0</v>
      </c>
      <c r="J5974" s="11">
        <v>1.0</v>
      </c>
      <c r="K5974" s="11" t="s">
        <v>31</v>
      </c>
      <c r="L5974" s="12" t="s">
        <v>37235</v>
      </c>
      <c r="M5974" s="10" t="s">
        <v>37275</v>
      </c>
      <c r="N5974" s="10" t="s">
        <v>155</v>
      </c>
      <c r="O5974" s="12" t="s">
        <v>156</v>
      </c>
      <c r="P5974" s="10" t="s">
        <v>37237</v>
      </c>
      <c r="Q5974" s="10" t="s">
        <v>31</v>
      </c>
      <c r="R5974" s="10" t="s">
        <v>64</v>
      </c>
      <c r="S5974" s="12" t="s">
        <v>2463</v>
      </c>
      <c r="T5974" s="10" t="s">
        <v>66</v>
      </c>
      <c r="U5974" s="12" t="s">
        <v>31</v>
      </c>
      <c r="V5974" s="10" t="s">
        <v>12608</v>
      </c>
      <c r="W5974" s="10" t="s">
        <v>37233</v>
      </c>
      <c r="X5974" s="13" t="str">
        <f>HYPERLINK("https://my.pitchbook.com?p=342091-90P","View People Online")</f>
        <v>View People Online</v>
      </c>
    </row>
    <row r="5975">
      <c r="A5975" s="14" t="s">
        <v>37276</v>
      </c>
      <c r="B5975" s="14" t="s">
        <v>37277</v>
      </c>
      <c r="C5975" s="14" t="s">
        <v>15419</v>
      </c>
      <c r="D5975" s="14" t="s">
        <v>4015</v>
      </c>
      <c r="E5975" s="14" t="s">
        <v>37233</v>
      </c>
      <c r="F5975" s="14" t="s">
        <v>825</v>
      </c>
      <c r="G5975" s="14" t="s">
        <v>37278</v>
      </c>
      <c r="H5975" s="15">
        <v>3.0</v>
      </c>
      <c r="I5975" s="15">
        <v>14.0</v>
      </c>
      <c r="J5975" s="15">
        <v>1.0</v>
      </c>
      <c r="K5975" s="15">
        <v>9.0</v>
      </c>
      <c r="L5975" s="16" t="s">
        <v>37235</v>
      </c>
      <c r="M5975" s="14" t="s">
        <v>37279</v>
      </c>
      <c r="N5975" s="14" t="s">
        <v>155</v>
      </c>
      <c r="O5975" s="16" t="s">
        <v>156</v>
      </c>
      <c r="P5975" s="14" t="s">
        <v>37237</v>
      </c>
      <c r="Q5975" s="14" t="s">
        <v>31</v>
      </c>
      <c r="R5975" s="14" t="s">
        <v>64</v>
      </c>
      <c r="S5975" s="16" t="s">
        <v>2463</v>
      </c>
      <c r="T5975" s="14" t="s">
        <v>66</v>
      </c>
      <c r="U5975" s="16" t="s">
        <v>31</v>
      </c>
      <c r="V5975" s="14" t="s">
        <v>37280</v>
      </c>
      <c r="W5975" s="14" t="s">
        <v>37233</v>
      </c>
      <c r="X5975" s="17" t="str">
        <f>HYPERLINK("https://my.pitchbook.com?p=33129-46P","View People Online")</f>
        <v>View People Online</v>
      </c>
    </row>
    <row r="5976">
      <c r="A5976" s="2" t="s">
        <v>37281</v>
      </c>
      <c r="B5976" s="2" t="s">
        <v>37282</v>
      </c>
      <c r="C5976" s="2" t="s">
        <v>4404</v>
      </c>
      <c r="D5976" s="2" t="s">
        <v>21121</v>
      </c>
      <c r="E5976" s="2" t="s">
        <v>37233</v>
      </c>
      <c r="F5976" s="2" t="s">
        <v>825</v>
      </c>
      <c r="G5976" s="2" t="s">
        <v>37283</v>
      </c>
      <c r="H5976" s="3" t="s">
        <v>31</v>
      </c>
      <c r="I5976" s="3">
        <v>2.0</v>
      </c>
      <c r="J5976" s="3">
        <v>2.0</v>
      </c>
      <c r="K5976" s="3" t="s">
        <v>31</v>
      </c>
      <c r="L5976" s="4" t="s">
        <v>37284</v>
      </c>
      <c r="M5976" s="2" t="s">
        <v>37285</v>
      </c>
      <c r="N5976" s="2" t="s">
        <v>155</v>
      </c>
      <c r="O5976" s="4" t="s">
        <v>156</v>
      </c>
      <c r="P5976" s="2" t="s">
        <v>37286</v>
      </c>
      <c r="Q5976" s="2" t="s">
        <v>31757</v>
      </c>
      <c r="R5976" s="2" t="s">
        <v>64</v>
      </c>
      <c r="S5976" s="4" t="s">
        <v>2463</v>
      </c>
      <c r="T5976" s="2" t="s">
        <v>66</v>
      </c>
      <c r="U5976" s="4" t="s">
        <v>31</v>
      </c>
      <c r="V5976" s="2" t="s">
        <v>4406</v>
      </c>
      <c r="W5976" s="2" t="s">
        <v>37287</v>
      </c>
      <c r="X5976" s="5" t="str">
        <f>HYPERLINK("https://my.pitchbook.com?p=313578-37P","View People Online")</f>
        <v>View People Online</v>
      </c>
    </row>
    <row r="5977">
      <c r="A5977" s="6" t="s">
        <v>37288</v>
      </c>
      <c r="B5977" s="6" t="s">
        <v>37289</v>
      </c>
      <c r="C5977" s="6" t="s">
        <v>1356</v>
      </c>
      <c r="D5977" s="6" t="s">
        <v>37290</v>
      </c>
      <c r="E5977" s="6" t="s">
        <v>37233</v>
      </c>
      <c r="F5977" s="6" t="s">
        <v>896</v>
      </c>
      <c r="G5977" s="6" t="s">
        <v>31</v>
      </c>
      <c r="H5977" s="7" t="s">
        <v>31</v>
      </c>
      <c r="I5977" s="7">
        <v>2.0</v>
      </c>
      <c r="J5977" s="7">
        <v>1.0</v>
      </c>
      <c r="K5977" s="7" t="s">
        <v>31</v>
      </c>
      <c r="L5977" s="8" t="s">
        <v>37235</v>
      </c>
      <c r="M5977" s="6" t="s">
        <v>37291</v>
      </c>
      <c r="N5977" s="6" t="s">
        <v>155</v>
      </c>
      <c r="O5977" s="8" t="s">
        <v>156</v>
      </c>
      <c r="P5977" s="6" t="s">
        <v>37237</v>
      </c>
      <c r="Q5977" s="6" t="s">
        <v>31</v>
      </c>
      <c r="R5977" s="6" t="s">
        <v>64</v>
      </c>
      <c r="S5977" s="8" t="s">
        <v>2463</v>
      </c>
      <c r="T5977" s="6" t="s">
        <v>66</v>
      </c>
      <c r="U5977" s="8" t="s">
        <v>31</v>
      </c>
      <c r="V5977" s="6" t="s">
        <v>896</v>
      </c>
      <c r="W5977" s="6" t="s">
        <v>37233</v>
      </c>
      <c r="X5977" s="9" t="str">
        <f>HYPERLINK("https://my.pitchbook.com?p=446443-39P","View People Online")</f>
        <v>View People Online</v>
      </c>
    </row>
    <row r="5978">
      <c r="A5978" s="2" t="s">
        <v>37292</v>
      </c>
      <c r="B5978" s="2" t="s">
        <v>37293</v>
      </c>
      <c r="C5978" s="2" t="s">
        <v>3040</v>
      </c>
      <c r="D5978" s="2" t="s">
        <v>37294</v>
      </c>
      <c r="E5978" s="2" t="s">
        <v>37233</v>
      </c>
      <c r="F5978" s="2" t="s">
        <v>3288</v>
      </c>
      <c r="G5978" s="2" t="s">
        <v>37295</v>
      </c>
      <c r="H5978" s="3" t="s">
        <v>31</v>
      </c>
      <c r="I5978" s="3">
        <v>3.0</v>
      </c>
      <c r="J5978" s="3">
        <v>1.0</v>
      </c>
      <c r="K5978" s="3" t="s">
        <v>31</v>
      </c>
      <c r="L5978" s="4" t="s">
        <v>37235</v>
      </c>
      <c r="M5978" s="2" t="s">
        <v>37296</v>
      </c>
      <c r="N5978" s="2" t="s">
        <v>155</v>
      </c>
      <c r="O5978" s="4" t="s">
        <v>156</v>
      </c>
      <c r="P5978" s="2" t="s">
        <v>37237</v>
      </c>
      <c r="Q5978" s="2" t="s">
        <v>31</v>
      </c>
      <c r="R5978" s="2" t="s">
        <v>64</v>
      </c>
      <c r="S5978" s="4" t="s">
        <v>2463</v>
      </c>
      <c r="T5978" s="2" t="s">
        <v>66</v>
      </c>
      <c r="U5978" s="4" t="s">
        <v>31</v>
      </c>
      <c r="V5978" s="2" t="s">
        <v>37297</v>
      </c>
      <c r="W5978" s="2" t="s">
        <v>37233</v>
      </c>
      <c r="X5978" s="5" t="str">
        <f>HYPERLINK("https://my.pitchbook.com?p=173036-08P","View People Online")</f>
        <v>View People Online</v>
      </c>
    </row>
    <row r="5979">
      <c r="A5979" s="14" t="s">
        <v>37298</v>
      </c>
      <c r="B5979" s="14" t="s">
        <v>37299</v>
      </c>
      <c r="C5979" s="14" t="s">
        <v>28147</v>
      </c>
      <c r="D5979" s="14" t="s">
        <v>8466</v>
      </c>
      <c r="E5979" s="14" t="s">
        <v>37233</v>
      </c>
      <c r="F5979" s="14" t="s">
        <v>2199</v>
      </c>
      <c r="G5979" s="14" t="s">
        <v>37300</v>
      </c>
      <c r="H5979" s="15">
        <v>3.0</v>
      </c>
      <c r="I5979" s="15">
        <v>11.0</v>
      </c>
      <c r="J5979" s="15">
        <v>2.0</v>
      </c>
      <c r="K5979" s="15">
        <v>1.0</v>
      </c>
      <c r="L5979" s="16" t="s">
        <v>37235</v>
      </c>
      <c r="M5979" s="14" t="s">
        <v>31</v>
      </c>
      <c r="N5979" s="14" t="s">
        <v>155</v>
      </c>
      <c r="O5979" s="16" t="s">
        <v>156</v>
      </c>
      <c r="P5979" s="14" t="s">
        <v>37237</v>
      </c>
      <c r="Q5979" s="14" t="s">
        <v>31</v>
      </c>
      <c r="R5979" s="14" t="s">
        <v>64</v>
      </c>
      <c r="S5979" s="16" t="s">
        <v>2463</v>
      </c>
      <c r="T5979" s="14" t="s">
        <v>66</v>
      </c>
      <c r="U5979" s="16" t="s">
        <v>31</v>
      </c>
      <c r="V5979" s="14" t="s">
        <v>37301</v>
      </c>
      <c r="W5979" s="14" t="s">
        <v>37233</v>
      </c>
      <c r="X5979" s="17" t="str">
        <f>HYPERLINK("https://my.pitchbook.com?p=14657-95P","View People Online")</f>
        <v>View People Online</v>
      </c>
    </row>
    <row r="5980">
      <c r="A5980" s="2" t="s">
        <v>37302</v>
      </c>
      <c r="B5980" s="2" t="s">
        <v>37303</v>
      </c>
      <c r="C5980" s="2" t="s">
        <v>18807</v>
      </c>
      <c r="D5980" s="2" t="s">
        <v>37304</v>
      </c>
      <c r="E5980" s="2" t="s">
        <v>37233</v>
      </c>
      <c r="F5980" s="2" t="s">
        <v>221</v>
      </c>
      <c r="G5980" s="2" t="s">
        <v>37305</v>
      </c>
      <c r="H5980" s="3" t="s">
        <v>31</v>
      </c>
      <c r="I5980" s="3">
        <v>1.0</v>
      </c>
      <c r="J5980" s="3">
        <v>1.0</v>
      </c>
      <c r="K5980" s="3" t="s">
        <v>31</v>
      </c>
      <c r="L5980" s="4" t="s">
        <v>37235</v>
      </c>
      <c r="M5980" s="2" t="s">
        <v>37306</v>
      </c>
      <c r="N5980" s="2" t="s">
        <v>155</v>
      </c>
      <c r="O5980" s="4" t="s">
        <v>156</v>
      </c>
      <c r="P5980" s="2" t="s">
        <v>37237</v>
      </c>
      <c r="Q5980" s="2" t="s">
        <v>31</v>
      </c>
      <c r="R5980" s="2" t="s">
        <v>64</v>
      </c>
      <c r="S5980" s="4" t="s">
        <v>2463</v>
      </c>
      <c r="T5980" s="2" t="s">
        <v>66</v>
      </c>
      <c r="U5980" s="4" t="s">
        <v>31</v>
      </c>
      <c r="V5980" s="2" t="s">
        <v>37307</v>
      </c>
      <c r="W5980" s="2" t="s">
        <v>37233</v>
      </c>
      <c r="X5980" s="5" t="str">
        <f>HYPERLINK("https://my.pitchbook.com?p=391103-47P","View People Online")</f>
        <v>View People Online</v>
      </c>
    </row>
    <row r="5981">
      <c r="A5981" s="14" t="s">
        <v>37308</v>
      </c>
      <c r="B5981" s="14" t="s">
        <v>37309</v>
      </c>
      <c r="C5981" s="14" t="s">
        <v>9216</v>
      </c>
      <c r="D5981" s="14" t="s">
        <v>37310</v>
      </c>
      <c r="E5981" s="14" t="s">
        <v>37233</v>
      </c>
      <c r="F5981" s="14" t="s">
        <v>371</v>
      </c>
      <c r="G5981" s="14" t="s">
        <v>37311</v>
      </c>
      <c r="H5981" s="15" t="s">
        <v>31</v>
      </c>
      <c r="I5981" s="15">
        <v>1.0</v>
      </c>
      <c r="J5981" s="15">
        <v>1.0</v>
      </c>
      <c r="K5981" s="15" t="s">
        <v>31</v>
      </c>
      <c r="L5981" s="16" t="s">
        <v>37235</v>
      </c>
      <c r="M5981" s="14" t="s">
        <v>37312</v>
      </c>
      <c r="N5981" s="14" t="s">
        <v>155</v>
      </c>
      <c r="O5981" s="16" t="s">
        <v>156</v>
      </c>
      <c r="P5981" s="14" t="s">
        <v>37237</v>
      </c>
      <c r="Q5981" s="14" t="s">
        <v>31</v>
      </c>
      <c r="R5981" s="14" t="s">
        <v>64</v>
      </c>
      <c r="S5981" s="16" t="s">
        <v>2463</v>
      </c>
      <c r="T5981" s="14" t="s">
        <v>66</v>
      </c>
      <c r="U5981" s="16" t="s">
        <v>31</v>
      </c>
      <c r="V5981" s="14" t="s">
        <v>37313</v>
      </c>
      <c r="W5981" s="14" t="s">
        <v>37233</v>
      </c>
      <c r="X5981" s="17" t="str">
        <f>HYPERLINK("https://my.pitchbook.com?p=391103-74P","View People Online")</f>
        <v>View People Online</v>
      </c>
    </row>
    <row r="5982">
      <c r="A5982" s="2" t="s">
        <v>37314</v>
      </c>
      <c r="B5982" s="2" t="s">
        <v>37315</v>
      </c>
      <c r="C5982" s="2" t="s">
        <v>2283</v>
      </c>
      <c r="D5982" s="2" t="s">
        <v>37316</v>
      </c>
      <c r="E5982" s="2" t="s">
        <v>37233</v>
      </c>
      <c r="F5982" s="2" t="s">
        <v>221</v>
      </c>
      <c r="G5982" s="2" t="s">
        <v>37317</v>
      </c>
      <c r="H5982" s="3" t="s">
        <v>31</v>
      </c>
      <c r="I5982" s="3">
        <v>2.0</v>
      </c>
      <c r="J5982" s="3">
        <v>2.0</v>
      </c>
      <c r="K5982" s="3" t="s">
        <v>31</v>
      </c>
      <c r="L5982" s="4" t="s">
        <v>31</v>
      </c>
      <c r="M5982" s="2" t="s">
        <v>37318</v>
      </c>
      <c r="N5982" s="2" t="s">
        <v>75</v>
      </c>
      <c r="O5982" s="4" t="s">
        <v>76</v>
      </c>
      <c r="P5982" s="2" t="s">
        <v>37319</v>
      </c>
      <c r="Q5982" s="2" t="s">
        <v>31</v>
      </c>
      <c r="R5982" s="2" t="s">
        <v>75</v>
      </c>
      <c r="S5982" s="4" t="s">
        <v>37320</v>
      </c>
      <c r="T5982" s="2" t="s">
        <v>66</v>
      </c>
      <c r="U5982" s="4" t="s">
        <v>31</v>
      </c>
      <c r="V5982" s="2" t="s">
        <v>662</v>
      </c>
      <c r="W5982" s="2" t="s">
        <v>37321</v>
      </c>
      <c r="X5982" s="5" t="str">
        <f>HYPERLINK("https://my.pitchbook.com?p=391105-36P","View People Online")</f>
        <v>View People Online</v>
      </c>
    </row>
    <row r="5983">
      <c r="A5983" s="14" t="s">
        <v>37322</v>
      </c>
      <c r="B5983" s="14" t="s">
        <v>37323</v>
      </c>
      <c r="C5983" s="14" t="s">
        <v>369</v>
      </c>
      <c r="D5983" s="14" t="s">
        <v>37324</v>
      </c>
      <c r="E5983" s="14" t="s">
        <v>37233</v>
      </c>
      <c r="F5983" s="14" t="s">
        <v>896</v>
      </c>
      <c r="G5983" s="14" t="s">
        <v>37325</v>
      </c>
      <c r="H5983" s="15" t="s">
        <v>31</v>
      </c>
      <c r="I5983" s="15">
        <v>2.0</v>
      </c>
      <c r="J5983" s="15">
        <v>1.0</v>
      </c>
      <c r="K5983" s="15" t="s">
        <v>31</v>
      </c>
      <c r="L5983" s="16" t="s">
        <v>37235</v>
      </c>
      <c r="M5983" s="14" t="s">
        <v>37326</v>
      </c>
      <c r="N5983" s="14" t="s">
        <v>155</v>
      </c>
      <c r="O5983" s="16" t="s">
        <v>156</v>
      </c>
      <c r="P5983" s="14" t="s">
        <v>37237</v>
      </c>
      <c r="Q5983" s="14" t="s">
        <v>31</v>
      </c>
      <c r="R5983" s="14" t="s">
        <v>64</v>
      </c>
      <c r="S5983" s="16" t="s">
        <v>2463</v>
      </c>
      <c r="T5983" s="14" t="s">
        <v>66</v>
      </c>
      <c r="U5983" s="16" t="s">
        <v>31</v>
      </c>
      <c r="V5983" s="14" t="s">
        <v>896</v>
      </c>
      <c r="W5983" s="14" t="s">
        <v>37233</v>
      </c>
      <c r="X5983" s="17" t="str">
        <f>HYPERLINK("https://my.pitchbook.com?p=446444-02P","View People Online")</f>
        <v>View People Online</v>
      </c>
    </row>
    <row r="5984">
      <c r="A5984" s="10" t="s">
        <v>37327</v>
      </c>
      <c r="B5984" s="10" t="s">
        <v>37328</v>
      </c>
      <c r="C5984" s="10" t="s">
        <v>382</v>
      </c>
      <c r="D5984" s="10" t="s">
        <v>37329</v>
      </c>
      <c r="E5984" s="10" t="s">
        <v>37233</v>
      </c>
      <c r="F5984" s="10" t="s">
        <v>270</v>
      </c>
      <c r="G5984" s="10" t="s">
        <v>37330</v>
      </c>
      <c r="H5984" s="11">
        <v>2.0</v>
      </c>
      <c r="I5984" s="11">
        <v>3.0</v>
      </c>
      <c r="J5984" s="11">
        <v>1.0</v>
      </c>
      <c r="K5984" s="11" t="s">
        <v>31</v>
      </c>
      <c r="L5984" s="12" t="s">
        <v>37235</v>
      </c>
      <c r="M5984" s="10" t="s">
        <v>37331</v>
      </c>
      <c r="N5984" s="10" t="s">
        <v>155</v>
      </c>
      <c r="O5984" s="12" t="s">
        <v>156</v>
      </c>
      <c r="P5984" s="10" t="s">
        <v>37237</v>
      </c>
      <c r="Q5984" s="10" t="s">
        <v>31</v>
      </c>
      <c r="R5984" s="10" t="s">
        <v>64</v>
      </c>
      <c r="S5984" s="12" t="s">
        <v>2463</v>
      </c>
      <c r="T5984" s="10" t="s">
        <v>66</v>
      </c>
      <c r="U5984" s="12" t="s">
        <v>31</v>
      </c>
      <c r="V5984" s="10" t="s">
        <v>37332</v>
      </c>
      <c r="W5984" s="10" t="s">
        <v>37233</v>
      </c>
      <c r="X5984" s="13" t="str">
        <f>HYPERLINK("https://my.pitchbook.com?p=288293-50P","View People Online")</f>
        <v>View People Online</v>
      </c>
    </row>
    <row r="5985">
      <c r="A5985" s="6" t="s">
        <v>37333</v>
      </c>
      <c r="B5985" s="6" t="s">
        <v>37334</v>
      </c>
      <c r="C5985" s="6" t="s">
        <v>3274</v>
      </c>
      <c r="D5985" s="6" t="s">
        <v>23565</v>
      </c>
      <c r="E5985" s="6" t="s">
        <v>37233</v>
      </c>
      <c r="F5985" s="6" t="s">
        <v>896</v>
      </c>
      <c r="G5985" s="6" t="s">
        <v>37335</v>
      </c>
      <c r="H5985" s="7" t="s">
        <v>31</v>
      </c>
      <c r="I5985" s="7">
        <v>2.0</v>
      </c>
      <c r="J5985" s="7">
        <v>1.0</v>
      </c>
      <c r="K5985" s="7" t="s">
        <v>31</v>
      </c>
      <c r="L5985" s="8" t="s">
        <v>37235</v>
      </c>
      <c r="M5985" s="6" t="s">
        <v>31</v>
      </c>
      <c r="N5985" s="6" t="s">
        <v>155</v>
      </c>
      <c r="O5985" s="8" t="s">
        <v>156</v>
      </c>
      <c r="P5985" s="6" t="s">
        <v>37237</v>
      </c>
      <c r="Q5985" s="6" t="s">
        <v>31</v>
      </c>
      <c r="R5985" s="6" t="s">
        <v>64</v>
      </c>
      <c r="S5985" s="8" t="s">
        <v>2463</v>
      </c>
      <c r="T5985" s="6" t="s">
        <v>66</v>
      </c>
      <c r="U5985" s="8" t="s">
        <v>31</v>
      </c>
      <c r="V5985" s="6" t="s">
        <v>896</v>
      </c>
      <c r="W5985" s="6" t="s">
        <v>37233</v>
      </c>
      <c r="X5985" s="9" t="str">
        <f>HYPERLINK("https://my.pitchbook.com?p=312682-15P","View People Online")</f>
        <v>View People Online</v>
      </c>
    </row>
    <row r="5986">
      <c r="A5986" s="2" t="s">
        <v>37336</v>
      </c>
      <c r="B5986" s="2" t="s">
        <v>37337</v>
      </c>
      <c r="C5986" s="2" t="s">
        <v>37338</v>
      </c>
      <c r="D5986" s="2" t="s">
        <v>37339</v>
      </c>
      <c r="E5986" s="2" t="s">
        <v>37233</v>
      </c>
      <c r="F5986" s="2" t="s">
        <v>1134</v>
      </c>
      <c r="G5986" s="2" t="s">
        <v>37340</v>
      </c>
      <c r="H5986" s="3">
        <v>4.0</v>
      </c>
      <c r="I5986" s="3">
        <v>10.0</v>
      </c>
      <c r="J5986" s="3">
        <v>1.0</v>
      </c>
      <c r="K5986" s="3">
        <v>4.0</v>
      </c>
      <c r="L5986" s="4" t="s">
        <v>37235</v>
      </c>
      <c r="M5986" s="2" t="s">
        <v>37341</v>
      </c>
      <c r="N5986" s="2" t="s">
        <v>155</v>
      </c>
      <c r="O5986" s="4" t="s">
        <v>156</v>
      </c>
      <c r="P5986" s="2" t="s">
        <v>37237</v>
      </c>
      <c r="Q5986" s="2" t="s">
        <v>31</v>
      </c>
      <c r="R5986" s="2" t="s">
        <v>64</v>
      </c>
      <c r="S5986" s="4" t="s">
        <v>2463</v>
      </c>
      <c r="T5986" s="2" t="s">
        <v>66</v>
      </c>
      <c r="U5986" s="4" t="s">
        <v>28583</v>
      </c>
      <c r="V5986" s="2" t="s">
        <v>37342</v>
      </c>
      <c r="W5986" s="2" t="s">
        <v>37233</v>
      </c>
      <c r="X5986" s="5" t="str">
        <f>HYPERLINK("https://my.pitchbook.com?p=206348-41P","View People Online")</f>
        <v>View People Online</v>
      </c>
    </row>
    <row r="5987">
      <c r="A5987" s="14" t="s">
        <v>37343</v>
      </c>
      <c r="B5987" s="14" t="s">
        <v>37344</v>
      </c>
      <c r="C5987" s="14" t="s">
        <v>2451</v>
      </c>
      <c r="D5987" s="14" t="s">
        <v>37345</v>
      </c>
      <c r="E5987" s="14" t="s">
        <v>37233</v>
      </c>
      <c r="F5987" s="14" t="s">
        <v>3823</v>
      </c>
      <c r="G5987" s="14" t="s">
        <v>37346</v>
      </c>
      <c r="H5987" s="15" t="s">
        <v>31</v>
      </c>
      <c r="I5987" s="15">
        <v>2.0</v>
      </c>
      <c r="J5987" s="15">
        <v>1.0</v>
      </c>
      <c r="K5987" s="15" t="s">
        <v>31</v>
      </c>
      <c r="L5987" s="16" t="s">
        <v>37235</v>
      </c>
      <c r="M5987" s="14" t="s">
        <v>37347</v>
      </c>
      <c r="N5987" s="14" t="s">
        <v>155</v>
      </c>
      <c r="O5987" s="16" t="s">
        <v>156</v>
      </c>
      <c r="P5987" s="14" t="s">
        <v>37237</v>
      </c>
      <c r="Q5987" s="14" t="s">
        <v>31</v>
      </c>
      <c r="R5987" s="14" t="s">
        <v>64</v>
      </c>
      <c r="S5987" s="16" t="s">
        <v>2463</v>
      </c>
      <c r="T5987" s="14" t="s">
        <v>66</v>
      </c>
      <c r="U5987" s="16" t="s">
        <v>31</v>
      </c>
      <c r="V5987" s="14" t="s">
        <v>37348</v>
      </c>
      <c r="W5987" s="14" t="s">
        <v>37233</v>
      </c>
      <c r="X5987" s="17" t="str">
        <f>HYPERLINK("https://my.pitchbook.com?p=342209-53P","View People Online")</f>
        <v>View People Online</v>
      </c>
    </row>
    <row r="5988">
      <c r="A5988" s="10" t="s">
        <v>37349</v>
      </c>
      <c r="B5988" s="10" t="s">
        <v>37350</v>
      </c>
      <c r="C5988" s="10" t="s">
        <v>12457</v>
      </c>
      <c r="D5988" s="10" t="s">
        <v>37351</v>
      </c>
      <c r="E5988" s="10" t="s">
        <v>37233</v>
      </c>
      <c r="F5988" s="10" t="s">
        <v>221</v>
      </c>
      <c r="G5988" s="10" t="s">
        <v>37352</v>
      </c>
      <c r="H5988" s="11" t="s">
        <v>31</v>
      </c>
      <c r="I5988" s="11">
        <v>1.0</v>
      </c>
      <c r="J5988" s="11">
        <v>1.0</v>
      </c>
      <c r="K5988" s="11" t="s">
        <v>31</v>
      </c>
      <c r="L5988" s="12" t="s">
        <v>31</v>
      </c>
      <c r="M5988" s="10" t="s">
        <v>37353</v>
      </c>
      <c r="N5988" s="10" t="s">
        <v>75</v>
      </c>
      <c r="O5988" s="12" t="s">
        <v>76</v>
      </c>
      <c r="P5988" s="10" t="s">
        <v>37354</v>
      </c>
      <c r="Q5988" s="10" t="s">
        <v>37355</v>
      </c>
      <c r="R5988" s="10" t="s">
        <v>75</v>
      </c>
      <c r="S5988" s="12" t="s">
        <v>28963</v>
      </c>
      <c r="T5988" s="10" t="s">
        <v>66</v>
      </c>
      <c r="U5988" s="12" t="s">
        <v>31</v>
      </c>
      <c r="V5988" s="10" t="s">
        <v>37356</v>
      </c>
      <c r="W5988" s="10" t="s">
        <v>37233</v>
      </c>
      <c r="X5988" s="13" t="str">
        <f>HYPERLINK("https://my.pitchbook.com?p=371139-58P","View People Online")</f>
        <v>View People Online</v>
      </c>
    </row>
    <row r="5989">
      <c r="A5989" s="6" t="s">
        <v>37357</v>
      </c>
      <c r="B5989" s="6" t="s">
        <v>37358</v>
      </c>
      <c r="C5989" s="6" t="s">
        <v>1830</v>
      </c>
      <c r="D5989" s="6" t="s">
        <v>37359</v>
      </c>
      <c r="E5989" s="6" t="s">
        <v>37233</v>
      </c>
      <c r="F5989" s="6" t="s">
        <v>2590</v>
      </c>
      <c r="G5989" s="6" t="s">
        <v>37360</v>
      </c>
      <c r="H5989" s="7">
        <v>1.0</v>
      </c>
      <c r="I5989" s="7">
        <v>3.0</v>
      </c>
      <c r="J5989" s="7">
        <v>1.0</v>
      </c>
      <c r="K5989" s="7">
        <v>1.0</v>
      </c>
      <c r="L5989" s="8" t="s">
        <v>37235</v>
      </c>
      <c r="M5989" s="6" t="s">
        <v>37361</v>
      </c>
      <c r="N5989" s="6" t="s">
        <v>155</v>
      </c>
      <c r="O5989" s="8" t="s">
        <v>156</v>
      </c>
      <c r="P5989" s="6" t="s">
        <v>37237</v>
      </c>
      <c r="Q5989" s="6" t="s">
        <v>31</v>
      </c>
      <c r="R5989" s="6" t="s">
        <v>64</v>
      </c>
      <c r="S5989" s="8" t="s">
        <v>2463</v>
      </c>
      <c r="T5989" s="6" t="s">
        <v>66</v>
      </c>
      <c r="U5989" s="8" t="s">
        <v>31</v>
      </c>
      <c r="V5989" s="6" t="s">
        <v>37362</v>
      </c>
      <c r="W5989" s="6" t="s">
        <v>37233</v>
      </c>
      <c r="X5989" s="9" t="str">
        <f>HYPERLINK("https://my.pitchbook.com?p=121415-14P","View People Online")</f>
        <v>View People Online</v>
      </c>
    </row>
    <row r="5990">
      <c r="A5990" s="2" t="s">
        <v>37363</v>
      </c>
      <c r="B5990" s="2" t="s">
        <v>37364</v>
      </c>
      <c r="C5990" s="2" t="s">
        <v>5574</v>
      </c>
      <c r="D5990" s="2" t="s">
        <v>37365</v>
      </c>
      <c r="E5990" s="2" t="s">
        <v>37233</v>
      </c>
      <c r="F5990" s="2" t="s">
        <v>221</v>
      </c>
      <c r="G5990" s="2" t="s">
        <v>37366</v>
      </c>
      <c r="H5990" s="3" t="s">
        <v>31</v>
      </c>
      <c r="I5990" s="3">
        <v>1.0</v>
      </c>
      <c r="J5990" s="3">
        <v>1.0</v>
      </c>
      <c r="K5990" s="3" t="s">
        <v>31</v>
      </c>
      <c r="L5990" s="4" t="s">
        <v>37235</v>
      </c>
      <c r="M5990" s="2" t="s">
        <v>37367</v>
      </c>
      <c r="N5990" s="2" t="s">
        <v>155</v>
      </c>
      <c r="O5990" s="4" t="s">
        <v>156</v>
      </c>
      <c r="P5990" s="2" t="s">
        <v>37237</v>
      </c>
      <c r="Q5990" s="2" t="s">
        <v>31</v>
      </c>
      <c r="R5990" s="2" t="s">
        <v>64</v>
      </c>
      <c r="S5990" s="4" t="s">
        <v>2463</v>
      </c>
      <c r="T5990" s="2" t="s">
        <v>66</v>
      </c>
      <c r="U5990" s="4" t="s">
        <v>31</v>
      </c>
      <c r="V5990" s="2" t="s">
        <v>37307</v>
      </c>
      <c r="W5990" s="2" t="s">
        <v>37233</v>
      </c>
      <c r="X5990" s="5" t="str">
        <f>HYPERLINK("https://my.pitchbook.com?p=284369-77P","View People Online")</f>
        <v>View People Online</v>
      </c>
    </row>
    <row r="5991">
      <c r="A5991" s="6" t="s">
        <v>37368</v>
      </c>
      <c r="B5991" s="6" t="s">
        <v>37369</v>
      </c>
      <c r="C5991" s="6" t="s">
        <v>37370</v>
      </c>
      <c r="D5991" s="6" t="s">
        <v>37371</v>
      </c>
      <c r="E5991" s="6" t="s">
        <v>37233</v>
      </c>
      <c r="F5991" s="6" t="s">
        <v>1134</v>
      </c>
      <c r="G5991" s="6" t="s">
        <v>37372</v>
      </c>
      <c r="H5991" s="7">
        <v>8.0</v>
      </c>
      <c r="I5991" s="7">
        <v>28.0</v>
      </c>
      <c r="J5991" s="7">
        <v>1.0</v>
      </c>
      <c r="K5991" s="7">
        <v>17.0</v>
      </c>
      <c r="L5991" s="8" t="s">
        <v>37373</v>
      </c>
      <c r="M5991" s="6" t="s">
        <v>37374</v>
      </c>
      <c r="N5991" s="6" t="s">
        <v>155</v>
      </c>
      <c r="O5991" s="8" t="s">
        <v>156</v>
      </c>
      <c r="P5991" s="6" t="s">
        <v>37237</v>
      </c>
      <c r="Q5991" s="6" t="s">
        <v>31</v>
      </c>
      <c r="R5991" s="6" t="s">
        <v>64</v>
      </c>
      <c r="S5991" s="8" t="s">
        <v>2463</v>
      </c>
      <c r="T5991" s="6" t="s">
        <v>66</v>
      </c>
      <c r="U5991" s="8" t="s">
        <v>31</v>
      </c>
      <c r="V5991" s="6" t="s">
        <v>37342</v>
      </c>
      <c r="W5991" s="6" t="s">
        <v>37233</v>
      </c>
      <c r="X5991" s="9" t="str">
        <f>HYPERLINK("https://my.pitchbook.com?p=139830-49P","View People Online")</f>
        <v>View People Online</v>
      </c>
    </row>
    <row r="5992">
      <c r="A5992" s="10" t="s">
        <v>37375</v>
      </c>
      <c r="B5992" s="10" t="s">
        <v>37376</v>
      </c>
      <c r="C5992" s="10" t="s">
        <v>237</v>
      </c>
      <c r="D5992" s="10" t="s">
        <v>3570</v>
      </c>
      <c r="E5992" s="10" t="s">
        <v>37377</v>
      </c>
      <c r="F5992" s="10" t="s">
        <v>5295</v>
      </c>
      <c r="G5992" s="10" t="s">
        <v>37378</v>
      </c>
      <c r="H5992" s="11" t="s">
        <v>31</v>
      </c>
      <c r="I5992" s="11">
        <v>1.0</v>
      </c>
      <c r="J5992" s="11">
        <v>1.0</v>
      </c>
      <c r="K5992" s="11" t="s">
        <v>31</v>
      </c>
      <c r="L5992" s="12" t="s">
        <v>37379</v>
      </c>
      <c r="M5992" s="10" t="s">
        <v>37380</v>
      </c>
      <c r="N5992" s="10" t="s">
        <v>1442</v>
      </c>
      <c r="O5992" s="12" t="s">
        <v>1443</v>
      </c>
      <c r="P5992" s="10" t="s">
        <v>37381</v>
      </c>
      <c r="Q5992" s="10" t="s">
        <v>31</v>
      </c>
      <c r="R5992" s="10" t="s">
        <v>1277</v>
      </c>
      <c r="S5992" s="12" t="s">
        <v>37382</v>
      </c>
      <c r="T5992" s="10" t="s">
        <v>66</v>
      </c>
      <c r="U5992" s="12" t="s">
        <v>31</v>
      </c>
      <c r="V5992" s="10" t="s">
        <v>37383</v>
      </c>
      <c r="W5992" s="10" t="s">
        <v>37377</v>
      </c>
      <c r="X5992" s="13" t="str">
        <f>HYPERLINK("https://my.pitchbook.com?p=442862-11P","View People Online")</f>
        <v>View People Online</v>
      </c>
    </row>
    <row r="5993">
      <c r="A5993" s="14" t="s">
        <v>37384</v>
      </c>
      <c r="B5993" s="14" t="s">
        <v>37385</v>
      </c>
      <c r="C5993" s="14" t="s">
        <v>37386</v>
      </c>
      <c r="D5993" s="14" t="s">
        <v>37387</v>
      </c>
      <c r="E5993" s="14" t="s">
        <v>37377</v>
      </c>
      <c r="F5993" s="14" t="s">
        <v>548</v>
      </c>
      <c r="G5993" s="14" t="s">
        <v>37388</v>
      </c>
      <c r="H5993" s="15" t="s">
        <v>31</v>
      </c>
      <c r="I5993" s="15">
        <v>1.0</v>
      </c>
      <c r="J5993" s="15">
        <v>1.0</v>
      </c>
      <c r="K5993" s="15" t="s">
        <v>31</v>
      </c>
      <c r="L5993" s="16" t="s">
        <v>37389</v>
      </c>
      <c r="M5993" s="14" t="s">
        <v>37390</v>
      </c>
      <c r="N5993" s="14" t="s">
        <v>37391</v>
      </c>
      <c r="O5993" s="16" t="s">
        <v>37392</v>
      </c>
      <c r="P5993" s="14" t="s">
        <v>37393</v>
      </c>
      <c r="Q5993" s="14" t="s">
        <v>37394</v>
      </c>
      <c r="R5993" s="14" t="s">
        <v>31</v>
      </c>
      <c r="S5993" s="16" t="s">
        <v>31</v>
      </c>
      <c r="T5993" s="14" t="s">
        <v>1209</v>
      </c>
      <c r="U5993" s="16" t="s">
        <v>31</v>
      </c>
      <c r="V5993" s="14" t="s">
        <v>37395</v>
      </c>
      <c r="W5993" s="14" t="s">
        <v>37377</v>
      </c>
      <c r="X5993" s="17" t="str">
        <f>HYPERLINK("https://my.pitchbook.com?p=339976-00P","View People Online")</f>
        <v>View People Online</v>
      </c>
    </row>
    <row r="5994">
      <c r="A5994" s="10" t="s">
        <v>37396</v>
      </c>
      <c r="B5994" s="10" t="s">
        <v>37397</v>
      </c>
      <c r="C5994" s="10" t="s">
        <v>23634</v>
      </c>
      <c r="D5994" s="10" t="s">
        <v>37398</v>
      </c>
      <c r="E5994" s="10" t="s">
        <v>37377</v>
      </c>
      <c r="F5994" s="10" t="s">
        <v>583</v>
      </c>
      <c r="G5994" s="10" t="s">
        <v>37399</v>
      </c>
      <c r="H5994" s="11">
        <v>3.0</v>
      </c>
      <c r="I5994" s="11">
        <v>5.0</v>
      </c>
      <c r="J5994" s="11">
        <v>1.0</v>
      </c>
      <c r="K5994" s="11">
        <v>1.0</v>
      </c>
      <c r="L5994" s="12" t="s">
        <v>37379</v>
      </c>
      <c r="M5994" s="10" t="s">
        <v>37400</v>
      </c>
      <c r="N5994" s="10" t="s">
        <v>1442</v>
      </c>
      <c r="O5994" s="12" t="s">
        <v>1443</v>
      </c>
      <c r="P5994" s="10" t="s">
        <v>37381</v>
      </c>
      <c r="Q5994" s="10" t="s">
        <v>31</v>
      </c>
      <c r="R5994" s="10" t="s">
        <v>1277</v>
      </c>
      <c r="S5994" s="12" t="s">
        <v>37382</v>
      </c>
      <c r="T5994" s="10" t="s">
        <v>66</v>
      </c>
      <c r="U5994" s="12" t="s">
        <v>31</v>
      </c>
      <c r="V5994" s="10" t="s">
        <v>37401</v>
      </c>
      <c r="W5994" s="10" t="s">
        <v>37377</v>
      </c>
      <c r="X5994" s="13" t="str">
        <f>HYPERLINK("https://my.pitchbook.com?p=14489-47P","View People Online")</f>
        <v>View People Online</v>
      </c>
    </row>
    <row r="5995">
      <c r="A5995" s="14" t="s">
        <v>37402</v>
      </c>
      <c r="B5995" s="14" t="s">
        <v>37403</v>
      </c>
      <c r="C5995" s="14" t="s">
        <v>25787</v>
      </c>
      <c r="D5995" s="14" t="s">
        <v>37404</v>
      </c>
      <c r="E5995" s="14" t="s">
        <v>37377</v>
      </c>
      <c r="F5995" s="14" t="s">
        <v>548</v>
      </c>
      <c r="G5995" s="14" t="s">
        <v>37405</v>
      </c>
      <c r="H5995" s="15" t="s">
        <v>31</v>
      </c>
      <c r="I5995" s="15">
        <v>1.0</v>
      </c>
      <c r="J5995" s="15">
        <v>1.0</v>
      </c>
      <c r="K5995" s="15" t="s">
        <v>31</v>
      </c>
      <c r="L5995" s="16" t="s">
        <v>37406</v>
      </c>
      <c r="M5995" s="14" t="s">
        <v>37407</v>
      </c>
      <c r="N5995" s="14" t="s">
        <v>37408</v>
      </c>
      <c r="O5995" s="16" t="s">
        <v>37409</v>
      </c>
      <c r="P5995" s="14" t="s">
        <v>37410</v>
      </c>
      <c r="Q5995" s="14" t="s">
        <v>37411</v>
      </c>
      <c r="R5995" s="14" t="s">
        <v>31</v>
      </c>
      <c r="S5995" s="16" t="s">
        <v>31</v>
      </c>
      <c r="T5995" s="14" t="s">
        <v>1845</v>
      </c>
      <c r="U5995" s="16" t="s">
        <v>31</v>
      </c>
      <c r="V5995" s="14" t="s">
        <v>37412</v>
      </c>
      <c r="W5995" s="14" t="s">
        <v>37377</v>
      </c>
      <c r="X5995" s="17" t="str">
        <f>HYPERLINK("https://my.pitchbook.com?p=146022-31P","View People Online")</f>
        <v>View People Online</v>
      </c>
    </row>
    <row r="5996">
      <c r="A5996" s="2" t="s">
        <v>37413</v>
      </c>
      <c r="B5996" s="2" t="s">
        <v>37414</v>
      </c>
      <c r="C5996" s="2" t="s">
        <v>37415</v>
      </c>
      <c r="D5996" s="2" t="s">
        <v>37416</v>
      </c>
      <c r="E5996" s="2" t="s">
        <v>37377</v>
      </c>
      <c r="F5996" s="2" t="s">
        <v>548</v>
      </c>
      <c r="G5996" s="2" t="s">
        <v>37417</v>
      </c>
      <c r="H5996" s="3">
        <v>2.0</v>
      </c>
      <c r="I5996" s="3">
        <v>3.0</v>
      </c>
      <c r="J5996" s="3">
        <v>1.0</v>
      </c>
      <c r="K5996" s="3" t="s">
        <v>31</v>
      </c>
      <c r="L5996" s="4" t="s">
        <v>37379</v>
      </c>
      <c r="M5996" s="2" t="s">
        <v>37418</v>
      </c>
      <c r="N5996" s="2" t="s">
        <v>1442</v>
      </c>
      <c r="O5996" s="4" t="s">
        <v>1443</v>
      </c>
      <c r="P5996" s="2" t="s">
        <v>37381</v>
      </c>
      <c r="Q5996" s="2" t="s">
        <v>31</v>
      </c>
      <c r="R5996" s="2" t="s">
        <v>1277</v>
      </c>
      <c r="S5996" s="4" t="s">
        <v>37382</v>
      </c>
      <c r="T5996" s="2" t="s">
        <v>66</v>
      </c>
      <c r="U5996" s="4" t="s">
        <v>31</v>
      </c>
      <c r="V5996" s="2" t="s">
        <v>37419</v>
      </c>
      <c r="W5996" s="2" t="s">
        <v>37377</v>
      </c>
      <c r="X5996" s="5" t="str">
        <f>HYPERLINK("https://my.pitchbook.com?p=195240-97P","View People Online")</f>
        <v>View People Online</v>
      </c>
    </row>
    <row r="5997">
      <c r="A5997" s="14" t="s">
        <v>37420</v>
      </c>
      <c r="B5997" s="14" t="s">
        <v>37421</v>
      </c>
      <c r="C5997" s="14" t="s">
        <v>10936</v>
      </c>
      <c r="D5997" s="14" t="s">
        <v>37422</v>
      </c>
      <c r="E5997" s="14" t="s">
        <v>37377</v>
      </c>
      <c r="F5997" s="14" t="s">
        <v>502</v>
      </c>
      <c r="G5997" s="14" t="s">
        <v>37423</v>
      </c>
      <c r="H5997" s="15" t="s">
        <v>31</v>
      </c>
      <c r="I5997" s="15">
        <v>1.0</v>
      </c>
      <c r="J5997" s="15">
        <v>1.0</v>
      </c>
      <c r="K5997" s="15" t="s">
        <v>31</v>
      </c>
      <c r="L5997" s="16" t="s">
        <v>37424</v>
      </c>
      <c r="M5997" s="14" t="s">
        <v>37425</v>
      </c>
      <c r="N5997" s="14" t="s">
        <v>1442</v>
      </c>
      <c r="O5997" s="16" t="s">
        <v>1443</v>
      </c>
      <c r="P5997" s="14" t="s">
        <v>37381</v>
      </c>
      <c r="Q5997" s="14" t="s">
        <v>31</v>
      </c>
      <c r="R5997" s="14" t="s">
        <v>1277</v>
      </c>
      <c r="S5997" s="16" t="s">
        <v>37382</v>
      </c>
      <c r="T5997" s="14" t="s">
        <v>66</v>
      </c>
      <c r="U5997" s="16" t="s">
        <v>31</v>
      </c>
      <c r="V5997" s="14" t="s">
        <v>502</v>
      </c>
      <c r="W5997" s="14" t="s">
        <v>37377</v>
      </c>
      <c r="X5997" s="17" t="str">
        <f>HYPERLINK("https://my.pitchbook.com?p=37948-15P","View People Online")</f>
        <v>View People Online</v>
      </c>
    </row>
    <row r="5998">
      <c r="A5998" s="2" t="s">
        <v>37426</v>
      </c>
      <c r="B5998" s="2" t="s">
        <v>37427</v>
      </c>
      <c r="C5998" s="2" t="s">
        <v>285</v>
      </c>
      <c r="D5998" s="2" t="s">
        <v>4314</v>
      </c>
      <c r="E5998" s="2" t="s">
        <v>37377</v>
      </c>
      <c r="F5998" s="2" t="s">
        <v>29</v>
      </c>
      <c r="G5998" s="2" t="s">
        <v>37428</v>
      </c>
      <c r="H5998" s="3">
        <v>2.0</v>
      </c>
      <c r="I5998" s="3">
        <v>4.0</v>
      </c>
      <c r="J5998" s="3">
        <v>1.0</v>
      </c>
      <c r="K5998" s="3">
        <v>1.0</v>
      </c>
      <c r="L5998" s="4" t="s">
        <v>37379</v>
      </c>
      <c r="M5998" s="2" t="s">
        <v>37429</v>
      </c>
      <c r="N5998" s="2" t="s">
        <v>1442</v>
      </c>
      <c r="O5998" s="4" t="s">
        <v>1443</v>
      </c>
      <c r="P5998" s="2" t="s">
        <v>37381</v>
      </c>
      <c r="Q5998" s="2" t="s">
        <v>31</v>
      </c>
      <c r="R5998" s="2" t="s">
        <v>1277</v>
      </c>
      <c r="S5998" s="4" t="s">
        <v>37382</v>
      </c>
      <c r="T5998" s="2" t="s">
        <v>66</v>
      </c>
      <c r="U5998" s="4" t="s">
        <v>31</v>
      </c>
      <c r="V5998" s="2" t="s">
        <v>29</v>
      </c>
      <c r="W5998" s="2" t="s">
        <v>37377</v>
      </c>
      <c r="X5998" s="5" t="str">
        <f>HYPERLINK("https://my.pitchbook.com?p=183339-91P","View People Online")</f>
        <v>View People Online</v>
      </c>
    </row>
    <row r="5999">
      <c r="A5999" s="14" t="s">
        <v>37430</v>
      </c>
      <c r="B5999" s="14" t="s">
        <v>37431</v>
      </c>
      <c r="C5999" s="14" t="s">
        <v>285</v>
      </c>
      <c r="D5999" s="14" t="s">
        <v>16113</v>
      </c>
      <c r="E5999" s="14" t="s">
        <v>37377</v>
      </c>
      <c r="F5999" s="14" t="s">
        <v>583</v>
      </c>
      <c r="G5999" s="14" t="s">
        <v>37432</v>
      </c>
      <c r="H5999" s="15" t="s">
        <v>31</v>
      </c>
      <c r="I5999" s="15">
        <v>1.0</v>
      </c>
      <c r="J5999" s="15">
        <v>1.0</v>
      </c>
      <c r="K5999" s="15" t="s">
        <v>31</v>
      </c>
      <c r="L5999" s="16" t="s">
        <v>37379</v>
      </c>
      <c r="M5999" s="14" t="s">
        <v>37433</v>
      </c>
      <c r="N5999" s="14" t="s">
        <v>1442</v>
      </c>
      <c r="O5999" s="16" t="s">
        <v>1443</v>
      </c>
      <c r="P5999" s="14" t="s">
        <v>37381</v>
      </c>
      <c r="Q5999" s="14" t="s">
        <v>31</v>
      </c>
      <c r="R5999" s="14" t="s">
        <v>1277</v>
      </c>
      <c r="S5999" s="16" t="s">
        <v>37382</v>
      </c>
      <c r="T5999" s="14" t="s">
        <v>66</v>
      </c>
      <c r="U5999" s="16" t="s">
        <v>31</v>
      </c>
      <c r="V5999" s="14" t="s">
        <v>37434</v>
      </c>
      <c r="W5999" s="14" t="s">
        <v>37377</v>
      </c>
      <c r="X5999" s="17" t="str">
        <f>HYPERLINK("https://my.pitchbook.com?p=51853-24P","View People Online")</f>
        <v>View People Online</v>
      </c>
    </row>
    <row r="6000">
      <c r="A6000" s="10" t="s">
        <v>37435</v>
      </c>
      <c r="B6000" s="10" t="s">
        <v>37436</v>
      </c>
      <c r="C6000" s="10" t="s">
        <v>4943</v>
      </c>
      <c r="D6000" s="10" t="s">
        <v>37437</v>
      </c>
      <c r="E6000" s="10" t="s">
        <v>37377</v>
      </c>
      <c r="F6000" s="10" t="s">
        <v>548</v>
      </c>
      <c r="G6000" s="10" t="s">
        <v>37438</v>
      </c>
      <c r="H6000" s="11" t="s">
        <v>31</v>
      </c>
      <c r="I6000" s="11">
        <v>2.0</v>
      </c>
      <c r="J6000" s="11">
        <v>1.0</v>
      </c>
      <c r="K6000" s="11">
        <v>1.0</v>
      </c>
      <c r="L6000" s="12" t="s">
        <v>37379</v>
      </c>
      <c r="M6000" s="10" t="s">
        <v>37439</v>
      </c>
      <c r="N6000" s="10" t="s">
        <v>1442</v>
      </c>
      <c r="O6000" s="12" t="s">
        <v>1443</v>
      </c>
      <c r="P6000" s="10" t="s">
        <v>37381</v>
      </c>
      <c r="Q6000" s="10" t="s">
        <v>31</v>
      </c>
      <c r="R6000" s="10" t="s">
        <v>1277</v>
      </c>
      <c r="S6000" s="12" t="s">
        <v>37382</v>
      </c>
      <c r="T6000" s="10" t="s">
        <v>66</v>
      </c>
      <c r="U6000" s="12" t="s">
        <v>31</v>
      </c>
      <c r="V6000" s="10" t="s">
        <v>37440</v>
      </c>
      <c r="W6000" s="10" t="s">
        <v>37377</v>
      </c>
      <c r="X6000" s="13" t="str">
        <f>HYPERLINK("https://my.pitchbook.com?p=269402-05P","View People Online")</f>
        <v>View People Online</v>
      </c>
    </row>
    <row r="6001">
      <c r="A6001" s="14" t="s">
        <v>37441</v>
      </c>
      <c r="B6001" s="14" t="s">
        <v>37442</v>
      </c>
      <c r="C6001" s="14" t="s">
        <v>84</v>
      </c>
      <c r="D6001" s="14" t="s">
        <v>37443</v>
      </c>
      <c r="E6001" s="14" t="s">
        <v>37377</v>
      </c>
      <c r="F6001" s="14" t="s">
        <v>548</v>
      </c>
      <c r="G6001" s="14" t="s">
        <v>37444</v>
      </c>
      <c r="H6001" s="15" t="s">
        <v>31</v>
      </c>
      <c r="I6001" s="15">
        <v>1.0</v>
      </c>
      <c r="J6001" s="15">
        <v>1.0</v>
      </c>
      <c r="K6001" s="15" t="s">
        <v>31</v>
      </c>
      <c r="L6001" s="16" t="s">
        <v>37445</v>
      </c>
      <c r="M6001" s="14" t="s">
        <v>37446</v>
      </c>
      <c r="N6001" s="14" t="s">
        <v>1442</v>
      </c>
      <c r="O6001" s="16" t="s">
        <v>1443</v>
      </c>
      <c r="P6001" s="14" t="s">
        <v>37381</v>
      </c>
      <c r="Q6001" s="14" t="s">
        <v>31</v>
      </c>
      <c r="R6001" s="14" t="s">
        <v>1277</v>
      </c>
      <c r="S6001" s="16" t="s">
        <v>37382</v>
      </c>
      <c r="T6001" s="14" t="s">
        <v>66</v>
      </c>
      <c r="U6001" s="16" t="s">
        <v>31</v>
      </c>
      <c r="V6001" s="14" t="s">
        <v>37447</v>
      </c>
      <c r="W6001" s="14" t="s">
        <v>37377</v>
      </c>
      <c r="X6001" s="17" t="str">
        <f>HYPERLINK("https://my.pitchbook.com?p=146020-60P","View People Online")</f>
        <v>View People Online</v>
      </c>
    </row>
    <row r="6002">
      <c r="A6002" s="10" t="s">
        <v>37448</v>
      </c>
      <c r="B6002" s="10" t="s">
        <v>37449</v>
      </c>
      <c r="C6002" s="10" t="s">
        <v>1449</v>
      </c>
      <c r="D6002" s="10" t="s">
        <v>37450</v>
      </c>
      <c r="E6002" s="10" t="s">
        <v>37377</v>
      </c>
      <c r="F6002" s="10" t="s">
        <v>3429</v>
      </c>
      <c r="G6002" s="10" t="s">
        <v>37451</v>
      </c>
      <c r="H6002" s="11">
        <v>1.0</v>
      </c>
      <c r="I6002" s="11">
        <v>2.0</v>
      </c>
      <c r="J6002" s="11">
        <v>1.0</v>
      </c>
      <c r="K6002" s="11" t="s">
        <v>31</v>
      </c>
      <c r="L6002" s="12" t="s">
        <v>37379</v>
      </c>
      <c r="M6002" s="10" t="s">
        <v>37452</v>
      </c>
      <c r="N6002" s="10" t="s">
        <v>1442</v>
      </c>
      <c r="O6002" s="12" t="s">
        <v>1443</v>
      </c>
      <c r="P6002" s="10" t="s">
        <v>37381</v>
      </c>
      <c r="Q6002" s="10" t="s">
        <v>31</v>
      </c>
      <c r="R6002" s="10" t="s">
        <v>1277</v>
      </c>
      <c r="S6002" s="12" t="s">
        <v>37382</v>
      </c>
      <c r="T6002" s="10" t="s">
        <v>66</v>
      </c>
      <c r="U6002" s="12" t="s">
        <v>31</v>
      </c>
      <c r="V6002" s="10" t="s">
        <v>37453</v>
      </c>
      <c r="W6002" s="10" t="s">
        <v>37377</v>
      </c>
      <c r="X6002" s="13" t="str">
        <f>HYPERLINK("https://my.pitchbook.com?p=220001-77P","View People Online")</f>
        <v>View People Online</v>
      </c>
    </row>
    <row r="6003">
      <c r="A6003" s="6" t="s">
        <v>37454</v>
      </c>
      <c r="B6003" s="6" t="s">
        <v>37455</v>
      </c>
      <c r="C6003" s="6" t="s">
        <v>17044</v>
      </c>
      <c r="D6003" s="6" t="s">
        <v>21699</v>
      </c>
      <c r="E6003" s="6" t="s">
        <v>37377</v>
      </c>
      <c r="F6003" s="6" t="s">
        <v>548</v>
      </c>
      <c r="G6003" s="6" t="s">
        <v>37456</v>
      </c>
      <c r="H6003" s="7" t="s">
        <v>31</v>
      </c>
      <c r="I6003" s="7">
        <v>1.0</v>
      </c>
      <c r="J6003" s="7">
        <v>1.0</v>
      </c>
      <c r="K6003" s="7" t="s">
        <v>31</v>
      </c>
      <c r="L6003" s="8" t="s">
        <v>37389</v>
      </c>
      <c r="M6003" s="6" t="s">
        <v>37457</v>
      </c>
      <c r="N6003" s="6" t="s">
        <v>37391</v>
      </c>
      <c r="O6003" s="8" t="s">
        <v>37392</v>
      </c>
      <c r="P6003" s="6" t="s">
        <v>37393</v>
      </c>
      <c r="Q6003" s="6" t="s">
        <v>37394</v>
      </c>
      <c r="R6003" s="6" t="s">
        <v>31</v>
      </c>
      <c r="S6003" s="8" t="s">
        <v>31</v>
      </c>
      <c r="T6003" s="6" t="s">
        <v>1209</v>
      </c>
      <c r="U6003" s="8" t="s">
        <v>31</v>
      </c>
      <c r="V6003" s="6" t="s">
        <v>37458</v>
      </c>
      <c r="W6003" s="6" t="s">
        <v>37377</v>
      </c>
      <c r="X6003" s="9" t="str">
        <f>HYPERLINK("https://my.pitchbook.com?p=81628-12P","View People Online")</f>
        <v>View People Online</v>
      </c>
    </row>
    <row r="6004">
      <c r="A6004" s="2" t="s">
        <v>37459</v>
      </c>
      <c r="B6004" s="2" t="s">
        <v>37460</v>
      </c>
      <c r="C6004" s="2" t="s">
        <v>4404</v>
      </c>
      <c r="D6004" s="2" t="s">
        <v>37461</v>
      </c>
      <c r="E6004" s="2" t="s">
        <v>37377</v>
      </c>
      <c r="F6004" s="2" t="s">
        <v>548</v>
      </c>
      <c r="G6004" s="2" t="s">
        <v>37462</v>
      </c>
      <c r="H6004" s="3" t="s">
        <v>31</v>
      </c>
      <c r="I6004" s="3">
        <v>1.0</v>
      </c>
      <c r="J6004" s="3">
        <v>1.0</v>
      </c>
      <c r="K6004" s="3" t="s">
        <v>31</v>
      </c>
      <c r="L6004" s="4" t="s">
        <v>37379</v>
      </c>
      <c r="M6004" s="2" t="s">
        <v>37463</v>
      </c>
      <c r="N6004" s="2" t="s">
        <v>1442</v>
      </c>
      <c r="O6004" s="4" t="s">
        <v>1443</v>
      </c>
      <c r="P6004" s="2" t="s">
        <v>37381</v>
      </c>
      <c r="Q6004" s="2" t="s">
        <v>31</v>
      </c>
      <c r="R6004" s="2" t="s">
        <v>1277</v>
      </c>
      <c r="S6004" s="4" t="s">
        <v>37382</v>
      </c>
      <c r="T6004" s="2" t="s">
        <v>66</v>
      </c>
      <c r="U6004" s="4" t="s">
        <v>31</v>
      </c>
      <c r="V6004" s="2" t="s">
        <v>37464</v>
      </c>
      <c r="W6004" s="2" t="s">
        <v>37377</v>
      </c>
      <c r="X6004" s="5" t="str">
        <f>HYPERLINK("https://my.pitchbook.com?p=51905-35P","View People Online")</f>
        <v>View People Online</v>
      </c>
    </row>
    <row r="6005">
      <c r="A6005" s="14" t="s">
        <v>37465</v>
      </c>
      <c r="B6005" s="14" t="s">
        <v>37466</v>
      </c>
      <c r="C6005" s="14" t="s">
        <v>1752</v>
      </c>
      <c r="D6005" s="14" t="s">
        <v>37467</v>
      </c>
      <c r="E6005" s="14" t="s">
        <v>37377</v>
      </c>
      <c r="F6005" s="14" t="s">
        <v>896</v>
      </c>
      <c r="G6005" s="14" t="s">
        <v>37468</v>
      </c>
      <c r="H6005" s="15" t="s">
        <v>31</v>
      </c>
      <c r="I6005" s="15">
        <v>1.0</v>
      </c>
      <c r="J6005" s="15">
        <v>1.0</v>
      </c>
      <c r="K6005" s="15" t="s">
        <v>31</v>
      </c>
      <c r="L6005" s="16" t="s">
        <v>37469</v>
      </c>
      <c r="M6005" s="14" t="s">
        <v>37470</v>
      </c>
      <c r="N6005" s="14" t="s">
        <v>1442</v>
      </c>
      <c r="O6005" s="16" t="s">
        <v>1443</v>
      </c>
      <c r="P6005" s="14" t="s">
        <v>37381</v>
      </c>
      <c r="Q6005" s="14" t="s">
        <v>31</v>
      </c>
      <c r="R6005" s="14" t="s">
        <v>1277</v>
      </c>
      <c r="S6005" s="16" t="s">
        <v>37382</v>
      </c>
      <c r="T6005" s="14" t="s">
        <v>66</v>
      </c>
      <c r="U6005" s="16" t="s">
        <v>37471</v>
      </c>
      <c r="V6005" s="14" t="s">
        <v>896</v>
      </c>
      <c r="W6005" s="14" t="s">
        <v>37377</v>
      </c>
      <c r="X6005" s="17" t="str">
        <f>HYPERLINK("https://my.pitchbook.com?p=75449-53P","View People Online")</f>
        <v>View People Online</v>
      </c>
    </row>
    <row r="6006">
      <c r="A6006" s="2" t="s">
        <v>37472</v>
      </c>
      <c r="B6006" s="2" t="s">
        <v>37473</v>
      </c>
      <c r="C6006" s="2" t="s">
        <v>5363</v>
      </c>
      <c r="D6006" s="2" t="s">
        <v>37474</v>
      </c>
      <c r="E6006" s="2" t="s">
        <v>37377</v>
      </c>
      <c r="F6006" s="2" t="s">
        <v>1283</v>
      </c>
      <c r="G6006" s="2" t="s">
        <v>37475</v>
      </c>
      <c r="H6006" s="3">
        <v>1.0</v>
      </c>
      <c r="I6006" s="3">
        <v>2.0</v>
      </c>
      <c r="J6006" s="3">
        <v>1.0</v>
      </c>
      <c r="K6006" s="3" t="s">
        <v>31</v>
      </c>
      <c r="L6006" s="4" t="s">
        <v>37476</v>
      </c>
      <c r="M6006" s="2" t="s">
        <v>37477</v>
      </c>
      <c r="N6006" s="2" t="s">
        <v>243</v>
      </c>
      <c r="O6006" s="4" t="s">
        <v>244</v>
      </c>
      <c r="P6006" s="2" t="s">
        <v>37478</v>
      </c>
      <c r="Q6006" s="2" t="s">
        <v>31</v>
      </c>
      <c r="R6006" s="2" t="s">
        <v>247</v>
      </c>
      <c r="S6006" s="4" t="s">
        <v>37479</v>
      </c>
      <c r="T6006" s="2" t="s">
        <v>249</v>
      </c>
      <c r="U6006" s="4" t="s">
        <v>31</v>
      </c>
      <c r="V6006" s="2" t="s">
        <v>37480</v>
      </c>
      <c r="W6006" s="2" t="s">
        <v>37377</v>
      </c>
      <c r="X6006" s="5" t="str">
        <f>HYPERLINK("https://my.pitchbook.com?p=66942-28P","View People Online")</f>
        <v>View People Online</v>
      </c>
    </row>
    <row r="6007">
      <c r="A6007" s="14" t="s">
        <v>37481</v>
      </c>
      <c r="B6007" s="14" t="s">
        <v>37482</v>
      </c>
      <c r="C6007" s="14" t="s">
        <v>3089</v>
      </c>
      <c r="D6007" s="14" t="s">
        <v>37483</v>
      </c>
      <c r="E6007" s="14" t="s">
        <v>37377</v>
      </c>
      <c r="F6007" s="14" t="s">
        <v>548</v>
      </c>
      <c r="G6007" s="14" t="s">
        <v>37484</v>
      </c>
      <c r="H6007" s="15" t="s">
        <v>31</v>
      </c>
      <c r="I6007" s="15">
        <v>2.0</v>
      </c>
      <c r="J6007" s="15">
        <v>1.0</v>
      </c>
      <c r="K6007" s="15">
        <v>1.0</v>
      </c>
      <c r="L6007" s="16" t="s">
        <v>37485</v>
      </c>
      <c r="M6007" s="14" t="s">
        <v>37486</v>
      </c>
      <c r="N6007" s="14" t="s">
        <v>1277</v>
      </c>
      <c r="O6007" s="16" t="s">
        <v>1278</v>
      </c>
      <c r="P6007" s="14" t="s">
        <v>37487</v>
      </c>
      <c r="Q6007" s="14" t="s">
        <v>37488</v>
      </c>
      <c r="R6007" s="14" t="s">
        <v>1281</v>
      </c>
      <c r="S6007" s="16" t="s">
        <v>1282</v>
      </c>
      <c r="T6007" s="14" t="s">
        <v>66</v>
      </c>
      <c r="U6007" s="16" t="s">
        <v>31</v>
      </c>
      <c r="V6007" s="14" t="s">
        <v>37489</v>
      </c>
      <c r="W6007" s="14" t="s">
        <v>37377</v>
      </c>
      <c r="X6007" s="17" t="str">
        <f>HYPERLINK("https://my.pitchbook.com?p=115731-82P","View People Online")</f>
        <v>View People Online</v>
      </c>
    </row>
    <row r="6008">
      <c r="A6008" s="10" t="s">
        <v>37490</v>
      </c>
      <c r="B6008" s="10" t="s">
        <v>37491</v>
      </c>
      <c r="C6008" s="10" t="s">
        <v>18807</v>
      </c>
      <c r="D6008" s="10" t="s">
        <v>37492</v>
      </c>
      <c r="E6008" s="10" t="s">
        <v>37377</v>
      </c>
      <c r="F6008" s="10" t="s">
        <v>29113</v>
      </c>
      <c r="G6008" s="10" t="s">
        <v>37493</v>
      </c>
      <c r="H6008" s="11" t="s">
        <v>31</v>
      </c>
      <c r="I6008" s="11">
        <v>1.0</v>
      </c>
      <c r="J6008" s="11">
        <v>1.0</v>
      </c>
      <c r="K6008" s="11" t="s">
        <v>31</v>
      </c>
      <c r="L6008" s="12" t="s">
        <v>37379</v>
      </c>
      <c r="M6008" s="10" t="s">
        <v>37494</v>
      </c>
      <c r="N6008" s="10" t="s">
        <v>1442</v>
      </c>
      <c r="O6008" s="12" t="s">
        <v>1443</v>
      </c>
      <c r="P6008" s="10" t="s">
        <v>37381</v>
      </c>
      <c r="Q6008" s="10" t="s">
        <v>31</v>
      </c>
      <c r="R6008" s="10" t="s">
        <v>1277</v>
      </c>
      <c r="S6008" s="12" t="s">
        <v>37382</v>
      </c>
      <c r="T6008" s="10" t="s">
        <v>66</v>
      </c>
      <c r="U6008" s="12" t="s">
        <v>31</v>
      </c>
      <c r="V6008" s="10" t="s">
        <v>37495</v>
      </c>
      <c r="W6008" s="10" t="s">
        <v>37377</v>
      </c>
      <c r="X6008" s="13" t="str">
        <f>HYPERLINK("https://my.pitchbook.com?p=356196-52P","View People Online")</f>
        <v>View People Online</v>
      </c>
    </row>
    <row r="6009">
      <c r="A6009" s="6" t="s">
        <v>37496</v>
      </c>
      <c r="B6009" s="6" t="s">
        <v>37497</v>
      </c>
      <c r="C6009" s="6" t="s">
        <v>37498</v>
      </c>
      <c r="D6009" s="6" t="s">
        <v>24167</v>
      </c>
      <c r="E6009" s="6" t="s">
        <v>37377</v>
      </c>
      <c r="F6009" s="6" t="s">
        <v>270</v>
      </c>
      <c r="G6009" s="6" t="s">
        <v>37499</v>
      </c>
      <c r="H6009" s="7" t="s">
        <v>31</v>
      </c>
      <c r="I6009" s="7">
        <v>1.0</v>
      </c>
      <c r="J6009" s="7">
        <v>1.0</v>
      </c>
      <c r="K6009" s="7" t="s">
        <v>31</v>
      </c>
      <c r="L6009" s="8" t="s">
        <v>37485</v>
      </c>
      <c r="M6009" s="6" t="s">
        <v>37500</v>
      </c>
      <c r="N6009" s="6" t="s">
        <v>1277</v>
      </c>
      <c r="O6009" s="8" t="s">
        <v>1278</v>
      </c>
      <c r="P6009" s="6" t="s">
        <v>37487</v>
      </c>
      <c r="Q6009" s="6" t="s">
        <v>37488</v>
      </c>
      <c r="R6009" s="6" t="s">
        <v>1281</v>
      </c>
      <c r="S6009" s="8" t="s">
        <v>1282</v>
      </c>
      <c r="T6009" s="6" t="s">
        <v>66</v>
      </c>
      <c r="U6009" s="8" t="s">
        <v>31</v>
      </c>
      <c r="V6009" s="6" t="s">
        <v>37501</v>
      </c>
      <c r="W6009" s="6" t="s">
        <v>37377</v>
      </c>
      <c r="X6009" s="9" t="str">
        <f>HYPERLINK("https://my.pitchbook.com?p=44504-74P","View People Online")</f>
        <v>View People Online</v>
      </c>
    </row>
    <row r="6010">
      <c r="A6010" s="2" t="s">
        <v>37502</v>
      </c>
      <c r="B6010" s="2" t="s">
        <v>37503</v>
      </c>
      <c r="C6010" s="2" t="s">
        <v>2288</v>
      </c>
      <c r="D6010" s="2" t="s">
        <v>37504</v>
      </c>
      <c r="E6010" s="2" t="s">
        <v>37377</v>
      </c>
      <c r="F6010" s="2" t="s">
        <v>1249</v>
      </c>
      <c r="G6010" s="2" t="s">
        <v>37505</v>
      </c>
      <c r="H6010" s="3">
        <v>1.0</v>
      </c>
      <c r="I6010" s="3">
        <v>5.0</v>
      </c>
      <c r="J6010" s="3">
        <v>1.0</v>
      </c>
      <c r="K6010" s="3">
        <v>3.0</v>
      </c>
      <c r="L6010" s="4" t="s">
        <v>37379</v>
      </c>
      <c r="M6010" s="2" t="s">
        <v>37506</v>
      </c>
      <c r="N6010" s="2" t="s">
        <v>1442</v>
      </c>
      <c r="O6010" s="4" t="s">
        <v>1443</v>
      </c>
      <c r="P6010" s="2" t="s">
        <v>37381</v>
      </c>
      <c r="Q6010" s="2" t="s">
        <v>31</v>
      </c>
      <c r="R6010" s="2" t="s">
        <v>1277</v>
      </c>
      <c r="S6010" s="4" t="s">
        <v>37382</v>
      </c>
      <c r="T6010" s="2" t="s">
        <v>66</v>
      </c>
      <c r="U6010" s="4" t="s">
        <v>31</v>
      </c>
      <c r="V6010" s="2" t="s">
        <v>1252</v>
      </c>
      <c r="W6010" s="2" t="s">
        <v>37377</v>
      </c>
      <c r="X6010" s="5" t="str">
        <f>HYPERLINK("https://my.pitchbook.com?p=51854-23P","View People Online")</f>
        <v>View People Online</v>
      </c>
    </row>
    <row r="6011">
      <c r="A6011" s="6" t="s">
        <v>37507</v>
      </c>
      <c r="B6011" s="6" t="s">
        <v>37508</v>
      </c>
      <c r="C6011" s="6" t="s">
        <v>5536</v>
      </c>
      <c r="D6011" s="6" t="s">
        <v>37509</v>
      </c>
      <c r="E6011" s="6" t="s">
        <v>37377</v>
      </c>
      <c r="F6011" s="6" t="s">
        <v>37510</v>
      </c>
      <c r="G6011" s="6" t="s">
        <v>37511</v>
      </c>
      <c r="H6011" s="7">
        <v>1.0</v>
      </c>
      <c r="I6011" s="7">
        <v>2.0</v>
      </c>
      <c r="J6011" s="7">
        <v>1.0</v>
      </c>
      <c r="K6011" s="7" t="s">
        <v>31</v>
      </c>
      <c r="L6011" s="8" t="s">
        <v>37379</v>
      </c>
      <c r="M6011" s="6" t="s">
        <v>37512</v>
      </c>
      <c r="N6011" s="6" t="s">
        <v>1442</v>
      </c>
      <c r="O6011" s="8" t="s">
        <v>1443</v>
      </c>
      <c r="P6011" s="6" t="s">
        <v>37381</v>
      </c>
      <c r="Q6011" s="6" t="s">
        <v>31</v>
      </c>
      <c r="R6011" s="6" t="s">
        <v>1277</v>
      </c>
      <c r="S6011" s="8" t="s">
        <v>37382</v>
      </c>
      <c r="T6011" s="6" t="s">
        <v>66</v>
      </c>
      <c r="U6011" s="8" t="s">
        <v>31</v>
      </c>
      <c r="V6011" s="6" t="s">
        <v>37513</v>
      </c>
      <c r="W6011" s="6" t="s">
        <v>37377</v>
      </c>
      <c r="X6011" s="9" t="str">
        <f>HYPERLINK("https://my.pitchbook.com?p=210256-12P","View People Online")</f>
        <v>View People Online</v>
      </c>
    </row>
    <row r="6012">
      <c r="A6012" s="2" t="s">
        <v>37514</v>
      </c>
      <c r="B6012" s="2" t="s">
        <v>37515</v>
      </c>
      <c r="C6012" s="2" t="s">
        <v>3274</v>
      </c>
      <c r="D6012" s="2" t="s">
        <v>37516</v>
      </c>
      <c r="E6012" s="2" t="s">
        <v>37377</v>
      </c>
      <c r="F6012" s="2" t="s">
        <v>548</v>
      </c>
      <c r="G6012" s="2" t="s">
        <v>37517</v>
      </c>
      <c r="H6012" s="3" t="s">
        <v>31</v>
      </c>
      <c r="I6012" s="3">
        <v>1.0</v>
      </c>
      <c r="J6012" s="3">
        <v>1.0</v>
      </c>
      <c r="K6012" s="3" t="s">
        <v>31</v>
      </c>
      <c r="L6012" s="4" t="s">
        <v>37379</v>
      </c>
      <c r="M6012" s="2" t="s">
        <v>37518</v>
      </c>
      <c r="N6012" s="2" t="s">
        <v>1442</v>
      </c>
      <c r="O6012" s="4" t="s">
        <v>1443</v>
      </c>
      <c r="P6012" s="2" t="s">
        <v>37381</v>
      </c>
      <c r="Q6012" s="2" t="s">
        <v>31</v>
      </c>
      <c r="R6012" s="2" t="s">
        <v>1277</v>
      </c>
      <c r="S6012" s="4" t="s">
        <v>37382</v>
      </c>
      <c r="T6012" s="2" t="s">
        <v>66</v>
      </c>
      <c r="U6012" s="4" t="s">
        <v>31</v>
      </c>
      <c r="V6012" s="2" t="s">
        <v>37519</v>
      </c>
      <c r="W6012" s="2" t="s">
        <v>37377</v>
      </c>
      <c r="X6012" s="5" t="str">
        <f>HYPERLINK("https://my.pitchbook.com?p=187802-74P","View People Online")</f>
        <v>View People Online</v>
      </c>
    </row>
    <row r="6013">
      <c r="A6013" s="6" t="s">
        <v>37520</v>
      </c>
      <c r="B6013" s="6" t="s">
        <v>37521</v>
      </c>
      <c r="C6013" s="6" t="s">
        <v>972</v>
      </c>
      <c r="D6013" s="6" t="s">
        <v>37522</v>
      </c>
      <c r="E6013" s="6" t="s">
        <v>37377</v>
      </c>
      <c r="F6013" s="6" t="s">
        <v>548</v>
      </c>
      <c r="G6013" s="6" t="s">
        <v>37523</v>
      </c>
      <c r="H6013" s="7" t="s">
        <v>31</v>
      </c>
      <c r="I6013" s="7">
        <v>1.0</v>
      </c>
      <c r="J6013" s="7">
        <v>1.0</v>
      </c>
      <c r="K6013" s="7" t="s">
        <v>31</v>
      </c>
      <c r="L6013" s="8" t="s">
        <v>37485</v>
      </c>
      <c r="M6013" s="6" t="s">
        <v>37524</v>
      </c>
      <c r="N6013" s="6" t="s">
        <v>1277</v>
      </c>
      <c r="O6013" s="8" t="s">
        <v>1278</v>
      </c>
      <c r="P6013" s="6" t="s">
        <v>37487</v>
      </c>
      <c r="Q6013" s="6" t="s">
        <v>37488</v>
      </c>
      <c r="R6013" s="6" t="s">
        <v>1281</v>
      </c>
      <c r="S6013" s="8" t="s">
        <v>1282</v>
      </c>
      <c r="T6013" s="6" t="s">
        <v>66</v>
      </c>
      <c r="U6013" s="8" t="s">
        <v>31</v>
      </c>
      <c r="V6013" s="6" t="s">
        <v>37525</v>
      </c>
      <c r="W6013" s="6" t="s">
        <v>37377</v>
      </c>
      <c r="X6013" s="9" t="str">
        <f>HYPERLINK("https://my.pitchbook.com?p=284388-85P","View People Online")</f>
        <v>View People Online</v>
      </c>
    </row>
    <row r="6014">
      <c r="A6014" s="10" t="s">
        <v>37526</v>
      </c>
      <c r="B6014" s="10" t="s">
        <v>37527</v>
      </c>
      <c r="C6014" s="10" t="s">
        <v>37528</v>
      </c>
      <c r="D6014" s="10" t="s">
        <v>37529</v>
      </c>
      <c r="E6014" s="10" t="s">
        <v>37377</v>
      </c>
      <c r="F6014" s="10" t="s">
        <v>583</v>
      </c>
      <c r="G6014" s="10" t="s">
        <v>37530</v>
      </c>
      <c r="H6014" s="11">
        <v>1.0</v>
      </c>
      <c r="I6014" s="11">
        <v>3.0</v>
      </c>
      <c r="J6014" s="11">
        <v>1.0</v>
      </c>
      <c r="K6014" s="11">
        <v>1.0</v>
      </c>
      <c r="L6014" s="12" t="s">
        <v>37379</v>
      </c>
      <c r="M6014" s="10" t="s">
        <v>37531</v>
      </c>
      <c r="N6014" s="10" t="s">
        <v>1442</v>
      </c>
      <c r="O6014" s="12" t="s">
        <v>1443</v>
      </c>
      <c r="P6014" s="10" t="s">
        <v>37381</v>
      </c>
      <c r="Q6014" s="10" t="s">
        <v>31</v>
      </c>
      <c r="R6014" s="10" t="s">
        <v>1277</v>
      </c>
      <c r="S6014" s="12" t="s">
        <v>37382</v>
      </c>
      <c r="T6014" s="10" t="s">
        <v>66</v>
      </c>
      <c r="U6014" s="12" t="s">
        <v>31</v>
      </c>
      <c r="V6014" s="10" t="s">
        <v>37532</v>
      </c>
      <c r="W6014" s="10" t="s">
        <v>37377</v>
      </c>
      <c r="X6014" s="13" t="str">
        <f>HYPERLINK("https://my.pitchbook.com?p=153253-63P","View People Online")</f>
        <v>View People Online</v>
      </c>
    </row>
    <row r="6015">
      <c r="A6015" s="6" t="s">
        <v>37533</v>
      </c>
      <c r="B6015" s="6" t="s">
        <v>37534</v>
      </c>
      <c r="C6015" s="6" t="s">
        <v>4015</v>
      </c>
      <c r="D6015" s="6" t="s">
        <v>37535</v>
      </c>
      <c r="E6015" s="6" t="s">
        <v>37377</v>
      </c>
      <c r="F6015" s="6" t="s">
        <v>318</v>
      </c>
      <c r="G6015" s="6" t="s">
        <v>37536</v>
      </c>
      <c r="H6015" s="7">
        <v>1.0</v>
      </c>
      <c r="I6015" s="7">
        <v>3.0</v>
      </c>
      <c r="J6015" s="7">
        <v>1.0</v>
      </c>
      <c r="K6015" s="7">
        <v>1.0</v>
      </c>
      <c r="L6015" s="8" t="s">
        <v>37379</v>
      </c>
      <c r="M6015" s="6" t="s">
        <v>37537</v>
      </c>
      <c r="N6015" s="6" t="s">
        <v>1442</v>
      </c>
      <c r="O6015" s="8" t="s">
        <v>1443</v>
      </c>
      <c r="P6015" s="6" t="s">
        <v>37381</v>
      </c>
      <c r="Q6015" s="6" t="s">
        <v>31</v>
      </c>
      <c r="R6015" s="6" t="s">
        <v>1277</v>
      </c>
      <c r="S6015" s="8" t="s">
        <v>37382</v>
      </c>
      <c r="T6015" s="6" t="s">
        <v>66</v>
      </c>
      <c r="U6015" s="8" t="s">
        <v>31</v>
      </c>
      <c r="V6015" s="6" t="s">
        <v>37538</v>
      </c>
      <c r="W6015" s="6" t="s">
        <v>37377</v>
      </c>
      <c r="X6015" s="9" t="str">
        <f>HYPERLINK("https://my.pitchbook.com?p=187771-06P","View People Online")</f>
        <v>View People Online</v>
      </c>
    </row>
    <row r="6016">
      <c r="A6016" s="2" t="s">
        <v>37539</v>
      </c>
      <c r="B6016" s="2" t="s">
        <v>37540</v>
      </c>
      <c r="C6016" s="2" t="s">
        <v>37541</v>
      </c>
      <c r="D6016" s="2" t="s">
        <v>37542</v>
      </c>
      <c r="E6016" s="2" t="s">
        <v>37377</v>
      </c>
      <c r="F6016" s="2" t="s">
        <v>78</v>
      </c>
      <c r="G6016" s="2" t="s">
        <v>37543</v>
      </c>
      <c r="H6016" s="3" t="s">
        <v>31</v>
      </c>
      <c r="I6016" s="3">
        <v>1.0</v>
      </c>
      <c r="J6016" s="3">
        <v>1.0</v>
      </c>
      <c r="K6016" s="3" t="s">
        <v>31</v>
      </c>
      <c r="L6016" s="4" t="s">
        <v>37379</v>
      </c>
      <c r="M6016" s="2" t="s">
        <v>37544</v>
      </c>
      <c r="N6016" s="2" t="s">
        <v>1442</v>
      </c>
      <c r="O6016" s="4" t="s">
        <v>1443</v>
      </c>
      <c r="P6016" s="2" t="s">
        <v>37381</v>
      </c>
      <c r="Q6016" s="2" t="s">
        <v>31</v>
      </c>
      <c r="R6016" s="2" t="s">
        <v>1277</v>
      </c>
      <c r="S6016" s="4" t="s">
        <v>37382</v>
      </c>
      <c r="T6016" s="2" t="s">
        <v>66</v>
      </c>
      <c r="U6016" s="4" t="s">
        <v>31</v>
      </c>
      <c r="V6016" s="2" t="s">
        <v>78</v>
      </c>
      <c r="W6016" s="2" t="s">
        <v>37377</v>
      </c>
      <c r="X6016" s="5" t="str">
        <f>HYPERLINK("https://my.pitchbook.com?p=253946-35P","View People Online")</f>
        <v>View People Online</v>
      </c>
    </row>
    <row r="6017">
      <c r="A6017" s="14" t="s">
        <v>37545</v>
      </c>
      <c r="B6017" s="14" t="s">
        <v>37546</v>
      </c>
      <c r="C6017" s="14" t="s">
        <v>16814</v>
      </c>
      <c r="D6017" s="14" t="s">
        <v>37547</v>
      </c>
      <c r="E6017" s="14" t="s">
        <v>37377</v>
      </c>
      <c r="F6017" s="14" t="s">
        <v>502</v>
      </c>
      <c r="G6017" s="14" t="s">
        <v>37548</v>
      </c>
      <c r="H6017" s="15" t="s">
        <v>31</v>
      </c>
      <c r="I6017" s="15">
        <v>1.0</v>
      </c>
      <c r="J6017" s="15">
        <v>1.0</v>
      </c>
      <c r="K6017" s="15" t="s">
        <v>31</v>
      </c>
      <c r="L6017" s="16" t="s">
        <v>37379</v>
      </c>
      <c r="M6017" s="14" t="s">
        <v>37549</v>
      </c>
      <c r="N6017" s="14" t="s">
        <v>1442</v>
      </c>
      <c r="O6017" s="16" t="s">
        <v>1443</v>
      </c>
      <c r="P6017" s="14" t="s">
        <v>37381</v>
      </c>
      <c r="Q6017" s="14" t="s">
        <v>31</v>
      </c>
      <c r="R6017" s="14" t="s">
        <v>1277</v>
      </c>
      <c r="S6017" s="16" t="s">
        <v>37382</v>
      </c>
      <c r="T6017" s="14" t="s">
        <v>66</v>
      </c>
      <c r="U6017" s="16" t="s">
        <v>31</v>
      </c>
      <c r="V6017" s="14" t="s">
        <v>37550</v>
      </c>
      <c r="W6017" s="14" t="s">
        <v>37377</v>
      </c>
      <c r="X6017" s="17" t="str">
        <f>HYPERLINK("https://my.pitchbook.com?p=115928-20P","View People Online")</f>
        <v>View People Online</v>
      </c>
    </row>
    <row r="6018">
      <c r="A6018" s="10" t="s">
        <v>37551</v>
      </c>
      <c r="B6018" s="10" t="s">
        <v>37552</v>
      </c>
      <c r="C6018" s="10" t="s">
        <v>30040</v>
      </c>
      <c r="D6018" s="10" t="s">
        <v>37553</v>
      </c>
      <c r="E6018" s="10" t="s">
        <v>37377</v>
      </c>
      <c r="F6018" s="10" t="s">
        <v>583</v>
      </c>
      <c r="G6018" s="10" t="s">
        <v>37554</v>
      </c>
      <c r="H6018" s="11" t="s">
        <v>31</v>
      </c>
      <c r="I6018" s="11">
        <v>7.0</v>
      </c>
      <c r="J6018" s="11">
        <v>1.0</v>
      </c>
      <c r="K6018" s="11">
        <v>5.0</v>
      </c>
      <c r="L6018" s="12" t="s">
        <v>37379</v>
      </c>
      <c r="M6018" s="10" t="s">
        <v>37555</v>
      </c>
      <c r="N6018" s="10" t="s">
        <v>1442</v>
      </c>
      <c r="O6018" s="12" t="s">
        <v>1443</v>
      </c>
      <c r="P6018" s="10" t="s">
        <v>37381</v>
      </c>
      <c r="Q6018" s="10" t="s">
        <v>31</v>
      </c>
      <c r="R6018" s="10" t="s">
        <v>1277</v>
      </c>
      <c r="S6018" s="12" t="s">
        <v>37382</v>
      </c>
      <c r="T6018" s="10" t="s">
        <v>66</v>
      </c>
      <c r="U6018" s="12" t="s">
        <v>31</v>
      </c>
      <c r="V6018" s="10" t="s">
        <v>37556</v>
      </c>
      <c r="W6018" s="10" t="s">
        <v>37377</v>
      </c>
      <c r="X6018" s="13" t="str">
        <f>HYPERLINK("https://my.pitchbook.com?p=51853-87P","View People Online")</f>
        <v>View People Online</v>
      </c>
    </row>
    <row r="6019">
      <c r="A6019" s="6" t="s">
        <v>37557</v>
      </c>
      <c r="B6019" s="6" t="s">
        <v>37558</v>
      </c>
      <c r="C6019" s="6" t="s">
        <v>5321</v>
      </c>
      <c r="D6019" s="6" t="s">
        <v>37559</v>
      </c>
      <c r="E6019" s="6" t="s">
        <v>37377</v>
      </c>
      <c r="F6019" s="6" t="s">
        <v>318</v>
      </c>
      <c r="G6019" s="6" t="s">
        <v>37560</v>
      </c>
      <c r="H6019" s="7" t="s">
        <v>31</v>
      </c>
      <c r="I6019" s="7">
        <v>1.0</v>
      </c>
      <c r="J6019" s="7">
        <v>1.0</v>
      </c>
      <c r="K6019" s="7" t="s">
        <v>31</v>
      </c>
      <c r="L6019" s="8" t="s">
        <v>37379</v>
      </c>
      <c r="M6019" s="6" t="s">
        <v>37561</v>
      </c>
      <c r="N6019" s="6" t="s">
        <v>1442</v>
      </c>
      <c r="O6019" s="8" t="s">
        <v>1443</v>
      </c>
      <c r="P6019" s="6" t="s">
        <v>37381</v>
      </c>
      <c r="Q6019" s="6" t="s">
        <v>31</v>
      </c>
      <c r="R6019" s="6" t="s">
        <v>1277</v>
      </c>
      <c r="S6019" s="8" t="s">
        <v>37382</v>
      </c>
      <c r="T6019" s="6" t="s">
        <v>66</v>
      </c>
      <c r="U6019" s="8" t="s">
        <v>31</v>
      </c>
      <c r="V6019" s="6" t="s">
        <v>37562</v>
      </c>
      <c r="W6019" s="6" t="s">
        <v>37377</v>
      </c>
      <c r="X6019" s="9" t="str">
        <f>HYPERLINK("https://my.pitchbook.com?p=89197-03P","View People Online")</f>
        <v>View People Online</v>
      </c>
    </row>
    <row r="6020">
      <c r="A6020" s="10" t="s">
        <v>37563</v>
      </c>
      <c r="B6020" s="10" t="s">
        <v>37564</v>
      </c>
      <c r="C6020" s="10" t="s">
        <v>37565</v>
      </c>
      <c r="D6020" s="10" t="s">
        <v>37566</v>
      </c>
      <c r="E6020" s="10" t="s">
        <v>37377</v>
      </c>
      <c r="F6020" s="10" t="s">
        <v>270</v>
      </c>
      <c r="G6020" s="10" t="s">
        <v>37567</v>
      </c>
      <c r="H6020" s="11" t="s">
        <v>31</v>
      </c>
      <c r="I6020" s="11">
        <v>5.0</v>
      </c>
      <c r="J6020" s="11">
        <v>1.0</v>
      </c>
      <c r="K6020" s="11">
        <v>2.0</v>
      </c>
      <c r="L6020" s="12" t="s">
        <v>37379</v>
      </c>
      <c r="M6020" s="10" t="s">
        <v>37568</v>
      </c>
      <c r="N6020" s="10" t="s">
        <v>1442</v>
      </c>
      <c r="O6020" s="12" t="s">
        <v>1443</v>
      </c>
      <c r="P6020" s="10" t="s">
        <v>37381</v>
      </c>
      <c r="Q6020" s="10" t="s">
        <v>31</v>
      </c>
      <c r="R6020" s="10" t="s">
        <v>1277</v>
      </c>
      <c r="S6020" s="12" t="s">
        <v>37382</v>
      </c>
      <c r="T6020" s="10" t="s">
        <v>66</v>
      </c>
      <c r="U6020" s="12" t="s">
        <v>31</v>
      </c>
      <c r="V6020" s="10" t="s">
        <v>37569</v>
      </c>
      <c r="W6020" s="10" t="s">
        <v>37377</v>
      </c>
      <c r="X6020" s="13" t="str">
        <f>HYPERLINK("https://my.pitchbook.com?p=110973-97P","View People Online")</f>
        <v>View People Online</v>
      </c>
    </row>
    <row r="6021">
      <c r="A6021" s="14" t="s">
        <v>37570</v>
      </c>
      <c r="B6021" s="14" t="s">
        <v>37571</v>
      </c>
      <c r="C6021" s="14" t="s">
        <v>1697</v>
      </c>
      <c r="D6021" s="14" t="s">
        <v>37572</v>
      </c>
      <c r="E6021" s="14" t="s">
        <v>37377</v>
      </c>
      <c r="F6021" s="14" t="s">
        <v>1234</v>
      </c>
      <c r="G6021" s="14" t="s">
        <v>37573</v>
      </c>
      <c r="H6021" s="15">
        <v>4.0</v>
      </c>
      <c r="I6021" s="15">
        <v>92.0</v>
      </c>
      <c r="J6021" s="15">
        <v>6.0</v>
      </c>
      <c r="K6021" s="15">
        <v>82.0</v>
      </c>
      <c r="L6021" s="16" t="s">
        <v>37379</v>
      </c>
      <c r="M6021" s="14" t="s">
        <v>37574</v>
      </c>
      <c r="N6021" s="14" t="s">
        <v>1442</v>
      </c>
      <c r="O6021" s="16" t="s">
        <v>1443</v>
      </c>
      <c r="P6021" s="14" t="s">
        <v>37381</v>
      </c>
      <c r="Q6021" s="14" t="s">
        <v>31</v>
      </c>
      <c r="R6021" s="14" t="s">
        <v>1277</v>
      </c>
      <c r="S6021" s="16" t="s">
        <v>37382</v>
      </c>
      <c r="T6021" s="14" t="s">
        <v>66</v>
      </c>
      <c r="U6021" s="16" t="s">
        <v>31</v>
      </c>
      <c r="V6021" s="14" t="s">
        <v>2379</v>
      </c>
      <c r="W6021" s="14" t="s">
        <v>37575</v>
      </c>
      <c r="X6021" s="17" t="str">
        <f>HYPERLINK("https://my.pitchbook.com?p=123365-98P","View People Online")</f>
        <v>View People Online</v>
      </c>
    </row>
    <row r="6022">
      <c r="A6022" s="10" t="s">
        <v>37576</v>
      </c>
      <c r="B6022" s="10" t="s">
        <v>37577</v>
      </c>
      <c r="C6022" s="10" t="s">
        <v>5602</v>
      </c>
      <c r="D6022" s="10" t="s">
        <v>37578</v>
      </c>
      <c r="E6022" s="10" t="s">
        <v>37579</v>
      </c>
      <c r="F6022" s="10" t="s">
        <v>37580</v>
      </c>
      <c r="G6022" s="10" t="s">
        <v>37581</v>
      </c>
      <c r="H6022" s="11" t="s">
        <v>31</v>
      </c>
      <c r="I6022" s="11">
        <v>2.0</v>
      </c>
      <c r="J6022" s="11">
        <v>2.0</v>
      </c>
      <c r="K6022" s="11" t="s">
        <v>31</v>
      </c>
      <c r="L6022" s="12" t="s">
        <v>31</v>
      </c>
      <c r="M6022" s="10" t="s">
        <v>37582</v>
      </c>
      <c r="N6022" s="10" t="s">
        <v>37583</v>
      </c>
      <c r="O6022" s="12" t="s">
        <v>37584</v>
      </c>
      <c r="P6022" s="10" t="s">
        <v>37585</v>
      </c>
      <c r="Q6022" s="10" t="s">
        <v>37586</v>
      </c>
      <c r="R6022" s="10" t="s">
        <v>31</v>
      </c>
      <c r="S6022" s="12" t="s">
        <v>37587</v>
      </c>
      <c r="T6022" s="10" t="s">
        <v>3194</v>
      </c>
      <c r="U6022" s="12" t="s">
        <v>31</v>
      </c>
      <c r="V6022" s="10" t="s">
        <v>37588</v>
      </c>
      <c r="W6022" s="10" t="s">
        <v>37589</v>
      </c>
      <c r="X6022" s="13" t="str">
        <f>HYPERLINK("https://my.pitchbook.com?p=70542-73P","View People Online")</f>
        <v>View People Online</v>
      </c>
    </row>
    <row r="6023">
      <c r="A6023" s="6" t="s">
        <v>37590</v>
      </c>
      <c r="B6023" s="6" t="s">
        <v>37591</v>
      </c>
      <c r="C6023" s="6" t="s">
        <v>37592</v>
      </c>
      <c r="D6023" s="6" t="s">
        <v>37593</v>
      </c>
      <c r="E6023" s="6" t="s">
        <v>37579</v>
      </c>
      <c r="F6023" s="6" t="s">
        <v>6567</v>
      </c>
      <c r="G6023" s="6" t="s">
        <v>37594</v>
      </c>
      <c r="H6023" s="7" t="s">
        <v>31</v>
      </c>
      <c r="I6023" s="7">
        <v>1.0</v>
      </c>
      <c r="J6023" s="7">
        <v>1.0</v>
      </c>
      <c r="K6023" s="7" t="s">
        <v>31</v>
      </c>
      <c r="L6023" s="8" t="s">
        <v>31</v>
      </c>
      <c r="M6023" s="6" t="s">
        <v>37595</v>
      </c>
      <c r="N6023" s="6" t="s">
        <v>665</v>
      </c>
      <c r="O6023" s="8" t="s">
        <v>3857</v>
      </c>
      <c r="P6023" s="6" t="s">
        <v>37596</v>
      </c>
      <c r="Q6023" s="6" t="s">
        <v>37597</v>
      </c>
      <c r="R6023" s="6" t="s">
        <v>1420</v>
      </c>
      <c r="S6023" s="8" t="s">
        <v>37598</v>
      </c>
      <c r="T6023" s="6" t="s">
        <v>66</v>
      </c>
      <c r="U6023" s="8" t="s">
        <v>31</v>
      </c>
      <c r="V6023" s="6" t="s">
        <v>33183</v>
      </c>
      <c r="W6023" s="6" t="s">
        <v>37579</v>
      </c>
      <c r="X6023" s="9" t="str">
        <f>HYPERLINK("https://my.pitchbook.com?p=301585-06P","View People Online")</f>
        <v>View People Online</v>
      </c>
    </row>
    <row r="6024">
      <c r="A6024" s="10" t="s">
        <v>37599</v>
      </c>
      <c r="B6024" s="10" t="s">
        <v>37600</v>
      </c>
      <c r="C6024" s="10" t="s">
        <v>285</v>
      </c>
      <c r="D6024" s="10" t="s">
        <v>32918</v>
      </c>
      <c r="E6024" s="10" t="s">
        <v>37579</v>
      </c>
      <c r="F6024" s="10" t="s">
        <v>2590</v>
      </c>
      <c r="G6024" s="10" t="s">
        <v>37601</v>
      </c>
      <c r="H6024" s="11">
        <v>4.0</v>
      </c>
      <c r="I6024" s="11">
        <v>25.0</v>
      </c>
      <c r="J6024" s="11">
        <v>2.0</v>
      </c>
      <c r="K6024" s="11">
        <v>18.0</v>
      </c>
      <c r="L6024" s="12" t="s">
        <v>37602</v>
      </c>
      <c r="M6024" s="10" t="s">
        <v>37603</v>
      </c>
      <c r="N6024" s="10" t="s">
        <v>37148</v>
      </c>
      <c r="O6024" s="12" t="s">
        <v>37604</v>
      </c>
      <c r="P6024" s="10" t="s">
        <v>37605</v>
      </c>
      <c r="Q6024" s="10" t="s">
        <v>31</v>
      </c>
      <c r="R6024" s="10" t="s">
        <v>24115</v>
      </c>
      <c r="S6024" s="12" t="s">
        <v>37606</v>
      </c>
      <c r="T6024" s="10" t="s">
        <v>66</v>
      </c>
      <c r="U6024" s="12" t="s">
        <v>31</v>
      </c>
      <c r="V6024" s="10" t="s">
        <v>37607</v>
      </c>
      <c r="W6024" s="10" t="s">
        <v>37579</v>
      </c>
      <c r="X6024" s="13" t="str">
        <f>HYPERLINK("https://my.pitchbook.com?p=132288-22P","View People Online")</f>
        <v>View People Online</v>
      </c>
    </row>
    <row r="6025">
      <c r="A6025" s="14" t="s">
        <v>37608</v>
      </c>
      <c r="B6025" s="14" t="s">
        <v>37609</v>
      </c>
      <c r="C6025" s="14" t="s">
        <v>19715</v>
      </c>
      <c r="D6025" s="14" t="s">
        <v>10054</v>
      </c>
      <c r="E6025" s="14" t="s">
        <v>37579</v>
      </c>
      <c r="F6025" s="14" t="s">
        <v>4600</v>
      </c>
      <c r="G6025" s="14" t="s">
        <v>37610</v>
      </c>
      <c r="H6025" s="15" t="s">
        <v>31</v>
      </c>
      <c r="I6025" s="15">
        <v>1.0</v>
      </c>
      <c r="J6025" s="15">
        <v>1.0</v>
      </c>
      <c r="K6025" s="15" t="s">
        <v>31</v>
      </c>
      <c r="L6025" s="16" t="s">
        <v>37611</v>
      </c>
      <c r="M6025" s="14" t="s">
        <v>31</v>
      </c>
      <c r="N6025" s="14" t="s">
        <v>37148</v>
      </c>
      <c r="O6025" s="16" t="s">
        <v>37604</v>
      </c>
      <c r="P6025" s="14" t="s">
        <v>37605</v>
      </c>
      <c r="Q6025" s="14" t="s">
        <v>31</v>
      </c>
      <c r="R6025" s="14" t="s">
        <v>24115</v>
      </c>
      <c r="S6025" s="16" t="s">
        <v>37606</v>
      </c>
      <c r="T6025" s="14" t="s">
        <v>66</v>
      </c>
      <c r="U6025" s="16" t="s">
        <v>31</v>
      </c>
      <c r="V6025" s="14" t="s">
        <v>37612</v>
      </c>
      <c r="W6025" s="14" t="s">
        <v>37579</v>
      </c>
      <c r="X6025" s="17" t="str">
        <f>HYPERLINK("https://my.pitchbook.com?p=257893-03P","View People Online")</f>
        <v>View People Online</v>
      </c>
    </row>
    <row r="6026">
      <c r="A6026" s="2" t="s">
        <v>37613</v>
      </c>
      <c r="B6026" s="2" t="s">
        <v>37614</v>
      </c>
      <c r="C6026" s="2" t="s">
        <v>237</v>
      </c>
      <c r="D6026" s="2" t="s">
        <v>37615</v>
      </c>
      <c r="E6026" s="2" t="s">
        <v>37616</v>
      </c>
      <c r="F6026" s="2" t="s">
        <v>29</v>
      </c>
      <c r="G6026" s="2" t="s">
        <v>37617</v>
      </c>
      <c r="H6026" s="3">
        <v>3.0</v>
      </c>
      <c r="I6026" s="3">
        <v>12.0</v>
      </c>
      <c r="J6026" s="3">
        <v>1.0</v>
      </c>
      <c r="K6026" s="3">
        <v>5.0</v>
      </c>
      <c r="L6026" s="4" t="s">
        <v>37618</v>
      </c>
      <c r="M6026" s="2" t="s">
        <v>37619</v>
      </c>
      <c r="N6026" s="2" t="s">
        <v>1416</v>
      </c>
      <c r="O6026" s="4" t="s">
        <v>1417</v>
      </c>
      <c r="P6026" s="2" t="s">
        <v>37620</v>
      </c>
      <c r="Q6026" s="2" t="s">
        <v>31757</v>
      </c>
      <c r="R6026" s="2" t="s">
        <v>1420</v>
      </c>
      <c r="S6026" s="4" t="s">
        <v>37621</v>
      </c>
      <c r="T6026" s="2" t="s">
        <v>66</v>
      </c>
      <c r="U6026" s="4" t="s">
        <v>31</v>
      </c>
      <c r="V6026" s="2" t="s">
        <v>29</v>
      </c>
      <c r="W6026" s="2" t="s">
        <v>37616</v>
      </c>
      <c r="X6026" s="5" t="str">
        <f>HYPERLINK("https://my.pitchbook.com?p=85301-83P","View People Online")</f>
        <v>View People Online</v>
      </c>
    </row>
    <row r="6027">
      <c r="A6027" s="6" t="s">
        <v>37622</v>
      </c>
      <c r="B6027" s="6" t="s">
        <v>37623</v>
      </c>
      <c r="C6027" s="6" t="s">
        <v>1356</v>
      </c>
      <c r="D6027" s="6" t="s">
        <v>37624</v>
      </c>
      <c r="E6027" s="6" t="s">
        <v>37616</v>
      </c>
      <c r="F6027" s="6" t="s">
        <v>674</v>
      </c>
      <c r="G6027" s="6" t="s">
        <v>37625</v>
      </c>
      <c r="H6027" s="7">
        <v>7.0</v>
      </c>
      <c r="I6027" s="7">
        <v>18.0</v>
      </c>
      <c r="J6027" s="7">
        <v>1.0</v>
      </c>
      <c r="K6027" s="7">
        <v>3.0</v>
      </c>
      <c r="L6027" s="8" t="s">
        <v>37618</v>
      </c>
      <c r="M6027" s="6" t="s">
        <v>37626</v>
      </c>
      <c r="N6027" s="6" t="s">
        <v>1416</v>
      </c>
      <c r="O6027" s="8" t="s">
        <v>1417</v>
      </c>
      <c r="P6027" s="6" t="s">
        <v>37620</v>
      </c>
      <c r="Q6027" s="6" t="s">
        <v>31757</v>
      </c>
      <c r="R6027" s="6" t="s">
        <v>1420</v>
      </c>
      <c r="S6027" s="8" t="s">
        <v>37621</v>
      </c>
      <c r="T6027" s="6" t="s">
        <v>66</v>
      </c>
      <c r="U6027" s="8" t="s">
        <v>31</v>
      </c>
      <c r="V6027" s="6" t="s">
        <v>674</v>
      </c>
      <c r="W6027" s="6" t="s">
        <v>37616</v>
      </c>
      <c r="X6027" s="9" t="str">
        <f>HYPERLINK("https://my.pitchbook.com?p=32566-78P","View People Online")</f>
        <v>View People Online</v>
      </c>
    </row>
    <row r="6028">
      <c r="A6028" s="2" t="s">
        <v>37627</v>
      </c>
      <c r="B6028" s="2" t="s">
        <v>37628</v>
      </c>
      <c r="C6028" s="2" t="s">
        <v>5099</v>
      </c>
      <c r="D6028" s="2" t="s">
        <v>1571</v>
      </c>
      <c r="E6028" s="2" t="s">
        <v>37616</v>
      </c>
      <c r="F6028" s="2" t="s">
        <v>29</v>
      </c>
      <c r="G6028" s="2" t="s">
        <v>37629</v>
      </c>
      <c r="H6028" s="3" t="s">
        <v>31</v>
      </c>
      <c r="I6028" s="3">
        <v>5.0</v>
      </c>
      <c r="J6028" s="3">
        <v>1.0</v>
      </c>
      <c r="K6028" s="3">
        <v>1.0</v>
      </c>
      <c r="L6028" s="4" t="s">
        <v>37618</v>
      </c>
      <c r="M6028" s="2" t="s">
        <v>37630</v>
      </c>
      <c r="N6028" s="2" t="s">
        <v>1416</v>
      </c>
      <c r="O6028" s="4" t="s">
        <v>1417</v>
      </c>
      <c r="P6028" s="2" t="s">
        <v>37620</v>
      </c>
      <c r="Q6028" s="2" t="s">
        <v>31757</v>
      </c>
      <c r="R6028" s="2" t="s">
        <v>1420</v>
      </c>
      <c r="S6028" s="4" t="s">
        <v>37621</v>
      </c>
      <c r="T6028" s="2" t="s">
        <v>66</v>
      </c>
      <c r="U6028" s="4" t="s">
        <v>31</v>
      </c>
      <c r="V6028" s="2" t="s">
        <v>29</v>
      </c>
      <c r="W6028" s="2" t="s">
        <v>37616</v>
      </c>
      <c r="X6028" s="5" t="str">
        <f>HYPERLINK("https://my.pitchbook.com?p=231189-04P","View People Online")</f>
        <v>View People Online</v>
      </c>
    </row>
    <row r="6029">
      <c r="A6029" s="14" t="s">
        <v>37631</v>
      </c>
      <c r="B6029" s="14" t="s">
        <v>37632</v>
      </c>
      <c r="C6029" s="14" t="s">
        <v>37633</v>
      </c>
      <c r="D6029" s="14" t="s">
        <v>37634</v>
      </c>
      <c r="E6029" s="14" t="s">
        <v>37616</v>
      </c>
      <c r="F6029" s="14" t="s">
        <v>37635</v>
      </c>
      <c r="G6029" s="14" t="s">
        <v>37636</v>
      </c>
      <c r="H6029" s="15" t="s">
        <v>31</v>
      </c>
      <c r="I6029" s="15">
        <v>2.0</v>
      </c>
      <c r="J6029" s="15">
        <v>1.0</v>
      </c>
      <c r="K6029" s="15" t="s">
        <v>31</v>
      </c>
      <c r="L6029" s="16" t="s">
        <v>37637</v>
      </c>
      <c r="M6029" s="14" t="s">
        <v>37638</v>
      </c>
      <c r="N6029" s="14" t="s">
        <v>1416</v>
      </c>
      <c r="O6029" s="16" t="s">
        <v>1417</v>
      </c>
      <c r="P6029" s="14" t="s">
        <v>37620</v>
      </c>
      <c r="Q6029" s="14" t="s">
        <v>31757</v>
      </c>
      <c r="R6029" s="14" t="s">
        <v>1420</v>
      </c>
      <c r="S6029" s="16" t="s">
        <v>37621</v>
      </c>
      <c r="T6029" s="14" t="s">
        <v>66</v>
      </c>
      <c r="U6029" s="16" t="s">
        <v>31</v>
      </c>
      <c r="V6029" s="14" t="s">
        <v>37639</v>
      </c>
      <c r="W6029" s="14" t="s">
        <v>37616</v>
      </c>
      <c r="X6029" s="17" t="str">
        <f>HYPERLINK("https://my.pitchbook.com?p=260296-12P","View People Online")</f>
        <v>View People Online</v>
      </c>
    </row>
    <row r="6030">
      <c r="A6030" s="10" t="s">
        <v>37640</v>
      </c>
      <c r="B6030" s="10" t="s">
        <v>37641</v>
      </c>
      <c r="C6030" s="10" t="s">
        <v>9860</v>
      </c>
      <c r="D6030" s="10" t="s">
        <v>37642</v>
      </c>
      <c r="E6030" s="10" t="s">
        <v>37616</v>
      </c>
      <c r="F6030" s="10" t="s">
        <v>548</v>
      </c>
      <c r="G6030" s="10" t="s">
        <v>37643</v>
      </c>
      <c r="H6030" s="11">
        <v>1.0</v>
      </c>
      <c r="I6030" s="11">
        <v>2.0</v>
      </c>
      <c r="J6030" s="11">
        <v>1.0</v>
      </c>
      <c r="K6030" s="11" t="s">
        <v>31</v>
      </c>
      <c r="L6030" s="12" t="s">
        <v>37618</v>
      </c>
      <c r="M6030" s="10" t="s">
        <v>37644</v>
      </c>
      <c r="N6030" s="10" t="s">
        <v>1416</v>
      </c>
      <c r="O6030" s="12" t="s">
        <v>1417</v>
      </c>
      <c r="P6030" s="10" t="s">
        <v>37620</v>
      </c>
      <c r="Q6030" s="10" t="s">
        <v>31757</v>
      </c>
      <c r="R6030" s="10" t="s">
        <v>1420</v>
      </c>
      <c r="S6030" s="12" t="s">
        <v>37621</v>
      </c>
      <c r="T6030" s="10" t="s">
        <v>66</v>
      </c>
      <c r="U6030" s="12" t="s">
        <v>31</v>
      </c>
      <c r="V6030" s="10" t="s">
        <v>548</v>
      </c>
      <c r="W6030" s="10" t="s">
        <v>37616</v>
      </c>
      <c r="X6030" s="13" t="str">
        <f>HYPERLINK("https://my.pitchbook.com?p=203226-67P","View People Online")</f>
        <v>View People Online</v>
      </c>
    </row>
    <row r="6031">
      <c r="A6031" s="14" t="s">
        <v>37645</v>
      </c>
      <c r="B6031" s="14" t="s">
        <v>37646</v>
      </c>
      <c r="C6031" s="14" t="s">
        <v>1395</v>
      </c>
      <c r="D6031" s="14" t="s">
        <v>37647</v>
      </c>
      <c r="E6031" s="14" t="s">
        <v>37616</v>
      </c>
      <c r="F6031" s="14" t="s">
        <v>221</v>
      </c>
      <c r="G6031" s="14" t="s">
        <v>37648</v>
      </c>
      <c r="H6031" s="15" t="s">
        <v>31</v>
      </c>
      <c r="I6031" s="15">
        <v>1.0</v>
      </c>
      <c r="J6031" s="15">
        <v>1.0</v>
      </c>
      <c r="K6031" s="15" t="s">
        <v>31</v>
      </c>
      <c r="L6031" s="16" t="s">
        <v>37618</v>
      </c>
      <c r="M6031" s="14" t="s">
        <v>37649</v>
      </c>
      <c r="N6031" s="14" t="s">
        <v>1416</v>
      </c>
      <c r="O6031" s="16" t="s">
        <v>1417</v>
      </c>
      <c r="P6031" s="14" t="s">
        <v>37620</v>
      </c>
      <c r="Q6031" s="14" t="s">
        <v>31757</v>
      </c>
      <c r="R6031" s="14" t="s">
        <v>1420</v>
      </c>
      <c r="S6031" s="16" t="s">
        <v>37621</v>
      </c>
      <c r="T6031" s="14" t="s">
        <v>66</v>
      </c>
      <c r="U6031" s="16" t="s">
        <v>31</v>
      </c>
      <c r="V6031" s="14" t="s">
        <v>221</v>
      </c>
      <c r="W6031" s="14" t="s">
        <v>37616</v>
      </c>
      <c r="X6031" s="17" t="str">
        <f>HYPERLINK("https://my.pitchbook.com?p=430094-71P","View People Online")</f>
        <v>View People Online</v>
      </c>
    </row>
    <row r="6032">
      <c r="A6032" s="10" t="s">
        <v>37650</v>
      </c>
      <c r="B6032" s="10" t="s">
        <v>37651</v>
      </c>
      <c r="C6032" s="10" t="s">
        <v>2572</v>
      </c>
      <c r="D6032" s="10" t="s">
        <v>37652</v>
      </c>
      <c r="E6032" s="10" t="s">
        <v>37653</v>
      </c>
      <c r="F6032" s="10" t="s">
        <v>825</v>
      </c>
      <c r="G6032" s="10" t="s">
        <v>37654</v>
      </c>
      <c r="H6032" s="11" t="s">
        <v>31</v>
      </c>
      <c r="I6032" s="11">
        <v>1.0</v>
      </c>
      <c r="J6032" s="11">
        <v>1.0</v>
      </c>
      <c r="K6032" s="11" t="s">
        <v>31</v>
      </c>
      <c r="L6032" s="12" t="s">
        <v>37655</v>
      </c>
      <c r="M6032" s="10" t="s">
        <v>37656</v>
      </c>
      <c r="N6032" s="10" t="s">
        <v>155</v>
      </c>
      <c r="O6032" s="12" t="s">
        <v>156</v>
      </c>
      <c r="P6032" s="10" t="s">
        <v>37657</v>
      </c>
      <c r="Q6032" s="10" t="s">
        <v>3465</v>
      </c>
      <c r="R6032" s="10" t="s">
        <v>64</v>
      </c>
      <c r="S6032" s="12" t="s">
        <v>1549</v>
      </c>
      <c r="T6032" s="10" t="s">
        <v>66</v>
      </c>
      <c r="U6032" s="12" t="s">
        <v>31</v>
      </c>
      <c r="V6032" s="10" t="s">
        <v>6372</v>
      </c>
      <c r="W6032" s="10" t="s">
        <v>37653</v>
      </c>
      <c r="X6032" s="13" t="str">
        <f>HYPERLINK("https://my.pitchbook.com?p=413503-75P","View People Online")</f>
        <v>View People Online</v>
      </c>
    </row>
    <row r="6033">
      <c r="A6033" s="14" t="s">
        <v>37658</v>
      </c>
      <c r="B6033" s="14" t="s">
        <v>37659</v>
      </c>
      <c r="C6033" s="14" t="s">
        <v>8348</v>
      </c>
      <c r="D6033" s="14" t="s">
        <v>37660</v>
      </c>
      <c r="E6033" s="14" t="s">
        <v>37653</v>
      </c>
      <c r="F6033" s="14" t="s">
        <v>583</v>
      </c>
      <c r="G6033" s="14" t="s">
        <v>37661</v>
      </c>
      <c r="H6033" s="15" t="s">
        <v>31</v>
      </c>
      <c r="I6033" s="15">
        <v>4.0</v>
      </c>
      <c r="J6033" s="15">
        <v>2.0</v>
      </c>
      <c r="K6033" s="15">
        <v>1.0</v>
      </c>
      <c r="L6033" s="16" t="s">
        <v>37662</v>
      </c>
      <c r="M6033" s="14" t="s">
        <v>37663</v>
      </c>
      <c r="N6033" s="14" t="s">
        <v>37664</v>
      </c>
      <c r="O6033" s="16" t="s">
        <v>37665</v>
      </c>
      <c r="P6033" s="14" t="s">
        <v>37666</v>
      </c>
      <c r="Q6033" s="14" t="s">
        <v>27567</v>
      </c>
      <c r="R6033" s="14" t="s">
        <v>10359</v>
      </c>
      <c r="S6033" s="16" t="s">
        <v>10360</v>
      </c>
      <c r="T6033" s="14" t="s">
        <v>66</v>
      </c>
      <c r="U6033" s="16" t="s">
        <v>31</v>
      </c>
      <c r="V6033" s="14" t="s">
        <v>37667</v>
      </c>
      <c r="W6033" s="14" t="s">
        <v>37668</v>
      </c>
      <c r="X6033" s="17" t="str">
        <f>HYPERLINK("https://my.pitchbook.com?p=218424-34P","View People Online")</f>
        <v>View People Online</v>
      </c>
    </row>
    <row r="6034">
      <c r="A6034" s="10" t="s">
        <v>37669</v>
      </c>
      <c r="B6034" s="10" t="s">
        <v>37670</v>
      </c>
      <c r="C6034" s="10" t="s">
        <v>1117</v>
      </c>
      <c r="D6034" s="10" t="s">
        <v>15536</v>
      </c>
      <c r="E6034" s="10" t="s">
        <v>37653</v>
      </c>
      <c r="F6034" s="10" t="s">
        <v>318</v>
      </c>
      <c r="G6034" s="10" t="s">
        <v>37671</v>
      </c>
      <c r="H6034" s="11" t="s">
        <v>31</v>
      </c>
      <c r="I6034" s="11">
        <v>1.0</v>
      </c>
      <c r="J6034" s="11">
        <v>1.0</v>
      </c>
      <c r="K6034" s="11" t="s">
        <v>31</v>
      </c>
      <c r="L6034" s="12" t="s">
        <v>37655</v>
      </c>
      <c r="M6034" s="10" t="s">
        <v>37672</v>
      </c>
      <c r="N6034" s="10" t="s">
        <v>155</v>
      </c>
      <c r="O6034" s="12" t="s">
        <v>156</v>
      </c>
      <c r="P6034" s="10" t="s">
        <v>37657</v>
      </c>
      <c r="Q6034" s="10" t="s">
        <v>3465</v>
      </c>
      <c r="R6034" s="10" t="s">
        <v>64</v>
      </c>
      <c r="S6034" s="12" t="s">
        <v>1549</v>
      </c>
      <c r="T6034" s="10" t="s">
        <v>66</v>
      </c>
      <c r="U6034" s="12" t="s">
        <v>31</v>
      </c>
      <c r="V6034" s="10" t="s">
        <v>37673</v>
      </c>
      <c r="W6034" s="10" t="s">
        <v>37653</v>
      </c>
      <c r="X6034" s="13" t="str">
        <f>HYPERLINK("https://my.pitchbook.com?p=330933-34P","View People Online")</f>
        <v>View People Online</v>
      </c>
    </row>
    <row r="6035">
      <c r="A6035" s="6" t="s">
        <v>37674</v>
      </c>
      <c r="B6035" s="6" t="s">
        <v>37675</v>
      </c>
      <c r="C6035" s="6" t="s">
        <v>1929</v>
      </c>
      <c r="D6035" s="6" t="s">
        <v>37676</v>
      </c>
      <c r="E6035" s="6" t="s">
        <v>37653</v>
      </c>
      <c r="F6035" s="6" t="s">
        <v>502</v>
      </c>
      <c r="G6035" s="6" t="s">
        <v>37677</v>
      </c>
      <c r="H6035" s="7" t="s">
        <v>31</v>
      </c>
      <c r="I6035" s="7">
        <v>2.0</v>
      </c>
      <c r="J6035" s="7">
        <v>2.0</v>
      </c>
      <c r="K6035" s="7" t="s">
        <v>31</v>
      </c>
      <c r="L6035" s="8" t="s">
        <v>37678</v>
      </c>
      <c r="M6035" s="6" t="s">
        <v>37679</v>
      </c>
      <c r="N6035" s="6" t="s">
        <v>1348</v>
      </c>
      <c r="O6035" s="8" t="s">
        <v>1349</v>
      </c>
      <c r="P6035" s="6" t="s">
        <v>37680</v>
      </c>
      <c r="Q6035" s="6" t="s">
        <v>37681</v>
      </c>
      <c r="R6035" s="6" t="s">
        <v>1018</v>
      </c>
      <c r="S6035" s="8" t="s">
        <v>37682</v>
      </c>
      <c r="T6035" s="6" t="s">
        <v>1019</v>
      </c>
      <c r="U6035" s="8" t="s">
        <v>37683</v>
      </c>
      <c r="V6035" s="6" t="s">
        <v>37684</v>
      </c>
      <c r="W6035" s="6" t="s">
        <v>37685</v>
      </c>
      <c r="X6035" s="9" t="str">
        <f>HYPERLINK("https://my.pitchbook.com?p=81387-19P","View People Online")</f>
        <v>View People Online</v>
      </c>
    </row>
    <row r="6036">
      <c r="A6036" s="2" t="s">
        <v>37686</v>
      </c>
      <c r="B6036" s="2" t="s">
        <v>37687</v>
      </c>
      <c r="C6036" s="2" t="s">
        <v>263</v>
      </c>
      <c r="D6036" s="2" t="s">
        <v>37688</v>
      </c>
      <c r="E6036" s="2" t="s">
        <v>37653</v>
      </c>
      <c r="F6036" s="2" t="s">
        <v>318</v>
      </c>
      <c r="G6036" s="2" t="s">
        <v>37689</v>
      </c>
      <c r="H6036" s="3">
        <v>2.0</v>
      </c>
      <c r="I6036" s="3">
        <v>5.0</v>
      </c>
      <c r="J6036" s="3">
        <v>2.0</v>
      </c>
      <c r="K6036" s="3">
        <v>1.0</v>
      </c>
      <c r="L6036" s="4" t="s">
        <v>37655</v>
      </c>
      <c r="M6036" s="2" t="s">
        <v>37690</v>
      </c>
      <c r="N6036" s="2" t="s">
        <v>155</v>
      </c>
      <c r="O6036" s="4" t="s">
        <v>156</v>
      </c>
      <c r="P6036" s="2" t="s">
        <v>37657</v>
      </c>
      <c r="Q6036" s="2" t="s">
        <v>3465</v>
      </c>
      <c r="R6036" s="2" t="s">
        <v>64</v>
      </c>
      <c r="S6036" s="4" t="s">
        <v>1549</v>
      </c>
      <c r="T6036" s="2" t="s">
        <v>66</v>
      </c>
      <c r="U6036" s="4" t="s">
        <v>31</v>
      </c>
      <c r="V6036" s="2" t="s">
        <v>37691</v>
      </c>
      <c r="W6036" s="2" t="s">
        <v>37653</v>
      </c>
      <c r="X6036" s="5" t="str">
        <f>HYPERLINK("https://my.pitchbook.com?p=222682-51P","View People Online")</f>
        <v>View People Online</v>
      </c>
    </row>
    <row r="6037">
      <c r="A6037" s="14" t="s">
        <v>37692</v>
      </c>
      <c r="B6037" s="14" t="s">
        <v>37693</v>
      </c>
      <c r="C6037" s="14" t="s">
        <v>37694</v>
      </c>
      <c r="D6037" s="14" t="s">
        <v>37695</v>
      </c>
      <c r="E6037" s="14" t="s">
        <v>37653</v>
      </c>
      <c r="F6037" s="14" t="s">
        <v>3710</v>
      </c>
      <c r="G6037" s="14" t="s">
        <v>37696</v>
      </c>
      <c r="H6037" s="15" t="s">
        <v>31</v>
      </c>
      <c r="I6037" s="15">
        <v>1.0</v>
      </c>
      <c r="J6037" s="15">
        <v>1.0</v>
      </c>
      <c r="K6037" s="15" t="s">
        <v>31</v>
      </c>
      <c r="L6037" s="16" t="s">
        <v>37655</v>
      </c>
      <c r="M6037" s="14" t="s">
        <v>37697</v>
      </c>
      <c r="N6037" s="14" t="s">
        <v>155</v>
      </c>
      <c r="O6037" s="16" t="s">
        <v>156</v>
      </c>
      <c r="P6037" s="14" t="s">
        <v>37657</v>
      </c>
      <c r="Q6037" s="14" t="s">
        <v>3465</v>
      </c>
      <c r="R6037" s="14" t="s">
        <v>64</v>
      </c>
      <c r="S6037" s="16" t="s">
        <v>1549</v>
      </c>
      <c r="T6037" s="14" t="s">
        <v>66</v>
      </c>
      <c r="U6037" s="16" t="s">
        <v>31</v>
      </c>
      <c r="V6037" s="14" t="s">
        <v>3710</v>
      </c>
      <c r="W6037" s="14" t="s">
        <v>37653</v>
      </c>
      <c r="X6037" s="17" t="str">
        <f>HYPERLINK("https://my.pitchbook.com?p=127604-98P","View People Online")</f>
        <v>View People Online</v>
      </c>
    </row>
    <row r="6038">
      <c r="A6038" s="2" t="s">
        <v>37698</v>
      </c>
      <c r="B6038" s="2" t="s">
        <v>37699</v>
      </c>
      <c r="C6038" s="2" t="s">
        <v>1449</v>
      </c>
      <c r="D6038" s="2" t="s">
        <v>37700</v>
      </c>
      <c r="E6038" s="2" t="s">
        <v>37653</v>
      </c>
      <c r="F6038" s="2" t="s">
        <v>318</v>
      </c>
      <c r="G6038" s="2" t="s">
        <v>37701</v>
      </c>
      <c r="H6038" s="3" t="s">
        <v>31</v>
      </c>
      <c r="I6038" s="3">
        <v>1.0</v>
      </c>
      <c r="J6038" s="3">
        <v>1.0</v>
      </c>
      <c r="K6038" s="3" t="s">
        <v>31</v>
      </c>
      <c r="L6038" s="4" t="s">
        <v>37655</v>
      </c>
      <c r="M6038" s="2" t="s">
        <v>37702</v>
      </c>
      <c r="N6038" s="2" t="s">
        <v>155</v>
      </c>
      <c r="O6038" s="4" t="s">
        <v>156</v>
      </c>
      <c r="P6038" s="2" t="s">
        <v>37657</v>
      </c>
      <c r="Q6038" s="2" t="s">
        <v>3465</v>
      </c>
      <c r="R6038" s="2" t="s">
        <v>64</v>
      </c>
      <c r="S6038" s="4" t="s">
        <v>1549</v>
      </c>
      <c r="T6038" s="2" t="s">
        <v>66</v>
      </c>
      <c r="U6038" s="4" t="s">
        <v>31</v>
      </c>
      <c r="V6038" s="2" t="s">
        <v>37691</v>
      </c>
      <c r="W6038" s="2" t="s">
        <v>37653</v>
      </c>
      <c r="X6038" s="5" t="str">
        <f>HYPERLINK("https://my.pitchbook.com?p=330931-09P","View People Online")</f>
        <v>View People Online</v>
      </c>
    </row>
    <row r="6039">
      <c r="A6039" s="6" t="s">
        <v>37703</v>
      </c>
      <c r="B6039" s="6" t="s">
        <v>37704</v>
      </c>
      <c r="C6039" s="6" t="s">
        <v>16058</v>
      </c>
      <c r="D6039" s="6" t="s">
        <v>37705</v>
      </c>
      <c r="E6039" s="6" t="s">
        <v>37653</v>
      </c>
      <c r="F6039" s="6" t="s">
        <v>1283</v>
      </c>
      <c r="G6039" s="6" t="s">
        <v>37706</v>
      </c>
      <c r="H6039" s="7">
        <v>1.0</v>
      </c>
      <c r="I6039" s="7">
        <v>3.0</v>
      </c>
      <c r="J6039" s="7">
        <v>1.0</v>
      </c>
      <c r="K6039" s="7">
        <v>1.0</v>
      </c>
      <c r="L6039" s="8" t="s">
        <v>31</v>
      </c>
      <c r="M6039" s="6" t="s">
        <v>37707</v>
      </c>
      <c r="N6039" s="6" t="s">
        <v>243</v>
      </c>
      <c r="O6039" s="8" t="s">
        <v>244</v>
      </c>
      <c r="P6039" s="6" t="s">
        <v>37708</v>
      </c>
      <c r="Q6039" s="6" t="s">
        <v>11360</v>
      </c>
      <c r="R6039" s="6" t="s">
        <v>247</v>
      </c>
      <c r="S6039" s="8" t="s">
        <v>37709</v>
      </c>
      <c r="T6039" s="6" t="s">
        <v>249</v>
      </c>
      <c r="U6039" s="8" t="s">
        <v>31</v>
      </c>
      <c r="V6039" s="6" t="s">
        <v>29778</v>
      </c>
      <c r="W6039" s="6" t="s">
        <v>37653</v>
      </c>
      <c r="X6039" s="9" t="str">
        <f>HYPERLINK("https://my.pitchbook.com?p=200729-44P","View People Online")</f>
        <v>View People Online</v>
      </c>
    </row>
    <row r="6040">
      <c r="A6040" s="10" t="s">
        <v>37710</v>
      </c>
      <c r="B6040" s="10" t="s">
        <v>37711</v>
      </c>
      <c r="C6040" s="10" t="s">
        <v>11210</v>
      </c>
      <c r="D6040" s="10" t="s">
        <v>37712</v>
      </c>
      <c r="E6040" s="10" t="s">
        <v>37653</v>
      </c>
      <c r="F6040" s="10" t="s">
        <v>11160</v>
      </c>
      <c r="G6040" s="10" t="s">
        <v>37713</v>
      </c>
      <c r="H6040" s="11" t="s">
        <v>31</v>
      </c>
      <c r="I6040" s="11">
        <v>1.0</v>
      </c>
      <c r="J6040" s="11">
        <v>1.0</v>
      </c>
      <c r="K6040" s="11" t="s">
        <v>31</v>
      </c>
      <c r="L6040" s="12" t="s">
        <v>37655</v>
      </c>
      <c r="M6040" s="10" t="s">
        <v>37714</v>
      </c>
      <c r="N6040" s="10" t="s">
        <v>155</v>
      </c>
      <c r="O6040" s="12" t="s">
        <v>156</v>
      </c>
      <c r="P6040" s="10" t="s">
        <v>37657</v>
      </c>
      <c r="Q6040" s="10" t="s">
        <v>3465</v>
      </c>
      <c r="R6040" s="10" t="s">
        <v>64</v>
      </c>
      <c r="S6040" s="12" t="s">
        <v>1549</v>
      </c>
      <c r="T6040" s="10" t="s">
        <v>66</v>
      </c>
      <c r="U6040" s="12" t="s">
        <v>31</v>
      </c>
      <c r="V6040" s="10" t="s">
        <v>37715</v>
      </c>
      <c r="W6040" s="10" t="s">
        <v>37653</v>
      </c>
      <c r="X6040" s="13" t="str">
        <f>HYPERLINK("https://my.pitchbook.com?p=285636-07P","View People Online")</f>
        <v>View People Online</v>
      </c>
    </row>
    <row r="6041">
      <c r="A6041" s="6" t="s">
        <v>37716</v>
      </c>
      <c r="B6041" s="6" t="s">
        <v>37717</v>
      </c>
      <c r="C6041" s="6" t="s">
        <v>323</v>
      </c>
      <c r="D6041" s="6" t="s">
        <v>243</v>
      </c>
      <c r="E6041" s="6" t="s">
        <v>37653</v>
      </c>
      <c r="F6041" s="6" t="s">
        <v>318</v>
      </c>
      <c r="G6041" s="6" t="s">
        <v>37718</v>
      </c>
      <c r="H6041" s="7" t="s">
        <v>31</v>
      </c>
      <c r="I6041" s="7">
        <v>1.0</v>
      </c>
      <c r="J6041" s="7">
        <v>1.0</v>
      </c>
      <c r="K6041" s="7" t="s">
        <v>31</v>
      </c>
      <c r="L6041" s="8" t="s">
        <v>37655</v>
      </c>
      <c r="M6041" s="6" t="s">
        <v>37719</v>
      </c>
      <c r="N6041" s="6" t="s">
        <v>155</v>
      </c>
      <c r="O6041" s="8" t="s">
        <v>156</v>
      </c>
      <c r="P6041" s="6" t="s">
        <v>37657</v>
      </c>
      <c r="Q6041" s="6" t="s">
        <v>3465</v>
      </c>
      <c r="R6041" s="6" t="s">
        <v>64</v>
      </c>
      <c r="S6041" s="8" t="s">
        <v>1549</v>
      </c>
      <c r="T6041" s="6" t="s">
        <v>66</v>
      </c>
      <c r="U6041" s="8" t="s">
        <v>31</v>
      </c>
      <c r="V6041" s="6" t="s">
        <v>37691</v>
      </c>
      <c r="W6041" s="6" t="s">
        <v>37653</v>
      </c>
      <c r="X6041" s="9" t="str">
        <f>HYPERLINK("https://my.pitchbook.com?p=367659-82P","View People Online")</f>
        <v>View People Online</v>
      </c>
    </row>
    <row r="6042">
      <c r="A6042" s="10" t="s">
        <v>37720</v>
      </c>
      <c r="B6042" s="10" t="s">
        <v>37721</v>
      </c>
      <c r="C6042" s="10" t="s">
        <v>3811</v>
      </c>
      <c r="D6042" s="10" t="s">
        <v>37722</v>
      </c>
      <c r="E6042" s="10" t="s">
        <v>37653</v>
      </c>
      <c r="F6042" s="10" t="s">
        <v>1283</v>
      </c>
      <c r="G6042" s="10" t="s">
        <v>37723</v>
      </c>
      <c r="H6042" s="11" t="s">
        <v>31</v>
      </c>
      <c r="I6042" s="11">
        <v>3.0</v>
      </c>
      <c r="J6042" s="11">
        <v>1.0</v>
      </c>
      <c r="K6042" s="11" t="s">
        <v>31</v>
      </c>
      <c r="L6042" s="12" t="s">
        <v>37655</v>
      </c>
      <c r="M6042" s="10" t="s">
        <v>37724</v>
      </c>
      <c r="N6042" s="10" t="s">
        <v>155</v>
      </c>
      <c r="O6042" s="12" t="s">
        <v>156</v>
      </c>
      <c r="P6042" s="10" t="s">
        <v>37657</v>
      </c>
      <c r="Q6042" s="10" t="s">
        <v>3465</v>
      </c>
      <c r="R6042" s="10" t="s">
        <v>64</v>
      </c>
      <c r="S6042" s="12" t="s">
        <v>1549</v>
      </c>
      <c r="T6042" s="10" t="s">
        <v>66</v>
      </c>
      <c r="U6042" s="12" t="s">
        <v>31</v>
      </c>
      <c r="V6042" s="10" t="s">
        <v>24866</v>
      </c>
      <c r="W6042" s="10" t="s">
        <v>37653</v>
      </c>
      <c r="X6042" s="13" t="str">
        <f>HYPERLINK("https://my.pitchbook.com?p=315432-82P","View People Online")</f>
        <v>View People Online</v>
      </c>
    </row>
    <row r="6043">
      <c r="A6043" s="6" t="s">
        <v>37725</v>
      </c>
      <c r="B6043" s="6" t="s">
        <v>37726</v>
      </c>
      <c r="C6043" s="6" t="s">
        <v>37727</v>
      </c>
      <c r="D6043" s="6" t="s">
        <v>37728</v>
      </c>
      <c r="E6043" s="6" t="s">
        <v>37653</v>
      </c>
      <c r="F6043" s="6" t="s">
        <v>502</v>
      </c>
      <c r="G6043" s="6" t="s">
        <v>37729</v>
      </c>
      <c r="H6043" s="7" t="s">
        <v>31</v>
      </c>
      <c r="I6043" s="7">
        <v>1.0</v>
      </c>
      <c r="J6043" s="7">
        <v>1.0</v>
      </c>
      <c r="K6043" s="7" t="s">
        <v>31</v>
      </c>
      <c r="L6043" s="8" t="s">
        <v>37655</v>
      </c>
      <c r="M6043" s="6" t="s">
        <v>37730</v>
      </c>
      <c r="N6043" s="6" t="s">
        <v>155</v>
      </c>
      <c r="O6043" s="8" t="s">
        <v>156</v>
      </c>
      <c r="P6043" s="6" t="s">
        <v>37657</v>
      </c>
      <c r="Q6043" s="6" t="s">
        <v>3465</v>
      </c>
      <c r="R6043" s="6" t="s">
        <v>64</v>
      </c>
      <c r="S6043" s="8" t="s">
        <v>1549</v>
      </c>
      <c r="T6043" s="6" t="s">
        <v>66</v>
      </c>
      <c r="U6043" s="8" t="s">
        <v>31</v>
      </c>
      <c r="V6043" s="6" t="s">
        <v>502</v>
      </c>
      <c r="W6043" s="6" t="s">
        <v>37653</v>
      </c>
      <c r="X6043" s="9" t="str">
        <f>HYPERLINK("https://my.pitchbook.com?p=434438-29P","View People Online")</f>
        <v>View People Online</v>
      </c>
    </row>
    <row r="6044">
      <c r="A6044" s="2" t="s">
        <v>37731</v>
      </c>
      <c r="B6044" s="2" t="s">
        <v>37732</v>
      </c>
      <c r="C6044" s="2" t="s">
        <v>8234</v>
      </c>
      <c r="D6044" s="2" t="s">
        <v>37733</v>
      </c>
      <c r="E6044" s="2" t="s">
        <v>37653</v>
      </c>
      <c r="F6044" s="2" t="s">
        <v>221</v>
      </c>
      <c r="G6044" s="2" t="s">
        <v>37734</v>
      </c>
      <c r="H6044" s="3" t="s">
        <v>31</v>
      </c>
      <c r="I6044" s="3">
        <v>1.0</v>
      </c>
      <c r="J6044" s="3">
        <v>1.0</v>
      </c>
      <c r="K6044" s="3" t="s">
        <v>31</v>
      </c>
      <c r="L6044" s="4" t="s">
        <v>37655</v>
      </c>
      <c r="M6044" s="2" t="s">
        <v>37735</v>
      </c>
      <c r="N6044" s="2" t="s">
        <v>155</v>
      </c>
      <c r="O6044" s="4" t="s">
        <v>156</v>
      </c>
      <c r="P6044" s="2" t="s">
        <v>37657</v>
      </c>
      <c r="Q6044" s="2" t="s">
        <v>3465</v>
      </c>
      <c r="R6044" s="2" t="s">
        <v>64</v>
      </c>
      <c r="S6044" s="4" t="s">
        <v>1549</v>
      </c>
      <c r="T6044" s="2" t="s">
        <v>66</v>
      </c>
      <c r="U6044" s="4" t="s">
        <v>31</v>
      </c>
      <c r="V6044" s="2" t="s">
        <v>221</v>
      </c>
      <c r="W6044" s="2" t="s">
        <v>37653</v>
      </c>
      <c r="X6044" s="5" t="str">
        <f>HYPERLINK("https://my.pitchbook.com?p=285637-42P","View People Online")</f>
        <v>View People Online</v>
      </c>
    </row>
    <row r="6045">
      <c r="A6045" s="14" t="s">
        <v>37736</v>
      </c>
      <c r="B6045" s="14" t="s">
        <v>37737</v>
      </c>
      <c r="C6045" s="14" t="s">
        <v>4358</v>
      </c>
      <c r="D6045" s="14" t="s">
        <v>37738</v>
      </c>
      <c r="E6045" s="14" t="s">
        <v>37653</v>
      </c>
      <c r="F6045" s="14" t="s">
        <v>3740</v>
      </c>
      <c r="G6045" s="14" t="s">
        <v>37739</v>
      </c>
      <c r="H6045" s="15" t="s">
        <v>31</v>
      </c>
      <c r="I6045" s="15">
        <v>1.0</v>
      </c>
      <c r="J6045" s="15">
        <v>1.0</v>
      </c>
      <c r="K6045" s="15" t="s">
        <v>31</v>
      </c>
      <c r="L6045" s="16" t="s">
        <v>37655</v>
      </c>
      <c r="M6045" s="14" t="s">
        <v>37740</v>
      </c>
      <c r="N6045" s="14" t="s">
        <v>155</v>
      </c>
      <c r="O6045" s="16" t="s">
        <v>156</v>
      </c>
      <c r="P6045" s="14" t="s">
        <v>37657</v>
      </c>
      <c r="Q6045" s="14" t="s">
        <v>3465</v>
      </c>
      <c r="R6045" s="14" t="s">
        <v>64</v>
      </c>
      <c r="S6045" s="16" t="s">
        <v>1549</v>
      </c>
      <c r="T6045" s="14" t="s">
        <v>66</v>
      </c>
      <c r="U6045" s="16" t="s">
        <v>31</v>
      </c>
      <c r="V6045" s="14" t="s">
        <v>2379</v>
      </c>
      <c r="W6045" s="14" t="s">
        <v>37741</v>
      </c>
      <c r="X6045" s="17" t="str">
        <f>HYPERLINK("https://my.pitchbook.com?p=48045-79P","View People Online")</f>
        <v>View People Online</v>
      </c>
    </row>
    <row r="6046">
      <c r="A6046" s="2" t="s">
        <v>37742</v>
      </c>
      <c r="B6046" s="2" t="s">
        <v>37743</v>
      </c>
      <c r="C6046" s="2" t="s">
        <v>5358</v>
      </c>
      <c r="D6046" s="2" t="s">
        <v>37744</v>
      </c>
      <c r="E6046" s="2" t="s">
        <v>37653</v>
      </c>
      <c r="F6046" s="2" t="s">
        <v>583</v>
      </c>
      <c r="G6046" s="2" t="s">
        <v>37745</v>
      </c>
      <c r="H6046" s="3" t="s">
        <v>31</v>
      </c>
      <c r="I6046" s="3">
        <v>5.0</v>
      </c>
      <c r="J6046" s="3">
        <v>2.0</v>
      </c>
      <c r="K6046" s="3">
        <v>2.0</v>
      </c>
      <c r="L6046" s="4" t="s">
        <v>37746</v>
      </c>
      <c r="M6046" s="2" t="s">
        <v>37747</v>
      </c>
      <c r="N6046" s="2" t="s">
        <v>10983</v>
      </c>
      <c r="O6046" s="4" t="s">
        <v>37748</v>
      </c>
      <c r="P6046" s="2" t="s">
        <v>37749</v>
      </c>
      <c r="Q6046" s="2" t="s">
        <v>37750</v>
      </c>
      <c r="R6046" s="2" t="s">
        <v>37751</v>
      </c>
      <c r="S6046" s="4" t="s">
        <v>37752</v>
      </c>
      <c r="T6046" s="2" t="s">
        <v>66</v>
      </c>
      <c r="U6046" s="4" t="s">
        <v>31</v>
      </c>
      <c r="V6046" s="2" t="s">
        <v>37667</v>
      </c>
      <c r="W6046" s="2" t="s">
        <v>37668</v>
      </c>
      <c r="X6046" s="5" t="str">
        <f>HYPERLINK("https://my.pitchbook.com?p=218425-33P","View People Online")</f>
        <v>View People Online</v>
      </c>
    </row>
    <row r="6047">
      <c r="A6047" s="14" t="s">
        <v>37753</v>
      </c>
      <c r="B6047" s="14" t="s">
        <v>37754</v>
      </c>
      <c r="C6047" s="14" t="s">
        <v>3529</v>
      </c>
      <c r="D6047" s="14" t="s">
        <v>6893</v>
      </c>
      <c r="E6047" s="14" t="s">
        <v>37653</v>
      </c>
      <c r="F6047" s="14" t="s">
        <v>318</v>
      </c>
      <c r="G6047" s="14" t="s">
        <v>37755</v>
      </c>
      <c r="H6047" s="15" t="s">
        <v>31</v>
      </c>
      <c r="I6047" s="15">
        <v>1.0</v>
      </c>
      <c r="J6047" s="15">
        <v>1.0</v>
      </c>
      <c r="K6047" s="15" t="s">
        <v>31</v>
      </c>
      <c r="L6047" s="16" t="s">
        <v>37655</v>
      </c>
      <c r="M6047" s="14" t="s">
        <v>37756</v>
      </c>
      <c r="N6047" s="14" t="s">
        <v>155</v>
      </c>
      <c r="O6047" s="16" t="s">
        <v>156</v>
      </c>
      <c r="P6047" s="14" t="s">
        <v>37657</v>
      </c>
      <c r="Q6047" s="14" t="s">
        <v>3465</v>
      </c>
      <c r="R6047" s="14" t="s">
        <v>64</v>
      </c>
      <c r="S6047" s="16" t="s">
        <v>1549</v>
      </c>
      <c r="T6047" s="14" t="s">
        <v>66</v>
      </c>
      <c r="U6047" s="16" t="s">
        <v>31</v>
      </c>
      <c r="V6047" s="14" t="s">
        <v>37757</v>
      </c>
      <c r="W6047" s="14" t="s">
        <v>37653</v>
      </c>
      <c r="X6047" s="17" t="str">
        <f>HYPERLINK("https://my.pitchbook.com?p=415356-85P","View People Online")</f>
        <v>View People Online</v>
      </c>
    </row>
    <row r="6048">
      <c r="A6048" s="10" t="s">
        <v>37758</v>
      </c>
      <c r="B6048" s="10" t="s">
        <v>37759</v>
      </c>
      <c r="C6048" s="10" t="s">
        <v>3529</v>
      </c>
      <c r="D6048" s="10" t="s">
        <v>12822</v>
      </c>
      <c r="E6048" s="10" t="s">
        <v>37653</v>
      </c>
      <c r="F6048" s="10" t="s">
        <v>318</v>
      </c>
      <c r="G6048" s="10" t="s">
        <v>37760</v>
      </c>
      <c r="H6048" s="11" t="s">
        <v>31</v>
      </c>
      <c r="I6048" s="11">
        <v>1.0</v>
      </c>
      <c r="J6048" s="11">
        <v>1.0</v>
      </c>
      <c r="K6048" s="11" t="s">
        <v>31</v>
      </c>
      <c r="L6048" s="12" t="s">
        <v>37655</v>
      </c>
      <c r="M6048" s="10" t="s">
        <v>37761</v>
      </c>
      <c r="N6048" s="10" t="s">
        <v>155</v>
      </c>
      <c r="O6048" s="12" t="s">
        <v>156</v>
      </c>
      <c r="P6048" s="10" t="s">
        <v>37657</v>
      </c>
      <c r="Q6048" s="10" t="s">
        <v>3465</v>
      </c>
      <c r="R6048" s="10" t="s">
        <v>64</v>
      </c>
      <c r="S6048" s="12" t="s">
        <v>1549</v>
      </c>
      <c r="T6048" s="10" t="s">
        <v>66</v>
      </c>
      <c r="U6048" s="12" t="s">
        <v>31</v>
      </c>
      <c r="V6048" s="10" t="s">
        <v>37762</v>
      </c>
      <c r="W6048" s="10" t="s">
        <v>37653</v>
      </c>
      <c r="X6048" s="13" t="str">
        <f>HYPERLINK("https://my.pitchbook.com?p=208637-92P","View People Online")</f>
        <v>View People Online</v>
      </c>
    </row>
    <row r="6049">
      <c r="A6049" s="14" t="s">
        <v>37763</v>
      </c>
      <c r="B6049" s="14" t="s">
        <v>37764</v>
      </c>
      <c r="C6049" s="14" t="s">
        <v>37765</v>
      </c>
      <c r="D6049" s="14" t="s">
        <v>934</v>
      </c>
      <c r="E6049" s="14" t="s">
        <v>37653</v>
      </c>
      <c r="F6049" s="14" t="s">
        <v>7658</v>
      </c>
      <c r="G6049" s="14" t="s">
        <v>37766</v>
      </c>
      <c r="H6049" s="15" t="s">
        <v>31</v>
      </c>
      <c r="I6049" s="15">
        <v>1.0</v>
      </c>
      <c r="J6049" s="15">
        <v>1.0</v>
      </c>
      <c r="K6049" s="15" t="s">
        <v>31</v>
      </c>
      <c r="L6049" s="16" t="s">
        <v>37655</v>
      </c>
      <c r="M6049" s="14" t="s">
        <v>37767</v>
      </c>
      <c r="N6049" s="14" t="s">
        <v>155</v>
      </c>
      <c r="O6049" s="16" t="s">
        <v>156</v>
      </c>
      <c r="P6049" s="14" t="s">
        <v>37657</v>
      </c>
      <c r="Q6049" s="14" t="s">
        <v>3465</v>
      </c>
      <c r="R6049" s="14" t="s">
        <v>64</v>
      </c>
      <c r="S6049" s="16" t="s">
        <v>1549</v>
      </c>
      <c r="T6049" s="14" t="s">
        <v>66</v>
      </c>
      <c r="U6049" s="16" t="s">
        <v>31</v>
      </c>
      <c r="V6049" s="14" t="s">
        <v>7658</v>
      </c>
      <c r="W6049" s="14" t="s">
        <v>37653</v>
      </c>
      <c r="X6049" s="17" t="str">
        <f>HYPERLINK("https://my.pitchbook.com?p=293375-08P","View People Online")</f>
        <v>View People Online</v>
      </c>
    </row>
    <row r="6050">
      <c r="A6050" s="10" t="s">
        <v>37768</v>
      </c>
      <c r="B6050" s="10" t="s">
        <v>37769</v>
      </c>
      <c r="C6050" s="10" t="s">
        <v>3670</v>
      </c>
      <c r="D6050" s="10" t="s">
        <v>9546</v>
      </c>
      <c r="E6050" s="10" t="s">
        <v>37653</v>
      </c>
      <c r="F6050" s="10" t="s">
        <v>3823</v>
      </c>
      <c r="G6050" s="10" t="s">
        <v>37770</v>
      </c>
      <c r="H6050" s="11">
        <v>2.0</v>
      </c>
      <c r="I6050" s="11">
        <v>3.0</v>
      </c>
      <c r="J6050" s="11">
        <v>1.0</v>
      </c>
      <c r="K6050" s="11" t="s">
        <v>31</v>
      </c>
      <c r="L6050" s="12" t="s">
        <v>37655</v>
      </c>
      <c r="M6050" s="10" t="s">
        <v>37771</v>
      </c>
      <c r="N6050" s="10" t="s">
        <v>155</v>
      </c>
      <c r="O6050" s="12" t="s">
        <v>156</v>
      </c>
      <c r="P6050" s="10" t="s">
        <v>37657</v>
      </c>
      <c r="Q6050" s="10" t="s">
        <v>3465</v>
      </c>
      <c r="R6050" s="10" t="s">
        <v>64</v>
      </c>
      <c r="S6050" s="12" t="s">
        <v>1549</v>
      </c>
      <c r="T6050" s="10" t="s">
        <v>66</v>
      </c>
      <c r="U6050" s="12" t="s">
        <v>31</v>
      </c>
      <c r="V6050" s="10" t="s">
        <v>37772</v>
      </c>
      <c r="W6050" s="10" t="s">
        <v>37653</v>
      </c>
      <c r="X6050" s="13" t="str">
        <f>HYPERLINK("https://my.pitchbook.com?p=220266-55P","View People Online")</f>
        <v>View People Online</v>
      </c>
    </row>
    <row r="6051">
      <c r="A6051" s="6" t="s">
        <v>37773</v>
      </c>
      <c r="B6051" s="6" t="s">
        <v>37774</v>
      </c>
      <c r="C6051" s="6" t="s">
        <v>26</v>
      </c>
      <c r="D6051" s="6" t="s">
        <v>4248</v>
      </c>
      <c r="E6051" s="6" t="s">
        <v>37653</v>
      </c>
      <c r="F6051" s="6" t="s">
        <v>2731</v>
      </c>
      <c r="G6051" s="6" t="s">
        <v>37775</v>
      </c>
      <c r="H6051" s="7" t="s">
        <v>31</v>
      </c>
      <c r="I6051" s="7">
        <v>2.0</v>
      </c>
      <c r="J6051" s="7">
        <v>1.0</v>
      </c>
      <c r="K6051" s="7" t="s">
        <v>31</v>
      </c>
      <c r="L6051" s="8" t="s">
        <v>37776</v>
      </c>
      <c r="M6051" s="6" t="s">
        <v>37777</v>
      </c>
      <c r="N6051" s="6" t="s">
        <v>155</v>
      </c>
      <c r="O6051" s="8" t="s">
        <v>156</v>
      </c>
      <c r="P6051" s="6" t="s">
        <v>37778</v>
      </c>
      <c r="Q6051" s="6" t="s">
        <v>3928</v>
      </c>
      <c r="R6051" s="6" t="s">
        <v>64</v>
      </c>
      <c r="S6051" s="8" t="s">
        <v>3487</v>
      </c>
      <c r="T6051" s="6" t="s">
        <v>66</v>
      </c>
      <c r="U6051" s="8" t="s">
        <v>37779</v>
      </c>
      <c r="V6051" s="6" t="s">
        <v>37780</v>
      </c>
      <c r="W6051" s="6" t="s">
        <v>37781</v>
      </c>
      <c r="X6051" s="9" t="str">
        <f>HYPERLINK("https://my.pitchbook.com?p=37751-23P","View People Online")</f>
        <v>View People Online</v>
      </c>
    </row>
    <row r="6052">
      <c r="A6052" s="2" t="s">
        <v>37782</v>
      </c>
      <c r="B6052" s="2" t="s">
        <v>37783</v>
      </c>
      <c r="C6052" s="2" t="s">
        <v>1343</v>
      </c>
      <c r="D6052" s="2" t="s">
        <v>37784</v>
      </c>
      <c r="E6052" s="2" t="s">
        <v>37653</v>
      </c>
      <c r="F6052" s="2" t="s">
        <v>2652</v>
      </c>
      <c r="G6052" s="2" t="s">
        <v>37785</v>
      </c>
      <c r="H6052" s="3" t="s">
        <v>31</v>
      </c>
      <c r="I6052" s="3">
        <v>1.0</v>
      </c>
      <c r="J6052" s="3">
        <v>1.0</v>
      </c>
      <c r="K6052" s="3" t="s">
        <v>31</v>
      </c>
      <c r="L6052" s="4" t="s">
        <v>37655</v>
      </c>
      <c r="M6052" s="2" t="s">
        <v>37786</v>
      </c>
      <c r="N6052" s="2" t="s">
        <v>75</v>
      </c>
      <c r="O6052" s="4" t="s">
        <v>76</v>
      </c>
      <c r="P6052" s="2" t="s">
        <v>37787</v>
      </c>
      <c r="Q6052" s="2" t="s">
        <v>10135</v>
      </c>
      <c r="R6052" s="2" t="s">
        <v>75</v>
      </c>
      <c r="S6052" s="4" t="s">
        <v>4581</v>
      </c>
      <c r="T6052" s="2" t="s">
        <v>66</v>
      </c>
      <c r="U6052" s="4" t="s">
        <v>31</v>
      </c>
      <c r="V6052" s="2" t="s">
        <v>37788</v>
      </c>
      <c r="W6052" s="2" t="s">
        <v>37653</v>
      </c>
      <c r="X6052" s="5" t="str">
        <f>HYPERLINK("https://my.pitchbook.com?p=285859-09P","View People Online")</f>
        <v>View People Online</v>
      </c>
    </row>
    <row r="6053">
      <c r="A6053" s="14" t="s">
        <v>37789</v>
      </c>
      <c r="B6053" s="14" t="s">
        <v>37790</v>
      </c>
      <c r="C6053" s="14" t="s">
        <v>3052</v>
      </c>
      <c r="D6053" s="14" t="s">
        <v>14687</v>
      </c>
      <c r="E6053" s="14" t="s">
        <v>37653</v>
      </c>
      <c r="F6053" s="14" t="s">
        <v>318</v>
      </c>
      <c r="G6053" s="14" t="s">
        <v>37791</v>
      </c>
      <c r="H6053" s="15" t="s">
        <v>31</v>
      </c>
      <c r="I6053" s="15">
        <v>1.0</v>
      </c>
      <c r="J6053" s="15">
        <v>1.0</v>
      </c>
      <c r="K6053" s="15" t="s">
        <v>31</v>
      </c>
      <c r="L6053" s="16" t="s">
        <v>37655</v>
      </c>
      <c r="M6053" s="14" t="s">
        <v>37792</v>
      </c>
      <c r="N6053" s="14" t="s">
        <v>155</v>
      </c>
      <c r="O6053" s="16" t="s">
        <v>156</v>
      </c>
      <c r="P6053" s="14" t="s">
        <v>37657</v>
      </c>
      <c r="Q6053" s="14" t="s">
        <v>3465</v>
      </c>
      <c r="R6053" s="14" t="s">
        <v>64</v>
      </c>
      <c r="S6053" s="16" t="s">
        <v>1549</v>
      </c>
      <c r="T6053" s="14" t="s">
        <v>66</v>
      </c>
      <c r="U6053" s="16" t="s">
        <v>31</v>
      </c>
      <c r="V6053" s="14" t="s">
        <v>37691</v>
      </c>
      <c r="W6053" s="14" t="s">
        <v>37653</v>
      </c>
      <c r="X6053" s="17" t="str">
        <f>HYPERLINK("https://my.pitchbook.com?p=88931-80P","View People Online")</f>
        <v>View People Online</v>
      </c>
    </row>
    <row r="6054">
      <c r="A6054" s="10" t="s">
        <v>37793</v>
      </c>
      <c r="B6054" s="10" t="s">
        <v>37794</v>
      </c>
      <c r="C6054" s="10" t="s">
        <v>37795</v>
      </c>
      <c r="D6054" s="10" t="s">
        <v>37796</v>
      </c>
      <c r="E6054" s="10" t="s">
        <v>37653</v>
      </c>
      <c r="F6054" s="10" t="s">
        <v>318</v>
      </c>
      <c r="G6054" s="10" t="s">
        <v>37797</v>
      </c>
      <c r="H6054" s="11" t="s">
        <v>31</v>
      </c>
      <c r="I6054" s="11">
        <v>1.0</v>
      </c>
      <c r="J6054" s="11">
        <v>1.0</v>
      </c>
      <c r="K6054" s="11" t="s">
        <v>31</v>
      </c>
      <c r="L6054" s="12" t="s">
        <v>37655</v>
      </c>
      <c r="M6054" s="10" t="s">
        <v>37798</v>
      </c>
      <c r="N6054" s="10" t="s">
        <v>75</v>
      </c>
      <c r="O6054" s="12" t="s">
        <v>76</v>
      </c>
      <c r="P6054" s="10" t="s">
        <v>37787</v>
      </c>
      <c r="Q6054" s="10" t="s">
        <v>10135</v>
      </c>
      <c r="R6054" s="10" t="s">
        <v>75</v>
      </c>
      <c r="S6054" s="12" t="s">
        <v>4581</v>
      </c>
      <c r="T6054" s="10" t="s">
        <v>66</v>
      </c>
      <c r="U6054" s="12" t="s">
        <v>31</v>
      </c>
      <c r="V6054" s="10" t="s">
        <v>37799</v>
      </c>
      <c r="W6054" s="10" t="s">
        <v>37653</v>
      </c>
      <c r="X6054" s="13" t="str">
        <f>HYPERLINK("https://my.pitchbook.com?p=444323-35P","View People Online")</f>
        <v>View People Online</v>
      </c>
    </row>
    <row r="6055">
      <c r="A6055" s="14" t="s">
        <v>37800</v>
      </c>
      <c r="B6055" s="14" t="s">
        <v>37801</v>
      </c>
      <c r="C6055" s="14" t="s">
        <v>2197</v>
      </c>
      <c r="D6055" s="14" t="s">
        <v>37802</v>
      </c>
      <c r="E6055" s="14" t="s">
        <v>37653</v>
      </c>
      <c r="F6055" s="14" t="s">
        <v>1283</v>
      </c>
      <c r="G6055" s="14" t="s">
        <v>37803</v>
      </c>
      <c r="H6055" s="15" t="s">
        <v>31</v>
      </c>
      <c r="I6055" s="15">
        <v>3.0</v>
      </c>
      <c r="J6055" s="15">
        <v>1.0</v>
      </c>
      <c r="K6055" s="15" t="s">
        <v>31</v>
      </c>
      <c r="L6055" s="16" t="s">
        <v>37655</v>
      </c>
      <c r="M6055" s="14" t="s">
        <v>37804</v>
      </c>
      <c r="N6055" s="14" t="s">
        <v>155</v>
      </c>
      <c r="O6055" s="16" t="s">
        <v>156</v>
      </c>
      <c r="P6055" s="14" t="s">
        <v>37657</v>
      </c>
      <c r="Q6055" s="14" t="s">
        <v>3465</v>
      </c>
      <c r="R6055" s="14" t="s">
        <v>64</v>
      </c>
      <c r="S6055" s="16" t="s">
        <v>1549</v>
      </c>
      <c r="T6055" s="14" t="s">
        <v>66</v>
      </c>
      <c r="U6055" s="16" t="s">
        <v>31</v>
      </c>
      <c r="V6055" s="14" t="s">
        <v>24866</v>
      </c>
      <c r="W6055" s="14" t="s">
        <v>37653</v>
      </c>
      <c r="X6055" s="17" t="str">
        <f>HYPERLINK("https://my.pitchbook.com?p=444735-10P","View People Online")</f>
        <v>View People Online</v>
      </c>
    </row>
    <row r="6056">
      <c r="A6056" s="2" t="s">
        <v>37805</v>
      </c>
      <c r="B6056" s="2" t="s">
        <v>37806</v>
      </c>
      <c r="C6056" s="2" t="s">
        <v>34866</v>
      </c>
      <c r="D6056" s="2" t="s">
        <v>37807</v>
      </c>
      <c r="E6056" s="2" t="s">
        <v>37653</v>
      </c>
      <c r="F6056" s="2" t="s">
        <v>4406</v>
      </c>
      <c r="G6056" s="2" t="s">
        <v>37808</v>
      </c>
      <c r="H6056" s="3">
        <v>1.0</v>
      </c>
      <c r="I6056" s="3">
        <v>2.0</v>
      </c>
      <c r="J6056" s="3">
        <v>1.0</v>
      </c>
      <c r="K6056" s="3" t="s">
        <v>31</v>
      </c>
      <c r="L6056" s="4" t="s">
        <v>37655</v>
      </c>
      <c r="M6056" s="2" t="s">
        <v>37809</v>
      </c>
      <c r="N6056" s="2" t="s">
        <v>155</v>
      </c>
      <c r="O6056" s="4" t="s">
        <v>156</v>
      </c>
      <c r="P6056" s="2" t="s">
        <v>37657</v>
      </c>
      <c r="Q6056" s="2" t="s">
        <v>3465</v>
      </c>
      <c r="R6056" s="2" t="s">
        <v>64</v>
      </c>
      <c r="S6056" s="4" t="s">
        <v>1549</v>
      </c>
      <c r="T6056" s="2" t="s">
        <v>66</v>
      </c>
      <c r="U6056" s="4" t="s">
        <v>31</v>
      </c>
      <c r="V6056" s="2" t="s">
        <v>4406</v>
      </c>
      <c r="W6056" s="2" t="s">
        <v>37653</v>
      </c>
      <c r="X6056" s="5" t="str">
        <f>HYPERLINK("https://my.pitchbook.com?p=155309-86P","View People Online")</f>
        <v>View People Online</v>
      </c>
    </row>
    <row r="6057">
      <c r="A6057" s="14" t="s">
        <v>37810</v>
      </c>
      <c r="B6057" s="14" t="s">
        <v>37811</v>
      </c>
      <c r="C6057" s="14" t="s">
        <v>37812</v>
      </c>
      <c r="D6057" s="14" t="s">
        <v>37813</v>
      </c>
      <c r="E6057" s="14" t="s">
        <v>37653</v>
      </c>
      <c r="F6057" s="14" t="s">
        <v>1283</v>
      </c>
      <c r="G6057" s="14" t="s">
        <v>37814</v>
      </c>
      <c r="H6057" s="15" t="s">
        <v>31</v>
      </c>
      <c r="I6057" s="15">
        <v>1.0</v>
      </c>
      <c r="J6057" s="15">
        <v>1.0</v>
      </c>
      <c r="K6057" s="15" t="s">
        <v>31</v>
      </c>
      <c r="L6057" s="16" t="s">
        <v>37655</v>
      </c>
      <c r="M6057" s="14" t="s">
        <v>37815</v>
      </c>
      <c r="N6057" s="14" t="s">
        <v>155</v>
      </c>
      <c r="O6057" s="16" t="s">
        <v>156</v>
      </c>
      <c r="P6057" s="14" t="s">
        <v>37657</v>
      </c>
      <c r="Q6057" s="14" t="s">
        <v>3465</v>
      </c>
      <c r="R6057" s="14" t="s">
        <v>64</v>
      </c>
      <c r="S6057" s="16" t="s">
        <v>1549</v>
      </c>
      <c r="T6057" s="14" t="s">
        <v>66</v>
      </c>
      <c r="U6057" s="16" t="s">
        <v>31</v>
      </c>
      <c r="V6057" s="14" t="s">
        <v>29778</v>
      </c>
      <c r="W6057" s="14" t="s">
        <v>37653</v>
      </c>
      <c r="X6057" s="17" t="str">
        <f>HYPERLINK("https://my.pitchbook.com?p=322638-13P","View People Online")</f>
        <v>View People Online</v>
      </c>
    </row>
    <row r="6058">
      <c r="A6058" s="10" t="s">
        <v>37816</v>
      </c>
      <c r="B6058" s="10" t="s">
        <v>37817</v>
      </c>
      <c r="C6058" s="10" t="s">
        <v>32719</v>
      </c>
      <c r="D6058" s="10" t="s">
        <v>37818</v>
      </c>
      <c r="E6058" s="10" t="s">
        <v>37653</v>
      </c>
      <c r="F6058" s="10" t="s">
        <v>78</v>
      </c>
      <c r="G6058" s="10" t="s">
        <v>37819</v>
      </c>
      <c r="H6058" s="11">
        <v>1.0</v>
      </c>
      <c r="I6058" s="11">
        <v>2.0</v>
      </c>
      <c r="J6058" s="11">
        <v>1.0</v>
      </c>
      <c r="K6058" s="11" t="s">
        <v>31</v>
      </c>
      <c r="L6058" s="12" t="s">
        <v>37655</v>
      </c>
      <c r="M6058" s="10" t="s">
        <v>37820</v>
      </c>
      <c r="N6058" s="10" t="s">
        <v>155</v>
      </c>
      <c r="O6058" s="12" t="s">
        <v>156</v>
      </c>
      <c r="P6058" s="10" t="s">
        <v>37657</v>
      </c>
      <c r="Q6058" s="10" t="s">
        <v>3465</v>
      </c>
      <c r="R6058" s="10" t="s">
        <v>64</v>
      </c>
      <c r="S6058" s="12" t="s">
        <v>1549</v>
      </c>
      <c r="T6058" s="10" t="s">
        <v>66</v>
      </c>
      <c r="U6058" s="12" t="s">
        <v>31</v>
      </c>
      <c r="V6058" s="10" t="s">
        <v>78</v>
      </c>
      <c r="W6058" s="10" t="s">
        <v>37653</v>
      </c>
      <c r="X6058" s="13" t="str">
        <f>HYPERLINK("https://my.pitchbook.com?p=236738-53P","View People Online")</f>
        <v>View People Online</v>
      </c>
    </row>
    <row r="6059">
      <c r="A6059" s="14" t="s">
        <v>37821</v>
      </c>
      <c r="B6059" s="14" t="s">
        <v>37822</v>
      </c>
      <c r="C6059" s="14" t="s">
        <v>7089</v>
      </c>
      <c r="D6059" s="14" t="s">
        <v>37823</v>
      </c>
      <c r="E6059" s="14" t="s">
        <v>37653</v>
      </c>
      <c r="F6059" s="14" t="s">
        <v>11212</v>
      </c>
      <c r="G6059" s="14" t="s">
        <v>37824</v>
      </c>
      <c r="H6059" s="15" t="s">
        <v>31</v>
      </c>
      <c r="I6059" s="15">
        <v>1.0</v>
      </c>
      <c r="J6059" s="15">
        <v>1.0</v>
      </c>
      <c r="K6059" s="15" t="s">
        <v>31</v>
      </c>
      <c r="L6059" s="16" t="s">
        <v>37655</v>
      </c>
      <c r="M6059" s="14" t="s">
        <v>37825</v>
      </c>
      <c r="N6059" s="14" t="s">
        <v>155</v>
      </c>
      <c r="O6059" s="16" t="s">
        <v>156</v>
      </c>
      <c r="P6059" s="14" t="s">
        <v>37657</v>
      </c>
      <c r="Q6059" s="14" t="s">
        <v>3465</v>
      </c>
      <c r="R6059" s="14" t="s">
        <v>64</v>
      </c>
      <c r="S6059" s="16" t="s">
        <v>1549</v>
      </c>
      <c r="T6059" s="14" t="s">
        <v>66</v>
      </c>
      <c r="U6059" s="16" t="s">
        <v>31</v>
      </c>
      <c r="V6059" s="14" t="s">
        <v>11212</v>
      </c>
      <c r="W6059" s="14" t="s">
        <v>37653</v>
      </c>
      <c r="X6059" s="17" t="str">
        <f>HYPERLINK("https://my.pitchbook.com?p=415425-61P","View People Online")</f>
        <v>View People Online</v>
      </c>
    </row>
    <row r="6060">
      <c r="A6060" s="2" t="s">
        <v>37826</v>
      </c>
      <c r="B6060" s="2" t="s">
        <v>37827</v>
      </c>
      <c r="C6060" s="2" t="s">
        <v>31945</v>
      </c>
      <c r="D6060" s="2" t="s">
        <v>37828</v>
      </c>
      <c r="E6060" s="2" t="s">
        <v>37653</v>
      </c>
      <c r="F6060" s="2" t="s">
        <v>1283</v>
      </c>
      <c r="G6060" s="2" t="s">
        <v>37829</v>
      </c>
      <c r="H6060" s="3" t="s">
        <v>31</v>
      </c>
      <c r="I6060" s="3">
        <v>2.0</v>
      </c>
      <c r="J6060" s="3">
        <v>1.0</v>
      </c>
      <c r="K6060" s="3">
        <v>1.0</v>
      </c>
      <c r="L6060" s="4" t="s">
        <v>37655</v>
      </c>
      <c r="M6060" s="2" t="s">
        <v>37830</v>
      </c>
      <c r="N6060" s="2" t="s">
        <v>155</v>
      </c>
      <c r="O6060" s="4" t="s">
        <v>156</v>
      </c>
      <c r="P6060" s="2" t="s">
        <v>37657</v>
      </c>
      <c r="Q6060" s="2" t="s">
        <v>3465</v>
      </c>
      <c r="R6060" s="2" t="s">
        <v>64</v>
      </c>
      <c r="S6060" s="4" t="s">
        <v>1549</v>
      </c>
      <c r="T6060" s="2" t="s">
        <v>66</v>
      </c>
      <c r="U6060" s="4" t="s">
        <v>31</v>
      </c>
      <c r="V6060" s="2" t="s">
        <v>29778</v>
      </c>
      <c r="W6060" s="2" t="s">
        <v>37653</v>
      </c>
      <c r="X6060" s="5" t="str">
        <f>HYPERLINK("https://my.pitchbook.com?p=102089-89P","View People Online")</f>
        <v>View People Online</v>
      </c>
    </row>
    <row r="6061">
      <c r="A6061" s="6" t="s">
        <v>37831</v>
      </c>
      <c r="B6061" s="6" t="s">
        <v>37832</v>
      </c>
      <c r="C6061" s="6" t="s">
        <v>2388</v>
      </c>
      <c r="D6061" s="6" t="s">
        <v>37833</v>
      </c>
      <c r="E6061" s="6" t="s">
        <v>37653</v>
      </c>
      <c r="F6061" s="6" t="s">
        <v>1283</v>
      </c>
      <c r="G6061" s="6" t="s">
        <v>37834</v>
      </c>
      <c r="H6061" s="7" t="s">
        <v>31</v>
      </c>
      <c r="I6061" s="7">
        <v>1.0</v>
      </c>
      <c r="J6061" s="7">
        <v>1.0</v>
      </c>
      <c r="K6061" s="7" t="s">
        <v>31</v>
      </c>
      <c r="L6061" s="8" t="s">
        <v>37655</v>
      </c>
      <c r="M6061" s="6" t="s">
        <v>37835</v>
      </c>
      <c r="N6061" s="6" t="s">
        <v>75</v>
      </c>
      <c r="O6061" s="8" t="s">
        <v>76</v>
      </c>
      <c r="P6061" s="6" t="s">
        <v>37787</v>
      </c>
      <c r="Q6061" s="6" t="s">
        <v>10135</v>
      </c>
      <c r="R6061" s="6" t="s">
        <v>75</v>
      </c>
      <c r="S6061" s="8" t="s">
        <v>4581</v>
      </c>
      <c r="T6061" s="6" t="s">
        <v>66</v>
      </c>
      <c r="U6061" s="8" t="s">
        <v>31</v>
      </c>
      <c r="V6061" s="6" t="s">
        <v>29778</v>
      </c>
      <c r="W6061" s="6" t="s">
        <v>37653</v>
      </c>
      <c r="X6061" s="9" t="str">
        <f>HYPERLINK("https://my.pitchbook.com?p=330929-74P","View People Online")</f>
        <v>View People Online</v>
      </c>
    </row>
    <row r="6062">
      <c r="A6062" s="10" t="s">
        <v>37836</v>
      </c>
      <c r="B6062" s="10" t="s">
        <v>37837</v>
      </c>
      <c r="C6062" s="10" t="s">
        <v>37838</v>
      </c>
      <c r="D6062" s="10" t="s">
        <v>37839</v>
      </c>
      <c r="E6062" s="10" t="s">
        <v>37653</v>
      </c>
      <c r="F6062" s="10" t="s">
        <v>221</v>
      </c>
      <c r="G6062" s="10" t="s">
        <v>37840</v>
      </c>
      <c r="H6062" s="11" t="s">
        <v>31</v>
      </c>
      <c r="I6062" s="11">
        <v>1.0</v>
      </c>
      <c r="J6062" s="11">
        <v>1.0</v>
      </c>
      <c r="K6062" s="11" t="s">
        <v>31</v>
      </c>
      <c r="L6062" s="12" t="s">
        <v>37655</v>
      </c>
      <c r="M6062" s="10" t="s">
        <v>37841</v>
      </c>
      <c r="N6062" s="10" t="s">
        <v>155</v>
      </c>
      <c r="O6062" s="12" t="s">
        <v>156</v>
      </c>
      <c r="P6062" s="10" t="s">
        <v>37657</v>
      </c>
      <c r="Q6062" s="10" t="s">
        <v>3465</v>
      </c>
      <c r="R6062" s="10" t="s">
        <v>64</v>
      </c>
      <c r="S6062" s="12" t="s">
        <v>1549</v>
      </c>
      <c r="T6062" s="10" t="s">
        <v>66</v>
      </c>
      <c r="U6062" s="12" t="s">
        <v>31</v>
      </c>
      <c r="V6062" s="10" t="s">
        <v>37842</v>
      </c>
      <c r="W6062" s="10" t="s">
        <v>37653</v>
      </c>
      <c r="X6062" s="13" t="str">
        <f>HYPERLINK("https://my.pitchbook.com?p=410479-12P","View People Online")</f>
        <v>View People Online</v>
      </c>
    </row>
    <row r="6063">
      <c r="A6063" s="6" t="s">
        <v>37843</v>
      </c>
      <c r="B6063" s="6" t="s">
        <v>37844</v>
      </c>
      <c r="C6063" s="6" t="s">
        <v>20876</v>
      </c>
      <c r="D6063" s="6" t="s">
        <v>37845</v>
      </c>
      <c r="E6063" s="6" t="s">
        <v>37653</v>
      </c>
      <c r="F6063" s="6" t="s">
        <v>1283</v>
      </c>
      <c r="G6063" s="6" t="s">
        <v>37846</v>
      </c>
      <c r="H6063" s="7">
        <v>1.0</v>
      </c>
      <c r="I6063" s="7">
        <v>2.0</v>
      </c>
      <c r="J6063" s="7">
        <v>1.0</v>
      </c>
      <c r="K6063" s="7" t="s">
        <v>31</v>
      </c>
      <c r="L6063" s="8" t="s">
        <v>37847</v>
      </c>
      <c r="M6063" s="6" t="s">
        <v>37848</v>
      </c>
      <c r="N6063" s="6" t="s">
        <v>155</v>
      </c>
      <c r="O6063" s="8" t="s">
        <v>156</v>
      </c>
      <c r="P6063" s="6" t="s">
        <v>37657</v>
      </c>
      <c r="Q6063" s="6" t="s">
        <v>3465</v>
      </c>
      <c r="R6063" s="6" t="s">
        <v>64</v>
      </c>
      <c r="S6063" s="8" t="s">
        <v>1549</v>
      </c>
      <c r="T6063" s="6" t="s">
        <v>66</v>
      </c>
      <c r="U6063" s="8" t="s">
        <v>31</v>
      </c>
      <c r="V6063" s="6" t="s">
        <v>29778</v>
      </c>
      <c r="W6063" s="6" t="s">
        <v>37653</v>
      </c>
      <c r="X6063" s="9" t="str">
        <f>HYPERLINK("https://my.pitchbook.com?p=41410-54P","View People Online")</f>
        <v>View People Online</v>
      </c>
    </row>
    <row r="6064">
      <c r="A6064" s="2" t="s">
        <v>37849</v>
      </c>
      <c r="B6064" s="2" t="s">
        <v>37850</v>
      </c>
      <c r="C6064" s="2" t="s">
        <v>960</v>
      </c>
      <c r="D6064" s="2" t="s">
        <v>9822</v>
      </c>
      <c r="E6064" s="2" t="s">
        <v>37653</v>
      </c>
      <c r="F6064" s="2" t="s">
        <v>825</v>
      </c>
      <c r="G6064" s="2" t="s">
        <v>37851</v>
      </c>
      <c r="H6064" s="3" t="s">
        <v>31</v>
      </c>
      <c r="I6064" s="3">
        <v>1.0</v>
      </c>
      <c r="J6064" s="3">
        <v>1.0</v>
      </c>
      <c r="K6064" s="3" t="s">
        <v>31</v>
      </c>
      <c r="L6064" s="4" t="s">
        <v>37655</v>
      </c>
      <c r="M6064" s="2" t="s">
        <v>37852</v>
      </c>
      <c r="N6064" s="2" t="s">
        <v>155</v>
      </c>
      <c r="O6064" s="4" t="s">
        <v>156</v>
      </c>
      <c r="P6064" s="2" t="s">
        <v>37657</v>
      </c>
      <c r="Q6064" s="2" t="s">
        <v>3465</v>
      </c>
      <c r="R6064" s="2" t="s">
        <v>64</v>
      </c>
      <c r="S6064" s="4" t="s">
        <v>1549</v>
      </c>
      <c r="T6064" s="2" t="s">
        <v>66</v>
      </c>
      <c r="U6064" s="4" t="s">
        <v>31</v>
      </c>
      <c r="V6064" s="2" t="s">
        <v>37853</v>
      </c>
      <c r="W6064" s="2" t="s">
        <v>37653</v>
      </c>
      <c r="X6064" s="5" t="str">
        <f>HYPERLINK("https://my.pitchbook.com?p=410483-53P","View People Online")</f>
        <v>View People Online</v>
      </c>
    </row>
    <row r="6065">
      <c r="A6065" s="14" t="s">
        <v>37854</v>
      </c>
      <c r="B6065" s="14" t="s">
        <v>37855</v>
      </c>
      <c r="C6065" s="14" t="s">
        <v>4015</v>
      </c>
      <c r="D6065" s="14" t="s">
        <v>28011</v>
      </c>
      <c r="E6065" s="14" t="s">
        <v>37653</v>
      </c>
      <c r="F6065" s="14" t="s">
        <v>318</v>
      </c>
      <c r="G6065" s="14" t="s">
        <v>37856</v>
      </c>
      <c r="H6065" s="15" t="s">
        <v>31</v>
      </c>
      <c r="I6065" s="15">
        <v>1.0</v>
      </c>
      <c r="J6065" s="15">
        <v>1.0</v>
      </c>
      <c r="K6065" s="15" t="s">
        <v>31</v>
      </c>
      <c r="L6065" s="16" t="s">
        <v>37655</v>
      </c>
      <c r="M6065" s="14" t="s">
        <v>37857</v>
      </c>
      <c r="N6065" s="14" t="s">
        <v>155</v>
      </c>
      <c r="O6065" s="16" t="s">
        <v>156</v>
      </c>
      <c r="P6065" s="14" t="s">
        <v>37657</v>
      </c>
      <c r="Q6065" s="14" t="s">
        <v>3465</v>
      </c>
      <c r="R6065" s="14" t="s">
        <v>64</v>
      </c>
      <c r="S6065" s="16" t="s">
        <v>1549</v>
      </c>
      <c r="T6065" s="14" t="s">
        <v>66</v>
      </c>
      <c r="U6065" s="16" t="s">
        <v>31</v>
      </c>
      <c r="V6065" s="14" t="s">
        <v>37691</v>
      </c>
      <c r="W6065" s="14" t="s">
        <v>37653</v>
      </c>
      <c r="X6065" s="17" t="str">
        <f>HYPERLINK("https://my.pitchbook.com?p=415359-91P","View People Online")</f>
        <v>View People Online</v>
      </c>
    </row>
    <row r="6066">
      <c r="A6066" s="10" t="s">
        <v>37858</v>
      </c>
      <c r="B6066" s="10" t="s">
        <v>37859</v>
      </c>
      <c r="C6066" s="10" t="s">
        <v>180</v>
      </c>
      <c r="D6066" s="10" t="s">
        <v>37860</v>
      </c>
      <c r="E6066" s="10" t="s">
        <v>37653</v>
      </c>
      <c r="F6066" s="10" t="s">
        <v>318</v>
      </c>
      <c r="G6066" s="10" t="s">
        <v>37861</v>
      </c>
      <c r="H6066" s="11" t="s">
        <v>31</v>
      </c>
      <c r="I6066" s="11">
        <v>1.0</v>
      </c>
      <c r="J6066" s="11">
        <v>1.0</v>
      </c>
      <c r="K6066" s="11" t="s">
        <v>31</v>
      </c>
      <c r="L6066" s="12" t="s">
        <v>37655</v>
      </c>
      <c r="M6066" s="10" t="s">
        <v>37862</v>
      </c>
      <c r="N6066" s="10" t="s">
        <v>155</v>
      </c>
      <c r="O6066" s="12" t="s">
        <v>156</v>
      </c>
      <c r="P6066" s="10" t="s">
        <v>37657</v>
      </c>
      <c r="Q6066" s="10" t="s">
        <v>3465</v>
      </c>
      <c r="R6066" s="10" t="s">
        <v>64</v>
      </c>
      <c r="S6066" s="12" t="s">
        <v>1549</v>
      </c>
      <c r="T6066" s="10" t="s">
        <v>66</v>
      </c>
      <c r="U6066" s="12" t="s">
        <v>31</v>
      </c>
      <c r="V6066" s="10" t="s">
        <v>37757</v>
      </c>
      <c r="W6066" s="10" t="s">
        <v>37653</v>
      </c>
      <c r="X6066" s="13" t="str">
        <f>HYPERLINK("https://my.pitchbook.com?p=414791-65P","View People Online")</f>
        <v>View People Online</v>
      </c>
    </row>
    <row r="6067">
      <c r="A6067" s="6" t="s">
        <v>37863</v>
      </c>
      <c r="B6067" s="6" t="s">
        <v>37864</v>
      </c>
      <c r="C6067" s="6" t="s">
        <v>37865</v>
      </c>
      <c r="D6067" s="6" t="s">
        <v>37866</v>
      </c>
      <c r="E6067" s="6" t="s">
        <v>37653</v>
      </c>
      <c r="F6067" s="6" t="s">
        <v>825</v>
      </c>
      <c r="G6067" s="6" t="s">
        <v>37867</v>
      </c>
      <c r="H6067" s="7" t="s">
        <v>31</v>
      </c>
      <c r="I6067" s="7">
        <v>1.0</v>
      </c>
      <c r="J6067" s="7">
        <v>1.0</v>
      </c>
      <c r="K6067" s="7" t="s">
        <v>31</v>
      </c>
      <c r="L6067" s="8" t="s">
        <v>37655</v>
      </c>
      <c r="M6067" s="6" t="s">
        <v>37868</v>
      </c>
      <c r="N6067" s="6" t="s">
        <v>155</v>
      </c>
      <c r="O6067" s="8" t="s">
        <v>156</v>
      </c>
      <c r="P6067" s="6" t="s">
        <v>37657</v>
      </c>
      <c r="Q6067" s="6" t="s">
        <v>3465</v>
      </c>
      <c r="R6067" s="6" t="s">
        <v>64</v>
      </c>
      <c r="S6067" s="8" t="s">
        <v>1549</v>
      </c>
      <c r="T6067" s="6" t="s">
        <v>66</v>
      </c>
      <c r="U6067" s="8" t="s">
        <v>31</v>
      </c>
      <c r="V6067" s="6" t="s">
        <v>37869</v>
      </c>
      <c r="W6067" s="6" t="s">
        <v>37653</v>
      </c>
      <c r="X6067" s="9" t="str">
        <f>HYPERLINK("https://my.pitchbook.com?p=367667-92P","View People Online")</f>
        <v>View People Online</v>
      </c>
    </row>
    <row r="6068">
      <c r="A6068" s="2" t="s">
        <v>37870</v>
      </c>
      <c r="B6068" s="2" t="s">
        <v>37871</v>
      </c>
      <c r="C6068" s="2" t="s">
        <v>3716</v>
      </c>
      <c r="D6068" s="2" t="s">
        <v>37872</v>
      </c>
      <c r="E6068" s="2" t="s">
        <v>37653</v>
      </c>
      <c r="F6068" s="2" t="s">
        <v>8581</v>
      </c>
      <c r="G6068" s="2" t="s">
        <v>37873</v>
      </c>
      <c r="H6068" s="3">
        <v>1.0</v>
      </c>
      <c r="I6068" s="3">
        <v>3.0</v>
      </c>
      <c r="J6068" s="3">
        <v>1.0</v>
      </c>
      <c r="K6068" s="3">
        <v>1.0</v>
      </c>
      <c r="L6068" s="4" t="s">
        <v>37655</v>
      </c>
      <c r="M6068" s="2" t="s">
        <v>37874</v>
      </c>
      <c r="N6068" s="2" t="s">
        <v>155</v>
      </c>
      <c r="O6068" s="4" t="s">
        <v>156</v>
      </c>
      <c r="P6068" s="2" t="s">
        <v>37657</v>
      </c>
      <c r="Q6068" s="2" t="s">
        <v>3465</v>
      </c>
      <c r="R6068" s="2" t="s">
        <v>64</v>
      </c>
      <c r="S6068" s="4" t="s">
        <v>1549</v>
      </c>
      <c r="T6068" s="2" t="s">
        <v>66</v>
      </c>
      <c r="U6068" s="4" t="s">
        <v>31</v>
      </c>
      <c r="V6068" s="2" t="s">
        <v>37875</v>
      </c>
      <c r="W6068" s="2" t="s">
        <v>37653</v>
      </c>
      <c r="X6068" s="5" t="str">
        <f>HYPERLINK("https://my.pitchbook.com?p=330922-81P","View People Online")</f>
        <v>View People Online</v>
      </c>
    </row>
    <row r="6069">
      <c r="A6069" s="14" t="s">
        <v>37876</v>
      </c>
      <c r="B6069" s="14" t="s">
        <v>37877</v>
      </c>
      <c r="C6069" s="14" t="s">
        <v>3716</v>
      </c>
      <c r="D6069" s="14" t="s">
        <v>5839</v>
      </c>
      <c r="E6069" s="14" t="s">
        <v>37653</v>
      </c>
      <c r="F6069" s="14" t="s">
        <v>1249</v>
      </c>
      <c r="G6069" s="14" t="s">
        <v>37878</v>
      </c>
      <c r="H6069" s="15">
        <v>2.0</v>
      </c>
      <c r="I6069" s="15">
        <v>14.0</v>
      </c>
      <c r="J6069" s="15">
        <v>1.0</v>
      </c>
      <c r="K6069" s="15">
        <v>12.0</v>
      </c>
      <c r="L6069" s="16" t="s">
        <v>37655</v>
      </c>
      <c r="M6069" s="14" t="s">
        <v>37879</v>
      </c>
      <c r="N6069" s="14" t="s">
        <v>155</v>
      </c>
      <c r="O6069" s="16" t="s">
        <v>156</v>
      </c>
      <c r="P6069" s="14" t="s">
        <v>37657</v>
      </c>
      <c r="Q6069" s="14" t="s">
        <v>3465</v>
      </c>
      <c r="R6069" s="14" t="s">
        <v>64</v>
      </c>
      <c r="S6069" s="16" t="s">
        <v>1549</v>
      </c>
      <c r="T6069" s="14" t="s">
        <v>66</v>
      </c>
      <c r="U6069" s="16" t="s">
        <v>31</v>
      </c>
      <c r="V6069" s="14" t="s">
        <v>37880</v>
      </c>
      <c r="W6069" s="14" t="s">
        <v>37653</v>
      </c>
      <c r="X6069" s="17" t="str">
        <f>HYPERLINK("https://my.pitchbook.com?p=91801-63P","View People Online")</f>
        <v>View People Online</v>
      </c>
    </row>
    <row r="6070">
      <c r="A6070" s="10" t="s">
        <v>37881</v>
      </c>
      <c r="B6070" s="10" t="s">
        <v>37882</v>
      </c>
      <c r="C6070" s="10" t="s">
        <v>37883</v>
      </c>
      <c r="D6070" s="10" t="s">
        <v>37884</v>
      </c>
      <c r="E6070" s="10" t="s">
        <v>37653</v>
      </c>
      <c r="F6070" s="10" t="s">
        <v>318</v>
      </c>
      <c r="G6070" s="10" t="s">
        <v>37885</v>
      </c>
      <c r="H6070" s="11" t="s">
        <v>31</v>
      </c>
      <c r="I6070" s="11">
        <v>1.0</v>
      </c>
      <c r="J6070" s="11">
        <v>1.0</v>
      </c>
      <c r="K6070" s="11" t="s">
        <v>31</v>
      </c>
      <c r="L6070" s="12" t="s">
        <v>37655</v>
      </c>
      <c r="M6070" s="10" t="s">
        <v>37886</v>
      </c>
      <c r="N6070" s="10" t="s">
        <v>155</v>
      </c>
      <c r="O6070" s="12" t="s">
        <v>156</v>
      </c>
      <c r="P6070" s="10" t="s">
        <v>37657</v>
      </c>
      <c r="Q6070" s="10" t="s">
        <v>3465</v>
      </c>
      <c r="R6070" s="10" t="s">
        <v>64</v>
      </c>
      <c r="S6070" s="12" t="s">
        <v>1549</v>
      </c>
      <c r="T6070" s="10" t="s">
        <v>66</v>
      </c>
      <c r="U6070" s="12" t="s">
        <v>31</v>
      </c>
      <c r="V6070" s="10" t="s">
        <v>37887</v>
      </c>
      <c r="W6070" s="10" t="s">
        <v>37653</v>
      </c>
      <c r="X6070" s="13" t="str">
        <f>HYPERLINK("https://my.pitchbook.com?p=367664-32P","View People Online")</f>
        <v>View People Online</v>
      </c>
    </row>
    <row r="6071">
      <c r="A6071" s="14" t="s">
        <v>37888</v>
      </c>
      <c r="B6071" s="14" t="s">
        <v>37889</v>
      </c>
      <c r="C6071" s="14" t="s">
        <v>4673</v>
      </c>
      <c r="D6071" s="14" t="s">
        <v>37890</v>
      </c>
      <c r="E6071" s="14" t="s">
        <v>37653</v>
      </c>
      <c r="F6071" s="14" t="s">
        <v>318</v>
      </c>
      <c r="G6071" s="14" t="s">
        <v>37891</v>
      </c>
      <c r="H6071" s="15" t="s">
        <v>31</v>
      </c>
      <c r="I6071" s="15">
        <v>1.0</v>
      </c>
      <c r="J6071" s="15">
        <v>1.0</v>
      </c>
      <c r="K6071" s="15" t="s">
        <v>31</v>
      </c>
      <c r="L6071" s="16" t="s">
        <v>37655</v>
      </c>
      <c r="M6071" s="14" t="s">
        <v>37892</v>
      </c>
      <c r="N6071" s="14" t="s">
        <v>155</v>
      </c>
      <c r="O6071" s="16" t="s">
        <v>156</v>
      </c>
      <c r="P6071" s="14" t="s">
        <v>37657</v>
      </c>
      <c r="Q6071" s="14" t="s">
        <v>3465</v>
      </c>
      <c r="R6071" s="14" t="s">
        <v>64</v>
      </c>
      <c r="S6071" s="16" t="s">
        <v>1549</v>
      </c>
      <c r="T6071" s="14" t="s">
        <v>66</v>
      </c>
      <c r="U6071" s="16" t="s">
        <v>31</v>
      </c>
      <c r="V6071" s="14" t="s">
        <v>37691</v>
      </c>
      <c r="W6071" s="14" t="s">
        <v>37653</v>
      </c>
      <c r="X6071" s="17" t="str">
        <f>HYPERLINK("https://my.pitchbook.com?p=367658-29P","View People Online")</f>
        <v>View People Online</v>
      </c>
    </row>
    <row r="6072">
      <c r="A6072" s="10" t="s">
        <v>37893</v>
      </c>
      <c r="B6072" s="10" t="s">
        <v>37894</v>
      </c>
      <c r="C6072" s="10" t="s">
        <v>22190</v>
      </c>
      <c r="D6072" s="10" t="s">
        <v>37895</v>
      </c>
      <c r="E6072" s="10" t="s">
        <v>37653</v>
      </c>
      <c r="F6072" s="10" t="s">
        <v>1283</v>
      </c>
      <c r="G6072" s="10" t="s">
        <v>37896</v>
      </c>
      <c r="H6072" s="11" t="s">
        <v>31</v>
      </c>
      <c r="I6072" s="11">
        <v>1.0</v>
      </c>
      <c r="J6072" s="11">
        <v>1.0</v>
      </c>
      <c r="K6072" s="11" t="s">
        <v>31</v>
      </c>
      <c r="L6072" s="12" t="s">
        <v>37655</v>
      </c>
      <c r="M6072" s="10" t="s">
        <v>37897</v>
      </c>
      <c r="N6072" s="10" t="s">
        <v>155</v>
      </c>
      <c r="O6072" s="12" t="s">
        <v>156</v>
      </c>
      <c r="P6072" s="10" t="s">
        <v>37657</v>
      </c>
      <c r="Q6072" s="10" t="s">
        <v>3465</v>
      </c>
      <c r="R6072" s="10" t="s">
        <v>64</v>
      </c>
      <c r="S6072" s="12" t="s">
        <v>1549</v>
      </c>
      <c r="T6072" s="10" t="s">
        <v>66</v>
      </c>
      <c r="U6072" s="12" t="s">
        <v>31</v>
      </c>
      <c r="V6072" s="10" t="s">
        <v>37898</v>
      </c>
      <c r="W6072" s="10" t="s">
        <v>37653</v>
      </c>
      <c r="X6072" s="13" t="str">
        <f>HYPERLINK("https://my.pitchbook.com?p=415358-11P","View People Online")</f>
        <v>View People Online</v>
      </c>
    </row>
    <row r="6073">
      <c r="A6073" s="14" t="s">
        <v>37899</v>
      </c>
      <c r="B6073" s="14" t="s">
        <v>37900</v>
      </c>
      <c r="C6073" s="14" t="s">
        <v>1072</v>
      </c>
      <c r="D6073" s="14" t="s">
        <v>37901</v>
      </c>
      <c r="E6073" s="14" t="s">
        <v>37653</v>
      </c>
      <c r="F6073" s="14" t="s">
        <v>318</v>
      </c>
      <c r="G6073" s="14" t="s">
        <v>37902</v>
      </c>
      <c r="H6073" s="15" t="s">
        <v>31</v>
      </c>
      <c r="I6073" s="15">
        <v>1.0</v>
      </c>
      <c r="J6073" s="15">
        <v>1.0</v>
      </c>
      <c r="K6073" s="15" t="s">
        <v>31</v>
      </c>
      <c r="L6073" s="16" t="s">
        <v>37655</v>
      </c>
      <c r="M6073" s="14" t="s">
        <v>37903</v>
      </c>
      <c r="N6073" s="14" t="s">
        <v>75</v>
      </c>
      <c r="O6073" s="16" t="s">
        <v>76</v>
      </c>
      <c r="P6073" s="14" t="s">
        <v>37787</v>
      </c>
      <c r="Q6073" s="14" t="s">
        <v>10135</v>
      </c>
      <c r="R6073" s="14" t="s">
        <v>75</v>
      </c>
      <c r="S6073" s="16" t="s">
        <v>4581</v>
      </c>
      <c r="T6073" s="14" t="s">
        <v>66</v>
      </c>
      <c r="U6073" s="16" t="s">
        <v>31</v>
      </c>
      <c r="V6073" s="14" t="s">
        <v>37691</v>
      </c>
      <c r="W6073" s="14" t="s">
        <v>37653</v>
      </c>
      <c r="X6073" s="17" t="str">
        <f>HYPERLINK("https://my.pitchbook.com?p=178559-56P","View People Online")</f>
        <v>View People Online</v>
      </c>
    </row>
    <row r="6074">
      <c r="A6074" s="10" t="s">
        <v>37904</v>
      </c>
      <c r="B6074" s="10" t="s">
        <v>37905</v>
      </c>
      <c r="C6074" s="10" t="s">
        <v>1697</v>
      </c>
      <c r="D6074" s="10" t="s">
        <v>37906</v>
      </c>
      <c r="E6074" s="10" t="s">
        <v>37653</v>
      </c>
      <c r="F6074" s="10" t="s">
        <v>583</v>
      </c>
      <c r="G6074" s="10" t="s">
        <v>37907</v>
      </c>
      <c r="H6074" s="11" t="s">
        <v>31</v>
      </c>
      <c r="I6074" s="11">
        <v>5.0</v>
      </c>
      <c r="J6074" s="11">
        <v>1.0</v>
      </c>
      <c r="K6074" s="11">
        <v>3.0</v>
      </c>
      <c r="L6074" s="12" t="s">
        <v>37655</v>
      </c>
      <c r="M6074" s="10" t="s">
        <v>37908</v>
      </c>
      <c r="N6074" s="10" t="s">
        <v>155</v>
      </c>
      <c r="O6074" s="12" t="s">
        <v>156</v>
      </c>
      <c r="P6074" s="10" t="s">
        <v>37657</v>
      </c>
      <c r="Q6074" s="10" t="s">
        <v>3465</v>
      </c>
      <c r="R6074" s="10" t="s">
        <v>64</v>
      </c>
      <c r="S6074" s="12" t="s">
        <v>1549</v>
      </c>
      <c r="T6074" s="10" t="s">
        <v>66</v>
      </c>
      <c r="U6074" s="12" t="s">
        <v>31</v>
      </c>
      <c r="V6074" s="10" t="s">
        <v>37909</v>
      </c>
      <c r="W6074" s="10" t="s">
        <v>37653</v>
      </c>
      <c r="X6074" s="13" t="str">
        <f>HYPERLINK("https://my.pitchbook.com?p=288441-46P","View People Online")</f>
        <v>View People Online</v>
      </c>
    </row>
    <row r="6075">
      <c r="A6075" s="14" t="s">
        <v>37910</v>
      </c>
      <c r="B6075" s="14" t="s">
        <v>37911</v>
      </c>
      <c r="C6075" s="14" t="s">
        <v>1697</v>
      </c>
      <c r="D6075" s="14" t="s">
        <v>37912</v>
      </c>
      <c r="E6075" s="14" t="s">
        <v>37653</v>
      </c>
      <c r="F6075" s="14" t="s">
        <v>583</v>
      </c>
      <c r="G6075" s="14" t="s">
        <v>37913</v>
      </c>
      <c r="H6075" s="15">
        <v>1.0</v>
      </c>
      <c r="I6075" s="15">
        <v>10.0</v>
      </c>
      <c r="J6075" s="15">
        <v>2.0</v>
      </c>
      <c r="K6075" s="15">
        <v>3.0</v>
      </c>
      <c r="L6075" s="16" t="s">
        <v>37655</v>
      </c>
      <c r="M6075" s="14" t="s">
        <v>37914</v>
      </c>
      <c r="N6075" s="14" t="s">
        <v>155</v>
      </c>
      <c r="O6075" s="16" t="s">
        <v>156</v>
      </c>
      <c r="P6075" s="14" t="s">
        <v>37657</v>
      </c>
      <c r="Q6075" s="14" t="s">
        <v>3465</v>
      </c>
      <c r="R6075" s="14" t="s">
        <v>64</v>
      </c>
      <c r="S6075" s="16" t="s">
        <v>1549</v>
      </c>
      <c r="T6075" s="14" t="s">
        <v>66</v>
      </c>
      <c r="U6075" s="16" t="s">
        <v>31</v>
      </c>
      <c r="V6075" s="14" t="s">
        <v>583</v>
      </c>
      <c r="W6075" s="14" t="s">
        <v>37653</v>
      </c>
      <c r="X6075" s="17" t="str">
        <f>HYPERLINK("https://my.pitchbook.com?p=14045-23P","View People Online")</f>
        <v>View People Online</v>
      </c>
    </row>
    <row r="6076">
      <c r="A6076" s="2" t="s">
        <v>37915</v>
      </c>
      <c r="B6076" s="2" t="s">
        <v>37916</v>
      </c>
      <c r="C6076" s="2" t="s">
        <v>237</v>
      </c>
      <c r="D6076" s="2" t="s">
        <v>37917</v>
      </c>
      <c r="E6076" s="2" t="s">
        <v>37918</v>
      </c>
      <c r="F6076" s="2" t="s">
        <v>81</v>
      </c>
      <c r="G6076" s="2" t="s">
        <v>37919</v>
      </c>
      <c r="H6076" s="3" t="s">
        <v>31</v>
      </c>
      <c r="I6076" s="3">
        <v>4.0</v>
      </c>
      <c r="J6076" s="3">
        <v>1.0</v>
      </c>
      <c r="K6076" s="3">
        <v>1.0</v>
      </c>
      <c r="L6076" s="4" t="s">
        <v>31</v>
      </c>
      <c r="M6076" s="2" t="s">
        <v>31</v>
      </c>
      <c r="N6076" s="2" t="s">
        <v>75</v>
      </c>
      <c r="O6076" s="4" t="s">
        <v>76</v>
      </c>
      <c r="P6076" s="2" t="s">
        <v>37920</v>
      </c>
      <c r="Q6076" s="2" t="s">
        <v>30051</v>
      </c>
      <c r="R6076" s="2" t="s">
        <v>75</v>
      </c>
      <c r="S6076" s="4" t="s">
        <v>37921</v>
      </c>
      <c r="T6076" s="2" t="s">
        <v>66</v>
      </c>
      <c r="U6076" s="4" t="s">
        <v>31</v>
      </c>
      <c r="V6076" s="2" t="s">
        <v>558</v>
      </c>
      <c r="W6076" s="2" t="s">
        <v>37922</v>
      </c>
      <c r="X6076" s="5" t="str">
        <f>HYPERLINK("https://my.pitchbook.com?p=207889-21P","View People Online")</f>
        <v>View People Online</v>
      </c>
    </row>
    <row r="6077">
      <c r="A6077" s="6" t="s">
        <v>37923</v>
      </c>
      <c r="B6077" s="6" t="s">
        <v>37924</v>
      </c>
      <c r="C6077" s="6" t="s">
        <v>37925</v>
      </c>
      <c r="D6077" s="6" t="s">
        <v>37926</v>
      </c>
      <c r="E6077" s="6" t="s">
        <v>37918</v>
      </c>
      <c r="F6077" s="6" t="s">
        <v>37927</v>
      </c>
      <c r="G6077" s="6" t="s">
        <v>37928</v>
      </c>
      <c r="H6077" s="7" t="s">
        <v>31</v>
      </c>
      <c r="I6077" s="7">
        <v>4.0</v>
      </c>
      <c r="J6077" s="7">
        <v>1.0</v>
      </c>
      <c r="K6077" s="7">
        <v>1.0</v>
      </c>
      <c r="L6077" s="8" t="s">
        <v>31</v>
      </c>
      <c r="M6077" s="6" t="s">
        <v>37929</v>
      </c>
      <c r="N6077" s="6" t="s">
        <v>4232</v>
      </c>
      <c r="O6077" s="8" t="s">
        <v>4233</v>
      </c>
      <c r="P6077" s="6" t="s">
        <v>31</v>
      </c>
      <c r="Q6077" s="6" t="s">
        <v>31</v>
      </c>
      <c r="R6077" s="6" t="s">
        <v>4236</v>
      </c>
      <c r="S6077" s="8" t="s">
        <v>31</v>
      </c>
      <c r="T6077" s="6" t="s">
        <v>66</v>
      </c>
      <c r="U6077" s="8" t="s">
        <v>31</v>
      </c>
      <c r="V6077" s="6" t="s">
        <v>37927</v>
      </c>
      <c r="W6077" s="6" t="s">
        <v>37918</v>
      </c>
      <c r="X6077" s="9" t="str">
        <f>HYPERLINK("https://my.pitchbook.com?p=275826-07P","View People Online")</f>
        <v>View People Online</v>
      </c>
    </row>
    <row r="6078">
      <c r="A6078" s="10" t="s">
        <v>37930</v>
      </c>
      <c r="B6078" s="10" t="s">
        <v>37931</v>
      </c>
      <c r="C6078" s="10" t="s">
        <v>28504</v>
      </c>
      <c r="D6078" s="10" t="s">
        <v>37932</v>
      </c>
      <c r="E6078" s="10" t="s">
        <v>37918</v>
      </c>
      <c r="F6078" s="10" t="s">
        <v>3472</v>
      </c>
      <c r="G6078" s="10" t="s">
        <v>37933</v>
      </c>
      <c r="H6078" s="11" t="s">
        <v>31</v>
      </c>
      <c r="I6078" s="11">
        <v>1.0</v>
      </c>
      <c r="J6078" s="11">
        <v>1.0</v>
      </c>
      <c r="K6078" s="11" t="s">
        <v>31</v>
      </c>
      <c r="L6078" s="12" t="s">
        <v>31</v>
      </c>
      <c r="M6078" s="10" t="s">
        <v>31</v>
      </c>
      <c r="N6078" s="10" t="s">
        <v>4232</v>
      </c>
      <c r="O6078" s="12" t="s">
        <v>4233</v>
      </c>
      <c r="P6078" s="10" t="s">
        <v>31</v>
      </c>
      <c r="Q6078" s="10" t="s">
        <v>31</v>
      </c>
      <c r="R6078" s="10" t="s">
        <v>4236</v>
      </c>
      <c r="S6078" s="12" t="s">
        <v>31</v>
      </c>
      <c r="T6078" s="10" t="s">
        <v>66</v>
      </c>
      <c r="U6078" s="12" t="s">
        <v>31</v>
      </c>
      <c r="V6078" s="10" t="s">
        <v>37934</v>
      </c>
      <c r="W6078" s="10" t="s">
        <v>37918</v>
      </c>
      <c r="X6078" s="13" t="str">
        <f>HYPERLINK("https://my.pitchbook.com?p=318098-98P","View People Online")</f>
        <v>View People Online</v>
      </c>
    </row>
    <row r="6079">
      <c r="A6079" s="6" t="s">
        <v>37935</v>
      </c>
      <c r="B6079" s="6" t="s">
        <v>37936</v>
      </c>
      <c r="C6079" s="6" t="s">
        <v>1426</v>
      </c>
      <c r="D6079" s="6" t="s">
        <v>31743</v>
      </c>
      <c r="E6079" s="6" t="s">
        <v>37918</v>
      </c>
      <c r="F6079" s="6" t="s">
        <v>221</v>
      </c>
      <c r="G6079" s="6" t="s">
        <v>37937</v>
      </c>
      <c r="H6079" s="7" t="s">
        <v>31</v>
      </c>
      <c r="I6079" s="7">
        <v>3.0</v>
      </c>
      <c r="J6079" s="7">
        <v>1.0</v>
      </c>
      <c r="K6079" s="7" t="s">
        <v>31</v>
      </c>
      <c r="L6079" s="8" t="s">
        <v>31</v>
      </c>
      <c r="M6079" s="6" t="s">
        <v>37938</v>
      </c>
      <c r="N6079" s="6" t="s">
        <v>155</v>
      </c>
      <c r="O6079" s="8" t="s">
        <v>156</v>
      </c>
      <c r="P6079" s="6" t="s">
        <v>31</v>
      </c>
      <c r="Q6079" s="6" t="s">
        <v>31</v>
      </c>
      <c r="R6079" s="6" t="s">
        <v>64</v>
      </c>
      <c r="S6079" s="8" t="s">
        <v>31</v>
      </c>
      <c r="T6079" s="6" t="s">
        <v>66</v>
      </c>
      <c r="U6079" s="8" t="s">
        <v>31</v>
      </c>
      <c r="V6079" s="6" t="s">
        <v>221</v>
      </c>
      <c r="W6079" s="6" t="s">
        <v>37918</v>
      </c>
      <c r="X6079" s="9" t="str">
        <f>HYPERLINK("https://my.pitchbook.com?p=255198-70P","View People Online")</f>
        <v>View People Online</v>
      </c>
    </row>
    <row r="6080">
      <c r="A6080" s="10" t="s">
        <v>37939</v>
      </c>
      <c r="B6080" s="10" t="s">
        <v>37940</v>
      </c>
      <c r="C6080" s="10" t="s">
        <v>305</v>
      </c>
      <c r="D6080" s="10" t="s">
        <v>37941</v>
      </c>
      <c r="E6080" s="10" t="s">
        <v>37918</v>
      </c>
      <c r="F6080" s="10" t="s">
        <v>81</v>
      </c>
      <c r="G6080" s="10" t="s">
        <v>37942</v>
      </c>
      <c r="H6080" s="11">
        <v>1.0</v>
      </c>
      <c r="I6080" s="11">
        <v>2.0</v>
      </c>
      <c r="J6080" s="11">
        <v>1.0</v>
      </c>
      <c r="K6080" s="11" t="s">
        <v>31</v>
      </c>
      <c r="L6080" s="12" t="s">
        <v>31</v>
      </c>
      <c r="M6080" s="10" t="s">
        <v>37943</v>
      </c>
      <c r="N6080" s="10" t="s">
        <v>37944</v>
      </c>
      <c r="O6080" s="12" t="s">
        <v>37945</v>
      </c>
      <c r="P6080" s="10" t="s">
        <v>37946</v>
      </c>
      <c r="Q6080" s="10" t="s">
        <v>37947</v>
      </c>
      <c r="R6080" s="10" t="s">
        <v>31</v>
      </c>
      <c r="S6080" s="12" t="s">
        <v>37948</v>
      </c>
      <c r="T6080" s="10" t="s">
        <v>10295</v>
      </c>
      <c r="U6080" s="12" t="s">
        <v>31</v>
      </c>
      <c r="V6080" s="10" t="s">
        <v>2168</v>
      </c>
      <c r="W6080" s="10" t="s">
        <v>37949</v>
      </c>
      <c r="X6080" s="13" t="str">
        <f>HYPERLINK("https://my.pitchbook.com?p=233896-42P","View People Online")</f>
        <v>View People Online</v>
      </c>
    </row>
    <row r="6081">
      <c r="A6081" s="6" t="s">
        <v>37950</v>
      </c>
      <c r="B6081" s="6" t="s">
        <v>37951</v>
      </c>
      <c r="C6081" s="6" t="s">
        <v>3977</v>
      </c>
      <c r="D6081" s="6" t="s">
        <v>6648</v>
      </c>
      <c r="E6081" s="6" t="s">
        <v>37918</v>
      </c>
      <c r="F6081" s="6" t="s">
        <v>3472</v>
      </c>
      <c r="G6081" s="6" t="s">
        <v>37952</v>
      </c>
      <c r="H6081" s="7" t="s">
        <v>31</v>
      </c>
      <c r="I6081" s="7">
        <v>1.0</v>
      </c>
      <c r="J6081" s="7">
        <v>1.0</v>
      </c>
      <c r="K6081" s="7" t="s">
        <v>31</v>
      </c>
      <c r="L6081" s="8" t="s">
        <v>31</v>
      </c>
      <c r="M6081" s="6" t="s">
        <v>31</v>
      </c>
      <c r="N6081" s="6" t="s">
        <v>4232</v>
      </c>
      <c r="O6081" s="8" t="s">
        <v>4233</v>
      </c>
      <c r="P6081" s="6" t="s">
        <v>31</v>
      </c>
      <c r="Q6081" s="6" t="s">
        <v>31</v>
      </c>
      <c r="R6081" s="6" t="s">
        <v>4236</v>
      </c>
      <c r="S6081" s="8" t="s">
        <v>31</v>
      </c>
      <c r="T6081" s="6" t="s">
        <v>66</v>
      </c>
      <c r="U6081" s="8" t="s">
        <v>31</v>
      </c>
      <c r="V6081" s="6" t="s">
        <v>37953</v>
      </c>
      <c r="W6081" s="6" t="s">
        <v>37918</v>
      </c>
      <c r="X6081" s="9" t="str">
        <f>HYPERLINK("https://my.pitchbook.com?p=318098-62P","View People Online")</f>
        <v>View People Online</v>
      </c>
    </row>
    <row r="6082">
      <c r="A6082" s="10" t="s">
        <v>37954</v>
      </c>
      <c r="B6082" s="10" t="s">
        <v>37955</v>
      </c>
      <c r="C6082" s="10" t="s">
        <v>11756</v>
      </c>
      <c r="D6082" s="10" t="s">
        <v>37956</v>
      </c>
      <c r="E6082" s="10" t="s">
        <v>37918</v>
      </c>
      <c r="F6082" s="10" t="s">
        <v>3472</v>
      </c>
      <c r="G6082" s="10" t="s">
        <v>37957</v>
      </c>
      <c r="H6082" s="11">
        <v>1.0</v>
      </c>
      <c r="I6082" s="11">
        <v>2.0</v>
      </c>
      <c r="J6082" s="11">
        <v>1.0</v>
      </c>
      <c r="K6082" s="11" t="s">
        <v>31</v>
      </c>
      <c r="L6082" s="12" t="s">
        <v>31</v>
      </c>
      <c r="M6082" s="10" t="s">
        <v>37958</v>
      </c>
      <c r="N6082" s="10" t="s">
        <v>37944</v>
      </c>
      <c r="O6082" s="12" t="s">
        <v>37945</v>
      </c>
      <c r="P6082" s="10" t="s">
        <v>37946</v>
      </c>
      <c r="Q6082" s="10" t="s">
        <v>37947</v>
      </c>
      <c r="R6082" s="10" t="s">
        <v>31</v>
      </c>
      <c r="S6082" s="12" t="s">
        <v>37948</v>
      </c>
      <c r="T6082" s="10" t="s">
        <v>10295</v>
      </c>
      <c r="U6082" s="12" t="s">
        <v>31</v>
      </c>
      <c r="V6082" s="10" t="s">
        <v>11734</v>
      </c>
      <c r="W6082" s="10" t="s">
        <v>37949</v>
      </c>
      <c r="X6082" s="13" t="str">
        <f>HYPERLINK("https://my.pitchbook.com?p=39419-11P","View People Online")</f>
        <v>View People Online</v>
      </c>
    </row>
    <row r="6083">
      <c r="A6083" s="6" t="s">
        <v>37959</v>
      </c>
      <c r="B6083" s="6" t="s">
        <v>37960</v>
      </c>
      <c r="C6083" s="6" t="s">
        <v>126</v>
      </c>
      <c r="D6083" s="6" t="s">
        <v>37917</v>
      </c>
      <c r="E6083" s="6" t="s">
        <v>37918</v>
      </c>
      <c r="F6083" s="6" t="s">
        <v>674</v>
      </c>
      <c r="G6083" s="6" t="s">
        <v>37961</v>
      </c>
      <c r="H6083" s="7">
        <v>2.0</v>
      </c>
      <c r="I6083" s="7">
        <v>9.0</v>
      </c>
      <c r="J6083" s="7">
        <v>1.0</v>
      </c>
      <c r="K6083" s="7">
        <v>4.0</v>
      </c>
      <c r="L6083" s="8" t="s">
        <v>37962</v>
      </c>
      <c r="M6083" s="6" t="s">
        <v>37963</v>
      </c>
      <c r="N6083" s="6" t="s">
        <v>4232</v>
      </c>
      <c r="O6083" s="8" t="s">
        <v>4233</v>
      </c>
      <c r="P6083" s="6" t="s">
        <v>31</v>
      </c>
      <c r="Q6083" s="6" t="s">
        <v>31</v>
      </c>
      <c r="R6083" s="6" t="s">
        <v>4236</v>
      </c>
      <c r="S6083" s="8" t="s">
        <v>31</v>
      </c>
      <c r="T6083" s="6" t="s">
        <v>66</v>
      </c>
      <c r="U6083" s="8" t="s">
        <v>31</v>
      </c>
      <c r="V6083" s="6" t="s">
        <v>674</v>
      </c>
      <c r="W6083" s="6" t="s">
        <v>37918</v>
      </c>
      <c r="X6083" s="9" t="str">
        <f>HYPERLINK("https://my.pitchbook.com?p=78947-83P","View People Online")</f>
        <v>View People Online</v>
      </c>
    </row>
    <row r="6084">
      <c r="A6084" s="2" t="s">
        <v>37964</v>
      </c>
      <c r="B6084" s="2" t="s">
        <v>37965</v>
      </c>
      <c r="C6084" s="2" t="s">
        <v>4679</v>
      </c>
      <c r="D6084" s="2" t="s">
        <v>37917</v>
      </c>
      <c r="E6084" s="2" t="s">
        <v>37918</v>
      </c>
      <c r="F6084" s="2" t="s">
        <v>37966</v>
      </c>
      <c r="G6084" s="2" t="s">
        <v>37967</v>
      </c>
      <c r="H6084" s="3" t="s">
        <v>31</v>
      </c>
      <c r="I6084" s="3">
        <v>2.0</v>
      </c>
      <c r="J6084" s="3">
        <v>2.0</v>
      </c>
      <c r="K6084" s="3" t="s">
        <v>31</v>
      </c>
      <c r="L6084" s="4" t="s">
        <v>31</v>
      </c>
      <c r="M6084" s="2" t="s">
        <v>37968</v>
      </c>
      <c r="N6084" s="2" t="s">
        <v>37969</v>
      </c>
      <c r="O6084" s="4" t="s">
        <v>37970</v>
      </c>
      <c r="P6084" s="2" t="s">
        <v>37971</v>
      </c>
      <c r="Q6084" s="2" t="s">
        <v>37972</v>
      </c>
      <c r="R6084" s="2" t="s">
        <v>4236</v>
      </c>
      <c r="S6084" s="4" t="s">
        <v>37973</v>
      </c>
      <c r="T6084" s="2" t="s">
        <v>66</v>
      </c>
      <c r="U6084" s="4" t="s">
        <v>31</v>
      </c>
      <c r="V6084" s="2" t="s">
        <v>37974</v>
      </c>
      <c r="W6084" s="2" t="s">
        <v>37949</v>
      </c>
      <c r="X6084" s="5" t="str">
        <f>HYPERLINK("https://my.pitchbook.com?p=178273-00P","View People Online")</f>
        <v>View People Online</v>
      </c>
    </row>
    <row r="6085">
      <c r="A6085" s="14" t="s">
        <v>37975</v>
      </c>
      <c r="B6085" s="14" t="s">
        <v>37976</v>
      </c>
      <c r="C6085" s="14" t="s">
        <v>8106</v>
      </c>
      <c r="D6085" s="14" t="s">
        <v>37977</v>
      </c>
      <c r="E6085" s="14" t="s">
        <v>37978</v>
      </c>
      <c r="F6085" s="14" t="s">
        <v>43</v>
      </c>
      <c r="G6085" s="14" t="s">
        <v>37979</v>
      </c>
      <c r="H6085" s="15" t="s">
        <v>31</v>
      </c>
      <c r="I6085" s="15">
        <v>8.0</v>
      </c>
      <c r="J6085" s="15">
        <v>2.0</v>
      </c>
      <c r="K6085" s="15">
        <v>5.0</v>
      </c>
      <c r="L6085" s="16" t="s">
        <v>37980</v>
      </c>
      <c r="M6085" s="14" t="s">
        <v>37981</v>
      </c>
      <c r="N6085" s="14" t="s">
        <v>4232</v>
      </c>
      <c r="O6085" s="16" t="s">
        <v>4233</v>
      </c>
      <c r="P6085" s="14" t="s">
        <v>31</v>
      </c>
      <c r="Q6085" s="14" t="s">
        <v>31</v>
      </c>
      <c r="R6085" s="14" t="s">
        <v>4236</v>
      </c>
      <c r="S6085" s="16" t="s">
        <v>31</v>
      </c>
      <c r="T6085" s="14" t="s">
        <v>66</v>
      </c>
      <c r="U6085" s="16" t="s">
        <v>31</v>
      </c>
      <c r="V6085" s="14" t="s">
        <v>43</v>
      </c>
      <c r="W6085" s="14" t="s">
        <v>37978</v>
      </c>
      <c r="X6085" s="17" t="str">
        <f>HYPERLINK("https://my.pitchbook.com?p=266965-57P","View People Online")</f>
        <v>View People Online</v>
      </c>
    </row>
    <row r="6086">
      <c r="A6086" s="2" t="s">
        <v>37982</v>
      </c>
      <c r="B6086" s="2" t="s">
        <v>37983</v>
      </c>
      <c r="C6086" s="2" t="s">
        <v>37984</v>
      </c>
      <c r="D6086" s="2" t="s">
        <v>408</v>
      </c>
      <c r="E6086" s="2" t="s">
        <v>37978</v>
      </c>
      <c r="F6086" s="2" t="s">
        <v>86</v>
      </c>
      <c r="G6086" s="2" t="s">
        <v>37985</v>
      </c>
      <c r="H6086" s="3" t="s">
        <v>31</v>
      </c>
      <c r="I6086" s="3">
        <v>2.0</v>
      </c>
      <c r="J6086" s="3">
        <v>1.0</v>
      </c>
      <c r="K6086" s="3">
        <v>1.0</v>
      </c>
      <c r="L6086" s="4" t="s">
        <v>31</v>
      </c>
      <c r="M6086" s="2" t="s">
        <v>31</v>
      </c>
      <c r="N6086" s="2" t="s">
        <v>4232</v>
      </c>
      <c r="O6086" s="4" t="s">
        <v>4233</v>
      </c>
      <c r="P6086" s="2" t="s">
        <v>31</v>
      </c>
      <c r="Q6086" s="2" t="s">
        <v>31</v>
      </c>
      <c r="R6086" s="2" t="s">
        <v>4236</v>
      </c>
      <c r="S6086" s="4" t="s">
        <v>31</v>
      </c>
      <c r="T6086" s="2" t="s">
        <v>66</v>
      </c>
      <c r="U6086" s="4" t="s">
        <v>31</v>
      </c>
      <c r="V6086" s="2" t="s">
        <v>86</v>
      </c>
      <c r="W6086" s="2" t="s">
        <v>37978</v>
      </c>
      <c r="X6086" s="5" t="str">
        <f>HYPERLINK("https://my.pitchbook.com?p=142580-17P","View People Online")</f>
        <v>View People Online</v>
      </c>
    </row>
    <row r="6087">
      <c r="A6087" s="6" t="s">
        <v>37986</v>
      </c>
      <c r="B6087" s="6" t="s">
        <v>37987</v>
      </c>
      <c r="C6087" s="6" t="s">
        <v>30086</v>
      </c>
      <c r="D6087" s="6" t="s">
        <v>37988</v>
      </c>
      <c r="E6087" s="6" t="s">
        <v>37978</v>
      </c>
      <c r="F6087" s="6" t="s">
        <v>1283</v>
      </c>
      <c r="G6087" s="6" t="s">
        <v>37989</v>
      </c>
      <c r="H6087" s="7" t="s">
        <v>31</v>
      </c>
      <c r="I6087" s="7">
        <v>1.0</v>
      </c>
      <c r="J6087" s="7">
        <v>1.0</v>
      </c>
      <c r="K6087" s="7" t="s">
        <v>31</v>
      </c>
      <c r="L6087" s="8" t="s">
        <v>31</v>
      </c>
      <c r="M6087" s="6" t="s">
        <v>37990</v>
      </c>
      <c r="N6087" s="6" t="s">
        <v>4232</v>
      </c>
      <c r="O6087" s="8" t="s">
        <v>4233</v>
      </c>
      <c r="P6087" s="6" t="s">
        <v>31</v>
      </c>
      <c r="Q6087" s="6" t="s">
        <v>31</v>
      </c>
      <c r="R6087" s="6" t="s">
        <v>4236</v>
      </c>
      <c r="S6087" s="8" t="s">
        <v>31</v>
      </c>
      <c r="T6087" s="6" t="s">
        <v>66</v>
      </c>
      <c r="U6087" s="8" t="s">
        <v>31</v>
      </c>
      <c r="V6087" s="6" t="s">
        <v>1283</v>
      </c>
      <c r="W6087" s="6" t="s">
        <v>37978</v>
      </c>
      <c r="X6087" s="9" t="str">
        <f>HYPERLINK("https://my.pitchbook.com?p=194233-51P","View People Online")</f>
        <v>View People Online</v>
      </c>
    </row>
    <row r="6088">
      <c r="A6088" s="10" t="s">
        <v>37991</v>
      </c>
      <c r="B6088" s="10" t="s">
        <v>37992</v>
      </c>
      <c r="C6088" s="10" t="s">
        <v>568</v>
      </c>
      <c r="D6088" s="10" t="s">
        <v>37993</v>
      </c>
      <c r="E6088" s="10" t="s">
        <v>37994</v>
      </c>
      <c r="F6088" s="10" t="s">
        <v>9193</v>
      </c>
      <c r="G6088" s="10" t="s">
        <v>37995</v>
      </c>
      <c r="H6088" s="11" t="s">
        <v>31</v>
      </c>
      <c r="I6088" s="11">
        <v>1.0</v>
      </c>
      <c r="J6088" s="11">
        <v>1.0</v>
      </c>
      <c r="K6088" s="11" t="s">
        <v>31</v>
      </c>
      <c r="L6088" s="12" t="s">
        <v>37996</v>
      </c>
      <c r="M6088" s="10" t="s">
        <v>37997</v>
      </c>
      <c r="N6088" s="10" t="s">
        <v>243</v>
      </c>
      <c r="O6088" s="12" t="s">
        <v>244</v>
      </c>
      <c r="P6088" s="10" t="s">
        <v>37998</v>
      </c>
      <c r="Q6088" s="10" t="s">
        <v>37999</v>
      </c>
      <c r="R6088" s="10" t="s">
        <v>247</v>
      </c>
      <c r="S6088" s="12" t="s">
        <v>38000</v>
      </c>
      <c r="T6088" s="10" t="s">
        <v>249</v>
      </c>
      <c r="U6088" s="12" t="s">
        <v>31</v>
      </c>
      <c r="V6088" s="10" t="s">
        <v>38001</v>
      </c>
      <c r="W6088" s="10" t="s">
        <v>37994</v>
      </c>
      <c r="X6088" s="13" t="str">
        <f>HYPERLINK("https://my.pitchbook.com?p=369824-23P","View People Online")</f>
        <v>View People Online</v>
      </c>
    </row>
    <row r="6089">
      <c r="A6089" s="14" t="s">
        <v>38002</v>
      </c>
      <c r="B6089" s="14" t="s">
        <v>38003</v>
      </c>
      <c r="C6089" s="14" t="s">
        <v>38004</v>
      </c>
      <c r="D6089" s="14" t="s">
        <v>15061</v>
      </c>
      <c r="E6089" s="14" t="s">
        <v>37994</v>
      </c>
      <c r="F6089" s="14" t="s">
        <v>270</v>
      </c>
      <c r="G6089" s="14" t="s">
        <v>38005</v>
      </c>
      <c r="H6089" s="15" t="s">
        <v>31</v>
      </c>
      <c r="I6089" s="15">
        <v>1.0</v>
      </c>
      <c r="J6089" s="15">
        <v>1.0</v>
      </c>
      <c r="K6089" s="15" t="s">
        <v>31</v>
      </c>
      <c r="L6089" s="16" t="s">
        <v>38006</v>
      </c>
      <c r="M6089" s="14" t="s">
        <v>31</v>
      </c>
      <c r="N6089" s="14" t="s">
        <v>1034</v>
      </c>
      <c r="O6089" s="16" t="s">
        <v>1035</v>
      </c>
      <c r="P6089" s="14" t="s">
        <v>38007</v>
      </c>
      <c r="Q6089" s="14" t="s">
        <v>38008</v>
      </c>
      <c r="R6089" s="14" t="s">
        <v>31</v>
      </c>
      <c r="S6089" s="16" t="s">
        <v>38009</v>
      </c>
      <c r="T6089" s="14" t="s">
        <v>1034</v>
      </c>
      <c r="U6089" s="16" t="s">
        <v>31</v>
      </c>
      <c r="V6089" s="14" t="s">
        <v>38010</v>
      </c>
      <c r="W6089" s="14" t="s">
        <v>37994</v>
      </c>
      <c r="X6089" s="17" t="str">
        <f>HYPERLINK("https://my.pitchbook.com?p=370106-56P","View People Online")</f>
        <v>View People Online</v>
      </c>
    </row>
    <row r="6090">
      <c r="A6090" s="10" t="s">
        <v>38011</v>
      </c>
      <c r="B6090" s="10" t="s">
        <v>38012</v>
      </c>
      <c r="C6090" s="10" t="s">
        <v>38013</v>
      </c>
      <c r="D6090" s="10" t="s">
        <v>38014</v>
      </c>
      <c r="E6090" s="10" t="s">
        <v>37994</v>
      </c>
      <c r="F6090" s="10" t="s">
        <v>221</v>
      </c>
      <c r="G6090" s="10" t="s">
        <v>38015</v>
      </c>
      <c r="H6090" s="11" t="s">
        <v>31</v>
      </c>
      <c r="I6090" s="11">
        <v>1.0</v>
      </c>
      <c r="J6090" s="11">
        <v>1.0</v>
      </c>
      <c r="K6090" s="11" t="s">
        <v>31</v>
      </c>
      <c r="L6090" s="12" t="s">
        <v>38006</v>
      </c>
      <c r="M6090" s="10" t="s">
        <v>38016</v>
      </c>
      <c r="N6090" s="10" t="s">
        <v>1034</v>
      </c>
      <c r="O6090" s="12" t="s">
        <v>1035</v>
      </c>
      <c r="P6090" s="10" t="s">
        <v>38007</v>
      </c>
      <c r="Q6090" s="10" t="s">
        <v>38008</v>
      </c>
      <c r="R6090" s="10" t="s">
        <v>31</v>
      </c>
      <c r="S6090" s="12" t="s">
        <v>38009</v>
      </c>
      <c r="T6090" s="10" t="s">
        <v>1034</v>
      </c>
      <c r="U6090" s="12" t="s">
        <v>31</v>
      </c>
      <c r="V6090" s="10" t="s">
        <v>221</v>
      </c>
      <c r="W6090" s="10" t="s">
        <v>37994</v>
      </c>
      <c r="X6090" s="13" t="str">
        <f>HYPERLINK("https://my.pitchbook.com?p=339692-50P","View People Online")</f>
        <v>View People Online</v>
      </c>
    </row>
    <row r="6091">
      <c r="A6091" s="6" t="s">
        <v>38017</v>
      </c>
      <c r="B6091" s="6" t="s">
        <v>38018</v>
      </c>
      <c r="C6091" s="6" t="s">
        <v>38019</v>
      </c>
      <c r="D6091" s="6" t="s">
        <v>5692</v>
      </c>
      <c r="E6091" s="6" t="s">
        <v>37994</v>
      </c>
      <c r="F6091" s="6" t="s">
        <v>4931</v>
      </c>
      <c r="G6091" s="6" t="s">
        <v>38020</v>
      </c>
      <c r="H6091" s="7" t="s">
        <v>31</v>
      </c>
      <c r="I6091" s="7">
        <v>1.0</v>
      </c>
      <c r="J6091" s="7">
        <v>1.0</v>
      </c>
      <c r="K6091" s="7" t="s">
        <v>31</v>
      </c>
      <c r="L6091" s="8" t="s">
        <v>38006</v>
      </c>
      <c r="M6091" s="6" t="s">
        <v>38021</v>
      </c>
      <c r="N6091" s="6" t="s">
        <v>1034</v>
      </c>
      <c r="O6091" s="8" t="s">
        <v>1035</v>
      </c>
      <c r="P6091" s="6" t="s">
        <v>38007</v>
      </c>
      <c r="Q6091" s="6" t="s">
        <v>38008</v>
      </c>
      <c r="R6091" s="6" t="s">
        <v>31</v>
      </c>
      <c r="S6091" s="8" t="s">
        <v>38009</v>
      </c>
      <c r="T6091" s="6" t="s">
        <v>1034</v>
      </c>
      <c r="U6091" s="8" t="s">
        <v>31</v>
      </c>
      <c r="V6091" s="6" t="s">
        <v>38022</v>
      </c>
      <c r="W6091" s="6" t="s">
        <v>37994</v>
      </c>
      <c r="X6091" s="9" t="str">
        <f>HYPERLINK("https://my.pitchbook.com?p=390660-49P","View People Online")</f>
        <v>View People Online</v>
      </c>
    </row>
    <row r="6092">
      <c r="A6092" s="2" t="s">
        <v>38023</v>
      </c>
      <c r="B6092" s="2" t="s">
        <v>38024</v>
      </c>
      <c r="C6092" s="2" t="s">
        <v>186</v>
      </c>
      <c r="D6092" s="2" t="s">
        <v>38025</v>
      </c>
      <c r="E6092" s="2" t="s">
        <v>37994</v>
      </c>
      <c r="F6092" s="2" t="s">
        <v>312</v>
      </c>
      <c r="G6092" s="2" t="s">
        <v>38026</v>
      </c>
      <c r="H6092" s="3">
        <v>1.0</v>
      </c>
      <c r="I6092" s="3">
        <v>6.0</v>
      </c>
      <c r="J6092" s="3">
        <v>1.0</v>
      </c>
      <c r="K6092" s="3">
        <v>4.0</v>
      </c>
      <c r="L6092" s="4" t="s">
        <v>38027</v>
      </c>
      <c r="M6092" s="2" t="s">
        <v>38028</v>
      </c>
      <c r="N6092" s="2" t="s">
        <v>75</v>
      </c>
      <c r="O6092" s="4" t="s">
        <v>76</v>
      </c>
      <c r="P6092" s="2" t="s">
        <v>2340</v>
      </c>
      <c r="Q6092" s="2" t="s">
        <v>38029</v>
      </c>
      <c r="R6092" s="2" t="s">
        <v>75</v>
      </c>
      <c r="S6092" s="4" t="s">
        <v>4581</v>
      </c>
      <c r="T6092" s="2" t="s">
        <v>66</v>
      </c>
      <c r="U6092" s="4" t="s">
        <v>31</v>
      </c>
      <c r="V6092" s="2" t="s">
        <v>312</v>
      </c>
      <c r="W6092" s="2" t="s">
        <v>37994</v>
      </c>
      <c r="X6092" s="5" t="str">
        <f>HYPERLINK("https://my.pitchbook.com?p=247971-97P","View People Online")</f>
        <v>View People Online</v>
      </c>
    </row>
    <row r="6093">
      <c r="A6093" s="14" t="s">
        <v>38030</v>
      </c>
      <c r="B6093" s="14" t="s">
        <v>38031</v>
      </c>
      <c r="C6093" s="14" t="s">
        <v>1117</v>
      </c>
      <c r="D6093" s="14" t="s">
        <v>38032</v>
      </c>
      <c r="E6093" s="14" t="s">
        <v>37994</v>
      </c>
      <c r="F6093" s="14" t="s">
        <v>825</v>
      </c>
      <c r="G6093" s="14" t="s">
        <v>38033</v>
      </c>
      <c r="H6093" s="15">
        <v>1.0</v>
      </c>
      <c r="I6093" s="15">
        <v>2.0</v>
      </c>
      <c r="J6093" s="15">
        <v>1.0</v>
      </c>
      <c r="K6093" s="15" t="s">
        <v>31</v>
      </c>
      <c r="L6093" s="16" t="s">
        <v>38006</v>
      </c>
      <c r="M6093" s="14" t="s">
        <v>38034</v>
      </c>
      <c r="N6093" s="14" t="s">
        <v>1034</v>
      </c>
      <c r="O6093" s="16" t="s">
        <v>1035</v>
      </c>
      <c r="P6093" s="14" t="s">
        <v>38007</v>
      </c>
      <c r="Q6093" s="14" t="s">
        <v>38008</v>
      </c>
      <c r="R6093" s="14" t="s">
        <v>31</v>
      </c>
      <c r="S6093" s="16" t="s">
        <v>38009</v>
      </c>
      <c r="T6093" s="14" t="s">
        <v>1034</v>
      </c>
      <c r="U6093" s="16" t="s">
        <v>31</v>
      </c>
      <c r="V6093" s="14" t="s">
        <v>38035</v>
      </c>
      <c r="W6093" s="14" t="s">
        <v>37994</v>
      </c>
      <c r="X6093" s="17" t="str">
        <f>HYPERLINK("https://my.pitchbook.com?p=390430-81P","View People Online")</f>
        <v>View People Online</v>
      </c>
    </row>
    <row r="6094">
      <c r="A6094" s="2" t="s">
        <v>38036</v>
      </c>
      <c r="B6094" s="2" t="s">
        <v>38037</v>
      </c>
      <c r="C6094" s="2" t="s">
        <v>1117</v>
      </c>
      <c r="D6094" s="2" t="s">
        <v>7207</v>
      </c>
      <c r="E6094" s="2" t="s">
        <v>37994</v>
      </c>
      <c r="F6094" s="2" t="s">
        <v>9193</v>
      </c>
      <c r="G6094" s="2" t="s">
        <v>38038</v>
      </c>
      <c r="H6094" s="3" t="s">
        <v>31</v>
      </c>
      <c r="I6094" s="3">
        <v>1.0</v>
      </c>
      <c r="J6094" s="3">
        <v>1.0</v>
      </c>
      <c r="K6094" s="3" t="s">
        <v>31</v>
      </c>
      <c r="L6094" s="4" t="s">
        <v>38006</v>
      </c>
      <c r="M6094" s="2" t="s">
        <v>38039</v>
      </c>
      <c r="N6094" s="2" t="s">
        <v>1034</v>
      </c>
      <c r="O6094" s="4" t="s">
        <v>1035</v>
      </c>
      <c r="P6094" s="2" t="s">
        <v>38007</v>
      </c>
      <c r="Q6094" s="2" t="s">
        <v>38008</v>
      </c>
      <c r="R6094" s="2" t="s">
        <v>31</v>
      </c>
      <c r="S6094" s="4" t="s">
        <v>38009</v>
      </c>
      <c r="T6094" s="2" t="s">
        <v>1034</v>
      </c>
      <c r="U6094" s="4" t="s">
        <v>31</v>
      </c>
      <c r="V6094" s="2" t="s">
        <v>38040</v>
      </c>
      <c r="W6094" s="2" t="s">
        <v>37994</v>
      </c>
      <c r="X6094" s="5" t="str">
        <f>HYPERLINK("https://my.pitchbook.com?p=411193-81P","View People Online")</f>
        <v>View People Online</v>
      </c>
    </row>
    <row r="6095">
      <c r="A6095" s="6" t="s">
        <v>38041</v>
      </c>
      <c r="B6095" s="6" t="s">
        <v>38042</v>
      </c>
      <c r="C6095" s="6" t="s">
        <v>8252</v>
      </c>
      <c r="D6095" s="6" t="s">
        <v>6531</v>
      </c>
      <c r="E6095" s="6" t="s">
        <v>37994</v>
      </c>
      <c r="F6095" s="6" t="s">
        <v>10997</v>
      </c>
      <c r="G6095" s="6" t="s">
        <v>38043</v>
      </c>
      <c r="H6095" s="7">
        <v>3.0</v>
      </c>
      <c r="I6095" s="7">
        <v>8.0</v>
      </c>
      <c r="J6095" s="7">
        <v>1.0</v>
      </c>
      <c r="K6095" s="7">
        <v>4.0</v>
      </c>
      <c r="L6095" s="8" t="s">
        <v>38006</v>
      </c>
      <c r="M6095" s="6" t="s">
        <v>31</v>
      </c>
      <c r="N6095" s="6" t="s">
        <v>1034</v>
      </c>
      <c r="O6095" s="8" t="s">
        <v>1035</v>
      </c>
      <c r="P6095" s="6" t="s">
        <v>38007</v>
      </c>
      <c r="Q6095" s="6" t="s">
        <v>38008</v>
      </c>
      <c r="R6095" s="6" t="s">
        <v>31</v>
      </c>
      <c r="S6095" s="8" t="s">
        <v>38009</v>
      </c>
      <c r="T6095" s="6" t="s">
        <v>1034</v>
      </c>
      <c r="U6095" s="8" t="s">
        <v>31</v>
      </c>
      <c r="V6095" s="6" t="s">
        <v>38044</v>
      </c>
      <c r="W6095" s="6" t="s">
        <v>37994</v>
      </c>
      <c r="X6095" s="9" t="str">
        <f>HYPERLINK("https://my.pitchbook.com?p=61735-78P","View People Online")</f>
        <v>View People Online</v>
      </c>
    </row>
    <row r="6096">
      <c r="A6096" s="2" t="s">
        <v>38045</v>
      </c>
      <c r="B6096" s="2" t="s">
        <v>38046</v>
      </c>
      <c r="C6096" s="2" t="s">
        <v>8252</v>
      </c>
      <c r="D6096" s="2" t="s">
        <v>4293</v>
      </c>
      <c r="E6096" s="2" t="s">
        <v>37994</v>
      </c>
      <c r="F6096" s="2" t="s">
        <v>3823</v>
      </c>
      <c r="G6096" s="2" t="s">
        <v>38047</v>
      </c>
      <c r="H6096" s="3" t="s">
        <v>31</v>
      </c>
      <c r="I6096" s="3">
        <v>5.0</v>
      </c>
      <c r="J6096" s="3">
        <v>1.0</v>
      </c>
      <c r="K6096" s="3">
        <v>4.0</v>
      </c>
      <c r="L6096" s="4" t="s">
        <v>38006</v>
      </c>
      <c r="M6096" s="2" t="s">
        <v>31</v>
      </c>
      <c r="N6096" s="2" t="s">
        <v>1034</v>
      </c>
      <c r="O6096" s="4" t="s">
        <v>1035</v>
      </c>
      <c r="P6096" s="2" t="s">
        <v>38007</v>
      </c>
      <c r="Q6096" s="2" t="s">
        <v>38008</v>
      </c>
      <c r="R6096" s="2" t="s">
        <v>31</v>
      </c>
      <c r="S6096" s="4" t="s">
        <v>38009</v>
      </c>
      <c r="T6096" s="2" t="s">
        <v>1034</v>
      </c>
      <c r="U6096" s="4" t="s">
        <v>31</v>
      </c>
      <c r="V6096" s="2" t="s">
        <v>37772</v>
      </c>
      <c r="W6096" s="2" t="s">
        <v>37994</v>
      </c>
      <c r="X6096" s="5" t="str">
        <f>HYPERLINK("https://my.pitchbook.com?p=415392-85P","View People Online")</f>
        <v>View People Online</v>
      </c>
    </row>
    <row r="6097">
      <c r="A6097" s="14" t="s">
        <v>38048</v>
      </c>
      <c r="B6097" s="14" t="s">
        <v>38049</v>
      </c>
      <c r="C6097" s="14" t="s">
        <v>14272</v>
      </c>
      <c r="D6097" s="14" t="s">
        <v>38050</v>
      </c>
      <c r="E6097" s="14" t="s">
        <v>37994</v>
      </c>
      <c r="F6097" s="14" t="s">
        <v>825</v>
      </c>
      <c r="G6097" s="14" t="s">
        <v>38051</v>
      </c>
      <c r="H6097" s="15" t="s">
        <v>31</v>
      </c>
      <c r="I6097" s="15">
        <v>2.0</v>
      </c>
      <c r="J6097" s="15">
        <v>1.0</v>
      </c>
      <c r="K6097" s="15" t="s">
        <v>31</v>
      </c>
      <c r="L6097" s="16" t="s">
        <v>38006</v>
      </c>
      <c r="M6097" s="14" t="s">
        <v>38052</v>
      </c>
      <c r="N6097" s="14" t="s">
        <v>1034</v>
      </c>
      <c r="O6097" s="16" t="s">
        <v>1035</v>
      </c>
      <c r="P6097" s="14" t="s">
        <v>38007</v>
      </c>
      <c r="Q6097" s="14" t="s">
        <v>38008</v>
      </c>
      <c r="R6097" s="14" t="s">
        <v>31</v>
      </c>
      <c r="S6097" s="16" t="s">
        <v>38009</v>
      </c>
      <c r="T6097" s="14" t="s">
        <v>1034</v>
      </c>
      <c r="U6097" s="16" t="s">
        <v>31</v>
      </c>
      <c r="V6097" s="14" t="s">
        <v>38053</v>
      </c>
      <c r="W6097" s="14" t="s">
        <v>37994</v>
      </c>
      <c r="X6097" s="17" t="str">
        <f>HYPERLINK("https://my.pitchbook.com?p=390517-30P","View People Online")</f>
        <v>View People Online</v>
      </c>
    </row>
    <row r="6098">
      <c r="A6098" s="10" t="s">
        <v>38054</v>
      </c>
      <c r="B6098" s="10" t="s">
        <v>38055</v>
      </c>
      <c r="C6098" s="10" t="s">
        <v>14410</v>
      </c>
      <c r="D6098" s="10" t="s">
        <v>2432</v>
      </c>
      <c r="E6098" s="10" t="s">
        <v>37994</v>
      </c>
      <c r="F6098" s="10" t="s">
        <v>1459</v>
      </c>
      <c r="G6098" s="10" t="s">
        <v>38056</v>
      </c>
      <c r="H6098" s="11" t="s">
        <v>31</v>
      </c>
      <c r="I6098" s="11">
        <v>1.0</v>
      </c>
      <c r="J6098" s="11">
        <v>1.0</v>
      </c>
      <c r="K6098" s="11" t="s">
        <v>31</v>
      </c>
      <c r="L6098" s="12" t="s">
        <v>38006</v>
      </c>
      <c r="M6098" s="10" t="s">
        <v>38057</v>
      </c>
      <c r="N6098" s="10" t="s">
        <v>1034</v>
      </c>
      <c r="O6098" s="12" t="s">
        <v>1035</v>
      </c>
      <c r="P6098" s="10" t="s">
        <v>38007</v>
      </c>
      <c r="Q6098" s="10" t="s">
        <v>38008</v>
      </c>
      <c r="R6098" s="10" t="s">
        <v>31</v>
      </c>
      <c r="S6098" s="12" t="s">
        <v>38009</v>
      </c>
      <c r="T6098" s="10" t="s">
        <v>1034</v>
      </c>
      <c r="U6098" s="12" t="s">
        <v>31</v>
      </c>
      <c r="V6098" s="10" t="s">
        <v>38058</v>
      </c>
      <c r="W6098" s="10" t="s">
        <v>37994</v>
      </c>
      <c r="X6098" s="13" t="str">
        <f>HYPERLINK("https://my.pitchbook.com?p=390338-92P","View People Online")</f>
        <v>View People Online</v>
      </c>
    </row>
    <row r="6099">
      <c r="A6099" s="6" t="s">
        <v>38059</v>
      </c>
      <c r="B6099" s="6" t="s">
        <v>38060</v>
      </c>
      <c r="C6099" s="6" t="s">
        <v>14410</v>
      </c>
      <c r="D6099" s="6" t="s">
        <v>38061</v>
      </c>
      <c r="E6099" s="6" t="s">
        <v>37994</v>
      </c>
      <c r="F6099" s="6" t="s">
        <v>2652</v>
      </c>
      <c r="G6099" s="6" t="s">
        <v>38062</v>
      </c>
      <c r="H6099" s="7" t="s">
        <v>31</v>
      </c>
      <c r="I6099" s="7">
        <v>17.0</v>
      </c>
      <c r="J6099" s="7">
        <v>1.0</v>
      </c>
      <c r="K6099" s="7">
        <v>15.0</v>
      </c>
      <c r="L6099" s="8" t="s">
        <v>38063</v>
      </c>
      <c r="M6099" s="6" t="s">
        <v>38064</v>
      </c>
      <c r="N6099" s="6" t="s">
        <v>1034</v>
      </c>
      <c r="O6099" s="8" t="s">
        <v>1035</v>
      </c>
      <c r="P6099" s="6" t="s">
        <v>38007</v>
      </c>
      <c r="Q6099" s="6" t="s">
        <v>38008</v>
      </c>
      <c r="R6099" s="6" t="s">
        <v>31</v>
      </c>
      <c r="S6099" s="8" t="s">
        <v>38009</v>
      </c>
      <c r="T6099" s="6" t="s">
        <v>1034</v>
      </c>
      <c r="U6099" s="8" t="s">
        <v>31</v>
      </c>
      <c r="V6099" s="6" t="s">
        <v>38065</v>
      </c>
      <c r="W6099" s="6" t="s">
        <v>37994</v>
      </c>
      <c r="X6099" s="9" t="str">
        <f>HYPERLINK("https://my.pitchbook.com?p=170300-44P","View People Online")</f>
        <v>View People Online</v>
      </c>
    </row>
    <row r="6100">
      <c r="A6100" s="10" t="s">
        <v>38066</v>
      </c>
      <c r="B6100" s="10" t="s">
        <v>38067</v>
      </c>
      <c r="C6100" s="10" t="s">
        <v>14512</v>
      </c>
      <c r="D6100" s="10" t="s">
        <v>13942</v>
      </c>
      <c r="E6100" s="10" t="s">
        <v>37994</v>
      </c>
      <c r="F6100" s="10" t="s">
        <v>312</v>
      </c>
      <c r="G6100" s="10" t="s">
        <v>38068</v>
      </c>
      <c r="H6100" s="11" t="s">
        <v>31</v>
      </c>
      <c r="I6100" s="11">
        <v>1.0</v>
      </c>
      <c r="J6100" s="11">
        <v>1.0</v>
      </c>
      <c r="K6100" s="11" t="s">
        <v>31</v>
      </c>
      <c r="L6100" s="12" t="s">
        <v>38006</v>
      </c>
      <c r="M6100" s="10" t="s">
        <v>38069</v>
      </c>
      <c r="N6100" s="10" t="s">
        <v>1034</v>
      </c>
      <c r="O6100" s="12" t="s">
        <v>1035</v>
      </c>
      <c r="P6100" s="10" t="s">
        <v>38007</v>
      </c>
      <c r="Q6100" s="10" t="s">
        <v>38008</v>
      </c>
      <c r="R6100" s="10" t="s">
        <v>31</v>
      </c>
      <c r="S6100" s="12" t="s">
        <v>38009</v>
      </c>
      <c r="T6100" s="10" t="s">
        <v>1034</v>
      </c>
      <c r="U6100" s="12" t="s">
        <v>31</v>
      </c>
      <c r="V6100" s="10" t="s">
        <v>38070</v>
      </c>
      <c r="W6100" s="10" t="s">
        <v>37994</v>
      </c>
      <c r="X6100" s="13" t="str">
        <f>HYPERLINK("https://my.pitchbook.com?p=339605-29P","View People Online")</f>
        <v>View People Online</v>
      </c>
    </row>
    <row r="6101">
      <c r="A6101" s="14" t="s">
        <v>38071</v>
      </c>
      <c r="B6101" s="14" t="s">
        <v>38072</v>
      </c>
      <c r="C6101" s="14" t="s">
        <v>23356</v>
      </c>
      <c r="D6101" s="14" t="s">
        <v>8745</v>
      </c>
      <c r="E6101" s="14" t="s">
        <v>37994</v>
      </c>
      <c r="F6101" s="14" t="s">
        <v>548</v>
      </c>
      <c r="G6101" s="14" t="s">
        <v>38073</v>
      </c>
      <c r="H6101" s="15" t="s">
        <v>31</v>
      </c>
      <c r="I6101" s="15">
        <v>8.0</v>
      </c>
      <c r="J6101" s="15">
        <v>1.0</v>
      </c>
      <c r="K6101" s="15">
        <v>7.0</v>
      </c>
      <c r="L6101" s="16" t="s">
        <v>38006</v>
      </c>
      <c r="M6101" s="14" t="s">
        <v>38074</v>
      </c>
      <c r="N6101" s="14" t="s">
        <v>1034</v>
      </c>
      <c r="O6101" s="16" t="s">
        <v>1035</v>
      </c>
      <c r="P6101" s="14" t="s">
        <v>38007</v>
      </c>
      <c r="Q6101" s="14" t="s">
        <v>38008</v>
      </c>
      <c r="R6101" s="14" t="s">
        <v>31</v>
      </c>
      <c r="S6101" s="16" t="s">
        <v>38009</v>
      </c>
      <c r="T6101" s="14" t="s">
        <v>1034</v>
      </c>
      <c r="U6101" s="16" t="s">
        <v>31</v>
      </c>
      <c r="V6101" s="14" t="s">
        <v>38075</v>
      </c>
      <c r="W6101" s="14" t="s">
        <v>37994</v>
      </c>
      <c r="X6101" s="17" t="str">
        <f>HYPERLINK("https://my.pitchbook.com?p=166995-73P","View People Online")</f>
        <v>View People Online</v>
      </c>
    </row>
    <row r="6102">
      <c r="A6102" s="2" t="s">
        <v>38076</v>
      </c>
      <c r="B6102" s="2" t="s">
        <v>38077</v>
      </c>
      <c r="C6102" s="2" t="s">
        <v>1929</v>
      </c>
      <c r="D6102" s="2" t="s">
        <v>38078</v>
      </c>
      <c r="E6102" s="2" t="s">
        <v>37994</v>
      </c>
      <c r="F6102" s="2" t="s">
        <v>825</v>
      </c>
      <c r="G6102" s="2" t="s">
        <v>38079</v>
      </c>
      <c r="H6102" s="3" t="s">
        <v>31</v>
      </c>
      <c r="I6102" s="3">
        <v>1.0</v>
      </c>
      <c r="J6102" s="3">
        <v>1.0</v>
      </c>
      <c r="K6102" s="3" t="s">
        <v>31</v>
      </c>
      <c r="L6102" s="4" t="s">
        <v>38006</v>
      </c>
      <c r="M6102" s="2" t="s">
        <v>38080</v>
      </c>
      <c r="N6102" s="2" t="s">
        <v>1034</v>
      </c>
      <c r="O6102" s="4" t="s">
        <v>1035</v>
      </c>
      <c r="P6102" s="2" t="s">
        <v>38007</v>
      </c>
      <c r="Q6102" s="2" t="s">
        <v>38008</v>
      </c>
      <c r="R6102" s="2" t="s">
        <v>31</v>
      </c>
      <c r="S6102" s="4" t="s">
        <v>38009</v>
      </c>
      <c r="T6102" s="2" t="s">
        <v>1034</v>
      </c>
      <c r="U6102" s="4" t="s">
        <v>31</v>
      </c>
      <c r="V6102" s="2" t="s">
        <v>38081</v>
      </c>
      <c r="W6102" s="2" t="s">
        <v>37994</v>
      </c>
      <c r="X6102" s="5" t="str">
        <f>HYPERLINK("https://my.pitchbook.com?p=30277-00P","View People Online")</f>
        <v>View People Online</v>
      </c>
    </row>
    <row r="6103">
      <c r="A6103" s="14" t="s">
        <v>38082</v>
      </c>
      <c r="B6103" s="14" t="s">
        <v>38083</v>
      </c>
      <c r="C6103" s="14" t="s">
        <v>740</v>
      </c>
      <c r="D6103" s="14" t="s">
        <v>38084</v>
      </c>
      <c r="E6103" s="14" t="s">
        <v>37994</v>
      </c>
      <c r="F6103" s="14" t="s">
        <v>38085</v>
      </c>
      <c r="G6103" s="14" t="s">
        <v>38086</v>
      </c>
      <c r="H6103" s="15" t="s">
        <v>31</v>
      </c>
      <c r="I6103" s="15">
        <v>4.0</v>
      </c>
      <c r="J6103" s="15">
        <v>1.0</v>
      </c>
      <c r="K6103" s="15">
        <v>2.0</v>
      </c>
      <c r="L6103" s="16" t="s">
        <v>38006</v>
      </c>
      <c r="M6103" s="14" t="s">
        <v>38087</v>
      </c>
      <c r="N6103" s="14" t="s">
        <v>1034</v>
      </c>
      <c r="O6103" s="16" t="s">
        <v>1035</v>
      </c>
      <c r="P6103" s="14" t="s">
        <v>38007</v>
      </c>
      <c r="Q6103" s="14" t="s">
        <v>38008</v>
      </c>
      <c r="R6103" s="14" t="s">
        <v>31</v>
      </c>
      <c r="S6103" s="16" t="s">
        <v>38009</v>
      </c>
      <c r="T6103" s="14" t="s">
        <v>1034</v>
      </c>
      <c r="U6103" s="16" t="s">
        <v>31</v>
      </c>
      <c r="V6103" s="14" t="s">
        <v>38088</v>
      </c>
      <c r="W6103" s="14" t="s">
        <v>37994</v>
      </c>
      <c r="X6103" s="17" t="str">
        <f>HYPERLINK("https://my.pitchbook.com?p=133841-80P","View People Online")</f>
        <v>View People Online</v>
      </c>
    </row>
    <row r="6104">
      <c r="A6104" s="2" t="s">
        <v>38089</v>
      </c>
      <c r="B6104" s="2" t="s">
        <v>38090</v>
      </c>
      <c r="C6104" s="2" t="s">
        <v>38091</v>
      </c>
      <c r="D6104" s="2" t="s">
        <v>17087</v>
      </c>
      <c r="E6104" s="2" t="s">
        <v>37994</v>
      </c>
      <c r="F6104" s="2" t="s">
        <v>825</v>
      </c>
      <c r="G6104" s="2" t="s">
        <v>38092</v>
      </c>
      <c r="H6104" s="3" t="s">
        <v>31</v>
      </c>
      <c r="I6104" s="3">
        <v>1.0</v>
      </c>
      <c r="J6104" s="3">
        <v>1.0</v>
      </c>
      <c r="K6104" s="3" t="s">
        <v>31</v>
      </c>
      <c r="L6104" s="4" t="s">
        <v>38006</v>
      </c>
      <c r="M6104" s="2" t="s">
        <v>38093</v>
      </c>
      <c r="N6104" s="2" t="s">
        <v>1034</v>
      </c>
      <c r="O6104" s="4" t="s">
        <v>1035</v>
      </c>
      <c r="P6104" s="2" t="s">
        <v>38007</v>
      </c>
      <c r="Q6104" s="2" t="s">
        <v>38008</v>
      </c>
      <c r="R6104" s="2" t="s">
        <v>31</v>
      </c>
      <c r="S6104" s="4" t="s">
        <v>38009</v>
      </c>
      <c r="T6104" s="2" t="s">
        <v>1034</v>
      </c>
      <c r="U6104" s="4" t="s">
        <v>31</v>
      </c>
      <c r="V6104" s="2" t="s">
        <v>38094</v>
      </c>
      <c r="W6104" s="2" t="s">
        <v>37994</v>
      </c>
      <c r="X6104" s="5" t="str">
        <f>HYPERLINK("https://my.pitchbook.com?p=390504-70P","View People Online")</f>
        <v>View People Online</v>
      </c>
    </row>
    <row r="6105">
      <c r="A6105" s="6" t="s">
        <v>38095</v>
      </c>
      <c r="B6105" s="6" t="s">
        <v>38096</v>
      </c>
      <c r="C6105" s="6" t="s">
        <v>1426</v>
      </c>
      <c r="D6105" s="6" t="s">
        <v>38097</v>
      </c>
      <c r="E6105" s="6" t="s">
        <v>37994</v>
      </c>
      <c r="F6105" s="6" t="s">
        <v>9193</v>
      </c>
      <c r="G6105" s="6" t="s">
        <v>38098</v>
      </c>
      <c r="H6105" s="7" t="s">
        <v>31</v>
      </c>
      <c r="I6105" s="7">
        <v>1.0</v>
      </c>
      <c r="J6105" s="7">
        <v>1.0</v>
      </c>
      <c r="K6105" s="7" t="s">
        <v>31</v>
      </c>
      <c r="L6105" s="8" t="s">
        <v>38099</v>
      </c>
      <c r="M6105" s="6" t="s">
        <v>38100</v>
      </c>
      <c r="N6105" s="6" t="s">
        <v>1034</v>
      </c>
      <c r="O6105" s="8" t="s">
        <v>1035</v>
      </c>
      <c r="P6105" s="6" t="s">
        <v>38007</v>
      </c>
      <c r="Q6105" s="6" t="s">
        <v>38008</v>
      </c>
      <c r="R6105" s="6" t="s">
        <v>31</v>
      </c>
      <c r="S6105" s="8" t="s">
        <v>38009</v>
      </c>
      <c r="T6105" s="6" t="s">
        <v>1034</v>
      </c>
      <c r="U6105" s="8" t="s">
        <v>31</v>
      </c>
      <c r="V6105" s="6" t="s">
        <v>38101</v>
      </c>
      <c r="W6105" s="6" t="s">
        <v>37994</v>
      </c>
      <c r="X6105" s="9" t="str">
        <f>HYPERLINK("https://my.pitchbook.com?p=177979-69P","View People Online")</f>
        <v>View People Online</v>
      </c>
    </row>
    <row r="6106">
      <c r="A6106" s="10" t="s">
        <v>38102</v>
      </c>
      <c r="B6106" s="10" t="s">
        <v>38103</v>
      </c>
      <c r="C6106" s="10" t="s">
        <v>1426</v>
      </c>
      <c r="D6106" s="10" t="s">
        <v>38104</v>
      </c>
      <c r="E6106" s="10" t="s">
        <v>37994</v>
      </c>
      <c r="F6106" s="10" t="s">
        <v>3710</v>
      </c>
      <c r="G6106" s="10" t="s">
        <v>38105</v>
      </c>
      <c r="H6106" s="11" t="s">
        <v>31</v>
      </c>
      <c r="I6106" s="11">
        <v>1.0</v>
      </c>
      <c r="J6106" s="11">
        <v>1.0</v>
      </c>
      <c r="K6106" s="11" t="s">
        <v>31</v>
      </c>
      <c r="L6106" s="12" t="s">
        <v>38006</v>
      </c>
      <c r="M6106" s="10" t="s">
        <v>38106</v>
      </c>
      <c r="N6106" s="10" t="s">
        <v>1034</v>
      </c>
      <c r="O6106" s="12" t="s">
        <v>1035</v>
      </c>
      <c r="P6106" s="10" t="s">
        <v>38007</v>
      </c>
      <c r="Q6106" s="10" t="s">
        <v>38008</v>
      </c>
      <c r="R6106" s="10" t="s">
        <v>31</v>
      </c>
      <c r="S6106" s="12" t="s">
        <v>38009</v>
      </c>
      <c r="T6106" s="10" t="s">
        <v>1034</v>
      </c>
      <c r="U6106" s="12" t="s">
        <v>31</v>
      </c>
      <c r="V6106" s="10" t="s">
        <v>38107</v>
      </c>
      <c r="W6106" s="10" t="s">
        <v>37994</v>
      </c>
      <c r="X6106" s="13" t="str">
        <f>HYPERLINK("https://my.pitchbook.com?p=390503-35P","View People Online")</f>
        <v>View People Online</v>
      </c>
    </row>
    <row r="6107">
      <c r="A6107" s="14" t="s">
        <v>38108</v>
      </c>
      <c r="B6107" s="14" t="s">
        <v>38109</v>
      </c>
      <c r="C6107" s="14" t="s">
        <v>38110</v>
      </c>
      <c r="D6107" s="14" t="s">
        <v>38111</v>
      </c>
      <c r="E6107" s="14" t="s">
        <v>37994</v>
      </c>
      <c r="F6107" s="14" t="s">
        <v>10997</v>
      </c>
      <c r="G6107" s="14" t="s">
        <v>38112</v>
      </c>
      <c r="H6107" s="15">
        <v>1.0</v>
      </c>
      <c r="I6107" s="15">
        <v>1.0</v>
      </c>
      <c r="J6107" s="15">
        <v>1.0</v>
      </c>
      <c r="K6107" s="15" t="s">
        <v>31</v>
      </c>
      <c r="L6107" s="16" t="s">
        <v>38006</v>
      </c>
      <c r="M6107" s="14" t="s">
        <v>31</v>
      </c>
      <c r="N6107" s="14" t="s">
        <v>1034</v>
      </c>
      <c r="O6107" s="16" t="s">
        <v>1035</v>
      </c>
      <c r="P6107" s="14" t="s">
        <v>38007</v>
      </c>
      <c r="Q6107" s="14" t="s">
        <v>38008</v>
      </c>
      <c r="R6107" s="14" t="s">
        <v>31</v>
      </c>
      <c r="S6107" s="16" t="s">
        <v>38009</v>
      </c>
      <c r="T6107" s="14" t="s">
        <v>1034</v>
      </c>
      <c r="U6107" s="16" t="s">
        <v>31</v>
      </c>
      <c r="V6107" s="14" t="s">
        <v>38113</v>
      </c>
      <c r="W6107" s="14" t="s">
        <v>37994</v>
      </c>
      <c r="X6107" s="17" t="str">
        <f>HYPERLINK("https://my.pitchbook.com?p=75004-75P","View People Online")</f>
        <v>View People Online</v>
      </c>
    </row>
    <row r="6108">
      <c r="A6108" s="10" t="s">
        <v>38114</v>
      </c>
      <c r="B6108" s="10" t="s">
        <v>38115</v>
      </c>
      <c r="C6108" s="10" t="s">
        <v>38116</v>
      </c>
      <c r="D6108" s="10" t="s">
        <v>14808</v>
      </c>
      <c r="E6108" s="10" t="s">
        <v>37994</v>
      </c>
      <c r="F6108" s="10" t="s">
        <v>3823</v>
      </c>
      <c r="G6108" s="10" t="s">
        <v>38117</v>
      </c>
      <c r="H6108" s="11">
        <v>1.0</v>
      </c>
      <c r="I6108" s="11">
        <v>3.0</v>
      </c>
      <c r="J6108" s="11">
        <v>1.0</v>
      </c>
      <c r="K6108" s="11">
        <v>1.0</v>
      </c>
      <c r="L6108" s="12" t="s">
        <v>38006</v>
      </c>
      <c r="M6108" s="10" t="s">
        <v>31</v>
      </c>
      <c r="N6108" s="10" t="s">
        <v>1034</v>
      </c>
      <c r="O6108" s="12" t="s">
        <v>1035</v>
      </c>
      <c r="P6108" s="10" t="s">
        <v>38007</v>
      </c>
      <c r="Q6108" s="10" t="s">
        <v>38008</v>
      </c>
      <c r="R6108" s="10" t="s">
        <v>31</v>
      </c>
      <c r="S6108" s="12" t="s">
        <v>38009</v>
      </c>
      <c r="T6108" s="10" t="s">
        <v>1034</v>
      </c>
      <c r="U6108" s="12" t="s">
        <v>31</v>
      </c>
      <c r="V6108" s="10" t="s">
        <v>38118</v>
      </c>
      <c r="W6108" s="10" t="s">
        <v>37994</v>
      </c>
      <c r="X6108" s="13" t="str">
        <f>HYPERLINK("https://my.pitchbook.com?p=275236-03P","View People Online")</f>
        <v>View People Online</v>
      </c>
    </row>
    <row r="6109">
      <c r="A6109" s="14" t="s">
        <v>38119</v>
      </c>
      <c r="B6109" s="14" t="s">
        <v>38120</v>
      </c>
      <c r="C6109" s="14" t="s">
        <v>8070</v>
      </c>
      <c r="D6109" s="14" t="s">
        <v>38121</v>
      </c>
      <c r="E6109" s="14" t="s">
        <v>37994</v>
      </c>
      <c r="F6109" s="14" t="s">
        <v>3823</v>
      </c>
      <c r="G6109" s="14" t="s">
        <v>38122</v>
      </c>
      <c r="H6109" s="15" t="s">
        <v>31</v>
      </c>
      <c r="I6109" s="15">
        <v>5.0</v>
      </c>
      <c r="J6109" s="15">
        <v>1.0</v>
      </c>
      <c r="K6109" s="15">
        <v>3.0</v>
      </c>
      <c r="L6109" s="16" t="s">
        <v>38006</v>
      </c>
      <c r="M6109" s="14" t="s">
        <v>38123</v>
      </c>
      <c r="N6109" s="14" t="s">
        <v>1034</v>
      </c>
      <c r="O6109" s="16" t="s">
        <v>1035</v>
      </c>
      <c r="P6109" s="14" t="s">
        <v>38007</v>
      </c>
      <c r="Q6109" s="14" t="s">
        <v>38008</v>
      </c>
      <c r="R6109" s="14" t="s">
        <v>31</v>
      </c>
      <c r="S6109" s="16" t="s">
        <v>38009</v>
      </c>
      <c r="T6109" s="14" t="s">
        <v>1034</v>
      </c>
      <c r="U6109" s="16" t="s">
        <v>31</v>
      </c>
      <c r="V6109" s="14" t="s">
        <v>38124</v>
      </c>
      <c r="W6109" s="14" t="s">
        <v>37994</v>
      </c>
      <c r="X6109" s="17" t="str">
        <f>HYPERLINK("https://my.pitchbook.com?p=76491-01P","View People Online")</f>
        <v>View People Online</v>
      </c>
    </row>
    <row r="6110">
      <c r="A6110" s="10" t="s">
        <v>38125</v>
      </c>
      <c r="B6110" s="10" t="s">
        <v>38120</v>
      </c>
      <c r="C6110" s="10" t="s">
        <v>38126</v>
      </c>
      <c r="D6110" s="10" t="s">
        <v>38127</v>
      </c>
      <c r="E6110" s="10" t="s">
        <v>37994</v>
      </c>
      <c r="F6110" s="10" t="s">
        <v>3823</v>
      </c>
      <c r="G6110" s="10" t="s">
        <v>38128</v>
      </c>
      <c r="H6110" s="11" t="s">
        <v>31</v>
      </c>
      <c r="I6110" s="11">
        <v>1.0</v>
      </c>
      <c r="J6110" s="11">
        <v>1.0</v>
      </c>
      <c r="K6110" s="11" t="s">
        <v>31</v>
      </c>
      <c r="L6110" s="12" t="s">
        <v>38006</v>
      </c>
      <c r="M6110" s="10" t="s">
        <v>38129</v>
      </c>
      <c r="N6110" s="10" t="s">
        <v>1034</v>
      </c>
      <c r="O6110" s="12" t="s">
        <v>1035</v>
      </c>
      <c r="P6110" s="10" t="s">
        <v>38007</v>
      </c>
      <c r="Q6110" s="10" t="s">
        <v>38008</v>
      </c>
      <c r="R6110" s="10" t="s">
        <v>31</v>
      </c>
      <c r="S6110" s="12" t="s">
        <v>38009</v>
      </c>
      <c r="T6110" s="10" t="s">
        <v>1034</v>
      </c>
      <c r="U6110" s="12" t="s">
        <v>31</v>
      </c>
      <c r="V6110" s="10" t="s">
        <v>38124</v>
      </c>
      <c r="W6110" s="10" t="s">
        <v>37994</v>
      </c>
      <c r="X6110" s="13" t="str">
        <f>HYPERLINK("https://my.pitchbook.com?p=200978-38P","View People Online")</f>
        <v>View People Online</v>
      </c>
    </row>
    <row r="6111">
      <c r="A6111" s="6" t="s">
        <v>38130</v>
      </c>
      <c r="B6111" s="6" t="s">
        <v>38131</v>
      </c>
      <c r="C6111" s="6" t="s">
        <v>38132</v>
      </c>
      <c r="D6111" s="6" t="s">
        <v>38133</v>
      </c>
      <c r="E6111" s="6" t="s">
        <v>37994</v>
      </c>
      <c r="F6111" s="6" t="s">
        <v>3823</v>
      </c>
      <c r="G6111" s="6" t="s">
        <v>38134</v>
      </c>
      <c r="H6111" s="7" t="s">
        <v>31</v>
      </c>
      <c r="I6111" s="7">
        <v>3.0</v>
      </c>
      <c r="J6111" s="7">
        <v>1.0</v>
      </c>
      <c r="K6111" s="7">
        <v>2.0</v>
      </c>
      <c r="L6111" s="8" t="s">
        <v>38006</v>
      </c>
      <c r="M6111" s="6" t="s">
        <v>31</v>
      </c>
      <c r="N6111" s="6" t="s">
        <v>1034</v>
      </c>
      <c r="O6111" s="8" t="s">
        <v>1035</v>
      </c>
      <c r="P6111" s="6" t="s">
        <v>38007</v>
      </c>
      <c r="Q6111" s="6" t="s">
        <v>38008</v>
      </c>
      <c r="R6111" s="6" t="s">
        <v>31</v>
      </c>
      <c r="S6111" s="8" t="s">
        <v>38009</v>
      </c>
      <c r="T6111" s="6" t="s">
        <v>1034</v>
      </c>
      <c r="U6111" s="8" t="s">
        <v>31</v>
      </c>
      <c r="V6111" s="6" t="s">
        <v>3823</v>
      </c>
      <c r="W6111" s="6" t="s">
        <v>37994</v>
      </c>
      <c r="X6111" s="9" t="str">
        <f>HYPERLINK("https://my.pitchbook.com?p=440554-33P","View People Online")</f>
        <v>View People Online</v>
      </c>
    </row>
    <row r="6112">
      <c r="A6112" s="2" t="s">
        <v>38135</v>
      </c>
      <c r="B6112" s="2" t="s">
        <v>38136</v>
      </c>
      <c r="C6112" s="2" t="s">
        <v>38137</v>
      </c>
      <c r="D6112" s="2" t="s">
        <v>784</v>
      </c>
      <c r="E6112" s="2" t="s">
        <v>37994</v>
      </c>
      <c r="F6112" s="2" t="s">
        <v>1249</v>
      </c>
      <c r="G6112" s="2" t="s">
        <v>38138</v>
      </c>
      <c r="H6112" s="3">
        <v>1.0</v>
      </c>
      <c r="I6112" s="3">
        <v>31.0</v>
      </c>
      <c r="J6112" s="3">
        <v>2.0</v>
      </c>
      <c r="K6112" s="3">
        <v>28.0</v>
      </c>
      <c r="L6112" s="4" t="s">
        <v>38006</v>
      </c>
      <c r="M6112" s="2" t="s">
        <v>38139</v>
      </c>
      <c r="N6112" s="2" t="s">
        <v>1034</v>
      </c>
      <c r="O6112" s="4" t="s">
        <v>1035</v>
      </c>
      <c r="P6112" s="2" t="s">
        <v>38007</v>
      </c>
      <c r="Q6112" s="2" t="s">
        <v>38008</v>
      </c>
      <c r="R6112" s="2" t="s">
        <v>31</v>
      </c>
      <c r="S6112" s="4" t="s">
        <v>38009</v>
      </c>
      <c r="T6112" s="2" t="s">
        <v>1034</v>
      </c>
      <c r="U6112" s="4" t="s">
        <v>31</v>
      </c>
      <c r="V6112" s="2" t="s">
        <v>29447</v>
      </c>
      <c r="W6112" s="2" t="s">
        <v>37994</v>
      </c>
      <c r="X6112" s="5" t="str">
        <f>HYPERLINK("https://my.pitchbook.com?p=31489-66P","View People Online")</f>
        <v>View People Online</v>
      </c>
    </row>
    <row r="6113">
      <c r="A6113" s="14" t="s">
        <v>38140</v>
      </c>
      <c r="B6113" s="14" t="s">
        <v>38141</v>
      </c>
      <c r="C6113" s="14" t="s">
        <v>1437</v>
      </c>
      <c r="D6113" s="14" t="s">
        <v>38142</v>
      </c>
      <c r="E6113" s="14" t="s">
        <v>37994</v>
      </c>
      <c r="F6113" s="14" t="s">
        <v>2652</v>
      </c>
      <c r="G6113" s="14" t="s">
        <v>38143</v>
      </c>
      <c r="H6113" s="15">
        <v>1.0</v>
      </c>
      <c r="I6113" s="15">
        <v>2.0</v>
      </c>
      <c r="J6113" s="15">
        <v>1.0</v>
      </c>
      <c r="K6113" s="15" t="s">
        <v>31</v>
      </c>
      <c r="L6113" s="16" t="s">
        <v>38006</v>
      </c>
      <c r="M6113" s="14" t="s">
        <v>38144</v>
      </c>
      <c r="N6113" s="14" t="s">
        <v>1034</v>
      </c>
      <c r="O6113" s="16" t="s">
        <v>1035</v>
      </c>
      <c r="P6113" s="14" t="s">
        <v>38007</v>
      </c>
      <c r="Q6113" s="14" t="s">
        <v>38008</v>
      </c>
      <c r="R6113" s="14" t="s">
        <v>31</v>
      </c>
      <c r="S6113" s="16" t="s">
        <v>38009</v>
      </c>
      <c r="T6113" s="14" t="s">
        <v>1034</v>
      </c>
      <c r="U6113" s="16" t="s">
        <v>31</v>
      </c>
      <c r="V6113" s="14" t="s">
        <v>38145</v>
      </c>
      <c r="W6113" s="14" t="s">
        <v>37994</v>
      </c>
      <c r="X6113" s="17" t="str">
        <f>HYPERLINK("https://my.pitchbook.com?p=247970-89P","View People Online")</f>
        <v>View People Online</v>
      </c>
    </row>
    <row r="6114">
      <c r="A6114" s="10" t="s">
        <v>38146</v>
      </c>
      <c r="B6114" s="10" t="s">
        <v>38147</v>
      </c>
      <c r="C6114" s="10" t="s">
        <v>1982</v>
      </c>
      <c r="D6114" s="10" t="s">
        <v>38148</v>
      </c>
      <c r="E6114" s="10" t="s">
        <v>37994</v>
      </c>
      <c r="F6114" s="10" t="s">
        <v>312</v>
      </c>
      <c r="G6114" s="10" t="s">
        <v>38149</v>
      </c>
      <c r="H6114" s="11" t="s">
        <v>31</v>
      </c>
      <c r="I6114" s="11">
        <v>1.0</v>
      </c>
      <c r="J6114" s="11">
        <v>1.0</v>
      </c>
      <c r="K6114" s="11" t="s">
        <v>31</v>
      </c>
      <c r="L6114" s="12" t="s">
        <v>38006</v>
      </c>
      <c r="M6114" s="10" t="s">
        <v>38150</v>
      </c>
      <c r="N6114" s="10" t="s">
        <v>1034</v>
      </c>
      <c r="O6114" s="12" t="s">
        <v>1035</v>
      </c>
      <c r="P6114" s="10" t="s">
        <v>38007</v>
      </c>
      <c r="Q6114" s="10" t="s">
        <v>38008</v>
      </c>
      <c r="R6114" s="10" t="s">
        <v>31</v>
      </c>
      <c r="S6114" s="12" t="s">
        <v>38009</v>
      </c>
      <c r="T6114" s="10" t="s">
        <v>1034</v>
      </c>
      <c r="U6114" s="12" t="s">
        <v>31</v>
      </c>
      <c r="V6114" s="10" t="s">
        <v>312</v>
      </c>
      <c r="W6114" s="10" t="s">
        <v>37994</v>
      </c>
      <c r="X6114" s="13" t="str">
        <f>HYPERLINK("https://my.pitchbook.com?p=346403-98P","View People Online")</f>
        <v>View People Online</v>
      </c>
    </row>
    <row r="6115">
      <c r="A6115" s="14" t="s">
        <v>38151</v>
      </c>
      <c r="B6115" s="14" t="s">
        <v>38152</v>
      </c>
      <c r="C6115" s="14" t="s">
        <v>69</v>
      </c>
      <c r="D6115" s="14" t="s">
        <v>27766</v>
      </c>
      <c r="E6115" s="14" t="s">
        <v>37994</v>
      </c>
      <c r="F6115" s="14" t="s">
        <v>1283</v>
      </c>
      <c r="G6115" s="14" t="s">
        <v>38153</v>
      </c>
      <c r="H6115" s="15" t="s">
        <v>31</v>
      </c>
      <c r="I6115" s="15">
        <v>1.0</v>
      </c>
      <c r="J6115" s="15">
        <v>1.0</v>
      </c>
      <c r="K6115" s="15" t="s">
        <v>31</v>
      </c>
      <c r="L6115" s="16" t="s">
        <v>38006</v>
      </c>
      <c r="M6115" s="14" t="s">
        <v>38154</v>
      </c>
      <c r="N6115" s="14" t="s">
        <v>1034</v>
      </c>
      <c r="O6115" s="16" t="s">
        <v>1035</v>
      </c>
      <c r="P6115" s="14" t="s">
        <v>38007</v>
      </c>
      <c r="Q6115" s="14" t="s">
        <v>38008</v>
      </c>
      <c r="R6115" s="14" t="s">
        <v>31</v>
      </c>
      <c r="S6115" s="16" t="s">
        <v>38009</v>
      </c>
      <c r="T6115" s="14" t="s">
        <v>1034</v>
      </c>
      <c r="U6115" s="16" t="s">
        <v>31</v>
      </c>
      <c r="V6115" s="14" t="s">
        <v>38155</v>
      </c>
      <c r="W6115" s="14" t="s">
        <v>37994</v>
      </c>
      <c r="X6115" s="17" t="str">
        <f>HYPERLINK("https://my.pitchbook.com?p=390658-87P","View People Online")</f>
        <v>View People Online</v>
      </c>
    </row>
    <row r="6116">
      <c r="A6116" s="10" t="s">
        <v>38156</v>
      </c>
      <c r="B6116" s="10" t="s">
        <v>38157</v>
      </c>
      <c r="C6116" s="10" t="s">
        <v>1449</v>
      </c>
      <c r="D6116" s="10" t="s">
        <v>38158</v>
      </c>
      <c r="E6116" s="10" t="s">
        <v>37994</v>
      </c>
      <c r="F6116" s="10" t="s">
        <v>4800</v>
      </c>
      <c r="G6116" s="10" t="s">
        <v>38159</v>
      </c>
      <c r="H6116" s="11" t="s">
        <v>31</v>
      </c>
      <c r="I6116" s="11">
        <v>2.0</v>
      </c>
      <c r="J6116" s="11">
        <v>1.0</v>
      </c>
      <c r="K6116" s="11">
        <v>1.0</v>
      </c>
      <c r="L6116" s="12" t="s">
        <v>38006</v>
      </c>
      <c r="M6116" s="10" t="s">
        <v>38160</v>
      </c>
      <c r="N6116" s="10" t="s">
        <v>1034</v>
      </c>
      <c r="O6116" s="12" t="s">
        <v>1035</v>
      </c>
      <c r="P6116" s="10" t="s">
        <v>38007</v>
      </c>
      <c r="Q6116" s="10" t="s">
        <v>38008</v>
      </c>
      <c r="R6116" s="10" t="s">
        <v>31</v>
      </c>
      <c r="S6116" s="12" t="s">
        <v>38009</v>
      </c>
      <c r="T6116" s="10" t="s">
        <v>1034</v>
      </c>
      <c r="U6116" s="12" t="s">
        <v>31</v>
      </c>
      <c r="V6116" s="10" t="s">
        <v>38161</v>
      </c>
      <c r="W6116" s="10" t="s">
        <v>37994</v>
      </c>
      <c r="X6116" s="13" t="str">
        <f>HYPERLINK("https://my.pitchbook.com?p=339318-73P","View People Online")</f>
        <v>View People Online</v>
      </c>
    </row>
    <row r="6117">
      <c r="A6117" s="6" t="s">
        <v>38162</v>
      </c>
      <c r="B6117" s="6" t="s">
        <v>38163</v>
      </c>
      <c r="C6117" s="6" t="s">
        <v>1449</v>
      </c>
      <c r="D6117" s="6" t="s">
        <v>38164</v>
      </c>
      <c r="E6117" s="6" t="s">
        <v>37994</v>
      </c>
      <c r="F6117" s="6" t="s">
        <v>548</v>
      </c>
      <c r="G6117" s="6" t="s">
        <v>38165</v>
      </c>
      <c r="H6117" s="7" t="s">
        <v>31</v>
      </c>
      <c r="I6117" s="7">
        <v>1.0</v>
      </c>
      <c r="J6117" s="7">
        <v>1.0</v>
      </c>
      <c r="K6117" s="7" t="s">
        <v>31</v>
      </c>
      <c r="L6117" s="8" t="s">
        <v>38006</v>
      </c>
      <c r="M6117" s="6" t="s">
        <v>38166</v>
      </c>
      <c r="N6117" s="6" t="s">
        <v>1034</v>
      </c>
      <c r="O6117" s="8" t="s">
        <v>1035</v>
      </c>
      <c r="P6117" s="6" t="s">
        <v>38007</v>
      </c>
      <c r="Q6117" s="6" t="s">
        <v>38008</v>
      </c>
      <c r="R6117" s="6" t="s">
        <v>31</v>
      </c>
      <c r="S6117" s="8" t="s">
        <v>38009</v>
      </c>
      <c r="T6117" s="6" t="s">
        <v>1034</v>
      </c>
      <c r="U6117" s="8" t="s">
        <v>31</v>
      </c>
      <c r="V6117" s="6" t="s">
        <v>38167</v>
      </c>
      <c r="W6117" s="6" t="s">
        <v>37994</v>
      </c>
      <c r="X6117" s="9" t="str">
        <f>HYPERLINK("https://my.pitchbook.com?p=390460-60P","View People Online")</f>
        <v>View People Online</v>
      </c>
    </row>
    <row r="6118">
      <c r="A6118" s="2" t="s">
        <v>38168</v>
      </c>
      <c r="B6118" s="2" t="s">
        <v>38169</v>
      </c>
      <c r="C6118" s="2" t="s">
        <v>38170</v>
      </c>
      <c r="D6118" s="2" t="s">
        <v>38014</v>
      </c>
      <c r="E6118" s="2" t="s">
        <v>37994</v>
      </c>
      <c r="F6118" s="2" t="s">
        <v>4406</v>
      </c>
      <c r="G6118" s="2" t="s">
        <v>38171</v>
      </c>
      <c r="H6118" s="3" t="s">
        <v>31</v>
      </c>
      <c r="I6118" s="3">
        <v>1.0</v>
      </c>
      <c r="J6118" s="3">
        <v>1.0</v>
      </c>
      <c r="K6118" s="3" t="s">
        <v>31</v>
      </c>
      <c r="L6118" s="4" t="s">
        <v>38006</v>
      </c>
      <c r="M6118" s="2" t="s">
        <v>38172</v>
      </c>
      <c r="N6118" s="2" t="s">
        <v>1034</v>
      </c>
      <c r="O6118" s="4" t="s">
        <v>1035</v>
      </c>
      <c r="P6118" s="2" t="s">
        <v>38007</v>
      </c>
      <c r="Q6118" s="2" t="s">
        <v>38008</v>
      </c>
      <c r="R6118" s="2" t="s">
        <v>31</v>
      </c>
      <c r="S6118" s="4" t="s">
        <v>38009</v>
      </c>
      <c r="T6118" s="2" t="s">
        <v>1034</v>
      </c>
      <c r="U6118" s="4" t="s">
        <v>31</v>
      </c>
      <c r="V6118" s="2" t="s">
        <v>4406</v>
      </c>
      <c r="W6118" s="2" t="s">
        <v>37994</v>
      </c>
      <c r="X6118" s="5" t="str">
        <f>HYPERLINK("https://my.pitchbook.com?p=32793-04P","View People Online")</f>
        <v>View People Online</v>
      </c>
    </row>
    <row r="6119">
      <c r="A6119" s="14" t="s">
        <v>38173</v>
      </c>
      <c r="B6119" s="14" t="s">
        <v>38174</v>
      </c>
      <c r="C6119" s="14" t="s">
        <v>38175</v>
      </c>
      <c r="D6119" s="14" t="s">
        <v>36661</v>
      </c>
      <c r="E6119" s="14" t="s">
        <v>37994</v>
      </c>
      <c r="F6119" s="14" t="s">
        <v>312</v>
      </c>
      <c r="G6119" s="14" t="s">
        <v>38176</v>
      </c>
      <c r="H6119" s="15" t="s">
        <v>31</v>
      </c>
      <c r="I6119" s="15">
        <v>1.0</v>
      </c>
      <c r="J6119" s="15">
        <v>1.0</v>
      </c>
      <c r="K6119" s="15" t="s">
        <v>31</v>
      </c>
      <c r="L6119" s="16" t="s">
        <v>38006</v>
      </c>
      <c r="M6119" s="14" t="s">
        <v>38177</v>
      </c>
      <c r="N6119" s="14" t="s">
        <v>1034</v>
      </c>
      <c r="O6119" s="16" t="s">
        <v>1035</v>
      </c>
      <c r="P6119" s="14" t="s">
        <v>38007</v>
      </c>
      <c r="Q6119" s="14" t="s">
        <v>38008</v>
      </c>
      <c r="R6119" s="14" t="s">
        <v>31</v>
      </c>
      <c r="S6119" s="16" t="s">
        <v>38009</v>
      </c>
      <c r="T6119" s="14" t="s">
        <v>1034</v>
      </c>
      <c r="U6119" s="16" t="s">
        <v>31</v>
      </c>
      <c r="V6119" s="14" t="s">
        <v>312</v>
      </c>
      <c r="W6119" s="14" t="s">
        <v>37994</v>
      </c>
      <c r="X6119" s="17" t="str">
        <f>HYPERLINK("https://my.pitchbook.com?p=440699-14P","View People Online")</f>
        <v>View People Online</v>
      </c>
    </row>
    <row r="6120">
      <c r="A6120" s="10" t="s">
        <v>38178</v>
      </c>
      <c r="B6120" s="10" t="s">
        <v>38179</v>
      </c>
      <c r="C6120" s="10" t="s">
        <v>38180</v>
      </c>
      <c r="D6120" s="10" t="s">
        <v>12190</v>
      </c>
      <c r="E6120" s="10" t="s">
        <v>37994</v>
      </c>
      <c r="F6120" s="10" t="s">
        <v>896</v>
      </c>
      <c r="G6120" s="10" t="s">
        <v>38181</v>
      </c>
      <c r="H6120" s="11" t="s">
        <v>31</v>
      </c>
      <c r="I6120" s="11">
        <v>1.0</v>
      </c>
      <c r="J6120" s="11">
        <v>1.0</v>
      </c>
      <c r="K6120" s="11" t="s">
        <v>31</v>
      </c>
      <c r="L6120" s="12" t="s">
        <v>38006</v>
      </c>
      <c r="M6120" s="10" t="s">
        <v>38182</v>
      </c>
      <c r="N6120" s="10" t="s">
        <v>1034</v>
      </c>
      <c r="O6120" s="12" t="s">
        <v>1035</v>
      </c>
      <c r="P6120" s="10" t="s">
        <v>38007</v>
      </c>
      <c r="Q6120" s="10" t="s">
        <v>38008</v>
      </c>
      <c r="R6120" s="10" t="s">
        <v>31</v>
      </c>
      <c r="S6120" s="12" t="s">
        <v>38009</v>
      </c>
      <c r="T6120" s="10" t="s">
        <v>1034</v>
      </c>
      <c r="U6120" s="12" t="s">
        <v>31</v>
      </c>
      <c r="V6120" s="10" t="s">
        <v>38183</v>
      </c>
      <c r="W6120" s="10" t="s">
        <v>37994</v>
      </c>
      <c r="X6120" s="13" t="str">
        <f>HYPERLINK("https://my.pitchbook.com?p=390338-83P","View People Online")</f>
        <v>View People Online</v>
      </c>
    </row>
    <row r="6121">
      <c r="A6121" s="14" t="s">
        <v>38184</v>
      </c>
      <c r="B6121" s="14" t="s">
        <v>38185</v>
      </c>
      <c r="C6121" s="14" t="s">
        <v>11239</v>
      </c>
      <c r="D6121" s="14" t="s">
        <v>8016</v>
      </c>
      <c r="E6121" s="14" t="s">
        <v>37994</v>
      </c>
      <c r="F6121" s="14" t="s">
        <v>548</v>
      </c>
      <c r="G6121" s="14" t="s">
        <v>38186</v>
      </c>
      <c r="H6121" s="15" t="s">
        <v>31</v>
      </c>
      <c r="I6121" s="15">
        <v>1.0</v>
      </c>
      <c r="J6121" s="15">
        <v>1.0</v>
      </c>
      <c r="K6121" s="15" t="s">
        <v>31</v>
      </c>
      <c r="L6121" s="16" t="s">
        <v>38006</v>
      </c>
      <c r="M6121" s="14" t="s">
        <v>38187</v>
      </c>
      <c r="N6121" s="14" t="s">
        <v>1034</v>
      </c>
      <c r="O6121" s="16" t="s">
        <v>1035</v>
      </c>
      <c r="P6121" s="14" t="s">
        <v>38007</v>
      </c>
      <c r="Q6121" s="14" t="s">
        <v>38008</v>
      </c>
      <c r="R6121" s="14" t="s">
        <v>31</v>
      </c>
      <c r="S6121" s="16" t="s">
        <v>38009</v>
      </c>
      <c r="T6121" s="14" t="s">
        <v>1034</v>
      </c>
      <c r="U6121" s="16" t="s">
        <v>31</v>
      </c>
      <c r="V6121" s="14" t="s">
        <v>38188</v>
      </c>
      <c r="W6121" s="14" t="s">
        <v>37994</v>
      </c>
      <c r="X6121" s="17" t="str">
        <f>HYPERLINK("https://my.pitchbook.com?p=390425-68P","View People Online")</f>
        <v>View People Online</v>
      </c>
    </row>
    <row r="6122">
      <c r="A6122" s="10" t="s">
        <v>38189</v>
      </c>
      <c r="B6122" s="10" t="s">
        <v>38190</v>
      </c>
      <c r="C6122" s="10" t="s">
        <v>1998</v>
      </c>
      <c r="D6122" s="10" t="s">
        <v>22881</v>
      </c>
      <c r="E6122" s="10" t="s">
        <v>37994</v>
      </c>
      <c r="F6122" s="10" t="s">
        <v>825</v>
      </c>
      <c r="G6122" s="10" t="s">
        <v>38191</v>
      </c>
      <c r="H6122" s="11" t="s">
        <v>31</v>
      </c>
      <c r="I6122" s="11">
        <v>1.0</v>
      </c>
      <c r="J6122" s="11">
        <v>1.0</v>
      </c>
      <c r="K6122" s="11" t="s">
        <v>31</v>
      </c>
      <c r="L6122" s="12" t="s">
        <v>38006</v>
      </c>
      <c r="M6122" s="10" t="s">
        <v>38192</v>
      </c>
      <c r="N6122" s="10" t="s">
        <v>1034</v>
      </c>
      <c r="O6122" s="12" t="s">
        <v>1035</v>
      </c>
      <c r="P6122" s="10" t="s">
        <v>38007</v>
      </c>
      <c r="Q6122" s="10" t="s">
        <v>38008</v>
      </c>
      <c r="R6122" s="10" t="s">
        <v>31</v>
      </c>
      <c r="S6122" s="12" t="s">
        <v>38009</v>
      </c>
      <c r="T6122" s="10" t="s">
        <v>1034</v>
      </c>
      <c r="U6122" s="12" t="s">
        <v>31</v>
      </c>
      <c r="V6122" s="10" t="s">
        <v>38193</v>
      </c>
      <c r="W6122" s="10" t="s">
        <v>37994</v>
      </c>
      <c r="X6122" s="13" t="str">
        <f>HYPERLINK("https://my.pitchbook.com?p=76257-19P","View People Online")</f>
        <v>View People Online</v>
      </c>
    </row>
    <row r="6123">
      <c r="A6123" s="6" t="s">
        <v>38194</v>
      </c>
      <c r="B6123" s="6" t="s">
        <v>38195</v>
      </c>
      <c r="C6123" s="6" t="s">
        <v>16130</v>
      </c>
      <c r="D6123" s="6" t="s">
        <v>38196</v>
      </c>
      <c r="E6123" s="6" t="s">
        <v>37994</v>
      </c>
      <c r="F6123" s="6" t="s">
        <v>9193</v>
      </c>
      <c r="G6123" s="6" t="s">
        <v>38197</v>
      </c>
      <c r="H6123" s="7" t="s">
        <v>31</v>
      </c>
      <c r="I6123" s="7">
        <v>1.0</v>
      </c>
      <c r="J6123" s="7">
        <v>1.0</v>
      </c>
      <c r="K6123" s="7" t="s">
        <v>31</v>
      </c>
      <c r="L6123" s="8" t="s">
        <v>38006</v>
      </c>
      <c r="M6123" s="6" t="s">
        <v>38198</v>
      </c>
      <c r="N6123" s="6" t="s">
        <v>1034</v>
      </c>
      <c r="O6123" s="8" t="s">
        <v>1035</v>
      </c>
      <c r="P6123" s="6" t="s">
        <v>38007</v>
      </c>
      <c r="Q6123" s="6" t="s">
        <v>38008</v>
      </c>
      <c r="R6123" s="6" t="s">
        <v>31</v>
      </c>
      <c r="S6123" s="8" t="s">
        <v>38009</v>
      </c>
      <c r="T6123" s="6" t="s">
        <v>1034</v>
      </c>
      <c r="U6123" s="8" t="s">
        <v>31</v>
      </c>
      <c r="V6123" s="6" t="s">
        <v>38101</v>
      </c>
      <c r="W6123" s="6" t="s">
        <v>37994</v>
      </c>
      <c r="X6123" s="9" t="str">
        <f>HYPERLINK("https://my.pitchbook.com?p=319870-63P","View People Online")</f>
        <v>View People Online</v>
      </c>
    </row>
    <row r="6124">
      <c r="A6124" s="2" t="s">
        <v>38199</v>
      </c>
      <c r="B6124" s="2" t="s">
        <v>38200</v>
      </c>
      <c r="C6124" s="2" t="s">
        <v>1255</v>
      </c>
      <c r="D6124" s="2" t="s">
        <v>38201</v>
      </c>
      <c r="E6124" s="2" t="s">
        <v>37994</v>
      </c>
      <c r="F6124" s="2" t="s">
        <v>825</v>
      </c>
      <c r="G6124" s="2" t="s">
        <v>38202</v>
      </c>
      <c r="H6124" s="3" t="s">
        <v>31</v>
      </c>
      <c r="I6124" s="3">
        <v>1.0</v>
      </c>
      <c r="J6124" s="3">
        <v>1.0</v>
      </c>
      <c r="K6124" s="3" t="s">
        <v>31</v>
      </c>
      <c r="L6124" s="4" t="s">
        <v>38006</v>
      </c>
      <c r="M6124" s="2" t="s">
        <v>38203</v>
      </c>
      <c r="N6124" s="2" t="s">
        <v>1034</v>
      </c>
      <c r="O6124" s="4" t="s">
        <v>1035</v>
      </c>
      <c r="P6124" s="2" t="s">
        <v>38007</v>
      </c>
      <c r="Q6124" s="2" t="s">
        <v>38008</v>
      </c>
      <c r="R6124" s="2" t="s">
        <v>31</v>
      </c>
      <c r="S6124" s="4" t="s">
        <v>38009</v>
      </c>
      <c r="T6124" s="2" t="s">
        <v>1034</v>
      </c>
      <c r="U6124" s="4" t="s">
        <v>31</v>
      </c>
      <c r="V6124" s="2" t="s">
        <v>38204</v>
      </c>
      <c r="W6124" s="2" t="s">
        <v>37994</v>
      </c>
      <c r="X6124" s="5" t="str">
        <f>HYPERLINK("https://my.pitchbook.com?p=146964-97P","View People Online")</f>
        <v>View People Online</v>
      </c>
    </row>
    <row r="6125">
      <c r="A6125" s="14" t="s">
        <v>38205</v>
      </c>
      <c r="B6125" s="14" t="s">
        <v>38206</v>
      </c>
      <c r="C6125" s="14" t="s">
        <v>38207</v>
      </c>
      <c r="D6125" s="14" t="s">
        <v>8252</v>
      </c>
      <c r="E6125" s="14" t="s">
        <v>37994</v>
      </c>
      <c r="F6125" s="14" t="s">
        <v>3823</v>
      </c>
      <c r="G6125" s="14" t="s">
        <v>38208</v>
      </c>
      <c r="H6125" s="15" t="s">
        <v>31</v>
      </c>
      <c r="I6125" s="15">
        <v>35.0</v>
      </c>
      <c r="J6125" s="15">
        <v>1.0</v>
      </c>
      <c r="K6125" s="15">
        <v>31.0</v>
      </c>
      <c r="L6125" s="16" t="s">
        <v>37996</v>
      </c>
      <c r="M6125" s="14" t="s">
        <v>38209</v>
      </c>
      <c r="N6125" s="14" t="s">
        <v>243</v>
      </c>
      <c r="O6125" s="16" t="s">
        <v>244</v>
      </c>
      <c r="P6125" s="14" t="s">
        <v>37998</v>
      </c>
      <c r="Q6125" s="14" t="s">
        <v>37999</v>
      </c>
      <c r="R6125" s="14" t="s">
        <v>247</v>
      </c>
      <c r="S6125" s="16" t="s">
        <v>38000</v>
      </c>
      <c r="T6125" s="14" t="s">
        <v>249</v>
      </c>
      <c r="U6125" s="16" t="s">
        <v>31</v>
      </c>
      <c r="V6125" s="14" t="s">
        <v>37772</v>
      </c>
      <c r="W6125" s="14" t="s">
        <v>37994</v>
      </c>
      <c r="X6125" s="17" t="str">
        <f>HYPERLINK("https://my.pitchbook.com?p=32794-30P","View People Online")</f>
        <v>View People Online</v>
      </c>
    </row>
    <row r="6126">
      <c r="A6126" s="2" t="s">
        <v>38210</v>
      </c>
      <c r="B6126" s="2" t="s">
        <v>38211</v>
      </c>
      <c r="C6126" s="2" t="s">
        <v>323</v>
      </c>
      <c r="D6126" s="2" t="s">
        <v>38212</v>
      </c>
      <c r="E6126" s="2" t="s">
        <v>37994</v>
      </c>
      <c r="F6126" s="2" t="s">
        <v>38213</v>
      </c>
      <c r="G6126" s="2" t="s">
        <v>38214</v>
      </c>
      <c r="H6126" s="3" t="s">
        <v>31</v>
      </c>
      <c r="I6126" s="3">
        <v>34.0</v>
      </c>
      <c r="J6126" s="3">
        <v>1.0</v>
      </c>
      <c r="K6126" s="3">
        <v>31.0</v>
      </c>
      <c r="L6126" s="4" t="s">
        <v>38215</v>
      </c>
      <c r="M6126" s="2" t="s">
        <v>38216</v>
      </c>
      <c r="N6126" s="2" t="s">
        <v>75</v>
      </c>
      <c r="O6126" s="4" t="s">
        <v>76</v>
      </c>
      <c r="P6126" s="2" t="s">
        <v>2340</v>
      </c>
      <c r="Q6126" s="2" t="s">
        <v>38029</v>
      </c>
      <c r="R6126" s="2" t="s">
        <v>75</v>
      </c>
      <c r="S6126" s="4" t="s">
        <v>4581</v>
      </c>
      <c r="T6126" s="2" t="s">
        <v>66</v>
      </c>
      <c r="U6126" s="4" t="s">
        <v>31</v>
      </c>
      <c r="V6126" s="2" t="s">
        <v>38217</v>
      </c>
      <c r="W6126" s="2" t="s">
        <v>37994</v>
      </c>
      <c r="X6126" s="5" t="str">
        <f>HYPERLINK("https://my.pitchbook.com?p=62055-91P","View People Online")</f>
        <v>View People Online</v>
      </c>
    </row>
    <row r="6127">
      <c r="A6127" s="14" t="s">
        <v>38218</v>
      </c>
      <c r="B6127" s="14" t="s">
        <v>38219</v>
      </c>
      <c r="C6127" s="14" t="s">
        <v>2871</v>
      </c>
      <c r="D6127" s="14" t="s">
        <v>17744</v>
      </c>
      <c r="E6127" s="14" t="s">
        <v>37994</v>
      </c>
      <c r="F6127" s="14" t="s">
        <v>825</v>
      </c>
      <c r="G6127" s="14" t="s">
        <v>38220</v>
      </c>
      <c r="H6127" s="15">
        <v>1.0</v>
      </c>
      <c r="I6127" s="15">
        <v>2.0</v>
      </c>
      <c r="J6127" s="15">
        <v>1.0</v>
      </c>
      <c r="K6127" s="15" t="s">
        <v>31</v>
      </c>
      <c r="L6127" s="16" t="s">
        <v>37996</v>
      </c>
      <c r="M6127" s="14" t="s">
        <v>38221</v>
      </c>
      <c r="N6127" s="14" t="s">
        <v>243</v>
      </c>
      <c r="O6127" s="16" t="s">
        <v>244</v>
      </c>
      <c r="P6127" s="14" t="s">
        <v>37998</v>
      </c>
      <c r="Q6127" s="14" t="s">
        <v>37999</v>
      </c>
      <c r="R6127" s="14" t="s">
        <v>247</v>
      </c>
      <c r="S6127" s="16" t="s">
        <v>38000</v>
      </c>
      <c r="T6127" s="14" t="s">
        <v>249</v>
      </c>
      <c r="U6127" s="16" t="s">
        <v>31</v>
      </c>
      <c r="V6127" s="14" t="s">
        <v>38222</v>
      </c>
      <c r="W6127" s="14" t="s">
        <v>37994</v>
      </c>
      <c r="X6127" s="17" t="str">
        <f>HYPERLINK("https://my.pitchbook.com?p=390445-57P","View People Online")</f>
        <v>View People Online</v>
      </c>
    </row>
    <row r="6128">
      <c r="A6128" s="2" t="s">
        <v>38223</v>
      </c>
      <c r="B6128" s="2" t="s">
        <v>38224</v>
      </c>
      <c r="C6128" s="2" t="s">
        <v>5010</v>
      </c>
      <c r="D6128" s="2" t="s">
        <v>38225</v>
      </c>
      <c r="E6128" s="2" t="s">
        <v>37994</v>
      </c>
      <c r="F6128" s="2" t="s">
        <v>825</v>
      </c>
      <c r="G6128" s="2" t="s">
        <v>38226</v>
      </c>
      <c r="H6128" s="3" t="s">
        <v>31</v>
      </c>
      <c r="I6128" s="3">
        <v>2.0</v>
      </c>
      <c r="J6128" s="3">
        <v>1.0</v>
      </c>
      <c r="K6128" s="3">
        <v>1.0</v>
      </c>
      <c r="L6128" s="4" t="s">
        <v>38215</v>
      </c>
      <c r="M6128" s="2" t="s">
        <v>38227</v>
      </c>
      <c r="N6128" s="2" t="s">
        <v>75</v>
      </c>
      <c r="O6128" s="4" t="s">
        <v>76</v>
      </c>
      <c r="P6128" s="2" t="s">
        <v>2340</v>
      </c>
      <c r="Q6128" s="2" t="s">
        <v>38029</v>
      </c>
      <c r="R6128" s="2" t="s">
        <v>75</v>
      </c>
      <c r="S6128" s="4" t="s">
        <v>4581</v>
      </c>
      <c r="T6128" s="2" t="s">
        <v>66</v>
      </c>
      <c r="U6128" s="4" t="s">
        <v>31</v>
      </c>
      <c r="V6128" s="2" t="s">
        <v>38228</v>
      </c>
      <c r="W6128" s="2" t="s">
        <v>37994</v>
      </c>
      <c r="X6128" s="5" t="str">
        <f>HYPERLINK("https://my.pitchbook.com?p=446672-53P","View People Online")</f>
        <v>View People Online</v>
      </c>
    </row>
    <row r="6129">
      <c r="A6129" s="6" t="s">
        <v>38229</v>
      </c>
      <c r="B6129" s="6" t="s">
        <v>38230</v>
      </c>
      <c r="C6129" s="6" t="s">
        <v>38127</v>
      </c>
      <c r="D6129" s="6" t="s">
        <v>38231</v>
      </c>
      <c r="E6129" s="6" t="s">
        <v>37994</v>
      </c>
      <c r="F6129" s="6" t="s">
        <v>3823</v>
      </c>
      <c r="G6129" s="6" t="s">
        <v>38232</v>
      </c>
      <c r="H6129" s="7" t="s">
        <v>31</v>
      </c>
      <c r="I6129" s="7">
        <v>3.0</v>
      </c>
      <c r="J6129" s="7">
        <v>1.0</v>
      </c>
      <c r="K6129" s="7">
        <v>2.0</v>
      </c>
      <c r="L6129" s="8" t="s">
        <v>38006</v>
      </c>
      <c r="M6129" s="6" t="s">
        <v>31</v>
      </c>
      <c r="N6129" s="6" t="s">
        <v>1034</v>
      </c>
      <c r="O6129" s="8" t="s">
        <v>1035</v>
      </c>
      <c r="P6129" s="6" t="s">
        <v>38007</v>
      </c>
      <c r="Q6129" s="6" t="s">
        <v>38008</v>
      </c>
      <c r="R6129" s="6" t="s">
        <v>31</v>
      </c>
      <c r="S6129" s="8" t="s">
        <v>38009</v>
      </c>
      <c r="T6129" s="6" t="s">
        <v>1034</v>
      </c>
      <c r="U6129" s="8" t="s">
        <v>31</v>
      </c>
      <c r="V6129" s="6" t="s">
        <v>38124</v>
      </c>
      <c r="W6129" s="6" t="s">
        <v>37994</v>
      </c>
      <c r="X6129" s="9" t="str">
        <f>HYPERLINK("https://my.pitchbook.com?p=422370-91P","View People Online")</f>
        <v>View People Online</v>
      </c>
    </row>
    <row r="6130">
      <c r="A6130" s="2" t="s">
        <v>38233</v>
      </c>
      <c r="B6130" s="2" t="s">
        <v>38234</v>
      </c>
      <c r="C6130" s="2" t="s">
        <v>1849</v>
      </c>
      <c r="D6130" s="2" t="s">
        <v>38235</v>
      </c>
      <c r="E6130" s="2" t="s">
        <v>37994</v>
      </c>
      <c r="F6130" s="2" t="s">
        <v>270</v>
      </c>
      <c r="G6130" s="2" t="s">
        <v>38236</v>
      </c>
      <c r="H6130" s="3" t="s">
        <v>31</v>
      </c>
      <c r="I6130" s="3">
        <v>1.0</v>
      </c>
      <c r="J6130" s="3">
        <v>1.0</v>
      </c>
      <c r="K6130" s="3" t="s">
        <v>31</v>
      </c>
      <c r="L6130" s="4" t="s">
        <v>38006</v>
      </c>
      <c r="M6130" s="2" t="s">
        <v>38237</v>
      </c>
      <c r="N6130" s="2" t="s">
        <v>1034</v>
      </c>
      <c r="O6130" s="4" t="s">
        <v>1035</v>
      </c>
      <c r="P6130" s="2" t="s">
        <v>38007</v>
      </c>
      <c r="Q6130" s="2" t="s">
        <v>38008</v>
      </c>
      <c r="R6130" s="2" t="s">
        <v>31</v>
      </c>
      <c r="S6130" s="4" t="s">
        <v>38009</v>
      </c>
      <c r="T6130" s="2" t="s">
        <v>1034</v>
      </c>
      <c r="U6130" s="4" t="s">
        <v>31</v>
      </c>
      <c r="V6130" s="2" t="s">
        <v>38238</v>
      </c>
      <c r="W6130" s="2" t="s">
        <v>37994</v>
      </c>
      <c r="X6130" s="5" t="str">
        <f>HYPERLINK("https://my.pitchbook.com?p=409480-75P","View People Online")</f>
        <v>View People Online</v>
      </c>
    </row>
    <row r="6131">
      <c r="A6131" s="14" t="s">
        <v>38239</v>
      </c>
      <c r="B6131" s="14" t="s">
        <v>38240</v>
      </c>
      <c r="C6131" s="14" t="s">
        <v>38241</v>
      </c>
      <c r="D6131" s="14" t="s">
        <v>3671</v>
      </c>
      <c r="E6131" s="14" t="s">
        <v>37994</v>
      </c>
      <c r="F6131" s="14" t="s">
        <v>5086</v>
      </c>
      <c r="G6131" s="14" t="s">
        <v>38242</v>
      </c>
      <c r="H6131" s="15" t="s">
        <v>31</v>
      </c>
      <c r="I6131" s="15">
        <v>1.0</v>
      </c>
      <c r="J6131" s="15">
        <v>1.0</v>
      </c>
      <c r="K6131" s="15" t="s">
        <v>31</v>
      </c>
      <c r="L6131" s="16" t="s">
        <v>38006</v>
      </c>
      <c r="M6131" s="14" t="s">
        <v>38243</v>
      </c>
      <c r="N6131" s="14" t="s">
        <v>1034</v>
      </c>
      <c r="O6131" s="16" t="s">
        <v>1035</v>
      </c>
      <c r="P6131" s="14" t="s">
        <v>38007</v>
      </c>
      <c r="Q6131" s="14" t="s">
        <v>38008</v>
      </c>
      <c r="R6131" s="14" t="s">
        <v>31</v>
      </c>
      <c r="S6131" s="16" t="s">
        <v>38009</v>
      </c>
      <c r="T6131" s="14" t="s">
        <v>1034</v>
      </c>
      <c r="U6131" s="16" t="s">
        <v>31</v>
      </c>
      <c r="V6131" s="14" t="s">
        <v>38244</v>
      </c>
      <c r="W6131" s="14" t="s">
        <v>37994</v>
      </c>
      <c r="X6131" s="17" t="str">
        <f>HYPERLINK("https://my.pitchbook.com?p=214360-93P","View People Online")</f>
        <v>View People Online</v>
      </c>
    </row>
    <row r="6132">
      <c r="A6132" s="2" t="s">
        <v>38245</v>
      </c>
      <c r="B6132" s="2" t="s">
        <v>38246</v>
      </c>
      <c r="C6132" s="2" t="s">
        <v>32822</v>
      </c>
      <c r="D6132" s="2" t="s">
        <v>38247</v>
      </c>
      <c r="E6132" s="2" t="s">
        <v>37994</v>
      </c>
      <c r="F6132" s="2" t="s">
        <v>825</v>
      </c>
      <c r="G6132" s="2" t="s">
        <v>38248</v>
      </c>
      <c r="H6132" s="3" t="s">
        <v>31</v>
      </c>
      <c r="I6132" s="3">
        <v>1.0</v>
      </c>
      <c r="J6132" s="3">
        <v>1.0</v>
      </c>
      <c r="K6132" s="3" t="s">
        <v>31</v>
      </c>
      <c r="L6132" s="4" t="s">
        <v>38006</v>
      </c>
      <c r="M6132" s="2" t="s">
        <v>38249</v>
      </c>
      <c r="N6132" s="2" t="s">
        <v>1034</v>
      </c>
      <c r="O6132" s="4" t="s">
        <v>1035</v>
      </c>
      <c r="P6132" s="2" t="s">
        <v>38007</v>
      </c>
      <c r="Q6132" s="2" t="s">
        <v>38008</v>
      </c>
      <c r="R6132" s="2" t="s">
        <v>31</v>
      </c>
      <c r="S6132" s="4" t="s">
        <v>38009</v>
      </c>
      <c r="T6132" s="2" t="s">
        <v>1034</v>
      </c>
      <c r="U6132" s="4" t="s">
        <v>31</v>
      </c>
      <c r="V6132" s="2" t="s">
        <v>38250</v>
      </c>
      <c r="W6132" s="2" t="s">
        <v>37994</v>
      </c>
      <c r="X6132" s="5" t="str">
        <f>HYPERLINK("https://my.pitchbook.com?p=390517-66P","View People Online")</f>
        <v>View People Online</v>
      </c>
    </row>
    <row r="6133">
      <c r="A6133" s="6" t="s">
        <v>38251</v>
      </c>
      <c r="B6133" s="6" t="s">
        <v>38252</v>
      </c>
      <c r="C6133" s="6" t="s">
        <v>31666</v>
      </c>
      <c r="D6133" s="6" t="s">
        <v>38253</v>
      </c>
      <c r="E6133" s="6" t="s">
        <v>37994</v>
      </c>
      <c r="F6133" s="6" t="s">
        <v>1283</v>
      </c>
      <c r="G6133" s="6" t="s">
        <v>38254</v>
      </c>
      <c r="H6133" s="7">
        <v>2.0</v>
      </c>
      <c r="I6133" s="7">
        <v>9.0</v>
      </c>
      <c r="J6133" s="7">
        <v>1.0</v>
      </c>
      <c r="K6133" s="7">
        <v>6.0</v>
      </c>
      <c r="L6133" s="8" t="s">
        <v>38006</v>
      </c>
      <c r="M6133" s="6" t="s">
        <v>38255</v>
      </c>
      <c r="N6133" s="6" t="s">
        <v>1034</v>
      </c>
      <c r="O6133" s="8" t="s">
        <v>1035</v>
      </c>
      <c r="P6133" s="6" t="s">
        <v>38007</v>
      </c>
      <c r="Q6133" s="6" t="s">
        <v>38008</v>
      </c>
      <c r="R6133" s="6" t="s">
        <v>31</v>
      </c>
      <c r="S6133" s="8" t="s">
        <v>38009</v>
      </c>
      <c r="T6133" s="6" t="s">
        <v>1034</v>
      </c>
      <c r="U6133" s="8" t="s">
        <v>31</v>
      </c>
      <c r="V6133" s="6" t="s">
        <v>38256</v>
      </c>
      <c r="W6133" s="6" t="s">
        <v>37994</v>
      </c>
      <c r="X6133" s="9" t="str">
        <f>HYPERLINK("https://my.pitchbook.com?p=214087-60P","View People Online")</f>
        <v>View People Online</v>
      </c>
    </row>
    <row r="6134">
      <c r="A6134" s="2" t="s">
        <v>38257</v>
      </c>
      <c r="B6134" s="2" t="s">
        <v>38258</v>
      </c>
      <c r="C6134" s="2" t="s">
        <v>4345</v>
      </c>
      <c r="D6134" s="2" t="s">
        <v>38259</v>
      </c>
      <c r="E6134" s="2" t="s">
        <v>37994</v>
      </c>
      <c r="F6134" s="2" t="s">
        <v>825</v>
      </c>
      <c r="G6134" s="2" t="s">
        <v>38260</v>
      </c>
      <c r="H6134" s="3">
        <v>1.0</v>
      </c>
      <c r="I6134" s="3">
        <v>13.0</v>
      </c>
      <c r="J6134" s="3">
        <v>1.0</v>
      </c>
      <c r="K6134" s="3">
        <v>10.0</v>
      </c>
      <c r="L6134" s="4" t="s">
        <v>37996</v>
      </c>
      <c r="M6134" s="2" t="s">
        <v>38261</v>
      </c>
      <c r="N6134" s="2" t="s">
        <v>243</v>
      </c>
      <c r="O6134" s="4" t="s">
        <v>244</v>
      </c>
      <c r="P6134" s="2" t="s">
        <v>37998</v>
      </c>
      <c r="Q6134" s="2" t="s">
        <v>37999</v>
      </c>
      <c r="R6134" s="2" t="s">
        <v>247</v>
      </c>
      <c r="S6134" s="4" t="s">
        <v>38000</v>
      </c>
      <c r="T6134" s="2" t="s">
        <v>249</v>
      </c>
      <c r="U6134" s="4" t="s">
        <v>31</v>
      </c>
      <c r="V6134" s="2" t="s">
        <v>38262</v>
      </c>
      <c r="W6134" s="2" t="s">
        <v>37994</v>
      </c>
      <c r="X6134" s="5" t="str">
        <f>HYPERLINK("https://my.pitchbook.com?p=15598-90P","View People Online")</f>
        <v>View People Online</v>
      </c>
    </row>
    <row r="6135">
      <c r="A6135" s="14" t="s">
        <v>38263</v>
      </c>
      <c r="B6135" s="14" t="s">
        <v>38264</v>
      </c>
      <c r="C6135" s="14" t="s">
        <v>38265</v>
      </c>
      <c r="D6135" s="14" t="s">
        <v>8016</v>
      </c>
      <c r="E6135" s="14" t="s">
        <v>37994</v>
      </c>
      <c r="F6135" s="14" t="s">
        <v>548</v>
      </c>
      <c r="G6135" s="14" t="s">
        <v>38266</v>
      </c>
      <c r="H6135" s="15" t="s">
        <v>31</v>
      </c>
      <c r="I6135" s="15">
        <v>1.0</v>
      </c>
      <c r="J6135" s="15">
        <v>1.0</v>
      </c>
      <c r="K6135" s="15" t="s">
        <v>31</v>
      </c>
      <c r="L6135" s="16" t="s">
        <v>38267</v>
      </c>
      <c r="M6135" s="14" t="s">
        <v>38268</v>
      </c>
      <c r="N6135" s="14" t="s">
        <v>1034</v>
      </c>
      <c r="O6135" s="16" t="s">
        <v>1035</v>
      </c>
      <c r="P6135" s="14" t="s">
        <v>38007</v>
      </c>
      <c r="Q6135" s="14" t="s">
        <v>38008</v>
      </c>
      <c r="R6135" s="14" t="s">
        <v>31</v>
      </c>
      <c r="S6135" s="16" t="s">
        <v>38009</v>
      </c>
      <c r="T6135" s="14" t="s">
        <v>1034</v>
      </c>
      <c r="U6135" s="16" t="s">
        <v>31</v>
      </c>
      <c r="V6135" s="14" t="s">
        <v>1654</v>
      </c>
      <c r="W6135" s="14" t="s">
        <v>37994</v>
      </c>
      <c r="X6135" s="17" t="str">
        <f>HYPERLINK("https://my.pitchbook.com?p=76256-29P","View People Online")</f>
        <v>View People Online</v>
      </c>
    </row>
    <row r="6136">
      <c r="A6136" s="10" t="s">
        <v>38269</v>
      </c>
      <c r="B6136" s="10" t="s">
        <v>38270</v>
      </c>
      <c r="C6136" s="10" t="s">
        <v>2921</v>
      </c>
      <c r="D6136" s="10" t="s">
        <v>38271</v>
      </c>
      <c r="E6136" s="10" t="s">
        <v>37994</v>
      </c>
      <c r="F6136" s="10" t="s">
        <v>120</v>
      </c>
      <c r="G6136" s="10" t="s">
        <v>38272</v>
      </c>
      <c r="H6136" s="11" t="s">
        <v>31</v>
      </c>
      <c r="I6136" s="11">
        <v>1.0</v>
      </c>
      <c r="J6136" s="11">
        <v>1.0</v>
      </c>
      <c r="K6136" s="11" t="s">
        <v>31</v>
      </c>
      <c r="L6136" s="12" t="s">
        <v>38006</v>
      </c>
      <c r="M6136" s="10" t="s">
        <v>38273</v>
      </c>
      <c r="N6136" s="10" t="s">
        <v>1034</v>
      </c>
      <c r="O6136" s="12" t="s">
        <v>1035</v>
      </c>
      <c r="P6136" s="10" t="s">
        <v>38007</v>
      </c>
      <c r="Q6136" s="10" t="s">
        <v>38008</v>
      </c>
      <c r="R6136" s="10" t="s">
        <v>31</v>
      </c>
      <c r="S6136" s="12" t="s">
        <v>38009</v>
      </c>
      <c r="T6136" s="10" t="s">
        <v>1034</v>
      </c>
      <c r="U6136" s="12" t="s">
        <v>31</v>
      </c>
      <c r="V6136" s="10" t="s">
        <v>120</v>
      </c>
      <c r="W6136" s="10" t="s">
        <v>37994</v>
      </c>
      <c r="X6136" s="13" t="str">
        <f>HYPERLINK("https://my.pitchbook.com?p=339035-68P","View People Online")</f>
        <v>View People Online</v>
      </c>
    </row>
    <row r="6137">
      <c r="A6137" s="6" t="s">
        <v>38274</v>
      </c>
      <c r="B6137" s="6" t="s">
        <v>38275</v>
      </c>
      <c r="C6137" s="6" t="s">
        <v>38276</v>
      </c>
      <c r="D6137" s="6" t="s">
        <v>666</v>
      </c>
      <c r="E6137" s="6" t="s">
        <v>37994</v>
      </c>
      <c r="F6137" s="6" t="s">
        <v>270</v>
      </c>
      <c r="G6137" s="6" t="s">
        <v>38277</v>
      </c>
      <c r="H6137" s="7" t="s">
        <v>31</v>
      </c>
      <c r="I6137" s="7">
        <v>2.0</v>
      </c>
      <c r="J6137" s="7">
        <v>1.0</v>
      </c>
      <c r="K6137" s="7">
        <v>1.0</v>
      </c>
      <c r="L6137" s="8" t="s">
        <v>38006</v>
      </c>
      <c r="M6137" s="6" t="s">
        <v>31</v>
      </c>
      <c r="N6137" s="6" t="s">
        <v>1034</v>
      </c>
      <c r="O6137" s="8" t="s">
        <v>1035</v>
      </c>
      <c r="P6137" s="6" t="s">
        <v>38007</v>
      </c>
      <c r="Q6137" s="6" t="s">
        <v>38008</v>
      </c>
      <c r="R6137" s="6" t="s">
        <v>31</v>
      </c>
      <c r="S6137" s="8" t="s">
        <v>38009</v>
      </c>
      <c r="T6137" s="6" t="s">
        <v>1034</v>
      </c>
      <c r="U6137" s="8" t="s">
        <v>31</v>
      </c>
      <c r="V6137" s="6" t="s">
        <v>38278</v>
      </c>
      <c r="W6137" s="6" t="s">
        <v>37994</v>
      </c>
      <c r="X6137" s="9" t="str">
        <f>HYPERLINK("https://my.pitchbook.com?p=32789-08P","View People Online")</f>
        <v>View People Online</v>
      </c>
    </row>
    <row r="6138">
      <c r="A6138" s="2" t="s">
        <v>38279</v>
      </c>
      <c r="B6138" s="2" t="s">
        <v>38280</v>
      </c>
      <c r="C6138" s="2" t="s">
        <v>38281</v>
      </c>
      <c r="D6138" s="2" t="s">
        <v>1085</v>
      </c>
      <c r="E6138" s="2" t="s">
        <v>37994</v>
      </c>
      <c r="F6138" s="2" t="s">
        <v>825</v>
      </c>
      <c r="G6138" s="2" t="s">
        <v>38282</v>
      </c>
      <c r="H6138" s="3" t="s">
        <v>31</v>
      </c>
      <c r="I6138" s="3">
        <v>1.0</v>
      </c>
      <c r="J6138" s="3">
        <v>1.0</v>
      </c>
      <c r="K6138" s="3" t="s">
        <v>31</v>
      </c>
      <c r="L6138" s="4" t="s">
        <v>37996</v>
      </c>
      <c r="M6138" s="2" t="s">
        <v>38283</v>
      </c>
      <c r="N6138" s="2" t="s">
        <v>243</v>
      </c>
      <c r="O6138" s="4" t="s">
        <v>244</v>
      </c>
      <c r="P6138" s="2" t="s">
        <v>37998</v>
      </c>
      <c r="Q6138" s="2" t="s">
        <v>37999</v>
      </c>
      <c r="R6138" s="2" t="s">
        <v>247</v>
      </c>
      <c r="S6138" s="4" t="s">
        <v>38000</v>
      </c>
      <c r="T6138" s="2" t="s">
        <v>249</v>
      </c>
      <c r="U6138" s="4" t="s">
        <v>31</v>
      </c>
      <c r="V6138" s="2" t="s">
        <v>38284</v>
      </c>
      <c r="W6138" s="2" t="s">
        <v>37994</v>
      </c>
      <c r="X6138" s="5" t="str">
        <f>HYPERLINK("https://my.pitchbook.com?p=390649-96P","View People Online")</f>
        <v>View People Online</v>
      </c>
    </row>
    <row r="6139">
      <c r="A6139" s="14" t="s">
        <v>38285</v>
      </c>
      <c r="B6139" s="14" t="s">
        <v>38286</v>
      </c>
      <c r="C6139" s="14" t="s">
        <v>26204</v>
      </c>
      <c r="D6139" s="14" t="s">
        <v>361</v>
      </c>
      <c r="E6139" s="14" t="s">
        <v>37994</v>
      </c>
      <c r="F6139" s="14" t="s">
        <v>4800</v>
      </c>
      <c r="G6139" s="14" t="s">
        <v>38287</v>
      </c>
      <c r="H6139" s="15" t="s">
        <v>31</v>
      </c>
      <c r="I6139" s="15">
        <v>1.0</v>
      </c>
      <c r="J6139" s="15">
        <v>1.0</v>
      </c>
      <c r="K6139" s="15" t="s">
        <v>31</v>
      </c>
      <c r="L6139" s="16" t="s">
        <v>38006</v>
      </c>
      <c r="M6139" s="14" t="s">
        <v>38288</v>
      </c>
      <c r="N6139" s="14" t="s">
        <v>1034</v>
      </c>
      <c r="O6139" s="16" t="s">
        <v>1035</v>
      </c>
      <c r="P6139" s="14" t="s">
        <v>38007</v>
      </c>
      <c r="Q6139" s="14" t="s">
        <v>38008</v>
      </c>
      <c r="R6139" s="14" t="s">
        <v>31</v>
      </c>
      <c r="S6139" s="16" t="s">
        <v>38009</v>
      </c>
      <c r="T6139" s="14" t="s">
        <v>1034</v>
      </c>
      <c r="U6139" s="16" t="s">
        <v>31</v>
      </c>
      <c r="V6139" s="14" t="s">
        <v>38289</v>
      </c>
      <c r="W6139" s="14" t="s">
        <v>37994</v>
      </c>
      <c r="X6139" s="17" t="str">
        <f>HYPERLINK("https://my.pitchbook.com?p=423059-77P","View People Online")</f>
        <v>View People Online</v>
      </c>
    </row>
    <row r="6140">
      <c r="A6140" s="2" t="s">
        <v>38290</v>
      </c>
      <c r="B6140" s="2" t="s">
        <v>38291</v>
      </c>
      <c r="C6140" s="2" t="s">
        <v>3529</v>
      </c>
      <c r="D6140" s="2" t="s">
        <v>3354</v>
      </c>
      <c r="E6140" s="2" t="s">
        <v>37994</v>
      </c>
      <c r="F6140" s="2" t="s">
        <v>825</v>
      </c>
      <c r="G6140" s="2" t="s">
        <v>38292</v>
      </c>
      <c r="H6140" s="3" t="s">
        <v>31</v>
      </c>
      <c r="I6140" s="3">
        <v>8.0</v>
      </c>
      <c r="J6140" s="3">
        <v>1.0</v>
      </c>
      <c r="K6140" s="3">
        <v>6.0</v>
      </c>
      <c r="L6140" s="4" t="s">
        <v>38215</v>
      </c>
      <c r="M6140" s="2" t="s">
        <v>38293</v>
      </c>
      <c r="N6140" s="2" t="s">
        <v>75</v>
      </c>
      <c r="O6140" s="4" t="s">
        <v>76</v>
      </c>
      <c r="P6140" s="2" t="s">
        <v>2340</v>
      </c>
      <c r="Q6140" s="2" t="s">
        <v>38029</v>
      </c>
      <c r="R6140" s="2" t="s">
        <v>75</v>
      </c>
      <c r="S6140" s="4" t="s">
        <v>4581</v>
      </c>
      <c r="T6140" s="2" t="s">
        <v>66</v>
      </c>
      <c r="U6140" s="4" t="s">
        <v>31</v>
      </c>
      <c r="V6140" s="2" t="s">
        <v>38294</v>
      </c>
      <c r="W6140" s="2" t="s">
        <v>37994</v>
      </c>
      <c r="X6140" s="5" t="str">
        <f>HYPERLINK("https://my.pitchbook.com?p=31310-74P","View People Online")</f>
        <v>View People Online</v>
      </c>
    </row>
    <row r="6141">
      <c r="A6141" s="6" t="s">
        <v>38295</v>
      </c>
      <c r="B6141" s="6" t="s">
        <v>38296</v>
      </c>
      <c r="C6141" s="6" t="s">
        <v>17613</v>
      </c>
      <c r="D6141" s="6" t="s">
        <v>38297</v>
      </c>
      <c r="E6141" s="6" t="s">
        <v>37994</v>
      </c>
      <c r="F6141" s="6" t="s">
        <v>312</v>
      </c>
      <c r="G6141" s="6" t="s">
        <v>38298</v>
      </c>
      <c r="H6141" s="7" t="s">
        <v>31</v>
      </c>
      <c r="I6141" s="7">
        <v>1.0</v>
      </c>
      <c r="J6141" s="7">
        <v>1.0</v>
      </c>
      <c r="K6141" s="7" t="s">
        <v>31</v>
      </c>
      <c r="L6141" s="8" t="s">
        <v>37996</v>
      </c>
      <c r="M6141" s="6" t="s">
        <v>38299</v>
      </c>
      <c r="N6141" s="6" t="s">
        <v>243</v>
      </c>
      <c r="O6141" s="8" t="s">
        <v>244</v>
      </c>
      <c r="P6141" s="6" t="s">
        <v>37998</v>
      </c>
      <c r="Q6141" s="6" t="s">
        <v>37999</v>
      </c>
      <c r="R6141" s="6" t="s">
        <v>247</v>
      </c>
      <c r="S6141" s="8" t="s">
        <v>38000</v>
      </c>
      <c r="T6141" s="6" t="s">
        <v>249</v>
      </c>
      <c r="U6141" s="8" t="s">
        <v>31</v>
      </c>
      <c r="V6141" s="6" t="s">
        <v>312</v>
      </c>
      <c r="W6141" s="6" t="s">
        <v>37994</v>
      </c>
      <c r="X6141" s="9" t="str">
        <f>HYPERLINK("https://my.pitchbook.com?p=440703-46P","View People Online")</f>
        <v>View People Online</v>
      </c>
    </row>
    <row r="6142">
      <c r="A6142" s="2" t="s">
        <v>38300</v>
      </c>
      <c r="B6142" s="2" t="s">
        <v>38301</v>
      </c>
      <c r="C6142" s="2" t="s">
        <v>26</v>
      </c>
      <c r="D6142" s="2" t="s">
        <v>38302</v>
      </c>
      <c r="E6142" s="2" t="s">
        <v>37994</v>
      </c>
      <c r="F6142" s="2" t="s">
        <v>38303</v>
      </c>
      <c r="G6142" s="2" t="s">
        <v>38304</v>
      </c>
      <c r="H6142" s="3">
        <v>2.0</v>
      </c>
      <c r="I6142" s="3">
        <v>3.0</v>
      </c>
      <c r="J6142" s="3">
        <v>2.0</v>
      </c>
      <c r="K6142" s="3" t="s">
        <v>31</v>
      </c>
      <c r="L6142" s="4" t="s">
        <v>38305</v>
      </c>
      <c r="M6142" s="2" t="s">
        <v>38306</v>
      </c>
      <c r="N6142" s="2" t="s">
        <v>243</v>
      </c>
      <c r="O6142" s="4" t="s">
        <v>244</v>
      </c>
      <c r="P6142" s="2" t="s">
        <v>37998</v>
      </c>
      <c r="Q6142" s="2" t="s">
        <v>37999</v>
      </c>
      <c r="R6142" s="2" t="s">
        <v>247</v>
      </c>
      <c r="S6142" s="4" t="s">
        <v>38000</v>
      </c>
      <c r="T6142" s="2" t="s">
        <v>249</v>
      </c>
      <c r="U6142" s="4" t="s">
        <v>31</v>
      </c>
      <c r="V6142" s="2" t="s">
        <v>38307</v>
      </c>
      <c r="W6142" s="2" t="s">
        <v>37994</v>
      </c>
      <c r="X6142" s="5" t="str">
        <f>HYPERLINK("https://my.pitchbook.com?p=38169-28P","View People Online")</f>
        <v>View People Online</v>
      </c>
    </row>
    <row r="6143">
      <c r="A6143" s="6" t="s">
        <v>38308</v>
      </c>
      <c r="B6143" s="6" t="s">
        <v>38309</v>
      </c>
      <c r="C6143" s="6" t="s">
        <v>26</v>
      </c>
      <c r="D6143" s="6" t="s">
        <v>1085</v>
      </c>
      <c r="E6143" s="6" t="s">
        <v>37994</v>
      </c>
      <c r="F6143" s="6" t="s">
        <v>548</v>
      </c>
      <c r="G6143" s="6" t="s">
        <v>38310</v>
      </c>
      <c r="H6143" s="7" t="s">
        <v>31</v>
      </c>
      <c r="I6143" s="7">
        <v>1.0</v>
      </c>
      <c r="J6143" s="7">
        <v>1.0</v>
      </c>
      <c r="K6143" s="7" t="s">
        <v>31</v>
      </c>
      <c r="L6143" s="8" t="s">
        <v>37996</v>
      </c>
      <c r="M6143" s="6" t="s">
        <v>38311</v>
      </c>
      <c r="N6143" s="6" t="s">
        <v>243</v>
      </c>
      <c r="O6143" s="8" t="s">
        <v>244</v>
      </c>
      <c r="P6143" s="6" t="s">
        <v>37998</v>
      </c>
      <c r="Q6143" s="6" t="s">
        <v>37999</v>
      </c>
      <c r="R6143" s="6" t="s">
        <v>247</v>
      </c>
      <c r="S6143" s="8" t="s">
        <v>38000</v>
      </c>
      <c r="T6143" s="6" t="s">
        <v>249</v>
      </c>
      <c r="U6143" s="8" t="s">
        <v>31</v>
      </c>
      <c r="V6143" s="6" t="s">
        <v>38312</v>
      </c>
      <c r="W6143" s="6" t="s">
        <v>37994</v>
      </c>
      <c r="X6143" s="9" t="str">
        <f>HYPERLINK("https://my.pitchbook.com?p=390651-49P","View People Online")</f>
        <v>View People Online</v>
      </c>
    </row>
    <row r="6144">
      <c r="A6144" s="2" t="s">
        <v>38313</v>
      </c>
      <c r="B6144" s="2" t="s">
        <v>38314</v>
      </c>
      <c r="C6144" s="2" t="s">
        <v>4404</v>
      </c>
      <c r="D6144" s="2" t="s">
        <v>831</v>
      </c>
      <c r="E6144" s="2" t="s">
        <v>37994</v>
      </c>
      <c r="F6144" s="2" t="s">
        <v>371</v>
      </c>
      <c r="G6144" s="2" t="s">
        <v>38315</v>
      </c>
      <c r="H6144" s="3" t="s">
        <v>31</v>
      </c>
      <c r="I6144" s="3">
        <v>2.0</v>
      </c>
      <c r="J6144" s="3">
        <v>1.0</v>
      </c>
      <c r="K6144" s="3">
        <v>1.0</v>
      </c>
      <c r="L6144" s="4" t="s">
        <v>38006</v>
      </c>
      <c r="M6144" s="2" t="s">
        <v>38316</v>
      </c>
      <c r="N6144" s="2" t="s">
        <v>1034</v>
      </c>
      <c r="O6144" s="4" t="s">
        <v>1035</v>
      </c>
      <c r="P6144" s="2" t="s">
        <v>38007</v>
      </c>
      <c r="Q6144" s="2" t="s">
        <v>38008</v>
      </c>
      <c r="R6144" s="2" t="s">
        <v>31</v>
      </c>
      <c r="S6144" s="4" t="s">
        <v>38009</v>
      </c>
      <c r="T6144" s="2" t="s">
        <v>1034</v>
      </c>
      <c r="U6144" s="4" t="s">
        <v>31</v>
      </c>
      <c r="V6144" s="2" t="s">
        <v>371</v>
      </c>
      <c r="W6144" s="2" t="s">
        <v>37994</v>
      </c>
      <c r="X6144" s="5" t="str">
        <f>HYPERLINK("https://my.pitchbook.com?p=119096-38P","View People Online")</f>
        <v>View People Online</v>
      </c>
    </row>
    <row r="6145">
      <c r="A6145" s="6" t="s">
        <v>38317</v>
      </c>
      <c r="B6145" s="6" t="s">
        <v>38318</v>
      </c>
      <c r="C6145" s="6" t="s">
        <v>16598</v>
      </c>
      <c r="D6145" s="6" t="s">
        <v>8745</v>
      </c>
      <c r="E6145" s="6" t="s">
        <v>37994</v>
      </c>
      <c r="F6145" s="6" t="s">
        <v>9193</v>
      </c>
      <c r="G6145" s="6" t="s">
        <v>38319</v>
      </c>
      <c r="H6145" s="7" t="s">
        <v>31</v>
      </c>
      <c r="I6145" s="7">
        <v>1.0</v>
      </c>
      <c r="J6145" s="7">
        <v>1.0</v>
      </c>
      <c r="K6145" s="7" t="s">
        <v>31</v>
      </c>
      <c r="L6145" s="8" t="s">
        <v>38006</v>
      </c>
      <c r="M6145" s="6" t="s">
        <v>38320</v>
      </c>
      <c r="N6145" s="6" t="s">
        <v>1034</v>
      </c>
      <c r="O6145" s="8" t="s">
        <v>1035</v>
      </c>
      <c r="P6145" s="6" t="s">
        <v>38007</v>
      </c>
      <c r="Q6145" s="6" t="s">
        <v>38008</v>
      </c>
      <c r="R6145" s="6" t="s">
        <v>31</v>
      </c>
      <c r="S6145" s="8" t="s">
        <v>38009</v>
      </c>
      <c r="T6145" s="6" t="s">
        <v>1034</v>
      </c>
      <c r="U6145" s="8" t="s">
        <v>31</v>
      </c>
      <c r="V6145" s="6" t="s">
        <v>9193</v>
      </c>
      <c r="W6145" s="6" t="s">
        <v>37994</v>
      </c>
      <c r="X6145" s="9" t="str">
        <f>HYPERLINK("https://my.pitchbook.com?p=346454-83P","View People Online")</f>
        <v>View People Online</v>
      </c>
    </row>
    <row r="6146">
      <c r="A6146" s="2" t="s">
        <v>38321</v>
      </c>
      <c r="B6146" s="2" t="s">
        <v>38322</v>
      </c>
      <c r="C6146" s="2" t="s">
        <v>38323</v>
      </c>
      <c r="D6146" s="2" t="s">
        <v>1317</v>
      </c>
      <c r="E6146" s="2" t="s">
        <v>37994</v>
      </c>
      <c r="F6146" s="2" t="s">
        <v>221</v>
      </c>
      <c r="G6146" s="2" t="s">
        <v>38324</v>
      </c>
      <c r="H6146" s="3" t="s">
        <v>31</v>
      </c>
      <c r="I6146" s="3">
        <v>1.0</v>
      </c>
      <c r="J6146" s="3">
        <v>1.0</v>
      </c>
      <c r="K6146" s="3" t="s">
        <v>31</v>
      </c>
      <c r="L6146" s="4" t="s">
        <v>38006</v>
      </c>
      <c r="M6146" s="2" t="s">
        <v>38325</v>
      </c>
      <c r="N6146" s="2" t="s">
        <v>1034</v>
      </c>
      <c r="O6146" s="4" t="s">
        <v>1035</v>
      </c>
      <c r="P6146" s="2" t="s">
        <v>38007</v>
      </c>
      <c r="Q6146" s="2" t="s">
        <v>38008</v>
      </c>
      <c r="R6146" s="2" t="s">
        <v>31</v>
      </c>
      <c r="S6146" s="4" t="s">
        <v>38009</v>
      </c>
      <c r="T6146" s="2" t="s">
        <v>1034</v>
      </c>
      <c r="U6146" s="4" t="s">
        <v>31</v>
      </c>
      <c r="V6146" s="2" t="s">
        <v>221</v>
      </c>
      <c r="W6146" s="2" t="s">
        <v>37994</v>
      </c>
      <c r="X6146" s="5" t="str">
        <f>HYPERLINK("https://my.pitchbook.com?p=390334-78P","View People Online")</f>
        <v>View People Online</v>
      </c>
    </row>
    <row r="6147">
      <c r="A6147" s="14" t="s">
        <v>38326</v>
      </c>
      <c r="B6147" s="14" t="s">
        <v>38327</v>
      </c>
      <c r="C6147" s="14" t="s">
        <v>38328</v>
      </c>
      <c r="D6147" s="14" t="s">
        <v>38329</v>
      </c>
      <c r="E6147" s="14" t="s">
        <v>37994</v>
      </c>
      <c r="F6147" s="14" t="s">
        <v>825</v>
      </c>
      <c r="G6147" s="14" t="s">
        <v>38330</v>
      </c>
      <c r="H6147" s="15" t="s">
        <v>31</v>
      </c>
      <c r="I6147" s="15">
        <v>1.0</v>
      </c>
      <c r="J6147" s="15">
        <v>1.0</v>
      </c>
      <c r="K6147" s="15" t="s">
        <v>31</v>
      </c>
      <c r="L6147" s="16" t="s">
        <v>38006</v>
      </c>
      <c r="M6147" s="14" t="s">
        <v>31</v>
      </c>
      <c r="N6147" s="14" t="s">
        <v>1034</v>
      </c>
      <c r="O6147" s="16" t="s">
        <v>1035</v>
      </c>
      <c r="P6147" s="14" t="s">
        <v>38007</v>
      </c>
      <c r="Q6147" s="14" t="s">
        <v>38008</v>
      </c>
      <c r="R6147" s="14" t="s">
        <v>31</v>
      </c>
      <c r="S6147" s="16" t="s">
        <v>38009</v>
      </c>
      <c r="T6147" s="14" t="s">
        <v>1034</v>
      </c>
      <c r="U6147" s="16" t="s">
        <v>31</v>
      </c>
      <c r="V6147" s="14" t="s">
        <v>38331</v>
      </c>
      <c r="W6147" s="14" t="s">
        <v>37994</v>
      </c>
      <c r="X6147" s="17" t="str">
        <f>HYPERLINK("https://my.pitchbook.com?p=371080-45P","View People Online")</f>
        <v>View People Online</v>
      </c>
    </row>
    <row r="6148">
      <c r="A6148" s="10" t="s">
        <v>38332</v>
      </c>
      <c r="B6148" s="10" t="s">
        <v>38333</v>
      </c>
      <c r="C6148" s="10" t="s">
        <v>1343</v>
      </c>
      <c r="D6148" s="10" t="s">
        <v>3729</v>
      </c>
      <c r="E6148" s="10" t="s">
        <v>37994</v>
      </c>
      <c r="F6148" s="10" t="s">
        <v>2652</v>
      </c>
      <c r="G6148" s="10" t="s">
        <v>38334</v>
      </c>
      <c r="H6148" s="11" t="s">
        <v>31</v>
      </c>
      <c r="I6148" s="11">
        <v>1.0</v>
      </c>
      <c r="J6148" s="11">
        <v>1.0</v>
      </c>
      <c r="K6148" s="11" t="s">
        <v>31</v>
      </c>
      <c r="L6148" s="12" t="s">
        <v>38006</v>
      </c>
      <c r="M6148" s="10" t="s">
        <v>38335</v>
      </c>
      <c r="N6148" s="10" t="s">
        <v>1034</v>
      </c>
      <c r="O6148" s="12" t="s">
        <v>1035</v>
      </c>
      <c r="P6148" s="10" t="s">
        <v>38007</v>
      </c>
      <c r="Q6148" s="10" t="s">
        <v>38008</v>
      </c>
      <c r="R6148" s="10" t="s">
        <v>31</v>
      </c>
      <c r="S6148" s="12" t="s">
        <v>38009</v>
      </c>
      <c r="T6148" s="10" t="s">
        <v>1034</v>
      </c>
      <c r="U6148" s="12" t="s">
        <v>31</v>
      </c>
      <c r="V6148" s="10" t="s">
        <v>38336</v>
      </c>
      <c r="W6148" s="10" t="s">
        <v>37994</v>
      </c>
      <c r="X6148" s="13" t="str">
        <f>HYPERLINK("https://my.pitchbook.com?p=13361-41P","View People Online")</f>
        <v>View People Online</v>
      </c>
    </row>
    <row r="6149">
      <c r="A6149" s="14" t="s">
        <v>38337</v>
      </c>
      <c r="B6149" s="14" t="s">
        <v>38338</v>
      </c>
      <c r="C6149" s="14" t="s">
        <v>3040</v>
      </c>
      <c r="D6149" s="14" t="s">
        <v>38339</v>
      </c>
      <c r="E6149" s="14" t="s">
        <v>37994</v>
      </c>
      <c r="F6149" s="14" t="s">
        <v>371</v>
      </c>
      <c r="G6149" s="14" t="s">
        <v>38340</v>
      </c>
      <c r="H6149" s="15" t="s">
        <v>31</v>
      </c>
      <c r="I6149" s="15">
        <v>1.0</v>
      </c>
      <c r="J6149" s="15">
        <v>1.0</v>
      </c>
      <c r="K6149" s="15" t="s">
        <v>31</v>
      </c>
      <c r="L6149" s="16" t="s">
        <v>38006</v>
      </c>
      <c r="M6149" s="14" t="s">
        <v>38341</v>
      </c>
      <c r="N6149" s="14" t="s">
        <v>1034</v>
      </c>
      <c r="O6149" s="16" t="s">
        <v>1035</v>
      </c>
      <c r="P6149" s="14" t="s">
        <v>38007</v>
      </c>
      <c r="Q6149" s="14" t="s">
        <v>38008</v>
      </c>
      <c r="R6149" s="14" t="s">
        <v>31</v>
      </c>
      <c r="S6149" s="16" t="s">
        <v>38009</v>
      </c>
      <c r="T6149" s="14" t="s">
        <v>1034</v>
      </c>
      <c r="U6149" s="16" t="s">
        <v>31</v>
      </c>
      <c r="V6149" s="14" t="s">
        <v>371</v>
      </c>
      <c r="W6149" s="14" t="s">
        <v>37994</v>
      </c>
      <c r="X6149" s="17" t="str">
        <f>HYPERLINK("https://my.pitchbook.com?p=179250-76P","View People Online")</f>
        <v>View People Online</v>
      </c>
    </row>
    <row r="6150">
      <c r="A6150" s="2" t="s">
        <v>38342</v>
      </c>
      <c r="B6150" s="2" t="s">
        <v>38343</v>
      </c>
      <c r="C6150" s="2" t="s">
        <v>26281</v>
      </c>
      <c r="D6150" s="2" t="s">
        <v>35020</v>
      </c>
      <c r="E6150" s="2" t="s">
        <v>37994</v>
      </c>
      <c r="F6150" s="2" t="s">
        <v>825</v>
      </c>
      <c r="G6150" s="2" t="s">
        <v>38344</v>
      </c>
      <c r="H6150" s="3" t="s">
        <v>31</v>
      </c>
      <c r="I6150" s="3">
        <v>1.0</v>
      </c>
      <c r="J6150" s="3">
        <v>1.0</v>
      </c>
      <c r="K6150" s="3" t="s">
        <v>31</v>
      </c>
      <c r="L6150" s="4" t="s">
        <v>38006</v>
      </c>
      <c r="M6150" s="2" t="s">
        <v>38345</v>
      </c>
      <c r="N6150" s="2" t="s">
        <v>1034</v>
      </c>
      <c r="O6150" s="4" t="s">
        <v>1035</v>
      </c>
      <c r="P6150" s="2" t="s">
        <v>38007</v>
      </c>
      <c r="Q6150" s="2" t="s">
        <v>38008</v>
      </c>
      <c r="R6150" s="2" t="s">
        <v>31</v>
      </c>
      <c r="S6150" s="4" t="s">
        <v>38009</v>
      </c>
      <c r="T6150" s="2" t="s">
        <v>1034</v>
      </c>
      <c r="U6150" s="4" t="s">
        <v>31</v>
      </c>
      <c r="V6150" s="2" t="s">
        <v>38346</v>
      </c>
      <c r="W6150" s="2" t="s">
        <v>37994</v>
      </c>
      <c r="X6150" s="5" t="str">
        <f>HYPERLINK("https://my.pitchbook.com?p=390505-51P","View People Online")</f>
        <v>View People Online</v>
      </c>
    </row>
    <row r="6151">
      <c r="A6151" s="6" t="s">
        <v>38347</v>
      </c>
      <c r="B6151" s="6" t="s">
        <v>38348</v>
      </c>
      <c r="C6151" s="6" t="s">
        <v>31275</v>
      </c>
      <c r="D6151" s="6" t="s">
        <v>30892</v>
      </c>
      <c r="E6151" s="6" t="s">
        <v>37994</v>
      </c>
      <c r="F6151" s="6" t="s">
        <v>825</v>
      </c>
      <c r="G6151" s="6" t="s">
        <v>38349</v>
      </c>
      <c r="H6151" s="7" t="s">
        <v>31</v>
      </c>
      <c r="I6151" s="7">
        <v>1.0</v>
      </c>
      <c r="J6151" s="7">
        <v>1.0</v>
      </c>
      <c r="K6151" s="7" t="s">
        <v>31</v>
      </c>
      <c r="L6151" s="8" t="s">
        <v>38215</v>
      </c>
      <c r="M6151" s="6" t="s">
        <v>38350</v>
      </c>
      <c r="N6151" s="6" t="s">
        <v>75</v>
      </c>
      <c r="O6151" s="8" t="s">
        <v>76</v>
      </c>
      <c r="P6151" s="6" t="s">
        <v>2340</v>
      </c>
      <c r="Q6151" s="6" t="s">
        <v>38029</v>
      </c>
      <c r="R6151" s="6" t="s">
        <v>75</v>
      </c>
      <c r="S6151" s="8" t="s">
        <v>4581</v>
      </c>
      <c r="T6151" s="6" t="s">
        <v>66</v>
      </c>
      <c r="U6151" s="8" t="s">
        <v>31</v>
      </c>
      <c r="V6151" s="6" t="s">
        <v>38351</v>
      </c>
      <c r="W6151" s="6" t="s">
        <v>37994</v>
      </c>
      <c r="X6151" s="9" t="str">
        <f>HYPERLINK("https://my.pitchbook.com?p=247971-52P","View People Online")</f>
        <v>View People Online</v>
      </c>
    </row>
    <row r="6152">
      <c r="A6152" s="10" t="s">
        <v>38352</v>
      </c>
      <c r="B6152" s="10" t="s">
        <v>38353</v>
      </c>
      <c r="C6152" s="10" t="s">
        <v>38354</v>
      </c>
      <c r="D6152" s="10" t="s">
        <v>784</v>
      </c>
      <c r="E6152" s="10" t="s">
        <v>37994</v>
      </c>
      <c r="F6152" s="10" t="s">
        <v>6993</v>
      </c>
      <c r="G6152" s="10" t="s">
        <v>38355</v>
      </c>
      <c r="H6152" s="11" t="s">
        <v>31</v>
      </c>
      <c r="I6152" s="11">
        <v>4.0</v>
      </c>
      <c r="J6152" s="11">
        <v>1.0</v>
      </c>
      <c r="K6152" s="11">
        <v>2.0</v>
      </c>
      <c r="L6152" s="12" t="s">
        <v>38027</v>
      </c>
      <c r="M6152" s="10" t="s">
        <v>38356</v>
      </c>
      <c r="N6152" s="10" t="s">
        <v>155</v>
      </c>
      <c r="O6152" s="12" t="s">
        <v>156</v>
      </c>
      <c r="P6152" s="10" t="s">
        <v>38357</v>
      </c>
      <c r="Q6152" s="10" t="s">
        <v>38358</v>
      </c>
      <c r="R6152" s="10" t="s">
        <v>64</v>
      </c>
      <c r="S6152" s="12" t="s">
        <v>3487</v>
      </c>
      <c r="T6152" s="10" t="s">
        <v>66</v>
      </c>
      <c r="U6152" s="12" t="s">
        <v>31</v>
      </c>
      <c r="V6152" s="10" t="s">
        <v>6993</v>
      </c>
      <c r="W6152" s="10" t="s">
        <v>37994</v>
      </c>
      <c r="X6152" s="13" t="str">
        <f>HYPERLINK("https://my.pitchbook.com?p=75000-70P","View People Online")</f>
        <v>View People Online</v>
      </c>
    </row>
    <row r="6153">
      <c r="A6153" s="14" t="s">
        <v>38359</v>
      </c>
      <c r="B6153" s="14" t="s">
        <v>38360</v>
      </c>
      <c r="C6153" s="14" t="s">
        <v>38361</v>
      </c>
      <c r="D6153" s="14" t="s">
        <v>38362</v>
      </c>
      <c r="E6153" s="14" t="s">
        <v>37994</v>
      </c>
      <c r="F6153" s="14" t="s">
        <v>371</v>
      </c>
      <c r="G6153" s="14" t="s">
        <v>38363</v>
      </c>
      <c r="H6153" s="15" t="s">
        <v>31</v>
      </c>
      <c r="I6153" s="15">
        <v>1.0</v>
      </c>
      <c r="J6153" s="15">
        <v>1.0</v>
      </c>
      <c r="K6153" s="15" t="s">
        <v>31</v>
      </c>
      <c r="L6153" s="16" t="s">
        <v>38006</v>
      </c>
      <c r="M6153" s="14" t="s">
        <v>38364</v>
      </c>
      <c r="N6153" s="14" t="s">
        <v>1034</v>
      </c>
      <c r="O6153" s="16" t="s">
        <v>1035</v>
      </c>
      <c r="P6153" s="14" t="s">
        <v>38007</v>
      </c>
      <c r="Q6153" s="14" t="s">
        <v>38008</v>
      </c>
      <c r="R6153" s="14" t="s">
        <v>31</v>
      </c>
      <c r="S6153" s="16" t="s">
        <v>38009</v>
      </c>
      <c r="T6153" s="14" t="s">
        <v>1034</v>
      </c>
      <c r="U6153" s="16" t="s">
        <v>31</v>
      </c>
      <c r="V6153" s="14" t="s">
        <v>38365</v>
      </c>
      <c r="W6153" s="14" t="s">
        <v>37994</v>
      </c>
      <c r="X6153" s="17" t="str">
        <f>HYPERLINK("https://my.pitchbook.com?p=368763-94P","View People Online")</f>
        <v>View People Online</v>
      </c>
    </row>
    <row r="6154">
      <c r="A6154" s="2" t="s">
        <v>38366</v>
      </c>
      <c r="B6154" s="2" t="s">
        <v>38367</v>
      </c>
      <c r="C6154" s="2" t="s">
        <v>38368</v>
      </c>
      <c r="D6154" s="2" t="s">
        <v>5302</v>
      </c>
      <c r="E6154" s="2" t="s">
        <v>37994</v>
      </c>
      <c r="F6154" s="2" t="s">
        <v>371</v>
      </c>
      <c r="G6154" s="2" t="s">
        <v>38369</v>
      </c>
      <c r="H6154" s="3" t="s">
        <v>31</v>
      </c>
      <c r="I6154" s="3">
        <v>1.0</v>
      </c>
      <c r="J6154" s="3">
        <v>1.0</v>
      </c>
      <c r="K6154" s="3" t="s">
        <v>31</v>
      </c>
      <c r="L6154" s="4" t="s">
        <v>38006</v>
      </c>
      <c r="M6154" s="2" t="s">
        <v>38370</v>
      </c>
      <c r="N6154" s="2" t="s">
        <v>1034</v>
      </c>
      <c r="O6154" s="4" t="s">
        <v>1035</v>
      </c>
      <c r="P6154" s="2" t="s">
        <v>38007</v>
      </c>
      <c r="Q6154" s="2" t="s">
        <v>38008</v>
      </c>
      <c r="R6154" s="2" t="s">
        <v>31</v>
      </c>
      <c r="S6154" s="4" t="s">
        <v>38009</v>
      </c>
      <c r="T6154" s="2" t="s">
        <v>1034</v>
      </c>
      <c r="U6154" s="4" t="s">
        <v>31</v>
      </c>
      <c r="V6154" s="2" t="s">
        <v>12832</v>
      </c>
      <c r="W6154" s="2" t="s">
        <v>37994</v>
      </c>
      <c r="X6154" s="5" t="str">
        <f>HYPERLINK("https://my.pitchbook.com?p=408509-56P","View People Online")</f>
        <v>View People Online</v>
      </c>
    </row>
    <row r="6155">
      <c r="A6155" s="6" t="s">
        <v>38371</v>
      </c>
      <c r="B6155" s="6" t="s">
        <v>38372</v>
      </c>
      <c r="C6155" s="6" t="s">
        <v>1489</v>
      </c>
      <c r="D6155" s="6" t="s">
        <v>3643</v>
      </c>
      <c r="E6155" s="6" t="s">
        <v>37994</v>
      </c>
      <c r="F6155" s="6" t="s">
        <v>270</v>
      </c>
      <c r="G6155" s="6" t="s">
        <v>38373</v>
      </c>
      <c r="H6155" s="7" t="s">
        <v>31</v>
      </c>
      <c r="I6155" s="7">
        <v>1.0</v>
      </c>
      <c r="J6155" s="7">
        <v>1.0</v>
      </c>
      <c r="K6155" s="7" t="s">
        <v>31</v>
      </c>
      <c r="L6155" s="8" t="s">
        <v>38006</v>
      </c>
      <c r="M6155" s="6" t="s">
        <v>38374</v>
      </c>
      <c r="N6155" s="6" t="s">
        <v>1034</v>
      </c>
      <c r="O6155" s="8" t="s">
        <v>1035</v>
      </c>
      <c r="P6155" s="6" t="s">
        <v>38007</v>
      </c>
      <c r="Q6155" s="6" t="s">
        <v>38008</v>
      </c>
      <c r="R6155" s="6" t="s">
        <v>31</v>
      </c>
      <c r="S6155" s="8" t="s">
        <v>38009</v>
      </c>
      <c r="T6155" s="6" t="s">
        <v>1034</v>
      </c>
      <c r="U6155" s="8" t="s">
        <v>31</v>
      </c>
      <c r="V6155" s="6" t="s">
        <v>38375</v>
      </c>
      <c r="W6155" s="6" t="s">
        <v>37994</v>
      </c>
      <c r="X6155" s="9" t="str">
        <f>HYPERLINK("https://my.pitchbook.com?p=197301-52P","View People Online")</f>
        <v>View People Online</v>
      </c>
    </row>
    <row r="6156">
      <c r="A6156" s="10" t="s">
        <v>38376</v>
      </c>
      <c r="B6156" s="10" t="s">
        <v>38377</v>
      </c>
      <c r="C6156" s="10" t="s">
        <v>1489</v>
      </c>
      <c r="D6156" s="10" t="s">
        <v>38378</v>
      </c>
      <c r="E6156" s="10" t="s">
        <v>37994</v>
      </c>
      <c r="F6156" s="10" t="s">
        <v>825</v>
      </c>
      <c r="G6156" s="10" t="s">
        <v>38379</v>
      </c>
      <c r="H6156" s="11" t="s">
        <v>31</v>
      </c>
      <c r="I6156" s="11">
        <v>1.0</v>
      </c>
      <c r="J6156" s="11">
        <v>1.0</v>
      </c>
      <c r="K6156" s="11" t="s">
        <v>31</v>
      </c>
      <c r="L6156" s="12" t="s">
        <v>38006</v>
      </c>
      <c r="M6156" s="10" t="s">
        <v>38380</v>
      </c>
      <c r="N6156" s="10" t="s">
        <v>1034</v>
      </c>
      <c r="O6156" s="12" t="s">
        <v>1035</v>
      </c>
      <c r="P6156" s="10" t="s">
        <v>38007</v>
      </c>
      <c r="Q6156" s="10" t="s">
        <v>38008</v>
      </c>
      <c r="R6156" s="10" t="s">
        <v>31</v>
      </c>
      <c r="S6156" s="12" t="s">
        <v>38009</v>
      </c>
      <c r="T6156" s="10" t="s">
        <v>1034</v>
      </c>
      <c r="U6156" s="12" t="s">
        <v>31</v>
      </c>
      <c r="V6156" s="10" t="s">
        <v>38381</v>
      </c>
      <c r="W6156" s="10" t="s">
        <v>37994</v>
      </c>
      <c r="X6156" s="13" t="str">
        <f>HYPERLINK("https://my.pitchbook.com?p=347855-05P","View People Online")</f>
        <v>View People Online</v>
      </c>
    </row>
    <row r="6157">
      <c r="A6157" s="14" t="s">
        <v>38382</v>
      </c>
      <c r="B6157" s="14" t="s">
        <v>38383</v>
      </c>
      <c r="C6157" s="14" t="s">
        <v>29827</v>
      </c>
      <c r="D6157" s="14" t="s">
        <v>14832</v>
      </c>
      <c r="E6157" s="14" t="s">
        <v>37994</v>
      </c>
      <c r="F6157" s="14" t="s">
        <v>9193</v>
      </c>
      <c r="G6157" s="14" t="s">
        <v>38384</v>
      </c>
      <c r="H6157" s="15" t="s">
        <v>31</v>
      </c>
      <c r="I6157" s="15">
        <v>1.0</v>
      </c>
      <c r="J6157" s="15">
        <v>1.0</v>
      </c>
      <c r="K6157" s="15" t="s">
        <v>31</v>
      </c>
      <c r="L6157" s="16" t="s">
        <v>38006</v>
      </c>
      <c r="M6157" s="14" t="s">
        <v>38385</v>
      </c>
      <c r="N6157" s="14" t="s">
        <v>1034</v>
      </c>
      <c r="O6157" s="16" t="s">
        <v>1035</v>
      </c>
      <c r="P6157" s="14" t="s">
        <v>38007</v>
      </c>
      <c r="Q6157" s="14" t="s">
        <v>38008</v>
      </c>
      <c r="R6157" s="14" t="s">
        <v>31</v>
      </c>
      <c r="S6157" s="16" t="s">
        <v>38009</v>
      </c>
      <c r="T6157" s="14" t="s">
        <v>1034</v>
      </c>
      <c r="U6157" s="16" t="s">
        <v>31</v>
      </c>
      <c r="V6157" s="14" t="s">
        <v>38101</v>
      </c>
      <c r="W6157" s="14" t="s">
        <v>37994</v>
      </c>
      <c r="X6157" s="17" t="str">
        <f>HYPERLINK("https://my.pitchbook.com?p=334654-84P","View People Online")</f>
        <v>View People Online</v>
      </c>
    </row>
    <row r="6158">
      <c r="A6158" s="2" t="s">
        <v>38386</v>
      </c>
      <c r="B6158" s="2" t="s">
        <v>38387</v>
      </c>
      <c r="C6158" s="2" t="s">
        <v>28908</v>
      </c>
      <c r="D6158" s="2" t="s">
        <v>38388</v>
      </c>
      <c r="E6158" s="2" t="s">
        <v>37994</v>
      </c>
      <c r="F6158" s="2" t="s">
        <v>825</v>
      </c>
      <c r="G6158" s="2" t="s">
        <v>38389</v>
      </c>
      <c r="H6158" s="3" t="s">
        <v>31</v>
      </c>
      <c r="I6158" s="3">
        <v>1.0</v>
      </c>
      <c r="J6158" s="3">
        <v>1.0</v>
      </c>
      <c r="K6158" s="3" t="s">
        <v>31</v>
      </c>
      <c r="L6158" s="4" t="s">
        <v>38006</v>
      </c>
      <c r="M6158" s="2" t="s">
        <v>38390</v>
      </c>
      <c r="N6158" s="2" t="s">
        <v>1034</v>
      </c>
      <c r="O6158" s="4" t="s">
        <v>1035</v>
      </c>
      <c r="P6158" s="2" t="s">
        <v>38007</v>
      </c>
      <c r="Q6158" s="2" t="s">
        <v>38008</v>
      </c>
      <c r="R6158" s="2" t="s">
        <v>31</v>
      </c>
      <c r="S6158" s="4" t="s">
        <v>38009</v>
      </c>
      <c r="T6158" s="2" t="s">
        <v>1034</v>
      </c>
      <c r="U6158" s="4" t="s">
        <v>31</v>
      </c>
      <c r="V6158" s="2" t="s">
        <v>825</v>
      </c>
      <c r="W6158" s="2" t="s">
        <v>37994</v>
      </c>
      <c r="X6158" s="5" t="str">
        <f>HYPERLINK("https://my.pitchbook.com?p=390441-52P","View People Online")</f>
        <v>View People Online</v>
      </c>
    </row>
    <row r="6159">
      <c r="A6159" s="14" t="s">
        <v>38391</v>
      </c>
      <c r="B6159" s="14" t="s">
        <v>38392</v>
      </c>
      <c r="C6159" s="14" t="s">
        <v>37890</v>
      </c>
      <c r="D6159" s="14" t="s">
        <v>38393</v>
      </c>
      <c r="E6159" s="14" t="s">
        <v>37994</v>
      </c>
      <c r="F6159" s="14" t="s">
        <v>825</v>
      </c>
      <c r="G6159" s="14" t="s">
        <v>38394</v>
      </c>
      <c r="H6159" s="15" t="s">
        <v>31</v>
      </c>
      <c r="I6159" s="15">
        <v>1.0</v>
      </c>
      <c r="J6159" s="15">
        <v>1.0</v>
      </c>
      <c r="K6159" s="15" t="s">
        <v>31</v>
      </c>
      <c r="L6159" s="16" t="s">
        <v>37996</v>
      </c>
      <c r="M6159" s="14" t="s">
        <v>38395</v>
      </c>
      <c r="N6159" s="14" t="s">
        <v>243</v>
      </c>
      <c r="O6159" s="16" t="s">
        <v>244</v>
      </c>
      <c r="P6159" s="14" t="s">
        <v>37998</v>
      </c>
      <c r="Q6159" s="14" t="s">
        <v>37999</v>
      </c>
      <c r="R6159" s="14" t="s">
        <v>247</v>
      </c>
      <c r="S6159" s="16" t="s">
        <v>38000</v>
      </c>
      <c r="T6159" s="14" t="s">
        <v>249</v>
      </c>
      <c r="U6159" s="16" t="s">
        <v>31</v>
      </c>
      <c r="V6159" s="14" t="s">
        <v>38396</v>
      </c>
      <c r="W6159" s="14" t="s">
        <v>37994</v>
      </c>
      <c r="X6159" s="17" t="str">
        <f>HYPERLINK("https://my.pitchbook.com?p=390462-31P","View People Online")</f>
        <v>View People Online</v>
      </c>
    </row>
    <row r="6160">
      <c r="A6160" s="10" t="s">
        <v>38397</v>
      </c>
      <c r="B6160" s="10" t="s">
        <v>38398</v>
      </c>
      <c r="C6160" s="10" t="s">
        <v>11737</v>
      </c>
      <c r="D6160" s="10" t="s">
        <v>5692</v>
      </c>
      <c r="E6160" s="10" t="s">
        <v>37994</v>
      </c>
      <c r="F6160" s="10" t="s">
        <v>38399</v>
      </c>
      <c r="G6160" s="10" t="s">
        <v>38400</v>
      </c>
      <c r="H6160" s="11" t="s">
        <v>31</v>
      </c>
      <c r="I6160" s="11">
        <v>1.0</v>
      </c>
      <c r="J6160" s="11">
        <v>1.0</v>
      </c>
      <c r="K6160" s="11" t="s">
        <v>31</v>
      </c>
      <c r="L6160" s="12" t="s">
        <v>38006</v>
      </c>
      <c r="M6160" s="10" t="s">
        <v>31</v>
      </c>
      <c r="N6160" s="10" t="s">
        <v>1034</v>
      </c>
      <c r="O6160" s="12" t="s">
        <v>1035</v>
      </c>
      <c r="P6160" s="10" t="s">
        <v>38007</v>
      </c>
      <c r="Q6160" s="10" t="s">
        <v>38008</v>
      </c>
      <c r="R6160" s="10" t="s">
        <v>31</v>
      </c>
      <c r="S6160" s="12" t="s">
        <v>38009</v>
      </c>
      <c r="T6160" s="10" t="s">
        <v>1034</v>
      </c>
      <c r="U6160" s="12" t="s">
        <v>31</v>
      </c>
      <c r="V6160" s="10" t="s">
        <v>38401</v>
      </c>
      <c r="W6160" s="10" t="s">
        <v>37994</v>
      </c>
      <c r="X6160" s="13" t="str">
        <f>HYPERLINK("https://my.pitchbook.com?p=354386-89P","View People Online")</f>
        <v>View People Online</v>
      </c>
    </row>
    <row r="6161">
      <c r="A6161" s="6" t="s">
        <v>38402</v>
      </c>
      <c r="B6161" s="6" t="s">
        <v>38403</v>
      </c>
      <c r="C6161" s="6" t="s">
        <v>16220</v>
      </c>
      <c r="D6161" s="6" t="s">
        <v>1317</v>
      </c>
      <c r="E6161" s="6" t="s">
        <v>37994</v>
      </c>
      <c r="F6161" s="6" t="s">
        <v>825</v>
      </c>
      <c r="G6161" s="6" t="s">
        <v>38404</v>
      </c>
      <c r="H6161" s="7" t="s">
        <v>31</v>
      </c>
      <c r="I6161" s="7">
        <v>1.0</v>
      </c>
      <c r="J6161" s="7">
        <v>1.0</v>
      </c>
      <c r="K6161" s="7" t="s">
        <v>31</v>
      </c>
      <c r="L6161" s="8" t="s">
        <v>38006</v>
      </c>
      <c r="M6161" s="6" t="s">
        <v>38405</v>
      </c>
      <c r="N6161" s="6" t="s">
        <v>1034</v>
      </c>
      <c r="O6161" s="8" t="s">
        <v>1035</v>
      </c>
      <c r="P6161" s="6" t="s">
        <v>38007</v>
      </c>
      <c r="Q6161" s="6" t="s">
        <v>38008</v>
      </c>
      <c r="R6161" s="6" t="s">
        <v>31</v>
      </c>
      <c r="S6161" s="8" t="s">
        <v>38009</v>
      </c>
      <c r="T6161" s="6" t="s">
        <v>1034</v>
      </c>
      <c r="U6161" s="8" t="s">
        <v>31</v>
      </c>
      <c r="V6161" s="6" t="s">
        <v>38406</v>
      </c>
      <c r="W6161" s="6" t="s">
        <v>37994</v>
      </c>
      <c r="X6161" s="9" t="str">
        <f>HYPERLINK("https://my.pitchbook.com?p=390499-12P","View People Online")</f>
        <v>View People Online</v>
      </c>
    </row>
    <row r="6162">
      <c r="A6162" s="2" t="s">
        <v>38407</v>
      </c>
      <c r="B6162" s="2" t="s">
        <v>38408</v>
      </c>
      <c r="C6162" s="2" t="s">
        <v>38409</v>
      </c>
      <c r="D6162" s="2" t="s">
        <v>38410</v>
      </c>
      <c r="E6162" s="2" t="s">
        <v>37994</v>
      </c>
      <c r="F6162" s="2" t="s">
        <v>825</v>
      </c>
      <c r="G6162" s="2" t="s">
        <v>38411</v>
      </c>
      <c r="H6162" s="3" t="s">
        <v>31</v>
      </c>
      <c r="I6162" s="3">
        <v>1.0</v>
      </c>
      <c r="J6162" s="3">
        <v>1.0</v>
      </c>
      <c r="K6162" s="3" t="s">
        <v>31</v>
      </c>
      <c r="L6162" s="4" t="s">
        <v>38006</v>
      </c>
      <c r="M6162" s="2" t="s">
        <v>38412</v>
      </c>
      <c r="N6162" s="2" t="s">
        <v>1034</v>
      </c>
      <c r="O6162" s="4" t="s">
        <v>1035</v>
      </c>
      <c r="P6162" s="2" t="s">
        <v>38007</v>
      </c>
      <c r="Q6162" s="2" t="s">
        <v>38008</v>
      </c>
      <c r="R6162" s="2" t="s">
        <v>31</v>
      </c>
      <c r="S6162" s="4" t="s">
        <v>38009</v>
      </c>
      <c r="T6162" s="2" t="s">
        <v>1034</v>
      </c>
      <c r="U6162" s="4" t="s">
        <v>31</v>
      </c>
      <c r="V6162" s="2" t="s">
        <v>38413</v>
      </c>
      <c r="W6162" s="2" t="s">
        <v>37994</v>
      </c>
      <c r="X6162" s="5" t="str">
        <f>HYPERLINK("https://my.pitchbook.com?p=390499-93P","View People Online")</f>
        <v>View People Online</v>
      </c>
    </row>
    <row r="6163">
      <c r="A6163" s="6" t="s">
        <v>38414</v>
      </c>
      <c r="B6163" s="6" t="s">
        <v>38415</v>
      </c>
      <c r="C6163" s="6" t="s">
        <v>38416</v>
      </c>
      <c r="D6163" s="6" t="s">
        <v>4314</v>
      </c>
      <c r="E6163" s="6" t="s">
        <v>37994</v>
      </c>
      <c r="F6163" s="6" t="s">
        <v>312</v>
      </c>
      <c r="G6163" s="6" t="s">
        <v>38417</v>
      </c>
      <c r="H6163" s="7" t="s">
        <v>31</v>
      </c>
      <c r="I6163" s="7">
        <v>1.0</v>
      </c>
      <c r="J6163" s="7">
        <v>1.0</v>
      </c>
      <c r="K6163" s="7" t="s">
        <v>31</v>
      </c>
      <c r="L6163" s="8" t="s">
        <v>38027</v>
      </c>
      <c r="M6163" s="6" t="s">
        <v>38418</v>
      </c>
      <c r="N6163" s="6" t="s">
        <v>155</v>
      </c>
      <c r="O6163" s="8" t="s">
        <v>156</v>
      </c>
      <c r="P6163" s="6" t="s">
        <v>38357</v>
      </c>
      <c r="Q6163" s="6" t="s">
        <v>38358</v>
      </c>
      <c r="R6163" s="6" t="s">
        <v>64</v>
      </c>
      <c r="S6163" s="8" t="s">
        <v>3487</v>
      </c>
      <c r="T6163" s="6" t="s">
        <v>66</v>
      </c>
      <c r="U6163" s="8" t="s">
        <v>31</v>
      </c>
      <c r="V6163" s="6" t="s">
        <v>312</v>
      </c>
      <c r="W6163" s="6" t="s">
        <v>37994</v>
      </c>
      <c r="X6163" s="9" t="str">
        <f>HYPERLINK("https://my.pitchbook.com?p=31438-90P","View People Online")</f>
        <v>View People Online</v>
      </c>
    </row>
    <row r="6164">
      <c r="A6164" s="10" t="s">
        <v>38419</v>
      </c>
      <c r="B6164" s="10" t="s">
        <v>38420</v>
      </c>
      <c r="C6164" s="10" t="s">
        <v>38421</v>
      </c>
      <c r="D6164" s="10" t="s">
        <v>8745</v>
      </c>
      <c r="E6164" s="10" t="s">
        <v>37994</v>
      </c>
      <c r="F6164" s="10" t="s">
        <v>6993</v>
      </c>
      <c r="G6164" s="10" t="s">
        <v>38422</v>
      </c>
      <c r="H6164" s="11" t="s">
        <v>31</v>
      </c>
      <c r="I6164" s="11">
        <v>8.0</v>
      </c>
      <c r="J6164" s="11">
        <v>1.0</v>
      </c>
      <c r="K6164" s="11">
        <v>6.0</v>
      </c>
      <c r="L6164" s="12" t="s">
        <v>38006</v>
      </c>
      <c r="M6164" s="10" t="s">
        <v>38423</v>
      </c>
      <c r="N6164" s="10" t="s">
        <v>1034</v>
      </c>
      <c r="O6164" s="12" t="s">
        <v>1035</v>
      </c>
      <c r="P6164" s="10" t="s">
        <v>38007</v>
      </c>
      <c r="Q6164" s="10" t="s">
        <v>38008</v>
      </c>
      <c r="R6164" s="10" t="s">
        <v>31</v>
      </c>
      <c r="S6164" s="12" t="s">
        <v>38009</v>
      </c>
      <c r="T6164" s="10" t="s">
        <v>1034</v>
      </c>
      <c r="U6164" s="12" t="s">
        <v>31</v>
      </c>
      <c r="V6164" s="10" t="s">
        <v>6993</v>
      </c>
      <c r="W6164" s="10" t="s">
        <v>37994</v>
      </c>
      <c r="X6164" s="13" t="str">
        <f>HYPERLINK("https://my.pitchbook.com?p=13361-50P","View People Online")</f>
        <v>View People Online</v>
      </c>
    </row>
    <row r="6165">
      <c r="A6165" s="14" t="s">
        <v>38424</v>
      </c>
      <c r="B6165" s="14" t="s">
        <v>38425</v>
      </c>
      <c r="C6165" s="14" t="s">
        <v>784</v>
      </c>
      <c r="D6165" s="14" t="s">
        <v>38354</v>
      </c>
      <c r="E6165" s="14" t="s">
        <v>37994</v>
      </c>
      <c r="F6165" s="14" t="s">
        <v>6993</v>
      </c>
      <c r="G6165" s="14" t="s">
        <v>38426</v>
      </c>
      <c r="H6165" s="15" t="s">
        <v>31</v>
      </c>
      <c r="I6165" s="15">
        <v>2.0</v>
      </c>
      <c r="J6165" s="15">
        <v>1.0</v>
      </c>
      <c r="K6165" s="15">
        <v>1.0</v>
      </c>
      <c r="L6165" s="16" t="s">
        <v>38006</v>
      </c>
      <c r="M6165" s="14" t="s">
        <v>38427</v>
      </c>
      <c r="N6165" s="14" t="s">
        <v>1034</v>
      </c>
      <c r="O6165" s="16" t="s">
        <v>1035</v>
      </c>
      <c r="P6165" s="14" t="s">
        <v>38007</v>
      </c>
      <c r="Q6165" s="14" t="s">
        <v>38008</v>
      </c>
      <c r="R6165" s="14" t="s">
        <v>31</v>
      </c>
      <c r="S6165" s="16" t="s">
        <v>38009</v>
      </c>
      <c r="T6165" s="14" t="s">
        <v>1034</v>
      </c>
      <c r="U6165" s="16" t="s">
        <v>31</v>
      </c>
      <c r="V6165" s="14" t="s">
        <v>6993</v>
      </c>
      <c r="W6165" s="14" t="s">
        <v>37994</v>
      </c>
      <c r="X6165" s="17" t="str">
        <f>HYPERLINK("https://my.pitchbook.com?p=395992-45P","View People Online")</f>
        <v>View People Online</v>
      </c>
    </row>
    <row r="6166">
      <c r="A6166" s="10" t="s">
        <v>38428</v>
      </c>
      <c r="B6166" s="10" t="s">
        <v>38429</v>
      </c>
      <c r="C6166" s="10" t="s">
        <v>38430</v>
      </c>
      <c r="D6166" s="10" t="s">
        <v>38431</v>
      </c>
      <c r="E6166" s="10" t="s">
        <v>37994</v>
      </c>
      <c r="F6166" s="10" t="s">
        <v>1283</v>
      </c>
      <c r="G6166" s="10" t="s">
        <v>38432</v>
      </c>
      <c r="H6166" s="11" t="s">
        <v>31</v>
      </c>
      <c r="I6166" s="11">
        <v>4.0</v>
      </c>
      <c r="J6166" s="11">
        <v>1.0</v>
      </c>
      <c r="K6166" s="11">
        <v>2.0</v>
      </c>
      <c r="L6166" s="12" t="s">
        <v>38433</v>
      </c>
      <c r="M6166" s="10" t="s">
        <v>38434</v>
      </c>
      <c r="N6166" s="10" t="s">
        <v>1034</v>
      </c>
      <c r="O6166" s="12" t="s">
        <v>1035</v>
      </c>
      <c r="P6166" s="10" t="s">
        <v>38007</v>
      </c>
      <c r="Q6166" s="10" t="s">
        <v>38008</v>
      </c>
      <c r="R6166" s="10" t="s">
        <v>31</v>
      </c>
      <c r="S6166" s="12" t="s">
        <v>38009</v>
      </c>
      <c r="T6166" s="10" t="s">
        <v>1034</v>
      </c>
      <c r="U6166" s="12" t="s">
        <v>31</v>
      </c>
      <c r="V6166" s="10" t="s">
        <v>1283</v>
      </c>
      <c r="W6166" s="10" t="s">
        <v>37994</v>
      </c>
      <c r="X6166" s="13" t="str">
        <f>HYPERLINK("https://my.pitchbook.com?p=89965-54P","View People Online")</f>
        <v>View People Online</v>
      </c>
    </row>
    <row r="6167">
      <c r="A6167" s="14" t="s">
        <v>38435</v>
      </c>
      <c r="B6167" s="14" t="s">
        <v>38436</v>
      </c>
      <c r="C6167" s="14" t="s">
        <v>2288</v>
      </c>
      <c r="D6167" s="14" t="s">
        <v>666</v>
      </c>
      <c r="E6167" s="14" t="s">
        <v>37994</v>
      </c>
      <c r="F6167" s="14" t="s">
        <v>825</v>
      </c>
      <c r="G6167" s="14" t="s">
        <v>38437</v>
      </c>
      <c r="H6167" s="15" t="s">
        <v>31</v>
      </c>
      <c r="I6167" s="15">
        <v>1.0</v>
      </c>
      <c r="J6167" s="15">
        <v>1.0</v>
      </c>
      <c r="K6167" s="15" t="s">
        <v>31</v>
      </c>
      <c r="L6167" s="16" t="s">
        <v>38006</v>
      </c>
      <c r="M6167" s="14" t="s">
        <v>38438</v>
      </c>
      <c r="N6167" s="14" t="s">
        <v>1034</v>
      </c>
      <c r="O6167" s="16" t="s">
        <v>1035</v>
      </c>
      <c r="P6167" s="14" t="s">
        <v>38007</v>
      </c>
      <c r="Q6167" s="14" t="s">
        <v>38008</v>
      </c>
      <c r="R6167" s="14" t="s">
        <v>31</v>
      </c>
      <c r="S6167" s="16" t="s">
        <v>38009</v>
      </c>
      <c r="T6167" s="14" t="s">
        <v>1034</v>
      </c>
      <c r="U6167" s="16" t="s">
        <v>31</v>
      </c>
      <c r="V6167" s="14" t="s">
        <v>38439</v>
      </c>
      <c r="W6167" s="14" t="s">
        <v>37994</v>
      </c>
      <c r="X6167" s="17" t="str">
        <f>HYPERLINK("https://my.pitchbook.com?p=390470-95P","View People Online")</f>
        <v>View People Online</v>
      </c>
    </row>
    <row r="6168">
      <c r="A6168" s="2" t="s">
        <v>38440</v>
      </c>
      <c r="B6168" s="2" t="s">
        <v>38441</v>
      </c>
      <c r="C6168" s="2" t="s">
        <v>2288</v>
      </c>
      <c r="D6168" s="2" t="s">
        <v>38014</v>
      </c>
      <c r="E6168" s="2" t="s">
        <v>37994</v>
      </c>
      <c r="F6168" s="2" t="s">
        <v>3823</v>
      </c>
      <c r="G6168" s="2" t="s">
        <v>38442</v>
      </c>
      <c r="H6168" s="3" t="s">
        <v>31</v>
      </c>
      <c r="I6168" s="3">
        <v>1.0</v>
      </c>
      <c r="J6168" s="3">
        <v>1.0</v>
      </c>
      <c r="K6168" s="3" t="s">
        <v>31</v>
      </c>
      <c r="L6168" s="4" t="s">
        <v>38006</v>
      </c>
      <c r="M6168" s="2" t="s">
        <v>38443</v>
      </c>
      <c r="N6168" s="2" t="s">
        <v>1034</v>
      </c>
      <c r="O6168" s="4" t="s">
        <v>1035</v>
      </c>
      <c r="P6168" s="2" t="s">
        <v>38007</v>
      </c>
      <c r="Q6168" s="2" t="s">
        <v>38008</v>
      </c>
      <c r="R6168" s="2" t="s">
        <v>31</v>
      </c>
      <c r="S6168" s="4" t="s">
        <v>38009</v>
      </c>
      <c r="T6168" s="2" t="s">
        <v>1034</v>
      </c>
      <c r="U6168" s="4" t="s">
        <v>31</v>
      </c>
      <c r="V6168" s="2" t="s">
        <v>38444</v>
      </c>
      <c r="W6168" s="2" t="s">
        <v>37994</v>
      </c>
      <c r="X6168" s="5" t="str">
        <f>HYPERLINK("https://my.pitchbook.com?p=384708-43P","View People Online")</f>
        <v>View People Online</v>
      </c>
    </row>
    <row r="6169">
      <c r="A6169" s="6" t="s">
        <v>38445</v>
      </c>
      <c r="B6169" s="6" t="s">
        <v>38446</v>
      </c>
      <c r="C6169" s="6" t="s">
        <v>38447</v>
      </c>
      <c r="D6169" s="6" t="s">
        <v>38448</v>
      </c>
      <c r="E6169" s="6" t="s">
        <v>37994</v>
      </c>
      <c r="F6169" s="6" t="s">
        <v>371</v>
      </c>
      <c r="G6169" s="6" t="s">
        <v>38449</v>
      </c>
      <c r="H6169" s="7" t="s">
        <v>31</v>
      </c>
      <c r="I6169" s="7">
        <v>1.0</v>
      </c>
      <c r="J6169" s="7">
        <v>1.0</v>
      </c>
      <c r="K6169" s="7" t="s">
        <v>31</v>
      </c>
      <c r="L6169" s="8" t="s">
        <v>38006</v>
      </c>
      <c r="M6169" s="6" t="s">
        <v>38450</v>
      </c>
      <c r="N6169" s="6" t="s">
        <v>1034</v>
      </c>
      <c r="O6169" s="8" t="s">
        <v>1035</v>
      </c>
      <c r="P6169" s="6" t="s">
        <v>38007</v>
      </c>
      <c r="Q6169" s="6" t="s">
        <v>38008</v>
      </c>
      <c r="R6169" s="6" t="s">
        <v>31</v>
      </c>
      <c r="S6169" s="8" t="s">
        <v>38009</v>
      </c>
      <c r="T6169" s="6" t="s">
        <v>1034</v>
      </c>
      <c r="U6169" s="8" t="s">
        <v>31</v>
      </c>
      <c r="V6169" s="6" t="s">
        <v>371</v>
      </c>
      <c r="W6169" s="6" t="s">
        <v>37994</v>
      </c>
      <c r="X6169" s="9" t="str">
        <f>HYPERLINK("https://my.pitchbook.com?p=370054-99P","View People Online")</f>
        <v>View People Online</v>
      </c>
    </row>
    <row r="6170">
      <c r="A6170" s="10" t="s">
        <v>38451</v>
      </c>
      <c r="B6170" s="10" t="s">
        <v>38452</v>
      </c>
      <c r="C6170" s="10" t="s">
        <v>907</v>
      </c>
      <c r="D6170" s="10" t="s">
        <v>38453</v>
      </c>
      <c r="E6170" s="10" t="s">
        <v>37994</v>
      </c>
      <c r="F6170" s="10" t="s">
        <v>270</v>
      </c>
      <c r="G6170" s="10" t="s">
        <v>38454</v>
      </c>
      <c r="H6170" s="11" t="s">
        <v>31</v>
      </c>
      <c r="I6170" s="11">
        <v>1.0</v>
      </c>
      <c r="J6170" s="11">
        <v>1.0</v>
      </c>
      <c r="K6170" s="11" t="s">
        <v>31</v>
      </c>
      <c r="L6170" s="12" t="s">
        <v>38006</v>
      </c>
      <c r="M6170" s="10" t="s">
        <v>38455</v>
      </c>
      <c r="N6170" s="10" t="s">
        <v>1034</v>
      </c>
      <c r="O6170" s="12" t="s">
        <v>1035</v>
      </c>
      <c r="P6170" s="10" t="s">
        <v>38007</v>
      </c>
      <c r="Q6170" s="10" t="s">
        <v>38008</v>
      </c>
      <c r="R6170" s="10" t="s">
        <v>31</v>
      </c>
      <c r="S6170" s="12" t="s">
        <v>38009</v>
      </c>
      <c r="T6170" s="10" t="s">
        <v>1034</v>
      </c>
      <c r="U6170" s="12" t="s">
        <v>31</v>
      </c>
      <c r="V6170" s="10" t="s">
        <v>25260</v>
      </c>
      <c r="W6170" s="10" t="s">
        <v>37994</v>
      </c>
      <c r="X6170" s="13" t="str">
        <f>HYPERLINK("https://my.pitchbook.com?p=347800-60P","View People Online")</f>
        <v>View People Online</v>
      </c>
    </row>
    <row r="6171">
      <c r="A6171" s="6" t="s">
        <v>38456</v>
      </c>
      <c r="B6171" s="6" t="s">
        <v>38457</v>
      </c>
      <c r="C6171" s="6" t="s">
        <v>38458</v>
      </c>
      <c r="D6171" s="6" t="s">
        <v>38459</v>
      </c>
      <c r="E6171" s="6" t="s">
        <v>37994</v>
      </c>
      <c r="F6171" s="6" t="s">
        <v>825</v>
      </c>
      <c r="G6171" s="6" t="s">
        <v>38460</v>
      </c>
      <c r="H6171" s="7" t="s">
        <v>31</v>
      </c>
      <c r="I6171" s="7">
        <v>1.0</v>
      </c>
      <c r="J6171" s="7">
        <v>1.0</v>
      </c>
      <c r="K6171" s="7" t="s">
        <v>31</v>
      </c>
      <c r="L6171" s="8" t="s">
        <v>38461</v>
      </c>
      <c r="M6171" s="6" t="s">
        <v>38462</v>
      </c>
      <c r="N6171" s="6" t="s">
        <v>1203</v>
      </c>
      <c r="O6171" s="8" t="s">
        <v>1204</v>
      </c>
      <c r="P6171" s="6" t="s">
        <v>38463</v>
      </c>
      <c r="Q6171" s="6" t="s">
        <v>38464</v>
      </c>
      <c r="R6171" s="6" t="s">
        <v>1207</v>
      </c>
      <c r="S6171" s="8" t="s">
        <v>38465</v>
      </c>
      <c r="T6171" s="6" t="s">
        <v>1209</v>
      </c>
      <c r="U6171" s="8" t="s">
        <v>31</v>
      </c>
      <c r="V6171" s="6" t="s">
        <v>38466</v>
      </c>
      <c r="W6171" s="6" t="s">
        <v>37994</v>
      </c>
      <c r="X6171" s="9" t="str">
        <f>HYPERLINK("https://my.pitchbook.com?p=390633-49P","View People Online")</f>
        <v>View People Online</v>
      </c>
    </row>
    <row r="6172">
      <c r="A6172" s="10" t="s">
        <v>38467</v>
      </c>
      <c r="B6172" s="10" t="s">
        <v>38468</v>
      </c>
      <c r="C6172" s="10" t="s">
        <v>2388</v>
      </c>
      <c r="D6172" s="10" t="s">
        <v>38127</v>
      </c>
      <c r="E6172" s="10" t="s">
        <v>37994</v>
      </c>
      <c r="F6172" s="10" t="s">
        <v>548</v>
      </c>
      <c r="G6172" s="10" t="s">
        <v>38469</v>
      </c>
      <c r="H6172" s="11" t="s">
        <v>31</v>
      </c>
      <c r="I6172" s="11">
        <v>1.0</v>
      </c>
      <c r="J6172" s="11">
        <v>1.0</v>
      </c>
      <c r="K6172" s="11" t="s">
        <v>31</v>
      </c>
      <c r="L6172" s="12" t="s">
        <v>38006</v>
      </c>
      <c r="M6172" s="10" t="s">
        <v>38470</v>
      </c>
      <c r="N6172" s="10" t="s">
        <v>1034</v>
      </c>
      <c r="O6172" s="12" t="s">
        <v>1035</v>
      </c>
      <c r="P6172" s="10" t="s">
        <v>38007</v>
      </c>
      <c r="Q6172" s="10" t="s">
        <v>38008</v>
      </c>
      <c r="R6172" s="10" t="s">
        <v>31</v>
      </c>
      <c r="S6172" s="12" t="s">
        <v>38009</v>
      </c>
      <c r="T6172" s="10" t="s">
        <v>1034</v>
      </c>
      <c r="U6172" s="12" t="s">
        <v>31</v>
      </c>
      <c r="V6172" s="10" t="s">
        <v>38471</v>
      </c>
      <c r="W6172" s="10" t="s">
        <v>37994</v>
      </c>
      <c r="X6172" s="13" t="str">
        <f>HYPERLINK("https://my.pitchbook.com?p=390439-99P","View People Online")</f>
        <v>View People Online</v>
      </c>
    </row>
    <row r="6173">
      <c r="A6173" s="6" t="s">
        <v>38472</v>
      </c>
      <c r="B6173" s="6" t="s">
        <v>38473</v>
      </c>
      <c r="C6173" s="6" t="s">
        <v>38474</v>
      </c>
      <c r="D6173" s="6" t="s">
        <v>38475</v>
      </c>
      <c r="E6173" s="6" t="s">
        <v>37994</v>
      </c>
      <c r="F6173" s="6" t="s">
        <v>371</v>
      </c>
      <c r="G6173" s="6" t="s">
        <v>38476</v>
      </c>
      <c r="H6173" s="7" t="s">
        <v>31</v>
      </c>
      <c r="I6173" s="7">
        <v>1.0</v>
      </c>
      <c r="J6173" s="7">
        <v>1.0</v>
      </c>
      <c r="K6173" s="7" t="s">
        <v>31</v>
      </c>
      <c r="L6173" s="8" t="s">
        <v>38477</v>
      </c>
      <c r="M6173" s="6" t="s">
        <v>38478</v>
      </c>
      <c r="N6173" s="6" t="s">
        <v>1034</v>
      </c>
      <c r="O6173" s="8" t="s">
        <v>1035</v>
      </c>
      <c r="P6173" s="6" t="s">
        <v>38007</v>
      </c>
      <c r="Q6173" s="6" t="s">
        <v>38008</v>
      </c>
      <c r="R6173" s="6" t="s">
        <v>31</v>
      </c>
      <c r="S6173" s="8" t="s">
        <v>38009</v>
      </c>
      <c r="T6173" s="6" t="s">
        <v>1034</v>
      </c>
      <c r="U6173" s="8" t="s">
        <v>31</v>
      </c>
      <c r="V6173" s="6" t="s">
        <v>38479</v>
      </c>
      <c r="W6173" s="6" t="s">
        <v>37994</v>
      </c>
      <c r="X6173" s="9" t="str">
        <f>HYPERLINK("https://my.pitchbook.com?p=238824-73P","View People Online")</f>
        <v>View People Online</v>
      </c>
    </row>
    <row r="6174">
      <c r="A6174" s="2" t="s">
        <v>38480</v>
      </c>
      <c r="B6174" s="2" t="s">
        <v>38481</v>
      </c>
      <c r="C6174" s="2" t="s">
        <v>3564</v>
      </c>
      <c r="D6174" s="2" t="s">
        <v>38482</v>
      </c>
      <c r="E6174" s="2" t="s">
        <v>37994</v>
      </c>
      <c r="F6174" s="2" t="s">
        <v>825</v>
      </c>
      <c r="G6174" s="2" t="s">
        <v>38483</v>
      </c>
      <c r="H6174" s="3" t="s">
        <v>31</v>
      </c>
      <c r="I6174" s="3">
        <v>5.0</v>
      </c>
      <c r="J6174" s="3">
        <v>1.0</v>
      </c>
      <c r="K6174" s="3">
        <v>3.0</v>
      </c>
      <c r="L6174" s="4" t="s">
        <v>38484</v>
      </c>
      <c r="M6174" s="2" t="s">
        <v>38485</v>
      </c>
      <c r="N6174" s="2" t="s">
        <v>1005</v>
      </c>
      <c r="O6174" s="4" t="s">
        <v>1006</v>
      </c>
      <c r="P6174" s="2" t="s">
        <v>38486</v>
      </c>
      <c r="Q6174" s="2" t="s">
        <v>38487</v>
      </c>
      <c r="R6174" s="2" t="s">
        <v>38488</v>
      </c>
      <c r="S6174" s="4" t="s">
        <v>38489</v>
      </c>
      <c r="T6174" s="2" t="s">
        <v>1010</v>
      </c>
      <c r="U6174" s="4" t="s">
        <v>31</v>
      </c>
      <c r="V6174" s="2" t="s">
        <v>38490</v>
      </c>
      <c r="W6174" s="2" t="s">
        <v>37994</v>
      </c>
      <c r="X6174" s="5" t="str">
        <f>HYPERLINK("https://my.pitchbook.com?p=120264-13P","View People Online")</f>
        <v>View People Online</v>
      </c>
    </row>
    <row r="6175">
      <c r="A6175" s="6" t="s">
        <v>38491</v>
      </c>
      <c r="B6175" s="6" t="s">
        <v>38492</v>
      </c>
      <c r="C6175" s="6" t="s">
        <v>3370</v>
      </c>
      <c r="D6175" s="6" t="s">
        <v>38493</v>
      </c>
      <c r="E6175" s="6" t="s">
        <v>37994</v>
      </c>
      <c r="F6175" s="6" t="s">
        <v>81</v>
      </c>
      <c r="G6175" s="6" t="s">
        <v>38494</v>
      </c>
      <c r="H6175" s="7">
        <v>1.0</v>
      </c>
      <c r="I6175" s="7">
        <v>8.0</v>
      </c>
      <c r="J6175" s="7" t="s">
        <v>31</v>
      </c>
      <c r="K6175" s="7">
        <v>5.0</v>
      </c>
      <c r="L6175" s="8" t="s">
        <v>37996</v>
      </c>
      <c r="M6175" s="6" t="s">
        <v>31</v>
      </c>
      <c r="N6175" s="6" t="s">
        <v>243</v>
      </c>
      <c r="O6175" s="8" t="s">
        <v>244</v>
      </c>
      <c r="P6175" s="6" t="s">
        <v>37998</v>
      </c>
      <c r="Q6175" s="6" t="s">
        <v>37999</v>
      </c>
      <c r="R6175" s="6" t="s">
        <v>247</v>
      </c>
      <c r="S6175" s="8" t="s">
        <v>38000</v>
      </c>
      <c r="T6175" s="6" t="s">
        <v>249</v>
      </c>
      <c r="U6175" s="8" t="s">
        <v>31</v>
      </c>
      <c r="V6175" s="6" t="s">
        <v>38495</v>
      </c>
      <c r="W6175" s="6" t="s">
        <v>37994</v>
      </c>
      <c r="X6175" s="9" t="str">
        <f>HYPERLINK("https://my.pitchbook.com?p=48812-14P","View People Online")</f>
        <v>View People Online</v>
      </c>
    </row>
    <row r="6176">
      <c r="A6176" s="2" t="s">
        <v>38496</v>
      </c>
      <c r="B6176" s="2" t="s">
        <v>38497</v>
      </c>
      <c r="C6176" s="2" t="s">
        <v>180</v>
      </c>
      <c r="D6176" s="2" t="s">
        <v>2469</v>
      </c>
      <c r="E6176" s="2" t="s">
        <v>37994</v>
      </c>
      <c r="F6176" s="2" t="s">
        <v>78</v>
      </c>
      <c r="G6176" s="2" t="s">
        <v>38498</v>
      </c>
      <c r="H6176" s="3" t="s">
        <v>31</v>
      </c>
      <c r="I6176" s="3">
        <v>1.0</v>
      </c>
      <c r="J6176" s="3">
        <v>1.0</v>
      </c>
      <c r="K6176" s="3" t="s">
        <v>31</v>
      </c>
      <c r="L6176" s="4" t="s">
        <v>38006</v>
      </c>
      <c r="M6176" s="2" t="s">
        <v>38499</v>
      </c>
      <c r="N6176" s="2" t="s">
        <v>1034</v>
      </c>
      <c r="O6176" s="4" t="s">
        <v>1035</v>
      </c>
      <c r="P6176" s="2" t="s">
        <v>38007</v>
      </c>
      <c r="Q6176" s="2" t="s">
        <v>38008</v>
      </c>
      <c r="R6176" s="2" t="s">
        <v>31</v>
      </c>
      <c r="S6176" s="4" t="s">
        <v>38009</v>
      </c>
      <c r="T6176" s="2" t="s">
        <v>1034</v>
      </c>
      <c r="U6176" s="4" t="s">
        <v>31</v>
      </c>
      <c r="V6176" s="2" t="s">
        <v>78</v>
      </c>
      <c r="W6176" s="2" t="s">
        <v>37994</v>
      </c>
      <c r="X6176" s="5" t="str">
        <f>HYPERLINK("https://my.pitchbook.com?p=390448-09P","View People Online")</f>
        <v>View People Online</v>
      </c>
    </row>
    <row r="6177">
      <c r="A6177" s="14" t="s">
        <v>38500</v>
      </c>
      <c r="B6177" s="14" t="s">
        <v>38501</v>
      </c>
      <c r="C6177" s="14" t="s">
        <v>38502</v>
      </c>
      <c r="D6177" s="14" t="s">
        <v>38503</v>
      </c>
      <c r="E6177" s="14" t="s">
        <v>37994</v>
      </c>
      <c r="F6177" s="14" t="s">
        <v>548</v>
      </c>
      <c r="G6177" s="14" t="s">
        <v>38504</v>
      </c>
      <c r="H6177" s="15" t="s">
        <v>31</v>
      </c>
      <c r="I6177" s="15">
        <v>1.0</v>
      </c>
      <c r="J6177" s="15">
        <v>1.0</v>
      </c>
      <c r="K6177" s="15" t="s">
        <v>31</v>
      </c>
      <c r="L6177" s="16" t="s">
        <v>38006</v>
      </c>
      <c r="M6177" s="14" t="s">
        <v>38505</v>
      </c>
      <c r="N6177" s="14" t="s">
        <v>1034</v>
      </c>
      <c r="O6177" s="16" t="s">
        <v>1035</v>
      </c>
      <c r="P6177" s="14" t="s">
        <v>38007</v>
      </c>
      <c r="Q6177" s="14" t="s">
        <v>38008</v>
      </c>
      <c r="R6177" s="14" t="s">
        <v>31</v>
      </c>
      <c r="S6177" s="16" t="s">
        <v>38009</v>
      </c>
      <c r="T6177" s="14" t="s">
        <v>1034</v>
      </c>
      <c r="U6177" s="16" t="s">
        <v>31</v>
      </c>
      <c r="V6177" s="14" t="s">
        <v>38506</v>
      </c>
      <c r="W6177" s="14" t="s">
        <v>37994</v>
      </c>
      <c r="X6177" s="17" t="str">
        <f>HYPERLINK("https://my.pitchbook.com?p=390632-50P","View People Online")</f>
        <v>View People Online</v>
      </c>
    </row>
    <row r="6178">
      <c r="A6178" s="10" t="s">
        <v>38507</v>
      </c>
      <c r="B6178" s="10" t="s">
        <v>38508</v>
      </c>
      <c r="C6178" s="10" t="s">
        <v>21727</v>
      </c>
      <c r="D6178" s="10" t="s">
        <v>6496</v>
      </c>
      <c r="E6178" s="10" t="s">
        <v>37994</v>
      </c>
      <c r="F6178" s="10" t="s">
        <v>270</v>
      </c>
      <c r="G6178" s="10" t="s">
        <v>38509</v>
      </c>
      <c r="H6178" s="11" t="s">
        <v>31</v>
      </c>
      <c r="I6178" s="11">
        <v>1.0</v>
      </c>
      <c r="J6178" s="11">
        <v>1.0</v>
      </c>
      <c r="K6178" s="11" t="s">
        <v>31</v>
      </c>
      <c r="L6178" s="12" t="s">
        <v>38510</v>
      </c>
      <c r="M6178" s="10" t="s">
        <v>38511</v>
      </c>
      <c r="N6178" s="10" t="s">
        <v>3753</v>
      </c>
      <c r="O6178" s="12" t="s">
        <v>3754</v>
      </c>
      <c r="P6178" s="10" t="s">
        <v>38512</v>
      </c>
      <c r="Q6178" s="10" t="s">
        <v>38513</v>
      </c>
      <c r="R6178" s="10" t="s">
        <v>31</v>
      </c>
      <c r="S6178" s="12" t="s">
        <v>38514</v>
      </c>
      <c r="T6178" s="10" t="s">
        <v>3339</v>
      </c>
      <c r="U6178" s="12" t="s">
        <v>31</v>
      </c>
      <c r="V6178" s="10" t="s">
        <v>270</v>
      </c>
      <c r="W6178" s="10" t="s">
        <v>37994</v>
      </c>
      <c r="X6178" s="13" t="str">
        <f>HYPERLINK("https://my.pitchbook.com?p=390646-99P","View People Online")</f>
        <v>View People Online</v>
      </c>
    </row>
    <row r="6179">
      <c r="A6179" s="14" t="s">
        <v>38515</v>
      </c>
      <c r="B6179" s="14" t="s">
        <v>38508</v>
      </c>
      <c r="C6179" s="14" t="s">
        <v>21727</v>
      </c>
      <c r="D6179" s="14" t="s">
        <v>6496</v>
      </c>
      <c r="E6179" s="14" t="s">
        <v>37994</v>
      </c>
      <c r="F6179" s="14" t="s">
        <v>2652</v>
      </c>
      <c r="G6179" s="14" t="s">
        <v>38516</v>
      </c>
      <c r="H6179" s="15" t="s">
        <v>31</v>
      </c>
      <c r="I6179" s="15">
        <v>1.0</v>
      </c>
      <c r="J6179" s="15">
        <v>1.0</v>
      </c>
      <c r="K6179" s="15" t="s">
        <v>31</v>
      </c>
      <c r="L6179" s="16" t="s">
        <v>38510</v>
      </c>
      <c r="M6179" s="14" t="s">
        <v>31</v>
      </c>
      <c r="N6179" s="14" t="s">
        <v>3753</v>
      </c>
      <c r="O6179" s="16" t="s">
        <v>3754</v>
      </c>
      <c r="P6179" s="14" t="s">
        <v>38512</v>
      </c>
      <c r="Q6179" s="14" t="s">
        <v>38513</v>
      </c>
      <c r="R6179" s="14" t="s">
        <v>31</v>
      </c>
      <c r="S6179" s="16" t="s">
        <v>38514</v>
      </c>
      <c r="T6179" s="14" t="s">
        <v>3339</v>
      </c>
      <c r="U6179" s="16" t="s">
        <v>31</v>
      </c>
      <c r="V6179" s="14" t="s">
        <v>38517</v>
      </c>
      <c r="W6179" s="14" t="s">
        <v>37994</v>
      </c>
      <c r="X6179" s="17" t="str">
        <f>HYPERLINK("https://my.pitchbook.com?p=390648-52P","View People Online")</f>
        <v>View People Online</v>
      </c>
    </row>
    <row r="6180">
      <c r="A6180" s="2" t="s">
        <v>38518</v>
      </c>
      <c r="B6180" s="2" t="s">
        <v>38519</v>
      </c>
      <c r="C6180" s="2" t="s">
        <v>38520</v>
      </c>
      <c r="D6180" s="2" t="s">
        <v>2582</v>
      </c>
      <c r="E6180" s="2" t="s">
        <v>37994</v>
      </c>
      <c r="F6180" s="2" t="s">
        <v>825</v>
      </c>
      <c r="G6180" s="2" t="s">
        <v>38521</v>
      </c>
      <c r="H6180" s="3" t="s">
        <v>31</v>
      </c>
      <c r="I6180" s="3">
        <v>1.0</v>
      </c>
      <c r="J6180" s="3">
        <v>1.0</v>
      </c>
      <c r="K6180" s="3" t="s">
        <v>31</v>
      </c>
      <c r="L6180" s="4" t="s">
        <v>37996</v>
      </c>
      <c r="M6180" s="2" t="s">
        <v>38522</v>
      </c>
      <c r="N6180" s="2" t="s">
        <v>243</v>
      </c>
      <c r="O6180" s="4" t="s">
        <v>244</v>
      </c>
      <c r="P6180" s="2" t="s">
        <v>37998</v>
      </c>
      <c r="Q6180" s="2" t="s">
        <v>37999</v>
      </c>
      <c r="R6180" s="2" t="s">
        <v>247</v>
      </c>
      <c r="S6180" s="4" t="s">
        <v>38000</v>
      </c>
      <c r="T6180" s="2" t="s">
        <v>249</v>
      </c>
      <c r="U6180" s="4" t="s">
        <v>31</v>
      </c>
      <c r="V6180" s="2" t="s">
        <v>38523</v>
      </c>
      <c r="W6180" s="2" t="s">
        <v>37994</v>
      </c>
      <c r="X6180" s="5" t="str">
        <f>HYPERLINK("https://my.pitchbook.com?p=390664-90P","View People Online")</f>
        <v>View People Online</v>
      </c>
    </row>
    <row r="6181">
      <c r="A6181" s="14" t="s">
        <v>38524</v>
      </c>
      <c r="B6181" s="14" t="s">
        <v>38525</v>
      </c>
      <c r="C6181" s="14" t="s">
        <v>3409</v>
      </c>
      <c r="D6181" s="14" t="s">
        <v>38526</v>
      </c>
      <c r="E6181" s="14" t="s">
        <v>37994</v>
      </c>
      <c r="F6181" s="14" t="s">
        <v>312</v>
      </c>
      <c r="G6181" s="14" t="s">
        <v>38527</v>
      </c>
      <c r="H6181" s="15" t="s">
        <v>31</v>
      </c>
      <c r="I6181" s="15">
        <v>1.0</v>
      </c>
      <c r="J6181" s="15">
        <v>1.0</v>
      </c>
      <c r="K6181" s="15" t="s">
        <v>31</v>
      </c>
      <c r="L6181" s="16" t="s">
        <v>37996</v>
      </c>
      <c r="M6181" s="14" t="s">
        <v>38528</v>
      </c>
      <c r="N6181" s="14" t="s">
        <v>243</v>
      </c>
      <c r="O6181" s="16" t="s">
        <v>244</v>
      </c>
      <c r="P6181" s="14" t="s">
        <v>37998</v>
      </c>
      <c r="Q6181" s="14" t="s">
        <v>37999</v>
      </c>
      <c r="R6181" s="14" t="s">
        <v>247</v>
      </c>
      <c r="S6181" s="16" t="s">
        <v>38000</v>
      </c>
      <c r="T6181" s="14" t="s">
        <v>249</v>
      </c>
      <c r="U6181" s="16" t="s">
        <v>31</v>
      </c>
      <c r="V6181" s="14" t="s">
        <v>312</v>
      </c>
      <c r="W6181" s="14" t="s">
        <v>37994</v>
      </c>
      <c r="X6181" s="17" t="str">
        <f>HYPERLINK("https://my.pitchbook.com?p=345787-75P","View People Online")</f>
        <v>View People Online</v>
      </c>
    </row>
    <row r="6182">
      <c r="A6182" s="2" t="s">
        <v>38529</v>
      </c>
      <c r="B6182" s="2" t="s">
        <v>38530</v>
      </c>
      <c r="C6182" s="2" t="s">
        <v>38531</v>
      </c>
      <c r="D6182" s="2" t="s">
        <v>38532</v>
      </c>
      <c r="E6182" s="2" t="s">
        <v>37994</v>
      </c>
      <c r="F6182" s="2" t="s">
        <v>312</v>
      </c>
      <c r="G6182" s="2" t="s">
        <v>38533</v>
      </c>
      <c r="H6182" s="3" t="s">
        <v>31</v>
      </c>
      <c r="I6182" s="3">
        <v>1.0</v>
      </c>
      <c r="J6182" s="3">
        <v>1.0</v>
      </c>
      <c r="K6182" s="3" t="s">
        <v>31</v>
      </c>
      <c r="L6182" s="4" t="s">
        <v>38006</v>
      </c>
      <c r="M6182" s="2" t="s">
        <v>31</v>
      </c>
      <c r="N6182" s="2" t="s">
        <v>1034</v>
      </c>
      <c r="O6182" s="4" t="s">
        <v>1035</v>
      </c>
      <c r="P6182" s="2" t="s">
        <v>38007</v>
      </c>
      <c r="Q6182" s="2" t="s">
        <v>38008</v>
      </c>
      <c r="R6182" s="2" t="s">
        <v>31</v>
      </c>
      <c r="S6182" s="4" t="s">
        <v>38009</v>
      </c>
      <c r="T6182" s="2" t="s">
        <v>1034</v>
      </c>
      <c r="U6182" s="4" t="s">
        <v>31</v>
      </c>
      <c r="V6182" s="2" t="s">
        <v>38534</v>
      </c>
      <c r="W6182" s="2" t="s">
        <v>37994</v>
      </c>
      <c r="X6182" s="5" t="str">
        <f>HYPERLINK("https://my.pitchbook.com?p=444343-33P","View People Online")</f>
        <v>View People Online</v>
      </c>
    </row>
    <row r="6183">
      <c r="A6183" s="14" t="s">
        <v>38535</v>
      </c>
      <c r="B6183" s="14" t="s">
        <v>38536</v>
      </c>
      <c r="C6183" s="14" t="s">
        <v>22172</v>
      </c>
      <c r="D6183" s="14" t="s">
        <v>38537</v>
      </c>
      <c r="E6183" s="14" t="s">
        <v>37994</v>
      </c>
      <c r="F6183" s="14" t="s">
        <v>1283</v>
      </c>
      <c r="G6183" s="14" t="s">
        <v>38538</v>
      </c>
      <c r="H6183" s="15" t="s">
        <v>31</v>
      </c>
      <c r="I6183" s="15">
        <v>1.0</v>
      </c>
      <c r="J6183" s="15">
        <v>1.0</v>
      </c>
      <c r="K6183" s="15" t="s">
        <v>31</v>
      </c>
      <c r="L6183" s="16" t="s">
        <v>38006</v>
      </c>
      <c r="M6183" s="14" t="s">
        <v>38539</v>
      </c>
      <c r="N6183" s="14" t="s">
        <v>1034</v>
      </c>
      <c r="O6183" s="16" t="s">
        <v>1035</v>
      </c>
      <c r="P6183" s="14" t="s">
        <v>38007</v>
      </c>
      <c r="Q6183" s="14" t="s">
        <v>38008</v>
      </c>
      <c r="R6183" s="14" t="s">
        <v>31</v>
      </c>
      <c r="S6183" s="16" t="s">
        <v>38009</v>
      </c>
      <c r="T6183" s="14" t="s">
        <v>1034</v>
      </c>
      <c r="U6183" s="16" t="s">
        <v>31</v>
      </c>
      <c r="V6183" s="14" t="s">
        <v>1283</v>
      </c>
      <c r="W6183" s="14" t="s">
        <v>37994</v>
      </c>
      <c r="X6183" s="17" t="str">
        <f>HYPERLINK("https://my.pitchbook.com?p=338827-33P","View People Online")</f>
        <v>View People Online</v>
      </c>
    </row>
    <row r="6184">
      <c r="A6184" s="2" t="s">
        <v>38540</v>
      </c>
      <c r="B6184" s="2" t="s">
        <v>38541</v>
      </c>
      <c r="C6184" s="2" t="s">
        <v>38542</v>
      </c>
      <c r="D6184" s="2" t="s">
        <v>38543</v>
      </c>
      <c r="E6184" s="2" t="s">
        <v>37994</v>
      </c>
      <c r="F6184" s="2" t="s">
        <v>548</v>
      </c>
      <c r="G6184" s="2" t="s">
        <v>38544</v>
      </c>
      <c r="H6184" s="3" t="s">
        <v>31</v>
      </c>
      <c r="I6184" s="3">
        <v>1.0</v>
      </c>
      <c r="J6184" s="3">
        <v>1.0</v>
      </c>
      <c r="K6184" s="3" t="s">
        <v>31</v>
      </c>
      <c r="L6184" s="4" t="s">
        <v>38006</v>
      </c>
      <c r="M6184" s="2" t="s">
        <v>38545</v>
      </c>
      <c r="N6184" s="2" t="s">
        <v>1034</v>
      </c>
      <c r="O6184" s="4" t="s">
        <v>1035</v>
      </c>
      <c r="P6184" s="2" t="s">
        <v>38007</v>
      </c>
      <c r="Q6184" s="2" t="s">
        <v>38008</v>
      </c>
      <c r="R6184" s="2" t="s">
        <v>31</v>
      </c>
      <c r="S6184" s="4" t="s">
        <v>38009</v>
      </c>
      <c r="T6184" s="2" t="s">
        <v>1034</v>
      </c>
      <c r="U6184" s="4" t="s">
        <v>31</v>
      </c>
      <c r="V6184" s="2" t="s">
        <v>38546</v>
      </c>
      <c r="W6184" s="2" t="s">
        <v>37994</v>
      </c>
      <c r="X6184" s="5" t="str">
        <f>HYPERLINK("https://my.pitchbook.com?p=390518-29P","View People Online")</f>
        <v>View People Online</v>
      </c>
    </row>
    <row r="6185">
      <c r="A6185" s="14" t="s">
        <v>38547</v>
      </c>
      <c r="B6185" s="14" t="s">
        <v>38548</v>
      </c>
      <c r="C6185" s="14" t="s">
        <v>1085</v>
      </c>
      <c r="D6185" s="14" t="s">
        <v>38549</v>
      </c>
      <c r="E6185" s="14" t="s">
        <v>37994</v>
      </c>
      <c r="F6185" s="14" t="s">
        <v>9193</v>
      </c>
      <c r="G6185" s="14" t="s">
        <v>38550</v>
      </c>
      <c r="H6185" s="15" t="s">
        <v>31</v>
      </c>
      <c r="I6185" s="15">
        <v>1.0</v>
      </c>
      <c r="J6185" s="15">
        <v>1.0</v>
      </c>
      <c r="K6185" s="15" t="s">
        <v>31</v>
      </c>
      <c r="L6185" s="16" t="s">
        <v>38006</v>
      </c>
      <c r="M6185" s="14" t="s">
        <v>38551</v>
      </c>
      <c r="N6185" s="14" t="s">
        <v>1034</v>
      </c>
      <c r="O6185" s="16" t="s">
        <v>1035</v>
      </c>
      <c r="P6185" s="14" t="s">
        <v>38007</v>
      </c>
      <c r="Q6185" s="14" t="s">
        <v>38008</v>
      </c>
      <c r="R6185" s="14" t="s">
        <v>31</v>
      </c>
      <c r="S6185" s="16" t="s">
        <v>38009</v>
      </c>
      <c r="T6185" s="14" t="s">
        <v>1034</v>
      </c>
      <c r="U6185" s="16" t="s">
        <v>31</v>
      </c>
      <c r="V6185" s="14" t="s">
        <v>38552</v>
      </c>
      <c r="W6185" s="14" t="s">
        <v>37994</v>
      </c>
      <c r="X6185" s="17" t="str">
        <f>HYPERLINK("https://my.pitchbook.com?p=371077-39P","View People Online")</f>
        <v>View People Online</v>
      </c>
    </row>
    <row r="6186">
      <c r="A6186" s="2" t="s">
        <v>38553</v>
      </c>
      <c r="B6186" s="2" t="s">
        <v>38554</v>
      </c>
      <c r="C6186" s="2" t="s">
        <v>38555</v>
      </c>
      <c r="D6186" s="2" t="s">
        <v>902</v>
      </c>
      <c r="E6186" s="2" t="s">
        <v>37994</v>
      </c>
      <c r="F6186" s="2" t="s">
        <v>548</v>
      </c>
      <c r="G6186" s="2" t="s">
        <v>38556</v>
      </c>
      <c r="H6186" s="3" t="s">
        <v>31</v>
      </c>
      <c r="I6186" s="3">
        <v>1.0</v>
      </c>
      <c r="J6186" s="3">
        <v>1.0</v>
      </c>
      <c r="K6186" s="3" t="s">
        <v>31</v>
      </c>
      <c r="L6186" s="4" t="s">
        <v>38006</v>
      </c>
      <c r="M6186" s="2" t="s">
        <v>38557</v>
      </c>
      <c r="N6186" s="2" t="s">
        <v>1034</v>
      </c>
      <c r="O6186" s="4" t="s">
        <v>1035</v>
      </c>
      <c r="P6186" s="2" t="s">
        <v>38007</v>
      </c>
      <c r="Q6186" s="2" t="s">
        <v>38008</v>
      </c>
      <c r="R6186" s="2" t="s">
        <v>31</v>
      </c>
      <c r="S6186" s="4" t="s">
        <v>38009</v>
      </c>
      <c r="T6186" s="2" t="s">
        <v>1034</v>
      </c>
      <c r="U6186" s="4" t="s">
        <v>31</v>
      </c>
      <c r="V6186" s="2" t="s">
        <v>38558</v>
      </c>
      <c r="W6186" s="2" t="s">
        <v>37994</v>
      </c>
      <c r="X6186" s="5" t="str">
        <f>HYPERLINK("https://my.pitchbook.com?p=390464-38P","View People Online")</f>
        <v>View People Online</v>
      </c>
    </row>
    <row r="6187">
      <c r="A6187" s="14" t="s">
        <v>38559</v>
      </c>
      <c r="B6187" s="14" t="s">
        <v>38560</v>
      </c>
      <c r="C6187" s="14" t="s">
        <v>38561</v>
      </c>
      <c r="D6187" s="14" t="s">
        <v>27614</v>
      </c>
      <c r="E6187" s="14" t="s">
        <v>37994</v>
      </c>
      <c r="F6187" s="14" t="s">
        <v>825</v>
      </c>
      <c r="G6187" s="14" t="s">
        <v>38562</v>
      </c>
      <c r="H6187" s="15" t="s">
        <v>31</v>
      </c>
      <c r="I6187" s="15">
        <v>1.0</v>
      </c>
      <c r="J6187" s="15">
        <v>1.0</v>
      </c>
      <c r="K6187" s="15" t="s">
        <v>31</v>
      </c>
      <c r="L6187" s="16" t="s">
        <v>38006</v>
      </c>
      <c r="M6187" s="14" t="s">
        <v>38563</v>
      </c>
      <c r="N6187" s="14" t="s">
        <v>1034</v>
      </c>
      <c r="O6187" s="16" t="s">
        <v>1035</v>
      </c>
      <c r="P6187" s="14" t="s">
        <v>38007</v>
      </c>
      <c r="Q6187" s="14" t="s">
        <v>38008</v>
      </c>
      <c r="R6187" s="14" t="s">
        <v>31</v>
      </c>
      <c r="S6187" s="16" t="s">
        <v>38009</v>
      </c>
      <c r="T6187" s="14" t="s">
        <v>1034</v>
      </c>
      <c r="U6187" s="16" t="s">
        <v>31</v>
      </c>
      <c r="V6187" s="14" t="s">
        <v>38564</v>
      </c>
      <c r="W6187" s="14" t="s">
        <v>37994</v>
      </c>
      <c r="X6187" s="17" t="str">
        <f>HYPERLINK("https://my.pitchbook.com?p=390437-02P","View People Online")</f>
        <v>View People Online</v>
      </c>
    </row>
    <row r="6188">
      <c r="A6188" s="10" t="s">
        <v>38565</v>
      </c>
      <c r="B6188" s="10" t="s">
        <v>38566</v>
      </c>
      <c r="C6188" s="10" t="s">
        <v>38567</v>
      </c>
      <c r="D6188" s="10" t="s">
        <v>38568</v>
      </c>
      <c r="E6188" s="10" t="s">
        <v>37994</v>
      </c>
      <c r="F6188" s="10" t="s">
        <v>825</v>
      </c>
      <c r="G6188" s="10" t="s">
        <v>38569</v>
      </c>
      <c r="H6188" s="11" t="s">
        <v>31</v>
      </c>
      <c r="I6188" s="11">
        <v>1.0</v>
      </c>
      <c r="J6188" s="11">
        <v>1.0</v>
      </c>
      <c r="K6188" s="11" t="s">
        <v>31</v>
      </c>
      <c r="L6188" s="12" t="s">
        <v>38215</v>
      </c>
      <c r="M6188" s="10" t="s">
        <v>38570</v>
      </c>
      <c r="N6188" s="10" t="s">
        <v>75</v>
      </c>
      <c r="O6188" s="12" t="s">
        <v>76</v>
      </c>
      <c r="P6188" s="10" t="s">
        <v>2340</v>
      </c>
      <c r="Q6188" s="10" t="s">
        <v>38029</v>
      </c>
      <c r="R6188" s="10" t="s">
        <v>75</v>
      </c>
      <c r="S6188" s="12" t="s">
        <v>4581</v>
      </c>
      <c r="T6188" s="10" t="s">
        <v>66</v>
      </c>
      <c r="U6188" s="12" t="s">
        <v>31</v>
      </c>
      <c r="V6188" s="10" t="s">
        <v>38571</v>
      </c>
      <c r="W6188" s="10" t="s">
        <v>37994</v>
      </c>
      <c r="X6188" s="13" t="str">
        <f>HYPERLINK("https://my.pitchbook.com?p=390645-10P","View People Online")</f>
        <v>View People Online</v>
      </c>
    </row>
    <row r="6189">
      <c r="A6189" s="14" t="s">
        <v>38572</v>
      </c>
      <c r="B6189" s="14" t="s">
        <v>38573</v>
      </c>
      <c r="C6189" s="14" t="s">
        <v>38574</v>
      </c>
      <c r="D6189" s="14" t="s">
        <v>34633</v>
      </c>
      <c r="E6189" s="14" t="s">
        <v>37994</v>
      </c>
      <c r="F6189" s="14" t="s">
        <v>896</v>
      </c>
      <c r="G6189" s="14" t="s">
        <v>38575</v>
      </c>
      <c r="H6189" s="15" t="s">
        <v>31</v>
      </c>
      <c r="I6189" s="15">
        <v>1.0</v>
      </c>
      <c r="J6189" s="15">
        <v>1.0</v>
      </c>
      <c r="K6189" s="15" t="s">
        <v>31</v>
      </c>
      <c r="L6189" s="16" t="s">
        <v>38006</v>
      </c>
      <c r="M6189" s="14" t="s">
        <v>38576</v>
      </c>
      <c r="N6189" s="14" t="s">
        <v>1034</v>
      </c>
      <c r="O6189" s="16" t="s">
        <v>1035</v>
      </c>
      <c r="P6189" s="14" t="s">
        <v>38007</v>
      </c>
      <c r="Q6189" s="14" t="s">
        <v>38008</v>
      </c>
      <c r="R6189" s="14" t="s">
        <v>31</v>
      </c>
      <c r="S6189" s="16" t="s">
        <v>38009</v>
      </c>
      <c r="T6189" s="14" t="s">
        <v>1034</v>
      </c>
      <c r="U6189" s="16" t="s">
        <v>31</v>
      </c>
      <c r="V6189" s="14" t="s">
        <v>38577</v>
      </c>
      <c r="W6189" s="14" t="s">
        <v>37994</v>
      </c>
      <c r="X6189" s="17" t="str">
        <f>HYPERLINK("https://my.pitchbook.com?p=390663-37P","View People Online")</f>
        <v>View People Online</v>
      </c>
    </row>
    <row r="6190">
      <c r="A6190" s="10" t="s">
        <v>38578</v>
      </c>
      <c r="B6190" s="10" t="s">
        <v>38579</v>
      </c>
      <c r="C6190" s="10" t="s">
        <v>38580</v>
      </c>
      <c r="D6190" s="10" t="s">
        <v>38581</v>
      </c>
      <c r="E6190" s="10" t="s">
        <v>37994</v>
      </c>
      <c r="F6190" s="10" t="s">
        <v>3823</v>
      </c>
      <c r="G6190" s="10" t="s">
        <v>38582</v>
      </c>
      <c r="H6190" s="11" t="s">
        <v>31</v>
      </c>
      <c r="I6190" s="11">
        <v>2.0</v>
      </c>
      <c r="J6190" s="11">
        <v>1.0</v>
      </c>
      <c r="K6190" s="11">
        <v>1.0</v>
      </c>
      <c r="L6190" s="12" t="s">
        <v>38006</v>
      </c>
      <c r="M6190" s="10" t="s">
        <v>38583</v>
      </c>
      <c r="N6190" s="10" t="s">
        <v>1034</v>
      </c>
      <c r="O6190" s="12" t="s">
        <v>1035</v>
      </c>
      <c r="P6190" s="10" t="s">
        <v>38007</v>
      </c>
      <c r="Q6190" s="10" t="s">
        <v>38008</v>
      </c>
      <c r="R6190" s="10" t="s">
        <v>31</v>
      </c>
      <c r="S6190" s="12" t="s">
        <v>38009</v>
      </c>
      <c r="T6190" s="10" t="s">
        <v>1034</v>
      </c>
      <c r="U6190" s="12" t="s">
        <v>31</v>
      </c>
      <c r="V6190" s="10" t="s">
        <v>38584</v>
      </c>
      <c r="W6190" s="10" t="s">
        <v>37994</v>
      </c>
      <c r="X6190" s="13" t="str">
        <f>HYPERLINK("https://my.pitchbook.com?p=133841-62P","View People Online")</f>
        <v>View People Online</v>
      </c>
    </row>
    <row r="6191">
      <c r="A6191" s="14" t="s">
        <v>38585</v>
      </c>
      <c r="B6191" s="14" t="s">
        <v>38586</v>
      </c>
      <c r="C6191" s="14" t="s">
        <v>38587</v>
      </c>
      <c r="D6191" s="14" t="s">
        <v>38588</v>
      </c>
      <c r="E6191" s="14" t="s">
        <v>37994</v>
      </c>
      <c r="F6191" s="14" t="s">
        <v>825</v>
      </c>
      <c r="G6191" s="14" t="s">
        <v>38589</v>
      </c>
      <c r="H6191" s="15" t="s">
        <v>31</v>
      </c>
      <c r="I6191" s="15">
        <v>56.0</v>
      </c>
      <c r="J6191" s="15">
        <v>1.0</v>
      </c>
      <c r="K6191" s="15">
        <v>53.0</v>
      </c>
      <c r="L6191" s="16" t="s">
        <v>37996</v>
      </c>
      <c r="M6191" s="14" t="s">
        <v>38590</v>
      </c>
      <c r="N6191" s="14" t="s">
        <v>243</v>
      </c>
      <c r="O6191" s="16" t="s">
        <v>244</v>
      </c>
      <c r="P6191" s="14" t="s">
        <v>37998</v>
      </c>
      <c r="Q6191" s="14" t="s">
        <v>37999</v>
      </c>
      <c r="R6191" s="14" t="s">
        <v>247</v>
      </c>
      <c r="S6191" s="16" t="s">
        <v>38000</v>
      </c>
      <c r="T6191" s="14" t="s">
        <v>249</v>
      </c>
      <c r="U6191" s="16" t="s">
        <v>31</v>
      </c>
      <c r="V6191" s="14" t="s">
        <v>38591</v>
      </c>
      <c r="W6191" s="14" t="s">
        <v>37994</v>
      </c>
      <c r="X6191" s="17" t="str">
        <f>HYPERLINK("https://my.pitchbook.com?p=121656-52P","View People Online")</f>
        <v>View People Online</v>
      </c>
    </row>
    <row r="6192">
      <c r="A6192" s="2" t="s">
        <v>38592</v>
      </c>
      <c r="B6192" s="2" t="s">
        <v>38593</v>
      </c>
      <c r="C6192" s="2" t="s">
        <v>4717</v>
      </c>
      <c r="D6192" s="2" t="s">
        <v>38594</v>
      </c>
      <c r="E6192" s="2" t="s">
        <v>37994</v>
      </c>
      <c r="F6192" s="2" t="s">
        <v>825</v>
      </c>
      <c r="G6192" s="2" t="s">
        <v>38595</v>
      </c>
      <c r="H6192" s="3" t="s">
        <v>31</v>
      </c>
      <c r="I6192" s="3">
        <v>1.0</v>
      </c>
      <c r="J6192" s="3">
        <v>1.0</v>
      </c>
      <c r="K6192" s="3" t="s">
        <v>31</v>
      </c>
      <c r="L6192" s="4" t="s">
        <v>38006</v>
      </c>
      <c r="M6192" s="2" t="s">
        <v>38596</v>
      </c>
      <c r="N6192" s="2" t="s">
        <v>1034</v>
      </c>
      <c r="O6192" s="4" t="s">
        <v>1035</v>
      </c>
      <c r="P6192" s="2" t="s">
        <v>38007</v>
      </c>
      <c r="Q6192" s="2" t="s">
        <v>38008</v>
      </c>
      <c r="R6192" s="2" t="s">
        <v>31</v>
      </c>
      <c r="S6192" s="4" t="s">
        <v>38009</v>
      </c>
      <c r="T6192" s="2" t="s">
        <v>1034</v>
      </c>
      <c r="U6192" s="4" t="s">
        <v>31</v>
      </c>
      <c r="V6192" s="2" t="s">
        <v>38597</v>
      </c>
      <c r="W6192" s="2" t="s">
        <v>37994</v>
      </c>
      <c r="X6192" s="5" t="str">
        <f>HYPERLINK("https://my.pitchbook.com?p=390410-65P","View People Online")</f>
        <v>View People Online</v>
      </c>
    </row>
    <row r="6193">
      <c r="A6193" s="6" t="s">
        <v>38598</v>
      </c>
      <c r="B6193" s="6" t="s">
        <v>38599</v>
      </c>
      <c r="C6193" s="6" t="s">
        <v>38600</v>
      </c>
      <c r="D6193" s="6" t="s">
        <v>38601</v>
      </c>
      <c r="E6193" s="6" t="s">
        <v>37994</v>
      </c>
      <c r="F6193" s="6" t="s">
        <v>548</v>
      </c>
      <c r="G6193" s="6" t="s">
        <v>38602</v>
      </c>
      <c r="H6193" s="7" t="s">
        <v>31</v>
      </c>
      <c r="I6193" s="7">
        <v>1.0</v>
      </c>
      <c r="J6193" s="7">
        <v>1.0</v>
      </c>
      <c r="K6193" s="7" t="s">
        <v>31</v>
      </c>
      <c r="L6193" s="8" t="s">
        <v>38006</v>
      </c>
      <c r="M6193" s="6" t="s">
        <v>38603</v>
      </c>
      <c r="N6193" s="6" t="s">
        <v>1034</v>
      </c>
      <c r="O6193" s="8" t="s">
        <v>1035</v>
      </c>
      <c r="P6193" s="6" t="s">
        <v>38007</v>
      </c>
      <c r="Q6193" s="6" t="s">
        <v>38008</v>
      </c>
      <c r="R6193" s="6" t="s">
        <v>31</v>
      </c>
      <c r="S6193" s="8" t="s">
        <v>38009</v>
      </c>
      <c r="T6193" s="6" t="s">
        <v>1034</v>
      </c>
      <c r="U6193" s="8" t="s">
        <v>31</v>
      </c>
      <c r="V6193" s="6" t="s">
        <v>38604</v>
      </c>
      <c r="W6193" s="6" t="s">
        <v>37994</v>
      </c>
      <c r="X6193" s="9" t="str">
        <f>HYPERLINK("https://my.pitchbook.com?p=390497-68P","View People Online")</f>
        <v>View People Online</v>
      </c>
    </row>
    <row r="6194">
      <c r="A6194" s="10" t="s">
        <v>38605</v>
      </c>
      <c r="B6194" s="10" t="s">
        <v>38606</v>
      </c>
      <c r="C6194" s="10" t="s">
        <v>19785</v>
      </c>
      <c r="D6194" s="10" t="s">
        <v>38607</v>
      </c>
      <c r="E6194" s="10" t="s">
        <v>37994</v>
      </c>
      <c r="F6194" s="10" t="s">
        <v>825</v>
      </c>
      <c r="G6194" s="10" t="s">
        <v>38608</v>
      </c>
      <c r="H6194" s="11">
        <v>2.0</v>
      </c>
      <c r="I6194" s="11">
        <v>14.0</v>
      </c>
      <c r="J6194" s="11">
        <v>1.0</v>
      </c>
      <c r="K6194" s="11">
        <v>9.0</v>
      </c>
      <c r="L6194" s="12" t="s">
        <v>38609</v>
      </c>
      <c r="M6194" s="10" t="s">
        <v>38610</v>
      </c>
      <c r="N6194" s="10" t="s">
        <v>13768</v>
      </c>
      <c r="O6194" s="12" t="s">
        <v>13769</v>
      </c>
      <c r="P6194" s="10" t="s">
        <v>38611</v>
      </c>
      <c r="Q6194" s="10" t="s">
        <v>38612</v>
      </c>
      <c r="R6194" s="10" t="s">
        <v>31</v>
      </c>
      <c r="S6194" s="12" t="s">
        <v>38613</v>
      </c>
      <c r="T6194" s="10" t="s">
        <v>13773</v>
      </c>
      <c r="U6194" s="12" t="s">
        <v>31</v>
      </c>
      <c r="V6194" s="10" t="s">
        <v>38614</v>
      </c>
      <c r="W6194" s="10" t="s">
        <v>37994</v>
      </c>
      <c r="X6194" s="13" t="str">
        <f>HYPERLINK("https://my.pitchbook.com?p=13637-98P","View People Online")</f>
        <v>View People Online</v>
      </c>
    </row>
    <row r="6195">
      <c r="A6195" s="14" t="s">
        <v>38615</v>
      </c>
      <c r="B6195" s="14" t="s">
        <v>38616</v>
      </c>
      <c r="C6195" s="14" t="s">
        <v>3427</v>
      </c>
      <c r="D6195" s="14" t="s">
        <v>857</v>
      </c>
      <c r="E6195" s="14" t="s">
        <v>37994</v>
      </c>
      <c r="F6195" s="14" t="s">
        <v>371</v>
      </c>
      <c r="G6195" s="14" t="s">
        <v>38617</v>
      </c>
      <c r="H6195" s="15" t="s">
        <v>31</v>
      </c>
      <c r="I6195" s="15">
        <v>1.0</v>
      </c>
      <c r="J6195" s="15">
        <v>1.0</v>
      </c>
      <c r="K6195" s="15" t="s">
        <v>31</v>
      </c>
      <c r="L6195" s="16" t="s">
        <v>38006</v>
      </c>
      <c r="M6195" s="14" t="s">
        <v>38618</v>
      </c>
      <c r="N6195" s="14" t="s">
        <v>1034</v>
      </c>
      <c r="O6195" s="16" t="s">
        <v>1035</v>
      </c>
      <c r="P6195" s="14" t="s">
        <v>38007</v>
      </c>
      <c r="Q6195" s="14" t="s">
        <v>38008</v>
      </c>
      <c r="R6195" s="14" t="s">
        <v>31</v>
      </c>
      <c r="S6195" s="16" t="s">
        <v>38009</v>
      </c>
      <c r="T6195" s="14" t="s">
        <v>1034</v>
      </c>
      <c r="U6195" s="16" t="s">
        <v>31</v>
      </c>
      <c r="V6195" s="14" t="s">
        <v>371</v>
      </c>
      <c r="W6195" s="14" t="s">
        <v>37994</v>
      </c>
      <c r="X6195" s="17" t="str">
        <f>HYPERLINK("https://my.pitchbook.com?p=399535-75P","View People Online")</f>
        <v>View People Online</v>
      </c>
    </row>
    <row r="6196">
      <c r="A6196" s="2" t="s">
        <v>38619</v>
      </c>
      <c r="B6196" s="2" t="s">
        <v>38620</v>
      </c>
      <c r="C6196" s="2" t="s">
        <v>38621</v>
      </c>
      <c r="D6196" s="2" t="s">
        <v>38622</v>
      </c>
      <c r="E6196" s="2" t="s">
        <v>37994</v>
      </c>
      <c r="F6196" s="2" t="s">
        <v>1283</v>
      </c>
      <c r="G6196" s="2" t="s">
        <v>38623</v>
      </c>
      <c r="H6196" s="3" t="s">
        <v>31</v>
      </c>
      <c r="I6196" s="3">
        <v>1.0</v>
      </c>
      <c r="J6196" s="3">
        <v>1.0</v>
      </c>
      <c r="K6196" s="3" t="s">
        <v>31</v>
      </c>
      <c r="L6196" s="4" t="s">
        <v>38006</v>
      </c>
      <c r="M6196" s="2" t="s">
        <v>38624</v>
      </c>
      <c r="N6196" s="2" t="s">
        <v>1034</v>
      </c>
      <c r="O6196" s="4" t="s">
        <v>1035</v>
      </c>
      <c r="P6196" s="2" t="s">
        <v>38007</v>
      </c>
      <c r="Q6196" s="2" t="s">
        <v>38008</v>
      </c>
      <c r="R6196" s="2" t="s">
        <v>31</v>
      </c>
      <c r="S6196" s="4" t="s">
        <v>38009</v>
      </c>
      <c r="T6196" s="2" t="s">
        <v>1034</v>
      </c>
      <c r="U6196" s="4" t="s">
        <v>31</v>
      </c>
      <c r="V6196" s="2" t="s">
        <v>38625</v>
      </c>
      <c r="W6196" s="2" t="s">
        <v>37994</v>
      </c>
      <c r="X6196" s="5" t="str">
        <f>HYPERLINK("https://my.pitchbook.com?p=390443-32P","View People Online")</f>
        <v>View People Online</v>
      </c>
    </row>
    <row r="6197">
      <c r="A6197" s="6" t="s">
        <v>38626</v>
      </c>
      <c r="B6197" s="6" t="s">
        <v>38627</v>
      </c>
      <c r="C6197" s="6" t="s">
        <v>38628</v>
      </c>
      <c r="D6197" s="6" t="s">
        <v>38132</v>
      </c>
      <c r="E6197" s="6" t="s">
        <v>37994</v>
      </c>
      <c r="F6197" s="6" t="s">
        <v>3823</v>
      </c>
      <c r="G6197" s="6" t="s">
        <v>38629</v>
      </c>
      <c r="H6197" s="7">
        <v>1.0</v>
      </c>
      <c r="I6197" s="7">
        <v>90.0</v>
      </c>
      <c r="J6197" s="7">
        <v>1.0</v>
      </c>
      <c r="K6197" s="7">
        <v>86.0</v>
      </c>
      <c r="L6197" s="8" t="s">
        <v>38006</v>
      </c>
      <c r="M6197" s="6" t="s">
        <v>38630</v>
      </c>
      <c r="N6197" s="6" t="s">
        <v>1034</v>
      </c>
      <c r="O6197" s="8" t="s">
        <v>1035</v>
      </c>
      <c r="P6197" s="6" t="s">
        <v>38007</v>
      </c>
      <c r="Q6197" s="6" t="s">
        <v>38008</v>
      </c>
      <c r="R6197" s="6" t="s">
        <v>31</v>
      </c>
      <c r="S6197" s="8" t="s">
        <v>38009</v>
      </c>
      <c r="T6197" s="6" t="s">
        <v>1034</v>
      </c>
      <c r="U6197" s="8" t="s">
        <v>31</v>
      </c>
      <c r="V6197" s="6" t="s">
        <v>38631</v>
      </c>
      <c r="W6197" s="6" t="s">
        <v>37994</v>
      </c>
      <c r="X6197" s="9" t="str">
        <f>HYPERLINK("https://my.pitchbook.com?p=95949-10P","View People Online")</f>
        <v>View People Online</v>
      </c>
    </row>
    <row r="6198">
      <c r="A6198" s="2" t="s">
        <v>38632</v>
      </c>
      <c r="B6198" s="2" t="s">
        <v>38633</v>
      </c>
      <c r="C6198" s="2" t="s">
        <v>38634</v>
      </c>
      <c r="D6198" s="2" t="s">
        <v>666</v>
      </c>
      <c r="E6198" s="2" t="s">
        <v>37994</v>
      </c>
      <c r="F6198" s="2" t="s">
        <v>38635</v>
      </c>
      <c r="G6198" s="2" t="s">
        <v>38636</v>
      </c>
      <c r="H6198" s="3" t="s">
        <v>31</v>
      </c>
      <c r="I6198" s="3">
        <v>1.0</v>
      </c>
      <c r="J6198" s="3">
        <v>1.0</v>
      </c>
      <c r="K6198" s="3" t="s">
        <v>31</v>
      </c>
      <c r="L6198" s="4" t="s">
        <v>38006</v>
      </c>
      <c r="M6198" s="2" t="s">
        <v>38637</v>
      </c>
      <c r="N6198" s="2" t="s">
        <v>1034</v>
      </c>
      <c r="O6198" s="4" t="s">
        <v>1035</v>
      </c>
      <c r="P6198" s="2" t="s">
        <v>38007</v>
      </c>
      <c r="Q6198" s="2" t="s">
        <v>38008</v>
      </c>
      <c r="R6198" s="2" t="s">
        <v>31</v>
      </c>
      <c r="S6198" s="4" t="s">
        <v>38009</v>
      </c>
      <c r="T6198" s="2" t="s">
        <v>1034</v>
      </c>
      <c r="U6198" s="4" t="s">
        <v>31</v>
      </c>
      <c r="V6198" s="2" t="s">
        <v>38638</v>
      </c>
      <c r="W6198" s="2" t="s">
        <v>37994</v>
      </c>
      <c r="X6198" s="5" t="str">
        <f>HYPERLINK("https://my.pitchbook.com?p=390469-33P","View People Online")</f>
        <v>View People Online</v>
      </c>
    </row>
    <row r="6199">
      <c r="A6199" s="14" t="s">
        <v>38639</v>
      </c>
      <c r="B6199" s="14" t="s">
        <v>38640</v>
      </c>
      <c r="C6199" s="14" t="s">
        <v>38641</v>
      </c>
      <c r="D6199" s="14" t="s">
        <v>38642</v>
      </c>
      <c r="E6199" s="14" t="s">
        <v>38643</v>
      </c>
      <c r="F6199" s="14" t="s">
        <v>38644</v>
      </c>
      <c r="G6199" s="14" t="s">
        <v>38645</v>
      </c>
      <c r="H6199" s="15" t="s">
        <v>31</v>
      </c>
      <c r="I6199" s="15">
        <v>2.0</v>
      </c>
      <c r="J6199" s="15">
        <v>1.0</v>
      </c>
      <c r="K6199" s="15" t="s">
        <v>31</v>
      </c>
      <c r="L6199" s="16" t="s">
        <v>38646</v>
      </c>
      <c r="M6199" s="14" t="s">
        <v>38647</v>
      </c>
      <c r="N6199" s="14" t="s">
        <v>665</v>
      </c>
      <c r="O6199" s="16" t="s">
        <v>3857</v>
      </c>
      <c r="P6199" s="14" t="s">
        <v>38648</v>
      </c>
      <c r="Q6199" s="14" t="s">
        <v>38649</v>
      </c>
      <c r="R6199" s="14" t="s">
        <v>1420</v>
      </c>
      <c r="S6199" s="16" t="s">
        <v>8300</v>
      </c>
      <c r="T6199" s="14" t="s">
        <v>66</v>
      </c>
      <c r="U6199" s="16" t="s">
        <v>31</v>
      </c>
      <c r="V6199" s="14" t="s">
        <v>38650</v>
      </c>
      <c r="W6199" s="14" t="s">
        <v>38643</v>
      </c>
      <c r="X6199" s="17" t="str">
        <f>HYPERLINK("https://my.pitchbook.com?p=158790-43P","View People Online")</f>
        <v>View People Online</v>
      </c>
    </row>
    <row r="6200">
      <c r="A6200" s="10" t="s">
        <v>38651</v>
      </c>
      <c r="B6200" s="10" t="s">
        <v>38652</v>
      </c>
      <c r="C6200" s="10" t="s">
        <v>4480</v>
      </c>
      <c r="D6200" s="10" t="s">
        <v>38653</v>
      </c>
      <c r="E6200" s="10" t="s">
        <v>38643</v>
      </c>
      <c r="F6200" s="10" t="s">
        <v>674</v>
      </c>
      <c r="G6200" s="10" t="s">
        <v>38654</v>
      </c>
      <c r="H6200" s="11">
        <v>2.0</v>
      </c>
      <c r="I6200" s="11">
        <v>30.0</v>
      </c>
      <c r="J6200" s="11">
        <v>2.0</v>
      </c>
      <c r="K6200" s="11">
        <v>16.0</v>
      </c>
      <c r="L6200" s="12" t="s">
        <v>38655</v>
      </c>
      <c r="M6200" s="10" t="s">
        <v>38656</v>
      </c>
      <c r="N6200" s="10" t="s">
        <v>665</v>
      </c>
      <c r="O6200" s="12" t="s">
        <v>3857</v>
      </c>
      <c r="P6200" s="10" t="s">
        <v>38648</v>
      </c>
      <c r="Q6200" s="10" t="s">
        <v>38649</v>
      </c>
      <c r="R6200" s="10" t="s">
        <v>1420</v>
      </c>
      <c r="S6200" s="12" t="s">
        <v>8300</v>
      </c>
      <c r="T6200" s="10" t="s">
        <v>66</v>
      </c>
      <c r="U6200" s="12" t="s">
        <v>31</v>
      </c>
      <c r="V6200" s="10" t="s">
        <v>1172</v>
      </c>
      <c r="W6200" s="10" t="s">
        <v>38643</v>
      </c>
      <c r="X6200" s="13" t="str">
        <f>HYPERLINK("https://my.pitchbook.com?p=14067-82P","View People Online")</f>
        <v>View People Online</v>
      </c>
    </row>
    <row r="6201">
      <c r="A6201" s="6" t="s">
        <v>38657</v>
      </c>
      <c r="B6201" s="6" t="s">
        <v>38658</v>
      </c>
      <c r="C6201" s="6" t="s">
        <v>38659</v>
      </c>
      <c r="D6201" s="6" t="s">
        <v>3041</v>
      </c>
      <c r="E6201" s="6" t="s">
        <v>38643</v>
      </c>
      <c r="F6201" s="6" t="s">
        <v>8217</v>
      </c>
      <c r="G6201" s="6" t="s">
        <v>38660</v>
      </c>
      <c r="H6201" s="7" t="s">
        <v>31</v>
      </c>
      <c r="I6201" s="7">
        <v>1.0</v>
      </c>
      <c r="J6201" s="7">
        <v>1.0</v>
      </c>
      <c r="K6201" s="7" t="s">
        <v>31</v>
      </c>
      <c r="L6201" s="8" t="s">
        <v>38661</v>
      </c>
      <c r="M6201" s="6" t="s">
        <v>38662</v>
      </c>
      <c r="N6201" s="6" t="s">
        <v>665</v>
      </c>
      <c r="O6201" s="8" t="s">
        <v>3857</v>
      </c>
      <c r="P6201" s="6" t="s">
        <v>38648</v>
      </c>
      <c r="Q6201" s="6" t="s">
        <v>38649</v>
      </c>
      <c r="R6201" s="6" t="s">
        <v>1420</v>
      </c>
      <c r="S6201" s="8" t="s">
        <v>8300</v>
      </c>
      <c r="T6201" s="6" t="s">
        <v>66</v>
      </c>
      <c r="U6201" s="8" t="s">
        <v>31</v>
      </c>
      <c r="V6201" s="6" t="s">
        <v>8217</v>
      </c>
      <c r="W6201" s="6" t="s">
        <v>38643</v>
      </c>
      <c r="X6201" s="9" t="str">
        <f>HYPERLINK("https://my.pitchbook.com?p=339306-22P","View People Online")</f>
        <v>View People Online</v>
      </c>
    </row>
    <row r="6202">
      <c r="A6202" s="2" t="s">
        <v>38663</v>
      </c>
      <c r="B6202" s="2" t="s">
        <v>38664</v>
      </c>
      <c r="C6202" s="2" t="s">
        <v>3722</v>
      </c>
      <c r="D6202" s="2" t="s">
        <v>38665</v>
      </c>
      <c r="E6202" s="2" t="s">
        <v>38643</v>
      </c>
      <c r="F6202" s="2" t="s">
        <v>674</v>
      </c>
      <c r="G6202" s="2" t="s">
        <v>38666</v>
      </c>
      <c r="H6202" s="3">
        <v>7.0</v>
      </c>
      <c r="I6202" s="3">
        <v>28.0</v>
      </c>
      <c r="J6202" s="3">
        <v>2.0</v>
      </c>
      <c r="K6202" s="3">
        <v>14.0</v>
      </c>
      <c r="L6202" s="4" t="s">
        <v>38667</v>
      </c>
      <c r="M6202" s="2" t="s">
        <v>38668</v>
      </c>
      <c r="N6202" s="2" t="s">
        <v>665</v>
      </c>
      <c r="O6202" s="4" t="s">
        <v>3857</v>
      </c>
      <c r="P6202" s="2" t="s">
        <v>38648</v>
      </c>
      <c r="Q6202" s="2" t="s">
        <v>38649</v>
      </c>
      <c r="R6202" s="2" t="s">
        <v>1420</v>
      </c>
      <c r="S6202" s="4" t="s">
        <v>8300</v>
      </c>
      <c r="T6202" s="2" t="s">
        <v>66</v>
      </c>
      <c r="U6202" s="4" t="s">
        <v>31</v>
      </c>
      <c r="V6202" s="2" t="s">
        <v>1172</v>
      </c>
      <c r="W6202" s="2" t="s">
        <v>38643</v>
      </c>
      <c r="X6202" s="5" t="str">
        <f>HYPERLINK("https://my.pitchbook.com?p=86889-16P","View People Online")</f>
        <v>View People Online</v>
      </c>
    </row>
    <row r="6203">
      <c r="A6203" s="14" t="s">
        <v>38669</v>
      </c>
      <c r="B6203" s="14" t="s">
        <v>38670</v>
      </c>
      <c r="C6203" s="14" t="s">
        <v>2483</v>
      </c>
      <c r="D6203" s="14" t="s">
        <v>38671</v>
      </c>
      <c r="E6203" s="14" t="s">
        <v>38643</v>
      </c>
      <c r="F6203" s="14" t="s">
        <v>6567</v>
      </c>
      <c r="G6203" s="14" t="s">
        <v>38672</v>
      </c>
      <c r="H6203" s="15" t="s">
        <v>31</v>
      </c>
      <c r="I6203" s="15">
        <v>1.0</v>
      </c>
      <c r="J6203" s="15">
        <v>1.0</v>
      </c>
      <c r="K6203" s="15" t="s">
        <v>31</v>
      </c>
      <c r="L6203" s="16" t="s">
        <v>38661</v>
      </c>
      <c r="M6203" s="14" t="s">
        <v>38673</v>
      </c>
      <c r="N6203" s="14" t="s">
        <v>665</v>
      </c>
      <c r="O6203" s="16" t="s">
        <v>3857</v>
      </c>
      <c r="P6203" s="14" t="s">
        <v>38648</v>
      </c>
      <c r="Q6203" s="14" t="s">
        <v>38649</v>
      </c>
      <c r="R6203" s="14" t="s">
        <v>1420</v>
      </c>
      <c r="S6203" s="16" t="s">
        <v>8300</v>
      </c>
      <c r="T6203" s="14" t="s">
        <v>66</v>
      </c>
      <c r="U6203" s="16" t="s">
        <v>31</v>
      </c>
      <c r="V6203" s="14" t="s">
        <v>6567</v>
      </c>
      <c r="W6203" s="14" t="s">
        <v>38643</v>
      </c>
      <c r="X6203" s="17" t="str">
        <f>HYPERLINK("https://my.pitchbook.com?p=339305-68P","View People Online")</f>
        <v>View People Online</v>
      </c>
    </row>
    <row r="6204">
      <c r="A6204" s="2" t="s">
        <v>38674</v>
      </c>
      <c r="B6204" s="2" t="s">
        <v>38675</v>
      </c>
      <c r="C6204" s="2" t="s">
        <v>38676</v>
      </c>
      <c r="D6204" s="2" t="s">
        <v>732</v>
      </c>
      <c r="E6204" s="2" t="s">
        <v>38677</v>
      </c>
      <c r="F6204" s="2" t="s">
        <v>318</v>
      </c>
      <c r="G6204" s="2" t="s">
        <v>38678</v>
      </c>
      <c r="H6204" s="3" t="s">
        <v>31</v>
      </c>
      <c r="I6204" s="3">
        <v>3.0</v>
      </c>
      <c r="J6204" s="3">
        <v>1.0</v>
      </c>
      <c r="K6204" s="3">
        <v>1.0</v>
      </c>
      <c r="L6204" s="4" t="s">
        <v>31</v>
      </c>
      <c r="M6204" s="2" t="s">
        <v>38679</v>
      </c>
      <c r="N6204" s="2" t="s">
        <v>775</v>
      </c>
      <c r="O6204" s="4" t="s">
        <v>776</v>
      </c>
      <c r="P6204" s="2" t="s">
        <v>31</v>
      </c>
      <c r="Q6204" s="2" t="s">
        <v>31</v>
      </c>
      <c r="R6204" s="2" t="s">
        <v>64</v>
      </c>
      <c r="S6204" s="4" t="s">
        <v>31</v>
      </c>
      <c r="T6204" s="2" t="s">
        <v>66</v>
      </c>
      <c r="U6204" s="4" t="s">
        <v>31</v>
      </c>
      <c r="V6204" s="2" t="s">
        <v>318</v>
      </c>
      <c r="W6204" s="2" t="s">
        <v>38677</v>
      </c>
      <c r="X6204" s="5" t="str">
        <f>HYPERLINK("https://my.pitchbook.com?p=159882-13P","View People Online")</f>
        <v>View People Online</v>
      </c>
    </row>
    <row r="6205">
      <c r="A6205" s="6" t="s">
        <v>38680</v>
      </c>
      <c r="B6205" s="6" t="s">
        <v>38681</v>
      </c>
      <c r="C6205" s="6" t="s">
        <v>1489</v>
      </c>
      <c r="D6205" s="6" t="s">
        <v>3671</v>
      </c>
      <c r="E6205" s="6" t="s">
        <v>38677</v>
      </c>
      <c r="F6205" s="6" t="s">
        <v>270</v>
      </c>
      <c r="G6205" s="6" t="s">
        <v>38682</v>
      </c>
      <c r="H6205" s="7" t="s">
        <v>31</v>
      </c>
      <c r="I6205" s="7">
        <v>1.0</v>
      </c>
      <c r="J6205" s="7">
        <v>1.0</v>
      </c>
      <c r="K6205" s="7" t="s">
        <v>31</v>
      </c>
      <c r="L6205" s="8" t="s">
        <v>31</v>
      </c>
      <c r="M6205" s="6" t="s">
        <v>31</v>
      </c>
      <c r="N6205" s="6" t="s">
        <v>775</v>
      </c>
      <c r="O6205" s="8" t="s">
        <v>776</v>
      </c>
      <c r="P6205" s="6" t="s">
        <v>31</v>
      </c>
      <c r="Q6205" s="6" t="s">
        <v>31</v>
      </c>
      <c r="R6205" s="6" t="s">
        <v>64</v>
      </c>
      <c r="S6205" s="8" t="s">
        <v>31</v>
      </c>
      <c r="T6205" s="6" t="s">
        <v>66</v>
      </c>
      <c r="U6205" s="8" t="s">
        <v>31</v>
      </c>
      <c r="V6205" s="6" t="s">
        <v>440</v>
      </c>
      <c r="W6205" s="6" t="s">
        <v>38677</v>
      </c>
      <c r="X6205" s="9" t="str">
        <f>HYPERLINK("https://my.pitchbook.com?p=420524-29P","View People Online")</f>
        <v>View People Online</v>
      </c>
    </row>
    <row r="6206">
      <c r="A6206" s="10" t="s">
        <v>38683</v>
      </c>
      <c r="B6206" s="10" t="s">
        <v>38684</v>
      </c>
      <c r="C6206" s="10" t="s">
        <v>38685</v>
      </c>
      <c r="D6206" s="10" t="s">
        <v>38686</v>
      </c>
      <c r="E6206" s="10" t="s">
        <v>38677</v>
      </c>
      <c r="F6206" s="10" t="s">
        <v>825</v>
      </c>
      <c r="G6206" s="10" t="s">
        <v>38687</v>
      </c>
      <c r="H6206" s="11" t="s">
        <v>31</v>
      </c>
      <c r="I6206" s="11">
        <v>1.0</v>
      </c>
      <c r="J6206" s="11">
        <v>1.0</v>
      </c>
      <c r="K6206" s="11" t="s">
        <v>31</v>
      </c>
      <c r="L6206" s="12" t="s">
        <v>38688</v>
      </c>
      <c r="M6206" s="10" t="s">
        <v>38689</v>
      </c>
      <c r="N6206" s="10" t="s">
        <v>775</v>
      </c>
      <c r="O6206" s="12" t="s">
        <v>776</v>
      </c>
      <c r="P6206" s="10" t="s">
        <v>31</v>
      </c>
      <c r="Q6206" s="10" t="s">
        <v>31</v>
      </c>
      <c r="R6206" s="10" t="s">
        <v>64</v>
      </c>
      <c r="S6206" s="12" t="s">
        <v>31</v>
      </c>
      <c r="T6206" s="10" t="s">
        <v>66</v>
      </c>
      <c r="U6206" s="12" t="s">
        <v>31</v>
      </c>
      <c r="V6206" s="10" t="s">
        <v>38690</v>
      </c>
      <c r="W6206" s="10" t="s">
        <v>38677</v>
      </c>
      <c r="X6206" s="13" t="str">
        <f>HYPERLINK("https://my.pitchbook.com?p=406769-32P","View People Online")</f>
        <v>View People Online</v>
      </c>
    </row>
    <row r="6207">
      <c r="A6207" s="6" t="s">
        <v>38691</v>
      </c>
      <c r="B6207" s="6" t="s">
        <v>38692</v>
      </c>
      <c r="C6207" s="6" t="s">
        <v>126</v>
      </c>
      <c r="D6207" s="6" t="s">
        <v>38693</v>
      </c>
      <c r="E6207" s="6" t="s">
        <v>38677</v>
      </c>
      <c r="F6207" s="6" t="s">
        <v>189</v>
      </c>
      <c r="G6207" s="6" t="s">
        <v>38694</v>
      </c>
      <c r="H6207" s="7" t="s">
        <v>31</v>
      </c>
      <c r="I6207" s="7">
        <v>13.0</v>
      </c>
      <c r="J6207" s="7">
        <v>2.0</v>
      </c>
      <c r="K6207" s="7">
        <v>10.0</v>
      </c>
      <c r="L6207" s="8" t="s">
        <v>31</v>
      </c>
      <c r="M6207" s="6" t="s">
        <v>38695</v>
      </c>
      <c r="N6207" s="6" t="s">
        <v>775</v>
      </c>
      <c r="O6207" s="8" t="s">
        <v>776</v>
      </c>
      <c r="P6207" s="6" t="s">
        <v>31</v>
      </c>
      <c r="Q6207" s="6" t="s">
        <v>31</v>
      </c>
      <c r="R6207" s="6" t="s">
        <v>64</v>
      </c>
      <c r="S6207" s="8" t="s">
        <v>31</v>
      </c>
      <c r="T6207" s="6" t="s">
        <v>66</v>
      </c>
      <c r="U6207" s="8" t="s">
        <v>31</v>
      </c>
      <c r="V6207" s="6" t="s">
        <v>38696</v>
      </c>
      <c r="W6207" s="6" t="s">
        <v>38697</v>
      </c>
      <c r="X6207" s="9" t="str">
        <f>HYPERLINK("https://my.pitchbook.com?p=55413-82P","View People Online")</f>
        <v>View People Online</v>
      </c>
    </row>
    <row r="6208">
      <c r="A6208" s="2" t="s">
        <v>38698</v>
      </c>
      <c r="B6208" s="2" t="s">
        <v>38699</v>
      </c>
      <c r="C6208" s="2" t="s">
        <v>7262</v>
      </c>
      <c r="D6208" s="2" t="s">
        <v>38700</v>
      </c>
      <c r="E6208" s="2" t="s">
        <v>38677</v>
      </c>
      <c r="F6208" s="2" t="s">
        <v>29</v>
      </c>
      <c r="G6208" s="2" t="s">
        <v>38701</v>
      </c>
      <c r="H6208" s="3" t="s">
        <v>31</v>
      </c>
      <c r="I6208" s="3">
        <v>2.0</v>
      </c>
      <c r="J6208" s="3">
        <v>1.0</v>
      </c>
      <c r="K6208" s="3">
        <v>1.0</v>
      </c>
      <c r="L6208" s="4" t="s">
        <v>31</v>
      </c>
      <c r="M6208" s="2" t="s">
        <v>38702</v>
      </c>
      <c r="N6208" s="2" t="s">
        <v>775</v>
      </c>
      <c r="O6208" s="4" t="s">
        <v>776</v>
      </c>
      <c r="P6208" s="2" t="s">
        <v>31</v>
      </c>
      <c r="Q6208" s="2" t="s">
        <v>31</v>
      </c>
      <c r="R6208" s="2" t="s">
        <v>64</v>
      </c>
      <c r="S6208" s="4" t="s">
        <v>31</v>
      </c>
      <c r="T6208" s="2" t="s">
        <v>66</v>
      </c>
      <c r="U6208" s="4" t="s">
        <v>31</v>
      </c>
      <c r="V6208" s="2" t="s">
        <v>29</v>
      </c>
      <c r="W6208" s="2" t="s">
        <v>38677</v>
      </c>
      <c r="X6208" s="5" t="str">
        <f>HYPERLINK("https://my.pitchbook.com?p=347659-39P","View People Online")</f>
        <v>View People Online</v>
      </c>
    </row>
    <row r="6209">
      <c r="A6209" s="14" t="s">
        <v>38703</v>
      </c>
      <c r="B6209" s="14" t="s">
        <v>38704</v>
      </c>
      <c r="C6209" s="14" t="s">
        <v>38705</v>
      </c>
      <c r="D6209" s="14" t="s">
        <v>38706</v>
      </c>
      <c r="E6209" s="14" t="s">
        <v>38707</v>
      </c>
      <c r="F6209" s="14" t="s">
        <v>1283</v>
      </c>
      <c r="G6209" s="14" t="s">
        <v>38708</v>
      </c>
      <c r="H6209" s="15" t="s">
        <v>31</v>
      </c>
      <c r="I6209" s="15">
        <v>4.0</v>
      </c>
      <c r="J6209" s="15">
        <v>2.0</v>
      </c>
      <c r="K6209" s="15">
        <v>2.0</v>
      </c>
      <c r="L6209" s="16" t="s">
        <v>38709</v>
      </c>
      <c r="M6209" s="14" t="s">
        <v>31</v>
      </c>
      <c r="N6209" s="14" t="s">
        <v>34</v>
      </c>
      <c r="O6209" s="16" t="s">
        <v>35</v>
      </c>
      <c r="P6209" s="14" t="s">
        <v>38710</v>
      </c>
      <c r="Q6209" s="14" t="s">
        <v>31</v>
      </c>
      <c r="R6209" s="14" t="s">
        <v>31</v>
      </c>
      <c r="S6209" s="16" t="s">
        <v>38711</v>
      </c>
      <c r="T6209" s="14" t="s">
        <v>38</v>
      </c>
      <c r="U6209" s="16" t="s">
        <v>31</v>
      </c>
      <c r="V6209" s="14" t="s">
        <v>1283</v>
      </c>
      <c r="W6209" s="14" t="s">
        <v>38707</v>
      </c>
      <c r="X6209" s="17" t="str">
        <f>HYPERLINK("https://my.pitchbook.com?p=289476-37P","View People Online")</f>
        <v>View People Online</v>
      </c>
    </row>
    <row r="6210">
      <c r="A6210" s="2" t="s">
        <v>38712</v>
      </c>
      <c r="B6210" s="2" t="s">
        <v>38713</v>
      </c>
      <c r="C6210" s="2" t="s">
        <v>2729</v>
      </c>
      <c r="D6210" s="2" t="s">
        <v>38714</v>
      </c>
      <c r="E6210" s="2" t="s">
        <v>38707</v>
      </c>
      <c r="F6210" s="2" t="s">
        <v>29</v>
      </c>
      <c r="G6210" s="2" t="s">
        <v>38715</v>
      </c>
      <c r="H6210" s="3">
        <v>5.0</v>
      </c>
      <c r="I6210" s="3">
        <v>12.0</v>
      </c>
      <c r="J6210" s="3">
        <v>1.0</v>
      </c>
      <c r="K6210" s="3">
        <v>4.0</v>
      </c>
      <c r="L6210" s="4" t="s">
        <v>38716</v>
      </c>
      <c r="M6210" s="2" t="s">
        <v>38717</v>
      </c>
      <c r="N6210" s="2" t="s">
        <v>34</v>
      </c>
      <c r="O6210" s="4" t="s">
        <v>35</v>
      </c>
      <c r="P6210" s="2" t="s">
        <v>38710</v>
      </c>
      <c r="Q6210" s="2" t="s">
        <v>31</v>
      </c>
      <c r="R6210" s="2" t="s">
        <v>31</v>
      </c>
      <c r="S6210" s="4" t="s">
        <v>38711</v>
      </c>
      <c r="T6210" s="2" t="s">
        <v>38</v>
      </c>
      <c r="U6210" s="4" t="s">
        <v>31</v>
      </c>
      <c r="V6210" s="2" t="s">
        <v>29</v>
      </c>
      <c r="W6210" s="2" t="s">
        <v>38707</v>
      </c>
      <c r="X6210" s="5" t="str">
        <f>HYPERLINK("https://my.pitchbook.com?p=121414-33P","View People Online")</f>
        <v>View People Online</v>
      </c>
    </row>
    <row r="6211">
      <c r="A6211" s="14" t="s">
        <v>38718</v>
      </c>
      <c r="B6211" s="14" t="s">
        <v>38719</v>
      </c>
      <c r="C6211" s="14" t="s">
        <v>1449</v>
      </c>
      <c r="D6211" s="14" t="s">
        <v>38720</v>
      </c>
      <c r="E6211" s="14" t="s">
        <v>38707</v>
      </c>
      <c r="F6211" s="14" t="s">
        <v>29</v>
      </c>
      <c r="G6211" s="14" t="s">
        <v>38721</v>
      </c>
      <c r="H6211" s="15">
        <v>3.0</v>
      </c>
      <c r="I6211" s="15">
        <v>15.0</v>
      </c>
      <c r="J6211" s="15">
        <v>1.0</v>
      </c>
      <c r="K6211" s="15">
        <v>10.0</v>
      </c>
      <c r="L6211" s="16" t="s">
        <v>31</v>
      </c>
      <c r="M6211" s="14" t="s">
        <v>38722</v>
      </c>
      <c r="N6211" s="14" t="s">
        <v>429</v>
      </c>
      <c r="O6211" s="16" t="s">
        <v>430</v>
      </c>
      <c r="P6211" s="14" t="s">
        <v>31</v>
      </c>
      <c r="Q6211" s="14" t="s">
        <v>31</v>
      </c>
      <c r="R6211" s="14" t="s">
        <v>31</v>
      </c>
      <c r="S6211" s="16" t="s">
        <v>10831</v>
      </c>
      <c r="T6211" s="14" t="s">
        <v>433</v>
      </c>
      <c r="U6211" s="16" t="s">
        <v>31</v>
      </c>
      <c r="V6211" s="14" t="s">
        <v>29</v>
      </c>
      <c r="W6211" s="14" t="s">
        <v>38707</v>
      </c>
      <c r="X6211" s="17" t="str">
        <f>HYPERLINK("https://my.pitchbook.com?p=230347-54P","View People Online")</f>
        <v>View People Online</v>
      </c>
    </row>
    <row r="6212">
      <c r="A6212" s="10" t="s">
        <v>38723</v>
      </c>
      <c r="B6212" s="10" t="s">
        <v>38724</v>
      </c>
      <c r="C6212" s="10" t="s">
        <v>24140</v>
      </c>
      <c r="D6212" s="10" t="s">
        <v>24658</v>
      </c>
      <c r="E6212" s="10" t="s">
        <v>38707</v>
      </c>
      <c r="F6212" s="10" t="s">
        <v>29</v>
      </c>
      <c r="G6212" s="10" t="s">
        <v>38725</v>
      </c>
      <c r="H6212" s="11">
        <v>7.0</v>
      </c>
      <c r="I6212" s="11">
        <v>209.0</v>
      </c>
      <c r="J6212" s="11">
        <v>2.0</v>
      </c>
      <c r="K6212" s="11">
        <v>197.0</v>
      </c>
      <c r="L6212" s="12" t="s">
        <v>31</v>
      </c>
      <c r="M6212" s="10" t="s">
        <v>38726</v>
      </c>
      <c r="N6212" s="10" t="s">
        <v>38727</v>
      </c>
      <c r="O6212" s="12" t="s">
        <v>38728</v>
      </c>
      <c r="P6212" s="10" t="s">
        <v>38729</v>
      </c>
      <c r="Q6212" s="10" t="s">
        <v>31</v>
      </c>
      <c r="R6212" s="10" t="s">
        <v>31</v>
      </c>
      <c r="S6212" s="12" t="s">
        <v>38730</v>
      </c>
      <c r="T6212" s="10" t="s">
        <v>29849</v>
      </c>
      <c r="U6212" s="12" t="s">
        <v>31</v>
      </c>
      <c r="V6212" s="10" t="s">
        <v>5518</v>
      </c>
      <c r="W6212" s="10" t="s">
        <v>38731</v>
      </c>
      <c r="X6212" s="13" t="str">
        <f>HYPERLINK("https://my.pitchbook.com?p=199909-63P","View People Online")</f>
        <v>View People Online</v>
      </c>
    </row>
    <row r="6213">
      <c r="A6213" s="6" t="s">
        <v>38732</v>
      </c>
      <c r="B6213" s="6" t="s">
        <v>38733</v>
      </c>
      <c r="C6213" s="6" t="s">
        <v>38734</v>
      </c>
      <c r="D6213" s="6" t="s">
        <v>38735</v>
      </c>
      <c r="E6213" s="6" t="s">
        <v>38707</v>
      </c>
      <c r="F6213" s="6" t="s">
        <v>29</v>
      </c>
      <c r="G6213" s="6" t="s">
        <v>38736</v>
      </c>
      <c r="H6213" s="7">
        <v>2.0</v>
      </c>
      <c r="I6213" s="7">
        <v>11.0</v>
      </c>
      <c r="J6213" s="7">
        <v>1.0</v>
      </c>
      <c r="K6213" s="7">
        <v>7.0</v>
      </c>
      <c r="L6213" s="8" t="s">
        <v>31</v>
      </c>
      <c r="M6213" s="6" t="s">
        <v>38737</v>
      </c>
      <c r="N6213" s="6" t="s">
        <v>13768</v>
      </c>
      <c r="O6213" s="8" t="s">
        <v>13769</v>
      </c>
      <c r="P6213" s="6" t="s">
        <v>31</v>
      </c>
      <c r="Q6213" s="6" t="s">
        <v>31</v>
      </c>
      <c r="R6213" s="6" t="s">
        <v>31</v>
      </c>
      <c r="S6213" s="8" t="s">
        <v>38738</v>
      </c>
      <c r="T6213" s="6" t="s">
        <v>13773</v>
      </c>
      <c r="U6213" s="8" t="s">
        <v>31</v>
      </c>
      <c r="V6213" s="6" t="s">
        <v>29</v>
      </c>
      <c r="W6213" s="6" t="s">
        <v>38707</v>
      </c>
      <c r="X6213" s="9" t="str">
        <f>HYPERLINK("https://my.pitchbook.com?p=211690-00P","View People Online")</f>
        <v>View People Online</v>
      </c>
    </row>
    <row r="6214">
      <c r="A6214" s="10" t="s">
        <v>38739</v>
      </c>
      <c r="B6214" s="10" t="s">
        <v>38740</v>
      </c>
      <c r="C6214" s="10" t="s">
        <v>1502</v>
      </c>
      <c r="D6214" s="10" t="s">
        <v>38741</v>
      </c>
      <c r="E6214" s="10" t="s">
        <v>38707</v>
      </c>
      <c r="F6214" s="10" t="s">
        <v>30133</v>
      </c>
      <c r="G6214" s="10" t="s">
        <v>38742</v>
      </c>
      <c r="H6214" s="11" t="s">
        <v>31</v>
      </c>
      <c r="I6214" s="11">
        <v>2.0</v>
      </c>
      <c r="J6214" s="11">
        <v>1.0</v>
      </c>
      <c r="K6214" s="11">
        <v>1.0</v>
      </c>
      <c r="L6214" s="12" t="s">
        <v>38709</v>
      </c>
      <c r="M6214" s="10" t="s">
        <v>38743</v>
      </c>
      <c r="N6214" s="10" t="s">
        <v>34</v>
      </c>
      <c r="O6214" s="12" t="s">
        <v>35</v>
      </c>
      <c r="P6214" s="10" t="s">
        <v>38710</v>
      </c>
      <c r="Q6214" s="10" t="s">
        <v>31</v>
      </c>
      <c r="R6214" s="10" t="s">
        <v>31</v>
      </c>
      <c r="S6214" s="12" t="s">
        <v>38711</v>
      </c>
      <c r="T6214" s="10" t="s">
        <v>38</v>
      </c>
      <c r="U6214" s="12" t="s">
        <v>31</v>
      </c>
      <c r="V6214" s="10" t="s">
        <v>13755</v>
      </c>
      <c r="W6214" s="10" t="s">
        <v>38707</v>
      </c>
      <c r="X6214" s="13" t="str">
        <f>HYPERLINK("https://my.pitchbook.com?p=40147-03P","View People Online")</f>
        <v>View People Online</v>
      </c>
    </row>
    <row r="6215">
      <c r="A6215" s="14" t="s">
        <v>38744</v>
      </c>
      <c r="B6215" s="14" t="s">
        <v>38745</v>
      </c>
      <c r="C6215" s="14" t="s">
        <v>3221</v>
      </c>
      <c r="D6215" s="14" t="s">
        <v>38741</v>
      </c>
      <c r="E6215" s="14" t="s">
        <v>38707</v>
      </c>
      <c r="F6215" s="14" t="s">
        <v>1730</v>
      </c>
      <c r="G6215" s="14" t="s">
        <v>38746</v>
      </c>
      <c r="H6215" s="15" t="s">
        <v>31</v>
      </c>
      <c r="I6215" s="15">
        <v>54.0</v>
      </c>
      <c r="J6215" s="15">
        <v>3.0</v>
      </c>
      <c r="K6215" s="15">
        <v>49.0</v>
      </c>
      <c r="L6215" s="16" t="s">
        <v>38709</v>
      </c>
      <c r="M6215" s="14" t="s">
        <v>38747</v>
      </c>
      <c r="N6215" s="14" t="s">
        <v>34</v>
      </c>
      <c r="O6215" s="16" t="s">
        <v>35</v>
      </c>
      <c r="P6215" s="14" t="s">
        <v>38710</v>
      </c>
      <c r="Q6215" s="14" t="s">
        <v>31</v>
      </c>
      <c r="R6215" s="14" t="s">
        <v>31</v>
      </c>
      <c r="S6215" s="16" t="s">
        <v>38711</v>
      </c>
      <c r="T6215" s="14" t="s">
        <v>38</v>
      </c>
      <c r="U6215" s="16" t="s">
        <v>31</v>
      </c>
      <c r="V6215" s="14" t="s">
        <v>29568</v>
      </c>
      <c r="W6215" s="14" t="s">
        <v>38707</v>
      </c>
      <c r="X6215" s="17" t="str">
        <f>HYPERLINK("https://my.pitchbook.com?p=33288-94P","View People Online")</f>
        <v>View People Online</v>
      </c>
    </row>
    <row r="6216">
      <c r="A6216" s="2" t="s">
        <v>38748</v>
      </c>
      <c r="B6216" s="2" t="s">
        <v>38749</v>
      </c>
      <c r="C6216" s="2" t="s">
        <v>38750</v>
      </c>
      <c r="D6216" s="2" t="s">
        <v>38751</v>
      </c>
      <c r="E6216" s="2" t="s">
        <v>38752</v>
      </c>
      <c r="F6216" s="2" t="s">
        <v>57</v>
      </c>
      <c r="G6216" s="2" t="s">
        <v>38753</v>
      </c>
      <c r="H6216" s="3">
        <v>3.0</v>
      </c>
      <c r="I6216" s="3">
        <v>19.0</v>
      </c>
      <c r="J6216" s="3">
        <v>1.0</v>
      </c>
      <c r="K6216" s="3">
        <v>11.0</v>
      </c>
      <c r="L6216" s="4" t="s">
        <v>38754</v>
      </c>
      <c r="M6216" s="2" t="s">
        <v>38755</v>
      </c>
      <c r="N6216" s="2" t="s">
        <v>1292</v>
      </c>
      <c r="O6216" s="4" t="s">
        <v>1293</v>
      </c>
      <c r="P6216" s="2" t="s">
        <v>1294</v>
      </c>
      <c r="Q6216" s="2" t="s">
        <v>3486</v>
      </c>
      <c r="R6216" s="2" t="s">
        <v>64</v>
      </c>
      <c r="S6216" s="4" t="s">
        <v>1296</v>
      </c>
      <c r="T6216" s="2" t="s">
        <v>66</v>
      </c>
      <c r="U6216" s="4" t="s">
        <v>31</v>
      </c>
      <c r="V6216" s="2" t="s">
        <v>57</v>
      </c>
      <c r="W6216" s="2" t="s">
        <v>38752</v>
      </c>
      <c r="X6216" s="5" t="str">
        <f>HYPERLINK("https://my.pitchbook.com?p=66968-83P","View People Online")</f>
        <v>View People Online</v>
      </c>
    </row>
    <row r="6217">
      <c r="A6217" s="14" t="s">
        <v>38756</v>
      </c>
      <c r="B6217" s="14" t="s">
        <v>38757</v>
      </c>
      <c r="C6217" s="14" t="s">
        <v>5219</v>
      </c>
      <c r="D6217" s="14" t="s">
        <v>28504</v>
      </c>
      <c r="E6217" s="14" t="s">
        <v>38752</v>
      </c>
      <c r="F6217" s="14" t="s">
        <v>57</v>
      </c>
      <c r="G6217" s="14" t="s">
        <v>38758</v>
      </c>
      <c r="H6217" s="15">
        <v>2.0</v>
      </c>
      <c r="I6217" s="15">
        <v>16.0</v>
      </c>
      <c r="J6217" s="15">
        <v>1.0</v>
      </c>
      <c r="K6217" s="15">
        <v>8.0</v>
      </c>
      <c r="L6217" s="16" t="s">
        <v>38759</v>
      </c>
      <c r="M6217" s="14" t="s">
        <v>38760</v>
      </c>
      <c r="N6217" s="14" t="s">
        <v>1292</v>
      </c>
      <c r="O6217" s="16" t="s">
        <v>1293</v>
      </c>
      <c r="P6217" s="14" t="s">
        <v>1294</v>
      </c>
      <c r="Q6217" s="14" t="s">
        <v>3486</v>
      </c>
      <c r="R6217" s="14" t="s">
        <v>64</v>
      </c>
      <c r="S6217" s="16" t="s">
        <v>1296</v>
      </c>
      <c r="T6217" s="14" t="s">
        <v>66</v>
      </c>
      <c r="U6217" s="16" t="s">
        <v>31</v>
      </c>
      <c r="V6217" s="14" t="s">
        <v>57</v>
      </c>
      <c r="W6217" s="14" t="s">
        <v>38752</v>
      </c>
      <c r="X6217" s="17" t="str">
        <f>HYPERLINK("https://my.pitchbook.com?p=131044-69P","View People Online")</f>
        <v>View People Online</v>
      </c>
    </row>
    <row r="6218">
      <c r="A6218" s="10" t="s">
        <v>38761</v>
      </c>
      <c r="B6218" s="10" t="s">
        <v>38762</v>
      </c>
      <c r="C6218" s="10" t="s">
        <v>22289</v>
      </c>
      <c r="D6218" s="10" t="s">
        <v>38763</v>
      </c>
      <c r="E6218" s="10" t="s">
        <v>38752</v>
      </c>
      <c r="F6218" s="10" t="s">
        <v>57</v>
      </c>
      <c r="G6218" s="10" t="s">
        <v>38764</v>
      </c>
      <c r="H6218" s="11">
        <v>6.0</v>
      </c>
      <c r="I6218" s="11">
        <v>68.0</v>
      </c>
      <c r="J6218" s="11">
        <v>1.0</v>
      </c>
      <c r="K6218" s="11">
        <v>54.0</v>
      </c>
      <c r="L6218" s="12" t="s">
        <v>38754</v>
      </c>
      <c r="M6218" s="10" t="s">
        <v>38765</v>
      </c>
      <c r="N6218" s="10" t="s">
        <v>1292</v>
      </c>
      <c r="O6218" s="12" t="s">
        <v>1293</v>
      </c>
      <c r="P6218" s="10" t="s">
        <v>1294</v>
      </c>
      <c r="Q6218" s="10" t="s">
        <v>3486</v>
      </c>
      <c r="R6218" s="10" t="s">
        <v>64</v>
      </c>
      <c r="S6218" s="12" t="s">
        <v>1296</v>
      </c>
      <c r="T6218" s="10" t="s">
        <v>66</v>
      </c>
      <c r="U6218" s="12" t="s">
        <v>31</v>
      </c>
      <c r="V6218" s="10" t="s">
        <v>57</v>
      </c>
      <c r="W6218" s="10" t="s">
        <v>38752</v>
      </c>
      <c r="X6218" s="13" t="str">
        <f>HYPERLINK("https://my.pitchbook.com?p=35493-31P","View People Online")</f>
        <v>View People Online</v>
      </c>
    </row>
    <row r="6219">
      <c r="A6219" s="14" t="s">
        <v>38766</v>
      </c>
      <c r="B6219" s="14" t="s">
        <v>38767</v>
      </c>
      <c r="C6219" s="14" t="s">
        <v>3023</v>
      </c>
      <c r="D6219" s="14" t="s">
        <v>17269</v>
      </c>
      <c r="E6219" s="14" t="s">
        <v>38768</v>
      </c>
      <c r="F6219" s="14" t="s">
        <v>825</v>
      </c>
      <c r="G6219" s="14" t="s">
        <v>38769</v>
      </c>
      <c r="H6219" s="15" t="s">
        <v>31</v>
      </c>
      <c r="I6219" s="15">
        <v>2.0</v>
      </c>
      <c r="J6219" s="15">
        <v>2.0</v>
      </c>
      <c r="K6219" s="15" t="s">
        <v>31</v>
      </c>
      <c r="L6219" s="16" t="s">
        <v>38770</v>
      </c>
      <c r="M6219" s="14" t="s">
        <v>38771</v>
      </c>
      <c r="N6219" s="14" t="s">
        <v>34</v>
      </c>
      <c r="O6219" s="16" t="s">
        <v>35</v>
      </c>
      <c r="P6219" s="14" t="s">
        <v>38772</v>
      </c>
      <c r="Q6219" s="14" t="s">
        <v>31</v>
      </c>
      <c r="R6219" s="14" t="s">
        <v>31</v>
      </c>
      <c r="S6219" s="16" t="s">
        <v>38773</v>
      </c>
      <c r="T6219" s="14" t="s">
        <v>38</v>
      </c>
      <c r="U6219" s="16" t="s">
        <v>31</v>
      </c>
      <c r="V6219" s="14" t="s">
        <v>23631</v>
      </c>
      <c r="W6219" s="14" t="s">
        <v>38768</v>
      </c>
      <c r="X6219" s="17" t="str">
        <f>HYPERLINK("https://my.pitchbook.com?p=345927-88P","View People Online")</f>
        <v>View People Online</v>
      </c>
    </row>
    <row r="6220">
      <c r="A6220" s="10" t="s">
        <v>38774</v>
      </c>
      <c r="B6220" s="10" t="s">
        <v>38775</v>
      </c>
      <c r="C6220" s="10" t="s">
        <v>38776</v>
      </c>
      <c r="D6220" s="10" t="s">
        <v>38777</v>
      </c>
      <c r="E6220" s="10" t="s">
        <v>38768</v>
      </c>
      <c r="F6220" s="10" t="s">
        <v>4527</v>
      </c>
      <c r="G6220" s="10" t="s">
        <v>38778</v>
      </c>
      <c r="H6220" s="11">
        <v>4.0</v>
      </c>
      <c r="I6220" s="11">
        <v>60.0</v>
      </c>
      <c r="J6220" s="11">
        <v>6.0</v>
      </c>
      <c r="K6220" s="11">
        <v>52.0</v>
      </c>
      <c r="L6220" s="12" t="s">
        <v>38779</v>
      </c>
      <c r="M6220" s="10" t="s">
        <v>38780</v>
      </c>
      <c r="N6220" s="10" t="s">
        <v>2273</v>
      </c>
      <c r="O6220" s="12" t="s">
        <v>2274</v>
      </c>
      <c r="P6220" s="10" t="s">
        <v>38781</v>
      </c>
      <c r="Q6220" s="10" t="s">
        <v>38782</v>
      </c>
      <c r="R6220" s="10" t="s">
        <v>31</v>
      </c>
      <c r="S6220" s="12" t="s">
        <v>38783</v>
      </c>
      <c r="T6220" s="10" t="s">
        <v>2278</v>
      </c>
      <c r="U6220" s="12" t="s">
        <v>31</v>
      </c>
      <c r="V6220" s="10" t="s">
        <v>152</v>
      </c>
      <c r="W6220" s="10" t="s">
        <v>38784</v>
      </c>
      <c r="X6220" s="13" t="str">
        <f>HYPERLINK("https://my.pitchbook.com?p=162313-03P","View People Online")</f>
        <v>View People Online</v>
      </c>
    </row>
    <row r="6221">
      <c r="A6221" s="14" t="s">
        <v>38785</v>
      </c>
      <c r="B6221" s="14" t="s">
        <v>38786</v>
      </c>
      <c r="C6221" s="14" t="s">
        <v>38787</v>
      </c>
      <c r="D6221" s="14" t="s">
        <v>38788</v>
      </c>
      <c r="E6221" s="14" t="s">
        <v>38768</v>
      </c>
      <c r="F6221" s="14" t="s">
        <v>825</v>
      </c>
      <c r="G6221" s="14" t="s">
        <v>38789</v>
      </c>
      <c r="H6221" s="15" t="s">
        <v>31</v>
      </c>
      <c r="I6221" s="15">
        <v>1.0</v>
      </c>
      <c r="J6221" s="15">
        <v>1.0</v>
      </c>
      <c r="K6221" s="15" t="s">
        <v>31</v>
      </c>
      <c r="L6221" s="16" t="s">
        <v>31</v>
      </c>
      <c r="M6221" s="14" t="s">
        <v>38790</v>
      </c>
      <c r="N6221" s="14" t="s">
        <v>34</v>
      </c>
      <c r="O6221" s="16" t="s">
        <v>35</v>
      </c>
      <c r="P6221" s="14" t="s">
        <v>38772</v>
      </c>
      <c r="Q6221" s="14" t="s">
        <v>31</v>
      </c>
      <c r="R6221" s="14" t="s">
        <v>31</v>
      </c>
      <c r="S6221" s="16" t="s">
        <v>38773</v>
      </c>
      <c r="T6221" s="14" t="s">
        <v>38</v>
      </c>
      <c r="U6221" s="16" t="s">
        <v>31</v>
      </c>
      <c r="V6221" s="14" t="s">
        <v>23631</v>
      </c>
      <c r="W6221" s="14" t="s">
        <v>38768</v>
      </c>
      <c r="X6221" s="17" t="str">
        <f>HYPERLINK("https://my.pitchbook.com?p=405032-50P","View People Online")</f>
        <v>View People Online</v>
      </c>
    </row>
    <row r="6222">
      <c r="A6222" s="10" t="s">
        <v>38791</v>
      </c>
      <c r="B6222" s="10" t="s">
        <v>38792</v>
      </c>
      <c r="C6222" s="10" t="s">
        <v>23135</v>
      </c>
      <c r="D6222" s="10" t="s">
        <v>38793</v>
      </c>
      <c r="E6222" s="10" t="s">
        <v>38768</v>
      </c>
      <c r="F6222" s="10" t="s">
        <v>38794</v>
      </c>
      <c r="G6222" s="10" t="s">
        <v>38795</v>
      </c>
      <c r="H6222" s="11" t="s">
        <v>31</v>
      </c>
      <c r="I6222" s="11">
        <v>3.0</v>
      </c>
      <c r="J6222" s="11">
        <v>2.0</v>
      </c>
      <c r="K6222" s="11">
        <v>1.0</v>
      </c>
      <c r="L6222" s="12" t="s">
        <v>31</v>
      </c>
      <c r="M6222" s="10" t="s">
        <v>38796</v>
      </c>
      <c r="N6222" s="10" t="s">
        <v>34</v>
      </c>
      <c r="O6222" s="12" t="s">
        <v>35</v>
      </c>
      <c r="P6222" s="10" t="s">
        <v>38772</v>
      </c>
      <c r="Q6222" s="10" t="s">
        <v>31</v>
      </c>
      <c r="R6222" s="10" t="s">
        <v>31</v>
      </c>
      <c r="S6222" s="12" t="s">
        <v>38773</v>
      </c>
      <c r="T6222" s="10" t="s">
        <v>38</v>
      </c>
      <c r="U6222" s="12" t="s">
        <v>31</v>
      </c>
      <c r="V6222" s="10" t="s">
        <v>6970</v>
      </c>
      <c r="W6222" s="10" t="s">
        <v>38768</v>
      </c>
      <c r="X6222" s="13" t="str">
        <f>HYPERLINK("https://my.pitchbook.com?p=218350-63P","View People Online")</f>
        <v>View People Online</v>
      </c>
    </row>
    <row r="6223">
      <c r="A6223" s="14" t="s">
        <v>38797</v>
      </c>
      <c r="B6223" s="14" t="s">
        <v>38798</v>
      </c>
      <c r="C6223" s="14" t="s">
        <v>25734</v>
      </c>
      <c r="D6223" s="14" t="s">
        <v>38799</v>
      </c>
      <c r="E6223" s="14" t="s">
        <v>29311</v>
      </c>
      <c r="F6223" s="14" t="s">
        <v>270</v>
      </c>
      <c r="G6223" s="14" t="s">
        <v>38800</v>
      </c>
      <c r="H6223" s="15" t="s">
        <v>31</v>
      </c>
      <c r="I6223" s="15">
        <v>1.0</v>
      </c>
      <c r="J6223" s="15">
        <v>1.0</v>
      </c>
      <c r="K6223" s="15" t="s">
        <v>31</v>
      </c>
      <c r="L6223" s="16" t="s">
        <v>38801</v>
      </c>
      <c r="M6223" s="14" t="s">
        <v>31</v>
      </c>
      <c r="N6223" s="14" t="s">
        <v>29307</v>
      </c>
      <c r="O6223" s="16" t="s">
        <v>29308</v>
      </c>
      <c r="P6223" s="14" t="s">
        <v>29309</v>
      </c>
      <c r="Q6223" s="14" t="s">
        <v>31</v>
      </c>
      <c r="R6223" s="14" t="s">
        <v>75</v>
      </c>
      <c r="S6223" s="16" t="s">
        <v>29310</v>
      </c>
      <c r="T6223" s="14" t="s">
        <v>66</v>
      </c>
      <c r="U6223" s="16" t="s">
        <v>31</v>
      </c>
      <c r="V6223" s="14" t="s">
        <v>38802</v>
      </c>
      <c r="W6223" s="14" t="s">
        <v>29311</v>
      </c>
      <c r="X6223" s="17" t="str">
        <f>HYPERLINK("https://my.pitchbook.com?p=265280-23P","View People Online")</f>
        <v>View People Online</v>
      </c>
    </row>
    <row r="6224">
      <c r="A6224" s="2" t="s">
        <v>38803</v>
      </c>
      <c r="B6224" s="2" t="s">
        <v>38804</v>
      </c>
      <c r="C6224" s="2" t="s">
        <v>3934</v>
      </c>
      <c r="D6224" s="2" t="s">
        <v>35562</v>
      </c>
      <c r="E6224" s="2" t="s">
        <v>29311</v>
      </c>
      <c r="F6224" s="2" t="s">
        <v>548</v>
      </c>
      <c r="G6224" s="2" t="s">
        <v>38805</v>
      </c>
      <c r="H6224" s="3" t="s">
        <v>31</v>
      </c>
      <c r="I6224" s="3">
        <v>6.0</v>
      </c>
      <c r="J6224" s="3">
        <v>2.0</v>
      </c>
      <c r="K6224" s="3" t="s">
        <v>31</v>
      </c>
      <c r="L6224" s="4" t="s">
        <v>38801</v>
      </c>
      <c r="M6224" s="2" t="s">
        <v>31</v>
      </c>
      <c r="N6224" s="2" t="s">
        <v>75</v>
      </c>
      <c r="O6224" s="4" t="s">
        <v>76</v>
      </c>
      <c r="P6224" s="2" t="s">
        <v>38806</v>
      </c>
      <c r="Q6224" s="2" t="s">
        <v>6831</v>
      </c>
      <c r="R6224" s="2" t="s">
        <v>75</v>
      </c>
      <c r="S6224" s="4" t="s">
        <v>1432</v>
      </c>
      <c r="T6224" s="2" t="s">
        <v>66</v>
      </c>
      <c r="U6224" s="4" t="s">
        <v>31</v>
      </c>
      <c r="V6224" s="2" t="s">
        <v>834</v>
      </c>
      <c r="W6224" s="2" t="s">
        <v>38807</v>
      </c>
      <c r="X6224" s="5" t="str">
        <f>HYPERLINK("https://my.pitchbook.com?p=205501-78P","View People Online")</f>
        <v>View People Online</v>
      </c>
    </row>
    <row r="6225">
      <c r="A6225" s="14" t="s">
        <v>38808</v>
      </c>
      <c r="B6225" s="14" t="s">
        <v>38809</v>
      </c>
      <c r="C6225" s="14" t="s">
        <v>38810</v>
      </c>
      <c r="D6225" s="14" t="s">
        <v>4692</v>
      </c>
      <c r="E6225" s="14" t="s">
        <v>29311</v>
      </c>
      <c r="F6225" s="14" t="s">
        <v>270</v>
      </c>
      <c r="G6225" s="14" t="s">
        <v>38811</v>
      </c>
      <c r="H6225" s="15" t="s">
        <v>31</v>
      </c>
      <c r="I6225" s="15">
        <v>1.0</v>
      </c>
      <c r="J6225" s="15">
        <v>1.0</v>
      </c>
      <c r="K6225" s="15" t="s">
        <v>31</v>
      </c>
      <c r="L6225" s="16" t="s">
        <v>38801</v>
      </c>
      <c r="M6225" s="14" t="s">
        <v>31</v>
      </c>
      <c r="N6225" s="14" t="s">
        <v>29307</v>
      </c>
      <c r="O6225" s="16" t="s">
        <v>29308</v>
      </c>
      <c r="P6225" s="14" t="s">
        <v>29309</v>
      </c>
      <c r="Q6225" s="14" t="s">
        <v>31</v>
      </c>
      <c r="R6225" s="14" t="s">
        <v>75</v>
      </c>
      <c r="S6225" s="16" t="s">
        <v>29310</v>
      </c>
      <c r="T6225" s="14" t="s">
        <v>66</v>
      </c>
      <c r="U6225" s="16" t="s">
        <v>31</v>
      </c>
      <c r="V6225" s="14" t="s">
        <v>38812</v>
      </c>
      <c r="W6225" s="14" t="s">
        <v>29311</v>
      </c>
      <c r="X6225" s="17" t="str">
        <f>HYPERLINK("https://my.pitchbook.com?p=84210-94P","View People Online")</f>
        <v>View People Online</v>
      </c>
    </row>
    <row r="6226">
      <c r="A6226" s="10" t="s">
        <v>38813</v>
      </c>
      <c r="B6226" s="10" t="s">
        <v>38814</v>
      </c>
      <c r="C6226" s="10" t="s">
        <v>27913</v>
      </c>
      <c r="D6226" s="10" t="s">
        <v>38815</v>
      </c>
      <c r="E6226" s="10" t="s">
        <v>29311</v>
      </c>
      <c r="F6226" s="10" t="s">
        <v>8581</v>
      </c>
      <c r="G6226" s="10" t="s">
        <v>38816</v>
      </c>
      <c r="H6226" s="11" t="s">
        <v>31</v>
      </c>
      <c r="I6226" s="11">
        <v>3.0</v>
      </c>
      <c r="J6226" s="11">
        <v>1.0</v>
      </c>
      <c r="K6226" s="11">
        <v>1.0</v>
      </c>
      <c r="L6226" s="12" t="s">
        <v>38817</v>
      </c>
      <c r="M6226" s="10" t="s">
        <v>31</v>
      </c>
      <c r="N6226" s="10" t="s">
        <v>29307</v>
      </c>
      <c r="O6226" s="12" t="s">
        <v>29308</v>
      </c>
      <c r="P6226" s="10" t="s">
        <v>29309</v>
      </c>
      <c r="Q6226" s="10" t="s">
        <v>31</v>
      </c>
      <c r="R6226" s="10" t="s">
        <v>75</v>
      </c>
      <c r="S6226" s="12" t="s">
        <v>29310</v>
      </c>
      <c r="T6226" s="10" t="s">
        <v>66</v>
      </c>
      <c r="U6226" s="12" t="s">
        <v>31</v>
      </c>
      <c r="V6226" s="10" t="s">
        <v>38818</v>
      </c>
      <c r="W6226" s="10" t="s">
        <v>29311</v>
      </c>
      <c r="X6226" s="13" t="str">
        <f>HYPERLINK("https://my.pitchbook.com?p=39580-03P","View People Online")</f>
        <v>View People Online</v>
      </c>
    </row>
    <row r="6227">
      <c r="A6227" s="6" t="s">
        <v>38819</v>
      </c>
      <c r="B6227" s="6" t="s">
        <v>38820</v>
      </c>
      <c r="C6227" s="6" t="s">
        <v>38821</v>
      </c>
      <c r="D6227" s="6" t="s">
        <v>3275</v>
      </c>
      <c r="E6227" s="6" t="s">
        <v>29311</v>
      </c>
      <c r="F6227" s="6" t="s">
        <v>270</v>
      </c>
      <c r="G6227" s="6" t="s">
        <v>38822</v>
      </c>
      <c r="H6227" s="7" t="s">
        <v>31</v>
      </c>
      <c r="I6227" s="7">
        <v>1.0</v>
      </c>
      <c r="J6227" s="7">
        <v>1.0</v>
      </c>
      <c r="K6227" s="7" t="s">
        <v>31</v>
      </c>
      <c r="L6227" s="8" t="s">
        <v>38801</v>
      </c>
      <c r="M6227" s="6" t="s">
        <v>31</v>
      </c>
      <c r="N6227" s="6" t="s">
        <v>29307</v>
      </c>
      <c r="O6227" s="8" t="s">
        <v>29308</v>
      </c>
      <c r="P6227" s="6" t="s">
        <v>29309</v>
      </c>
      <c r="Q6227" s="6" t="s">
        <v>31</v>
      </c>
      <c r="R6227" s="6" t="s">
        <v>75</v>
      </c>
      <c r="S6227" s="8" t="s">
        <v>29310</v>
      </c>
      <c r="T6227" s="6" t="s">
        <v>66</v>
      </c>
      <c r="U6227" s="8" t="s">
        <v>31</v>
      </c>
      <c r="V6227" s="6" t="s">
        <v>38823</v>
      </c>
      <c r="W6227" s="6" t="s">
        <v>29311</v>
      </c>
      <c r="X6227" s="9" t="str">
        <f>HYPERLINK("https://my.pitchbook.com?p=338841-91P","View People Online")</f>
        <v>View People Online</v>
      </c>
    </row>
    <row r="6228">
      <c r="A6228" s="10" t="s">
        <v>38824</v>
      </c>
      <c r="B6228" s="10" t="s">
        <v>38825</v>
      </c>
      <c r="C6228" s="10" t="s">
        <v>6606</v>
      </c>
      <c r="D6228" s="10" t="s">
        <v>21428</v>
      </c>
      <c r="E6228" s="10" t="s">
        <v>29311</v>
      </c>
      <c r="F6228" s="10" t="s">
        <v>1283</v>
      </c>
      <c r="G6228" s="10" t="s">
        <v>38826</v>
      </c>
      <c r="H6228" s="11" t="s">
        <v>31</v>
      </c>
      <c r="I6228" s="11">
        <v>3.0</v>
      </c>
      <c r="J6228" s="11">
        <v>1.0</v>
      </c>
      <c r="K6228" s="11">
        <v>1.0</v>
      </c>
      <c r="L6228" s="12" t="s">
        <v>38801</v>
      </c>
      <c r="M6228" s="10" t="s">
        <v>38827</v>
      </c>
      <c r="N6228" s="10" t="s">
        <v>29307</v>
      </c>
      <c r="O6228" s="12" t="s">
        <v>29308</v>
      </c>
      <c r="P6228" s="10" t="s">
        <v>29309</v>
      </c>
      <c r="Q6228" s="10" t="s">
        <v>31</v>
      </c>
      <c r="R6228" s="10" t="s">
        <v>75</v>
      </c>
      <c r="S6228" s="12" t="s">
        <v>29310</v>
      </c>
      <c r="T6228" s="10" t="s">
        <v>66</v>
      </c>
      <c r="U6228" s="12" t="s">
        <v>31</v>
      </c>
      <c r="V6228" s="10" t="s">
        <v>1283</v>
      </c>
      <c r="W6228" s="10" t="s">
        <v>29311</v>
      </c>
      <c r="X6228" s="13" t="str">
        <f>HYPERLINK("https://my.pitchbook.com?p=141557-41P","View People Online")</f>
        <v>View People Online</v>
      </c>
    </row>
    <row r="6229">
      <c r="A6229" s="14" t="s">
        <v>38828</v>
      </c>
      <c r="B6229" s="14" t="s">
        <v>38829</v>
      </c>
      <c r="C6229" s="14" t="s">
        <v>10936</v>
      </c>
      <c r="D6229" s="14" t="s">
        <v>38830</v>
      </c>
      <c r="E6229" s="14" t="s">
        <v>29311</v>
      </c>
      <c r="F6229" s="14" t="s">
        <v>8581</v>
      </c>
      <c r="G6229" s="14" t="s">
        <v>38831</v>
      </c>
      <c r="H6229" s="15">
        <v>1.0</v>
      </c>
      <c r="I6229" s="15">
        <v>7.0</v>
      </c>
      <c r="J6229" s="15">
        <v>1.0</v>
      </c>
      <c r="K6229" s="15">
        <v>2.0</v>
      </c>
      <c r="L6229" s="16" t="s">
        <v>38801</v>
      </c>
      <c r="M6229" s="14" t="s">
        <v>38832</v>
      </c>
      <c r="N6229" s="14" t="s">
        <v>29307</v>
      </c>
      <c r="O6229" s="16" t="s">
        <v>29308</v>
      </c>
      <c r="P6229" s="14" t="s">
        <v>29309</v>
      </c>
      <c r="Q6229" s="14" t="s">
        <v>31</v>
      </c>
      <c r="R6229" s="14" t="s">
        <v>75</v>
      </c>
      <c r="S6229" s="16" t="s">
        <v>29310</v>
      </c>
      <c r="T6229" s="14" t="s">
        <v>66</v>
      </c>
      <c r="U6229" s="16" t="s">
        <v>31</v>
      </c>
      <c r="V6229" s="14" t="s">
        <v>38833</v>
      </c>
      <c r="W6229" s="14" t="s">
        <v>29311</v>
      </c>
      <c r="X6229" s="17" t="str">
        <f>HYPERLINK("https://my.pitchbook.com?p=46488-79P","View People Online")</f>
        <v>View People Online</v>
      </c>
    </row>
    <row r="6230">
      <c r="A6230" s="2" t="s">
        <v>38834</v>
      </c>
      <c r="B6230" s="2" t="s">
        <v>38835</v>
      </c>
      <c r="C6230" s="2" t="s">
        <v>30376</v>
      </c>
      <c r="D6230" s="2" t="s">
        <v>38836</v>
      </c>
      <c r="E6230" s="2" t="s">
        <v>29311</v>
      </c>
      <c r="F6230" s="2" t="s">
        <v>8581</v>
      </c>
      <c r="G6230" s="2" t="s">
        <v>38837</v>
      </c>
      <c r="H6230" s="3" t="s">
        <v>31</v>
      </c>
      <c r="I6230" s="3">
        <v>1.0</v>
      </c>
      <c r="J6230" s="3">
        <v>1.0</v>
      </c>
      <c r="K6230" s="3" t="s">
        <v>31</v>
      </c>
      <c r="L6230" s="4" t="s">
        <v>38838</v>
      </c>
      <c r="M6230" s="2" t="s">
        <v>38839</v>
      </c>
      <c r="N6230" s="2" t="s">
        <v>29307</v>
      </c>
      <c r="O6230" s="4" t="s">
        <v>29308</v>
      </c>
      <c r="P6230" s="2" t="s">
        <v>29309</v>
      </c>
      <c r="Q6230" s="2" t="s">
        <v>31</v>
      </c>
      <c r="R6230" s="2" t="s">
        <v>75</v>
      </c>
      <c r="S6230" s="4" t="s">
        <v>29310</v>
      </c>
      <c r="T6230" s="2" t="s">
        <v>66</v>
      </c>
      <c r="U6230" s="4" t="s">
        <v>31</v>
      </c>
      <c r="V6230" s="2" t="s">
        <v>38840</v>
      </c>
      <c r="W6230" s="2" t="s">
        <v>29311</v>
      </c>
      <c r="X6230" s="5" t="str">
        <f>HYPERLINK("https://my.pitchbook.com?p=169110-28P","View People Online")</f>
        <v>View People Online</v>
      </c>
    </row>
    <row r="6231">
      <c r="A6231" s="14" t="s">
        <v>38841</v>
      </c>
      <c r="B6231" s="14" t="s">
        <v>38842</v>
      </c>
      <c r="C6231" s="14" t="s">
        <v>1449</v>
      </c>
      <c r="D6231" s="14" t="s">
        <v>38843</v>
      </c>
      <c r="E6231" s="14" t="s">
        <v>29311</v>
      </c>
      <c r="F6231" s="14" t="s">
        <v>32663</v>
      </c>
      <c r="G6231" s="14" t="s">
        <v>38844</v>
      </c>
      <c r="H6231" s="15" t="s">
        <v>31</v>
      </c>
      <c r="I6231" s="15">
        <v>1.0</v>
      </c>
      <c r="J6231" s="15">
        <v>1.0</v>
      </c>
      <c r="K6231" s="15" t="s">
        <v>31</v>
      </c>
      <c r="L6231" s="16" t="s">
        <v>38845</v>
      </c>
      <c r="M6231" s="14" t="s">
        <v>31</v>
      </c>
      <c r="N6231" s="14" t="s">
        <v>29307</v>
      </c>
      <c r="O6231" s="16" t="s">
        <v>29308</v>
      </c>
      <c r="P6231" s="14" t="s">
        <v>29309</v>
      </c>
      <c r="Q6231" s="14" t="s">
        <v>31</v>
      </c>
      <c r="R6231" s="14" t="s">
        <v>75</v>
      </c>
      <c r="S6231" s="16" t="s">
        <v>29310</v>
      </c>
      <c r="T6231" s="14" t="s">
        <v>66</v>
      </c>
      <c r="U6231" s="16" t="s">
        <v>31</v>
      </c>
      <c r="V6231" s="14" t="s">
        <v>38846</v>
      </c>
      <c r="W6231" s="14" t="s">
        <v>29311</v>
      </c>
      <c r="X6231" s="17" t="str">
        <f>HYPERLINK("https://my.pitchbook.com?p=181226-62P","View People Online")</f>
        <v>View People Online</v>
      </c>
    </row>
    <row r="6232">
      <c r="A6232" s="10" t="s">
        <v>38847</v>
      </c>
      <c r="B6232" s="10" t="s">
        <v>38848</v>
      </c>
      <c r="C6232" s="10" t="s">
        <v>38849</v>
      </c>
      <c r="D6232" s="10" t="s">
        <v>38850</v>
      </c>
      <c r="E6232" s="10" t="s">
        <v>29311</v>
      </c>
      <c r="F6232" s="10" t="s">
        <v>270</v>
      </c>
      <c r="G6232" s="10" t="s">
        <v>38851</v>
      </c>
      <c r="H6232" s="11">
        <v>1.0</v>
      </c>
      <c r="I6232" s="11">
        <v>13.0</v>
      </c>
      <c r="J6232" s="11">
        <v>3.0</v>
      </c>
      <c r="K6232" s="11">
        <v>5.0</v>
      </c>
      <c r="L6232" s="12" t="s">
        <v>38852</v>
      </c>
      <c r="M6232" s="10" t="s">
        <v>38853</v>
      </c>
      <c r="N6232" s="10" t="s">
        <v>75</v>
      </c>
      <c r="O6232" s="12" t="s">
        <v>76</v>
      </c>
      <c r="P6232" s="10" t="s">
        <v>38806</v>
      </c>
      <c r="Q6232" s="10" t="s">
        <v>6831</v>
      </c>
      <c r="R6232" s="10" t="s">
        <v>75</v>
      </c>
      <c r="S6232" s="12" t="s">
        <v>1432</v>
      </c>
      <c r="T6232" s="10" t="s">
        <v>66</v>
      </c>
      <c r="U6232" s="12" t="s">
        <v>31</v>
      </c>
      <c r="V6232" s="10" t="s">
        <v>43</v>
      </c>
      <c r="W6232" s="10" t="s">
        <v>38807</v>
      </c>
      <c r="X6232" s="13" t="str">
        <f>HYPERLINK("https://my.pitchbook.com?p=66494-44P","View People Online")</f>
        <v>View People Online</v>
      </c>
    </row>
    <row r="6233">
      <c r="A6233" s="14" t="s">
        <v>38854</v>
      </c>
      <c r="B6233" s="14" t="s">
        <v>38855</v>
      </c>
      <c r="C6233" s="14" t="s">
        <v>7464</v>
      </c>
      <c r="D6233" s="14" t="s">
        <v>11612</v>
      </c>
      <c r="E6233" s="14" t="s">
        <v>29311</v>
      </c>
      <c r="F6233" s="14" t="s">
        <v>1237</v>
      </c>
      <c r="G6233" s="14" t="s">
        <v>38856</v>
      </c>
      <c r="H6233" s="15">
        <v>1.0</v>
      </c>
      <c r="I6233" s="15">
        <v>1.0</v>
      </c>
      <c r="J6233" s="15">
        <v>1.0</v>
      </c>
      <c r="K6233" s="15" t="s">
        <v>31</v>
      </c>
      <c r="L6233" s="16" t="s">
        <v>38801</v>
      </c>
      <c r="M6233" s="14" t="s">
        <v>31</v>
      </c>
      <c r="N6233" s="14" t="s">
        <v>29307</v>
      </c>
      <c r="O6233" s="16" t="s">
        <v>29308</v>
      </c>
      <c r="P6233" s="14" t="s">
        <v>29309</v>
      </c>
      <c r="Q6233" s="14" t="s">
        <v>31</v>
      </c>
      <c r="R6233" s="14" t="s">
        <v>75</v>
      </c>
      <c r="S6233" s="16" t="s">
        <v>29310</v>
      </c>
      <c r="T6233" s="14" t="s">
        <v>66</v>
      </c>
      <c r="U6233" s="16" t="s">
        <v>31</v>
      </c>
      <c r="V6233" s="14" t="s">
        <v>38857</v>
      </c>
      <c r="W6233" s="14" t="s">
        <v>29311</v>
      </c>
      <c r="X6233" s="17" t="str">
        <f>HYPERLINK("https://my.pitchbook.com?p=315644-23P","View People Online")</f>
        <v>View People Online</v>
      </c>
    </row>
    <row r="6234">
      <c r="A6234" s="2" t="s">
        <v>38858</v>
      </c>
      <c r="B6234" s="2" t="s">
        <v>38859</v>
      </c>
      <c r="C6234" s="2" t="s">
        <v>8698</v>
      </c>
      <c r="D6234" s="2" t="s">
        <v>38860</v>
      </c>
      <c r="E6234" s="2" t="s">
        <v>29311</v>
      </c>
      <c r="F6234" s="2" t="s">
        <v>8581</v>
      </c>
      <c r="G6234" s="2" t="s">
        <v>38861</v>
      </c>
      <c r="H6234" s="3" t="s">
        <v>31</v>
      </c>
      <c r="I6234" s="3">
        <v>1.0</v>
      </c>
      <c r="J6234" s="3">
        <v>1.0</v>
      </c>
      <c r="K6234" s="3" t="s">
        <v>31</v>
      </c>
      <c r="L6234" s="4" t="s">
        <v>38801</v>
      </c>
      <c r="M6234" s="2" t="s">
        <v>38862</v>
      </c>
      <c r="N6234" s="2" t="s">
        <v>29307</v>
      </c>
      <c r="O6234" s="4" t="s">
        <v>29308</v>
      </c>
      <c r="P6234" s="2" t="s">
        <v>29309</v>
      </c>
      <c r="Q6234" s="2" t="s">
        <v>31</v>
      </c>
      <c r="R6234" s="2" t="s">
        <v>75</v>
      </c>
      <c r="S6234" s="4" t="s">
        <v>29310</v>
      </c>
      <c r="T6234" s="2" t="s">
        <v>66</v>
      </c>
      <c r="U6234" s="4" t="s">
        <v>31</v>
      </c>
      <c r="V6234" s="2" t="s">
        <v>38863</v>
      </c>
      <c r="W6234" s="2" t="s">
        <v>29311</v>
      </c>
      <c r="X6234" s="5" t="str">
        <f>HYPERLINK("https://my.pitchbook.com?p=338843-89P","View People Online")</f>
        <v>View People Online</v>
      </c>
    </row>
    <row r="6235">
      <c r="A6235" s="14" t="s">
        <v>38864</v>
      </c>
      <c r="B6235" s="14" t="s">
        <v>38865</v>
      </c>
      <c r="C6235" s="14" t="s">
        <v>323</v>
      </c>
      <c r="D6235" s="14" t="s">
        <v>38866</v>
      </c>
      <c r="E6235" s="14" t="s">
        <v>29311</v>
      </c>
      <c r="F6235" s="14" t="s">
        <v>1283</v>
      </c>
      <c r="G6235" s="14" t="s">
        <v>38867</v>
      </c>
      <c r="H6235" s="15" t="s">
        <v>31</v>
      </c>
      <c r="I6235" s="15">
        <v>3.0</v>
      </c>
      <c r="J6235" s="15">
        <v>1.0</v>
      </c>
      <c r="K6235" s="15">
        <v>1.0</v>
      </c>
      <c r="L6235" s="16" t="s">
        <v>38801</v>
      </c>
      <c r="M6235" s="14" t="s">
        <v>38868</v>
      </c>
      <c r="N6235" s="14" t="s">
        <v>29307</v>
      </c>
      <c r="O6235" s="16" t="s">
        <v>29308</v>
      </c>
      <c r="P6235" s="14" t="s">
        <v>29309</v>
      </c>
      <c r="Q6235" s="14" t="s">
        <v>31</v>
      </c>
      <c r="R6235" s="14" t="s">
        <v>75</v>
      </c>
      <c r="S6235" s="16" t="s">
        <v>29310</v>
      </c>
      <c r="T6235" s="14" t="s">
        <v>66</v>
      </c>
      <c r="U6235" s="16" t="s">
        <v>31</v>
      </c>
      <c r="V6235" s="14" t="s">
        <v>38869</v>
      </c>
      <c r="W6235" s="14" t="s">
        <v>29311</v>
      </c>
      <c r="X6235" s="17" t="str">
        <f>HYPERLINK("https://my.pitchbook.com?p=164642-23P","View People Online")</f>
        <v>View People Online</v>
      </c>
    </row>
    <row r="6236">
      <c r="A6236" s="10" t="s">
        <v>29303</v>
      </c>
      <c r="B6236" s="10" t="s">
        <v>29304</v>
      </c>
      <c r="C6236" s="10" t="s">
        <v>24756</v>
      </c>
      <c r="D6236" s="10" t="s">
        <v>5140</v>
      </c>
      <c r="E6236" s="10" t="s">
        <v>29311</v>
      </c>
      <c r="F6236" s="10" t="s">
        <v>1283</v>
      </c>
      <c r="G6236" s="10" t="s">
        <v>29305</v>
      </c>
      <c r="H6236" s="11">
        <v>1.0</v>
      </c>
      <c r="I6236" s="11">
        <v>13.0</v>
      </c>
      <c r="J6236" s="11">
        <v>2.0</v>
      </c>
      <c r="K6236" s="11">
        <v>7.0</v>
      </c>
      <c r="L6236" s="12" t="s">
        <v>29306</v>
      </c>
      <c r="M6236" s="10" t="s">
        <v>31</v>
      </c>
      <c r="N6236" s="10" t="s">
        <v>29307</v>
      </c>
      <c r="O6236" s="12" t="s">
        <v>29308</v>
      </c>
      <c r="P6236" s="10" t="s">
        <v>29309</v>
      </c>
      <c r="Q6236" s="10" t="s">
        <v>31</v>
      </c>
      <c r="R6236" s="10" t="s">
        <v>75</v>
      </c>
      <c r="S6236" s="12" t="s">
        <v>29310</v>
      </c>
      <c r="T6236" s="10" t="s">
        <v>66</v>
      </c>
      <c r="U6236" s="12" t="s">
        <v>31</v>
      </c>
      <c r="V6236" s="10" t="s">
        <v>1283</v>
      </c>
      <c r="W6236" s="10" t="s">
        <v>29311</v>
      </c>
      <c r="X6236" s="13" t="str">
        <f>HYPERLINK("https://my.pitchbook.com?p=51483-07P","View People Online")</f>
        <v>View People Online</v>
      </c>
    </row>
    <row r="6237">
      <c r="A6237" s="6" t="s">
        <v>38870</v>
      </c>
      <c r="B6237" s="6" t="s">
        <v>38871</v>
      </c>
      <c r="C6237" s="6" t="s">
        <v>26104</v>
      </c>
      <c r="D6237" s="6" t="s">
        <v>38872</v>
      </c>
      <c r="E6237" s="6" t="s">
        <v>29311</v>
      </c>
      <c r="F6237" s="6" t="s">
        <v>8581</v>
      </c>
      <c r="G6237" s="6" t="s">
        <v>38873</v>
      </c>
      <c r="H6237" s="7">
        <v>2.0</v>
      </c>
      <c r="I6237" s="7">
        <v>6.0</v>
      </c>
      <c r="J6237" s="7">
        <v>1.0</v>
      </c>
      <c r="K6237" s="7">
        <v>3.0</v>
      </c>
      <c r="L6237" s="8" t="s">
        <v>38874</v>
      </c>
      <c r="M6237" s="6" t="s">
        <v>31</v>
      </c>
      <c r="N6237" s="6" t="s">
        <v>29307</v>
      </c>
      <c r="O6237" s="8" t="s">
        <v>29308</v>
      </c>
      <c r="P6237" s="6" t="s">
        <v>29309</v>
      </c>
      <c r="Q6237" s="6" t="s">
        <v>31</v>
      </c>
      <c r="R6237" s="6" t="s">
        <v>75</v>
      </c>
      <c r="S6237" s="8" t="s">
        <v>29310</v>
      </c>
      <c r="T6237" s="6" t="s">
        <v>66</v>
      </c>
      <c r="U6237" s="8" t="s">
        <v>31</v>
      </c>
      <c r="V6237" s="6" t="s">
        <v>38875</v>
      </c>
      <c r="W6237" s="6" t="s">
        <v>29311</v>
      </c>
      <c r="X6237" s="9" t="str">
        <f>HYPERLINK("https://my.pitchbook.com?p=35713-72P","View People Online")</f>
        <v>View People Online</v>
      </c>
    </row>
    <row r="6238">
      <c r="A6238" s="2" t="s">
        <v>38876</v>
      </c>
      <c r="B6238" s="2" t="s">
        <v>38877</v>
      </c>
      <c r="C6238" s="2" t="s">
        <v>12867</v>
      </c>
      <c r="D6238" s="2" t="s">
        <v>38878</v>
      </c>
      <c r="E6238" s="2" t="s">
        <v>29311</v>
      </c>
      <c r="F6238" s="2" t="s">
        <v>1283</v>
      </c>
      <c r="G6238" s="2" t="s">
        <v>38879</v>
      </c>
      <c r="H6238" s="3">
        <v>1.0</v>
      </c>
      <c r="I6238" s="3">
        <v>2.0</v>
      </c>
      <c r="J6238" s="3">
        <v>2.0</v>
      </c>
      <c r="K6238" s="3" t="s">
        <v>31</v>
      </c>
      <c r="L6238" s="4" t="s">
        <v>31</v>
      </c>
      <c r="M6238" s="2" t="s">
        <v>38880</v>
      </c>
      <c r="N6238" s="2" t="s">
        <v>155</v>
      </c>
      <c r="O6238" s="4" t="s">
        <v>156</v>
      </c>
      <c r="P6238" s="2" t="s">
        <v>3453</v>
      </c>
      <c r="Q6238" s="2" t="s">
        <v>38881</v>
      </c>
      <c r="R6238" s="2" t="s">
        <v>64</v>
      </c>
      <c r="S6238" s="4" t="s">
        <v>7810</v>
      </c>
      <c r="T6238" s="2" t="s">
        <v>66</v>
      </c>
      <c r="U6238" s="4" t="s">
        <v>31</v>
      </c>
      <c r="V6238" s="2" t="s">
        <v>5518</v>
      </c>
      <c r="W6238" s="2" t="s">
        <v>38882</v>
      </c>
      <c r="X6238" s="5" t="str">
        <f>HYPERLINK("https://my.pitchbook.com?p=235706-41P","View People Online")</f>
        <v>View People Online</v>
      </c>
    </row>
    <row r="6239">
      <c r="A6239" s="6" t="s">
        <v>38883</v>
      </c>
      <c r="B6239" s="6" t="s">
        <v>38884</v>
      </c>
      <c r="C6239" s="6" t="s">
        <v>6395</v>
      </c>
      <c r="D6239" s="6" t="s">
        <v>38885</v>
      </c>
      <c r="E6239" s="6" t="s">
        <v>29311</v>
      </c>
      <c r="F6239" s="6" t="s">
        <v>1283</v>
      </c>
      <c r="G6239" s="6" t="s">
        <v>38886</v>
      </c>
      <c r="H6239" s="7" t="s">
        <v>31</v>
      </c>
      <c r="I6239" s="7">
        <v>1.0</v>
      </c>
      <c r="J6239" s="7">
        <v>1.0</v>
      </c>
      <c r="K6239" s="7" t="s">
        <v>31</v>
      </c>
      <c r="L6239" s="8" t="s">
        <v>38801</v>
      </c>
      <c r="M6239" s="6" t="s">
        <v>38887</v>
      </c>
      <c r="N6239" s="6" t="s">
        <v>29307</v>
      </c>
      <c r="O6239" s="8" t="s">
        <v>29308</v>
      </c>
      <c r="P6239" s="6" t="s">
        <v>29309</v>
      </c>
      <c r="Q6239" s="6" t="s">
        <v>31</v>
      </c>
      <c r="R6239" s="6" t="s">
        <v>75</v>
      </c>
      <c r="S6239" s="8" t="s">
        <v>29310</v>
      </c>
      <c r="T6239" s="6" t="s">
        <v>66</v>
      </c>
      <c r="U6239" s="8" t="s">
        <v>31</v>
      </c>
      <c r="V6239" s="6" t="s">
        <v>1283</v>
      </c>
      <c r="W6239" s="6" t="s">
        <v>29311</v>
      </c>
      <c r="X6239" s="9" t="str">
        <f>HYPERLINK("https://my.pitchbook.com?p=199715-14P","View People Online")</f>
        <v>View People Online</v>
      </c>
    </row>
    <row r="6240">
      <c r="A6240" s="2" t="s">
        <v>38888</v>
      </c>
      <c r="B6240" s="2" t="s">
        <v>38889</v>
      </c>
      <c r="C6240" s="2" t="s">
        <v>17524</v>
      </c>
      <c r="D6240" s="2" t="s">
        <v>38890</v>
      </c>
      <c r="E6240" s="2" t="s">
        <v>29311</v>
      </c>
      <c r="F6240" s="2" t="s">
        <v>8581</v>
      </c>
      <c r="G6240" s="2" t="s">
        <v>38891</v>
      </c>
      <c r="H6240" s="3" t="s">
        <v>31</v>
      </c>
      <c r="I6240" s="3">
        <v>1.0</v>
      </c>
      <c r="J6240" s="3">
        <v>1.0</v>
      </c>
      <c r="K6240" s="3" t="s">
        <v>31</v>
      </c>
      <c r="L6240" s="4" t="s">
        <v>38801</v>
      </c>
      <c r="M6240" s="2" t="s">
        <v>31</v>
      </c>
      <c r="N6240" s="2" t="s">
        <v>29307</v>
      </c>
      <c r="O6240" s="4" t="s">
        <v>29308</v>
      </c>
      <c r="P6240" s="2" t="s">
        <v>29309</v>
      </c>
      <c r="Q6240" s="2" t="s">
        <v>31</v>
      </c>
      <c r="R6240" s="2" t="s">
        <v>75</v>
      </c>
      <c r="S6240" s="4" t="s">
        <v>29310</v>
      </c>
      <c r="T6240" s="2" t="s">
        <v>66</v>
      </c>
      <c r="U6240" s="4" t="s">
        <v>31</v>
      </c>
      <c r="V6240" s="2" t="s">
        <v>38892</v>
      </c>
      <c r="W6240" s="2" t="s">
        <v>29311</v>
      </c>
      <c r="X6240" s="5" t="str">
        <f>HYPERLINK("https://my.pitchbook.com?p=338844-70P","View People Online")</f>
        <v>View People Online</v>
      </c>
    </row>
    <row r="6241">
      <c r="A6241" s="14" t="s">
        <v>38893</v>
      </c>
      <c r="B6241" s="14" t="s">
        <v>38894</v>
      </c>
      <c r="C6241" s="14" t="s">
        <v>4404</v>
      </c>
      <c r="D6241" s="14" t="s">
        <v>24609</v>
      </c>
      <c r="E6241" s="14" t="s">
        <v>29311</v>
      </c>
      <c r="F6241" s="14" t="s">
        <v>1283</v>
      </c>
      <c r="G6241" s="14" t="s">
        <v>38895</v>
      </c>
      <c r="H6241" s="15" t="s">
        <v>31</v>
      </c>
      <c r="I6241" s="15">
        <v>1.0</v>
      </c>
      <c r="J6241" s="15">
        <v>1.0</v>
      </c>
      <c r="K6241" s="15" t="s">
        <v>31</v>
      </c>
      <c r="L6241" s="16" t="s">
        <v>38801</v>
      </c>
      <c r="M6241" s="14" t="s">
        <v>38896</v>
      </c>
      <c r="N6241" s="14" t="s">
        <v>29307</v>
      </c>
      <c r="O6241" s="16" t="s">
        <v>29308</v>
      </c>
      <c r="P6241" s="14" t="s">
        <v>29309</v>
      </c>
      <c r="Q6241" s="14" t="s">
        <v>31</v>
      </c>
      <c r="R6241" s="14" t="s">
        <v>75</v>
      </c>
      <c r="S6241" s="16" t="s">
        <v>29310</v>
      </c>
      <c r="T6241" s="14" t="s">
        <v>66</v>
      </c>
      <c r="U6241" s="16" t="s">
        <v>31</v>
      </c>
      <c r="V6241" s="14" t="s">
        <v>1283</v>
      </c>
      <c r="W6241" s="14" t="s">
        <v>29311</v>
      </c>
      <c r="X6241" s="17" t="str">
        <f>HYPERLINK("https://my.pitchbook.com?p=265272-76P","View People Online")</f>
        <v>View People Online</v>
      </c>
    </row>
    <row r="6242">
      <c r="A6242" s="10" t="s">
        <v>38897</v>
      </c>
      <c r="B6242" s="10" t="s">
        <v>38898</v>
      </c>
      <c r="C6242" s="10" t="s">
        <v>38899</v>
      </c>
      <c r="D6242" s="10" t="s">
        <v>38900</v>
      </c>
      <c r="E6242" s="10" t="s">
        <v>29311</v>
      </c>
      <c r="F6242" s="10" t="s">
        <v>25083</v>
      </c>
      <c r="G6242" s="10" t="s">
        <v>38901</v>
      </c>
      <c r="H6242" s="11">
        <v>1.0</v>
      </c>
      <c r="I6242" s="11">
        <v>20.0</v>
      </c>
      <c r="J6242" s="11">
        <v>2.0</v>
      </c>
      <c r="K6242" s="11">
        <v>10.0</v>
      </c>
      <c r="L6242" s="12" t="s">
        <v>38801</v>
      </c>
      <c r="M6242" s="10" t="s">
        <v>38902</v>
      </c>
      <c r="N6242" s="10" t="s">
        <v>29307</v>
      </c>
      <c r="O6242" s="12" t="s">
        <v>29308</v>
      </c>
      <c r="P6242" s="10" t="s">
        <v>29309</v>
      </c>
      <c r="Q6242" s="10" t="s">
        <v>31</v>
      </c>
      <c r="R6242" s="10" t="s">
        <v>75</v>
      </c>
      <c r="S6242" s="12" t="s">
        <v>29310</v>
      </c>
      <c r="T6242" s="10" t="s">
        <v>66</v>
      </c>
      <c r="U6242" s="12" t="s">
        <v>31</v>
      </c>
      <c r="V6242" s="10" t="s">
        <v>38903</v>
      </c>
      <c r="W6242" s="10" t="s">
        <v>29311</v>
      </c>
      <c r="X6242" s="13" t="str">
        <f>HYPERLINK("https://my.pitchbook.com?p=55275-40P","View People Online")</f>
        <v>View People Online</v>
      </c>
    </row>
    <row r="6243">
      <c r="A6243" s="6" t="s">
        <v>38904</v>
      </c>
      <c r="B6243" s="6" t="s">
        <v>38905</v>
      </c>
      <c r="C6243" s="6" t="s">
        <v>17867</v>
      </c>
      <c r="D6243" s="6" t="s">
        <v>38906</v>
      </c>
      <c r="E6243" s="6" t="s">
        <v>29311</v>
      </c>
      <c r="F6243" s="6" t="s">
        <v>8581</v>
      </c>
      <c r="G6243" s="6" t="s">
        <v>38907</v>
      </c>
      <c r="H6243" s="7">
        <v>1.0</v>
      </c>
      <c r="I6243" s="7">
        <v>10.0</v>
      </c>
      <c r="J6243" s="7">
        <v>1.0</v>
      </c>
      <c r="K6243" s="7">
        <v>5.0</v>
      </c>
      <c r="L6243" s="8" t="s">
        <v>38908</v>
      </c>
      <c r="M6243" s="6" t="s">
        <v>31</v>
      </c>
      <c r="N6243" s="6" t="s">
        <v>29307</v>
      </c>
      <c r="O6243" s="8" t="s">
        <v>29308</v>
      </c>
      <c r="P6243" s="6" t="s">
        <v>29309</v>
      </c>
      <c r="Q6243" s="6" t="s">
        <v>31</v>
      </c>
      <c r="R6243" s="6" t="s">
        <v>75</v>
      </c>
      <c r="S6243" s="8" t="s">
        <v>29310</v>
      </c>
      <c r="T6243" s="6" t="s">
        <v>66</v>
      </c>
      <c r="U6243" s="8" t="s">
        <v>31</v>
      </c>
      <c r="V6243" s="6" t="s">
        <v>38909</v>
      </c>
      <c r="W6243" s="6" t="s">
        <v>29311</v>
      </c>
      <c r="X6243" s="9" t="str">
        <f>HYPERLINK("https://my.pitchbook.com?p=55281-16P","View People Online")</f>
        <v>View People Online</v>
      </c>
    </row>
    <row r="6244">
      <c r="A6244" s="10" t="s">
        <v>38910</v>
      </c>
      <c r="B6244" s="10" t="s">
        <v>38911</v>
      </c>
      <c r="C6244" s="10" t="s">
        <v>5084</v>
      </c>
      <c r="D6244" s="10" t="s">
        <v>38912</v>
      </c>
      <c r="E6244" s="10" t="s">
        <v>29311</v>
      </c>
      <c r="F6244" s="10" t="s">
        <v>1283</v>
      </c>
      <c r="G6244" s="10" t="s">
        <v>38913</v>
      </c>
      <c r="H6244" s="11" t="s">
        <v>31</v>
      </c>
      <c r="I6244" s="11">
        <v>1.0</v>
      </c>
      <c r="J6244" s="11">
        <v>1.0</v>
      </c>
      <c r="K6244" s="11" t="s">
        <v>31</v>
      </c>
      <c r="L6244" s="12" t="s">
        <v>38801</v>
      </c>
      <c r="M6244" s="10" t="s">
        <v>31</v>
      </c>
      <c r="N6244" s="10" t="s">
        <v>29307</v>
      </c>
      <c r="O6244" s="12" t="s">
        <v>29308</v>
      </c>
      <c r="P6244" s="10" t="s">
        <v>29309</v>
      </c>
      <c r="Q6244" s="10" t="s">
        <v>31</v>
      </c>
      <c r="R6244" s="10" t="s">
        <v>75</v>
      </c>
      <c r="S6244" s="12" t="s">
        <v>29310</v>
      </c>
      <c r="T6244" s="10" t="s">
        <v>66</v>
      </c>
      <c r="U6244" s="12" t="s">
        <v>31</v>
      </c>
      <c r="V6244" s="10" t="s">
        <v>1283</v>
      </c>
      <c r="W6244" s="10" t="s">
        <v>29311</v>
      </c>
      <c r="X6244" s="13" t="str">
        <f>HYPERLINK("https://my.pitchbook.com?p=210083-23P","View People Online")</f>
        <v>View People Online</v>
      </c>
    </row>
    <row r="6245">
      <c r="A6245" s="6" t="s">
        <v>38914</v>
      </c>
      <c r="B6245" s="6" t="s">
        <v>38915</v>
      </c>
      <c r="C6245" s="6" t="s">
        <v>1630</v>
      </c>
      <c r="D6245" s="6" t="s">
        <v>38916</v>
      </c>
      <c r="E6245" s="6" t="s">
        <v>29311</v>
      </c>
      <c r="F6245" s="6" t="s">
        <v>270</v>
      </c>
      <c r="G6245" s="6" t="s">
        <v>38917</v>
      </c>
      <c r="H6245" s="7" t="s">
        <v>31</v>
      </c>
      <c r="I6245" s="7">
        <v>3.0</v>
      </c>
      <c r="J6245" s="7">
        <v>2.0</v>
      </c>
      <c r="K6245" s="7">
        <v>1.0</v>
      </c>
      <c r="L6245" s="8" t="s">
        <v>38918</v>
      </c>
      <c r="M6245" s="6" t="s">
        <v>38919</v>
      </c>
      <c r="N6245" s="6" t="s">
        <v>38920</v>
      </c>
      <c r="O6245" s="8" t="s">
        <v>38921</v>
      </c>
      <c r="P6245" s="6" t="s">
        <v>38922</v>
      </c>
      <c r="Q6245" s="6" t="s">
        <v>31</v>
      </c>
      <c r="R6245" s="6" t="s">
        <v>209</v>
      </c>
      <c r="S6245" s="8" t="s">
        <v>38923</v>
      </c>
      <c r="T6245" s="6" t="s">
        <v>66</v>
      </c>
      <c r="U6245" s="8" t="s">
        <v>31</v>
      </c>
      <c r="V6245" s="6" t="s">
        <v>38924</v>
      </c>
      <c r="W6245" s="6" t="s">
        <v>38925</v>
      </c>
      <c r="X6245" s="9" t="str">
        <f>HYPERLINK("https://my.pitchbook.com?p=48018-52P","View People Online")</f>
        <v>View People Online</v>
      </c>
    </row>
    <row r="6246">
      <c r="A6246" s="2" t="s">
        <v>38926</v>
      </c>
      <c r="B6246" s="2" t="s">
        <v>38927</v>
      </c>
      <c r="C6246" s="2" t="s">
        <v>28147</v>
      </c>
      <c r="D6246" s="2" t="s">
        <v>38928</v>
      </c>
      <c r="E6246" s="2" t="s">
        <v>29311</v>
      </c>
      <c r="F6246" s="2" t="s">
        <v>57</v>
      </c>
      <c r="G6246" s="2" t="s">
        <v>38929</v>
      </c>
      <c r="H6246" s="3">
        <v>3.0</v>
      </c>
      <c r="I6246" s="3">
        <v>12.0</v>
      </c>
      <c r="J6246" s="3">
        <v>2.0</v>
      </c>
      <c r="K6246" s="3">
        <v>5.0</v>
      </c>
      <c r="L6246" s="4" t="s">
        <v>38801</v>
      </c>
      <c r="M6246" s="2" t="s">
        <v>38930</v>
      </c>
      <c r="N6246" s="2" t="s">
        <v>29307</v>
      </c>
      <c r="O6246" s="4" t="s">
        <v>29308</v>
      </c>
      <c r="P6246" s="2" t="s">
        <v>29309</v>
      </c>
      <c r="Q6246" s="2" t="s">
        <v>31</v>
      </c>
      <c r="R6246" s="2" t="s">
        <v>75</v>
      </c>
      <c r="S6246" s="4" t="s">
        <v>29310</v>
      </c>
      <c r="T6246" s="2" t="s">
        <v>66</v>
      </c>
      <c r="U6246" s="4" t="s">
        <v>31</v>
      </c>
      <c r="V6246" s="2" t="s">
        <v>38931</v>
      </c>
      <c r="W6246" s="2" t="s">
        <v>29311</v>
      </c>
      <c r="X6246" s="5" t="str">
        <f>HYPERLINK("https://my.pitchbook.com?p=53281-99P","View People Online")</f>
        <v>View People Online</v>
      </c>
    </row>
    <row r="6247">
      <c r="A6247" s="14" t="s">
        <v>38932</v>
      </c>
      <c r="B6247" s="14" t="s">
        <v>38933</v>
      </c>
      <c r="C6247" s="14" t="s">
        <v>27706</v>
      </c>
      <c r="D6247" s="14" t="s">
        <v>38934</v>
      </c>
      <c r="E6247" s="14" t="s">
        <v>29311</v>
      </c>
      <c r="F6247" s="14" t="s">
        <v>8581</v>
      </c>
      <c r="G6247" s="14" t="s">
        <v>38935</v>
      </c>
      <c r="H6247" s="15" t="s">
        <v>31</v>
      </c>
      <c r="I6247" s="15">
        <v>1.0</v>
      </c>
      <c r="J6247" s="15">
        <v>1.0</v>
      </c>
      <c r="K6247" s="15" t="s">
        <v>31</v>
      </c>
      <c r="L6247" s="16" t="s">
        <v>38801</v>
      </c>
      <c r="M6247" s="14" t="s">
        <v>38936</v>
      </c>
      <c r="N6247" s="14" t="s">
        <v>29307</v>
      </c>
      <c r="O6247" s="16" t="s">
        <v>29308</v>
      </c>
      <c r="P6247" s="14" t="s">
        <v>29309</v>
      </c>
      <c r="Q6247" s="14" t="s">
        <v>31</v>
      </c>
      <c r="R6247" s="14" t="s">
        <v>75</v>
      </c>
      <c r="S6247" s="16" t="s">
        <v>29310</v>
      </c>
      <c r="T6247" s="14" t="s">
        <v>66</v>
      </c>
      <c r="U6247" s="16" t="s">
        <v>31</v>
      </c>
      <c r="V6247" s="14" t="s">
        <v>38937</v>
      </c>
      <c r="W6247" s="14" t="s">
        <v>29311</v>
      </c>
      <c r="X6247" s="17" t="str">
        <f>HYPERLINK("https://my.pitchbook.com?p=235703-08P","View People Online")</f>
        <v>View People Online</v>
      </c>
    </row>
    <row r="6248">
      <c r="A6248" s="2" t="s">
        <v>38938</v>
      </c>
      <c r="B6248" s="2" t="s">
        <v>38939</v>
      </c>
      <c r="C6248" s="2" t="s">
        <v>5985</v>
      </c>
      <c r="D6248" s="2" t="s">
        <v>7990</v>
      </c>
      <c r="E6248" s="2" t="s">
        <v>29311</v>
      </c>
      <c r="F6248" s="2" t="s">
        <v>270</v>
      </c>
      <c r="G6248" s="2" t="s">
        <v>38940</v>
      </c>
      <c r="H6248" s="3" t="s">
        <v>31</v>
      </c>
      <c r="I6248" s="3">
        <v>1.0</v>
      </c>
      <c r="J6248" s="3">
        <v>1.0</v>
      </c>
      <c r="K6248" s="3" t="s">
        <v>31</v>
      </c>
      <c r="L6248" s="4" t="s">
        <v>38801</v>
      </c>
      <c r="M6248" s="2" t="s">
        <v>31</v>
      </c>
      <c r="N6248" s="2" t="s">
        <v>29307</v>
      </c>
      <c r="O6248" s="4" t="s">
        <v>29308</v>
      </c>
      <c r="P6248" s="2" t="s">
        <v>29309</v>
      </c>
      <c r="Q6248" s="2" t="s">
        <v>31</v>
      </c>
      <c r="R6248" s="2" t="s">
        <v>75</v>
      </c>
      <c r="S6248" s="4" t="s">
        <v>29310</v>
      </c>
      <c r="T6248" s="2" t="s">
        <v>66</v>
      </c>
      <c r="U6248" s="4" t="s">
        <v>31</v>
      </c>
      <c r="V6248" s="2" t="s">
        <v>440</v>
      </c>
      <c r="W6248" s="2" t="s">
        <v>29311</v>
      </c>
      <c r="X6248" s="5" t="str">
        <f>HYPERLINK("https://my.pitchbook.com?p=254856-70P","View People Online")</f>
        <v>View People Online</v>
      </c>
    </row>
    <row r="6249">
      <c r="A6249" s="6" t="s">
        <v>38941</v>
      </c>
      <c r="B6249" s="6" t="s">
        <v>38942</v>
      </c>
      <c r="C6249" s="6" t="s">
        <v>2221</v>
      </c>
      <c r="D6249" s="6" t="s">
        <v>38943</v>
      </c>
      <c r="E6249" s="6" t="s">
        <v>29311</v>
      </c>
      <c r="F6249" s="6" t="s">
        <v>8581</v>
      </c>
      <c r="G6249" s="6" t="s">
        <v>38944</v>
      </c>
      <c r="H6249" s="7" t="s">
        <v>31</v>
      </c>
      <c r="I6249" s="7">
        <v>6.0</v>
      </c>
      <c r="J6249" s="7">
        <v>3.0</v>
      </c>
      <c r="K6249" s="7">
        <v>1.0</v>
      </c>
      <c r="L6249" s="8" t="s">
        <v>38945</v>
      </c>
      <c r="M6249" s="6" t="s">
        <v>31</v>
      </c>
      <c r="N6249" s="6" t="s">
        <v>29307</v>
      </c>
      <c r="O6249" s="8" t="s">
        <v>29308</v>
      </c>
      <c r="P6249" s="6" t="s">
        <v>29309</v>
      </c>
      <c r="Q6249" s="6" t="s">
        <v>31</v>
      </c>
      <c r="R6249" s="6" t="s">
        <v>75</v>
      </c>
      <c r="S6249" s="8" t="s">
        <v>29310</v>
      </c>
      <c r="T6249" s="6" t="s">
        <v>66</v>
      </c>
      <c r="U6249" s="8" t="s">
        <v>31</v>
      </c>
      <c r="V6249" s="6" t="s">
        <v>38946</v>
      </c>
      <c r="W6249" s="6" t="s">
        <v>29311</v>
      </c>
      <c r="X6249" s="9" t="str">
        <f>HYPERLINK("https://my.pitchbook.com?p=84211-48P","View People Online")</f>
        <v>View People Online</v>
      </c>
    </row>
    <row r="6250">
      <c r="A6250" s="10" t="s">
        <v>38947</v>
      </c>
      <c r="B6250" s="10" t="s">
        <v>38948</v>
      </c>
      <c r="C6250" s="10" t="s">
        <v>2221</v>
      </c>
      <c r="D6250" s="10" t="s">
        <v>18117</v>
      </c>
      <c r="E6250" s="10" t="s">
        <v>29311</v>
      </c>
      <c r="F6250" s="10" t="s">
        <v>8581</v>
      </c>
      <c r="G6250" s="10" t="s">
        <v>38949</v>
      </c>
      <c r="H6250" s="11">
        <v>1.0</v>
      </c>
      <c r="I6250" s="11">
        <v>5.0</v>
      </c>
      <c r="J6250" s="11">
        <v>1.0</v>
      </c>
      <c r="K6250" s="11">
        <v>2.0</v>
      </c>
      <c r="L6250" s="12" t="s">
        <v>38801</v>
      </c>
      <c r="M6250" s="10" t="s">
        <v>31</v>
      </c>
      <c r="N6250" s="10" t="s">
        <v>29307</v>
      </c>
      <c r="O6250" s="12" t="s">
        <v>29308</v>
      </c>
      <c r="P6250" s="10" t="s">
        <v>29309</v>
      </c>
      <c r="Q6250" s="10" t="s">
        <v>31</v>
      </c>
      <c r="R6250" s="10" t="s">
        <v>75</v>
      </c>
      <c r="S6250" s="12" t="s">
        <v>29310</v>
      </c>
      <c r="T6250" s="10" t="s">
        <v>66</v>
      </c>
      <c r="U6250" s="12" t="s">
        <v>31</v>
      </c>
      <c r="V6250" s="10" t="s">
        <v>38950</v>
      </c>
      <c r="W6250" s="10" t="s">
        <v>29311</v>
      </c>
      <c r="X6250" s="13" t="str">
        <f>HYPERLINK("https://my.pitchbook.com?p=163697-41P","View People Online")</f>
        <v>View People Online</v>
      </c>
    </row>
    <row r="6251">
      <c r="A6251" s="6" t="s">
        <v>38951</v>
      </c>
      <c r="B6251" s="6" t="s">
        <v>38952</v>
      </c>
      <c r="C6251" s="6" t="s">
        <v>38953</v>
      </c>
      <c r="D6251" s="6" t="s">
        <v>38954</v>
      </c>
      <c r="E6251" s="6" t="s">
        <v>29311</v>
      </c>
      <c r="F6251" s="6" t="s">
        <v>270</v>
      </c>
      <c r="G6251" s="6" t="s">
        <v>38955</v>
      </c>
      <c r="H6251" s="7" t="s">
        <v>31</v>
      </c>
      <c r="I6251" s="7">
        <v>2.0</v>
      </c>
      <c r="J6251" s="7">
        <v>2.0</v>
      </c>
      <c r="K6251" s="7" t="s">
        <v>31</v>
      </c>
      <c r="L6251" s="8" t="s">
        <v>38956</v>
      </c>
      <c r="M6251" s="6" t="s">
        <v>38957</v>
      </c>
      <c r="N6251" s="6" t="s">
        <v>38920</v>
      </c>
      <c r="O6251" s="8" t="s">
        <v>38921</v>
      </c>
      <c r="P6251" s="6" t="s">
        <v>38922</v>
      </c>
      <c r="Q6251" s="6" t="s">
        <v>31</v>
      </c>
      <c r="R6251" s="6" t="s">
        <v>209</v>
      </c>
      <c r="S6251" s="8" t="s">
        <v>38923</v>
      </c>
      <c r="T6251" s="6" t="s">
        <v>66</v>
      </c>
      <c r="U6251" s="8" t="s">
        <v>31</v>
      </c>
      <c r="V6251" s="6" t="s">
        <v>38958</v>
      </c>
      <c r="W6251" s="6" t="s">
        <v>38925</v>
      </c>
      <c r="X6251" s="9" t="str">
        <f>HYPERLINK("https://my.pitchbook.com?p=265278-07P","View People Online")</f>
        <v>View People Online</v>
      </c>
    </row>
    <row r="6252">
      <c r="A6252" s="10" t="s">
        <v>38959</v>
      </c>
      <c r="B6252" s="10" t="s">
        <v>38960</v>
      </c>
      <c r="C6252" s="10" t="s">
        <v>18876</v>
      </c>
      <c r="D6252" s="10" t="s">
        <v>38961</v>
      </c>
      <c r="E6252" s="10" t="s">
        <v>29311</v>
      </c>
      <c r="F6252" s="10" t="s">
        <v>8581</v>
      </c>
      <c r="G6252" s="10" t="s">
        <v>38962</v>
      </c>
      <c r="H6252" s="11" t="s">
        <v>31</v>
      </c>
      <c r="I6252" s="11">
        <v>1.0</v>
      </c>
      <c r="J6252" s="11">
        <v>1.0</v>
      </c>
      <c r="K6252" s="11" t="s">
        <v>31</v>
      </c>
      <c r="L6252" s="12" t="s">
        <v>38801</v>
      </c>
      <c r="M6252" s="10" t="s">
        <v>31</v>
      </c>
      <c r="N6252" s="10" t="s">
        <v>29307</v>
      </c>
      <c r="O6252" s="12" t="s">
        <v>29308</v>
      </c>
      <c r="P6252" s="10" t="s">
        <v>29309</v>
      </c>
      <c r="Q6252" s="10" t="s">
        <v>31</v>
      </c>
      <c r="R6252" s="10" t="s">
        <v>75</v>
      </c>
      <c r="S6252" s="12" t="s">
        <v>29310</v>
      </c>
      <c r="T6252" s="10" t="s">
        <v>66</v>
      </c>
      <c r="U6252" s="12" t="s">
        <v>31</v>
      </c>
      <c r="V6252" s="10" t="s">
        <v>38963</v>
      </c>
      <c r="W6252" s="10" t="s">
        <v>29311</v>
      </c>
      <c r="X6252" s="13" t="str">
        <f>HYPERLINK("https://my.pitchbook.com?p=265273-48P","View People Online")</f>
        <v>View People Online</v>
      </c>
    </row>
    <row r="6253">
      <c r="A6253" s="6" t="s">
        <v>38964</v>
      </c>
      <c r="B6253" s="6" t="s">
        <v>38965</v>
      </c>
      <c r="C6253" s="6" t="s">
        <v>18876</v>
      </c>
      <c r="D6253" s="6" t="s">
        <v>38966</v>
      </c>
      <c r="E6253" s="6" t="s">
        <v>29311</v>
      </c>
      <c r="F6253" s="6" t="s">
        <v>270</v>
      </c>
      <c r="G6253" s="6" t="s">
        <v>38967</v>
      </c>
      <c r="H6253" s="7" t="s">
        <v>31</v>
      </c>
      <c r="I6253" s="7">
        <v>3.0</v>
      </c>
      <c r="J6253" s="7">
        <v>1.0</v>
      </c>
      <c r="K6253" s="7">
        <v>1.0</v>
      </c>
      <c r="L6253" s="8" t="s">
        <v>38968</v>
      </c>
      <c r="M6253" s="6" t="s">
        <v>31</v>
      </c>
      <c r="N6253" s="6" t="s">
        <v>29307</v>
      </c>
      <c r="O6253" s="8" t="s">
        <v>29308</v>
      </c>
      <c r="P6253" s="6" t="s">
        <v>29309</v>
      </c>
      <c r="Q6253" s="6" t="s">
        <v>31</v>
      </c>
      <c r="R6253" s="6" t="s">
        <v>75</v>
      </c>
      <c r="S6253" s="8" t="s">
        <v>29310</v>
      </c>
      <c r="T6253" s="6" t="s">
        <v>66</v>
      </c>
      <c r="U6253" s="8" t="s">
        <v>31</v>
      </c>
      <c r="V6253" s="6" t="s">
        <v>38812</v>
      </c>
      <c r="W6253" s="6" t="s">
        <v>29311</v>
      </c>
      <c r="X6253" s="9" t="str">
        <f>HYPERLINK("https://my.pitchbook.com?p=252766-63P","View People Online")</f>
        <v>View People Online</v>
      </c>
    </row>
    <row r="6254">
      <c r="A6254" s="10" t="s">
        <v>38969</v>
      </c>
      <c r="B6254" s="10" t="s">
        <v>38970</v>
      </c>
      <c r="C6254" s="10" t="s">
        <v>5113</v>
      </c>
      <c r="D6254" s="10" t="s">
        <v>38971</v>
      </c>
      <c r="E6254" s="10" t="s">
        <v>29311</v>
      </c>
      <c r="F6254" s="10" t="s">
        <v>1283</v>
      </c>
      <c r="G6254" s="10" t="s">
        <v>38972</v>
      </c>
      <c r="H6254" s="11" t="s">
        <v>31</v>
      </c>
      <c r="I6254" s="11">
        <v>1.0</v>
      </c>
      <c r="J6254" s="11">
        <v>1.0</v>
      </c>
      <c r="K6254" s="11" t="s">
        <v>31</v>
      </c>
      <c r="L6254" s="12" t="s">
        <v>38973</v>
      </c>
      <c r="M6254" s="10" t="s">
        <v>38974</v>
      </c>
      <c r="N6254" s="10" t="s">
        <v>29307</v>
      </c>
      <c r="O6254" s="12" t="s">
        <v>29308</v>
      </c>
      <c r="P6254" s="10" t="s">
        <v>29309</v>
      </c>
      <c r="Q6254" s="10" t="s">
        <v>31</v>
      </c>
      <c r="R6254" s="10" t="s">
        <v>75</v>
      </c>
      <c r="S6254" s="12" t="s">
        <v>29310</v>
      </c>
      <c r="T6254" s="10" t="s">
        <v>66</v>
      </c>
      <c r="U6254" s="12" t="s">
        <v>31</v>
      </c>
      <c r="V6254" s="10" t="s">
        <v>1283</v>
      </c>
      <c r="W6254" s="10" t="s">
        <v>29311</v>
      </c>
      <c r="X6254" s="13" t="str">
        <f>HYPERLINK("https://my.pitchbook.com?p=224379-82P","View People Online")</f>
        <v>View People Online</v>
      </c>
    </row>
    <row r="6255">
      <c r="A6255" s="14" t="s">
        <v>38975</v>
      </c>
      <c r="B6255" s="14" t="s">
        <v>38976</v>
      </c>
      <c r="C6255" s="14" t="s">
        <v>38977</v>
      </c>
      <c r="D6255" s="14" t="s">
        <v>38978</v>
      </c>
      <c r="E6255" s="14" t="s">
        <v>29311</v>
      </c>
      <c r="F6255" s="14" t="s">
        <v>270</v>
      </c>
      <c r="G6255" s="14" t="s">
        <v>38979</v>
      </c>
      <c r="H6255" s="15" t="s">
        <v>31</v>
      </c>
      <c r="I6255" s="15">
        <v>1.0</v>
      </c>
      <c r="J6255" s="15">
        <v>1.0</v>
      </c>
      <c r="K6255" s="15" t="s">
        <v>31</v>
      </c>
      <c r="L6255" s="16" t="s">
        <v>38801</v>
      </c>
      <c r="M6255" s="14" t="s">
        <v>38980</v>
      </c>
      <c r="N6255" s="14" t="s">
        <v>29307</v>
      </c>
      <c r="O6255" s="16" t="s">
        <v>29308</v>
      </c>
      <c r="P6255" s="14" t="s">
        <v>29309</v>
      </c>
      <c r="Q6255" s="14" t="s">
        <v>31</v>
      </c>
      <c r="R6255" s="14" t="s">
        <v>75</v>
      </c>
      <c r="S6255" s="16" t="s">
        <v>29310</v>
      </c>
      <c r="T6255" s="14" t="s">
        <v>66</v>
      </c>
      <c r="U6255" s="16" t="s">
        <v>31</v>
      </c>
      <c r="V6255" s="14" t="s">
        <v>38812</v>
      </c>
      <c r="W6255" s="14" t="s">
        <v>29311</v>
      </c>
      <c r="X6255" s="17" t="str">
        <f>HYPERLINK("https://my.pitchbook.com?p=210084-13P","View People Online")</f>
        <v>View People Online</v>
      </c>
    </row>
    <row r="6256">
      <c r="A6256" s="10" t="s">
        <v>38981</v>
      </c>
      <c r="B6256" s="10" t="s">
        <v>38982</v>
      </c>
      <c r="C6256" s="10" t="s">
        <v>38983</v>
      </c>
      <c r="D6256" s="10" t="s">
        <v>17468</v>
      </c>
      <c r="E6256" s="10" t="s">
        <v>29311</v>
      </c>
      <c r="F6256" s="10" t="s">
        <v>25083</v>
      </c>
      <c r="G6256" s="10" t="s">
        <v>38984</v>
      </c>
      <c r="H6256" s="11" t="s">
        <v>31</v>
      </c>
      <c r="I6256" s="11">
        <v>3.0</v>
      </c>
      <c r="J6256" s="11">
        <v>1.0</v>
      </c>
      <c r="K6256" s="11">
        <v>1.0</v>
      </c>
      <c r="L6256" s="12" t="s">
        <v>38985</v>
      </c>
      <c r="M6256" s="10" t="s">
        <v>38986</v>
      </c>
      <c r="N6256" s="10" t="s">
        <v>29307</v>
      </c>
      <c r="O6256" s="12" t="s">
        <v>29308</v>
      </c>
      <c r="P6256" s="10" t="s">
        <v>29309</v>
      </c>
      <c r="Q6256" s="10" t="s">
        <v>31</v>
      </c>
      <c r="R6256" s="10" t="s">
        <v>75</v>
      </c>
      <c r="S6256" s="12" t="s">
        <v>29310</v>
      </c>
      <c r="T6256" s="10" t="s">
        <v>66</v>
      </c>
      <c r="U6256" s="12" t="s">
        <v>31</v>
      </c>
      <c r="V6256" s="10" t="s">
        <v>38987</v>
      </c>
      <c r="W6256" s="10" t="s">
        <v>29311</v>
      </c>
      <c r="X6256" s="13" t="str">
        <f>HYPERLINK("https://my.pitchbook.com?p=55274-77P","View People Online")</f>
        <v>View People Online</v>
      </c>
    </row>
    <row r="6257">
      <c r="A6257" s="14" t="s">
        <v>38988</v>
      </c>
      <c r="B6257" s="14" t="s">
        <v>38989</v>
      </c>
      <c r="C6257" s="14" t="s">
        <v>24993</v>
      </c>
      <c r="D6257" s="14" t="s">
        <v>38990</v>
      </c>
      <c r="E6257" s="14" t="s">
        <v>29311</v>
      </c>
      <c r="F6257" s="14" t="s">
        <v>8581</v>
      </c>
      <c r="G6257" s="14" t="s">
        <v>38991</v>
      </c>
      <c r="H6257" s="15" t="s">
        <v>31</v>
      </c>
      <c r="I6257" s="15">
        <v>1.0</v>
      </c>
      <c r="J6257" s="15">
        <v>1.0</v>
      </c>
      <c r="K6257" s="15" t="s">
        <v>31</v>
      </c>
      <c r="L6257" s="16" t="s">
        <v>38801</v>
      </c>
      <c r="M6257" s="14" t="s">
        <v>38992</v>
      </c>
      <c r="N6257" s="14" t="s">
        <v>29307</v>
      </c>
      <c r="O6257" s="16" t="s">
        <v>29308</v>
      </c>
      <c r="P6257" s="14" t="s">
        <v>29309</v>
      </c>
      <c r="Q6257" s="14" t="s">
        <v>31</v>
      </c>
      <c r="R6257" s="14" t="s">
        <v>75</v>
      </c>
      <c r="S6257" s="16" t="s">
        <v>29310</v>
      </c>
      <c r="T6257" s="14" t="s">
        <v>66</v>
      </c>
      <c r="U6257" s="16" t="s">
        <v>31</v>
      </c>
      <c r="V6257" s="14" t="s">
        <v>38993</v>
      </c>
      <c r="W6257" s="14" t="s">
        <v>29311</v>
      </c>
      <c r="X6257" s="17" t="str">
        <f>HYPERLINK("https://my.pitchbook.com?p=410564-17P","View People Online")</f>
        <v>View People Online</v>
      </c>
    </row>
    <row r="6258">
      <c r="A6258" s="2" t="s">
        <v>38994</v>
      </c>
      <c r="B6258" s="2" t="s">
        <v>38995</v>
      </c>
      <c r="C6258" s="2" t="s">
        <v>38996</v>
      </c>
      <c r="D6258" s="2" t="s">
        <v>38997</v>
      </c>
      <c r="E6258" s="2" t="s">
        <v>29311</v>
      </c>
      <c r="F6258" s="2" t="s">
        <v>8581</v>
      </c>
      <c r="G6258" s="2" t="s">
        <v>38998</v>
      </c>
      <c r="H6258" s="3" t="s">
        <v>31</v>
      </c>
      <c r="I6258" s="3">
        <v>3.0</v>
      </c>
      <c r="J6258" s="3">
        <v>2.0</v>
      </c>
      <c r="K6258" s="3" t="s">
        <v>31</v>
      </c>
      <c r="L6258" s="4" t="s">
        <v>38999</v>
      </c>
      <c r="M6258" s="2" t="s">
        <v>31</v>
      </c>
      <c r="N6258" s="2" t="s">
        <v>39000</v>
      </c>
      <c r="O6258" s="4" t="s">
        <v>39001</v>
      </c>
      <c r="P6258" s="2" t="s">
        <v>39002</v>
      </c>
      <c r="Q6258" s="2" t="s">
        <v>31</v>
      </c>
      <c r="R6258" s="2" t="s">
        <v>7004</v>
      </c>
      <c r="S6258" s="4" t="s">
        <v>39003</v>
      </c>
      <c r="T6258" s="2" t="s">
        <v>66</v>
      </c>
      <c r="U6258" s="4" t="s">
        <v>31</v>
      </c>
      <c r="V6258" s="2" t="s">
        <v>196</v>
      </c>
      <c r="W6258" s="2" t="s">
        <v>39004</v>
      </c>
      <c r="X6258" s="5" t="str">
        <f>HYPERLINK("https://my.pitchbook.com?p=137191-33P","View People Online")</f>
        <v>View People Online</v>
      </c>
    </row>
    <row r="6259">
      <c r="A6259" s="14" t="s">
        <v>39005</v>
      </c>
      <c r="B6259" s="14" t="s">
        <v>39006</v>
      </c>
      <c r="C6259" s="14" t="s">
        <v>1765</v>
      </c>
      <c r="D6259" s="14" t="s">
        <v>39007</v>
      </c>
      <c r="E6259" s="14" t="s">
        <v>29311</v>
      </c>
      <c r="F6259" s="14" t="s">
        <v>1283</v>
      </c>
      <c r="G6259" s="14" t="s">
        <v>39008</v>
      </c>
      <c r="H6259" s="15" t="s">
        <v>31</v>
      </c>
      <c r="I6259" s="15">
        <v>3.0</v>
      </c>
      <c r="J6259" s="15">
        <v>1.0</v>
      </c>
      <c r="K6259" s="15">
        <v>1.0</v>
      </c>
      <c r="L6259" s="16" t="s">
        <v>38801</v>
      </c>
      <c r="M6259" s="14" t="s">
        <v>39009</v>
      </c>
      <c r="N6259" s="14" t="s">
        <v>29307</v>
      </c>
      <c r="O6259" s="16" t="s">
        <v>29308</v>
      </c>
      <c r="P6259" s="14" t="s">
        <v>29309</v>
      </c>
      <c r="Q6259" s="14" t="s">
        <v>31</v>
      </c>
      <c r="R6259" s="14" t="s">
        <v>75</v>
      </c>
      <c r="S6259" s="16" t="s">
        <v>29310</v>
      </c>
      <c r="T6259" s="14" t="s">
        <v>66</v>
      </c>
      <c r="U6259" s="16" t="s">
        <v>31</v>
      </c>
      <c r="V6259" s="14" t="s">
        <v>1283</v>
      </c>
      <c r="W6259" s="14" t="s">
        <v>29311</v>
      </c>
      <c r="X6259" s="17" t="str">
        <f>HYPERLINK("https://my.pitchbook.com?p=298451-80P","View People Online")</f>
        <v>View People Online</v>
      </c>
    </row>
    <row r="6260">
      <c r="A6260" s="10" t="s">
        <v>39010</v>
      </c>
      <c r="B6260" s="10" t="s">
        <v>39011</v>
      </c>
      <c r="C6260" s="10" t="s">
        <v>6050</v>
      </c>
      <c r="D6260" s="10" t="s">
        <v>39012</v>
      </c>
      <c r="E6260" s="10" t="s">
        <v>29311</v>
      </c>
      <c r="F6260" s="10" t="s">
        <v>8581</v>
      </c>
      <c r="G6260" s="10" t="s">
        <v>39013</v>
      </c>
      <c r="H6260" s="11" t="s">
        <v>31</v>
      </c>
      <c r="I6260" s="11">
        <v>3.0</v>
      </c>
      <c r="J6260" s="11">
        <v>1.0</v>
      </c>
      <c r="K6260" s="11">
        <v>1.0</v>
      </c>
      <c r="L6260" s="12" t="s">
        <v>38801</v>
      </c>
      <c r="M6260" s="10" t="s">
        <v>39014</v>
      </c>
      <c r="N6260" s="10" t="s">
        <v>29307</v>
      </c>
      <c r="O6260" s="12" t="s">
        <v>29308</v>
      </c>
      <c r="P6260" s="10" t="s">
        <v>29309</v>
      </c>
      <c r="Q6260" s="10" t="s">
        <v>31</v>
      </c>
      <c r="R6260" s="10" t="s">
        <v>75</v>
      </c>
      <c r="S6260" s="12" t="s">
        <v>29310</v>
      </c>
      <c r="T6260" s="10" t="s">
        <v>66</v>
      </c>
      <c r="U6260" s="12" t="s">
        <v>31</v>
      </c>
      <c r="V6260" s="10" t="s">
        <v>39015</v>
      </c>
      <c r="W6260" s="10" t="s">
        <v>29311</v>
      </c>
      <c r="X6260" s="13" t="str">
        <f>HYPERLINK("https://my.pitchbook.com?p=318834-19P","View People Online")</f>
        <v>View People Online</v>
      </c>
    </row>
    <row r="6261">
      <c r="A6261" s="14" t="s">
        <v>39016</v>
      </c>
      <c r="B6261" s="14" t="s">
        <v>39017</v>
      </c>
      <c r="C6261" s="14" t="s">
        <v>19410</v>
      </c>
      <c r="D6261" s="14" t="s">
        <v>39018</v>
      </c>
      <c r="E6261" s="14" t="s">
        <v>29311</v>
      </c>
      <c r="F6261" s="14" t="s">
        <v>8581</v>
      </c>
      <c r="G6261" s="14" t="s">
        <v>39019</v>
      </c>
      <c r="H6261" s="15" t="s">
        <v>31</v>
      </c>
      <c r="I6261" s="15">
        <v>1.0</v>
      </c>
      <c r="J6261" s="15">
        <v>1.0</v>
      </c>
      <c r="K6261" s="15" t="s">
        <v>31</v>
      </c>
      <c r="L6261" s="16" t="s">
        <v>39020</v>
      </c>
      <c r="M6261" s="14" t="s">
        <v>39021</v>
      </c>
      <c r="N6261" s="14" t="s">
        <v>29307</v>
      </c>
      <c r="O6261" s="16" t="s">
        <v>29308</v>
      </c>
      <c r="P6261" s="14" t="s">
        <v>29309</v>
      </c>
      <c r="Q6261" s="14" t="s">
        <v>31</v>
      </c>
      <c r="R6261" s="14" t="s">
        <v>75</v>
      </c>
      <c r="S6261" s="16" t="s">
        <v>29310</v>
      </c>
      <c r="T6261" s="14" t="s">
        <v>66</v>
      </c>
      <c r="U6261" s="16" t="s">
        <v>31</v>
      </c>
      <c r="V6261" s="14" t="s">
        <v>39022</v>
      </c>
      <c r="W6261" s="14" t="s">
        <v>29311</v>
      </c>
      <c r="X6261" s="17" t="str">
        <f>HYPERLINK("https://my.pitchbook.com?p=154998-46P","View People Online")</f>
        <v>View People Online</v>
      </c>
    </row>
    <row r="6262">
      <c r="A6262" s="10" t="s">
        <v>39023</v>
      </c>
      <c r="B6262" s="10" t="s">
        <v>39024</v>
      </c>
      <c r="C6262" s="10" t="s">
        <v>3846</v>
      </c>
      <c r="D6262" s="10" t="s">
        <v>39025</v>
      </c>
      <c r="E6262" s="10" t="s">
        <v>29311</v>
      </c>
      <c r="F6262" s="10" t="s">
        <v>8581</v>
      </c>
      <c r="G6262" s="10" t="s">
        <v>39026</v>
      </c>
      <c r="H6262" s="11">
        <v>1.0</v>
      </c>
      <c r="I6262" s="11">
        <v>8.0</v>
      </c>
      <c r="J6262" s="11">
        <v>1.0</v>
      </c>
      <c r="K6262" s="11">
        <v>4.0</v>
      </c>
      <c r="L6262" s="12" t="s">
        <v>39027</v>
      </c>
      <c r="M6262" s="10" t="s">
        <v>31</v>
      </c>
      <c r="N6262" s="10" t="s">
        <v>29307</v>
      </c>
      <c r="O6262" s="12" t="s">
        <v>29308</v>
      </c>
      <c r="P6262" s="10" t="s">
        <v>29309</v>
      </c>
      <c r="Q6262" s="10" t="s">
        <v>31</v>
      </c>
      <c r="R6262" s="10" t="s">
        <v>75</v>
      </c>
      <c r="S6262" s="12" t="s">
        <v>29310</v>
      </c>
      <c r="T6262" s="10" t="s">
        <v>66</v>
      </c>
      <c r="U6262" s="12" t="s">
        <v>31</v>
      </c>
      <c r="V6262" s="10" t="s">
        <v>39028</v>
      </c>
      <c r="W6262" s="10" t="s">
        <v>29311</v>
      </c>
      <c r="X6262" s="13" t="str">
        <f>HYPERLINK("https://my.pitchbook.com?p=50447-71P","View People Online")</f>
        <v>View People Online</v>
      </c>
    </row>
    <row r="6263">
      <c r="A6263" s="6" t="s">
        <v>39029</v>
      </c>
      <c r="B6263" s="6" t="s">
        <v>39030</v>
      </c>
      <c r="C6263" s="6" t="s">
        <v>27371</v>
      </c>
      <c r="D6263" s="6" t="s">
        <v>39031</v>
      </c>
      <c r="E6263" s="6" t="s">
        <v>29311</v>
      </c>
      <c r="F6263" s="6" t="s">
        <v>1283</v>
      </c>
      <c r="G6263" s="6" t="s">
        <v>39032</v>
      </c>
      <c r="H6263" s="7" t="s">
        <v>31</v>
      </c>
      <c r="I6263" s="7">
        <v>1.0</v>
      </c>
      <c r="J6263" s="7">
        <v>1.0</v>
      </c>
      <c r="K6263" s="7" t="s">
        <v>31</v>
      </c>
      <c r="L6263" s="8" t="s">
        <v>39033</v>
      </c>
      <c r="M6263" s="6" t="s">
        <v>31</v>
      </c>
      <c r="N6263" s="6" t="s">
        <v>29307</v>
      </c>
      <c r="O6263" s="8" t="s">
        <v>29308</v>
      </c>
      <c r="P6263" s="6" t="s">
        <v>29309</v>
      </c>
      <c r="Q6263" s="6" t="s">
        <v>31</v>
      </c>
      <c r="R6263" s="6" t="s">
        <v>75</v>
      </c>
      <c r="S6263" s="8" t="s">
        <v>29310</v>
      </c>
      <c r="T6263" s="6" t="s">
        <v>66</v>
      </c>
      <c r="U6263" s="8" t="s">
        <v>31</v>
      </c>
      <c r="V6263" s="6" t="s">
        <v>1283</v>
      </c>
      <c r="W6263" s="6" t="s">
        <v>29311</v>
      </c>
      <c r="X6263" s="9" t="str">
        <f>HYPERLINK("https://my.pitchbook.com?p=89120-71P","View People Online")</f>
        <v>View People Online</v>
      </c>
    </row>
    <row r="6264">
      <c r="A6264" s="10" t="s">
        <v>39034</v>
      </c>
      <c r="B6264" s="10" t="s">
        <v>39035</v>
      </c>
      <c r="C6264" s="10" t="s">
        <v>4033</v>
      </c>
      <c r="D6264" s="10" t="s">
        <v>7009</v>
      </c>
      <c r="E6264" s="10" t="s">
        <v>29311</v>
      </c>
      <c r="F6264" s="10" t="s">
        <v>1283</v>
      </c>
      <c r="G6264" s="10" t="s">
        <v>39036</v>
      </c>
      <c r="H6264" s="11" t="s">
        <v>31</v>
      </c>
      <c r="I6264" s="11">
        <v>2.0</v>
      </c>
      <c r="J6264" s="11">
        <v>2.0</v>
      </c>
      <c r="K6264" s="11" t="s">
        <v>31</v>
      </c>
      <c r="L6264" s="12" t="s">
        <v>31</v>
      </c>
      <c r="M6264" s="10" t="s">
        <v>39037</v>
      </c>
      <c r="N6264" s="10" t="s">
        <v>30051</v>
      </c>
      <c r="O6264" s="12" t="s">
        <v>30052</v>
      </c>
      <c r="P6264" s="10" t="s">
        <v>39038</v>
      </c>
      <c r="Q6264" s="10" t="s">
        <v>31</v>
      </c>
      <c r="R6264" s="10" t="s">
        <v>75</v>
      </c>
      <c r="S6264" s="12" t="s">
        <v>39039</v>
      </c>
      <c r="T6264" s="10" t="s">
        <v>66</v>
      </c>
      <c r="U6264" s="12" t="s">
        <v>31</v>
      </c>
      <c r="V6264" s="10" t="s">
        <v>470</v>
      </c>
      <c r="W6264" s="10" t="s">
        <v>39040</v>
      </c>
      <c r="X6264" s="13" t="str">
        <f>HYPERLINK("https://my.pitchbook.com?p=262571-95P","View People Online")</f>
        <v>View People Online</v>
      </c>
    </row>
    <row r="6265">
      <c r="A6265" s="14" t="s">
        <v>39041</v>
      </c>
      <c r="B6265" s="14" t="s">
        <v>39042</v>
      </c>
      <c r="C6265" s="14" t="s">
        <v>20028</v>
      </c>
      <c r="D6265" s="14" t="s">
        <v>39043</v>
      </c>
      <c r="E6265" s="14" t="s">
        <v>29311</v>
      </c>
      <c r="F6265" s="14" t="s">
        <v>8581</v>
      </c>
      <c r="G6265" s="14" t="s">
        <v>39044</v>
      </c>
      <c r="H6265" s="15">
        <v>2.0</v>
      </c>
      <c r="I6265" s="15">
        <v>4.0</v>
      </c>
      <c r="J6265" s="15">
        <v>2.0</v>
      </c>
      <c r="K6265" s="15" t="s">
        <v>31</v>
      </c>
      <c r="L6265" s="16" t="s">
        <v>38801</v>
      </c>
      <c r="M6265" s="14" t="s">
        <v>39045</v>
      </c>
      <c r="N6265" s="14" t="s">
        <v>29307</v>
      </c>
      <c r="O6265" s="16" t="s">
        <v>29308</v>
      </c>
      <c r="P6265" s="14" t="s">
        <v>29309</v>
      </c>
      <c r="Q6265" s="14" t="s">
        <v>31</v>
      </c>
      <c r="R6265" s="14" t="s">
        <v>75</v>
      </c>
      <c r="S6265" s="16" t="s">
        <v>29310</v>
      </c>
      <c r="T6265" s="14" t="s">
        <v>66</v>
      </c>
      <c r="U6265" s="16" t="s">
        <v>31</v>
      </c>
      <c r="V6265" s="14" t="s">
        <v>39046</v>
      </c>
      <c r="W6265" s="14" t="s">
        <v>29311</v>
      </c>
      <c r="X6265" s="17" t="str">
        <f>HYPERLINK("https://my.pitchbook.com?p=164641-51P","View People Online")</f>
        <v>View People Online</v>
      </c>
    </row>
    <row r="6266">
      <c r="A6266" s="10" t="s">
        <v>39047</v>
      </c>
      <c r="B6266" s="10" t="s">
        <v>39048</v>
      </c>
      <c r="C6266" s="10" t="s">
        <v>39049</v>
      </c>
      <c r="D6266" s="10" t="s">
        <v>39050</v>
      </c>
      <c r="E6266" s="10" t="s">
        <v>29311</v>
      </c>
      <c r="F6266" s="10" t="s">
        <v>548</v>
      </c>
      <c r="G6266" s="10" t="s">
        <v>39051</v>
      </c>
      <c r="H6266" s="11" t="s">
        <v>31</v>
      </c>
      <c r="I6266" s="11">
        <v>1.0</v>
      </c>
      <c r="J6266" s="11">
        <v>1.0</v>
      </c>
      <c r="K6266" s="11" t="s">
        <v>31</v>
      </c>
      <c r="L6266" s="12" t="s">
        <v>39052</v>
      </c>
      <c r="M6266" s="10" t="s">
        <v>39053</v>
      </c>
      <c r="N6266" s="10" t="s">
        <v>29307</v>
      </c>
      <c r="O6266" s="12" t="s">
        <v>29308</v>
      </c>
      <c r="P6266" s="10" t="s">
        <v>29309</v>
      </c>
      <c r="Q6266" s="10" t="s">
        <v>31</v>
      </c>
      <c r="R6266" s="10" t="s">
        <v>75</v>
      </c>
      <c r="S6266" s="12" t="s">
        <v>29310</v>
      </c>
      <c r="T6266" s="10" t="s">
        <v>66</v>
      </c>
      <c r="U6266" s="12" t="s">
        <v>31</v>
      </c>
      <c r="V6266" s="10" t="s">
        <v>39054</v>
      </c>
      <c r="W6266" s="10" t="s">
        <v>29311</v>
      </c>
      <c r="X6266" s="13" t="str">
        <f>HYPERLINK("https://my.pitchbook.com?p=32631-76P","View People Online")</f>
        <v>View People Online</v>
      </c>
    </row>
    <row r="6267">
      <c r="A6267" s="14" t="s">
        <v>39055</v>
      </c>
      <c r="B6267" s="14" t="s">
        <v>39056</v>
      </c>
      <c r="C6267" s="14" t="s">
        <v>39057</v>
      </c>
      <c r="D6267" s="14" t="s">
        <v>39058</v>
      </c>
      <c r="E6267" s="14" t="s">
        <v>29311</v>
      </c>
      <c r="F6267" s="14" t="s">
        <v>8581</v>
      </c>
      <c r="G6267" s="14" t="s">
        <v>39059</v>
      </c>
      <c r="H6267" s="15" t="s">
        <v>31</v>
      </c>
      <c r="I6267" s="15">
        <v>3.0</v>
      </c>
      <c r="J6267" s="15">
        <v>1.0</v>
      </c>
      <c r="K6267" s="15">
        <v>1.0</v>
      </c>
      <c r="L6267" s="16" t="s">
        <v>39060</v>
      </c>
      <c r="M6267" s="14" t="s">
        <v>39061</v>
      </c>
      <c r="N6267" s="14" t="s">
        <v>29307</v>
      </c>
      <c r="O6267" s="16" t="s">
        <v>29308</v>
      </c>
      <c r="P6267" s="14" t="s">
        <v>29309</v>
      </c>
      <c r="Q6267" s="14" t="s">
        <v>31</v>
      </c>
      <c r="R6267" s="14" t="s">
        <v>75</v>
      </c>
      <c r="S6267" s="16" t="s">
        <v>29310</v>
      </c>
      <c r="T6267" s="14" t="s">
        <v>66</v>
      </c>
      <c r="U6267" s="16" t="s">
        <v>31</v>
      </c>
      <c r="V6267" s="14" t="s">
        <v>39062</v>
      </c>
      <c r="W6267" s="14" t="s">
        <v>29311</v>
      </c>
      <c r="X6267" s="17" t="str">
        <f>HYPERLINK("https://my.pitchbook.com?p=210082-69P","View People Online")</f>
        <v>View People Online</v>
      </c>
    </row>
    <row r="6268">
      <c r="A6268" s="2" t="s">
        <v>39063</v>
      </c>
      <c r="B6268" s="2" t="s">
        <v>39064</v>
      </c>
      <c r="C6268" s="2" t="s">
        <v>31945</v>
      </c>
      <c r="D6268" s="2" t="s">
        <v>35732</v>
      </c>
      <c r="E6268" s="2" t="s">
        <v>29311</v>
      </c>
      <c r="F6268" s="2" t="s">
        <v>39065</v>
      </c>
      <c r="G6268" s="2" t="s">
        <v>39066</v>
      </c>
      <c r="H6268" s="3">
        <v>3.0</v>
      </c>
      <c r="I6268" s="3">
        <v>13.0</v>
      </c>
      <c r="J6268" s="3">
        <v>1.0</v>
      </c>
      <c r="K6268" s="3">
        <v>6.0</v>
      </c>
      <c r="L6268" s="4" t="s">
        <v>38852</v>
      </c>
      <c r="M6268" s="2" t="s">
        <v>39067</v>
      </c>
      <c r="N6268" s="2" t="s">
        <v>29307</v>
      </c>
      <c r="O6268" s="4" t="s">
        <v>29308</v>
      </c>
      <c r="P6268" s="2" t="s">
        <v>29309</v>
      </c>
      <c r="Q6268" s="2" t="s">
        <v>31</v>
      </c>
      <c r="R6268" s="2" t="s">
        <v>75</v>
      </c>
      <c r="S6268" s="4" t="s">
        <v>29310</v>
      </c>
      <c r="T6268" s="2" t="s">
        <v>66</v>
      </c>
      <c r="U6268" s="4" t="s">
        <v>31</v>
      </c>
      <c r="V6268" s="2" t="s">
        <v>39068</v>
      </c>
      <c r="W6268" s="2" t="s">
        <v>29311</v>
      </c>
      <c r="X6268" s="5" t="str">
        <f>HYPERLINK("https://my.pitchbook.com?p=32631-49P","View People Online")</f>
        <v>View People Online</v>
      </c>
    </row>
    <row r="6269">
      <c r="A6269" s="6" t="s">
        <v>39069</v>
      </c>
      <c r="B6269" s="6" t="s">
        <v>39070</v>
      </c>
      <c r="C6269" s="6" t="s">
        <v>32604</v>
      </c>
      <c r="D6269" s="6" t="s">
        <v>1583</v>
      </c>
      <c r="E6269" s="6" t="s">
        <v>29311</v>
      </c>
      <c r="F6269" s="6" t="s">
        <v>8581</v>
      </c>
      <c r="G6269" s="6" t="s">
        <v>39071</v>
      </c>
      <c r="H6269" s="7" t="s">
        <v>31</v>
      </c>
      <c r="I6269" s="7">
        <v>1.0</v>
      </c>
      <c r="J6269" s="7">
        <v>1.0</v>
      </c>
      <c r="K6269" s="7" t="s">
        <v>31</v>
      </c>
      <c r="L6269" s="8" t="s">
        <v>39072</v>
      </c>
      <c r="M6269" s="6" t="s">
        <v>39073</v>
      </c>
      <c r="N6269" s="6" t="s">
        <v>29307</v>
      </c>
      <c r="O6269" s="8" t="s">
        <v>29308</v>
      </c>
      <c r="P6269" s="6" t="s">
        <v>29309</v>
      </c>
      <c r="Q6269" s="6" t="s">
        <v>31</v>
      </c>
      <c r="R6269" s="6" t="s">
        <v>75</v>
      </c>
      <c r="S6269" s="8" t="s">
        <v>29310</v>
      </c>
      <c r="T6269" s="6" t="s">
        <v>66</v>
      </c>
      <c r="U6269" s="8" t="s">
        <v>31</v>
      </c>
      <c r="V6269" s="6" t="s">
        <v>39074</v>
      </c>
      <c r="W6269" s="6" t="s">
        <v>29311</v>
      </c>
      <c r="X6269" s="9" t="str">
        <f>HYPERLINK("https://my.pitchbook.com?p=213953-50P","View People Online")</f>
        <v>View People Online</v>
      </c>
    </row>
    <row r="6270">
      <c r="A6270" s="10" t="s">
        <v>39075</v>
      </c>
      <c r="B6270" s="10" t="s">
        <v>39076</v>
      </c>
      <c r="C6270" s="10" t="s">
        <v>3307</v>
      </c>
      <c r="D6270" s="10" t="s">
        <v>39077</v>
      </c>
      <c r="E6270" s="10" t="s">
        <v>29311</v>
      </c>
      <c r="F6270" s="10" t="s">
        <v>1283</v>
      </c>
      <c r="G6270" s="10" t="s">
        <v>39078</v>
      </c>
      <c r="H6270" s="11" t="s">
        <v>31</v>
      </c>
      <c r="I6270" s="11">
        <v>2.0</v>
      </c>
      <c r="J6270" s="11">
        <v>2.0</v>
      </c>
      <c r="K6270" s="11" t="s">
        <v>31</v>
      </c>
      <c r="L6270" s="12" t="s">
        <v>39079</v>
      </c>
      <c r="M6270" s="10" t="s">
        <v>39080</v>
      </c>
      <c r="N6270" s="10" t="s">
        <v>39081</v>
      </c>
      <c r="O6270" s="12" t="s">
        <v>39082</v>
      </c>
      <c r="P6270" s="10" t="s">
        <v>39083</v>
      </c>
      <c r="Q6270" s="10" t="s">
        <v>7124</v>
      </c>
      <c r="R6270" s="10" t="s">
        <v>24115</v>
      </c>
      <c r="S6270" s="12" t="s">
        <v>39084</v>
      </c>
      <c r="T6270" s="10" t="s">
        <v>66</v>
      </c>
      <c r="U6270" s="12" t="s">
        <v>31</v>
      </c>
      <c r="V6270" s="10" t="s">
        <v>371</v>
      </c>
      <c r="W6270" s="10" t="s">
        <v>39085</v>
      </c>
      <c r="X6270" s="13" t="str">
        <f>HYPERLINK("https://my.pitchbook.com?p=266840-38P","View People Online")</f>
        <v>View People Online</v>
      </c>
    </row>
    <row r="6271">
      <c r="A6271" s="6" t="s">
        <v>39086</v>
      </c>
      <c r="B6271" s="6" t="s">
        <v>39087</v>
      </c>
      <c r="C6271" s="6" t="s">
        <v>536</v>
      </c>
      <c r="D6271" s="6" t="s">
        <v>39088</v>
      </c>
      <c r="E6271" s="6" t="s">
        <v>29311</v>
      </c>
      <c r="F6271" s="6" t="s">
        <v>8581</v>
      </c>
      <c r="G6271" s="6" t="s">
        <v>39089</v>
      </c>
      <c r="H6271" s="7" t="s">
        <v>31</v>
      </c>
      <c r="I6271" s="7">
        <v>5.0</v>
      </c>
      <c r="J6271" s="7">
        <v>1.0</v>
      </c>
      <c r="K6271" s="7">
        <v>3.0</v>
      </c>
      <c r="L6271" s="8" t="s">
        <v>39090</v>
      </c>
      <c r="M6271" s="6" t="s">
        <v>39091</v>
      </c>
      <c r="N6271" s="6" t="s">
        <v>29307</v>
      </c>
      <c r="O6271" s="8" t="s">
        <v>29308</v>
      </c>
      <c r="P6271" s="6" t="s">
        <v>29309</v>
      </c>
      <c r="Q6271" s="6" t="s">
        <v>31</v>
      </c>
      <c r="R6271" s="6" t="s">
        <v>75</v>
      </c>
      <c r="S6271" s="8" t="s">
        <v>29310</v>
      </c>
      <c r="T6271" s="6" t="s">
        <v>66</v>
      </c>
      <c r="U6271" s="8" t="s">
        <v>31</v>
      </c>
      <c r="V6271" s="6" t="s">
        <v>39092</v>
      </c>
      <c r="W6271" s="6" t="s">
        <v>29311</v>
      </c>
      <c r="X6271" s="9" t="str">
        <f>HYPERLINK("https://my.pitchbook.com?p=164640-97P","View People Online")</f>
        <v>View People Online</v>
      </c>
    </row>
    <row r="6272">
      <c r="A6272" s="10" t="s">
        <v>39093</v>
      </c>
      <c r="B6272" s="10" t="s">
        <v>39094</v>
      </c>
      <c r="C6272" s="10" t="s">
        <v>39095</v>
      </c>
      <c r="D6272" s="10" t="s">
        <v>39096</v>
      </c>
      <c r="E6272" s="10" t="s">
        <v>29311</v>
      </c>
      <c r="F6272" s="10" t="s">
        <v>8581</v>
      </c>
      <c r="G6272" s="10" t="s">
        <v>39097</v>
      </c>
      <c r="H6272" s="11" t="s">
        <v>31</v>
      </c>
      <c r="I6272" s="11">
        <v>1.0</v>
      </c>
      <c r="J6272" s="11">
        <v>1.0</v>
      </c>
      <c r="K6272" s="11" t="s">
        <v>31</v>
      </c>
      <c r="L6272" s="12" t="s">
        <v>38801</v>
      </c>
      <c r="M6272" s="10" t="s">
        <v>39098</v>
      </c>
      <c r="N6272" s="10" t="s">
        <v>29307</v>
      </c>
      <c r="O6272" s="12" t="s">
        <v>29308</v>
      </c>
      <c r="P6272" s="10" t="s">
        <v>29309</v>
      </c>
      <c r="Q6272" s="10" t="s">
        <v>31</v>
      </c>
      <c r="R6272" s="10" t="s">
        <v>75</v>
      </c>
      <c r="S6272" s="12" t="s">
        <v>29310</v>
      </c>
      <c r="T6272" s="10" t="s">
        <v>66</v>
      </c>
      <c r="U6272" s="12" t="s">
        <v>31</v>
      </c>
      <c r="V6272" s="10" t="s">
        <v>39099</v>
      </c>
      <c r="W6272" s="10" t="s">
        <v>29311</v>
      </c>
      <c r="X6272" s="13" t="str">
        <f>HYPERLINK("https://my.pitchbook.com?p=39751-30P","View People Online")</f>
        <v>View People Online</v>
      </c>
    </row>
    <row r="6273">
      <c r="A6273" s="14" t="s">
        <v>39100</v>
      </c>
      <c r="B6273" s="14" t="s">
        <v>39101</v>
      </c>
      <c r="C6273" s="14" t="s">
        <v>39102</v>
      </c>
      <c r="D6273" s="14" t="s">
        <v>39103</v>
      </c>
      <c r="E6273" s="14" t="s">
        <v>29311</v>
      </c>
      <c r="F6273" s="14" t="s">
        <v>1283</v>
      </c>
      <c r="G6273" s="14" t="s">
        <v>39104</v>
      </c>
      <c r="H6273" s="15">
        <v>1.0</v>
      </c>
      <c r="I6273" s="15">
        <v>3.0</v>
      </c>
      <c r="J6273" s="15">
        <v>1.0</v>
      </c>
      <c r="K6273" s="15">
        <v>1.0</v>
      </c>
      <c r="L6273" s="16" t="s">
        <v>38801</v>
      </c>
      <c r="M6273" s="14" t="s">
        <v>31</v>
      </c>
      <c r="N6273" s="14" t="s">
        <v>29307</v>
      </c>
      <c r="O6273" s="16" t="s">
        <v>29308</v>
      </c>
      <c r="P6273" s="14" t="s">
        <v>29309</v>
      </c>
      <c r="Q6273" s="14" t="s">
        <v>31</v>
      </c>
      <c r="R6273" s="14" t="s">
        <v>75</v>
      </c>
      <c r="S6273" s="16" t="s">
        <v>29310</v>
      </c>
      <c r="T6273" s="14" t="s">
        <v>66</v>
      </c>
      <c r="U6273" s="16" t="s">
        <v>31</v>
      </c>
      <c r="V6273" s="14" t="s">
        <v>1283</v>
      </c>
      <c r="W6273" s="14" t="s">
        <v>29311</v>
      </c>
      <c r="X6273" s="17" t="str">
        <f>HYPERLINK("https://my.pitchbook.com?p=260123-59P","View People Online")</f>
        <v>View People Online</v>
      </c>
    </row>
    <row r="6274">
      <c r="A6274" s="2" t="s">
        <v>39105</v>
      </c>
      <c r="B6274" s="2" t="s">
        <v>39106</v>
      </c>
      <c r="C6274" s="2" t="s">
        <v>39107</v>
      </c>
      <c r="D6274" s="2" t="s">
        <v>1146</v>
      </c>
      <c r="E6274" s="2" t="s">
        <v>29311</v>
      </c>
      <c r="F6274" s="2" t="s">
        <v>270</v>
      </c>
      <c r="G6274" s="2" t="s">
        <v>39108</v>
      </c>
      <c r="H6274" s="3" t="s">
        <v>31</v>
      </c>
      <c r="I6274" s="3">
        <v>1.0</v>
      </c>
      <c r="J6274" s="3">
        <v>1.0</v>
      </c>
      <c r="K6274" s="3" t="s">
        <v>31</v>
      </c>
      <c r="L6274" s="4" t="s">
        <v>38801</v>
      </c>
      <c r="M6274" s="2" t="s">
        <v>39109</v>
      </c>
      <c r="N6274" s="2" t="s">
        <v>29307</v>
      </c>
      <c r="O6274" s="4" t="s">
        <v>29308</v>
      </c>
      <c r="P6274" s="2" t="s">
        <v>29309</v>
      </c>
      <c r="Q6274" s="2" t="s">
        <v>31</v>
      </c>
      <c r="R6274" s="2" t="s">
        <v>75</v>
      </c>
      <c r="S6274" s="4" t="s">
        <v>29310</v>
      </c>
      <c r="T6274" s="2" t="s">
        <v>66</v>
      </c>
      <c r="U6274" s="4" t="s">
        <v>31</v>
      </c>
      <c r="V6274" s="2" t="s">
        <v>39110</v>
      </c>
      <c r="W6274" s="2" t="s">
        <v>29311</v>
      </c>
      <c r="X6274" s="5" t="str">
        <f>HYPERLINK("https://my.pitchbook.com?p=265277-08P","View People Online")</f>
        <v>View People Online</v>
      </c>
    </row>
    <row r="6275">
      <c r="A6275" s="14" t="s">
        <v>39111</v>
      </c>
      <c r="B6275" s="14" t="s">
        <v>39112</v>
      </c>
      <c r="C6275" s="14" t="s">
        <v>39113</v>
      </c>
      <c r="D6275" s="14" t="s">
        <v>39114</v>
      </c>
      <c r="E6275" s="14" t="s">
        <v>29311</v>
      </c>
      <c r="F6275" s="14" t="s">
        <v>8581</v>
      </c>
      <c r="G6275" s="14" t="s">
        <v>39115</v>
      </c>
      <c r="H6275" s="15" t="s">
        <v>31</v>
      </c>
      <c r="I6275" s="15">
        <v>1.0</v>
      </c>
      <c r="J6275" s="15">
        <v>1.0</v>
      </c>
      <c r="K6275" s="15" t="s">
        <v>31</v>
      </c>
      <c r="L6275" s="16" t="s">
        <v>38801</v>
      </c>
      <c r="M6275" s="14" t="s">
        <v>39116</v>
      </c>
      <c r="N6275" s="14" t="s">
        <v>29307</v>
      </c>
      <c r="O6275" s="16" t="s">
        <v>29308</v>
      </c>
      <c r="P6275" s="14" t="s">
        <v>29309</v>
      </c>
      <c r="Q6275" s="14" t="s">
        <v>31</v>
      </c>
      <c r="R6275" s="14" t="s">
        <v>75</v>
      </c>
      <c r="S6275" s="16" t="s">
        <v>29310</v>
      </c>
      <c r="T6275" s="14" t="s">
        <v>66</v>
      </c>
      <c r="U6275" s="16" t="s">
        <v>31</v>
      </c>
      <c r="V6275" s="14" t="s">
        <v>39117</v>
      </c>
      <c r="W6275" s="14" t="s">
        <v>29311</v>
      </c>
      <c r="X6275" s="17" t="str">
        <f>HYPERLINK("https://my.pitchbook.com?p=164640-70P","View People Online")</f>
        <v>View People Online</v>
      </c>
    </row>
    <row r="6276">
      <c r="A6276" s="2" t="s">
        <v>39118</v>
      </c>
      <c r="B6276" s="2" t="s">
        <v>39119</v>
      </c>
      <c r="C6276" s="2" t="s">
        <v>39120</v>
      </c>
      <c r="D6276" s="2" t="s">
        <v>1073</v>
      </c>
      <c r="E6276" s="2" t="s">
        <v>29311</v>
      </c>
      <c r="F6276" s="2" t="s">
        <v>1283</v>
      </c>
      <c r="G6276" s="2" t="s">
        <v>39121</v>
      </c>
      <c r="H6276" s="3" t="s">
        <v>31</v>
      </c>
      <c r="I6276" s="3">
        <v>1.0</v>
      </c>
      <c r="J6276" s="3">
        <v>1.0</v>
      </c>
      <c r="K6276" s="3" t="s">
        <v>31</v>
      </c>
      <c r="L6276" s="4" t="s">
        <v>39122</v>
      </c>
      <c r="M6276" s="2" t="s">
        <v>31</v>
      </c>
      <c r="N6276" s="2" t="s">
        <v>29307</v>
      </c>
      <c r="O6276" s="4" t="s">
        <v>29308</v>
      </c>
      <c r="P6276" s="2" t="s">
        <v>29309</v>
      </c>
      <c r="Q6276" s="2" t="s">
        <v>31</v>
      </c>
      <c r="R6276" s="2" t="s">
        <v>75</v>
      </c>
      <c r="S6276" s="4" t="s">
        <v>29310</v>
      </c>
      <c r="T6276" s="2" t="s">
        <v>66</v>
      </c>
      <c r="U6276" s="4" t="s">
        <v>31</v>
      </c>
      <c r="V6276" s="2" t="s">
        <v>1283</v>
      </c>
      <c r="W6276" s="2" t="s">
        <v>29311</v>
      </c>
      <c r="X6276" s="5" t="str">
        <f>HYPERLINK("https://my.pitchbook.com?p=187773-58P","View People Online")</f>
        <v>View People Online</v>
      </c>
    </row>
    <row r="6277">
      <c r="A6277" s="6" t="s">
        <v>39123</v>
      </c>
      <c r="B6277" s="6" t="s">
        <v>39124</v>
      </c>
      <c r="C6277" s="6" t="s">
        <v>4673</v>
      </c>
      <c r="D6277" s="6" t="s">
        <v>39125</v>
      </c>
      <c r="E6277" s="6" t="s">
        <v>29311</v>
      </c>
      <c r="F6277" s="6" t="s">
        <v>270</v>
      </c>
      <c r="G6277" s="6" t="s">
        <v>39126</v>
      </c>
      <c r="H6277" s="7" t="s">
        <v>31</v>
      </c>
      <c r="I6277" s="7">
        <v>1.0</v>
      </c>
      <c r="J6277" s="7">
        <v>1.0</v>
      </c>
      <c r="K6277" s="7" t="s">
        <v>31</v>
      </c>
      <c r="L6277" s="8" t="s">
        <v>38801</v>
      </c>
      <c r="M6277" s="6" t="s">
        <v>39127</v>
      </c>
      <c r="N6277" s="6" t="s">
        <v>29307</v>
      </c>
      <c r="O6277" s="8" t="s">
        <v>29308</v>
      </c>
      <c r="P6277" s="6" t="s">
        <v>29309</v>
      </c>
      <c r="Q6277" s="6" t="s">
        <v>31</v>
      </c>
      <c r="R6277" s="6" t="s">
        <v>75</v>
      </c>
      <c r="S6277" s="8" t="s">
        <v>29310</v>
      </c>
      <c r="T6277" s="6" t="s">
        <v>66</v>
      </c>
      <c r="U6277" s="8" t="s">
        <v>31</v>
      </c>
      <c r="V6277" s="6" t="s">
        <v>39128</v>
      </c>
      <c r="W6277" s="6" t="s">
        <v>29311</v>
      </c>
      <c r="X6277" s="9" t="str">
        <f>HYPERLINK("https://my.pitchbook.com?p=265276-27P","View People Online")</f>
        <v>View People Online</v>
      </c>
    </row>
    <row r="6278">
      <c r="A6278" s="10" t="s">
        <v>39129</v>
      </c>
      <c r="B6278" s="10" t="s">
        <v>39130</v>
      </c>
      <c r="C6278" s="10" t="s">
        <v>34632</v>
      </c>
      <c r="D6278" s="10" t="s">
        <v>3847</v>
      </c>
      <c r="E6278" s="10" t="s">
        <v>29311</v>
      </c>
      <c r="F6278" s="10" t="s">
        <v>1283</v>
      </c>
      <c r="G6278" s="10" t="s">
        <v>39131</v>
      </c>
      <c r="H6278" s="11" t="s">
        <v>31</v>
      </c>
      <c r="I6278" s="11">
        <v>1.0</v>
      </c>
      <c r="J6278" s="11">
        <v>1.0</v>
      </c>
      <c r="K6278" s="11" t="s">
        <v>31</v>
      </c>
      <c r="L6278" s="12" t="s">
        <v>38801</v>
      </c>
      <c r="M6278" s="10" t="s">
        <v>31</v>
      </c>
      <c r="N6278" s="10" t="s">
        <v>29307</v>
      </c>
      <c r="O6278" s="12" t="s">
        <v>29308</v>
      </c>
      <c r="P6278" s="10" t="s">
        <v>29309</v>
      </c>
      <c r="Q6278" s="10" t="s">
        <v>31</v>
      </c>
      <c r="R6278" s="10" t="s">
        <v>75</v>
      </c>
      <c r="S6278" s="12" t="s">
        <v>29310</v>
      </c>
      <c r="T6278" s="10" t="s">
        <v>66</v>
      </c>
      <c r="U6278" s="12" t="s">
        <v>31</v>
      </c>
      <c r="V6278" s="10" t="s">
        <v>1283</v>
      </c>
      <c r="W6278" s="10" t="s">
        <v>29311</v>
      </c>
      <c r="X6278" s="13" t="str">
        <f>HYPERLINK("https://my.pitchbook.com?p=253002-25P","View People Online")</f>
        <v>View People Online</v>
      </c>
    </row>
    <row r="6279">
      <c r="A6279" s="14" t="s">
        <v>39132</v>
      </c>
      <c r="B6279" s="14" t="s">
        <v>39133</v>
      </c>
      <c r="C6279" s="14" t="s">
        <v>1683</v>
      </c>
      <c r="D6279" s="14" t="s">
        <v>38843</v>
      </c>
      <c r="E6279" s="14" t="s">
        <v>29311</v>
      </c>
      <c r="F6279" s="14" t="s">
        <v>1237</v>
      </c>
      <c r="G6279" s="14" t="s">
        <v>39134</v>
      </c>
      <c r="H6279" s="15">
        <v>2.0</v>
      </c>
      <c r="I6279" s="15">
        <v>3.0</v>
      </c>
      <c r="J6279" s="15">
        <v>1.0</v>
      </c>
      <c r="K6279" s="15">
        <v>1.0</v>
      </c>
      <c r="L6279" s="16" t="s">
        <v>38845</v>
      </c>
      <c r="M6279" s="14" t="s">
        <v>31</v>
      </c>
      <c r="N6279" s="14" t="s">
        <v>29307</v>
      </c>
      <c r="O6279" s="16" t="s">
        <v>29308</v>
      </c>
      <c r="P6279" s="14" t="s">
        <v>29309</v>
      </c>
      <c r="Q6279" s="14" t="s">
        <v>31</v>
      </c>
      <c r="R6279" s="14" t="s">
        <v>75</v>
      </c>
      <c r="S6279" s="16" t="s">
        <v>29310</v>
      </c>
      <c r="T6279" s="14" t="s">
        <v>66</v>
      </c>
      <c r="U6279" s="16" t="s">
        <v>31</v>
      </c>
      <c r="V6279" s="14" t="s">
        <v>39135</v>
      </c>
      <c r="W6279" s="14" t="s">
        <v>29311</v>
      </c>
      <c r="X6279" s="17" t="str">
        <f>HYPERLINK("https://my.pitchbook.com?p=181227-34P","View People Online")</f>
        <v>View People Online</v>
      </c>
    </row>
    <row r="6280">
      <c r="A6280" s="10" t="s">
        <v>39136</v>
      </c>
      <c r="B6280" s="10" t="s">
        <v>39137</v>
      </c>
      <c r="C6280" s="10" t="s">
        <v>39138</v>
      </c>
      <c r="D6280" s="10" t="s">
        <v>39139</v>
      </c>
      <c r="E6280" s="10" t="s">
        <v>29311</v>
      </c>
      <c r="F6280" s="10" t="s">
        <v>270</v>
      </c>
      <c r="G6280" s="10" t="s">
        <v>39140</v>
      </c>
      <c r="H6280" s="11" t="s">
        <v>31</v>
      </c>
      <c r="I6280" s="11">
        <v>1.0</v>
      </c>
      <c r="J6280" s="11">
        <v>1.0</v>
      </c>
      <c r="K6280" s="11" t="s">
        <v>31</v>
      </c>
      <c r="L6280" s="12" t="s">
        <v>39141</v>
      </c>
      <c r="M6280" s="10" t="s">
        <v>31</v>
      </c>
      <c r="N6280" s="10" t="s">
        <v>29307</v>
      </c>
      <c r="O6280" s="12" t="s">
        <v>29308</v>
      </c>
      <c r="P6280" s="10" t="s">
        <v>29309</v>
      </c>
      <c r="Q6280" s="10" t="s">
        <v>31</v>
      </c>
      <c r="R6280" s="10" t="s">
        <v>75</v>
      </c>
      <c r="S6280" s="12" t="s">
        <v>29310</v>
      </c>
      <c r="T6280" s="10" t="s">
        <v>66</v>
      </c>
      <c r="U6280" s="12" t="s">
        <v>31</v>
      </c>
      <c r="V6280" s="10" t="s">
        <v>39142</v>
      </c>
      <c r="W6280" s="10" t="s">
        <v>29311</v>
      </c>
      <c r="X6280" s="13" t="str">
        <f>HYPERLINK("https://my.pitchbook.com?p=181228-33P","View People Online")</f>
        <v>View People Online</v>
      </c>
    </row>
    <row r="6281">
      <c r="A6281" s="6" t="s">
        <v>39143</v>
      </c>
      <c r="B6281" s="6" t="s">
        <v>39144</v>
      </c>
      <c r="C6281" s="6" t="s">
        <v>39145</v>
      </c>
      <c r="D6281" s="6" t="s">
        <v>39146</v>
      </c>
      <c r="E6281" s="6" t="s">
        <v>29311</v>
      </c>
      <c r="F6281" s="6" t="s">
        <v>8581</v>
      </c>
      <c r="G6281" s="6" t="s">
        <v>39147</v>
      </c>
      <c r="H6281" s="7">
        <v>6.0</v>
      </c>
      <c r="I6281" s="7">
        <v>20.0</v>
      </c>
      <c r="J6281" s="7">
        <v>2.0</v>
      </c>
      <c r="K6281" s="7">
        <v>12.0</v>
      </c>
      <c r="L6281" s="8" t="s">
        <v>39148</v>
      </c>
      <c r="M6281" s="6" t="s">
        <v>39149</v>
      </c>
      <c r="N6281" s="6" t="s">
        <v>39150</v>
      </c>
      <c r="O6281" s="8" t="s">
        <v>39151</v>
      </c>
      <c r="P6281" s="6" t="s">
        <v>39152</v>
      </c>
      <c r="Q6281" s="6" t="s">
        <v>31</v>
      </c>
      <c r="R6281" s="6" t="s">
        <v>1185</v>
      </c>
      <c r="S6281" s="8" t="s">
        <v>39153</v>
      </c>
      <c r="T6281" s="6" t="s">
        <v>66</v>
      </c>
      <c r="U6281" s="8" t="s">
        <v>39154</v>
      </c>
      <c r="V6281" s="6" t="s">
        <v>189</v>
      </c>
      <c r="W6281" s="6" t="s">
        <v>39155</v>
      </c>
      <c r="X6281" s="9" t="str">
        <f>HYPERLINK("https://my.pitchbook.com?p=52070-77P","View People Online")</f>
        <v>View People Online</v>
      </c>
    </row>
    <row r="6282">
      <c r="A6282" s="2" t="s">
        <v>39156</v>
      </c>
      <c r="B6282" s="2" t="s">
        <v>39157</v>
      </c>
      <c r="C6282" s="2" t="s">
        <v>1066</v>
      </c>
      <c r="D6282" s="2" t="s">
        <v>8032</v>
      </c>
      <c r="E6282" s="2" t="s">
        <v>29311</v>
      </c>
      <c r="F6282" s="2" t="s">
        <v>57</v>
      </c>
      <c r="G6282" s="2" t="s">
        <v>39158</v>
      </c>
      <c r="H6282" s="3" t="s">
        <v>31</v>
      </c>
      <c r="I6282" s="3">
        <v>5.0</v>
      </c>
      <c r="J6282" s="3">
        <v>2.0</v>
      </c>
      <c r="K6282" s="3" t="s">
        <v>31</v>
      </c>
      <c r="L6282" s="4" t="s">
        <v>39159</v>
      </c>
      <c r="M6282" s="2" t="s">
        <v>39160</v>
      </c>
      <c r="N6282" s="2" t="s">
        <v>39161</v>
      </c>
      <c r="O6282" s="4" t="s">
        <v>39162</v>
      </c>
      <c r="P6282" s="2" t="s">
        <v>39163</v>
      </c>
      <c r="Q6282" s="2" t="s">
        <v>39164</v>
      </c>
      <c r="R6282" s="2" t="s">
        <v>396</v>
      </c>
      <c r="S6282" s="4" t="s">
        <v>39165</v>
      </c>
      <c r="T6282" s="2" t="s">
        <v>66</v>
      </c>
      <c r="U6282" s="4" t="s">
        <v>31</v>
      </c>
      <c r="V6282" s="2" t="s">
        <v>24979</v>
      </c>
      <c r="W6282" s="2" t="s">
        <v>39166</v>
      </c>
      <c r="X6282" s="5" t="str">
        <f>HYPERLINK("https://my.pitchbook.com?p=55280-62P","View People Online")</f>
        <v>View People Online</v>
      </c>
    </row>
    <row r="6283">
      <c r="A6283" s="14" t="s">
        <v>39167</v>
      </c>
      <c r="B6283" s="14" t="s">
        <v>39168</v>
      </c>
      <c r="C6283" s="14" t="s">
        <v>1697</v>
      </c>
      <c r="D6283" s="14" t="s">
        <v>39169</v>
      </c>
      <c r="E6283" s="14" t="s">
        <v>29311</v>
      </c>
      <c r="F6283" s="14" t="s">
        <v>8581</v>
      </c>
      <c r="G6283" s="14" t="s">
        <v>39170</v>
      </c>
      <c r="H6283" s="15" t="s">
        <v>31</v>
      </c>
      <c r="I6283" s="15">
        <v>1.0</v>
      </c>
      <c r="J6283" s="15">
        <v>1.0</v>
      </c>
      <c r="K6283" s="15" t="s">
        <v>31</v>
      </c>
      <c r="L6283" s="16" t="s">
        <v>39171</v>
      </c>
      <c r="M6283" s="14" t="s">
        <v>31</v>
      </c>
      <c r="N6283" s="14" t="s">
        <v>29307</v>
      </c>
      <c r="O6283" s="16" t="s">
        <v>29308</v>
      </c>
      <c r="P6283" s="14" t="s">
        <v>29309</v>
      </c>
      <c r="Q6283" s="14" t="s">
        <v>31</v>
      </c>
      <c r="R6283" s="14" t="s">
        <v>75</v>
      </c>
      <c r="S6283" s="16" t="s">
        <v>29310</v>
      </c>
      <c r="T6283" s="14" t="s">
        <v>66</v>
      </c>
      <c r="U6283" s="16" t="s">
        <v>31</v>
      </c>
      <c r="V6283" s="14" t="s">
        <v>39172</v>
      </c>
      <c r="W6283" s="14" t="s">
        <v>29311</v>
      </c>
      <c r="X6283" s="17" t="str">
        <f>HYPERLINK("https://my.pitchbook.com?p=164643-58P","View People Online")</f>
        <v>View People Online</v>
      </c>
    </row>
    <row r="6284">
      <c r="A6284" s="2" t="s">
        <v>39173</v>
      </c>
      <c r="B6284" s="2" t="s">
        <v>39174</v>
      </c>
      <c r="C6284" s="2" t="s">
        <v>39175</v>
      </c>
      <c r="D6284" s="2" t="s">
        <v>39176</v>
      </c>
      <c r="E6284" s="2" t="s">
        <v>39177</v>
      </c>
      <c r="F6284" s="2" t="s">
        <v>270</v>
      </c>
      <c r="G6284" s="2" t="s">
        <v>39178</v>
      </c>
      <c r="H6284" s="3">
        <v>1.0</v>
      </c>
      <c r="I6284" s="3">
        <v>3.0</v>
      </c>
      <c r="J6284" s="3">
        <v>1.0</v>
      </c>
      <c r="K6284" s="3">
        <v>1.0</v>
      </c>
      <c r="L6284" s="4" t="s">
        <v>39179</v>
      </c>
      <c r="M6284" s="2" t="s">
        <v>31</v>
      </c>
      <c r="N6284" s="2" t="s">
        <v>34</v>
      </c>
      <c r="O6284" s="4" t="s">
        <v>35</v>
      </c>
      <c r="P6284" s="2" t="s">
        <v>39180</v>
      </c>
      <c r="Q6284" s="2" t="s">
        <v>31</v>
      </c>
      <c r="R6284" s="2" t="s">
        <v>34</v>
      </c>
      <c r="S6284" s="4" t="s">
        <v>39181</v>
      </c>
      <c r="T6284" s="2" t="s">
        <v>38</v>
      </c>
      <c r="U6284" s="4" t="s">
        <v>31</v>
      </c>
      <c r="V6284" s="2" t="s">
        <v>27832</v>
      </c>
      <c r="W6284" s="2" t="s">
        <v>39182</v>
      </c>
      <c r="X6284" s="5" t="str">
        <f>HYPERLINK("https://my.pitchbook.com?p=263356-75P","View People Online")</f>
        <v>View People Online</v>
      </c>
    </row>
    <row r="6285">
      <c r="A6285" s="6" t="s">
        <v>39183</v>
      </c>
      <c r="B6285" s="6" t="s">
        <v>39184</v>
      </c>
      <c r="C6285" s="6" t="s">
        <v>12402</v>
      </c>
      <c r="D6285" s="6" t="s">
        <v>39185</v>
      </c>
      <c r="E6285" s="6" t="s">
        <v>39177</v>
      </c>
      <c r="F6285" s="6" t="s">
        <v>1106</v>
      </c>
      <c r="G6285" s="6" t="s">
        <v>39186</v>
      </c>
      <c r="H6285" s="7" t="s">
        <v>31</v>
      </c>
      <c r="I6285" s="7">
        <v>2.0</v>
      </c>
      <c r="J6285" s="7">
        <v>2.0</v>
      </c>
      <c r="K6285" s="7" t="s">
        <v>31</v>
      </c>
      <c r="L6285" s="8" t="s">
        <v>31</v>
      </c>
      <c r="M6285" s="6" t="s">
        <v>39187</v>
      </c>
      <c r="N6285" s="6" t="s">
        <v>39188</v>
      </c>
      <c r="O6285" s="8" t="s">
        <v>39189</v>
      </c>
      <c r="P6285" s="6" t="s">
        <v>39190</v>
      </c>
      <c r="Q6285" s="6" t="s">
        <v>31</v>
      </c>
      <c r="R6285" s="6" t="s">
        <v>31</v>
      </c>
      <c r="S6285" s="8" t="s">
        <v>39191</v>
      </c>
      <c r="T6285" s="6" t="s">
        <v>38</v>
      </c>
      <c r="U6285" s="8" t="s">
        <v>31</v>
      </c>
      <c r="V6285" s="6" t="s">
        <v>1106</v>
      </c>
      <c r="W6285" s="6" t="s">
        <v>39177</v>
      </c>
      <c r="X6285" s="9" t="str">
        <f>HYPERLINK("https://my.pitchbook.com?p=320622-04P","View People Online")</f>
        <v>View People Online</v>
      </c>
    </row>
    <row r="6286">
      <c r="A6286" s="2" t="s">
        <v>39192</v>
      </c>
      <c r="B6286" s="2" t="s">
        <v>39193</v>
      </c>
      <c r="C6286" s="2" t="s">
        <v>39194</v>
      </c>
      <c r="D6286" s="2" t="s">
        <v>39195</v>
      </c>
      <c r="E6286" s="2" t="s">
        <v>39196</v>
      </c>
      <c r="F6286" s="2" t="s">
        <v>318</v>
      </c>
      <c r="G6286" s="2" t="s">
        <v>39197</v>
      </c>
      <c r="H6286" s="3" t="s">
        <v>31</v>
      </c>
      <c r="I6286" s="3">
        <v>1.0</v>
      </c>
      <c r="J6286" s="3">
        <v>1.0</v>
      </c>
      <c r="K6286" s="3" t="s">
        <v>31</v>
      </c>
      <c r="L6286" s="4" t="s">
        <v>31</v>
      </c>
      <c r="M6286" s="2" t="s">
        <v>39198</v>
      </c>
      <c r="N6286" s="2" t="s">
        <v>39199</v>
      </c>
      <c r="O6286" s="4" t="s">
        <v>39200</v>
      </c>
      <c r="P6286" s="2" t="s">
        <v>39201</v>
      </c>
      <c r="Q6286" s="2" t="s">
        <v>31</v>
      </c>
      <c r="R6286" s="2" t="s">
        <v>39202</v>
      </c>
      <c r="S6286" s="4" t="s">
        <v>39203</v>
      </c>
      <c r="T6286" s="2" t="s">
        <v>66</v>
      </c>
      <c r="U6286" s="4" t="s">
        <v>31</v>
      </c>
      <c r="V6286" s="2" t="s">
        <v>17736</v>
      </c>
      <c r="W6286" s="2" t="s">
        <v>39196</v>
      </c>
      <c r="X6286" s="5" t="str">
        <f>HYPERLINK("https://my.pitchbook.com?p=277983-10P","View People Online")</f>
        <v>View People Online</v>
      </c>
    </row>
    <row r="6287">
      <c r="A6287" s="14" t="s">
        <v>39204</v>
      </c>
      <c r="B6287" s="14" t="s">
        <v>39205</v>
      </c>
      <c r="C6287" s="14" t="s">
        <v>4731</v>
      </c>
      <c r="D6287" s="14" t="s">
        <v>39206</v>
      </c>
      <c r="E6287" s="14" t="s">
        <v>39196</v>
      </c>
      <c r="F6287" s="14" t="s">
        <v>674</v>
      </c>
      <c r="G6287" s="14" t="s">
        <v>39207</v>
      </c>
      <c r="H6287" s="15">
        <v>4.0</v>
      </c>
      <c r="I6287" s="15">
        <v>22.0</v>
      </c>
      <c r="J6287" s="15">
        <v>1.0</v>
      </c>
      <c r="K6287" s="15">
        <v>12.0</v>
      </c>
      <c r="L6287" s="16" t="s">
        <v>39208</v>
      </c>
      <c r="M6287" s="14" t="s">
        <v>39209</v>
      </c>
      <c r="N6287" s="14" t="s">
        <v>39199</v>
      </c>
      <c r="O6287" s="16" t="s">
        <v>39200</v>
      </c>
      <c r="P6287" s="14" t="s">
        <v>39201</v>
      </c>
      <c r="Q6287" s="14" t="s">
        <v>31</v>
      </c>
      <c r="R6287" s="14" t="s">
        <v>39202</v>
      </c>
      <c r="S6287" s="16" t="s">
        <v>39203</v>
      </c>
      <c r="T6287" s="14" t="s">
        <v>66</v>
      </c>
      <c r="U6287" s="16" t="s">
        <v>31</v>
      </c>
      <c r="V6287" s="14" t="s">
        <v>1172</v>
      </c>
      <c r="W6287" s="14" t="s">
        <v>39196</v>
      </c>
      <c r="X6287" s="17" t="str">
        <f>HYPERLINK("https://my.pitchbook.com?p=147557-53P","View People Online")</f>
        <v>View People Online</v>
      </c>
    </row>
    <row r="6288">
      <c r="A6288" s="10" t="s">
        <v>39210</v>
      </c>
      <c r="B6288" s="10" t="s">
        <v>39211</v>
      </c>
      <c r="C6288" s="10" t="s">
        <v>1117</v>
      </c>
      <c r="D6288" s="10" t="s">
        <v>39212</v>
      </c>
      <c r="E6288" s="10" t="s">
        <v>39196</v>
      </c>
      <c r="F6288" s="10" t="s">
        <v>81</v>
      </c>
      <c r="G6288" s="10" t="s">
        <v>39213</v>
      </c>
      <c r="H6288" s="11" t="s">
        <v>31</v>
      </c>
      <c r="I6288" s="11">
        <v>1.0</v>
      </c>
      <c r="J6288" s="11" t="s">
        <v>31</v>
      </c>
      <c r="K6288" s="11" t="s">
        <v>31</v>
      </c>
      <c r="L6288" s="12" t="s">
        <v>39214</v>
      </c>
      <c r="M6288" s="10" t="s">
        <v>31</v>
      </c>
      <c r="N6288" s="10" t="s">
        <v>39199</v>
      </c>
      <c r="O6288" s="12" t="s">
        <v>39200</v>
      </c>
      <c r="P6288" s="10" t="s">
        <v>39201</v>
      </c>
      <c r="Q6288" s="10" t="s">
        <v>31</v>
      </c>
      <c r="R6288" s="10" t="s">
        <v>39202</v>
      </c>
      <c r="S6288" s="12" t="s">
        <v>39203</v>
      </c>
      <c r="T6288" s="10" t="s">
        <v>66</v>
      </c>
      <c r="U6288" s="12" t="s">
        <v>31</v>
      </c>
      <c r="V6288" s="10" t="s">
        <v>81</v>
      </c>
      <c r="W6288" s="10" t="s">
        <v>39196</v>
      </c>
      <c r="X6288" s="13" t="str">
        <f>HYPERLINK("https://my.pitchbook.com?p=226336-87P","View People Online")</f>
        <v>View People Online</v>
      </c>
    </row>
    <row r="6289">
      <c r="A6289" s="6" t="s">
        <v>39215</v>
      </c>
      <c r="B6289" s="6" t="s">
        <v>39216</v>
      </c>
      <c r="C6289" s="6" t="s">
        <v>1117</v>
      </c>
      <c r="D6289" s="6" t="s">
        <v>39217</v>
      </c>
      <c r="E6289" s="6" t="s">
        <v>39196</v>
      </c>
      <c r="F6289" s="6" t="s">
        <v>81</v>
      </c>
      <c r="G6289" s="6" t="s">
        <v>39218</v>
      </c>
      <c r="H6289" s="7" t="s">
        <v>31</v>
      </c>
      <c r="I6289" s="7">
        <v>1.0</v>
      </c>
      <c r="J6289" s="7" t="s">
        <v>31</v>
      </c>
      <c r="K6289" s="7" t="s">
        <v>31</v>
      </c>
      <c r="L6289" s="8" t="s">
        <v>31</v>
      </c>
      <c r="M6289" s="6" t="s">
        <v>31</v>
      </c>
      <c r="N6289" s="6" t="s">
        <v>39199</v>
      </c>
      <c r="O6289" s="8" t="s">
        <v>39200</v>
      </c>
      <c r="P6289" s="6" t="s">
        <v>39201</v>
      </c>
      <c r="Q6289" s="6" t="s">
        <v>31</v>
      </c>
      <c r="R6289" s="6" t="s">
        <v>39202</v>
      </c>
      <c r="S6289" s="8" t="s">
        <v>39203</v>
      </c>
      <c r="T6289" s="6" t="s">
        <v>66</v>
      </c>
      <c r="U6289" s="8" t="s">
        <v>31</v>
      </c>
      <c r="V6289" s="6" t="s">
        <v>81</v>
      </c>
      <c r="W6289" s="6" t="s">
        <v>39196</v>
      </c>
      <c r="X6289" s="9" t="str">
        <f>HYPERLINK("https://my.pitchbook.com?p=379527-13P","View People Online")</f>
        <v>View People Online</v>
      </c>
    </row>
    <row r="6290">
      <c r="A6290" s="2" t="s">
        <v>39219</v>
      </c>
      <c r="B6290" s="2" t="s">
        <v>39220</v>
      </c>
      <c r="C6290" s="2" t="s">
        <v>39221</v>
      </c>
      <c r="D6290" s="2" t="s">
        <v>39222</v>
      </c>
      <c r="E6290" s="2" t="s">
        <v>39196</v>
      </c>
      <c r="F6290" s="2" t="s">
        <v>3288</v>
      </c>
      <c r="G6290" s="2" t="s">
        <v>39223</v>
      </c>
      <c r="H6290" s="3">
        <v>5.0</v>
      </c>
      <c r="I6290" s="3">
        <v>22.0</v>
      </c>
      <c r="J6290" s="3">
        <v>2.0</v>
      </c>
      <c r="K6290" s="3">
        <v>11.0</v>
      </c>
      <c r="L6290" s="4" t="s">
        <v>31</v>
      </c>
      <c r="M6290" s="2" t="s">
        <v>39224</v>
      </c>
      <c r="N6290" s="2" t="s">
        <v>39199</v>
      </c>
      <c r="O6290" s="4" t="s">
        <v>39200</v>
      </c>
      <c r="P6290" s="2" t="s">
        <v>39201</v>
      </c>
      <c r="Q6290" s="2" t="s">
        <v>31</v>
      </c>
      <c r="R6290" s="2" t="s">
        <v>39202</v>
      </c>
      <c r="S6290" s="4" t="s">
        <v>39203</v>
      </c>
      <c r="T6290" s="2" t="s">
        <v>66</v>
      </c>
      <c r="U6290" s="4" t="s">
        <v>31</v>
      </c>
      <c r="V6290" s="2" t="s">
        <v>57</v>
      </c>
      <c r="W6290" s="2" t="s">
        <v>39196</v>
      </c>
      <c r="X6290" s="5" t="str">
        <f>HYPERLINK("https://my.pitchbook.com?p=180754-30P","View People Online")</f>
        <v>View People Online</v>
      </c>
    </row>
    <row r="6291">
      <c r="A6291" s="14" t="s">
        <v>39225</v>
      </c>
      <c r="B6291" s="14" t="s">
        <v>39226</v>
      </c>
      <c r="C6291" s="14" t="s">
        <v>3946</v>
      </c>
      <c r="D6291" s="14" t="s">
        <v>17504</v>
      </c>
      <c r="E6291" s="14" t="s">
        <v>39196</v>
      </c>
      <c r="F6291" s="14" t="s">
        <v>81</v>
      </c>
      <c r="G6291" s="14" t="s">
        <v>39227</v>
      </c>
      <c r="H6291" s="15">
        <v>2.0</v>
      </c>
      <c r="I6291" s="15">
        <v>3.0</v>
      </c>
      <c r="J6291" s="15" t="s">
        <v>31</v>
      </c>
      <c r="K6291" s="15" t="s">
        <v>31</v>
      </c>
      <c r="L6291" s="16" t="s">
        <v>39228</v>
      </c>
      <c r="M6291" s="14" t="s">
        <v>31</v>
      </c>
      <c r="N6291" s="14" t="s">
        <v>155</v>
      </c>
      <c r="O6291" s="16" t="s">
        <v>156</v>
      </c>
      <c r="P6291" s="14" t="s">
        <v>39229</v>
      </c>
      <c r="Q6291" s="14" t="s">
        <v>39230</v>
      </c>
      <c r="R6291" s="14" t="s">
        <v>64</v>
      </c>
      <c r="S6291" s="16" t="s">
        <v>39231</v>
      </c>
      <c r="T6291" s="14" t="s">
        <v>66</v>
      </c>
      <c r="U6291" s="16" t="s">
        <v>31</v>
      </c>
      <c r="V6291" s="14" t="s">
        <v>2379</v>
      </c>
      <c r="W6291" s="14" t="s">
        <v>39232</v>
      </c>
      <c r="X6291" s="17" t="str">
        <f>HYPERLINK("https://my.pitchbook.com?p=226337-50P","View People Online")</f>
        <v>View People Online</v>
      </c>
    </row>
    <row r="6292">
      <c r="A6292" s="2" t="s">
        <v>39233</v>
      </c>
      <c r="B6292" s="2" t="s">
        <v>39234</v>
      </c>
      <c r="C6292" s="2" t="s">
        <v>1449</v>
      </c>
      <c r="D6292" s="2" t="s">
        <v>39235</v>
      </c>
      <c r="E6292" s="2" t="s">
        <v>39196</v>
      </c>
      <c r="F6292" s="2" t="s">
        <v>57</v>
      </c>
      <c r="G6292" s="2" t="s">
        <v>39236</v>
      </c>
      <c r="H6292" s="3">
        <v>2.0</v>
      </c>
      <c r="I6292" s="3">
        <v>23.0</v>
      </c>
      <c r="J6292" s="3">
        <v>1.0</v>
      </c>
      <c r="K6292" s="3">
        <v>14.0</v>
      </c>
      <c r="L6292" s="4" t="s">
        <v>39237</v>
      </c>
      <c r="M6292" s="2" t="s">
        <v>39238</v>
      </c>
      <c r="N6292" s="2" t="s">
        <v>39199</v>
      </c>
      <c r="O6292" s="4" t="s">
        <v>39200</v>
      </c>
      <c r="P6292" s="2" t="s">
        <v>39201</v>
      </c>
      <c r="Q6292" s="2" t="s">
        <v>31</v>
      </c>
      <c r="R6292" s="2" t="s">
        <v>39202</v>
      </c>
      <c r="S6292" s="4" t="s">
        <v>39203</v>
      </c>
      <c r="T6292" s="2" t="s">
        <v>66</v>
      </c>
      <c r="U6292" s="4" t="s">
        <v>31</v>
      </c>
      <c r="V6292" s="2" t="s">
        <v>57</v>
      </c>
      <c r="W6292" s="2" t="s">
        <v>39196</v>
      </c>
      <c r="X6292" s="5" t="str">
        <f>HYPERLINK("https://my.pitchbook.com?p=180753-49P","View People Online")</f>
        <v>View People Online</v>
      </c>
    </row>
    <row r="6293">
      <c r="A6293" s="14" t="s">
        <v>39239</v>
      </c>
      <c r="B6293" s="14" t="s">
        <v>39240</v>
      </c>
      <c r="C6293" s="14" t="s">
        <v>1449</v>
      </c>
      <c r="D6293" s="14" t="s">
        <v>39241</v>
      </c>
      <c r="E6293" s="14" t="s">
        <v>39196</v>
      </c>
      <c r="F6293" s="14" t="s">
        <v>39242</v>
      </c>
      <c r="G6293" s="14" t="s">
        <v>39243</v>
      </c>
      <c r="H6293" s="15" t="s">
        <v>31</v>
      </c>
      <c r="I6293" s="15">
        <v>2.0</v>
      </c>
      <c r="J6293" s="15">
        <v>1.0</v>
      </c>
      <c r="K6293" s="15" t="s">
        <v>31</v>
      </c>
      <c r="L6293" s="16" t="s">
        <v>31</v>
      </c>
      <c r="M6293" s="14" t="s">
        <v>31</v>
      </c>
      <c r="N6293" s="14" t="s">
        <v>39199</v>
      </c>
      <c r="O6293" s="16" t="s">
        <v>39200</v>
      </c>
      <c r="P6293" s="14" t="s">
        <v>39201</v>
      </c>
      <c r="Q6293" s="14" t="s">
        <v>31</v>
      </c>
      <c r="R6293" s="14" t="s">
        <v>39202</v>
      </c>
      <c r="S6293" s="16" t="s">
        <v>39203</v>
      </c>
      <c r="T6293" s="14" t="s">
        <v>66</v>
      </c>
      <c r="U6293" s="16" t="s">
        <v>31</v>
      </c>
      <c r="V6293" s="14" t="s">
        <v>39244</v>
      </c>
      <c r="W6293" s="14" t="s">
        <v>39196</v>
      </c>
      <c r="X6293" s="17" t="str">
        <f>HYPERLINK("https://my.pitchbook.com?p=326564-56P","View People Online")</f>
        <v>View People Online</v>
      </c>
    </row>
    <row r="6294">
      <c r="A6294" s="10" t="s">
        <v>39245</v>
      </c>
      <c r="B6294" s="10" t="s">
        <v>4344</v>
      </c>
      <c r="C6294" s="10" t="s">
        <v>4345</v>
      </c>
      <c r="D6294" s="10" t="s">
        <v>4346</v>
      </c>
      <c r="E6294" s="10" t="s">
        <v>39196</v>
      </c>
      <c r="F6294" s="10" t="s">
        <v>120</v>
      </c>
      <c r="G6294" s="10" t="s">
        <v>39246</v>
      </c>
      <c r="H6294" s="11" t="s">
        <v>31</v>
      </c>
      <c r="I6294" s="11">
        <v>4.0</v>
      </c>
      <c r="J6294" s="11">
        <v>4.0</v>
      </c>
      <c r="K6294" s="11" t="s">
        <v>31</v>
      </c>
      <c r="L6294" s="12" t="s">
        <v>39247</v>
      </c>
      <c r="M6294" s="10" t="s">
        <v>39248</v>
      </c>
      <c r="N6294" s="10" t="s">
        <v>39249</v>
      </c>
      <c r="O6294" s="12" t="s">
        <v>39250</v>
      </c>
      <c r="P6294" s="10" t="s">
        <v>39251</v>
      </c>
      <c r="Q6294" s="10" t="s">
        <v>39252</v>
      </c>
      <c r="R6294" s="10" t="s">
        <v>39202</v>
      </c>
      <c r="S6294" s="12" t="s">
        <v>39253</v>
      </c>
      <c r="T6294" s="10" t="s">
        <v>66</v>
      </c>
      <c r="U6294" s="12" t="s">
        <v>31</v>
      </c>
      <c r="V6294" s="10" t="s">
        <v>39254</v>
      </c>
      <c r="W6294" s="10" t="s">
        <v>39255</v>
      </c>
      <c r="X6294" s="13" t="str">
        <f>HYPERLINK("https://my.pitchbook.com?p=66996-91P","View People Online")</f>
        <v>View People Online</v>
      </c>
    </row>
    <row r="6295">
      <c r="A6295" s="14" t="s">
        <v>39256</v>
      </c>
      <c r="B6295" s="14" t="s">
        <v>39257</v>
      </c>
      <c r="C6295" s="14" t="s">
        <v>5363</v>
      </c>
      <c r="D6295" s="14" t="s">
        <v>39258</v>
      </c>
      <c r="E6295" s="14" t="s">
        <v>39196</v>
      </c>
      <c r="F6295" s="14" t="s">
        <v>81</v>
      </c>
      <c r="G6295" s="14" t="s">
        <v>39259</v>
      </c>
      <c r="H6295" s="15">
        <v>1.0</v>
      </c>
      <c r="I6295" s="15">
        <v>4.0</v>
      </c>
      <c r="J6295" s="15" t="s">
        <v>31</v>
      </c>
      <c r="K6295" s="15">
        <v>1.0</v>
      </c>
      <c r="L6295" s="16" t="s">
        <v>31</v>
      </c>
      <c r="M6295" s="14" t="s">
        <v>39260</v>
      </c>
      <c r="N6295" s="14" t="s">
        <v>39199</v>
      </c>
      <c r="O6295" s="16" t="s">
        <v>39200</v>
      </c>
      <c r="P6295" s="14" t="s">
        <v>39201</v>
      </c>
      <c r="Q6295" s="14" t="s">
        <v>31</v>
      </c>
      <c r="R6295" s="14" t="s">
        <v>39202</v>
      </c>
      <c r="S6295" s="16" t="s">
        <v>39203</v>
      </c>
      <c r="T6295" s="14" t="s">
        <v>66</v>
      </c>
      <c r="U6295" s="16" t="s">
        <v>31</v>
      </c>
      <c r="V6295" s="14" t="s">
        <v>31</v>
      </c>
      <c r="W6295" s="14" t="s">
        <v>39261</v>
      </c>
      <c r="X6295" s="17" t="str">
        <f>HYPERLINK("https://my.pitchbook.com?p=203674-87P","View People Online")</f>
        <v>View People Online</v>
      </c>
    </row>
    <row r="6296">
      <c r="A6296" s="2" t="s">
        <v>39262</v>
      </c>
      <c r="B6296" s="2" t="s">
        <v>39263</v>
      </c>
      <c r="C6296" s="2" t="s">
        <v>1343</v>
      </c>
      <c r="D6296" s="2" t="s">
        <v>1589</v>
      </c>
      <c r="E6296" s="2" t="s">
        <v>39196</v>
      </c>
      <c r="F6296" s="2" t="s">
        <v>81</v>
      </c>
      <c r="G6296" s="2" t="s">
        <v>39264</v>
      </c>
      <c r="H6296" s="3">
        <v>2.0</v>
      </c>
      <c r="I6296" s="3">
        <v>3.0</v>
      </c>
      <c r="J6296" s="3" t="s">
        <v>31</v>
      </c>
      <c r="K6296" s="3" t="s">
        <v>31</v>
      </c>
      <c r="L6296" s="4" t="s">
        <v>39265</v>
      </c>
      <c r="M6296" s="2" t="s">
        <v>31</v>
      </c>
      <c r="N6296" s="2" t="s">
        <v>39266</v>
      </c>
      <c r="O6296" s="4" t="s">
        <v>39267</v>
      </c>
      <c r="P6296" s="2" t="s">
        <v>39268</v>
      </c>
      <c r="Q6296" s="2" t="s">
        <v>39269</v>
      </c>
      <c r="R6296" s="2" t="s">
        <v>64</v>
      </c>
      <c r="S6296" s="4" t="s">
        <v>39270</v>
      </c>
      <c r="T6296" s="2" t="s">
        <v>66</v>
      </c>
      <c r="U6296" s="4" t="s">
        <v>31</v>
      </c>
      <c r="V6296" s="2" t="s">
        <v>2379</v>
      </c>
      <c r="W6296" s="2" t="s">
        <v>39271</v>
      </c>
      <c r="X6296" s="5" t="str">
        <f>HYPERLINK("https://my.pitchbook.com?p=357504-22P","View People Online")</f>
        <v>View People Online</v>
      </c>
    </row>
    <row r="6297">
      <c r="A6297" s="6" t="s">
        <v>39272</v>
      </c>
      <c r="B6297" s="6" t="s">
        <v>39273</v>
      </c>
      <c r="C6297" s="6" t="s">
        <v>1356</v>
      </c>
      <c r="D6297" s="6" t="s">
        <v>39274</v>
      </c>
      <c r="E6297" s="6" t="s">
        <v>39196</v>
      </c>
      <c r="F6297" s="6" t="s">
        <v>81</v>
      </c>
      <c r="G6297" s="6" t="s">
        <v>39275</v>
      </c>
      <c r="H6297" s="7" t="s">
        <v>31</v>
      </c>
      <c r="I6297" s="7">
        <v>9.0</v>
      </c>
      <c r="J6297" s="7">
        <v>1.0</v>
      </c>
      <c r="K6297" s="7" t="s">
        <v>31</v>
      </c>
      <c r="L6297" s="8" t="s">
        <v>39276</v>
      </c>
      <c r="M6297" s="6" t="s">
        <v>39277</v>
      </c>
      <c r="N6297" s="6" t="s">
        <v>4232</v>
      </c>
      <c r="O6297" s="8" t="s">
        <v>4233</v>
      </c>
      <c r="P6297" s="6" t="s">
        <v>39278</v>
      </c>
      <c r="Q6297" s="6" t="s">
        <v>39279</v>
      </c>
      <c r="R6297" s="6" t="s">
        <v>4236</v>
      </c>
      <c r="S6297" s="8" t="s">
        <v>27763</v>
      </c>
      <c r="T6297" s="6" t="s">
        <v>66</v>
      </c>
      <c r="U6297" s="8" t="s">
        <v>39280</v>
      </c>
      <c r="V6297" s="6" t="s">
        <v>39281</v>
      </c>
      <c r="W6297" s="6" t="s">
        <v>39282</v>
      </c>
      <c r="X6297" s="9" t="str">
        <f>HYPERLINK("https://my.pitchbook.com?p=82378-99P","View People Online")</f>
        <v>View People Online</v>
      </c>
    </row>
    <row r="6298">
      <c r="A6298" s="10" t="s">
        <v>39283</v>
      </c>
      <c r="B6298" s="10" t="s">
        <v>39284</v>
      </c>
      <c r="C6298" s="10" t="s">
        <v>1356</v>
      </c>
      <c r="D6298" s="10" t="s">
        <v>12452</v>
      </c>
      <c r="E6298" s="10" t="s">
        <v>39196</v>
      </c>
      <c r="F6298" s="10" t="s">
        <v>81</v>
      </c>
      <c r="G6298" s="10" t="s">
        <v>39285</v>
      </c>
      <c r="H6298" s="11">
        <v>1.0</v>
      </c>
      <c r="I6298" s="11">
        <v>5.0</v>
      </c>
      <c r="J6298" s="11" t="s">
        <v>31</v>
      </c>
      <c r="K6298" s="11">
        <v>2.0</v>
      </c>
      <c r="L6298" s="12" t="s">
        <v>31</v>
      </c>
      <c r="M6298" s="10" t="s">
        <v>31</v>
      </c>
      <c r="N6298" s="10" t="s">
        <v>6669</v>
      </c>
      <c r="O6298" s="12" t="s">
        <v>6670</v>
      </c>
      <c r="P6298" s="10" t="s">
        <v>39286</v>
      </c>
      <c r="Q6298" s="10" t="s">
        <v>31</v>
      </c>
      <c r="R6298" s="10" t="s">
        <v>1185</v>
      </c>
      <c r="S6298" s="12" t="s">
        <v>6712</v>
      </c>
      <c r="T6298" s="10" t="s">
        <v>66</v>
      </c>
      <c r="U6298" s="12" t="s">
        <v>31</v>
      </c>
      <c r="V6298" s="10" t="s">
        <v>2379</v>
      </c>
      <c r="W6298" s="10" t="s">
        <v>39287</v>
      </c>
      <c r="X6298" s="13" t="str">
        <f>HYPERLINK("https://my.pitchbook.com?p=91387-09P","View People Online")</f>
        <v>View People Online</v>
      </c>
    </row>
    <row r="6299">
      <c r="A6299" s="6" t="s">
        <v>39288</v>
      </c>
      <c r="B6299" s="6" t="s">
        <v>39289</v>
      </c>
      <c r="C6299" s="6" t="s">
        <v>1630</v>
      </c>
      <c r="D6299" s="6" t="s">
        <v>15869</v>
      </c>
      <c r="E6299" s="6" t="s">
        <v>39196</v>
      </c>
      <c r="F6299" s="6" t="s">
        <v>81</v>
      </c>
      <c r="G6299" s="6" t="s">
        <v>39290</v>
      </c>
      <c r="H6299" s="7" t="s">
        <v>31</v>
      </c>
      <c r="I6299" s="7">
        <v>1.0</v>
      </c>
      <c r="J6299" s="7" t="s">
        <v>31</v>
      </c>
      <c r="K6299" s="7" t="s">
        <v>31</v>
      </c>
      <c r="L6299" s="8" t="s">
        <v>39291</v>
      </c>
      <c r="M6299" s="6" t="s">
        <v>31</v>
      </c>
      <c r="N6299" s="6" t="s">
        <v>39199</v>
      </c>
      <c r="O6299" s="8" t="s">
        <v>39200</v>
      </c>
      <c r="P6299" s="6" t="s">
        <v>39201</v>
      </c>
      <c r="Q6299" s="6" t="s">
        <v>31</v>
      </c>
      <c r="R6299" s="6" t="s">
        <v>39202</v>
      </c>
      <c r="S6299" s="8" t="s">
        <v>39203</v>
      </c>
      <c r="T6299" s="6" t="s">
        <v>66</v>
      </c>
      <c r="U6299" s="8" t="s">
        <v>31</v>
      </c>
      <c r="V6299" s="6" t="s">
        <v>81</v>
      </c>
      <c r="W6299" s="6" t="s">
        <v>39196</v>
      </c>
      <c r="X6299" s="9" t="str">
        <f>HYPERLINK("https://my.pitchbook.com?p=192114-19P","View People Online")</f>
        <v>View People Online</v>
      </c>
    </row>
    <row r="6300">
      <c r="A6300" s="2" t="s">
        <v>39292</v>
      </c>
      <c r="B6300" s="2" t="s">
        <v>39293</v>
      </c>
      <c r="C6300" s="2" t="s">
        <v>7538</v>
      </c>
      <c r="D6300" s="2" t="s">
        <v>39294</v>
      </c>
      <c r="E6300" s="2" t="s">
        <v>39196</v>
      </c>
      <c r="F6300" s="2" t="s">
        <v>81</v>
      </c>
      <c r="G6300" s="2" t="s">
        <v>39295</v>
      </c>
      <c r="H6300" s="3" t="s">
        <v>31</v>
      </c>
      <c r="I6300" s="3">
        <v>8.0</v>
      </c>
      <c r="J6300" s="3">
        <v>2.0</v>
      </c>
      <c r="K6300" s="3">
        <v>5.0</v>
      </c>
      <c r="L6300" s="4" t="s">
        <v>39296</v>
      </c>
      <c r="M6300" s="2" t="s">
        <v>39297</v>
      </c>
      <c r="N6300" s="2" t="s">
        <v>6669</v>
      </c>
      <c r="O6300" s="4" t="s">
        <v>6670</v>
      </c>
      <c r="P6300" s="2" t="s">
        <v>31</v>
      </c>
      <c r="Q6300" s="2" t="s">
        <v>31</v>
      </c>
      <c r="R6300" s="2" t="s">
        <v>1185</v>
      </c>
      <c r="S6300" s="4" t="s">
        <v>6712</v>
      </c>
      <c r="T6300" s="2" t="s">
        <v>66</v>
      </c>
      <c r="U6300" s="4" t="s">
        <v>31</v>
      </c>
      <c r="V6300" s="2" t="s">
        <v>43</v>
      </c>
      <c r="W6300" s="2" t="s">
        <v>39298</v>
      </c>
      <c r="X6300" s="5" t="str">
        <f>HYPERLINK("https://my.pitchbook.com?p=147567-97P","View People Online")</f>
        <v>View People Online</v>
      </c>
    </row>
    <row r="6301">
      <c r="A6301" s="14" t="s">
        <v>39299</v>
      </c>
      <c r="B6301" s="14" t="s">
        <v>39300</v>
      </c>
      <c r="C6301" s="14" t="s">
        <v>39301</v>
      </c>
      <c r="D6301" s="14" t="s">
        <v>39302</v>
      </c>
      <c r="E6301" s="14" t="s">
        <v>39196</v>
      </c>
      <c r="F6301" s="14" t="s">
        <v>120</v>
      </c>
      <c r="G6301" s="14" t="s">
        <v>39303</v>
      </c>
      <c r="H6301" s="15" t="s">
        <v>31</v>
      </c>
      <c r="I6301" s="15">
        <v>1.0</v>
      </c>
      <c r="J6301" s="15">
        <v>1.0</v>
      </c>
      <c r="K6301" s="15" t="s">
        <v>31</v>
      </c>
      <c r="L6301" s="16" t="s">
        <v>31</v>
      </c>
      <c r="M6301" s="14" t="s">
        <v>39304</v>
      </c>
      <c r="N6301" s="14" t="s">
        <v>39199</v>
      </c>
      <c r="O6301" s="16" t="s">
        <v>39200</v>
      </c>
      <c r="P6301" s="14" t="s">
        <v>39201</v>
      </c>
      <c r="Q6301" s="14" t="s">
        <v>31</v>
      </c>
      <c r="R6301" s="14" t="s">
        <v>39202</v>
      </c>
      <c r="S6301" s="16" t="s">
        <v>39203</v>
      </c>
      <c r="T6301" s="14" t="s">
        <v>66</v>
      </c>
      <c r="U6301" s="16" t="s">
        <v>31</v>
      </c>
      <c r="V6301" s="14" t="s">
        <v>120</v>
      </c>
      <c r="W6301" s="14" t="s">
        <v>39196</v>
      </c>
      <c r="X6301" s="17" t="str">
        <f>HYPERLINK("https://my.pitchbook.com?p=147565-00P","View People Online")</f>
        <v>View People Online</v>
      </c>
    </row>
    <row r="6302">
      <c r="A6302" s="10" t="s">
        <v>39305</v>
      </c>
      <c r="B6302" s="10" t="s">
        <v>39306</v>
      </c>
      <c r="C6302" s="10" t="s">
        <v>11737</v>
      </c>
      <c r="D6302" s="10" t="s">
        <v>39307</v>
      </c>
      <c r="E6302" s="10" t="s">
        <v>39196</v>
      </c>
      <c r="F6302" s="10" t="s">
        <v>81</v>
      </c>
      <c r="G6302" s="10" t="s">
        <v>39308</v>
      </c>
      <c r="H6302" s="11">
        <v>3.0</v>
      </c>
      <c r="I6302" s="11">
        <v>4.0</v>
      </c>
      <c r="J6302" s="11" t="s">
        <v>31</v>
      </c>
      <c r="K6302" s="11" t="s">
        <v>31</v>
      </c>
      <c r="L6302" s="12" t="s">
        <v>31</v>
      </c>
      <c r="M6302" s="10" t="s">
        <v>31</v>
      </c>
      <c r="N6302" s="10" t="s">
        <v>39199</v>
      </c>
      <c r="O6302" s="12" t="s">
        <v>39200</v>
      </c>
      <c r="P6302" s="10" t="s">
        <v>39201</v>
      </c>
      <c r="Q6302" s="10" t="s">
        <v>31</v>
      </c>
      <c r="R6302" s="10" t="s">
        <v>39202</v>
      </c>
      <c r="S6302" s="12" t="s">
        <v>39203</v>
      </c>
      <c r="T6302" s="10" t="s">
        <v>66</v>
      </c>
      <c r="U6302" s="12" t="s">
        <v>31</v>
      </c>
      <c r="V6302" s="10" t="s">
        <v>2379</v>
      </c>
      <c r="W6302" s="10" t="s">
        <v>39309</v>
      </c>
      <c r="X6302" s="13" t="str">
        <f>HYPERLINK("https://my.pitchbook.com?p=42462-55P","View People Online")</f>
        <v>View People Online</v>
      </c>
    </row>
    <row r="6303">
      <c r="A6303" s="6" t="s">
        <v>39310</v>
      </c>
      <c r="B6303" s="6" t="s">
        <v>39311</v>
      </c>
      <c r="C6303" s="6" t="s">
        <v>18883</v>
      </c>
      <c r="D6303" s="6" t="s">
        <v>39312</v>
      </c>
      <c r="E6303" s="6" t="s">
        <v>39196</v>
      </c>
      <c r="F6303" s="6" t="s">
        <v>81</v>
      </c>
      <c r="G6303" s="6" t="s">
        <v>39313</v>
      </c>
      <c r="H6303" s="7" t="s">
        <v>31</v>
      </c>
      <c r="I6303" s="7">
        <v>2.0</v>
      </c>
      <c r="J6303" s="7">
        <v>1.0</v>
      </c>
      <c r="K6303" s="7" t="s">
        <v>31</v>
      </c>
      <c r="L6303" s="8" t="s">
        <v>39314</v>
      </c>
      <c r="M6303" s="6" t="s">
        <v>39315</v>
      </c>
      <c r="N6303" s="6" t="s">
        <v>39000</v>
      </c>
      <c r="O6303" s="8" t="s">
        <v>39001</v>
      </c>
      <c r="P6303" s="6" t="s">
        <v>39316</v>
      </c>
      <c r="Q6303" s="6" t="s">
        <v>39000</v>
      </c>
      <c r="R6303" s="6" t="s">
        <v>7004</v>
      </c>
      <c r="S6303" s="8" t="s">
        <v>39317</v>
      </c>
      <c r="T6303" s="6" t="s">
        <v>66</v>
      </c>
      <c r="U6303" s="8" t="s">
        <v>31</v>
      </c>
      <c r="V6303" s="6" t="s">
        <v>13755</v>
      </c>
      <c r="W6303" s="6" t="s">
        <v>39318</v>
      </c>
      <c r="X6303" s="9" t="str">
        <f>HYPERLINK("https://my.pitchbook.com?p=196909-93P","View People Online")</f>
        <v>View People Online</v>
      </c>
    </row>
    <row r="6304">
      <c r="A6304" s="2" t="s">
        <v>39319</v>
      </c>
      <c r="B6304" s="2" t="s">
        <v>39320</v>
      </c>
      <c r="C6304" s="2" t="s">
        <v>39321</v>
      </c>
      <c r="D6304" s="2" t="s">
        <v>6836</v>
      </c>
      <c r="E6304" s="2" t="s">
        <v>39196</v>
      </c>
      <c r="F6304" s="2" t="s">
        <v>81</v>
      </c>
      <c r="G6304" s="2" t="s">
        <v>39322</v>
      </c>
      <c r="H6304" s="3">
        <v>1.0</v>
      </c>
      <c r="I6304" s="3">
        <v>2.0</v>
      </c>
      <c r="J6304" s="3" t="s">
        <v>31</v>
      </c>
      <c r="K6304" s="3" t="s">
        <v>31</v>
      </c>
      <c r="L6304" s="4" t="s">
        <v>39323</v>
      </c>
      <c r="M6304" s="2" t="s">
        <v>31</v>
      </c>
      <c r="N6304" s="2" t="s">
        <v>39199</v>
      </c>
      <c r="O6304" s="4" t="s">
        <v>39200</v>
      </c>
      <c r="P6304" s="2" t="s">
        <v>39201</v>
      </c>
      <c r="Q6304" s="2" t="s">
        <v>31</v>
      </c>
      <c r="R6304" s="2" t="s">
        <v>39202</v>
      </c>
      <c r="S6304" s="4" t="s">
        <v>39203</v>
      </c>
      <c r="T6304" s="2" t="s">
        <v>66</v>
      </c>
      <c r="U6304" s="4" t="s">
        <v>31</v>
      </c>
      <c r="V6304" s="2" t="s">
        <v>81</v>
      </c>
      <c r="W6304" s="2" t="s">
        <v>39196</v>
      </c>
      <c r="X6304" s="5" t="str">
        <f>HYPERLINK("https://my.pitchbook.com?p=42149-80P","View People Online")</f>
        <v>View People Online</v>
      </c>
    </row>
    <row r="6305">
      <c r="A6305" s="6" t="s">
        <v>39324</v>
      </c>
      <c r="B6305" s="6" t="s">
        <v>39325</v>
      </c>
      <c r="C6305" s="6" t="s">
        <v>39326</v>
      </c>
      <c r="D6305" s="6" t="s">
        <v>39327</v>
      </c>
      <c r="E6305" s="6" t="s">
        <v>39196</v>
      </c>
      <c r="F6305" s="6" t="s">
        <v>81</v>
      </c>
      <c r="G6305" s="6" t="s">
        <v>39328</v>
      </c>
      <c r="H6305" s="7" t="s">
        <v>31</v>
      </c>
      <c r="I6305" s="7">
        <v>1.0</v>
      </c>
      <c r="J6305" s="7" t="s">
        <v>31</v>
      </c>
      <c r="K6305" s="7" t="s">
        <v>31</v>
      </c>
      <c r="L6305" s="8" t="s">
        <v>31</v>
      </c>
      <c r="M6305" s="6" t="s">
        <v>31</v>
      </c>
      <c r="N6305" s="6" t="s">
        <v>1181</v>
      </c>
      <c r="O6305" s="8" t="s">
        <v>1182</v>
      </c>
      <c r="P6305" s="6" t="s">
        <v>39329</v>
      </c>
      <c r="Q6305" s="6" t="s">
        <v>31</v>
      </c>
      <c r="R6305" s="6" t="s">
        <v>1185</v>
      </c>
      <c r="S6305" s="8" t="s">
        <v>6739</v>
      </c>
      <c r="T6305" s="6" t="s">
        <v>66</v>
      </c>
      <c r="U6305" s="8" t="s">
        <v>31</v>
      </c>
      <c r="V6305" s="6" t="s">
        <v>81</v>
      </c>
      <c r="W6305" s="6" t="s">
        <v>39196</v>
      </c>
      <c r="X6305" s="9" t="str">
        <f>HYPERLINK("https://my.pitchbook.com?p=276931-81P","View People Online")</f>
        <v>View People Online</v>
      </c>
    </row>
    <row r="6306">
      <c r="A6306" s="2" t="s">
        <v>39330</v>
      </c>
      <c r="B6306" s="2" t="s">
        <v>39331</v>
      </c>
      <c r="C6306" s="2" t="s">
        <v>39332</v>
      </c>
      <c r="D6306" s="2" t="s">
        <v>39333</v>
      </c>
      <c r="E6306" s="2" t="s">
        <v>39196</v>
      </c>
      <c r="F6306" s="2" t="s">
        <v>674</v>
      </c>
      <c r="G6306" s="2" t="s">
        <v>39334</v>
      </c>
      <c r="H6306" s="3">
        <v>5.0</v>
      </c>
      <c r="I6306" s="3">
        <v>31.0</v>
      </c>
      <c r="J6306" s="3">
        <v>1.0</v>
      </c>
      <c r="K6306" s="3">
        <v>20.0</v>
      </c>
      <c r="L6306" s="4" t="s">
        <v>39208</v>
      </c>
      <c r="M6306" s="2" t="s">
        <v>39335</v>
      </c>
      <c r="N6306" s="2" t="s">
        <v>1181</v>
      </c>
      <c r="O6306" s="4" t="s">
        <v>1182</v>
      </c>
      <c r="P6306" s="2" t="s">
        <v>39329</v>
      </c>
      <c r="Q6306" s="2" t="s">
        <v>31</v>
      </c>
      <c r="R6306" s="2" t="s">
        <v>1185</v>
      </c>
      <c r="S6306" s="4" t="s">
        <v>6739</v>
      </c>
      <c r="T6306" s="2" t="s">
        <v>66</v>
      </c>
      <c r="U6306" s="4" t="s">
        <v>31</v>
      </c>
      <c r="V6306" s="2" t="s">
        <v>39336</v>
      </c>
      <c r="W6306" s="2" t="s">
        <v>39196</v>
      </c>
      <c r="X6306" s="5" t="str">
        <f>HYPERLINK("https://my.pitchbook.com?p=147556-72P","View People Online")</f>
        <v>View People Online</v>
      </c>
    </row>
    <row r="6307">
      <c r="A6307" s="14" t="s">
        <v>39337</v>
      </c>
      <c r="B6307" s="14" t="s">
        <v>39338</v>
      </c>
      <c r="C6307" s="14" t="s">
        <v>39339</v>
      </c>
      <c r="D6307" s="14" t="s">
        <v>39340</v>
      </c>
      <c r="E6307" s="14" t="s">
        <v>39196</v>
      </c>
      <c r="F6307" s="14" t="s">
        <v>81</v>
      </c>
      <c r="G6307" s="14" t="s">
        <v>39341</v>
      </c>
      <c r="H6307" s="15" t="s">
        <v>31</v>
      </c>
      <c r="I6307" s="15">
        <v>1.0</v>
      </c>
      <c r="J6307" s="15" t="s">
        <v>31</v>
      </c>
      <c r="K6307" s="15" t="s">
        <v>31</v>
      </c>
      <c r="L6307" s="16" t="s">
        <v>31</v>
      </c>
      <c r="M6307" s="14" t="s">
        <v>31</v>
      </c>
      <c r="N6307" s="14" t="s">
        <v>39199</v>
      </c>
      <c r="O6307" s="16" t="s">
        <v>39200</v>
      </c>
      <c r="P6307" s="14" t="s">
        <v>39201</v>
      </c>
      <c r="Q6307" s="14" t="s">
        <v>31</v>
      </c>
      <c r="R6307" s="14" t="s">
        <v>39202</v>
      </c>
      <c r="S6307" s="16" t="s">
        <v>39203</v>
      </c>
      <c r="T6307" s="14" t="s">
        <v>66</v>
      </c>
      <c r="U6307" s="16" t="s">
        <v>31</v>
      </c>
      <c r="V6307" s="14" t="s">
        <v>81</v>
      </c>
      <c r="W6307" s="14" t="s">
        <v>39196</v>
      </c>
      <c r="X6307" s="17" t="str">
        <f>HYPERLINK("https://my.pitchbook.com?p=226340-20P","View People Online")</f>
        <v>View People Online</v>
      </c>
    </row>
    <row r="6308">
      <c r="A6308" s="2" t="s">
        <v>39342</v>
      </c>
      <c r="B6308" s="2" t="s">
        <v>39343</v>
      </c>
      <c r="C6308" s="2" t="s">
        <v>167</v>
      </c>
      <c r="D6308" s="2" t="s">
        <v>39344</v>
      </c>
      <c r="E6308" s="2" t="s">
        <v>39196</v>
      </c>
      <c r="F6308" s="2" t="s">
        <v>81</v>
      </c>
      <c r="G6308" s="2" t="s">
        <v>39345</v>
      </c>
      <c r="H6308" s="3">
        <v>1.0</v>
      </c>
      <c r="I6308" s="3">
        <v>6.0</v>
      </c>
      <c r="J6308" s="3">
        <v>4.0</v>
      </c>
      <c r="K6308" s="3" t="s">
        <v>31</v>
      </c>
      <c r="L6308" s="4" t="s">
        <v>31</v>
      </c>
      <c r="M6308" s="2" t="s">
        <v>39346</v>
      </c>
      <c r="N6308" s="2" t="s">
        <v>1368</v>
      </c>
      <c r="O6308" s="4" t="s">
        <v>1369</v>
      </c>
      <c r="P6308" s="2" t="s">
        <v>39347</v>
      </c>
      <c r="Q6308" s="2" t="s">
        <v>39348</v>
      </c>
      <c r="R6308" s="2" t="s">
        <v>1185</v>
      </c>
      <c r="S6308" s="4" t="s">
        <v>1372</v>
      </c>
      <c r="T6308" s="2" t="s">
        <v>66</v>
      </c>
      <c r="U6308" s="4" t="s">
        <v>31</v>
      </c>
      <c r="V6308" s="2" t="s">
        <v>1459</v>
      </c>
      <c r="W6308" s="2" t="s">
        <v>39349</v>
      </c>
      <c r="X6308" s="5" t="str">
        <f>HYPERLINK("https://my.pitchbook.com?p=73696-15P","View People Online")</f>
        <v>View People Online</v>
      </c>
    </row>
    <row r="6309">
      <c r="A6309" s="14" t="s">
        <v>39350</v>
      </c>
      <c r="B6309" s="14" t="s">
        <v>39351</v>
      </c>
      <c r="C6309" s="14" t="s">
        <v>536</v>
      </c>
      <c r="D6309" s="14" t="s">
        <v>39352</v>
      </c>
      <c r="E6309" s="14" t="s">
        <v>39196</v>
      </c>
      <c r="F6309" s="14" t="s">
        <v>120</v>
      </c>
      <c r="G6309" s="14" t="s">
        <v>39353</v>
      </c>
      <c r="H6309" s="15" t="s">
        <v>31</v>
      </c>
      <c r="I6309" s="15">
        <v>1.0</v>
      </c>
      <c r="J6309" s="15">
        <v>1.0</v>
      </c>
      <c r="K6309" s="15" t="s">
        <v>31</v>
      </c>
      <c r="L6309" s="16" t="s">
        <v>31</v>
      </c>
      <c r="M6309" s="14" t="s">
        <v>39354</v>
      </c>
      <c r="N6309" s="14" t="s">
        <v>39199</v>
      </c>
      <c r="O6309" s="16" t="s">
        <v>39200</v>
      </c>
      <c r="P6309" s="14" t="s">
        <v>39201</v>
      </c>
      <c r="Q6309" s="14" t="s">
        <v>31</v>
      </c>
      <c r="R6309" s="14" t="s">
        <v>39202</v>
      </c>
      <c r="S6309" s="16" t="s">
        <v>39203</v>
      </c>
      <c r="T6309" s="14" t="s">
        <v>66</v>
      </c>
      <c r="U6309" s="16" t="s">
        <v>31</v>
      </c>
      <c r="V6309" s="14" t="s">
        <v>120</v>
      </c>
      <c r="W6309" s="14" t="s">
        <v>39196</v>
      </c>
      <c r="X6309" s="17" t="str">
        <f>HYPERLINK("https://my.pitchbook.com?p=339139-27P","View People Online")</f>
        <v>View People Online</v>
      </c>
    </row>
    <row r="6310">
      <c r="A6310" s="2" t="s">
        <v>39355</v>
      </c>
      <c r="B6310" s="2" t="s">
        <v>39356</v>
      </c>
      <c r="C6310" s="2" t="s">
        <v>536</v>
      </c>
      <c r="D6310" s="2" t="s">
        <v>39357</v>
      </c>
      <c r="E6310" s="2" t="s">
        <v>39196</v>
      </c>
      <c r="F6310" s="2" t="s">
        <v>120</v>
      </c>
      <c r="G6310" s="2" t="s">
        <v>39358</v>
      </c>
      <c r="H6310" s="3">
        <v>1.0</v>
      </c>
      <c r="I6310" s="3">
        <v>3.0</v>
      </c>
      <c r="J6310" s="3">
        <v>2.0</v>
      </c>
      <c r="K6310" s="3" t="s">
        <v>31</v>
      </c>
      <c r="L6310" s="4" t="s">
        <v>31</v>
      </c>
      <c r="M6310" s="2" t="s">
        <v>31</v>
      </c>
      <c r="N6310" s="2" t="s">
        <v>1181</v>
      </c>
      <c r="O6310" s="4" t="s">
        <v>1182</v>
      </c>
      <c r="P6310" s="2" t="s">
        <v>39359</v>
      </c>
      <c r="Q6310" s="2" t="s">
        <v>310</v>
      </c>
      <c r="R6310" s="2" t="s">
        <v>1185</v>
      </c>
      <c r="S6310" s="4" t="s">
        <v>29487</v>
      </c>
      <c r="T6310" s="2" t="s">
        <v>66</v>
      </c>
      <c r="U6310" s="4" t="s">
        <v>31</v>
      </c>
      <c r="V6310" s="2" t="s">
        <v>583</v>
      </c>
      <c r="W6310" s="2" t="s">
        <v>39360</v>
      </c>
      <c r="X6310" s="5" t="str">
        <f>HYPERLINK("https://my.pitchbook.com?p=35863-30P","View People Online")</f>
        <v>View People Online</v>
      </c>
    </row>
    <row r="6311">
      <c r="A6311" s="6" t="s">
        <v>39361</v>
      </c>
      <c r="B6311" s="6" t="s">
        <v>39362</v>
      </c>
      <c r="C6311" s="6" t="s">
        <v>180</v>
      </c>
      <c r="D6311" s="6" t="s">
        <v>39363</v>
      </c>
      <c r="E6311" s="6" t="s">
        <v>39196</v>
      </c>
      <c r="F6311" s="6" t="s">
        <v>81</v>
      </c>
      <c r="G6311" s="6" t="s">
        <v>39364</v>
      </c>
      <c r="H6311" s="7" t="s">
        <v>31</v>
      </c>
      <c r="I6311" s="7">
        <v>1.0</v>
      </c>
      <c r="J6311" s="7" t="s">
        <v>31</v>
      </c>
      <c r="K6311" s="7" t="s">
        <v>31</v>
      </c>
      <c r="L6311" s="8" t="s">
        <v>31</v>
      </c>
      <c r="M6311" s="6" t="s">
        <v>31</v>
      </c>
      <c r="N6311" s="6" t="s">
        <v>39199</v>
      </c>
      <c r="O6311" s="8" t="s">
        <v>39200</v>
      </c>
      <c r="P6311" s="6" t="s">
        <v>39201</v>
      </c>
      <c r="Q6311" s="6" t="s">
        <v>31</v>
      </c>
      <c r="R6311" s="6" t="s">
        <v>39202</v>
      </c>
      <c r="S6311" s="8" t="s">
        <v>39203</v>
      </c>
      <c r="T6311" s="6" t="s">
        <v>66</v>
      </c>
      <c r="U6311" s="8" t="s">
        <v>31</v>
      </c>
      <c r="V6311" s="6" t="s">
        <v>81</v>
      </c>
      <c r="W6311" s="6" t="s">
        <v>39196</v>
      </c>
      <c r="X6311" s="9" t="str">
        <f>HYPERLINK("https://my.pitchbook.com?p=263975-68P","View People Online")</f>
        <v>View People Online</v>
      </c>
    </row>
    <row r="6312">
      <c r="A6312" s="2" t="s">
        <v>39365</v>
      </c>
      <c r="B6312" s="2" t="s">
        <v>39366</v>
      </c>
      <c r="C6312" s="2" t="s">
        <v>1376</v>
      </c>
      <c r="D6312" s="2" t="s">
        <v>39367</v>
      </c>
      <c r="E6312" s="2" t="s">
        <v>39196</v>
      </c>
      <c r="F6312" s="2" t="s">
        <v>201</v>
      </c>
      <c r="G6312" s="2" t="s">
        <v>39368</v>
      </c>
      <c r="H6312" s="3">
        <v>1.0</v>
      </c>
      <c r="I6312" s="3">
        <v>2.0</v>
      </c>
      <c r="J6312" s="3">
        <v>1.0</v>
      </c>
      <c r="K6312" s="3" t="s">
        <v>31</v>
      </c>
      <c r="L6312" s="4" t="s">
        <v>39237</v>
      </c>
      <c r="M6312" s="2" t="s">
        <v>39369</v>
      </c>
      <c r="N6312" s="2" t="s">
        <v>39199</v>
      </c>
      <c r="O6312" s="4" t="s">
        <v>39200</v>
      </c>
      <c r="P6312" s="2" t="s">
        <v>39201</v>
      </c>
      <c r="Q6312" s="2" t="s">
        <v>31</v>
      </c>
      <c r="R6312" s="2" t="s">
        <v>39202</v>
      </c>
      <c r="S6312" s="4" t="s">
        <v>39203</v>
      </c>
      <c r="T6312" s="2" t="s">
        <v>66</v>
      </c>
      <c r="U6312" s="4" t="s">
        <v>31</v>
      </c>
      <c r="V6312" s="2" t="s">
        <v>39370</v>
      </c>
      <c r="W6312" s="2" t="s">
        <v>39196</v>
      </c>
      <c r="X6312" s="5" t="str">
        <f>HYPERLINK("https://my.pitchbook.com?p=318345-94P","View People Online")</f>
        <v>View People Online</v>
      </c>
    </row>
    <row r="6313">
      <c r="A6313" s="6" t="s">
        <v>39371</v>
      </c>
      <c r="B6313" s="6" t="s">
        <v>39372</v>
      </c>
      <c r="C6313" s="6" t="s">
        <v>1824</v>
      </c>
      <c r="D6313" s="6" t="s">
        <v>26199</v>
      </c>
      <c r="E6313" s="6" t="s">
        <v>39196</v>
      </c>
      <c r="F6313" s="6" t="s">
        <v>318</v>
      </c>
      <c r="G6313" s="6" t="s">
        <v>39373</v>
      </c>
      <c r="H6313" s="7" t="s">
        <v>31</v>
      </c>
      <c r="I6313" s="7">
        <v>1.0</v>
      </c>
      <c r="J6313" s="7">
        <v>1.0</v>
      </c>
      <c r="K6313" s="7" t="s">
        <v>31</v>
      </c>
      <c r="L6313" s="8" t="s">
        <v>31</v>
      </c>
      <c r="M6313" s="6" t="s">
        <v>39374</v>
      </c>
      <c r="N6313" s="6" t="s">
        <v>39199</v>
      </c>
      <c r="O6313" s="8" t="s">
        <v>39200</v>
      </c>
      <c r="P6313" s="6" t="s">
        <v>39201</v>
      </c>
      <c r="Q6313" s="6" t="s">
        <v>31</v>
      </c>
      <c r="R6313" s="6" t="s">
        <v>39202</v>
      </c>
      <c r="S6313" s="8" t="s">
        <v>39203</v>
      </c>
      <c r="T6313" s="6" t="s">
        <v>66</v>
      </c>
      <c r="U6313" s="8" t="s">
        <v>31</v>
      </c>
      <c r="V6313" s="6" t="s">
        <v>39375</v>
      </c>
      <c r="W6313" s="6" t="s">
        <v>39196</v>
      </c>
      <c r="X6313" s="9" t="str">
        <f>HYPERLINK("https://my.pitchbook.com?p=179964-73P","View People Online")</f>
        <v>View People Online</v>
      </c>
    </row>
    <row r="6314">
      <c r="A6314" s="2" t="s">
        <v>39376</v>
      </c>
      <c r="B6314" s="2" t="s">
        <v>39377</v>
      </c>
      <c r="C6314" s="2" t="s">
        <v>4061</v>
      </c>
      <c r="D6314" s="2" t="s">
        <v>39378</v>
      </c>
      <c r="E6314" s="2" t="s">
        <v>39196</v>
      </c>
      <c r="F6314" s="2" t="s">
        <v>81</v>
      </c>
      <c r="G6314" s="2" t="s">
        <v>39379</v>
      </c>
      <c r="H6314" s="3" t="s">
        <v>31</v>
      </c>
      <c r="I6314" s="3">
        <v>1.0</v>
      </c>
      <c r="J6314" s="3" t="s">
        <v>31</v>
      </c>
      <c r="K6314" s="3" t="s">
        <v>31</v>
      </c>
      <c r="L6314" s="4" t="s">
        <v>31</v>
      </c>
      <c r="M6314" s="2" t="s">
        <v>31</v>
      </c>
      <c r="N6314" s="2" t="s">
        <v>39199</v>
      </c>
      <c r="O6314" s="4" t="s">
        <v>39200</v>
      </c>
      <c r="P6314" s="2" t="s">
        <v>39201</v>
      </c>
      <c r="Q6314" s="2" t="s">
        <v>31</v>
      </c>
      <c r="R6314" s="2" t="s">
        <v>39202</v>
      </c>
      <c r="S6314" s="4" t="s">
        <v>39203</v>
      </c>
      <c r="T6314" s="2" t="s">
        <v>66</v>
      </c>
      <c r="U6314" s="4" t="s">
        <v>31</v>
      </c>
      <c r="V6314" s="2" t="s">
        <v>81</v>
      </c>
      <c r="W6314" s="2" t="s">
        <v>39196</v>
      </c>
      <c r="X6314" s="5" t="str">
        <f>HYPERLINK("https://my.pitchbook.com?p=417186-91P","View People Online")</f>
        <v>View People Online</v>
      </c>
    </row>
    <row r="6315">
      <c r="A6315" s="6" t="s">
        <v>39380</v>
      </c>
      <c r="B6315" s="6" t="s">
        <v>39381</v>
      </c>
      <c r="C6315" s="6" t="s">
        <v>4784</v>
      </c>
      <c r="D6315" s="6" t="s">
        <v>39382</v>
      </c>
      <c r="E6315" s="6" t="s">
        <v>39383</v>
      </c>
      <c r="F6315" s="6" t="s">
        <v>270</v>
      </c>
      <c r="G6315" s="6" t="s">
        <v>39384</v>
      </c>
      <c r="H6315" s="7" t="s">
        <v>31</v>
      </c>
      <c r="I6315" s="7">
        <v>1.0</v>
      </c>
      <c r="J6315" s="7">
        <v>1.0</v>
      </c>
      <c r="K6315" s="7" t="s">
        <v>31</v>
      </c>
      <c r="L6315" s="8" t="s">
        <v>31</v>
      </c>
      <c r="M6315" s="6" t="s">
        <v>39385</v>
      </c>
      <c r="N6315" s="6" t="s">
        <v>243</v>
      </c>
      <c r="O6315" s="8" t="s">
        <v>244</v>
      </c>
      <c r="P6315" s="6" t="s">
        <v>39386</v>
      </c>
      <c r="Q6315" s="6" t="s">
        <v>31</v>
      </c>
      <c r="R6315" s="6" t="s">
        <v>247</v>
      </c>
      <c r="S6315" s="8" t="s">
        <v>39387</v>
      </c>
      <c r="T6315" s="6" t="s">
        <v>249</v>
      </c>
      <c r="U6315" s="8" t="s">
        <v>31</v>
      </c>
      <c r="V6315" s="6" t="s">
        <v>39388</v>
      </c>
      <c r="W6315" s="6" t="s">
        <v>39383</v>
      </c>
      <c r="X6315" s="9" t="str">
        <f>HYPERLINK("https://my.pitchbook.com?p=299795-59P","View People Online")</f>
        <v>View People Online</v>
      </c>
    </row>
    <row r="6316">
      <c r="A6316" s="2" t="s">
        <v>39389</v>
      </c>
      <c r="B6316" s="2" t="s">
        <v>39390</v>
      </c>
      <c r="C6316" s="2" t="s">
        <v>4248</v>
      </c>
      <c r="D6316" s="2" t="s">
        <v>39391</v>
      </c>
      <c r="E6316" s="2" t="s">
        <v>39383</v>
      </c>
      <c r="F6316" s="2" t="s">
        <v>4600</v>
      </c>
      <c r="G6316" s="2" t="s">
        <v>39392</v>
      </c>
      <c r="H6316" s="3" t="s">
        <v>31</v>
      </c>
      <c r="I6316" s="3">
        <v>1.0</v>
      </c>
      <c r="J6316" s="3">
        <v>1.0</v>
      </c>
      <c r="K6316" s="3" t="s">
        <v>31</v>
      </c>
      <c r="L6316" s="4" t="s">
        <v>31</v>
      </c>
      <c r="M6316" s="2" t="s">
        <v>31</v>
      </c>
      <c r="N6316" s="2" t="s">
        <v>243</v>
      </c>
      <c r="O6316" s="4" t="s">
        <v>244</v>
      </c>
      <c r="P6316" s="2" t="s">
        <v>39386</v>
      </c>
      <c r="Q6316" s="2" t="s">
        <v>31</v>
      </c>
      <c r="R6316" s="2" t="s">
        <v>247</v>
      </c>
      <c r="S6316" s="4" t="s">
        <v>39387</v>
      </c>
      <c r="T6316" s="2" t="s">
        <v>249</v>
      </c>
      <c r="U6316" s="4" t="s">
        <v>31</v>
      </c>
      <c r="V6316" s="2" t="s">
        <v>1529</v>
      </c>
      <c r="W6316" s="2" t="s">
        <v>39383</v>
      </c>
      <c r="X6316" s="5" t="str">
        <f>HYPERLINK("https://my.pitchbook.com?p=261151-84P","View People Online")</f>
        <v>View People Online</v>
      </c>
    </row>
    <row r="6317">
      <c r="A6317" s="6" t="s">
        <v>39393</v>
      </c>
      <c r="B6317" s="6" t="s">
        <v>39394</v>
      </c>
      <c r="C6317" s="6" t="s">
        <v>3670</v>
      </c>
      <c r="D6317" s="6" t="s">
        <v>7286</v>
      </c>
      <c r="E6317" s="6" t="s">
        <v>39383</v>
      </c>
      <c r="F6317" s="6" t="s">
        <v>270</v>
      </c>
      <c r="G6317" s="6" t="s">
        <v>39395</v>
      </c>
      <c r="H6317" s="7" t="s">
        <v>31</v>
      </c>
      <c r="I6317" s="7">
        <v>76.0</v>
      </c>
      <c r="J6317" s="7">
        <v>1.0</v>
      </c>
      <c r="K6317" s="7">
        <v>73.0</v>
      </c>
      <c r="L6317" s="8" t="s">
        <v>31</v>
      </c>
      <c r="M6317" s="6" t="s">
        <v>31</v>
      </c>
      <c r="N6317" s="6" t="s">
        <v>243</v>
      </c>
      <c r="O6317" s="8" t="s">
        <v>244</v>
      </c>
      <c r="P6317" s="6" t="s">
        <v>39386</v>
      </c>
      <c r="Q6317" s="6" t="s">
        <v>31</v>
      </c>
      <c r="R6317" s="6" t="s">
        <v>247</v>
      </c>
      <c r="S6317" s="8" t="s">
        <v>39387</v>
      </c>
      <c r="T6317" s="6" t="s">
        <v>249</v>
      </c>
      <c r="U6317" s="8" t="s">
        <v>31</v>
      </c>
      <c r="V6317" s="6" t="s">
        <v>39396</v>
      </c>
      <c r="W6317" s="6" t="s">
        <v>39383</v>
      </c>
      <c r="X6317" s="9" t="str">
        <f>HYPERLINK("https://my.pitchbook.com?p=224792-92P","View People Online")</f>
        <v>View People Online</v>
      </c>
    </row>
    <row r="6318">
      <c r="A6318" s="2" t="s">
        <v>39397</v>
      </c>
      <c r="B6318" s="2" t="s">
        <v>39398</v>
      </c>
      <c r="C6318" s="2" t="s">
        <v>39399</v>
      </c>
      <c r="D6318" s="2" t="s">
        <v>408</v>
      </c>
      <c r="E6318" s="2" t="s">
        <v>39383</v>
      </c>
      <c r="F6318" s="2" t="s">
        <v>2199</v>
      </c>
      <c r="G6318" s="2" t="s">
        <v>39400</v>
      </c>
      <c r="H6318" s="3">
        <v>1.0</v>
      </c>
      <c r="I6318" s="3">
        <v>1.0</v>
      </c>
      <c r="J6318" s="3">
        <v>1.0</v>
      </c>
      <c r="K6318" s="3" t="s">
        <v>31</v>
      </c>
      <c r="L6318" s="4" t="s">
        <v>31</v>
      </c>
      <c r="M6318" s="2" t="s">
        <v>31</v>
      </c>
      <c r="N6318" s="2" t="s">
        <v>243</v>
      </c>
      <c r="O6318" s="4" t="s">
        <v>244</v>
      </c>
      <c r="P6318" s="2" t="s">
        <v>39386</v>
      </c>
      <c r="Q6318" s="2" t="s">
        <v>31</v>
      </c>
      <c r="R6318" s="2" t="s">
        <v>247</v>
      </c>
      <c r="S6318" s="4" t="s">
        <v>39387</v>
      </c>
      <c r="T6318" s="2" t="s">
        <v>249</v>
      </c>
      <c r="U6318" s="4" t="s">
        <v>31</v>
      </c>
      <c r="V6318" s="2" t="s">
        <v>34077</v>
      </c>
      <c r="W6318" s="2" t="s">
        <v>39383</v>
      </c>
      <c r="X6318" s="5" t="str">
        <f>HYPERLINK("https://my.pitchbook.com?p=404819-74P","View People Online")</f>
        <v>View People Online</v>
      </c>
    </row>
    <row r="6319">
      <c r="A6319" s="14" t="s">
        <v>39401</v>
      </c>
      <c r="B6319" s="14" t="s">
        <v>39402</v>
      </c>
      <c r="C6319" s="14" t="s">
        <v>39403</v>
      </c>
      <c r="D6319" s="14" t="s">
        <v>1031</v>
      </c>
      <c r="E6319" s="14" t="s">
        <v>39383</v>
      </c>
      <c r="F6319" s="14" t="s">
        <v>78</v>
      </c>
      <c r="G6319" s="14" t="s">
        <v>39404</v>
      </c>
      <c r="H6319" s="15" t="s">
        <v>31</v>
      </c>
      <c r="I6319" s="15">
        <v>1.0</v>
      </c>
      <c r="J6319" s="15">
        <v>1.0</v>
      </c>
      <c r="K6319" s="15" t="s">
        <v>31</v>
      </c>
      <c r="L6319" s="16" t="s">
        <v>31</v>
      </c>
      <c r="M6319" s="14" t="s">
        <v>39405</v>
      </c>
      <c r="N6319" s="14" t="s">
        <v>243</v>
      </c>
      <c r="O6319" s="16" t="s">
        <v>244</v>
      </c>
      <c r="P6319" s="14" t="s">
        <v>39386</v>
      </c>
      <c r="Q6319" s="14" t="s">
        <v>31</v>
      </c>
      <c r="R6319" s="14" t="s">
        <v>247</v>
      </c>
      <c r="S6319" s="16" t="s">
        <v>39387</v>
      </c>
      <c r="T6319" s="14" t="s">
        <v>249</v>
      </c>
      <c r="U6319" s="16" t="s">
        <v>31</v>
      </c>
      <c r="V6319" s="14" t="s">
        <v>78</v>
      </c>
      <c r="W6319" s="14" t="s">
        <v>39383</v>
      </c>
      <c r="X6319" s="17" t="str">
        <f>HYPERLINK("https://my.pitchbook.com?p=35301-16P","View People Online")</f>
        <v>View People Online</v>
      </c>
    </row>
    <row r="6320">
      <c r="A6320" s="2" t="s">
        <v>39406</v>
      </c>
      <c r="B6320" s="2" t="s">
        <v>39407</v>
      </c>
      <c r="C6320" s="2" t="s">
        <v>9788</v>
      </c>
      <c r="D6320" s="2" t="s">
        <v>39408</v>
      </c>
      <c r="E6320" s="2" t="s">
        <v>39383</v>
      </c>
      <c r="F6320" s="2" t="s">
        <v>8021</v>
      </c>
      <c r="G6320" s="2" t="s">
        <v>39409</v>
      </c>
      <c r="H6320" s="3" t="s">
        <v>31</v>
      </c>
      <c r="I6320" s="3">
        <v>3.0</v>
      </c>
      <c r="J6320" s="3">
        <v>1.0</v>
      </c>
      <c r="K6320" s="3" t="s">
        <v>31</v>
      </c>
      <c r="L6320" s="4" t="s">
        <v>31</v>
      </c>
      <c r="M6320" s="2" t="s">
        <v>39410</v>
      </c>
      <c r="N6320" s="2" t="s">
        <v>243</v>
      </c>
      <c r="O6320" s="4" t="s">
        <v>244</v>
      </c>
      <c r="P6320" s="2" t="s">
        <v>39386</v>
      </c>
      <c r="Q6320" s="2" t="s">
        <v>31</v>
      </c>
      <c r="R6320" s="2" t="s">
        <v>247</v>
      </c>
      <c r="S6320" s="4" t="s">
        <v>39387</v>
      </c>
      <c r="T6320" s="2" t="s">
        <v>249</v>
      </c>
      <c r="U6320" s="4" t="s">
        <v>31</v>
      </c>
      <c r="V6320" s="2" t="s">
        <v>39411</v>
      </c>
      <c r="W6320" s="2" t="s">
        <v>39383</v>
      </c>
      <c r="X6320" s="5" t="str">
        <f>HYPERLINK("https://my.pitchbook.com?p=205189-12P","View People Online")</f>
        <v>View People Online</v>
      </c>
    </row>
    <row r="6321">
      <c r="A6321" s="6" t="s">
        <v>39412</v>
      </c>
      <c r="B6321" s="6" t="s">
        <v>39413</v>
      </c>
      <c r="C6321" s="6" t="s">
        <v>1103</v>
      </c>
      <c r="D6321" s="6" t="s">
        <v>39414</v>
      </c>
      <c r="E6321" s="6" t="s">
        <v>39415</v>
      </c>
      <c r="F6321" s="6" t="s">
        <v>2835</v>
      </c>
      <c r="G6321" s="6" t="s">
        <v>39416</v>
      </c>
      <c r="H6321" s="7" t="s">
        <v>31</v>
      </c>
      <c r="I6321" s="7">
        <v>1.0</v>
      </c>
      <c r="J6321" s="7">
        <v>1.0</v>
      </c>
      <c r="K6321" s="7" t="s">
        <v>31</v>
      </c>
      <c r="L6321" s="8" t="s">
        <v>39417</v>
      </c>
      <c r="M6321" s="6" t="s">
        <v>31</v>
      </c>
      <c r="N6321" s="6" t="s">
        <v>33517</v>
      </c>
      <c r="O6321" s="8" t="s">
        <v>33518</v>
      </c>
      <c r="P6321" s="6" t="s">
        <v>39418</v>
      </c>
      <c r="Q6321" s="6" t="s">
        <v>31</v>
      </c>
      <c r="R6321" s="6" t="s">
        <v>1018</v>
      </c>
      <c r="S6321" s="8" t="s">
        <v>39419</v>
      </c>
      <c r="T6321" s="6" t="s">
        <v>1019</v>
      </c>
      <c r="U6321" s="8" t="s">
        <v>39420</v>
      </c>
      <c r="V6321" s="6" t="s">
        <v>39421</v>
      </c>
      <c r="W6321" s="6" t="s">
        <v>39415</v>
      </c>
      <c r="X6321" s="9" t="str">
        <f>HYPERLINK("https://my.pitchbook.com?p=15925-15P","View People Online")</f>
        <v>View People Online</v>
      </c>
    </row>
    <row r="6322">
      <c r="A6322" s="2" t="s">
        <v>39422</v>
      </c>
      <c r="B6322" s="2" t="s">
        <v>39423</v>
      </c>
      <c r="C6322" s="2" t="s">
        <v>39424</v>
      </c>
      <c r="D6322" s="2" t="s">
        <v>39425</v>
      </c>
      <c r="E6322" s="2" t="s">
        <v>39415</v>
      </c>
      <c r="F6322" s="2" t="s">
        <v>270</v>
      </c>
      <c r="G6322" s="2" t="s">
        <v>39426</v>
      </c>
      <c r="H6322" s="3" t="s">
        <v>31</v>
      </c>
      <c r="I6322" s="3">
        <v>1.0</v>
      </c>
      <c r="J6322" s="3">
        <v>1.0</v>
      </c>
      <c r="K6322" s="3" t="s">
        <v>31</v>
      </c>
      <c r="L6322" s="4" t="s">
        <v>39417</v>
      </c>
      <c r="M6322" s="2" t="s">
        <v>39427</v>
      </c>
      <c r="N6322" s="2" t="s">
        <v>33517</v>
      </c>
      <c r="O6322" s="4" t="s">
        <v>33518</v>
      </c>
      <c r="P6322" s="2" t="s">
        <v>39418</v>
      </c>
      <c r="Q6322" s="2" t="s">
        <v>31</v>
      </c>
      <c r="R6322" s="2" t="s">
        <v>1018</v>
      </c>
      <c r="S6322" s="4" t="s">
        <v>39419</v>
      </c>
      <c r="T6322" s="2" t="s">
        <v>1019</v>
      </c>
      <c r="U6322" s="4" t="s">
        <v>39420</v>
      </c>
      <c r="V6322" s="2" t="s">
        <v>270</v>
      </c>
      <c r="W6322" s="2" t="s">
        <v>39415</v>
      </c>
      <c r="X6322" s="5" t="str">
        <f>HYPERLINK("https://my.pitchbook.com?p=362084-95P","View People Online")</f>
        <v>View People Online</v>
      </c>
    </row>
    <row r="6323">
      <c r="A6323" s="6" t="s">
        <v>39428</v>
      </c>
      <c r="B6323" s="6" t="s">
        <v>39429</v>
      </c>
      <c r="C6323" s="6" t="s">
        <v>39430</v>
      </c>
      <c r="D6323" s="6" t="s">
        <v>39431</v>
      </c>
      <c r="E6323" s="6" t="s">
        <v>39415</v>
      </c>
      <c r="F6323" s="6" t="s">
        <v>5787</v>
      </c>
      <c r="G6323" s="6" t="s">
        <v>39432</v>
      </c>
      <c r="H6323" s="7" t="s">
        <v>31</v>
      </c>
      <c r="I6323" s="7">
        <v>5.0</v>
      </c>
      <c r="J6323" s="7">
        <v>1.0</v>
      </c>
      <c r="K6323" s="7">
        <v>4.0</v>
      </c>
      <c r="L6323" s="8" t="s">
        <v>39417</v>
      </c>
      <c r="M6323" s="6" t="s">
        <v>31</v>
      </c>
      <c r="N6323" s="6" t="s">
        <v>33517</v>
      </c>
      <c r="O6323" s="8" t="s">
        <v>33518</v>
      </c>
      <c r="P6323" s="6" t="s">
        <v>39418</v>
      </c>
      <c r="Q6323" s="6" t="s">
        <v>31</v>
      </c>
      <c r="R6323" s="6" t="s">
        <v>1018</v>
      </c>
      <c r="S6323" s="8" t="s">
        <v>39419</v>
      </c>
      <c r="T6323" s="6" t="s">
        <v>1019</v>
      </c>
      <c r="U6323" s="8" t="s">
        <v>39420</v>
      </c>
      <c r="V6323" s="6" t="s">
        <v>39433</v>
      </c>
      <c r="W6323" s="6" t="s">
        <v>39415</v>
      </c>
      <c r="X6323" s="9" t="str">
        <f>HYPERLINK("https://my.pitchbook.com?p=339598-18P","View People Online")</f>
        <v>View People Online</v>
      </c>
    </row>
    <row r="6324">
      <c r="A6324" s="2" t="s">
        <v>39434</v>
      </c>
      <c r="B6324" s="2" t="s">
        <v>39435</v>
      </c>
      <c r="C6324" s="2" t="s">
        <v>39436</v>
      </c>
      <c r="D6324" s="2" t="s">
        <v>39437</v>
      </c>
      <c r="E6324" s="2" t="s">
        <v>39415</v>
      </c>
      <c r="F6324" s="2" t="s">
        <v>270</v>
      </c>
      <c r="G6324" s="2" t="s">
        <v>39438</v>
      </c>
      <c r="H6324" s="3" t="s">
        <v>31</v>
      </c>
      <c r="I6324" s="3">
        <v>1.0</v>
      </c>
      <c r="J6324" s="3">
        <v>1.0</v>
      </c>
      <c r="K6324" s="3" t="s">
        <v>31</v>
      </c>
      <c r="L6324" s="4" t="s">
        <v>39439</v>
      </c>
      <c r="M6324" s="2" t="s">
        <v>39440</v>
      </c>
      <c r="N6324" s="2" t="s">
        <v>39441</v>
      </c>
      <c r="O6324" s="4" t="s">
        <v>39442</v>
      </c>
      <c r="P6324" s="2" t="s">
        <v>39443</v>
      </c>
      <c r="Q6324" s="2" t="s">
        <v>39444</v>
      </c>
      <c r="R6324" s="2" t="s">
        <v>39445</v>
      </c>
      <c r="S6324" s="4" t="s">
        <v>39446</v>
      </c>
      <c r="T6324" s="2" t="s">
        <v>1019</v>
      </c>
      <c r="U6324" s="4" t="s">
        <v>31</v>
      </c>
      <c r="V6324" s="2" t="s">
        <v>39447</v>
      </c>
      <c r="W6324" s="2" t="s">
        <v>39415</v>
      </c>
      <c r="X6324" s="5" t="str">
        <f>HYPERLINK("https://my.pitchbook.com?p=204217-48P","View People Online")</f>
        <v>View People Online</v>
      </c>
    </row>
    <row r="6325">
      <c r="A6325" s="6" t="s">
        <v>39448</v>
      </c>
      <c r="B6325" s="6" t="s">
        <v>39449</v>
      </c>
      <c r="C6325" s="6" t="s">
        <v>39450</v>
      </c>
      <c r="D6325" s="6" t="s">
        <v>39451</v>
      </c>
      <c r="E6325" s="6" t="s">
        <v>39415</v>
      </c>
      <c r="F6325" s="6" t="s">
        <v>270</v>
      </c>
      <c r="G6325" s="6" t="s">
        <v>39452</v>
      </c>
      <c r="H6325" s="7" t="s">
        <v>31</v>
      </c>
      <c r="I6325" s="7">
        <v>1.0</v>
      </c>
      <c r="J6325" s="7">
        <v>1.0</v>
      </c>
      <c r="K6325" s="7" t="s">
        <v>31</v>
      </c>
      <c r="L6325" s="8" t="s">
        <v>39417</v>
      </c>
      <c r="M6325" s="6" t="s">
        <v>31</v>
      </c>
      <c r="N6325" s="6" t="s">
        <v>33517</v>
      </c>
      <c r="O6325" s="8" t="s">
        <v>33518</v>
      </c>
      <c r="P6325" s="6" t="s">
        <v>39418</v>
      </c>
      <c r="Q6325" s="6" t="s">
        <v>31</v>
      </c>
      <c r="R6325" s="6" t="s">
        <v>1018</v>
      </c>
      <c r="S6325" s="8" t="s">
        <v>39419</v>
      </c>
      <c r="T6325" s="6" t="s">
        <v>1019</v>
      </c>
      <c r="U6325" s="8" t="s">
        <v>39420</v>
      </c>
      <c r="V6325" s="6" t="s">
        <v>39453</v>
      </c>
      <c r="W6325" s="6" t="s">
        <v>39415</v>
      </c>
      <c r="X6325" s="9" t="str">
        <f>HYPERLINK("https://my.pitchbook.com?p=204218-29P","View People Online")</f>
        <v>View People Online</v>
      </c>
    </row>
    <row r="6326">
      <c r="A6326" s="10" t="s">
        <v>39454</v>
      </c>
      <c r="B6326" s="10" t="s">
        <v>39455</v>
      </c>
      <c r="C6326" s="10" t="s">
        <v>1356</v>
      </c>
      <c r="D6326" s="10" t="s">
        <v>10268</v>
      </c>
      <c r="E6326" s="10" t="s">
        <v>39415</v>
      </c>
      <c r="F6326" s="10" t="s">
        <v>270</v>
      </c>
      <c r="G6326" s="10" t="s">
        <v>39456</v>
      </c>
      <c r="H6326" s="11" t="s">
        <v>31</v>
      </c>
      <c r="I6326" s="11">
        <v>3.0</v>
      </c>
      <c r="J6326" s="11">
        <v>1.0</v>
      </c>
      <c r="K6326" s="11">
        <v>2.0</v>
      </c>
      <c r="L6326" s="12" t="s">
        <v>39417</v>
      </c>
      <c r="M6326" s="10" t="s">
        <v>31</v>
      </c>
      <c r="N6326" s="10" t="s">
        <v>33517</v>
      </c>
      <c r="O6326" s="12" t="s">
        <v>33518</v>
      </c>
      <c r="P6326" s="10" t="s">
        <v>39418</v>
      </c>
      <c r="Q6326" s="10" t="s">
        <v>31</v>
      </c>
      <c r="R6326" s="10" t="s">
        <v>1018</v>
      </c>
      <c r="S6326" s="12" t="s">
        <v>39419</v>
      </c>
      <c r="T6326" s="10" t="s">
        <v>1019</v>
      </c>
      <c r="U6326" s="12" t="s">
        <v>39420</v>
      </c>
      <c r="V6326" s="10" t="s">
        <v>39457</v>
      </c>
      <c r="W6326" s="10" t="s">
        <v>39415</v>
      </c>
      <c r="X6326" s="13" t="str">
        <f>HYPERLINK("https://my.pitchbook.com?p=299006-47P","View People Online")</f>
        <v>View People Online</v>
      </c>
    </row>
    <row r="6327">
      <c r="A6327" s="14" t="s">
        <v>39458</v>
      </c>
      <c r="B6327" s="14" t="s">
        <v>39459</v>
      </c>
      <c r="C6327" s="14" t="s">
        <v>3082</v>
      </c>
      <c r="D6327" s="14" t="s">
        <v>39460</v>
      </c>
      <c r="E6327" s="14" t="s">
        <v>39415</v>
      </c>
      <c r="F6327" s="14" t="s">
        <v>270</v>
      </c>
      <c r="G6327" s="14" t="s">
        <v>39461</v>
      </c>
      <c r="H6327" s="15" t="s">
        <v>31</v>
      </c>
      <c r="I6327" s="15">
        <v>3.0</v>
      </c>
      <c r="J6327" s="15">
        <v>1.0</v>
      </c>
      <c r="K6327" s="15">
        <v>2.0</v>
      </c>
      <c r="L6327" s="16" t="s">
        <v>39462</v>
      </c>
      <c r="M6327" s="14" t="s">
        <v>31</v>
      </c>
      <c r="N6327" s="14" t="s">
        <v>33517</v>
      </c>
      <c r="O6327" s="16" t="s">
        <v>33518</v>
      </c>
      <c r="P6327" s="14" t="s">
        <v>39418</v>
      </c>
      <c r="Q6327" s="14" t="s">
        <v>31</v>
      </c>
      <c r="R6327" s="14" t="s">
        <v>1018</v>
      </c>
      <c r="S6327" s="16" t="s">
        <v>39419</v>
      </c>
      <c r="T6327" s="14" t="s">
        <v>1019</v>
      </c>
      <c r="U6327" s="16" t="s">
        <v>39420</v>
      </c>
      <c r="V6327" s="14" t="s">
        <v>39463</v>
      </c>
      <c r="W6327" s="14" t="s">
        <v>39415</v>
      </c>
      <c r="X6327" s="17" t="str">
        <f>HYPERLINK("https://my.pitchbook.com?p=185343-85P","View People Online")</f>
        <v>View People Online</v>
      </c>
    </row>
    <row r="6328">
      <c r="A6328" s="10" t="s">
        <v>39464</v>
      </c>
      <c r="B6328" s="10" t="s">
        <v>39465</v>
      </c>
      <c r="C6328" s="10" t="s">
        <v>39466</v>
      </c>
      <c r="D6328" s="10" t="s">
        <v>39467</v>
      </c>
      <c r="E6328" s="10" t="s">
        <v>39415</v>
      </c>
      <c r="F6328" s="10" t="s">
        <v>12616</v>
      </c>
      <c r="G6328" s="10" t="s">
        <v>39468</v>
      </c>
      <c r="H6328" s="11" t="s">
        <v>31</v>
      </c>
      <c r="I6328" s="11">
        <v>1.0</v>
      </c>
      <c r="J6328" s="11">
        <v>1.0</v>
      </c>
      <c r="K6328" s="11" t="s">
        <v>31</v>
      </c>
      <c r="L6328" s="12" t="s">
        <v>39469</v>
      </c>
      <c r="M6328" s="10" t="s">
        <v>39470</v>
      </c>
      <c r="N6328" s="10" t="s">
        <v>33517</v>
      </c>
      <c r="O6328" s="12" t="s">
        <v>33518</v>
      </c>
      <c r="P6328" s="10" t="s">
        <v>39418</v>
      </c>
      <c r="Q6328" s="10" t="s">
        <v>31</v>
      </c>
      <c r="R6328" s="10" t="s">
        <v>1018</v>
      </c>
      <c r="S6328" s="12" t="s">
        <v>39419</v>
      </c>
      <c r="T6328" s="10" t="s">
        <v>1019</v>
      </c>
      <c r="U6328" s="12" t="s">
        <v>39420</v>
      </c>
      <c r="V6328" s="10" t="s">
        <v>39471</v>
      </c>
      <c r="W6328" s="10" t="s">
        <v>39415</v>
      </c>
      <c r="X6328" s="13" t="str">
        <f>HYPERLINK("https://my.pitchbook.com?p=223572-61P","View People Online")</f>
        <v>View People Online</v>
      </c>
    </row>
    <row r="6329">
      <c r="A6329" s="6" t="s">
        <v>39472</v>
      </c>
      <c r="B6329" s="6" t="s">
        <v>39473</v>
      </c>
      <c r="C6329" s="6" t="s">
        <v>39474</v>
      </c>
      <c r="D6329" s="6" t="s">
        <v>39475</v>
      </c>
      <c r="E6329" s="6" t="s">
        <v>39415</v>
      </c>
      <c r="F6329" s="6" t="s">
        <v>270</v>
      </c>
      <c r="G6329" s="6" t="s">
        <v>39476</v>
      </c>
      <c r="H6329" s="7" t="s">
        <v>31</v>
      </c>
      <c r="I6329" s="7">
        <v>1.0</v>
      </c>
      <c r="J6329" s="7">
        <v>1.0</v>
      </c>
      <c r="K6329" s="7" t="s">
        <v>31</v>
      </c>
      <c r="L6329" s="8" t="s">
        <v>39477</v>
      </c>
      <c r="M6329" s="6" t="s">
        <v>39478</v>
      </c>
      <c r="N6329" s="6" t="s">
        <v>33517</v>
      </c>
      <c r="O6329" s="8" t="s">
        <v>33518</v>
      </c>
      <c r="P6329" s="6" t="s">
        <v>39418</v>
      </c>
      <c r="Q6329" s="6" t="s">
        <v>31</v>
      </c>
      <c r="R6329" s="6" t="s">
        <v>1018</v>
      </c>
      <c r="S6329" s="8" t="s">
        <v>39419</v>
      </c>
      <c r="T6329" s="6" t="s">
        <v>1019</v>
      </c>
      <c r="U6329" s="8" t="s">
        <v>39479</v>
      </c>
      <c r="V6329" s="6" t="s">
        <v>39480</v>
      </c>
      <c r="W6329" s="6" t="s">
        <v>39415</v>
      </c>
      <c r="X6329" s="9" t="str">
        <f>HYPERLINK("https://my.pitchbook.com?p=229103-02P","View People Online")</f>
        <v>View People Online</v>
      </c>
    </row>
    <row r="6330">
      <c r="A6330" s="10" t="s">
        <v>39481</v>
      </c>
      <c r="B6330" s="10" t="s">
        <v>39482</v>
      </c>
      <c r="C6330" s="10" t="s">
        <v>39483</v>
      </c>
      <c r="D6330" s="10" t="s">
        <v>39484</v>
      </c>
      <c r="E6330" s="10" t="s">
        <v>39415</v>
      </c>
      <c r="F6330" s="10" t="s">
        <v>270</v>
      </c>
      <c r="G6330" s="10" t="s">
        <v>39485</v>
      </c>
      <c r="H6330" s="11" t="s">
        <v>31</v>
      </c>
      <c r="I6330" s="11">
        <v>3.0</v>
      </c>
      <c r="J6330" s="11">
        <v>2.0</v>
      </c>
      <c r="K6330" s="11">
        <v>1.0</v>
      </c>
      <c r="L6330" s="12" t="s">
        <v>39486</v>
      </c>
      <c r="M6330" s="10" t="s">
        <v>39487</v>
      </c>
      <c r="N6330" s="10" t="s">
        <v>39488</v>
      </c>
      <c r="O6330" s="12" t="s">
        <v>39489</v>
      </c>
      <c r="P6330" s="10" t="s">
        <v>39490</v>
      </c>
      <c r="Q6330" s="10" t="s">
        <v>31</v>
      </c>
      <c r="R6330" s="10" t="s">
        <v>1018</v>
      </c>
      <c r="S6330" s="12" t="s">
        <v>39491</v>
      </c>
      <c r="T6330" s="10" t="s">
        <v>1019</v>
      </c>
      <c r="U6330" s="12" t="s">
        <v>39492</v>
      </c>
      <c r="V6330" s="10" t="s">
        <v>39493</v>
      </c>
      <c r="W6330" s="10" t="s">
        <v>39494</v>
      </c>
      <c r="X6330" s="13" t="str">
        <f>HYPERLINK("https://my.pitchbook.com?p=405419-05P","View People Online")</f>
        <v>View People Online</v>
      </c>
    </row>
    <row r="6331">
      <c r="A6331" s="6" t="s">
        <v>39495</v>
      </c>
      <c r="B6331" s="6" t="s">
        <v>39496</v>
      </c>
      <c r="C6331" s="6" t="s">
        <v>39497</v>
      </c>
      <c r="D6331" s="6" t="s">
        <v>39498</v>
      </c>
      <c r="E6331" s="6" t="s">
        <v>39415</v>
      </c>
      <c r="F6331" s="6" t="s">
        <v>270</v>
      </c>
      <c r="G6331" s="6" t="s">
        <v>39499</v>
      </c>
      <c r="H6331" s="7" t="s">
        <v>31</v>
      </c>
      <c r="I6331" s="7">
        <v>2.0</v>
      </c>
      <c r="J6331" s="7">
        <v>1.0</v>
      </c>
      <c r="K6331" s="7">
        <v>1.0</v>
      </c>
      <c r="L6331" s="8" t="s">
        <v>39417</v>
      </c>
      <c r="M6331" s="6" t="s">
        <v>39500</v>
      </c>
      <c r="N6331" s="6" t="s">
        <v>33517</v>
      </c>
      <c r="O6331" s="8" t="s">
        <v>33518</v>
      </c>
      <c r="P6331" s="6" t="s">
        <v>39418</v>
      </c>
      <c r="Q6331" s="6" t="s">
        <v>31</v>
      </c>
      <c r="R6331" s="6" t="s">
        <v>1018</v>
      </c>
      <c r="S6331" s="8" t="s">
        <v>39419</v>
      </c>
      <c r="T6331" s="6" t="s">
        <v>1019</v>
      </c>
      <c r="U6331" s="8" t="s">
        <v>39420</v>
      </c>
      <c r="V6331" s="6" t="s">
        <v>39501</v>
      </c>
      <c r="W6331" s="6" t="s">
        <v>39415</v>
      </c>
      <c r="X6331" s="9" t="str">
        <f>HYPERLINK("https://my.pitchbook.com?p=442556-38P","View People Online")</f>
        <v>View People Online</v>
      </c>
    </row>
    <row r="6332">
      <c r="A6332" s="10" t="s">
        <v>39502</v>
      </c>
      <c r="B6332" s="10" t="s">
        <v>39503</v>
      </c>
      <c r="C6332" s="10" t="s">
        <v>22698</v>
      </c>
      <c r="D6332" s="10" t="s">
        <v>18808</v>
      </c>
      <c r="E6332" s="10" t="s">
        <v>39415</v>
      </c>
      <c r="F6332" s="10" t="s">
        <v>667</v>
      </c>
      <c r="G6332" s="10" t="s">
        <v>39504</v>
      </c>
      <c r="H6332" s="11" t="s">
        <v>31</v>
      </c>
      <c r="I6332" s="11">
        <v>2.0</v>
      </c>
      <c r="J6332" s="11">
        <v>2.0</v>
      </c>
      <c r="K6332" s="11" t="s">
        <v>31</v>
      </c>
      <c r="L6332" s="12" t="s">
        <v>39505</v>
      </c>
      <c r="M6332" s="10" t="s">
        <v>39506</v>
      </c>
      <c r="N6332" s="10" t="s">
        <v>33517</v>
      </c>
      <c r="O6332" s="12" t="s">
        <v>33518</v>
      </c>
      <c r="P6332" s="10" t="s">
        <v>39507</v>
      </c>
      <c r="Q6332" s="10" t="s">
        <v>31</v>
      </c>
      <c r="R6332" s="10" t="s">
        <v>1018</v>
      </c>
      <c r="S6332" s="12" t="s">
        <v>39508</v>
      </c>
      <c r="T6332" s="10" t="s">
        <v>1019</v>
      </c>
      <c r="U6332" s="12" t="s">
        <v>39509</v>
      </c>
      <c r="V6332" s="10" t="s">
        <v>39510</v>
      </c>
      <c r="W6332" s="10" t="s">
        <v>39511</v>
      </c>
      <c r="X6332" s="13" t="str">
        <f>HYPERLINK("https://my.pitchbook.com?p=332422-93P","View People Online")</f>
        <v>View People Online</v>
      </c>
    </row>
    <row r="6333">
      <c r="A6333" s="6" t="s">
        <v>39512</v>
      </c>
      <c r="B6333" s="6" t="s">
        <v>39513</v>
      </c>
      <c r="C6333" s="6" t="s">
        <v>5721</v>
      </c>
      <c r="D6333" s="6" t="s">
        <v>39514</v>
      </c>
      <c r="E6333" s="6" t="s">
        <v>39515</v>
      </c>
      <c r="F6333" s="6" t="s">
        <v>81</v>
      </c>
      <c r="G6333" s="6" t="s">
        <v>39516</v>
      </c>
      <c r="H6333" s="7" t="s">
        <v>31</v>
      </c>
      <c r="I6333" s="7">
        <v>2.0</v>
      </c>
      <c r="J6333" s="7">
        <v>1.0</v>
      </c>
      <c r="K6333" s="7" t="s">
        <v>31</v>
      </c>
      <c r="L6333" s="8" t="s">
        <v>39517</v>
      </c>
      <c r="M6333" s="6" t="s">
        <v>39518</v>
      </c>
      <c r="N6333" s="6" t="s">
        <v>1170</v>
      </c>
      <c r="O6333" s="8" t="s">
        <v>1171</v>
      </c>
      <c r="P6333" s="6" t="s">
        <v>39519</v>
      </c>
      <c r="Q6333" s="6" t="s">
        <v>39520</v>
      </c>
      <c r="R6333" s="6" t="s">
        <v>64</v>
      </c>
      <c r="S6333" s="8" t="s">
        <v>37168</v>
      </c>
      <c r="T6333" s="6" t="s">
        <v>66</v>
      </c>
      <c r="U6333" s="8" t="s">
        <v>31</v>
      </c>
      <c r="V6333" s="6" t="s">
        <v>991</v>
      </c>
      <c r="W6333" s="6" t="s">
        <v>39521</v>
      </c>
      <c r="X6333" s="9" t="str">
        <f>HYPERLINK("https://my.pitchbook.com?p=222883-84P","View People Online")</f>
        <v>View People Online</v>
      </c>
    </row>
    <row r="6334">
      <c r="A6334" s="10" t="s">
        <v>39522</v>
      </c>
      <c r="B6334" s="10" t="s">
        <v>39523</v>
      </c>
      <c r="C6334" s="10" t="s">
        <v>18382</v>
      </c>
      <c r="D6334" s="10" t="s">
        <v>39524</v>
      </c>
      <c r="E6334" s="10" t="s">
        <v>39515</v>
      </c>
      <c r="F6334" s="10" t="s">
        <v>81</v>
      </c>
      <c r="G6334" s="10" t="s">
        <v>39525</v>
      </c>
      <c r="H6334" s="11" t="s">
        <v>31</v>
      </c>
      <c r="I6334" s="11">
        <v>27.0</v>
      </c>
      <c r="J6334" s="11" t="s">
        <v>31</v>
      </c>
      <c r="K6334" s="11">
        <v>18.0</v>
      </c>
      <c r="L6334" s="12" t="s">
        <v>39526</v>
      </c>
      <c r="M6334" s="10" t="s">
        <v>31</v>
      </c>
      <c r="N6334" s="10" t="s">
        <v>7690</v>
      </c>
      <c r="O6334" s="12" t="s">
        <v>7691</v>
      </c>
      <c r="P6334" s="10" t="s">
        <v>39527</v>
      </c>
      <c r="Q6334" s="10" t="s">
        <v>6872</v>
      </c>
      <c r="R6334" s="10" t="s">
        <v>7693</v>
      </c>
      <c r="S6334" s="12" t="s">
        <v>15759</v>
      </c>
      <c r="T6334" s="10" t="s">
        <v>66</v>
      </c>
      <c r="U6334" s="12" t="s">
        <v>39528</v>
      </c>
      <c r="V6334" s="10" t="s">
        <v>39529</v>
      </c>
      <c r="W6334" s="10" t="s">
        <v>39515</v>
      </c>
      <c r="X6334" s="13" t="str">
        <f>HYPERLINK("https://my.pitchbook.com?p=13891-24P","View People Online")</f>
        <v>View People Online</v>
      </c>
    </row>
    <row r="6335">
      <c r="A6335" s="14" t="s">
        <v>39530</v>
      </c>
      <c r="B6335" s="14" t="s">
        <v>39531</v>
      </c>
      <c r="C6335" s="14" t="s">
        <v>2221</v>
      </c>
      <c r="D6335" s="14" t="s">
        <v>39532</v>
      </c>
      <c r="E6335" s="14" t="s">
        <v>39515</v>
      </c>
      <c r="F6335" s="14" t="s">
        <v>3710</v>
      </c>
      <c r="G6335" s="14" t="s">
        <v>39533</v>
      </c>
      <c r="H6335" s="15" t="s">
        <v>31</v>
      </c>
      <c r="I6335" s="15">
        <v>1.0</v>
      </c>
      <c r="J6335" s="15">
        <v>1.0</v>
      </c>
      <c r="K6335" s="15" t="s">
        <v>31</v>
      </c>
      <c r="L6335" s="16" t="s">
        <v>39526</v>
      </c>
      <c r="M6335" s="14" t="s">
        <v>39534</v>
      </c>
      <c r="N6335" s="14" t="s">
        <v>7690</v>
      </c>
      <c r="O6335" s="16" t="s">
        <v>7691</v>
      </c>
      <c r="P6335" s="14" t="s">
        <v>39527</v>
      </c>
      <c r="Q6335" s="14" t="s">
        <v>6872</v>
      </c>
      <c r="R6335" s="14" t="s">
        <v>7693</v>
      </c>
      <c r="S6335" s="16" t="s">
        <v>15759</v>
      </c>
      <c r="T6335" s="14" t="s">
        <v>66</v>
      </c>
      <c r="U6335" s="16" t="s">
        <v>39528</v>
      </c>
      <c r="V6335" s="14" t="s">
        <v>3710</v>
      </c>
      <c r="W6335" s="14" t="s">
        <v>39515</v>
      </c>
      <c r="X6335" s="17" t="str">
        <f>HYPERLINK("https://my.pitchbook.com?p=47661-94P","View People Online")</f>
        <v>View People Online</v>
      </c>
    </row>
    <row r="6336">
      <c r="A6336" s="2" t="s">
        <v>39535</v>
      </c>
      <c r="B6336" s="2" t="s">
        <v>39536</v>
      </c>
      <c r="C6336" s="2" t="s">
        <v>20902</v>
      </c>
      <c r="D6336" s="2" t="s">
        <v>39537</v>
      </c>
      <c r="E6336" s="2" t="s">
        <v>39515</v>
      </c>
      <c r="F6336" s="2" t="s">
        <v>27983</v>
      </c>
      <c r="G6336" s="2" t="s">
        <v>39538</v>
      </c>
      <c r="H6336" s="3">
        <v>1.0</v>
      </c>
      <c r="I6336" s="3">
        <v>4.0</v>
      </c>
      <c r="J6336" s="3">
        <v>1.0</v>
      </c>
      <c r="K6336" s="3">
        <v>1.0</v>
      </c>
      <c r="L6336" s="4" t="s">
        <v>39526</v>
      </c>
      <c r="M6336" s="2" t="s">
        <v>39539</v>
      </c>
      <c r="N6336" s="2" t="s">
        <v>7690</v>
      </c>
      <c r="O6336" s="4" t="s">
        <v>7691</v>
      </c>
      <c r="P6336" s="2" t="s">
        <v>39527</v>
      </c>
      <c r="Q6336" s="2" t="s">
        <v>6872</v>
      </c>
      <c r="R6336" s="2" t="s">
        <v>7693</v>
      </c>
      <c r="S6336" s="4" t="s">
        <v>15759</v>
      </c>
      <c r="T6336" s="2" t="s">
        <v>66</v>
      </c>
      <c r="U6336" s="4" t="s">
        <v>39528</v>
      </c>
      <c r="V6336" s="2" t="s">
        <v>39540</v>
      </c>
      <c r="W6336" s="2" t="s">
        <v>39515</v>
      </c>
      <c r="X6336" s="5" t="str">
        <f>HYPERLINK("https://my.pitchbook.com?p=126631-18P","View People Online")</f>
        <v>View People Online</v>
      </c>
    </row>
    <row r="6337">
      <c r="A6337" s="14" t="s">
        <v>39541</v>
      </c>
      <c r="B6337" s="14" t="s">
        <v>39542</v>
      </c>
      <c r="C6337" s="14" t="s">
        <v>39543</v>
      </c>
      <c r="D6337" s="14" t="s">
        <v>39544</v>
      </c>
      <c r="E6337" s="14" t="s">
        <v>39515</v>
      </c>
      <c r="F6337" s="14" t="s">
        <v>470</v>
      </c>
      <c r="G6337" s="14" t="s">
        <v>39545</v>
      </c>
      <c r="H6337" s="15">
        <v>4.0</v>
      </c>
      <c r="I6337" s="15">
        <v>8.0</v>
      </c>
      <c r="J6337" s="15">
        <v>2.0</v>
      </c>
      <c r="K6337" s="15">
        <v>2.0</v>
      </c>
      <c r="L6337" s="16" t="s">
        <v>31</v>
      </c>
      <c r="M6337" s="14" t="s">
        <v>39546</v>
      </c>
      <c r="N6337" s="14" t="s">
        <v>39547</v>
      </c>
      <c r="O6337" s="16" t="s">
        <v>39548</v>
      </c>
      <c r="P6337" s="14" t="s">
        <v>39549</v>
      </c>
      <c r="Q6337" s="14" t="s">
        <v>39550</v>
      </c>
      <c r="R6337" s="14" t="s">
        <v>31</v>
      </c>
      <c r="S6337" s="16" t="s">
        <v>39551</v>
      </c>
      <c r="T6337" s="14" t="s">
        <v>1209</v>
      </c>
      <c r="U6337" s="16" t="s">
        <v>31</v>
      </c>
      <c r="V6337" s="14" t="s">
        <v>470</v>
      </c>
      <c r="W6337" s="14" t="s">
        <v>39515</v>
      </c>
      <c r="X6337" s="17" t="str">
        <f>HYPERLINK("https://my.pitchbook.com?p=64796-05P","View People Online")</f>
        <v>View People Online</v>
      </c>
    </row>
    <row r="6338">
      <c r="A6338" s="2" t="s">
        <v>39552</v>
      </c>
      <c r="B6338" s="2" t="s">
        <v>39553</v>
      </c>
      <c r="C6338" s="2" t="s">
        <v>536</v>
      </c>
      <c r="D6338" s="2" t="s">
        <v>37634</v>
      </c>
      <c r="E6338" s="2" t="s">
        <v>39515</v>
      </c>
      <c r="F6338" s="2" t="s">
        <v>152</v>
      </c>
      <c r="G6338" s="2" t="s">
        <v>39554</v>
      </c>
      <c r="H6338" s="3">
        <v>1.0</v>
      </c>
      <c r="I6338" s="3">
        <v>9.0</v>
      </c>
      <c r="J6338" s="3">
        <v>2.0</v>
      </c>
      <c r="K6338" s="3">
        <v>5.0</v>
      </c>
      <c r="L6338" s="4" t="s">
        <v>39555</v>
      </c>
      <c r="M6338" s="2" t="s">
        <v>31</v>
      </c>
      <c r="N6338" s="2" t="s">
        <v>1277</v>
      </c>
      <c r="O6338" s="4" t="s">
        <v>1278</v>
      </c>
      <c r="P6338" s="2" t="s">
        <v>39556</v>
      </c>
      <c r="Q6338" s="2" t="s">
        <v>1419</v>
      </c>
      <c r="R6338" s="2" t="s">
        <v>1281</v>
      </c>
      <c r="S6338" s="4" t="s">
        <v>1282</v>
      </c>
      <c r="T6338" s="2" t="s">
        <v>66</v>
      </c>
      <c r="U6338" s="4" t="s">
        <v>31</v>
      </c>
      <c r="V6338" s="2" t="s">
        <v>157</v>
      </c>
      <c r="W6338" s="2" t="s">
        <v>39557</v>
      </c>
      <c r="X6338" s="5" t="str">
        <f>HYPERLINK("https://my.pitchbook.com?p=47660-86P","View People Online")</f>
        <v>View People Online</v>
      </c>
    </row>
    <row r="6339">
      <c r="A6339" s="6" t="s">
        <v>39558</v>
      </c>
      <c r="B6339" s="6" t="s">
        <v>39559</v>
      </c>
      <c r="C6339" s="6" t="s">
        <v>39560</v>
      </c>
      <c r="D6339" s="6" t="s">
        <v>39561</v>
      </c>
      <c r="E6339" s="6" t="s">
        <v>39515</v>
      </c>
      <c r="F6339" s="6" t="s">
        <v>24050</v>
      </c>
      <c r="G6339" s="6" t="s">
        <v>39562</v>
      </c>
      <c r="H6339" s="7" t="s">
        <v>31</v>
      </c>
      <c r="I6339" s="7">
        <v>2.0</v>
      </c>
      <c r="J6339" s="7">
        <v>1.0</v>
      </c>
      <c r="K6339" s="7">
        <v>1.0</v>
      </c>
      <c r="L6339" s="8" t="s">
        <v>31</v>
      </c>
      <c r="M6339" s="6" t="s">
        <v>39563</v>
      </c>
      <c r="N6339" s="6" t="s">
        <v>39547</v>
      </c>
      <c r="O6339" s="8" t="s">
        <v>39548</v>
      </c>
      <c r="P6339" s="6" t="s">
        <v>39549</v>
      </c>
      <c r="Q6339" s="6" t="s">
        <v>39550</v>
      </c>
      <c r="R6339" s="6" t="s">
        <v>31</v>
      </c>
      <c r="S6339" s="8" t="s">
        <v>39551</v>
      </c>
      <c r="T6339" s="6" t="s">
        <v>1209</v>
      </c>
      <c r="U6339" s="8" t="s">
        <v>31</v>
      </c>
      <c r="V6339" s="6" t="s">
        <v>24050</v>
      </c>
      <c r="W6339" s="6" t="s">
        <v>39515</v>
      </c>
      <c r="X6339" s="9" t="str">
        <f>HYPERLINK("https://my.pitchbook.com?p=207084-70P","View People Online")</f>
        <v>View People Online</v>
      </c>
    </row>
    <row r="6340">
      <c r="A6340" s="2" t="s">
        <v>39564</v>
      </c>
      <c r="B6340" s="2" t="s">
        <v>39565</v>
      </c>
      <c r="C6340" s="2" t="s">
        <v>7262</v>
      </c>
      <c r="D6340" s="2" t="s">
        <v>39566</v>
      </c>
      <c r="E6340" s="2" t="s">
        <v>39515</v>
      </c>
      <c r="F6340" s="2" t="s">
        <v>81</v>
      </c>
      <c r="G6340" s="2" t="s">
        <v>39567</v>
      </c>
      <c r="H6340" s="3" t="s">
        <v>31</v>
      </c>
      <c r="I6340" s="3">
        <v>35.0</v>
      </c>
      <c r="J6340" s="3">
        <v>3.0</v>
      </c>
      <c r="K6340" s="3">
        <v>29.0</v>
      </c>
      <c r="L6340" s="4" t="s">
        <v>31</v>
      </c>
      <c r="M6340" s="2" t="s">
        <v>39568</v>
      </c>
      <c r="N6340" s="2" t="s">
        <v>155</v>
      </c>
      <c r="O6340" s="4" t="s">
        <v>156</v>
      </c>
      <c r="P6340" s="2" t="s">
        <v>31</v>
      </c>
      <c r="Q6340" s="2" t="s">
        <v>31</v>
      </c>
      <c r="R6340" s="2" t="s">
        <v>64</v>
      </c>
      <c r="S6340" s="4" t="s">
        <v>1549</v>
      </c>
      <c r="T6340" s="2" t="s">
        <v>66</v>
      </c>
      <c r="U6340" s="4" t="s">
        <v>31</v>
      </c>
      <c r="V6340" s="2" t="s">
        <v>39569</v>
      </c>
      <c r="W6340" s="2" t="s">
        <v>39570</v>
      </c>
      <c r="X6340" s="5" t="str">
        <f>HYPERLINK("https://my.pitchbook.com?p=114256-27P","View People Online")</f>
        <v>View People Online</v>
      </c>
    </row>
    <row r="6341">
      <c r="A6341" s="14" t="s">
        <v>39571</v>
      </c>
      <c r="B6341" s="14" t="s">
        <v>39572</v>
      </c>
      <c r="C6341" s="14" t="s">
        <v>39573</v>
      </c>
      <c r="D6341" s="14" t="s">
        <v>39574</v>
      </c>
      <c r="E6341" s="14" t="s">
        <v>39575</v>
      </c>
      <c r="F6341" s="14" t="s">
        <v>371</v>
      </c>
      <c r="G6341" s="14" t="s">
        <v>39576</v>
      </c>
      <c r="H6341" s="15" t="s">
        <v>31</v>
      </c>
      <c r="I6341" s="15">
        <v>1.0</v>
      </c>
      <c r="J6341" s="15">
        <v>1.0</v>
      </c>
      <c r="K6341" s="15" t="s">
        <v>31</v>
      </c>
      <c r="L6341" s="16" t="s">
        <v>39577</v>
      </c>
      <c r="M6341" s="14" t="s">
        <v>39578</v>
      </c>
      <c r="N6341" s="14" t="s">
        <v>1109</v>
      </c>
      <c r="O6341" s="16" t="s">
        <v>13169</v>
      </c>
      <c r="P6341" s="14" t="s">
        <v>39579</v>
      </c>
      <c r="Q6341" s="14" t="s">
        <v>39580</v>
      </c>
      <c r="R6341" s="14" t="s">
        <v>13171</v>
      </c>
      <c r="S6341" s="16" t="s">
        <v>13172</v>
      </c>
      <c r="T6341" s="14" t="s">
        <v>66</v>
      </c>
      <c r="U6341" s="16" t="s">
        <v>31</v>
      </c>
      <c r="V6341" s="14" t="s">
        <v>39581</v>
      </c>
      <c r="W6341" s="14" t="s">
        <v>39575</v>
      </c>
      <c r="X6341" s="17" t="str">
        <f>HYPERLINK("https://my.pitchbook.com?p=325992-16P","View People Online")</f>
        <v>View People Online</v>
      </c>
    </row>
    <row r="6342">
      <c r="A6342" s="2" t="s">
        <v>39582</v>
      </c>
      <c r="B6342" s="2" t="s">
        <v>39583</v>
      </c>
      <c r="C6342" s="2" t="s">
        <v>5906</v>
      </c>
      <c r="D6342" s="2" t="s">
        <v>28194</v>
      </c>
      <c r="E6342" s="2" t="s">
        <v>39575</v>
      </c>
      <c r="F6342" s="2" t="s">
        <v>318</v>
      </c>
      <c r="G6342" s="2" t="s">
        <v>39584</v>
      </c>
      <c r="H6342" s="3" t="s">
        <v>31</v>
      </c>
      <c r="I6342" s="3">
        <v>1.0</v>
      </c>
      <c r="J6342" s="3">
        <v>1.0</v>
      </c>
      <c r="K6342" s="3" t="s">
        <v>31</v>
      </c>
      <c r="L6342" s="4" t="s">
        <v>39577</v>
      </c>
      <c r="M6342" s="2" t="s">
        <v>39585</v>
      </c>
      <c r="N6342" s="2" t="s">
        <v>1454</v>
      </c>
      <c r="O6342" s="4" t="s">
        <v>1455</v>
      </c>
      <c r="P6342" s="2" t="s">
        <v>39586</v>
      </c>
      <c r="Q6342" s="2" t="s">
        <v>31</v>
      </c>
      <c r="R6342" s="2" t="s">
        <v>93</v>
      </c>
      <c r="S6342" s="4" t="s">
        <v>1458</v>
      </c>
      <c r="T6342" s="2" t="s">
        <v>66</v>
      </c>
      <c r="U6342" s="4" t="s">
        <v>31</v>
      </c>
      <c r="V6342" s="2" t="s">
        <v>37691</v>
      </c>
      <c r="W6342" s="2" t="s">
        <v>39575</v>
      </c>
      <c r="X6342" s="5" t="str">
        <f>HYPERLINK("https://my.pitchbook.com?p=374724-64P","View People Online")</f>
        <v>View People Online</v>
      </c>
    </row>
    <row r="6343">
      <c r="A6343" s="14" t="s">
        <v>39587</v>
      </c>
      <c r="B6343" s="14" t="s">
        <v>39588</v>
      </c>
      <c r="C6343" s="14" t="s">
        <v>7252</v>
      </c>
      <c r="D6343" s="14" t="s">
        <v>39589</v>
      </c>
      <c r="E6343" s="14" t="s">
        <v>39575</v>
      </c>
      <c r="F6343" s="14" t="s">
        <v>318</v>
      </c>
      <c r="G6343" s="14" t="s">
        <v>39590</v>
      </c>
      <c r="H6343" s="15" t="s">
        <v>31</v>
      </c>
      <c r="I6343" s="15">
        <v>2.0</v>
      </c>
      <c r="J6343" s="15">
        <v>1.0</v>
      </c>
      <c r="K6343" s="15">
        <v>1.0</v>
      </c>
      <c r="L6343" s="16" t="s">
        <v>39577</v>
      </c>
      <c r="M6343" s="14" t="s">
        <v>39591</v>
      </c>
      <c r="N6343" s="14" t="s">
        <v>1109</v>
      </c>
      <c r="O6343" s="16" t="s">
        <v>13169</v>
      </c>
      <c r="P6343" s="14" t="s">
        <v>39579</v>
      </c>
      <c r="Q6343" s="14" t="s">
        <v>39580</v>
      </c>
      <c r="R6343" s="14" t="s">
        <v>13171</v>
      </c>
      <c r="S6343" s="16" t="s">
        <v>13172</v>
      </c>
      <c r="T6343" s="14" t="s">
        <v>66</v>
      </c>
      <c r="U6343" s="16" t="s">
        <v>31</v>
      </c>
      <c r="V6343" s="14" t="s">
        <v>37691</v>
      </c>
      <c r="W6343" s="14" t="s">
        <v>39575</v>
      </c>
      <c r="X6343" s="17" t="str">
        <f>HYPERLINK("https://my.pitchbook.com?p=374725-45P","View People Online")</f>
        <v>View People Online</v>
      </c>
    </row>
    <row r="6344">
      <c r="A6344" s="10" t="s">
        <v>39592</v>
      </c>
      <c r="B6344" s="10" t="s">
        <v>39593</v>
      </c>
      <c r="C6344" s="10" t="s">
        <v>54</v>
      </c>
      <c r="D6344" s="10" t="s">
        <v>4338</v>
      </c>
      <c r="E6344" s="10" t="s">
        <v>39575</v>
      </c>
      <c r="F6344" s="10" t="s">
        <v>1283</v>
      </c>
      <c r="G6344" s="10" t="s">
        <v>39594</v>
      </c>
      <c r="H6344" s="11">
        <v>2.0</v>
      </c>
      <c r="I6344" s="11">
        <v>21.0</v>
      </c>
      <c r="J6344" s="11">
        <v>2.0</v>
      </c>
      <c r="K6344" s="11">
        <v>16.0</v>
      </c>
      <c r="L6344" s="12" t="s">
        <v>39577</v>
      </c>
      <c r="M6344" s="10" t="s">
        <v>39595</v>
      </c>
      <c r="N6344" s="10" t="s">
        <v>1109</v>
      </c>
      <c r="O6344" s="12" t="s">
        <v>13169</v>
      </c>
      <c r="P6344" s="10" t="s">
        <v>39579</v>
      </c>
      <c r="Q6344" s="10" t="s">
        <v>39580</v>
      </c>
      <c r="R6344" s="10" t="s">
        <v>13171</v>
      </c>
      <c r="S6344" s="12" t="s">
        <v>13172</v>
      </c>
      <c r="T6344" s="10" t="s">
        <v>66</v>
      </c>
      <c r="U6344" s="12" t="s">
        <v>31</v>
      </c>
      <c r="V6344" s="10" t="s">
        <v>1283</v>
      </c>
      <c r="W6344" s="10" t="s">
        <v>39575</v>
      </c>
      <c r="X6344" s="13" t="str">
        <f>HYPERLINK("https://my.pitchbook.com?p=123446-62P","View People Online")</f>
        <v>View People Online</v>
      </c>
    </row>
    <row r="6345">
      <c r="A6345" s="14" t="s">
        <v>39596</v>
      </c>
      <c r="B6345" s="14" t="s">
        <v>34039</v>
      </c>
      <c r="C6345" s="14" t="s">
        <v>285</v>
      </c>
      <c r="D6345" s="14" t="s">
        <v>3275</v>
      </c>
      <c r="E6345" s="14" t="s">
        <v>39575</v>
      </c>
      <c r="F6345" s="14" t="s">
        <v>502</v>
      </c>
      <c r="G6345" s="14" t="s">
        <v>39597</v>
      </c>
      <c r="H6345" s="15" t="s">
        <v>31</v>
      </c>
      <c r="I6345" s="15">
        <v>4.0</v>
      </c>
      <c r="J6345" s="15">
        <v>2.0</v>
      </c>
      <c r="K6345" s="15" t="s">
        <v>31</v>
      </c>
      <c r="L6345" s="16" t="s">
        <v>39598</v>
      </c>
      <c r="M6345" s="14" t="s">
        <v>39599</v>
      </c>
      <c r="N6345" s="14" t="s">
        <v>39600</v>
      </c>
      <c r="O6345" s="16" t="s">
        <v>39601</v>
      </c>
      <c r="P6345" s="14" t="s">
        <v>39602</v>
      </c>
      <c r="Q6345" s="14" t="s">
        <v>39603</v>
      </c>
      <c r="R6345" s="14" t="s">
        <v>6479</v>
      </c>
      <c r="S6345" s="16" t="s">
        <v>39604</v>
      </c>
      <c r="T6345" s="14" t="s">
        <v>249</v>
      </c>
      <c r="U6345" s="16" t="s">
        <v>31</v>
      </c>
      <c r="V6345" s="14" t="s">
        <v>39605</v>
      </c>
      <c r="W6345" s="14" t="s">
        <v>39606</v>
      </c>
      <c r="X6345" s="17" t="str">
        <f>HYPERLINK("https://my.pitchbook.com?p=191308-51P","View People Online")</f>
        <v>View People Online</v>
      </c>
    </row>
    <row r="6346">
      <c r="A6346" s="10" t="s">
        <v>39607</v>
      </c>
      <c r="B6346" s="10" t="s">
        <v>39608</v>
      </c>
      <c r="C6346" s="10" t="s">
        <v>6626</v>
      </c>
      <c r="D6346" s="10" t="s">
        <v>39609</v>
      </c>
      <c r="E6346" s="10" t="s">
        <v>39575</v>
      </c>
      <c r="F6346" s="10" t="s">
        <v>270</v>
      </c>
      <c r="G6346" s="10" t="s">
        <v>39610</v>
      </c>
      <c r="H6346" s="11" t="s">
        <v>31</v>
      </c>
      <c r="I6346" s="11">
        <v>1.0</v>
      </c>
      <c r="J6346" s="11">
        <v>1.0</v>
      </c>
      <c r="K6346" s="11" t="s">
        <v>31</v>
      </c>
      <c r="L6346" s="12" t="s">
        <v>39577</v>
      </c>
      <c r="M6346" s="10" t="s">
        <v>39611</v>
      </c>
      <c r="N6346" s="10" t="s">
        <v>1109</v>
      </c>
      <c r="O6346" s="12" t="s">
        <v>13169</v>
      </c>
      <c r="P6346" s="10" t="s">
        <v>39579</v>
      </c>
      <c r="Q6346" s="10" t="s">
        <v>39580</v>
      </c>
      <c r="R6346" s="10" t="s">
        <v>13171</v>
      </c>
      <c r="S6346" s="12" t="s">
        <v>13172</v>
      </c>
      <c r="T6346" s="10" t="s">
        <v>66</v>
      </c>
      <c r="U6346" s="12" t="s">
        <v>31</v>
      </c>
      <c r="V6346" s="10" t="s">
        <v>39612</v>
      </c>
      <c r="W6346" s="10" t="s">
        <v>39575</v>
      </c>
      <c r="X6346" s="13" t="str">
        <f>HYPERLINK("https://my.pitchbook.com?p=350989-12P","View People Online")</f>
        <v>View People Online</v>
      </c>
    </row>
    <row r="6347">
      <c r="A6347" s="14" t="s">
        <v>39613</v>
      </c>
      <c r="B6347" s="14" t="s">
        <v>39614</v>
      </c>
      <c r="C6347" s="14" t="s">
        <v>69</v>
      </c>
      <c r="D6347" s="14" t="s">
        <v>39615</v>
      </c>
      <c r="E6347" s="14" t="s">
        <v>39575</v>
      </c>
      <c r="F6347" s="14" t="s">
        <v>470</v>
      </c>
      <c r="G6347" s="14" t="s">
        <v>39616</v>
      </c>
      <c r="H6347" s="15" t="s">
        <v>31</v>
      </c>
      <c r="I6347" s="15">
        <v>2.0</v>
      </c>
      <c r="J6347" s="15">
        <v>1.0</v>
      </c>
      <c r="K6347" s="15">
        <v>1.0</v>
      </c>
      <c r="L6347" s="16" t="s">
        <v>39577</v>
      </c>
      <c r="M6347" s="14" t="s">
        <v>39617</v>
      </c>
      <c r="N6347" s="14" t="s">
        <v>1109</v>
      </c>
      <c r="O6347" s="16" t="s">
        <v>13169</v>
      </c>
      <c r="P6347" s="14" t="s">
        <v>39579</v>
      </c>
      <c r="Q6347" s="14" t="s">
        <v>39580</v>
      </c>
      <c r="R6347" s="14" t="s">
        <v>13171</v>
      </c>
      <c r="S6347" s="16" t="s">
        <v>13172</v>
      </c>
      <c r="T6347" s="14" t="s">
        <v>66</v>
      </c>
      <c r="U6347" s="16" t="s">
        <v>31</v>
      </c>
      <c r="V6347" s="14" t="s">
        <v>39618</v>
      </c>
      <c r="W6347" s="14" t="s">
        <v>39575</v>
      </c>
      <c r="X6347" s="17" t="str">
        <f>HYPERLINK("https://my.pitchbook.com?p=322358-95P","View People Online")</f>
        <v>View People Online</v>
      </c>
    </row>
    <row r="6348">
      <c r="A6348" s="10" t="s">
        <v>39619</v>
      </c>
      <c r="B6348" s="10" t="s">
        <v>39620</v>
      </c>
      <c r="C6348" s="10" t="s">
        <v>1449</v>
      </c>
      <c r="D6348" s="10" t="s">
        <v>39621</v>
      </c>
      <c r="E6348" s="10" t="s">
        <v>39575</v>
      </c>
      <c r="F6348" s="10" t="s">
        <v>2652</v>
      </c>
      <c r="G6348" s="10" t="s">
        <v>39622</v>
      </c>
      <c r="H6348" s="11" t="s">
        <v>31</v>
      </c>
      <c r="I6348" s="11">
        <v>1.0</v>
      </c>
      <c r="J6348" s="11">
        <v>1.0</v>
      </c>
      <c r="K6348" s="11" t="s">
        <v>31</v>
      </c>
      <c r="L6348" s="12" t="s">
        <v>39577</v>
      </c>
      <c r="M6348" s="10" t="s">
        <v>39623</v>
      </c>
      <c r="N6348" s="10" t="s">
        <v>75</v>
      </c>
      <c r="O6348" s="12" t="s">
        <v>76</v>
      </c>
      <c r="P6348" s="10" t="s">
        <v>39624</v>
      </c>
      <c r="Q6348" s="10" t="s">
        <v>39625</v>
      </c>
      <c r="R6348" s="10" t="s">
        <v>75</v>
      </c>
      <c r="S6348" s="12" t="s">
        <v>39626</v>
      </c>
      <c r="T6348" s="10" t="s">
        <v>66</v>
      </c>
      <c r="U6348" s="12" t="s">
        <v>31</v>
      </c>
      <c r="V6348" s="10" t="s">
        <v>39627</v>
      </c>
      <c r="W6348" s="10" t="s">
        <v>39575</v>
      </c>
      <c r="X6348" s="13" t="str">
        <f>HYPERLINK("https://my.pitchbook.com?p=141747-22P","View People Online")</f>
        <v>View People Online</v>
      </c>
    </row>
    <row r="6349">
      <c r="A6349" s="14" t="s">
        <v>39628</v>
      </c>
      <c r="B6349" s="14" t="s">
        <v>39629</v>
      </c>
      <c r="C6349" s="14" t="s">
        <v>39630</v>
      </c>
      <c r="D6349" s="14" t="s">
        <v>39631</v>
      </c>
      <c r="E6349" s="14" t="s">
        <v>39575</v>
      </c>
      <c r="F6349" s="14" t="s">
        <v>10573</v>
      </c>
      <c r="G6349" s="14" t="s">
        <v>39632</v>
      </c>
      <c r="H6349" s="15" t="s">
        <v>31</v>
      </c>
      <c r="I6349" s="15">
        <v>2.0</v>
      </c>
      <c r="J6349" s="15">
        <v>2.0</v>
      </c>
      <c r="K6349" s="15" t="s">
        <v>31</v>
      </c>
      <c r="L6349" s="16" t="s">
        <v>39633</v>
      </c>
      <c r="M6349" s="14" t="s">
        <v>39634</v>
      </c>
      <c r="N6349" s="14" t="s">
        <v>75</v>
      </c>
      <c r="O6349" s="16" t="s">
        <v>76</v>
      </c>
      <c r="P6349" s="14" t="s">
        <v>39624</v>
      </c>
      <c r="Q6349" s="14" t="s">
        <v>39625</v>
      </c>
      <c r="R6349" s="14" t="s">
        <v>75</v>
      </c>
      <c r="S6349" s="16" t="s">
        <v>39626</v>
      </c>
      <c r="T6349" s="14" t="s">
        <v>66</v>
      </c>
      <c r="U6349" s="16" t="s">
        <v>39635</v>
      </c>
      <c r="V6349" s="14" t="s">
        <v>39636</v>
      </c>
      <c r="W6349" s="14" t="s">
        <v>39637</v>
      </c>
      <c r="X6349" s="17" t="str">
        <f>HYPERLINK("https://my.pitchbook.com?p=80714-44P","View People Online")</f>
        <v>View People Online</v>
      </c>
    </row>
    <row r="6350">
      <c r="A6350" s="10" t="s">
        <v>39638</v>
      </c>
      <c r="B6350" s="10" t="s">
        <v>39639</v>
      </c>
      <c r="C6350" s="10" t="s">
        <v>160</v>
      </c>
      <c r="D6350" s="10" t="s">
        <v>10412</v>
      </c>
      <c r="E6350" s="10" t="s">
        <v>39575</v>
      </c>
      <c r="F6350" s="10" t="s">
        <v>9112</v>
      </c>
      <c r="G6350" s="10" t="s">
        <v>39640</v>
      </c>
      <c r="H6350" s="11" t="s">
        <v>31</v>
      </c>
      <c r="I6350" s="11">
        <v>2.0</v>
      </c>
      <c r="J6350" s="11">
        <v>2.0</v>
      </c>
      <c r="K6350" s="11" t="s">
        <v>31</v>
      </c>
      <c r="L6350" s="12" t="s">
        <v>39577</v>
      </c>
      <c r="M6350" s="10" t="s">
        <v>39641</v>
      </c>
      <c r="N6350" s="10" t="s">
        <v>75</v>
      </c>
      <c r="O6350" s="12" t="s">
        <v>76</v>
      </c>
      <c r="P6350" s="10" t="s">
        <v>39624</v>
      </c>
      <c r="Q6350" s="10" t="s">
        <v>39625</v>
      </c>
      <c r="R6350" s="10" t="s">
        <v>75</v>
      </c>
      <c r="S6350" s="12" t="s">
        <v>39626</v>
      </c>
      <c r="T6350" s="10" t="s">
        <v>66</v>
      </c>
      <c r="U6350" s="12" t="s">
        <v>31</v>
      </c>
      <c r="V6350" s="10" t="s">
        <v>39642</v>
      </c>
      <c r="W6350" s="10" t="s">
        <v>39637</v>
      </c>
      <c r="X6350" s="13" t="str">
        <f>HYPERLINK("https://my.pitchbook.com?p=68475-25P","View People Online")</f>
        <v>View People Online</v>
      </c>
    </row>
    <row r="6351">
      <c r="A6351" s="14" t="s">
        <v>39643</v>
      </c>
      <c r="B6351" s="14" t="s">
        <v>39644</v>
      </c>
      <c r="C6351" s="14" t="s">
        <v>126</v>
      </c>
      <c r="D6351" s="14" t="s">
        <v>39645</v>
      </c>
      <c r="E6351" s="14" t="s">
        <v>39575</v>
      </c>
      <c r="F6351" s="14" t="s">
        <v>39646</v>
      </c>
      <c r="G6351" s="14" t="s">
        <v>39647</v>
      </c>
      <c r="H6351" s="15" t="s">
        <v>31</v>
      </c>
      <c r="I6351" s="15">
        <v>2.0</v>
      </c>
      <c r="J6351" s="15">
        <v>2.0</v>
      </c>
      <c r="K6351" s="15" t="s">
        <v>31</v>
      </c>
      <c r="L6351" s="16" t="s">
        <v>39577</v>
      </c>
      <c r="M6351" s="14" t="s">
        <v>39648</v>
      </c>
      <c r="N6351" s="14" t="s">
        <v>75</v>
      </c>
      <c r="O6351" s="16" t="s">
        <v>76</v>
      </c>
      <c r="P6351" s="14" t="s">
        <v>39624</v>
      </c>
      <c r="Q6351" s="14" t="s">
        <v>39625</v>
      </c>
      <c r="R6351" s="14" t="s">
        <v>75</v>
      </c>
      <c r="S6351" s="16" t="s">
        <v>39626</v>
      </c>
      <c r="T6351" s="14" t="s">
        <v>66</v>
      </c>
      <c r="U6351" s="16" t="s">
        <v>31</v>
      </c>
      <c r="V6351" s="14" t="s">
        <v>39649</v>
      </c>
      <c r="W6351" s="14" t="s">
        <v>39637</v>
      </c>
      <c r="X6351" s="17" t="str">
        <f>HYPERLINK("https://my.pitchbook.com?p=298042-84P","View People Online")</f>
        <v>View People Online</v>
      </c>
    </row>
    <row r="6352">
      <c r="A6352" s="2" t="s">
        <v>39650</v>
      </c>
      <c r="B6352" s="2" t="s">
        <v>39651</v>
      </c>
      <c r="C6352" s="2" t="s">
        <v>39652</v>
      </c>
      <c r="D6352" s="2" t="s">
        <v>39653</v>
      </c>
      <c r="E6352" s="2" t="s">
        <v>39575</v>
      </c>
      <c r="F6352" s="2" t="s">
        <v>39654</v>
      </c>
      <c r="G6352" s="2" t="s">
        <v>39655</v>
      </c>
      <c r="H6352" s="3" t="s">
        <v>31</v>
      </c>
      <c r="I6352" s="3">
        <v>2.0</v>
      </c>
      <c r="J6352" s="3">
        <v>2.0</v>
      </c>
      <c r="K6352" s="3" t="s">
        <v>31</v>
      </c>
      <c r="L6352" s="4" t="s">
        <v>39577</v>
      </c>
      <c r="M6352" s="2" t="s">
        <v>39656</v>
      </c>
      <c r="N6352" s="2" t="s">
        <v>75</v>
      </c>
      <c r="O6352" s="4" t="s">
        <v>76</v>
      </c>
      <c r="P6352" s="2" t="s">
        <v>39624</v>
      </c>
      <c r="Q6352" s="2" t="s">
        <v>39625</v>
      </c>
      <c r="R6352" s="2" t="s">
        <v>75</v>
      </c>
      <c r="S6352" s="4" t="s">
        <v>39626</v>
      </c>
      <c r="T6352" s="2" t="s">
        <v>66</v>
      </c>
      <c r="U6352" s="4" t="s">
        <v>31</v>
      </c>
      <c r="V6352" s="2" t="s">
        <v>39657</v>
      </c>
      <c r="W6352" s="2" t="s">
        <v>39637</v>
      </c>
      <c r="X6352" s="5" t="str">
        <f>HYPERLINK("https://my.pitchbook.com?p=298042-12P","View People Online")</f>
        <v>View People Online</v>
      </c>
    </row>
    <row r="6353">
      <c r="A6353" s="14" t="s">
        <v>39658</v>
      </c>
      <c r="B6353" s="14" t="s">
        <v>39659</v>
      </c>
      <c r="C6353" s="14" t="s">
        <v>536</v>
      </c>
      <c r="D6353" s="14" t="s">
        <v>39609</v>
      </c>
      <c r="E6353" s="14" t="s">
        <v>39575</v>
      </c>
      <c r="F6353" s="14" t="s">
        <v>2199</v>
      </c>
      <c r="G6353" s="14" t="s">
        <v>39660</v>
      </c>
      <c r="H6353" s="15">
        <v>1.0</v>
      </c>
      <c r="I6353" s="15">
        <v>1.0</v>
      </c>
      <c r="J6353" s="15">
        <v>1.0</v>
      </c>
      <c r="K6353" s="15" t="s">
        <v>31</v>
      </c>
      <c r="L6353" s="16" t="s">
        <v>39577</v>
      </c>
      <c r="M6353" s="14" t="s">
        <v>39661</v>
      </c>
      <c r="N6353" s="14" t="s">
        <v>1109</v>
      </c>
      <c r="O6353" s="16" t="s">
        <v>13169</v>
      </c>
      <c r="P6353" s="14" t="s">
        <v>39579</v>
      </c>
      <c r="Q6353" s="14" t="s">
        <v>39580</v>
      </c>
      <c r="R6353" s="14" t="s">
        <v>13171</v>
      </c>
      <c r="S6353" s="16" t="s">
        <v>13172</v>
      </c>
      <c r="T6353" s="14" t="s">
        <v>66</v>
      </c>
      <c r="U6353" s="16" t="s">
        <v>31</v>
      </c>
      <c r="V6353" s="14" t="s">
        <v>2199</v>
      </c>
      <c r="W6353" s="14" t="s">
        <v>39575</v>
      </c>
      <c r="X6353" s="17" t="str">
        <f>HYPERLINK("https://my.pitchbook.com?p=441483-67P","View People Online")</f>
        <v>View People Online</v>
      </c>
    </row>
    <row r="6354">
      <c r="A6354" s="2" t="s">
        <v>39662</v>
      </c>
      <c r="B6354" s="2" t="s">
        <v>39663</v>
      </c>
      <c r="C6354" s="2" t="s">
        <v>22105</v>
      </c>
      <c r="D6354" s="2" t="s">
        <v>39664</v>
      </c>
      <c r="E6354" s="2" t="s">
        <v>39575</v>
      </c>
      <c r="F6354" s="2" t="s">
        <v>5418</v>
      </c>
      <c r="G6354" s="2" t="s">
        <v>39665</v>
      </c>
      <c r="H6354" s="3" t="s">
        <v>31</v>
      </c>
      <c r="I6354" s="3">
        <v>2.0</v>
      </c>
      <c r="J6354" s="3">
        <v>2.0</v>
      </c>
      <c r="K6354" s="3" t="s">
        <v>31</v>
      </c>
      <c r="L6354" s="4" t="s">
        <v>39666</v>
      </c>
      <c r="M6354" s="2" t="s">
        <v>39667</v>
      </c>
      <c r="N6354" s="2" t="s">
        <v>5345</v>
      </c>
      <c r="O6354" s="4" t="s">
        <v>5346</v>
      </c>
      <c r="P6354" s="2" t="s">
        <v>39668</v>
      </c>
      <c r="Q6354" s="2" t="s">
        <v>31</v>
      </c>
      <c r="R6354" s="2" t="s">
        <v>5348</v>
      </c>
      <c r="S6354" s="4" t="s">
        <v>39669</v>
      </c>
      <c r="T6354" s="2" t="s">
        <v>66</v>
      </c>
      <c r="U6354" s="4" t="s">
        <v>31</v>
      </c>
      <c r="V6354" s="2" t="s">
        <v>39670</v>
      </c>
      <c r="W6354" s="2" t="s">
        <v>39575</v>
      </c>
      <c r="X6354" s="5" t="str">
        <f>HYPERLINK("https://my.pitchbook.com?p=93403-18P","View People Online")</f>
        <v>View People Online</v>
      </c>
    </row>
    <row r="6355">
      <c r="A6355" s="6" t="s">
        <v>39671</v>
      </c>
      <c r="B6355" s="6" t="s">
        <v>39672</v>
      </c>
      <c r="C6355" s="6" t="s">
        <v>7138</v>
      </c>
      <c r="D6355" s="6" t="s">
        <v>39673</v>
      </c>
      <c r="E6355" s="6" t="s">
        <v>39674</v>
      </c>
      <c r="F6355" s="6" t="s">
        <v>1167</v>
      </c>
      <c r="G6355" s="6" t="s">
        <v>39675</v>
      </c>
      <c r="H6355" s="7" t="s">
        <v>31</v>
      </c>
      <c r="I6355" s="7">
        <v>2.0</v>
      </c>
      <c r="J6355" s="7">
        <v>1.0</v>
      </c>
      <c r="K6355" s="7">
        <v>1.0</v>
      </c>
      <c r="L6355" s="8" t="s">
        <v>39676</v>
      </c>
      <c r="M6355" s="6" t="s">
        <v>39677</v>
      </c>
      <c r="N6355" s="6" t="s">
        <v>13768</v>
      </c>
      <c r="O6355" s="8" t="s">
        <v>13769</v>
      </c>
      <c r="P6355" s="6" t="s">
        <v>30834</v>
      </c>
      <c r="Q6355" s="6" t="s">
        <v>39678</v>
      </c>
      <c r="R6355" s="6" t="s">
        <v>13768</v>
      </c>
      <c r="S6355" s="8" t="s">
        <v>39679</v>
      </c>
      <c r="T6355" s="6" t="s">
        <v>13773</v>
      </c>
      <c r="U6355" s="8" t="s">
        <v>31</v>
      </c>
      <c r="V6355" s="6" t="s">
        <v>991</v>
      </c>
      <c r="W6355" s="6" t="s">
        <v>39674</v>
      </c>
      <c r="X6355" s="9" t="str">
        <f>HYPERLINK("https://my.pitchbook.com?p=255256-12P","View People Online")</f>
        <v>View People Online</v>
      </c>
    </row>
    <row r="6356">
      <c r="A6356" s="10" t="s">
        <v>39680</v>
      </c>
      <c r="B6356" s="10" t="s">
        <v>39681</v>
      </c>
      <c r="C6356" s="10" t="s">
        <v>35725</v>
      </c>
      <c r="D6356" s="10" t="s">
        <v>39673</v>
      </c>
      <c r="E6356" s="10" t="s">
        <v>39674</v>
      </c>
      <c r="F6356" s="10" t="s">
        <v>86</v>
      </c>
      <c r="G6356" s="10" t="s">
        <v>39682</v>
      </c>
      <c r="H6356" s="11" t="s">
        <v>31</v>
      </c>
      <c r="I6356" s="11">
        <v>1.0</v>
      </c>
      <c r="J6356" s="11">
        <v>1.0</v>
      </c>
      <c r="K6356" s="11" t="s">
        <v>31</v>
      </c>
      <c r="L6356" s="12" t="s">
        <v>39676</v>
      </c>
      <c r="M6356" s="10" t="s">
        <v>39683</v>
      </c>
      <c r="N6356" s="10" t="s">
        <v>13768</v>
      </c>
      <c r="O6356" s="12" t="s">
        <v>13769</v>
      </c>
      <c r="P6356" s="10" t="s">
        <v>30834</v>
      </c>
      <c r="Q6356" s="10" t="s">
        <v>39678</v>
      </c>
      <c r="R6356" s="10" t="s">
        <v>13768</v>
      </c>
      <c r="S6356" s="12" t="s">
        <v>39679</v>
      </c>
      <c r="T6356" s="10" t="s">
        <v>13773</v>
      </c>
      <c r="U6356" s="12" t="s">
        <v>31</v>
      </c>
      <c r="V6356" s="10" t="s">
        <v>95</v>
      </c>
      <c r="W6356" s="10" t="s">
        <v>39674</v>
      </c>
      <c r="X6356" s="13" t="str">
        <f>HYPERLINK("https://my.pitchbook.com?p=255265-21P","View People Online")</f>
        <v>View People Online</v>
      </c>
    </row>
    <row r="6357">
      <c r="A6357" s="14" t="s">
        <v>39684</v>
      </c>
      <c r="B6357" s="14" t="s">
        <v>39685</v>
      </c>
      <c r="C6357" s="14" t="s">
        <v>7476</v>
      </c>
      <c r="D6357" s="14" t="s">
        <v>7805</v>
      </c>
      <c r="E6357" s="14" t="s">
        <v>39686</v>
      </c>
      <c r="F6357" s="14" t="s">
        <v>270</v>
      </c>
      <c r="G6357" s="14" t="s">
        <v>39687</v>
      </c>
      <c r="H6357" s="15" t="s">
        <v>31</v>
      </c>
      <c r="I6357" s="15">
        <v>1.0</v>
      </c>
      <c r="J6357" s="15">
        <v>1.0</v>
      </c>
      <c r="K6357" s="15" t="s">
        <v>31</v>
      </c>
      <c r="L6357" s="16" t="s">
        <v>39688</v>
      </c>
      <c r="M6357" s="14" t="s">
        <v>39689</v>
      </c>
      <c r="N6357" s="14" t="s">
        <v>1181</v>
      </c>
      <c r="O6357" s="16" t="s">
        <v>1182</v>
      </c>
      <c r="P6357" s="14" t="s">
        <v>39690</v>
      </c>
      <c r="Q6357" s="14" t="s">
        <v>31</v>
      </c>
      <c r="R6357" s="14" t="s">
        <v>1185</v>
      </c>
      <c r="S6357" s="16" t="s">
        <v>1383</v>
      </c>
      <c r="T6357" s="14" t="s">
        <v>66</v>
      </c>
      <c r="U6357" s="16" t="s">
        <v>31</v>
      </c>
      <c r="V6357" s="14" t="s">
        <v>39691</v>
      </c>
      <c r="W6357" s="14" t="s">
        <v>39686</v>
      </c>
      <c r="X6357" s="17" t="str">
        <f>HYPERLINK("https://my.pitchbook.com?p=291274-12P","View People Online")</f>
        <v>View People Online</v>
      </c>
    </row>
    <row r="6358">
      <c r="A6358" s="10" t="s">
        <v>39692</v>
      </c>
      <c r="B6358" s="10" t="s">
        <v>39693</v>
      </c>
      <c r="C6358" s="10" t="s">
        <v>323</v>
      </c>
      <c r="D6358" s="10" t="s">
        <v>16603</v>
      </c>
      <c r="E6358" s="10" t="s">
        <v>39686</v>
      </c>
      <c r="F6358" s="10" t="s">
        <v>674</v>
      </c>
      <c r="G6358" s="10" t="s">
        <v>39694</v>
      </c>
      <c r="H6358" s="11" t="s">
        <v>31</v>
      </c>
      <c r="I6358" s="11">
        <v>3.0</v>
      </c>
      <c r="J6358" s="11">
        <v>1.0</v>
      </c>
      <c r="K6358" s="11">
        <v>2.0</v>
      </c>
      <c r="L6358" s="12" t="s">
        <v>31</v>
      </c>
      <c r="M6358" s="10" t="s">
        <v>39695</v>
      </c>
      <c r="N6358" s="10" t="s">
        <v>1181</v>
      </c>
      <c r="O6358" s="12" t="s">
        <v>1182</v>
      </c>
      <c r="P6358" s="10" t="s">
        <v>39690</v>
      </c>
      <c r="Q6358" s="10" t="s">
        <v>31</v>
      </c>
      <c r="R6358" s="10" t="s">
        <v>1185</v>
      </c>
      <c r="S6358" s="12" t="s">
        <v>1383</v>
      </c>
      <c r="T6358" s="10" t="s">
        <v>66</v>
      </c>
      <c r="U6358" s="12" t="s">
        <v>31</v>
      </c>
      <c r="V6358" s="10" t="s">
        <v>674</v>
      </c>
      <c r="W6358" s="10" t="s">
        <v>39686</v>
      </c>
      <c r="X6358" s="13" t="str">
        <f>HYPERLINK("https://my.pitchbook.com?p=55229-32P","View People Online")</f>
        <v>View People Online</v>
      </c>
    </row>
    <row r="6359">
      <c r="A6359" s="14" t="s">
        <v>39696</v>
      </c>
      <c r="B6359" s="14" t="s">
        <v>39697</v>
      </c>
      <c r="C6359" s="14" t="s">
        <v>3984</v>
      </c>
      <c r="D6359" s="14" t="s">
        <v>5058</v>
      </c>
      <c r="E6359" s="14" t="s">
        <v>39686</v>
      </c>
      <c r="F6359" s="14" t="s">
        <v>1283</v>
      </c>
      <c r="G6359" s="14" t="s">
        <v>39698</v>
      </c>
      <c r="H6359" s="15" t="s">
        <v>31</v>
      </c>
      <c r="I6359" s="15">
        <v>2.0</v>
      </c>
      <c r="J6359" s="15">
        <v>2.0</v>
      </c>
      <c r="K6359" s="15" t="s">
        <v>31</v>
      </c>
      <c r="L6359" s="16" t="s">
        <v>31</v>
      </c>
      <c r="M6359" s="14" t="s">
        <v>39699</v>
      </c>
      <c r="N6359" s="14" t="s">
        <v>1181</v>
      </c>
      <c r="O6359" s="16" t="s">
        <v>1182</v>
      </c>
      <c r="P6359" s="14" t="s">
        <v>39690</v>
      </c>
      <c r="Q6359" s="14" t="s">
        <v>31</v>
      </c>
      <c r="R6359" s="14" t="s">
        <v>1185</v>
      </c>
      <c r="S6359" s="16" t="s">
        <v>1383</v>
      </c>
      <c r="T6359" s="14" t="s">
        <v>66</v>
      </c>
      <c r="U6359" s="16" t="s">
        <v>31</v>
      </c>
      <c r="V6359" s="14" t="s">
        <v>1283</v>
      </c>
      <c r="W6359" s="14" t="s">
        <v>39686</v>
      </c>
      <c r="X6359" s="17" t="str">
        <f>HYPERLINK("https://my.pitchbook.com?p=336248-38P","View People Online")</f>
        <v>View People Online</v>
      </c>
    </row>
    <row r="6360">
      <c r="A6360" s="2" t="s">
        <v>39700</v>
      </c>
      <c r="B6360" s="2" t="s">
        <v>39701</v>
      </c>
      <c r="C6360" s="2" t="s">
        <v>15454</v>
      </c>
      <c r="D6360" s="2" t="s">
        <v>39702</v>
      </c>
      <c r="E6360" s="2" t="s">
        <v>39703</v>
      </c>
      <c r="F6360" s="2" t="s">
        <v>189</v>
      </c>
      <c r="G6360" s="2" t="s">
        <v>39704</v>
      </c>
      <c r="H6360" s="3" t="s">
        <v>31</v>
      </c>
      <c r="I6360" s="3">
        <v>4.0</v>
      </c>
      <c r="J6360" s="3">
        <v>1.0</v>
      </c>
      <c r="K6360" s="3" t="s">
        <v>31</v>
      </c>
      <c r="L6360" s="4" t="s">
        <v>39705</v>
      </c>
      <c r="M6360" s="2" t="s">
        <v>39706</v>
      </c>
      <c r="N6360" s="2" t="s">
        <v>11029</v>
      </c>
      <c r="O6360" s="4" t="s">
        <v>11030</v>
      </c>
      <c r="P6360" s="2" t="s">
        <v>39707</v>
      </c>
      <c r="Q6360" s="2" t="s">
        <v>39708</v>
      </c>
      <c r="R6360" s="2" t="s">
        <v>10017</v>
      </c>
      <c r="S6360" s="4" t="s">
        <v>13843</v>
      </c>
      <c r="T6360" s="2" t="s">
        <v>66</v>
      </c>
      <c r="U6360" s="4" t="s">
        <v>31</v>
      </c>
      <c r="V6360" s="2" t="s">
        <v>196</v>
      </c>
      <c r="W6360" s="2" t="s">
        <v>39703</v>
      </c>
      <c r="X6360" s="5" t="str">
        <f>HYPERLINK("https://my.pitchbook.com?p=177375-88P","View People Online")</f>
        <v>View People Online</v>
      </c>
    </row>
    <row r="6361">
      <c r="A6361" s="14" t="s">
        <v>39709</v>
      </c>
      <c r="B6361" s="14" t="s">
        <v>39710</v>
      </c>
      <c r="C6361" s="14" t="s">
        <v>1449</v>
      </c>
      <c r="D6361" s="14" t="s">
        <v>37738</v>
      </c>
      <c r="E6361" s="14" t="s">
        <v>39703</v>
      </c>
      <c r="F6361" s="14" t="s">
        <v>189</v>
      </c>
      <c r="G6361" s="14" t="s">
        <v>39711</v>
      </c>
      <c r="H6361" s="15" t="s">
        <v>31</v>
      </c>
      <c r="I6361" s="15">
        <v>20.0</v>
      </c>
      <c r="J6361" s="15">
        <v>1.0</v>
      </c>
      <c r="K6361" s="15">
        <v>16.0</v>
      </c>
      <c r="L6361" s="16" t="s">
        <v>31</v>
      </c>
      <c r="M6361" s="14" t="s">
        <v>39712</v>
      </c>
      <c r="N6361" s="14" t="s">
        <v>75</v>
      </c>
      <c r="O6361" s="16" t="s">
        <v>76</v>
      </c>
      <c r="P6361" s="14" t="s">
        <v>31</v>
      </c>
      <c r="Q6361" s="14" t="s">
        <v>31</v>
      </c>
      <c r="R6361" s="14" t="s">
        <v>75</v>
      </c>
      <c r="S6361" s="16" t="s">
        <v>31</v>
      </c>
      <c r="T6361" s="14" t="s">
        <v>66</v>
      </c>
      <c r="U6361" s="16" t="s">
        <v>31</v>
      </c>
      <c r="V6361" s="14" t="s">
        <v>196</v>
      </c>
      <c r="W6361" s="14" t="s">
        <v>39703</v>
      </c>
      <c r="X6361" s="17" t="str">
        <f>HYPERLINK("https://my.pitchbook.com?p=59818-42P","View People Online")</f>
        <v>View People Online</v>
      </c>
    </row>
    <row r="6362">
      <c r="A6362" s="2" t="s">
        <v>39713</v>
      </c>
      <c r="B6362" s="2" t="s">
        <v>39714</v>
      </c>
      <c r="C6362" s="2" t="s">
        <v>843</v>
      </c>
      <c r="D6362" s="2" t="s">
        <v>39715</v>
      </c>
      <c r="E6362" s="2" t="s">
        <v>39703</v>
      </c>
      <c r="F6362" s="2" t="s">
        <v>29</v>
      </c>
      <c r="G6362" s="2" t="s">
        <v>39716</v>
      </c>
      <c r="H6362" s="3" t="s">
        <v>31</v>
      </c>
      <c r="I6362" s="3">
        <v>3.0</v>
      </c>
      <c r="J6362" s="3">
        <v>1.0</v>
      </c>
      <c r="K6362" s="3">
        <v>2.0</v>
      </c>
      <c r="L6362" s="4" t="s">
        <v>39705</v>
      </c>
      <c r="M6362" s="2" t="s">
        <v>39717</v>
      </c>
      <c r="N6362" s="2" t="s">
        <v>11029</v>
      </c>
      <c r="O6362" s="4" t="s">
        <v>11030</v>
      </c>
      <c r="P6362" s="2" t="s">
        <v>39707</v>
      </c>
      <c r="Q6362" s="2" t="s">
        <v>39708</v>
      </c>
      <c r="R6362" s="2" t="s">
        <v>10017</v>
      </c>
      <c r="S6362" s="4" t="s">
        <v>13843</v>
      </c>
      <c r="T6362" s="2" t="s">
        <v>66</v>
      </c>
      <c r="U6362" s="4" t="s">
        <v>31</v>
      </c>
      <c r="V6362" s="2" t="s">
        <v>29</v>
      </c>
      <c r="W6362" s="2" t="s">
        <v>39703</v>
      </c>
      <c r="X6362" s="5" t="str">
        <f>HYPERLINK("https://my.pitchbook.com?p=195787-45P","View People Online")</f>
        <v>View People Online</v>
      </c>
    </row>
    <row r="6363">
      <c r="A6363" s="6" t="s">
        <v>39718</v>
      </c>
      <c r="B6363" s="6" t="s">
        <v>39719</v>
      </c>
      <c r="C6363" s="6" t="s">
        <v>39720</v>
      </c>
      <c r="D6363" s="6" t="s">
        <v>32605</v>
      </c>
      <c r="E6363" s="6" t="s">
        <v>39703</v>
      </c>
      <c r="F6363" s="6" t="s">
        <v>114</v>
      </c>
      <c r="G6363" s="6" t="s">
        <v>39721</v>
      </c>
      <c r="H6363" s="7" t="s">
        <v>31</v>
      </c>
      <c r="I6363" s="7">
        <v>9.0</v>
      </c>
      <c r="J6363" s="7">
        <v>1.0</v>
      </c>
      <c r="K6363" s="7">
        <v>8.0</v>
      </c>
      <c r="L6363" s="8" t="s">
        <v>31</v>
      </c>
      <c r="M6363" s="6" t="s">
        <v>39722</v>
      </c>
      <c r="N6363" s="6" t="s">
        <v>39723</v>
      </c>
      <c r="O6363" s="8" t="s">
        <v>39724</v>
      </c>
      <c r="P6363" s="6" t="s">
        <v>31</v>
      </c>
      <c r="Q6363" s="6" t="s">
        <v>31</v>
      </c>
      <c r="R6363" s="6" t="s">
        <v>31</v>
      </c>
      <c r="S6363" s="8" t="s">
        <v>31</v>
      </c>
      <c r="T6363" s="6" t="s">
        <v>10295</v>
      </c>
      <c r="U6363" s="8" t="s">
        <v>31</v>
      </c>
      <c r="V6363" s="6" t="s">
        <v>114</v>
      </c>
      <c r="W6363" s="6" t="s">
        <v>39703</v>
      </c>
      <c r="X6363" s="9" t="str">
        <f>HYPERLINK("https://my.pitchbook.com?p=47848-15P","View People Online")</f>
        <v>View People Online</v>
      </c>
    </row>
    <row r="6364">
      <c r="A6364" s="10" t="s">
        <v>39725</v>
      </c>
      <c r="B6364" s="10" t="s">
        <v>39726</v>
      </c>
      <c r="C6364" s="10" t="s">
        <v>39727</v>
      </c>
      <c r="D6364" s="10" t="s">
        <v>39728</v>
      </c>
      <c r="E6364" s="10" t="s">
        <v>39729</v>
      </c>
      <c r="F6364" s="10" t="s">
        <v>470</v>
      </c>
      <c r="G6364" s="10" t="s">
        <v>39730</v>
      </c>
      <c r="H6364" s="11" t="s">
        <v>31</v>
      </c>
      <c r="I6364" s="11">
        <v>2.0</v>
      </c>
      <c r="J6364" s="11">
        <v>1.0</v>
      </c>
      <c r="K6364" s="11">
        <v>1.0</v>
      </c>
      <c r="L6364" s="12" t="s">
        <v>31</v>
      </c>
      <c r="M6364" s="10" t="s">
        <v>39731</v>
      </c>
      <c r="N6364" s="10" t="s">
        <v>31</v>
      </c>
      <c r="O6364" s="12" t="s">
        <v>31</v>
      </c>
      <c r="P6364" s="10" t="s">
        <v>31</v>
      </c>
      <c r="Q6364" s="10" t="s">
        <v>31</v>
      </c>
      <c r="R6364" s="10" t="s">
        <v>31</v>
      </c>
      <c r="S6364" s="12" t="s">
        <v>31</v>
      </c>
      <c r="T6364" s="10" t="s">
        <v>31</v>
      </c>
      <c r="U6364" s="12" t="s">
        <v>31</v>
      </c>
      <c r="V6364" s="10" t="s">
        <v>470</v>
      </c>
      <c r="W6364" s="10" t="s">
        <v>39729</v>
      </c>
      <c r="X6364" s="13" t="str">
        <f>HYPERLINK("https://my.pitchbook.com?p=333342-01P","View People Online")</f>
        <v>View People Online</v>
      </c>
    </row>
    <row r="6365">
      <c r="A6365" s="6" t="s">
        <v>39732</v>
      </c>
      <c r="B6365" s="6" t="s">
        <v>39733</v>
      </c>
      <c r="C6365" s="6" t="s">
        <v>39734</v>
      </c>
      <c r="D6365" s="6" t="s">
        <v>39735</v>
      </c>
      <c r="E6365" s="6" t="s">
        <v>39736</v>
      </c>
      <c r="F6365" s="6" t="s">
        <v>7239</v>
      </c>
      <c r="G6365" s="6" t="s">
        <v>39737</v>
      </c>
      <c r="H6365" s="7" t="s">
        <v>31</v>
      </c>
      <c r="I6365" s="7">
        <v>2.0</v>
      </c>
      <c r="J6365" s="7">
        <v>1.0</v>
      </c>
      <c r="K6365" s="7">
        <v>1.0</v>
      </c>
      <c r="L6365" s="8" t="s">
        <v>31</v>
      </c>
      <c r="M6365" s="6" t="s">
        <v>39738</v>
      </c>
      <c r="N6365" s="6" t="s">
        <v>31</v>
      </c>
      <c r="O6365" s="8" t="s">
        <v>31</v>
      </c>
      <c r="P6365" s="6" t="s">
        <v>31</v>
      </c>
      <c r="Q6365" s="6" t="s">
        <v>31</v>
      </c>
      <c r="R6365" s="6" t="s">
        <v>31</v>
      </c>
      <c r="S6365" s="8" t="s">
        <v>31</v>
      </c>
      <c r="T6365" s="6" t="s">
        <v>31</v>
      </c>
      <c r="U6365" s="8" t="s">
        <v>31</v>
      </c>
      <c r="V6365" s="6" t="s">
        <v>39739</v>
      </c>
      <c r="W6365" s="6" t="s">
        <v>39736</v>
      </c>
      <c r="X6365" s="9" t="str">
        <f>HYPERLINK("https://my.pitchbook.com?p=271869-40P","View People Online")</f>
        <v>View People Online</v>
      </c>
    </row>
    <row r="6366">
      <c r="A6366" s="10" t="s">
        <v>39740</v>
      </c>
      <c r="B6366" s="10" t="s">
        <v>39741</v>
      </c>
      <c r="C6366" s="10" t="s">
        <v>31632</v>
      </c>
      <c r="D6366" s="10" t="s">
        <v>39742</v>
      </c>
      <c r="E6366" s="10" t="s">
        <v>39743</v>
      </c>
      <c r="F6366" s="10" t="s">
        <v>29</v>
      </c>
      <c r="G6366" s="10" t="s">
        <v>39744</v>
      </c>
      <c r="H6366" s="11" t="s">
        <v>31</v>
      </c>
      <c r="I6366" s="11">
        <v>3.0</v>
      </c>
      <c r="J6366" s="11">
        <v>1.0</v>
      </c>
      <c r="K6366" s="11" t="s">
        <v>31</v>
      </c>
      <c r="L6366" s="12" t="s">
        <v>39745</v>
      </c>
      <c r="M6366" s="10" t="s">
        <v>39746</v>
      </c>
      <c r="N6366" s="10" t="s">
        <v>155</v>
      </c>
      <c r="O6366" s="12" t="s">
        <v>156</v>
      </c>
      <c r="P6366" s="10" t="s">
        <v>31</v>
      </c>
      <c r="Q6366" s="10" t="s">
        <v>31</v>
      </c>
      <c r="R6366" s="10" t="s">
        <v>64</v>
      </c>
      <c r="S6366" s="12" t="s">
        <v>39747</v>
      </c>
      <c r="T6366" s="10" t="s">
        <v>66</v>
      </c>
      <c r="U6366" s="12" t="s">
        <v>31</v>
      </c>
      <c r="V6366" s="10" t="s">
        <v>29</v>
      </c>
      <c r="W6366" s="10" t="s">
        <v>39743</v>
      </c>
      <c r="X6366" s="13" t="str">
        <f>HYPERLINK("https://my.pitchbook.com?p=224789-32P","View People Online")</f>
        <v>View People Online</v>
      </c>
    </row>
    <row r="6367">
      <c r="A6367" s="14" t="s">
        <v>39748</v>
      </c>
      <c r="B6367" s="14" t="s">
        <v>39749</v>
      </c>
      <c r="C6367" s="14" t="s">
        <v>39750</v>
      </c>
      <c r="D6367" s="14" t="s">
        <v>2432</v>
      </c>
      <c r="E6367" s="14" t="s">
        <v>39743</v>
      </c>
      <c r="F6367" s="14" t="s">
        <v>318</v>
      </c>
      <c r="G6367" s="14" t="s">
        <v>39751</v>
      </c>
      <c r="H6367" s="15" t="s">
        <v>31</v>
      </c>
      <c r="I6367" s="15">
        <v>1.0</v>
      </c>
      <c r="J6367" s="15">
        <v>1.0</v>
      </c>
      <c r="K6367" s="15" t="s">
        <v>31</v>
      </c>
      <c r="L6367" s="16" t="s">
        <v>31</v>
      </c>
      <c r="M6367" s="14" t="s">
        <v>39752</v>
      </c>
      <c r="N6367" s="14" t="s">
        <v>6669</v>
      </c>
      <c r="O6367" s="16" t="s">
        <v>6670</v>
      </c>
      <c r="P6367" s="14" t="s">
        <v>31</v>
      </c>
      <c r="Q6367" s="14" t="s">
        <v>31</v>
      </c>
      <c r="R6367" s="14" t="s">
        <v>1185</v>
      </c>
      <c r="S6367" s="16" t="s">
        <v>1709</v>
      </c>
      <c r="T6367" s="14" t="s">
        <v>66</v>
      </c>
      <c r="U6367" s="16" t="s">
        <v>31</v>
      </c>
      <c r="V6367" s="14" t="s">
        <v>318</v>
      </c>
      <c r="W6367" s="14" t="s">
        <v>39743</v>
      </c>
      <c r="X6367" s="17" t="str">
        <f>HYPERLINK("https://my.pitchbook.com?p=327278-62P","View People Online")</f>
        <v>View People Online</v>
      </c>
    </row>
    <row r="6368">
      <c r="A6368" s="2" t="s">
        <v>39753</v>
      </c>
      <c r="B6368" s="2" t="s">
        <v>39754</v>
      </c>
      <c r="C6368" s="2" t="s">
        <v>1103</v>
      </c>
      <c r="D6368" s="2" t="s">
        <v>39755</v>
      </c>
      <c r="E6368" s="2" t="s">
        <v>39743</v>
      </c>
      <c r="F6368" s="2" t="s">
        <v>43</v>
      </c>
      <c r="G6368" s="2" t="s">
        <v>39756</v>
      </c>
      <c r="H6368" s="3">
        <v>8.0</v>
      </c>
      <c r="I6368" s="3">
        <v>17.0</v>
      </c>
      <c r="J6368" s="3">
        <v>2.0</v>
      </c>
      <c r="K6368" s="3">
        <v>7.0</v>
      </c>
      <c r="L6368" s="4" t="s">
        <v>39757</v>
      </c>
      <c r="M6368" s="2" t="s">
        <v>39758</v>
      </c>
      <c r="N6368" s="2" t="s">
        <v>1181</v>
      </c>
      <c r="O6368" s="4" t="s">
        <v>1182</v>
      </c>
      <c r="P6368" s="2" t="s">
        <v>39759</v>
      </c>
      <c r="Q6368" s="2" t="s">
        <v>39760</v>
      </c>
      <c r="R6368" s="2" t="s">
        <v>1185</v>
      </c>
      <c r="S6368" s="4" t="s">
        <v>23438</v>
      </c>
      <c r="T6368" s="2" t="s">
        <v>66</v>
      </c>
      <c r="U6368" s="4" t="s">
        <v>31</v>
      </c>
      <c r="V6368" s="2" t="s">
        <v>3930</v>
      </c>
      <c r="W6368" s="2" t="s">
        <v>39761</v>
      </c>
      <c r="X6368" s="5" t="str">
        <f>HYPERLINK("https://my.pitchbook.com?p=41174-92P","View People Online")</f>
        <v>View People Online</v>
      </c>
    </row>
    <row r="6369">
      <c r="A6369" s="6" t="s">
        <v>39762</v>
      </c>
      <c r="B6369" s="6" t="s">
        <v>39763</v>
      </c>
      <c r="C6369" s="6" t="s">
        <v>54</v>
      </c>
      <c r="D6369" s="6" t="s">
        <v>11725</v>
      </c>
      <c r="E6369" s="6" t="s">
        <v>39743</v>
      </c>
      <c r="F6369" s="6" t="s">
        <v>43</v>
      </c>
      <c r="G6369" s="6" t="s">
        <v>39764</v>
      </c>
      <c r="H6369" s="7">
        <v>7.0</v>
      </c>
      <c r="I6369" s="7">
        <v>22.0</v>
      </c>
      <c r="J6369" s="7">
        <v>1.0</v>
      </c>
      <c r="K6369" s="7">
        <v>12.0</v>
      </c>
      <c r="L6369" s="8" t="s">
        <v>39765</v>
      </c>
      <c r="M6369" s="6" t="s">
        <v>39766</v>
      </c>
      <c r="N6369" s="6" t="s">
        <v>155</v>
      </c>
      <c r="O6369" s="8" t="s">
        <v>156</v>
      </c>
      <c r="P6369" s="6" t="s">
        <v>31</v>
      </c>
      <c r="Q6369" s="6" t="s">
        <v>31</v>
      </c>
      <c r="R6369" s="6" t="s">
        <v>64</v>
      </c>
      <c r="S6369" s="8" t="s">
        <v>39747</v>
      </c>
      <c r="T6369" s="6" t="s">
        <v>66</v>
      </c>
      <c r="U6369" s="8" t="s">
        <v>31</v>
      </c>
      <c r="V6369" s="6" t="s">
        <v>43</v>
      </c>
      <c r="W6369" s="6" t="s">
        <v>39743</v>
      </c>
      <c r="X6369" s="9" t="str">
        <f>HYPERLINK("https://my.pitchbook.com?p=93125-80P","View People Online")</f>
        <v>View People Online</v>
      </c>
    </row>
    <row r="6370">
      <c r="A6370" s="2" t="s">
        <v>39767</v>
      </c>
      <c r="B6370" s="2" t="s">
        <v>39768</v>
      </c>
      <c r="C6370" s="2" t="s">
        <v>3779</v>
      </c>
      <c r="D6370" s="2" t="s">
        <v>39769</v>
      </c>
      <c r="E6370" s="2" t="s">
        <v>39743</v>
      </c>
      <c r="F6370" s="2" t="s">
        <v>43</v>
      </c>
      <c r="G6370" s="2" t="s">
        <v>39770</v>
      </c>
      <c r="H6370" s="3">
        <v>5.0</v>
      </c>
      <c r="I6370" s="3">
        <v>14.0</v>
      </c>
      <c r="J6370" s="3">
        <v>1.0</v>
      </c>
      <c r="K6370" s="3">
        <v>8.0</v>
      </c>
      <c r="L6370" s="4" t="s">
        <v>39765</v>
      </c>
      <c r="M6370" s="2" t="s">
        <v>39771</v>
      </c>
      <c r="N6370" s="2" t="s">
        <v>155</v>
      </c>
      <c r="O6370" s="4" t="s">
        <v>156</v>
      </c>
      <c r="P6370" s="2" t="s">
        <v>31</v>
      </c>
      <c r="Q6370" s="2" t="s">
        <v>31</v>
      </c>
      <c r="R6370" s="2" t="s">
        <v>64</v>
      </c>
      <c r="S6370" s="4" t="s">
        <v>39747</v>
      </c>
      <c r="T6370" s="2" t="s">
        <v>66</v>
      </c>
      <c r="U6370" s="4" t="s">
        <v>31</v>
      </c>
      <c r="V6370" s="2" t="s">
        <v>43</v>
      </c>
      <c r="W6370" s="2" t="s">
        <v>39743</v>
      </c>
      <c r="X6370" s="5" t="str">
        <f>HYPERLINK("https://my.pitchbook.com?p=211602-70P","View People Online")</f>
        <v>View People Online</v>
      </c>
    </row>
    <row r="6371">
      <c r="A6371" s="14" t="s">
        <v>39772</v>
      </c>
      <c r="B6371" s="14" t="s">
        <v>39773</v>
      </c>
      <c r="C6371" s="14" t="s">
        <v>1559</v>
      </c>
      <c r="D6371" s="14" t="s">
        <v>7941</v>
      </c>
      <c r="E6371" s="14" t="s">
        <v>39743</v>
      </c>
      <c r="F6371" s="14" t="s">
        <v>896</v>
      </c>
      <c r="G6371" s="14" t="s">
        <v>39774</v>
      </c>
      <c r="H6371" s="15" t="s">
        <v>31</v>
      </c>
      <c r="I6371" s="15">
        <v>1.0</v>
      </c>
      <c r="J6371" s="15">
        <v>1.0</v>
      </c>
      <c r="K6371" s="15" t="s">
        <v>31</v>
      </c>
      <c r="L6371" s="16" t="s">
        <v>39765</v>
      </c>
      <c r="M6371" s="14" t="s">
        <v>39775</v>
      </c>
      <c r="N6371" s="14" t="s">
        <v>155</v>
      </c>
      <c r="O6371" s="16" t="s">
        <v>156</v>
      </c>
      <c r="P6371" s="14" t="s">
        <v>31</v>
      </c>
      <c r="Q6371" s="14" t="s">
        <v>31</v>
      </c>
      <c r="R6371" s="14" t="s">
        <v>64</v>
      </c>
      <c r="S6371" s="16" t="s">
        <v>39747</v>
      </c>
      <c r="T6371" s="14" t="s">
        <v>66</v>
      </c>
      <c r="U6371" s="16" t="s">
        <v>31</v>
      </c>
      <c r="V6371" s="14" t="s">
        <v>39776</v>
      </c>
      <c r="W6371" s="14" t="s">
        <v>39743</v>
      </c>
      <c r="X6371" s="17" t="str">
        <f>HYPERLINK("https://my.pitchbook.com?p=350603-20P","View People Online")</f>
        <v>View People Online</v>
      </c>
    </row>
    <row r="6372">
      <c r="A6372" s="10" t="s">
        <v>39777</v>
      </c>
      <c r="B6372" s="10" t="s">
        <v>39778</v>
      </c>
      <c r="C6372" s="10" t="s">
        <v>3946</v>
      </c>
      <c r="D6372" s="10" t="s">
        <v>1589</v>
      </c>
      <c r="E6372" s="10" t="s">
        <v>39743</v>
      </c>
      <c r="F6372" s="10" t="s">
        <v>114</v>
      </c>
      <c r="G6372" s="10" t="s">
        <v>39779</v>
      </c>
      <c r="H6372" s="11">
        <v>4.0</v>
      </c>
      <c r="I6372" s="11">
        <v>12.0</v>
      </c>
      <c r="J6372" s="11">
        <v>1.0</v>
      </c>
      <c r="K6372" s="11">
        <v>7.0</v>
      </c>
      <c r="L6372" s="12" t="s">
        <v>39765</v>
      </c>
      <c r="M6372" s="10" t="s">
        <v>39780</v>
      </c>
      <c r="N6372" s="10" t="s">
        <v>155</v>
      </c>
      <c r="O6372" s="12" t="s">
        <v>156</v>
      </c>
      <c r="P6372" s="10" t="s">
        <v>31</v>
      </c>
      <c r="Q6372" s="10" t="s">
        <v>31</v>
      </c>
      <c r="R6372" s="10" t="s">
        <v>64</v>
      </c>
      <c r="S6372" s="12" t="s">
        <v>39747</v>
      </c>
      <c r="T6372" s="10" t="s">
        <v>66</v>
      </c>
      <c r="U6372" s="12" t="s">
        <v>31</v>
      </c>
      <c r="V6372" s="10" t="s">
        <v>18050</v>
      </c>
      <c r="W6372" s="10" t="s">
        <v>39743</v>
      </c>
      <c r="X6372" s="13" t="str">
        <f>HYPERLINK("https://my.pitchbook.com?p=48184-30P","View People Online")</f>
        <v>View People Online</v>
      </c>
    </row>
    <row r="6373">
      <c r="A6373" s="14" t="s">
        <v>39781</v>
      </c>
      <c r="B6373" s="14" t="s">
        <v>39782</v>
      </c>
      <c r="C6373" s="14" t="s">
        <v>1437</v>
      </c>
      <c r="D6373" s="14" t="s">
        <v>39783</v>
      </c>
      <c r="E6373" s="14" t="s">
        <v>39743</v>
      </c>
      <c r="F6373" s="14" t="s">
        <v>81</v>
      </c>
      <c r="G6373" s="14" t="s">
        <v>39784</v>
      </c>
      <c r="H6373" s="15" t="s">
        <v>31</v>
      </c>
      <c r="I6373" s="15">
        <v>1.0</v>
      </c>
      <c r="J6373" s="15" t="s">
        <v>31</v>
      </c>
      <c r="K6373" s="15" t="s">
        <v>31</v>
      </c>
      <c r="L6373" s="16" t="s">
        <v>39765</v>
      </c>
      <c r="M6373" s="14" t="s">
        <v>31</v>
      </c>
      <c r="N6373" s="14" t="s">
        <v>155</v>
      </c>
      <c r="O6373" s="16" t="s">
        <v>156</v>
      </c>
      <c r="P6373" s="14" t="s">
        <v>31</v>
      </c>
      <c r="Q6373" s="14" t="s">
        <v>31</v>
      </c>
      <c r="R6373" s="14" t="s">
        <v>64</v>
      </c>
      <c r="S6373" s="16" t="s">
        <v>39747</v>
      </c>
      <c r="T6373" s="14" t="s">
        <v>66</v>
      </c>
      <c r="U6373" s="16" t="s">
        <v>31</v>
      </c>
      <c r="V6373" s="14" t="s">
        <v>81</v>
      </c>
      <c r="W6373" s="14" t="s">
        <v>39743</v>
      </c>
      <c r="X6373" s="17" t="str">
        <f>HYPERLINK("https://my.pitchbook.com?p=339168-61P","View People Online")</f>
        <v>View People Online</v>
      </c>
    </row>
    <row r="6374">
      <c r="A6374" s="2" t="s">
        <v>39785</v>
      </c>
      <c r="B6374" s="2" t="s">
        <v>39786</v>
      </c>
      <c r="C6374" s="2" t="s">
        <v>4911</v>
      </c>
      <c r="D6374" s="2" t="s">
        <v>39787</v>
      </c>
      <c r="E6374" s="2" t="s">
        <v>39743</v>
      </c>
      <c r="F6374" s="2" t="s">
        <v>29</v>
      </c>
      <c r="G6374" s="2" t="s">
        <v>39788</v>
      </c>
      <c r="H6374" s="3" t="s">
        <v>31</v>
      </c>
      <c r="I6374" s="3">
        <v>1.0</v>
      </c>
      <c r="J6374" s="3">
        <v>1.0</v>
      </c>
      <c r="K6374" s="3" t="s">
        <v>31</v>
      </c>
      <c r="L6374" s="4" t="s">
        <v>31</v>
      </c>
      <c r="M6374" s="2" t="s">
        <v>39789</v>
      </c>
      <c r="N6374" s="2" t="s">
        <v>6669</v>
      </c>
      <c r="O6374" s="4" t="s">
        <v>6670</v>
      </c>
      <c r="P6374" s="2" t="s">
        <v>31</v>
      </c>
      <c r="Q6374" s="2" t="s">
        <v>31</v>
      </c>
      <c r="R6374" s="2" t="s">
        <v>1185</v>
      </c>
      <c r="S6374" s="4" t="s">
        <v>1709</v>
      </c>
      <c r="T6374" s="2" t="s">
        <v>66</v>
      </c>
      <c r="U6374" s="4" t="s">
        <v>31</v>
      </c>
      <c r="V6374" s="2" t="s">
        <v>39790</v>
      </c>
      <c r="W6374" s="2" t="s">
        <v>39743</v>
      </c>
      <c r="X6374" s="5" t="str">
        <f>HYPERLINK("https://my.pitchbook.com?p=40763-98P","View People Online")</f>
        <v>View People Online</v>
      </c>
    </row>
    <row r="6375">
      <c r="A6375" s="6" t="s">
        <v>39791</v>
      </c>
      <c r="B6375" s="6" t="s">
        <v>39792</v>
      </c>
      <c r="C6375" s="6" t="s">
        <v>39793</v>
      </c>
      <c r="D6375" s="6" t="s">
        <v>39794</v>
      </c>
      <c r="E6375" s="6" t="s">
        <v>39743</v>
      </c>
      <c r="F6375" s="6" t="s">
        <v>81</v>
      </c>
      <c r="G6375" s="6" t="s">
        <v>39795</v>
      </c>
      <c r="H6375" s="7" t="s">
        <v>31</v>
      </c>
      <c r="I6375" s="7">
        <v>1.0</v>
      </c>
      <c r="J6375" s="7" t="s">
        <v>31</v>
      </c>
      <c r="K6375" s="7" t="s">
        <v>31</v>
      </c>
      <c r="L6375" s="8" t="s">
        <v>39765</v>
      </c>
      <c r="M6375" s="6" t="s">
        <v>31</v>
      </c>
      <c r="N6375" s="6" t="s">
        <v>155</v>
      </c>
      <c r="O6375" s="8" t="s">
        <v>156</v>
      </c>
      <c r="P6375" s="6" t="s">
        <v>31</v>
      </c>
      <c r="Q6375" s="6" t="s">
        <v>31</v>
      </c>
      <c r="R6375" s="6" t="s">
        <v>64</v>
      </c>
      <c r="S6375" s="8" t="s">
        <v>39747</v>
      </c>
      <c r="T6375" s="6" t="s">
        <v>66</v>
      </c>
      <c r="U6375" s="8" t="s">
        <v>31</v>
      </c>
      <c r="V6375" s="6" t="s">
        <v>36315</v>
      </c>
      <c r="W6375" s="6" t="s">
        <v>39796</v>
      </c>
      <c r="X6375" s="9" t="str">
        <f>HYPERLINK("https://my.pitchbook.com?p=181537-75P","View People Online")</f>
        <v>View People Online</v>
      </c>
    </row>
    <row r="6376">
      <c r="A6376" s="2" t="s">
        <v>39797</v>
      </c>
      <c r="B6376" s="2" t="s">
        <v>39798</v>
      </c>
      <c r="C6376" s="2" t="s">
        <v>1982</v>
      </c>
      <c r="D6376" s="2" t="s">
        <v>39799</v>
      </c>
      <c r="E6376" s="2" t="s">
        <v>39743</v>
      </c>
      <c r="F6376" s="2" t="s">
        <v>81</v>
      </c>
      <c r="G6376" s="2" t="s">
        <v>39800</v>
      </c>
      <c r="H6376" s="3" t="s">
        <v>31</v>
      </c>
      <c r="I6376" s="3">
        <v>2.0</v>
      </c>
      <c r="J6376" s="3">
        <v>1.0</v>
      </c>
      <c r="K6376" s="3" t="s">
        <v>31</v>
      </c>
      <c r="L6376" s="4" t="s">
        <v>31</v>
      </c>
      <c r="M6376" s="2" t="s">
        <v>39801</v>
      </c>
      <c r="N6376" s="2" t="s">
        <v>1170</v>
      </c>
      <c r="O6376" s="4" t="s">
        <v>1171</v>
      </c>
      <c r="P6376" s="2" t="s">
        <v>39802</v>
      </c>
      <c r="Q6376" s="2" t="s">
        <v>31</v>
      </c>
      <c r="R6376" s="2" t="s">
        <v>64</v>
      </c>
      <c r="S6376" s="4" t="s">
        <v>31</v>
      </c>
      <c r="T6376" s="2" t="s">
        <v>66</v>
      </c>
      <c r="U6376" s="4" t="s">
        <v>31</v>
      </c>
      <c r="V6376" s="2" t="s">
        <v>157</v>
      </c>
      <c r="W6376" s="2" t="s">
        <v>39803</v>
      </c>
      <c r="X6376" s="5" t="str">
        <f>HYPERLINK("https://my.pitchbook.com?p=159934-69P","View People Online")</f>
        <v>View People Online</v>
      </c>
    </row>
    <row r="6377">
      <c r="A6377" s="14" t="s">
        <v>39804</v>
      </c>
      <c r="B6377" s="14" t="s">
        <v>39805</v>
      </c>
      <c r="C6377" s="14" t="s">
        <v>36436</v>
      </c>
      <c r="D6377" s="14" t="s">
        <v>6341</v>
      </c>
      <c r="E6377" s="14" t="s">
        <v>39743</v>
      </c>
      <c r="F6377" s="14" t="s">
        <v>43</v>
      </c>
      <c r="G6377" s="14" t="s">
        <v>39806</v>
      </c>
      <c r="H6377" s="15">
        <v>3.0</v>
      </c>
      <c r="I6377" s="15">
        <v>12.0</v>
      </c>
      <c r="J6377" s="15">
        <v>1.0</v>
      </c>
      <c r="K6377" s="15">
        <v>7.0</v>
      </c>
      <c r="L6377" s="16" t="s">
        <v>39765</v>
      </c>
      <c r="M6377" s="14" t="s">
        <v>39807</v>
      </c>
      <c r="N6377" s="14" t="s">
        <v>155</v>
      </c>
      <c r="O6377" s="16" t="s">
        <v>156</v>
      </c>
      <c r="P6377" s="14" t="s">
        <v>31</v>
      </c>
      <c r="Q6377" s="14" t="s">
        <v>31</v>
      </c>
      <c r="R6377" s="14" t="s">
        <v>64</v>
      </c>
      <c r="S6377" s="16" t="s">
        <v>39747</v>
      </c>
      <c r="T6377" s="14" t="s">
        <v>66</v>
      </c>
      <c r="U6377" s="16" t="s">
        <v>31</v>
      </c>
      <c r="V6377" s="14" t="s">
        <v>43</v>
      </c>
      <c r="W6377" s="14" t="s">
        <v>39743</v>
      </c>
      <c r="X6377" s="17" t="str">
        <f>HYPERLINK("https://my.pitchbook.com?p=55257-40P","View People Online")</f>
        <v>View People Online</v>
      </c>
    </row>
    <row r="6378">
      <c r="A6378" s="2" t="s">
        <v>39808</v>
      </c>
      <c r="B6378" s="2" t="s">
        <v>39809</v>
      </c>
      <c r="C6378" s="2" t="s">
        <v>69</v>
      </c>
      <c r="D6378" s="2" t="s">
        <v>6004</v>
      </c>
      <c r="E6378" s="2" t="s">
        <v>39743</v>
      </c>
      <c r="F6378" s="2" t="s">
        <v>114</v>
      </c>
      <c r="G6378" s="2" t="s">
        <v>39810</v>
      </c>
      <c r="H6378" s="3">
        <v>4.0</v>
      </c>
      <c r="I6378" s="3">
        <v>10.0</v>
      </c>
      <c r="J6378" s="3">
        <v>1.0</v>
      </c>
      <c r="K6378" s="3">
        <v>3.0</v>
      </c>
      <c r="L6378" s="4" t="s">
        <v>39811</v>
      </c>
      <c r="M6378" s="2" t="s">
        <v>31</v>
      </c>
      <c r="N6378" s="2" t="s">
        <v>6669</v>
      </c>
      <c r="O6378" s="4" t="s">
        <v>6670</v>
      </c>
      <c r="P6378" s="2" t="s">
        <v>39812</v>
      </c>
      <c r="Q6378" s="2" t="s">
        <v>10135</v>
      </c>
      <c r="R6378" s="2" t="s">
        <v>1185</v>
      </c>
      <c r="S6378" s="4" t="s">
        <v>6712</v>
      </c>
      <c r="T6378" s="2" t="s">
        <v>66</v>
      </c>
      <c r="U6378" s="4" t="s">
        <v>31</v>
      </c>
      <c r="V6378" s="2" t="s">
        <v>6873</v>
      </c>
      <c r="W6378" s="2" t="s">
        <v>39813</v>
      </c>
      <c r="X6378" s="5" t="str">
        <f>HYPERLINK("https://my.pitchbook.com?p=37196-56P","View People Online")</f>
        <v>View People Online</v>
      </c>
    </row>
    <row r="6379">
      <c r="A6379" s="6" t="s">
        <v>39814</v>
      </c>
      <c r="B6379" s="6" t="s">
        <v>39815</v>
      </c>
      <c r="C6379" s="6" t="s">
        <v>84</v>
      </c>
      <c r="D6379" s="6" t="s">
        <v>5386</v>
      </c>
      <c r="E6379" s="6" t="s">
        <v>39743</v>
      </c>
      <c r="F6379" s="6" t="s">
        <v>29</v>
      </c>
      <c r="G6379" s="6" t="s">
        <v>39816</v>
      </c>
      <c r="H6379" s="7" t="s">
        <v>31</v>
      </c>
      <c r="I6379" s="7">
        <v>1.0</v>
      </c>
      <c r="J6379" s="7">
        <v>1.0</v>
      </c>
      <c r="K6379" s="7" t="s">
        <v>31</v>
      </c>
      <c r="L6379" s="8" t="s">
        <v>39765</v>
      </c>
      <c r="M6379" s="6" t="s">
        <v>39817</v>
      </c>
      <c r="N6379" s="6" t="s">
        <v>155</v>
      </c>
      <c r="O6379" s="8" t="s">
        <v>156</v>
      </c>
      <c r="P6379" s="6" t="s">
        <v>31</v>
      </c>
      <c r="Q6379" s="6" t="s">
        <v>31</v>
      </c>
      <c r="R6379" s="6" t="s">
        <v>64</v>
      </c>
      <c r="S6379" s="8" t="s">
        <v>39747</v>
      </c>
      <c r="T6379" s="6" t="s">
        <v>66</v>
      </c>
      <c r="U6379" s="8" t="s">
        <v>31</v>
      </c>
      <c r="V6379" s="6" t="s">
        <v>39790</v>
      </c>
      <c r="W6379" s="6" t="s">
        <v>39743</v>
      </c>
      <c r="X6379" s="9" t="str">
        <f>HYPERLINK("https://my.pitchbook.com?p=103178-17P","View People Online")</f>
        <v>View People Online</v>
      </c>
    </row>
    <row r="6380">
      <c r="A6380" s="2" t="s">
        <v>39818</v>
      </c>
      <c r="B6380" s="2" t="s">
        <v>39819</v>
      </c>
      <c r="C6380" s="2" t="s">
        <v>7978</v>
      </c>
      <c r="D6380" s="2" t="s">
        <v>39820</v>
      </c>
      <c r="E6380" s="2" t="s">
        <v>39743</v>
      </c>
      <c r="F6380" s="2" t="s">
        <v>57</v>
      </c>
      <c r="G6380" s="2" t="s">
        <v>39821</v>
      </c>
      <c r="H6380" s="3">
        <v>6.0</v>
      </c>
      <c r="I6380" s="3">
        <v>49.0</v>
      </c>
      <c r="J6380" s="3">
        <v>1.0</v>
      </c>
      <c r="K6380" s="3">
        <v>38.0</v>
      </c>
      <c r="L6380" s="4" t="s">
        <v>39765</v>
      </c>
      <c r="M6380" s="2" t="s">
        <v>39822</v>
      </c>
      <c r="N6380" s="2" t="s">
        <v>155</v>
      </c>
      <c r="O6380" s="4" t="s">
        <v>156</v>
      </c>
      <c r="P6380" s="2" t="s">
        <v>31</v>
      </c>
      <c r="Q6380" s="2" t="s">
        <v>31</v>
      </c>
      <c r="R6380" s="2" t="s">
        <v>64</v>
      </c>
      <c r="S6380" s="4" t="s">
        <v>39747</v>
      </c>
      <c r="T6380" s="2" t="s">
        <v>66</v>
      </c>
      <c r="U6380" s="4" t="s">
        <v>31</v>
      </c>
      <c r="V6380" s="2" t="s">
        <v>57</v>
      </c>
      <c r="W6380" s="2" t="s">
        <v>39743</v>
      </c>
      <c r="X6380" s="5" t="str">
        <f>HYPERLINK("https://my.pitchbook.com?p=55467-37P","View People Online")</f>
        <v>View People Online</v>
      </c>
    </row>
    <row r="6381">
      <c r="A6381" s="6" t="s">
        <v>39823</v>
      </c>
      <c r="B6381" s="6" t="s">
        <v>39824</v>
      </c>
      <c r="C6381" s="6" t="s">
        <v>1449</v>
      </c>
      <c r="D6381" s="6" t="s">
        <v>54</v>
      </c>
      <c r="E6381" s="6" t="s">
        <v>39743</v>
      </c>
      <c r="F6381" s="6" t="s">
        <v>81</v>
      </c>
      <c r="G6381" s="6" t="s">
        <v>39825</v>
      </c>
      <c r="H6381" s="7" t="s">
        <v>31</v>
      </c>
      <c r="I6381" s="7">
        <v>1.0</v>
      </c>
      <c r="J6381" s="7" t="s">
        <v>31</v>
      </c>
      <c r="K6381" s="7" t="s">
        <v>31</v>
      </c>
      <c r="L6381" s="8" t="s">
        <v>39765</v>
      </c>
      <c r="M6381" s="6" t="s">
        <v>31</v>
      </c>
      <c r="N6381" s="6" t="s">
        <v>155</v>
      </c>
      <c r="O6381" s="8" t="s">
        <v>156</v>
      </c>
      <c r="P6381" s="6" t="s">
        <v>31</v>
      </c>
      <c r="Q6381" s="6" t="s">
        <v>31</v>
      </c>
      <c r="R6381" s="6" t="s">
        <v>64</v>
      </c>
      <c r="S6381" s="8" t="s">
        <v>39747</v>
      </c>
      <c r="T6381" s="6" t="s">
        <v>66</v>
      </c>
      <c r="U6381" s="8" t="s">
        <v>31</v>
      </c>
      <c r="V6381" s="6" t="s">
        <v>81</v>
      </c>
      <c r="W6381" s="6" t="s">
        <v>39743</v>
      </c>
      <c r="X6381" s="9" t="str">
        <f>HYPERLINK("https://my.pitchbook.com?p=406730-89P","View People Online")</f>
        <v>View People Online</v>
      </c>
    </row>
    <row r="6382">
      <c r="A6382" s="10" t="s">
        <v>39826</v>
      </c>
      <c r="B6382" s="10" t="s">
        <v>39827</v>
      </c>
      <c r="C6382" s="10" t="s">
        <v>1449</v>
      </c>
      <c r="D6382" s="10" t="s">
        <v>39828</v>
      </c>
      <c r="E6382" s="10" t="s">
        <v>39743</v>
      </c>
      <c r="F6382" s="10" t="s">
        <v>25083</v>
      </c>
      <c r="G6382" s="10" t="s">
        <v>39829</v>
      </c>
      <c r="H6382" s="11">
        <v>1.0</v>
      </c>
      <c r="I6382" s="11">
        <v>2.0</v>
      </c>
      <c r="J6382" s="11">
        <v>1.0</v>
      </c>
      <c r="K6382" s="11" t="s">
        <v>31</v>
      </c>
      <c r="L6382" s="12" t="s">
        <v>39765</v>
      </c>
      <c r="M6382" s="10" t="s">
        <v>39830</v>
      </c>
      <c r="N6382" s="10" t="s">
        <v>155</v>
      </c>
      <c r="O6382" s="12" t="s">
        <v>156</v>
      </c>
      <c r="P6382" s="10" t="s">
        <v>31</v>
      </c>
      <c r="Q6382" s="10" t="s">
        <v>31</v>
      </c>
      <c r="R6382" s="10" t="s">
        <v>64</v>
      </c>
      <c r="S6382" s="12" t="s">
        <v>39747</v>
      </c>
      <c r="T6382" s="10" t="s">
        <v>66</v>
      </c>
      <c r="U6382" s="12" t="s">
        <v>31</v>
      </c>
      <c r="V6382" s="10" t="s">
        <v>25083</v>
      </c>
      <c r="W6382" s="10" t="s">
        <v>39743</v>
      </c>
      <c r="X6382" s="13" t="str">
        <f>HYPERLINK("https://my.pitchbook.com?p=277136-47P","View People Online")</f>
        <v>View People Online</v>
      </c>
    </row>
    <row r="6383">
      <c r="A6383" s="6" t="s">
        <v>39831</v>
      </c>
      <c r="B6383" s="6" t="s">
        <v>39832</v>
      </c>
      <c r="C6383" s="6" t="s">
        <v>1449</v>
      </c>
      <c r="D6383" s="6" t="s">
        <v>39833</v>
      </c>
      <c r="E6383" s="6" t="s">
        <v>39743</v>
      </c>
      <c r="F6383" s="6" t="s">
        <v>114</v>
      </c>
      <c r="G6383" s="6" t="s">
        <v>39834</v>
      </c>
      <c r="H6383" s="7" t="s">
        <v>31</v>
      </c>
      <c r="I6383" s="7">
        <v>1.0</v>
      </c>
      <c r="J6383" s="7">
        <v>1.0</v>
      </c>
      <c r="K6383" s="7" t="s">
        <v>31</v>
      </c>
      <c r="L6383" s="8" t="s">
        <v>39765</v>
      </c>
      <c r="M6383" s="6" t="s">
        <v>31</v>
      </c>
      <c r="N6383" s="6" t="s">
        <v>155</v>
      </c>
      <c r="O6383" s="8" t="s">
        <v>156</v>
      </c>
      <c r="P6383" s="6" t="s">
        <v>31</v>
      </c>
      <c r="Q6383" s="6" t="s">
        <v>31</v>
      </c>
      <c r="R6383" s="6" t="s">
        <v>64</v>
      </c>
      <c r="S6383" s="8" t="s">
        <v>39747</v>
      </c>
      <c r="T6383" s="6" t="s">
        <v>66</v>
      </c>
      <c r="U6383" s="8" t="s">
        <v>31</v>
      </c>
      <c r="V6383" s="6" t="s">
        <v>114</v>
      </c>
      <c r="W6383" s="6" t="s">
        <v>39743</v>
      </c>
      <c r="X6383" s="9" t="str">
        <f>HYPERLINK("https://my.pitchbook.com?p=203419-00P","View People Online")</f>
        <v>View People Online</v>
      </c>
    </row>
    <row r="6384">
      <c r="A6384" s="10" t="s">
        <v>39835</v>
      </c>
      <c r="B6384" s="10" t="s">
        <v>39836</v>
      </c>
      <c r="C6384" s="10" t="s">
        <v>1449</v>
      </c>
      <c r="D6384" s="10" t="s">
        <v>39837</v>
      </c>
      <c r="E6384" s="10" t="s">
        <v>39743</v>
      </c>
      <c r="F6384" s="10" t="s">
        <v>43</v>
      </c>
      <c r="G6384" s="10" t="s">
        <v>39838</v>
      </c>
      <c r="H6384" s="11">
        <v>9.0</v>
      </c>
      <c r="I6384" s="11">
        <v>17.0</v>
      </c>
      <c r="J6384" s="11">
        <v>1.0</v>
      </c>
      <c r="K6384" s="11">
        <v>6.0</v>
      </c>
      <c r="L6384" s="12" t="s">
        <v>39839</v>
      </c>
      <c r="M6384" s="10" t="s">
        <v>31</v>
      </c>
      <c r="N6384" s="10" t="s">
        <v>6599</v>
      </c>
      <c r="O6384" s="12" t="s">
        <v>6600</v>
      </c>
      <c r="P6384" s="10" t="s">
        <v>39840</v>
      </c>
      <c r="Q6384" s="10" t="s">
        <v>31</v>
      </c>
      <c r="R6384" s="10" t="s">
        <v>64</v>
      </c>
      <c r="S6384" s="12" t="s">
        <v>6601</v>
      </c>
      <c r="T6384" s="10" t="s">
        <v>66</v>
      </c>
      <c r="U6384" s="12" t="s">
        <v>31</v>
      </c>
      <c r="V6384" s="10" t="s">
        <v>2379</v>
      </c>
      <c r="W6384" s="10" t="s">
        <v>39841</v>
      </c>
      <c r="X6384" s="13" t="str">
        <f>HYPERLINK("https://my.pitchbook.com?p=38648-53P","View People Online")</f>
        <v>View People Online</v>
      </c>
    </row>
    <row r="6385">
      <c r="A6385" s="14" t="s">
        <v>39842</v>
      </c>
      <c r="B6385" s="14" t="s">
        <v>39843</v>
      </c>
      <c r="C6385" s="14" t="s">
        <v>11244</v>
      </c>
      <c r="D6385" s="14" t="s">
        <v>39844</v>
      </c>
      <c r="E6385" s="14" t="s">
        <v>39743</v>
      </c>
      <c r="F6385" s="14" t="s">
        <v>29</v>
      </c>
      <c r="G6385" s="14" t="s">
        <v>39845</v>
      </c>
      <c r="H6385" s="15" t="s">
        <v>31</v>
      </c>
      <c r="I6385" s="15">
        <v>3.0</v>
      </c>
      <c r="J6385" s="15">
        <v>1.0</v>
      </c>
      <c r="K6385" s="15">
        <v>2.0</v>
      </c>
      <c r="L6385" s="16" t="s">
        <v>39765</v>
      </c>
      <c r="M6385" s="14" t="s">
        <v>39846</v>
      </c>
      <c r="N6385" s="14" t="s">
        <v>155</v>
      </c>
      <c r="O6385" s="16" t="s">
        <v>156</v>
      </c>
      <c r="P6385" s="14" t="s">
        <v>31</v>
      </c>
      <c r="Q6385" s="14" t="s">
        <v>31</v>
      </c>
      <c r="R6385" s="14" t="s">
        <v>64</v>
      </c>
      <c r="S6385" s="16" t="s">
        <v>39747</v>
      </c>
      <c r="T6385" s="14" t="s">
        <v>66</v>
      </c>
      <c r="U6385" s="16" t="s">
        <v>31</v>
      </c>
      <c r="V6385" s="14" t="s">
        <v>29</v>
      </c>
      <c r="W6385" s="14" t="s">
        <v>39743</v>
      </c>
      <c r="X6385" s="17" t="str">
        <f>HYPERLINK("https://my.pitchbook.com?p=372575-71P","View People Online")</f>
        <v>View People Online</v>
      </c>
    </row>
    <row r="6386">
      <c r="A6386" s="2" t="s">
        <v>39847</v>
      </c>
      <c r="B6386" s="2" t="s">
        <v>39848</v>
      </c>
      <c r="C6386" s="2" t="s">
        <v>1998</v>
      </c>
      <c r="D6386" s="2" t="s">
        <v>39849</v>
      </c>
      <c r="E6386" s="2" t="s">
        <v>39743</v>
      </c>
      <c r="F6386" s="2" t="s">
        <v>3710</v>
      </c>
      <c r="G6386" s="2" t="s">
        <v>39850</v>
      </c>
      <c r="H6386" s="3" t="s">
        <v>31</v>
      </c>
      <c r="I6386" s="3">
        <v>1.0</v>
      </c>
      <c r="J6386" s="3">
        <v>1.0</v>
      </c>
      <c r="K6386" s="3" t="s">
        <v>31</v>
      </c>
      <c r="L6386" s="4" t="s">
        <v>39765</v>
      </c>
      <c r="M6386" s="2" t="s">
        <v>39851</v>
      </c>
      <c r="N6386" s="2" t="s">
        <v>155</v>
      </c>
      <c r="O6386" s="4" t="s">
        <v>156</v>
      </c>
      <c r="P6386" s="2" t="s">
        <v>31</v>
      </c>
      <c r="Q6386" s="2" t="s">
        <v>31</v>
      </c>
      <c r="R6386" s="2" t="s">
        <v>64</v>
      </c>
      <c r="S6386" s="4" t="s">
        <v>39747</v>
      </c>
      <c r="T6386" s="2" t="s">
        <v>66</v>
      </c>
      <c r="U6386" s="4" t="s">
        <v>31</v>
      </c>
      <c r="V6386" s="2" t="s">
        <v>39852</v>
      </c>
      <c r="W6386" s="2" t="s">
        <v>39743</v>
      </c>
      <c r="X6386" s="5" t="str">
        <f>HYPERLINK("https://my.pitchbook.com?p=57366-64P","View People Online")</f>
        <v>View People Online</v>
      </c>
    </row>
    <row r="6387">
      <c r="A6387" s="6" t="s">
        <v>39853</v>
      </c>
      <c r="B6387" s="6" t="s">
        <v>39854</v>
      </c>
      <c r="C6387" s="6" t="s">
        <v>8106</v>
      </c>
      <c r="D6387" s="6" t="s">
        <v>39855</v>
      </c>
      <c r="E6387" s="6" t="s">
        <v>39743</v>
      </c>
      <c r="F6387" s="6" t="s">
        <v>43</v>
      </c>
      <c r="G6387" s="6" t="s">
        <v>39856</v>
      </c>
      <c r="H6387" s="7">
        <v>4.0</v>
      </c>
      <c r="I6387" s="7">
        <v>25.0</v>
      </c>
      <c r="J6387" s="7">
        <v>1.0</v>
      </c>
      <c r="K6387" s="7">
        <v>17.0</v>
      </c>
      <c r="L6387" s="8" t="s">
        <v>39765</v>
      </c>
      <c r="M6387" s="6" t="s">
        <v>39857</v>
      </c>
      <c r="N6387" s="6" t="s">
        <v>155</v>
      </c>
      <c r="O6387" s="8" t="s">
        <v>156</v>
      </c>
      <c r="P6387" s="6" t="s">
        <v>31</v>
      </c>
      <c r="Q6387" s="6" t="s">
        <v>31</v>
      </c>
      <c r="R6387" s="6" t="s">
        <v>64</v>
      </c>
      <c r="S6387" s="8" t="s">
        <v>39747</v>
      </c>
      <c r="T6387" s="6" t="s">
        <v>66</v>
      </c>
      <c r="U6387" s="8" t="s">
        <v>31</v>
      </c>
      <c r="V6387" s="6" t="s">
        <v>43</v>
      </c>
      <c r="W6387" s="6" t="s">
        <v>39743</v>
      </c>
      <c r="X6387" s="9" t="str">
        <f>HYPERLINK("https://my.pitchbook.com?p=40759-12P","View People Online")</f>
        <v>View People Online</v>
      </c>
    </row>
    <row r="6388">
      <c r="A6388" s="2" t="s">
        <v>39858</v>
      </c>
      <c r="B6388" s="2" t="s">
        <v>39859</v>
      </c>
      <c r="C6388" s="2" t="s">
        <v>39860</v>
      </c>
      <c r="D6388" s="2" t="s">
        <v>39861</v>
      </c>
      <c r="E6388" s="2" t="s">
        <v>39743</v>
      </c>
      <c r="F6388" s="2" t="s">
        <v>43</v>
      </c>
      <c r="G6388" s="2" t="s">
        <v>39862</v>
      </c>
      <c r="H6388" s="3">
        <v>5.0</v>
      </c>
      <c r="I6388" s="3">
        <v>18.0</v>
      </c>
      <c r="J6388" s="3">
        <v>1.0</v>
      </c>
      <c r="K6388" s="3">
        <v>10.0</v>
      </c>
      <c r="L6388" s="4" t="s">
        <v>39765</v>
      </c>
      <c r="M6388" s="2" t="s">
        <v>39863</v>
      </c>
      <c r="N6388" s="2" t="s">
        <v>155</v>
      </c>
      <c r="O6388" s="4" t="s">
        <v>156</v>
      </c>
      <c r="P6388" s="2" t="s">
        <v>31</v>
      </c>
      <c r="Q6388" s="2" t="s">
        <v>31</v>
      </c>
      <c r="R6388" s="2" t="s">
        <v>64</v>
      </c>
      <c r="S6388" s="4" t="s">
        <v>39747</v>
      </c>
      <c r="T6388" s="2" t="s">
        <v>66</v>
      </c>
      <c r="U6388" s="4" t="s">
        <v>31</v>
      </c>
      <c r="V6388" s="2" t="s">
        <v>43</v>
      </c>
      <c r="W6388" s="2" t="s">
        <v>39743</v>
      </c>
      <c r="X6388" s="5" t="str">
        <f>HYPERLINK("https://my.pitchbook.com?p=191318-50P","View People Online")</f>
        <v>View People Online</v>
      </c>
    </row>
    <row r="6389">
      <c r="A6389" s="14" t="s">
        <v>39864</v>
      </c>
      <c r="B6389" s="14" t="s">
        <v>39865</v>
      </c>
      <c r="C6389" s="14" t="s">
        <v>39866</v>
      </c>
      <c r="D6389" s="14" t="s">
        <v>39867</v>
      </c>
      <c r="E6389" s="14" t="s">
        <v>39743</v>
      </c>
      <c r="F6389" s="14" t="s">
        <v>81</v>
      </c>
      <c r="G6389" s="14" t="s">
        <v>39868</v>
      </c>
      <c r="H6389" s="15">
        <v>4.0</v>
      </c>
      <c r="I6389" s="15">
        <v>14.0</v>
      </c>
      <c r="J6389" s="15" t="s">
        <v>31</v>
      </c>
      <c r="K6389" s="15">
        <v>8.0</v>
      </c>
      <c r="L6389" s="16" t="s">
        <v>39869</v>
      </c>
      <c r="M6389" s="14" t="s">
        <v>31</v>
      </c>
      <c r="N6389" s="14" t="s">
        <v>39870</v>
      </c>
      <c r="O6389" s="16" t="s">
        <v>39871</v>
      </c>
      <c r="P6389" s="14" t="s">
        <v>39872</v>
      </c>
      <c r="Q6389" s="14" t="s">
        <v>31</v>
      </c>
      <c r="R6389" s="14" t="s">
        <v>64</v>
      </c>
      <c r="S6389" s="16" t="s">
        <v>39873</v>
      </c>
      <c r="T6389" s="14" t="s">
        <v>66</v>
      </c>
      <c r="U6389" s="16" t="s">
        <v>31</v>
      </c>
      <c r="V6389" s="14" t="s">
        <v>2379</v>
      </c>
      <c r="W6389" s="14" t="s">
        <v>39874</v>
      </c>
      <c r="X6389" s="17" t="str">
        <f>HYPERLINK("https://my.pitchbook.com?p=39403-27P","View People Online")</f>
        <v>View People Online</v>
      </c>
    </row>
    <row r="6390">
      <c r="A6390" s="2" t="s">
        <v>39875</v>
      </c>
      <c r="B6390" s="2" t="s">
        <v>39876</v>
      </c>
      <c r="C6390" s="2" t="s">
        <v>16686</v>
      </c>
      <c r="D6390" s="2" t="s">
        <v>39877</v>
      </c>
      <c r="E6390" s="2" t="s">
        <v>39743</v>
      </c>
      <c r="F6390" s="2" t="s">
        <v>81</v>
      </c>
      <c r="G6390" s="2" t="s">
        <v>39878</v>
      </c>
      <c r="H6390" s="3">
        <v>1.0</v>
      </c>
      <c r="I6390" s="3">
        <v>2.0</v>
      </c>
      <c r="J6390" s="3" t="s">
        <v>31</v>
      </c>
      <c r="K6390" s="3" t="s">
        <v>31</v>
      </c>
      <c r="L6390" s="4" t="s">
        <v>39879</v>
      </c>
      <c r="M6390" s="2" t="s">
        <v>31</v>
      </c>
      <c r="N6390" s="2" t="s">
        <v>1181</v>
      </c>
      <c r="O6390" s="4" t="s">
        <v>1182</v>
      </c>
      <c r="P6390" s="2" t="s">
        <v>39880</v>
      </c>
      <c r="Q6390" s="2" t="s">
        <v>39881</v>
      </c>
      <c r="R6390" s="2" t="s">
        <v>1185</v>
      </c>
      <c r="S6390" s="4" t="s">
        <v>4438</v>
      </c>
      <c r="T6390" s="2" t="s">
        <v>66</v>
      </c>
      <c r="U6390" s="4" t="s">
        <v>31</v>
      </c>
      <c r="V6390" s="2" t="s">
        <v>27832</v>
      </c>
      <c r="W6390" s="2" t="s">
        <v>39882</v>
      </c>
      <c r="X6390" s="5" t="str">
        <f>HYPERLINK("https://my.pitchbook.com?p=117051-58P","View People Online")</f>
        <v>View People Online</v>
      </c>
    </row>
    <row r="6391">
      <c r="A6391" s="6" t="s">
        <v>39883</v>
      </c>
      <c r="B6391" s="6" t="s">
        <v>39884</v>
      </c>
      <c r="C6391" s="6" t="s">
        <v>26104</v>
      </c>
      <c r="D6391" s="6" t="s">
        <v>39885</v>
      </c>
      <c r="E6391" s="6" t="s">
        <v>39743</v>
      </c>
      <c r="F6391" s="6" t="s">
        <v>6567</v>
      </c>
      <c r="G6391" s="6" t="s">
        <v>39886</v>
      </c>
      <c r="H6391" s="7" t="s">
        <v>31</v>
      </c>
      <c r="I6391" s="7">
        <v>1.0</v>
      </c>
      <c r="J6391" s="7">
        <v>1.0</v>
      </c>
      <c r="K6391" s="7" t="s">
        <v>31</v>
      </c>
      <c r="L6391" s="8" t="s">
        <v>39765</v>
      </c>
      <c r="M6391" s="6" t="s">
        <v>39887</v>
      </c>
      <c r="N6391" s="6" t="s">
        <v>155</v>
      </c>
      <c r="O6391" s="8" t="s">
        <v>156</v>
      </c>
      <c r="P6391" s="6" t="s">
        <v>31</v>
      </c>
      <c r="Q6391" s="6" t="s">
        <v>31</v>
      </c>
      <c r="R6391" s="6" t="s">
        <v>64</v>
      </c>
      <c r="S6391" s="8" t="s">
        <v>39747</v>
      </c>
      <c r="T6391" s="6" t="s">
        <v>66</v>
      </c>
      <c r="U6391" s="8" t="s">
        <v>31</v>
      </c>
      <c r="V6391" s="6" t="s">
        <v>6567</v>
      </c>
      <c r="W6391" s="6" t="s">
        <v>39743</v>
      </c>
      <c r="X6391" s="9" t="str">
        <f>HYPERLINK("https://my.pitchbook.com?p=364171-15P","View People Online")</f>
        <v>View People Online</v>
      </c>
    </row>
    <row r="6392">
      <c r="A6392" s="10" t="s">
        <v>39888</v>
      </c>
      <c r="B6392" s="10" t="s">
        <v>39889</v>
      </c>
      <c r="C6392" s="10" t="s">
        <v>4332</v>
      </c>
      <c r="D6392" s="10" t="s">
        <v>22105</v>
      </c>
      <c r="E6392" s="10" t="s">
        <v>39743</v>
      </c>
      <c r="F6392" s="10" t="s">
        <v>3411</v>
      </c>
      <c r="G6392" s="10" t="s">
        <v>39890</v>
      </c>
      <c r="H6392" s="11" t="s">
        <v>31</v>
      </c>
      <c r="I6392" s="11">
        <v>2.0</v>
      </c>
      <c r="J6392" s="11">
        <v>2.0</v>
      </c>
      <c r="K6392" s="11" t="s">
        <v>31</v>
      </c>
      <c r="L6392" s="12" t="s">
        <v>39765</v>
      </c>
      <c r="M6392" s="10" t="s">
        <v>39891</v>
      </c>
      <c r="N6392" s="10" t="s">
        <v>155</v>
      </c>
      <c r="O6392" s="12" t="s">
        <v>156</v>
      </c>
      <c r="P6392" s="10" t="s">
        <v>31</v>
      </c>
      <c r="Q6392" s="10" t="s">
        <v>31</v>
      </c>
      <c r="R6392" s="10" t="s">
        <v>64</v>
      </c>
      <c r="S6392" s="12" t="s">
        <v>39747</v>
      </c>
      <c r="T6392" s="10" t="s">
        <v>66</v>
      </c>
      <c r="U6392" s="12" t="s">
        <v>31</v>
      </c>
      <c r="V6392" s="10" t="s">
        <v>39892</v>
      </c>
      <c r="W6392" s="10" t="s">
        <v>39743</v>
      </c>
      <c r="X6392" s="13" t="str">
        <f>HYPERLINK("https://my.pitchbook.com?p=40759-39P","View People Online")</f>
        <v>View People Online</v>
      </c>
    </row>
    <row r="6393">
      <c r="A6393" s="6" t="s">
        <v>39893</v>
      </c>
      <c r="B6393" s="6" t="s">
        <v>39894</v>
      </c>
      <c r="C6393" s="6" t="s">
        <v>39895</v>
      </c>
      <c r="D6393" s="6" t="s">
        <v>39896</v>
      </c>
      <c r="E6393" s="6" t="s">
        <v>39743</v>
      </c>
      <c r="F6393" s="6" t="s">
        <v>3710</v>
      </c>
      <c r="G6393" s="6" t="s">
        <v>39897</v>
      </c>
      <c r="H6393" s="7" t="s">
        <v>31</v>
      </c>
      <c r="I6393" s="7">
        <v>1.0</v>
      </c>
      <c r="J6393" s="7">
        <v>1.0</v>
      </c>
      <c r="K6393" s="7" t="s">
        <v>31</v>
      </c>
      <c r="L6393" s="8" t="s">
        <v>39765</v>
      </c>
      <c r="M6393" s="6" t="s">
        <v>39898</v>
      </c>
      <c r="N6393" s="6" t="s">
        <v>155</v>
      </c>
      <c r="O6393" s="8" t="s">
        <v>156</v>
      </c>
      <c r="P6393" s="6" t="s">
        <v>31</v>
      </c>
      <c r="Q6393" s="6" t="s">
        <v>31</v>
      </c>
      <c r="R6393" s="6" t="s">
        <v>64</v>
      </c>
      <c r="S6393" s="8" t="s">
        <v>39747</v>
      </c>
      <c r="T6393" s="6" t="s">
        <v>66</v>
      </c>
      <c r="U6393" s="8" t="s">
        <v>31</v>
      </c>
      <c r="V6393" s="6" t="s">
        <v>3710</v>
      </c>
      <c r="W6393" s="6" t="s">
        <v>39743</v>
      </c>
      <c r="X6393" s="9" t="str">
        <f>HYPERLINK("https://my.pitchbook.com?p=364171-51P","View People Online")</f>
        <v>View People Online</v>
      </c>
    </row>
    <row r="6394">
      <c r="A6394" s="2" t="s">
        <v>39899</v>
      </c>
      <c r="B6394" s="2" t="s">
        <v>39900</v>
      </c>
      <c r="C6394" s="2" t="s">
        <v>39901</v>
      </c>
      <c r="D6394" s="2" t="s">
        <v>39902</v>
      </c>
      <c r="E6394" s="2" t="s">
        <v>39743</v>
      </c>
      <c r="F6394" s="2" t="s">
        <v>43</v>
      </c>
      <c r="G6394" s="2" t="s">
        <v>39903</v>
      </c>
      <c r="H6394" s="3">
        <v>2.0</v>
      </c>
      <c r="I6394" s="3">
        <v>7.0</v>
      </c>
      <c r="J6394" s="3">
        <v>2.0</v>
      </c>
      <c r="K6394" s="3">
        <v>3.0</v>
      </c>
      <c r="L6394" s="4" t="s">
        <v>39757</v>
      </c>
      <c r="M6394" s="2" t="s">
        <v>39904</v>
      </c>
      <c r="N6394" s="2" t="s">
        <v>1181</v>
      </c>
      <c r="O6394" s="4" t="s">
        <v>1182</v>
      </c>
      <c r="P6394" s="2" t="s">
        <v>39759</v>
      </c>
      <c r="Q6394" s="2" t="s">
        <v>39760</v>
      </c>
      <c r="R6394" s="2" t="s">
        <v>1185</v>
      </c>
      <c r="S6394" s="4" t="s">
        <v>23438</v>
      </c>
      <c r="T6394" s="2" t="s">
        <v>66</v>
      </c>
      <c r="U6394" s="4" t="s">
        <v>31</v>
      </c>
      <c r="V6394" s="2" t="s">
        <v>39905</v>
      </c>
      <c r="W6394" s="2" t="s">
        <v>39761</v>
      </c>
      <c r="X6394" s="5" t="str">
        <f>HYPERLINK("https://my.pitchbook.com?p=124444-27P","View People Online")</f>
        <v>View People Online</v>
      </c>
    </row>
    <row r="6395">
      <c r="A6395" s="6" t="s">
        <v>39906</v>
      </c>
      <c r="B6395" s="6" t="s">
        <v>39907</v>
      </c>
      <c r="C6395" s="6" t="s">
        <v>3658</v>
      </c>
      <c r="D6395" s="6" t="s">
        <v>39908</v>
      </c>
      <c r="E6395" s="6" t="s">
        <v>39743</v>
      </c>
      <c r="F6395" s="6" t="s">
        <v>81</v>
      </c>
      <c r="G6395" s="6" t="s">
        <v>39909</v>
      </c>
      <c r="H6395" s="7">
        <v>1.0</v>
      </c>
      <c r="I6395" s="7">
        <v>2.0</v>
      </c>
      <c r="J6395" s="7">
        <v>1.0</v>
      </c>
      <c r="K6395" s="7" t="s">
        <v>31</v>
      </c>
      <c r="L6395" s="8" t="s">
        <v>39910</v>
      </c>
      <c r="M6395" s="6" t="s">
        <v>39911</v>
      </c>
      <c r="N6395" s="6" t="s">
        <v>39912</v>
      </c>
      <c r="O6395" s="8" t="s">
        <v>39913</v>
      </c>
      <c r="P6395" s="6" t="s">
        <v>39914</v>
      </c>
      <c r="Q6395" s="6" t="s">
        <v>31</v>
      </c>
      <c r="R6395" s="6" t="s">
        <v>64</v>
      </c>
      <c r="S6395" s="8" t="s">
        <v>39915</v>
      </c>
      <c r="T6395" s="6" t="s">
        <v>66</v>
      </c>
      <c r="U6395" s="8" t="s">
        <v>31</v>
      </c>
      <c r="V6395" s="6" t="s">
        <v>39916</v>
      </c>
      <c r="W6395" s="6" t="s">
        <v>39917</v>
      </c>
      <c r="X6395" s="9" t="str">
        <f>HYPERLINK("https://my.pitchbook.com?p=339176-17P","View People Online")</f>
        <v>View People Online</v>
      </c>
    </row>
    <row r="6396">
      <c r="A6396" s="10" t="s">
        <v>39918</v>
      </c>
      <c r="B6396" s="10" t="s">
        <v>39919</v>
      </c>
      <c r="C6396" s="10" t="s">
        <v>4404</v>
      </c>
      <c r="D6396" s="10" t="s">
        <v>6218</v>
      </c>
      <c r="E6396" s="10" t="s">
        <v>39743</v>
      </c>
      <c r="F6396" s="10" t="s">
        <v>81</v>
      </c>
      <c r="G6396" s="10" t="s">
        <v>39920</v>
      </c>
      <c r="H6396" s="11">
        <v>3.0</v>
      </c>
      <c r="I6396" s="11">
        <v>4.0</v>
      </c>
      <c r="J6396" s="11" t="s">
        <v>31</v>
      </c>
      <c r="K6396" s="11" t="s">
        <v>31</v>
      </c>
      <c r="L6396" s="12" t="s">
        <v>39839</v>
      </c>
      <c r="M6396" s="10" t="s">
        <v>31</v>
      </c>
      <c r="N6396" s="10" t="s">
        <v>6599</v>
      </c>
      <c r="O6396" s="12" t="s">
        <v>6600</v>
      </c>
      <c r="P6396" s="10" t="s">
        <v>39840</v>
      </c>
      <c r="Q6396" s="10" t="s">
        <v>31</v>
      </c>
      <c r="R6396" s="10" t="s">
        <v>64</v>
      </c>
      <c r="S6396" s="12" t="s">
        <v>6601</v>
      </c>
      <c r="T6396" s="10" t="s">
        <v>66</v>
      </c>
      <c r="U6396" s="12" t="s">
        <v>31</v>
      </c>
      <c r="V6396" s="10" t="s">
        <v>2379</v>
      </c>
      <c r="W6396" s="10" t="s">
        <v>39841</v>
      </c>
      <c r="X6396" s="13" t="str">
        <f>HYPERLINK("https://my.pitchbook.com?p=177677-65P","View People Online")</f>
        <v>View People Online</v>
      </c>
    </row>
    <row r="6397">
      <c r="A6397" s="6" t="s">
        <v>39921</v>
      </c>
      <c r="B6397" s="6" t="s">
        <v>39922</v>
      </c>
      <c r="C6397" s="6" t="s">
        <v>5071</v>
      </c>
      <c r="D6397" s="6" t="s">
        <v>39923</v>
      </c>
      <c r="E6397" s="6" t="s">
        <v>39743</v>
      </c>
      <c r="F6397" s="6" t="s">
        <v>6567</v>
      </c>
      <c r="G6397" s="6" t="s">
        <v>39924</v>
      </c>
      <c r="H6397" s="7" t="s">
        <v>31</v>
      </c>
      <c r="I6397" s="7">
        <v>1.0</v>
      </c>
      <c r="J6397" s="7">
        <v>1.0</v>
      </c>
      <c r="K6397" s="7" t="s">
        <v>31</v>
      </c>
      <c r="L6397" s="8" t="s">
        <v>39765</v>
      </c>
      <c r="M6397" s="6" t="s">
        <v>39925</v>
      </c>
      <c r="N6397" s="6" t="s">
        <v>155</v>
      </c>
      <c r="O6397" s="8" t="s">
        <v>156</v>
      </c>
      <c r="P6397" s="6" t="s">
        <v>31</v>
      </c>
      <c r="Q6397" s="6" t="s">
        <v>31</v>
      </c>
      <c r="R6397" s="6" t="s">
        <v>64</v>
      </c>
      <c r="S6397" s="8" t="s">
        <v>39747</v>
      </c>
      <c r="T6397" s="6" t="s">
        <v>66</v>
      </c>
      <c r="U6397" s="8" t="s">
        <v>31</v>
      </c>
      <c r="V6397" s="6" t="s">
        <v>6567</v>
      </c>
      <c r="W6397" s="6" t="s">
        <v>39743</v>
      </c>
      <c r="X6397" s="9" t="str">
        <f>HYPERLINK("https://my.pitchbook.com?p=103125-70P","View People Online")</f>
        <v>View People Online</v>
      </c>
    </row>
    <row r="6398">
      <c r="A6398" s="10" t="s">
        <v>39926</v>
      </c>
      <c r="B6398" s="10" t="s">
        <v>39927</v>
      </c>
      <c r="C6398" s="10" t="s">
        <v>1356</v>
      </c>
      <c r="D6398" s="10" t="s">
        <v>39928</v>
      </c>
      <c r="E6398" s="10" t="s">
        <v>39743</v>
      </c>
      <c r="F6398" s="10" t="s">
        <v>81</v>
      </c>
      <c r="G6398" s="10" t="s">
        <v>39929</v>
      </c>
      <c r="H6398" s="11" t="s">
        <v>31</v>
      </c>
      <c r="I6398" s="11">
        <v>1.0</v>
      </c>
      <c r="J6398" s="11" t="s">
        <v>31</v>
      </c>
      <c r="K6398" s="11" t="s">
        <v>31</v>
      </c>
      <c r="L6398" s="12" t="s">
        <v>39765</v>
      </c>
      <c r="M6398" s="10" t="s">
        <v>31</v>
      </c>
      <c r="N6398" s="10" t="s">
        <v>155</v>
      </c>
      <c r="O6398" s="12" t="s">
        <v>156</v>
      </c>
      <c r="P6398" s="10" t="s">
        <v>31</v>
      </c>
      <c r="Q6398" s="10" t="s">
        <v>31</v>
      </c>
      <c r="R6398" s="10" t="s">
        <v>64</v>
      </c>
      <c r="S6398" s="12" t="s">
        <v>39747</v>
      </c>
      <c r="T6398" s="10" t="s">
        <v>66</v>
      </c>
      <c r="U6398" s="12" t="s">
        <v>31</v>
      </c>
      <c r="V6398" s="10" t="s">
        <v>81</v>
      </c>
      <c r="W6398" s="10" t="s">
        <v>39743</v>
      </c>
      <c r="X6398" s="13" t="str">
        <f>HYPERLINK("https://my.pitchbook.com?p=426415-87P","View People Online")</f>
        <v>View People Online</v>
      </c>
    </row>
    <row r="6399">
      <c r="A6399" s="14" t="s">
        <v>39930</v>
      </c>
      <c r="B6399" s="14" t="s">
        <v>39931</v>
      </c>
      <c r="C6399" s="14" t="s">
        <v>3828</v>
      </c>
      <c r="D6399" s="14" t="s">
        <v>39932</v>
      </c>
      <c r="E6399" s="14" t="s">
        <v>39743</v>
      </c>
      <c r="F6399" s="14" t="s">
        <v>81</v>
      </c>
      <c r="G6399" s="14" t="s">
        <v>39933</v>
      </c>
      <c r="H6399" s="15">
        <v>2.0</v>
      </c>
      <c r="I6399" s="15">
        <v>3.0</v>
      </c>
      <c r="J6399" s="15" t="s">
        <v>31</v>
      </c>
      <c r="K6399" s="15" t="s">
        <v>31</v>
      </c>
      <c r="L6399" s="16" t="s">
        <v>39765</v>
      </c>
      <c r="M6399" s="14" t="s">
        <v>31</v>
      </c>
      <c r="N6399" s="14" t="s">
        <v>155</v>
      </c>
      <c r="O6399" s="16" t="s">
        <v>156</v>
      </c>
      <c r="P6399" s="14" t="s">
        <v>31</v>
      </c>
      <c r="Q6399" s="14" t="s">
        <v>31</v>
      </c>
      <c r="R6399" s="14" t="s">
        <v>64</v>
      </c>
      <c r="S6399" s="16" t="s">
        <v>39747</v>
      </c>
      <c r="T6399" s="14" t="s">
        <v>66</v>
      </c>
      <c r="U6399" s="16" t="s">
        <v>31</v>
      </c>
      <c r="V6399" s="14" t="s">
        <v>1459</v>
      </c>
      <c r="W6399" s="14" t="s">
        <v>39934</v>
      </c>
      <c r="X6399" s="17" t="str">
        <f>HYPERLINK("https://my.pitchbook.com?p=42600-16P","View People Online")</f>
        <v>View People Online</v>
      </c>
    </row>
    <row r="6400">
      <c r="A6400" s="2" t="s">
        <v>39935</v>
      </c>
      <c r="B6400" s="2" t="s">
        <v>39936</v>
      </c>
      <c r="C6400" s="2" t="s">
        <v>39937</v>
      </c>
      <c r="D6400" s="2" t="s">
        <v>39938</v>
      </c>
      <c r="E6400" s="2" t="s">
        <v>39743</v>
      </c>
      <c r="F6400" s="2" t="s">
        <v>43</v>
      </c>
      <c r="G6400" s="2" t="s">
        <v>39939</v>
      </c>
      <c r="H6400" s="3">
        <v>18.0</v>
      </c>
      <c r="I6400" s="3">
        <v>111.0</v>
      </c>
      <c r="J6400" s="3">
        <v>1.0</v>
      </c>
      <c r="K6400" s="3">
        <v>90.0</v>
      </c>
      <c r="L6400" s="4" t="s">
        <v>39765</v>
      </c>
      <c r="M6400" s="2" t="s">
        <v>39940</v>
      </c>
      <c r="N6400" s="2" t="s">
        <v>155</v>
      </c>
      <c r="O6400" s="4" t="s">
        <v>156</v>
      </c>
      <c r="P6400" s="2" t="s">
        <v>31</v>
      </c>
      <c r="Q6400" s="2" t="s">
        <v>31</v>
      </c>
      <c r="R6400" s="2" t="s">
        <v>64</v>
      </c>
      <c r="S6400" s="4" t="s">
        <v>39747</v>
      </c>
      <c r="T6400" s="2" t="s">
        <v>66</v>
      </c>
      <c r="U6400" s="4" t="s">
        <v>31</v>
      </c>
      <c r="V6400" s="2" t="s">
        <v>43</v>
      </c>
      <c r="W6400" s="2" t="s">
        <v>39743</v>
      </c>
      <c r="X6400" s="5" t="str">
        <f>HYPERLINK("https://my.pitchbook.com?p=36554-41P","View People Online")</f>
        <v>View People Online</v>
      </c>
    </row>
    <row r="6401">
      <c r="A6401" s="6" t="s">
        <v>39941</v>
      </c>
      <c r="B6401" s="6" t="s">
        <v>39942</v>
      </c>
      <c r="C6401" s="6" t="s">
        <v>18414</v>
      </c>
      <c r="D6401" s="6" t="s">
        <v>39943</v>
      </c>
      <c r="E6401" s="6" t="s">
        <v>39743</v>
      </c>
      <c r="F6401" s="6" t="s">
        <v>29</v>
      </c>
      <c r="G6401" s="6" t="s">
        <v>39944</v>
      </c>
      <c r="H6401" s="7" t="s">
        <v>31</v>
      </c>
      <c r="I6401" s="7">
        <v>1.0</v>
      </c>
      <c r="J6401" s="7">
        <v>1.0</v>
      </c>
      <c r="K6401" s="7" t="s">
        <v>31</v>
      </c>
      <c r="L6401" s="8" t="s">
        <v>39765</v>
      </c>
      <c r="M6401" s="6" t="s">
        <v>31</v>
      </c>
      <c r="N6401" s="6" t="s">
        <v>155</v>
      </c>
      <c r="O6401" s="8" t="s">
        <v>156</v>
      </c>
      <c r="P6401" s="6" t="s">
        <v>31</v>
      </c>
      <c r="Q6401" s="6" t="s">
        <v>31</v>
      </c>
      <c r="R6401" s="6" t="s">
        <v>64</v>
      </c>
      <c r="S6401" s="8" t="s">
        <v>39747</v>
      </c>
      <c r="T6401" s="6" t="s">
        <v>66</v>
      </c>
      <c r="U6401" s="8" t="s">
        <v>31</v>
      </c>
      <c r="V6401" s="6" t="s">
        <v>29</v>
      </c>
      <c r="W6401" s="6" t="s">
        <v>39743</v>
      </c>
      <c r="X6401" s="9" t="str">
        <f>HYPERLINK("https://my.pitchbook.com?p=327300-40P","View People Online")</f>
        <v>View People Online</v>
      </c>
    </row>
    <row r="6402">
      <c r="A6402" s="2" t="s">
        <v>39945</v>
      </c>
      <c r="B6402" s="2" t="s">
        <v>39946</v>
      </c>
      <c r="C6402" s="2" t="s">
        <v>2190</v>
      </c>
      <c r="D6402" s="2" t="s">
        <v>39947</v>
      </c>
      <c r="E6402" s="2" t="s">
        <v>39743</v>
      </c>
      <c r="F6402" s="2" t="s">
        <v>29</v>
      </c>
      <c r="G6402" s="2" t="s">
        <v>39948</v>
      </c>
      <c r="H6402" s="3" t="s">
        <v>31</v>
      </c>
      <c r="I6402" s="3">
        <v>1.0</v>
      </c>
      <c r="J6402" s="3">
        <v>1.0</v>
      </c>
      <c r="K6402" s="3" t="s">
        <v>31</v>
      </c>
      <c r="L6402" s="4" t="s">
        <v>39765</v>
      </c>
      <c r="M6402" s="2" t="s">
        <v>39949</v>
      </c>
      <c r="N6402" s="2" t="s">
        <v>155</v>
      </c>
      <c r="O6402" s="4" t="s">
        <v>156</v>
      </c>
      <c r="P6402" s="2" t="s">
        <v>31</v>
      </c>
      <c r="Q6402" s="2" t="s">
        <v>31</v>
      </c>
      <c r="R6402" s="2" t="s">
        <v>64</v>
      </c>
      <c r="S6402" s="4" t="s">
        <v>39747</v>
      </c>
      <c r="T6402" s="2" t="s">
        <v>66</v>
      </c>
      <c r="U6402" s="4" t="s">
        <v>31</v>
      </c>
      <c r="V6402" s="2" t="s">
        <v>39950</v>
      </c>
      <c r="W6402" s="2" t="s">
        <v>39743</v>
      </c>
      <c r="X6402" s="5" t="str">
        <f>HYPERLINK("https://my.pitchbook.com?p=123419-80P","View People Online")</f>
        <v>View People Online</v>
      </c>
    </row>
    <row r="6403">
      <c r="A6403" s="14" t="s">
        <v>39951</v>
      </c>
      <c r="B6403" s="14" t="s">
        <v>39952</v>
      </c>
      <c r="C6403" s="14" t="s">
        <v>2197</v>
      </c>
      <c r="D6403" s="14" t="s">
        <v>39953</v>
      </c>
      <c r="E6403" s="14" t="s">
        <v>39743</v>
      </c>
      <c r="F6403" s="14" t="s">
        <v>81</v>
      </c>
      <c r="G6403" s="14" t="s">
        <v>39954</v>
      </c>
      <c r="H6403" s="15">
        <v>4.0</v>
      </c>
      <c r="I6403" s="15">
        <v>9.0</v>
      </c>
      <c r="J6403" s="15">
        <v>1.0</v>
      </c>
      <c r="K6403" s="15">
        <v>3.0</v>
      </c>
      <c r="L6403" s="16" t="s">
        <v>39955</v>
      </c>
      <c r="M6403" s="14" t="s">
        <v>31</v>
      </c>
      <c r="N6403" s="14" t="s">
        <v>39956</v>
      </c>
      <c r="O6403" s="16" t="s">
        <v>39957</v>
      </c>
      <c r="P6403" s="14" t="s">
        <v>39958</v>
      </c>
      <c r="Q6403" s="14" t="s">
        <v>31</v>
      </c>
      <c r="R6403" s="14" t="s">
        <v>24259</v>
      </c>
      <c r="S6403" s="16" t="s">
        <v>39959</v>
      </c>
      <c r="T6403" s="14" t="s">
        <v>66</v>
      </c>
      <c r="U6403" s="16" t="s">
        <v>31</v>
      </c>
      <c r="V6403" s="14" t="s">
        <v>2379</v>
      </c>
      <c r="W6403" s="14" t="s">
        <v>39960</v>
      </c>
      <c r="X6403" s="17" t="str">
        <f>HYPERLINK("https://my.pitchbook.com?p=68305-69P","View People Online")</f>
        <v>View People Online</v>
      </c>
    </row>
    <row r="6404">
      <c r="A6404" s="10" t="s">
        <v>39961</v>
      </c>
      <c r="B6404" s="10" t="s">
        <v>39962</v>
      </c>
      <c r="C6404" s="10" t="s">
        <v>1489</v>
      </c>
      <c r="D6404" s="10" t="s">
        <v>36166</v>
      </c>
      <c r="E6404" s="10" t="s">
        <v>39743</v>
      </c>
      <c r="F6404" s="10" t="s">
        <v>81</v>
      </c>
      <c r="G6404" s="10" t="s">
        <v>39963</v>
      </c>
      <c r="H6404" s="11" t="s">
        <v>31</v>
      </c>
      <c r="I6404" s="11">
        <v>2.0</v>
      </c>
      <c r="J6404" s="11">
        <v>1.0</v>
      </c>
      <c r="K6404" s="11" t="s">
        <v>31</v>
      </c>
      <c r="L6404" s="12" t="s">
        <v>31</v>
      </c>
      <c r="M6404" s="10" t="s">
        <v>39964</v>
      </c>
      <c r="N6404" s="10" t="s">
        <v>6669</v>
      </c>
      <c r="O6404" s="12" t="s">
        <v>6670</v>
      </c>
      <c r="P6404" s="10" t="s">
        <v>39965</v>
      </c>
      <c r="Q6404" s="10" t="s">
        <v>39966</v>
      </c>
      <c r="R6404" s="10" t="s">
        <v>1185</v>
      </c>
      <c r="S6404" s="12" t="s">
        <v>6712</v>
      </c>
      <c r="T6404" s="10" t="s">
        <v>66</v>
      </c>
      <c r="U6404" s="12" t="s">
        <v>31</v>
      </c>
      <c r="V6404" s="10" t="s">
        <v>28509</v>
      </c>
      <c r="W6404" s="10" t="s">
        <v>39967</v>
      </c>
      <c r="X6404" s="13" t="str">
        <f>HYPERLINK("https://my.pitchbook.com?p=327301-66P","View People Online")</f>
        <v>View People Online</v>
      </c>
    </row>
    <row r="6405">
      <c r="A6405" s="14" t="s">
        <v>39968</v>
      </c>
      <c r="B6405" s="14" t="s">
        <v>39969</v>
      </c>
      <c r="C6405" s="14" t="s">
        <v>9158</v>
      </c>
      <c r="D6405" s="14" t="s">
        <v>8141</v>
      </c>
      <c r="E6405" s="14" t="s">
        <v>39743</v>
      </c>
      <c r="F6405" s="14" t="s">
        <v>29</v>
      </c>
      <c r="G6405" s="14" t="s">
        <v>39970</v>
      </c>
      <c r="H6405" s="15" t="s">
        <v>31</v>
      </c>
      <c r="I6405" s="15">
        <v>1.0</v>
      </c>
      <c r="J6405" s="15">
        <v>1.0</v>
      </c>
      <c r="K6405" s="15" t="s">
        <v>31</v>
      </c>
      <c r="L6405" s="16" t="s">
        <v>31</v>
      </c>
      <c r="M6405" s="14" t="s">
        <v>31</v>
      </c>
      <c r="N6405" s="14" t="s">
        <v>6669</v>
      </c>
      <c r="O6405" s="16" t="s">
        <v>6670</v>
      </c>
      <c r="P6405" s="14" t="s">
        <v>31</v>
      </c>
      <c r="Q6405" s="14" t="s">
        <v>31</v>
      </c>
      <c r="R6405" s="14" t="s">
        <v>1185</v>
      </c>
      <c r="S6405" s="16" t="s">
        <v>1709</v>
      </c>
      <c r="T6405" s="14" t="s">
        <v>66</v>
      </c>
      <c r="U6405" s="16" t="s">
        <v>31</v>
      </c>
      <c r="V6405" s="14" t="s">
        <v>39971</v>
      </c>
      <c r="W6405" s="14" t="s">
        <v>39743</v>
      </c>
      <c r="X6405" s="17" t="str">
        <f>HYPERLINK("https://my.pitchbook.com?p=426306-79P","View People Online")</f>
        <v>View People Online</v>
      </c>
    </row>
    <row r="6406">
      <c r="A6406" s="10" t="s">
        <v>39972</v>
      </c>
      <c r="B6406" s="10" t="s">
        <v>39973</v>
      </c>
      <c r="C6406" s="10" t="s">
        <v>2469</v>
      </c>
      <c r="D6406" s="10" t="s">
        <v>39974</v>
      </c>
      <c r="E6406" s="10" t="s">
        <v>39743</v>
      </c>
      <c r="F6406" s="10" t="s">
        <v>502</v>
      </c>
      <c r="G6406" s="10" t="s">
        <v>39975</v>
      </c>
      <c r="H6406" s="11" t="s">
        <v>31</v>
      </c>
      <c r="I6406" s="11">
        <v>1.0</v>
      </c>
      <c r="J6406" s="11">
        <v>1.0</v>
      </c>
      <c r="K6406" s="11" t="s">
        <v>31</v>
      </c>
      <c r="L6406" s="12" t="s">
        <v>39765</v>
      </c>
      <c r="M6406" s="10" t="s">
        <v>39976</v>
      </c>
      <c r="N6406" s="10" t="s">
        <v>155</v>
      </c>
      <c r="O6406" s="12" t="s">
        <v>156</v>
      </c>
      <c r="P6406" s="10" t="s">
        <v>31</v>
      </c>
      <c r="Q6406" s="10" t="s">
        <v>31</v>
      </c>
      <c r="R6406" s="10" t="s">
        <v>64</v>
      </c>
      <c r="S6406" s="12" t="s">
        <v>39747</v>
      </c>
      <c r="T6406" s="10" t="s">
        <v>66</v>
      </c>
      <c r="U6406" s="12" t="s">
        <v>31</v>
      </c>
      <c r="V6406" s="10" t="s">
        <v>502</v>
      </c>
      <c r="W6406" s="10" t="s">
        <v>39743</v>
      </c>
      <c r="X6406" s="13" t="str">
        <f>HYPERLINK("https://my.pitchbook.com?p=40764-88P","View People Online")</f>
        <v>View People Online</v>
      </c>
    </row>
    <row r="6407">
      <c r="A6407" s="6" t="s">
        <v>39977</v>
      </c>
      <c r="B6407" s="6" t="s">
        <v>39978</v>
      </c>
      <c r="C6407" s="6" t="s">
        <v>39979</v>
      </c>
      <c r="D6407" s="6" t="s">
        <v>39980</v>
      </c>
      <c r="E6407" s="6" t="s">
        <v>39743</v>
      </c>
      <c r="F6407" s="6" t="s">
        <v>29</v>
      </c>
      <c r="G6407" s="6" t="s">
        <v>39981</v>
      </c>
      <c r="H6407" s="7">
        <v>1.0</v>
      </c>
      <c r="I6407" s="7">
        <v>3.0</v>
      </c>
      <c r="J6407" s="7">
        <v>1.0</v>
      </c>
      <c r="K6407" s="7">
        <v>1.0</v>
      </c>
      <c r="L6407" s="8" t="s">
        <v>31</v>
      </c>
      <c r="M6407" s="6" t="s">
        <v>39982</v>
      </c>
      <c r="N6407" s="6" t="s">
        <v>75</v>
      </c>
      <c r="O6407" s="8" t="s">
        <v>76</v>
      </c>
      <c r="P6407" s="6" t="s">
        <v>31</v>
      </c>
      <c r="Q6407" s="6" t="s">
        <v>31</v>
      </c>
      <c r="R6407" s="6" t="s">
        <v>75</v>
      </c>
      <c r="S6407" s="8" t="s">
        <v>27197</v>
      </c>
      <c r="T6407" s="6" t="s">
        <v>66</v>
      </c>
      <c r="U6407" s="8" t="s">
        <v>31</v>
      </c>
      <c r="V6407" s="6" t="s">
        <v>29</v>
      </c>
      <c r="W6407" s="6" t="s">
        <v>39743</v>
      </c>
      <c r="X6407" s="9" t="str">
        <f>HYPERLINK("https://my.pitchbook.com?p=158028-76P","View People Online")</f>
        <v>View People Online</v>
      </c>
    </row>
    <row r="6408">
      <c r="A6408" s="2" t="s">
        <v>39983</v>
      </c>
      <c r="B6408" s="2" t="s">
        <v>39984</v>
      </c>
      <c r="C6408" s="2" t="s">
        <v>18701</v>
      </c>
      <c r="D6408" s="2" t="s">
        <v>39985</v>
      </c>
      <c r="E6408" s="2" t="s">
        <v>39743</v>
      </c>
      <c r="F6408" s="2" t="s">
        <v>57</v>
      </c>
      <c r="G6408" s="2" t="s">
        <v>39986</v>
      </c>
      <c r="H6408" s="3">
        <v>10.0</v>
      </c>
      <c r="I6408" s="3">
        <v>78.0</v>
      </c>
      <c r="J6408" s="3">
        <v>1.0</v>
      </c>
      <c r="K6408" s="3">
        <v>65.0</v>
      </c>
      <c r="L6408" s="4" t="s">
        <v>39765</v>
      </c>
      <c r="M6408" s="2" t="s">
        <v>39987</v>
      </c>
      <c r="N6408" s="2" t="s">
        <v>155</v>
      </c>
      <c r="O6408" s="4" t="s">
        <v>156</v>
      </c>
      <c r="P6408" s="2" t="s">
        <v>31</v>
      </c>
      <c r="Q6408" s="2" t="s">
        <v>31</v>
      </c>
      <c r="R6408" s="2" t="s">
        <v>64</v>
      </c>
      <c r="S6408" s="4" t="s">
        <v>39747</v>
      </c>
      <c r="T6408" s="2" t="s">
        <v>66</v>
      </c>
      <c r="U6408" s="4" t="s">
        <v>31</v>
      </c>
      <c r="V6408" s="2" t="s">
        <v>57</v>
      </c>
      <c r="W6408" s="2" t="s">
        <v>39743</v>
      </c>
      <c r="X6408" s="5" t="str">
        <f>HYPERLINK("https://my.pitchbook.com?p=34856-56P","View People Online")</f>
        <v>View People Online</v>
      </c>
    </row>
    <row r="6409">
      <c r="A6409" s="14" t="s">
        <v>39988</v>
      </c>
      <c r="B6409" s="14" t="s">
        <v>39989</v>
      </c>
      <c r="C6409" s="14" t="s">
        <v>28945</v>
      </c>
      <c r="D6409" s="14" t="s">
        <v>39990</v>
      </c>
      <c r="E6409" s="14" t="s">
        <v>39743</v>
      </c>
      <c r="F6409" s="14" t="s">
        <v>29</v>
      </c>
      <c r="G6409" s="14" t="s">
        <v>39991</v>
      </c>
      <c r="H6409" s="15">
        <v>1.0</v>
      </c>
      <c r="I6409" s="15">
        <v>6.0</v>
      </c>
      <c r="J6409" s="15">
        <v>1.0</v>
      </c>
      <c r="K6409" s="15">
        <v>3.0</v>
      </c>
      <c r="L6409" s="16" t="s">
        <v>31</v>
      </c>
      <c r="M6409" s="14" t="s">
        <v>39992</v>
      </c>
      <c r="N6409" s="14" t="s">
        <v>243</v>
      </c>
      <c r="O6409" s="16" t="s">
        <v>244</v>
      </c>
      <c r="P6409" s="14" t="s">
        <v>31</v>
      </c>
      <c r="Q6409" s="14" t="s">
        <v>31</v>
      </c>
      <c r="R6409" s="14" t="s">
        <v>247</v>
      </c>
      <c r="S6409" s="16" t="s">
        <v>39993</v>
      </c>
      <c r="T6409" s="14" t="s">
        <v>249</v>
      </c>
      <c r="U6409" s="16" t="s">
        <v>31</v>
      </c>
      <c r="V6409" s="14" t="s">
        <v>29</v>
      </c>
      <c r="W6409" s="14" t="s">
        <v>39743</v>
      </c>
      <c r="X6409" s="17" t="str">
        <f>HYPERLINK("https://my.pitchbook.com?p=339162-76P","View People Online")</f>
        <v>View People Online</v>
      </c>
    </row>
    <row r="6410">
      <c r="A6410" s="10" t="s">
        <v>39994</v>
      </c>
      <c r="B6410" s="10" t="s">
        <v>39995</v>
      </c>
      <c r="C6410" s="10" t="s">
        <v>5120</v>
      </c>
      <c r="D6410" s="10" t="s">
        <v>33320</v>
      </c>
      <c r="E6410" s="10" t="s">
        <v>39743</v>
      </c>
      <c r="F6410" s="10" t="s">
        <v>29</v>
      </c>
      <c r="G6410" s="10" t="s">
        <v>39996</v>
      </c>
      <c r="H6410" s="11" t="s">
        <v>31</v>
      </c>
      <c r="I6410" s="11">
        <v>1.0</v>
      </c>
      <c r="J6410" s="11">
        <v>1.0</v>
      </c>
      <c r="K6410" s="11" t="s">
        <v>31</v>
      </c>
      <c r="L6410" s="12" t="s">
        <v>31</v>
      </c>
      <c r="M6410" s="10" t="s">
        <v>39997</v>
      </c>
      <c r="N6410" s="10" t="s">
        <v>6669</v>
      </c>
      <c r="O6410" s="12" t="s">
        <v>6670</v>
      </c>
      <c r="P6410" s="10" t="s">
        <v>31</v>
      </c>
      <c r="Q6410" s="10" t="s">
        <v>31</v>
      </c>
      <c r="R6410" s="10" t="s">
        <v>1185</v>
      </c>
      <c r="S6410" s="12" t="s">
        <v>1709</v>
      </c>
      <c r="T6410" s="10" t="s">
        <v>66</v>
      </c>
      <c r="U6410" s="12" t="s">
        <v>31</v>
      </c>
      <c r="V6410" s="10" t="s">
        <v>39790</v>
      </c>
      <c r="W6410" s="10" t="s">
        <v>39743</v>
      </c>
      <c r="X6410" s="13" t="str">
        <f>HYPERLINK("https://my.pitchbook.com?p=426307-87P","View People Online")</f>
        <v>View People Online</v>
      </c>
    </row>
    <row r="6411">
      <c r="A6411" s="14" t="s">
        <v>39998</v>
      </c>
      <c r="B6411" s="14" t="s">
        <v>39999</v>
      </c>
      <c r="C6411" s="14" t="s">
        <v>40000</v>
      </c>
      <c r="D6411" s="14" t="s">
        <v>40001</v>
      </c>
      <c r="E6411" s="14" t="s">
        <v>39743</v>
      </c>
      <c r="F6411" s="14" t="s">
        <v>81</v>
      </c>
      <c r="G6411" s="14" t="s">
        <v>40002</v>
      </c>
      <c r="H6411" s="15">
        <v>1.0</v>
      </c>
      <c r="I6411" s="15">
        <v>4.0</v>
      </c>
      <c r="J6411" s="15">
        <v>2.0</v>
      </c>
      <c r="K6411" s="15" t="s">
        <v>31</v>
      </c>
      <c r="L6411" s="16" t="s">
        <v>40003</v>
      </c>
      <c r="M6411" s="14" t="s">
        <v>40004</v>
      </c>
      <c r="N6411" s="14" t="s">
        <v>6599</v>
      </c>
      <c r="O6411" s="16" t="s">
        <v>6600</v>
      </c>
      <c r="P6411" s="14" t="s">
        <v>40005</v>
      </c>
      <c r="Q6411" s="14" t="s">
        <v>31</v>
      </c>
      <c r="R6411" s="14" t="s">
        <v>64</v>
      </c>
      <c r="S6411" s="16" t="s">
        <v>6601</v>
      </c>
      <c r="T6411" s="14" t="s">
        <v>66</v>
      </c>
      <c r="U6411" s="16" t="s">
        <v>31</v>
      </c>
      <c r="V6411" s="14" t="s">
        <v>40006</v>
      </c>
      <c r="W6411" s="14" t="s">
        <v>40007</v>
      </c>
      <c r="X6411" s="17" t="str">
        <f>HYPERLINK("https://my.pitchbook.com?p=38222-92P","View People Online")</f>
        <v>View People Online</v>
      </c>
    </row>
    <row r="6412">
      <c r="A6412" s="2" t="s">
        <v>40008</v>
      </c>
      <c r="B6412" s="2" t="s">
        <v>40009</v>
      </c>
      <c r="C6412" s="2" t="s">
        <v>11781</v>
      </c>
      <c r="D6412" s="2" t="s">
        <v>40010</v>
      </c>
      <c r="E6412" s="2" t="s">
        <v>39743</v>
      </c>
      <c r="F6412" s="2" t="s">
        <v>825</v>
      </c>
      <c r="G6412" s="2" t="s">
        <v>40011</v>
      </c>
      <c r="H6412" s="3" t="s">
        <v>31</v>
      </c>
      <c r="I6412" s="3">
        <v>1.0</v>
      </c>
      <c r="J6412" s="3">
        <v>1.0</v>
      </c>
      <c r="K6412" s="3" t="s">
        <v>31</v>
      </c>
      <c r="L6412" s="4" t="s">
        <v>39765</v>
      </c>
      <c r="M6412" s="2" t="s">
        <v>40012</v>
      </c>
      <c r="N6412" s="2" t="s">
        <v>155</v>
      </c>
      <c r="O6412" s="4" t="s">
        <v>156</v>
      </c>
      <c r="P6412" s="2" t="s">
        <v>31</v>
      </c>
      <c r="Q6412" s="2" t="s">
        <v>31</v>
      </c>
      <c r="R6412" s="2" t="s">
        <v>64</v>
      </c>
      <c r="S6412" s="4" t="s">
        <v>39747</v>
      </c>
      <c r="T6412" s="2" t="s">
        <v>66</v>
      </c>
      <c r="U6412" s="4" t="s">
        <v>31</v>
      </c>
      <c r="V6412" s="2" t="s">
        <v>40013</v>
      </c>
      <c r="W6412" s="2" t="s">
        <v>39743</v>
      </c>
      <c r="X6412" s="5" t="str">
        <f>HYPERLINK("https://my.pitchbook.com?p=67908-88P","View People Online")</f>
        <v>View People Online</v>
      </c>
    </row>
    <row r="6413">
      <c r="A6413" s="14" t="s">
        <v>40014</v>
      </c>
      <c r="B6413" s="14" t="s">
        <v>40015</v>
      </c>
      <c r="C6413" s="14" t="s">
        <v>11781</v>
      </c>
      <c r="D6413" s="14" t="s">
        <v>40016</v>
      </c>
      <c r="E6413" s="14" t="s">
        <v>39743</v>
      </c>
      <c r="F6413" s="14" t="s">
        <v>1134</v>
      </c>
      <c r="G6413" s="14" t="s">
        <v>40017</v>
      </c>
      <c r="H6413" s="15" t="s">
        <v>31</v>
      </c>
      <c r="I6413" s="15">
        <v>1.0</v>
      </c>
      <c r="J6413" s="15">
        <v>1.0</v>
      </c>
      <c r="K6413" s="15" t="s">
        <v>31</v>
      </c>
      <c r="L6413" s="16" t="s">
        <v>39765</v>
      </c>
      <c r="M6413" s="14" t="s">
        <v>31</v>
      </c>
      <c r="N6413" s="14" t="s">
        <v>155</v>
      </c>
      <c r="O6413" s="16" t="s">
        <v>156</v>
      </c>
      <c r="P6413" s="14" t="s">
        <v>31</v>
      </c>
      <c r="Q6413" s="14" t="s">
        <v>31</v>
      </c>
      <c r="R6413" s="14" t="s">
        <v>64</v>
      </c>
      <c r="S6413" s="16" t="s">
        <v>39747</v>
      </c>
      <c r="T6413" s="14" t="s">
        <v>66</v>
      </c>
      <c r="U6413" s="16" t="s">
        <v>31</v>
      </c>
      <c r="V6413" s="14" t="s">
        <v>40018</v>
      </c>
      <c r="W6413" s="14" t="s">
        <v>39743</v>
      </c>
      <c r="X6413" s="17" t="str">
        <f>HYPERLINK("https://my.pitchbook.com?p=428006-17P","View People Online")</f>
        <v>View People Online</v>
      </c>
    </row>
    <row r="6414">
      <c r="A6414" s="2" t="s">
        <v>40019</v>
      </c>
      <c r="B6414" s="2" t="s">
        <v>40020</v>
      </c>
      <c r="C6414" s="2" t="s">
        <v>1765</v>
      </c>
      <c r="D6414" s="2" t="s">
        <v>40021</v>
      </c>
      <c r="E6414" s="2" t="s">
        <v>39743</v>
      </c>
      <c r="F6414" s="2" t="s">
        <v>81</v>
      </c>
      <c r="G6414" s="2" t="s">
        <v>40022</v>
      </c>
      <c r="H6414" s="3">
        <v>1.0</v>
      </c>
      <c r="I6414" s="3">
        <v>3.0</v>
      </c>
      <c r="J6414" s="3" t="s">
        <v>31</v>
      </c>
      <c r="K6414" s="3" t="s">
        <v>31</v>
      </c>
      <c r="L6414" s="4" t="s">
        <v>31</v>
      </c>
      <c r="M6414" s="2" t="s">
        <v>31</v>
      </c>
      <c r="N6414" s="2" t="s">
        <v>4232</v>
      </c>
      <c r="O6414" s="4" t="s">
        <v>4233</v>
      </c>
      <c r="P6414" s="2" t="s">
        <v>31</v>
      </c>
      <c r="Q6414" s="2" t="s">
        <v>31</v>
      </c>
      <c r="R6414" s="2" t="s">
        <v>4236</v>
      </c>
      <c r="S6414" s="4" t="s">
        <v>31</v>
      </c>
      <c r="T6414" s="2" t="s">
        <v>66</v>
      </c>
      <c r="U6414" s="4" t="s">
        <v>31</v>
      </c>
      <c r="V6414" s="2" t="s">
        <v>2379</v>
      </c>
      <c r="W6414" s="2" t="s">
        <v>40023</v>
      </c>
      <c r="X6414" s="5" t="str">
        <f>HYPERLINK("https://my.pitchbook.com?p=191140-93P","View People Online")</f>
        <v>View People Online</v>
      </c>
    </row>
    <row r="6415">
      <c r="A6415" s="6" t="s">
        <v>40024</v>
      </c>
      <c r="B6415" s="6" t="s">
        <v>40025</v>
      </c>
      <c r="C6415" s="6" t="s">
        <v>11929</v>
      </c>
      <c r="D6415" s="6" t="s">
        <v>40026</v>
      </c>
      <c r="E6415" s="6" t="s">
        <v>39743</v>
      </c>
      <c r="F6415" s="6" t="s">
        <v>81</v>
      </c>
      <c r="G6415" s="6" t="s">
        <v>40027</v>
      </c>
      <c r="H6415" s="7" t="s">
        <v>31</v>
      </c>
      <c r="I6415" s="7">
        <v>1.0</v>
      </c>
      <c r="J6415" s="7" t="s">
        <v>31</v>
      </c>
      <c r="K6415" s="7" t="s">
        <v>31</v>
      </c>
      <c r="L6415" s="8" t="s">
        <v>39765</v>
      </c>
      <c r="M6415" s="6" t="s">
        <v>31</v>
      </c>
      <c r="N6415" s="6" t="s">
        <v>155</v>
      </c>
      <c r="O6415" s="8" t="s">
        <v>156</v>
      </c>
      <c r="P6415" s="6" t="s">
        <v>31</v>
      </c>
      <c r="Q6415" s="6" t="s">
        <v>31</v>
      </c>
      <c r="R6415" s="6" t="s">
        <v>64</v>
      </c>
      <c r="S6415" s="8" t="s">
        <v>39747</v>
      </c>
      <c r="T6415" s="6" t="s">
        <v>66</v>
      </c>
      <c r="U6415" s="8" t="s">
        <v>31</v>
      </c>
      <c r="V6415" s="6" t="s">
        <v>81</v>
      </c>
      <c r="W6415" s="6" t="s">
        <v>39743</v>
      </c>
      <c r="X6415" s="9" t="str">
        <f>HYPERLINK("https://my.pitchbook.com?p=339185-80P","View People Online")</f>
        <v>View People Online</v>
      </c>
    </row>
    <row r="6416">
      <c r="A6416" s="10" t="s">
        <v>40028</v>
      </c>
      <c r="B6416" s="10" t="s">
        <v>40029</v>
      </c>
      <c r="C6416" s="10" t="s">
        <v>126</v>
      </c>
      <c r="D6416" s="10" t="s">
        <v>6173</v>
      </c>
      <c r="E6416" s="10" t="s">
        <v>39743</v>
      </c>
      <c r="F6416" s="10" t="s">
        <v>29</v>
      </c>
      <c r="G6416" s="10" t="s">
        <v>40030</v>
      </c>
      <c r="H6416" s="11" t="s">
        <v>31</v>
      </c>
      <c r="I6416" s="11">
        <v>1.0</v>
      </c>
      <c r="J6416" s="11">
        <v>1.0</v>
      </c>
      <c r="K6416" s="11" t="s">
        <v>31</v>
      </c>
      <c r="L6416" s="12" t="s">
        <v>39765</v>
      </c>
      <c r="M6416" s="10" t="s">
        <v>40031</v>
      </c>
      <c r="N6416" s="10" t="s">
        <v>155</v>
      </c>
      <c r="O6416" s="12" t="s">
        <v>156</v>
      </c>
      <c r="P6416" s="10" t="s">
        <v>31</v>
      </c>
      <c r="Q6416" s="10" t="s">
        <v>31</v>
      </c>
      <c r="R6416" s="10" t="s">
        <v>64</v>
      </c>
      <c r="S6416" s="12" t="s">
        <v>39747</v>
      </c>
      <c r="T6416" s="10" t="s">
        <v>66</v>
      </c>
      <c r="U6416" s="12" t="s">
        <v>31</v>
      </c>
      <c r="V6416" s="10" t="s">
        <v>40032</v>
      </c>
      <c r="W6416" s="10" t="s">
        <v>39743</v>
      </c>
      <c r="X6416" s="13" t="str">
        <f>HYPERLINK("https://my.pitchbook.com?p=40761-91P","View People Online")</f>
        <v>View People Online</v>
      </c>
    </row>
    <row r="6417">
      <c r="A6417" s="6" t="s">
        <v>40033</v>
      </c>
      <c r="B6417" s="6" t="s">
        <v>40034</v>
      </c>
      <c r="C6417" s="6" t="s">
        <v>126</v>
      </c>
      <c r="D6417" s="6" t="s">
        <v>18342</v>
      </c>
      <c r="E6417" s="6" t="s">
        <v>39743</v>
      </c>
      <c r="F6417" s="6" t="s">
        <v>43</v>
      </c>
      <c r="G6417" s="6" t="s">
        <v>40035</v>
      </c>
      <c r="H6417" s="7">
        <v>1.0</v>
      </c>
      <c r="I6417" s="7">
        <v>4.0</v>
      </c>
      <c r="J6417" s="7">
        <v>1.0</v>
      </c>
      <c r="K6417" s="7">
        <v>1.0</v>
      </c>
      <c r="L6417" s="8" t="s">
        <v>39765</v>
      </c>
      <c r="M6417" s="6" t="s">
        <v>40036</v>
      </c>
      <c r="N6417" s="6" t="s">
        <v>155</v>
      </c>
      <c r="O6417" s="8" t="s">
        <v>156</v>
      </c>
      <c r="P6417" s="6" t="s">
        <v>31</v>
      </c>
      <c r="Q6417" s="6" t="s">
        <v>31</v>
      </c>
      <c r="R6417" s="6" t="s">
        <v>64</v>
      </c>
      <c r="S6417" s="8" t="s">
        <v>39747</v>
      </c>
      <c r="T6417" s="6" t="s">
        <v>66</v>
      </c>
      <c r="U6417" s="8" t="s">
        <v>31</v>
      </c>
      <c r="V6417" s="6" t="s">
        <v>270</v>
      </c>
      <c r="W6417" s="6" t="s">
        <v>40037</v>
      </c>
      <c r="X6417" s="9" t="str">
        <f>HYPERLINK("https://my.pitchbook.com?p=60976-90P","View People Online")</f>
        <v>View People Online</v>
      </c>
    </row>
    <row r="6418">
      <c r="A6418" s="10" t="s">
        <v>40038</v>
      </c>
      <c r="B6418" s="10" t="s">
        <v>40039</v>
      </c>
      <c r="C6418" s="10" t="s">
        <v>40040</v>
      </c>
      <c r="D6418" s="10" t="s">
        <v>40041</v>
      </c>
      <c r="E6418" s="10" t="s">
        <v>39743</v>
      </c>
      <c r="F6418" s="10" t="s">
        <v>916</v>
      </c>
      <c r="G6418" s="10" t="s">
        <v>40042</v>
      </c>
      <c r="H6418" s="11" t="s">
        <v>31</v>
      </c>
      <c r="I6418" s="11">
        <v>1.0</v>
      </c>
      <c r="J6418" s="11">
        <v>1.0</v>
      </c>
      <c r="K6418" s="11" t="s">
        <v>31</v>
      </c>
      <c r="L6418" s="12" t="s">
        <v>39765</v>
      </c>
      <c r="M6418" s="10" t="s">
        <v>40043</v>
      </c>
      <c r="N6418" s="10" t="s">
        <v>155</v>
      </c>
      <c r="O6418" s="12" t="s">
        <v>156</v>
      </c>
      <c r="P6418" s="10" t="s">
        <v>31</v>
      </c>
      <c r="Q6418" s="10" t="s">
        <v>31</v>
      </c>
      <c r="R6418" s="10" t="s">
        <v>64</v>
      </c>
      <c r="S6418" s="12" t="s">
        <v>39747</v>
      </c>
      <c r="T6418" s="10" t="s">
        <v>66</v>
      </c>
      <c r="U6418" s="12" t="s">
        <v>31</v>
      </c>
      <c r="V6418" s="10" t="s">
        <v>916</v>
      </c>
      <c r="W6418" s="10" t="s">
        <v>39743</v>
      </c>
      <c r="X6418" s="13" t="str">
        <f>HYPERLINK("https://my.pitchbook.com?p=265308-49P","View People Online")</f>
        <v>View People Online</v>
      </c>
    </row>
    <row r="6419">
      <c r="A6419" s="14" t="s">
        <v>40044</v>
      </c>
      <c r="B6419" s="14" t="s">
        <v>40045</v>
      </c>
      <c r="C6419" s="14" t="s">
        <v>20141</v>
      </c>
      <c r="D6419" s="14" t="s">
        <v>40046</v>
      </c>
      <c r="E6419" s="14" t="s">
        <v>39743</v>
      </c>
      <c r="F6419" s="14" t="s">
        <v>81</v>
      </c>
      <c r="G6419" s="14" t="s">
        <v>40047</v>
      </c>
      <c r="H6419" s="15">
        <v>2.0</v>
      </c>
      <c r="I6419" s="15">
        <v>3.0</v>
      </c>
      <c r="J6419" s="15" t="s">
        <v>31</v>
      </c>
      <c r="K6419" s="15" t="s">
        <v>31</v>
      </c>
      <c r="L6419" s="16" t="s">
        <v>40048</v>
      </c>
      <c r="M6419" s="14" t="s">
        <v>31</v>
      </c>
      <c r="N6419" s="14" t="s">
        <v>40049</v>
      </c>
      <c r="O6419" s="16" t="s">
        <v>40050</v>
      </c>
      <c r="P6419" s="14" t="s">
        <v>40051</v>
      </c>
      <c r="Q6419" s="14" t="s">
        <v>31</v>
      </c>
      <c r="R6419" s="14" t="s">
        <v>93</v>
      </c>
      <c r="S6419" s="16" t="s">
        <v>40052</v>
      </c>
      <c r="T6419" s="14" t="s">
        <v>66</v>
      </c>
      <c r="U6419" s="16" t="s">
        <v>40053</v>
      </c>
      <c r="V6419" s="14" t="s">
        <v>2379</v>
      </c>
      <c r="W6419" s="14" t="s">
        <v>40054</v>
      </c>
      <c r="X6419" s="17" t="str">
        <f>HYPERLINK("https://my.pitchbook.com?p=154747-63P","View People Online")</f>
        <v>View People Online</v>
      </c>
    </row>
    <row r="6420">
      <c r="A6420" s="10" t="s">
        <v>40055</v>
      </c>
      <c r="B6420" s="10" t="s">
        <v>40056</v>
      </c>
      <c r="C6420" s="10" t="s">
        <v>7089</v>
      </c>
      <c r="D6420" s="10" t="s">
        <v>40057</v>
      </c>
      <c r="E6420" s="10" t="s">
        <v>39743</v>
      </c>
      <c r="F6420" s="10" t="s">
        <v>81</v>
      </c>
      <c r="G6420" s="10" t="s">
        <v>40058</v>
      </c>
      <c r="H6420" s="11">
        <v>6.0</v>
      </c>
      <c r="I6420" s="11">
        <v>7.0</v>
      </c>
      <c r="J6420" s="11">
        <v>1.0</v>
      </c>
      <c r="K6420" s="11" t="s">
        <v>31</v>
      </c>
      <c r="L6420" s="12" t="s">
        <v>40059</v>
      </c>
      <c r="M6420" s="10" t="s">
        <v>40060</v>
      </c>
      <c r="N6420" s="10" t="s">
        <v>75</v>
      </c>
      <c r="O6420" s="12" t="s">
        <v>76</v>
      </c>
      <c r="P6420" s="10" t="s">
        <v>40061</v>
      </c>
      <c r="Q6420" s="10" t="s">
        <v>194</v>
      </c>
      <c r="R6420" s="10" t="s">
        <v>75</v>
      </c>
      <c r="S6420" s="12" t="s">
        <v>2167</v>
      </c>
      <c r="T6420" s="10" t="s">
        <v>66</v>
      </c>
      <c r="U6420" s="12" t="s">
        <v>31</v>
      </c>
      <c r="V6420" s="10" t="s">
        <v>40062</v>
      </c>
      <c r="W6420" s="10" t="s">
        <v>40063</v>
      </c>
      <c r="X6420" s="13" t="str">
        <f>HYPERLINK("https://my.pitchbook.com?p=57375-91P","View People Online")</f>
        <v>View People Online</v>
      </c>
    </row>
    <row r="6421">
      <c r="A6421" s="6" t="s">
        <v>40064</v>
      </c>
      <c r="B6421" s="6" t="s">
        <v>40065</v>
      </c>
      <c r="C6421" s="6" t="s">
        <v>5536</v>
      </c>
      <c r="D6421" s="6" t="s">
        <v>10402</v>
      </c>
      <c r="E6421" s="6" t="s">
        <v>39743</v>
      </c>
      <c r="F6421" s="6" t="s">
        <v>6567</v>
      </c>
      <c r="G6421" s="6" t="s">
        <v>40066</v>
      </c>
      <c r="H6421" s="7" t="s">
        <v>31</v>
      </c>
      <c r="I6421" s="7">
        <v>1.0</v>
      </c>
      <c r="J6421" s="7">
        <v>1.0</v>
      </c>
      <c r="K6421" s="7" t="s">
        <v>31</v>
      </c>
      <c r="L6421" s="8" t="s">
        <v>39765</v>
      </c>
      <c r="M6421" s="6" t="s">
        <v>40067</v>
      </c>
      <c r="N6421" s="6" t="s">
        <v>155</v>
      </c>
      <c r="O6421" s="8" t="s">
        <v>156</v>
      </c>
      <c r="P6421" s="6" t="s">
        <v>31</v>
      </c>
      <c r="Q6421" s="6" t="s">
        <v>31</v>
      </c>
      <c r="R6421" s="6" t="s">
        <v>64</v>
      </c>
      <c r="S6421" s="8" t="s">
        <v>39747</v>
      </c>
      <c r="T6421" s="6" t="s">
        <v>66</v>
      </c>
      <c r="U6421" s="8" t="s">
        <v>31</v>
      </c>
      <c r="V6421" s="6" t="s">
        <v>40068</v>
      </c>
      <c r="W6421" s="6" t="s">
        <v>39743</v>
      </c>
      <c r="X6421" s="9" t="str">
        <f>HYPERLINK("https://my.pitchbook.com?p=147355-39P","View People Online")</f>
        <v>View People Online</v>
      </c>
    </row>
    <row r="6422">
      <c r="A6422" s="2" t="s">
        <v>40069</v>
      </c>
      <c r="B6422" s="2" t="s">
        <v>40070</v>
      </c>
      <c r="C6422" s="2" t="s">
        <v>20212</v>
      </c>
      <c r="D6422" s="2" t="s">
        <v>40071</v>
      </c>
      <c r="E6422" s="2" t="s">
        <v>39743</v>
      </c>
      <c r="F6422" s="2" t="s">
        <v>40072</v>
      </c>
      <c r="G6422" s="2" t="s">
        <v>40073</v>
      </c>
      <c r="H6422" s="3" t="s">
        <v>31</v>
      </c>
      <c r="I6422" s="3">
        <v>1.0</v>
      </c>
      <c r="J6422" s="3">
        <v>1.0</v>
      </c>
      <c r="K6422" s="3" t="s">
        <v>31</v>
      </c>
      <c r="L6422" s="4" t="s">
        <v>39765</v>
      </c>
      <c r="M6422" s="2" t="s">
        <v>40074</v>
      </c>
      <c r="N6422" s="2" t="s">
        <v>155</v>
      </c>
      <c r="O6422" s="4" t="s">
        <v>156</v>
      </c>
      <c r="P6422" s="2" t="s">
        <v>31</v>
      </c>
      <c r="Q6422" s="2" t="s">
        <v>31</v>
      </c>
      <c r="R6422" s="2" t="s">
        <v>64</v>
      </c>
      <c r="S6422" s="4" t="s">
        <v>39747</v>
      </c>
      <c r="T6422" s="2" t="s">
        <v>66</v>
      </c>
      <c r="U6422" s="4" t="s">
        <v>31</v>
      </c>
      <c r="V6422" s="2" t="s">
        <v>40075</v>
      </c>
      <c r="W6422" s="2" t="s">
        <v>39743</v>
      </c>
      <c r="X6422" s="5" t="str">
        <f>HYPERLINK("https://my.pitchbook.com?p=70045-21P","View People Online")</f>
        <v>View People Online</v>
      </c>
    </row>
    <row r="6423">
      <c r="A6423" s="6" t="s">
        <v>40076</v>
      </c>
      <c r="B6423" s="6" t="s">
        <v>40077</v>
      </c>
      <c r="C6423" s="6" t="s">
        <v>382</v>
      </c>
      <c r="D6423" s="6" t="s">
        <v>40078</v>
      </c>
      <c r="E6423" s="6" t="s">
        <v>39743</v>
      </c>
      <c r="F6423" s="6" t="s">
        <v>916</v>
      </c>
      <c r="G6423" s="6" t="s">
        <v>40079</v>
      </c>
      <c r="H6423" s="7" t="s">
        <v>31</v>
      </c>
      <c r="I6423" s="7">
        <v>1.0</v>
      </c>
      <c r="J6423" s="7">
        <v>1.0</v>
      </c>
      <c r="K6423" s="7" t="s">
        <v>31</v>
      </c>
      <c r="L6423" s="8" t="s">
        <v>39765</v>
      </c>
      <c r="M6423" s="6" t="s">
        <v>40080</v>
      </c>
      <c r="N6423" s="6" t="s">
        <v>155</v>
      </c>
      <c r="O6423" s="8" t="s">
        <v>156</v>
      </c>
      <c r="P6423" s="6" t="s">
        <v>31</v>
      </c>
      <c r="Q6423" s="6" t="s">
        <v>31</v>
      </c>
      <c r="R6423" s="6" t="s">
        <v>64</v>
      </c>
      <c r="S6423" s="8" t="s">
        <v>39747</v>
      </c>
      <c r="T6423" s="6" t="s">
        <v>66</v>
      </c>
      <c r="U6423" s="8" t="s">
        <v>31</v>
      </c>
      <c r="V6423" s="6" t="s">
        <v>916</v>
      </c>
      <c r="W6423" s="6" t="s">
        <v>39743</v>
      </c>
      <c r="X6423" s="9" t="str">
        <f>HYPERLINK("https://my.pitchbook.com?p=406723-15P","View People Online")</f>
        <v>View People Online</v>
      </c>
    </row>
    <row r="6424">
      <c r="A6424" s="2" t="s">
        <v>40081</v>
      </c>
      <c r="B6424" s="2" t="s">
        <v>40082</v>
      </c>
      <c r="C6424" s="2" t="s">
        <v>40083</v>
      </c>
      <c r="D6424" s="2" t="s">
        <v>40084</v>
      </c>
      <c r="E6424" s="2" t="s">
        <v>39743</v>
      </c>
      <c r="F6424" s="2" t="s">
        <v>81</v>
      </c>
      <c r="G6424" s="2" t="s">
        <v>40085</v>
      </c>
      <c r="H6424" s="3">
        <v>2.0</v>
      </c>
      <c r="I6424" s="3">
        <v>8.0</v>
      </c>
      <c r="J6424" s="3">
        <v>3.0</v>
      </c>
      <c r="K6424" s="3" t="s">
        <v>31</v>
      </c>
      <c r="L6424" s="4" t="s">
        <v>40086</v>
      </c>
      <c r="M6424" s="2" t="s">
        <v>40087</v>
      </c>
      <c r="N6424" s="2" t="s">
        <v>775</v>
      </c>
      <c r="O6424" s="4" t="s">
        <v>776</v>
      </c>
      <c r="P6424" s="2" t="s">
        <v>40088</v>
      </c>
      <c r="Q6424" s="2" t="s">
        <v>989</v>
      </c>
      <c r="R6424" s="2" t="s">
        <v>64</v>
      </c>
      <c r="S6424" s="4" t="s">
        <v>40089</v>
      </c>
      <c r="T6424" s="2" t="s">
        <v>66</v>
      </c>
      <c r="U6424" s="4" t="s">
        <v>31</v>
      </c>
      <c r="V6424" s="2" t="s">
        <v>40090</v>
      </c>
      <c r="W6424" s="2" t="s">
        <v>40091</v>
      </c>
      <c r="X6424" s="5" t="str">
        <f>HYPERLINK("https://my.pitchbook.com?p=35848-81P","View People Online")</f>
        <v>View People Online</v>
      </c>
    </row>
    <row r="6425">
      <c r="A6425" s="14" t="s">
        <v>40092</v>
      </c>
      <c r="B6425" s="14" t="s">
        <v>40093</v>
      </c>
      <c r="C6425" s="14" t="s">
        <v>395</v>
      </c>
      <c r="D6425" s="14" t="s">
        <v>40094</v>
      </c>
      <c r="E6425" s="14" t="s">
        <v>39743</v>
      </c>
      <c r="F6425" s="14" t="s">
        <v>81</v>
      </c>
      <c r="G6425" s="14" t="s">
        <v>40095</v>
      </c>
      <c r="H6425" s="15">
        <v>5.0</v>
      </c>
      <c r="I6425" s="15">
        <v>8.0</v>
      </c>
      <c r="J6425" s="15">
        <v>2.0</v>
      </c>
      <c r="K6425" s="15">
        <v>1.0</v>
      </c>
      <c r="L6425" s="16" t="s">
        <v>40096</v>
      </c>
      <c r="M6425" s="14" t="s">
        <v>31</v>
      </c>
      <c r="N6425" s="14" t="s">
        <v>6599</v>
      </c>
      <c r="O6425" s="16" t="s">
        <v>6600</v>
      </c>
      <c r="P6425" s="14" t="s">
        <v>40097</v>
      </c>
      <c r="Q6425" s="14" t="s">
        <v>1719</v>
      </c>
      <c r="R6425" s="14" t="s">
        <v>64</v>
      </c>
      <c r="S6425" s="16" t="s">
        <v>6601</v>
      </c>
      <c r="T6425" s="14" t="s">
        <v>66</v>
      </c>
      <c r="U6425" s="16" t="s">
        <v>31</v>
      </c>
      <c r="V6425" s="14" t="s">
        <v>2379</v>
      </c>
      <c r="W6425" s="14" t="s">
        <v>40098</v>
      </c>
      <c r="X6425" s="17" t="str">
        <f>HYPERLINK("https://my.pitchbook.com?p=43908-13P","View People Online")</f>
        <v>View People Online</v>
      </c>
    </row>
    <row r="6426">
      <c r="A6426" s="2" t="s">
        <v>40099</v>
      </c>
      <c r="B6426" s="2" t="s">
        <v>40100</v>
      </c>
      <c r="C6426" s="2" t="s">
        <v>536</v>
      </c>
      <c r="D6426" s="2" t="s">
        <v>40101</v>
      </c>
      <c r="E6426" s="2" t="s">
        <v>39743</v>
      </c>
      <c r="F6426" s="2" t="s">
        <v>81</v>
      </c>
      <c r="G6426" s="2" t="s">
        <v>40102</v>
      </c>
      <c r="H6426" s="3" t="s">
        <v>31</v>
      </c>
      <c r="I6426" s="3">
        <v>3.0</v>
      </c>
      <c r="J6426" s="3">
        <v>2.0</v>
      </c>
      <c r="K6426" s="3" t="s">
        <v>31</v>
      </c>
      <c r="L6426" s="4" t="s">
        <v>40103</v>
      </c>
      <c r="M6426" s="2" t="s">
        <v>40104</v>
      </c>
      <c r="N6426" s="2" t="s">
        <v>40105</v>
      </c>
      <c r="O6426" s="4" t="s">
        <v>40106</v>
      </c>
      <c r="P6426" s="2" t="s">
        <v>40107</v>
      </c>
      <c r="Q6426" s="2" t="s">
        <v>7124</v>
      </c>
      <c r="R6426" s="2" t="s">
        <v>1185</v>
      </c>
      <c r="S6426" s="4" t="s">
        <v>40108</v>
      </c>
      <c r="T6426" s="2" t="s">
        <v>66</v>
      </c>
      <c r="U6426" s="4" t="s">
        <v>31</v>
      </c>
      <c r="V6426" s="2" t="s">
        <v>40109</v>
      </c>
      <c r="W6426" s="2" t="s">
        <v>40110</v>
      </c>
      <c r="X6426" s="5" t="str">
        <f>HYPERLINK("https://my.pitchbook.com?p=35504-02P","View People Online")</f>
        <v>View People Online</v>
      </c>
    </row>
    <row r="6427">
      <c r="A6427" s="14" t="s">
        <v>40111</v>
      </c>
      <c r="B6427" s="14" t="s">
        <v>40112</v>
      </c>
      <c r="C6427" s="14" t="s">
        <v>3370</v>
      </c>
      <c r="D6427" s="14" t="s">
        <v>40113</v>
      </c>
      <c r="E6427" s="14" t="s">
        <v>39743</v>
      </c>
      <c r="F6427" s="14" t="s">
        <v>371</v>
      </c>
      <c r="G6427" s="14" t="s">
        <v>40114</v>
      </c>
      <c r="H6427" s="15" t="s">
        <v>31</v>
      </c>
      <c r="I6427" s="15">
        <v>1.0</v>
      </c>
      <c r="J6427" s="15">
        <v>1.0</v>
      </c>
      <c r="K6427" s="15" t="s">
        <v>31</v>
      </c>
      <c r="L6427" s="16" t="s">
        <v>39765</v>
      </c>
      <c r="M6427" s="14" t="s">
        <v>40115</v>
      </c>
      <c r="N6427" s="14" t="s">
        <v>155</v>
      </c>
      <c r="O6427" s="16" t="s">
        <v>156</v>
      </c>
      <c r="P6427" s="14" t="s">
        <v>31</v>
      </c>
      <c r="Q6427" s="14" t="s">
        <v>31</v>
      </c>
      <c r="R6427" s="14" t="s">
        <v>64</v>
      </c>
      <c r="S6427" s="16" t="s">
        <v>39747</v>
      </c>
      <c r="T6427" s="14" t="s">
        <v>66</v>
      </c>
      <c r="U6427" s="16" t="s">
        <v>31</v>
      </c>
      <c r="V6427" s="14" t="s">
        <v>3808</v>
      </c>
      <c r="W6427" s="14" t="s">
        <v>39743</v>
      </c>
      <c r="X6427" s="17" t="str">
        <f>HYPERLINK("https://my.pitchbook.com?p=40765-42P","View People Online")</f>
        <v>View People Online</v>
      </c>
    </row>
    <row r="6428">
      <c r="A6428" s="2" t="s">
        <v>40116</v>
      </c>
      <c r="B6428" s="2" t="s">
        <v>40117</v>
      </c>
      <c r="C6428" s="2" t="s">
        <v>40118</v>
      </c>
      <c r="D6428" s="2" t="s">
        <v>40119</v>
      </c>
      <c r="E6428" s="2" t="s">
        <v>39743</v>
      </c>
      <c r="F6428" s="2" t="s">
        <v>318</v>
      </c>
      <c r="G6428" s="2" t="s">
        <v>40120</v>
      </c>
      <c r="H6428" s="3">
        <v>1.0</v>
      </c>
      <c r="I6428" s="3">
        <v>4.0</v>
      </c>
      <c r="J6428" s="3">
        <v>1.0</v>
      </c>
      <c r="K6428" s="3">
        <v>2.0</v>
      </c>
      <c r="L6428" s="4" t="s">
        <v>39765</v>
      </c>
      <c r="M6428" s="2" t="s">
        <v>40121</v>
      </c>
      <c r="N6428" s="2" t="s">
        <v>155</v>
      </c>
      <c r="O6428" s="4" t="s">
        <v>156</v>
      </c>
      <c r="P6428" s="2" t="s">
        <v>31</v>
      </c>
      <c r="Q6428" s="2" t="s">
        <v>31</v>
      </c>
      <c r="R6428" s="2" t="s">
        <v>64</v>
      </c>
      <c r="S6428" s="4" t="s">
        <v>39747</v>
      </c>
      <c r="T6428" s="2" t="s">
        <v>66</v>
      </c>
      <c r="U6428" s="4" t="s">
        <v>31</v>
      </c>
      <c r="V6428" s="2" t="s">
        <v>318</v>
      </c>
      <c r="W6428" s="2" t="s">
        <v>39743</v>
      </c>
      <c r="X6428" s="5" t="str">
        <f>HYPERLINK("https://my.pitchbook.com?p=119851-30P","View People Online")</f>
        <v>View People Online</v>
      </c>
    </row>
    <row r="6429">
      <c r="A6429" s="6" t="s">
        <v>40122</v>
      </c>
      <c r="B6429" s="6" t="s">
        <v>40123</v>
      </c>
      <c r="C6429" s="6" t="s">
        <v>40124</v>
      </c>
      <c r="D6429" s="6" t="s">
        <v>40125</v>
      </c>
      <c r="E6429" s="6" t="s">
        <v>39743</v>
      </c>
      <c r="F6429" s="6" t="s">
        <v>81</v>
      </c>
      <c r="G6429" s="6" t="s">
        <v>40126</v>
      </c>
      <c r="H6429" s="7">
        <v>2.0</v>
      </c>
      <c r="I6429" s="7">
        <v>3.0</v>
      </c>
      <c r="J6429" s="7">
        <v>1.0</v>
      </c>
      <c r="K6429" s="7" t="s">
        <v>31</v>
      </c>
      <c r="L6429" s="8" t="s">
        <v>40127</v>
      </c>
      <c r="M6429" s="6" t="s">
        <v>40128</v>
      </c>
      <c r="N6429" s="6" t="s">
        <v>75</v>
      </c>
      <c r="O6429" s="8" t="s">
        <v>76</v>
      </c>
      <c r="P6429" s="6" t="s">
        <v>40129</v>
      </c>
      <c r="Q6429" s="6" t="s">
        <v>577</v>
      </c>
      <c r="R6429" s="6" t="s">
        <v>75</v>
      </c>
      <c r="S6429" s="8" t="s">
        <v>3929</v>
      </c>
      <c r="T6429" s="6" t="s">
        <v>66</v>
      </c>
      <c r="U6429" s="8" t="s">
        <v>40130</v>
      </c>
      <c r="V6429" s="6" t="s">
        <v>2379</v>
      </c>
      <c r="W6429" s="6" t="s">
        <v>40131</v>
      </c>
      <c r="X6429" s="9" t="str">
        <f>HYPERLINK("https://my.pitchbook.com?p=219935-98P","View People Online")</f>
        <v>View People Online</v>
      </c>
    </row>
    <row r="6430">
      <c r="A6430" s="10" t="s">
        <v>40132</v>
      </c>
      <c r="B6430" s="10" t="s">
        <v>40133</v>
      </c>
      <c r="C6430" s="10" t="s">
        <v>40134</v>
      </c>
      <c r="D6430" s="10" t="s">
        <v>40135</v>
      </c>
      <c r="E6430" s="10" t="s">
        <v>39743</v>
      </c>
      <c r="F6430" s="10" t="s">
        <v>43</v>
      </c>
      <c r="G6430" s="10" t="s">
        <v>40136</v>
      </c>
      <c r="H6430" s="11">
        <v>2.0</v>
      </c>
      <c r="I6430" s="11">
        <v>10.0</v>
      </c>
      <c r="J6430" s="11">
        <v>1.0</v>
      </c>
      <c r="K6430" s="11">
        <v>7.0</v>
      </c>
      <c r="L6430" s="12" t="s">
        <v>40137</v>
      </c>
      <c r="M6430" s="10" t="s">
        <v>40138</v>
      </c>
      <c r="N6430" s="10" t="s">
        <v>155</v>
      </c>
      <c r="O6430" s="12" t="s">
        <v>156</v>
      </c>
      <c r="P6430" s="10" t="s">
        <v>31</v>
      </c>
      <c r="Q6430" s="10" t="s">
        <v>31</v>
      </c>
      <c r="R6430" s="10" t="s">
        <v>64</v>
      </c>
      <c r="S6430" s="12" t="s">
        <v>39747</v>
      </c>
      <c r="T6430" s="10" t="s">
        <v>66</v>
      </c>
      <c r="U6430" s="12" t="s">
        <v>31</v>
      </c>
      <c r="V6430" s="10" t="s">
        <v>43</v>
      </c>
      <c r="W6430" s="10" t="s">
        <v>39743</v>
      </c>
      <c r="X6430" s="13" t="str">
        <f>HYPERLINK("https://my.pitchbook.com?p=71507-26P","View People Online")</f>
        <v>View People Online</v>
      </c>
    </row>
    <row r="6431">
      <c r="A6431" s="6" t="s">
        <v>40139</v>
      </c>
      <c r="B6431" s="6" t="s">
        <v>40140</v>
      </c>
      <c r="C6431" s="6" t="s">
        <v>3716</v>
      </c>
      <c r="D6431" s="6" t="s">
        <v>5381</v>
      </c>
      <c r="E6431" s="6" t="s">
        <v>39743</v>
      </c>
      <c r="F6431" s="6" t="s">
        <v>114</v>
      </c>
      <c r="G6431" s="6" t="s">
        <v>40141</v>
      </c>
      <c r="H6431" s="7">
        <v>4.0</v>
      </c>
      <c r="I6431" s="7">
        <v>6.0</v>
      </c>
      <c r="J6431" s="7">
        <v>1.0</v>
      </c>
      <c r="K6431" s="7">
        <v>1.0</v>
      </c>
      <c r="L6431" s="8" t="s">
        <v>40142</v>
      </c>
      <c r="M6431" s="6" t="s">
        <v>40143</v>
      </c>
      <c r="N6431" s="6" t="s">
        <v>155</v>
      </c>
      <c r="O6431" s="8" t="s">
        <v>156</v>
      </c>
      <c r="P6431" s="6" t="s">
        <v>31</v>
      </c>
      <c r="Q6431" s="6" t="s">
        <v>31</v>
      </c>
      <c r="R6431" s="6" t="s">
        <v>64</v>
      </c>
      <c r="S6431" s="8" t="s">
        <v>39747</v>
      </c>
      <c r="T6431" s="6" t="s">
        <v>66</v>
      </c>
      <c r="U6431" s="8" t="s">
        <v>31</v>
      </c>
      <c r="V6431" s="6" t="s">
        <v>18050</v>
      </c>
      <c r="W6431" s="6" t="s">
        <v>39743</v>
      </c>
      <c r="X6431" s="9" t="str">
        <f>HYPERLINK("https://my.pitchbook.com?p=50307-22P","View People Online")</f>
        <v>View People Online</v>
      </c>
    </row>
    <row r="6432">
      <c r="A6432" s="2" t="s">
        <v>40144</v>
      </c>
      <c r="B6432" s="2" t="s">
        <v>40145</v>
      </c>
      <c r="C6432" s="2" t="s">
        <v>10068</v>
      </c>
      <c r="D6432" s="2" t="s">
        <v>33314</v>
      </c>
      <c r="E6432" s="2" t="s">
        <v>39743</v>
      </c>
      <c r="F6432" s="2" t="s">
        <v>29</v>
      </c>
      <c r="G6432" s="2" t="s">
        <v>40146</v>
      </c>
      <c r="H6432" s="3" t="s">
        <v>31</v>
      </c>
      <c r="I6432" s="3">
        <v>1.0</v>
      </c>
      <c r="J6432" s="3">
        <v>1.0</v>
      </c>
      <c r="K6432" s="3" t="s">
        <v>31</v>
      </c>
      <c r="L6432" s="4" t="s">
        <v>39765</v>
      </c>
      <c r="M6432" s="2" t="s">
        <v>40147</v>
      </c>
      <c r="N6432" s="2" t="s">
        <v>155</v>
      </c>
      <c r="O6432" s="4" t="s">
        <v>156</v>
      </c>
      <c r="P6432" s="2" t="s">
        <v>31</v>
      </c>
      <c r="Q6432" s="2" t="s">
        <v>31</v>
      </c>
      <c r="R6432" s="2" t="s">
        <v>64</v>
      </c>
      <c r="S6432" s="4" t="s">
        <v>39747</v>
      </c>
      <c r="T6432" s="2" t="s">
        <v>66</v>
      </c>
      <c r="U6432" s="4" t="s">
        <v>31</v>
      </c>
      <c r="V6432" s="2" t="s">
        <v>29</v>
      </c>
      <c r="W6432" s="2" t="s">
        <v>39743</v>
      </c>
      <c r="X6432" s="5" t="str">
        <f>HYPERLINK("https://my.pitchbook.com?p=327307-60P","View People Online")</f>
        <v>View People Online</v>
      </c>
    </row>
    <row r="6433">
      <c r="A6433" s="14" t="s">
        <v>40148</v>
      </c>
      <c r="B6433" s="14" t="s">
        <v>40149</v>
      </c>
      <c r="C6433" s="14" t="s">
        <v>12354</v>
      </c>
      <c r="D6433" s="14" t="s">
        <v>5665</v>
      </c>
      <c r="E6433" s="14" t="s">
        <v>39743</v>
      </c>
      <c r="F6433" s="14" t="s">
        <v>4406</v>
      </c>
      <c r="G6433" s="14" t="s">
        <v>40150</v>
      </c>
      <c r="H6433" s="15" t="s">
        <v>31</v>
      </c>
      <c r="I6433" s="15">
        <v>1.0</v>
      </c>
      <c r="J6433" s="15">
        <v>1.0</v>
      </c>
      <c r="K6433" s="15" t="s">
        <v>31</v>
      </c>
      <c r="L6433" s="16" t="s">
        <v>39765</v>
      </c>
      <c r="M6433" s="14" t="s">
        <v>40151</v>
      </c>
      <c r="N6433" s="14" t="s">
        <v>155</v>
      </c>
      <c r="O6433" s="16" t="s">
        <v>156</v>
      </c>
      <c r="P6433" s="14" t="s">
        <v>31</v>
      </c>
      <c r="Q6433" s="14" t="s">
        <v>31</v>
      </c>
      <c r="R6433" s="14" t="s">
        <v>64</v>
      </c>
      <c r="S6433" s="16" t="s">
        <v>39747</v>
      </c>
      <c r="T6433" s="14" t="s">
        <v>66</v>
      </c>
      <c r="U6433" s="16" t="s">
        <v>31</v>
      </c>
      <c r="V6433" s="14" t="s">
        <v>4406</v>
      </c>
      <c r="W6433" s="14" t="s">
        <v>39743</v>
      </c>
      <c r="X6433" s="17" t="str">
        <f>HYPERLINK("https://my.pitchbook.com?p=339164-38P","View People Online")</f>
        <v>View People Online</v>
      </c>
    </row>
    <row r="6434">
      <c r="A6434" s="2" t="s">
        <v>40152</v>
      </c>
      <c r="B6434" s="2" t="s">
        <v>40153</v>
      </c>
      <c r="C6434" s="2" t="s">
        <v>24292</v>
      </c>
      <c r="D6434" s="2" t="s">
        <v>4569</v>
      </c>
      <c r="E6434" s="2" t="s">
        <v>39743</v>
      </c>
      <c r="F6434" s="2" t="s">
        <v>40154</v>
      </c>
      <c r="G6434" s="2" t="s">
        <v>40155</v>
      </c>
      <c r="H6434" s="3">
        <v>1.0</v>
      </c>
      <c r="I6434" s="3">
        <v>2.0</v>
      </c>
      <c r="J6434" s="3">
        <v>1.0</v>
      </c>
      <c r="K6434" s="3" t="s">
        <v>31</v>
      </c>
      <c r="L6434" s="4" t="s">
        <v>39765</v>
      </c>
      <c r="M6434" s="2" t="s">
        <v>31</v>
      </c>
      <c r="N6434" s="2" t="s">
        <v>155</v>
      </c>
      <c r="O6434" s="4" t="s">
        <v>156</v>
      </c>
      <c r="P6434" s="2" t="s">
        <v>31</v>
      </c>
      <c r="Q6434" s="2" t="s">
        <v>31</v>
      </c>
      <c r="R6434" s="2" t="s">
        <v>64</v>
      </c>
      <c r="S6434" s="4" t="s">
        <v>39747</v>
      </c>
      <c r="T6434" s="2" t="s">
        <v>66</v>
      </c>
      <c r="U6434" s="4" t="s">
        <v>31</v>
      </c>
      <c r="V6434" s="2" t="s">
        <v>40154</v>
      </c>
      <c r="W6434" s="2" t="s">
        <v>39743</v>
      </c>
      <c r="X6434" s="5" t="str">
        <f>HYPERLINK("https://my.pitchbook.com?p=218434-51P","View People Online")</f>
        <v>View People Online</v>
      </c>
    </row>
    <row r="6435">
      <c r="A6435" s="6" t="s">
        <v>40156</v>
      </c>
      <c r="B6435" s="6" t="s">
        <v>40157</v>
      </c>
      <c r="C6435" s="6" t="s">
        <v>1683</v>
      </c>
      <c r="D6435" s="6" t="s">
        <v>40158</v>
      </c>
      <c r="E6435" s="6" t="s">
        <v>39743</v>
      </c>
      <c r="F6435" s="6" t="s">
        <v>81</v>
      </c>
      <c r="G6435" s="6" t="s">
        <v>40159</v>
      </c>
      <c r="H6435" s="7">
        <v>3.0</v>
      </c>
      <c r="I6435" s="7">
        <v>5.0</v>
      </c>
      <c r="J6435" s="7" t="s">
        <v>31</v>
      </c>
      <c r="K6435" s="7">
        <v>1.0</v>
      </c>
      <c r="L6435" s="8" t="s">
        <v>40160</v>
      </c>
      <c r="M6435" s="6" t="s">
        <v>31</v>
      </c>
      <c r="N6435" s="6" t="s">
        <v>75</v>
      </c>
      <c r="O6435" s="8" t="s">
        <v>76</v>
      </c>
      <c r="P6435" s="6" t="s">
        <v>40161</v>
      </c>
      <c r="Q6435" s="6" t="s">
        <v>31</v>
      </c>
      <c r="R6435" s="6" t="s">
        <v>75</v>
      </c>
      <c r="S6435" s="8" t="s">
        <v>40162</v>
      </c>
      <c r="T6435" s="6" t="s">
        <v>66</v>
      </c>
      <c r="U6435" s="8" t="s">
        <v>31</v>
      </c>
      <c r="V6435" s="6" t="s">
        <v>40163</v>
      </c>
      <c r="W6435" s="6" t="s">
        <v>40164</v>
      </c>
      <c r="X6435" s="9" t="str">
        <f>HYPERLINK("https://my.pitchbook.com?p=47863-54P","View People Online")</f>
        <v>View People Online</v>
      </c>
    </row>
    <row r="6436">
      <c r="A6436" s="10" t="s">
        <v>40165</v>
      </c>
      <c r="B6436" s="10" t="s">
        <v>40166</v>
      </c>
      <c r="C6436" s="10" t="s">
        <v>22383</v>
      </c>
      <c r="D6436" s="10" t="s">
        <v>40167</v>
      </c>
      <c r="E6436" s="10" t="s">
        <v>39743</v>
      </c>
      <c r="F6436" s="10" t="s">
        <v>81</v>
      </c>
      <c r="G6436" s="10" t="s">
        <v>40168</v>
      </c>
      <c r="H6436" s="11" t="s">
        <v>31</v>
      </c>
      <c r="I6436" s="11">
        <v>2.0</v>
      </c>
      <c r="J6436" s="11">
        <v>1.0</v>
      </c>
      <c r="K6436" s="11" t="s">
        <v>31</v>
      </c>
      <c r="L6436" s="12" t="s">
        <v>31</v>
      </c>
      <c r="M6436" s="10" t="s">
        <v>40169</v>
      </c>
      <c r="N6436" s="10" t="s">
        <v>2599</v>
      </c>
      <c r="O6436" s="12" t="s">
        <v>2600</v>
      </c>
      <c r="P6436" s="10" t="s">
        <v>40170</v>
      </c>
      <c r="Q6436" s="10" t="s">
        <v>1854</v>
      </c>
      <c r="R6436" s="10" t="s">
        <v>396</v>
      </c>
      <c r="S6436" s="12" t="s">
        <v>40171</v>
      </c>
      <c r="T6436" s="10" t="s">
        <v>66</v>
      </c>
      <c r="U6436" s="12" t="s">
        <v>31</v>
      </c>
      <c r="V6436" s="10" t="s">
        <v>29</v>
      </c>
      <c r="W6436" s="10" t="s">
        <v>40172</v>
      </c>
      <c r="X6436" s="13" t="str">
        <f>HYPERLINK("https://my.pitchbook.com?p=321974-11P","View People Online")</f>
        <v>View People Online</v>
      </c>
    </row>
    <row r="6437">
      <c r="A6437" s="14" t="s">
        <v>40173</v>
      </c>
      <c r="B6437" s="14" t="s">
        <v>40174</v>
      </c>
      <c r="C6437" s="14" t="s">
        <v>562</v>
      </c>
      <c r="D6437" s="14" t="s">
        <v>40175</v>
      </c>
      <c r="E6437" s="14" t="s">
        <v>39743</v>
      </c>
      <c r="F6437" s="14" t="s">
        <v>57</v>
      </c>
      <c r="G6437" s="14" t="s">
        <v>40176</v>
      </c>
      <c r="H6437" s="15">
        <v>5.0</v>
      </c>
      <c r="I6437" s="15">
        <v>60.0</v>
      </c>
      <c r="J6437" s="15">
        <v>1.0</v>
      </c>
      <c r="K6437" s="15">
        <v>50.0</v>
      </c>
      <c r="L6437" s="16" t="s">
        <v>39765</v>
      </c>
      <c r="M6437" s="14" t="s">
        <v>40177</v>
      </c>
      <c r="N6437" s="14" t="s">
        <v>155</v>
      </c>
      <c r="O6437" s="16" t="s">
        <v>156</v>
      </c>
      <c r="P6437" s="14" t="s">
        <v>31</v>
      </c>
      <c r="Q6437" s="14" t="s">
        <v>31</v>
      </c>
      <c r="R6437" s="14" t="s">
        <v>64</v>
      </c>
      <c r="S6437" s="16" t="s">
        <v>39747</v>
      </c>
      <c r="T6437" s="14" t="s">
        <v>66</v>
      </c>
      <c r="U6437" s="16" t="s">
        <v>31</v>
      </c>
      <c r="V6437" s="14" t="s">
        <v>57</v>
      </c>
      <c r="W6437" s="14" t="s">
        <v>39743</v>
      </c>
      <c r="X6437" s="17" t="str">
        <f>HYPERLINK("https://my.pitchbook.com?p=72300-97P","View People Online")</f>
        <v>View People Online</v>
      </c>
    </row>
    <row r="6438">
      <c r="A6438" s="10" t="s">
        <v>40178</v>
      </c>
      <c r="B6438" s="10" t="s">
        <v>40179</v>
      </c>
      <c r="C6438" s="10" t="s">
        <v>40180</v>
      </c>
      <c r="D6438" s="10" t="s">
        <v>40181</v>
      </c>
      <c r="E6438" s="10" t="s">
        <v>39743</v>
      </c>
      <c r="F6438" s="10" t="s">
        <v>29</v>
      </c>
      <c r="G6438" s="10" t="s">
        <v>40182</v>
      </c>
      <c r="H6438" s="11">
        <v>3.0</v>
      </c>
      <c r="I6438" s="11">
        <v>7.0</v>
      </c>
      <c r="J6438" s="11">
        <v>1.0</v>
      </c>
      <c r="K6438" s="11">
        <v>3.0</v>
      </c>
      <c r="L6438" s="12" t="s">
        <v>39765</v>
      </c>
      <c r="M6438" s="10" t="s">
        <v>40183</v>
      </c>
      <c r="N6438" s="10" t="s">
        <v>155</v>
      </c>
      <c r="O6438" s="12" t="s">
        <v>156</v>
      </c>
      <c r="P6438" s="10" t="s">
        <v>31</v>
      </c>
      <c r="Q6438" s="10" t="s">
        <v>31</v>
      </c>
      <c r="R6438" s="10" t="s">
        <v>64</v>
      </c>
      <c r="S6438" s="12" t="s">
        <v>39747</v>
      </c>
      <c r="T6438" s="10" t="s">
        <v>66</v>
      </c>
      <c r="U6438" s="12" t="s">
        <v>31</v>
      </c>
      <c r="V6438" s="10" t="s">
        <v>29</v>
      </c>
      <c r="W6438" s="10" t="s">
        <v>39743</v>
      </c>
      <c r="X6438" s="13" t="str">
        <f>HYPERLINK("https://my.pitchbook.com?p=226247-05P","View People Online")</f>
        <v>View People Online</v>
      </c>
    </row>
    <row r="6439">
      <c r="A6439" s="6" t="s">
        <v>40184</v>
      </c>
      <c r="B6439" s="6" t="s">
        <v>40185</v>
      </c>
      <c r="C6439" s="6" t="s">
        <v>24384</v>
      </c>
      <c r="D6439" s="6" t="s">
        <v>3354</v>
      </c>
      <c r="E6439" s="6" t="s">
        <v>39743</v>
      </c>
      <c r="F6439" s="6" t="s">
        <v>81</v>
      </c>
      <c r="G6439" s="6" t="s">
        <v>40186</v>
      </c>
      <c r="H6439" s="7">
        <v>2.0</v>
      </c>
      <c r="I6439" s="7">
        <v>4.0</v>
      </c>
      <c r="J6439" s="7" t="s">
        <v>31</v>
      </c>
      <c r="K6439" s="7" t="s">
        <v>31</v>
      </c>
      <c r="L6439" s="8" t="s">
        <v>40187</v>
      </c>
      <c r="M6439" s="6" t="s">
        <v>31</v>
      </c>
      <c r="N6439" s="6" t="s">
        <v>1109</v>
      </c>
      <c r="O6439" s="8" t="s">
        <v>1110</v>
      </c>
      <c r="P6439" s="6" t="s">
        <v>40188</v>
      </c>
      <c r="Q6439" s="6" t="s">
        <v>15996</v>
      </c>
      <c r="R6439" s="6" t="s">
        <v>1112</v>
      </c>
      <c r="S6439" s="8" t="s">
        <v>40189</v>
      </c>
      <c r="T6439" s="6" t="s">
        <v>66</v>
      </c>
      <c r="U6439" s="8" t="s">
        <v>31</v>
      </c>
      <c r="V6439" s="6" t="s">
        <v>31948</v>
      </c>
      <c r="W6439" s="6" t="s">
        <v>40190</v>
      </c>
      <c r="X6439" s="9" t="str">
        <f>HYPERLINK("https://my.pitchbook.com?p=276332-14P","View People Online")</f>
        <v>View People Online</v>
      </c>
    </row>
    <row r="6440">
      <c r="A6440" s="10" t="s">
        <v>40191</v>
      </c>
      <c r="B6440" s="10" t="s">
        <v>40192</v>
      </c>
      <c r="C6440" s="10" t="s">
        <v>226</v>
      </c>
      <c r="D6440" s="10" t="s">
        <v>40193</v>
      </c>
      <c r="E6440" s="10" t="s">
        <v>39743</v>
      </c>
      <c r="F6440" s="10" t="s">
        <v>29</v>
      </c>
      <c r="G6440" s="10" t="s">
        <v>40194</v>
      </c>
      <c r="H6440" s="11" t="s">
        <v>31</v>
      </c>
      <c r="I6440" s="11">
        <v>1.0</v>
      </c>
      <c r="J6440" s="11">
        <v>1.0</v>
      </c>
      <c r="K6440" s="11" t="s">
        <v>31</v>
      </c>
      <c r="L6440" s="12" t="s">
        <v>39765</v>
      </c>
      <c r="M6440" s="10" t="s">
        <v>40195</v>
      </c>
      <c r="N6440" s="10" t="s">
        <v>155</v>
      </c>
      <c r="O6440" s="12" t="s">
        <v>156</v>
      </c>
      <c r="P6440" s="10" t="s">
        <v>31</v>
      </c>
      <c r="Q6440" s="10" t="s">
        <v>31</v>
      </c>
      <c r="R6440" s="10" t="s">
        <v>64</v>
      </c>
      <c r="S6440" s="12" t="s">
        <v>39747</v>
      </c>
      <c r="T6440" s="10" t="s">
        <v>66</v>
      </c>
      <c r="U6440" s="12" t="s">
        <v>31</v>
      </c>
      <c r="V6440" s="10" t="s">
        <v>40196</v>
      </c>
      <c r="W6440" s="10" t="s">
        <v>39743</v>
      </c>
      <c r="X6440" s="13" t="str">
        <f>HYPERLINK("https://my.pitchbook.com?p=426240-10P","View People Online")</f>
        <v>View People Online</v>
      </c>
    </row>
    <row r="6441">
      <c r="A6441" s="6" t="s">
        <v>40197</v>
      </c>
      <c r="B6441" s="6" t="s">
        <v>40198</v>
      </c>
      <c r="C6441" s="6" t="s">
        <v>1410</v>
      </c>
      <c r="D6441" s="6" t="s">
        <v>40199</v>
      </c>
      <c r="E6441" s="6" t="s">
        <v>40200</v>
      </c>
      <c r="F6441" s="6" t="s">
        <v>583</v>
      </c>
      <c r="G6441" s="6" t="s">
        <v>40201</v>
      </c>
      <c r="H6441" s="7">
        <v>2.0</v>
      </c>
      <c r="I6441" s="7">
        <v>3.0</v>
      </c>
      <c r="J6441" s="7">
        <v>1.0</v>
      </c>
      <c r="K6441" s="7" t="s">
        <v>31</v>
      </c>
      <c r="L6441" s="8" t="s">
        <v>40202</v>
      </c>
      <c r="M6441" s="6" t="s">
        <v>40203</v>
      </c>
      <c r="N6441" s="6" t="s">
        <v>6669</v>
      </c>
      <c r="O6441" s="8" t="s">
        <v>6670</v>
      </c>
      <c r="P6441" s="6" t="s">
        <v>40204</v>
      </c>
      <c r="Q6441" s="6" t="s">
        <v>31</v>
      </c>
      <c r="R6441" s="6" t="s">
        <v>1185</v>
      </c>
      <c r="S6441" s="8" t="s">
        <v>6672</v>
      </c>
      <c r="T6441" s="6" t="s">
        <v>66</v>
      </c>
      <c r="U6441" s="8" t="s">
        <v>31</v>
      </c>
      <c r="V6441" s="6" t="s">
        <v>583</v>
      </c>
      <c r="W6441" s="6" t="s">
        <v>40200</v>
      </c>
      <c r="X6441" s="9" t="str">
        <f>HYPERLINK("https://my.pitchbook.com?p=145204-57P","View People Online")</f>
        <v>View People Online</v>
      </c>
    </row>
    <row r="6442">
      <c r="A6442" s="10" t="s">
        <v>40205</v>
      </c>
      <c r="B6442" s="10" t="s">
        <v>40206</v>
      </c>
      <c r="C6442" s="10" t="s">
        <v>40207</v>
      </c>
      <c r="D6442" s="10" t="s">
        <v>10215</v>
      </c>
      <c r="E6442" s="10" t="s">
        <v>40200</v>
      </c>
      <c r="F6442" s="10" t="s">
        <v>221</v>
      </c>
      <c r="G6442" s="10" t="s">
        <v>40208</v>
      </c>
      <c r="H6442" s="11" t="s">
        <v>31</v>
      </c>
      <c r="I6442" s="11">
        <v>1.0</v>
      </c>
      <c r="J6442" s="11">
        <v>1.0</v>
      </c>
      <c r="K6442" s="11" t="s">
        <v>31</v>
      </c>
      <c r="L6442" s="12" t="s">
        <v>40209</v>
      </c>
      <c r="M6442" s="10" t="s">
        <v>40210</v>
      </c>
      <c r="N6442" s="10" t="s">
        <v>6669</v>
      </c>
      <c r="O6442" s="12" t="s">
        <v>6670</v>
      </c>
      <c r="P6442" s="10" t="s">
        <v>40204</v>
      </c>
      <c r="Q6442" s="10" t="s">
        <v>31</v>
      </c>
      <c r="R6442" s="10" t="s">
        <v>1185</v>
      </c>
      <c r="S6442" s="12" t="s">
        <v>6672</v>
      </c>
      <c r="T6442" s="10" t="s">
        <v>66</v>
      </c>
      <c r="U6442" s="12" t="s">
        <v>31</v>
      </c>
      <c r="V6442" s="10" t="s">
        <v>40211</v>
      </c>
      <c r="W6442" s="10" t="s">
        <v>40200</v>
      </c>
      <c r="X6442" s="13" t="str">
        <f>HYPERLINK("https://my.pitchbook.com?p=344864-53P","View People Online")</f>
        <v>View People Online</v>
      </c>
    </row>
    <row r="6443">
      <c r="A6443" s="14" t="s">
        <v>40212</v>
      </c>
      <c r="B6443" s="14" t="s">
        <v>40213</v>
      </c>
      <c r="C6443" s="14" t="s">
        <v>27651</v>
      </c>
      <c r="D6443" s="14" t="s">
        <v>40214</v>
      </c>
      <c r="E6443" s="14" t="s">
        <v>40200</v>
      </c>
      <c r="F6443" s="14" t="s">
        <v>270</v>
      </c>
      <c r="G6443" s="14" t="s">
        <v>40215</v>
      </c>
      <c r="H6443" s="15" t="s">
        <v>31</v>
      </c>
      <c r="I6443" s="15">
        <v>1.0</v>
      </c>
      <c r="J6443" s="15">
        <v>1.0</v>
      </c>
      <c r="K6443" s="15" t="s">
        <v>31</v>
      </c>
      <c r="L6443" s="16" t="s">
        <v>40202</v>
      </c>
      <c r="M6443" s="14" t="s">
        <v>40216</v>
      </c>
      <c r="N6443" s="14" t="s">
        <v>6669</v>
      </c>
      <c r="O6443" s="16" t="s">
        <v>6670</v>
      </c>
      <c r="P6443" s="14" t="s">
        <v>40204</v>
      </c>
      <c r="Q6443" s="14" t="s">
        <v>31</v>
      </c>
      <c r="R6443" s="14" t="s">
        <v>1185</v>
      </c>
      <c r="S6443" s="16" t="s">
        <v>6672</v>
      </c>
      <c r="T6443" s="14" t="s">
        <v>66</v>
      </c>
      <c r="U6443" s="16" t="s">
        <v>31</v>
      </c>
      <c r="V6443" s="14" t="s">
        <v>40217</v>
      </c>
      <c r="W6443" s="14" t="s">
        <v>40200</v>
      </c>
      <c r="X6443" s="17" t="str">
        <f>HYPERLINK("https://my.pitchbook.com?p=388434-88P","View People Online")</f>
        <v>View People Online</v>
      </c>
    </row>
    <row r="6444">
      <c r="A6444" s="10" t="s">
        <v>40218</v>
      </c>
      <c r="B6444" s="10" t="s">
        <v>40219</v>
      </c>
      <c r="C6444" s="10" t="s">
        <v>1146</v>
      </c>
      <c r="D6444" s="10" t="s">
        <v>40220</v>
      </c>
      <c r="E6444" s="10" t="s">
        <v>40200</v>
      </c>
      <c r="F6444" s="10" t="s">
        <v>548</v>
      </c>
      <c r="G6444" s="10" t="s">
        <v>40221</v>
      </c>
      <c r="H6444" s="11" t="s">
        <v>31</v>
      </c>
      <c r="I6444" s="11">
        <v>1.0</v>
      </c>
      <c r="J6444" s="11">
        <v>1.0</v>
      </c>
      <c r="K6444" s="11" t="s">
        <v>31</v>
      </c>
      <c r="L6444" s="12" t="s">
        <v>40222</v>
      </c>
      <c r="M6444" s="10" t="s">
        <v>40223</v>
      </c>
      <c r="N6444" s="10" t="s">
        <v>6669</v>
      </c>
      <c r="O6444" s="12" t="s">
        <v>6670</v>
      </c>
      <c r="P6444" s="10" t="s">
        <v>40204</v>
      </c>
      <c r="Q6444" s="10" t="s">
        <v>31</v>
      </c>
      <c r="R6444" s="10" t="s">
        <v>1185</v>
      </c>
      <c r="S6444" s="12" t="s">
        <v>6672</v>
      </c>
      <c r="T6444" s="10" t="s">
        <v>66</v>
      </c>
      <c r="U6444" s="12" t="s">
        <v>31</v>
      </c>
      <c r="V6444" s="10" t="s">
        <v>9351</v>
      </c>
      <c r="W6444" s="10" t="s">
        <v>40200</v>
      </c>
      <c r="X6444" s="13" t="str">
        <f>HYPERLINK("https://my.pitchbook.com?p=313176-61P","View People Online")</f>
        <v>View People Online</v>
      </c>
    </row>
    <row r="6445">
      <c r="A6445" s="14" t="s">
        <v>40224</v>
      </c>
      <c r="B6445" s="14" t="s">
        <v>40225</v>
      </c>
      <c r="C6445" s="14" t="s">
        <v>4404</v>
      </c>
      <c r="D6445" s="14" t="s">
        <v>7090</v>
      </c>
      <c r="E6445" s="14" t="s">
        <v>40200</v>
      </c>
      <c r="F6445" s="14" t="s">
        <v>28089</v>
      </c>
      <c r="G6445" s="14" t="s">
        <v>40226</v>
      </c>
      <c r="H6445" s="15" t="s">
        <v>31</v>
      </c>
      <c r="I6445" s="15">
        <v>1.0</v>
      </c>
      <c r="J6445" s="15">
        <v>1.0</v>
      </c>
      <c r="K6445" s="15" t="s">
        <v>31</v>
      </c>
      <c r="L6445" s="16" t="s">
        <v>40202</v>
      </c>
      <c r="M6445" s="14" t="s">
        <v>40227</v>
      </c>
      <c r="N6445" s="14" t="s">
        <v>6669</v>
      </c>
      <c r="O6445" s="16" t="s">
        <v>6670</v>
      </c>
      <c r="P6445" s="14" t="s">
        <v>40204</v>
      </c>
      <c r="Q6445" s="14" t="s">
        <v>31</v>
      </c>
      <c r="R6445" s="14" t="s">
        <v>1185</v>
      </c>
      <c r="S6445" s="16" t="s">
        <v>6672</v>
      </c>
      <c r="T6445" s="14" t="s">
        <v>66</v>
      </c>
      <c r="U6445" s="16" t="s">
        <v>31</v>
      </c>
      <c r="V6445" s="14" t="s">
        <v>28089</v>
      </c>
      <c r="W6445" s="14" t="s">
        <v>40200</v>
      </c>
      <c r="X6445" s="17" t="str">
        <f>HYPERLINK("https://my.pitchbook.com?p=423541-45P","View People Online")</f>
        <v>View People Online</v>
      </c>
    </row>
    <row r="6446">
      <c r="A6446" s="2" t="s">
        <v>40228</v>
      </c>
      <c r="B6446" s="2" t="s">
        <v>40229</v>
      </c>
      <c r="C6446" s="2" t="s">
        <v>1343</v>
      </c>
      <c r="D6446" s="2" t="s">
        <v>5155</v>
      </c>
      <c r="E6446" s="2" t="s">
        <v>40200</v>
      </c>
      <c r="F6446" s="2" t="s">
        <v>270</v>
      </c>
      <c r="G6446" s="2" t="s">
        <v>40230</v>
      </c>
      <c r="H6446" s="3" t="s">
        <v>31</v>
      </c>
      <c r="I6446" s="3">
        <v>2.0</v>
      </c>
      <c r="J6446" s="3">
        <v>1.0</v>
      </c>
      <c r="K6446" s="3">
        <v>1.0</v>
      </c>
      <c r="L6446" s="4" t="s">
        <v>40202</v>
      </c>
      <c r="M6446" s="2" t="s">
        <v>31</v>
      </c>
      <c r="N6446" s="2" t="s">
        <v>6669</v>
      </c>
      <c r="O6446" s="4" t="s">
        <v>6670</v>
      </c>
      <c r="P6446" s="2" t="s">
        <v>40204</v>
      </c>
      <c r="Q6446" s="2" t="s">
        <v>31</v>
      </c>
      <c r="R6446" s="2" t="s">
        <v>1185</v>
      </c>
      <c r="S6446" s="4" t="s">
        <v>6672</v>
      </c>
      <c r="T6446" s="2" t="s">
        <v>66</v>
      </c>
      <c r="U6446" s="4" t="s">
        <v>31</v>
      </c>
      <c r="V6446" s="2" t="s">
        <v>1956</v>
      </c>
      <c r="W6446" s="2" t="s">
        <v>40200</v>
      </c>
      <c r="X6446" s="5" t="str">
        <f>HYPERLINK("https://my.pitchbook.com?p=424244-62P","View People Online")</f>
        <v>View People Online</v>
      </c>
    </row>
    <row r="6447">
      <c r="A6447" s="14" t="s">
        <v>40231</v>
      </c>
      <c r="B6447" s="14" t="s">
        <v>40232</v>
      </c>
      <c r="C6447" s="14" t="s">
        <v>40233</v>
      </c>
      <c r="D6447" s="14" t="s">
        <v>40234</v>
      </c>
      <c r="E6447" s="14" t="s">
        <v>40200</v>
      </c>
      <c r="F6447" s="14" t="s">
        <v>10566</v>
      </c>
      <c r="G6447" s="14" t="s">
        <v>40235</v>
      </c>
      <c r="H6447" s="15" t="s">
        <v>31</v>
      </c>
      <c r="I6447" s="15">
        <v>1.0</v>
      </c>
      <c r="J6447" s="15">
        <v>1.0</v>
      </c>
      <c r="K6447" s="15" t="s">
        <v>31</v>
      </c>
      <c r="L6447" s="16" t="s">
        <v>40236</v>
      </c>
      <c r="M6447" s="14" t="s">
        <v>40237</v>
      </c>
      <c r="N6447" s="14" t="s">
        <v>6669</v>
      </c>
      <c r="O6447" s="16" t="s">
        <v>6670</v>
      </c>
      <c r="P6447" s="14" t="s">
        <v>40204</v>
      </c>
      <c r="Q6447" s="14" t="s">
        <v>31</v>
      </c>
      <c r="R6447" s="14" t="s">
        <v>1185</v>
      </c>
      <c r="S6447" s="16" t="s">
        <v>6672</v>
      </c>
      <c r="T6447" s="14" t="s">
        <v>66</v>
      </c>
      <c r="U6447" s="16" t="s">
        <v>31</v>
      </c>
      <c r="V6447" s="14" t="s">
        <v>40238</v>
      </c>
      <c r="W6447" s="14" t="s">
        <v>40200</v>
      </c>
      <c r="X6447" s="17" t="str">
        <f>HYPERLINK("https://my.pitchbook.com?p=165106-90P","View People Online")</f>
        <v>View People Online</v>
      </c>
    </row>
    <row r="6448">
      <c r="A6448" s="10" t="s">
        <v>40239</v>
      </c>
      <c r="B6448" s="10" t="s">
        <v>40240</v>
      </c>
      <c r="C6448" s="10" t="s">
        <v>1502</v>
      </c>
      <c r="D6448" s="10" t="s">
        <v>40241</v>
      </c>
      <c r="E6448" s="10" t="s">
        <v>40200</v>
      </c>
      <c r="F6448" s="10" t="s">
        <v>40242</v>
      </c>
      <c r="G6448" s="10" t="s">
        <v>40243</v>
      </c>
      <c r="H6448" s="11" t="s">
        <v>31</v>
      </c>
      <c r="I6448" s="11">
        <v>2.0</v>
      </c>
      <c r="J6448" s="11">
        <v>2.0</v>
      </c>
      <c r="K6448" s="11" t="s">
        <v>31</v>
      </c>
      <c r="L6448" s="12" t="s">
        <v>40202</v>
      </c>
      <c r="M6448" s="10" t="s">
        <v>40244</v>
      </c>
      <c r="N6448" s="10" t="s">
        <v>6669</v>
      </c>
      <c r="O6448" s="12" t="s">
        <v>6670</v>
      </c>
      <c r="P6448" s="10" t="s">
        <v>40204</v>
      </c>
      <c r="Q6448" s="10" t="s">
        <v>31</v>
      </c>
      <c r="R6448" s="10" t="s">
        <v>1185</v>
      </c>
      <c r="S6448" s="12" t="s">
        <v>6672</v>
      </c>
      <c r="T6448" s="10" t="s">
        <v>66</v>
      </c>
      <c r="U6448" s="12" t="s">
        <v>31</v>
      </c>
      <c r="V6448" s="10" t="s">
        <v>40245</v>
      </c>
      <c r="W6448" s="10" t="s">
        <v>40200</v>
      </c>
      <c r="X6448" s="13" t="str">
        <f>HYPERLINK("https://my.pitchbook.com?p=108145-45P","View People Online")</f>
        <v>View People Online</v>
      </c>
    </row>
    <row r="6449">
      <c r="A6449" s="14" t="s">
        <v>40246</v>
      </c>
      <c r="B6449" s="14" t="s">
        <v>40247</v>
      </c>
      <c r="C6449" s="14" t="s">
        <v>13094</v>
      </c>
      <c r="D6449" s="14" t="s">
        <v>40248</v>
      </c>
      <c r="E6449" s="14" t="s">
        <v>40200</v>
      </c>
      <c r="F6449" s="14" t="s">
        <v>3740</v>
      </c>
      <c r="G6449" s="14" t="s">
        <v>40249</v>
      </c>
      <c r="H6449" s="15" t="s">
        <v>31</v>
      </c>
      <c r="I6449" s="15">
        <v>1.0</v>
      </c>
      <c r="J6449" s="15">
        <v>1.0</v>
      </c>
      <c r="K6449" s="15" t="s">
        <v>31</v>
      </c>
      <c r="L6449" s="16" t="s">
        <v>40202</v>
      </c>
      <c r="M6449" s="14" t="s">
        <v>40250</v>
      </c>
      <c r="N6449" s="14" t="s">
        <v>6669</v>
      </c>
      <c r="O6449" s="16" t="s">
        <v>6670</v>
      </c>
      <c r="P6449" s="14" t="s">
        <v>40204</v>
      </c>
      <c r="Q6449" s="14" t="s">
        <v>31</v>
      </c>
      <c r="R6449" s="14" t="s">
        <v>1185</v>
      </c>
      <c r="S6449" s="16" t="s">
        <v>6672</v>
      </c>
      <c r="T6449" s="14" t="s">
        <v>66</v>
      </c>
      <c r="U6449" s="16" t="s">
        <v>31</v>
      </c>
      <c r="V6449" s="14" t="s">
        <v>3740</v>
      </c>
      <c r="W6449" s="14" t="s">
        <v>40200</v>
      </c>
      <c r="X6449" s="17" t="str">
        <f>HYPERLINK("https://my.pitchbook.com?p=405909-28P","View People Online")</f>
        <v>View People Online</v>
      </c>
    </row>
    <row r="6450">
      <c r="A6450" s="2" t="s">
        <v>40251</v>
      </c>
      <c r="B6450" s="2" t="s">
        <v>40252</v>
      </c>
      <c r="C6450" s="2" t="s">
        <v>126</v>
      </c>
      <c r="D6450" s="2" t="s">
        <v>8362</v>
      </c>
      <c r="E6450" s="2" t="s">
        <v>40200</v>
      </c>
      <c r="F6450" s="2" t="s">
        <v>270</v>
      </c>
      <c r="G6450" s="2" t="s">
        <v>40253</v>
      </c>
      <c r="H6450" s="3" t="s">
        <v>31</v>
      </c>
      <c r="I6450" s="3">
        <v>1.0</v>
      </c>
      <c r="J6450" s="3">
        <v>1.0</v>
      </c>
      <c r="K6450" s="3" t="s">
        <v>31</v>
      </c>
      <c r="L6450" s="4" t="s">
        <v>40254</v>
      </c>
      <c r="M6450" s="2" t="s">
        <v>40255</v>
      </c>
      <c r="N6450" s="2" t="s">
        <v>6669</v>
      </c>
      <c r="O6450" s="4" t="s">
        <v>6670</v>
      </c>
      <c r="P6450" s="2" t="s">
        <v>40204</v>
      </c>
      <c r="Q6450" s="2" t="s">
        <v>31</v>
      </c>
      <c r="R6450" s="2" t="s">
        <v>1185</v>
      </c>
      <c r="S6450" s="4" t="s">
        <v>6672</v>
      </c>
      <c r="T6450" s="2" t="s">
        <v>66</v>
      </c>
      <c r="U6450" s="4" t="s">
        <v>31</v>
      </c>
      <c r="V6450" s="2" t="s">
        <v>40256</v>
      </c>
      <c r="W6450" s="2" t="s">
        <v>40200</v>
      </c>
      <c r="X6450" s="5" t="str">
        <f>HYPERLINK("https://my.pitchbook.com?p=304515-28P","View People Online")</f>
        <v>View People Online</v>
      </c>
    </row>
    <row r="6451">
      <c r="A6451" s="14" t="s">
        <v>40257</v>
      </c>
      <c r="B6451" s="14" t="s">
        <v>40258</v>
      </c>
      <c r="C6451" s="14" t="s">
        <v>25209</v>
      </c>
      <c r="D6451" s="14" t="s">
        <v>40259</v>
      </c>
      <c r="E6451" s="14" t="s">
        <v>40200</v>
      </c>
      <c r="F6451" s="14" t="s">
        <v>5031</v>
      </c>
      <c r="G6451" s="14" t="s">
        <v>40260</v>
      </c>
      <c r="H6451" s="15" t="s">
        <v>31</v>
      </c>
      <c r="I6451" s="15">
        <v>2.0</v>
      </c>
      <c r="J6451" s="15">
        <v>2.0</v>
      </c>
      <c r="K6451" s="15" t="s">
        <v>31</v>
      </c>
      <c r="L6451" s="16" t="s">
        <v>40202</v>
      </c>
      <c r="M6451" s="14" t="s">
        <v>40261</v>
      </c>
      <c r="N6451" s="14" t="s">
        <v>6669</v>
      </c>
      <c r="O6451" s="16" t="s">
        <v>6670</v>
      </c>
      <c r="P6451" s="14" t="s">
        <v>40204</v>
      </c>
      <c r="Q6451" s="14" t="s">
        <v>31</v>
      </c>
      <c r="R6451" s="14" t="s">
        <v>1185</v>
      </c>
      <c r="S6451" s="16" t="s">
        <v>6672</v>
      </c>
      <c r="T6451" s="14" t="s">
        <v>66</v>
      </c>
      <c r="U6451" s="16" t="s">
        <v>31</v>
      </c>
      <c r="V6451" s="14" t="s">
        <v>40262</v>
      </c>
      <c r="W6451" s="14" t="s">
        <v>40200</v>
      </c>
      <c r="X6451" s="17" t="str">
        <f>HYPERLINK("https://my.pitchbook.com?p=351326-71P","View People Online")</f>
        <v>View People Online</v>
      </c>
    </row>
    <row r="6452">
      <c r="A6452" s="2" t="s">
        <v>40263</v>
      </c>
      <c r="B6452" s="2" t="s">
        <v>40264</v>
      </c>
      <c r="C6452" s="2" t="s">
        <v>40265</v>
      </c>
      <c r="D6452" s="2" t="s">
        <v>39199</v>
      </c>
      <c r="E6452" s="2" t="s">
        <v>40200</v>
      </c>
      <c r="F6452" s="2" t="s">
        <v>13073</v>
      </c>
      <c r="G6452" s="2" t="s">
        <v>40266</v>
      </c>
      <c r="H6452" s="3" t="s">
        <v>31</v>
      </c>
      <c r="I6452" s="3">
        <v>1.0</v>
      </c>
      <c r="J6452" s="3">
        <v>1.0</v>
      </c>
      <c r="K6452" s="3" t="s">
        <v>31</v>
      </c>
      <c r="L6452" s="4" t="s">
        <v>40267</v>
      </c>
      <c r="M6452" s="2" t="s">
        <v>40268</v>
      </c>
      <c r="N6452" s="2" t="s">
        <v>6669</v>
      </c>
      <c r="O6452" s="4" t="s">
        <v>6670</v>
      </c>
      <c r="P6452" s="2" t="s">
        <v>40204</v>
      </c>
      <c r="Q6452" s="2" t="s">
        <v>31</v>
      </c>
      <c r="R6452" s="2" t="s">
        <v>1185</v>
      </c>
      <c r="S6452" s="4" t="s">
        <v>6672</v>
      </c>
      <c r="T6452" s="2" t="s">
        <v>66</v>
      </c>
      <c r="U6452" s="4" t="s">
        <v>31</v>
      </c>
      <c r="V6452" s="2" t="s">
        <v>28032</v>
      </c>
      <c r="W6452" s="2" t="s">
        <v>40200</v>
      </c>
      <c r="X6452" s="5" t="str">
        <f>HYPERLINK("https://my.pitchbook.com?p=313174-63P","View People Online")</f>
        <v>View People Online</v>
      </c>
    </row>
    <row r="6453">
      <c r="A6453" s="14" t="s">
        <v>40269</v>
      </c>
      <c r="B6453" s="14" t="s">
        <v>40270</v>
      </c>
      <c r="C6453" s="14" t="s">
        <v>40271</v>
      </c>
      <c r="D6453" s="14" t="s">
        <v>40272</v>
      </c>
      <c r="E6453" s="14" t="s">
        <v>40273</v>
      </c>
      <c r="F6453" s="14" t="s">
        <v>318</v>
      </c>
      <c r="G6453" s="14" t="s">
        <v>40274</v>
      </c>
      <c r="H6453" s="15" t="s">
        <v>31</v>
      </c>
      <c r="I6453" s="15">
        <v>2.0</v>
      </c>
      <c r="J6453" s="15">
        <v>1.0</v>
      </c>
      <c r="K6453" s="15" t="s">
        <v>31</v>
      </c>
      <c r="L6453" s="16" t="s">
        <v>31</v>
      </c>
      <c r="M6453" s="14" t="s">
        <v>40275</v>
      </c>
      <c r="N6453" s="14" t="s">
        <v>34</v>
      </c>
      <c r="O6453" s="16" t="s">
        <v>35</v>
      </c>
      <c r="P6453" s="14" t="s">
        <v>31</v>
      </c>
      <c r="Q6453" s="14" t="s">
        <v>31</v>
      </c>
      <c r="R6453" s="14" t="s">
        <v>31</v>
      </c>
      <c r="S6453" s="16" t="s">
        <v>31</v>
      </c>
      <c r="T6453" s="14" t="s">
        <v>38</v>
      </c>
      <c r="U6453" s="16" t="s">
        <v>31</v>
      </c>
      <c r="V6453" s="14" t="s">
        <v>40276</v>
      </c>
      <c r="W6453" s="14" t="s">
        <v>40273</v>
      </c>
      <c r="X6453" s="17" t="str">
        <f>HYPERLINK("https://my.pitchbook.com?p=440983-54P","View People Online")</f>
        <v>View People Online</v>
      </c>
    </row>
    <row r="6454">
      <c r="A6454" s="2" t="s">
        <v>40277</v>
      </c>
      <c r="B6454" s="2" t="s">
        <v>40278</v>
      </c>
      <c r="C6454" s="2" t="s">
        <v>31099</v>
      </c>
      <c r="D6454" s="2" t="s">
        <v>40279</v>
      </c>
      <c r="E6454" s="2" t="s">
        <v>40273</v>
      </c>
      <c r="F6454" s="2" t="s">
        <v>502</v>
      </c>
      <c r="G6454" s="2" t="s">
        <v>40280</v>
      </c>
      <c r="H6454" s="3" t="s">
        <v>31</v>
      </c>
      <c r="I6454" s="3">
        <v>1.0</v>
      </c>
      <c r="J6454" s="3">
        <v>1.0</v>
      </c>
      <c r="K6454" s="3" t="s">
        <v>31</v>
      </c>
      <c r="L6454" s="4" t="s">
        <v>31</v>
      </c>
      <c r="M6454" s="2" t="s">
        <v>40281</v>
      </c>
      <c r="N6454" s="2" t="s">
        <v>40282</v>
      </c>
      <c r="O6454" s="4" t="s">
        <v>40283</v>
      </c>
      <c r="P6454" s="2" t="s">
        <v>40284</v>
      </c>
      <c r="Q6454" s="2" t="s">
        <v>31</v>
      </c>
      <c r="R6454" s="2" t="s">
        <v>31</v>
      </c>
      <c r="S6454" s="4" t="s">
        <v>40285</v>
      </c>
      <c r="T6454" s="2" t="s">
        <v>3194</v>
      </c>
      <c r="U6454" s="4" t="s">
        <v>31</v>
      </c>
      <c r="V6454" s="2" t="s">
        <v>502</v>
      </c>
      <c r="W6454" s="2" t="s">
        <v>40273</v>
      </c>
      <c r="X6454" s="5" t="str">
        <f>HYPERLINK("https://my.pitchbook.com?p=440984-62P","View People Online")</f>
        <v>View People Online</v>
      </c>
    </row>
    <row r="6455">
      <c r="A6455" s="14" t="s">
        <v>40286</v>
      </c>
      <c r="B6455" s="14" t="s">
        <v>40287</v>
      </c>
      <c r="C6455" s="14" t="s">
        <v>40288</v>
      </c>
      <c r="D6455" s="14" t="s">
        <v>39787</v>
      </c>
      <c r="E6455" s="14" t="s">
        <v>40273</v>
      </c>
      <c r="F6455" s="14" t="s">
        <v>1283</v>
      </c>
      <c r="G6455" s="14" t="s">
        <v>40289</v>
      </c>
      <c r="H6455" s="15" t="s">
        <v>31</v>
      </c>
      <c r="I6455" s="15">
        <v>5.0</v>
      </c>
      <c r="J6455" s="15">
        <v>1.0</v>
      </c>
      <c r="K6455" s="15">
        <v>3.0</v>
      </c>
      <c r="L6455" s="16" t="s">
        <v>31</v>
      </c>
      <c r="M6455" s="14" t="s">
        <v>40290</v>
      </c>
      <c r="N6455" s="14" t="s">
        <v>40282</v>
      </c>
      <c r="O6455" s="16" t="s">
        <v>40283</v>
      </c>
      <c r="P6455" s="14" t="s">
        <v>40284</v>
      </c>
      <c r="Q6455" s="14" t="s">
        <v>31</v>
      </c>
      <c r="R6455" s="14" t="s">
        <v>31</v>
      </c>
      <c r="S6455" s="16" t="s">
        <v>40285</v>
      </c>
      <c r="T6455" s="14" t="s">
        <v>3194</v>
      </c>
      <c r="U6455" s="16" t="s">
        <v>31</v>
      </c>
      <c r="V6455" s="14" t="s">
        <v>40291</v>
      </c>
      <c r="W6455" s="14" t="s">
        <v>40273</v>
      </c>
      <c r="X6455" s="17" t="str">
        <f>HYPERLINK("https://my.pitchbook.com?p=166418-47P","View People Online")</f>
        <v>View People Online</v>
      </c>
    </row>
    <row r="6456">
      <c r="A6456" s="2" t="s">
        <v>40292</v>
      </c>
      <c r="B6456" s="2" t="s">
        <v>40293</v>
      </c>
      <c r="C6456" s="2" t="s">
        <v>15042</v>
      </c>
      <c r="D6456" s="2" t="s">
        <v>40294</v>
      </c>
      <c r="E6456" s="2" t="s">
        <v>40273</v>
      </c>
      <c r="F6456" s="2" t="s">
        <v>674</v>
      </c>
      <c r="G6456" s="2" t="s">
        <v>40295</v>
      </c>
      <c r="H6456" s="3">
        <v>3.0</v>
      </c>
      <c r="I6456" s="3">
        <v>16.0</v>
      </c>
      <c r="J6456" s="3">
        <v>1.0</v>
      </c>
      <c r="K6456" s="3">
        <v>8.0</v>
      </c>
      <c r="L6456" s="4" t="s">
        <v>31</v>
      </c>
      <c r="M6456" s="2" t="s">
        <v>40296</v>
      </c>
      <c r="N6456" s="2" t="s">
        <v>40282</v>
      </c>
      <c r="O6456" s="4" t="s">
        <v>40283</v>
      </c>
      <c r="P6456" s="2" t="s">
        <v>40284</v>
      </c>
      <c r="Q6456" s="2" t="s">
        <v>31</v>
      </c>
      <c r="R6456" s="2" t="s">
        <v>31</v>
      </c>
      <c r="S6456" s="4" t="s">
        <v>40285</v>
      </c>
      <c r="T6456" s="2" t="s">
        <v>3194</v>
      </c>
      <c r="U6456" s="4" t="s">
        <v>31</v>
      </c>
      <c r="V6456" s="2" t="s">
        <v>1172</v>
      </c>
      <c r="W6456" s="2" t="s">
        <v>40273</v>
      </c>
      <c r="X6456" s="5" t="str">
        <f>HYPERLINK("https://my.pitchbook.com?p=169377-67P","View People Online")</f>
        <v>View People Online</v>
      </c>
    </row>
    <row r="6457">
      <c r="A6457" s="14" t="s">
        <v>40297</v>
      </c>
      <c r="B6457" s="14" t="s">
        <v>40298</v>
      </c>
      <c r="C6457" s="14" t="s">
        <v>16709</v>
      </c>
      <c r="D6457" s="14" t="s">
        <v>40299</v>
      </c>
      <c r="E6457" s="14" t="s">
        <v>40273</v>
      </c>
      <c r="F6457" s="14" t="s">
        <v>674</v>
      </c>
      <c r="G6457" s="14" t="s">
        <v>40300</v>
      </c>
      <c r="H6457" s="15">
        <v>2.0</v>
      </c>
      <c r="I6457" s="15">
        <v>14.0</v>
      </c>
      <c r="J6457" s="15">
        <v>2.0</v>
      </c>
      <c r="K6457" s="15">
        <v>7.0</v>
      </c>
      <c r="L6457" s="16" t="s">
        <v>31</v>
      </c>
      <c r="M6457" s="14" t="s">
        <v>40301</v>
      </c>
      <c r="N6457" s="14" t="s">
        <v>40282</v>
      </c>
      <c r="O6457" s="16" t="s">
        <v>40283</v>
      </c>
      <c r="P6457" s="14" t="s">
        <v>40284</v>
      </c>
      <c r="Q6457" s="14" t="s">
        <v>31</v>
      </c>
      <c r="R6457" s="14" t="s">
        <v>31</v>
      </c>
      <c r="S6457" s="16" t="s">
        <v>40285</v>
      </c>
      <c r="T6457" s="14" t="s">
        <v>3194</v>
      </c>
      <c r="U6457" s="16" t="s">
        <v>31</v>
      </c>
      <c r="V6457" s="14" t="s">
        <v>1172</v>
      </c>
      <c r="W6457" s="14" t="s">
        <v>40273</v>
      </c>
      <c r="X6457" s="17" t="str">
        <f>HYPERLINK("https://my.pitchbook.com?p=193111-57P","View People Online")</f>
        <v>View People Online</v>
      </c>
    </row>
    <row r="6458">
      <c r="A6458" s="10" t="s">
        <v>40302</v>
      </c>
      <c r="B6458" s="10" t="s">
        <v>40303</v>
      </c>
      <c r="C6458" s="10" t="s">
        <v>11659</v>
      </c>
      <c r="D6458" s="10" t="s">
        <v>6868</v>
      </c>
      <c r="E6458" s="10" t="s">
        <v>40273</v>
      </c>
      <c r="F6458" s="10" t="s">
        <v>81</v>
      </c>
      <c r="G6458" s="10" t="s">
        <v>40304</v>
      </c>
      <c r="H6458" s="11" t="s">
        <v>31</v>
      </c>
      <c r="I6458" s="11">
        <v>6.0</v>
      </c>
      <c r="J6458" s="11">
        <v>4.0</v>
      </c>
      <c r="K6458" s="11">
        <v>1.0</v>
      </c>
      <c r="L6458" s="12" t="s">
        <v>40305</v>
      </c>
      <c r="M6458" s="10" t="s">
        <v>31</v>
      </c>
      <c r="N6458" s="10" t="s">
        <v>40306</v>
      </c>
      <c r="O6458" s="12" t="s">
        <v>40307</v>
      </c>
      <c r="P6458" s="10" t="s">
        <v>40308</v>
      </c>
      <c r="Q6458" s="10" t="s">
        <v>31</v>
      </c>
      <c r="R6458" s="10" t="s">
        <v>1112</v>
      </c>
      <c r="S6458" s="12" t="s">
        <v>40309</v>
      </c>
      <c r="T6458" s="10" t="s">
        <v>66</v>
      </c>
      <c r="U6458" s="12" t="s">
        <v>31</v>
      </c>
      <c r="V6458" s="10" t="s">
        <v>40310</v>
      </c>
      <c r="W6458" s="10" t="s">
        <v>40311</v>
      </c>
      <c r="X6458" s="13" t="str">
        <f>HYPERLINK("https://my.pitchbook.com?p=111415-06P","View People Online")</f>
        <v>View People Online</v>
      </c>
    </row>
    <row r="6459">
      <c r="A6459" s="14" t="s">
        <v>40312</v>
      </c>
      <c r="B6459" s="14" t="s">
        <v>40313</v>
      </c>
      <c r="C6459" s="14" t="s">
        <v>18876</v>
      </c>
      <c r="D6459" s="14" t="s">
        <v>4314</v>
      </c>
      <c r="E6459" s="14" t="s">
        <v>40273</v>
      </c>
      <c r="F6459" s="14" t="s">
        <v>221</v>
      </c>
      <c r="G6459" s="14" t="s">
        <v>40314</v>
      </c>
      <c r="H6459" s="15" t="s">
        <v>31</v>
      </c>
      <c r="I6459" s="15">
        <v>2.0</v>
      </c>
      <c r="J6459" s="15">
        <v>1.0</v>
      </c>
      <c r="K6459" s="15" t="s">
        <v>31</v>
      </c>
      <c r="L6459" s="16" t="s">
        <v>31</v>
      </c>
      <c r="M6459" s="14" t="s">
        <v>40315</v>
      </c>
      <c r="N6459" s="14" t="s">
        <v>34</v>
      </c>
      <c r="O6459" s="16" t="s">
        <v>35</v>
      </c>
      <c r="P6459" s="14" t="s">
        <v>31</v>
      </c>
      <c r="Q6459" s="14" t="s">
        <v>31</v>
      </c>
      <c r="R6459" s="14" t="s">
        <v>31</v>
      </c>
      <c r="S6459" s="16" t="s">
        <v>31</v>
      </c>
      <c r="T6459" s="14" t="s">
        <v>38</v>
      </c>
      <c r="U6459" s="16" t="s">
        <v>31</v>
      </c>
      <c r="V6459" s="14" t="s">
        <v>221</v>
      </c>
      <c r="W6459" s="14" t="s">
        <v>40273</v>
      </c>
      <c r="X6459" s="17" t="str">
        <f>HYPERLINK("https://my.pitchbook.com?p=440986-96P","View People Online")</f>
        <v>View People Online</v>
      </c>
    </row>
    <row r="6460">
      <c r="A6460" s="2" t="s">
        <v>40316</v>
      </c>
      <c r="B6460" s="2" t="s">
        <v>40317</v>
      </c>
      <c r="C6460" s="2" t="s">
        <v>1645</v>
      </c>
      <c r="D6460" s="2" t="s">
        <v>40318</v>
      </c>
      <c r="E6460" s="2" t="s">
        <v>40273</v>
      </c>
      <c r="F6460" s="2" t="s">
        <v>5538</v>
      </c>
      <c r="G6460" s="2" t="s">
        <v>40319</v>
      </c>
      <c r="H6460" s="3" t="s">
        <v>31</v>
      </c>
      <c r="I6460" s="3">
        <v>1.0</v>
      </c>
      <c r="J6460" s="3">
        <v>1.0</v>
      </c>
      <c r="K6460" s="3" t="s">
        <v>31</v>
      </c>
      <c r="L6460" s="4" t="s">
        <v>31</v>
      </c>
      <c r="M6460" s="2" t="s">
        <v>40320</v>
      </c>
      <c r="N6460" s="2" t="s">
        <v>40282</v>
      </c>
      <c r="O6460" s="4" t="s">
        <v>40283</v>
      </c>
      <c r="P6460" s="2" t="s">
        <v>40284</v>
      </c>
      <c r="Q6460" s="2" t="s">
        <v>31</v>
      </c>
      <c r="R6460" s="2" t="s">
        <v>31</v>
      </c>
      <c r="S6460" s="4" t="s">
        <v>40285</v>
      </c>
      <c r="T6460" s="2" t="s">
        <v>3194</v>
      </c>
      <c r="U6460" s="4" t="s">
        <v>31</v>
      </c>
      <c r="V6460" s="2" t="s">
        <v>40321</v>
      </c>
      <c r="W6460" s="2" t="s">
        <v>40273</v>
      </c>
      <c r="X6460" s="5" t="str">
        <f>HYPERLINK("https://my.pitchbook.com?p=370219-42P","View People Online")</f>
        <v>View People Online</v>
      </c>
    </row>
    <row r="6461">
      <c r="A6461" s="6" t="s">
        <v>40322</v>
      </c>
      <c r="B6461" s="6" t="s">
        <v>40323</v>
      </c>
      <c r="C6461" s="6" t="s">
        <v>20090</v>
      </c>
      <c r="D6461" s="6" t="s">
        <v>12470</v>
      </c>
      <c r="E6461" s="6" t="s">
        <v>40273</v>
      </c>
      <c r="F6461" s="6" t="s">
        <v>1283</v>
      </c>
      <c r="G6461" s="6" t="s">
        <v>40324</v>
      </c>
      <c r="H6461" s="7" t="s">
        <v>31</v>
      </c>
      <c r="I6461" s="7">
        <v>1.0</v>
      </c>
      <c r="J6461" s="7">
        <v>1.0</v>
      </c>
      <c r="K6461" s="7" t="s">
        <v>31</v>
      </c>
      <c r="L6461" s="8" t="s">
        <v>31</v>
      </c>
      <c r="M6461" s="6" t="s">
        <v>40325</v>
      </c>
      <c r="N6461" s="6" t="s">
        <v>40282</v>
      </c>
      <c r="O6461" s="8" t="s">
        <v>40283</v>
      </c>
      <c r="P6461" s="6" t="s">
        <v>40284</v>
      </c>
      <c r="Q6461" s="6" t="s">
        <v>31</v>
      </c>
      <c r="R6461" s="6" t="s">
        <v>31</v>
      </c>
      <c r="S6461" s="8" t="s">
        <v>40285</v>
      </c>
      <c r="T6461" s="6" t="s">
        <v>3194</v>
      </c>
      <c r="U6461" s="8" t="s">
        <v>31</v>
      </c>
      <c r="V6461" s="6" t="s">
        <v>40326</v>
      </c>
      <c r="W6461" s="6" t="s">
        <v>40273</v>
      </c>
      <c r="X6461" s="9" t="str">
        <f>HYPERLINK("https://my.pitchbook.com?p=447816-07P","View People Online")</f>
        <v>View People Online</v>
      </c>
    </row>
    <row r="6462">
      <c r="A6462" s="10" t="s">
        <v>40327</v>
      </c>
      <c r="B6462" s="10" t="s">
        <v>40328</v>
      </c>
      <c r="C6462" s="10" t="s">
        <v>40329</v>
      </c>
      <c r="D6462" s="10" t="s">
        <v>40330</v>
      </c>
      <c r="E6462" s="10" t="s">
        <v>40273</v>
      </c>
      <c r="F6462" s="10" t="s">
        <v>270</v>
      </c>
      <c r="G6462" s="10" t="s">
        <v>40331</v>
      </c>
      <c r="H6462" s="11" t="s">
        <v>31</v>
      </c>
      <c r="I6462" s="11">
        <v>1.0</v>
      </c>
      <c r="J6462" s="11">
        <v>1.0</v>
      </c>
      <c r="K6462" s="11" t="s">
        <v>31</v>
      </c>
      <c r="L6462" s="12" t="s">
        <v>31</v>
      </c>
      <c r="M6462" s="10" t="s">
        <v>40332</v>
      </c>
      <c r="N6462" s="10" t="s">
        <v>34</v>
      </c>
      <c r="O6462" s="12" t="s">
        <v>35</v>
      </c>
      <c r="P6462" s="10" t="s">
        <v>31</v>
      </c>
      <c r="Q6462" s="10" t="s">
        <v>31</v>
      </c>
      <c r="R6462" s="10" t="s">
        <v>31</v>
      </c>
      <c r="S6462" s="12" t="s">
        <v>31</v>
      </c>
      <c r="T6462" s="10" t="s">
        <v>38</v>
      </c>
      <c r="U6462" s="12" t="s">
        <v>31</v>
      </c>
      <c r="V6462" s="10" t="s">
        <v>662</v>
      </c>
      <c r="W6462" s="10" t="s">
        <v>40273</v>
      </c>
      <c r="X6462" s="13" t="str">
        <f>HYPERLINK("https://my.pitchbook.com?p=314948-62P","View People Online")</f>
        <v>View People Online</v>
      </c>
    </row>
    <row r="6463">
      <c r="A6463" s="6" t="s">
        <v>40333</v>
      </c>
      <c r="B6463" s="6" t="s">
        <v>40334</v>
      </c>
      <c r="C6463" s="6" t="s">
        <v>17868</v>
      </c>
      <c r="D6463" s="6" t="s">
        <v>21687</v>
      </c>
      <c r="E6463" s="6" t="s">
        <v>40273</v>
      </c>
      <c r="F6463" s="6" t="s">
        <v>318</v>
      </c>
      <c r="G6463" s="6" t="s">
        <v>40335</v>
      </c>
      <c r="H6463" s="7" t="s">
        <v>31</v>
      </c>
      <c r="I6463" s="7">
        <v>3.0</v>
      </c>
      <c r="J6463" s="7">
        <v>2.0</v>
      </c>
      <c r="K6463" s="7" t="s">
        <v>31</v>
      </c>
      <c r="L6463" s="8" t="s">
        <v>31</v>
      </c>
      <c r="M6463" s="6" t="s">
        <v>40336</v>
      </c>
      <c r="N6463" s="6" t="s">
        <v>34</v>
      </c>
      <c r="O6463" s="8" t="s">
        <v>35</v>
      </c>
      <c r="P6463" s="6" t="s">
        <v>31</v>
      </c>
      <c r="Q6463" s="6" t="s">
        <v>31</v>
      </c>
      <c r="R6463" s="6" t="s">
        <v>31</v>
      </c>
      <c r="S6463" s="8" t="s">
        <v>31</v>
      </c>
      <c r="T6463" s="6" t="s">
        <v>38</v>
      </c>
      <c r="U6463" s="8" t="s">
        <v>31</v>
      </c>
      <c r="V6463" s="6" t="s">
        <v>318</v>
      </c>
      <c r="W6463" s="6" t="s">
        <v>40273</v>
      </c>
      <c r="X6463" s="9" t="str">
        <f>HYPERLINK("https://my.pitchbook.com?p=267557-14P","View People Online")</f>
        <v>View People Online</v>
      </c>
    </row>
    <row r="6464">
      <c r="A6464" s="2" t="s">
        <v>40337</v>
      </c>
      <c r="B6464" s="2" t="s">
        <v>40338</v>
      </c>
      <c r="C6464" s="2" t="s">
        <v>1820</v>
      </c>
      <c r="D6464" s="2" t="s">
        <v>40339</v>
      </c>
      <c r="E6464" s="2" t="s">
        <v>40273</v>
      </c>
      <c r="F6464" s="2" t="s">
        <v>667</v>
      </c>
      <c r="G6464" s="2" t="s">
        <v>40340</v>
      </c>
      <c r="H6464" s="3" t="s">
        <v>31</v>
      </c>
      <c r="I6464" s="3">
        <v>2.0</v>
      </c>
      <c r="J6464" s="3">
        <v>1.0</v>
      </c>
      <c r="K6464" s="3" t="s">
        <v>31</v>
      </c>
      <c r="L6464" s="4" t="s">
        <v>31</v>
      </c>
      <c r="M6464" s="2" t="s">
        <v>40341</v>
      </c>
      <c r="N6464" s="2" t="s">
        <v>34</v>
      </c>
      <c r="O6464" s="4" t="s">
        <v>35</v>
      </c>
      <c r="P6464" s="2" t="s">
        <v>31</v>
      </c>
      <c r="Q6464" s="2" t="s">
        <v>31</v>
      </c>
      <c r="R6464" s="2" t="s">
        <v>31</v>
      </c>
      <c r="S6464" s="4" t="s">
        <v>31</v>
      </c>
      <c r="T6464" s="2" t="s">
        <v>38</v>
      </c>
      <c r="U6464" s="4" t="s">
        <v>31</v>
      </c>
      <c r="V6464" s="2" t="s">
        <v>25709</v>
      </c>
      <c r="W6464" s="2" t="s">
        <v>40273</v>
      </c>
      <c r="X6464" s="5" t="str">
        <f>HYPERLINK("https://my.pitchbook.com?p=378949-24P","View People Online")</f>
        <v>View People Online</v>
      </c>
    </row>
    <row r="6465">
      <c r="A6465" s="6" t="s">
        <v>40342</v>
      </c>
      <c r="B6465" s="6" t="s">
        <v>40343</v>
      </c>
      <c r="C6465" s="6" t="s">
        <v>40344</v>
      </c>
      <c r="D6465" s="6" t="s">
        <v>40345</v>
      </c>
      <c r="E6465" s="6" t="s">
        <v>40273</v>
      </c>
      <c r="F6465" s="6" t="s">
        <v>1283</v>
      </c>
      <c r="G6465" s="6" t="s">
        <v>40346</v>
      </c>
      <c r="H6465" s="7">
        <v>1.0</v>
      </c>
      <c r="I6465" s="7">
        <v>2.0</v>
      </c>
      <c r="J6465" s="7">
        <v>1.0</v>
      </c>
      <c r="K6465" s="7" t="s">
        <v>31</v>
      </c>
      <c r="L6465" s="8" t="s">
        <v>31</v>
      </c>
      <c r="M6465" s="6" t="s">
        <v>40347</v>
      </c>
      <c r="N6465" s="6" t="s">
        <v>40348</v>
      </c>
      <c r="O6465" s="8" t="s">
        <v>40349</v>
      </c>
      <c r="P6465" s="6" t="s">
        <v>40350</v>
      </c>
      <c r="Q6465" s="6" t="s">
        <v>31</v>
      </c>
      <c r="R6465" s="6" t="s">
        <v>31</v>
      </c>
      <c r="S6465" s="8" t="s">
        <v>40351</v>
      </c>
      <c r="T6465" s="6" t="s">
        <v>6315</v>
      </c>
      <c r="U6465" s="8" t="s">
        <v>31</v>
      </c>
      <c r="V6465" s="6" t="s">
        <v>1283</v>
      </c>
      <c r="W6465" s="6" t="s">
        <v>40273</v>
      </c>
      <c r="X6465" s="9" t="str">
        <f>HYPERLINK("https://my.pitchbook.com?p=302132-53P","View People Online")</f>
        <v>View People Online</v>
      </c>
    </row>
    <row r="6466">
      <c r="A6466" s="2" t="s">
        <v>40352</v>
      </c>
      <c r="B6466" s="2" t="s">
        <v>40353</v>
      </c>
      <c r="C6466" s="2" t="s">
        <v>1976</v>
      </c>
      <c r="D6466" s="2" t="s">
        <v>10412</v>
      </c>
      <c r="E6466" s="2" t="s">
        <v>40273</v>
      </c>
      <c r="F6466" s="2" t="s">
        <v>189</v>
      </c>
      <c r="G6466" s="2" t="s">
        <v>40354</v>
      </c>
      <c r="H6466" s="3" t="s">
        <v>31</v>
      </c>
      <c r="I6466" s="3">
        <v>4.0</v>
      </c>
      <c r="J6466" s="3">
        <v>2.0</v>
      </c>
      <c r="K6466" s="3">
        <v>1.0</v>
      </c>
      <c r="L6466" s="4" t="s">
        <v>40355</v>
      </c>
      <c r="M6466" s="2" t="s">
        <v>31</v>
      </c>
      <c r="N6466" s="2" t="s">
        <v>40282</v>
      </c>
      <c r="O6466" s="4" t="s">
        <v>40283</v>
      </c>
      <c r="P6466" s="2" t="s">
        <v>31</v>
      </c>
      <c r="Q6466" s="2" t="s">
        <v>31</v>
      </c>
      <c r="R6466" s="2" t="s">
        <v>31</v>
      </c>
      <c r="S6466" s="4" t="s">
        <v>31</v>
      </c>
      <c r="T6466" s="2" t="s">
        <v>3194</v>
      </c>
      <c r="U6466" s="4" t="s">
        <v>31</v>
      </c>
      <c r="V6466" s="2" t="s">
        <v>991</v>
      </c>
      <c r="W6466" s="2" t="s">
        <v>40356</v>
      </c>
      <c r="X6466" s="5" t="str">
        <f>HYPERLINK("https://my.pitchbook.com?p=193110-94P","View People Online")</f>
        <v>View People Online</v>
      </c>
    </row>
    <row r="6467">
      <c r="A6467" s="6" t="s">
        <v>40357</v>
      </c>
      <c r="B6467" s="6" t="s">
        <v>40358</v>
      </c>
      <c r="C6467" s="6" t="s">
        <v>23605</v>
      </c>
      <c r="D6467" s="6" t="s">
        <v>40359</v>
      </c>
      <c r="E6467" s="6" t="s">
        <v>40360</v>
      </c>
      <c r="F6467" s="6" t="s">
        <v>7624</v>
      </c>
      <c r="G6467" s="6" t="s">
        <v>40361</v>
      </c>
      <c r="H6467" s="7" t="s">
        <v>31</v>
      </c>
      <c r="I6467" s="7">
        <v>7.0</v>
      </c>
      <c r="J6467" s="7">
        <v>2.0</v>
      </c>
      <c r="K6467" s="7">
        <v>5.0</v>
      </c>
      <c r="L6467" s="8" t="s">
        <v>40362</v>
      </c>
      <c r="M6467" s="6" t="s">
        <v>40363</v>
      </c>
      <c r="N6467" s="6" t="s">
        <v>31</v>
      </c>
      <c r="O6467" s="8" t="s">
        <v>40364</v>
      </c>
      <c r="P6467" s="6" t="s">
        <v>31</v>
      </c>
      <c r="Q6467" s="6" t="s">
        <v>31</v>
      </c>
      <c r="R6467" s="6" t="s">
        <v>27830</v>
      </c>
      <c r="S6467" s="8" t="s">
        <v>31</v>
      </c>
      <c r="T6467" s="6" t="s">
        <v>66</v>
      </c>
      <c r="U6467" s="8" t="s">
        <v>31</v>
      </c>
      <c r="V6467" s="6" t="s">
        <v>558</v>
      </c>
      <c r="W6467" s="6" t="s">
        <v>40365</v>
      </c>
      <c r="X6467" s="9" t="str">
        <f>HYPERLINK("https://my.pitchbook.com?p=390213-01P","View People Online")</f>
        <v>View People Online</v>
      </c>
    </row>
    <row r="6468">
      <c r="A6468" s="10" t="s">
        <v>40366</v>
      </c>
      <c r="B6468" s="10" t="s">
        <v>40367</v>
      </c>
      <c r="C6468" s="10" t="s">
        <v>2688</v>
      </c>
      <c r="D6468" s="10" t="s">
        <v>740</v>
      </c>
      <c r="E6468" s="10" t="s">
        <v>40360</v>
      </c>
      <c r="F6468" s="10" t="s">
        <v>1801</v>
      </c>
      <c r="G6468" s="10" t="s">
        <v>40368</v>
      </c>
      <c r="H6468" s="11" t="s">
        <v>31</v>
      </c>
      <c r="I6468" s="11">
        <v>1.0</v>
      </c>
      <c r="J6468" s="11">
        <v>1.0</v>
      </c>
      <c r="K6468" s="11" t="s">
        <v>31</v>
      </c>
      <c r="L6468" s="12" t="s">
        <v>40369</v>
      </c>
      <c r="M6468" s="10" t="s">
        <v>40370</v>
      </c>
      <c r="N6468" s="10" t="s">
        <v>40371</v>
      </c>
      <c r="O6468" s="12" t="s">
        <v>40372</v>
      </c>
      <c r="P6468" s="10" t="s">
        <v>40373</v>
      </c>
      <c r="Q6468" s="10" t="s">
        <v>31</v>
      </c>
      <c r="R6468" s="10" t="s">
        <v>27830</v>
      </c>
      <c r="S6468" s="12" t="s">
        <v>40374</v>
      </c>
      <c r="T6468" s="10" t="s">
        <v>66</v>
      </c>
      <c r="U6468" s="12" t="s">
        <v>31</v>
      </c>
      <c r="V6468" s="10" t="s">
        <v>40375</v>
      </c>
      <c r="W6468" s="10" t="s">
        <v>40360</v>
      </c>
      <c r="X6468" s="13" t="str">
        <f>HYPERLINK("https://my.pitchbook.com?p=177195-43P","View People Online")</f>
        <v>View People Online</v>
      </c>
    </row>
    <row r="6469">
      <c r="A6469" s="14" t="s">
        <v>40376</v>
      </c>
      <c r="B6469" s="14" t="s">
        <v>40377</v>
      </c>
      <c r="C6469" s="14" t="s">
        <v>32003</v>
      </c>
      <c r="D6469" s="14" t="s">
        <v>40378</v>
      </c>
      <c r="E6469" s="14" t="s">
        <v>40379</v>
      </c>
      <c r="F6469" s="14" t="s">
        <v>3665</v>
      </c>
      <c r="G6469" s="14" t="s">
        <v>40380</v>
      </c>
      <c r="H6469" s="15" t="s">
        <v>31</v>
      </c>
      <c r="I6469" s="15">
        <v>1.0</v>
      </c>
      <c r="J6469" s="15">
        <v>1.0</v>
      </c>
      <c r="K6469" s="15" t="s">
        <v>31</v>
      </c>
      <c r="L6469" s="16" t="s">
        <v>31</v>
      </c>
      <c r="M6469" s="14" t="s">
        <v>40381</v>
      </c>
      <c r="N6469" s="14" t="s">
        <v>7761</v>
      </c>
      <c r="O6469" s="16" t="s">
        <v>7762</v>
      </c>
      <c r="P6469" s="14" t="s">
        <v>40382</v>
      </c>
      <c r="Q6469" s="14" t="s">
        <v>31</v>
      </c>
      <c r="R6469" s="14" t="s">
        <v>31</v>
      </c>
      <c r="S6469" s="16" t="s">
        <v>40383</v>
      </c>
      <c r="T6469" s="14" t="s">
        <v>796</v>
      </c>
      <c r="U6469" s="16" t="s">
        <v>31</v>
      </c>
      <c r="V6469" s="14" t="s">
        <v>3665</v>
      </c>
      <c r="W6469" s="14" t="s">
        <v>40379</v>
      </c>
      <c r="X6469" s="17" t="str">
        <f>HYPERLINK("https://my.pitchbook.com?p=386523-64P","View People Online")</f>
        <v>View People Online</v>
      </c>
    </row>
    <row r="6470">
      <c r="A6470" s="10" t="s">
        <v>40384</v>
      </c>
      <c r="B6470" s="10" t="s">
        <v>40385</v>
      </c>
      <c r="C6470" s="10" t="s">
        <v>1343</v>
      </c>
      <c r="D6470" s="10" t="s">
        <v>1571</v>
      </c>
      <c r="E6470" s="10" t="s">
        <v>40379</v>
      </c>
      <c r="F6470" s="10" t="s">
        <v>470</v>
      </c>
      <c r="G6470" s="10" t="s">
        <v>40386</v>
      </c>
      <c r="H6470" s="11" t="s">
        <v>31</v>
      </c>
      <c r="I6470" s="11">
        <v>2.0</v>
      </c>
      <c r="J6470" s="11">
        <v>1.0</v>
      </c>
      <c r="K6470" s="11">
        <v>1.0</v>
      </c>
      <c r="L6470" s="12" t="s">
        <v>31</v>
      </c>
      <c r="M6470" s="10" t="s">
        <v>40387</v>
      </c>
      <c r="N6470" s="10" t="s">
        <v>7761</v>
      </c>
      <c r="O6470" s="12" t="s">
        <v>7762</v>
      </c>
      <c r="P6470" s="10" t="s">
        <v>40382</v>
      </c>
      <c r="Q6470" s="10" t="s">
        <v>31</v>
      </c>
      <c r="R6470" s="10" t="s">
        <v>31</v>
      </c>
      <c r="S6470" s="12" t="s">
        <v>40383</v>
      </c>
      <c r="T6470" s="10" t="s">
        <v>796</v>
      </c>
      <c r="U6470" s="12" t="s">
        <v>31</v>
      </c>
      <c r="V6470" s="10" t="s">
        <v>470</v>
      </c>
      <c r="W6470" s="10" t="s">
        <v>40379</v>
      </c>
      <c r="X6470" s="13" t="str">
        <f>HYPERLINK("https://my.pitchbook.com?p=135763-57P","View People Online")</f>
        <v>View People Online</v>
      </c>
    </row>
    <row r="6471">
      <c r="A6471" s="14" t="s">
        <v>40388</v>
      </c>
      <c r="B6471" s="14" t="s">
        <v>40389</v>
      </c>
      <c r="C6471" s="14" t="s">
        <v>928</v>
      </c>
      <c r="D6471" s="14" t="s">
        <v>40390</v>
      </c>
      <c r="E6471" s="14" t="s">
        <v>40379</v>
      </c>
      <c r="F6471" s="14" t="s">
        <v>40391</v>
      </c>
      <c r="G6471" s="14" t="s">
        <v>40392</v>
      </c>
      <c r="H6471" s="15" t="s">
        <v>31</v>
      </c>
      <c r="I6471" s="15">
        <v>1.0</v>
      </c>
      <c r="J6471" s="15">
        <v>1.0</v>
      </c>
      <c r="K6471" s="15" t="s">
        <v>31</v>
      </c>
      <c r="L6471" s="16" t="s">
        <v>40393</v>
      </c>
      <c r="M6471" s="14" t="s">
        <v>40394</v>
      </c>
      <c r="N6471" s="14" t="s">
        <v>7761</v>
      </c>
      <c r="O6471" s="16" t="s">
        <v>7762</v>
      </c>
      <c r="P6471" s="14" t="s">
        <v>40382</v>
      </c>
      <c r="Q6471" s="14" t="s">
        <v>31</v>
      </c>
      <c r="R6471" s="14" t="s">
        <v>31</v>
      </c>
      <c r="S6471" s="16" t="s">
        <v>40383</v>
      </c>
      <c r="T6471" s="14" t="s">
        <v>796</v>
      </c>
      <c r="U6471" s="16" t="s">
        <v>31</v>
      </c>
      <c r="V6471" s="14" t="s">
        <v>40391</v>
      </c>
      <c r="W6471" s="14" t="s">
        <v>40379</v>
      </c>
      <c r="X6471" s="17" t="str">
        <f>HYPERLINK("https://my.pitchbook.com?p=171686-71P","View People Online")</f>
        <v>View People Online</v>
      </c>
    </row>
    <row r="6472">
      <c r="A6472" s="10" t="s">
        <v>40395</v>
      </c>
      <c r="B6472" s="10" t="s">
        <v>40396</v>
      </c>
      <c r="C6472" s="10" t="s">
        <v>3370</v>
      </c>
      <c r="D6472" s="10" t="s">
        <v>40397</v>
      </c>
      <c r="E6472" s="10" t="s">
        <v>40379</v>
      </c>
      <c r="F6472" s="10" t="s">
        <v>548</v>
      </c>
      <c r="G6472" s="10" t="s">
        <v>40398</v>
      </c>
      <c r="H6472" s="11" t="s">
        <v>31</v>
      </c>
      <c r="I6472" s="11">
        <v>1.0</v>
      </c>
      <c r="J6472" s="11">
        <v>1.0</v>
      </c>
      <c r="K6472" s="11" t="s">
        <v>31</v>
      </c>
      <c r="L6472" s="12" t="s">
        <v>31</v>
      </c>
      <c r="M6472" s="10" t="s">
        <v>40399</v>
      </c>
      <c r="N6472" s="10" t="s">
        <v>7761</v>
      </c>
      <c r="O6472" s="12" t="s">
        <v>7762</v>
      </c>
      <c r="P6472" s="10" t="s">
        <v>40382</v>
      </c>
      <c r="Q6472" s="10" t="s">
        <v>31</v>
      </c>
      <c r="R6472" s="10" t="s">
        <v>31</v>
      </c>
      <c r="S6472" s="12" t="s">
        <v>40383</v>
      </c>
      <c r="T6472" s="10" t="s">
        <v>796</v>
      </c>
      <c r="U6472" s="12" t="s">
        <v>31</v>
      </c>
      <c r="V6472" s="10" t="s">
        <v>10019</v>
      </c>
      <c r="W6472" s="10" t="s">
        <v>40379</v>
      </c>
      <c r="X6472" s="13" t="str">
        <f>HYPERLINK("https://my.pitchbook.com?p=295331-23P","View People Online")</f>
        <v>View People Online</v>
      </c>
    </row>
    <row r="6473">
      <c r="A6473" s="6" t="s">
        <v>40400</v>
      </c>
      <c r="B6473" s="6" t="s">
        <v>40401</v>
      </c>
      <c r="C6473" s="6" t="s">
        <v>40402</v>
      </c>
      <c r="D6473" s="6" t="s">
        <v>5985</v>
      </c>
      <c r="E6473" s="6" t="s">
        <v>40403</v>
      </c>
      <c r="F6473" s="6" t="s">
        <v>1283</v>
      </c>
      <c r="G6473" s="6" t="s">
        <v>40404</v>
      </c>
      <c r="H6473" s="7" t="s">
        <v>31</v>
      </c>
      <c r="I6473" s="7">
        <v>1.0</v>
      </c>
      <c r="J6473" s="7">
        <v>1.0</v>
      </c>
      <c r="K6473" s="7" t="s">
        <v>31</v>
      </c>
      <c r="L6473" s="8" t="s">
        <v>31</v>
      </c>
      <c r="M6473" s="6" t="s">
        <v>40405</v>
      </c>
      <c r="N6473" s="6" t="s">
        <v>40406</v>
      </c>
      <c r="O6473" s="8" t="s">
        <v>40407</v>
      </c>
      <c r="P6473" s="6" t="s">
        <v>40408</v>
      </c>
      <c r="Q6473" s="6" t="s">
        <v>3859</v>
      </c>
      <c r="R6473" s="6" t="s">
        <v>64</v>
      </c>
      <c r="S6473" s="8" t="s">
        <v>40409</v>
      </c>
      <c r="T6473" s="6" t="s">
        <v>66</v>
      </c>
      <c r="U6473" s="8" t="s">
        <v>31</v>
      </c>
      <c r="V6473" s="6" t="s">
        <v>40410</v>
      </c>
      <c r="W6473" s="6" t="s">
        <v>40403</v>
      </c>
      <c r="X6473" s="9" t="str">
        <f>HYPERLINK("https://my.pitchbook.com?p=130927-60P","View People Online")</f>
        <v>View People Online</v>
      </c>
    </row>
    <row r="6474">
      <c r="A6474" s="10" t="s">
        <v>40411</v>
      </c>
      <c r="B6474" s="10" t="s">
        <v>40412</v>
      </c>
      <c r="C6474" s="10" t="s">
        <v>40413</v>
      </c>
      <c r="D6474" s="10" t="s">
        <v>11737</v>
      </c>
      <c r="E6474" s="10" t="s">
        <v>40403</v>
      </c>
      <c r="F6474" s="10" t="s">
        <v>4378</v>
      </c>
      <c r="G6474" s="10" t="s">
        <v>40414</v>
      </c>
      <c r="H6474" s="11" t="s">
        <v>31</v>
      </c>
      <c r="I6474" s="11">
        <v>2.0</v>
      </c>
      <c r="J6474" s="11">
        <v>2.0</v>
      </c>
      <c r="K6474" s="11" t="s">
        <v>31</v>
      </c>
      <c r="L6474" s="12" t="s">
        <v>31</v>
      </c>
      <c r="M6474" s="10" t="s">
        <v>40415</v>
      </c>
      <c r="N6474" s="10" t="s">
        <v>40406</v>
      </c>
      <c r="O6474" s="12" t="s">
        <v>40407</v>
      </c>
      <c r="P6474" s="10" t="s">
        <v>40408</v>
      </c>
      <c r="Q6474" s="10" t="s">
        <v>3859</v>
      </c>
      <c r="R6474" s="10" t="s">
        <v>64</v>
      </c>
      <c r="S6474" s="12" t="s">
        <v>40409</v>
      </c>
      <c r="T6474" s="10" t="s">
        <v>66</v>
      </c>
      <c r="U6474" s="12" t="s">
        <v>31</v>
      </c>
      <c r="V6474" s="10" t="s">
        <v>37974</v>
      </c>
      <c r="W6474" s="10" t="s">
        <v>40403</v>
      </c>
      <c r="X6474" s="13" t="str">
        <f>HYPERLINK("https://my.pitchbook.com?p=233853-94P","View People Online")</f>
        <v>View People Online</v>
      </c>
    </row>
    <row r="6475">
      <c r="A6475" s="6" t="s">
        <v>40416</v>
      </c>
      <c r="B6475" s="6" t="s">
        <v>40417</v>
      </c>
      <c r="C6475" s="6" t="s">
        <v>11801</v>
      </c>
      <c r="D6475" s="6" t="s">
        <v>40418</v>
      </c>
      <c r="E6475" s="6" t="s">
        <v>40403</v>
      </c>
      <c r="F6475" s="6" t="s">
        <v>548</v>
      </c>
      <c r="G6475" s="6" t="s">
        <v>40419</v>
      </c>
      <c r="H6475" s="7" t="s">
        <v>31</v>
      </c>
      <c r="I6475" s="7">
        <v>1.0</v>
      </c>
      <c r="J6475" s="7">
        <v>1.0</v>
      </c>
      <c r="K6475" s="7" t="s">
        <v>31</v>
      </c>
      <c r="L6475" s="8" t="s">
        <v>31</v>
      </c>
      <c r="M6475" s="6" t="s">
        <v>40420</v>
      </c>
      <c r="N6475" s="6" t="s">
        <v>40406</v>
      </c>
      <c r="O6475" s="8" t="s">
        <v>40407</v>
      </c>
      <c r="P6475" s="6" t="s">
        <v>40408</v>
      </c>
      <c r="Q6475" s="6" t="s">
        <v>3859</v>
      </c>
      <c r="R6475" s="6" t="s">
        <v>64</v>
      </c>
      <c r="S6475" s="8" t="s">
        <v>40409</v>
      </c>
      <c r="T6475" s="6" t="s">
        <v>66</v>
      </c>
      <c r="U6475" s="8" t="s">
        <v>31</v>
      </c>
      <c r="V6475" s="6" t="s">
        <v>10019</v>
      </c>
      <c r="W6475" s="6" t="s">
        <v>40403</v>
      </c>
      <c r="X6475" s="9" t="str">
        <f>HYPERLINK("https://my.pitchbook.com?p=401886-01P","View People Online")</f>
        <v>View People Online</v>
      </c>
    </row>
    <row r="6476">
      <c r="A6476" s="2" t="s">
        <v>40421</v>
      </c>
      <c r="B6476" s="2" t="s">
        <v>40422</v>
      </c>
      <c r="C6476" s="2" t="s">
        <v>6050</v>
      </c>
      <c r="D6476" s="2" t="s">
        <v>40423</v>
      </c>
      <c r="E6476" s="2" t="s">
        <v>40403</v>
      </c>
      <c r="F6476" s="2" t="s">
        <v>583</v>
      </c>
      <c r="G6476" s="2" t="s">
        <v>40424</v>
      </c>
      <c r="H6476" s="3" t="s">
        <v>31</v>
      </c>
      <c r="I6476" s="3">
        <v>2.0</v>
      </c>
      <c r="J6476" s="3">
        <v>2.0</v>
      </c>
      <c r="K6476" s="3" t="s">
        <v>31</v>
      </c>
      <c r="L6476" s="4" t="s">
        <v>31</v>
      </c>
      <c r="M6476" s="2" t="s">
        <v>40425</v>
      </c>
      <c r="N6476" s="2" t="s">
        <v>40406</v>
      </c>
      <c r="O6476" s="4" t="s">
        <v>40407</v>
      </c>
      <c r="P6476" s="2" t="s">
        <v>40408</v>
      </c>
      <c r="Q6476" s="2" t="s">
        <v>3859</v>
      </c>
      <c r="R6476" s="2" t="s">
        <v>64</v>
      </c>
      <c r="S6476" s="4" t="s">
        <v>40409</v>
      </c>
      <c r="T6476" s="2" t="s">
        <v>66</v>
      </c>
      <c r="U6476" s="4" t="s">
        <v>31</v>
      </c>
      <c r="V6476" s="2" t="s">
        <v>583</v>
      </c>
      <c r="W6476" s="2" t="s">
        <v>40403</v>
      </c>
      <c r="X6476" s="5" t="str">
        <f>HYPERLINK("https://my.pitchbook.com?p=233851-69P","View People Online")</f>
        <v>View People Online</v>
      </c>
    </row>
    <row r="6477">
      <c r="A6477" s="14" t="s">
        <v>40426</v>
      </c>
      <c r="B6477" s="14" t="s">
        <v>33207</v>
      </c>
      <c r="C6477" s="14" t="s">
        <v>126</v>
      </c>
      <c r="D6477" s="14" t="s">
        <v>6326</v>
      </c>
      <c r="E6477" s="14" t="s">
        <v>40403</v>
      </c>
      <c r="F6477" s="14" t="s">
        <v>1544</v>
      </c>
      <c r="G6477" s="14" t="s">
        <v>40427</v>
      </c>
      <c r="H6477" s="15" t="s">
        <v>31</v>
      </c>
      <c r="I6477" s="15">
        <v>1.0</v>
      </c>
      <c r="J6477" s="15">
        <v>1.0</v>
      </c>
      <c r="K6477" s="15" t="s">
        <v>31</v>
      </c>
      <c r="L6477" s="16" t="s">
        <v>31</v>
      </c>
      <c r="M6477" s="14" t="s">
        <v>40428</v>
      </c>
      <c r="N6477" s="14" t="s">
        <v>40406</v>
      </c>
      <c r="O6477" s="16" t="s">
        <v>40407</v>
      </c>
      <c r="P6477" s="14" t="s">
        <v>40408</v>
      </c>
      <c r="Q6477" s="14" t="s">
        <v>3859</v>
      </c>
      <c r="R6477" s="14" t="s">
        <v>64</v>
      </c>
      <c r="S6477" s="16" t="s">
        <v>40409</v>
      </c>
      <c r="T6477" s="14" t="s">
        <v>66</v>
      </c>
      <c r="U6477" s="16" t="s">
        <v>31</v>
      </c>
      <c r="V6477" s="14" t="s">
        <v>1544</v>
      </c>
      <c r="W6477" s="14" t="s">
        <v>40403</v>
      </c>
      <c r="X6477" s="17" t="str">
        <f>HYPERLINK("https://my.pitchbook.com?p=249085-18P","View People Online")</f>
        <v>View People Online</v>
      </c>
    </row>
    <row r="6478">
      <c r="A6478" s="10" t="s">
        <v>40429</v>
      </c>
      <c r="B6478" s="10" t="s">
        <v>40430</v>
      </c>
      <c r="C6478" s="10" t="s">
        <v>395</v>
      </c>
      <c r="D6478" s="10" t="s">
        <v>11737</v>
      </c>
      <c r="E6478" s="10" t="s">
        <v>40403</v>
      </c>
      <c r="F6478" s="10" t="s">
        <v>4378</v>
      </c>
      <c r="G6478" s="10" t="s">
        <v>40431</v>
      </c>
      <c r="H6478" s="11">
        <v>2.0</v>
      </c>
      <c r="I6478" s="11">
        <v>6.0</v>
      </c>
      <c r="J6478" s="11">
        <v>2.0</v>
      </c>
      <c r="K6478" s="11">
        <v>1.0</v>
      </c>
      <c r="L6478" s="12" t="s">
        <v>31</v>
      </c>
      <c r="M6478" s="10" t="s">
        <v>40432</v>
      </c>
      <c r="N6478" s="10" t="s">
        <v>40406</v>
      </c>
      <c r="O6478" s="12" t="s">
        <v>40407</v>
      </c>
      <c r="P6478" s="10" t="s">
        <v>40408</v>
      </c>
      <c r="Q6478" s="10" t="s">
        <v>3859</v>
      </c>
      <c r="R6478" s="10" t="s">
        <v>64</v>
      </c>
      <c r="S6478" s="12" t="s">
        <v>40409</v>
      </c>
      <c r="T6478" s="10" t="s">
        <v>66</v>
      </c>
      <c r="U6478" s="12" t="s">
        <v>31</v>
      </c>
      <c r="V6478" s="10" t="s">
        <v>37974</v>
      </c>
      <c r="W6478" s="10" t="s">
        <v>40403</v>
      </c>
      <c r="X6478" s="13" t="str">
        <f>HYPERLINK("https://my.pitchbook.com?p=140572-99P","View People Online")</f>
        <v>View People Online</v>
      </c>
    </row>
    <row r="6479">
      <c r="A6479" s="6" t="s">
        <v>40433</v>
      </c>
      <c r="B6479" s="6" t="s">
        <v>40434</v>
      </c>
      <c r="C6479" s="6" t="s">
        <v>2109</v>
      </c>
      <c r="D6479" s="6" t="s">
        <v>40435</v>
      </c>
      <c r="E6479" s="6" t="s">
        <v>40436</v>
      </c>
      <c r="F6479" s="6" t="s">
        <v>667</v>
      </c>
      <c r="G6479" s="6" t="s">
        <v>40437</v>
      </c>
      <c r="H6479" s="7" t="s">
        <v>31</v>
      </c>
      <c r="I6479" s="7">
        <v>1.0</v>
      </c>
      <c r="J6479" s="7">
        <v>1.0</v>
      </c>
      <c r="K6479" s="7" t="s">
        <v>31</v>
      </c>
      <c r="L6479" s="8" t="s">
        <v>40438</v>
      </c>
      <c r="M6479" s="6" t="s">
        <v>40439</v>
      </c>
      <c r="N6479" s="6" t="s">
        <v>1005</v>
      </c>
      <c r="O6479" s="8" t="s">
        <v>1006</v>
      </c>
      <c r="P6479" s="6" t="s">
        <v>40440</v>
      </c>
      <c r="Q6479" s="6" t="s">
        <v>31</v>
      </c>
      <c r="R6479" s="6" t="s">
        <v>31</v>
      </c>
      <c r="S6479" s="8" t="s">
        <v>40441</v>
      </c>
      <c r="T6479" s="6" t="s">
        <v>1010</v>
      </c>
      <c r="U6479" s="8" t="s">
        <v>31</v>
      </c>
      <c r="V6479" s="6" t="s">
        <v>40442</v>
      </c>
      <c r="W6479" s="6" t="s">
        <v>40436</v>
      </c>
      <c r="X6479" s="9" t="str">
        <f>HYPERLINK("https://my.pitchbook.com?p=281856-52P","View People Online")</f>
        <v>View People Online</v>
      </c>
    </row>
    <row r="6480">
      <c r="A6480" s="2" t="s">
        <v>40443</v>
      </c>
      <c r="B6480" s="2" t="s">
        <v>40444</v>
      </c>
      <c r="C6480" s="2" t="s">
        <v>18690</v>
      </c>
      <c r="D6480" s="2" t="s">
        <v>40445</v>
      </c>
      <c r="E6480" s="2" t="s">
        <v>40436</v>
      </c>
      <c r="F6480" s="2" t="s">
        <v>270</v>
      </c>
      <c r="G6480" s="2" t="s">
        <v>40446</v>
      </c>
      <c r="H6480" s="3">
        <v>1.0</v>
      </c>
      <c r="I6480" s="3">
        <v>2.0</v>
      </c>
      <c r="J6480" s="3">
        <v>1.0</v>
      </c>
      <c r="K6480" s="3" t="s">
        <v>31</v>
      </c>
      <c r="L6480" s="4" t="s">
        <v>40438</v>
      </c>
      <c r="M6480" s="2" t="s">
        <v>40447</v>
      </c>
      <c r="N6480" s="2" t="s">
        <v>1005</v>
      </c>
      <c r="O6480" s="4" t="s">
        <v>1006</v>
      </c>
      <c r="P6480" s="2" t="s">
        <v>40440</v>
      </c>
      <c r="Q6480" s="2" t="s">
        <v>31</v>
      </c>
      <c r="R6480" s="2" t="s">
        <v>31</v>
      </c>
      <c r="S6480" s="4" t="s">
        <v>40441</v>
      </c>
      <c r="T6480" s="2" t="s">
        <v>1010</v>
      </c>
      <c r="U6480" s="4" t="s">
        <v>31</v>
      </c>
      <c r="V6480" s="2" t="s">
        <v>40448</v>
      </c>
      <c r="W6480" s="2" t="s">
        <v>40436</v>
      </c>
      <c r="X6480" s="5" t="str">
        <f>HYPERLINK("https://my.pitchbook.com?p=263103-49P","View People Online")</f>
        <v>View People Online</v>
      </c>
    </row>
    <row r="6481">
      <c r="A6481" s="6" t="s">
        <v>40449</v>
      </c>
      <c r="B6481" s="6" t="s">
        <v>40450</v>
      </c>
      <c r="C6481" s="6" t="s">
        <v>40451</v>
      </c>
      <c r="D6481" s="6" t="s">
        <v>40452</v>
      </c>
      <c r="E6481" s="6" t="s">
        <v>40436</v>
      </c>
      <c r="F6481" s="6" t="s">
        <v>825</v>
      </c>
      <c r="G6481" s="6" t="s">
        <v>40453</v>
      </c>
      <c r="H6481" s="7" t="s">
        <v>31</v>
      </c>
      <c r="I6481" s="7">
        <v>1.0</v>
      </c>
      <c r="J6481" s="7">
        <v>1.0</v>
      </c>
      <c r="K6481" s="7" t="s">
        <v>31</v>
      </c>
      <c r="L6481" s="8" t="s">
        <v>40438</v>
      </c>
      <c r="M6481" s="6" t="s">
        <v>40454</v>
      </c>
      <c r="N6481" s="6" t="s">
        <v>1005</v>
      </c>
      <c r="O6481" s="8" t="s">
        <v>1006</v>
      </c>
      <c r="P6481" s="6" t="s">
        <v>40440</v>
      </c>
      <c r="Q6481" s="6" t="s">
        <v>31</v>
      </c>
      <c r="R6481" s="6" t="s">
        <v>31</v>
      </c>
      <c r="S6481" s="8" t="s">
        <v>40441</v>
      </c>
      <c r="T6481" s="6" t="s">
        <v>1010</v>
      </c>
      <c r="U6481" s="8" t="s">
        <v>31</v>
      </c>
      <c r="V6481" s="6" t="s">
        <v>40455</v>
      </c>
      <c r="W6481" s="6" t="s">
        <v>40436</v>
      </c>
      <c r="X6481" s="9" t="str">
        <f>HYPERLINK("https://my.pitchbook.com?p=212994-82P","View People Online")</f>
        <v>View People Online</v>
      </c>
    </row>
    <row r="6482">
      <c r="A6482" s="2" t="s">
        <v>40456</v>
      </c>
      <c r="B6482" s="2" t="s">
        <v>40457</v>
      </c>
      <c r="C6482" s="2" t="s">
        <v>40458</v>
      </c>
      <c r="D6482" s="2" t="s">
        <v>40459</v>
      </c>
      <c r="E6482" s="2" t="s">
        <v>40436</v>
      </c>
      <c r="F6482" s="2" t="s">
        <v>1459</v>
      </c>
      <c r="G6482" s="2" t="s">
        <v>40460</v>
      </c>
      <c r="H6482" s="3" t="s">
        <v>31</v>
      </c>
      <c r="I6482" s="3">
        <v>1.0</v>
      </c>
      <c r="J6482" s="3">
        <v>1.0</v>
      </c>
      <c r="K6482" s="3" t="s">
        <v>31</v>
      </c>
      <c r="L6482" s="4" t="s">
        <v>40438</v>
      </c>
      <c r="M6482" s="2" t="s">
        <v>40461</v>
      </c>
      <c r="N6482" s="2" t="s">
        <v>1005</v>
      </c>
      <c r="O6482" s="4" t="s">
        <v>1006</v>
      </c>
      <c r="P6482" s="2" t="s">
        <v>40440</v>
      </c>
      <c r="Q6482" s="2" t="s">
        <v>31</v>
      </c>
      <c r="R6482" s="2" t="s">
        <v>31</v>
      </c>
      <c r="S6482" s="4" t="s">
        <v>40441</v>
      </c>
      <c r="T6482" s="2" t="s">
        <v>1010</v>
      </c>
      <c r="U6482" s="4" t="s">
        <v>31</v>
      </c>
      <c r="V6482" s="2" t="s">
        <v>40462</v>
      </c>
      <c r="W6482" s="2" t="s">
        <v>40436</v>
      </c>
      <c r="X6482" s="5" t="str">
        <f>HYPERLINK("https://my.pitchbook.com?p=319852-54P","View People Online")</f>
        <v>View People Online</v>
      </c>
    </row>
    <row r="6483">
      <c r="A6483" s="14" t="s">
        <v>40463</v>
      </c>
      <c r="B6483" s="14" t="s">
        <v>40464</v>
      </c>
      <c r="C6483" s="14" t="s">
        <v>32219</v>
      </c>
      <c r="D6483" s="14" t="s">
        <v>40465</v>
      </c>
      <c r="E6483" s="14" t="s">
        <v>40436</v>
      </c>
      <c r="F6483" s="14" t="s">
        <v>1459</v>
      </c>
      <c r="G6483" s="14" t="s">
        <v>40466</v>
      </c>
      <c r="H6483" s="15" t="s">
        <v>31</v>
      </c>
      <c r="I6483" s="15">
        <v>2.0</v>
      </c>
      <c r="J6483" s="15">
        <v>1.0</v>
      </c>
      <c r="K6483" s="15">
        <v>1.0</v>
      </c>
      <c r="L6483" s="16" t="s">
        <v>40438</v>
      </c>
      <c r="M6483" s="14" t="s">
        <v>40467</v>
      </c>
      <c r="N6483" s="14" t="s">
        <v>1005</v>
      </c>
      <c r="O6483" s="16" t="s">
        <v>1006</v>
      </c>
      <c r="P6483" s="14" t="s">
        <v>40440</v>
      </c>
      <c r="Q6483" s="14" t="s">
        <v>31</v>
      </c>
      <c r="R6483" s="14" t="s">
        <v>31</v>
      </c>
      <c r="S6483" s="16" t="s">
        <v>40441</v>
      </c>
      <c r="T6483" s="14" t="s">
        <v>1010</v>
      </c>
      <c r="U6483" s="16" t="s">
        <v>31</v>
      </c>
      <c r="V6483" s="14" t="s">
        <v>40468</v>
      </c>
      <c r="W6483" s="14" t="s">
        <v>40436</v>
      </c>
      <c r="X6483" s="17" t="str">
        <f>HYPERLINK("https://my.pitchbook.com?p=244124-02P","View People Online")</f>
        <v>View People Online</v>
      </c>
    </row>
    <row r="6484">
      <c r="A6484" s="2" t="s">
        <v>40469</v>
      </c>
      <c r="B6484" s="2" t="s">
        <v>40470</v>
      </c>
      <c r="C6484" s="2" t="s">
        <v>40471</v>
      </c>
      <c r="D6484" s="2" t="s">
        <v>8084</v>
      </c>
      <c r="E6484" s="2" t="s">
        <v>40436</v>
      </c>
      <c r="F6484" s="2" t="s">
        <v>548</v>
      </c>
      <c r="G6484" s="2" t="s">
        <v>40472</v>
      </c>
      <c r="H6484" s="3" t="s">
        <v>31</v>
      </c>
      <c r="I6484" s="3">
        <v>1.0</v>
      </c>
      <c r="J6484" s="3">
        <v>1.0</v>
      </c>
      <c r="K6484" s="3" t="s">
        <v>31</v>
      </c>
      <c r="L6484" s="4" t="s">
        <v>40438</v>
      </c>
      <c r="M6484" s="2" t="s">
        <v>40473</v>
      </c>
      <c r="N6484" s="2" t="s">
        <v>1005</v>
      </c>
      <c r="O6484" s="4" t="s">
        <v>1006</v>
      </c>
      <c r="P6484" s="2" t="s">
        <v>40440</v>
      </c>
      <c r="Q6484" s="2" t="s">
        <v>31</v>
      </c>
      <c r="R6484" s="2" t="s">
        <v>31</v>
      </c>
      <c r="S6484" s="4" t="s">
        <v>40441</v>
      </c>
      <c r="T6484" s="2" t="s">
        <v>1010</v>
      </c>
      <c r="U6484" s="4" t="s">
        <v>31</v>
      </c>
      <c r="V6484" s="2" t="s">
        <v>548</v>
      </c>
      <c r="W6484" s="2" t="s">
        <v>40436</v>
      </c>
      <c r="X6484" s="5" t="str">
        <f>HYPERLINK("https://my.pitchbook.com?p=212995-09P","View People Online")</f>
        <v>View People Online</v>
      </c>
    </row>
    <row r="6485">
      <c r="A6485" s="14" t="s">
        <v>40474</v>
      </c>
      <c r="B6485" s="14" t="s">
        <v>40475</v>
      </c>
      <c r="C6485" s="14" t="s">
        <v>40476</v>
      </c>
      <c r="D6485" s="14" t="s">
        <v>40477</v>
      </c>
      <c r="E6485" s="14" t="s">
        <v>40436</v>
      </c>
      <c r="F6485" s="14" t="s">
        <v>1106</v>
      </c>
      <c r="G6485" s="14" t="s">
        <v>40478</v>
      </c>
      <c r="H6485" s="15" t="s">
        <v>31</v>
      </c>
      <c r="I6485" s="15">
        <v>1.0</v>
      </c>
      <c r="J6485" s="15">
        <v>1.0</v>
      </c>
      <c r="K6485" s="15" t="s">
        <v>31</v>
      </c>
      <c r="L6485" s="16" t="s">
        <v>40438</v>
      </c>
      <c r="M6485" s="14" t="s">
        <v>40479</v>
      </c>
      <c r="N6485" s="14" t="s">
        <v>1005</v>
      </c>
      <c r="O6485" s="16" t="s">
        <v>1006</v>
      </c>
      <c r="P6485" s="14" t="s">
        <v>40440</v>
      </c>
      <c r="Q6485" s="14" t="s">
        <v>31</v>
      </c>
      <c r="R6485" s="14" t="s">
        <v>31</v>
      </c>
      <c r="S6485" s="16" t="s">
        <v>40441</v>
      </c>
      <c r="T6485" s="14" t="s">
        <v>1010</v>
      </c>
      <c r="U6485" s="16" t="s">
        <v>31</v>
      </c>
      <c r="V6485" s="14" t="s">
        <v>1114</v>
      </c>
      <c r="W6485" s="14" t="s">
        <v>40436</v>
      </c>
      <c r="X6485" s="17" t="str">
        <f>HYPERLINK("https://my.pitchbook.com?p=186507-37P","View People Online")</f>
        <v>View People Online</v>
      </c>
    </row>
    <row r="6486">
      <c r="A6486" s="10" t="s">
        <v>40480</v>
      </c>
      <c r="B6486" s="10" t="s">
        <v>40481</v>
      </c>
      <c r="C6486" s="10" t="s">
        <v>40482</v>
      </c>
      <c r="D6486" s="10" t="s">
        <v>3677</v>
      </c>
      <c r="E6486" s="10" t="s">
        <v>40483</v>
      </c>
      <c r="F6486" s="10" t="s">
        <v>29</v>
      </c>
      <c r="G6486" s="10" t="s">
        <v>40484</v>
      </c>
      <c r="H6486" s="11" t="s">
        <v>31</v>
      </c>
      <c r="I6486" s="11">
        <v>1.0</v>
      </c>
      <c r="J6486" s="11">
        <v>1.0</v>
      </c>
      <c r="K6486" s="11" t="s">
        <v>31</v>
      </c>
      <c r="L6486" s="12" t="s">
        <v>40485</v>
      </c>
      <c r="M6486" s="10" t="s">
        <v>40486</v>
      </c>
      <c r="N6486" s="10" t="s">
        <v>40487</v>
      </c>
      <c r="O6486" s="12" t="s">
        <v>40488</v>
      </c>
      <c r="P6486" s="10" t="s">
        <v>40489</v>
      </c>
      <c r="Q6486" s="10" t="s">
        <v>40490</v>
      </c>
      <c r="R6486" s="10" t="s">
        <v>40491</v>
      </c>
      <c r="S6486" s="12" t="s">
        <v>31</v>
      </c>
      <c r="T6486" s="10" t="s">
        <v>3339</v>
      </c>
      <c r="U6486" s="12" t="s">
        <v>40492</v>
      </c>
      <c r="V6486" s="10" t="s">
        <v>40493</v>
      </c>
      <c r="W6486" s="10" t="s">
        <v>40483</v>
      </c>
      <c r="X6486" s="13" t="str">
        <f>HYPERLINK("https://my.pitchbook.com?p=278335-09P","View People Online")</f>
        <v>View People Online</v>
      </c>
    </row>
    <row r="6487">
      <c r="A6487" s="14" t="s">
        <v>40494</v>
      </c>
      <c r="B6487" s="14" t="s">
        <v>40495</v>
      </c>
      <c r="C6487" s="14" t="s">
        <v>40496</v>
      </c>
      <c r="D6487" s="14" t="s">
        <v>40497</v>
      </c>
      <c r="E6487" s="14" t="s">
        <v>40483</v>
      </c>
      <c r="F6487" s="14" t="s">
        <v>29</v>
      </c>
      <c r="G6487" s="14" t="s">
        <v>40498</v>
      </c>
      <c r="H6487" s="15" t="s">
        <v>31</v>
      </c>
      <c r="I6487" s="15">
        <v>1.0</v>
      </c>
      <c r="J6487" s="15">
        <v>1.0</v>
      </c>
      <c r="K6487" s="15" t="s">
        <v>31</v>
      </c>
      <c r="L6487" s="16" t="s">
        <v>40485</v>
      </c>
      <c r="M6487" s="14" t="s">
        <v>40499</v>
      </c>
      <c r="N6487" s="14" t="s">
        <v>40487</v>
      </c>
      <c r="O6487" s="16" t="s">
        <v>40488</v>
      </c>
      <c r="P6487" s="14" t="s">
        <v>40489</v>
      </c>
      <c r="Q6487" s="14" t="s">
        <v>40490</v>
      </c>
      <c r="R6487" s="14" t="s">
        <v>40491</v>
      </c>
      <c r="S6487" s="16" t="s">
        <v>31</v>
      </c>
      <c r="T6487" s="14" t="s">
        <v>3339</v>
      </c>
      <c r="U6487" s="16" t="s">
        <v>40492</v>
      </c>
      <c r="V6487" s="14" t="s">
        <v>29</v>
      </c>
      <c r="W6487" s="14" t="s">
        <v>40483</v>
      </c>
      <c r="X6487" s="17" t="str">
        <f>HYPERLINK("https://my.pitchbook.com?p=278335-00P","View People Online")</f>
        <v>View People Online</v>
      </c>
    </row>
    <row r="6488">
      <c r="A6488" s="2" t="s">
        <v>40500</v>
      </c>
      <c r="B6488" s="2" t="s">
        <v>40501</v>
      </c>
      <c r="C6488" s="2" t="s">
        <v>40502</v>
      </c>
      <c r="D6488" s="2" t="s">
        <v>40503</v>
      </c>
      <c r="E6488" s="2" t="s">
        <v>40483</v>
      </c>
      <c r="F6488" s="2" t="s">
        <v>29</v>
      </c>
      <c r="G6488" s="2" t="s">
        <v>40504</v>
      </c>
      <c r="H6488" s="3" t="s">
        <v>31</v>
      </c>
      <c r="I6488" s="3">
        <v>2.0</v>
      </c>
      <c r="J6488" s="3">
        <v>2.0</v>
      </c>
      <c r="K6488" s="3" t="s">
        <v>31</v>
      </c>
      <c r="L6488" s="4" t="s">
        <v>40505</v>
      </c>
      <c r="M6488" s="2" t="s">
        <v>40506</v>
      </c>
      <c r="N6488" s="2" t="s">
        <v>40487</v>
      </c>
      <c r="O6488" s="4" t="s">
        <v>40488</v>
      </c>
      <c r="P6488" s="2" t="s">
        <v>40507</v>
      </c>
      <c r="Q6488" s="2" t="s">
        <v>40508</v>
      </c>
      <c r="R6488" s="2" t="s">
        <v>40491</v>
      </c>
      <c r="S6488" s="4" t="s">
        <v>40509</v>
      </c>
      <c r="T6488" s="2" t="s">
        <v>3339</v>
      </c>
      <c r="U6488" s="4" t="s">
        <v>40510</v>
      </c>
      <c r="V6488" s="2" t="s">
        <v>157</v>
      </c>
      <c r="W6488" s="2" t="s">
        <v>40511</v>
      </c>
      <c r="X6488" s="5" t="str">
        <f>HYPERLINK("https://my.pitchbook.com?p=259384-06P","View People Online")</f>
        <v>View People Online</v>
      </c>
    </row>
    <row r="6489">
      <c r="A6489" s="14" t="s">
        <v>40512</v>
      </c>
      <c r="B6489" s="14" t="s">
        <v>40513</v>
      </c>
      <c r="C6489" s="14" t="s">
        <v>4169</v>
      </c>
      <c r="D6489" s="14" t="s">
        <v>40514</v>
      </c>
      <c r="E6489" s="14" t="s">
        <v>40515</v>
      </c>
      <c r="F6489" s="14" t="s">
        <v>548</v>
      </c>
      <c r="G6489" s="14" t="s">
        <v>40516</v>
      </c>
      <c r="H6489" s="15" t="s">
        <v>31</v>
      </c>
      <c r="I6489" s="15">
        <v>1.0</v>
      </c>
      <c r="J6489" s="15">
        <v>1.0</v>
      </c>
      <c r="K6489" s="15" t="s">
        <v>31</v>
      </c>
      <c r="L6489" s="16" t="s">
        <v>40517</v>
      </c>
      <c r="M6489" s="14" t="s">
        <v>40518</v>
      </c>
      <c r="N6489" s="14" t="s">
        <v>40519</v>
      </c>
      <c r="O6489" s="16" t="s">
        <v>40520</v>
      </c>
      <c r="P6489" s="14" t="s">
        <v>40521</v>
      </c>
      <c r="Q6489" s="14" t="s">
        <v>31</v>
      </c>
      <c r="R6489" s="14" t="s">
        <v>209</v>
      </c>
      <c r="S6489" s="16" t="s">
        <v>40522</v>
      </c>
      <c r="T6489" s="14" t="s">
        <v>66</v>
      </c>
      <c r="U6489" s="16" t="s">
        <v>31</v>
      </c>
      <c r="V6489" s="14" t="s">
        <v>548</v>
      </c>
      <c r="W6489" s="14" t="s">
        <v>40515</v>
      </c>
      <c r="X6489" s="17" t="str">
        <f>HYPERLINK("https://my.pitchbook.com?p=404868-70P","View People Online")</f>
        <v>View People Online</v>
      </c>
    </row>
    <row r="6490">
      <c r="A6490" s="10" t="s">
        <v>40523</v>
      </c>
      <c r="B6490" s="10" t="s">
        <v>40524</v>
      </c>
      <c r="C6490" s="10" t="s">
        <v>1343</v>
      </c>
      <c r="D6490" s="10" t="s">
        <v>40525</v>
      </c>
      <c r="E6490" s="10" t="s">
        <v>40515</v>
      </c>
      <c r="F6490" s="10" t="s">
        <v>1283</v>
      </c>
      <c r="G6490" s="10" t="s">
        <v>40526</v>
      </c>
      <c r="H6490" s="11" t="s">
        <v>31</v>
      </c>
      <c r="I6490" s="11">
        <v>2.0</v>
      </c>
      <c r="J6490" s="11">
        <v>1.0</v>
      </c>
      <c r="K6490" s="11">
        <v>1.0</v>
      </c>
      <c r="L6490" s="12" t="s">
        <v>40527</v>
      </c>
      <c r="M6490" s="10" t="s">
        <v>40528</v>
      </c>
      <c r="N6490" s="10" t="s">
        <v>40519</v>
      </c>
      <c r="O6490" s="12" t="s">
        <v>40520</v>
      </c>
      <c r="P6490" s="10" t="s">
        <v>40521</v>
      </c>
      <c r="Q6490" s="10" t="s">
        <v>31</v>
      </c>
      <c r="R6490" s="10" t="s">
        <v>209</v>
      </c>
      <c r="S6490" s="12" t="s">
        <v>40522</v>
      </c>
      <c r="T6490" s="10" t="s">
        <v>66</v>
      </c>
      <c r="U6490" s="12" t="s">
        <v>31</v>
      </c>
      <c r="V6490" s="10" t="s">
        <v>1283</v>
      </c>
      <c r="W6490" s="10" t="s">
        <v>40515</v>
      </c>
      <c r="X6490" s="13" t="str">
        <f>HYPERLINK("https://my.pitchbook.com?p=39023-65P","View People Online")</f>
        <v>View People Online</v>
      </c>
    </row>
    <row r="6491">
      <c r="A6491" s="14" t="s">
        <v>40529</v>
      </c>
      <c r="B6491" s="14" t="s">
        <v>40530</v>
      </c>
      <c r="C6491" s="14" t="s">
        <v>1697</v>
      </c>
      <c r="D6491" s="14" t="s">
        <v>40531</v>
      </c>
      <c r="E6491" s="14" t="s">
        <v>40515</v>
      </c>
      <c r="F6491" s="14" t="s">
        <v>1459</v>
      </c>
      <c r="G6491" s="14" t="s">
        <v>40532</v>
      </c>
      <c r="H6491" s="15" t="s">
        <v>31</v>
      </c>
      <c r="I6491" s="15">
        <v>3.0</v>
      </c>
      <c r="J6491" s="15">
        <v>2.0</v>
      </c>
      <c r="K6491" s="15">
        <v>1.0</v>
      </c>
      <c r="L6491" s="16" t="s">
        <v>40517</v>
      </c>
      <c r="M6491" s="14" t="s">
        <v>40533</v>
      </c>
      <c r="N6491" s="14" t="s">
        <v>40519</v>
      </c>
      <c r="O6491" s="16" t="s">
        <v>40520</v>
      </c>
      <c r="P6491" s="14" t="s">
        <v>40521</v>
      </c>
      <c r="Q6491" s="14" t="s">
        <v>31</v>
      </c>
      <c r="R6491" s="14" t="s">
        <v>209</v>
      </c>
      <c r="S6491" s="16" t="s">
        <v>40522</v>
      </c>
      <c r="T6491" s="14" t="s">
        <v>66</v>
      </c>
      <c r="U6491" s="16" t="s">
        <v>31</v>
      </c>
      <c r="V6491" s="14" t="s">
        <v>40534</v>
      </c>
      <c r="W6491" s="14" t="s">
        <v>40535</v>
      </c>
      <c r="X6491" s="17" t="str">
        <f>HYPERLINK("https://my.pitchbook.com?p=181652-14P","View People Online")</f>
        <v>View People Online</v>
      </c>
    </row>
    <row r="6492">
      <c r="A6492" s="10" t="s">
        <v>40536</v>
      </c>
      <c r="B6492" s="10" t="s">
        <v>40537</v>
      </c>
      <c r="C6492" s="10" t="s">
        <v>186</v>
      </c>
      <c r="D6492" s="10" t="s">
        <v>40538</v>
      </c>
      <c r="E6492" s="10" t="s">
        <v>40539</v>
      </c>
      <c r="F6492" s="10" t="s">
        <v>12689</v>
      </c>
      <c r="G6492" s="10" t="s">
        <v>40540</v>
      </c>
      <c r="H6492" s="11" t="s">
        <v>31</v>
      </c>
      <c r="I6492" s="11">
        <v>4.0</v>
      </c>
      <c r="J6492" s="11">
        <v>2.0</v>
      </c>
      <c r="K6492" s="11" t="s">
        <v>31</v>
      </c>
      <c r="L6492" s="12" t="s">
        <v>40541</v>
      </c>
      <c r="M6492" s="10" t="s">
        <v>40542</v>
      </c>
      <c r="N6492" s="10" t="s">
        <v>155</v>
      </c>
      <c r="O6492" s="12" t="s">
        <v>156</v>
      </c>
      <c r="P6492" s="10" t="s">
        <v>6578</v>
      </c>
      <c r="Q6492" s="10" t="s">
        <v>40543</v>
      </c>
      <c r="R6492" s="10" t="s">
        <v>64</v>
      </c>
      <c r="S6492" s="12" t="s">
        <v>2463</v>
      </c>
      <c r="T6492" s="10" t="s">
        <v>66</v>
      </c>
      <c r="U6492" s="12" t="s">
        <v>31</v>
      </c>
      <c r="V6492" s="10" t="s">
        <v>157</v>
      </c>
      <c r="W6492" s="10" t="s">
        <v>40544</v>
      </c>
      <c r="X6492" s="13" t="str">
        <f>HYPERLINK("https://my.pitchbook.com?p=131297-77P","View People Online")</f>
        <v>View People Online</v>
      </c>
    </row>
    <row r="6493">
      <c r="A6493" s="14" t="s">
        <v>40545</v>
      </c>
      <c r="B6493" s="14" t="s">
        <v>40546</v>
      </c>
      <c r="C6493" s="14" t="s">
        <v>285</v>
      </c>
      <c r="D6493" s="14" t="s">
        <v>40547</v>
      </c>
      <c r="E6493" s="14" t="s">
        <v>40539</v>
      </c>
      <c r="F6493" s="14" t="s">
        <v>674</v>
      </c>
      <c r="G6493" s="14" t="s">
        <v>40548</v>
      </c>
      <c r="H6493" s="15">
        <v>3.0</v>
      </c>
      <c r="I6493" s="15">
        <v>24.0</v>
      </c>
      <c r="J6493" s="15">
        <v>1.0</v>
      </c>
      <c r="K6493" s="15">
        <v>16.0</v>
      </c>
      <c r="L6493" s="16" t="s">
        <v>40549</v>
      </c>
      <c r="M6493" s="14" t="s">
        <v>40550</v>
      </c>
      <c r="N6493" s="14" t="s">
        <v>10983</v>
      </c>
      <c r="O6493" s="16" t="s">
        <v>37748</v>
      </c>
      <c r="P6493" s="14" t="s">
        <v>40551</v>
      </c>
      <c r="Q6493" s="14" t="s">
        <v>31</v>
      </c>
      <c r="R6493" s="14" t="s">
        <v>37751</v>
      </c>
      <c r="S6493" s="16" t="s">
        <v>37752</v>
      </c>
      <c r="T6493" s="14" t="s">
        <v>66</v>
      </c>
      <c r="U6493" s="16" t="s">
        <v>31</v>
      </c>
      <c r="V6493" s="14" t="s">
        <v>674</v>
      </c>
      <c r="W6493" s="14" t="s">
        <v>40539</v>
      </c>
      <c r="X6493" s="17" t="str">
        <f>HYPERLINK("https://my.pitchbook.com?p=38252-80P","View People Online")</f>
        <v>View People Online</v>
      </c>
    </row>
    <row r="6494">
      <c r="A6494" s="10" t="s">
        <v>40552</v>
      </c>
      <c r="B6494" s="10" t="s">
        <v>40553</v>
      </c>
      <c r="C6494" s="10" t="s">
        <v>40554</v>
      </c>
      <c r="D6494" s="10" t="s">
        <v>40555</v>
      </c>
      <c r="E6494" s="10" t="s">
        <v>40539</v>
      </c>
      <c r="F6494" s="10" t="s">
        <v>12689</v>
      </c>
      <c r="G6494" s="10" t="s">
        <v>40556</v>
      </c>
      <c r="H6494" s="11" t="s">
        <v>31</v>
      </c>
      <c r="I6494" s="11">
        <v>2.0</v>
      </c>
      <c r="J6494" s="11">
        <v>2.0</v>
      </c>
      <c r="K6494" s="11" t="s">
        <v>31</v>
      </c>
      <c r="L6494" s="12" t="s">
        <v>40557</v>
      </c>
      <c r="M6494" s="10" t="s">
        <v>40558</v>
      </c>
      <c r="N6494" s="10" t="s">
        <v>612</v>
      </c>
      <c r="O6494" s="12" t="s">
        <v>40559</v>
      </c>
      <c r="P6494" s="10" t="s">
        <v>40560</v>
      </c>
      <c r="Q6494" s="10" t="s">
        <v>31</v>
      </c>
      <c r="R6494" s="10" t="s">
        <v>1420</v>
      </c>
      <c r="S6494" s="12" t="s">
        <v>40561</v>
      </c>
      <c r="T6494" s="10" t="s">
        <v>66</v>
      </c>
      <c r="U6494" s="12" t="s">
        <v>31</v>
      </c>
      <c r="V6494" s="10" t="s">
        <v>40562</v>
      </c>
      <c r="W6494" s="10" t="s">
        <v>40563</v>
      </c>
      <c r="X6494" s="13" t="str">
        <f>HYPERLINK("https://my.pitchbook.com?p=384169-96P","View People Online")</f>
        <v>View People Online</v>
      </c>
    </row>
    <row r="6495">
      <c r="A6495" s="14" t="s">
        <v>40564</v>
      </c>
      <c r="B6495" s="14" t="s">
        <v>40565</v>
      </c>
      <c r="C6495" s="14" t="s">
        <v>40566</v>
      </c>
      <c r="D6495" s="14" t="s">
        <v>15398</v>
      </c>
      <c r="E6495" s="14" t="s">
        <v>40539</v>
      </c>
      <c r="F6495" s="14" t="s">
        <v>12689</v>
      </c>
      <c r="G6495" s="14" t="s">
        <v>40567</v>
      </c>
      <c r="H6495" s="15" t="s">
        <v>31</v>
      </c>
      <c r="I6495" s="15">
        <v>1.0</v>
      </c>
      <c r="J6495" s="15">
        <v>1.0</v>
      </c>
      <c r="K6495" s="15" t="s">
        <v>31</v>
      </c>
      <c r="L6495" s="16" t="s">
        <v>31</v>
      </c>
      <c r="M6495" s="14" t="s">
        <v>31</v>
      </c>
      <c r="N6495" s="14" t="s">
        <v>10983</v>
      </c>
      <c r="O6495" s="16" t="s">
        <v>37748</v>
      </c>
      <c r="P6495" s="14" t="s">
        <v>40551</v>
      </c>
      <c r="Q6495" s="14" t="s">
        <v>31</v>
      </c>
      <c r="R6495" s="14" t="s">
        <v>37751</v>
      </c>
      <c r="S6495" s="16" t="s">
        <v>37752</v>
      </c>
      <c r="T6495" s="14" t="s">
        <v>66</v>
      </c>
      <c r="U6495" s="16" t="s">
        <v>31</v>
      </c>
      <c r="V6495" s="14" t="s">
        <v>40568</v>
      </c>
      <c r="W6495" s="14" t="s">
        <v>40539</v>
      </c>
      <c r="X6495" s="17" t="str">
        <f>HYPERLINK("https://my.pitchbook.com?p=384170-32P","View People Online")</f>
        <v>View People Online</v>
      </c>
    </row>
    <row r="6496">
      <c r="A6496" s="2" t="s">
        <v>40569</v>
      </c>
      <c r="B6496" s="2" t="s">
        <v>40570</v>
      </c>
      <c r="C6496" s="2" t="s">
        <v>4397</v>
      </c>
      <c r="D6496" s="2" t="s">
        <v>25906</v>
      </c>
      <c r="E6496" s="2" t="s">
        <v>40539</v>
      </c>
      <c r="F6496" s="2" t="s">
        <v>12689</v>
      </c>
      <c r="G6496" s="2" t="s">
        <v>40571</v>
      </c>
      <c r="H6496" s="3" t="s">
        <v>31</v>
      </c>
      <c r="I6496" s="3">
        <v>1.0</v>
      </c>
      <c r="J6496" s="3">
        <v>1.0</v>
      </c>
      <c r="K6496" s="3" t="s">
        <v>31</v>
      </c>
      <c r="L6496" s="4" t="s">
        <v>31</v>
      </c>
      <c r="M6496" s="2" t="s">
        <v>31</v>
      </c>
      <c r="N6496" s="2" t="s">
        <v>10983</v>
      </c>
      <c r="O6496" s="4" t="s">
        <v>37748</v>
      </c>
      <c r="P6496" s="2" t="s">
        <v>40551</v>
      </c>
      <c r="Q6496" s="2" t="s">
        <v>31</v>
      </c>
      <c r="R6496" s="2" t="s">
        <v>37751</v>
      </c>
      <c r="S6496" s="4" t="s">
        <v>37752</v>
      </c>
      <c r="T6496" s="2" t="s">
        <v>66</v>
      </c>
      <c r="U6496" s="4" t="s">
        <v>31</v>
      </c>
      <c r="V6496" s="2" t="s">
        <v>40568</v>
      </c>
      <c r="W6496" s="2" t="s">
        <v>40539</v>
      </c>
      <c r="X6496" s="5" t="str">
        <f>HYPERLINK("https://my.pitchbook.com?p=384169-42P","View People Online")</f>
        <v>View People Online</v>
      </c>
    </row>
    <row r="6497">
      <c r="A6497" s="14" t="s">
        <v>40572</v>
      </c>
      <c r="B6497" s="14" t="s">
        <v>40573</v>
      </c>
      <c r="C6497" s="14" t="s">
        <v>1343</v>
      </c>
      <c r="D6497" s="14" t="s">
        <v>40574</v>
      </c>
      <c r="E6497" s="14" t="s">
        <v>40539</v>
      </c>
      <c r="F6497" s="14" t="s">
        <v>12689</v>
      </c>
      <c r="G6497" s="14" t="s">
        <v>40575</v>
      </c>
      <c r="H6497" s="15" t="s">
        <v>31</v>
      </c>
      <c r="I6497" s="15">
        <v>1.0</v>
      </c>
      <c r="J6497" s="15">
        <v>1.0</v>
      </c>
      <c r="K6497" s="15" t="s">
        <v>31</v>
      </c>
      <c r="L6497" s="16" t="s">
        <v>31</v>
      </c>
      <c r="M6497" s="14" t="s">
        <v>31</v>
      </c>
      <c r="N6497" s="14" t="s">
        <v>10983</v>
      </c>
      <c r="O6497" s="16" t="s">
        <v>37748</v>
      </c>
      <c r="P6497" s="14" t="s">
        <v>40551</v>
      </c>
      <c r="Q6497" s="14" t="s">
        <v>31</v>
      </c>
      <c r="R6497" s="14" t="s">
        <v>37751</v>
      </c>
      <c r="S6497" s="16" t="s">
        <v>37752</v>
      </c>
      <c r="T6497" s="14" t="s">
        <v>66</v>
      </c>
      <c r="U6497" s="16" t="s">
        <v>31</v>
      </c>
      <c r="V6497" s="14" t="s">
        <v>12689</v>
      </c>
      <c r="W6497" s="14" t="s">
        <v>40539</v>
      </c>
      <c r="X6497" s="17" t="str">
        <f>HYPERLINK("https://my.pitchbook.com?p=417214-18P","View People Online")</f>
        <v>View People Online</v>
      </c>
    </row>
    <row r="6498">
      <c r="A6498" s="2" t="s">
        <v>40576</v>
      </c>
      <c r="B6498" s="2" t="s">
        <v>40577</v>
      </c>
      <c r="C6498" s="2" t="s">
        <v>3089</v>
      </c>
      <c r="D6498" s="2" t="s">
        <v>40578</v>
      </c>
      <c r="E6498" s="2" t="s">
        <v>40539</v>
      </c>
      <c r="F6498" s="2" t="s">
        <v>12689</v>
      </c>
      <c r="G6498" s="2" t="s">
        <v>40579</v>
      </c>
      <c r="H6498" s="3" t="s">
        <v>31</v>
      </c>
      <c r="I6498" s="3">
        <v>3.0</v>
      </c>
      <c r="J6498" s="3">
        <v>3.0</v>
      </c>
      <c r="K6498" s="3" t="s">
        <v>31</v>
      </c>
      <c r="L6498" s="4" t="s">
        <v>40580</v>
      </c>
      <c r="M6498" s="2" t="s">
        <v>31</v>
      </c>
      <c r="N6498" s="2" t="s">
        <v>10983</v>
      </c>
      <c r="O6498" s="4" t="s">
        <v>37748</v>
      </c>
      <c r="P6498" s="2" t="s">
        <v>40551</v>
      </c>
      <c r="Q6498" s="2" t="s">
        <v>31</v>
      </c>
      <c r="R6498" s="2" t="s">
        <v>37751</v>
      </c>
      <c r="S6498" s="4" t="s">
        <v>37752</v>
      </c>
      <c r="T6498" s="2" t="s">
        <v>66</v>
      </c>
      <c r="U6498" s="4" t="s">
        <v>31</v>
      </c>
      <c r="V6498" s="2" t="s">
        <v>12689</v>
      </c>
      <c r="W6498" s="2" t="s">
        <v>40539</v>
      </c>
      <c r="X6498" s="5" t="str">
        <f>HYPERLINK("https://my.pitchbook.com?p=135548-83P","View People Online")</f>
        <v>View People Online</v>
      </c>
    </row>
    <row r="6499">
      <c r="A6499" s="14" t="s">
        <v>40581</v>
      </c>
      <c r="B6499" s="14" t="s">
        <v>40582</v>
      </c>
      <c r="C6499" s="14" t="s">
        <v>40583</v>
      </c>
      <c r="D6499" s="14" t="s">
        <v>747</v>
      </c>
      <c r="E6499" s="14" t="s">
        <v>40539</v>
      </c>
      <c r="F6499" s="14" t="s">
        <v>221</v>
      </c>
      <c r="G6499" s="14" t="s">
        <v>40584</v>
      </c>
      <c r="H6499" s="15" t="s">
        <v>31</v>
      </c>
      <c r="I6499" s="15">
        <v>2.0</v>
      </c>
      <c r="J6499" s="15">
        <v>1.0</v>
      </c>
      <c r="K6499" s="15" t="s">
        <v>31</v>
      </c>
      <c r="L6499" s="16" t="s">
        <v>31</v>
      </c>
      <c r="M6499" s="14" t="s">
        <v>31</v>
      </c>
      <c r="N6499" s="14" t="s">
        <v>10983</v>
      </c>
      <c r="O6499" s="16" t="s">
        <v>37748</v>
      </c>
      <c r="P6499" s="14" t="s">
        <v>40551</v>
      </c>
      <c r="Q6499" s="14" t="s">
        <v>31</v>
      </c>
      <c r="R6499" s="14" t="s">
        <v>37751</v>
      </c>
      <c r="S6499" s="16" t="s">
        <v>37752</v>
      </c>
      <c r="T6499" s="14" t="s">
        <v>66</v>
      </c>
      <c r="U6499" s="16" t="s">
        <v>31</v>
      </c>
      <c r="V6499" s="14" t="s">
        <v>221</v>
      </c>
      <c r="W6499" s="14" t="s">
        <v>40539</v>
      </c>
      <c r="X6499" s="17" t="str">
        <f>HYPERLINK("https://my.pitchbook.com?p=417211-66P","View People Online")</f>
        <v>View People Online</v>
      </c>
    </row>
    <row r="6500">
      <c r="A6500" s="2" t="s">
        <v>40585</v>
      </c>
      <c r="B6500" s="2" t="s">
        <v>40586</v>
      </c>
      <c r="C6500" s="2" t="s">
        <v>40587</v>
      </c>
      <c r="D6500" s="2" t="s">
        <v>40588</v>
      </c>
      <c r="E6500" s="2" t="s">
        <v>40539</v>
      </c>
      <c r="F6500" s="2" t="s">
        <v>12689</v>
      </c>
      <c r="G6500" s="2" t="s">
        <v>40589</v>
      </c>
      <c r="H6500" s="3">
        <v>1.0</v>
      </c>
      <c r="I6500" s="3">
        <v>18.0</v>
      </c>
      <c r="J6500" s="3">
        <v>3.0</v>
      </c>
      <c r="K6500" s="3">
        <v>14.0</v>
      </c>
      <c r="L6500" s="4" t="s">
        <v>40590</v>
      </c>
      <c r="M6500" s="2" t="s">
        <v>40591</v>
      </c>
      <c r="N6500" s="2" t="s">
        <v>75</v>
      </c>
      <c r="O6500" s="4" t="s">
        <v>76</v>
      </c>
      <c r="P6500" s="2" t="s">
        <v>40592</v>
      </c>
      <c r="Q6500" s="2" t="s">
        <v>31</v>
      </c>
      <c r="R6500" s="2" t="s">
        <v>75</v>
      </c>
      <c r="S6500" s="4" t="s">
        <v>40593</v>
      </c>
      <c r="T6500" s="2" t="s">
        <v>66</v>
      </c>
      <c r="U6500" s="4" t="s">
        <v>31</v>
      </c>
      <c r="V6500" s="2" t="s">
        <v>470</v>
      </c>
      <c r="W6500" s="2" t="s">
        <v>40594</v>
      </c>
      <c r="X6500" s="5" t="str">
        <f>HYPERLINK("https://my.pitchbook.com?p=43282-99P","View People Online")</f>
        <v>View People Online</v>
      </c>
    </row>
    <row r="6501">
      <c r="A6501" s="6" t="s">
        <v>40595</v>
      </c>
      <c r="B6501" s="6" t="s">
        <v>40596</v>
      </c>
      <c r="C6501" s="6" t="s">
        <v>395</v>
      </c>
      <c r="D6501" s="6" t="s">
        <v>40597</v>
      </c>
      <c r="E6501" s="6" t="s">
        <v>40539</v>
      </c>
      <c r="F6501" s="6" t="s">
        <v>81</v>
      </c>
      <c r="G6501" s="6" t="s">
        <v>40598</v>
      </c>
      <c r="H6501" s="7">
        <v>1.0</v>
      </c>
      <c r="I6501" s="7">
        <v>5.0</v>
      </c>
      <c r="J6501" s="7">
        <v>1.0</v>
      </c>
      <c r="K6501" s="7">
        <v>3.0</v>
      </c>
      <c r="L6501" s="8" t="s">
        <v>40599</v>
      </c>
      <c r="M6501" s="6" t="s">
        <v>40600</v>
      </c>
      <c r="N6501" s="6" t="s">
        <v>40601</v>
      </c>
      <c r="O6501" s="8" t="s">
        <v>40602</v>
      </c>
      <c r="P6501" s="6" t="s">
        <v>40603</v>
      </c>
      <c r="Q6501" s="6" t="s">
        <v>40604</v>
      </c>
      <c r="R6501" s="6" t="s">
        <v>1018</v>
      </c>
      <c r="S6501" s="8" t="s">
        <v>40605</v>
      </c>
      <c r="T6501" s="6" t="s">
        <v>1019</v>
      </c>
      <c r="U6501" s="8" t="s">
        <v>31</v>
      </c>
      <c r="V6501" s="6" t="s">
        <v>1252</v>
      </c>
      <c r="W6501" s="6" t="s">
        <v>40606</v>
      </c>
      <c r="X6501" s="9" t="str">
        <f>HYPERLINK("https://my.pitchbook.com?p=74463-22P","View People Online")</f>
        <v>View People Online</v>
      </c>
    </row>
    <row r="6502">
      <c r="A6502" s="2" t="s">
        <v>40607</v>
      </c>
      <c r="B6502" s="2" t="s">
        <v>40608</v>
      </c>
      <c r="C6502" s="2" t="s">
        <v>2688</v>
      </c>
      <c r="D6502" s="2" t="s">
        <v>30427</v>
      </c>
      <c r="E6502" s="2" t="s">
        <v>40609</v>
      </c>
      <c r="F6502" s="2" t="s">
        <v>81</v>
      </c>
      <c r="G6502" s="2" t="s">
        <v>40610</v>
      </c>
      <c r="H6502" s="3" t="s">
        <v>31</v>
      </c>
      <c r="I6502" s="3">
        <v>12.0</v>
      </c>
      <c r="J6502" s="3">
        <v>1.0</v>
      </c>
      <c r="K6502" s="3">
        <v>9.0</v>
      </c>
      <c r="L6502" s="4" t="s">
        <v>40611</v>
      </c>
      <c r="M6502" s="2" t="s">
        <v>40612</v>
      </c>
      <c r="N6502" s="2" t="s">
        <v>155</v>
      </c>
      <c r="O6502" s="4" t="s">
        <v>156</v>
      </c>
      <c r="P6502" s="2" t="s">
        <v>31</v>
      </c>
      <c r="Q6502" s="2" t="s">
        <v>31</v>
      </c>
      <c r="R6502" s="2" t="s">
        <v>64</v>
      </c>
      <c r="S6502" s="4" t="s">
        <v>31</v>
      </c>
      <c r="T6502" s="2" t="s">
        <v>66</v>
      </c>
      <c r="U6502" s="4" t="s">
        <v>31</v>
      </c>
      <c r="V6502" s="2" t="s">
        <v>95</v>
      </c>
      <c r="W6502" s="2" t="s">
        <v>40613</v>
      </c>
      <c r="X6502" s="5" t="str">
        <f>HYPERLINK("https://my.pitchbook.com?p=119773-36P","View People Online")</f>
        <v>View People Online</v>
      </c>
    </row>
    <row r="6503">
      <c r="A6503" s="14" t="s">
        <v>40614</v>
      </c>
      <c r="B6503" s="14" t="s">
        <v>40615</v>
      </c>
      <c r="C6503" s="14" t="s">
        <v>4161</v>
      </c>
      <c r="D6503" s="14" t="s">
        <v>2789</v>
      </c>
      <c r="E6503" s="14" t="s">
        <v>40609</v>
      </c>
      <c r="F6503" s="14" t="s">
        <v>825</v>
      </c>
      <c r="G6503" s="14" t="s">
        <v>40616</v>
      </c>
      <c r="H6503" s="15" t="s">
        <v>31</v>
      </c>
      <c r="I6503" s="15">
        <v>1.0</v>
      </c>
      <c r="J6503" s="15">
        <v>1.0</v>
      </c>
      <c r="K6503" s="15" t="s">
        <v>31</v>
      </c>
      <c r="L6503" s="16" t="s">
        <v>40617</v>
      </c>
      <c r="M6503" s="14" t="s">
        <v>40618</v>
      </c>
      <c r="N6503" s="14" t="s">
        <v>40619</v>
      </c>
      <c r="O6503" s="16" t="s">
        <v>40620</v>
      </c>
      <c r="P6503" s="14" t="s">
        <v>40621</v>
      </c>
      <c r="Q6503" s="14" t="s">
        <v>31</v>
      </c>
      <c r="R6503" s="14" t="s">
        <v>64</v>
      </c>
      <c r="S6503" s="16" t="s">
        <v>40622</v>
      </c>
      <c r="T6503" s="14" t="s">
        <v>66</v>
      </c>
      <c r="U6503" s="16" t="s">
        <v>31</v>
      </c>
      <c r="V6503" s="14" t="s">
        <v>40623</v>
      </c>
      <c r="W6503" s="14" t="s">
        <v>40609</v>
      </c>
      <c r="X6503" s="17" t="str">
        <f>HYPERLINK("https://my.pitchbook.com?p=103620-43P","View People Online")</f>
        <v>View People Online</v>
      </c>
    </row>
    <row r="6504">
      <c r="A6504" s="10" t="s">
        <v>40624</v>
      </c>
      <c r="B6504" s="10" t="s">
        <v>40625</v>
      </c>
      <c r="C6504" s="10" t="s">
        <v>5752</v>
      </c>
      <c r="D6504" s="10" t="s">
        <v>1317</v>
      </c>
      <c r="E6504" s="10" t="s">
        <v>40609</v>
      </c>
      <c r="F6504" s="10" t="s">
        <v>81</v>
      </c>
      <c r="G6504" s="10" t="s">
        <v>40626</v>
      </c>
      <c r="H6504" s="11" t="s">
        <v>31</v>
      </c>
      <c r="I6504" s="11">
        <v>2.0</v>
      </c>
      <c r="J6504" s="11">
        <v>1.0</v>
      </c>
      <c r="K6504" s="11" t="s">
        <v>31</v>
      </c>
      <c r="L6504" s="12" t="s">
        <v>31</v>
      </c>
      <c r="M6504" s="10" t="s">
        <v>31</v>
      </c>
      <c r="N6504" s="10" t="s">
        <v>155</v>
      </c>
      <c r="O6504" s="12" t="s">
        <v>156</v>
      </c>
      <c r="P6504" s="10" t="s">
        <v>31</v>
      </c>
      <c r="Q6504" s="10" t="s">
        <v>31</v>
      </c>
      <c r="R6504" s="10" t="s">
        <v>64</v>
      </c>
      <c r="S6504" s="12" t="s">
        <v>3487</v>
      </c>
      <c r="T6504" s="10" t="s">
        <v>66</v>
      </c>
      <c r="U6504" s="12" t="s">
        <v>31</v>
      </c>
      <c r="V6504" s="10" t="s">
        <v>5234</v>
      </c>
      <c r="W6504" s="10" t="s">
        <v>40627</v>
      </c>
      <c r="X6504" s="13" t="str">
        <f>HYPERLINK("https://my.pitchbook.com?p=171087-94P","View People Online")</f>
        <v>View People Online</v>
      </c>
    </row>
    <row r="6505">
      <c r="A6505" s="6" t="s">
        <v>40628</v>
      </c>
      <c r="B6505" s="6" t="s">
        <v>40629</v>
      </c>
      <c r="C6505" s="6" t="s">
        <v>15454</v>
      </c>
      <c r="D6505" s="6" t="s">
        <v>40630</v>
      </c>
      <c r="E6505" s="6" t="s">
        <v>40609</v>
      </c>
      <c r="F6505" s="6" t="s">
        <v>81</v>
      </c>
      <c r="G6505" s="6" t="s">
        <v>40631</v>
      </c>
      <c r="H6505" s="7">
        <v>1.0</v>
      </c>
      <c r="I6505" s="7">
        <v>4.0</v>
      </c>
      <c r="J6505" s="7">
        <v>1.0</v>
      </c>
      <c r="K6505" s="7" t="s">
        <v>31</v>
      </c>
      <c r="L6505" s="8" t="s">
        <v>31</v>
      </c>
      <c r="M6505" s="6" t="s">
        <v>40632</v>
      </c>
      <c r="N6505" s="6" t="s">
        <v>1005</v>
      </c>
      <c r="O6505" s="8" t="s">
        <v>1006</v>
      </c>
      <c r="P6505" s="6" t="s">
        <v>40633</v>
      </c>
      <c r="Q6505" s="6" t="s">
        <v>40634</v>
      </c>
      <c r="R6505" s="6" t="s">
        <v>31</v>
      </c>
      <c r="S6505" s="8" t="s">
        <v>40635</v>
      </c>
      <c r="T6505" s="6" t="s">
        <v>1010</v>
      </c>
      <c r="U6505" s="8" t="s">
        <v>31</v>
      </c>
      <c r="V6505" s="6" t="s">
        <v>3665</v>
      </c>
      <c r="W6505" s="6" t="s">
        <v>40636</v>
      </c>
      <c r="X6505" s="9" t="str">
        <f>HYPERLINK("https://my.pitchbook.com?p=38602-36P","View People Online")</f>
        <v>View People Online</v>
      </c>
    </row>
    <row r="6506">
      <c r="A6506" s="10" t="s">
        <v>40637</v>
      </c>
      <c r="B6506" s="10" t="s">
        <v>40638</v>
      </c>
      <c r="C6506" s="10" t="s">
        <v>27053</v>
      </c>
      <c r="D6506" s="10" t="s">
        <v>9373</v>
      </c>
      <c r="E6506" s="10" t="s">
        <v>40609</v>
      </c>
      <c r="F6506" s="10" t="s">
        <v>81</v>
      </c>
      <c r="G6506" s="10" t="s">
        <v>40639</v>
      </c>
      <c r="H6506" s="11" t="s">
        <v>31</v>
      </c>
      <c r="I6506" s="11">
        <v>1.0</v>
      </c>
      <c r="J6506" s="11" t="s">
        <v>31</v>
      </c>
      <c r="K6506" s="11" t="s">
        <v>31</v>
      </c>
      <c r="L6506" s="12" t="s">
        <v>40640</v>
      </c>
      <c r="M6506" s="10" t="s">
        <v>40641</v>
      </c>
      <c r="N6506" s="10" t="s">
        <v>40619</v>
      </c>
      <c r="O6506" s="12" t="s">
        <v>40620</v>
      </c>
      <c r="P6506" s="10" t="s">
        <v>40621</v>
      </c>
      <c r="Q6506" s="10" t="s">
        <v>31</v>
      </c>
      <c r="R6506" s="10" t="s">
        <v>64</v>
      </c>
      <c r="S6506" s="12" t="s">
        <v>40622</v>
      </c>
      <c r="T6506" s="10" t="s">
        <v>66</v>
      </c>
      <c r="U6506" s="12" t="s">
        <v>31</v>
      </c>
      <c r="V6506" s="10" t="s">
        <v>81</v>
      </c>
      <c r="W6506" s="10" t="s">
        <v>40609</v>
      </c>
      <c r="X6506" s="13" t="str">
        <f>HYPERLINK("https://my.pitchbook.com?p=41416-84P","View People Online")</f>
        <v>View People Online</v>
      </c>
    </row>
    <row r="6507">
      <c r="A6507" s="6" t="s">
        <v>40642</v>
      </c>
      <c r="B6507" s="6" t="s">
        <v>40643</v>
      </c>
      <c r="C6507" s="6" t="s">
        <v>8234</v>
      </c>
      <c r="D6507" s="6" t="s">
        <v>40644</v>
      </c>
      <c r="E6507" s="6" t="s">
        <v>40609</v>
      </c>
      <c r="F6507" s="6" t="s">
        <v>189</v>
      </c>
      <c r="G6507" s="6" t="s">
        <v>40645</v>
      </c>
      <c r="H6507" s="7">
        <v>4.0</v>
      </c>
      <c r="I6507" s="7">
        <v>54.0</v>
      </c>
      <c r="J6507" s="7">
        <v>1.0</v>
      </c>
      <c r="K6507" s="7">
        <v>39.0</v>
      </c>
      <c r="L6507" s="8" t="s">
        <v>40617</v>
      </c>
      <c r="M6507" s="6" t="s">
        <v>40646</v>
      </c>
      <c r="N6507" s="6" t="s">
        <v>40619</v>
      </c>
      <c r="O6507" s="8" t="s">
        <v>40620</v>
      </c>
      <c r="P6507" s="6" t="s">
        <v>40621</v>
      </c>
      <c r="Q6507" s="6" t="s">
        <v>31</v>
      </c>
      <c r="R6507" s="6" t="s">
        <v>64</v>
      </c>
      <c r="S6507" s="8" t="s">
        <v>40622</v>
      </c>
      <c r="T6507" s="6" t="s">
        <v>66</v>
      </c>
      <c r="U6507" s="8" t="s">
        <v>31</v>
      </c>
      <c r="V6507" s="6" t="s">
        <v>196</v>
      </c>
      <c r="W6507" s="6" t="s">
        <v>40609</v>
      </c>
      <c r="X6507" s="9" t="str">
        <f>HYPERLINK("https://my.pitchbook.com?p=47014-12P","View People Online")</f>
        <v>View People Online</v>
      </c>
    </row>
    <row r="6508">
      <c r="A6508" s="10" t="s">
        <v>40647</v>
      </c>
      <c r="B6508" s="10" t="s">
        <v>32158</v>
      </c>
      <c r="C6508" s="10" t="s">
        <v>126</v>
      </c>
      <c r="D6508" s="10" t="s">
        <v>3275</v>
      </c>
      <c r="E6508" s="10" t="s">
        <v>40609</v>
      </c>
      <c r="F6508" s="10" t="s">
        <v>81</v>
      </c>
      <c r="G6508" s="10" t="s">
        <v>40648</v>
      </c>
      <c r="H6508" s="11">
        <v>5.0</v>
      </c>
      <c r="I6508" s="11">
        <v>11.0</v>
      </c>
      <c r="J6508" s="11">
        <v>1.0</v>
      </c>
      <c r="K6508" s="11">
        <v>3.0</v>
      </c>
      <c r="L6508" s="12" t="s">
        <v>40649</v>
      </c>
      <c r="M6508" s="10" t="s">
        <v>40650</v>
      </c>
      <c r="N6508" s="10" t="s">
        <v>40651</v>
      </c>
      <c r="O6508" s="12" t="s">
        <v>40652</v>
      </c>
      <c r="P6508" s="10" t="s">
        <v>40653</v>
      </c>
      <c r="Q6508" s="10" t="s">
        <v>31</v>
      </c>
      <c r="R6508" s="10" t="s">
        <v>15676</v>
      </c>
      <c r="S6508" s="12" t="s">
        <v>40654</v>
      </c>
      <c r="T6508" s="10" t="s">
        <v>66</v>
      </c>
      <c r="U6508" s="12" t="s">
        <v>31</v>
      </c>
      <c r="V6508" s="10" t="s">
        <v>2379</v>
      </c>
      <c r="W6508" s="10" t="s">
        <v>40655</v>
      </c>
      <c r="X6508" s="13" t="str">
        <f>HYPERLINK("https://my.pitchbook.com?p=47339-38P","View People Online")</f>
        <v>View People Online</v>
      </c>
    </row>
    <row r="6509">
      <c r="A6509" s="6" t="s">
        <v>40656</v>
      </c>
      <c r="B6509" s="6" t="s">
        <v>40657</v>
      </c>
      <c r="C6509" s="6" t="s">
        <v>2388</v>
      </c>
      <c r="D6509" s="6" t="s">
        <v>28073</v>
      </c>
      <c r="E6509" s="6" t="s">
        <v>40609</v>
      </c>
      <c r="F6509" s="6" t="s">
        <v>81</v>
      </c>
      <c r="G6509" s="6" t="s">
        <v>40658</v>
      </c>
      <c r="H6509" s="7" t="s">
        <v>31</v>
      </c>
      <c r="I6509" s="7">
        <v>1.0</v>
      </c>
      <c r="J6509" s="7" t="s">
        <v>31</v>
      </c>
      <c r="K6509" s="7" t="s">
        <v>31</v>
      </c>
      <c r="L6509" s="8" t="s">
        <v>40659</v>
      </c>
      <c r="M6509" s="6" t="s">
        <v>31</v>
      </c>
      <c r="N6509" s="6" t="s">
        <v>40619</v>
      </c>
      <c r="O6509" s="8" t="s">
        <v>40620</v>
      </c>
      <c r="P6509" s="6" t="s">
        <v>40621</v>
      </c>
      <c r="Q6509" s="6" t="s">
        <v>31</v>
      </c>
      <c r="R6509" s="6" t="s">
        <v>64</v>
      </c>
      <c r="S6509" s="8" t="s">
        <v>40622</v>
      </c>
      <c r="T6509" s="6" t="s">
        <v>66</v>
      </c>
      <c r="U6509" s="8" t="s">
        <v>31</v>
      </c>
      <c r="V6509" s="6" t="s">
        <v>81</v>
      </c>
      <c r="W6509" s="6" t="s">
        <v>40609</v>
      </c>
      <c r="X6509" s="9" t="str">
        <f>HYPERLINK("https://my.pitchbook.com?p=46175-68P","View People Online")</f>
        <v>View People Online</v>
      </c>
    </row>
    <row r="6510">
      <c r="A6510" s="2" t="s">
        <v>40660</v>
      </c>
      <c r="B6510" s="2" t="s">
        <v>40661</v>
      </c>
      <c r="C6510" s="2" t="s">
        <v>20894</v>
      </c>
      <c r="D6510" s="2" t="s">
        <v>40662</v>
      </c>
      <c r="E6510" s="2" t="s">
        <v>40609</v>
      </c>
      <c r="F6510" s="2" t="s">
        <v>81</v>
      </c>
      <c r="G6510" s="2" t="s">
        <v>40663</v>
      </c>
      <c r="H6510" s="3">
        <v>1.0</v>
      </c>
      <c r="I6510" s="3">
        <v>6.0</v>
      </c>
      <c r="J6510" s="3" t="s">
        <v>31</v>
      </c>
      <c r="K6510" s="3">
        <v>2.0</v>
      </c>
      <c r="L6510" s="4" t="s">
        <v>31</v>
      </c>
      <c r="M6510" s="2" t="s">
        <v>31</v>
      </c>
      <c r="N6510" s="2" t="s">
        <v>1170</v>
      </c>
      <c r="O6510" s="4" t="s">
        <v>1171</v>
      </c>
      <c r="P6510" s="2" t="s">
        <v>40664</v>
      </c>
      <c r="Q6510" s="2" t="s">
        <v>40665</v>
      </c>
      <c r="R6510" s="2" t="s">
        <v>64</v>
      </c>
      <c r="S6510" s="4" t="s">
        <v>40666</v>
      </c>
      <c r="T6510" s="2" t="s">
        <v>66</v>
      </c>
      <c r="U6510" s="4" t="s">
        <v>31</v>
      </c>
      <c r="V6510" s="2" t="s">
        <v>2379</v>
      </c>
      <c r="W6510" s="2" t="s">
        <v>40667</v>
      </c>
      <c r="X6510" s="5" t="str">
        <f>HYPERLINK("https://my.pitchbook.com?p=42361-21P","View People Online")</f>
        <v>View People Online</v>
      </c>
    </row>
    <row r="6511">
      <c r="A6511" s="6" t="s">
        <v>40668</v>
      </c>
      <c r="B6511" s="6" t="s">
        <v>40669</v>
      </c>
      <c r="C6511" s="6" t="s">
        <v>20889</v>
      </c>
      <c r="D6511" s="6" t="s">
        <v>40670</v>
      </c>
      <c r="E6511" s="6" t="s">
        <v>40609</v>
      </c>
      <c r="F6511" s="6" t="s">
        <v>81</v>
      </c>
      <c r="G6511" s="6" t="s">
        <v>40671</v>
      </c>
      <c r="H6511" s="7" t="s">
        <v>31</v>
      </c>
      <c r="I6511" s="7">
        <v>3.0</v>
      </c>
      <c r="J6511" s="7">
        <v>1.0</v>
      </c>
      <c r="K6511" s="7" t="s">
        <v>31</v>
      </c>
      <c r="L6511" s="8" t="s">
        <v>40672</v>
      </c>
      <c r="M6511" s="6" t="s">
        <v>31</v>
      </c>
      <c r="N6511" s="6" t="s">
        <v>155</v>
      </c>
      <c r="O6511" s="8" t="s">
        <v>156</v>
      </c>
      <c r="P6511" s="6" t="s">
        <v>40673</v>
      </c>
      <c r="Q6511" s="6" t="s">
        <v>6654</v>
      </c>
      <c r="R6511" s="6" t="s">
        <v>64</v>
      </c>
      <c r="S6511" s="8" t="s">
        <v>7780</v>
      </c>
      <c r="T6511" s="6" t="s">
        <v>66</v>
      </c>
      <c r="U6511" s="8" t="s">
        <v>31</v>
      </c>
      <c r="V6511" s="6" t="s">
        <v>2312</v>
      </c>
      <c r="W6511" s="6" t="s">
        <v>40674</v>
      </c>
      <c r="X6511" s="9" t="str">
        <f>HYPERLINK("https://my.pitchbook.com?p=88783-21P","View People Online")</f>
        <v>View People Online</v>
      </c>
    </row>
    <row r="6512">
      <c r="A6512" s="2" t="s">
        <v>40675</v>
      </c>
      <c r="B6512" s="2" t="s">
        <v>40676</v>
      </c>
      <c r="C6512" s="2" t="s">
        <v>4015</v>
      </c>
      <c r="D6512" s="2" t="s">
        <v>40677</v>
      </c>
      <c r="E6512" s="2" t="s">
        <v>40609</v>
      </c>
      <c r="F6512" s="2" t="s">
        <v>81</v>
      </c>
      <c r="G6512" s="2" t="s">
        <v>40678</v>
      </c>
      <c r="H6512" s="3">
        <v>1.0</v>
      </c>
      <c r="I6512" s="3">
        <v>25.0</v>
      </c>
      <c r="J6512" s="3">
        <v>2.0</v>
      </c>
      <c r="K6512" s="3">
        <v>20.0</v>
      </c>
      <c r="L6512" s="4" t="s">
        <v>31</v>
      </c>
      <c r="M6512" s="2" t="s">
        <v>40679</v>
      </c>
      <c r="N6512" s="2" t="s">
        <v>40680</v>
      </c>
      <c r="O6512" s="4" t="s">
        <v>40681</v>
      </c>
      <c r="P6512" s="2" t="s">
        <v>40682</v>
      </c>
      <c r="Q6512" s="2" t="s">
        <v>40683</v>
      </c>
      <c r="R6512" s="2" t="s">
        <v>40684</v>
      </c>
      <c r="S6512" s="4" t="s">
        <v>40685</v>
      </c>
      <c r="T6512" s="2" t="s">
        <v>66</v>
      </c>
      <c r="U6512" s="4" t="s">
        <v>31</v>
      </c>
      <c r="V6512" s="2" t="s">
        <v>558</v>
      </c>
      <c r="W6512" s="2" t="s">
        <v>40686</v>
      </c>
      <c r="X6512" s="5" t="str">
        <f>HYPERLINK("https://my.pitchbook.com?p=36502-39P","View People Online")</f>
        <v>View People Online</v>
      </c>
    </row>
    <row r="6513">
      <c r="A6513" s="14" t="s">
        <v>40687</v>
      </c>
      <c r="B6513" s="14" t="s">
        <v>40688</v>
      </c>
      <c r="C6513" s="14" t="s">
        <v>9581</v>
      </c>
      <c r="D6513" s="14" t="s">
        <v>40689</v>
      </c>
      <c r="E6513" s="14" t="s">
        <v>40609</v>
      </c>
      <c r="F6513" s="14" t="s">
        <v>81</v>
      </c>
      <c r="G6513" s="14" t="s">
        <v>40690</v>
      </c>
      <c r="H6513" s="15" t="s">
        <v>31</v>
      </c>
      <c r="I6513" s="15">
        <v>1.0</v>
      </c>
      <c r="J6513" s="15" t="s">
        <v>31</v>
      </c>
      <c r="K6513" s="15" t="s">
        <v>31</v>
      </c>
      <c r="L6513" s="16" t="s">
        <v>40617</v>
      </c>
      <c r="M6513" s="14" t="s">
        <v>31</v>
      </c>
      <c r="N6513" s="14" t="s">
        <v>40619</v>
      </c>
      <c r="O6513" s="16" t="s">
        <v>40620</v>
      </c>
      <c r="P6513" s="14" t="s">
        <v>40621</v>
      </c>
      <c r="Q6513" s="14" t="s">
        <v>31</v>
      </c>
      <c r="R6513" s="14" t="s">
        <v>64</v>
      </c>
      <c r="S6513" s="16" t="s">
        <v>40622</v>
      </c>
      <c r="T6513" s="14" t="s">
        <v>66</v>
      </c>
      <c r="U6513" s="16" t="s">
        <v>31</v>
      </c>
      <c r="V6513" s="14" t="s">
        <v>81</v>
      </c>
      <c r="W6513" s="14" t="s">
        <v>40609</v>
      </c>
      <c r="X6513" s="17" t="str">
        <f>HYPERLINK("https://my.pitchbook.com?p=79523-83P","View People Online")</f>
        <v>View People Online</v>
      </c>
    </row>
    <row r="6514">
      <c r="A6514" s="10" t="s">
        <v>40691</v>
      </c>
      <c r="B6514" s="10" t="s">
        <v>40692</v>
      </c>
      <c r="C6514" s="10" t="s">
        <v>40693</v>
      </c>
      <c r="D6514" s="10" t="s">
        <v>5302</v>
      </c>
      <c r="E6514" s="10" t="s">
        <v>40609</v>
      </c>
      <c r="F6514" s="10" t="s">
        <v>189</v>
      </c>
      <c r="G6514" s="10" t="s">
        <v>40694</v>
      </c>
      <c r="H6514" s="11">
        <v>7.0</v>
      </c>
      <c r="I6514" s="11">
        <v>82.0</v>
      </c>
      <c r="J6514" s="11">
        <v>1.0</v>
      </c>
      <c r="K6514" s="11">
        <v>59.0</v>
      </c>
      <c r="L6514" s="12" t="s">
        <v>40617</v>
      </c>
      <c r="M6514" s="10" t="s">
        <v>40695</v>
      </c>
      <c r="N6514" s="10" t="s">
        <v>40619</v>
      </c>
      <c r="O6514" s="12" t="s">
        <v>40620</v>
      </c>
      <c r="P6514" s="10" t="s">
        <v>40621</v>
      </c>
      <c r="Q6514" s="10" t="s">
        <v>31</v>
      </c>
      <c r="R6514" s="10" t="s">
        <v>64</v>
      </c>
      <c r="S6514" s="12" t="s">
        <v>40622</v>
      </c>
      <c r="T6514" s="10" t="s">
        <v>66</v>
      </c>
      <c r="U6514" s="12" t="s">
        <v>31</v>
      </c>
      <c r="V6514" s="10" t="s">
        <v>196</v>
      </c>
      <c r="W6514" s="10" t="s">
        <v>40609</v>
      </c>
      <c r="X6514" s="13" t="str">
        <f>HYPERLINK("https://my.pitchbook.com?p=13463-74P","View People Online")</f>
        <v>View People Online</v>
      </c>
    </row>
    <row r="6515">
      <c r="A6515" s="6" t="s">
        <v>40696</v>
      </c>
      <c r="B6515" s="6" t="s">
        <v>40697</v>
      </c>
      <c r="C6515" s="6" t="s">
        <v>3716</v>
      </c>
      <c r="D6515" s="6" t="s">
        <v>40698</v>
      </c>
      <c r="E6515" s="6" t="s">
        <v>40609</v>
      </c>
      <c r="F6515" s="6" t="s">
        <v>81</v>
      </c>
      <c r="G6515" s="6" t="s">
        <v>40699</v>
      </c>
      <c r="H6515" s="7">
        <v>3.0</v>
      </c>
      <c r="I6515" s="7">
        <v>282.0</v>
      </c>
      <c r="J6515" s="7">
        <v>1.0</v>
      </c>
      <c r="K6515" s="7">
        <v>274.0</v>
      </c>
      <c r="L6515" s="8" t="s">
        <v>40700</v>
      </c>
      <c r="M6515" s="6" t="s">
        <v>31</v>
      </c>
      <c r="N6515" s="6" t="s">
        <v>986</v>
      </c>
      <c r="O6515" s="8" t="s">
        <v>987</v>
      </c>
      <c r="P6515" s="6" t="s">
        <v>40701</v>
      </c>
      <c r="Q6515" s="6" t="s">
        <v>31</v>
      </c>
      <c r="R6515" s="6" t="s">
        <v>64</v>
      </c>
      <c r="S6515" s="8" t="s">
        <v>40702</v>
      </c>
      <c r="T6515" s="6" t="s">
        <v>66</v>
      </c>
      <c r="U6515" s="8" t="s">
        <v>40703</v>
      </c>
      <c r="V6515" s="6" t="s">
        <v>40704</v>
      </c>
      <c r="W6515" s="6" t="s">
        <v>40705</v>
      </c>
      <c r="X6515" s="9" t="str">
        <f>HYPERLINK("https://my.pitchbook.com?p=41303-17P","View People Online")</f>
        <v>View People Online</v>
      </c>
    </row>
    <row r="6516">
      <c r="A6516" s="10" t="s">
        <v>40706</v>
      </c>
      <c r="B6516" s="10" t="s">
        <v>40707</v>
      </c>
      <c r="C6516" s="10" t="s">
        <v>13114</v>
      </c>
      <c r="D6516" s="10" t="s">
        <v>40708</v>
      </c>
      <c r="E6516" s="10" t="s">
        <v>40609</v>
      </c>
      <c r="F6516" s="10" t="s">
        <v>81</v>
      </c>
      <c r="G6516" s="10" t="s">
        <v>40709</v>
      </c>
      <c r="H6516" s="11">
        <v>6.0</v>
      </c>
      <c r="I6516" s="11">
        <v>19.0</v>
      </c>
      <c r="J6516" s="11">
        <v>2.0</v>
      </c>
      <c r="K6516" s="11">
        <v>8.0</v>
      </c>
      <c r="L6516" s="12" t="s">
        <v>40710</v>
      </c>
      <c r="M6516" s="10" t="s">
        <v>31</v>
      </c>
      <c r="N6516" s="10" t="s">
        <v>775</v>
      </c>
      <c r="O6516" s="12" t="s">
        <v>776</v>
      </c>
      <c r="P6516" s="10" t="s">
        <v>40711</v>
      </c>
      <c r="Q6516" s="10" t="s">
        <v>31</v>
      </c>
      <c r="R6516" s="10" t="s">
        <v>64</v>
      </c>
      <c r="S6516" s="12" t="s">
        <v>40712</v>
      </c>
      <c r="T6516" s="10" t="s">
        <v>66</v>
      </c>
      <c r="U6516" s="12" t="s">
        <v>31</v>
      </c>
      <c r="V6516" s="10" t="s">
        <v>40713</v>
      </c>
      <c r="W6516" s="10" t="s">
        <v>40714</v>
      </c>
      <c r="X6516" s="13" t="str">
        <f>HYPERLINK("https://my.pitchbook.com?p=41574-52P","View People Online")</f>
        <v>View People Online</v>
      </c>
    </row>
    <row r="6517">
      <c r="A6517" s="14" t="s">
        <v>40715</v>
      </c>
      <c r="B6517" s="14" t="s">
        <v>40716</v>
      </c>
      <c r="C6517" s="14" t="s">
        <v>263</v>
      </c>
      <c r="D6517" s="14" t="s">
        <v>40717</v>
      </c>
      <c r="E6517" s="14" t="s">
        <v>40718</v>
      </c>
      <c r="F6517" s="14" t="s">
        <v>38794</v>
      </c>
      <c r="G6517" s="14" t="s">
        <v>40719</v>
      </c>
      <c r="H6517" s="15" t="s">
        <v>31</v>
      </c>
      <c r="I6517" s="15">
        <v>1.0</v>
      </c>
      <c r="J6517" s="15">
        <v>1.0</v>
      </c>
      <c r="K6517" s="15" t="s">
        <v>31</v>
      </c>
      <c r="L6517" s="16" t="s">
        <v>40720</v>
      </c>
      <c r="M6517" s="14" t="s">
        <v>40721</v>
      </c>
      <c r="N6517" s="14" t="s">
        <v>36600</v>
      </c>
      <c r="O6517" s="16" t="s">
        <v>36601</v>
      </c>
      <c r="P6517" s="14" t="s">
        <v>40722</v>
      </c>
      <c r="Q6517" s="14" t="s">
        <v>31</v>
      </c>
      <c r="R6517" s="14" t="s">
        <v>10017</v>
      </c>
      <c r="S6517" s="16" t="s">
        <v>40723</v>
      </c>
      <c r="T6517" s="14" t="s">
        <v>66</v>
      </c>
      <c r="U6517" s="16" t="s">
        <v>31</v>
      </c>
      <c r="V6517" s="14" t="s">
        <v>6970</v>
      </c>
      <c r="W6517" s="14" t="s">
        <v>40718</v>
      </c>
      <c r="X6517" s="17" t="str">
        <f>HYPERLINK("https://my.pitchbook.com?p=172038-52P","View People Online")</f>
        <v>View People Online</v>
      </c>
    </row>
    <row r="6518">
      <c r="A6518" s="2" t="s">
        <v>40724</v>
      </c>
      <c r="B6518" s="2" t="s">
        <v>40725</v>
      </c>
      <c r="C6518" s="2" t="s">
        <v>2871</v>
      </c>
      <c r="D6518" s="2" t="s">
        <v>6218</v>
      </c>
      <c r="E6518" s="2" t="s">
        <v>40718</v>
      </c>
      <c r="F6518" s="2" t="s">
        <v>1459</v>
      </c>
      <c r="G6518" s="2" t="s">
        <v>40726</v>
      </c>
      <c r="H6518" s="3" t="s">
        <v>31</v>
      </c>
      <c r="I6518" s="3">
        <v>2.0</v>
      </c>
      <c r="J6518" s="3">
        <v>1.0</v>
      </c>
      <c r="K6518" s="3">
        <v>1.0</v>
      </c>
      <c r="L6518" s="4" t="s">
        <v>40720</v>
      </c>
      <c r="M6518" s="2" t="s">
        <v>40727</v>
      </c>
      <c r="N6518" s="2" t="s">
        <v>36600</v>
      </c>
      <c r="O6518" s="4" t="s">
        <v>36601</v>
      </c>
      <c r="P6518" s="2" t="s">
        <v>40722</v>
      </c>
      <c r="Q6518" s="2" t="s">
        <v>31</v>
      </c>
      <c r="R6518" s="2" t="s">
        <v>10017</v>
      </c>
      <c r="S6518" s="4" t="s">
        <v>40723</v>
      </c>
      <c r="T6518" s="2" t="s">
        <v>66</v>
      </c>
      <c r="U6518" s="4" t="s">
        <v>31</v>
      </c>
      <c r="V6518" s="2" t="s">
        <v>28509</v>
      </c>
      <c r="W6518" s="2" t="s">
        <v>40718</v>
      </c>
      <c r="X6518" s="5" t="str">
        <f>HYPERLINK("https://my.pitchbook.com?p=172038-70P","View People Online")</f>
        <v>View People Online</v>
      </c>
    </row>
    <row r="6519">
      <c r="A6519" s="6" t="s">
        <v>40728</v>
      </c>
      <c r="B6519" s="6" t="s">
        <v>40729</v>
      </c>
      <c r="C6519" s="6" t="s">
        <v>3040</v>
      </c>
      <c r="D6519" s="6" t="s">
        <v>40730</v>
      </c>
      <c r="E6519" s="6" t="s">
        <v>40718</v>
      </c>
      <c r="F6519" s="6" t="s">
        <v>270</v>
      </c>
      <c r="G6519" s="6" t="s">
        <v>40731</v>
      </c>
      <c r="H6519" s="7" t="s">
        <v>31</v>
      </c>
      <c r="I6519" s="7">
        <v>1.0</v>
      </c>
      <c r="J6519" s="7">
        <v>1.0</v>
      </c>
      <c r="K6519" s="7" t="s">
        <v>31</v>
      </c>
      <c r="L6519" s="8" t="s">
        <v>40720</v>
      </c>
      <c r="M6519" s="6" t="s">
        <v>40732</v>
      </c>
      <c r="N6519" s="6" t="s">
        <v>36600</v>
      </c>
      <c r="O6519" s="8" t="s">
        <v>36601</v>
      </c>
      <c r="P6519" s="6" t="s">
        <v>40722</v>
      </c>
      <c r="Q6519" s="6" t="s">
        <v>31</v>
      </c>
      <c r="R6519" s="6" t="s">
        <v>10017</v>
      </c>
      <c r="S6519" s="8" t="s">
        <v>40723</v>
      </c>
      <c r="T6519" s="6" t="s">
        <v>66</v>
      </c>
      <c r="U6519" s="8" t="s">
        <v>31</v>
      </c>
      <c r="V6519" s="6" t="s">
        <v>13081</v>
      </c>
      <c r="W6519" s="6" t="s">
        <v>40718</v>
      </c>
      <c r="X6519" s="9" t="str">
        <f>HYPERLINK("https://my.pitchbook.com?p=66600-46P","View People Online")</f>
        <v>View People Online</v>
      </c>
    </row>
    <row r="6520">
      <c r="A6520" s="10" t="s">
        <v>40733</v>
      </c>
      <c r="B6520" s="10" t="s">
        <v>40734</v>
      </c>
      <c r="C6520" s="10" t="s">
        <v>4009</v>
      </c>
      <c r="D6520" s="10" t="s">
        <v>1645</v>
      </c>
      <c r="E6520" s="10" t="s">
        <v>40718</v>
      </c>
      <c r="F6520" s="10" t="s">
        <v>12225</v>
      </c>
      <c r="G6520" s="10" t="s">
        <v>40735</v>
      </c>
      <c r="H6520" s="11">
        <v>1.0</v>
      </c>
      <c r="I6520" s="11">
        <v>1.0</v>
      </c>
      <c r="J6520" s="11">
        <v>1.0</v>
      </c>
      <c r="K6520" s="11" t="s">
        <v>31</v>
      </c>
      <c r="L6520" s="12" t="s">
        <v>40736</v>
      </c>
      <c r="M6520" s="10" t="s">
        <v>40737</v>
      </c>
      <c r="N6520" s="10" t="s">
        <v>36600</v>
      </c>
      <c r="O6520" s="12" t="s">
        <v>36601</v>
      </c>
      <c r="P6520" s="10" t="s">
        <v>40722</v>
      </c>
      <c r="Q6520" s="10" t="s">
        <v>31</v>
      </c>
      <c r="R6520" s="10" t="s">
        <v>10017</v>
      </c>
      <c r="S6520" s="12" t="s">
        <v>40723</v>
      </c>
      <c r="T6520" s="10" t="s">
        <v>66</v>
      </c>
      <c r="U6520" s="12" t="s">
        <v>31</v>
      </c>
      <c r="V6520" s="10" t="s">
        <v>3930</v>
      </c>
      <c r="W6520" s="10" t="s">
        <v>40718</v>
      </c>
      <c r="X6520" s="13" t="str">
        <f>HYPERLINK("https://my.pitchbook.com?p=171934-66P","View People Online")</f>
        <v>View People Online</v>
      </c>
    </row>
    <row r="6521">
      <c r="A6521" s="14" t="s">
        <v>40738</v>
      </c>
      <c r="B6521" s="14" t="s">
        <v>40739</v>
      </c>
      <c r="C6521" s="14" t="s">
        <v>4591</v>
      </c>
      <c r="D6521" s="14" t="s">
        <v>40740</v>
      </c>
      <c r="E6521" s="14" t="s">
        <v>40718</v>
      </c>
      <c r="F6521" s="14" t="s">
        <v>502</v>
      </c>
      <c r="G6521" s="14" t="s">
        <v>40741</v>
      </c>
      <c r="H6521" s="15" t="s">
        <v>31</v>
      </c>
      <c r="I6521" s="15">
        <v>1.0</v>
      </c>
      <c r="J6521" s="15">
        <v>1.0</v>
      </c>
      <c r="K6521" s="15" t="s">
        <v>31</v>
      </c>
      <c r="L6521" s="16" t="s">
        <v>40720</v>
      </c>
      <c r="M6521" s="14" t="s">
        <v>40742</v>
      </c>
      <c r="N6521" s="14" t="s">
        <v>36600</v>
      </c>
      <c r="O6521" s="16" t="s">
        <v>36601</v>
      </c>
      <c r="P6521" s="14" t="s">
        <v>40722</v>
      </c>
      <c r="Q6521" s="14" t="s">
        <v>31</v>
      </c>
      <c r="R6521" s="14" t="s">
        <v>10017</v>
      </c>
      <c r="S6521" s="16" t="s">
        <v>40723</v>
      </c>
      <c r="T6521" s="14" t="s">
        <v>66</v>
      </c>
      <c r="U6521" s="16" t="s">
        <v>31</v>
      </c>
      <c r="V6521" s="14" t="s">
        <v>502</v>
      </c>
      <c r="W6521" s="14" t="s">
        <v>40718</v>
      </c>
      <c r="X6521" s="17" t="str">
        <f>HYPERLINK("https://my.pitchbook.com?p=337591-00P","View People Online")</f>
        <v>View People Online</v>
      </c>
    </row>
    <row r="6522">
      <c r="A6522" s="2" t="s">
        <v>40743</v>
      </c>
      <c r="B6522" s="2" t="s">
        <v>40744</v>
      </c>
      <c r="C6522" s="2" t="s">
        <v>40745</v>
      </c>
      <c r="D6522" s="2" t="s">
        <v>2014</v>
      </c>
      <c r="E6522" s="2" t="s">
        <v>40718</v>
      </c>
      <c r="F6522" s="2" t="s">
        <v>825</v>
      </c>
      <c r="G6522" s="2" t="s">
        <v>40746</v>
      </c>
      <c r="H6522" s="3" t="s">
        <v>31</v>
      </c>
      <c r="I6522" s="3">
        <v>1.0</v>
      </c>
      <c r="J6522" s="3">
        <v>1.0</v>
      </c>
      <c r="K6522" s="3" t="s">
        <v>31</v>
      </c>
      <c r="L6522" s="4" t="s">
        <v>40720</v>
      </c>
      <c r="M6522" s="2" t="s">
        <v>40747</v>
      </c>
      <c r="N6522" s="2" t="s">
        <v>36600</v>
      </c>
      <c r="O6522" s="4" t="s">
        <v>36601</v>
      </c>
      <c r="P6522" s="2" t="s">
        <v>40722</v>
      </c>
      <c r="Q6522" s="2" t="s">
        <v>31</v>
      </c>
      <c r="R6522" s="2" t="s">
        <v>10017</v>
      </c>
      <c r="S6522" s="4" t="s">
        <v>40723</v>
      </c>
      <c r="T6522" s="2" t="s">
        <v>66</v>
      </c>
      <c r="U6522" s="4" t="s">
        <v>31</v>
      </c>
      <c r="V6522" s="2" t="s">
        <v>40748</v>
      </c>
      <c r="W6522" s="2" t="s">
        <v>40718</v>
      </c>
      <c r="X6522" s="5" t="str">
        <f>HYPERLINK("https://my.pitchbook.com?p=405042-04P","View People Online")</f>
        <v>View People Online</v>
      </c>
    </row>
    <row r="6523">
      <c r="A6523" s="6" t="s">
        <v>40749</v>
      </c>
      <c r="B6523" s="6" t="s">
        <v>40750</v>
      </c>
      <c r="C6523" s="6" t="s">
        <v>323</v>
      </c>
      <c r="D6523" s="6" t="s">
        <v>40751</v>
      </c>
      <c r="E6523" s="6" t="s">
        <v>40752</v>
      </c>
      <c r="F6523" s="6" t="s">
        <v>3652</v>
      </c>
      <c r="G6523" s="6" t="s">
        <v>40753</v>
      </c>
      <c r="H6523" s="7">
        <v>1.0</v>
      </c>
      <c r="I6523" s="7">
        <v>2.0</v>
      </c>
      <c r="J6523" s="7">
        <v>2.0</v>
      </c>
      <c r="K6523" s="7" t="s">
        <v>31</v>
      </c>
      <c r="L6523" s="8" t="s">
        <v>40754</v>
      </c>
      <c r="M6523" s="6" t="s">
        <v>40755</v>
      </c>
      <c r="N6523" s="6" t="s">
        <v>39956</v>
      </c>
      <c r="O6523" s="8" t="s">
        <v>39957</v>
      </c>
      <c r="P6523" s="6" t="s">
        <v>40756</v>
      </c>
      <c r="Q6523" s="6" t="s">
        <v>31</v>
      </c>
      <c r="R6523" s="6" t="s">
        <v>24259</v>
      </c>
      <c r="S6523" s="8" t="s">
        <v>40757</v>
      </c>
      <c r="T6523" s="6" t="s">
        <v>66</v>
      </c>
      <c r="U6523" s="8" t="s">
        <v>31</v>
      </c>
      <c r="V6523" s="6" t="s">
        <v>502</v>
      </c>
      <c r="W6523" s="6" t="s">
        <v>40758</v>
      </c>
      <c r="X6523" s="9" t="str">
        <f>HYPERLINK("https://my.pitchbook.com?p=179366-68P","View People Online")</f>
        <v>View People Online</v>
      </c>
    </row>
    <row r="6524">
      <c r="A6524" s="10" t="s">
        <v>40759</v>
      </c>
      <c r="B6524" s="10" t="s">
        <v>40760</v>
      </c>
      <c r="C6524" s="10" t="s">
        <v>666</v>
      </c>
      <c r="D6524" s="10" t="s">
        <v>18117</v>
      </c>
      <c r="E6524" s="10" t="s">
        <v>40752</v>
      </c>
      <c r="F6524" s="10" t="s">
        <v>40761</v>
      </c>
      <c r="G6524" s="10" t="s">
        <v>40762</v>
      </c>
      <c r="H6524" s="11">
        <v>1.0</v>
      </c>
      <c r="I6524" s="11">
        <v>32.0</v>
      </c>
      <c r="J6524" s="11">
        <v>1.0</v>
      </c>
      <c r="K6524" s="11">
        <v>31.0</v>
      </c>
      <c r="L6524" s="12" t="s">
        <v>40763</v>
      </c>
      <c r="M6524" s="10" t="s">
        <v>31</v>
      </c>
      <c r="N6524" s="10" t="s">
        <v>1416</v>
      </c>
      <c r="O6524" s="12" t="s">
        <v>1417</v>
      </c>
      <c r="P6524" s="10" t="s">
        <v>40764</v>
      </c>
      <c r="Q6524" s="10" t="s">
        <v>40765</v>
      </c>
      <c r="R6524" s="10" t="s">
        <v>1420</v>
      </c>
      <c r="S6524" s="12" t="s">
        <v>6302</v>
      </c>
      <c r="T6524" s="10" t="s">
        <v>66</v>
      </c>
      <c r="U6524" s="12" t="s">
        <v>31</v>
      </c>
      <c r="V6524" s="10" t="s">
        <v>40766</v>
      </c>
      <c r="W6524" s="10" t="s">
        <v>40752</v>
      </c>
      <c r="X6524" s="13" t="str">
        <f>HYPERLINK("https://my.pitchbook.com?p=367759-27P","View People Online")</f>
        <v>View People Online</v>
      </c>
    </row>
    <row r="6525">
      <c r="A6525" s="6" t="s">
        <v>40767</v>
      </c>
      <c r="B6525" s="6" t="s">
        <v>40768</v>
      </c>
      <c r="C6525" s="6" t="s">
        <v>39561</v>
      </c>
      <c r="D6525" s="6" t="s">
        <v>28011</v>
      </c>
      <c r="E6525" s="6" t="s">
        <v>40752</v>
      </c>
      <c r="F6525" s="6" t="s">
        <v>40769</v>
      </c>
      <c r="G6525" s="6" t="s">
        <v>40770</v>
      </c>
      <c r="H6525" s="7">
        <v>1.0</v>
      </c>
      <c r="I6525" s="7">
        <v>1.0</v>
      </c>
      <c r="J6525" s="7">
        <v>1.0</v>
      </c>
      <c r="K6525" s="7" t="s">
        <v>31</v>
      </c>
      <c r="L6525" s="8" t="s">
        <v>31</v>
      </c>
      <c r="M6525" s="6" t="s">
        <v>31</v>
      </c>
      <c r="N6525" s="6" t="s">
        <v>1416</v>
      </c>
      <c r="O6525" s="8" t="s">
        <v>1417</v>
      </c>
      <c r="P6525" s="6" t="s">
        <v>40764</v>
      </c>
      <c r="Q6525" s="6" t="s">
        <v>40765</v>
      </c>
      <c r="R6525" s="6" t="s">
        <v>1420</v>
      </c>
      <c r="S6525" s="8" t="s">
        <v>6302</v>
      </c>
      <c r="T6525" s="6" t="s">
        <v>66</v>
      </c>
      <c r="U6525" s="8" t="s">
        <v>31</v>
      </c>
      <c r="V6525" s="6" t="s">
        <v>40771</v>
      </c>
      <c r="W6525" s="6" t="s">
        <v>40752</v>
      </c>
      <c r="X6525" s="9" t="str">
        <f>HYPERLINK("https://my.pitchbook.com?p=402260-59P","View People Online")</f>
        <v>View People Online</v>
      </c>
    </row>
    <row r="6526">
      <c r="A6526" s="2" t="s">
        <v>40772</v>
      </c>
      <c r="B6526" s="2" t="s">
        <v>40773</v>
      </c>
      <c r="C6526" s="2" t="s">
        <v>40774</v>
      </c>
      <c r="D6526" s="2" t="s">
        <v>6524</v>
      </c>
      <c r="E6526" s="2" t="s">
        <v>40752</v>
      </c>
      <c r="F6526" s="2" t="s">
        <v>6525</v>
      </c>
      <c r="G6526" s="2" t="s">
        <v>40775</v>
      </c>
      <c r="H6526" s="3" t="s">
        <v>31</v>
      </c>
      <c r="I6526" s="3">
        <v>2.0</v>
      </c>
      <c r="J6526" s="3">
        <v>2.0</v>
      </c>
      <c r="K6526" s="3" t="s">
        <v>31</v>
      </c>
      <c r="L6526" s="4" t="s">
        <v>40776</v>
      </c>
      <c r="M6526" s="2" t="s">
        <v>40777</v>
      </c>
      <c r="N6526" s="2" t="s">
        <v>32123</v>
      </c>
      <c r="O6526" s="4" t="s">
        <v>32124</v>
      </c>
      <c r="P6526" s="2" t="s">
        <v>40778</v>
      </c>
      <c r="Q6526" s="2" t="s">
        <v>6841</v>
      </c>
      <c r="R6526" s="2" t="s">
        <v>64</v>
      </c>
      <c r="S6526" s="4" t="s">
        <v>32126</v>
      </c>
      <c r="T6526" s="2" t="s">
        <v>66</v>
      </c>
      <c r="U6526" s="4" t="s">
        <v>31</v>
      </c>
      <c r="V6526" s="2" t="s">
        <v>502</v>
      </c>
      <c r="W6526" s="2" t="s">
        <v>40779</v>
      </c>
      <c r="X6526" s="5" t="str">
        <f>HYPERLINK("https://my.pitchbook.com?p=401892-13P","View People Online")</f>
        <v>View People Online</v>
      </c>
    </row>
    <row r="6527">
      <c r="A6527" s="14" t="s">
        <v>40780</v>
      </c>
      <c r="B6527" s="14" t="s">
        <v>40781</v>
      </c>
      <c r="C6527" s="14" t="s">
        <v>40782</v>
      </c>
      <c r="D6527" s="14" t="s">
        <v>40783</v>
      </c>
      <c r="E6527" s="14" t="s">
        <v>40784</v>
      </c>
      <c r="F6527" s="14" t="s">
        <v>270</v>
      </c>
      <c r="G6527" s="14" t="s">
        <v>40785</v>
      </c>
      <c r="H6527" s="15" t="s">
        <v>31</v>
      </c>
      <c r="I6527" s="15">
        <v>1.0</v>
      </c>
      <c r="J6527" s="15">
        <v>1.0</v>
      </c>
      <c r="K6527" s="15" t="s">
        <v>31</v>
      </c>
      <c r="L6527" s="16" t="s">
        <v>40786</v>
      </c>
      <c r="M6527" s="14" t="s">
        <v>40787</v>
      </c>
      <c r="N6527" s="14" t="s">
        <v>243</v>
      </c>
      <c r="O6527" s="16" t="s">
        <v>244</v>
      </c>
      <c r="P6527" s="14" t="s">
        <v>40788</v>
      </c>
      <c r="Q6527" s="14" t="s">
        <v>40789</v>
      </c>
      <c r="R6527" s="14" t="s">
        <v>247</v>
      </c>
      <c r="S6527" s="16" t="s">
        <v>40790</v>
      </c>
      <c r="T6527" s="14" t="s">
        <v>249</v>
      </c>
      <c r="U6527" s="16" t="s">
        <v>31</v>
      </c>
      <c r="V6527" s="14" t="s">
        <v>13081</v>
      </c>
      <c r="W6527" s="14" t="s">
        <v>40784</v>
      </c>
      <c r="X6527" s="17" t="str">
        <f>HYPERLINK("https://my.pitchbook.com?p=407202-04P","View People Online")</f>
        <v>View People Online</v>
      </c>
    </row>
    <row r="6528">
      <c r="A6528" s="10" t="s">
        <v>40791</v>
      </c>
      <c r="B6528" s="10" t="s">
        <v>40792</v>
      </c>
      <c r="C6528" s="10" t="s">
        <v>186</v>
      </c>
      <c r="D6528" s="10" t="s">
        <v>19822</v>
      </c>
      <c r="E6528" s="10" t="s">
        <v>40784</v>
      </c>
      <c r="F6528" s="10" t="s">
        <v>1283</v>
      </c>
      <c r="G6528" s="10" t="s">
        <v>40793</v>
      </c>
      <c r="H6528" s="11" t="s">
        <v>31</v>
      </c>
      <c r="I6528" s="11">
        <v>3.0</v>
      </c>
      <c r="J6528" s="11">
        <v>2.0</v>
      </c>
      <c r="K6528" s="11">
        <v>1.0</v>
      </c>
      <c r="L6528" s="12" t="s">
        <v>31</v>
      </c>
      <c r="M6528" s="10" t="s">
        <v>31</v>
      </c>
      <c r="N6528" s="10" t="s">
        <v>155</v>
      </c>
      <c r="O6528" s="12" t="s">
        <v>156</v>
      </c>
      <c r="P6528" s="10" t="s">
        <v>31</v>
      </c>
      <c r="Q6528" s="10" t="s">
        <v>31</v>
      </c>
      <c r="R6528" s="10" t="s">
        <v>64</v>
      </c>
      <c r="S6528" s="12" t="s">
        <v>31</v>
      </c>
      <c r="T6528" s="10" t="s">
        <v>66</v>
      </c>
      <c r="U6528" s="12" t="s">
        <v>31</v>
      </c>
      <c r="V6528" s="10" t="s">
        <v>157</v>
      </c>
      <c r="W6528" s="10" t="s">
        <v>40794</v>
      </c>
      <c r="X6528" s="13" t="str">
        <f>HYPERLINK("https://my.pitchbook.com?p=40407-85P","View People Online")</f>
        <v>View People Online</v>
      </c>
    </row>
    <row r="6529">
      <c r="A6529" s="14" t="s">
        <v>40795</v>
      </c>
      <c r="B6529" s="14" t="s">
        <v>40796</v>
      </c>
      <c r="C6529" s="14" t="s">
        <v>1117</v>
      </c>
      <c r="D6529" s="14" t="s">
        <v>8234</v>
      </c>
      <c r="E6529" s="14" t="s">
        <v>40784</v>
      </c>
      <c r="F6529" s="14" t="s">
        <v>221</v>
      </c>
      <c r="G6529" s="14" t="s">
        <v>40797</v>
      </c>
      <c r="H6529" s="15" t="s">
        <v>31</v>
      </c>
      <c r="I6529" s="15">
        <v>1.0</v>
      </c>
      <c r="J6529" s="15">
        <v>1.0</v>
      </c>
      <c r="K6529" s="15" t="s">
        <v>31</v>
      </c>
      <c r="L6529" s="16" t="s">
        <v>40786</v>
      </c>
      <c r="M6529" s="14" t="s">
        <v>40798</v>
      </c>
      <c r="N6529" s="14" t="s">
        <v>243</v>
      </c>
      <c r="O6529" s="16" t="s">
        <v>244</v>
      </c>
      <c r="P6529" s="14" t="s">
        <v>40788</v>
      </c>
      <c r="Q6529" s="14" t="s">
        <v>40789</v>
      </c>
      <c r="R6529" s="14" t="s">
        <v>247</v>
      </c>
      <c r="S6529" s="16" t="s">
        <v>40790</v>
      </c>
      <c r="T6529" s="14" t="s">
        <v>249</v>
      </c>
      <c r="U6529" s="16" t="s">
        <v>31</v>
      </c>
      <c r="V6529" s="14" t="s">
        <v>221</v>
      </c>
      <c r="W6529" s="14" t="s">
        <v>40784</v>
      </c>
      <c r="X6529" s="17" t="str">
        <f>HYPERLINK("https://my.pitchbook.com?p=411190-21P","View People Online")</f>
        <v>View People Online</v>
      </c>
    </row>
    <row r="6530">
      <c r="A6530" s="2" t="s">
        <v>40799</v>
      </c>
      <c r="B6530" s="2" t="s">
        <v>40800</v>
      </c>
      <c r="C6530" s="2" t="s">
        <v>30422</v>
      </c>
      <c r="D6530" s="2" t="s">
        <v>33038</v>
      </c>
      <c r="E6530" s="2" t="s">
        <v>40784</v>
      </c>
      <c r="F6530" s="2" t="s">
        <v>1283</v>
      </c>
      <c r="G6530" s="2" t="s">
        <v>40801</v>
      </c>
      <c r="H6530" s="3" t="s">
        <v>31</v>
      </c>
      <c r="I6530" s="3">
        <v>3.0</v>
      </c>
      <c r="J6530" s="3">
        <v>1.0</v>
      </c>
      <c r="K6530" s="3">
        <v>2.0</v>
      </c>
      <c r="L6530" s="4" t="s">
        <v>40786</v>
      </c>
      <c r="M6530" s="2" t="s">
        <v>40802</v>
      </c>
      <c r="N6530" s="2" t="s">
        <v>243</v>
      </c>
      <c r="O6530" s="4" t="s">
        <v>244</v>
      </c>
      <c r="P6530" s="2" t="s">
        <v>40788</v>
      </c>
      <c r="Q6530" s="2" t="s">
        <v>40789</v>
      </c>
      <c r="R6530" s="2" t="s">
        <v>247</v>
      </c>
      <c r="S6530" s="4" t="s">
        <v>40790</v>
      </c>
      <c r="T6530" s="2" t="s">
        <v>249</v>
      </c>
      <c r="U6530" s="4" t="s">
        <v>31</v>
      </c>
      <c r="V6530" s="2" t="s">
        <v>40803</v>
      </c>
      <c r="W6530" s="2" t="s">
        <v>40784</v>
      </c>
      <c r="X6530" s="5" t="str">
        <f>HYPERLINK("https://my.pitchbook.com?p=356198-05P","View People Online")</f>
        <v>View People Online</v>
      </c>
    </row>
    <row r="6531">
      <c r="A6531" s="6" t="s">
        <v>40804</v>
      </c>
      <c r="B6531" s="6" t="s">
        <v>40805</v>
      </c>
      <c r="C6531" s="6" t="s">
        <v>1449</v>
      </c>
      <c r="D6531" s="6" t="s">
        <v>40806</v>
      </c>
      <c r="E6531" s="6" t="s">
        <v>40784</v>
      </c>
      <c r="F6531" s="6" t="s">
        <v>825</v>
      </c>
      <c r="G6531" s="6" t="s">
        <v>40807</v>
      </c>
      <c r="H6531" s="7" t="s">
        <v>31</v>
      </c>
      <c r="I6531" s="7">
        <v>1.0</v>
      </c>
      <c r="J6531" s="7">
        <v>1.0</v>
      </c>
      <c r="K6531" s="7" t="s">
        <v>31</v>
      </c>
      <c r="L6531" s="8" t="s">
        <v>40786</v>
      </c>
      <c r="M6531" s="6" t="s">
        <v>40808</v>
      </c>
      <c r="N6531" s="6" t="s">
        <v>243</v>
      </c>
      <c r="O6531" s="8" t="s">
        <v>244</v>
      </c>
      <c r="P6531" s="6" t="s">
        <v>40788</v>
      </c>
      <c r="Q6531" s="6" t="s">
        <v>40789</v>
      </c>
      <c r="R6531" s="6" t="s">
        <v>247</v>
      </c>
      <c r="S6531" s="8" t="s">
        <v>40790</v>
      </c>
      <c r="T6531" s="6" t="s">
        <v>249</v>
      </c>
      <c r="U6531" s="8" t="s">
        <v>31</v>
      </c>
      <c r="V6531" s="6" t="s">
        <v>40809</v>
      </c>
      <c r="W6531" s="6" t="s">
        <v>40784</v>
      </c>
      <c r="X6531" s="9" t="str">
        <f>HYPERLINK("https://my.pitchbook.com?p=117027-28P","View People Online")</f>
        <v>View People Online</v>
      </c>
    </row>
    <row r="6532">
      <c r="A6532" s="2" t="s">
        <v>40810</v>
      </c>
      <c r="B6532" s="2" t="s">
        <v>40811</v>
      </c>
      <c r="C6532" s="2" t="s">
        <v>589</v>
      </c>
      <c r="D6532" s="2" t="s">
        <v>40812</v>
      </c>
      <c r="E6532" s="2" t="s">
        <v>40784</v>
      </c>
      <c r="F6532" s="2" t="s">
        <v>371</v>
      </c>
      <c r="G6532" s="2" t="s">
        <v>40813</v>
      </c>
      <c r="H6532" s="3" t="s">
        <v>31</v>
      </c>
      <c r="I6532" s="3">
        <v>1.0</v>
      </c>
      <c r="J6532" s="3">
        <v>1.0</v>
      </c>
      <c r="K6532" s="3" t="s">
        <v>31</v>
      </c>
      <c r="L6532" s="4" t="s">
        <v>40786</v>
      </c>
      <c r="M6532" s="2" t="s">
        <v>40814</v>
      </c>
      <c r="N6532" s="2" t="s">
        <v>243</v>
      </c>
      <c r="O6532" s="4" t="s">
        <v>244</v>
      </c>
      <c r="P6532" s="2" t="s">
        <v>40788</v>
      </c>
      <c r="Q6532" s="2" t="s">
        <v>40789</v>
      </c>
      <c r="R6532" s="2" t="s">
        <v>247</v>
      </c>
      <c r="S6532" s="4" t="s">
        <v>40790</v>
      </c>
      <c r="T6532" s="2" t="s">
        <v>249</v>
      </c>
      <c r="U6532" s="4" t="s">
        <v>31</v>
      </c>
      <c r="V6532" s="2" t="s">
        <v>40815</v>
      </c>
      <c r="W6532" s="2" t="s">
        <v>40784</v>
      </c>
      <c r="X6532" s="5" t="str">
        <f>HYPERLINK("https://my.pitchbook.com?p=263283-94P","View People Online")</f>
        <v>View People Online</v>
      </c>
    </row>
    <row r="6533">
      <c r="A6533" s="14" t="s">
        <v>40816</v>
      </c>
      <c r="B6533" s="14" t="s">
        <v>40817</v>
      </c>
      <c r="C6533" s="14" t="s">
        <v>40818</v>
      </c>
      <c r="D6533" s="14" t="s">
        <v>40819</v>
      </c>
      <c r="E6533" s="14" t="s">
        <v>40784</v>
      </c>
      <c r="F6533" s="14" t="s">
        <v>825</v>
      </c>
      <c r="G6533" s="14" t="s">
        <v>40820</v>
      </c>
      <c r="H6533" s="15" t="s">
        <v>31</v>
      </c>
      <c r="I6533" s="15">
        <v>5.0</v>
      </c>
      <c r="J6533" s="15">
        <v>1.0</v>
      </c>
      <c r="K6533" s="15">
        <v>4.0</v>
      </c>
      <c r="L6533" s="16" t="s">
        <v>40786</v>
      </c>
      <c r="M6533" s="14" t="s">
        <v>40821</v>
      </c>
      <c r="N6533" s="14" t="s">
        <v>243</v>
      </c>
      <c r="O6533" s="16" t="s">
        <v>244</v>
      </c>
      <c r="P6533" s="14" t="s">
        <v>40788</v>
      </c>
      <c r="Q6533" s="14" t="s">
        <v>40789</v>
      </c>
      <c r="R6533" s="14" t="s">
        <v>247</v>
      </c>
      <c r="S6533" s="16" t="s">
        <v>40790</v>
      </c>
      <c r="T6533" s="14" t="s">
        <v>249</v>
      </c>
      <c r="U6533" s="16" t="s">
        <v>31</v>
      </c>
      <c r="V6533" s="14" t="s">
        <v>40822</v>
      </c>
      <c r="W6533" s="14" t="s">
        <v>40784</v>
      </c>
      <c r="X6533" s="17" t="str">
        <f>HYPERLINK("https://my.pitchbook.com?p=237324-07P","View People Online")</f>
        <v>View People Online</v>
      </c>
    </row>
    <row r="6534">
      <c r="A6534" s="2" t="s">
        <v>40823</v>
      </c>
      <c r="B6534" s="2" t="s">
        <v>40824</v>
      </c>
      <c r="C6534" s="2" t="s">
        <v>1255</v>
      </c>
      <c r="D6534" s="2" t="s">
        <v>1703</v>
      </c>
      <c r="E6534" s="2" t="s">
        <v>40784</v>
      </c>
      <c r="F6534" s="2" t="s">
        <v>1283</v>
      </c>
      <c r="G6534" s="2" t="s">
        <v>40825</v>
      </c>
      <c r="H6534" s="3" t="s">
        <v>31</v>
      </c>
      <c r="I6534" s="3">
        <v>1.0</v>
      </c>
      <c r="J6534" s="3">
        <v>1.0</v>
      </c>
      <c r="K6534" s="3" t="s">
        <v>31</v>
      </c>
      <c r="L6534" s="4" t="s">
        <v>40786</v>
      </c>
      <c r="M6534" s="2" t="s">
        <v>40826</v>
      </c>
      <c r="N6534" s="2" t="s">
        <v>243</v>
      </c>
      <c r="O6534" s="4" t="s">
        <v>244</v>
      </c>
      <c r="P6534" s="2" t="s">
        <v>40788</v>
      </c>
      <c r="Q6534" s="2" t="s">
        <v>40789</v>
      </c>
      <c r="R6534" s="2" t="s">
        <v>247</v>
      </c>
      <c r="S6534" s="4" t="s">
        <v>40790</v>
      </c>
      <c r="T6534" s="2" t="s">
        <v>249</v>
      </c>
      <c r="U6534" s="4" t="s">
        <v>31</v>
      </c>
      <c r="V6534" s="2" t="s">
        <v>1283</v>
      </c>
      <c r="W6534" s="2" t="s">
        <v>40784</v>
      </c>
      <c r="X6534" s="5" t="str">
        <f>HYPERLINK("https://my.pitchbook.com?p=409425-67P","View People Online")</f>
        <v>View People Online</v>
      </c>
    </row>
    <row r="6535">
      <c r="A6535" s="6" t="s">
        <v>40827</v>
      </c>
      <c r="B6535" s="6" t="s">
        <v>40828</v>
      </c>
      <c r="C6535" s="6" t="s">
        <v>1255</v>
      </c>
      <c r="D6535" s="6" t="s">
        <v>10124</v>
      </c>
      <c r="E6535" s="6" t="s">
        <v>40784</v>
      </c>
      <c r="F6535" s="6" t="s">
        <v>470</v>
      </c>
      <c r="G6535" s="6" t="s">
        <v>40829</v>
      </c>
      <c r="H6535" s="7" t="s">
        <v>31</v>
      </c>
      <c r="I6535" s="7">
        <v>1.0</v>
      </c>
      <c r="J6535" s="7">
        <v>1.0</v>
      </c>
      <c r="K6535" s="7" t="s">
        <v>31</v>
      </c>
      <c r="L6535" s="8" t="s">
        <v>40830</v>
      </c>
      <c r="M6535" s="6" t="s">
        <v>40831</v>
      </c>
      <c r="N6535" s="6" t="s">
        <v>243</v>
      </c>
      <c r="O6535" s="8" t="s">
        <v>244</v>
      </c>
      <c r="P6535" s="6" t="s">
        <v>40788</v>
      </c>
      <c r="Q6535" s="6" t="s">
        <v>40789</v>
      </c>
      <c r="R6535" s="6" t="s">
        <v>247</v>
      </c>
      <c r="S6535" s="8" t="s">
        <v>40790</v>
      </c>
      <c r="T6535" s="6" t="s">
        <v>249</v>
      </c>
      <c r="U6535" s="8" t="s">
        <v>31</v>
      </c>
      <c r="V6535" s="6" t="s">
        <v>470</v>
      </c>
      <c r="W6535" s="6" t="s">
        <v>40784</v>
      </c>
      <c r="X6535" s="9" t="str">
        <f>HYPERLINK("https://my.pitchbook.com?p=122676-49P","View People Online")</f>
        <v>View People Online</v>
      </c>
    </row>
    <row r="6536">
      <c r="A6536" s="2" t="s">
        <v>40832</v>
      </c>
      <c r="B6536" s="2" t="s">
        <v>40833</v>
      </c>
      <c r="C6536" s="2" t="s">
        <v>3811</v>
      </c>
      <c r="D6536" s="2" t="s">
        <v>1147</v>
      </c>
      <c r="E6536" s="2" t="s">
        <v>40784</v>
      </c>
      <c r="F6536" s="2" t="s">
        <v>2652</v>
      </c>
      <c r="G6536" s="2" t="s">
        <v>40834</v>
      </c>
      <c r="H6536" s="3" t="s">
        <v>31</v>
      </c>
      <c r="I6536" s="3">
        <v>1.0</v>
      </c>
      <c r="J6536" s="3">
        <v>1.0</v>
      </c>
      <c r="K6536" s="3" t="s">
        <v>31</v>
      </c>
      <c r="L6536" s="4" t="s">
        <v>40786</v>
      </c>
      <c r="M6536" s="2" t="s">
        <v>40835</v>
      </c>
      <c r="N6536" s="2" t="s">
        <v>243</v>
      </c>
      <c r="O6536" s="4" t="s">
        <v>244</v>
      </c>
      <c r="P6536" s="2" t="s">
        <v>40788</v>
      </c>
      <c r="Q6536" s="2" t="s">
        <v>40789</v>
      </c>
      <c r="R6536" s="2" t="s">
        <v>247</v>
      </c>
      <c r="S6536" s="4" t="s">
        <v>40790</v>
      </c>
      <c r="T6536" s="2" t="s">
        <v>249</v>
      </c>
      <c r="U6536" s="4" t="s">
        <v>31</v>
      </c>
      <c r="V6536" s="2" t="s">
        <v>40836</v>
      </c>
      <c r="W6536" s="2" t="s">
        <v>40784</v>
      </c>
      <c r="X6536" s="5" t="str">
        <f>HYPERLINK("https://my.pitchbook.com?p=348796-36P","View People Online")</f>
        <v>View People Online</v>
      </c>
    </row>
    <row r="6537">
      <c r="A6537" s="6" t="s">
        <v>40837</v>
      </c>
      <c r="B6537" s="6" t="s">
        <v>40838</v>
      </c>
      <c r="C6537" s="6" t="s">
        <v>40839</v>
      </c>
      <c r="D6537" s="6" t="s">
        <v>40840</v>
      </c>
      <c r="E6537" s="6" t="s">
        <v>40784</v>
      </c>
      <c r="F6537" s="6" t="s">
        <v>2652</v>
      </c>
      <c r="G6537" s="6" t="s">
        <v>40841</v>
      </c>
      <c r="H6537" s="7" t="s">
        <v>31</v>
      </c>
      <c r="I6537" s="7">
        <v>3.0</v>
      </c>
      <c r="J6537" s="7">
        <v>1.0</v>
      </c>
      <c r="K6537" s="7">
        <v>2.0</v>
      </c>
      <c r="L6537" s="8" t="s">
        <v>40786</v>
      </c>
      <c r="M6537" s="6" t="s">
        <v>40842</v>
      </c>
      <c r="N6537" s="6" t="s">
        <v>243</v>
      </c>
      <c r="O6537" s="8" t="s">
        <v>244</v>
      </c>
      <c r="P6537" s="6" t="s">
        <v>40788</v>
      </c>
      <c r="Q6537" s="6" t="s">
        <v>40789</v>
      </c>
      <c r="R6537" s="6" t="s">
        <v>247</v>
      </c>
      <c r="S6537" s="8" t="s">
        <v>40790</v>
      </c>
      <c r="T6537" s="6" t="s">
        <v>249</v>
      </c>
      <c r="U6537" s="8" t="s">
        <v>31</v>
      </c>
      <c r="V6537" s="6" t="s">
        <v>40843</v>
      </c>
      <c r="W6537" s="6" t="s">
        <v>40784</v>
      </c>
      <c r="X6537" s="9" t="str">
        <f>HYPERLINK("https://my.pitchbook.com?p=139387-33P","View People Online")</f>
        <v>View People Online</v>
      </c>
    </row>
    <row r="6538">
      <c r="A6538" s="2" t="s">
        <v>40844</v>
      </c>
      <c r="B6538" s="2" t="s">
        <v>40845</v>
      </c>
      <c r="C6538" s="2" t="s">
        <v>40846</v>
      </c>
      <c r="D6538" s="2" t="s">
        <v>40847</v>
      </c>
      <c r="E6538" s="2" t="s">
        <v>40784</v>
      </c>
      <c r="F6538" s="2" t="s">
        <v>1283</v>
      </c>
      <c r="G6538" s="2" t="s">
        <v>40848</v>
      </c>
      <c r="H6538" s="3" t="s">
        <v>31</v>
      </c>
      <c r="I6538" s="3">
        <v>1.0</v>
      </c>
      <c r="J6538" s="3">
        <v>1.0</v>
      </c>
      <c r="K6538" s="3" t="s">
        <v>31</v>
      </c>
      <c r="L6538" s="4" t="s">
        <v>40786</v>
      </c>
      <c r="M6538" s="2" t="s">
        <v>40849</v>
      </c>
      <c r="N6538" s="2" t="s">
        <v>243</v>
      </c>
      <c r="O6538" s="4" t="s">
        <v>244</v>
      </c>
      <c r="P6538" s="2" t="s">
        <v>40788</v>
      </c>
      <c r="Q6538" s="2" t="s">
        <v>40789</v>
      </c>
      <c r="R6538" s="2" t="s">
        <v>247</v>
      </c>
      <c r="S6538" s="4" t="s">
        <v>40790</v>
      </c>
      <c r="T6538" s="2" t="s">
        <v>249</v>
      </c>
      <c r="U6538" s="4" t="s">
        <v>31</v>
      </c>
      <c r="V6538" s="2" t="s">
        <v>40850</v>
      </c>
      <c r="W6538" s="2" t="s">
        <v>40784</v>
      </c>
      <c r="X6538" s="5" t="str">
        <f>HYPERLINK("https://my.pitchbook.com?p=444654-37P","View People Online")</f>
        <v>View People Online</v>
      </c>
    </row>
    <row r="6539">
      <c r="A6539" s="14" t="s">
        <v>40851</v>
      </c>
      <c r="B6539" s="14" t="s">
        <v>40852</v>
      </c>
      <c r="C6539" s="14" t="s">
        <v>5521</v>
      </c>
      <c r="D6539" s="14" t="s">
        <v>40853</v>
      </c>
      <c r="E6539" s="14" t="s">
        <v>40784</v>
      </c>
      <c r="F6539" s="14" t="s">
        <v>1283</v>
      </c>
      <c r="G6539" s="14" t="s">
        <v>40854</v>
      </c>
      <c r="H6539" s="15" t="s">
        <v>31</v>
      </c>
      <c r="I6539" s="15">
        <v>1.0</v>
      </c>
      <c r="J6539" s="15">
        <v>1.0</v>
      </c>
      <c r="K6539" s="15" t="s">
        <v>31</v>
      </c>
      <c r="L6539" s="16" t="s">
        <v>40786</v>
      </c>
      <c r="M6539" s="14" t="s">
        <v>40855</v>
      </c>
      <c r="N6539" s="14" t="s">
        <v>243</v>
      </c>
      <c r="O6539" s="16" t="s">
        <v>244</v>
      </c>
      <c r="P6539" s="14" t="s">
        <v>40788</v>
      </c>
      <c r="Q6539" s="14" t="s">
        <v>40789</v>
      </c>
      <c r="R6539" s="14" t="s">
        <v>247</v>
      </c>
      <c r="S6539" s="16" t="s">
        <v>40790</v>
      </c>
      <c r="T6539" s="14" t="s">
        <v>249</v>
      </c>
      <c r="U6539" s="16" t="s">
        <v>31</v>
      </c>
      <c r="V6539" s="14" t="s">
        <v>40856</v>
      </c>
      <c r="W6539" s="14" t="s">
        <v>40784</v>
      </c>
      <c r="X6539" s="17" t="str">
        <f>HYPERLINK("https://my.pitchbook.com?p=170116-48P","View People Online")</f>
        <v>View People Online</v>
      </c>
    </row>
    <row r="6540">
      <c r="A6540" s="10" t="s">
        <v>40857</v>
      </c>
      <c r="B6540" s="10" t="s">
        <v>40858</v>
      </c>
      <c r="C6540" s="10" t="s">
        <v>26395</v>
      </c>
      <c r="D6540" s="10" t="s">
        <v>3228</v>
      </c>
      <c r="E6540" s="10" t="s">
        <v>40784</v>
      </c>
      <c r="F6540" s="10" t="s">
        <v>371</v>
      </c>
      <c r="G6540" s="10" t="s">
        <v>40859</v>
      </c>
      <c r="H6540" s="11" t="s">
        <v>31</v>
      </c>
      <c r="I6540" s="11">
        <v>1.0</v>
      </c>
      <c r="J6540" s="11">
        <v>1.0</v>
      </c>
      <c r="K6540" s="11" t="s">
        <v>31</v>
      </c>
      <c r="L6540" s="12" t="s">
        <v>40786</v>
      </c>
      <c r="M6540" s="10" t="s">
        <v>40860</v>
      </c>
      <c r="N6540" s="10" t="s">
        <v>243</v>
      </c>
      <c r="O6540" s="12" t="s">
        <v>244</v>
      </c>
      <c r="P6540" s="10" t="s">
        <v>40788</v>
      </c>
      <c r="Q6540" s="10" t="s">
        <v>40789</v>
      </c>
      <c r="R6540" s="10" t="s">
        <v>247</v>
      </c>
      <c r="S6540" s="12" t="s">
        <v>40790</v>
      </c>
      <c r="T6540" s="10" t="s">
        <v>249</v>
      </c>
      <c r="U6540" s="12" t="s">
        <v>31</v>
      </c>
      <c r="V6540" s="10" t="s">
        <v>371</v>
      </c>
      <c r="W6540" s="10" t="s">
        <v>40784</v>
      </c>
      <c r="X6540" s="13" t="str">
        <f>HYPERLINK("https://my.pitchbook.com?p=409610-71P","View People Online")</f>
        <v>View People Online</v>
      </c>
    </row>
    <row r="6541">
      <c r="A6541" s="14" t="s">
        <v>40861</v>
      </c>
      <c r="B6541" s="14" t="s">
        <v>40862</v>
      </c>
      <c r="C6541" s="14" t="s">
        <v>160</v>
      </c>
      <c r="D6541" s="14" t="s">
        <v>40863</v>
      </c>
      <c r="E6541" s="14" t="s">
        <v>40784</v>
      </c>
      <c r="F6541" s="14" t="s">
        <v>548</v>
      </c>
      <c r="G6541" s="14" t="s">
        <v>40864</v>
      </c>
      <c r="H6541" s="15" t="s">
        <v>31</v>
      </c>
      <c r="I6541" s="15">
        <v>3.0</v>
      </c>
      <c r="J6541" s="15">
        <v>1.0</v>
      </c>
      <c r="K6541" s="15">
        <v>2.0</v>
      </c>
      <c r="L6541" s="16" t="s">
        <v>40786</v>
      </c>
      <c r="M6541" s="14" t="s">
        <v>40865</v>
      </c>
      <c r="N6541" s="14" t="s">
        <v>243</v>
      </c>
      <c r="O6541" s="16" t="s">
        <v>244</v>
      </c>
      <c r="P6541" s="14" t="s">
        <v>40788</v>
      </c>
      <c r="Q6541" s="14" t="s">
        <v>40789</v>
      </c>
      <c r="R6541" s="14" t="s">
        <v>247</v>
      </c>
      <c r="S6541" s="16" t="s">
        <v>40790</v>
      </c>
      <c r="T6541" s="14" t="s">
        <v>249</v>
      </c>
      <c r="U6541" s="16" t="s">
        <v>31</v>
      </c>
      <c r="V6541" s="14" t="s">
        <v>40866</v>
      </c>
      <c r="W6541" s="14" t="s">
        <v>40784</v>
      </c>
      <c r="X6541" s="17" t="str">
        <f>HYPERLINK("https://my.pitchbook.com?p=396973-36P","View People Online")</f>
        <v>View People Online</v>
      </c>
    </row>
    <row r="6542">
      <c r="A6542" s="2" t="s">
        <v>40867</v>
      </c>
      <c r="B6542" s="2" t="s">
        <v>40868</v>
      </c>
      <c r="C6542" s="2" t="s">
        <v>6524</v>
      </c>
      <c r="D6542" s="2" t="s">
        <v>40869</v>
      </c>
      <c r="E6542" s="2" t="s">
        <v>40784</v>
      </c>
      <c r="F6542" s="2" t="s">
        <v>221</v>
      </c>
      <c r="G6542" s="2" t="s">
        <v>40870</v>
      </c>
      <c r="H6542" s="3" t="s">
        <v>31</v>
      </c>
      <c r="I6542" s="3">
        <v>1.0</v>
      </c>
      <c r="J6542" s="3">
        <v>1.0</v>
      </c>
      <c r="K6542" s="3" t="s">
        <v>31</v>
      </c>
      <c r="L6542" s="4" t="s">
        <v>40786</v>
      </c>
      <c r="M6542" s="2" t="s">
        <v>40871</v>
      </c>
      <c r="N6542" s="2" t="s">
        <v>243</v>
      </c>
      <c r="O6542" s="4" t="s">
        <v>244</v>
      </c>
      <c r="P6542" s="2" t="s">
        <v>40788</v>
      </c>
      <c r="Q6542" s="2" t="s">
        <v>40789</v>
      </c>
      <c r="R6542" s="2" t="s">
        <v>247</v>
      </c>
      <c r="S6542" s="4" t="s">
        <v>40790</v>
      </c>
      <c r="T6542" s="2" t="s">
        <v>249</v>
      </c>
      <c r="U6542" s="4" t="s">
        <v>31</v>
      </c>
      <c r="V6542" s="2" t="s">
        <v>221</v>
      </c>
      <c r="W6542" s="2" t="s">
        <v>40784</v>
      </c>
      <c r="X6542" s="5" t="str">
        <f>HYPERLINK("https://my.pitchbook.com?p=409612-24P","View People Online")</f>
        <v>View People Online</v>
      </c>
    </row>
    <row r="6543">
      <c r="A6543" s="6" t="s">
        <v>40872</v>
      </c>
      <c r="B6543" s="6" t="s">
        <v>40873</v>
      </c>
      <c r="C6543" s="6" t="s">
        <v>132</v>
      </c>
      <c r="D6543" s="6" t="s">
        <v>11232</v>
      </c>
      <c r="E6543" s="6" t="s">
        <v>40784</v>
      </c>
      <c r="F6543" s="6" t="s">
        <v>548</v>
      </c>
      <c r="G6543" s="6" t="s">
        <v>40874</v>
      </c>
      <c r="H6543" s="7" t="s">
        <v>31</v>
      </c>
      <c r="I6543" s="7">
        <v>2.0</v>
      </c>
      <c r="J6543" s="7">
        <v>1.0</v>
      </c>
      <c r="K6543" s="7">
        <v>1.0</v>
      </c>
      <c r="L6543" s="8" t="s">
        <v>40786</v>
      </c>
      <c r="M6543" s="6" t="s">
        <v>31</v>
      </c>
      <c r="N6543" s="6" t="s">
        <v>243</v>
      </c>
      <c r="O6543" s="8" t="s">
        <v>244</v>
      </c>
      <c r="P6543" s="6" t="s">
        <v>40788</v>
      </c>
      <c r="Q6543" s="6" t="s">
        <v>40789</v>
      </c>
      <c r="R6543" s="6" t="s">
        <v>247</v>
      </c>
      <c r="S6543" s="8" t="s">
        <v>40790</v>
      </c>
      <c r="T6543" s="6" t="s">
        <v>249</v>
      </c>
      <c r="U6543" s="8" t="s">
        <v>31</v>
      </c>
      <c r="V6543" s="6" t="s">
        <v>40875</v>
      </c>
      <c r="W6543" s="6" t="s">
        <v>40784</v>
      </c>
      <c r="X6543" s="9" t="str">
        <f>HYPERLINK("https://my.pitchbook.com?p=435301-93P","View People Online")</f>
        <v>View People Online</v>
      </c>
    </row>
    <row r="6544">
      <c r="A6544" s="2" t="s">
        <v>40876</v>
      </c>
      <c r="B6544" s="2" t="s">
        <v>40877</v>
      </c>
      <c r="C6544" s="2" t="s">
        <v>167</v>
      </c>
      <c r="D6544" s="2" t="s">
        <v>40878</v>
      </c>
      <c r="E6544" s="2" t="s">
        <v>40784</v>
      </c>
      <c r="F6544" s="2" t="s">
        <v>78</v>
      </c>
      <c r="G6544" s="2" t="s">
        <v>40879</v>
      </c>
      <c r="H6544" s="3" t="s">
        <v>31</v>
      </c>
      <c r="I6544" s="3">
        <v>1.0</v>
      </c>
      <c r="J6544" s="3">
        <v>1.0</v>
      </c>
      <c r="K6544" s="3" t="s">
        <v>31</v>
      </c>
      <c r="L6544" s="4" t="s">
        <v>40786</v>
      </c>
      <c r="M6544" s="2" t="s">
        <v>40880</v>
      </c>
      <c r="N6544" s="2" t="s">
        <v>243</v>
      </c>
      <c r="O6544" s="4" t="s">
        <v>244</v>
      </c>
      <c r="P6544" s="2" t="s">
        <v>40788</v>
      </c>
      <c r="Q6544" s="2" t="s">
        <v>40789</v>
      </c>
      <c r="R6544" s="2" t="s">
        <v>247</v>
      </c>
      <c r="S6544" s="4" t="s">
        <v>40790</v>
      </c>
      <c r="T6544" s="2" t="s">
        <v>249</v>
      </c>
      <c r="U6544" s="4" t="s">
        <v>31</v>
      </c>
      <c r="V6544" s="2" t="s">
        <v>78</v>
      </c>
      <c r="W6544" s="2" t="s">
        <v>40784</v>
      </c>
      <c r="X6544" s="5" t="str">
        <f>HYPERLINK("https://my.pitchbook.com?p=230669-38P","View People Online")</f>
        <v>View People Online</v>
      </c>
    </row>
    <row r="6545">
      <c r="A6545" s="14" t="s">
        <v>40881</v>
      </c>
      <c r="B6545" s="14" t="s">
        <v>40882</v>
      </c>
      <c r="C6545" s="14" t="s">
        <v>167</v>
      </c>
      <c r="D6545" s="14" t="s">
        <v>40883</v>
      </c>
      <c r="E6545" s="14" t="s">
        <v>40784</v>
      </c>
      <c r="F6545" s="14" t="s">
        <v>40884</v>
      </c>
      <c r="G6545" s="14" t="s">
        <v>40885</v>
      </c>
      <c r="H6545" s="15" t="s">
        <v>31</v>
      </c>
      <c r="I6545" s="15">
        <v>2.0</v>
      </c>
      <c r="J6545" s="15">
        <v>1.0</v>
      </c>
      <c r="K6545" s="15">
        <v>1.0</v>
      </c>
      <c r="L6545" s="16" t="s">
        <v>40786</v>
      </c>
      <c r="M6545" s="14" t="s">
        <v>40886</v>
      </c>
      <c r="N6545" s="14" t="s">
        <v>243</v>
      </c>
      <c r="O6545" s="16" t="s">
        <v>244</v>
      </c>
      <c r="P6545" s="14" t="s">
        <v>40788</v>
      </c>
      <c r="Q6545" s="14" t="s">
        <v>40789</v>
      </c>
      <c r="R6545" s="14" t="s">
        <v>247</v>
      </c>
      <c r="S6545" s="16" t="s">
        <v>40790</v>
      </c>
      <c r="T6545" s="14" t="s">
        <v>249</v>
      </c>
      <c r="U6545" s="16" t="s">
        <v>31</v>
      </c>
      <c r="V6545" s="14" t="s">
        <v>40887</v>
      </c>
      <c r="W6545" s="14" t="s">
        <v>40784</v>
      </c>
      <c r="X6545" s="17" t="str">
        <f>HYPERLINK("https://my.pitchbook.com?p=363742-93P","View People Online")</f>
        <v>View People Online</v>
      </c>
    </row>
    <row r="6546">
      <c r="A6546" s="10" t="s">
        <v>40888</v>
      </c>
      <c r="B6546" s="10" t="s">
        <v>40889</v>
      </c>
      <c r="C6546" s="10" t="s">
        <v>40890</v>
      </c>
      <c r="D6546" s="10" t="s">
        <v>4307</v>
      </c>
      <c r="E6546" s="10" t="s">
        <v>40784</v>
      </c>
      <c r="F6546" s="10" t="s">
        <v>548</v>
      </c>
      <c r="G6546" s="10" t="s">
        <v>40891</v>
      </c>
      <c r="H6546" s="11" t="s">
        <v>31</v>
      </c>
      <c r="I6546" s="11">
        <v>1.0</v>
      </c>
      <c r="J6546" s="11">
        <v>1.0</v>
      </c>
      <c r="K6546" s="11" t="s">
        <v>31</v>
      </c>
      <c r="L6546" s="12" t="s">
        <v>40786</v>
      </c>
      <c r="M6546" s="10" t="s">
        <v>40892</v>
      </c>
      <c r="N6546" s="10" t="s">
        <v>243</v>
      </c>
      <c r="O6546" s="12" t="s">
        <v>244</v>
      </c>
      <c r="P6546" s="10" t="s">
        <v>40788</v>
      </c>
      <c r="Q6546" s="10" t="s">
        <v>40789</v>
      </c>
      <c r="R6546" s="10" t="s">
        <v>247</v>
      </c>
      <c r="S6546" s="12" t="s">
        <v>40790</v>
      </c>
      <c r="T6546" s="10" t="s">
        <v>249</v>
      </c>
      <c r="U6546" s="12" t="s">
        <v>31</v>
      </c>
      <c r="V6546" s="10" t="s">
        <v>40893</v>
      </c>
      <c r="W6546" s="10" t="s">
        <v>40784</v>
      </c>
      <c r="X6546" s="13" t="str">
        <f>HYPERLINK("https://my.pitchbook.com?p=244413-82P","View People Online")</f>
        <v>View People Online</v>
      </c>
    </row>
    <row r="6547">
      <c r="A6547" s="6" t="s">
        <v>40894</v>
      </c>
      <c r="B6547" s="6" t="s">
        <v>40895</v>
      </c>
      <c r="C6547" s="6" t="s">
        <v>40896</v>
      </c>
      <c r="D6547" s="6" t="s">
        <v>40897</v>
      </c>
      <c r="E6547" s="6" t="s">
        <v>40784</v>
      </c>
      <c r="F6547" s="6" t="s">
        <v>825</v>
      </c>
      <c r="G6547" s="6" t="s">
        <v>40898</v>
      </c>
      <c r="H6547" s="7" t="s">
        <v>31</v>
      </c>
      <c r="I6547" s="7">
        <v>2.0</v>
      </c>
      <c r="J6547" s="7">
        <v>1.0</v>
      </c>
      <c r="K6547" s="7">
        <v>1.0</v>
      </c>
      <c r="L6547" s="8" t="s">
        <v>40786</v>
      </c>
      <c r="M6547" s="6" t="s">
        <v>31</v>
      </c>
      <c r="N6547" s="6" t="s">
        <v>243</v>
      </c>
      <c r="O6547" s="8" t="s">
        <v>244</v>
      </c>
      <c r="P6547" s="6" t="s">
        <v>40788</v>
      </c>
      <c r="Q6547" s="6" t="s">
        <v>40789</v>
      </c>
      <c r="R6547" s="6" t="s">
        <v>247</v>
      </c>
      <c r="S6547" s="8" t="s">
        <v>40790</v>
      </c>
      <c r="T6547" s="6" t="s">
        <v>249</v>
      </c>
      <c r="U6547" s="8" t="s">
        <v>31</v>
      </c>
      <c r="V6547" s="6" t="s">
        <v>40899</v>
      </c>
      <c r="W6547" s="6" t="s">
        <v>40784</v>
      </c>
      <c r="X6547" s="9" t="str">
        <f>HYPERLINK("https://my.pitchbook.com?p=454831-48P","View People Online")</f>
        <v>View People Online</v>
      </c>
    </row>
    <row r="6548">
      <c r="A6548" s="2" t="s">
        <v>40900</v>
      </c>
      <c r="B6548" s="2" t="s">
        <v>40901</v>
      </c>
      <c r="C6548" s="2" t="s">
        <v>40902</v>
      </c>
      <c r="D6548" s="2" t="s">
        <v>40903</v>
      </c>
      <c r="E6548" s="2" t="s">
        <v>40784</v>
      </c>
      <c r="F6548" s="2" t="s">
        <v>270</v>
      </c>
      <c r="G6548" s="2" t="s">
        <v>40904</v>
      </c>
      <c r="H6548" s="3" t="s">
        <v>31</v>
      </c>
      <c r="I6548" s="3">
        <v>2.0</v>
      </c>
      <c r="J6548" s="3">
        <v>1.0</v>
      </c>
      <c r="K6548" s="3">
        <v>1.0</v>
      </c>
      <c r="L6548" s="4" t="s">
        <v>40786</v>
      </c>
      <c r="M6548" s="2" t="s">
        <v>40905</v>
      </c>
      <c r="N6548" s="2" t="s">
        <v>243</v>
      </c>
      <c r="O6548" s="4" t="s">
        <v>244</v>
      </c>
      <c r="P6548" s="2" t="s">
        <v>40788</v>
      </c>
      <c r="Q6548" s="2" t="s">
        <v>40789</v>
      </c>
      <c r="R6548" s="2" t="s">
        <v>247</v>
      </c>
      <c r="S6548" s="4" t="s">
        <v>40790</v>
      </c>
      <c r="T6548" s="2" t="s">
        <v>249</v>
      </c>
      <c r="U6548" s="4" t="s">
        <v>31</v>
      </c>
      <c r="V6548" s="2" t="s">
        <v>40906</v>
      </c>
      <c r="W6548" s="2" t="s">
        <v>40784</v>
      </c>
      <c r="X6548" s="5" t="str">
        <f>HYPERLINK("https://my.pitchbook.com?p=138008-35P","View People Online")</f>
        <v>View People Online</v>
      </c>
    </row>
    <row r="6549">
      <c r="A6549" s="14" t="s">
        <v>40907</v>
      </c>
      <c r="B6549" s="14" t="s">
        <v>40908</v>
      </c>
      <c r="C6549" s="14" t="s">
        <v>3722</v>
      </c>
      <c r="D6549" s="14" t="s">
        <v>40909</v>
      </c>
      <c r="E6549" s="14" t="s">
        <v>40784</v>
      </c>
      <c r="F6549" s="14" t="s">
        <v>825</v>
      </c>
      <c r="G6549" s="14" t="s">
        <v>40910</v>
      </c>
      <c r="H6549" s="15" t="s">
        <v>31</v>
      </c>
      <c r="I6549" s="15">
        <v>2.0</v>
      </c>
      <c r="J6549" s="15">
        <v>2.0</v>
      </c>
      <c r="K6549" s="15" t="s">
        <v>31</v>
      </c>
      <c r="L6549" s="16" t="s">
        <v>40911</v>
      </c>
      <c r="M6549" s="14" t="s">
        <v>40912</v>
      </c>
      <c r="N6549" s="14" t="s">
        <v>243</v>
      </c>
      <c r="O6549" s="16" t="s">
        <v>244</v>
      </c>
      <c r="P6549" s="14" t="s">
        <v>40788</v>
      </c>
      <c r="Q6549" s="14" t="s">
        <v>40789</v>
      </c>
      <c r="R6549" s="14" t="s">
        <v>247</v>
      </c>
      <c r="S6549" s="16" t="s">
        <v>40790</v>
      </c>
      <c r="T6549" s="14" t="s">
        <v>249</v>
      </c>
      <c r="U6549" s="16" t="s">
        <v>31</v>
      </c>
      <c r="V6549" s="14" t="s">
        <v>40913</v>
      </c>
      <c r="W6549" s="14" t="s">
        <v>40784</v>
      </c>
      <c r="X6549" s="17" t="str">
        <f>HYPERLINK("https://my.pitchbook.com?p=14623-75P","View People Online")</f>
        <v>View People Online</v>
      </c>
    </row>
    <row r="6550">
      <c r="A6550" s="2" t="s">
        <v>40914</v>
      </c>
      <c r="B6550" s="2" t="s">
        <v>40915</v>
      </c>
      <c r="C6550" s="2" t="s">
        <v>1830</v>
      </c>
      <c r="D6550" s="2" t="s">
        <v>40916</v>
      </c>
      <c r="E6550" s="2" t="s">
        <v>40784</v>
      </c>
      <c r="F6550" s="2" t="s">
        <v>502</v>
      </c>
      <c r="G6550" s="2" t="s">
        <v>40917</v>
      </c>
      <c r="H6550" s="3" t="s">
        <v>31</v>
      </c>
      <c r="I6550" s="3">
        <v>1.0</v>
      </c>
      <c r="J6550" s="3">
        <v>1.0</v>
      </c>
      <c r="K6550" s="3" t="s">
        <v>31</v>
      </c>
      <c r="L6550" s="4" t="s">
        <v>40786</v>
      </c>
      <c r="M6550" s="2" t="s">
        <v>40918</v>
      </c>
      <c r="N6550" s="2" t="s">
        <v>243</v>
      </c>
      <c r="O6550" s="4" t="s">
        <v>244</v>
      </c>
      <c r="P6550" s="2" t="s">
        <v>40788</v>
      </c>
      <c r="Q6550" s="2" t="s">
        <v>40789</v>
      </c>
      <c r="R6550" s="2" t="s">
        <v>247</v>
      </c>
      <c r="S6550" s="4" t="s">
        <v>40790</v>
      </c>
      <c r="T6550" s="2" t="s">
        <v>249</v>
      </c>
      <c r="U6550" s="4" t="s">
        <v>31</v>
      </c>
      <c r="V6550" s="2" t="s">
        <v>502</v>
      </c>
      <c r="W6550" s="2" t="s">
        <v>40784</v>
      </c>
      <c r="X6550" s="5" t="str">
        <f>HYPERLINK("https://my.pitchbook.com?p=407200-69P","View People Online")</f>
        <v>View People Online</v>
      </c>
    </row>
    <row r="6551">
      <c r="A6551" s="14" t="s">
        <v>40919</v>
      </c>
      <c r="B6551" s="14" t="s">
        <v>40920</v>
      </c>
      <c r="C6551" s="14" t="s">
        <v>1426</v>
      </c>
      <c r="D6551" s="14" t="s">
        <v>7267</v>
      </c>
      <c r="E6551" s="14" t="s">
        <v>40921</v>
      </c>
      <c r="F6551" s="14" t="s">
        <v>1106</v>
      </c>
      <c r="G6551" s="14" t="s">
        <v>40922</v>
      </c>
      <c r="H6551" s="15" t="s">
        <v>31</v>
      </c>
      <c r="I6551" s="15">
        <v>3.0</v>
      </c>
      <c r="J6551" s="15">
        <v>1.0</v>
      </c>
      <c r="K6551" s="15" t="s">
        <v>31</v>
      </c>
      <c r="L6551" s="16" t="s">
        <v>40923</v>
      </c>
      <c r="M6551" s="14" t="s">
        <v>40924</v>
      </c>
      <c r="N6551" s="14" t="s">
        <v>1181</v>
      </c>
      <c r="O6551" s="16" t="s">
        <v>1182</v>
      </c>
      <c r="P6551" s="14" t="s">
        <v>40925</v>
      </c>
      <c r="Q6551" s="14" t="s">
        <v>31</v>
      </c>
      <c r="R6551" s="14" t="s">
        <v>1185</v>
      </c>
      <c r="S6551" s="16" t="s">
        <v>6739</v>
      </c>
      <c r="T6551" s="14" t="s">
        <v>66</v>
      </c>
      <c r="U6551" s="16" t="s">
        <v>31</v>
      </c>
      <c r="V6551" s="14" t="s">
        <v>1114</v>
      </c>
      <c r="W6551" s="14" t="s">
        <v>40921</v>
      </c>
      <c r="X6551" s="17" t="str">
        <f>HYPERLINK("https://my.pitchbook.com?p=13430-35P","View People Online")</f>
        <v>View People Online</v>
      </c>
    </row>
    <row r="6552">
      <c r="A6552" s="10" t="s">
        <v>40926</v>
      </c>
      <c r="B6552" s="10" t="s">
        <v>40927</v>
      </c>
      <c r="C6552" s="10" t="s">
        <v>1449</v>
      </c>
      <c r="D6552" s="10" t="s">
        <v>40928</v>
      </c>
      <c r="E6552" s="10" t="s">
        <v>40921</v>
      </c>
      <c r="F6552" s="10" t="s">
        <v>1106</v>
      </c>
      <c r="G6552" s="10" t="s">
        <v>40929</v>
      </c>
      <c r="H6552" s="11">
        <v>3.0</v>
      </c>
      <c r="I6552" s="11">
        <v>17.0</v>
      </c>
      <c r="J6552" s="11">
        <v>2.0</v>
      </c>
      <c r="K6552" s="11">
        <v>10.0</v>
      </c>
      <c r="L6552" s="12" t="s">
        <v>40930</v>
      </c>
      <c r="M6552" s="10" t="s">
        <v>40931</v>
      </c>
      <c r="N6552" s="10" t="s">
        <v>1181</v>
      </c>
      <c r="O6552" s="12" t="s">
        <v>1182</v>
      </c>
      <c r="P6552" s="10" t="s">
        <v>40925</v>
      </c>
      <c r="Q6552" s="10" t="s">
        <v>31</v>
      </c>
      <c r="R6552" s="10" t="s">
        <v>1185</v>
      </c>
      <c r="S6552" s="12" t="s">
        <v>6739</v>
      </c>
      <c r="T6552" s="10" t="s">
        <v>66</v>
      </c>
      <c r="U6552" s="12" t="s">
        <v>31</v>
      </c>
      <c r="V6552" s="10" t="s">
        <v>1114</v>
      </c>
      <c r="W6552" s="10" t="s">
        <v>40921</v>
      </c>
      <c r="X6552" s="13" t="str">
        <f>HYPERLINK("https://my.pitchbook.com?p=185624-65P","View People Online")</f>
        <v>View People Online</v>
      </c>
    </row>
    <row r="6553">
      <c r="A6553" s="6" t="s">
        <v>40932</v>
      </c>
      <c r="B6553" s="6" t="s">
        <v>40933</v>
      </c>
      <c r="C6553" s="6" t="s">
        <v>28162</v>
      </c>
      <c r="D6553" s="6" t="s">
        <v>40934</v>
      </c>
      <c r="E6553" s="6" t="s">
        <v>40935</v>
      </c>
      <c r="F6553" s="6" t="s">
        <v>802</v>
      </c>
      <c r="G6553" s="6" t="s">
        <v>40936</v>
      </c>
      <c r="H6553" s="7" t="s">
        <v>31</v>
      </c>
      <c r="I6553" s="7">
        <v>1.0</v>
      </c>
      <c r="J6553" s="7">
        <v>1.0</v>
      </c>
      <c r="K6553" s="7" t="s">
        <v>31</v>
      </c>
      <c r="L6553" s="8" t="s">
        <v>31</v>
      </c>
      <c r="M6553" s="6" t="s">
        <v>40937</v>
      </c>
      <c r="N6553" s="6" t="s">
        <v>10290</v>
      </c>
      <c r="O6553" s="8" t="s">
        <v>10291</v>
      </c>
      <c r="P6553" s="6" t="s">
        <v>40938</v>
      </c>
      <c r="Q6553" s="6" t="s">
        <v>40939</v>
      </c>
      <c r="R6553" s="6" t="s">
        <v>31</v>
      </c>
      <c r="S6553" s="8" t="s">
        <v>31</v>
      </c>
      <c r="T6553" s="6" t="s">
        <v>10295</v>
      </c>
      <c r="U6553" s="8" t="s">
        <v>31</v>
      </c>
      <c r="V6553" s="6" t="s">
        <v>802</v>
      </c>
      <c r="W6553" s="6" t="s">
        <v>40935</v>
      </c>
      <c r="X6553" s="9" t="str">
        <f>HYPERLINK("https://my.pitchbook.com?p=325820-35P","View People Online")</f>
        <v>View People Online</v>
      </c>
    </row>
    <row r="6554">
      <c r="A6554" s="10" t="s">
        <v>40940</v>
      </c>
      <c r="B6554" s="10" t="s">
        <v>40941</v>
      </c>
      <c r="C6554" s="10" t="s">
        <v>54</v>
      </c>
      <c r="D6554" s="10" t="s">
        <v>40942</v>
      </c>
      <c r="E6554" s="10" t="s">
        <v>40935</v>
      </c>
      <c r="F6554" s="10" t="s">
        <v>802</v>
      </c>
      <c r="G6554" s="10" t="s">
        <v>40943</v>
      </c>
      <c r="H6554" s="11" t="s">
        <v>31</v>
      </c>
      <c r="I6554" s="11">
        <v>1.0</v>
      </c>
      <c r="J6554" s="11">
        <v>1.0</v>
      </c>
      <c r="K6554" s="11" t="s">
        <v>31</v>
      </c>
      <c r="L6554" s="12" t="s">
        <v>31</v>
      </c>
      <c r="M6554" s="10" t="s">
        <v>40944</v>
      </c>
      <c r="N6554" s="10" t="s">
        <v>10290</v>
      </c>
      <c r="O6554" s="12" t="s">
        <v>10291</v>
      </c>
      <c r="P6554" s="10" t="s">
        <v>40938</v>
      </c>
      <c r="Q6554" s="10" t="s">
        <v>40939</v>
      </c>
      <c r="R6554" s="10" t="s">
        <v>31</v>
      </c>
      <c r="S6554" s="12" t="s">
        <v>31</v>
      </c>
      <c r="T6554" s="10" t="s">
        <v>10295</v>
      </c>
      <c r="U6554" s="12" t="s">
        <v>31</v>
      </c>
      <c r="V6554" s="10" t="s">
        <v>802</v>
      </c>
      <c r="W6554" s="10" t="s">
        <v>40935</v>
      </c>
      <c r="X6554" s="13" t="str">
        <f>HYPERLINK("https://my.pitchbook.com?p=375744-79P","View People Online")</f>
        <v>View People Online</v>
      </c>
    </row>
    <row r="6555">
      <c r="A6555" s="6" t="s">
        <v>40945</v>
      </c>
      <c r="B6555" s="6" t="s">
        <v>40946</v>
      </c>
      <c r="C6555" s="6" t="s">
        <v>3530</v>
      </c>
      <c r="D6555" s="6" t="s">
        <v>9373</v>
      </c>
      <c r="E6555" s="6" t="s">
        <v>40935</v>
      </c>
      <c r="F6555" s="6" t="s">
        <v>6552</v>
      </c>
      <c r="G6555" s="6" t="s">
        <v>40947</v>
      </c>
      <c r="H6555" s="7" t="s">
        <v>31</v>
      </c>
      <c r="I6555" s="7">
        <v>1.0</v>
      </c>
      <c r="J6555" s="7">
        <v>1.0</v>
      </c>
      <c r="K6555" s="7" t="s">
        <v>31</v>
      </c>
      <c r="L6555" s="8" t="s">
        <v>31</v>
      </c>
      <c r="M6555" s="6" t="s">
        <v>40948</v>
      </c>
      <c r="N6555" s="6" t="s">
        <v>3753</v>
      </c>
      <c r="O6555" s="8" t="s">
        <v>3754</v>
      </c>
      <c r="P6555" s="6" t="s">
        <v>40949</v>
      </c>
      <c r="Q6555" s="6" t="s">
        <v>40950</v>
      </c>
      <c r="R6555" s="6" t="s">
        <v>31</v>
      </c>
      <c r="S6555" s="8" t="s">
        <v>15722</v>
      </c>
      <c r="T6555" s="6" t="s">
        <v>3339</v>
      </c>
      <c r="U6555" s="8" t="s">
        <v>31</v>
      </c>
      <c r="V6555" s="6" t="s">
        <v>6552</v>
      </c>
      <c r="W6555" s="6" t="s">
        <v>40935</v>
      </c>
      <c r="X6555" s="9" t="str">
        <f>HYPERLINK("https://my.pitchbook.com?p=375741-55P","View People Online")</f>
        <v>View People Online</v>
      </c>
    </row>
    <row r="6556">
      <c r="A6556" s="10" t="s">
        <v>40951</v>
      </c>
      <c r="B6556" s="10" t="s">
        <v>40952</v>
      </c>
      <c r="C6556" s="10" t="s">
        <v>5832</v>
      </c>
      <c r="D6556" s="10" t="s">
        <v>3637</v>
      </c>
      <c r="E6556" s="10" t="s">
        <v>40935</v>
      </c>
      <c r="F6556" s="10" t="s">
        <v>802</v>
      </c>
      <c r="G6556" s="10" t="s">
        <v>40953</v>
      </c>
      <c r="H6556" s="11" t="s">
        <v>31</v>
      </c>
      <c r="I6556" s="11">
        <v>1.0</v>
      </c>
      <c r="J6556" s="11">
        <v>1.0</v>
      </c>
      <c r="K6556" s="11" t="s">
        <v>31</v>
      </c>
      <c r="L6556" s="12" t="s">
        <v>31</v>
      </c>
      <c r="M6556" s="10" t="s">
        <v>40954</v>
      </c>
      <c r="N6556" s="10" t="s">
        <v>3753</v>
      </c>
      <c r="O6556" s="12" t="s">
        <v>3754</v>
      </c>
      <c r="P6556" s="10" t="s">
        <v>40949</v>
      </c>
      <c r="Q6556" s="10" t="s">
        <v>40950</v>
      </c>
      <c r="R6556" s="10" t="s">
        <v>31</v>
      </c>
      <c r="S6556" s="12" t="s">
        <v>15722</v>
      </c>
      <c r="T6556" s="10" t="s">
        <v>3339</v>
      </c>
      <c r="U6556" s="12" t="s">
        <v>31</v>
      </c>
      <c r="V6556" s="10" t="s">
        <v>802</v>
      </c>
      <c r="W6556" s="10" t="s">
        <v>40935</v>
      </c>
      <c r="X6556" s="13" t="str">
        <f>HYPERLINK("https://my.pitchbook.com?p=375740-02P","View People Online")</f>
        <v>View People Online</v>
      </c>
    </row>
    <row r="6557">
      <c r="A6557" s="14" t="s">
        <v>40955</v>
      </c>
      <c r="B6557" s="14" t="s">
        <v>40956</v>
      </c>
      <c r="C6557" s="14" t="s">
        <v>4345</v>
      </c>
      <c r="D6557" s="14" t="s">
        <v>9822</v>
      </c>
      <c r="E6557" s="14" t="s">
        <v>40935</v>
      </c>
      <c r="F6557" s="14" t="s">
        <v>4800</v>
      </c>
      <c r="G6557" s="14" t="s">
        <v>40957</v>
      </c>
      <c r="H6557" s="15" t="s">
        <v>31</v>
      </c>
      <c r="I6557" s="15">
        <v>2.0</v>
      </c>
      <c r="J6557" s="15">
        <v>1.0</v>
      </c>
      <c r="K6557" s="15">
        <v>1.0</v>
      </c>
      <c r="L6557" s="16" t="s">
        <v>31</v>
      </c>
      <c r="M6557" s="14" t="s">
        <v>40958</v>
      </c>
      <c r="N6557" s="14" t="s">
        <v>36778</v>
      </c>
      <c r="O6557" s="16" t="s">
        <v>36779</v>
      </c>
      <c r="P6557" s="14" t="s">
        <v>40959</v>
      </c>
      <c r="Q6557" s="14" t="s">
        <v>31</v>
      </c>
      <c r="R6557" s="14" t="s">
        <v>64</v>
      </c>
      <c r="S6557" s="16" t="s">
        <v>39747</v>
      </c>
      <c r="T6557" s="14" t="s">
        <v>66</v>
      </c>
      <c r="U6557" s="16" t="s">
        <v>31</v>
      </c>
      <c r="V6557" s="14" t="s">
        <v>40960</v>
      </c>
      <c r="W6557" s="14" t="s">
        <v>40935</v>
      </c>
      <c r="X6557" s="17" t="str">
        <f>HYPERLINK("https://my.pitchbook.com?p=287694-55P","View People Online")</f>
        <v>View People Online</v>
      </c>
    </row>
    <row r="6558">
      <c r="A6558" s="10" t="s">
        <v>40961</v>
      </c>
      <c r="B6558" s="10" t="s">
        <v>40962</v>
      </c>
      <c r="C6558" s="10" t="s">
        <v>40963</v>
      </c>
      <c r="D6558" s="10" t="s">
        <v>6893</v>
      </c>
      <c r="E6558" s="10" t="s">
        <v>40935</v>
      </c>
      <c r="F6558" s="10" t="s">
        <v>270</v>
      </c>
      <c r="G6558" s="10" t="s">
        <v>40964</v>
      </c>
      <c r="H6558" s="11" t="s">
        <v>31</v>
      </c>
      <c r="I6558" s="11">
        <v>1.0</v>
      </c>
      <c r="J6558" s="11">
        <v>1.0</v>
      </c>
      <c r="K6558" s="11" t="s">
        <v>31</v>
      </c>
      <c r="L6558" s="12" t="s">
        <v>31</v>
      </c>
      <c r="M6558" s="10" t="s">
        <v>40965</v>
      </c>
      <c r="N6558" s="10" t="s">
        <v>10290</v>
      </c>
      <c r="O6558" s="12" t="s">
        <v>10291</v>
      </c>
      <c r="P6558" s="10" t="s">
        <v>40938</v>
      </c>
      <c r="Q6558" s="10" t="s">
        <v>40939</v>
      </c>
      <c r="R6558" s="10" t="s">
        <v>31</v>
      </c>
      <c r="S6558" s="12" t="s">
        <v>31</v>
      </c>
      <c r="T6558" s="10" t="s">
        <v>10295</v>
      </c>
      <c r="U6558" s="12" t="s">
        <v>31</v>
      </c>
      <c r="V6558" s="10" t="s">
        <v>270</v>
      </c>
      <c r="W6558" s="10" t="s">
        <v>40935</v>
      </c>
      <c r="X6558" s="13" t="str">
        <f>HYPERLINK("https://my.pitchbook.com?p=375745-96P","View People Online")</f>
        <v>View People Online</v>
      </c>
    </row>
    <row r="6559">
      <c r="A6559" s="14" t="s">
        <v>40966</v>
      </c>
      <c r="B6559" s="14" t="s">
        <v>40967</v>
      </c>
      <c r="C6559" s="14" t="s">
        <v>40968</v>
      </c>
      <c r="D6559" s="14" t="s">
        <v>2582</v>
      </c>
      <c r="E6559" s="14" t="s">
        <v>40935</v>
      </c>
      <c r="F6559" s="14" t="s">
        <v>802</v>
      </c>
      <c r="G6559" s="14" t="s">
        <v>40969</v>
      </c>
      <c r="H6559" s="15" t="s">
        <v>31</v>
      </c>
      <c r="I6559" s="15">
        <v>1.0</v>
      </c>
      <c r="J6559" s="15">
        <v>1.0</v>
      </c>
      <c r="K6559" s="15" t="s">
        <v>31</v>
      </c>
      <c r="L6559" s="16" t="s">
        <v>31</v>
      </c>
      <c r="M6559" s="14" t="s">
        <v>40970</v>
      </c>
      <c r="N6559" s="14" t="s">
        <v>1034</v>
      </c>
      <c r="O6559" s="16" t="s">
        <v>1035</v>
      </c>
      <c r="P6559" s="14" t="s">
        <v>40971</v>
      </c>
      <c r="Q6559" s="14" t="s">
        <v>40972</v>
      </c>
      <c r="R6559" s="14" t="s">
        <v>31</v>
      </c>
      <c r="S6559" s="16" t="s">
        <v>40973</v>
      </c>
      <c r="T6559" s="14" t="s">
        <v>1034</v>
      </c>
      <c r="U6559" s="16" t="s">
        <v>31</v>
      </c>
      <c r="V6559" s="14" t="s">
        <v>802</v>
      </c>
      <c r="W6559" s="14" t="s">
        <v>40935</v>
      </c>
      <c r="X6559" s="17" t="str">
        <f>HYPERLINK("https://my.pitchbook.com?p=325820-98P","View People Online")</f>
        <v>View People Online</v>
      </c>
    </row>
    <row r="6560">
      <c r="A6560" s="10" t="s">
        <v>40974</v>
      </c>
      <c r="B6560" s="10" t="s">
        <v>40975</v>
      </c>
      <c r="C6560" s="10" t="s">
        <v>3040</v>
      </c>
      <c r="D6560" s="10" t="s">
        <v>40976</v>
      </c>
      <c r="E6560" s="10" t="s">
        <v>40935</v>
      </c>
      <c r="F6560" s="10" t="s">
        <v>221</v>
      </c>
      <c r="G6560" s="10" t="s">
        <v>40977</v>
      </c>
      <c r="H6560" s="11" t="s">
        <v>31</v>
      </c>
      <c r="I6560" s="11">
        <v>1.0</v>
      </c>
      <c r="J6560" s="11">
        <v>1.0</v>
      </c>
      <c r="K6560" s="11" t="s">
        <v>31</v>
      </c>
      <c r="L6560" s="12" t="s">
        <v>31</v>
      </c>
      <c r="M6560" s="10" t="s">
        <v>40978</v>
      </c>
      <c r="N6560" s="10" t="s">
        <v>34</v>
      </c>
      <c r="O6560" s="12" t="s">
        <v>35</v>
      </c>
      <c r="P6560" s="10" t="s">
        <v>40979</v>
      </c>
      <c r="Q6560" s="10" t="s">
        <v>31</v>
      </c>
      <c r="R6560" s="10" t="s">
        <v>31</v>
      </c>
      <c r="S6560" s="12" t="s">
        <v>40980</v>
      </c>
      <c r="T6560" s="10" t="s">
        <v>38</v>
      </c>
      <c r="U6560" s="12" t="s">
        <v>31</v>
      </c>
      <c r="V6560" s="10" t="s">
        <v>957</v>
      </c>
      <c r="W6560" s="10" t="s">
        <v>40935</v>
      </c>
      <c r="X6560" s="13" t="str">
        <f>HYPERLINK("https://my.pitchbook.com?p=325819-72P","View People Online")</f>
        <v>View People Online</v>
      </c>
    </row>
    <row r="6561">
      <c r="A6561" s="6" t="s">
        <v>40981</v>
      </c>
      <c r="B6561" s="6" t="s">
        <v>40982</v>
      </c>
      <c r="C6561" s="6" t="s">
        <v>40983</v>
      </c>
      <c r="D6561" s="6" t="s">
        <v>40984</v>
      </c>
      <c r="E6561" s="6" t="s">
        <v>40935</v>
      </c>
      <c r="F6561" s="6" t="s">
        <v>6552</v>
      </c>
      <c r="G6561" s="6" t="s">
        <v>40985</v>
      </c>
      <c r="H6561" s="7" t="s">
        <v>31</v>
      </c>
      <c r="I6561" s="7">
        <v>1.0</v>
      </c>
      <c r="J6561" s="7">
        <v>1.0</v>
      </c>
      <c r="K6561" s="7" t="s">
        <v>31</v>
      </c>
      <c r="L6561" s="8" t="s">
        <v>31</v>
      </c>
      <c r="M6561" s="6" t="s">
        <v>40986</v>
      </c>
      <c r="N6561" s="6" t="s">
        <v>36778</v>
      </c>
      <c r="O6561" s="8" t="s">
        <v>36779</v>
      </c>
      <c r="P6561" s="6" t="s">
        <v>40959</v>
      </c>
      <c r="Q6561" s="6" t="s">
        <v>31</v>
      </c>
      <c r="R6561" s="6" t="s">
        <v>64</v>
      </c>
      <c r="S6561" s="8" t="s">
        <v>39747</v>
      </c>
      <c r="T6561" s="6" t="s">
        <v>66</v>
      </c>
      <c r="U6561" s="8" t="s">
        <v>31</v>
      </c>
      <c r="V6561" s="6" t="s">
        <v>6552</v>
      </c>
      <c r="W6561" s="6" t="s">
        <v>40935</v>
      </c>
      <c r="X6561" s="9" t="str">
        <f>HYPERLINK("https://my.pitchbook.com?p=375748-03P","View People Online")</f>
        <v>View People Online</v>
      </c>
    </row>
    <row r="6562">
      <c r="A6562" s="10" t="s">
        <v>40987</v>
      </c>
      <c r="B6562" s="10" t="s">
        <v>40988</v>
      </c>
      <c r="C6562" s="10" t="s">
        <v>40583</v>
      </c>
      <c r="D6562" s="10" t="s">
        <v>40989</v>
      </c>
      <c r="E6562" s="10" t="s">
        <v>40935</v>
      </c>
      <c r="F6562" s="10" t="s">
        <v>6552</v>
      </c>
      <c r="G6562" s="10" t="s">
        <v>40990</v>
      </c>
      <c r="H6562" s="11">
        <v>2.0</v>
      </c>
      <c r="I6562" s="11">
        <v>4.0</v>
      </c>
      <c r="J6562" s="11">
        <v>1.0</v>
      </c>
      <c r="K6562" s="11">
        <v>1.0</v>
      </c>
      <c r="L6562" s="12" t="s">
        <v>31</v>
      </c>
      <c r="M6562" s="10" t="s">
        <v>40991</v>
      </c>
      <c r="N6562" s="10" t="s">
        <v>10290</v>
      </c>
      <c r="O6562" s="12" t="s">
        <v>10291</v>
      </c>
      <c r="P6562" s="10" t="s">
        <v>40938</v>
      </c>
      <c r="Q6562" s="10" t="s">
        <v>40939</v>
      </c>
      <c r="R6562" s="10" t="s">
        <v>31</v>
      </c>
      <c r="S6562" s="12" t="s">
        <v>31</v>
      </c>
      <c r="T6562" s="10" t="s">
        <v>10295</v>
      </c>
      <c r="U6562" s="12" t="s">
        <v>31</v>
      </c>
      <c r="V6562" s="10" t="s">
        <v>6552</v>
      </c>
      <c r="W6562" s="10" t="s">
        <v>40935</v>
      </c>
      <c r="X6562" s="13" t="str">
        <f>HYPERLINK("https://my.pitchbook.com?p=89603-20P","View People Online")</f>
        <v>View People Online</v>
      </c>
    </row>
    <row r="6563">
      <c r="A6563" s="14" t="s">
        <v>40992</v>
      </c>
      <c r="B6563" s="14" t="s">
        <v>40993</v>
      </c>
      <c r="C6563" s="14" t="s">
        <v>19373</v>
      </c>
      <c r="D6563" s="14" t="s">
        <v>12945</v>
      </c>
      <c r="E6563" s="14" t="s">
        <v>40935</v>
      </c>
      <c r="F6563" s="14" t="s">
        <v>802</v>
      </c>
      <c r="G6563" s="14" t="s">
        <v>40994</v>
      </c>
      <c r="H6563" s="15">
        <v>1.0</v>
      </c>
      <c r="I6563" s="15">
        <v>2.0</v>
      </c>
      <c r="J6563" s="15">
        <v>1.0</v>
      </c>
      <c r="K6563" s="15" t="s">
        <v>31</v>
      </c>
      <c r="L6563" s="16" t="s">
        <v>31</v>
      </c>
      <c r="M6563" s="14" t="s">
        <v>40995</v>
      </c>
      <c r="N6563" s="14" t="s">
        <v>34</v>
      </c>
      <c r="O6563" s="16" t="s">
        <v>35</v>
      </c>
      <c r="P6563" s="14" t="s">
        <v>40979</v>
      </c>
      <c r="Q6563" s="14" t="s">
        <v>31</v>
      </c>
      <c r="R6563" s="14" t="s">
        <v>31</v>
      </c>
      <c r="S6563" s="16" t="s">
        <v>40980</v>
      </c>
      <c r="T6563" s="14" t="s">
        <v>38</v>
      </c>
      <c r="U6563" s="16" t="s">
        <v>31</v>
      </c>
      <c r="V6563" s="14" t="s">
        <v>802</v>
      </c>
      <c r="W6563" s="14" t="s">
        <v>40935</v>
      </c>
      <c r="X6563" s="17" t="str">
        <f>HYPERLINK("https://my.pitchbook.com?p=305092-36P","View People Online")</f>
        <v>View People Online</v>
      </c>
    </row>
    <row r="6564">
      <c r="A6564" s="2" t="s">
        <v>40996</v>
      </c>
      <c r="B6564" s="2" t="s">
        <v>40997</v>
      </c>
      <c r="C6564" s="2" t="s">
        <v>40998</v>
      </c>
      <c r="D6564" s="2" t="s">
        <v>3671</v>
      </c>
      <c r="E6564" s="2" t="s">
        <v>40935</v>
      </c>
      <c r="F6564" s="2" t="s">
        <v>201</v>
      </c>
      <c r="G6564" s="2" t="s">
        <v>40999</v>
      </c>
      <c r="H6564" s="3" t="s">
        <v>31</v>
      </c>
      <c r="I6564" s="3">
        <v>1.0</v>
      </c>
      <c r="J6564" s="3">
        <v>1.0</v>
      </c>
      <c r="K6564" s="3" t="s">
        <v>31</v>
      </c>
      <c r="L6564" s="4" t="s">
        <v>31</v>
      </c>
      <c r="M6564" s="2" t="s">
        <v>41000</v>
      </c>
      <c r="N6564" s="2" t="s">
        <v>36778</v>
      </c>
      <c r="O6564" s="4" t="s">
        <v>36779</v>
      </c>
      <c r="P6564" s="2" t="s">
        <v>40959</v>
      </c>
      <c r="Q6564" s="2" t="s">
        <v>31</v>
      </c>
      <c r="R6564" s="2" t="s">
        <v>64</v>
      </c>
      <c r="S6564" s="4" t="s">
        <v>39747</v>
      </c>
      <c r="T6564" s="2" t="s">
        <v>66</v>
      </c>
      <c r="U6564" s="4" t="s">
        <v>31</v>
      </c>
      <c r="V6564" s="2" t="s">
        <v>1910</v>
      </c>
      <c r="W6564" s="2" t="s">
        <v>40935</v>
      </c>
      <c r="X6564" s="5" t="str">
        <f>HYPERLINK("https://my.pitchbook.com?p=325821-61P","View People Online")</f>
        <v>View People Online</v>
      </c>
    </row>
    <row r="6565">
      <c r="A6565" s="14" t="s">
        <v>41001</v>
      </c>
      <c r="B6565" s="14" t="s">
        <v>41002</v>
      </c>
      <c r="C6565" s="14" t="s">
        <v>7775</v>
      </c>
      <c r="D6565" s="14" t="s">
        <v>41003</v>
      </c>
      <c r="E6565" s="14" t="s">
        <v>41004</v>
      </c>
      <c r="F6565" s="14" t="s">
        <v>548</v>
      </c>
      <c r="G6565" s="14" t="s">
        <v>41005</v>
      </c>
      <c r="H6565" s="15" t="s">
        <v>31</v>
      </c>
      <c r="I6565" s="15">
        <v>1.0</v>
      </c>
      <c r="J6565" s="15">
        <v>1.0</v>
      </c>
      <c r="K6565" s="15" t="s">
        <v>31</v>
      </c>
      <c r="L6565" s="16" t="s">
        <v>41006</v>
      </c>
      <c r="M6565" s="14" t="s">
        <v>41007</v>
      </c>
      <c r="N6565" s="14" t="s">
        <v>1109</v>
      </c>
      <c r="O6565" s="16" t="s">
        <v>1110</v>
      </c>
      <c r="P6565" s="14" t="s">
        <v>41008</v>
      </c>
      <c r="Q6565" s="14" t="s">
        <v>6872</v>
      </c>
      <c r="R6565" s="14" t="s">
        <v>1112</v>
      </c>
      <c r="S6565" s="16" t="s">
        <v>41009</v>
      </c>
      <c r="T6565" s="14" t="s">
        <v>66</v>
      </c>
      <c r="U6565" s="16" t="s">
        <v>31</v>
      </c>
      <c r="V6565" s="14" t="s">
        <v>834</v>
      </c>
      <c r="W6565" s="14" t="s">
        <v>41004</v>
      </c>
      <c r="X6565" s="17" t="str">
        <f>HYPERLINK("https://my.pitchbook.com?p=209702-98P","View People Online")</f>
        <v>View People Online</v>
      </c>
    </row>
    <row r="6566">
      <c r="A6566" s="10" t="s">
        <v>41010</v>
      </c>
      <c r="B6566" s="10" t="s">
        <v>41011</v>
      </c>
      <c r="C6566" s="10" t="s">
        <v>3052</v>
      </c>
      <c r="D6566" s="10" t="s">
        <v>41012</v>
      </c>
      <c r="E6566" s="10" t="s">
        <v>41004</v>
      </c>
      <c r="F6566" s="10" t="s">
        <v>41013</v>
      </c>
      <c r="G6566" s="10" t="s">
        <v>41014</v>
      </c>
      <c r="H6566" s="11" t="s">
        <v>31</v>
      </c>
      <c r="I6566" s="11">
        <v>1.0</v>
      </c>
      <c r="J6566" s="11">
        <v>1.0</v>
      </c>
      <c r="K6566" s="11" t="s">
        <v>31</v>
      </c>
      <c r="L6566" s="12" t="s">
        <v>41006</v>
      </c>
      <c r="M6566" s="10" t="s">
        <v>31</v>
      </c>
      <c r="N6566" s="10" t="s">
        <v>1109</v>
      </c>
      <c r="O6566" s="12" t="s">
        <v>1110</v>
      </c>
      <c r="P6566" s="10" t="s">
        <v>41008</v>
      </c>
      <c r="Q6566" s="10" t="s">
        <v>6872</v>
      </c>
      <c r="R6566" s="10" t="s">
        <v>1112</v>
      </c>
      <c r="S6566" s="12" t="s">
        <v>41009</v>
      </c>
      <c r="T6566" s="10" t="s">
        <v>66</v>
      </c>
      <c r="U6566" s="12" t="s">
        <v>31</v>
      </c>
      <c r="V6566" s="10" t="s">
        <v>41015</v>
      </c>
      <c r="W6566" s="10" t="s">
        <v>41004</v>
      </c>
      <c r="X6566" s="13" t="str">
        <f>HYPERLINK("https://my.pitchbook.com?p=441008-38P","View People Online")</f>
        <v>View People Online</v>
      </c>
    </row>
    <row r="6567">
      <c r="A6567" s="14" t="s">
        <v>41016</v>
      </c>
      <c r="B6567" s="14" t="s">
        <v>41017</v>
      </c>
      <c r="C6567" s="14" t="s">
        <v>41018</v>
      </c>
      <c r="D6567" s="14" t="s">
        <v>41019</v>
      </c>
      <c r="E6567" s="14" t="s">
        <v>41004</v>
      </c>
      <c r="F6567" s="14" t="s">
        <v>152</v>
      </c>
      <c r="G6567" s="14" t="s">
        <v>41020</v>
      </c>
      <c r="H6567" s="15" t="s">
        <v>31</v>
      </c>
      <c r="I6567" s="15">
        <v>1.0</v>
      </c>
      <c r="J6567" s="15">
        <v>1.0</v>
      </c>
      <c r="K6567" s="15" t="s">
        <v>31</v>
      </c>
      <c r="L6567" s="16" t="s">
        <v>41006</v>
      </c>
      <c r="M6567" s="14" t="s">
        <v>41021</v>
      </c>
      <c r="N6567" s="14" t="s">
        <v>1109</v>
      </c>
      <c r="O6567" s="16" t="s">
        <v>1110</v>
      </c>
      <c r="P6567" s="14" t="s">
        <v>41008</v>
      </c>
      <c r="Q6567" s="14" t="s">
        <v>6872</v>
      </c>
      <c r="R6567" s="14" t="s">
        <v>1112</v>
      </c>
      <c r="S6567" s="16" t="s">
        <v>41009</v>
      </c>
      <c r="T6567" s="14" t="s">
        <v>66</v>
      </c>
      <c r="U6567" s="16" t="s">
        <v>31</v>
      </c>
      <c r="V6567" s="14" t="s">
        <v>157</v>
      </c>
      <c r="W6567" s="14" t="s">
        <v>41004</v>
      </c>
      <c r="X6567" s="17" t="str">
        <f>HYPERLINK("https://my.pitchbook.com?p=209694-07P","View People Online")</f>
        <v>View People Online</v>
      </c>
    </row>
    <row r="6568">
      <c r="A6568" s="10" t="s">
        <v>41022</v>
      </c>
      <c r="B6568" s="10" t="s">
        <v>41023</v>
      </c>
      <c r="C6568" s="10" t="s">
        <v>126</v>
      </c>
      <c r="D6568" s="10" t="s">
        <v>41024</v>
      </c>
      <c r="E6568" s="10" t="s">
        <v>41004</v>
      </c>
      <c r="F6568" s="10" t="s">
        <v>86</v>
      </c>
      <c r="G6568" s="10" t="s">
        <v>41025</v>
      </c>
      <c r="H6568" s="11" t="s">
        <v>31</v>
      </c>
      <c r="I6568" s="11">
        <v>25.0</v>
      </c>
      <c r="J6568" s="11">
        <v>2.0</v>
      </c>
      <c r="K6568" s="11">
        <v>21.0</v>
      </c>
      <c r="L6568" s="12" t="s">
        <v>41026</v>
      </c>
      <c r="M6568" s="10" t="s">
        <v>41027</v>
      </c>
      <c r="N6568" s="10" t="s">
        <v>1109</v>
      </c>
      <c r="O6568" s="12" t="s">
        <v>1110</v>
      </c>
      <c r="P6568" s="10" t="s">
        <v>41028</v>
      </c>
      <c r="Q6568" s="10" t="s">
        <v>6872</v>
      </c>
      <c r="R6568" s="10" t="s">
        <v>1112</v>
      </c>
      <c r="S6568" s="12" t="s">
        <v>41009</v>
      </c>
      <c r="T6568" s="10" t="s">
        <v>66</v>
      </c>
      <c r="U6568" s="12" t="s">
        <v>41029</v>
      </c>
      <c r="V6568" s="10" t="s">
        <v>1106</v>
      </c>
      <c r="W6568" s="10" t="s">
        <v>41030</v>
      </c>
      <c r="X6568" s="13" t="str">
        <f>HYPERLINK("https://my.pitchbook.com?p=145817-29P","View People Online")</f>
        <v>View People Online</v>
      </c>
    </row>
    <row r="6569">
      <c r="A6569" s="14" t="s">
        <v>41031</v>
      </c>
      <c r="B6569" s="14" t="s">
        <v>41032</v>
      </c>
      <c r="C6569" s="14" t="s">
        <v>41033</v>
      </c>
      <c r="D6569" s="14" t="s">
        <v>41034</v>
      </c>
      <c r="E6569" s="14" t="s">
        <v>41004</v>
      </c>
      <c r="F6569" s="14" t="s">
        <v>548</v>
      </c>
      <c r="G6569" s="14" t="s">
        <v>41035</v>
      </c>
      <c r="H6569" s="15" t="s">
        <v>31</v>
      </c>
      <c r="I6569" s="15">
        <v>1.0</v>
      </c>
      <c r="J6569" s="15">
        <v>1.0</v>
      </c>
      <c r="K6569" s="15" t="s">
        <v>31</v>
      </c>
      <c r="L6569" s="16" t="s">
        <v>41006</v>
      </c>
      <c r="M6569" s="14" t="s">
        <v>41036</v>
      </c>
      <c r="N6569" s="14" t="s">
        <v>1109</v>
      </c>
      <c r="O6569" s="16" t="s">
        <v>1110</v>
      </c>
      <c r="P6569" s="14" t="s">
        <v>41008</v>
      </c>
      <c r="Q6569" s="14" t="s">
        <v>6872</v>
      </c>
      <c r="R6569" s="14" t="s">
        <v>1112</v>
      </c>
      <c r="S6569" s="16" t="s">
        <v>41009</v>
      </c>
      <c r="T6569" s="14" t="s">
        <v>66</v>
      </c>
      <c r="U6569" s="16" t="s">
        <v>31</v>
      </c>
      <c r="V6569" s="14" t="s">
        <v>548</v>
      </c>
      <c r="W6569" s="14" t="s">
        <v>41004</v>
      </c>
      <c r="X6569" s="17" t="str">
        <f>HYPERLINK("https://my.pitchbook.com?p=441010-27P","View People Online")</f>
        <v>View People Online</v>
      </c>
    </row>
    <row r="6570">
      <c r="A6570" s="10" t="s">
        <v>41037</v>
      </c>
      <c r="B6570" s="10" t="s">
        <v>41038</v>
      </c>
      <c r="C6570" s="10" t="s">
        <v>5574</v>
      </c>
      <c r="D6570" s="10" t="s">
        <v>41039</v>
      </c>
      <c r="E6570" s="10" t="s">
        <v>41004</v>
      </c>
      <c r="F6570" s="10" t="s">
        <v>1283</v>
      </c>
      <c r="G6570" s="10" t="s">
        <v>41040</v>
      </c>
      <c r="H6570" s="11" t="s">
        <v>31</v>
      </c>
      <c r="I6570" s="11">
        <v>2.0</v>
      </c>
      <c r="J6570" s="11">
        <v>2.0</v>
      </c>
      <c r="K6570" s="11" t="s">
        <v>31</v>
      </c>
      <c r="L6570" s="12" t="s">
        <v>41006</v>
      </c>
      <c r="M6570" s="10" t="s">
        <v>41041</v>
      </c>
      <c r="N6570" s="10" t="s">
        <v>1109</v>
      </c>
      <c r="O6570" s="12" t="s">
        <v>1110</v>
      </c>
      <c r="P6570" s="10" t="s">
        <v>41008</v>
      </c>
      <c r="Q6570" s="10" t="s">
        <v>6872</v>
      </c>
      <c r="R6570" s="10" t="s">
        <v>1112</v>
      </c>
      <c r="S6570" s="12" t="s">
        <v>41009</v>
      </c>
      <c r="T6570" s="10" t="s">
        <v>66</v>
      </c>
      <c r="U6570" s="12" t="s">
        <v>31</v>
      </c>
      <c r="V6570" s="10" t="s">
        <v>1283</v>
      </c>
      <c r="W6570" s="10" t="s">
        <v>41004</v>
      </c>
      <c r="X6570" s="13" t="str">
        <f>HYPERLINK("https://my.pitchbook.com?p=53639-83P","View People Online")</f>
        <v>View People Online</v>
      </c>
    </row>
    <row r="6571">
      <c r="A6571" s="14" t="s">
        <v>41042</v>
      </c>
      <c r="B6571" s="14" t="s">
        <v>41043</v>
      </c>
      <c r="C6571" s="14" t="s">
        <v>41044</v>
      </c>
      <c r="D6571" s="14" t="s">
        <v>41045</v>
      </c>
      <c r="E6571" s="14" t="s">
        <v>41004</v>
      </c>
      <c r="F6571" s="14" t="s">
        <v>270</v>
      </c>
      <c r="G6571" s="14" t="s">
        <v>41046</v>
      </c>
      <c r="H6571" s="15" t="s">
        <v>31</v>
      </c>
      <c r="I6571" s="15">
        <v>1.0</v>
      </c>
      <c r="J6571" s="15">
        <v>1.0</v>
      </c>
      <c r="K6571" s="15" t="s">
        <v>31</v>
      </c>
      <c r="L6571" s="16" t="s">
        <v>41006</v>
      </c>
      <c r="M6571" s="14" t="s">
        <v>41047</v>
      </c>
      <c r="N6571" s="14" t="s">
        <v>1109</v>
      </c>
      <c r="O6571" s="16" t="s">
        <v>1110</v>
      </c>
      <c r="P6571" s="14" t="s">
        <v>41008</v>
      </c>
      <c r="Q6571" s="14" t="s">
        <v>6872</v>
      </c>
      <c r="R6571" s="14" t="s">
        <v>1112</v>
      </c>
      <c r="S6571" s="16" t="s">
        <v>41009</v>
      </c>
      <c r="T6571" s="14" t="s">
        <v>66</v>
      </c>
      <c r="U6571" s="16" t="s">
        <v>31</v>
      </c>
      <c r="V6571" s="14" t="s">
        <v>270</v>
      </c>
      <c r="W6571" s="14" t="s">
        <v>41004</v>
      </c>
      <c r="X6571" s="17" t="str">
        <f>HYPERLINK("https://my.pitchbook.com?p=233108-29P","View People Online")</f>
        <v>View People Online</v>
      </c>
    </row>
    <row r="6572">
      <c r="A6572" s="10" t="s">
        <v>41048</v>
      </c>
      <c r="B6572" s="10" t="s">
        <v>41049</v>
      </c>
      <c r="C6572" s="10" t="s">
        <v>41050</v>
      </c>
      <c r="D6572" s="10" t="s">
        <v>41051</v>
      </c>
      <c r="E6572" s="10" t="s">
        <v>41052</v>
      </c>
      <c r="F6572" s="10" t="s">
        <v>371</v>
      </c>
      <c r="G6572" s="10" t="s">
        <v>41053</v>
      </c>
      <c r="H6572" s="11" t="s">
        <v>31</v>
      </c>
      <c r="I6572" s="11">
        <v>3.0</v>
      </c>
      <c r="J6572" s="11">
        <v>1.0</v>
      </c>
      <c r="K6572" s="11" t="s">
        <v>31</v>
      </c>
      <c r="L6572" s="12" t="s">
        <v>41054</v>
      </c>
      <c r="M6572" s="10" t="s">
        <v>41055</v>
      </c>
      <c r="N6572" s="10" t="s">
        <v>1034</v>
      </c>
      <c r="O6572" s="12" t="s">
        <v>1035</v>
      </c>
      <c r="P6572" s="10" t="s">
        <v>41056</v>
      </c>
      <c r="Q6572" s="10" t="s">
        <v>41057</v>
      </c>
      <c r="R6572" s="10" t="s">
        <v>31</v>
      </c>
      <c r="S6572" s="12" t="s">
        <v>41058</v>
      </c>
      <c r="T6572" s="10" t="s">
        <v>1034</v>
      </c>
      <c r="U6572" s="12" t="s">
        <v>41059</v>
      </c>
      <c r="V6572" s="10" t="s">
        <v>41060</v>
      </c>
      <c r="W6572" s="10" t="s">
        <v>41052</v>
      </c>
      <c r="X6572" s="13" t="str">
        <f>HYPERLINK("https://my.pitchbook.com?p=204247-45P","View People Online")</f>
        <v>View People Online</v>
      </c>
    </row>
    <row r="6573">
      <c r="A6573" s="6" t="s">
        <v>41061</v>
      </c>
      <c r="B6573" s="6" t="s">
        <v>41062</v>
      </c>
      <c r="C6573" s="6" t="s">
        <v>41063</v>
      </c>
      <c r="D6573" s="6" t="s">
        <v>41064</v>
      </c>
      <c r="E6573" s="6" t="s">
        <v>41052</v>
      </c>
      <c r="F6573" s="6" t="s">
        <v>81</v>
      </c>
      <c r="G6573" s="6" t="s">
        <v>41065</v>
      </c>
      <c r="H6573" s="7">
        <v>1.0</v>
      </c>
      <c r="I6573" s="7">
        <v>2.0</v>
      </c>
      <c r="J6573" s="7" t="s">
        <v>31</v>
      </c>
      <c r="K6573" s="7" t="s">
        <v>31</v>
      </c>
      <c r="L6573" s="8" t="s">
        <v>41054</v>
      </c>
      <c r="M6573" s="6" t="s">
        <v>31</v>
      </c>
      <c r="N6573" s="6" t="s">
        <v>1034</v>
      </c>
      <c r="O6573" s="8" t="s">
        <v>1035</v>
      </c>
      <c r="P6573" s="6" t="s">
        <v>41056</v>
      </c>
      <c r="Q6573" s="6" t="s">
        <v>41057</v>
      </c>
      <c r="R6573" s="6" t="s">
        <v>31</v>
      </c>
      <c r="S6573" s="8" t="s">
        <v>41058</v>
      </c>
      <c r="T6573" s="6" t="s">
        <v>1034</v>
      </c>
      <c r="U6573" s="8" t="s">
        <v>41059</v>
      </c>
      <c r="V6573" s="6" t="s">
        <v>2379</v>
      </c>
      <c r="W6573" s="6" t="s">
        <v>41066</v>
      </c>
      <c r="X6573" s="9" t="str">
        <f>HYPERLINK("https://my.pitchbook.com?p=44694-91P","View People Online")</f>
        <v>View People Online</v>
      </c>
    </row>
    <row r="6574">
      <c r="A6574" s="10" t="s">
        <v>41067</v>
      </c>
      <c r="B6574" s="10" t="s">
        <v>41068</v>
      </c>
      <c r="C6574" s="10" t="s">
        <v>24470</v>
      </c>
      <c r="D6574" s="10" t="s">
        <v>38453</v>
      </c>
      <c r="E6574" s="10" t="s">
        <v>41052</v>
      </c>
      <c r="F6574" s="10" t="s">
        <v>81</v>
      </c>
      <c r="G6574" s="10" t="s">
        <v>41069</v>
      </c>
      <c r="H6574" s="11">
        <v>2.0</v>
      </c>
      <c r="I6574" s="11">
        <v>4.0</v>
      </c>
      <c r="J6574" s="11">
        <v>1.0</v>
      </c>
      <c r="K6574" s="11" t="s">
        <v>31</v>
      </c>
      <c r="L6574" s="12" t="s">
        <v>41070</v>
      </c>
      <c r="M6574" s="10" t="s">
        <v>41071</v>
      </c>
      <c r="N6574" s="10" t="s">
        <v>1034</v>
      </c>
      <c r="O6574" s="12" t="s">
        <v>1035</v>
      </c>
      <c r="P6574" s="10" t="s">
        <v>41072</v>
      </c>
      <c r="Q6574" s="10" t="s">
        <v>31</v>
      </c>
      <c r="R6574" s="10" t="s">
        <v>31</v>
      </c>
      <c r="S6574" s="12" t="s">
        <v>41073</v>
      </c>
      <c r="T6574" s="10" t="s">
        <v>1034</v>
      </c>
      <c r="U6574" s="12" t="s">
        <v>41074</v>
      </c>
      <c r="V6574" s="10" t="s">
        <v>41075</v>
      </c>
      <c r="W6574" s="10" t="s">
        <v>41076</v>
      </c>
      <c r="X6574" s="13" t="str">
        <f>HYPERLINK("https://my.pitchbook.com?p=120097-90P","View People Online")</f>
        <v>View People Online</v>
      </c>
    </row>
    <row r="6575">
      <c r="A6575" s="14" t="s">
        <v>41077</v>
      </c>
      <c r="B6575" s="14" t="s">
        <v>41078</v>
      </c>
      <c r="C6575" s="14" t="s">
        <v>41079</v>
      </c>
      <c r="D6575" s="14" t="s">
        <v>41080</v>
      </c>
      <c r="E6575" s="14" t="s">
        <v>41052</v>
      </c>
      <c r="F6575" s="14" t="s">
        <v>81</v>
      </c>
      <c r="G6575" s="14" t="s">
        <v>41081</v>
      </c>
      <c r="H6575" s="15" t="s">
        <v>31</v>
      </c>
      <c r="I6575" s="15">
        <v>3.0</v>
      </c>
      <c r="J6575" s="15">
        <v>1.0</v>
      </c>
      <c r="K6575" s="15">
        <v>1.0</v>
      </c>
      <c r="L6575" s="16" t="s">
        <v>41082</v>
      </c>
      <c r="M6575" s="14" t="s">
        <v>41083</v>
      </c>
      <c r="N6575" s="14" t="s">
        <v>1034</v>
      </c>
      <c r="O6575" s="16" t="s">
        <v>1035</v>
      </c>
      <c r="P6575" s="14" t="s">
        <v>41084</v>
      </c>
      <c r="Q6575" s="14" t="s">
        <v>41085</v>
      </c>
      <c r="R6575" s="14" t="s">
        <v>31</v>
      </c>
      <c r="S6575" s="16" t="s">
        <v>41086</v>
      </c>
      <c r="T6575" s="14" t="s">
        <v>1034</v>
      </c>
      <c r="U6575" s="16" t="s">
        <v>41087</v>
      </c>
      <c r="V6575" s="14" t="s">
        <v>1283</v>
      </c>
      <c r="W6575" s="14" t="s">
        <v>41088</v>
      </c>
      <c r="X6575" s="17" t="str">
        <f>HYPERLINK("https://my.pitchbook.com?p=136663-75P","View People Online")</f>
        <v>View People Online</v>
      </c>
    </row>
    <row r="6576">
      <c r="A6576" s="10" t="s">
        <v>41089</v>
      </c>
      <c r="B6576" s="10" t="s">
        <v>41090</v>
      </c>
      <c r="C6576" s="10" t="s">
        <v>41091</v>
      </c>
      <c r="D6576" s="10" t="s">
        <v>5692</v>
      </c>
      <c r="E6576" s="10" t="s">
        <v>41052</v>
      </c>
      <c r="F6576" s="10" t="s">
        <v>120</v>
      </c>
      <c r="G6576" s="10" t="s">
        <v>41092</v>
      </c>
      <c r="H6576" s="11">
        <v>1.0</v>
      </c>
      <c r="I6576" s="11">
        <v>5.0</v>
      </c>
      <c r="J6576" s="11">
        <v>1.0</v>
      </c>
      <c r="K6576" s="11">
        <v>1.0</v>
      </c>
      <c r="L6576" s="12" t="s">
        <v>41054</v>
      </c>
      <c r="M6576" s="10" t="s">
        <v>41093</v>
      </c>
      <c r="N6576" s="10" t="s">
        <v>1034</v>
      </c>
      <c r="O6576" s="12" t="s">
        <v>1035</v>
      </c>
      <c r="P6576" s="10" t="s">
        <v>41056</v>
      </c>
      <c r="Q6576" s="10" t="s">
        <v>41057</v>
      </c>
      <c r="R6576" s="10" t="s">
        <v>31</v>
      </c>
      <c r="S6576" s="12" t="s">
        <v>41058</v>
      </c>
      <c r="T6576" s="10" t="s">
        <v>1034</v>
      </c>
      <c r="U6576" s="12" t="s">
        <v>41059</v>
      </c>
      <c r="V6576" s="10" t="s">
        <v>120</v>
      </c>
      <c r="W6576" s="10" t="s">
        <v>41052</v>
      </c>
      <c r="X6576" s="13" t="str">
        <f>HYPERLINK("https://my.pitchbook.com?p=250502-23P","View People Online")</f>
        <v>View People Online</v>
      </c>
    </row>
    <row r="6577">
      <c r="A6577" s="14" t="s">
        <v>41094</v>
      </c>
      <c r="B6577" s="14" t="s">
        <v>41095</v>
      </c>
      <c r="C6577" s="14" t="s">
        <v>8163</v>
      </c>
      <c r="D6577" s="14" t="s">
        <v>41096</v>
      </c>
      <c r="E6577" s="14" t="s">
        <v>41052</v>
      </c>
      <c r="F6577" s="14" t="s">
        <v>81</v>
      </c>
      <c r="G6577" s="14" t="s">
        <v>41097</v>
      </c>
      <c r="H6577" s="15">
        <v>2.0</v>
      </c>
      <c r="I6577" s="15">
        <v>3.0</v>
      </c>
      <c r="J6577" s="15" t="s">
        <v>31</v>
      </c>
      <c r="K6577" s="15" t="s">
        <v>31</v>
      </c>
      <c r="L6577" s="16" t="s">
        <v>41098</v>
      </c>
      <c r="M6577" s="14" t="s">
        <v>31</v>
      </c>
      <c r="N6577" s="14" t="s">
        <v>6599</v>
      </c>
      <c r="O6577" s="16" t="s">
        <v>6600</v>
      </c>
      <c r="P6577" s="14" t="s">
        <v>41099</v>
      </c>
      <c r="Q6577" s="14" t="s">
        <v>31</v>
      </c>
      <c r="R6577" s="14" t="s">
        <v>64</v>
      </c>
      <c r="S6577" s="16" t="s">
        <v>6601</v>
      </c>
      <c r="T6577" s="14" t="s">
        <v>66</v>
      </c>
      <c r="U6577" s="16" t="s">
        <v>31</v>
      </c>
      <c r="V6577" s="14" t="s">
        <v>2379</v>
      </c>
      <c r="W6577" s="14" t="s">
        <v>41100</v>
      </c>
      <c r="X6577" s="17" t="str">
        <f>HYPERLINK("https://my.pitchbook.com?p=90287-83P","View People Online")</f>
        <v>View People Online</v>
      </c>
    </row>
    <row r="6578">
      <c r="A6578" s="2" t="s">
        <v>41101</v>
      </c>
      <c r="B6578" s="2" t="s">
        <v>41102</v>
      </c>
      <c r="C6578" s="2" t="s">
        <v>3670</v>
      </c>
      <c r="D6578" s="2" t="s">
        <v>18864</v>
      </c>
      <c r="E6578" s="2" t="s">
        <v>41052</v>
      </c>
      <c r="F6578" s="2" t="s">
        <v>120</v>
      </c>
      <c r="G6578" s="2" t="s">
        <v>41103</v>
      </c>
      <c r="H6578" s="3">
        <v>2.0</v>
      </c>
      <c r="I6578" s="3">
        <v>16.0</v>
      </c>
      <c r="J6578" s="3">
        <v>1.0</v>
      </c>
      <c r="K6578" s="3">
        <v>9.0</v>
      </c>
      <c r="L6578" s="4" t="s">
        <v>41054</v>
      </c>
      <c r="M6578" s="2" t="s">
        <v>41104</v>
      </c>
      <c r="N6578" s="2" t="s">
        <v>1034</v>
      </c>
      <c r="O6578" s="4" t="s">
        <v>1035</v>
      </c>
      <c r="P6578" s="2" t="s">
        <v>41056</v>
      </c>
      <c r="Q6578" s="2" t="s">
        <v>41057</v>
      </c>
      <c r="R6578" s="2" t="s">
        <v>31</v>
      </c>
      <c r="S6578" s="4" t="s">
        <v>41058</v>
      </c>
      <c r="T6578" s="2" t="s">
        <v>1034</v>
      </c>
      <c r="U6578" s="4" t="s">
        <v>41059</v>
      </c>
      <c r="V6578" s="2" t="s">
        <v>120</v>
      </c>
      <c r="W6578" s="2" t="s">
        <v>41052</v>
      </c>
      <c r="X6578" s="5" t="str">
        <f>HYPERLINK("https://my.pitchbook.com?p=147370-60P","View People Online")</f>
        <v>View People Online</v>
      </c>
    </row>
    <row r="6579">
      <c r="A6579" s="14" t="s">
        <v>41105</v>
      </c>
      <c r="B6579" s="14" t="s">
        <v>41106</v>
      </c>
      <c r="C6579" s="14" t="s">
        <v>4404</v>
      </c>
      <c r="D6579" s="14" t="s">
        <v>843</v>
      </c>
      <c r="E6579" s="14" t="s">
        <v>41052</v>
      </c>
      <c r="F6579" s="14" t="s">
        <v>114</v>
      </c>
      <c r="G6579" s="14" t="s">
        <v>41107</v>
      </c>
      <c r="H6579" s="15" t="s">
        <v>31</v>
      </c>
      <c r="I6579" s="15">
        <v>16.0</v>
      </c>
      <c r="J6579" s="15">
        <v>3.0</v>
      </c>
      <c r="K6579" s="15">
        <v>9.0</v>
      </c>
      <c r="L6579" s="16" t="s">
        <v>41108</v>
      </c>
      <c r="M6579" s="14" t="s">
        <v>41109</v>
      </c>
      <c r="N6579" s="14" t="s">
        <v>1181</v>
      </c>
      <c r="O6579" s="16" t="s">
        <v>1182</v>
      </c>
      <c r="P6579" s="14" t="s">
        <v>41110</v>
      </c>
      <c r="Q6579" s="14" t="s">
        <v>31</v>
      </c>
      <c r="R6579" s="14" t="s">
        <v>1185</v>
      </c>
      <c r="S6579" s="16" t="s">
        <v>41111</v>
      </c>
      <c r="T6579" s="14" t="s">
        <v>66</v>
      </c>
      <c r="U6579" s="16" t="s">
        <v>31</v>
      </c>
      <c r="V6579" s="14" t="s">
        <v>1106</v>
      </c>
      <c r="W6579" s="14" t="s">
        <v>41112</v>
      </c>
      <c r="X6579" s="17" t="str">
        <f>HYPERLINK("https://my.pitchbook.com?p=86400-46P","View People Online")</f>
        <v>View People Online</v>
      </c>
    </row>
    <row r="6580">
      <c r="A6580" s="2" t="s">
        <v>41113</v>
      </c>
      <c r="B6580" s="2" t="s">
        <v>41114</v>
      </c>
      <c r="C6580" s="2" t="s">
        <v>5363</v>
      </c>
      <c r="D6580" s="2" t="s">
        <v>18864</v>
      </c>
      <c r="E6580" s="2" t="s">
        <v>41052</v>
      </c>
      <c r="F6580" s="2" t="s">
        <v>114</v>
      </c>
      <c r="G6580" s="2" t="s">
        <v>41115</v>
      </c>
      <c r="H6580" s="3" t="s">
        <v>31</v>
      </c>
      <c r="I6580" s="3">
        <v>1.0</v>
      </c>
      <c r="J6580" s="3">
        <v>1.0</v>
      </c>
      <c r="K6580" s="3" t="s">
        <v>31</v>
      </c>
      <c r="L6580" s="4" t="s">
        <v>41054</v>
      </c>
      <c r="M6580" s="2" t="s">
        <v>31</v>
      </c>
      <c r="N6580" s="2" t="s">
        <v>1034</v>
      </c>
      <c r="O6580" s="4" t="s">
        <v>1035</v>
      </c>
      <c r="P6580" s="2" t="s">
        <v>41056</v>
      </c>
      <c r="Q6580" s="2" t="s">
        <v>41057</v>
      </c>
      <c r="R6580" s="2" t="s">
        <v>31</v>
      </c>
      <c r="S6580" s="4" t="s">
        <v>41058</v>
      </c>
      <c r="T6580" s="2" t="s">
        <v>1034</v>
      </c>
      <c r="U6580" s="4" t="s">
        <v>41059</v>
      </c>
      <c r="V6580" s="2" t="s">
        <v>114</v>
      </c>
      <c r="W6580" s="2" t="s">
        <v>41052</v>
      </c>
      <c r="X6580" s="5" t="str">
        <f>HYPERLINK("https://my.pitchbook.com?p=417326-95P","View People Online")</f>
        <v>View People Online</v>
      </c>
    </row>
    <row r="6581">
      <c r="A6581" s="6" t="s">
        <v>41116</v>
      </c>
      <c r="B6581" s="6" t="s">
        <v>41117</v>
      </c>
      <c r="C6581" s="6" t="s">
        <v>3040</v>
      </c>
      <c r="D6581" s="6" t="s">
        <v>41118</v>
      </c>
      <c r="E6581" s="6" t="s">
        <v>41052</v>
      </c>
      <c r="F6581" s="6" t="s">
        <v>120</v>
      </c>
      <c r="G6581" s="6" t="s">
        <v>41119</v>
      </c>
      <c r="H6581" s="7" t="s">
        <v>31</v>
      </c>
      <c r="I6581" s="7">
        <v>7.0</v>
      </c>
      <c r="J6581" s="7">
        <v>1.0</v>
      </c>
      <c r="K6581" s="7">
        <v>4.0</v>
      </c>
      <c r="L6581" s="8" t="s">
        <v>41054</v>
      </c>
      <c r="M6581" s="6" t="s">
        <v>31</v>
      </c>
      <c r="N6581" s="6" t="s">
        <v>1034</v>
      </c>
      <c r="O6581" s="8" t="s">
        <v>1035</v>
      </c>
      <c r="P6581" s="6" t="s">
        <v>41056</v>
      </c>
      <c r="Q6581" s="6" t="s">
        <v>41057</v>
      </c>
      <c r="R6581" s="6" t="s">
        <v>31</v>
      </c>
      <c r="S6581" s="8" t="s">
        <v>41058</v>
      </c>
      <c r="T6581" s="6" t="s">
        <v>1034</v>
      </c>
      <c r="U6581" s="8" t="s">
        <v>41059</v>
      </c>
      <c r="V6581" s="6" t="s">
        <v>120</v>
      </c>
      <c r="W6581" s="6" t="s">
        <v>41052</v>
      </c>
      <c r="X6581" s="9" t="str">
        <f>HYPERLINK("https://my.pitchbook.com?p=43347-88P","View People Online")</f>
        <v>View People Online</v>
      </c>
    </row>
    <row r="6582">
      <c r="A6582" s="2" t="s">
        <v>41120</v>
      </c>
      <c r="B6582" s="2" t="s">
        <v>41121</v>
      </c>
      <c r="C6582" s="2" t="s">
        <v>10911</v>
      </c>
      <c r="D6582" s="2" t="s">
        <v>857</v>
      </c>
      <c r="E6582" s="2" t="s">
        <v>41052</v>
      </c>
      <c r="F6582" s="2" t="s">
        <v>43</v>
      </c>
      <c r="G6582" s="2" t="s">
        <v>41122</v>
      </c>
      <c r="H6582" s="3">
        <v>3.0</v>
      </c>
      <c r="I6582" s="3">
        <v>21.0</v>
      </c>
      <c r="J6582" s="3">
        <v>1.0</v>
      </c>
      <c r="K6582" s="3">
        <v>13.0</v>
      </c>
      <c r="L6582" s="4" t="s">
        <v>41054</v>
      </c>
      <c r="M6582" s="2" t="s">
        <v>41123</v>
      </c>
      <c r="N6582" s="2" t="s">
        <v>1034</v>
      </c>
      <c r="O6582" s="4" t="s">
        <v>1035</v>
      </c>
      <c r="P6582" s="2" t="s">
        <v>41056</v>
      </c>
      <c r="Q6582" s="2" t="s">
        <v>41057</v>
      </c>
      <c r="R6582" s="2" t="s">
        <v>31</v>
      </c>
      <c r="S6582" s="4" t="s">
        <v>41058</v>
      </c>
      <c r="T6582" s="2" t="s">
        <v>1034</v>
      </c>
      <c r="U6582" s="4" t="s">
        <v>41059</v>
      </c>
      <c r="V6582" s="2" t="s">
        <v>43</v>
      </c>
      <c r="W6582" s="2" t="s">
        <v>41052</v>
      </c>
      <c r="X6582" s="5" t="str">
        <f>HYPERLINK("https://my.pitchbook.com?p=43348-87P","View People Online")</f>
        <v>View People Online</v>
      </c>
    </row>
    <row r="6583">
      <c r="A6583" s="6" t="s">
        <v>41124</v>
      </c>
      <c r="B6583" s="6" t="s">
        <v>41125</v>
      </c>
      <c r="C6583" s="6" t="s">
        <v>41126</v>
      </c>
      <c r="D6583" s="6" t="s">
        <v>7539</v>
      </c>
      <c r="E6583" s="6" t="s">
        <v>41052</v>
      </c>
      <c r="F6583" s="6" t="s">
        <v>2731</v>
      </c>
      <c r="G6583" s="6" t="s">
        <v>41127</v>
      </c>
      <c r="H6583" s="7" t="s">
        <v>31</v>
      </c>
      <c r="I6583" s="7">
        <v>1.0</v>
      </c>
      <c r="J6583" s="7" t="s">
        <v>31</v>
      </c>
      <c r="K6583" s="7" t="s">
        <v>31</v>
      </c>
      <c r="L6583" s="8" t="s">
        <v>41054</v>
      </c>
      <c r="M6583" s="6" t="s">
        <v>31</v>
      </c>
      <c r="N6583" s="6" t="s">
        <v>1034</v>
      </c>
      <c r="O6583" s="8" t="s">
        <v>1035</v>
      </c>
      <c r="P6583" s="6" t="s">
        <v>41056</v>
      </c>
      <c r="Q6583" s="6" t="s">
        <v>41057</v>
      </c>
      <c r="R6583" s="6" t="s">
        <v>31</v>
      </c>
      <c r="S6583" s="8" t="s">
        <v>41058</v>
      </c>
      <c r="T6583" s="6" t="s">
        <v>1034</v>
      </c>
      <c r="U6583" s="8" t="s">
        <v>41059</v>
      </c>
      <c r="V6583" s="6" t="s">
        <v>2731</v>
      </c>
      <c r="W6583" s="6" t="s">
        <v>41052</v>
      </c>
      <c r="X6583" s="9" t="str">
        <f>HYPERLINK("https://my.pitchbook.com?p=369980-92P","View People Online")</f>
        <v>View People Online</v>
      </c>
    </row>
    <row r="6584">
      <c r="A6584" s="2" t="s">
        <v>41128</v>
      </c>
      <c r="B6584" s="2" t="s">
        <v>41129</v>
      </c>
      <c r="C6584" s="2" t="s">
        <v>41130</v>
      </c>
      <c r="D6584" s="2" t="s">
        <v>1723</v>
      </c>
      <c r="E6584" s="2" t="s">
        <v>41052</v>
      </c>
      <c r="F6584" s="2" t="s">
        <v>114</v>
      </c>
      <c r="G6584" s="2" t="s">
        <v>41131</v>
      </c>
      <c r="H6584" s="3" t="s">
        <v>31</v>
      </c>
      <c r="I6584" s="3">
        <v>1.0</v>
      </c>
      <c r="J6584" s="3">
        <v>1.0</v>
      </c>
      <c r="K6584" s="3" t="s">
        <v>31</v>
      </c>
      <c r="L6584" s="4" t="s">
        <v>41054</v>
      </c>
      <c r="M6584" s="2" t="s">
        <v>31</v>
      </c>
      <c r="N6584" s="2" t="s">
        <v>1034</v>
      </c>
      <c r="O6584" s="4" t="s">
        <v>1035</v>
      </c>
      <c r="P6584" s="2" t="s">
        <v>41056</v>
      </c>
      <c r="Q6584" s="2" t="s">
        <v>41057</v>
      </c>
      <c r="R6584" s="2" t="s">
        <v>31</v>
      </c>
      <c r="S6584" s="4" t="s">
        <v>41058</v>
      </c>
      <c r="T6584" s="2" t="s">
        <v>1034</v>
      </c>
      <c r="U6584" s="4" t="s">
        <v>41059</v>
      </c>
      <c r="V6584" s="2" t="s">
        <v>114</v>
      </c>
      <c r="W6584" s="2" t="s">
        <v>41052</v>
      </c>
      <c r="X6584" s="5" t="str">
        <f>HYPERLINK("https://my.pitchbook.com?p=62695-90P","View People Online")</f>
        <v>View People Online</v>
      </c>
    </row>
    <row r="6585">
      <c r="A6585" s="14" t="s">
        <v>41132</v>
      </c>
      <c r="B6585" s="14" t="s">
        <v>41133</v>
      </c>
      <c r="C6585" s="14" t="s">
        <v>41134</v>
      </c>
      <c r="D6585" s="14" t="s">
        <v>5692</v>
      </c>
      <c r="E6585" s="14" t="s">
        <v>41052</v>
      </c>
      <c r="F6585" s="14" t="s">
        <v>2731</v>
      </c>
      <c r="G6585" s="14" t="s">
        <v>41135</v>
      </c>
      <c r="H6585" s="15" t="s">
        <v>31</v>
      </c>
      <c r="I6585" s="15">
        <v>5.0</v>
      </c>
      <c r="J6585" s="15" t="s">
        <v>31</v>
      </c>
      <c r="K6585" s="15">
        <v>2.0</v>
      </c>
      <c r="L6585" s="16" t="s">
        <v>41136</v>
      </c>
      <c r="M6585" s="14" t="s">
        <v>41137</v>
      </c>
      <c r="N6585" s="14" t="s">
        <v>1034</v>
      </c>
      <c r="O6585" s="16" t="s">
        <v>1035</v>
      </c>
      <c r="P6585" s="14" t="s">
        <v>41056</v>
      </c>
      <c r="Q6585" s="14" t="s">
        <v>41057</v>
      </c>
      <c r="R6585" s="14" t="s">
        <v>31</v>
      </c>
      <c r="S6585" s="16" t="s">
        <v>41058</v>
      </c>
      <c r="T6585" s="14" t="s">
        <v>1034</v>
      </c>
      <c r="U6585" s="16" t="s">
        <v>41059</v>
      </c>
      <c r="V6585" s="14" t="s">
        <v>2379</v>
      </c>
      <c r="W6585" s="14" t="s">
        <v>41138</v>
      </c>
      <c r="X6585" s="17" t="str">
        <f>HYPERLINK("https://my.pitchbook.com?p=77345-02P","View People Online")</f>
        <v>View People Online</v>
      </c>
    </row>
    <row r="6586">
      <c r="A6586" s="10" t="s">
        <v>41139</v>
      </c>
      <c r="B6586" s="10" t="s">
        <v>41140</v>
      </c>
      <c r="C6586" s="10" t="s">
        <v>536</v>
      </c>
      <c r="D6586" s="10" t="s">
        <v>38201</v>
      </c>
      <c r="E6586" s="10" t="s">
        <v>41052</v>
      </c>
      <c r="F6586" s="10" t="s">
        <v>29</v>
      </c>
      <c r="G6586" s="10" t="s">
        <v>41141</v>
      </c>
      <c r="H6586" s="11">
        <v>3.0</v>
      </c>
      <c r="I6586" s="11">
        <v>10.0</v>
      </c>
      <c r="J6586" s="11">
        <v>2.0</v>
      </c>
      <c r="K6586" s="11">
        <v>3.0</v>
      </c>
      <c r="L6586" s="12" t="s">
        <v>41054</v>
      </c>
      <c r="M6586" s="10" t="s">
        <v>41142</v>
      </c>
      <c r="N6586" s="10" t="s">
        <v>1034</v>
      </c>
      <c r="O6586" s="12" t="s">
        <v>1035</v>
      </c>
      <c r="P6586" s="10" t="s">
        <v>41056</v>
      </c>
      <c r="Q6586" s="10" t="s">
        <v>41057</v>
      </c>
      <c r="R6586" s="10" t="s">
        <v>31</v>
      </c>
      <c r="S6586" s="12" t="s">
        <v>41058</v>
      </c>
      <c r="T6586" s="10" t="s">
        <v>1034</v>
      </c>
      <c r="U6586" s="12" t="s">
        <v>41059</v>
      </c>
      <c r="V6586" s="10" t="s">
        <v>29</v>
      </c>
      <c r="W6586" s="10" t="s">
        <v>41052</v>
      </c>
      <c r="X6586" s="13" t="str">
        <f>HYPERLINK("https://my.pitchbook.com?p=132762-16P","View People Online")</f>
        <v>View People Online</v>
      </c>
    </row>
    <row r="6587">
      <c r="A6587" s="6" t="s">
        <v>41143</v>
      </c>
      <c r="B6587" s="6" t="s">
        <v>41144</v>
      </c>
      <c r="C6587" s="6" t="s">
        <v>41145</v>
      </c>
      <c r="D6587" s="6" t="s">
        <v>8745</v>
      </c>
      <c r="E6587" s="6" t="s">
        <v>41052</v>
      </c>
      <c r="F6587" s="6" t="s">
        <v>201</v>
      </c>
      <c r="G6587" s="6" t="s">
        <v>41146</v>
      </c>
      <c r="H6587" s="7" t="s">
        <v>31</v>
      </c>
      <c r="I6587" s="7">
        <v>1.0</v>
      </c>
      <c r="J6587" s="7">
        <v>1.0</v>
      </c>
      <c r="K6587" s="7" t="s">
        <v>31</v>
      </c>
      <c r="L6587" s="8" t="s">
        <v>41054</v>
      </c>
      <c r="M6587" s="6" t="s">
        <v>41147</v>
      </c>
      <c r="N6587" s="6" t="s">
        <v>1034</v>
      </c>
      <c r="O6587" s="8" t="s">
        <v>1035</v>
      </c>
      <c r="P6587" s="6" t="s">
        <v>41056</v>
      </c>
      <c r="Q6587" s="6" t="s">
        <v>41057</v>
      </c>
      <c r="R6587" s="6" t="s">
        <v>31</v>
      </c>
      <c r="S6587" s="8" t="s">
        <v>41058</v>
      </c>
      <c r="T6587" s="6" t="s">
        <v>1034</v>
      </c>
      <c r="U6587" s="8" t="s">
        <v>41059</v>
      </c>
      <c r="V6587" s="6" t="s">
        <v>41148</v>
      </c>
      <c r="W6587" s="6" t="s">
        <v>41052</v>
      </c>
      <c r="X6587" s="9" t="str">
        <f>HYPERLINK("https://my.pitchbook.com?p=363345-94P","View People Online")</f>
        <v>View People Online</v>
      </c>
    </row>
    <row r="6588">
      <c r="A6588" s="10" t="s">
        <v>41149</v>
      </c>
      <c r="B6588" s="10" t="s">
        <v>41150</v>
      </c>
      <c r="C6588" s="10" t="s">
        <v>40998</v>
      </c>
      <c r="D6588" s="10" t="s">
        <v>38453</v>
      </c>
      <c r="E6588" s="10" t="s">
        <v>41052</v>
      </c>
      <c r="F6588" s="10" t="s">
        <v>371</v>
      </c>
      <c r="G6588" s="10" t="s">
        <v>41151</v>
      </c>
      <c r="H6588" s="11" t="s">
        <v>31</v>
      </c>
      <c r="I6588" s="11">
        <v>3.0</v>
      </c>
      <c r="J6588" s="11">
        <v>2.0</v>
      </c>
      <c r="K6588" s="11" t="s">
        <v>31</v>
      </c>
      <c r="L6588" s="12" t="s">
        <v>41054</v>
      </c>
      <c r="M6588" s="10" t="s">
        <v>41152</v>
      </c>
      <c r="N6588" s="10" t="s">
        <v>1034</v>
      </c>
      <c r="O6588" s="12" t="s">
        <v>1035</v>
      </c>
      <c r="P6588" s="10" t="s">
        <v>41056</v>
      </c>
      <c r="Q6588" s="10" t="s">
        <v>41057</v>
      </c>
      <c r="R6588" s="10" t="s">
        <v>31</v>
      </c>
      <c r="S6588" s="12" t="s">
        <v>41058</v>
      </c>
      <c r="T6588" s="10" t="s">
        <v>1034</v>
      </c>
      <c r="U6588" s="12" t="s">
        <v>41059</v>
      </c>
      <c r="V6588" s="10" t="s">
        <v>27482</v>
      </c>
      <c r="W6588" s="10" t="s">
        <v>41052</v>
      </c>
      <c r="X6588" s="13" t="str">
        <f>HYPERLINK("https://my.pitchbook.com?p=320190-04P","View People Online")</f>
        <v>View People Online</v>
      </c>
    </row>
    <row r="6589">
      <c r="A6589" s="6" t="s">
        <v>41153</v>
      </c>
      <c r="B6589" s="6" t="s">
        <v>41154</v>
      </c>
      <c r="C6589" s="6" t="s">
        <v>41155</v>
      </c>
      <c r="D6589" s="6" t="s">
        <v>41156</v>
      </c>
      <c r="E6589" s="6" t="s">
        <v>41052</v>
      </c>
      <c r="F6589" s="6" t="s">
        <v>2731</v>
      </c>
      <c r="G6589" s="6" t="s">
        <v>41157</v>
      </c>
      <c r="H6589" s="7" t="s">
        <v>31</v>
      </c>
      <c r="I6589" s="7">
        <v>1.0</v>
      </c>
      <c r="J6589" s="7" t="s">
        <v>31</v>
      </c>
      <c r="K6589" s="7" t="s">
        <v>31</v>
      </c>
      <c r="L6589" s="8" t="s">
        <v>41054</v>
      </c>
      <c r="M6589" s="6" t="s">
        <v>31</v>
      </c>
      <c r="N6589" s="6" t="s">
        <v>1034</v>
      </c>
      <c r="O6589" s="8" t="s">
        <v>1035</v>
      </c>
      <c r="P6589" s="6" t="s">
        <v>41056</v>
      </c>
      <c r="Q6589" s="6" t="s">
        <v>41057</v>
      </c>
      <c r="R6589" s="6" t="s">
        <v>31</v>
      </c>
      <c r="S6589" s="8" t="s">
        <v>41058</v>
      </c>
      <c r="T6589" s="6" t="s">
        <v>1034</v>
      </c>
      <c r="U6589" s="8" t="s">
        <v>41059</v>
      </c>
      <c r="V6589" s="6" t="s">
        <v>2731</v>
      </c>
      <c r="W6589" s="6" t="s">
        <v>41052</v>
      </c>
      <c r="X6589" s="9" t="str">
        <f>HYPERLINK("https://my.pitchbook.com?p=369979-48P","View People Online")</f>
        <v>View People Online</v>
      </c>
    </row>
    <row r="6590">
      <c r="A6590" s="2" t="s">
        <v>41158</v>
      </c>
      <c r="B6590" s="2" t="s">
        <v>41159</v>
      </c>
      <c r="C6590" s="2" t="s">
        <v>41160</v>
      </c>
      <c r="D6590" s="2" t="s">
        <v>26843</v>
      </c>
      <c r="E6590" s="2" t="s">
        <v>41052</v>
      </c>
      <c r="F6590" s="2" t="s">
        <v>114</v>
      </c>
      <c r="G6590" s="2" t="s">
        <v>41161</v>
      </c>
      <c r="H6590" s="3">
        <v>3.0</v>
      </c>
      <c r="I6590" s="3">
        <v>4.0</v>
      </c>
      <c r="J6590" s="3">
        <v>2.0</v>
      </c>
      <c r="K6590" s="3" t="s">
        <v>31</v>
      </c>
      <c r="L6590" s="4" t="s">
        <v>41162</v>
      </c>
      <c r="M6590" s="2" t="s">
        <v>41163</v>
      </c>
      <c r="N6590" s="2" t="s">
        <v>1034</v>
      </c>
      <c r="O6590" s="4" t="s">
        <v>1035</v>
      </c>
      <c r="P6590" s="2" t="s">
        <v>41164</v>
      </c>
      <c r="Q6590" s="2" t="s">
        <v>41165</v>
      </c>
      <c r="R6590" s="2" t="s">
        <v>31</v>
      </c>
      <c r="S6590" s="4" t="s">
        <v>41166</v>
      </c>
      <c r="T6590" s="2" t="s">
        <v>1034</v>
      </c>
      <c r="U6590" s="4" t="s">
        <v>41167</v>
      </c>
      <c r="V6590" s="2" t="s">
        <v>41168</v>
      </c>
      <c r="W6590" s="2" t="s">
        <v>41169</v>
      </c>
      <c r="X6590" s="5" t="str">
        <f>HYPERLINK("https://my.pitchbook.com?p=324945-28P","View People Online")</f>
        <v>View People Online</v>
      </c>
    </row>
    <row r="6591">
      <c r="A6591" s="6" t="s">
        <v>41170</v>
      </c>
      <c r="B6591" s="6" t="s">
        <v>41171</v>
      </c>
      <c r="C6591" s="6" t="s">
        <v>41172</v>
      </c>
      <c r="D6591" s="6" t="s">
        <v>41173</v>
      </c>
      <c r="E6591" s="6" t="s">
        <v>41052</v>
      </c>
      <c r="F6591" s="6" t="s">
        <v>120</v>
      </c>
      <c r="G6591" s="6" t="s">
        <v>41174</v>
      </c>
      <c r="H6591" s="7" t="s">
        <v>31</v>
      </c>
      <c r="I6591" s="7">
        <v>2.0</v>
      </c>
      <c r="J6591" s="7">
        <v>1.0</v>
      </c>
      <c r="K6591" s="7" t="s">
        <v>31</v>
      </c>
      <c r="L6591" s="8" t="s">
        <v>41054</v>
      </c>
      <c r="M6591" s="6" t="s">
        <v>31</v>
      </c>
      <c r="N6591" s="6" t="s">
        <v>1034</v>
      </c>
      <c r="O6591" s="8" t="s">
        <v>1035</v>
      </c>
      <c r="P6591" s="6" t="s">
        <v>41056</v>
      </c>
      <c r="Q6591" s="6" t="s">
        <v>41057</v>
      </c>
      <c r="R6591" s="6" t="s">
        <v>31</v>
      </c>
      <c r="S6591" s="8" t="s">
        <v>41058</v>
      </c>
      <c r="T6591" s="6" t="s">
        <v>1034</v>
      </c>
      <c r="U6591" s="8" t="s">
        <v>41059</v>
      </c>
      <c r="V6591" s="6" t="s">
        <v>120</v>
      </c>
      <c r="W6591" s="6" t="s">
        <v>41052</v>
      </c>
      <c r="X6591" s="9" t="str">
        <f>HYPERLINK("https://my.pitchbook.com?p=43347-25P","View People Online")</f>
        <v>View People Online</v>
      </c>
    </row>
    <row r="6592">
      <c r="A6592" s="2" t="s">
        <v>41175</v>
      </c>
      <c r="B6592" s="2" t="s">
        <v>41176</v>
      </c>
      <c r="C6592" s="2" t="s">
        <v>41177</v>
      </c>
      <c r="D6592" s="2" t="s">
        <v>38453</v>
      </c>
      <c r="E6592" s="2" t="s">
        <v>41052</v>
      </c>
      <c r="F6592" s="2" t="s">
        <v>674</v>
      </c>
      <c r="G6592" s="2" t="s">
        <v>41178</v>
      </c>
      <c r="H6592" s="3">
        <v>2.0</v>
      </c>
      <c r="I6592" s="3">
        <v>41.0</v>
      </c>
      <c r="J6592" s="3">
        <v>1.0</v>
      </c>
      <c r="K6592" s="3">
        <v>33.0</v>
      </c>
      <c r="L6592" s="4" t="s">
        <v>41054</v>
      </c>
      <c r="M6592" s="2" t="s">
        <v>41179</v>
      </c>
      <c r="N6592" s="2" t="s">
        <v>1034</v>
      </c>
      <c r="O6592" s="4" t="s">
        <v>1035</v>
      </c>
      <c r="P6592" s="2" t="s">
        <v>41056</v>
      </c>
      <c r="Q6592" s="2" t="s">
        <v>41057</v>
      </c>
      <c r="R6592" s="2" t="s">
        <v>31</v>
      </c>
      <c r="S6592" s="4" t="s">
        <v>41058</v>
      </c>
      <c r="T6592" s="2" t="s">
        <v>1034</v>
      </c>
      <c r="U6592" s="4" t="s">
        <v>41059</v>
      </c>
      <c r="V6592" s="2" t="s">
        <v>674</v>
      </c>
      <c r="W6592" s="2" t="s">
        <v>41052</v>
      </c>
      <c r="X6592" s="5" t="str">
        <f>HYPERLINK("https://my.pitchbook.com?p=135368-02P","View People Online")</f>
        <v>View People Online</v>
      </c>
    </row>
    <row r="6593">
      <c r="A6593" s="14" t="s">
        <v>41180</v>
      </c>
      <c r="B6593" s="14" t="s">
        <v>41181</v>
      </c>
      <c r="C6593" s="14" t="s">
        <v>616</v>
      </c>
      <c r="D6593" s="14" t="s">
        <v>34615</v>
      </c>
      <c r="E6593" s="14" t="s">
        <v>41052</v>
      </c>
      <c r="F6593" s="14" t="s">
        <v>114</v>
      </c>
      <c r="G6593" s="14" t="s">
        <v>41182</v>
      </c>
      <c r="H6593" s="15" t="s">
        <v>31</v>
      </c>
      <c r="I6593" s="15">
        <v>1.0</v>
      </c>
      <c r="J6593" s="15">
        <v>1.0</v>
      </c>
      <c r="K6593" s="15" t="s">
        <v>31</v>
      </c>
      <c r="L6593" s="16" t="s">
        <v>41054</v>
      </c>
      <c r="M6593" s="14" t="s">
        <v>31</v>
      </c>
      <c r="N6593" s="14" t="s">
        <v>1034</v>
      </c>
      <c r="O6593" s="16" t="s">
        <v>1035</v>
      </c>
      <c r="P6593" s="14" t="s">
        <v>41056</v>
      </c>
      <c r="Q6593" s="14" t="s">
        <v>41057</v>
      </c>
      <c r="R6593" s="14" t="s">
        <v>31</v>
      </c>
      <c r="S6593" s="16" t="s">
        <v>41058</v>
      </c>
      <c r="T6593" s="14" t="s">
        <v>1034</v>
      </c>
      <c r="U6593" s="16" t="s">
        <v>41059</v>
      </c>
      <c r="V6593" s="14" t="s">
        <v>114</v>
      </c>
      <c r="W6593" s="14" t="s">
        <v>41052</v>
      </c>
      <c r="X6593" s="17" t="str">
        <f>HYPERLINK("https://my.pitchbook.com?p=229970-44P","View People Online")</f>
        <v>View People Online</v>
      </c>
    </row>
    <row r="6594">
      <c r="A6594" s="2" t="s">
        <v>41183</v>
      </c>
      <c r="B6594" s="2" t="s">
        <v>41184</v>
      </c>
      <c r="C6594" s="2" t="s">
        <v>41185</v>
      </c>
      <c r="D6594" s="2" t="s">
        <v>41186</v>
      </c>
      <c r="E6594" s="2" t="s">
        <v>41052</v>
      </c>
      <c r="F6594" s="2" t="s">
        <v>2199</v>
      </c>
      <c r="G6594" s="2" t="s">
        <v>41187</v>
      </c>
      <c r="H6594" s="3">
        <v>2.0</v>
      </c>
      <c r="I6594" s="3">
        <v>2.0</v>
      </c>
      <c r="J6594" s="3">
        <v>1.0</v>
      </c>
      <c r="K6594" s="3" t="s">
        <v>31</v>
      </c>
      <c r="L6594" s="4" t="s">
        <v>41054</v>
      </c>
      <c r="M6594" s="2" t="s">
        <v>31</v>
      </c>
      <c r="N6594" s="2" t="s">
        <v>1034</v>
      </c>
      <c r="O6594" s="4" t="s">
        <v>1035</v>
      </c>
      <c r="P6594" s="2" t="s">
        <v>41056</v>
      </c>
      <c r="Q6594" s="2" t="s">
        <v>41057</v>
      </c>
      <c r="R6594" s="2" t="s">
        <v>31</v>
      </c>
      <c r="S6594" s="4" t="s">
        <v>41058</v>
      </c>
      <c r="T6594" s="2" t="s">
        <v>1034</v>
      </c>
      <c r="U6594" s="4" t="s">
        <v>41059</v>
      </c>
      <c r="V6594" s="2" t="s">
        <v>2199</v>
      </c>
      <c r="W6594" s="2" t="s">
        <v>41052</v>
      </c>
      <c r="X6594" s="5" t="str">
        <f>HYPERLINK("https://my.pitchbook.com?p=173052-10P","View People Online")</f>
        <v>View People Online</v>
      </c>
    </row>
    <row r="6595">
      <c r="A6595" s="6" t="s">
        <v>41188</v>
      </c>
      <c r="B6595" s="6" t="s">
        <v>41189</v>
      </c>
      <c r="C6595" s="6" t="s">
        <v>41190</v>
      </c>
      <c r="D6595" s="6" t="s">
        <v>4345</v>
      </c>
      <c r="E6595" s="6" t="s">
        <v>32137</v>
      </c>
      <c r="F6595" s="6" t="s">
        <v>270</v>
      </c>
      <c r="G6595" s="6" t="s">
        <v>41191</v>
      </c>
      <c r="H6595" s="7" t="s">
        <v>31</v>
      </c>
      <c r="I6595" s="7">
        <v>2.0</v>
      </c>
      <c r="J6595" s="7">
        <v>1.0</v>
      </c>
      <c r="K6595" s="7">
        <v>1.0</v>
      </c>
      <c r="L6595" s="8" t="s">
        <v>32134</v>
      </c>
      <c r="M6595" s="6" t="s">
        <v>41192</v>
      </c>
      <c r="N6595" s="6" t="s">
        <v>10144</v>
      </c>
      <c r="O6595" s="8" t="s">
        <v>10145</v>
      </c>
      <c r="P6595" s="6" t="s">
        <v>32136</v>
      </c>
      <c r="Q6595" s="6" t="s">
        <v>31</v>
      </c>
      <c r="R6595" s="6" t="s">
        <v>64</v>
      </c>
      <c r="S6595" s="8" t="s">
        <v>10147</v>
      </c>
      <c r="T6595" s="6" t="s">
        <v>66</v>
      </c>
      <c r="U6595" s="8" t="s">
        <v>31</v>
      </c>
      <c r="V6595" s="6" t="s">
        <v>41193</v>
      </c>
      <c r="W6595" s="6" t="s">
        <v>32137</v>
      </c>
      <c r="X6595" s="9" t="str">
        <f>HYPERLINK("https://my.pitchbook.com?p=202926-70P","View People Online")</f>
        <v>View People Online</v>
      </c>
    </row>
    <row r="6596">
      <c r="A6596" s="10" t="s">
        <v>41194</v>
      </c>
      <c r="B6596" s="10" t="s">
        <v>41195</v>
      </c>
      <c r="C6596" s="10" t="s">
        <v>41196</v>
      </c>
      <c r="D6596" s="10" t="s">
        <v>1267</v>
      </c>
      <c r="E6596" s="10" t="s">
        <v>32137</v>
      </c>
      <c r="F6596" s="10" t="s">
        <v>3411</v>
      </c>
      <c r="G6596" s="10" t="s">
        <v>41197</v>
      </c>
      <c r="H6596" s="11" t="s">
        <v>31</v>
      </c>
      <c r="I6596" s="11">
        <v>2.0</v>
      </c>
      <c r="J6596" s="11">
        <v>1.0</v>
      </c>
      <c r="K6596" s="11">
        <v>1.0</v>
      </c>
      <c r="L6596" s="12" t="s">
        <v>32134</v>
      </c>
      <c r="M6596" s="10" t="s">
        <v>41198</v>
      </c>
      <c r="N6596" s="10" t="s">
        <v>10144</v>
      </c>
      <c r="O6596" s="12" t="s">
        <v>10145</v>
      </c>
      <c r="P6596" s="10" t="s">
        <v>32136</v>
      </c>
      <c r="Q6596" s="10" t="s">
        <v>31</v>
      </c>
      <c r="R6596" s="10" t="s">
        <v>64</v>
      </c>
      <c r="S6596" s="12" t="s">
        <v>10147</v>
      </c>
      <c r="T6596" s="10" t="s">
        <v>66</v>
      </c>
      <c r="U6596" s="12" t="s">
        <v>31</v>
      </c>
      <c r="V6596" s="10" t="s">
        <v>41199</v>
      </c>
      <c r="W6596" s="10" t="s">
        <v>32137</v>
      </c>
      <c r="X6596" s="13" t="str">
        <f>HYPERLINK("https://my.pitchbook.com?p=148968-37P","View People Online")</f>
        <v>View People Online</v>
      </c>
    </row>
    <row r="6597">
      <c r="A6597" s="14" t="s">
        <v>32129</v>
      </c>
      <c r="B6597" s="14" t="s">
        <v>32130</v>
      </c>
      <c r="C6597" s="14" t="s">
        <v>32131</v>
      </c>
      <c r="D6597" s="14" t="s">
        <v>32132</v>
      </c>
      <c r="E6597" s="14" t="s">
        <v>32137</v>
      </c>
      <c r="F6597" s="14" t="s">
        <v>86</v>
      </c>
      <c r="G6597" s="14" t="s">
        <v>32133</v>
      </c>
      <c r="H6597" s="15">
        <v>1.0</v>
      </c>
      <c r="I6597" s="15">
        <v>19.0</v>
      </c>
      <c r="J6597" s="15">
        <v>1.0</v>
      </c>
      <c r="K6597" s="15">
        <v>13.0</v>
      </c>
      <c r="L6597" s="16" t="s">
        <v>32134</v>
      </c>
      <c r="M6597" s="14" t="s">
        <v>32135</v>
      </c>
      <c r="N6597" s="14" t="s">
        <v>10144</v>
      </c>
      <c r="O6597" s="16" t="s">
        <v>10145</v>
      </c>
      <c r="P6597" s="14" t="s">
        <v>32136</v>
      </c>
      <c r="Q6597" s="14" t="s">
        <v>31</v>
      </c>
      <c r="R6597" s="14" t="s">
        <v>64</v>
      </c>
      <c r="S6597" s="16" t="s">
        <v>10147</v>
      </c>
      <c r="T6597" s="14" t="s">
        <v>66</v>
      </c>
      <c r="U6597" s="16" t="s">
        <v>31</v>
      </c>
      <c r="V6597" s="14" t="s">
        <v>86</v>
      </c>
      <c r="W6597" s="14" t="s">
        <v>32137</v>
      </c>
      <c r="X6597" s="17" t="str">
        <f>HYPERLINK("https://my.pitchbook.com?p=112472-47P","View People Online")</f>
        <v>View People Online</v>
      </c>
    </row>
    <row r="6598">
      <c r="A6598" s="10" t="s">
        <v>41200</v>
      </c>
      <c r="B6598" s="10" t="s">
        <v>41201</v>
      </c>
      <c r="C6598" s="10" t="s">
        <v>11929</v>
      </c>
      <c r="D6598" s="10" t="s">
        <v>41202</v>
      </c>
      <c r="E6598" s="10" t="s">
        <v>32137</v>
      </c>
      <c r="F6598" s="10" t="s">
        <v>270</v>
      </c>
      <c r="G6598" s="10" t="s">
        <v>41203</v>
      </c>
      <c r="H6598" s="11" t="s">
        <v>31</v>
      </c>
      <c r="I6598" s="11">
        <v>1.0</v>
      </c>
      <c r="J6598" s="11">
        <v>1.0</v>
      </c>
      <c r="K6598" s="11" t="s">
        <v>31</v>
      </c>
      <c r="L6598" s="12" t="s">
        <v>32134</v>
      </c>
      <c r="M6598" s="10" t="s">
        <v>31</v>
      </c>
      <c r="N6598" s="10" t="s">
        <v>10144</v>
      </c>
      <c r="O6598" s="12" t="s">
        <v>10145</v>
      </c>
      <c r="P6598" s="10" t="s">
        <v>32136</v>
      </c>
      <c r="Q6598" s="10" t="s">
        <v>31</v>
      </c>
      <c r="R6598" s="10" t="s">
        <v>64</v>
      </c>
      <c r="S6598" s="12" t="s">
        <v>10147</v>
      </c>
      <c r="T6598" s="10" t="s">
        <v>66</v>
      </c>
      <c r="U6598" s="12" t="s">
        <v>31</v>
      </c>
      <c r="V6598" s="10" t="s">
        <v>41204</v>
      </c>
      <c r="W6598" s="10" t="s">
        <v>32137</v>
      </c>
      <c r="X6598" s="13" t="str">
        <f>HYPERLINK("https://my.pitchbook.com?p=193091-95P","View People Online")</f>
        <v>View People Online</v>
      </c>
    </row>
    <row r="6599">
      <c r="A6599" s="14" t="s">
        <v>41205</v>
      </c>
      <c r="B6599" s="14" t="s">
        <v>41206</v>
      </c>
      <c r="C6599" s="14" t="s">
        <v>41207</v>
      </c>
      <c r="D6599" s="14" t="s">
        <v>41208</v>
      </c>
      <c r="E6599" s="14" t="s">
        <v>32137</v>
      </c>
      <c r="F6599" s="14" t="s">
        <v>5065</v>
      </c>
      <c r="G6599" s="14" t="s">
        <v>41209</v>
      </c>
      <c r="H6599" s="15" t="s">
        <v>31</v>
      </c>
      <c r="I6599" s="15">
        <v>1.0</v>
      </c>
      <c r="J6599" s="15">
        <v>1.0</v>
      </c>
      <c r="K6599" s="15" t="s">
        <v>31</v>
      </c>
      <c r="L6599" s="16" t="s">
        <v>32134</v>
      </c>
      <c r="M6599" s="14" t="s">
        <v>41210</v>
      </c>
      <c r="N6599" s="14" t="s">
        <v>10144</v>
      </c>
      <c r="O6599" s="16" t="s">
        <v>10145</v>
      </c>
      <c r="P6599" s="14" t="s">
        <v>32136</v>
      </c>
      <c r="Q6599" s="14" t="s">
        <v>31</v>
      </c>
      <c r="R6599" s="14" t="s">
        <v>64</v>
      </c>
      <c r="S6599" s="16" t="s">
        <v>10147</v>
      </c>
      <c r="T6599" s="14" t="s">
        <v>66</v>
      </c>
      <c r="U6599" s="16" t="s">
        <v>31</v>
      </c>
      <c r="V6599" s="14" t="s">
        <v>41211</v>
      </c>
      <c r="W6599" s="14" t="s">
        <v>32137</v>
      </c>
      <c r="X6599" s="17" t="str">
        <f>HYPERLINK("https://my.pitchbook.com?p=193092-22P","View People Online")</f>
        <v>View People Online</v>
      </c>
    </row>
    <row r="6600">
      <c r="A6600" s="10" t="s">
        <v>41212</v>
      </c>
      <c r="B6600" s="10" t="s">
        <v>41213</v>
      </c>
      <c r="C6600" s="10" t="s">
        <v>13807</v>
      </c>
      <c r="D6600" s="10" t="s">
        <v>41214</v>
      </c>
      <c r="E6600" s="10" t="s">
        <v>41215</v>
      </c>
      <c r="F6600" s="10" t="s">
        <v>78</v>
      </c>
      <c r="G6600" s="10" t="s">
        <v>41216</v>
      </c>
      <c r="H6600" s="11" t="s">
        <v>31</v>
      </c>
      <c r="I6600" s="11">
        <v>1.0</v>
      </c>
      <c r="J6600" s="11">
        <v>1.0</v>
      </c>
      <c r="K6600" s="11" t="s">
        <v>31</v>
      </c>
      <c r="L6600" s="12" t="s">
        <v>41217</v>
      </c>
      <c r="M6600" s="10" t="s">
        <v>41218</v>
      </c>
      <c r="N6600" s="10" t="s">
        <v>28269</v>
      </c>
      <c r="O6600" s="12" t="s">
        <v>28270</v>
      </c>
      <c r="P6600" s="10" t="s">
        <v>41219</v>
      </c>
      <c r="Q6600" s="10" t="s">
        <v>27524</v>
      </c>
      <c r="R6600" s="10" t="s">
        <v>10326</v>
      </c>
      <c r="S6600" s="12" t="s">
        <v>41220</v>
      </c>
      <c r="T6600" s="10" t="s">
        <v>66</v>
      </c>
      <c r="U6600" s="12" t="s">
        <v>41221</v>
      </c>
      <c r="V6600" s="10" t="s">
        <v>78</v>
      </c>
      <c r="W6600" s="10" t="s">
        <v>41215</v>
      </c>
      <c r="X6600" s="13" t="str">
        <f>HYPERLINK("https://my.pitchbook.com?p=51210-73P","View People Online")</f>
        <v>View People Online</v>
      </c>
    </row>
    <row r="6601">
      <c r="A6601" s="6" t="s">
        <v>41222</v>
      </c>
      <c r="B6601" s="6" t="s">
        <v>41223</v>
      </c>
      <c r="C6601" s="6" t="s">
        <v>41224</v>
      </c>
      <c r="D6601" s="6" t="s">
        <v>41225</v>
      </c>
      <c r="E6601" s="6" t="s">
        <v>41215</v>
      </c>
      <c r="F6601" s="6" t="s">
        <v>270</v>
      </c>
      <c r="G6601" s="6" t="s">
        <v>41226</v>
      </c>
      <c r="H6601" s="7" t="s">
        <v>31</v>
      </c>
      <c r="I6601" s="7">
        <v>1.0</v>
      </c>
      <c r="J6601" s="7">
        <v>1.0</v>
      </c>
      <c r="K6601" s="7" t="s">
        <v>31</v>
      </c>
      <c r="L6601" s="8" t="s">
        <v>41217</v>
      </c>
      <c r="M6601" s="6" t="s">
        <v>41227</v>
      </c>
      <c r="N6601" s="6" t="s">
        <v>28269</v>
      </c>
      <c r="O6601" s="8" t="s">
        <v>28270</v>
      </c>
      <c r="P6601" s="6" t="s">
        <v>41219</v>
      </c>
      <c r="Q6601" s="6" t="s">
        <v>27524</v>
      </c>
      <c r="R6601" s="6" t="s">
        <v>10326</v>
      </c>
      <c r="S6601" s="8" t="s">
        <v>41220</v>
      </c>
      <c r="T6601" s="6" t="s">
        <v>66</v>
      </c>
      <c r="U6601" s="8" t="s">
        <v>41221</v>
      </c>
      <c r="V6601" s="6" t="s">
        <v>41228</v>
      </c>
      <c r="W6601" s="6" t="s">
        <v>41215</v>
      </c>
      <c r="X6601" s="9" t="str">
        <f>HYPERLINK("https://my.pitchbook.com?p=395564-14P","View People Online")</f>
        <v>View People Online</v>
      </c>
    </row>
    <row r="6602">
      <c r="A6602" s="10" t="s">
        <v>41229</v>
      </c>
      <c r="B6602" s="10" t="s">
        <v>41230</v>
      </c>
      <c r="C6602" s="10" t="s">
        <v>11054</v>
      </c>
      <c r="D6602" s="10" t="s">
        <v>4692</v>
      </c>
      <c r="E6602" s="10" t="s">
        <v>41215</v>
      </c>
      <c r="F6602" s="10" t="s">
        <v>270</v>
      </c>
      <c r="G6602" s="10" t="s">
        <v>41231</v>
      </c>
      <c r="H6602" s="11" t="s">
        <v>31</v>
      </c>
      <c r="I6602" s="11">
        <v>2.0</v>
      </c>
      <c r="J6602" s="11">
        <v>1.0</v>
      </c>
      <c r="K6602" s="11">
        <v>1.0</v>
      </c>
      <c r="L6602" s="12" t="s">
        <v>41232</v>
      </c>
      <c r="M6602" s="10" t="s">
        <v>41233</v>
      </c>
      <c r="N6602" s="10" t="s">
        <v>28269</v>
      </c>
      <c r="O6602" s="12" t="s">
        <v>28270</v>
      </c>
      <c r="P6602" s="10" t="s">
        <v>41219</v>
      </c>
      <c r="Q6602" s="10" t="s">
        <v>27524</v>
      </c>
      <c r="R6602" s="10" t="s">
        <v>10326</v>
      </c>
      <c r="S6602" s="12" t="s">
        <v>41220</v>
      </c>
      <c r="T6602" s="10" t="s">
        <v>66</v>
      </c>
      <c r="U6602" s="12" t="s">
        <v>41221</v>
      </c>
      <c r="V6602" s="10" t="s">
        <v>41234</v>
      </c>
      <c r="W6602" s="10" t="s">
        <v>41215</v>
      </c>
      <c r="X6602" s="13" t="str">
        <f>HYPERLINK("https://my.pitchbook.com?p=332207-02P","View People Online")</f>
        <v>View People Online</v>
      </c>
    </row>
    <row r="6603">
      <c r="A6603" s="6" t="s">
        <v>41235</v>
      </c>
      <c r="B6603" s="6" t="s">
        <v>41236</v>
      </c>
      <c r="C6603" s="6" t="s">
        <v>3625</v>
      </c>
      <c r="D6603" s="6" t="s">
        <v>41237</v>
      </c>
      <c r="E6603" s="6" t="s">
        <v>41215</v>
      </c>
      <c r="F6603" s="6" t="s">
        <v>1283</v>
      </c>
      <c r="G6603" s="6" t="s">
        <v>41238</v>
      </c>
      <c r="H6603" s="7" t="s">
        <v>31</v>
      </c>
      <c r="I6603" s="7">
        <v>2.0</v>
      </c>
      <c r="J6603" s="7">
        <v>1.0</v>
      </c>
      <c r="K6603" s="7">
        <v>1.0</v>
      </c>
      <c r="L6603" s="8" t="s">
        <v>41217</v>
      </c>
      <c r="M6603" s="6" t="s">
        <v>41239</v>
      </c>
      <c r="N6603" s="6" t="s">
        <v>28269</v>
      </c>
      <c r="O6603" s="8" t="s">
        <v>28270</v>
      </c>
      <c r="P6603" s="6" t="s">
        <v>41219</v>
      </c>
      <c r="Q6603" s="6" t="s">
        <v>27524</v>
      </c>
      <c r="R6603" s="6" t="s">
        <v>10326</v>
      </c>
      <c r="S6603" s="8" t="s">
        <v>41220</v>
      </c>
      <c r="T6603" s="6" t="s">
        <v>66</v>
      </c>
      <c r="U6603" s="8" t="s">
        <v>41221</v>
      </c>
      <c r="V6603" s="6" t="s">
        <v>41240</v>
      </c>
      <c r="W6603" s="6" t="s">
        <v>41215</v>
      </c>
      <c r="X6603" s="9" t="str">
        <f>HYPERLINK("https://my.pitchbook.com?p=217241-38P","View People Online")</f>
        <v>View People Online</v>
      </c>
    </row>
    <row r="6604">
      <c r="A6604" s="2" t="s">
        <v>41241</v>
      </c>
      <c r="B6604" s="2" t="s">
        <v>41242</v>
      </c>
      <c r="C6604" s="2" t="s">
        <v>323</v>
      </c>
      <c r="D6604" s="2" t="s">
        <v>20336</v>
      </c>
      <c r="E6604" s="2" t="s">
        <v>41215</v>
      </c>
      <c r="F6604" s="2" t="s">
        <v>2731</v>
      </c>
      <c r="G6604" s="2" t="s">
        <v>41243</v>
      </c>
      <c r="H6604" s="3" t="s">
        <v>31</v>
      </c>
      <c r="I6604" s="3">
        <v>1.0</v>
      </c>
      <c r="J6604" s="3">
        <v>1.0</v>
      </c>
      <c r="K6604" s="3" t="s">
        <v>31</v>
      </c>
      <c r="L6604" s="4" t="s">
        <v>41217</v>
      </c>
      <c r="M6604" s="2" t="s">
        <v>41244</v>
      </c>
      <c r="N6604" s="2" t="s">
        <v>28269</v>
      </c>
      <c r="O6604" s="4" t="s">
        <v>28270</v>
      </c>
      <c r="P6604" s="2" t="s">
        <v>41219</v>
      </c>
      <c r="Q6604" s="2" t="s">
        <v>27524</v>
      </c>
      <c r="R6604" s="2" t="s">
        <v>10326</v>
      </c>
      <c r="S6604" s="4" t="s">
        <v>41220</v>
      </c>
      <c r="T6604" s="2" t="s">
        <v>66</v>
      </c>
      <c r="U6604" s="4" t="s">
        <v>41221</v>
      </c>
      <c r="V6604" s="2" t="s">
        <v>2731</v>
      </c>
      <c r="W6604" s="2" t="s">
        <v>41215</v>
      </c>
      <c r="X6604" s="5" t="str">
        <f>HYPERLINK("https://my.pitchbook.com?p=198742-24P","View People Online")</f>
        <v>View People Online</v>
      </c>
    </row>
    <row r="6605">
      <c r="A6605" s="14" t="s">
        <v>41245</v>
      </c>
      <c r="B6605" s="14" t="s">
        <v>41246</v>
      </c>
      <c r="C6605" s="14" t="s">
        <v>1588</v>
      </c>
      <c r="D6605" s="14" t="s">
        <v>41247</v>
      </c>
      <c r="E6605" s="14" t="s">
        <v>41215</v>
      </c>
      <c r="F6605" s="14" t="s">
        <v>1801</v>
      </c>
      <c r="G6605" s="14" t="s">
        <v>41248</v>
      </c>
      <c r="H6605" s="15" t="s">
        <v>31</v>
      </c>
      <c r="I6605" s="15">
        <v>1.0</v>
      </c>
      <c r="J6605" s="15">
        <v>1.0</v>
      </c>
      <c r="K6605" s="15" t="s">
        <v>31</v>
      </c>
      <c r="L6605" s="16" t="s">
        <v>41217</v>
      </c>
      <c r="M6605" s="14" t="s">
        <v>41249</v>
      </c>
      <c r="N6605" s="14" t="s">
        <v>28269</v>
      </c>
      <c r="O6605" s="16" t="s">
        <v>28270</v>
      </c>
      <c r="P6605" s="14" t="s">
        <v>41219</v>
      </c>
      <c r="Q6605" s="14" t="s">
        <v>27524</v>
      </c>
      <c r="R6605" s="14" t="s">
        <v>10326</v>
      </c>
      <c r="S6605" s="16" t="s">
        <v>41220</v>
      </c>
      <c r="T6605" s="14" t="s">
        <v>66</v>
      </c>
      <c r="U6605" s="16" t="s">
        <v>41221</v>
      </c>
      <c r="V6605" s="14" t="s">
        <v>41250</v>
      </c>
      <c r="W6605" s="14" t="s">
        <v>41215</v>
      </c>
      <c r="X6605" s="17" t="str">
        <f>HYPERLINK("https://my.pitchbook.com?p=244430-02P","View People Online")</f>
        <v>View People Online</v>
      </c>
    </row>
    <row r="6606">
      <c r="A6606" s="2" t="s">
        <v>41251</v>
      </c>
      <c r="B6606" s="2" t="s">
        <v>41252</v>
      </c>
      <c r="C6606" s="2" t="s">
        <v>41253</v>
      </c>
      <c r="D6606" s="2" t="s">
        <v>41254</v>
      </c>
      <c r="E6606" s="2" t="s">
        <v>41215</v>
      </c>
      <c r="F6606" s="2" t="s">
        <v>318</v>
      </c>
      <c r="G6606" s="2" t="s">
        <v>41255</v>
      </c>
      <c r="H6606" s="3" t="s">
        <v>31</v>
      </c>
      <c r="I6606" s="3">
        <v>1.0</v>
      </c>
      <c r="J6606" s="3">
        <v>1.0</v>
      </c>
      <c r="K6606" s="3" t="s">
        <v>31</v>
      </c>
      <c r="L6606" s="4" t="s">
        <v>41217</v>
      </c>
      <c r="M6606" s="2" t="s">
        <v>31</v>
      </c>
      <c r="N6606" s="2" t="s">
        <v>28269</v>
      </c>
      <c r="O6606" s="4" t="s">
        <v>28270</v>
      </c>
      <c r="P6606" s="2" t="s">
        <v>41219</v>
      </c>
      <c r="Q6606" s="2" t="s">
        <v>27524</v>
      </c>
      <c r="R6606" s="2" t="s">
        <v>10326</v>
      </c>
      <c r="S6606" s="4" t="s">
        <v>41220</v>
      </c>
      <c r="T6606" s="2" t="s">
        <v>66</v>
      </c>
      <c r="U6606" s="4" t="s">
        <v>41221</v>
      </c>
      <c r="V6606" s="2" t="s">
        <v>41256</v>
      </c>
      <c r="W6606" s="2" t="s">
        <v>41215</v>
      </c>
      <c r="X6606" s="5" t="str">
        <f>HYPERLINK("https://my.pitchbook.com?p=140123-89P","View People Online")</f>
        <v>View People Online</v>
      </c>
    </row>
    <row r="6607">
      <c r="A6607" s="6" t="s">
        <v>41257</v>
      </c>
      <c r="B6607" s="6" t="s">
        <v>41258</v>
      </c>
      <c r="C6607" s="6" t="s">
        <v>7790</v>
      </c>
      <c r="D6607" s="6" t="s">
        <v>41259</v>
      </c>
      <c r="E6607" s="6" t="s">
        <v>41215</v>
      </c>
      <c r="F6607" s="6" t="s">
        <v>3710</v>
      </c>
      <c r="G6607" s="6" t="s">
        <v>41260</v>
      </c>
      <c r="H6607" s="7" t="s">
        <v>31</v>
      </c>
      <c r="I6607" s="7">
        <v>1.0</v>
      </c>
      <c r="J6607" s="7">
        <v>1.0</v>
      </c>
      <c r="K6607" s="7" t="s">
        <v>31</v>
      </c>
      <c r="L6607" s="8" t="s">
        <v>41261</v>
      </c>
      <c r="M6607" s="6" t="s">
        <v>41262</v>
      </c>
      <c r="N6607" s="6" t="s">
        <v>28269</v>
      </c>
      <c r="O6607" s="8" t="s">
        <v>28270</v>
      </c>
      <c r="P6607" s="6" t="s">
        <v>41219</v>
      </c>
      <c r="Q6607" s="6" t="s">
        <v>27524</v>
      </c>
      <c r="R6607" s="6" t="s">
        <v>10326</v>
      </c>
      <c r="S6607" s="8" t="s">
        <v>41220</v>
      </c>
      <c r="T6607" s="6" t="s">
        <v>66</v>
      </c>
      <c r="U6607" s="8" t="s">
        <v>41221</v>
      </c>
      <c r="V6607" s="6" t="s">
        <v>3710</v>
      </c>
      <c r="W6607" s="6" t="s">
        <v>41215</v>
      </c>
      <c r="X6607" s="9" t="str">
        <f>HYPERLINK("https://my.pitchbook.com?p=116250-13P","View People Online")</f>
        <v>View People Online</v>
      </c>
    </row>
    <row r="6608">
      <c r="A6608" s="2" t="s">
        <v>41263</v>
      </c>
      <c r="B6608" s="2" t="s">
        <v>17553</v>
      </c>
      <c r="C6608" s="2" t="s">
        <v>3529</v>
      </c>
      <c r="D6608" s="2" t="s">
        <v>7805</v>
      </c>
      <c r="E6608" s="2" t="s">
        <v>41215</v>
      </c>
      <c r="F6608" s="2" t="s">
        <v>10997</v>
      </c>
      <c r="G6608" s="2" t="s">
        <v>41264</v>
      </c>
      <c r="H6608" s="3">
        <v>8.0</v>
      </c>
      <c r="I6608" s="3">
        <v>64.0</v>
      </c>
      <c r="J6608" s="3">
        <v>2.0</v>
      </c>
      <c r="K6608" s="3">
        <v>50.0</v>
      </c>
      <c r="L6608" s="4" t="s">
        <v>41217</v>
      </c>
      <c r="M6608" s="2" t="s">
        <v>31</v>
      </c>
      <c r="N6608" s="2" t="s">
        <v>28269</v>
      </c>
      <c r="O6608" s="4" t="s">
        <v>28270</v>
      </c>
      <c r="P6608" s="2" t="s">
        <v>41219</v>
      </c>
      <c r="Q6608" s="2" t="s">
        <v>27524</v>
      </c>
      <c r="R6608" s="2" t="s">
        <v>10326</v>
      </c>
      <c r="S6608" s="4" t="s">
        <v>41220</v>
      </c>
      <c r="T6608" s="2" t="s">
        <v>66</v>
      </c>
      <c r="U6608" s="4" t="s">
        <v>41221</v>
      </c>
      <c r="V6608" s="2" t="s">
        <v>41265</v>
      </c>
      <c r="W6608" s="2" t="s">
        <v>41215</v>
      </c>
      <c r="X6608" s="5" t="str">
        <f>HYPERLINK("https://my.pitchbook.com?p=13169-44P","View People Online")</f>
        <v>View People Online</v>
      </c>
    </row>
    <row r="6609">
      <c r="A6609" s="6" t="s">
        <v>41266</v>
      </c>
      <c r="B6609" s="6" t="s">
        <v>41267</v>
      </c>
      <c r="C6609" s="6" t="s">
        <v>41268</v>
      </c>
      <c r="D6609" s="6" t="s">
        <v>41269</v>
      </c>
      <c r="E6609" s="6" t="s">
        <v>41215</v>
      </c>
      <c r="F6609" s="6" t="s">
        <v>41270</v>
      </c>
      <c r="G6609" s="6" t="s">
        <v>41271</v>
      </c>
      <c r="H6609" s="7">
        <v>2.0</v>
      </c>
      <c r="I6609" s="7">
        <v>5.0</v>
      </c>
      <c r="J6609" s="7">
        <v>2.0</v>
      </c>
      <c r="K6609" s="7">
        <v>1.0</v>
      </c>
      <c r="L6609" s="8" t="s">
        <v>41217</v>
      </c>
      <c r="M6609" s="6" t="s">
        <v>41272</v>
      </c>
      <c r="N6609" s="6" t="s">
        <v>28269</v>
      </c>
      <c r="O6609" s="8" t="s">
        <v>28270</v>
      </c>
      <c r="P6609" s="6" t="s">
        <v>41219</v>
      </c>
      <c r="Q6609" s="6" t="s">
        <v>27524</v>
      </c>
      <c r="R6609" s="6" t="s">
        <v>10326</v>
      </c>
      <c r="S6609" s="8" t="s">
        <v>41220</v>
      </c>
      <c r="T6609" s="6" t="s">
        <v>66</v>
      </c>
      <c r="U6609" s="8" t="s">
        <v>41221</v>
      </c>
      <c r="V6609" s="6" t="s">
        <v>41270</v>
      </c>
      <c r="W6609" s="6" t="s">
        <v>41215</v>
      </c>
      <c r="X6609" s="9" t="str">
        <f>HYPERLINK("https://my.pitchbook.com?p=153770-32P","View People Online")</f>
        <v>View People Online</v>
      </c>
    </row>
    <row r="6610">
      <c r="A6610" s="2" t="s">
        <v>41273</v>
      </c>
      <c r="B6610" s="2" t="s">
        <v>41274</v>
      </c>
      <c r="C6610" s="2" t="s">
        <v>1657</v>
      </c>
      <c r="D6610" s="2" t="s">
        <v>41275</v>
      </c>
      <c r="E6610" s="2" t="s">
        <v>41215</v>
      </c>
      <c r="F6610" s="2" t="s">
        <v>548</v>
      </c>
      <c r="G6610" s="2" t="s">
        <v>41276</v>
      </c>
      <c r="H6610" s="3" t="s">
        <v>31</v>
      </c>
      <c r="I6610" s="3">
        <v>2.0</v>
      </c>
      <c r="J6610" s="3">
        <v>1.0</v>
      </c>
      <c r="K6610" s="3">
        <v>1.0</v>
      </c>
      <c r="L6610" s="4" t="s">
        <v>41217</v>
      </c>
      <c r="M6610" s="2" t="s">
        <v>41277</v>
      </c>
      <c r="N6610" s="2" t="s">
        <v>28269</v>
      </c>
      <c r="O6610" s="4" t="s">
        <v>28270</v>
      </c>
      <c r="P6610" s="2" t="s">
        <v>41219</v>
      </c>
      <c r="Q6610" s="2" t="s">
        <v>27524</v>
      </c>
      <c r="R6610" s="2" t="s">
        <v>10326</v>
      </c>
      <c r="S6610" s="4" t="s">
        <v>41220</v>
      </c>
      <c r="T6610" s="2" t="s">
        <v>66</v>
      </c>
      <c r="U6610" s="4" t="s">
        <v>41221</v>
      </c>
      <c r="V6610" s="2" t="s">
        <v>1654</v>
      </c>
      <c r="W6610" s="2" t="s">
        <v>41215</v>
      </c>
      <c r="X6610" s="5" t="str">
        <f>HYPERLINK("https://my.pitchbook.com?p=346241-98P","View People Online")</f>
        <v>View People Online</v>
      </c>
    </row>
    <row r="6611">
      <c r="A6611" s="6" t="s">
        <v>41278</v>
      </c>
      <c r="B6611" s="6" t="s">
        <v>41279</v>
      </c>
      <c r="C6611" s="6" t="s">
        <v>219</v>
      </c>
      <c r="D6611" s="6" t="s">
        <v>41280</v>
      </c>
      <c r="E6611" s="6" t="s">
        <v>41215</v>
      </c>
      <c r="F6611" s="6" t="s">
        <v>3823</v>
      </c>
      <c r="G6611" s="6" t="s">
        <v>41281</v>
      </c>
      <c r="H6611" s="7" t="s">
        <v>31</v>
      </c>
      <c r="I6611" s="7">
        <v>1.0</v>
      </c>
      <c r="J6611" s="7">
        <v>1.0</v>
      </c>
      <c r="K6611" s="7" t="s">
        <v>31</v>
      </c>
      <c r="L6611" s="8" t="s">
        <v>41217</v>
      </c>
      <c r="M6611" s="6" t="s">
        <v>31</v>
      </c>
      <c r="N6611" s="6" t="s">
        <v>28269</v>
      </c>
      <c r="O6611" s="8" t="s">
        <v>28270</v>
      </c>
      <c r="P6611" s="6" t="s">
        <v>41219</v>
      </c>
      <c r="Q6611" s="6" t="s">
        <v>27524</v>
      </c>
      <c r="R6611" s="6" t="s">
        <v>10326</v>
      </c>
      <c r="S6611" s="8" t="s">
        <v>41220</v>
      </c>
      <c r="T6611" s="6" t="s">
        <v>66</v>
      </c>
      <c r="U6611" s="8" t="s">
        <v>41221</v>
      </c>
      <c r="V6611" s="6" t="s">
        <v>4145</v>
      </c>
      <c r="W6611" s="6" t="s">
        <v>41215</v>
      </c>
      <c r="X6611" s="9" t="str">
        <f>HYPERLINK("https://my.pitchbook.com?p=89901-01P","View People Online")</f>
        <v>View People Online</v>
      </c>
    </row>
    <row r="6612">
      <c r="A6612" s="10" t="s">
        <v>41282</v>
      </c>
      <c r="B6612" s="10" t="s">
        <v>41283</v>
      </c>
      <c r="C6612" s="10" t="s">
        <v>41284</v>
      </c>
      <c r="D6612" s="10" t="s">
        <v>41285</v>
      </c>
      <c r="E6612" s="10" t="s">
        <v>41215</v>
      </c>
      <c r="F6612" s="10" t="s">
        <v>1283</v>
      </c>
      <c r="G6612" s="10" t="s">
        <v>41286</v>
      </c>
      <c r="H6612" s="11" t="s">
        <v>31</v>
      </c>
      <c r="I6612" s="11">
        <v>1.0</v>
      </c>
      <c r="J6612" s="11">
        <v>1.0</v>
      </c>
      <c r="K6612" s="11" t="s">
        <v>31</v>
      </c>
      <c r="L6612" s="12" t="s">
        <v>41217</v>
      </c>
      <c r="M6612" s="10" t="s">
        <v>41287</v>
      </c>
      <c r="N6612" s="10" t="s">
        <v>28269</v>
      </c>
      <c r="O6612" s="12" t="s">
        <v>28270</v>
      </c>
      <c r="P6612" s="10" t="s">
        <v>41219</v>
      </c>
      <c r="Q6612" s="10" t="s">
        <v>27524</v>
      </c>
      <c r="R6612" s="10" t="s">
        <v>10326</v>
      </c>
      <c r="S6612" s="12" t="s">
        <v>41220</v>
      </c>
      <c r="T6612" s="10" t="s">
        <v>66</v>
      </c>
      <c r="U6612" s="12" t="s">
        <v>41221</v>
      </c>
      <c r="V6612" s="10" t="s">
        <v>41288</v>
      </c>
      <c r="W6612" s="10" t="s">
        <v>41215</v>
      </c>
      <c r="X6612" s="13" t="str">
        <f>HYPERLINK("https://my.pitchbook.com?p=346242-43P","View People Online")</f>
        <v>View People Online</v>
      </c>
    </row>
    <row r="6613">
      <c r="A6613" s="6" t="s">
        <v>41289</v>
      </c>
      <c r="B6613" s="6" t="s">
        <v>41290</v>
      </c>
      <c r="C6613" s="6" t="s">
        <v>1066</v>
      </c>
      <c r="D6613" s="6" t="s">
        <v>41291</v>
      </c>
      <c r="E6613" s="6" t="s">
        <v>41215</v>
      </c>
      <c r="F6613" s="6" t="s">
        <v>41292</v>
      </c>
      <c r="G6613" s="6" t="s">
        <v>41293</v>
      </c>
      <c r="H6613" s="7" t="s">
        <v>31</v>
      </c>
      <c r="I6613" s="7">
        <v>6.0</v>
      </c>
      <c r="J6613" s="7">
        <v>2.0</v>
      </c>
      <c r="K6613" s="7">
        <v>3.0</v>
      </c>
      <c r="L6613" s="8" t="s">
        <v>41217</v>
      </c>
      <c r="M6613" s="6" t="s">
        <v>41294</v>
      </c>
      <c r="N6613" s="6" t="s">
        <v>28269</v>
      </c>
      <c r="O6613" s="8" t="s">
        <v>28270</v>
      </c>
      <c r="P6613" s="6" t="s">
        <v>41219</v>
      </c>
      <c r="Q6613" s="6" t="s">
        <v>27524</v>
      </c>
      <c r="R6613" s="6" t="s">
        <v>10326</v>
      </c>
      <c r="S6613" s="8" t="s">
        <v>41220</v>
      </c>
      <c r="T6613" s="6" t="s">
        <v>66</v>
      </c>
      <c r="U6613" s="8" t="s">
        <v>41221</v>
      </c>
      <c r="V6613" s="6" t="s">
        <v>41295</v>
      </c>
      <c r="W6613" s="6" t="s">
        <v>41215</v>
      </c>
      <c r="X6613" s="9" t="str">
        <f>HYPERLINK("https://my.pitchbook.com?p=42755-05P","View People Online")</f>
        <v>View People Online</v>
      </c>
    </row>
    <row r="6614">
      <c r="A6614" s="10" t="s">
        <v>41296</v>
      </c>
      <c r="B6614" s="10" t="s">
        <v>41297</v>
      </c>
      <c r="C6614" s="10" t="s">
        <v>13488</v>
      </c>
      <c r="D6614" s="10" t="s">
        <v>41298</v>
      </c>
      <c r="E6614" s="10" t="s">
        <v>41299</v>
      </c>
      <c r="F6614" s="10" t="s">
        <v>674</v>
      </c>
      <c r="G6614" s="10" t="s">
        <v>41300</v>
      </c>
      <c r="H6614" s="11">
        <v>2.0</v>
      </c>
      <c r="I6614" s="11">
        <v>28.0</v>
      </c>
      <c r="J6614" s="11">
        <v>1.0</v>
      </c>
      <c r="K6614" s="11">
        <v>16.0</v>
      </c>
      <c r="L6614" s="12" t="s">
        <v>41301</v>
      </c>
      <c r="M6614" s="10" t="s">
        <v>41302</v>
      </c>
      <c r="N6614" s="10" t="s">
        <v>155</v>
      </c>
      <c r="O6614" s="12" t="s">
        <v>156</v>
      </c>
      <c r="P6614" s="10" t="s">
        <v>31</v>
      </c>
      <c r="Q6614" s="10" t="s">
        <v>31</v>
      </c>
      <c r="R6614" s="10" t="s">
        <v>64</v>
      </c>
      <c r="S6614" s="12" t="s">
        <v>31</v>
      </c>
      <c r="T6614" s="10" t="s">
        <v>66</v>
      </c>
      <c r="U6614" s="12" t="s">
        <v>31</v>
      </c>
      <c r="V6614" s="10" t="s">
        <v>1172</v>
      </c>
      <c r="W6614" s="10" t="s">
        <v>41299</v>
      </c>
      <c r="X6614" s="13" t="str">
        <f>HYPERLINK("https://my.pitchbook.com?p=13185-91P","View People Online")</f>
        <v>View People Online</v>
      </c>
    </row>
    <row r="6615">
      <c r="A6615" s="6" t="s">
        <v>41303</v>
      </c>
      <c r="B6615" s="6" t="s">
        <v>41304</v>
      </c>
      <c r="C6615" s="6" t="s">
        <v>41305</v>
      </c>
      <c r="D6615" s="6" t="s">
        <v>41306</v>
      </c>
      <c r="E6615" s="6" t="s">
        <v>41299</v>
      </c>
      <c r="F6615" s="6" t="s">
        <v>318</v>
      </c>
      <c r="G6615" s="6" t="s">
        <v>41307</v>
      </c>
      <c r="H6615" s="7" t="s">
        <v>31</v>
      </c>
      <c r="I6615" s="7">
        <v>2.0</v>
      </c>
      <c r="J6615" s="7">
        <v>1.0</v>
      </c>
      <c r="K6615" s="7" t="s">
        <v>31</v>
      </c>
      <c r="L6615" s="8" t="s">
        <v>41308</v>
      </c>
      <c r="M6615" s="6" t="s">
        <v>41309</v>
      </c>
      <c r="N6615" s="6" t="s">
        <v>155</v>
      </c>
      <c r="O6615" s="8" t="s">
        <v>156</v>
      </c>
      <c r="P6615" s="6" t="s">
        <v>31</v>
      </c>
      <c r="Q6615" s="6" t="s">
        <v>31</v>
      </c>
      <c r="R6615" s="6" t="s">
        <v>64</v>
      </c>
      <c r="S6615" s="8" t="s">
        <v>31</v>
      </c>
      <c r="T6615" s="6" t="s">
        <v>66</v>
      </c>
      <c r="U6615" s="8" t="s">
        <v>31</v>
      </c>
      <c r="V6615" s="6" t="s">
        <v>318</v>
      </c>
      <c r="W6615" s="6" t="s">
        <v>41299</v>
      </c>
      <c r="X6615" s="9" t="str">
        <f>HYPERLINK("https://my.pitchbook.com?p=210384-01P","View People Online")</f>
        <v>View People Online</v>
      </c>
    </row>
    <row r="6616">
      <c r="A6616" s="2" t="s">
        <v>41310</v>
      </c>
      <c r="B6616" s="2" t="s">
        <v>41311</v>
      </c>
      <c r="C6616" s="2" t="s">
        <v>41312</v>
      </c>
      <c r="D6616" s="2" t="s">
        <v>41313</v>
      </c>
      <c r="E6616" s="2" t="s">
        <v>41299</v>
      </c>
      <c r="F6616" s="2" t="s">
        <v>81</v>
      </c>
      <c r="G6616" s="2" t="s">
        <v>41314</v>
      </c>
      <c r="H6616" s="3" t="s">
        <v>31</v>
      </c>
      <c r="I6616" s="3">
        <v>2.0</v>
      </c>
      <c r="J6616" s="3" t="s">
        <v>31</v>
      </c>
      <c r="K6616" s="3">
        <v>1.0</v>
      </c>
      <c r="L6616" s="4" t="s">
        <v>41315</v>
      </c>
      <c r="M6616" s="2" t="s">
        <v>31</v>
      </c>
      <c r="N6616" s="2" t="s">
        <v>155</v>
      </c>
      <c r="O6616" s="4" t="s">
        <v>156</v>
      </c>
      <c r="P6616" s="2" t="s">
        <v>31</v>
      </c>
      <c r="Q6616" s="2" t="s">
        <v>31</v>
      </c>
      <c r="R6616" s="2" t="s">
        <v>64</v>
      </c>
      <c r="S6616" s="4" t="s">
        <v>31</v>
      </c>
      <c r="T6616" s="2" t="s">
        <v>66</v>
      </c>
      <c r="U6616" s="4" t="s">
        <v>31</v>
      </c>
      <c r="V6616" s="2" t="s">
        <v>4809</v>
      </c>
      <c r="W6616" s="2" t="s">
        <v>41316</v>
      </c>
      <c r="X6616" s="5" t="str">
        <f>HYPERLINK("https://my.pitchbook.com?p=141122-08P","View People Online")</f>
        <v>View People Online</v>
      </c>
    </row>
    <row r="6617">
      <c r="A6617" s="14" t="s">
        <v>41317</v>
      </c>
      <c r="B6617" s="14" t="s">
        <v>41318</v>
      </c>
      <c r="C6617" s="14" t="s">
        <v>41319</v>
      </c>
      <c r="D6617" s="14" t="s">
        <v>41320</v>
      </c>
      <c r="E6617" s="14" t="s">
        <v>41299</v>
      </c>
      <c r="F6617" s="14" t="s">
        <v>81</v>
      </c>
      <c r="G6617" s="14" t="s">
        <v>41321</v>
      </c>
      <c r="H6617" s="15" t="s">
        <v>31</v>
      </c>
      <c r="I6617" s="15">
        <v>1.0</v>
      </c>
      <c r="J6617" s="15" t="s">
        <v>31</v>
      </c>
      <c r="K6617" s="15" t="s">
        <v>31</v>
      </c>
      <c r="L6617" s="16" t="s">
        <v>41322</v>
      </c>
      <c r="M6617" s="14" t="s">
        <v>31</v>
      </c>
      <c r="N6617" s="14" t="s">
        <v>155</v>
      </c>
      <c r="O6617" s="16" t="s">
        <v>156</v>
      </c>
      <c r="P6617" s="14" t="s">
        <v>31</v>
      </c>
      <c r="Q6617" s="14" t="s">
        <v>31</v>
      </c>
      <c r="R6617" s="14" t="s">
        <v>64</v>
      </c>
      <c r="S6617" s="16" t="s">
        <v>31</v>
      </c>
      <c r="T6617" s="14" t="s">
        <v>66</v>
      </c>
      <c r="U6617" s="16" t="s">
        <v>31</v>
      </c>
      <c r="V6617" s="14" t="s">
        <v>81</v>
      </c>
      <c r="W6617" s="14" t="s">
        <v>41299</v>
      </c>
      <c r="X6617" s="17" t="str">
        <f>HYPERLINK("https://my.pitchbook.com?p=318744-64P","View People Online")</f>
        <v>View People Online</v>
      </c>
    </row>
    <row r="6618">
      <c r="A6618" s="2" t="s">
        <v>41323</v>
      </c>
      <c r="B6618" s="2" t="s">
        <v>41324</v>
      </c>
      <c r="C6618" s="2" t="s">
        <v>2109</v>
      </c>
      <c r="D6618" s="2" t="s">
        <v>41325</v>
      </c>
      <c r="E6618" s="2" t="s">
        <v>41299</v>
      </c>
      <c r="F6618" s="2" t="s">
        <v>81</v>
      </c>
      <c r="G6618" s="2" t="s">
        <v>41326</v>
      </c>
      <c r="H6618" s="3" t="s">
        <v>31</v>
      </c>
      <c r="I6618" s="3">
        <v>2.0</v>
      </c>
      <c r="J6618" s="3">
        <v>1.0</v>
      </c>
      <c r="K6618" s="3" t="s">
        <v>31</v>
      </c>
      <c r="L6618" s="4" t="s">
        <v>31</v>
      </c>
      <c r="M6618" s="2" t="s">
        <v>41327</v>
      </c>
      <c r="N6618" s="2" t="s">
        <v>41328</v>
      </c>
      <c r="O6618" s="4" t="s">
        <v>41329</v>
      </c>
      <c r="P6618" s="2" t="s">
        <v>6733</v>
      </c>
      <c r="Q6618" s="2" t="s">
        <v>31</v>
      </c>
      <c r="R6618" s="2" t="s">
        <v>24259</v>
      </c>
      <c r="S6618" s="4" t="s">
        <v>31</v>
      </c>
      <c r="T6618" s="2" t="s">
        <v>66</v>
      </c>
      <c r="U6618" s="4" t="s">
        <v>31</v>
      </c>
      <c r="V6618" s="2" t="s">
        <v>3665</v>
      </c>
      <c r="W6618" s="2" t="s">
        <v>41330</v>
      </c>
      <c r="X6618" s="5" t="str">
        <f>HYPERLINK("https://my.pitchbook.com?p=367301-26P","View People Online")</f>
        <v>View People Online</v>
      </c>
    </row>
    <row r="6619">
      <c r="A6619" s="14" t="s">
        <v>41331</v>
      </c>
      <c r="B6619" s="14" t="s">
        <v>41332</v>
      </c>
      <c r="C6619" s="14" t="s">
        <v>24254</v>
      </c>
      <c r="D6619" s="14" t="s">
        <v>41333</v>
      </c>
      <c r="E6619" s="14" t="s">
        <v>41299</v>
      </c>
      <c r="F6619" s="14" t="s">
        <v>81</v>
      </c>
      <c r="G6619" s="14" t="s">
        <v>41334</v>
      </c>
      <c r="H6619" s="15" t="s">
        <v>31</v>
      </c>
      <c r="I6619" s="15">
        <v>7.0</v>
      </c>
      <c r="J6619" s="15">
        <v>1.0</v>
      </c>
      <c r="K6619" s="15">
        <v>5.0</v>
      </c>
      <c r="L6619" s="16" t="s">
        <v>41335</v>
      </c>
      <c r="M6619" s="14" t="s">
        <v>41336</v>
      </c>
      <c r="N6619" s="14" t="s">
        <v>31</v>
      </c>
      <c r="O6619" s="16" t="s">
        <v>249</v>
      </c>
      <c r="P6619" s="14" t="s">
        <v>31</v>
      </c>
      <c r="Q6619" s="14" t="s">
        <v>31</v>
      </c>
      <c r="R6619" s="14" t="s">
        <v>31</v>
      </c>
      <c r="S6619" s="16" t="s">
        <v>31</v>
      </c>
      <c r="T6619" s="14" t="s">
        <v>249</v>
      </c>
      <c r="U6619" s="16" t="s">
        <v>31</v>
      </c>
      <c r="V6619" s="14" t="s">
        <v>470</v>
      </c>
      <c r="W6619" s="14" t="s">
        <v>41337</v>
      </c>
      <c r="X6619" s="17" t="str">
        <f>HYPERLINK("https://my.pitchbook.com?p=144846-46P","View People Online")</f>
        <v>View People Online</v>
      </c>
    </row>
    <row r="6620">
      <c r="A6620" s="2" t="s">
        <v>41338</v>
      </c>
      <c r="B6620" s="2" t="s">
        <v>41339</v>
      </c>
      <c r="C6620" s="2" t="s">
        <v>1502</v>
      </c>
      <c r="D6620" s="2" t="s">
        <v>41340</v>
      </c>
      <c r="E6620" s="2" t="s">
        <v>41299</v>
      </c>
      <c r="F6620" s="2" t="s">
        <v>81</v>
      </c>
      <c r="G6620" s="2" t="s">
        <v>41341</v>
      </c>
      <c r="H6620" s="3">
        <v>5.0</v>
      </c>
      <c r="I6620" s="3">
        <v>19.0</v>
      </c>
      <c r="J6620" s="3">
        <v>1.0</v>
      </c>
      <c r="K6620" s="3">
        <v>8.0</v>
      </c>
      <c r="L6620" s="4" t="s">
        <v>41342</v>
      </c>
      <c r="M6620" s="2" t="s">
        <v>31</v>
      </c>
      <c r="N6620" s="2" t="s">
        <v>40619</v>
      </c>
      <c r="O6620" s="4" t="s">
        <v>40620</v>
      </c>
      <c r="P6620" s="2" t="s">
        <v>41343</v>
      </c>
      <c r="Q6620" s="2" t="s">
        <v>41344</v>
      </c>
      <c r="R6620" s="2" t="s">
        <v>64</v>
      </c>
      <c r="S6620" s="4" t="s">
        <v>40622</v>
      </c>
      <c r="T6620" s="2" t="s">
        <v>66</v>
      </c>
      <c r="U6620" s="4" t="s">
        <v>31</v>
      </c>
      <c r="V6620" s="2" t="s">
        <v>114</v>
      </c>
      <c r="W6620" s="2" t="s">
        <v>41345</v>
      </c>
      <c r="X6620" s="5" t="str">
        <f>HYPERLINK("https://my.pitchbook.com?p=60371-11P","View People Online")</f>
        <v>View People Online</v>
      </c>
    </row>
    <row r="6621">
      <c r="A6621" s="14" t="s">
        <v>41346</v>
      </c>
      <c r="B6621" s="14" t="s">
        <v>41347</v>
      </c>
      <c r="C6621" s="14" t="s">
        <v>1645</v>
      </c>
      <c r="D6621" s="14" t="s">
        <v>41348</v>
      </c>
      <c r="E6621" s="14" t="s">
        <v>41299</v>
      </c>
      <c r="F6621" s="14" t="s">
        <v>81</v>
      </c>
      <c r="G6621" s="14" t="s">
        <v>41349</v>
      </c>
      <c r="H6621" s="15" t="s">
        <v>31</v>
      </c>
      <c r="I6621" s="15">
        <v>4.0</v>
      </c>
      <c r="J6621" s="15" t="s">
        <v>31</v>
      </c>
      <c r="K6621" s="15">
        <v>2.0</v>
      </c>
      <c r="L6621" s="16" t="s">
        <v>41322</v>
      </c>
      <c r="M6621" s="14" t="s">
        <v>31</v>
      </c>
      <c r="N6621" s="14" t="s">
        <v>155</v>
      </c>
      <c r="O6621" s="16" t="s">
        <v>156</v>
      </c>
      <c r="P6621" s="14" t="s">
        <v>31</v>
      </c>
      <c r="Q6621" s="14" t="s">
        <v>31</v>
      </c>
      <c r="R6621" s="14" t="s">
        <v>64</v>
      </c>
      <c r="S6621" s="16" t="s">
        <v>31</v>
      </c>
      <c r="T6621" s="14" t="s">
        <v>66</v>
      </c>
      <c r="U6621" s="16" t="s">
        <v>31</v>
      </c>
      <c r="V6621" s="14" t="s">
        <v>2312</v>
      </c>
      <c r="W6621" s="14" t="s">
        <v>41347</v>
      </c>
      <c r="X6621" s="17" t="str">
        <f>HYPERLINK("https://my.pitchbook.com?p=54755-65P","View People Online")</f>
        <v>View People Online</v>
      </c>
    </row>
    <row r="6622">
      <c r="A6622" s="10" t="s">
        <v>41350</v>
      </c>
      <c r="B6622" s="10" t="s">
        <v>41351</v>
      </c>
      <c r="C6622" s="10" t="s">
        <v>3554</v>
      </c>
      <c r="D6622" s="10" t="s">
        <v>5555</v>
      </c>
      <c r="E6622" s="10" t="s">
        <v>41299</v>
      </c>
      <c r="F6622" s="10" t="s">
        <v>81</v>
      </c>
      <c r="G6622" s="10" t="s">
        <v>41352</v>
      </c>
      <c r="H6622" s="11" t="s">
        <v>31</v>
      </c>
      <c r="I6622" s="11">
        <v>1.0</v>
      </c>
      <c r="J6622" s="11" t="s">
        <v>31</v>
      </c>
      <c r="K6622" s="11" t="s">
        <v>31</v>
      </c>
      <c r="L6622" s="12" t="s">
        <v>41322</v>
      </c>
      <c r="M6622" s="10" t="s">
        <v>41353</v>
      </c>
      <c r="N6622" s="10" t="s">
        <v>155</v>
      </c>
      <c r="O6622" s="12" t="s">
        <v>156</v>
      </c>
      <c r="P6622" s="10" t="s">
        <v>31</v>
      </c>
      <c r="Q6622" s="10" t="s">
        <v>31</v>
      </c>
      <c r="R6622" s="10" t="s">
        <v>64</v>
      </c>
      <c r="S6622" s="12" t="s">
        <v>31</v>
      </c>
      <c r="T6622" s="10" t="s">
        <v>66</v>
      </c>
      <c r="U6622" s="12" t="s">
        <v>31</v>
      </c>
      <c r="V6622" s="10" t="s">
        <v>28137</v>
      </c>
      <c r="W6622" s="10" t="s">
        <v>41354</v>
      </c>
      <c r="X6622" s="13" t="str">
        <f>HYPERLINK("https://my.pitchbook.com?p=169468-30P","View People Online")</f>
        <v>View People Online</v>
      </c>
    </row>
    <row r="6623">
      <c r="A6623" s="14" t="s">
        <v>41355</v>
      </c>
      <c r="B6623" s="14" t="s">
        <v>41356</v>
      </c>
      <c r="C6623" s="14" t="s">
        <v>536</v>
      </c>
      <c r="D6623" s="14" t="s">
        <v>41357</v>
      </c>
      <c r="E6623" s="14" t="s">
        <v>41299</v>
      </c>
      <c r="F6623" s="14" t="s">
        <v>674</v>
      </c>
      <c r="G6623" s="14" t="s">
        <v>41358</v>
      </c>
      <c r="H6623" s="15" t="s">
        <v>31</v>
      </c>
      <c r="I6623" s="15">
        <v>3.0</v>
      </c>
      <c r="J6623" s="15">
        <v>1.0</v>
      </c>
      <c r="K6623" s="15" t="s">
        <v>31</v>
      </c>
      <c r="L6623" s="16" t="s">
        <v>41322</v>
      </c>
      <c r="M6623" s="14" t="s">
        <v>41359</v>
      </c>
      <c r="N6623" s="14" t="s">
        <v>155</v>
      </c>
      <c r="O6623" s="16" t="s">
        <v>156</v>
      </c>
      <c r="P6623" s="14" t="s">
        <v>31</v>
      </c>
      <c r="Q6623" s="14" t="s">
        <v>31</v>
      </c>
      <c r="R6623" s="14" t="s">
        <v>64</v>
      </c>
      <c r="S6623" s="16" t="s">
        <v>31</v>
      </c>
      <c r="T6623" s="14" t="s">
        <v>66</v>
      </c>
      <c r="U6623" s="16" t="s">
        <v>31</v>
      </c>
      <c r="V6623" s="14" t="s">
        <v>1172</v>
      </c>
      <c r="W6623" s="14" t="s">
        <v>41299</v>
      </c>
      <c r="X6623" s="17" t="str">
        <f>HYPERLINK("https://my.pitchbook.com?p=255960-55P","View People Online")</f>
        <v>View People Online</v>
      </c>
    </row>
    <row r="6624">
      <c r="A6624" s="10" t="s">
        <v>41360</v>
      </c>
      <c r="B6624" s="10" t="s">
        <v>41361</v>
      </c>
      <c r="C6624" s="10" t="s">
        <v>180</v>
      </c>
      <c r="D6624" s="10" t="s">
        <v>41362</v>
      </c>
      <c r="E6624" s="10" t="s">
        <v>41299</v>
      </c>
      <c r="F6624" s="10" t="s">
        <v>81</v>
      </c>
      <c r="G6624" s="10" t="s">
        <v>41363</v>
      </c>
      <c r="H6624" s="11" t="s">
        <v>31</v>
      </c>
      <c r="I6624" s="11">
        <v>1.0</v>
      </c>
      <c r="J6624" s="11" t="s">
        <v>31</v>
      </c>
      <c r="K6624" s="11" t="s">
        <v>31</v>
      </c>
      <c r="L6624" s="12" t="s">
        <v>41322</v>
      </c>
      <c r="M6624" s="10" t="s">
        <v>31</v>
      </c>
      <c r="N6624" s="10" t="s">
        <v>155</v>
      </c>
      <c r="O6624" s="12" t="s">
        <v>156</v>
      </c>
      <c r="P6624" s="10" t="s">
        <v>31</v>
      </c>
      <c r="Q6624" s="10" t="s">
        <v>31</v>
      </c>
      <c r="R6624" s="10" t="s">
        <v>64</v>
      </c>
      <c r="S6624" s="12" t="s">
        <v>31</v>
      </c>
      <c r="T6624" s="10" t="s">
        <v>66</v>
      </c>
      <c r="U6624" s="12" t="s">
        <v>31</v>
      </c>
      <c r="V6624" s="10" t="s">
        <v>81</v>
      </c>
      <c r="W6624" s="10" t="s">
        <v>41299</v>
      </c>
      <c r="X6624" s="13" t="str">
        <f>HYPERLINK("https://my.pitchbook.com?p=397405-27P","View People Online")</f>
        <v>View People Online</v>
      </c>
    </row>
    <row r="6625">
      <c r="A6625" s="6" t="s">
        <v>41364</v>
      </c>
      <c r="B6625" s="6" t="s">
        <v>41365</v>
      </c>
      <c r="C6625" s="6" t="s">
        <v>562</v>
      </c>
      <c r="D6625" s="6" t="s">
        <v>41366</v>
      </c>
      <c r="E6625" s="6" t="s">
        <v>41299</v>
      </c>
      <c r="F6625" s="6" t="s">
        <v>120</v>
      </c>
      <c r="G6625" s="6" t="s">
        <v>41367</v>
      </c>
      <c r="H6625" s="7" t="s">
        <v>31</v>
      </c>
      <c r="I6625" s="7">
        <v>3.0</v>
      </c>
      <c r="J6625" s="7">
        <v>1.0</v>
      </c>
      <c r="K6625" s="7" t="s">
        <v>31</v>
      </c>
      <c r="L6625" s="8" t="s">
        <v>41322</v>
      </c>
      <c r="M6625" s="6" t="s">
        <v>41368</v>
      </c>
      <c r="N6625" s="6" t="s">
        <v>155</v>
      </c>
      <c r="O6625" s="8" t="s">
        <v>156</v>
      </c>
      <c r="P6625" s="6" t="s">
        <v>31</v>
      </c>
      <c r="Q6625" s="6" t="s">
        <v>31</v>
      </c>
      <c r="R6625" s="6" t="s">
        <v>64</v>
      </c>
      <c r="S6625" s="8" t="s">
        <v>31</v>
      </c>
      <c r="T6625" s="6" t="s">
        <v>66</v>
      </c>
      <c r="U6625" s="8" t="s">
        <v>31</v>
      </c>
      <c r="V6625" s="6" t="s">
        <v>120</v>
      </c>
      <c r="W6625" s="6" t="s">
        <v>41299</v>
      </c>
      <c r="X6625" s="9" t="str">
        <f>HYPERLINK("https://my.pitchbook.com?p=48364-12P","View People Online")</f>
        <v>View People Online</v>
      </c>
    </row>
    <row r="6626">
      <c r="A6626" s="10" t="s">
        <v>41369</v>
      </c>
      <c r="B6626" s="10" t="s">
        <v>41370</v>
      </c>
      <c r="C6626" s="10" t="s">
        <v>38587</v>
      </c>
      <c r="D6626" s="10" t="s">
        <v>41371</v>
      </c>
      <c r="E6626" s="10" t="s">
        <v>41299</v>
      </c>
      <c r="F6626" s="10" t="s">
        <v>81</v>
      </c>
      <c r="G6626" s="10" t="s">
        <v>41372</v>
      </c>
      <c r="H6626" s="11">
        <v>4.0</v>
      </c>
      <c r="I6626" s="11">
        <v>11.0</v>
      </c>
      <c r="J6626" s="11">
        <v>1.0</v>
      </c>
      <c r="K6626" s="11">
        <v>4.0</v>
      </c>
      <c r="L6626" s="12" t="s">
        <v>41373</v>
      </c>
      <c r="M6626" s="10" t="s">
        <v>41374</v>
      </c>
      <c r="N6626" s="10" t="s">
        <v>41375</v>
      </c>
      <c r="O6626" s="12" t="s">
        <v>41376</v>
      </c>
      <c r="P6626" s="10" t="s">
        <v>41377</v>
      </c>
      <c r="Q6626" s="10" t="s">
        <v>989</v>
      </c>
      <c r="R6626" s="10" t="s">
        <v>1185</v>
      </c>
      <c r="S6626" s="12" t="s">
        <v>41378</v>
      </c>
      <c r="T6626" s="10" t="s">
        <v>66</v>
      </c>
      <c r="U6626" s="12" t="s">
        <v>31</v>
      </c>
      <c r="V6626" s="10" t="s">
        <v>1283</v>
      </c>
      <c r="W6626" s="10" t="s">
        <v>41379</v>
      </c>
      <c r="X6626" s="13" t="str">
        <f>HYPERLINK("https://my.pitchbook.com?p=13531-33P","View People Online")</f>
        <v>View People Online</v>
      </c>
    </row>
    <row r="6627">
      <c r="A6627" s="14" t="s">
        <v>41380</v>
      </c>
      <c r="B6627" s="14" t="s">
        <v>41381</v>
      </c>
      <c r="C6627" s="14" t="s">
        <v>41382</v>
      </c>
      <c r="D6627" s="14" t="s">
        <v>41383</v>
      </c>
      <c r="E6627" s="14" t="s">
        <v>41384</v>
      </c>
      <c r="F6627" s="14" t="s">
        <v>57</v>
      </c>
      <c r="G6627" s="14" t="s">
        <v>41385</v>
      </c>
      <c r="H6627" s="15" t="s">
        <v>31</v>
      </c>
      <c r="I6627" s="15">
        <v>3.0</v>
      </c>
      <c r="J6627" s="15">
        <v>1.0</v>
      </c>
      <c r="K6627" s="15">
        <v>1.0</v>
      </c>
      <c r="L6627" s="16" t="s">
        <v>41386</v>
      </c>
      <c r="M6627" s="14" t="s">
        <v>41387</v>
      </c>
      <c r="N6627" s="14" t="s">
        <v>1292</v>
      </c>
      <c r="O6627" s="16" t="s">
        <v>1293</v>
      </c>
      <c r="P6627" s="14" t="s">
        <v>41388</v>
      </c>
      <c r="Q6627" s="14" t="s">
        <v>1719</v>
      </c>
      <c r="R6627" s="14" t="s">
        <v>64</v>
      </c>
      <c r="S6627" s="16" t="s">
        <v>1296</v>
      </c>
      <c r="T6627" s="14" t="s">
        <v>66</v>
      </c>
      <c r="U6627" s="16" t="s">
        <v>31</v>
      </c>
      <c r="V6627" s="14" t="s">
        <v>57</v>
      </c>
      <c r="W6627" s="14" t="s">
        <v>41384</v>
      </c>
      <c r="X6627" s="17" t="str">
        <f>HYPERLINK("https://my.pitchbook.com?p=204581-71P","View People Online")</f>
        <v>View People Online</v>
      </c>
    </row>
    <row r="6628">
      <c r="A6628" s="10" t="s">
        <v>41389</v>
      </c>
      <c r="B6628" s="10" t="s">
        <v>41390</v>
      </c>
      <c r="C6628" s="10" t="s">
        <v>4798</v>
      </c>
      <c r="D6628" s="10" t="s">
        <v>41391</v>
      </c>
      <c r="E6628" s="10" t="s">
        <v>41384</v>
      </c>
      <c r="F6628" s="10" t="s">
        <v>1459</v>
      </c>
      <c r="G6628" s="10" t="s">
        <v>41392</v>
      </c>
      <c r="H6628" s="11">
        <v>3.0</v>
      </c>
      <c r="I6628" s="11">
        <v>10.0</v>
      </c>
      <c r="J6628" s="11">
        <v>2.0</v>
      </c>
      <c r="K6628" s="11">
        <v>5.0</v>
      </c>
      <c r="L6628" s="12" t="s">
        <v>41393</v>
      </c>
      <c r="M6628" s="10" t="s">
        <v>41394</v>
      </c>
      <c r="N6628" s="10" t="s">
        <v>41395</v>
      </c>
      <c r="O6628" s="12" t="s">
        <v>41396</v>
      </c>
      <c r="P6628" s="10" t="s">
        <v>41397</v>
      </c>
      <c r="Q6628" s="10" t="s">
        <v>29446</v>
      </c>
      <c r="R6628" s="10" t="s">
        <v>10326</v>
      </c>
      <c r="S6628" s="12" t="s">
        <v>41398</v>
      </c>
      <c r="T6628" s="10" t="s">
        <v>66</v>
      </c>
      <c r="U6628" s="12" t="s">
        <v>31</v>
      </c>
      <c r="V6628" s="10" t="s">
        <v>6811</v>
      </c>
      <c r="W6628" s="10" t="s">
        <v>41399</v>
      </c>
      <c r="X6628" s="13" t="str">
        <f>HYPERLINK("https://my.pitchbook.com?p=105158-26P","View People Online")</f>
        <v>View People Online</v>
      </c>
    </row>
    <row r="6629">
      <c r="A6629" s="14" t="s">
        <v>41400</v>
      </c>
      <c r="B6629" s="14" t="s">
        <v>41401</v>
      </c>
      <c r="C6629" s="14" t="s">
        <v>679</v>
      </c>
      <c r="D6629" s="14" t="s">
        <v>7791</v>
      </c>
      <c r="E6629" s="14" t="s">
        <v>41384</v>
      </c>
      <c r="F6629" s="14" t="s">
        <v>371</v>
      </c>
      <c r="G6629" s="14" t="s">
        <v>41402</v>
      </c>
      <c r="H6629" s="15" t="s">
        <v>31</v>
      </c>
      <c r="I6629" s="15">
        <v>1.0</v>
      </c>
      <c r="J6629" s="15">
        <v>1.0</v>
      </c>
      <c r="K6629" s="15" t="s">
        <v>31</v>
      </c>
      <c r="L6629" s="16" t="s">
        <v>41386</v>
      </c>
      <c r="M6629" s="14" t="s">
        <v>41403</v>
      </c>
      <c r="N6629" s="14" t="s">
        <v>41404</v>
      </c>
      <c r="O6629" s="16" t="s">
        <v>41405</v>
      </c>
      <c r="P6629" s="14" t="s">
        <v>41406</v>
      </c>
      <c r="Q6629" s="14" t="s">
        <v>33967</v>
      </c>
      <c r="R6629" s="14" t="s">
        <v>616</v>
      </c>
      <c r="S6629" s="16" t="s">
        <v>3991</v>
      </c>
      <c r="T6629" s="14" t="s">
        <v>66</v>
      </c>
      <c r="U6629" s="16" t="s">
        <v>31</v>
      </c>
      <c r="V6629" s="14" t="s">
        <v>371</v>
      </c>
      <c r="W6629" s="14" t="s">
        <v>41384</v>
      </c>
      <c r="X6629" s="17" t="str">
        <f>HYPERLINK("https://my.pitchbook.com?p=186978-61P","View People Online")</f>
        <v>View People Online</v>
      </c>
    </row>
    <row r="6630">
      <c r="A6630" s="2" t="s">
        <v>41407</v>
      </c>
      <c r="B6630" s="2" t="s">
        <v>41408</v>
      </c>
      <c r="C6630" s="2" t="s">
        <v>1929</v>
      </c>
      <c r="D6630" s="2" t="s">
        <v>3275</v>
      </c>
      <c r="E6630" s="2" t="s">
        <v>41384</v>
      </c>
      <c r="F6630" s="2" t="s">
        <v>4256</v>
      </c>
      <c r="G6630" s="2" t="s">
        <v>41409</v>
      </c>
      <c r="H6630" s="3" t="s">
        <v>31</v>
      </c>
      <c r="I6630" s="3">
        <v>5.0</v>
      </c>
      <c r="J6630" s="3">
        <v>2.0</v>
      </c>
      <c r="K6630" s="3">
        <v>3.0</v>
      </c>
      <c r="L6630" s="4" t="s">
        <v>41386</v>
      </c>
      <c r="M6630" s="2" t="s">
        <v>41410</v>
      </c>
      <c r="N6630" s="2" t="s">
        <v>41404</v>
      </c>
      <c r="O6630" s="4" t="s">
        <v>41405</v>
      </c>
      <c r="P6630" s="2" t="s">
        <v>41406</v>
      </c>
      <c r="Q6630" s="2" t="s">
        <v>33967</v>
      </c>
      <c r="R6630" s="2" t="s">
        <v>616</v>
      </c>
      <c r="S6630" s="4" t="s">
        <v>3991</v>
      </c>
      <c r="T6630" s="2" t="s">
        <v>66</v>
      </c>
      <c r="U6630" s="4" t="s">
        <v>31</v>
      </c>
      <c r="V6630" s="2" t="s">
        <v>4256</v>
      </c>
      <c r="W6630" s="2" t="s">
        <v>41384</v>
      </c>
      <c r="X6630" s="5" t="str">
        <f>HYPERLINK("https://my.pitchbook.com?p=60256-63P","View People Online")</f>
        <v>View People Online</v>
      </c>
    </row>
    <row r="6631">
      <c r="A6631" s="6" t="s">
        <v>41411</v>
      </c>
      <c r="B6631" s="6" t="s">
        <v>41412</v>
      </c>
      <c r="C6631" s="6" t="s">
        <v>41413</v>
      </c>
      <c r="D6631" s="6" t="s">
        <v>41414</v>
      </c>
      <c r="E6631" s="6" t="s">
        <v>41384</v>
      </c>
      <c r="F6631" s="6" t="s">
        <v>4256</v>
      </c>
      <c r="G6631" s="6" t="s">
        <v>41415</v>
      </c>
      <c r="H6631" s="7" t="s">
        <v>31</v>
      </c>
      <c r="I6631" s="7">
        <v>4.0</v>
      </c>
      <c r="J6631" s="7">
        <v>1.0</v>
      </c>
      <c r="K6631" s="7">
        <v>2.0</v>
      </c>
      <c r="L6631" s="8" t="s">
        <v>41386</v>
      </c>
      <c r="M6631" s="6" t="s">
        <v>41416</v>
      </c>
      <c r="N6631" s="6" t="s">
        <v>41404</v>
      </c>
      <c r="O6631" s="8" t="s">
        <v>41405</v>
      </c>
      <c r="P6631" s="6" t="s">
        <v>41406</v>
      </c>
      <c r="Q6631" s="6" t="s">
        <v>33967</v>
      </c>
      <c r="R6631" s="6" t="s">
        <v>616</v>
      </c>
      <c r="S6631" s="8" t="s">
        <v>3991</v>
      </c>
      <c r="T6631" s="6" t="s">
        <v>66</v>
      </c>
      <c r="U6631" s="8" t="s">
        <v>31</v>
      </c>
      <c r="V6631" s="6" t="s">
        <v>4256</v>
      </c>
      <c r="W6631" s="6" t="s">
        <v>41384</v>
      </c>
      <c r="X6631" s="9" t="str">
        <f>HYPERLINK("https://my.pitchbook.com?p=270917-20P","View People Online")</f>
        <v>View People Online</v>
      </c>
    </row>
    <row r="6632">
      <c r="A6632" s="10" t="s">
        <v>41417</v>
      </c>
      <c r="B6632" s="10" t="s">
        <v>41418</v>
      </c>
      <c r="C6632" s="10" t="s">
        <v>6326</v>
      </c>
      <c r="D6632" s="10" t="s">
        <v>5978</v>
      </c>
      <c r="E6632" s="10" t="s">
        <v>41384</v>
      </c>
      <c r="F6632" s="10" t="s">
        <v>32296</v>
      </c>
      <c r="G6632" s="10" t="s">
        <v>41419</v>
      </c>
      <c r="H6632" s="11" t="s">
        <v>31</v>
      </c>
      <c r="I6632" s="11">
        <v>1.0</v>
      </c>
      <c r="J6632" s="11">
        <v>1.0</v>
      </c>
      <c r="K6632" s="11" t="s">
        <v>31</v>
      </c>
      <c r="L6632" s="12" t="s">
        <v>41386</v>
      </c>
      <c r="M6632" s="10" t="s">
        <v>41420</v>
      </c>
      <c r="N6632" s="10" t="s">
        <v>41404</v>
      </c>
      <c r="O6632" s="12" t="s">
        <v>41405</v>
      </c>
      <c r="P6632" s="10" t="s">
        <v>41406</v>
      </c>
      <c r="Q6632" s="10" t="s">
        <v>33967</v>
      </c>
      <c r="R6632" s="10" t="s">
        <v>616</v>
      </c>
      <c r="S6632" s="12" t="s">
        <v>3991</v>
      </c>
      <c r="T6632" s="10" t="s">
        <v>66</v>
      </c>
      <c r="U6632" s="12" t="s">
        <v>31</v>
      </c>
      <c r="V6632" s="10" t="s">
        <v>32296</v>
      </c>
      <c r="W6632" s="10" t="s">
        <v>41384</v>
      </c>
      <c r="X6632" s="13" t="str">
        <f>HYPERLINK("https://my.pitchbook.com?p=153387-19P","View People Online")</f>
        <v>View People Online</v>
      </c>
    </row>
    <row r="6633">
      <c r="A6633" s="14" t="s">
        <v>41421</v>
      </c>
      <c r="B6633" s="14" t="s">
        <v>41422</v>
      </c>
      <c r="C6633" s="14" t="s">
        <v>739</v>
      </c>
      <c r="D6633" s="14" t="s">
        <v>1267</v>
      </c>
      <c r="E6633" s="14" t="s">
        <v>41384</v>
      </c>
      <c r="F6633" s="14" t="s">
        <v>1283</v>
      </c>
      <c r="G6633" s="14" t="s">
        <v>41423</v>
      </c>
      <c r="H6633" s="15" t="s">
        <v>31</v>
      </c>
      <c r="I6633" s="15">
        <v>4.0</v>
      </c>
      <c r="J6633" s="15">
        <v>1.0</v>
      </c>
      <c r="K6633" s="15">
        <v>2.0</v>
      </c>
      <c r="L6633" s="16" t="s">
        <v>41424</v>
      </c>
      <c r="M6633" s="14" t="s">
        <v>41425</v>
      </c>
      <c r="N6633" s="14" t="s">
        <v>41404</v>
      </c>
      <c r="O6633" s="16" t="s">
        <v>41405</v>
      </c>
      <c r="P6633" s="14" t="s">
        <v>41406</v>
      </c>
      <c r="Q6633" s="14" t="s">
        <v>33967</v>
      </c>
      <c r="R6633" s="14" t="s">
        <v>616</v>
      </c>
      <c r="S6633" s="16" t="s">
        <v>3991</v>
      </c>
      <c r="T6633" s="14" t="s">
        <v>66</v>
      </c>
      <c r="U6633" s="16" t="s">
        <v>31</v>
      </c>
      <c r="V6633" s="14" t="s">
        <v>1283</v>
      </c>
      <c r="W6633" s="14" t="s">
        <v>41384</v>
      </c>
      <c r="X6633" s="17" t="str">
        <f>HYPERLINK("https://my.pitchbook.com?p=297232-21P","View People Online")</f>
        <v>View People Online</v>
      </c>
    </row>
    <row r="6634">
      <c r="A6634" s="2" t="s">
        <v>41426</v>
      </c>
      <c r="B6634" s="2" t="s">
        <v>41427</v>
      </c>
      <c r="C6634" s="2" t="s">
        <v>4943</v>
      </c>
      <c r="D6634" s="2" t="s">
        <v>41428</v>
      </c>
      <c r="E6634" s="2" t="s">
        <v>41384</v>
      </c>
      <c r="F6634" s="2" t="s">
        <v>4600</v>
      </c>
      <c r="G6634" s="2" t="s">
        <v>41429</v>
      </c>
      <c r="H6634" s="3" t="s">
        <v>31</v>
      </c>
      <c r="I6634" s="3">
        <v>4.0</v>
      </c>
      <c r="J6634" s="3">
        <v>1.0</v>
      </c>
      <c r="K6634" s="3">
        <v>1.0</v>
      </c>
      <c r="L6634" s="4" t="s">
        <v>41386</v>
      </c>
      <c r="M6634" s="2" t="s">
        <v>41430</v>
      </c>
      <c r="N6634" s="2" t="s">
        <v>41404</v>
      </c>
      <c r="O6634" s="4" t="s">
        <v>41405</v>
      </c>
      <c r="P6634" s="2" t="s">
        <v>41406</v>
      </c>
      <c r="Q6634" s="2" t="s">
        <v>33967</v>
      </c>
      <c r="R6634" s="2" t="s">
        <v>616</v>
      </c>
      <c r="S6634" s="4" t="s">
        <v>3991</v>
      </c>
      <c r="T6634" s="2" t="s">
        <v>66</v>
      </c>
      <c r="U6634" s="4" t="s">
        <v>31</v>
      </c>
      <c r="V6634" s="2" t="s">
        <v>39411</v>
      </c>
      <c r="W6634" s="2" t="s">
        <v>41384</v>
      </c>
      <c r="X6634" s="5" t="str">
        <f>HYPERLINK("https://my.pitchbook.com?p=182277-37P","View People Online")</f>
        <v>View People Online</v>
      </c>
    </row>
    <row r="6635">
      <c r="A6635" s="14" t="s">
        <v>41431</v>
      </c>
      <c r="B6635" s="14" t="s">
        <v>41432</v>
      </c>
      <c r="C6635" s="14" t="s">
        <v>27053</v>
      </c>
      <c r="D6635" s="14" t="s">
        <v>6974</v>
      </c>
      <c r="E6635" s="14" t="s">
        <v>41384</v>
      </c>
      <c r="F6635" s="14" t="s">
        <v>4256</v>
      </c>
      <c r="G6635" s="14" t="s">
        <v>41433</v>
      </c>
      <c r="H6635" s="15">
        <v>1.0</v>
      </c>
      <c r="I6635" s="15">
        <v>5.0</v>
      </c>
      <c r="J6635" s="15">
        <v>1.0</v>
      </c>
      <c r="K6635" s="15">
        <v>2.0</v>
      </c>
      <c r="L6635" s="16" t="s">
        <v>41434</v>
      </c>
      <c r="M6635" s="14" t="s">
        <v>41435</v>
      </c>
      <c r="N6635" s="14" t="s">
        <v>35354</v>
      </c>
      <c r="O6635" s="16" t="s">
        <v>35355</v>
      </c>
      <c r="P6635" s="14" t="s">
        <v>41436</v>
      </c>
      <c r="Q6635" s="14" t="s">
        <v>41437</v>
      </c>
      <c r="R6635" s="14" t="s">
        <v>1185</v>
      </c>
      <c r="S6635" s="16" t="s">
        <v>35357</v>
      </c>
      <c r="T6635" s="14" t="s">
        <v>66</v>
      </c>
      <c r="U6635" s="16" t="s">
        <v>31</v>
      </c>
      <c r="V6635" s="14" t="s">
        <v>41438</v>
      </c>
      <c r="W6635" s="14" t="s">
        <v>41384</v>
      </c>
      <c r="X6635" s="17" t="str">
        <f>HYPERLINK("https://my.pitchbook.com?p=35505-37P","View People Online")</f>
        <v>View People Online</v>
      </c>
    </row>
    <row r="6636">
      <c r="A6636" s="2" t="s">
        <v>41439</v>
      </c>
      <c r="B6636" s="2" t="s">
        <v>41440</v>
      </c>
      <c r="C6636" s="2" t="s">
        <v>32539</v>
      </c>
      <c r="D6636" s="2" t="s">
        <v>7358</v>
      </c>
      <c r="E6636" s="2" t="s">
        <v>41384</v>
      </c>
      <c r="F6636" s="2" t="s">
        <v>29</v>
      </c>
      <c r="G6636" s="2" t="s">
        <v>41441</v>
      </c>
      <c r="H6636" s="3">
        <v>2.0</v>
      </c>
      <c r="I6636" s="3">
        <v>18.0</v>
      </c>
      <c r="J6636" s="3">
        <v>1.0</v>
      </c>
      <c r="K6636" s="3">
        <v>11.0</v>
      </c>
      <c r="L6636" s="4" t="s">
        <v>41386</v>
      </c>
      <c r="M6636" s="2" t="s">
        <v>31</v>
      </c>
      <c r="N6636" s="2" t="s">
        <v>41404</v>
      </c>
      <c r="O6636" s="4" t="s">
        <v>41405</v>
      </c>
      <c r="P6636" s="2" t="s">
        <v>41406</v>
      </c>
      <c r="Q6636" s="2" t="s">
        <v>33967</v>
      </c>
      <c r="R6636" s="2" t="s">
        <v>616</v>
      </c>
      <c r="S6636" s="4" t="s">
        <v>3991</v>
      </c>
      <c r="T6636" s="2" t="s">
        <v>66</v>
      </c>
      <c r="U6636" s="4" t="s">
        <v>31</v>
      </c>
      <c r="V6636" s="2" t="s">
        <v>29</v>
      </c>
      <c r="W6636" s="2" t="s">
        <v>41384</v>
      </c>
      <c r="X6636" s="5" t="str">
        <f>HYPERLINK("https://my.pitchbook.com?p=48027-16P","View People Online")</f>
        <v>View People Online</v>
      </c>
    </row>
    <row r="6637">
      <c r="A6637" s="6" t="s">
        <v>41442</v>
      </c>
      <c r="B6637" s="6" t="s">
        <v>41443</v>
      </c>
      <c r="C6637" s="6" t="s">
        <v>2871</v>
      </c>
      <c r="D6637" s="6" t="s">
        <v>41444</v>
      </c>
      <c r="E6637" s="6" t="s">
        <v>41384</v>
      </c>
      <c r="F6637" s="6" t="s">
        <v>3740</v>
      </c>
      <c r="G6637" s="6" t="s">
        <v>41445</v>
      </c>
      <c r="H6637" s="7">
        <v>9.0</v>
      </c>
      <c r="I6637" s="7">
        <v>36.0</v>
      </c>
      <c r="J6637" s="7">
        <v>1.0</v>
      </c>
      <c r="K6637" s="7">
        <v>23.0</v>
      </c>
      <c r="L6637" s="8" t="s">
        <v>41446</v>
      </c>
      <c r="M6637" s="6" t="s">
        <v>41447</v>
      </c>
      <c r="N6637" s="6" t="s">
        <v>1292</v>
      </c>
      <c r="O6637" s="8" t="s">
        <v>1293</v>
      </c>
      <c r="P6637" s="6" t="s">
        <v>41388</v>
      </c>
      <c r="Q6637" s="6" t="s">
        <v>1719</v>
      </c>
      <c r="R6637" s="6" t="s">
        <v>64</v>
      </c>
      <c r="S6637" s="8" t="s">
        <v>1296</v>
      </c>
      <c r="T6637" s="6" t="s">
        <v>66</v>
      </c>
      <c r="U6637" s="8" t="s">
        <v>31</v>
      </c>
      <c r="V6637" s="6" t="s">
        <v>41448</v>
      </c>
      <c r="W6637" s="6" t="s">
        <v>41384</v>
      </c>
      <c r="X6637" s="9" t="str">
        <f>HYPERLINK("https://my.pitchbook.com?p=12904-30P","View People Online")</f>
        <v>View People Online</v>
      </c>
    </row>
    <row r="6638">
      <c r="A6638" s="2" t="s">
        <v>41449</v>
      </c>
      <c r="B6638" s="2" t="s">
        <v>41450</v>
      </c>
      <c r="C6638" s="2" t="s">
        <v>1146</v>
      </c>
      <c r="D6638" s="2" t="s">
        <v>41451</v>
      </c>
      <c r="E6638" s="2" t="s">
        <v>41384</v>
      </c>
      <c r="F6638" s="2" t="s">
        <v>201</v>
      </c>
      <c r="G6638" s="2" t="s">
        <v>41452</v>
      </c>
      <c r="H6638" s="3" t="s">
        <v>31</v>
      </c>
      <c r="I6638" s="3">
        <v>3.0</v>
      </c>
      <c r="J6638" s="3">
        <v>1.0</v>
      </c>
      <c r="K6638" s="3">
        <v>2.0</v>
      </c>
      <c r="L6638" s="4" t="s">
        <v>41386</v>
      </c>
      <c r="M6638" s="2" t="s">
        <v>41453</v>
      </c>
      <c r="N6638" s="2" t="s">
        <v>41404</v>
      </c>
      <c r="O6638" s="4" t="s">
        <v>41405</v>
      </c>
      <c r="P6638" s="2" t="s">
        <v>41406</v>
      </c>
      <c r="Q6638" s="2" t="s">
        <v>33967</v>
      </c>
      <c r="R6638" s="2" t="s">
        <v>616</v>
      </c>
      <c r="S6638" s="4" t="s">
        <v>3991</v>
      </c>
      <c r="T6638" s="2" t="s">
        <v>66</v>
      </c>
      <c r="U6638" s="4" t="s">
        <v>31</v>
      </c>
      <c r="V6638" s="2" t="s">
        <v>201</v>
      </c>
      <c r="W6638" s="2" t="s">
        <v>41384</v>
      </c>
      <c r="X6638" s="5" t="str">
        <f>HYPERLINK("https://my.pitchbook.com?p=385134-22P","View People Online")</f>
        <v>View People Online</v>
      </c>
    </row>
    <row r="6639">
      <c r="A6639" s="6" t="s">
        <v>41454</v>
      </c>
      <c r="B6639" s="6" t="s">
        <v>41455</v>
      </c>
      <c r="C6639" s="6" t="s">
        <v>6913</v>
      </c>
      <c r="D6639" s="6" t="s">
        <v>7849</v>
      </c>
      <c r="E6639" s="6" t="s">
        <v>41384</v>
      </c>
      <c r="F6639" s="6" t="s">
        <v>32651</v>
      </c>
      <c r="G6639" s="6" t="s">
        <v>41456</v>
      </c>
      <c r="H6639" s="7" t="s">
        <v>31</v>
      </c>
      <c r="I6639" s="7">
        <v>17.0</v>
      </c>
      <c r="J6639" s="7">
        <v>1.0</v>
      </c>
      <c r="K6639" s="7">
        <v>12.0</v>
      </c>
      <c r="L6639" s="8" t="s">
        <v>41386</v>
      </c>
      <c r="M6639" s="6" t="s">
        <v>31</v>
      </c>
      <c r="N6639" s="6" t="s">
        <v>41404</v>
      </c>
      <c r="O6639" s="8" t="s">
        <v>41405</v>
      </c>
      <c r="P6639" s="6" t="s">
        <v>41406</v>
      </c>
      <c r="Q6639" s="6" t="s">
        <v>33967</v>
      </c>
      <c r="R6639" s="6" t="s">
        <v>616</v>
      </c>
      <c r="S6639" s="8" t="s">
        <v>3991</v>
      </c>
      <c r="T6639" s="6" t="s">
        <v>66</v>
      </c>
      <c r="U6639" s="8" t="s">
        <v>31</v>
      </c>
      <c r="V6639" s="6" t="s">
        <v>302</v>
      </c>
      <c r="W6639" s="6" t="s">
        <v>41457</v>
      </c>
      <c r="X6639" s="9" t="str">
        <f>HYPERLINK("https://my.pitchbook.com?p=13298-50P","View People Online")</f>
        <v>View People Online</v>
      </c>
    </row>
    <row r="6640">
      <c r="A6640" s="10" t="s">
        <v>41458</v>
      </c>
      <c r="B6640" s="10" t="s">
        <v>41459</v>
      </c>
      <c r="C6640" s="10" t="s">
        <v>41460</v>
      </c>
      <c r="D6640" s="10" t="s">
        <v>41461</v>
      </c>
      <c r="E6640" s="10" t="s">
        <v>41384</v>
      </c>
      <c r="F6640" s="10" t="s">
        <v>2422</v>
      </c>
      <c r="G6640" s="10" t="s">
        <v>41462</v>
      </c>
      <c r="H6640" s="11" t="s">
        <v>31</v>
      </c>
      <c r="I6640" s="11">
        <v>2.0</v>
      </c>
      <c r="J6640" s="11">
        <v>1.0</v>
      </c>
      <c r="K6640" s="11">
        <v>1.0</v>
      </c>
      <c r="L6640" s="12" t="s">
        <v>41386</v>
      </c>
      <c r="M6640" s="10" t="s">
        <v>41463</v>
      </c>
      <c r="N6640" s="10" t="s">
        <v>41404</v>
      </c>
      <c r="O6640" s="12" t="s">
        <v>41405</v>
      </c>
      <c r="P6640" s="10" t="s">
        <v>41406</v>
      </c>
      <c r="Q6640" s="10" t="s">
        <v>33967</v>
      </c>
      <c r="R6640" s="10" t="s">
        <v>616</v>
      </c>
      <c r="S6640" s="12" t="s">
        <v>3991</v>
      </c>
      <c r="T6640" s="10" t="s">
        <v>66</v>
      </c>
      <c r="U6640" s="12" t="s">
        <v>31</v>
      </c>
      <c r="V6640" s="10" t="s">
        <v>2422</v>
      </c>
      <c r="W6640" s="10" t="s">
        <v>41384</v>
      </c>
      <c r="X6640" s="13" t="str">
        <f>HYPERLINK("https://my.pitchbook.com?p=169121-80P","View People Online")</f>
        <v>View People Online</v>
      </c>
    </row>
    <row r="6641">
      <c r="A6641" s="14" t="s">
        <v>41464</v>
      </c>
      <c r="B6641" s="14" t="s">
        <v>41465</v>
      </c>
      <c r="C6641" s="14" t="s">
        <v>1616</v>
      </c>
      <c r="D6641" s="14" t="s">
        <v>41466</v>
      </c>
      <c r="E6641" s="14" t="s">
        <v>41384</v>
      </c>
      <c r="F6641" s="14" t="s">
        <v>57</v>
      </c>
      <c r="G6641" s="14" t="s">
        <v>41467</v>
      </c>
      <c r="H6641" s="15" t="s">
        <v>31</v>
      </c>
      <c r="I6641" s="15">
        <v>2.0</v>
      </c>
      <c r="J6641" s="15">
        <v>1.0</v>
      </c>
      <c r="K6641" s="15">
        <v>1.0</v>
      </c>
      <c r="L6641" s="16" t="s">
        <v>41386</v>
      </c>
      <c r="M6641" s="14" t="s">
        <v>41468</v>
      </c>
      <c r="N6641" s="14" t="s">
        <v>41404</v>
      </c>
      <c r="O6641" s="16" t="s">
        <v>41405</v>
      </c>
      <c r="P6641" s="14" t="s">
        <v>41406</v>
      </c>
      <c r="Q6641" s="14" t="s">
        <v>33967</v>
      </c>
      <c r="R6641" s="14" t="s">
        <v>616</v>
      </c>
      <c r="S6641" s="16" t="s">
        <v>3991</v>
      </c>
      <c r="T6641" s="14" t="s">
        <v>66</v>
      </c>
      <c r="U6641" s="16" t="s">
        <v>31</v>
      </c>
      <c r="V6641" s="14" t="s">
        <v>57</v>
      </c>
      <c r="W6641" s="14" t="s">
        <v>41384</v>
      </c>
      <c r="X6641" s="17" t="str">
        <f>HYPERLINK("https://my.pitchbook.com?p=421880-77P","View People Online")</f>
        <v>View People Online</v>
      </c>
    </row>
    <row r="6642">
      <c r="A6642" s="2" t="s">
        <v>41469</v>
      </c>
      <c r="B6642" s="2" t="s">
        <v>41470</v>
      </c>
      <c r="C6642" s="2" t="s">
        <v>3082</v>
      </c>
      <c r="D6642" s="2" t="s">
        <v>37034</v>
      </c>
      <c r="E6642" s="2" t="s">
        <v>41384</v>
      </c>
      <c r="F6642" s="2" t="s">
        <v>1241</v>
      </c>
      <c r="G6642" s="2" t="s">
        <v>41471</v>
      </c>
      <c r="H6642" s="3">
        <v>1.0</v>
      </c>
      <c r="I6642" s="3">
        <v>2.0</v>
      </c>
      <c r="J6642" s="3">
        <v>1.0</v>
      </c>
      <c r="K6642" s="3">
        <v>1.0</v>
      </c>
      <c r="L6642" s="4" t="s">
        <v>31</v>
      </c>
      <c r="M6642" s="2" t="s">
        <v>41472</v>
      </c>
      <c r="N6642" s="2" t="s">
        <v>1034</v>
      </c>
      <c r="O6642" s="4" t="s">
        <v>1035</v>
      </c>
      <c r="P6642" s="2" t="s">
        <v>31</v>
      </c>
      <c r="Q6642" s="2" t="s">
        <v>31</v>
      </c>
      <c r="R6642" s="2" t="s">
        <v>31</v>
      </c>
      <c r="S6642" s="4" t="s">
        <v>31</v>
      </c>
      <c r="T6642" s="2" t="s">
        <v>1034</v>
      </c>
      <c r="U6642" s="4" t="s">
        <v>31</v>
      </c>
      <c r="V6642" s="2" t="s">
        <v>41473</v>
      </c>
      <c r="W6642" s="2" t="s">
        <v>41384</v>
      </c>
      <c r="X6642" s="5" t="str">
        <f>HYPERLINK("https://my.pitchbook.com?p=421432-12P","View People Online")</f>
        <v>View People Online</v>
      </c>
    </row>
    <row r="6643">
      <c r="A6643" s="6" t="s">
        <v>41474</v>
      </c>
      <c r="B6643" s="6" t="s">
        <v>41475</v>
      </c>
      <c r="C6643" s="6" t="s">
        <v>5092</v>
      </c>
      <c r="D6643" s="6" t="s">
        <v>7527</v>
      </c>
      <c r="E6643" s="6" t="s">
        <v>41384</v>
      </c>
      <c r="F6643" s="6" t="s">
        <v>4256</v>
      </c>
      <c r="G6643" s="6" t="s">
        <v>41476</v>
      </c>
      <c r="H6643" s="7">
        <v>1.0</v>
      </c>
      <c r="I6643" s="7">
        <v>4.0</v>
      </c>
      <c r="J6643" s="7">
        <v>1.0</v>
      </c>
      <c r="K6643" s="7">
        <v>1.0</v>
      </c>
      <c r="L6643" s="8" t="s">
        <v>41386</v>
      </c>
      <c r="M6643" s="6" t="s">
        <v>41477</v>
      </c>
      <c r="N6643" s="6" t="s">
        <v>41404</v>
      </c>
      <c r="O6643" s="8" t="s">
        <v>41405</v>
      </c>
      <c r="P6643" s="6" t="s">
        <v>41406</v>
      </c>
      <c r="Q6643" s="6" t="s">
        <v>33967</v>
      </c>
      <c r="R6643" s="6" t="s">
        <v>616</v>
      </c>
      <c r="S6643" s="8" t="s">
        <v>3991</v>
      </c>
      <c r="T6643" s="6" t="s">
        <v>66</v>
      </c>
      <c r="U6643" s="8" t="s">
        <v>31</v>
      </c>
      <c r="V6643" s="6" t="s">
        <v>4256</v>
      </c>
      <c r="W6643" s="6" t="s">
        <v>41384</v>
      </c>
      <c r="X6643" s="9" t="str">
        <f>HYPERLINK("https://my.pitchbook.com?p=164904-85P","View People Online")</f>
        <v>View People Online</v>
      </c>
    </row>
    <row r="6644">
      <c r="A6644" s="10" t="s">
        <v>41478</v>
      </c>
      <c r="B6644" s="10" t="s">
        <v>41479</v>
      </c>
      <c r="C6644" s="10" t="s">
        <v>1489</v>
      </c>
      <c r="D6644" s="10" t="s">
        <v>41480</v>
      </c>
      <c r="E6644" s="10" t="s">
        <v>41384</v>
      </c>
      <c r="F6644" s="10" t="s">
        <v>371</v>
      </c>
      <c r="G6644" s="10" t="s">
        <v>41481</v>
      </c>
      <c r="H6644" s="11" t="s">
        <v>31</v>
      </c>
      <c r="I6644" s="11">
        <v>1.0</v>
      </c>
      <c r="J6644" s="11">
        <v>1.0</v>
      </c>
      <c r="K6644" s="11" t="s">
        <v>31</v>
      </c>
      <c r="L6644" s="12" t="s">
        <v>41386</v>
      </c>
      <c r="M6644" s="10" t="s">
        <v>31</v>
      </c>
      <c r="N6644" s="10" t="s">
        <v>41404</v>
      </c>
      <c r="O6644" s="12" t="s">
        <v>41405</v>
      </c>
      <c r="P6644" s="10" t="s">
        <v>41406</v>
      </c>
      <c r="Q6644" s="10" t="s">
        <v>33967</v>
      </c>
      <c r="R6644" s="10" t="s">
        <v>616</v>
      </c>
      <c r="S6644" s="12" t="s">
        <v>3991</v>
      </c>
      <c r="T6644" s="10" t="s">
        <v>66</v>
      </c>
      <c r="U6644" s="12" t="s">
        <v>31</v>
      </c>
      <c r="V6644" s="10" t="s">
        <v>6007</v>
      </c>
      <c r="W6644" s="10" t="s">
        <v>41384</v>
      </c>
      <c r="X6644" s="13" t="str">
        <f>HYPERLINK("https://my.pitchbook.com?p=342779-86P","View People Online")</f>
        <v>View People Online</v>
      </c>
    </row>
    <row r="6645">
      <c r="A6645" s="6" t="s">
        <v>41482</v>
      </c>
      <c r="B6645" s="6" t="s">
        <v>41483</v>
      </c>
      <c r="C6645" s="6" t="s">
        <v>41484</v>
      </c>
      <c r="D6645" s="6" t="s">
        <v>1645</v>
      </c>
      <c r="E6645" s="6" t="s">
        <v>41384</v>
      </c>
      <c r="F6645" s="6" t="s">
        <v>470</v>
      </c>
      <c r="G6645" s="6" t="s">
        <v>31</v>
      </c>
      <c r="H6645" s="7" t="s">
        <v>31</v>
      </c>
      <c r="I6645" s="7">
        <v>2.0</v>
      </c>
      <c r="J6645" s="7">
        <v>1.0</v>
      </c>
      <c r="K6645" s="7">
        <v>1.0</v>
      </c>
      <c r="L6645" s="8" t="s">
        <v>41386</v>
      </c>
      <c r="M6645" s="6" t="s">
        <v>31</v>
      </c>
      <c r="N6645" s="6" t="s">
        <v>41404</v>
      </c>
      <c r="O6645" s="8" t="s">
        <v>41405</v>
      </c>
      <c r="P6645" s="6" t="s">
        <v>41406</v>
      </c>
      <c r="Q6645" s="6" t="s">
        <v>33967</v>
      </c>
      <c r="R6645" s="6" t="s">
        <v>616</v>
      </c>
      <c r="S6645" s="8" t="s">
        <v>3991</v>
      </c>
      <c r="T6645" s="6" t="s">
        <v>66</v>
      </c>
      <c r="U6645" s="8" t="s">
        <v>31</v>
      </c>
      <c r="V6645" s="6" t="s">
        <v>470</v>
      </c>
      <c r="W6645" s="6" t="s">
        <v>41384</v>
      </c>
      <c r="X6645" s="9" t="str">
        <f>HYPERLINK("https://my.pitchbook.com?p=439900-75P","View People Online")</f>
        <v>View People Online</v>
      </c>
    </row>
    <row r="6646">
      <c r="A6646" s="10" t="s">
        <v>41485</v>
      </c>
      <c r="B6646" s="10" t="s">
        <v>41486</v>
      </c>
      <c r="C6646" s="10" t="s">
        <v>25014</v>
      </c>
      <c r="D6646" s="10" t="s">
        <v>41487</v>
      </c>
      <c r="E6646" s="10" t="s">
        <v>41384</v>
      </c>
      <c r="F6646" s="10" t="s">
        <v>270</v>
      </c>
      <c r="G6646" s="10" t="s">
        <v>41488</v>
      </c>
      <c r="H6646" s="11" t="s">
        <v>31</v>
      </c>
      <c r="I6646" s="11">
        <v>1.0</v>
      </c>
      <c r="J6646" s="11">
        <v>1.0</v>
      </c>
      <c r="K6646" s="11" t="s">
        <v>31</v>
      </c>
      <c r="L6646" s="12" t="s">
        <v>41386</v>
      </c>
      <c r="M6646" s="10" t="s">
        <v>41489</v>
      </c>
      <c r="N6646" s="10" t="s">
        <v>41404</v>
      </c>
      <c r="O6646" s="12" t="s">
        <v>41405</v>
      </c>
      <c r="P6646" s="10" t="s">
        <v>41406</v>
      </c>
      <c r="Q6646" s="10" t="s">
        <v>33967</v>
      </c>
      <c r="R6646" s="10" t="s">
        <v>616</v>
      </c>
      <c r="S6646" s="12" t="s">
        <v>3991</v>
      </c>
      <c r="T6646" s="10" t="s">
        <v>66</v>
      </c>
      <c r="U6646" s="12" t="s">
        <v>31</v>
      </c>
      <c r="V6646" s="10" t="s">
        <v>41490</v>
      </c>
      <c r="W6646" s="10" t="s">
        <v>41384</v>
      </c>
      <c r="X6646" s="13" t="str">
        <f>HYPERLINK("https://my.pitchbook.com?p=391184-74P","View People Online")</f>
        <v>View People Online</v>
      </c>
    </row>
    <row r="6647">
      <c r="A6647" s="6" t="s">
        <v>41491</v>
      </c>
      <c r="B6647" s="6" t="s">
        <v>41492</v>
      </c>
      <c r="C6647" s="6" t="s">
        <v>2288</v>
      </c>
      <c r="D6647" s="6" t="s">
        <v>41493</v>
      </c>
      <c r="E6647" s="6" t="s">
        <v>41384</v>
      </c>
      <c r="F6647" s="6" t="s">
        <v>29</v>
      </c>
      <c r="G6647" s="6" t="s">
        <v>41494</v>
      </c>
      <c r="H6647" s="7">
        <v>2.0</v>
      </c>
      <c r="I6647" s="7">
        <v>5.0</v>
      </c>
      <c r="J6647" s="7">
        <v>1.0</v>
      </c>
      <c r="K6647" s="7">
        <v>2.0</v>
      </c>
      <c r="L6647" s="8" t="s">
        <v>41495</v>
      </c>
      <c r="M6647" s="6" t="s">
        <v>41496</v>
      </c>
      <c r="N6647" s="6" t="s">
        <v>1292</v>
      </c>
      <c r="O6647" s="8" t="s">
        <v>1293</v>
      </c>
      <c r="P6647" s="6" t="s">
        <v>41388</v>
      </c>
      <c r="Q6647" s="6" t="s">
        <v>1719</v>
      </c>
      <c r="R6647" s="6" t="s">
        <v>64</v>
      </c>
      <c r="S6647" s="8" t="s">
        <v>1296</v>
      </c>
      <c r="T6647" s="6" t="s">
        <v>66</v>
      </c>
      <c r="U6647" s="8" t="s">
        <v>31</v>
      </c>
      <c r="V6647" s="6" t="s">
        <v>29</v>
      </c>
      <c r="W6647" s="6" t="s">
        <v>41384</v>
      </c>
      <c r="X6647" s="9" t="str">
        <f>HYPERLINK("https://my.pitchbook.com?p=74259-91P","View People Online")</f>
        <v>View People Online</v>
      </c>
    </row>
    <row r="6648">
      <c r="A6648" s="2" t="s">
        <v>41497</v>
      </c>
      <c r="B6648" s="2" t="s">
        <v>41498</v>
      </c>
      <c r="C6648" s="2" t="s">
        <v>160</v>
      </c>
      <c r="D6648" s="2" t="s">
        <v>41499</v>
      </c>
      <c r="E6648" s="2" t="s">
        <v>41384</v>
      </c>
      <c r="F6648" s="2" t="s">
        <v>6997</v>
      </c>
      <c r="G6648" s="2" t="s">
        <v>41500</v>
      </c>
      <c r="H6648" s="3" t="s">
        <v>31</v>
      </c>
      <c r="I6648" s="3">
        <v>1.0</v>
      </c>
      <c r="J6648" s="3">
        <v>1.0</v>
      </c>
      <c r="K6648" s="3" t="s">
        <v>31</v>
      </c>
      <c r="L6648" s="4" t="s">
        <v>41386</v>
      </c>
      <c r="M6648" s="2" t="s">
        <v>41501</v>
      </c>
      <c r="N6648" s="2" t="s">
        <v>41404</v>
      </c>
      <c r="O6648" s="4" t="s">
        <v>41405</v>
      </c>
      <c r="P6648" s="2" t="s">
        <v>41406</v>
      </c>
      <c r="Q6648" s="2" t="s">
        <v>33967</v>
      </c>
      <c r="R6648" s="2" t="s">
        <v>616</v>
      </c>
      <c r="S6648" s="4" t="s">
        <v>3991</v>
      </c>
      <c r="T6648" s="2" t="s">
        <v>66</v>
      </c>
      <c r="U6648" s="4" t="s">
        <v>31</v>
      </c>
      <c r="V6648" s="2" t="s">
        <v>6997</v>
      </c>
      <c r="W6648" s="2" t="s">
        <v>41384</v>
      </c>
      <c r="X6648" s="5" t="str">
        <f>HYPERLINK("https://my.pitchbook.com?p=39664-54P","View People Online")</f>
        <v>View People Online</v>
      </c>
    </row>
    <row r="6649">
      <c r="A6649" s="14" t="s">
        <v>41502</v>
      </c>
      <c r="B6649" s="14" t="s">
        <v>41503</v>
      </c>
      <c r="C6649" s="14" t="s">
        <v>3852</v>
      </c>
      <c r="D6649" s="14" t="s">
        <v>1950</v>
      </c>
      <c r="E6649" s="14" t="s">
        <v>41384</v>
      </c>
      <c r="F6649" s="14" t="s">
        <v>3740</v>
      </c>
      <c r="G6649" s="14" t="s">
        <v>41504</v>
      </c>
      <c r="H6649" s="15" t="s">
        <v>31</v>
      </c>
      <c r="I6649" s="15">
        <v>4.0</v>
      </c>
      <c r="J6649" s="15">
        <v>1.0</v>
      </c>
      <c r="K6649" s="15">
        <v>3.0</v>
      </c>
      <c r="L6649" s="16" t="s">
        <v>41386</v>
      </c>
      <c r="M6649" s="14" t="s">
        <v>41505</v>
      </c>
      <c r="N6649" s="14" t="s">
        <v>41404</v>
      </c>
      <c r="O6649" s="16" t="s">
        <v>41405</v>
      </c>
      <c r="P6649" s="14" t="s">
        <v>41406</v>
      </c>
      <c r="Q6649" s="14" t="s">
        <v>33967</v>
      </c>
      <c r="R6649" s="14" t="s">
        <v>616</v>
      </c>
      <c r="S6649" s="16" t="s">
        <v>3991</v>
      </c>
      <c r="T6649" s="14" t="s">
        <v>66</v>
      </c>
      <c r="U6649" s="16" t="s">
        <v>31</v>
      </c>
      <c r="V6649" s="14" t="s">
        <v>41506</v>
      </c>
      <c r="W6649" s="14" t="s">
        <v>41384</v>
      </c>
      <c r="X6649" s="17" t="str">
        <f>HYPERLINK("https://my.pitchbook.com?p=94995-46P","View People Online")</f>
        <v>View People Online</v>
      </c>
    </row>
    <row r="6650">
      <c r="A6650" s="2" t="s">
        <v>41507</v>
      </c>
      <c r="B6650" s="2" t="s">
        <v>41508</v>
      </c>
      <c r="C6650" s="2" t="s">
        <v>126</v>
      </c>
      <c r="D6650" s="2" t="s">
        <v>10521</v>
      </c>
      <c r="E6650" s="2" t="s">
        <v>41384</v>
      </c>
      <c r="F6650" s="2" t="s">
        <v>29</v>
      </c>
      <c r="G6650" s="2" t="s">
        <v>41509</v>
      </c>
      <c r="H6650" s="3" t="s">
        <v>31</v>
      </c>
      <c r="I6650" s="3">
        <v>6.0</v>
      </c>
      <c r="J6650" s="3">
        <v>2.0</v>
      </c>
      <c r="K6650" s="3">
        <v>3.0</v>
      </c>
      <c r="L6650" s="4" t="s">
        <v>41510</v>
      </c>
      <c r="M6650" s="2" t="s">
        <v>41511</v>
      </c>
      <c r="N6650" s="2" t="s">
        <v>665</v>
      </c>
      <c r="O6650" s="4" t="s">
        <v>3857</v>
      </c>
      <c r="P6650" s="2" t="s">
        <v>41512</v>
      </c>
      <c r="Q6650" s="2" t="s">
        <v>41513</v>
      </c>
      <c r="R6650" s="2" t="s">
        <v>1420</v>
      </c>
      <c r="S6650" s="4" t="s">
        <v>41514</v>
      </c>
      <c r="T6650" s="2" t="s">
        <v>66</v>
      </c>
      <c r="U6650" s="4" t="s">
        <v>31</v>
      </c>
      <c r="V6650" s="2" t="s">
        <v>57</v>
      </c>
      <c r="W6650" s="2" t="s">
        <v>41515</v>
      </c>
      <c r="X6650" s="5" t="str">
        <f>HYPERLINK("https://my.pitchbook.com?p=38355-58P","View People Online")</f>
        <v>View People Online</v>
      </c>
    </row>
    <row r="6651">
      <c r="A6651" s="14" t="s">
        <v>41516</v>
      </c>
      <c r="B6651" s="14" t="s">
        <v>41517</v>
      </c>
      <c r="C6651" s="14" t="s">
        <v>126</v>
      </c>
      <c r="D6651" s="14" t="s">
        <v>41518</v>
      </c>
      <c r="E6651" s="14" t="s">
        <v>41384</v>
      </c>
      <c r="F6651" s="14" t="s">
        <v>312</v>
      </c>
      <c r="G6651" s="14" t="s">
        <v>41519</v>
      </c>
      <c r="H6651" s="15" t="s">
        <v>31</v>
      </c>
      <c r="I6651" s="15">
        <v>1.0</v>
      </c>
      <c r="J6651" s="15">
        <v>1.0</v>
      </c>
      <c r="K6651" s="15" t="s">
        <v>31</v>
      </c>
      <c r="L6651" s="16" t="s">
        <v>41386</v>
      </c>
      <c r="M6651" s="14" t="s">
        <v>41520</v>
      </c>
      <c r="N6651" s="14" t="s">
        <v>41404</v>
      </c>
      <c r="O6651" s="16" t="s">
        <v>41405</v>
      </c>
      <c r="P6651" s="14" t="s">
        <v>41406</v>
      </c>
      <c r="Q6651" s="14" t="s">
        <v>33967</v>
      </c>
      <c r="R6651" s="14" t="s">
        <v>616</v>
      </c>
      <c r="S6651" s="16" t="s">
        <v>3991</v>
      </c>
      <c r="T6651" s="14" t="s">
        <v>66</v>
      </c>
      <c r="U6651" s="16" t="s">
        <v>31</v>
      </c>
      <c r="V6651" s="14" t="s">
        <v>41521</v>
      </c>
      <c r="W6651" s="14" t="s">
        <v>41384</v>
      </c>
      <c r="X6651" s="17" t="str">
        <f>HYPERLINK("https://my.pitchbook.com?p=40238-02P","View People Online")</f>
        <v>View People Online</v>
      </c>
    </row>
    <row r="6652">
      <c r="A6652" s="10" t="s">
        <v>41522</v>
      </c>
      <c r="B6652" s="10" t="s">
        <v>41523</v>
      </c>
      <c r="C6652" s="10" t="s">
        <v>126</v>
      </c>
      <c r="D6652" s="10" t="s">
        <v>8096</v>
      </c>
      <c r="E6652" s="10" t="s">
        <v>41384</v>
      </c>
      <c r="F6652" s="10" t="s">
        <v>3740</v>
      </c>
      <c r="G6652" s="10" t="s">
        <v>41524</v>
      </c>
      <c r="H6652" s="11" t="s">
        <v>31</v>
      </c>
      <c r="I6652" s="11">
        <v>1.0</v>
      </c>
      <c r="J6652" s="11">
        <v>1.0</v>
      </c>
      <c r="K6652" s="11" t="s">
        <v>31</v>
      </c>
      <c r="L6652" s="12" t="s">
        <v>41386</v>
      </c>
      <c r="M6652" s="10" t="s">
        <v>41525</v>
      </c>
      <c r="N6652" s="10" t="s">
        <v>41404</v>
      </c>
      <c r="O6652" s="12" t="s">
        <v>41405</v>
      </c>
      <c r="P6652" s="10" t="s">
        <v>41406</v>
      </c>
      <c r="Q6652" s="10" t="s">
        <v>33967</v>
      </c>
      <c r="R6652" s="10" t="s">
        <v>616</v>
      </c>
      <c r="S6652" s="12" t="s">
        <v>3991</v>
      </c>
      <c r="T6652" s="10" t="s">
        <v>66</v>
      </c>
      <c r="U6652" s="12" t="s">
        <v>31</v>
      </c>
      <c r="V6652" s="10" t="s">
        <v>3740</v>
      </c>
      <c r="W6652" s="10" t="s">
        <v>41384</v>
      </c>
      <c r="X6652" s="13" t="str">
        <f>HYPERLINK("https://my.pitchbook.com?p=132424-30P","View People Online")</f>
        <v>View People Online</v>
      </c>
    </row>
    <row r="6653">
      <c r="A6653" s="14" t="s">
        <v>41526</v>
      </c>
      <c r="B6653" s="14" t="s">
        <v>41527</v>
      </c>
      <c r="C6653" s="14" t="s">
        <v>41528</v>
      </c>
      <c r="D6653" s="14" t="s">
        <v>41529</v>
      </c>
      <c r="E6653" s="14" t="s">
        <v>41384</v>
      </c>
      <c r="F6653" s="14" t="s">
        <v>221</v>
      </c>
      <c r="G6653" s="14" t="s">
        <v>41530</v>
      </c>
      <c r="H6653" s="15" t="s">
        <v>31</v>
      </c>
      <c r="I6653" s="15">
        <v>1.0</v>
      </c>
      <c r="J6653" s="15">
        <v>1.0</v>
      </c>
      <c r="K6653" s="15" t="s">
        <v>31</v>
      </c>
      <c r="L6653" s="16" t="s">
        <v>31</v>
      </c>
      <c r="M6653" s="14" t="s">
        <v>41531</v>
      </c>
      <c r="N6653" s="14" t="s">
        <v>31</v>
      </c>
      <c r="O6653" s="16" t="s">
        <v>31</v>
      </c>
      <c r="P6653" s="14" t="s">
        <v>31</v>
      </c>
      <c r="Q6653" s="14" t="s">
        <v>31</v>
      </c>
      <c r="R6653" s="14" t="s">
        <v>31</v>
      </c>
      <c r="S6653" s="16" t="s">
        <v>31</v>
      </c>
      <c r="T6653" s="14" t="s">
        <v>31</v>
      </c>
      <c r="U6653" s="16" t="s">
        <v>31</v>
      </c>
      <c r="V6653" s="14" t="s">
        <v>41532</v>
      </c>
      <c r="W6653" s="14" t="s">
        <v>41384</v>
      </c>
      <c r="X6653" s="17" t="str">
        <f>HYPERLINK("https://my.pitchbook.com?p=397060-75P","View People Online")</f>
        <v>View People Online</v>
      </c>
    </row>
    <row r="6654">
      <c r="A6654" s="2" t="s">
        <v>41533</v>
      </c>
      <c r="B6654" s="2" t="s">
        <v>41534</v>
      </c>
      <c r="C6654" s="2" t="s">
        <v>6855</v>
      </c>
      <c r="D6654" s="2" t="s">
        <v>41535</v>
      </c>
      <c r="E6654" s="2" t="s">
        <v>41384</v>
      </c>
      <c r="F6654" s="2" t="s">
        <v>371</v>
      </c>
      <c r="G6654" s="2" t="s">
        <v>41536</v>
      </c>
      <c r="H6654" s="3" t="s">
        <v>31</v>
      </c>
      <c r="I6654" s="3">
        <v>3.0</v>
      </c>
      <c r="J6654" s="3">
        <v>1.0</v>
      </c>
      <c r="K6654" s="3" t="s">
        <v>31</v>
      </c>
      <c r="L6654" s="4" t="s">
        <v>41537</v>
      </c>
      <c r="M6654" s="2" t="s">
        <v>41538</v>
      </c>
      <c r="N6654" s="2" t="s">
        <v>41404</v>
      </c>
      <c r="O6654" s="4" t="s">
        <v>41405</v>
      </c>
      <c r="P6654" s="2" t="s">
        <v>41406</v>
      </c>
      <c r="Q6654" s="2" t="s">
        <v>33967</v>
      </c>
      <c r="R6654" s="2" t="s">
        <v>616</v>
      </c>
      <c r="S6654" s="4" t="s">
        <v>3991</v>
      </c>
      <c r="T6654" s="2" t="s">
        <v>66</v>
      </c>
      <c r="U6654" s="4" t="s">
        <v>31</v>
      </c>
      <c r="V6654" s="2" t="s">
        <v>371</v>
      </c>
      <c r="W6654" s="2" t="s">
        <v>41384</v>
      </c>
      <c r="X6654" s="5" t="str">
        <f>HYPERLINK("https://my.pitchbook.com?p=42227-02P","View People Online")</f>
        <v>View People Online</v>
      </c>
    </row>
    <row r="6655">
      <c r="A6655" s="6" t="s">
        <v>41539</v>
      </c>
      <c r="B6655" s="6" t="s">
        <v>41540</v>
      </c>
      <c r="C6655" s="6" t="s">
        <v>6199</v>
      </c>
      <c r="D6655" s="6" t="s">
        <v>41541</v>
      </c>
      <c r="E6655" s="6" t="s">
        <v>41384</v>
      </c>
      <c r="F6655" s="6" t="s">
        <v>1459</v>
      </c>
      <c r="G6655" s="6" t="s">
        <v>41542</v>
      </c>
      <c r="H6655" s="7">
        <v>1.0</v>
      </c>
      <c r="I6655" s="7">
        <v>15.0</v>
      </c>
      <c r="J6655" s="7">
        <v>1.0</v>
      </c>
      <c r="K6655" s="7">
        <v>9.0</v>
      </c>
      <c r="L6655" s="8" t="s">
        <v>41495</v>
      </c>
      <c r="M6655" s="6" t="s">
        <v>41543</v>
      </c>
      <c r="N6655" s="6" t="s">
        <v>1292</v>
      </c>
      <c r="O6655" s="8" t="s">
        <v>1293</v>
      </c>
      <c r="P6655" s="6" t="s">
        <v>41388</v>
      </c>
      <c r="Q6655" s="6" t="s">
        <v>1719</v>
      </c>
      <c r="R6655" s="6" t="s">
        <v>64</v>
      </c>
      <c r="S6655" s="8" t="s">
        <v>1296</v>
      </c>
      <c r="T6655" s="6" t="s">
        <v>66</v>
      </c>
      <c r="U6655" s="8" t="s">
        <v>31</v>
      </c>
      <c r="V6655" s="6" t="s">
        <v>1612</v>
      </c>
      <c r="W6655" s="6" t="s">
        <v>41384</v>
      </c>
      <c r="X6655" s="9" t="str">
        <f>HYPERLINK("https://my.pitchbook.com?p=35944-57P","View People Online")</f>
        <v>View People Online</v>
      </c>
    </row>
    <row r="6656">
      <c r="A6656" s="2" t="s">
        <v>41544</v>
      </c>
      <c r="B6656" s="2" t="s">
        <v>41545</v>
      </c>
      <c r="C6656" s="2" t="s">
        <v>14256</v>
      </c>
      <c r="D6656" s="2" t="s">
        <v>41546</v>
      </c>
      <c r="E6656" s="2" t="s">
        <v>41384</v>
      </c>
      <c r="F6656" s="2" t="s">
        <v>3740</v>
      </c>
      <c r="G6656" s="2" t="s">
        <v>41547</v>
      </c>
      <c r="H6656" s="3" t="s">
        <v>31</v>
      </c>
      <c r="I6656" s="3">
        <v>1.0</v>
      </c>
      <c r="J6656" s="3">
        <v>1.0</v>
      </c>
      <c r="K6656" s="3" t="s">
        <v>31</v>
      </c>
      <c r="L6656" s="4" t="s">
        <v>41386</v>
      </c>
      <c r="M6656" s="2" t="s">
        <v>41548</v>
      </c>
      <c r="N6656" s="2" t="s">
        <v>41404</v>
      </c>
      <c r="O6656" s="4" t="s">
        <v>41405</v>
      </c>
      <c r="P6656" s="2" t="s">
        <v>41406</v>
      </c>
      <c r="Q6656" s="2" t="s">
        <v>33967</v>
      </c>
      <c r="R6656" s="2" t="s">
        <v>616</v>
      </c>
      <c r="S6656" s="4" t="s">
        <v>3991</v>
      </c>
      <c r="T6656" s="2" t="s">
        <v>66</v>
      </c>
      <c r="U6656" s="4" t="s">
        <v>31</v>
      </c>
      <c r="V6656" s="2" t="s">
        <v>41549</v>
      </c>
      <c r="W6656" s="2" t="s">
        <v>41384</v>
      </c>
      <c r="X6656" s="5" t="str">
        <f>HYPERLINK("https://my.pitchbook.com?p=153384-49P","View People Online")</f>
        <v>View People Online</v>
      </c>
    </row>
    <row r="6657">
      <c r="A6657" s="14" t="s">
        <v>41550</v>
      </c>
      <c r="B6657" s="14" t="s">
        <v>41551</v>
      </c>
      <c r="C6657" s="14" t="s">
        <v>41552</v>
      </c>
      <c r="D6657" s="14" t="s">
        <v>41553</v>
      </c>
      <c r="E6657" s="14" t="s">
        <v>41384</v>
      </c>
      <c r="F6657" s="14" t="s">
        <v>32651</v>
      </c>
      <c r="G6657" s="14" t="s">
        <v>41554</v>
      </c>
      <c r="H6657" s="15">
        <v>7.0</v>
      </c>
      <c r="I6657" s="15">
        <v>12.0</v>
      </c>
      <c r="J6657" s="15">
        <v>3.0</v>
      </c>
      <c r="K6657" s="15">
        <v>2.0</v>
      </c>
      <c r="L6657" s="16" t="s">
        <v>31</v>
      </c>
      <c r="M6657" s="14" t="s">
        <v>31</v>
      </c>
      <c r="N6657" s="14" t="s">
        <v>3766</v>
      </c>
      <c r="O6657" s="16" t="s">
        <v>3767</v>
      </c>
      <c r="P6657" s="14" t="s">
        <v>41555</v>
      </c>
      <c r="Q6657" s="14" t="s">
        <v>2003</v>
      </c>
      <c r="R6657" s="14" t="s">
        <v>64</v>
      </c>
      <c r="S6657" s="16" t="s">
        <v>7801</v>
      </c>
      <c r="T6657" s="14" t="s">
        <v>66</v>
      </c>
      <c r="U6657" s="16" t="s">
        <v>31</v>
      </c>
      <c r="V6657" s="14" t="s">
        <v>2168</v>
      </c>
      <c r="W6657" s="14" t="s">
        <v>41556</v>
      </c>
      <c r="X6657" s="17" t="str">
        <f>HYPERLINK("https://my.pitchbook.com?p=316154-17P","View People Online")</f>
        <v>View People Online</v>
      </c>
    </row>
    <row r="6658">
      <c r="A6658" s="2" t="s">
        <v>41557</v>
      </c>
      <c r="B6658" s="2" t="s">
        <v>41558</v>
      </c>
      <c r="C6658" s="2" t="s">
        <v>160</v>
      </c>
      <c r="D6658" s="2" t="s">
        <v>6734</v>
      </c>
      <c r="E6658" s="2" t="s">
        <v>41559</v>
      </c>
      <c r="F6658" s="2" t="s">
        <v>152</v>
      </c>
      <c r="G6658" s="2" t="s">
        <v>41560</v>
      </c>
      <c r="H6658" s="3">
        <v>2.0</v>
      </c>
      <c r="I6658" s="3">
        <v>18.0</v>
      </c>
      <c r="J6658" s="3">
        <v>2.0</v>
      </c>
      <c r="K6658" s="3">
        <v>12.0</v>
      </c>
      <c r="L6658" s="4" t="s">
        <v>41561</v>
      </c>
      <c r="M6658" s="2" t="s">
        <v>41562</v>
      </c>
      <c r="N6658" s="2" t="s">
        <v>41563</v>
      </c>
      <c r="O6658" s="4" t="s">
        <v>41564</v>
      </c>
      <c r="P6658" s="2" t="s">
        <v>41565</v>
      </c>
      <c r="Q6658" s="2" t="s">
        <v>6654</v>
      </c>
      <c r="R6658" s="2" t="s">
        <v>64</v>
      </c>
      <c r="S6658" s="4" t="s">
        <v>41566</v>
      </c>
      <c r="T6658" s="2" t="s">
        <v>66</v>
      </c>
      <c r="U6658" s="4" t="s">
        <v>31</v>
      </c>
      <c r="V6658" s="2" t="s">
        <v>991</v>
      </c>
      <c r="W6658" s="2" t="s">
        <v>41567</v>
      </c>
      <c r="X6658" s="5" t="str">
        <f>HYPERLINK("https://my.pitchbook.com?p=191870-02P","View People Online")</f>
        <v>View People Online</v>
      </c>
    </row>
    <row r="6659">
      <c r="A6659" s="6" t="s">
        <v>41568</v>
      </c>
      <c r="B6659" s="6" t="s">
        <v>41569</v>
      </c>
      <c r="C6659" s="6" t="s">
        <v>41570</v>
      </c>
      <c r="D6659" s="6" t="s">
        <v>41571</v>
      </c>
      <c r="E6659" s="6" t="s">
        <v>41559</v>
      </c>
      <c r="F6659" s="6" t="s">
        <v>674</v>
      </c>
      <c r="G6659" s="6" t="s">
        <v>41572</v>
      </c>
      <c r="H6659" s="7">
        <v>1.0</v>
      </c>
      <c r="I6659" s="7">
        <v>9.0</v>
      </c>
      <c r="J6659" s="7">
        <v>1.0</v>
      </c>
      <c r="K6659" s="7">
        <v>6.0</v>
      </c>
      <c r="L6659" s="8" t="s">
        <v>31</v>
      </c>
      <c r="M6659" s="6" t="s">
        <v>41573</v>
      </c>
      <c r="N6659" s="6" t="s">
        <v>155</v>
      </c>
      <c r="O6659" s="8" t="s">
        <v>156</v>
      </c>
      <c r="P6659" s="6" t="s">
        <v>41574</v>
      </c>
      <c r="Q6659" s="6" t="s">
        <v>31</v>
      </c>
      <c r="R6659" s="6" t="s">
        <v>64</v>
      </c>
      <c r="S6659" s="8" t="s">
        <v>5588</v>
      </c>
      <c r="T6659" s="6" t="s">
        <v>66</v>
      </c>
      <c r="U6659" s="8" t="s">
        <v>31</v>
      </c>
      <c r="V6659" s="6" t="s">
        <v>1172</v>
      </c>
      <c r="W6659" s="6" t="s">
        <v>41559</v>
      </c>
      <c r="X6659" s="9" t="str">
        <f>HYPERLINK("https://my.pitchbook.com?p=114345-10P","View People Online")</f>
        <v>View People Online</v>
      </c>
    </row>
    <row r="6660">
      <c r="A6660" s="10" t="s">
        <v>41575</v>
      </c>
      <c r="B6660" s="10" t="s">
        <v>41576</v>
      </c>
      <c r="C6660" s="10" t="s">
        <v>14994</v>
      </c>
      <c r="D6660" s="10" t="s">
        <v>39339</v>
      </c>
      <c r="E6660" s="10" t="s">
        <v>41577</v>
      </c>
      <c r="F6660" s="10" t="s">
        <v>371</v>
      </c>
      <c r="G6660" s="10" t="s">
        <v>41578</v>
      </c>
      <c r="H6660" s="11" t="s">
        <v>31</v>
      </c>
      <c r="I6660" s="11">
        <v>1.0</v>
      </c>
      <c r="J6660" s="11">
        <v>1.0</v>
      </c>
      <c r="K6660" s="11" t="s">
        <v>31</v>
      </c>
      <c r="L6660" s="12" t="s">
        <v>41579</v>
      </c>
      <c r="M6660" s="10" t="s">
        <v>41580</v>
      </c>
      <c r="N6660" s="10" t="s">
        <v>1348</v>
      </c>
      <c r="O6660" s="12" t="s">
        <v>1349</v>
      </c>
      <c r="P6660" s="10" t="s">
        <v>31511</v>
      </c>
      <c r="Q6660" s="10" t="s">
        <v>11032</v>
      </c>
      <c r="R6660" s="10" t="s">
        <v>1018</v>
      </c>
      <c r="S6660" s="12" t="s">
        <v>31513</v>
      </c>
      <c r="T6660" s="10" t="s">
        <v>1019</v>
      </c>
      <c r="U6660" s="12" t="s">
        <v>41581</v>
      </c>
      <c r="V6660" s="10" t="s">
        <v>41582</v>
      </c>
      <c r="W6660" s="10" t="s">
        <v>41577</v>
      </c>
      <c r="X6660" s="13" t="str">
        <f>HYPERLINK("https://my.pitchbook.com?p=447216-85P","View People Online")</f>
        <v>View People Online</v>
      </c>
    </row>
    <row r="6661">
      <c r="A6661" s="6" t="s">
        <v>41583</v>
      </c>
      <c r="B6661" s="6" t="s">
        <v>41584</v>
      </c>
      <c r="C6661" s="6" t="s">
        <v>16279</v>
      </c>
      <c r="D6661" s="6" t="s">
        <v>41585</v>
      </c>
      <c r="E6661" s="6" t="s">
        <v>41577</v>
      </c>
      <c r="F6661" s="6" t="s">
        <v>41586</v>
      </c>
      <c r="G6661" s="6" t="s">
        <v>41587</v>
      </c>
      <c r="H6661" s="7" t="s">
        <v>31</v>
      </c>
      <c r="I6661" s="7">
        <v>1.0</v>
      </c>
      <c r="J6661" s="7">
        <v>1.0</v>
      </c>
      <c r="K6661" s="7" t="s">
        <v>31</v>
      </c>
      <c r="L6661" s="8" t="s">
        <v>41579</v>
      </c>
      <c r="M6661" s="6" t="s">
        <v>41588</v>
      </c>
      <c r="N6661" s="6" t="s">
        <v>1348</v>
      </c>
      <c r="O6661" s="8" t="s">
        <v>1349</v>
      </c>
      <c r="P6661" s="6" t="s">
        <v>31511</v>
      </c>
      <c r="Q6661" s="6" t="s">
        <v>11032</v>
      </c>
      <c r="R6661" s="6" t="s">
        <v>1018</v>
      </c>
      <c r="S6661" s="8" t="s">
        <v>31513</v>
      </c>
      <c r="T6661" s="6" t="s">
        <v>1019</v>
      </c>
      <c r="U6661" s="8" t="s">
        <v>41581</v>
      </c>
      <c r="V6661" s="6" t="s">
        <v>41589</v>
      </c>
      <c r="W6661" s="6" t="s">
        <v>41577</v>
      </c>
      <c r="X6661" s="9" t="str">
        <f>HYPERLINK("https://my.pitchbook.com?p=447213-97P","View People Online")</f>
        <v>View People Online</v>
      </c>
    </row>
    <row r="6662">
      <c r="A6662" s="10" t="s">
        <v>41590</v>
      </c>
      <c r="B6662" s="10" t="s">
        <v>41591</v>
      </c>
      <c r="C6662" s="10" t="s">
        <v>41592</v>
      </c>
      <c r="D6662" s="10" t="s">
        <v>41593</v>
      </c>
      <c r="E6662" s="10" t="s">
        <v>41577</v>
      </c>
      <c r="F6662" s="10" t="s">
        <v>548</v>
      </c>
      <c r="G6662" s="10" t="s">
        <v>41594</v>
      </c>
      <c r="H6662" s="11" t="s">
        <v>31</v>
      </c>
      <c r="I6662" s="11">
        <v>1.0</v>
      </c>
      <c r="J6662" s="11">
        <v>1.0</v>
      </c>
      <c r="K6662" s="11" t="s">
        <v>31</v>
      </c>
      <c r="L6662" s="12" t="s">
        <v>41579</v>
      </c>
      <c r="M6662" s="10" t="s">
        <v>41595</v>
      </c>
      <c r="N6662" s="10" t="s">
        <v>1348</v>
      </c>
      <c r="O6662" s="12" t="s">
        <v>1349</v>
      </c>
      <c r="P6662" s="10" t="s">
        <v>31511</v>
      </c>
      <c r="Q6662" s="10" t="s">
        <v>11032</v>
      </c>
      <c r="R6662" s="10" t="s">
        <v>1018</v>
      </c>
      <c r="S6662" s="12" t="s">
        <v>31513</v>
      </c>
      <c r="T6662" s="10" t="s">
        <v>1019</v>
      </c>
      <c r="U6662" s="12" t="s">
        <v>41581</v>
      </c>
      <c r="V6662" s="10" t="s">
        <v>41596</v>
      </c>
      <c r="W6662" s="10" t="s">
        <v>41577</v>
      </c>
      <c r="X6662" s="13" t="str">
        <f>HYPERLINK("https://my.pitchbook.com?p=447220-45P","View People Online")</f>
        <v>View People Online</v>
      </c>
    </row>
    <row r="6663">
      <c r="A6663" s="6" t="s">
        <v>41597</v>
      </c>
      <c r="B6663" s="6" t="s">
        <v>41598</v>
      </c>
      <c r="C6663" s="6" t="s">
        <v>9185</v>
      </c>
      <c r="D6663" s="6" t="s">
        <v>41599</v>
      </c>
      <c r="E6663" s="6" t="s">
        <v>41577</v>
      </c>
      <c r="F6663" s="6" t="s">
        <v>1459</v>
      </c>
      <c r="G6663" s="6" t="s">
        <v>41600</v>
      </c>
      <c r="H6663" s="7">
        <v>1.0</v>
      </c>
      <c r="I6663" s="7">
        <v>2.0</v>
      </c>
      <c r="J6663" s="7">
        <v>1.0</v>
      </c>
      <c r="K6663" s="7" t="s">
        <v>31</v>
      </c>
      <c r="L6663" s="8" t="s">
        <v>41579</v>
      </c>
      <c r="M6663" s="6" t="s">
        <v>41601</v>
      </c>
      <c r="N6663" s="6" t="s">
        <v>1348</v>
      </c>
      <c r="O6663" s="8" t="s">
        <v>1349</v>
      </c>
      <c r="P6663" s="6" t="s">
        <v>31511</v>
      </c>
      <c r="Q6663" s="6" t="s">
        <v>11032</v>
      </c>
      <c r="R6663" s="6" t="s">
        <v>1018</v>
      </c>
      <c r="S6663" s="8" t="s">
        <v>31513</v>
      </c>
      <c r="T6663" s="6" t="s">
        <v>1019</v>
      </c>
      <c r="U6663" s="8" t="s">
        <v>41581</v>
      </c>
      <c r="V6663" s="6" t="s">
        <v>1612</v>
      </c>
      <c r="W6663" s="6" t="s">
        <v>41577</v>
      </c>
      <c r="X6663" s="9" t="str">
        <f>HYPERLINK("https://my.pitchbook.com?p=237719-98P","View People Online")</f>
        <v>View People Online</v>
      </c>
    </row>
    <row r="6664">
      <c r="A6664" s="10" t="s">
        <v>41602</v>
      </c>
      <c r="B6664" s="10" t="s">
        <v>41603</v>
      </c>
      <c r="C6664" s="10" t="s">
        <v>41604</v>
      </c>
      <c r="D6664" s="10" t="s">
        <v>41605</v>
      </c>
      <c r="E6664" s="10" t="s">
        <v>41577</v>
      </c>
      <c r="F6664" s="10" t="s">
        <v>41606</v>
      </c>
      <c r="G6664" s="10" t="s">
        <v>41607</v>
      </c>
      <c r="H6664" s="11" t="s">
        <v>31</v>
      </c>
      <c r="I6664" s="11">
        <v>1.0</v>
      </c>
      <c r="J6664" s="11">
        <v>1.0</v>
      </c>
      <c r="K6664" s="11" t="s">
        <v>31</v>
      </c>
      <c r="L6664" s="12" t="s">
        <v>41579</v>
      </c>
      <c r="M6664" s="10" t="s">
        <v>41608</v>
      </c>
      <c r="N6664" s="10" t="s">
        <v>1348</v>
      </c>
      <c r="O6664" s="12" t="s">
        <v>1349</v>
      </c>
      <c r="P6664" s="10" t="s">
        <v>31511</v>
      </c>
      <c r="Q6664" s="10" t="s">
        <v>11032</v>
      </c>
      <c r="R6664" s="10" t="s">
        <v>1018</v>
      </c>
      <c r="S6664" s="12" t="s">
        <v>31513</v>
      </c>
      <c r="T6664" s="10" t="s">
        <v>1019</v>
      </c>
      <c r="U6664" s="12" t="s">
        <v>41581</v>
      </c>
      <c r="V6664" s="10" t="s">
        <v>41606</v>
      </c>
      <c r="W6664" s="10" t="s">
        <v>41577</v>
      </c>
      <c r="X6664" s="13" t="str">
        <f>HYPERLINK("https://my.pitchbook.com?p=260646-85P","View People Online")</f>
        <v>View People Online</v>
      </c>
    </row>
    <row r="6665">
      <c r="A6665" s="6" t="s">
        <v>41609</v>
      </c>
      <c r="B6665" s="6" t="s">
        <v>41610</v>
      </c>
      <c r="C6665" s="6" t="s">
        <v>2572</v>
      </c>
      <c r="D6665" s="6" t="s">
        <v>41611</v>
      </c>
      <c r="E6665" s="6" t="s">
        <v>41612</v>
      </c>
      <c r="F6665" s="6" t="s">
        <v>502</v>
      </c>
      <c r="G6665" s="6" t="s">
        <v>41613</v>
      </c>
      <c r="H6665" s="7" t="s">
        <v>31</v>
      </c>
      <c r="I6665" s="7">
        <v>1.0</v>
      </c>
      <c r="J6665" s="7">
        <v>1.0</v>
      </c>
      <c r="K6665" s="7" t="s">
        <v>31</v>
      </c>
      <c r="L6665" s="8" t="s">
        <v>41614</v>
      </c>
      <c r="M6665" s="6" t="s">
        <v>41615</v>
      </c>
      <c r="N6665" s="6" t="s">
        <v>155</v>
      </c>
      <c r="O6665" s="8" t="s">
        <v>156</v>
      </c>
      <c r="P6665" s="6" t="s">
        <v>41616</v>
      </c>
      <c r="Q6665" s="6" t="s">
        <v>1280</v>
      </c>
      <c r="R6665" s="6" t="s">
        <v>64</v>
      </c>
      <c r="S6665" s="8" t="s">
        <v>1339</v>
      </c>
      <c r="T6665" s="6" t="s">
        <v>66</v>
      </c>
      <c r="U6665" s="8" t="s">
        <v>41617</v>
      </c>
      <c r="V6665" s="6" t="s">
        <v>502</v>
      </c>
      <c r="W6665" s="6" t="s">
        <v>41612</v>
      </c>
      <c r="X6665" s="9" t="str">
        <f>HYPERLINK("https://my.pitchbook.com?p=38793-70P","View People Online")</f>
        <v>View People Online</v>
      </c>
    </row>
    <row r="6666">
      <c r="A6666" s="10" t="s">
        <v>41618</v>
      </c>
      <c r="B6666" s="10" t="s">
        <v>41619</v>
      </c>
      <c r="C6666" s="10" t="s">
        <v>4128</v>
      </c>
      <c r="D6666" s="10" t="s">
        <v>8016</v>
      </c>
      <c r="E6666" s="10" t="s">
        <v>41612</v>
      </c>
      <c r="F6666" s="10" t="s">
        <v>221</v>
      </c>
      <c r="G6666" s="10" t="s">
        <v>41620</v>
      </c>
      <c r="H6666" s="11" t="s">
        <v>31</v>
      </c>
      <c r="I6666" s="11">
        <v>1.0</v>
      </c>
      <c r="J6666" s="11">
        <v>1.0</v>
      </c>
      <c r="K6666" s="11" t="s">
        <v>31</v>
      </c>
      <c r="L6666" s="12" t="s">
        <v>41614</v>
      </c>
      <c r="M6666" s="10" t="s">
        <v>41621</v>
      </c>
      <c r="N6666" s="10" t="s">
        <v>155</v>
      </c>
      <c r="O6666" s="12" t="s">
        <v>156</v>
      </c>
      <c r="P6666" s="10" t="s">
        <v>41616</v>
      </c>
      <c r="Q6666" s="10" t="s">
        <v>1280</v>
      </c>
      <c r="R6666" s="10" t="s">
        <v>64</v>
      </c>
      <c r="S6666" s="12" t="s">
        <v>1339</v>
      </c>
      <c r="T6666" s="10" t="s">
        <v>66</v>
      </c>
      <c r="U6666" s="12" t="s">
        <v>41617</v>
      </c>
      <c r="V6666" s="10" t="s">
        <v>221</v>
      </c>
      <c r="W6666" s="10" t="s">
        <v>41612</v>
      </c>
      <c r="X6666" s="13" t="str">
        <f>HYPERLINK("https://my.pitchbook.com?p=409121-11P","View People Online")</f>
        <v>View People Online</v>
      </c>
    </row>
    <row r="6667">
      <c r="A6667" s="6" t="s">
        <v>41622</v>
      </c>
      <c r="B6667" s="6" t="s">
        <v>41623</v>
      </c>
      <c r="C6667" s="6" t="s">
        <v>13929</v>
      </c>
      <c r="D6667" s="6" t="s">
        <v>41624</v>
      </c>
      <c r="E6667" s="6" t="s">
        <v>41612</v>
      </c>
      <c r="F6667" s="6" t="s">
        <v>1283</v>
      </c>
      <c r="G6667" s="6" t="s">
        <v>41625</v>
      </c>
      <c r="H6667" s="7" t="s">
        <v>31</v>
      </c>
      <c r="I6667" s="7">
        <v>1.0</v>
      </c>
      <c r="J6667" s="7">
        <v>1.0</v>
      </c>
      <c r="K6667" s="7" t="s">
        <v>31</v>
      </c>
      <c r="L6667" s="8" t="s">
        <v>41614</v>
      </c>
      <c r="M6667" s="6" t="s">
        <v>41626</v>
      </c>
      <c r="N6667" s="6" t="s">
        <v>155</v>
      </c>
      <c r="O6667" s="8" t="s">
        <v>156</v>
      </c>
      <c r="P6667" s="6" t="s">
        <v>41616</v>
      </c>
      <c r="Q6667" s="6" t="s">
        <v>1280</v>
      </c>
      <c r="R6667" s="6" t="s">
        <v>64</v>
      </c>
      <c r="S6667" s="8" t="s">
        <v>1339</v>
      </c>
      <c r="T6667" s="6" t="s">
        <v>66</v>
      </c>
      <c r="U6667" s="8" t="s">
        <v>41617</v>
      </c>
      <c r="V6667" s="6" t="s">
        <v>41627</v>
      </c>
      <c r="W6667" s="6" t="s">
        <v>41612</v>
      </c>
      <c r="X6667" s="9" t="str">
        <f>HYPERLINK("https://my.pitchbook.com?p=100333-90P","View People Online")</f>
        <v>View People Online</v>
      </c>
    </row>
    <row r="6668">
      <c r="A6668" s="2" t="s">
        <v>41628</v>
      </c>
      <c r="B6668" s="2" t="s">
        <v>41629</v>
      </c>
      <c r="C6668" s="2" t="s">
        <v>7252</v>
      </c>
      <c r="D6668" s="2" t="s">
        <v>41630</v>
      </c>
      <c r="E6668" s="2" t="s">
        <v>41612</v>
      </c>
      <c r="F6668" s="2" t="s">
        <v>221</v>
      </c>
      <c r="G6668" s="2" t="s">
        <v>41631</v>
      </c>
      <c r="H6668" s="3" t="s">
        <v>31</v>
      </c>
      <c r="I6668" s="3">
        <v>1.0</v>
      </c>
      <c r="J6668" s="3">
        <v>1.0</v>
      </c>
      <c r="K6668" s="3" t="s">
        <v>31</v>
      </c>
      <c r="L6668" s="4" t="s">
        <v>41614</v>
      </c>
      <c r="M6668" s="2" t="s">
        <v>41632</v>
      </c>
      <c r="N6668" s="2" t="s">
        <v>155</v>
      </c>
      <c r="O6668" s="4" t="s">
        <v>156</v>
      </c>
      <c r="P6668" s="2" t="s">
        <v>41616</v>
      </c>
      <c r="Q6668" s="2" t="s">
        <v>1280</v>
      </c>
      <c r="R6668" s="2" t="s">
        <v>64</v>
      </c>
      <c r="S6668" s="4" t="s">
        <v>1339</v>
      </c>
      <c r="T6668" s="2" t="s">
        <v>66</v>
      </c>
      <c r="U6668" s="4" t="s">
        <v>41617</v>
      </c>
      <c r="V6668" s="2" t="s">
        <v>221</v>
      </c>
      <c r="W6668" s="2" t="s">
        <v>41612</v>
      </c>
      <c r="X6668" s="5" t="str">
        <f>HYPERLINK("https://my.pitchbook.com?p=334910-53P","View People Online")</f>
        <v>View People Online</v>
      </c>
    </row>
    <row r="6669">
      <c r="A6669" s="14" t="s">
        <v>41633</v>
      </c>
      <c r="B6669" s="14" t="s">
        <v>41634</v>
      </c>
      <c r="C6669" s="14" t="s">
        <v>1929</v>
      </c>
      <c r="D6669" s="14" t="s">
        <v>41635</v>
      </c>
      <c r="E6669" s="14" t="s">
        <v>41612</v>
      </c>
      <c r="F6669" s="14" t="s">
        <v>1283</v>
      </c>
      <c r="G6669" s="14" t="s">
        <v>41636</v>
      </c>
      <c r="H6669" s="15" t="s">
        <v>31</v>
      </c>
      <c r="I6669" s="15">
        <v>6.0</v>
      </c>
      <c r="J6669" s="15">
        <v>1.0</v>
      </c>
      <c r="K6669" s="15">
        <v>4.0</v>
      </c>
      <c r="L6669" s="16" t="s">
        <v>41614</v>
      </c>
      <c r="M6669" s="14" t="s">
        <v>41637</v>
      </c>
      <c r="N6669" s="14" t="s">
        <v>155</v>
      </c>
      <c r="O6669" s="16" t="s">
        <v>156</v>
      </c>
      <c r="P6669" s="14" t="s">
        <v>41616</v>
      </c>
      <c r="Q6669" s="14" t="s">
        <v>1280</v>
      </c>
      <c r="R6669" s="14" t="s">
        <v>64</v>
      </c>
      <c r="S6669" s="16" t="s">
        <v>1339</v>
      </c>
      <c r="T6669" s="14" t="s">
        <v>66</v>
      </c>
      <c r="U6669" s="16" t="s">
        <v>41617</v>
      </c>
      <c r="V6669" s="14" t="s">
        <v>1283</v>
      </c>
      <c r="W6669" s="14" t="s">
        <v>41612</v>
      </c>
      <c r="X6669" s="17" t="str">
        <f>HYPERLINK("https://my.pitchbook.com?p=99010-63P","View People Online")</f>
        <v>View People Online</v>
      </c>
    </row>
    <row r="6670">
      <c r="A6670" s="10" t="s">
        <v>41638</v>
      </c>
      <c r="B6670" s="10" t="s">
        <v>41639</v>
      </c>
      <c r="C6670" s="10" t="s">
        <v>6892</v>
      </c>
      <c r="D6670" s="10" t="s">
        <v>4359</v>
      </c>
      <c r="E6670" s="10" t="s">
        <v>41612</v>
      </c>
      <c r="F6670" s="10" t="s">
        <v>221</v>
      </c>
      <c r="G6670" s="10" t="s">
        <v>41640</v>
      </c>
      <c r="H6670" s="11" t="s">
        <v>31</v>
      </c>
      <c r="I6670" s="11">
        <v>1.0</v>
      </c>
      <c r="J6670" s="11">
        <v>1.0</v>
      </c>
      <c r="K6670" s="11" t="s">
        <v>31</v>
      </c>
      <c r="L6670" s="12" t="s">
        <v>41641</v>
      </c>
      <c r="M6670" s="10" t="s">
        <v>41642</v>
      </c>
      <c r="N6670" s="10" t="s">
        <v>28460</v>
      </c>
      <c r="O6670" s="12" t="s">
        <v>28461</v>
      </c>
      <c r="P6670" s="10" t="s">
        <v>41643</v>
      </c>
      <c r="Q6670" s="10" t="s">
        <v>41644</v>
      </c>
      <c r="R6670" s="10" t="s">
        <v>616</v>
      </c>
      <c r="S6670" s="12" t="s">
        <v>28462</v>
      </c>
      <c r="T6670" s="10" t="s">
        <v>66</v>
      </c>
      <c r="U6670" s="12" t="s">
        <v>31</v>
      </c>
      <c r="V6670" s="10" t="s">
        <v>221</v>
      </c>
      <c r="W6670" s="10" t="s">
        <v>41612</v>
      </c>
      <c r="X6670" s="13" t="str">
        <f>HYPERLINK("https://my.pitchbook.com?p=310691-53P","View People Online")</f>
        <v>View People Online</v>
      </c>
    </row>
    <row r="6671">
      <c r="A6671" s="6" t="s">
        <v>41645</v>
      </c>
      <c r="B6671" s="6" t="s">
        <v>41646</v>
      </c>
      <c r="C6671" s="6" t="s">
        <v>285</v>
      </c>
      <c r="D6671" s="6" t="s">
        <v>41647</v>
      </c>
      <c r="E6671" s="6" t="s">
        <v>41612</v>
      </c>
      <c r="F6671" s="6" t="s">
        <v>371</v>
      </c>
      <c r="G6671" s="6" t="s">
        <v>41648</v>
      </c>
      <c r="H6671" s="7" t="s">
        <v>31</v>
      </c>
      <c r="I6671" s="7">
        <v>1.0</v>
      </c>
      <c r="J6671" s="7">
        <v>1.0</v>
      </c>
      <c r="K6671" s="7" t="s">
        <v>31</v>
      </c>
      <c r="L6671" s="8" t="s">
        <v>41614</v>
      </c>
      <c r="M6671" s="6" t="s">
        <v>41649</v>
      </c>
      <c r="N6671" s="6" t="s">
        <v>155</v>
      </c>
      <c r="O6671" s="8" t="s">
        <v>156</v>
      </c>
      <c r="P6671" s="6" t="s">
        <v>41616</v>
      </c>
      <c r="Q6671" s="6" t="s">
        <v>1280</v>
      </c>
      <c r="R6671" s="6" t="s">
        <v>64</v>
      </c>
      <c r="S6671" s="8" t="s">
        <v>1339</v>
      </c>
      <c r="T6671" s="6" t="s">
        <v>66</v>
      </c>
      <c r="U6671" s="8" t="s">
        <v>41617</v>
      </c>
      <c r="V6671" s="6" t="s">
        <v>3808</v>
      </c>
      <c r="W6671" s="6" t="s">
        <v>41612</v>
      </c>
      <c r="X6671" s="9" t="str">
        <f>HYPERLINK("https://my.pitchbook.com?p=259644-34P","View People Online")</f>
        <v>View People Online</v>
      </c>
    </row>
    <row r="6672">
      <c r="A6672" s="2" t="s">
        <v>41650</v>
      </c>
      <c r="B6672" s="2" t="s">
        <v>41651</v>
      </c>
      <c r="C6672" s="2" t="s">
        <v>84</v>
      </c>
      <c r="D6672" s="2" t="s">
        <v>41652</v>
      </c>
      <c r="E6672" s="2" t="s">
        <v>41612</v>
      </c>
      <c r="F6672" s="2" t="s">
        <v>201</v>
      </c>
      <c r="G6672" s="2" t="s">
        <v>41653</v>
      </c>
      <c r="H6672" s="3" t="s">
        <v>31</v>
      </c>
      <c r="I6672" s="3">
        <v>1.0</v>
      </c>
      <c r="J6672" s="3">
        <v>1.0</v>
      </c>
      <c r="K6672" s="3" t="s">
        <v>31</v>
      </c>
      <c r="L6672" s="4" t="s">
        <v>41614</v>
      </c>
      <c r="M6672" s="2" t="s">
        <v>41654</v>
      </c>
      <c r="N6672" s="2" t="s">
        <v>155</v>
      </c>
      <c r="O6672" s="4" t="s">
        <v>156</v>
      </c>
      <c r="P6672" s="2" t="s">
        <v>41616</v>
      </c>
      <c r="Q6672" s="2" t="s">
        <v>1280</v>
      </c>
      <c r="R6672" s="2" t="s">
        <v>64</v>
      </c>
      <c r="S6672" s="4" t="s">
        <v>1339</v>
      </c>
      <c r="T6672" s="2" t="s">
        <v>66</v>
      </c>
      <c r="U6672" s="4" t="s">
        <v>41617</v>
      </c>
      <c r="V6672" s="2" t="s">
        <v>41655</v>
      </c>
      <c r="W6672" s="2" t="s">
        <v>41612</v>
      </c>
      <c r="X6672" s="5" t="str">
        <f>HYPERLINK("https://my.pitchbook.com?p=310690-27P","View People Online")</f>
        <v>View People Online</v>
      </c>
    </row>
    <row r="6673">
      <c r="A6673" s="6" t="s">
        <v>41656</v>
      </c>
      <c r="B6673" s="6" t="s">
        <v>41657</v>
      </c>
      <c r="C6673" s="6" t="s">
        <v>41658</v>
      </c>
      <c r="D6673" s="6" t="s">
        <v>41659</v>
      </c>
      <c r="E6673" s="6" t="s">
        <v>41612</v>
      </c>
      <c r="F6673" s="6" t="s">
        <v>371</v>
      </c>
      <c r="G6673" s="6" t="s">
        <v>41660</v>
      </c>
      <c r="H6673" s="7" t="s">
        <v>31</v>
      </c>
      <c r="I6673" s="7">
        <v>1.0</v>
      </c>
      <c r="J6673" s="7">
        <v>1.0</v>
      </c>
      <c r="K6673" s="7" t="s">
        <v>31</v>
      </c>
      <c r="L6673" s="8" t="s">
        <v>41614</v>
      </c>
      <c r="M6673" s="6" t="s">
        <v>41661</v>
      </c>
      <c r="N6673" s="6" t="s">
        <v>155</v>
      </c>
      <c r="O6673" s="8" t="s">
        <v>156</v>
      </c>
      <c r="P6673" s="6" t="s">
        <v>41616</v>
      </c>
      <c r="Q6673" s="6" t="s">
        <v>1280</v>
      </c>
      <c r="R6673" s="6" t="s">
        <v>64</v>
      </c>
      <c r="S6673" s="8" t="s">
        <v>1339</v>
      </c>
      <c r="T6673" s="6" t="s">
        <v>66</v>
      </c>
      <c r="U6673" s="8" t="s">
        <v>41617</v>
      </c>
      <c r="V6673" s="6" t="s">
        <v>41060</v>
      </c>
      <c r="W6673" s="6" t="s">
        <v>41612</v>
      </c>
      <c r="X6673" s="9" t="str">
        <f>HYPERLINK("https://my.pitchbook.com?p=241776-19P","View People Online")</f>
        <v>View People Online</v>
      </c>
    </row>
    <row r="6674">
      <c r="A6674" s="2" t="s">
        <v>41662</v>
      </c>
      <c r="B6674" s="2" t="s">
        <v>41663</v>
      </c>
      <c r="C6674" s="2" t="s">
        <v>1588</v>
      </c>
      <c r="D6674" s="2" t="s">
        <v>41664</v>
      </c>
      <c r="E6674" s="2" t="s">
        <v>41612</v>
      </c>
      <c r="F6674" s="2" t="s">
        <v>201</v>
      </c>
      <c r="G6674" s="2" t="s">
        <v>41665</v>
      </c>
      <c r="H6674" s="3" t="s">
        <v>31</v>
      </c>
      <c r="I6674" s="3">
        <v>1.0</v>
      </c>
      <c r="J6674" s="3">
        <v>1.0</v>
      </c>
      <c r="K6674" s="3" t="s">
        <v>31</v>
      </c>
      <c r="L6674" s="4" t="s">
        <v>41614</v>
      </c>
      <c r="M6674" s="2" t="s">
        <v>41666</v>
      </c>
      <c r="N6674" s="2" t="s">
        <v>155</v>
      </c>
      <c r="O6674" s="4" t="s">
        <v>156</v>
      </c>
      <c r="P6674" s="2" t="s">
        <v>41616</v>
      </c>
      <c r="Q6674" s="2" t="s">
        <v>1280</v>
      </c>
      <c r="R6674" s="2" t="s">
        <v>64</v>
      </c>
      <c r="S6674" s="4" t="s">
        <v>1339</v>
      </c>
      <c r="T6674" s="2" t="s">
        <v>66</v>
      </c>
      <c r="U6674" s="4" t="s">
        <v>41617</v>
      </c>
      <c r="V6674" s="2" t="s">
        <v>41667</v>
      </c>
      <c r="W6674" s="2" t="s">
        <v>41612</v>
      </c>
      <c r="X6674" s="5" t="str">
        <f>HYPERLINK("https://my.pitchbook.com?p=334911-70P","View People Online")</f>
        <v>View People Online</v>
      </c>
    </row>
    <row r="6675">
      <c r="A6675" s="14" t="s">
        <v>41668</v>
      </c>
      <c r="B6675" s="14" t="s">
        <v>41669</v>
      </c>
      <c r="C6675" s="14" t="s">
        <v>41670</v>
      </c>
      <c r="D6675" s="14" t="s">
        <v>3637</v>
      </c>
      <c r="E6675" s="14" t="s">
        <v>41612</v>
      </c>
      <c r="F6675" s="14" t="s">
        <v>1283</v>
      </c>
      <c r="G6675" s="14" t="s">
        <v>41671</v>
      </c>
      <c r="H6675" s="15">
        <v>2.0</v>
      </c>
      <c r="I6675" s="15">
        <v>7.0</v>
      </c>
      <c r="J6675" s="15">
        <v>1.0</v>
      </c>
      <c r="K6675" s="15">
        <v>4.0</v>
      </c>
      <c r="L6675" s="16" t="s">
        <v>41614</v>
      </c>
      <c r="M6675" s="14" t="s">
        <v>41672</v>
      </c>
      <c r="N6675" s="14" t="s">
        <v>155</v>
      </c>
      <c r="O6675" s="16" t="s">
        <v>156</v>
      </c>
      <c r="P6675" s="14" t="s">
        <v>41616</v>
      </c>
      <c r="Q6675" s="14" t="s">
        <v>1280</v>
      </c>
      <c r="R6675" s="14" t="s">
        <v>64</v>
      </c>
      <c r="S6675" s="16" t="s">
        <v>1339</v>
      </c>
      <c r="T6675" s="14" t="s">
        <v>66</v>
      </c>
      <c r="U6675" s="16" t="s">
        <v>41617</v>
      </c>
      <c r="V6675" s="14" t="s">
        <v>1283</v>
      </c>
      <c r="W6675" s="14" t="s">
        <v>41612</v>
      </c>
      <c r="X6675" s="17" t="str">
        <f>HYPERLINK("https://my.pitchbook.com?p=126483-58P","View People Online")</f>
        <v>View People Online</v>
      </c>
    </row>
    <row r="6676">
      <c r="A6676" s="2" t="s">
        <v>41673</v>
      </c>
      <c r="B6676" s="2" t="s">
        <v>41674</v>
      </c>
      <c r="C6676" s="2" t="s">
        <v>8847</v>
      </c>
      <c r="D6676" s="2" t="s">
        <v>41675</v>
      </c>
      <c r="E6676" s="2" t="s">
        <v>41612</v>
      </c>
      <c r="F6676" s="2" t="s">
        <v>2652</v>
      </c>
      <c r="G6676" s="2" t="s">
        <v>41676</v>
      </c>
      <c r="H6676" s="3" t="s">
        <v>31</v>
      </c>
      <c r="I6676" s="3">
        <v>3.0</v>
      </c>
      <c r="J6676" s="3">
        <v>1.0</v>
      </c>
      <c r="K6676" s="3" t="s">
        <v>31</v>
      </c>
      <c r="L6676" s="4" t="s">
        <v>41677</v>
      </c>
      <c r="M6676" s="2" t="s">
        <v>41678</v>
      </c>
      <c r="N6676" s="2" t="s">
        <v>155</v>
      </c>
      <c r="O6676" s="4" t="s">
        <v>156</v>
      </c>
      <c r="P6676" s="2" t="s">
        <v>41616</v>
      </c>
      <c r="Q6676" s="2" t="s">
        <v>1280</v>
      </c>
      <c r="R6676" s="2" t="s">
        <v>64</v>
      </c>
      <c r="S6676" s="4" t="s">
        <v>1339</v>
      </c>
      <c r="T6676" s="2" t="s">
        <v>66</v>
      </c>
      <c r="U6676" s="4" t="s">
        <v>41617</v>
      </c>
      <c r="V6676" s="2" t="s">
        <v>41679</v>
      </c>
      <c r="W6676" s="2" t="s">
        <v>41612</v>
      </c>
      <c r="X6676" s="5" t="str">
        <f>HYPERLINK("https://my.pitchbook.com?p=32584-33P","View People Online")</f>
        <v>View People Online</v>
      </c>
    </row>
    <row r="6677">
      <c r="A6677" s="6" t="s">
        <v>41680</v>
      </c>
      <c r="B6677" s="6" t="s">
        <v>41681</v>
      </c>
      <c r="C6677" s="6" t="s">
        <v>30657</v>
      </c>
      <c r="D6677" s="6" t="s">
        <v>41682</v>
      </c>
      <c r="E6677" s="6" t="s">
        <v>41612</v>
      </c>
      <c r="F6677" s="6" t="s">
        <v>1283</v>
      </c>
      <c r="G6677" s="6" t="s">
        <v>41683</v>
      </c>
      <c r="H6677" s="7">
        <v>1.0</v>
      </c>
      <c r="I6677" s="7">
        <v>2.0</v>
      </c>
      <c r="J6677" s="7">
        <v>1.0</v>
      </c>
      <c r="K6677" s="7" t="s">
        <v>31</v>
      </c>
      <c r="L6677" s="8" t="s">
        <v>41614</v>
      </c>
      <c r="M6677" s="6" t="s">
        <v>41684</v>
      </c>
      <c r="N6677" s="6" t="s">
        <v>155</v>
      </c>
      <c r="O6677" s="8" t="s">
        <v>156</v>
      </c>
      <c r="P6677" s="6" t="s">
        <v>41616</v>
      </c>
      <c r="Q6677" s="6" t="s">
        <v>1280</v>
      </c>
      <c r="R6677" s="6" t="s">
        <v>64</v>
      </c>
      <c r="S6677" s="8" t="s">
        <v>1339</v>
      </c>
      <c r="T6677" s="6" t="s">
        <v>66</v>
      </c>
      <c r="U6677" s="8" t="s">
        <v>41617</v>
      </c>
      <c r="V6677" s="6" t="s">
        <v>41627</v>
      </c>
      <c r="W6677" s="6" t="s">
        <v>41612</v>
      </c>
      <c r="X6677" s="9" t="str">
        <f>HYPERLINK("https://my.pitchbook.com?p=69023-62P","View People Online")</f>
        <v>View People Online</v>
      </c>
    </row>
    <row r="6678">
      <c r="A6678" s="10" t="s">
        <v>41685</v>
      </c>
      <c r="B6678" s="10" t="s">
        <v>41686</v>
      </c>
      <c r="C6678" s="10" t="s">
        <v>823</v>
      </c>
      <c r="D6678" s="10" t="s">
        <v>5959</v>
      </c>
      <c r="E6678" s="10" t="s">
        <v>41612</v>
      </c>
      <c r="F6678" s="10" t="s">
        <v>5708</v>
      </c>
      <c r="G6678" s="10" t="s">
        <v>41687</v>
      </c>
      <c r="H6678" s="11" t="s">
        <v>31</v>
      </c>
      <c r="I6678" s="11">
        <v>1.0</v>
      </c>
      <c r="J6678" s="11">
        <v>1.0</v>
      </c>
      <c r="K6678" s="11" t="s">
        <v>31</v>
      </c>
      <c r="L6678" s="12" t="s">
        <v>41614</v>
      </c>
      <c r="M6678" s="10" t="s">
        <v>41688</v>
      </c>
      <c r="N6678" s="10" t="s">
        <v>155</v>
      </c>
      <c r="O6678" s="12" t="s">
        <v>156</v>
      </c>
      <c r="P6678" s="10" t="s">
        <v>41616</v>
      </c>
      <c r="Q6678" s="10" t="s">
        <v>1280</v>
      </c>
      <c r="R6678" s="10" t="s">
        <v>64</v>
      </c>
      <c r="S6678" s="12" t="s">
        <v>1339</v>
      </c>
      <c r="T6678" s="10" t="s">
        <v>66</v>
      </c>
      <c r="U6678" s="12" t="s">
        <v>41617</v>
      </c>
      <c r="V6678" s="10" t="s">
        <v>41689</v>
      </c>
      <c r="W6678" s="10" t="s">
        <v>41612</v>
      </c>
      <c r="X6678" s="13" t="str">
        <f>HYPERLINK("https://my.pitchbook.com?p=383001-49P","View People Online")</f>
        <v>View People Online</v>
      </c>
    </row>
    <row r="6679">
      <c r="A6679" s="14" t="s">
        <v>41690</v>
      </c>
      <c r="B6679" s="14" t="s">
        <v>41691</v>
      </c>
      <c r="C6679" s="14" t="s">
        <v>10227</v>
      </c>
      <c r="D6679" s="14" t="s">
        <v>41692</v>
      </c>
      <c r="E6679" s="14" t="s">
        <v>41612</v>
      </c>
      <c r="F6679" s="14" t="s">
        <v>1167</v>
      </c>
      <c r="G6679" s="14" t="s">
        <v>41693</v>
      </c>
      <c r="H6679" s="15" t="s">
        <v>31</v>
      </c>
      <c r="I6679" s="15">
        <v>15.0</v>
      </c>
      <c r="J6679" s="15">
        <v>1.0</v>
      </c>
      <c r="K6679" s="15">
        <v>2.0</v>
      </c>
      <c r="L6679" s="16" t="s">
        <v>41694</v>
      </c>
      <c r="M6679" s="14" t="s">
        <v>41695</v>
      </c>
      <c r="N6679" s="14" t="s">
        <v>155</v>
      </c>
      <c r="O6679" s="16" t="s">
        <v>156</v>
      </c>
      <c r="P6679" s="14" t="s">
        <v>41616</v>
      </c>
      <c r="Q6679" s="14" t="s">
        <v>1280</v>
      </c>
      <c r="R6679" s="14" t="s">
        <v>64</v>
      </c>
      <c r="S6679" s="16" t="s">
        <v>1339</v>
      </c>
      <c r="T6679" s="14" t="s">
        <v>66</v>
      </c>
      <c r="U6679" s="16" t="s">
        <v>41617</v>
      </c>
      <c r="V6679" s="14" t="s">
        <v>558</v>
      </c>
      <c r="W6679" s="14" t="s">
        <v>41612</v>
      </c>
      <c r="X6679" s="17" t="str">
        <f>HYPERLINK("https://my.pitchbook.com?p=13466-26P","View People Online")</f>
        <v>View People Online</v>
      </c>
    </row>
    <row r="6680">
      <c r="A6680" s="10" t="s">
        <v>41696</v>
      </c>
      <c r="B6680" s="10" t="s">
        <v>41697</v>
      </c>
      <c r="C6680" s="10" t="s">
        <v>1616</v>
      </c>
      <c r="D6680" s="10" t="s">
        <v>5692</v>
      </c>
      <c r="E6680" s="10" t="s">
        <v>41612</v>
      </c>
      <c r="F6680" s="10" t="s">
        <v>318</v>
      </c>
      <c r="G6680" s="10" t="s">
        <v>41698</v>
      </c>
      <c r="H6680" s="11" t="s">
        <v>31</v>
      </c>
      <c r="I6680" s="11">
        <v>1.0</v>
      </c>
      <c r="J6680" s="11">
        <v>1.0</v>
      </c>
      <c r="K6680" s="11" t="s">
        <v>31</v>
      </c>
      <c r="L6680" s="12" t="s">
        <v>41614</v>
      </c>
      <c r="M6680" s="10" t="s">
        <v>41699</v>
      </c>
      <c r="N6680" s="10" t="s">
        <v>155</v>
      </c>
      <c r="O6680" s="12" t="s">
        <v>156</v>
      </c>
      <c r="P6680" s="10" t="s">
        <v>41616</v>
      </c>
      <c r="Q6680" s="10" t="s">
        <v>1280</v>
      </c>
      <c r="R6680" s="10" t="s">
        <v>64</v>
      </c>
      <c r="S6680" s="12" t="s">
        <v>1339</v>
      </c>
      <c r="T6680" s="10" t="s">
        <v>66</v>
      </c>
      <c r="U6680" s="12" t="s">
        <v>41617</v>
      </c>
      <c r="V6680" s="10" t="s">
        <v>31266</v>
      </c>
      <c r="W6680" s="10" t="s">
        <v>41612</v>
      </c>
      <c r="X6680" s="13" t="str">
        <f>HYPERLINK("https://my.pitchbook.com?p=286218-64P","View People Online")</f>
        <v>View People Online</v>
      </c>
    </row>
    <row r="6681">
      <c r="A6681" s="14" t="s">
        <v>41700</v>
      </c>
      <c r="B6681" s="14" t="s">
        <v>41701</v>
      </c>
      <c r="C6681" s="14" t="s">
        <v>1356</v>
      </c>
      <c r="D6681" s="14" t="s">
        <v>41702</v>
      </c>
      <c r="E6681" s="14" t="s">
        <v>41612</v>
      </c>
      <c r="F6681" s="14" t="s">
        <v>1283</v>
      </c>
      <c r="G6681" s="14" t="s">
        <v>41703</v>
      </c>
      <c r="H6681" s="15">
        <v>2.0</v>
      </c>
      <c r="I6681" s="15">
        <v>7.0</v>
      </c>
      <c r="J6681" s="15">
        <v>1.0</v>
      </c>
      <c r="K6681" s="15">
        <v>2.0</v>
      </c>
      <c r="L6681" s="16" t="s">
        <v>41614</v>
      </c>
      <c r="M6681" s="14" t="s">
        <v>41704</v>
      </c>
      <c r="N6681" s="14" t="s">
        <v>155</v>
      </c>
      <c r="O6681" s="16" t="s">
        <v>156</v>
      </c>
      <c r="P6681" s="14" t="s">
        <v>41616</v>
      </c>
      <c r="Q6681" s="14" t="s">
        <v>1280</v>
      </c>
      <c r="R6681" s="14" t="s">
        <v>64</v>
      </c>
      <c r="S6681" s="16" t="s">
        <v>1339</v>
      </c>
      <c r="T6681" s="14" t="s">
        <v>66</v>
      </c>
      <c r="U6681" s="16" t="s">
        <v>41617</v>
      </c>
      <c r="V6681" s="14" t="s">
        <v>41627</v>
      </c>
      <c r="W6681" s="14" t="s">
        <v>41612</v>
      </c>
      <c r="X6681" s="17" t="str">
        <f>HYPERLINK("https://my.pitchbook.com?p=43292-08P","View People Online")</f>
        <v>View People Online</v>
      </c>
    </row>
    <row r="6682">
      <c r="A6682" s="2" t="s">
        <v>41705</v>
      </c>
      <c r="B6682" s="2" t="s">
        <v>41706</v>
      </c>
      <c r="C6682" s="2" t="s">
        <v>3082</v>
      </c>
      <c r="D6682" s="2" t="s">
        <v>41707</v>
      </c>
      <c r="E6682" s="2" t="s">
        <v>41612</v>
      </c>
      <c r="F6682" s="2" t="s">
        <v>6993</v>
      </c>
      <c r="G6682" s="2" t="s">
        <v>41708</v>
      </c>
      <c r="H6682" s="3">
        <v>1.0</v>
      </c>
      <c r="I6682" s="3">
        <v>10.0</v>
      </c>
      <c r="J6682" s="3">
        <v>1.0</v>
      </c>
      <c r="K6682" s="3">
        <v>4.0</v>
      </c>
      <c r="L6682" s="4" t="s">
        <v>41614</v>
      </c>
      <c r="M6682" s="2" t="s">
        <v>41709</v>
      </c>
      <c r="N6682" s="2" t="s">
        <v>155</v>
      </c>
      <c r="O6682" s="4" t="s">
        <v>156</v>
      </c>
      <c r="P6682" s="2" t="s">
        <v>41616</v>
      </c>
      <c r="Q6682" s="2" t="s">
        <v>1280</v>
      </c>
      <c r="R6682" s="2" t="s">
        <v>64</v>
      </c>
      <c r="S6682" s="4" t="s">
        <v>1339</v>
      </c>
      <c r="T6682" s="2" t="s">
        <v>66</v>
      </c>
      <c r="U6682" s="4" t="s">
        <v>41617</v>
      </c>
      <c r="V6682" s="2" t="s">
        <v>41710</v>
      </c>
      <c r="W6682" s="2" t="s">
        <v>41612</v>
      </c>
      <c r="X6682" s="5" t="str">
        <f>HYPERLINK("https://my.pitchbook.com?p=13466-44P","View People Online")</f>
        <v>View People Online</v>
      </c>
    </row>
    <row r="6683">
      <c r="A6683" s="14" t="s">
        <v>41711</v>
      </c>
      <c r="B6683" s="14" t="s">
        <v>41712</v>
      </c>
      <c r="C6683" s="14" t="s">
        <v>41713</v>
      </c>
      <c r="D6683" s="14" t="s">
        <v>6341</v>
      </c>
      <c r="E6683" s="14" t="s">
        <v>41612</v>
      </c>
      <c r="F6683" s="14" t="s">
        <v>318</v>
      </c>
      <c r="G6683" s="14" t="s">
        <v>41714</v>
      </c>
      <c r="H6683" s="15" t="s">
        <v>31</v>
      </c>
      <c r="I6683" s="15">
        <v>1.0</v>
      </c>
      <c r="J6683" s="15">
        <v>1.0</v>
      </c>
      <c r="K6683" s="15" t="s">
        <v>31</v>
      </c>
      <c r="L6683" s="16" t="s">
        <v>41614</v>
      </c>
      <c r="M6683" s="14" t="s">
        <v>41715</v>
      </c>
      <c r="N6683" s="14" t="s">
        <v>155</v>
      </c>
      <c r="O6683" s="16" t="s">
        <v>156</v>
      </c>
      <c r="P6683" s="14" t="s">
        <v>41616</v>
      </c>
      <c r="Q6683" s="14" t="s">
        <v>1280</v>
      </c>
      <c r="R6683" s="14" t="s">
        <v>64</v>
      </c>
      <c r="S6683" s="16" t="s">
        <v>1339</v>
      </c>
      <c r="T6683" s="14" t="s">
        <v>66</v>
      </c>
      <c r="U6683" s="16" t="s">
        <v>41617</v>
      </c>
      <c r="V6683" s="14" t="s">
        <v>31266</v>
      </c>
      <c r="W6683" s="14" t="s">
        <v>41612</v>
      </c>
      <c r="X6683" s="17" t="str">
        <f>HYPERLINK("https://my.pitchbook.com?p=142813-99P","View People Online")</f>
        <v>View People Online</v>
      </c>
    </row>
    <row r="6684">
      <c r="A6684" s="10" t="s">
        <v>41716</v>
      </c>
      <c r="B6684" s="10" t="s">
        <v>41717</v>
      </c>
      <c r="C6684" s="10" t="s">
        <v>2190</v>
      </c>
      <c r="D6684" s="10" t="s">
        <v>41718</v>
      </c>
      <c r="E6684" s="10" t="s">
        <v>41612</v>
      </c>
      <c r="F6684" s="10" t="s">
        <v>221</v>
      </c>
      <c r="G6684" s="10" t="s">
        <v>41719</v>
      </c>
      <c r="H6684" s="11" t="s">
        <v>31</v>
      </c>
      <c r="I6684" s="11">
        <v>1.0</v>
      </c>
      <c r="J6684" s="11">
        <v>1.0</v>
      </c>
      <c r="K6684" s="11" t="s">
        <v>31</v>
      </c>
      <c r="L6684" s="12" t="s">
        <v>41720</v>
      </c>
      <c r="M6684" s="10" t="s">
        <v>41721</v>
      </c>
      <c r="N6684" s="10" t="s">
        <v>155</v>
      </c>
      <c r="O6684" s="12" t="s">
        <v>156</v>
      </c>
      <c r="P6684" s="10" t="s">
        <v>41616</v>
      </c>
      <c r="Q6684" s="10" t="s">
        <v>1280</v>
      </c>
      <c r="R6684" s="10" t="s">
        <v>64</v>
      </c>
      <c r="S6684" s="12" t="s">
        <v>1339</v>
      </c>
      <c r="T6684" s="10" t="s">
        <v>66</v>
      </c>
      <c r="U6684" s="12" t="s">
        <v>41617</v>
      </c>
      <c r="V6684" s="10" t="s">
        <v>27214</v>
      </c>
      <c r="W6684" s="10" t="s">
        <v>41612</v>
      </c>
      <c r="X6684" s="13" t="str">
        <f>HYPERLINK("https://my.pitchbook.com?p=421864-21P","View People Online")</f>
        <v>View People Online</v>
      </c>
    </row>
    <row r="6685">
      <c r="A6685" s="14" t="s">
        <v>41722</v>
      </c>
      <c r="B6685" s="14" t="s">
        <v>41723</v>
      </c>
      <c r="C6685" s="14" t="s">
        <v>5186</v>
      </c>
      <c r="D6685" s="14" t="s">
        <v>6461</v>
      </c>
      <c r="E6685" s="14" t="s">
        <v>41612</v>
      </c>
      <c r="F6685" s="14" t="s">
        <v>1283</v>
      </c>
      <c r="G6685" s="14" t="s">
        <v>41724</v>
      </c>
      <c r="H6685" s="15" t="s">
        <v>31</v>
      </c>
      <c r="I6685" s="15">
        <v>1.0</v>
      </c>
      <c r="J6685" s="15">
        <v>1.0</v>
      </c>
      <c r="K6685" s="15" t="s">
        <v>31</v>
      </c>
      <c r="L6685" s="16" t="s">
        <v>41614</v>
      </c>
      <c r="M6685" s="14" t="s">
        <v>41725</v>
      </c>
      <c r="N6685" s="14" t="s">
        <v>155</v>
      </c>
      <c r="O6685" s="16" t="s">
        <v>156</v>
      </c>
      <c r="P6685" s="14" t="s">
        <v>41616</v>
      </c>
      <c r="Q6685" s="14" t="s">
        <v>1280</v>
      </c>
      <c r="R6685" s="14" t="s">
        <v>64</v>
      </c>
      <c r="S6685" s="16" t="s">
        <v>1339</v>
      </c>
      <c r="T6685" s="14" t="s">
        <v>66</v>
      </c>
      <c r="U6685" s="16" t="s">
        <v>41617</v>
      </c>
      <c r="V6685" s="14" t="s">
        <v>41627</v>
      </c>
      <c r="W6685" s="14" t="s">
        <v>41612</v>
      </c>
      <c r="X6685" s="17" t="str">
        <f>HYPERLINK("https://my.pitchbook.com?p=77620-51P","View People Online")</f>
        <v>View People Online</v>
      </c>
    </row>
    <row r="6686">
      <c r="A6686" s="10" t="s">
        <v>41726</v>
      </c>
      <c r="B6686" s="10" t="s">
        <v>41727</v>
      </c>
      <c r="C6686" s="10" t="s">
        <v>160</v>
      </c>
      <c r="D6686" s="10" t="s">
        <v>41728</v>
      </c>
      <c r="E6686" s="10" t="s">
        <v>41612</v>
      </c>
      <c r="F6686" s="10" t="s">
        <v>318</v>
      </c>
      <c r="G6686" s="10" t="s">
        <v>41729</v>
      </c>
      <c r="H6686" s="11" t="s">
        <v>31</v>
      </c>
      <c r="I6686" s="11">
        <v>1.0</v>
      </c>
      <c r="J6686" s="11">
        <v>1.0</v>
      </c>
      <c r="K6686" s="11" t="s">
        <v>31</v>
      </c>
      <c r="L6686" s="12" t="s">
        <v>41614</v>
      </c>
      <c r="M6686" s="10" t="s">
        <v>41730</v>
      </c>
      <c r="N6686" s="10" t="s">
        <v>155</v>
      </c>
      <c r="O6686" s="12" t="s">
        <v>156</v>
      </c>
      <c r="P6686" s="10" t="s">
        <v>41616</v>
      </c>
      <c r="Q6686" s="10" t="s">
        <v>1280</v>
      </c>
      <c r="R6686" s="10" t="s">
        <v>64</v>
      </c>
      <c r="S6686" s="12" t="s">
        <v>1339</v>
      </c>
      <c r="T6686" s="10" t="s">
        <v>66</v>
      </c>
      <c r="U6686" s="12" t="s">
        <v>41617</v>
      </c>
      <c r="V6686" s="10" t="s">
        <v>41731</v>
      </c>
      <c r="W6686" s="10" t="s">
        <v>41612</v>
      </c>
      <c r="X6686" s="13" t="str">
        <f>HYPERLINK("https://my.pitchbook.com?p=346379-59P","View People Online")</f>
        <v>View People Online</v>
      </c>
    </row>
    <row r="6687">
      <c r="A6687" s="6" t="s">
        <v>41732</v>
      </c>
      <c r="B6687" s="6" t="s">
        <v>41733</v>
      </c>
      <c r="C6687" s="6" t="s">
        <v>13094</v>
      </c>
      <c r="D6687" s="6" t="s">
        <v>4873</v>
      </c>
      <c r="E6687" s="6" t="s">
        <v>41612</v>
      </c>
      <c r="F6687" s="6" t="s">
        <v>318</v>
      </c>
      <c r="G6687" s="6" t="s">
        <v>41734</v>
      </c>
      <c r="H6687" s="7" t="s">
        <v>31</v>
      </c>
      <c r="I6687" s="7">
        <v>1.0</v>
      </c>
      <c r="J6687" s="7">
        <v>1.0</v>
      </c>
      <c r="K6687" s="7" t="s">
        <v>31</v>
      </c>
      <c r="L6687" s="8" t="s">
        <v>41735</v>
      </c>
      <c r="M6687" s="6" t="s">
        <v>41736</v>
      </c>
      <c r="N6687" s="6" t="s">
        <v>155</v>
      </c>
      <c r="O6687" s="8" t="s">
        <v>156</v>
      </c>
      <c r="P6687" s="6" t="s">
        <v>41616</v>
      </c>
      <c r="Q6687" s="6" t="s">
        <v>1280</v>
      </c>
      <c r="R6687" s="6" t="s">
        <v>64</v>
      </c>
      <c r="S6687" s="8" t="s">
        <v>1339</v>
      </c>
      <c r="T6687" s="6" t="s">
        <v>66</v>
      </c>
      <c r="U6687" s="8" t="s">
        <v>41617</v>
      </c>
      <c r="V6687" s="6" t="s">
        <v>41737</v>
      </c>
      <c r="W6687" s="6" t="s">
        <v>41612</v>
      </c>
      <c r="X6687" s="9" t="str">
        <f>HYPERLINK("https://my.pitchbook.com?p=263206-81P","View People Online")</f>
        <v>View People Online</v>
      </c>
    </row>
    <row r="6688">
      <c r="A6688" s="10" t="s">
        <v>41738</v>
      </c>
      <c r="B6688" s="10" t="s">
        <v>41739</v>
      </c>
      <c r="C6688" s="10" t="s">
        <v>30975</v>
      </c>
      <c r="D6688" s="10" t="s">
        <v>29675</v>
      </c>
      <c r="E6688" s="10" t="s">
        <v>41612</v>
      </c>
      <c r="F6688" s="10" t="s">
        <v>41740</v>
      </c>
      <c r="G6688" s="10" t="s">
        <v>41741</v>
      </c>
      <c r="H6688" s="11" t="s">
        <v>31</v>
      </c>
      <c r="I6688" s="11">
        <v>1.0</v>
      </c>
      <c r="J6688" s="11">
        <v>1.0</v>
      </c>
      <c r="K6688" s="11" t="s">
        <v>31</v>
      </c>
      <c r="L6688" s="12" t="s">
        <v>41614</v>
      </c>
      <c r="M6688" s="10" t="s">
        <v>41742</v>
      </c>
      <c r="N6688" s="10" t="s">
        <v>155</v>
      </c>
      <c r="O6688" s="12" t="s">
        <v>156</v>
      </c>
      <c r="P6688" s="10" t="s">
        <v>41616</v>
      </c>
      <c r="Q6688" s="10" t="s">
        <v>1280</v>
      </c>
      <c r="R6688" s="10" t="s">
        <v>64</v>
      </c>
      <c r="S6688" s="12" t="s">
        <v>1339</v>
      </c>
      <c r="T6688" s="10" t="s">
        <v>66</v>
      </c>
      <c r="U6688" s="12" t="s">
        <v>41617</v>
      </c>
      <c r="V6688" s="10" t="s">
        <v>41740</v>
      </c>
      <c r="W6688" s="10" t="s">
        <v>41612</v>
      </c>
      <c r="X6688" s="13" t="str">
        <f>HYPERLINK("https://my.pitchbook.com?p=121045-87P","View People Online")</f>
        <v>View People Online</v>
      </c>
    </row>
    <row r="6689">
      <c r="A6689" s="6" t="s">
        <v>41743</v>
      </c>
      <c r="B6689" s="6" t="s">
        <v>41744</v>
      </c>
      <c r="C6689" s="6" t="s">
        <v>995</v>
      </c>
      <c r="D6689" s="6" t="s">
        <v>5286</v>
      </c>
      <c r="E6689" s="6" t="s">
        <v>41612</v>
      </c>
      <c r="F6689" s="6" t="s">
        <v>6993</v>
      </c>
      <c r="G6689" s="6" t="s">
        <v>41745</v>
      </c>
      <c r="H6689" s="7" t="s">
        <v>31</v>
      </c>
      <c r="I6689" s="7">
        <v>10.0</v>
      </c>
      <c r="J6689" s="7">
        <v>2.0</v>
      </c>
      <c r="K6689" s="7">
        <v>2.0</v>
      </c>
      <c r="L6689" s="8" t="s">
        <v>41641</v>
      </c>
      <c r="M6689" s="6" t="s">
        <v>41746</v>
      </c>
      <c r="N6689" s="6" t="s">
        <v>28460</v>
      </c>
      <c r="O6689" s="8" t="s">
        <v>28461</v>
      </c>
      <c r="P6689" s="6" t="s">
        <v>41643</v>
      </c>
      <c r="Q6689" s="6" t="s">
        <v>41644</v>
      </c>
      <c r="R6689" s="6" t="s">
        <v>616</v>
      </c>
      <c r="S6689" s="8" t="s">
        <v>28462</v>
      </c>
      <c r="T6689" s="6" t="s">
        <v>66</v>
      </c>
      <c r="U6689" s="8" t="s">
        <v>41617</v>
      </c>
      <c r="V6689" s="6" t="s">
        <v>41710</v>
      </c>
      <c r="W6689" s="6" t="s">
        <v>41612</v>
      </c>
      <c r="X6689" s="9" t="str">
        <f>HYPERLINK("https://my.pitchbook.com?p=32415-85P","View People Online")</f>
        <v>View People Online</v>
      </c>
    </row>
    <row r="6690">
      <c r="A6690" s="2" t="s">
        <v>41747</v>
      </c>
      <c r="B6690" s="2" t="s">
        <v>41748</v>
      </c>
      <c r="C6690" s="2" t="s">
        <v>41749</v>
      </c>
      <c r="D6690" s="2" t="s">
        <v>41750</v>
      </c>
      <c r="E6690" s="2" t="s">
        <v>41612</v>
      </c>
      <c r="F6690" s="2" t="s">
        <v>221</v>
      </c>
      <c r="G6690" s="2" t="s">
        <v>41751</v>
      </c>
      <c r="H6690" s="3" t="s">
        <v>31</v>
      </c>
      <c r="I6690" s="3">
        <v>1.0</v>
      </c>
      <c r="J6690" s="3">
        <v>1.0</v>
      </c>
      <c r="K6690" s="3" t="s">
        <v>31</v>
      </c>
      <c r="L6690" s="4" t="s">
        <v>41614</v>
      </c>
      <c r="M6690" s="2" t="s">
        <v>41752</v>
      </c>
      <c r="N6690" s="2" t="s">
        <v>155</v>
      </c>
      <c r="O6690" s="4" t="s">
        <v>156</v>
      </c>
      <c r="P6690" s="2" t="s">
        <v>41616</v>
      </c>
      <c r="Q6690" s="2" t="s">
        <v>1280</v>
      </c>
      <c r="R6690" s="2" t="s">
        <v>64</v>
      </c>
      <c r="S6690" s="4" t="s">
        <v>1339</v>
      </c>
      <c r="T6690" s="2" t="s">
        <v>66</v>
      </c>
      <c r="U6690" s="4" t="s">
        <v>41617</v>
      </c>
      <c r="V6690" s="2" t="s">
        <v>221</v>
      </c>
      <c r="W6690" s="2" t="s">
        <v>41612</v>
      </c>
      <c r="X6690" s="5" t="str">
        <f>HYPERLINK("https://my.pitchbook.com?p=409121-20P","View People Online")</f>
        <v>View People Online</v>
      </c>
    </row>
    <row r="6691">
      <c r="A6691" s="14" t="s">
        <v>41753</v>
      </c>
      <c r="B6691" s="14" t="s">
        <v>41754</v>
      </c>
      <c r="C6691" s="14" t="s">
        <v>22515</v>
      </c>
      <c r="D6691" s="14" t="s">
        <v>41755</v>
      </c>
      <c r="E6691" s="14" t="s">
        <v>41612</v>
      </c>
      <c r="F6691" s="14" t="s">
        <v>667</v>
      </c>
      <c r="G6691" s="14" t="s">
        <v>41756</v>
      </c>
      <c r="H6691" s="15" t="s">
        <v>31</v>
      </c>
      <c r="I6691" s="15">
        <v>1.0</v>
      </c>
      <c r="J6691" s="15">
        <v>1.0</v>
      </c>
      <c r="K6691" s="15" t="s">
        <v>31</v>
      </c>
      <c r="L6691" s="16" t="s">
        <v>41614</v>
      </c>
      <c r="M6691" s="14" t="s">
        <v>41757</v>
      </c>
      <c r="N6691" s="14" t="s">
        <v>155</v>
      </c>
      <c r="O6691" s="16" t="s">
        <v>156</v>
      </c>
      <c r="P6691" s="14" t="s">
        <v>41616</v>
      </c>
      <c r="Q6691" s="14" t="s">
        <v>1280</v>
      </c>
      <c r="R6691" s="14" t="s">
        <v>64</v>
      </c>
      <c r="S6691" s="16" t="s">
        <v>1339</v>
      </c>
      <c r="T6691" s="14" t="s">
        <v>66</v>
      </c>
      <c r="U6691" s="16" t="s">
        <v>41617</v>
      </c>
      <c r="V6691" s="14" t="s">
        <v>27246</v>
      </c>
      <c r="W6691" s="14" t="s">
        <v>41612</v>
      </c>
      <c r="X6691" s="17" t="str">
        <f>HYPERLINK("https://my.pitchbook.com?p=346382-83P","View People Online")</f>
        <v>View People Online</v>
      </c>
    </row>
    <row r="6692">
      <c r="A6692" s="10" t="s">
        <v>41758</v>
      </c>
      <c r="B6692" s="10" t="s">
        <v>41759</v>
      </c>
      <c r="C6692" s="10" t="s">
        <v>41760</v>
      </c>
      <c r="D6692" s="10" t="s">
        <v>28011</v>
      </c>
      <c r="E6692" s="10" t="s">
        <v>41612</v>
      </c>
      <c r="F6692" s="10" t="s">
        <v>667</v>
      </c>
      <c r="G6692" s="10" t="s">
        <v>41761</v>
      </c>
      <c r="H6692" s="11" t="s">
        <v>31</v>
      </c>
      <c r="I6692" s="11">
        <v>1.0</v>
      </c>
      <c r="J6692" s="11">
        <v>1.0</v>
      </c>
      <c r="K6692" s="11" t="s">
        <v>31</v>
      </c>
      <c r="L6692" s="12" t="s">
        <v>41614</v>
      </c>
      <c r="M6692" s="10" t="s">
        <v>41762</v>
      </c>
      <c r="N6692" s="10" t="s">
        <v>155</v>
      </c>
      <c r="O6692" s="12" t="s">
        <v>156</v>
      </c>
      <c r="P6692" s="10" t="s">
        <v>41616</v>
      </c>
      <c r="Q6692" s="10" t="s">
        <v>1280</v>
      </c>
      <c r="R6692" s="10" t="s">
        <v>64</v>
      </c>
      <c r="S6692" s="12" t="s">
        <v>1339</v>
      </c>
      <c r="T6692" s="10" t="s">
        <v>66</v>
      </c>
      <c r="U6692" s="12" t="s">
        <v>41617</v>
      </c>
      <c r="V6692" s="10" t="s">
        <v>667</v>
      </c>
      <c r="W6692" s="10" t="s">
        <v>41612</v>
      </c>
      <c r="X6692" s="13" t="str">
        <f>HYPERLINK("https://my.pitchbook.com?p=409121-02P","View People Online")</f>
        <v>View People Online</v>
      </c>
    </row>
    <row r="6693">
      <c r="A6693" s="6" t="s">
        <v>41763</v>
      </c>
      <c r="B6693" s="6" t="s">
        <v>41764</v>
      </c>
      <c r="C6693" s="6" t="s">
        <v>1449</v>
      </c>
      <c r="D6693" s="6" t="s">
        <v>6333</v>
      </c>
      <c r="E6693" s="6" t="s">
        <v>41765</v>
      </c>
      <c r="F6693" s="6" t="s">
        <v>470</v>
      </c>
      <c r="G6693" s="6" t="s">
        <v>41766</v>
      </c>
      <c r="H6693" s="7" t="s">
        <v>31</v>
      </c>
      <c r="I6693" s="7">
        <v>5.0</v>
      </c>
      <c r="J6693" s="7">
        <v>1.0</v>
      </c>
      <c r="K6693" s="7">
        <v>4.0</v>
      </c>
      <c r="L6693" s="8" t="s">
        <v>41767</v>
      </c>
      <c r="M6693" s="6" t="s">
        <v>41768</v>
      </c>
      <c r="N6693" s="6" t="s">
        <v>41769</v>
      </c>
      <c r="O6693" s="8" t="s">
        <v>41770</v>
      </c>
      <c r="P6693" s="6" t="s">
        <v>41771</v>
      </c>
      <c r="Q6693" s="6" t="s">
        <v>31</v>
      </c>
      <c r="R6693" s="6" t="s">
        <v>1018</v>
      </c>
      <c r="S6693" s="8" t="s">
        <v>41772</v>
      </c>
      <c r="T6693" s="6" t="s">
        <v>1019</v>
      </c>
      <c r="U6693" s="8" t="s">
        <v>31</v>
      </c>
      <c r="V6693" s="6" t="s">
        <v>470</v>
      </c>
      <c r="W6693" s="6" t="s">
        <v>41765</v>
      </c>
      <c r="X6693" s="9" t="str">
        <f>HYPERLINK("https://my.pitchbook.com?p=42020-02P","View People Online")</f>
        <v>View People Online</v>
      </c>
    </row>
    <row r="6694">
      <c r="A6694" s="2" t="s">
        <v>41773</v>
      </c>
      <c r="B6694" s="2" t="s">
        <v>41774</v>
      </c>
      <c r="C6694" s="2" t="s">
        <v>18382</v>
      </c>
      <c r="D6694" s="2" t="s">
        <v>41775</v>
      </c>
      <c r="E6694" s="2" t="s">
        <v>41765</v>
      </c>
      <c r="F6694" s="2" t="s">
        <v>371</v>
      </c>
      <c r="G6694" s="2" t="s">
        <v>41776</v>
      </c>
      <c r="H6694" s="3" t="s">
        <v>31</v>
      </c>
      <c r="I6694" s="3">
        <v>1.0</v>
      </c>
      <c r="J6694" s="3">
        <v>1.0</v>
      </c>
      <c r="K6694" s="3" t="s">
        <v>31</v>
      </c>
      <c r="L6694" s="4" t="s">
        <v>41777</v>
      </c>
      <c r="M6694" s="2" t="s">
        <v>41778</v>
      </c>
      <c r="N6694" s="2" t="s">
        <v>41769</v>
      </c>
      <c r="O6694" s="4" t="s">
        <v>41770</v>
      </c>
      <c r="P6694" s="2" t="s">
        <v>41771</v>
      </c>
      <c r="Q6694" s="2" t="s">
        <v>31</v>
      </c>
      <c r="R6694" s="2" t="s">
        <v>1018</v>
      </c>
      <c r="S6694" s="4" t="s">
        <v>41772</v>
      </c>
      <c r="T6694" s="2" t="s">
        <v>1019</v>
      </c>
      <c r="U6694" s="4" t="s">
        <v>31</v>
      </c>
      <c r="V6694" s="2" t="s">
        <v>41779</v>
      </c>
      <c r="W6694" s="2" t="s">
        <v>41765</v>
      </c>
      <c r="X6694" s="5" t="str">
        <f>HYPERLINK("https://my.pitchbook.com?p=185596-75P","View People Online")</f>
        <v>View People Online</v>
      </c>
    </row>
    <row r="6695">
      <c r="A6695" s="6" t="s">
        <v>41780</v>
      </c>
      <c r="B6695" s="6" t="s">
        <v>41781</v>
      </c>
      <c r="C6695" s="6" t="s">
        <v>1013</v>
      </c>
      <c r="D6695" s="6" t="s">
        <v>41782</v>
      </c>
      <c r="E6695" s="6" t="s">
        <v>41765</v>
      </c>
      <c r="F6695" s="6" t="s">
        <v>81</v>
      </c>
      <c r="G6695" s="6" t="s">
        <v>41783</v>
      </c>
      <c r="H6695" s="7" t="s">
        <v>31</v>
      </c>
      <c r="I6695" s="7">
        <v>1.0</v>
      </c>
      <c r="J6695" s="7" t="s">
        <v>31</v>
      </c>
      <c r="K6695" s="7" t="s">
        <v>31</v>
      </c>
      <c r="L6695" s="8" t="s">
        <v>41777</v>
      </c>
      <c r="M6695" s="6" t="s">
        <v>41784</v>
      </c>
      <c r="N6695" s="6" t="s">
        <v>41769</v>
      </c>
      <c r="O6695" s="8" t="s">
        <v>41770</v>
      </c>
      <c r="P6695" s="6" t="s">
        <v>41771</v>
      </c>
      <c r="Q6695" s="6" t="s">
        <v>31</v>
      </c>
      <c r="R6695" s="6" t="s">
        <v>1018</v>
      </c>
      <c r="S6695" s="8" t="s">
        <v>41772</v>
      </c>
      <c r="T6695" s="6" t="s">
        <v>1019</v>
      </c>
      <c r="U6695" s="8" t="s">
        <v>31</v>
      </c>
      <c r="V6695" s="6" t="s">
        <v>41785</v>
      </c>
      <c r="W6695" s="6" t="s">
        <v>41765</v>
      </c>
      <c r="X6695" s="9" t="str">
        <f>HYPERLINK("https://my.pitchbook.com?p=97812-73P","View People Online")</f>
        <v>View People Online</v>
      </c>
    </row>
    <row r="6696">
      <c r="A6696" s="10" t="s">
        <v>41786</v>
      </c>
      <c r="B6696" s="10" t="s">
        <v>41787</v>
      </c>
      <c r="C6696" s="10" t="s">
        <v>39107</v>
      </c>
      <c r="D6696" s="10" t="s">
        <v>41788</v>
      </c>
      <c r="E6696" s="10" t="s">
        <v>41765</v>
      </c>
      <c r="F6696" s="10" t="s">
        <v>1801</v>
      </c>
      <c r="G6696" s="10" t="s">
        <v>41789</v>
      </c>
      <c r="H6696" s="11" t="s">
        <v>31</v>
      </c>
      <c r="I6696" s="11">
        <v>1.0</v>
      </c>
      <c r="J6696" s="11">
        <v>1.0</v>
      </c>
      <c r="K6696" s="11" t="s">
        <v>31</v>
      </c>
      <c r="L6696" s="12" t="s">
        <v>41777</v>
      </c>
      <c r="M6696" s="10" t="s">
        <v>41790</v>
      </c>
      <c r="N6696" s="10" t="s">
        <v>41769</v>
      </c>
      <c r="O6696" s="12" t="s">
        <v>41770</v>
      </c>
      <c r="P6696" s="10" t="s">
        <v>41771</v>
      </c>
      <c r="Q6696" s="10" t="s">
        <v>31</v>
      </c>
      <c r="R6696" s="10" t="s">
        <v>1018</v>
      </c>
      <c r="S6696" s="12" t="s">
        <v>41772</v>
      </c>
      <c r="T6696" s="10" t="s">
        <v>1019</v>
      </c>
      <c r="U6696" s="12" t="s">
        <v>31</v>
      </c>
      <c r="V6696" s="10" t="s">
        <v>41791</v>
      </c>
      <c r="W6696" s="10" t="s">
        <v>41765</v>
      </c>
      <c r="X6696" s="13" t="str">
        <f>HYPERLINK("https://my.pitchbook.com?p=185569-39P","View People Online")</f>
        <v>View People Online</v>
      </c>
    </row>
    <row r="6697">
      <c r="A6697" s="14" t="s">
        <v>41792</v>
      </c>
      <c r="B6697" s="14" t="s">
        <v>41793</v>
      </c>
      <c r="C6697" s="14" t="s">
        <v>285</v>
      </c>
      <c r="D6697" s="14" t="s">
        <v>41794</v>
      </c>
      <c r="E6697" s="14" t="s">
        <v>41795</v>
      </c>
      <c r="F6697" s="14" t="s">
        <v>1086</v>
      </c>
      <c r="G6697" s="14" t="s">
        <v>41796</v>
      </c>
      <c r="H6697" s="15" t="s">
        <v>31</v>
      </c>
      <c r="I6697" s="15">
        <v>1.0</v>
      </c>
      <c r="J6697" s="15">
        <v>1.0</v>
      </c>
      <c r="K6697" s="15" t="s">
        <v>31</v>
      </c>
      <c r="L6697" s="16" t="s">
        <v>31</v>
      </c>
      <c r="M6697" s="14" t="s">
        <v>41797</v>
      </c>
      <c r="N6697" s="14" t="s">
        <v>34</v>
      </c>
      <c r="O6697" s="16" t="s">
        <v>35</v>
      </c>
      <c r="P6697" s="14" t="s">
        <v>41798</v>
      </c>
      <c r="Q6697" s="14" t="s">
        <v>31</v>
      </c>
      <c r="R6697" s="14" t="s">
        <v>31</v>
      </c>
      <c r="S6697" s="16" t="s">
        <v>40980</v>
      </c>
      <c r="T6697" s="14" t="s">
        <v>38</v>
      </c>
      <c r="U6697" s="16" t="s">
        <v>31</v>
      </c>
      <c r="V6697" s="14" t="s">
        <v>1086</v>
      </c>
      <c r="W6697" s="14" t="s">
        <v>41795</v>
      </c>
      <c r="X6697" s="17" t="str">
        <f>HYPERLINK("https://my.pitchbook.com?p=263817-01P","View People Online")</f>
        <v>View People Online</v>
      </c>
    </row>
    <row r="6698">
      <c r="A6698" s="10" t="s">
        <v>41799</v>
      </c>
      <c r="B6698" s="10" t="s">
        <v>41800</v>
      </c>
      <c r="C6698" s="10" t="s">
        <v>3221</v>
      </c>
      <c r="D6698" s="10" t="s">
        <v>41801</v>
      </c>
      <c r="E6698" s="10" t="s">
        <v>41795</v>
      </c>
      <c r="F6698" s="10" t="s">
        <v>1283</v>
      </c>
      <c r="G6698" s="10" t="s">
        <v>41802</v>
      </c>
      <c r="H6698" s="11" t="s">
        <v>31</v>
      </c>
      <c r="I6698" s="11">
        <v>8.0</v>
      </c>
      <c r="J6698" s="11">
        <v>1.0</v>
      </c>
      <c r="K6698" s="11">
        <v>7.0</v>
      </c>
      <c r="L6698" s="12" t="s">
        <v>31</v>
      </c>
      <c r="M6698" s="10" t="s">
        <v>41803</v>
      </c>
      <c r="N6698" s="10" t="s">
        <v>34</v>
      </c>
      <c r="O6698" s="12" t="s">
        <v>35</v>
      </c>
      <c r="P6698" s="10" t="s">
        <v>41798</v>
      </c>
      <c r="Q6698" s="10" t="s">
        <v>31</v>
      </c>
      <c r="R6698" s="10" t="s">
        <v>31</v>
      </c>
      <c r="S6698" s="12" t="s">
        <v>40980</v>
      </c>
      <c r="T6698" s="10" t="s">
        <v>38</v>
      </c>
      <c r="U6698" s="12" t="s">
        <v>31</v>
      </c>
      <c r="V6698" s="10" t="s">
        <v>1283</v>
      </c>
      <c r="W6698" s="10" t="s">
        <v>41795</v>
      </c>
      <c r="X6698" s="13" t="str">
        <f>HYPERLINK("https://my.pitchbook.com?p=173516-68P","View People Online")</f>
        <v>View People Online</v>
      </c>
    </row>
    <row r="6699">
      <c r="A6699" s="6" t="s">
        <v>41804</v>
      </c>
      <c r="B6699" s="6" t="s">
        <v>41805</v>
      </c>
      <c r="C6699" s="6" t="s">
        <v>41806</v>
      </c>
      <c r="D6699" s="6" t="s">
        <v>9490</v>
      </c>
      <c r="E6699" s="6" t="s">
        <v>41807</v>
      </c>
      <c r="F6699" s="6" t="s">
        <v>1801</v>
      </c>
      <c r="G6699" s="6" t="s">
        <v>41808</v>
      </c>
      <c r="H6699" s="7">
        <v>1.0</v>
      </c>
      <c r="I6699" s="7">
        <v>2.0</v>
      </c>
      <c r="J6699" s="7">
        <v>2.0</v>
      </c>
      <c r="K6699" s="7" t="s">
        <v>31</v>
      </c>
      <c r="L6699" s="8" t="s">
        <v>31</v>
      </c>
      <c r="M6699" s="6" t="s">
        <v>41809</v>
      </c>
      <c r="N6699" s="6" t="s">
        <v>243</v>
      </c>
      <c r="O6699" s="8" t="s">
        <v>244</v>
      </c>
      <c r="P6699" s="6" t="s">
        <v>41810</v>
      </c>
      <c r="Q6699" s="6" t="s">
        <v>41811</v>
      </c>
      <c r="R6699" s="6" t="s">
        <v>247</v>
      </c>
      <c r="S6699" s="8" t="s">
        <v>41812</v>
      </c>
      <c r="T6699" s="6" t="s">
        <v>249</v>
      </c>
      <c r="U6699" s="8" t="s">
        <v>31</v>
      </c>
      <c r="V6699" s="6" t="s">
        <v>41813</v>
      </c>
      <c r="W6699" s="6" t="s">
        <v>41814</v>
      </c>
      <c r="X6699" s="9" t="str">
        <f>HYPERLINK("https://my.pitchbook.com?p=245583-55P","View People Online")</f>
        <v>View People Online</v>
      </c>
    </row>
    <row r="6700">
      <c r="A6700" s="10" t="s">
        <v>41815</v>
      </c>
      <c r="B6700" s="10" t="s">
        <v>41816</v>
      </c>
      <c r="C6700" s="10" t="s">
        <v>1343</v>
      </c>
      <c r="D6700" s="10" t="s">
        <v>41817</v>
      </c>
      <c r="E6700" s="10" t="s">
        <v>41807</v>
      </c>
      <c r="F6700" s="10" t="s">
        <v>371</v>
      </c>
      <c r="G6700" s="10" t="s">
        <v>41818</v>
      </c>
      <c r="H6700" s="11" t="s">
        <v>31</v>
      </c>
      <c r="I6700" s="11">
        <v>3.0</v>
      </c>
      <c r="J6700" s="11">
        <v>2.0</v>
      </c>
      <c r="K6700" s="11">
        <v>1.0</v>
      </c>
      <c r="L6700" s="12" t="s">
        <v>41819</v>
      </c>
      <c r="M6700" s="10" t="s">
        <v>41820</v>
      </c>
      <c r="N6700" s="10" t="s">
        <v>41821</v>
      </c>
      <c r="O6700" s="12" t="s">
        <v>41822</v>
      </c>
      <c r="P6700" s="10" t="s">
        <v>41823</v>
      </c>
      <c r="Q6700" s="10" t="s">
        <v>31</v>
      </c>
      <c r="R6700" s="10" t="s">
        <v>75</v>
      </c>
      <c r="S6700" s="12" t="s">
        <v>41824</v>
      </c>
      <c r="T6700" s="10" t="s">
        <v>66</v>
      </c>
      <c r="U6700" s="12" t="s">
        <v>31</v>
      </c>
      <c r="V6700" s="10" t="s">
        <v>41825</v>
      </c>
      <c r="W6700" s="10" t="s">
        <v>41826</v>
      </c>
      <c r="X6700" s="13" t="str">
        <f>HYPERLINK("https://my.pitchbook.com?p=173461-60P","View People Online")</f>
        <v>View People Online</v>
      </c>
    </row>
    <row r="6701">
      <c r="A6701" s="6" t="s">
        <v>41827</v>
      </c>
      <c r="B6701" s="6" t="s">
        <v>41828</v>
      </c>
      <c r="C6701" s="6" t="s">
        <v>32410</v>
      </c>
      <c r="D6701" s="6" t="s">
        <v>41829</v>
      </c>
      <c r="E6701" s="6" t="s">
        <v>41830</v>
      </c>
      <c r="F6701" s="6" t="s">
        <v>1283</v>
      </c>
      <c r="G6701" s="6" t="s">
        <v>41831</v>
      </c>
      <c r="H6701" s="7" t="s">
        <v>31</v>
      </c>
      <c r="I6701" s="7">
        <v>9.0</v>
      </c>
      <c r="J6701" s="7">
        <v>2.0</v>
      </c>
      <c r="K6701" s="7">
        <v>7.0</v>
      </c>
      <c r="L6701" s="8" t="s">
        <v>41832</v>
      </c>
      <c r="M6701" s="6" t="s">
        <v>41833</v>
      </c>
      <c r="N6701" s="6" t="s">
        <v>10290</v>
      </c>
      <c r="O6701" s="8" t="s">
        <v>10291</v>
      </c>
      <c r="P6701" s="6" t="s">
        <v>14500</v>
      </c>
      <c r="Q6701" s="6" t="s">
        <v>31</v>
      </c>
      <c r="R6701" s="6" t="s">
        <v>31</v>
      </c>
      <c r="S6701" s="8" t="s">
        <v>31</v>
      </c>
      <c r="T6701" s="6" t="s">
        <v>10295</v>
      </c>
      <c r="U6701" s="8" t="s">
        <v>31</v>
      </c>
      <c r="V6701" s="6" t="s">
        <v>41834</v>
      </c>
      <c r="W6701" s="6" t="s">
        <v>41830</v>
      </c>
      <c r="X6701" s="9" t="str">
        <f>HYPERLINK("https://my.pitchbook.com?p=167759-11P","View People Online")</f>
        <v>View People Online</v>
      </c>
    </row>
    <row r="6702">
      <c r="A6702" s="2" t="s">
        <v>41835</v>
      </c>
      <c r="B6702" s="2" t="s">
        <v>41836</v>
      </c>
      <c r="C6702" s="2" t="s">
        <v>28162</v>
      </c>
      <c r="D6702" s="2" t="s">
        <v>41837</v>
      </c>
      <c r="E6702" s="2" t="s">
        <v>41830</v>
      </c>
      <c r="F6702" s="2" t="s">
        <v>3665</v>
      </c>
      <c r="G6702" s="2" t="s">
        <v>41838</v>
      </c>
      <c r="H6702" s="3" t="s">
        <v>31</v>
      </c>
      <c r="I6702" s="3">
        <v>1.0</v>
      </c>
      <c r="J6702" s="3">
        <v>1.0</v>
      </c>
      <c r="K6702" s="3" t="s">
        <v>31</v>
      </c>
      <c r="L6702" s="4" t="s">
        <v>31</v>
      </c>
      <c r="M6702" s="2" t="s">
        <v>41839</v>
      </c>
      <c r="N6702" s="2" t="s">
        <v>10290</v>
      </c>
      <c r="O6702" s="4" t="s">
        <v>10291</v>
      </c>
      <c r="P6702" s="2" t="s">
        <v>14500</v>
      </c>
      <c r="Q6702" s="2" t="s">
        <v>31</v>
      </c>
      <c r="R6702" s="2" t="s">
        <v>31</v>
      </c>
      <c r="S6702" s="4" t="s">
        <v>31</v>
      </c>
      <c r="T6702" s="2" t="s">
        <v>10295</v>
      </c>
      <c r="U6702" s="4" t="s">
        <v>31</v>
      </c>
      <c r="V6702" s="2" t="s">
        <v>41840</v>
      </c>
      <c r="W6702" s="2" t="s">
        <v>41830</v>
      </c>
      <c r="X6702" s="5" t="str">
        <f>HYPERLINK("https://my.pitchbook.com?p=183141-19P","View People Online")</f>
        <v>View People Online</v>
      </c>
    </row>
    <row r="6703">
      <c r="A6703" s="14" t="s">
        <v>41841</v>
      </c>
      <c r="B6703" s="14" t="s">
        <v>41842</v>
      </c>
      <c r="C6703" s="14" t="s">
        <v>2190</v>
      </c>
      <c r="D6703" s="14" t="s">
        <v>41843</v>
      </c>
      <c r="E6703" s="14" t="s">
        <v>41830</v>
      </c>
      <c r="F6703" s="14" t="s">
        <v>1801</v>
      </c>
      <c r="G6703" s="14" t="s">
        <v>41844</v>
      </c>
      <c r="H6703" s="15" t="s">
        <v>31</v>
      </c>
      <c r="I6703" s="15">
        <v>1.0</v>
      </c>
      <c r="J6703" s="15">
        <v>1.0</v>
      </c>
      <c r="K6703" s="15" t="s">
        <v>31</v>
      </c>
      <c r="L6703" s="16" t="s">
        <v>31</v>
      </c>
      <c r="M6703" s="14" t="s">
        <v>41845</v>
      </c>
      <c r="N6703" s="14" t="s">
        <v>9865</v>
      </c>
      <c r="O6703" s="16" t="s">
        <v>9866</v>
      </c>
      <c r="P6703" s="14" t="s">
        <v>41846</v>
      </c>
      <c r="Q6703" s="14" t="s">
        <v>31</v>
      </c>
      <c r="R6703" s="14" t="s">
        <v>31</v>
      </c>
      <c r="S6703" s="16" t="s">
        <v>41847</v>
      </c>
      <c r="T6703" s="14" t="s">
        <v>38</v>
      </c>
      <c r="U6703" s="16" t="s">
        <v>31</v>
      </c>
      <c r="V6703" s="14" t="s">
        <v>41848</v>
      </c>
      <c r="W6703" s="14" t="s">
        <v>41830</v>
      </c>
      <c r="X6703" s="17" t="str">
        <f>HYPERLINK("https://my.pitchbook.com?p=304199-29P","View People Online")</f>
        <v>View People Online</v>
      </c>
    </row>
    <row r="6704">
      <c r="A6704" s="10" t="s">
        <v>41849</v>
      </c>
      <c r="B6704" s="10" t="s">
        <v>41850</v>
      </c>
      <c r="C6704" s="10" t="s">
        <v>2288</v>
      </c>
      <c r="D6704" s="10" t="s">
        <v>41851</v>
      </c>
      <c r="E6704" s="10" t="s">
        <v>41830</v>
      </c>
      <c r="F6704" s="10" t="s">
        <v>1283</v>
      </c>
      <c r="G6704" s="10" t="s">
        <v>41852</v>
      </c>
      <c r="H6704" s="11" t="s">
        <v>31</v>
      </c>
      <c r="I6704" s="11">
        <v>10.0</v>
      </c>
      <c r="J6704" s="11">
        <v>1.0</v>
      </c>
      <c r="K6704" s="11">
        <v>9.0</v>
      </c>
      <c r="L6704" s="12" t="s">
        <v>31</v>
      </c>
      <c r="M6704" s="10" t="s">
        <v>31</v>
      </c>
      <c r="N6704" s="10" t="s">
        <v>10290</v>
      </c>
      <c r="O6704" s="12" t="s">
        <v>10291</v>
      </c>
      <c r="P6704" s="10" t="s">
        <v>14500</v>
      </c>
      <c r="Q6704" s="10" t="s">
        <v>31</v>
      </c>
      <c r="R6704" s="10" t="s">
        <v>31</v>
      </c>
      <c r="S6704" s="12" t="s">
        <v>31</v>
      </c>
      <c r="T6704" s="10" t="s">
        <v>10295</v>
      </c>
      <c r="U6704" s="12" t="s">
        <v>31</v>
      </c>
      <c r="V6704" s="10" t="s">
        <v>41853</v>
      </c>
      <c r="W6704" s="10" t="s">
        <v>41830</v>
      </c>
      <c r="X6704" s="13" t="str">
        <f>HYPERLINK("https://my.pitchbook.com?p=401732-11P","View People Online")</f>
        <v>View People Online</v>
      </c>
    </row>
    <row r="6705">
      <c r="A6705" s="6" t="s">
        <v>41854</v>
      </c>
      <c r="B6705" s="6" t="s">
        <v>41855</v>
      </c>
      <c r="C6705" s="6" t="s">
        <v>19373</v>
      </c>
      <c r="D6705" s="6" t="s">
        <v>41856</v>
      </c>
      <c r="E6705" s="6" t="s">
        <v>41830</v>
      </c>
      <c r="F6705" s="6" t="s">
        <v>1283</v>
      </c>
      <c r="G6705" s="6" t="s">
        <v>41857</v>
      </c>
      <c r="H6705" s="7" t="s">
        <v>31</v>
      </c>
      <c r="I6705" s="7">
        <v>9.0</v>
      </c>
      <c r="J6705" s="7">
        <v>1.0</v>
      </c>
      <c r="K6705" s="7">
        <v>8.0</v>
      </c>
      <c r="L6705" s="8" t="s">
        <v>31</v>
      </c>
      <c r="M6705" s="6" t="s">
        <v>31</v>
      </c>
      <c r="N6705" s="6" t="s">
        <v>9865</v>
      </c>
      <c r="O6705" s="8" t="s">
        <v>9866</v>
      </c>
      <c r="P6705" s="6" t="s">
        <v>41846</v>
      </c>
      <c r="Q6705" s="6" t="s">
        <v>31</v>
      </c>
      <c r="R6705" s="6" t="s">
        <v>31</v>
      </c>
      <c r="S6705" s="8" t="s">
        <v>41847</v>
      </c>
      <c r="T6705" s="6" t="s">
        <v>38</v>
      </c>
      <c r="U6705" s="8" t="s">
        <v>31</v>
      </c>
      <c r="V6705" s="6" t="s">
        <v>41858</v>
      </c>
      <c r="W6705" s="6" t="s">
        <v>41830</v>
      </c>
      <c r="X6705" s="9" t="str">
        <f>HYPERLINK("https://my.pitchbook.com?p=139391-29P","View People Online")</f>
        <v>View People Online</v>
      </c>
    </row>
    <row r="6706">
      <c r="A6706" s="10" t="s">
        <v>41859</v>
      </c>
      <c r="B6706" s="10" t="s">
        <v>41860</v>
      </c>
      <c r="C6706" s="10" t="s">
        <v>41861</v>
      </c>
      <c r="D6706" s="10" t="s">
        <v>11756</v>
      </c>
      <c r="E6706" s="10" t="s">
        <v>41830</v>
      </c>
      <c r="F6706" s="10" t="s">
        <v>548</v>
      </c>
      <c r="G6706" s="10" t="s">
        <v>41862</v>
      </c>
      <c r="H6706" s="11" t="s">
        <v>31</v>
      </c>
      <c r="I6706" s="11">
        <v>2.0</v>
      </c>
      <c r="J6706" s="11">
        <v>1.0</v>
      </c>
      <c r="K6706" s="11">
        <v>1.0</v>
      </c>
      <c r="L6706" s="12" t="s">
        <v>31</v>
      </c>
      <c r="M6706" s="10" t="s">
        <v>31</v>
      </c>
      <c r="N6706" s="10" t="s">
        <v>10290</v>
      </c>
      <c r="O6706" s="12" t="s">
        <v>10291</v>
      </c>
      <c r="P6706" s="10" t="s">
        <v>14500</v>
      </c>
      <c r="Q6706" s="10" t="s">
        <v>31</v>
      </c>
      <c r="R6706" s="10" t="s">
        <v>31</v>
      </c>
      <c r="S6706" s="12" t="s">
        <v>31</v>
      </c>
      <c r="T6706" s="10" t="s">
        <v>10295</v>
      </c>
      <c r="U6706" s="12" t="s">
        <v>31</v>
      </c>
      <c r="V6706" s="10" t="s">
        <v>41863</v>
      </c>
      <c r="W6706" s="10" t="s">
        <v>41830</v>
      </c>
      <c r="X6706" s="13" t="str">
        <f>HYPERLINK("https://my.pitchbook.com?p=304194-43P","View People Online")</f>
        <v>View People Online</v>
      </c>
    </row>
    <row r="6707">
      <c r="A6707" s="14" t="s">
        <v>41864</v>
      </c>
      <c r="B6707" s="14" t="s">
        <v>41865</v>
      </c>
      <c r="C6707" s="14" t="s">
        <v>41861</v>
      </c>
      <c r="D6707" s="14" t="s">
        <v>41866</v>
      </c>
      <c r="E6707" s="14" t="s">
        <v>41830</v>
      </c>
      <c r="F6707" s="14" t="s">
        <v>1283</v>
      </c>
      <c r="G6707" s="14" t="s">
        <v>41867</v>
      </c>
      <c r="H6707" s="15" t="s">
        <v>31</v>
      </c>
      <c r="I6707" s="15">
        <v>5.0</v>
      </c>
      <c r="J6707" s="15">
        <v>1.0</v>
      </c>
      <c r="K6707" s="15">
        <v>4.0</v>
      </c>
      <c r="L6707" s="16" t="s">
        <v>31</v>
      </c>
      <c r="M6707" s="14" t="s">
        <v>41868</v>
      </c>
      <c r="N6707" s="14" t="s">
        <v>10290</v>
      </c>
      <c r="O6707" s="16" t="s">
        <v>10291</v>
      </c>
      <c r="P6707" s="14" t="s">
        <v>14500</v>
      </c>
      <c r="Q6707" s="14" t="s">
        <v>31</v>
      </c>
      <c r="R6707" s="14" t="s">
        <v>31</v>
      </c>
      <c r="S6707" s="16" t="s">
        <v>31</v>
      </c>
      <c r="T6707" s="14" t="s">
        <v>10295</v>
      </c>
      <c r="U6707" s="16" t="s">
        <v>31</v>
      </c>
      <c r="V6707" s="14" t="s">
        <v>41869</v>
      </c>
      <c r="W6707" s="14" t="s">
        <v>41830</v>
      </c>
      <c r="X6707" s="17" t="str">
        <f>HYPERLINK("https://my.pitchbook.com?p=53608-51P","View People Online")</f>
        <v>View People Online</v>
      </c>
    </row>
    <row r="6708">
      <c r="A6708" s="2" t="s">
        <v>41870</v>
      </c>
      <c r="B6708" s="2" t="s">
        <v>41871</v>
      </c>
      <c r="C6708" s="2" t="s">
        <v>41872</v>
      </c>
      <c r="D6708" s="2" t="s">
        <v>41873</v>
      </c>
      <c r="E6708" s="2" t="s">
        <v>41830</v>
      </c>
      <c r="F6708" s="2" t="s">
        <v>4951</v>
      </c>
      <c r="G6708" s="2" t="s">
        <v>41874</v>
      </c>
      <c r="H6708" s="3" t="s">
        <v>31</v>
      </c>
      <c r="I6708" s="3">
        <v>31.0</v>
      </c>
      <c r="J6708" s="3">
        <v>1.0</v>
      </c>
      <c r="K6708" s="3">
        <v>30.0</v>
      </c>
      <c r="L6708" s="4" t="s">
        <v>31</v>
      </c>
      <c r="M6708" s="2" t="s">
        <v>41875</v>
      </c>
      <c r="N6708" s="2" t="s">
        <v>10290</v>
      </c>
      <c r="O6708" s="4" t="s">
        <v>10291</v>
      </c>
      <c r="P6708" s="2" t="s">
        <v>14500</v>
      </c>
      <c r="Q6708" s="2" t="s">
        <v>31</v>
      </c>
      <c r="R6708" s="2" t="s">
        <v>31</v>
      </c>
      <c r="S6708" s="4" t="s">
        <v>31</v>
      </c>
      <c r="T6708" s="2" t="s">
        <v>10295</v>
      </c>
      <c r="U6708" s="4" t="s">
        <v>31</v>
      </c>
      <c r="V6708" s="2" t="s">
        <v>27455</v>
      </c>
      <c r="W6708" s="2" t="s">
        <v>41830</v>
      </c>
      <c r="X6708" s="5" t="str">
        <f>HYPERLINK("https://my.pitchbook.com?p=53467-03P","View People Online")</f>
        <v>View People Online</v>
      </c>
    </row>
    <row r="6709">
      <c r="A6709" s="6" t="s">
        <v>41876</v>
      </c>
      <c r="B6709" s="6" t="s">
        <v>41877</v>
      </c>
      <c r="C6709" s="6" t="s">
        <v>5844</v>
      </c>
      <c r="D6709" s="6" t="s">
        <v>41878</v>
      </c>
      <c r="E6709" s="6" t="s">
        <v>41879</v>
      </c>
      <c r="F6709" s="6" t="s">
        <v>583</v>
      </c>
      <c r="G6709" s="6" t="s">
        <v>41880</v>
      </c>
      <c r="H6709" s="7" t="s">
        <v>31</v>
      </c>
      <c r="I6709" s="7">
        <v>3.0</v>
      </c>
      <c r="J6709" s="7">
        <v>2.0</v>
      </c>
      <c r="K6709" s="7" t="s">
        <v>31</v>
      </c>
      <c r="L6709" s="8" t="s">
        <v>31</v>
      </c>
      <c r="M6709" s="6" t="s">
        <v>41881</v>
      </c>
      <c r="N6709" s="6" t="s">
        <v>6588</v>
      </c>
      <c r="O6709" s="8" t="s">
        <v>6589</v>
      </c>
      <c r="P6709" s="6" t="s">
        <v>41882</v>
      </c>
      <c r="Q6709" s="6" t="s">
        <v>6654</v>
      </c>
      <c r="R6709" s="6" t="s">
        <v>93</v>
      </c>
      <c r="S6709" s="8" t="s">
        <v>27077</v>
      </c>
      <c r="T6709" s="6" t="s">
        <v>66</v>
      </c>
      <c r="U6709" s="8" t="s">
        <v>31</v>
      </c>
      <c r="V6709" s="6" t="s">
        <v>583</v>
      </c>
      <c r="W6709" s="6" t="s">
        <v>41883</v>
      </c>
      <c r="X6709" s="9" t="str">
        <f>HYPERLINK("https://my.pitchbook.com?p=163378-63P","View People Online")</f>
        <v>View People Online</v>
      </c>
    </row>
    <row r="6710">
      <c r="A6710" s="2" t="s">
        <v>41884</v>
      </c>
      <c r="B6710" s="2" t="s">
        <v>41885</v>
      </c>
      <c r="C6710" s="2" t="s">
        <v>536</v>
      </c>
      <c r="D6710" s="2" t="s">
        <v>41886</v>
      </c>
      <c r="E6710" s="2" t="s">
        <v>41879</v>
      </c>
      <c r="F6710" s="2" t="s">
        <v>2590</v>
      </c>
      <c r="G6710" s="2" t="s">
        <v>41887</v>
      </c>
      <c r="H6710" s="3">
        <v>2.0</v>
      </c>
      <c r="I6710" s="3">
        <v>6.0</v>
      </c>
      <c r="J6710" s="3">
        <v>2.0</v>
      </c>
      <c r="K6710" s="3">
        <v>2.0</v>
      </c>
      <c r="L6710" s="4" t="s">
        <v>31</v>
      </c>
      <c r="M6710" s="2" t="s">
        <v>41888</v>
      </c>
      <c r="N6710" s="2" t="s">
        <v>6588</v>
      </c>
      <c r="O6710" s="4" t="s">
        <v>6589</v>
      </c>
      <c r="P6710" s="2" t="s">
        <v>41889</v>
      </c>
      <c r="Q6710" s="2" t="s">
        <v>6654</v>
      </c>
      <c r="R6710" s="2" t="s">
        <v>93</v>
      </c>
      <c r="S6710" s="4" t="s">
        <v>41890</v>
      </c>
      <c r="T6710" s="2" t="s">
        <v>66</v>
      </c>
      <c r="U6710" s="4" t="s">
        <v>31</v>
      </c>
      <c r="V6710" s="2" t="s">
        <v>12675</v>
      </c>
      <c r="W6710" s="2" t="s">
        <v>41879</v>
      </c>
      <c r="X6710" s="5" t="str">
        <f>HYPERLINK("https://my.pitchbook.com?p=35667-10P","View People Online")</f>
        <v>View People Online</v>
      </c>
    </row>
    <row r="6711">
      <c r="A6711" s="14" t="s">
        <v>41891</v>
      </c>
      <c r="B6711" s="14" t="s">
        <v>41892</v>
      </c>
      <c r="C6711" s="14" t="s">
        <v>237</v>
      </c>
      <c r="D6711" s="14" t="s">
        <v>41893</v>
      </c>
      <c r="E6711" s="14" t="s">
        <v>41894</v>
      </c>
      <c r="F6711" s="14" t="s">
        <v>674</v>
      </c>
      <c r="G6711" s="14" t="s">
        <v>41895</v>
      </c>
      <c r="H6711" s="15">
        <v>3.0</v>
      </c>
      <c r="I6711" s="15">
        <v>13.0</v>
      </c>
      <c r="J6711" s="15">
        <v>1.0</v>
      </c>
      <c r="K6711" s="15">
        <v>6.0</v>
      </c>
      <c r="L6711" s="16" t="s">
        <v>41896</v>
      </c>
      <c r="M6711" s="14" t="s">
        <v>41897</v>
      </c>
      <c r="N6711" s="14" t="s">
        <v>1181</v>
      </c>
      <c r="O6711" s="16" t="s">
        <v>1182</v>
      </c>
      <c r="P6711" s="14" t="s">
        <v>41898</v>
      </c>
      <c r="Q6711" s="14" t="s">
        <v>2276</v>
      </c>
      <c r="R6711" s="14" t="s">
        <v>1185</v>
      </c>
      <c r="S6711" s="16" t="s">
        <v>29487</v>
      </c>
      <c r="T6711" s="14" t="s">
        <v>66</v>
      </c>
      <c r="U6711" s="16" t="s">
        <v>31</v>
      </c>
      <c r="V6711" s="14" t="s">
        <v>1172</v>
      </c>
      <c r="W6711" s="14" t="s">
        <v>41894</v>
      </c>
      <c r="X6711" s="17" t="str">
        <f>HYPERLINK("https://my.pitchbook.com?p=254862-28P","View People Online")</f>
        <v>View People Online</v>
      </c>
    </row>
    <row r="6712">
      <c r="A6712" s="10" t="s">
        <v>41899</v>
      </c>
      <c r="B6712" s="10" t="s">
        <v>41900</v>
      </c>
      <c r="C6712" s="10" t="s">
        <v>731</v>
      </c>
      <c r="D6712" s="10" t="s">
        <v>41901</v>
      </c>
      <c r="E6712" s="10" t="s">
        <v>41894</v>
      </c>
      <c r="F6712" s="10" t="s">
        <v>29</v>
      </c>
      <c r="G6712" s="10" t="s">
        <v>41902</v>
      </c>
      <c r="H6712" s="11">
        <v>1.0</v>
      </c>
      <c r="I6712" s="11">
        <v>9.0</v>
      </c>
      <c r="J6712" s="11">
        <v>1.0</v>
      </c>
      <c r="K6712" s="11">
        <v>3.0</v>
      </c>
      <c r="L6712" s="12" t="s">
        <v>41896</v>
      </c>
      <c r="M6712" s="10" t="s">
        <v>41903</v>
      </c>
      <c r="N6712" s="10" t="s">
        <v>1181</v>
      </c>
      <c r="O6712" s="12" t="s">
        <v>1182</v>
      </c>
      <c r="P6712" s="10" t="s">
        <v>41898</v>
      </c>
      <c r="Q6712" s="10" t="s">
        <v>2276</v>
      </c>
      <c r="R6712" s="10" t="s">
        <v>1185</v>
      </c>
      <c r="S6712" s="12" t="s">
        <v>29487</v>
      </c>
      <c r="T6712" s="10" t="s">
        <v>66</v>
      </c>
      <c r="U6712" s="12" t="s">
        <v>31</v>
      </c>
      <c r="V6712" s="10" t="s">
        <v>29</v>
      </c>
      <c r="W6712" s="10" t="s">
        <v>41894</v>
      </c>
      <c r="X6712" s="13" t="str">
        <f>HYPERLINK("https://my.pitchbook.com?p=377602-48P","View People Online")</f>
        <v>View People Online</v>
      </c>
    </row>
    <row r="6713">
      <c r="A6713" s="14" t="s">
        <v>41904</v>
      </c>
      <c r="B6713" s="14" t="s">
        <v>41905</v>
      </c>
      <c r="C6713" s="14" t="s">
        <v>5003</v>
      </c>
      <c r="D6713" s="14" t="s">
        <v>41906</v>
      </c>
      <c r="E6713" s="14" t="s">
        <v>41894</v>
      </c>
      <c r="F6713" s="14" t="s">
        <v>81</v>
      </c>
      <c r="G6713" s="14" t="s">
        <v>41907</v>
      </c>
      <c r="H6713" s="15" t="s">
        <v>31</v>
      </c>
      <c r="I6713" s="15">
        <v>1.0</v>
      </c>
      <c r="J6713" s="15" t="s">
        <v>31</v>
      </c>
      <c r="K6713" s="15" t="s">
        <v>31</v>
      </c>
      <c r="L6713" s="16" t="s">
        <v>41896</v>
      </c>
      <c r="M6713" s="14" t="s">
        <v>41908</v>
      </c>
      <c r="N6713" s="14" t="s">
        <v>1181</v>
      </c>
      <c r="O6713" s="16" t="s">
        <v>1182</v>
      </c>
      <c r="P6713" s="14" t="s">
        <v>41898</v>
      </c>
      <c r="Q6713" s="14" t="s">
        <v>2276</v>
      </c>
      <c r="R6713" s="14" t="s">
        <v>1185</v>
      </c>
      <c r="S6713" s="16" t="s">
        <v>29487</v>
      </c>
      <c r="T6713" s="14" t="s">
        <v>66</v>
      </c>
      <c r="U6713" s="16" t="s">
        <v>31</v>
      </c>
      <c r="V6713" s="14" t="s">
        <v>81</v>
      </c>
      <c r="W6713" s="14" t="s">
        <v>41894</v>
      </c>
      <c r="X6713" s="17" t="str">
        <f>HYPERLINK("https://my.pitchbook.com?p=413077-15P","View People Online")</f>
        <v>View People Online</v>
      </c>
    </row>
    <row r="6714">
      <c r="A6714" s="10" t="s">
        <v>41909</v>
      </c>
      <c r="B6714" s="10" t="s">
        <v>41910</v>
      </c>
      <c r="C6714" s="10" t="s">
        <v>24471</v>
      </c>
      <c r="D6714" s="10" t="s">
        <v>30200</v>
      </c>
      <c r="E6714" s="10" t="s">
        <v>41894</v>
      </c>
      <c r="F6714" s="10" t="s">
        <v>41911</v>
      </c>
      <c r="G6714" s="10" t="s">
        <v>41912</v>
      </c>
      <c r="H6714" s="11" t="s">
        <v>31</v>
      </c>
      <c r="I6714" s="11">
        <v>1.0</v>
      </c>
      <c r="J6714" s="11">
        <v>1.0</v>
      </c>
      <c r="K6714" s="11" t="s">
        <v>31</v>
      </c>
      <c r="L6714" s="12" t="s">
        <v>41896</v>
      </c>
      <c r="M6714" s="10" t="s">
        <v>41913</v>
      </c>
      <c r="N6714" s="10" t="s">
        <v>1181</v>
      </c>
      <c r="O6714" s="12" t="s">
        <v>1182</v>
      </c>
      <c r="P6714" s="10" t="s">
        <v>41898</v>
      </c>
      <c r="Q6714" s="10" t="s">
        <v>2276</v>
      </c>
      <c r="R6714" s="10" t="s">
        <v>1185</v>
      </c>
      <c r="S6714" s="12" t="s">
        <v>29487</v>
      </c>
      <c r="T6714" s="10" t="s">
        <v>66</v>
      </c>
      <c r="U6714" s="12" t="s">
        <v>31</v>
      </c>
      <c r="V6714" s="10" t="s">
        <v>41914</v>
      </c>
      <c r="W6714" s="10" t="s">
        <v>41894</v>
      </c>
      <c r="X6714" s="13" t="str">
        <f>HYPERLINK("https://my.pitchbook.com?p=413079-13P","View People Online")</f>
        <v>View People Online</v>
      </c>
    </row>
    <row r="6715">
      <c r="A6715" s="6" t="s">
        <v>41915</v>
      </c>
      <c r="B6715" s="6" t="s">
        <v>41916</v>
      </c>
      <c r="C6715" s="6" t="s">
        <v>4404</v>
      </c>
      <c r="D6715" s="6" t="s">
        <v>41917</v>
      </c>
      <c r="E6715" s="6" t="s">
        <v>41894</v>
      </c>
      <c r="F6715" s="6" t="s">
        <v>81</v>
      </c>
      <c r="G6715" s="6" t="s">
        <v>41918</v>
      </c>
      <c r="H6715" s="7" t="s">
        <v>31</v>
      </c>
      <c r="I6715" s="7">
        <v>1.0</v>
      </c>
      <c r="J6715" s="7" t="s">
        <v>31</v>
      </c>
      <c r="K6715" s="7" t="s">
        <v>31</v>
      </c>
      <c r="L6715" s="8" t="s">
        <v>41896</v>
      </c>
      <c r="M6715" s="6" t="s">
        <v>41919</v>
      </c>
      <c r="N6715" s="6" t="s">
        <v>1181</v>
      </c>
      <c r="O6715" s="8" t="s">
        <v>1182</v>
      </c>
      <c r="P6715" s="6" t="s">
        <v>41898</v>
      </c>
      <c r="Q6715" s="6" t="s">
        <v>2276</v>
      </c>
      <c r="R6715" s="6" t="s">
        <v>1185</v>
      </c>
      <c r="S6715" s="8" t="s">
        <v>29487</v>
      </c>
      <c r="T6715" s="6" t="s">
        <v>66</v>
      </c>
      <c r="U6715" s="8" t="s">
        <v>31</v>
      </c>
      <c r="V6715" s="6" t="s">
        <v>81</v>
      </c>
      <c r="W6715" s="6" t="s">
        <v>41894</v>
      </c>
      <c r="X6715" s="9" t="str">
        <f>HYPERLINK("https://my.pitchbook.com?p=415949-86P","View People Online")</f>
        <v>View People Online</v>
      </c>
    </row>
    <row r="6716">
      <c r="A6716" s="2" t="s">
        <v>41920</v>
      </c>
      <c r="B6716" s="2" t="s">
        <v>41921</v>
      </c>
      <c r="C6716" s="2" t="s">
        <v>1356</v>
      </c>
      <c r="D6716" s="2" t="s">
        <v>41922</v>
      </c>
      <c r="E6716" s="2" t="s">
        <v>41894</v>
      </c>
      <c r="F6716" s="2" t="s">
        <v>674</v>
      </c>
      <c r="G6716" s="2" t="s">
        <v>41923</v>
      </c>
      <c r="H6716" s="3">
        <v>3.0</v>
      </c>
      <c r="I6716" s="3">
        <v>10.0</v>
      </c>
      <c r="J6716" s="3">
        <v>1.0</v>
      </c>
      <c r="K6716" s="3">
        <v>3.0</v>
      </c>
      <c r="L6716" s="4" t="s">
        <v>41896</v>
      </c>
      <c r="M6716" s="2" t="s">
        <v>41924</v>
      </c>
      <c r="N6716" s="2" t="s">
        <v>1181</v>
      </c>
      <c r="O6716" s="4" t="s">
        <v>1182</v>
      </c>
      <c r="P6716" s="2" t="s">
        <v>41898</v>
      </c>
      <c r="Q6716" s="2" t="s">
        <v>2276</v>
      </c>
      <c r="R6716" s="2" t="s">
        <v>1185</v>
      </c>
      <c r="S6716" s="4" t="s">
        <v>29487</v>
      </c>
      <c r="T6716" s="2" t="s">
        <v>66</v>
      </c>
      <c r="U6716" s="4" t="s">
        <v>31</v>
      </c>
      <c r="V6716" s="2" t="s">
        <v>1172</v>
      </c>
      <c r="W6716" s="2" t="s">
        <v>41894</v>
      </c>
      <c r="X6716" s="5" t="str">
        <f>HYPERLINK("https://my.pitchbook.com?p=98847-64P","View People Online")</f>
        <v>View People Online</v>
      </c>
    </row>
    <row r="6717">
      <c r="A6717" s="14" t="s">
        <v>41925</v>
      </c>
      <c r="B6717" s="14" t="s">
        <v>41926</v>
      </c>
      <c r="C6717" s="14" t="s">
        <v>4009</v>
      </c>
      <c r="D6717" s="14" t="s">
        <v>666</v>
      </c>
      <c r="E6717" s="14" t="s">
        <v>41894</v>
      </c>
      <c r="F6717" s="14" t="s">
        <v>81</v>
      </c>
      <c r="G6717" s="14" t="s">
        <v>41927</v>
      </c>
      <c r="H6717" s="15" t="s">
        <v>31</v>
      </c>
      <c r="I6717" s="15">
        <v>1.0</v>
      </c>
      <c r="J6717" s="15" t="s">
        <v>31</v>
      </c>
      <c r="K6717" s="15" t="s">
        <v>31</v>
      </c>
      <c r="L6717" s="16" t="s">
        <v>41896</v>
      </c>
      <c r="M6717" s="14" t="s">
        <v>41928</v>
      </c>
      <c r="N6717" s="14" t="s">
        <v>1181</v>
      </c>
      <c r="O6717" s="16" t="s">
        <v>1182</v>
      </c>
      <c r="P6717" s="14" t="s">
        <v>41898</v>
      </c>
      <c r="Q6717" s="14" t="s">
        <v>2276</v>
      </c>
      <c r="R6717" s="14" t="s">
        <v>1185</v>
      </c>
      <c r="S6717" s="16" t="s">
        <v>29487</v>
      </c>
      <c r="T6717" s="14" t="s">
        <v>66</v>
      </c>
      <c r="U6717" s="16" t="s">
        <v>31</v>
      </c>
      <c r="V6717" s="14" t="s">
        <v>81</v>
      </c>
      <c r="W6717" s="14" t="s">
        <v>41894</v>
      </c>
      <c r="X6717" s="17" t="str">
        <f>HYPERLINK("https://my.pitchbook.com?p=413076-61P","View People Online")</f>
        <v>View People Online</v>
      </c>
    </row>
    <row r="6718">
      <c r="A6718" s="10" t="s">
        <v>41929</v>
      </c>
      <c r="B6718" s="10" t="s">
        <v>41930</v>
      </c>
      <c r="C6718" s="10" t="s">
        <v>3554</v>
      </c>
      <c r="D6718" s="10" t="s">
        <v>28342</v>
      </c>
      <c r="E6718" s="10" t="s">
        <v>41894</v>
      </c>
      <c r="F6718" s="10" t="s">
        <v>29</v>
      </c>
      <c r="G6718" s="10" t="s">
        <v>41931</v>
      </c>
      <c r="H6718" s="11">
        <v>1.0</v>
      </c>
      <c r="I6718" s="11">
        <v>4.0</v>
      </c>
      <c r="J6718" s="11">
        <v>1.0</v>
      </c>
      <c r="K6718" s="11">
        <v>1.0</v>
      </c>
      <c r="L6718" s="12" t="s">
        <v>41896</v>
      </c>
      <c r="M6718" s="10" t="s">
        <v>41932</v>
      </c>
      <c r="N6718" s="10" t="s">
        <v>1181</v>
      </c>
      <c r="O6718" s="12" t="s">
        <v>1182</v>
      </c>
      <c r="P6718" s="10" t="s">
        <v>41898</v>
      </c>
      <c r="Q6718" s="10" t="s">
        <v>2276</v>
      </c>
      <c r="R6718" s="10" t="s">
        <v>1185</v>
      </c>
      <c r="S6718" s="12" t="s">
        <v>29487</v>
      </c>
      <c r="T6718" s="10" t="s">
        <v>66</v>
      </c>
      <c r="U6718" s="12" t="s">
        <v>31</v>
      </c>
      <c r="V6718" s="10" t="s">
        <v>29</v>
      </c>
      <c r="W6718" s="10" t="s">
        <v>41894</v>
      </c>
      <c r="X6718" s="13" t="str">
        <f>HYPERLINK("https://my.pitchbook.com?p=292399-93P","View People Online")</f>
        <v>View People Online</v>
      </c>
    </row>
    <row r="6719">
      <c r="A6719" s="6" t="s">
        <v>41933</v>
      </c>
      <c r="B6719" s="6" t="s">
        <v>41934</v>
      </c>
      <c r="C6719" s="6" t="s">
        <v>41935</v>
      </c>
      <c r="D6719" s="6" t="s">
        <v>41936</v>
      </c>
      <c r="E6719" s="6" t="s">
        <v>41894</v>
      </c>
      <c r="F6719" s="6" t="s">
        <v>81</v>
      </c>
      <c r="G6719" s="6" t="s">
        <v>41937</v>
      </c>
      <c r="H6719" s="7">
        <v>1.0</v>
      </c>
      <c r="I6719" s="7">
        <v>3.0</v>
      </c>
      <c r="J6719" s="7">
        <v>1.0</v>
      </c>
      <c r="K6719" s="7" t="s">
        <v>31</v>
      </c>
      <c r="L6719" s="8" t="s">
        <v>41938</v>
      </c>
      <c r="M6719" s="6" t="s">
        <v>31</v>
      </c>
      <c r="N6719" s="6" t="s">
        <v>41939</v>
      </c>
      <c r="O6719" s="8" t="s">
        <v>41940</v>
      </c>
      <c r="P6719" s="6" t="s">
        <v>41941</v>
      </c>
      <c r="Q6719" s="6" t="s">
        <v>1280</v>
      </c>
      <c r="R6719" s="6" t="s">
        <v>209</v>
      </c>
      <c r="S6719" s="8" t="s">
        <v>41942</v>
      </c>
      <c r="T6719" s="6" t="s">
        <v>66</v>
      </c>
      <c r="U6719" s="8" t="s">
        <v>31</v>
      </c>
      <c r="V6719" s="6" t="s">
        <v>2379</v>
      </c>
      <c r="W6719" s="6" t="s">
        <v>41943</v>
      </c>
      <c r="X6719" s="9" t="str">
        <f>HYPERLINK("https://my.pitchbook.com?p=34514-02P","View People Online")</f>
        <v>View People Online</v>
      </c>
    </row>
    <row r="6720">
      <c r="A6720" s="10" t="s">
        <v>41944</v>
      </c>
      <c r="B6720" s="10" t="s">
        <v>41945</v>
      </c>
      <c r="C6720" s="10" t="s">
        <v>928</v>
      </c>
      <c r="D6720" s="10" t="s">
        <v>41946</v>
      </c>
      <c r="E6720" s="10" t="s">
        <v>41894</v>
      </c>
      <c r="F6720" s="10" t="s">
        <v>81</v>
      </c>
      <c r="G6720" s="10" t="s">
        <v>41947</v>
      </c>
      <c r="H6720" s="11" t="s">
        <v>31</v>
      </c>
      <c r="I6720" s="11">
        <v>1.0</v>
      </c>
      <c r="J6720" s="11" t="s">
        <v>31</v>
      </c>
      <c r="K6720" s="11" t="s">
        <v>31</v>
      </c>
      <c r="L6720" s="12" t="s">
        <v>41896</v>
      </c>
      <c r="M6720" s="10" t="s">
        <v>41948</v>
      </c>
      <c r="N6720" s="10" t="s">
        <v>1181</v>
      </c>
      <c r="O6720" s="12" t="s">
        <v>1182</v>
      </c>
      <c r="P6720" s="10" t="s">
        <v>41898</v>
      </c>
      <c r="Q6720" s="10" t="s">
        <v>2276</v>
      </c>
      <c r="R6720" s="10" t="s">
        <v>1185</v>
      </c>
      <c r="S6720" s="12" t="s">
        <v>29487</v>
      </c>
      <c r="T6720" s="10" t="s">
        <v>66</v>
      </c>
      <c r="U6720" s="12" t="s">
        <v>31</v>
      </c>
      <c r="V6720" s="10" t="s">
        <v>81</v>
      </c>
      <c r="W6720" s="10" t="s">
        <v>41894</v>
      </c>
      <c r="X6720" s="13" t="str">
        <f>HYPERLINK("https://my.pitchbook.com?p=413073-10P","View People Online")</f>
        <v>View People Online</v>
      </c>
    </row>
    <row r="6721">
      <c r="A6721" s="14" t="s">
        <v>41949</v>
      </c>
      <c r="B6721" s="14" t="s">
        <v>41950</v>
      </c>
      <c r="C6721" s="14" t="s">
        <v>934</v>
      </c>
      <c r="D6721" s="14" t="s">
        <v>41951</v>
      </c>
      <c r="E6721" s="14" t="s">
        <v>41894</v>
      </c>
      <c r="F6721" s="14" t="s">
        <v>81</v>
      </c>
      <c r="G6721" s="14" t="s">
        <v>41952</v>
      </c>
      <c r="H6721" s="15">
        <v>1.0</v>
      </c>
      <c r="I6721" s="15">
        <v>8.0</v>
      </c>
      <c r="J6721" s="15">
        <v>1.0</v>
      </c>
      <c r="K6721" s="15" t="s">
        <v>31</v>
      </c>
      <c r="L6721" s="16" t="s">
        <v>41953</v>
      </c>
      <c r="M6721" s="14" t="s">
        <v>41954</v>
      </c>
      <c r="N6721" s="14" t="s">
        <v>41955</v>
      </c>
      <c r="O6721" s="16" t="s">
        <v>41956</v>
      </c>
      <c r="P6721" s="14" t="s">
        <v>41957</v>
      </c>
      <c r="Q6721" s="14" t="s">
        <v>31</v>
      </c>
      <c r="R6721" s="14" t="s">
        <v>32274</v>
      </c>
      <c r="S6721" s="16" t="s">
        <v>41958</v>
      </c>
      <c r="T6721" s="14" t="s">
        <v>66</v>
      </c>
      <c r="U6721" s="16" t="s">
        <v>41959</v>
      </c>
      <c r="V6721" s="14" t="s">
        <v>41960</v>
      </c>
      <c r="W6721" s="14" t="s">
        <v>41961</v>
      </c>
      <c r="X6721" s="17" t="str">
        <f>HYPERLINK("https://my.pitchbook.com?p=14806-99P","View People Online")</f>
        <v>View People Online</v>
      </c>
    </row>
    <row r="6722">
      <c r="A6722" s="2" t="s">
        <v>41962</v>
      </c>
      <c r="B6722" s="2" t="s">
        <v>41963</v>
      </c>
      <c r="C6722" s="2" t="s">
        <v>41964</v>
      </c>
      <c r="D6722" s="2" t="s">
        <v>41965</v>
      </c>
      <c r="E6722" s="2" t="s">
        <v>41894</v>
      </c>
      <c r="F6722" s="2" t="s">
        <v>81</v>
      </c>
      <c r="G6722" s="2" t="s">
        <v>41966</v>
      </c>
      <c r="H6722" s="3">
        <v>2.0</v>
      </c>
      <c r="I6722" s="3">
        <v>5.0</v>
      </c>
      <c r="J6722" s="3">
        <v>2.0</v>
      </c>
      <c r="K6722" s="3" t="s">
        <v>31</v>
      </c>
      <c r="L6722" s="4" t="s">
        <v>41967</v>
      </c>
      <c r="M6722" s="2" t="s">
        <v>41968</v>
      </c>
      <c r="N6722" s="2" t="s">
        <v>1170</v>
      </c>
      <c r="O6722" s="4" t="s">
        <v>1171</v>
      </c>
      <c r="P6722" s="2" t="s">
        <v>41969</v>
      </c>
      <c r="Q6722" s="2" t="s">
        <v>41970</v>
      </c>
      <c r="R6722" s="2" t="s">
        <v>64</v>
      </c>
      <c r="S6722" s="4" t="s">
        <v>41971</v>
      </c>
      <c r="T6722" s="2" t="s">
        <v>66</v>
      </c>
      <c r="U6722" s="4" t="s">
        <v>31</v>
      </c>
      <c r="V6722" s="2" t="s">
        <v>41972</v>
      </c>
      <c r="W6722" s="2" t="s">
        <v>41973</v>
      </c>
      <c r="X6722" s="5" t="str">
        <f>HYPERLINK("https://my.pitchbook.com?p=381775-06P","View People Online")</f>
        <v>View People Online</v>
      </c>
    </row>
    <row r="6723">
      <c r="A6723" s="6" t="s">
        <v>41974</v>
      </c>
      <c r="B6723" s="6" t="s">
        <v>41975</v>
      </c>
      <c r="C6723" s="6" t="s">
        <v>562</v>
      </c>
      <c r="D6723" s="6" t="s">
        <v>41976</v>
      </c>
      <c r="E6723" s="6" t="s">
        <v>41894</v>
      </c>
      <c r="F6723" s="6" t="s">
        <v>114</v>
      </c>
      <c r="G6723" s="6" t="s">
        <v>41977</v>
      </c>
      <c r="H6723" s="7">
        <v>3.0</v>
      </c>
      <c r="I6723" s="7">
        <v>8.0</v>
      </c>
      <c r="J6723" s="7">
        <v>5.0</v>
      </c>
      <c r="K6723" s="7">
        <v>1.0</v>
      </c>
      <c r="L6723" s="8" t="s">
        <v>31</v>
      </c>
      <c r="M6723" s="6" t="s">
        <v>41978</v>
      </c>
      <c r="N6723" s="6" t="s">
        <v>35354</v>
      </c>
      <c r="O6723" s="8" t="s">
        <v>35355</v>
      </c>
      <c r="P6723" s="6" t="s">
        <v>41979</v>
      </c>
      <c r="Q6723" s="6" t="s">
        <v>41980</v>
      </c>
      <c r="R6723" s="6" t="s">
        <v>1185</v>
      </c>
      <c r="S6723" s="8" t="s">
        <v>35357</v>
      </c>
      <c r="T6723" s="6" t="s">
        <v>66</v>
      </c>
      <c r="U6723" s="8" t="s">
        <v>31</v>
      </c>
      <c r="V6723" s="6" t="s">
        <v>27016</v>
      </c>
      <c r="W6723" s="6" t="s">
        <v>41981</v>
      </c>
      <c r="X6723" s="9" t="str">
        <f>HYPERLINK("https://my.pitchbook.com?p=47105-38P","View People Online")</f>
        <v>View People Online</v>
      </c>
    </row>
    <row r="6724">
      <c r="A6724" s="2" t="s">
        <v>41982</v>
      </c>
      <c r="B6724" s="2" t="s">
        <v>41983</v>
      </c>
      <c r="C6724" s="2" t="s">
        <v>41984</v>
      </c>
      <c r="D6724" s="2" t="s">
        <v>2269</v>
      </c>
      <c r="E6724" s="2" t="s">
        <v>41894</v>
      </c>
      <c r="F6724" s="2" t="s">
        <v>548</v>
      </c>
      <c r="G6724" s="2" t="s">
        <v>41985</v>
      </c>
      <c r="H6724" s="3" t="s">
        <v>31</v>
      </c>
      <c r="I6724" s="3">
        <v>1.0</v>
      </c>
      <c r="J6724" s="3">
        <v>1.0</v>
      </c>
      <c r="K6724" s="3" t="s">
        <v>31</v>
      </c>
      <c r="L6724" s="4" t="s">
        <v>41986</v>
      </c>
      <c r="M6724" s="2" t="s">
        <v>41987</v>
      </c>
      <c r="N6724" s="2" t="s">
        <v>1181</v>
      </c>
      <c r="O6724" s="4" t="s">
        <v>1182</v>
      </c>
      <c r="P6724" s="2" t="s">
        <v>41898</v>
      </c>
      <c r="Q6724" s="2" t="s">
        <v>2276</v>
      </c>
      <c r="R6724" s="2" t="s">
        <v>1185</v>
      </c>
      <c r="S6724" s="4" t="s">
        <v>29487</v>
      </c>
      <c r="T6724" s="2" t="s">
        <v>66</v>
      </c>
      <c r="U6724" s="4" t="s">
        <v>31</v>
      </c>
      <c r="V6724" s="2" t="s">
        <v>41988</v>
      </c>
      <c r="W6724" s="2" t="s">
        <v>41894</v>
      </c>
      <c r="X6724" s="5" t="str">
        <f>HYPERLINK("https://my.pitchbook.com?p=377606-44P","View People Online")</f>
        <v>View People Online</v>
      </c>
    </row>
    <row r="6725">
      <c r="A6725" s="14" t="s">
        <v>41989</v>
      </c>
      <c r="B6725" s="14" t="s">
        <v>41990</v>
      </c>
      <c r="C6725" s="14" t="s">
        <v>10008</v>
      </c>
      <c r="D6725" s="14" t="s">
        <v>41991</v>
      </c>
      <c r="E6725" s="14" t="s">
        <v>41992</v>
      </c>
      <c r="F6725" s="14" t="s">
        <v>713</v>
      </c>
      <c r="G6725" s="14" t="s">
        <v>41993</v>
      </c>
      <c r="H6725" s="15" t="s">
        <v>31</v>
      </c>
      <c r="I6725" s="15">
        <v>6.0</v>
      </c>
      <c r="J6725" s="15">
        <v>1.0</v>
      </c>
      <c r="K6725" s="15">
        <v>5.0</v>
      </c>
      <c r="L6725" s="16" t="s">
        <v>41994</v>
      </c>
      <c r="M6725" s="14" t="s">
        <v>41995</v>
      </c>
      <c r="N6725" s="14" t="s">
        <v>10983</v>
      </c>
      <c r="O6725" s="16" t="s">
        <v>37748</v>
      </c>
      <c r="P6725" s="14" t="s">
        <v>41996</v>
      </c>
      <c r="Q6725" s="14" t="s">
        <v>25468</v>
      </c>
      <c r="R6725" s="14" t="s">
        <v>37751</v>
      </c>
      <c r="S6725" s="16" t="s">
        <v>41997</v>
      </c>
      <c r="T6725" s="14" t="s">
        <v>66</v>
      </c>
      <c r="U6725" s="16" t="s">
        <v>31</v>
      </c>
      <c r="V6725" s="14" t="s">
        <v>713</v>
      </c>
      <c r="W6725" s="14" t="s">
        <v>41992</v>
      </c>
      <c r="X6725" s="17" t="str">
        <f>HYPERLINK("https://my.pitchbook.com?p=231012-91P","View People Online")</f>
        <v>View People Online</v>
      </c>
    </row>
    <row r="6726">
      <c r="A6726" s="2" t="s">
        <v>41998</v>
      </c>
      <c r="B6726" s="2" t="s">
        <v>41999</v>
      </c>
      <c r="C6726" s="2" t="s">
        <v>4015</v>
      </c>
      <c r="D6726" s="2" t="s">
        <v>42000</v>
      </c>
      <c r="E6726" s="2" t="s">
        <v>41992</v>
      </c>
      <c r="F6726" s="2" t="s">
        <v>371</v>
      </c>
      <c r="G6726" s="2" t="s">
        <v>42001</v>
      </c>
      <c r="H6726" s="3" t="s">
        <v>31</v>
      </c>
      <c r="I6726" s="3">
        <v>4.0</v>
      </c>
      <c r="J6726" s="3">
        <v>1.0</v>
      </c>
      <c r="K6726" s="3">
        <v>3.0</v>
      </c>
      <c r="L6726" s="4" t="s">
        <v>31</v>
      </c>
      <c r="M6726" s="2" t="s">
        <v>42002</v>
      </c>
      <c r="N6726" s="2" t="s">
        <v>10983</v>
      </c>
      <c r="O6726" s="4" t="s">
        <v>37748</v>
      </c>
      <c r="P6726" s="2" t="s">
        <v>41996</v>
      </c>
      <c r="Q6726" s="2" t="s">
        <v>25468</v>
      </c>
      <c r="R6726" s="2" t="s">
        <v>37751</v>
      </c>
      <c r="S6726" s="4" t="s">
        <v>41997</v>
      </c>
      <c r="T6726" s="2" t="s">
        <v>66</v>
      </c>
      <c r="U6726" s="4" t="s">
        <v>31</v>
      </c>
      <c r="V6726" s="2" t="s">
        <v>42003</v>
      </c>
      <c r="W6726" s="2" t="s">
        <v>41992</v>
      </c>
      <c r="X6726" s="5" t="str">
        <f>HYPERLINK("https://my.pitchbook.com?p=268729-12P","View People Online")</f>
        <v>View People Online</v>
      </c>
    </row>
    <row r="6727">
      <c r="A6727" s="14" t="s">
        <v>42004</v>
      </c>
      <c r="B6727" s="14" t="s">
        <v>42005</v>
      </c>
      <c r="C6727" s="14" t="s">
        <v>1588</v>
      </c>
      <c r="D6727" s="14" t="s">
        <v>27682</v>
      </c>
      <c r="E6727" s="14" t="s">
        <v>42006</v>
      </c>
      <c r="F6727" s="14" t="s">
        <v>2590</v>
      </c>
      <c r="G6727" s="14" t="s">
        <v>42007</v>
      </c>
      <c r="H6727" s="15">
        <v>1.0</v>
      </c>
      <c r="I6727" s="15">
        <v>9.0</v>
      </c>
      <c r="J6727" s="15">
        <v>3.0</v>
      </c>
      <c r="K6727" s="15">
        <v>5.0</v>
      </c>
      <c r="L6727" s="16" t="s">
        <v>42008</v>
      </c>
      <c r="M6727" s="14" t="s">
        <v>42009</v>
      </c>
      <c r="N6727" s="14" t="s">
        <v>1170</v>
      </c>
      <c r="O6727" s="16" t="s">
        <v>1171</v>
      </c>
      <c r="P6727" s="14" t="s">
        <v>42010</v>
      </c>
      <c r="Q6727" s="14" t="s">
        <v>31</v>
      </c>
      <c r="R6727" s="14" t="s">
        <v>64</v>
      </c>
      <c r="S6727" s="16" t="s">
        <v>42011</v>
      </c>
      <c r="T6727" s="14" t="s">
        <v>66</v>
      </c>
      <c r="U6727" s="16" t="s">
        <v>31</v>
      </c>
      <c r="V6727" s="14" t="s">
        <v>12675</v>
      </c>
      <c r="W6727" s="14" t="s">
        <v>42006</v>
      </c>
      <c r="X6727" s="17" t="str">
        <f>HYPERLINK("https://my.pitchbook.com?p=199784-89P","View People Online")</f>
        <v>View People Online</v>
      </c>
    </row>
    <row r="6728">
      <c r="A6728" s="10" t="s">
        <v>42012</v>
      </c>
      <c r="B6728" s="10" t="s">
        <v>42013</v>
      </c>
      <c r="C6728" s="10" t="s">
        <v>1449</v>
      </c>
      <c r="D6728" s="10" t="s">
        <v>42014</v>
      </c>
      <c r="E6728" s="10" t="s">
        <v>42015</v>
      </c>
      <c r="F6728" s="10" t="s">
        <v>2994</v>
      </c>
      <c r="G6728" s="10" t="s">
        <v>42016</v>
      </c>
      <c r="H6728" s="11">
        <v>4.0</v>
      </c>
      <c r="I6728" s="11">
        <v>10.0</v>
      </c>
      <c r="J6728" s="11">
        <v>3.0</v>
      </c>
      <c r="K6728" s="11">
        <v>6.0</v>
      </c>
      <c r="L6728" s="12" t="s">
        <v>31</v>
      </c>
      <c r="M6728" s="10" t="s">
        <v>42017</v>
      </c>
      <c r="N6728" s="10" t="s">
        <v>28211</v>
      </c>
      <c r="O6728" s="12" t="s">
        <v>28212</v>
      </c>
      <c r="P6728" s="10" t="s">
        <v>42018</v>
      </c>
      <c r="Q6728" s="10" t="s">
        <v>42019</v>
      </c>
      <c r="R6728" s="10" t="s">
        <v>28214</v>
      </c>
      <c r="S6728" s="12" t="s">
        <v>42020</v>
      </c>
      <c r="T6728" s="10" t="s">
        <v>66</v>
      </c>
      <c r="U6728" s="12" t="s">
        <v>31</v>
      </c>
      <c r="V6728" s="10" t="s">
        <v>42021</v>
      </c>
      <c r="W6728" s="10" t="s">
        <v>42022</v>
      </c>
      <c r="X6728" s="13" t="str">
        <f>HYPERLINK("https://my.pitchbook.com?p=127882-72P","View People Online")</f>
        <v>View People Online</v>
      </c>
    </row>
    <row r="6729">
      <c r="A6729" s="6" t="s">
        <v>42023</v>
      </c>
      <c r="B6729" s="6" t="s">
        <v>42024</v>
      </c>
      <c r="C6729" s="6" t="s">
        <v>2288</v>
      </c>
      <c r="D6729" s="6" t="s">
        <v>42025</v>
      </c>
      <c r="E6729" s="6" t="s">
        <v>42015</v>
      </c>
      <c r="F6729" s="6" t="s">
        <v>674</v>
      </c>
      <c r="G6729" s="6" t="s">
        <v>42026</v>
      </c>
      <c r="H6729" s="7">
        <v>2.0</v>
      </c>
      <c r="I6729" s="7">
        <v>7.0</v>
      </c>
      <c r="J6729" s="7">
        <v>3.0</v>
      </c>
      <c r="K6729" s="7">
        <v>3.0</v>
      </c>
      <c r="L6729" s="8" t="s">
        <v>42027</v>
      </c>
      <c r="M6729" s="6" t="s">
        <v>42028</v>
      </c>
      <c r="N6729" s="6" t="s">
        <v>28211</v>
      </c>
      <c r="O6729" s="8" t="s">
        <v>28212</v>
      </c>
      <c r="P6729" s="6" t="s">
        <v>42018</v>
      </c>
      <c r="Q6729" s="6" t="s">
        <v>42029</v>
      </c>
      <c r="R6729" s="6" t="s">
        <v>28214</v>
      </c>
      <c r="S6729" s="8" t="s">
        <v>42020</v>
      </c>
      <c r="T6729" s="6" t="s">
        <v>66</v>
      </c>
      <c r="U6729" s="8" t="s">
        <v>31</v>
      </c>
      <c r="V6729" s="6" t="s">
        <v>1172</v>
      </c>
      <c r="W6729" s="6" t="s">
        <v>42015</v>
      </c>
      <c r="X6729" s="9" t="str">
        <f>HYPERLINK("https://my.pitchbook.com?p=123039-28P","View People Online")</f>
        <v>View People Online</v>
      </c>
    </row>
    <row r="6730">
      <c r="A6730" s="10" t="s">
        <v>42030</v>
      </c>
      <c r="B6730" s="10" t="s">
        <v>42031</v>
      </c>
      <c r="C6730" s="10" t="s">
        <v>42032</v>
      </c>
      <c r="D6730" s="10" t="s">
        <v>42033</v>
      </c>
      <c r="E6730" s="10" t="s">
        <v>42015</v>
      </c>
      <c r="F6730" s="10" t="s">
        <v>78</v>
      </c>
      <c r="G6730" s="10" t="s">
        <v>42034</v>
      </c>
      <c r="H6730" s="11" t="s">
        <v>31</v>
      </c>
      <c r="I6730" s="11">
        <v>2.0</v>
      </c>
      <c r="J6730" s="11">
        <v>2.0</v>
      </c>
      <c r="K6730" s="11" t="s">
        <v>31</v>
      </c>
      <c r="L6730" s="12" t="s">
        <v>42035</v>
      </c>
      <c r="M6730" s="10" t="s">
        <v>42036</v>
      </c>
      <c r="N6730" s="10" t="s">
        <v>155</v>
      </c>
      <c r="O6730" s="12" t="s">
        <v>156</v>
      </c>
      <c r="P6730" s="10" t="s">
        <v>42037</v>
      </c>
      <c r="Q6730" s="10" t="s">
        <v>31</v>
      </c>
      <c r="R6730" s="10" t="s">
        <v>64</v>
      </c>
      <c r="S6730" s="12" t="s">
        <v>24247</v>
      </c>
      <c r="T6730" s="10" t="s">
        <v>66</v>
      </c>
      <c r="U6730" s="12" t="s">
        <v>31</v>
      </c>
      <c r="V6730" s="10" t="s">
        <v>78</v>
      </c>
      <c r="W6730" s="10" t="s">
        <v>42038</v>
      </c>
      <c r="X6730" s="13" t="str">
        <f>HYPERLINK("https://my.pitchbook.com?p=253251-01P","View People Online")</f>
        <v>View People Online</v>
      </c>
    </row>
    <row r="6731">
      <c r="A6731" s="6" t="s">
        <v>42039</v>
      </c>
      <c r="B6731" s="6" t="s">
        <v>42040</v>
      </c>
      <c r="C6731" s="6" t="s">
        <v>42041</v>
      </c>
      <c r="D6731" s="6" t="s">
        <v>42042</v>
      </c>
      <c r="E6731" s="6" t="s">
        <v>42043</v>
      </c>
      <c r="F6731" s="6" t="s">
        <v>152</v>
      </c>
      <c r="G6731" s="6" t="s">
        <v>42044</v>
      </c>
      <c r="H6731" s="7" t="s">
        <v>31</v>
      </c>
      <c r="I6731" s="7">
        <v>15.0</v>
      </c>
      <c r="J6731" s="7">
        <v>1.0</v>
      </c>
      <c r="K6731" s="7">
        <v>14.0</v>
      </c>
      <c r="L6731" s="8" t="s">
        <v>31</v>
      </c>
      <c r="M6731" s="6" t="s">
        <v>42045</v>
      </c>
      <c r="N6731" s="6" t="s">
        <v>42046</v>
      </c>
      <c r="O6731" s="8" t="s">
        <v>42047</v>
      </c>
      <c r="P6731" s="6" t="s">
        <v>42048</v>
      </c>
      <c r="Q6731" s="6" t="s">
        <v>31</v>
      </c>
      <c r="R6731" s="6" t="s">
        <v>31</v>
      </c>
      <c r="S6731" s="8" t="s">
        <v>42049</v>
      </c>
      <c r="T6731" s="6" t="s">
        <v>38</v>
      </c>
      <c r="U6731" s="8" t="s">
        <v>31</v>
      </c>
      <c r="V6731" s="6" t="s">
        <v>152</v>
      </c>
      <c r="W6731" s="6" t="s">
        <v>42043</v>
      </c>
      <c r="X6731" s="9" t="str">
        <f>HYPERLINK("https://my.pitchbook.com?p=128873-98P","View People Online")</f>
        <v>View People Online</v>
      </c>
    </row>
    <row r="6732">
      <c r="A6732" s="2" t="s">
        <v>42050</v>
      </c>
      <c r="B6732" s="2" t="s">
        <v>42051</v>
      </c>
      <c r="C6732" s="2" t="s">
        <v>48</v>
      </c>
      <c r="D6732" s="2" t="s">
        <v>42052</v>
      </c>
      <c r="E6732" s="2" t="s">
        <v>42043</v>
      </c>
      <c r="F6732" s="2" t="s">
        <v>667</v>
      </c>
      <c r="G6732" s="2" t="s">
        <v>42053</v>
      </c>
      <c r="H6732" s="3" t="s">
        <v>31</v>
      </c>
      <c r="I6732" s="3">
        <v>1.0</v>
      </c>
      <c r="J6732" s="3">
        <v>1.0</v>
      </c>
      <c r="K6732" s="3" t="s">
        <v>31</v>
      </c>
      <c r="L6732" s="4" t="s">
        <v>31</v>
      </c>
      <c r="M6732" s="2" t="s">
        <v>42054</v>
      </c>
      <c r="N6732" s="2" t="s">
        <v>42046</v>
      </c>
      <c r="O6732" s="4" t="s">
        <v>42047</v>
      </c>
      <c r="P6732" s="2" t="s">
        <v>42048</v>
      </c>
      <c r="Q6732" s="2" t="s">
        <v>31</v>
      </c>
      <c r="R6732" s="2" t="s">
        <v>31</v>
      </c>
      <c r="S6732" s="4" t="s">
        <v>42049</v>
      </c>
      <c r="T6732" s="2" t="s">
        <v>38</v>
      </c>
      <c r="U6732" s="4" t="s">
        <v>31</v>
      </c>
      <c r="V6732" s="2" t="s">
        <v>667</v>
      </c>
      <c r="W6732" s="2" t="s">
        <v>42043</v>
      </c>
      <c r="X6732" s="5" t="str">
        <f>HYPERLINK("https://my.pitchbook.com?p=413048-08P","View People Online")</f>
        <v>View People Online</v>
      </c>
    </row>
    <row r="6733">
      <c r="A6733" s="14" t="s">
        <v>42055</v>
      </c>
      <c r="B6733" s="14" t="s">
        <v>42056</v>
      </c>
      <c r="C6733" s="14" t="s">
        <v>14460</v>
      </c>
      <c r="D6733" s="14" t="s">
        <v>42057</v>
      </c>
      <c r="E6733" s="14" t="s">
        <v>42058</v>
      </c>
      <c r="F6733" s="14" t="s">
        <v>2731</v>
      </c>
      <c r="G6733" s="14" t="s">
        <v>42059</v>
      </c>
      <c r="H6733" s="15">
        <v>3.0</v>
      </c>
      <c r="I6733" s="15">
        <v>18.0</v>
      </c>
      <c r="J6733" s="15">
        <v>1.0</v>
      </c>
      <c r="K6733" s="15">
        <v>9.0</v>
      </c>
      <c r="L6733" s="16" t="s">
        <v>42060</v>
      </c>
      <c r="M6733" s="14" t="s">
        <v>42061</v>
      </c>
      <c r="N6733" s="14" t="s">
        <v>155</v>
      </c>
      <c r="O6733" s="16" t="s">
        <v>156</v>
      </c>
      <c r="P6733" s="14" t="s">
        <v>42062</v>
      </c>
      <c r="Q6733" s="14" t="s">
        <v>2566</v>
      </c>
      <c r="R6733" s="14" t="s">
        <v>64</v>
      </c>
      <c r="S6733" s="16" t="s">
        <v>1549</v>
      </c>
      <c r="T6733" s="14" t="s">
        <v>66</v>
      </c>
      <c r="U6733" s="16" t="s">
        <v>31</v>
      </c>
      <c r="V6733" s="14" t="s">
        <v>1114</v>
      </c>
      <c r="W6733" s="14" t="s">
        <v>42063</v>
      </c>
      <c r="X6733" s="17" t="str">
        <f>HYPERLINK("https://my.pitchbook.com?p=14166-91P","View People Online")</f>
        <v>View People Online</v>
      </c>
    </row>
    <row r="6734">
      <c r="A6734" s="2" t="s">
        <v>42064</v>
      </c>
      <c r="B6734" s="2" t="s">
        <v>42065</v>
      </c>
      <c r="C6734" s="2" t="s">
        <v>42066</v>
      </c>
      <c r="D6734" s="2" t="s">
        <v>42067</v>
      </c>
      <c r="E6734" s="2" t="s">
        <v>42058</v>
      </c>
      <c r="F6734" s="2" t="s">
        <v>318</v>
      </c>
      <c r="G6734" s="2" t="s">
        <v>42068</v>
      </c>
      <c r="H6734" s="3" t="s">
        <v>31</v>
      </c>
      <c r="I6734" s="3">
        <v>1.0</v>
      </c>
      <c r="J6734" s="3">
        <v>1.0</v>
      </c>
      <c r="K6734" s="3" t="s">
        <v>31</v>
      </c>
      <c r="L6734" s="4" t="s">
        <v>42069</v>
      </c>
      <c r="M6734" s="2" t="s">
        <v>42070</v>
      </c>
      <c r="N6734" s="2" t="s">
        <v>10144</v>
      </c>
      <c r="O6734" s="4" t="s">
        <v>10145</v>
      </c>
      <c r="P6734" s="2" t="s">
        <v>42071</v>
      </c>
      <c r="Q6734" s="2" t="s">
        <v>31</v>
      </c>
      <c r="R6734" s="2" t="s">
        <v>64</v>
      </c>
      <c r="S6734" s="4" t="s">
        <v>10147</v>
      </c>
      <c r="T6734" s="2" t="s">
        <v>66</v>
      </c>
      <c r="U6734" s="4" t="s">
        <v>31</v>
      </c>
      <c r="V6734" s="2" t="s">
        <v>318</v>
      </c>
      <c r="W6734" s="2" t="s">
        <v>42058</v>
      </c>
      <c r="X6734" s="5" t="str">
        <f>HYPERLINK("https://my.pitchbook.com?p=246987-82P","View People Online")</f>
        <v>View People Online</v>
      </c>
    </row>
    <row r="6735">
      <c r="A6735" s="14" t="s">
        <v>42072</v>
      </c>
      <c r="B6735" s="14" t="s">
        <v>42073</v>
      </c>
      <c r="C6735" s="14" t="s">
        <v>54</v>
      </c>
      <c r="D6735" s="14" t="s">
        <v>42074</v>
      </c>
      <c r="E6735" s="14" t="s">
        <v>42058</v>
      </c>
      <c r="F6735" s="14" t="s">
        <v>29</v>
      </c>
      <c r="G6735" s="14" t="s">
        <v>42075</v>
      </c>
      <c r="H6735" s="15">
        <v>1.0</v>
      </c>
      <c r="I6735" s="15">
        <v>13.0</v>
      </c>
      <c r="J6735" s="15">
        <v>1.0</v>
      </c>
      <c r="K6735" s="15">
        <v>7.0</v>
      </c>
      <c r="L6735" s="16" t="s">
        <v>42069</v>
      </c>
      <c r="M6735" s="14" t="s">
        <v>42076</v>
      </c>
      <c r="N6735" s="14" t="s">
        <v>10144</v>
      </c>
      <c r="O6735" s="16" t="s">
        <v>10145</v>
      </c>
      <c r="P6735" s="14" t="s">
        <v>42071</v>
      </c>
      <c r="Q6735" s="14" t="s">
        <v>31</v>
      </c>
      <c r="R6735" s="14" t="s">
        <v>64</v>
      </c>
      <c r="S6735" s="16" t="s">
        <v>10147</v>
      </c>
      <c r="T6735" s="14" t="s">
        <v>66</v>
      </c>
      <c r="U6735" s="16" t="s">
        <v>31</v>
      </c>
      <c r="V6735" s="14" t="s">
        <v>29</v>
      </c>
      <c r="W6735" s="14" t="s">
        <v>42058</v>
      </c>
      <c r="X6735" s="17" t="str">
        <f>HYPERLINK("https://my.pitchbook.com?p=62702-02P","View People Online")</f>
        <v>View People Online</v>
      </c>
    </row>
    <row r="6736">
      <c r="A6736" s="10" t="s">
        <v>42077</v>
      </c>
      <c r="B6736" s="10" t="s">
        <v>42078</v>
      </c>
      <c r="C6736" s="10" t="s">
        <v>4169</v>
      </c>
      <c r="D6736" s="10" t="s">
        <v>42079</v>
      </c>
      <c r="E6736" s="10" t="s">
        <v>42058</v>
      </c>
      <c r="F6736" s="10" t="s">
        <v>114</v>
      </c>
      <c r="G6736" s="10" t="s">
        <v>42080</v>
      </c>
      <c r="H6736" s="11" t="s">
        <v>31</v>
      </c>
      <c r="I6736" s="11">
        <v>1.0</v>
      </c>
      <c r="J6736" s="11">
        <v>1.0</v>
      </c>
      <c r="K6736" s="11" t="s">
        <v>31</v>
      </c>
      <c r="L6736" s="12" t="s">
        <v>42069</v>
      </c>
      <c r="M6736" s="10" t="s">
        <v>42081</v>
      </c>
      <c r="N6736" s="10" t="s">
        <v>10144</v>
      </c>
      <c r="O6736" s="12" t="s">
        <v>10145</v>
      </c>
      <c r="P6736" s="10" t="s">
        <v>42071</v>
      </c>
      <c r="Q6736" s="10" t="s">
        <v>31</v>
      </c>
      <c r="R6736" s="10" t="s">
        <v>64</v>
      </c>
      <c r="S6736" s="12" t="s">
        <v>10147</v>
      </c>
      <c r="T6736" s="10" t="s">
        <v>66</v>
      </c>
      <c r="U6736" s="12" t="s">
        <v>31</v>
      </c>
      <c r="V6736" s="10" t="s">
        <v>114</v>
      </c>
      <c r="W6736" s="10" t="s">
        <v>42058</v>
      </c>
      <c r="X6736" s="13" t="str">
        <f>HYPERLINK("https://my.pitchbook.com?p=227739-52P","View People Online")</f>
        <v>View People Online</v>
      </c>
    </row>
    <row r="6737">
      <c r="A6737" s="14" t="s">
        <v>42082</v>
      </c>
      <c r="B6737" s="14" t="s">
        <v>42083</v>
      </c>
      <c r="C6737" s="14" t="s">
        <v>1929</v>
      </c>
      <c r="D6737" s="14" t="s">
        <v>4937</v>
      </c>
      <c r="E6737" s="14" t="s">
        <v>42058</v>
      </c>
      <c r="F6737" s="14" t="s">
        <v>57</v>
      </c>
      <c r="G6737" s="14" t="s">
        <v>42084</v>
      </c>
      <c r="H6737" s="15" t="s">
        <v>31</v>
      </c>
      <c r="I6737" s="15">
        <v>10.0</v>
      </c>
      <c r="J6737" s="15">
        <v>1.0</v>
      </c>
      <c r="K6737" s="15">
        <v>7.0</v>
      </c>
      <c r="L6737" s="16" t="s">
        <v>42069</v>
      </c>
      <c r="M6737" s="14" t="s">
        <v>42085</v>
      </c>
      <c r="N6737" s="14" t="s">
        <v>10144</v>
      </c>
      <c r="O6737" s="16" t="s">
        <v>10145</v>
      </c>
      <c r="P6737" s="14" t="s">
        <v>42071</v>
      </c>
      <c r="Q6737" s="14" t="s">
        <v>31</v>
      </c>
      <c r="R6737" s="14" t="s">
        <v>64</v>
      </c>
      <c r="S6737" s="16" t="s">
        <v>10147</v>
      </c>
      <c r="T6737" s="14" t="s">
        <v>66</v>
      </c>
      <c r="U6737" s="16" t="s">
        <v>31</v>
      </c>
      <c r="V6737" s="14" t="s">
        <v>57</v>
      </c>
      <c r="W6737" s="14" t="s">
        <v>42058</v>
      </c>
      <c r="X6737" s="17" t="str">
        <f>HYPERLINK("https://my.pitchbook.com?p=47507-95P","View People Online")</f>
        <v>View People Online</v>
      </c>
    </row>
    <row r="6738">
      <c r="A6738" s="10" t="s">
        <v>42086</v>
      </c>
      <c r="B6738" s="10" t="s">
        <v>42087</v>
      </c>
      <c r="C6738" s="10" t="s">
        <v>15419</v>
      </c>
      <c r="D6738" s="10" t="s">
        <v>42088</v>
      </c>
      <c r="E6738" s="10" t="s">
        <v>42058</v>
      </c>
      <c r="F6738" s="10" t="s">
        <v>825</v>
      </c>
      <c r="G6738" s="10" t="s">
        <v>42089</v>
      </c>
      <c r="H6738" s="11" t="s">
        <v>31</v>
      </c>
      <c r="I6738" s="11">
        <v>1.0</v>
      </c>
      <c r="J6738" s="11">
        <v>1.0</v>
      </c>
      <c r="K6738" s="11" t="s">
        <v>31</v>
      </c>
      <c r="L6738" s="12" t="s">
        <v>42069</v>
      </c>
      <c r="M6738" s="10" t="s">
        <v>42090</v>
      </c>
      <c r="N6738" s="10" t="s">
        <v>10144</v>
      </c>
      <c r="O6738" s="12" t="s">
        <v>10145</v>
      </c>
      <c r="P6738" s="10" t="s">
        <v>42071</v>
      </c>
      <c r="Q6738" s="10" t="s">
        <v>31</v>
      </c>
      <c r="R6738" s="10" t="s">
        <v>64</v>
      </c>
      <c r="S6738" s="12" t="s">
        <v>10147</v>
      </c>
      <c r="T6738" s="10" t="s">
        <v>66</v>
      </c>
      <c r="U6738" s="12" t="s">
        <v>31</v>
      </c>
      <c r="V6738" s="10" t="s">
        <v>42091</v>
      </c>
      <c r="W6738" s="10" t="s">
        <v>42058</v>
      </c>
      <c r="X6738" s="13" t="str">
        <f>HYPERLINK("https://my.pitchbook.com?p=237044-44P","View People Online")</f>
        <v>View People Online</v>
      </c>
    </row>
    <row r="6739">
      <c r="A6739" s="14" t="s">
        <v>42092</v>
      </c>
      <c r="B6739" s="14" t="s">
        <v>42093</v>
      </c>
      <c r="C6739" s="14" t="s">
        <v>42094</v>
      </c>
      <c r="D6739" s="14" t="s">
        <v>10129</v>
      </c>
      <c r="E6739" s="14" t="s">
        <v>42058</v>
      </c>
      <c r="F6739" s="14" t="s">
        <v>71</v>
      </c>
      <c r="G6739" s="14" t="s">
        <v>42095</v>
      </c>
      <c r="H6739" s="15">
        <v>1.0</v>
      </c>
      <c r="I6739" s="15">
        <v>17.0</v>
      </c>
      <c r="J6739" s="15">
        <v>2.0</v>
      </c>
      <c r="K6739" s="15">
        <v>10.0</v>
      </c>
      <c r="L6739" s="16" t="s">
        <v>42069</v>
      </c>
      <c r="M6739" s="14" t="s">
        <v>42096</v>
      </c>
      <c r="N6739" s="14" t="s">
        <v>10144</v>
      </c>
      <c r="O6739" s="16" t="s">
        <v>10145</v>
      </c>
      <c r="P6739" s="14" t="s">
        <v>42071</v>
      </c>
      <c r="Q6739" s="14" t="s">
        <v>31</v>
      </c>
      <c r="R6739" s="14" t="s">
        <v>64</v>
      </c>
      <c r="S6739" s="16" t="s">
        <v>10147</v>
      </c>
      <c r="T6739" s="14" t="s">
        <v>66</v>
      </c>
      <c r="U6739" s="16" t="s">
        <v>31</v>
      </c>
      <c r="V6739" s="14" t="s">
        <v>71</v>
      </c>
      <c r="W6739" s="14" t="s">
        <v>42058</v>
      </c>
      <c r="X6739" s="17" t="str">
        <f>HYPERLINK("https://my.pitchbook.com?p=40420-90P","View People Online")</f>
        <v>View People Online</v>
      </c>
    </row>
    <row r="6740">
      <c r="A6740" s="2" t="s">
        <v>42097</v>
      </c>
      <c r="B6740" s="2" t="s">
        <v>42098</v>
      </c>
      <c r="C6740" s="2" t="s">
        <v>42099</v>
      </c>
      <c r="D6740" s="2" t="s">
        <v>42100</v>
      </c>
      <c r="E6740" s="2" t="s">
        <v>42058</v>
      </c>
      <c r="F6740" s="2" t="s">
        <v>270</v>
      </c>
      <c r="G6740" s="2" t="s">
        <v>42101</v>
      </c>
      <c r="H6740" s="3" t="s">
        <v>31</v>
      </c>
      <c r="I6740" s="3">
        <v>1.0</v>
      </c>
      <c r="J6740" s="3">
        <v>1.0</v>
      </c>
      <c r="K6740" s="3" t="s">
        <v>31</v>
      </c>
      <c r="L6740" s="4" t="s">
        <v>42069</v>
      </c>
      <c r="M6740" s="2" t="s">
        <v>42102</v>
      </c>
      <c r="N6740" s="2" t="s">
        <v>10144</v>
      </c>
      <c r="O6740" s="4" t="s">
        <v>10145</v>
      </c>
      <c r="P6740" s="2" t="s">
        <v>42071</v>
      </c>
      <c r="Q6740" s="2" t="s">
        <v>31</v>
      </c>
      <c r="R6740" s="2" t="s">
        <v>64</v>
      </c>
      <c r="S6740" s="4" t="s">
        <v>10147</v>
      </c>
      <c r="T6740" s="2" t="s">
        <v>66</v>
      </c>
      <c r="U6740" s="4" t="s">
        <v>31</v>
      </c>
      <c r="V6740" s="2" t="s">
        <v>662</v>
      </c>
      <c r="W6740" s="2" t="s">
        <v>42058</v>
      </c>
      <c r="X6740" s="5" t="str">
        <f>HYPERLINK("https://my.pitchbook.com?p=331946-74P","View People Online")</f>
        <v>View People Online</v>
      </c>
    </row>
    <row r="6741">
      <c r="A6741" s="14" t="s">
        <v>42103</v>
      </c>
      <c r="B6741" s="14" t="s">
        <v>42104</v>
      </c>
      <c r="C6741" s="14" t="s">
        <v>11992</v>
      </c>
      <c r="D6741" s="14" t="s">
        <v>42105</v>
      </c>
      <c r="E6741" s="14" t="s">
        <v>42058</v>
      </c>
      <c r="F6741" s="14" t="s">
        <v>71</v>
      </c>
      <c r="G6741" s="14" t="s">
        <v>42106</v>
      </c>
      <c r="H6741" s="15">
        <v>3.0</v>
      </c>
      <c r="I6741" s="15">
        <v>172.0</v>
      </c>
      <c r="J6741" s="15">
        <v>2.0</v>
      </c>
      <c r="K6741" s="15">
        <v>163.0</v>
      </c>
      <c r="L6741" s="16" t="s">
        <v>42107</v>
      </c>
      <c r="M6741" s="14" t="s">
        <v>42108</v>
      </c>
      <c r="N6741" s="14" t="s">
        <v>10144</v>
      </c>
      <c r="O6741" s="16" t="s">
        <v>10145</v>
      </c>
      <c r="P6741" s="14" t="s">
        <v>42071</v>
      </c>
      <c r="Q6741" s="14" t="s">
        <v>31</v>
      </c>
      <c r="R6741" s="14" t="s">
        <v>64</v>
      </c>
      <c r="S6741" s="16" t="s">
        <v>10147</v>
      </c>
      <c r="T6741" s="14" t="s">
        <v>66</v>
      </c>
      <c r="U6741" s="16" t="s">
        <v>31</v>
      </c>
      <c r="V6741" s="14" t="s">
        <v>71</v>
      </c>
      <c r="W6741" s="14" t="s">
        <v>42058</v>
      </c>
      <c r="X6741" s="17" t="str">
        <f>HYPERLINK("https://my.pitchbook.com?p=30657-97P","View People Online")</f>
        <v>View People Online</v>
      </c>
    </row>
    <row r="6742">
      <c r="A6742" s="2" t="s">
        <v>42109</v>
      </c>
      <c r="B6742" s="2" t="s">
        <v>42110</v>
      </c>
      <c r="C6742" s="2" t="s">
        <v>42111</v>
      </c>
      <c r="D6742" s="2" t="s">
        <v>42112</v>
      </c>
      <c r="E6742" s="2" t="s">
        <v>42058</v>
      </c>
      <c r="F6742" s="2" t="s">
        <v>548</v>
      </c>
      <c r="G6742" s="2" t="s">
        <v>42113</v>
      </c>
      <c r="H6742" s="3" t="s">
        <v>31</v>
      </c>
      <c r="I6742" s="3">
        <v>1.0</v>
      </c>
      <c r="J6742" s="3">
        <v>1.0</v>
      </c>
      <c r="K6742" s="3" t="s">
        <v>31</v>
      </c>
      <c r="L6742" s="4" t="s">
        <v>42069</v>
      </c>
      <c r="M6742" s="2" t="s">
        <v>42114</v>
      </c>
      <c r="N6742" s="2" t="s">
        <v>10144</v>
      </c>
      <c r="O6742" s="4" t="s">
        <v>10145</v>
      </c>
      <c r="P6742" s="2" t="s">
        <v>42071</v>
      </c>
      <c r="Q6742" s="2" t="s">
        <v>31</v>
      </c>
      <c r="R6742" s="2" t="s">
        <v>64</v>
      </c>
      <c r="S6742" s="4" t="s">
        <v>10147</v>
      </c>
      <c r="T6742" s="2" t="s">
        <v>66</v>
      </c>
      <c r="U6742" s="4" t="s">
        <v>31</v>
      </c>
      <c r="V6742" s="2" t="s">
        <v>42115</v>
      </c>
      <c r="W6742" s="2" t="s">
        <v>42058</v>
      </c>
      <c r="X6742" s="5" t="str">
        <f>HYPERLINK("https://my.pitchbook.com?p=383290-93P","View People Online")</f>
        <v>View People Online</v>
      </c>
    </row>
    <row r="6743">
      <c r="A6743" s="14" t="s">
        <v>42116</v>
      </c>
      <c r="B6743" s="14" t="s">
        <v>42117</v>
      </c>
      <c r="C6743" s="14" t="s">
        <v>42118</v>
      </c>
      <c r="D6743" s="14" t="s">
        <v>42119</v>
      </c>
      <c r="E6743" s="14" t="s">
        <v>42058</v>
      </c>
      <c r="F6743" s="14" t="s">
        <v>57</v>
      </c>
      <c r="G6743" s="14" t="s">
        <v>42120</v>
      </c>
      <c r="H6743" s="15">
        <v>5.0</v>
      </c>
      <c r="I6743" s="15">
        <v>18.0</v>
      </c>
      <c r="J6743" s="15">
        <v>2.0</v>
      </c>
      <c r="K6743" s="15">
        <v>8.0</v>
      </c>
      <c r="L6743" s="16" t="s">
        <v>42121</v>
      </c>
      <c r="M6743" s="14" t="s">
        <v>42122</v>
      </c>
      <c r="N6743" s="14" t="s">
        <v>10144</v>
      </c>
      <c r="O6743" s="16" t="s">
        <v>10145</v>
      </c>
      <c r="P6743" s="14" t="s">
        <v>42071</v>
      </c>
      <c r="Q6743" s="14" t="s">
        <v>31</v>
      </c>
      <c r="R6743" s="14" t="s">
        <v>64</v>
      </c>
      <c r="S6743" s="16" t="s">
        <v>10147</v>
      </c>
      <c r="T6743" s="14" t="s">
        <v>66</v>
      </c>
      <c r="U6743" s="16" t="s">
        <v>31</v>
      </c>
      <c r="V6743" s="14" t="s">
        <v>57</v>
      </c>
      <c r="W6743" s="14" t="s">
        <v>42058</v>
      </c>
      <c r="X6743" s="17" t="str">
        <f>HYPERLINK("https://my.pitchbook.com?p=40421-35P","View People Online")</f>
        <v>View People Online</v>
      </c>
    </row>
    <row r="6744">
      <c r="A6744" s="10" t="s">
        <v>42123</v>
      </c>
      <c r="B6744" s="10" t="s">
        <v>42124</v>
      </c>
      <c r="C6744" s="10" t="s">
        <v>69</v>
      </c>
      <c r="D6744" s="10" t="s">
        <v>42125</v>
      </c>
      <c r="E6744" s="10" t="s">
        <v>42126</v>
      </c>
      <c r="F6744" s="10" t="s">
        <v>86</v>
      </c>
      <c r="G6744" s="10" t="s">
        <v>42127</v>
      </c>
      <c r="H6744" s="11" t="s">
        <v>31</v>
      </c>
      <c r="I6744" s="11">
        <v>3.0</v>
      </c>
      <c r="J6744" s="11">
        <v>1.0</v>
      </c>
      <c r="K6744" s="11">
        <v>1.0</v>
      </c>
      <c r="L6744" s="12" t="s">
        <v>42128</v>
      </c>
      <c r="M6744" s="10" t="s">
        <v>42129</v>
      </c>
      <c r="N6744" s="10" t="s">
        <v>42130</v>
      </c>
      <c r="O6744" s="12" t="s">
        <v>42131</v>
      </c>
      <c r="P6744" s="10" t="s">
        <v>31</v>
      </c>
      <c r="Q6744" s="10" t="s">
        <v>31</v>
      </c>
      <c r="R6744" s="10" t="s">
        <v>64</v>
      </c>
      <c r="S6744" s="12" t="s">
        <v>31</v>
      </c>
      <c r="T6744" s="10" t="s">
        <v>66</v>
      </c>
      <c r="U6744" s="12" t="s">
        <v>31</v>
      </c>
      <c r="V6744" s="10" t="s">
        <v>86</v>
      </c>
      <c r="W6744" s="10" t="s">
        <v>42126</v>
      </c>
      <c r="X6744" s="13" t="str">
        <f>HYPERLINK("https://my.pitchbook.com?p=222629-05P","View People Online")</f>
        <v>View People Online</v>
      </c>
    </row>
    <row r="6745">
      <c r="A6745" s="14" t="s">
        <v>42132</v>
      </c>
      <c r="B6745" s="14" t="s">
        <v>42133</v>
      </c>
      <c r="C6745" s="14" t="s">
        <v>42134</v>
      </c>
      <c r="D6745" s="14" t="s">
        <v>2432</v>
      </c>
      <c r="E6745" s="14" t="s">
        <v>42126</v>
      </c>
      <c r="F6745" s="14" t="s">
        <v>2731</v>
      </c>
      <c r="G6745" s="14" t="s">
        <v>42135</v>
      </c>
      <c r="H6745" s="15" t="s">
        <v>31</v>
      </c>
      <c r="I6745" s="15">
        <v>2.0</v>
      </c>
      <c r="J6745" s="15">
        <v>1.0</v>
      </c>
      <c r="K6745" s="15" t="s">
        <v>31</v>
      </c>
      <c r="L6745" s="16" t="s">
        <v>42136</v>
      </c>
      <c r="M6745" s="14" t="s">
        <v>42137</v>
      </c>
      <c r="N6745" s="14" t="s">
        <v>42138</v>
      </c>
      <c r="O6745" s="16" t="s">
        <v>42139</v>
      </c>
      <c r="P6745" s="14" t="s">
        <v>42140</v>
      </c>
      <c r="Q6745" s="14" t="s">
        <v>27524</v>
      </c>
      <c r="R6745" s="14" t="s">
        <v>37751</v>
      </c>
      <c r="S6745" s="16" t="s">
        <v>42141</v>
      </c>
      <c r="T6745" s="14" t="s">
        <v>66</v>
      </c>
      <c r="U6745" s="16" t="s">
        <v>31</v>
      </c>
      <c r="V6745" s="14" t="s">
        <v>3823</v>
      </c>
      <c r="W6745" s="14" t="s">
        <v>42142</v>
      </c>
      <c r="X6745" s="17" t="str">
        <f>HYPERLINK("https://my.pitchbook.com?p=253821-61P","View People Online")</f>
        <v>View People Online</v>
      </c>
    </row>
    <row r="6746">
      <c r="A6746" s="10" t="s">
        <v>42143</v>
      </c>
      <c r="B6746" s="10" t="s">
        <v>42144</v>
      </c>
      <c r="C6746" s="10" t="s">
        <v>4784</v>
      </c>
      <c r="D6746" s="10" t="s">
        <v>42145</v>
      </c>
      <c r="E6746" s="10" t="s">
        <v>42146</v>
      </c>
      <c r="F6746" s="10" t="s">
        <v>7390</v>
      </c>
      <c r="G6746" s="10" t="s">
        <v>42147</v>
      </c>
      <c r="H6746" s="11" t="s">
        <v>31</v>
      </c>
      <c r="I6746" s="11">
        <v>1.0</v>
      </c>
      <c r="J6746" s="11">
        <v>1.0</v>
      </c>
      <c r="K6746" s="11" t="s">
        <v>31</v>
      </c>
      <c r="L6746" s="12" t="s">
        <v>42148</v>
      </c>
      <c r="M6746" s="10" t="s">
        <v>42149</v>
      </c>
      <c r="N6746" s="10" t="s">
        <v>1292</v>
      </c>
      <c r="O6746" s="12" t="s">
        <v>1293</v>
      </c>
      <c r="P6746" s="10" t="s">
        <v>42150</v>
      </c>
      <c r="Q6746" s="10" t="s">
        <v>31</v>
      </c>
      <c r="R6746" s="10" t="s">
        <v>64</v>
      </c>
      <c r="S6746" s="12" t="s">
        <v>1296</v>
      </c>
      <c r="T6746" s="10" t="s">
        <v>66</v>
      </c>
      <c r="U6746" s="12" t="s">
        <v>42151</v>
      </c>
      <c r="V6746" s="10" t="s">
        <v>42152</v>
      </c>
      <c r="W6746" s="10" t="s">
        <v>42146</v>
      </c>
      <c r="X6746" s="13" t="str">
        <f>HYPERLINK("https://my.pitchbook.com?p=332004-34P","View People Online")</f>
        <v>View People Online</v>
      </c>
    </row>
    <row r="6747">
      <c r="A6747" s="14" t="s">
        <v>42153</v>
      </c>
      <c r="B6747" s="14" t="s">
        <v>42154</v>
      </c>
      <c r="C6747" s="14" t="s">
        <v>13523</v>
      </c>
      <c r="D6747" s="14" t="s">
        <v>42155</v>
      </c>
      <c r="E6747" s="14" t="s">
        <v>42146</v>
      </c>
      <c r="F6747" s="14" t="s">
        <v>81</v>
      </c>
      <c r="G6747" s="14" t="s">
        <v>42156</v>
      </c>
      <c r="H6747" s="15">
        <v>1.0</v>
      </c>
      <c r="I6747" s="15">
        <v>13.0</v>
      </c>
      <c r="J6747" s="15" t="s">
        <v>31</v>
      </c>
      <c r="K6747" s="15">
        <v>4.0</v>
      </c>
      <c r="L6747" s="16" t="s">
        <v>42157</v>
      </c>
      <c r="M6747" s="14" t="s">
        <v>31</v>
      </c>
      <c r="N6747" s="14" t="s">
        <v>155</v>
      </c>
      <c r="O6747" s="16" t="s">
        <v>156</v>
      </c>
      <c r="P6747" s="14" t="s">
        <v>42158</v>
      </c>
      <c r="Q6747" s="14" t="s">
        <v>35850</v>
      </c>
      <c r="R6747" s="14" t="s">
        <v>64</v>
      </c>
      <c r="S6747" s="16" t="s">
        <v>42159</v>
      </c>
      <c r="T6747" s="14" t="s">
        <v>66</v>
      </c>
      <c r="U6747" s="16" t="s">
        <v>42160</v>
      </c>
      <c r="V6747" s="14" t="s">
        <v>2199</v>
      </c>
      <c r="W6747" s="14" t="s">
        <v>42161</v>
      </c>
      <c r="X6747" s="17" t="str">
        <f>HYPERLINK("https://my.pitchbook.com?p=16244-56P","View People Online")</f>
        <v>View People Online</v>
      </c>
    </row>
    <row r="6748">
      <c r="A6748" s="2" t="s">
        <v>42162</v>
      </c>
      <c r="B6748" s="2" t="s">
        <v>42163</v>
      </c>
      <c r="C6748" s="2" t="s">
        <v>42164</v>
      </c>
      <c r="D6748" s="2" t="s">
        <v>42165</v>
      </c>
      <c r="E6748" s="2" t="s">
        <v>42146</v>
      </c>
      <c r="F6748" s="2" t="s">
        <v>29</v>
      </c>
      <c r="G6748" s="2" t="s">
        <v>42166</v>
      </c>
      <c r="H6748" s="3" t="s">
        <v>31</v>
      </c>
      <c r="I6748" s="3">
        <v>1.0</v>
      </c>
      <c r="J6748" s="3">
        <v>1.0</v>
      </c>
      <c r="K6748" s="3" t="s">
        <v>31</v>
      </c>
      <c r="L6748" s="4" t="s">
        <v>42167</v>
      </c>
      <c r="M6748" s="2" t="s">
        <v>42168</v>
      </c>
      <c r="N6748" s="2" t="s">
        <v>1292</v>
      </c>
      <c r="O6748" s="4" t="s">
        <v>1293</v>
      </c>
      <c r="P6748" s="2" t="s">
        <v>42150</v>
      </c>
      <c r="Q6748" s="2" t="s">
        <v>31</v>
      </c>
      <c r="R6748" s="2" t="s">
        <v>64</v>
      </c>
      <c r="S6748" s="4" t="s">
        <v>1296</v>
      </c>
      <c r="T6748" s="2" t="s">
        <v>66</v>
      </c>
      <c r="U6748" s="4" t="s">
        <v>42151</v>
      </c>
      <c r="V6748" s="2" t="s">
        <v>42169</v>
      </c>
      <c r="W6748" s="2" t="s">
        <v>42146</v>
      </c>
      <c r="X6748" s="5" t="str">
        <f>HYPERLINK("https://my.pitchbook.com?p=230091-67P","View People Online")</f>
        <v>View People Online</v>
      </c>
    </row>
    <row r="6749">
      <c r="A6749" s="14" t="s">
        <v>42170</v>
      </c>
      <c r="B6749" s="14" t="s">
        <v>42171</v>
      </c>
      <c r="C6749" s="14" t="s">
        <v>24470</v>
      </c>
      <c r="D6749" s="14" t="s">
        <v>42172</v>
      </c>
      <c r="E6749" s="14" t="s">
        <v>42146</v>
      </c>
      <c r="F6749" s="14" t="s">
        <v>3429</v>
      </c>
      <c r="G6749" s="14" t="s">
        <v>42173</v>
      </c>
      <c r="H6749" s="15">
        <v>3.0</v>
      </c>
      <c r="I6749" s="15">
        <v>17.0</v>
      </c>
      <c r="J6749" s="15">
        <v>1.0</v>
      </c>
      <c r="K6749" s="15">
        <v>10.0</v>
      </c>
      <c r="L6749" s="16" t="s">
        <v>42148</v>
      </c>
      <c r="M6749" s="14" t="s">
        <v>42174</v>
      </c>
      <c r="N6749" s="14" t="s">
        <v>1292</v>
      </c>
      <c r="O6749" s="16" t="s">
        <v>1293</v>
      </c>
      <c r="P6749" s="14" t="s">
        <v>42150</v>
      </c>
      <c r="Q6749" s="14" t="s">
        <v>31</v>
      </c>
      <c r="R6749" s="14" t="s">
        <v>64</v>
      </c>
      <c r="S6749" s="16" t="s">
        <v>1296</v>
      </c>
      <c r="T6749" s="14" t="s">
        <v>66</v>
      </c>
      <c r="U6749" s="16" t="s">
        <v>42151</v>
      </c>
      <c r="V6749" s="14" t="s">
        <v>23602</v>
      </c>
      <c r="W6749" s="14" t="s">
        <v>42146</v>
      </c>
      <c r="X6749" s="17" t="str">
        <f>HYPERLINK("https://my.pitchbook.com?p=199206-64P","View People Online")</f>
        <v>View People Online</v>
      </c>
    </row>
    <row r="6750">
      <c r="A6750" s="2" t="s">
        <v>42175</v>
      </c>
      <c r="B6750" s="2" t="s">
        <v>42176</v>
      </c>
      <c r="C6750" s="2" t="s">
        <v>31408</v>
      </c>
      <c r="D6750" s="2" t="s">
        <v>1849</v>
      </c>
      <c r="E6750" s="2" t="s">
        <v>42146</v>
      </c>
      <c r="F6750" s="2" t="s">
        <v>81</v>
      </c>
      <c r="G6750" s="2" t="s">
        <v>42177</v>
      </c>
      <c r="H6750" s="3">
        <v>4.0</v>
      </c>
      <c r="I6750" s="3">
        <v>15.0</v>
      </c>
      <c r="J6750" s="3" t="s">
        <v>31</v>
      </c>
      <c r="K6750" s="3">
        <v>4.0</v>
      </c>
      <c r="L6750" s="4" t="s">
        <v>42178</v>
      </c>
      <c r="M6750" s="2" t="s">
        <v>31</v>
      </c>
      <c r="N6750" s="2" t="s">
        <v>36600</v>
      </c>
      <c r="O6750" s="4" t="s">
        <v>36601</v>
      </c>
      <c r="P6750" s="2" t="s">
        <v>42179</v>
      </c>
      <c r="Q6750" s="2" t="s">
        <v>2276</v>
      </c>
      <c r="R6750" s="2" t="s">
        <v>10017</v>
      </c>
      <c r="S6750" s="4" t="s">
        <v>40723</v>
      </c>
      <c r="T6750" s="2" t="s">
        <v>66</v>
      </c>
      <c r="U6750" s="4" t="s">
        <v>31</v>
      </c>
      <c r="V6750" s="2" t="s">
        <v>2379</v>
      </c>
      <c r="W6750" s="2" t="s">
        <v>42180</v>
      </c>
      <c r="X6750" s="5" t="str">
        <f>HYPERLINK("https://my.pitchbook.com?p=250062-31P","View People Online")</f>
        <v>View People Online</v>
      </c>
    </row>
    <row r="6751">
      <c r="A6751" s="6" t="s">
        <v>42181</v>
      </c>
      <c r="B6751" s="6" t="s">
        <v>42182</v>
      </c>
      <c r="C6751" s="6" t="s">
        <v>4190</v>
      </c>
      <c r="D6751" s="6" t="s">
        <v>42183</v>
      </c>
      <c r="E6751" s="6" t="s">
        <v>42146</v>
      </c>
      <c r="F6751" s="6" t="s">
        <v>30133</v>
      </c>
      <c r="G6751" s="6" t="s">
        <v>42184</v>
      </c>
      <c r="H6751" s="7">
        <v>7.0</v>
      </c>
      <c r="I6751" s="7">
        <v>104.0</v>
      </c>
      <c r="J6751" s="7">
        <v>3.0</v>
      </c>
      <c r="K6751" s="7">
        <v>80.0</v>
      </c>
      <c r="L6751" s="8" t="s">
        <v>42148</v>
      </c>
      <c r="M6751" s="6" t="s">
        <v>42185</v>
      </c>
      <c r="N6751" s="6" t="s">
        <v>1292</v>
      </c>
      <c r="O6751" s="8" t="s">
        <v>1293</v>
      </c>
      <c r="P6751" s="6" t="s">
        <v>42150</v>
      </c>
      <c r="Q6751" s="6" t="s">
        <v>31</v>
      </c>
      <c r="R6751" s="6" t="s">
        <v>64</v>
      </c>
      <c r="S6751" s="8" t="s">
        <v>1296</v>
      </c>
      <c r="T6751" s="6" t="s">
        <v>66</v>
      </c>
      <c r="U6751" s="8" t="s">
        <v>42151</v>
      </c>
      <c r="V6751" s="6" t="s">
        <v>42186</v>
      </c>
      <c r="W6751" s="6" t="s">
        <v>42146</v>
      </c>
      <c r="X6751" s="9" t="str">
        <f>HYPERLINK("https://my.pitchbook.com?p=13537-09P","View People Online")</f>
        <v>View People Online</v>
      </c>
    </row>
    <row r="6752">
      <c r="A6752" s="10" t="s">
        <v>42187</v>
      </c>
      <c r="B6752" s="10" t="s">
        <v>42188</v>
      </c>
      <c r="C6752" s="10" t="s">
        <v>9166</v>
      </c>
      <c r="D6752" s="10" t="s">
        <v>42189</v>
      </c>
      <c r="E6752" s="10" t="s">
        <v>42146</v>
      </c>
      <c r="F6752" s="10" t="s">
        <v>42190</v>
      </c>
      <c r="G6752" s="10" t="s">
        <v>42191</v>
      </c>
      <c r="H6752" s="11">
        <v>3.0</v>
      </c>
      <c r="I6752" s="11">
        <v>7.0</v>
      </c>
      <c r="J6752" s="11">
        <v>1.0</v>
      </c>
      <c r="K6752" s="11">
        <v>3.0</v>
      </c>
      <c r="L6752" s="12" t="s">
        <v>42148</v>
      </c>
      <c r="M6752" s="10" t="s">
        <v>42192</v>
      </c>
      <c r="N6752" s="10" t="s">
        <v>1292</v>
      </c>
      <c r="O6752" s="12" t="s">
        <v>1293</v>
      </c>
      <c r="P6752" s="10" t="s">
        <v>42150</v>
      </c>
      <c r="Q6752" s="10" t="s">
        <v>31</v>
      </c>
      <c r="R6752" s="10" t="s">
        <v>64</v>
      </c>
      <c r="S6752" s="12" t="s">
        <v>1296</v>
      </c>
      <c r="T6752" s="10" t="s">
        <v>66</v>
      </c>
      <c r="U6752" s="12" t="s">
        <v>42151</v>
      </c>
      <c r="V6752" s="10" t="s">
        <v>23602</v>
      </c>
      <c r="W6752" s="10" t="s">
        <v>42146</v>
      </c>
      <c r="X6752" s="13" t="str">
        <f>HYPERLINK("https://my.pitchbook.com?p=183501-10P","View People Online")</f>
        <v>View People Online</v>
      </c>
    </row>
    <row r="6753">
      <c r="A6753" s="14" t="s">
        <v>42193</v>
      </c>
      <c r="B6753" s="14" t="s">
        <v>42194</v>
      </c>
      <c r="C6753" s="14" t="s">
        <v>29917</v>
      </c>
      <c r="D6753" s="14" t="s">
        <v>42195</v>
      </c>
      <c r="E6753" s="14" t="s">
        <v>42146</v>
      </c>
      <c r="F6753" s="14" t="s">
        <v>3429</v>
      </c>
      <c r="G6753" s="14" t="s">
        <v>42196</v>
      </c>
      <c r="H6753" s="15">
        <v>15.0</v>
      </c>
      <c r="I6753" s="15">
        <v>103.0</v>
      </c>
      <c r="J6753" s="15">
        <v>1.0</v>
      </c>
      <c r="K6753" s="15">
        <v>68.0</v>
      </c>
      <c r="L6753" s="16" t="s">
        <v>42148</v>
      </c>
      <c r="M6753" s="14" t="s">
        <v>42197</v>
      </c>
      <c r="N6753" s="14" t="s">
        <v>155</v>
      </c>
      <c r="O6753" s="16" t="s">
        <v>156</v>
      </c>
      <c r="P6753" s="14" t="s">
        <v>42198</v>
      </c>
      <c r="Q6753" s="14" t="s">
        <v>31</v>
      </c>
      <c r="R6753" s="14" t="s">
        <v>64</v>
      </c>
      <c r="S6753" s="16" t="s">
        <v>7810</v>
      </c>
      <c r="T6753" s="14" t="s">
        <v>66</v>
      </c>
      <c r="U6753" s="16" t="s">
        <v>42151</v>
      </c>
      <c r="V6753" s="14" t="s">
        <v>23602</v>
      </c>
      <c r="W6753" s="14" t="s">
        <v>42146</v>
      </c>
      <c r="X6753" s="17" t="str">
        <f>HYPERLINK("https://my.pitchbook.com?p=69462-46P","View People Online")</f>
        <v>View People Online</v>
      </c>
    </row>
    <row r="6754">
      <c r="A6754" s="10" t="s">
        <v>42199</v>
      </c>
      <c r="B6754" s="10" t="s">
        <v>42200</v>
      </c>
      <c r="C6754" s="10" t="s">
        <v>823</v>
      </c>
      <c r="D6754" s="10" t="s">
        <v>6341</v>
      </c>
      <c r="E6754" s="10" t="s">
        <v>42146</v>
      </c>
      <c r="F6754" s="10" t="s">
        <v>57</v>
      </c>
      <c r="G6754" s="10" t="s">
        <v>42201</v>
      </c>
      <c r="H6754" s="11">
        <v>8.0</v>
      </c>
      <c r="I6754" s="11">
        <v>30.0</v>
      </c>
      <c r="J6754" s="11">
        <v>4.0</v>
      </c>
      <c r="K6754" s="11">
        <v>14.0</v>
      </c>
      <c r="L6754" s="12" t="s">
        <v>42202</v>
      </c>
      <c r="M6754" s="10" t="s">
        <v>42203</v>
      </c>
      <c r="N6754" s="10" t="s">
        <v>75</v>
      </c>
      <c r="O6754" s="12" t="s">
        <v>76</v>
      </c>
      <c r="P6754" s="10" t="s">
        <v>42204</v>
      </c>
      <c r="Q6754" s="10" t="s">
        <v>42205</v>
      </c>
      <c r="R6754" s="10" t="s">
        <v>75</v>
      </c>
      <c r="S6754" s="12" t="s">
        <v>31</v>
      </c>
      <c r="T6754" s="10" t="s">
        <v>66</v>
      </c>
      <c r="U6754" s="12" t="s">
        <v>31</v>
      </c>
      <c r="V6754" s="10" t="s">
        <v>674</v>
      </c>
      <c r="W6754" s="10" t="s">
        <v>42206</v>
      </c>
      <c r="X6754" s="13" t="str">
        <f>HYPERLINK("https://my.pitchbook.com?p=38018-26P","View People Online")</f>
        <v>View People Online</v>
      </c>
    </row>
    <row r="6755">
      <c r="A6755" s="6" t="s">
        <v>42207</v>
      </c>
      <c r="B6755" s="6" t="s">
        <v>42208</v>
      </c>
      <c r="C6755" s="6" t="s">
        <v>3529</v>
      </c>
      <c r="D6755" s="6" t="s">
        <v>4662</v>
      </c>
      <c r="E6755" s="6" t="s">
        <v>42146</v>
      </c>
      <c r="F6755" s="6" t="s">
        <v>29</v>
      </c>
      <c r="G6755" s="6" t="s">
        <v>42209</v>
      </c>
      <c r="H6755" s="7" t="s">
        <v>31</v>
      </c>
      <c r="I6755" s="7">
        <v>3.0</v>
      </c>
      <c r="J6755" s="7">
        <v>1.0</v>
      </c>
      <c r="K6755" s="7">
        <v>1.0</v>
      </c>
      <c r="L6755" s="8" t="s">
        <v>42210</v>
      </c>
      <c r="M6755" s="6" t="s">
        <v>42211</v>
      </c>
      <c r="N6755" s="6" t="s">
        <v>42212</v>
      </c>
      <c r="O6755" s="8" t="s">
        <v>42213</v>
      </c>
      <c r="P6755" s="6" t="s">
        <v>42214</v>
      </c>
      <c r="Q6755" s="6" t="s">
        <v>42215</v>
      </c>
      <c r="R6755" s="6" t="s">
        <v>31</v>
      </c>
      <c r="S6755" s="8" t="s">
        <v>13646</v>
      </c>
      <c r="T6755" s="6" t="s">
        <v>3339</v>
      </c>
      <c r="U6755" s="8" t="s">
        <v>42216</v>
      </c>
      <c r="V6755" s="6" t="s">
        <v>42217</v>
      </c>
      <c r="W6755" s="6" t="s">
        <v>42146</v>
      </c>
      <c r="X6755" s="9" t="str">
        <f>HYPERLINK("https://my.pitchbook.com?p=87233-50P","View People Online")</f>
        <v>View People Online</v>
      </c>
    </row>
    <row r="6756">
      <c r="A6756" s="10" t="s">
        <v>42218</v>
      </c>
      <c r="B6756" s="10" t="s">
        <v>42219</v>
      </c>
      <c r="C6756" s="10" t="s">
        <v>2149</v>
      </c>
      <c r="D6756" s="10" t="s">
        <v>3847</v>
      </c>
      <c r="E6756" s="10" t="s">
        <v>42146</v>
      </c>
      <c r="F6756" s="10" t="s">
        <v>1326</v>
      </c>
      <c r="G6756" s="10" t="s">
        <v>42220</v>
      </c>
      <c r="H6756" s="11" t="s">
        <v>31</v>
      </c>
      <c r="I6756" s="11">
        <v>1.0</v>
      </c>
      <c r="J6756" s="11">
        <v>1.0</v>
      </c>
      <c r="K6756" s="11" t="s">
        <v>31</v>
      </c>
      <c r="L6756" s="12" t="s">
        <v>42148</v>
      </c>
      <c r="M6756" s="10" t="s">
        <v>42221</v>
      </c>
      <c r="N6756" s="10" t="s">
        <v>1292</v>
      </c>
      <c r="O6756" s="12" t="s">
        <v>1293</v>
      </c>
      <c r="P6756" s="10" t="s">
        <v>42150</v>
      </c>
      <c r="Q6756" s="10" t="s">
        <v>31</v>
      </c>
      <c r="R6756" s="10" t="s">
        <v>64</v>
      </c>
      <c r="S6756" s="12" t="s">
        <v>1296</v>
      </c>
      <c r="T6756" s="10" t="s">
        <v>66</v>
      </c>
      <c r="U6756" s="12" t="s">
        <v>42151</v>
      </c>
      <c r="V6756" s="10" t="s">
        <v>1326</v>
      </c>
      <c r="W6756" s="10" t="s">
        <v>42146</v>
      </c>
      <c r="X6756" s="13" t="str">
        <f>HYPERLINK("https://my.pitchbook.com?p=332368-75P","View People Online")</f>
        <v>View People Online</v>
      </c>
    </row>
    <row r="6757">
      <c r="A6757" s="14" t="s">
        <v>42222</v>
      </c>
      <c r="B6757" s="14" t="s">
        <v>42223</v>
      </c>
      <c r="C6757" s="14" t="s">
        <v>1343</v>
      </c>
      <c r="D6757" s="14" t="s">
        <v>42224</v>
      </c>
      <c r="E6757" s="14" t="s">
        <v>42146</v>
      </c>
      <c r="F6757" s="14" t="s">
        <v>42225</v>
      </c>
      <c r="G6757" s="14" t="s">
        <v>42226</v>
      </c>
      <c r="H6757" s="15">
        <v>16.0</v>
      </c>
      <c r="I6757" s="15">
        <v>206.0</v>
      </c>
      <c r="J6757" s="15">
        <v>3.0</v>
      </c>
      <c r="K6757" s="15">
        <v>166.0</v>
      </c>
      <c r="L6757" s="16" t="s">
        <v>42148</v>
      </c>
      <c r="M6757" s="14" t="s">
        <v>42227</v>
      </c>
      <c r="N6757" s="14" t="s">
        <v>1292</v>
      </c>
      <c r="O6757" s="16" t="s">
        <v>1293</v>
      </c>
      <c r="P6757" s="14" t="s">
        <v>42150</v>
      </c>
      <c r="Q6757" s="14" t="s">
        <v>31</v>
      </c>
      <c r="R6757" s="14" t="s">
        <v>64</v>
      </c>
      <c r="S6757" s="16" t="s">
        <v>1296</v>
      </c>
      <c r="T6757" s="14" t="s">
        <v>66</v>
      </c>
      <c r="U6757" s="16" t="s">
        <v>42151</v>
      </c>
      <c r="V6757" s="14" t="s">
        <v>42228</v>
      </c>
      <c r="W6757" s="14" t="s">
        <v>42146</v>
      </c>
      <c r="X6757" s="17" t="str">
        <f>HYPERLINK("https://my.pitchbook.com?p=13537-45P","View People Online")</f>
        <v>View People Online</v>
      </c>
    </row>
    <row r="6758">
      <c r="A6758" s="2" t="s">
        <v>42229</v>
      </c>
      <c r="B6758" s="2" t="s">
        <v>42230</v>
      </c>
      <c r="C6758" s="2" t="s">
        <v>3052</v>
      </c>
      <c r="D6758" s="2" t="s">
        <v>42231</v>
      </c>
      <c r="E6758" s="2" t="s">
        <v>42146</v>
      </c>
      <c r="F6758" s="2" t="s">
        <v>42190</v>
      </c>
      <c r="G6758" s="2" t="s">
        <v>42232</v>
      </c>
      <c r="H6758" s="3">
        <v>1.0</v>
      </c>
      <c r="I6758" s="3">
        <v>9.0</v>
      </c>
      <c r="J6758" s="3">
        <v>1.0</v>
      </c>
      <c r="K6758" s="3">
        <v>6.0</v>
      </c>
      <c r="L6758" s="4" t="s">
        <v>42148</v>
      </c>
      <c r="M6758" s="2" t="s">
        <v>42233</v>
      </c>
      <c r="N6758" s="2" t="s">
        <v>1292</v>
      </c>
      <c r="O6758" s="4" t="s">
        <v>1293</v>
      </c>
      <c r="P6758" s="2" t="s">
        <v>42150</v>
      </c>
      <c r="Q6758" s="2" t="s">
        <v>31</v>
      </c>
      <c r="R6758" s="2" t="s">
        <v>64</v>
      </c>
      <c r="S6758" s="4" t="s">
        <v>1296</v>
      </c>
      <c r="T6758" s="2" t="s">
        <v>66</v>
      </c>
      <c r="U6758" s="4" t="s">
        <v>42151</v>
      </c>
      <c r="V6758" s="2" t="s">
        <v>23602</v>
      </c>
      <c r="W6758" s="2" t="s">
        <v>42146</v>
      </c>
      <c r="X6758" s="5" t="str">
        <f>HYPERLINK("https://my.pitchbook.com?p=152967-88P","View People Online")</f>
        <v>View People Online</v>
      </c>
    </row>
    <row r="6759">
      <c r="A6759" s="6" t="s">
        <v>42234</v>
      </c>
      <c r="B6759" s="6" t="s">
        <v>42235</v>
      </c>
      <c r="C6759" s="6" t="s">
        <v>42236</v>
      </c>
      <c r="D6759" s="6" t="s">
        <v>42237</v>
      </c>
      <c r="E6759" s="6" t="s">
        <v>42146</v>
      </c>
      <c r="F6759" s="6" t="s">
        <v>29</v>
      </c>
      <c r="G6759" s="6" t="s">
        <v>42238</v>
      </c>
      <c r="H6759" s="7" t="s">
        <v>31</v>
      </c>
      <c r="I6759" s="7">
        <v>1.0</v>
      </c>
      <c r="J6759" s="7">
        <v>1.0</v>
      </c>
      <c r="K6759" s="7" t="s">
        <v>31</v>
      </c>
      <c r="L6759" s="8" t="s">
        <v>42148</v>
      </c>
      <c r="M6759" s="6" t="s">
        <v>31</v>
      </c>
      <c r="N6759" s="6" t="s">
        <v>1292</v>
      </c>
      <c r="O6759" s="8" t="s">
        <v>1293</v>
      </c>
      <c r="P6759" s="6" t="s">
        <v>42150</v>
      </c>
      <c r="Q6759" s="6" t="s">
        <v>31</v>
      </c>
      <c r="R6759" s="6" t="s">
        <v>64</v>
      </c>
      <c r="S6759" s="8" t="s">
        <v>1296</v>
      </c>
      <c r="T6759" s="6" t="s">
        <v>66</v>
      </c>
      <c r="U6759" s="8" t="s">
        <v>42151</v>
      </c>
      <c r="V6759" s="6" t="s">
        <v>29</v>
      </c>
      <c r="W6759" s="6" t="s">
        <v>42146</v>
      </c>
      <c r="X6759" s="9" t="str">
        <f>HYPERLINK("https://my.pitchbook.com?p=230090-95P","View People Online")</f>
        <v>View People Online</v>
      </c>
    </row>
    <row r="6760">
      <c r="A6760" s="10" t="s">
        <v>42239</v>
      </c>
      <c r="B6760" s="10" t="s">
        <v>42240</v>
      </c>
      <c r="C6760" s="10" t="s">
        <v>42241</v>
      </c>
      <c r="D6760" s="10" t="s">
        <v>42242</v>
      </c>
      <c r="E6760" s="10" t="s">
        <v>42146</v>
      </c>
      <c r="F6760" s="10" t="s">
        <v>3429</v>
      </c>
      <c r="G6760" s="10" t="s">
        <v>42243</v>
      </c>
      <c r="H6760" s="11">
        <v>1.0</v>
      </c>
      <c r="I6760" s="11">
        <v>11.0</v>
      </c>
      <c r="J6760" s="11">
        <v>1.0</v>
      </c>
      <c r="K6760" s="11">
        <v>8.0</v>
      </c>
      <c r="L6760" s="12" t="s">
        <v>42148</v>
      </c>
      <c r="M6760" s="10" t="s">
        <v>42244</v>
      </c>
      <c r="N6760" s="10" t="s">
        <v>1292</v>
      </c>
      <c r="O6760" s="12" t="s">
        <v>1293</v>
      </c>
      <c r="P6760" s="10" t="s">
        <v>42150</v>
      </c>
      <c r="Q6760" s="10" t="s">
        <v>31</v>
      </c>
      <c r="R6760" s="10" t="s">
        <v>64</v>
      </c>
      <c r="S6760" s="12" t="s">
        <v>1296</v>
      </c>
      <c r="T6760" s="10" t="s">
        <v>66</v>
      </c>
      <c r="U6760" s="12" t="s">
        <v>42151</v>
      </c>
      <c r="V6760" s="10" t="s">
        <v>23602</v>
      </c>
      <c r="W6760" s="10" t="s">
        <v>42146</v>
      </c>
      <c r="X6760" s="13" t="str">
        <f>HYPERLINK("https://my.pitchbook.com?p=260995-78P","View People Online")</f>
        <v>View People Online</v>
      </c>
    </row>
    <row r="6761">
      <c r="A6761" s="14" t="s">
        <v>42245</v>
      </c>
      <c r="B6761" s="14" t="s">
        <v>42246</v>
      </c>
      <c r="C6761" s="14" t="s">
        <v>4465</v>
      </c>
      <c r="D6761" s="14" t="s">
        <v>7497</v>
      </c>
      <c r="E6761" s="14" t="s">
        <v>42146</v>
      </c>
      <c r="F6761" s="14" t="s">
        <v>5086</v>
      </c>
      <c r="G6761" s="14" t="s">
        <v>42247</v>
      </c>
      <c r="H6761" s="15" t="s">
        <v>31</v>
      </c>
      <c r="I6761" s="15">
        <v>1.0</v>
      </c>
      <c r="J6761" s="15">
        <v>1.0</v>
      </c>
      <c r="K6761" s="15" t="s">
        <v>31</v>
      </c>
      <c r="L6761" s="16" t="s">
        <v>42148</v>
      </c>
      <c r="M6761" s="14" t="s">
        <v>42248</v>
      </c>
      <c r="N6761" s="14" t="s">
        <v>155</v>
      </c>
      <c r="O6761" s="16" t="s">
        <v>156</v>
      </c>
      <c r="P6761" s="14" t="s">
        <v>42198</v>
      </c>
      <c r="Q6761" s="14" t="s">
        <v>31</v>
      </c>
      <c r="R6761" s="14" t="s">
        <v>64</v>
      </c>
      <c r="S6761" s="16" t="s">
        <v>7810</v>
      </c>
      <c r="T6761" s="14" t="s">
        <v>66</v>
      </c>
      <c r="U6761" s="16" t="s">
        <v>42151</v>
      </c>
      <c r="V6761" s="14" t="s">
        <v>42249</v>
      </c>
      <c r="W6761" s="14" t="s">
        <v>42146</v>
      </c>
      <c r="X6761" s="17" t="str">
        <f>HYPERLINK("https://my.pitchbook.com?p=275613-31P","View People Online")</f>
        <v>View People Online</v>
      </c>
    </row>
    <row r="6762">
      <c r="A6762" s="2" t="s">
        <v>42250</v>
      </c>
      <c r="B6762" s="2" t="s">
        <v>42251</v>
      </c>
      <c r="C6762" s="2" t="s">
        <v>42252</v>
      </c>
      <c r="D6762" s="2" t="s">
        <v>42253</v>
      </c>
      <c r="E6762" s="2" t="s">
        <v>42146</v>
      </c>
      <c r="F6762" s="2" t="s">
        <v>42190</v>
      </c>
      <c r="G6762" s="2" t="s">
        <v>42254</v>
      </c>
      <c r="H6762" s="3">
        <v>14.0</v>
      </c>
      <c r="I6762" s="3">
        <v>82.0</v>
      </c>
      <c r="J6762" s="3">
        <v>1.0</v>
      </c>
      <c r="K6762" s="3">
        <v>54.0</v>
      </c>
      <c r="L6762" s="4" t="s">
        <v>42255</v>
      </c>
      <c r="M6762" s="2" t="s">
        <v>42256</v>
      </c>
      <c r="N6762" s="2" t="s">
        <v>1292</v>
      </c>
      <c r="O6762" s="4" t="s">
        <v>1293</v>
      </c>
      <c r="P6762" s="2" t="s">
        <v>42150</v>
      </c>
      <c r="Q6762" s="2" t="s">
        <v>31</v>
      </c>
      <c r="R6762" s="2" t="s">
        <v>64</v>
      </c>
      <c r="S6762" s="4" t="s">
        <v>1296</v>
      </c>
      <c r="T6762" s="2" t="s">
        <v>66</v>
      </c>
      <c r="U6762" s="4" t="s">
        <v>42151</v>
      </c>
      <c r="V6762" s="2" t="s">
        <v>23602</v>
      </c>
      <c r="W6762" s="2" t="s">
        <v>42146</v>
      </c>
      <c r="X6762" s="5" t="str">
        <f>HYPERLINK("https://my.pitchbook.com?p=227684-26P","View People Online")</f>
        <v>View People Online</v>
      </c>
    </row>
    <row r="6763">
      <c r="A6763" s="6" t="s">
        <v>42257</v>
      </c>
      <c r="B6763" s="6" t="s">
        <v>42258</v>
      </c>
      <c r="C6763" s="6" t="s">
        <v>42259</v>
      </c>
      <c r="D6763" s="6" t="s">
        <v>42260</v>
      </c>
      <c r="E6763" s="6" t="s">
        <v>42146</v>
      </c>
      <c r="F6763" s="6" t="s">
        <v>7948</v>
      </c>
      <c r="G6763" s="6" t="s">
        <v>42261</v>
      </c>
      <c r="H6763" s="7" t="s">
        <v>31</v>
      </c>
      <c r="I6763" s="7">
        <v>1.0</v>
      </c>
      <c r="J6763" s="7">
        <v>1.0</v>
      </c>
      <c r="K6763" s="7" t="s">
        <v>31</v>
      </c>
      <c r="L6763" s="8" t="s">
        <v>42148</v>
      </c>
      <c r="M6763" s="6" t="s">
        <v>42262</v>
      </c>
      <c r="N6763" s="6" t="s">
        <v>1292</v>
      </c>
      <c r="O6763" s="8" t="s">
        <v>1293</v>
      </c>
      <c r="P6763" s="6" t="s">
        <v>42150</v>
      </c>
      <c r="Q6763" s="6" t="s">
        <v>31</v>
      </c>
      <c r="R6763" s="6" t="s">
        <v>64</v>
      </c>
      <c r="S6763" s="8" t="s">
        <v>1296</v>
      </c>
      <c r="T6763" s="6" t="s">
        <v>66</v>
      </c>
      <c r="U6763" s="8" t="s">
        <v>42151</v>
      </c>
      <c r="V6763" s="6" t="s">
        <v>42263</v>
      </c>
      <c r="W6763" s="6" t="s">
        <v>42146</v>
      </c>
      <c r="X6763" s="9" t="str">
        <f>HYPERLINK("https://my.pitchbook.com?p=136181-62P","View People Online")</f>
        <v>View People Online</v>
      </c>
    </row>
    <row r="6764">
      <c r="A6764" s="2" t="s">
        <v>42264</v>
      </c>
      <c r="B6764" s="2" t="s">
        <v>42265</v>
      </c>
      <c r="C6764" s="2" t="s">
        <v>20141</v>
      </c>
      <c r="D6764" s="2" t="s">
        <v>42266</v>
      </c>
      <c r="E6764" s="2" t="s">
        <v>42146</v>
      </c>
      <c r="F6764" s="2" t="s">
        <v>5086</v>
      </c>
      <c r="G6764" s="2" t="s">
        <v>42267</v>
      </c>
      <c r="H6764" s="3" t="s">
        <v>31</v>
      </c>
      <c r="I6764" s="3">
        <v>1.0</v>
      </c>
      <c r="J6764" s="3">
        <v>1.0</v>
      </c>
      <c r="K6764" s="3" t="s">
        <v>31</v>
      </c>
      <c r="L6764" s="4" t="s">
        <v>42148</v>
      </c>
      <c r="M6764" s="2" t="s">
        <v>42268</v>
      </c>
      <c r="N6764" s="2" t="s">
        <v>155</v>
      </c>
      <c r="O6764" s="4" t="s">
        <v>156</v>
      </c>
      <c r="P6764" s="2" t="s">
        <v>42198</v>
      </c>
      <c r="Q6764" s="2" t="s">
        <v>31</v>
      </c>
      <c r="R6764" s="2" t="s">
        <v>64</v>
      </c>
      <c r="S6764" s="4" t="s">
        <v>7810</v>
      </c>
      <c r="T6764" s="2" t="s">
        <v>66</v>
      </c>
      <c r="U6764" s="4" t="s">
        <v>42151</v>
      </c>
      <c r="V6764" s="2" t="s">
        <v>42249</v>
      </c>
      <c r="W6764" s="2" t="s">
        <v>42146</v>
      </c>
      <c r="X6764" s="5" t="str">
        <f>HYPERLINK("https://my.pitchbook.com?p=350828-29P","View People Online")</f>
        <v>View People Online</v>
      </c>
    </row>
    <row r="6765">
      <c r="A6765" s="6" t="s">
        <v>42269</v>
      </c>
      <c r="B6765" s="6" t="s">
        <v>42270</v>
      </c>
      <c r="C6765" s="6" t="s">
        <v>30956</v>
      </c>
      <c r="D6765" s="6" t="s">
        <v>3671</v>
      </c>
      <c r="E6765" s="6" t="s">
        <v>42146</v>
      </c>
      <c r="F6765" s="6" t="s">
        <v>548</v>
      </c>
      <c r="G6765" s="6" t="s">
        <v>42271</v>
      </c>
      <c r="H6765" s="7" t="s">
        <v>31</v>
      </c>
      <c r="I6765" s="7">
        <v>2.0</v>
      </c>
      <c r="J6765" s="7">
        <v>2.0</v>
      </c>
      <c r="K6765" s="7" t="s">
        <v>31</v>
      </c>
      <c r="L6765" s="8" t="s">
        <v>42272</v>
      </c>
      <c r="M6765" s="6" t="s">
        <v>42273</v>
      </c>
      <c r="N6765" s="6" t="s">
        <v>3334</v>
      </c>
      <c r="O6765" s="8" t="s">
        <v>3335</v>
      </c>
      <c r="P6765" s="6" t="s">
        <v>42274</v>
      </c>
      <c r="Q6765" s="6" t="s">
        <v>42275</v>
      </c>
      <c r="R6765" s="6" t="s">
        <v>31</v>
      </c>
      <c r="S6765" s="8" t="s">
        <v>42276</v>
      </c>
      <c r="T6765" s="6" t="s">
        <v>3339</v>
      </c>
      <c r="U6765" s="8" t="s">
        <v>31</v>
      </c>
      <c r="V6765" s="6" t="s">
        <v>29</v>
      </c>
      <c r="W6765" s="6" t="s">
        <v>42206</v>
      </c>
      <c r="X6765" s="9" t="str">
        <f>HYPERLINK("https://my.pitchbook.com?p=159644-62P","View People Online")</f>
        <v>View People Online</v>
      </c>
    </row>
    <row r="6766">
      <c r="A6766" s="10" t="s">
        <v>42277</v>
      </c>
      <c r="B6766" s="10" t="s">
        <v>42278</v>
      </c>
      <c r="C6766" s="10" t="s">
        <v>4015</v>
      </c>
      <c r="D6766" s="10" t="s">
        <v>42279</v>
      </c>
      <c r="E6766" s="10" t="s">
        <v>42146</v>
      </c>
      <c r="F6766" s="10" t="s">
        <v>81</v>
      </c>
      <c r="G6766" s="10" t="s">
        <v>42280</v>
      </c>
      <c r="H6766" s="11">
        <v>7.0</v>
      </c>
      <c r="I6766" s="11">
        <v>9.0</v>
      </c>
      <c r="J6766" s="11" t="s">
        <v>31</v>
      </c>
      <c r="K6766" s="11" t="s">
        <v>31</v>
      </c>
      <c r="L6766" s="12" t="s">
        <v>42148</v>
      </c>
      <c r="M6766" s="10" t="s">
        <v>31</v>
      </c>
      <c r="N6766" s="10" t="s">
        <v>1292</v>
      </c>
      <c r="O6766" s="12" t="s">
        <v>1293</v>
      </c>
      <c r="P6766" s="10" t="s">
        <v>42150</v>
      </c>
      <c r="Q6766" s="10" t="s">
        <v>31</v>
      </c>
      <c r="R6766" s="10" t="s">
        <v>64</v>
      </c>
      <c r="S6766" s="12" t="s">
        <v>1296</v>
      </c>
      <c r="T6766" s="10" t="s">
        <v>66</v>
      </c>
      <c r="U6766" s="12" t="s">
        <v>42151</v>
      </c>
      <c r="V6766" s="10" t="s">
        <v>42281</v>
      </c>
      <c r="W6766" s="10" t="s">
        <v>42146</v>
      </c>
      <c r="X6766" s="13" t="str">
        <f>HYPERLINK("https://my.pitchbook.com?p=76151-98P","View People Online")</f>
        <v>View People Online</v>
      </c>
    </row>
    <row r="6767">
      <c r="A6767" s="6" t="s">
        <v>42282</v>
      </c>
      <c r="B6767" s="6" t="s">
        <v>42283</v>
      </c>
      <c r="C6767" s="6" t="s">
        <v>1683</v>
      </c>
      <c r="D6767" s="6" t="s">
        <v>42284</v>
      </c>
      <c r="E6767" s="6" t="s">
        <v>42146</v>
      </c>
      <c r="F6767" s="6" t="s">
        <v>1544</v>
      </c>
      <c r="G6767" s="6" t="s">
        <v>42285</v>
      </c>
      <c r="H6767" s="7" t="s">
        <v>31</v>
      </c>
      <c r="I6767" s="7">
        <v>15.0</v>
      </c>
      <c r="J6767" s="7">
        <v>1.0</v>
      </c>
      <c r="K6767" s="7">
        <v>3.0</v>
      </c>
      <c r="L6767" s="8" t="s">
        <v>42148</v>
      </c>
      <c r="M6767" s="6" t="s">
        <v>42286</v>
      </c>
      <c r="N6767" s="6" t="s">
        <v>1292</v>
      </c>
      <c r="O6767" s="8" t="s">
        <v>1293</v>
      </c>
      <c r="P6767" s="6" t="s">
        <v>42150</v>
      </c>
      <c r="Q6767" s="6" t="s">
        <v>31</v>
      </c>
      <c r="R6767" s="6" t="s">
        <v>64</v>
      </c>
      <c r="S6767" s="8" t="s">
        <v>1296</v>
      </c>
      <c r="T6767" s="6" t="s">
        <v>66</v>
      </c>
      <c r="U6767" s="8" t="s">
        <v>42151</v>
      </c>
      <c r="V6767" s="6" t="s">
        <v>1544</v>
      </c>
      <c r="W6767" s="6" t="s">
        <v>42146</v>
      </c>
      <c r="X6767" s="9" t="str">
        <f>HYPERLINK("https://my.pitchbook.com?p=13537-00P","View People Online")</f>
        <v>View People Online</v>
      </c>
    </row>
    <row r="6768">
      <c r="A6768" s="10" t="s">
        <v>42287</v>
      </c>
      <c r="B6768" s="10" t="s">
        <v>41551</v>
      </c>
      <c r="C6768" s="10" t="s">
        <v>41552</v>
      </c>
      <c r="D6768" s="10" t="s">
        <v>41553</v>
      </c>
      <c r="E6768" s="10" t="s">
        <v>42146</v>
      </c>
      <c r="F6768" s="10" t="s">
        <v>12689</v>
      </c>
      <c r="G6768" s="10" t="s">
        <v>42288</v>
      </c>
      <c r="H6768" s="11">
        <v>13.0</v>
      </c>
      <c r="I6768" s="11">
        <v>144.0</v>
      </c>
      <c r="J6768" s="11">
        <v>1.0</v>
      </c>
      <c r="K6768" s="11">
        <v>109.0</v>
      </c>
      <c r="L6768" s="12" t="s">
        <v>42148</v>
      </c>
      <c r="M6768" s="10" t="s">
        <v>42289</v>
      </c>
      <c r="N6768" s="10" t="s">
        <v>1292</v>
      </c>
      <c r="O6768" s="12" t="s">
        <v>1293</v>
      </c>
      <c r="P6768" s="10" t="s">
        <v>42150</v>
      </c>
      <c r="Q6768" s="10" t="s">
        <v>31</v>
      </c>
      <c r="R6768" s="10" t="s">
        <v>64</v>
      </c>
      <c r="S6768" s="12" t="s">
        <v>1296</v>
      </c>
      <c r="T6768" s="10" t="s">
        <v>66</v>
      </c>
      <c r="U6768" s="12" t="s">
        <v>42151</v>
      </c>
      <c r="V6768" s="10" t="s">
        <v>40568</v>
      </c>
      <c r="W6768" s="10" t="s">
        <v>42146</v>
      </c>
      <c r="X6768" s="13" t="str">
        <f>HYPERLINK("https://my.pitchbook.com?p=13539-43P","View People Online")</f>
        <v>View People Online</v>
      </c>
    </row>
    <row r="6769">
      <c r="A6769" s="6" t="s">
        <v>42290</v>
      </c>
      <c r="B6769" s="6" t="s">
        <v>42291</v>
      </c>
      <c r="C6769" s="6" t="s">
        <v>42292</v>
      </c>
      <c r="D6769" s="6" t="s">
        <v>42293</v>
      </c>
      <c r="E6769" s="6" t="s">
        <v>42146</v>
      </c>
      <c r="F6769" s="6" t="s">
        <v>81</v>
      </c>
      <c r="G6769" s="6" t="s">
        <v>42294</v>
      </c>
      <c r="H6769" s="7">
        <v>11.0</v>
      </c>
      <c r="I6769" s="7">
        <v>86.0</v>
      </c>
      <c r="J6769" s="7">
        <v>2.0</v>
      </c>
      <c r="K6769" s="7">
        <v>56.0</v>
      </c>
      <c r="L6769" s="8" t="s">
        <v>42148</v>
      </c>
      <c r="M6769" s="6" t="s">
        <v>42295</v>
      </c>
      <c r="N6769" s="6" t="s">
        <v>1292</v>
      </c>
      <c r="O6769" s="8" t="s">
        <v>1293</v>
      </c>
      <c r="P6769" s="6" t="s">
        <v>42150</v>
      </c>
      <c r="Q6769" s="6" t="s">
        <v>31</v>
      </c>
      <c r="R6769" s="6" t="s">
        <v>64</v>
      </c>
      <c r="S6769" s="8" t="s">
        <v>1296</v>
      </c>
      <c r="T6769" s="6" t="s">
        <v>66</v>
      </c>
      <c r="U6769" s="8" t="s">
        <v>42151</v>
      </c>
      <c r="V6769" s="6" t="s">
        <v>81</v>
      </c>
      <c r="W6769" s="6" t="s">
        <v>42146</v>
      </c>
      <c r="X6769" s="9" t="str">
        <f>HYPERLINK("https://my.pitchbook.com?p=50766-94P","View People Online")</f>
        <v>View People Online</v>
      </c>
    </row>
    <row r="6770">
      <c r="A6770" s="10" t="s">
        <v>36681</v>
      </c>
      <c r="B6770" s="10" t="s">
        <v>36682</v>
      </c>
      <c r="C6770" s="10" t="s">
        <v>1117</v>
      </c>
      <c r="D6770" s="10" t="s">
        <v>16608</v>
      </c>
      <c r="E6770" s="10" t="s">
        <v>42296</v>
      </c>
      <c r="F6770" s="10" t="s">
        <v>152</v>
      </c>
      <c r="G6770" s="10" t="s">
        <v>36683</v>
      </c>
      <c r="H6770" s="11">
        <v>3.0</v>
      </c>
      <c r="I6770" s="11">
        <v>86.0</v>
      </c>
      <c r="J6770" s="11">
        <v>5.0</v>
      </c>
      <c r="K6770" s="11">
        <v>73.0</v>
      </c>
      <c r="L6770" s="12" t="s">
        <v>36684</v>
      </c>
      <c r="M6770" s="10" t="s">
        <v>36685</v>
      </c>
      <c r="N6770" s="10" t="s">
        <v>1181</v>
      </c>
      <c r="O6770" s="12" t="s">
        <v>1182</v>
      </c>
      <c r="P6770" s="10" t="s">
        <v>1381</v>
      </c>
      <c r="Q6770" s="10" t="s">
        <v>36686</v>
      </c>
      <c r="R6770" s="10" t="s">
        <v>1185</v>
      </c>
      <c r="S6770" s="12" t="s">
        <v>36687</v>
      </c>
      <c r="T6770" s="10" t="s">
        <v>66</v>
      </c>
      <c r="U6770" s="12" t="s">
        <v>31</v>
      </c>
      <c r="V6770" s="10" t="s">
        <v>2168</v>
      </c>
      <c r="W6770" s="10" t="s">
        <v>36688</v>
      </c>
      <c r="X6770" s="13" t="str">
        <f>HYPERLINK("https://my.pitchbook.com?p=53940-52P","View People Online")</f>
        <v>View People Online</v>
      </c>
    </row>
    <row r="6771">
      <c r="A6771" s="14" t="s">
        <v>42297</v>
      </c>
      <c r="B6771" s="14" t="s">
        <v>42298</v>
      </c>
      <c r="C6771" s="14" t="s">
        <v>2221</v>
      </c>
      <c r="D6771" s="14" t="s">
        <v>42299</v>
      </c>
      <c r="E6771" s="14" t="s">
        <v>42296</v>
      </c>
      <c r="F6771" s="14" t="s">
        <v>825</v>
      </c>
      <c r="G6771" s="14" t="s">
        <v>42300</v>
      </c>
      <c r="H6771" s="15" t="s">
        <v>31</v>
      </c>
      <c r="I6771" s="15">
        <v>1.0</v>
      </c>
      <c r="J6771" s="15">
        <v>1.0</v>
      </c>
      <c r="K6771" s="15" t="s">
        <v>31</v>
      </c>
      <c r="L6771" s="16" t="s">
        <v>42301</v>
      </c>
      <c r="M6771" s="14" t="s">
        <v>42302</v>
      </c>
      <c r="N6771" s="14" t="s">
        <v>6669</v>
      </c>
      <c r="O6771" s="16" t="s">
        <v>6670</v>
      </c>
      <c r="P6771" s="14" t="s">
        <v>42303</v>
      </c>
      <c r="Q6771" s="14" t="s">
        <v>27524</v>
      </c>
      <c r="R6771" s="14" t="s">
        <v>1185</v>
      </c>
      <c r="S6771" s="16" t="s">
        <v>6672</v>
      </c>
      <c r="T6771" s="14" t="s">
        <v>66</v>
      </c>
      <c r="U6771" s="16" t="s">
        <v>31</v>
      </c>
      <c r="V6771" s="14" t="s">
        <v>42304</v>
      </c>
      <c r="W6771" s="14" t="s">
        <v>42296</v>
      </c>
      <c r="X6771" s="17" t="str">
        <f>HYPERLINK("https://my.pitchbook.com?p=363747-16P","View People Online")</f>
        <v>View People Online</v>
      </c>
    </row>
    <row r="6772">
      <c r="A6772" s="2" t="s">
        <v>42305</v>
      </c>
      <c r="B6772" s="2" t="s">
        <v>42306</v>
      </c>
      <c r="C6772" s="2" t="s">
        <v>8535</v>
      </c>
      <c r="D6772" s="2" t="s">
        <v>42307</v>
      </c>
      <c r="E6772" s="2" t="s">
        <v>42308</v>
      </c>
      <c r="F6772" s="2" t="s">
        <v>1249</v>
      </c>
      <c r="G6772" s="2" t="s">
        <v>42309</v>
      </c>
      <c r="H6772" s="3">
        <v>1.0</v>
      </c>
      <c r="I6772" s="3">
        <v>6.0</v>
      </c>
      <c r="J6772" s="3">
        <v>1.0</v>
      </c>
      <c r="K6772" s="3">
        <v>5.0</v>
      </c>
      <c r="L6772" s="4" t="s">
        <v>31</v>
      </c>
      <c r="M6772" s="2" t="s">
        <v>31</v>
      </c>
      <c r="N6772" s="2" t="s">
        <v>42310</v>
      </c>
      <c r="O6772" s="4" t="s">
        <v>42311</v>
      </c>
      <c r="P6772" s="2" t="s">
        <v>42312</v>
      </c>
      <c r="Q6772" s="2" t="s">
        <v>31</v>
      </c>
      <c r="R6772" s="2" t="s">
        <v>10359</v>
      </c>
      <c r="S6772" s="4" t="s">
        <v>42313</v>
      </c>
      <c r="T6772" s="2" t="s">
        <v>66</v>
      </c>
      <c r="U6772" s="4" t="s">
        <v>31</v>
      </c>
      <c r="V6772" s="2" t="s">
        <v>42314</v>
      </c>
      <c r="W6772" s="2" t="s">
        <v>42308</v>
      </c>
      <c r="X6772" s="5" t="str">
        <f>HYPERLINK("https://my.pitchbook.com?p=51667-48P","View People Online")</f>
        <v>View People Online</v>
      </c>
    </row>
    <row r="6773">
      <c r="A6773" s="6" t="s">
        <v>42315</v>
      </c>
      <c r="B6773" s="6" t="s">
        <v>42316</v>
      </c>
      <c r="C6773" s="6" t="s">
        <v>28319</v>
      </c>
      <c r="D6773" s="6" t="s">
        <v>42317</v>
      </c>
      <c r="E6773" s="6" t="s">
        <v>42308</v>
      </c>
      <c r="F6773" s="6" t="s">
        <v>371</v>
      </c>
      <c r="G6773" s="6" t="s">
        <v>42318</v>
      </c>
      <c r="H6773" s="7" t="s">
        <v>31</v>
      </c>
      <c r="I6773" s="7">
        <v>1.0</v>
      </c>
      <c r="J6773" s="7">
        <v>1.0</v>
      </c>
      <c r="K6773" s="7" t="s">
        <v>31</v>
      </c>
      <c r="L6773" s="8" t="s">
        <v>31</v>
      </c>
      <c r="M6773" s="6" t="s">
        <v>42319</v>
      </c>
      <c r="N6773" s="6" t="s">
        <v>42310</v>
      </c>
      <c r="O6773" s="8" t="s">
        <v>42311</v>
      </c>
      <c r="P6773" s="6" t="s">
        <v>42312</v>
      </c>
      <c r="Q6773" s="6" t="s">
        <v>31</v>
      </c>
      <c r="R6773" s="6" t="s">
        <v>10359</v>
      </c>
      <c r="S6773" s="8" t="s">
        <v>42313</v>
      </c>
      <c r="T6773" s="6" t="s">
        <v>66</v>
      </c>
      <c r="U6773" s="8" t="s">
        <v>31</v>
      </c>
      <c r="V6773" s="6" t="s">
        <v>42320</v>
      </c>
      <c r="W6773" s="6" t="s">
        <v>42308</v>
      </c>
      <c r="X6773" s="9" t="str">
        <f>HYPERLINK("https://my.pitchbook.com?p=388648-45P","View People Online")</f>
        <v>View People Online</v>
      </c>
    </row>
    <row r="6774">
      <c r="A6774" s="2" t="s">
        <v>42321</v>
      </c>
      <c r="B6774" s="2" t="s">
        <v>42322</v>
      </c>
      <c r="C6774" s="2" t="s">
        <v>1426</v>
      </c>
      <c r="D6774" s="2" t="s">
        <v>42308</v>
      </c>
      <c r="E6774" s="2" t="s">
        <v>42308</v>
      </c>
      <c r="F6774" s="2" t="s">
        <v>4527</v>
      </c>
      <c r="G6774" s="2" t="s">
        <v>42323</v>
      </c>
      <c r="H6774" s="3">
        <v>4.0</v>
      </c>
      <c r="I6774" s="3">
        <v>12.0</v>
      </c>
      <c r="J6774" s="3">
        <v>5.0</v>
      </c>
      <c r="K6774" s="3">
        <v>6.0</v>
      </c>
      <c r="L6774" s="4" t="s">
        <v>42324</v>
      </c>
      <c r="M6774" s="2" t="s">
        <v>42325</v>
      </c>
      <c r="N6774" s="2" t="s">
        <v>612</v>
      </c>
      <c r="O6774" s="4" t="s">
        <v>613</v>
      </c>
      <c r="P6774" s="2" t="s">
        <v>42326</v>
      </c>
      <c r="Q6774" s="2" t="s">
        <v>42327</v>
      </c>
      <c r="R6774" s="2" t="s">
        <v>616</v>
      </c>
      <c r="S6774" s="4" t="s">
        <v>42328</v>
      </c>
      <c r="T6774" s="2" t="s">
        <v>66</v>
      </c>
      <c r="U6774" s="4" t="s">
        <v>42329</v>
      </c>
      <c r="V6774" s="2" t="s">
        <v>42330</v>
      </c>
      <c r="W6774" s="2" t="s">
        <v>42331</v>
      </c>
      <c r="X6774" s="5" t="str">
        <f>HYPERLINK("https://my.pitchbook.com?p=37213-21P","View People Online")</f>
        <v>View People Online</v>
      </c>
    </row>
    <row r="6775">
      <c r="A6775" s="6" t="s">
        <v>42332</v>
      </c>
      <c r="B6775" s="6" t="s">
        <v>42333</v>
      </c>
      <c r="C6775" s="6" t="s">
        <v>6892</v>
      </c>
      <c r="D6775" s="6" t="s">
        <v>42308</v>
      </c>
      <c r="E6775" s="6" t="s">
        <v>42308</v>
      </c>
      <c r="F6775" s="6" t="s">
        <v>42334</v>
      </c>
      <c r="G6775" s="6" t="s">
        <v>42335</v>
      </c>
      <c r="H6775" s="7">
        <v>1.0</v>
      </c>
      <c r="I6775" s="7">
        <v>12.0</v>
      </c>
      <c r="J6775" s="7">
        <v>2.0</v>
      </c>
      <c r="K6775" s="7">
        <v>10.0</v>
      </c>
      <c r="L6775" s="8" t="s">
        <v>31</v>
      </c>
      <c r="M6775" s="6" t="s">
        <v>42336</v>
      </c>
      <c r="N6775" s="6" t="s">
        <v>42310</v>
      </c>
      <c r="O6775" s="8" t="s">
        <v>42311</v>
      </c>
      <c r="P6775" s="6" t="s">
        <v>42337</v>
      </c>
      <c r="Q6775" s="6" t="s">
        <v>31</v>
      </c>
      <c r="R6775" s="6" t="s">
        <v>10359</v>
      </c>
      <c r="S6775" s="8" t="s">
        <v>31</v>
      </c>
      <c r="T6775" s="6" t="s">
        <v>66</v>
      </c>
      <c r="U6775" s="8" t="s">
        <v>31</v>
      </c>
      <c r="V6775" s="6" t="s">
        <v>152</v>
      </c>
      <c r="W6775" s="6" t="s">
        <v>42338</v>
      </c>
      <c r="X6775" s="9" t="str">
        <f>HYPERLINK("https://my.pitchbook.com?p=184958-83P","View People Online")</f>
        <v>View People Online</v>
      </c>
    </row>
    <row r="6776">
      <c r="A6776" s="10" t="s">
        <v>42339</v>
      </c>
      <c r="B6776" s="10" t="s">
        <v>42340</v>
      </c>
      <c r="C6776" s="10" t="s">
        <v>1449</v>
      </c>
      <c r="D6776" s="10" t="s">
        <v>6051</v>
      </c>
      <c r="E6776" s="10" t="s">
        <v>42308</v>
      </c>
      <c r="F6776" s="10" t="s">
        <v>42341</v>
      </c>
      <c r="G6776" s="10" t="s">
        <v>42342</v>
      </c>
      <c r="H6776" s="11">
        <v>1.0</v>
      </c>
      <c r="I6776" s="11">
        <v>1.0</v>
      </c>
      <c r="J6776" s="11">
        <v>1.0</v>
      </c>
      <c r="K6776" s="11" t="s">
        <v>31</v>
      </c>
      <c r="L6776" s="12" t="s">
        <v>31</v>
      </c>
      <c r="M6776" s="10" t="s">
        <v>42343</v>
      </c>
      <c r="N6776" s="10" t="s">
        <v>42310</v>
      </c>
      <c r="O6776" s="12" t="s">
        <v>42311</v>
      </c>
      <c r="P6776" s="10" t="s">
        <v>42312</v>
      </c>
      <c r="Q6776" s="10" t="s">
        <v>31</v>
      </c>
      <c r="R6776" s="10" t="s">
        <v>10359</v>
      </c>
      <c r="S6776" s="12" t="s">
        <v>42313</v>
      </c>
      <c r="T6776" s="10" t="s">
        <v>66</v>
      </c>
      <c r="U6776" s="12" t="s">
        <v>31</v>
      </c>
      <c r="V6776" s="10" t="s">
        <v>42344</v>
      </c>
      <c r="W6776" s="10" t="s">
        <v>42308</v>
      </c>
      <c r="X6776" s="13" t="str">
        <f>HYPERLINK("https://my.pitchbook.com?p=37213-39P","View People Online")</f>
        <v>View People Online</v>
      </c>
    </row>
    <row r="6777">
      <c r="A6777" s="14" t="s">
        <v>42345</v>
      </c>
      <c r="B6777" s="14" t="s">
        <v>42346</v>
      </c>
      <c r="C6777" s="14" t="s">
        <v>8294</v>
      </c>
      <c r="D6777" s="14" t="s">
        <v>7805</v>
      </c>
      <c r="E6777" s="14" t="s">
        <v>42308</v>
      </c>
      <c r="F6777" s="14" t="s">
        <v>4600</v>
      </c>
      <c r="G6777" s="14" t="s">
        <v>42347</v>
      </c>
      <c r="H6777" s="15" t="s">
        <v>31</v>
      </c>
      <c r="I6777" s="15">
        <v>1.0</v>
      </c>
      <c r="J6777" s="15">
        <v>1.0</v>
      </c>
      <c r="K6777" s="15" t="s">
        <v>31</v>
      </c>
      <c r="L6777" s="16" t="s">
        <v>31</v>
      </c>
      <c r="M6777" s="14" t="s">
        <v>31</v>
      </c>
      <c r="N6777" s="14" t="s">
        <v>42310</v>
      </c>
      <c r="O6777" s="16" t="s">
        <v>42311</v>
      </c>
      <c r="P6777" s="14" t="s">
        <v>42312</v>
      </c>
      <c r="Q6777" s="14" t="s">
        <v>31</v>
      </c>
      <c r="R6777" s="14" t="s">
        <v>10359</v>
      </c>
      <c r="S6777" s="16" t="s">
        <v>42313</v>
      </c>
      <c r="T6777" s="14" t="s">
        <v>66</v>
      </c>
      <c r="U6777" s="16" t="s">
        <v>31</v>
      </c>
      <c r="V6777" s="14" t="s">
        <v>39411</v>
      </c>
      <c r="W6777" s="14" t="s">
        <v>42308</v>
      </c>
      <c r="X6777" s="17" t="str">
        <f>HYPERLINK("https://my.pitchbook.com?p=352644-76P","View People Online")</f>
        <v>View People Online</v>
      </c>
    </row>
    <row r="6778">
      <c r="A6778" s="2" t="s">
        <v>42348</v>
      </c>
      <c r="B6778" s="2" t="s">
        <v>42349</v>
      </c>
      <c r="C6778" s="2" t="s">
        <v>343</v>
      </c>
      <c r="D6778" s="2" t="s">
        <v>18625</v>
      </c>
      <c r="E6778" s="2" t="s">
        <v>42308</v>
      </c>
      <c r="F6778" s="2" t="s">
        <v>583</v>
      </c>
      <c r="G6778" s="2" t="s">
        <v>42350</v>
      </c>
      <c r="H6778" s="3" t="s">
        <v>31</v>
      </c>
      <c r="I6778" s="3">
        <v>2.0</v>
      </c>
      <c r="J6778" s="3">
        <v>1.0</v>
      </c>
      <c r="K6778" s="3">
        <v>1.0</v>
      </c>
      <c r="L6778" s="4" t="s">
        <v>31</v>
      </c>
      <c r="M6778" s="2" t="s">
        <v>42351</v>
      </c>
      <c r="N6778" s="2" t="s">
        <v>42310</v>
      </c>
      <c r="O6778" s="4" t="s">
        <v>42311</v>
      </c>
      <c r="P6778" s="2" t="s">
        <v>42312</v>
      </c>
      <c r="Q6778" s="2" t="s">
        <v>31</v>
      </c>
      <c r="R6778" s="2" t="s">
        <v>10359</v>
      </c>
      <c r="S6778" s="4" t="s">
        <v>42313</v>
      </c>
      <c r="T6778" s="2" t="s">
        <v>66</v>
      </c>
      <c r="U6778" s="4" t="s">
        <v>31</v>
      </c>
      <c r="V6778" s="2" t="s">
        <v>42352</v>
      </c>
      <c r="W6778" s="2" t="s">
        <v>42308</v>
      </c>
      <c r="X6778" s="5" t="str">
        <f>HYPERLINK("https://my.pitchbook.com?p=189299-71P","View People Online")</f>
        <v>View People Online</v>
      </c>
    </row>
    <row r="6779">
      <c r="A6779" s="14" t="s">
        <v>42353</v>
      </c>
      <c r="B6779" s="14" t="s">
        <v>42354</v>
      </c>
      <c r="C6779" s="14" t="s">
        <v>823</v>
      </c>
      <c r="D6779" s="14" t="s">
        <v>42355</v>
      </c>
      <c r="E6779" s="14" t="s">
        <v>42308</v>
      </c>
      <c r="F6779" s="14" t="s">
        <v>25501</v>
      </c>
      <c r="G6779" s="14" t="s">
        <v>42356</v>
      </c>
      <c r="H6779" s="15" t="s">
        <v>31</v>
      </c>
      <c r="I6779" s="15">
        <v>1.0</v>
      </c>
      <c r="J6779" s="15">
        <v>1.0</v>
      </c>
      <c r="K6779" s="15" t="s">
        <v>31</v>
      </c>
      <c r="L6779" s="16" t="s">
        <v>31</v>
      </c>
      <c r="M6779" s="14" t="s">
        <v>42357</v>
      </c>
      <c r="N6779" s="14" t="s">
        <v>42310</v>
      </c>
      <c r="O6779" s="16" t="s">
        <v>42311</v>
      </c>
      <c r="P6779" s="14" t="s">
        <v>42312</v>
      </c>
      <c r="Q6779" s="14" t="s">
        <v>31</v>
      </c>
      <c r="R6779" s="14" t="s">
        <v>10359</v>
      </c>
      <c r="S6779" s="16" t="s">
        <v>42313</v>
      </c>
      <c r="T6779" s="14" t="s">
        <v>66</v>
      </c>
      <c r="U6779" s="16" t="s">
        <v>31</v>
      </c>
      <c r="V6779" s="14" t="s">
        <v>42358</v>
      </c>
      <c r="W6779" s="14" t="s">
        <v>42308</v>
      </c>
      <c r="X6779" s="17" t="str">
        <f>HYPERLINK("https://my.pitchbook.com?p=190155-52P","View People Online")</f>
        <v>View People Online</v>
      </c>
    </row>
    <row r="6780">
      <c r="A6780" s="10" t="s">
        <v>42359</v>
      </c>
      <c r="B6780" s="10" t="s">
        <v>42360</v>
      </c>
      <c r="C6780" s="10" t="s">
        <v>42361</v>
      </c>
      <c r="D6780" s="10" t="s">
        <v>42362</v>
      </c>
      <c r="E6780" s="10" t="s">
        <v>42308</v>
      </c>
      <c r="F6780" s="10" t="s">
        <v>548</v>
      </c>
      <c r="G6780" s="10" t="s">
        <v>42363</v>
      </c>
      <c r="H6780" s="11" t="s">
        <v>31</v>
      </c>
      <c r="I6780" s="11">
        <v>1.0</v>
      </c>
      <c r="J6780" s="11">
        <v>1.0</v>
      </c>
      <c r="K6780" s="11" t="s">
        <v>31</v>
      </c>
      <c r="L6780" s="12" t="s">
        <v>42364</v>
      </c>
      <c r="M6780" s="10" t="s">
        <v>42365</v>
      </c>
      <c r="N6780" s="10" t="s">
        <v>42310</v>
      </c>
      <c r="O6780" s="12" t="s">
        <v>42311</v>
      </c>
      <c r="P6780" s="10" t="s">
        <v>42312</v>
      </c>
      <c r="Q6780" s="10" t="s">
        <v>31</v>
      </c>
      <c r="R6780" s="10" t="s">
        <v>10359</v>
      </c>
      <c r="S6780" s="12" t="s">
        <v>42313</v>
      </c>
      <c r="T6780" s="10" t="s">
        <v>66</v>
      </c>
      <c r="U6780" s="12" t="s">
        <v>31</v>
      </c>
      <c r="V6780" s="10" t="s">
        <v>8067</v>
      </c>
      <c r="W6780" s="10" t="s">
        <v>42308</v>
      </c>
      <c r="X6780" s="13" t="str">
        <f>HYPERLINK("https://my.pitchbook.com?p=347721-13P","View People Online")</f>
        <v>View People Online</v>
      </c>
    </row>
    <row r="6781">
      <c r="A6781" s="6" t="s">
        <v>42366</v>
      </c>
      <c r="B6781" s="6" t="s">
        <v>42367</v>
      </c>
      <c r="C6781" s="6" t="s">
        <v>126</v>
      </c>
      <c r="D6781" s="6" t="s">
        <v>42368</v>
      </c>
      <c r="E6781" s="6" t="s">
        <v>42308</v>
      </c>
      <c r="F6781" s="6" t="s">
        <v>1283</v>
      </c>
      <c r="G6781" s="6" t="s">
        <v>42369</v>
      </c>
      <c r="H6781" s="7" t="s">
        <v>31</v>
      </c>
      <c r="I6781" s="7">
        <v>1.0</v>
      </c>
      <c r="J6781" s="7">
        <v>1.0</v>
      </c>
      <c r="K6781" s="7" t="s">
        <v>31</v>
      </c>
      <c r="L6781" s="8" t="s">
        <v>42370</v>
      </c>
      <c r="M6781" s="6" t="s">
        <v>42371</v>
      </c>
      <c r="N6781" s="6" t="s">
        <v>42310</v>
      </c>
      <c r="O6781" s="8" t="s">
        <v>42311</v>
      </c>
      <c r="P6781" s="6" t="s">
        <v>42312</v>
      </c>
      <c r="Q6781" s="6" t="s">
        <v>31</v>
      </c>
      <c r="R6781" s="6" t="s">
        <v>10359</v>
      </c>
      <c r="S6781" s="8" t="s">
        <v>42313</v>
      </c>
      <c r="T6781" s="6" t="s">
        <v>66</v>
      </c>
      <c r="U6781" s="8" t="s">
        <v>42372</v>
      </c>
      <c r="V6781" s="6" t="s">
        <v>42373</v>
      </c>
      <c r="W6781" s="6" t="s">
        <v>42308</v>
      </c>
      <c r="X6781" s="9" t="str">
        <f>HYPERLINK("https://my.pitchbook.com?p=80690-05P","View People Online")</f>
        <v>View People Online</v>
      </c>
    </row>
    <row r="6782">
      <c r="A6782" s="2" t="s">
        <v>42374</v>
      </c>
      <c r="B6782" s="2" t="s">
        <v>42375</v>
      </c>
      <c r="C6782" s="2" t="s">
        <v>907</v>
      </c>
      <c r="D6782" s="2" t="s">
        <v>5140</v>
      </c>
      <c r="E6782" s="2" t="s">
        <v>42308</v>
      </c>
      <c r="F6782" s="2" t="s">
        <v>3710</v>
      </c>
      <c r="G6782" s="2" t="s">
        <v>42376</v>
      </c>
      <c r="H6782" s="3" t="s">
        <v>31</v>
      </c>
      <c r="I6782" s="3">
        <v>1.0</v>
      </c>
      <c r="J6782" s="3">
        <v>1.0</v>
      </c>
      <c r="K6782" s="3" t="s">
        <v>31</v>
      </c>
      <c r="L6782" s="4" t="s">
        <v>42377</v>
      </c>
      <c r="M6782" s="2" t="s">
        <v>31</v>
      </c>
      <c r="N6782" s="2" t="s">
        <v>42310</v>
      </c>
      <c r="O6782" s="4" t="s">
        <v>42311</v>
      </c>
      <c r="P6782" s="2" t="s">
        <v>42312</v>
      </c>
      <c r="Q6782" s="2" t="s">
        <v>31</v>
      </c>
      <c r="R6782" s="2" t="s">
        <v>10359</v>
      </c>
      <c r="S6782" s="4" t="s">
        <v>42313</v>
      </c>
      <c r="T6782" s="2" t="s">
        <v>66</v>
      </c>
      <c r="U6782" s="4" t="s">
        <v>31</v>
      </c>
      <c r="V6782" s="2" t="s">
        <v>42378</v>
      </c>
      <c r="W6782" s="2" t="s">
        <v>42308</v>
      </c>
      <c r="X6782" s="5" t="str">
        <f>HYPERLINK("https://my.pitchbook.com?p=51959-98P","View People Online")</f>
        <v>View People Online</v>
      </c>
    </row>
    <row r="6783">
      <c r="A6783" s="14" t="s">
        <v>42379</v>
      </c>
      <c r="B6783" s="14" t="s">
        <v>42380</v>
      </c>
      <c r="C6783" s="14" t="s">
        <v>934</v>
      </c>
      <c r="D6783" s="14" t="s">
        <v>42381</v>
      </c>
      <c r="E6783" s="14" t="s">
        <v>42308</v>
      </c>
      <c r="F6783" s="14" t="s">
        <v>270</v>
      </c>
      <c r="G6783" s="14" t="s">
        <v>42382</v>
      </c>
      <c r="H6783" s="15" t="s">
        <v>31</v>
      </c>
      <c r="I6783" s="15">
        <v>1.0</v>
      </c>
      <c r="J6783" s="15">
        <v>1.0</v>
      </c>
      <c r="K6783" s="15" t="s">
        <v>31</v>
      </c>
      <c r="L6783" s="16" t="s">
        <v>31</v>
      </c>
      <c r="M6783" s="14" t="s">
        <v>42383</v>
      </c>
      <c r="N6783" s="14" t="s">
        <v>42310</v>
      </c>
      <c r="O6783" s="16" t="s">
        <v>42311</v>
      </c>
      <c r="P6783" s="14" t="s">
        <v>42312</v>
      </c>
      <c r="Q6783" s="14" t="s">
        <v>31</v>
      </c>
      <c r="R6783" s="14" t="s">
        <v>10359</v>
      </c>
      <c r="S6783" s="16" t="s">
        <v>42313</v>
      </c>
      <c r="T6783" s="14" t="s">
        <v>66</v>
      </c>
      <c r="U6783" s="16" t="s">
        <v>31</v>
      </c>
      <c r="V6783" s="14" t="s">
        <v>270</v>
      </c>
      <c r="W6783" s="14" t="s">
        <v>42308</v>
      </c>
      <c r="X6783" s="17" t="str">
        <f>HYPERLINK("https://my.pitchbook.com?p=352644-04P","View People Online")</f>
        <v>View People Online</v>
      </c>
    </row>
    <row r="6784">
      <c r="A6784" s="10" t="s">
        <v>42384</v>
      </c>
      <c r="B6784" s="10" t="s">
        <v>42385</v>
      </c>
      <c r="C6784" s="10" t="s">
        <v>42386</v>
      </c>
      <c r="D6784" s="10" t="s">
        <v>42387</v>
      </c>
      <c r="E6784" s="10" t="s">
        <v>42308</v>
      </c>
      <c r="F6784" s="10" t="s">
        <v>3823</v>
      </c>
      <c r="G6784" s="10" t="s">
        <v>42388</v>
      </c>
      <c r="H6784" s="11" t="s">
        <v>31</v>
      </c>
      <c r="I6784" s="11">
        <v>3.0</v>
      </c>
      <c r="J6784" s="11">
        <v>3.0</v>
      </c>
      <c r="K6784" s="11" t="s">
        <v>31</v>
      </c>
      <c r="L6784" s="12" t="s">
        <v>31</v>
      </c>
      <c r="M6784" s="10" t="s">
        <v>42389</v>
      </c>
      <c r="N6784" s="10" t="s">
        <v>42310</v>
      </c>
      <c r="O6784" s="12" t="s">
        <v>42311</v>
      </c>
      <c r="P6784" s="10" t="s">
        <v>42312</v>
      </c>
      <c r="Q6784" s="10" t="s">
        <v>31</v>
      </c>
      <c r="R6784" s="10" t="s">
        <v>10359</v>
      </c>
      <c r="S6784" s="12" t="s">
        <v>42313</v>
      </c>
      <c r="T6784" s="10" t="s">
        <v>66</v>
      </c>
      <c r="U6784" s="12" t="s">
        <v>31</v>
      </c>
      <c r="V6784" s="10" t="s">
        <v>3823</v>
      </c>
      <c r="W6784" s="10" t="s">
        <v>42308</v>
      </c>
      <c r="X6784" s="13" t="str">
        <f>HYPERLINK("https://my.pitchbook.com?p=130906-54P","View People Online")</f>
        <v>View People Online</v>
      </c>
    </row>
    <row r="6785">
      <c r="A6785" s="14" t="s">
        <v>42390</v>
      </c>
      <c r="B6785" s="14" t="s">
        <v>42391</v>
      </c>
      <c r="C6785" s="14" t="s">
        <v>395</v>
      </c>
      <c r="D6785" s="14" t="s">
        <v>42392</v>
      </c>
      <c r="E6785" s="14" t="s">
        <v>42308</v>
      </c>
      <c r="F6785" s="14" t="s">
        <v>5418</v>
      </c>
      <c r="G6785" s="14" t="s">
        <v>42393</v>
      </c>
      <c r="H6785" s="15" t="s">
        <v>31</v>
      </c>
      <c r="I6785" s="15">
        <v>1.0</v>
      </c>
      <c r="J6785" s="15">
        <v>1.0</v>
      </c>
      <c r="K6785" s="15" t="s">
        <v>31</v>
      </c>
      <c r="L6785" s="16" t="s">
        <v>31</v>
      </c>
      <c r="M6785" s="14" t="s">
        <v>42394</v>
      </c>
      <c r="N6785" s="14" t="s">
        <v>42310</v>
      </c>
      <c r="O6785" s="16" t="s">
        <v>42311</v>
      </c>
      <c r="P6785" s="14" t="s">
        <v>42312</v>
      </c>
      <c r="Q6785" s="14" t="s">
        <v>31</v>
      </c>
      <c r="R6785" s="14" t="s">
        <v>10359</v>
      </c>
      <c r="S6785" s="16" t="s">
        <v>42313</v>
      </c>
      <c r="T6785" s="14" t="s">
        <v>66</v>
      </c>
      <c r="U6785" s="16" t="s">
        <v>31</v>
      </c>
      <c r="V6785" s="14" t="s">
        <v>42395</v>
      </c>
      <c r="W6785" s="14" t="s">
        <v>42308</v>
      </c>
      <c r="X6785" s="17" t="str">
        <f>HYPERLINK("https://my.pitchbook.com?p=130645-99P","View People Online")</f>
        <v>View People Online</v>
      </c>
    </row>
    <row r="6786">
      <c r="A6786" s="2" t="s">
        <v>42396</v>
      </c>
      <c r="B6786" s="2" t="s">
        <v>42397</v>
      </c>
      <c r="C6786" s="2" t="s">
        <v>395</v>
      </c>
      <c r="D6786" s="2" t="s">
        <v>5917</v>
      </c>
      <c r="E6786" s="2" t="s">
        <v>42308</v>
      </c>
      <c r="F6786" s="2" t="s">
        <v>32190</v>
      </c>
      <c r="G6786" s="2" t="s">
        <v>42398</v>
      </c>
      <c r="H6786" s="3">
        <v>1.0</v>
      </c>
      <c r="I6786" s="3">
        <v>1.0</v>
      </c>
      <c r="J6786" s="3">
        <v>1.0</v>
      </c>
      <c r="K6786" s="3" t="s">
        <v>31</v>
      </c>
      <c r="L6786" s="4" t="s">
        <v>31</v>
      </c>
      <c r="M6786" s="2" t="s">
        <v>31</v>
      </c>
      <c r="N6786" s="2" t="s">
        <v>42310</v>
      </c>
      <c r="O6786" s="4" t="s">
        <v>42311</v>
      </c>
      <c r="P6786" s="2" t="s">
        <v>42312</v>
      </c>
      <c r="Q6786" s="2" t="s">
        <v>31</v>
      </c>
      <c r="R6786" s="2" t="s">
        <v>10359</v>
      </c>
      <c r="S6786" s="4" t="s">
        <v>42313</v>
      </c>
      <c r="T6786" s="2" t="s">
        <v>66</v>
      </c>
      <c r="U6786" s="4" t="s">
        <v>31</v>
      </c>
      <c r="V6786" s="2" t="s">
        <v>32190</v>
      </c>
      <c r="W6786" s="2" t="s">
        <v>42308</v>
      </c>
      <c r="X6786" s="5" t="str">
        <f>HYPERLINK("https://my.pitchbook.com?p=65229-22P","View People Online")</f>
        <v>View People Online</v>
      </c>
    </row>
    <row r="6787">
      <c r="A6787" s="6" t="s">
        <v>42399</v>
      </c>
      <c r="B6787" s="6" t="s">
        <v>42400</v>
      </c>
      <c r="C6787" s="6" t="s">
        <v>4679</v>
      </c>
      <c r="D6787" s="6" t="s">
        <v>42401</v>
      </c>
      <c r="E6787" s="6" t="s">
        <v>42308</v>
      </c>
      <c r="F6787" s="6" t="s">
        <v>5418</v>
      </c>
      <c r="G6787" s="6" t="s">
        <v>42402</v>
      </c>
      <c r="H6787" s="7" t="s">
        <v>31</v>
      </c>
      <c r="I6787" s="7">
        <v>1.0</v>
      </c>
      <c r="J6787" s="7">
        <v>1.0</v>
      </c>
      <c r="K6787" s="7" t="s">
        <v>31</v>
      </c>
      <c r="L6787" s="8" t="s">
        <v>31</v>
      </c>
      <c r="M6787" s="6" t="s">
        <v>31</v>
      </c>
      <c r="N6787" s="6" t="s">
        <v>42310</v>
      </c>
      <c r="O6787" s="8" t="s">
        <v>42311</v>
      </c>
      <c r="P6787" s="6" t="s">
        <v>42312</v>
      </c>
      <c r="Q6787" s="6" t="s">
        <v>31</v>
      </c>
      <c r="R6787" s="6" t="s">
        <v>10359</v>
      </c>
      <c r="S6787" s="8" t="s">
        <v>42313</v>
      </c>
      <c r="T6787" s="6" t="s">
        <v>66</v>
      </c>
      <c r="U6787" s="8" t="s">
        <v>31</v>
      </c>
      <c r="V6787" s="6" t="s">
        <v>5418</v>
      </c>
      <c r="W6787" s="6" t="s">
        <v>42308</v>
      </c>
      <c r="X6787" s="9" t="str">
        <f>HYPERLINK("https://my.pitchbook.com?p=130647-97P","View People Online")</f>
        <v>View People Online</v>
      </c>
    </row>
    <row r="6788">
      <c r="A6788" s="2" t="s">
        <v>42403</v>
      </c>
      <c r="B6788" s="2" t="s">
        <v>42404</v>
      </c>
      <c r="C6788" s="2" t="s">
        <v>9987</v>
      </c>
      <c r="D6788" s="2" t="s">
        <v>42405</v>
      </c>
      <c r="E6788" s="2" t="s">
        <v>42308</v>
      </c>
      <c r="F6788" s="2" t="s">
        <v>371</v>
      </c>
      <c r="G6788" s="2" t="s">
        <v>42406</v>
      </c>
      <c r="H6788" s="3" t="s">
        <v>31</v>
      </c>
      <c r="I6788" s="3">
        <v>1.0</v>
      </c>
      <c r="J6788" s="3">
        <v>1.0</v>
      </c>
      <c r="K6788" s="3" t="s">
        <v>31</v>
      </c>
      <c r="L6788" s="4" t="s">
        <v>31</v>
      </c>
      <c r="M6788" s="2" t="s">
        <v>31</v>
      </c>
      <c r="N6788" s="2" t="s">
        <v>42310</v>
      </c>
      <c r="O6788" s="4" t="s">
        <v>42311</v>
      </c>
      <c r="P6788" s="2" t="s">
        <v>42312</v>
      </c>
      <c r="Q6788" s="2" t="s">
        <v>31</v>
      </c>
      <c r="R6788" s="2" t="s">
        <v>10359</v>
      </c>
      <c r="S6788" s="4" t="s">
        <v>42313</v>
      </c>
      <c r="T6788" s="2" t="s">
        <v>66</v>
      </c>
      <c r="U6788" s="4" t="s">
        <v>31</v>
      </c>
      <c r="V6788" s="2" t="s">
        <v>371</v>
      </c>
      <c r="W6788" s="2" t="s">
        <v>42308</v>
      </c>
      <c r="X6788" s="5" t="str">
        <f>HYPERLINK("https://my.pitchbook.com?p=96865-48P","View People Online")</f>
        <v>View People Online</v>
      </c>
    </row>
    <row r="6789">
      <c r="A6789" s="6" t="s">
        <v>42407</v>
      </c>
      <c r="B6789" s="6" t="s">
        <v>42408</v>
      </c>
      <c r="C6789" s="6" t="s">
        <v>42409</v>
      </c>
      <c r="D6789" s="6" t="s">
        <v>42410</v>
      </c>
      <c r="E6789" s="6" t="s">
        <v>42411</v>
      </c>
      <c r="F6789" s="6" t="s">
        <v>583</v>
      </c>
      <c r="G6789" s="6" t="s">
        <v>42412</v>
      </c>
      <c r="H6789" s="7" t="s">
        <v>31</v>
      </c>
      <c r="I6789" s="7">
        <v>2.0</v>
      </c>
      <c r="J6789" s="7">
        <v>1.0</v>
      </c>
      <c r="K6789" s="7">
        <v>1.0</v>
      </c>
      <c r="L6789" s="8" t="s">
        <v>42413</v>
      </c>
      <c r="M6789" s="6" t="s">
        <v>42414</v>
      </c>
      <c r="N6789" s="6" t="s">
        <v>42411</v>
      </c>
      <c r="O6789" s="8" t="s">
        <v>42415</v>
      </c>
      <c r="P6789" s="6" t="s">
        <v>42416</v>
      </c>
      <c r="Q6789" s="6" t="s">
        <v>31</v>
      </c>
      <c r="R6789" s="6" t="s">
        <v>1638</v>
      </c>
      <c r="S6789" s="8" t="s">
        <v>42417</v>
      </c>
      <c r="T6789" s="6" t="s">
        <v>66</v>
      </c>
      <c r="U6789" s="8" t="s">
        <v>31</v>
      </c>
      <c r="V6789" s="6" t="s">
        <v>42418</v>
      </c>
      <c r="W6789" s="6" t="s">
        <v>42411</v>
      </c>
      <c r="X6789" s="9" t="str">
        <f>HYPERLINK("https://my.pitchbook.com?p=15046-30P","View People Online")</f>
        <v>View People Online</v>
      </c>
    </row>
    <row r="6790">
      <c r="A6790" s="2" t="s">
        <v>42419</v>
      </c>
      <c r="B6790" s="2" t="s">
        <v>42420</v>
      </c>
      <c r="C6790" s="2" t="s">
        <v>1929</v>
      </c>
      <c r="D6790" s="2" t="s">
        <v>42421</v>
      </c>
      <c r="E6790" s="2" t="s">
        <v>42411</v>
      </c>
      <c r="F6790" s="2" t="s">
        <v>470</v>
      </c>
      <c r="G6790" s="2" t="s">
        <v>42422</v>
      </c>
      <c r="H6790" s="3" t="s">
        <v>31</v>
      </c>
      <c r="I6790" s="3">
        <v>4.0</v>
      </c>
      <c r="J6790" s="3">
        <v>2.0</v>
      </c>
      <c r="K6790" s="3">
        <v>2.0</v>
      </c>
      <c r="L6790" s="4" t="s">
        <v>42413</v>
      </c>
      <c r="M6790" s="2" t="s">
        <v>42423</v>
      </c>
      <c r="N6790" s="2" t="s">
        <v>42411</v>
      </c>
      <c r="O6790" s="4" t="s">
        <v>42415</v>
      </c>
      <c r="P6790" s="2" t="s">
        <v>42416</v>
      </c>
      <c r="Q6790" s="2" t="s">
        <v>31</v>
      </c>
      <c r="R6790" s="2" t="s">
        <v>1638</v>
      </c>
      <c r="S6790" s="4" t="s">
        <v>42417</v>
      </c>
      <c r="T6790" s="2" t="s">
        <v>66</v>
      </c>
      <c r="U6790" s="4" t="s">
        <v>31</v>
      </c>
      <c r="V6790" s="2" t="s">
        <v>42424</v>
      </c>
      <c r="W6790" s="2" t="s">
        <v>42411</v>
      </c>
      <c r="X6790" s="5" t="str">
        <f>HYPERLINK("https://my.pitchbook.com?p=232626-70P","View People Online")</f>
        <v>View People Online</v>
      </c>
    </row>
    <row r="6791">
      <c r="A6791" s="6" t="s">
        <v>42425</v>
      </c>
      <c r="B6791" s="6" t="s">
        <v>42426</v>
      </c>
      <c r="C6791" s="6" t="s">
        <v>30422</v>
      </c>
      <c r="D6791" s="6" t="s">
        <v>9267</v>
      </c>
      <c r="E6791" s="6" t="s">
        <v>42411</v>
      </c>
      <c r="F6791" s="6" t="s">
        <v>548</v>
      </c>
      <c r="G6791" s="6" t="s">
        <v>42427</v>
      </c>
      <c r="H6791" s="7" t="s">
        <v>31</v>
      </c>
      <c r="I6791" s="7">
        <v>1.0</v>
      </c>
      <c r="J6791" s="7">
        <v>1.0</v>
      </c>
      <c r="K6791" s="7" t="s">
        <v>31</v>
      </c>
      <c r="L6791" s="8" t="s">
        <v>42413</v>
      </c>
      <c r="M6791" s="6" t="s">
        <v>42428</v>
      </c>
      <c r="N6791" s="6" t="s">
        <v>42411</v>
      </c>
      <c r="O6791" s="8" t="s">
        <v>42415</v>
      </c>
      <c r="P6791" s="6" t="s">
        <v>42416</v>
      </c>
      <c r="Q6791" s="6" t="s">
        <v>31</v>
      </c>
      <c r="R6791" s="6" t="s">
        <v>1638</v>
      </c>
      <c r="S6791" s="8" t="s">
        <v>42417</v>
      </c>
      <c r="T6791" s="6" t="s">
        <v>66</v>
      </c>
      <c r="U6791" s="8" t="s">
        <v>31</v>
      </c>
      <c r="V6791" s="6" t="s">
        <v>42429</v>
      </c>
      <c r="W6791" s="6" t="s">
        <v>42411</v>
      </c>
      <c r="X6791" s="9" t="str">
        <f>HYPERLINK("https://my.pitchbook.com?p=422243-29P","View People Online")</f>
        <v>View People Online</v>
      </c>
    </row>
    <row r="6792">
      <c r="A6792" s="10" t="s">
        <v>42430</v>
      </c>
      <c r="B6792" s="10" t="s">
        <v>42431</v>
      </c>
      <c r="C6792" s="10" t="s">
        <v>1982</v>
      </c>
      <c r="D6792" s="10" t="s">
        <v>4338</v>
      </c>
      <c r="E6792" s="10" t="s">
        <v>42411</v>
      </c>
      <c r="F6792" s="10" t="s">
        <v>270</v>
      </c>
      <c r="G6792" s="10" t="s">
        <v>42432</v>
      </c>
      <c r="H6792" s="11" t="s">
        <v>31</v>
      </c>
      <c r="I6792" s="11">
        <v>1.0</v>
      </c>
      <c r="J6792" s="11">
        <v>1.0</v>
      </c>
      <c r="K6792" s="11" t="s">
        <v>31</v>
      </c>
      <c r="L6792" s="12" t="s">
        <v>42413</v>
      </c>
      <c r="M6792" s="10" t="s">
        <v>42433</v>
      </c>
      <c r="N6792" s="10" t="s">
        <v>42411</v>
      </c>
      <c r="O6792" s="12" t="s">
        <v>42415</v>
      </c>
      <c r="P6792" s="10" t="s">
        <v>42416</v>
      </c>
      <c r="Q6792" s="10" t="s">
        <v>31</v>
      </c>
      <c r="R6792" s="10" t="s">
        <v>1638</v>
      </c>
      <c r="S6792" s="12" t="s">
        <v>42417</v>
      </c>
      <c r="T6792" s="10" t="s">
        <v>66</v>
      </c>
      <c r="U6792" s="12" t="s">
        <v>31</v>
      </c>
      <c r="V6792" s="10" t="s">
        <v>42434</v>
      </c>
      <c r="W6792" s="10" t="s">
        <v>42411</v>
      </c>
      <c r="X6792" s="13" t="str">
        <f>HYPERLINK("https://my.pitchbook.com?p=383100-76P","View People Online")</f>
        <v>View People Online</v>
      </c>
    </row>
    <row r="6793">
      <c r="A6793" s="6" t="s">
        <v>42435</v>
      </c>
      <c r="B6793" s="6" t="s">
        <v>42436</v>
      </c>
      <c r="C6793" s="6" t="s">
        <v>69</v>
      </c>
      <c r="D6793" s="6" t="s">
        <v>42437</v>
      </c>
      <c r="E6793" s="6" t="s">
        <v>42411</v>
      </c>
      <c r="F6793" s="6" t="s">
        <v>81</v>
      </c>
      <c r="G6793" s="6" t="s">
        <v>42438</v>
      </c>
      <c r="H6793" s="7" t="s">
        <v>31</v>
      </c>
      <c r="I6793" s="7">
        <v>1.0</v>
      </c>
      <c r="J6793" s="7" t="s">
        <v>31</v>
      </c>
      <c r="K6793" s="7" t="s">
        <v>31</v>
      </c>
      <c r="L6793" s="8" t="s">
        <v>42413</v>
      </c>
      <c r="M6793" s="6" t="s">
        <v>42439</v>
      </c>
      <c r="N6793" s="6" t="s">
        <v>42411</v>
      </c>
      <c r="O6793" s="8" t="s">
        <v>42415</v>
      </c>
      <c r="P6793" s="6" t="s">
        <v>42416</v>
      </c>
      <c r="Q6793" s="6" t="s">
        <v>31</v>
      </c>
      <c r="R6793" s="6" t="s">
        <v>1638</v>
      </c>
      <c r="S6793" s="8" t="s">
        <v>42417</v>
      </c>
      <c r="T6793" s="6" t="s">
        <v>66</v>
      </c>
      <c r="U6793" s="8" t="s">
        <v>31</v>
      </c>
      <c r="V6793" s="6" t="s">
        <v>42440</v>
      </c>
      <c r="W6793" s="6" t="s">
        <v>42411</v>
      </c>
      <c r="X6793" s="9" t="str">
        <f>HYPERLINK("https://my.pitchbook.com?p=87910-84P","View People Online")</f>
        <v>View People Online</v>
      </c>
    </row>
    <row r="6794">
      <c r="A6794" s="10" t="s">
        <v>42441</v>
      </c>
      <c r="B6794" s="10" t="s">
        <v>42442</v>
      </c>
      <c r="C6794" s="10" t="s">
        <v>1449</v>
      </c>
      <c r="D6794" s="10" t="s">
        <v>42411</v>
      </c>
      <c r="E6794" s="10" t="s">
        <v>42411</v>
      </c>
      <c r="F6794" s="10" t="s">
        <v>4527</v>
      </c>
      <c r="G6794" s="10" t="s">
        <v>42443</v>
      </c>
      <c r="H6794" s="11">
        <v>2.0</v>
      </c>
      <c r="I6794" s="11">
        <v>6.0</v>
      </c>
      <c r="J6794" s="11">
        <v>1.0</v>
      </c>
      <c r="K6794" s="11">
        <v>4.0</v>
      </c>
      <c r="L6794" s="12" t="s">
        <v>42413</v>
      </c>
      <c r="M6794" s="10" t="s">
        <v>42444</v>
      </c>
      <c r="N6794" s="10" t="s">
        <v>42411</v>
      </c>
      <c r="O6794" s="12" t="s">
        <v>42415</v>
      </c>
      <c r="P6794" s="10" t="s">
        <v>42416</v>
      </c>
      <c r="Q6794" s="10" t="s">
        <v>31</v>
      </c>
      <c r="R6794" s="10" t="s">
        <v>1638</v>
      </c>
      <c r="S6794" s="12" t="s">
        <v>42417</v>
      </c>
      <c r="T6794" s="10" t="s">
        <v>66</v>
      </c>
      <c r="U6794" s="12" t="s">
        <v>31</v>
      </c>
      <c r="V6794" s="10" t="s">
        <v>4527</v>
      </c>
      <c r="W6794" s="10" t="s">
        <v>42411</v>
      </c>
      <c r="X6794" s="13" t="str">
        <f>HYPERLINK("https://my.pitchbook.com?p=64839-70P","View People Online")</f>
        <v>View People Online</v>
      </c>
    </row>
    <row r="6795">
      <c r="A6795" s="14" t="s">
        <v>42445</v>
      </c>
      <c r="B6795" s="14" t="s">
        <v>42446</v>
      </c>
      <c r="C6795" s="14" t="s">
        <v>42447</v>
      </c>
      <c r="D6795" s="14" t="s">
        <v>42448</v>
      </c>
      <c r="E6795" s="14" t="s">
        <v>42411</v>
      </c>
      <c r="F6795" s="14" t="s">
        <v>42449</v>
      </c>
      <c r="G6795" s="14" t="s">
        <v>42450</v>
      </c>
      <c r="H6795" s="15" t="s">
        <v>31</v>
      </c>
      <c r="I6795" s="15">
        <v>1.0</v>
      </c>
      <c r="J6795" s="15">
        <v>1.0</v>
      </c>
      <c r="K6795" s="15" t="s">
        <v>31</v>
      </c>
      <c r="L6795" s="16" t="s">
        <v>42413</v>
      </c>
      <c r="M6795" s="14" t="s">
        <v>42451</v>
      </c>
      <c r="N6795" s="14" t="s">
        <v>42411</v>
      </c>
      <c r="O6795" s="16" t="s">
        <v>42415</v>
      </c>
      <c r="P6795" s="14" t="s">
        <v>42416</v>
      </c>
      <c r="Q6795" s="14" t="s">
        <v>31</v>
      </c>
      <c r="R6795" s="14" t="s">
        <v>1638</v>
      </c>
      <c r="S6795" s="16" t="s">
        <v>42417</v>
      </c>
      <c r="T6795" s="14" t="s">
        <v>66</v>
      </c>
      <c r="U6795" s="16" t="s">
        <v>31</v>
      </c>
      <c r="V6795" s="14" t="s">
        <v>42452</v>
      </c>
      <c r="W6795" s="14" t="s">
        <v>42411</v>
      </c>
      <c r="X6795" s="17" t="str">
        <f>HYPERLINK("https://my.pitchbook.com?p=113499-37P","View People Online")</f>
        <v>View People Online</v>
      </c>
    </row>
    <row r="6796">
      <c r="A6796" s="2" t="s">
        <v>42453</v>
      </c>
      <c r="B6796" s="2" t="s">
        <v>42454</v>
      </c>
      <c r="C6796" s="2" t="s">
        <v>41319</v>
      </c>
      <c r="D6796" s="2" t="s">
        <v>42455</v>
      </c>
      <c r="E6796" s="2" t="s">
        <v>42411</v>
      </c>
      <c r="F6796" s="2" t="s">
        <v>583</v>
      </c>
      <c r="G6796" s="2" t="s">
        <v>42456</v>
      </c>
      <c r="H6796" s="3" t="s">
        <v>31</v>
      </c>
      <c r="I6796" s="3">
        <v>5.0</v>
      </c>
      <c r="J6796" s="3">
        <v>1.0</v>
      </c>
      <c r="K6796" s="3">
        <v>4.0</v>
      </c>
      <c r="L6796" s="4" t="s">
        <v>42413</v>
      </c>
      <c r="M6796" s="2" t="s">
        <v>42457</v>
      </c>
      <c r="N6796" s="2" t="s">
        <v>42411</v>
      </c>
      <c r="O6796" s="4" t="s">
        <v>42415</v>
      </c>
      <c r="P6796" s="2" t="s">
        <v>42416</v>
      </c>
      <c r="Q6796" s="2" t="s">
        <v>31</v>
      </c>
      <c r="R6796" s="2" t="s">
        <v>1638</v>
      </c>
      <c r="S6796" s="4" t="s">
        <v>42417</v>
      </c>
      <c r="T6796" s="2" t="s">
        <v>66</v>
      </c>
      <c r="U6796" s="4" t="s">
        <v>31</v>
      </c>
      <c r="V6796" s="2" t="s">
        <v>42458</v>
      </c>
      <c r="W6796" s="2" t="s">
        <v>42411</v>
      </c>
      <c r="X6796" s="5" t="str">
        <f>HYPERLINK("https://my.pitchbook.com?p=127146-52P","View People Online")</f>
        <v>View People Online</v>
      </c>
    </row>
    <row r="6797">
      <c r="A6797" s="14" t="s">
        <v>42459</v>
      </c>
      <c r="B6797" s="14" t="s">
        <v>42460</v>
      </c>
      <c r="C6797" s="14" t="s">
        <v>42461</v>
      </c>
      <c r="D6797" s="14" t="s">
        <v>3847</v>
      </c>
      <c r="E6797" s="14" t="s">
        <v>42411</v>
      </c>
      <c r="F6797" s="14" t="s">
        <v>13096</v>
      </c>
      <c r="G6797" s="14" t="s">
        <v>42462</v>
      </c>
      <c r="H6797" s="15" t="s">
        <v>31</v>
      </c>
      <c r="I6797" s="15">
        <v>1.0</v>
      </c>
      <c r="J6797" s="15">
        <v>1.0</v>
      </c>
      <c r="K6797" s="15" t="s">
        <v>31</v>
      </c>
      <c r="L6797" s="16" t="s">
        <v>42413</v>
      </c>
      <c r="M6797" s="14" t="s">
        <v>42463</v>
      </c>
      <c r="N6797" s="14" t="s">
        <v>42411</v>
      </c>
      <c r="O6797" s="16" t="s">
        <v>42415</v>
      </c>
      <c r="P6797" s="14" t="s">
        <v>42416</v>
      </c>
      <c r="Q6797" s="14" t="s">
        <v>31</v>
      </c>
      <c r="R6797" s="14" t="s">
        <v>1638</v>
      </c>
      <c r="S6797" s="16" t="s">
        <v>42417</v>
      </c>
      <c r="T6797" s="14" t="s">
        <v>66</v>
      </c>
      <c r="U6797" s="16" t="s">
        <v>31</v>
      </c>
      <c r="V6797" s="14" t="s">
        <v>13096</v>
      </c>
      <c r="W6797" s="14" t="s">
        <v>42411</v>
      </c>
      <c r="X6797" s="17" t="str">
        <f>HYPERLINK("https://my.pitchbook.com?p=383103-46P","View People Online")</f>
        <v>View People Online</v>
      </c>
    </row>
    <row r="6798">
      <c r="A6798" s="10" t="s">
        <v>42464</v>
      </c>
      <c r="B6798" s="10" t="s">
        <v>42465</v>
      </c>
      <c r="C6798" s="10" t="s">
        <v>37148</v>
      </c>
      <c r="D6798" s="10" t="s">
        <v>42466</v>
      </c>
      <c r="E6798" s="10" t="s">
        <v>42411</v>
      </c>
      <c r="F6798" s="10" t="s">
        <v>270</v>
      </c>
      <c r="G6798" s="10" t="s">
        <v>42467</v>
      </c>
      <c r="H6798" s="11" t="s">
        <v>31</v>
      </c>
      <c r="I6798" s="11">
        <v>1.0</v>
      </c>
      <c r="J6798" s="11">
        <v>1.0</v>
      </c>
      <c r="K6798" s="11" t="s">
        <v>31</v>
      </c>
      <c r="L6798" s="12" t="s">
        <v>42413</v>
      </c>
      <c r="M6798" s="10" t="s">
        <v>42468</v>
      </c>
      <c r="N6798" s="10" t="s">
        <v>42411</v>
      </c>
      <c r="O6798" s="12" t="s">
        <v>42415</v>
      </c>
      <c r="P6798" s="10" t="s">
        <v>42416</v>
      </c>
      <c r="Q6798" s="10" t="s">
        <v>31</v>
      </c>
      <c r="R6798" s="10" t="s">
        <v>1638</v>
      </c>
      <c r="S6798" s="12" t="s">
        <v>42417</v>
      </c>
      <c r="T6798" s="10" t="s">
        <v>66</v>
      </c>
      <c r="U6798" s="12" t="s">
        <v>31</v>
      </c>
      <c r="V6798" s="10" t="s">
        <v>42469</v>
      </c>
      <c r="W6798" s="10" t="s">
        <v>42411</v>
      </c>
      <c r="X6798" s="13" t="str">
        <f>HYPERLINK("https://my.pitchbook.com?p=392878-27P","View People Online")</f>
        <v>View People Online</v>
      </c>
    </row>
    <row r="6799">
      <c r="A6799" s="6" t="s">
        <v>42470</v>
      </c>
      <c r="B6799" s="6" t="s">
        <v>42471</v>
      </c>
      <c r="C6799" s="6" t="s">
        <v>27706</v>
      </c>
      <c r="D6799" s="6" t="s">
        <v>42472</v>
      </c>
      <c r="E6799" s="6" t="s">
        <v>42411</v>
      </c>
      <c r="F6799" s="6" t="s">
        <v>270</v>
      </c>
      <c r="G6799" s="6" t="s">
        <v>42473</v>
      </c>
      <c r="H6799" s="7" t="s">
        <v>31</v>
      </c>
      <c r="I6799" s="7">
        <v>1.0</v>
      </c>
      <c r="J6799" s="7">
        <v>1.0</v>
      </c>
      <c r="K6799" s="7" t="s">
        <v>31</v>
      </c>
      <c r="L6799" s="8" t="s">
        <v>42413</v>
      </c>
      <c r="M6799" s="6" t="s">
        <v>42474</v>
      </c>
      <c r="N6799" s="6" t="s">
        <v>42411</v>
      </c>
      <c r="O6799" s="8" t="s">
        <v>42415</v>
      </c>
      <c r="P6799" s="6" t="s">
        <v>42416</v>
      </c>
      <c r="Q6799" s="6" t="s">
        <v>31</v>
      </c>
      <c r="R6799" s="6" t="s">
        <v>1638</v>
      </c>
      <c r="S6799" s="8" t="s">
        <v>42417</v>
      </c>
      <c r="T6799" s="6" t="s">
        <v>66</v>
      </c>
      <c r="U6799" s="8" t="s">
        <v>31</v>
      </c>
      <c r="V6799" s="6" t="s">
        <v>42475</v>
      </c>
      <c r="W6799" s="6" t="s">
        <v>42411</v>
      </c>
      <c r="X6799" s="9" t="str">
        <f>HYPERLINK("https://my.pitchbook.com?p=89225-83P","View People Online")</f>
        <v>View People Online</v>
      </c>
    </row>
    <row r="6800">
      <c r="A6800" s="10" t="s">
        <v>42476</v>
      </c>
      <c r="B6800" s="10" t="s">
        <v>42477</v>
      </c>
      <c r="C6800" s="10" t="s">
        <v>2221</v>
      </c>
      <c r="D6800" s="10" t="s">
        <v>42411</v>
      </c>
      <c r="E6800" s="10" t="s">
        <v>42411</v>
      </c>
      <c r="F6800" s="10" t="s">
        <v>270</v>
      </c>
      <c r="G6800" s="10" t="s">
        <v>42478</v>
      </c>
      <c r="H6800" s="11" t="s">
        <v>31</v>
      </c>
      <c r="I6800" s="11">
        <v>1.0</v>
      </c>
      <c r="J6800" s="11">
        <v>1.0</v>
      </c>
      <c r="K6800" s="11" t="s">
        <v>31</v>
      </c>
      <c r="L6800" s="12" t="s">
        <v>42413</v>
      </c>
      <c r="M6800" s="10" t="s">
        <v>42479</v>
      </c>
      <c r="N6800" s="10" t="s">
        <v>42411</v>
      </c>
      <c r="O6800" s="12" t="s">
        <v>42415</v>
      </c>
      <c r="P6800" s="10" t="s">
        <v>42416</v>
      </c>
      <c r="Q6800" s="10" t="s">
        <v>31</v>
      </c>
      <c r="R6800" s="10" t="s">
        <v>1638</v>
      </c>
      <c r="S6800" s="12" t="s">
        <v>42417</v>
      </c>
      <c r="T6800" s="10" t="s">
        <v>66</v>
      </c>
      <c r="U6800" s="12" t="s">
        <v>31</v>
      </c>
      <c r="V6800" s="10" t="s">
        <v>42480</v>
      </c>
      <c r="W6800" s="10" t="s">
        <v>42411</v>
      </c>
      <c r="X6800" s="13" t="str">
        <f>HYPERLINK("https://my.pitchbook.com?p=331399-09P","View People Online")</f>
        <v>View People Online</v>
      </c>
    </row>
    <row r="6801">
      <c r="A6801" s="6" t="s">
        <v>42481</v>
      </c>
      <c r="B6801" s="6" t="s">
        <v>42482</v>
      </c>
      <c r="C6801" s="6" t="s">
        <v>3852</v>
      </c>
      <c r="D6801" s="6" t="s">
        <v>42483</v>
      </c>
      <c r="E6801" s="6" t="s">
        <v>42411</v>
      </c>
      <c r="F6801" s="6" t="s">
        <v>29113</v>
      </c>
      <c r="G6801" s="6" t="s">
        <v>42484</v>
      </c>
      <c r="H6801" s="7" t="s">
        <v>31</v>
      </c>
      <c r="I6801" s="7">
        <v>1.0</v>
      </c>
      <c r="J6801" s="7">
        <v>1.0</v>
      </c>
      <c r="K6801" s="7" t="s">
        <v>31</v>
      </c>
      <c r="L6801" s="8" t="s">
        <v>42413</v>
      </c>
      <c r="M6801" s="6" t="s">
        <v>42485</v>
      </c>
      <c r="N6801" s="6" t="s">
        <v>42411</v>
      </c>
      <c r="O6801" s="8" t="s">
        <v>42415</v>
      </c>
      <c r="P6801" s="6" t="s">
        <v>42416</v>
      </c>
      <c r="Q6801" s="6" t="s">
        <v>31</v>
      </c>
      <c r="R6801" s="6" t="s">
        <v>1638</v>
      </c>
      <c r="S6801" s="8" t="s">
        <v>42417</v>
      </c>
      <c r="T6801" s="6" t="s">
        <v>66</v>
      </c>
      <c r="U6801" s="8" t="s">
        <v>31</v>
      </c>
      <c r="V6801" s="6" t="s">
        <v>37495</v>
      </c>
      <c r="W6801" s="6" t="s">
        <v>42411</v>
      </c>
      <c r="X6801" s="9" t="str">
        <f>HYPERLINK("https://my.pitchbook.com?p=407802-88P","View People Online")</f>
        <v>View People Online</v>
      </c>
    </row>
    <row r="6802">
      <c r="A6802" s="10" t="s">
        <v>42486</v>
      </c>
      <c r="B6802" s="10" t="s">
        <v>42487</v>
      </c>
      <c r="C6802" s="10" t="s">
        <v>934</v>
      </c>
      <c r="D6802" s="10" t="s">
        <v>4015</v>
      </c>
      <c r="E6802" s="10" t="s">
        <v>42411</v>
      </c>
      <c r="F6802" s="10" t="s">
        <v>270</v>
      </c>
      <c r="G6802" s="10" t="s">
        <v>42488</v>
      </c>
      <c r="H6802" s="11" t="s">
        <v>31</v>
      </c>
      <c r="I6802" s="11">
        <v>1.0</v>
      </c>
      <c r="J6802" s="11">
        <v>1.0</v>
      </c>
      <c r="K6802" s="11" t="s">
        <v>31</v>
      </c>
      <c r="L6802" s="12" t="s">
        <v>42413</v>
      </c>
      <c r="M6802" s="10" t="s">
        <v>42489</v>
      </c>
      <c r="N6802" s="10" t="s">
        <v>42411</v>
      </c>
      <c r="O6802" s="12" t="s">
        <v>42415</v>
      </c>
      <c r="P6802" s="10" t="s">
        <v>42416</v>
      </c>
      <c r="Q6802" s="10" t="s">
        <v>31</v>
      </c>
      <c r="R6802" s="10" t="s">
        <v>1638</v>
      </c>
      <c r="S6802" s="12" t="s">
        <v>42417</v>
      </c>
      <c r="T6802" s="10" t="s">
        <v>66</v>
      </c>
      <c r="U6802" s="12" t="s">
        <v>31</v>
      </c>
      <c r="V6802" s="10" t="s">
        <v>7982</v>
      </c>
      <c r="W6802" s="10" t="s">
        <v>42411</v>
      </c>
      <c r="X6802" s="13" t="str">
        <f>HYPERLINK("https://my.pitchbook.com?p=236782-18P","View People Online")</f>
        <v>View People Online</v>
      </c>
    </row>
    <row r="6803">
      <c r="A6803" s="6" t="s">
        <v>42490</v>
      </c>
      <c r="B6803" s="6" t="s">
        <v>42491</v>
      </c>
      <c r="C6803" s="6" t="s">
        <v>9524</v>
      </c>
      <c r="D6803" s="6" t="s">
        <v>11612</v>
      </c>
      <c r="E6803" s="6" t="s">
        <v>42411</v>
      </c>
      <c r="F6803" s="6" t="s">
        <v>502</v>
      </c>
      <c r="G6803" s="6" t="s">
        <v>42492</v>
      </c>
      <c r="H6803" s="7" t="s">
        <v>31</v>
      </c>
      <c r="I6803" s="7">
        <v>1.0</v>
      </c>
      <c r="J6803" s="7">
        <v>1.0</v>
      </c>
      <c r="K6803" s="7" t="s">
        <v>31</v>
      </c>
      <c r="L6803" s="8" t="s">
        <v>42413</v>
      </c>
      <c r="M6803" s="6" t="s">
        <v>42493</v>
      </c>
      <c r="N6803" s="6" t="s">
        <v>42411</v>
      </c>
      <c r="O6803" s="8" t="s">
        <v>42415</v>
      </c>
      <c r="P6803" s="6" t="s">
        <v>42416</v>
      </c>
      <c r="Q6803" s="6" t="s">
        <v>31</v>
      </c>
      <c r="R6803" s="6" t="s">
        <v>1638</v>
      </c>
      <c r="S6803" s="8" t="s">
        <v>42417</v>
      </c>
      <c r="T6803" s="6" t="s">
        <v>66</v>
      </c>
      <c r="U6803" s="8" t="s">
        <v>31</v>
      </c>
      <c r="V6803" s="6" t="s">
        <v>502</v>
      </c>
      <c r="W6803" s="6" t="s">
        <v>42411</v>
      </c>
      <c r="X6803" s="9" t="str">
        <f>HYPERLINK("https://my.pitchbook.com?p=227085-67P","View People Online")</f>
        <v>View People Online</v>
      </c>
    </row>
    <row r="6804">
      <c r="A6804" s="10" t="s">
        <v>42494</v>
      </c>
      <c r="B6804" s="10" t="s">
        <v>42495</v>
      </c>
      <c r="C6804" s="10" t="s">
        <v>42496</v>
      </c>
      <c r="D6804" s="10" t="s">
        <v>42497</v>
      </c>
      <c r="E6804" s="10" t="s">
        <v>42498</v>
      </c>
      <c r="F6804" s="10" t="s">
        <v>81</v>
      </c>
      <c r="G6804" s="10" t="s">
        <v>42499</v>
      </c>
      <c r="H6804" s="11" t="s">
        <v>31</v>
      </c>
      <c r="I6804" s="11">
        <v>1.0</v>
      </c>
      <c r="J6804" s="11" t="s">
        <v>31</v>
      </c>
      <c r="K6804" s="11" t="s">
        <v>31</v>
      </c>
      <c r="L6804" s="12" t="s">
        <v>42500</v>
      </c>
      <c r="M6804" s="10" t="s">
        <v>31</v>
      </c>
      <c r="N6804" s="10" t="s">
        <v>38727</v>
      </c>
      <c r="O6804" s="12" t="s">
        <v>42501</v>
      </c>
      <c r="P6804" s="10" t="s">
        <v>42502</v>
      </c>
      <c r="Q6804" s="10" t="s">
        <v>42503</v>
      </c>
      <c r="R6804" s="10" t="s">
        <v>31</v>
      </c>
      <c r="S6804" s="12" t="s">
        <v>31</v>
      </c>
      <c r="T6804" s="10" t="s">
        <v>249</v>
      </c>
      <c r="U6804" s="12" t="s">
        <v>31</v>
      </c>
      <c r="V6804" s="10" t="s">
        <v>42504</v>
      </c>
      <c r="W6804" s="10" t="s">
        <v>42498</v>
      </c>
      <c r="X6804" s="13" t="str">
        <f>HYPERLINK("https://my.pitchbook.com?p=98866-27P","View People Online")</f>
        <v>View People Online</v>
      </c>
    </row>
    <row r="6805">
      <c r="A6805" s="14" t="s">
        <v>42505</v>
      </c>
      <c r="B6805" s="14" t="s">
        <v>42506</v>
      </c>
      <c r="C6805" s="14" t="s">
        <v>395</v>
      </c>
      <c r="D6805" s="14" t="s">
        <v>42507</v>
      </c>
      <c r="E6805" s="14" t="s">
        <v>42498</v>
      </c>
      <c r="F6805" s="14" t="s">
        <v>81</v>
      </c>
      <c r="G6805" s="14" t="s">
        <v>42508</v>
      </c>
      <c r="H6805" s="15" t="s">
        <v>31</v>
      </c>
      <c r="I6805" s="15">
        <v>1.0</v>
      </c>
      <c r="J6805" s="15" t="s">
        <v>31</v>
      </c>
      <c r="K6805" s="15" t="s">
        <v>31</v>
      </c>
      <c r="L6805" s="16" t="s">
        <v>42500</v>
      </c>
      <c r="M6805" s="14" t="s">
        <v>31</v>
      </c>
      <c r="N6805" s="14" t="s">
        <v>38727</v>
      </c>
      <c r="O6805" s="16" t="s">
        <v>42501</v>
      </c>
      <c r="P6805" s="14" t="s">
        <v>42502</v>
      </c>
      <c r="Q6805" s="14" t="s">
        <v>42503</v>
      </c>
      <c r="R6805" s="14" t="s">
        <v>31</v>
      </c>
      <c r="S6805" s="16" t="s">
        <v>31</v>
      </c>
      <c r="T6805" s="14" t="s">
        <v>249</v>
      </c>
      <c r="U6805" s="16" t="s">
        <v>31</v>
      </c>
      <c r="V6805" s="14" t="s">
        <v>42504</v>
      </c>
      <c r="W6805" s="14" t="s">
        <v>42498</v>
      </c>
      <c r="X6805" s="17" t="str">
        <f>HYPERLINK("https://my.pitchbook.com?p=98867-62P","View People Online")</f>
        <v>View People Online</v>
      </c>
    </row>
    <row r="6806">
      <c r="A6806" s="2" t="s">
        <v>42509</v>
      </c>
      <c r="B6806" s="2" t="s">
        <v>42510</v>
      </c>
      <c r="C6806" s="2" t="s">
        <v>42511</v>
      </c>
      <c r="D6806" s="2" t="s">
        <v>19146</v>
      </c>
      <c r="E6806" s="2" t="s">
        <v>42498</v>
      </c>
      <c r="F6806" s="2" t="s">
        <v>2590</v>
      </c>
      <c r="G6806" s="2" t="s">
        <v>42512</v>
      </c>
      <c r="H6806" s="3">
        <v>1.0</v>
      </c>
      <c r="I6806" s="3">
        <v>18.0</v>
      </c>
      <c r="J6806" s="3">
        <v>1.0</v>
      </c>
      <c r="K6806" s="3">
        <v>13.0</v>
      </c>
      <c r="L6806" s="4" t="s">
        <v>42500</v>
      </c>
      <c r="M6806" s="2" t="s">
        <v>42513</v>
      </c>
      <c r="N6806" s="2" t="s">
        <v>38727</v>
      </c>
      <c r="O6806" s="4" t="s">
        <v>42501</v>
      </c>
      <c r="P6806" s="2" t="s">
        <v>42502</v>
      </c>
      <c r="Q6806" s="2" t="s">
        <v>42503</v>
      </c>
      <c r="R6806" s="2" t="s">
        <v>31</v>
      </c>
      <c r="S6806" s="4" t="s">
        <v>31</v>
      </c>
      <c r="T6806" s="2" t="s">
        <v>249</v>
      </c>
      <c r="U6806" s="4" t="s">
        <v>31</v>
      </c>
      <c r="V6806" s="2" t="s">
        <v>12675</v>
      </c>
      <c r="W6806" s="2" t="s">
        <v>42498</v>
      </c>
      <c r="X6806" s="5" t="str">
        <f>HYPERLINK("https://my.pitchbook.com?p=84153-79P","View People Online")</f>
        <v>View People Online</v>
      </c>
    </row>
    <row r="6807">
      <c r="A6807" s="14" t="s">
        <v>42514</v>
      </c>
      <c r="B6807" s="14" t="s">
        <v>42515</v>
      </c>
      <c r="C6807" s="14" t="s">
        <v>42516</v>
      </c>
      <c r="D6807" s="14" t="s">
        <v>15449</v>
      </c>
      <c r="E6807" s="14" t="s">
        <v>42517</v>
      </c>
      <c r="F6807" s="14" t="s">
        <v>548</v>
      </c>
      <c r="G6807" s="14" t="s">
        <v>42518</v>
      </c>
      <c r="H6807" s="15">
        <v>1.0</v>
      </c>
      <c r="I6807" s="15">
        <v>2.0</v>
      </c>
      <c r="J6807" s="15">
        <v>1.0</v>
      </c>
      <c r="K6807" s="15" t="s">
        <v>31</v>
      </c>
      <c r="L6807" s="16" t="s">
        <v>42519</v>
      </c>
      <c r="M6807" s="14" t="s">
        <v>42520</v>
      </c>
      <c r="N6807" s="14" t="s">
        <v>4756</v>
      </c>
      <c r="O6807" s="16" t="s">
        <v>4757</v>
      </c>
      <c r="P6807" s="14" t="s">
        <v>42521</v>
      </c>
      <c r="Q6807" s="14" t="s">
        <v>31</v>
      </c>
      <c r="R6807" s="14" t="s">
        <v>31</v>
      </c>
      <c r="S6807" s="16" t="s">
        <v>42522</v>
      </c>
      <c r="T6807" s="14" t="s">
        <v>796</v>
      </c>
      <c r="U6807" s="16" t="s">
        <v>42523</v>
      </c>
      <c r="V6807" s="14" t="s">
        <v>42524</v>
      </c>
      <c r="W6807" s="14" t="s">
        <v>42517</v>
      </c>
      <c r="X6807" s="17" t="str">
        <f>HYPERLINK("https://my.pitchbook.com?p=263371-42P","View People Online")</f>
        <v>View People Online</v>
      </c>
    </row>
    <row r="6808">
      <c r="A6808" s="10" t="s">
        <v>42525</v>
      </c>
      <c r="B6808" s="10" t="s">
        <v>42526</v>
      </c>
      <c r="C6808" s="10" t="s">
        <v>41319</v>
      </c>
      <c r="D6808" s="10" t="s">
        <v>24008</v>
      </c>
      <c r="E6808" s="10" t="s">
        <v>42517</v>
      </c>
      <c r="F6808" s="10" t="s">
        <v>4527</v>
      </c>
      <c r="G6808" s="10" t="s">
        <v>42527</v>
      </c>
      <c r="H6808" s="11">
        <v>1.0</v>
      </c>
      <c r="I6808" s="11">
        <v>3.0</v>
      </c>
      <c r="J6808" s="11">
        <v>1.0</v>
      </c>
      <c r="K6808" s="11">
        <v>2.0</v>
      </c>
      <c r="L6808" s="12" t="s">
        <v>42519</v>
      </c>
      <c r="M6808" s="10" t="s">
        <v>42528</v>
      </c>
      <c r="N6808" s="10" t="s">
        <v>4756</v>
      </c>
      <c r="O6808" s="12" t="s">
        <v>4757</v>
      </c>
      <c r="P6808" s="10" t="s">
        <v>42521</v>
      </c>
      <c r="Q6808" s="10" t="s">
        <v>31</v>
      </c>
      <c r="R6808" s="10" t="s">
        <v>31</v>
      </c>
      <c r="S6808" s="12" t="s">
        <v>42522</v>
      </c>
      <c r="T6808" s="10" t="s">
        <v>796</v>
      </c>
      <c r="U6808" s="12" t="s">
        <v>42523</v>
      </c>
      <c r="V6808" s="10" t="s">
        <v>6811</v>
      </c>
      <c r="W6808" s="10" t="s">
        <v>42517</v>
      </c>
      <c r="X6808" s="13" t="str">
        <f>HYPERLINK("https://my.pitchbook.com?p=263366-92P","View People Online")</f>
        <v>View People Online</v>
      </c>
    </row>
    <row r="6809">
      <c r="A6809" s="14" t="s">
        <v>42529</v>
      </c>
      <c r="B6809" s="14" t="s">
        <v>42530</v>
      </c>
      <c r="C6809" s="14" t="s">
        <v>323</v>
      </c>
      <c r="D6809" s="14" t="s">
        <v>42531</v>
      </c>
      <c r="E6809" s="14" t="s">
        <v>42517</v>
      </c>
      <c r="F6809" s="14" t="s">
        <v>312</v>
      </c>
      <c r="G6809" s="14" t="s">
        <v>42532</v>
      </c>
      <c r="H6809" s="15" t="s">
        <v>31</v>
      </c>
      <c r="I6809" s="15">
        <v>1.0</v>
      </c>
      <c r="J6809" s="15">
        <v>1.0</v>
      </c>
      <c r="K6809" s="15" t="s">
        <v>31</v>
      </c>
      <c r="L6809" s="16" t="s">
        <v>42519</v>
      </c>
      <c r="M6809" s="14" t="s">
        <v>42533</v>
      </c>
      <c r="N6809" s="14" t="s">
        <v>4756</v>
      </c>
      <c r="O6809" s="16" t="s">
        <v>4757</v>
      </c>
      <c r="P6809" s="14" t="s">
        <v>42521</v>
      </c>
      <c r="Q6809" s="14" t="s">
        <v>31</v>
      </c>
      <c r="R6809" s="14" t="s">
        <v>31</v>
      </c>
      <c r="S6809" s="16" t="s">
        <v>42522</v>
      </c>
      <c r="T6809" s="14" t="s">
        <v>796</v>
      </c>
      <c r="U6809" s="16" t="s">
        <v>42523</v>
      </c>
      <c r="V6809" s="14" t="s">
        <v>42534</v>
      </c>
      <c r="W6809" s="14" t="s">
        <v>42517</v>
      </c>
      <c r="X6809" s="17" t="str">
        <f>HYPERLINK("https://my.pitchbook.com?p=417077-83P","View People Online")</f>
        <v>View People Online</v>
      </c>
    </row>
    <row r="6810">
      <c r="A6810" s="10" t="s">
        <v>42535</v>
      </c>
      <c r="B6810" s="10" t="s">
        <v>42536</v>
      </c>
      <c r="C6810" s="10" t="s">
        <v>42537</v>
      </c>
      <c r="D6810" s="10" t="s">
        <v>42538</v>
      </c>
      <c r="E6810" s="10" t="s">
        <v>42517</v>
      </c>
      <c r="F6810" s="10" t="s">
        <v>825</v>
      </c>
      <c r="G6810" s="10" t="s">
        <v>42539</v>
      </c>
      <c r="H6810" s="11" t="s">
        <v>31</v>
      </c>
      <c r="I6810" s="11">
        <v>1.0</v>
      </c>
      <c r="J6810" s="11">
        <v>1.0</v>
      </c>
      <c r="K6810" s="11" t="s">
        <v>31</v>
      </c>
      <c r="L6810" s="12" t="s">
        <v>42540</v>
      </c>
      <c r="M6810" s="10" t="s">
        <v>42541</v>
      </c>
      <c r="N6810" s="10" t="s">
        <v>4756</v>
      </c>
      <c r="O6810" s="12" t="s">
        <v>4757</v>
      </c>
      <c r="P6810" s="10" t="s">
        <v>42521</v>
      </c>
      <c r="Q6810" s="10" t="s">
        <v>31</v>
      </c>
      <c r="R6810" s="10" t="s">
        <v>31</v>
      </c>
      <c r="S6810" s="12" t="s">
        <v>42522</v>
      </c>
      <c r="T6810" s="10" t="s">
        <v>796</v>
      </c>
      <c r="U6810" s="12" t="s">
        <v>42523</v>
      </c>
      <c r="V6810" s="10" t="s">
        <v>950</v>
      </c>
      <c r="W6810" s="10" t="s">
        <v>42517</v>
      </c>
      <c r="X6810" s="13" t="str">
        <f>HYPERLINK("https://my.pitchbook.com?p=263366-38P","View People Online")</f>
        <v>View People Online</v>
      </c>
    </row>
    <row r="6811">
      <c r="A6811" s="14" t="s">
        <v>42542</v>
      </c>
      <c r="B6811" s="14" t="s">
        <v>42543</v>
      </c>
      <c r="C6811" s="14" t="s">
        <v>32822</v>
      </c>
      <c r="D6811" s="14" t="s">
        <v>42544</v>
      </c>
      <c r="E6811" s="14" t="s">
        <v>42517</v>
      </c>
      <c r="F6811" s="14" t="s">
        <v>548</v>
      </c>
      <c r="G6811" s="14" t="s">
        <v>42545</v>
      </c>
      <c r="H6811" s="15" t="s">
        <v>31</v>
      </c>
      <c r="I6811" s="15">
        <v>1.0</v>
      </c>
      <c r="J6811" s="15">
        <v>1.0</v>
      </c>
      <c r="K6811" s="15" t="s">
        <v>31</v>
      </c>
      <c r="L6811" s="16" t="s">
        <v>42519</v>
      </c>
      <c r="M6811" s="14" t="s">
        <v>42546</v>
      </c>
      <c r="N6811" s="14" t="s">
        <v>4756</v>
      </c>
      <c r="O6811" s="16" t="s">
        <v>4757</v>
      </c>
      <c r="P6811" s="14" t="s">
        <v>42521</v>
      </c>
      <c r="Q6811" s="14" t="s">
        <v>31</v>
      </c>
      <c r="R6811" s="14" t="s">
        <v>31</v>
      </c>
      <c r="S6811" s="16" t="s">
        <v>42522</v>
      </c>
      <c r="T6811" s="14" t="s">
        <v>796</v>
      </c>
      <c r="U6811" s="16" t="s">
        <v>42523</v>
      </c>
      <c r="V6811" s="14" t="s">
        <v>42547</v>
      </c>
      <c r="W6811" s="14" t="s">
        <v>42517</v>
      </c>
      <c r="X6811" s="17" t="str">
        <f>HYPERLINK("https://my.pitchbook.com?p=263367-82P","View People Online")</f>
        <v>View People Online</v>
      </c>
    </row>
    <row r="6812">
      <c r="A6812" s="2" t="s">
        <v>42548</v>
      </c>
      <c r="B6812" s="2" t="s">
        <v>42549</v>
      </c>
      <c r="C6812" s="2" t="s">
        <v>8163</v>
      </c>
      <c r="D6812" s="2" t="s">
        <v>42550</v>
      </c>
      <c r="E6812" s="2" t="s">
        <v>42517</v>
      </c>
      <c r="F6812" s="2" t="s">
        <v>548</v>
      </c>
      <c r="G6812" s="2" t="s">
        <v>42551</v>
      </c>
      <c r="H6812" s="3" t="s">
        <v>31</v>
      </c>
      <c r="I6812" s="3">
        <v>1.0</v>
      </c>
      <c r="J6812" s="3">
        <v>1.0</v>
      </c>
      <c r="K6812" s="3" t="s">
        <v>31</v>
      </c>
      <c r="L6812" s="4" t="s">
        <v>42519</v>
      </c>
      <c r="M6812" s="2" t="s">
        <v>42552</v>
      </c>
      <c r="N6812" s="2" t="s">
        <v>4756</v>
      </c>
      <c r="O6812" s="4" t="s">
        <v>4757</v>
      </c>
      <c r="P6812" s="2" t="s">
        <v>42521</v>
      </c>
      <c r="Q6812" s="2" t="s">
        <v>31</v>
      </c>
      <c r="R6812" s="2" t="s">
        <v>31</v>
      </c>
      <c r="S6812" s="4" t="s">
        <v>42522</v>
      </c>
      <c r="T6812" s="2" t="s">
        <v>796</v>
      </c>
      <c r="U6812" s="4" t="s">
        <v>42523</v>
      </c>
      <c r="V6812" s="2" t="s">
        <v>42553</v>
      </c>
      <c r="W6812" s="2" t="s">
        <v>42517</v>
      </c>
      <c r="X6812" s="5" t="str">
        <f>HYPERLINK("https://my.pitchbook.com?p=57782-17P","View People Online")</f>
        <v>View People Online</v>
      </c>
    </row>
    <row r="6813">
      <c r="A6813" s="14" t="s">
        <v>42554</v>
      </c>
      <c r="B6813" s="14" t="s">
        <v>42555</v>
      </c>
      <c r="C6813" s="14" t="s">
        <v>18773</v>
      </c>
      <c r="D6813" s="14" t="s">
        <v>42556</v>
      </c>
      <c r="E6813" s="14" t="s">
        <v>42517</v>
      </c>
      <c r="F6813" s="14" t="s">
        <v>1283</v>
      </c>
      <c r="G6813" s="14" t="s">
        <v>31</v>
      </c>
      <c r="H6813" s="15" t="s">
        <v>31</v>
      </c>
      <c r="I6813" s="15">
        <v>2.0</v>
      </c>
      <c r="J6813" s="15">
        <v>1.0</v>
      </c>
      <c r="K6813" s="15">
        <v>1.0</v>
      </c>
      <c r="L6813" s="16" t="s">
        <v>42519</v>
      </c>
      <c r="M6813" s="14" t="s">
        <v>31</v>
      </c>
      <c r="N6813" s="14" t="s">
        <v>4756</v>
      </c>
      <c r="O6813" s="16" t="s">
        <v>4757</v>
      </c>
      <c r="P6813" s="14" t="s">
        <v>42521</v>
      </c>
      <c r="Q6813" s="14" t="s">
        <v>31</v>
      </c>
      <c r="R6813" s="14" t="s">
        <v>31</v>
      </c>
      <c r="S6813" s="16" t="s">
        <v>42522</v>
      </c>
      <c r="T6813" s="14" t="s">
        <v>796</v>
      </c>
      <c r="U6813" s="16" t="s">
        <v>42523</v>
      </c>
      <c r="V6813" s="14" t="s">
        <v>1283</v>
      </c>
      <c r="W6813" s="14" t="s">
        <v>42517</v>
      </c>
      <c r="X6813" s="17" t="str">
        <f>HYPERLINK("https://my.pitchbook.com?p=454886-11P","View People Online")</f>
        <v>View People Online</v>
      </c>
    </row>
    <row r="6814">
      <c r="A6814" s="2" t="s">
        <v>42557</v>
      </c>
      <c r="B6814" s="2" t="s">
        <v>42558</v>
      </c>
      <c r="C6814" s="2" t="s">
        <v>36194</v>
      </c>
      <c r="D6814" s="2" t="s">
        <v>42559</v>
      </c>
      <c r="E6814" s="2" t="s">
        <v>42517</v>
      </c>
      <c r="F6814" s="2" t="s">
        <v>42560</v>
      </c>
      <c r="G6814" s="2" t="s">
        <v>42561</v>
      </c>
      <c r="H6814" s="3">
        <v>2.0</v>
      </c>
      <c r="I6814" s="3">
        <v>4.0</v>
      </c>
      <c r="J6814" s="3">
        <v>1.0</v>
      </c>
      <c r="K6814" s="3">
        <v>2.0</v>
      </c>
      <c r="L6814" s="4" t="s">
        <v>42519</v>
      </c>
      <c r="M6814" s="2" t="s">
        <v>42562</v>
      </c>
      <c r="N6814" s="2" t="s">
        <v>4756</v>
      </c>
      <c r="O6814" s="4" t="s">
        <v>4757</v>
      </c>
      <c r="P6814" s="2" t="s">
        <v>42521</v>
      </c>
      <c r="Q6814" s="2" t="s">
        <v>31</v>
      </c>
      <c r="R6814" s="2" t="s">
        <v>31</v>
      </c>
      <c r="S6814" s="4" t="s">
        <v>42522</v>
      </c>
      <c r="T6814" s="2" t="s">
        <v>796</v>
      </c>
      <c r="U6814" s="4" t="s">
        <v>42523</v>
      </c>
      <c r="V6814" s="2" t="s">
        <v>42563</v>
      </c>
      <c r="W6814" s="2" t="s">
        <v>42517</v>
      </c>
      <c r="X6814" s="5" t="str">
        <f>HYPERLINK("https://my.pitchbook.com?p=377694-19P","View People Online")</f>
        <v>View People Online</v>
      </c>
    </row>
    <row r="6815">
      <c r="A6815" s="6" t="s">
        <v>42564</v>
      </c>
      <c r="B6815" s="6" t="s">
        <v>42565</v>
      </c>
      <c r="C6815" s="6" t="s">
        <v>19041</v>
      </c>
      <c r="D6815" s="6" t="s">
        <v>42566</v>
      </c>
      <c r="E6815" s="6" t="s">
        <v>42517</v>
      </c>
      <c r="F6815" s="6" t="s">
        <v>548</v>
      </c>
      <c r="G6815" s="6" t="s">
        <v>42567</v>
      </c>
      <c r="H6815" s="7" t="s">
        <v>31</v>
      </c>
      <c r="I6815" s="7">
        <v>1.0</v>
      </c>
      <c r="J6815" s="7">
        <v>1.0</v>
      </c>
      <c r="K6815" s="7" t="s">
        <v>31</v>
      </c>
      <c r="L6815" s="8" t="s">
        <v>42519</v>
      </c>
      <c r="M6815" s="6" t="s">
        <v>42568</v>
      </c>
      <c r="N6815" s="6" t="s">
        <v>4756</v>
      </c>
      <c r="O6815" s="8" t="s">
        <v>4757</v>
      </c>
      <c r="P6815" s="6" t="s">
        <v>42521</v>
      </c>
      <c r="Q6815" s="6" t="s">
        <v>31</v>
      </c>
      <c r="R6815" s="6" t="s">
        <v>31</v>
      </c>
      <c r="S6815" s="8" t="s">
        <v>42522</v>
      </c>
      <c r="T6815" s="6" t="s">
        <v>796</v>
      </c>
      <c r="U6815" s="8" t="s">
        <v>42523</v>
      </c>
      <c r="V6815" s="6" t="s">
        <v>42569</v>
      </c>
      <c r="W6815" s="6" t="s">
        <v>42517</v>
      </c>
      <c r="X6815" s="9" t="str">
        <f>HYPERLINK("https://my.pitchbook.com?p=263369-35P","View People Online")</f>
        <v>View People Online</v>
      </c>
    </row>
    <row r="6816">
      <c r="A6816" s="10" t="s">
        <v>42570</v>
      </c>
      <c r="B6816" s="10" t="s">
        <v>42571</v>
      </c>
      <c r="C6816" s="10" t="s">
        <v>8184</v>
      </c>
      <c r="D6816" s="10" t="s">
        <v>42572</v>
      </c>
      <c r="E6816" s="10" t="s">
        <v>42517</v>
      </c>
      <c r="F6816" s="10" t="s">
        <v>270</v>
      </c>
      <c r="G6816" s="10" t="s">
        <v>42573</v>
      </c>
      <c r="H6816" s="11" t="s">
        <v>31</v>
      </c>
      <c r="I6816" s="11">
        <v>1.0</v>
      </c>
      <c r="J6816" s="11">
        <v>1.0</v>
      </c>
      <c r="K6816" s="11" t="s">
        <v>31</v>
      </c>
      <c r="L6816" s="12" t="s">
        <v>42519</v>
      </c>
      <c r="M6816" s="10" t="s">
        <v>42574</v>
      </c>
      <c r="N6816" s="10" t="s">
        <v>4756</v>
      </c>
      <c r="O6816" s="12" t="s">
        <v>4757</v>
      </c>
      <c r="P6816" s="10" t="s">
        <v>42521</v>
      </c>
      <c r="Q6816" s="10" t="s">
        <v>31</v>
      </c>
      <c r="R6816" s="10" t="s">
        <v>31</v>
      </c>
      <c r="S6816" s="12" t="s">
        <v>42522</v>
      </c>
      <c r="T6816" s="10" t="s">
        <v>796</v>
      </c>
      <c r="U6816" s="12" t="s">
        <v>42523</v>
      </c>
      <c r="V6816" s="10" t="s">
        <v>42575</v>
      </c>
      <c r="W6816" s="10" t="s">
        <v>42517</v>
      </c>
      <c r="X6816" s="13" t="str">
        <f>HYPERLINK("https://my.pitchbook.com?p=274879-18P","View People Online")</f>
        <v>View People Online</v>
      </c>
    </row>
    <row r="6817">
      <c r="A6817" s="6" t="s">
        <v>42576</v>
      </c>
      <c r="B6817" s="6" t="s">
        <v>42577</v>
      </c>
      <c r="C6817" s="6" t="s">
        <v>26427</v>
      </c>
      <c r="D6817" s="6" t="s">
        <v>42578</v>
      </c>
      <c r="E6817" s="6" t="s">
        <v>42517</v>
      </c>
      <c r="F6817" s="6" t="s">
        <v>548</v>
      </c>
      <c r="G6817" s="6" t="s">
        <v>42579</v>
      </c>
      <c r="H6817" s="7" t="s">
        <v>31</v>
      </c>
      <c r="I6817" s="7">
        <v>1.0</v>
      </c>
      <c r="J6817" s="7">
        <v>1.0</v>
      </c>
      <c r="K6817" s="7" t="s">
        <v>31</v>
      </c>
      <c r="L6817" s="8" t="s">
        <v>42519</v>
      </c>
      <c r="M6817" s="6" t="s">
        <v>42580</v>
      </c>
      <c r="N6817" s="6" t="s">
        <v>4756</v>
      </c>
      <c r="O6817" s="8" t="s">
        <v>4757</v>
      </c>
      <c r="P6817" s="6" t="s">
        <v>42521</v>
      </c>
      <c r="Q6817" s="6" t="s">
        <v>31</v>
      </c>
      <c r="R6817" s="6" t="s">
        <v>31</v>
      </c>
      <c r="S6817" s="8" t="s">
        <v>42522</v>
      </c>
      <c r="T6817" s="6" t="s">
        <v>796</v>
      </c>
      <c r="U6817" s="8" t="s">
        <v>42523</v>
      </c>
      <c r="V6817" s="6" t="s">
        <v>42581</v>
      </c>
      <c r="W6817" s="6" t="s">
        <v>42517</v>
      </c>
      <c r="X6817" s="9" t="str">
        <f>HYPERLINK("https://my.pitchbook.com?p=263369-98P","View People Online")</f>
        <v>View People Online</v>
      </c>
    </row>
    <row r="6818">
      <c r="A6818" s="10" t="s">
        <v>42582</v>
      </c>
      <c r="B6818" s="10" t="s">
        <v>42583</v>
      </c>
      <c r="C6818" s="10" t="s">
        <v>23896</v>
      </c>
      <c r="D6818" s="10" t="s">
        <v>24001</v>
      </c>
      <c r="E6818" s="10" t="s">
        <v>42517</v>
      </c>
      <c r="F6818" s="10" t="s">
        <v>1801</v>
      </c>
      <c r="G6818" s="10" t="s">
        <v>42584</v>
      </c>
      <c r="H6818" s="11" t="s">
        <v>31</v>
      </c>
      <c r="I6818" s="11">
        <v>1.0</v>
      </c>
      <c r="J6818" s="11">
        <v>1.0</v>
      </c>
      <c r="K6818" s="11" t="s">
        <v>31</v>
      </c>
      <c r="L6818" s="12" t="s">
        <v>42519</v>
      </c>
      <c r="M6818" s="10" t="s">
        <v>42585</v>
      </c>
      <c r="N6818" s="10" t="s">
        <v>4756</v>
      </c>
      <c r="O6818" s="12" t="s">
        <v>4757</v>
      </c>
      <c r="P6818" s="10" t="s">
        <v>42521</v>
      </c>
      <c r="Q6818" s="10" t="s">
        <v>31</v>
      </c>
      <c r="R6818" s="10" t="s">
        <v>31</v>
      </c>
      <c r="S6818" s="12" t="s">
        <v>42522</v>
      </c>
      <c r="T6818" s="10" t="s">
        <v>796</v>
      </c>
      <c r="U6818" s="12" t="s">
        <v>42523</v>
      </c>
      <c r="V6818" s="10" t="s">
        <v>7945</v>
      </c>
      <c r="W6818" s="10" t="s">
        <v>42517</v>
      </c>
      <c r="X6818" s="13" t="str">
        <f>HYPERLINK("https://my.pitchbook.com?p=417078-46P","View People Online")</f>
        <v>View People Online</v>
      </c>
    </row>
    <row r="6819">
      <c r="A6819" s="14" t="s">
        <v>42586</v>
      </c>
      <c r="B6819" s="14" t="s">
        <v>42587</v>
      </c>
      <c r="C6819" s="14" t="s">
        <v>42588</v>
      </c>
      <c r="D6819" s="14" t="s">
        <v>42589</v>
      </c>
      <c r="E6819" s="14" t="s">
        <v>42517</v>
      </c>
      <c r="F6819" s="14" t="s">
        <v>5515</v>
      </c>
      <c r="G6819" s="14" t="s">
        <v>42590</v>
      </c>
      <c r="H6819" s="15">
        <v>1.0</v>
      </c>
      <c r="I6819" s="15">
        <v>2.0</v>
      </c>
      <c r="J6819" s="15">
        <v>1.0</v>
      </c>
      <c r="K6819" s="15">
        <v>1.0</v>
      </c>
      <c r="L6819" s="16" t="s">
        <v>42591</v>
      </c>
      <c r="M6819" s="14" t="s">
        <v>42592</v>
      </c>
      <c r="N6819" s="14" t="s">
        <v>4756</v>
      </c>
      <c r="O6819" s="16" t="s">
        <v>4757</v>
      </c>
      <c r="P6819" s="14" t="s">
        <v>42521</v>
      </c>
      <c r="Q6819" s="14" t="s">
        <v>31</v>
      </c>
      <c r="R6819" s="14" t="s">
        <v>31</v>
      </c>
      <c r="S6819" s="16" t="s">
        <v>42522</v>
      </c>
      <c r="T6819" s="14" t="s">
        <v>796</v>
      </c>
      <c r="U6819" s="16" t="s">
        <v>42523</v>
      </c>
      <c r="V6819" s="14" t="s">
        <v>5518</v>
      </c>
      <c r="W6819" s="14" t="s">
        <v>42517</v>
      </c>
      <c r="X6819" s="17" t="str">
        <f>HYPERLINK("https://my.pitchbook.com?p=285179-86P","View People Online")</f>
        <v>View People Online</v>
      </c>
    </row>
    <row r="6820">
      <c r="A6820" s="10" t="s">
        <v>42593</v>
      </c>
      <c r="B6820" s="10" t="s">
        <v>42594</v>
      </c>
      <c r="C6820" s="10" t="s">
        <v>40503</v>
      </c>
      <c r="D6820" s="10" t="s">
        <v>4314</v>
      </c>
      <c r="E6820" s="10" t="s">
        <v>42517</v>
      </c>
      <c r="F6820" s="10" t="s">
        <v>548</v>
      </c>
      <c r="G6820" s="10" t="s">
        <v>42595</v>
      </c>
      <c r="H6820" s="11" t="s">
        <v>31</v>
      </c>
      <c r="I6820" s="11">
        <v>1.0</v>
      </c>
      <c r="J6820" s="11">
        <v>1.0</v>
      </c>
      <c r="K6820" s="11" t="s">
        <v>31</v>
      </c>
      <c r="L6820" s="12" t="s">
        <v>42519</v>
      </c>
      <c r="M6820" s="10" t="s">
        <v>42596</v>
      </c>
      <c r="N6820" s="10" t="s">
        <v>4756</v>
      </c>
      <c r="O6820" s="12" t="s">
        <v>4757</v>
      </c>
      <c r="P6820" s="10" t="s">
        <v>42521</v>
      </c>
      <c r="Q6820" s="10" t="s">
        <v>31</v>
      </c>
      <c r="R6820" s="10" t="s">
        <v>31</v>
      </c>
      <c r="S6820" s="12" t="s">
        <v>42522</v>
      </c>
      <c r="T6820" s="10" t="s">
        <v>796</v>
      </c>
      <c r="U6820" s="12" t="s">
        <v>42523</v>
      </c>
      <c r="V6820" s="10" t="s">
        <v>42597</v>
      </c>
      <c r="W6820" s="10" t="s">
        <v>42517</v>
      </c>
      <c r="X6820" s="13" t="str">
        <f>HYPERLINK("https://my.pitchbook.com?p=263370-79P","View People Online")</f>
        <v>View People Online</v>
      </c>
    </row>
    <row r="6821">
      <c r="A6821" s="14" t="s">
        <v>42598</v>
      </c>
      <c r="B6821" s="14" t="s">
        <v>42599</v>
      </c>
      <c r="C6821" s="14" t="s">
        <v>21909</v>
      </c>
      <c r="D6821" s="14" t="s">
        <v>42600</v>
      </c>
      <c r="E6821" s="14" t="s">
        <v>42517</v>
      </c>
      <c r="F6821" s="14" t="s">
        <v>825</v>
      </c>
      <c r="G6821" s="14" t="s">
        <v>42601</v>
      </c>
      <c r="H6821" s="15" t="s">
        <v>31</v>
      </c>
      <c r="I6821" s="15">
        <v>1.0</v>
      </c>
      <c r="J6821" s="15">
        <v>1.0</v>
      </c>
      <c r="K6821" s="15" t="s">
        <v>31</v>
      </c>
      <c r="L6821" s="16" t="s">
        <v>42519</v>
      </c>
      <c r="M6821" s="14" t="s">
        <v>42602</v>
      </c>
      <c r="N6821" s="14" t="s">
        <v>4756</v>
      </c>
      <c r="O6821" s="16" t="s">
        <v>4757</v>
      </c>
      <c r="P6821" s="14" t="s">
        <v>42521</v>
      </c>
      <c r="Q6821" s="14" t="s">
        <v>31</v>
      </c>
      <c r="R6821" s="14" t="s">
        <v>31</v>
      </c>
      <c r="S6821" s="16" t="s">
        <v>42522</v>
      </c>
      <c r="T6821" s="14" t="s">
        <v>796</v>
      </c>
      <c r="U6821" s="16" t="s">
        <v>42523</v>
      </c>
      <c r="V6821" s="14" t="s">
        <v>42603</v>
      </c>
      <c r="W6821" s="14" t="s">
        <v>42517</v>
      </c>
      <c r="X6821" s="17" t="str">
        <f>HYPERLINK("https://my.pitchbook.com?p=377696-62P","View People Online")</f>
        <v>View People Online</v>
      </c>
    </row>
    <row r="6822">
      <c r="A6822" s="10" t="s">
        <v>42604</v>
      </c>
      <c r="B6822" s="10" t="s">
        <v>42605</v>
      </c>
      <c r="C6822" s="10" t="s">
        <v>2713</v>
      </c>
      <c r="D6822" s="10" t="s">
        <v>25735</v>
      </c>
      <c r="E6822" s="10" t="s">
        <v>42606</v>
      </c>
      <c r="F6822" s="10" t="s">
        <v>2540</v>
      </c>
      <c r="G6822" s="10" t="s">
        <v>42607</v>
      </c>
      <c r="H6822" s="11" t="s">
        <v>31</v>
      </c>
      <c r="I6822" s="11">
        <v>1.0</v>
      </c>
      <c r="J6822" s="11">
        <v>1.0</v>
      </c>
      <c r="K6822" s="11" t="s">
        <v>31</v>
      </c>
      <c r="L6822" s="12" t="s">
        <v>42608</v>
      </c>
      <c r="M6822" s="10" t="s">
        <v>42609</v>
      </c>
      <c r="N6822" s="10" t="s">
        <v>1170</v>
      </c>
      <c r="O6822" s="12" t="s">
        <v>1171</v>
      </c>
      <c r="P6822" s="10" t="s">
        <v>42610</v>
      </c>
      <c r="Q6822" s="10" t="s">
        <v>6872</v>
      </c>
      <c r="R6822" s="10" t="s">
        <v>64</v>
      </c>
      <c r="S6822" s="12" t="s">
        <v>42611</v>
      </c>
      <c r="T6822" s="10" t="s">
        <v>66</v>
      </c>
      <c r="U6822" s="12" t="s">
        <v>31</v>
      </c>
      <c r="V6822" s="10" t="s">
        <v>2540</v>
      </c>
      <c r="W6822" s="10" t="s">
        <v>42606</v>
      </c>
      <c r="X6822" s="13" t="str">
        <f>HYPERLINK("https://my.pitchbook.com?p=91329-85P","View People Online")</f>
        <v>View People Online</v>
      </c>
    </row>
    <row r="6823">
      <c r="A6823" s="6" t="s">
        <v>42612</v>
      </c>
      <c r="B6823" s="6" t="s">
        <v>42613</v>
      </c>
      <c r="C6823" s="6" t="s">
        <v>1449</v>
      </c>
      <c r="D6823" s="6" t="s">
        <v>42614</v>
      </c>
      <c r="E6823" s="6" t="s">
        <v>42606</v>
      </c>
      <c r="F6823" s="6" t="s">
        <v>548</v>
      </c>
      <c r="G6823" s="6" t="s">
        <v>42615</v>
      </c>
      <c r="H6823" s="7" t="s">
        <v>31</v>
      </c>
      <c r="I6823" s="7">
        <v>1.0</v>
      </c>
      <c r="J6823" s="7">
        <v>1.0</v>
      </c>
      <c r="K6823" s="7" t="s">
        <v>31</v>
      </c>
      <c r="L6823" s="8" t="s">
        <v>42608</v>
      </c>
      <c r="M6823" s="6" t="s">
        <v>42616</v>
      </c>
      <c r="N6823" s="6" t="s">
        <v>1170</v>
      </c>
      <c r="O6823" s="8" t="s">
        <v>1171</v>
      </c>
      <c r="P6823" s="6" t="s">
        <v>42610</v>
      </c>
      <c r="Q6823" s="6" t="s">
        <v>6872</v>
      </c>
      <c r="R6823" s="6" t="s">
        <v>64</v>
      </c>
      <c r="S6823" s="8" t="s">
        <v>42611</v>
      </c>
      <c r="T6823" s="6" t="s">
        <v>66</v>
      </c>
      <c r="U6823" s="8" t="s">
        <v>31</v>
      </c>
      <c r="V6823" s="6" t="s">
        <v>42617</v>
      </c>
      <c r="W6823" s="6" t="s">
        <v>42606</v>
      </c>
      <c r="X6823" s="9" t="str">
        <f>HYPERLINK("https://my.pitchbook.com?p=228161-98P","View People Online")</f>
        <v>View People Online</v>
      </c>
    </row>
    <row r="6824">
      <c r="A6824" s="10" t="s">
        <v>42618</v>
      </c>
      <c r="B6824" s="10" t="s">
        <v>42619</v>
      </c>
      <c r="C6824" s="10" t="s">
        <v>21304</v>
      </c>
      <c r="D6824" s="10" t="s">
        <v>37566</v>
      </c>
      <c r="E6824" s="10" t="s">
        <v>42606</v>
      </c>
      <c r="F6824" s="10" t="s">
        <v>1167</v>
      </c>
      <c r="G6824" s="10" t="s">
        <v>42620</v>
      </c>
      <c r="H6824" s="11">
        <v>1.0</v>
      </c>
      <c r="I6824" s="11">
        <v>5.0</v>
      </c>
      <c r="J6824" s="11">
        <v>1.0</v>
      </c>
      <c r="K6824" s="11">
        <v>3.0</v>
      </c>
      <c r="L6824" s="12" t="s">
        <v>42608</v>
      </c>
      <c r="M6824" s="10" t="s">
        <v>42621</v>
      </c>
      <c r="N6824" s="10" t="s">
        <v>1170</v>
      </c>
      <c r="O6824" s="12" t="s">
        <v>1171</v>
      </c>
      <c r="P6824" s="10" t="s">
        <v>42610</v>
      </c>
      <c r="Q6824" s="10" t="s">
        <v>6872</v>
      </c>
      <c r="R6824" s="10" t="s">
        <v>64</v>
      </c>
      <c r="S6824" s="12" t="s">
        <v>42611</v>
      </c>
      <c r="T6824" s="10" t="s">
        <v>66</v>
      </c>
      <c r="U6824" s="12" t="s">
        <v>31</v>
      </c>
      <c r="V6824" s="10" t="s">
        <v>2127</v>
      </c>
      <c r="W6824" s="10" t="s">
        <v>42606</v>
      </c>
      <c r="X6824" s="13" t="str">
        <f>HYPERLINK("https://my.pitchbook.com?p=48180-07P","View People Online")</f>
        <v>View People Online</v>
      </c>
    </row>
    <row r="6825">
      <c r="A6825" s="6" t="s">
        <v>42622</v>
      </c>
      <c r="B6825" s="6" t="s">
        <v>42623</v>
      </c>
      <c r="C6825" s="6" t="s">
        <v>42624</v>
      </c>
      <c r="D6825" s="6" t="s">
        <v>42625</v>
      </c>
      <c r="E6825" s="6" t="s">
        <v>42606</v>
      </c>
      <c r="F6825" s="6" t="s">
        <v>81</v>
      </c>
      <c r="G6825" s="6" t="s">
        <v>42626</v>
      </c>
      <c r="H6825" s="7" t="s">
        <v>31</v>
      </c>
      <c r="I6825" s="7">
        <v>5.0</v>
      </c>
      <c r="J6825" s="7">
        <v>1.0</v>
      </c>
      <c r="K6825" s="7" t="s">
        <v>31</v>
      </c>
      <c r="L6825" s="8" t="s">
        <v>42627</v>
      </c>
      <c r="M6825" s="6" t="s">
        <v>42628</v>
      </c>
      <c r="N6825" s="6" t="s">
        <v>1292</v>
      </c>
      <c r="O6825" s="8" t="s">
        <v>1293</v>
      </c>
      <c r="P6825" s="6" t="s">
        <v>7741</v>
      </c>
      <c r="Q6825" s="6" t="s">
        <v>42629</v>
      </c>
      <c r="R6825" s="6" t="s">
        <v>64</v>
      </c>
      <c r="S6825" s="8" t="s">
        <v>1296</v>
      </c>
      <c r="T6825" s="6" t="s">
        <v>66</v>
      </c>
      <c r="U6825" s="8" t="s">
        <v>31</v>
      </c>
      <c r="V6825" s="6" t="s">
        <v>29</v>
      </c>
      <c r="W6825" s="6" t="s">
        <v>42630</v>
      </c>
      <c r="X6825" s="9" t="str">
        <f>HYPERLINK("https://my.pitchbook.com?p=112392-82P","View People Online")</f>
        <v>View People Online</v>
      </c>
    </row>
    <row r="6826">
      <c r="A6826" s="10" t="s">
        <v>42631</v>
      </c>
      <c r="B6826" s="10" t="s">
        <v>42632</v>
      </c>
      <c r="C6826" s="10" t="s">
        <v>42633</v>
      </c>
      <c r="D6826" s="10" t="s">
        <v>36212</v>
      </c>
      <c r="E6826" s="10" t="s">
        <v>42634</v>
      </c>
      <c r="F6826" s="10" t="s">
        <v>78</v>
      </c>
      <c r="G6826" s="10" t="s">
        <v>42635</v>
      </c>
      <c r="H6826" s="11" t="s">
        <v>31</v>
      </c>
      <c r="I6826" s="11">
        <v>1.0</v>
      </c>
      <c r="J6826" s="11">
        <v>1.0</v>
      </c>
      <c r="K6826" s="11" t="s">
        <v>31</v>
      </c>
      <c r="L6826" s="12" t="s">
        <v>42636</v>
      </c>
      <c r="M6826" s="10" t="s">
        <v>42637</v>
      </c>
      <c r="N6826" s="10" t="s">
        <v>42638</v>
      </c>
      <c r="O6826" s="12" t="s">
        <v>42639</v>
      </c>
      <c r="P6826" s="10" t="s">
        <v>42640</v>
      </c>
      <c r="Q6826" s="10" t="s">
        <v>989</v>
      </c>
      <c r="R6826" s="10" t="s">
        <v>42641</v>
      </c>
      <c r="S6826" s="12" t="s">
        <v>42642</v>
      </c>
      <c r="T6826" s="10" t="s">
        <v>66</v>
      </c>
      <c r="U6826" s="12" t="s">
        <v>31</v>
      </c>
      <c r="V6826" s="10" t="s">
        <v>78</v>
      </c>
      <c r="W6826" s="10" t="s">
        <v>42634</v>
      </c>
      <c r="X6826" s="13" t="str">
        <f>HYPERLINK("https://my.pitchbook.com?p=228159-10P","View People Online")</f>
        <v>View People Online</v>
      </c>
    </row>
    <row r="6827">
      <c r="A6827" s="6" t="s">
        <v>42643</v>
      </c>
      <c r="B6827" s="6" t="s">
        <v>42644</v>
      </c>
      <c r="C6827" s="6" t="s">
        <v>24792</v>
      </c>
      <c r="D6827" s="6" t="s">
        <v>42645</v>
      </c>
      <c r="E6827" s="6" t="s">
        <v>42634</v>
      </c>
      <c r="F6827" s="6" t="s">
        <v>470</v>
      </c>
      <c r="G6827" s="6" t="s">
        <v>42646</v>
      </c>
      <c r="H6827" s="7">
        <v>1.0</v>
      </c>
      <c r="I6827" s="7">
        <v>6.0</v>
      </c>
      <c r="J6827" s="7">
        <v>1.0</v>
      </c>
      <c r="K6827" s="7">
        <v>2.0</v>
      </c>
      <c r="L6827" s="8" t="s">
        <v>42636</v>
      </c>
      <c r="M6827" s="6" t="s">
        <v>42647</v>
      </c>
      <c r="N6827" s="6" t="s">
        <v>42638</v>
      </c>
      <c r="O6827" s="8" t="s">
        <v>42639</v>
      </c>
      <c r="P6827" s="6" t="s">
        <v>42640</v>
      </c>
      <c r="Q6827" s="6" t="s">
        <v>989</v>
      </c>
      <c r="R6827" s="6" t="s">
        <v>42641</v>
      </c>
      <c r="S6827" s="8" t="s">
        <v>42642</v>
      </c>
      <c r="T6827" s="6" t="s">
        <v>66</v>
      </c>
      <c r="U6827" s="8" t="s">
        <v>31</v>
      </c>
      <c r="V6827" s="6" t="s">
        <v>470</v>
      </c>
      <c r="W6827" s="6" t="s">
        <v>42634</v>
      </c>
      <c r="X6827" s="9" t="str">
        <f>HYPERLINK("https://my.pitchbook.com?p=216094-87P","View People Online")</f>
        <v>View People Online</v>
      </c>
    </row>
    <row r="6828">
      <c r="A6828" s="2" t="s">
        <v>42648</v>
      </c>
      <c r="B6828" s="2" t="s">
        <v>42649</v>
      </c>
      <c r="C6828" s="2" t="s">
        <v>2688</v>
      </c>
      <c r="D6828" s="2" t="s">
        <v>8398</v>
      </c>
      <c r="E6828" s="2" t="s">
        <v>42650</v>
      </c>
      <c r="F6828" s="2" t="s">
        <v>548</v>
      </c>
      <c r="G6828" s="2" t="s">
        <v>42651</v>
      </c>
      <c r="H6828" s="3" t="s">
        <v>31</v>
      </c>
      <c r="I6828" s="3">
        <v>2.0</v>
      </c>
      <c r="J6828" s="3">
        <v>2.0</v>
      </c>
      <c r="K6828" s="3" t="s">
        <v>31</v>
      </c>
      <c r="L6828" s="4" t="s">
        <v>42652</v>
      </c>
      <c r="M6828" s="2" t="s">
        <v>31</v>
      </c>
      <c r="N6828" s="2" t="s">
        <v>15272</v>
      </c>
      <c r="O6828" s="4" t="s">
        <v>15273</v>
      </c>
      <c r="P6828" s="2" t="s">
        <v>42653</v>
      </c>
      <c r="Q6828" s="2" t="s">
        <v>42654</v>
      </c>
      <c r="R6828" s="2" t="s">
        <v>15275</v>
      </c>
      <c r="S6828" s="4" t="s">
        <v>42655</v>
      </c>
      <c r="T6828" s="2" t="s">
        <v>66</v>
      </c>
      <c r="U6828" s="4" t="s">
        <v>31</v>
      </c>
      <c r="V6828" s="2" t="s">
        <v>42656</v>
      </c>
      <c r="W6828" s="2" t="s">
        <v>42657</v>
      </c>
      <c r="X6828" s="5" t="str">
        <f>HYPERLINK("https://my.pitchbook.com?p=316274-68P","View People Online")</f>
        <v>View People Online</v>
      </c>
    </row>
    <row r="6829">
      <c r="A6829" s="6" t="s">
        <v>42658</v>
      </c>
      <c r="B6829" s="6" t="s">
        <v>42659</v>
      </c>
      <c r="C6829" s="6" t="s">
        <v>42660</v>
      </c>
      <c r="D6829" s="6" t="s">
        <v>42661</v>
      </c>
      <c r="E6829" s="6" t="s">
        <v>42650</v>
      </c>
      <c r="F6829" s="6" t="s">
        <v>3823</v>
      </c>
      <c r="G6829" s="6" t="s">
        <v>42662</v>
      </c>
      <c r="H6829" s="7" t="s">
        <v>31</v>
      </c>
      <c r="I6829" s="7">
        <v>7.0</v>
      </c>
      <c r="J6829" s="7">
        <v>2.0</v>
      </c>
      <c r="K6829" s="7">
        <v>3.0</v>
      </c>
      <c r="L6829" s="8" t="s">
        <v>42663</v>
      </c>
      <c r="M6829" s="6" t="s">
        <v>42664</v>
      </c>
      <c r="N6829" s="6" t="s">
        <v>15272</v>
      </c>
      <c r="O6829" s="8" t="s">
        <v>15273</v>
      </c>
      <c r="P6829" s="6" t="s">
        <v>42665</v>
      </c>
      <c r="Q6829" s="6" t="s">
        <v>31</v>
      </c>
      <c r="R6829" s="6" t="s">
        <v>15275</v>
      </c>
      <c r="S6829" s="8" t="s">
        <v>15276</v>
      </c>
      <c r="T6829" s="6" t="s">
        <v>66</v>
      </c>
      <c r="U6829" s="8" t="s">
        <v>31</v>
      </c>
      <c r="V6829" s="6" t="s">
        <v>3823</v>
      </c>
      <c r="W6829" s="6" t="s">
        <v>42650</v>
      </c>
      <c r="X6829" s="9" t="str">
        <f>HYPERLINK("https://my.pitchbook.com?p=324620-11P","View People Online")</f>
        <v>View People Online</v>
      </c>
    </row>
    <row r="6830">
      <c r="A6830" s="2" t="s">
        <v>42666</v>
      </c>
      <c r="B6830" s="2" t="s">
        <v>42667</v>
      </c>
      <c r="C6830" s="2" t="s">
        <v>2197</v>
      </c>
      <c r="D6830" s="2" t="s">
        <v>42668</v>
      </c>
      <c r="E6830" s="2" t="s">
        <v>42650</v>
      </c>
      <c r="F6830" s="2" t="s">
        <v>548</v>
      </c>
      <c r="G6830" s="2" t="s">
        <v>42669</v>
      </c>
      <c r="H6830" s="3" t="s">
        <v>31</v>
      </c>
      <c r="I6830" s="3">
        <v>1.0</v>
      </c>
      <c r="J6830" s="3">
        <v>1.0</v>
      </c>
      <c r="K6830" s="3" t="s">
        <v>31</v>
      </c>
      <c r="L6830" s="4" t="s">
        <v>42670</v>
      </c>
      <c r="M6830" s="2" t="s">
        <v>42671</v>
      </c>
      <c r="N6830" s="2" t="s">
        <v>15272</v>
      </c>
      <c r="O6830" s="4" t="s">
        <v>15273</v>
      </c>
      <c r="P6830" s="2" t="s">
        <v>42665</v>
      </c>
      <c r="Q6830" s="2" t="s">
        <v>31</v>
      </c>
      <c r="R6830" s="2" t="s">
        <v>15275</v>
      </c>
      <c r="S6830" s="4" t="s">
        <v>15276</v>
      </c>
      <c r="T6830" s="2" t="s">
        <v>66</v>
      </c>
      <c r="U6830" s="4" t="s">
        <v>31</v>
      </c>
      <c r="V6830" s="2" t="s">
        <v>42672</v>
      </c>
      <c r="W6830" s="2" t="s">
        <v>42650</v>
      </c>
      <c r="X6830" s="5" t="str">
        <f>HYPERLINK("https://my.pitchbook.com?p=293338-72P","View People Online")</f>
        <v>View People Online</v>
      </c>
    </row>
    <row r="6831">
      <c r="A6831" s="14" t="s">
        <v>42673</v>
      </c>
      <c r="B6831" s="14" t="s">
        <v>42674</v>
      </c>
      <c r="C6831" s="14" t="s">
        <v>42675</v>
      </c>
      <c r="D6831" s="14" t="s">
        <v>42676</v>
      </c>
      <c r="E6831" s="14" t="s">
        <v>42650</v>
      </c>
      <c r="F6831" s="14" t="s">
        <v>201</v>
      </c>
      <c r="G6831" s="14" t="s">
        <v>42677</v>
      </c>
      <c r="H6831" s="15" t="s">
        <v>31</v>
      </c>
      <c r="I6831" s="15">
        <v>1.0</v>
      </c>
      <c r="J6831" s="15">
        <v>1.0</v>
      </c>
      <c r="K6831" s="15" t="s">
        <v>31</v>
      </c>
      <c r="L6831" s="16" t="s">
        <v>42678</v>
      </c>
      <c r="M6831" s="14" t="s">
        <v>42679</v>
      </c>
      <c r="N6831" s="14" t="s">
        <v>15272</v>
      </c>
      <c r="O6831" s="16" t="s">
        <v>15273</v>
      </c>
      <c r="P6831" s="14" t="s">
        <v>42665</v>
      </c>
      <c r="Q6831" s="14" t="s">
        <v>31</v>
      </c>
      <c r="R6831" s="14" t="s">
        <v>15275</v>
      </c>
      <c r="S6831" s="16" t="s">
        <v>15276</v>
      </c>
      <c r="T6831" s="14" t="s">
        <v>66</v>
      </c>
      <c r="U6831" s="16" t="s">
        <v>31</v>
      </c>
      <c r="V6831" s="14" t="s">
        <v>201</v>
      </c>
      <c r="W6831" s="14" t="s">
        <v>42650</v>
      </c>
      <c r="X6831" s="17" t="str">
        <f>HYPERLINK("https://my.pitchbook.com?p=201120-13P","View People Online")</f>
        <v>View People Online</v>
      </c>
    </row>
    <row r="6832">
      <c r="A6832" s="10" t="s">
        <v>42680</v>
      </c>
      <c r="B6832" s="10" t="s">
        <v>42681</v>
      </c>
      <c r="C6832" s="10" t="s">
        <v>6023</v>
      </c>
      <c r="D6832" s="10" t="s">
        <v>7849</v>
      </c>
      <c r="E6832" s="10" t="s">
        <v>42650</v>
      </c>
      <c r="F6832" s="10" t="s">
        <v>470</v>
      </c>
      <c r="G6832" s="10" t="s">
        <v>42682</v>
      </c>
      <c r="H6832" s="11">
        <v>1.0</v>
      </c>
      <c r="I6832" s="11">
        <v>3.0</v>
      </c>
      <c r="J6832" s="11">
        <v>2.0</v>
      </c>
      <c r="K6832" s="11" t="s">
        <v>31</v>
      </c>
      <c r="L6832" s="12" t="s">
        <v>42670</v>
      </c>
      <c r="M6832" s="10" t="s">
        <v>42683</v>
      </c>
      <c r="N6832" s="10" t="s">
        <v>15272</v>
      </c>
      <c r="O6832" s="12" t="s">
        <v>15273</v>
      </c>
      <c r="P6832" s="10" t="s">
        <v>42665</v>
      </c>
      <c r="Q6832" s="10" t="s">
        <v>31</v>
      </c>
      <c r="R6832" s="10" t="s">
        <v>15275</v>
      </c>
      <c r="S6832" s="12" t="s">
        <v>15276</v>
      </c>
      <c r="T6832" s="10" t="s">
        <v>66</v>
      </c>
      <c r="U6832" s="12" t="s">
        <v>31</v>
      </c>
      <c r="V6832" s="10" t="s">
        <v>470</v>
      </c>
      <c r="W6832" s="10" t="s">
        <v>42650</v>
      </c>
      <c r="X6832" s="13" t="str">
        <f>HYPERLINK("https://my.pitchbook.com?p=198290-62P","View People Online")</f>
        <v>View People Online</v>
      </c>
    </row>
    <row r="6833">
      <c r="A6833" s="14" t="s">
        <v>42684</v>
      </c>
      <c r="B6833" s="14" t="s">
        <v>42685</v>
      </c>
      <c r="C6833" s="14" t="s">
        <v>12005</v>
      </c>
      <c r="D6833" s="14" t="s">
        <v>42686</v>
      </c>
      <c r="E6833" s="14" t="s">
        <v>42650</v>
      </c>
      <c r="F6833" s="14" t="s">
        <v>3823</v>
      </c>
      <c r="G6833" s="14" t="s">
        <v>42687</v>
      </c>
      <c r="H6833" s="15" t="s">
        <v>31</v>
      </c>
      <c r="I6833" s="15">
        <v>2.0</v>
      </c>
      <c r="J6833" s="15">
        <v>2.0</v>
      </c>
      <c r="K6833" s="15" t="s">
        <v>31</v>
      </c>
      <c r="L6833" s="16" t="s">
        <v>42688</v>
      </c>
      <c r="M6833" s="14" t="s">
        <v>42689</v>
      </c>
      <c r="N6833" s="14" t="s">
        <v>15272</v>
      </c>
      <c r="O6833" s="16" t="s">
        <v>15273</v>
      </c>
      <c r="P6833" s="14" t="s">
        <v>42665</v>
      </c>
      <c r="Q6833" s="14" t="s">
        <v>31</v>
      </c>
      <c r="R6833" s="14" t="s">
        <v>15275</v>
      </c>
      <c r="S6833" s="16" t="s">
        <v>15276</v>
      </c>
      <c r="T6833" s="14" t="s">
        <v>66</v>
      </c>
      <c r="U6833" s="16" t="s">
        <v>31</v>
      </c>
      <c r="V6833" s="14" t="s">
        <v>3823</v>
      </c>
      <c r="W6833" s="14" t="s">
        <v>42650</v>
      </c>
      <c r="X6833" s="17" t="str">
        <f>HYPERLINK("https://my.pitchbook.com?p=69368-14P","View People Online")</f>
        <v>View People Online</v>
      </c>
    </row>
    <row r="6834">
      <c r="A6834" s="2" t="s">
        <v>42690</v>
      </c>
      <c r="B6834" s="2" t="s">
        <v>42691</v>
      </c>
      <c r="C6834" s="2" t="s">
        <v>12264</v>
      </c>
      <c r="D6834" s="2" t="s">
        <v>36867</v>
      </c>
      <c r="E6834" s="2" t="s">
        <v>42650</v>
      </c>
      <c r="F6834" s="2" t="s">
        <v>371</v>
      </c>
      <c r="G6834" s="2" t="s">
        <v>42692</v>
      </c>
      <c r="H6834" s="3" t="s">
        <v>31</v>
      </c>
      <c r="I6834" s="3">
        <v>1.0</v>
      </c>
      <c r="J6834" s="3">
        <v>1.0</v>
      </c>
      <c r="K6834" s="3" t="s">
        <v>31</v>
      </c>
      <c r="L6834" s="4" t="s">
        <v>42670</v>
      </c>
      <c r="M6834" s="2" t="s">
        <v>42693</v>
      </c>
      <c r="N6834" s="2" t="s">
        <v>15272</v>
      </c>
      <c r="O6834" s="4" t="s">
        <v>15273</v>
      </c>
      <c r="P6834" s="2" t="s">
        <v>42665</v>
      </c>
      <c r="Q6834" s="2" t="s">
        <v>31</v>
      </c>
      <c r="R6834" s="2" t="s">
        <v>15275</v>
      </c>
      <c r="S6834" s="4" t="s">
        <v>15276</v>
      </c>
      <c r="T6834" s="2" t="s">
        <v>66</v>
      </c>
      <c r="U6834" s="4" t="s">
        <v>31</v>
      </c>
      <c r="V6834" s="2" t="s">
        <v>42694</v>
      </c>
      <c r="W6834" s="2" t="s">
        <v>42650</v>
      </c>
      <c r="X6834" s="5" t="str">
        <f>HYPERLINK("https://my.pitchbook.com?p=416273-86P","View People Online")</f>
        <v>View People Online</v>
      </c>
    </row>
    <row r="6835">
      <c r="A6835" s="6" t="s">
        <v>42695</v>
      </c>
      <c r="B6835" s="6" t="s">
        <v>42696</v>
      </c>
      <c r="C6835" s="6" t="s">
        <v>7465</v>
      </c>
      <c r="D6835" s="6" t="s">
        <v>42697</v>
      </c>
      <c r="E6835" s="6" t="s">
        <v>42698</v>
      </c>
      <c r="F6835" s="6" t="s">
        <v>57</v>
      </c>
      <c r="G6835" s="6" t="s">
        <v>42699</v>
      </c>
      <c r="H6835" s="7">
        <v>2.0</v>
      </c>
      <c r="I6835" s="7">
        <v>22.0</v>
      </c>
      <c r="J6835" s="7">
        <v>2.0</v>
      </c>
      <c r="K6835" s="7">
        <v>16.0</v>
      </c>
      <c r="L6835" s="8" t="s">
        <v>42700</v>
      </c>
      <c r="M6835" s="6" t="s">
        <v>42701</v>
      </c>
      <c r="N6835" s="6" t="s">
        <v>1181</v>
      </c>
      <c r="O6835" s="8" t="s">
        <v>1182</v>
      </c>
      <c r="P6835" s="6" t="s">
        <v>42702</v>
      </c>
      <c r="Q6835" s="6" t="s">
        <v>31</v>
      </c>
      <c r="R6835" s="6" t="s">
        <v>1185</v>
      </c>
      <c r="S6835" s="8" t="s">
        <v>4438</v>
      </c>
      <c r="T6835" s="6" t="s">
        <v>66</v>
      </c>
      <c r="U6835" s="8" t="s">
        <v>31</v>
      </c>
      <c r="V6835" s="6" t="s">
        <v>57</v>
      </c>
      <c r="W6835" s="6" t="s">
        <v>42698</v>
      </c>
      <c r="X6835" s="9" t="str">
        <f>HYPERLINK("https://my.pitchbook.com?p=99757-36P","View People Online")</f>
        <v>View People Online</v>
      </c>
    </row>
    <row r="6836">
      <c r="A6836" s="10" t="s">
        <v>42703</v>
      </c>
      <c r="B6836" s="10" t="s">
        <v>42704</v>
      </c>
      <c r="C6836" s="10" t="s">
        <v>42705</v>
      </c>
      <c r="D6836" s="10" t="s">
        <v>42706</v>
      </c>
      <c r="E6836" s="10" t="s">
        <v>42698</v>
      </c>
      <c r="F6836" s="10" t="s">
        <v>2590</v>
      </c>
      <c r="G6836" s="10" t="s">
        <v>42707</v>
      </c>
      <c r="H6836" s="11">
        <v>5.0</v>
      </c>
      <c r="I6836" s="11">
        <v>47.0</v>
      </c>
      <c r="J6836" s="11">
        <v>3.0</v>
      </c>
      <c r="K6836" s="11">
        <v>40.0</v>
      </c>
      <c r="L6836" s="12" t="s">
        <v>31</v>
      </c>
      <c r="M6836" s="10" t="s">
        <v>42708</v>
      </c>
      <c r="N6836" s="10" t="s">
        <v>42709</v>
      </c>
      <c r="O6836" s="12" t="s">
        <v>42710</v>
      </c>
      <c r="P6836" s="10" t="s">
        <v>42711</v>
      </c>
      <c r="Q6836" s="10" t="s">
        <v>3920</v>
      </c>
      <c r="R6836" s="10" t="s">
        <v>3960</v>
      </c>
      <c r="S6836" s="12" t="s">
        <v>42712</v>
      </c>
      <c r="T6836" s="10" t="s">
        <v>66</v>
      </c>
      <c r="U6836" s="12" t="s">
        <v>31</v>
      </c>
      <c r="V6836" s="10" t="s">
        <v>1283</v>
      </c>
      <c r="W6836" s="10" t="s">
        <v>42713</v>
      </c>
      <c r="X6836" s="13" t="str">
        <f>HYPERLINK("https://my.pitchbook.com?p=39958-48P","View People Online")</f>
        <v>View People Online</v>
      </c>
    </row>
    <row r="6837">
      <c r="A6837" s="14" t="s">
        <v>42714</v>
      </c>
      <c r="B6837" s="14" t="s">
        <v>42715</v>
      </c>
      <c r="C6837" s="14" t="s">
        <v>42716</v>
      </c>
      <c r="D6837" s="14" t="s">
        <v>42717</v>
      </c>
      <c r="E6837" s="14" t="s">
        <v>42698</v>
      </c>
      <c r="F6837" s="14" t="s">
        <v>114</v>
      </c>
      <c r="G6837" s="14" t="s">
        <v>42718</v>
      </c>
      <c r="H6837" s="15">
        <v>4.0</v>
      </c>
      <c r="I6837" s="15">
        <v>23.0</v>
      </c>
      <c r="J6837" s="15">
        <v>3.0</v>
      </c>
      <c r="K6837" s="15">
        <v>16.0</v>
      </c>
      <c r="L6837" s="16" t="s">
        <v>42719</v>
      </c>
      <c r="M6837" s="14" t="s">
        <v>31</v>
      </c>
      <c r="N6837" s="14" t="s">
        <v>42720</v>
      </c>
      <c r="O6837" s="16" t="s">
        <v>42721</v>
      </c>
      <c r="P6837" s="14" t="s">
        <v>42722</v>
      </c>
      <c r="Q6837" s="14" t="s">
        <v>31</v>
      </c>
      <c r="R6837" s="14" t="s">
        <v>3960</v>
      </c>
      <c r="S6837" s="16" t="s">
        <v>42723</v>
      </c>
      <c r="T6837" s="14" t="s">
        <v>66</v>
      </c>
      <c r="U6837" s="16" t="s">
        <v>31</v>
      </c>
      <c r="V6837" s="14" t="s">
        <v>27016</v>
      </c>
      <c r="W6837" s="14" t="s">
        <v>42724</v>
      </c>
      <c r="X6837" s="17" t="str">
        <f>HYPERLINK("https://my.pitchbook.com?p=39838-87P","View People Online")</f>
        <v>View People Online</v>
      </c>
    </row>
    <row r="6838">
      <c r="A6838" s="10" t="s">
        <v>42725</v>
      </c>
      <c r="B6838" s="10" t="s">
        <v>42726</v>
      </c>
      <c r="C6838" s="10" t="s">
        <v>1697</v>
      </c>
      <c r="D6838" s="10" t="s">
        <v>42727</v>
      </c>
      <c r="E6838" s="10" t="s">
        <v>42698</v>
      </c>
      <c r="F6838" s="10" t="s">
        <v>3823</v>
      </c>
      <c r="G6838" s="10" t="s">
        <v>42728</v>
      </c>
      <c r="H6838" s="11">
        <v>5.0</v>
      </c>
      <c r="I6838" s="11">
        <v>26.0</v>
      </c>
      <c r="J6838" s="11">
        <v>1.0</v>
      </c>
      <c r="K6838" s="11">
        <v>19.0</v>
      </c>
      <c r="L6838" s="12" t="s">
        <v>31</v>
      </c>
      <c r="M6838" s="10" t="s">
        <v>42729</v>
      </c>
      <c r="N6838" s="10" t="s">
        <v>1181</v>
      </c>
      <c r="O6838" s="12" t="s">
        <v>1182</v>
      </c>
      <c r="P6838" s="10" t="s">
        <v>42702</v>
      </c>
      <c r="Q6838" s="10" t="s">
        <v>31</v>
      </c>
      <c r="R6838" s="10" t="s">
        <v>1185</v>
      </c>
      <c r="S6838" s="12" t="s">
        <v>4438</v>
      </c>
      <c r="T6838" s="10" t="s">
        <v>66</v>
      </c>
      <c r="U6838" s="12" t="s">
        <v>31</v>
      </c>
      <c r="V6838" s="10" t="s">
        <v>3823</v>
      </c>
      <c r="W6838" s="10" t="s">
        <v>42698</v>
      </c>
      <c r="X6838" s="13" t="str">
        <f>HYPERLINK("https://my.pitchbook.com?p=39959-65P","View People Online")</f>
        <v>View People Online</v>
      </c>
    </row>
    <row r="6839">
      <c r="A6839" s="6" t="s">
        <v>42730</v>
      </c>
      <c r="B6839" s="6" t="s">
        <v>42731</v>
      </c>
      <c r="C6839" s="6" t="s">
        <v>42732</v>
      </c>
      <c r="D6839" s="6" t="s">
        <v>42733</v>
      </c>
      <c r="E6839" s="6" t="s">
        <v>42698</v>
      </c>
      <c r="F6839" s="6" t="s">
        <v>114</v>
      </c>
      <c r="G6839" s="6" t="s">
        <v>42734</v>
      </c>
      <c r="H6839" s="7">
        <v>2.0</v>
      </c>
      <c r="I6839" s="7">
        <v>19.0</v>
      </c>
      <c r="J6839" s="7">
        <v>1.0</v>
      </c>
      <c r="K6839" s="7">
        <v>13.0</v>
      </c>
      <c r="L6839" s="8" t="s">
        <v>31</v>
      </c>
      <c r="M6839" s="6" t="s">
        <v>42735</v>
      </c>
      <c r="N6839" s="6" t="s">
        <v>1181</v>
      </c>
      <c r="O6839" s="8" t="s">
        <v>1182</v>
      </c>
      <c r="P6839" s="6" t="s">
        <v>42702</v>
      </c>
      <c r="Q6839" s="6" t="s">
        <v>31</v>
      </c>
      <c r="R6839" s="6" t="s">
        <v>1185</v>
      </c>
      <c r="S6839" s="8" t="s">
        <v>4438</v>
      </c>
      <c r="T6839" s="6" t="s">
        <v>66</v>
      </c>
      <c r="U6839" s="8" t="s">
        <v>31</v>
      </c>
      <c r="V6839" s="6" t="s">
        <v>114</v>
      </c>
      <c r="W6839" s="6" t="s">
        <v>42698</v>
      </c>
      <c r="X6839" s="9" t="str">
        <f>HYPERLINK("https://my.pitchbook.com?p=13830-04P","View People Online")</f>
        <v>View People Online</v>
      </c>
    </row>
    <row r="6840">
      <c r="A6840" s="2" t="s">
        <v>42736</v>
      </c>
      <c r="B6840" s="2" t="s">
        <v>42737</v>
      </c>
      <c r="C6840" s="2" t="s">
        <v>42738</v>
      </c>
      <c r="D6840" s="2" t="s">
        <v>42739</v>
      </c>
      <c r="E6840" s="2" t="s">
        <v>42740</v>
      </c>
      <c r="F6840" s="2" t="s">
        <v>152</v>
      </c>
      <c r="G6840" s="2" t="s">
        <v>42741</v>
      </c>
      <c r="H6840" s="3" t="s">
        <v>31</v>
      </c>
      <c r="I6840" s="3">
        <v>1.0</v>
      </c>
      <c r="J6840" s="3">
        <v>1.0</v>
      </c>
      <c r="K6840" s="3" t="s">
        <v>31</v>
      </c>
      <c r="L6840" s="4" t="s">
        <v>31</v>
      </c>
      <c r="M6840" s="2" t="s">
        <v>42742</v>
      </c>
      <c r="N6840" s="2" t="s">
        <v>3334</v>
      </c>
      <c r="O6840" s="4" t="s">
        <v>3335</v>
      </c>
      <c r="P6840" s="2" t="s">
        <v>42743</v>
      </c>
      <c r="Q6840" s="2" t="s">
        <v>42744</v>
      </c>
      <c r="R6840" s="2" t="s">
        <v>31</v>
      </c>
      <c r="S6840" s="4" t="s">
        <v>31</v>
      </c>
      <c r="T6840" s="2" t="s">
        <v>3339</v>
      </c>
      <c r="U6840" s="4" t="s">
        <v>31</v>
      </c>
      <c r="V6840" s="2" t="s">
        <v>157</v>
      </c>
      <c r="W6840" s="2" t="s">
        <v>42740</v>
      </c>
      <c r="X6840" s="5" t="str">
        <f>HYPERLINK("https://my.pitchbook.com?p=302351-14P","View People Online")</f>
        <v>View People Online</v>
      </c>
    </row>
    <row r="6841">
      <c r="A6841" s="6" t="s">
        <v>42745</v>
      </c>
      <c r="B6841" s="6" t="s">
        <v>42746</v>
      </c>
      <c r="C6841" s="6" t="s">
        <v>132</v>
      </c>
      <c r="D6841" s="6" t="s">
        <v>42747</v>
      </c>
      <c r="E6841" s="6" t="s">
        <v>42740</v>
      </c>
      <c r="F6841" s="6" t="s">
        <v>674</v>
      </c>
      <c r="G6841" s="6" t="s">
        <v>42748</v>
      </c>
      <c r="H6841" s="7">
        <v>1.0</v>
      </c>
      <c r="I6841" s="7">
        <v>3.0</v>
      </c>
      <c r="J6841" s="7">
        <v>3.0</v>
      </c>
      <c r="K6841" s="7" t="s">
        <v>31</v>
      </c>
      <c r="L6841" s="8" t="s">
        <v>31</v>
      </c>
      <c r="M6841" s="6" t="s">
        <v>42749</v>
      </c>
      <c r="N6841" s="6" t="s">
        <v>42750</v>
      </c>
      <c r="O6841" s="8" t="s">
        <v>42751</v>
      </c>
      <c r="P6841" s="6" t="s">
        <v>42752</v>
      </c>
      <c r="Q6841" s="6" t="s">
        <v>31</v>
      </c>
      <c r="R6841" s="6" t="s">
        <v>31</v>
      </c>
      <c r="S6841" s="8" t="s">
        <v>42753</v>
      </c>
      <c r="T6841" s="6" t="s">
        <v>276</v>
      </c>
      <c r="U6841" s="8" t="s">
        <v>31</v>
      </c>
      <c r="V6841" s="6" t="s">
        <v>1384</v>
      </c>
      <c r="W6841" s="6" t="s">
        <v>42754</v>
      </c>
      <c r="X6841" s="9" t="str">
        <f>HYPERLINK("https://my.pitchbook.com?p=282586-06P","View People Online")</f>
        <v>View People Online</v>
      </c>
    </row>
    <row r="6842">
      <c r="A6842" s="10" t="s">
        <v>42755</v>
      </c>
      <c r="B6842" s="10" t="s">
        <v>42756</v>
      </c>
      <c r="C6842" s="10" t="s">
        <v>42757</v>
      </c>
      <c r="D6842" s="10" t="s">
        <v>42758</v>
      </c>
      <c r="E6842" s="10" t="s">
        <v>42759</v>
      </c>
      <c r="F6842" s="10" t="s">
        <v>189</v>
      </c>
      <c r="G6842" s="10" t="s">
        <v>42760</v>
      </c>
      <c r="H6842" s="11" t="s">
        <v>31</v>
      </c>
      <c r="I6842" s="11">
        <v>1.0</v>
      </c>
      <c r="J6842" s="11">
        <v>1.0</v>
      </c>
      <c r="K6842" s="11" t="s">
        <v>31</v>
      </c>
      <c r="L6842" s="12" t="s">
        <v>31</v>
      </c>
      <c r="M6842" s="10" t="s">
        <v>42761</v>
      </c>
      <c r="N6842" s="10" t="s">
        <v>42762</v>
      </c>
      <c r="O6842" s="12" t="s">
        <v>42763</v>
      </c>
      <c r="P6842" s="10" t="s">
        <v>42764</v>
      </c>
      <c r="Q6842" s="10" t="s">
        <v>31</v>
      </c>
      <c r="R6842" s="10" t="s">
        <v>1420</v>
      </c>
      <c r="S6842" s="12" t="s">
        <v>42765</v>
      </c>
      <c r="T6842" s="10" t="s">
        <v>66</v>
      </c>
      <c r="U6842" s="12" t="s">
        <v>31</v>
      </c>
      <c r="V6842" s="10" t="s">
        <v>34196</v>
      </c>
      <c r="W6842" s="10" t="s">
        <v>42759</v>
      </c>
      <c r="X6842" s="13" t="str">
        <f>HYPERLINK("https://my.pitchbook.com?p=263035-18P","View People Online")</f>
        <v>View People Online</v>
      </c>
    </row>
    <row r="6843">
      <c r="A6843" s="14" t="s">
        <v>42766</v>
      </c>
      <c r="B6843" s="14" t="s">
        <v>42767</v>
      </c>
      <c r="C6843" s="14" t="s">
        <v>39450</v>
      </c>
      <c r="D6843" s="14" t="s">
        <v>42768</v>
      </c>
      <c r="E6843" s="14" t="s">
        <v>42759</v>
      </c>
      <c r="F6843" s="14" t="s">
        <v>81</v>
      </c>
      <c r="G6843" s="14" t="s">
        <v>42769</v>
      </c>
      <c r="H6843" s="15" t="s">
        <v>31</v>
      </c>
      <c r="I6843" s="15">
        <v>1.0</v>
      </c>
      <c r="J6843" s="15" t="s">
        <v>31</v>
      </c>
      <c r="K6843" s="15" t="s">
        <v>31</v>
      </c>
      <c r="L6843" s="16" t="s">
        <v>31</v>
      </c>
      <c r="M6843" s="14" t="s">
        <v>31</v>
      </c>
      <c r="N6843" s="14" t="s">
        <v>42762</v>
      </c>
      <c r="O6843" s="16" t="s">
        <v>42763</v>
      </c>
      <c r="P6843" s="14" t="s">
        <v>42764</v>
      </c>
      <c r="Q6843" s="14" t="s">
        <v>31</v>
      </c>
      <c r="R6843" s="14" t="s">
        <v>1420</v>
      </c>
      <c r="S6843" s="16" t="s">
        <v>42765</v>
      </c>
      <c r="T6843" s="14" t="s">
        <v>66</v>
      </c>
      <c r="U6843" s="16" t="s">
        <v>31</v>
      </c>
      <c r="V6843" s="14" t="s">
        <v>81</v>
      </c>
      <c r="W6843" s="14" t="s">
        <v>42759</v>
      </c>
      <c r="X6843" s="17" t="str">
        <f>HYPERLINK("https://my.pitchbook.com?p=165824-29P","View People Online")</f>
        <v>View People Online</v>
      </c>
    </row>
    <row r="6844">
      <c r="A6844" s="2" t="s">
        <v>42770</v>
      </c>
      <c r="B6844" s="2" t="s">
        <v>42771</v>
      </c>
      <c r="C6844" s="2" t="s">
        <v>18701</v>
      </c>
      <c r="D6844" s="2" t="s">
        <v>42772</v>
      </c>
      <c r="E6844" s="2" t="s">
        <v>42759</v>
      </c>
      <c r="F6844" s="2" t="s">
        <v>189</v>
      </c>
      <c r="G6844" s="2" t="s">
        <v>42773</v>
      </c>
      <c r="H6844" s="3">
        <v>3.0</v>
      </c>
      <c r="I6844" s="3">
        <v>4.0</v>
      </c>
      <c r="J6844" s="3">
        <v>1.0</v>
      </c>
      <c r="K6844" s="3" t="s">
        <v>31</v>
      </c>
      <c r="L6844" s="4" t="s">
        <v>31</v>
      </c>
      <c r="M6844" s="2" t="s">
        <v>42774</v>
      </c>
      <c r="N6844" s="2" t="s">
        <v>42762</v>
      </c>
      <c r="O6844" s="4" t="s">
        <v>42763</v>
      </c>
      <c r="P6844" s="2" t="s">
        <v>42764</v>
      </c>
      <c r="Q6844" s="2" t="s">
        <v>31</v>
      </c>
      <c r="R6844" s="2" t="s">
        <v>1420</v>
      </c>
      <c r="S6844" s="4" t="s">
        <v>42765</v>
      </c>
      <c r="T6844" s="2" t="s">
        <v>66</v>
      </c>
      <c r="U6844" s="4" t="s">
        <v>31</v>
      </c>
      <c r="V6844" s="2" t="s">
        <v>196</v>
      </c>
      <c r="W6844" s="2" t="s">
        <v>42759</v>
      </c>
      <c r="X6844" s="5" t="str">
        <f>HYPERLINK("https://my.pitchbook.com?p=86323-87P","View People Online")</f>
        <v>View People Online</v>
      </c>
    </row>
    <row r="6845">
      <c r="A6845" s="6" t="s">
        <v>42775</v>
      </c>
      <c r="B6845" s="6" t="s">
        <v>42776</v>
      </c>
      <c r="C6845" s="6" t="s">
        <v>42777</v>
      </c>
      <c r="D6845" s="6" t="s">
        <v>42778</v>
      </c>
      <c r="E6845" s="6" t="s">
        <v>42759</v>
      </c>
      <c r="F6845" s="6" t="s">
        <v>81</v>
      </c>
      <c r="G6845" s="6" t="s">
        <v>42779</v>
      </c>
      <c r="H6845" s="7" t="s">
        <v>31</v>
      </c>
      <c r="I6845" s="7">
        <v>1.0</v>
      </c>
      <c r="J6845" s="7" t="s">
        <v>31</v>
      </c>
      <c r="K6845" s="7" t="s">
        <v>31</v>
      </c>
      <c r="L6845" s="8" t="s">
        <v>31</v>
      </c>
      <c r="M6845" s="6" t="s">
        <v>31</v>
      </c>
      <c r="N6845" s="6" t="s">
        <v>29205</v>
      </c>
      <c r="O6845" s="8" t="s">
        <v>29206</v>
      </c>
      <c r="P6845" s="6" t="s">
        <v>42780</v>
      </c>
      <c r="Q6845" s="6" t="s">
        <v>42781</v>
      </c>
      <c r="R6845" s="6" t="s">
        <v>29209</v>
      </c>
      <c r="S6845" s="8" t="s">
        <v>42782</v>
      </c>
      <c r="T6845" s="6" t="s">
        <v>1209</v>
      </c>
      <c r="U6845" s="8" t="s">
        <v>31</v>
      </c>
      <c r="V6845" s="6" t="s">
        <v>81</v>
      </c>
      <c r="W6845" s="6" t="s">
        <v>42759</v>
      </c>
      <c r="X6845" s="9" t="str">
        <f>HYPERLINK("https://my.pitchbook.com?p=263041-75P","View People Online")</f>
        <v>View People Online</v>
      </c>
    </row>
    <row r="6846">
      <c r="A6846" s="2" t="s">
        <v>42783</v>
      </c>
      <c r="B6846" s="2" t="s">
        <v>42784</v>
      </c>
      <c r="C6846" s="2" t="s">
        <v>42785</v>
      </c>
      <c r="D6846" s="2" t="s">
        <v>42758</v>
      </c>
      <c r="E6846" s="2" t="s">
        <v>42759</v>
      </c>
      <c r="F6846" s="2" t="s">
        <v>29</v>
      </c>
      <c r="G6846" s="2" t="s">
        <v>42786</v>
      </c>
      <c r="H6846" s="3" t="s">
        <v>31</v>
      </c>
      <c r="I6846" s="3">
        <v>1.0</v>
      </c>
      <c r="J6846" s="3">
        <v>1.0</v>
      </c>
      <c r="K6846" s="3" t="s">
        <v>31</v>
      </c>
      <c r="L6846" s="4" t="s">
        <v>31</v>
      </c>
      <c r="M6846" s="2" t="s">
        <v>42787</v>
      </c>
      <c r="N6846" s="2" t="s">
        <v>42762</v>
      </c>
      <c r="O6846" s="4" t="s">
        <v>42763</v>
      </c>
      <c r="P6846" s="2" t="s">
        <v>42764</v>
      </c>
      <c r="Q6846" s="2" t="s">
        <v>31</v>
      </c>
      <c r="R6846" s="2" t="s">
        <v>1420</v>
      </c>
      <c r="S6846" s="4" t="s">
        <v>42765</v>
      </c>
      <c r="T6846" s="2" t="s">
        <v>66</v>
      </c>
      <c r="U6846" s="4" t="s">
        <v>31</v>
      </c>
      <c r="V6846" s="2" t="s">
        <v>42788</v>
      </c>
      <c r="W6846" s="2" t="s">
        <v>42759</v>
      </c>
      <c r="X6846" s="5" t="str">
        <f>HYPERLINK("https://my.pitchbook.com?p=263038-06P","View People Online")</f>
        <v>View People Online</v>
      </c>
    </row>
    <row r="6847">
      <c r="A6847" s="6" t="s">
        <v>42789</v>
      </c>
      <c r="B6847" s="6" t="s">
        <v>42790</v>
      </c>
      <c r="C6847" s="6" t="s">
        <v>1013</v>
      </c>
      <c r="D6847" s="6" t="s">
        <v>42791</v>
      </c>
      <c r="E6847" s="6" t="s">
        <v>42759</v>
      </c>
      <c r="F6847" s="6" t="s">
        <v>189</v>
      </c>
      <c r="G6847" s="6" t="s">
        <v>42792</v>
      </c>
      <c r="H6847" s="7" t="s">
        <v>31</v>
      </c>
      <c r="I6847" s="7">
        <v>4.0</v>
      </c>
      <c r="J6847" s="7">
        <v>1.0</v>
      </c>
      <c r="K6847" s="7" t="s">
        <v>31</v>
      </c>
      <c r="L6847" s="8" t="s">
        <v>31</v>
      </c>
      <c r="M6847" s="6" t="s">
        <v>42793</v>
      </c>
      <c r="N6847" s="6" t="s">
        <v>29205</v>
      </c>
      <c r="O6847" s="8" t="s">
        <v>29206</v>
      </c>
      <c r="P6847" s="6" t="s">
        <v>42780</v>
      </c>
      <c r="Q6847" s="6" t="s">
        <v>42781</v>
      </c>
      <c r="R6847" s="6" t="s">
        <v>29209</v>
      </c>
      <c r="S6847" s="8" t="s">
        <v>42782</v>
      </c>
      <c r="T6847" s="6" t="s">
        <v>1209</v>
      </c>
      <c r="U6847" s="8" t="s">
        <v>31</v>
      </c>
      <c r="V6847" s="6" t="s">
        <v>42794</v>
      </c>
      <c r="W6847" s="6" t="s">
        <v>42759</v>
      </c>
      <c r="X6847" s="9" t="str">
        <f>HYPERLINK("https://my.pitchbook.com?p=263035-99P","View People Online")</f>
        <v>View People Online</v>
      </c>
    </row>
    <row r="6848">
      <c r="A6848" s="10" t="s">
        <v>42795</v>
      </c>
      <c r="B6848" s="10" t="s">
        <v>42796</v>
      </c>
      <c r="C6848" s="10" t="s">
        <v>36992</v>
      </c>
      <c r="D6848" s="10" t="s">
        <v>42797</v>
      </c>
      <c r="E6848" s="10" t="s">
        <v>42759</v>
      </c>
      <c r="F6848" s="10" t="s">
        <v>81</v>
      </c>
      <c r="G6848" s="10" t="s">
        <v>42798</v>
      </c>
      <c r="H6848" s="11">
        <v>1.0</v>
      </c>
      <c r="I6848" s="11">
        <v>2.0</v>
      </c>
      <c r="J6848" s="11" t="s">
        <v>31</v>
      </c>
      <c r="K6848" s="11" t="s">
        <v>31</v>
      </c>
      <c r="L6848" s="12" t="s">
        <v>31</v>
      </c>
      <c r="M6848" s="10" t="s">
        <v>31</v>
      </c>
      <c r="N6848" s="10" t="s">
        <v>42762</v>
      </c>
      <c r="O6848" s="12" t="s">
        <v>42763</v>
      </c>
      <c r="P6848" s="10" t="s">
        <v>42764</v>
      </c>
      <c r="Q6848" s="10" t="s">
        <v>31</v>
      </c>
      <c r="R6848" s="10" t="s">
        <v>1420</v>
      </c>
      <c r="S6848" s="12" t="s">
        <v>42765</v>
      </c>
      <c r="T6848" s="10" t="s">
        <v>66</v>
      </c>
      <c r="U6848" s="12" t="s">
        <v>31</v>
      </c>
      <c r="V6848" s="10" t="s">
        <v>81</v>
      </c>
      <c r="W6848" s="10" t="s">
        <v>42759</v>
      </c>
      <c r="X6848" s="13" t="str">
        <f>HYPERLINK("https://my.pitchbook.com?p=263039-59P","View People Online")</f>
        <v>View People Online</v>
      </c>
    </row>
    <row r="6849">
      <c r="A6849" s="6" t="s">
        <v>42799</v>
      </c>
      <c r="B6849" s="6" t="s">
        <v>42800</v>
      </c>
      <c r="C6849" s="6" t="s">
        <v>35173</v>
      </c>
      <c r="D6849" s="6" t="s">
        <v>42801</v>
      </c>
      <c r="E6849" s="6" t="s">
        <v>42759</v>
      </c>
      <c r="F6849" s="6" t="s">
        <v>81</v>
      </c>
      <c r="G6849" s="6" t="s">
        <v>42802</v>
      </c>
      <c r="H6849" s="7">
        <v>5.0</v>
      </c>
      <c r="I6849" s="7">
        <v>8.0</v>
      </c>
      <c r="J6849" s="7">
        <v>2.0</v>
      </c>
      <c r="K6849" s="7">
        <v>1.0</v>
      </c>
      <c r="L6849" s="8" t="s">
        <v>42803</v>
      </c>
      <c r="M6849" s="6" t="s">
        <v>31</v>
      </c>
      <c r="N6849" s="6" t="s">
        <v>42804</v>
      </c>
      <c r="O6849" s="8" t="s">
        <v>42805</v>
      </c>
      <c r="P6849" s="6" t="s">
        <v>42806</v>
      </c>
      <c r="Q6849" s="6" t="s">
        <v>1280</v>
      </c>
      <c r="R6849" s="6" t="s">
        <v>4236</v>
      </c>
      <c r="S6849" s="8" t="s">
        <v>42807</v>
      </c>
      <c r="T6849" s="6" t="s">
        <v>66</v>
      </c>
      <c r="U6849" s="8" t="s">
        <v>31</v>
      </c>
      <c r="V6849" s="6" t="s">
        <v>2379</v>
      </c>
      <c r="W6849" s="6" t="s">
        <v>42808</v>
      </c>
      <c r="X6849" s="9" t="str">
        <f>HYPERLINK("https://my.pitchbook.com?p=51478-93P","View People Online")</f>
        <v>View People Online</v>
      </c>
    </row>
    <row r="6850">
      <c r="A6850" s="2" t="s">
        <v>42809</v>
      </c>
      <c r="B6850" s="2" t="s">
        <v>42810</v>
      </c>
      <c r="C6850" s="2" t="s">
        <v>42811</v>
      </c>
      <c r="D6850" s="2" t="s">
        <v>42758</v>
      </c>
      <c r="E6850" s="2" t="s">
        <v>42759</v>
      </c>
      <c r="F6850" s="2" t="s">
        <v>189</v>
      </c>
      <c r="G6850" s="2" t="s">
        <v>42812</v>
      </c>
      <c r="H6850" s="3" t="s">
        <v>31</v>
      </c>
      <c r="I6850" s="3">
        <v>9.0</v>
      </c>
      <c r="J6850" s="3">
        <v>2.0</v>
      </c>
      <c r="K6850" s="3">
        <v>5.0</v>
      </c>
      <c r="L6850" s="4" t="s">
        <v>31</v>
      </c>
      <c r="M6850" s="2" t="s">
        <v>42813</v>
      </c>
      <c r="N6850" s="2" t="s">
        <v>42762</v>
      </c>
      <c r="O6850" s="4" t="s">
        <v>42763</v>
      </c>
      <c r="P6850" s="2" t="s">
        <v>42764</v>
      </c>
      <c r="Q6850" s="2" t="s">
        <v>31</v>
      </c>
      <c r="R6850" s="2" t="s">
        <v>1420</v>
      </c>
      <c r="S6850" s="4" t="s">
        <v>42765</v>
      </c>
      <c r="T6850" s="2" t="s">
        <v>66</v>
      </c>
      <c r="U6850" s="4" t="s">
        <v>31</v>
      </c>
      <c r="V6850" s="2" t="s">
        <v>196</v>
      </c>
      <c r="W6850" s="2" t="s">
        <v>42759</v>
      </c>
      <c r="X6850" s="5" t="str">
        <f>HYPERLINK("https://my.pitchbook.com?p=218655-82P","View People Online")</f>
        <v>View People Online</v>
      </c>
    </row>
    <row r="6851">
      <c r="A6851" s="6" t="s">
        <v>42814</v>
      </c>
      <c r="B6851" s="6" t="s">
        <v>42815</v>
      </c>
      <c r="C6851" s="6" t="s">
        <v>28122</v>
      </c>
      <c r="D6851" s="6" t="s">
        <v>36993</v>
      </c>
      <c r="E6851" s="6" t="s">
        <v>42759</v>
      </c>
      <c r="F6851" s="6" t="s">
        <v>29</v>
      </c>
      <c r="G6851" s="6" t="s">
        <v>42816</v>
      </c>
      <c r="H6851" s="7" t="s">
        <v>31</v>
      </c>
      <c r="I6851" s="7">
        <v>2.0</v>
      </c>
      <c r="J6851" s="7">
        <v>2.0</v>
      </c>
      <c r="K6851" s="7" t="s">
        <v>31</v>
      </c>
      <c r="L6851" s="8" t="s">
        <v>42817</v>
      </c>
      <c r="M6851" s="6" t="s">
        <v>42818</v>
      </c>
      <c r="N6851" s="6" t="s">
        <v>29205</v>
      </c>
      <c r="O6851" s="8" t="s">
        <v>29206</v>
      </c>
      <c r="P6851" s="6" t="s">
        <v>42819</v>
      </c>
      <c r="Q6851" s="6" t="s">
        <v>42820</v>
      </c>
      <c r="R6851" s="6" t="s">
        <v>29209</v>
      </c>
      <c r="S6851" s="8" t="s">
        <v>42821</v>
      </c>
      <c r="T6851" s="6" t="s">
        <v>1209</v>
      </c>
      <c r="U6851" s="8" t="s">
        <v>31</v>
      </c>
      <c r="V6851" s="6" t="s">
        <v>1283</v>
      </c>
      <c r="W6851" s="6" t="s">
        <v>42822</v>
      </c>
      <c r="X6851" s="9" t="str">
        <f>HYPERLINK("https://my.pitchbook.com?p=316207-72P","View People Online")</f>
        <v>View People Online</v>
      </c>
    </row>
    <row r="6852">
      <c r="A6852" s="2" t="s">
        <v>42823</v>
      </c>
      <c r="B6852" s="2" t="s">
        <v>42824</v>
      </c>
      <c r="C6852" s="2" t="s">
        <v>1117</v>
      </c>
      <c r="D6852" s="2" t="s">
        <v>666</v>
      </c>
      <c r="E6852" s="2" t="s">
        <v>42825</v>
      </c>
      <c r="F6852" s="2" t="s">
        <v>114</v>
      </c>
      <c r="G6852" s="2" t="s">
        <v>42826</v>
      </c>
      <c r="H6852" s="3" t="s">
        <v>31</v>
      </c>
      <c r="I6852" s="3">
        <v>3.0</v>
      </c>
      <c r="J6852" s="3">
        <v>2.0</v>
      </c>
      <c r="K6852" s="3" t="s">
        <v>31</v>
      </c>
      <c r="L6852" s="4" t="s">
        <v>31</v>
      </c>
      <c r="M6852" s="2" t="s">
        <v>31</v>
      </c>
      <c r="N6852" s="2" t="s">
        <v>155</v>
      </c>
      <c r="O6852" s="4" t="s">
        <v>156</v>
      </c>
      <c r="P6852" s="2" t="s">
        <v>39229</v>
      </c>
      <c r="Q6852" s="2" t="s">
        <v>31</v>
      </c>
      <c r="R6852" s="2" t="s">
        <v>64</v>
      </c>
      <c r="S6852" s="4" t="s">
        <v>39231</v>
      </c>
      <c r="T6852" s="2" t="s">
        <v>66</v>
      </c>
      <c r="U6852" s="4" t="s">
        <v>31</v>
      </c>
      <c r="V6852" s="2" t="s">
        <v>43</v>
      </c>
      <c r="W6852" s="2" t="s">
        <v>42827</v>
      </c>
      <c r="X6852" s="5" t="str">
        <f>HYPERLINK("https://my.pitchbook.com?p=191167-84P","View People Online")</f>
        <v>View People Online</v>
      </c>
    </row>
    <row r="6853">
      <c r="A6853" s="14" t="s">
        <v>42828</v>
      </c>
      <c r="B6853" s="14" t="s">
        <v>42829</v>
      </c>
      <c r="C6853" s="14" t="s">
        <v>42830</v>
      </c>
      <c r="D6853" s="14" t="s">
        <v>42831</v>
      </c>
      <c r="E6853" s="14" t="s">
        <v>42825</v>
      </c>
      <c r="F6853" s="14" t="s">
        <v>29</v>
      </c>
      <c r="G6853" s="14" t="s">
        <v>42832</v>
      </c>
      <c r="H6853" s="15">
        <v>3.0</v>
      </c>
      <c r="I6853" s="15">
        <v>10.0</v>
      </c>
      <c r="J6853" s="15">
        <v>1.0</v>
      </c>
      <c r="K6853" s="15">
        <v>5.0</v>
      </c>
      <c r="L6853" s="16" t="s">
        <v>42833</v>
      </c>
      <c r="M6853" s="14" t="s">
        <v>42834</v>
      </c>
      <c r="N6853" s="14" t="s">
        <v>775</v>
      </c>
      <c r="O6853" s="16" t="s">
        <v>776</v>
      </c>
      <c r="P6853" s="14" t="s">
        <v>42835</v>
      </c>
      <c r="Q6853" s="14" t="s">
        <v>42836</v>
      </c>
      <c r="R6853" s="14" t="s">
        <v>64</v>
      </c>
      <c r="S6853" s="16" t="s">
        <v>779</v>
      </c>
      <c r="T6853" s="14" t="s">
        <v>66</v>
      </c>
      <c r="U6853" s="16" t="s">
        <v>31</v>
      </c>
      <c r="V6853" s="14" t="s">
        <v>29</v>
      </c>
      <c r="W6853" s="14" t="s">
        <v>42825</v>
      </c>
      <c r="X6853" s="17" t="str">
        <f>HYPERLINK("https://my.pitchbook.com?p=317007-10P","View People Online")</f>
        <v>View People Online</v>
      </c>
    </row>
    <row r="6854">
      <c r="A6854" s="10" t="s">
        <v>42837</v>
      </c>
      <c r="B6854" s="10" t="s">
        <v>42838</v>
      </c>
      <c r="C6854" s="10" t="s">
        <v>41658</v>
      </c>
      <c r="D6854" s="10" t="s">
        <v>8016</v>
      </c>
      <c r="E6854" s="10" t="s">
        <v>42825</v>
      </c>
      <c r="F6854" s="10" t="s">
        <v>29</v>
      </c>
      <c r="G6854" s="10" t="s">
        <v>42839</v>
      </c>
      <c r="H6854" s="11" t="s">
        <v>31</v>
      </c>
      <c r="I6854" s="11">
        <v>1.0</v>
      </c>
      <c r="J6854" s="11">
        <v>1.0</v>
      </c>
      <c r="K6854" s="11" t="s">
        <v>31</v>
      </c>
      <c r="L6854" s="12" t="s">
        <v>31</v>
      </c>
      <c r="M6854" s="10" t="s">
        <v>42840</v>
      </c>
      <c r="N6854" s="10" t="s">
        <v>775</v>
      </c>
      <c r="O6854" s="12" t="s">
        <v>776</v>
      </c>
      <c r="P6854" s="10" t="s">
        <v>42835</v>
      </c>
      <c r="Q6854" s="10" t="s">
        <v>42836</v>
      </c>
      <c r="R6854" s="10" t="s">
        <v>64</v>
      </c>
      <c r="S6854" s="12" t="s">
        <v>779</v>
      </c>
      <c r="T6854" s="10" t="s">
        <v>66</v>
      </c>
      <c r="U6854" s="12" t="s">
        <v>31</v>
      </c>
      <c r="V6854" s="10" t="s">
        <v>29</v>
      </c>
      <c r="W6854" s="10" t="s">
        <v>42825</v>
      </c>
      <c r="X6854" s="13" t="str">
        <f>HYPERLINK("https://my.pitchbook.com?p=291652-21P","View People Online")</f>
        <v>View People Online</v>
      </c>
    </row>
    <row r="6855">
      <c r="A6855" s="14" t="s">
        <v>42841</v>
      </c>
      <c r="B6855" s="14" t="s">
        <v>42842</v>
      </c>
      <c r="C6855" s="14" t="s">
        <v>16220</v>
      </c>
      <c r="D6855" s="14" t="s">
        <v>18864</v>
      </c>
      <c r="E6855" s="14" t="s">
        <v>42825</v>
      </c>
      <c r="F6855" s="14" t="s">
        <v>29</v>
      </c>
      <c r="G6855" s="14" t="s">
        <v>42843</v>
      </c>
      <c r="H6855" s="15" t="s">
        <v>31</v>
      </c>
      <c r="I6855" s="15">
        <v>1.0</v>
      </c>
      <c r="J6855" s="15">
        <v>1.0</v>
      </c>
      <c r="K6855" s="15" t="s">
        <v>31</v>
      </c>
      <c r="L6855" s="16" t="s">
        <v>31</v>
      </c>
      <c r="M6855" s="14" t="s">
        <v>42844</v>
      </c>
      <c r="N6855" s="14" t="s">
        <v>775</v>
      </c>
      <c r="O6855" s="16" t="s">
        <v>776</v>
      </c>
      <c r="P6855" s="14" t="s">
        <v>42835</v>
      </c>
      <c r="Q6855" s="14" t="s">
        <v>42836</v>
      </c>
      <c r="R6855" s="14" t="s">
        <v>64</v>
      </c>
      <c r="S6855" s="16" t="s">
        <v>779</v>
      </c>
      <c r="T6855" s="14" t="s">
        <v>66</v>
      </c>
      <c r="U6855" s="16" t="s">
        <v>31</v>
      </c>
      <c r="V6855" s="14" t="s">
        <v>29</v>
      </c>
      <c r="W6855" s="14" t="s">
        <v>42825</v>
      </c>
      <c r="X6855" s="17" t="str">
        <f>HYPERLINK("https://my.pitchbook.com?p=364877-29P","View People Online")</f>
        <v>View People Online</v>
      </c>
    </row>
    <row r="6856">
      <c r="A6856" s="2" t="s">
        <v>42845</v>
      </c>
      <c r="B6856" s="2" t="s">
        <v>42846</v>
      </c>
      <c r="C6856" s="2" t="s">
        <v>42847</v>
      </c>
      <c r="D6856" s="2" t="s">
        <v>3671</v>
      </c>
      <c r="E6856" s="2" t="s">
        <v>42825</v>
      </c>
      <c r="F6856" s="2" t="s">
        <v>29</v>
      </c>
      <c r="G6856" s="2" t="s">
        <v>42848</v>
      </c>
      <c r="H6856" s="3">
        <v>2.0</v>
      </c>
      <c r="I6856" s="3">
        <v>4.0</v>
      </c>
      <c r="J6856" s="3">
        <v>1.0</v>
      </c>
      <c r="K6856" s="3">
        <v>1.0</v>
      </c>
      <c r="L6856" s="4" t="s">
        <v>31</v>
      </c>
      <c r="M6856" s="2" t="s">
        <v>42849</v>
      </c>
      <c r="N6856" s="2" t="s">
        <v>775</v>
      </c>
      <c r="O6856" s="4" t="s">
        <v>776</v>
      </c>
      <c r="P6856" s="2" t="s">
        <v>42835</v>
      </c>
      <c r="Q6856" s="2" t="s">
        <v>42836</v>
      </c>
      <c r="R6856" s="2" t="s">
        <v>64</v>
      </c>
      <c r="S6856" s="4" t="s">
        <v>779</v>
      </c>
      <c r="T6856" s="2" t="s">
        <v>66</v>
      </c>
      <c r="U6856" s="4" t="s">
        <v>31</v>
      </c>
      <c r="V6856" s="2" t="s">
        <v>29</v>
      </c>
      <c r="W6856" s="2" t="s">
        <v>42825</v>
      </c>
      <c r="X6856" s="5" t="str">
        <f>HYPERLINK("https://my.pitchbook.com?p=253226-71P","View People Online")</f>
        <v>View People Online</v>
      </c>
    </row>
    <row r="6857">
      <c r="A6857" s="14" t="s">
        <v>42850</v>
      </c>
      <c r="B6857" s="14" t="s">
        <v>42851</v>
      </c>
      <c r="C6857" s="14" t="s">
        <v>42852</v>
      </c>
      <c r="D6857" s="14" t="s">
        <v>42853</v>
      </c>
      <c r="E6857" s="14" t="s">
        <v>42825</v>
      </c>
      <c r="F6857" s="14" t="s">
        <v>189</v>
      </c>
      <c r="G6857" s="14" t="s">
        <v>42854</v>
      </c>
      <c r="H6857" s="15">
        <v>1.0</v>
      </c>
      <c r="I6857" s="15">
        <v>46.0</v>
      </c>
      <c r="J6857" s="15">
        <v>1.0</v>
      </c>
      <c r="K6857" s="15">
        <v>40.0</v>
      </c>
      <c r="L6857" s="16" t="s">
        <v>42855</v>
      </c>
      <c r="M6857" s="14" t="s">
        <v>42856</v>
      </c>
      <c r="N6857" s="14" t="s">
        <v>775</v>
      </c>
      <c r="O6857" s="16" t="s">
        <v>776</v>
      </c>
      <c r="P6857" s="14" t="s">
        <v>42835</v>
      </c>
      <c r="Q6857" s="14" t="s">
        <v>42836</v>
      </c>
      <c r="R6857" s="14" t="s">
        <v>64</v>
      </c>
      <c r="S6857" s="16" t="s">
        <v>779</v>
      </c>
      <c r="T6857" s="14" t="s">
        <v>66</v>
      </c>
      <c r="U6857" s="16" t="s">
        <v>42857</v>
      </c>
      <c r="V6857" s="14" t="s">
        <v>196</v>
      </c>
      <c r="W6857" s="14" t="s">
        <v>42825</v>
      </c>
      <c r="X6857" s="17" t="str">
        <f>HYPERLINK("https://my.pitchbook.com?p=14085-91P","View People Online")</f>
        <v>View People Online</v>
      </c>
    </row>
    <row r="6858">
      <c r="A6858" s="10" t="s">
        <v>42858</v>
      </c>
      <c r="B6858" s="10" t="s">
        <v>42859</v>
      </c>
      <c r="C6858" s="10" t="s">
        <v>126</v>
      </c>
      <c r="D6858" s="10" t="s">
        <v>31716</v>
      </c>
      <c r="E6858" s="10" t="s">
        <v>42860</v>
      </c>
      <c r="F6858" s="10" t="s">
        <v>1459</v>
      </c>
      <c r="G6858" s="10" t="s">
        <v>42861</v>
      </c>
      <c r="H6858" s="11" t="s">
        <v>31</v>
      </c>
      <c r="I6858" s="11">
        <v>6.0</v>
      </c>
      <c r="J6858" s="11">
        <v>1.0</v>
      </c>
      <c r="K6858" s="11">
        <v>5.0</v>
      </c>
      <c r="L6858" s="12" t="s">
        <v>42862</v>
      </c>
      <c r="M6858" s="10" t="s">
        <v>42863</v>
      </c>
      <c r="N6858" s="10" t="s">
        <v>1181</v>
      </c>
      <c r="O6858" s="12" t="s">
        <v>1182</v>
      </c>
      <c r="P6858" s="10" t="s">
        <v>28298</v>
      </c>
      <c r="Q6858" s="10" t="s">
        <v>24724</v>
      </c>
      <c r="R6858" s="10" t="s">
        <v>1185</v>
      </c>
      <c r="S6858" s="12" t="s">
        <v>10902</v>
      </c>
      <c r="T6858" s="10" t="s">
        <v>66</v>
      </c>
      <c r="U6858" s="12" t="s">
        <v>31</v>
      </c>
      <c r="V6858" s="10" t="s">
        <v>42864</v>
      </c>
      <c r="W6858" s="10" t="s">
        <v>42860</v>
      </c>
      <c r="X6858" s="13" t="str">
        <f>HYPERLINK("https://my.pitchbook.com?p=401247-28P","View People Online")</f>
        <v>View People Online</v>
      </c>
    </row>
    <row r="6859">
      <c r="A6859" s="6" t="s">
        <v>42865</v>
      </c>
      <c r="B6859" s="6" t="s">
        <v>42866</v>
      </c>
      <c r="C6859" s="6" t="s">
        <v>568</v>
      </c>
      <c r="D6859" s="6" t="s">
        <v>26491</v>
      </c>
      <c r="E6859" s="6" t="s">
        <v>42867</v>
      </c>
      <c r="F6859" s="6" t="s">
        <v>270</v>
      </c>
      <c r="G6859" s="6" t="s">
        <v>42868</v>
      </c>
      <c r="H6859" s="7" t="s">
        <v>31</v>
      </c>
      <c r="I6859" s="7">
        <v>1.0</v>
      </c>
      <c r="J6859" s="7">
        <v>1.0</v>
      </c>
      <c r="K6859" s="7" t="s">
        <v>31</v>
      </c>
      <c r="L6859" s="8" t="s">
        <v>42869</v>
      </c>
      <c r="M6859" s="6" t="s">
        <v>31</v>
      </c>
      <c r="N6859" s="6" t="s">
        <v>1181</v>
      </c>
      <c r="O6859" s="8" t="s">
        <v>1182</v>
      </c>
      <c r="P6859" s="6" t="s">
        <v>39359</v>
      </c>
      <c r="Q6859" s="6" t="s">
        <v>31</v>
      </c>
      <c r="R6859" s="6" t="s">
        <v>1185</v>
      </c>
      <c r="S6859" s="8" t="s">
        <v>29487</v>
      </c>
      <c r="T6859" s="6" t="s">
        <v>66</v>
      </c>
      <c r="U6859" s="8" t="s">
        <v>42870</v>
      </c>
      <c r="V6859" s="6" t="s">
        <v>78</v>
      </c>
      <c r="W6859" s="6" t="s">
        <v>42871</v>
      </c>
      <c r="X6859" s="9" t="str">
        <f>HYPERLINK("https://my.pitchbook.com?p=297613-18P","View People Online")</f>
        <v>View People Online</v>
      </c>
    </row>
    <row r="6860">
      <c r="A6860" s="10" t="s">
        <v>42872</v>
      </c>
      <c r="B6860" s="10" t="s">
        <v>42873</v>
      </c>
      <c r="C6860" s="10" t="s">
        <v>186</v>
      </c>
      <c r="D6860" s="10" t="s">
        <v>42874</v>
      </c>
      <c r="E6860" s="10" t="s">
        <v>42867</v>
      </c>
      <c r="F6860" s="10" t="s">
        <v>81</v>
      </c>
      <c r="G6860" s="10" t="s">
        <v>42875</v>
      </c>
      <c r="H6860" s="11" t="s">
        <v>31</v>
      </c>
      <c r="I6860" s="11">
        <v>3.0</v>
      </c>
      <c r="J6860" s="11">
        <v>1.0</v>
      </c>
      <c r="K6860" s="11">
        <v>1.0</v>
      </c>
      <c r="L6860" s="12" t="s">
        <v>42876</v>
      </c>
      <c r="M6860" s="10" t="s">
        <v>42877</v>
      </c>
      <c r="N6860" s="10" t="s">
        <v>10983</v>
      </c>
      <c r="O6860" s="12" t="s">
        <v>37748</v>
      </c>
      <c r="P6860" s="10" t="s">
        <v>42878</v>
      </c>
      <c r="Q6860" s="10" t="s">
        <v>31</v>
      </c>
      <c r="R6860" s="10" t="s">
        <v>37751</v>
      </c>
      <c r="S6860" s="12" t="s">
        <v>42879</v>
      </c>
      <c r="T6860" s="10" t="s">
        <v>66</v>
      </c>
      <c r="U6860" s="12" t="s">
        <v>31</v>
      </c>
      <c r="V6860" s="10" t="s">
        <v>470</v>
      </c>
      <c r="W6860" s="10" t="s">
        <v>42880</v>
      </c>
      <c r="X6860" s="13" t="str">
        <f>HYPERLINK("https://my.pitchbook.com?p=297613-45P","View People Online")</f>
        <v>View People Online</v>
      </c>
    </row>
    <row r="6861">
      <c r="A6861" s="14" t="s">
        <v>42881</v>
      </c>
      <c r="B6861" s="14" t="s">
        <v>42882</v>
      </c>
      <c r="C6861" s="14" t="s">
        <v>237</v>
      </c>
      <c r="D6861" s="14" t="s">
        <v>42883</v>
      </c>
      <c r="E6861" s="14" t="s">
        <v>42867</v>
      </c>
      <c r="F6861" s="14" t="s">
        <v>81</v>
      </c>
      <c r="G6861" s="14" t="s">
        <v>42884</v>
      </c>
      <c r="H6861" s="15" t="s">
        <v>31</v>
      </c>
      <c r="I6861" s="15">
        <v>1.0</v>
      </c>
      <c r="J6861" s="15" t="s">
        <v>31</v>
      </c>
      <c r="K6861" s="15" t="s">
        <v>31</v>
      </c>
      <c r="L6861" s="16" t="s">
        <v>42869</v>
      </c>
      <c r="M6861" s="14" t="s">
        <v>31</v>
      </c>
      <c r="N6861" s="14" t="s">
        <v>1181</v>
      </c>
      <c r="O6861" s="16" t="s">
        <v>1182</v>
      </c>
      <c r="P6861" s="14" t="s">
        <v>39359</v>
      </c>
      <c r="Q6861" s="14" t="s">
        <v>31</v>
      </c>
      <c r="R6861" s="14" t="s">
        <v>1185</v>
      </c>
      <c r="S6861" s="16" t="s">
        <v>29487</v>
      </c>
      <c r="T6861" s="14" t="s">
        <v>66</v>
      </c>
      <c r="U6861" s="16" t="s">
        <v>42870</v>
      </c>
      <c r="V6861" s="14" t="s">
        <v>3930</v>
      </c>
      <c r="W6861" s="14" t="s">
        <v>42885</v>
      </c>
      <c r="X6861" s="17" t="str">
        <f>HYPERLINK("https://my.pitchbook.com?p=38804-32P","View People Online")</f>
        <v>View People Online</v>
      </c>
    </row>
    <row r="6862">
      <c r="A6862" s="2" t="s">
        <v>42886</v>
      </c>
      <c r="B6862" s="2" t="s">
        <v>42887</v>
      </c>
      <c r="C6862" s="2" t="s">
        <v>10717</v>
      </c>
      <c r="D6862" s="2" t="s">
        <v>42888</v>
      </c>
      <c r="E6862" s="2" t="s">
        <v>42867</v>
      </c>
      <c r="F6862" s="2" t="s">
        <v>270</v>
      </c>
      <c r="G6862" s="2" t="s">
        <v>42889</v>
      </c>
      <c r="H6862" s="3" t="s">
        <v>31</v>
      </c>
      <c r="I6862" s="3">
        <v>1.0</v>
      </c>
      <c r="J6862" s="3">
        <v>1.0</v>
      </c>
      <c r="K6862" s="3" t="s">
        <v>31</v>
      </c>
      <c r="L6862" s="4" t="s">
        <v>42869</v>
      </c>
      <c r="M6862" s="2" t="s">
        <v>31</v>
      </c>
      <c r="N6862" s="2" t="s">
        <v>1181</v>
      </c>
      <c r="O6862" s="4" t="s">
        <v>1182</v>
      </c>
      <c r="P6862" s="2" t="s">
        <v>39359</v>
      </c>
      <c r="Q6862" s="2" t="s">
        <v>31</v>
      </c>
      <c r="R6862" s="2" t="s">
        <v>1185</v>
      </c>
      <c r="S6862" s="4" t="s">
        <v>29487</v>
      </c>
      <c r="T6862" s="2" t="s">
        <v>66</v>
      </c>
      <c r="U6862" s="4" t="s">
        <v>42870</v>
      </c>
      <c r="V6862" s="2" t="s">
        <v>27009</v>
      </c>
      <c r="W6862" s="2" t="s">
        <v>42867</v>
      </c>
      <c r="X6862" s="5" t="str">
        <f>HYPERLINK("https://my.pitchbook.com?p=297613-63P","View People Online")</f>
        <v>View People Online</v>
      </c>
    </row>
    <row r="6863">
      <c r="A6863" s="14" t="s">
        <v>42890</v>
      </c>
      <c r="B6863" s="14" t="s">
        <v>42891</v>
      </c>
      <c r="C6863" s="14" t="s">
        <v>10717</v>
      </c>
      <c r="D6863" s="14" t="s">
        <v>42892</v>
      </c>
      <c r="E6863" s="14" t="s">
        <v>42867</v>
      </c>
      <c r="F6863" s="14" t="s">
        <v>114</v>
      </c>
      <c r="G6863" s="14" t="s">
        <v>42893</v>
      </c>
      <c r="H6863" s="15" t="s">
        <v>31</v>
      </c>
      <c r="I6863" s="15">
        <v>1.0</v>
      </c>
      <c r="J6863" s="15">
        <v>1.0</v>
      </c>
      <c r="K6863" s="15" t="s">
        <v>31</v>
      </c>
      <c r="L6863" s="16" t="s">
        <v>42869</v>
      </c>
      <c r="M6863" s="14" t="s">
        <v>31</v>
      </c>
      <c r="N6863" s="14" t="s">
        <v>1181</v>
      </c>
      <c r="O6863" s="16" t="s">
        <v>1182</v>
      </c>
      <c r="P6863" s="14" t="s">
        <v>39359</v>
      </c>
      <c r="Q6863" s="14" t="s">
        <v>31</v>
      </c>
      <c r="R6863" s="14" t="s">
        <v>1185</v>
      </c>
      <c r="S6863" s="16" t="s">
        <v>29487</v>
      </c>
      <c r="T6863" s="14" t="s">
        <v>66</v>
      </c>
      <c r="U6863" s="16" t="s">
        <v>42870</v>
      </c>
      <c r="V6863" s="14" t="s">
        <v>114</v>
      </c>
      <c r="W6863" s="14" t="s">
        <v>42867</v>
      </c>
      <c r="X6863" s="17" t="str">
        <f>HYPERLINK("https://my.pitchbook.com?p=355117-96P","View People Online")</f>
        <v>View People Online</v>
      </c>
    </row>
    <row r="6864">
      <c r="A6864" s="10" t="s">
        <v>42894</v>
      </c>
      <c r="B6864" s="10" t="s">
        <v>42895</v>
      </c>
      <c r="C6864" s="10" t="s">
        <v>42896</v>
      </c>
      <c r="D6864" s="10" t="s">
        <v>42897</v>
      </c>
      <c r="E6864" s="10" t="s">
        <v>42867</v>
      </c>
      <c r="F6864" s="10" t="s">
        <v>270</v>
      </c>
      <c r="G6864" s="10" t="s">
        <v>42898</v>
      </c>
      <c r="H6864" s="11" t="s">
        <v>31</v>
      </c>
      <c r="I6864" s="11">
        <v>1.0</v>
      </c>
      <c r="J6864" s="11">
        <v>1.0</v>
      </c>
      <c r="K6864" s="11" t="s">
        <v>31</v>
      </c>
      <c r="L6864" s="12" t="s">
        <v>42869</v>
      </c>
      <c r="M6864" s="10" t="s">
        <v>31</v>
      </c>
      <c r="N6864" s="10" t="s">
        <v>1181</v>
      </c>
      <c r="O6864" s="12" t="s">
        <v>1182</v>
      </c>
      <c r="P6864" s="10" t="s">
        <v>39359</v>
      </c>
      <c r="Q6864" s="10" t="s">
        <v>31</v>
      </c>
      <c r="R6864" s="10" t="s">
        <v>1185</v>
      </c>
      <c r="S6864" s="12" t="s">
        <v>29487</v>
      </c>
      <c r="T6864" s="10" t="s">
        <v>66</v>
      </c>
      <c r="U6864" s="12" t="s">
        <v>42870</v>
      </c>
      <c r="V6864" s="10" t="s">
        <v>27009</v>
      </c>
      <c r="W6864" s="10" t="s">
        <v>42867</v>
      </c>
      <c r="X6864" s="13" t="str">
        <f>HYPERLINK("https://my.pitchbook.com?p=297614-08P","View People Online")</f>
        <v>View People Online</v>
      </c>
    </row>
    <row r="6865">
      <c r="A6865" s="6" t="s">
        <v>42899</v>
      </c>
      <c r="B6865" s="6" t="s">
        <v>42900</v>
      </c>
      <c r="C6865" s="6" t="s">
        <v>23160</v>
      </c>
      <c r="D6865" s="6" t="s">
        <v>6900</v>
      </c>
      <c r="E6865" s="6" t="s">
        <v>42867</v>
      </c>
      <c r="F6865" s="6" t="s">
        <v>270</v>
      </c>
      <c r="G6865" s="6" t="s">
        <v>42901</v>
      </c>
      <c r="H6865" s="7" t="s">
        <v>31</v>
      </c>
      <c r="I6865" s="7">
        <v>7.0</v>
      </c>
      <c r="J6865" s="7">
        <v>2.0</v>
      </c>
      <c r="K6865" s="7">
        <v>4.0</v>
      </c>
      <c r="L6865" s="8" t="s">
        <v>42869</v>
      </c>
      <c r="M6865" s="6" t="s">
        <v>42902</v>
      </c>
      <c r="N6865" s="6" t="s">
        <v>18516</v>
      </c>
      <c r="O6865" s="8" t="s">
        <v>29993</v>
      </c>
      <c r="P6865" s="6" t="s">
        <v>42903</v>
      </c>
      <c r="Q6865" s="6" t="s">
        <v>31</v>
      </c>
      <c r="R6865" s="6" t="s">
        <v>1185</v>
      </c>
      <c r="S6865" s="8" t="s">
        <v>29995</v>
      </c>
      <c r="T6865" s="6" t="s">
        <v>66</v>
      </c>
      <c r="U6865" s="8" t="s">
        <v>31</v>
      </c>
      <c r="V6865" s="6" t="s">
        <v>558</v>
      </c>
      <c r="W6865" s="6" t="s">
        <v>42904</v>
      </c>
      <c r="X6865" s="9" t="str">
        <f>HYPERLINK("https://my.pitchbook.com?p=62947-90P","View People Online")</f>
        <v>View People Online</v>
      </c>
    </row>
    <row r="6866">
      <c r="A6866" s="10" t="s">
        <v>42905</v>
      </c>
      <c r="B6866" s="10" t="s">
        <v>42906</v>
      </c>
      <c r="C6866" s="10" t="s">
        <v>42907</v>
      </c>
      <c r="D6866" s="10" t="s">
        <v>42908</v>
      </c>
      <c r="E6866" s="10" t="s">
        <v>42867</v>
      </c>
      <c r="F6866" s="10" t="s">
        <v>270</v>
      </c>
      <c r="G6866" s="10" t="s">
        <v>42909</v>
      </c>
      <c r="H6866" s="11">
        <v>2.0</v>
      </c>
      <c r="I6866" s="11">
        <v>8.0</v>
      </c>
      <c r="J6866" s="11">
        <v>3.0</v>
      </c>
      <c r="K6866" s="11">
        <v>2.0</v>
      </c>
      <c r="L6866" s="12" t="s">
        <v>42910</v>
      </c>
      <c r="M6866" s="10" t="s">
        <v>42911</v>
      </c>
      <c r="N6866" s="10" t="s">
        <v>10983</v>
      </c>
      <c r="O6866" s="12" t="s">
        <v>37748</v>
      </c>
      <c r="P6866" s="10" t="s">
        <v>42912</v>
      </c>
      <c r="Q6866" s="10" t="s">
        <v>42913</v>
      </c>
      <c r="R6866" s="10" t="s">
        <v>37751</v>
      </c>
      <c r="S6866" s="12" t="s">
        <v>37752</v>
      </c>
      <c r="T6866" s="10" t="s">
        <v>66</v>
      </c>
      <c r="U6866" s="12" t="s">
        <v>31</v>
      </c>
      <c r="V6866" s="10" t="s">
        <v>157</v>
      </c>
      <c r="W6866" s="10" t="s">
        <v>42914</v>
      </c>
      <c r="X6866" s="13" t="str">
        <f>HYPERLINK("https://my.pitchbook.com?p=42728-05P","View People Online")</f>
        <v>View People Online</v>
      </c>
    </row>
    <row r="6867">
      <c r="A6867" s="14" t="s">
        <v>42915</v>
      </c>
      <c r="B6867" s="14" t="s">
        <v>42916</v>
      </c>
      <c r="C6867" s="14" t="s">
        <v>4731</v>
      </c>
      <c r="D6867" s="14" t="s">
        <v>25007</v>
      </c>
      <c r="E6867" s="14" t="s">
        <v>42867</v>
      </c>
      <c r="F6867" s="14" t="s">
        <v>270</v>
      </c>
      <c r="G6867" s="14" t="s">
        <v>42917</v>
      </c>
      <c r="H6867" s="15" t="s">
        <v>31</v>
      </c>
      <c r="I6867" s="15">
        <v>1.0</v>
      </c>
      <c r="J6867" s="15">
        <v>1.0</v>
      </c>
      <c r="K6867" s="15" t="s">
        <v>31</v>
      </c>
      <c r="L6867" s="16" t="s">
        <v>42869</v>
      </c>
      <c r="M6867" s="14" t="s">
        <v>42918</v>
      </c>
      <c r="N6867" s="14" t="s">
        <v>1181</v>
      </c>
      <c r="O6867" s="16" t="s">
        <v>1182</v>
      </c>
      <c r="P6867" s="14" t="s">
        <v>39359</v>
      </c>
      <c r="Q6867" s="14" t="s">
        <v>31</v>
      </c>
      <c r="R6867" s="14" t="s">
        <v>1185</v>
      </c>
      <c r="S6867" s="16" t="s">
        <v>29487</v>
      </c>
      <c r="T6867" s="14" t="s">
        <v>66</v>
      </c>
      <c r="U6867" s="16" t="s">
        <v>42870</v>
      </c>
      <c r="V6867" s="14" t="s">
        <v>27009</v>
      </c>
      <c r="W6867" s="14" t="s">
        <v>42867</v>
      </c>
      <c r="X6867" s="17" t="str">
        <f>HYPERLINK("https://my.pitchbook.com?p=255889-54P","View People Online")</f>
        <v>View People Online</v>
      </c>
    </row>
    <row r="6868">
      <c r="A6868" s="10" t="s">
        <v>42919</v>
      </c>
      <c r="B6868" s="10" t="s">
        <v>42920</v>
      </c>
      <c r="C6868" s="10" t="s">
        <v>4731</v>
      </c>
      <c r="D6868" s="10" t="s">
        <v>42921</v>
      </c>
      <c r="E6868" s="10" t="s">
        <v>42867</v>
      </c>
      <c r="F6868" s="10" t="s">
        <v>270</v>
      </c>
      <c r="G6868" s="10" t="s">
        <v>42922</v>
      </c>
      <c r="H6868" s="11" t="s">
        <v>31</v>
      </c>
      <c r="I6868" s="11">
        <v>1.0</v>
      </c>
      <c r="J6868" s="11">
        <v>1.0</v>
      </c>
      <c r="K6868" s="11" t="s">
        <v>31</v>
      </c>
      <c r="L6868" s="12" t="s">
        <v>42869</v>
      </c>
      <c r="M6868" s="10" t="s">
        <v>31</v>
      </c>
      <c r="N6868" s="10" t="s">
        <v>1181</v>
      </c>
      <c r="O6868" s="12" t="s">
        <v>1182</v>
      </c>
      <c r="P6868" s="10" t="s">
        <v>39359</v>
      </c>
      <c r="Q6868" s="10" t="s">
        <v>31</v>
      </c>
      <c r="R6868" s="10" t="s">
        <v>1185</v>
      </c>
      <c r="S6868" s="12" t="s">
        <v>29487</v>
      </c>
      <c r="T6868" s="10" t="s">
        <v>66</v>
      </c>
      <c r="U6868" s="12" t="s">
        <v>42870</v>
      </c>
      <c r="V6868" s="10" t="s">
        <v>27009</v>
      </c>
      <c r="W6868" s="10" t="s">
        <v>42867</v>
      </c>
      <c r="X6868" s="13" t="str">
        <f>HYPERLINK("https://my.pitchbook.com?p=297616-42P","View People Online")</f>
        <v>View People Online</v>
      </c>
    </row>
    <row r="6869">
      <c r="A6869" s="6" t="s">
        <v>42923</v>
      </c>
      <c r="B6869" s="6" t="s">
        <v>42924</v>
      </c>
      <c r="C6869" s="6" t="s">
        <v>1117</v>
      </c>
      <c r="D6869" s="6" t="s">
        <v>3040</v>
      </c>
      <c r="E6869" s="6" t="s">
        <v>42867</v>
      </c>
      <c r="F6869" s="6" t="s">
        <v>270</v>
      </c>
      <c r="G6869" s="6" t="s">
        <v>42925</v>
      </c>
      <c r="H6869" s="7" t="s">
        <v>31</v>
      </c>
      <c r="I6869" s="7">
        <v>2.0</v>
      </c>
      <c r="J6869" s="7">
        <v>1.0</v>
      </c>
      <c r="K6869" s="7" t="s">
        <v>31</v>
      </c>
      <c r="L6869" s="8" t="s">
        <v>31</v>
      </c>
      <c r="M6869" s="6" t="s">
        <v>31</v>
      </c>
      <c r="N6869" s="6" t="s">
        <v>6669</v>
      </c>
      <c r="O6869" s="8" t="s">
        <v>6670</v>
      </c>
      <c r="P6869" s="6" t="s">
        <v>6671</v>
      </c>
      <c r="Q6869" s="6" t="s">
        <v>7094</v>
      </c>
      <c r="R6869" s="6" t="s">
        <v>1185</v>
      </c>
      <c r="S6869" s="8" t="s">
        <v>6672</v>
      </c>
      <c r="T6869" s="6" t="s">
        <v>66</v>
      </c>
      <c r="U6869" s="8" t="s">
        <v>31</v>
      </c>
      <c r="V6869" s="6" t="s">
        <v>302</v>
      </c>
      <c r="W6869" s="6" t="s">
        <v>42926</v>
      </c>
      <c r="X6869" s="9" t="str">
        <f>HYPERLINK("https://my.pitchbook.com?p=204958-63P","View People Online")</f>
        <v>View People Online</v>
      </c>
    </row>
    <row r="6870">
      <c r="A6870" s="2" t="s">
        <v>42927</v>
      </c>
      <c r="B6870" s="2" t="s">
        <v>34690</v>
      </c>
      <c r="C6870" s="2" t="s">
        <v>1117</v>
      </c>
      <c r="D6870" s="2" t="s">
        <v>34691</v>
      </c>
      <c r="E6870" s="2" t="s">
        <v>42867</v>
      </c>
      <c r="F6870" s="2" t="s">
        <v>114</v>
      </c>
      <c r="G6870" s="2" t="s">
        <v>42928</v>
      </c>
      <c r="H6870" s="3" t="s">
        <v>31</v>
      </c>
      <c r="I6870" s="3">
        <v>1.0</v>
      </c>
      <c r="J6870" s="3">
        <v>1.0</v>
      </c>
      <c r="K6870" s="3" t="s">
        <v>31</v>
      </c>
      <c r="L6870" s="4" t="s">
        <v>42869</v>
      </c>
      <c r="M6870" s="2" t="s">
        <v>31</v>
      </c>
      <c r="N6870" s="2" t="s">
        <v>1181</v>
      </c>
      <c r="O6870" s="4" t="s">
        <v>1182</v>
      </c>
      <c r="P6870" s="2" t="s">
        <v>39359</v>
      </c>
      <c r="Q6870" s="2" t="s">
        <v>31</v>
      </c>
      <c r="R6870" s="2" t="s">
        <v>1185</v>
      </c>
      <c r="S6870" s="4" t="s">
        <v>29487</v>
      </c>
      <c r="T6870" s="2" t="s">
        <v>66</v>
      </c>
      <c r="U6870" s="4" t="s">
        <v>42870</v>
      </c>
      <c r="V6870" s="2" t="s">
        <v>114</v>
      </c>
      <c r="W6870" s="2" t="s">
        <v>42867</v>
      </c>
      <c r="X6870" s="5" t="str">
        <f>HYPERLINK("https://my.pitchbook.com?p=286699-51P","View People Online")</f>
        <v>View People Online</v>
      </c>
    </row>
    <row r="6871">
      <c r="A6871" s="14" t="s">
        <v>42929</v>
      </c>
      <c r="B6871" s="14" t="s">
        <v>42930</v>
      </c>
      <c r="C6871" s="14" t="s">
        <v>14249</v>
      </c>
      <c r="D6871" s="14" t="s">
        <v>42931</v>
      </c>
      <c r="E6871" s="14" t="s">
        <v>42867</v>
      </c>
      <c r="F6871" s="14" t="s">
        <v>81</v>
      </c>
      <c r="G6871" s="14" t="s">
        <v>42932</v>
      </c>
      <c r="H6871" s="15" t="s">
        <v>31</v>
      </c>
      <c r="I6871" s="15">
        <v>2.0</v>
      </c>
      <c r="J6871" s="15" t="s">
        <v>31</v>
      </c>
      <c r="K6871" s="15" t="s">
        <v>31</v>
      </c>
      <c r="L6871" s="16" t="s">
        <v>42869</v>
      </c>
      <c r="M6871" s="14" t="s">
        <v>31</v>
      </c>
      <c r="N6871" s="14" t="s">
        <v>1181</v>
      </c>
      <c r="O6871" s="16" t="s">
        <v>1182</v>
      </c>
      <c r="P6871" s="14" t="s">
        <v>39359</v>
      </c>
      <c r="Q6871" s="14" t="s">
        <v>31</v>
      </c>
      <c r="R6871" s="14" t="s">
        <v>1185</v>
      </c>
      <c r="S6871" s="16" t="s">
        <v>29487</v>
      </c>
      <c r="T6871" s="14" t="s">
        <v>66</v>
      </c>
      <c r="U6871" s="16" t="s">
        <v>42870</v>
      </c>
      <c r="V6871" s="14" t="s">
        <v>27009</v>
      </c>
      <c r="W6871" s="14" t="s">
        <v>42867</v>
      </c>
      <c r="X6871" s="17" t="str">
        <f>HYPERLINK("https://my.pitchbook.com?p=44289-82P","View People Online")</f>
        <v>View People Online</v>
      </c>
    </row>
    <row r="6872">
      <c r="A6872" s="10" t="s">
        <v>42933</v>
      </c>
      <c r="B6872" s="10" t="s">
        <v>42934</v>
      </c>
      <c r="C6872" s="10" t="s">
        <v>10383</v>
      </c>
      <c r="D6872" s="10" t="s">
        <v>28504</v>
      </c>
      <c r="E6872" s="10" t="s">
        <v>42867</v>
      </c>
      <c r="F6872" s="10" t="s">
        <v>270</v>
      </c>
      <c r="G6872" s="10" t="s">
        <v>42935</v>
      </c>
      <c r="H6872" s="11" t="s">
        <v>31</v>
      </c>
      <c r="I6872" s="11">
        <v>1.0</v>
      </c>
      <c r="J6872" s="11">
        <v>1.0</v>
      </c>
      <c r="K6872" s="11" t="s">
        <v>31</v>
      </c>
      <c r="L6872" s="12" t="s">
        <v>42869</v>
      </c>
      <c r="M6872" s="10" t="s">
        <v>42936</v>
      </c>
      <c r="N6872" s="10" t="s">
        <v>1181</v>
      </c>
      <c r="O6872" s="12" t="s">
        <v>1182</v>
      </c>
      <c r="P6872" s="10" t="s">
        <v>39359</v>
      </c>
      <c r="Q6872" s="10" t="s">
        <v>31</v>
      </c>
      <c r="R6872" s="10" t="s">
        <v>1185</v>
      </c>
      <c r="S6872" s="12" t="s">
        <v>29487</v>
      </c>
      <c r="T6872" s="10" t="s">
        <v>66</v>
      </c>
      <c r="U6872" s="12" t="s">
        <v>42870</v>
      </c>
      <c r="V6872" s="10" t="s">
        <v>27009</v>
      </c>
      <c r="W6872" s="10" t="s">
        <v>42867</v>
      </c>
      <c r="X6872" s="13" t="str">
        <f>HYPERLINK("https://my.pitchbook.com?p=297609-58P","View People Online")</f>
        <v>View People Online</v>
      </c>
    </row>
    <row r="6873">
      <c r="A6873" s="14" t="s">
        <v>42937</v>
      </c>
      <c r="B6873" s="14" t="s">
        <v>42938</v>
      </c>
      <c r="C6873" s="14" t="s">
        <v>10383</v>
      </c>
      <c r="D6873" s="14" t="s">
        <v>42939</v>
      </c>
      <c r="E6873" s="14" t="s">
        <v>42867</v>
      </c>
      <c r="F6873" s="14" t="s">
        <v>81</v>
      </c>
      <c r="G6873" s="14" t="s">
        <v>42940</v>
      </c>
      <c r="H6873" s="15" t="s">
        <v>31</v>
      </c>
      <c r="I6873" s="15">
        <v>1.0</v>
      </c>
      <c r="J6873" s="15" t="s">
        <v>31</v>
      </c>
      <c r="K6873" s="15" t="s">
        <v>31</v>
      </c>
      <c r="L6873" s="16" t="s">
        <v>42869</v>
      </c>
      <c r="M6873" s="14" t="s">
        <v>31</v>
      </c>
      <c r="N6873" s="14" t="s">
        <v>1181</v>
      </c>
      <c r="O6873" s="16" t="s">
        <v>1182</v>
      </c>
      <c r="P6873" s="14" t="s">
        <v>39359</v>
      </c>
      <c r="Q6873" s="14" t="s">
        <v>31</v>
      </c>
      <c r="R6873" s="14" t="s">
        <v>1185</v>
      </c>
      <c r="S6873" s="16" t="s">
        <v>29487</v>
      </c>
      <c r="T6873" s="14" t="s">
        <v>66</v>
      </c>
      <c r="U6873" s="16" t="s">
        <v>42870</v>
      </c>
      <c r="V6873" s="14" t="s">
        <v>27009</v>
      </c>
      <c r="W6873" s="14" t="s">
        <v>42867</v>
      </c>
      <c r="X6873" s="17" t="str">
        <f>HYPERLINK("https://my.pitchbook.com?p=232246-09P","View People Online")</f>
        <v>View People Online</v>
      </c>
    </row>
    <row r="6874">
      <c r="A6874" s="2" t="s">
        <v>42941</v>
      </c>
      <c r="B6874" s="2" t="s">
        <v>42942</v>
      </c>
      <c r="C6874" s="2" t="s">
        <v>42943</v>
      </c>
      <c r="D6874" s="2" t="s">
        <v>42944</v>
      </c>
      <c r="E6874" s="2" t="s">
        <v>42867</v>
      </c>
      <c r="F6874" s="2" t="s">
        <v>270</v>
      </c>
      <c r="G6874" s="2" t="s">
        <v>42945</v>
      </c>
      <c r="H6874" s="3" t="s">
        <v>31</v>
      </c>
      <c r="I6874" s="3">
        <v>1.0</v>
      </c>
      <c r="J6874" s="3">
        <v>1.0</v>
      </c>
      <c r="K6874" s="3" t="s">
        <v>31</v>
      </c>
      <c r="L6874" s="4" t="s">
        <v>42869</v>
      </c>
      <c r="M6874" s="2" t="s">
        <v>31</v>
      </c>
      <c r="N6874" s="2" t="s">
        <v>1181</v>
      </c>
      <c r="O6874" s="4" t="s">
        <v>1182</v>
      </c>
      <c r="P6874" s="2" t="s">
        <v>39359</v>
      </c>
      <c r="Q6874" s="2" t="s">
        <v>31</v>
      </c>
      <c r="R6874" s="2" t="s">
        <v>1185</v>
      </c>
      <c r="S6874" s="4" t="s">
        <v>29487</v>
      </c>
      <c r="T6874" s="2" t="s">
        <v>66</v>
      </c>
      <c r="U6874" s="4" t="s">
        <v>42870</v>
      </c>
      <c r="V6874" s="2" t="s">
        <v>27009</v>
      </c>
      <c r="W6874" s="2" t="s">
        <v>42867</v>
      </c>
      <c r="X6874" s="5" t="str">
        <f>HYPERLINK("https://my.pitchbook.com?p=297620-56P","View People Online")</f>
        <v>View People Online</v>
      </c>
    </row>
    <row r="6875">
      <c r="A6875" s="6" t="s">
        <v>42946</v>
      </c>
      <c r="B6875" s="6" t="s">
        <v>42947</v>
      </c>
      <c r="C6875" s="6" t="s">
        <v>42948</v>
      </c>
      <c r="D6875" s="6" t="s">
        <v>42949</v>
      </c>
      <c r="E6875" s="6" t="s">
        <v>42867</v>
      </c>
      <c r="F6875" s="6" t="s">
        <v>114</v>
      </c>
      <c r="G6875" s="6" t="s">
        <v>42950</v>
      </c>
      <c r="H6875" s="7" t="s">
        <v>31</v>
      </c>
      <c r="I6875" s="7">
        <v>1.0</v>
      </c>
      <c r="J6875" s="7">
        <v>1.0</v>
      </c>
      <c r="K6875" s="7" t="s">
        <v>31</v>
      </c>
      <c r="L6875" s="8" t="s">
        <v>42869</v>
      </c>
      <c r="M6875" s="6" t="s">
        <v>31</v>
      </c>
      <c r="N6875" s="6" t="s">
        <v>1181</v>
      </c>
      <c r="O6875" s="8" t="s">
        <v>1182</v>
      </c>
      <c r="P6875" s="6" t="s">
        <v>39359</v>
      </c>
      <c r="Q6875" s="6" t="s">
        <v>31</v>
      </c>
      <c r="R6875" s="6" t="s">
        <v>1185</v>
      </c>
      <c r="S6875" s="8" t="s">
        <v>29487</v>
      </c>
      <c r="T6875" s="6" t="s">
        <v>66</v>
      </c>
      <c r="U6875" s="8" t="s">
        <v>42870</v>
      </c>
      <c r="V6875" s="6" t="s">
        <v>114</v>
      </c>
      <c r="W6875" s="6" t="s">
        <v>42867</v>
      </c>
      <c r="X6875" s="9" t="str">
        <f>HYPERLINK("https://my.pitchbook.com?p=345457-81P","View People Online")</f>
        <v>View People Online</v>
      </c>
    </row>
    <row r="6876">
      <c r="A6876" s="10" t="s">
        <v>42951</v>
      </c>
      <c r="B6876" s="10" t="s">
        <v>42952</v>
      </c>
      <c r="C6876" s="10" t="s">
        <v>42953</v>
      </c>
      <c r="D6876" s="10" t="s">
        <v>42954</v>
      </c>
      <c r="E6876" s="10" t="s">
        <v>42867</v>
      </c>
      <c r="F6876" s="10" t="s">
        <v>270</v>
      </c>
      <c r="G6876" s="10" t="s">
        <v>42955</v>
      </c>
      <c r="H6876" s="11" t="s">
        <v>31</v>
      </c>
      <c r="I6876" s="11">
        <v>1.0</v>
      </c>
      <c r="J6876" s="11">
        <v>1.0</v>
      </c>
      <c r="K6876" s="11" t="s">
        <v>31</v>
      </c>
      <c r="L6876" s="12" t="s">
        <v>42869</v>
      </c>
      <c r="M6876" s="10" t="s">
        <v>31</v>
      </c>
      <c r="N6876" s="10" t="s">
        <v>1181</v>
      </c>
      <c r="O6876" s="12" t="s">
        <v>1182</v>
      </c>
      <c r="P6876" s="10" t="s">
        <v>39359</v>
      </c>
      <c r="Q6876" s="10" t="s">
        <v>31</v>
      </c>
      <c r="R6876" s="10" t="s">
        <v>1185</v>
      </c>
      <c r="S6876" s="12" t="s">
        <v>29487</v>
      </c>
      <c r="T6876" s="10" t="s">
        <v>66</v>
      </c>
      <c r="U6876" s="12" t="s">
        <v>42870</v>
      </c>
      <c r="V6876" s="10" t="s">
        <v>27009</v>
      </c>
      <c r="W6876" s="10" t="s">
        <v>42867</v>
      </c>
      <c r="X6876" s="13" t="str">
        <f>HYPERLINK("https://my.pitchbook.com?p=297623-17P","View People Online")</f>
        <v>View People Online</v>
      </c>
    </row>
    <row r="6877">
      <c r="A6877" s="14" t="s">
        <v>42956</v>
      </c>
      <c r="B6877" s="14" t="s">
        <v>42957</v>
      </c>
      <c r="C6877" s="14" t="s">
        <v>27913</v>
      </c>
      <c r="D6877" s="14" t="s">
        <v>5240</v>
      </c>
      <c r="E6877" s="14" t="s">
        <v>42867</v>
      </c>
      <c r="F6877" s="14" t="s">
        <v>270</v>
      </c>
      <c r="G6877" s="14" t="s">
        <v>42958</v>
      </c>
      <c r="H6877" s="15" t="s">
        <v>31</v>
      </c>
      <c r="I6877" s="15">
        <v>1.0</v>
      </c>
      <c r="J6877" s="15">
        <v>1.0</v>
      </c>
      <c r="K6877" s="15" t="s">
        <v>31</v>
      </c>
      <c r="L6877" s="16" t="s">
        <v>42959</v>
      </c>
      <c r="M6877" s="14" t="s">
        <v>31</v>
      </c>
      <c r="N6877" s="14" t="s">
        <v>1181</v>
      </c>
      <c r="O6877" s="16" t="s">
        <v>1182</v>
      </c>
      <c r="P6877" s="14" t="s">
        <v>39359</v>
      </c>
      <c r="Q6877" s="14" t="s">
        <v>31</v>
      </c>
      <c r="R6877" s="14" t="s">
        <v>1185</v>
      </c>
      <c r="S6877" s="16" t="s">
        <v>29487</v>
      </c>
      <c r="T6877" s="14" t="s">
        <v>66</v>
      </c>
      <c r="U6877" s="16" t="s">
        <v>42870</v>
      </c>
      <c r="V6877" s="14" t="s">
        <v>27009</v>
      </c>
      <c r="W6877" s="14" t="s">
        <v>42867</v>
      </c>
      <c r="X6877" s="17" t="str">
        <f>HYPERLINK("https://my.pitchbook.com?p=103150-09P","View People Online")</f>
        <v>View People Online</v>
      </c>
    </row>
    <row r="6878">
      <c r="A6878" s="2" t="s">
        <v>42960</v>
      </c>
      <c r="B6878" s="2" t="s">
        <v>42961</v>
      </c>
      <c r="C6878" s="2" t="s">
        <v>7252</v>
      </c>
      <c r="D6878" s="2" t="s">
        <v>42962</v>
      </c>
      <c r="E6878" s="2" t="s">
        <v>42867</v>
      </c>
      <c r="F6878" s="2" t="s">
        <v>81</v>
      </c>
      <c r="G6878" s="2" t="s">
        <v>42963</v>
      </c>
      <c r="H6878" s="3" t="s">
        <v>31</v>
      </c>
      <c r="I6878" s="3">
        <v>1.0</v>
      </c>
      <c r="J6878" s="3" t="s">
        <v>31</v>
      </c>
      <c r="K6878" s="3" t="s">
        <v>31</v>
      </c>
      <c r="L6878" s="4" t="s">
        <v>42869</v>
      </c>
      <c r="M6878" s="2" t="s">
        <v>31</v>
      </c>
      <c r="N6878" s="2" t="s">
        <v>1181</v>
      </c>
      <c r="O6878" s="4" t="s">
        <v>1182</v>
      </c>
      <c r="P6878" s="2" t="s">
        <v>39359</v>
      </c>
      <c r="Q6878" s="2" t="s">
        <v>31</v>
      </c>
      <c r="R6878" s="2" t="s">
        <v>1185</v>
      </c>
      <c r="S6878" s="4" t="s">
        <v>29487</v>
      </c>
      <c r="T6878" s="2" t="s">
        <v>66</v>
      </c>
      <c r="U6878" s="4" t="s">
        <v>42870</v>
      </c>
      <c r="V6878" s="2" t="s">
        <v>27009</v>
      </c>
      <c r="W6878" s="2" t="s">
        <v>42867</v>
      </c>
      <c r="X6878" s="5" t="str">
        <f>HYPERLINK("https://my.pitchbook.com?p=104327-29P","View People Online")</f>
        <v>View People Online</v>
      </c>
    </row>
    <row r="6879">
      <c r="A6879" s="14" t="s">
        <v>42964</v>
      </c>
      <c r="B6879" s="14" t="s">
        <v>42965</v>
      </c>
      <c r="C6879" s="14" t="s">
        <v>4851</v>
      </c>
      <c r="D6879" s="14" t="s">
        <v>42966</v>
      </c>
      <c r="E6879" s="14" t="s">
        <v>42867</v>
      </c>
      <c r="F6879" s="14" t="s">
        <v>270</v>
      </c>
      <c r="G6879" s="14" t="s">
        <v>42967</v>
      </c>
      <c r="H6879" s="15">
        <v>1.0</v>
      </c>
      <c r="I6879" s="15">
        <v>2.0</v>
      </c>
      <c r="J6879" s="15">
        <v>2.0</v>
      </c>
      <c r="K6879" s="15" t="s">
        <v>31</v>
      </c>
      <c r="L6879" s="16" t="s">
        <v>42968</v>
      </c>
      <c r="M6879" s="14" t="s">
        <v>42969</v>
      </c>
      <c r="N6879" s="14" t="s">
        <v>155</v>
      </c>
      <c r="O6879" s="16" t="s">
        <v>156</v>
      </c>
      <c r="P6879" s="14" t="s">
        <v>42970</v>
      </c>
      <c r="Q6879" s="14" t="s">
        <v>42971</v>
      </c>
      <c r="R6879" s="14" t="s">
        <v>64</v>
      </c>
      <c r="S6879" s="16" t="s">
        <v>2463</v>
      </c>
      <c r="T6879" s="14" t="s">
        <v>66</v>
      </c>
      <c r="U6879" s="16" t="s">
        <v>31</v>
      </c>
      <c r="V6879" s="14" t="s">
        <v>42972</v>
      </c>
      <c r="W6879" s="14" t="s">
        <v>42973</v>
      </c>
      <c r="X6879" s="17" t="str">
        <f>HYPERLINK("https://my.pitchbook.com?p=44186-14P","View People Online")</f>
        <v>View People Online</v>
      </c>
    </row>
    <row r="6880">
      <c r="A6880" s="2" t="s">
        <v>42974</v>
      </c>
      <c r="B6880" s="2" t="s">
        <v>42975</v>
      </c>
      <c r="C6880" s="2" t="s">
        <v>6606</v>
      </c>
      <c r="D6880" s="2" t="s">
        <v>42976</v>
      </c>
      <c r="E6880" s="2" t="s">
        <v>42867</v>
      </c>
      <c r="F6880" s="2" t="s">
        <v>270</v>
      </c>
      <c r="G6880" s="2" t="s">
        <v>42977</v>
      </c>
      <c r="H6880" s="3" t="s">
        <v>31</v>
      </c>
      <c r="I6880" s="3">
        <v>1.0</v>
      </c>
      <c r="J6880" s="3">
        <v>1.0</v>
      </c>
      <c r="K6880" s="3" t="s">
        <v>31</v>
      </c>
      <c r="L6880" s="4" t="s">
        <v>42869</v>
      </c>
      <c r="M6880" s="2" t="s">
        <v>31</v>
      </c>
      <c r="N6880" s="2" t="s">
        <v>1181</v>
      </c>
      <c r="O6880" s="4" t="s">
        <v>1182</v>
      </c>
      <c r="P6880" s="2" t="s">
        <v>39359</v>
      </c>
      <c r="Q6880" s="2" t="s">
        <v>31</v>
      </c>
      <c r="R6880" s="2" t="s">
        <v>1185</v>
      </c>
      <c r="S6880" s="4" t="s">
        <v>29487</v>
      </c>
      <c r="T6880" s="2" t="s">
        <v>66</v>
      </c>
      <c r="U6880" s="4" t="s">
        <v>42870</v>
      </c>
      <c r="V6880" s="2" t="s">
        <v>27009</v>
      </c>
      <c r="W6880" s="2" t="s">
        <v>42867</v>
      </c>
      <c r="X6880" s="5" t="str">
        <f>HYPERLINK("https://my.pitchbook.com?p=297629-92P","View People Online")</f>
        <v>View People Online</v>
      </c>
    </row>
    <row r="6881">
      <c r="A6881" s="14" t="s">
        <v>42978</v>
      </c>
      <c r="B6881" s="14" t="s">
        <v>42979</v>
      </c>
      <c r="C6881" s="14" t="s">
        <v>724</v>
      </c>
      <c r="D6881" s="14" t="s">
        <v>42980</v>
      </c>
      <c r="E6881" s="14" t="s">
        <v>42867</v>
      </c>
      <c r="F6881" s="14" t="s">
        <v>270</v>
      </c>
      <c r="G6881" s="14" t="s">
        <v>42981</v>
      </c>
      <c r="H6881" s="15" t="s">
        <v>31</v>
      </c>
      <c r="I6881" s="15">
        <v>2.0</v>
      </c>
      <c r="J6881" s="15">
        <v>2.0</v>
      </c>
      <c r="K6881" s="15" t="s">
        <v>31</v>
      </c>
      <c r="L6881" s="16" t="s">
        <v>42982</v>
      </c>
      <c r="M6881" s="14" t="s">
        <v>42983</v>
      </c>
      <c r="N6881" s="14" t="s">
        <v>1181</v>
      </c>
      <c r="O6881" s="16" t="s">
        <v>1182</v>
      </c>
      <c r="P6881" s="14" t="s">
        <v>42984</v>
      </c>
      <c r="Q6881" s="14" t="s">
        <v>31</v>
      </c>
      <c r="R6881" s="14" t="s">
        <v>1185</v>
      </c>
      <c r="S6881" s="16" t="s">
        <v>10902</v>
      </c>
      <c r="T6881" s="14" t="s">
        <v>66</v>
      </c>
      <c r="U6881" s="16" t="s">
        <v>31</v>
      </c>
      <c r="V6881" s="14" t="s">
        <v>318</v>
      </c>
      <c r="W6881" s="14" t="s">
        <v>42985</v>
      </c>
      <c r="X6881" s="17" t="str">
        <f>HYPERLINK("https://my.pitchbook.com?p=192115-90P","View People Online")</f>
        <v>View People Online</v>
      </c>
    </row>
    <row r="6882">
      <c r="A6882" s="10" t="s">
        <v>42986</v>
      </c>
      <c r="B6882" s="10" t="s">
        <v>42987</v>
      </c>
      <c r="C6882" s="10" t="s">
        <v>1426</v>
      </c>
      <c r="D6882" s="10" t="s">
        <v>11287</v>
      </c>
      <c r="E6882" s="10" t="s">
        <v>42867</v>
      </c>
      <c r="F6882" s="10" t="s">
        <v>270</v>
      </c>
      <c r="G6882" s="10" t="s">
        <v>42988</v>
      </c>
      <c r="H6882" s="11" t="s">
        <v>31</v>
      </c>
      <c r="I6882" s="11">
        <v>1.0</v>
      </c>
      <c r="J6882" s="11">
        <v>1.0</v>
      </c>
      <c r="K6882" s="11" t="s">
        <v>31</v>
      </c>
      <c r="L6882" s="12" t="s">
        <v>42869</v>
      </c>
      <c r="M6882" s="10" t="s">
        <v>31</v>
      </c>
      <c r="N6882" s="10" t="s">
        <v>1181</v>
      </c>
      <c r="O6882" s="12" t="s">
        <v>1182</v>
      </c>
      <c r="P6882" s="10" t="s">
        <v>39359</v>
      </c>
      <c r="Q6882" s="10" t="s">
        <v>31</v>
      </c>
      <c r="R6882" s="10" t="s">
        <v>1185</v>
      </c>
      <c r="S6882" s="12" t="s">
        <v>29487</v>
      </c>
      <c r="T6882" s="10" t="s">
        <v>66</v>
      </c>
      <c r="U6882" s="12" t="s">
        <v>42870</v>
      </c>
      <c r="V6882" s="10" t="s">
        <v>27009</v>
      </c>
      <c r="W6882" s="10" t="s">
        <v>42867</v>
      </c>
      <c r="X6882" s="13" t="str">
        <f>HYPERLINK("https://my.pitchbook.com?p=43309-36P","View People Online")</f>
        <v>View People Online</v>
      </c>
    </row>
    <row r="6883">
      <c r="A6883" s="6" t="s">
        <v>42989</v>
      </c>
      <c r="B6883" s="6" t="s">
        <v>42990</v>
      </c>
      <c r="C6883" s="6" t="s">
        <v>1426</v>
      </c>
      <c r="D6883" s="6" t="s">
        <v>42991</v>
      </c>
      <c r="E6883" s="6" t="s">
        <v>42867</v>
      </c>
      <c r="F6883" s="6" t="s">
        <v>270</v>
      </c>
      <c r="G6883" s="6" t="s">
        <v>42992</v>
      </c>
      <c r="H6883" s="7" t="s">
        <v>31</v>
      </c>
      <c r="I6883" s="7">
        <v>2.0</v>
      </c>
      <c r="J6883" s="7">
        <v>2.0</v>
      </c>
      <c r="K6883" s="7" t="s">
        <v>31</v>
      </c>
      <c r="L6883" s="8" t="s">
        <v>42993</v>
      </c>
      <c r="M6883" s="6" t="s">
        <v>42994</v>
      </c>
      <c r="N6883" s="6" t="s">
        <v>1181</v>
      </c>
      <c r="O6883" s="8" t="s">
        <v>1182</v>
      </c>
      <c r="P6883" s="6" t="s">
        <v>28298</v>
      </c>
      <c r="Q6883" s="6" t="s">
        <v>31</v>
      </c>
      <c r="R6883" s="6" t="s">
        <v>1185</v>
      </c>
      <c r="S6883" s="8" t="s">
        <v>29487</v>
      </c>
      <c r="T6883" s="6" t="s">
        <v>66</v>
      </c>
      <c r="U6883" s="8" t="s">
        <v>31</v>
      </c>
      <c r="V6883" s="6" t="s">
        <v>42995</v>
      </c>
      <c r="W6883" s="6" t="s">
        <v>42996</v>
      </c>
      <c r="X6883" s="9" t="str">
        <f>HYPERLINK("https://my.pitchbook.com?p=297633-61P","View People Online")</f>
        <v>View People Online</v>
      </c>
    </row>
    <row r="6884">
      <c r="A6884" s="2" t="s">
        <v>42997</v>
      </c>
      <c r="B6884" s="2" t="s">
        <v>42998</v>
      </c>
      <c r="C6884" s="2" t="s">
        <v>4248</v>
      </c>
      <c r="D6884" s="2" t="s">
        <v>42999</v>
      </c>
      <c r="E6884" s="2" t="s">
        <v>42867</v>
      </c>
      <c r="F6884" s="2" t="s">
        <v>916</v>
      </c>
      <c r="G6884" s="2" t="s">
        <v>43000</v>
      </c>
      <c r="H6884" s="3" t="s">
        <v>31</v>
      </c>
      <c r="I6884" s="3">
        <v>1.0</v>
      </c>
      <c r="J6884" s="3">
        <v>1.0</v>
      </c>
      <c r="K6884" s="3" t="s">
        <v>31</v>
      </c>
      <c r="L6884" s="4" t="s">
        <v>42869</v>
      </c>
      <c r="M6884" s="2" t="s">
        <v>43001</v>
      </c>
      <c r="N6884" s="2" t="s">
        <v>1181</v>
      </c>
      <c r="O6884" s="4" t="s">
        <v>1182</v>
      </c>
      <c r="P6884" s="2" t="s">
        <v>39359</v>
      </c>
      <c r="Q6884" s="2" t="s">
        <v>31</v>
      </c>
      <c r="R6884" s="2" t="s">
        <v>1185</v>
      </c>
      <c r="S6884" s="4" t="s">
        <v>29487</v>
      </c>
      <c r="T6884" s="2" t="s">
        <v>66</v>
      </c>
      <c r="U6884" s="4" t="s">
        <v>42870</v>
      </c>
      <c r="V6884" s="2" t="s">
        <v>916</v>
      </c>
      <c r="W6884" s="2" t="s">
        <v>42867</v>
      </c>
      <c r="X6884" s="5" t="str">
        <f>HYPERLINK("https://my.pitchbook.com?p=297608-68P","View People Online")</f>
        <v>View People Online</v>
      </c>
    </row>
    <row r="6885">
      <c r="A6885" s="6" t="s">
        <v>43002</v>
      </c>
      <c r="B6885" s="6" t="s">
        <v>43003</v>
      </c>
      <c r="C6885" s="6" t="s">
        <v>323</v>
      </c>
      <c r="D6885" s="6" t="s">
        <v>43004</v>
      </c>
      <c r="E6885" s="6" t="s">
        <v>42867</v>
      </c>
      <c r="F6885" s="6" t="s">
        <v>114</v>
      </c>
      <c r="G6885" s="6" t="s">
        <v>43005</v>
      </c>
      <c r="H6885" s="7">
        <v>2.0</v>
      </c>
      <c r="I6885" s="7">
        <v>9.0</v>
      </c>
      <c r="J6885" s="7">
        <v>1.0</v>
      </c>
      <c r="K6885" s="7">
        <v>6.0</v>
      </c>
      <c r="L6885" s="8" t="s">
        <v>43006</v>
      </c>
      <c r="M6885" s="6" t="s">
        <v>43007</v>
      </c>
      <c r="N6885" s="6" t="s">
        <v>75</v>
      </c>
      <c r="O6885" s="8" t="s">
        <v>76</v>
      </c>
      <c r="P6885" s="6" t="s">
        <v>43008</v>
      </c>
      <c r="Q6885" s="6" t="s">
        <v>43009</v>
      </c>
      <c r="R6885" s="6" t="s">
        <v>75</v>
      </c>
      <c r="S6885" s="8" t="s">
        <v>3795</v>
      </c>
      <c r="T6885" s="6" t="s">
        <v>66</v>
      </c>
      <c r="U6885" s="8" t="s">
        <v>31</v>
      </c>
      <c r="V6885" s="6" t="s">
        <v>2379</v>
      </c>
      <c r="W6885" s="6" t="s">
        <v>43010</v>
      </c>
      <c r="X6885" s="9" t="str">
        <f>HYPERLINK("https://my.pitchbook.com?p=174561-49P","View People Online")</f>
        <v>View People Online</v>
      </c>
    </row>
    <row r="6886">
      <c r="A6886" s="10" t="s">
        <v>43011</v>
      </c>
      <c r="B6886" s="10" t="s">
        <v>43012</v>
      </c>
      <c r="C6886" s="10" t="s">
        <v>14677</v>
      </c>
      <c r="D6886" s="10" t="s">
        <v>43013</v>
      </c>
      <c r="E6886" s="10" t="s">
        <v>42867</v>
      </c>
      <c r="F6886" s="10" t="s">
        <v>114</v>
      </c>
      <c r="G6886" s="10" t="s">
        <v>43014</v>
      </c>
      <c r="H6886" s="11" t="s">
        <v>31</v>
      </c>
      <c r="I6886" s="11">
        <v>5.0</v>
      </c>
      <c r="J6886" s="11">
        <v>3.0</v>
      </c>
      <c r="K6886" s="11">
        <v>1.0</v>
      </c>
      <c r="L6886" s="12" t="s">
        <v>43015</v>
      </c>
      <c r="M6886" s="10" t="s">
        <v>43016</v>
      </c>
      <c r="N6886" s="10" t="s">
        <v>26132</v>
      </c>
      <c r="O6886" s="12" t="s">
        <v>43017</v>
      </c>
      <c r="P6886" s="10" t="s">
        <v>43018</v>
      </c>
      <c r="Q6886" s="10" t="s">
        <v>43019</v>
      </c>
      <c r="R6886" s="10" t="s">
        <v>1185</v>
      </c>
      <c r="S6886" s="12" t="s">
        <v>43020</v>
      </c>
      <c r="T6886" s="10" t="s">
        <v>66</v>
      </c>
      <c r="U6886" s="12" t="s">
        <v>31</v>
      </c>
      <c r="V6886" s="10" t="s">
        <v>43021</v>
      </c>
      <c r="W6886" s="10" t="s">
        <v>43022</v>
      </c>
      <c r="X6886" s="13" t="str">
        <f>HYPERLINK("https://my.pitchbook.com?p=48922-21P","View People Online")</f>
        <v>View People Online</v>
      </c>
    </row>
    <row r="6887">
      <c r="A6887" s="14" t="s">
        <v>43023</v>
      </c>
      <c r="B6887" s="14" t="s">
        <v>43024</v>
      </c>
      <c r="C6887" s="14" t="s">
        <v>27458</v>
      </c>
      <c r="D6887" s="14" t="s">
        <v>43025</v>
      </c>
      <c r="E6887" s="14" t="s">
        <v>42867</v>
      </c>
      <c r="F6887" s="14" t="s">
        <v>152</v>
      </c>
      <c r="G6887" s="14" t="s">
        <v>43026</v>
      </c>
      <c r="H6887" s="15" t="s">
        <v>31</v>
      </c>
      <c r="I6887" s="15">
        <v>10.0</v>
      </c>
      <c r="J6887" s="15">
        <v>4.0</v>
      </c>
      <c r="K6887" s="15">
        <v>5.0</v>
      </c>
      <c r="L6887" s="16" t="s">
        <v>43027</v>
      </c>
      <c r="M6887" s="14" t="s">
        <v>43028</v>
      </c>
      <c r="N6887" s="14" t="s">
        <v>75</v>
      </c>
      <c r="O6887" s="16" t="s">
        <v>76</v>
      </c>
      <c r="P6887" s="14" t="s">
        <v>43029</v>
      </c>
      <c r="Q6887" s="14" t="s">
        <v>29446</v>
      </c>
      <c r="R6887" s="14" t="s">
        <v>75</v>
      </c>
      <c r="S6887" s="16" t="s">
        <v>3795</v>
      </c>
      <c r="T6887" s="14" t="s">
        <v>66</v>
      </c>
      <c r="U6887" s="16" t="s">
        <v>31</v>
      </c>
      <c r="V6887" s="14" t="s">
        <v>43030</v>
      </c>
      <c r="W6887" s="14" t="s">
        <v>43031</v>
      </c>
      <c r="X6887" s="17" t="str">
        <f>HYPERLINK("https://my.pitchbook.com?p=72344-53P","View People Online")</f>
        <v>View People Online</v>
      </c>
    </row>
    <row r="6888">
      <c r="A6888" s="10" t="s">
        <v>43032</v>
      </c>
      <c r="B6888" s="10" t="s">
        <v>43033</v>
      </c>
      <c r="C6888" s="10" t="s">
        <v>5358</v>
      </c>
      <c r="D6888" s="10" t="s">
        <v>43034</v>
      </c>
      <c r="E6888" s="10" t="s">
        <v>42867</v>
      </c>
      <c r="F6888" s="10" t="s">
        <v>114</v>
      </c>
      <c r="G6888" s="10" t="s">
        <v>43035</v>
      </c>
      <c r="H6888" s="11">
        <v>1.0</v>
      </c>
      <c r="I6888" s="11">
        <v>5.0</v>
      </c>
      <c r="J6888" s="11">
        <v>3.0</v>
      </c>
      <c r="K6888" s="11" t="s">
        <v>31</v>
      </c>
      <c r="L6888" s="12" t="s">
        <v>43036</v>
      </c>
      <c r="M6888" s="10" t="s">
        <v>31</v>
      </c>
      <c r="N6888" s="10" t="s">
        <v>2198</v>
      </c>
      <c r="O6888" s="12" t="s">
        <v>43037</v>
      </c>
      <c r="P6888" s="10" t="s">
        <v>43038</v>
      </c>
      <c r="Q6888" s="10" t="s">
        <v>29971</v>
      </c>
      <c r="R6888" s="10" t="s">
        <v>10326</v>
      </c>
      <c r="S6888" s="12" t="s">
        <v>43039</v>
      </c>
      <c r="T6888" s="10" t="s">
        <v>66</v>
      </c>
      <c r="U6888" s="12" t="s">
        <v>43040</v>
      </c>
      <c r="V6888" s="10" t="s">
        <v>2731</v>
      </c>
      <c r="W6888" s="10" t="s">
        <v>43041</v>
      </c>
      <c r="X6888" s="13" t="str">
        <f>HYPERLINK("https://my.pitchbook.com?p=55529-38P","View People Online")</f>
        <v>View People Online</v>
      </c>
    </row>
    <row r="6889">
      <c r="A6889" s="6" t="s">
        <v>43042</v>
      </c>
      <c r="B6889" s="6" t="s">
        <v>43043</v>
      </c>
      <c r="C6889" s="6" t="s">
        <v>7503</v>
      </c>
      <c r="D6889" s="6" t="s">
        <v>43044</v>
      </c>
      <c r="E6889" s="6" t="s">
        <v>42867</v>
      </c>
      <c r="F6889" s="6" t="s">
        <v>43</v>
      </c>
      <c r="G6889" s="6" t="s">
        <v>43045</v>
      </c>
      <c r="H6889" s="7">
        <v>2.0</v>
      </c>
      <c r="I6889" s="7">
        <v>105.0</v>
      </c>
      <c r="J6889" s="7">
        <v>1.0</v>
      </c>
      <c r="K6889" s="7">
        <v>91.0</v>
      </c>
      <c r="L6889" s="8" t="s">
        <v>42869</v>
      </c>
      <c r="M6889" s="6" t="s">
        <v>43046</v>
      </c>
      <c r="N6889" s="6" t="s">
        <v>1181</v>
      </c>
      <c r="O6889" s="8" t="s">
        <v>1182</v>
      </c>
      <c r="P6889" s="6" t="s">
        <v>39359</v>
      </c>
      <c r="Q6889" s="6" t="s">
        <v>31</v>
      </c>
      <c r="R6889" s="6" t="s">
        <v>1185</v>
      </c>
      <c r="S6889" s="8" t="s">
        <v>29487</v>
      </c>
      <c r="T6889" s="6" t="s">
        <v>66</v>
      </c>
      <c r="U6889" s="8" t="s">
        <v>42870</v>
      </c>
      <c r="V6889" s="6" t="s">
        <v>43</v>
      </c>
      <c r="W6889" s="6" t="s">
        <v>42867</v>
      </c>
      <c r="X6889" s="9" t="str">
        <f>HYPERLINK("https://my.pitchbook.com?p=48731-86P","View People Online")</f>
        <v>View People Online</v>
      </c>
    </row>
    <row r="6890">
      <c r="A6890" s="10" t="s">
        <v>43047</v>
      </c>
      <c r="B6890" s="10" t="s">
        <v>43048</v>
      </c>
      <c r="C6890" s="10" t="s">
        <v>29827</v>
      </c>
      <c r="D6890" s="10" t="s">
        <v>43049</v>
      </c>
      <c r="E6890" s="10" t="s">
        <v>42867</v>
      </c>
      <c r="F6890" s="10" t="s">
        <v>114</v>
      </c>
      <c r="G6890" s="10" t="s">
        <v>43050</v>
      </c>
      <c r="H6890" s="11">
        <v>1.0</v>
      </c>
      <c r="I6890" s="11">
        <v>4.0</v>
      </c>
      <c r="J6890" s="11">
        <v>2.0</v>
      </c>
      <c r="K6890" s="11">
        <v>1.0</v>
      </c>
      <c r="L6890" s="12" t="s">
        <v>31</v>
      </c>
      <c r="M6890" s="10" t="s">
        <v>43051</v>
      </c>
      <c r="N6890" s="10" t="s">
        <v>42709</v>
      </c>
      <c r="O6890" s="12" t="s">
        <v>42710</v>
      </c>
      <c r="P6890" s="10" t="s">
        <v>31</v>
      </c>
      <c r="Q6890" s="10" t="s">
        <v>31</v>
      </c>
      <c r="R6890" s="10" t="s">
        <v>3960</v>
      </c>
      <c r="S6890" s="12" t="s">
        <v>43052</v>
      </c>
      <c r="T6890" s="10" t="s">
        <v>66</v>
      </c>
      <c r="U6890" s="12" t="s">
        <v>31</v>
      </c>
      <c r="V6890" s="10" t="s">
        <v>470</v>
      </c>
      <c r="W6890" s="10" t="s">
        <v>43053</v>
      </c>
      <c r="X6890" s="13" t="str">
        <f>HYPERLINK("https://my.pitchbook.com?p=51886-63P","View People Online")</f>
        <v>View People Online</v>
      </c>
    </row>
    <row r="6891">
      <c r="A6891" s="14" t="s">
        <v>43054</v>
      </c>
      <c r="B6891" s="14" t="s">
        <v>43055</v>
      </c>
      <c r="C6891" s="14" t="s">
        <v>43056</v>
      </c>
      <c r="D6891" s="14" t="s">
        <v>43057</v>
      </c>
      <c r="E6891" s="14" t="s">
        <v>42867</v>
      </c>
      <c r="F6891" s="14" t="s">
        <v>916</v>
      </c>
      <c r="G6891" s="14" t="s">
        <v>43058</v>
      </c>
      <c r="H6891" s="15" t="s">
        <v>31</v>
      </c>
      <c r="I6891" s="15">
        <v>1.0</v>
      </c>
      <c r="J6891" s="15">
        <v>1.0</v>
      </c>
      <c r="K6891" s="15" t="s">
        <v>31</v>
      </c>
      <c r="L6891" s="16" t="s">
        <v>42869</v>
      </c>
      <c r="M6891" s="14" t="s">
        <v>31</v>
      </c>
      <c r="N6891" s="14" t="s">
        <v>1181</v>
      </c>
      <c r="O6891" s="16" t="s">
        <v>1182</v>
      </c>
      <c r="P6891" s="14" t="s">
        <v>39359</v>
      </c>
      <c r="Q6891" s="14" t="s">
        <v>31</v>
      </c>
      <c r="R6891" s="14" t="s">
        <v>1185</v>
      </c>
      <c r="S6891" s="16" t="s">
        <v>29487</v>
      </c>
      <c r="T6891" s="14" t="s">
        <v>66</v>
      </c>
      <c r="U6891" s="16" t="s">
        <v>42870</v>
      </c>
      <c r="V6891" s="14" t="s">
        <v>916</v>
      </c>
      <c r="W6891" s="14" t="s">
        <v>42867</v>
      </c>
      <c r="X6891" s="17" t="str">
        <f>HYPERLINK("https://my.pitchbook.com?p=440056-00P","View People Online")</f>
        <v>View People Online</v>
      </c>
    </row>
    <row r="6892">
      <c r="A6892" s="2" t="s">
        <v>43059</v>
      </c>
      <c r="B6892" s="2" t="s">
        <v>43060</v>
      </c>
      <c r="C6892" s="2" t="s">
        <v>2288</v>
      </c>
      <c r="D6892" s="2" t="s">
        <v>28011</v>
      </c>
      <c r="E6892" s="2" t="s">
        <v>42867</v>
      </c>
      <c r="F6892" s="2" t="s">
        <v>4286</v>
      </c>
      <c r="G6892" s="2" t="s">
        <v>43061</v>
      </c>
      <c r="H6892" s="3">
        <v>1.0</v>
      </c>
      <c r="I6892" s="3">
        <v>3.0</v>
      </c>
      <c r="J6892" s="3">
        <v>2.0</v>
      </c>
      <c r="K6892" s="3">
        <v>1.0</v>
      </c>
      <c r="L6892" s="4" t="s">
        <v>43062</v>
      </c>
      <c r="M6892" s="2" t="s">
        <v>43063</v>
      </c>
      <c r="N6892" s="2" t="s">
        <v>1181</v>
      </c>
      <c r="O6892" s="4" t="s">
        <v>1182</v>
      </c>
      <c r="P6892" s="2" t="s">
        <v>43064</v>
      </c>
      <c r="Q6892" s="2" t="s">
        <v>6831</v>
      </c>
      <c r="R6892" s="2" t="s">
        <v>1185</v>
      </c>
      <c r="S6892" s="4" t="s">
        <v>4438</v>
      </c>
      <c r="T6892" s="2" t="s">
        <v>66</v>
      </c>
      <c r="U6892" s="4" t="s">
        <v>31</v>
      </c>
      <c r="V6892" s="2" t="s">
        <v>57</v>
      </c>
      <c r="W6892" s="2" t="s">
        <v>43065</v>
      </c>
      <c r="X6892" s="5" t="str">
        <f>HYPERLINK("https://my.pitchbook.com?p=47310-85P","View People Online")</f>
        <v>View People Online</v>
      </c>
    </row>
    <row r="6893">
      <c r="A6893" s="6" t="s">
        <v>43066</v>
      </c>
      <c r="B6893" s="6" t="s">
        <v>43067</v>
      </c>
      <c r="C6893" s="6" t="s">
        <v>1645</v>
      </c>
      <c r="D6893" s="6" t="s">
        <v>43068</v>
      </c>
      <c r="E6893" s="6" t="s">
        <v>42867</v>
      </c>
      <c r="F6893" s="6" t="s">
        <v>270</v>
      </c>
      <c r="G6893" s="6" t="s">
        <v>43069</v>
      </c>
      <c r="H6893" s="7" t="s">
        <v>31</v>
      </c>
      <c r="I6893" s="7">
        <v>1.0</v>
      </c>
      <c r="J6893" s="7">
        <v>1.0</v>
      </c>
      <c r="K6893" s="7" t="s">
        <v>31</v>
      </c>
      <c r="L6893" s="8" t="s">
        <v>43070</v>
      </c>
      <c r="M6893" s="6" t="s">
        <v>43071</v>
      </c>
      <c r="N6893" s="6" t="s">
        <v>1181</v>
      </c>
      <c r="O6893" s="8" t="s">
        <v>1182</v>
      </c>
      <c r="P6893" s="6" t="s">
        <v>39359</v>
      </c>
      <c r="Q6893" s="6" t="s">
        <v>31</v>
      </c>
      <c r="R6893" s="6" t="s">
        <v>1185</v>
      </c>
      <c r="S6893" s="8" t="s">
        <v>29487</v>
      </c>
      <c r="T6893" s="6" t="s">
        <v>66</v>
      </c>
      <c r="U6893" s="8" t="s">
        <v>42870</v>
      </c>
      <c r="V6893" s="6" t="s">
        <v>43072</v>
      </c>
      <c r="W6893" s="6" t="s">
        <v>42867</v>
      </c>
      <c r="X6893" s="9" t="str">
        <f>HYPERLINK("https://my.pitchbook.com?p=336083-41P","View People Online")</f>
        <v>View People Online</v>
      </c>
    </row>
    <row r="6894">
      <c r="A6894" s="2" t="s">
        <v>43073</v>
      </c>
      <c r="B6894" s="2" t="s">
        <v>43074</v>
      </c>
      <c r="C6894" s="2" t="s">
        <v>160</v>
      </c>
      <c r="D6894" s="2" t="s">
        <v>43075</v>
      </c>
      <c r="E6894" s="2" t="s">
        <v>42867</v>
      </c>
      <c r="F6894" s="2" t="s">
        <v>43</v>
      </c>
      <c r="G6894" s="2" t="s">
        <v>43076</v>
      </c>
      <c r="H6894" s="3" t="s">
        <v>31</v>
      </c>
      <c r="I6894" s="3">
        <v>13.0</v>
      </c>
      <c r="J6894" s="3">
        <v>1.0</v>
      </c>
      <c r="K6894" s="3">
        <v>6.0</v>
      </c>
      <c r="L6894" s="4" t="s">
        <v>42869</v>
      </c>
      <c r="M6894" s="2" t="s">
        <v>43077</v>
      </c>
      <c r="N6894" s="2" t="s">
        <v>1181</v>
      </c>
      <c r="O6894" s="4" t="s">
        <v>1182</v>
      </c>
      <c r="P6894" s="2" t="s">
        <v>39359</v>
      </c>
      <c r="Q6894" s="2" t="s">
        <v>31</v>
      </c>
      <c r="R6894" s="2" t="s">
        <v>1185</v>
      </c>
      <c r="S6894" s="4" t="s">
        <v>29487</v>
      </c>
      <c r="T6894" s="2" t="s">
        <v>66</v>
      </c>
      <c r="U6894" s="4" t="s">
        <v>42870</v>
      </c>
      <c r="V6894" s="2" t="s">
        <v>43</v>
      </c>
      <c r="W6894" s="2" t="s">
        <v>42867</v>
      </c>
      <c r="X6894" s="5" t="str">
        <f>HYPERLINK("https://my.pitchbook.com?p=13607-20P","View People Online")</f>
        <v>View People Online</v>
      </c>
    </row>
    <row r="6895">
      <c r="A6895" s="6" t="s">
        <v>43078</v>
      </c>
      <c r="B6895" s="6" t="s">
        <v>43079</v>
      </c>
      <c r="C6895" s="6" t="s">
        <v>395</v>
      </c>
      <c r="D6895" s="6" t="s">
        <v>43080</v>
      </c>
      <c r="E6895" s="6" t="s">
        <v>42867</v>
      </c>
      <c r="F6895" s="6" t="s">
        <v>114</v>
      </c>
      <c r="G6895" s="6" t="s">
        <v>43081</v>
      </c>
      <c r="H6895" s="7">
        <v>2.0</v>
      </c>
      <c r="I6895" s="7">
        <v>7.0</v>
      </c>
      <c r="J6895" s="7">
        <v>2.0</v>
      </c>
      <c r="K6895" s="7">
        <v>3.0</v>
      </c>
      <c r="L6895" s="8" t="s">
        <v>43082</v>
      </c>
      <c r="M6895" s="6" t="s">
        <v>43083</v>
      </c>
      <c r="N6895" s="6" t="s">
        <v>155</v>
      </c>
      <c r="O6895" s="8" t="s">
        <v>156</v>
      </c>
      <c r="P6895" s="6" t="s">
        <v>43084</v>
      </c>
      <c r="Q6895" s="6" t="s">
        <v>31</v>
      </c>
      <c r="R6895" s="6" t="s">
        <v>64</v>
      </c>
      <c r="S6895" s="8" t="s">
        <v>43085</v>
      </c>
      <c r="T6895" s="6" t="s">
        <v>66</v>
      </c>
      <c r="U6895" s="8" t="s">
        <v>31</v>
      </c>
      <c r="V6895" s="6" t="s">
        <v>43086</v>
      </c>
      <c r="W6895" s="6" t="s">
        <v>43087</v>
      </c>
      <c r="X6895" s="9" t="str">
        <f>HYPERLINK("https://my.pitchbook.com?p=213245-56P","View People Online")</f>
        <v>View People Online</v>
      </c>
    </row>
    <row r="6896">
      <c r="A6896" s="10" t="s">
        <v>43088</v>
      </c>
      <c r="B6896" s="10" t="s">
        <v>43089</v>
      </c>
      <c r="C6896" s="10" t="s">
        <v>536</v>
      </c>
      <c r="D6896" s="10" t="s">
        <v>29791</v>
      </c>
      <c r="E6896" s="10" t="s">
        <v>42867</v>
      </c>
      <c r="F6896" s="10" t="s">
        <v>270</v>
      </c>
      <c r="G6896" s="10" t="s">
        <v>43090</v>
      </c>
      <c r="H6896" s="11" t="s">
        <v>31</v>
      </c>
      <c r="I6896" s="11">
        <v>1.0</v>
      </c>
      <c r="J6896" s="11">
        <v>1.0</v>
      </c>
      <c r="K6896" s="11" t="s">
        <v>31</v>
      </c>
      <c r="L6896" s="12" t="s">
        <v>42869</v>
      </c>
      <c r="M6896" s="10" t="s">
        <v>31</v>
      </c>
      <c r="N6896" s="10" t="s">
        <v>1181</v>
      </c>
      <c r="O6896" s="12" t="s">
        <v>1182</v>
      </c>
      <c r="P6896" s="10" t="s">
        <v>39359</v>
      </c>
      <c r="Q6896" s="10" t="s">
        <v>31</v>
      </c>
      <c r="R6896" s="10" t="s">
        <v>1185</v>
      </c>
      <c r="S6896" s="12" t="s">
        <v>29487</v>
      </c>
      <c r="T6896" s="10" t="s">
        <v>66</v>
      </c>
      <c r="U6896" s="12" t="s">
        <v>42870</v>
      </c>
      <c r="V6896" s="10" t="s">
        <v>27009</v>
      </c>
      <c r="W6896" s="10" t="s">
        <v>42867</v>
      </c>
      <c r="X6896" s="13" t="str">
        <f>HYPERLINK("https://my.pitchbook.com?p=46505-89P","View People Online")</f>
        <v>View People Online</v>
      </c>
    </row>
    <row r="6897">
      <c r="A6897" s="14" t="s">
        <v>43091</v>
      </c>
      <c r="B6897" s="14" t="s">
        <v>43092</v>
      </c>
      <c r="C6897" s="14" t="s">
        <v>536</v>
      </c>
      <c r="D6897" s="14" t="s">
        <v>43093</v>
      </c>
      <c r="E6897" s="14" t="s">
        <v>42867</v>
      </c>
      <c r="F6897" s="14" t="s">
        <v>270</v>
      </c>
      <c r="G6897" s="14" t="s">
        <v>43094</v>
      </c>
      <c r="H6897" s="15" t="s">
        <v>31</v>
      </c>
      <c r="I6897" s="15">
        <v>1.0</v>
      </c>
      <c r="J6897" s="15">
        <v>1.0</v>
      </c>
      <c r="K6897" s="15" t="s">
        <v>31</v>
      </c>
      <c r="L6897" s="16" t="s">
        <v>42869</v>
      </c>
      <c r="M6897" s="14" t="s">
        <v>31</v>
      </c>
      <c r="N6897" s="14" t="s">
        <v>1181</v>
      </c>
      <c r="O6897" s="16" t="s">
        <v>1182</v>
      </c>
      <c r="P6897" s="14" t="s">
        <v>39359</v>
      </c>
      <c r="Q6897" s="14" t="s">
        <v>31</v>
      </c>
      <c r="R6897" s="14" t="s">
        <v>1185</v>
      </c>
      <c r="S6897" s="16" t="s">
        <v>29487</v>
      </c>
      <c r="T6897" s="14" t="s">
        <v>66</v>
      </c>
      <c r="U6897" s="16" t="s">
        <v>42870</v>
      </c>
      <c r="V6897" s="14" t="s">
        <v>27009</v>
      </c>
      <c r="W6897" s="14" t="s">
        <v>42867</v>
      </c>
      <c r="X6897" s="17" t="str">
        <f>HYPERLINK("https://my.pitchbook.com?p=78145-84P","View People Online")</f>
        <v>View People Online</v>
      </c>
    </row>
    <row r="6898">
      <c r="A6898" s="2" t="s">
        <v>43095</v>
      </c>
      <c r="B6898" s="2" t="s">
        <v>43096</v>
      </c>
      <c r="C6898" s="2" t="s">
        <v>43097</v>
      </c>
      <c r="D6898" s="2" t="s">
        <v>43098</v>
      </c>
      <c r="E6898" s="2" t="s">
        <v>42867</v>
      </c>
      <c r="F6898" s="2" t="s">
        <v>695</v>
      </c>
      <c r="G6898" s="2" t="s">
        <v>43099</v>
      </c>
      <c r="H6898" s="3" t="s">
        <v>31</v>
      </c>
      <c r="I6898" s="3">
        <v>1.0</v>
      </c>
      <c r="J6898" s="3">
        <v>1.0</v>
      </c>
      <c r="K6898" s="3" t="s">
        <v>31</v>
      </c>
      <c r="L6898" s="4" t="s">
        <v>42869</v>
      </c>
      <c r="M6898" s="2" t="s">
        <v>43100</v>
      </c>
      <c r="N6898" s="2" t="s">
        <v>1181</v>
      </c>
      <c r="O6898" s="4" t="s">
        <v>1182</v>
      </c>
      <c r="P6898" s="2" t="s">
        <v>39359</v>
      </c>
      <c r="Q6898" s="2" t="s">
        <v>31</v>
      </c>
      <c r="R6898" s="2" t="s">
        <v>1185</v>
      </c>
      <c r="S6898" s="4" t="s">
        <v>29487</v>
      </c>
      <c r="T6898" s="2" t="s">
        <v>66</v>
      </c>
      <c r="U6898" s="4" t="s">
        <v>42870</v>
      </c>
      <c r="V6898" s="2" t="s">
        <v>695</v>
      </c>
      <c r="W6898" s="2" t="s">
        <v>42867</v>
      </c>
      <c r="X6898" s="5" t="str">
        <f>HYPERLINK("https://my.pitchbook.com?p=440039-17P","View People Online")</f>
        <v>View People Online</v>
      </c>
    </row>
    <row r="6899">
      <c r="A6899" s="6" t="s">
        <v>43101</v>
      </c>
      <c r="B6899" s="6" t="s">
        <v>43102</v>
      </c>
      <c r="C6899" s="6" t="s">
        <v>6199</v>
      </c>
      <c r="D6899" s="6" t="s">
        <v>43103</v>
      </c>
      <c r="E6899" s="6" t="s">
        <v>42867</v>
      </c>
      <c r="F6899" s="6" t="s">
        <v>916</v>
      </c>
      <c r="G6899" s="6" t="s">
        <v>43104</v>
      </c>
      <c r="H6899" s="7" t="s">
        <v>31</v>
      </c>
      <c r="I6899" s="7">
        <v>1.0</v>
      </c>
      <c r="J6899" s="7">
        <v>1.0</v>
      </c>
      <c r="K6899" s="7" t="s">
        <v>31</v>
      </c>
      <c r="L6899" s="8" t="s">
        <v>42869</v>
      </c>
      <c r="M6899" s="6" t="s">
        <v>31</v>
      </c>
      <c r="N6899" s="6" t="s">
        <v>1181</v>
      </c>
      <c r="O6899" s="8" t="s">
        <v>1182</v>
      </c>
      <c r="P6899" s="6" t="s">
        <v>39359</v>
      </c>
      <c r="Q6899" s="6" t="s">
        <v>31</v>
      </c>
      <c r="R6899" s="6" t="s">
        <v>1185</v>
      </c>
      <c r="S6899" s="8" t="s">
        <v>29487</v>
      </c>
      <c r="T6899" s="6" t="s">
        <v>66</v>
      </c>
      <c r="U6899" s="8" t="s">
        <v>42870</v>
      </c>
      <c r="V6899" s="6" t="s">
        <v>916</v>
      </c>
      <c r="W6899" s="6" t="s">
        <v>42867</v>
      </c>
      <c r="X6899" s="9" t="str">
        <f>HYPERLINK("https://my.pitchbook.com?p=178224-13P","View People Online")</f>
        <v>View People Online</v>
      </c>
    </row>
    <row r="6900">
      <c r="A6900" s="2" t="s">
        <v>43105</v>
      </c>
      <c r="B6900" s="2" t="s">
        <v>43106</v>
      </c>
      <c r="C6900" s="2" t="s">
        <v>4679</v>
      </c>
      <c r="D6900" s="2" t="s">
        <v>4285</v>
      </c>
      <c r="E6900" s="2" t="s">
        <v>42867</v>
      </c>
      <c r="F6900" s="2" t="s">
        <v>114</v>
      </c>
      <c r="G6900" s="2" t="s">
        <v>43107</v>
      </c>
      <c r="H6900" s="3" t="s">
        <v>31</v>
      </c>
      <c r="I6900" s="3">
        <v>1.0</v>
      </c>
      <c r="J6900" s="3">
        <v>1.0</v>
      </c>
      <c r="K6900" s="3" t="s">
        <v>31</v>
      </c>
      <c r="L6900" s="4" t="s">
        <v>42869</v>
      </c>
      <c r="M6900" s="2" t="s">
        <v>31</v>
      </c>
      <c r="N6900" s="2" t="s">
        <v>1181</v>
      </c>
      <c r="O6900" s="4" t="s">
        <v>1182</v>
      </c>
      <c r="P6900" s="2" t="s">
        <v>39359</v>
      </c>
      <c r="Q6900" s="2" t="s">
        <v>31</v>
      </c>
      <c r="R6900" s="2" t="s">
        <v>1185</v>
      </c>
      <c r="S6900" s="4" t="s">
        <v>29487</v>
      </c>
      <c r="T6900" s="2" t="s">
        <v>66</v>
      </c>
      <c r="U6900" s="4" t="s">
        <v>42870</v>
      </c>
      <c r="V6900" s="2" t="s">
        <v>114</v>
      </c>
      <c r="W6900" s="2" t="s">
        <v>42867</v>
      </c>
      <c r="X6900" s="5" t="str">
        <f>HYPERLINK("https://my.pitchbook.com?p=108107-56P","View People Online")</f>
        <v>View People Online</v>
      </c>
    </row>
    <row r="6901">
      <c r="A6901" s="14" t="s">
        <v>43108</v>
      </c>
      <c r="B6901" s="14" t="s">
        <v>43109</v>
      </c>
      <c r="C6901" s="14" t="s">
        <v>43110</v>
      </c>
      <c r="D6901" s="14" t="s">
        <v>43111</v>
      </c>
      <c r="E6901" s="14" t="s">
        <v>42867</v>
      </c>
      <c r="F6901" s="14" t="s">
        <v>43</v>
      </c>
      <c r="G6901" s="14" t="s">
        <v>43112</v>
      </c>
      <c r="H6901" s="15" t="s">
        <v>31</v>
      </c>
      <c r="I6901" s="15">
        <v>11.0</v>
      </c>
      <c r="J6901" s="15">
        <v>1.0</v>
      </c>
      <c r="K6901" s="15">
        <v>5.0</v>
      </c>
      <c r="L6901" s="16" t="s">
        <v>43113</v>
      </c>
      <c r="M6901" s="14" t="s">
        <v>43114</v>
      </c>
      <c r="N6901" s="14" t="s">
        <v>1181</v>
      </c>
      <c r="O6901" s="16" t="s">
        <v>1182</v>
      </c>
      <c r="P6901" s="14" t="s">
        <v>39359</v>
      </c>
      <c r="Q6901" s="14" t="s">
        <v>31</v>
      </c>
      <c r="R6901" s="14" t="s">
        <v>1185</v>
      </c>
      <c r="S6901" s="16" t="s">
        <v>29487</v>
      </c>
      <c r="T6901" s="14" t="s">
        <v>66</v>
      </c>
      <c r="U6901" s="16" t="s">
        <v>42870</v>
      </c>
      <c r="V6901" s="14" t="s">
        <v>43</v>
      </c>
      <c r="W6901" s="14" t="s">
        <v>42867</v>
      </c>
      <c r="X6901" s="17" t="str">
        <f>HYPERLINK("https://my.pitchbook.com?p=49409-20P","View People Online")</f>
        <v>View People Online</v>
      </c>
    </row>
    <row r="6902">
      <c r="A6902" s="2" t="s">
        <v>43115</v>
      </c>
      <c r="B6902" s="2" t="s">
        <v>43116</v>
      </c>
      <c r="C6902" s="2" t="s">
        <v>6205</v>
      </c>
      <c r="D6902" s="2" t="s">
        <v>43117</v>
      </c>
      <c r="E6902" s="2" t="s">
        <v>42867</v>
      </c>
      <c r="F6902" s="2" t="s">
        <v>114</v>
      </c>
      <c r="G6902" s="2" t="s">
        <v>43118</v>
      </c>
      <c r="H6902" s="3" t="s">
        <v>31</v>
      </c>
      <c r="I6902" s="3">
        <v>1.0</v>
      </c>
      <c r="J6902" s="3">
        <v>1.0</v>
      </c>
      <c r="K6902" s="3" t="s">
        <v>31</v>
      </c>
      <c r="L6902" s="4" t="s">
        <v>42869</v>
      </c>
      <c r="M6902" s="2" t="s">
        <v>31</v>
      </c>
      <c r="N6902" s="2" t="s">
        <v>1181</v>
      </c>
      <c r="O6902" s="4" t="s">
        <v>1182</v>
      </c>
      <c r="P6902" s="2" t="s">
        <v>39359</v>
      </c>
      <c r="Q6902" s="2" t="s">
        <v>31</v>
      </c>
      <c r="R6902" s="2" t="s">
        <v>1185</v>
      </c>
      <c r="S6902" s="4" t="s">
        <v>29487</v>
      </c>
      <c r="T6902" s="2" t="s">
        <v>66</v>
      </c>
      <c r="U6902" s="4" t="s">
        <v>42870</v>
      </c>
      <c r="V6902" s="2" t="s">
        <v>114</v>
      </c>
      <c r="W6902" s="2" t="s">
        <v>42867</v>
      </c>
      <c r="X6902" s="5" t="str">
        <f>HYPERLINK("https://my.pitchbook.com?p=297611-38P","View People Online")</f>
        <v>View People Online</v>
      </c>
    </row>
    <row r="6903">
      <c r="A6903" s="14" t="s">
        <v>43119</v>
      </c>
      <c r="B6903" s="14" t="s">
        <v>43120</v>
      </c>
      <c r="C6903" s="14" t="s">
        <v>1697</v>
      </c>
      <c r="D6903" s="14" t="s">
        <v>15536</v>
      </c>
      <c r="E6903" s="14" t="s">
        <v>42867</v>
      </c>
      <c r="F6903" s="14" t="s">
        <v>270</v>
      </c>
      <c r="G6903" s="14" t="s">
        <v>43121</v>
      </c>
      <c r="H6903" s="15">
        <v>1.0</v>
      </c>
      <c r="I6903" s="15">
        <v>4.0</v>
      </c>
      <c r="J6903" s="15">
        <v>3.0</v>
      </c>
      <c r="K6903" s="15" t="s">
        <v>31</v>
      </c>
      <c r="L6903" s="16" t="s">
        <v>43122</v>
      </c>
      <c r="M6903" s="14" t="s">
        <v>43123</v>
      </c>
      <c r="N6903" s="14" t="s">
        <v>43124</v>
      </c>
      <c r="O6903" s="16" t="s">
        <v>43125</v>
      </c>
      <c r="P6903" s="14" t="s">
        <v>43126</v>
      </c>
      <c r="Q6903" s="14" t="s">
        <v>31</v>
      </c>
      <c r="R6903" s="14" t="s">
        <v>1185</v>
      </c>
      <c r="S6903" s="16" t="s">
        <v>43127</v>
      </c>
      <c r="T6903" s="14" t="s">
        <v>66</v>
      </c>
      <c r="U6903" s="16" t="s">
        <v>31</v>
      </c>
      <c r="V6903" s="14" t="s">
        <v>2379</v>
      </c>
      <c r="W6903" s="14" t="s">
        <v>43128</v>
      </c>
      <c r="X6903" s="17" t="str">
        <f>HYPERLINK("https://my.pitchbook.com?p=114643-09P","View People Online")</f>
        <v>View People Online</v>
      </c>
    </row>
    <row r="6904">
      <c r="A6904" s="2" t="s">
        <v>43129</v>
      </c>
      <c r="B6904" s="2" t="s">
        <v>43130</v>
      </c>
      <c r="C6904" s="2" t="s">
        <v>1697</v>
      </c>
      <c r="D6904" s="2" t="s">
        <v>43131</v>
      </c>
      <c r="E6904" s="2" t="s">
        <v>42867</v>
      </c>
      <c r="F6904" s="2" t="s">
        <v>270</v>
      </c>
      <c r="G6904" s="2" t="s">
        <v>43132</v>
      </c>
      <c r="H6904" s="3">
        <v>2.0</v>
      </c>
      <c r="I6904" s="3">
        <v>5.0</v>
      </c>
      <c r="J6904" s="3">
        <v>1.0</v>
      </c>
      <c r="K6904" s="3">
        <v>1.0</v>
      </c>
      <c r="L6904" s="4" t="s">
        <v>42869</v>
      </c>
      <c r="M6904" s="2" t="s">
        <v>31</v>
      </c>
      <c r="N6904" s="2" t="s">
        <v>1181</v>
      </c>
      <c r="O6904" s="4" t="s">
        <v>1182</v>
      </c>
      <c r="P6904" s="2" t="s">
        <v>39359</v>
      </c>
      <c r="Q6904" s="2" t="s">
        <v>31</v>
      </c>
      <c r="R6904" s="2" t="s">
        <v>1185</v>
      </c>
      <c r="S6904" s="4" t="s">
        <v>29487</v>
      </c>
      <c r="T6904" s="2" t="s">
        <v>66</v>
      </c>
      <c r="U6904" s="4" t="s">
        <v>42870</v>
      </c>
      <c r="V6904" s="2" t="s">
        <v>27009</v>
      </c>
      <c r="W6904" s="2" t="s">
        <v>42867</v>
      </c>
      <c r="X6904" s="5" t="str">
        <f>HYPERLINK("https://my.pitchbook.com?p=29410-75P","View People Online")</f>
        <v>View People Online</v>
      </c>
    </row>
    <row r="6905">
      <c r="A6905" s="14" t="s">
        <v>43133</v>
      </c>
      <c r="B6905" s="14" t="s">
        <v>43134</v>
      </c>
      <c r="C6905" s="14" t="s">
        <v>186</v>
      </c>
      <c r="D6905" s="14" t="s">
        <v>43135</v>
      </c>
      <c r="E6905" s="14" t="s">
        <v>43136</v>
      </c>
      <c r="F6905" s="14" t="s">
        <v>318</v>
      </c>
      <c r="G6905" s="14" t="s">
        <v>43137</v>
      </c>
      <c r="H6905" s="15" t="s">
        <v>31</v>
      </c>
      <c r="I6905" s="15">
        <v>1.0</v>
      </c>
      <c r="J6905" s="15">
        <v>1.0</v>
      </c>
      <c r="K6905" s="15" t="s">
        <v>31</v>
      </c>
      <c r="L6905" s="16" t="s">
        <v>31</v>
      </c>
      <c r="M6905" s="14" t="s">
        <v>43138</v>
      </c>
      <c r="N6905" s="14" t="s">
        <v>9865</v>
      </c>
      <c r="O6905" s="16" t="s">
        <v>9866</v>
      </c>
      <c r="P6905" s="14" t="s">
        <v>31</v>
      </c>
      <c r="Q6905" s="14" t="s">
        <v>31</v>
      </c>
      <c r="R6905" s="14" t="s">
        <v>31</v>
      </c>
      <c r="S6905" s="16" t="s">
        <v>31</v>
      </c>
      <c r="T6905" s="14" t="s">
        <v>38</v>
      </c>
      <c r="U6905" s="16" t="s">
        <v>31</v>
      </c>
      <c r="V6905" s="14" t="s">
        <v>318</v>
      </c>
      <c r="W6905" s="14" t="s">
        <v>43136</v>
      </c>
      <c r="X6905" s="17" t="str">
        <f>HYPERLINK("https://my.pitchbook.com?p=311755-96P","View People Online")</f>
        <v>View People Online</v>
      </c>
    </row>
    <row r="6906">
      <c r="A6906" s="2" t="s">
        <v>43139</v>
      </c>
      <c r="B6906" s="2" t="s">
        <v>43140</v>
      </c>
      <c r="C6906" s="2" t="s">
        <v>54</v>
      </c>
      <c r="D6906" s="2" t="s">
        <v>43141</v>
      </c>
      <c r="E6906" s="2" t="s">
        <v>43136</v>
      </c>
      <c r="F6906" s="2" t="s">
        <v>502</v>
      </c>
      <c r="G6906" s="2" t="s">
        <v>43142</v>
      </c>
      <c r="H6906" s="3" t="s">
        <v>31</v>
      </c>
      <c r="I6906" s="3">
        <v>1.0</v>
      </c>
      <c r="J6906" s="3">
        <v>1.0</v>
      </c>
      <c r="K6906" s="3" t="s">
        <v>31</v>
      </c>
      <c r="L6906" s="4" t="s">
        <v>31</v>
      </c>
      <c r="M6906" s="2" t="s">
        <v>43143</v>
      </c>
      <c r="N6906" s="2" t="s">
        <v>775</v>
      </c>
      <c r="O6906" s="4" t="s">
        <v>776</v>
      </c>
      <c r="P6906" s="2" t="s">
        <v>43144</v>
      </c>
      <c r="Q6906" s="2" t="s">
        <v>43145</v>
      </c>
      <c r="R6906" s="2" t="s">
        <v>64</v>
      </c>
      <c r="S6906" s="4" t="s">
        <v>779</v>
      </c>
      <c r="T6906" s="2" t="s">
        <v>66</v>
      </c>
      <c r="U6906" s="4" t="s">
        <v>31</v>
      </c>
      <c r="V6906" s="2" t="s">
        <v>502</v>
      </c>
      <c r="W6906" s="2" t="s">
        <v>43136</v>
      </c>
      <c r="X6906" s="5" t="str">
        <f>HYPERLINK("https://my.pitchbook.com?p=382067-11P","View People Online")</f>
        <v>View People Online</v>
      </c>
    </row>
    <row r="6907">
      <c r="A6907" s="14" t="s">
        <v>43146</v>
      </c>
      <c r="B6907" s="14" t="s">
        <v>43147</v>
      </c>
      <c r="C6907" s="14" t="s">
        <v>43148</v>
      </c>
      <c r="D6907" s="14" t="s">
        <v>43149</v>
      </c>
      <c r="E6907" s="14" t="s">
        <v>43136</v>
      </c>
      <c r="F6907" s="14" t="s">
        <v>43</v>
      </c>
      <c r="G6907" s="14" t="s">
        <v>43150</v>
      </c>
      <c r="H6907" s="15" t="s">
        <v>31</v>
      </c>
      <c r="I6907" s="15">
        <v>3.0</v>
      </c>
      <c r="J6907" s="15">
        <v>1.0</v>
      </c>
      <c r="K6907" s="15" t="s">
        <v>31</v>
      </c>
      <c r="L6907" s="16" t="s">
        <v>31</v>
      </c>
      <c r="M6907" s="14" t="s">
        <v>43151</v>
      </c>
      <c r="N6907" s="14" t="s">
        <v>9865</v>
      </c>
      <c r="O6907" s="16" t="s">
        <v>9866</v>
      </c>
      <c r="P6907" s="14" t="s">
        <v>31</v>
      </c>
      <c r="Q6907" s="14" t="s">
        <v>31</v>
      </c>
      <c r="R6907" s="14" t="s">
        <v>31</v>
      </c>
      <c r="S6907" s="16" t="s">
        <v>31</v>
      </c>
      <c r="T6907" s="14" t="s">
        <v>38</v>
      </c>
      <c r="U6907" s="16" t="s">
        <v>31</v>
      </c>
      <c r="V6907" s="14" t="s">
        <v>43</v>
      </c>
      <c r="W6907" s="14" t="s">
        <v>43136</v>
      </c>
      <c r="X6907" s="17" t="str">
        <f>HYPERLINK("https://my.pitchbook.com?p=186762-25P","View People Online")</f>
        <v>View People Online</v>
      </c>
    </row>
    <row r="6908">
      <c r="A6908" s="2" t="s">
        <v>43152</v>
      </c>
      <c r="B6908" s="2" t="s">
        <v>43153</v>
      </c>
      <c r="C6908" s="2" t="s">
        <v>17699</v>
      </c>
      <c r="D6908" s="2" t="s">
        <v>43154</v>
      </c>
      <c r="E6908" s="2" t="s">
        <v>43136</v>
      </c>
      <c r="F6908" s="2" t="s">
        <v>674</v>
      </c>
      <c r="G6908" s="2" t="s">
        <v>43155</v>
      </c>
      <c r="H6908" s="3">
        <v>2.0</v>
      </c>
      <c r="I6908" s="3">
        <v>11.0</v>
      </c>
      <c r="J6908" s="3">
        <v>2.0</v>
      </c>
      <c r="K6908" s="3">
        <v>6.0</v>
      </c>
      <c r="L6908" s="4" t="s">
        <v>31</v>
      </c>
      <c r="M6908" s="2" t="s">
        <v>43156</v>
      </c>
      <c r="N6908" s="2" t="s">
        <v>775</v>
      </c>
      <c r="O6908" s="4" t="s">
        <v>776</v>
      </c>
      <c r="P6908" s="2" t="s">
        <v>43144</v>
      </c>
      <c r="Q6908" s="2" t="s">
        <v>43145</v>
      </c>
      <c r="R6908" s="2" t="s">
        <v>64</v>
      </c>
      <c r="S6908" s="4" t="s">
        <v>779</v>
      </c>
      <c r="T6908" s="2" t="s">
        <v>66</v>
      </c>
      <c r="U6908" s="4" t="s">
        <v>31</v>
      </c>
      <c r="V6908" s="2" t="s">
        <v>43157</v>
      </c>
      <c r="W6908" s="2" t="s">
        <v>43136</v>
      </c>
      <c r="X6908" s="5" t="str">
        <f>HYPERLINK("https://my.pitchbook.com?p=382046-68P","View People Online")</f>
        <v>View People Online</v>
      </c>
    </row>
    <row r="6909">
      <c r="A6909" s="14" t="s">
        <v>43158</v>
      </c>
      <c r="B6909" s="14" t="s">
        <v>43159</v>
      </c>
      <c r="C6909" s="14" t="s">
        <v>3554</v>
      </c>
      <c r="D6909" s="14" t="s">
        <v>43160</v>
      </c>
      <c r="E6909" s="14" t="s">
        <v>43136</v>
      </c>
      <c r="F6909" s="14" t="s">
        <v>674</v>
      </c>
      <c r="G6909" s="14" t="s">
        <v>43161</v>
      </c>
      <c r="H6909" s="15" t="s">
        <v>31</v>
      </c>
      <c r="I6909" s="15">
        <v>32.0</v>
      </c>
      <c r="J6909" s="15">
        <v>1.0</v>
      </c>
      <c r="K6909" s="15">
        <v>22.0</v>
      </c>
      <c r="L6909" s="16" t="s">
        <v>31</v>
      </c>
      <c r="M6909" s="14" t="s">
        <v>43162</v>
      </c>
      <c r="N6909" s="14" t="s">
        <v>775</v>
      </c>
      <c r="O6909" s="16" t="s">
        <v>776</v>
      </c>
      <c r="P6909" s="14" t="s">
        <v>43144</v>
      </c>
      <c r="Q6909" s="14" t="s">
        <v>43145</v>
      </c>
      <c r="R6909" s="14" t="s">
        <v>64</v>
      </c>
      <c r="S6909" s="16" t="s">
        <v>779</v>
      </c>
      <c r="T6909" s="14" t="s">
        <v>66</v>
      </c>
      <c r="U6909" s="16" t="s">
        <v>31</v>
      </c>
      <c r="V6909" s="14" t="s">
        <v>43157</v>
      </c>
      <c r="W6909" s="14" t="s">
        <v>43136</v>
      </c>
      <c r="X6909" s="17" t="str">
        <f>HYPERLINK("https://my.pitchbook.com?p=14136-40P","View People Online")</f>
        <v>View People Online</v>
      </c>
    </row>
    <row r="6910">
      <c r="A6910" s="10" t="s">
        <v>43163</v>
      </c>
      <c r="B6910" s="10" t="s">
        <v>43164</v>
      </c>
      <c r="C6910" s="10" t="s">
        <v>4015</v>
      </c>
      <c r="D6910" s="10" t="s">
        <v>43165</v>
      </c>
      <c r="E6910" s="10" t="s">
        <v>43136</v>
      </c>
      <c r="F6910" s="10" t="s">
        <v>120</v>
      </c>
      <c r="G6910" s="10" t="s">
        <v>43166</v>
      </c>
      <c r="H6910" s="11" t="s">
        <v>31</v>
      </c>
      <c r="I6910" s="11">
        <v>1.0</v>
      </c>
      <c r="J6910" s="11">
        <v>1.0</v>
      </c>
      <c r="K6910" s="11" t="s">
        <v>31</v>
      </c>
      <c r="L6910" s="12" t="s">
        <v>31</v>
      </c>
      <c r="M6910" s="10" t="s">
        <v>43167</v>
      </c>
      <c r="N6910" s="10" t="s">
        <v>775</v>
      </c>
      <c r="O6910" s="12" t="s">
        <v>776</v>
      </c>
      <c r="P6910" s="10" t="s">
        <v>43144</v>
      </c>
      <c r="Q6910" s="10" t="s">
        <v>43145</v>
      </c>
      <c r="R6910" s="10" t="s">
        <v>64</v>
      </c>
      <c r="S6910" s="12" t="s">
        <v>779</v>
      </c>
      <c r="T6910" s="10" t="s">
        <v>66</v>
      </c>
      <c r="U6910" s="12" t="s">
        <v>31</v>
      </c>
      <c r="V6910" s="10" t="s">
        <v>120</v>
      </c>
      <c r="W6910" s="10" t="s">
        <v>43136</v>
      </c>
      <c r="X6910" s="13" t="str">
        <f>HYPERLINK("https://my.pitchbook.com?p=429625-54P","View People Online")</f>
        <v>View People Online</v>
      </c>
    </row>
    <row r="6911">
      <c r="A6911" s="14" t="s">
        <v>43168</v>
      </c>
      <c r="B6911" s="14" t="s">
        <v>43169</v>
      </c>
      <c r="C6911" s="14" t="s">
        <v>43170</v>
      </c>
      <c r="D6911" s="14" t="s">
        <v>10601</v>
      </c>
      <c r="E6911" s="14" t="s">
        <v>43171</v>
      </c>
      <c r="F6911" s="14" t="s">
        <v>548</v>
      </c>
      <c r="G6911" s="14" t="s">
        <v>43172</v>
      </c>
      <c r="H6911" s="15" t="s">
        <v>31</v>
      </c>
      <c r="I6911" s="15">
        <v>1.0</v>
      </c>
      <c r="J6911" s="15">
        <v>1.0</v>
      </c>
      <c r="K6911" s="15" t="s">
        <v>31</v>
      </c>
      <c r="L6911" s="16" t="s">
        <v>31</v>
      </c>
      <c r="M6911" s="14" t="s">
        <v>43173</v>
      </c>
      <c r="N6911" s="14" t="s">
        <v>39870</v>
      </c>
      <c r="O6911" s="16" t="s">
        <v>39871</v>
      </c>
      <c r="P6911" s="14" t="s">
        <v>43174</v>
      </c>
      <c r="Q6911" s="14" t="s">
        <v>31</v>
      </c>
      <c r="R6911" s="14" t="s">
        <v>64</v>
      </c>
      <c r="S6911" s="16" t="s">
        <v>43175</v>
      </c>
      <c r="T6911" s="14" t="s">
        <v>66</v>
      </c>
      <c r="U6911" s="16" t="s">
        <v>31</v>
      </c>
      <c r="V6911" s="14" t="s">
        <v>43176</v>
      </c>
      <c r="W6911" s="14" t="s">
        <v>43171</v>
      </c>
      <c r="X6911" s="17" t="str">
        <f>HYPERLINK("https://my.pitchbook.com?p=367056-19P","View People Online")</f>
        <v>View People Online</v>
      </c>
    </row>
    <row r="6912">
      <c r="A6912" s="2" t="s">
        <v>43177</v>
      </c>
      <c r="B6912" s="2" t="s">
        <v>43178</v>
      </c>
      <c r="C6912" s="2" t="s">
        <v>43179</v>
      </c>
      <c r="D6912" s="2" t="s">
        <v>43180</v>
      </c>
      <c r="E6912" s="2" t="s">
        <v>43171</v>
      </c>
      <c r="F6912" s="2" t="s">
        <v>825</v>
      </c>
      <c r="G6912" s="2" t="s">
        <v>43181</v>
      </c>
      <c r="H6912" s="3" t="s">
        <v>31</v>
      </c>
      <c r="I6912" s="3">
        <v>14.0</v>
      </c>
      <c r="J6912" s="3">
        <v>1.0</v>
      </c>
      <c r="K6912" s="3">
        <v>13.0</v>
      </c>
      <c r="L6912" s="4" t="s">
        <v>31</v>
      </c>
      <c r="M6912" s="2" t="s">
        <v>43182</v>
      </c>
      <c r="N6912" s="2" t="s">
        <v>39870</v>
      </c>
      <c r="O6912" s="4" t="s">
        <v>39871</v>
      </c>
      <c r="P6912" s="2" t="s">
        <v>43174</v>
      </c>
      <c r="Q6912" s="2" t="s">
        <v>31</v>
      </c>
      <c r="R6912" s="2" t="s">
        <v>64</v>
      </c>
      <c r="S6912" s="4" t="s">
        <v>43175</v>
      </c>
      <c r="T6912" s="2" t="s">
        <v>66</v>
      </c>
      <c r="U6912" s="4" t="s">
        <v>31</v>
      </c>
      <c r="V6912" s="2" t="s">
        <v>825</v>
      </c>
      <c r="W6912" s="2" t="s">
        <v>43171</v>
      </c>
      <c r="X6912" s="5" t="str">
        <f>HYPERLINK("https://my.pitchbook.com?p=59795-83P","View People Online")</f>
        <v>View People Online</v>
      </c>
    </row>
    <row r="6913">
      <c r="A6913" s="6" t="s">
        <v>43183</v>
      </c>
      <c r="B6913" s="6" t="s">
        <v>43184</v>
      </c>
      <c r="C6913" s="6" t="s">
        <v>36244</v>
      </c>
      <c r="D6913" s="6" t="s">
        <v>4799</v>
      </c>
      <c r="E6913" s="6" t="s">
        <v>43185</v>
      </c>
      <c r="F6913" s="6" t="s">
        <v>1283</v>
      </c>
      <c r="G6913" s="6" t="s">
        <v>43186</v>
      </c>
      <c r="H6913" s="7">
        <v>10.0</v>
      </c>
      <c r="I6913" s="7">
        <v>52.0</v>
      </c>
      <c r="J6913" s="7">
        <v>1.0</v>
      </c>
      <c r="K6913" s="7">
        <v>39.0</v>
      </c>
      <c r="L6913" s="8" t="s">
        <v>43187</v>
      </c>
      <c r="M6913" s="6" t="s">
        <v>43188</v>
      </c>
      <c r="N6913" s="6" t="s">
        <v>39870</v>
      </c>
      <c r="O6913" s="8" t="s">
        <v>39871</v>
      </c>
      <c r="P6913" s="6" t="s">
        <v>43189</v>
      </c>
      <c r="Q6913" s="6" t="s">
        <v>43190</v>
      </c>
      <c r="R6913" s="6" t="s">
        <v>64</v>
      </c>
      <c r="S6913" s="8" t="s">
        <v>43175</v>
      </c>
      <c r="T6913" s="6" t="s">
        <v>66</v>
      </c>
      <c r="U6913" s="8" t="s">
        <v>31</v>
      </c>
      <c r="V6913" s="6" t="s">
        <v>1283</v>
      </c>
      <c r="W6913" s="6" t="s">
        <v>43185</v>
      </c>
      <c r="X6913" s="9" t="str">
        <f>HYPERLINK("https://my.pitchbook.com?p=197296-93P","View People Online")</f>
        <v>View People Online</v>
      </c>
    </row>
    <row r="6914">
      <c r="A6914" s="2" t="s">
        <v>43191</v>
      </c>
      <c r="B6914" s="2" t="s">
        <v>43192</v>
      </c>
      <c r="C6914" s="2" t="s">
        <v>43193</v>
      </c>
      <c r="D6914" s="2" t="s">
        <v>2469</v>
      </c>
      <c r="E6914" s="2" t="s">
        <v>43185</v>
      </c>
      <c r="F6914" s="2" t="s">
        <v>470</v>
      </c>
      <c r="G6914" s="2" t="s">
        <v>43194</v>
      </c>
      <c r="H6914" s="3" t="s">
        <v>31</v>
      </c>
      <c r="I6914" s="3">
        <v>14.0</v>
      </c>
      <c r="J6914" s="3">
        <v>1.0</v>
      </c>
      <c r="K6914" s="3">
        <v>9.0</v>
      </c>
      <c r="L6914" s="4" t="s">
        <v>43187</v>
      </c>
      <c r="M6914" s="2" t="s">
        <v>43195</v>
      </c>
      <c r="N6914" s="2" t="s">
        <v>39870</v>
      </c>
      <c r="O6914" s="4" t="s">
        <v>39871</v>
      </c>
      <c r="P6914" s="2" t="s">
        <v>43189</v>
      </c>
      <c r="Q6914" s="2" t="s">
        <v>43190</v>
      </c>
      <c r="R6914" s="2" t="s">
        <v>64</v>
      </c>
      <c r="S6914" s="4" t="s">
        <v>43175</v>
      </c>
      <c r="T6914" s="2" t="s">
        <v>66</v>
      </c>
      <c r="U6914" s="4" t="s">
        <v>31</v>
      </c>
      <c r="V6914" s="2" t="s">
        <v>470</v>
      </c>
      <c r="W6914" s="2" t="s">
        <v>43185</v>
      </c>
      <c r="X6914" s="5" t="str">
        <f>HYPERLINK("https://my.pitchbook.com?p=59684-05P","View People Online")</f>
        <v>View People Online</v>
      </c>
    </row>
    <row r="6915">
      <c r="A6915" s="14" t="s">
        <v>43196</v>
      </c>
      <c r="B6915" s="14" t="s">
        <v>43197</v>
      </c>
      <c r="C6915" s="14" t="s">
        <v>14677</v>
      </c>
      <c r="D6915" s="14" t="s">
        <v>43198</v>
      </c>
      <c r="E6915" s="14" t="s">
        <v>43185</v>
      </c>
      <c r="F6915" s="14" t="s">
        <v>318</v>
      </c>
      <c r="G6915" s="14" t="s">
        <v>43199</v>
      </c>
      <c r="H6915" s="15" t="s">
        <v>31</v>
      </c>
      <c r="I6915" s="15">
        <v>1.0</v>
      </c>
      <c r="J6915" s="15">
        <v>1.0</v>
      </c>
      <c r="K6915" s="15" t="s">
        <v>31</v>
      </c>
      <c r="L6915" s="16" t="s">
        <v>43187</v>
      </c>
      <c r="M6915" s="14" t="s">
        <v>43200</v>
      </c>
      <c r="N6915" s="14" t="s">
        <v>39870</v>
      </c>
      <c r="O6915" s="16" t="s">
        <v>39871</v>
      </c>
      <c r="P6915" s="14" t="s">
        <v>43189</v>
      </c>
      <c r="Q6915" s="14" t="s">
        <v>43190</v>
      </c>
      <c r="R6915" s="14" t="s">
        <v>64</v>
      </c>
      <c r="S6915" s="16" t="s">
        <v>43175</v>
      </c>
      <c r="T6915" s="14" t="s">
        <v>66</v>
      </c>
      <c r="U6915" s="16" t="s">
        <v>31</v>
      </c>
      <c r="V6915" s="14" t="s">
        <v>318</v>
      </c>
      <c r="W6915" s="14" t="s">
        <v>43185</v>
      </c>
      <c r="X6915" s="17" t="str">
        <f>HYPERLINK("https://my.pitchbook.com?p=203603-41P","View People Online")</f>
        <v>View People Online</v>
      </c>
    </row>
    <row r="6916">
      <c r="A6916" s="2" t="s">
        <v>43201</v>
      </c>
      <c r="B6916" s="2" t="s">
        <v>43202</v>
      </c>
      <c r="C6916" s="2" t="s">
        <v>43203</v>
      </c>
      <c r="D6916" s="2" t="s">
        <v>2469</v>
      </c>
      <c r="E6916" s="2" t="s">
        <v>43185</v>
      </c>
      <c r="F6916" s="2" t="s">
        <v>3600</v>
      </c>
      <c r="G6916" s="2" t="s">
        <v>43204</v>
      </c>
      <c r="H6916" s="3" t="s">
        <v>31</v>
      </c>
      <c r="I6916" s="3">
        <v>1.0</v>
      </c>
      <c r="J6916" s="3">
        <v>1.0</v>
      </c>
      <c r="K6916" s="3" t="s">
        <v>31</v>
      </c>
      <c r="L6916" s="4" t="s">
        <v>43187</v>
      </c>
      <c r="M6916" s="2" t="s">
        <v>43205</v>
      </c>
      <c r="N6916" s="2" t="s">
        <v>39870</v>
      </c>
      <c r="O6916" s="4" t="s">
        <v>39871</v>
      </c>
      <c r="P6916" s="2" t="s">
        <v>43189</v>
      </c>
      <c r="Q6916" s="2" t="s">
        <v>43190</v>
      </c>
      <c r="R6916" s="2" t="s">
        <v>64</v>
      </c>
      <c r="S6916" s="4" t="s">
        <v>43175</v>
      </c>
      <c r="T6916" s="2" t="s">
        <v>66</v>
      </c>
      <c r="U6916" s="4" t="s">
        <v>31</v>
      </c>
      <c r="V6916" s="2" t="s">
        <v>43206</v>
      </c>
      <c r="W6916" s="2" t="s">
        <v>43185</v>
      </c>
      <c r="X6916" s="5" t="str">
        <f>HYPERLINK("https://my.pitchbook.com?p=303945-58P","View People Online")</f>
        <v>View People Online</v>
      </c>
    </row>
    <row r="6917">
      <c r="A6917" s="14" t="s">
        <v>43207</v>
      </c>
      <c r="B6917" s="14" t="s">
        <v>43208</v>
      </c>
      <c r="C6917" s="14" t="s">
        <v>18701</v>
      </c>
      <c r="D6917" s="14" t="s">
        <v>18707</v>
      </c>
      <c r="E6917" s="14" t="s">
        <v>43185</v>
      </c>
      <c r="F6917" s="14" t="s">
        <v>2422</v>
      </c>
      <c r="G6917" s="14" t="s">
        <v>43209</v>
      </c>
      <c r="H6917" s="15" t="s">
        <v>31</v>
      </c>
      <c r="I6917" s="15">
        <v>1.0</v>
      </c>
      <c r="J6917" s="15">
        <v>1.0</v>
      </c>
      <c r="K6917" s="15" t="s">
        <v>31</v>
      </c>
      <c r="L6917" s="16" t="s">
        <v>43187</v>
      </c>
      <c r="M6917" s="14" t="s">
        <v>43210</v>
      </c>
      <c r="N6917" s="14" t="s">
        <v>39870</v>
      </c>
      <c r="O6917" s="16" t="s">
        <v>39871</v>
      </c>
      <c r="P6917" s="14" t="s">
        <v>43189</v>
      </c>
      <c r="Q6917" s="14" t="s">
        <v>43190</v>
      </c>
      <c r="R6917" s="14" t="s">
        <v>64</v>
      </c>
      <c r="S6917" s="16" t="s">
        <v>43175</v>
      </c>
      <c r="T6917" s="14" t="s">
        <v>66</v>
      </c>
      <c r="U6917" s="16" t="s">
        <v>31</v>
      </c>
      <c r="V6917" s="14" t="s">
        <v>2422</v>
      </c>
      <c r="W6917" s="14" t="s">
        <v>43185</v>
      </c>
      <c r="X6917" s="17" t="str">
        <f>HYPERLINK("https://my.pitchbook.com?p=303940-99P","View People Online")</f>
        <v>View People Online</v>
      </c>
    </row>
    <row r="6918">
      <c r="A6918" s="2" t="s">
        <v>43211</v>
      </c>
      <c r="B6918" s="2" t="s">
        <v>43212</v>
      </c>
      <c r="C6918" s="2" t="s">
        <v>2288</v>
      </c>
      <c r="D6918" s="2" t="s">
        <v>2469</v>
      </c>
      <c r="E6918" s="2" t="s">
        <v>43185</v>
      </c>
      <c r="F6918" s="2" t="s">
        <v>43213</v>
      </c>
      <c r="G6918" s="2" t="s">
        <v>43214</v>
      </c>
      <c r="H6918" s="3" t="s">
        <v>31</v>
      </c>
      <c r="I6918" s="3">
        <v>1.0</v>
      </c>
      <c r="J6918" s="3">
        <v>1.0</v>
      </c>
      <c r="K6918" s="3" t="s">
        <v>31</v>
      </c>
      <c r="L6918" s="4" t="s">
        <v>43187</v>
      </c>
      <c r="M6918" s="2" t="s">
        <v>43215</v>
      </c>
      <c r="N6918" s="2" t="s">
        <v>39870</v>
      </c>
      <c r="O6918" s="4" t="s">
        <v>39871</v>
      </c>
      <c r="P6918" s="2" t="s">
        <v>43189</v>
      </c>
      <c r="Q6918" s="2" t="s">
        <v>43190</v>
      </c>
      <c r="R6918" s="2" t="s">
        <v>64</v>
      </c>
      <c r="S6918" s="4" t="s">
        <v>43175</v>
      </c>
      <c r="T6918" s="2" t="s">
        <v>66</v>
      </c>
      <c r="U6918" s="4" t="s">
        <v>31</v>
      </c>
      <c r="V6918" s="2" t="s">
        <v>43216</v>
      </c>
      <c r="W6918" s="2" t="s">
        <v>43185</v>
      </c>
      <c r="X6918" s="5" t="str">
        <f>HYPERLINK("https://my.pitchbook.com?p=303943-15P","View People Online")</f>
        <v>View People Online</v>
      </c>
    </row>
    <row r="6919">
      <c r="A6919" s="6" t="s">
        <v>43217</v>
      </c>
      <c r="B6919" s="6" t="s">
        <v>43218</v>
      </c>
      <c r="C6919" s="6" t="s">
        <v>536</v>
      </c>
      <c r="D6919" s="6" t="s">
        <v>4711</v>
      </c>
      <c r="E6919" s="6" t="s">
        <v>43185</v>
      </c>
      <c r="F6919" s="6" t="s">
        <v>1283</v>
      </c>
      <c r="G6919" s="6" t="s">
        <v>43219</v>
      </c>
      <c r="H6919" s="7">
        <v>5.0</v>
      </c>
      <c r="I6919" s="7">
        <v>31.0</v>
      </c>
      <c r="J6919" s="7">
        <v>2.0</v>
      </c>
      <c r="K6919" s="7">
        <v>22.0</v>
      </c>
      <c r="L6919" s="8" t="s">
        <v>43220</v>
      </c>
      <c r="M6919" s="6" t="s">
        <v>31</v>
      </c>
      <c r="N6919" s="6" t="s">
        <v>43221</v>
      </c>
      <c r="O6919" s="8" t="s">
        <v>43222</v>
      </c>
      <c r="P6919" s="6" t="s">
        <v>43223</v>
      </c>
      <c r="Q6919" s="6" t="s">
        <v>43224</v>
      </c>
      <c r="R6919" s="6" t="s">
        <v>247</v>
      </c>
      <c r="S6919" s="8" t="s">
        <v>43225</v>
      </c>
      <c r="T6919" s="6" t="s">
        <v>249</v>
      </c>
      <c r="U6919" s="8" t="s">
        <v>31</v>
      </c>
      <c r="V6919" s="6" t="s">
        <v>41473</v>
      </c>
      <c r="W6919" s="6" t="s">
        <v>43226</v>
      </c>
      <c r="X6919" s="9" t="str">
        <f>HYPERLINK("https://my.pitchbook.com?p=196622-38P","View People Online")</f>
        <v>View People Online</v>
      </c>
    </row>
    <row r="6920">
      <c r="A6920" s="2" t="s">
        <v>43227</v>
      </c>
      <c r="B6920" s="2" t="s">
        <v>43228</v>
      </c>
      <c r="C6920" s="2" t="s">
        <v>43229</v>
      </c>
      <c r="D6920" s="2" t="s">
        <v>5179</v>
      </c>
      <c r="E6920" s="2" t="s">
        <v>43185</v>
      </c>
      <c r="F6920" s="2" t="s">
        <v>2422</v>
      </c>
      <c r="G6920" s="2" t="s">
        <v>43230</v>
      </c>
      <c r="H6920" s="3" t="s">
        <v>31</v>
      </c>
      <c r="I6920" s="3">
        <v>1.0</v>
      </c>
      <c r="J6920" s="3">
        <v>1.0</v>
      </c>
      <c r="K6920" s="3" t="s">
        <v>31</v>
      </c>
      <c r="L6920" s="4" t="s">
        <v>43187</v>
      </c>
      <c r="M6920" s="2" t="s">
        <v>43231</v>
      </c>
      <c r="N6920" s="2" t="s">
        <v>39870</v>
      </c>
      <c r="O6920" s="4" t="s">
        <v>39871</v>
      </c>
      <c r="P6920" s="2" t="s">
        <v>43189</v>
      </c>
      <c r="Q6920" s="2" t="s">
        <v>43190</v>
      </c>
      <c r="R6920" s="2" t="s">
        <v>64</v>
      </c>
      <c r="S6920" s="4" t="s">
        <v>43175</v>
      </c>
      <c r="T6920" s="2" t="s">
        <v>66</v>
      </c>
      <c r="U6920" s="4" t="s">
        <v>31</v>
      </c>
      <c r="V6920" s="2" t="s">
        <v>2422</v>
      </c>
      <c r="W6920" s="2" t="s">
        <v>43185</v>
      </c>
      <c r="X6920" s="5" t="str">
        <f>HYPERLINK("https://my.pitchbook.com?p=303939-55P","View People Online")</f>
        <v>View People Online</v>
      </c>
    </row>
    <row r="6921">
      <c r="A6921" s="6" t="s">
        <v>43232</v>
      </c>
      <c r="B6921" s="6" t="s">
        <v>43233</v>
      </c>
      <c r="C6921" s="6" t="s">
        <v>43234</v>
      </c>
      <c r="D6921" s="6" t="s">
        <v>21687</v>
      </c>
      <c r="E6921" s="6" t="s">
        <v>43185</v>
      </c>
      <c r="F6921" s="6" t="s">
        <v>1283</v>
      </c>
      <c r="G6921" s="6" t="s">
        <v>43235</v>
      </c>
      <c r="H6921" s="7">
        <v>1.0</v>
      </c>
      <c r="I6921" s="7">
        <v>26.0</v>
      </c>
      <c r="J6921" s="7">
        <v>1.0</v>
      </c>
      <c r="K6921" s="7">
        <v>23.0</v>
      </c>
      <c r="L6921" s="8" t="s">
        <v>43187</v>
      </c>
      <c r="M6921" s="6" t="s">
        <v>43236</v>
      </c>
      <c r="N6921" s="6" t="s">
        <v>39870</v>
      </c>
      <c r="O6921" s="8" t="s">
        <v>39871</v>
      </c>
      <c r="P6921" s="6" t="s">
        <v>43189</v>
      </c>
      <c r="Q6921" s="6" t="s">
        <v>43190</v>
      </c>
      <c r="R6921" s="6" t="s">
        <v>64</v>
      </c>
      <c r="S6921" s="8" t="s">
        <v>43175</v>
      </c>
      <c r="T6921" s="6" t="s">
        <v>66</v>
      </c>
      <c r="U6921" s="8" t="s">
        <v>31</v>
      </c>
      <c r="V6921" s="6" t="s">
        <v>1283</v>
      </c>
      <c r="W6921" s="6" t="s">
        <v>43185</v>
      </c>
      <c r="X6921" s="9" t="str">
        <f>HYPERLINK("https://my.pitchbook.com?p=41965-66P","View People Online")</f>
        <v>View People Online</v>
      </c>
    </row>
    <row r="6922">
      <c r="A6922" s="2" t="s">
        <v>43237</v>
      </c>
      <c r="B6922" s="2" t="s">
        <v>43238</v>
      </c>
      <c r="C6922" s="2" t="s">
        <v>43239</v>
      </c>
      <c r="D6922" s="2" t="s">
        <v>2155</v>
      </c>
      <c r="E6922" s="2" t="s">
        <v>43185</v>
      </c>
      <c r="F6922" s="2" t="s">
        <v>318</v>
      </c>
      <c r="G6922" s="2" t="s">
        <v>43240</v>
      </c>
      <c r="H6922" s="3" t="s">
        <v>31</v>
      </c>
      <c r="I6922" s="3">
        <v>1.0</v>
      </c>
      <c r="J6922" s="3">
        <v>1.0</v>
      </c>
      <c r="K6922" s="3" t="s">
        <v>31</v>
      </c>
      <c r="L6922" s="4" t="s">
        <v>43187</v>
      </c>
      <c r="M6922" s="2" t="s">
        <v>43241</v>
      </c>
      <c r="N6922" s="2" t="s">
        <v>39870</v>
      </c>
      <c r="O6922" s="4" t="s">
        <v>39871</v>
      </c>
      <c r="P6922" s="2" t="s">
        <v>43189</v>
      </c>
      <c r="Q6922" s="2" t="s">
        <v>43190</v>
      </c>
      <c r="R6922" s="2" t="s">
        <v>64</v>
      </c>
      <c r="S6922" s="4" t="s">
        <v>43175</v>
      </c>
      <c r="T6922" s="2" t="s">
        <v>66</v>
      </c>
      <c r="U6922" s="4" t="s">
        <v>31</v>
      </c>
      <c r="V6922" s="2" t="s">
        <v>318</v>
      </c>
      <c r="W6922" s="2" t="s">
        <v>43185</v>
      </c>
      <c r="X6922" s="5" t="str">
        <f>HYPERLINK("https://my.pitchbook.com?p=349435-72P","View People Online")</f>
        <v>View People Online</v>
      </c>
    </row>
    <row r="6923">
      <c r="A6923" s="6" t="s">
        <v>43242</v>
      </c>
      <c r="B6923" s="6" t="s">
        <v>43243</v>
      </c>
      <c r="C6923" s="6" t="s">
        <v>43244</v>
      </c>
      <c r="D6923" s="6" t="s">
        <v>43245</v>
      </c>
      <c r="E6923" s="6" t="s">
        <v>43185</v>
      </c>
      <c r="F6923" s="6" t="s">
        <v>502</v>
      </c>
      <c r="G6923" s="6" t="s">
        <v>43246</v>
      </c>
      <c r="H6923" s="7" t="s">
        <v>31</v>
      </c>
      <c r="I6923" s="7">
        <v>1.0</v>
      </c>
      <c r="J6923" s="7">
        <v>1.0</v>
      </c>
      <c r="K6923" s="7" t="s">
        <v>31</v>
      </c>
      <c r="L6923" s="8" t="s">
        <v>43187</v>
      </c>
      <c r="M6923" s="6" t="s">
        <v>43247</v>
      </c>
      <c r="N6923" s="6" t="s">
        <v>39870</v>
      </c>
      <c r="O6923" s="8" t="s">
        <v>39871</v>
      </c>
      <c r="P6923" s="6" t="s">
        <v>43189</v>
      </c>
      <c r="Q6923" s="6" t="s">
        <v>43190</v>
      </c>
      <c r="R6923" s="6" t="s">
        <v>64</v>
      </c>
      <c r="S6923" s="8" t="s">
        <v>43175</v>
      </c>
      <c r="T6923" s="6" t="s">
        <v>66</v>
      </c>
      <c r="U6923" s="8" t="s">
        <v>31</v>
      </c>
      <c r="V6923" s="6" t="s">
        <v>502</v>
      </c>
      <c r="W6923" s="6" t="s">
        <v>43185</v>
      </c>
      <c r="X6923" s="9" t="str">
        <f>HYPERLINK("https://my.pitchbook.com?p=297072-19P","View People Online")</f>
        <v>View People Online</v>
      </c>
    </row>
    <row r="6924">
      <c r="A6924" s="2" t="s">
        <v>43248</v>
      </c>
      <c r="B6924" s="2" t="s">
        <v>43249</v>
      </c>
      <c r="C6924" s="2" t="s">
        <v>43250</v>
      </c>
      <c r="D6924" s="2" t="s">
        <v>26229</v>
      </c>
      <c r="E6924" s="2" t="s">
        <v>43185</v>
      </c>
      <c r="F6924" s="2" t="s">
        <v>318</v>
      </c>
      <c r="G6924" s="2" t="s">
        <v>43251</v>
      </c>
      <c r="H6924" s="3" t="s">
        <v>31</v>
      </c>
      <c r="I6924" s="3">
        <v>1.0</v>
      </c>
      <c r="J6924" s="3">
        <v>1.0</v>
      </c>
      <c r="K6924" s="3" t="s">
        <v>31</v>
      </c>
      <c r="L6924" s="4" t="s">
        <v>43187</v>
      </c>
      <c r="M6924" s="2" t="s">
        <v>43252</v>
      </c>
      <c r="N6924" s="2" t="s">
        <v>39870</v>
      </c>
      <c r="O6924" s="4" t="s">
        <v>39871</v>
      </c>
      <c r="P6924" s="2" t="s">
        <v>43189</v>
      </c>
      <c r="Q6924" s="2" t="s">
        <v>43190</v>
      </c>
      <c r="R6924" s="2" t="s">
        <v>64</v>
      </c>
      <c r="S6924" s="4" t="s">
        <v>43175</v>
      </c>
      <c r="T6924" s="2" t="s">
        <v>66</v>
      </c>
      <c r="U6924" s="4" t="s">
        <v>31</v>
      </c>
      <c r="V6924" s="2" t="s">
        <v>318</v>
      </c>
      <c r="W6924" s="2" t="s">
        <v>43185</v>
      </c>
      <c r="X6924" s="5" t="str">
        <f>HYPERLINK("https://my.pitchbook.com?p=303944-41P","View People Online")</f>
        <v>View People Online</v>
      </c>
    </row>
    <row r="6925">
      <c r="A6925" s="6" t="s">
        <v>43253</v>
      </c>
      <c r="B6925" s="6" t="s">
        <v>43254</v>
      </c>
      <c r="C6925" s="6" t="s">
        <v>285</v>
      </c>
      <c r="D6925" s="6" t="s">
        <v>9727</v>
      </c>
      <c r="E6925" s="6" t="s">
        <v>43255</v>
      </c>
      <c r="F6925" s="6" t="s">
        <v>4527</v>
      </c>
      <c r="G6925" s="6" t="s">
        <v>43256</v>
      </c>
      <c r="H6925" s="7">
        <v>3.0</v>
      </c>
      <c r="I6925" s="7">
        <v>7.0</v>
      </c>
      <c r="J6925" s="7">
        <v>2.0</v>
      </c>
      <c r="K6925" s="7">
        <v>4.0</v>
      </c>
      <c r="L6925" s="8" t="s">
        <v>43257</v>
      </c>
      <c r="M6925" s="6" t="s">
        <v>43258</v>
      </c>
      <c r="N6925" s="6" t="s">
        <v>1454</v>
      </c>
      <c r="O6925" s="8" t="s">
        <v>1455</v>
      </c>
      <c r="P6925" s="6" t="s">
        <v>43259</v>
      </c>
      <c r="Q6925" s="6" t="s">
        <v>14206</v>
      </c>
      <c r="R6925" s="6" t="s">
        <v>93</v>
      </c>
      <c r="S6925" s="8" t="s">
        <v>1458</v>
      </c>
      <c r="T6925" s="6" t="s">
        <v>66</v>
      </c>
      <c r="U6925" s="8" t="s">
        <v>43260</v>
      </c>
      <c r="V6925" s="6" t="s">
        <v>34077</v>
      </c>
      <c r="W6925" s="6" t="s">
        <v>43261</v>
      </c>
      <c r="X6925" s="9" t="str">
        <f>HYPERLINK("https://my.pitchbook.com?p=51572-89P","View People Online")</f>
        <v>View People Online</v>
      </c>
    </row>
    <row r="6926">
      <c r="A6926" s="10" t="s">
        <v>43262</v>
      </c>
      <c r="B6926" s="10" t="s">
        <v>43263</v>
      </c>
      <c r="C6926" s="10" t="s">
        <v>6414</v>
      </c>
      <c r="D6926" s="10" t="s">
        <v>28504</v>
      </c>
      <c r="E6926" s="10" t="s">
        <v>43255</v>
      </c>
      <c r="F6926" s="10" t="s">
        <v>312</v>
      </c>
      <c r="G6926" s="10" t="s">
        <v>43264</v>
      </c>
      <c r="H6926" s="11" t="s">
        <v>31</v>
      </c>
      <c r="I6926" s="11">
        <v>1.0</v>
      </c>
      <c r="J6926" s="11">
        <v>1.0</v>
      </c>
      <c r="K6926" s="11" t="s">
        <v>31</v>
      </c>
      <c r="L6926" s="12" t="s">
        <v>43265</v>
      </c>
      <c r="M6926" s="10" t="s">
        <v>43266</v>
      </c>
      <c r="N6926" s="10" t="s">
        <v>1454</v>
      </c>
      <c r="O6926" s="12" t="s">
        <v>1455</v>
      </c>
      <c r="P6926" s="10" t="s">
        <v>43267</v>
      </c>
      <c r="Q6926" s="10" t="s">
        <v>13919</v>
      </c>
      <c r="R6926" s="10" t="s">
        <v>93</v>
      </c>
      <c r="S6926" s="12" t="s">
        <v>1458</v>
      </c>
      <c r="T6926" s="10" t="s">
        <v>66</v>
      </c>
      <c r="U6926" s="12" t="s">
        <v>31</v>
      </c>
      <c r="V6926" s="10" t="s">
        <v>27426</v>
      </c>
      <c r="W6926" s="10" t="s">
        <v>43255</v>
      </c>
      <c r="X6926" s="13" t="str">
        <f>HYPERLINK("https://my.pitchbook.com?p=246077-65P","View People Online")</f>
        <v>View People Online</v>
      </c>
    </row>
    <row r="6927">
      <c r="A6927" s="14" t="s">
        <v>43268</v>
      </c>
      <c r="B6927" s="14" t="s">
        <v>43269</v>
      </c>
      <c r="C6927" s="14" t="s">
        <v>126</v>
      </c>
      <c r="D6927" s="14" t="s">
        <v>43270</v>
      </c>
      <c r="E6927" s="14" t="s">
        <v>43255</v>
      </c>
      <c r="F6927" s="14" t="s">
        <v>43271</v>
      </c>
      <c r="G6927" s="14" t="s">
        <v>43272</v>
      </c>
      <c r="H6927" s="15" t="s">
        <v>31</v>
      </c>
      <c r="I6927" s="15">
        <v>1.0</v>
      </c>
      <c r="J6927" s="15">
        <v>1.0</v>
      </c>
      <c r="K6927" s="15" t="s">
        <v>31</v>
      </c>
      <c r="L6927" s="16" t="s">
        <v>43265</v>
      </c>
      <c r="M6927" s="14" t="s">
        <v>43273</v>
      </c>
      <c r="N6927" s="14" t="s">
        <v>1454</v>
      </c>
      <c r="O6927" s="16" t="s">
        <v>1455</v>
      </c>
      <c r="P6927" s="14" t="s">
        <v>43267</v>
      </c>
      <c r="Q6927" s="14" t="s">
        <v>13919</v>
      </c>
      <c r="R6927" s="14" t="s">
        <v>93</v>
      </c>
      <c r="S6927" s="16" t="s">
        <v>1458</v>
      </c>
      <c r="T6927" s="14" t="s">
        <v>66</v>
      </c>
      <c r="U6927" s="16" t="s">
        <v>31</v>
      </c>
      <c r="V6927" s="14" t="s">
        <v>43271</v>
      </c>
      <c r="W6927" s="14" t="s">
        <v>43255</v>
      </c>
      <c r="X6927" s="17" t="str">
        <f>HYPERLINK("https://my.pitchbook.com?p=38184-76P","View People Online")</f>
        <v>View People Online</v>
      </c>
    </row>
    <row r="6928">
      <c r="A6928" s="10" t="s">
        <v>43274</v>
      </c>
      <c r="B6928" s="10" t="s">
        <v>43275</v>
      </c>
      <c r="C6928" s="10" t="s">
        <v>1807</v>
      </c>
      <c r="D6928" s="10" t="s">
        <v>43276</v>
      </c>
      <c r="E6928" s="10" t="s">
        <v>43255</v>
      </c>
      <c r="F6928" s="10" t="s">
        <v>371</v>
      </c>
      <c r="G6928" s="10" t="s">
        <v>43277</v>
      </c>
      <c r="H6928" s="11" t="s">
        <v>31</v>
      </c>
      <c r="I6928" s="11">
        <v>1.0</v>
      </c>
      <c r="J6928" s="11">
        <v>1.0</v>
      </c>
      <c r="K6928" s="11" t="s">
        <v>31</v>
      </c>
      <c r="L6928" s="12" t="s">
        <v>43265</v>
      </c>
      <c r="M6928" s="10" t="s">
        <v>43278</v>
      </c>
      <c r="N6928" s="10" t="s">
        <v>1454</v>
      </c>
      <c r="O6928" s="12" t="s">
        <v>1455</v>
      </c>
      <c r="P6928" s="10" t="s">
        <v>43267</v>
      </c>
      <c r="Q6928" s="10" t="s">
        <v>13919</v>
      </c>
      <c r="R6928" s="10" t="s">
        <v>93</v>
      </c>
      <c r="S6928" s="12" t="s">
        <v>1458</v>
      </c>
      <c r="T6928" s="10" t="s">
        <v>66</v>
      </c>
      <c r="U6928" s="12" t="s">
        <v>31</v>
      </c>
      <c r="V6928" s="10" t="s">
        <v>11500</v>
      </c>
      <c r="W6928" s="10" t="s">
        <v>43255</v>
      </c>
      <c r="X6928" s="13" t="str">
        <f>HYPERLINK("https://my.pitchbook.com?p=372544-66P","View People Online")</f>
        <v>View People Online</v>
      </c>
    </row>
    <row r="6929">
      <c r="A6929" s="14" t="s">
        <v>43279</v>
      </c>
      <c r="B6929" s="14" t="s">
        <v>43280</v>
      </c>
      <c r="C6929" s="14" t="s">
        <v>4611</v>
      </c>
      <c r="D6929" s="14" t="s">
        <v>43281</v>
      </c>
      <c r="E6929" s="14" t="s">
        <v>43255</v>
      </c>
      <c r="F6929" s="14" t="s">
        <v>583</v>
      </c>
      <c r="G6929" s="14" t="s">
        <v>43282</v>
      </c>
      <c r="H6929" s="15" t="s">
        <v>31</v>
      </c>
      <c r="I6929" s="15">
        <v>2.0</v>
      </c>
      <c r="J6929" s="15">
        <v>1.0</v>
      </c>
      <c r="K6929" s="15">
        <v>1.0</v>
      </c>
      <c r="L6929" s="16" t="s">
        <v>43265</v>
      </c>
      <c r="M6929" s="14" t="s">
        <v>43283</v>
      </c>
      <c r="N6929" s="14" t="s">
        <v>1454</v>
      </c>
      <c r="O6929" s="16" t="s">
        <v>1455</v>
      </c>
      <c r="P6929" s="14" t="s">
        <v>43267</v>
      </c>
      <c r="Q6929" s="14" t="s">
        <v>13919</v>
      </c>
      <c r="R6929" s="14" t="s">
        <v>93</v>
      </c>
      <c r="S6929" s="16" t="s">
        <v>1458</v>
      </c>
      <c r="T6929" s="14" t="s">
        <v>66</v>
      </c>
      <c r="U6929" s="16" t="s">
        <v>31</v>
      </c>
      <c r="V6929" s="14" t="s">
        <v>583</v>
      </c>
      <c r="W6929" s="14" t="s">
        <v>43255</v>
      </c>
      <c r="X6929" s="17" t="str">
        <f>HYPERLINK("https://my.pitchbook.com?p=424319-41P","View People Online")</f>
        <v>View People Online</v>
      </c>
    </row>
    <row r="6930">
      <c r="A6930" s="10" t="s">
        <v>43284</v>
      </c>
      <c r="B6930" s="10" t="s">
        <v>43285</v>
      </c>
      <c r="C6930" s="10" t="s">
        <v>4015</v>
      </c>
      <c r="D6930" s="10" t="s">
        <v>43286</v>
      </c>
      <c r="E6930" s="10" t="s">
        <v>43255</v>
      </c>
      <c r="F6930" s="10" t="s">
        <v>5287</v>
      </c>
      <c r="G6930" s="10" t="s">
        <v>43287</v>
      </c>
      <c r="H6930" s="11" t="s">
        <v>31</v>
      </c>
      <c r="I6930" s="11">
        <v>1.0</v>
      </c>
      <c r="J6930" s="11">
        <v>1.0</v>
      </c>
      <c r="K6930" s="11" t="s">
        <v>31</v>
      </c>
      <c r="L6930" s="12" t="s">
        <v>43265</v>
      </c>
      <c r="M6930" s="10" t="s">
        <v>43288</v>
      </c>
      <c r="N6930" s="10" t="s">
        <v>1454</v>
      </c>
      <c r="O6930" s="12" t="s">
        <v>1455</v>
      </c>
      <c r="P6930" s="10" t="s">
        <v>43267</v>
      </c>
      <c r="Q6930" s="10" t="s">
        <v>13919</v>
      </c>
      <c r="R6930" s="10" t="s">
        <v>93</v>
      </c>
      <c r="S6930" s="12" t="s">
        <v>1458</v>
      </c>
      <c r="T6930" s="10" t="s">
        <v>66</v>
      </c>
      <c r="U6930" s="12" t="s">
        <v>31</v>
      </c>
      <c r="V6930" s="10" t="s">
        <v>35451</v>
      </c>
      <c r="W6930" s="10" t="s">
        <v>43255</v>
      </c>
      <c r="X6930" s="13" t="str">
        <f>HYPERLINK("https://my.pitchbook.com?p=44682-76P","View People Online")</f>
        <v>View People Online</v>
      </c>
    </row>
    <row r="6931">
      <c r="A6931" s="14" t="s">
        <v>43289</v>
      </c>
      <c r="B6931" s="14" t="s">
        <v>43290</v>
      </c>
      <c r="C6931" s="14" t="s">
        <v>568</v>
      </c>
      <c r="D6931" s="14" t="s">
        <v>43291</v>
      </c>
      <c r="E6931" s="14" t="s">
        <v>43292</v>
      </c>
      <c r="F6931" s="14" t="s">
        <v>825</v>
      </c>
      <c r="G6931" s="14" t="s">
        <v>43293</v>
      </c>
      <c r="H6931" s="15" t="s">
        <v>31</v>
      </c>
      <c r="I6931" s="15">
        <v>1.0</v>
      </c>
      <c r="J6931" s="15">
        <v>1.0</v>
      </c>
      <c r="K6931" s="15" t="s">
        <v>31</v>
      </c>
      <c r="L6931" s="16" t="s">
        <v>43294</v>
      </c>
      <c r="M6931" s="14" t="s">
        <v>43295</v>
      </c>
      <c r="N6931" s="14" t="s">
        <v>1181</v>
      </c>
      <c r="O6931" s="16" t="s">
        <v>1182</v>
      </c>
      <c r="P6931" s="14" t="s">
        <v>43296</v>
      </c>
      <c r="Q6931" s="14" t="s">
        <v>31</v>
      </c>
      <c r="R6931" s="14" t="s">
        <v>1185</v>
      </c>
      <c r="S6931" s="16" t="s">
        <v>6739</v>
      </c>
      <c r="T6931" s="14" t="s">
        <v>66</v>
      </c>
      <c r="U6931" s="16" t="s">
        <v>31</v>
      </c>
      <c r="V6931" s="14" t="s">
        <v>43297</v>
      </c>
      <c r="W6931" s="14" t="s">
        <v>43292</v>
      </c>
      <c r="X6931" s="17" t="str">
        <f>HYPERLINK("https://my.pitchbook.com?p=392078-80P","View People Online")</f>
        <v>View People Online</v>
      </c>
    </row>
    <row r="6932">
      <c r="A6932" s="2" t="s">
        <v>43298</v>
      </c>
      <c r="B6932" s="2" t="s">
        <v>43299</v>
      </c>
      <c r="C6932" s="2" t="s">
        <v>186</v>
      </c>
      <c r="D6932" s="2" t="s">
        <v>43300</v>
      </c>
      <c r="E6932" s="2" t="s">
        <v>43292</v>
      </c>
      <c r="F6932" s="2" t="s">
        <v>1283</v>
      </c>
      <c r="G6932" s="2" t="s">
        <v>43301</v>
      </c>
      <c r="H6932" s="3" t="s">
        <v>31</v>
      </c>
      <c r="I6932" s="3">
        <v>1.0</v>
      </c>
      <c r="J6932" s="3">
        <v>1.0</v>
      </c>
      <c r="K6932" s="3" t="s">
        <v>31</v>
      </c>
      <c r="L6932" s="4" t="s">
        <v>43294</v>
      </c>
      <c r="M6932" s="2" t="s">
        <v>43302</v>
      </c>
      <c r="N6932" s="2" t="s">
        <v>1181</v>
      </c>
      <c r="O6932" s="4" t="s">
        <v>1182</v>
      </c>
      <c r="P6932" s="2" t="s">
        <v>43296</v>
      </c>
      <c r="Q6932" s="2" t="s">
        <v>31</v>
      </c>
      <c r="R6932" s="2" t="s">
        <v>1185</v>
      </c>
      <c r="S6932" s="4" t="s">
        <v>6739</v>
      </c>
      <c r="T6932" s="2" t="s">
        <v>66</v>
      </c>
      <c r="U6932" s="4" t="s">
        <v>31</v>
      </c>
      <c r="V6932" s="2" t="s">
        <v>30562</v>
      </c>
      <c r="W6932" s="2" t="s">
        <v>43292</v>
      </c>
      <c r="X6932" s="5" t="str">
        <f>HYPERLINK("https://my.pitchbook.com?p=396244-18P","View People Online")</f>
        <v>View People Online</v>
      </c>
    </row>
    <row r="6933">
      <c r="A6933" s="14" t="s">
        <v>43303</v>
      </c>
      <c r="B6933" s="14" t="s">
        <v>43304</v>
      </c>
      <c r="C6933" s="14" t="s">
        <v>43305</v>
      </c>
      <c r="D6933" s="14" t="s">
        <v>1147</v>
      </c>
      <c r="E6933" s="14" t="s">
        <v>43292</v>
      </c>
      <c r="F6933" s="14" t="s">
        <v>1283</v>
      </c>
      <c r="G6933" s="14" t="s">
        <v>43306</v>
      </c>
      <c r="H6933" s="15" t="s">
        <v>31</v>
      </c>
      <c r="I6933" s="15">
        <v>1.0</v>
      </c>
      <c r="J6933" s="15">
        <v>1.0</v>
      </c>
      <c r="K6933" s="15" t="s">
        <v>31</v>
      </c>
      <c r="L6933" s="16" t="s">
        <v>43294</v>
      </c>
      <c r="M6933" s="14" t="s">
        <v>43307</v>
      </c>
      <c r="N6933" s="14" t="s">
        <v>1181</v>
      </c>
      <c r="O6933" s="16" t="s">
        <v>1182</v>
      </c>
      <c r="P6933" s="14" t="s">
        <v>43296</v>
      </c>
      <c r="Q6933" s="14" t="s">
        <v>31</v>
      </c>
      <c r="R6933" s="14" t="s">
        <v>1185</v>
      </c>
      <c r="S6933" s="16" t="s">
        <v>6739</v>
      </c>
      <c r="T6933" s="14" t="s">
        <v>66</v>
      </c>
      <c r="U6933" s="16" t="s">
        <v>31</v>
      </c>
      <c r="V6933" s="14" t="s">
        <v>43308</v>
      </c>
      <c r="W6933" s="14" t="s">
        <v>43292</v>
      </c>
      <c r="X6933" s="17" t="str">
        <f>HYPERLINK("https://my.pitchbook.com?p=396252-10P","View People Online")</f>
        <v>View People Online</v>
      </c>
    </row>
    <row r="6934">
      <c r="A6934" s="10" t="s">
        <v>43309</v>
      </c>
      <c r="B6934" s="10" t="s">
        <v>43310</v>
      </c>
      <c r="C6934" s="10" t="s">
        <v>24222</v>
      </c>
      <c r="D6934" s="10" t="s">
        <v>43311</v>
      </c>
      <c r="E6934" s="10" t="s">
        <v>43292</v>
      </c>
      <c r="F6934" s="10" t="s">
        <v>371</v>
      </c>
      <c r="G6934" s="10" t="s">
        <v>43312</v>
      </c>
      <c r="H6934" s="11" t="s">
        <v>31</v>
      </c>
      <c r="I6934" s="11">
        <v>1.0</v>
      </c>
      <c r="J6934" s="11">
        <v>1.0</v>
      </c>
      <c r="K6934" s="11" t="s">
        <v>31</v>
      </c>
      <c r="L6934" s="12" t="s">
        <v>43294</v>
      </c>
      <c r="M6934" s="10" t="s">
        <v>43313</v>
      </c>
      <c r="N6934" s="10" t="s">
        <v>1181</v>
      </c>
      <c r="O6934" s="12" t="s">
        <v>1182</v>
      </c>
      <c r="P6934" s="10" t="s">
        <v>43296</v>
      </c>
      <c r="Q6934" s="10" t="s">
        <v>31</v>
      </c>
      <c r="R6934" s="10" t="s">
        <v>1185</v>
      </c>
      <c r="S6934" s="12" t="s">
        <v>6739</v>
      </c>
      <c r="T6934" s="10" t="s">
        <v>66</v>
      </c>
      <c r="U6934" s="12" t="s">
        <v>31</v>
      </c>
      <c r="V6934" s="10" t="s">
        <v>43314</v>
      </c>
      <c r="W6934" s="10" t="s">
        <v>43292</v>
      </c>
      <c r="X6934" s="13" t="str">
        <f>HYPERLINK("https://my.pitchbook.com?p=368103-79P","View People Online")</f>
        <v>View People Online</v>
      </c>
    </row>
    <row r="6935">
      <c r="A6935" s="14" t="s">
        <v>43315</v>
      </c>
      <c r="B6935" s="14" t="s">
        <v>43316</v>
      </c>
      <c r="C6935" s="14" t="s">
        <v>2713</v>
      </c>
      <c r="D6935" s="14" t="s">
        <v>43317</v>
      </c>
      <c r="E6935" s="14" t="s">
        <v>43292</v>
      </c>
      <c r="F6935" s="14" t="s">
        <v>1283</v>
      </c>
      <c r="G6935" s="14" t="s">
        <v>43318</v>
      </c>
      <c r="H6935" s="15" t="s">
        <v>31</v>
      </c>
      <c r="I6935" s="15">
        <v>1.0</v>
      </c>
      <c r="J6935" s="15">
        <v>1.0</v>
      </c>
      <c r="K6935" s="15" t="s">
        <v>31</v>
      </c>
      <c r="L6935" s="16" t="s">
        <v>43294</v>
      </c>
      <c r="M6935" s="14" t="s">
        <v>43319</v>
      </c>
      <c r="N6935" s="14" t="s">
        <v>1181</v>
      </c>
      <c r="O6935" s="16" t="s">
        <v>1182</v>
      </c>
      <c r="P6935" s="14" t="s">
        <v>43296</v>
      </c>
      <c r="Q6935" s="14" t="s">
        <v>31</v>
      </c>
      <c r="R6935" s="14" t="s">
        <v>1185</v>
      </c>
      <c r="S6935" s="16" t="s">
        <v>6739</v>
      </c>
      <c r="T6935" s="14" t="s">
        <v>66</v>
      </c>
      <c r="U6935" s="16" t="s">
        <v>31</v>
      </c>
      <c r="V6935" s="14" t="s">
        <v>43320</v>
      </c>
      <c r="W6935" s="14" t="s">
        <v>43292</v>
      </c>
      <c r="X6935" s="17" t="str">
        <f>HYPERLINK("https://my.pitchbook.com?p=67765-33P","View People Online")</f>
        <v>View People Online</v>
      </c>
    </row>
    <row r="6936">
      <c r="A6936" s="10" t="s">
        <v>43321</v>
      </c>
      <c r="B6936" s="10" t="s">
        <v>43322</v>
      </c>
      <c r="C6936" s="10" t="s">
        <v>10973</v>
      </c>
      <c r="D6936" s="10" t="s">
        <v>43323</v>
      </c>
      <c r="E6936" s="10" t="s">
        <v>43292</v>
      </c>
      <c r="F6936" s="10" t="s">
        <v>1283</v>
      </c>
      <c r="G6936" s="10" t="s">
        <v>43324</v>
      </c>
      <c r="H6936" s="11" t="s">
        <v>31</v>
      </c>
      <c r="I6936" s="11">
        <v>1.0</v>
      </c>
      <c r="J6936" s="11">
        <v>1.0</v>
      </c>
      <c r="K6936" s="11" t="s">
        <v>31</v>
      </c>
      <c r="L6936" s="12" t="s">
        <v>43294</v>
      </c>
      <c r="M6936" s="10" t="s">
        <v>43325</v>
      </c>
      <c r="N6936" s="10" t="s">
        <v>1181</v>
      </c>
      <c r="O6936" s="12" t="s">
        <v>1182</v>
      </c>
      <c r="P6936" s="10" t="s">
        <v>43296</v>
      </c>
      <c r="Q6936" s="10" t="s">
        <v>31</v>
      </c>
      <c r="R6936" s="10" t="s">
        <v>1185</v>
      </c>
      <c r="S6936" s="12" t="s">
        <v>6739</v>
      </c>
      <c r="T6936" s="10" t="s">
        <v>66</v>
      </c>
      <c r="U6936" s="12" t="s">
        <v>31</v>
      </c>
      <c r="V6936" s="10" t="s">
        <v>43326</v>
      </c>
      <c r="W6936" s="10" t="s">
        <v>43292</v>
      </c>
      <c r="X6936" s="13" t="str">
        <f>HYPERLINK("https://my.pitchbook.com?p=396258-58P","View People Online")</f>
        <v>View People Online</v>
      </c>
    </row>
    <row r="6937">
      <c r="A6937" s="14" t="s">
        <v>43327</v>
      </c>
      <c r="B6937" s="14" t="s">
        <v>43328</v>
      </c>
      <c r="C6937" s="14" t="s">
        <v>10401</v>
      </c>
      <c r="D6937" s="14" t="s">
        <v>17468</v>
      </c>
      <c r="E6937" s="14" t="s">
        <v>43292</v>
      </c>
      <c r="F6937" s="14" t="s">
        <v>2652</v>
      </c>
      <c r="G6937" s="14" t="s">
        <v>43329</v>
      </c>
      <c r="H6937" s="15" t="s">
        <v>31</v>
      </c>
      <c r="I6937" s="15">
        <v>1.0</v>
      </c>
      <c r="J6937" s="15">
        <v>1.0</v>
      </c>
      <c r="K6937" s="15" t="s">
        <v>31</v>
      </c>
      <c r="L6937" s="16" t="s">
        <v>43294</v>
      </c>
      <c r="M6937" s="14" t="s">
        <v>43330</v>
      </c>
      <c r="N6937" s="14" t="s">
        <v>1181</v>
      </c>
      <c r="O6937" s="16" t="s">
        <v>1182</v>
      </c>
      <c r="P6937" s="14" t="s">
        <v>43296</v>
      </c>
      <c r="Q6937" s="14" t="s">
        <v>31</v>
      </c>
      <c r="R6937" s="14" t="s">
        <v>1185</v>
      </c>
      <c r="S6937" s="16" t="s">
        <v>6739</v>
      </c>
      <c r="T6937" s="14" t="s">
        <v>66</v>
      </c>
      <c r="U6937" s="16" t="s">
        <v>31</v>
      </c>
      <c r="V6937" s="14" t="s">
        <v>24866</v>
      </c>
      <c r="W6937" s="14" t="s">
        <v>43292</v>
      </c>
      <c r="X6937" s="17" t="str">
        <f>HYPERLINK("https://my.pitchbook.com?p=395284-51P","View People Online")</f>
        <v>View People Online</v>
      </c>
    </row>
    <row r="6938">
      <c r="A6938" s="10" t="s">
        <v>43331</v>
      </c>
      <c r="B6938" s="10" t="s">
        <v>43332</v>
      </c>
      <c r="C6938" s="10" t="s">
        <v>285</v>
      </c>
      <c r="D6938" s="10" t="s">
        <v>43333</v>
      </c>
      <c r="E6938" s="10" t="s">
        <v>43292</v>
      </c>
      <c r="F6938" s="10" t="s">
        <v>5065</v>
      </c>
      <c r="G6938" s="10" t="s">
        <v>43334</v>
      </c>
      <c r="H6938" s="11" t="s">
        <v>31</v>
      </c>
      <c r="I6938" s="11">
        <v>1.0</v>
      </c>
      <c r="J6938" s="11">
        <v>1.0</v>
      </c>
      <c r="K6938" s="11" t="s">
        <v>31</v>
      </c>
      <c r="L6938" s="12" t="s">
        <v>43294</v>
      </c>
      <c r="M6938" s="10" t="s">
        <v>43335</v>
      </c>
      <c r="N6938" s="10" t="s">
        <v>1181</v>
      </c>
      <c r="O6938" s="12" t="s">
        <v>1182</v>
      </c>
      <c r="P6938" s="10" t="s">
        <v>43296</v>
      </c>
      <c r="Q6938" s="10" t="s">
        <v>31</v>
      </c>
      <c r="R6938" s="10" t="s">
        <v>1185</v>
      </c>
      <c r="S6938" s="12" t="s">
        <v>6739</v>
      </c>
      <c r="T6938" s="10" t="s">
        <v>66</v>
      </c>
      <c r="U6938" s="12" t="s">
        <v>31</v>
      </c>
      <c r="V6938" s="10" t="s">
        <v>43336</v>
      </c>
      <c r="W6938" s="10" t="s">
        <v>43292</v>
      </c>
      <c r="X6938" s="13" t="str">
        <f>HYPERLINK("https://my.pitchbook.com?p=392081-41P","View People Online")</f>
        <v>View People Online</v>
      </c>
    </row>
    <row r="6939">
      <c r="A6939" s="14" t="s">
        <v>43337</v>
      </c>
      <c r="B6939" s="14" t="s">
        <v>43338</v>
      </c>
      <c r="C6939" s="14" t="s">
        <v>285</v>
      </c>
      <c r="D6939" s="14" t="s">
        <v>4680</v>
      </c>
      <c r="E6939" s="14" t="s">
        <v>43292</v>
      </c>
      <c r="F6939" s="14" t="s">
        <v>2652</v>
      </c>
      <c r="G6939" s="14" t="s">
        <v>43339</v>
      </c>
      <c r="H6939" s="15" t="s">
        <v>31</v>
      </c>
      <c r="I6939" s="15">
        <v>1.0</v>
      </c>
      <c r="J6939" s="15">
        <v>1.0</v>
      </c>
      <c r="K6939" s="15" t="s">
        <v>31</v>
      </c>
      <c r="L6939" s="16" t="s">
        <v>43340</v>
      </c>
      <c r="M6939" s="14" t="s">
        <v>43341</v>
      </c>
      <c r="N6939" s="14" t="s">
        <v>1181</v>
      </c>
      <c r="O6939" s="16" t="s">
        <v>1182</v>
      </c>
      <c r="P6939" s="14" t="s">
        <v>43296</v>
      </c>
      <c r="Q6939" s="14" t="s">
        <v>31</v>
      </c>
      <c r="R6939" s="14" t="s">
        <v>1185</v>
      </c>
      <c r="S6939" s="16" t="s">
        <v>6739</v>
      </c>
      <c r="T6939" s="14" t="s">
        <v>66</v>
      </c>
      <c r="U6939" s="16" t="s">
        <v>31</v>
      </c>
      <c r="V6939" s="14" t="s">
        <v>31150</v>
      </c>
      <c r="W6939" s="14" t="s">
        <v>43292</v>
      </c>
      <c r="X6939" s="17" t="str">
        <f>HYPERLINK("https://my.pitchbook.com?p=194148-73P","View People Online")</f>
        <v>View People Online</v>
      </c>
    </row>
    <row r="6940">
      <c r="A6940" s="2" t="s">
        <v>43342</v>
      </c>
      <c r="B6940" s="2" t="s">
        <v>43343</v>
      </c>
      <c r="C6940" s="2" t="s">
        <v>1449</v>
      </c>
      <c r="D6940" s="2" t="s">
        <v>43344</v>
      </c>
      <c r="E6940" s="2" t="s">
        <v>43292</v>
      </c>
      <c r="F6940" s="2" t="s">
        <v>2652</v>
      </c>
      <c r="G6940" s="2" t="s">
        <v>43345</v>
      </c>
      <c r="H6940" s="3" t="s">
        <v>31</v>
      </c>
      <c r="I6940" s="3">
        <v>1.0</v>
      </c>
      <c r="J6940" s="3">
        <v>1.0</v>
      </c>
      <c r="K6940" s="3" t="s">
        <v>31</v>
      </c>
      <c r="L6940" s="4" t="s">
        <v>43294</v>
      </c>
      <c r="M6940" s="2" t="s">
        <v>43346</v>
      </c>
      <c r="N6940" s="2" t="s">
        <v>1181</v>
      </c>
      <c r="O6940" s="4" t="s">
        <v>1182</v>
      </c>
      <c r="P6940" s="2" t="s">
        <v>43296</v>
      </c>
      <c r="Q6940" s="2" t="s">
        <v>31</v>
      </c>
      <c r="R6940" s="2" t="s">
        <v>1185</v>
      </c>
      <c r="S6940" s="4" t="s">
        <v>6739</v>
      </c>
      <c r="T6940" s="2" t="s">
        <v>66</v>
      </c>
      <c r="U6940" s="4" t="s">
        <v>31</v>
      </c>
      <c r="V6940" s="2" t="s">
        <v>43347</v>
      </c>
      <c r="W6940" s="2" t="s">
        <v>43292</v>
      </c>
      <c r="X6940" s="5" t="str">
        <f>HYPERLINK("https://my.pitchbook.com?p=368140-96P","View People Online")</f>
        <v>View People Online</v>
      </c>
    </row>
    <row r="6941">
      <c r="A6941" s="6" t="s">
        <v>43348</v>
      </c>
      <c r="B6941" s="6" t="s">
        <v>43349</v>
      </c>
      <c r="C6941" s="6" t="s">
        <v>43350</v>
      </c>
      <c r="D6941" s="6" t="s">
        <v>43351</v>
      </c>
      <c r="E6941" s="6" t="s">
        <v>43292</v>
      </c>
      <c r="F6941" s="6" t="s">
        <v>2652</v>
      </c>
      <c r="G6941" s="6" t="s">
        <v>43352</v>
      </c>
      <c r="H6941" s="7" t="s">
        <v>31</v>
      </c>
      <c r="I6941" s="7">
        <v>1.0</v>
      </c>
      <c r="J6941" s="7">
        <v>1.0</v>
      </c>
      <c r="K6941" s="7" t="s">
        <v>31</v>
      </c>
      <c r="L6941" s="8" t="s">
        <v>43353</v>
      </c>
      <c r="M6941" s="6" t="s">
        <v>43354</v>
      </c>
      <c r="N6941" s="6" t="s">
        <v>1181</v>
      </c>
      <c r="O6941" s="8" t="s">
        <v>1182</v>
      </c>
      <c r="P6941" s="6" t="s">
        <v>43296</v>
      </c>
      <c r="Q6941" s="6" t="s">
        <v>31</v>
      </c>
      <c r="R6941" s="6" t="s">
        <v>1185</v>
      </c>
      <c r="S6941" s="8" t="s">
        <v>6739</v>
      </c>
      <c r="T6941" s="6" t="s">
        <v>66</v>
      </c>
      <c r="U6941" s="8" t="s">
        <v>31</v>
      </c>
      <c r="V6941" s="6" t="s">
        <v>24452</v>
      </c>
      <c r="W6941" s="6" t="s">
        <v>43292</v>
      </c>
      <c r="X6941" s="9" t="str">
        <f>HYPERLINK("https://my.pitchbook.com?p=36818-65P","View People Online")</f>
        <v>View People Online</v>
      </c>
    </row>
    <row r="6942">
      <c r="A6942" s="2" t="s">
        <v>43355</v>
      </c>
      <c r="B6942" s="2" t="s">
        <v>43356</v>
      </c>
      <c r="C6942" s="2" t="s">
        <v>11204</v>
      </c>
      <c r="D6942" s="2" t="s">
        <v>43357</v>
      </c>
      <c r="E6942" s="2" t="s">
        <v>43292</v>
      </c>
      <c r="F6942" s="2" t="s">
        <v>1283</v>
      </c>
      <c r="G6942" s="2" t="s">
        <v>43358</v>
      </c>
      <c r="H6942" s="3" t="s">
        <v>31</v>
      </c>
      <c r="I6942" s="3">
        <v>1.0</v>
      </c>
      <c r="J6942" s="3">
        <v>1.0</v>
      </c>
      <c r="K6942" s="3" t="s">
        <v>31</v>
      </c>
      <c r="L6942" s="4" t="s">
        <v>43294</v>
      </c>
      <c r="M6942" s="2" t="s">
        <v>43359</v>
      </c>
      <c r="N6942" s="2" t="s">
        <v>1181</v>
      </c>
      <c r="O6942" s="4" t="s">
        <v>1182</v>
      </c>
      <c r="P6942" s="2" t="s">
        <v>43296</v>
      </c>
      <c r="Q6942" s="2" t="s">
        <v>31</v>
      </c>
      <c r="R6942" s="2" t="s">
        <v>1185</v>
      </c>
      <c r="S6942" s="4" t="s">
        <v>6739</v>
      </c>
      <c r="T6942" s="2" t="s">
        <v>66</v>
      </c>
      <c r="U6942" s="4" t="s">
        <v>31</v>
      </c>
      <c r="V6942" s="2" t="s">
        <v>43360</v>
      </c>
      <c r="W6942" s="2" t="s">
        <v>43292</v>
      </c>
      <c r="X6942" s="5" t="str">
        <f>HYPERLINK("https://my.pitchbook.com?p=396261-91P","View People Online")</f>
        <v>View People Online</v>
      </c>
    </row>
    <row r="6943">
      <c r="A6943" s="14" t="s">
        <v>43361</v>
      </c>
      <c r="B6943" s="14" t="s">
        <v>43362</v>
      </c>
      <c r="C6943" s="14" t="s">
        <v>25417</v>
      </c>
      <c r="D6943" s="14" t="s">
        <v>43363</v>
      </c>
      <c r="E6943" s="14" t="s">
        <v>43292</v>
      </c>
      <c r="F6943" s="14" t="s">
        <v>548</v>
      </c>
      <c r="G6943" s="14" t="s">
        <v>43364</v>
      </c>
      <c r="H6943" s="15">
        <v>2.0</v>
      </c>
      <c r="I6943" s="15">
        <v>3.0</v>
      </c>
      <c r="J6943" s="15">
        <v>1.0</v>
      </c>
      <c r="K6943" s="15" t="s">
        <v>31</v>
      </c>
      <c r="L6943" s="16" t="s">
        <v>43294</v>
      </c>
      <c r="M6943" s="14" t="s">
        <v>43365</v>
      </c>
      <c r="N6943" s="14" t="s">
        <v>1181</v>
      </c>
      <c r="O6943" s="16" t="s">
        <v>1182</v>
      </c>
      <c r="P6943" s="14" t="s">
        <v>43296</v>
      </c>
      <c r="Q6943" s="14" t="s">
        <v>31</v>
      </c>
      <c r="R6943" s="14" t="s">
        <v>1185</v>
      </c>
      <c r="S6943" s="16" t="s">
        <v>6739</v>
      </c>
      <c r="T6943" s="14" t="s">
        <v>66</v>
      </c>
      <c r="U6943" s="16" t="s">
        <v>31</v>
      </c>
      <c r="V6943" s="14" t="s">
        <v>43366</v>
      </c>
      <c r="W6943" s="14" t="s">
        <v>43292</v>
      </c>
      <c r="X6943" s="17" t="str">
        <f>HYPERLINK("https://my.pitchbook.com?p=276687-37P","View People Online")</f>
        <v>View People Online</v>
      </c>
    </row>
    <row r="6944">
      <c r="A6944" s="2" t="s">
        <v>43367</v>
      </c>
      <c r="B6944" s="2" t="s">
        <v>43368</v>
      </c>
      <c r="C6944" s="2" t="s">
        <v>43369</v>
      </c>
      <c r="D6944" s="2" t="s">
        <v>43370</v>
      </c>
      <c r="E6944" s="2" t="s">
        <v>43292</v>
      </c>
      <c r="F6944" s="2" t="s">
        <v>896</v>
      </c>
      <c r="G6944" s="2" t="s">
        <v>43371</v>
      </c>
      <c r="H6944" s="3" t="s">
        <v>31</v>
      </c>
      <c r="I6944" s="3">
        <v>1.0</v>
      </c>
      <c r="J6944" s="3">
        <v>1.0</v>
      </c>
      <c r="K6944" s="3" t="s">
        <v>31</v>
      </c>
      <c r="L6944" s="4" t="s">
        <v>43294</v>
      </c>
      <c r="M6944" s="2" t="s">
        <v>43372</v>
      </c>
      <c r="N6944" s="2" t="s">
        <v>1181</v>
      </c>
      <c r="O6944" s="4" t="s">
        <v>1182</v>
      </c>
      <c r="P6944" s="2" t="s">
        <v>43296</v>
      </c>
      <c r="Q6944" s="2" t="s">
        <v>31</v>
      </c>
      <c r="R6944" s="2" t="s">
        <v>1185</v>
      </c>
      <c r="S6944" s="4" t="s">
        <v>6739</v>
      </c>
      <c r="T6944" s="2" t="s">
        <v>66</v>
      </c>
      <c r="U6944" s="4" t="s">
        <v>31</v>
      </c>
      <c r="V6944" s="2" t="s">
        <v>43373</v>
      </c>
      <c r="W6944" s="2" t="s">
        <v>43292</v>
      </c>
      <c r="X6944" s="5" t="str">
        <f>HYPERLINK("https://my.pitchbook.com?p=360056-08P","View People Online")</f>
        <v>View People Online</v>
      </c>
    </row>
    <row r="6945">
      <c r="A6945" s="14" t="s">
        <v>43374</v>
      </c>
      <c r="B6945" s="14" t="s">
        <v>43375</v>
      </c>
      <c r="C6945" s="14" t="s">
        <v>31666</v>
      </c>
      <c r="D6945" s="14" t="s">
        <v>43376</v>
      </c>
      <c r="E6945" s="14" t="s">
        <v>43292</v>
      </c>
      <c r="F6945" s="14" t="s">
        <v>3710</v>
      </c>
      <c r="G6945" s="14" t="s">
        <v>43377</v>
      </c>
      <c r="H6945" s="15" t="s">
        <v>31</v>
      </c>
      <c r="I6945" s="15">
        <v>1.0</v>
      </c>
      <c r="J6945" s="15">
        <v>1.0</v>
      </c>
      <c r="K6945" s="15" t="s">
        <v>31</v>
      </c>
      <c r="L6945" s="16" t="s">
        <v>43294</v>
      </c>
      <c r="M6945" s="14" t="s">
        <v>43378</v>
      </c>
      <c r="N6945" s="14" t="s">
        <v>1181</v>
      </c>
      <c r="O6945" s="16" t="s">
        <v>1182</v>
      </c>
      <c r="P6945" s="14" t="s">
        <v>43296</v>
      </c>
      <c r="Q6945" s="14" t="s">
        <v>31</v>
      </c>
      <c r="R6945" s="14" t="s">
        <v>1185</v>
      </c>
      <c r="S6945" s="16" t="s">
        <v>6739</v>
      </c>
      <c r="T6945" s="14" t="s">
        <v>66</v>
      </c>
      <c r="U6945" s="16" t="s">
        <v>31</v>
      </c>
      <c r="V6945" s="14" t="s">
        <v>43379</v>
      </c>
      <c r="W6945" s="14" t="s">
        <v>43292</v>
      </c>
      <c r="X6945" s="17" t="str">
        <f>HYPERLINK("https://my.pitchbook.com?p=392096-89P","View People Online")</f>
        <v>View People Online</v>
      </c>
    </row>
    <row r="6946">
      <c r="A6946" s="2" t="s">
        <v>43380</v>
      </c>
      <c r="B6946" s="2" t="s">
        <v>43381</v>
      </c>
      <c r="C6946" s="2" t="s">
        <v>3521</v>
      </c>
      <c r="D6946" s="2" t="s">
        <v>43382</v>
      </c>
      <c r="E6946" s="2" t="s">
        <v>43292</v>
      </c>
      <c r="F6946" s="2" t="s">
        <v>270</v>
      </c>
      <c r="G6946" s="2" t="s">
        <v>43383</v>
      </c>
      <c r="H6946" s="3" t="s">
        <v>31</v>
      </c>
      <c r="I6946" s="3">
        <v>1.0</v>
      </c>
      <c r="J6946" s="3">
        <v>1.0</v>
      </c>
      <c r="K6946" s="3" t="s">
        <v>31</v>
      </c>
      <c r="L6946" s="4" t="s">
        <v>43294</v>
      </c>
      <c r="M6946" s="2" t="s">
        <v>43384</v>
      </c>
      <c r="N6946" s="2" t="s">
        <v>1181</v>
      </c>
      <c r="O6946" s="4" t="s">
        <v>1182</v>
      </c>
      <c r="P6946" s="2" t="s">
        <v>43296</v>
      </c>
      <c r="Q6946" s="2" t="s">
        <v>31</v>
      </c>
      <c r="R6946" s="2" t="s">
        <v>1185</v>
      </c>
      <c r="S6946" s="4" t="s">
        <v>6739</v>
      </c>
      <c r="T6946" s="2" t="s">
        <v>66</v>
      </c>
      <c r="U6946" s="4" t="s">
        <v>31</v>
      </c>
      <c r="V6946" s="2" t="s">
        <v>38238</v>
      </c>
      <c r="W6946" s="2" t="s">
        <v>43292</v>
      </c>
      <c r="X6946" s="5" t="str">
        <f>HYPERLINK("https://my.pitchbook.com?p=194148-28P","View People Online")</f>
        <v>View People Online</v>
      </c>
    </row>
    <row r="6947">
      <c r="A6947" s="14" t="s">
        <v>43385</v>
      </c>
      <c r="B6947" s="14" t="s">
        <v>43386</v>
      </c>
      <c r="C6947" s="14" t="s">
        <v>9019</v>
      </c>
      <c r="D6947" s="14" t="s">
        <v>43387</v>
      </c>
      <c r="E6947" s="14" t="s">
        <v>43292</v>
      </c>
      <c r="F6947" s="14" t="s">
        <v>1283</v>
      </c>
      <c r="G6947" s="14" t="s">
        <v>43388</v>
      </c>
      <c r="H6947" s="15" t="s">
        <v>31</v>
      </c>
      <c r="I6947" s="15">
        <v>1.0</v>
      </c>
      <c r="J6947" s="15">
        <v>1.0</v>
      </c>
      <c r="K6947" s="15" t="s">
        <v>31</v>
      </c>
      <c r="L6947" s="16" t="s">
        <v>43294</v>
      </c>
      <c r="M6947" s="14" t="s">
        <v>43389</v>
      </c>
      <c r="N6947" s="14" t="s">
        <v>1181</v>
      </c>
      <c r="O6947" s="16" t="s">
        <v>1182</v>
      </c>
      <c r="P6947" s="14" t="s">
        <v>43296</v>
      </c>
      <c r="Q6947" s="14" t="s">
        <v>31</v>
      </c>
      <c r="R6947" s="14" t="s">
        <v>1185</v>
      </c>
      <c r="S6947" s="16" t="s">
        <v>6739</v>
      </c>
      <c r="T6947" s="14" t="s">
        <v>66</v>
      </c>
      <c r="U6947" s="16" t="s">
        <v>31</v>
      </c>
      <c r="V6947" s="14" t="s">
        <v>43390</v>
      </c>
      <c r="W6947" s="14" t="s">
        <v>43292</v>
      </c>
      <c r="X6947" s="17" t="str">
        <f>HYPERLINK("https://my.pitchbook.com?p=396263-17P","View People Online")</f>
        <v>View People Online</v>
      </c>
    </row>
    <row r="6948">
      <c r="A6948" s="10" t="s">
        <v>43391</v>
      </c>
      <c r="B6948" s="10" t="s">
        <v>43392</v>
      </c>
      <c r="C6948" s="10" t="s">
        <v>4404</v>
      </c>
      <c r="D6948" s="10" t="s">
        <v>43393</v>
      </c>
      <c r="E6948" s="10" t="s">
        <v>43292</v>
      </c>
      <c r="F6948" s="10" t="s">
        <v>1283</v>
      </c>
      <c r="G6948" s="10" t="s">
        <v>43394</v>
      </c>
      <c r="H6948" s="11" t="s">
        <v>31</v>
      </c>
      <c r="I6948" s="11">
        <v>2.0</v>
      </c>
      <c r="J6948" s="11">
        <v>2.0</v>
      </c>
      <c r="K6948" s="11" t="s">
        <v>31</v>
      </c>
      <c r="L6948" s="12" t="s">
        <v>43294</v>
      </c>
      <c r="M6948" s="10" t="s">
        <v>43395</v>
      </c>
      <c r="N6948" s="10" t="s">
        <v>1181</v>
      </c>
      <c r="O6948" s="12" t="s">
        <v>1182</v>
      </c>
      <c r="P6948" s="10" t="s">
        <v>43296</v>
      </c>
      <c r="Q6948" s="10" t="s">
        <v>31</v>
      </c>
      <c r="R6948" s="10" t="s">
        <v>1185</v>
      </c>
      <c r="S6948" s="12" t="s">
        <v>6739</v>
      </c>
      <c r="T6948" s="10" t="s">
        <v>66</v>
      </c>
      <c r="U6948" s="12" t="s">
        <v>31</v>
      </c>
      <c r="V6948" s="10" t="s">
        <v>43308</v>
      </c>
      <c r="W6948" s="10" t="s">
        <v>43292</v>
      </c>
      <c r="X6948" s="13" t="str">
        <f>HYPERLINK("https://my.pitchbook.com?p=349959-43P","View People Online")</f>
        <v>View People Online</v>
      </c>
    </row>
    <row r="6949">
      <c r="A6949" s="14" t="s">
        <v>43396</v>
      </c>
      <c r="B6949" s="14" t="s">
        <v>43397</v>
      </c>
      <c r="C6949" s="14" t="s">
        <v>1343</v>
      </c>
      <c r="D6949" s="14" t="s">
        <v>43398</v>
      </c>
      <c r="E6949" s="14" t="s">
        <v>43292</v>
      </c>
      <c r="F6949" s="14" t="s">
        <v>1283</v>
      </c>
      <c r="G6949" s="14" t="s">
        <v>43399</v>
      </c>
      <c r="H6949" s="15" t="s">
        <v>31</v>
      </c>
      <c r="I6949" s="15">
        <v>1.0</v>
      </c>
      <c r="J6949" s="15">
        <v>1.0</v>
      </c>
      <c r="K6949" s="15" t="s">
        <v>31</v>
      </c>
      <c r="L6949" s="16" t="s">
        <v>43294</v>
      </c>
      <c r="M6949" s="14" t="s">
        <v>43400</v>
      </c>
      <c r="N6949" s="14" t="s">
        <v>1181</v>
      </c>
      <c r="O6949" s="16" t="s">
        <v>1182</v>
      </c>
      <c r="P6949" s="14" t="s">
        <v>43296</v>
      </c>
      <c r="Q6949" s="14" t="s">
        <v>31</v>
      </c>
      <c r="R6949" s="14" t="s">
        <v>1185</v>
      </c>
      <c r="S6949" s="16" t="s">
        <v>6739</v>
      </c>
      <c r="T6949" s="14" t="s">
        <v>66</v>
      </c>
      <c r="U6949" s="16" t="s">
        <v>31</v>
      </c>
      <c r="V6949" s="14" t="s">
        <v>30562</v>
      </c>
      <c r="W6949" s="14" t="s">
        <v>43292</v>
      </c>
      <c r="X6949" s="17" t="str">
        <f>HYPERLINK("https://my.pitchbook.com?p=396271-18P","View People Online")</f>
        <v>View People Online</v>
      </c>
    </row>
    <row r="6950">
      <c r="A6950" s="10" t="s">
        <v>43401</v>
      </c>
      <c r="B6950" s="10" t="s">
        <v>43402</v>
      </c>
      <c r="C6950" s="10" t="s">
        <v>213</v>
      </c>
      <c r="D6950" s="10" t="s">
        <v>24936</v>
      </c>
      <c r="E6950" s="10" t="s">
        <v>43292</v>
      </c>
      <c r="F6950" s="10" t="s">
        <v>78</v>
      </c>
      <c r="G6950" s="10" t="s">
        <v>43403</v>
      </c>
      <c r="H6950" s="11" t="s">
        <v>31</v>
      </c>
      <c r="I6950" s="11">
        <v>4.0</v>
      </c>
      <c r="J6950" s="11">
        <v>4.0</v>
      </c>
      <c r="K6950" s="11" t="s">
        <v>31</v>
      </c>
      <c r="L6950" s="12" t="s">
        <v>43294</v>
      </c>
      <c r="M6950" s="10" t="s">
        <v>43404</v>
      </c>
      <c r="N6950" s="10" t="s">
        <v>1181</v>
      </c>
      <c r="O6950" s="12" t="s">
        <v>1182</v>
      </c>
      <c r="P6950" s="10" t="s">
        <v>43296</v>
      </c>
      <c r="Q6950" s="10" t="s">
        <v>31</v>
      </c>
      <c r="R6950" s="10" t="s">
        <v>1185</v>
      </c>
      <c r="S6950" s="12" t="s">
        <v>6739</v>
      </c>
      <c r="T6950" s="10" t="s">
        <v>66</v>
      </c>
      <c r="U6950" s="12" t="s">
        <v>31</v>
      </c>
      <c r="V6950" s="10" t="s">
        <v>78</v>
      </c>
      <c r="W6950" s="10" t="s">
        <v>43292</v>
      </c>
      <c r="X6950" s="13" t="str">
        <f>HYPERLINK("https://my.pitchbook.com?p=110483-92P","View People Online")</f>
        <v>View People Online</v>
      </c>
    </row>
    <row r="6951">
      <c r="A6951" s="6" t="s">
        <v>43405</v>
      </c>
      <c r="B6951" s="6" t="s">
        <v>43406</v>
      </c>
      <c r="C6951" s="6" t="s">
        <v>6010</v>
      </c>
      <c r="D6951" s="6" t="s">
        <v>43407</v>
      </c>
      <c r="E6951" s="6" t="s">
        <v>43292</v>
      </c>
      <c r="F6951" s="6" t="s">
        <v>1659</v>
      </c>
      <c r="G6951" s="6" t="s">
        <v>43408</v>
      </c>
      <c r="H6951" s="7" t="s">
        <v>31</v>
      </c>
      <c r="I6951" s="7">
        <v>1.0</v>
      </c>
      <c r="J6951" s="7">
        <v>1.0</v>
      </c>
      <c r="K6951" s="7" t="s">
        <v>31</v>
      </c>
      <c r="L6951" s="8" t="s">
        <v>43294</v>
      </c>
      <c r="M6951" s="6" t="s">
        <v>43409</v>
      </c>
      <c r="N6951" s="6" t="s">
        <v>1181</v>
      </c>
      <c r="O6951" s="8" t="s">
        <v>1182</v>
      </c>
      <c r="P6951" s="6" t="s">
        <v>43296</v>
      </c>
      <c r="Q6951" s="6" t="s">
        <v>31</v>
      </c>
      <c r="R6951" s="6" t="s">
        <v>1185</v>
      </c>
      <c r="S6951" s="8" t="s">
        <v>6739</v>
      </c>
      <c r="T6951" s="6" t="s">
        <v>66</v>
      </c>
      <c r="U6951" s="8" t="s">
        <v>31</v>
      </c>
      <c r="V6951" s="6" t="s">
        <v>43410</v>
      </c>
      <c r="W6951" s="6" t="s">
        <v>43292</v>
      </c>
      <c r="X6951" s="9" t="str">
        <f>HYPERLINK("https://my.pitchbook.com?p=422206-66P","View People Online")</f>
        <v>View People Online</v>
      </c>
    </row>
    <row r="6952">
      <c r="A6952" s="2" t="s">
        <v>43411</v>
      </c>
      <c r="B6952" s="2" t="s">
        <v>43412</v>
      </c>
      <c r="C6952" s="2" t="s">
        <v>4480</v>
      </c>
      <c r="D6952" s="2" t="s">
        <v>12402</v>
      </c>
      <c r="E6952" s="2" t="s">
        <v>43292</v>
      </c>
      <c r="F6952" s="2" t="s">
        <v>548</v>
      </c>
      <c r="G6952" s="2" t="s">
        <v>43413</v>
      </c>
      <c r="H6952" s="3" t="s">
        <v>31</v>
      </c>
      <c r="I6952" s="3">
        <v>1.0</v>
      </c>
      <c r="J6952" s="3">
        <v>1.0</v>
      </c>
      <c r="K6952" s="3" t="s">
        <v>31</v>
      </c>
      <c r="L6952" s="4" t="s">
        <v>43414</v>
      </c>
      <c r="M6952" s="2" t="s">
        <v>43415</v>
      </c>
      <c r="N6952" s="2" t="s">
        <v>1181</v>
      </c>
      <c r="O6952" s="4" t="s">
        <v>1182</v>
      </c>
      <c r="P6952" s="2" t="s">
        <v>43296</v>
      </c>
      <c r="Q6952" s="2" t="s">
        <v>31</v>
      </c>
      <c r="R6952" s="2" t="s">
        <v>1185</v>
      </c>
      <c r="S6952" s="4" t="s">
        <v>6739</v>
      </c>
      <c r="T6952" s="2" t="s">
        <v>66</v>
      </c>
      <c r="U6952" s="4" t="s">
        <v>31</v>
      </c>
      <c r="V6952" s="2" t="s">
        <v>26424</v>
      </c>
      <c r="W6952" s="2" t="s">
        <v>43292</v>
      </c>
      <c r="X6952" s="5" t="str">
        <f>HYPERLINK("https://my.pitchbook.com?p=115992-64P","View People Online")</f>
        <v>View People Online</v>
      </c>
    </row>
    <row r="6953">
      <c r="A6953" s="6" t="s">
        <v>43416</v>
      </c>
      <c r="B6953" s="6" t="s">
        <v>43417</v>
      </c>
      <c r="C6953" s="6" t="s">
        <v>2288</v>
      </c>
      <c r="D6953" s="6" t="s">
        <v>43418</v>
      </c>
      <c r="E6953" s="6" t="s">
        <v>43292</v>
      </c>
      <c r="F6953" s="6" t="s">
        <v>1283</v>
      </c>
      <c r="G6953" s="6" t="s">
        <v>43419</v>
      </c>
      <c r="H6953" s="7" t="s">
        <v>31</v>
      </c>
      <c r="I6953" s="7">
        <v>1.0</v>
      </c>
      <c r="J6953" s="7">
        <v>1.0</v>
      </c>
      <c r="K6953" s="7" t="s">
        <v>31</v>
      </c>
      <c r="L6953" s="8" t="s">
        <v>43294</v>
      </c>
      <c r="M6953" s="6" t="s">
        <v>43420</v>
      </c>
      <c r="N6953" s="6" t="s">
        <v>1181</v>
      </c>
      <c r="O6953" s="8" t="s">
        <v>1182</v>
      </c>
      <c r="P6953" s="6" t="s">
        <v>43296</v>
      </c>
      <c r="Q6953" s="6" t="s">
        <v>31</v>
      </c>
      <c r="R6953" s="6" t="s">
        <v>1185</v>
      </c>
      <c r="S6953" s="8" t="s">
        <v>6739</v>
      </c>
      <c r="T6953" s="6" t="s">
        <v>66</v>
      </c>
      <c r="U6953" s="8" t="s">
        <v>31</v>
      </c>
      <c r="V6953" s="6" t="s">
        <v>43421</v>
      </c>
      <c r="W6953" s="6" t="s">
        <v>43292</v>
      </c>
      <c r="X6953" s="9" t="str">
        <f>HYPERLINK("https://my.pitchbook.com?p=392104-45P","View People Online")</f>
        <v>View People Online</v>
      </c>
    </row>
    <row r="6954">
      <c r="A6954" s="2" t="s">
        <v>43422</v>
      </c>
      <c r="B6954" s="2" t="s">
        <v>43423</v>
      </c>
      <c r="C6954" s="2" t="s">
        <v>160</v>
      </c>
      <c r="D6954" s="2" t="s">
        <v>43424</v>
      </c>
      <c r="E6954" s="2" t="s">
        <v>43292</v>
      </c>
      <c r="F6954" s="2" t="s">
        <v>221</v>
      </c>
      <c r="G6954" s="2" t="s">
        <v>43425</v>
      </c>
      <c r="H6954" s="3" t="s">
        <v>31</v>
      </c>
      <c r="I6954" s="3">
        <v>1.0</v>
      </c>
      <c r="J6954" s="3">
        <v>1.0</v>
      </c>
      <c r="K6954" s="3" t="s">
        <v>31</v>
      </c>
      <c r="L6954" s="4" t="s">
        <v>43294</v>
      </c>
      <c r="M6954" s="2" t="s">
        <v>43426</v>
      </c>
      <c r="N6954" s="2" t="s">
        <v>1181</v>
      </c>
      <c r="O6954" s="4" t="s">
        <v>1182</v>
      </c>
      <c r="P6954" s="2" t="s">
        <v>43296</v>
      </c>
      <c r="Q6954" s="2" t="s">
        <v>31</v>
      </c>
      <c r="R6954" s="2" t="s">
        <v>1185</v>
      </c>
      <c r="S6954" s="4" t="s">
        <v>6739</v>
      </c>
      <c r="T6954" s="2" t="s">
        <v>66</v>
      </c>
      <c r="U6954" s="4" t="s">
        <v>31</v>
      </c>
      <c r="V6954" s="2" t="s">
        <v>12777</v>
      </c>
      <c r="W6954" s="2" t="s">
        <v>43292</v>
      </c>
      <c r="X6954" s="5" t="str">
        <f>HYPERLINK("https://my.pitchbook.com?p=241642-99P","View People Online")</f>
        <v>View People Online</v>
      </c>
    </row>
    <row r="6955">
      <c r="A6955" s="14" t="s">
        <v>43427</v>
      </c>
      <c r="B6955" s="14" t="s">
        <v>43428</v>
      </c>
      <c r="C6955" s="14" t="s">
        <v>160</v>
      </c>
      <c r="D6955" s="14" t="s">
        <v>43429</v>
      </c>
      <c r="E6955" s="14" t="s">
        <v>43292</v>
      </c>
      <c r="F6955" s="14" t="s">
        <v>548</v>
      </c>
      <c r="G6955" s="14" t="s">
        <v>43430</v>
      </c>
      <c r="H6955" s="15" t="s">
        <v>31</v>
      </c>
      <c r="I6955" s="15">
        <v>1.0</v>
      </c>
      <c r="J6955" s="15">
        <v>1.0</v>
      </c>
      <c r="K6955" s="15" t="s">
        <v>31</v>
      </c>
      <c r="L6955" s="16" t="s">
        <v>43431</v>
      </c>
      <c r="M6955" s="14" t="s">
        <v>43432</v>
      </c>
      <c r="N6955" s="14" t="s">
        <v>1181</v>
      </c>
      <c r="O6955" s="16" t="s">
        <v>1182</v>
      </c>
      <c r="P6955" s="14" t="s">
        <v>43296</v>
      </c>
      <c r="Q6955" s="14" t="s">
        <v>31</v>
      </c>
      <c r="R6955" s="14" t="s">
        <v>1185</v>
      </c>
      <c r="S6955" s="16" t="s">
        <v>6739</v>
      </c>
      <c r="T6955" s="14" t="s">
        <v>66</v>
      </c>
      <c r="U6955" s="16" t="s">
        <v>31</v>
      </c>
      <c r="V6955" s="14" t="s">
        <v>43433</v>
      </c>
      <c r="W6955" s="14" t="s">
        <v>43292</v>
      </c>
      <c r="X6955" s="17" t="str">
        <f>HYPERLINK("https://my.pitchbook.com?p=44242-66P","View People Online")</f>
        <v>View People Online</v>
      </c>
    </row>
    <row r="6956">
      <c r="A6956" s="2" t="s">
        <v>43434</v>
      </c>
      <c r="B6956" s="2" t="s">
        <v>43435</v>
      </c>
      <c r="C6956" s="2" t="s">
        <v>11929</v>
      </c>
      <c r="D6956" s="2" t="s">
        <v>7805</v>
      </c>
      <c r="E6956" s="2" t="s">
        <v>43292</v>
      </c>
      <c r="F6956" s="2" t="s">
        <v>1283</v>
      </c>
      <c r="G6956" s="2" t="s">
        <v>43436</v>
      </c>
      <c r="H6956" s="3" t="s">
        <v>31</v>
      </c>
      <c r="I6956" s="3">
        <v>1.0</v>
      </c>
      <c r="J6956" s="3">
        <v>1.0</v>
      </c>
      <c r="K6956" s="3" t="s">
        <v>31</v>
      </c>
      <c r="L6956" s="4" t="s">
        <v>43294</v>
      </c>
      <c r="M6956" s="2" t="s">
        <v>43437</v>
      </c>
      <c r="N6956" s="2" t="s">
        <v>1181</v>
      </c>
      <c r="O6956" s="4" t="s">
        <v>1182</v>
      </c>
      <c r="P6956" s="2" t="s">
        <v>43296</v>
      </c>
      <c r="Q6956" s="2" t="s">
        <v>31</v>
      </c>
      <c r="R6956" s="2" t="s">
        <v>1185</v>
      </c>
      <c r="S6956" s="4" t="s">
        <v>6739</v>
      </c>
      <c r="T6956" s="2" t="s">
        <v>66</v>
      </c>
      <c r="U6956" s="4" t="s">
        <v>31</v>
      </c>
      <c r="V6956" s="2" t="s">
        <v>43438</v>
      </c>
      <c r="W6956" s="2" t="s">
        <v>43292</v>
      </c>
      <c r="X6956" s="5" t="str">
        <f>HYPERLINK("https://my.pitchbook.com?p=396272-62P","View People Online")</f>
        <v>View People Online</v>
      </c>
    </row>
    <row r="6957">
      <c r="A6957" s="6" t="s">
        <v>43439</v>
      </c>
      <c r="B6957" s="6" t="s">
        <v>43440</v>
      </c>
      <c r="C6957" s="6" t="s">
        <v>126</v>
      </c>
      <c r="D6957" s="6" t="s">
        <v>43441</v>
      </c>
      <c r="E6957" s="6" t="s">
        <v>43292</v>
      </c>
      <c r="F6957" s="6" t="s">
        <v>1283</v>
      </c>
      <c r="G6957" s="6" t="s">
        <v>43442</v>
      </c>
      <c r="H6957" s="7" t="s">
        <v>31</v>
      </c>
      <c r="I6957" s="7">
        <v>1.0</v>
      </c>
      <c r="J6957" s="7">
        <v>1.0</v>
      </c>
      <c r="K6957" s="7" t="s">
        <v>31</v>
      </c>
      <c r="L6957" s="8" t="s">
        <v>43294</v>
      </c>
      <c r="M6957" s="6" t="s">
        <v>43443</v>
      </c>
      <c r="N6957" s="6" t="s">
        <v>1181</v>
      </c>
      <c r="O6957" s="8" t="s">
        <v>1182</v>
      </c>
      <c r="P6957" s="6" t="s">
        <v>43296</v>
      </c>
      <c r="Q6957" s="6" t="s">
        <v>31</v>
      </c>
      <c r="R6957" s="6" t="s">
        <v>1185</v>
      </c>
      <c r="S6957" s="8" t="s">
        <v>6739</v>
      </c>
      <c r="T6957" s="6" t="s">
        <v>66</v>
      </c>
      <c r="U6957" s="8" t="s">
        <v>31</v>
      </c>
      <c r="V6957" s="6" t="s">
        <v>24866</v>
      </c>
      <c r="W6957" s="6" t="s">
        <v>43292</v>
      </c>
      <c r="X6957" s="9" t="str">
        <f>HYPERLINK("https://my.pitchbook.com?p=86518-09P","View People Online")</f>
        <v>View People Online</v>
      </c>
    </row>
    <row r="6958">
      <c r="A6958" s="2" t="s">
        <v>43444</v>
      </c>
      <c r="B6958" s="2" t="s">
        <v>43445</v>
      </c>
      <c r="C6958" s="2" t="s">
        <v>126</v>
      </c>
      <c r="D6958" s="2" t="s">
        <v>5240</v>
      </c>
      <c r="E6958" s="2" t="s">
        <v>43292</v>
      </c>
      <c r="F6958" s="2" t="s">
        <v>502</v>
      </c>
      <c r="G6958" s="2" t="s">
        <v>43446</v>
      </c>
      <c r="H6958" s="3" t="s">
        <v>31</v>
      </c>
      <c r="I6958" s="3">
        <v>1.0</v>
      </c>
      <c r="J6958" s="3">
        <v>1.0</v>
      </c>
      <c r="K6958" s="3" t="s">
        <v>31</v>
      </c>
      <c r="L6958" s="4" t="s">
        <v>43294</v>
      </c>
      <c r="M6958" s="2" t="s">
        <v>43447</v>
      </c>
      <c r="N6958" s="2" t="s">
        <v>1181</v>
      </c>
      <c r="O6958" s="4" t="s">
        <v>1182</v>
      </c>
      <c r="P6958" s="2" t="s">
        <v>43296</v>
      </c>
      <c r="Q6958" s="2" t="s">
        <v>31</v>
      </c>
      <c r="R6958" s="2" t="s">
        <v>1185</v>
      </c>
      <c r="S6958" s="4" t="s">
        <v>6739</v>
      </c>
      <c r="T6958" s="2" t="s">
        <v>66</v>
      </c>
      <c r="U6958" s="4" t="s">
        <v>31</v>
      </c>
      <c r="V6958" s="2" t="s">
        <v>43448</v>
      </c>
      <c r="W6958" s="2" t="s">
        <v>43292</v>
      </c>
      <c r="X6958" s="5" t="str">
        <f>HYPERLINK("https://my.pitchbook.com?p=396274-33P","View People Online")</f>
        <v>View People Online</v>
      </c>
    </row>
    <row r="6959">
      <c r="A6959" s="6" t="s">
        <v>43449</v>
      </c>
      <c r="B6959" s="6" t="s">
        <v>43450</v>
      </c>
      <c r="C6959" s="6" t="s">
        <v>126</v>
      </c>
      <c r="D6959" s="6" t="s">
        <v>43451</v>
      </c>
      <c r="E6959" s="6" t="s">
        <v>43292</v>
      </c>
      <c r="F6959" s="6" t="s">
        <v>1283</v>
      </c>
      <c r="G6959" s="6" t="s">
        <v>43452</v>
      </c>
      <c r="H6959" s="7" t="s">
        <v>31</v>
      </c>
      <c r="I6959" s="7">
        <v>1.0</v>
      </c>
      <c r="J6959" s="7">
        <v>1.0</v>
      </c>
      <c r="K6959" s="7" t="s">
        <v>31</v>
      </c>
      <c r="L6959" s="8" t="s">
        <v>43453</v>
      </c>
      <c r="M6959" s="6" t="s">
        <v>43454</v>
      </c>
      <c r="N6959" s="6" t="s">
        <v>1181</v>
      </c>
      <c r="O6959" s="8" t="s">
        <v>1182</v>
      </c>
      <c r="P6959" s="6" t="s">
        <v>43296</v>
      </c>
      <c r="Q6959" s="6" t="s">
        <v>31</v>
      </c>
      <c r="R6959" s="6" t="s">
        <v>1185</v>
      </c>
      <c r="S6959" s="8" t="s">
        <v>6739</v>
      </c>
      <c r="T6959" s="6" t="s">
        <v>66</v>
      </c>
      <c r="U6959" s="8" t="s">
        <v>31</v>
      </c>
      <c r="V6959" s="6" t="s">
        <v>43455</v>
      </c>
      <c r="W6959" s="6" t="s">
        <v>43292</v>
      </c>
      <c r="X6959" s="9" t="str">
        <f>HYPERLINK("https://my.pitchbook.com?p=44876-17P","View People Online")</f>
        <v>View People Online</v>
      </c>
    </row>
    <row r="6960">
      <c r="A6960" s="2" t="s">
        <v>43456</v>
      </c>
      <c r="B6960" s="2" t="s">
        <v>43457</v>
      </c>
      <c r="C6960" s="2" t="s">
        <v>126</v>
      </c>
      <c r="D6960" s="2" t="s">
        <v>43458</v>
      </c>
      <c r="E6960" s="2" t="s">
        <v>43292</v>
      </c>
      <c r="F6960" s="2" t="s">
        <v>3665</v>
      </c>
      <c r="G6960" s="2" t="s">
        <v>43459</v>
      </c>
      <c r="H6960" s="3" t="s">
        <v>31</v>
      </c>
      <c r="I6960" s="3">
        <v>1.0</v>
      </c>
      <c r="J6960" s="3">
        <v>1.0</v>
      </c>
      <c r="K6960" s="3" t="s">
        <v>31</v>
      </c>
      <c r="L6960" s="4" t="s">
        <v>43294</v>
      </c>
      <c r="M6960" s="2" t="s">
        <v>43460</v>
      </c>
      <c r="N6960" s="2" t="s">
        <v>1181</v>
      </c>
      <c r="O6960" s="4" t="s">
        <v>1182</v>
      </c>
      <c r="P6960" s="2" t="s">
        <v>43296</v>
      </c>
      <c r="Q6960" s="2" t="s">
        <v>31</v>
      </c>
      <c r="R6960" s="2" t="s">
        <v>1185</v>
      </c>
      <c r="S6960" s="4" t="s">
        <v>6739</v>
      </c>
      <c r="T6960" s="2" t="s">
        <v>66</v>
      </c>
      <c r="U6960" s="4" t="s">
        <v>31</v>
      </c>
      <c r="V6960" s="2" t="s">
        <v>3665</v>
      </c>
      <c r="W6960" s="2" t="s">
        <v>43292</v>
      </c>
      <c r="X6960" s="5" t="str">
        <f>HYPERLINK("https://my.pitchbook.com?p=422207-92P","View People Online")</f>
        <v>View People Online</v>
      </c>
    </row>
    <row r="6961">
      <c r="A6961" s="6" t="s">
        <v>43461</v>
      </c>
      <c r="B6961" s="6" t="s">
        <v>43462</v>
      </c>
      <c r="C6961" s="6" t="s">
        <v>20078</v>
      </c>
      <c r="D6961" s="6" t="s">
        <v>43463</v>
      </c>
      <c r="E6961" s="6" t="s">
        <v>43292</v>
      </c>
      <c r="F6961" s="6" t="s">
        <v>8021</v>
      </c>
      <c r="G6961" s="6" t="s">
        <v>43464</v>
      </c>
      <c r="H6961" s="7" t="s">
        <v>31</v>
      </c>
      <c r="I6961" s="7">
        <v>3.0</v>
      </c>
      <c r="J6961" s="7">
        <v>3.0</v>
      </c>
      <c r="K6961" s="7" t="s">
        <v>31</v>
      </c>
      <c r="L6961" s="8" t="s">
        <v>43294</v>
      </c>
      <c r="M6961" s="6" t="s">
        <v>43465</v>
      </c>
      <c r="N6961" s="6" t="s">
        <v>1181</v>
      </c>
      <c r="O6961" s="8" t="s">
        <v>1182</v>
      </c>
      <c r="P6961" s="6" t="s">
        <v>43466</v>
      </c>
      <c r="Q6961" s="6" t="s">
        <v>31</v>
      </c>
      <c r="R6961" s="6" t="s">
        <v>1185</v>
      </c>
      <c r="S6961" s="8" t="s">
        <v>6739</v>
      </c>
      <c r="T6961" s="6" t="s">
        <v>66</v>
      </c>
      <c r="U6961" s="8" t="s">
        <v>31</v>
      </c>
      <c r="V6961" s="6" t="s">
        <v>43467</v>
      </c>
      <c r="W6961" s="6" t="s">
        <v>43468</v>
      </c>
      <c r="X6961" s="9" t="str">
        <f>HYPERLINK("https://my.pitchbook.com?p=184142-08P","View People Online")</f>
        <v>View People Online</v>
      </c>
    </row>
    <row r="6962">
      <c r="A6962" s="10" t="s">
        <v>43469</v>
      </c>
      <c r="B6962" s="10" t="s">
        <v>43470</v>
      </c>
      <c r="C6962" s="10" t="s">
        <v>5185</v>
      </c>
      <c r="D6962" s="10" t="s">
        <v>43471</v>
      </c>
      <c r="E6962" s="10" t="s">
        <v>43292</v>
      </c>
      <c r="F6962" s="10" t="s">
        <v>1283</v>
      </c>
      <c r="G6962" s="10" t="s">
        <v>43472</v>
      </c>
      <c r="H6962" s="11" t="s">
        <v>31</v>
      </c>
      <c r="I6962" s="11">
        <v>1.0</v>
      </c>
      <c r="J6962" s="11">
        <v>1.0</v>
      </c>
      <c r="K6962" s="11" t="s">
        <v>31</v>
      </c>
      <c r="L6962" s="12" t="s">
        <v>43473</v>
      </c>
      <c r="M6962" s="10" t="s">
        <v>43474</v>
      </c>
      <c r="N6962" s="10" t="s">
        <v>1181</v>
      </c>
      <c r="O6962" s="12" t="s">
        <v>1182</v>
      </c>
      <c r="P6962" s="10" t="s">
        <v>43296</v>
      </c>
      <c r="Q6962" s="10" t="s">
        <v>31</v>
      </c>
      <c r="R6962" s="10" t="s">
        <v>1185</v>
      </c>
      <c r="S6962" s="12" t="s">
        <v>6739</v>
      </c>
      <c r="T6962" s="10" t="s">
        <v>66</v>
      </c>
      <c r="U6962" s="12" t="s">
        <v>31</v>
      </c>
      <c r="V6962" s="10" t="s">
        <v>1283</v>
      </c>
      <c r="W6962" s="10" t="s">
        <v>43292</v>
      </c>
      <c r="X6962" s="13" t="str">
        <f>HYPERLINK("https://my.pitchbook.com?p=194148-91P","View People Online")</f>
        <v>View People Online</v>
      </c>
    </row>
    <row r="6963">
      <c r="A6963" s="14" t="s">
        <v>43475</v>
      </c>
      <c r="B6963" s="14" t="s">
        <v>43476</v>
      </c>
      <c r="C6963" s="14" t="s">
        <v>43477</v>
      </c>
      <c r="D6963" s="14" t="s">
        <v>43478</v>
      </c>
      <c r="E6963" s="14" t="s">
        <v>43292</v>
      </c>
      <c r="F6963" s="14" t="s">
        <v>8581</v>
      </c>
      <c r="G6963" s="14" t="s">
        <v>43479</v>
      </c>
      <c r="H6963" s="15" t="s">
        <v>31</v>
      </c>
      <c r="I6963" s="15">
        <v>1.0</v>
      </c>
      <c r="J6963" s="15">
        <v>1.0</v>
      </c>
      <c r="K6963" s="15" t="s">
        <v>31</v>
      </c>
      <c r="L6963" s="16" t="s">
        <v>43294</v>
      </c>
      <c r="M6963" s="14" t="s">
        <v>43480</v>
      </c>
      <c r="N6963" s="14" t="s">
        <v>1181</v>
      </c>
      <c r="O6963" s="16" t="s">
        <v>1182</v>
      </c>
      <c r="P6963" s="14" t="s">
        <v>43296</v>
      </c>
      <c r="Q6963" s="14" t="s">
        <v>31</v>
      </c>
      <c r="R6963" s="14" t="s">
        <v>1185</v>
      </c>
      <c r="S6963" s="16" t="s">
        <v>6739</v>
      </c>
      <c r="T6963" s="14" t="s">
        <v>66</v>
      </c>
      <c r="U6963" s="16" t="s">
        <v>31</v>
      </c>
      <c r="V6963" s="14" t="s">
        <v>43481</v>
      </c>
      <c r="W6963" s="14" t="s">
        <v>43292</v>
      </c>
      <c r="X6963" s="17" t="str">
        <f>HYPERLINK("https://my.pitchbook.com?p=346402-90P","View People Online")</f>
        <v>View People Online</v>
      </c>
    </row>
    <row r="6964">
      <c r="A6964" s="10" t="s">
        <v>43482</v>
      </c>
      <c r="B6964" s="10" t="s">
        <v>43483</v>
      </c>
      <c r="C6964" s="10" t="s">
        <v>934</v>
      </c>
      <c r="D6964" s="10" t="s">
        <v>43484</v>
      </c>
      <c r="E6964" s="10" t="s">
        <v>43292</v>
      </c>
      <c r="F6964" s="10" t="s">
        <v>825</v>
      </c>
      <c r="G6964" s="10" t="s">
        <v>43485</v>
      </c>
      <c r="H6964" s="11" t="s">
        <v>31</v>
      </c>
      <c r="I6964" s="11">
        <v>1.0</v>
      </c>
      <c r="J6964" s="11">
        <v>1.0</v>
      </c>
      <c r="K6964" s="11" t="s">
        <v>31</v>
      </c>
      <c r="L6964" s="12" t="s">
        <v>43294</v>
      </c>
      <c r="M6964" s="10" t="s">
        <v>43486</v>
      </c>
      <c r="N6964" s="10" t="s">
        <v>1181</v>
      </c>
      <c r="O6964" s="12" t="s">
        <v>1182</v>
      </c>
      <c r="P6964" s="10" t="s">
        <v>43296</v>
      </c>
      <c r="Q6964" s="10" t="s">
        <v>31</v>
      </c>
      <c r="R6964" s="10" t="s">
        <v>1185</v>
      </c>
      <c r="S6964" s="12" t="s">
        <v>6739</v>
      </c>
      <c r="T6964" s="10" t="s">
        <v>66</v>
      </c>
      <c r="U6964" s="12" t="s">
        <v>31</v>
      </c>
      <c r="V6964" s="10" t="s">
        <v>43336</v>
      </c>
      <c r="W6964" s="10" t="s">
        <v>43292</v>
      </c>
      <c r="X6964" s="13" t="str">
        <f>HYPERLINK("https://my.pitchbook.com?p=392095-00P","View People Online")</f>
        <v>View People Online</v>
      </c>
    </row>
    <row r="6965">
      <c r="A6965" s="6" t="s">
        <v>43487</v>
      </c>
      <c r="B6965" s="6" t="s">
        <v>31043</v>
      </c>
      <c r="C6965" s="6" t="s">
        <v>12189</v>
      </c>
      <c r="D6965" s="6" t="s">
        <v>8016</v>
      </c>
      <c r="E6965" s="6" t="s">
        <v>43292</v>
      </c>
      <c r="F6965" s="6" t="s">
        <v>1283</v>
      </c>
      <c r="G6965" s="6" t="s">
        <v>43488</v>
      </c>
      <c r="H6965" s="7" t="s">
        <v>31</v>
      </c>
      <c r="I6965" s="7">
        <v>1.0</v>
      </c>
      <c r="J6965" s="7">
        <v>1.0</v>
      </c>
      <c r="K6965" s="7" t="s">
        <v>31</v>
      </c>
      <c r="L6965" s="8" t="s">
        <v>43294</v>
      </c>
      <c r="M6965" s="6" t="s">
        <v>43489</v>
      </c>
      <c r="N6965" s="6" t="s">
        <v>1181</v>
      </c>
      <c r="O6965" s="8" t="s">
        <v>1182</v>
      </c>
      <c r="P6965" s="6" t="s">
        <v>43296</v>
      </c>
      <c r="Q6965" s="6" t="s">
        <v>31</v>
      </c>
      <c r="R6965" s="6" t="s">
        <v>1185</v>
      </c>
      <c r="S6965" s="8" t="s">
        <v>6739</v>
      </c>
      <c r="T6965" s="6" t="s">
        <v>66</v>
      </c>
      <c r="U6965" s="8" t="s">
        <v>31</v>
      </c>
      <c r="V6965" s="6" t="s">
        <v>43360</v>
      </c>
      <c r="W6965" s="6" t="s">
        <v>43292</v>
      </c>
      <c r="X6965" s="9" t="str">
        <f>HYPERLINK("https://my.pitchbook.com?p=231054-04P","View People Online")</f>
        <v>View People Online</v>
      </c>
    </row>
    <row r="6966">
      <c r="A6966" s="10" t="s">
        <v>43490</v>
      </c>
      <c r="B6966" s="10" t="s">
        <v>43491</v>
      </c>
      <c r="C6966" s="10" t="s">
        <v>43492</v>
      </c>
      <c r="D6966" s="10" t="s">
        <v>43493</v>
      </c>
      <c r="E6966" s="10" t="s">
        <v>43292</v>
      </c>
      <c r="F6966" s="10" t="s">
        <v>1283</v>
      </c>
      <c r="G6966" s="10" t="s">
        <v>43494</v>
      </c>
      <c r="H6966" s="11" t="s">
        <v>31</v>
      </c>
      <c r="I6966" s="11">
        <v>1.0</v>
      </c>
      <c r="J6966" s="11">
        <v>1.0</v>
      </c>
      <c r="K6966" s="11" t="s">
        <v>31</v>
      </c>
      <c r="L6966" s="12" t="s">
        <v>43294</v>
      </c>
      <c r="M6966" s="10" t="s">
        <v>43495</v>
      </c>
      <c r="N6966" s="10" t="s">
        <v>1181</v>
      </c>
      <c r="O6966" s="12" t="s">
        <v>1182</v>
      </c>
      <c r="P6966" s="10" t="s">
        <v>43296</v>
      </c>
      <c r="Q6966" s="10" t="s">
        <v>31</v>
      </c>
      <c r="R6966" s="10" t="s">
        <v>1185</v>
      </c>
      <c r="S6966" s="12" t="s">
        <v>6739</v>
      </c>
      <c r="T6966" s="10" t="s">
        <v>66</v>
      </c>
      <c r="U6966" s="12" t="s">
        <v>31</v>
      </c>
      <c r="V6966" s="10" t="s">
        <v>43496</v>
      </c>
      <c r="W6966" s="10" t="s">
        <v>43292</v>
      </c>
      <c r="X6966" s="13" t="str">
        <f>HYPERLINK("https://my.pitchbook.com?p=396279-46P","View People Online")</f>
        <v>View People Online</v>
      </c>
    </row>
    <row r="6967">
      <c r="A6967" s="6" t="s">
        <v>43497</v>
      </c>
      <c r="B6967" s="6" t="s">
        <v>43498</v>
      </c>
      <c r="C6967" s="6" t="s">
        <v>3716</v>
      </c>
      <c r="D6967" s="6" t="s">
        <v>43499</v>
      </c>
      <c r="E6967" s="6" t="s">
        <v>43292</v>
      </c>
      <c r="F6967" s="6" t="s">
        <v>9167</v>
      </c>
      <c r="G6967" s="6" t="s">
        <v>43500</v>
      </c>
      <c r="H6967" s="7" t="s">
        <v>31</v>
      </c>
      <c r="I6967" s="7">
        <v>1.0</v>
      </c>
      <c r="J6967" s="7">
        <v>1.0</v>
      </c>
      <c r="K6967" s="7" t="s">
        <v>31</v>
      </c>
      <c r="L6967" s="8" t="s">
        <v>43294</v>
      </c>
      <c r="M6967" s="6" t="s">
        <v>43501</v>
      </c>
      <c r="N6967" s="6" t="s">
        <v>1181</v>
      </c>
      <c r="O6967" s="8" t="s">
        <v>1182</v>
      </c>
      <c r="P6967" s="6" t="s">
        <v>43296</v>
      </c>
      <c r="Q6967" s="6" t="s">
        <v>31</v>
      </c>
      <c r="R6967" s="6" t="s">
        <v>1185</v>
      </c>
      <c r="S6967" s="8" t="s">
        <v>6739</v>
      </c>
      <c r="T6967" s="6" t="s">
        <v>66</v>
      </c>
      <c r="U6967" s="8" t="s">
        <v>31</v>
      </c>
      <c r="V6967" s="6" t="s">
        <v>9167</v>
      </c>
      <c r="W6967" s="6" t="s">
        <v>43292</v>
      </c>
      <c r="X6967" s="9" t="str">
        <f>HYPERLINK("https://my.pitchbook.com?p=396280-81P","View People Online")</f>
        <v>View People Online</v>
      </c>
    </row>
    <row r="6968">
      <c r="A6968" s="2" t="s">
        <v>43502</v>
      </c>
      <c r="B6968" s="2" t="s">
        <v>43503</v>
      </c>
      <c r="C6968" s="2" t="s">
        <v>43504</v>
      </c>
      <c r="D6968" s="2" t="s">
        <v>43505</v>
      </c>
      <c r="E6968" s="2" t="s">
        <v>43292</v>
      </c>
      <c r="F6968" s="2" t="s">
        <v>1283</v>
      </c>
      <c r="G6968" s="2" t="s">
        <v>43506</v>
      </c>
      <c r="H6968" s="3" t="s">
        <v>31</v>
      </c>
      <c r="I6968" s="3">
        <v>2.0</v>
      </c>
      <c r="J6968" s="3">
        <v>1.0</v>
      </c>
      <c r="K6968" s="3">
        <v>1.0</v>
      </c>
      <c r="L6968" s="4" t="s">
        <v>43507</v>
      </c>
      <c r="M6968" s="2" t="s">
        <v>43508</v>
      </c>
      <c r="N6968" s="2" t="s">
        <v>1181</v>
      </c>
      <c r="O6968" s="4" t="s">
        <v>1182</v>
      </c>
      <c r="P6968" s="2" t="s">
        <v>43296</v>
      </c>
      <c r="Q6968" s="2" t="s">
        <v>31</v>
      </c>
      <c r="R6968" s="2" t="s">
        <v>1185</v>
      </c>
      <c r="S6968" s="4" t="s">
        <v>6739</v>
      </c>
      <c r="T6968" s="2" t="s">
        <v>66</v>
      </c>
      <c r="U6968" s="4" t="s">
        <v>31</v>
      </c>
      <c r="V6968" s="2" t="s">
        <v>43509</v>
      </c>
      <c r="W6968" s="2" t="s">
        <v>43292</v>
      </c>
      <c r="X6968" s="5" t="str">
        <f>HYPERLINK("https://my.pitchbook.com?p=276064-03P","View People Online")</f>
        <v>View People Online</v>
      </c>
    </row>
    <row r="6969">
      <c r="A6969" s="14" t="s">
        <v>43510</v>
      </c>
      <c r="B6969" s="14" t="s">
        <v>43511</v>
      </c>
      <c r="C6969" s="14" t="s">
        <v>43512</v>
      </c>
      <c r="D6969" s="14" t="s">
        <v>43513</v>
      </c>
      <c r="E6969" s="14" t="s">
        <v>43292</v>
      </c>
      <c r="F6969" s="14" t="s">
        <v>25008</v>
      </c>
      <c r="G6969" s="14" t="s">
        <v>43514</v>
      </c>
      <c r="H6969" s="15" t="s">
        <v>31</v>
      </c>
      <c r="I6969" s="15">
        <v>27.0</v>
      </c>
      <c r="J6969" s="15">
        <v>27.0</v>
      </c>
      <c r="K6969" s="15" t="s">
        <v>31</v>
      </c>
      <c r="L6969" s="16" t="s">
        <v>43294</v>
      </c>
      <c r="M6969" s="14" t="s">
        <v>43515</v>
      </c>
      <c r="N6969" s="14" t="s">
        <v>1181</v>
      </c>
      <c r="O6969" s="16" t="s">
        <v>1182</v>
      </c>
      <c r="P6969" s="14" t="s">
        <v>43466</v>
      </c>
      <c r="Q6969" s="14" t="s">
        <v>31</v>
      </c>
      <c r="R6969" s="14" t="s">
        <v>1185</v>
      </c>
      <c r="S6969" s="16" t="s">
        <v>6739</v>
      </c>
      <c r="T6969" s="14" t="s">
        <v>66</v>
      </c>
      <c r="U6969" s="16" t="s">
        <v>31</v>
      </c>
      <c r="V6969" s="14" t="s">
        <v>43516</v>
      </c>
      <c r="W6969" s="14" t="s">
        <v>43468</v>
      </c>
      <c r="X6969" s="17" t="str">
        <f>HYPERLINK("https://my.pitchbook.com?p=279082-09P","View People Online")</f>
        <v>View People Online</v>
      </c>
    </row>
    <row r="6970">
      <c r="A6970" s="2" t="s">
        <v>43517</v>
      </c>
      <c r="B6970" s="2" t="s">
        <v>43518</v>
      </c>
      <c r="C6970" s="2" t="s">
        <v>1117</v>
      </c>
      <c r="D6970" s="2" t="s">
        <v>43519</v>
      </c>
      <c r="E6970" s="2" t="s">
        <v>43520</v>
      </c>
      <c r="F6970" s="2" t="s">
        <v>81</v>
      </c>
      <c r="G6970" s="2" t="s">
        <v>43521</v>
      </c>
      <c r="H6970" s="3" t="s">
        <v>31</v>
      </c>
      <c r="I6970" s="3">
        <v>1.0</v>
      </c>
      <c r="J6970" s="3" t="s">
        <v>31</v>
      </c>
      <c r="K6970" s="3" t="s">
        <v>31</v>
      </c>
      <c r="L6970" s="4" t="s">
        <v>43522</v>
      </c>
      <c r="M6970" s="2" t="s">
        <v>31</v>
      </c>
      <c r="N6970" s="2" t="s">
        <v>4232</v>
      </c>
      <c r="O6970" s="4" t="s">
        <v>4233</v>
      </c>
      <c r="P6970" s="2" t="s">
        <v>39278</v>
      </c>
      <c r="Q6970" s="2" t="s">
        <v>39279</v>
      </c>
      <c r="R6970" s="2" t="s">
        <v>4236</v>
      </c>
      <c r="S6970" s="4" t="s">
        <v>27763</v>
      </c>
      <c r="T6970" s="2" t="s">
        <v>66</v>
      </c>
      <c r="U6970" s="4" t="s">
        <v>43523</v>
      </c>
      <c r="V6970" s="2" t="s">
        <v>81</v>
      </c>
      <c r="W6970" s="2" t="s">
        <v>43520</v>
      </c>
      <c r="X6970" s="5" t="str">
        <f>HYPERLINK("https://my.pitchbook.com?p=43764-22P","View People Online")</f>
        <v>View People Online</v>
      </c>
    </row>
    <row r="6971">
      <c r="A6971" s="6" t="s">
        <v>43524</v>
      </c>
      <c r="B6971" s="6" t="s">
        <v>43525</v>
      </c>
      <c r="C6971" s="6" t="s">
        <v>6333</v>
      </c>
      <c r="D6971" s="6" t="s">
        <v>43526</v>
      </c>
      <c r="E6971" s="6" t="s">
        <v>43520</v>
      </c>
      <c r="F6971" s="6" t="s">
        <v>201</v>
      </c>
      <c r="G6971" s="6" t="s">
        <v>43527</v>
      </c>
      <c r="H6971" s="7" t="s">
        <v>31</v>
      </c>
      <c r="I6971" s="7">
        <v>1.0</v>
      </c>
      <c r="J6971" s="7">
        <v>1.0</v>
      </c>
      <c r="K6971" s="7" t="s">
        <v>31</v>
      </c>
      <c r="L6971" s="8" t="s">
        <v>43522</v>
      </c>
      <c r="M6971" s="6" t="s">
        <v>43528</v>
      </c>
      <c r="N6971" s="6" t="s">
        <v>4232</v>
      </c>
      <c r="O6971" s="8" t="s">
        <v>4233</v>
      </c>
      <c r="P6971" s="6" t="s">
        <v>39278</v>
      </c>
      <c r="Q6971" s="6" t="s">
        <v>39279</v>
      </c>
      <c r="R6971" s="6" t="s">
        <v>4236</v>
      </c>
      <c r="S6971" s="8" t="s">
        <v>27763</v>
      </c>
      <c r="T6971" s="6" t="s">
        <v>66</v>
      </c>
      <c r="U6971" s="8" t="s">
        <v>43523</v>
      </c>
      <c r="V6971" s="6" t="s">
        <v>201</v>
      </c>
      <c r="W6971" s="6" t="s">
        <v>43520</v>
      </c>
      <c r="X6971" s="9" t="str">
        <f>HYPERLINK("https://my.pitchbook.com?p=388613-35P","View People Online")</f>
        <v>View People Online</v>
      </c>
    </row>
    <row r="6972">
      <c r="A6972" s="10" t="s">
        <v>43529</v>
      </c>
      <c r="B6972" s="10" t="s">
        <v>43530</v>
      </c>
      <c r="C6972" s="10" t="s">
        <v>8739</v>
      </c>
      <c r="D6972" s="10" t="s">
        <v>43531</v>
      </c>
      <c r="E6972" s="10" t="s">
        <v>43520</v>
      </c>
      <c r="F6972" s="10" t="s">
        <v>221</v>
      </c>
      <c r="G6972" s="10" t="s">
        <v>43532</v>
      </c>
      <c r="H6972" s="11" t="s">
        <v>31</v>
      </c>
      <c r="I6972" s="11">
        <v>2.0</v>
      </c>
      <c r="J6972" s="11">
        <v>1.0</v>
      </c>
      <c r="K6972" s="11">
        <v>1.0</v>
      </c>
      <c r="L6972" s="12" t="s">
        <v>43522</v>
      </c>
      <c r="M6972" s="10" t="s">
        <v>43533</v>
      </c>
      <c r="N6972" s="10" t="s">
        <v>4232</v>
      </c>
      <c r="O6972" s="12" t="s">
        <v>4233</v>
      </c>
      <c r="P6972" s="10" t="s">
        <v>39278</v>
      </c>
      <c r="Q6972" s="10" t="s">
        <v>39279</v>
      </c>
      <c r="R6972" s="10" t="s">
        <v>4236</v>
      </c>
      <c r="S6972" s="12" t="s">
        <v>27763</v>
      </c>
      <c r="T6972" s="10" t="s">
        <v>66</v>
      </c>
      <c r="U6972" s="12" t="s">
        <v>43523</v>
      </c>
      <c r="V6972" s="10" t="s">
        <v>221</v>
      </c>
      <c r="W6972" s="10" t="s">
        <v>43520</v>
      </c>
      <c r="X6972" s="13" t="str">
        <f>HYPERLINK("https://my.pitchbook.com?p=336500-92P","View People Online")</f>
        <v>View People Online</v>
      </c>
    </row>
    <row r="6973">
      <c r="A6973" s="6" t="s">
        <v>43534</v>
      </c>
      <c r="B6973" s="6" t="s">
        <v>43535</v>
      </c>
      <c r="C6973" s="6" t="s">
        <v>323</v>
      </c>
      <c r="D6973" s="6" t="s">
        <v>42483</v>
      </c>
      <c r="E6973" s="6" t="s">
        <v>43520</v>
      </c>
      <c r="F6973" s="6" t="s">
        <v>81</v>
      </c>
      <c r="G6973" s="6" t="s">
        <v>43536</v>
      </c>
      <c r="H6973" s="7" t="s">
        <v>31</v>
      </c>
      <c r="I6973" s="7">
        <v>4.0</v>
      </c>
      <c r="J6973" s="7">
        <v>1.0</v>
      </c>
      <c r="K6973" s="7">
        <v>2.0</v>
      </c>
      <c r="L6973" s="8" t="s">
        <v>43537</v>
      </c>
      <c r="M6973" s="6" t="s">
        <v>43538</v>
      </c>
      <c r="N6973" s="6" t="s">
        <v>4232</v>
      </c>
      <c r="O6973" s="8" t="s">
        <v>4233</v>
      </c>
      <c r="P6973" s="6" t="s">
        <v>43539</v>
      </c>
      <c r="Q6973" s="6" t="s">
        <v>33967</v>
      </c>
      <c r="R6973" s="6" t="s">
        <v>4236</v>
      </c>
      <c r="S6973" s="8" t="s">
        <v>43540</v>
      </c>
      <c r="T6973" s="6" t="s">
        <v>66</v>
      </c>
      <c r="U6973" s="8" t="s">
        <v>31</v>
      </c>
      <c r="V6973" s="6" t="s">
        <v>470</v>
      </c>
      <c r="W6973" s="6" t="s">
        <v>43541</v>
      </c>
      <c r="X6973" s="9" t="str">
        <f>HYPERLINK("https://my.pitchbook.com?p=210572-47P","View People Online")</f>
        <v>View People Online</v>
      </c>
    </row>
    <row r="6974">
      <c r="A6974" s="2" t="s">
        <v>43542</v>
      </c>
      <c r="B6974" s="2" t="s">
        <v>43543</v>
      </c>
      <c r="C6974" s="2" t="s">
        <v>323</v>
      </c>
      <c r="D6974" s="2" t="s">
        <v>43544</v>
      </c>
      <c r="E6974" s="2" t="s">
        <v>43520</v>
      </c>
      <c r="F6974" s="2" t="s">
        <v>189</v>
      </c>
      <c r="G6974" s="2" t="s">
        <v>43545</v>
      </c>
      <c r="H6974" s="3">
        <v>5.0</v>
      </c>
      <c r="I6974" s="3">
        <v>31.0</v>
      </c>
      <c r="J6974" s="3">
        <v>4.0</v>
      </c>
      <c r="K6974" s="3">
        <v>21.0</v>
      </c>
      <c r="L6974" s="4" t="s">
        <v>43546</v>
      </c>
      <c r="M6974" s="2" t="s">
        <v>43547</v>
      </c>
      <c r="N6974" s="2" t="s">
        <v>4232</v>
      </c>
      <c r="O6974" s="4" t="s">
        <v>4233</v>
      </c>
      <c r="P6974" s="2" t="s">
        <v>39278</v>
      </c>
      <c r="Q6974" s="2" t="s">
        <v>39279</v>
      </c>
      <c r="R6974" s="2" t="s">
        <v>4236</v>
      </c>
      <c r="S6974" s="4" t="s">
        <v>27763</v>
      </c>
      <c r="T6974" s="2" t="s">
        <v>66</v>
      </c>
      <c r="U6974" s="4" t="s">
        <v>43523</v>
      </c>
      <c r="V6974" s="2" t="s">
        <v>31</v>
      </c>
      <c r="W6974" s="2" t="s">
        <v>43548</v>
      </c>
      <c r="X6974" s="5" t="str">
        <f>HYPERLINK("https://my.pitchbook.com?p=36661-15P","View People Online")</f>
        <v>View People Online</v>
      </c>
    </row>
    <row r="6975">
      <c r="A6975" s="14" t="s">
        <v>43549</v>
      </c>
      <c r="B6975" s="14" t="s">
        <v>43550</v>
      </c>
      <c r="C6975" s="14" t="s">
        <v>323</v>
      </c>
      <c r="D6975" s="14" t="s">
        <v>38014</v>
      </c>
      <c r="E6975" s="14" t="s">
        <v>43520</v>
      </c>
      <c r="F6975" s="14" t="s">
        <v>29</v>
      </c>
      <c r="G6975" s="14" t="s">
        <v>43551</v>
      </c>
      <c r="H6975" s="15">
        <v>4.0</v>
      </c>
      <c r="I6975" s="15">
        <v>13.0</v>
      </c>
      <c r="J6975" s="15">
        <v>1.0</v>
      </c>
      <c r="K6975" s="15">
        <v>7.0</v>
      </c>
      <c r="L6975" s="16" t="s">
        <v>43522</v>
      </c>
      <c r="M6975" s="14" t="s">
        <v>43552</v>
      </c>
      <c r="N6975" s="14" t="s">
        <v>4232</v>
      </c>
      <c r="O6975" s="16" t="s">
        <v>4233</v>
      </c>
      <c r="P6975" s="14" t="s">
        <v>39278</v>
      </c>
      <c r="Q6975" s="14" t="s">
        <v>39279</v>
      </c>
      <c r="R6975" s="14" t="s">
        <v>4236</v>
      </c>
      <c r="S6975" s="16" t="s">
        <v>27763</v>
      </c>
      <c r="T6975" s="14" t="s">
        <v>66</v>
      </c>
      <c r="U6975" s="16" t="s">
        <v>43523</v>
      </c>
      <c r="V6975" s="14" t="s">
        <v>29</v>
      </c>
      <c r="W6975" s="14" t="s">
        <v>43520</v>
      </c>
      <c r="X6975" s="17" t="str">
        <f>HYPERLINK("https://my.pitchbook.com?p=131717-62P","View People Online")</f>
        <v>View People Online</v>
      </c>
    </row>
    <row r="6976">
      <c r="A6976" s="2" t="s">
        <v>43553</v>
      </c>
      <c r="B6976" s="2" t="s">
        <v>43554</v>
      </c>
      <c r="C6976" s="2" t="s">
        <v>5844</v>
      </c>
      <c r="D6976" s="2" t="s">
        <v>43555</v>
      </c>
      <c r="E6976" s="2" t="s">
        <v>43520</v>
      </c>
      <c r="F6976" s="2" t="s">
        <v>114</v>
      </c>
      <c r="G6976" s="2" t="s">
        <v>43556</v>
      </c>
      <c r="H6976" s="3">
        <v>3.0</v>
      </c>
      <c r="I6976" s="3">
        <v>11.0</v>
      </c>
      <c r="J6976" s="3">
        <v>3.0</v>
      </c>
      <c r="K6976" s="3">
        <v>4.0</v>
      </c>
      <c r="L6976" s="4" t="s">
        <v>43557</v>
      </c>
      <c r="M6976" s="2" t="s">
        <v>31</v>
      </c>
      <c r="N6976" s="2" t="s">
        <v>15673</v>
      </c>
      <c r="O6976" s="4" t="s">
        <v>15674</v>
      </c>
      <c r="P6976" s="2" t="s">
        <v>43558</v>
      </c>
      <c r="Q6976" s="2" t="s">
        <v>2839</v>
      </c>
      <c r="R6976" s="2" t="s">
        <v>15676</v>
      </c>
      <c r="S6976" s="4" t="s">
        <v>43559</v>
      </c>
      <c r="T6976" s="2" t="s">
        <v>66</v>
      </c>
      <c r="U6976" s="4" t="s">
        <v>31</v>
      </c>
      <c r="V6976" s="2" t="s">
        <v>43560</v>
      </c>
      <c r="W6976" s="2" t="s">
        <v>43561</v>
      </c>
      <c r="X6976" s="5" t="str">
        <f>HYPERLINK("https://my.pitchbook.com?p=31700-89P","View People Online")</f>
        <v>View People Online</v>
      </c>
    </row>
    <row r="6977">
      <c r="A6977" s="6" t="s">
        <v>43562</v>
      </c>
      <c r="B6977" s="6" t="s">
        <v>43563</v>
      </c>
      <c r="C6977" s="6" t="s">
        <v>1482</v>
      </c>
      <c r="D6977" s="6" t="s">
        <v>43564</v>
      </c>
      <c r="E6977" s="6" t="s">
        <v>43520</v>
      </c>
      <c r="F6977" s="6" t="s">
        <v>29</v>
      </c>
      <c r="G6977" s="6" t="s">
        <v>43565</v>
      </c>
      <c r="H6977" s="7" t="s">
        <v>31</v>
      </c>
      <c r="I6977" s="7">
        <v>1.0</v>
      </c>
      <c r="J6977" s="7">
        <v>1.0</v>
      </c>
      <c r="K6977" s="7" t="s">
        <v>31</v>
      </c>
      <c r="L6977" s="8" t="s">
        <v>43522</v>
      </c>
      <c r="M6977" s="6" t="s">
        <v>43566</v>
      </c>
      <c r="N6977" s="6" t="s">
        <v>4232</v>
      </c>
      <c r="O6977" s="8" t="s">
        <v>4233</v>
      </c>
      <c r="P6977" s="6" t="s">
        <v>39278</v>
      </c>
      <c r="Q6977" s="6" t="s">
        <v>39279</v>
      </c>
      <c r="R6977" s="6" t="s">
        <v>4236</v>
      </c>
      <c r="S6977" s="8" t="s">
        <v>27763</v>
      </c>
      <c r="T6977" s="6" t="s">
        <v>66</v>
      </c>
      <c r="U6977" s="8" t="s">
        <v>43523</v>
      </c>
      <c r="V6977" s="6" t="s">
        <v>29</v>
      </c>
      <c r="W6977" s="6" t="s">
        <v>43520</v>
      </c>
      <c r="X6977" s="9" t="str">
        <f>HYPERLINK("https://my.pitchbook.com?p=341552-71P","View People Online")</f>
        <v>View People Online</v>
      </c>
    </row>
    <row r="6978">
      <c r="A6978" s="10" t="s">
        <v>43567</v>
      </c>
      <c r="B6978" s="10" t="s">
        <v>43568</v>
      </c>
      <c r="C6978" s="10" t="s">
        <v>3040</v>
      </c>
      <c r="D6978" s="10" t="s">
        <v>4873</v>
      </c>
      <c r="E6978" s="10" t="s">
        <v>43520</v>
      </c>
      <c r="F6978" s="10" t="s">
        <v>1801</v>
      </c>
      <c r="G6978" s="10" t="s">
        <v>43569</v>
      </c>
      <c r="H6978" s="11" t="s">
        <v>31</v>
      </c>
      <c r="I6978" s="11">
        <v>1.0</v>
      </c>
      <c r="J6978" s="11">
        <v>1.0</v>
      </c>
      <c r="K6978" s="11" t="s">
        <v>31</v>
      </c>
      <c r="L6978" s="12" t="s">
        <v>43522</v>
      </c>
      <c r="M6978" s="10" t="s">
        <v>43570</v>
      </c>
      <c r="N6978" s="10" t="s">
        <v>4232</v>
      </c>
      <c r="O6978" s="12" t="s">
        <v>4233</v>
      </c>
      <c r="P6978" s="10" t="s">
        <v>39278</v>
      </c>
      <c r="Q6978" s="10" t="s">
        <v>39279</v>
      </c>
      <c r="R6978" s="10" t="s">
        <v>4236</v>
      </c>
      <c r="S6978" s="12" t="s">
        <v>27763</v>
      </c>
      <c r="T6978" s="10" t="s">
        <v>66</v>
      </c>
      <c r="U6978" s="12" t="s">
        <v>43523</v>
      </c>
      <c r="V6978" s="10" t="s">
        <v>43571</v>
      </c>
      <c r="W6978" s="10" t="s">
        <v>43520</v>
      </c>
      <c r="X6978" s="13" t="str">
        <f>HYPERLINK("https://my.pitchbook.com?p=371618-38P","View People Online")</f>
        <v>View People Online</v>
      </c>
    </row>
    <row r="6979">
      <c r="A6979" s="14" t="s">
        <v>43572</v>
      </c>
      <c r="B6979" s="14" t="s">
        <v>43573</v>
      </c>
      <c r="C6979" s="14" t="s">
        <v>43574</v>
      </c>
      <c r="D6979" s="14" t="s">
        <v>43575</v>
      </c>
      <c r="E6979" s="14" t="s">
        <v>43520</v>
      </c>
      <c r="F6979" s="14" t="s">
        <v>201</v>
      </c>
      <c r="G6979" s="14" t="s">
        <v>43576</v>
      </c>
      <c r="H6979" s="15" t="s">
        <v>31</v>
      </c>
      <c r="I6979" s="15">
        <v>2.0</v>
      </c>
      <c r="J6979" s="15">
        <v>1.0</v>
      </c>
      <c r="K6979" s="15">
        <v>1.0</v>
      </c>
      <c r="L6979" s="16" t="s">
        <v>43522</v>
      </c>
      <c r="M6979" s="14" t="s">
        <v>43577</v>
      </c>
      <c r="N6979" s="14" t="s">
        <v>4232</v>
      </c>
      <c r="O6979" s="16" t="s">
        <v>4233</v>
      </c>
      <c r="P6979" s="14" t="s">
        <v>39278</v>
      </c>
      <c r="Q6979" s="14" t="s">
        <v>39279</v>
      </c>
      <c r="R6979" s="14" t="s">
        <v>4236</v>
      </c>
      <c r="S6979" s="16" t="s">
        <v>27763</v>
      </c>
      <c r="T6979" s="14" t="s">
        <v>66</v>
      </c>
      <c r="U6979" s="16" t="s">
        <v>43523</v>
      </c>
      <c r="V6979" s="14" t="s">
        <v>201</v>
      </c>
      <c r="W6979" s="14" t="s">
        <v>43520</v>
      </c>
      <c r="X6979" s="17" t="str">
        <f>HYPERLINK("https://my.pitchbook.com?p=291640-06P","View People Online")</f>
        <v>View People Online</v>
      </c>
    </row>
    <row r="6980">
      <c r="A6980" s="10" t="s">
        <v>43578</v>
      </c>
      <c r="B6980" s="10" t="s">
        <v>43579</v>
      </c>
      <c r="C6980" s="10" t="s">
        <v>18807</v>
      </c>
      <c r="D6980" s="10" t="s">
        <v>43580</v>
      </c>
      <c r="E6980" s="10" t="s">
        <v>43520</v>
      </c>
      <c r="F6980" s="10" t="s">
        <v>29</v>
      </c>
      <c r="G6980" s="10" t="s">
        <v>43581</v>
      </c>
      <c r="H6980" s="11" t="s">
        <v>31</v>
      </c>
      <c r="I6980" s="11">
        <v>2.0</v>
      </c>
      <c r="J6980" s="11">
        <v>2.0</v>
      </c>
      <c r="K6980" s="11" t="s">
        <v>31</v>
      </c>
      <c r="L6980" s="12" t="s">
        <v>43522</v>
      </c>
      <c r="M6980" s="10" t="s">
        <v>43582</v>
      </c>
      <c r="N6980" s="10" t="s">
        <v>4232</v>
      </c>
      <c r="O6980" s="12" t="s">
        <v>4233</v>
      </c>
      <c r="P6980" s="10" t="s">
        <v>39278</v>
      </c>
      <c r="Q6980" s="10" t="s">
        <v>39279</v>
      </c>
      <c r="R6980" s="10" t="s">
        <v>4236</v>
      </c>
      <c r="S6980" s="12" t="s">
        <v>27763</v>
      </c>
      <c r="T6980" s="10" t="s">
        <v>66</v>
      </c>
      <c r="U6980" s="12" t="s">
        <v>43523</v>
      </c>
      <c r="V6980" s="10" t="s">
        <v>43583</v>
      </c>
      <c r="W6980" s="10" t="s">
        <v>43520</v>
      </c>
      <c r="X6980" s="13" t="str">
        <f>HYPERLINK("https://my.pitchbook.com?p=267356-71P","View People Online")</f>
        <v>View People Online</v>
      </c>
    </row>
    <row r="6981">
      <c r="A6981" s="14" t="s">
        <v>43584</v>
      </c>
      <c r="B6981" s="14" t="s">
        <v>43585</v>
      </c>
      <c r="C6981" s="14" t="s">
        <v>160</v>
      </c>
      <c r="D6981" s="14" t="s">
        <v>31240</v>
      </c>
      <c r="E6981" s="14" t="s">
        <v>43520</v>
      </c>
      <c r="F6981" s="14" t="s">
        <v>57</v>
      </c>
      <c r="G6981" s="14" t="s">
        <v>43586</v>
      </c>
      <c r="H6981" s="15">
        <v>2.0</v>
      </c>
      <c r="I6981" s="15">
        <v>11.0</v>
      </c>
      <c r="J6981" s="15">
        <v>2.0</v>
      </c>
      <c r="K6981" s="15">
        <v>6.0</v>
      </c>
      <c r="L6981" s="16" t="s">
        <v>43522</v>
      </c>
      <c r="M6981" s="14" t="s">
        <v>43587</v>
      </c>
      <c r="N6981" s="14" t="s">
        <v>4232</v>
      </c>
      <c r="O6981" s="16" t="s">
        <v>4233</v>
      </c>
      <c r="P6981" s="14" t="s">
        <v>39278</v>
      </c>
      <c r="Q6981" s="14" t="s">
        <v>39279</v>
      </c>
      <c r="R6981" s="14" t="s">
        <v>4236</v>
      </c>
      <c r="S6981" s="16" t="s">
        <v>27763</v>
      </c>
      <c r="T6981" s="14" t="s">
        <v>66</v>
      </c>
      <c r="U6981" s="16" t="s">
        <v>43523</v>
      </c>
      <c r="V6981" s="14" t="s">
        <v>43588</v>
      </c>
      <c r="W6981" s="14" t="s">
        <v>43520</v>
      </c>
      <c r="X6981" s="17" t="str">
        <f>HYPERLINK("https://my.pitchbook.com?p=97941-16P","View People Online")</f>
        <v>View People Online</v>
      </c>
    </row>
    <row r="6982">
      <c r="A6982" s="10" t="s">
        <v>43589</v>
      </c>
      <c r="B6982" s="10" t="s">
        <v>43590</v>
      </c>
      <c r="C6982" s="10" t="s">
        <v>1807</v>
      </c>
      <c r="D6982" s="10" t="s">
        <v>43591</v>
      </c>
      <c r="E6982" s="10" t="s">
        <v>43520</v>
      </c>
      <c r="F6982" s="10" t="s">
        <v>502</v>
      </c>
      <c r="G6982" s="10" t="s">
        <v>43592</v>
      </c>
      <c r="H6982" s="11">
        <v>3.0</v>
      </c>
      <c r="I6982" s="11">
        <v>9.0</v>
      </c>
      <c r="J6982" s="11">
        <v>1.0</v>
      </c>
      <c r="K6982" s="11">
        <v>3.0</v>
      </c>
      <c r="L6982" s="12" t="s">
        <v>43522</v>
      </c>
      <c r="M6982" s="10" t="s">
        <v>43593</v>
      </c>
      <c r="N6982" s="10" t="s">
        <v>4232</v>
      </c>
      <c r="O6982" s="12" t="s">
        <v>4233</v>
      </c>
      <c r="P6982" s="10" t="s">
        <v>39278</v>
      </c>
      <c r="Q6982" s="10" t="s">
        <v>39279</v>
      </c>
      <c r="R6982" s="10" t="s">
        <v>4236</v>
      </c>
      <c r="S6982" s="12" t="s">
        <v>27763</v>
      </c>
      <c r="T6982" s="10" t="s">
        <v>66</v>
      </c>
      <c r="U6982" s="12" t="s">
        <v>43523</v>
      </c>
      <c r="V6982" s="10" t="s">
        <v>502</v>
      </c>
      <c r="W6982" s="10" t="s">
        <v>43520</v>
      </c>
      <c r="X6982" s="13" t="str">
        <f>HYPERLINK("https://my.pitchbook.com?p=52776-46P","View People Online")</f>
        <v>View People Online</v>
      </c>
    </row>
    <row r="6983">
      <c r="A6983" s="14" t="s">
        <v>43594</v>
      </c>
      <c r="B6983" s="14" t="s">
        <v>43595</v>
      </c>
      <c r="C6983" s="14" t="s">
        <v>3722</v>
      </c>
      <c r="D6983" s="14" t="s">
        <v>25007</v>
      </c>
      <c r="E6983" s="14" t="s">
        <v>43520</v>
      </c>
      <c r="F6983" s="14" t="s">
        <v>81</v>
      </c>
      <c r="G6983" s="14" t="s">
        <v>43596</v>
      </c>
      <c r="H6983" s="15" t="s">
        <v>31</v>
      </c>
      <c r="I6983" s="15">
        <v>1.0</v>
      </c>
      <c r="J6983" s="15" t="s">
        <v>31</v>
      </c>
      <c r="K6983" s="15" t="s">
        <v>31</v>
      </c>
      <c r="L6983" s="16" t="s">
        <v>43522</v>
      </c>
      <c r="M6983" s="14" t="s">
        <v>31</v>
      </c>
      <c r="N6983" s="14" t="s">
        <v>4232</v>
      </c>
      <c r="O6983" s="16" t="s">
        <v>4233</v>
      </c>
      <c r="P6983" s="14" t="s">
        <v>39278</v>
      </c>
      <c r="Q6983" s="14" t="s">
        <v>39279</v>
      </c>
      <c r="R6983" s="14" t="s">
        <v>4236</v>
      </c>
      <c r="S6983" s="16" t="s">
        <v>27763</v>
      </c>
      <c r="T6983" s="14" t="s">
        <v>66</v>
      </c>
      <c r="U6983" s="16" t="s">
        <v>43523</v>
      </c>
      <c r="V6983" s="14" t="s">
        <v>81</v>
      </c>
      <c r="W6983" s="14" t="s">
        <v>43520</v>
      </c>
      <c r="X6983" s="17" t="str">
        <f>HYPERLINK("https://my.pitchbook.com?p=238804-66P","View People Online")</f>
        <v>View People Online</v>
      </c>
    </row>
    <row r="6984">
      <c r="A6984" s="10" t="s">
        <v>43597</v>
      </c>
      <c r="B6984" s="10" t="s">
        <v>43598</v>
      </c>
      <c r="C6984" s="10" t="s">
        <v>1697</v>
      </c>
      <c r="D6984" s="10" t="s">
        <v>43599</v>
      </c>
      <c r="E6984" s="10" t="s">
        <v>43520</v>
      </c>
      <c r="F6984" s="10" t="s">
        <v>43</v>
      </c>
      <c r="G6984" s="10" t="s">
        <v>43600</v>
      </c>
      <c r="H6984" s="11">
        <v>2.0</v>
      </c>
      <c r="I6984" s="11">
        <v>44.0</v>
      </c>
      <c r="J6984" s="11">
        <v>1.0</v>
      </c>
      <c r="K6984" s="11">
        <v>38.0</v>
      </c>
      <c r="L6984" s="12" t="s">
        <v>43522</v>
      </c>
      <c r="M6984" s="10" t="s">
        <v>43601</v>
      </c>
      <c r="N6984" s="10" t="s">
        <v>4232</v>
      </c>
      <c r="O6984" s="12" t="s">
        <v>4233</v>
      </c>
      <c r="P6984" s="10" t="s">
        <v>39278</v>
      </c>
      <c r="Q6984" s="10" t="s">
        <v>39279</v>
      </c>
      <c r="R6984" s="10" t="s">
        <v>4236</v>
      </c>
      <c r="S6984" s="12" t="s">
        <v>27763</v>
      </c>
      <c r="T6984" s="10" t="s">
        <v>66</v>
      </c>
      <c r="U6984" s="12" t="s">
        <v>43523</v>
      </c>
      <c r="V6984" s="10" t="s">
        <v>43</v>
      </c>
      <c r="W6984" s="10" t="s">
        <v>43520</v>
      </c>
      <c r="X6984" s="13" t="str">
        <f>HYPERLINK("https://my.pitchbook.com?p=37081-00P","View People Online")</f>
        <v>View People Online</v>
      </c>
    </row>
    <row r="6985">
      <c r="A6985" s="14" t="s">
        <v>43602</v>
      </c>
      <c r="B6985" s="14" t="s">
        <v>43603</v>
      </c>
      <c r="C6985" s="14" t="s">
        <v>6270</v>
      </c>
      <c r="D6985" s="14" t="s">
        <v>43604</v>
      </c>
      <c r="E6985" s="14" t="s">
        <v>43520</v>
      </c>
      <c r="F6985" s="14" t="s">
        <v>114</v>
      </c>
      <c r="G6985" s="14" t="s">
        <v>43605</v>
      </c>
      <c r="H6985" s="15" t="s">
        <v>31</v>
      </c>
      <c r="I6985" s="15">
        <v>1.0</v>
      </c>
      <c r="J6985" s="15">
        <v>1.0</v>
      </c>
      <c r="K6985" s="15" t="s">
        <v>31</v>
      </c>
      <c r="L6985" s="16" t="s">
        <v>43522</v>
      </c>
      <c r="M6985" s="14" t="s">
        <v>31</v>
      </c>
      <c r="N6985" s="14" t="s">
        <v>4232</v>
      </c>
      <c r="O6985" s="16" t="s">
        <v>4233</v>
      </c>
      <c r="P6985" s="14" t="s">
        <v>39278</v>
      </c>
      <c r="Q6985" s="14" t="s">
        <v>39279</v>
      </c>
      <c r="R6985" s="14" t="s">
        <v>4236</v>
      </c>
      <c r="S6985" s="16" t="s">
        <v>27763</v>
      </c>
      <c r="T6985" s="14" t="s">
        <v>66</v>
      </c>
      <c r="U6985" s="16" t="s">
        <v>43523</v>
      </c>
      <c r="V6985" s="14" t="s">
        <v>114</v>
      </c>
      <c r="W6985" s="14" t="s">
        <v>43520</v>
      </c>
      <c r="X6985" s="17" t="str">
        <f>HYPERLINK("https://my.pitchbook.com?p=106349-50P","View People Online")</f>
        <v>View People Online</v>
      </c>
    </row>
    <row r="6986">
      <c r="A6986" s="10" t="s">
        <v>43606</v>
      </c>
      <c r="B6986" s="10" t="s">
        <v>43607</v>
      </c>
      <c r="C6986" s="10" t="s">
        <v>7413</v>
      </c>
      <c r="D6986" s="10" t="s">
        <v>666</v>
      </c>
      <c r="E6986" s="10" t="s">
        <v>43608</v>
      </c>
      <c r="F6986" s="10" t="s">
        <v>12689</v>
      </c>
      <c r="G6986" s="10" t="s">
        <v>43609</v>
      </c>
      <c r="H6986" s="11" t="s">
        <v>31</v>
      </c>
      <c r="I6986" s="11">
        <v>1.0</v>
      </c>
      <c r="J6986" s="11">
        <v>1.0</v>
      </c>
      <c r="K6986" s="11" t="s">
        <v>31</v>
      </c>
      <c r="L6986" s="12" t="s">
        <v>31</v>
      </c>
      <c r="M6986" s="10" t="s">
        <v>31</v>
      </c>
      <c r="N6986" s="10" t="s">
        <v>1781</v>
      </c>
      <c r="O6986" s="12" t="s">
        <v>1782</v>
      </c>
      <c r="P6986" s="10" t="s">
        <v>31</v>
      </c>
      <c r="Q6986" s="10" t="s">
        <v>31</v>
      </c>
      <c r="R6986" s="10" t="s">
        <v>1785</v>
      </c>
      <c r="S6986" s="12" t="s">
        <v>31</v>
      </c>
      <c r="T6986" s="10" t="s">
        <v>1019</v>
      </c>
      <c r="U6986" s="12" t="s">
        <v>31</v>
      </c>
      <c r="V6986" s="10" t="s">
        <v>40568</v>
      </c>
      <c r="W6986" s="10" t="s">
        <v>43608</v>
      </c>
      <c r="X6986" s="13" t="str">
        <f>HYPERLINK("https://my.pitchbook.com?p=362747-35P","View People Online")</f>
        <v>View People Online</v>
      </c>
    </row>
    <row r="6987">
      <c r="A6987" s="14" t="s">
        <v>43610</v>
      </c>
      <c r="B6987" s="14" t="s">
        <v>43611</v>
      </c>
      <c r="C6987" s="14" t="s">
        <v>1449</v>
      </c>
      <c r="D6987" s="14" t="s">
        <v>1317</v>
      </c>
      <c r="E6987" s="14" t="s">
        <v>43608</v>
      </c>
      <c r="F6987" s="14" t="s">
        <v>12689</v>
      </c>
      <c r="G6987" s="14" t="s">
        <v>43612</v>
      </c>
      <c r="H6987" s="15" t="s">
        <v>31</v>
      </c>
      <c r="I6987" s="15">
        <v>1.0</v>
      </c>
      <c r="J6987" s="15">
        <v>1.0</v>
      </c>
      <c r="K6987" s="15" t="s">
        <v>31</v>
      </c>
      <c r="L6987" s="16" t="s">
        <v>31</v>
      </c>
      <c r="M6987" s="14" t="s">
        <v>31</v>
      </c>
      <c r="N6987" s="14" t="s">
        <v>1781</v>
      </c>
      <c r="O6987" s="16" t="s">
        <v>1782</v>
      </c>
      <c r="P6987" s="14" t="s">
        <v>31</v>
      </c>
      <c r="Q6987" s="14" t="s">
        <v>31</v>
      </c>
      <c r="R6987" s="14" t="s">
        <v>1785</v>
      </c>
      <c r="S6987" s="16" t="s">
        <v>31</v>
      </c>
      <c r="T6987" s="14" t="s">
        <v>1019</v>
      </c>
      <c r="U6987" s="16" t="s">
        <v>31</v>
      </c>
      <c r="V6987" s="14" t="s">
        <v>40568</v>
      </c>
      <c r="W6987" s="14" t="s">
        <v>43608</v>
      </c>
      <c r="X6987" s="17" t="str">
        <f>HYPERLINK("https://my.pitchbook.com?p=362748-61P","View People Online")</f>
        <v>View People Online</v>
      </c>
    </row>
    <row r="6988">
      <c r="A6988" s="10" t="s">
        <v>43613</v>
      </c>
      <c r="B6988" s="10" t="s">
        <v>43614</v>
      </c>
      <c r="C6988" s="10" t="s">
        <v>8294</v>
      </c>
      <c r="D6988" s="10" t="s">
        <v>43615</v>
      </c>
      <c r="E6988" s="10" t="s">
        <v>43608</v>
      </c>
      <c r="F6988" s="10" t="s">
        <v>12689</v>
      </c>
      <c r="G6988" s="10" t="s">
        <v>43616</v>
      </c>
      <c r="H6988" s="11" t="s">
        <v>31</v>
      </c>
      <c r="I6988" s="11">
        <v>1.0</v>
      </c>
      <c r="J6988" s="11">
        <v>1.0</v>
      </c>
      <c r="K6988" s="11" t="s">
        <v>31</v>
      </c>
      <c r="L6988" s="12" t="s">
        <v>31</v>
      </c>
      <c r="M6988" s="10" t="s">
        <v>31</v>
      </c>
      <c r="N6988" s="10" t="s">
        <v>1781</v>
      </c>
      <c r="O6988" s="12" t="s">
        <v>1782</v>
      </c>
      <c r="P6988" s="10" t="s">
        <v>31</v>
      </c>
      <c r="Q6988" s="10" t="s">
        <v>31</v>
      </c>
      <c r="R6988" s="10" t="s">
        <v>1785</v>
      </c>
      <c r="S6988" s="12" t="s">
        <v>31</v>
      </c>
      <c r="T6988" s="10" t="s">
        <v>1019</v>
      </c>
      <c r="U6988" s="12" t="s">
        <v>31</v>
      </c>
      <c r="V6988" s="10" t="s">
        <v>40568</v>
      </c>
      <c r="W6988" s="10" t="s">
        <v>43608</v>
      </c>
      <c r="X6988" s="13" t="str">
        <f>HYPERLINK("https://my.pitchbook.com?p=362747-80P","View People Online")</f>
        <v>View People Online</v>
      </c>
    </row>
    <row r="6989">
      <c r="A6989" s="14" t="s">
        <v>43617</v>
      </c>
      <c r="B6989" s="14" t="s">
        <v>43618</v>
      </c>
      <c r="C6989" s="14" t="s">
        <v>395</v>
      </c>
      <c r="D6989" s="14" t="s">
        <v>666</v>
      </c>
      <c r="E6989" s="14" t="s">
        <v>43608</v>
      </c>
      <c r="F6989" s="14" t="s">
        <v>12689</v>
      </c>
      <c r="G6989" s="14" t="s">
        <v>43619</v>
      </c>
      <c r="H6989" s="15" t="s">
        <v>31</v>
      </c>
      <c r="I6989" s="15">
        <v>2.0</v>
      </c>
      <c r="J6989" s="15">
        <v>2.0</v>
      </c>
      <c r="K6989" s="15" t="s">
        <v>31</v>
      </c>
      <c r="L6989" s="16" t="s">
        <v>43620</v>
      </c>
      <c r="M6989" s="14" t="s">
        <v>43621</v>
      </c>
      <c r="N6989" s="14" t="s">
        <v>1442</v>
      </c>
      <c r="O6989" s="16" t="s">
        <v>1443</v>
      </c>
      <c r="P6989" s="14" t="s">
        <v>43622</v>
      </c>
      <c r="Q6989" s="14" t="s">
        <v>31</v>
      </c>
      <c r="R6989" s="14" t="s">
        <v>1277</v>
      </c>
      <c r="S6989" s="16" t="s">
        <v>43623</v>
      </c>
      <c r="T6989" s="14" t="s">
        <v>66</v>
      </c>
      <c r="U6989" s="16" t="s">
        <v>31</v>
      </c>
      <c r="V6989" s="14" t="s">
        <v>43624</v>
      </c>
      <c r="W6989" s="14" t="s">
        <v>43625</v>
      </c>
      <c r="X6989" s="17" t="str">
        <f>HYPERLINK("https://my.pitchbook.com?p=214740-01P","View People Online")</f>
        <v>View People Online</v>
      </c>
    </row>
    <row r="6990">
      <c r="A6990" s="10" t="s">
        <v>43626</v>
      </c>
      <c r="B6990" s="10" t="s">
        <v>43627</v>
      </c>
      <c r="C6990" s="10" t="s">
        <v>43628</v>
      </c>
      <c r="D6990" s="10" t="s">
        <v>1073</v>
      </c>
      <c r="E6990" s="10" t="s">
        <v>43608</v>
      </c>
      <c r="F6990" s="10" t="s">
        <v>12689</v>
      </c>
      <c r="G6990" s="10" t="s">
        <v>43629</v>
      </c>
      <c r="H6990" s="11" t="s">
        <v>31</v>
      </c>
      <c r="I6990" s="11">
        <v>3.0</v>
      </c>
      <c r="J6990" s="11">
        <v>1.0</v>
      </c>
      <c r="K6990" s="11">
        <v>2.0</v>
      </c>
      <c r="L6990" s="12" t="s">
        <v>43630</v>
      </c>
      <c r="M6990" s="10" t="s">
        <v>43631</v>
      </c>
      <c r="N6990" s="10" t="s">
        <v>1781</v>
      </c>
      <c r="O6990" s="12" t="s">
        <v>1782</v>
      </c>
      <c r="P6990" s="10" t="s">
        <v>31</v>
      </c>
      <c r="Q6990" s="10" t="s">
        <v>31</v>
      </c>
      <c r="R6990" s="10" t="s">
        <v>1785</v>
      </c>
      <c r="S6990" s="12" t="s">
        <v>31</v>
      </c>
      <c r="T6990" s="10" t="s">
        <v>1019</v>
      </c>
      <c r="U6990" s="12" t="s">
        <v>31</v>
      </c>
      <c r="V6990" s="10" t="s">
        <v>40568</v>
      </c>
      <c r="W6990" s="10" t="s">
        <v>43608</v>
      </c>
      <c r="X6990" s="13" t="str">
        <f>HYPERLINK("https://my.pitchbook.com?p=281804-23P","View People Online")</f>
        <v>View People Online</v>
      </c>
    </row>
    <row r="6991">
      <c r="A6991" s="14" t="s">
        <v>43632</v>
      </c>
      <c r="B6991" s="14" t="s">
        <v>43633</v>
      </c>
      <c r="C6991" s="14" t="s">
        <v>43634</v>
      </c>
      <c r="D6991" s="14" t="s">
        <v>3677</v>
      </c>
      <c r="E6991" s="14" t="s">
        <v>43635</v>
      </c>
      <c r="F6991" s="14" t="s">
        <v>674</v>
      </c>
      <c r="G6991" s="14" t="s">
        <v>43636</v>
      </c>
      <c r="H6991" s="15" t="s">
        <v>31</v>
      </c>
      <c r="I6991" s="15">
        <v>14.0</v>
      </c>
      <c r="J6991" s="15">
        <v>1.0</v>
      </c>
      <c r="K6991" s="15">
        <v>12.0</v>
      </c>
      <c r="L6991" s="16" t="s">
        <v>31</v>
      </c>
      <c r="M6991" s="14" t="s">
        <v>43637</v>
      </c>
      <c r="N6991" s="14" t="s">
        <v>775</v>
      </c>
      <c r="O6991" s="16" t="s">
        <v>776</v>
      </c>
      <c r="P6991" s="14" t="s">
        <v>31</v>
      </c>
      <c r="Q6991" s="14" t="s">
        <v>31</v>
      </c>
      <c r="R6991" s="14" t="s">
        <v>64</v>
      </c>
      <c r="S6991" s="16" t="s">
        <v>31</v>
      </c>
      <c r="T6991" s="14" t="s">
        <v>66</v>
      </c>
      <c r="U6991" s="16" t="s">
        <v>31</v>
      </c>
      <c r="V6991" s="14" t="s">
        <v>674</v>
      </c>
      <c r="W6991" s="14" t="s">
        <v>43635</v>
      </c>
      <c r="X6991" s="17" t="str">
        <f>HYPERLINK("https://my.pitchbook.com?p=287542-63P","View People Online")</f>
        <v>View People Online</v>
      </c>
    </row>
    <row r="6992">
      <c r="A6992" s="10" t="s">
        <v>43638</v>
      </c>
      <c r="B6992" s="10" t="s">
        <v>43639</v>
      </c>
      <c r="C6992" s="10" t="s">
        <v>167</v>
      </c>
      <c r="D6992" s="10" t="s">
        <v>4314</v>
      </c>
      <c r="E6992" s="10" t="s">
        <v>43635</v>
      </c>
      <c r="F6992" s="10" t="s">
        <v>29</v>
      </c>
      <c r="G6992" s="10" t="s">
        <v>43640</v>
      </c>
      <c r="H6992" s="11" t="s">
        <v>31</v>
      </c>
      <c r="I6992" s="11">
        <v>1.0</v>
      </c>
      <c r="J6992" s="11">
        <v>1.0</v>
      </c>
      <c r="K6992" s="11" t="s">
        <v>31</v>
      </c>
      <c r="L6992" s="12" t="s">
        <v>31</v>
      </c>
      <c r="M6992" s="10" t="s">
        <v>43641</v>
      </c>
      <c r="N6992" s="10" t="s">
        <v>775</v>
      </c>
      <c r="O6992" s="12" t="s">
        <v>776</v>
      </c>
      <c r="P6992" s="10" t="s">
        <v>31</v>
      </c>
      <c r="Q6992" s="10" t="s">
        <v>31</v>
      </c>
      <c r="R6992" s="10" t="s">
        <v>64</v>
      </c>
      <c r="S6992" s="12" t="s">
        <v>31</v>
      </c>
      <c r="T6992" s="10" t="s">
        <v>66</v>
      </c>
      <c r="U6992" s="12" t="s">
        <v>31</v>
      </c>
      <c r="V6992" s="10" t="s">
        <v>29</v>
      </c>
      <c r="W6992" s="10" t="s">
        <v>43635</v>
      </c>
      <c r="X6992" s="13" t="str">
        <f>HYPERLINK("https://my.pitchbook.com?p=385997-95P","View People Online")</f>
        <v>View People Online</v>
      </c>
    </row>
    <row r="6993">
      <c r="A6993" s="6" t="s">
        <v>43642</v>
      </c>
      <c r="B6993" s="6" t="s">
        <v>43643</v>
      </c>
      <c r="C6993" s="6" t="s">
        <v>536</v>
      </c>
      <c r="D6993" s="6" t="s">
        <v>43644</v>
      </c>
      <c r="E6993" s="6" t="s">
        <v>43635</v>
      </c>
      <c r="F6993" s="6" t="s">
        <v>81</v>
      </c>
      <c r="G6993" s="6" t="s">
        <v>43645</v>
      </c>
      <c r="H6993" s="7" t="s">
        <v>31</v>
      </c>
      <c r="I6993" s="7">
        <v>1.0</v>
      </c>
      <c r="J6993" s="7" t="s">
        <v>31</v>
      </c>
      <c r="K6993" s="7" t="s">
        <v>31</v>
      </c>
      <c r="L6993" s="8" t="s">
        <v>31</v>
      </c>
      <c r="M6993" s="6" t="s">
        <v>31</v>
      </c>
      <c r="N6993" s="6" t="s">
        <v>775</v>
      </c>
      <c r="O6993" s="8" t="s">
        <v>776</v>
      </c>
      <c r="P6993" s="6" t="s">
        <v>31</v>
      </c>
      <c r="Q6993" s="6" t="s">
        <v>31</v>
      </c>
      <c r="R6993" s="6" t="s">
        <v>64</v>
      </c>
      <c r="S6993" s="8" t="s">
        <v>31</v>
      </c>
      <c r="T6993" s="6" t="s">
        <v>66</v>
      </c>
      <c r="U6993" s="8" t="s">
        <v>31</v>
      </c>
      <c r="V6993" s="6" t="s">
        <v>81</v>
      </c>
      <c r="W6993" s="6" t="s">
        <v>43635</v>
      </c>
      <c r="X6993" s="9" t="str">
        <f>HYPERLINK("https://my.pitchbook.com?p=386038-09P","View People Online")</f>
        <v>View People Online</v>
      </c>
    </row>
    <row r="6994">
      <c r="A6994" s="10" t="s">
        <v>43646</v>
      </c>
      <c r="B6994" s="10" t="s">
        <v>43647</v>
      </c>
      <c r="C6994" s="10" t="s">
        <v>43648</v>
      </c>
      <c r="D6994" s="10" t="s">
        <v>3677</v>
      </c>
      <c r="E6994" s="10" t="s">
        <v>43635</v>
      </c>
      <c r="F6994" s="10" t="s">
        <v>8217</v>
      </c>
      <c r="G6994" s="10" t="s">
        <v>43649</v>
      </c>
      <c r="H6994" s="11" t="s">
        <v>31</v>
      </c>
      <c r="I6994" s="11">
        <v>1.0</v>
      </c>
      <c r="J6994" s="11">
        <v>1.0</v>
      </c>
      <c r="K6994" s="11" t="s">
        <v>31</v>
      </c>
      <c r="L6994" s="12" t="s">
        <v>31</v>
      </c>
      <c r="M6994" s="10" t="s">
        <v>43650</v>
      </c>
      <c r="N6994" s="10" t="s">
        <v>775</v>
      </c>
      <c r="O6994" s="12" t="s">
        <v>776</v>
      </c>
      <c r="P6994" s="10" t="s">
        <v>31</v>
      </c>
      <c r="Q6994" s="10" t="s">
        <v>31</v>
      </c>
      <c r="R6994" s="10" t="s">
        <v>64</v>
      </c>
      <c r="S6994" s="12" t="s">
        <v>31</v>
      </c>
      <c r="T6994" s="10" t="s">
        <v>66</v>
      </c>
      <c r="U6994" s="12" t="s">
        <v>31</v>
      </c>
      <c r="V6994" s="10" t="s">
        <v>8217</v>
      </c>
      <c r="W6994" s="10" t="s">
        <v>43635</v>
      </c>
      <c r="X6994" s="13" t="str">
        <f>HYPERLINK("https://my.pitchbook.com?p=441741-25P","View People Online")</f>
        <v>View People Online</v>
      </c>
    </row>
    <row r="6995">
      <c r="A6995" s="14" t="s">
        <v>36659</v>
      </c>
      <c r="B6995" s="14" t="s">
        <v>36660</v>
      </c>
      <c r="C6995" s="14" t="s">
        <v>36661</v>
      </c>
      <c r="D6995" s="14" t="s">
        <v>2155</v>
      </c>
      <c r="E6995" s="14" t="s">
        <v>43635</v>
      </c>
      <c r="F6995" s="14" t="s">
        <v>114</v>
      </c>
      <c r="G6995" s="14" t="s">
        <v>36663</v>
      </c>
      <c r="H6995" s="15" t="s">
        <v>31</v>
      </c>
      <c r="I6995" s="15">
        <v>7.0</v>
      </c>
      <c r="J6995" s="15">
        <v>3.0</v>
      </c>
      <c r="K6995" s="15">
        <v>2.0</v>
      </c>
      <c r="L6995" s="16" t="s">
        <v>31</v>
      </c>
      <c r="M6995" s="14" t="s">
        <v>36664</v>
      </c>
      <c r="N6995" s="14" t="s">
        <v>1716</v>
      </c>
      <c r="O6995" s="16" t="s">
        <v>1717</v>
      </c>
      <c r="P6995" s="14" t="s">
        <v>31</v>
      </c>
      <c r="Q6995" s="14" t="s">
        <v>31</v>
      </c>
      <c r="R6995" s="14" t="s">
        <v>64</v>
      </c>
      <c r="S6995" s="16" t="s">
        <v>36665</v>
      </c>
      <c r="T6995" s="14" t="s">
        <v>66</v>
      </c>
      <c r="U6995" s="16" t="s">
        <v>31</v>
      </c>
      <c r="V6995" s="14" t="s">
        <v>1283</v>
      </c>
      <c r="W6995" s="14" t="s">
        <v>36662</v>
      </c>
      <c r="X6995" s="17" t="str">
        <f>HYPERLINK("https://my.pitchbook.com?p=13936-78P","View People Online")</f>
        <v>View People Online</v>
      </c>
    </row>
    <row r="6996">
      <c r="A6996" s="2" t="s">
        <v>43651</v>
      </c>
      <c r="B6996" s="2" t="s">
        <v>43652</v>
      </c>
      <c r="C6996" s="2" t="s">
        <v>29592</v>
      </c>
      <c r="D6996" s="2" t="s">
        <v>15490</v>
      </c>
      <c r="E6996" s="2" t="s">
        <v>41483</v>
      </c>
      <c r="F6996" s="2" t="s">
        <v>270</v>
      </c>
      <c r="G6996" s="2" t="s">
        <v>43653</v>
      </c>
      <c r="H6996" s="3" t="s">
        <v>31</v>
      </c>
      <c r="I6996" s="3">
        <v>1.0</v>
      </c>
      <c r="J6996" s="3">
        <v>1.0</v>
      </c>
      <c r="K6996" s="3" t="s">
        <v>31</v>
      </c>
      <c r="L6996" s="4" t="s">
        <v>31</v>
      </c>
      <c r="M6996" s="2" t="s">
        <v>43654</v>
      </c>
      <c r="N6996" s="2" t="s">
        <v>31940</v>
      </c>
      <c r="O6996" s="4" t="s">
        <v>31941</v>
      </c>
      <c r="P6996" s="2" t="s">
        <v>31</v>
      </c>
      <c r="Q6996" s="2" t="s">
        <v>31</v>
      </c>
      <c r="R6996" s="2" t="s">
        <v>93</v>
      </c>
      <c r="S6996" s="4" t="s">
        <v>31</v>
      </c>
      <c r="T6996" s="2" t="s">
        <v>66</v>
      </c>
      <c r="U6996" s="4" t="s">
        <v>31</v>
      </c>
      <c r="V6996" s="2" t="s">
        <v>37612</v>
      </c>
      <c r="W6996" s="2" t="s">
        <v>41483</v>
      </c>
      <c r="X6996" s="5" t="str">
        <f>HYPERLINK("https://my.pitchbook.com?p=427813-39P","View People Online")</f>
        <v>View People Online</v>
      </c>
    </row>
    <row r="6997">
      <c r="A6997" s="6" t="s">
        <v>43655</v>
      </c>
      <c r="B6997" s="6" t="s">
        <v>43656</v>
      </c>
      <c r="C6997" s="6" t="s">
        <v>568</v>
      </c>
      <c r="D6997" s="6" t="s">
        <v>28011</v>
      </c>
      <c r="E6997" s="6" t="s">
        <v>41483</v>
      </c>
      <c r="F6997" s="6" t="s">
        <v>548</v>
      </c>
      <c r="G6997" s="6" t="s">
        <v>43657</v>
      </c>
      <c r="H6997" s="7" t="s">
        <v>31</v>
      </c>
      <c r="I6997" s="7">
        <v>2.0</v>
      </c>
      <c r="J6997" s="7">
        <v>1.0</v>
      </c>
      <c r="K6997" s="7">
        <v>1.0</v>
      </c>
      <c r="L6997" s="8" t="s">
        <v>43658</v>
      </c>
      <c r="M6997" s="6" t="s">
        <v>43659</v>
      </c>
      <c r="N6997" s="6" t="s">
        <v>28269</v>
      </c>
      <c r="O6997" s="8" t="s">
        <v>28270</v>
      </c>
      <c r="P6997" s="6" t="s">
        <v>43660</v>
      </c>
      <c r="Q6997" s="6" t="s">
        <v>31</v>
      </c>
      <c r="R6997" s="6" t="s">
        <v>10326</v>
      </c>
      <c r="S6997" s="8" t="s">
        <v>43661</v>
      </c>
      <c r="T6997" s="6" t="s">
        <v>66</v>
      </c>
      <c r="U6997" s="8" t="s">
        <v>31</v>
      </c>
      <c r="V6997" s="6" t="s">
        <v>43662</v>
      </c>
      <c r="W6997" s="6" t="s">
        <v>41483</v>
      </c>
      <c r="X6997" s="9" t="str">
        <f>HYPERLINK("https://my.pitchbook.com?p=112113-19P","View People Online")</f>
        <v>View People Online</v>
      </c>
    </row>
    <row r="6998">
      <c r="A6998" s="10" t="s">
        <v>43663</v>
      </c>
      <c r="B6998" s="10" t="s">
        <v>43664</v>
      </c>
      <c r="C6998" s="10" t="s">
        <v>25533</v>
      </c>
      <c r="D6998" s="10" t="s">
        <v>119</v>
      </c>
      <c r="E6998" s="10" t="s">
        <v>41483</v>
      </c>
      <c r="F6998" s="10" t="s">
        <v>270</v>
      </c>
      <c r="G6998" s="10" t="s">
        <v>43665</v>
      </c>
      <c r="H6998" s="11" t="s">
        <v>31</v>
      </c>
      <c r="I6998" s="11">
        <v>1.0</v>
      </c>
      <c r="J6998" s="11">
        <v>1.0</v>
      </c>
      <c r="K6998" s="11" t="s">
        <v>31</v>
      </c>
      <c r="L6998" s="12" t="s">
        <v>43666</v>
      </c>
      <c r="M6998" s="10" t="s">
        <v>43667</v>
      </c>
      <c r="N6998" s="10" t="s">
        <v>28269</v>
      </c>
      <c r="O6998" s="12" t="s">
        <v>28270</v>
      </c>
      <c r="P6998" s="10" t="s">
        <v>43660</v>
      </c>
      <c r="Q6998" s="10" t="s">
        <v>31</v>
      </c>
      <c r="R6998" s="10" t="s">
        <v>10326</v>
      </c>
      <c r="S6998" s="12" t="s">
        <v>43661</v>
      </c>
      <c r="T6998" s="10" t="s">
        <v>66</v>
      </c>
      <c r="U6998" s="12" t="s">
        <v>31</v>
      </c>
      <c r="V6998" s="10" t="s">
        <v>43668</v>
      </c>
      <c r="W6998" s="10" t="s">
        <v>41483</v>
      </c>
      <c r="X6998" s="13" t="str">
        <f>HYPERLINK("https://my.pitchbook.com?p=88423-57P","View People Online")</f>
        <v>View People Online</v>
      </c>
    </row>
    <row r="6999">
      <c r="A6999" s="14" t="s">
        <v>43669</v>
      </c>
      <c r="B6999" s="14" t="s">
        <v>43670</v>
      </c>
      <c r="C6999" s="14" t="s">
        <v>4210</v>
      </c>
      <c r="D6999" s="14" t="s">
        <v>43671</v>
      </c>
      <c r="E6999" s="14" t="s">
        <v>41483</v>
      </c>
      <c r="F6999" s="14" t="s">
        <v>548</v>
      </c>
      <c r="G6999" s="14" t="s">
        <v>43672</v>
      </c>
      <c r="H6999" s="15" t="s">
        <v>31</v>
      </c>
      <c r="I6999" s="15">
        <v>1.0</v>
      </c>
      <c r="J6999" s="15">
        <v>1.0</v>
      </c>
      <c r="K6999" s="15" t="s">
        <v>31</v>
      </c>
      <c r="L6999" s="16" t="s">
        <v>31</v>
      </c>
      <c r="M6999" s="14" t="s">
        <v>43673</v>
      </c>
      <c r="N6999" s="14" t="s">
        <v>31940</v>
      </c>
      <c r="O6999" s="16" t="s">
        <v>31941</v>
      </c>
      <c r="P6999" s="14" t="s">
        <v>31</v>
      </c>
      <c r="Q6999" s="14" t="s">
        <v>31</v>
      </c>
      <c r="R6999" s="14" t="s">
        <v>93</v>
      </c>
      <c r="S6999" s="16" t="s">
        <v>31</v>
      </c>
      <c r="T6999" s="14" t="s">
        <v>66</v>
      </c>
      <c r="U6999" s="16" t="s">
        <v>31</v>
      </c>
      <c r="V6999" s="14" t="s">
        <v>43674</v>
      </c>
      <c r="W6999" s="14" t="s">
        <v>41483</v>
      </c>
      <c r="X6999" s="17" t="str">
        <f>HYPERLINK("https://my.pitchbook.com?p=162707-59P","View People Online")</f>
        <v>View People Online</v>
      </c>
    </row>
    <row r="7000">
      <c r="A7000" s="2" t="s">
        <v>43675</v>
      </c>
      <c r="B7000" s="2" t="s">
        <v>43676</v>
      </c>
      <c r="C7000" s="2" t="s">
        <v>29195</v>
      </c>
      <c r="D7000" s="2" t="s">
        <v>43677</v>
      </c>
      <c r="E7000" s="2" t="s">
        <v>41483</v>
      </c>
      <c r="F7000" s="2" t="s">
        <v>548</v>
      </c>
      <c r="G7000" s="2" t="s">
        <v>43678</v>
      </c>
      <c r="H7000" s="3" t="s">
        <v>31</v>
      </c>
      <c r="I7000" s="3">
        <v>1.0</v>
      </c>
      <c r="J7000" s="3">
        <v>1.0</v>
      </c>
      <c r="K7000" s="3" t="s">
        <v>31</v>
      </c>
      <c r="L7000" s="4" t="s">
        <v>43658</v>
      </c>
      <c r="M7000" s="2" t="s">
        <v>43679</v>
      </c>
      <c r="N7000" s="2" t="s">
        <v>28269</v>
      </c>
      <c r="O7000" s="4" t="s">
        <v>28270</v>
      </c>
      <c r="P7000" s="2" t="s">
        <v>43660</v>
      </c>
      <c r="Q7000" s="2" t="s">
        <v>31</v>
      </c>
      <c r="R7000" s="2" t="s">
        <v>10326</v>
      </c>
      <c r="S7000" s="4" t="s">
        <v>43661</v>
      </c>
      <c r="T7000" s="2" t="s">
        <v>66</v>
      </c>
      <c r="U7000" s="4" t="s">
        <v>31</v>
      </c>
      <c r="V7000" s="2" t="s">
        <v>43680</v>
      </c>
      <c r="W7000" s="2" t="s">
        <v>41483</v>
      </c>
      <c r="X7000" s="5" t="str">
        <f>HYPERLINK("https://my.pitchbook.com?p=448332-58P","View People Online")</f>
        <v>View People Online</v>
      </c>
    </row>
    <row r="7001">
      <c r="A7001" s="14" t="s">
        <v>43681</v>
      </c>
      <c r="B7001" s="14" t="s">
        <v>43682</v>
      </c>
      <c r="C7001" s="14" t="s">
        <v>1426</v>
      </c>
      <c r="D7001" s="14" t="s">
        <v>43683</v>
      </c>
      <c r="E7001" s="14" t="s">
        <v>41483</v>
      </c>
      <c r="F7001" s="14" t="s">
        <v>1801</v>
      </c>
      <c r="G7001" s="14" t="s">
        <v>43684</v>
      </c>
      <c r="H7001" s="15" t="s">
        <v>31</v>
      </c>
      <c r="I7001" s="15">
        <v>1.0</v>
      </c>
      <c r="J7001" s="15">
        <v>1.0</v>
      </c>
      <c r="K7001" s="15" t="s">
        <v>31</v>
      </c>
      <c r="L7001" s="16" t="s">
        <v>43658</v>
      </c>
      <c r="M7001" s="14" t="s">
        <v>43685</v>
      </c>
      <c r="N7001" s="14" t="s">
        <v>28269</v>
      </c>
      <c r="O7001" s="16" t="s">
        <v>28270</v>
      </c>
      <c r="P7001" s="14" t="s">
        <v>43660</v>
      </c>
      <c r="Q7001" s="14" t="s">
        <v>31</v>
      </c>
      <c r="R7001" s="14" t="s">
        <v>10326</v>
      </c>
      <c r="S7001" s="16" t="s">
        <v>43661</v>
      </c>
      <c r="T7001" s="14" t="s">
        <v>66</v>
      </c>
      <c r="U7001" s="16" t="s">
        <v>31</v>
      </c>
      <c r="V7001" s="14" t="s">
        <v>43686</v>
      </c>
      <c r="W7001" s="14" t="s">
        <v>41483</v>
      </c>
      <c r="X7001" s="17" t="str">
        <f>HYPERLINK("https://my.pitchbook.com?p=196592-05P","View People Online")</f>
        <v>View People Online</v>
      </c>
    </row>
    <row r="7002">
      <c r="A7002" s="10" t="s">
        <v>43687</v>
      </c>
      <c r="B7002" s="10" t="s">
        <v>43688</v>
      </c>
      <c r="C7002" s="10" t="s">
        <v>1437</v>
      </c>
      <c r="D7002" s="10" t="s">
        <v>43689</v>
      </c>
      <c r="E7002" s="10" t="s">
        <v>41483</v>
      </c>
      <c r="F7002" s="10" t="s">
        <v>43690</v>
      </c>
      <c r="G7002" s="10" t="s">
        <v>43691</v>
      </c>
      <c r="H7002" s="11" t="s">
        <v>31</v>
      </c>
      <c r="I7002" s="11">
        <v>1.0</v>
      </c>
      <c r="J7002" s="11">
        <v>1.0</v>
      </c>
      <c r="K7002" s="11" t="s">
        <v>31</v>
      </c>
      <c r="L7002" s="12" t="s">
        <v>43658</v>
      </c>
      <c r="M7002" s="10" t="s">
        <v>43692</v>
      </c>
      <c r="N7002" s="10" t="s">
        <v>28269</v>
      </c>
      <c r="O7002" s="12" t="s">
        <v>28270</v>
      </c>
      <c r="P7002" s="10" t="s">
        <v>43660</v>
      </c>
      <c r="Q7002" s="10" t="s">
        <v>31</v>
      </c>
      <c r="R7002" s="10" t="s">
        <v>10326</v>
      </c>
      <c r="S7002" s="12" t="s">
        <v>43661</v>
      </c>
      <c r="T7002" s="10" t="s">
        <v>66</v>
      </c>
      <c r="U7002" s="12" t="s">
        <v>31</v>
      </c>
      <c r="V7002" s="10" t="s">
        <v>43693</v>
      </c>
      <c r="W7002" s="10" t="s">
        <v>41483</v>
      </c>
      <c r="X7002" s="13" t="str">
        <f>HYPERLINK("https://my.pitchbook.com?p=370224-64P","View People Online")</f>
        <v>View People Online</v>
      </c>
    </row>
    <row r="7003">
      <c r="A7003" s="14" t="s">
        <v>43694</v>
      </c>
      <c r="B7003" s="14" t="s">
        <v>43695</v>
      </c>
      <c r="C7003" s="14" t="s">
        <v>285</v>
      </c>
      <c r="D7003" s="14" t="s">
        <v>31532</v>
      </c>
      <c r="E7003" s="14" t="s">
        <v>41483</v>
      </c>
      <c r="F7003" s="14" t="s">
        <v>548</v>
      </c>
      <c r="G7003" s="14" t="s">
        <v>43696</v>
      </c>
      <c r="H7003" s="15" t="s">
        <v>31</v>
      </c>
      <c r="I7003" s="15">
        <v>1.0</v>
      </c>
      <c r="J7003" s="15">
        <v>1.0</v>
      </c>
      <c r="K7003" s="15" t="s">
        <v>31</v>
      </c>
      <c r="L7003" s="16" t="s">
        <v>43658</v>
      </c>
      <c r="M7003" s="14" t="s">
        <v>43697</v>
      </c>
      <c r="N7003" s="14" t="s">
        <v>28269</v>
      </c>
      <c r="O7003" s="16" t="s">
        <v>28270</v>
      </c>
      <c r="P7003" s="14" t="s">
        <v>43660</v>
      </c>
      <c r="Q7003" s="14" t="s">
        <v>31</v>
      </c>
      <c r="R7003" s="14" t="s">
        <v>10326</v>
      </c>
      <c r="S7003" s="16" t="s">
        <v>43661</v>
      </c>
      <c r="T7003" s="14" t="s">
        <v>66</v>
      </c>
      <c r="U7003" s="16" t="s">
        <v>31</v>
      </c>
      <c r="V7003" s="14" t="s">
        <v>760</v>
      </c>
      <c r="W7003" s="14" t="s">
        <v>41483</v>
      </c>
      <c r="X7003" s="17" t="str">
        <f>HYPERLINK("https://my.pitchbook.com?p=383310-01P","View People Online")</f>
        <v>View People Online</v>
      </c>
    </row>
    <row r="7004">
      <c r="A7004" s="2" t="s">
        <v>43698</v>
      </c>
      <c r="B7004" s="2" t="s">
        <v>43699</v>
      </c>
      <c r="C7004" s="2" t="s">
        <v>29227</v>
      </c>
      <c r="D7004" s="2" t="s">
        <v>43700</v>
      </c>
      <c r="E7004" s="2" t="s">
        <v>41483</v>
      </c>
      <c r="F7004" s="2" t="s">
        <v>270</v>
      </c>
      <c r="G7004" s="2" t="s">
        <v>43701</v>
      </c>
      <c r="H7004" s="3" t="s">
        <v>31</v>
      </c>
      <c r="I7004" s="3">
        <v>1.0</v>
      </c>
      <c r="J7004" s="3">
        <v>1.0</v>
      </c>
      <c r="K7004" s="3" t="s">
        <v>31</v>
      </c>
      <c r="L7004" s="4" t="s">
        <v>43658</v>
      </c>
      <c r="M7004" s="2" t="s">
        <v>43702</v>
      </c>
      <c r="N7004" s="2" t="s">
        <v>28269</v>
      </c>
      <c r="O7004" s="4" t="s">
        <v>28270</v>
      </c>
      <c r="P7004" s="2" t="s">
        <v>43660</v>
      </c>
      <c r="Q7004" s="2" t="s">
        <v>31</v>
      </c>
      <c r="R7004" s="2" t="s">
        <v>10326</v>
      </c>
      <c r="S7004" s="4" t="s">
        <v>43661</v>
      </c>
      <c r="T7004" s="2" t="s">
        <v>66</v>
      </c>
      <c r="U7004" s="4" t="s">
        <v>31</v>
      </c>
      <c r="V7004" s="2" t="s">
        <v>43703</v>
      </c>
      <c r="W7004" s="2" t="s">
        <v>41483</v>
      </c>
      <c r="X7004" s="5" t="str">
        <f>HYPERLINK("https://my.pitchbook.com?p=88424-56P","View People Online")</f>
        <v>View People Online</v>
      </c>
    </row>
    <row r="7005">
      <c r="A7005" s="6" t="s">
        <v>43704</v>
      </c>
      <c r="B7005" s="6" t="s">
        <v>43705</v>
      </c>
      <c r="C7005" s="6" t="s">
        <v>1982</v>
      </c>
      <c r="D7005" s="6" t="s">
        <v>43706</v>
      </c>
      <c r="E7005" s="6" t="s">
        <v>41483</v>
      </c>
      <c r="F7005" s="6" t="s">
        <v>43707</v>
      </c>
      <c r="G7005" s="6" t="s">
        <v>43708</v>
      </c>
      <c r="H7005" s="7" t="s">
        <v>31</v>
      </c>
      <c r="I7005" s="7">
        <v>2.0</v>
      </c>
      <c r="J7005" s="7">
        <v>2.0</v>
      </c>
      <c r="K7005" s="7" t="s">
        <v>31</v>
      </c>
      <c r="L7005" s="8" t="s">
        <v>43709</v>
      </c>
      <c r="M7005" s="6" t="s">
        <v>43710</v>
      </c>
      <c r="N7005" s="6" t="s">
        <v>986</v>
      </c>
      <c r="O7005" s="8" t="s">
        <v>987</v>
      </c>
      <c r="P7005" s="6" t="s">
        <v>43711</v>
      </c>
      <c r="Q7005" s="6" t="s">
        <v>43712</v>
      </c>
      <c r="R7005" s="6" t="s">
        <v>64</v>
      </c>
      <c r="S7005" s="8" t="s">
        <v>43713</v>
      </c>
      <c r="T7005" s="6" t="s">
        <v>66</v>
      </c>
      <c r="U7005" s="8" t="s">
        <v>31</v>
      </c>
      <c r="V7005" s="6" t="s">
        <v>43714</v>
      </c>
      <c r="W7005" s="6" t="s">
        <v>43715</v>
      </c>
      <c r="X7005" s="9" t="str">
        <f>HYPERLINK("https://my.pitchbook.com?p=397503-91P","View People Online")</f>
        <v>View People Online</v>
      </c>
    </row>
    <row r="7006">
      <c r="A7006" s="2" t="s">
        <v>43716</v>
      </c>
      <c r="B7006" s="2" t="s">
        <v>43717</v>
      </c>
      <c r="C7006" s="2" t="s">
        <v>69</v>
      </c>
      <c r="D7006" s="2" t="s">
        <v>4345</v>
      </c>
      <c r="E7006" s="2" t="s">
        <v>41483</v>
      </c>
      <c r="F7006" s="2" t="s">
        <v>270</v>
      </c>
      <c r="G7006" s="2" t="s">
        <v>43718</v>
      </c>
      <c r="H7006" s="3" t="s">
        <v>31</v>
      </c>
      <c r="I7006" s="3">
        <v>1.0</v>
      </c>
      <c r="J7006" s="3">
        <v>1.0</v>
      </c>
      <c r="K7006" s="3" t="s">
        <v>31</v>
      </c>
      <c r="L7006" s="4" t="s">
        <v>43658</v>
      </c>
      <c r="M7006" s="2" t="s">
        <v>31</v>
      </c>
      <c r="N7006" s="2" t="s">
        <v>28269</v>
      </c>
      <c r="O7006" s="4" t="s">
        <v>28270</v>
      </c>
      <c r="P7006" s="2" t="s">
        <v>43660</v>
      </c>
      <c r="Q7006" s="2" t="s">
        <v>31</v>
      </c>
      <c r="R7006" s="2" t="s">
        <v>10326</v>
      </c>
      <c r="S7006" s="4" t="s">
        <v>43661</v>
      </c>
      <c r="T7006" s="2" t="s">
        <v>66</v>
      </c>
      <c r="U7006" s="4" t="s">
        <v>31</v>
      </c>
      <c r="V7006" s="2" t="s">
        <v>43719</v>
      </c>
      <c r="W7006" s="2" t="s">
        <v>41483</v>
      </c>
      <c r="X7006" s="5" t="str">
        <f>HYPERLINK("https://my.pitchbook.com?p=81765-10P","View People Online")</f>
        <v>View People Online</v>
      </c>
    </row>
    <row r="7007">
      <c r="A7007" s="14" t="s">
        <v>43720</v>
      </c>
      <c r="B7007" s="14" t="s">
        <v>43721</v>
      </c>
      <c r="C7007" s="14" t="s">
        <v>84</v>
      </c>
      <c r="D7007" s="14" t="s">
        <v>36368</v>
      </c>
      <c r="E7007" s="14" t="s">
        <v>41483</v>
      </c>
      <c r="F7007" s="14" t="s">
        <v>270</v>
      </c>
      <c r="G7007" s="14" t="s">
        <v>43722</v>
      </c>
      <c r="H7007" s="15" t="s">
        <v>31</v>
      </c>
      <c r="I7007" s="15">
        <v>1.0</v>
      </c>
      <c r="J7007" s="15">
        <v>1.0</v>
      </c>
      <c r="K7007" s="15" t="s">
        <v>31</v>
      </c>
      <c r="L7007" s="16" t="s">
        <v>43658</v>
      </c>
      <c r="M7007" s="14" t="s">
        <v>31</v>
      </c>
      <c r="N7007" s="14" t="s">
        <v>28269</v>
      </c>
      <c r="O7007" s="16" t="s">
        <v>28270</v>
      </c>
      <c r="P7007" s="14" t="s">
        <v>43660</v>
      </c>
      <c r="Q7007" s="14" t="s">
        <v>31</v>
      </c>
      <c r="R7007" s="14" t="s">
        <v>10326</v>
      </c>
      <c r="S7007" s="16" t="s">
        <v>43661</v>
      </c>
      <c r="T7007" s="14" t="s">
        <v>66</v>
      </c>
      <c r="U7007" s="16" t="s">
        <v>31</v>
      </c>
      <c r="V7007" s="14" t="s">
        <v>43723</v>
      </c>
      <c r="W7007" s="14" t="s">
        <v>41483</v>
      </c>
      <c r="X7007" s="17" t="str">
        <f>HYPERLINK("https://my.pitchbook.com?p=110755-90P","View People Online")</f>
        <v>View People Online</v>
      </c>
    </row>
    <row r="7008">
      <c r="A7008" s="10" t="s">
        <v>43724</v>
      </c>
      <c r="B7008" s="10" t="s">
        <v>43725</v>
      </c>
      <c r="C7008" s="10" t="s">
        <v>43726</v>
      </c>
      <c r="D7008" s="10" t="s">
        <v>32396</v>
      </c>
      <c r="E7008" s="10" t="s">
        <v>41483</v>
      </c>
      <c r="F7008" s="10" t="s">
        <v>371</v>
      </c>
      <c r="G7008" s="10" t="s">
        <v>43727</v>
      </c>
      <c r="H7008" s="11" t="s">
        <v>31</v>
      </c>
      <c r="I7008" s="11">
        <v>2.0</v>
      </c>
      <c r="J7008" s="11">
        <v>1.0</v>
      </c>
      <c r="K7008" s="11">
        <v>1.0</v>
      </c>
      <c r="L7008" s="12" t="s">
        <v>43658</v>
      </c>
      <c r="M7008" s="10" t="s">
        <v>43728</v>
      </c>
      <c r="N7008" s="10" t="s">
        <v>28269</v>
      </c>
      <c r="O7008" s="12" t="s">
        <v>28270</v>
      </c>
      <c r="P7008" s="10" t="s">
        <v>43660</v>
      </c>
      <c r="Q7008" s="10" t="s">
        <v>31</v>
      </c>
      <c r="R7008" s="10" t="s">
        <v>10326</v>
      </c>
      <c r="S7008" s="12" t="s">
        <v>43661</v>
      </c>
      <c r="T7008" s="10" t="s">
        <v>66</v>
      </c>
      <c r="U7008" s="12" t="s">
        <v>31</v>
      </c>
      <c r="V7008" s="10" t="s">
        <v>43729</v>
      </c>
      <c r="W7008" s="10" t="s">
        <v>41483</v>
      </c>
      <c r="X7008" s="13" t="str">
        <f>HYPERLINK("https://my.pitchbook.com?p=424360-36P","View People Online")</f>
        <v>View People Online</v>
      </c>
    </row>
    <row r="7009">
      <c r="A7009" s="6" t="s">
        <v>43730</v>
      </c>
      <c r="B7009" s="6" t="s">
        <v>43731</v>
      </c>
      <c r="C7009" s="6" t="s">
        <v>1449</v>
      </c>
      <c r="D7009" s="6" t="s">
        <v>43732</v>
      </c>
      <c r="E7009" s="6" t="s">
        <v>41483</v>
      </c>
      <c r="F7009" s="6" t="s">
        <v>548</v>
      </c>
      <c r="G7009" s="6" t="s">
        <v>43733</v>
      </c>
      <c r="H7009" s="7" t="s">
        <v>31</v>
      </c>
      <c r="I7009" s="7">
        <v>1.0</v>
      </c>
      <c r="J7009" s="7">
        <v>1.0</v>
      </c>
      <c r="K7009" s="7" t="s">
        <v>31</v>
      </c>
      <c r="L7009" s="8" t="s">
        <v>43734</v>
      </c>
      <c r="M7009" s="6" t="s">
        <v>43735</v>
      </c>
      <c r="N7009" s="6" t="s">
        <v>28269</v>
      </c>
      <c r="O7009" s="8" t="s">
        <v>28270</v>
      </c>
      <c r="P7009" s="6" t="s">
        <v>43660</v>
      </c>
      <c r="Q7009" s="6" t="s">
        <v>31</v>
      </c>
      <c r="R7009" s="6" t="s">
        <v>10326</v>
      </c>
      <c r="S7009" s="8" t="s">
        <v>43661</v>
      </c>
      <c r="T7009" s="6" t="s">
        <v>66</v>
      </c>
      <c r="U7009" s="8" t="s">
        <v>31</v>
      </c>
      <c r="V7009" s="6" t="s">
        <v>43736</v>
      </c>
      <c r="W7009" s="6" t="s">
        <v>41483</v>
      </c>
      <c r="X7009" s="9" t="str">
        <f>HYPERLINK("https://my.pitchbook.com?p=88405-75P","View People Online")</f>
        <v>View People Online</v>
      </c>
    </row>
    <row r="7010">
      <c r="A7010" s="10" t="s">
        <v>43737</v>
      </c>
      <c r="B7010" s="10" t="s">
        <v>43738</v>
      </c>
      <c r="C7010" s="10" t="s">
        <v>1449</v>
      </c>
      <c r="D7010" s="10" t="s">
        <v>43739</v>
      </c>
      <c r="E7010" s="10" t="s">
        <v>41483</v>
      </c>
      <c r="F7010" s="10" t="s">
        <v>1801</v>
      </c>
      <c r="G7010" s="10" t="s">
        <v>43740</v>
      </c>
      <c r="H7010" s="11" t="s">
        <v>31</v>
      </c>
      <c r="I7010" s="11">
        <v>1.0</v>
      </c>
      <c r="J7010" s="11">
        <v>1.0</v>
      </c>
      <c r="K7010" s="11" t="s">
        <v>31</v>
      </c>
      <c r="L7010" s="12" t="s">
        <v>43658</v>
      </c>
      <c r="M7010" s="10" t="s">
        <v>43741</v>
      </c>
      <c r="N7010" s="10" t="s">
        <v>28269</v>
      </c>
      <c r="O7010" s="12" t="s">
        <v>28270</v>
      </c>
      <c r="P7010" s="10" t="s">
        <v>43660</v>
      </c>
      <c r="Q7010" s="10" t="s">
        <v>31</v>
      </c>
      <c r="R7010" s="10" t="s">
        <v>10326</v>
      </c>
      <c r="S7010" s="12" t="s">
        <v>43661</v>
      </c>
      <c r="T7010" s="10" t="s">
        <v>66</v>
      </c>
      <c r="U7010" s="12" t="s">
        <v>31</v>
      </c>
      <c r="V7010" s="10" t="s">
        <v>43742</v>
      </c>
      <c r="W7010" s="10" t="s">
        <v>41483</v>
      </c>
      <c r="X7010" s="13" t="str">
        <f>HYPERLINK("https://my.pitchbook.com?p=145039-96P","View People Online")</f>
        <v>View People Online</v>
      </c>
    </row>
    <row r="7011">
      <c r="A7011" s="6" t="s">
        <v>43743</v>
      </c>
      <c r="B7011" s="6" t="s">
        <v>43744</v>
      </c>
      <c r="C7011" s="6" t="s">
        <v>1449</v>
      </c>
      <c r="D7011" s="6" t="s">
        <v>43745</v>
      </c>
      <c r="E7011" s="6" t="s">
        <v>41483</v>
      </c>
      <c r="F7011" s="6" t="s">
        <v>371</v>
      </c>
      <c r="G7011" s="6" t="s">
        <v>43746</v>
      </c>
      <c r="H7011" s="7" t="s">
        <v>31</v>
      </c>
      <c r="I7011" s="7">
        <v>1.0</v>
      </c>
      <c r="J7011" s="7">
        <v>1.0</v>
      </c>
      <c r="K7011" s="7" t="s">
        <v>31</v>
      </c>
      <c r="L7011" s="8" t="s">
        <v>43658</v>
      </c>
      <c r="M7011" s="6" t="s">
        <v>31</v>
      </c>
      <c r="N7011" s="6" t="s">
        <v>28269</v>
      </c>
      <c r="O7011" s="8" t="s">
        <v>28270</v>
      </c>
      <c r="P7011" s="6" t="s">
        <v>43660</v>
      </c>
      <c r="Q7011" s="6" t="s">
        <v>31</v>
      </c>
      <c r="R7011" s="6" t="s">
        <v>10326</v>
      </c>
      <c r="S7011" s="8" t="s">
        <v>43661</v>
      </c>
      <c r="T7011" s="6" t="s">
        <v>66</v>
      </c>
      <c r="U7011" s="8" t="s">
        <v>31</v>
      </c>
      <c r="V7011" s="6" t="s">
        <v>43747</v>
      </c>
      <c r="W7011" s="6" t="s">
        <v>41483</v>
      </c>
      <c r="X7011" s="9" t="str">
        <f>HYPERLINK("https://my.pitchbook.com?p=353660-59P","View People Online")</f>
        <v>View People Online</v>
      </c>
    </row>
    <row r="7012">
      <c r="A7012" s="10" t="s">
        <v>43748</v>
      </c>
      <c r="B7012" s="10" t="s">
        <v>43749</v>
      </c>
      <c r="C7012" s="10" t="s">
        <v>7286</v>
      </c>
      <c r="D7012" s="10" t="s">
        <v>15541</v>
      </c>
      <c r="E7012" s="10" t="s">
        <v>41483</v>
      </c>
      <c r="F7012" s="10" t="s">
        <v>5365</v>
      </c>
      <c r="G7012" s="10" t="s">
        <v>43750</v>
      </c>
      <c r="H7012" s="11" t="s">
        <v>31</v>
      </c>
      <c r="I7012" s="11">
        <v>1.0</v>
      </c>
      <c r="J7012" s="11">
        <v>1.0</v>
      </c>
      <c r="K7012" s="11" t="s">
        <v>31</v>
      </c>
      <c r="L7012" s="12" t="s">
        <v>43658</v>
      </c>
      <c r="M7012" s="10" t="s">
        <v>43751</v>
      </c>
      <c r="N7012" s="10" t="s">
        <v>28269</v>
      </c>
      <c r="O7012" s="12" t="s">
        <v>28270</v>
      </c>
      <c r="P7012" s="10" t="s">
        <v>43660</v>
      </c>
      <c r="Q7012" s="10" t="s">
        <v>31</v>
      </c>
      <c r="R7012" s="10" t="s">
        <v>10326</v>
      </c>
      <c r="S7012" s="12" t="s">
        <v>43661</v>
      </c>
      <c r="T7012" s="10" t="s">
        <v>66</v>
      </c>
      <c r="U7012" s="12" t="s">
        <v>31</v>
      </c>
      <c r="V7012" s="10" t="s">
        <v>43752</v>
      </c>
      <c r="W7012" s="10" t="s">
        <v>41483</v>
      </c>
      <c r="X7012" s="13" t="str">
        <f>HYPERLINK("https://my.pitchbook.com?p=195795-64P","View People Online")</f>
        <v>View People Online</v>
      </c>
    </row>
    <row r="7013">
      <c r="A7013" s="6" t="s">
        <v>43753</v>
      </c>
      <c r="B7013" s="6" t="s">
        <v>43754</v>
      </c>
      <c r="C7013" s="6" t="s">
        <v>11152</v>
      </c>
      <c r="D7013" s="6" t="s">
        <v>43755</v>
      </c>
      <c r="E7013" s="6" t="s">
        <v>41483</v>
      </c>
      <c r="F7013" s="6" t="s">
        <v>41586</v>
      </c>
      <c r="G7013" s="6" t="s">
        <v>43756</v>
      </c>
      <c r="H7013" s="7" t="s">
        <v>31</v>
      </c>
      <c r="I7013" s="7">
        <v>1.0</v>
      </c>
      <c r="J7013" s="7">
        <v>1.0</v>
      </c>
      <c r="K7013" s="7" t="s">
        <v>31</v>
      </c>
      <c r="L7013" s="8" t="s">
        <v>43658</v>
      </c>
      <c r="M7013" s="6" t="s">
        <v>43757</v>
      </c>
      <c r="N7013" s="6" t="s">
        <v>28269</v>
      </c>
      <c r="O7013" s="8" t="s">
        <v>28270</v>
      </c>
      <c r="P7013" s="6" t="s">
        <v>43660</v>
      </c>
      <c r="Q7013" s="6" t="s">
        <v>31</v>
      </c>
      <c r="R7013" s="6" t="s">
        <v>10326</v>
      </c>
      <c r="S7013" s="8" t="s">
        <v>43661</v>
      </c>
      <c r="T7013" s="6" t="s">
        <v>66</v>
      </c>
      <c r="U7013" s="8" t="s">
        <v>31</v>
      </c>
      <c r="V7013" s="6" t="s">
        <v>43758</v>
      </c>
      <c r="W7013" s="6" t="s">
        <v>41483</v>
      </c>
      <c r="X7013" s="9" t="str">
        <f>HYPERLINK("https://my.pitchbook.com?p=415276-30P","View People Online")</f>
        <v>View People Online</v>
      </c>
    </row>
    <row r="7014">
      <c r="A7014" s="2" t="s">
        <v>43759</v>
      </c>
      <c r="B7014" s="2" t="s">
        <v>43760</v>
      </c>
      <c r="C7014" s="2" t="s">
        <v>3499</v>
      </c>
      <c r="D7014" s="2" t="s">
        <v>43761</v>
      </c>
      <c r="E7014" s="2" t="s">
        <v>41483</v>
      </c>
      <c r="F7014" s="2" t="s">
        <v>548</v>
      </c>
      <c r="G7014" s="2" t="s">
        <v>43762</v>
      </c>
      <c r="H7014" s="3" t="s">
        <v>31</v>
      </c>
      <c r="I7014" s="3">
        <v>1.0</v>
      </c>
      <c r="J7014" s="3">
        <v>1.0</v>
      </c>
      <c r="K7014" s="3" t="s">
        <v>31</v>
      </c>
      <c r="L7014" s="4" t="s">
        <v>43658</v>
      </c>
      <c r="M7014" s="2" t="s">
        <v>43763</v>
      </c>
      <c r="N7014" s="2" t="s">
        <v>28269</v>
      </c>
      <c r="O7014" s="4" t="s">
        <v>28270</v>
      </c>
      <c r="P7014" s="2" t="s">
        <v>43660</v>
      </c>
      <c r="Q7014" s="2" t="s">
        <v>31</v>
      </c>
      <c r="R7014" s="2" t="s">
        <v>10326</v>
      </c>
      <c r="S7014" s="4" t="s">
        <v>43661</v>
      </c>
      <c r="T7014" s="2" t="s">
        <v>66</v>
      </c>
      <c r="U7014" s="4" t="s">
        <v>31</v>
      </c>
      <c r="V7014" s="2" t="s">
        <v>9351</v>
      </c>
      <c r="W7014" s="2" t="s">
        <v>41483</v>
      </c>
      <c r="X7014" s="5" t="str">
        <f>HYPERLINK("https://my.pitchbook.com?p=110648-71P","View People Online")</f>
        <v>View People Online</v>
      </c>
    </row>
    <row r="7015">
      <c r="A7015" s="14" t="s">
        <v>43764</v>
      </c>
      <c r="B7015" s="14" t="s">
        <v>43765</v>
      </c>
      <c r="C7015" s="14" t="s">
        <v>3953</v>
      </c>
      <c r="D7015" s="14" t="s">
        <v>1267</v>
      </c>
      <c r="E7015" s="14" t="s">
        <v>41483</v>
      </c>
      <c r="F7015" s="14" t="s">
        <v>548</v>
      </c>
      <c r="G7015" s="14" t="s">
        <v>43766</v>
      </c>
      <c r="H7015" s="15" t="s">
        <v>31</v>
      </c>
      <c r="I7015" s="15">
        <v>1.0</v>
      </c>
      <c r="J7015" s="15">
        <v>1.0</v>
      </c>
      <c r="K7015" s="15" t="s">
        <v>31</v>
      </c>
      <c r="L7015" s="16" t="s">
        <v>43658</v>
      </c>
      <c r="M7015" s="14" t="s">
        <v>43767</v>
      </c>
      <c r="N7015" s="14" t="s">
        <v>28269</v>
      </c>
      <c r="O7015" s="16" t="s">
        <v>28270</v>
      </c>
      <c r="P7015" s="14" t="s">
        <v>43660</v>
      </c>
      <c r="Q7015" s="14" t="s">
        <v>31</v>
      </c>
      <c r="R7015" s="14" t="s">
        <v>10326</v>
      </c>
      <c r="S7015" s="16" t="s">
        <v>43661</v>
      </c>
      <c r="T7015" s="14" t="s">
        <v>66</v>
      </c>
      <c r="U7015" s="16" t="s">
        <v>31</v>
      </c>
      <c r="V7015" s="14" t="s">
        <v>43768</v>
      </c>
      <c r="W7015" s="14" t="s">
        <v>41483</v>
      </c>
      <c r="X7015" s="17" t="str">
        <f>HYPERLINK("https://my.pitchbook.com?p=88407-19P","View People Online")</f>
        <v>View People Online</v>
      </c>
    </row>
    <row r="7016">
      <c r="A7016" s="10" t="s">
        <v>43769</v>
      </c>
      <c r="B7016" s="10" t="s">
        <v>43770</v>
      </c>
      <c r="C7016" s="10" t="s">
        <v>43771</v>
      </c>
      <c r="D7016" s="10" t="s">
        <v>43772</v>
      </c>
      <c r="E7016" s="10" t="s">
        <v>41483</v>
      </c>
      <c r="F7016" s="10" t="s">
        <v>548</v>
      </c>
      <c r="G7016" s="10" t="s">
        <v>43773</v>
      </c>
      <c r="H7016" s="11" t="s">
        <v>31</v>
      </c>
      <c r="I7016" s="11">
        <v>1.0</v>
      </c>
      <c r="J7016" s="11">
        <v>1.0</v>
      </c>
      <c r="K7016" s="11" t="s">
        <v>31</v>
      </c>
      <c r="L7016" s="12" t="s">
        <v>43658</v>
      </c>
      <c r="M7016" s="10" t="s">
        <v>43774</v>
      </c>
      <c r="N7016" s="10" t="s">
        <v>28269</v>
      </c>
      <c r="O7016" s="12" t="s">
        <v>28270</v>
      </c>
      <c r="P7016" s="10" t="s">
        <v>43660</v>
      </c>
      <c r="Q7016" s="10" t="s">
        <v>31</v>
      </c>
      <c r="R7016" s="10" t="s">
        <v>10326</v>
      </c>
      <c r="S7016" s="12" t="s">
        <v>43661</v>
      </c>
      <c r="T7016" s="10" t="s">
        <v>66</v>
      </c>
      <c r="U7016" s="12" t="s">
        <v>31</v>
      </c>
      <c r="V7016" s="10" t="s">
        <v>43775</v>
      </c>
      <c r="W7016" s="10" t="s">
        <v>41483</v>
      </c>
      <c r="X7016" s="13" t="str">
        <f>HYPERLINK("https://my.pitchbook.com?p=448410-43P","View People Online")</f>
        <v>View People Online</v>
      </c>
    </row>
    <row r="7017">
      <c r="A7017" s="14" t="s">
        <v>43776</v>
      </c>
      <c r="B7017" s="14" t="s">
        <v>43777</v>
      </c>
      <c r="C7017" s="14" t="s">
        <v>323</v>
      </c>
      <c r="D7017" s="14" t="s">
        <v>43778</v>
      </c>
      <c r="E7017" s="14" t="s">
        <v>41483</v>
      </c>
      <c r="F7017" s="14" t="s">
        <v>371</v>
      </c>
      <c r="G7017" s="14" t="s">
        <v>43779</v>
      </c>
      <c r="H7017" s="15" t="s">
        <v>31</v>
      </c>
      <c r="I7017" s="15">
        <v>2.0</v>
      </c>
      <c r="J7017" s="15">
        <v>1.0</v>
      </c>
      <c r="K7017" s="15">
        <v>1.0</v>
      </c>
      <c r="L7017" s="16" t="s">
        <v>43658</v>
      </c>
      <c r="M7017" s="14" t="s">
        <v>43780</v>
      </c>
      <c r="N7017" s="14" t="s">
        <v>28269</v>
      </c>
      <c r="O7017" s="16" t="s">
        <v>28270</v>
      </c>
      <c r="P7017" s="14" t="s">
        <v>43660</v>
      </c>
      <c r="Q7017" s="14" t="s">
        <v>31</v>
      </c>
      <c r="R7017" s="14" t="s">
        <v>10326</v>
      </c>
      <c r="S7017" s="16" t="s">
        <v>43661</v>
      </c>
      <c r="T7017" s="14" t="s">
        <v>66</v>
      </c>
      <c r="U7017" s="16" t="s">
        <v>31</v>
      </c>
      <c r="V7017" s="14" t="s">
        <v>43781</v>
      </c>
      <c r="W7017" s="14" t="s">
        <v>41483</v>
      </c>
      <c r="X7017" s="17" t="str">
        <f>HYPERLINK("https://my.pitchbook.com?p=243228-79P","View People Online")</f>
        <v>View People Online</v>
      </c>
    </row>
    <row r="7018">
      <c r="A7018" s="10" t="s">
        <v>43782</v>
      </c>
      <c r="B7018" s="10" t="s">
        <v>43783</v>
      </c>
      <c r="C7018" s="10" t="s">
        <v>27163</v>
      </c>
      <c r="D7018" s="10" t="s">
        <v>26908</v>
      </c>
      <c r="E7018" s="10" t="s">
        <v>41483</v>
      </c>
      <c r="F7018" s="10" t="s">
        <v>1801</v>
      </c>
      <c r="G7018" s="10" t="s">
        <v>43784</v>
      </c>
      <c r="H7018" s="11" t="s">
        <v>31</v>
      </c>
      <c r="I7018" s="11">
        <v>1.0</v>
      </c>
      <c r="J7018" s="11">
        <v>1.0</v>
      </c>
      <c r="K7018" s="11" t="s">
        <v>31</v>
      </c>
      <c r="L7018" s="12" t="s">
        <v>43658</v>
      </c>
      <c r="M7018" s="10" t="s">
        <v>43785</v>
      </c>
      <c r="N7018" s="10" t="s">
        <v>28269</v>
      </c>
      <c r="O7018" s="12" t="s">
        <v>28270</v>
      </c>
      <c r="P7018" s="10" t="s">
        <v>43660</v>
      </c>
      <c r="Q7018" s="10" t="s">
        <v>31</v>
      </c>
      <c r="R7018" s="10" t="s">
        <v>10326</v>
      </c>
      <c r="S7018" s="12" t="s">
        <v>43661</v>
      </c>
      <c r="T7018" s="10" t="s">
        <v>66</v>
      </c>
      <c r="U7018" s="12" t="s">
        <v>31</v>
      </c>
      <c r="V7018" s="10" t="s">
        <v>43786</v>
      </c>
      <c r="W7018" s="10" t="s">
        <v>41483</v>
      </c>
      <c r="X7018" s="13" t="str">
        <f>HYPERLINK("https://my.pitchbook.com?p=88425-82P","View People Online")</f>
        <v>View People Online</v>
      </c>
    </row>
    <row r="7019">
      <c r="A7019" s="14" t="s">
        <v>43787</v>
      </c>
      <c r="B7019" s="14" t="s">
        <v>43788</v>
      </c>
      <c r="C7019" s="14" t="s">
        <v>1588</v>
      </c>
      <c r="D7019" s="14" t="s">
        <v>3716</v>
      </c>
      <c r="E7019" s="14" t="s">
        <v>41483</v>
      </c>
      <c r="F7019" s="14" t="s">
        <v>502</v>
      </c>
      <c r="G7019" s="14" t="s">
        <v>43789</v>
      </c>
      <c r="H7019" s="15" t="s">
        <v>31</v>
      </c>
      <c r="I7019" s="15">
        <v>1.0</v>
      </c>
      <c r="J7019" s="15">
        <v>1.0</v>
      </c>
      <c r="K7019" s="15" t="s">
        <v>31</v>
      </c>
      <c r="L7019" s="16" t="s">
        <v>43658</v>
      </c>
      <c r="M7019" s="14" t="s">
        <v>43790</v>
      </c>
      <c r="N7019" s="14" t="s">
        <v>28269</v>
      </c>
      <c r="O7019" s="16" t="s">
        <v>28270</v>
      </c>
      <c r="P7019" s="14" t="s">
        <v>43660</v>
      </c>
      <c r="Q7019" s="14" t="s">
        <v>31</v>
      </c>
      <c r="R7019" s="14" t="s">
        <v>10326</v>
      </c>
      <c r="S7019" s="16" t="s">
        <v>43661</v>
      </c>
      <c r="T7019" s="14" t="s">
        <v>66</v>
      </c>
      <c r="U7019" s="16" t="s">
        <v>31</v>
      </c>
      <c r="V7019" s="14" t="s">
        <v>25161</v>
      </c>
      <c r="W7019" s="14" t="s">
        <v>41483</v>
      </c>
      <c r="X7019" s="17" t="str">
        <f>HYPERLINK("https://my.pitchbook.com?p=443295-37P","View People Online")</f>
        <v>View People Online</v>
      </c>
    </row>
    <row r="7020">
      <c r="A7020" s="10" t="s">
        <v>43791</v>
      </c>
      <c r="B7020" s="10" t="s">
        <v>43792</v>
      </c>
      <c r="C7020" s="10" t="s">
        <v>18625</v>
      </c>
      <c r="D7020" s="10" t="s">
        <v>43793</v>
      </c>
      <c r="E7020" s="10" t="s">
        <v>41483</v>
      </c>
      <c r="F7020" s="10" t="s">
        <v>270</v>
      </c>
      <c r="G7020" s="10" t="s">
        <v>43794</v>
      </c>
      <c r="H7020" s="11" t="s">
        <v>31</v>
      </c>
      <c r="I7020" s="11">
        <v>1.0</v>
      </c>
      <c r="J7020" s="11">
        <v>1.0</v>
      </c>
      <c r="K7020" s="11" t="s">
        <v>31</v>
      </c>
      <c r="L7020" s="12" t="s">
        <v>43658</v>
      </c>
      <c r="M7020" s="10" t="s">
        <v>43795</v>
      </c>
      <c r="N7020" s="10" t="s">
        <v>28269</v>
      </c>
      <c r="O7020" s="12" t="s">
        <v>28270</v>
      </c>
      <c r="P7020" s="10" t="s">
        <v>43660</v>
      </c>
      <c r="Q7020" s="10" t="s">
        <v>31</v>
      </c>
      <c r="R7020" s="10" t="s">
        <v>10326</v>
      </c>
      <c r="S7020" s="12" t="s">
        <v>43661</v>
      </c>
      <c r="T7020" s="10" t="s">
        <v>66</v>
      </c>
      <c r="U7020" s="12" t="s">
        <v>31</v>
      </c>
      <c r="V7020" s="10" t="s">
        <v>43796</v>
      </c>
      <c r="W7020" s="10" t="s">
        <v>41483</v>
      </c>
      <c r="X7020" s="13" t="str">
        <f>HYPERLINK("https://my.pitchbook.com?p=110652-40P","View People Online")</f>
        <v>View People Online</v>
      </c>
    </row>
    <row r="7021">
      <c r="A7021" s="6" t="s">
        <v>43797</v>
      </c>
      <c r="B7021" s="6" t="s">
        <v>43798</v>
      </c>
      <c r="C7021" s="6" t="s">
        <v>1323</v>
      </c>
      <c r="D7021" s="6" t="s">
        <v>43799</v>
      </c>
      <c r="E7021" s="6" t="s">
        <v>41483</v>
      </c>
      <c r="F7021" s="6" t="s">
        <v>78</v>
      </c>
      <c r="G7021" s="6" t="s">
        <v>43800</v>
      </c>
      <c r="H7021" s="7" t="s">
        <v>31</v>
      </c>
      <c r="I7021" s="7">
        <v>1.0</v>
      </c>
      <c r="J7021" s="7">
        <v>1.0</v>
      </c>
      <c r="K7021" s="7" t="s">
        <v>31</v>
      </c>
      <c r="L7021" s="8" t="s">
        <v>43658</v>
      </c>
      <c r="M7021" s="6" t="s">
        <v>43801</v>
      </c>
      <c r="N7021" s="6" t="s">
        <v>28269</v>
      </c>
      <c r="O7021" s="8" t="s">
        <v>28270</v>
      </c>
      <c r="P7021" s="6" t="s">
        <v>43660</v>
      </c>
      <c r="Q7021" s="6" t="s">
        <v>31</v>
      </c>
      <c r="R7021" s="6" t="s">
        <v>10326</v>
      </c>
      <c r="S7021" s="8" t="s">
        <v>43661</v>
      </c>
      <c r="T7021" s="6" t="s">
        <v>66</v>
      </c>
      <c r="U7021" s="8" t="s">
        <v>31</v>
      </c>
      <c r="V7021" s="6" t="s">
        <v>78</v>
      </c>
      <c r="W7021" s="6" t="s">
        <v>41483</v>
      </c>
      <c r="X7021" s="9" t="str">
        <f>HYPERLINK("https://my.pitchbook.com?p=177458-14P","View People Online")</f>
        <v>View People Online</v>
      </c>
    </row>
    <row r="7022">
      <c r="A7022" s="2" t="s">
        <v>43802</v>
      </c>
      <c r="B7022" s="2" t="s">
        <v>43803</v>
      </c>
      <c r="C7022" s="2" t="s">
        <v>3811</v>
      </c>
      <c r="D7022" s="2" t="s">
        <v>24482</v>
      </c>
      <c r="E7022" s="2" t="s">
        <v>41483</v>
      </c>
      <c r="F7022" s="2" t="s">
        <v>371</v>
      </c>
      <c r="G7022" s="2" t="s">
        <v>43804</v>
      </c>
      <c r="H7022" s="3" t="s">
        <v>31</v>
      </c>
      <c r="I7022" s="3">
        <v>1.0</v>
      </c>
      <c r="J7022" s="3">
        <v>1.0</v>
      </c>
      <c r="K7022" s="3" t="s">
        <v>31</v>
      </c>
      <c r="L7022" s="4" t="s">
        <v>43805</v>
      </c>
      <c r="M7022" s="2" t="s">
        <v>43806</v>
      </c>
      <c r="N7022" s="2" t="s">
        <v>28269</v>
      </c>
      <c r="O7022" s="4" t="s">
        <v>28270</v>
      </c>
      <c r="P7022" s="2" t="s">
        <v>43660</v>
      </c>
      <c r="Q7022" s="2" t="s">
        <v>31</v>
      </c>
      <c r="R7022" s="2" t="s">
        <v>10326</v>
      </c>
      <c r="S7022" s="4" t="s">
        <v>43661</v>
      </c>
      <c r="T7022" s="2" t="s">
        <v>66</v>
      </c>
      <c r="U7022" s="4" t="s">
        <v>31</v>
      </c>
      <c r="V7022" s="2" t="s">
        <v>27482</v>
      </c>
      <c r="W7022" s="2" t="s">
        <v>41483</v>
      </c>
      <c r="X7022" s="5" t="str">
        <f>HYPERLINK("https://my.pitchbook.com?p=258420-61P","View People Online")</f>
        <v>View People Online</v>
      </c>
    </row>
    <row r="7023">
      <c r="A7023" s="6" t="s">
        <v>43807</v>
      </c>
      <c r="B7023" s="6" t="s">
        <v>43808</v>
      </c>
      <c r="C7023" s="6" t="s">
        <v>1471</v>
      </c>
      <c r="D7023" s="6" t="s">
        <v>43809</v>
      </c>
      <c r="E7023" s="6" t="s">
        <v>41483</v>
      </c>
      <c r="F7023" s="6" t="s">
        <v>583</v>
      </c>
      <c r="G7023" s="6" t="s">
        <v>43810</v>
      </c>
      <c r="H7023" s="7" t="s">
        <v>31</v>
      </c>
      <c r="I7023" s="7">
        <v>1.0</v>
      </c>
      <c r="J7023" s="7">
        <v>1.0</v>
      </c>
      <c r="K7023" s="7" t="s">
        <v>31</v>
      </c>
      <c r="L7023" s="8" t="s">
        <v>43658</v>
      </c>
      <c r="M7023" s="6" t="s">
        <v>43811</v>
      </c>
      <c r="N7023" s="6" t="s">
        <v>28269</v>
      </c>
      <c r="O7023" s="8" t="s">
        <v>28270</v>
      </c>
      <c r="P7023" s="6" t="s">
        <v>43660</v>
      </c>
      <c r="Q7023" s="6" t="s">
        <v>31</v>
      </c>
      <c r="R7023" s="6" t="s">
        <v>10326</v>
      </c>
      <c r="S7023" s="8" t="s">
        <v>43661</v>
      </c>
      <c r="T7023" s="6" t="s">
        <v>66</v>
      </c>
      <c r="U7023" s="8" t="s">
        <v>31</v>
      </c>
      <c r="V7023" s="6" t="s">
        <v>43812</v>
      </c>
      <c r="W7023" s="6" t="s">
        <v>41483</v>
      </c>
      <c r="X7023" s="9" t="str">
        <f>HYPERLINK("https://my.pitchbook.com?p=252680-05P","View People Online")</f>
        <v>View People Online</v>
      </c>
    </row>
    <row r="7024">
      <c r="A7024" s="10" t="s">
        <v>43813</v>
      </c>
      <c r="B7024" s="10" t="s">
        <v>43814</v>
      </c>
      <c r="C7024" s="10" t="s">
        <v>6913</v>
      </c>
      <c r="D7024" s="10" t="s">
        <v>43815</v>
      </c>
      <c r="E7024" s="10" t="s">
        <v>41483</v>
      </c>
      <c r="F7024" s="10" t="s">
        <v>371</v>
      </c>
      <c r="G7024" s="10" t="s">
        <v>43816</v>
      </c>
      <c r="H7024" s="11" t="s">
        <v>31</v>
      </c>
      <c r="I7024" s="11">
        <v>1.0</v>
      </c>
      <c r="J7024" s="11">
        <v>1.0</v>
      </c>
      <c r="K7024" s="11" t="s">
        <v>31</v>
      </c>
      <c r="L7024" s="12" t="s">
        <v>43817</v>
      </c>
      <c r="M7024" s="10" t="s">
        <v>31</v>
      </c>
      <c r="N7024" s="10" t="s">
        <v>28269</v>
      </c>
      <c r="O7024" s="12" t="s">
        <v>28270</v>
      </c>
      <c r="P7024" s="10" t="s">
        <v>43660</v>
      </c>
      <c r="Q7024" s="10" t="s">
        <v>31</v>
      </c>
      <c r="R7024" s="10" t="s">
        <v>10326</v>
      </c>
      <c r="S7024" s="12" t="s">
        <v>43661</v>
      </c>
      <c r="T7024" s="10" t="s">
        <v>66</v>
      </c>
      <c r="U7024" s="12" t="s">
        <v>31</v>
      </c>
      <c r="V7024" s="10" t="s">
        <v>43818</v>
      </c>
      <c r="W7024" s="10" t="s">
        <v>41483</v>
      </c>
      <c r="X7024" s="13" t="str">
        <f>HYPERLINK("https://my.pitchbook.com?p=31010-05P","View People Online")</f>
        <v>View People Online</v>
      </c>
    </row>
    <row r="7025">
      <c r="A7025" s="6" t="s">
        <v>43819</v>
      </c>
      <c r="B7025" s="6" t="s">
        <v>43820</v>
      </c>
      <c r="C7025" s="6" t="s">
        <v>823</v>
      </c>
      <c r="D7025" s="6" t="s">
        <v>43821</v>
      </c>
      <c r="E7025" s="6" t="s">
        <v>41483</v>
      </c>
      <c r="F7025" s="6" t="s">
        <v>4527</v>
      </c>
      <c r="G7025" s="6" t="s">
        <v>43822</v>
      </c>
      <c r="H7025" s="7">
        <v>1.0</v>
      </c>
      <c r="I7025" s="7">
        <v>18.0</v>
      </c>
      <c r="J7025" s="7">
        <v>1.0</v>
      </c>
      <c r="K7025" s="7">
        <v>17.0</v>
      </c>
      <c r="L7025" s="8" t="s">
        <v>43823</v>
      </c>
      <c r="M7025" s="6" t="s">
        <v>43824</v>
      </c>
      <c r="N7025" s="6" t="s">
        <v>28269</v>
      </c>
      <c r="O7025" s="8" t="s">
        <v>28270</v>
      </c>
      <c r="P7025" s="6" t="s">
        <v>43660</v>
      </c>
      <c r="Q7025" s="6" t="s">
        <v>31</v>
      </c>
      <c r="R7025" s="6" t="s">
        <v>10326</v>
      </c>
      <c r="S7025" s="8" t="s">
        <v>43661</v>
      </c>
      <c r="T7025" s="6" t="s">
        <v>66</v>
      </c>
      <c r="U7025" s="8" t="s">
        <v>31</v>
      </c>
      <c r="V7025" s="6" t="s">
        <v>43825</v>
      </c>
      <c r="W7025" s="6" t="s">
        <v>41483</v>
      </c>
      <c r="X7025" s="9" t="str">
        <f>HYPERLINK("https://my.pitchbook.com?p=32869-45P","View People Online")</f>
        <v>View People Online</v>
      </c>
    </row>
    <row r="7026">
      <c r="A7026" s="10" t="s">
        <v>43826</v>
      </c>
      <c r="B7026" s="10" t="s">
        <v>43827</v>
      </c>
      <c r="C7026" s="10" t="s">
        <v>5358</v>
      </c>
      <c r="D7026" s="10" t="s">
        <v>43828</v>
      </c>
      <c r="E7026" s="10" t="s">
        <v>41483</v>
      </c>
      <c r="F7026" s="10" t="s">
        <v>548</v>
      </c>
      <c r="G7026" s="10" t="s">
        <v>43829</v>
      </c>
      <c r="H7026" s="11" t="s">
        <v>31</v>
      </c>
      <c r="I7026" s="11">
        <v>1.0</v>
      </c>
      <c r="J7026" s="11">
        <v>1.0</v>
      </c>
      <c r="K7026" s="11" t="s">
        <v>31</v>
      </c>
      <c r="L7026" s="12" t="s">
        <v>43658</v>
      </c>
      <c r="M7026" s="10" t="s">
        <v>43830</v>
      </c>
      <c r="N7026" s="10" t="s">
        <v>28269</v>
      </c>
      <c r="O7026" s="12" t="s">
        <v>28270</v>
      </c>
      <c r="P7026" s="10" t="s">
        <v>43660</v>
      </c>
      <c r="Q7026" s="10" t="s">
        <v>31</v>
      </c>
      <c r="R7026" s="10" t="s">
        <v>10326</v>
      </c>
      <c r="S7026" s="12" t="s">
        <v>43661</v>
      </c>
      <c r="T7026" s="10" t="s">
        <v>66</v>
      </c>
      <c r="U7026" s="12" t="s">
        <v>31</v>
      </c>
      <c r="V7026" s="10" t="s">
        <v>4822</v>
      </c>
      <c r="W7026" s="10" t="s">
        <v>41483</v>
      </c>
      <c r="X7026" s="13" t="str">
        <f>HYPERLINK("https://my.pitchbook.com?p=110674-09P","View People Online")</f>
        <v>View People Online</v>
      </c>
    </row>
    <row r="7027">
      <c r="A7027" s="14" t="s">
        <v>43831</v>
      </c>
      <c r="B7027" s="14" t="s">
        <v>43832</v>
      </c>
      <c r="C7027" s="14" t="s">
        <v>3670</v>
      </c>
      <c r="D7027" s="14" t="s">
        <v>25694</v>
      </c>
      <c r="E7027" s="14" t="s">
        <v>41483</v>
      </c>
      <c r="F7027" s="14" t="s">
        <v>6552</v>
      </c>
      <c r="G7027" s="14" t="s">
        <v>43833</v>
      </c>
      <c r="H7027" s="15">
        <v>5.0</v>
      </c>
      <c r="I7027" s="15">
        <v>12.0</v>
      </c>
      <c r="J7027" s="15">
        <v>2.0</v>
      </c>
      <c r="K7027" s="15">
        <v>5.0</v>
      </c>
      <c r="L7027" s="16" t="s">
        <v>43834</v>
      </c>
      <c r="M7027" s="14" t="s">
        <v>43835</v>
      </c>
      <c r="N7027" s="14" t="s">
        <v>28269</v>
      </c>
      <c r="O7027" s="16" t="s">
        <v>28270</v>
      </c>
      <c r="P7027" s="14" t="s">
        <v>43660</v>
      </c>
      <c r="Q7027" s="14" t="s">
        <v>31</v>
      </c>
      <c r="R7027" s="14" t="s">
        <v>10326</v>
      </c>
      <c r="S7027" s="16" t="s">
        <v>43661</v>
      </c>
      <c r="T7027" s="14" t="s">
        <v>66</v>
      </c>
      <c r="U7027" s="16" t="s">
        <v>43836</v>
      </c>
      <c r="V7027" s="14" t="s">
        <v>6552</v>
      </c>
      <c r="W7027" s="14" t="s">
        <v>43837</v>
      </c>
      <c r="X7027" s="17" t="str">
        <f>HYPERLINK("https://my.pitchbook.com?p=145161-01P","View People Online")</f>
        <v>View People Online</v>
      </c>
    </row>
    <row r="7028">
      <c r="A7028" s="2" t="s">
        <v>43838</v>
      </c>
      <c r="B7028" s="2" t="s">
        <v>43839</v>
      </c>
      <c r="C7028" s="2" t="s">
        <v>4404</v>
      </c>
      <c r="D7028" s="2" t="s">
        <v>25533</v>
      </c>
      <c r="E7028" s="2" t="s">
        <v>41483</v>
      </c>
      <c r="F7028" s="2" t="s">
        <v>371</v>
      </c>
      <c r="G7028" s="2" t="s">
        <v>43840</v>
      </c>
      <c r="H7028" s="3" t="s">
        <v>31</v>
      </c>
      <c r="I7028" s="3">
        <v>1.0</v>
      </c>
      <c r="J7028" s="3">
        <v>1.0</v>
      </c>
      <c r="K7028" s="3" t="s">
        <v>31</v>
      </c>
      <c r="L7028" s="4" t="s">
        <v>43658</v>
      </c>
      <c r="M7028" s="2" t="s">
        <v>43841</v>
      </c>
      <c r="N7028" s="2" t="s">
        <v>28269</v>
      </c>
      <c r="O7028" s="4" t="s">
        <v>28270</v>
      </c>
      <c r="P7028" s="2" t="s">
        <v>43660</v>
      </c>
      <c r="Q7028" s="2" t="s">
        <v>31</v>
      </c>
      <c r="R7028" s="2" t="s">
        <v>10326</v>
      </c>
      <c r="S7028" s="4" t="s">
        <v>43661</v>
      </c>
      <c r="T7028" s="2" t="s">
        <v>66</v>
      </c>
      <c r="U7028" s="4" t="s">
        <v>31</v>
      </c>
      <c r="V7028" s="2" t="s">
        <v>43842</v>
      </c>
      <c r="W7028" s="2" t="s">
        <v>41483</v>
      </c>
      <c r="X7028" s="5" t="str">
        <f>HYPERLINK("https://my.pitchbook.com?p=52358-32P","View People Online")</f>
        <v>View People Online</v>
      </c>
    </row>
    <row r="7029">
      <c r="A7029" s="14" t="s">
        <v>43843</v>
      </c>
      <c r="B7029" s="14" t="s">
        <v>43844</v>
      </c>
      <c r="C7029" s="14" t="s">
        <v>5071</v>
      </c>
      <c r="D7029" s="14" t="s">
        <v>17781</v>
      </c>
      <c r="E7029" s="14" t="s">
        <v>41483</v>
      </c>
      <c r="F7029" s="14" t="s">
        <v>371</v>
      </c>
      <c r="G7029" s="14" t="s">
        <v>43845</v>
      </c>
      <c r="H7029" s="15" t="s">
        <v>31</v>
      </c>
      <c r="I7029" s="15">
        <v>1.0</v>
      </c>
      <c r="J7029" s="15">
        <v>1.0</v>
      </c>
      <c r="K7029" s="15" t="s">
        <v>31</v>
      </c>
      <c r="L7029" s="16" t="s">
        <v>43658</v>
      </c>
      <c r="M7029" s="14" t="s">
        <v>31</v>
      </c>
      <c r="N7029" s="14" t="s">
        <v>28269</v>
      </c>
      <c r="O7029" s="16" t="s">
        <v>28270</v>
      </c>
      <c r="P7029" s="14" t="s">
        <v>43660</v>
      </c>
      <c r="Q7029" s="14" t="s">
        <v>31</v>
      </c>
      <c r="R7029" s="14" t="s">
        <v>10326</v>
      </c>
      <c r="S7029" s="16" t="s">
        <v>43661</v>
      </c>
      <c r="T7029" s="14" t="s">
        <v>66</v>
      </c>
      <c r="U7029" s="16" t="s">
        <v>31</v>
      </c>
      <c r="V7029" s="14" t="s">
        <v>43846</v>
      </c>
      <c r="W7029" s="14" t="s">
        <v>41483</v>
      </c>
      <c r="X7029" s="17" t="str">
        <f>HYPERLINK("https://my.pitchbook.com?p=110760-76P","View People Online")</f>
        <v>View People Online</v>
      </c>
    </row>
    <row r="7030">
      <c r="A7030" s="2" t="s">
        <v>43847</v>
      </c>
      <c r="B7030" s="2" t="s">
        <v>43848</v>
      </c>
      <c r="C7030" s="2" t="s">
        <v>17803</v>
      </c>
      <c r="D7030" s="2" t="s">
        <v>43849</v>
      </c>
      <c r="E7030" s="2" t="s">
        <v>41483</v>
      </c>
      <c r="F7030" s="2" t="s">
        <v>502</v>
      </c>
      <c r="G7030" s="2" t="s">
        <v>43850</v>
      </c>
      <c r="H7030" s="3">
        <v>1.0</v>
      </c>
      <c r="I7030" s="3">
        <v>2.0</v>
      </c>
      <c r="J7030" s="3">
        <v>1.0</v>
      </c>
      <c r="K7030" s="3" t="s">
        <v>31</v>
      </c>
      <c r="L7030" s="4" t="s">
        <v>43658</v>
      </c>
      <c r="M7030" s="2" t="s">
        <v>31</v>
      </c>
      <c r="N7030" s="2" t="s">
        <v>28269</v>
      </c>
      <c r="O7030" s="4" t="s">
        <v>28270</v>
      </c>
      <c r="P7030" s="2" t="s">
        <v>43660</v>
      </c>
      <c r="Q7030" s="2" t="s">
        <v>31</v>
      </c>
      <c r="R7030" s="2" t="s">
        <v>10326</v>
      </c>
      <c r="S7030" s="4" t="s">
        <v>43661</v>
      </c>
      <c r="T7030" s="2" t="s">
        <v>66</v>
      </c>
      <c r="U7030" s="4" t="s">
        <v>31</v>
      </c>
      <c r="V7030" s="2" t="s">
        <v>502</v>
      </c>
      <c r="W7030" s="2" t="s">
        <v>41483</v>
      </c>
      <c r="X7030" s="5" t="str">
        <f>HYPERLINK("https://my.pitchbook.com?p=217873-00P","View People Online")</f>
        <v>View People Online</v>
      </c>
    </row>
    <row r="7031">
      <c r="A7031" s="14" t="s">
        <v>43851</v>
      </c>
      <c r="B7031" s="14" t="s">
        <v>43852</v>
      </c>
      <c r="C7031" s="14" t="s">
        <v>5363</v>
      </c>
      <c r="D7031" s="14" t="s">
        <v>4034</v>
      </c>
      <c r="E7031" s="14" t="s">
        <v>41483</v>
      </c>
      <c r="F7031" s="14" t="s">
        <v>371</v>
      </c>
      <c r="G7031" s="14" t="s">
        <v>43853</v>
      </c>
      <c r="H7031" s="15" t="s">
        <v>31</v>
      </c>
      <c r="I7031" s="15">
        <v>2.0</v>
      </c>
      <c r="J7031" s="15">
        <v>1.0</v>
      </c>
      <c r="K7031" s="15">
        <v>1.0</v>
      </c>
      <c r="L7031" s="16" t="s">
        <v>43658</v>
      </c>
      <c r="M7031" s="14" t="s">
        <v>43854</v>
      </c>
      <c r="N7031" s="14" t="s">
        <v>28269</v>
      </c>
      <c r="O7031" s="16" t="s">
        <v>28270</v>
      </c>
      <c r="P7031" s="14" t="s">
        <v>43660</v>
      </c>
      <c r="Q7031" s="14" t="s">
        <v>31</v>
      </c>
      <c r="R7031" s="14" t="s">
        <v>10326</v>
      </c>
      <c r="S7031" s="16" t="s">
        <v>43661</v>
      </c>
      <c r="T7031" s="14" t="s">
        <v>66</v>
      </c>
      <c r="U7031" s="16" t="s">
        <v>31</v>
      </c>
      <c r="V7031" s="14" t="s">
        <v>43855</v>
      </c>
      <c r="W7031" s="14" t="s">
        <v>41483</v>
      </c>
      <c r="X7031" s="17" t="str">
        <f>HYPERLINK("https://my.pitchbook.com?p=118689-76P","View People Online")</f>
        <v>View People Online</v>
      </c>
    </row>
    <row r="7032">
      <c r="A7032" s="2" t="s">
        <v>43856</v>
      </c>
      <c r="B7032" s="2" t="s">
        <v>43857</v>
      </c>
      <c r="C7032" s="2" t="s">
        <v>2992</v>
      </c>
      <c r="D7032" s="2" t="s">
        <v>43858</v>
      </c>
      <c r="E7032" s="2" t="s">
        <v>41483</v>
      </c>
      <c r="F7032" s="2" t="s">
        <v>1801</v>
      </c>
      <c r="G7032" s="2" t="s">
        <v>43859</v>
      </c>
      <c r="H7032" s="3" t="s">
        <v>31</v>
      </c>
      <c r="I7032" s="3">
        <v>1.0</v>
      </c>
      <c r="J7032" s="3">
        <v>1.0</v>
      </c>
      <c r="K7032" s="3" t="s">
        <v>31</v>
      </c>
      <c r="L7032" s="4" t="s">
        <v>43860</v>
      </c>
      <c r="M7032" s="2" t="s">
        <v>43861</v>
      </c>
      <c r="N7032" s="2" t="s">
        <v>28269</v>
      </c>
      <c r="O7032" s="4" t="s">
        <v>28270</v>
      </c>
      <c r="P7032" s="2" t="s">
        <v>43660</v>
      </c>
      <c r="Q7032" s="2" t="s">
        <v>31</v>
      </c>
      <c r="R7032" s="2" t="s">
        <v>10326</v>
      </c>
      <c r="S7032" s="4" t="s">
        <v>43661</v>
      </c>
      <c r="T7032" s="2" t="s">
        <v>66</v>
      </c>
      <c r="U7032" s="4" t="s">
        <v>31</v>
      </c>
      <c r="V7032" s="2" t="s">
        <v>43862</v>
      </c>
      <c r="W7032" s="2" t="s">
        <v>41483</v>
      </c>
      <c r="X7032" s="5" t="str">
        <f>HYPERLINK("https://my.pitchbook.com?p=44246-71P","View People Online")</f>
        <v>View People Online</v>
      </c>
    </row>
    <row r="7033">
      <c r="A7033" s="14" t="s">
        <v>43863</v>
      </c>
      <c r="B7033" s="14" t="s">
        <v>43864</v>
      </c>
      <c r="C7033" s="14" t="s">
        <v>1343</v>
      </c>
      <c r="D7033" s="14" t="s">
        <v>285</v>
      </c>
      <c r="E7033" s="14" t="s">
        <v>41483</v>
      </c>
      <c r="F7033" s="14" t="s">
        <v>4951</v>
      </c>
      <c r="G7033" s="14" t="s">
        <v>43865</v>
      </c>
      <c r="H7033" s="15">
        <v>2.0</v>
      </c>
      <c r="I7033" s="15">
        <v>48.0</v>
      </c>
      <c r="J7033" s="15">
        <v>2.0</v>
      </c>
      <c r="K7033" s="15">
        <v>43.0</v>
      </c>
      <c r="L7033" s="16" t="s">
        <v>43834</v>
      </c>
      <c r="M7033" s="14" t="s">
        <v>43866</v>
      </c>
      <c r="N7033" s="14" t="s">
        <v>28269</v>
      </c>
      <c r="O7033" s="16" t="s">
        <v>28270</v>
      </c>
      <c r="P7033" s="14" t="s">
        <v>43660</v>
      </c>
      <c r="Q7033" s="14" t="s">
        <v>31</v>
      </c>
      <c r="R7033" s="14" t="s">
        <v>10326</v>
      </c>
      <c r="S7033" s="16" t="s">
        <v>43661</v>
      </c>
      <c r="T7033" s="14" t="s">
        <v>66</v>
      </c>
      <c r="U7033" s="16" t="s">
        <v>43836</v>
      </c>
      <c r="V7033" s="14" t="s">
        <v>43867</v>
      </c>
      <c r="W7033" s="14" t="s">
        <v>43837</v>
      </c>
      <c r="X7033" s="17" t="str">
        <f>HYPERLINK("https://my.pitchbook.com?p=138461-59P","View People Online")</f>
        <v>View People Online</v>
      </c>
    </row>
    <row r="7034">
      <c r="A7034" s="2" t="s">
        <v>43868</v>
      </c>
      <c r="B7034" s="2" t="s">
        <v>43869</v>
      </c>
      <c r="C7034" s="2" t="s">
        <v>18127</v>
      </c>
      <c r="D7034" s="2" t="s">
        <v>43870</v>
      </c>
      <c r="E7034" s="2" t="s">
        <v>41483</v>
      </c>
      <c r="F7034" s="2" t="s">
        <v>270</v>
      </c>
      <c r="G7034" s="2" t="s">
        <v>43871</v>
      </c>
      <c r="H7034" s="3" t="s">
        <v>31</v>
      </c>
      <c r="I7034" s="3">
        <v>1.0</v>
      </c>
      <c r="J7034" s="3">
        <v>1.0</v>
      </c>
      <c r="K7034" s="3" t="s">
        <v>31</v>
      </c>
      <c r="L7034" s="4" t="s">
        <v>43658</v>
      </c>
      <c r="M7034" s="2" t="s">
        <v>43872</v>
      </c>
      <c r="N7034" s="2" t="s">
        <v>28269</v>
      </c>
      <c r="O7034" s="4" t="s">
        <v>28270</v>
      </c>
      <c r="P7034" s="2" t="s">
        <v>43660</v>
      </c>
      <c r="Q7034" s="2" t="s">
        <v>31</v>
      </c>
      <c r="R7034" s="2" t="s">
        <v>10326</v>
      </c>
      <c r="S7034" s="4" t="s">
        <v>43661</v>
      </c>
      <c r="T7034" s="2" t="s">
        <v>66</v>
      </c>
      <c r="U7034" s="4" t="s">
        <v>31</v>
      </c>
      <c r="V7034" s="2" t="s">
        <v>43873</v>
      </c>
      <c r="W7034" s="2" t="s">
        <v>41483</v>
      </c>
      <c r="X7034" s="5" t="str">
        <f>HYPERLINK("https://my.pitchbook.com?p=199091-80P","View People Online")</f>
        <v>View People Online</v>
      </c>
    </row>
    <row r="7035">
      <c r="A7035" s="6" t="s">
        <v>43874</v>
      </c>
      <c r="B7035" s="6" t="s">
        <v>43875</v>
      </c>
      <c r="C7035" s="6" t="s">
        <v>5985</v>
      </c>
      <c r="D7035" s="6" t="s">
        <v>37676</v>
      </c>
      <c r="E7035" s="6" t="s">
        <v>41483</v>
      </c>
      <c r="F7035" s="6" t="s">
        <v>1801</v>
      </c>
      <c r="G7035" s="6" t="s">
        <v>43876</v>
      </c>
      <c r="H7035" s="7" t="s">
        <v>31</v>
      </c>
      <c r="I7035" s="7">
        <v>1.0</v>
      </c>
      <c r="J7035" s="7">
        <v>1.0</v>
      </c>
      <c r="K7035" s="7" t="s">
        <v>31</v>
      </c>
      <c r="L7035" s="8" t="s">
        <v>43877</v>
      </c>
      <c r="M7035" s="6" t="s">
        <v>31</v>
      </c>
      <c r="N7035" s="6" t="s">
        <v>28269</v>
      </c>
      <c r="O7035" s="8" t="s">
        <v>28270</v>
      </c>
      <c r="P7035" s="6" t="s">
        <v>43660</v>
      </c>
      <c r="Q7035" s="6" t="s">
        <v>31</v>
      </c>
      <c r="R7035" s="6" t="s">
        <v>10326</v>
      </c>
      <c r="S7035" s="8" t="s">
        <v>43661</v>
      </c>
      <c r="T7035" s="6" t="s">
        <v>66</v>
      </c>
      <c r="U7035" s="8" t="s">
        <v>31</v>
      </c>
      <c r="V7035" s="6" t="s">
        <v>43878</v>
      </c>
      <c r="W7035" s="6" t="s">
        <v>41483</v>
      </c>
      <c r="X7035" s="9" t="str">
        <f>HYPERLINK("https://my.pitchbook.com?p=81764-02P","View People Online")</f>
        <v>View People Online</v>
      </c>
    </row>
    <row r="7036">
      <c r="A7036" s="2" t="s">
        <v>43879</v>
      </c>
      <c r="B7036" s="2" t="s">
        <v>43880</v>
      </c>
      <c r="C7036" s="2" t="s">
        <v>4009</v>
      </c>
      <c r="D7036" s="2" t="s">
        <v>43881</v>
      </c>
      <c r="E7036" s="2" t="s">
        <v>41483</v>
      </c>
      <c r="F7036" s="2" t="s">
        <v>502</v>
      </c>
      <c r="G7036" s="2" t="s">
        <v>43882</v>
      </c>
      <c r="H7036" s="3" t="s">
        <v>31</v>
      </c>
      <c r="I7036" s="3">
        <v>1.0</v>
      </c>
      <c r="J7036" s="3">
        <v>1.0</v>
      </c>
      <c r="K7036" s="3" t="s">
        <v>31</v>
      </c>
      <c r="L7036" s="4" t="s">
        <v>43658</v>
      </c>
      <c r="M7036" s="2" t="s">
        <v>31</v>
      </c>
      <c r="N7036" s="2" t="s">
        <v>28269</v>
      </c>
      <c r="O7036" s="4" t="s">
        <v>28270</v>
      </c>
      <c r="P7036" s="2" t="s">
        <v>43660</v>
      </c>
      <c r="Q7036" s="2" t="s">
        <v>31</v>
      </c>
      <c r="R7036" s="2" t="s">
        <v>10326</v>
      </c>
      <c r="S7036" s="4" t="s">
        <v>43661</v>
      </c>
      <c r="T7036" s="2" t="s">
        <v>66</v>
      </c>
      <c r="U7036" s="4" t="s">
        <v>31</v>
      </c>
      <c r="V7036" s="2" t="s">
        <v>502</v>
      </c>
      <c r="W7036" s="2" t="s">
        <v>41483</v>
      </c>
      <c r="X7036" s="5" t="str">
        <f>HYPERLINK("https://my.pitchbook.com?p=200708-11P","View People Online")</f>
        <v>View People Online</v>
      </c>
    </row>
    <row r="7037">
      <c r="A7037" s="6" t="s">
        <v>43883</v>
      </c>
      <c r="B7037" s="6" t="s">
        <v>43884</v>
      </c>
      <c r="C7037" s="6" t="s">
        <v>36194</v>
      </c>
      <c r="D7037" s="6" t="s">
        <v>9547</v>
      </c>
      <c r="E7037" s="6" t="s">
        <v>41483</v>
      </c>
      <c r="F7037" s="6" t="s">
        <v>312</v>
      </c>
      <c r="G7037" s="6" t="s">
        <v>43885</v>
      </c>
      <c r="H7037" s="7">
        <v>2.0</v>
      </c>
      <c r="I7037" s="7">
        <v>4.0</v>
      </c>
      <c r="J7037" s="7">
        <v>1.0</v>
      </c>
      <c r="K7037" s="7" t="s">
        <v>31</v>
      </c>
      <c r="L7037" s="8" t="s">
        <v>43886</v>
      </c>
      <c r="M7037" s="6" t="s">
        <v>43887</v>
      </c>
      <c r="N7037" s="6" t="s">
        <v>3958</v>
      </c>
      <c r="O7037" s="8" t="s">
        <v>3959</v>
      </c>
      <c r="P7037" s="6" t="s">
        <v>43888</v>
      </c>
      <c r="Q7037" s="6" t="s">
        <v>3928</v>
      </c>
      <c r="R7037" s="6" t="s">
        <v>3960</v>
      </c>
      <c r="S7037" s="8" t="s">
        <v>12575</v>
      </c>
      <c r="T7037" s="6" t="s">
        <v>66</v>
      </c>
      <c r="U7037" s="8" t="s">
        <v>43889</v>
      </c>
      <c r="V7037" s="6" t="s">
        <v>2586</v>
      </c>
      <c r="W7037" s="6" t="s">
        <v>43890</v>
      </c>
      <c r="X7037" s="9" t="str">
        <f>HYPERLINK("https://my.pitchbook.com?p=74948-41P","View People Online")</f>
        <v>View People Online</v>
      </c>
    </row>
    <row r="7038">
      <c r="A7038" s="10" t="s">
        <v>43891</v>
      </c>
      <c r="B7038" s="10" t="s">
        <v>43892</v>
      </c>
      <c r="C7038" s="10" t="s">
        <v>43893</v>
      </c>
      <c r="D7038" s="10" t="s">
        <v>7252</v>
      </c>
      <c r="E7038" s="10" t="s">
        <v>41483</v>
      </c>
      <c r="F7038" s="10" t="s">
        <v>270</v>
      </c>
      <c r="G7038" s="10" t="s">
        <v>43894</v>
      </c>
      <c r="H7038" s="11" t="s">
        <v>31</v>
      </c>
      <c r="I7038" s="11">
        <v>4.0</v>
      </c>
      <c r="J7038" s="11">
        <v>1.0</v>
      </c>
      <c r="K7038" s="11">
        <v>3.0</v>
      </c>
      <c r="L7038" s="12" t="s">
        <v>43895</v>
      </c>
      <c r="M7038" s="10" t="s">
        <v>43896</v>
      </c>
      <c r="N7038" s="10" t="s">
        <v>43897</v>
      </c>
      <c r="O7038" s="12" t="s">
        <v>43898</v>
      </c>
      <c r="P7038" s="10" t="s">
        <v>43899</v>
      </c>
      <c r="Q7038" s="10" t="s">
        <v>31</v>
      </c>
      <c r="R7038" s="10" t="s">
        <v>396</v>
      </c>
      <c r="S7038" s="12" t="s">
        <v>43900</v>
      </c>
      <c r="T7038" s="10" t="s">
        <v>66</v>
      </c>
      <c r="U7038" s="12" t="s">
        <v>31</v>
      </c>
      <c r="V7038" s="10" t="s">
        <v>43901</v>
      </c>
      <c r="W7038" s="10" t="s">
        <v>41483</v>
      </c>
      <c r="X7038" s="13" t="str">
        <f>HYPERLINK("https://my.pitchbook.com?p=219917-98P","View People Online")</f>
        <v>View People Online</v>
      </c>
    </row>
    <row r="7039">
      <c r="A7039" s="14" t="s">
        <v>43902</v>
      </c>
      <c r="B7039" s="14" t="s">
        <v>43903</v>
      </c>
      <c r="C7039" s="14" t="s">
        <v>2283</v>
      </c>
      <c r="D7039" s="14" t="s">
        <v>666</v>
      </c>
      <c r="E7039" s="14" t="s">
        <v>41483</v>
      </c>
      <c r="F7039" s="14" t="s">
        <v>43904</v>
      </c>
      <c r="G7039" s="14" t="s">
        <v>43905</v>
      </c>
      <c r="H7039" s="15" t="s">
        <v>31</v>
      </c>
      <c r="I7039" s="15">
        <v>1.0</v>
      </c>
      <c r="J7039" s="15">
        <v>1.0</v>
      </c>
      <c r="K7039" s="15" t="s">
        <v>31</v>
      </c>
      <c r="L7039" s="16" t="s">
        <v>43658</v>
      </c>
      <c r="M7039" s="14" t="s">
        <v>31</v>
      </c>
      <c r="N7039" s="14" t="s">
        <v>28269</v>
      </c>
      <c r="O7039" s="16" t="s">
        <v>28270</v>
      </c>
      <c r="P7039" s="14" t="s">
        <v>43660</v>
      </c>
      <c r="Q7039" s="14" t="s">
        <v>31</v>
      </c>
      <c r="R7039" s="14" t="s">
        <v>10326</v>
      </c>
      <c r="S7039" s="16" t="s">
        <v>43661</v>
      </c>
      <c r="T7039" s="14" t="s">
        <v>66</v>
      </c>
      <c r="U7039" s="16" t="s">
        <v>31</v>
      </c>
      <c r="V7039" s="14" t="s">
        <v>43906</v>
      </c>
      <c r="W7039" s="14" t="s">
        <v>41483</v>
      </c>
      <c r="X7039" s="17" t="str">
        <f>HYPERLINK("https://my.pitchbook.com?p=157274-74P","View People Online")</f>
        <v>View People Online</v>
      </c>
    </row>
    <row r="7040">
      <c r="A7040" s="10" t="s">
        <v>43907</v>
      </c>
      <c r="B7040" s="10" t="s">
        <v>43908</v>
      </c>
      <c r="C7040" s="10" t="s">
        <v>2283</v>
      </c>
      <c r="D7040" s="10" t="s">
        <v>43909</v>
      </c>
      <c r="E7040" s="10" t="s">
        <v>41483</v>
      </c>
      <c r="F7040" s="10" t="s">
        <v>28075</v>
      </c>
      <c r="G7040" s="10" t="s">
        <v>43910</v>
      </c>
      <c r="H7040" s="11" t="s">
        <v>31</v>
      </c>
      <c r="I7040" s="11">
        <v>1.0</v>
      </c>
      <c r="J7040" s="11">
        <v>1.0</v>
      </c>
      <c r="K7040" s="11" t="s">
        <v>31</v>
      </c>
      <c r="L7040" s="12" t="s">
        <v>43911</v>
      </c>
      <c r="M7040" s="10" t="s">
        <v>43912</v>
      </c>
      <c r="N7040" s="10" t="s">
        <v>28269</v>
      </c>
      <c r="O7040" s="12" t="s">
        <v>28270</v>
      </c>
      <c r="P7040" s="10" t="s">
        <v>43660</v>
      </c>
      <c r="Q7040" s="10" t="s">
        <v>31</v>
      </c>
      <c r="R7040" s="10" t="s">
        <v>10326</v>
      </c>
      <c r="S7040" s="12" t="s">
        <v>43661</v>
      </c>
      <c r="T7040" s="10" t="s">
        <v>66</v>
      </c>
      <c r="U7040" s="12" t="s">
        <v>31</v>
      </c>
      <c r="V7040" s="10" t="s">
        <v>43913</v>
      </c>
      <c r="W7040" s="10" t="s">
        <v>41483</v>
      </c>
      <c r="X7040" s="13" t="str">
        <f>HYPERLINK("https://my.pitchbook.com?p=383308-57P","View People Online")</f>
        <v>View People Online</v>
      </c>
    </row>
    <row r="7041">
      <c r="A7041" s="6" t="s">
        <v>43914</v>
      </c>
      <c r="B7041" s="6" t="s">
        <v>43915</v>
      </c>
      <c r="C7041" s="6" t="s">
        <v>2288</v>
      </c>
      <c r="D7041" s="6" t="s">
        <v>43916</v>
      </c>
      <c r="E7041" s="6" t="s">
        <v>41483</v>
      </c>
      <c r="F7041" s="6" t="s">
        <v>548</v>
      </c>
      <c r="G7041" s="6" t="s">
        <v>43917</v>
      </c>
      <c r="H7041" s="7" t="s">
        <v>31</v>
      </c>
      <c r="I7041" s="7">
        <v>1.0</v>
      </c>
      <c r="J7041" s="7">
        <v>1.0</v>
      </c>
      <c r="K7041" s="7" t="s">
        <v>31</v>
      </c>
      <c r="L7041" s="8" t="s">
        <v>43658</v>
      </c>
      <c r="M7041" s="6" t="s">
        <v>43918</v>
      </c>
      <c r="N7041" s="6" t="s">
        <v>28269</v>
      </c>
      <c r="O7041" s="8" t="s">
        <v>28270</v>
      </c>
      <c r="P7041" s="6" t="s">
        <v>43660</v>
      </c>
      <c r="Q7041" s="6" t="s">
        <v>31</v>
      </c>
      <c r="R7041" s="6" t="s">
        <v>10326</v>
      </c>
      <c r="S7041" s="8" t="s">
        <v>43661</v>
      </c>
      <c r="T7041" s="6" t="s">
        <v>66</v>
      </c>
      <c r="U7041" s="8" t="s">
        <v>31</v>
      </c>
      <c r="V7041" s="6" t="s">
        <v>43919</v>
      </c>
      <c r="W7041" s="6" t="s">
        <v>41483</v>
      </c>
      <c r="X7041" s="9" t="str">
        <f>HYPERLINK("https://my.pitchbook.com?p=165333-16P","View People Online")</f>
        <v>View People Online</v>
      </c>
    </row>
    <row r="7042">
      <c r="A7042" s="2" t="s">
        <v>43920</v>
      </c>
      <c r="B7042" s="2" t="s">
        <v>43921</v>
      </c>
      <c r="C7042" s="2" t="s">
        <v>126</v>
      </c>
      <c r="D7042" s="2" t="s">
        <v>43922</v>
      </c>
      <c r="E7042" s="2" t="s">
        <v>41483</v>
      </c>
      <c r="F7042" s="2" t="s">
        <v>43923</v>
      </c>
      <c r="G7042" s="2" t="s">
        <v>43924</v>
      </c>
      <c r="H7042" s="3" t="s">
        <v>31</v>
      </c>
      <c r="I7042" s="3">
        <v>1.0</v>
      </c>
      <c r="J7042" s="3">
        <v>1.0</v>
      </c>
      <c r="K7042" s="3" t="s">
        <v>31</v>
      </c>
      <c r="L7042" s="4" t="s">
        <v>43658</v>
      </c>
      <c r="M7042" s="2" t="s">
        <v>43925</v>
      </c>
      <c r="N7042" s="2" t="s">
        <v>28269</v>
      </c>
      <c r="O7042" s="4" t="s">
        <v>28270</v>
      </c>
      <c r="P7042" s="2" t="s">
        <v>43660</v>
      </c>
      <c r="Q7042" s="2" t="s">
        <v>31</v>
      </c>
      <c r="R7042" s="2" t="s">
        <v>10326</v>
      </c>
      <c r="S7042" s="4" t="s">
        <v>43661</v>
      </c>
      <c r="T7042" s="2" t="s">
        <v>66</v>
      </c>
      <c r="U7042" s="4" t="s">
        <v>31</v>
      </c>
      <c r="V7042" s="2" t="s">
        <v>43926</v>
      </c>
      <c r="W7042" s="2" t="s">
        <v>41483</v>
      </c>
      <c r="X7042" s="5" t="str">
        <f>HYPERLINK("https://my.pitchbook.com?p=88406-56P","View People Online")</f>
        <v>View People Online</v>
      </c>
    </row>
    <row r="7043">
      <c r="A7043" s="14" t="s">
        <v>43927</v>
      </c>
      <c r="B7043" s="14" t="s">
        <v>43928</v>
      </c>
      <c r="C7043" s="14" t="s">
        <v>126</v>
      </c>
      <c r="D7043" s="14" t="s">
        <v>43929</v>
      </c>
      <c r="E7043" s="14" t="s">
        <v>41483</v>
      </c>
      <c r="F7043" s="14" t="s">
        <v>548</v>
      </c>
      <c r="G7043" s="14" t="s">
        <v>43930</v>
      </c>
      <c r="H7043" s="15" t="s">
        <v>31</v>
      </c>
      <c r="I7043" s="15">
        <v>1.0</v>
      </c>
      <c r="J7043" s="15">
        <v>1.0</v>
      </c>
      <c r="K7043" s="15" t="s">
        <v>31</v>
      </c>
      <c r="L7043" s="16" t="s">
        <v>43658</v>
      </c>
      <c r="M7043" s="14" t="s">
        <v>43931</v>
      </c>
      <c r="N7043" s="14" t="s">
        <v>28269</v>
      </c>
      <c r="O7043" s="16" t="s">
        <v>28270</v>
      </c>
      <c r="P7043" s="14" t="s">
        <v>43660</v>
      </c>
      <c r="Q7043" s="14" t="s">
        <v>31</v>
      </c>
      <c r="R7043" s="14" t="s">
        <v>10326</v>
      </c>
      <c r="S7043" s="16" t="s">
        <v>43661</v>
      </c>
      <c r="T7043" s="14" t="s">
        <v>66</v>
      </c>
      <c r="U7043" s="16" t="s">
        <v>31</v>
      </c>
      <c r="V7043" s="14" t="s">
        <v>38506</v>
      </c>
      <c r="W7043" s="14" t="s">
        <v>41483</v>
      </c>
      <c r="X7043" s="17" t="str">
        <f>HYPERLINK("https://my.pitchbook.com?p=165332-89P","View People Online")</f>
        <v>View People Online</v>
      </c>
    </row>
    <row r="7044">
      <c r="A7044" s="10" t="s">
        <v>43932</v>
      </c>
      <c r="B7044" s="10" t="s">
        <v>43933</v>
      </c>
      <c r="C7044" s="10" t="s">
        <v>126</v>
      </c>
      <c r="D7044" s="10" t="s">
        <v>24679</v>
      </c>
      <c r="E7044" s="10" t="s">
        <v>41483</v>
      </c>
      <c r="F7044" s="10" t="s">
        <v>312</v>
      </c>
      <c r="G7044" s="10" t="s">
        <v>43934</v>
      </c>
      <c r="H7044" s="11" t="s">
        <v>31</v>
      </c>
      <c r="I7044" s="11">
        <v>1.0</v>
      </c>
      <c r="J7044" s="11">
        <v>1.0</v>
      </c>
      <c r="K7044" s="11" t="s">
        <v>31</v>
      </c>
      <c r="L7044" s="12" t="s">
        <v>43658</v>
      </c>
      <c r="M7044" s="10" t="s">
        <v>43935</v>
      </c>
      <c r="N7044" s="10" t="s">
        <v>28269</v>
      </c>
      <c r="O7044" s="12" t="s">
        <v>28270</v>
      </c>
      <c r="P7044" s="10" t="s">
        <v>43660</v>
      </c>
      <c r="Q7044" s="10" t="s">
        <v>31</v>
      </c>
      <c r="R7044" s="10" t="s">
        <v>10326</v>
      </c>
      <c r="S7044" s="12" t="s">
        <v>43661</v>
      </c>
      <c r="T7044" s="10" t="s">
        <v>66</v>
      </c>
      <c r="U7044" s="12" t="s">
        <v>31</v>
      </c>
      <c r="V7044" s="10" t="s">
        <v>43936</v>
      </c>
      <c r="W7044" s="10" t="s">
        <v>41483</v>
      </c>
      <c r="X7044" s="13" t="str">
        <f>HYPERLINK("https://my.pitchbook.com?p=383299-30P","View People Online")</f>
        <v>View People Online</v>
      </c>
    </row>
    <row r="7045">
      <c r="A7045" s="6" t="s">
        <v>43937</v>
      </c>
      <c r="B7045" s="6" t="s">
        <v>43938</v>
      </c>
      <c r="C7045" s="6" t="s">
        <v>518</v>
      </c>
      <c r="D7045" s="6" t="s">
        <v>3651</v>
      </c>
      <c r="E7045" s="6" t="s">
        <v>41483</v>
      </c>
      <c r="F7045" s="6" t="s">
        <v>3740</v>
      </c>
      <c r="G7045" s="6" t="s">
        <v>43939</v>
      </c>
      <c r="H7045" s="7">
        <v>1.0</v>
      </c>
      <c r="I7045" s="7">
        <v>2.0</v>
      </c>
      <c r="J7045" s="7">
        <v>1.0</v>
      </c>
      <c r="K7045" s="7" t="s">
        <v>31</v>
      </c>
      <c r="L7045" s="8" t="s">
        <v>43658</v>
      </c>
      <c r="M7045" s="6" t="s">
        <v>31</v>
      </c>
      <c r="N7045" s="6" t="s">
        <v>28269</v>
      </c>
      <c r="O7045" s="8" t="s">
        <v>28270</v>
      </c>
      <c r="P7045" s="6" t="s">
        <v>43660</v>
      </c>
      <c r="Q7045" s="6" t="s">
        <v>31</v>
      </c>
      <c r="R7045" s="6" t="s">
        <v>10326</v>
      </c>
      <c r="S7045" s="8" t="s">
        <v>43661</v>
      </c>
      <c r="T7045" s="6" t="s">
        <v>66</v>
      </c>
      <c r="U7045" s="8" t="s">
        <v>31</v>
      </c>
      <c r="V7045" s="6" t="s">
        <v>3740</v>
      </c>
      <c r="W7045" s="6" t="s">
        <v>41483</v>
      </c>
      <c r="X7045" s="9" t="str">
        <f>HYPERLINK("https://my.pitchbook.com?p=226254-43P","View People Online")</f>
        <v>View People Online</v>
      </c>
    </row>
    <row r="7046">
      <c r="A7046" s="10" t="s">
        <v>43940</v>
      </c>
      <c r="B7046" s="10" t="s">
        <v>43941</v>
      </c>
      <c r="C7046" s="10" t="s">
        <v>907</v>
      </c>
      <c r="D7046" s="10" t="s">
        <v>43942</v>
      </c>
      <c r="E7046" s="10" t="s">
        <v>41483</v>
      </c>
      <c r="F7046" s="10" t="s">
        <v>3710</v>
      </c>
      <c r="G7046" s="10" t="s">
        <v>43943</v>
      </c>
      <c r="H7046" s="11" t="s">
        <v>31</v>
      </c>
      <c r="I7046" s="11">
        <v>1.0</v>
      </c>
      <c r="J7046" s="11">
        <v>1.0</v>
      </c>
      <c r="K7046" s="11" t="s">
        <v>31</v>
      </c>
      <c r="L7046" s="12" t="s">
        <v>43944</v>
      </c>
      <c r="M7046" s="10" t="s">
        <v>31</v>
      </c>
      <c r="N7046" s="10" t="s">
        <v>28269</v>
      </c>
      <c r="O7046" s="12" t="s">
        <v>28270</v>
      </c>
      <c r="P7046" s="10" t="s">
        <v>43660</v>
      </c>
      <c r="Q7046" s="10" t="s">
        <v>31</v>
      </c>
      <c r="R7046" s="10" t="s">
        <v>10326</v>
      </c>
      <c r="S7046" s="12" t="s">
        <v>43661</v>
      </c>
      <c r="T7046" s="10" t="s">
        <v>66</v>
      </c>
      <c r="U7046" s="12" t="s">
        <v>31</v>
      </c>
      <c r="V7046" s="10" t="s">
        <v>39852</v>
      </c>
      <c r="W7046" s="10" t="s">
        <v>41483</v>
      </c>
      <c r="X7046" s="13" t="str">
        <f>HYPERLINK("https://my.pitchbook.com?p=110765-62P","View People Online")</f>
        <v>View People Online</v>
      </c>
    </row>
    <row r="7047">
      <c r="A7047" s="14" t="s">
        <v>43945</v>
      </c>
      <c r="B7047" s="14" t="s">
        <v>43946</v>
      </c>
      <c r="C7047" s="14" t="s">
        <v>4039</v>
      </c>
      <c r="D7047" s="14" t="s">
        <v>43947</v>
      </c>
      <c r="E7047" s="14" t="s">
        <v>41483</v>
      </c>
      <c r="F7047" s="14" t="s">
        <v>548</v>
      </c>
      <c r="G7047" s="14" t="s">
        <v>43948</v>
      </c>
      <c r="H7047" s="15" t="s">
        <v>31</v>
      </c>
      <c r="I7047" s="15">
        <v>1.0</v>
      </c>
      <c r="J7047" s="15">
        <v>1.0</v>
      </c>
      <c r="K7047" s="15" t="s">
        <v>31</v>
      </c>
      <c r="L7047" s="16" t="s">
        <v>43658</v>
      </c>
      <c r="M7047" s="14" t="s">
        <v>31</v>
      </c>
      <c r="N7047" s="14" t="s">
        <v>28269</v>
      </c>
      <c r="O7047" s="16" t="s">
        <v>28270</v>
      </c>
      <c r="P7047" s="14" t="s">
        <v>43660</v>
      </c>
      <c r="Q7047" s="14" t="s">
        <v>31</v>
      </c>
      <c r="R7047" s="14" t="s">
        <v>10326</v>
      </c>
      <c r="S7047" s="16" t="s">
        <v>43661</v>
      </c>
      <c r="T7047" s="14" t="s">
        <v>66</v>
      </c>
      <c r="U7047" s="16" t="s">
        <v>31</v>
      </c>
      <c r="V7047" s="14" t="s">
        <v>43949</v>
      </c>
      <c r="W7047" s="14" t="s">
        <v>41483</v>
      </c>
      <c r="X7047" s="17" t="str">
        <f>HYPERLINK("https://my.pitchbook.com?p=165332-44P","View People Online")</f>
        <v>View People Online</v>
      </c>
    </row>
    <row r="7048">
      <c r="A7048" s="2" t="s">
        <v>43950</v>
      </c>
      <c r="B7048" s="2" t="s">
        <v>43951</v>
      </c>
      <c r="C7048" s="2" t="s">
        <v>934</v>
      </c>
      <c r="D7048" s="2" t="s">
        <v>43952</v>
      </c>
      <c r="E7048" s="2" t="s">
        <v>41483</v>
      </c>
      <c r="F7048" s="2" t="s">
        <v>25008</v>
      </c>
      <c r="G7048" s="2" t="s">
        <v>43953</v>
      </c>
      <c r="H7048" s="3" t="s">
        <v>31</v>
      </c>
      <c r="I7048" s="3">
        <v>1.0</v>
      </c>
      <c r="J7048" s="3">
        <v>1.0</v>
      </c>
      <c r="K7048" s="3" t="s">
        <v>31</v>
      </c>
      <c r="L7048" s="4" t="s">
        <v>43658</v>
      </c>
      <c r="M7048" s="2" t="s">
        <v>43954</v>
      </c>
      <c r="N7048" s="2" t="s">
        <v>28269</v>
      </c>
      <c r="O7048" s="4" t="s">
        <v>28270</v>
      </c>
      <c r="P7048" s="2" t="s">
        <v>43660</v>
      </c>
      <c r="Q7048" s="2" t="s">
        <v>31</v>
      </c>
      <c r="R7048" s="2" t="s">
        <v>10326</v>
      </c>
      <c r="S7048" s="4" t="s">
        <v>43661</v>
      </c>
      <c r="T7048" s="2" t="s">
        <v>66</v>
      </c>
      <c r="U7048" s="4" t="s">
        <v>31</v>
      </c>
      <c r="V7048" s="2" t="s">
        <v>43955</v>
      </c>
      <c r="W7048" s="2" t="s">
        <v>41483</v>
      </c>
      <c r="X7048" s="5" t="str">
        <f>HYPERLINK("https://my.pitchbook.com?p=113506-21P","View People Online")</f>
        <v>View People Online</v>
      </c>
    </row>
    <row r="7049">
      <c r="A7049" s="14" t="s">
        <v>43956</v>
      </c>
      <c r="B7049" s="14" t="s">
        <v>43957</v>
      </c>
      <c r="C7049" s="14" t="s">
        <v>42386</v>
      </c>
      <c r="D7049" s="14" t="s">
        <v>43958</v>
      </c>
      <c r="E7049" s="14" t="s">
        <v>41483</v>
      </c>
      <c r="F7049" s="14" t="s">
        <v>371</v>
      </c>
      <c r="G7049" s="14" t="s">
        <v>43959</v>
      </c>
      <c r="H7049" s="15" t="s">
        <v>31</v>
      </c>
      <c r="I7049" s="15">
        <v>2.0</v>
      </c>
      <c r="J7049" s="15">
        <v>1.0</v>
      </c>
      <c r="K7049" s="15">
        <v>1.0</v>
      </c>
      <c r="L7049" s="16" t="s">
        <v>43658</v>
      </c>
      <c r="M7049" s="14" t="s">
        <v>43960</v>
      </c>
      <c r="N7049" s="14" t="s">
        <v>28269</v>
      </c>
      <c r="O7049" s="16" t="s">
        <v>28270</v>
      </c>
      <c r="P7049" s="14" t="s">
        <v>43660</v>
      </c>
      <c r="Q7049" s="14" t="s">
        <v>31</v>
      </c>
      <c r="R7049" s="14" t="s">
        <v>10326</v>
      </c>
      <c r="S7049" s="16" t="s">
        <v>43661</v>
      </c>
      <c r="T7049" s="14" t="s">
        <v>66</v>
      </c>
      <c r="U7049" s="16" t="s">
        <v>31</v>
      </c>
      <c r="V7049" s="14" t="s">
        <v>43961</v>
      </c>
      <c r="W7049" s="14" t="s">
        <v>41483</v>
      </c>
      <c r="X7049" s="17" t="str">
        <f>HYPERLINK("https://my.pitchbook.com?p=186096-88P","View People Online")</f>
        <v>View People Online</v>
      </c>
    </row>
    <row r="7050">
      <c r="A7050" s="2" t="s">
        <v>43962</v>
      </c>
      <c r="B7050" s="2" t="s">
        <v>43963</v>
      </c>
      <c r="C7050" s="2" t="s">
        <v>536</v>
      </c>
      <c r="D7050" s="2" t="s">
        <v>43964</v>
      </c>
      <c r="E7050" s="2" t="s">
        <v>41483</v>
      </c>
      <c r="F7050" s="2" t="s">
        <v>583</v>
      </c>
      <c r="G7050" s="2" t="s">
        <v>43965</v>
      </c>
      <c r="H7050" s="3">
        <v>1.0</v>
      </c>
      <c r="I7050" s="3">
        <v>4.0</v>
      </c>
      <c r="J7050" s="3">
        <v>1.0</v>
      </c>
      <c r="K7050" s="3">
        <v>2.0</v>
      </c>
      <c r="L7050" s="4" t="s">
        <v>43658</v>
      </c>
      <c r="M7050" s="2" t="s">
        <v>43966</v>
      </c>
      <c r="N7050" s="2" t="s">
        <v>28269</v>
      </c>
      <c r="O7050" s="4" t="s">
        <v>28270</v>
      </c>
      <c r="P7050" s="2" t="s">
        <v>43660</v>
      </c>
      <c r="Q7050" s="2" t="s">
        <v>31</v>
      </c>
      <c r="R7050" s="2" t="s">
        <v>10326</v>
      </c>
      <c r="S7050" s="4" t="s">
        <v>43661</v>
      </c>
      <c r="T7050" s="2" t="s">
        <v>66</v>
      </c>
      <c r="U7050" s="4" t="s">
        <v>31</v>
      </c>
      <c r="V7050" s="2" t="s">
        <v>43967</v>
      </c>
      <c r="W7050" s="2" t="s">
        <v>41483</v>
      </c>
      <c r="X7050" s="5" t="str">
        <f>HYPERLINK("https://my.pitchbook.com?p=289772-20P","View People Online")</f>
        <v>View People Online</v>
      </c>
    </row>
    <row r="7051">
      <c r="A7051" s="14" t="s">
        <v>43968</v>
      </c>
      <c r="B7051" s="14" t="s">
        <v>43969</v>
      </c>
      <c r="C7051" s="14" t="s">
        <v>1376</v>
      </c>
      <c r="D7051" s="14" t="s">
        <v>43970</v>
      </c>
      <c r="E7051" s="14" t="s">
        <v>41483</v>
      </c>
      <c r="F7051" s="14" t="s">
        <v>548</v>
      </c>
      <c r="G7051" s="14" t="s">
        <v>43971</v>
      </c>
      <c r="H7051" s="15" t="s">
        <v>31</v>
      </c>
      <c r="I7051" s="15">
        <v>1.0</v>
      </c>
      <c r="J7051" s="15">
        <v>1.0</v>
      </c>
      <c r="K7051" s="15" t="s">
        <v>31</v>
      </c>
      <c r="L7051" s="16" t="s">
        <v>43972</v>
      </c>
      <c r="M7051" s="14" t="s">
        <v>31</v>
      </c>
      <c r="N7051" s="14" t="s">
        <v>28269</v>
      </c>
      <c r="O7051" s="16" t="s">
        <v>28270</v>
      </c>
      <c r="P7051" s="14" t="s">
        <v>43660</v>
      </c>
      <c r="Q7051" s="14" t="s">
        <v>31</v>
      </c>
      <c r="R7051" s="14" t="s">
        <v>10326</v>
      </c>
      <c r="S7051" s="16" t="s">
        <v>43661</v>
      </c>
      <c r="T7051" s="14" t="s">
        <v>66</v>
      </c>
      <c r="U7051" s="16" t="s">
        <v>31</v>
      </c>
      <c r="V7051" s="14" t="s">
        <v>43973</v>
      </c>
      <c r="W7051" s="14" t="s">
        <v>41483</v>
      </c>
      <c r="X7051" s="17" t="str">
        <f>HYPERLINK("https://my.pitchbook.com?p=110766-43P","View People Online")</f>
        <v>View People Online</v>
      </c>
    </row>
    <row r="7052">
      <c r="A7052" s="10" t="s">
        <v>43974</v>
      </c>
      <c r="B7052" s="10" t="s">
        <v>43975</v>
      </c>
      <c r="C7052" s="10" t="s">
        <v>3716</v>
      </c>
      <c r="D7052" s="10" t="s">
        <v>43976</v>
      </c>
      <c r="E7052" s="10" t="s">
        <v>41483</v>
      </c>
      <c r="F7052" s="10" t="s">
        <v>1283</v>
      </c>
      <c r="G7052" s="10" t="s">
        <v>43977</v>
      </c>
      <c r="H7052" s="11" t="s">
        <v>31</v>
      </c>
      <c r="I7052" s="11">
        <v>2.0</v>
      </c>
      <c r="J7052" s="11">
        <v>2.0</v>
      </c>
      <c r="K7052" s="11" t="s">
        <v>31</v>
      </c>
      <c r="L7052" s="12" t="s">
        <v>43978</v>
      </c>
      <c r="M7052" s="10" t="s">
        <v>31</v>
      </c>
      <c r="N7052" s="10" t="s">
        <v>28269</v>
      </c>
      <c r="O7052" s="12" t="s">
        <v>28270</v>
      </c>
      <c r="P7052" s="10" t="s">
        <v>43660</v>
      </c>
      <c r="Q7052" s="10" t="s">
        <v>31</v>
      </c>
      <c r="R7052" s="10" t="s">
        <v>10326</v>
      </c>
      <c r="S7052" s="12" t="s">
        <v>43661</v>
      </c>
      <c r="T7052" s="10" t="s">
        <v>66</v>
      </c>
      <c r="U7052" s="12" t="s">
        <v>31</v>
      </c>
      <c r="V7052" s="10" t="s">
        <v>43979</v>
      </c>
      <c r="W7052" s="10" t="s">
        <v>41483</v>
      </c>
      <c r="X7052" s="13" t="str">
        <f>HYPERLINK("https://my.pitchbook.com?p=32629-69P","View People Online")</f>
        <v>View People Online</v>
      </c>
    </row>
    <row r="7053">
      <c r="A7053" s="6" t="s">
        <v>43980</v>
      </c>
      <c r="B7053" s="6" t="s">
        <v>43981</v>
      </c>
      <c r="C7053" s="6" t="s">
        <v>3716</v>
      </c>
      <c r="D7053" s="6" t="s">
        <v>29932</v>
      </c>
      <c r="E7053" s="6" t="s">
        <v>41483</v>
      </c>
      <c r="F7053" s="6" t="s">
        <v>371</v>
      </c>
      <c r="G7053" s="6" t="s">
        <v>43982</v>
      </c>
      <c r="H7053" s="7" t="s">
        <v>31</v>
      </c>
      <c r="I7053" s="7">
        <v>1.0</v>
      </c>
      <c r="J7053" s="7">
        <v>1.0</v>
      </c>
      <c r="K7053" s="7" t="s">
        <v>31</v>
      </c>
      <c r="L7053" s="8" t="s">
        <v>43658</v>
      </c>
      <c r="M7053" s="6" t="s">
        <v>43983</v>
      </c>
      <c r="N7053" s="6" t="s">
        <v>28269</v>
      </c>
      <c r="O7053" s="8" t="s">
        <v>28270</v>
      </c>
      <c r="P7053" s="6" t="s">
        <v>43660</v>
      </c>
      <c r="Q7053" s="6" t="s">
        <v>31</v>
      </c>
      <c r="R7053" s="6" t="s">
        <v>10326</v>
      </c>
      <c r="S7053" s="8" t="s">
        <v>43661</v>
      </c>
      <c r="T7053" s="6" t="s">
        <v>66</v>
      </c>
      <c r="U7053" s="8" t="s">
        <v>31</v>
      </c>
      <c r="V7053" s="6" t="s">
        <v>4890</v>
      </c>
      <c r="W7053" s="6" t="s">
        <v>41483</v>
      </c>
      <c r="X7053" s="9" t="str">
        <f>HYPERLINK("https://my.pitchbook.com?p=89107-03P","View People Online")</f>
        <v>View People Online</v>
      </c>
    </row>
    <row r="7054">
      <c r="A7054" s="2" t="s">
        <v>43984</v>
      </c>
      <c r="B7054" s="2" t="s">
        <v>43985</v>
      </c>
      <c r="C7054" s="2" t="s">
        <v>4673</v>
      </c>
      <c r="D7054" s="2" t="s">
        <v>3935</v>
      </c>
      <c r="E7054" s="2" t="s">
        <v>41483</v>
      </c>
      <c r="F7054" s="2" t="s">
        <v>583</v>
      </c>
      <c r="G7054" s="2" t="s">
        <v>43986</v>
      </c>
      <c r="H7054" s="3" t="s">
        <v>31</v>
      </c>
      <c r="I7054" s="3">
        <v>1.0</v>
      </c>
      <c r="J7054" s="3">
        <v>1.0</v>
      </c>
      <c r="K7054" s="3" t="s">
        <v>31</v>
      </c>
      <c r="L7054" s="4" t="s">
        <v>43658</v>
      </c>
      <c r="M7054" s="2" t="s">
        <v>43987</v>
      </c>
      <c r="N7054" s="2" t="s">
        <v>28269</v>
      </c>
      <c r="O7054" s="4" t="s">
        <v>28270</v>
      </c>
      <c r="P7054" s="2" t="s">
        <v>43660</v>
      </c>
      <c r="Q7054" s="2" t="s">
        <v>31</v>
      </c>
      <c r="R7054" s="2" t="s">
        <v>10326</v>
      </c>
      <c r="S7054" s="4" t="s">
        <v>43661</v>
      </c>
      <c r="T7054" s="2" t="s">
        <v>66</v>
      </c>
      <c r="U7054" s="4" t="s">
        <v>31</v>
      </c>
      <c r="V7054" s="2" t="s">
        <v>43988</v>
      </c>
      <c r="W7054" s="2" t="s">
        <v>41483</v>
      </c>
      <c r="X7054" s="5" t="str">
        <f>HYPERLINK("https://my.pitchbook.com?p=252679-60P","View People Online")</f>
        <v>View People Online</v>
      </c>
    </row>
    <row r="7055">
      <c r="A7055" s="14" t="s">
        <v>43989</v>
      </c>
      <c r="B7055" s="14" t="s">
        <v>43990</v>
      </c>
      <c r="C7055" s="14" t="s">
        <v>6199</v>
      </c>
      <c r="D7055" s="14" t="s">
        <v>43991</v>
      </c>
      <c r="E7055" s="14" t="s">
        <v>41483</v>
      </c>
      <c r="F7055" s="14" t="s">
        <v>548</v>
      </c>
      <c r="G7055" s="14" t="s">
        <v>43992</v>
      </c>
      <c r="H7055" s="15" t="s">
        <v>31</v>
      </c>
      <c r="I7055" s="15">
        <v>1.0</v>
      </c>
      <c r="J7055" s="15">
        <v>1.0</v>
      </c>
      <c r="K7055" s="15" t="s">
        <v>31</v>
      </c>
      <c r="L7055" s="16" t="s">
        <v>43993</v>
      </c>
      <c r="M7055" s="14" t="s">
        <v>43994</v>
      </c>
      <c r="N7055" s="14" t="s">
        <v>28269</v>
      </c>
      <c r="O7055" s="16" t="s">
        <v>28270</v>
      </c>
      <c r="P7055" s="14" t="s">
        <v>43660</v>
      </c>
      <c r="Q7055" s="14" t="s">
        <v>31</v>
      </c>
      <c r="R7055" s="14" t="s">
        <v>10326</v>
      </c>
      <c r="S7055" s="16" t="s">
        <v>43661</v>
      </c>
      <c r="T7055" s="14" t="s">
        <v>66</v>
      </c>
      <c r="U7055" s="16" t="s">
        <v>31</v>
      </c>
      <c r="V7055" s="14" t="s">
        <v>43995</v>
      </c>
      <c r="W7055" s="14" t="s">
        <v>41483</v>
      </c>
      <c r="X7055" s="17" t="str">
        <f>HYPERLINK("https://my.pitchbook.com?p=110649-88P","View People Online")</f>
        <v>View People Online</v>
      </c>
    </row>
    <row r="7056">
      <c r="A7056" s="10" t="s">
        <v>43996</v>
      </c>
      <c r="B7056" s="10" t="s">
        <v>43997</v>
      </c>
      <c r="C7056" s="10" t="s">
        <v>6199</v>
      </c>
      <c r="D7056" s="10" t="s">
        <v>15840</v>
      </c>
      <c r="E7056" s="10" t="s">
        <v>41483</v>
      </c>
      <c r="F7056" s="10" t="s">
        <v>43707</v>
      </c>
      <c r="G7056" s="10" t="s">
        <v>43998</v>
      </c>
      <c r="H7056" s="11" t="s">
        <v>31</v>
      </c>
      <c r="I7056" s="11">
        <v>1.0</v>
      </c>
      <c r="J7056" s="11">
        <v>1.0</v>
      </c>
      <c r="K7056" s="11" t="s">
        <v>31</v>
      </c>
      <c r="L7056" s="12" t="s">
        <v>43658</v>
      </c>
      <c r="M7056" s="10" t="s">
        <v>31</v>
      </c>
      <c r="N7056" s="10" t="s">
        <v>28269</v>
      </c>
      <c r="O7056" s="12" t="s">
        <v>28270</v>
      </c>
      <c r="P7056" s="10" t="s">
        <v>43660</v>
      </c>
      <c r="Q7056" s="10" t="s">
        <v>31</v>
      </c>
      <c r="R7056" s="10" t="s">
        <v>10326</v>
      </c>
      <c r="S7056" s="12" t="s">
        <v>43661</v>
      </c>
      <c r="T7056" s="10" t="s">
        <v>66</v>
      </c>
      <c r="U7056" s="12" t="s">
        <v>31</v>
      </c>
      <c r="V7056" s="10" t="s">
        <v>43707</v>
      </c>
      <c r="W7056" s="10" t="s">
        <v>41483</v>
      </c>
      <c r="X7056" s="13" t="str">
        <f>HYPERLINK("https://my.pitchbook.com?p=365656-96P","View People Online")</f>
        <v>View People Online</v>
      </c>
    </row>
    <row r="7057">
      <c r="A7057" s="14" t="s">
        <v>43999</v>
      </c>
      <c r="B7057" s="14" t="s">
        <v>44000</v>
      </c>
      <c r="C7057" s="14" t="s">
        <v>1683</v>
      </c>
      <c r="D7057" s="14" t="s">
        <v>44001</v>
      </c>
      <c r="E7057" s="14" t="s">
        <v>41483</v>
      </c>
      <c r="F7057" s="14" t="s">
        <v>270</v>
      </c>
      <c r="G7057" s="14" t="s">
        <v>44002</v>
      </c>
      <c r="H7057" s="15" t="s">
        <v>31</v>
      </c>
      <c r="I7057" s="15">
        <v>1.0</v>
      </c>
      <c r="J7057" s="15">
        <v>1.0</v>
      </c>
      <c r="K7057" s="15" t="s">
        <v>31</v>
      </c>
      <c r="L7057" s="16" t="s">
        <v>43658</v>
      </c>
      <c r="M7057" s="14" t="s">
        <v>44003</v>
      </c>
      <c r="N7057" s="14" t="s">
        <v>28269</v>
      </c>
      <c r="O7057" s="16" t="s">
        <v>28270</v>
      </c>
      <c r="P7057" s="14" t="s">
        <v>43660</v>
      </c>
      <c r="Q7057" s="14" t="s">
        <v>31</v>
      </c>
      <c r="R7057" s="14" t="s">
        <v>10326</v>
      </c>
      <c r="S7057" s="16" t="s">
        <v>43661</v>
      </c>
      <c r="T7057" s="14" t="s">
        <v>66</v>
      </c>
      <c r="U7057" s="16" t="s">
        <v>31</v>
      </c>
      <c r="V7057" s="14" t="s">
        <v>44004</v>
      </c>
      <c r="W7057" s="14" t="s">
        <v>41483</v>
      </c>
      <c r="X7057" s="17" t="str">
        <f>HYPERLINK("https://my.pitchbook.com?p=110758-06P","View People Online")</f>
        <v>View People Online</v>
      </c>
    </row>
    <row r="7058">
      <c r="A7058" s="10" t="s">
        <v>44005</v>
      </c>
      <c r="B7058" s="10" t="s">
        <v>44006</v>
      </c>
      <c r="C7058" s="10" t="s">
        <v>22376</v>
      </c>
      <c r="D7058" s="10" t="s">
        <v>44007</v>
      </c>
      <c r="E7058" s="10" t="s">
        <v>41483</v>
      </c>
      <c r="F7058" s="10" t="s">
        <v>270</v>
      </c>
      <c r="G7058" s="10" t="s">
        <v>44008</v>
      </c>
      <c r="H7058" s="11" t="s">
        <v>31</v>
      </c>
      <c r="I7058" s="11">
        <v>1.0</v>
      </c>
      <c r="J7058" s="11">
        <v>1.0</v>
      </c>
      <c r="K7058" s="11" t="s">
        <v>31</v>
      </c>
      <c r="L7058" s="12" t="s">
        <v>31</v>
      </c>
      <c r="M7058" s="10" t="s">
        <v>44009</v>
      </c>
      <c r="N7058" s="10" t="s">
        <v>44010</v>
      </c>
      <c r="O7058" s="12" t="s">
        <v>44011</v>
      </c>
      <c r="P7058" s="10" t="s">
        <v>31</v>
      </c>
      <c r="Q7058" s="10" t="s">
        <v>31</v>
      </c>
      <c r="R7058" s="10" t="s">
        <v>247</v>
      </c>
      <c r="S7058" s="12" t="s">
        <v>31</v>
      </c>
      <c r="T7058" s="10" t="s">
        <v>249</v>
      </c>
      <c r="U7058" s="12" t="s">
        <v>31</v>
      </c>
      <c r="V7058" s="10" t="s">
        <v>44012</v>
      </c>
      <c r="W7058" s="10" t="s">
        <v>41483</v>
      </c>
      <c r="X7058" s="13" t="str">
        <f>HYPERLINK("https://my.pitchbook.com?p=144894-07P","View People Online")</f>
        <v>View People Online</v>
      </c>
    </row>
    <row r="7059">
      <c r="A7059" s="14" t="s">
        <v>44013</v>
      </c>
      <c r="B7059" s="14" t="s">
        <v>44014</v>
      </c>
      <c r="C7059" s="14" t="s">
        <v>2483</v>
      </c>
      <c r="D7059" s="14" t="s">
        <v>44015</v>
      </c>
      <c r="E7059" s="14" t="s">
        <v>41483</v>
      </c>
      <c r="F7059" s="14" t="s">
        <v>583</v>
      </c>
      <c r="G7059" s="14" t="s">
        <v>44016</v>
      </c>
      <c r="H7059" s="15" t="s">
        <v>31</v>
      </c>
      <c r="I7059" s="15">
        <v>2.0</v>
      </c>
      <c r="J7059" s="15">
        <v>1.0</v>
      </c>
      <c r="K7059" s="15">
        <v>1.0</v>
      </c>
      <c r="L7059" s="16" t="s">
        <v>43658</v>
      </c>
      <c r="M7059" s="14" t="s">
        <v>44017</v>
      </c>
      <c r="N7059" s="14" t="s">
        <v>28269</v>
      </c>
      <c r="O7059" s="16" t="s">
        <v>28270</v>
      </c>
      <c r="P7059" s="14" t="s">
        <v>43660</v>
      </c>
      <c r="Q7059" s="14" t="s">
        <v>31</v>
      </c>
      <c r="R7059" s="14" t="s">
        <v>10326</v>
      </c>
      <c r="S7059" s="16" t="s">
        <v>43661</v>
      </c>
      <c r="T7059" s="14" t="s">
        <v>66</v>
      </c>
      <c r="U7059" s="16" t="s">
        <v>31</v>
      </c>
      <c r="V7059" s="14" t="s">
        <v>44018</v>
      </c>
      <c r="W7059" s="14" t="s">
        <v>41483</v>
      </c>
      <c r="X7059" s="17" t="str">
        <f>HYPERLINK("https://my.pitchbook.com?p=254185-39P","View People Online")</f>
        <v>View People Online</v>
      </c>
    </row>
    <row r="7060">
      <c r="A7060" s="10" t="s">
        <v>44019</v>
      </c>
      <c r="B7060" s="10" t="s">
        <v>44020</v>
      </c>
      <c r="C7060" s="10" t="s">
        <v>5574</v>
      </c>
      <c r="D7060" s="10" t="s">
        <v>4098</v>
      </c>
      <c r="E7060" s="10" t="s">
        <v>41483</v>
      </c>
      <c r="F7060" s="10" t="s">
        <v>548</v>
      </c>
      <c r="G7060" s="10" t="s">
        <v>44021</v>
      </c>
      <c r="H7060" s="11" t="s">
        <v>31</v>
      </c>
      <c r="I7060" s="11">
        <v>1.0</v>
      </c>
      <c r="J7060" s="11">
        <v>1.0</v>
      </c>
      <c r="K7060" s="11" t="s">
        <v>31</v>
      </c>
      <c r="L7060" s="12" t="s">
        <v>43658</v>
      </c>
      <c r="M7060" s="10" t="s">
        <v>44022</v>
      </c>
      <c r="N7060" s="10" t="s">
        <v>28269</v>
      </c>
      <c r="O7060" s="12" t="s">
        <v>28270</v>
      </c>
      <c r="P7060" s="10" t="s">
        <v>43660</v>
      </c>
      <c r="Q7060" s="10" t="s">
        <v>31</v>
      </c>
      <c r="R7060" s="10" t="s">
        <v>10326</v>
      </c>
      <c r="S7060" s="12" t="s">
        <v>43661</v>
      </c>
      <c r="T7060" s="10" t="s">
        <v>66</v>
      </c>
      <c r="U7060" s="12" t="s">
        <v>31</v>
      </c>
      <c r="V7060" s="10" t="s">
        <v>44023</v>
      </c>
      <c r="W7060" s="10" t="s">
        <v>41483</v>
      </c>
      <c r="X7060" s="13" t="str">
        <f>HYPERLINK("https://my.pitchbook.com?p=110653-66P","View People Online")</f>
        <v>View People Online</v>
      </c>
    </row>
    <row r="7061">
      <c r="A7061" s="6" t="s">
        <v>44024</v>
      </c>
      <c r="B7061" s="6" t="s">
        <v>44025</v>
      </c>
      <c r="C7061" s="6" t="s">
        <v>44026</v>
      </c>
      <c r="D7061" s="6" t="s">
        <v>119</v>
      </c>
      <c r="E7061" s="6" t="s">
        <v>41483</v>
      </c>
      <c r="F7061" s="6" t="s">
        <v>548</v>
      </c>
      <c r="G7061" s="6" t="s">
        <v>44027</v>
      </c>
      <c r="H7061" s="7" t="s">
        <v>31</v>
      </c>
      <c r="I7061" s="7">
        <v>1.0</v>
      </c>
      <c r="J7061" s="7">
        <v>1.0</v>
      </c>
      <c r="K7061" s="7" t="s">
        <v>31</v>
      </c>
      <c r="L7061" s="8" t="s">
        <v>43658</v>
      </c>
      <c r="M7061" s="6" t="s">
        <v>44028</v>
      </c>
      <c r="N7061" s="6" t="s">
        <v>28269</v>
      </c>
      <c r="O7061" s="8" t="s">
        <v>28270</v>
      </c>
      <c r="P7061" s="6" t="s">
        <v>43660</v>
      </c>
      <c r="Q7061" s="6" t="s">
        <v>31</v>
      </c>
      <c r="R7061" s="6" t="s">
        <v>10326</v>
      </c>
      <c r="S7061" s="8" t="s">
        <v>43661</v>
      </c>
      <c r="T7061" s="6" t="s">
        <v>66</v>
      </c>
      <c r="U7061" s="8" t="s">
        <v>31</v>
      </c>
      <c r="V7061" s="6" t="s">
        <v>44029</v>
      </c>
      <c r="W7061" s="6" t="s">
        <v>41483</v>
      </c>
      <c r="X7061" s="9" t="str">
        <f>HYPERLINK("https://my.pitchbook.com?p=289571-14P","View People Online")</f>
        <v>View People Online</v>
      </c>
    </row>
    <row r="7062">
      <c r="A7062" s="2" t="s">
        <v>44030</v>
      </c>
      <c r="B7062" s="2" t="s">
        <v>44031</v>
      </c>
      <c r="C7062" s="2" t="s">
        <v>23028</v>
      </c>
      <c r="D7062" s="2" t="s">
        <v>10339</v>
      </c>
      <c r="E7062" s="2" t="s">
        <v>41483</v>
      </c>
      <c r="F7062" s="2" t="s">
        <v>270</v>
      </c>
      <c r="G7062" s="2" t="s">
        <v>44032</v>
      </c>
      <c r="H7062" s="3" t="s">
        <v>31</v>
      </c>
      <c r="I7062" s="3">
        <v>2.0</v>
      </c>
      <c r="J7062" s="3">
        <v>1.0</v>
      </c>
      <c r="K7062" s="3">
        <v>1.0</v>
      </c>
      <c r="L7062" s="4" t="s">
        <v>43658</v>
      </c>
      <c r="M7062" s="2" t="s">
        <v>44033</v>
      </c>
      <c r="N7062" s="2" t="s">
        <v>28269</v>
      </c>
      <c r="O7062" s="4" t="s">
        <v>28270</v>
      </c>
      <c r="P7062" s="2" t="s">
        <v>43660</v>
      </c>
      <c r="Q7062" s="2" t="s">
        <v>31</v>
      </c>
      <c r="R7062" s="2" t="s">
        <v>10326</v>
      </c>
      <c r="S7062" s="4" t="s">
        <v>43661</v>
      </c>
      <c r="T7062" s="2" t="s">
        <v>66</v>
      </c>
      <c r="U7062" s="4" t="s">
        <v>31</v>
      </c>
      <c r="V7062" s="2" t="s">
        <v>26869</v>
      </c>
      <c r="W7062" s="2" t="s">
        <v>41483</v>
      </c>
      <c r="X7062" s="5" t="str">
        <f>HYPERLINK("https://my.pitchbook.com?p=422991-19P","View People Online")</f>
        <v>View People Online</v>
      </c>
    </row>
    <row r="7063">
      <c r="A7063" s="6" t="s">
        <v>44034</v>
      </c>
      <c r="B7063" s="6" t="s">
        <v>44035</v>
      </c>
      <c r="C7063" s="6" t="s">
        <v>4128</v>
      </c>
      <c r="D7063" s="6" t="s">
        <v>44036</v>
      </c>
      <c r="E7063" s="6" t="s">
        <v>44037</v>
      </c>
      <c r="F7063" s="6" t="s">
        <v>3740</v>
      </c>
      <c r="G7063" s="6" t="s">
        <v>44038</v>
      </c>
      <c r="H7063" s="7" t="s">
        <v>31</v>
      </c>
      <c r="I7063" s="7">
        <v>1.0</v>
      </c>
      <c r="J7063" s="7">
        <v>1.0</v>
      </c>
      <c r="K7063" s="7" t="s">
        <v>31</v>
      </c>
      <c r="L7063" s="8" t="s">
        <v>44039</v>
      </c>
      <c r="M7063" s="6" t="s">
        <v>44040</v>
      </c>
      <c r="N7063" s="6" t="s">
        <v>1170</v>
      </c>
      <c r="O7063" s="8" t="s">
        <v>1171</v>
      </c>
      <c r="P7063" s="6" t="s">
        <v>44041</v>
      </c>
      <c r="Q7063" s="6" t="s">
        <v>31</v>
      </c>
      <c r="R7063" s="6" t="s">
        <v>64</v>
      </c>
      <c r="S7063" s="8" t="s">
        <v>44042</v>
      </c>
      <c r="T7063" s="6" t="s">
        <v>66</v>
      </c>
      <c r="U7063" s="8" t="s">
        <v>31</v>
      </c>
      <c r="V7063" s="6" t="s">
        <v>44043</v>
      </c>
      <c r="W7063" s="6" t="s">
        <v>44037</v>
      </c>
      <c r="X7063" s="9" t="str">
        <f>HYPERLINK("https://my.pitchbook.com?p=158320-27P","View People Online")</f>
        <v>View People Online</v>
      </c>
    </row>
    <row r="7064">
      <c r="A7064" s="2" t="s">
        <v>44044</v>
      </c>
      <c r="B7064" s="2" t="s">
        <v>44045</v>
      </c>
      <c r="C7064" s="2" t="s">
        <v>44046</v>
      </c>
      <c r="D7064" s="2" t="s">
        <v>44047</v>
      </c>
      <c r="E7064" s="2" t="s">
        <v>44037</v>
      </c>
      <c r="F7064" s="2" t="s">
        <v>371</v>
      </c>
      <c r="G7064" s="2" t="s">
        <v>44048</v>
      </c>
      <c r="H7064" s="3" t="s">
        <v>31</v>
      </c>
      <c r="I7064" s="3">
        <v>1.0</v>
      </c>
      <c r="J7064" s="3">
        <v>1.0</v>
      </c>
      <c r="K7064" s="3" t="s">
        <v>31</v>
      </c>
      <c r="L7064" s="4" t="s">
        <v>44039</v>
      </c>
      <c r="M7064" s="2" t="s">
        <v>44049</v>
      </c>
      <c r="N7064" s="2" t="s">
        <v>1170</v>
      </c>
      <c r="O7064" s="4" t="s">
        <v>1171</v>
      </c>
      <c r="P7064" s="2" t="s">
        <v>44041</v>
      </c>
      <c r="Q7064" s="2" t="s">
        <v>31</v>
      </c>
      <c r="R7064" s="2" t="s">
        <v>64</v>
      </c>
      <c r="S7064" s="4" t="s">
        <v>44042</v>
      </c>
      <c r="T7064" s="2" t="s">
        <v>66</v>
      </c>
      <c r="U7064" s="4" t="s">
        <v>31</v>
      </c>
      <c r="V7064" s="2" t="s">
        <v>44050</v>
      </c>
      <c r="W7064" s="2" t="s">
        <v>44037</v>
      </c>
      <c r="X7064" s="5" t="str">
        <f>HYPERLINK("https://my.pitchbook.com?p=150964-57P","View People Online")</f>
        <v>View People Online</v>
      </c>
    </row>
    <row r="7065">
      <c r="A7065" s="6" t="s">
        <v>44051</v>
      </c>
      <c r="B7065" s="6" t="s">
        <v>44052</v>
      </c>
      <c r="C7065" s="6" t="s">
        <v>10008</v>
      </c>
      <c r="D7065" s="6" t="s">
        <v>44053</v>
      </c>
      <c r="E7065" s="6" t="s">
        <v>44037</v>
      </c>
      <c r="F7065" s="6" t="s">
        <v>270</v>
      </c>
      <c r="G7065" s="6" t="s">
        <v>44054</v>
      </c>
      <c r="H7065" s="7" t="s">
        <v>31</v>
      </c>
      <c r="I7065" s="7">
        <v>4.0</v>
      </c>
      <c r="J7065" s="7">
        <v>1.0</v>
      </c>
      <c r="K7065" s="7">
        <v>2.0</v>
      </c>
      <c r="L7065" s="8" t="s">
        <v>44039</v>
      </c>
      <c r="M7065" s="6" t="s">
        <v>31</v>
      </c>
      <c r="N7065" s="6" t="s">
        <v>1170</v>
      </c>
      <c r="O7065" s="8" t="s">
        <v>1171</v>
      </c>
      <c r="P7065" s="6" t="s">
        <v>44041</v>
      </c>
      <c r="Q7065" s="6" t="s">
        <v>31</v>
      </c>
      <c r="R7065" s="6" t="s">
        <v>64</v>
      </c>
      <c r="S7065" s="8" t="s">
        <v>44042</v>
      </c>
      <c r="T7065" s="6" t="s">
        <v>66</v>
      </c>
      <c r="U7065" s="8" t="s">
        <v>31</v>
      </c>
      <c r="V7065" s="6" t="s">
        <v>4252</v>
      </c>
      <c r="W7065" s="6" t="s">
        <v>44037</v>
      </c>
      <c r="X7065" s="9" t="str">
        <f>HYPERLINK("https://my.pitchbook.com?p=158310-55P","View People Online")</f>
        <v>View People Online</v>
      </c>
    </row>
    <row r="7066">
      <c r="A7066" s="2" t="s">
        <v>44055</v>
      </c>
      <c r="B7066" s="2" t="s">
        <v>44056</v>
      </c>
      <c r="C7066" s="2" t="s">
        <v>8106</v>
      </c>
      <c r="D7066" s="2" t="s">
        <v>119</v>
      </c>
      <c r="E7066" s="2" t="s">
        <v>44037</v>
      </c>
      <c r="F7066" s="2" t="s">
        <v>4600</v>
      </c>
      <c r="G7066" s="2" t="s">
        <v>44057</v>
      </c>
      <c r="H7066" s="3" t="s">
        <v>31</v>
      </c>
      <c r="I7066" s="3">
        <v>1.0</v>
      </c>
      <c r="J7066" s="3">
        <v>1.0</v>
      </c>
      <c r="K7066" s="3" t="s">
        <v>31</v>
      </c>
      <c r="L7066" s="4" t="s">
        <v>44039</v>
      </c>
      <c r="M7066" s="2" t="s">
        <v>44058</v>
      </c>
      <c r="N7066" s="2" t="s">
        <v>1170</v>
      </c>
      <c r="O7066" s="4" t="s">
        <v>1171</v>
      </c>
      <c r="P7066" s="2" t="s">
        <v>44041</v>
      </c>
      <c r="Q7066" s="2" t="s">
        <v>31</v>
      </c>
      <c r="R7066" s="2" t="s">
        <v>64</v>
      </c>
      <c r="S7066" s="4" t="s">
        <v>44042</v>
      </c>
      <c r="T7066" s="2" t="s">
        <v>66</v>
      </c>
      <c r="U7066" s="4" t="s">
        <v>31</v>
      </c>
      <c r="V7066" s="2" t="s">
        <v>4252</v>
      </c>
      <c r="W7066" s="2" t="s">
        <v>44037</v>
      </c>
      <c r="X7066" s="5" t="str">
        <f>HYPERLINK("https://my.pitchbook.com?p=188163-73P","View People Online")</f>
        <v>View People Online</v>
      </c>
    </row>
    <row r="7067">
      <c r="A7067" s="6" t="s">
        <v>44059</v>
      </c>
      <c r="B7067" s="6" t="s">
        <v>44060</v>
      </c>
      <c r="C7067" s="6" t="s">
        <v>11268</v>
      </c>
      <c r="D7067" s="6" t="s">
        <v>33080</v>
      </c>
      <c r="E7067" s="6" t="s">
        <v>44037</v>
      </c>
      <c r="F7067" s="6" t="s">
        <v>312</v>
      </c>
      <c r="G7067" s="6" t="s">
        <v>44061</v>
      </c>
      <c r="H7067" s="7" t="s">
        <v>31</v>
      </c>
      <c r="I7067" s="7">
        <v>1.0</v>
      </c>
      <c r="J7067" s="7">
        <v>1.0</v>
      </c>
      <c r="K7067" s="7" t="s">
        <v>31</v>
      </c>
      <c r="L7067" s="8" t="s">
        <v>44039</v>
      </c>
      <c r="M7067" s="6" t="s">
        <v>44062</v>
      </c>
      <c r="N7067" s="6" t="s">
        <v>1170</v>
      </c>
      <c r="O7067" s="8" t="s">
        <v>1171</v>
      </c>
      <c r="P7067" s="6" t="s">
        <v>44041</v>
      </c>
      <c r="Q7067" s="6" t="s">
        <v>31</v>
      </c>
      <c r="R7067" s="6" t="s">
        <v>64</v>
      </c>
      <c r="S7067" s="8" t="s">
        <v>44042</v>
      </c>
      <c r="T7067" s="6" t="s">
        <v>66</v>
      </c>
      <c r="U7067" s="8" t="s">
        <v>31</v>
      </c>
      <c r="V7067" s="6" t="s">
        <v>44063</v>
      </c>
      <c r="W7067" s="6" t="s">
        <v>44037</v>
      </c>
      <c r="X7067" s="9" t="str">
        <f>HYPERLINK("https://my.pitchbook.com?p=264637-00P","View People Online")</f>
        <v>View People Online</v>
      </c>
    </row>
    <row r="7068">
      <c r="A7068" s="2" t="s">
        <v>44064</v>
      </c>
      <c r="B7068" s="2" t="s">
        <v>44065</v>
      </c>
      <c r="C7068" s="2" t="s">
        <v>44066</v>
      </c>
      <c r="D7068" s="2" t="s">
        <v>44067</v>
      </c>
      <c r="E7068" s="2" t="s">
        <v>44037</v>
      </c>
      <c r="F7068" s="2" t="s">
        <v>1801</v>
      </c>
      <c r="G7068" s="2" t="s">
        <v>44068</v>
      </c>
      <c r="H7068" s="3" t="s">
        <v>31</v>
      </c>
      <c r="I7068" s="3">
        <v>1.0</v>
      </c>
      <c r="J7068" s="3">
        <v>1.0</v>
      </c>
      <c r="K7068" s="3" t="s">
        <v>31</v>
      </c>
      <c r="L7068" s="4" t="s">
        <v>44069</v>
      </c>
      <c r="M7068" s="2" t="s">
        <v>44070</v>
      </c>
      <c r="N7068" s="2" t="s">
        <v>1170</v>
      </c>
      <c r="O7068" s="4" t="s">
        <v>1171</v>
      </c>
      <c r="P7068" s="2" t="s">
        <v>44041</v>
      </c>
      <c r="Q7068" s="2" t="s">
        <v>31</v>
      </c>
      <c r="R7068" s="2" t="s">
        <v>64</v>
      </c>
      <c r="S7068" s="4" t="s">
        <v>44042</v>
      </c>
      <c r="T7068" s="2" t="s">
        <v>66</v>
      </c>
      <c r="U7068" s="4" t="s">
        <v>31</v>
      </c>
      <c r="V7068" s="2" t="s">
        <v>44071</v>
      </c>
      <c r="W7068" s="2" t="s">
        <v>44037</v>
      </c>
      <c r="X7068" s="5" t="str">
        <f>HYPERLINK("https://my.pitchbook.com?p=159931-00P","View People Online")</f>
        <v>View People Online</v>
      </c>
    </row>
    <row r="7069">
      <c r="A7069" s="6" t="s">
        <v>44072</v>
      </c>
      <c r="B7069" s="6" t="s">
        <v>44073</v>
      </c>
      <c r="C7069" s="6" t="s">
        <v>1343</v>
      </c>
      <c r="D7069" s="6" t="s">
        <v>44074</v>
      </c>
      <c r="E7069" s="6" t="s">
        <v>44037</v>
      </c>
      <c r="F7069" s="6" t="s">
        <v>270</v>
      </c>
      <c r="G7069" s="6" t="s">
        <v>44075</v>
      </c>
      <c r="H7069" s="7" t="s">
        <v>31</v>
      </c>
      <c r="I7069" s="7">
        <v>1.0</v>
      </c>
      <c r="J7069" s="7">
        <v>1.0</v>
      </c>
      <c r="K7069" s="7" t="s">
        <v>31</v>
      </c>
      <c r="L7069" s="8" t="s">
        <v>44039</v>
      </c>
      <c r="M7069" s="6" t="s">
        <v>44076</v>
      </c>
      <c r="N7069" s="6" t="s">
        <v>1170</v>
      </c>
      <c r="O7069" s="8" t="s">
        <v>1171</v>
      </c>
      <c r="P7069" s="6" t="s">
        <v>44041</v>
      </c>
      <c r="Q7069" s="6" t="s">
        <v>31</v>
      </c>
      <c r="R7069" s="6" t="s">
        <v>64</v>
      </c>
      <c r="S7069" s="8" t="s">
        <v>44042</v>
      </c>
      <c r="T7069" s="6" t="s">
        <v>66</v>
      </c>
      <c r="U7069" s="8" t="s">
        <v>31</v>
      </c>
      <c r="V7069" s="6" t="s">
        <v>4252</v>
      </c>
      <c r="W7069" s="6" t="s">
        <v>44037</v>
      </c>
      <c r="X7069" s="9" t="str">
        <f>HYPERLINK("https://my.pitchbook.com?p=158318-56P","View People Online")</f>
        <v>View People Online</v>
      </c>
    </row>
    <row r="7070">
      <c r="A7070" s="2" t="s">
        <v>44077</v>
      </c>
      <c r="B7070" s="2" t="s">
        <v>44078</v>
      </c>
      <c r="C7070" s="2" t="s">
        <v>3554</v>
      </c>
      <c r="D7070" s="2" t="s">
        <v>43671</v>
      </c>
      <c r="E7070" s="2" t="s">
        <v>44037</v>
      </c>
      <c r="F7070" s="2" t="s">
        <v>1459</v>
      </c>
      <c r="G7070" s="2" t="s">
        <v>44079</v>
      </c>
      <c r="H7070" s="3">
        <v>1.0</v>
      </c>
      <c r="I7070" s="3">
        <v>28.0</v>
      </c>
      <c r="J7070" s="3">
        <v>1.0</v>
      </c>
      <c r="K7070" s="3">
        <v>21.0</v>
      </c>
      <c r="L7070" s="4" t="s">
        <v>44039</v>
      </c>
      <c r="M7070" s="2" t="s">
        <v>44080</v>
      </c>
      <c r="N7070" s="2" t="s">
        <v>1170</v>
      </c>
      <c r="O7070" s="4" t="s">
        <v>1171</v>
      </c>
      <c r="P7070" s="2" t="s">
        <v>44041</v>
      </c>
      <c r="Q7070" s="2" t="s">
        <v>31</v>
      </c>
      <c r="R7070" s="2" t="s">
        <v>64</v>
      </c>
      <c r="S7070" s="4" t="s">
        <v>44042</v>
      </c>
      <c r="T7070" s="2" t="s">
        <v>66</v>
      </c>
      <c r="U7070" s="4" t="s">
        <v>31</v>
      </c>
      <c r="V7070" s="2" t="s">
        <v>1459</v>
      </c>
      <c r="W7070" s="2" t="s">
        <v>44037</v>
      </c>
      <c r="X7070" s="5" t="str">
        <f>HYPERLINK("https://my.pitchbook.com?p=188162-02P","View People Online")</f>
        <v>View People Online</v>
      </c>
    </row>
    <row r="7071">
      <c r="A7071" s="6" t="s">
        <v>44081</v>
      </c>
      <c r="B7071" s="6" t="s">
        <v>44082</v>
      </c>
      <c r="C7071" s="6" t="s">
        <v>126</v>
      </c>
      <c r="D7071" s="6" t="s">
        <v>44083</v>
      </c>
      <c r="E7071" s="6" t="s">
        <v>44037</v>
      </c>
      <c r="F7071" s="6" t="s">
        <v>371</v>
      </c>
      <c r="G7071" s="6" t="s">
        <v>44084</v>
      </c>
      <c r="H7071" s="7" t="s">
        <v>31</v>
      </c>
      <c r="I7071" s="7">
        <v>1.0</v>
      </c>
      <c r="J7071" s="7">
        <v>1.0</v>
      </c>
      <c r="K7071" s="7" t="s">
        <v>31</v>
      </c>
      <c r="L7071" s="8" t="s">
        <v>44039</v>
      </c>
      <c r="M7071" s="6" t="s">
        <v>44085</v>
      </c>
      <c r="N7071" s="6" t="s">
        <v>1170</v>
      </c>
      <c r="O7071" s="8" t="s">
        <v>1171</v>
      </c>
      <c r="P7071" s="6" t="s">
        <v>44041</v>
      </c>
      <c r="Q7071" s="6" t="s">
        <v>31</v>
      </c>
      <c r="R7071" s="6" t="s">
        <v>64</v>
      </c>
      <c r="S7071" s="8" t="s">
        <v>44042</v>
      </c>
      <c r="T7071" s="6" t="s">
        <v>66</v>
      </c>
      <c r="U7071" s="8" t="s">
        <v>31</v>
      </c>
      <c r="V7071" s="6" t="s">
        <v>44086</v>
      </c>
      <c r="W7071" s="6" t="s">
        <v>44037</v>
      </c>
      <c r="X7071" s="9" t="str">
        <f>HYPERLINK("https://my.pitchbook.com?p=158318-29P","View People Online")</f>
        <v>View People Online</v>
      </c>
    </row>
    <row r="7072">
      <c r="A7072" s="10" t="s">
        <v>44087</v>
      </c>
      <c r="B7072" s="10" t="s">
        <v>44088</v>
      </c>
      <c r="C7072" s="10" t="s">
        <v>41528</v>
      </c>
      <c r="D7072" s="10" t="s">
        <v>44089</v>
      </c>
      <c r="E7072" s="10" t="s">
        <v>44037</v>
      </c>
      <c r="F7072" s="10" t="s">
        <v>548</v>
      </c>
      <c r="G7072" s="10" t="s">
        <v>44090</v>
      </c>
      <c r="H7072" s="11" t="s">
        <v>31</v>
      </c>
      <c r="I7072" s="11">
        <v>1.0</v>
      </c>
      <c r="J7072" s="11">
        <v>1.0</v>
      </c>
      <c r="K7072" s="11" t="s">
        <v>31</v>
      </c>
      <c r="L7072" s="12" t="s">
        <v>44091</v>
      </c>
      <c r="M7072" s="10" t="s">
        <v>44092</v>
      </c>
      <c r="N7072" s="10" t="s">
        <v>1170</v>
      </c>
      <c r="O7072" s="12" t="s">
        <v>1171</v>
      </c>
      <c r="P7072" s="10" t="s">
        <v>44041</v>
      </c>
      <c r="Q7072" s="10" t="s">
        <v>31</v>
      </c>
      <c r="R7072" s="10" t="s">
        <v>64</v>
      </c>
      <c r="S7072" s="12" t="s">
        <v>44042</v>
      </c>
      <c r="T7072" s="10" t="s">
        <v>66</v>
      </c>
      <c r="U7072" s="12" t="s">
        <v>31</v>
      </c>
      <c r="V7072" s="10" t="s">
        <v>44093</v>
      </c>
      <c r="W7072" s="10" t="s">
        <v>44037</v>
      </c>
      <c r="X7072" s="13" t="str">
        <f>HYPERLINK("https://my.pitchbook.com?p=264108-43P","View People Online")</f>
        <v>View People Online</v>
      </c>
    </row>
    <row r="7073">
      <c r="A7073" s="14" t="s">
        <v>44094</v>
      </c>
      <c r="B7073" s="14" t="s">
        <v>44095</v>
      </c>
      <c r="C7073" s="14" t="s">
        <v>186</v>
      </c>
      <c r="D7073" s="14" t="s">
        <v>44096</v>
      </c>
      <c r="E7073" s="14" t="s">
        <v>44097</v>
      </c>
      <c r="F7073" s="14" t="s">
        <v>81</v>
      </c>
      <c r="G7073" s="14" t="s">
        <v>44098</v>
      </c>
      <c r="H7073" s="15" t="s">
        <v>31</v>
      </c>
      <c r="I7073" s="15">
        <v>2.0</v>
      </c>
      <c r="J7073" s="15">
        <v>1.0</v>
      </c>
      <c r="K7073" s="15" t="s">
        <v>31</v>
      </c>
      <c r="L7073" s="16" t="s">
        <v>44099</v>
      </c>
      <c r="M7073" s="14" t="s">
        <v>31</v>
      </c>
      <c r="N7073" s="14" t="s">
        <v>1170</v>
      </c>
      <c r="O7073" s="16" t="s">
        <v>1171</v>
      </c>
      <c r="P7073" s="14" t="s">
        <v>44100</v>
      </c>
      <c r="Q7073" s="14" t="s">
        <v>34047</v>
      </c>
      <c r="R7073" s="14" t="s">
        <v>64</v>
      </c>
      <c r="S7073" s="16" t="s">
        <v>44101</v>
      </c>
      <c r="T7073" s="14" t="s">
        <v>66</v>
      </c>
      <c r="U7073" s="16" t="s">
        <v>31</v>
      </c>
      <c r="V7073" s="14" t="s">
        <v>81</v>
      </c>
      <c r="W7073" s="14" t="s">
        <v>44097</v>
      </c>
      <c r="X7073" s="17" t="str">
        <f>HYPERLINK("https://my.pitchbook.com?p=253245-70P","View People Online")</f>
        <v>View People Online</v>
      </c>
    </row>
    <row r="7074">
      <c r="A7074" s="2" t="s">
        <v>44102</v>
      </c>
      <c r="B7074" s="2" t="s">
        <v>44103</v>
      </c>
      <c r="C7074" s="2" t="s">
        <v>34916</v>
      </c>
      <c r="D7074" s="2" t="s">
        <v>44104</v>
      </c>
      <c r="E7074" s="2" t="s">
        <v>44097</v>
      </c>
      <c r="F7074" s="2" t="s">
        <v>31269</v>
      </c>
      <c r="G7074" s="2" t="s">
        <v>44105</v>
      </c>
      <c r="H7074" s="3" t="s">
        <v>31</v>
      </c>
      <c r="I7074" s="3">
        <v>1.0</v>
      </c>
      <c r="J7074" s="3">
        <v>1.0</v>
      </c>
      <c r="K7074" s="3" t="s">
        <v>31</v>
      </c>
      <c r="L7074" s="4" t="s">
        <v>44099</v>
      </c>
      <c r="M7074" s="2" t="s">
        <v>44106</v>
      </c>
      <c r="N7074" s="2" t="s">
        <v>1170</v>
      </c>
      <c r="O7074" s="4" t="s">
        <v>1171</v>
      </c>
      <c r="P7074" s="2" t="s">
        <v>44100</v>
      </c>
      <c r="Q7074" s="2" t="s">
        <v>34047</v>
      </c>
      <c r="R7074" s="2" t="s">
        <v>64</v>
      </c>
      <c r="S7074" s="4" t="s">
        <v>44101</v>
      </c>
      <c r="T7074" s="2" t="s">
        <v>66</v>
      </c>
      <c r="U7074" s="4" t="s">
        <v>31</v>
      </c>
      <c r="V7074" s="2" t="s">
        <v>44107</v>
      </c>
      <c r="W7074" s="2" t="s">
        <v>44097</v>
      </c>
      <c r="X7074" s="5" t="str">
        <f>HYPERLINK("https://my.pitchbook.com?p=197424-28P","View People Online")</f>
        <v>View People Online</v>
      </c>
    </row>
    <row r="7075">
      <c r="A7075" s="6" t="s">
        <v>44108</v>
      </c>
      <c r="B7075" s="6" t="s">
        <v>44109</v>
      </c>
      <c r="C7075" s="6" t="s">
        <v>44110</v>
      </c>
      <c r="D7075" s="6" t="s">
        <v>1799</v>
      </c>
      <c r="E7075" s="6" t="s">
        <v>44097</v>
      </c>
      <c r="F7075" s="6" t="s">
        <v>29</v>
      </c>
      <c r="G7075" s="6" t="s">
        <v>44111</v>
      </c>
      <c r="H7075" s="7" t="s">
        <v>31</v>
      </c>
      <c r="I7075" s="7">
        <v>1.0</v>
      </c>
      <c r="J7075" s="7">
        <v>1.0</v>
      </c>
      <c r="K7075" s="7" t="s">
        <v>31</v>
      </c>
      <c r="L7075" s="8" t="s">
        <v>44099</v>
      </c>
      <c r="M7075" s="6" t="s">
        <v>44112</v>
      </c>
      <c r="N7075" s="6" t="s">
        <v>1170</v>
      </c>
      <c r="O7075" s="8" t="s">
        <v>1171</v>
      </c>
      <c r="P7075" s="6" t="s">
        <v>44100</v>
      </c>
      <c r="Q7075" s="6" t="s">
        <v>34047</v>
      </c>
      <c r="R7075" s="6" t="s">
        <v>64</v>
      </c>
      <c r="S7075" s="8" t="s">
        <v>44101</v>
      </c>
      <c r="T7075" s="6" t="s">
        <v>66</v>
      </c>
      <c r="U7075" s="8" t="s">
        <v>31</v>
      </c>
      <c r="V7075" s="6" t="s">
        <v>29</v>
      </c>
      <c r="W7075" s="6" t="s">
        <v>44097</v>
      </c>
      <c r="X7075" s="9" t="str">
        <f>HYPERLINK("https://my.pitchbook.com?p=398410-30P","View People Online")</f>
        <v>View People Online</v>
      </c>
    </row>
    <row r="7076">
      <c r="A7076" s="10" t="s">
        <v>44113</v>
      </c>
      <c r="B7076" s="10" t="s">
        <v>44114</v>
      </c>
      <c r="C7076" s="10" t="s">
        <v>4911</v>
      </c>
      <c r="D7076" s="10" t="s">
        <v>1723</v>
      </c>
      <c r="E7076" s="10" t="s">
        <v>44097</v>
      </c>
      <c r="F7076" s="10" t="s">
        <v>29</v>
      </c>
      <c r="G7076" s="10" t="s">
        <v>44115</v>
      </c>
      <c r="H7076" s="11">
        <v>1.0</v>
      </c>
      <c r="I7076" s="11">
        <v>3.0</v>
      </c>
      <c r="J7076" s="11">
        <v>1.0</v>
      </c>
      <c r="K7076" s="11">
        <v>1.0</v>
      </c>
      <c r="L7076" s="12" t="s">
        <v>44099</v>
      </c>
      <c r="M7076" s="10" t="s">
        <v>44116</v>
      </c>
      <c r="N7076" s="10" t="s">
        <v>1170</v>
      </c>
      <c r="O7076" s="12" t="s">
        <v>1171</v>
      </c>
      <c r="P7076" s="10" t="s">
        <v>44100</v>
      </c>
      <c r="Q7076" s="10" t="s">
        <v>34047</v>
      </c>
      <c r="R7076" s="10" t="s">
        <v>64</v>
      </c>
      <c r="S7076" s="12" t="s">
        <v>44101</v>
      </c>
      <c r="T7076" s="10" t="s">
        <v>66</v>
      </c>
      <c r="U7076" s="12" t="s">
        <v>31</v>
      </c>
      <c r="V7076" s="10" t="s">
        <v>29</v>
      </c>
      <c r="W7076" s="10" t="s">
        <v>44097</v>
      </c>
      <c r="X7076" s="13" t="str">
        <f>HYPERLINK("https://my.pitchbook.com?p=306080-29P","View People Online")</f>
        <v>View People Online</v>
      </c>
    </row>
    <row r="7077">
      <c r="A7077" s="6" t="s">
        <v>44117</v>
      </c>
      <c r="B7077" s="6" t="s">
        <v>44118</v>
      </c>
      <c r="C7077" s="6" t="s">
        <v>285</v>
      </c>
      <c r="D7077" s="6" t="s">
        <v>44119</v>
      </c>
      <c r="E7077" s="6" t="s">
        <v>44097</v>
      </c>
      <c r="F7077" s="6" t="s">
        <v>674</v>
      </c>
      <c r="G7077" s="6" t="s">
        <v>44120</v>
      </c>
      <c r="H7077" s="7">
        <v>1.0</v>
      </c>
      <c r="I7077" s="7">
        <v>199.0</v>
      </c>
      <c r="J7077" s="7">
        <v>2.0</v>
      </c>
      <c r="K7077" s="7">
        <v>178.0</v>
      </c>
      <c r="L7077" s="8" t="s">
        <v>44099</v>
      </c>
      <c r="M7077" s="6" t="s">
        <v>44121</v>
      </c>
      <c r="N7077" s="6" t="s">
        <v>1170</v>
      </c>
      <c r="O7077" s="8" t="s">
        <v>1171</v>
      </c>
      <c r="P7077" s="6" t="s">
        <v>44100</v>
      </c>
      <c r="Q7077" s="6" t="s">
        <v>34047</v>
      </c>
      <c r="R7077" s="6" t="s">
        <v>64</v>
      </c>
      <c r="S7077" s="8" t="s">
        <v>44101</v>
      </c>
      <c r="T7077" s="6" t="s">
        <v>66</v>
      </c>
      <c r="U7077" s="8" t="s">
        <v>31</v>
      </c>
      <c r="V7077" s="6" t="s">
        <v>1172</v>
      </c>
      <c r="W7077" s="6" t="s">
        <v>44097</v>
      </c>
      <c r="X7077" s="9" t="str">
        <f>HYPERLINK("https://my.pitchbook.com?p=33785-92P","View People Online")</f>
        <v>View People Online</v>
      </c>
    </row>
    <row r="7078">
      <c r="A7078" s="2" t="s">
        <v>44122</v>
      </c>
      <c r="B7078" s="2" t="s">
        <v>44123</v>
      </c>
      <c r="C7078" s="2" t="s">
        <v>32279</v>
      </c>
      <c r="D7078" s="2" t="s">
        <v>44124</v>
      </c>
      <c r="E7078" s="2" t="s">
        <v>44097</v>
      </c>
      <c r="F7078" s="2" t="s">
        <v>28669</v>
      </c>
      <c r="G7078" s="2" t="s">
        <v>44125</v>
      </c>
      <c r="H7078" s="3">
        <v>6.0</v>
      </c>
      <c r="I7078" s="3">
        <v>29.0</v>
      </c>
      <c r="J7078" s="3">
        <v>2.0</v>
      </c>
      <c r="K7078" s="3">
        <v>18.0</v>
      </c>
      <c r="L7078" s="4" t="s">
        <v>44099</v>
      </c>
      <c r="M7078" s="2" t="s">
        <v>44126</v>
      </c>
      <c r="N7078" s="2" t="s">
        <v>1170</v>
      </c>
      <c r="O7078" s="4" t="s">
        <v>1171</v>
      </c>
      <c r="P7078" s="2" t="s">
        <v>44100</v>
      </c>
      <c r="Q7078" s="2" t="s">
        <v>34047</v>
      </c>
      <c r="R7078" s="2" t="s">
        <v>64</v>
      </c>
      <c r="S7078" s="4" t="s">
        <v>44101</v>
      </c>
      <c r="T7078" s="2" t="s">
        <v>66</v>
      </c>
      <c r="U7078" s="4" t="s">
        <v>31</v>
      </c>
      <c r="V7078" s="2" t="s">
        <v>28669</v>
      </c>
      <c r="W7078" s="2" t="s">
        <v>44097</v>
      </c>
      <c r="X7078" s="5" t="str">
        <f>HYPERLINK("https://my.pitchbook.com?p=204718-60P","View People Online")</f>
        <v>View People Online</v>
      </c>
    </row>
    <row r="7079">
      <c r="A7079" s="6" t="s">
        <v>44127</v>
      </c>
      <c r="B7079" s="6" t="s">
        <v>44128</v>
      </c>
      <c r="C7079" s="6" t="s">
        <v>44129</v>
      </c>
      <c r="D7079" s="6" t="s">
        <v>44130</v>
      </c>
      <c r="E7079" s="6" t="s">
        <v>44097</v>
      </c>
      <c r="F7079" s="6" t="s">
        <v>1134</v>
      </c>
      <c r="G7079" s="6" t="s">
        <v>44131</v>
      </c>
      <c r="H7079" s="7">
        <v>2.0</v>
      </c>
      <c r="I7079" s="7">
        <v>7.0</v>
      </c>
      <c r="J7079" s="7">
        <v>1.0</v>
      </c>
      <c r="K7079" s="7">
        <v>4.0</v>
      </c>
      <c r="L7079" s="8" t="s">
        <v>44099</v>
      </c>
      <c r="M7079" s="6" t="s">
        <v>44132</v>
      </c>
      <c r="N7079" s="6" t="s">
        <v>1170</v>
      </c>
      <c r="O7079" s="8" t="s">
        <v>1171</v>
      </c>
      <c r="P7079" s="6" t="s">
        <v>44100</v>
      </c>
      <c r="Q7079" s="6" t="s">
        <v>34047</v>
      </c>
      <c r="R7079" s="6" t="s">
        <v>64</v>
      </c>
      <c r="S7079" s="8" t="s">
        <v>44101</v>
      </c>
      <c r="T7079" s="6" t="s">
        <v>66</v>
      </c>
      <c r="U7079" s="8" t="s">
        <v>31</v>
      </c>
      <c r="V7079" s="6" t="s">
        <v>44133</v>
      </c>
      <c r="W7079" s="6" t="s">
        <v>44097</v>
      </c>
      <c r="X7079" s="9" t="str">
        <f>HYPERLINK("https://my.pitchbook.com?p=306065-08P","View People Online")</f>
        <v>View People Online</v>
      </c>
    </row>
    <row r="7080">
      <c r="A7080" s="10" t="s">
        <v>44134</v>
      </c>
      <c r="B7080" s="10" t="s">
        <v>44135</v>
      </c>
      <c r="C7080" s="10" t="s">
        <v>36436</v>
      </c>
      <c r="D7080" s="10" t="s">
        <v>44119</v>
      </c>
      <c r="E7080" s="10" t="s">
        <v>44097</v>
      </c>
      <c r="F7080" s="10" t="s">
        <v>71</v>
      </c>
      <c r="G7080" s="10" t="s">
        <v>44136</v>
      </c>
      <c r="H7080" s="11" t="s">
        <v>31</v>
      </c>
      <c r="I7080" s="11">
        <v>12.0</v>
      </c>
      <c r="J7080" s="11">
        <v>2.0</v>
      </c>
      <c r="K7080" s="11">
        <v>8.0</v>
      </c>
      <c r="L7080" s="12" t="s">
        <v>44099</v>
      </c>
      <c r="M7080" s="10" t="s">
        <v>44137</v>
      </c>
      <c r="N7080" s="10" t="s">
        <v>1170</v>
      </c>
      <c r="O7080" s="12" t="s">
        <v>1171</v>
      </c>
      <c r="P7080" s="10" t="s">
        <v>44100</v>
      </c>
      <c r="Q7080" s="10" t="s">
        <v>34047</v>
      </c>
      <c r="R7080" s="10" t="s">
        <v>64</v>
      </c>
      <c r="S7080" s="12" t="s">
        <v>44101</v>
      </c>
      <c r="T7080" s="10" t="s">
        <v>66</v>
      </c>
      <c r="U7080" s="12" t="s">
        <v>31</v>
      </c>
      <c r="V7080" s="10" t="s">
        <v>71</v>
      </c>
      <c r="W7080" s="10" t="s">
        <v>44097</v>
      </c>
      <c r="X7080" s="13" t="str">
        <f>HYPERLINK("https://my.pitchbook.com?p=152132-68P","View People Online")</f>
        <v>View People Online</v>
      </c>
    </row>
    <row r="7081">
      <c r="A7081" s="6" t="s">
        <v>44138</v>
      </c>
      <c r="B7081" s="6" t="s">
        <v>44139</v>
      </c>
      <c r="C7081" s="6" t="s">
        <v>5495</v>
      </c>
      <c r="D7081" s="6" t="s">
        <v>2740</v>
      </c>
      <c r="E7081" s="6" t="s">
        <v>44097</v>
      </c>
      <c r="F7081" s="6" t="s">
        <v>318</v>
      </c>
      <c r="G7081" s="6" t="s">
        <v>44140</v>
      </c>
      <c r="H7081" s="7" t="s">
        <v>31</v>
      </c>
      <c r="I7081" s="7">
        <v>1.0</v>
      </c>
      <c r="J7081" s="7">
        <v>1.0</v>
      </c>
      <c r="K7081" s="7" t="s">
        <v>31</v>
      </c>
      <c r="L7081" s="8" t="s">
        <v>44099</v>
      </c>
      <c r="M7081" s="6" t="s">
        <v>44141</v>
      </c>
      <c r="N7081" s="6" t="s">
        <v>1170</v>
      </c>
      <c r="O7081" s="8" t="s">
        <v>1171</v>
      </c>
      <c r="P7081" s="6" t="s">
        <v>44100</v>
      </c>
      <c r="Q7081" s="6" t="s">
        <v>34047</v>
      </c>
      <c r="R7081" s="6" t="s">
        <v>64</v>
      </c>
      <c r="S7081" s="8" t="s">
        <v>44101</v>
      </c>
      <c r="T7081" s="6" t="s">
        <v>66</v>
      </c>
      <c r="U7081" s="8" t="s">
        <v>31</v>
      </c>
      <c r="V7081" s="6" t="s">
        <v>318</v>
      </c>
      <c r="W7081" s="6" t="s">
        <v>44097</v>
      </c>
      <c r="X7081" s="9" t="str">
        <f>HYPERLINK("https://my.pitchbook.com?p=417877-93P","View People Online")</f>
        <v>View People Online</v>
      </c>
    </row>
    <row r="7082">
      <c r="A7082" s="2" t="s">
        <v>44142</v>
      </c>
      <c r="B7082" s="2" t="s">
        <v>44143</v>
      </c>
      <c r="C7082" s="2" t="s">
        <v>11244</v>
      </c>
      <c r="D7082" s="2" t="s">
        <v>44144</v>
      </c>
      <c r="E7082" s="2" t="s">
        <v>44097</v>
      </c>
      <c r="F7082" s="2" t="s">
        <v>667</v>
      </c>
      <c r="G7082" s="2" t="s">
        <v>44145</v>
      </c>
      <c r="H7082" s="3" t="s">
        <v>31</v>
      </c>
      <c r="I7082" s="3">
        <v>1.0</v>
      </c>
      <c r="J7082" s="3">
        <v>1.0</v>
      </c>
      <c r="K7082" s="3" t="s">
        <v>31</v>
      </c>
      <c r="L7082" s="4" t="s">
        <v>44099</v>
      </c>
      <c r="M7082" s="2" t="s">
        <v>44146</v>
      </c>
      <c r="N7082" s="2" t="s">
        <v>1170</v>
      </c>
      <c r="O7082" s="4" t="s">
        <v>1171</v>
      </c>
      <c r="P7082" s="2" t="s">
        <v>44100</v>
      </c>
      <c r="Q7082" s="2" t="s">
        <v>34047</v>
      </c>
      <c r="R7082" s="2" t="s">
        <v>64</v>
      </c>
      <c r="S7082" s="4" t="s">
        <v>44101</v>
      </c>
      <c r="T7082" s="2" t="s">
        <v>66</v>
      </c>
      <c r="U7082" s="4" t="s">
        <v>31</v>
      </c>
      <c r="V7082" s="2" t="s">
        <v>667</v>
      </c>
      <c r="W7082" s="2" t="s">
        <v>44097</v>
      </c>
      <c r="X7082" s="5" t="str">
        <f>HYPERLINK("https://my.pitchbook.com?p=436249-18P","View People Online")</f>
        <v>View People Online</v>
      </c>
    </row>
    <row r="7083">
      <c r="A7083" s="14" t="s">
        <v>44147</v>
      </c>
      <c r="B7083" s="14" t="s">
        <v>44148</v>
      </c>
      <c r="C7083" s="14" t="s">
        <v>323</v>
      </c>
      <c r="D7083" s="14" t="s">
        <v>44149</v>
      </c>
      <c r="E7083" s="14" t="s">
        <v>44097</v>
      </c>
      <c r="F7083" s="14" t="s">
        <v>318</v>
      </c>
      <c r="G7083" s="14" t="s">
        <v>44150</v>
      </c>
      <c r="H7083" s="15">
        <v>1.0</v>
      </c>
      <c r="I7083" s="15">
        <v>3.0</v>
      </c>
      <c r="J7083" s="15">
        <v>1.0</v>
      </c>
      <c r="K7083" s="15">
        <v>1.0</v>
      </c>
      <c r="L7083" s="16" t="s">
        <v>44099</v>
      </c>
      <c r="M7083" s="14" t="s">
        <v>44151</v>
      </c>
      <c r="N7083" s="14" t="s">
        <v>1170</v>
      </c>
      <c r="O7083" s="16" t="s">
        <v>1171</v>
      </c>
      <c r="P7083" s="14" t="s">
        <v>44100</v>
      </c>
      <c r="Q7083" s="14" t="s">
        <v>34047</v>
      </c>
      <c r="R7083" s="14" t="s">
        <v>64</v>
      </c>
      <c r="S7083" s="16" t="s">
        <v>44101</v>
      </c>
      <c r="T7083" s="14" t="s">
        <v>66</v>
      </c>
      <c r="U7083" s="16" t="s">
        <v>31</v>
      </c>
      <c r="V7083" s="14" t="s">
        <v>318</v>
      </c>
      <c r="W7083" s="14" t="s">
        <v>44097</v>
      </c>
      <c r="X7083" s="17" t="str">
        <f>HYPERLINK("https://my.pitchbook.com?p=398412-82P","View People Online")</f>
        <v>View People Online</v>
      </c>
    </row>
    <row r="7084">
      <c r="A7084" s="2" t="s">
        <v>44152</v>
      </c>
      <c r="B7084" s="2" t="s">
        <v>44153</v>
      </c>
      <c r="C7084" s="2" t="s">
        <v>36309</v>
      </c>
      <c r="D7084" s="2" t="s">
        <v>15884</v>
      </c>
      <c r="E7084" s="2" t="s">
        <v>44097</v>
      </c>
      <c r="F7084" s="2" t="s">
        <v>81</v>
      </c>
      <c r="G7084" s="2" t="s">
        <v>44154</v>
      </c>
      <c r="H7084" s="3" t="s">
        <v>31</v>
      </c>
      <c r="I7084" s="3">
        <v>1.0</v>
      </c>
      <c r="J7084" s="3" t="s">
        <v>31</v>
      </c>
      <c r="K7084" s="3" t="s">
        <v>31</v>
      </c>
      <c r="L7084" s="4" t="s">
        <v>44099</v>
      </c>
      <c r="M7084" s="2" t="s">
        <v>31</v>
      </c>
      <c r="N7084" s="2" t="s">
        <v>1170</v>
      </c>
      <c r="O7084" s="4" t="s">
        <v>1171</v>
      </c>
      <c r="P7084" s="2" t="s">
        <v>44100</v>
      </c>
      <c r="Q7084" s="2" t="s">
        <v>34047</v>
      </c>
      <c r="R7084" s="2" t="s">
        <v>64</v>
      </c>
      <c r="S7084" s="4" t="s">
        <v>44101</v>
      </c>
      <c r="T7084" s="2" t="s">
        <v>66</v>
      </c>
      <c r="U7084" s="4" t="s">
        <v>31</v>
      </c>
      <c r="V7084" s="2" t="s">
        <v>81</v>
      </c>
      <c r="W7084" s="2" t="s">
        <v>44097</v>
      </c>
      <c r="X7084" s="5" t="str">
        <f>HYPERLINK("https://my.pitchbook.com?p=306084-34P","View People Online")</f>
        <v>View People Online</v>
      </c>
    </row>
    <row r="7085">
      <c r="A7085" s="14" t="s">
        <v>44155</v>
      </c>
      <c r="B7085" s="14" t="s">
        <v>44156</v>
      </c>
      <c r="C7085" s="14" t="s">
        <v>44157</v>
      </c>
      <c r="D7085" s="14" t="s">
        <v>5692</v>
      </c>
      <c r="E7085" s="14" t="s">
        <v>44097</v>
      </c>
      <c r="F7085" s="14" t="s">
        <v>667</v>
      </c>
      <c r="G7085" s="14" t="s">
        <v>44158</v>
      </c>
      <c r="H7085" s="15" t="s">
        <v>31</v>
      </c>
      <c r="I7085" s="15">
        <v>1.0</v>
      </c>
      <c r="J7085" s="15">
        <v>1.0</v>
      </c>
      <c r="K7085" s="15" t="s">
        <v>31</v>
      </c>
      <c r="L7085" s="16" t="s">
        <v>44099</v>
      </c>
      <c r="M7085" s="14" t="s">
        <v>44159</v>
      </c>
      <c r="N7085" s="14" t="s">
        <v>1170</v>
      </c>
      <c r="O7085" s="16" t="s">
        <v>1171</v>
      </c>
      <c r="P7085" s="14" t="s">
        <v>44100</v>
      </c>
      <c r="Q7085" s="14" t="s">
        <v>34047</v>
      </c>
      <c r="R7085" s="14" t="s">
        <v>64</v>
      </c>
      <c r="S7085" s="16" t="s">
        <v>44101</v>
      </c>
      <c r="T7085" s="14" t="s">
        <v>66</v>
      </c>
      <c r="U7085" s="16" t="s">
        <v>31</v>
      </c>
      <c r="V7085" s="14" t="s">
        <v>667</v>
      </c>
      <c r="W7085" s="14" t="s">
        <v>44097</v>
      </c>
      <c r="X7085" s="17" t="str">
        <f>HYPERLINK("https://my.pitchbook.com?p=436249-00P","View People Online")</f>
        <v>View People Online</v>
      </c>
    </row>
    <row r="7086">
      <c r="A7086" s="2" t="s">
        <v>44160</v>
      </c>
      <c r="B7086" s="2" t="s">
        <v>44161</v>
      </c>
      <c r="C7086" s="2" t="s">
        <v>6010</v>
      </c>
      <c r="D7086" s="2" t="s">
        <v>25901</v>
      </c>
      <c r="E7086" s="2" t="s">
        <v>44097</v>
      </c>
      <c r="F7086" s="2" t="s">
        <v>29</v>
      </c>
      <c r="G7086" s="2" t="s">
        <v>44162</v>
      </c>
      <c r="H7086" s="3">
        <v>1.0</v>
      </c>
      <c r="I7086" s="3">
        <v>4.0</v>
      </c>
      <c r="J7086" s="3">
        <v>1.0</v>
      </c>
      <c r="K7086" s="3">
        <v>2.0</v>
      </c>
      <c r="L7086" s="4" t="s">
        <v>44163</v>
      </c>
      <c r="M7086" s="2" t="s">
        <v>44164</v>
      </c>
      <c r="N7086" s="2" t="s">
        <v>1170</v>
      </c>
      <c r="O7086" s="4" t="s">
        <v>1171</v>
      </c>
      <c r="P7086" s="2" t="s">
        <v>44100</v>
      </c>
      <c r="Q7086" s="2" t="s">
        <v>34047</v>
      </c>
      <c r="R7086" s="2" t="s">
        <v>64</v>
      </c>
      <c r="S7086" s="4" t="s">
        <v>44101</v>
      </c>
      <c r="T7086" s="2" t="s">
        <v>66</v>
      </c>
      <c r="U7086" s="4" t="s">
        <v>31</v>
      </c>
      <c r="V7086" s="2" t="s">
        <v>29</v>
      </c>
      <c r="W7086" s="2" t="s">
        <v>44097</v>
      </c>
      <c r="X7086" s="5" t="str">
        <f>HYPERLINK("https://my.pitchbook.com?p=306077-14P","View People Online")</f>
        <v>View People Online</v>
      </c>
    </row>
    <row r="7087">
      <c r="A7087" s="6" t="s">
        <v>44165</v>
      </c>
      <c r="B7087" s="6" t="s">
        <v>44166</v>
      </c>
      <c r="C7087" s="6" t="s">
        <v>18807</v>
      </c>
      <c r="D7087" s="6" t="s">
        <v>7090</v>
      </c>
      <c r="E7087" s="6" t="s">
        <v>44097</v>
      </c>
      <c r="F7087" s="6" t="s">
        <v>29</v>
      </c>
      <c r="G7087" s="6" t="s">
        <v>44167</v>
      </c>
      <c r="H7087" s="7" t="s">
        <v>31</v>
      </c>
      <c r="I7087" s="7">
        <v>1.0</v>
      </c>
      <c r="J7087" s="7">
        <v>1.0</v>
      </c>
      <c r="K7087" s="7" t="s">
        <v>31</v>
      </c>
      <c r="L7087" s="8" t="s">
        <v>44099</v>
      </c>
      <c r="M7087" s="6" t="s">
        <v>44168</v>
      </c>
      <c r="N7087" s="6" t="s">
        <v>1170</v>
      </c>
      <c r="O7087" s="8" t="s">
        <v>1171</v>
      </c>
      <c r="P7087" s="6" t="s">
        <v>44100</v>
      </c>
      <c r="Q7087" s="6" t="s">
        <v>34047</v>
      </c>
      <c r="R7087" s="6" t="s">
        <v>64</v>
      </c>
      <c r="S7087" s="8" t="s">
        <v>44101</v>
      </c>
      <c r="T7087" s="6" t="s">
        <v>66</v>
      </c>
      <c r="U7087" s="8" t="s">
        <v>31</v>
      </c>
      <c r="V7087" s="6" t="s">
        <v>29</v>
      </c>
      <c r="W7087" s="6" t="s">
        <v>44097</v>
      </c>
      <c r="X7087" s="9" t="str">
        <f>HYPERLINK("https://my.pitchbook.com?p=364958-38P","View People Online")</f>
        <v>View People Online</v>
      </c>
    </row>
    <row r="7088">
      <c r="A7088" s="2" t="s">
        <v>44169</v>
      </c>
      <c r="B7088" s="2" t="s">
        <v>44170</v>
      </c>
      <c r="C7088" s="2" t="s">
        <v>44171</v>
      </c>
      <c r="D7088" s="2" t="s">
        <v>44172</v>
      </c>
      <c r="E7088" s="2" t="s">
        <v>44097</v>
      </c>
      <c r="F7088" s="2" t="s">
        <v>221</v>
      </c>
      <c r="G7088" s="2" t="s">
        <v>44173</v>
      </c>
      <c r="H7088" s="3" t="s">
        <v>31</v>
      </c>
      <c r="I7088" s="3">
        <v>1.0</v>
      </c>
      <c r="J7088" s="3">
        <v>1.0</v>
      </c>
      <c r="K7088" s="3" t="s">
        <v>31</v>
      </c>
      <c r="L7088" s="4" t="s">
        <v>44099</v>
      </c>
      <c r="M7088" s="2" t="s">
        <v>44174</v>
      </c>
      <c r="N7088" s="2" t="s">
        <v>1170</v>
      </c>
      <c r="O7088" s="4" t="s">
        <v>1171</v>
      </c>
      <c r="P7088" s="2" t="s">
        <v>44100</v>
      </c>
      <c r="Q7088" s="2" t="s">
        <v>34047</v>
      </c>
      <c r="R7088" s="2" t="s">
        <v>64</v>
      </c>
      <c r="S7088" s="4" t="s">
        <v>44101</v>
      </c>
      <c r="T7088" s="2" t="s">
        <v>66</v>
      </c>
      <c r="U7088" s="4" t="s">
        <v>31</v>
      </c>
      <c r="V7088" s="2" t="s">
        <v>221</v>
      </c>
      <c r="W7088" s="2" t="s">
        <v>44097</v>
      </c>
      <c r="X7088" s="5" t="str">
        <f>HYPERLINK("https://my.pitchbook.com?p=436248-37P","View People Online")</f>
        <v>View People Online</v>
      </c>
    </row>
    <row r="7089">
      <c r="A7089" s="14" t="s">
        <v>44175</v>
      </c>
      <c r="B7089" s="14" t="s">
        <v>44176</v>
      </c>
      <c r="C7089" s="14" t="s">
        <v>4015</v>
      </c>
      <c r="D7089" s="14" t="s">
        <v>44177</v>
      </c>
      <c r="E7089" s="14" t="s">
        <v>44097</v>
      </c>
      <c r="F7089" s="14" t="s">
        <v>29</v>
      </c>
      <c r="G7089" s="14" t="s">
        <v>44178</v>
      </c>
      <c r="H7089" s="15">
        <v>2.0</v>
      </c>
      <c r="I7089" s="15">
        <v>7.0</v>
      </c>
      <c r="J7089" s="15">
        <v>1.0</v>
      </c>
      <c r="K7089" s="15">
        <v>3.0</v>
      </c>
      <c r="L7089" s="16" t="s">
        <v>44099</v>
      </c>
      <c r="M7089" s="14" t="s">
        <v>44179</v>
      </c>
      <c r="N7089" s="14" t="s">
        <v>1170</v>
      </c>
      <c r="O7089" s="16" t="s">
        <v>1171</v>
      </c>
      <c r="P7089" s="14" t="s">
        <v>44100</v>
      </c>
      <c r="Q7089" s="14" t="s">
        <v>34047</v>
      </c>
      <c r="R7089" s="14" t="s">
        <v>64</v>
      </c>
      <c r="S7089" s="16" t="s">
        <v>44101</v>
      </c>
      <c r="T7089" s="14" t="s">
        <v>66</v>
      </c>
      <c r="U7089" s="16" t="s">
        <v>31</v>
      </c>
      <c r="V7089" s="14" t="s">
        <v>29</v>
      </c>
      <c r="W7089" s="14" t="s">
        <v>44097</v>
      </c>
      <c r="X7089" s="17" t="str">
        <f>HYPERLINK("https://my.pitchbook.com?p=128510-29P","View People Online")</f>
        <v>View People Online</v>
      </c>
    </row>
    <row r="7090">
      <c r="A7090" s="2" t="s">
        <v>44180</v>
      </c>
      <c r="B7090" s="2" t="s">
        <v>44181</v>
      </c>
      <c r="C7090" s="2" t="s">
        <v>1042</v>
      </c>
      <c r="D7090" s="2" t="s">
        <v>3644</v>
      </c>
      <c r="E7090" s="2" t="s">
        <v>44097</v>
      </c>
      <c r="F7090" s="2" t="s">
        <v>29</v>
      </c>
      <c r="G7090" s="2" t="s">
        <v>44182</v>
      </c>
      <c r="H7090" s="3">
        <v>2.0</v>
      </c>
      <c r="I7090" s="3">
        <v>11.0</v>
      </c>
      <c r="J7090" s="3">
        <v>2.0</v>
      </c>
      <c r="K7090" s="3">
        <v>5.0</v>
      </c>
      <c r="L7090" s="4" t="s">
        <v>44099</v>
      </c>
      <c r="M7090" s="2" t="s">
        <v>44183</v>
      </c>
      <c r="N7090" s="2" t="s">
        <v>1170</v>
      </c>
      <c r="O7090" s="4" t="s">
        <v>1171</v>
      </c>
      <c r="P7090" s="2" t="s">
        <v>44100</v>
      </c>
      <c r="Q7090" s="2" t="s">
        <v>34047</v>
      </c>
      <c r="R7090" s="2" t="s">
        <v>64</v>
      </c>
      <c r="S7090" s="4" t="s">
        <v>44101</v>
      </c>
      <c r="T7090" s="2" t="s">
        <v>66</v>
      </c>
      <c r="U7090" s="4" t="s">
        <v>31</v>
      </c>
      <c r="V7090" s="2" t="s">
        <v>29</v>
      </c>
      <c r="W7090" s="2" t="s">
        <v>44097</v>
      </c>
      <c r="X7090" s="5" t="str">
        <f>HYPERLINK("https://my.pitchbook.com?p=191181-61P","View People Online")</f>
        <v>View People Online</v>
      </c>
    </row>
    <row r="7091">
      <c r="A7091" s="14" t="s">
        <v>44184</v>
      </c>
      <c r="B7091" s="14" t="s">
        <v>44185</v>
      </c>
      <c r="C7091" s="14" t="s">
        <v>44186</v>
      </c>
      <c r="D7091" s="14" t="s">
        <v>673</v>
      </c>
      <c r="E7091" s="14" t="s">
        <v>44097</v>
      </c>
      <c r="F7091" s="14" t="s">
        <v>29</v>
      </c>
      <c r="G7091" s="14" t="s">
        <v>44187</v>
      </c>
      <c r="H7091" s="15" t="s">
        <v>31</v>
      </c>
      <c r="I7091" s="15">
        <v>2.0</v>
      </c>
      <c r="J7091" s="15">
        <v>1.0</v>
      </c>
      <c r="K7091" s="15">
        <v>1.0</v>
      </c>
      <c r="L7091" s="16" t="s">
        <v>44099</v>
      </c>
      <c r="M7091" s="14" t="s">
        <v>44188</v>
      </c>
      <c r="N7091" s="14" t="s">
        <v>1170</v>
      </c>
      <c r="O7091" s="16" t="s">
        <v>1171</v>
      </c>
      <c r="P7091" s="14" t="s">
        <v>44100</v>
      </c>
      <c r="Q7091" s="14" t="s">
        <v>34047</v>
      </c>
      <c r="R7091" s="14" t="s">
        <v>64</v>
      </c>
      <c r="S7091" s="16" t="s">
        <v>44101</v>
      </c>
      <c r="T7091" s="14" t="s">
        <v>66</v>
      </c>
      <c r="U7091" s="16" t="s">
        <v>31</v>
      </c>
      <c r="V7091" s="14" t="s">
        <v>29</v>
      </c>
      <c r="W7091" s="14" t="s">
        <v>44097</v>
      </c>
      <c r="X7091" s="17" t="str">
        <f>HYPERLINK("https://my.pitchbook.com?p=203833-72P","View People Online")</f>
        <v>View People Online</v>
      </c>
    </row>
    <row r="7092">
      <c r="A7092" s="2" t="s">
        <v>44189</v>
      </c>
      <c r="B7092" s="2" t="s">
        <v>44190</v>
      </c>
      <c r="C7092" s="2" t="s">
        <v>41160</v>
      </c>
      <c r="D7092" s="2" t="s">
        <v>1147</v>
      </c>
      <c r="E7092" s="2" t="s">
        <v>44097</v>
      </c>
      <c r="F7092" s="2" t="s">
        <v>221</v>
      </c>
      <c r="G7092" s="2" t="s">
        <v>44191</v>
      </c>
      <c r="H7092" s="3" t="s">
        <v>31</v>
      </c>
      <c r="I7092" s="3">
        <v>1.0</v>
      </c>
      <c r="J7092" s="3">
        <v>1.0</v>
      </c>
      <c r="K7092" s="3" t="s">
        <v>31</v>
      </c>
      <c r="L7092" s="4" t="s">
        <v>44099</v>
      </c>
      <c r="M7092" s="2" t="s">
        <v>44192</v>
      </c>
      <c r="N7092" s="2" t="s">
        <v>1170</v>
      </c>
      <c r="O7092" s="4" t="s">
        <v>1171</v>
      </c>
      <c r="P7092" s="2" t="s">
        <v>44100</v>
      </c>
      <c r="Q7092" s="2" t="s">
        <v>34047</v>
      </c>
      <c r="R7092" s="2" t="s">
        <v>64</v>
      </c>
      <c r="S7092" s="4" t="s">
        <v>44101</v>
      </c>
      <c r="T7092" s="2" t="s">
        <v>66</v>
      </c>
      <c r="U7092" s="4" t="s">
        <v>31</v>
      </c>
      <c r="V7092" s="2" t="s">
        <v>221</v>
      </c>
      <c r="W7092" s="2" t="s">
        <v>44097</v>
      </c>
      <c r="X7092" s="5" t="str">
        <f>HYPERLINK("https://my.pitchbook.com?p=398412-10P","View People Online")</f>
        <v>View People Online</v>
      </c>
    </row>
    <row r="7093">
      <c r="A7093" s="14" t="s">
        <v>44193</v>
      </c>
      <c r="B7093" s="14" t="s">
        <v>44194</v>
      </c>
      <c r="C7093" s="14" t="s">
        <v>13216</v>
      </c>
      <c r="D7093" s="14" t="s">
        <v>21469</v>
      </c>
      <c r="E7093" s="14" t="s">
        <v>44195</v>
      </c>
      <c r="F7093" s="14" t="s">
        <v>548</v>
      </c>
      <c r="G7093" s="14" t="s">
        <v>44196</v>
      </c>
      <c r="H7093" s="15" t="s">
        <v>31</v>
      </c>
      <c r="I7093" s="15">
        <v>1.0</v>
      </c>
      <c r="J7093" s="15">
        <v>1.0</v>
      </c>
      <c r="K7093" s="15" t="s">
        <v>31</v>
      </c>
      <c r="L7093" s="16" t="s">
        <v>44197</v>
      </c>
      <c r="M7093" s="14" t="s">
        <v>44198</v>
      </c>
      <c r="N7093" s="14" t="s">
        <v>1034</v>
      </c>
      <c r="O7093" s="16" t="s">
        <v>1035</v>
      </c>
      <c r="P7093" s="14" t="s">
        <v>44199</v>
      </c>
      <c r="Q7093" s="14" t="s">
        <v>44200</v>
      </c>
      <c r="R7093" s="14" t="s">
        <v>31</v>
      </c>
      <c r="S7093" s="16" t="s">
        <v>44201</v>
      </c>
      <c r="T7093" s="14" t="s">
        <v>1034</v>
      </c>
      <c r="U7093" s="16" t="s">
        <v>31</v>
      </c>
      <c r="V7093" s="14" t="s">
        <v>44202</v>
      </c>
      <c r="W7093" s="14" t="s">
        <v>44195</v>
      </c>
      <c r="X7093" s="17" t="str">
        <f>HYPERLINK("https://my.pitchbook.com?p=446163-13P","View People Online")</f>
        <v>View People Online</v>
      </c>
    </row>
    <row r="7094">
      <c r="A7094" s="2" t="s">
        <v>44203</v>
      </c>
      <c r="B7094" s="2" t="s">
        <v>44204</v>
      </c>
      <c r="C7094" s="2" t="s">
        <v>7169</v>
      </c>
      <c r="D7094" s="2" t="s">
        <v>44205</v>
      </c>
      <c r="E7094" s="2" t="s">
        <v>44195</v>
      </c>
      <c r="F7094" s="2" t="s">
        <v>548</v>
      </c>
      <c r="G7094" s="2" t="s">
        <v>44206</v>
      </c>
      <c r="H7094" s="3" t="s">
        <v>31</v>
      </c>
      <c r="I7094" s="3">
        <v>1.0</v>
      </c>
      <c r="J7094" s="3">
        <v>1.0</v>
      </c>
      <c r="K7094" s="3" t="s">
        <v>31</v>
      </c>
      <c r="L7094" s="4" t="s">
        <v>44207</v>
      </c>
      <c r="M7094" s="2" t="s">
        <v>44208</v>
      </c>
      <c r="N7094" s="2" t="s">
        <v>243</v>
      </c>
      <c r="O7094" s="4" t="s">
        <v>244</v>
      </c>
      <c r="P7094" s="2" t="s">
        <v>44209</v>
      </c>
      <c r="Q7094" s="2" t="s">
        <v>31</v>
      </c>
      <c r="R7094" s="2" t="s">
        <v>247</v>
      </c>
      <c r="S7094" s="4" t="s">
        <v>44210</v>
      </c>
      <c r="T7094" s="2" t="s">
        <v>249</v>
      </c>
      <c r="U7094" s="4" t="s">
        <v>31</v>
      </c>
      <c r="V7094" s="2" t="s">
        <v>44211</v>
      </c>
      <c r="W7094" s="2" t="s">
        <v>44195</v>
      </c>
      <c r="X7094" s="5" t="str">
        <f>HYPERLINK("https://my.pitchbook.com?p=405690-31P","View People Online")</f>
        <v>View People Online</v>
      </c>
    </row>
    <row r="7095">
      <c r="A7095" s="6" t="s">
        <v>44212</v>
      </c>
      <c r="B7095" s="6" t="s">
        <v>44213</v>
      </c>
      <c r="C7095" s="6" t="s">
        <v>13546</v>
      </c>
      <c r="D7095" s="6" t="s">
        <v>44214</v>
      </c>
      <c r="E7095" s="6" t="s">
        <v>44195</v>
      </c>
      <c r="F7095" s="6" t="s">
        <v>4931</v>
      </c>
      <c r="G7095" s="6" t="s">
        <v>44215</v>
      </c>
      <c r="H7095" s="7" t="s">
        <v>31</v>
      </c>
      <c r="I7095" s="7">
        <v>1.0</v>
      </c>
      <c r="J7095" s="7">
        <v>1.0</v>
      </c>
      <c r="K7095" s="7" t="s">
        <v>31</v>
      </c>
      <c r="L7095" s="8" t="s">
        <v>44216</v>
      </c>
      <c r="M7095" s="6" t="s">
        <v>44217</v>
      </c>
      <c r="N7095" s="6" t="s">
        <v>2273</v>
      </c>
      <c r="O7095" s="8" t="s">
        <v>2274</v>
      </c>
      <c r="P7095" s="6" t="s">
        <v>44218</v>
      </c>
      <c r="Q7095" s="6" t="s">
        <v>31</v>
      </c>
      <c r="R7095" s="6" t="s">
        <v>31</v>
      </c>
      <c r="S7095" s="8" t="s">
        <v>44219</v>
      </c>
      <c r="T7095" s="6" t="s">
        <v>2278</v>
      </c>
      <c r="U7095" s="8" t="s">
        <v>31</v>
      </c>
      <c r="V7095" s="6" t="s">
        <v>44220</v>
      </c>
      <c r="W7095" s="6" t="s">
        <v>44195</v>
      </c>
      <c r="X7095" s="9" t="str">
        <f>HYPERLINK("https://my.pitchbook.com?p=187836-94P","View People Online")</f>
        <v>View People Online</v>
      </c>
    </row>
    <row r="7096">
      <c r="A7096" s="2" t="s">
        <v>44221</v>
      </c>
      <c r="B7096" s="2" t="s">
        <v>44222</v>
      </c>
      <c r="C7096" s="2" t="s">
        <v>186</v>
      </c>
      <c r="D7096" s="2" t="s">
        <v>44223</v>
      </c>
      <c r="E7096" s="2" t="s">
        <v>44195</v>
      </c>
      <c r="F7096" s="2" t="s">
        <v>825</v>
      </c>
      <c r="G7096" s="2" t="s">
        <v>44224</v>
      </c>
      <c r="H7096" s="3">
        <v>1.0</v>
      </c>
      <c r="I7096" s="3">
        <v>8.0</v>
      </c>
      <c r="J7096" s="3">
        <v>1.0</v>
      </c>
      <c r="K7096" s="3">
        <v>4.0</v>
      </c>
      <c r="L7096" s="4" t="s">
        <v>44207</v>
      </c>
      <c r="M7096" s="2" t="s">
        <v>44225</v>
      </c>
      <c r="N7096" s="2" t="s">
        <v>243</v>
      </c>
      <c r="O7096" s="4" t="s">
        <v>244</v>
      </c>
      <c r="P7096" s="2" t="s">
        <v>44209</v>
      </c>
      <c r="Q7096" s="2" t="s">
        <v>31</v>
      </c>
      <c r="R7096" s="2" t="s">
        <v>247</v>
      </c>
      <c r="S7096" s="4" t="s">
        <v>44210</v>
      </c>
      <c r="T7096" s="2" t="s">
        <v>249</v>
      </c>
      <c r="U7096" s="4" t="s">
        <v>31</v>
      </c>
      <c r="V7096" s="2" t="s">
        <v>44226</v>
      </c>
      <c r="W7096" s="2" t="s">
        <v>44195</v>
      </c>
      <c r="X7096" s="5" t="str">
        <f>HYPERLINK("https://my.pitchbook.com?p=276810-04P","View People Online")</f>
        <v>View People Online</v>
      </c>
    </row>
    <row r="7097">
      <c r="A7097" s="14" t="s">
        <v>44227</v>
      </c>
      <c r="B7097" s="14" t="s">
        <v>44228</v>
      </c>
      <c r="C7097" s="14" t="s">
        <v>10710</v>
      </c>
      <c r="D7097" s="14" t="s">
        <v>44229</v>
      </c>
      <c r="E7097" s="14" t="s">
        <v>44195</v>
      </c>
      <c r="F7097" s="14" t="s">
        <v>896</v>
      </c>
      <c r="G7097" s="14" t="s">
        <v>44230</v>
      </c>
      <c r="H7097" s="15" t="s">
        <v>31</v>
      </c>
      <c r="I7097" s="15">
        <v>3.0</v>
      </c>
      <c r="J7097" s="15">
        <v>1.0</v>
      </c>
      <c r="K7097" s="15">
        <v>2.0</v>
      </c>
      <c r="L7097" s="16" t="s">
        <v>44231</v>
      </c>
      <c r="M7097" s="14" t="s">
        <v>44232</v>
      </c>
      <c r="N7097" s="14" t="s">
        <v>243</v>
      </c>
      <c r="O7097" s="16" t="s">
        <v>244</v>
      </c>
      <c r="P7097" s="14" t="s">
        <v>44209</v>
      </c>
      <c r="Q7097" s="14" t="s">
        <v>31</v>
      </c>
      <c r="R7097" s="14" t="s">
        <v>247</v>
      </c>
      <c r="S7097" s="16" t="s">
        <v>44210</v>
      </c>
      <c r="T7097" s="14" t="s">
        <v>249</v>
      </c>
      <c r="U7097" s="16" t="s">
        <v>31</v>
      </c>
      <c r="V7097" s="14" t="s">
        <v>44233</v>
      </c>
      <c r="W7097" s="14" t="s">
        <v>44195</v>
      </c>
      <c r="X7097" s="17" t="str">
        <f>HYPERLINK("https://my.pitchbook.com?p=271933-75P","View People Online")</f>
        <v>View People Online</v>
      </c>
    </row>
    <row r="7098">
      <c r="A7098" s="2" t="s">
        <v>44234</v>
      </c>
      <c r="B7098" s="2" t="s">
        <v>44235</v>
      </c>
      <c r="C7098" s="2" t="s">
        <v>4731</v>
      </c>
      <c r="D7098" s="2" t="s">
        <v>6893</v>
      </c>
      <c r="E7098" s="2" t="s">
        <v>44195</v>
      </c>
      <c r="F7098" s="2" t="s">
        <v>9492</v>
      </c>
      <c r="G7098" s="2" t="s">
        <v>44236</v>
      </c>
      <c r="H7098" s="3" t="s">
        <v>31</v>
      </c>
      <c r="I7098" s="3">
        <v>2.0</v>
      </c>
      <c r="J7098" s="3">
        <v>1.0</v>
      </c>
      <c r="K7098" s="3">
        <v>1.0</v>
      </c>
      <c r="L7098" s="4" t="s">
        <v>44197</v>
      </c>
      <c r="M7098" s="2" t="s">
        <v>44237</v>
      </c>
      <c r="N7098" s="2" t="s">
        <v>1034</v>
      </c>
      <c r="O7098" s="4" t="s">
        <v>1035</v>
      </c>
      <c r="P7098" s="2" t="s">
        <v>44199</v>
      </c>
      <c r="Q7098" s="2" t="s">
        <v>44200</v>
      </c>
      <c r="R7098" s="2" t="s">
        <v>31</v>
      </c>
      <c r="S7098" s="4" t="s">
        <v>44201</v>
      </c>
      <c r="T7098" s="2" t="s">
        <v>1034</v>
      </c>
      <c r="U7098" s="4" t="s">
        <v>31</v>
      </c>
      <c r="V7098" s="2" t="s">
        <v>44238</v>
      </c>
      <c r="W7098" s="2" t="s">
        <v>44195</v>
      </c>
      <c r="X7098" s="5" t="str">
        <f>HYPERLINK("https://my.pitchbook.com?p=188179-12P","View People Online")</f>
        <v>View People Online</v>
      </c>
    </row>
    <row r="7099">
      <c r="A7099" s="6" t="s">
        <v>44239</v>
      </c>
      <c r="B7099" s="6" t="s">
        <v>44240</v>
      </c>
      <c r="C7099" s="6" t="s">
        <v>1117</v>
      </c>
      <c r="D7099" s="6" t="s">
        <v>44241</v>
      </c>
      <c r="E7099" s="6" t="s">
        <v>44195</v>
      </c>
      <c r="F7099" s="6" t="s">
        <v>548</v>
      </c>
      <c r="G7099" s="6" t="s">
        <v>44242</v>
      </c>
      <c r="H7099" s="7" t="s">
        <v>31</v>
      </c>
      <c r="I7099" s="7">
        <v>1.0</v>
      </c>
      <c r="J7099" s="7">
        <v>1.0</v>
      </c>
      <c r="K7099" s="7" t="s">
        <v>31</v>
      </c>
      <c r="L7099" s="8" t="s">
        <v>44207</v>
      </c>
      <c r="M7099" s="6" t="s">
        <v>44243</v>
      </c>
      <c r="N7099" s="6" t="s">
        <v>243</v>
      </c>
      <c r="O7099" s="8" t="s">
        <v>244</v>
      </c>
      <c r="P7099" s="6" t="s">
        <v>44209</v>
      </c>
      <c r="Q7099" s="6" t="s">
        <v>31</v>
      </c>
      <c r="R7099" s="6" t="s">
        <v>247</v>
      </c>
      <c r="S7099" s="8" t="s">
        <v>44210</v>
      </c>
      <c r="T7099" s="6" t="s">
        <v>249</v>
      </c>
      <c r="U7099" s="8" t="s">
        <v>31</v>
      </c>
      <c r="V7099" s="6" t="s">
        <v>44244</v>
      </c>
      <c r="W7099" s="6" t="s">
        <v>44195</v>
      </c>
      <c r="X7099" s="9" t="str">
        <f>HYPERLINK("https://my.pitchbook.com?p=444545-38P","View People Online")</f>
        <v>View People Online</v>
      </c>
    </row>
    <row r="7100">
      <c r="A7100" s="10" t="s">
        <v>44245</v>
      </c>
      <c r="B7100" s="10" t="s">
        <v>44246</v>
      </c>
      <c r="C7100" s="10" t="s">
        <v>1117</v>
      </c>
      <c r="D7100" s="10" t="s">
        <v>44247</v>
      </c>
      <c r="E7100" s="10" t="s">
        <v>44195</v>
      </c>
      <c r="F7100" s="10" t="s">
        <v>32651</v>
      </c>
      <c r="G7100" s="10" t="s">
        <v>44248</v>
      </c>
      <c r="H7100" s="11" t="s">
        <v>31</v>
      </c>
      <c r="I7100" s="11">
        <v>2.0</v>
      </c>
      <c r="J7100" s="11">
        <v>2.0</v>
      </c>
      <c r="K7100" s="11" t="s">
        <v>31</v>
      </c>
      <c r="L7100" s="12" t="s">
        <v>44249</v>
      </c>
      <c r="M7100" s="10" t="s">
        <v>44250</v>
      </c>
      <c r="N7100" s="10" t="s">
        <v>243</v>
      </c>
      <c r="O7100" s="12" t="s">
        <v>244</v>
      </c>
      <c r="P7100" s="10" t="s">
        <v>44209</v>
      </c>
      <c r="Q7100" s="10" t="s">
        <v>31</v>
      </c>
      <c r="R7100" s="10" t="s">
        <v>247</v>
      </c>
      <c r="S7100" s="12" t="s">
        <v>44210</v>
      </c>
      <c r="T7100" s="10" t="s">
        <v>249</v>
      </c>
      <c r="U7100" s="12" t="s">
        <v>31</v>
      </c>
      <c r="V7100" s="10" t="s">
        <v>44251</v>
      </c>
      <c r="W7100" s="10" t="s">
        <v>44195</v>
      </c>
      <c r="X7100" s="13" t="str">
        <f>HYPERLINK("https://my.pitchbook.com?p=161329-33P","View People Online")</f>
        <v>View People Online</v>
      </c>
    </row>
    <row r="7101">
      <c r="A7101" s="14" t="s">
        <v>44252</v>
      </c>
      <c r="B7101" s="14" t="s">
        <v>44253</v>
      </c>
      <c r="C7101" s="14" t="s">
        <v>44254</v>
      </c>
      <c r="D7101" s="14" t="s">
        <v>44255</v>
      </c>
      <c r="E7101" s="14" t="s">
        <v>44195</v>
      </c>
      <c r="F7101" s="14" t="s">
        <v>2366</v>
      </c>
      <c r="G7101" s="14" t="s">
        <v>44256</v>
      </c>
      <c r="H7101" s="15" t="s">
        <v>31</v>
      </c>
      <c r="I7101" s="15">
        <v>2.0</v>
      </c>
      <c r="J7101" s="15">
        <v>2.0</v>
      </c>
      <c r="K7101" s="15" t="s">
        <v>31</v>
      </c>
      <c r="L7101" s="16" t="s">
        <v>44257</v>
      </c>
      <c r="M7101" s="14" t="s">
        <v>44258</v>
      </c>
      <c r="N7101" s="14" t="s">
        <v>2754</v>
      </c>
      <c r="O7101" s="16" t="s">
        <v>2755</v>
      </c>
      <c r="P7101" s="14" t="s">
        <v>44259</v>
      </c>
      <c r="Q7101" s="14" t="s">
        <v>44260</v>
      </c>
      <c r="R7101" s="14" t="s">
        <v>31</v>
      </c>
      <c r="S7101" s="16" t="s">
        <v>13737</v>
      </c>
      <c r="T7101" s="14" t="s">
        <v>38</v>
      </c>
      <c r="U7101" s="16" t="s">
        <v>31</v>
      </c>
      <c r="V7101" s="14" t="s">
        <v>44261</v>
      </c>
      <c r="W7101" s="14" t="s">
        <v>44195</v>
      </c>
      <c r="X7101" s="17" t="str">
        <f>HYPERLINK("https://my.pitchbook.com?p=399412-45P","View People Online")</f>
        <v>View People Online</v>
      </c>
    </row>
    <row r="7102">
      <c r="A7102" s="2" t="s">
        <v>44262</v>
      </c>
      <c r="B7102" s="2" t="s">
        <v>44263</v>
      </c>
      <c r="C7102" s="2" t="s">
        <v>10811</v>
      </c>
      <c r="D7102" s="2" t="s">
        <v>44264</v>
      </c>
      <c r="E7102" s="2" t="s">
        <v>44195</v>
      </c>
      <c r="F7102" s="2" t="s">
        <v>548</v>
      </c>
      <c r="G7102" s="2" t="s">
        <v>44265</v>
      </c>
      <c r="H7102" s="3" t="s">
        <v>31</v>
      </c>
      <c r="I7102" s="3">
        <v>1.0</v>
      </c>
      <c r="J7102" s="3">
        <v>1.0</v>
      </c>
      <c r="K7102" s="3" t="s">
        <v>31</v>
      </c>
      <c r="L7102" s="4" t="s">
        <v>44266</v>
      </c>
      <c r="M7102" s="2" t="s">
        <v>44267</v>
      </c>
      <c r="N7102" s="2" t="s">
        <v>332</v>
      </c>
      <c r="O7102" s="4" t="s">
        <v>10854</v>
      </c>
      <c r="P7102" s="2" t="s">
        <v>44268</v>
      </c>
      <c r="Q7102" s="2" t="s">
        <v>31</v>
      </c>
      <c r="R7102" s="2" t="s">
        <v>31</v>
      </c>
      <c r="S7102" s="4" t="s">
        <v>44269</v>
      </c>
      <c r="T7102" s="2" t="s">
        <v>332</v>
      </c>
      <c r="U7102" s="4" t="s">
        <v>31</v>
      </c>
      <c r="V7102" s="2" t="s">
        <v>44270</v>
      </c>
      <c r="W7102" s="2" t="s">
        <v>44195</v>
      </c>
      <c r="X7102" s="5" t="str">
        <f>HYPERLINK("https://my.pitchbook.com?p=176074-39P","View People Online")</f>
        <v>View People Online</v>
      </c>
    </row>
    <row r="7103">
      <c r="A7103" s="14" t="s">
        <v>44271</v>
      </c>
      <c r="B7103" s="14" t="s">
        <v>44272</v>
      </c>
      <c r="C7103" s="14" t="s">
        <v>44273</v>
      </c>
      <c r="D7103" s="14" t="s">
        <v>44274</v>
      </c>
      <c r="E7103" s="14" t="s">
        <v>44195</v>
      </c>
      <c r="F7103" s="14" t="s">
        <v>1922</v>
      </c>
      <c r="G7103" s="14" t="s">
        <v>44275</v>
      </c>
      <c r="H7103" s="15" t="s">
        <v>31</v>
      </c>
      <c r="I7103" s="15">
        <v>2.0</v>
      </c>
      <c r="J7103" s="15">
        <v>1.0</v>
      </c>
      <c r="K7103" s="15">
        <v>1.0</v>
      </c>
      <c r="L7103" s="16" t="s">
        <v>44207</v>
      </c>
      <c r="M7103" s="14" t="s">
        <v>44276</v>
      </c>
      <c r="N7103" s="14" t="s">
        <v>243</v>
      </c>
      <c r="O7103" s="16" t="s">
        <v>244</v>
      </c>
      <c r="P7103" s="14" t="s">
        <v>44209</v>
      </c>
      <c r="Q7103" s="14" t="s">
        <v>31</v>
      </c>
      <c r="R7103" s="14" t="s">
        <v>247</v>
      </c>
      <c r="S7103" s="16" t="s">
        <v>44210</v>
      </c>
      <c r="T7103" s="14" t="s">
        <v>249</v>
      </c>
      <c r="U7103" s="16" t="s">
        <v>31</v>
      </c>
      <c r="V7103" s="14" t="s">
        <v>1922</v>
      </c>
      <c r="W7103" s="14" t="s">
        <v>44195</v>
      </c>
      <c r="X7103" s="17" t="str">
        <f>HYPERLINK("https://my.pitchbook.com?p=297017-29P","View People Online")</f>
        <v>View People Online</v>
      </c>
    </row>
    <row r="7104">
      <c r="A7104" s="10" t="s">
        <v>44277</v>
      </c>
      <c r="B7104" s="10" t="s">
        <v>44278</v>
      </c>
      <c r="C7104" s="10" t="s">
        <v>7252</v>
      </c>
      <c r="D7104" s="10" t="s">
        <v>44279</v>
      </c>
      <c r="E7104" s="10" t="s">
        <v>44195</v>
      </c>
      <c r="F7104" s="10" t="s">
        <v>44280</v>
      </c>
      <c r="G7104" s="10" t="s">
        <v>44281</v>
      </c>
      <c r="H7104" s="11" t="s">
        <v>31</v>
      </c>
      <c r="I7104" s="11">
        <v>1.0</v>
      </c>
      <c r="J7104" s="11">
        <v>1.0</v>
      </c>
      <c r="K7104" s="11" t="s">
        <v>31</v>
      </c>
      <c r="L7104" s="12" t="s">
        <v>44207</v>
      </c>
      <c r="M7104" s="10" t="s">
        <v>44282</v>
      </c>
      <c r="N7104" s="10" t="s">
        <v>243</v>
      </c>
      <c r="O7104" s="12" t="s">
        <v>244</v>
      </c>
      <c r="P7104" s="10" t="s">
        <v>44209</v>
      </c>
      <c r="Q7104" s="10" t="s">
        <v>31</v>
      </c>
      <c r="R7104" s="10" t="s">
        <v>247</v>
      </c>
      <c r="S7104" s="12" t="s">
        <v>44210</v>
      </c>
      <c r="T7104" s="10" t="s">
        <v>249</v>
      </c>
      <c r="U7104" s="12" t="s">
        <v>31</v>
      </c>
      <c r="V7104" s="10" t="s">
        <v>44283</v>
      </c>
      <c r="W7104" s="10" t="s">
        <v>44195</v>
      </c>
      <c r="X7104" s="13" t="str">
        <f>HYPERLINK("https://my.pitchbook.com?p=339109-57P","View People Online")</f>
        <v>View People Online</v>
      </c>
    </row>
    <row r="7105">
      <c r="A7105" s="6" t="s">
        <v>44284</v>
      </c>
      <c r="B7105" s="6" t="s">
        <v>44285</v>
      </c>
      <c r="C7105" s="6" t="s">
        <v>44286</v>
      </c>
      <c r="D7105" s="6" t="s">
        <v>44287</v>
      </c>
      <c r="E7105" s="6" t="s">
        <v>44195</v>
      </c>
      <c r="F7105" s="6" t="s">
        <v>2156</v>
      </c>
      <c r="G7105" s="6" t="s">
        <v>44288</v>
      </c>
      <c r="H7105" s="7" t="s">
        <v>31</v>
      </c>
      <c r="I7105" s="7">
        <v>1.0</v>
      </c>
      <c r="J7105" s="7">
        <v>1.0</v>
      </c>
      <c r="K7105" s="7" t="s">
        <v>31</v>
      </c>
      <c r="L7105" s="8" t="s">
        <v>44207</v>
      </c>
      <c r="M7105" s="6" t="s">
        <v>44289</v>
      </c>
      <c r="N7105" s="6" t="s">
        <v>243</v>
      </c>
      <c r="O7105" s="8" t="s">
        <v>244</v>
      </c>
      <c r="P7105" s="6" t="s">
        <v>44209</v>
      </c>
      <c r="Q7105" s="6" t="s">
        <v>31</v>
      </c>
      <c r="R7105" s="6" t="s">
        <v>247</v>
      </c>
      <c r="S7105" s="8" t="s">
        <v>44210</v>
      </c>
      <c r="T7105" s="6" t="s">
        <v>249</v>
      </c>
      <c r="U7105" s="8" t="s">
        <v>31</v>
      </c>
      <c r="V7105" s="6" t="s">
        <v>44290</v>
      </c>
      <c r="W7105" s="6" t="s">
        <v>44195</v>
      </c>
      <c r="X7105" s="9" t="str">
        <f>HYPERLINK("https://my.pitchbook.com?p=337924-72P","View People Online")</f>
        <v>View People Online</v>
      </c>
    </row>
    <row r="7106">
      <c r="A7106" s="2" t="s">
        <v>44291</v>
      </c>
      <c r="B7106" s="2" t="s">
        <v>44292</v>
      </c>
      <c r="C7106" s="2" t="s">
        <v>4210</v>
      </c>
      <c r="D7106" s="2" t="s">
        <v>44293</v>
      </c>
      <c r="E7106" s="2" t="s">
        <v>44195</v>
      </c>
      <c r="F7106" s="2" t="s">
        <v>44294</v>
      </c>
      <c r="G7106" s="2" t="s">
        <v>44295</v>
      </c>
      <c r="H7106" s="3" t="s">
        <v>31</v>
      </c>
      <c r="I7106" s="3">
        <v>4.0</v>
      </c>
      <c r="J7106" s="3">
        <v>1.0</v>
      </c>
      <c r="K7106" s="3">
        <v>2.0</v>
      </c>
      <c r="L7106" s="4" t="s">
        <v>44207</v>
      </c>
      <c r="M7106" s="2" t="s">
        <v>44296</v>
      </c>
      <c r="N7106" s="2" t="s">
        <v>243</v>
      </c>
      <c r="O7106" s="4" t="s">
        <v>244</v>
      </c>
      <c r="P7106" s="2" t="s">
        <v>44209</v>
      </c>
      <c r="Q7106" s="2" t="s">
        <v>31</v>
      </c>
      <c r="R7106" s="2" t="s">
        <v>247</v>
      </c>
      <c r="S7106" s="4" t="s">
        <v>44210</v>
      </c>
      <c r="T7106" s="2" t="s">
        <v>249</v>
      </c>
      <c r="U7106" s="4" t="s">
        <v>31</v>
      </c>
      <c r="V7106" s="2" t="s">
        <v>44297</v>
      </c>
      <c r="W7106" s="2" t="s">
        <v>44195</v>
      </c>
      <c r="X7106" s="5" t="str">
        <f>HYPERLINK("https://my.pitchbook.com?p=353500-84P","View People Online")</f>
        <v>View People Online</v>
      </c>
    </row>
    <row r="7107">
      <c r="A7107" s="6" t="s">
        <v>44298</v>
      </c>
      <c r="B7107" s="6" t="s">
        <v>44299</v>
      </c>
      <c r="C7107" s="6" t="s">
        <v>1559</v>
      </c>
      <c r="D7107" s="6" t="s">
        <v>8733</v>
      </c>
      <c r="E7107" s="6" t="s">
        <v>44195</v>
      </c>
      <c r="F7107" s="6" t="s">
        <v>470</v>
      </c>
      <c r="G7107" s="6" t="s">
        <v>44300</v>
      </c>
      <c r="H7107" s="7" t="s">
        <v>31</v>
      </c>
      <c r="I7107" s="7">
        <v>3.0</v>
      </c>
      <c r="J7107" s="7">
        <v>1.0</v>
      </c>
      <c r="K7107" s="7">
        <v>2.0</v>
      </c>
      <c r="L7107" s="8" t="s">
        <v>44207</v>
      </c>
      <c r="M7107" s="6" t="s">
        <v>31</v>
      </c>
      <c r="N7107" s="6" t="s">
        <v>243</v>
      </c>
      <c r="O7107" s="8" t="s">
        <v>244</v>
      </c>
      <c r="P7107" s="6" t="s">
        <v>44209</v>
      </c>
      <c r="Q7107" s="6" t="s">
        <v>31</v>
      </c>
      <c r="R7107" s="6" t="s">
        <v>247</v>
      </c>
      <c r="S7107" s="8" t="s">
        <v>44210</v>
      </c>
      <c r="T7107" s="6" t="s">
        <v>249</v>
      </c>
      <c r="U7107" s="8" t="s">
        <v>31</v>
      </c>
      <c r="V7107" s="6" t="s">
        <v>1252</v>
      </c>
      <c r="W7107" s="6" t="s">
        <v>44301</v>
      </c>
      <c r="X7107" s="9" t="str">
        <f>HYPERLINK("https://my.pitchbook.com?p=160259-95P","View People Online")</f>
        <v>View People Online</v>
      </c>
    </row>
    <row r="7108">
      <c r="A7108" s="10" t="s">
        <v>44302</v>
      </c>
      <c r="B7108" s="10" t="s">
        <v>44303</v>
      </c>
      <c r="C7108" s="10" t="s">
        <v>1426</v>
      </c>
      <c r="D7108" s="10" t="s">
        <v>44304</v>
      </c>
      <c r="E7108" s="10" t="s">
        <v>44195</v>
      </c>
      <c r="F7108" s="10" t="s">
        <v>1801</v>
      </c>
      <c r="G7108" s="10" t="s">
        <v>44305</v>
      </c>
      <c r="H7108" s="11" t="s">
        <v>31</v>
      </c>
      <c r="I7108" s="11">
        <v>1.0</v>
      </c>
      <c r="J7108" s="11">
        <v>1.0</v>
      </c>
      <c r="K7108" s="11" t="s">
        <v>31</v>
      </c>
      <c r="L7108" s="12" t="s">
        <v>44207</v>
      </c>
      <c r="M7108" s="10" t="s">
        <v>44306</v>
      </c>
      <c r="N7108" s="10" t="s">
        <v>243</v>
      </c>
      <c r="O7108" s="12" t="s">
        <v>244</v>
      </c>
      <c r="P7108" s="10" t="s">
        <v>44209</v>
      </c>
      <c r="Q7108" s="10" t="s">
        <v>31</v>
      </c>
      <c r="R7108" s="10" t="s">
        <v>247</v>
      </c>
      <c r="S7108" s="12" t="s">
        <v>44210</v>
      </c>
      <c r="T7108" s="10" t="s">
        <v>249</v>
      </c>
      <c r="U7108" s="12" t="s">
        <v>31</v>
      </c>
      <c r="V7108" s="10" t="s">
        <v>44307</v>
      </c>
      <c r="W7108" s="10" t="s">
        <v>44195</v>
      </c>
      <c r="X7108" s="13" t="str">
        <f>HYPERLINK("https://my.pitchbook.com?p=151968-16P","View People Online")</f>
        <v>View People Online</v>
      </c>
    </row>
    <row r="7109">
      <c r="A7109" s="14" t="s">
        <v>44308</v>
      </c>
      <c r="B7109" s="14" t="s">
        <v>44309</v>
      </c>
      <c r="C7109" s="14" t="s">
        <v>1437</v>
      </c>
      <c r="D7109" s="14" t="s">
        <v>44310</v>
      </c>
      <c r="E7109" s="14" t="s">
        <v>44195</v>
      </c>
      <c r="F7109" s="14" t="s">
        <v>3665</v>
      </c>
      <c r="G7109" s="14" t="s">
        <v>44311</v>
      </c>
      <c r="H7109" s="15" t="s">
        <v>31</v>
      </c>
      <c r="I7109" s="15">
        <v>1.0</v>
      </c>
      <c r="J7109" s="15">
        <v>1.0</v>
      </c>
      <c r="K7109" s="15" t="s">
        <v>31</v>
      </c>
      <c r="L7109" s="16" t="s">
        <v>44207</v>
      </c>
      <c r="M7109" s="14" t="s">
        <v>44312</v>
      </c>
      <c r="N7109" s="14" t="s">
        <v>243</v>
      </c>
      <c r="O7109" s="16" t="s">
        <v>244</v>
      </c>
      <c r="P7109" s="14" t="s">
        <v>44209</v>
      </c>
      <c r="Q7109" s="14" t="s">
        <v>31</v>
      </c>
      <c r="R7109" s="14" t="s">
        <v>247</v>
      </c>
      <c r="S7109" s="16" t="s">
        <v>44210</v>
      </c>
      <c r="T7109" s="14" t="s">
        <v>249</v>
      </c>
      <c r="U7109" s="16" t="s">
        <v>31</v>
      </c>
      <c r="V7109" s="14" t="s">
        <v>44313</v>
      </c>
      <c r="W7109" s="14" t="s">
        <v>44195</v>
      </c>
      <c r="X7109" s="17" t="str">
        <f>HYPERLINK("https://my.pitchbook.com?p=425611-54P","View People Online")</f>
        <v>View People Online</v>
      </c>
    </row>
    <row r="7110">
      <c r="A7110" s="2" t="s">
        <v>44314</v>
      </c>
      <c r="B7110" s="2" t="s">
        <v>44315</v>
      </c>
      <c r="C7110" s="2" t="s">
        <v>15404</v>
      </c>
      <c r="D7110" s="2" t="s">
        <v>44316</v>
      </c>
      <c r="E7110" s="2" t="s">
        <v>44195</v>
      </c>
      <c r="F7110" s="2" t="s">
        <v>825</v>
      </c>
      <c r="G7110" s="2" t="s">
        <v>44317</v>
      </c>
      <c r="H7110" s="3" t="s">
        <v>31</v>
      </c>
      <c r="I7110" s="3">
        <v>1.0</v>
      </c>
      <c r="J7110" s="3">
        <v>1.0</v>
      </c>
      <c r="K7110" s="3" t="s">
        <v>31</v>
      </c>
      <c r="L7110" s="4" t="s">
        <v>44207</v>
      </c>
      <c r="M7110" s="2" t="s">
        <v>44318</v>
      </c>
      <c r="N7110" s="2" t="s">
        <v>243</v>
      </c>
      <c r="O7110" s="4" t="s">
        <v>244</v>
      </c>
      <c r="P7110" s="2" t="s">
        <v>44209</v>
      </c>
      <c r="Q7110" s="2" t="s">
        <v>31</v>
      </c>
      <c r="R7110" s="2" t="s">
        <v>247</v>
      </c>
      <c r="S7110" s="4" t="s">
        <v>44210</v>
      </c>
      <c r="T7110" s="2" t="s">
        <v>249</v>
      </c>
      <c r="U7110" s="4" t="s">
        <v>31</v>
      </c>
      <c r="V7110" s="2" t="s">
        <v>44319</v>
      </c>
      <c r="W7110" s="2" t="s">
        <v>44195</v>
      </c>
      <c r="X7110" s="5" t="str">
        <f>HYPERLINK("https://my.pitchbook.com?p=132871-87P","View People Online")</f>
        <v>View People Online</v>
      </c>
    </row>
    <row r="7111">
      <c r="A7111" s="14" t="s">
        <v>44320</v>
      </c>
      <c r="B7111" s="14" t="s">
        <v>44321</v>
      </c>
      <c r="C7111" s="14" t="s">
        <v>44322</v>
      </c>
      <c r="D7111" s="14" t="s">
        <v>13808</v>
      </c>
      <c r="E7111" s="14" t="s">
        <v>44195</v>
      </c>
      <c r="F7111" s="14" t="s">
        <v>470</v>
      </c>
      <c r="G7111" s="14" t="s">
        <v>44323</v>
      </c>
      <c r="H7111" s="15" t="s">
        <v>31</v>
      </c>
      <c r="I7111" s="15">
        <v>2.0</v>
      </c>
      <c r="J7111" s="15">
        <v>2.0</v>
      </c>
      <c r="K7111" s="15" t="s">
        <v>31</v>
      </c>
      <c r="L7111" s="16" t="s">
        <v>44207</v>
      </c>
      <c r="M7111" s="14" t="s">
        <v>44324</v>
      </c>
      <c r="N7111" s="14" t="s">
        <v>243</v>
      </c>
      <c r="O7111" s="16" t="s">
        <v>244</v>
      </c>
      <c r="P7111" s="14" t="s">
        <v>44209</v>
      </c>
      <c r="Q7111" s="14" t="s">
        <v>31</v>
      </c>
      <c r="R7111" s="14" t="s">
        <v>247</v>
      </c>
      <c r="S7111" s="16" t="s">
        <v>44210</v>
      </c>
      <c r="T7111" s="14" t="s">
        <v>249</v>
      </c>
      <c r="U7111" s="16" t="s">
        <v>31</v>
      </c>
      <c r="V7111" s="14" t="s">
        <v>44325</v>
      </c>
      <c r="W7111" s="14" t="s">
        <v>44195</v>
      </c>
      <c r="X7111" s="17" t="str">
        <f>HYPERLINK("https://my.pitchbook.com?p=248496-76P","View People Online")</f>
        <v>View People Online</v>
      </c>
    </row>
    <row r="7112">
      <c r="A7112" s="2" t="s">
        <v>44326</v>
      </c>
      <c r="B7112" s="2" t="s">
        <v>44327</v>
      </c>
      <c r="C7112" s="2" t="s">
        <v>44328</v>
      </c>
      <c r="D7112" s="2" t="s">
        <v>44329</v>
      </c>
      <c r="E7112" s="2" t="s">
        <v>44195</v>
      </c>
      <c r="F7112" s="2" t="s">
        <v>2422</v>
      </c>
      <c r="G7112" s="2" t="s">
        <v>44330</v>
      </c>
      <c r="H7112" s="3">
        <v>3.0</v>
      </c>
      <c r="I7112" s="3">
        <v>14.0</v>
      </c>
      <c r="J7112" s="3">
        <v>2.0</v>
      </c>
      <c r="K7112" s="3">
        <v>8.0</v>
      </c>
      <c r="L7112" s="4" t="s">
        <v>31</v>
      </c>
      <c r="M7112" s="2" t="s">
        <v>44331</v>
      </c>
      <c r="N7112" s="2" t="s">
        <v>243</v>
      </c>
      <c r="O7112" s="4" t="s">
        <v>244</v>
      </c>
      <c r="P7112" s="2" t="s">
        <v>44332</v>
      </c>
      <c r="Q7112" s="2" t="s">
        <v>44333</v>
      </c>
      <c r="R7112" s="2" t="s">
        <v>247</v>
      </c>
      <c r="S7112" s="4" t="s">
        <v>44334</v>
      </c>
      <c r="T7112" s="2" t="s">
        <v>249</v>
      </c>
      <c r="U7112" s="4" t="s">
        <v>31</v>
      </c>
      <c r="V7112" s="2" t="s">
        <v>71</v>
      </c>
      <c r="W7112" s="2" t="s">
        <v>44335</v>
      </c>
      <c r="X7112" s="5" t="str">
        <f>HYPERLINK("https://my.pitchbook.com?p=174118-42P","View People Online")</f>
        <v>View People Online</v>
      </c>
    </row>
    <row r="7113">
      <c r="A7113" s="6" t="s">
        <v>44336</v>
      </c>
      <c r="B7113" s="6" t="s">
        <v>44337</v>
      </c>
      <c r="C7113" s="6" t="s">
        <v>44338</v>
      </c>
      <c r="D7113" s="6" t="s">
        <v>44339</v>
      </c>
      <c r="E7113" s="6" t="s">
        <v>44195</v>
      </c>
      <c r="F7113" s="6" t="s">
        <v>548</v>
      </c>
      <c r="G7113" s="6" t="s">
        <v>44340</v>
      </c>
      <c r="H7113" s="7" t="s">
        <v>31</v>
      </c>
      <c r="I7113" s="7">
        <v>1.0</v>
      </c>
      <c r="J7113" s="7">
        <v>1.0</v>
      </c>
      <c r="K7113" s="7" t="s">
        <v>31</v>
      </c>
      <c r="L7113" s="8" t="s">
        <v>44207</v>
      </c>
      <c r="M7113" s="6" t="s">
        <v>44341</v>
      </c>
      <c r="N7113" s="6" t="s">
        <v>243</v>
      </c>
      <c r="O7113" s="8" t="s">
        <v>244</v>
      </c>
      <c r="P7113" s="6" t="s">
        <v>44209</v>
      </c>
      <c r="Q7113" s="6" t="s">
        <v>31</v>
      </c>
      <c r="R7113" s="6" t="s">
        <v>247</v>
      </c>
      <c r="S7113" s="8" t="s">
        <v>44210</v>
      </c>
      <c r="T7113" s="6" t="s">
        <v>249</v>
      </c>
      <c r="U7113" s="8" t="s">
        <v>31</v>
      </c>
      <c r="V7113" s="6" t="s">
        <v>44342</v>
      </c>
      <c r="W7113" s="6" t="s">
        <v>44195</v>
      </c>
      <c r="X7113" s="9" t="str">
        <f>HYPERLINK("https://my.pitchbook.com?p=73600-03P","View People Online")</f>
        <v>View People Online</v>
      </c>
    </row>
    <row r="7114">
      <c r="A7114" s="2" t="s">
        <v>44343</v>
      </c>
      <c r="B7114" s="2" t="s">
        <v>44344</v>
      </c>
      <c r="C7114" s="2" t="s">
        <v>1982</v>
      </c>
      <c r="D7114" s="2" t="s">
        <v>33320</v>
      </c>
      <c r="E7114" s="2" t="s">
        <v>44195</v>
      </c>
      <c r="F7114" s="2" t="s">
        <v>1801</v>
      </c>
      <c r="G7114" s="2" t="s">
        <v>44345</v>
      </c>
      <c r="H7114" s="3" t="s">
        <v>31</v>
      </c>
      <c r="I7114" s="3">
        <v>1.0</v>
      </c>
      <c r="J7114" s="3">
        <v>1.0</v>
      </c>
      <c r="K7114" s="3" t="s">
        <v>31</v>
      </c>
      <c r="L7114" s="4" t="s">
        <v>44207</v>
      </c>
      <c r="M7114" s="2" t="s">
        <v>44346</v>
      </c>
      <c r="N7114" s="2" t="s">
        <v>243</v>
      </c>
      <c r="O7114" s="4" t="s">
        <v>244</v>
      </c>
      <c r="P7114" s="2" t="s">
        <v>44209</v>
      </c>
      <c r="Q7114" s="2" t="s">
        <v>31</v>
      </c>
      <c r="R7114" s="2" t="s">
        <v>247</v>
      </c>
      <c r="S7114" s="4" t="s">
        <v>44210</v>
      </c>
      <c r="T7114" s="2" t="s">
        <v>249</v>
      </c>
      <c r="U7114" s="4" t="s">
        <v>31</v>
      </c>
      <c r="V7114" s="2" t="s">
        <v>44347</v>
      </c>
      <c r="W7114" s="2" t="s">
        <v>44195</v>
      </c>
      <c r="X7114" s="5" t="str">
        <f>HYPERLINK("https://my.pitchbook.com?p=151968-79P","View People Online")</f>
        <v>View People Online</v>
      </c>
    </row>
    <row r="7115">
      <c r="A7115" s="14" t="s">
        <v>44348</v>
      </c>
      <c r="B7115" s="14" t="s">
        <v>44349</v>
      </c>
      <c r="C7115" s="14" t="s">
        <v>15489</v>
      </c>
      <c r="D7115" s="14" t="s">
        <v>44350</v>
      </c>
      <c r="E7115" s="14" t="s">
        <v>44195</v>
      </c>
      <c r="F7115" s="14" t="s">
        <v>667</v>
      </c>
      <c r="G7115" s="14" t="s">
        <v>44351</v>
      </c>
      <c r="H7115" s="15" t="s">
        <v>31</v>
      </c>
      <c r="I7115" s="15">
        <v>1.0</v>
      </c>
      <c r="J7115" s="15">
        <v>1.0</v>
      </c>
      <c r="K7115" s="15" t="s">
        <v>31</v>
      </c>
      <c r="L7115" s="16" t="s">
        <v>44352</v>
      </c>
      <c r="M7115" s="14" t="s">
        <v>44353</v>
      </c>
      <c r="N7115" s="14" t="s">
        <v>44354</v>
      </c>
      <c r="O7115" s="16" t="s">
        <v>44355</v>
      </c>
      <c r="P7115" s="14" t="s">
        <v>44356</v>
      </c>
      <c r="Q7115" s="14" t="s">
        <v>31</v>
      </c>
      <c r="R7115" s="14" t="s">
        <v>247</v>
      </c>
      <c r="S7115" s="16" t="s">
        <v>44357</v>
      </c>
      <c r="T7115" s="14" t="s">
        <v>249</v>
      </c>
      <c r="U7115" s="16" t="s">
        <v>31</v>
      </c>
      <c r="V7115" s="14" t="s">
        <v>44358</v>
      </c>
      <c r="W7115" s="14" t="s">
        <v>44195</v>
      </c>
      <c r="X7115" s="17" t="str">
        <f>HYPERLINK("https://my.pitchbook.com?p=415567-81P","View People Online")</f>
        <v>View People Online</v>
      </c>
    </row>
    <row r="7116">
      <c r="A7116" s="10" t="s">
        <v>44359</v>
      </c>
      <c r="B7116" s="10" t="s">
        <v>44360</v>
      </c>
      <c r="C7116" s="10" t="s">
        <v>4943</v>
      </c>
      <c r="D7116" s="10" t="s">
        <v>44361</v>
      </c>
      <c r="E7116" s="10" t="s">
        <v>44195</v>
      </c>
      <c r="F7116" s="10" t="s">
        <v>548</v>
      </c>
      <c r="G7116" s="10" t="s">
        <v>44362</v>
      </c>
      <c r="H7116" s="11" t="s">
        <v>31</v>
      </c>
      <c r="I7116" s="11">
        <v>3.0</v>
      </c>
      <c r="J7116" s="11">
        <v>1.0</v>
      </c>
      <c r="K7116" s="11">
        <v>1.0</v>
      </c>
      <c r="L7116" s="12" t="s">
        <v>44207</v>
      </c>
      <c r="M7116" s="10" t="s">
        <v>44363</v>
      </c>
      <c r="N7116" s="10" t="s">
        <v>243</v>
      </c>
      <c r="O7116" s="12" t="s">
        <v>244</v>
      </c>
      <c r="P7116" s="10" t="s">
        <v>44209</v>
      </c>
      <c r="Q7116" s="10" t="s">
        <v>31</v>
      </c>
      <c r="R7116" s="10" t="s">
        <v>247</v>
      </c>
      <c r="S7116" s="12" t="s">
        <v>44210</v>
      </c>
      <c r="T7116" s="10" t="s">
        <v>249</v>
      </c>
      <c r="U7116" s="12" t="s">
        <v>31</v>
      </c>
      <c r="V7116" s="10" t="s">
        <v>44364</v>
      </c>
      <c r="W7116" s="10" t="s">
        <v>44195</v>
      </c>
      <c r="X7116" s="13" t="str">
        <f>HYPERLINK("https://my.pitchbook.com?p=172413-37P","View People Online")</f>
        <v>View People Online</v>
      </c>
    </row>
    <row r="7117">
      <c r="A7117" s="6" t="s">
        <v>44365</v>
      </c>
      <c r="B7117" s="6" t="s">
        <v>44366</v>
      </c>
      <c r="C7117" s="6" t="s">
        <v>1449</v>
      </c>
      <c r="D7117" s="6" t="s">
        <v>6030</v>
      </c>
      <c r="E7117" s="6" t="s">
        <v>44195</v>
      </c>
      <c r="F7117" s="6" t="s">
        <v>825</v>
      </c>
      <c r="G7117" s="6" t="s">
        <v>44367</v>
      </c>
      <c r="H7117" s="7" t="s">
        <v>31</v>
      </c>
      <c r="I7117" s="7">
        <v>2.0</v>
      </c>
      <c r="J7117" s="7">
        <v>1.0</v>
      </c>
      <c r="K7117" s="7">
        <v>1.0</v>
      </c>
      <c r="L7117" s="8" t="s">
        <v>31</v>
      </c>
      <c r="M7117" s="6" t="s">
        <v>44368</v>
      </c>
      <c r="N7117" s="6" t="s">
        <v>794</v>
      </c>
      <c r="O7117" s="8" t="s">
        <v>795</v>
      </c>
      <c r="P7117" s="6" t="s">
        <v>44369</v>
      </c>
      <c r="Q7117" s="6" t="s">
        <v>44370</v>
      </c>
      <c r="R7117" s="6" t="s">
        <v>31</v>
      </c>
      <c r="S7117" s="8" t="s">
        <v>44371</v>
      </c>
      <c r="T7117" s="6" t="s">
        <v>796</v>
      </c>
      <c r="U7117" s="8" t="s">
        <v>31</v>
      </c>
      <c r="V7117" s="6" t="s">
        <v>44372</v>
      </c>
      <c r="W7117" s="6" t="s">
        <v>44195</v>
      </c>
      <c r="X7117" s="9" t="str">
        <f>HYPERLINK("https://my.pitchbook.com?p=169830-01P","View People Online")</f>
        <v>View People Online</v>
      </c>
    </row>
    <row r="7118">
      <c r="A7118" s="10" t="s">
        <v>44373</v>
      </c>
      <c r="B7118" s="10" t="s">
        <v>44374</v>
      </c>
      <c r="C7118" s="10" t="s">
        <v>1449</v>
      </c>
      <c r="D7118" s="10" t="s">
        <v>44375</v>
      </c>
      <c r="E7118" s="10" t="s">
        <v>44195</v>
      </c>
      <c r="F7118" s="10" t="s">
        <v>825</v>
      </c>
      <c r="G7118" s="10" t="s">
        <v>44376</v>
      </c>
      <c r="H7118" s="11" t="s">
        <v>31</v>
      </c>
      <c r="I7118" s="11">
        <v>1.0</v>
      </c>
      <c r="J7118" s="11">
        <v>1.0</v>
      </c>
      <c r="K7118" s="11" t="s">
        <v>31</v>
      </c>
      <c r="L7118" s="12" t="s">
        <v>44207</v>
      </c>
      <c r="M7118" s="10" t="s">
        <v>44377</v>
      </c>
      <c r="N7118" s="10" t="s">
        <v>243</v>
      </c>
      <c r="O7118" s="12" t="s">
        <v>244</v>
      </c>
      <c r="P7118" s="10" t="s">
        <v>44209</v>
      </c>
      <c r="Q7118" s="10" t="s">
        <v>31</v>
      </c>
      <c r="R7118" s="10" t="s">
        <v>247</v>
      </c>
      <c r="S7118" s="12" t="s">
        <v>44210</v>
      </c>
      <c r="T7118" s="10" t="s">
        <v>249</v>
      </c>
      <c r="U7118" s="12" t="s">
        <v>31</v>
      </c>
      <c r="V7118" s="10" t="s">
        <v>44378</v>
      </c>
      <c r="W7118" s="10" t="s">
        <v>44195</v>
      </c>
      <c r="X7118" s="13" t="str">
        <f>HYPERLINK("https://my.pitchbook.com?p=55421-02P","View People Online")</f>
        <v>View People Online</v>
      </c>
    </row>
    <row r="7119">
      <c r="A7119" s="14" t="s">
        <v>44379</v>
      </c>
      <c r="B7119" s="14" t="s">
        <v>44380</v>
      </c>
      <c r="C7119" s="14" t="s">
        <v>11210</v>
      </c>
      <c r="D7119" s="14" t="s">
        <v>44381</v>
      </c>
      <c r="E7119" s="14" t="s">
        <v>44195</v>
      </c>
      <c r="F7119" s="14" t="s">
        <v>825</v>
      </c>
      <c r="G7119" s="14" t="s">
        <v>44382</v>
      </c>
      <c r="H7119" s="15" t="s">
        <v>31</v>
      </c>
      <c r="I7119" s="15">
        <v>1.0</v>
      </c>
      <c r="J7119" s="15">
        <v>1.0</v>
      </c>
      <c r="K7119" s="15" t="s">
        <v>31</v>
      </c>
      <c r="L7119" s="16" t="s">
        <v>44207</v>
      </c>
      <c r="M7119" s="14" t="s">
        <v>44383</v>
      </c>
      <c r="N7119" s="14" t="s">
        <v>243</v>
      </c>
      <c r="O7119" s="16" t="s">
        <v>244</v>
      </c>
      <c r="P7119" s="14" t="s">
        <v>44209</v>
      </c>
      <c r="Q7119" s="14" t="s">
        <v>31</v>
      </c>
      <c r="R7119" s="14" t="s">
        <v>247</v>
      </c>
      <c r="S7119" s="16" t="s">
        <v>44210</v>
      </c>
      <c r="T7119" s="14" t="s">
        <v>249</v>
      </c>
      <c r="U7119" s="16" t="s">
        <v>31</v>
      </c>
      <c r="V7119" s="14" t="s">
        <v>44384</v>
      </c>
      <c r="W7119" s="14" t="s">
        <v>44195</v>
      </c>
      <c r="X7119" s="17" t="str">
        <f>HYPERLINK("https://my.pitchbook.com?p=415216-54P","View People Online")</f>
        <v>View People Online</v>
      </c>
    </row>
    <row r="7120">
      <c r="A7120" s="2" t="s">
        <v>44385</v>
      </c>
      <c r="B7120" s="2" t="s">
        <v>44386</v>
      </c>
      <c r="C7120" s="2" t="s">
        <v>16168</v>
      </c>
      <c r="D7120" s="2" t="s">
        <v>44387</v>
      </c>
      <c r="E7120" s="2" t="s">
        <v>44195</v>
      </c>
      <c r="F7120" s="2" t="s">
        <v>3823</v>
      </c>
      <c r="G7120" s="2" t="s">
        <v>44388</v>
      </c>
      <c r="H7120" s="3" t="s">
        <v>31</v>
      </c>
      <c r="I7120" s="3">
        <v>3.0</v>
      </c>
      <c r="J7120" s="3">
        <v>1.0</v>
      </c>
      <c r="K7120" s="3" t="s">
        <v>31</v>
      </c>
      <c r="L7120" s="4" t="s">
        <v>44207</v>
      </c>
      <c r="M7120" s="2" t="s">
        <v>44389</v>
      </c>
      <c r="N7120" s="2" t="s">
        <v>243</v>
      </c>
      <c r="O7120" s="4" t="s">
        <v>244</v>
      </c>
      <c r="P7120" s="2" t="s">
        <v>44209</v>
      </c>
      <c r="Q7120" s="2" t="s">
        <v>31</v>
      </c>
      <c r="R7120" s="2" t="s">
        <v>247</v>
      </c>
      <c r="S7120" s="4" t="s">
        <v>44210</v>
      </c>
      <c r="T7120" s="2" t="s">
        <v>249</v>
      </c>
      <c r="U7120" s="4" t="s">
        <v>31</v>
      </c>
      <c r="V7120" s="2" t="s">
        <v>44390</v>
      </c>
      <c r="W7120" s="2" t="s">
        <v>44195</v>
      </c>
      <c r="X7120" s="5" t="str">
        <f>HYPERLINK("https://my.pitchbook.com?p=358668-82P","View People Online")</f>
        <v>View People Online</v>
      </c>
    </row>
    <row r="7121">
      <c r="A7121" s="6" t="s">
        <v>44391</v>
      </c>
      <c r="B7121" s="6" t="s">
        <v>44392</v>
      </c>
      <c r="C7121" s="6" t="s">
        <v>44393</v>
      </c>
      <c r="D7121" s="6" t="s">
        <v>44394</v>
      </c>
      <c r="E7121" s="6" t="s">
        <v>44195</v>
      </c>
      <c r="F7121" s="6" t="s">
        <v>38303</v>
      </c>
      <c r="G7121" s="6" t="s">
        <v>44395</v>
      </c>
      <c r="H7121" s="7">
        <v>1.0</v>
      </c>
      <c r="I7121" s="7">
        <v>1.0</v>
      </c>
      <c r="J7121" s="7">
        <v>1.0</v>
      </c>
      <c r="K7121" s="7" t="s">
        <v>31</v>
      </c>
      <c r="L7121" s="8" t="s">
        <v>44207</v>
      </c>
      <c r="M7121" s="6" t="s">
        <v>31</v>
      </c>
      <c r="N7121" s="6" t="s">
        <v>243</v>
      </c>
      <c r="O7121" s="8" t="s">
        <v>244</v>
      </c>
      <c r="P7121" s="6" t="s">
        <v>44209</v>
      </c>
      <c r="Q7121" s="6" t="s">
        <v>31</v>
      </c>
      <c r="R7121" s="6" t="s">
        <v>247</v>
      </c>
      <c r="S7121" s="8" t="s">
        <v>44210</v>
      </c>
      <c r="T7121" s="6" t="s">
        <v>249</v>
      </c>
      <c r="U7121" s="8" t="s">
        <v>31</v>
      </c>
      <c r="V7121" s="6" t="s">
        <v>44396</v>
      </c>
      <c r="W7121" s="6" t="s">
        <v>44195</v>
      </c>
      <c r="X7121" s="9" t="str">
        <f>HYPERLINK("https://my.pitchbook.com?p=127853-92P","View People Online")</f>
        <v>View People Online</v>
      </c>
    </row>
    <row r="7122">
      <c r="A7122" s="2" t="s">
        <v>44397</v>
      </c>
      <c r="B7122" s="2" t="s">
        <v>44398</v>
      </c>
      <c r="C7122" s="2" t="s">
        <v>8814</v>
      </c>
      <c r="D7122" s="2" t="s">
        <v>44399</v>
      </c>
      <c r="E7122" s="2" t="s">
        <v>44195</v>
      </c>
      <c r="F7122" s="2" t="s">
        <v>11394</v>
      </c>
      <c r="G7122" s="2" t="s">
        <v>44400</v>
      </c>
      <c r="H7122" s="3" t="s">
        <v>31</v>
      </c>
      <c r="I7122" s="3">
        <v>1.0</v>
      </c>
      <c r="J7122" s="3">
        <v>1.0</v>
      </c>
      <c r="K7122" s="3" t="s">
        <v>31</v>
      </c>
      <c r="L7122" s="4" t="s">
        <v>44207</v>
      </c>
      <c r="M7122" s="2" t="s">
        <v>44401</v>
      </c>
      <c r="N7122" s="2" t="s">
        <v>243</v>
      </c>
      <c r="O7122" s="4" t="s">
        <v>244</v>
      </c>
      <c r="P7122" s="2" t="s">
        <v>44209</v>
      </c>
      <c r="Q7122" s="2" t="s">
        <v>31</v>
      </c>
      <c r="R7122" s="2" t="s">
        <v>247</v>
      </c>
      <c r="S7122" s="4" t="s">
        <v>44210</v>
      </c>
      <c r="T7122" s="2" t="s">
        <v>249</v>
      </c>
      <c r="U7122" s="4" t="s">
        <v>31</v>
      </c>
      <c r="V7122" s="2" t="s">
        <v>44402</v>
      </c>
      <c r="W7122" s="2" t="s">
        <v>44195</v>
      </c>
      <c r="X7122" s="5" t="str">
        <f>HYPERLINK("https://my.pitchbook.com?p=415438-03P","View People Online")</f>
        <v>View People Online</v>
      </c>
    </row>
    <row r="7123">
      <c r="A7123" s="6" t="s">
        <v>44403</v>
      </c>
      <c r="B7123" s="6" t="s">
        <v>44404</v>
      </c>
      <c r="C7123" s="6" t="s">
        <v>8820</v>
      </c>
      <c r="D7123" s="6" t="s">
        <v>44405</v>
      </c>
      <c r="E7123" s="6" t="s">
        <v>44195</v>
      </c>
      <c r="F7123" s="6" t="s">
        <v>548</v>
      </c>
      <c r="G7123" s="6" t="s">
        <v>44406</v>
      </c>
      <c r="H7123" s="7" t="s">
        <v>31</v>
      </c>
      <c r="I7123" s="7">
        <v>1.0</v>
      </c>
      <c r="J7123" s="7">
        <v>1.0</v>
      </c>
      <c r="K7123" s="7" t="s">
        <v>31</v>
      </c>
      <c r="L7123" s="8" t="s">
        <v>44407</v>
      </c>
      <c r="M7123" s="6" t="s">
        <v>44408</v>
      </c>
      <c r="N7123" s="6" t="s">
        <v>429</v>
      </c>
      <c r="O7123" s="8" t="s">
        <v>430</v>
      </c>
      <c r="P7123" s="6" t="s">
        <v>44409</v>
      </c>
      <c r="Q7123" s="6" t="s">
        <v>31</v>
      </c>
      <c r="R7123" s="6" t="s">
        <v>31</v>
      </c>
      <c r="S7123" s="8" t="s">
        <v>432</v>
      </c>
      <c r="T7123" s="6" t="s">
        <v>433</v>
      </c>
      <c r="U7123" s="8" t="s">
        <v>31</v>
      </c>
      <c r="V7123" s="6" t="s">
        <v>44410</v>
      </c>
      <c r="W7123" s="6" t="s">
        <v>44195</v>
      </c>
      <c r="X7123" s="9" t="str">
        <f>HYPERLINK("https://my.pitchbook.com?p=405476-56P","View People Online")</f>
        <v>View People Online</v>
      </c>
    </row>
    <row r="7124">
      <c r="A7124" s="10" t="s">
        <v>44411</v>
      </c>
      <c r="B7124" s="10" t="s">
        <v>44412</v>
      </c>
      <c r="C7124" s="10" t="s">
        <v>1146</v>
      </c>
      <c r="D7124" s="10" t="s">
        <v>44413</v>
      </c>
      <c r="E7124" s="10" t="s">
        <v>44195</v>
      </c>
      <c r="F7124" s="10" t="s">
        <v>825</v>
      </c>
      <c r="G7124" s="10" t="s">
        <v>44414</v>
      </c>
      <c r="H7124" s="11" t="s">
        <v>31</v>
      </c>
      <c r="I7124" s="11">
        <v>1.0</v>
      </c>
      <c r="J7124" s="11">
        <v>1.0</v>
      </c>
      <c r="K7124" s="11" t="s">
        <v>31</v>
      </c>
      <c r="L7124" s="12" t="s">
        <v>44207</v>
      </c>
      <c r="M7124" s="10" t="s">
        <v>44415</v>
      </c>
      <c r="N7124" s="10" t="s">
        <v>243</v>
      </c>
      <c r="O7124" s="12" t="s">
        <v>244</v>
      </c>
      <c r="P7124" s="10" t="s">
        <v>44209</v>
      </c>
      <c r="Q7124" s="10" t="s">
        <v>31</v>
      </c>
      <c r="R7124" s="10" t="s">
        <v>247</v>
      </c>
      <c r="S7124" s="12" t="s">
        <v>44210</v>
      </c>
      <c r="T7124" s="10" t="s">
        <v>249</v>
      </c>
      <c r="U7124" s="12" t="s">
        <v>31</v>
      </c>
      <c r="V7124" s="10" t="s">
        <v>44416</v>
      </c>
      <c r="W7124" s="10" t="s">
        <v>44195</v>
      </c>
      <c r="X7124" s="13" t="str">
        <f>HYPERLINK("https://my.pitchbook.com?p=157440-34P","View People Online")</f>
        <v>View People Online</v>
      </c>
    </row>
    <row r="7125">
      <c r="A7125" s="6" t="s">
        <v>44417</v>
      </c>
      <c r="B7125" s="6" t="s">
        <v>44418</v>
      </c>
      <c r="C7125" s="6" t="s">
        <v>11387</v>
      </c>
      <c r="D7125" s="6" t="s">
        <v>44419</v>
      </c>
      <c r="E7125" s="6" t="s">
        <v>44195</v>
      </c>
      <c r="F7125" s="6" t="s">
        <v>548</v>
      </c>
      <c r="G7125" s="6" t="s">
        <v>44420</v>
      </c>
      <c r="H7125" s="7" t="s">
        <v>31</v>
      </c>
      <c r="I7125" s="7">
        <v>1.0</v>
      </c>
      <c r="J7125" s="7">
        <v>1.0</v>
      </c>
      <c r="K7125" s="7" t="s">
        <v>31</v>
      </c>
      <c r="L7125" s="8" t="s">
        <v>44421</v>
      </c>
      <c r="M7125" s="6" t="s">
        <v>44422</v>
      </c>
      <c r="N7125" s="6" t="s">
        <v>243</v>
      </c>
      <c r="O7125" s="8" t="s">
        <v>244</v>
      </c>
      <c r="P7125" s="6" t="s">
        <v>44209</v>
      </c>
      <c r="Q7125" s="6" t="s">
        <v>31</v>
      </c>
      <c r="R7125" s="6" t="s">
        <v>247</v>
      </c>
      <c r="S7125" s="8" t="s">
        <v>44210</v>
      </c>
      <c r="T7125" s="6" t="s">
        <v>249</v>
      </c>
      <c r="U7125" s="8" t="s">
        <v>31</v>
      </c>
      <c r="V7125" s="6" t="s">
        <v>9351</v>
      </c>
      <c r="W7125" s="6" t="s">
        <v>44195</v>
      </c>
      <c r="X7125" s="9" t="str">
        <f>HYPERLINK("https://my.pitchbook.com?p=312065-74P","View People Online")</f>
        <v>View People Online</v>
      </c>
    </row>
    <row r="7126">
      <c r="A7126" s="2" t="s">
        <v>44423</v>
      </c>
      <c r="B7126" s="2" t="s">
        <v>44424</v>
      </c>
      <c r="C7126" s="2" t="s">
        <v>4345</v>
      </c>
      <c r="D7126" s="2" t="s">
        <v>24958</v>
      </c>
      <c r="E7126" s="2" t="s">
        <v>44195</v>
      </c>
      <c r="F7126" s="2" t="s">
        <v>4931</v>
      </c>
      <c r="G7126" s="2" t="s">
        <v>44425</v>
      </c>
      <c r="H7126" s="3" t="s">
        <v>31</v>
      </c>
      <c r="I7126" s="3">
        <v>1.0</v>
      </c>
      <c r="J7126" s="3">
        <v>1.0</v>
      </c>
      <c r="K7126" s="3" t="s">
        <v>31</v>
      </c>
      <c r="L7126" s="4" t="s">
        <v>44426</v>
      </c>
      <c r="M7126" s="2" t="s">
        <v>44427</v>
      </c>
      <c r="N7126" s="2" t="s">
        <v>243</v>
      </c>
      <c r="O7126" s="4" t="s">
        <v>244</v>
      </c>
      <c r="P7126" s="2" t="s">
        <v>44209</v>
      </c>
      <c r="Q7126" s="2" t="s">
        <v>31</v>
      </c>
      <c r="R7126" s="2" t="s">
        <v>247</v>
      </c>
      <c r="S7126" s="4" t="s">
        <v>44210</v>
      </c>
      <c r="T7126" s="2" t="s">
        <v>249</v>
      </c>
      <c r="U7126" s="4" t="s">
        <v>31</v>
      </c>
      <c r="V7126" s="2" t="s">
        <v>44428</v>
      </c>
      <c r="W7126" s="2" t="s">
        <v>44195</v>
      </c>
      <c r="X7126" s="5" t="str">
        <f>HYPERLINK("https://my.pitchbook.com?p=161330-95P","View People Online")</f>
        <v>View People Online</v>
      </c>
    </row>
    <row r="7127">
      <c r="A7127" s="6" t="s">
        <v>44429</v>
      </c>
      <c r="B7127" s="6" t="s">
        <v>44430</v>
      </c>
      <c r="C7127" s="6" t="s">
        <v>3521</v>
      </c>
      <c r="D7127" s="6" t="s">
        <v>44431</v>
      </c>
      <c r="E7127" s="6" t="s">
        <v>44195</v>
      </c>
      <c r="F7127" s="6" t="s">
        <v>201</v>
      </c>
      <c r="G7127" s="6" t="s">
        <v>44432</v>
      </c>
      <c r="H7127" s="7" t="s">
        <v>31</v>
      </c>
      <c r="I7127" s="7">
        <v>1.0</v>
      </c>
      <c r="J7127" s="7">
        <v>1.0</v>
      </c>
      <c r="K7127" s="7" t="s">
        <v>31</v>
      </c>
      <c r="L7127" s="8" t="s">
        <v>44207</v>
      </c>
      <c r="M7127" s="6" t="s">
        <v>44433</v>
      </c>
      <c r="N7127" s="6" t="s">
        <v>243</v>
      </c>
      <c r="O7127" s="8" t="s">
        <v>244</v>
      </c>
      <c r="P7127" s="6" t="s">
        <v>44209</v>
      </c>
      <c r="Q7127" s="6" t="s">
        <v>31</v>
      </c>
      <c r="R7127" s="6" t="s">
        <v>247</v>
      </c>
      <c r="S7127" s="8" t="s">
        <v>44210</v>
      </c>
      <c r="T7127" s="6" t="s">
        <v>249</v>
      </c>
      <c r="U7127" s="8" t="s">
        <v>31</v>
      </c>
      <c r="V7127" s="6" t="s">
        <v>44434</v>
      </c>
      <c r="W7127" s="6" t="s">
        <v>44195</v>
      </c>
      <c r="X7127" s="9" t="str">
        <f>HYPERLINK("https://my.pitchbook.com?p=339170-05P","View People Online")</f>
        <v>View People Online</v>
      </c>
    </row>
    <row r="7128">
      <c r="A7128" s="2" t="s">
        <v>44435</v>
      </c>
      <c r="B7128" s="2" t="s">
        <v>44436</v>
      </c>
      <c r="C7128" s="2" t="s">
        <v>44437</v>
      </c>
      <c r="D7128" s="2" t="s">
        <v>44438</v>
      </c>
      <c r="E7128" s="2" t="s">
        <v>44195</v>
      </c>
      <c r="F7128" s="2" t="s">
        <v>825</v>
      </c>
      <c r="G7128" s="2" t="s">
        <v>44439</v>
      </c>
      <c r="H7128" s="3" t="s">
        <v>31</v>
      </c>
      <c r="I7128" s="3">
        <v>1.0</v>
      </c>
      <c r="J7128" s="3">
        <v>1.0</v>
      </c>
      <c r="K7128" s="3" t="s">
        <v>31</v>
      </c>
      <c r="L7128" s="4" t="s">
        <v>44257</v>
      </c>
      <c r="M7128" s="2" t="s">
        <v>44440</v>
      </c>
      <c r="N7128" s="2" t="s">
        <v>2754</v>
      </c>
      <c r="O7128" s="4" t="s">
        <v>2755</v>
      </c>
      <c r="P7128" s="2" t="s">
        <v>44259</v>
      </c>
      <c r="Q7128" s="2" t="s">
        <v>44260</v>
      </c>
      <c r="R7128" s="2" t="s">
        <v>31</v>
      </c>
      <c r="S7128" s="4" t="s">
        <v>13737</v>
      </c>
      <c r="T7128" s="2" t="s">
        <v>38</v>
      </c>
      <c r="U7128" s="4" t="s">
        <v>31</v>
      </c>
      <c r="V7128" s="2" t="s">
        <v>44441</v>
      </c>
      <c r="W7128" s="2" t="s">
        <v>44195</v>
      </c>
      <c r="X7128" s="5" t="str">
        <f>HYPERLINK("https://my.pitchbook.com?p=444463-57P","View People Online")</f>
        <v>View People Online</v>
      </c>
    </row>
    <row r="7129">
      <c r="A7129" s="6" t="s">
        <v>44442</v>
      </c>
      <c r="B7129" s="6" t="s">
        <v>44443</v>
      </c>
      <c r="C7129" s="6" t="s">
        <v>823</v>
      </c>
      <c r="D7129" s="6" t="s">
        <v>44444</v>
      </c>
      <c r="E7129" s="6" t="s">
        <v>44195</v>
      </c>
      <c r="F7129" s="6" t="s">
        <v>11257</v>
      </c>
      <c r="G7129" s="6" t="s">
        <v>44445</v>
      </c>
      <c r="H7129" s="7" t="s">
        <v>31</v>
      </c>
      <c r="I7129" s="7">
        <v>1.0</v>
      </c>
      <c r="J7129" s="7">
        <v>1.0</v>
      </c>
      <c r="K7129" s="7" t="s">
        <v>31</v>
      </c>
      <c r="L7129" s="8" t="s">
        <v>44207</v>
      </c>
      <c r="M7129" s="6" t="s">
        <v>44446</v>
      </c>
      <c r="N7129" s="6" t="s">
        <v>243</v>
      </c>
      <c r="O7129" s="8" t="s">
        <v>244</v>
      </c>
      <c r="P7129" s="6" t="s">
        <v>44209</v>
      </c>
      <c r="Q7129" s="6" t="s">
        <v>31</v>
      </c>
      <c r="R7129" s="6" t="s">
        <v>247</v>
      </c>
      <c r="S7129" s="8" t="s">
        <v>44210</v>
      </c>
      <c r="T7129" s="6" t="s">
        <v>249</v>
      </c>
      <c r="U7129" s="8" t="s">
        <v>31</v>
      </c>
      <c r="V7129" s="6" t="s">
        <v>11257</v>
      </c>
      <c r="W7129" s="6" t="s">
        <v>44195</v>
      </c>
      <c r="X7129" s="9" t="str">
        <f>HYPERLINK("https://my.pitchbook.com?p=80950-42P","View People Online")</f>
        <v>View People Online</v>
      </c>
    </row>
    <row r="7130">
      <c r="A7130" s="2" t="s">
        <v>44447</v>
      </c>
      <c r="B7130" s="2" t="s">
        <v>44448</v>
      </c>
      <c r="C7130" s="2" t="s">
        <v>26</v>
      </c>
      <c r="D7130" s="2" t="s">
        <v>18864</v>
      </c>
      <c r="E7130" s="2" t="s">
        <v>44195</v>
      </c>
      <c r="F7130" s="2" t="s">
        <v>825</v>
      </c>
      <c r="G7130" s="2" t="s">
        <v>44449</v>
      </c>
      <c r="H7130" s="3" t="s">
        <v>31</v>
      </c>
      <c r="I7130" s="3">
        <v>1.0</v>
      </c>
      <c r="J7130" s="3">
        <v>1.0</v>
      </c>
      <c r="K7130" s="3" t="s">
        <v>31</v>
      </c>
      <c r="L7130" s="4" t="s">
        <v>44207</v>
      </c>
      <c r="M7130" s="2" t="s">
        <v>44450</v>
      </c>
      <c r="N7130" s="2" t="s">
        <v>243</v>
      </c>
      <c r="O7130" s="4" t="s">
        <v>244</v>
      </c>
      <c r="P7130" s="2" t="s">
        <v>44209</v>
      </c>
      <c r="Q7130" s="2" t="s">
        <v>31</v>
      </c>
      <c r="R7130" s="2" t="s">
        <v>247</v>
      </c>
      <c r="S7130" s="4" t="s">
        <v>44210</v>
      </c>
      <c r="T7130" s="2" t="s">
        <v>249</v>
      </c>
      <c r="U7130" s="4" t="s">
        <v>31</v>
      </c>
      <c r="V7130" s="2" t="s">
        <v>44451</v>
      </c>
      <c r="W7130" s="2" t="s">
        <v>44195</v>
      </c>
      <c r="X7130" s="5" t="str">
        <f>HYPERLINK("https://my.pitchbook.com?p=190348-66P","View People Online")</f>
        <v>View People Online</v>
      </c>
    </row>
    <row r="7131">
      <c r="A7131" s="6" t="s">
        <v>44452</v>
      </c>
      <c r="B7131" s="6" t="s">
        <v>44453</v>
      </c>
      <c r="C7131" s="6" t="s">
        <v>30073</v>
      </c>
      <c r="D7131" s="6" t="s">
        <v>1267</v>
      </c>
      <c r="E7131" s="6" t="s">
        <v>44195</v>
      </c>
      <c r="F7131" s="6" t="s">
        <v>548</v>
      </c>
      <c r="G7131" s="6" t="s">
        <v>44454</v>
      </c>
      <c r="H7131" s="7" t="s">
        <v>31</v>
      </c>
      <c r="I7131" s="7">
        <v>1.0</v>
      </c>
      <c r="J7131" s="7">
        <v>1.0</v>
      </c>
      <c r="K7131" s="7" t="s">
        <v>31</v>
      </c>
      <c r="L7131" s="8" t="s">
        <v>44207</v>
      </c>
      <c r="M7131" s="6" t="s">
        <v>44455</v>
      </c>
      <c r="N7131" s="6" t="s">
        <v>243</v>
      </c>
      <c r="O7131" s="8" t="s">
        <v>244</v>
      </c>
      <c r="P7131" s="6" t="s">
        <v>44209</v>
      </c>
      <c r="Q7131" s="6" t="s">
        <v>31</v>
      </c>
      <c r="R7131" s="6" t="s">
        <v>247</v>
      </c>
      <c r="S7131" s="8" t="s">
        <v>44210</v>
      </c>
      <c r="T7131" s="6" t="s">
        <v>249</v>
      </c>
      <c r="U7131" s="8" t="s">
        <v>31</v>
      </c>
      <c r="V7131" s="6" t="s">
        <v>44456</v>
      </c>
      <c r="W7131" s="6" t="s">
        <v>44195</v>
      </c>
      <c r="X7131" s="9" t="str">
        <f>HYPERLINK("https://my.pitchbook.com?p=95597-29P","View People Online")</f>
        <v>View People Online</v>
      </c>
    </row>
    <row r="7132">
      <c r="A7132" s="10" t="s">
        <v>44457</v>
      </c>
      <c r="B7132" s="10" t="s">
        <v>44458</v>
      </c>
      <c r="C7132" s="10" t="s">
        <v>350</v>
      </c>
      <c r="D7132" s="10" t="s">
        <v>44459</v>
      </c>
      <c r="E7132" s="10" t="s">
        <v>44195</v>
      </c>
      <c r="F7132" s="10" t="s">
        <v>896</v>
      </c>
      <c r="G7132" s="10" t="s">
        <v>44460</v>
      </c>
      <c r="H7132" s="11" t="s">
        <v>31</v>
      </c>
      <c r="I7132" s="11">
        <v>3.0</v>
      </c>
      <c r="J7132" s="11">
        <v>1.0</v>
      </c>
      <c r="K7132" s="11">
        <v>2.0</v>
      </c>
      <c r="L7132" s="12" t="s">
        <v>44207</v>
      </c>
      <c r="M7132" s="10" t="s">
        <v>44461</v>
      </c>
      <c r="N7132" s="10" t="s">
        <v>243</v>
      </c>
      <c r="O7132" s="12" t="s">
        <v>244</v>
      </c>
      <c r="P7132" s="10" t="s">
        <v>44209</v>
      </c>
      <c r="Q7132" s="10" t="s">
        <v>31</v>
      </c>
      <c r="R7132" s="10" t="s">
        <v>247</v>
      </c>
      <c r="S7132" s="12" t="s">
        <v>44210</v>
      </c>
      <c r="T7132" s="10" t="s">
        <v>249</v>
      </c>
      <c r="U7132" s="12" t="s">
        <v>31</v>
      </c>
      <c r="V7132" s="10" t="s">
        <v>896</v>
      </c>
      <c r="W7132" s="10" t="s">
        <v>44195</v>
      </c>
      <c r="X7132" s="13" t="str">
        <f>HYPERLINK("https://my.pitchbook.com?p=376956-46P","View People Online")</f>
        <v>View People Online</v>
      </c>
    </row>
    <row r="7133">
      <c r="A7133" s="6" t="s">
        <v>44462</v>
      </c>
      <c r="B7133" s="6" t="s">
        <v>44463</v>
      </c>
      <c r="C7133" s="6" t="s">
        <v>44464</v>
      </c>
      <c r="D7133" s="6" t="s">
        <v>44465</v>
      </c>
      <c r="E7133" s="6" t="s">
        <v>44195</v>
      </c>
      <c r="F7133" s="6" t="s">
        <v>41270</v>
      </c>
      <c r="G7133" s="6" t="s">
        <v>44466</v>
      </c>
      <c r="H7133" s="7" t="s">
        <v>31</v>
      </c>
      <c r="I7133" s="7">
        <v>1.0</v>
      </c>
      <c r="J7133" s="7">
        <v>1.0</v>
      </c>
      <c r="K7133" s="7" t="s">
        <v>31</v>
      </c>
      <c r="L7133" s="8" t="s">
        <v>44467</v>
      </c>
      <c r="M7133" s="6" t="s">
        <v>44468</v>
      </c>
      <c r="N7133" s="6" t="s">
        <v>1005</v>
      </c>
      <c r="O7133" s="8" t="s">
        <v>1006</v>
      </c>
      <c r="P7133" s="6" t="s">
        <v>44469</v>
      </c>
      <c r="Q7133" s="6" t="s">
        <v>44470</v>
      </c>
      <c r="R7133" s="6" t="s">
        <v>31</v>
      </c>
      <c r="S7133" s="8" t="s">
        <v>44471</v>
      </c>
      <c r="T7133" s="6" t="s">
        <v>1010</v>
      </c>
      <c r="U7133" s="8" t="s">
        <v>31</v>
      </c>
      <c r="V7133" s="6" t="s">
        <v>44472</v>
      </c>
      <c r="W7133" s="6" t="s">
        <v>44195</v>
      </c>
      <c r="X7133" s="9" t="str">
        <f>HYPERLINK("https://my.pitchbook.com?p=149247-10P","View People Online")</f>
        <v>View People Online</v>
      </c>
    </row>
    <row r="7134">
      <c r="A7134" s="10" t="s">
        <v>44473</v>
      </c>
      <c r="B7134" s="10" t="s">
        <v>44474</v>
      </c>
      <c r="C7134" s="10" t="s">
        <v>26242</v>
      </c>
      <c r="D7134" s="10" t="s">
        <v>44475</v>
      </c>
      <c r="E7134" s="10" t="s">
        <v>44195</v>
      </c>
      <c r="F7134" s="10" t="s">
        <v>548</v>
      </c>
      <c r="G7134" s="10" t="s">
        <v>44476</v>
      </c>
      <c r="H7134" s="11" t="s">
        <v>31</v>
      </c>
      <c r="I7134" s="11">
        <v>1.0</v>
      </c>
      <c r="J7134" s="11">
        <v>1.0</v>
      </c>
      <c r="K7134" s="11" t="s">
        <v>31</v>
      </c>
      <c r="L7134" s="12" t="s">
        <v>44207</v>
      </c>
      <c r="M7134" s="10" t="s">
        <v>44477</v>
      </c>
      <c r="N7134" s="10" t="s">
        <v>243</v>
      </c>
      <c r="O7134" s="12" t="s">
        <v>244</v>
      </c>
      <c r="P7134" s="10" t="s">
        <v>44209</v>
      </c>
      <c r="Q7134" s="10" t="s">
        <v>31</v>
      </c>
      <c r="R7134" s="10" t="s">
        <v>247</v>
      </c>
      <c r="S7134" s="12" t="s">
        <v>44210</v>
      </c>
      <c r="T7134" s="10" t="s">
        <v>249</v>
      </c>
      <c r="U7134" s="12" t="s">
        <v>31</v>
      </c>
      <c r="V7134" s="10" t="s">
        <v>44478</v>
      </c>
      <c r="W7134" s="10" t="s">
        <v>44195</v>
      </c>
      <c r="X7134" s="13" t="str">
        <f>HYPERLINK("https://my.pitchbook.com?p=257035-06P","View People Online")</f>
        <v>View People Online</v>
      </c>
    </row>
    <row r="7135">
      <c r="A7135" s="6" t="s">
        <v>44479</v>
      </c>
      <c r="B7135" s="6" t="s">
        <v>44480</v>
      </c>
      <c r="C7135" s="6" t="s">
        <v>17908</v>
      </c>
      <c r="D7135" s="6" t="s">
        <v>44481</v>
      </c>
      <c r="E7135" s="6" t="s">
        <v>44195</v>
      </c>
      <c r="F7135" s="6" t="s">
        <v>1922</v>
      </c>
      <c r="G7135" s="6" t="s">
        <v>44482</v>
      </c>
      <c r="H7135" s="7" t="s">
        <v>31</v>
      </c>
      <c r="I7135" s="7">
        <v>1.0</v>
      </c>
      <c r="J7135" s="7">
        <v>1.0</v>
      </c>
      <c r="K7135" s="7" t="s">
        <v>31</v>
      </c>
      <c r="L7135" s="8" t="s">
        <v>44483</v>
      </c>
      <c r="M7135" s="6" t="s">
        <v>44484</v>
      </c>
      <c r="N7135" s="6" t="s">
        <v>1005</v>
      </c>
      <c r="O7135" s="8" t="s">
        <v>1006</v>
      </c>
      <c r="P7135" s="6" t="s">
        <v>44469</v>
      </c>
      <c r="Q7135" s="6" t="s">
        <v>44470</v>
      </c>
      <c r="R7135" s="6" t="s">
        <v>31</v>
      </c>
      <c r="S7135" s="8" t="s">
        <v>44471</v>
      </c>
      <c r="T7135" s="6" t="s">
        <v>1010</v>
      </c>
      <c r="U7135" s="8" t="s">
        <v>31</v>
      </c>
      <c r="V7135" s="6" t="s">
        <v>44485</v>
      </c>
      <c r="W7135" s="6" t="s">
        <v>44195</v>
      </c>
      <c r="X7135" s="9" t="str">
        <f>HYPERLINK("https://my.pitchbook.com?p=267470-11P","View People Online")</f>
        <v>View People Online</v>
      </c>
    </row>
    <row r="7136">
      <c r="A7136" s="2" t="s">
        <v>44486</v>
      </c>
      <c r="B7136" s="2" t="s">
        <v>44487</v>
      </c>
      <c r="C7136" s="2" t="s">
        <v>5363</v>
      </c>
      <c r="D7136" s="2" t="s">
        <v>44488</v>
      </c>
      <c r="E7136" s="2" t="s">
        <v>44195</v>
      </c>
      <c r="F7136" s="2" t="s">
        <v>2422</v>
      </c>
      <c r="G7136" s="2" t="s">
        <v>44489</v>
      </c>
      <c r="H7136" s="3" t="s">
        <v>31</v>
      </c>
      <c r="I7136" s="3">
        <v>1.0</v>
      </c>
      <c r="J7136" s="3">
        <v>1.0</v>
      </c>
      <c r="K7136" s="3" t="s">
        <v>31</v>
      </c>
      <c r="L7136" s="4" t="s">
        <v>44207</v>
      </c>
      <c r="M7136" s="2" t="s">
        <v>44490</v>
      </c>
      <c r="N7136" s="2" t="s">
        <v>243</v>
      </c>
      <c r="O7136" s="4" t="s">
        <v>244</v>
      </c>
      <c r="P7136" s="2" t="s">
        <v>44209</v>
      </c>
      <c r="Q7136" s="2" t="s">
        <v>31</v>
      </c>
      <c r="R7136" s="2" t="s">
        <v>247</v>
      </c>
      <c r="S7136" s="4" t="s">
        <v>44210</v>
      </c>
      <c r="T7136" s="2" t="s">
        <v>249</v>
      </c>
      <c r="U7136" s="4" t="s">
        <v>31</v>
      </c>
      <c r="V7136" s="2" t="s">
        <v>2422</v>
      </c>
      <c r="W7136" s="2" t="s">
        <v>44195</v>
      </c>
      <c r="X7136" s="5" t="str">
        <f>HYPERLINK("https://my.pitchbook.com?p=415641-61P","View People Online")</f>
        <v>View People Online</v>
      </c>
    </row>
    <row r="7137">
      <c r="A7137" s="6" t="s">
        <v>44491</v>
      </c>
      <c r="B7137" s="6" t="s">
        <v>44492</v>
      </c>
      <c r="C7137" s="6" t="s">
        <v>1343</v>
      </c>
      <c r="D7137" s="6" t="s">
        <v>44493</v>
      </c>
      <c r="E7137" s="6" t="s">
        <v>44195</v>
      </c>
      <c r="F7137" s="6" t="s">
        <v>1283</v>
      </c>
      <c r="G7137" s="6" t="s">
        <v>44494</v>
      </c>
      <c r="H7137" s="7">
        <v>1.0</v>
      </c>
      <c r="I7137" s="7">
        <v>2.0</v>
      </c>
      <c r="J7137" s="7">
        <v>1.0</v>
      </c>
      <c r="K7137" s="7" t="s">
        <v>31</v>
      </c>
      <c r="L7137" s="8" t="s">
        <v>44495</v>
      </c>
      <c r="M7137" s="6" t="s">
        <v>44496</v>
      </c>
      <c r="N7137" s="6" t="s">
        <v>243</v>
      </c>
      <c r="O7137" s="8" t="s">
        <v>244</v>
      </c>
      <c r="P7137" s="6" t="s">
        <v>44209</v>
      </c>
      <c r="Q7137" s="6" t="s">
        <v>31</v>
      </c>
      <c r="R7137" s="6" t="s">
        <v>247</v>
      </c>
      <c r="S7137" s="8" t="s">
        <v>44210</v>
      </c>
      <c r="T7137" s="6" t="s">
        <v>249</v>
      </c>
      <c r="U7137" s="8" t="s">
        <v>31</v>
      </c>
      <c r="V7137" s="6" t="s">
        <v>44497</v>
      </c>
      <c r="W7137" s="6" t="s">
        <v>44195</v>
      </c>
      <c r="X7137" s="9" t="str">
        <f>HYPERLINK("https://my.pitchbook.com?p=14758-93P","View People Online")</f>
        <v>View People Online</v>
      </c>
    </row>
    <row r="7138">
      <c r="A7138" s="2" t="s">
        <v>44498</v>
      </c>
      <c r="B7138" s="2" t="s">
        <v>44499</v>
      </c>
      <c r="C7138" s="2" t="s">
        <v>1343</v>
      </c>
      <c r="D7138" s="2" t="s">
        <v>44500</v>
      </c>
      <c r="E7138" s="2" t="s">
        <v>44195</v>
      </c>
      <c r="F7138" s="2" t="s">
        <v>11270</v>
      </c>
      <c r="G7138" s="2" t="s">
        <v>44501</v>
      </c>
      <c r="H7138" s="3" t="s">
        <v>31</v>
      </c>
      <c r="I7138" s="3">
        <v>1.0</v>
      </c>
      <c r="J7138" s="3">
        <v>1.0</v>
      </c>
      <c r="K7138" s="3" t="s">
        <v>31</v>
      </c>
      <c r="L7138" s="4" t="s">
        <v>44266</v>
      </c>
      <c r="M7138" s="2" t="s">
        <v>44502</v>
      </c>
      <c r="N7138" s="2" t="s">
        <v>332</v>
      </c>
      <c r="O7138" s="4" t="s">
        <v>10854</v>
      </c>
      <c r="P7138" s="2" t="s">
        <v>44268</v>
      </c>
      <c r="Q7138" s="2" t="s">
        <v>31</v>
      </c>
      <c r="R7138" s="2" t="s">
        <v>31</v>
      </c>
      <c r="S7138" s="4" t="s">
        <v>44269</v>
      </c>
      <c r="T7138" s="2" t="s">
        <v>332</v>
      </c>
      <c r="U7138" s="4" t="s">
        <v>31</v>
      </c>
      <c r="V7138" s="2" t="s">
        <v>44503</v>
      </c>
      <c r="W7138" s="2" t="s">
        <v>44195</v>
      </c>
      <c r="X7138" s="5" t="str">
        <f>HYPERLINK("https://my.pitchbook.com?p=127608-31P","View People Online")</f>
        <v>View People Online</v>
      </c>
    </row>
    <row r="7139">
      <c r="A7139" s="6" t="s">
        <v>44504</v>
      </c>
      <c r="B7139" s="6" t="s">
        <v>44505</v>
      </c>
      <c r="C7139" s="6" t="s">
        <v>1356</v>
      </c>
      <c r="D7139" s="6" t="s">
        <v>29398</v>
      </c>
      <c r="E7139" s="6" t="s">
        <v>44195</v>
      </c>
      <c r="F7139" s="6" t="s">
        <v>1283</v>
      </c>
      <c r="G7139" s="6" t="s">
        <v>44506</v>
      </c>
      <c r="H7139" s="7" t="s">
        <v>31</v>
      </c>
      <c r="I7139" s="7">
        <v>4.0</v>
      </c>
      <c r="J7139" s="7">
        <v>1.0</v>
      </c>
      <c r="K7139" s="7">
        <v>2.0</v>
      </c>
      <c r="L7139" s="8" t="s">
        <v>44207</v>
      </c>
      <c r="M7139" s="6" t="s">
        <v>44507</v>
      </c>
      <c r="N7139" s="6" t="s">
        <v>243</v>
      </c>
      <c r="O7139" s="8" t="s">
        <v>244</v>
      </c>
      <c r="P7139" s="6" t="s">
        <v>44209</v>
      </c>
      <c r="Q7139" s="6" t="s">
        <v>31</v>
      </c>
      <c r="R7139" s="6" t="s">
        <v>247</v>
      </c>
      <c r="S7139" s="8" t="s">
        <v>44210</v>
      </c>
      <c r="T7139" s="6" t="s">
        <v>249</v>
      </c>
      <c r="U7139" s="8" t="s">
        <v>31</v>
      </c>
      <c r="V7139" s="6" t="s">
        <v>44508</v>
      </c>
      <c r="W7139" s="6" t="s">
        <v>44195</v>
      </c>
      <c r="X7139" s="9" t="str">
        <f>HYPERLINK("https://my.pitchbook.com?p=221174-92P","View People Online")</f>
        <v>View People Online</v>
      </c>
    </row>
    <row r="7140">
      <c r="A7140" s="2" t="s">
        <v>44509</v>
      </c>
      <c r="B7140" s="2" t="s">
        <v>44510</v>
      </c>
      <c r="C7140" s="2" t="s">
        <v>3040</v>
      </c>
      <c r="D7140" s="2" t="s">
        <v>14048</v>
      </c>
      <c r="E7140" s="2" t="s">
        <v>44195</v>
      </c>
      <c r="F7140" s="2" t="s">
        <v>1249</v>
      </c>
      <c r="G7140" s="2" t="s">
        <v>44511</v>
      </c>
      <c r="H7140" s="3">
        <v>1.0</v>
      </c>
      <c r="I7140" s="3">
        <v>5.0</v>
      </c>
      <c r="J7140" s="3">
        <v>1.0</v>
      </c>
      <c r="K7140" s="3">
        <v>3.0</v>
      </c>
      <c r="L7140" s="4" t="s">
        <v>44512</v>
      </c>
      <c r="M7140" s="2" t="s">
        <v>44513</v>
      </c>
      <c r="N7140" s="2" t="s">
        <v>243</v>
      </c>
      <c r="O7140" s="4" t="s">
        <v>244</v>
      </c>
      <c r="P7140" s="2" t="s">
        <v>44209</v>
      </c>
      <c r="Q7140" s="2" t="s">
        <v>31</v>
      </c>
      <c r="R7140" s="2" t="s">
        <v>247</v>
      </c>
      <c r="S7140" s="4" t="s">
        <v>44210</v>
      </c>
      <c r="T7140" s="2" t="s">
        <v>249</v>
      </c>
      <c r="U7140" s="4" t="s">
        <v>31</v>
      </c>
      <c r="V7140" s="2" t="s">
        <v>44514</v>
      </c>
      <c r="W7140" s="2" t="s">
        <v>44195</v>
      </c>
      <c r="X7140" s="5" t="str">
        <f>HYPERLINK("https://my.pitchbook.com?p=55421-29P","View People Online")</f>
        <v>View People Online</v>
      </c>
    </row>
    <row r="7141">
      <c r="A7141" s="14" t="s">
        <v>44515</v>
      </c>
      <c r="B7141" s="14" t="s">
        <v>44516</v>
      </c>
      <c r="C7141" s="14" t="s">
        <v>3040</v>
      </c>
      <c r="D7141" s="14" t="s">
        <v>16912</v>
      </c>
      <c r="E7141" s="14" t="s">
        <v>44195</v>
      </c>
      <c r="F7141" s="14" t="s">
        <v>548</v>
      </c>
      <c r="G7141" s="14" t="s">
        <v>44517</v>
      </c>
      <c r="H7141" s="15" t="s">
        <v>31</v>
      </c>
      <c r="I7141" s="15">
        <v>1.0</v>
      </c>
      <c r="J7141" s="15">
        <v>1.0</v>
      </c>
      <c r="K7141" s="15" t="s">
        <v>31</v>
      </c>
      <c r="L7141" s="16" t="s">
        <v>44207</v>
      </c>
      <c r="M7141" s="14" t="s">
        <v>44518</v>
      </c>
      <c r="N7141" s="14" t="s">
        <v>243</v>
      </c>
      <c r="O7141" s="16" t="s">
        <v>244</v>
      </c>
      <c r="P7141" s="14" t="s">
        <v>44209</v>
      </c>
      <c r="Q7141" s="14" t="s">
        <v>31</v>
      </c>
      <c r="R7141" s="14" t="s">
        <v>247</v>
      </c>
      <c r="S7141" s="16" t="s">
        <v>44210</v>
      </c>
      <c r="T7141" s="14" t="s">
        <v>249</v>
      </c>
      <c r="U7141" s="16" t="s">
        <v>31</v>
      </c>
      <c r="V7141" s="14" t="s">
        <v>44519</v>
      </c>
      <c r="W7141" s="14" t="s">
        <v>44195</v>
      </c>
      <c r="X7141" s="17" t="str">
        <f>HYPERLINK("https://my.pitchbook.com?p=415476-46P","View People Online")</f>
        <v>View People Online</v>
      </c>
    </row>
    <row r="7142">
      <c r="A7142" s="10" t="s">
        <v>44520</v>
      </c>
      <c r="B7142" s="10" t="s">
        <v>44521</v>
      </c>
      <c r="C7142" s="10" t="s">
        <v>10233</v>
      </c>
      <c r="D7142" s="10" t="s">
        <v>44522</v>
      </c>
      <c r="E7142" s="10" t="s">
        <v>44195</v>
      </c>
      <c r="F7142" s="10" t="s">
        <v>548</v>
      </c>
      <c r="G7142" s="10" t="s">
        <v>44523</v>
      </c>
      <c r="H7142" s="11" t="s">
        <v>31</v>
      </c>
      <c r="I7142" s="11">
        <v>1.0</v>
      </c>
      <c r="J7142" s="11">
        <v>1.0</v>
      </c>
      <c r="K7142" s="11" t="s">
        <v>31</v>
      </c>
      <c r="L7142" s="12" t="s">
        <v>44207</v>
      </c>
      <c r="M7142" s="10" t="s">
        <v>44524</v>
      </c>
      <c r="N7142" s="10" t="s">
        <v>243</v>
      </c>
      <c r="O7142" s="12" t="s">
        <v>244</v>
      </c>
      <c r="P7142" s="10" t="s">
        <v>44209</v>
      </c>
      <c r="Q7142" s="10" t="s">
        <v>31</v>
      </c>
      <c r="R7142" s="10" t="s">
        <v>247</v>
      </c>
      <c r="S7142" s="12" t="s">
        <v>44210</v>
      </c>
      <c r="T7142" s="10" t="s">
        <v>249</v>
      </c>
      <c r="U7142" s="12" t="s">
        <v>31</v>
      </c>
      <c r="V7142" s="10" t="s">
        <v>548</v>
      </c>
      <c r="W7142" s="10" t="s">
        <v>44195</v>
      </c>
      <c r="X7142" s="13" t="str">
        <f>HYPERLINK("https://my.pitchbook.com?p=415544-32P","View People Online")</f>
        <v>View People Online</v>
      </c>
    </row>
    <row r="7143">
      <c r="A7143" s="14" t="s">
        <v>44525</v>
      </c>
      <c r="B7143" s="14" t="s">
        <v>44526</v>
      </c>
      <c r="C7143" s="14" t="s">
        <v>3052</v>
      </c>
      <c r="D7143" s="14" t="s">
        <v>4346</v>
      </c>
      <c r="E7143" s="14" t="s">
        <v>44195</v>
      </c>
      <c r="F7143" s="14" t="s">
        <v>221</v>
      </c>
      <c r="G7143" s="14" t="s">
        <v>44527</v>
      </c>
      <c r="H7143" s="15" t="s">
        <v>31</v>
      </c>
      <c r="I7143" s="15">
        <v>1.0</v>
      </c>
      <c r="J7143" s="15">
        <v>1.0</v>
      </c>
      <c r="K7143" s="15" t="s">
        <v>31</v>
      </c>
      <c r="L7143" s="16" t="s">
        <v>44207</v>
      </c>
      <c r="M7143" s="14" t="s">
        <v>44528</v>
      </c>
      <c r="N7143" s="14" t="s">
        <v>243</v>
      </c>
      <c r="O7143" s="16" t="s">
        <v>244</v>
      </c>
      <c r="P7143" s="14" t="s">
        <v>44209</v>
      </c>
      <c r="Q7143" s="14" t="s">
        <v>31</v>
      </c>
      <c r="R7143" s="14" t="s">
        <v>247</v>
      </c>
      <c r="S7143" s="16" t="s">
        <v>44210</v>
      </c>
      <c r="T7143" s="14" t="s">
        <v>249</v>
      </c>
      <c r="U7143" s="16" t="s">
        <v>31</v>
      </c>
      <c r="V7143" s="14" t="s">
        <v>12777</v>
      </c>
      <c r="W7143" s="14" t="s">
        <v>44195</v>
      </c>
      <c r="X7143" s="17" t="str">
        <f>HYPERLINK("https://my.pitchbook.com?p=260444-17P","View People Online")</f>
        <v>View People Online</v>
      </c>
    </row>
    <row r="7144">
      <c r="A7144" s="10" t="s">
        <v>44529</v>
      </c>
      <c r="B7144" s="10" t="s">
        <v>44530</v>
      </c>
      <c r="C7144" s="10" t="s">
        <v>18382</v>
      </c>
      <c r="D7144" s="10" t="s">
        <v>24942</v>
      </c>
      <c r="E7144" s="10" t="s">
        <v>44195</v>
      </c>
      <c r="F7144" s="10" t="s">
        <v>825</v>
      </c>
      <c r="G7144" s="10" t="s">
        <v>44531</v>
      </c>
      <c r="H7144" s="11" t="s">
        <v>31</v>
      </c>
      <c r="I7144" s="11">
        <v>2.0</v>
      </c>
      <c r="J7144" s="11">
        <v>1.0</v>
      </c>
      <c r="K7144" s="11">
        <v>1.0</v>
      </c>
      <c r="L7144" s="12" t="s">
        <v>44207</v>
      </c>
      <c r="M7144" s="10" t="s">
        <v>44532</v>
      </c>
      <c r="N7144" s="10" t="s">
        <v>243</v>
      </c>
      <c r="O7144" s="12" t="s">
        <v>244</v>
      </c>
      <c r="P7144" s="10" t="s">
        <v>44209</v>
      </c>
      <c r="Q7144" s="10" t="s">
        <v>31</v>
      </c>
      <c r="R7144" s="10" t="s">
        <v>247</v>
      </c>
      <c r="S7144" s="12" t="s">
        <v>44210</v>
      </c>
      <c r="T7144" s="10" t="s">
        <v>249</v>
      </c>
      <c r="U7144" s="12" t="s">
        <v>31</v>
      </c>
      <c r="V7144" s="10" t="s">
        <v>44533</v>
      </c>
      <c r="W7144" s="10" t="s">
        <v>44195</v>
      </c>
      <c r="X7144" s="13" t="str">
        <f>HYPERLINK("https://my.pitchbook.com?p=344973-79P","View People Online")</f>
        <v>View People Online</v>
      </c>
    </row>
    <row r="7145">
      <c r="A7145" s="6" t="s">
        <v>44534</v>
      </c>
      <c r="B7145" s="6" t="s">
        <v>44535</v>
      </c>
      <c r="C7145" s="6" t="s">
        <v>28147</v>
      </c>
      <c r="D7145" s="6" t="s">
        <v>44536</v>
      </c>
      <c r="E7145" s="6" t="s">
        <v>44195</v>
      </c>
      <c r="F7145" s="6" t="s">
        <v>5515</v>
      </c>
      <c r="G7145" s="6" t="s">
        <v>44537</v>
      </c>
      <c r="H7145" s="7">
        <v>2.0</v>
      </c>
      <c r="I7145" s="7">
        <v>2.0</v>
      </c>
      <c r="J7145" s="7">
        <v>2.0</v>
      </c>
      <c r="K7145" s="7" t="s">
        <v>31</v>
      </c>
      <c r="L7145" s="8" t="s">
        <v>44207</v>
      </c>
      <c r="M7145" s="6" t="s">
        <v>44538</v>
      </c>
      <c r="N7145" s="6" t="s">
        <v>243</v>
      </c>
      <c r="O7145" s="8" t="s">
        <v>244</v>
      </c>
      <c r="P7145" s="6" t="s">
        <v>44209</v>
      </c>
      <c r="Q7145" s="6" t="s">
        <v>31</v>
      </c>
      <c r="R7145" s="6" t="s">
        <v>247</v>
      </c>
      <c r="S7145" s="8" t="s">
        <v>44210</v>
      </c>
      <c r="T7145" s="6" t="s">
        <v>249</v>
      </c>
      <c r="U7145" s="8" t="s">
        <v>31</v>
      </c>
      <c r="V7145" s="6" t="s">
        <v>44539</v>
      </c>
      <c r="W7145" s="6" t="s">
        <v>44195</v>
      </c>
      <c r="X7145" s="9" t="str">
        <f>HYPERLINK("https://my.pitchbook.com?p=288800-65P","View People Online")</f>
        <v>View People Online</v>
      </c>
    </row>
    <row r="7146">
      <c r="A7146" s="2" t="s">
        <v>44540</v>
      </c>
      <c r="B7146" s="2" t="s">
        <v>44541</v>
      </c>
      <c r="C7146" s="2" t="s">
        <v>27706</v>
      </c>
      <c r="D7146" s="2" t="s">
        <v>4015</v>
      </c>
      <c r="E7146" s="2" t="s">
        <v>44195</v>
      </c>
      <c r="F7146" s="2" t="s">
        <v>270</v>
      </c>
      <c r="G7146" s="2" t="s">
        <v>44542</v>
      </c>
      <c r="H7146" s="3" t="s">
        <v>31</v>
      </c>
      <c r="I7146" s="3">
        <v>1.0</v>
      </c>
      <c r="J7146" s="3">
        <v>1.0</v>
      </c>
      <c r="K7146" s="3" t="s">
        <v>31</v>
      </c>
      <c r="L7146" s="4" t="s">
        <v>44207</v>
      </c>
      <c r="M7146" s="2" t="s">
        <v>44543</v>
      </c>
      <c r="N7146" s="2" t="s">
        <v>243</v>
      </c>
      <c r="O7146" s="4" t="s">
        <v>244</v>
      </c>
      <c r="P7146" s="2" t="s">
        <v>44209</v>
      </c>
      <c r="Q7146" s="2" t="s">
        <v>31</v>
      </c>
      <c r="R7146" s="2" t="s">
        <v>247</v>
      </c>
      <c r="S7146" s="4" t="s">
        <v>44210</v>
      </c>
      <c r="T7146" s="2" t="s">
        <v>249</v>
      </c>
      <c r="U7146" s="4" t="s">
        <v>31</v>
      </c>
      <c r="V7146" s="2" t="s">
        <v>7535</v>
      </c>
      <c r="W7146" s="2" t="s">
        <v>44195</v>
      </c>
      <c r="X7146" s="5" t="str">
        <f>HYPERLINK("https://my.pitchbook.com?p=372419-83P","View People Online")</f>
        <v>View People Online</v>
      </c>
    </row>
    <row r="7147">
      <c r="A7147" s="6" t="s">
        <v>44544</v>
      </c>
      <c r="B7147" s="6" t="s">
        <v>44545</v>
      </c>
      <c r="C7147" s="6" t="s">
        <v>5985</v>
      </c>
      <c r="D7147" s="6" t="s">
        <v>44546</v>
      </c>
      <c r="E7147" s="6" t="s">
        <v>44195</v>
      </c>
      <c r="F7147" s="6" t="s">
        <v>825</v>
      </c>
      <c r="G7147" s="6" t="s">
        <v>44547</v>
      </c>
      <c r="H7147" s="7" t="s">
        <v>31</v>
      </c>
      <c r="I7147" s="7">
        <v>1.0</v>
      </c>
      <c r="J7147" s="7">
        <v>1.0</v>
      </c>
      <c r="K7147" s="7" t="s">
        <v>31</v>
      </c>
      <c r="L7147" s="8" t="s">
        <v>44548</v>
      </c>
      <c r="M7147" s="6" t="s">
        <v>44549</v>
      </c>
      <c r="N7147" s="6" t="s">
        <v>429</v>
      </c>
      <c r="O7147" s="8" t="s">
        <v>430</v>
      </c>
      <c r="P7147" s="6" t="s">
        <v>44409</v>
      </c>
      <c r="Q7147" s="6" t="s">
        <v>31</v>
      </c>
      <c r="R7147" s="6" t="s">
        <v>31</v>
      </c>
      <c r="S7147" s="8" t="s">
        <v>432</v>
      </c>
      <c r="T7147" s="6" t="s">
        <v>433</v>
      </c>
      <c r="U7147" s="8" t="s">
        <v>31</v>
      </c>
      <c r="V7147" s="6" t="s">
        <v>44550</v>
      </c>
      <c r="W7147" s="6" t="s">
        <v>44195</v>
      </c>
      <c r="X7147" s="9" t="str">
        <f>HYPERLINK("https://my.pitchbook.com?p=91256-59P","View People Online")</f>
        <v>View People Online</v>
      </c>
    </row>
    <row r="7148">
      <c r="A7148" s="2" t="s">
        <v>44551</v>
      </c>
      <c r="B7148" s="2" t="s">
        <v>44552</v>
      </c>
      <c r="C7148" s="2" t="s">
        <v>9165</v>
      </c>
      <c r="D7148" s="2" t="s">
        <v>9727</v>
      </c>
      <c r="E7148" s="2" t="s">
        <v>44195</v>
      </c>
      <c r="F7148" s="2" t="s">
        <v>548</v>
      </c>
      <c r="G7148" s="2" t="s">
        <v>44553</v>
      </c>
      <c r="H7148" s="3" t="s">
        <v>31</v>
      </c>
      <c r="I7148" s="3">
        <v>1.0</v>
      </c>
      <c r="J7148" s="3">
        <v>1.0</v>
      </c>
      <c r="K7148" s="3" t="s">
        <v>31</v>
      </c>
      <c r="L7148" s="4" t="s">
        <v>44207</v>
      </c>
      <c r="M7148" s="2" t="s">
        <v>44554</v>
      </c>
      <c r="N7148" s="2" t="s">
        <v>243</v>
      </c>
      <c r="O7148" s="4" t="s">
        <v>244</v>
      </c>
      <c r="P7148" s="2" t="s">
        <v>44209</v>
      </c>
      <c r="Q7148" s="2" t="s">
        <v>31</v>
      </c>
      <c r="R7148" s="2" t="s">
        <v>247</v>
      </c>
      <c r="S7148" s="4" t="s">
        <v>44210</v>
      </c>
      <c r="T7148" s="2" t="s">
        <v>249</v>
      </c>
      <c r="U7148" s="4" t="s">
        <v>31</v>
      </c>
      <c r="V7148" s="2" t="s">
        <v>44555</v>
      </c>
      <c r="W7148" s="2" t="s">
        <v>44195</v>
      </c>
      <c r="X7148" s="5" t="str">
        <f>HYPERLINK("https://my.pitchbook.com?p=416137-15P","View People Online")</f>
        <v>View People Online</v>
      </c>
    </row>
    <row r="7149">
      <c r="A7149" s="14" t="s">
        <v>44556</v>
      </c>
      <c r="B7149" s="14" t="s">
        <v>44557</v>
      </c>
      <c r="C7149" s="14" t="s">
        <v>44558</v>
      </c>
      <c r="D7149" s="14" t="s">
        <v>44559</v>
      </c>
      <c r="E7149" s="14" t="s">
        <v>44195</v>
      </c>
      <c r="F7149" s="14" t="s">
        <v>896</v>
      </c>
      <c r="G7149" s="14" t="s">
        <v>44560</v>
      </c>
      <c r="H7149" s="15" t="s">
        <v>31</v>
      </c>
      <c r="I7149" s="15">
        <v>1.0</v>
      </c>
      <c r="J7149" s="15">
        <v>1.0</v>
      </c>
      <c r="K7149" s="15" t="s">
        <v>31</v>
      </c>
      <c r="L7149" s="16" t="s">
        <v>44207</v>
      </c>
      <c r="M7149" s="14" t="s">
        <v>44561</v>
      </c>
      <c r="N7149" s="14" t="s">
        <v>243</v>
      </c>
      <c r="O7149" s="16" t="s">
        <v>244</v>
      </c>
      <c r="P7149" s="14" t="s">
        <v>44209</v>
      </c>
      <c r="Q7149" s="14" t="s">
        <v>31</v>
      </c>
      <c r="R7149" s="14" t="s">
        <v>247</v>
      </c>
      <c r="S7149" s="16" t="s">
        <v>44210</v>
      </c>
      <c r="T7149" s="14" t="s">
        <v>249</v>
      </c>
      <c r="U7149" s="16" t="s">
        <v>31</v>
      </c>
      <c r="V7149" s="14" t="s">
        <v>896</v>
      </c>
      <c r="W7149" s="14" t="s">
        <v>44195</v>
      </c>
      <c r="X7149" s="17" t="str">
        <f>HYPERLINK("https://my.pitchbook.com?p=415502-11P","View People Online")</f>
        <v>View People Online</v>
      </c>
    </row>
    <row r="7150">
      <c r="A7150" s="2" t="s">
        <v>44562</v>
      </c>
      <c r="B7150" s="2" t="s">
        <v>44563</v>
      </c>
      <c r="C7150" s="2" t="s">
        <v>868</v>
      </c>
      <c r="D7150" s="2" t="s">
        <v>44564</v>
      </c>
      <c r="E7150" s="2" t="s">
        <v>44195</v>
      </c>
      <c r="F7150" s="2" t="s">
        <v>548</v>
      </c>
      <c r="G7150" s="2" t="s">
        <v>44565</v>
      </c>
      <c r="H7150" s="3" t="s">
        <v>31</v>
      </c>
      <c r="I7150" s="3">
        <v>1.0</v>
      </c>
      <c r="J7150" s="3">
        <v>1.0</v>
      </c>
      <c r="K7150" s="3" t="s">
        <v>31</v>
      </c>
      <c r="L7150" s="4" t="s">
        <v>44207</v>
      </c>
      <c r="M7150" s="2" t="s">
        <v>44566</v>
      </c>
      <c r="N7150" s="2" t="s">
        <v>243</v>
      </c>
      <c r="O7150" s="4" t="s">
        <v>244</v>
      </c>
      <c r="P7150" s="2" t="s">
        <v>44209</v>
      </c>
      <c r="Q7150" s="2" t="s">
        <v>31</v>
      </c>
      <c r="R7150" s="2" t="s">
        <v>247</v>
      </c>
      <c r="S7150" s="4" t="s">
        <v>44210</v>
      </c>
      <c r="T7150" s="2" t="s">
        <v>249</v>
      </c>
      <c r="U7150" s="4" t="s">
        <v>31</v>
      </c>
      <c r="V7150" s="2" t="s">
        <v>548</v>
      </c>
      <c r="W7150" s="2" t="s">
        <v>44195</v>
      </c>
      <c r="X7150" s="5" t="str">
        <f>HYPERLINK("https://my.pitchbook.com?p=151969-15P","View People Online")</f>
        <v>View People Online</v>
      </c>
    </row>
    <row r="7151">
      <c r="A7151" s="14" t="s">
        <v>44567</v>
      </c>
      <c r="B7151" s="14" t="s">
        <v>44568</v>
      </c>
      <c r="C7151" s="14" t="s">
        <v>5113</v>
      </c>
      <c r="D7151" s="14" t="s">
        <v>42088</v>
      </c>
      <c r="E7151" s="14" t="s">
        <v>44195</v>
      </c>
      <c r="F7151" s="14" t="s">
        <v>5234</v>
      </c>
      <c r="G7151" s="14" t="s">
        <v>44569</v>
      </c>
      <c r="H7151" s="15" t="s">
        <v>31</v>
      </c>
      <c r="I7151" s="15">
        <v>1.0</v>
      </c>
      <c r="J7151" s="15">
        <v>1.0</v>
      </c>
      <c r="K7151" s="15" t="s">
        <v>31</v>
      </c>
      <c r="L7151" s="16" t="s">
        <v>44207</v>
      </c>
      <c r="M7151" s="14" t="s">
        <v>44570</v>
      </c>
      <c r="N7151" s="14" t="s">
        <v>243</v>
      </c>
      <c r="O7151" s="16" t="s">
        <v>244</v>
      </c>
      <c r="P7151" s="14" t="s">
        <v>44209</v>
      </c>
      <c r="Q7151" s="14" t="s">
        <v>31</v>
      </c>
      <c r="R7151" s="14" t="s">
        <v>247</v>
      </c>
      <c r="S7151" s="16" t="s">
        <v>44210</v>
      </c>
      <c r="T7151" s="14" t="s">
        <v>249</v>
      </c>
      <c r="U7151" s="16" t="s">
        <v>31</v>
      </c>
      <c r="V7151" s="14" t="s">
        <v>44571</v>
      </c>
      <c r="W7151" s="14" t="s">
        <v>44195</v>
      </c>
      <c r="X7151" s="17" t="str">
        <f>HYPERLINK("https://my.pitchbook.com?p=330324-58P","View People Online")</f>
        <v>View People Online</v>
      </c>
    </row>
    <row r="7152">
      <c r="A7152" s="10" t="s">
        <v>44572</v>
      </c>
      <c r="B7152" s="10" t="s">
        <v>44573</v>
      </c>
      <c r="C7152" s="10" t="s">
        <v>11767</v>
      </c>
      <c r="D7152" s="10" t="s">
        <v>44574</v>
      </c>
      <c r="E7152" s="10" t="s">
        <v>44195</v>
      </c>
      <c r="F7152" s="10" t="s">
        <v>11212</v>
      </c>
      <c r="G7152" s="10" t="s">
        <v>44575</v>
      </c>
      <c r="H7152" s="11" t="s">
        <v>31</v>
      </c>
      <c r="I7152" s="11">
        <v>1.0</v>
      </c>
      <c r="J7152" s="11">
        <v>1.0</v>
      </c>
      <c r="K7152" s="11" t="s">
        <v>31</v>
      </c>
      <c r="L7152" s="12" t="s">
        <v>44207</v>
      </c>
      <c r="M7152" s="10" t="s">
        <v>31</v>
      </c>
      <c r="N7152" s="10" t="s">
        <v>243</v>
      </c>
      <c r="O7152" s="12" t="s">
        <v>244</v>
      </c>
      <c r="P7152" s="10" t="s">
        <v>44209</v>
      </c>
      <c r="Q7152" s="10" t="s">
        <v>31</v>
      </c>
      <c r="R7152" s="10" t="s">
        <v>247</v>
      </c>
      <c r="S7152" s="12" t="s">
        <v>44210</v>
      </c>
      <c r="T7152" s="10" t="s">
        <v>249</v>
      </c>
      <c r="U7152" s="12" t="s">
        <v>31</v>
      </c>
      <c r="V7152" s="10" t="s">
        <v>44576</v>
      </c>
      <c r="W7152" s="10" t="s">
        <v>44195</v>
      </c>
      <c r="X7152" s="13" t="str">
        <f>HYPERLINK("https://my.pitchbook.com?p=425614-42P","View People Online")</f>
        <v>View People Online</v>
      </c>
    </row>
    <row r="7153">
      <c r="A7153" s="6" t="s">
        <v>44577</v>
      </c>
      <c r="B7153" s="6" t="s">
        <v>44578</v>
      </c>
      <c r="C7153" s="6" t="s">
        <v>3132</v>
      </c>
      <c r="D7153" s="6" t="s">
        <v>32887</v>
      </c>
      <c r="E7153" s="6" t="s">
        <v>44195</v>
      </c>
      <c r="F7153" s="6" t="s">
        <v>2422</v>
      </c>
      <c r="G7153" s="6" t="s">
        <v>44579</v>
      </c>
      <c r="H7153" s="7" t="s">
        <v>31</v>
      </c>
      <c r="I7153" s="7">
        <v>1.0</v>
      </c>
      <c r="J7153" s="7">
        <v>1.0</v>
      </c>
      <c r="K7153" s="7" t="s">
        <v>31</v>
      </c>
      <c r="L7153" s="8" t="s">
        <v>44580</v>
      </c>
      <c r="M7153" s="6" t="s">
        <v>44581</v>
      </c>
      <c r="N7153" s="6" t="s">
        <v>418</v>
      </c>
      <c r="O7153" s="8" t="s">
        <v>419</v>
      </c>
      <c r="P7153" s="6" t="s">
        <v>44582</v>
      </c>
      <c r="Q7153" s="6" t="s">
        <v>31</v>
      </c>
      <c r="R7153" s="6" t="s">
        <v>31</v>
      </c>
      <c r="S7153" s="8" t="s">
        <v>421</v>
      </c>
      <c r="T7153" s="6" t="s">
        <v>422</v>
      </c>
      <c r="U7153" s="8" t="s">
        <v>31</v>
      </c>
      <c r="V7153" s="6" t="s">
        <v>2422</v>
      </c>
      <c r="W7153" s="6" t="s">
        <v>44195</v>
      </c>
      <c r="X7153" s="9" t="str">
        <f>HYPERLINK("https://my.pitchbook.com?p=163692-37P","View People Online")</f>
        <v>View People Online</v>
      </c>
    </row>
    <row r="7154">
      <c r="A7154" s="2" t="s">
        <v>44583</v>
      </c>
      <c r="B7154" s="2" t="s">
        <v>44584</v>
      </c>
      <c r="C7154" s="2" t="s">
        <v>2288</v>
      </c>
      <c r="D7154" s="2" t="s">
        <v>44585</v>
      </c>
      <c r="E7154" s="2" t="s">
        <v>44195</v>
      </c>
      <c r="F7154" s="2" t="s">
        <v>825</v>
      </c>
      <c r="G7154" s="2" t="s">
        <v>44586</v>
      </c>
      <c r="H7154" s="3" t="s">
        <v>31</v>
      </c>
      <c r="I7154" s="3">
        <v>1.0</v>
      </c>
      <c r="J7154" s="3">
        <v>1.0</v>
      </c>
      <c r="K7154" s="3" t="s">
        <v>31</v>
      </c>
      <c r="L7154" s="4" t="s">
        <v>44207</v>
      </c>
      <c r="M7154" s="2" t="s">
        <v>44587</v>
      </c>
      <c r="N7154" s="2" t="s">
        <v>243</v>
      </c>
      <c r="O7154" s="4" t="s">
        <v>244</v>
      </c>
      <c r="P7154" s="2" t="s">
        <v>44209</v>
      </c>
      <c r="Q7154" s="2" t="s">
        <v>31</v>
      </c>
      <c r="R7154" s="2" t="s">
        <v>247</v>
      </c>
      <c r="S7154" s="4" t="s">
        <v>44210</v>
      </c>
      <c r="T7154" s="2" t="s">
        <v>249</v>
      </c>
      <c r="U7154" s="4" t="s">
        <v>31</v>
      </c>
      <c r="V7154" s="2" t="s">
        <v>44588</v>
      </c>
      <c r="W7154" s="2" t="s">
        <v>44195</v>
      </c>
      <c r="X7154" s="5" t="str">
        <f>HYPERLINK("https://my.pitchbook.com?p=248105-89P","View People Online")</f>
        <v>View People Online</v>
      </c>
    </row>
    <row r="7155">
      <c r="A7155" s="14" t="s">
        <v>44589</v>
      </c>
      <c r="B7155" s="14" t="s">
        <v>44590</v>
      </c>
      <c r="C7155" s="14" t="s">
        <v>1645</v>
      </c>
      <c r="D7155" s="14" t="s">
        <v>44591</v>
      </c>
      <c r="E7155" s="14" t="s">
        <v>44195</v>
      </c>
      <c r="F7155" s="14" t="s">
        <v>548</v>
      </c>
      <c r="G7155" s="14" t="s">
        <v>44592</v>
      </c>
      <c r="H7155" s="15" t="s">
        <v>31</v>
      </c>
      <c r="I7155" s="15">
        <v>1.0</v>
      </c>
      <c r="J7155" s="15">
        <v>1.0</v>
      </c>
      <c r="K7155" s="15" t="s">
        <v>31</v>
      </c>
      <c r="L7155" s="16" t="s">
        <v>44257</v>
      </c>
      <c r="M7155" s="14" t="s">
        <v>44593</v>
      </c>
      <c r="N7155" s="14" t="s">
        <v>2754</v>
      </c>
      <c r="O7155" s="16" t="s">
        <v>2755</v>
      </c>
      <c r="P7155" s="14" t="s">
        <v>44259</v>
      </c>
      <c r="Q7155" s="14" t="s">
        <v>44260</v>
      </c>
      <c r="R7155" s="14" t="s">
        <v>31</v>
      </c>
      <c r="S7155" s="16" t="s">
        <v>13737</v>
      </c>
      <c r="T7155" s="14" t="s">
        <v>38</v>
      </c>
      <c r="U7155" s="16" t="s">
        <v>31</v>
      </c>
      <c r="V7155" s="14" t="s">
        <v>44594</v>
      </c>
      <c r="W7155" s="14" t="s">
        <v>44195</v>
      </c>
      <c r="X7155" s="17" t="str">
        <f>HYPERLINK("https://my.pitchbook.com?p=444430-36P","View People Online")</f>
        <v>View People Online</v>
      </c>
    </row>
    <row r="7156">
      <c r="A7156" s="10" t="s">
        <v>44595</v>
      </c>
      <c r="B7156" s="10" t="s">
        <v>44596</v>
      </c>
      <c r="C7156" s="10" t="s">
        <v>1645</v>
      </c>
      <c r="D7156" s="10" t="s">
        <v>44597</v>
      </c>
      <c r="E7156" s="10" t="s">
        <v>44195</v>
      </c>
      <c r="F7156" s="10" t="s">
        <v>825</v>
      </c>
      <c r="G7156" s="10" t="s">
        <v>44598</v>
      </c>
      <c r="H7156" s="11" t="s">
        <v>31</v>
      </c>
      <c r="I7156" s="11">
        <v>8.0</v>
      </c>
      <c r="J7156" s="11">
        <v>2.0</v>
      </c>
      <c r="K7156" s="11">
        <v>3.0</v>
      </c>
      <c r="L7156" s="12" t="s">
        <v>44599</v>
      </c>
      <c r="M7156" s="10" t="s">
        <v>44600</v>
      </c>
      <c r="N7156" s="10" t="s">
        <v>243</v>
      </c>
      <c r="O7156" s="12" t="s">
        <v>244</v>
      </c>
      <c r="P7156" s="10" t="s">
        <v>44209</v>
      </c>
      <c r="Q7156" s="10" t="s">
        <v>31</v>
      </c>
      <c r="R7156" s="10" t="s">
        <v>247</v>
      </c>
      <c r="S7156" s="12" t="s">
        <v>44210</v>
      </c>
      <c r="T7156" s="10" t="s">
        <v>249</v>
      </c>
      <c r="U7156" s="12" t="s">
        <v>31</v>
      </c>
      <c r="V7156" s="10" t="s">
        <v>44601</v>
      </c>
      <c r="W7156" s="10" t="s">
        <v>44602</v>
      </c>
      <c r="X7156" s="13" t="str">
        <f>HYPERLINK("https://my.pitchbook.com?p=55624-42P","View People Online")</f>
        <v>View People Online</v>
      </c>
    </row>
    <row r="7157">
      <c r="A7157" s="14" t="s">
        <v>44603</v>
      </c>
      <c r="B7157" s="14" t="s">
        <v>44604</v>
      </c>
      <c r="C7157" s="14" t="s">
        <v>3554</v>
      </c>
      <c r="D7157" s="14" t="s">
        <v>44605</v>
      </c>
      <c r="E7157" s="14" t="s">
        <v>44195</v>
      </c>
      <c r="F7157" s="14" t="s">
        <v>4406</v>
      </c>
      <c r="G7157" s="14" t="s">
        <v>44606</v>
      </c>
      <c r="H7157" s="15" t="s">
        <v>31</v>
      </c>
      <c r="I7157" s="15">
        <v>2.0</v>
      </c>
      <c r="J7157" s="15">
        <v>1.0</v>
      </c>
      <c r="K7157" s="15">
        <v>1.0</v>
      </c>
      <c r="L7157" s="16" t="s">
        <v>44207</v>
      </c>
      <c r="M7157" s="14" t="s">
        <v>44607</v>
      </c>
      <c r="N7157" s="14" t="s">
        <v>243</v>
      </c>
      <c r="O7157" s="16" t="s">
        <v>244</v>
      </c>
      <c r="P7157" s="14" t="s">
        <v>44209</v>
      </c>
      <c r="Q7157" s="14" t="s">
        <v>31</v>
      </c>
      <c r="R7157" s="14" t="s">
        <v>247</v>
      </c>
      <c r="S7157" s="16" t="s">
        <v>44210</v>
      </c>
      <c r="T7157" s="14" t="s">
        <v>249</v>
      </c>
      <c r="U7157" s="16" t="s">
        <v>31</v>
      </c>
      <c r="V7157" s="14" t="s">
        <v>44608</v>
      </c>
      <c r="W7157" s="14" t="s">
        <v>44195</v>
      </c>
      <c r="X7157" s="17" t="str">
        <f>HYPERLINK("https://my.pitchbook.com?p=309784-33P","View People Online")</f>
        <v>View People Online</v>
      </c>
    </row>
    <row r="7158">
      <c r="A7158" s="10" t="s">
        <v>44609</v>
      </c>
      <c r="B7158" s="10" t="s">
        <v>44610</v>
      </c>
      <c r="C7158" s="10" t="s">
        <v>3554</v>
      </c>
      <c r="D7158" s="10" t="s">
        <v>4098</v>
      </c>
      <c r="E7158" s="10" t="s">
        <v>44195</v>
      </c>
      <c r="F7158" s="10" t="s">
        <v>1283</v>
      </c>
      <c r="G7158" s="10" t="s">
        <v>44611</v>
      </c>
      <c r="H7158" s="11" t="s">
        <v>31</v>
      </c>
      <c r="I7158" s="11">
        <v>1.0</v>
      </c>
      <c r="J7158" s="11">
        <v>1.0</v>
      </c>
      <c r="K7158" s="11" t="s">
        <v>31</v>
      </c>
      <c r="L7158" s="12" t="s">
        <v>44207</v>
      </c>
      <c r="M7158" s="10" t="s">
        <v>44612</v>
      </c>
      <c r="N7158" s="10" t="s">
        <v>243</v>
      </c>
      <c r="O7158" s="12" t="s">
        <v>244</v>
      </c>
      <c r="P7158" s="10" t="s">
        <v>44209</v>
      </c>
      <c r="Q7158" s="10" t="s">
        <v>31</v>
      </c>
      <c r="R7158" s="10" t="s">
        <v>247</v>
      </c>
      <c r="S7158" s="12" t="s">
        <v>44210</v>
      </c>
      <c r="T7158" s="10" t="s">
        <v>249</v>
      </c>
      <c r="U7158" s="12" t="s">
        <v>31</v>
      </c>
      <c r="V7158" s="10" t="s">
        <v>44613</v>
      </c>
      <c r="W7158" s="10" t="s">
        <v>44195</v>
      </c>
      <c r="X7158" s="13" t="str">
        <f>HYPERLINK("https://my.pitchbook.com?p=355493-44P","View People Online")</f>
        <v>View People Online</v>
      </c>
    </row>
    <row r="7159">
      <c r="A7159" s="6" t="s">
        <v>44614</v>
      </c>
      <c r="B7159" s="6" t="s">
        <v>44615</v>
      </c>
      <c r="C7159" s="6" t="s">
        <v>160</v>
      </c>
      <c r="D7159" s="6" t="s">
        <v>5240</v>
      </c>
      <c r="E7159" s="6" t="s">
        <v>44195</v>
      </c>
      <c r="F7159" s="6" t="s">
        <v>11257</v>
      </c>
      <c r="G7159" s="6" t="s">
        <v>44616</v>
      </c>
      <c r="H7159" s="7" t="s">
        <v>31</v>
      </c>
      <c r="I7159" s="7">
        <v>1.0</v>
      </c>
      <c r="J7159" s="7">
        <v>1.0</v>
      </c>
      <c r="K7159" s="7" t="s">
        <v>31</v>
      </c>
      <c r="L7159" s="8" t="s">
        <v>44207</v>
      </c>
      <c r="M7159" s="6" t="s">
        <v>44617</v>
      </c>
      <c r="N7159" s="6" t="s">
        <v>243</v>
      </c>
      <c r="O7159" s="8" t="s">
        <v>244</v>
      </c>
      <c r="P7159" s="6" t="s">
        <v>44209</v>
      </c>
      <c r="Q7159" s="6" t="s">
        <v>31</v>
      </c>
      <c r="R7159" s="6" t="s">
        <v>247</v>
      </c>
      <c r="S7159" s="8" t="s">
        <v>44210</v>
      </c>
      <c r="T7159" s="6" t="s">
        <v>249</v>
      </c>
      <c r="U7159" s="8" t="s">
        <v>31</v>
      </c>
      <c r="V7159" s="6" t="s">
        <v>11257</v>
      </c>
      <c r="W7159" s="6" t="s">
        <v>44195</v>
      </c>
      <c r="X7159" s="9" t="str">
        <f>HYPERLINK("https://my.pitchbook.com?p=190749-25P","View People Online")</f>
        <v>View People Online</v>
      </c>
    </row>
    <row r="7160">
      <c r="A7160" s="2" t="s">
        <v>44618</v>
      </c>
      <c r="B7160" s="2" t="s">
        <v>44619</v>
      </c>
      <c r="C7160" s="2" t="s">
        <v>44620</v>
      </c>
      <c r="D7160" s="2" t="s">
        <v>44621</v>
      </c>
      <c r="E7160" s="2" t="s">
        <v>44195</v>
      </c>
      <c r="F7160" s="2" t="s">
        <v>470</v>
      </c>
      <c r="G7160" s="2" t="s">
        <v>44622</v>
      </c>
      <c r="H7160" s="3" t="s">
        <v>31</v>
      </c>
      <c r="I7160" s="3">
        <v>1.0</v>
      </c>
      <c r="J7160" s="3">
        <v>1.0</v>
      </c>
      <c r="K7160" s="3" t="s">
        <v>31</v>
      </c>
      <c r="L7160" s="4" t="s">
        <v>44207</v>
      </c>
      <c r="M7160" s="2" t="s">
        <v>44623</v>
      </c>
      <c r="N7160" s="2" t="s">
        <v>243</v>
      </c>
      <c r="O7160" s="4" t="s">
        <v>244</v>
      </c>
      <c r="P7160" s="2" t="s">
        <v>44209</v>
      </c>
      <c r="Q7160" s="2" t="s">
        <v>31</v>
      </c>
      <c r="R7160" s="2" t="s">
        <v>247</v>
      </c>
      <c r="S7160" s="4" t="s">
        <v>44210</v>
      </c>
      <c r="T7160" s="2" t="s">
        <v>249</v>
      </c>
      <c r="U7160" s="4" t="s">
        <v>31</v>
      </c>
      <c r="V7160" s="2" t="s">
        <v>44624</v>
      </c>
      <c r="W7160" s="2" t="s">
        <v>44195</v>
      </c>
      <c r="X7160" s="5" t="str">
        <f>HYPERLINK("https://my.pitchbook.com?p=139475-80P","View People Online")</f>
        <v>View People Online</v>
      </c>
    </row>
    <row r="7161">
      <c r="A7161" s="6" t="s">
        <v>44625</v>
      </c>
      <c r="B7161" s="6" t="s">
        <v>44626</v>
      </c>
      <c r="C7161" s="6" t="s">
        <v>126</v>
      </c>
      <c r="D7161" s="6" t="s">
        <v>44627</v>
      </c>
      <c r="E7161" s="6" t="s">
        <v>44195</v>
      </c>
      <c r="F7161" s="6" t="s">
        <v>548</v>
      </c>
      <c r="G7161" s="6" t="s">
        <v>44628</v>
      </c>
      <c r="H7161" s="7" t="s">
        <v>31</v>
      </c>
      <c r="I7161" s="7">
        <v>1.0</v>
      </c>
      <c r="J7161" s="7">
        <v>1.0</v>
      </c>
      <c r="K7161" s="7" t="s">
        <v>31</v>
      </c>
      <c r="L7161" s="8" t="s">
        <v>31</v>
      </c>
      <c r="M7161" s="6" t="s">
        <v>44629</v>
      </c>
      <c r="N7161" s="6" t="s">
        <v>2599</v>
      </c>
      <c r="O7161" s="8" t="s">
        <v>2600</v>
      </c>
      <c r="P7161" s="6" t="s">
        <v>44630</v>
      </c>
      <c r="Q7161" s="6" t="s">
        <v>31</v>
      </c>
      <c r="R7161" s="6" t="s">
        <v>396</v>
      </c>
      <c r="S7161" s="8" t="s">
        <v>13435</v>
      </c>
      <c r="T7161" s="6" t="s">
        <v>66</v>
      </c>
      <c r="U7161" s="8" t="s">
        <v>31</v>
      </c>
      <c r="V7161" s="6" t="s">
        <v>44631</v>
      </c>
      <c r="W7161" s="6" t="s">
        <v>44195</v>
      </c>
      <c r="X7161" s="9" t="str">
        <f>HYPERLINK("https://my.pitchbook.com?p=444313-99P","View People Online")</f>
        <v>View People Online</v>
      </c>
    </row>
    <row r="7162">
      <c r="A7162" s="2" t="s">
        <v>44632</v>
      </c>
      <c r="B7162" s="2" t="s">
        <v>44633</v>
      </c>
      <c r="C7162" s="2" t="s">
        <v>126</v>
      </c>
      <c r="D7162" s="2" t="s">
        <v>44634</v>
      </c>
      <c r="E7162" s="2" t="s">
        <v>44195</v>
      </c>
      <c r="F7162" s="2" t="s">
        <v>11394</v>
      </c>
      <c r="G7162" s="2" t="s">
        <v>44635</v>
      </c>
      <c r="H7162" s="3" t="s">
        <v>31</v>
      </c>
      <c r="I7162" s="3">
        <v>2.0</v>
      </c>
      <c r="J7162" s="3">
        <v>1.0</v>
      </c>
      <c r="K7162" s="3">
        <v>1.0</v>
      </c>
      <c r="L7162" s="4" t="s">
        <v>44207</v>
      </c>
      <c r="M7162" s="2" t="s">
        <v>44636</v>
      </c>
      <c r="N7162" s="2" t="s">
        <v>243</v>
      </c>
      <c r="O7162" s="4" t="s">
        <v>244</v>
      </c>
      <c r="P7162" s="2" t="s">
        <v>44209</v>
      </c>
      <c r="Q7162" s="2" t="s">
        <v>31</v>
      </c>
      <c r="R7162" s="2" t="s">
        <v>247</v>
      </c>
      <c r="S7162" s="4" t="s">
        <v>44210</v>
      </c>
      <c r="T7162" s="2" t="s">
        <v>249</v>
      </c>
      <c r="U7162" s="4" t="s">
        <v>31</v>
      </c>
      <c r="V7162" s="2" t="s">
        <v>44637</v>
      </c>
      <c r="W7162" s="2" t="s">
        <v>44195</v>
      </c>
      <c r="X7162" s="5" t="str">
        <f>HYPERLINK("https://my.pitchbook.com?p=182814-22P","View People Online")</f>
        <v>View People Online</v>
      </c>
    </row>
    <row r="7163">
      <c r="A7163" s="6" t="s">
        <v>44638</v>
      </c>
      <c r="B7163" s="6" t="s">
        <v>44639</v>
      </c>
      <c r="C7163" s="6" t="s">
        <v>126</v>
      </c>
      <c r="D7163" s="6" t="s">
        <v>44640</v>
      </c>
      <c r="E7163" s="6" t="s">
        <v>44195</v>
      </c>
      <c r="F7163" s="6" t="s">
        <v>825</v>
      </c>
      <c r="G7163" s="6" t="s">
        <v>44641</v>
      </c>
      <c r="H7163" s="7" t="s">
        <v>31</v>
      </c>
      <c r="I7163" s="7">
        <v>1.0</v>
      </c>
      <c r="J7163" s="7">
        <v>1.0</v>
      </c>
      <c r="K7163" s="7" t="s">
        <v>31</v>
      </c>
      <c r="L7163" s="8" t="s">
        <v>44642</v>
      </c>
      <c r="M7163" s="6" t="s">
        <v>44643</v>
      </c>
      <c r="N7163" s="6" t="s">
        <v>3100</v>
      </c>
      <c r="O7163" s="8" t="s">
        <v>3101</v>
      </c>
      <c r="P7163" s="6" t="s">
        <v>44644</v>
      </c>
      <c r="Q7163" s="6" t="s">
        <v>31</v>
      </c>
      <c r="R7163" s="6" t="s">
        <v>31</v>
      </c>
      <c r="S7163" s="8" t="s">
        <v>8173</v>
      </c>
      <c r="T7163" s="6" t="s">
        <v>3104</v>
      </c>
      <c r="U7163" s="8" t="s">
        <v>31</v>
      </c>
      <c r="V7163" s="6" t="s">
        <v>38204</v>
      </c>
      <c r="W7163" s="6" t="s">
        <v>44195</v>
      </c>
      <c r="X7163" s="9" t="str">
        <f>HYPERLINK("https://my.pitchbook.com?p=198339-22P","View People Online")</f>
        <v>View People Online</v>
      </c>
    </row>
    <row r="7164">
      <c r="A7164" s="10" t="s">
        <v>44645</v>
      </c>
      <c r="B7164" s="10" t="s">
        <v>44646</v>
      </c>
      <c r="C7164" s="10" t="s">
        <v>44647</v>
      </c>
      <c r="D7164" s="10" t="s">
        <v>1177</v>
      </c>
      <c r="E7164" s="10" t="s">
        <v>44195</v>
      </c>
      <c r="F7164" s="10" t="s">
        <v>270</v>
      </c>
      <c r="G7164" s="10" t="s">
        <v>44648</v>
      </c>
      <c r="H7164" s="11" t="s">
        <v>31</v>
      </c>
      <c r="I7164" s="11">
        <v>1.0</v>
      </c>
      <c r="J7164" s="11">
        <v>1.0</v>
      </c>
      <c r="K7164" s="11" t="s">
        <v>31</v>
      </c>
      <c r="L7164" s="12" t="s">
        <v>44207</v>
      </c>
      <c r="M7164" s="10" t="s">
        <v>44649</v>
      </c>
      <c r="N7164" s="10" t="s">
        <v>243</v>
      </c>
      <c r="O7164" s="12" t="s">
        <v>244</v>
      </c>
      <c r="P7164" s="10" t="s">
        <v>44209</v>
      </c>
      <c r="Q7164" s="10" t="s">
        <v>31</v>
      </c>
      <c r="R7164" s="10" t="s">
        <v>247</v>
      </c>
      <c r="S7164" s="12" t="s">
        <v>44210</v>
      </c>
      <c r="T7164" s="10" t="s">
        <v>249</v>
      </c>
      <c r="U7164" s="12" t="s">
        <v>31</v>
      </c>
      <c r="V7164" s="10" t="s">
        <v>44650</v>
      </c>
      <c r="W7164" s="10" t="s">
        <v>44195</v>
      </c>
      <c r="X7164" s="13" t="str">
        <f>HYPERLINK("https://my.pitchbook.com?p=145342-18P","View People Online")</f>
        <v>View People Online</v>
      </c>
    </row>
    <row r="7165">
      <c r="A7165" s="6" t="s">
        <v>44651</v>
      </c>
      <c r="B7165" s="6" t="s">
        <v>44652</v>
      </c>
      <c r="C7165" s="6" t="s">
        <v>9404</v>
      </c>
      <c r="D7165" s="6" t="s">
        <v>44653</v>
      </c>
      <c r="E7165" s="6" t="s">
        <v>44195</v>
      </c>
      <c r="F7165" s="6" t="s">
        <v>548</v>
      </c>
      <c r="G7165" s="6" t="s">
        <v>44654</v>
      </c>
      <c r="H7165" s="7" t="s">
        <v>31</v>
      </c>
      <c r="I7165" s="7">
        <v>1.0</v>
      </c>
      <c r="J7165" s="7">
        <v>1.0</v>
      </c>
      <c r="K7165" s="7" t="s">
        <v>31</v>
      </c>
      <c r="L7165" s="8" t="s">
        <v>44207</v>
      </c>
      <c r="M7165" s="6" t="s">
        <v>44655</v>
      </c>
      <c r="N7165" s="6" t="s">
        <v>243</v>
      </c>
      <c r="O7165" s="8" t="s">
        <v>244</v>
      </c>
      <c r="P7165" s="6" t="s">
        <v>44209</v>
      </c>
      <c r="Q7165" s="6" t="s">
        <v>31</v>
      </c>
      <c r="R7165" s="6" t="s">
        <v>247</v>
      </c>
      <c r="S7165" s="8" t="s">
        <v>44210</v>
      </c>
      <c r="T7165" s="6" t="s">
        <v>249</v>
      </c>
      <c r="U7165" s="8" t="s">
        <v>31</v>
      </c>
      <c r="V7165" s="6" t="s">
        <v>44656</v>
      </c>
      <c r="W7165" s="6" t="s">
        <v>44195</v>
      </c>
      <c r="X7165" s="9" t="str">
        <f>HYPERLINK("https://my.pitchbook.com?p=56218-69P","View People Online")</f>
        <v>View People Online</v>
      </c>
    </row>
    <row r="7166">
      <c r="A7166" s="10" t="s">
        <v>44657</v>
      </c>
      <c r="B7166" s="10" t="s">
        <v>44658</v>
      </c>
      <c r="C7166" s="10" t="s">
        <v>44659</v>
      </c>
      <c r="D7166" s="10" t="s">
        <v>44660</v>
      </c>
      <c r="E7166" s="10" t="s">
        <v>44195</v>
      </c>
      <c r="F7166" s="10" t="s">
        <v>825</v>
      </c>
      <c r="G7166" s="10" t="s">
        <v>44661</v>
      </c>
      <c r="H7166" s="11">
        <v>3.0</v>
      </c>
      <c r="I7166" s="11">
        <v>15.0</v>
      </c>
      <c r="J7166" s="11">
        <v>1.0</v>
      </c>
      <c r="K7166" s="11">
        <v>9.0</v>
      </c>
      <c r="L7166" s="12" t="s">
        <v>44207</v>
      </c>
      <c r="M7166" s="10" t="s">
        <v>44662</v>
      </c>
      <c r="N7166" s="10" t="s">
        <v>243</v>
      </c>
      <c r="O7166" s="12" t="s">
        <v>244</v>
      </c>
      <c r="P7166" s="10" t="s">
        <v>44209</v>
      </c>
      <c r="Q7166" s="10" t="s">
        <v>31</v>
      </c>
      <c r="R7166" s="10" t="s">
        <v>247</v>
      </c>
      <c r="S7166" s="12" t="s">
        <v>44210</v>
      </c>
      <c r="T7166" s="10" t="s">
        <v>249</v>
      </c>
      <c r="U7166" s="12" t="s">
        <v>31</v>
      </c>
      <c r="V7166" s="10" t="s">
        <v>44663</v>
      </c>
      <c r="W7166" s="10" t="s">
        <v>44195</v>
      </c>
      <c r="X7166" s="13" t="str">
        <f>HYPERLINK("https://my.pitchbook.com?p=279503-02P","View People Online")</f>
        <v>View People Online</v>
      </c>
    </row>
    <row r="7167">
      <c r="A7167" s="6" t="s">
        <v>44664</v>
      </c>
      <c r="B7167" s="6" t="s">
        <v>44665</v>
      </c>
      <c r="C7167" s="6" t="s">
        <v>9417</v>
      </c>
      <c r="D7167" s="6" t="s">
        <v>3264</v>
      </c>
      <c r="E7167" s="6" t="s">
        <v>44195</v>
      </c>
      <c r="F7167" s="6" t="s">
        <v>1249</v>
      </c>
      <c r="G7167" s="6" t="s">
        <v>44666</v>
      </c>
      <c r="H7167" s="7">
        <v>1.0</v>
      </c>
      <c r="I7167" s="7">
        <v>1.0</v>
      </c>
      <c r="J7167" s="7">
        <v>1.0</v>
      </c>
      <c r="K7167" s="7" t="s">
        <v>31</v>
      </c>
      <c r="L7167" s="8" t="s">
        <v>44207</v>
      </c>
      <c r="M7167" s="6" t="s">
        <v>44667</v>
      </c>
      <c r="N7167" s="6" t="s">
        <v>243</v>
      </c>
      <c r="O7167" s="8" t="s">
        <v>244</v>
      </c>
      <c r="P7167" s="6" t="s">
        <v>44209</v>
      </c>
      <c r="Q7167" s="6" t="s">
        <v>31</v>
      </c>
      <c r="R7167" s="6" t="s">
        <v>247</v>
      </c>
      <c r="S7167" s="8" t="s">
        <v>44210</v>
      </c>
      <c r="T7167" s="6" t="s">
        <v>249</v>
      </c>
      <c r="U7167" s="8" t="s">
        <v>31</v>
      </c>
      <c r="V7167" s="6" t="s">
        <v>44668</v>
      </c>
      <c r="W7167" s="6" t="s">
        <v>44195</v>
      </c>
      <c r="X7167" s="9" t="str">
        <f>HYPERLINK("https://my.pitchbook.com?p=53530-57P","View People Online")</f>
        <v>View People Online</v>
      </c>
    </row>
    <row r="7168">
      <c r="A7168" s="2" t="s">
        <v>44669</v>
      </c>
      <c r="B7168" s="2" t="s">
        <v>44670</v>
      </c>
      <c r="C7168" s="2" t="s">
        <v>44671</v>
      </c>
      <c r="D7168" s="2" t="s">
        <v>24135</v>
      </c>
      <c r="E7168" s="2" t="s">
        <v>44195</v>
      </c>
      <c r="F7168" s="2" t="s">
        <v>896</v>
      </c>
      <c r="G7168" s="2" t="s">
        <v>44672</v>
      </c>
      <c r="H7168" s="3" t="s">
        <v>31</v>
      </c>
      <c r="I7168" s="3">
        <v>1.0</v>
      </c>
      <c r="J7168" s="3">
        <v>1.0</v>
      </c>
      <c r="K7168" s="3" t="s">
        <v>31</v>
      </c>
      <c r="L7168" s="4" t="s">
        <v>44207</v>
      </c>
      <c r="M7168" s="2" t="s">
        <v>44673</v>
      </c>
      <c r="N7168" s="2" t="s">
        <v>243</v>
      </c>
      <c r="O7168" s="4" t="s">
        <v>244</v>
      </c>
      <c r="P7168" s="2" t="s">
        <v>44209</v>
      </c>
      <c r="Q7168" s="2" t="s">
        <v>31</v>
      </c>
      <c r="R7168" s="2" t="s">
        <v>247</v>
      </c>
      <c r="S7168" s="4" t="s">
        <v>44210</v>
      </c>
      <c r="T7168" s="2" t="s">
        <v>249</v>
      </c>
      <c r="U7168" s="4" t="s">
        <v>31</v>
      </c>
      <c r="V7168" s="2" t="s">
        <v>896</v>
      </c>
      <c r="W7168" s="2" t="s">
        <v>44195</v>
      </c>
      <c r="X7168" s="5" t="str">
        <f>HYPERLINK("https://my.pitchbook.com?p=415446-31P","View People Online")</f>
        <v>View People Online</v>
      </c>
    </row>
    <row r="7169">
      <c r="A7169" s="14" t="s">
        <v>44674</v>
      </c>
      <c r="B7169" s="14" t="s">
        <v>44675</v>
      </c>
      <c r="C7169" s="14" t="s">
        <v>3279</v>
      </c>
      <c r="D7169" s="14" t="s">
        <v>44676</v>
      </c>
      <c r="E7169" s="14" t="s">
        <v>44195</v>
      </c>
      <c r="F7169" s="14" t="s">
        <v>825</v>
      </c>
      <c r="G7169" s="14" t="s">
        <v>44677</v>
      </c>
      <c r="H7169" s="15" t="s">
        <v>31</v>
      </c>
      <c r="I7169" s="15">
        <v>1.0</v>
      </c>
      <c r="J7169" s="15">
        <v>1.0</v>
      </c>
      <c r="K7169" s="15" t="s">
        <v>31</v>
      </c>
      <c r="L7169" s="16" t="s">
        <v>44207</v>
      </c>
      <c r="M7169" s="14" t="s">
        <v>44678</v>
      </c>
      <c r="N7169" s="14" t="s">
        <v>243</v>
      </c>
      <c r="O7169" s="16" t="s">
        <v>244</v>
      </c>
      <c r="P7169" s="14" t="s">
        <v>44209</v>
      </c>
      <c r="Q7169" s="14" t="s">
        <v>31</v>
      </c>
      <c r="R7169" s="14" t="s">
        <v>247</v>
      </c>
      <c r="S7169" s="16" t="s">
        <v>44210</v>
      </c>
      <c r="T7169" s="14" t="s">
        <v>249</v>
      </c>
      <c r="U7169" s="16" t="s">
        <v>31</v>
      </c>
      <c r="V7169" s="14" t="s">
        <v>44679</v>
      </c>
      <c r="W7169" s="14" t="s">
        <v>44195</v>
      </c>
      <c r="X7169" s="17" t="str">
        <f>HYPERLINK("https://my.pitchbook.com?p=282761-02P","View People Online")</f>
        <v>View People Online</v>
      </c>
    </row>
    <row r="7170">
      <c r="A7170" s="2" t="s">
        <v>44680</v>
      </c>
      <c r="B7170" s="2" t="s">
        <v>44681</v>
      </c>
      <c r="C7170" s="2" t="s">
        <v>44682</v>
      </c>
      <c r="D7170" s="2" t="s">
        <v>44683</v>
      </c>
      <c r="E7170" s="2" t="s">
        <v>44195</v>
      </c>
      <c r="F7170" s="2" t="s">
        <v>825</v>
      </c>
      <c r="G7170" s="2" t="s">
        <v>44684</v>
      </c>
      <c r="H7170" s="3">
        <v>1.0</v>
      </c>
      <c r="I7170" s="3">
        <v>6.0</v>
      </c>
      <c r="J7170" s="3">
        <v>1.0</v>
      </c>
      <c r="K7170" s="3">
        <v>3.0</v>
      </c>
      <c r="L7170" s="4" t="s">
        <v>44207</v>
      </c>
      <c r="M7170" s="2" t="s">
        <v>44685</v>
      </c>
      <c r="N7170" s="2" t="s">
        <v>243</v>
      </c>
      <c r="O7170" s="4" t="s">
        <v>244</v>
      </c>
      <c r="P7170" s="2" t="s">
        <v>44209</v>
      </c>
      <c r="Q7170" s="2" t="s">
        <v>31</v>
      </c>
      <c r="R7170" s="2" t="s">
        <v>247</v>
      </c>
      <c r="S7170" s="4" t="s">
        <v>44210</v>
      </c>
      <c r="T7170" s="2" t="s">
        <v>249</v>
      </c>
      <c r="U7170" s="4" t="s">
        <v>31</v>
      </c>
      <c r="V7170" s="2" t="s">
        <v>44686</v>
      </c>
      <c r="W7170" s="2" t="s">
        <v>44195</v>
      </c>
      <c r="X7170" s="5" t="str">
        <f>HYPERLINK("https://my.pitchbook.com?p=202582-72P","View People Online")</f>
        <v>View People Online</v>
      </c>
    </row>
    <row r="7171">
      <c r="A7171" s="14" t="s">
        <v>44687</v>
      </c>
      <c r="B7171" s="14" t="s">
        <v>44688</v>
      </c>
      <c r="C7171" s="14" t="s">
        <v>44689</v>
      </c>
      <c r="D7171" s="14" t="s">
        <v>44690</v>
      </c>
      <c r="E7171" s="14" t="s">
        <v>44195</v>
      </c>
      <c r="F7171" s="14" t="s">
        <v>548</v>
      </c>
      <c r="G7171" s="14" t="s">
        <v>44691</v>
      </c>
      <c r="H7171" s="15" t="s">
        <v>31</v>
      </c>
      <c r="I7171" s="15">
        <v>1.0</v>
      </c>
      <c r="J7171" s="15">
        <v>1.0</v>
      </c>
      <c r="K7171" s="15" t="s">
        <v>31</v>
      </c>
      <c r="L7171" s="16" t="s">
        <v>44207</v>
      </c>
      <c r="M7171" s="14" t="s">
        <v>44692</v>
      </c>
      <c r="N7171" s="14" t="s">
        <v>243</v>
      </c>
      <c r="O7171" s="16" t="s">
        <v>244</v>
      </c>
      <c r="P7171" s="14" t="s">
        <v>44209</v>
      </c>
      <c r="Q7171" s="14" t="s">
        <v>31</v>
      </c>
      <c r="R7171" s="14" t="s">
        <v>247</v>
      </c>
      <c r="S7171" s="16" t="s">
        <v>44210</v>
      </c>
      <c r="T7171" s="14" t="s">
        <v>249</v>
      </c>
      <c r="U7171" s="16" t="s">
        <v>31</v>
      </c>
      <c r="V7171" s="14" t="s">
        <v>44693</v>
      </c>
      <c r="W7171" s="14" t="s">
        <v>44195</v>
      </c>
      <c r="X7171" s="17" t="str">
        <f>HYPERLINK("https://my.pitchbook.com?p=329995-63P","View People Online")</f>
        <v>View People Online</v>
      </c>
    </row>
    <row r="7172">
      <c r="A7172" s="10" t="s">
        <v>44694</v>
      </c>
      <c r="B7172" s="10" t="s">
        <v>44695</v>
      </c>
      <c r="C7172" s="10" t="s">
        <v>395</v>
      </c>
      <c r="D7172" s="10" t="s">
        <v>44696</v>
      </c>
      <c r="E7172" s="10" t="s">
        <v>44195</v>
      </c>
      <c r="F7172" s="10" t="s">
        <v>78</v>
      </c>
      <c r="G7172" s="10" t="s">
        <v>44697</v>
      </c>
      <c r="H7172" s="11" t="s">
        <v>31</v>
      </c>
      <c r="I7172" s="11">
        <v>1.0</v>
      </c>
      <c r="J7172" s="11">
        <v>1.0</v>
      </c>
      <c r="K7172" s="11" t="s">
        <v>31</v>
      </c>
      <c r="L7172" s="12" t="s">
        <v>44207</v>
      </c>
      <c r="M7172" s="10" t="s">
        <v>44698</v>
      </c>
      <c r="N7172" s="10" t="s">
        <v>243</v>
      </c>
      <c r="O7172" s="12" t="s">
        <v>244</v>
      </c>
      <c r="P7172" s="10" t="s">
        <v>44209</v>
      </c>
      <c r="Q7172" s="10" t="s">
        <v>31</v>
      </c>
      <c r="R7172" s="10" t="s">
        <v>247</v>
      </c>
      <c r="S7172" s="12" t="s">
        <v>44210</v>
      </c>
      <c r="T7172" s="10" t="s">
        <v>249</v>
      </c>
      <c r="U7172" s="12" t="s">
        <v>31</v>
      </c>
      <c r="V7172" s="10" t="s">
        <v>78</v>
      </c>
      <c r="W7172" s="10" t="s">
        <v>44195</v>
      </c>
      <c r="X7172" s="13" t="str">
        <f>HYPERLINK("https://my.pitchbook.com?p=403864-21P","View People Online")</f>
        <v>View People Online</v>
      </c>
    </row>
    <row r="7173">
      <c r="A7173" s="6" t="s">
        <v>44699</v>
      </c>
      <c r="B7173" s="6" t="s">
        <v>44700</v>
      </c>
      <c r="C7173" s="6" t="s">
        <v>395</v>
      </c>
      <c r="D7173" s="6" t="s">
        <v>4015</v>
      </c>
      <c r="E7173" s="6" t="s">
        <v>44195</v>
      </c>
      <c r="F7173" s="6" t="s">
        <v>548</v>
      </c>
      <c r="G7173" s="6" t="s">
        <v>44701</v>
      </c>
      <c r="H7173" s="7" t="s">
        <v>31</v>
      </c>
      <c r="I7173" s="7">
        <v>1.0</v>
      </c>
      <c r="J7173" s="7">
        <v>1.0</v>
      </c>
      <c r="K7173" s="7" t="s">
        <v>31</v>
      </c>
      <c r="L7173" s="8" t="s">
        <v>44207</v>
      </c>
      <c r="M7173" s="6" t="s">
        <v>44702</v>
      </c>
      <c r="N7173" s="6" t="s">
        <v>243</v>
      </c>
      <c r="O7173" s="8" t="s">
        <v>244</v>
      </c>
      <c r="P7173" s="6" t="s">
        <v>44209</v>
      </c>
      <c r="Q7173" s="6" t="s">
        <v>31</v>
      </c>
      <c r="R7173" s="6" t="s">
        <v>247</v>
      </c>
      <c r="S7173" s="8" t="s">
        <v>44210</v>
      </c>
      <c r="T7173" s="6" t="s">
        <v>249</v>
      </c>
      <c r="U7173" s="8" t="s">
        <v>31</v>
      </c>
      <c r="V7173" s="6" t="s">
        <v>44703</v>
      </c>
      <c r="W7173" s="6" t="s">
        <v>44195</v>
      </c>
      <c r="X7173" s="9" t="str">
        <f>HYPERLINK("https://my.pitchbook.com?p=163750-42P","View People Online")</f>
        <v>View People Online</v>
      </c>
    </row>
    <row r="7174">
      <c r="A7174" s="10" t="s">
        <v>44704</v>
      </c>
      <c r="B7174" s="10" t="s">
        <v>44705</v>
      </c>
      <c r="C7174" s="10" t="s">
        <v>536</v>
      </c>
      <c r="D7174" s="10" t="s">
        <v>2789</v>
      </c>
      <c r="E7174" s="10" t="s">
        <v>44195</v>
      </c>
      <c r="F7174" s="10" t="s">
        <v>825</v>
      </c>
      <c r="G7174" s="10" t="s">
        <v>44706</v>
      </c>
      <c r="H7174" s="11" t="s">
        <v>31</v>
      </c>
      <c r="I7174" s="11">
        <v>1.0</v>
      </c>
      <c r="J7174" s="11">
        <v>1.0</v>
      </c>
      <c r="K7174" s="11" t="s">
        <v>31</v>
      </c>
      <c r="L7174" s="12" t="s">
        <v>44257</v>
      </c>
      <c r="M7174" s="10" t="s">
        <v>44707</v>
      </c>
      <c r="N7174" s="10" t="s">
        <v>2754</v>
      </c>
      <c r="O7174" s="12" t="s">
        <v>2755</v>
      </c>
      <c r="P7174" s="10" t="s">
        <v>44259</v>
      </c>
      <c r="Q7174" s="10" t="s">
        <v>44260</v>
      </c>
      <c r="R7174" s="10" t="s">
        <v>31</v>
      </c>
      <c r="S7174" s="12" t="s">
        <v>13737</v>
      </c>
      <c r="T7174" s="10" t="s">
        <v>38</v>
      </c>
      <c r="U7174" s="12" t="s">
        <v>31</v>
      </c>
      <c r="V7174" s="10" t="s">
        <v>44708</v>
      </c>
      <c r="W7174" s="10" t="s">
        <v>44195</v>
      </c>
      <c r="X7174" s="13" t="str">
        <f>HYPERLINK("https://my.pitchbook.com?p=444656-17P","View People Online")</f>
        <v>View People Online</v>
      </c>
    </row>
    <row r="7175">
      <c r="A7175" s="6" t="s">
        <v>44709</v>
      </c>
      <c r="B7175" s="6" t="s">
        <v>44710</v>
      </c>
      <c r="C7175" s="6" t="s">
        <v>12264</v>
      </c>
      <c r="D7175" s="6" t="s">
        <v>237</v>
      </c>
      <c r="E7175" s="6" t="s">
        <v>44195</v>
      </c>
      <c r="F7175" s="6" t="s">
        <v>1801</v>
      </c>
      <c r="G7175" s="6" t="s">
        <v>44711</v>
      </c>
      <c r="H7175" s="7" t="s">
        <v>31</v>
      </c>
      <c r="I7175" s="7">
        <v>1.0</v>
      </c>
      <c r="J7175" s="7">
        <v>1.0</v>
      </c>
      <c r="K7175" s="7" t="s">
        <v>31</v>
      </c>
      <c r="L7175" s="8" t="s">
        <v>44207</v>
      </c>
      <c r="M7175" s="6" t="s">
        <v>44712</v>
      </c>
      <c r="N7175" s="6" t="s">
        <v>243</v>
      </c>
      <c r="O7175" s="8" t="s">
        <v>244</v>
      </c>
      <c r="P7175" s="6" t="s">
        <v>44209</v>
      </c>
      <c r="Q7175" s="6" t="s">
        <v>31</v>
      </c>
      <c r="R7175" s="6" t="s">
        <v>247</v>
      </c>
      <c r="S7175" s="8" t="s">
        <v>44210</v>
      </c>
      <c r="T7175" s="6" t="s">
        <v>249</v>
      </c>
      <c r="U7175" s="8" t="s">
        <v>31</v>
      </c>
      <c r="V7175" s="6" t="s">
        <v>44713</v>
      </c>
      <c r="W7175" s="6" t="s">
        <v>44195</v>
      </c>
      <c r="X7175" s="9" t="str">
        <f>HYPERLINK("https://my.pitchbook.com?p=153644-50P","View People Online")</f>
        <v>View People Online</v>
      </c>
    </row>
    <row r="7176">
      <c r="A7176" s="2" t="s">
        <v>44714</v>
      </c>
      <c r="B7176" s="2" t="s">
        <v>44715</v>
      </c>
      <c r="C7176" s="2" t="s">
        <v>5561</v>
      </c>
      <c r="D7176" s="2" t="s">
        <v>44716</v>
      </c>
      <c r="E7176" s="2" t="s">
        <v>44195</v>
      </c>
      <c r="F7176" s="2" t="s">
        <v>825</v>
      </c>
      <c r="G7176" s="2" t="s">
        <v>44717</v>
      </c>
      <c r="H7176" s="3" t="s">
        <v>31</v>
      </c>
      <c r="I7176" s="3">
        <v>2.0</v>
      </c>
      <c r="J7176" s="3">
        <v>1.0</v>
      </c>
      <c r="K7176" s="3">
        <v>1.0</v>
      </c>
      <c r="L7176" s="4" t="s">
        <v>44207</v>
      </c>
      <c r="M7176" s="2" t="s">
        <v>44718</v>
      </c>
      <c r="N7176" s="2" t="s">
        <v>243</v>
      </c>
      <c r="O7176" s="4" t="s">
        <v>244</v>
      </c>
      <c r="P7176" s="2" t="s">
        <v>44209</v>
      </c>
      <c r="Q7176" s="2" t="s">
        <v>31</v>
      </c>
      <c r="R7176" s="2" t="s">
        <v>247</v>
      </c>
      <c r="S7176" s="4" t="s">
        <v>44210</v>
      </c>
      <c r="T7176" s="2" t="s">
        <v>249</v>
      </c>
      <c r="U7176" s="4" t="s">
        <v>31</v>
      </c>
      <c r="V7176" s="2" t="s">
        <v>44719</v>
      </c>
      <c r="W7176" s="2" t="s">
        <v>44195</v>
      </c>
      <c r="X7176" s="5" t="str">
        <f>HYPERLINK("https://my.pitchbook.com?p=55182-07P","View People Online")</f>
        <v>View People Online</v>
      </c>
    </row>
    <row r="7177">
      <c r="A7177" s="6" t="s">
        <v>44720</v>
      </c>
      <c r="B7177" s="6" t="s">
        <v>44721</v>
      </c>
      <c r="C7177" s="6" t="s">
        <v>1376</v>
      </c>
      <c r="D7177" s="6" t="s">
        <v>44722</v>
      </c>
      <c r="E7177" s="6" t="s">
        <v>44195</v>
      </c>
      <c r="F7177" s="6" t="s">
        <v>825</v>
      </c>
      <c r="G7177" s="6" t="s">
        <v>44723</v>
      </c>
      <c r="H7177" s="7" t="s">
        <v>31</v>
      </c>
      <c r="I7177" s="7">
        <v>1.0</v>
      </c>
      <c r="J7177" s="7">
        <v>1.0</v>
      </c>
      <c r="K7177" s="7" t="s">
        <v>31</v>
      </c>
      <c r="L7177" s="8" t="s">
        <v>44724</v>
      </c>
      <c r="M7177" s="6" t="s">
        <v>44725</v>
      </c>
      <c r="N7177" s="6" t="s">
        <v>243</v>
      </c>
      <c r="O7177" s="8" t="s">
        <v>244</v>
      </c>
      <c r="P7177" s="6" t="s">
        <v>44209</v>
      </c>
      <c r="Q7177" s="6" t="s">
        <v>31</v>
      </c>
      <c r="R7177" s="6" t="s">
        <v>247</v>
      </c>
      <c r="S7177" s="8" t="s">
        <v>44210</v>
      </c>
      <c r="T7177" s="6" t="s">
        <v>249</v>
      </c>
      <c r="U7177" s="8" t="s">
        <v>31</v>
      </c>
      <c r="V7177" s="6" t="s">
        <v>44726</v>
      </c>
      <c r="W7177" s="6" t="s">
        <v>44195</v>
      </c>
      <c r="X7177" s="9" t="str">
        <f>HYPERLINK("https://my.pitchbook.com?p=161555-23P","View People Online")</f>
        <v>View People Online</v>
      </c>
    </row>
    <row r="7178">
      <c r="A7178" s="10" t="s">
        <v>44727</v>
      </c>
      <c r="B7178" s="10" t="s">
        <v>44728</v>
      </c>
      <c r="C7178" s="10" t="s">
        <v>44729</v>
      </c>
      <c r="D7178" s="10" t="s">
        <v>44730</v>
      </c>
      <c r="E7178" s="10" t="s">
        <v>44195</v>
      </c>
      <c r="F7178" s="10" t="s">
        <v>548</v>
      </c>
      <c r="G7178" s="10" t="s">
        <v>44731</v>
      </c>
      <c r="H7178" s="11" t="s">
        <v>31</v>
      </c>
      <c r="I7178" s="11">
        <v>1.0</v>
      </c>
      <c r="J7178" s="11">
        <v>1.0</v>
      </c>
      <c r="K7178" s="11" t="s">
        <v>31</v>
      </c>
      <c r="L7178" s="12" t="s">
        <v>31</v>
      </c>
      <c r="M7178" s="10" t="s">
        <v>44732</v>
      </c>
      <c r="N7178" s="10" t="s">
        <v>794</v>
      </c>
      <c r="O7178" s="12" t="s">
        <v>795</v>
      </c>
      <c r="P7178" s="10" t="s">
        <v>44369</v>
      </c>
      <c r="Q7178" s="10" t="s">
        <v>44370</v>
      </c>
      <c r="R7178" s="10" t="s">
        <v>31</v>
      </c>
      <c r="S7178" s="12" t="s">
        <v>44371</v>
      </c>
      <c r="T7178" s="10" t="s">
        <v>796</v>
      </c>
      <c r="U7178" s="12" t="s">
        <v>31</v>
      </c>
      <c r="V7178" s="10" t="s">
        <v>44733</v>
      </c>
      <c r="W7178" s="10" t="s">
        <v>44195</v>
      </c>
      <c r="X7178" s="13" t="str">
        <f>HYPERLINK("https://my.pitchbook.com?p=119482-57P","View People Online")</f>
        <v>View People Online</v>
      </c>
    </row>
    <row r="7179">
      <c r="A7179" s="14" t="s">
        <v>44734</v>
      </c>
      <c r="B7179" s="14" t="s">
        <v>44735</v>
      </c>
      <c r="C7179" s="14" t="s">
        <v>6855</v>
      </c>
      <c r="D7179" s="14" t="s">
        <v>18122</v>
      </c>
      <c r="E7179" s="14" t="s">
        <v>44195</v>
      </c>
      <c r="F7179" s="14" t="s">
        <v>44736</v>
      </c>
      <c r="G7179" s="14" t="s">
        <v>44737</v>
      </c>
      <c r="H7179" s="15" t="s">
        <v>31</v>
      </c>
      <c r="I7179" s="15">
        <v>1.0</v>
      </c>
      <c r="J7179" s="15">
        <v>1.0</v>
      </c>
      <c r="K7179" s="15" t="s">
        <v>31</v>
      </c>
      <c r="L7179" s="16" t="s">
        <v>44207</v>
      </c>
      <c r="M7179" s="14" t="s">
        <v>44738</v>
      </c>
      <c r="N7179" s="14" t="s">
        <v>243</v>
      </c>
      <c r="O7179" s="16" t="s">
        <v>244</v>
      </c>
      <c r="P7179" s="14" t="s">
        <v>44209</v>
      </c>
      <c r="Q7179" s="14" t="s">
        <v>31</v>
      </c>
      <c r="R7179" s="14" t="s">
        <v>247</v>
      </c>
      <c r="S7179" s="16" t="s">
        <v>44210</v>
      </c>
      <c r="T7179" s="14" t="s">
        <v>249</v>
      </c>
      <c r="U7179" s="16" t="s">
        <v>31</v>
      </c>
      <c r="V7179" s="14" t="s">
        <v>44739</v>
      </c>
      <c r="W7179" s="14" t="s">
        <v>44195</v>
      </c>
      <c r="X7179" s="17" t="str">
        <f>HYPERLINK("https://my.pitchbook.com?p=172181-35P","View People Online")</f>
        <v>View People Online</v>
      </c>
    </row>
    <row r="7180">
      <c r="A7180" s="2" t="s">
        <v>44740</v>
      </c>
      <c r="B7180" s="2" t="s">
        <v>44741</v>
      </c>
      <c r="C7180" s="2" t="s">
        <v>35173</v>
      </c>
      <c r="D7180" s="2" t="s">
        <v>44742</v>
      </c>
      <c r="E7180" s="2" t="s">
        <v>44195</v>
      </c>
      <c r="F7180" s="2" t="s">
        <v>825</v>
      </c>
      <c r="G7180" s="2" t="s">
        <v>44743</v>
      </c>
      <c r="H7180" s="3" t="s">
        <v>31</v>
      </c>
      <c r="I7180" s="3">
        <v>3.0</v>
      </c>
      <c r="J7180" s="3">
        <v>1.0</v>
      </c>
      <c r="K7180" s="3">
        <v>1.0</v>
      </c>
      <c r="L7180" s="4" t="s">
        <v>44207</v>
      </c>
      <c r="M7180" s="2" t="s">
        <v>44744</v>
      </c>
      <c r="N7180" s="2" t="s">
        <v>243</v>
      </c>
      <c r="O7180" s="4" t="s">
        <v>244</v>
      </c>
      <c r="P7180" s="2" t="s">
        <v>44209</v>
      </c>
      <c r="Q7180" s="2" t="s">
        <v>31</v>
      </c>
      <c r="R7180" s="2" t="s">
        <v>247</v>
      </c>
      <c r="S7180" s="4" t="s">
        <v>44210</v>
      </c>
      <c r="T7180" s="2" t="s">
        <v>249</v>
      </c>
      <c r="U7180" s="4" t="s">
        <v>31</v>
      </c>
      <c r="V7180" s="2" t="s">
        <v>44745</v>
      </c>
      <c r="W7180" s="2" t="s">
        <v>44195</v>
      </c>
      <c r="X7180" s="5" t="str">
        <f>HYPERLINK("https://my.pitchbook.com?p=363955-24P","View People Online")</f>
        <v>View People Online</v>
      </c>
    </row>
    <row r="7181">
      <c r="A7181" s="14" t="s">
        <v>44746</v>
      </c>
      <c r="B7181" s="14" t="s">
        <v>44747</v>
      </c>
      <c r="C7181" s="14" t="s">
        <v>562</v>
      </c>
      <c r="D7181" s="14" t="s">
        <v>18762</v>
      </c>
      <c r="E7181" s="14" t="s">
        <v>44195</v>
      </c>
      <c r="F7181" s="14" t="s">
        <v>11257</v>
      </c>
      <c r="G7181" s="14" t="s">
        <v>44748</v>
      </c>
      <c r="H7181" s="15" t="s">
        <v>31</v>
      </c>
      <c r="I7181" s="15">
        <v>1.0</v>
      </c>
      <c r="J7181" s="15">
        <v>1.0</v>
      </c>
      <c r="K7181" s="15" t="s">
        <v>31</v>
      </c>
      <c r="L7181" s="16" t="s">
        <v>44207</v>
      </c>
      <c r="M7181" s="14" t="s">
        <v>44749</v>
      </c>
      <c r="N7181" s="14" t="s">
        <v>243</v>
      </c>
      <c r="O7181" s="16" t="s">
        <v>244</v>
      </c>
      <c r="P7181" s="14" t="s">
        <v>44209</v>
      </c>
      <c r="Q7181" s="14" t="s">
        <v>31</v>
      </c>
      <c r="R7181" s="14" t="s">
        <v>247</v>
      </c>
      <c r="S7181" s="16" t="s">
        <v>44210</v>
      </c>
      <c r="T7181" s="14" t="s">
        <v>249</v>
      </c>
      <c r="U7181" s="16" t="s">
        <v>31</v>
      </c>
      <c r="V7181" s="14" t="s">
        <v>11257</v>
      </c>
      <c r="W7181" s="14" t="s">
        <v>44195</v>
      </c>
      <c r="X7181" s="17" t="str">
        <f>HYPERLINK("https://my.pitchbook.com?p=415482-58P","View People Online")</f>
        <v>View People Online</v>
      </c>
    </row>
    <row r="7182">
      <c r="A7182" s="10" t="s">
        <v>44750</v>
      </c>
      <c r="B7182" s="10" t="s">
        <v>44751</v>
      </c>
      <c r="C7182" s="10" t="s">
        <v>2483</v>
      </c>
      <c r="D7182" s="10" t="s">
        <v>44752</v>
      </c>
      <c r="E7182" s="10" t="s">
        <v>44195</v>
      </c>
      <c r="F7182" s="10" t="s">
        <v>825</v>
      </c>
      <c r="G7182" s="10" t="s">
        <v>44753</v>
      </c>
      <c r="H7182" s="11" t="s">
        <v>31</v>
      </c>
      <c r="I7182" s="11">
        <v>2.0</v>
      </c>
      <c r="J7182" s="11">
        <v>1.0</v>
      </c>
      <c r="K7182" s="11">
        <v>1.0</v>
      </c>
      <c r="L7182" s="12" t="s">
        <v>44754</v>
      </c>
      <c r="M7182" s="10" t="s">
        <v>44755</v>
      </c>
      <c r="N7182" s="10" t="s">
        <v>243</v>
      </c>
      <c r="O7182" s="12" t="s">
        <v>244</v>
      </c>
      <c r="P7182" s="10" t="s">
        <v>44209</v>
      </c>
      <c r="Q7182" s="10" t="s">
        <v>31</v>
      </c>
      <c r="R7182" s="10" t="s">
        <v>247</v>
      </c>
      <c r="S7182" s="12" t="s">
        <v>44210</v>
      </c>
      <c r="T7182" s="10" t="s">
        <v>249</v>
      </c>
      <c r="U7182" s="12" t="s">
        <v>31</v>
      </c>
      <c r="V7182" s="10" t="s">
        <v>44756</v>
      </c>
      <c r="W7182" s="10" t="s">
        <v>44195</v>
      </c>
      <c r="X7182" s="13" t="str">
        <f>HYPERLINK("https://my.pitchbook.com?p=89736-76P","View People Online")</f>
        <v>View People Online</v>
      </c>
    </row>
    <row r="7183">
      <c r="A7183" s="6" t="s">
        <v>44757</v>
      </c>
      <c r="B7183" s="6" t="s">
        <v>44758</v>
      </c>
      <c r="C7183" s="6" t="s">
        <v>7207</v>
      </c>
      <c r="D7183" s="6" t="s">
        <v>44759</v>
      </c>
      <c r="E7183" s="6" t="s">
        <v>44195</v>
      </c>
      <c r="F7183" s="6" t="s">
        <v>896</v>
      </c>
      <c r="G7183" s="6" t="s">
        <v>44760</v>
      </c>
      <c r="H7183" s="7" t="s">
        <v>31</v>
      </c>
      <c r="I7183" s="7">
        <v>2.0</v>
      </c>
      <c r="J7183" s="7">
        <v>1.0</v>
      </c>
      <c r="K7183" s="7">
        <v>1.0</v>
      </c>
      <c r="L7183" s="8" t="s">
        <v>11546</v>
      </c>
      <c r="M7183" s="6" t="s">
        <v>44761</v>
      </c>
      <c r="N7183" s="6" t="s">
        <v>243</v>
      </c>
      <c r="O7183" s="8" t="s">
        <v>244</v>
      </c>
      <c r="P7183" s="6" t="s">
        <v>44209</v>
      </c>
      <c r="Q7183" s="6" t="s">
        <v>31</v>
      </c>
      <c r="R7183" s="6" t="s">
        <v>247</v>
      </c>
      <c r="S7183" s="8" t="s">
        <v>44210</v>
      </c>
      <c r="T7183" s="6" t="s">
        <v>249</v>
      </c>
      <c r="U7183" s="8" t="s">
        <v>31</v>
      </c>
      <c r="V7183" s="6" t="s">
        <v>896</v>
      </c>
      <c r="W7183" s="6" t="s">
        <v>44195</v>
      </c>
      <c r="X7183" s="9" t="str">
        <f>HYPERLINK("https://my.pitchbook.com?p=153103-78P","View People Online")</f>
        <v>View People Online</v>
      </c>
    </row>
    <row r="7184">
      <c r="A7184" s="10" t="s">
        <v>44762</v>
      </c>
      <c r="B7184" s="10" t="s">
        <v>44763</v>
      </c>
      <c r="C7184" s="10" t="s">
        <v>5327</v>
      </c>
      <c r="D7184" s="10" t="s">
        <v>44764</v>
      </c>
      <c r="E7184" s="10" t="s">
        <v>44195</v>
      </c>
      <c r="F7184" s="10" t="s">
        <v>825</v>
      </c>
      <c r="G7184" s="10" t="s">
        <v>44765</v>
      </c>
      <c r="H7184" s="11" t="s">
        <v>31</v>
      </c>
      <c r="I7184" s="11">
        <v>1.0</v>
      </c>
      <c r="J7184" s="11">
        <v>1.0</v>
      </c>
      <c r="K7184" s="11" t="s">
        <v>31</v>
      </c>
      <c r="L7184" s="12" t="s">
        <v>44207</v>
      </c>
      <c r="M7184" s="10" t="s">
        <v>44766</v>
      </c>
      <c r="N7184" s="10" t="s">
        <v>243</v>
      </c>
      <c r="O7184" s="12" t="s">
        <v>244</v>
      </c>
      <c r="P7184" s="10" t="s">
        <v>44209</v>
      </c>
      <c r="Q7184" s="10" t="s">
        <v>31</v>
      </c>
      <c r="R7184" s="10" t="s">
        <v>247</v>
      </c>
      <c r="S7184" s="12" t="s">
        <v>44210</v>
      </c>
      <c r="T7184" s="10" t="s">
        <v>249</v>
      </c>
      <c r="U7184" s="12" t="s">
        <v>31</v>
      </c>
      <c r="V7184" s="10" t="s">
        <v>44767</v>
      </c>
      <c r="W7184" s="10" t="s">
        <v>44195</v>
      </c>
      <c r="X7184" s="13" t="str">
        <f>HYPERLINK("https://my.pitchbook.com?p=63320-50P","View People Online")</f>
        <v>View People Online</v>
      </c>
    </row>
    <row r="7185">
      <c r="A7185" s="14" t="s">
        <v>44768</v>
      </c>
      <c r="B7185" s="14" t="s">
        <v>44769</v>
      </c>
      <c r="C7185" s="14" t="s">
        <v>5327</v>
      </c>
      <c r="D7185" s="14" t="s">
        <v>44770</v>
      </c>
      <c r="E7185" s="14" t="s">
        <v>44195</v>
      </c>
      <c r="F7185" s="14" t="s">
        <v>825</v>
      </c>
      <c r="G7185" s="14" t="s">
        <v>44771</v>
      </c>
      <c r="H7185" s="15" t="s">
        <v>31</v>
      </c>
      <c r="I7185" s="15">
        <v>1.0</v>
      </c>
      <c r="J7185" s="15">
        <v>1.0</v>
      </c>
      <c r="K7185" s="15" t="s">
        <v>31</v>
      </c>
      <c r="L7185" s="16" t="s">
        <v>44207</v>
      </c>
      <c r="M7185" s="14" t="s">
        <v>44772</v>
      </c>
      <c r="N7185" s="14" t="s">
        <v>243</v>
      </c>
      <c r="O7185" s="16" t="s">
        <v>244</v>
      </c>
      <c r="P7185" s="14" t="s">
        <v>44209</v>
      </c>
      <c r="Q7185" s="14" t="s">
        <v>31</v>
      </c>
      <c r="R7185" s="14" t="s">
        <v>247</v>
      </c>
      <c r="S7185" s="16" t="s">
        <v>44210</v>
      </c>
      <c r="T7185" s="14" t="s">
        <v>249</v>
      </c>
      <c r="U7185" s="16" t="s">
        <v>31</v>
      </c>
      <c r="V7185" s="14" t="s">
        <v>44767</v>
      </c>
      <c r="W7185" s="14" t="s">
        <v>44195</v>
      </c>
      <c r="X7185" s="17" t="str">
        <f>HYPERLINK("https://my.pitchbook.com?p=448764-85P","View People Online")</f>
        <v>View People Online</v>
      </c>
    </row>
    <row r="7186">
      <c r="A7186" s="2" t="s">
        <v>44773</v>
      </c>
      <c r="B7186" s="2" t="s">
        <v>44774</v>
      </c>
      <c r="C7186" s="2" t="s">
        <v>12548</v>
      </c>
      <c r="D7186" s="2" t="s">
        <v>15790</v>
      </c>
      <c r="E7186" s="2" t="s">
        <v>44195</v>
      </c>
      <c r="F7186" s="2" t="s">
        <v>825</v>
      </c>
      <c r="G7186" s="2" t="s">
        <v>44775</v>
      </c>
      <c r="H7186" s="3">
        <v>3.0</v>
      </c>
      <c r="I7186" s="3">
        <v>9.0</v>
      </c>
      <c r="J7186" s="3">
        <v>1.0</v>
      </c>
      <c r="K7186" s="3">
        <v>4.0</v>
      </c>
      <c r="L7186" s="4" t="s">
        <v>44776</v>
      </c>
      <c r="M7186" s="2" t="s">
        <v>44777</v>
      </c>
      <c r="N7186" s="2" t="s">
        <v>243</v>
      </c>
      <c r="O7186" s="4" t="s">
        <v>244</v>
      </c>
      <c r="P7186" s="2" t="s">
        <v>44209</v>
      </c>
      <c r="Q7186" s="2" t="s">
        <v>31</v>
      </c>
      <c r="R7186" s="2" t="s">
        <v>247</v>
      </c>
      <c r="S7186" s="4" t="s">
        <v>44210</v>
      </c>
      <c r="T7186" s="2" t="s">
        <v>249</v>
      </c>
      <c r="U7186" s="4" t="s">
        <v>31</v>
      </c>
      <c r="V7186" s="2" t="s">
        <v>44778</v>
      </c>
      <c r="W7186" s="2" t="s">
        <v>44195</v>
      </c>
      <c r="X7186" s="5" t="str">
        <f>HYPERLINK("https://my.pitchbook.com?p=247963-69P","View People Online")</f>
        <v>View People Online</v>
      </c>
    </row>
    <row r="7187">
      <c r="A7187" s="14" t="s">
        <v>44779</v>
      </c>
      <c r="B7187" s="14" t="s">
        <v>44780</v>
      </c>
      <c r="C7187" s="14" t="s">
        <v>2572</v>
      </c>
      <c r="D7187" s="14" t="s">
        <v>44781</v>
      </c>
      <c r="E7187" s="14" t="s">
        <v>44782</v>
      </c>
      <c r="F7187" s="14" t="s">
        <v>312</v>
      </c>
      <c r="G7187" s="14" t="s">
        <v>44783</v>
      </c>
      <c r="H7187" s="15" t="s">
        <v>31</v>
      </c>
      <c r="I7187" s="15">
        <v>1.0</v>
      </c>
      <c r="J7187" s="15">
        <v>1.0</v>
      </c>
      <c r="K7187" s="15" t="s">
        <v>31</v>
      </c>
      <c r="L7187" s="16" t="s">
        <v>31</v>
      </c>
      <c r="M7187" s="14" t="s">
        <v>44784</v>
      </c>
      <c r="N7187" s="14" t="s">
        <v>44785</v>
      </c>
      <c r="O7187" s="16" t="s">
        <v>44786</v>
      </c>
      <c r="P7187" s="14" t="s">
        <v>31</v>
      </c>
      <c r="Q7187" s="14" t="s">
        <v>31</v>
      </c>
      <c r="R7187" s="14" t="s">
        <v>209</v>
      </c>
      <c r="S7187" s="16" t="s">
        <v>31</v>
      </c>
      <c r="T7187" s="14" t="s">
        <v>66</v>
      </c>
      <c r="U7187" s="16" t="s">
        <v>31</v>
      </c>
      <c r="V7187" s="14" t="s">
        <v>312</v>
      </c>
      <c r="W7187" s="14" t="s">
        <v>44782</v>
      </c>
      <c r="X7187" s="17" t="str">
        <f>HYPERLINK("https://my.pitchbook.com?p=179453-98P","View People Online")</f>
        <v>View People Online</v>
      </c>
    </row>
    <row r="7188">
      <c r="A7188" s="10" t="s">
        <v>44787</v>
      </c>
      <c r="B7188" s="10" t="s">
        <v>44788</v>
      </c>
      <c r="C7188" s="10" t="s">
        <v>10622</v>
      </c>
      <c r="D7188" s="10" t="s">
        <v>21021</v>
      </c>
      <c r="E7188" s="10" t="s">
        <v>44782</v>
      </c>
      <c r="F7188" s="10" t="s">
        <v>270</v>
      </c>
      <c r="G7188" s="10" t="s">
        <v>44789</v>
      </c>
      <c r="H7188" s="11" t="s">
        <v>31</v>
      </c>
      <c r="I7188" s="11">
        <v>1.0</v>
      </c>
      <c r="J7188" s="11">
        <v>1.0</v>
      </c>
      <c r="K7188" s="11" t="s">
        <v>31</v>
      </c>
      <c r="L7188" s="12" t="s">
        <v>44790</v>
      </c>
      <c r="M7188" s="10" t="s">
        <v>44791</v>
      </c>
      <c r="N7188" s="10" t="s">
        <v>574</v>
      </c>
      <c r="O7188" s="12" t="s">
        <v>575</v>
      </c>
      <c r="P7188" s="10" t="s">
        <v>44792</v>
      </c>
      <c r="Q7188" s="10" t="s">
        <v>10135</v>
      </c>
      <c r="R7188" s="10" t="s">
        <v>75</v>
      </c>
      <c r="S7188" s="12" t="s">
        <v>44793</v>
      </c>
      <c r="T7188" s="10" t="s">
        <v>66</v>
      </c>
      <c r="U7188" s="12" t="s">
        <v>31</v>
      </c>
      <c r="V7188" s="10" t="s">
        <v>44794</v>
      </c>
      <c r="W7188" s="10" t="s">
        <v>44782</v>
      </c>
      <c r="X7188" s="13" t="str">
        <f>HYPERLINK("https://my.pitchbook.com?p=222435-46P","View People Online")</f>
        <v>View People Online</v>
      </c>
    </row>
    <row r="7189">
      <c r="A7189" s="14" t="s">
        <v>44795</v>
      </c>
      <c r="B7189" s="14" t="s">
        <v>44796</v>
      </c>
      <c r="C7189" s="14" t="s">
        <v>568</v>
      </c>
      <c r="D7189" s="14" t="s">
        <v>44797</v>
      </c>
      <c r="E7189" s="14" t="s">
        <v>44782</v>
      </c>
      <c r="F7189" s="14" t="s">
        <v>312</v>
      </c>
      <c r="G7189" s="14" t="s">
        <v>44798</v>
      </c>
      <c r="H7189" s="15" t="s">
        <v>31</v>
      </c>
      <c r="I7189" s="15">
        <v>1.0</v>
      </c>
      <c r="J7189" s="15">
        <v>1.0</v>
      </c>
      <c r="K7189" s="15" t="s">
        <v>31</v>
      </c>
      <c r="L7189" s="16" t="s">
        <v>44799</v>
      </c>
      <c r="M7189" s="14" t="s">
        <v>44800</v>
      </c>
      <c r="N7189" s="14" t="s">
        <v>574</v>
      </c>
      <c r="O7189" s="16" t="s">
        <v>575</v>
      </c>
      <c r="P7189" s="14" t="s">
        <v>44792</v>
      </c>
      <c r="Q7189" s="14" t="s">
        <v>10135</v>
      </c>
      <c r="R7189" s="14" t="s">
        <v>75</v>
      </c>
      <c r="S7189" s="16" t="s">
        <v>44793</v>
      </c>
      <c r="T7189" s="14" t="s">
        <v>66</v>
      </c>
      <c r="U7189" s="16" t="s">
        <v>31</v>
      </c>
      <c r="V7189" s="14" t="s">
        <v>312</v>
      </c>
      <c r="W7189" s="14" t="s">
        <v>44782</v>
      </c>
      <c r="X7189" s="17" t="str">
        <f>HYPERLINK("https://my.pitchbook.com?p=42049-81P","View People Online")</f>
        <v>View People Online</v>
      </c>
    </row>
    <row r="7190">
      <c r="A7190" s="2" t="s">
        <v>44801</v>
      </c>
      <c r="B7190" s="2" t="s">
        <v>44802</v>
      </c>
      <c r="C7190" s="2" t="s">
        <v>44803</v>
      </c>
      <c r="D7190" s="2" t="s">
        <v>44804</v>
      </c>
      <c r="E7190" s="2" t="s">
        <v>44782</v>
      </c>
      <c r="F7190" s="2" t="s">
        <v>371</v>
      </c>
      <c r="G7190" s="2" t="s">
        <v>44805</v>
      </c>
      <c r="H7190" s="3" t="s">
        <v>31</v>
      </c>
      <c r="I7190" s="3">
        <v>1.0</v>
      </c>
      <c r="J7190" s="3">
        <v>1.0</v>
      </c>
      <c r="K7190" s="3" t="s">
        <v>31</v>
      </c>
      <c r="L7190" s="4" t="s">
        <v>44790</v>
      </c>
      <c r="M7190" s="2" t="s">
        <v>44806</v>
      </c>
      <c r="N7190" s="2" t="s">
        <v>574</v>
      </c>
      <c r="O7190" s="4" t="s">
        <v>575</v>
      </c>
      <c r="P7190" s="2" t="s">
        <v>44792</v>
      </c>
      <c r="Q7190" s="2" t="s">
        <v>10135</v>
      </c>
      <c r="R7190" s="2" t="s">
        <v>75</v>
      </c>
      <c r="S7190" s="4" t="s">
        <v>44793</v>
      </c>
      <c r="T7190" s="2" t="s">
        <v>66</v>
      </c>
      <c r="U7190" s="4" t="s">
        <v>31</v>
      </c>
      <c r="V7190" s="2" t="s">
        <v>371</v>
      </c>
      <c r="W7190" s="2" t="s">
        <v>44782</v>
      </c>
      <c r="X7190" s="5" t="str">
        <f>HYPERLINK("https://my.pitchbook.com?p=231204-88P","View People Online")</f>
        <v>View People Online</v>
      </c>
    </row>
    <row r="7191">
      <c r="A7191" s="6" t="s">
        <v>44807</v>
      </c>
      <c r="B7191" s="6" t="s">
        <v>44808</v>
      </c>
      <c r="C7191" s="6" t="s">
        <v>44809</v>
      </c>
      <c r="D7191" s="6" t="s">
        <v>44810</v>
      </c>
      <c r="E7191" s="6" t="s">
        <v>44782</v>
      </c>
      <c r="F7191" s="6" t="s">
        <v>25723</v>
      </c>
      <c r="G7191" s="6" t="s">
        <v>44811</v>
      </c>
      <c r="H7191" s="7" t="s">
        <v>31</v>
      </c>
      <c r="I7191" s="7">
        <v>1.0</v>
      </c>
      <c r="J7191" s="7">
        <v>1.0</v>
      </c>
      <c r="K7191" s="7" t="s">
        <v>31</v>
      </c>
      <c r="L7191" s="8" t="s">
        <v>44812</v>
      </c>
      <c r="M7191" s="6" t="s">
        <v>44813</v>
      </c>
      <c r="N7191" s="6" t="s">
        <v>13041</v>
      </c>
      <c r="O7191" s="8" t="s">
        <v>13042</v>
      </c>
      <c r="P7191" s="6" t="s">
        <v>44814</v>
      </c>
      <c r="Q7191" s="6" t="s">
        <v>29446</v>
      </c>
      <c r="R7191" s="6" t="s">
        <v>10326</v>
      </c>
      <c r="S7191" s="8" t="s">
        <v>44815</v>
      </c>
      <c r="T7191" s="6" t="s">
        <v>66</v>
      </c>
      <c r="U7191" s="8" t="s">
        <v>31</v>
      </c>
      <c r="V7191" s="6" t="s">
        <v>44816</v>
      </c>
      <c r="W7191" s="6" t="s">
        <v>44782</v>
      </c>
      <c r="X7191" s="9" t="str">
        <f>HYPERLINK("https://my.pitchbook.com?p=134047-63P","View People Online")</f>
        <v>View People Online</v>
      </c>
    </row>
    <row r="7192">
      <c r="A7192" s="2" t="s">
        <v>44817</v>
      </c>
      <c r="B7192" s="2" t="s">
        <v>44818</v>
      </c>
      <c r="C7192" s="2" t="s">
        <v>25533</v>
      </c>
      <c r="D7192" s="2" t="s">
        <v>44819</v>
      </c>
      <c r="E7192" s="2" t="s">
        <v>44782</v>
      </c>
      <c r="F7192" s="2" t="s">
        <v>44820</v>
      </c>
      <c r="G7192" s="2" t="s">
        <v>44821</v>
      </c>
      <c r="H7192" s="3" t="s">
        <v>31</v>
      </c>
      <c r="I7192" s="3">
        <v>1.0</v>
      </c>
      <c r="J7192" s="3">
        <v>1.0</v>
      </c>
      <c r="K7192" s="3" t="s">
        <v>31</v>
      </c>
      <c r="L7192" s="4" t="s">
        <v>31</v>
      </c>
      <c r="M7192" s="2" t="s">
        <v>31</v>
      </c>
      <c r="N7192" s="2" t="s">
        <v>41821</v>
      </c>
      <c r="O7192" s="4" t="s">
        <v>41822</v>
      </c>
      <c r="P7192" s="2" t="s">
        <v>44822</v>
      </c>
      <c r="Q7192" s="2" t="s">
        <v>31</v>
      </c>
      <c r="R7192" s="2" t="s">
        <v>75</v>
      </c>
      <c r="S7192" s="4" t="s">
        <v>41824</v>
      </c>
      <c r="T7192" s="2" t="s">
        <v>66</v>
      </c>
      <c r="U7192" s="4" t="s">
        <v>31</v>
      </c>
      <c r="V7192" s="2" t="s">
        <v>44823</v>
      </c>
      <c r="W7192" s="2" t="s">
        <v>44782</v>
      </c>
      <c r="X7192" s="5" t="str">
        <f>HYPERLINK("https://my.pitchbook.com?p=164219-68P","View People Online")</f>
        <v>View People Online</v>
      </c>
    </row>
    <row r="7193">
      <c r="A7193" s="6" t="s">
        <v>44824</v>
      </c>
      <c r="B7193" s="6" t="s">
        <v>44825</v>
      </c>
      <c r="C7193" s="6" t="s">
        <v>2658</v>
      </c>
      <c r="D7193" s="6" t="s">
        <v>44826</v>
      </c>
      <c r="E7193" s="6" t="s">
        <v>44782</v>
      </c>
      <c r="F7193" s="6" t="s">
        <v>3600</v>
      </c>
      <c r="G7193" s="6" t="s">
        <v>44827</v>
      </c>
      <c r="H7193" s="7" t="s">
        <v>31</v>
      </c>
      <c r="I7193" s="7">
        <v>1.0</v>
      </c>
      <c r="J7193" s="7">
        <v>1.0</v>
      </c>
      <c r="K7193" s="7" t="s">
        <v>31</v>
      </c>
      <c r="L7193" s="8" t="s">
        <v>44790</v>
      </c>
      <c r="M7193" s="6" t="s">
        <v>44828</v>
      </c>
      <c r="N7193" s="6" t="s">
        <v>574</v>
      </c>
      <c r="O7193" s="8" t="s">
        <v>575</v>
      </c>
      <c r="P7193" s="6" t="s">
        <v>44792</v>
      </c>
      <c r="Q7193" s="6" t="s">
        <v>10135</v>
      </c>
      <c r="R7193" s="6" t="s">
        <v>75</v>
      </c>
      <c r="S7193" s="8" t="s">
        <v>44793</v>
      </c>
      <c r="T7193" s="6" t="s">
        <v>66</v>
      </c>
      <c r="U7193" s="8" t="s">
        <v>31</v>
      </c>
      <c r="V7193" s="6" t="s">
        <v>44829</v>
      </c>
      <c r="W7193" s="6" t="s">
        <v>44782</v>
      </c>
      <c r="X7193" s="9" t="str">
        <f>HYPERLINK("https://my.pitchbook.com?p=86728-33P","View People Online")</f>
        <v>View People Online</v>
      </c>
    </row>
    <row r="7194">
      <c r="A7194" s="10" t="s">
        <v>44830</v>
      </c>
      <c r="B7194" s="10" t="s">
        <v>44831</v>
      </c>
      <c r="C7194" s="10" t="s">
        <v>1117</v>
      </c>
      <c r="D7194" s="10" t="s">
        <v>44832</v>
      </c>
      <c r="E7194" s="10" t="s">
        <v>44782</v>
      </c>
      <c r="F7194" s="10" t="s">
        <v>34800</v>
      </c>
      <c r="G7194" s="10" t="s">
        <v>44833</v>
      </c>
      <c r="H7194" s="11" t="s">
        <v>31</v>
      </c>
      <c r="I7194" s="11">
        <v>1.0</v>
      </c>
      <c r="J7194" s="11">
        <v>1.0</v>
      </c>
      <c r="K7194" s="11" t="s">
        <v>31</v>
      </c>
      <c r="L7194" s="12" t="s">
        <v>44834</v>
      </c>
      <c r="M7194" s="10" t="s">
        <v>44835</v>
      </c>
      <c r="N7194" s="10" t="s">
        <v>574</v>
      </c>
      <c r="O7194" s="12" t="s">
        <v>575</v>
      </c>
      <c r="P7194" s="10" t="s">
        <v>44792</v>
      </c>
      <c r="Q7194" s="10" t="s">
        <v>10135</v>
      </c>
      <c r="R7194" s="10" t="s">
        <v>75</v>
      </c>
      <c r="S7194" s="12" t="s">
        <v>44793</v>
      </c>
      <c r="T7194" s="10" t="s">
        <v>66</v>
      </c>
      <c r="U7194" s="12" t="s">
        <v>31</v>
      </c>
      <c r="V7194" s="10" t="s">
        <v>44836</v>
      </c>
      <c r="W7194" s="10" t="s">
        <v>44782</v>
      </c>
      <c r="X7194" s="13" t="str">
        <f>HYPERLINK("https://my.pitchbook.com?p=275901-76P","View People Online")</f>
        <v>View People Online</v>
      </c>
    </row>
    <row r="7195">
      <c r="A7195" s="6" t="s">
        <v>44837</v>
      </c>
      <c r="B7195" s="6" t="s">
        <v>44838</v>
      </c>
      <c r="C7195" s="6" t="s">
        <v>34916</v>
      </c>
      <c r="D7195" s="6" t="s">
        <v>4550</v>
      </c>
      <c r="E7195" s="6" t="s">
        <v>44782</v>
      </c>
      <c r="F7195" s="6" t="s">
        <v>548</v>
      </c>
      <c r="G7195" s="6" t="s">
        <v>44839</v>
      </c>
      <c r="H7195" s="7" t="s">
        <v>31</v>
      </c>
      <c r="I7195" s="7">
        <v>1.0</v>
      </c>
      <c r="J7195" s="7">
        <v>1.0</v>
      </c>
      <c r="K7195" s="7" t="s">
        <v>31</v>
      </c>
      <c r="L7195" s="8" t="s">
        <v>44790</v>
      </c>
      <c r="M7195" s="6" t="s">
        <v>44840</v>
      </c>
      <c r="N7195" s="6" t="s">
        <v>574</v>
      </c>
      <c r="O7195" s="8" t="s">
        <v>575</v>
      </c>
      <c r="P7195" s="6" t="s">
        <v>44792</v>
      </c>
      <c r="Q7195" s="6" t="s">
        <v>10135</v>
      </c>
      <c r="R7195" s="6" t="s">
        <v>75</v>
      </c>
      <c r="S7195" s="8" t="s">
        <v>44793</v>
      </c>
      <c r="T7195" s="6" t="s">
        <v>66</v>
      </c>
      <c r="U7195" s="8" t="s">
        <v>31</v>
      </c>
      <c r="V7195" s="6" t="s">
        <v>44841</v>
      </c>
      <c r="W7195" s="6" t="s">
        <v>44782</v>
      </c>
      <c r="X7195" s="9" t="str">
        <f>HYPERLINK("https://my.pitchbook.com?p=299082-70P","View People Online")</f>
        <v>View People Online</v>
      </c>
    </row>
    <row r="7196">
      <c r="A7196" s="2" t="s">
        <v>44842</v>
      </c>
      <c r="B7196" s="2" t="s">
        <v>44843</v>
      </c>
      <c r="C7196" s="2" t="s">
        <v>44844</v>
      </c>
      <c r="D7196" s="2" t="s">
        <v>44845</v>
      </c>
      <c r="E7196" s="2" t="s">
        <v>44782</v>
      </c>
      <c r="F7196" s="2" t="s">
        <v>825</v>
      </c>
      <c r="G7196" s="2" t="s">
        <v>44846</v>
      </c>
      <c r="H7196" s="3" t="s">
        <v>31</v>
      </c>
      <c r="I7196" s="3">
        <v>1.0</v>
      </c>
      <c r="J7196" s="3">
        <v>1.0</v>
      </c>
      <c r="K7196" s="3" t="s">
        <v>31</v>
      </c>
      <c r="L7196" s="4" t="s">
        <v>31</v>
      </c>
      <c r="M7196" s="2" t="s">
        <v>31</v>
      </c>
      <c r="N7196" s="2" t="s">
        <v>13041</v>
      </c>
      <c r="O7196" s="4" t="s">
        <v>13042</v>
      </c>
      <c r="P7196" s="2" t="s">
        <v>44814</v>
      </c>
      <c r="Q7196" s="2" t="s">
        <v>29446</v>
      </c>
      <c r="R7196" s="2" t="s">
        <v>10326</v>
      </c>
      <c r="S7196" s="4" t="s">
        <v>44815</v>
      </c>
      <c r="T7196" s="2" t="s">
        <v>66</v>
      </c>
      <c r="U7196" s="4" t="s">
        <v>31</v>
      </c>
      <c r="V7196" s="2" t="s">
        <v>44847</v>
      </c>
      <c r="W7196" s="2" t="s">
        <v>44782</v>
      </c>
      <c r="X7196" s="5" t="str">
        <f>HYPERLINK("https://my.pitchbook.com?p=164217-88P","View People Online")</f>
        <v>View People Online</v>
      </c>
    </row>
    <row r="7197">
      <c r="A7197" s="14" t="s">
        <v>44848</v>
      </c>
      <c r="B7197" s="14" t="s">
        <v>44849</v>
      </c>
      <c r="C7197" s="14" t="s">
        <v>44850</v>
      </c>
      <c r="D7197" s="14" t="s">
        <v>44851</v>
      </c>
      <c r="E7197" s="14" t="s">
        <v>44782</v>
      </c>
      <c r="F7197" s="14" t="s">
        <v>3740</v>
      </c>
      <c r="G7197" s="14" t="s">
        <v>44852</v>
      </c>
      <c r="H7197" s="15" t="s">
        <v>31</v>
      </c>
      <c r="I7197" s="15">
        <v>1.0</v>
      </c>
      <c r="J7197" s="15">
        <v>1.0</v>
      </c>
      <c r="K7197" s="15" t="s">
        <v>31</v>
      </c>
      <c r="L7197" s="16" t="s">
        <v>31</v>
      </c>
      <c r="M7197" s="14" t="s">
        <v>44853</v>
      </c>
      <c r="N7197" s="14" t="s">
        <v>13041</v>
      </c>
      <c r="O7197" s="16" t="s">
        <v>13042</v>
      </c>
      <c r="P7197" s="14" t="s">
        <v>44814</v>
      </c>
      <c r="Q7197" s="14" t="s">
        <v>29446</v>
      </c>
      <c r="R7197" s="14" t="s">
        <v>10326</v>
      </c>
      <c r="S7197" s="16" t="s">
        <v>44815</v>
      </c>
      <c r="T7197" s="14" t="s">
        <v>66</v>
      </c>
      <c r="U7197" s="16" t="s">
        <v>31</v>
      </c>
      <c r="V7197" s="14" t="s">
        <v>3740</v>
      </c>
      <c r="W7197" s="14" t="s">
        <v>44782</v>
      </c>
      <c r="X7197" s="17" t="str">
        <f>HYPERLINK("https://my.pitchbook.com?p=86727-43P","View People Online")</f>
        <v>View People Online</v>
      </c>
    </row>
    <row r="7198">
      <c r="A7198" s="10" t="s">
        <v>44854</v>
      </c>
      <c r="B7198" s="10" t="s">
        <v>44855</v>
      </c>
      <c r="C7198" s="10" t="s">
        <v>1994</v>
      </c>
      <c r="D7198" s="10" t="s">
        <v>44856</v>
      </c>
      <c r="E7198" s="10" t="s">
        <v>44782</v>
      </c>
      <c r="F7198" s="10" t="s">
        <v>548</v>
      </c>
      <c r="G7198" s="10" t="s">
        <v>44857</v>
      </c>
      <c r="H7198" s="11" t="s">
        <v>31</v>
      </c>
      <c r="I7198" s="11">
        <v>1.0</v>
      </c>
      <c r="J7198" s="11">
        <v>1.0</v>
      </c>
      <c r="K7198" s="11" t="s">
        <v>31</v>
      </c>
      <c r="L7198" s="12" t="s">
        <v>31</v>
      </c>
      <c r="M7198" s="10" t="s">
        <v>44858</v>
      </c>
      <c r="N7198" s="10" t="s">
        <v>13041</v>
      </c>
      <c r="O7198" s="12" t="s">
        <v>13042</v>
      </c>
      <c r="P7198" s="10" t="s">
        <v>44814</v>
      </c>
      <c r="Q7198" s="10" t="s">
        <v>29446</v>
      </c>
      <c r="R7198" s="10" t="s">
        <v>10326</v>
      </c>
      <c r="S7198" s="12" t="s">
        <v>44815</v>
      </c>
      <c r="T7198" s="10" t="s">
        <v>66</v>
      </c>
      <c r="U7198" s="12" t="s">
        <v>31</v>
      </c>
      <c r="V7198" s="10" t="s">
        <v>44859</v>
      </c>
      <c r="W7198" s="10" t="s">
        <v>44782</v>
      </c>
      <c r="X7198" s="13" t="str">
        <f>HYPERLINK("https://my.pitchbook.com?p=146366-20P","View People Online")</f>
        <v>View People Online</v>
      </c>
    </row>
    <row r="7199">
      <c r="A7199" s="6" t="s">
        <v>44860</v>
      </c>
      <c r="B7199" s="6" t="s">
        <v>44861</v>
      </c>
      <c r="C7199" s="6" t="s">
        <v>4169</v>
      </c>
      <c r="D7199" s="6" t="s">
        <v>3275</v>
      </c>
      <c r="E7199" s="6" t="s">
        <v>44782</v>
      </c>
      <c r="F7199" s="6" t="s">
        <v>825</v>
      </c>
      <c r="G7199" s="6" t="s">
        <v>44862</v>
      </c>
      <c r="H7199" s="7" t="s">
        <v>31</v>
      </c>
      <c r="I7199" s="7">
        <v>1.0</v>
      </c>
      <c r="J7199" s="7">
        <v>1.0</v>
      </c>
      <c r="K7199" s="7" t="s">
        <v>31</v>
      </c>
      <c r="L7199" s="8" t="s">
        <v>44790</v>
      </c>
      <c r="M7199" s="6" t="s">
        <v>44863</v>
      </c>
      <c r="N7199" s="6" t="s">
        <v>574</v>
      </c>
      <c r="O7199" s="8" t="s">
        <v>575</v>
      </c>
      <c r="P7199" s="6" t="s">
        <v>44792</v>
      </c>
      <c r="Q7199" s="6" t="s">
        <v>10135</v>
      </c>
      <c r="R7199" s="6" t="s">
        <v>75</v>
      </c>
      <c r="S7199" s="8" t="s">
        <v>44793</v>
      </c>
      <c r="T7199" s="6" t="s">
        <v>66</v>
      </c>
      <c r="U7199" s="8" t="s">
        <v>31</v>
      </c>
      <c r="V7199" s="6" t="s">
        <v>44864</v>
      </c>
      <c r="W7199" s="6" t="s">
        <v>44782</v>
      </c>
      <c r="X7199" s="9" t="str">
        <f>HYPERLINK("https://my.pitchbook.com?p=126959-59P","View People Online")</f>
        <v>View People Online</v>
      </c>
    </row>
    <row r="7200">
      <c r="A7200" s="2" t="s">
        <v>44865</v>
      </c>
      <c r="B7200" s="2" t="s">
        <v>44866</v>
      </c>
      <c r="C7200" s="2" t="s">
        <v>1929</v>
      </c>
      <c r="D7200" s="2" t="s">
        <v>15398</v>
      </c>
      <c r="E7200" s="2" t="s">
        <v>44782</v>
      </c>
      <c r="F7200" s="2" t="s">
        <v>1801</v>
      </c>
      <c r="G7200" s="2" t="s">
        <v>44867</v>
      </c>
      <c r="H7200" s="3" t="s">
        <v>31</v>
      </c>
      <c r="I7200" s="3">
        <v>1.0</v>
      </c>
      <c r="J7200" s="3">
        <v>1.0</v>
      </c>
      <c r="K7200" s="3" t="s">
        <v>31</v>
      </c>
      <c r="L7200" s="4" t="s">
        <v>31</v>
      </c>
      <c r="M7200" s="2" t="s">
        <v>44868</v>
      </c>
      <c r="N7200" s="2" t="s">
        <v>44785</v>
      </c>
      <c r="O7200" s="4" t="s">
        <v>44786</v>
      </c>
      <c r="P7200" s="2" t="s">
        <v>31</v>
      </c>
      <c r="Q7200" s="2" t="s">
        <v>31</v>
      </c>
      <c r="R7200" s="2" t="s">
        <v>209</v>
      </c>
      <c r="S7200" s="4" t="s">
        <v>31</v>
      </c>
      <c r="T7200" s="2" t="s">
        <v>66</v>
      </c>
      <c r="U7200" s="4" t="s">
        <v>31</v>
      </c>
      <c r="V7200" s="2" t="s">
        <v>44869</v>
      </c>
      <c r="W7200" s="2" t="s">
        <v>44782</v>
      </c>
      <c r="X7200" s="5" t="str">
        <f>HYPERLINK("https://my.pitchbook.com?p=127750-51P","View People Online")</f>
        <v>View People Online</v>
      </c>
    </row>
    <row r="7201">
      <c r="A7201" s="6" t="s">
        <v>44870</v>
      </c>
      <c r="B7201" s="6" t="s">
        <v>44871</v>
      </c>
      <c r="C7201" s="6" t="s">
        <v>1929</v>
      </c>
      <c r="D7201" s="6" t="s">
        <v>44872</v>
      </c>
      <c r="E7201" s="6" t="s">
        <v>44782</v>
      </c>
      <c r="F7201" s="6" t="s">
        <v>44873</v>
      </c>
      <c r="G7201" s="6" t="s">
        <v>44874</v>
      </c>
      <c r="H7201" s="7" t="s">
        <v>31</v>
      </c>
      <c r="I7201" s="7">
        <v>1.0</v>
      </c>
      <c r="J7201" s="7">
        <v>1.0</v>
      </c>
      <c r="K7201" s="7" t="s">
        <v>31</v>
      </c>
      <c r="L7201" s="8" t="s">
        <v>44790</v>
      </c>
      <c r="M7201" s="6" t="s">
        <v>31</v>
      </c>
      <c r="N7201" s="6" t="s">
        <v>574</v>
      </c>
      <c r="O7201" s="8" t="s">
        <v>575</v>
      </c>
      <c r="P7201" s="6" t="s">
        <v>44792</v>
      </c>
      <c r="Q7201" s="6" t="s">
        <v>10135</v>
      </c>
      <c r="R7201" s="6" t="s">
        <v>75</v>
      </c>
      <c r="S7201" s="8" t="s">
        <v>44793</v>
      </c>
      <c r="T7201" s="6" t="s">
        <v>66</v>
      </c>
      <c r="U7201" s="8" t="s">
        <v>31</v>
      </c>
      <c r="V7201" s="6" t="s">
        <v>44875</v>
      </c>
      <c r="W7201" s="6" t="s">
        <v>44782</v>
      </c>
      <c r="X7201" s="9" t="str">
        <f>HYPERLINK("https://my.pitchbook.com?p=173735-74P","View People Online")</f>
        <v>View People Online</v>
      </c>
    </row>
    <row r="7202">
      <c r="A7202" s="2" t="s">
        <v>44876</v>
      </c>
      <c r="B7202" s="2" t="s">
        <v>44877</v>
      </c>
      <c r="C7202" s="2" t="s">
        <v>28819</v>
      </c>
      <c r="D7202" s="2" t="s">
        <v>44878</v>
      </c>
      <c r="E7202" s="2" t="s">
        <v>44782</v>
      </c>
      <c r="F7202" s="2" t="s">
        <v>4997</v>
      </c>
      <c r="G7202" s="2" t="s">
        <v>44879</v>
      </c>
      <c r="H7202" s="3" t="s">
        <v>31</v>
      </c>
      <c r="I7202" s="3">
        <v>1.0</v>
      </c>
      <c r="J7202" s="3">
        <v>1.0</v>
      </c>
      <c r="K7202" s="3" t="s">
        <v>31</v>
      </c>
      <c r="L7202" s="4" t="s">
        <v>44790</v>
      </c>
      <c r="M7202" s="2" t="s">
        <v>44880</v>
      </c>
      <c r="N7202" s="2" t="s">
        <v>574</v>
      </c>
      <c r="O7202" s="4" t="s">
        <v>575</v>
      </c>
      <c r="P7202" s="2" t="s">
        <v>44792</v>
      </c>
      <c r="Q7202" s="2" t="s">
        <v>10135</v>
      </c>
      <c r="R7202" s="2" t="s">
        <v>75</v>
      </c>
      <c r="S7202" s="4" t="s">
        <v>44793</v>
      </c>
      <c r="T7202" s="2" t="s">
        <v>66</v>
      </c>
      <c r="U7202" s="4" t="s">
        <v>31</v>
      </c>
      <c r="V7202" s="2" t="s">
        <v>44881</v>
      </c>
      <c r="W7202" s="2" t="s">
        <v>44782</v>
      </c>
      <c r="X7202" s="5" t="str">
        <f>HYPERLINK("https://my.pitchbook.com?p=384673-69P","View People Online")</f>
        <v>View People Online</v>
      </c>
    </row>
    <row r="7203">
      <c r="A7203" s="6" t="s">
        <v>44882</v>
      </c>
      <c r="B7203" s="6" t="s">
        <v>44883</v>
      </c>
      <c r="C7203" s="6" t="s">
        <v>4210</v>
      </c>
      <c r="D7203" s="6" t="s">
        <v>843</v>
      </c>
      <c r="E7203" s="6" t="s">
        <v>44782</v>
      </c>
      <c r="F7203" s="6" t="s">
        <v>44884</v>
      </c>
      <c r="G7203" s="6" t="s">
        <v>44885</v>
      </c>
      <c r="H7203" s="7" t="s">
        <v>31</v>
      </c>
      <c r="I7203" s="7">
        <v>1.0</v>
      </c>
      <c r="J7203" s="7">
        <v>1.0</v>
      </c>
      <c r="K7203" s="7" t="s">
        <v>31</v>
      </c>
      <c r="L7203" s="8" t="s">
        <v>44790</v>
      </c>
      <c r="M7203" s="6" t="s">
        <v>44886</v>
      </c>
      <c r="N7203" s="6" t="s">
        <v>574</v>
      </c>
      <c r="O7203" s="8" t="s">
        <v>575</v>
      </c>
      <c r="P7203" s="6" t="s">
        <v>44792</v>
      </c>
      <c r="Q7203" s="6" t="s">
        <v>10135</v>
      </c>
      <c r="R7203" s="6" t="s">
        <v>75</v>
      </c>
      <c r="S7203" s="8" t="s">
        <v>44793</v>
      </c>
      <c r="T7203" s="6" t="s">
        <v>66</v>
      </c>
      <c r="U7203" s="8" t="s">
        <v>31</v>
      </c>
      <c r="V7203" s="6" t="s">
        <v>44887</v>
      </c>
      <c r="W7203" s="6" t="s">
        <v>44782</v>
      </c>
      <c r="X7203" s="9" t="str">
        <f>HYPERLINK("https://my.pitchbook.com?p=447698-35P","View People Online")</f>
        <v>View People Online</v>
      </c>
    </row>
    <row r="7204">
      <c r="A7204" s="2" t="s">
        <v>44888</v>
      </c>
      <c r="B7204" s="2" t="s">
        <v>44889</v>
      </c>
      <c r="C7204" s="2" t="s">
        <v>704</v>
      </c>
      <c r="D7204" s="2" t="s">
        <v>44890</v>
      </c>
      <c r="E7204" s="2" t="s">
        <v>44782</v>
      </c>
      <c r="F7204" s="2" t="s">
        <v>583</v>
      </c>
      <c r="G7204" s="2" t="s">
        <v>44891</v>
      </c>
      <c r="H7204" s="3" t="s">
        <v>31</v>
      </c>
      <c r="I7204" s="3">
        <v>1.0</v>
      </c>
      <c r="J7204" s="3">
        <v>1.0</v>
      </c>
      <c r="K7204" s="3" t="s">
        <v>31</v>
      </c>
      <c r="L7204" s="4" t="s">
        <v>44790</v>
      </c>
      <c r="M7204" s="2" t="s">
        <v>44892</v>
      </c>
      <c r="N7204" s="2" t="s">
        <v>574</v>
      </c>
      <c r="O7204" s="4" t="s">
        <v>575</v>
      </c>
      <c r="P7204" s="2" t="s">
        <v>44792</v>
      </c>
      <c r="Q7204" s="2" t="s">
        <v>10135</v>
      </c>
      <c r="R7204" s="2" t="s">
        <v>75</v>
      </c>
      <c r="S7204" s="4" t="s">
        <v>44793</v>
      </c>
      <c r="T7204" s="2" t="s">
        <v>66</v>
      </c>
      <c r="U7204" s="4" t="s">
        <v>31</v>
      </c>
      <c r="V7204" s="2" t="s">
        <v>44893</v>
      </c>
      <c r="W7204" s="2" t="s">
        <v>44782</v>
      </c>
      <c r="X7204" s="5" t="str">
        <f>HYPERLINK("https://my.pitchbook.com?p=437592-88P","View People Online")</f>
        <v>View People Online</v>
      </c>
    </row>
    <row r="7205">
      <c r="A7205" s="6" t="s">
        <v>44894</v>
      </c>
      <c r="B7205" s="6" t="s">
        <v>44895</v>
      </c>
      <c r="C7205" s="6" t="s">
        <v>724</v>
      </c>
      <c r="D7205" s="6" t="s">
        <v>36644</v>
      </c>
      <c r="E7205" s="6" t="s">
        <v>44782</v>
      </c>
      <c r="F7205" s="6" t="s">
        <v>583</v>
      </c>
      <c r="G7205" s="6" t="s">
        <v>44896</v>
      </c>
      <c r="H7205" s="7" t="s">
        <v>31</v>
      </c>
      <c r="I7205" s="7">
        <v>1.0</v>
      </c>
      <c r="J7205" s="7">
        <v>1.0</v>
      </c>
      <c r="K7205" s="7" t="s">
        <v>31</v>
      </c>
      <c r="L7205" s="8" t="s">
        <v>31</v>
      </c>
      <c r="M7205" s="6" t="s">
        <v>44897</v>
      </c>
      <c r="N7205" s="6" t="s">
        <v>44898</v>
      </c>
      <c r="O7205" s="8" t="s">
        <v>44899</v>
      </c>
      <c r="P7205" s="6" t="s">
        <v>44900</v>
      </c>
      <c r="Q7205" s="6" t="s">
        <v>31</v>
      </c>
      <c r="R7205" s="6" t="s">
        <v>616</v>
      </c>
      <c r="S7205" s="8" t="s">
        <v>44901</v>
      </c>
      <c r="T7205" s="6" t="s">
        <v>66</v>
      </c>
      <c r="U7205" s="8" t="s">
        <v>31</v>
      </c>
      <c r="V7205" s="6" t="s">
        <v>44902</v>
      </c>
      <c r="W7205" s="6" t="s">
        <v>44782</v>
      </c>
      <c r="X7205" s="9" t="str">
        <f>HYPERLINK("https://my.pitchbook.com?p=164221-30P","View People Online")</f>
        <v>View People Online</v>
      </c>
    </row>
    <row r="7206">
      <c r="A7206" s="2" t="s">
        <v>44903</v>
      </c>
      <c r="B7206" s="2" t="s">
        <v>44904</v>
      </c>
      <c r="C7206" s="2" t="s">
        <v>436</v>
      </c>
      <c r="D7206" s="2" t="s">
        <v>44905</v>
      </c>
      <c r="E7206" s="2" t="s">
        <v>44782</v>
      </c>
      <c r="F7206" s="2" t="s">
        <v>312</v>
      </c>
      <c r="G7206" s="2" t="s">
        <v>44906</v>
      </c>
      <c r="H7206" s="3" t="s">
        <v>31</v>
      </c>
      <c r="I7206" s="3">
        <v>2.0</v>
      </c>
      <c r="J7206" s="3">
        <v>1.0</v>
      </c>
      <c r="K7206" s="3">
        <v>1.0</v>
      </c>
      <c r="L7206" s="4" t="s">
        <v>44790</v>
      </c>
      <c r="M7206" s="2" t="s">
        <v>31</v>
      </c>
      <c r="N7206" s="2" t="s">
        <v>574</v>
      </c>
      <c r="O7206" s="4" t="s">
        <v>575</v>
      </c>
      <c r="P7206" s="2" t="s">
        <v>44792</v>
      </c>
      <c r="Q7206" s="2" t="s">
        <v>10135</v>
      </c>
      <c r="R7206" s="2" t="s">
        <v>75</v>
      </c>
      <c r="S7206" s="4" t="s">
        <v>44793</v>
      </c>
      <c r="T7206" s="2" t="s">
        <v>66</v>
      </c>
      <c r="U7206" s="4" t="s">
        <v>31</v>
      </c>
      <c r="V7206" s="2" t="s">
        <v>312</v>
      </c>
      <c r="W7206" s="2" t="s">
        <v>44782</v>
      </c>
      <c r="X7206" s="5" t="str">
        <f>HYPERLINK("https://my.pitchbook.com?p=369338-05P","View People Online")</f>
        <v>View People Online</v>
      </c>
    </row>
    <row r="7207">
      <c r="A7207" s="6" t="s">
        <v>44907</v>
      </c>
      <c r="B7207" s="6" t="s">
        <v>44908</v>
      </c>
      <c r="C7207" s="6" t="s">
        <v>5602</v>
      </c>
      <c r="D7207" s="6" t="s">
        <v>44909</v>
      </c>
      <c r="E7207" s="6" t="s">
        <v>44782</v>
      </c>
      <c r="F7207" s="6" t="s">
        <v>1283</v>
      </c>
      <c r="G7207" s="6" t="s">
        <v>44910</v>
      </c>
      <c r="H7207" s="7" t="s">
        <v>31</v>
      </c>
      <c r="I7207" s="7">
        <v>1.0</v>
      </c>
      <c r="J7207" s="7">
        <v>1.0</v>
      </c>
      <c r="K7207" s="7" t="s">
        <v>31</v>
      </c>
      <c r="L7207" s="8" t="s">
        <v>44790</v>
      </c>
      <c r="M7207" s="6" t="s">
        <v>44911</v>
      </c>
      <c r="N7207" s="6" t="s">
        <v>574</v>
      </c>
      <c r="O7207" s="8" t="s">
        <v>575</v>
      </c>
      <c r="P7207" s="6" t="s">
        <v>44792</v>
      </c>
      <c r="Q7207" s="6" t="s">
        <v>10135</v>
      </c>
      <c r="R7207" s="6" t="s">
        <v>75</v>
      </c>
      <c r="S7207" s="8" t="s">
        <v>44793</v>
      </c>
      <c r="T7207" s="6" t="s">
        <v>66</v>
      </c>
      <c r="U7207" s="8" t="s">
        <v>31</v>
      </c>
      <c r="V7207" s="6" t="s">
        <v>44912</v>
      </c>
      <c r="W7207" s="6" t="s">
        <v>44782</v>
      </c>
      <c r="X7207" s="9" t="str">
        <f>HYPERLINK("https://my.pitchbook.com?p=360104-86P","View People Online")</f>
        <v>View People Online</v>
      </c>
    </row>
    <row r="7208">
      <c r="A7208" s="10" t="s">
        <v>44913</v>
      </c>
      <c r="B7208" s="10" t="s">
        <v>44914</v>
      </c>
      <c r="C7208" s="10" t="s">
        <v>1437</v>
      </c>
      <c r="D7208" s="10" t="s">
        <v>44915</v>
      </c>
      <c r="E7208" s="10" t="s">
        <v>44782</v>
      </c>
      <c r="F7208" s="10" t="s">
        <v>5141</v>
      </c>
      <c r="G7208" s="10" t="s">
        <v>44916</v>
      </c>
      <c r="H7208" s="11" t="s">
        <v>31</v>
      </c>
      <c r="I7208" s="11">
        <v>1.0</v>
      </c>
      <c r="J7208" s="11">
        <v>1.0</v>
      </c>
      <c r="K7208" s="11" t="s">
        <v>31</v>
      </c>
      <c r="L7208" s="12" t="s">
        <v>44790</v>
      </c>
      <c r="M7208" s="10" t="s">
        <v>44917</v>
      </c>
      <c r="N7208" s="10" t="s">
        <v>574</v>
      </c>
      <c r="O7208" s="12" t="s">
        <v>575</v>
      </c>
      <c r="P7208" s="10" t="s">
        <v>44792</v>
      </c>
      <c r="Q7208" s="10" t="s">
        <v>10135</v>
      </c>
      <c r="R7208" s="10" t="s">
        <v>75</v>
      </c>
      <c r="S7208" s="12" t="s">
        <v>44793</v>
      </c>
      <c r="T7208" s="10" t="s">
        <v>66</v>
      </c>
      <c r="U7208" s="12" t="s">
        <v>31</v>
      </c>
      <c r="V7208" s="10" t="s">
        <v>44918</v>
      </c>
      <c r="W7208" s="10" t="s">
        <v>44782</v>
      </c>
      <c r="X7208" s="13" t="str">
        <f>HYPERLINK("https://my.pitchbook.com?p=358035-22P","View People Online")</f>
        <v>View People Online</v>
      </c>
    </row>
    <row r="7209">
      <c r="A7209" s="14" t="s">
        <v>44919</v>
      </c>
      <c r="B7209" s="14" t="s">
        <v>44920</v>
      </c>
      <c r="C7209" s="14" t="s">
        <v>15326</v>
      </c>
      <c r="D7209" s="14" t="s">
        <v>44921</v>
      </c>
      <c r="E7209" s="14" t="s">
        <v>44782</v>
      </c>
      <c r="F7209" s="14" t="s">
        <v>667</v>
      </c>
      <c r="G7209" s="14" t="s">
        <v>44922</v>
      </c>
      <c r="H7209" s="15" t="s">
        <v>31</v>
      </c>
      <c r="I7209" s="15">
        <v>1.0</v>
      </c>
      <c r="J7209" s="15">
        <v>1.0</v>
      </c>
      <c r="K7209" s="15" t="s">
        <v>31</v>
      </c>
      <c r="L7209" s="16" t="s">
        <v>44790</v>
      </c>
      <c r="M7209" s="14" t="s">
        <v>44923</v>
      </c>
      <c r="N7209" s="14" t="s">
        <v>574</v>
      </c>
      <c r="O7209" s="16" t="s">
        <v>575</v>
      </c>
      <c r="P7209" s="14" t="s">
        <v>44792</v>
      </c>
      <c r="Q7209" s="14" t="s">
        <v>10135</v>
      </c>
      <c r="R7209" s="14" t="s">
        <v>75</v>
      </c>
      <c r="S7209" s="16" t="s">
        <v>44793</v>
      </c>
      <c r="T7209" s="14" t="s">
        <v>66</v>
      </c>
      <c r="U7209" s="16" t="s">
        <v>31</v>
      </c>
      <c r="V7209" s="14" t="s">
        <v>44924</v>
      </c>
      <c r="W7209" s="14" t="s">
        <v>44782</v>
      </c>
      <c r="X7209" s="17" t="str">
        <f>HYPERLINK("https://my.pitchbook.com?p=343496-89P","View People Online")</f>
        <v>View People Online</v>
      </c>
    </row>
    <row r="7210">
      <c r="A7210" s="2" t="s">
        <v>44925</v>
      </c>
      <c r="B7210" s="2" t="s">
        <v>44926</v>
      </c>
      <c r="C7210" s="2" t="s">
        <v>285</v>
      </c>
      <c r="D7210" s="2" t="s">
        <v>44927</v>
      </c>
      <c r="E7210" s="2" t="s">
        <v>44782</v>
      </c>
      <c r="F7210" s="2" t="s">
        <v>3740</v>
      </c>
      <c r="G7210" s="2" t="s">
        <v>44928</v>
      </c>
      <c r="H7210" s="3">
        <v>1.0</v>
      </c>
      <c r="I7210" s="3">
        <v>2.0</v>
      </c>
      <c r="J7210" s="3">
        <v>1.0</v>
      </c>
      <c r="K7210" s="3" t="s">
        <v>31</v>
      </c>
      <c r="L7210" s="4" t="s">
        <v>31</v>
      </c>
      <c r="M7210" s="2" t="s">
        <v>44929</v>
      </c>
      <c r="N7210" s="2" t="s">
        <v>13041</v>
      </c>
      <c r="O7210" s="4" t="s">
        <v>13042</v>
      </c>
      <c r="P7210" s="2" t="s">
        <v>44814</v>
      </c>
      <c r="Q7210" s="2" t="s">
        <v>29446</v>
      </c>
      <c r="R7210" s="2" t="s">
        <v>10326</v>
      </c>
      <c r="S7210" s="4" t="s">
        <v>44815</v>
      </c>
      <c r="T7210" s="2" t="s">
        <v>66</v>
      </c>
      <c r="U7210" s="4" t="s">
        <v>31</v>
      </c>
      <c r="V7210" s="2" t="s">
        <v>3740</v>
      </c>
      <c r="W7210" s="2" t="s">
        <v>44782</v>
      </c>
      <c r="X7210" s="5" t="str">
        <f>HYPERLINK("https://my.pitchbook.com?p=135973-09P","View People Online")</f>
        <v>View People Online</v>
      </c>
    </row>
    <row r="7211">
      <c r="A7211" s="14" t="s">
        <v>44930</v>
      </c>
      <c r="B7211" s="14" t="s">
        <v>44931</v>
      </c>
      <c r="C7211" s="14" t="s">
        <v>285</v>
      </c>
      <c r="D7211" s="14" t="s">
        <v>17744</v>
      </c>
      <c r="E7211" s="14" t="s">
        <v>44782</v>
      </c>
      <c r="F7211" s="14" t="s">
        <v>29076</v>
      </c>
      <c r="G7211" s="14" t="s">
        <v>44932</v>
      </c>
      <c r="H7211" s="15" t="s">
        <v>31</v>
      </c>
      <c r="I7211" s="15">
        <v>1.0</v>
      </c>
      <c r="J7211" s="15">
        <v>1.0</v>
      </c>
      <c r="K7211" s="15" t="s">
        <v>31</v>
      </c>
      <c r="L7211" s="16" t="s">
        <v>44790</v>
      </c>
      <c r="M7211" s="14" t="s">
        <v>44933</v>
      </c>
      <c r="N7211" s="14" t="s">
        <v>574</v>
      </c>
      <c r="O7211" s="16" t="s">
        <v>575</v>
      </c>
      <c r="P7211" s="14" t="s">
        <v>44792</v>
      </c>
      <c r="Q7211" s="14" t="s">
        <v>10135</v>
      </c>
      <c r="R7211" s="14" t="s">
        <v>75</v>
      </c>
      <c r="S7211" s="16" t="s">
        <v>44793</v>
      </c>
      <c r="T7211" s="14" t="s">
        <v>66</v>
      </c>
      <c r="U7211" s="16" t="s">
        <v>31</v>
      </c>
      <c r="V7211" s="14" t="s">
        <v>29076</v>
      </c>
      <c r="W7211" s="14" t="s">
        <v>44782</v>
      </c>
      <c r="X7211" s="17" t="str">
        <f>HYPERLINK("https://my.pitchbook.com?p=101970-28P","View People Online")</f>
        <v>View People Online</v>
      </c>
    </row>
    <row r="7212">
      <c r="A7212" s="2" t="s">
        <v>44934</v>
      </c>
      <c r="B7212" s="2" t="s">
        <v>44935</v>
      </c>
      <c r="C7212" s="2" t="s">
        <v>7465</v>
      </c>
      <c r="D7212" s="2" t="s">
        <v>119</v>
      </c>
      <c r="E7212" s="2" t="s">
        <v>44782</v>
      </c>
      <c r="F7212" s="2" t="s">
        <v>4997</v>
      </c>
      <c r="G7212" s="2" t="s">
        <v>44936</v>
      </c>
      <c r="H7212" s="3" t="s">
        <v>31</v>
      </c>
      <c r="I7212" s="3">
        <v>1.0</v>
      </c>
      <c r="J7212" s="3">
        <v>1.0</v>
      </c>
      <c r="K7212" s="3" t="s">
        <v>31</v>
      </c>
      <c r="L7212" s="4" t="s">
        <v>44790</v>
      </c>
      <c r="M7212" s="2" t="s">
        <v>44937</v>
      </c>
      <c r="N7212" s="2" t="s">
        <v>574</v>
      </c>
      <c r="O7212" s="4" t="s">
        <v>575</v>
      </c>
      <c r="P7212" s="2" t="s">
        <v>44792</v>
      </c>
      <c r="Q7212" s="2" t="s">
        <v>10135</v>
      </c>
      <c r="R7212" s="2" t="s">
        <v>75</v>
      </c>
      <c r="S7212" s="4" t="s">
        <v>44793</v>
      </c>
      <c r="T7212" s="2" t="s">
        <v>66</v>
      </c>
      <c r="U7212" s="4" t="s">
        <v>31</v>
      </c>
      <c r="V7212" s="2" t="s">
        <v>44938</v>
      </c>
      <c r="W7212" s="2" t="s">
        <v>44782</v>
      </c>
      <c r="X7212" s="5" t="str">
        <f>HYPERLINK("https://my.pitchbook.com?p=86727-61P","View People Online")</f>
        <v>View People Online</v>
      </c>
    </row>
    <row r="7213">
      <c r="A7213" s="6" t="s">
        <v>44939</v>
      </c>
      <c r="B7213" s="6" t="s">
        <v>44940</v>
      </c>
      <c r="C7213" s="6" t="s">
        <v>44941</v>
      </c>
      <c r="D7213" s="6" t="s">
        <v>25052</v>
      </c>
      <c r="E7213" s="6" t="s">
        <v>44782</v>
      </c>
      <c r="F7213" s="6" t="s">
        <v>1801</v>
      </c>
      <c r="G7213" s="6" t="s">
        <v>44942</v>
      </c>
      <c r="H7213" s="7" t="s">
        <v>31</v>
      </c>
      <c r="I7213" s="7">
        <v>1.0</v>
      </c>
      <c r="J7213" s="7">
        <v>1.0</v>
      </c>
      <c r="K7213" s="7" t="s">
        <v>31</v>
      </c>
      <c r="L7213" s="8" t="s">
        <v>31</v>
      </c>
      <c r="M7213" s="6" t="s">
        <v>44943</v>
      </c>
      <c r="N7213" s="6" t="s">
        <v>44944</v>
      </c>
      <c r="O7213" s="8" t="s">
        <v>44945</v>
      </c>
      <c r="P7213" s="6" t="s">
        <v>31</v>
      </c>
      <c r="Q7213" s="6" t="s">
        <v>31</v>
      </c>
      <c r="R7213" s="6" t="s">
        <v>209</v>
      </c>
      <c r="S7213" s="8" t="s">
        <v>31</v>
      </c>
      <c r="T7213" s="6" t="s">
        <v>66</v>
      </c>
      <c r="U7213" s="8" t="s">
        <v>31</v>
      </c>
      <c r="V7213" s="6" t="s">
        <v>1801</v>
      </c>
      <c r="W7213" s="6" t="s">
        <v>44782</v>
      </c>
      <c r="X7213" s="9" t="str">
        <f>HYPERLINK("https://my.pitchbook.com?p=114299-47P","View People Online")</f>
        <v>View People Online</v>
      </c>
    </row>
    <row r="7214">
      <c r="A7214" s="2" t="s">
        <v>44946</v>
      </c>
      <c r="B7214" s="2" t="s">
        <v>44947</v>
      </c>
      <c r="C7214" s="2" t="s">
        <v>4943</v>
      </c>
      <c r="D7214" s="2" t="s">
        <v>4255</v>
      </c>
      <c r="E7214" s="2" t="s">
        <v>44782</v>
      </c>
      <c r="F7214" s="2" t="s">
        <v>44820</v>
      </c>
      <c r="G7214" s="2" t="s">
        <v>44948</v>
      </c>
      <c r="H7214" s="3" t="s">
        <v>31</v>
      </c>
      <c r="I7214" s="3">
        <v>1.0</v>
      </c>
      <c r="J7214" s="3">
        <v>1.0</v>
      </c>
      <c r="K7214" s="3" t="s">
        <v>31</v>
      </c>
      <c r="L7214" s="4" t="s">
        <v>31</v>
      </c>
      <c r="M7214" s="2" t="s">
        <v>44949</v>
      </c>
      <c r="N7214" s="2" t="s">
        <v>44950</v>
      </c>
      <c r="O7214" s="4" t="s">
        <v>44951</v>
      </c>
      <c r="P7214" s="2" t="s">
        <v>44952</v>
      </c>
      <c r="Q7214" s="2" t="s">
        <v>31</v>
      </c>
      <c r="R7214" s="2" t="s">
        <v>75</v>
      </c>
      <c r="S7214" s="4" t="s">
        <v>44953</v>
      </c>
      <c r="T7214" s="2" t="s">
        <v>66</v>
      </c>
      <c r="U7214" s="4" t="s">
        <v>31</v>
      </c>
      <c r="V7214" s="2" t="s">
        <v>44823</v>
      </c>
      <c r="W7214" s="2" t="s">
        <v>44782</v>
      </c>
      <c r="X7214" s="5" t="str">
        <f>HYPERLINK("https://my.pitchbook.com?p=143720-38P","View People Online")</f>
        <v>View People Online</v>
      </c>
    </row>
    <row r="7215">
      <c r="A7215" s="14" t="s">
        <v>44954</v>
      </c>
      <c r="B7215" s="14" t="s">
        <v>44955</v>
      </c>
      <c r="C7215" s="14" t="s">
        <v>69</v>
      </c>
      <c r="D7215" s="14" t="s">
        <v>17468</v>
      </c>
      <c r="E7215" s="14" t="s">
        <v>44782</v>
      </c>
      <c r="F7215" s="14" t="s">
        <v>312</v>
      </c>
      <c r="G7215" s="14" t="s">
        <v>44956</v>
      </c>
      <c r="H7215" s="15" t="s">
        <v>31</v>
      </c>
      <c r="I7215" s="15">
        <v>1.0</v>
      </c>
      <c r="J7215" s="15">
        <v>1.0</v>
      </c>
      <c r="K7215" s="15" t="s">
        <v>31</v>
      </c>
      <c r="L7215" s="16" t="s">
        <v>44790</v>
      </c>
      <c r="M7215" s="14" t="s">
        <v>44957</v>
      </c>
      <c r="N7215" s="14" t="s">
        <v>574</v>
      </c>
      <c r="O7215" s="16" t="s">
        <v>575</v>
      </c>
      <c r="P7215" s="14" t="s">
        <v>44792</v>
      </c>
      <c r="Q7215" s="14" t="s">
        <v>10135</v>
      </c>
      <c r="R7215" s="14" t="s">
        <v>75</v>
      </c>
      <c r="S7215" s="16" t="s">
        <v>44793</v>
      </c>
      <c r="T7215" s="14" t="s">
        <v>66</v>
      </c>
      <c r="U7215" s="16" t="s">
        <v>31</v>
      </c>
      <c r="V7215" s="14" t="s">
        <v>44958</v>
      </c>
      <c r="W7215" s="14" t="s">
        <v>44782</v>
      </c>
      <c r="X7215" s="17" t="str">
        <f>HYPERLINK("https://my.pitchbook.com?p=384419-53P","View People Online")</f>
        <v>View People Online</v>
      </c>
    </row>
    <row r="7216">
      <c r="A7216" s="10" t="s">
        <v>44959</v>
      </c>
      <c r="B7216" s="10" t="s">
        <v>44960</v>
      </c>
      <c r="C7216" s="10" t="s">
        <v>44961</v>
      </c>
      <c r="D7216" s="10" t="s">
        <v>44962</v>
      </c>
      <c r="E7216" s="10" t="s">
        <v>44782</v>
      </c>
      <c r="F7216" s="10" t="s">
        <v>312</v>
      </c>
      <c r="G7216" s="10" t="s">
        <v>44963</v>
      </c>
      <c r="H7216" s="11" t="s">
        <v>31</v>
      </c>
      <c r="I7216" s="11">
        <v>1.0</v>
      </c>
      <c r="J7216" s="11">
        <v>1.0</v>
      </c>
      <c r="K7216" s="11" t="s">
        <v>31</v>
      </c>
      <c r="L7216" s="12" t="s">
        <v>44790</v>
      </c>
      <c r="M7216" s="10" t="s">
        <v>44964</v>
      </c>
      <c r="N7216" s="10" t="s">
        <v>574</v>
      </c>
      <c r="O7216" s="12" t="s">
        <v>575</v>
      </c>
      <c r="P7216" s="10" t="s">
        <v>44792</v>
      </c>
      <c r="Q7216" s="10" t="s">
        <v>10135</v>
      </c>
      <c r="R7216" s="10" t="s">
        <v>75</v>
      </c>
      <c r="S7216" s="12" t="s">
        <v>44793</v>
      </c>
      <c r="T7216" s="10" t="s">
        <v>66</v>
      </c>
      <c r="U7216" s="12" t="s">
        <v>31</v>
      </c>
      <c r="V7216" s="10" t="s">
        <v>312</v>
      </c>
      <c r="W7216" s="10" t="s">
        <v>44782</v>
      </c>
      <c r="X7216" s="13" t="str">
        <f>HYPERLINK("https://my.pitchbook.com?p=86728-06P","View People Online")</f>
        <v>View People Online</v>
      </c>
    </row>
    <row r="7217">
      <c r="A7217" s="6" t="s">
        <v>44965</v>
      </c>
      <c r="B7217" s="6" t="s">
        <v>44966</v>
      </c>
      <c r="C7217" s="6" t="s">
        <v>11111</v>
      </c>
      <c r="D7217" s="6" t="s">
        <v>3847</v>
      </c>
      <c r="E7217" s="6" t="s">
        <v>44782</v>
      </c>
      <c r="F7217" s="6" t="s">
        <v>29076</v>
      </c>
      <c r="G7217" s="6" t="s">
        <v>44967</v>
      </c>
      <c r="H7217" s="7" t="s">
        <v>31</v>
      </c>
      <c r="I7217" s="7">
        <v>1.0</v>
      </c>
      <c r="J7217" s="7">
        <v>1.0</v>
      </c>
      <c r="K7217" s="7" t="s">
        <v>31</v>
      </c>
      <c r="L7217" s="8" t="s">
        <v>44790</v>
      </c>
      <c r="M7217" s="6" t="s">
        <v>31</v>
      </c>
      <c r="N7217" s="6" t="s">
        <v>574</v>
      </c>
      <c r="O7217" s="8" t="s">
        <v>575</v>
      </c>
      <c r="P7217" s="6" t="s">
        <v>44792</v>
      </c>
      <c r="Q7217" s="6" t="s">
        <v>10135</v>
      </c>
      <c r="R7217" s="6" t="s">
        <v>75</v>
      </c>
      <c r="S7217" s="8" t="s">
        <v>44793</v>
      </c>
      <c r="T7217" s="6" t="s">
        <v>66</v>
      </c>
      <c r="U7217" s="8" t="s">
        <v>31</v>
      </c>
      <c r="V7217" s="6" t="s">
        <v>29076</v>
      </c>
      <c r="W7217" s="6" t="s">
        <v>44782</v>
      </c>
      <c r="X7217" s="9" t="str">
        <f>HYPERLINK("https://my.pitchbook.com?p=36229-51P","View People Online")</f>
        <v>View People Online</v>
      </c>
    </row>
    <row r="7218">
      <c r="A7218" s="2" t="s">
        <v>44968</v>
      </c>
      <c r="B7218" s="2" t="s">
        <v>44969</v>
      </c>
      <c r="C7218" s="2" t="s">
        <v>44970</v>
      </c>
      <c r="D7218" s="2" t="s">
        <v>44971</v>
      </c>
      <c r="E7218" s="2" t="s">
        <v>44782</v>
      </c>
      <c r="F7218" s="2" t="s">
        <v>44972</v>
      </c>
      <c r="G7218" s="2" t="s">
        <v>44973</v>
      </c>
      <c r="H7218" s="3" t="s">
        <v>31</v>
      </c>
      <c r="I7218" s="3">
        <v>1.0</v>
      </c>
      <c r="J7218" s="3">
        <v>1.0</v>
      </c>
      <c r="K7218" s="3" t="s">
        <v>31</v>
      </c>
      <c r="L7218" s="4" t="s">
        <v>44790</v>
      </c>
      <c r="M7218" s="2" t="s">
        <v>44974</v>
      </c>
      <c r="N7218" s="2" t="s">
        <v>574</v>
      </c>
      <c r="O7218" s="4" t="s">
        <v>575</v>
      </c>
      <c r="P7218" s="2" t="s">
        <v>44792</v>
      </c>
      <c r="Q7218" s="2" t="s">
        <v>10135</v>
      </c>
      <c r="R7218" s="2" t="s">
        <v>75</v>
      </c>
      <c r="S7218" s="4" t="s">
        <v>44793</v>
      </c>
      <c r="T7218" s="2" t="s">
        <v>66</v>
      </c>
      <c r="U7218" s="4" t="s">
        <v>31</v>
      </c>
      <c r="V7218" s="2" t="s">
        <v>44975</v>
      </c>
      <c r="W7218" s="2" t="s">
        <v>44782</v>
      </c>
      <c r="X7218" s="5" t="str">
        <f>HYPERLINK("https://my.pitchbook.com?p=58843-09P","View People Online")</f>
        <v>View People Online</v>
      </c>
    </row>
    <row r="7219">
      <c r="A7219" s="6" t="s">
        <v>44976</v>
      </c>
      <c r="B7219" s="6" t="s">
        <v>44977</v>
      </c>
      <c r="C7219" s="6" t="s">
        <v>1449</v>
      </c>
      <c r="D7219" s="6" t="s">
        <v>2150</v>
      </c>
      <c r="E7219" s="6" t="s">
        <v>44782</v>
      </c>
      <c r="F7219" s="6" t="s">
        <v>4997</v>
      </c>
      <c r="G7219" s="6" t="s">
        <v>44978</v>
      </c>
      <c r="H7219" s="7" t="s">
        <v>31</v>
      </c>
      <c r="I7219" s="7">
        <v>1.0</v>
      </c>
      <c r="J7219" s="7">
        <v>1.0</v>
      </c>
      <c r="K7219" s="7" t="s">
        <v>31</v>
      </c>
      <c r="L7219" s="8" t="s">
        <v>44979</v>
      </c>
      <c r="M7219" s="6" t="s">
        <v>44980</v>
      </c>
      <c r="N7219" s="6" t="s">
        <v>75</v>
      </c>
      <c r="O7219" s="8" t="s">
        <v>76</v>
      </c>
      <c r="P7219" s="6" t="s">
        <v>44981</v>
      </c>
      <c r="Q7219" s="6" t="s">
        <v>31</v>
      </c>
      <c r="R7219" s="6" t="s">
        <v>75</v>
      </c>
      <c r="S7219" s="8" t="s">
        <v>1432</v>
      </c>
      <c r="T7219" s="6" t="s">
        <v>66</v>
      </c>
      <c r="U7219" s="8" t="s">
        <v>31</v>
      </c>
      <c r="V7219" s="6" t="s">
        <v>44982</v>
      </c>
      <c r="W7219" s="6" t="s">
        <v>44782</v>
      </c>
      <c r="X7219" s="9" t="str">
        <f>HYPERLINK("https://my.pitchbook.com?p=201203-20P","View People Online")</f>
        <v>View People Online</v>
      </c>
    </row>
    <row r="7220">
      <c r="A7220" s="2" t="s">
        <v>44983</v>
      </c>
      <c r="B7220" s="2" t="s">
        <v>44984</v>
      </c>
      <c r="C7220" s="2" t="s">
        <v>1449</v>
      </c>
      <c r="D7220" s="2" t="s">
        <v>44985</v>
      </c>
      <c r="E7220" s="2" t="s">
        <v>44782</v>
      </c>
      <c r="F7220" s="2" t="s">
        <v>312</v>
      </c>
      <c r="G7220" s="2" t="s">
        <v>44986</v>
      </c>
      <c r="H7220" s="3" t="s">
        <v>31</v>
      </c>
      <c r="I7220" s="3">
        <v>1.0</v>
      </c>
      <c r="J7220" s="3">
        <v>1.0</v>
      </c>
      <c r="K7220" s="3" t="s">
        <v>31</v>
      </c>
      <c r="L7220" s="4" t="s">
        <v>44790</v>
      </c>
      <c r="M7220" s="2" t="s">
        <v>44987</v>
      </c>
      <c r="N7220" s="2" t="s">
        <v>574</v>
      </c>
      <c r="O7220" s="4" t="s">
        <v>575</v>
      </c>
      <c r="P7220" s="2" t="s">
        <v>44792</v>
      </c>
      <c r="Q7220" s="2" t="s">
        <v>10135</v>
      </c>
      <c r="R7220" s="2" t="s">
        <v>75</v>
      </c>
      <c r="S7220" s="4" t="s">
        <v>44793</v>
      </c>
      <c r="T7220" s="2" t="s">
        <v>66</v>
      </c>
      <c r="U7220" s="4" t="s">
        <v>31</v>
      </c>
      <c r="V7220" s="2" t="s">
        <v>44988</v>
      </c>
      <c r="W7220" s="2" t="s">
        <v>44782</v>
      </c>
      <c r="X7220" s="5" t="str">
        <f>HYPERLINK("https://my.pitchbook.com?p=265661-74P","View People Online")</f>
        <v>View People Online</v>
      </c>
    </row>
    <row r="7221">
      <c r="A7221" s="6" t="s">
        <v>44989</v>
      </c>
      <c r="B7221" s="6" t="s">
        <v>44990</v>
      </c>
      <c r="C7221" s="6" t="s">
        <v>1449</v>
      </c>
      <c r="D7221" s="6" t="s">
        <v>44991</v>
      </c>
      <c r="E7221" s="6" t="s">
        <v>44782</v>
      </c>
      <c r="F7221" s="6" t="s">
        <v>13096</v>
      </c>
      <c r="G7221" s="6" t="s">
        <v>44992</v>
      </c>
      <c r="H7221" s="7" t="s">
        <v>31</v>
      </c>
      <c r="I7221" s="7">
        <v>1.0</v>
      </c>
      <c r="J7221" s="7">
        <v>1.0</v>
      </c>
      <c r="K7221" s="7" t="s">
        <v>31</v>
      </c>
      <c r="L7221" s="8" t="s">
        <v>44790</v>
      </c>
      <c r="M7221" s="6" t="s">
        <v>44993</v>
      </c>
      <c r="N7221" s="6" t="s">
        <v>574</v>
      </c>
      <c r="O7221" s="8" t="s">
        <v>575</v>
      </c>
      <c r="P7221" s="6" t="s">
        <v>44792</v>
      </c>
      <c r="Q7221" s="6" t="s">
        <v>10135</v>
      </c>
      <c r="R7221" s="6" t="s">
        <v>75</v>
      </c>
      <c r="S7221" s="8" t="s">
        <v>44793</v>
      </c>
      <c r="T7221" s="6" t="s">
        <v>66</v>
      </c>
      <c r="U7221" s="8" t="s">
        <v>31</v>
      </c>
      <c r="V7221" s="6" t="s">
        <v>13096</v>
      </c>
      <c r="W7221" s="6" t="s">
        <v>44782</v>
      </c>
      <c r="X7221" s="9" t="str">
        <f>HYPERLINK("https://my.pitchbook.com?p=243139-24P","View People Online")</f>
        <v>View People Online</v>
      </c>
    </row>
    <row r="7222">
      <c r="A7222" s="2" t="s">
        <v>44994</v>
      </c>
      <c r="B7222" s="2" t="s">
        <v>44995</v>
      </c>
      <c r="C7222" s="2" t="s">
        <v>44996</v>
      </c>
      <c r="D7222" s="2" t="s">
        <v>44997</v>
      </c>
      <c r="E7222" s="2" t="s">
        <v>44782</v>
      </c>
      <c r="F7222" s="2" t="s">
        <v>371</v>
      </c>
      <c r="G7222" s="2" t="s">
        <v>44998</v>
      </c>
      <c r="H7222" s="3" t="s">
        <v>31</v>
      </c>
      <c r="I7222" s="3">
        <v>1.0</v>
      </c>
      <c r="J7222" s="3">
        <v>1.0</v>
      </c>
      <c r="K7222" s="3" t="s">
        <v>31</v>
      </c>
      <c r="L7222" s="4" t="s">
        <v>44790</v>
      </c>
      <c r="M7222" s="2" t="s">
        <v>44999</v>
      </c>
      <c r="N7222" s="2" t="s">
        <v>574</v>
      </c>
      <c r="O7222" s="4" t="s">
        <v>575</v>
      </c>
      <c r="P7222" s="2" t="s">
        <v>44792</v>
      </c>
      <c r="Q7222" s="2" t="s">
        <v>10135</v>
      </c>
      <c r="R7222" s="2" t="s">
        <v>75</v>
      </c>
      <c r="S7222" s="4" t="s">
        <v>44793</v>
      </c>
      <c r="T7222" s="2" t="s">
        <v>66</v>
      </c>
      <c r="U7222" s="4" t="s">
        <v>31</v>
      </c>
      <c r="V7222" s="2" t="s">
        <v>371</v>
      </c>
      <c r="W7222" s="2" t="s">
        <v>44782</v>
      </c>
      <c r="X7222" s="5" t="str">
        <f>HYPERLINK("https://my.pitchbook.com?p=208029-43P","View People Online")</f>
        <v>View People Online</v>
      </c>
    </row>
    <row r="7223">
      <c r="A7223" s="14" t="s">
        <v>45000</v>
      </c>
      <c r="B7223" s="14" t="s">
        <v>45001</v>
      </c>
      <c r="C7223" s="14" t="s">
        <v>26404</v>
      </c>
      <c r="D7223" s="14" t="s">
        <v>45002</v>
      </c>
      <c r="E7223" s="14" t="s">
        <v>44782</v>
      </c>
      <c r="F7223" s="14" t="s">
        <v>29076</v>
      </c>
      <c r="G7223" s="14" t="s">
        <v>45003</v>
      </c>
      <c r="H7223" s="15" t="s">
        <v>31</v>
      </c>
      <c r="I7223" s="15">
        <v>1.0</v>
      </c>
      <c r="J7223" s="15">
        <v>1.0</v>
      </c>
      <c r="K7223" s="15" t="s">
        <v>31</v>
      </c>
      <c r="L7223" s="16" t="s">
        <v>44790</v>
      </c>
      <c r="M7223" s="14" t="s">
        <v>45004</v>
      </c>
      <c r="N7223" s="14" t="s">
        <v>574</v>
      </c>
      <c r="O7223" s="16" t="s">
        <v>575</v>
      </c>
      <c r="P7223" s="14" t="s">
        <v>44792</v>
      </c>
      <c r="Q7223" s="14" t="s">
        <v>10135</v>
      </c>
      <c r="R7223" s="14" t="s">
        <v>75</v>
      </c>
      <c r="S7223" s="16" t="s">
        <v>44793</v>
      </c>
      <c r="T7223" s="14" t="s">
        <v>66</v>
      </c>
      <c r="U7223" s="16" t="s">
        <v>31</v>
      </c>
      <c r="V7223" s="14" t="s">
        <v>29076</v>
      </c>
      <c r="W7223" s="14" t="s">
        <v>44782</v>
      </c>
      <c r="X7223" s="17" t="str">
        <f>HYPERLINK("https://my.pitchbook.com?p=46294-12P","View People Online")</f>
        <v>View People Online</v>
      </c>
    </row>
    <row r="7224">
      <c r="A7224" s="2" t="s">
        <v>45005</v>
      </c>
      <c r="B7224" s="2" t="s">
        <v>45006</v>
      </c>
      <c r="C7224" s="2" t="s">
        <v>3953</v>
      </c>
      <c r="D7224" s="2" t="s">
        <v>45007</v>
      </c>
      <c r="E7224" s="2" t="s">
        <v>44782</v>
      </c>
      <c r="F7224" s="2" t="s">
        <v>45008</v>
      </c>
      <c r="G7224" s="2" t="s">
        <v>45009</v>
      </c>
      <c r="H7224" s="3" t="s">
        <v>31</v>
      </c>
      <c r="I7224" s="3">
        <v>1.0</v>
      </c>
      <c r="J7224" s="3">
        <v>1.0</v>
      </c>
      <c r="K7224" s="3" t="s">
        <v>31</v>
      </c>
      <c r="L7224" s="4" t="s">
        <v>44790</v>
      </c>
      <c r="M7224" s="2" t="s">
        <v>45010</v>
      </c>
      <c r="N7224" s="2" t="s">
        <v>574</v>
      </c>
      <c r="O7224" s="4" t="s">
        <v>575</v>
      </c>
      <c r="P7224" s="2" t="s">
        <v>44792</v>
      </c>
      <c r="Q7224" s="2" t="s">
        <v>10135</v>
      </c>
      <c r="R7224" s="2" t="s">
        <v>75</v>
      </c>
      <c r="S7224" s="4" t="s">
        <v>44793</v>
      </c>
      <c r="T7224" s="2" t="s">
        <v>66</v>
      </c>
      <c r="U7224" s="4" t="s">
        <v>31</v>
      </c>
      <c r="V7224" s="2" t="s">
        <v>45011</v>
      </c>
      <c r="W7224" s="2" t="s">
        <v>44782</v>
      </c>
      <c r="X7224" s="5" t="str">
        <f>HYPERLINK("https://my.pitchbook.com?p=36230-50P","View People Online")</f>
        <v>View People Online</v>
      </c>
    </row>
    <row r="7225">
      <c r="A7225" s="6" t="s">
        <v>45012</v>
      </c>
      <c r="B7225" s="6" t="s">
        <v>45013</v>
      </c>
      <c r="C7225" s="6" t="s">
        <v>323</v>
      </c>
      <c r="D7225" s="6" t="s">
        <v>45014</v>
      </c>
      <c r="E7225" s="6" t="s">
        <v>44782</v>
      </c>
      <c r="F7225" s="6" t="s">
        <v>38213</v>
      </c>
      <c r="G7225" s="6" t="s">
        <v>45015</v>
      </c>
      <c r="H7225" s="7" t="s">
        <v>31</v>
      </c>
      <c r="I7225" s="7">
        <v>1.0</v>
      </c>
      <c r="J7225" s="7">
        <v>1.0</v>
      </c>
      <c r="K7225" s="7" t="s">
        <v>31</v>
      </c>
      <c r="L7225" s="8" t="s">
        <v>44979</v>
      </c>
      <c r="M7225" s="6" t="s">
        <v>45016</v>
      </c>
      <c r="N7225" s="6" t="s">
        <v>75</v>
      </c>
      <c r="O7225" s="8" t="s">
        <v>76</v>
      </c>
      <c r="P7225" s="6" t="s">
        <v>44981</v>
      </c>
      <c r="Q7225" s="6" t="s">
        <v>31</v>
      </c>
      <c r="R7225" s="6" t="s">
        <v>75</v>
      </c>
      <c r="S7225" s="8" t="s">
        <v>1432</v>
      </c>
      <c r="T7225" s="6" t="s">
        <v>66</v>
      </c>
      <c r="U7225" s="8" t="s">
        <v>31</v>
      </c>
      <c r="V7225" s="6" t="s">
        <v>45017</v>
      </c>
      <c r="W7225" s="6" t="s">
        <v>44782</v>
      </c>
      <c r="X7225" s="9" t="str">
        <f>HYPERLINK("https://my.pitchbook.com?p=428369-86P","View People Online")</f>
        <v>View People Online</v>
      </c>
    </row>
    <row r="7226">
      <c r="A7226" s="10" t="s">
        <v>45018</v>
      </c>
      <c r="B7226" s="10" t="s">
        <v>45019</v>
      </c>
      <c r="C7226" s="10" t="s">
        <v>323</v>
      </c>
      <c r="D7226" s="10" t="s">
        <v>45020</v>
      </c>
      <c r="E7226" s="10" t="s">
        <v>44782</v>
      </c>
      <c r="F7226" s="10" t="s">
        <v>1283</v>
      </c>
      <c r="G7226" s="10" t="s">
        <v>45021</v>
      </c>
      <c r="H7226" s="11" t="s">
        <v>31</v>
      </c>
      <c r="I7226" s="11">
        <v>3.0</v>
      </c>
      <c r="J7226" s="11">
        <v>1.0</v>
      </c>
      <c r="K7226" s="11">
        <v>2.0</v>
      </c>
      <c r="L7226" s="12" t="s">
        <v>44790</v>
      </c>
      <c r="M7226" s="10" t="s">
        <v>45022</v>
      </c>
      <c r="N7226" s="10" t="s">
        <v>574</v>
      </c>
      <c r="O7226" s="12" t="s">
        <v>575</v>
      </c>
      <c r="P7226" s="10" t="s">
        <v>44792</v>
      </c>
      <c r="Q7226" s="10" t="s">
        <v>10135</v>
      </c>
      <c r="R7226" s="10" t="s">
        <v>75</v>
      </c>
      <c r="S7226" s="12" t="s">
        <v>44793</v>
      </c>
      <c r="T7226" s="10" t="s">
        <v>66</v>
      </c>
      <c r="U7226" s="12" t="s">
        <v>31</v>
      </c>
      <c r="V7226" s="10" t="s">
        <v>45023</v>
      </c>
      <c r="W7226" s="10" t="s">
        <v>44782</v>
      </c>
      <c r="X7226" s="13" t="str">
        <f>HYPERLINK("https://my.pitchbook.com?p=191483-56P","View People Online")</f>
        <v>View People Online</v>
      </c>
    </row>
    <row r="7227">
      <c r="A7227" s="6" t="s">
        <v>45024</v>
      </c>
      <c r="B7227" s="6" t="s">
        <v>45025</v>
      </c>
      <c r="C7227" s="6" t="s">
        <v>8106</v>
      </c>
      <c r="D7227" s="6" t="s">
        <v>45026</v>
      </c>
      <c r="E7227" s="6" t="s">
        <v>44782</v>
      </c>
      <c r="F7227" s="6" t="s">
        <v>44873</v>
      </c>
      <c r="G7227" s="6" t="s">
        <v>45027</v>
      </c>
      <c r="H7227" s="7" t="s">
        <v>31</v>
      </c>
      <c r="I7227" s="7">
        <v>1.0</v>
      </c>
      <c r="J7227" s="7">
        <v>1.0</v>
      </c>
      <c r="K7227" s="7" t="s">
        <v>31</v>
      </c>
      <c r="L7227" s="8" t="s">
        <v>31</v>
      </c>
      <c r="M7227" s="6" t="s">
        <v>45028</v>
      </c>
      <c r="N7227" s="6" t="s">
        <v>13041</v>
      </c>
      <c r="O7227" s="8" t="s">
        <v>13042</v>
      </c>
      <c r="P7227" s="6" t="s">
        <v>44814</v>
      </c>
      <c r="Q7227" s="6" t="s">
        <v>29446</v>
      </c>
      <c r="R7227" s="6" t="s">
        <v>10326</v>
      </c>
      <c r="S7227" s="8" t="s">
        <v>44815</v>
      </c>
      <c r="T7227" s="6" t="s">
        <v>66</v>
      </c>
      <c r="U7227" s="8" t="s">
        <v>31</v>
      </c>
      <c r="V7227" s="6" t="s">
        <v>45029</v>
      </c>
      <c r="W7227" s="6" t="s">
        <v>44782</v>
      </c>
      <c r="X7227" s="9" t="str">
        <f>HYPERLINK("https://my.pitchbook.com?p=64031-86P","View People Online")</f>
        <v>View People Online</v>
      </c>
    </row>
    <row r="7228">
      <c r="A7228" s="2" t="s">
        <v>45030</v>
      </c>
      <c r="B7228" s="2" t="s">
        <v>45031</v>
      </c>
      <c r="C7228" s="2" t="s">
        <v>1323</v>
      </c>
      <c r="D7228" s="2" t="s">
        <v>45032</v>
      </c>
      <c r="E7228" s="2" t="s">
        <v>44782</v>
      </c>
      <c r="F7228" s="2" t="s">
        <v>583</v>
      </c>
      <c r="G7228" s="2" t="s">
        <v>45033</v>
      </c>
      <c r="H7228" s="3" t="s">
        <v>31</v>
      </c>
      <c r="I7228" s="3">
        <v>1.0</v>
      </c>
      <c r="J7228" s="3">
        <v>1.0</v>
      </c>
      <c r="K7228" s="3" t="s">
        <v>31</v>
      </c>
      <c r="L7228" s="4" t="s">
        <v>31</v>
      </c>
      <c r="M7228" s="2" t="s">
        <v>45034</v>
      </c>
      <c r="N7228" s="2" t="s">
        <v>45035</v>
      </c>
      <c r="O7228" s="4" t="s">
        <v>45036</v>
      </c>
      <c r="P7228" s="2" t="s">
        <v>45037</v>
      </c>
      <c r="Q7228" s="2" t="s">
        <v>31</v>
      </c>
      <c r="R7228" s="2" t="s">
        <v>75</v>
      </c>
      <c r="S7228" s="4" t="s">
        <v>45038</v>
      </c>
      <c r="T7228" s="2" t="s">
        <v>66</v>
      </c>
      <c r="U7228" s="4" t="s">
        <v>31</v>
      </c>
      <c r="V7228" s="2" t="s">
        <v>45039</v>
      </c>
      <c r="W7228" s="2" t="s">
        <v>44782</v>
      </c>
      <c r="X7228" s="5" t="str">
        <f>HYPERLINK("https://my.pitchbook.com?p=164235-07P","View People Online")</f>
        <v>View People Online</v>
      </c>
    </row>
    <row r="7229">
      <c r="A7229" s="6" t="s">
        <v>45040</v>
      </c>
      <c r="B7229" s="6" t="s">
        <v>45041</v>
      </c>
      <c r="C7229" s="6" t="s">
        <v>1323</v>
      </c>
      <c r="D7229" s="6" t="s">
        <v>21687</v>
      </c>
      <c r="E7229" s="6" t="s">
        <v>44782</v>
      </c>
      <c r="F7229" s="6" t="s">
        <v>34800</v>
      </c>
      <c r="G7229" s="6" t="s">
        <v>45042</v>
      </c>
      <c r="H7229" s="7" t="s">
        <v>31</v>
      </c>
      <c r="I7229" s="7">
        <v>1.0</v>
      </c>
      <c r="J7229" s="7">
        <v>1.0</v>
      </c>
      <c r="K7229" s="7" t="s">
        <v>31</v>
      </c>
      <c r="L7229" s="8" t="s">
        <v>44790</v>
      </c>
      <c r="M7229" s="6" t="s">
        <v>45043</v>
      </c>
      <c r="N7229" s="6" t="s">
        <v>574</v>
      </c>
      <c r="O7229" s="8" t="s">
        <v>575</v>
      </c>
      <c r="P7229" s="6" t="s">
        <v>44792</v>
      </c>
      <c r="Q7229" s="6" t="s">
        <v>10135</v>
      </c>
      <c r="R7229" s="6" t="s">
        <v>75</v>
      </c>
      <c r="S7229" s="8" t="s">
        <v>44793</v>
      </c>
      <c r="T7229" s="6" t="s">
        <v>66</v>
      </c>
      <c r="U7229" s="8" t="s">
        <v>31</v>
      </c>
      <c r="V7229" s="6" t="s">
        <v>45044</v>
      </c>
      <c r="W7229" s="6" t="s">
        <v>44782</v>
      </c>
      <c r="X7229" s="9" t="str">
        <f>HYPERLINK("https://my.pitchbook.com?p=384689-35P","View People Online")</f>
        <v>View People Online</v>
      </c>
    </row>
    <row r="7230">
      <c r="A7230" s="2" t="s">
        <v>45045</v>
      </c>
      <c r="B7230" s="2" t="s">
        <v>45046</v>
      </c>
      <c r="C7230" s="2" t="s">
        <v>2871</v>
      </c>
      <c r="D7230" s="2" t="s">
        <v>29195</v>
      </c>
      <c r="E7230" s="2" t="s">
        <v>44782</v>
      </c>
      <c r="F7230" s="2" t="s">
        <v>667</v>
      </c>
      <c r="G7230" s="2" t="s">
        <v>45047</v>
      </c>
      <c r="H7230" s="3" t="s">
        <v>31</v>
      </c>
      <c r="I7230" s="3">
        <v>1.0</v>
      </c>
      <c r="J7230" s="3">
        <v>1.0</v>
      </c>
      <c r="K7230" s="3" t="s">
        <v>31</v>
      </c>
      <c r="L7230" s="4" t="s">
        <v>44790</v>
      </c>
      <c r="M7230" s="2" t="s">
        <v>45048</v>
      </c>
      <c r="N7230" s="2" t="s">
        <v>574</v>
      </c>
      <c r="O7230" s="4" t="s">
        <v>575</v>
      </c>
      <c r="P7230" s="2" t="s">
        <v>44792</v>
      </c>
      <c r="Q7230" s="2" t="s">
        <v>10135</v>
      </c>
      <c r="R7230" s="2" t="s">
        <v>75</v>
      </c>
      <c r="S7230" s="4" t="s">
        <v>44793</v>
      </c>
      <c r="T7230" s="2" t="s">
        <v>66</v>
      </c>
      <c r="U7230" s="4" t="s">
        <v>31</v>
      </c>
      <c r="V7230" s="2" t="s">
        <v>44924</v>
      </c>
      <c r="W7230" s="2" t="s">
        <v>44782</v>
      </c>
      <c r="X7230" s="5" t="str">
        <f>HYPERLINK("https://my.pitchbook.com?p=383710-96P","View People Online")</f>
        <v>View People Online</v>
      </c>
    </row>
    <row r="7231">
      <c r="A7231" s="6" t="s">
        <v>45049</v>
      </c>
      <c r="B7231" s="6" t="s">
        <v>45050</v>
      </c>
      <c r="C7231" s="6" t="s">
        <v>45051</v>
      </c>
      <c r="D7231" s="6" t="s">
        <v>6030</v>
      </c>
      <c r="E7231" s="6" t="s">
        <v>44782</v>
      </c>
      <c r="F7231" s="6" t="s">
        <v>825</v>
      </c>
      <c r="G7231" s="6" t="s">
        <v>45052</v>
      </c>
      <c r="H7231" s="7">
        <v>1.0</v>
      </c>
      <c r="I7231" s="7">
        <v>2.0</v>
      </c>
      <c r="J7231" s="7">
        <v>1.0</v>
      </c>
      <c r="K7231" s="7" t="s">
        <v>31</v>
      </c>
      <c r="L7231" s="8" t="s">
        <v>45053</v>
      </c>
      <c r="M7231" s="6" t="s">
        <v>31</v>
      </c>
      <c r="N7231" s="6" t="s">
        <v>574</v>
      </c>
      <c r="O7231" s="8" t="s">
        <v>575</v>
      </c>
      <c r="P7231" s="6" t="s">
        <v>45054</v>
      </c>
      <c r="Q7231" s="6" t="s">
        <v>31</v>
      </c>
      <c r="R7231" s="6" t="s">
        <v>75</v>
      </c>
      <c r="S7231" s="8" t="s">
        <v>45055</v>
      </c>
      <c r="T7231" s="6" t="s">
        <v>66</v>
      </c>
      <c r="U7231" s="8" t="s">
        <v>31</v>
      </c>
      <c r="V7231" s="6" t="s">
        <v>2379</v>
      </c>
      <c r="W7231" s="6" t="s">
        <v>45056</v>
      </c>
      <c r="X7231" s="9" t="str">
        <f>HYPERLINK("https://my.pitchbook.com?p=291994-12P","View People Online")</f>
        <v>View People Online</v>
      </c>
    </row>
    <row r="7232">
      <c r="A7232" s="2" t="s">
        <v>45057</v>
      </c>
      <c r="B7232" s="2" t="s">
        <v>45058</v>
      </c>
      <c r="C7232" s="2" t="s">
        <v>32822</v>
      </c>
      <c r="D7232" s="2" t="s">
        <v>45059</v>
      </c>
      <c r="E7232" s="2" t="s">
        <v>44782</v>
      </c>
      <c r="F7232" s="2" t="s">
        <v>583</v>
      </c>
      <c r="G7232" s="2" t="s">
        <v>45060</v>
      </c>
      <c r="H7232" s="3" t="s">
        <v>31</v>
      </c>
      <c r="I7232" s="3">
        <v>1.0</v>
      </c>
      <c r="J7232" s="3">
        <v>1.0</v>
      </c>
      <c r="K7232" s="3" t="s">
        <v>31</v>
      </c>
      <c r="L7232" s="4" t="s">
        <v>44790</v>
      </c>
      <c r="M7232" s="2" t="s">
        <v>45061</v>
      </c>
      <c r="N7232" s="2" t="s">
        <v>574</v>
      </c>
      <c r="O7232" s="4" t="s">
        <v>575</v>
      </c>
      <c r="P7232" s="2" t="s">
        <v>44792</v>
      </c>
      <c r="Q7232" s="2" t="s">
        <v>10135</v>
      </c>
      <c r="R7232" s="2" t="s">
        <v>75</v>
      </c>
      <c r="S7232" s="4" t="s">
        <v>44793</v>
      </c>
      <c r="T7232" s="2" t="s">
        <v>66</v>
      </c>
      <c r="U7232" s="4" t="s">
        <v>31</v>
      </c>
      <c r="V7232" s="2" t="s">
        <v>45062</v>
      </c>
      <c r="W7232" s="2" t="s">
        <v>44782</v>
      </c>
      <c r="X7232" s="5" t="str">
        <f>HYPERLINK("https://my.pitchbook.com?p=347905-27P","View People Online")</f>
        <v>View People Online</v>
      </c>
    </row>
    <row r="7233">
      <c r="A7233" s="6" t="s">
        <v>45063</v>
      </c>
      <c r="B7233" s="6" t="s">
        <v>45064</v>
      </c>
      <c r="C7233" s="6" t="s">
        <v>7304</v>
      </c>
      <c r="D7233" s="6" t="s">
        <v>34439</v>
      </c>
      <c r="E7233" s="6" t="s">
        <v>44782</v>
      </c>
      <c r="F7233" s="6" t="s">
        <v>44873</v>
      </c>
      <c r="G7233" s="6" t="s">
        <v>45065</v>
      </c>
      <c r="H7233" s="7" t="s">
        <v>31</v>
      </c>
      <c r="I7233" s="7">
        <v>1.0</v>
      </c>
      <c r="J7233" s="7">
        <v>1.0</v>
      </c>
      <c r="K7233" s="7" t="s">
        <v>31</v>
      </c>
      <c r="L7233" s="8" t="s">
        <v>45066</v>
      </c>
      <c r="M7233" s="6" t="s">
        <v>45067</v>
      </c>
      <c r="N7233" s="6" t="s">
        <v>13041</v>
      </c>
      <c r="O7233" s="8" t="s">
        <v>13042</v>
      </c>
      <c r="P7233" s="6" t="s">
        <v>44814</v>
      </c>
      <c r="Q7233" s="6" t="s">
        <v>29446</v>
      </c>
      <c r="R7233" s="6" t="s">
        <v>10326</v>
      </c>
      <c r="S7233" s="8" t="s">
        <v>44815</v>
      </c>
      <c r="T7233" s="6" t="s">
        <v>66</v>
      </c>
      <c r="U7233" s="8" t="s">
        <v>45068</v>
      </c>
      <c r="V7233" s="6" t="s">
        <v>45069</v>
      </c>
      <c r="W7233" s="6" t="s">
        <v>44782</v>
      </c>
      <c r="X7233" s="9" t="str">
        <f>HYPERLINK("https://my.pitchbook.com?p=65275-66P","View People Online")</f>
        <v>View People Online</v>
      </c>
    </row>
    <row r="7234">
      <c r="A7234" s="10" t="s">
        <v>45070</v>
      </c>
      <c r="B7234" s="10" t="s">
        <v>45071</v>
      </c>
      <c r="C7234" s="10" t="s">
        <v>30657</v>
      </c>
      <c r="D7234" s="10" t="s">
        <v>1147</v>
      </c>
      <c r="E7234" s="10" t="s">
        <v>44782</v>
      </c>
      <c r="F7234" s="10" t="s">
        <v>4800</v>
      </c>
      <c r="G7234" s="10" t="s">
        <v>45072</v>
      </c>
      <c r="H7234" s="11" t="s">
        <v>31</v>
      </c>
      <c r="I7234" s="11">
        <v>1.0</v>
      </c>
      <c r="J7234" s="11">
        <v>1.0</v>
      </c>
      <c r="K7234" s="11" t="s">
        <v>31</v>
      </c>
      <c r="L7234" s="12" t="s">
        <v>45073</v>
      </c>
      <c r="M7234" s="10" t="s">
        <v>45074</v>
      </c>
      <c r="N7234" s="10" t="s">
        <v>45075</v>
      </c>
      <c r="O7234" s="12" t="s">
        <v>45076</v>
      </c>
      <c r="P7234" s="10" t="s">
        <v>45077</v>
      </c>
      <c r="Q7234" s="10" t="s">
        <v>31</v>
      </c>
      <c r="R7234" s="10" t="s">
        <v>10017</v>
      </c>
      <c r="S7234" s="12" t="s">
        <v>45078</v>
      </c>
      <c r="T7234" s="10" t="s">
        <v>66</v>
      </c>
      <c r="U7234" s="12" t="s">
        <v>31</v>
      </c>
      <c r="V7234" s="10" t="s">
        <v>45079</v>
      </c>
      <c r="W7234" s="10" t="s">
        <v>44782</v>
      </c>
      <c r="X7234" s="13" t="str">
        <f>HYPERLINK("https://my.pitchbook.com?p=164231-56P","View People Online")</f>
        <v>View People Online</v>
      </c>
    </row>
    <row r="7235">
      <c r="A7235" s="14" t="s">
        <v>45080</v>
      </c>
      <c r="B7235" s="14" t="s">
        <v>45081</v>
      </c>
      <c r="C7235" s="14" t="s">
        <v>45082</v>
      </c>
      <c r="D7235" s="14" t="s">
        <v>18174</v>
      </c>
      <c r="E7235" s="14" t="s">
        <v>44782</v>
      </c>
      <c r="F7235" s="14" t="s">
        <v>270</v>
      </c>
      <c r="G7235" s="14" t="s">
        <v>45083</v>
      </c>
      <c r="H7235" s="15" t="s">
        <v>31</v>
      </c>
      <c r="I7235" s="15">
        <v>1.0</v>
      </c>
      <c r="J7235" s="15">
        <v>1.0</v>
      </c>
      <c r="K7235" s="15" t="s">
        <v>31</v>
      </c>
      <c r="L7235" s="16" t="s">
        <v>44790</v>
      </c>
      <c r="M7235" s="14" t="s">
        <v>45084</v>
      </c>
      <c r="N7235" s="14" t="s">
        <v>574</v>
      </c>
      <c r="O7235" s="16" t="s">
        <v>575</v>
      </c>
      <c r="P7235" s="14" t="s">
        <v>44792</v>
      </c>
      <c r="Q7235" s="14" t="s">
        <v>10135</v>
      </c>
      <c r="R7235" s="14" t="s">
        <v>75</v>
      </c>
      <c r="S7235" s="16" t="s">
        <v>44793</v>
      </c>
      <c r="T7235" s="14" t="s">
        <v>66</v>
      </c>
      <c r="U7235" s="16" t="s">
        <v>31</v>
      </c>
      <c r="V7235" s="14" t="s">
        <v>7982</v>
      </c>
      <c r="W7235" s="14" t="s">
        <v>44782</v>
      </c>
      <c r="X7235" s="17" t="str">
        <f>HYPERLINK("https://my.pitchbook.com?p=312989-68P","View People Online")</f>
        <v>View People Online</v>
      </c>
    </row>
    <row r="7236">
      <c r="A7236" s="10" t="s">
        <v>45085</v>
      </c>
      <c r="B7236" s="10" t="s">
        <v>45086</v>
      </c>
      <c r="C7236" s="10" t="s">
        <v>4404</v>
      </c>
      <c r="D7236" s="10" t="s">
        <v>23028</v>
      </c>
      <c r="E7236" s="10" t="s">
        <v>44782</v>
      </c>
      <c r="F7236" s="10" t="s">
        <v>29076</v>
      </c>
      <c r="G7236" s="10" t="s">
        <v>45087</v>
      </c>
      <c r="H7236" s="11">
        <v>1.0</v>
      </c>
      <c r="I7236" s="11">
        <v>2.0</v>
      </c>
      <c r="J7236" s="11">
        <v>1.0</v>
      </c>
      <c r="K7236" s="11" t="s">
        <v>31</v>
      </c>
      <c r="L7236" s="12" t="s">
        <v>44790</v>
      </c>
      <c r="M7236" s="10" t="s">
        <v>45088</v>
      </c>
      <c r="N7236" s="10" t="s">
        <v>574</v>
      </c>
      <c r="O7236" s="12" t="s">
        <v>575</v>
      </c>
      <c r="P7236" s="10" t="s">
        <v>44792</v>
      </c>
      <c r="Q7236" s="10" t="s">
        <v>10135</v>
      </c>
      <c r="R7236" s="10" t="s">
        <v>75</v>
      </c>
      <c r="S7236" s="12" t="s">
        <v>44793</v>
      </c>
      <c r="T7236" s="10" t="s">
        <v>66</v>
      </c>
      <c r="U7236" s="12" t="s">
        <v>31</v>
      </c>
      <c r="V7236" s="10" t="s">
        <v>29076</v>
      </c>
      <c r="W7236" s="10" t="s">
        <v>44782</v>
      </c>
      <c r="X7236" s="13" t="str">
        <f>HYPERLINK("https://my.pitchbook.com?p=293811-22P","View People Online")</f>
        <v>View People Online</v>
      </c>
    </row>
    <row r="7237">
      <c r="A7237" s="6" t="s">
        <v>45089</v>
      </c>
      <c r="B7237" s="6" t="s">
        <v>45090</v>
      </c>
      <c r="C7237" s="6" t="s">
        <v>5071</v>
      </c>
      <c r="D7237" s="6" t="s">
        <v>45091</v>
      </c>
      <c r="E7237" s="6" t="s">
        <v>44782</v>
      </c>
      <c r="F7237" s="6" t="s">
        <v>1801</v>
      </c>
      <c r="G7237" s="6" t="s">
        <v>45092</v>
      </c>
      <c r="H7237" s="7" t="s">
        <v>31</v>
      </c>
      <c r="I7237" s="7">
        <v>1.0</v>
      </c>
      <c r="J7237" s="7">
        <v>1.0</v>
      </c>
      <c r="K7237" s="7" t="s">
        <v>31</v>
      </c>
      <c r="L7237" s="8" t="s">
        <v>44790</v>
      </c>
      <c r="M7237" s="6" t="s">
        <v>45093</v>
      </c>
      <c r="N7237" s="6" t="s">
        <v>574</v>
      </c>
      <c r="O7237" s="8" t="s">
        <v>575</v>
      </c>
      <c r="P7237" s="6" t="s">
        <v>44792</v>
      </c>
      <c r="Q7237" s="6" t="s">
        <v>10135</v>
      </c>
      <c r="R7237" s="6" t="s">
        <v>75</v>
      </c>
      <c r="S7237" s="8" t="s">
        <v>44793</v>
      </c>
      <c r="T7237" s="6" t="s">
        <v>66</v>
      </c>
      <c r="U7237" s="8" t="s">
        <v>31</v>
      </c>
      <c r="V7237" s="6" t="s">
        <v>45094</v>
      </c>
      <c r="W7237" s="6" t="s">
        <v>44782</v>
      </c>
      <c r="X7237" s="9" t="str">
        <f>HYPERLINK("https://my.pitchbook.com?p=86728-60P","View People Online")</f>
        <v>View People Online</v>
      </c>
    </row>
    <row r="7238">
      <c r="A7238" s="10" t="s">
        <v>45095</v>
      </c>
      <c r="B7238" s="10" t="s">
        <v>45096</v>
      </c>
      <c r="C7238" s="10" t="s">
        <v>1343</v>
      </c>
      <c r="D7238" s="10" t="s">
        <v>45097</v>
      </c>
      <c r="E7238" s="10" t="s">
        <v>44782</v>
      </c>
      <c r="F7238" s="10" t="s">
        <v>45098</v>
      </c>
      <c r="G7238" s="10" t="s">
        <v>45099</v>
      </c>
      <c r="H7238" s="11" t="s">
        <v>31</v>
      </c>
      <c r="I7238" s="11">
        <v>1.0</v>
      </c>
      <c r="J7238" s="11">
        <v>1.0</v>
      </c>
      <c r="K7238" s="11" t="s">
        <v>31</v>
      </c>
      <c r="L7238" s="12" t="s">
        <v>45100</v>
      </c>
      <c r="M7238" s="10" t="s">
        <v>45101</v>
      </c>
      <c r="N7238" s="10" t="s">
        <v>13041</v>
      </c>
      <c r="O7238" s="12" t="s">
        <v>13042</v>
      </c>
      <c r="P7238" s="10" t="s">
        <v>44814</v>
      </c>
      <c r="Q7238" s="10" t="s">
        <v>29446</v>
      </c>
      <c r="R7238" s="10" t="s">
        <v>10326</v>
      </c>
      <c r="S7238" s="12" t="s">
        <v>44815</v>
      </c>
      <c r="T7238" s="10" t="s">
        <v>66</v>
      </c>
      <c r="U7238" s="12" t="s">
        <v>31</v>
      </c>
      <c r="V7238" s="10" t="s">
        <v>45102</v>
      </c>
      <c r="W7238" s="10" t="s">
        <v>44782</v>
      </c>
      <c r="X7238" s="13" t="str">
        <f>HYPERLINK("https://my.pitchbook.com?p=32933-98P","View People Online")</f>
        <v>View People Online</v>
      </c>
    </row>
    <row r="7239">
      <c r="A7239" s="6" t="s">
        <v>45103</v>
      </c>
      <c r="B7239" s="6" t="s">
        <v>45104</v>
      </c>
      <c r="C7239" s="6" t="s">
        <v>1343</v>
      </c>
      <c r="D7239" s="6" t="s">
        <v>45105</v>
      </c>
      <c r="E7239" s="6" t="s">
        <v>44782</v>
      </c>
      <c r="F7239" s="6" t="s">
        <v>371</v>
      </c>
      <c r="G7239" s="6" t="s">
        <v>45106</v>
      </c>
      <c r="H7239" s="7" t="s">
        <v>31</v>
      </c>
      <c r="I7239" s="7">
        <v>2.0</v>
      </c>
      <c r="J7239" s="7">
        <v>1.0</v>
      </c>
      <c r="K7239" s="7">
        <v>1.0</v>
      </c>
      <c r="L7239" s="8" t="s">
        <v>31</v>
      </c>
      <c r="M7239" s="6" t="s">
        <v>45107</v>
      </c>
      <c r="N7239" s="6" t="s">
        <v>45035</v>
      </c>
      <c r="O7239" s="8" t="s">
        <v>45036</v>
      </c>
      <c r="P7239" s="6" t="s">
        <v>45037</v>
      </c>
      <c r="Q7239" s="6" t="s">
        <v>31</v>
      </c>
      <c r="R7239" s="6" t="s">
        <v>75</v>
      </c>
      <c r="S7239" s="8" t="s">
        <v>45038</v>
      </c>
      <c r="T7239" s="6" t="s">
        <v>66</v>
      </c>
      <c r="U7239" s="8" t="s">
        <v>31</v>
      </c>
      <c r="V7239" s="6" t="s">
        <v>45108</v>
      </c>
      <c r="W7239" s="6" t="s">
        <v>44782</v>
      </c>
      <c r="X7239" s="9" t="str">
        <f>HYPERLINK("https://my.pitchbook.com?p=114302-08P","View People Online")</f>
        <v>View People Online</v>
      </c>
    </row>
    <row r="7240">
      <c r="A7240" s="2" t="s">
        <v>45109</v>
      </c>
      <c r="B7240" s="2" t="s">
        <v>45110</v>
      </c>
      <c r="C7240" s="2" t="s">
        <v>1343</v>
      </c>
      <c r="D7240" s="2" t="s">
        <v>4692</v>
      </c>
      <c r="E7240" s="2" t="s">
        <v>44782</v>
      </c>
      <c r="F7240" s="2" t="s">
        <v>7930</v>
      </c>
      <c r="G7240" s="2" t="s">
        <v>45111</v>
      </c>
      <c r="H7240" s="3" t="s">
        <v>31</v>
      </c>
      <c r="I7240" s="3">
        <v>1.0</v>
      </c>
      <c r="J7240" s="3">
        <v>1.0</v>
      </c>
      <c r="K7240" s="3" t="s">
        <v>31</v>
      </c>
      <c r="L7240" s="4" t="s">
        <v>44790</v>
      </c>
      <c r="M7240" s="2" t="s">
        <v>45112</v>
      </c>
      <c r="N7240" s="2" t="s">
        <v>574</v>
      </c>
      <c r="O7240" s="4" t="s">
        <v>575</v>
      </c>
      <c r="P7240" s="2" t="s">
        <v>44792</v>
      </c>
      <c r="Q7240" s="2" t="s">
        <v>10135</v>
      </c>
      <c r="R7240" s="2" t="s">
        <v>75</v>
      </c>
      <c r="S7240" s="4" t="s">
        <v>44793</v>
      </c>
      <c r="T7240" s="2" t="s">
        <v>66</v>
      </c>
      <c r="U7240" s="4" t="s">
        <v>31</v>
      </c>
      <c r="V7240" s="2" t="s">
        <v>6567</v>
      </c>
      <c r="W7240" s="2" t="s">
        <v>44782</v>
      </c>
      <c r="X7240" s="5" t="str">
        <f>HYPERLINK("https://my.pitchbook.com?p=16303-24P","View People Online")</f>
        <v>View People Online</v>
      </c>
    </row>
    <row r="7241">
      <c r="A7241" s="14" t="s">
        <v>45113</v>
      </c>
      <c r="B7241" s="14" t="s">
        <v>45114</v>
      </c>
      <c r="C7241" s="14" t="s">
        <v>1356</v>
      </c>
      <c r="D7241" s="14" t="s">
        <v>45115</v>
      </c>
      <c r="E7241" s="14" t="s">
        <v>44782</v>
      </c>
      <c r="F7241" s="14" t="s">
        <v>312</v>
      </c>
      <c r="G7241" s="14" t="s">
        <v>45116</v>
      </c>
      <c r="H7241" s="15" t="s">
        <v>31</v>
      </c>
      <c r="I7241" s="15">
        <v>1.0</v>
      </c>
      <c r="J7241" s="15">
        <v>1.0</v>
      </c>
      <c r="K7241" s="15" t="s">
        <v>31</v>
      </c>
      <c r="L7241" s="16" t="s">
        <v>44790</v>
      </c>
      <c r="M7241" s="14" t="s">
        <v>45117</v>
      </c>
      <c r="N7241" s="14" t="s">
        <v>574</v>
      </c>
      <c r="O7241" s="16" t="s">
        <v>575</v>
      </c>
      <c r="P7241" s="14" t="s">
        <v>44792</v>
      </c>
      <c r="Q7241" s="14" t="s">
        <v>10135</v>
      </c>
      <c r="R7241" s="14" t="s">
        <v>75</v>
      </c>
      <c r="S7241" s="16" t="s">
        <v>44793</v>
      </c>
      <c r="T7241" s="14" t="s">
        <v>66</v>
      </c>
      <c r="U7241" s="16" t="s">
        <v>31</v>
      </c>
      <c r="V7241" s="14" t="s">
        <v>45118</v>
      </c>
      <c r="W7241" s="14" t="s">
        <v>44782</v>
      </c>
      <c r="X7241" s="17" t="str">
        <f>HYPERLINK("https://my.pitchbook.com?p=170587-18P","View People Online")</f>
        <v>View People Online</v>
      </c>
    </row>
    <row r="7242">
      <c r="A7242" s="10" t="s">
        <v>45119</v>
      </c>
      <c r="B7242" s="10" t="s">
        <v>45120</v>
      </c>
      <c r="C7242" s="10" t="s">
        <v>3040</v>
      </c>
      <c r="D7242" s="10" t="s">
        <v>4098</v>
      </c>
      <c r="E7242" s="10" t="s">
        <v>44782</v>
      </c>
      <c r="F7242" s="10" t="s">
        <v>312</v>
      </c>
      <c r="G7242" s="10" t="s">
        <v>45121</v>
      </c>
      <c r="H7242" s="11" t="s">
        <v>31</v>
      </c>
      <c r="I7242" s="11">
        <v>1.0</v>
      </c>
      <c r="J7242" s="11">
        <v>1.0</v>
      </c>
      <c r="K7242" s="11" t="s">
        <v>31</v>
      </c>
      <c r="L7242" s="12" t="s">
        <v>44790</v>
      </c>
      <c r="M7242" s="10" t="s">
        <v>31</v>
      </c>
      <c r="N7242" s="10" t="s">
        <v>574</v>
      </c>
      <c r="O7242" s="12" t="s">
        <v>575</v>
      </c>
      <c r="P7242" s="10" t="s">
        <v>44792</v>
      </c>
      <c r="Q7242" s="10" t="s">
        <v>10135</v>
      </c>
      <c r="R7242" s="10" t="s">
        <v>75</v>
      </c>
      <c r="S7242" s="12" t="s">
        <v>44793</v>
      </c>
      <c r="T7242" s="10" t="s">
        <v>66</v>
      </c>
      <c r="U7242" s="12" t="s">
        <v>31</v>
      </c>
      <c r="V7242" s="10" t="s">
        <v>45122</v>
      </c>
      <c r="W7242" s="10" t="s">
        <v>44782</v>
      </c>
      <c r="X7242" s="13" t="str">
        <f>HYPERLINK("https://my.pitchbook.com?p=384722-47P","View People Online")</f>
        <v>View People Online</v>
      </c>
    </row>
    <row r="7243">
      <c r="A7243" s="14" t="s">
        <v>45123</v>
      </c>
      <c r="B7243" s="14" t="s">
        <v>45124</v>
      </c>
      <c r="C7243" s="14" t="s">
        <v>39630</v>
      </c>
      <c r="D7243" s="14" t="s">
        <v>29510</v>
      </c>
      <c r="E7243" s="14" t="s">
        <v>44782</v>
      </c>
      <c r="F7243" s="14" t="s">
        <v>27433</v>
      </c>
      <c r="G7243" s="14" t="s">
        <v>45125</v>
      </c>
      <c r="H7243" s="15" t="s">
        <v>31</v>
      </c>
      <c r="I7243" s="15">
        <v>1.0</v>
      </c>
      <c r="J7243" s="15">
        <v>1.0</v>
      </c>
      <c r="K7243" s="15" t="s">
        <v>31</v>
      </c>
      <c r="L7243" s="16" t="s">
        <v>44790</v>
      </c>
      <c r="M7243" s="14" t="s">
        <v>45126</v>
      </c>
      <c r="N7243" s="14" t="s">
        <v>574</v>
      </c>
      <c r="O7243" s="16" t="s">
        <v>575</v>
      </c>
      <c r="P7243" s="14" t="s">
        <v>44792</v>
      </c>
      <c r="Q7243" s="14" t="s">
        <v>10135</v>
      </c>
      <c r="R7243" s="14" t="s">
        <v>75</v>
      </c>
      <c r="S7243" s="16" t="s">
        <v>44793</v>
      </c>
      <c r="T7243" s="14" t="s">
        <v>66</v>
      </c>
      <c r="U7243" s="16" t="s">
        <v>31</v>
      </c>
      <c r="V7243" s="14" t="s">
        <v>27433</v>
      </c>
      <c r="W7243" s="14" t="s">
        <v>44782</v>
      </c>
      <c r="X7243" s="17" t="str">
        <f>HYPERLINK("https://my.pitchbook.com?p=336994-21P","View People Online")</f>
        <v>View People Online</v>
      </c>
    </row>
    <row r="7244">
      <c r="A7244" s="2" t="s">
        <v>45127</v>
      </c>
      <c r="B7244" s="2" t="s">
        <v>45128</v>
      </c>
      <c r="C7244" s="2" t="s">
        <v>5985</v>
      </c>
      <c r="D7244" s="2" t="s">
        <v>45129</v>
      </c>
      <c r="E7244" s="2" t="s">
        <v>44782</v>
      </c>
      <c r="F7244" s="2" t="s">
        <v>34800</v>
      </c>
      <c r="G7244" s="2" t="s">
        <v>45130</v>
      </c>
      <c r="H7244" s="3" t="s">
        <v>31</v>
      </c>
      <c r="I7244" s="3">
        <v>1.0</v>
      </c>
      <c r="J7244" s="3">
        <v>1.0</v>
      </c>
      <c r="K7244" s="3" t="s">
        <v>31</v>
      </c>
      <c r="L7244" s="4" t="s">
        <v>44790</v>
      </c>
      <c r="M7244" s="2" t="s">
        <v>45131</v>
      </c>
      <c r="N7244" s="2" t="s">
        <v>574</v>
      </c>
      <c r="O7244" s="4" t="s">
        <v>575</v>
      </c>
      <c r="P7244" s="2" t="s">
        <v>44792</v>
      </c>
      <c r="Q7244" s="2" t="s">
        <v>10135</v>
      </c>
      <c r="R7244" s="2" t="s">
        <v>75</v>
      </c>
      <c r="S7244" s="4" t="s">
        <v>44793</v>
      </c>
      <c r="T7244" s="2" t="s">
        <v>66</v>
      </c>
      <c r="U7244" s="4" t="s">
        <v>31</v>
      </c>
      <c r="V7244" s="2" t="s">
        <v>45132</v>
      </c>
      <c r="W7244" s="2" t="s">
        <v>44782</v>
      </c>
      <c r="X7244" s="5" t="str">
        <f>HYPERLINK("https://my.pitchbook.com?p=336165-58P","View People Online")</f>
        <v>View People Online</v>
      </c>
    </row>
    <row r="7245">
      <c r="A7245" s="14" t="s">
        <v>45133</v>
      </c>
      <c r="B7245" s="14" t="s">
        <v>45134</v>
      </c>
      <c r="C7245" s="14" t="s">
        <v>1489</v>
      </c>
      <c r="D7245" s="14" t="s">
        <v>24994</v>
      </c>
      <c r="E7245" s="14" t="s">
        <v>44782</v>
      </c>
      <c r="F7245" s="14" t="s">
        <v>8622</v>
      </c>
      <c r="G7245" s="14" t="s">
        <v>45135</v>
      </c>
      <c r="H7245" s="15">
        <v>2.0</v>
      </c>
      <c r="I7245" s="15">
        <v>2.0</v>
      </c>
      <c r="J7245" s="15">
        <v>2.0</v>
      </c>
      <c r="K7245" s="15" t="s">
        <v>31</v>
      </c>
      <c r="L7245" s="16" t="s">
        <v>44790</v>
      </c>
      <c r="M7245" s="14" t="s">
        <v>31</v>
      </c>
      <c r="N7245" s="14" t="s">
        <v>574</v>
      </c>
      <c r="O7245" s="16" t="s">
        <v>575</v>
      </c>
      <c r="P7245" s="14" t="s">
        <v>44792</v>
      </c>
      <c r="Q7245" s="14" t="s">
        <v>10135</v>
      </c>
      <c r="R7245" s="14" t="s">
        <v>75</v>
      </c>
      <c r="S7245" s="16" t="s">
        <v>44793</v>
      </c>
      <c r="T7245" s="14" t="s">
        <v>66</v>
      </c>
      <c r="U7245" s="16" t="s">
        <v>31</v>
      </c>
      <c r="V7245" s="14" t="s">
        <v>8622</v>
      </c>
      <c r="W7245" s="14" t="s">
        <v>44782</v>
      </c>
      <c r="X7245" s="17" t="str">
        <f>HYPERLINK("https://my.pitchbook.com?p=36229-78P","View People Online")</f>
        <v>View People Online</v>
      </c>
    </row>
    <row r="7246">
      <c r="A7246" s="2" t="s">
        <v>45136</v>
      </c>
      <c r="B7246" s="2" t="s">
        <v>45137</v>
      </c>
      <c r="C7246" s="2" t="s">
        <v>2216</v>
      </c>
      <c r="D7246" s="2" t="s">
        <v>4550</v>
      </c>
      <c r="E7246" s="2" t="s">
        <v>44782</v>
      </c>
      <c r="F7246" s="2" t="s">
        <v>7478</v>
      </c>
      <c r="G7246" s="2" t="s">
        <v>45138</v>
      </c>
      <c r="H7246" s="3" t="s">
        <v>31</v>
      </c>
      <c r="I7246" s="3">
        <v>1.0</v>
      </c>
      <c r="J7246" s="3">
        <v>1.0</v>
      </c>
      <c r="K7246" s="3" t="s">
        <v>31</v>
      </c>
      <c r="L7246" s="4" t="s">
        <v>44979</v>
      </c>
      <c r="M7246" s="2" t="s">
        <v>45139</v>
      </c>
      <c r="N7246" s="2" t="s">
        <v>75</v>
      </c>
      <c r="O7246" s="4" t="s">
        <v>76</v>
      </c>
      <c r="P7246" s="2" t="s">
        <v>44981</v>
      </c>
      <c r="Q7246" s="2" t="s">
        <v>31</v>
      </c>
      <c r="R7246" s="2" t="s">
        <v>75</v>
      </c>
      <c r="S7246" s="4" t="s">
        <v>1432</v>
      </c>
      <c r="T7246" s="2" t="s">
        <v>66</v>
      </c>
      <c r="U7246" s="4" t="s">
        <v>31</v>
      </c>
      <c r="V7246" s="2" t="s">
        <v>7478</v>
      </c>
      <c r="W7246" s="2" t="s">
        <v>44782</v>
      </c>
      <c r="X7246" s="5" t="str">
        <f>HYPERLINK("https://my.pitchbook.com?p=427547-44P","View People Online")</f>
        <v>View People Online</v>
      </c>
    </row>
    <row r="7247">
      <c r="A7247" s="6" t="s">
        <v>45140</v>
      </c>
      <c r="B7247" s="6" t="s">
        <v>45141</v>
      </c>
      <c r="C7247" s="6" t="s">
        <v>18729</v>
      </c>
      <c r="D7247" s="6" t="s">
        <v>43034</v>
      </c>
      <c r="E7247" s="6" t="s">
        <v>44782</v>
      </c>
      <c r="F7247" s="6" t="s">
        <v>548</v>
      </c>
      <c r="G7247" s="6" t="s">
        <v>45142</v>
      </c>
      <c r="H7247" s="7" t="s">
        <v>31</v>
      </c>
      <c r="I7247" s="7">
        <v>1.0</v>
      </c>
      <c r="J7247" s="7">
        <v>1.0</v>
      </c>
      <c r="K7247" s="7" t="s">
        <v>31</v>
      </c>
      <c r="L7247" s="8" t="s">
        <v>44790</v>
      </c>
      <c r="M7247" s="6" t="s">
        <v>45143</v>
      </c>
      <c r="N7247" s="6" t="s">
        <v>574</v>
      </c>
      <c r="O7247" s="8" t="s">
        <v>575</v>
      </c>
      <c r="P7247" s="6" t="s">
        <v>44792</v>
      </c>
      <c r="Q7247" s="6" t="s">
        <v>10135</v>
      </c>
      <c r="R7247" s="6" t="s">
        <v>75</v>
      </c>
      <c r="S7247" s="8" t="s">
        <v>44793</v>
      </c>
      <c r="T7247" s="6" t="s">
        <v>66</v>
      </c>
      <c r="U7247" s="8" t="s">
        <v>31</v>
      </c>
      <c r="V7247" s="6" t="s">
        <v>45144</v>
      </c>
      <c r="W7247" s="6" t="s">
        <v>44782</v>
      </c>
      <c r="X7247" s="9" t="str">
        <f>HYPERLINK("https://my.pitchbook.com?p=288975-07P","View People Online")</f>
        <v>View People Online</v>
      </c>
    </row>
    <row r="7248">
      <c r="A7248" s="2" t="s">
        <v>45145</v>
      </c>
      <c r="B7248" s="2" t="s">
        <v>45146</v>
      </c>
      <c r="C7248" s="2" t="s">
        <v>2596</v>
      </c>
      <c r="D7248" s="2" t="s">
        <v>45147</v>
      </c>
      <c r="E7248" s="2" t="s">
        <v>44782</v>
      </c>
      <c r="F7248" s="2" t="s">
        <v>1801</v>
      </c>
      <c r="G7248" s="2" t="s">
        <v>45148</v>
      </c>
      <c r="H7248" s="3" t="s">
        <v>31</v>
      </c>
      <c r="I7248" s="3">
        <v>1.0</v>
      </c>
      <c r="J7248" s="3">
        <v>1.0</v>
      </c>
      <c r="K7248" s="3" t="s">
        <v>31</v>
      </c>
      <c r="L7248" s="4" t="s">
        <v>44790</v>
      </c>
      <c r="M7248" s="2" t="s">
        <v>45149</v>
      </c>
      <c r="N7248" s="2" t="s">
        <v>574</v>
      </c>
      <c r="O7248" s="4" t="s">
        <v>575</v>
      </c>
      <c r="P7248" s="2" t="s">
        <v>44792</v>
      </c>
      <c r="Q7248" s="2" t="s">
        <v>10135</v>
      </c>
      <c r="R7248" s="2" t="s">
        <v>75</v>
      </c>
      <c r="S7248" s="4" t="s">
        <v>44793</v>
      </c>
      <c r="T7248" s="2" t="s">
        <v>66</v>
      </c>
      <c r="U7248" s="4" t="s">
        <v>31</v>
      </c>
      <c r="V7248" s="2" t="s">
        <v>45150</v>
      </c>
      <c r="W7248" s="2" t="s">
        <v>44782</v>
      </c>
      <c r="X7248" s="5" t="str">
        <f>HYPERLINK("https://my.pitchbook.com?p=384307-66P","View People Online")</f>
        <v>View People Online</v>
      </c>
    </row>
    <row r="7249">
      <c r="A7249" s="6" t="s">
        <v>45151</v>
      </c>
      <c r="B7249" s="6" t="s">
        <v>45152</v>
      </c>
      <c r="C7249" s="6" t="s">
        <v>2221</v>
      </c>
      <c r="D7249" s="6" t="s">
        <v>45153</v>
      </c>
      <c r="E7249" s="6" t="s">
        <v>44782</v>
      </c>
      <c r="F7249" s="6" t="s">
        <v>13066</v>
      </c>
      <c r="G7249" s="6" t="s">
        <v>45154</v>
      </c>
      <c r="H7249" s="7" t="s">
        <v>31</v>
      </c>
      <c r="I7249" s="7">
        <v>1.0</v>
      </c>
      <c r="J7249" s="7">
        <v>1.0</v>
      </c>
      <c r="K7249" s="7" t="s">
        <v>31</v>
      </c>
      <c r="L7249" s="8" t="s">
        <v>44790</v>
      </c>
      <c r="M7249" s="6" t="s">
        <v>45155</v>
      </c>
      <c r="N7249" s="6" t="s">
        <v>574</v>
      </c>
      <c r="O7249" s="8" t="s">
        <v>575</v>
      </c>
      <c r="P7249" s="6" t="s">
        <v>44792</v>
      </c>
      <c r="Q7249" s="6" t="s">
        <v>10135</v>
      </c>
      <c r="R7249" s="6" t="s">
        <v>75</v>
      </c>
      <c r="S7249" s="8" t="s">
        <v>44793</v>
      </c>
      <c r="T7249" s="6" t="s">
        <v>66</v>
      </c>
      <c r="U7249" s="8" t="s">
        <v>31</v>
      </c>
      <c r="V7249" s="6" t="s">
        <v>13066</v>
      </c>
      <c r="W7249" s="6" t="s">
        <v>44782</v>
      </c>
      <c r="X7249" s="9" t="str">
        <f>HYPERLINK("https://my.pitchbook.com?p=170665-30P","View People Online")</f>
        <v>View People Online</v>
      </c>
    </row>
    <row r="7250">
      <c r="A7250" s="2" t="s">
        <v>45156</v>
      </c>
      <c r="B7250" s="2" t="s">
        <v>45157</v>
      </c>
      <c r="C7250" s="2" t="s">
        <v>45158</v>
      </c>
      <c r="D7250" s="2" t="s">
        <v>24911</v>
      </c>
      <c r="E7250" s="2" t="s">
        <v>44782</v>
      </c>
      <c r="F7250" s="2" t="s">
        <v>270</v>
      </c>
      <c r="G7250" s="2" t="s">
        <v>45159</v>
      </c>
      <c r="H7250" s="3" t="s">
        <v>31</v>
      </c>
      <c r="I7250" s="3">
        <v>1.0</v>
      </c>
      <c r="J7250" s="3">
        <v>1.0</v>
      </c>
      <c r="K7250" s="3" t="s">
        <v>31</v>
      </c>
      <c r="L7250" s="4" t="s">
        <v>44790</v>
      </c>
      <c r="M7250" s="2" t="s">
        <v>45160</v>
      </c>
      <c r="N7250" s="2" t="s">
        <v>574</v>
      </c>
      <c r="O7250" s="4" t="s">
        <v>575</v>
      </c>
      <c r="P7250" s="2" t="s">
        <v>44792</v>
      </c>
      <c r="Q7250" s="2" t="s">
        <v>10135</v>
      </c>
      <c r="R7250" s="2" t="s">
        <v>75</v>
      </c>
      <c r="S7250" s="4" t="s">
        <v>44793</v>
      </c>
      <c r="T7250" s="2" t="s">
        <v>66</v>
      </c>
      <c r="U7250" s="4" t="s">
        <v>31</v>
      </c>
      <c r="V7250" s="2" t="s">
        <v>45161</v>
      </c>
      <c r="W7250" s="2" t="s">
        <v>44782</v>
      </c>
      <c r="X7250" s="5" t="str">
        <f>HYPERLINK("https://my.pitchbook.com?p=321249-97P","View People Online")</f>
        <v>View People Online</v>
      </c>
    </row>
    <row r="7251">
      <c r="A7251" s="14" t="s">
        <v>45162</v>
      </c>
      <c r="B7251" s="14" t="s">
        <v>45163</v>
      </c>
      <c r="C7251" s="14" t="s">
        <v>45164</v>
      </c>
      <c r="D7251" s="14" t="s">
        <v>45165</v>
      </c>
      <c r="E7251" s="14" t="s">
        <v>44782</v>
      </c>
      <c r="F7251" s="14" t="s">
        <v>825</v>
      </c>
      <c r="G7251" s="14" t="s">
        <v>45166</v>
      </c>
      <c r="H7251" s="15" t="s">
        <v>31</v>
      </c>
      <c r="I7251" s="15">
        <v>1.0</v>
      </c>
      <c r="J7251" s="15">
        <v>1.0</v>
      </c>
      <c r="K7251" s="15" t="s">
        <v>31</v>
      </c>
      <c r="L7251" s="16" t="s">
        <v>44790</v>
      </c>
      <c r="M7251" s="14" t="s">
        <v>45167</v>
      </c>
      <c r="N7251" s="14" t="s">
        <v>574</v>
      </c>
      <c r="O7251" s="16" t="s">
        <v>575</v>
      </c>
      <c r="P7251" s="14" t="s">
        <v>44792</v>
      </c>
      <c r="Q7251" s="14" t="s">
        <v>10135</v>
      </c>
      <c r="R7251" s="14" t="s">
        <v>75</v>
      </c>
      <c r="S7251" s="16" t="s">
        <v>44793</v>
      </c>
      <c r="T7251" s="14" t="s">
        <v>66</v>
      </c>
      <c r="U7251" s="16" t="s">
        <v>31</v>
      </c>
      <c r="V7251" s="14" t="s">
        <v>45168</v>
      </c>
      <c r="W7251" s="14" t="s">
        <v>44782</v>
      </c>
      <c r="X7251" s="17" t="str">
        <f>HYPERLINK("https://my.pitchbook.com?p=408756-25P","View People Online")</f>
        <v>View People Online</v>
      </c>
    </row>
    <row r="7252">
      <c r="A7252" s="10" t="s">
        <v>45169</v>
      </c>
      <c r="B7252" s="10" t="s">
        <v>45170</v>
      </c>
      <c r="C7252" s="10" t="s">
        <v>6453</v>
      </c>
      <c r="D7252" s="10" t="s">
        <v>45171</v>
      </c>
      <c r="E7252" s="10" t="s">
        <v>44782</v>
      </c>
      <c r="F7252" s="10" t="s">
        <v>312</v>
      </c>
      <c r="G7252" s="10" t="s">
        <v>45172</v>
      </c>
      <c r="H7252" s="11" t="s">
        <v>31</v>
      </c>
      <c r="I7252" s="11">
        <v>1.0</v>
      </c>
      <c r="J7252" s="11">
        <v>1.0</v>
      </c>
      <c r="K7252" s="11" t="s">
        <v>31</v>
      </c>
      <c r="L7252" s="12" t="s">
        <v>31</v>
      </c>
      <c r="M7252" s="10" t="s">
        <v>45173</v>
      </c>
      <c r="N7252" s="10" t="s">
        <v>13041</v>
      </c>
      <c r="O7252" s="12" t="s">
        <v>13042</v>
      </c>
      <c r="P7252" s="10" t="s">
        <v>44814</v>
      </c>
      <c r="Q7252" s="10" t="s">
        <v>29446</v>
      </c>
      <c r="R7252" s="10" t="s">
        <v>10326</v>
      </c>
      <c r="S7252" s="12" t="s">
        <v>44815</v>
      </c>
      <c r="T7252" s="10" t="s">
        <v>66</v>
      </c>
      <c r="U7252" s="12" t="s">
        <v>31</v>
      </c>
      <c r="V7252" s="10" t="s">
        <v>45174</v>
      </c>
      <c r="W7252" s="10" t="s">
        <v>44782</v>
      </c>
      <c r="X7252" s="13" t="str">
        <f>HYPERLINK("https://my.pitchbook.com?p=114303-34P","View People Online")</f>
        <v>View People Online</v>
      </c>
    </row>
    <row r="7253">
      <c r="A7253" s="6" t="s">
        <v>45175</v>
      </c>
      <c r="B7253" s="6" t="s">
        <v>45176</v>
      </c>
      <c r="C7253" s="6" t="s">
        <v>2288</v>
      </c>
      <c r="D7253" s="6" t="s">
        <v>200</v>
      </c>
      <c r="E7253" s="6" t="s">
        <v>44782</v>
      </c>
      <c r="F7253" s="6" t="s">
        <v>34800</v>
      </c>
      <c r="G7253" s="6" t="s">
        <v>45177</v>
      </c>
      <c r="H7253" s="7" t="s">
        <v>31</v>
      </c>
      <c r="I7253" s="7">
        <v>1.0</v>
      </c>
      <c r="J7253" s="7">
        <v>1.0</v>
      </c>
      <c r="K7253" s="7" t="s">
        <v>31</v>
      </c>
      <c r="L7253" s="8" t="s">
        <v>45178</v>
      </c>
      <c r="M7253" s="6" t="s">
        <v>31</v>
      </c>
      <c r="N7253" s="6" t="s">
        <v>11029</v>
      </c>
      <c r="O7253" s="8" t="s">
        <v>11030</v>
      </c>
      <c r="P7253" s="6" t="s">
        <v>45179</v>
      </c>
      <c r="Q7253" s="6" t="s">
        <v>31</v>
      </c>
      <c r="R7253" s="6" t="s">
        <v>10017</v>
      </c>
      <c r="S7253" s="8" t="s">
        <v>13843</v>
      </c>
      <c r="T7253" s="6" t="s">
        <v>66</v>
      </c>
      <c r="U7253" s="8" t="s">
        <v>31</v>
      </c>
      <c r="V7253" s="6" t="s">
        <v>45180</v>
      </c>
      <c r="W7253" s="6" t="s">
        <v>44782</v>
      </c>
      <c r="X7253" s="9" t="str">
        <f>HYPERLINK("https://my.pitchbook.com?p=383824-27P","View People Online")</f>
        <v>View People Online</v>
      </c>
    </row>
    <row r="7254">
      <c r="A7254" s="10" t="s">
        <v>45181</v>
      </c>
      <c r="B7254" s="10" t="s">
        <v>45182</v>
      </c>
      <c r="C7254" s="10" t="s">
        <v>2288</v>
      </c>
      <c r="D7254" s="10" t="s">
        <v>18117</v>
      </c>
      <c r="E7254" s="10" t="s">
        <v>44782</v>
      </c>
      <c r="F7254" s="10" t="s">
        <v>312</v>
      </c>
      <c r="G7254" s="10" t="s">
        <v>45183</v>
      </c>
      <c r="H7254" s="11" t="s">
        <v>31</v>
      </c>
      <c r="I7254" s="11">
        <v>1.0</v>
      </c>
      <c r="J7254" s="11">
        <v>1.0</v>
      </c>
      <c r="K7254" s="11" t="s">
        <v>31</v>
      </c>
      <c r="L7254" s="12" t="s">
        <v>31</v>
      </c>
      <c r="M7254" s="10" t="s">
        <v>45184</v>
      </c>
      <c r="N7254" s="10" t="s">
        <v>41395</v>
      </c>
      <c r="O7254" s="12" t="s">
        <v>41396</v>
      </c>
      <c r="P7254" s="10" t="s">
        <v>45185</v>
      </c>
      <c r="Q7254" s="10" t="s">
        <v>31</v>
      </c>
      <c r="R7254" s="10" t="s">
        <v>10326</v>
      </c>
      <c r="S7254" s="12" t="s">
        <v>41398</v>
      </c>
      <c r="T7254" s="10" t="s">
        <v>66</v>
      </c>
      <c r="U7254" s="12" t="s">
        <v>31</v>
      </c>
      <c r="V7254" s="10" t="s">
        <v>312</v>
      </c>
      <c r="W7254" s="10" t="s">
        <v>44782</v>
      </c>
      <c r="X7254" s="13" t="str">
        <f>HYPERLINK("https://my.pitchbook.com?p=383769-73P","View People Online")</f>
        <v>View People Online</v>
      </c>
    </row>
    <row r="7255">
      <c r="A7255" s="6" t="s">
        <v>45186</v>
      </c>
      <c r="B7255" s="6" t="s">
        <v>45187</v>
      </c>
      <c r="C7255" s="6" t="s">
        <v>2288</v>
      </c>
      <c r="D7255" s="6" t="s">
        <v>45188</v>
      </c>
      <c r="E7255" s="6" t="s">
        <v>44782</v>
      </c>
      <c r="F7255" s="6" t="s">
        <v>583</v>
      </c>
      <c r="G7255" s="6" t="s">
        <v>45189</v>
      </c>
      <c r="H7255" s="7" t="s">
        <v>31</v>
      </c>
      <c r="I7255" s="7">
        <v>1.0</v>
      </c>
      <c r="J7255" s="7">
        <v>1.0</v>
      </c>
      <c r="K7255" s="7" t="s">
        <v>31</v>
      </c>
      <c r="L7255" s="8" t="s">
        <v>44790</v>
      </c>
      <c r="M7255" s="6" t="s">
        <v>45190</v>
      </c>
      <c r="N7255" s="6" t="s">
        <v>574</v>
      </c>
      <c r="O7255" s="8" t="s">
        <v>575</v>
      </c>
      <c r="P7255" s="6" t="s">
        <v>44792</v>
      </c>
      <c r="Q7255" s="6" t="s">
        <v>10135</v>
      </c>
      <c r="R7255" s="6" t="s">
        <v>75</v>
      </c>
      <c r="S7255" s="8" t="s">
        <v>44793</v>
      </c>
      <c r="T7255" s="6" t="s">
        <v>66</v>
      </c>
      <c r="U7255" s="8" t="s">
        <v>31</v>
      </c>
      <c r="V7255" s="6" t="s">
        <v>45191</v>
      </c>
      <c r="W7255" s="6" t="s">
        <v>44782</v>
      </c>
      <c r="X7255" s="9" t="str">
        <f>HYPERLINK("https://my.pitchbook.com?p=358730-74P","View People Online")</f>
        <v>View People Online</v>
      </c>
    </row>
    <row r="7256">
      <c r="A7256" s="2" t="s">
        <v>45192</v>
      </c>
      <c r="B7256" s="2" t="s">
        <v>45193</v>
      </c>
      <c r="C7256" s="2" t="s">
        <v>2288</v>
      </c>
      <c r="D7256" s="2" t="s">
        <v>45194</v>
      </c>
      <c r="E7256" s="2" t="s">
        <v>44782</v>
      </c>
      <c r="F7256" s="2" t="s">
        <v>371</v>
      </c>
      <c r="G7256" s="2" t="s">
        <v>45195</v>
      </c>
      <c r="H7256" s="3" t="s">
        <v>31</v>
      </c>
      <c r="I7256" s="3">
        <v>1.0</v>
      </c>
      <c r="J7256" s="3">
        <v>1.0</v>
      </c>
      <c r="K7256" s="3" t="s">
        <v>31</v>
      </c>
      <c r="L7256" s="4" t="s">
        <v>44790</v>
      </c>
      <c r="M7256" s="2" t="s">
        <v>45196</v>
      </c>
      <c r="N7256" s="2" t="s">
        <v>574</v>
      </c>
      <c r="O7256" s="4" t="s">
        <v>575</v>
      </c>
      <c r="P7256" s="2" t="s">
        <v>44792</v>
      </c>
      <c r="Q7256" s="2" t="s">
        <v>10135</v>
      </c>
      <c r="R7256" s="2" t="s">
        <v>75</v>
      </c>
      <c r="S7256" s="4" t="s">
        <v>44793</v>
      </c>
      <c r="T7256" s="2" t="s">
        <v>66</v>
      </c>
      <c r="U7256" s="4" t="s">
        <v>31</v>
      </c>
      <c r="V7256" s="2" t="s">
        <v>45197</v>
      </c>
      <c r="W7256" s="2" t="s">
        <v>44782</v>
      </c>
      <c r="X7256" s="5" t="str">
        <f>HYPERLINK("https://my.pitchbook.com?p=277254-28P","View People Online")</f>
        <v>View People Online</v>
      </c>
    </row>
    <row r="7257">
      <c r="A7257" s="6" t="s">
        <v>45198</v>
      </c>
      <c r="B7257" s="6" t="s">
        <v>45199</v>
      </c>
      <c r="C7257" s="6" t="s">
        <v>160</v>
      </c>
      <c r="D7257" s="6" t="s">
        <v>45200</v>
      </c>
      <c r="E7257" s="6" t="s">
        <v>44782</v>
      </c>
      <c r="F7257" s="6" t="s">
        <v>11575</v>
      </c>
      <c r="G7257" s="6" t="s">
        <v>45201</v>
      </c>
      <c r="H7257" s="7" t="s">
        <v>31</v>
      </c>
      <c r="I7257" s="7">
        <v>1.0</v>
      </c>
      <c r="J7257" s="7">
        <v>1.0</v>
      </c>
      <c r="K7257" s="7" t="s">
        <v>31</v>
      </c>
      <c r="L7257" s="8" t="s">
        <v>44790</v>
      </c>
      <c r="M7257" s="6" t="s">
        <v>45202</v>
      </c>
      <c r="N7257" s="6" t="s">
        <v>574</v>
      </c>
      <c r="O7257" s="8" t="s">
        <v>575</v>
      </c>
      <c r="P7257" s="6" t="s">
        <v>44792</v>
      </c>
      <c r="Q7257" s="6" t="s">
        <v>10135</v>
      </c>
      <c r="R7257" s="6" t="s">
        <v>75</v>
      </c>
      <c r="S7257" s="8" t="s">
        <v>44793</v>
      </c>
      <c r="T7257" s="6" t="s">
        <v>66</v>
      </c>
      <c r="U7257" s="8" t="s">
        <v>31</v>
      </c>
      <c r="V7257" s="6" t="s">
        <v>45203</v>
      </c>
      <c r="W7257" s="6" t="s">
        <v>44782</v>
      </c>
      <c r="X7257" s="9" t="str">
        <f>HYPERLINK("https://my.pitchbook.com?p=360105-94P","View People Online")</f>
        <v>View People Online</v>
      </c>
    </row>
    <row r="7258">
      <c r="A7258" s="2" t="s">
        <v>45204</v>
      </c>
      <c r="B7258" s="2" t="s">
        <v>45205</v>
      </c>
      <c r="C7258" s="2" t="s">
        <v>160</v>
      </c>
      <c r="D7258" s="2" t="s">
        <v>45206</v>
      </c>
      <c r="E7258" s="2" t="s">
        <v>44782</v>
      </c>
      <c r="F7258" s="2" t="s">
        <v>34800</v>
      </c>
      <c r="G7258" s="2" t="s">
        <v>45207</v>
      </c>
      <c r="H7258" s="3" t="s">
        <v>31</v>
      </c>
      <c r="I7258" s="3">
        <v>1.0</v>
      </c>
      <c r="J7258" s="3">
        <v>1.0</v>
      </c>
      <c r="K7258" s="3" t="s">
        <v>31</v>
      </c>
      <c r="L7258" s="4" t="s">
        <v>44790</v>
      </c>
      <c r="M7258" s="2" t="s">
        <v>45208</v>
      </c>
      <c r="N7258" s="2" t="s">
        <v>574</v>
      </c>
      <c r="O7258" s="4" t="s">
        <v>575</v>
      </c>
      <c r="P7258" s="2" t="s">
        <v>44792</v>
      </c>
      <c r="Q7258" s="2" t="s">
        <v>10135</v>
      </c>
      <c r="R7258" s="2" t="s">
        <v>75</v>
      </c>
      <c r="S7258" s="4" t="s">
        <v>44793</v>
      </c>
      <c r="T7258" s="2" t="s">
        <v>66</v>
      </c>
      <c r="U7258" s="4" t="s">
        <v>31</v>
      </c>
      <c r="V7258" s="2" t="s">
        <v>45209</v>
      </c>
      <c r="W7258" s="2" t="s">
        <v>44782</v>
      </c>
      <c r="X7258" s="5" t="str">
        <f>HYPERLINK("https://my.pitchbook.com?p=32941-99P","View People Online")</f>
        <v>View People Online</v>
      </c>
    </row>
    <row r="7259">
      <c r="A7259" s="6" t="s">
        <v>45210</v>
      </c>
      <c r="B7259" s="6" t="s">
        <v>45211</v>
      </c>
      <c r="C7259" s="6" t="s">
        <v>160</v>
      </c>
      <c r="D7259" s="6" t="s">
        <v>45212</v>
      </c>
      <c r="E7259" s="6" t="s">
        <v>44782</v>
      </c>
      <c r="F7259" s="6" t="s">
        <v>825</v>
      </c>
      <c r="G7259" s="6" t="s">
        <v>45213</v>
      </c>
      <c r="H7259" s="7" t="s">
        <v>31</v>
      </c>
      <c r="I7259" s="7">
        <v>2.0</v>
      </c>
      <c r="J7259" s="7">
        <v>1.0</v>
      </c>
      <c r="K7259" s="7">
        <v>1.0</v>
      </c>
      <c r="L7259" s="8" t="s">
        <v>44790</v>
      </c>
      <c r="M7259" s="6" t="s">
        <v>45214</v>
      </c>
      <c r="N7259" s="6" t="s">
        <v>574</v>
      </c>
      <c r="O7259" s="8" t="s">
        <v>575</v>
      </c>
      <c r="P7259" s="6" t="s">
        <v>44792</v>
      </c>
      <c r="Q7259" s="6" t="s">
        <v>10135</v>
      </c>
      <c r="R7259" s="6" t="s">
        <v>75</v>
      </c>
      <c r="S7259" s="8" t="s">
        <v>44793</v>
      </c>
      <c r="T7259" s="6" t="s">
        <v>66</v>
      </c>
      <c r="U7259" s="8" t="s">
        <v>31</v>
      </c>
      <c r="V7259" s="6" t="s">
        <v>45215</v>
      </c>
      <c r="W7259" s="6" t="s">
        <v>44782</v>
      </c>
      <c r="X7259" s="9" t="str">
        <f>HYPERLINK("https://my.pitchbook.com?p=417360-07P","View People Online")</f>
        <v>View People Online</v>
      </c>
    </row>
    <row r="7260">
      <c r="A7260" s="2" t="s">
        <v>45216</v>
      </c>
      <c r="B7260" s="2" t="s">
        <v>45217</v>
      </c>
      <c r="C7260" s="2" t="s">
        <v>12329</v>
      </c>
      <c r="D7260" s="2" t="s">
        <v>29618</v>
      </c>
      <c r="E7260" s="2" t="s">
        <v>44782</v>
      </c>
      <c r="F7260" s="2" t="s">
        <v>1801</v>
      </c>
      <c r="G7260" s="2" t="s">
        <v>45218</v>
      </c>
      <c r="H7260" s="3" t="s">
        <v>31</v>
      </c>
      <c r="I7260" s="3">
        <v>1.0</v>
      </c>
      <c r="J7260" s="3">
        <v>1.0</v>
      </c>
      <c r="K7260" s="3" t="s">
        <v>31</v>
      </c>
      <c r="L7260" s="4" t="s">
        <v>44790</v>
      </c>
      <c r="M7260" s="2" t="s">
        <v>31</v>
      </c>
      <c r="N7260" s="2" t="s">
        <v>574</v>
      </c>
      <c r="O7260" s="4" t="s">
        <v>575</v>
      </c>
      <c r="P7260" s="2" t="s">
        <v>44792</v>
      </c>
      <c r="Q7260" s="2" t="s">
        <v>10135</v>
      </c>
      <c r="R7260" s="2" t="s">
        <v>75</v>
      </c>
      <c r="S7260" s="4" t="s">
        <v>44793</v>
      </c>
      <c r="T7260" s="2" t="s">
        <v>66</v>
      </c>
      <c r="U7260" s="4" t="s">
        <v>31</v>
      </c>
      <c r="V7260" s="2" t="s">
        <v>45219</v>
      </c>
      <c r="W7260" s="2" t="s">
        <v>44782</v>
      </c>
      <c r="X7260" s="5" t="str">
        <f>HYPERLINK("https://my.pitchbook.com?p=275879-71P","View People Online")</f>
        <v>View People Online</v>
      </c>
    </row>
    <row r="7261">
      <c r="A7261" s="14" t="s">
        <v>45220</v>
      </c>
      <c r="B7261" s="14" t="s">
        <v>45221</v>
      </c>
      <c r="C7261" s="14" t="s">
        <v>126</v>
      </c>
      <c r="D7261" s="14" t="s">
        <v>45222</v>
      </c>
      <c r="E7261" s="14" t="s">
        <v>44782</v>
      </c>
      <c r="F7261" s="14" t="s">
        <v>825</v>
      </c>
      <c r="G7261" s="14" t="s">
        <v>45223</v>
      </c>
      <c r="H7261" s="15">
        <v>1.0</v>
      </c>
      <c r="I7261" s="15">
        <v>2.0</v>
      </c>
      <c r="J7261" s="15">
        <v>2.0</v>
      </c>
      <c r="K7261" s="15" t="s">
        <v>31</v>
      </c>
      <c r="L7261" s="16" t="s">
        <v>31</v>
      </c>
      <c r="M7261" s="14" t="s">
        <v>45224</v>
      </c>
      <c r="N7261" s="14" t="s">
        <v>10946</v>
      </c>
      <c r="O7261" s="16" t="s">
        <v>10947</v>
      </c>
      <c r="P7261" s="14" t="s">
        <v>45225</v>
      </c>
      <c r="Q7261" s="14" t="s">
        <v>31</v>
      </c>
      <c r="R7261" s="14" t="s">
        <v>75</v>
      </c>
      <c r="S7261" s="16" t="s">
        <v>45226</v>
      </c>
      <c r="T7261" s="14" t="s">
        <v>66</v>
      </c>
      <c r="U7261" s="16" t="s">
        <v>31</v>
      </c>
      <c r="V7261" s="14" t="s">
        <v>45227</v>
      </c>
      <c r="W7261" s="14" t="s">
        <v>44782</v>
      </c>
      <c r="X7261" s="17" t="str">
        <f>HYPERLINK("https://my.pitchbook.com?p=164217-34P","View People Online")</f>
        <v>View People Online</v>
      </c>
    </row>
    <row r="7262">
      <c r="A7262" s="10" t="s">
        <v>45228</v>
      </c>
      <c r="B7262" s="10" t="s">
        <v>45229</v>
      </c>
      <c r="C7262" s="10" t="s">
        <v>126</v>
      </c>
      <c r="D7262" s="10" t="s">
        <v>32559</v>
      </c>
      <c r="E7262" s="10" t="s">
        <v>44782</v>
      </c>
      <c r="F7262" s="10" t="s">
        <v>45230</v>
      </c>
      <c r="G7262" s="10" t="s">
        <v>45231</v>
      </c>
      <c r="H7262" s="11" t="s">
        <v>31</v>
      </c>
      <c r="I7262" s="11">
        <v>2.0</v>
      </c>
      <c r="J7262" s="11">
        <v>1.0</v>
      </c>
      <c r="K7262" s="11">
        <v>1.0</v>
      </c>
      <c r="L7262" s="12" t="s">
        <v>44790</v>
      </c>
      <c r="M7262" s="10" t="s">
        <v>45232</v>
      </c>
      <c r="N7262" s="10" t="s">
        <v>574</v>
      </c>
      <c r="O7262" s="12" t="s">
        <v>575</v>
      </c>
      <c r="P7262" s="10" t="s">
        <v>44792</v>
      </c>
      <c r="Q7262" s="10" t="s">
        <v>10135</v>
      </c>
      <c r="R7262" s="10" t="s">
        <v>75</v>
      </c>
      <c r="S7262" s="12" t="s">
        <v>44793</v>
      </c>
      <c r="T7262" s="10" t="s">
        <v>66</v>
      </c>
      <c r="U7262" s="12" t="s">
        <v>31</v>
      </c>
      <c r="V7262" s="10" t="s">
        <v>45233</v>
      </c>
      <c r="W7262" s="10" t="s">
        <v>44782</v>
      </c>
      <c r="X7262" s="13" t="str">
        <f>HYPERLINK("https://my.pitchbook.com?p=133352-92P","View People Online")</f>
        <v>View People Online</v>
      </c>
    </row>
    <row r="7263">
      <c r="A7263" s="14" t="s">
        <v>45234</v>
      </c>
      <c r="B7263" s="14" t="s">
        <v>45235</v>
      </c>
      <c r="C7263" s="14" t="s">
        <v>126</v>
      </c>
      <c r="D7263" s="14" t="s">
        <v>45236</v>
      </c>
      <c r="E7263" s="14" t="s">
        <v>44782</v>
      </c>
      <c r="F7263" s="14" t="s">
        <v>9721</v>
      </c>
      <c r="G7263" s="14" t="s">
        <v>45237</v>
      </c>
      <c r="H7263" s="15" t="s">
        <v>31</v>
      </c>
      <c r="I7263" s="15">
        <v>1.0</v>
      </c>
      <c r="J7263" s="15">
        <v>1.0</v>
      </c>
      <c r="K7263" s="15" t="s">
        <v>31</v>
      </c>
      <c r="L7263" s="16" t="s">
        <v>44790</v>
      </c>
      <c r="M7263" s="14" t="s">
        <v>45238</v>
      </c>
      <c r="N7263" s="14" t="s">
        <v>574</v>
      </c>
      <c r="O7263" s="16" t="s">
        <v>575</v>
      </c>
      <c r="P7263" s="14" t="s">
        <v>44792</v>
      </c>
      <c r="Q7263" s="14" t="s">
        <v>10135</v>
      </c>
      <c r="R7263" s="14" t="s">
        <v>75</v>
      </c>
      <c r="S7263" s="16" t="s">
        <v>44793</v>
      </c>
      <c r="T7263" s="14" t="s">
        <v>66</v>
      </c>
      <c r="U7263" s="16" t="s">
        <v>31</v>
      </c>
      <c r="V7263" s="14" t="s">
        <v>9721</v>
      </c>
      <c r="W7263" s="14" t="s">
        <v>44782</v>
      </c>
      <c r="X7263" s="17" t="str">
        <f>HYPERLINK("https://my.pitchbook.com?p=164176-48P","View People Online")</f>
        <v>View People Online</v>
      </c>
    </row>
    <row r="7264">
      <c r="A7264" s="10" t="s">
        <v>45239</v>
      </c>
      <c r="B7264" s="10" t="s">
        <v>45240</v>
      </c>
      <c r="C7264" s="10" t="s">
        <v>126</v>
      </c>
      <c r="D7264" s="10" t="s">
        <v>45241</v>
      </c>
      <c r="E7264" s="10" t="s">
        <v>44782</v>
      </c>
      <c r="F7264" s="10" t="s">
        <v>7948</v>
      </c>
      <c r="G7264" s="10" t="s">
        <v>45242</v>
      </c>
      <c r="H7264" s="11">
        <v>2.0</v>
      </c>
      <c r="I7264" s="11">
        <v>5.0</v>
      </c>
      <c r="J7264" s="11">
        <v>1.0</v>
      </c>
      <c r="K7264" s="11">
        <v>2.0</v>
      </c>
      <c r="L7264" s="12" t="s">
        <v>44790</v>
      </c>
      <c r="M7264" s="10" t="s">
        <v>45243</v>
      </c>
      <c r="N7264" s="10" t="s">
        <v>574</v>
      </c>
      <c r="O7264" s="12" t="s">
        <v>575</v>
      </c>
      <c r="P7264" s="10" t="s">
        <v>44792</v>
      </c>
      <c r="Q7264" s="10" t="s">
        <v>10135</v>
      </c>
      <c r="R7264" s="10" t="s">
        <v>75</v>
      </c>
      <c r="S7264" s="12" t="s">
        <v>44793</v>
      </c>
      <c r="T7264" s="10" t="s">
        <v>66</v>
      </c>
      <c r="U7264" s="12" t="s">
        <v>31</v>
      </c>
      <c r="V7264" s="10" t="s">
        <v>7948</v>
      </c>
      <c r="W7264" s="10" t="s">
        <v>44782</v>
      </c>
      <c r="X7264" s="13" t="str">
        <f>HYPERLINK("https://my.pitchbook.com?p=280444-87P","View People Online")</f>
        <v>View People Online</v>
      </c>
    </row>
    <row r="7265">
      <c r="A7265" s="6" t="s">
        <v>45244</v>
      </c>
      <c r="B7265" s="6" t="s">
        <v>45245</v>
      </c>
      <c r="C7265" s="6" t="s">
        <v>4033</v>
      </c>
      <c r="D7265" s="6" t="s">
        <v>24222</v>
      </c>
      <c r="E7265" s="6" t="s">
        <v>44782</v>
      </c>
      <c r="F7265" s="6" t="s">
        <v>44873</v>
      </c>
      <c r="G7265" s="6" t="s">
        <v>45246</v>
      </c>
      <c r="H7265" s="7" t="s">
        <v>31</v>
      </c>
      <c r="I7265" s="7">
        <v>1.0</v>
      </c>
      <c r="J7265" s="7">
        <v>1.0</v>
      </c>
      <c r="K7265" s="7" t="s">
        <v>31</v>
      </c>
      <c r="L7265" s="8" t="s">
        <v>44790</v>
      </c>
      <c r="M7265" s="6" t="s">
        <v>45247</v>
      </c>
      <c r="N7265" s="6" t="s">
        <v>574</v>
      </c>
      <c r="O7265" s="8" t="s">
        <v>575</v>
      </c>
      <c r="P7265" s="6" t="s">
        <v>44792</v>
      </c>
      <c r="Q7265" s="6" t="s">
        <v>10135</v>
      </c>
      <c r="R7265" s="6" t="s">
        <v>75</v>
      </c>
      <c r="S7265" s="8" t="s">
        <v>44793</v>
      </c>
      <c r="T7265" s="6" t="s">
        <v>66</v>
      </c>
      <c r="U7265" s="8" t="s">
        <v>31</v>
      </c>
      <c r="V7265" s="6" t="s">
        <v>45248</v>
      </c>
      <c r="W7265" s="6" t="s">
        <v>44782</v>
      </c>
      <c r="X7265" s="9" t="str">
        <f>HYPERLINK("https://my.pitchbook.com?p=353850-94P","View People Online")</f>
        <v>View People Online</v>
      </c>
    </row>
    <row r="7266">
      <c r="A7266" s="10" t="s">
        <v>45249</v>
      </c>
      <c r="B7266" s="10" t="s">
        <v>45250</v>
      </c>
      <c r="C7266" s="10" t="s">
        <v>45251</v>
      </c>
      <c r="D7266" s="10" t="s">
        <v>45252</v>
      </c>
      <c r="E7266" s="10" t="s">
        <v>44782</v>
      </c>
      <c r="F7266" s="10" t="s">
        <v>10552</v>
      </c>
      <c r="G7266" s="10" t="s">
        <v>45253</v>
      </c>
      <c r="H7266" s="11" t="s">
        <v>31</v>
      </c>
      <c r="I7266" s="11">
        <v>1.0</v>
      </c>
      <c r="J7266" s="11">
        <v>1.0</v>
      </c>
      <c r="K7266" s="11" t="s">
        <v>31</v>
      </c>
      <c r="L7266" s="12" t="s">
        <v>44790</v>
      </c>
      <c r="M7266" s="10" t="s">
        <v>45254</v>
      </c>
      <c r="N7266" s="10" t="s">
        <v>574</v>
      </c>
      <c r="O7266" s="12" t="s">
        <v>575</v>
      </c>
      <c r="P7266" s="10" t="s">
        <v>44792</v>
      </c>
      <c r="Q7266" s="10" t="s">
        <v>10135</v>
      </c>
      <c r="R7266" s="10" t="s">
        <v>75</v>
      </c>
      <c r="S7266" s="12" t="s">
        <v>44793</v>
      </c>
      <c r="T7266" s="10" t="s">
        <v>66</v>
      </c>
      <c r="U7266" s="12" t="s">
        <v>31</v>
      </c>
      <c r="V7266" s="10" t="s">
        <v>45255</v>
      </c>
      <c r="W7266" s="10" t="s">
        <v>44782</v>
      </c>
      <c r="X7266" s="13" t="str">
        <f>HYPERLINK("https://my.pitchbook.com?p=288975-16P","View People Online")</f>
        <v>View People Online</v>
      </c>
    </row>
    <row r="7267">
      <c r="A7267" s="14" t="s">
        <v>45256</v>
      </c>
      <c r="B7267" s="14" t="s">
        <v>45257</v>
      </c>
      <c r="C7267" s="14" t="s">
        <v>20238</v>
      </c>
      <c r="D7267" s="14" t="s">
        <v>1866</v>
      </c>
      <c r="E7267" s="14" t="s">
        <v>44782</v>
      </c>
      <c r="F7267" s="14" t="s">
        <v>9721</v>
      </c>
      <c r="G7267" s="14" t="s">
        <v>45258</v>
      </c>
      <c r="H7267" s="15" t="s">
        <v>31</v>
      </c>
      <c r="I7267" s="15">
        <v>1.0</v>
      </c>
      <c r="J7267" s="15">
        <v>1.0</v>
      </c>
      <c r="K7267" s="15" t="s">
        <v>31</v>
      </c>
      <c r="L7267" s="16" t="s">
        <v>44790</v>
      </c>
      <c r="M7267" s="14" t="s">
        <v>45259</v>
      </c>
      <c r="N7267" s="14" t="s">
        <v>574</v>
      </c>
      <c r="O7267" s="16" t="s">
        <v>575</v>
      </c>
      <c r="P7267" s="14" t="s">
        <v>44792</v>
      </c>
      <c r="Q7267" s="14" t="s">
        <v>10135</v>
      </c>
      <c r="R7267" s="14" t="s">
        <v>75</v>
      </c>
      <c r="S7267" s="16" t="s">
        <v>44793</v>
      </c>
      <c r="T7267" s="14" t="s">
        <v>66</v>
      </c>
      <c r="U7267" s="16" t="s">
        <v>31</v>
      </c>
      <c r="V7267" s="14" t="s">
        <v>9721</v>
      </c>
      <c r="W7267" s="14" t="s">
        <v>44782</v>
      </c>
      <c r="X7267" s="17" t="str">
        <f>HYPERLINK("https://my.pitchbook.com?p=252491-86P","View People Online")</f>
        <v>View People Online</v>
      </c>
    </row>
    <row r="7268">
      <c r="A7268" s="2" t="s">
        <v>45260</v>
      </c>
      <c r="B7268" s="2" t="s">
        <v>45261</v>
      </c>
      <c r="C7268" s="2" t="s">
        <v>132</v>
      </c>
      <c r="D7268" s="2" t="s">
        <v>45262</v>
      </c>
      <c r="E7268" s="2" t="s">
        <v>44782</v>
      </c>
      <c r="F7268" s="2" t="s">
        <v>583</v>
      </c>
      <c r="G7268" s="2" t="s">
        <v>45263</v>
      </c>
      <c r="H7268" s="3" t="s">
        <v>31</v>
      </c>
      <c r="I7268" s="3">
        <v>1.0</v>
      </c>
      <c r="J7268" s="3">
        <v>1.0</v>
      </c>
      <c r="K7268" s="3" t="s">
        <v>31</v>
      </c>
      <c r="L7268" s="4" t="s">
        <v>31</v>
      </c>
      <c r="M7268" s="2" t="s">
        <v>45264</v>
      </c>
      <c r="N7268" s="2" t="s">
        <v>39956</v>
      </c>
      <c r="O7268" s="4" t="s">
        <v>39957</v>
      </c>
      <c r="P7268" s="2" t="s">
        <v>45265</v>
      </c>
      <c r="Q7268" s="2" t="s">
        <v>31</v>
      </c>
      <c r="R7268" s="2" t="s">
        <v>24259</v>
      </c>
      <c r="S7268" s="4" t="s">
        <v>45266</v>
      </c>
      <c r="T7268" s="2" t="s">
        <v>66</v>
      </c>
      <c r="U7268" s="4" t="s">
        <v>31</v>
      </c>
      <c r="V7268" s="2" t="s">
        <v>45267</v>
      </c>
      <c r="W7268" s="2" t="s">
        <v>44782</v>
      </c>
      <c r="X7268" s="5" t="str">
        <f>HYPERLINK("https://my.pitchbook.com?p=164228-05P","View People Online")</f>
        <v>View People Online</v>
      </c>
    </row>
    <row r="7269">
      <c r="A7269" s="14" t="s">
        <v>45268</v>
      </c>
      <c r="B7269" s="14" t="s">
        <v>45269</v>
      </c>
      <c r="C7269" s="14" t="s">
        <v>167</v>
      </c>
      <c r="D7269" s="14" t="s">
        <v>45270</v>
      </c>
      <c r="E7269" s="14" t="s">
        <v>44782</v>
      </c>
      <c r="F7269" s="14" t="s">
        <v>312</v>
      </c>
      <c r="G7269" s="14" t="s">
        <v>45271</v>
      </c>
      <c r="H7269" s="15" t="s">
        <v>31</v>
      </c>
      <c r="I7269" s="15">
        <v>1.0</v>
      </c>
      <c r="J7269" s="15">
        <v>1.0</v>
      </c>
      <c r="K7269" s="15" t="s">
        <v>31</v>
      </c>
      <c r="L7269" s="16" t="s">
        <v>44790</v>
      </c>
      <c r="M7269" s="14" t="s">
        <v>45272</v>
      </c>
      <c r="N7269" s="14" t="s">
        <v>574</v>
      </c>
      <c r="O7269" s="16" t="s">
        <v>575</v>
      </c>
      <c r="P7269" s="14" t="s">
        <v>44792</v>
      </c>
      <c r="Q7269" s="14" t="s">
        <v>10135</v>
      </c>
      <c r="R7269" s="14" t="s">
        <v>75</v>
      </c>
      <c r="S7269" s="16" t="s">
        <v>44793</v>
      </c>
      <c r="T7269" s="14" t="s">
        <v>66</v>
      </c>
      <c r="U7269" s="16" t="s">
        <v>31</v>
      </c>
      <c r="V7269" s="14" t="s">
        <v>45273</v>
      </c>
      <c r="W7269" s="14" t="s">
        <v>44782</v>
      </c>
      <c r="X7269" s="17" t="str">
        <f>HYPERLINK("https://my.pitchbook.com?p=384740-65P","View People Online")</f>
        <v>View People Online</v>
      </c>
    </row>
    <row r="7270">
      <c r="A7270" s="10" t="s">
        <v>45274</v>
      </c>
      <c r="B7270" s="10" t="s">
        <v>45275</v>
      </c>
      <c r="C7270" s="10" t="s">
        <v>934</v>
      </c>
      <c r="D7270" s="10" t="s">
        <v>10527</v>
      </c>
      <c r="E7270" s="10" t="s">
        <v>44782</v>
      </c>
      <c r="F7270" s="10" t="s">
        <v>10522</v>
      </c>
      <c r="G7270" s="10" t="s">
        <v>45276</v>
      </c>
      <c r="H7270" s="11" t="s">
        <v>31</v>
      </c>
      <c r="I7270" s="11">
        <v>1.0</v>
      </c>
      <c r="J7270" s="11">
        <v>1.0</v>
      </c>
      <c r="K7270" s="11" t="s">
        <v>31</v>
      </c>
      <c r="L7270" s="12" t="s">
        <v>31</v>
      </c>
      <c r="M7270" s="10" t="s">
        <v>31</v>
      </c>
      <c r="N7270" s="10" t="s">
        <v>45075</v>
      </c>
      <c r="O7270" s="12" t="s">
        <v>45076</v>
      </c>
      <c r="P7270" s="10" t="s">
        <v>45077</v>
      </c>
      <c r="Q7270" s="10" t="s">
        <v>31</v>
      </c>
      <c r="R7270" s="10" t="s">
        <v>10017</v>
      </c>
      <c r="S7270" s="12" t="s">
        <v>45078</v>
      </c>
      <c r="T7270" s="10" t="s">
        <v>66</v>
      </c>
      <c r="U7270" s="12" t="s">
        <v>31</v>
      </c>
      <c r="V7270" s="10" t="s">
        <v>45277</v>
      </c>
      <c r="W7270" s="10" t="s">
        <v>44782</v>
      </c>
      <c r="X7270" s="13" t="str">
        <f>HYPERLINK("https://my.pitchbook.com?p=39012-40P","View People Online")</f>
        <v>View People Online</v>
      </c>
    </row>
    <row r="7271">
      <c r="A7271" s="14" t="s">
        <v>45278</v>
      </c>
      <c r="B7271" s="14" t="s">
        <v>45279</v>
      </c>
      <c r="C7271" s="14" t="s">
        <v>2388</v>
      </c>
      <c r="D7271" s="14" t="s">
        <v>33218</v>
      </c>
      <c r="E7271" s="14" t="s">
        <v>44782</v>
      </c>
      <c r="F7271" s="14" t="s">
        <v>27433</v>
      </c>
      <c r="G7271" s="14" t="s">
        <v>45280</v>
      </c>
      <c r="H7271" s="15" t="s">
        <v>31</v>
      </c>
      <c r="I7271" s="15">
        <v>1.0</v>
      </c>
      <c r="J7271" s="15">
        <v>1.0</v>
      </c>
      <c r="K7271" s="15" t="s">
        <v>31</v>
      </c>
      <c r="L7271" s="16" t="s">
        <v>44979</v>
      </c>
      <c r="M7271" s="14" t="s">
        <v>45281</v>
      </c>
      <c r="N7271" s="14" t="s">
        <v>75</v>
      </c>
      <c r="O7271" s="16" t="s">
        <v>76</v>
      </c>
      <c r="P7271" s="14" t="s">
        <v>44981</v>
      </c>
      <c r="Q7271" s="14" t="s">
        <v>31</v>
      </c>
      <c r="R7271" s="14" t="s">
        <v>75</v>
      </c>
      <c r="S7271" s="16" t="s">
        <v>1432</v>
      </c>
      <c r="T7271" s="14" t="s">
        <v>66</v>
      </c>
      <c r="U7271" s="16" t="s">
        <v>31</v>
      </c>
      <c r="V7271" s="14" t="s">
        <v>27433</v>
      </c>
      <c r="W7271" s="14" t="s">
        <v>44782</v>
      </c>
      <c r="X7271" s="17" t="str">
        <f>HYPERLINK("https://my.pitchbook.com?p=164230-21P","View People Online")</f>
        <v>View People Online</v>
      </c>
    </row>
    <row r="7272">
      <c r="A7272" s="2" t="s">
        <v>45282</v>
      </c>
      <c r="B7272" s="2" t="s">
        <v>45283</v>
      </c>
      <c r="C7272" s="2" t="s">
        <v>2388</v>
      </c>
      <c r="D7272" s="2" t="s">
        <v>12207</v>
      </c>
      <c r="E7272" s="2" t="s">
        <v>44782</v>
      </c>
      <c r="F7272" s="2" t="s">
        <v>583</v>
      </c>
      <c r="G7272" s="2" t="s">
        <v>45284</v>
      </c>
      <c r="H7272" s="3" t="s">
        <v>31</v>
      </c>
      <c r="I7272" s="3">
        <v>1.0</v>
      </c>
      <c r="J7272" s="3">
        <v>1.0</v>
      </c>
      <c r="K7272" s="3" t="s">
        <v>31</v>
      </c>
      <c r="L7272" s="4" t="s">
        <v>31</v>
      </c>
      <c r="M7272" s="2" t="s">
        <v>45285</v>
      </c>
      <c r="N7272" s="2" t="s">
        <v>45286</v>
      </c>
      <c r="O7272" s="4" t="s">
        <v>45287</v>
      </c>
      <c r="P7272" s="2" t="s">
        <v>45288</v>
      </c>
      <c r="Q7272" s="2" t="s">
        <v>31</v>
      </c>
      <c r="R7272" s="2" t="s">
        <v>75</v>
      </c>
      <c r="S7272" s="4" t="s">
        <v>45289</v>
      </c>
      <c r="T7272" s="2" t="s">
        <v>66</v>
      </c>
      <c r="U7272" s="4" t="s">
        <v>31</v>
      </c>
      <c r="V7272" s="2" t="s">
        <v>44823</v>
      </c>
      <c r="W7272" s="2" t="s">
        <v>44782</v>
      </c>
      <c r="X7272" s="5" t="str">
        <f>HYPERLINK("https://my.pitchbook.com?p=164232-10P","View People Online")</f>
        <v>View People Online</v>
      </c>
    </row>
    <row r="7273">
      <c r="A7273" s="14" t="s">
        <v>45290</v>
      </c>
      <c r="B7273" s="14" t="s">
        <v>45291</v>
      </c>
      <c r="C7273" s="14" t="s">
        <v>5219</v>
      </c>
      <c r="D7273" s="14" t="s">
        <v>119</v>
      </c>
      <c r="E7273" s="14" t="s">
        <v>44782</v>
      </c>
      <c r="F7273" s="14" t="s">
        <v>583</v>
      </c>
      <c r="G7273" s="14" t="s">
        <v>45292</v>
      </c>
      <c r="H7273" s="15" t="s">
        <v>31</v>
      </c>
      <c r="I7273" s="15">
        <v>1.0</v>
      </c>
      <c r="J7273" s="15">
        <v>1.0</v>
      </c>
      <c r="K7273" s="15" t="s">
        <v>31</v>
      </c>
      <c r="L7273" s="16" t="s">
        <v>31</v>
      </c>
      <c r="M7273" s="14" t="s">
        <v>45293</v>
      </c>
      <c r="N7273" s="14" t="s">
        <v>45294</v>
      </c>
      <c r="O7273" s="16" t="s">
        <v>45295</v>
      </c>
      <c r="P7273" s="14" t="s">
        <v>45296</v>
      </c>
      <c r="Q7273" s="14" t="s">
        <v>31</v>
      </c>
      <c r="R7273" s="14" t="s">
        <v>10017</v>
      </c>
      <c r="S7273" s="16" t="s">
        <v>45297</v>
      </c>
      <c r="T7273" s="14" t="s">
        <v>66</v>
      </c>
      <c r="U7273" s="16" t="s">
        <v>31</v>
      </c>
      <c r="V7273" s="14" t="s">
        <v>44823</v>
      </c>
      <c r="W7273" s="14" t="s">
        <v>44782</v>
      </c>
      <c r="X7273" s="17" t="str">
        <f>HYPERLINK("https://my.pitchbook.com?p=164230-93P","View People Online")</f>
        <v>View People Online</v>
      </c>
    </row>
    <row r="7274">
      <c r="A7274" s="2" t="s">
        <v>45298</v>
      </c>
      <c r="B7274" s="2" t="s">
        <v>45299</v>
      </c>
      <c r="C7274" s="2" t="s">
        <v>45300</v>
      </c>
      <c r="D7274" s="2" t="s">
        <v>3941</v>
      </c>
      <c r="E7274" s="2" t="s">
        <v>44782</v>
      </c>
      <c r="F7274" s="2" t="s">
        <v>4527</v>
      </c>
      <c r="G7274" s="2" t="s">
        <v>45301</v>
      </c>
      <c r="H7274" s="3">
        <v>3.0</v>
      </c>
      <c r="I7274" s="3">
        <v>6.0</v>
      </c>
      <c r="J7274" s="3">
        <v>1.0</v>
      </c>
      <c r="K7274" s="3">
        <v>2.0</v>
      </c>
      <c r="L7274" s="4" t="s">
        <v>45302</v>
      </c>
      <c r="M7274" s="2" t="s">
        <v>45303</v>
      </c>
      <c r="N7274" s="2" t="s">
        <v>574</v>
      </c>
      <c r="O7274" s="4" t="s">
        <v>575</v>
      </c>
      <c r="P7274" s="2" t="s">
        <v>44792</v>
      </c>
      <c r="Q7274" s="2" t="s">
        <v>10135</v>
      </c>
      <c r="R7274" s="2" t="s">
        <v>75</v>
      </c>
      <c r="S7274" s="4" t="s">
        <v>44793</v>
      </c>
      <c r="T7274" s="2" t="s">
        <v>66</v>
      </c>
      <c r="U7274" s="4" t="s">
        <v>31</v>
      </c>
      <c r="V7274" s="2" t="s">
        <v>6811</v>
      </c>
      <c r="W7274" s="2" t="s">
        <v>44782</v>
      </c>
      <c r="X7274" s="5" t="str">
        <f>HYPERLINK("https://my.pitchbook.com?p=35605-18P","View People Online")</f>
        <v>View People Online</v>
      </c>
    </row>
    <row r="7275">
      <c r="A7275" s="6" t="s">
        <v>45304</v>
      </c>
      <c r="B7275" s="6" t="s">
        <v>45305</v>
      </c>
      <c r="C7275" s="6" t="s">
        <v>9524</v>
      </c>
      <c r="D7275" s="6" t="s">
        <v>17468</v>
      </c>
      <c r="E7275" s="6" t="s">
        <v>44782</v>
      </c>
      <c r="F7275" s="6" t="s">
        <v>825</v>
      </c>
      <c r="G7275" s="6" t="s">
        <v>45306</v>
      </c>
      <c r="H7275" s="7" t="s">
        <v>31</v>
      </c>
      <c r="I7275" s="7">
        <v>1.0</v>
      </c>
      <c r="J7275" s="7">
        <v>1.0</v>
      </c>
      <c r="K7275" s="7" t="s">
        <v>31</v>
      </c>
      <c r="L7275" s="8" t="s">
        <v>44790</v>
      </c>
      <c r="M7275" s="6" t="s">
        <v>45307</v>
      </c>
      <c r="N7275" s="6" t="s">
        <v>574</v>
      </c>
      <c r="O7275" s="8" t="s">
        <v>575</v>
      </c>
      <c r="P7275" s="6" t="s">
        <v>44792</v>
      </c>
      <c r="Q7275" s="6" t="s">
        <v>10135</v>
      </c>
      <c r="R7275" s="6" t="s">
        <v>75</v>
      </c>
      <c r="S7275" s="8" t="s">
        <v>44793</v>
      </c>
      <c r="T7275" s="6" t="s">
        <v>66</v>
      </c>
      <c r="U7275" s="8" t="s">
        <v>31</v>
      </c>
      <c r="V7275" s="6" t="s">
        <v>45308</v>
      </c>
      <c r="W7275" s="6" t="s">
        <v>44782</v>
      </c>
      <c r="X7275" s="9" t="str">
        <f>HYPERLINK("https://my.pitchbook.com?p=428372-92P","View People Online")</f>
        <v>View People Online</v>
      </c>
    </row>
    <row r="7276">
      <c r="A7276" s="2" t="s">
        <v>45309</v>
      </c>
      <c r="B7276" s="2" t="s">
        <v>45310</v>
      </c>
      <c r="C7276" s="2" t="s">
        <v>395</v>
      </c>
      <c r="D7276" s="2" t="s">
        <v>45311</v>
      </c>
      <c r="E7276" s="2" t="s">
        <v>44782</v>
      </c>
      <c r="F7276" s="2" t="s">
        <v>45312</v>
      </c>
      <c r="G7276" s="2" t="s">
        <v>45313</v>
      </c>
      <c r="H7276" s="3" t="s">
        <v>31</v>
      </c>
      <c r="I7276" s="3">
        <v>1.0</v>
      </c>
      <c r="J7276" s="3">
        <v>1.0</v>
      </c>
      <c r="K7276" s="3" t="s">
        <v>31</v>
      </c>
      <c r="L7276" s="4" t="s">
        <v>44790</v>
      </c>
      <c r="M7276" s="2" t="s">
        <v>45314</v>
      </c>
      <c r="N7276" s="2" t="s">
        <v>574</v>
      </c>
      <c r="O7276" s="4" t="s">
        <v>575</v>
      </c>
      <c r="P7276" s="2" t="s">
        <v>44792</v>
      </c>
      <c r="Q7276" s="2" t="s">
        <v>10135</v>
      </c>
      <c r="R7276" s="2" t="s">
        <v>75</v>
      </c>
      <c r="S7276" s="4" t="s">
        <v>44793</v>
      </c>
      <c r="T7276" s="2" t="s">
        <v>66</v>
      </c>
      <c r="U7276" s="4" t="s">
        <v>31</v>
      </c>
      <c r="V7276" s="2" t="s">
        <v>45315</v>
      </c>
      <c r="W7276" s="2" t="s">
        <v>44782</v>
      </c>
      <c r="X7276" s="5" t="str">
        <f>HYPERLINK("https://my.pitchbook.com?p=113590-45P","View People Online")</f>
        <v>View People Online</v>
      </c>
    </row>
    <row r="7277">
      <c r="A7277" s="6" t="s">
        <v>45316</v>
      </c>
      <c r="B7277" s="6" t="s">
        <v>45317</v>
      </c>
      <c r="C7277" s="6" t="s">
        <v>536</v>
      </c>
      <c r="D7277" s="6" t="s">
        <v>45318</v>
      </c>
      <c r="E7277" s="6" t="s">
        <v>44782</v>
      </c>
      <c r="F7277" s="6" t="s">
        <v>45319</v>
      </c>
      <c r="G7277" s="6" t="s">
        <v>45320</v>
      </c>
      <c r="H7277" s="7" t="s">
        <v>31</v>
      </c>
      <c r="I7277" s="7">
        <v>1.0</v>
      </c>
      <c r="J7277" s="7">
        <v>1.0</v>
      </c>
      <c r="K7277" s="7" t="s">
        <v>31</v>
      </c>
      <c r="L7277" s="8" t="s">
        <v>44790</v>
      </c>
      <c r="M7277" s="6" t="s">
        <v>31</v>
      </c>
      <c r="N7277" s="6" t="s">
        <v>574</v>
      </c>
      <c r="O7277" s="8" t="s">
        <v>575</v>
      </c>
      <c r="P7277" s="6" t="s">
        <v>44792</v>
      </c>
      <c r="Q7277" s="6" t="s">
        <v>10135</v>
      </c>
      <c r="R7277" s="6" t="s">
        <v>75</v>
      </c>
      <c r="S7277" s="8" t="s">
        <v>44793</v>
      </c>
      <c r="T7277" s="6" t="s">
        <v>66</v>
      </c>
      <c r="U7277" s="8" t="s">
        <v>31</v>
      </c>
      <c r="V7277" s="6" t="s">
        <v>45321</v>
      </c>
      <c r="W7277" s="6" t="s">
        <v>44782</v>
      </c>
      <c r="X7277" s="9" t="str">
        <f>HYPERLINK("https://my.pitchbook.com?p=36228-52P","View People Online")</f>
        <v>View People Online</v>
      </c>
    </row>
    <row r="7278">
      <c r="A7278" s="10" t="s">
        <v>45322</v>
      </c>
      <c r="B7278" s="10" t="s">
        <v>45323</v>
      </c>
      <c r="C7278" s="10" t="s">
        <v>536</v>
      </c>
      <c r="D7278" s="10" t="s">
        <v>45324</v>
      </c>
      <c r="E7278" s="10" t="s">
        <v>44782</v>
      </c>
      <c r="F7278" s="10" t="s">
        <v>5086</v>
      </c>
      <c r="G7278" s="10" t="s">
        <v>45325</v>
      </c>
      <c r="H7278" s="11" t="s">
        <v>31</v>
      </c>
      <c r="I7278" s="11">
        <v>1.0</v>
      </c>
      <c r="J7278" s="11">
        <v>1.0</v>
      </c>
      <c r="K7278" s="11" t="s">
        <v>31</v>
      </c>
      <c r="L7278" s="12" t="s">
        <v>31</v>
      </c>
      <c r="M7278" s="10" t="s">
        <v>45326</v>
      </c>
      <c r="N7278" s="10" t="s">
        <v>44944</v>
      </c>
      <c r="O7278" s="12" t="s">
        <v>44945</v>
      </c>
      <c r="P7278" s="10" t="s">
        <v>31</v>
      </c>
      <c r="Q7278" s="10" t="s">
        <v>31</v>
      </c>
      <c r="R7278" s="10" t="s">
        <v>209</v>
      </c>
      <c r="S7278" s="12" t="s">
        <v>31</v>
      </c>
      <c r="T7278" s="10" t="s">
        <v>66</v>
      </c>
      <c r="U7278" s="12" t="s">
        <v>31</v>
      </c>
      <c r="V7278" s="10" t="s">
        <v>45327</v>
      </c>
      <c r="W7278" s="10" t="s">
        <v>44782</v>
      </c>
      <c r="X7278" s="13" t="str">
        <f>HYPERLINK("https://my.pitchbook.com?p=114306-40P","View People Online")</f>
        <v>View People Online</v>
      </c>
    </row>
    <row r="7279">
      <c r="A7279" s="14" t="s">
        <v>45328</v>
      </c>
      <c r="B7279" s="14" t="s">
        <v>45329</v>
      </c>
      <c r="C7279" s="14" t="s">
        <v>180</v>
      </c>
      <c r="D7279" s="14" t="s">
        <v>45330</v>
      </c>
      <c r="E7279" s="14" t="s">
        <v>44782</v>
      </c>
      <c r="F7279" s="14" t="s">
        <v>270</v>
      </c>
      <c r="G7279" s="14" t="s">
        <v>45331</v>
      </c>
      <c r="H7279" s="15" t="s">
        <v>31</v>
      </c>
      <c r="I7279" s="15">
        <v>1.0</v>
      </c>
      <c r="J7279" s="15">
        <v>1.0</v>
      </c>
      <c r="K7279" s="15" t="s">
        <v>31</v>
      </c>
      <c r="L7279" s="16" t="s">
        <v>44790</v>
      </c>
      <c r="M7279" s="14" t="s">
        <v>45332</v>
      </c>
      <c r="N7279" s="14" t="s">
        <v>574</v>
      </c>
      <c r="O7279" s="16" t="s">
        <v>575</v>
      </c>
      <c r="P7279" s="14" t="s">
        <v>44792</v>
      </c>
      <c r="Q7279" s="14" t="s">
        <v>10135</v>
      </c>
      <c r="R7279" s="14" t="s">
        <v>75</v>
      </c>
      <c r="S7279" s="16" t="s">
        <v>44793</v>
      </c>
      <c r="T7279" s="14" t="s">
        <v>66</v>
      </c>
      <c r="U7279" s="16" t="s">
        <v>31</v>
      </c>
      <c r="V7279" s="14" t="s">
        <v>45333</v>
      </c>
      <c r="W7279" s="14" t="s">
        <v>44782</v>
      </c>
      <c r="X7279" s="17" t="str">
        <f>HYPERLINK("https://my.pitchbook.com?p=324980-56P","View People Online")</f>
        <v>View People Online</v>
      </c>
    </row>
    <row r="7280">
      <c r="A7280" s="10" t="s">
        <v>45334</v>
      </c>
      <c r="B7280" s="10" t="s">
        <v>45335</v>
      </c>
      <c r="C7280" s="10" t="s">
        <v>1376</v>
      </c>
      <c r="D7280" s="10" t="s">
        <v>45336</v>
      </c>
      <c r="E7280" s="10" t="s">
        <v>44782</v>
      </c>
      <c r="F7280" s="10" t="s">
        <v>1801</v>
      </c>
      <c r="G7280" s="10" t="s">
        <v>45337</v>
      </c>
      <c r="H7280" s="11" t="s">
        <v>31</v>
      </c>
      <c r="I7280" s="11">
        <v>1.0</v>
      </c>
      <c r="J7280" s="11">
        <v>1.0</v>
      </c>
      <c r="K7280" s="11" t="s">
        <v>31</v>
      </c>
      <c r="L7280" s="12" t="s">
        <v>44790</v>
      </c>
      <c r="M7280" s="10" t="s">
        <v>45338</v>
      </c>
      <c r="N7280" s="10" t="s">
        <v>574</v>
      </c>
      <c r="O7280" s="12" t="s">
        <v>575</v>
      </c>
      <c r="P7280" s="10" t="s">
        <v>44792</v>
      </c>
      <c r="Q7280" s="10" t="s">
        <v>10135</v>
      </c>
      <c r="R7280" s="10" t="s">
        <v>75</v>
      </c>
      <c r="S7280" s="12" t="s">
        <v>44793</v>
      </c>
      <c r="T7280" s="10" t="s">
        <v>66</v>
      </c>
      <c r="U7280" s="12" t="s">
        <v>31</v>
      </c>
      <c r="V7280" s="10" t="s">
        <v>45339</v>
      </c>
      <c r="W7280" s="10" t="s">
        <v>44782</v>
      </c>
      <c r="X7280" s="13" t="str">
        <f>HYPERLINK("https://my.pitchbook.com?p=114307-30P","View People Online")</f>
        <v>View People Online</v>
      </c>
    </row>
    <row r="7281">
      <c r="A7281" s="6" t="s">
        <v>45340</v>
      </c>
      <c r="B7281" s="6" t="s">
        <v>45341</v>
      </c>
      <c r="C7281" s="6" t="s">
        <v>1388</v>
      </c>
      <c r="D7281" s="6" t="s">
        <v>45342</v>
      </c>
      <c r="E7281" s="6" t="s">
        <v>44782</v>
      </c>
      <c r="F7281" s="6" t="s">
        <v>4997</v>
      </c>
      <c r="G7281" s="6" t="s">
        <v>45343</v>
      </c>
      <c r="H7281" s="7" t="s">
        <v>31</v>
      </c>
      <c r="I7281" s="7">
        <v>1.0</v>
      </c>
      <c r="J7281" s="7">
        <v>1.0</v>
      </c>
      <c r="K7281" s="7" t="s">
        <v>31</v>
      </c>
      <c r="L7281" s="8" t="s">
        <v>31</v>
      </c>
      <c r="M7281" s="6" t="s">
        <v>45344</v>
      </c>
      <c r="N7281" s="6" t="s">
        <v>45075</v>
      </c>
      <c r="O7281" s="8" t="s">
        <v>45076</v>
      </c>
      <c r="P7281" s="6" t="s">
        <v>45077</v>
      </c>
      <c r="Q7281" s="6" t="s">
        <v>31</v>
      </c>
      <c r="R7281" s="6" t="s">
        <v>10017</v>
      </c>
      <c r="S7281" s="8" t="s">
        <v>45078</v>
      </c>
      <c r="T7281" s="6" t="s">
        <v>66</v>
      </c>
      <c r="U7281" s="8" t="s">
        <v>31</v>
      </c>
      <c r="V7281" s="6" t="s">
        <v>45345</v>
      </c>
      <c r="W7281" s="6" t="s">
        <v>44782</v>
      </c>
      <c r="X7281" s="9" t="str">
        <f>HYPERLINK("https://my.pitchbook.com?p=170670-43P","View People Online")</f>
        <v>View People Online</v>
      </c>
    </row>
    <row r="7282">
      <c r="A7282" s="10" t="s">
        <v>45346</v>
      </c>
      <c r="B7282" s="10" t="s">
        <v>45347</v>
      </c>
      <c r="C7282" s="10" t="s">
        <v>1388</v>
      </c>
      <c r="D7282" s="10" t="s">
        <v>45348</v>
      </c>
      <c r="E7282" s="10" t="s">
        <v>44782</v>
      </c>
      <c r="F7282" s="10" t="s">
        <v>270</v>
      </c>
      <c r="G7282" s="10" t="s">
        <v>45349</v>
      </c>
      <c r="H7282" s="11" t="s">
        <v>31</v>
      </c>
      <c r="I7282" s="11">
        <v>1.0</v>
      </c>
      <c r="J7282" s="11">
        <v>1.0</v>
      </c>
      <c r="K7282" s="11" t="s">
        <v>31</v>
      </c>
      <c r="L7282" s="12" t="s">
        <v>45350</v>
      </c>
      <c r="M7282" s="10" t="s">
        <v>45351</v>
      </c>
      <c r="N7282" s="10" t="s">
        <v>574</v>
      </c>
      <c r="O7282" s="12" t="s">
        <v>575</v>
      </c>
      <c r="P7282" s="10" t="s">
        <v>44792</v>
      </c>
      <c r="Q7282" s="10" t="s">
        <v>10135</v>
      </c>
      <c r="R7282" s="10" t="s">
        <v>75</v>
      </c>
      <c r="S7282" s="12" t="s">
        <v>44793</v>
      </c>
      <c r="T7282" s="10" t="s">
        <v>66</v>
      </c>
      <c r="U7282" s="12" t="s">
        <v>31</v>
      </c>
      <c r="V7282" s="10" t="s">
        <v>29094</v>
      </c>
      <c r="W7282" s="10" t="s">
        <v>44782</v>
      </c>
      <c r="X7282" s="13" t="str">
        <f>HYPERLINK("https://my.pitchbook.com?p=210765-52P","View People Online")</f>
        <v>View People Online</v>
      </c>
    </row>
    <row r="7283">
      <c r="A7283" s="14" t="s">
        <v>45352</v>
      </c>
      <c r="B7283" s="14" t="s">
        <v>45353</v>
      </c>
      <c r="C7283" s="14" t="s">
        <v>6855</v>
      </c>
      <c r="D7283" s="14" t="s">
        <v>2155</v>
      </c>
      <c r="E7283" s="14" t="s">
        <v>44782</v>
      </c>
      <c r="F7283" s="14" t="s">
        <v>45354</v>
      </c>
      <c r="G7283" s="14" t="s">
        <v>45355</v>
      </c>
      <c r="H7283" s="15" t="s">
        <v>31</v>
      </c>
      <c r="I7283" s="15">
        <v>1.0</v>
      </c>
      <c r="J7283" s="15">
        <v>1.0</v>
      </c>
      <c r="K7283" s="15" t="s">
        <v>31</v>
      </c>
      <c r="L7283" s="16" t="s">
        <v>44790</v>
      </c>
      <c r="M7283" s="14" t="s">
        <v>45356</v>
      </c>
      <c r="N7283" s="14" t="s">
        <v>574</v>
      </c>
      <c r="O7283" s="16" t="s">
        <v>575</v>
      </c>
      <c r="P7283" s="14" t="s">
        <v>44792</v>
      </c>
      <c r="Q7283" s="14" t="s">
        <v>10135</v>
      </c>
      <c r="R7283" s="14" t="s">
        <v>75</v>
      </c>
      <c r="S7283" s="16" t="s">
        <v>44793</v>
      </c>
      <c r="T7283" s="14" t="s">
        <v>66</v>
      </c>
      <c r="U7283" s="16" t="s">
        <v>31</v>
      </c>
      <c r="V7283" s="14" t="s">
        <v>45357</v>
      </c>
      <c r="W7283" s="14" t="s">
        <v>44782</v>
      </c>
      <c r="X7283" s="17" t="str">
        <f>HYPERLINK("https://my.pitchbook.com?p=447697-63P","View People Online")</f>
        <v>View People Online</v>
      </c>
    </row>
    <row r="7284">
      <c r="A7284" s="10" t="s">
        <v>45358</v>
      </c>
      <c r="B7284" s="10" t="s">
        <v>45359</v>
      </c>
      <c r="C7284" s="10" t="s">
        <v>6199</v>
      </c>
      <c r="D7284" s="10" t="s">
        <v>45360</v>
      </c>
      <c r="E7284" s="10" t="s">
        <v>44782</v>
      </c>
      <c r="F7284" s="10" t="s">
        <v>583</v>
      </c>
      <c r="G7284" s="10" t="s">
        <v>45361</v>
      </c>
      <c r="H7284" s="11" t="s">
        <v>31</v>
      </c>
      <c r="I7284" s="11">
        <v>1.0</v>
      </c>
      <c r="J7284" s="11">
        <v>1.0</v>
      </c>
      <c r="K7284" s="11" t="s">
        <v>31</v>
      </c>
      <c r="L7284" s="12" t="s">
        <v>44790</v>
      </c>
      <c r="M7284" s="10" t="s">
        <v>45362</v>
      </c>
      <c r="N7284" s="10" t="s">
        <v>574</v>
      </c>
      <c r="O7284" s="12" t="s">
        <v>575</v>
      </c>
      <c r="P7284" s="10" t="s">
        <v>44792</v>
      </c>
      <c r="Q7284" s="10" t="s">
        <v>10135</v>
      </c>
      <c r="R7284" s="10" t="s">
        <v>75</v>
      </c>
      <c r="S7284" s="12" t="s">
        <v>44793</v>
      </c>
      <c r="T7284" s="10" t="s">
        <v>66</v>
      </c>
      <c r="U7284" s="12" t="s">
        <v>31</v>
      </c>
      <c r="V7284" s="10" t="s">
        <v>583</v>
      </c>
      <c r="W7284" s="10" t="s">
        <v>44782</v>
      </c>
      <c r="X7284" s="13" t="str">
        <f>HYPERLINK("https://my.pitchbook.com?p=418640-77P","View People Online")</f>
        <v>View People Online</v>
      </c>
    </row>
    <row r="7285">
      <c r="A7285" s="6" t="s">
        <v>45363</v>
      </c>
      <c r="B7285" s="6" t="s">
        <v>45364</v>
      </c>
      <c r="C7285" s="6" t="s">
        <v>562</v>
      </c>
      <c r="D7285" s="6" t="s">
        <v>45365</v>
      </c>
      <c r="E7285" s="6" t="s">
        <v>44782</v>
      </c>
      <c r="F7285" s="6" t="s">
        <v>583</v>
      </c>
      <c r="G7285" s="6" t="s">
        <v>45366</v>
      </c>
      <c r="H7285" s="7" t="s">
        <v>31</v>
      </c>
      <c r="I7285" s="7">
        <v>1.0</v>
      </c>
      <c r="J7285" s="7">
        <v>1.0</v>
      </c>
      <c r="K7285" s="7" t="s">
        <v>31</v>
      </c>
      <c r="L7285" s="8" t="s">
        <v>31</v>
      </c>
      <c r="M7285" s="6" t="s">
        <v>45367</v>
      </c>
      <c r="N7285" s="6" t="s">
        <v>31813</v>
      </c>
      <c r="O7285" s="8" t="s">
        <v>31814</v>
      </c>
      <c r="P7285" s="6" t="s">
        <v>45368</v>
      </c>
      <c r="Q7285" s="6" t="s">
        <v>31</v>
      </c>
      <c r="R7285" s="6" t="s">
        <v>209</v>
      </c>
      <c r="S7285" s="8" t="s">
        <v>31816</v>
      </c>
      <c r="T7285" s="6" t="s">
        <v>66</v>
      </c>
      <c r="U7285" s="8" t="s">
        <v>31</v>
      </c>
      <c r="V7285" s="6" t="s">
        <v>44823</v>
      </c>
      <c r="W7285" s="6" t="s">
        <v>44782</v>
      </c>
      <c r="X7285" s="9" t="str">
        <f>HYPERLINK("https://my.pitchbook.com?p=164229-67P","View People Online")</f>
        <v>View People Online</v>
      </c>
    </row>
    <row r="7286">
      <c r="A7286" s="10" t="s">
        <v>45369</v>
      </c>
      <c r="B7286" s="10" t="s">
        <v>45370</v>
      </c>
      <c r="C7286" s="10" t="s">
        <v>2483</v>
      </c>
      <c r="D7286" s="10" t="s">
        <v>45371</v>
      </c>
      <c r="E7286" s="10" t="s">
        <v>44782</v>
      </c>
      <c r="F7286" s="10" t="s">
        <v>45372</v>
      </c>
      <c r="G7286" s="10" t="s">
        <v>45373</v>
      </c>
      <c r="H7286" s="11" t="s">
        <v>31</v>
      </c>
      <c r="I7286" s="11">
        <v>4.0</v>
      </c>
      <c r="J7286" s="11">
        <v>1.0</v>
      </c>
      <c r="K7286" s="11">
        <v>1.0</v>
      </c>
      <c r="L7286" s="12" t="s">
        <v>44790</v>
      </c>
      <c r="M7286" s="10" t="s">
        <v>45374</v>
      </c>
      <c r="N7286" s="10" t="s">
        <v>574</v>
      </c>
      <c r="O7286" s="12" t="s">
        <v>575</v>
      </c>
      <c r="P7286" s="10" t="s">
        <v>44792</v>
      </c>
      <c r="Q7286" s="10" t="s">
        <v>10135</v>
      </c>
      <c r="R7286" s="10" t="s">
        <v>75</v>
      </c>
      <c r="S7286" s="12" t="s">
        <v>44793</v>
      </c>
      <c r="T7286" s="10" t="s">
        <v>66</v>
      </c>
      <c r="U7286" s="12" t="s">
        <v>31</v>
      </c>
      <c r="V7286" s="10" t="s">
        <v>45375</v>
      </c>
      <c r="W7286" s="10" t="s">
        <v>44782</v>
      </c>
      <c r="X7286" s="13" t="str">
        <f>HYPERLINK("https://my.pitchbook.com?p=288363-88P","View People Online")</f>
        <v>View People Online</v>
      </c>
    </row>
    <row r="7287">
      <c r="A7287" s="6" t="s">
        <v>45376</v>
      </c>
      <c r="B7287" s="6" t="s">
        <v>45377</v>
      </c>
      <c r="C7287" s="6" t="s">
        <v>1066</v>
      </c>
      <c r="D7287" s="6" t="s">
        <v>8037</v>
      </c>
      <c r="E7287" s="6" t="s">
        <v>44782</v>
      </c>
      <c r="F7287" s="6" t="s">
        <v>29076</v>
      </c>
      <c r="G7287" s="6" t="s">
        <v>45378</v>
      </c>
      <c r="H7287" s="7" t="s">
        <v>31</v>
      </c>
      <c r="I7287" s="7">
        <v>1.0</v>
      </c>
      <c r="J7287" s="7">
        <v>1.0</v>
      </c>
      <c r="K7287" s="7" t="s">
        <v>31</v>
      </c>
      <c r="L7287" s="8" t="s">
        <v>44790</v>
      </c>
      <c r="M7287" s="6" t="s">
        <v>45379</v>
      </c>
      <c r="N7287" s="6" t="s">
        <v>574</v>
      </c>
      <c r="O7287" s="8" t="s">
        <v>575</v>
      </c>
      <c r="P7287" s="6" t="s">
        <v>44792</v>
      </c>
      <c r="Q7287" s="6" t="s">
        <v>10135</v>
      </c>
      <c r="R7287" s="6" t="s">
        <v>75</v>
      </c>
      <c r="S7287" s="8" t="s">
        <v>44793</v>
      </c>
      <c r="T7287" s="6" t="s">
        <v>66</v>
      </c>
      <c r="U7287" s="8" t="s">
        <v>31</v>
      </c>
      <c r="V7287" s="6" t="s">
        <v>29076</v>
      </c>
      <c r="W7287" s="6" t="s">
        <v>44782</v>
      </c>
      <c r="X7287" s="9" t="str">
        <f>HYPERLINK("https://my.pitchbook.com?p=287327-71P","View People Online")</f>
        <v>View People Online</v>
      </c>
    </row>
    <row r="7288">
      <c r="A7288" s="2" t="s">
        <v>45380</v>
      </c>
      <c r="B7288" s="2" t="s">
        <v>45381</v>
      </c>
      <c r="C7288" s="2" t="s">
        <v>1830</v>
      </c>
      <c r="D7288" s="2" t="s">
        <v>43471</v>
      </c>
      <c r="E7288" s="2" t="s">
        <v>44782</v>
      </c>
      <c r="F7288" s="2" t="s">
        <v>371</v>
      </c>
      <c r="G7288" s="2" t="s">
        <v>45382</v>
      </c>
      <c r="H7288" s="3" t="s">
        <v>31</v>
      </c>
      <c r="I7288" s="3">
        <v>1.0</v>
      </c>
      <c r="J7288" s="3">
        <v>1.0</v>
      </c>
      <c r="K7288" s="3" t="s">
        <v>31</v>
      </c>
      <c r="L7288" s="4" t="s">
        <v>44790</v>
      </c>
      <c r="M7288" s="2" t="s">
        <v>45383</v>
      </c>
      <c r="N7288" s="2" t="s">
        <v>574</v>
      </c>
      <c r="O7288" s="4" t="s">
        <v>575</v>
      </c>
      <c r="P7288" s="2" t="s">
        <v>44792</v>
      </c>
      <c r="Q7288" s="2" t="s">
        <v>10135</v>
      </c>
      <c r="R7288" s="2" t="s">
        <v>75</v>
      </c>
      <c r="S7288" s="4" t="s">
        <v>44793</v>
      </c>
      <c r="T7288" s="2" t="s">
        <v>66</v>
      </c>
      <c r="U7288" s="4" t="s">
        <v>31</v>
      </c>
      <c r="V7288" s="2" t="s">
        <v>371</v>
      </c>
      <c r="W7288" s="2" t="s">
        <v>44782</v>
      </c>
      <c r="X7288" s="5" t="str">
        <f>HYPERLINK("https://my.pitchbook.com?p=384416-74P","View People Online")</f>
        <v>View People Online</v>
      </c>
    </row>
    <row r="7289">
      <c r="A7289" s="14" t="s">
        <v>45384</v>
      </c>
      <c r="B7289" s="14" t="s">
        <v>45385</v>
      </c>
      <c r="C7289" s="14" t="s">
        <v>38567</v>
      </c>
      <c r="D7289" s="14" t="s">
        <v>45386</v>
      </c>
      <c r="E7289" s="14" t="s">
        <v>44782</v>
      </c>
      <c r="F7289" s="14" t="s">
        <v>45387</v>
      </c>
      <c r="G7289" s="14" t="s">
        <v>45388</v>
      </c>
      <c r="H7289" s="15" t="s">
        <v>31</v>
      </c>
      <c r="I7289" s="15">
        <v>1.0</v>
      </c>
      <c r="J7289" s="15">
        <v>1.0</v>
      </c>
      <c r="K7289" s="15" t="s">
        <v>31</v>
      </c>
      <c r="L7289" s="16" t="s">
        <v>44790</v>
      </c>
      <c r="M7289" s="14" t="s">
        <v>45389</v>
      </c>
      <c r="N7289" s="14" t="s">
        <v>574</v>
      </c>
      <c r="O7289" s="16" t="s">
        <v>575</v>
      </c>
      <c r="P7289" s="14" t="s">
        <v>44792</v>
      </c>
      <c r="Q7289" s="14" t="s">
        <v>10135</v>
      </c>
      <c r="R7289" s="14" t="s">
        <v>75</v>
      </c>
      <c r="S7289" s="16" t="s">
        <v>44793</v>
      </c>
      <c r="T7289" s="14" t="s">
        <v>66</v>
      </c>
      <c r="U7289" s="16" t="s">
        <v>31</v>
      </c>
      <c r="V7289" s="14" t="s">
        <v>45390</v>
      </c>
      <c r="W7289" s="14" t="s">
        <v>44782</v>
      </c>
      <c r="X7289" s="17" t="str">
        <f>HYPERLINK("https://my.pitchbook.com?p=242767-36P","View People Online")</f>
        <v>View People Online</v>
      </c>
    </row>
    <row r="7290">
      <c r="A7290" s="10" t="s">
        <v>45391</v>
      </c>
      <c r="B7290" s="10" t="s">
        <v>45392</v>
      </c>
      <c r="C7290" s="10" t="s">
        <v>45393</v>
      </c>
      <c r="D7290" s="10" t="s">
        <v>17850</v>
      </c>
      <c r="E7290" s="10" t="s">
        <v>44782</v>
      </c>
      <c r="F7290" s="10" t="s">
        <v>270</v>
      </c>
      <c r="G7290" s="10" t="s">
        <v>45394</v>
      </c>
      <c r="H7290" s="11" t="s">
        <v>31</v>
      </c>
      <c r="I7290" s="11">
        <v>1.0</v>
      </c>
      <c r="J7290" s="11">
        <v>1.0</v>
      </c>
      <c r="K7290" s="11" t="s">
        <v>31</v>
      </c>
      <c r="L7290" s="12" t="s">
        <v>31</v>
      </c>
      <c r="M7290" s="10" t="s">
        <v>45395</v>
      </c>
      <c r="N7290" s="10" t="s">
        <v>41395</v>
      </c>
      <c r="O7290" s="12" t="s">
        <v>41396</v>
      </c>
      <c r="P7290" s="10" t="s">
        <v>45185</v>
      </c>
      <c r="Q7290" s="10" t="s">
        <v>31</v>
      </c>
      <c r="R7290" s="10" t="s">
        <v>10326</v>
      </c>
      <c r="S7290" s="12" t="s">
        <v>41398</v>
      </c>
      <c r="T7290" s="10" t="s">
        <v>66</v>
      </c>
      <c r="U7290" s="12" t="s">
        <v>31</v>
      </c>
      <c r="V7290" s="10" t="s">
        <v>45396</v>
      </c>
      <c r="W7290" s="10" t="s">
        <v>44782</v>
      </c>
      <c r="X7290" s="13" t="str">
        <f>HYPERLINK("https://my.pitchbook.com?p=279438-76P","View People Online")</f>
        <v>View People Online</v>
      </c>
    </row>
    <row r="7291">
      <c r="A7291" s="6" t="s">
        <v>45397</v>
      </c>
      <c r="B7291" s="6" t="s">
        <v>45398</v>
      </c>
      <c r="C7291" s="6" t="s">
        <v>10780</v>
      </c>
      <c r="D7291" s="6" t="s">
        <v>45399</v>
      </c>
      <c r="E7291" s="6" t="s">
        <v>45400</v>
      </c>
      <c r="F7291" s="6" t="s">
        <v>57</v>
      </c>
      <c r="G7291" s="6" t="s">
        <v>45401</v>
      </c>
      <c r="H7291" s="7">
        <v>2.0</v>
      </c>
      <c r="I7291" s="7">
        <v>11.0</v>
      </c>
      <c r="J7291" s="7">
        <v>1.0</v>
      </c>
      <c r="K7291" s="7">
        <v>6.0</v>
      </c>
      <c r="L7291" s="8" t="s">
        <v>45402</v>
      </c>
      <c r="M7291" s="6" t="s">
        <v>45403</v>
      </c>
      <c r="N7291" s="6" t="s">
        <v>10742</v>
      </c>
      <c r="O7291" s="8" t="s">
        <v>10743</v>
      </c>
      <c r="P7291" s="6" t="s">
        <v>45404</v>
      </c>
      <c r="Q7291" s="6" t="s">
        <v>45405</v>
      </c>
      <c r="R7291" s="6" t="s">
        <v>10745</v>
      </c>
      <c r="S7291" s="8" t="s">
        <v>45406</v>
      </c>
      <c r="T7291" s="6" t="s">
        <v>1019</v>
      </c>
      <c r="U7291" s="8" t="s">
        <v>45407</v>
      </c>
      <c r="V7291" s="6" t="s">
        <v>57</v>
      </c>
      <c r="W7291" s="6" t="s">
        <v>45400</v>
      </c>
      <c r="X7291" s="9" t="str">
        <f>HYPERLINK("https://my.pitchbook.com?p=166633-12P","View People Online")</f>
        <v>View People Online</v>
      </c>
    </row>
    <row r="7292">
      <c r="A7292" s="2" t="s">
        <v>45408</v>
      </c>
      <c r="B7292" s="2" t="s">
        <v>45409</v>
      </c>
      <c r="C7292" s="2" t="s">
        <v>45410</v>
      </c>
      <c r="D7292" s="2" t="s">
        <v>45411</v>
      </c>
      <c r="E7292" s="2" t="s">
        <v>45400</v>
      </c>
      <c r="F7292" s="2" t="s">
        <v>667</v>
      </c>
      <c r="G7292" s="2" t="s">
        <v>45412</v>
      </c>
      <c r="H7292" s="3" t="s">
        <v>31</v>
      </c>
      <c r="I7292" s="3">
        <v>1.0</v>
      </c>
      <c r="J7292" s="3">
        <v>1.0</v>
      </c>
      <c r="K7292" s="3" t="s">
        <v>31</v>
      </c>
      <c r="L7292" s="4" t="s">
        <v>45402</v>
      </c>
      <c r="M7292" s="2" t="s">
        <v>45413</v>
      </c>
      <c r="N7292" s="2" t="s">
        <v>10742</v>
      </c>
      <c r="O7292" s="4" t="s">
        <v>10743</v>
      </c>
      <c r="P7292" s="2" t="s">
        <v>45404</v>
      </c>
      <c r="Q7292" s="2" t="s">
        <v>45405</v>
      </c>
      <c r="R7292" s="2" t="s">
        <v>10745</v>
      </c>
      <c r="S7292" s="4" t="s">
        <v>45406</v>
      </c>
      <c r="T7292" s="2" t="s">
        <v>1019</v>
      </c>
      <c r="U7292" s="4" t="s">
        <v>45407</v>
      </c>
      <c r="V7292" s="2" t="s">
        <v>667</v>
      </c>
      <c r="W7292" s="2" t="s">
        <v>45400</v>
      </c>
      <c r="X7292" s="5" t="str">
        <f>HYPERLINK("https://my.pitchbook.com?p=399126-16P","View People Online")</f>
        <v>View People Online</v>
      </c>
    </row>
    <row r="7293">
      <c r="A7293" s="14" t="s">
        <v>45414</v>
      </c>
      <c r="B7293" s="14" t="s">
        <v>45415</v>
      </c>
      <c r="C7293" s="14" t="s">
        <v>5488</v>
      </c>
      <c r="D7293" s="14" t="s">
        <v>45416</v>
      </c>
      <c r="E7293" s="14" t="s">
        <v>45400</v>
      </c>
      <c r="F7293" s="14" t="s">
        <v>29</v>
      </c>
      <c r="G7293" s="14" t="s">
        <v>45417</v>
      </c>
      <c r="H7293" s="15">
        <v>1.0</v>
      </c>
      <c r="I7293" s="15">
        <v>5.0</v>
      </c>
      <c r="J7293" s="15">
        <v>2.0</v>
      </c>
      <c r="K7293" s="15">
        <v>2.0</v>
      </c>
      <c r="L7293" s="16" t="s">
        <v>45402</v>
      </c>
      <c r="M7293" s="14" t="s">
        <v>45418</v>
      </c>
      <c r="N7293" s="14" t="s">
        <v>10742</v>
      </c>
      <c r="O7293" s="16" t="s">
        <v>10743</v>
      </c>
      <c r="P7293" s="14" t="s">
        <v>45404</v>
      </c>
      <c r="Q7293" s="14" t="s">
        <v>45405</v>
      </c>
      <c r="R7293" s="14" t="s">
        <v>10745</v>
      </c>
      <c r="S7293" s="16" t="s">
        <v>45406</v>
      </c>
      <c r="T7293" s="14" t="s">
        <v>1019</v>
      </c>
      <c r="U7293" s="16" t="s">
        <v>45407</v>
      </c>
      <c r="V7293" s="14" t="s">
        <v>29</v>
      </c>
      <c r="W7293" s="14" t="s">
        <v>45400</v>
      </c>
      <c r="X7293" s="17" t="str">
        <f>HYPERLINK("https://my.pitchbook.com?p=166635-01P","View People Online")</f>
        <v>View People Online</v>
      </c>
    </row>
    <row r="7294">
      <c r="A7294" s="2" t="s">
        <v>45419</v>
      </c>
      <c r="B7294" s="2" t="s">
        <v>45420</v>
      </c>
      <c r="C7294" s="2" t="s">
        <v>7901</v>
      </c>
      <c r="D7294" s="2" t="s">
        <v>45421</v>
      </c>
      <c r="E7294" s="2" t="s">
        <v>45400</v>
      </c>
      <c r="F7294" s="2" t="s">
        <v>45422</v>
      </c>
      <c r="G7294" s="2" t="s">
        <v>45423</v>
      </c>
      <c r="H7294" s="3" t="s">
        <v>31</v>
      </c>
      <c r="I7294" s="3">
        <v>1.0</v>
      </c>
      <c r="J7294" s="3">
        <v>1.0</v>
      </c>
      <c r="K7294" s="3" t="s">
        <v>31</v>
      </c>
      <c r="L7294" s="4" t="s">
        <v>45402</v>
      </c>
      <c r="M7294" s="2" t="s">
        <v>45424</v>
      </c>
      <c r="N7294" s="2" t="s">
        <v>10742</v>
      </c>
      <c r="O7294" s="4" t="s">
        <v>10743</v>
      </c>
      <c r="P7294" s="2" t="s">
        <v>45404</v>
      </c>
      <c r="Q7294" s="2" t="s">
        <v>45405</v>
      </c>
      <c r="R7294" s="2" t="s">
        <v>10745</v>
      </c>
      <c r="S7294" s="4" t="s">
        <v>45406</v>
      </c>
      <c r="T7294" s="2" t="s">
        <v>1019</v>
      </c>
      <c r="U7294" s="4" t="s">
        <v>45407</v>
      </c>
      <c r="V7294" s="2" t="s">
        <v>45425</v>
      </c>
      <c r="W7294" s="2" t="s">
        <v>45400</v>
      </c>
      <c r="X7294" s="5" t="str">
        <f>HYPERLINK("https://my.pitchbook.com?p=399107-53P","View People Online")</f>
        <v>View People Online</v>
      </c>
    </row>
    <row r="7295">
      <c r="A7295" s="6" t="s">
        <v>283</v>
      </c>
      <c r="B7295" s="6" t="s">
        <v>284</v>
      </c>
      <c r="C7295" s="6" t="s">
        <v>285</v>
      </c>
      <c r="D7295" s="6" t="s">
        <v>286</v>
      </c>
      <c r="E7295" s="6" t="s">
        <v>45400</v>
      </c>
      <c r="F7295" s="6" t="s">
        <v>81</v>
      </c>
      <c r="G7295" s="6" t="s">
        <v>287</v>
      </c>
      <c r="H7295" s="7">
        <v>2.0</v>
      </c>
      <c r="I7295" s="7">
        <v>12.0</v>
      </c>
      <c r="J7295" s="7">
        <v>2.0</v>
      </c>
      <c r="K7295" s="7">
        <v>5.0</v>
      </c>
      <c r="L7295" s="8" t="s">
        <v>288</v>
      </c>
      <c r="M7295" s="6" t="s">
        <v>289</v>
      </c>
      <c r="N7295" s="6" t="s">
        <v>290</v>
      </c>
      <c r="O7295" s="8" t="s">
        <v>291</v>
      </c>
      <c r="P7295" s="6" t="s">
        <v>292</v>
      </c>
      <c r="Q7295" s="6" t="s">
        <v>31</v>
      </c>
      <c r="R7295" s="6" t="s">
        <v>64</v>
      </c>
      <c r="S7295" s="8" t="s">
        <v>293</v>
      </c>
      <c r="T7295" s="6" t="s">
        <v>66</v>
      </c>
      <c r="U7295" s="8" t="s">
        <v>31</v>
      </c>
      <c r="V7295" s="6" t="s">
        <v>294</v>
      </c>
      <c r="W7295" s="6" t="s">
        <v>295</v>
      </c>
      <c r="X7295" s="9" t="str">
        <f>HYPERLINK("https://my.pitchbook.com?p=172801-63P","View People Online")</f>
        <v>View People Online</v>
      </c>
    </row>
    <row r="7296">
      <c r="A7296" s="10" t="s">
        <v>45426</v>
      </c>
      <c r="B7296" s="10" t="s">
        <v>45427</v>
      </c>
      <c r="C7296" s="10" t="s">
        <v>45428</v>
      </c>
      <c r="D7296" s="10" t="s">
        <v>45429</v>
      </c>
      <c r="E7296" s="10" t="s">
        <v>45400</v>
      </c>
      <c r="F7296" s="10" t="s">
        <v>45430</v>
      </c>
      <c r="G7296" s="10" t="s">
        <v>45431</v>
      </c>
      <c r="H7296" s="11">
        <v>1.0</v>
      </c>
      <c r="I7296" s="11">
        <v>2.0</v>
      </c>
      <c r="J7296" s="11">
        <v>1.0</v>
      </c>
      <c r="K7296" s="11" t="s">
        <v>31</v>
      </c>
      <c r="L7296" s="12" t="s">
        <v>45402</v>
      </c>
      <c r="M7296" s="10" t="s">
        <v>45432</v>
      </c>
      <c r="N7296" s="10" t="s">
        <v>10742</v>
      </c>
      <c r="O7296" s="12" t="s">
        <v>10743</v>
      </c>
      <c r="P7296" s="10" t="s">
        <v>45404</v>
      </c>
      <c r="Q7296" s="10" t="s">
        <v>45405</v>
      </c>
      <c r="R7296" s="10" t="s">
        <v>10745</v>
      </c>
      <c r="S7296" s="12" t="s">
        <v>45406</v>
      </c>
      <c r="T7296" s="10" t="s">
        <v>1019</v>
      </c>
      <c r="U7296" s="12" t="s">
        <v>45407</v>
      </c>
      <c r="V7296" s="10" t="s">
        <v>45433</v>
      </c>
      <c r="W7296" s="10" t="s">
        <v>45400</v>
      </c>
      <c r="X7296" s="13" t="str">
        <f>HYPERLINK("https://my.pitchbook.com?p=213855-22P","View People Online")</f>
        <v>View People Online</v>
      </c>
    </row>
    <row r="7297">
      <c r="A7297" s="14" t="s">
        <v>45434</v>
      </c>
      <c r="B7297" s="14" t="s">
        <v>45435</v>
      </c>
      <c r="C7297" s="14" t="s">
        <v>2149</v>
      </c>
      <c r="D7297" s="14" t="s">
        <v>45436</v>
      </c>
      <c r="E7297" s="14" t="s">
        <v>45400</v>
      </c>
      <c r="F7297" s="14" t="s">
        <v>29</v>
      </c>
      <c r="G7297" s="14" t="s">
        <v>45437</v>
      </c>
      <c r="H7297" s="15">
        <v>1.0</v>
      </c>
      <c r="I7297" s="15">
        <v>2.0</v>
      </c>
      <c r="J7297" s="15">
        <v>1.0</v>
      </c>
      <c r="K7297" s="15" t="s">
        <v>31</v>
      </c>
      <c r="L7297" s="16" t="s">
        <v>45402</v>
      </c>
      <c r="M7297" s="14" t="s">
        <v>45438</v>
      </c>
      <c r="N7297" s="14" t="s">
        <v>10742</v>
      </c>
      <c r="O7297" s="16" t="s">
        <v>10743</v>
      </c>
      <c r="P7297" s="14" t="s">
        <v>45404</v>
      </c>
      <c r="Q7297" s="14" t="s">
        <v>45405</v>
      </c>
      <c r="R7297" s="14" t="s">
        <v>10745</v>
      </c>
      <c r="S7297" s="16" t="s">
        <v>45406</v>
      </c>
      <c r="T7297" s="14" t="s">
        <v>1019</v>
      </c>
      <c r="U7297" s="16" t="s">
        <v>45407</v>
      </c>
      <c r="V7297" s="14" t="s">
        <v>29</v>
      </c>
      <c r="W7297" s="14" t="s">
        <v>45400</v>
      </c>
      <c r="X7297" s="17" t="str">
        <f>HYPERLINK("https://my.pitchbook.com?p=349436-98P","View People Online")</f>
        <v>View People Online</v>
      </c>
    </row>
    <row r="7298">
      <c r="A7298" s="10" t="s">
        <v>45439</v>
      </c>
      <c r="B7298" s="10" t="s">
        <v>45440</v>
      </c>
      <c r="C7298" s="10" t="s">
        <v>1343</v>
      </c>
      <c r="D7298" s="10" t="s">
        <v>45441</v>
      </c>
      <c r="E7298" s="10" t="s">
        <v>45400</v>
      </c>
      <c r="F7298" s="10" t="s">
        <v>2731</v>
      </c>
      <c r="G7298" s="10" t="s">
        <v>45442</v>
      </c>
      <c r="H7298" s="11">
        <v>1.0</v>
      </c>
      <c r="I7298" s="11">
        <v>5.0</v>
      </c>
      <c r="J7298" s="11">
        <v>2.0</v>
      </c>
      <c r="K7298" s="11">
        <v>1.0</v>
      </c>
      <c r="L7298" s="12" t="s">
        <v>45443</v>
      </c>
      <c r="M7298" s="10" t="s">
        <v>45444</v>
      </c>
      <c r="N7298" s="10" t="s">
        <v>1181</v>
      </c>
      <c r="O7298" s="12" t="s">
        <v>1182</v>
      </c>
      <c r="P7298" s="10" t="s">
        <v>45445</v>
      </c>
      <c r="Q7298" s="10" t="s">
        <v>39760</v>
      </c>
      <c r="R7298" s="10" t="s">
        <v>1185</v>
      </c>
      <c r="S7298" s="12" t="s">
        <v>6739</v>
      </c>
      <c r="T7298" s="10" t="s">
        <v>66</v>
      </c>
      <c r="U7298" s="12" t="s">
        <v>31</v>
      </c>
      <c r="V7298" s="10" t="s">
        <v>45446</v>
      </c>
      <c r="W7298" s="10" t="s">
        <v>45447</v>
      </c>
      <c r="X7298" s="13" t="str">
        <f>HYPERLINK("https://my.pitchbook.com?p=47628-37P","View People Online")</f>
        <v>View People Online</v>
      </c>
    </row>
    <row r="7299">
      <c r="A7299" s="6" t="s">
        <v>45448</v>
      </c>
      <c r="B7299" s="6" t="s">
        <v>45449</v>
      </c>
      <c r="C7299" s="6" t="s">
        <v>45450</v>
      </c>
      <c r="D7299" s="6" t="s">
        <v>45451</v>
      </c>
      <c r="E7299" s="6" t="s">
        <v>45400</v>
      </c>
      <c r="F7299" s="6" t="s">
        <v>45452</v>
      </c>
      <c r="G7299" s="6" t="s">
        <v>45453</v>
      </c>
      <c r="H7299" s="7" t="s">
        <v>31</v>
      </c>
      <c r="I7299" s="7">
        <v>1.0</v>
      </c>
      <c r="J7299" s="7">
        <v>1.0</v>
      </c>
      <c r="K7299" s="7" t="s">
        <v>31</v>
      </c>
      <c r="L7299" s="8" t="s">
        <v>45402</v>
      </c>
      <c r="M7299" s="6" t="s">
        <v>45454</v>
      </c>
      <c r="N7299" s="6" t="s">
        <v>10742</v>
      </c>
      <c r="O7299" s="8" t="s">
        <v>10743</v>
      </c>
      <c r="P7299" s="6" t="s">
        <v>45404</v>
      </c>
      <c r="Q7299" s="6" t="s">
        <v>45405</v>
      </c>
      <c r="R7299" s="6" t="s">
        <v>10745</v>
      </c>
      <c r="S7299" s="8" t="s">
        <v>45406</v>
      </c>
      <c r="T7299" s="6" t="s">
        <v>1019</v>
      </c>
      <c r="U7299" s="8" t="s">
        <v>45407</v>
      </c>
      <c r="V7299" s="6" t="s">
        <v>45455</v>
      </c>
      <c r="W7299" s="6" t="s">
        <v>45400</v>
      </c>
      <c r="X7299" s="9" t="str">
        <f>HYPERLINK("https://my.pitchbook.com?p=446132-53P","View People Online")</f>
        <v>View People Online</v>
      </c>
    </row>
    <row r="7300">
      <c r="A7300" s="10" t="s">
        <v>45456</v>
      </c>
      <c r="B7300" s="10" t="s">
        <v>45457</v>
      </c>
      <c r="C7300" s="10" t="s">
        <v>2197</v>
      </c>
      <c r="D7300" s="10" t="s">
        <v>41769</v>
      </c>
      <c r="E7300" s="10" t="s">
        <v>45400</v>
      </c>
      <c r="F7300" s="10" t="s">
        <v>81</v>
      </c>
      <c r="G7300" s="10" t="s">
        <v>45458</v>
      </c>
      <c r="H7300" s="11">
        <v>2.0</v>
      </c>
      <c r="I7300" s="11">
        <v>3.0</v>
      </c>
      <c r="J7300" s="11">
        <v>1.0</v>
      </c>
      <c r="K7300" s="11" t="s">
        <v>31</v>
      </c>
      <c r="L7300" s="12" t="s">
        <v>45459</v>
      </c>
      <c r="M7300" s="10" t="s">
        <v>31</v>
      </c>
      <c r="N7300" s="10" t="s">
        <v>1277</v>
      </c>
      <c r="O7300" s="12" t="s">
        <v>1278</v>
      </c>
      <c r="P7300" s="10" t="s">
        <v>45460</v>
      </c>
      <c r="Q7300" s="10" t="s">
        <v>31</v>
      </c>
      <c r="R7300" s="10" t="s">
        <v>1281</v>
      </c>
      <c r="S7300" s="12" t="s">
        <v>1282</v>
      </c>
      <c r="T7300" s="10" t="s">
        <v>66</v>
      </c>
      <c r="U7300" s="12" t="s">
        <v>31</v>
      </c>
      <c r="V7300" s="10" t="s">
        <v>2199</v>
      </c>
      <c r="W7300" s="10" t="s">
        <v>45461</v>
      </c>
      <c r="X7300" s="13" t="str">
        <f>HYPERLINK("https://my.pitchbook.com?p=402595-03P","View People Online")</f>
        <v>View People Online</v>
      </c>
    </row>
    <row r="7301">
      <c r="A7301" s="6" t="s">
        <v>45462</v>
      </c>
      <c r="B7301" s="6" t="s">
        <v>45463</v>
      </c>
      <c r="C7301" s="6" t="s">
        <v>4009</v>
      </c>
      <c r="D7301" s="6" t="s">
        <v>45464</v>
      </c>
      <c r="E7301" s="6" t="s">
        <v>45400</v>
      </c>
      <c r="F7301" s="6" t="s">
        <v>45465</v>
      </c>
      <c r="G7301" s="6" t="s">
        <v>45466</v>
      </c>
      <c r="H7301" s="7">
        <v>1.0</v>
      </c>
      <c r="I7301" s="7">
        <v>9.0</v>
      </c>
      <c r="J7301" s="7">
        <v>1.0</v>
      </c>
      <c r="K7301" s="7">
        <v>6.0</v>
      </c>
      <c r="L7301" s="8" t="s">
        <v>45402</v>
      </c>
      <c r="M7301" s="6" t="s">
        <v>45467</v>
      </c>
      <c r="N7301" s="6" t="s">
        <v>10742</v>
      </c>
      <c r="O7301" s="8" t="s">
        <v>10743</v>
      </c>
      <c r="P7301" s="6" t="s">
        <v>45404</v>
      </c>
      <c r="Q7301" s="6" t="s">
        <v>45405</v>
      </c>
      <c r="R7301" s="6" t="s">
        <v>10745</v>
      </c>
      <c r="S7301" s="8" t="s">
        <v>45406</v>
      </c>
      <c r="T7301" s="6" t="s">
        <v>1019</v>
      </c>
      <c r="U7301" s="8" t="s">
        <v>45407</v>
      </c>
      <c r="V7301" s="6" t="s">
        <v>45468</v>
      </c>
      <c r="W7301" s="6" t="s">
        <v>45400</v>
      </c>
      <c r="X7301" s="9" t="str">
        <f>HYPERLINK("https://my.pitchbook.com?p=93039-22P","View People Online")</f>
        <v>View People Online</v>
      </c>
    </row>
    <row r="7302">
      <c r="A7302" s="2" t="s">
        <v>45469</v>
      </c>
      <c r="B7302" s="2" t="s">
        <v>45470</v>
      </c>
      <c r="C7302" s="2" t="s">
        <v>5113</v>
      </c>
      <c r="D7302" s="2" t="s">
        <v>45471</v>
      </c>
      <c r="E7302" s="2" t="s">
        <v>45400</v>
      </c>
      <c r="F7302" s="2" t="s">
        <v>667</v>
      </c>
      <c r="G7302" s="2" t="s">
        <v>45472</v>
      </c>
      <c r="H7302" s="3" t="s">
        <v>31</v>
      </c>
      <c r="I7302" s="3">
        <v>1.0</v>
      </c>
      <c r="J7302" s="3">
        <v>1.0</v>
      </c>
      <c r="K7302" s="3" t="s">
        <v>31</v>
      </c>
      <c r="L7302" s="4" t="s">
        <v>45402</v>
      </c>
      <c r="M7302" s="2" t="s">
        <v>45473</v>
      </c>
      <c r="N7302" s="2" t="s">
        <v>10742</v>
      </c>
      <c r="O7302" s="4" t="s">
        <v>10743</v>
      </c>
      <c r="P7302" s="2" t="s">
        <v>45404</v>
      </c>
      <c r="Q7302" s="2" t="s">
        <v>45405</v>
      </c>
      <c r="R7302" s="2" t="s">
        <v>10745</v>
      </c>
      <c r="S7302" s="4" t="s">
        <v>45406</v>
      </c>
      <c r="T7302" s="2" t="s">
        <v>1019</v>
      </c>
      <c r="U7302" s="4" t="s">
        <v>45407</v>
      </c>
      <c r="V7302" s="2" t="s">
        <v>27220</v>
      </c>
      <c r="W7302" s="2" t="s">
        <v>45400</v>
      </c>
      <c r="X7302" s="5" t="str">
        <f>HYPERLINK("https://my.pitchbook.com?p=446134-60P","View People Online")</f>
        <v>View People Online</v>
      </c>
    </row>
    <row r="7303">
      <c r="A7303" s="6" t="s">
        <v>45474</v>
      </c>
      <c r="B7303" s="6" t="s">
        <v>45475</v>
      </c>
      <c r="C7303" s="6" t="s">
        <v>1502</v>
      </c>
      <c r="D7303" s="6" t="s">
        <v>45476</v>
      </c>
      <c r="E7303" s="6" t="s">
        <v>45400</v>
      </c>
      <c r="F7303" s="6" t="s">
        <v>81</v>
      </c>
      <c r="G7303" s="6" t="s">
        <v>45477</v>
      </c>
      <c r="H7303" s="7" t="s">
        <v>31</v>
      </c>
      <c r="I7303" s="7">
        <v>1.0</v>
      </c>
      <c r="J7303" s="7" t="s">
        <v>31</v>
      </c>
      <c r="K7303" s="7" t="s">
        <v>31</v>
      </c>
      <c r="L7303" s="8" t="s">
        <v>45402</v>
      </c>
      <c r="M7303" s="6" t="s">
        <v>31</v>
      </c>
      <c r="N7303" s="6" t="s">
        <v>10742</v>
      </c>
      <c r="O7303" s="8" t="s">
        <v>10743</v>
      </c>
      <c r="P7303" s="6" t="s">
        <v>45404</v>
      </c>
      <c r="Q7303" s="6" t="s">
        <v>45405</v>
      </c>
      <c r="R7303" s="6" t="s">
        <v>10745</v>
      </c>
      <c r="S7303" s="8" t="s">
        <v>45406</v>
      </c>
      <c r="T7303" s="6" t="s">
        <v>1019</v>
      </c>
      <c r="U7303" s="8" t="s">
        <v>45407</v>
      </c>
      <c r="V7303" s="6" t="s">
        <v>81</v>
      </c>
      <c r="W7303" s="6" t="s">
        <v>45400</v>
      </c>
      <c r="X7303" s="9" t="str">
        <f>HYPERLINK("https://my.pitchbook.com?p=146970-10P","View People Online")</f>
        <v>View People Online</v>
      </c>
    </row>
    <row r="7304">
      <c r="A7304" s="10" t="s">
        <v>45478</v>
      </c>
      <c r="B7304" s="10" t="s">
        <v>45479</v>
      </c>
      <c r="C7304" s="10" t="s">
        <v>45480</v>
      </c>
      <c r="D7304" s="10" t="s">
        <v>45481</v>
      </c>
      <c r="E7304" s="10" t="s">
        <v>45400</v>
      </c>
      <c r="F7304" s="10" t="s">
        <v>548</v>
      </c>
      <c r="G7304" s="10" t="s">
        <v>45482</v>
      </c>
      <c r="H7304" s="11" t="s">
        <v>31</v>
      </c>
      <c r="I7304" s="11">
        <v>2.0</v>
      </c>
      <c r="J7304" s="11">
        <v>1.0</v>
      </c>
      <c r="K7304" s="11">
        <v>1.0</v>
      </c>
      <c r="L7304" s="12" t="s">
        <v>45402</v>
      </c>
      <c r="M7304" s="10" t="s">
        <v>45483</v>
      </c>
      <c r="N7304" s="10" t="s">
        <v>10742</v>
      </c>
      <c r="O7304" s="12" t="s">
        <v>10743</v>
      </c>
      <c r="P7304" s="10" t="s">
        <v>45404</v>
      </c>
      <c r="Q7304" s="10" t="s">
        <v>45405</v>
      </c>
      <c r="R7304" s="10" t="s">
        <v>10745</v>
      </c>
      <c r="S7304" s="12" t="s">
        <v>45406</v>
      </c>
      <c r="T7304" s="10" t="s">
        <v>1019</v>
      </c>
      <c r="U7304" s="12" t="s">
        <v>45407</v>
      </c>
      <c r="V7304" s="10" t="s">
        <v>3455</v>
      </c>
      <c r="W7304" s="10" t="s">
        <v>45400</v>
      </c>
      <c r="X7304" s="13" t="str">
        <f>HYPERLINK("https://my.pitchbook.com?p=76487-05P","View People Online")</f>
        <v>View People Online</v>
      </c>
    </row>
    <row r="7305">
      <c r="A7305" s="6" t="s">
        <v>45484</v>
      </c>
      <c r="B7305" s="6" t="s">
        <v>45485</v>
      </c>
      <c r="C7305" s="6" t="s">
        <v>167</v>
      </c>
      <c r="D7305" s="6" t="s">
        <v>9293</v>
      </c>
      <c r="E7305" s="6" t="s">
        <v>45400</v>
      </c>
      <c r="F7305" s="6" t="s">
        <v>3429</v>
      </c>
      <c r="G7305" s="6" t="s">
        <v>45486</v>
      </c>
      <c r="H7305" s="7" t="s">
        <v>31</v>
      </c>
      <c r="I7305" s="7">
        <v>7.0</v>
      </c>
      <c r="J7305" s="7">
        <v>2.0</v>
      </c>
      <c r="K7305" s="7">
        <v>3.0</v>
      </c>
      <c r="L7305" s="8" t="s">
        <v>45402</v>
      </c>
      <c r="M7305" s="6" t="s">
        <v>45487</v>
      </c>
      <c r="N7305" s="6" t="s">
        <v>10742</v>
      </c>
      <c r="O7305" s="8" t="s">
        <v>10743</v>
      </c>
      <c r="P7305" s="6" t="s">
        <v>45404</v>
      </c>
      <c r="Q7305" s="6" t="s">
        <v>45405</v>
      </c>
      <c r="R7305" s="6" t="s">
        <v>10745</v>
      </c>
      <c r="S7305" s="8" t="s">
        <v>45406</v>
      </c>
      <c r="T7305" s="6" t="s">
        <v>1019</v>
      </c>
      <c r="U7305" s="8" t="s">
        <v>45407</v>
      </c>
      <c r="V7305" s="6" t="s">
        <v>28203</v>
      </c>
      <c r="W7305" s="6" t="s">
        <v>45400</v>
      </c>
      <c r="X7305" s="9" t="str">
        <f>HYPERLINK("https://my.pitchbook.com?p=143918-56P","View People Online")</f>
        <v>View People Online</v>
      </c>
    </row>
    <row r="7306">
      <c r="A7306" s="10" t="s">
        <v>45488</v>
      </c>
      <c r="B7306" s="10" t="s">
        <v>45489</v>
      </c>
      <c r="C7306" s="10" t="s">
        <v>541</v>
      </c>
      <c r="D7306" s="10" t="s">
        <v>45490</v>
      </c>
      <c r="E7306" s="10" t="s">
        <v>45400</v>
      </c>
      <c r="F7306" s="10" t="s">
        <v>81</v>
      </c>
      <c r="G7306" s="10" t="s">
        <v>45491</v>
      </c>
      <c r="H7306" s="11" t="s">
        <v>31</v>
      </c>
      <c r="I7306" s="11">
        <v>3.0</v>
      </c>
      <c r="J7306" s="11">
        <v>1.0</v>
      </c>
      <c r="K7306" s="11" t="s">
        <v>31</v>
      </c>
      <c r="L7306" s="12" t="s">
        <v>45492</v>
      </c>
      <c r="M7306" s="10" t="s">
        <v>45493</v>
      </c>
      <c r="N7306" s="10" t="s">
        <v>10742</v>
      </c>
      <c r="O7306" s="12" t="s">
        <v>10743</v>
      </c>
      <c r="P7306" s="10" t="s">
        <v>45494</v>
      </c>
      <c r="Q7306" s="10" t="s">
        <v>29369</v>
      </c>
      <c r="R7306" s="10" t="s">
        <v>10745</v>
      </c>
      <c r="S7306" s="12" t="s">
        <v>45495</v>
      </c>
      <c r="T7306" s="10" t="s">
        <v>1019</v>
      </c>
      <c r="U7306" s="12" t="s">
        <v>31</v>
      </c>
      <c r="V7306" s="10" t="s">
        <v>45496</v>
      </c>
      <c r="W7306" s="10" t="s">
        <v>45490</v>
      </c>
      <c r="X7306" s="13" t="str">
        <f>HYPERLINK("https://my.pitchbook.com?p=192650-14P","View People Online")</f>
        <v>View People Online</v>
      </c>
    </row>
    <row r="7307">
      <c r="A7307" s="14" t="s">
        <v>45497</v>
      </c>
      <c r="B7307" s="14" t="s">
        <v>45498</v>
      </c>
      <c r="C7307" s="14" t="s">
        <v>9366</v>
      </c>
      <c r="D7307" s="14" t="s">
        <v>45499</v>
      </c>
      <c r="E7307" s="14" t="s">
        <v>45400</v>
      </c>
      <c r="F7307" s="14" t="s">
        <v>45430</v>
      </c>
      <c r="G7307" s="14" t="s">
        <v>45500</v>
      </c>
      <c r="H7307" s="15" t="s">
        <v>31</v>
      </c>
      <c r="I7307" s="15">
        <v>1.0</v>
      </c>
      <c r="J7307" s="15">
        <v>1.0</v>
      </c>
      <c r="K7307" s="15" t="s">
        <v>31</v>
      </c>
      <c r="L7307" s="16" t="s">
        <v>45402</v>
      </c>
      <c r="M7307" s="14" t="s">
        <v>45501</v>
      </c>
      <c r="N7307" s="14" t="s">
        <v>10742</v>
      </c>
      <c r="O7307" s="16" t="s">
        <v>10743</v>
      </c>
      <c r="P7307" s="14" t="s">
        <v>45404</v>
      </c>
      <c r="Q7307" s="14" t="s">
        <v>45405</v>
      </c>
      <c r="R7307" s="14" t="s">
        <v>10745</v>
      </c>
      <c r="S7307" s="16" t="s">
        <v>45406</v>
      </c>
      <c r="T7307" s="14" t="s">
        <v>1019</v>
      </c>
      <c r="U7307" s="16" t="s">
        <v>45407</v>
      </c>
      <c r="V7307" s="14" t="s">
        <v>45433</v>
      </c>
      <c r="W7307" s="14" t="s">
        <v>45400</v>
      </c>
      <c r="X7307" s="17" t="str">
        <f>HYPERLINK("https://my.pitchbook.com?p=266472-64P","View People Online")</f>
        <v>View People Online</v>
      </c>
    </row>
    <row r="7308">
      <c r="A7308" s="10" t="s">
        <v>45502</v>
      </c>
      <c r="B7308" s="10" t="s">
        <v>45503</v>
      </c>
      <c r="C7308" s="10" t="s">
        <v>45504</v>
      </c>
      <c r="D7308" s="10" t="s">
        <v>9293</v>
      </c>
      <c r="E7308" s="10" t="s">
        <v>45400</v>
      </c>
      <c r="F7308" s="10" t="s">
        <v>1234</v>
      </c>
      <c r="G7308" s="10" t="s">
        <v>45505</v>
      </c>
      <c r="H7308" s="11">
        <v>1.0</v>
      </c>
      <c r="I7308" s="11">
        <v>1.0</v>
      </c>
      <c r="J7308" s="11">
        <v>1.0</v>
      </c>
      <c r="K7308" s="11" t="s">
        <v>31</v>
      </c>
      <c r="L7308" s="12" t="s">
        <v>45402</v>
      </c>
      <c r="M7308" s="10" t="s">
        <v>45506</v>
      </c>
      <c r="N7308" s="10" t="s">
        <v>10742</v>
      </c>
      <c r="O7308" s="12" t="s">
        <v>10743</v>
      </c>
      <c r="P7308" s="10" t="s">
        <v>45404</v>
      </c>
      <c r="Q7308" s="10" t="s">
        <v>45405</v>
      </c>
      <c r="R7308" s="10" t="s">
        <v>10745</v>
      </c>
      <c r="S7308" s="12" t="s">
        <v>45406</v>
      </c>
      <c r="T7308" s="10" t="s">
        <v>1019</v>
      </c>
      <c r="U7308" s="12" t="s">
        <v>45407</v>
      </c>
      <c r="V7308" s="10" t="s">
        <v>45507</v>
      </c>
      <c r="W7308" s="10" t="s">
        <v>45400</v>
      </c>
      <c r="X7308" s="13" t="str">
        <f>HYPERLINK("https://my.pitchbook.com?p=166632-22P","View People Online")</f>
        <v>View People Online</v>
      </c>
    </row>
    <row r="7309">
      <c r="A7309" s="14" t="s">
        <v>45508</v>
      </c>
      <c r="B7309" s="14" t="s">
        <v>45509</v>
      </c>
      <c r="C7309" s="14" t="s">
        <v>568</v>
      </c>
      <c r="D7309" s="14" t="s">
        <v>45510</v>
      </c>
      <c r="E7309" s="14" t="s">
        <v>45511</v>
      </c>
      <c r="F7309" s="14" t="s">
        <v>6993</v>
      </c>
      <c r="G7309" s="14" t="s">
        <v>45512</v>
      </c>
      <c r="H7309" s="15" t="s">
        <v>31</v>
      </c>
      <c r="I7309" s="15">
        <v>3.0</v>
      </c>
      <c r="J7309" s="15">
        <v>1.0</v>
      </c>
      <c r="K7309" s="15">
        <v>2.0</v>
      </c>
      <c r="L7309" s="16" t="s">
        <v>31</v>
      </c>
      <c r="M7309" s="14" t="s">
        <v>45513</v>
      </c>
      <c r="N7309" s="14" t="s">
        <v>2478</v>
      </c>
      <c r="O7309" s="16" t="s">
        <v>7332</v>
      </c>
      <c r="P7309" s="14" t="s">
        <v>45514</v>
      </c>
      <c r="Q7309" s="14" t="s">
        <v>31</v>
      </c>
      <c r="R7309" s="14" t="s">
        <v>7335</v>
      </c>
      <c r="S7309" s="16" t="s">
        <v>7336</v>
      </c>
      <c r="T7309" s="14" t="s">
        <v>5484</v>
      </c>
      <c r="U7309" s="16" t="s">
        <v>31</v>
      </c>
      <c r="V7309" s="14" t="s">
        <v>45515</v>
      </c>
      <c r="W7309" s="14" t="s">
        <v>45511</v>
      </c>
      <c r="X7309" s="17" t="str">
        <f>HYPERLINK("https://my.pitchbook.com?p=376635-70P","View People Online")</f>
        <v>View People Online</v>
      </c>
    </row>
    <row r="7310">
      <c r="A7310" s="10" t="s">
        <v>45516</v>
      </c>
      <c r="B7310" s="10" t="s">
        <v>45517</v>
      </c>
      <c r="C7310" s="10" t="s">
        <v>8348</v>
      </c>
      <c r="D7310" s="10" t="s">
        <v>1866</v>
      </c>
      <c r="E7310" s="10" t="s">
        <v>45511</v>
      </c>
      <c r="F7310" s="10" t="s">
        <v>371</v>
      </c>
      <c r="G7310" s="10" t="s">
        <v>45518</v>
      </c>
      <c r="H7310" s="11" t="s">
        <v>31</v>
      </c>
      <c r="I7310" s="11">
        <v>1.0</v>
      </c>
      <c r="J7310" s="11">
        <v>1.0</v>
      </c>
      <c r="K7310" s="11" t="s">
        <v>31</v>
      </c>
      <c r="L7310" s="12" t="s">
        <v>31</v>
      </c>
      <c r="M7310" s="10" t="s">
        <v>45519</v>
      </c>
      <c r="N7310" s="10" t="s">
        <v>2478</v>
      </c>
      <c r="O7310" s="12" t="s">
        <v>7332</v>
      </c>
      <c r="P7310" s="10" t="s">
        <v>45514</v>
      </c>
      <c r="Q7310" s="10" t="s">
        <v>31</v>
      </c>
      <c r="R7310" s="10" t="s">
        <v>7335</v>
      </c>
      <c r="S7310" s="12" t="s">
        <v>7336</v>
      </c>
      <c r="T7310" s="10" t="s">
        <v>5484</v>
      </c>
      <c r="U7310" s="12" t="s">
        <v>31</v>
      </c>
      <c r="V7310" s="10" t="s">
        <v>371</v>
      </c>
      <c r="W7310" s="10" t="s">
        <v>45511</v>
      </c>
      <c r="X7310" s="13" t="str">
        <f>HYPERLINK("https://my.pitchbook.com?p=199577-98P","View People Online")</f>
        <v>View People Online</v>
      </c>
    </row>
    <row r="7311">
      <c r="A7311" s="14" t="s">
        <v>45520</v>
      </c>
      <c r="B7311" s="14" t="s">
        <v>45521</v>
      </c>
      <c r="C7311" s="14" t="s">
        <v>186</v>
      </c>
      <c r="D7311" s="14" t="s">
        <v>24471</v>
      </c>
      <c r="E7311" s="14" t="s">
        <v>45511</v>
      </c>
      <c r="F7311" s="14" t="s">
        <v>7902</v>
      </c>
      <c r="G7311" s="14" t="s">
        <v>45522</v>
      </c>
      <c r="H7311" s="15">
        <v>1.0</v>
      </c>
      <c r="I7311" s="15">
        <v>7.0</v>
      </c>
      <c r="J7311" s="15">
        <v>7.0</v>
      </c>
      <c r="K7311" s="15" t="s">
        <v>31</v>
      </c>
      <c r="L7311" s="16" t="s">
        <v>45523</v>
      </c>
      <c r="M7311" s="14" t="s">
        <v>45524</v>
      </c>
      <c r="N7311" s="14" t="s">
        <v>2478</v>
      </c>
      <c r="O7311" s="16" t="s">
        <v>7332</v>
      </c>
      <c r="P7311" s="14" t="s">
        <v>45514</v>
      </c>
      <c r="Q7311" s="14" t="s">
        <v>31</v>
      </c>
      <c r="R7311" s="14" t="s">
        <v>7335</v>
      </c>
      <c r="S7311" s="16" t="s">
        <v>7336</v>
      </c>
      <c r="T7311" s="14" t="s">
        <v>5484</v>
      </c>
      <c r="U7311" s="16" t="s">
        <v>45525</v>
      </c>
      <c r="V7311" s="14" t="s">
        <v>45526</v>
      </c>
      <c r="W7311" s="14" t="s">
        <v>45527</v>
      </c>
      <c r="X7311" s="17" t="str">
        <f>HYPERLINK("https://my.pitchbook.com?p=197897-77P","View People Online")</f>
        <v>View People Online</v>
      </c>
    </row>
    <row r="7312">
      <c r="A7312" s="2" t="s">
        <v>45528</v>
      </c>
      <c r="B7312" s="2" t="s">
        <v>45529</v>
      </c>
      <c r="C7312" s="2" t="s">
        <v>1117</v>
      </c>
      <c r="D7312" s="2" t="s">
        <v>45530</v>
      </c>
      <c r="E7312" s="2" t="s">
        <v>45511</v>
      </c>
      <c r="F7312" s="2" t="s">
        <v>45531</v>
      </c>
      <c r="G7312" s="2" t="s">
        <v>45532</v>
      </c>
      <c r="H7312" s="3" t="s">
        <v>31</v>
      </c>
      <c r="I7312" s="3">
        <v>1.0</v>
      </c>
      <c r="J7312" s="3">
        <v>1.0</v>
      </c>
      <c r="K7312" s="3" t="s">
        <v>31</v>
      </c>
      <c r="L7312" s="4" t="s">
        <v>31</v>
      </c>
      <c r="M7312" s="2" t="s">
        <v>45533</v>
      </c>
      <c r="N7312" s="2" t="s">
        <v>2478</v>
      </c>
      <c r="O7312" s="4" t="s">
        <v>7332</v>
      </c>
      <c r="P7312" s="2" t="s">
        <v>45514</v>
      </c>
      <c r="Q7312" s="2" t="s">
        <v>31</v>
      </c>
      <c r="R7312" s="2" t="s">
        <v>7335</v>
      </c>
      <c r="S7312" s="4" t="s">
        <v>7336</v>
      </c>
      <c r="T7312" s="2" t="s">
        <v>5484</v>
      </c>
      <c r="U7312" s="4" t="s">
        <v>31</v>
      </c>
      <c r="V7312" s="2" t="s">
        <v>45534</v>
      </c>
      <c r="W7312" s="2" t="s">
        <v>45511</v>
      </c>
      <c r="X7312" s="5" t="str">
        <f>HYPERLINK("https://my.pitchbook.com?p=319849-57P","View People Online")</f>
        <v>View People Online</v>
      </c>
    </row>
    <row r="7313">
      <c r="A7313" s="14" t="s">
        <v>45535</v>
      </c>
      <c r="B7313" s="14" t="s">
        <v>45536</v>
      </c>
      <c r="C7313" s="14" t="s">
        <v>14363</v>
      </c>
      <c r="D7313" s="14" t="s">
        <v>45537</v>
      </c>
      <c r="E7313" s="14" t="s">
        <v>45511</v>
      </c>
      <c r="F7313" s="14" t="s">
        <v>1283</v>
      </c>
      <c r="G7313" s="14" t="s">
        <v>45538</v>
      </c>
      <c r="H7313" s="15">
        <v>1.0</v>
      </c>
      <c r="I7313" s="15">
        <v>9.0</v>
      </c>
      <c r="J7313" s="15">
        <v>2.0</v>
      </c>
      <c r="K7313" s="15">
        <v>6.0</v>
      </c>
      <c r="L7313" s="16" t="s">
        <v>45539</v>
      </c>
      <c r="M7313" s="14" t="s">
        <v>45540</v>
      </c>
      <c r="N7313" s="14" t="s">
        <v>75</v>
      </c>
      <c r="O7313" s="16" t="s">
        <v>76</v>
      </c>
      <c r="P7313" s="14" t="s">
        <v>45541</v>
      </c>
      <c r="Q7313" s="14" t="s">
        <v>31</v>
      </c>
      <c r="R7313" s="14" t="s">
        <v>75</v>
      </c>
      <c r="S7313" s="16" t="s">
        <v>45542</v>
      </c>
      <c r="T7313" s="14" t="s">
        <v>66</v>
      </c>
      <c r="U7313" s="16" t="s">
        <v>31</v>
      </c>
      <c r="V7313" s="14" t="s">
        <v>6993</v>
      </c>
      <c r="W7313" s="14" t="s">
        <v>45511</v>
      </c>
      <c r="X7313" s="17" t="str">
        <f>HYPERLINK("https://my.pitchbook.com?p=181800-55P","View People Online")</f>
        <v>View People Online</v>
      </c>
    </row>
    <row r="7314">
      <c r="A7314" s="10" t="s">
        <v>45543</v>
      </c>
      <c r="B7314" s="10" t="s">
        <v>45544</v>
      </c>
      <c r="C7314" s="10" t="s">
        <v>45545</v>
      </c>
      <c r="D7314" s="10" t="s">
        <v>7805</v>
      </c>
      <c r="E7314" s="10" t="s">
        <v>45511</v>
      </c>
      <c r="F7314" s="10" t="s">
        <v>7239</v>
      </c>
      <c r="G7314" s="10" t="s">
        <v>45546</v>
      </c>
      <c r="H7314" s="11" t="s">
        <v>31</v>
      </c>
      <c r="I7314" s="11">
        <v>1.0</v>
      </c>
      <c r="J7314" s="11">
        <v>1.0</v>
      </c>
      <c r="K7314" s="11" t="s">
        <v>31</v>
      </c>
      <c r="L7314" s="12" t="s">
        <v>31</v>
      </c>
      <c r="M7314" s="10" t="s">
        <v>45547</v>
      </c>
      <c r="N7314" s="10" t="s">
        <v>2478</v>
      </c>
      <c r="O7314" s="12" t="s">
        <v>7332</v>
      </c>
      <c r="P7314" s="10" t="s">
        <v>45514</v>
      </c>
      <c r="Q7314" s="10" t="s">
        <v>31</v>
      </c>
      <c r="R7314" s="10" t="s">
        <v>7335</v>
      </c>
      <c r="S7314" s="12" t="s">
        <v>7336</v>
      </c>
      <c r="T7314" s="10" t="s">
        <v>5484</v>
      </c>
      <c r="U7314" s="12" t="s">
        <v>31</v>
      </c>
      <c r="V7314" s="10" t="s">
        <v>45548</v>
      </c>
      <c r="W7314" s="10" t="s">
        <v>45511</v>
      </c>
      <c r="X7314" s="13" t="str">
        <f>HYPERLINK("https://my.pitchbook.com?p=154683-55P","View People Online")</f>
        <v>View People Online</v>
      </c>
    </row>
    <row r="7315">
      <c r="A7315" s="14" t="s">
        <v>45549</v>
      </c>
      <c r="B7315" s="14" t="s">
        <v>45550</v>
      </c>
      <c r="C7315" s="14" t="s">
        <v>7252</v>
      </c>
      <c r="D7315" s="14" t="s">
        <v>45551</v>
      </c>
      <c r="E7315" s="14" t="s">
        <v>45511</v>
      </c>
      <c r="F7315" s="14" t="s">
        <v>1283</v>
      </c>
      <c r="G7315" s="14" t="s">
        <v>45552</v>
      </c>
      <c r="H7315" s="15" t="s">
        <v>31</v>
      </c>
      <c r="I7315" s="15">
        <v>1.0</v>
      </c>
      <c r="J7315" s="15">
        <v>1.0</v>
      </c>
      <c r="K7315" s="15" t="s">
        <v>31</v>
      </c>
      <c r="L7315" s="16" t="s">
        <v>45553</v>
      </c>
      <c r="M7315" s="14" t="s">
        <v>45554</v>
      </c>
      <c r="N7315" s="14" t="s">
        <v>155</v>
      </c>
      <c r="O7315" s="16" t="s">
        <v>156</v>
      </c>
      <c r="P7315" s="14" t="s">
        <v>13918</v>
      </c>
      <c r="Q7315" s="14" t="s">
        <v>6654</v>
      </c>
      <c r="R7315" s="14" t="s">
        <v>64</v>
      </c>
      <c r="S7315" s="16" t="s">
        <v>1549</v>
      </c>
      <c r="T7315" s="14" t="s">
        <v>66</v>
      </c>
      <c r="U7315" s="16" t="s">
        <v>31</v>
      </c>
      <c r="V7315" s="14" t="s">
        <v>1283</v>
      </c>
      <c r="W7315" s="14" t="s">
        <v>45511</v>
      </c>
      <c r="X7315" s="17" t="str">
        <f>HYPERLINK("https://my.pitchbook.com?p=158087-44P","View People Online")</f>
        <v>View People Online</v>
      </c>
    </row>
    <row r="7316">
      <c r="A7316" s="2" t="s">
        <v>45555</v>
      </c>
      <c r="B7316" s="2" t="s">
        <v>45556</v>
      </c>
      <c r="C7316" s="2" t="s">
        <v>7252</v>
      </c>
      <c r="D7316" s="2" t="s">
        <v>45557</v>
      </c>
      <c r="E7316" s="2" t="s">
        <v>45511</v>
      </c>
      <c r="F7316" s="2" t="s">
        <v>270</v>
      </c>
      <c r="G7316" s="2" t="s">
        <v>45558</v>
      </c>
      <c r="H7316" s="3" t="s">
        <v>31</v>
      </c>
      <c r="I7316" s="3">
        <v>8.0</v>
      </c>
      <c r="J7316" s="3">
        <v>2.0</v>
      </c>
      <c r="K7316" s="3">
        <v>5.0</v>
      </c>
      <c r="L7316" s="4" t="s">
        <v>45523</v>
      </c>
      <c r="M7316" s="2" t="s">
        <v>45559</v>
      </c>
      <c r="N7316" s="2" t="s">
        <v>2478</v>
      </c>
      <c r="O7316" s="4" t="s">
        <v>7332</v>
      </c>
      <c r="P7316" s="2" t="s">
        <v>45514</v>
      </c>
      <c r="Q7316" s="2" t="s">
        <v>31</v>
      </c>
      <c r="R7316" s="2" t="s">
        <v>7335</v>
      </c>
      <c r="S7316" s="4" t="s">
        <v>7336</v>
      </c>
      <c r="T7316" s="2" t="s">
        <v>5484</v>
      </c>
      <c r="U7316" s="4" t="s">
        <v>45525</v>
      </c>
      <c r="V7316" s="2" t="s">
        <v>45560</v>
      </c>
      <c r="W7316" s="2" t="s">
        <v>45527</v>
      </c>
      <c r="X7316" s="5" t="str">
        <f>HYPERLINK("https://my.pitchbook.com?p=215087-59P","View People Online")</f>
        <v>View People Online</v>
      </c>
    </row>
    <row r="7317">
      <c r="A7317" s="6" t="s">
        <v>45561</v>
      </c>
      <c r="B7317" s="6" t="s">
        <v>45562</v>
      </c>
      <c r="C7317" s="6" t="s">
        <v>3779</v>
      </c>
      <c r="D7317" s="6" t="s">
        <v>3941</v>
      </c>
      <c r="E7317" s="6" t="s">
        <v>45511</v>
      </c>
      <c r="F7317" s="6" t="s">
        <v>270</v>
      </c>
      <c r="G7317" s="6" t="s">
        <v>45563</v>
      </c>
      <c r="H7317" s="7" t="s">
        <v>31</v>
      </c>
      <c r="I7317" s="7">
        <v>4.0</v>
      </c>
      <c r="J7317" s="7">
        <v>2.0</v>
      </c>
      <c r="K7317" s="7">
        <v>2.0</v>
      </c>
      <c r="L7317" s="8" t="s">
        <v>31</v>
      </c>
      <c r="M7317" s="6" t="s">
        <v>31</v>
      </c>
      <c r="N7317" s="6" t="s">
        <v>2478</v>
      </c>
      <c r="O7317" s="8" t="s">
        <v>7332</v>
      </c>
      <c r="P7317" s="6" t="s">
        <v>45514</v>
      </c>
      <c r="Q7317" s="6" t="s">
        <v>31</v>
      </c>
      <c r="R7317" s="6" t="s">
        <v>7335</v>
      </c>
      <c r="S7317" s="8" t="s">
        <v>7336</v>
      </c>
      <c r="T7317" s="6" t="s">
        <v>5484</v>
      </c>
      <c r="U7317" s="8" t="s">
        <v>31</v>
      </c>
      <c r="V7317" s="6" t="s">
        <v>45564</v>
      </c>
      <c r="W7317" s="6" t="s">
        <v>45511</v>
      </c>
      <c r="X7317" s="9" t="str">
        <f>HYPERLINK("https://my.pitchbook.com?p=456407-92P","View People Online")</f>
        <v>View People Online</v>
      </c>
    </row>
    <row r="7318">
      <c r="A7318" s="2" t="s">
        <v>45565</v>
      </c>
      <c r="B7318" s="2" t="s">
        <v>45566</v>
      </c>
      <c r="C7318" s="2" t="s">
        <v>45567</v>
      </c>
      <c r="D7318" s="2" t="s">
        <v>45568</v>
      </c>
      <c r="E7318" s="2" t="s">
        <v>45511</v>
      </c>
      <c r="F7318" s="2" t="s">
        <v>825</v>
      </c>
      <c r="G7318" s="2" t="s">
        <v>45569</v>
      </c>
      <c r="H7318" s="3" t="s">
        <v>31</v>
      </c>
      <c r="I7318" s="3">
        <v>1.0</v>
      </c>
      <c r="J7318" s="3">
        <v>1.0</v>
      </c>
      <c r="K7318" s="3" t="s">
        <v>31</v>
      </c>
      <c r="L7318" s="4" t="s">
        <v>31</v>
      </c>
      <c r="M7318" s="2" t="s">
        <v>45570</v>
      </c>
      <c r="N7318" s="2" t="s">
        <v>2478</v>
      </c>
      <c r="O7318" s="4" t="s">
        <v>7332</v>
      </c>
      <c r="P7318" s="2" t="s">
        <v>45514</v>
      </c>
      <c r="Q7318" s="2" t="s">
        <v>31</v>
      </c>
      <c r="R7318" s="2" t="s">
        <v>7335</v>
      </c>
      <c r="S7318" s="4" t="s">
        <v>7336</v>
      </c>
      <c r="T7318" s="2" t="s">
        <v>5484</v>
      </c>
      <c r="U7318" s="4" t="s">
        <v>31</v>
      </c>
      <c r="V7318" s="2" t="s">
        <v>45571</v>
      </c>
      <c r="W7318" s="2" t="s">
        <v>45511</v>
      </c>
      <c r="X7318" s="5" t="str">
        <f>HYPERLINK("https://my.pitchbook.com?p=203647-78P","View People Online")</f>
        <v>View People Online</v>
      </c>
    </row>
    <row r="7319">
      <c r="A7319" s="14" t="s">
        <v>45572</v>
      </c>
      <c r="B7319" s="14" t="s">
        <v>45573</v>
      </c>
      <c r="C7319" s="14" t="s">
        <v>45574</v>
      </c>
      <c r="D7319" s="14" t="s">
        <v>45575</v>
      </c>
      <c r="E7319" s="14" t="s">
        <v>45511</v>
      </c>
      <c r="F7319" s="14" t="s">
        <v>825</v>
      </c>
      <c r="G7319" s="14" t="s">
        <v>45576</v>
      </c>
      <c r="H7319" s="15" t="s">
        <v>31</v>
      </c>
      <c r="I7319" s="15">
        <v>1.0</v>
      </c>
      <c r="J7319" s="15">
        <v>1.0</v>
      </c>
      <c r="K7319" s="15" t="s">
        <v>31</v>
      </c>
      <c r="L7319" s="16" t="s">
        <v>31</v>
      </c>
      <c r="M7319" s="14" t="s">
        <v>45577</v>
      </c>
      <c r="N7319" s="14" t="s">
        <v>2478</v>
      </c>
      <c r="O7319" s="16" t="s">
        <v>7332</v>
      </c>
      <c r="P7319" s="14" t="s">
        <v>45514</v>
      </c>
      <c r="Q7319" s="14" t="s">
        <v>31</v>
      </c>
      <c r="R7319" s="14" t="s">
        <v>7335</v>
      </c>
      <c r="S7319" s="16" t="s">
        <v>7336</v>
      </c>
      <c r="T7319" s="14" t="s">
        <v>5484</v>
      </c>
      <c r="U7319" s="16" t="s">
        <v>31</v>
      </c>
      <c r="V7319" s="14" t="s">
        <v>45578</v>
      </c>
      <c r="W7319" s="14" t="s">
        <v>45511</v>
      </c>
      <c r="X7319" s="17" t="str">
        <f>HYPERLINK("https://my.pitchbook.com?p=357741-19P","View People Online")</f>
        <v>View People Online</v>
      </c>
    </row>
    <row r="7320">
      <c r="A7320" s="10" t="s">
        <v>45579</v>
      </c>
      <c r="B7320" s="10" t="s">
        <v>45580</v>
      </c>
      <c r="C7320" s="10" t="s">
        <v>1437</v>
      </c>
      <c r="D7320" s="10" t="s">
        <v>45581</v>
      </c>
      <c r="E7320" s="10" t="s">
        <v>45511</v>
      </c>
      <c r="F7320" s="10" t="s">
        <v>1283</v>
      </c>
      <c r="G7320" s="10" t="s">
        <v>45582</v>
      </c>
      <c r="H7320" s="11" t="s">
        <v>31</v>
      </c>
      <c r="I7320" s="11">
        <v>1.0</v>
      </c>
      <c r="J7320" s="11">
        <v>1.0</v>
      </c>
      <c r="K7320" s="11" t="s">
        <v>31</v>
      </c>
      <c r="L7320" s="12" t="s">
        <v>45583</v>
      </c>
      <c r="M7320" s="10" t="s">
        <v>45584</v>
      </c>
      <c r="N7320" s="10" t="s">
        <v>601</v>
      </c>
      <c r="O7320" s="12" t="s">
        <v>602</v>
      </c>
      <c r="P7320" s="10" t="s">
        <v>45585</v>
      </c>
      <c r="Q7320" s="10" t="s">
        <v>45586</v>
      </c>
      <c r="R7320" s="10" t="s">
        <v>31</v>
      </c>
      <c r="S7320" s="12" t="s">
        <v>31</v>
      </c>
      <c r="T7320" s="10" t="s">
        <v>603</v>
      </c>
      <c r="U7320" s="12" t="s">
        <v>31</v>
      </c>
      <c r="V7320" s="10" t="s">
        <v>45587</v>
      </c>
      <c r="W7320" s="10" t="s">
        <v>45511</v>
      </c>
      <c r="X7320" s="13" t="str">
        <f>HYPERLINK("https://my.pitchbook.com?p=201379-60P","View People Online")</f>
        <v>View People Online</v>
      </c>
    </row>
    <row r="7321">
      <c r="A7321" s="6" t="s">
        <v>45588</v>
      </c>
      <c r="B7321" s="6" t="s">
        <v>45589</v>
      </c>
      <c r="C7321" s="6" t="s">
        <v>285</v>
      </c>
      <c r="D7321" s="6" t="s">
        <v>27465</v>
      </c>
      <c r="E7321" s="6" t="s">
        <v>45511</v>
      </c>
      <c r="F7321" s="6" t="s">
        <v>6993</v>
      </c>
      <c r="G7321" s="6" t="s">
        <v>45590</v>
      </c>
      <c r="H7321" s="7">
        <v>1.0</v>
      </c>
      <c r="I7321" s="7">
        <v>16.0</v>
      </c>
      <c r="J7321" s="7">
        <v>1.0</v>
      </c>
      <c r="K7321" s="7">
        <v>8.0</v>
      </c>
      <c r="L7321" s="8" t="s">
        <v>45591</v>
      </c>
      <c r="M7321" s="6" t="s">
        <v>45592</v>
      </c>
      <c r="N7321" s="6" t="s">
        <v>75</v>
      </c>
      <c r="O7321" s="8" t="s">
        <v>76</v>
      </c>
      <c r="P7321" s="6" t="s">
        <v>45541</v>
      </c>
      <c r="Q7321" s="6" t="s">
        <v>31</v>
      </c>
      <c r="R7321" s="6" t="s">
        <v>75</v>
      </c>
      <c r="S7321" s="8" t="s">
        <v>45542</v>
      </c>
      <c r="T7321" s="6" t="s">
        <v>66</v>
      </c>
      <c r="U7321" s="8" t="s">
        <v>31</v>
      </c>
      <c r="V7321" s="6" t="s">
        <v>45593</v>
      </c>
      <c r="W7321" s="6" t="s">
        <v>45511</v>
      </c>
      <c r="X7321" s="9" t="str">
        <f>HYPERLINK("https://my.pitchbook.com?p=12534-04P","View People Online")</f>
        <v>View People Online</v>
      </c>
    </row>
    <row r="7322">
      <c r="A7322" s="2" t="s">
        <v>45594</v>
      </c>
      <c r="B7322" s="2" t="s">
        <v>45595</v>
      </c>
      <c r="C7322" s="2" t="s">
        <v>285</v>
      </c>
      <c r="D7322" s="2" t="s">
        <v>45596</v>
      </c>
      <c r="E7322" s="2" t="s">
        <v>45511</v>
      </c>
      <c r="F7322" s="2" t="s">
        <v>1283</v>
      </c>
      <c r="G7322" s="2" t="s">
        <v>45597</v>
      </c>
      <c r="H7322" s="3" t="s">
        <v>31</v>
      </c>
      <c r="I7322" s="3">
        <v>2.0</v>
      </c>
      <c r="J7322" s="3">
        <v>1.0</v>
      </c>
      <c r="K7322" s="3">
        <v>1.0</v>
      </c>
      <c r="L7322" s="4" t="s">
        <v>45598</v>
      </c>
      <c r="M7322" s="2" t="s">
        <v>45599</v>
      </c>
      <c r="N7322" s="2" t="s">
        <v>4232</v>
      </c>
      <c r="O7322" s="4" t="s">
        <v>4233</v>
      </c>
      <c r="P7322" s="2" t="s">
        <v>45600</v>
      </c>
      <c r="Q7322" s="2" t="s">
        <v>45601</v>
      </c>
      <c r="R7322" s="2" t="s">
        <v>4236</v>
      </c>
      <c r="S7322" s="4" t="s">
        <v>11182</v>
      </c>
      <c r="T7322" s="2" t="s">
        <v>66</v>
      </c>
      <c r="U7322" s="4" t="s">
        <v>31</v>
      </c>
      <c r="V7322" s="2" t="s">
        <v>45602</v>
      </c>
      <c r="W7322" s="2" t="s">
        <v>45511</v>
      </c>
      <c r="X7322" s="5" t="str">
        <f>HYPERLINK("https://my.pitchbook.com?p=315685-36P","View People Online")</f>
        <v>View People Online</v>
      </c>
    </row>
    <row r="7323">
      <c r="A7323" s="14" t="s">
        <v>45603</v>
      </c>
      <c r="B7323" s="14" t="s">
        <v>45604</v>
      </c>
      <c r="C7323" s="14" t="s">
        <v>9571</v>
      </c>
      <c r="D7323" s="14" t="s">
        <v>45605</v>
      </c>
      <c r="E7323" s="14" t="s">
        <v>45511</v>
      </c>
      <c r="F7323" s="14" t="s">
        <v>1283</v>
      </c>
      <c r="G7323" s="14" t="s">
        <v>45606</v>
      </c>
      <c r="H7323" s="15" t="s">
        <v>31</v>
      </c>
      <c r="I7323" s="15">
        <v>1.0</v>
      </c>
      <c r="J7323" s="15">
        <v>1.0</v>
      </c>
      <c r="K7323" s="15" t="s">
        <v>31</v>
      </c>
      <c r="L7323" s="16" t="s">
        <v>45607</v>
      </c>
      <c r="M7323" s="14" t="s">
        <v>45608</v>
      </c>
      <c r="N7323" s="14" t="s">
        <v>75</v>
      </c>
      <c r="O7323" s="16" t="s">
        <v>76</v>
      </c>
      <c r="P7323" s="14" t="s">
        <v>45541</v>
      </c>
      <c r="Q7323" s="14" t="s">
        <v>31</v>
      </c>
      <c r="R7323" s="14" t="s">
        <v>75</v>
      </c>
      <c r="S7323" s="16" t="s">
        <v>45542</v>
      </c>
      <c r="T7323" s="14" t="s">
        <v>66</v>
      </c>
      <c r="U7323" s="16" t="s">
        <v>31</v>
      </c>
      <c r="V7323" s="14" t="s">
        <v>1283</v>
      </c>
      <c r="W7323" s="14" t="s">
        <v>45511</v>
      </c>
      <c r="X7323" s="17" t="str">
        <f>HYPERLINK("https://my.pitchbook.com?p=158771-98P","View People Online")</f>
        <v>View People Online</v>
      </c>
    </row>
    <row r="7324">
      <c r="A7324" s="2" t="s">
        <v>45609</v>
      </c>
      <c r="B7324" s="2" t="s">
        <v>45610</v>
      </c>
      <c r="C7324" s="2" t="s">
        <v>4248</v>
      </c>
      <c r="D7324" s="2" t="s">
        <v>831</v>
      </c>
      <c r="E7324" s="2" t="s">
        <v>45511</v>
      </c>
      <c r="F7324" s="2" t="s">
        <v>6993</v>
      </c>
      <c r="G7324" s="2" t="s">
        <v>45611</v>
      </c>
      <c r="H7324" s="3" t="s">
        <v>31</v>
      </c>
      <c r="I7324" s="3">
        <v>3.0</v>
      </c>
      <c r="J7324" s="3">
        <v>1.0</v>
      </c>
      <c r="K7324" s="3">
        <v>2.0</v>
      </c>
      <c r="L7324" s="4" t="s">
        <v>45612</v>
      </c>
      <c r="M7324" s="2" t="s">
        <v>45613</v>
      </c>
      <c r="N7324" s="2" t="s">
        <v>3603</v>
      </c>
      <c r="O7324" s="4" t="s">
        <v>3604</v>
      </c>
      <c r="P7324" s="2" t="s">
        <v>45614</v>
      </c>
      <c r="Q7324" s="2" t="s">
        <v>45615</v>
      </c>
      <c r="R7324" s="2" t="s">
        <v>31</v>
      </c>
      <c r="S7324" s="4" t="s">
        <v>31</v>
      </c>
      <c r="T7324" s="2" t="s">
        <v>3603</v>
      </c>
      <c r="U7324" s="4" t="s">
        <v>31</v>
      </c>
      <c r="V7324" s="2" t="s">
        <v>6993</v>
      </c>
      <c r="W7324" s="2" t="s">
        <v>45511</v>
      </c>
      <c r="X7324" s="5" t="str">
        <f>HYPERLINK("https://my.pitchbook.com?p=424441-00P","View People Online")</f>
        <v>View People Online</v>
      </c>
    </row>
    <row r="7325">
      <c r="A7325" s="14" t="s">
        <v>45616</v>
      </c>
      <c r="B7325" s="14" t="s">
        <v>45617</v>
      </c>
      <c r="C7325" s="14" t="s">
        <v>746</v>
      </c>
      <c r="D7325" s="14" t="s">
        <v>11992</v>
      </c>
      <c r="E7325" s="14" t="s">
        <v>45511</v>
      </c>
      <c r="F7325" s="14" t="s">
        <v>371</v>
      </c>
      <c r="G7325" s="14" t="s">
        <v>45618</v>
      </c>
      <c r="H7325" s="15" t="s">
        <v>31</v>
      </c>
      <c r="I7325" s="15">
        <v>1.0</v>
      </c>
      <c r="J7325" s="15">
        <v>1.0</v>
      </c>
      <c r="K7325" s="15" t="s">
        <v>31</v>
      </c>
      <c r="L7325" s="16" t="s">
        <v>45591</v>
      </c>
      <c r="M7325" s="14" t="s">
        <v>45619</v>
      </c>
      <c r="N7325" s="14" t="s">
        <v>75</v>
      </c>
      <c r="O7325" s="16" t="s">
        <v>76</v>
      </c>
      <c r="P7325" s="14" t="s">
        <v>45541</v>
      </c>
      <c r="Q7325" s="14" t="s">
        <v>31</v>
      </c>
      <c r="R7325" s="14" t="s">
        <v>75</v>
      </c>
      <c r="S7325" s="16" t="s">
        <v>45542</v>
      </c>
      <c r="T7325" s="14" t="s">
        <v>66</v>
      </c>
      <c r="U7325" s="16" t="s">
        <v>31</v>
      </c>
      <c r="V7325" s="14" t="s">
        <v>45620</v>
      </c>
      <c r="W7325" s="14" t="s">
        <v>45511</v>
      </c>
      <c r="X7325" s="17" t="str">
        <f>HYPERLINK("https://my.pitchbook.com?p=388204-48P","View People Online")</f>
        <v>View People Online</v>
      </c>
    </row>
    <row r="7326">
      <c r="A7326" s="2" t="s">
        <v>45621</v>
      </c>
      <c r="B7326" s="2" t="s">
        <v>45622</v>
      </c>
      <c r="C7326" s="2" t="s">
        <v>1449</v>
      </c>
      <c r="D7326" s="2" t="s">
        <v>41630</v>
      </c>
      <c r="E7326" s="2" t="s">
        <v>45511</v>
      </c>
      <c r="F7326" s="2" t="s">
        <v>825</v>
      </c>
      <c r="G7326" s="2" t="s">
        <v>45623</v>
      </c>
      <c r="H7326" s="3" t="s">
        <v>31</v>
      </c>
      <c r="I7326" s="3">
        <v>2.0</v>
      </c>
      <c r="J7326" s="3">
        <v>1.0</v>
      </c>
      <c r="K7326" s="3">
        <v>1.0</v>
      </c>
      <c r="L7326" s="4" t="s">
        <v>45591</v>
      </c>
      <c r="M7326" s="2" t="s">
        <v>45624</v>
      </c>
      <c r="N7326" s="2" t="s">
        <v>75</v>
      </c>
      <c r="O7326" s="4" t="s">
        <v>76</v>
      </c>
      <c r="P7326" s="2" t="s">
        <v>45541</v>
      </c>
      <c r="Q7326" s="2" t="s">
        <v>31</v>
      </c>
      <c r="R7326" s="2" t="s">
        <v>75</v>
      </c>
      <c r="S7326" s="4" t="s">
        <v>45542</v>
      </c>
      <c r="T7326" s="2" t="s">
        <v>66</v>
      </c>
      <c r="U7326" s="4" t="s">
        <v>31</v>
      </c>
      <c r="V7326" s="2" t="s">
        <v>45625</v>
      </c>
      <c r="W7326" s="2" t="s">
        <v>45511</v>
      </c>
      <c r="X7326" s="5" t="str">
        <f>HYPERLINK("https://my.pitchbook.com?p=141011-47P","View People Online")</f>
        <v>View People Online</v>
      </c>
    </row>
    <row r="7327">
      <c r="A7327" s="14" t="s">
        <v>45626</v>
      </c>
      <c r="B7327" s="14" t="s">
        <v>45627</v>
      </c>
      <c r="C7327" s="14" t="s">
        <v>1449</v>
      </c>
      <c r="D7327" s="14" t="s">
        <v>45628</v>
      </c>
      <c r="E7327" s="14" t="s">
        <v>45511</v>
      </c>
      <c r="F7327" s="14" t="s">
        <v>8622</v>
      </c>
      <c r="G7327" s="14" t="s">
        <v>45629</v>
      </c>
      <c r="H7327" s="15">
        <v>1.0</v>
      </c>
      <c r="I7327" s="15">
        <v>4.0</v>
      </c>
      <c r="J7327" s="15">
        <v>1.0</v>
      </c>
      <c r="K7327" s="15">
        <v>3.0</v>
      </c>
      <c r="L7327" s="16" t="s">
        <v>31</v>
      </c>
      <c r="M7327" s="14" t="s">
        <v>45630</v>
      </c>
      <c r="N7327" s="14" t="s">
        <v>2478</v>
      </c>
      <c r="O7327" s="16" t="s">
        <v>7332</v>
      </c>
      <c r="P7327" s="14" t="s">
        <v>45514</v>
      </c>
      <c r="Q7327" s="14" t="s">
        <v>31</v>
      </c>
      <c r="R7327" s="14" t="s">
        <v>7335</v>
      </c>
      <c r="S7327" s="16" t="s">
        <v>7336</v>
      </c>
      <c r="T7327" s="14" t="s">
        <v>5484</v>
      </c>
      <c r="U7327" s="16" t="s">
        <v>31</v>
      </c>
      <c r="V7327" s="14" t="s">
        <v>45631</v>
      </c>
      <c r="W7327" s="14" t="s">
        <v>45511</v>
      </c>
      <c r="X7327" s="17" t="str">
        <f>HYPERLINK("https://my.pitchbook.com?p=161668-63P","View People Online")</f>
        <v>View People Online</v>
      </c>
    </row>
    <row r="7328">
      <c r="A7328" s="10" t="s">
        <v>45632</v>
      </c>
      <c r="B7328" s="10" t="s">
        <v>45633</v>
      </c>
      <c r="C7328" s="10" t="s">
        <v>1449</v>
      </c>
      <c r="D7328" s="10" t="s">
        <v>45634</v>
      </c>
      <c r="E7328" s="10" t="s">
        <v>45511</v>
      </c>
      <c r="F7328" s="10" t="s">
        <v>1283</v>
      </c>
      <c r="G7328" s="10" t="s">
        <v>45635</v>
      </c>
      <c r="H7328" s="11" t="s">
        <v>31</v>
      </c>
      <c r="I7328" s="11">
        <v>1.0</v>
      </c>
      <c r="J7328" s="11">
        <v>1.0</v>
      </c>
      <c r="K7328" s="11" t="s">
        <v>31</v>
      </c>
      <c r="L7328" s="12" t="s">
        <v>31</v>
      </c>
      <c r="M7328" s="10" t="s">
        <v>45636</v>
      </c>
      <c r="N7328" s="10" t="s">
        <v>2478</v>
      </c>
      <c r="O7328" s="12" t="s">
        <v>7332</v>
      </c>
      <c r="P7328" s="10" t="s">
        <v>45514</v>
      </c>
      <c r="Q7328" s="10" t="s">
        <v>31</v>
      </c>
      <c r="R7328" s="10" t="s">
        <v>7335</v>
      </c>
      <c r="S7328" s="12" t="s">
        <v>7336</v>
      </c>
      <c r="T7328" s="10" t="s">
        <v>5484</v>
      </c>
      <c r="U7328" s="12" t="s">
        <v>31</v>
      </c>
      <c r="V7328" s="10" t="s">
        <v>45637</v>
      </c>
      <c r="W7328" s="10" t="s">
        <v>45511</v>
      </c>
      <c r="X7328" s="13" t="str">
        <f>HYPERLINK("https://my.pitchbook.com?p=82069-03P","View People Online")</f>
        <v>View People Online</v>
      </c>
    </row>
    <row r="7329">
      <c r="A7329" s="14" t="s">
        <v>45638</v>
      </c>
      <c r="B7329" s="14" t="s">
        <v>45639</v>
      </c>
      <c r="C7329" s="14" t="s">
        <v>1449</v>
      </c>
      <c r="D7329" s="14" t="s">
        <v>45640</v>
      </c>
      <c r="E7329" s="14" t="s">
        <v>45511</v>
      </c>
      <c r="F7329" s="14" t="s">
        <v>270</v>
      </c>
      <c r="G7329" s="14" t="s">
        <v>45641</v>
      </c>
      <c r="H7329" s="15">
        <v>1.0</v>
      </c>
      <c r="I7329" s="15">
        <v>2.0</v>
      </c>
      <c r="J7329" s="15">
        <v>1.0</v>
      </c>
      <c r="K7329" s="15" t="s">
        <v>31</v>
      </c>
      <c r="L7329" s="16" t="s">
        <v>31</v>
      </c>
      <c r="M7329" s="14" t="s">
        <v>45642</v>
      </c>
      <c r="N7329" s="14" t="s">
        <v>2478</v>
      </c>
      <c r="O7329" s="16" t="s">
        <v>7332</v>
      </c>
      <c r="P7329" s="14" t="s">
        <v>45514</v>
      </c>
      <c r="Q7329" s="14" t="s">
        <v>31</v>
      </c>
      <c r="R7329" s="14" t="s">
        <v>7335</v>
      </c>
      <c r="S7329" s="16" t="s">
        <v>7336</v>
      </c>
      <c r="T7329" s="14" t="s">
        <v>5484</v>
      </c>
      <c r="U7329" s="16" t="s">
        <v>31</v>
      </c>
      <c r="V7329" s="14" t="s">
        <v>45643</v>
      </c>
      <c r="W7329" s="14" t="s">
        <v>45511</v>
      </c>
      <c r="X7329" s="17" t="str">
        <f>HYPERLINK("https://my.pitchbook.com?p=166121-20P","View People Online")</f>
        <v>View People Online</v>
      </c>
    </row>
    <row r="7330">
      <c r="A7330" s="10" t="s">
        <v>45644</v>
      </c>
      <c r="B7330" s="10" t="s">
        <v>45645</v>
      </c>
      <c r="C7330" s="10" t="s">
        <v>45646</v>
      </c>
      <c r="D7330" s="10" t="s">
        <v>2432</v>
      </c>
      <c r="E7330" s="10" t="s">
        <v>45511</v>
      </c>
      <c r="F7330" s="10" t="s">
        <v>1283</v>
      </c>
      <c r="G7330" s="10" t="s">
        <v>45647</v>
      </c>
      <c r="H7330" s="11" t="s">
        <v>31</v>
      </c>
      <c r="I7330" s="11">
        <v>1.0</v>
      </c>
      <c r="J7330" s="11">
        <v>1.0</v>
      </c>
      <c r="K7330" s="11" t="s">
        <v>31</v>
      </c>
      <c r="L7330" s="12" t="s">
        <v>31</v>
      </c>
      <c r="M7330" s="10" t="s">
        <v>45648</v>
      </c>
      <c r="N7330" s="10" t="s">
        <v>2478</v>
      </c>
      <c r="O7330" s="12" t="s">
        <v>7332</v>
      </c>
      <c r="P7330" s="10" t="s">
        <v>45514</v>
      </c>
      <c r="Q7330" s="10" t="s">
        <v>31</v>
      </c>
      <c r="R7330" s="10" t="s">
        <v>7335</v>
      </c>
      <c r="S7330" s="12" t="s">
        <v>7336</v>
      </c>
      <c r="T7330" s="10" t="s">
        <v>5484</v>
      </c>
      <c r="U7330" s="12" t="s">
        <v>31</v>
      </c>
      <c r="V7330" s="10" t="s">
        <v>1283</v>
      </c>
      <c r="W7330" s="10" t="s">
        <v>45511</v>
      </c>
      <c r="X7330" s="13" t="str">
        <f>HYPERLINK("https://my.pitchbook.com?p=340942-33P","View People Online")</f>
        <v>View People Online</v>
      </c>
    </row>
    <row r="7331">
      <c r="A7331" s="6" t="s">
        <v>45649</v>
      </c>
      <c r="B7331" s="6" t="s">
        <v>45650</v>
      </c>
      <c r="C7331" s="6" t="s">
        <v>26010</v>
      </c>
      <c r="D7331" s="6" t="s">
        <v>32396</v>
      </c>
      <c r="E7331" s="6" t="s">
        <v>45511</v>
      </c>
      <c r="F7331" s="6" t="s">
        <v>6993</v>
      </c>
      <c r="G7331" s="6" t="s">
        <v>45651</v>
      </c>
      <c r="H7331" s="7" t="s">
        <v>31</v>
      </c>
      <c r="I7331" s="7">
        <v>3.0</v>
      </c>
      <c r="J7331" s="7">
        <v>1.0</v>
      </c>
      <c r="K7331" s="7">
        <v>2.0</v>
      </c>
      <c r="L7331" s="8" t="s">
        <v>31</v>
      </c>
      <c r="M7331" s="6" t="s">
        <v>45652</v>
      </c>
      <c r="N7331" s="6" t="s">
        <v>2478</v>
      </c>
      <c r="O7331" s="8" t="s">
        <v>7332</v>
      </c>
      <c r="P7331" s="6" t="s">
        <v>45514</v>
      </c>
      <c r="Q7331" s="6" t="s">
        <v>31</v>
      </c>
      <c r="R7331" s="6" t="s">
        <v>7335</v>
      </c>
      <c r="S7331" s="8" t="s">
        <v>7336</v>
      </c>
      <c r="T7331" s="6" t="s">
        <v>5484</v>
      </c>
      <c r="U7331" s="8" t="s">
        <v>31</v>
      </c>
      <c r="V7331" s="6" t="s">
        <v>6993</v>
      </c>
      <c r="W7331" s="6" t="s">
        <v>45511</v>
      </c>
      <c r="X7331" s="9" t="str">
        <f>HYPERLINK("https://my.pitchbook.com?p=392483-08P","View People Online")</f>
        <v>View People Online</v>
      </c>
    </row>
    <row r="7332">
      <c r="A7332" s="10" t="s">
        <v>45653</v>
      </c>
      <c r="B7332" s="10" t="s">
        <v>45654</v>
      </c>
      <c r="C7332" s="10" t="s">
        <v>3499</v>
      </c>
      <c r="D7332" s="10" t="s">
        <v>45655</v>
      </c>
      <c r="E7332" s="10" t="s">
        <v>45511</v>
      </c>
      <c r="F7332" s="10" t="s">
        <v>6993</v>
      </c>
      <c r="G7332" s="10" t="s">
        <v>45656</v>
      </c>
      <c r="H7332" s="11">
        <v>1.0</v>
      </c>
      <c r="I7332" s="11">
        <v>2.0</v>
      </c>
      <c r="J7332" s="11">
        <v>1.0</v>
      </c>
      <c r="K7332" s="11" t="s">
        <v>31</v>
      </c>
      <c r="L7332" s="12" t="s">
        <v>31</v>
      </c>
      <c r="M7332" s="10" t="s">
        <v>45657</v>
      </c>
      <c r="N7332" s="10" t="s">
        <v>45658</v>
      </c>
      <c r="O7332" s="12" t="s">
        <v>45659</v>
      </c>
      <c r="P7332" s="10" t="s">
        <v>45660</v>
      </c>
      <c r="Q7332" s="10" t="s">
        <v>45661</v>
      </c>
      <c r="R7332" s="10" t="s">
        <v>45662</v>
      </c>
      <c r="S7332" s="12" t="s">
        <v>45663</v>
      </c>
      <c r="T7332" s="10" t="s">
        <v>5484</v>
      </c>
      <c r="U7332" s="12" t="s">
        <v>31</v>
      </c>
      <c r="V7332" s="10" t="s">
        <v>6993</v>
      </c>
      <c r="W7332" s="10" t="s">
        <v>45511</v>
      </c>
      <c r="X7332" s="13" t="str">
        <f>HYPERLINK("https://my.pitchbook.com?p=289741-24P","View People Online")</f>
        <v>View People Online</v>
      </c>
    </row>
    <row r="7333">
      <c r="A7333" s="6" t="s">
        <v>45664</v>
      </c>
      <c r="B7333" s="6" t="s">
        <v>45665</v>
      </c>
      <c r="C7333" s="6" t="s">
        <v>45666</v>
      </c>
      <c r="D7333" s="6" t="s">
        <v>45667</v>
      </c>
      <c r="E7333" s="6" t="s">
        <v>45511</v>
      </c>
      <c r="F7333" s="6" t="s">
        <v>713</v>
      </c>
      <c r="G7333" s="6" t="s">
        <v>45668</v>
      </c>
      <c r="H7333" s="7" t="s">
        <v>31</v>
      </c>
      <c r="I7333" s="7">
        <v>2.0</v>
      </c>
      <c r="J7333" s="7">
        <v>1.0</v>
      </c>
      <c r="K7333" s="7">
        <v>1.0</v>
      </c>
      <c r="L7333" s="8" t="s">
        <v>31</v>
      </c>
      <c r="M7333" s="6" t="s">
        <v>45669</v>
      </c>
      <c r="N7333" s="6" t="s">
        <v>2478</v>
      </c>
      <c r="O7333" s="8" t="s">
        <v>7332</v>
      </c>
      <c r="P7333" s="6" t="s">
        <v>45514</v>
      </c>
      <c r="Q7333" s="6" t="s">
        <v>31</v>
      </c>
      <c r="R7333" s="6" t="s">
        <v>7335</v>
      </c>
      <c r="S7333" s="8" t="s">
        <v>7336</v>
      </c>
      <c r="T7333" s="6" t="s">
        <v>5484</v>
      </c>
      <c r="U7333" s="8" t="s">
        <v>31</v>
      </c>
      <c r="V7333" s="6" t="s">
        <v>45670</v>
      </c>
      <c r="W7333" s="6" t="s">
        <v>45511</v>
      </c>
      <c r="X7333" s="9" t="str">
        <f>HYPERLINK("https://my.pitchbook.com?p=194058-46P","View People Online")</f>
        <v>View People Online</v>
      </c>
    </row>
    <row r="7334">
      <c r="A7334" s="10" t="s">
        <v>45671</v>
      </c>
      <c r="B7334" s="10" t="s">
        <v>45672</v>
      </c>
      <c r="C7334" s="10" t="s">
        <v>323</v>
      </c>
      <c r="D7334" s="10" t="s">
        <v>45673</v>
      </c>
      <c r="E7334" s="10" t="s">
        <v>45511</v>
      </c>
      <c r="F7334" s="10" t="s">
        <v>11160</v>
      </c>
      <c r="G7334" s="10" t="s">
        <v>45674</v>
      </c>
      <c r="H7334" s="11" t="s">
        <v>31</v>
      </c>
      <c r="I7334" s="11">
        <v>4.0</v>
      </c>
      <c r="J7334" s="11">
        <v>2.0</v>
      </c>
      <c r="K7334" s="11">
        <v>1.0</v>
      </c>
      <c r="L7334" s="12" t="s">
        <v>45591</v>
      </c>
      <c r="M7334" s="10" t="s">
        <v>45675</v>
      </c>
      <c r="N7334" s="10" t="s">
        <v>75</v>
      </c>
      <c r="O7334" s="12" t="s">
        <v>76</v>
      </c>
      <c r="P7334" s="10" t="s">
        <v>45541</v>
      </c>
      <c r="Q7334" s="10" t="s">
        <v>31</v>
      </c>
      <c r="R7334" s="10" t="s">
        <v>75</v>
      </c>
      <c r="S7334" s="12" t="s">
        <v>45542</v>
      </c>
      <c r="T7334" s="10" t="s">
        <v>66</v>
      </c>
      <c r="U7334" s="12" t="s">
        <v>31</v>
      </c>
      <c r="V7334" s="10" t="s">
        <v>45676</v>
      </c>
      <c r="W7334" s="10" t="s">
        <v>45511</v>
      </c>
      <c r="X7334" s="13" t="str">
        <f>HYPERLINK("https://my.pitchbook.com?p=55882-45P","View People Online")</f>
        <v>View People Online</v>
      </c>
    </row>
    <row r="7335">
      <c r="A7335" s="14" t="s">
        <v>45677</v>
      </c>
      <c r="B7335" s="14" t="s">
        <v>45678</v>
      </c>
      <c r="C7335" s="14" t="s">
        <v>8106</v>
      </c>
      <c r="D7335" s="14" t="s">
        <v>45679</v>
      </c>
      <c r="E7335" s="14" t="s">
        <v>45511</v>
      </c>
      <c r="F7335" s="14" t="s">
        <v>1283</v>
      </c>
      <c r="G7335" s="14" t="s">
        <v>45680</v>
      </c>
      <c r="H7335" s="15">
        <v>1.0</v>
      </c>
      <c r="I7335" s="15">
        <v>7.0</v>
      </c>
      <c r="J7335" s="15">
        <v>1.0</v>
      </c>
      <c r="K7335" s="15">
        <v>4.0</v>
      </c>
      <c r="L7335" s="16" t="s">
        <v>31</v>
      </c>
      <c r="M7335" s="14" t="s">
        <v>45681</v>
      </c>
      <c r="N7335" s="14" t="s">
        <v>2478</v>
      </c>
      <c r="O7335" s="16" t="s">
        <v>7332</v>
      </c>
      <c r="P7335" s="14" t="s">
        <v>45514</v>
      </c>
      <c r="Q7335" s="14" t="s">
        <v>31</v>
      </c>
      <c r="R7335" s="14" t="s">
        <v>7335</v>
      </c>
      <c r="S7335" s="16" t="s">
        <v>7336</v>
      </c>
      <c r="T7335" s="14" t="s">
        <v>5484</v>
      </c>
      <c r="U7335" s="16" t="s">
        <v>31</v>
      </c>
      <c r="V7335" s="14" t="s">
        <v>6993</v>
      </c>
      <c r="W7335" s="14" t="s">
        <v>45511</v>
      </c>
      <c r="X7335" s="17" t="str">
        <f>HYPERLINK("https://my.pitchbook.com?p=225893-17P","View People Online")</f>
        <v>View People Online</v>
      </c>
    </row>
    <row r="7336">
      <c r="A7336" s="2" t="s">
        <v>45682</v>
      </c>
      <c r="B7336" s="2" t="s">
        <v>45683</v>
      </c>
      <c r="C7336" s="2" t="s">
        <v>45684</v>
      </c>
      <c r="D7336" s="2" t="s">
        <v>6326</v>
      </c>
      <c r="E7336" s="2" t="s">
        <v>45511</v>
      </c>
      <c r="F7336" s="2" t="s">
        <v>3710</v>
      </c>
      <c r="G7336" s="2" t="s">
        <v>45685</v>
      </c>
      <c r="H7336" s="3" t="s">
        <v>31</v>
      </c>
      <c r="I7336" s="3">
        <v>1.0</v>
      </c>
      <c r="J7336" s="3">
        <v>1.0</v>
      </c>
      <c r="K7336" s="3" t="s">
        <v>31</v>
      </c>
      <c r="L7336" s="4" t="s">
        <v>31</v>
      </c>
      <c r="M7336" s="2" t="s">
        <v>45686</v>
      </c>
      <c r="N7336" s="2" t="s">
        <v>2478</v>
      </c>
      <c r="O7336" s="4" t="s">
        <v>7332</v>
      </c>
      <c r="P7336" s="2" t="s">
        <v>45514</v>
      </c>
      <c r="Q7336" s="2" t="s">
        <v>31</v>
      </c>
      <c r="R7336" s="2" t="s">
        <v>7335</v>
      </c>
      <c r="S7336" s="4" t="s">
        <v>7336</v>
      </c>
      <c r="T7336" s="2" t="s">
        <v>5484</v>
      </c>
      <c r="U7336" s="4" t="s">
        <v>31</v>
      </c>
      <c r="V7336" s="2" t="s">
        <v>45687</v>
      </c>
      <c r="W7336" s="2" t="s">
        <v>45511</v>
      </c>
      <c r="X7336" s="5" t="str">
        <f>HYPERLINK("https://my.pitchbook.com?p=108527-95P","View People Online")</f>
        <v>View People Online</v>
      </c>
    </row>
    <row r="7337">
      <c r="A7337" s="6" t="s">
        <v>45688</v>
      </c>
      <c r="B7337" s="6" t="s">
        <v>45689</v>
      </c>
      <c r="C7337" s="6" t="s">
        <v>45690</v>
      </c>
      <c r="D7337" s="6" t="s">
        <v>45691</v>
      </c>
      <c r="E7337" s="6" t="s">
        <v>45511</v>
      </c>
      <c r="F7337" s="6" t="s">
        <v>825</v>
      </c>
      <c r="G7337" s="6" t="s">
        <v>45692</v>
      </c>
      <c r="H7337" s="7" t="s">
        <v>31</v>
      </c>
      <c r="I7337" s="7">
        <v>3.0</v>
      </c>
      <c r="J7337" s="7">
        <v>1.0</v>
      </c>
      <c r="K7337" s="7">
        <v>2.0</v>
      </c>
      <c r="L7337" s="8" t="s">
        <v>31</v>
      </c>
      <c r="M7337" s="6" t="s">
        <v>45693</v>
      </c>
      <c r="N7337" s="6" t="s">
        <v>2478</v>
      </c>
      <c r="O7337" s="8" t="s">
        <v>7332</v>
      </c>
      <c r="P7337" s="6" t="s">
        <v>45514</v>
      </c>
      <c r="Q7337" s="6" t="s">
        <v>31</v>
      </c>
      <c r="R7337" s="6" t="s">
        <v>7335</v>
      </c>
      <c r="S7337" s="8" t="s">
        <v>7336</v>
      </c>
      <c r="T7337" s="6" t="s">
        <v>5484</v>
      </c>
      <c r="U7337" s="8" t="s">
        <v>31</v>
      </c>
      <c r="V7337" s="6" t="s">
        <v>45694</v>
      </c>
      <c r="W7337" s="6" t="s">
        <v>45511</v>
      </c>
      <c r="X7337" s="9" t="str">
        <f>HYPERLINK("https://my.pitchbook.com?p=93390-58P","View People Online")</f>
        <v>View People Online</v>
      </c>
    </row>
    <row r="7338">
      <c r="A7338" s="10" t="s">
        <v>45695</v>
      </c>
      <c r="B7338" s="10" t="s">
        <v>45696</v>
      </c>
      <c r="C7338" s="10" t="s">
        <v>16477</v>
      </c>
      <c r="D7338" s="10" t="s">
        <v>45697</v>
      </c>
      <c r="E7338" s="10" t="s">
        <v>45511</v>
      </c>
      <c r="F7338" s="10" t="s">
        <v>1283</v>
      </c>
      <c r="G7338" s="10" t="s">
        <v>45698</v>
      </c>
      <c r="H7338" s="11" t="s">
        <v>31</v>
      </c>
      <c r="I7338" s="11">
        <v>1.0</v>
      </c>
      <c r="J7338" s="11">
        <v>1.0</v>
      </c>
      <c r="K7338" s="11" t="s">
        <v>31</v>
      </c>
      <c r="L7338" s="12" t="s">
        <v>31</v>
      </c>
      <c r="M7338" s="10" t="s">
        <v>45699</v>
      </c>
      <c r="N7338" s="10" t="s">
        <v>2478</v>
      </c>
      <c r="O7338" s="12" t="s">
        <v>7332</v>
      </c>
      <c r="P7338" s="10" t="s">
        <v>45514</v>
      </c>
      <c r="Q7338" s="10" t="s">
        <v>31</v>
      </c>
      <c r="R7338" s="10" t="s">
        <v>7335</v>
      </c>
      <c r="S7338" s="12" t="s">
        <v>7336</v>
      </c>
      <c r="T7338" s="10" t="s">
        <v>5484</v>
      </c>
      <c r="U7338" s="12" t="s">
        <v>31</v>
      </c>
      <c r="V7338" s="10" t="s">
        <v>45700</v>
      </c>
      <c r="W7338" s="10" t="s">
        <v>45511</v>
      </c>
      <c r="X7338" s="13" t="str">
        <f>HYPERLINK("https://my.pitchbook.com?p=317255-23P","View People Online")</f>
        <v>View People Online</v>
      </c>
    </row>
    <row r="7339">
      <c r="A7339" s="14" t="s">
        <v>45701</v>
      </c>
      <c r="B7339" s="14" t="s">
        <v>45702</v>
      </c>
      <c r="C7339" s="14" t="s">
        <v>2827</v>
      </c>
      <c r="D7339" s="14" t="s">
        <v>17050</v>
      </c>
      <c r="E7339" s="14" t="s">
        <v>45511</v>
      </c>
      <c r="F7339" s="14" t="s">
        <v>825</v>
      </c>
      <c r="G7339" s="14" t="s">
        <v>45703</v>
      </c>
      <c r="H7339" s="15" t="s">
        <v>31</v>
      </c>
      <c r="I7339" s="15">
        <v>2.0</v>
      </c>
      <c r="J7339" s="15">
        <v>1.0</v>
      </c>
      <c r="K7339" s="15">
        <v>1.0</v>
      </c>
      <c r="L7339" s="16" t="s">
        <v>31</v>
      </c>
      <c r="M7339" s="14" t="s">
        <v>45704</v>
      </c>
      <c r="N7339" s="14" t="s">
        <v>2478</v>
      </c>
      <c r="O7339" s="16" t="s">
        <v>7332</v>
      </c>
      <c r="P7339" s="14" t="s">
        <v>45514</v>
      </c>
      <c r="Q7339" s="14" t="s">
        <v>31</v>
      </c>
      <c r="R7339" s="14" t="s">
        <v>7335</v>
      </c>
      <c r="S7339" s="16" t="s">
        <v>7336</v>
      </c>
      <c r="T7339" s="14" t="s">
        <v>5484</v>
      </c>
      <c r="U7339" s="16" t="s">
        <v>31</v>
      </c>
      <c r="V7339" s="14" t="s">
        <v>45705</v>
      </c>
      <c r="W7339" s="14" t="s">
        <v>45511</v>
      </c>
      <c r="X7339" s="17" t="str">
        <f>HYPERLINK("https://my.pitchbook.com?p=199961-02P","View People Online")</f>
        <v>View People Online</v>
      </c>
    </row>
    <row r="7340">
      <c r="A7340" s="10" t="s">
        <v>45706</v>
      </c>
      <c r="B7340" s="10" t="s">
        <v>45707</v>
      </c>
      <c r="C7340" s="10" t="s">
        <v>8294</v>
      </c>
      <c r="D7340" s="10" t="s">
        <v>3611</v>
      </c>
      <c r="E7340" s="10" t="s">
        <v>45511</v>
      </c>
      <c r="F7340" s="10" t="s">
        <v>1283</v>
      </c>
      <c r="G7340" s="10" t="s">
        <v>45708</v>
      </c>
      <c r="H7340" s="11" t="s">
        <v>31</v>
      </c>
      <c r="I7340" s="11">
        <v>1.0</v>
      </c>
      <c r="J7340" s="11">
        <v>1.0</v>
      </c>
      <c r="K7340" s="11" t="s">
        <v>31</v>
      </c>
      <c r="L7340" s="12" t="s">
        <v>31</v>
      </c>
      <c r="M7340" s="10" t="s">
        <v>45709</v>
      </c>
      <c r="N7340" s="10" t="s">
        <v>2478</v>
      </c>
      <c r="O7340" s="12" t="s">
        <v>7332</v>
      </c>
      <c r="P7340" s="10" t="s">
        <v>45514</v>
      </c>
      <c r="Q7340" s="10" t="s">
        <v>31</v>
      </c>
      <c r="R7340" s="10" t="s">
        <v>7335</v>
      </c>
      <c r="S7340" s="12" t="s">
        <v>7336</v>
      </c>
      <c r="T7340" s="10" t="s">
        <v>5484</v>
      </c>
      <c r="U7340" s="12" t="s">
        <v>31</v>
      </c>
      <c r="V7340" s="10" t="s">
        <v>45710</v>
      </c>
      <c r="W7340" s="10" t="s">
        <v>45511</v>
      </c>
      <c r="X7340" s="13" t="str">
        <f>HYPERLINK("https://my.pitchbook.com?p=429047-29P","View People Online")</f>
        <v>View People Online</v>
      </c>
    </row>
    <row r="7341">
      <c r="A7341" s="14" t="s">
        <v>45711</v>
      </c>
      <c r="B7341" s="14" t="s">
        <v>45712</v>
      </c>
      <c r="C7341" s="14" t="s">
        <v>16663</v>
      </c>
      <c r="D7341" s="14" t="s">
        <v>45713</v>
      </c>
      <c r="E7341" s="14" t="s">
        <v>45511</v>
      </c>
      <c r="F7341" s="14" t="s">
        <v>1283</v>
      </c>
      <c r="G7341" s="14" t="s">
        <v>45714</v>
      </c>
      <c r="H7341" s="15" t="s">
        <v>31</v>
      </c>
      <c r="I7341" s="15">
        <v>4.0</v>
      </c>
      <c r="J7341" s="15">
        <v>2.0</v>
      </c>
      <c r="K7341" s="15">
        <v>1.0</v>
      </c>
      <c r="L7341" s="16" t="s">
        <v>31</v>
      </c>
      <c r="M7341" s="14" t="s">
        <v>45715</v>
      </c>
      <c r="N7341" s="14" t="s">
        <v>2478</v>
      </c>
      <c r="O7341" s="16" t="s">
        <v>7332</v>
      </c>
      <c r="P7341" s="14" t="s">
        <v>45514</v>
      </c>
      <c r="Q7341" s="14" t="s">
        <v>31</v>
      </c>
      <c r="R7341" s="14" t="s">
        <v>7335</v>
      </c>
      <c r="S7341" s="16" t="s">
        <v>7336</v>
      </c>
      <c r="T7341" s="14" t="s">
        <v>5484</v>
      </c>
      <c r="U7341" s="16" t="s">
        <v>31</v>
      </c>
      <c r="V7341" s="14" t="s">
        <v>1283</v>
      </c>
      <c r="W7341" s="14" t="s">
        <v>45511</v>
      </c>
      <c r="X7341" s="17" t="str">
        <f>HYPERLINK("https://my.pitchbook.com?p=83081-62P","View People Online")</f>
        <v>View People Online</v>
      </c>
    </row>
    <row r="7342">
      <c r="A7342" s="10" t="s">
        <v>45716</v>
      </c>
      <c r="B7342" s="10" t="s">
        <v>45717</v>
      </c>
      <c r="C7342" s="10" t="s">
        <v>32539</v>
      </c>
      <c r="D7342" s="10" t="s">
        <v>4494</v>
      </c>
      <c r="E7342" s="10" t="s">
        <v>45511</v>
      </c>
      <c r="F7342" s="10" t="s">
        <v>548</v>
      </c>
      <c r="G7342" s="10" t="s">
        <v>45718</v>
      </c>
      <c r="H7342" s="11" t="s">
        <v>31</v>
      </c>
      <c r="I7342" s="11">
        <v>3.0</v>
      </c>
      <c r="J7342" s="11">
        <v>1.0</v>
      </c>
      <c r="K7342" s="11">
        <v>2.0</v>
      </c>
      <c r="L7342" s="12" t="s">
        <v>31</v>
      </c>
      <c r="M7342" s="10" t="s">
        <v>45719</v>
      </c>
      <c r="N7342" s="10" t="s">
        <v>2478</v>
      </c>
      <c r="O7342" s="12" t="s">
        <v>7332</v>
      </c>
      <c r="P7342" s="10" t="s">
        <v>45514</v>
      </c>
      <c r="Q7342" s="10" t="s">
        <v>31</v>
      </c>
      <c r="R7342" s="10" t="s">
        <v>7335</v>
      </c>
      <c r="S7342" s="12" t="s">
        <v>7336</v>
      </c>
      <c r="T7342" s="10" t="s">
        <v>5484</v>
      </c>
      <c r="U7342" s="12" t="s">
        <v>31</v>
      </c>
      <c r="V7342" s="10" t="s">
        <v>2422</v>
      </c>
      <c r="W7342" s="10" t="s">
        <v>45511</v>
      </c>
      <c r="X7342" s="13" t="str">
        <f>HYPERLINK("https://my.pitchbook.com?p=329846-59P","View People Online")</f>
        <v>View People Online</v>
      </c>
    </row>
    <row r="7343">
      <c r="A7343" s="14" t="s">
        <v>45720</v>
      </c>
      <c r="B7343" s="14" t="s">
        <v>45721</v>
      </c>
      <c r="C7343" s="14" t="s">
        <v>45722</v>
      </c>
      <c r="D7343" s="14" t="s">
        <v>43034</v>
      </c>
      <c r="E7343" s="14" t="s">
        <v>45511</v>
      </c>
      <c r="F7343" s="14" t="s">
        <v>825</v>
      </c>
      <c r="G7343" s="14" t="s">
        <v>45723</v>
      </c>
      <c r="H7343" s="15" t="s">
        <v>31</v>
      </c>
      <c r="I7343" s="15">
        <v>1.0</v>
      </c>
      <c r="J7343" s="15">
        <v>1.0</v>
      </c>
      <c r="K7343" s="15" t="s">
        <v>31</v>
      </c>
      <c r="L7343" s="16" t="s">
        <v>31</v>
      </c>
      <c r="M7343" s="14" t="s">
        <v>45724</v>
      </c>
      <c r="N7343" s="14" t="s">
        <v>2478</v>
      </c>
      <c r="O7343" s="16" t="s">
        <v>7332</v>
      </c>
      <c r="P7343" s="14" t="s">
        <v>45514</v>
      </c>
      <c r="Q7343" s="14" t="s">
        <v>31</v>
      </c>
      <c r="R7343" s="14" t="s">
        <v>7335</v>
      </c>
      <c r="S7343" s="16" t="s">
        <v>7336</v>
      </c>
      <c r="T7343" s="14" t="s">
        <v>5484</v>
      </c>
      <c r="U7343" s="16" t="s">
        <v>31</v>
      </c>
      <c r="V7343" s="14" t="s">
        <v>45725</v>
      </c>
      <c r="W7343" s="14" t="s">
        <v>45511</v>
      </c>
      <c r="X7343" s="17" t="str">
        <f>HYPERLINK("https://my.pitchbook.com?p=40907-44P","View People Online")</f>
        <v>View People Online</v>
      </c>
    </row>
    <row r="7344">
      <c r="A7344" s="2" t="s">
        <v>45726</v>
      </c>
      <c r="B7344" s="2" t="s">
        <v>45727</v>
      </c>
      <c r="C7344" s="2" t="s">
        <v>8873</v>
      </c>
      <c r="D7344" s="2" t="s">
        <v>11232</v>
      </c>
      <c r="E7344" s="2" t="s">
        <v>45511</v>
      </c>
      <c r="F7344" s="2" t="s">
        <v>270</v>
      </c>
      <c r="G7344" s="2" t="s">
        <v>45728</v>
      </c>
      <c r="H7344" s="3">
        <v>1.0</v>
      </c>
      <c r="I7344" s="3">
        <v>5.0</v>
      </c>
      <c r="J7344" s="3">
        <v>2.0</v>
      </c>
      <c r="K7344" s="3">
        <v>1.0</v>
      </c>
      <c r="L7344" s="4" t="s">
        <v>45591</v>
      </c>
      <c r="M7344" s="2" t="s">
        <v>45729</v>
      </c>
      <c r="N7344" s="2" t="s">
        <v>75</v>
      </c>
      <c r="O7344" s="4" t="s">
        <v>76</v>
      </c>
      <c r="P7344" s="2" t="s">
        <v>45541</v>
      </c>
      <c r="Q7344" s="2" t="s">
        <v>31</v>
      </c>
      <c r="R7344" s="2" t="s">
        <v>75</v>
      </c>
      <c r="S7344" s="4" t="s">
        <v>45542</v>
      </c>
      <c r="T7344" s="2" t="s">
        <v>66</v>
      </c>
      <c r="U7344" s="4" t="s">
        <v>45730</v>
      </c>
      <c r="V7344" s="2" t="s">
        <v>45731</v>
      </c>
      <c r="W7344" s="2" t="s">
        <v>45527</v>
      </c>
      <c r="X7344" s="5" t="str">
        <f>HYPERLINK("https://my.pitchbook.com?p=368705-62P","View People Online")</f>
        <v>View People Online</v>
      </c>
    </row>
    <row r="7345">
      <c r="A7345" s="6" t="s">
        <v>45732</v>
      </c>
      <c r="B7345" s="6" t="s">
        <v>45733</v>
      </c>
      <c r="C7345" s="6" t="s">
        <v>3811</v>
      </c>
      <c r="D7345" s="6" t="s">
        <v>45734</v>
      </c>
      <c r="E7345" s="6" t="s">
        <v>45511</v>
      </c>
      <c r="F7345" s="6" t="s">
        <v>11160</v>
      </c>
      <c r="G7345" s="6" t="s">
        <v>45735</v>
      </c>
      <c r="H7345" s="7">
        <v>3.0</v>
      </c>
      <c r="I7345" s="7">
        <v>9.0</v>
      </c>
      <c r="J7345" s="7">
        <v>3.0</v>
      </c>
      <c r="K7345" s="7">
        <v>3.0</v>
      </c>
      <c r="L7345" s="8" t="s">
        <v>31</v>
      </c>
      <c r="M7345" s="6" t="s">
        <v>45736</v>
      </c>
      <c r="N7345" s="6" t="s">
        <v>2478</v>
      </c>
      <c r="O7345" s="8" t="s">
        <v>7332</v>
      </c>
      <c r="P7345" s="6" t="s">
        <v>45514</v>
      </c>
      <c r="Q7345" s="6" t="s">
        <v>31</v>
      </c>
      <c r="R7345" s="6" t="s">
        <v>7335</v>
      </c>
      <c r="S7345" s="8" t="s">
        <v>7336</v>
      </c>
      <c r="T7345" s="6" t="s">
        <v>5484</v>
      </c>
      <c r="U7345" s="8" t="s">
        <v>31</v>
      </c>
      <c r="V7345" s="6" t="s">
        <v>45737</v>
      </c>
      <c r="W7345" s="6" t="s">
        <v>45511</v>
      </c>
      <c r="X7345" s="9" t="str">
        <f>HYPERLINK("https://my.pitchbook.com?p=217005-76P","View People Online")</f>
        <v>View People Online</v>
      </c>
    </row>
    <row r="7346">
      <c r="A7346" s="10" t="s">
        <v>45738</v>
      </c>
      <c r="B7346" s="10" t="s">
        <v>45739</v>
      </c>
      <c r="C7346" s="10" t="s">
        <v>1471</v>
      </c>
      <c r="D7346" s="10" t="s">
        <v>45740</v>
      </c>
      <c r="E7346" s="10" t="s">
        <v>45511</v>
      </c>
      <c r="F7346" s="10" t="s">
        <v>1283</v>
      </c>
      <c r="G7346" s="10" t="s">
        <v>45741</v>
      </c>
      <c r="H7346" s="11" t="s">
        <v>31</v>
      </c>
      <c r="I7346" s="11">
        <v>11.0</v>
      </c>
      <c r="J7346" s="11">
        <v>1.0</v>
      </c>
      <c r="K7346" s="11">
        <v>10.0</v>
      </c>
      <c r="L7346" s="12" t="s">
        <v>31</v>
      </c>
      <c r="M7346" s="10" t="s">
        <v>45742</v>
      </c>
      <c r="N7346" s="10" t="s">
        <v>2478</v>
      </c>
      <c r="O7346" s="12" t="s">
        <v>7332</v>
      </c>
      <c r="P7346" s="10" t="s">
        <v>45514</v>
      </c>
      <c r="Q7346" s="10" t="s">
        <v>31</v>
      </c>
      <c r="R7346" s="10" t="s">
        <v>7335</v>
      </c>
      <c r="S7346" s="12" t="s">
        <v>7336</v>
      </c>
      <c r="T7346" s="10" t="s">
        <v>5484</v>
      </c>
      <c r="U7346" s="12" t="s">
        <v>31</v>
      </c>
      <c r="V7346" s="10" t="s">
        <v>45743</v>
      </c>
      <c r="W7346" s="10" t="s">
        <v>45511</v>
      </c>
      <c r="X7346" s="13" t="str">
        <f>HYPERLINK("https://my.pitchbook.com?p=14082-67P","View People Online")</f>
        <v>View People Online</v>
      </c>
    </row>
    <row r="7347">
      <c r="A7347" s="6" t="s">
        <v>45744</v>
      </c>
      <c r="B7347" s="6" t="s">
        <v>45745</v>
      </c>
      <c r="C7347" s="6" t="s">
        <v>1471</v>
      </c>
      <c r="D7347" s="6" t="s">
        <v>19668</v>
      </c>
      <c r="E7347" s="6" t="s">
        <v>45511</v>
      </c>
      <c r="F7347" s="6" t="s">
        <v>1283</v>
      </c>
      <c r="G7347" s="6" t="s">
        <v>45746</v>
      </c>
      <c r="H7347" s="7" t="s">
        <v>31</v>
      </c>
      <c r="I7347" s="7">
        <v>4.0</v>
      </c>
      <c r="J7347" s="7">
        <v>1.0</v>
      </c>
      <c r="K7347" s="7">
        <v>3.0</v>
      </c>
      <c r="L7347" s="8" t="s">
        <v>31</v>
      </c>
      <c r="M7347" s="6" t="s">
        <v>45747</v>
      </c>
      <c r="N7347" s="6" t="s">
        <v>2478</v>
      </c>
      <c r="O7347" s="8" t="s">
        <v>7332</v>
      </c>
      <c r="P7347" s="6" t="s">
        <v>45514</v>
      </c>
      <c r="Q7347" s="6" t="s">
        <v>31</v>
      </c>
      <c r="R7347" s="6" t="s">
        <v>7335</v>
      </c>
      <c r="S7347" s="8" t="s">
        <v>7336</v>
      </c>
      <c r="T7347" s="6" t="s">
        <v>5484</v>
      </c>
      <c r="U7347" s="8" t="s">
        <v>31</v>
      </c>
      <c r="V7347" s="6" t="s">
        <v>45748</v>
      </c>
      <c r="W7347" s="6" t="s">
        <v>45511</v>
      </c>
      <c r="X7347" s="9" t="str">
        <f>HYPERLINK("https://my.pitchbook.com?p=37143-10P","View People Online")</f>
        <v>View People Online</v>
      </c>
    </row>
    <row r="7348">
      <c r="A7348" s="2" t="s">
        <v>45749</v>
      </c>
      <c r="B7348" s="2" t="s">
        <v>45750</v>
      </c>
      <c r="C7348" s="2" t="s">
        <v>45751</v>
      </c>
      <c r="D7348" s="2" t="s">
        <v>45752</v>
      </c>
      <c r="E7348" s="2" t="s">
        <v>45511</v>
      </c>
      <c r="F7348" s="2" t="s">
        <v>312</v>
      </c>
      <c r="G7348" s="2" t="s">
        <v>45753</v>
      </c>
      <c r="H7348" s="3" t="s">
        <v>31</v>
      </c>
      <c r="I7348" s="3">
        <v>2.0</v>
      </c>
      <c r="J7348" s="3">
        <v>1.0</v>
      </c>
      <c r="K7348" s="3">
        <v>1.0</v>
      </c>
      <c r="L7348" s="4" t="s">
        <v>31</v>
      </c>
      <c r="M7348" s="2" t="s">
        <v>45754</v>
      </c>
      <c r="N7348" s="2" t="s">
        <v>2478</v>
      </c>
      <c r="O7348" s="4" t="s">
        <v>7332</v>
      </c>
      <c r="P7348" s="2" t="s">
        <v>45514</v>
      </c>
      <c r="Q7348" s="2" t="s">
        <v>31</v>
      </c>
      <c r="R7348" s="2" t="s">
        <v>7335</v>
      </c>
      <c r="S7348" s="4" t="s">
        <v>7336</v>
      </c>
      <c r="T7348" s="2" t="s">
        <v>5484</v>
      </c>
      <c r="U7348" s="4" t="s">
        <v>31</v>
      </c>
      <c r="V7348" s="2" t="s">
        <v>312</v>
      </c>
      <c r="W7348" s="2" t="s">
        <v>45511</v>
      </c>
      <c r="X7348" s="5" t="str">
        <f>HYPERLINK("https://my.pitchbook.com?p=432833-32P","View People Online")</f>
        <v>View People Online</v>
      </c>
    </row>
    <row r="7349">
      <c r="A7349" s="14" t="s">
        <v>45755</v>
      </c>
      <c r="B7349" s="14" t="s">
        <v>45756</v>
      </c>
      <c r="C7349" s="14" t="s">
        <v>45757</v>
      </c>
      <c r="D7349" s="14" t="s">
        <v>45758</v>
      </c>
      <c r="E7349" s="14" t="s">
        <v>45511</v>
      </c>
      <c r="F7349" s="14" t="s">
        <v>825</v>
      </c>
      <c r="G7349" s="14" t="s">
        <v>45759</v>
      </c>
      <c r="H7349" s="15" t="s">
        <v>31</v>
      </c>
      <c r="I7349" s="15">
        <v>2.0</v>
      </c>
      <c r="J7349" s="15">
        <v>1.0</v>
      </c>
      <c r="K7349" s="15">
        <v>1.0</v>
      </c>
      <c r="L7349" s="16" t="s">
        <v>31</v>
      </c>
      <c r="M7349" s="14" t="s">
        <v>45760</v>
      </c>
      <c r="N7349" s="14" t="s">
        <v>2478</v>
      </c>
      <c r="O7349" s="16" t="s">
        <v>7332</v>
      </c>
      <c r="P7349" s="14" t="s">
        <v>45514</v>
      </c>
      <c r="Q7349" s="14" t="s">
        <v>31</v>
      </c>
      <c r="R7349" s="14" t="s">
        <v>7335</v>
      </c>
      <c r="S7349" s="16" t="s">
        <v>7336</v>
      </c>
      <c r="T7349" s="14" t="s">
        <v>5484</v>
      </c>
      <c r="U7349" s="16" t="s">
        <v>31</v>
      </c>
      <c r="V7349" s="14" t="s">
        <v>45761</v>
      </c>
      <c r="W7349" s="14" t="s">
        <v>45511</v>
      </c>
      <c r="X7349" s="17" t="str">
        <f>HYPERLINK("https://my.pitchbook.com?p=399615-49P","View People Online")</f>
        <v>View People Online</v>
      </c>
    </row>
    <row r="7350">
      <c r="A7350" s="2" t="s">
        <v>45762</v>
      </c>
      <c r="B7350" s="2" t="s">
        <v>45763</v>
      </c>
      <c r="C7350" s="2" t="s">
        <v>4739</v>
      </c>
      <c r="D7350" s="2" t="s">
        <v>45764</v>
      </c>
      <c r="E7350" s="2" t="s">
        <v>45511</v>
      </c>
      <c r="F7350" s="2" t="s">
        <v>312</v>
      </c>
      <c r="G7350" s="2" t="s">
        <v>45765</v>
      </c>
      <c r="H7350" s="3" t="s">
        <v>31</v>
      </c>
      <c r="I7350" s="3">
        <v>1.0</v>
      </c>
      <c r="J7350" s="3">
        <v>1.0</v>
      </c>
      <c r="K7350" s="3" t="s">
        <v>31</v>
      </c>
      <c r="L7350" s="4" t="s">
        <v>31</v>
      </c>
      <c r="M7350" s="2" t="s">
        <v>45766</v>
      </c>
      <c r="N7350" s="2" t="s">
        <v>2478</v>
      </c>
      <c r="O7350" s="4" t="s">
        <v>7332</v>
      </c>
      <c r="P7350" s="2" t="s">
        <v>45514</v>
      </c>
      <c r="Q7350" s="2" t="s">
        <v>31</v>
      </c>
      <c r="R7350" s="2" t="s">
        <v>7335</v>
      </c>
      <c r="S7350" s="4" t="s">
        <v>7336</v>
      </c>
      <c r="T7350" s="2" t="s">
        <v>5484</v>
      </c>
      <c r="U7350" s="4" t="s">
        <v>31</v>
      </c>
      <c r="V7350" s="2" t="s">
        <v>45767</v>
      </c>
      <c r="W7350" s="2" t="s">
        <v>45511</v>
      </c>
      <c r="X7350" s="5" t="str">
        <f>HYPERLINK("https://my.pitchbook.com?p=348904-90P","View People Online")</f>
        <v>View People Online</v>
      </c>
    </row>
    <row r="7351">
      <c r="A7351" s="14" t="s">
        <v>45768</v>
      </c>
      <c r="B7351" s="14" t="s">
        <v>45769</v>
      </c>
      <c r="C7351" s="14" t="s">
        <v>5507</v>
      </c>
      <c r="D7351" s="14" t="s">
        <v>45770</v>
      </c>
      <c r="E7351" s="14" t="s">
        <v>45511</v>
      </c>
      <c r="F7351" s="14" t="s">
        <v>1801</v>
      </c>
      <c r="G7351" s="14" t="s">
        <v>45771</v>
      </c>
      <c r="H7351" s="15" t="s">
        <v>31</v>
      </c>
      <c r="I7351" s="15">
        <v>1.0</v>
      </c>
      <c r="J7351" s="15">
        <v>1.0</v>
      </c>
      <c r="K7351" s="15" t="s">
        <v>31</v>
      </c>
      <c r="L7351" s="16" t="s">
        <v>31</v>
      </c>
      <c r="M7351" s="14" t="s">
        <v>45772</v>
      </c>
      <c r="N7351" s="14" t="s">
        <v>2478</v>
      </c>
      <c r="O7351" s="16" t="s">
        <v>7332</v>
      </c>
      <c r="P7351" s="14" t="s">
        <v>45514</v>
      </c>
      <c r="Q7351" s="14" t="s">
        <v>31</v>
      </c>
      <c r="R7351" s="14" t="s">
        <v>7335</v>
      </c>
      <c r="S7351" s="16" t="s">
        <v>7336</v>
      </c>
      <c r="T7351" s="14" t="s">
        <v>5484</v>
      </c>
      <c r="U7351" s="16" t="s">
        <v>31</v>
      </c>
      <c r="V7351" s="14" t="s">
        <v>45773</v>
      </c>
      <c r="W7351" s="14" t="s">
        <v>45511</v>
      </c>
      <c r="X7351" s="17" t="str">
        <f>HYPERLINK("https://my.pitchbook.com?p=423340-66P","View People Online")</f>
        <v>View People Online</v>
      </c>
    </row>
    <row r="7352">
      <c r="A7352" s="2" t="s">
        <v>45774</v>
      </c>
      <c r="B7352" s="2" t="s">
        <v>45775</v>
      </c>
      <c r="C7352" s="2" t="s">
        <v>4358</v>
      </c>
      <c r="D7352" s="2" t="s">
        <v>45776</v>
      </c>
      <c r="E7352" s="2" t="s">
        <v>45511</v>
      </c>
      <c r="F7352" s="2" t="s">
        <v>1801</v>
      </c>
      <c r="G7352" s="2" t="s">
        <v>45777</v>
      </c>
      <c r="H7352" s="3" t="s">
        <v>31</v>
      </c>
      <c r="I7352" s="3">
        <v>1.0</v>
      </c>
      <c r="J7352" s="3">
        <v>1.0</v>
      </c>
      <c r="K7352" s="3" t="s">
        <v>31</v>
      </c>
      <c r="L7352" s="4" t="s">
        <v>45778</v>
      </c>
      <c r="M7352" s="2" t="s">
        <v>45779</v>
      </c>
      <c r="N7352" s="2" t="s">
        <v>243</v>
      </c>
      <c r="O7352" s="4" t="s">
        <v>244</v>
      </c>
      <c r="P7352" s="2" t="s">
        <v>45780</v>
      </c>
      <c r="Q7352" s="2" t="s">
        <v>45781</v>
      </c>
      <c r="R7352" s="2" t="s">
        <v>247</v>
      </c>
      <c r="S7352" s="4" t="s">
        <v>45782</v>
      </c>
      <c r="T7352" s="2" t="s">
        <v>249</v>
      </c>
      <c r="U7352" s="4" t="s">
        <v>31</v>
      </c>
      <c r="V7352" s="2" t="s">
        <v>45783</v>
      </c>
      <c r="W7352" s="2" t="s">
        <v>45511</v>
      </c>
      <c r="X7352" s="5" t="str">
        <f>HYPERLINK("https://my.pitchbook.com?p=425043-37P","View People Online")</f>
        <v>View People Online</v>
      </c>
    </row>
    <row r="7353">
      <c r="A7353" s="6" t="s">
        <v>45784</v>
      </c>
      <c r="B7353" s="6" t="s">
        <v>45785</v>
      </c>
      <c r="C7353" s="6" t="s">
        <v>8956</v>
      </c>
      <c r="D7353" s="6" t="s">
        <v>41769</v>
      </c>
      <c r="E7353" s="6" t="s">
        <v>45511</v>
      </c>
      <c r="F7353" s="6" t="s">
        <v>5065</v>
      </c>
      <c r="G7353" s="6" t="s">
        <v>45786</v>
      </c>
      <c r="H7353" s="7" t="s">
        <v>31</v>
      </c>
      <c r="I7353" s="7">
        <v>1.0</v>
      </c>
      <c r="J7353" s="7">
        <v>1.0</v>
      </c>
      <c r="K7353" s="7" t="s">
        <v>31</v>
      </c>
      <c r="L7353" s="8" t="s">
        <v>45591</v>
      </c>
      <c r="M7353" s="6" t="s">
        <v>45787</v>
      </c>
      <c r="N7353" s="6" t="s">
        <v>75</v>
      </c>
      <c r="O7353" s="8" t="s">
        <v>76</v>
      </c>
      <c r="P7353" s="6" t="s">
        <v>45541</v>
      </c>
      <c r="Q7353" s="6" t="s">
        <v>31</v>
      </c>
      <c r="R7353" s="6" t="s">
        <v>75</v>
      </c>
      <c r="S7353" s="8" t="s">
        <v>45542</v>
      </c>
      <c r="T7353" s="6" t="s">
        <v>66</v>
      </c>
      <c r="U7353" s="8" t="s">
        <v>31</v>
      </c>
      <c r="V7353" s="6" t="s">
        <v>45788</v>
      </c>
      <c r="W7353" s="6" t="s">
        <v>45511</v>
      </c>
      <c r="X7353" s="9" t="str">
        <f>HYPERLINK("https://my.pitchbook.com?p=160395-67P","View People Online")</f>
        <v>View People Online</v>
      </c>
    </row>
    <row r="7354">
      <c r="A7354" s="2" t="s">
        <v>45789</v>
      </c>
      <c r="B7354" s="2" t="s">
        <v>45790</v>
      </c>
      <c r="C7354" s="2" t="s">
        <v>823</v>
      </c>
      <c r="D7354" s="2" t="s">
        <v>45791</v>
      </c>
      <c r="E7354" s="2" t="s">
        <v>45511</v>
      </c>
      <c r="F7354" s="2" t="s">
        <v>221</v>
      </c>
      <c r="G7354" s="2" t="s">
        <v>45792</v>
      </c>
      <c r="H7354" s="3" t="s">
        <v>31</v>
      </c>
      <c r="I7354" s="3">
        <v>1.0</v>
      </c>
      <c r="J7354" s="3">
        <v>1.0</v>
      </c>
      <c r="K7354" s="3" t="s">
        <v>31</v>
      </c>
      <c r="L7354" s="4" t="s">
        <v>45591</v>
      </c>
      <c r="M7354" s="2" t="s">
        <v>45793</v>
      </c>
      <c r="N7354" s="2" t="s">
        <v>75</v>
      </c>
      <c r="O7354" s="4" t="s">
        <v>76</v>
      </c>
      <c r="P7354" s="2" t="s">
        <v>45541</v>
      </c>
      <c r="Q7354" s="2" t="s">
        <v>31</v>
      </c>
      <c r="R7354" s="2" t="s">
        <v>75</v>
      </c>
      <c r="S7354" s="4" t="s">
        <v>45542</v>
      </c>
      <c r="T7354" s="2" t="s">
        <v>66</v>
      </c>
      <c r="U7354" s="4" t="s">
        <v>31</v>
      </c>
      <c r="V7354" s="2" t="s">
        <v>12777</v>
      </c>
      <c r="W7354" s="2" t="s">
        <v>45511</v>
      </c>
      <c r="X7354" s="5" t="str">
        <f>HYPERLINK("https://my.pitchbook.com?p=285700-69P","View People Online")</f>
        <v>View People Online</v>
      </c>
    </row>
    <row r="7355">
      <c r="A7355" s="14" t="s">
        <v>45794</v>
      </c>
      <c r="B7355" s="14" t="s">
        <v>45795</v>
      </c>
      <c r="C7355" s="14" t="s">
        <v>823</v>
      </c>
      <c r="D7355" s="14" t="s">
        <v>45796</v>
      </c>
      <c r="E7355" s="14" t="s">
        <v>45511</v>
      </c>
      <c r="F7355" s="14" t="s">
        <v>1283</v>
      </c>
      <c r="G7355" s="14" t="s">
        <v>45797</v>
      </c>
      <c r="H7355" s="15" t="s">
        <v>31</v>
      </c>
      <c r="I7355" s="15">
        <v>3.0</v>
      </c>
      <c r="J7355" s="15">
        <v>1.0</v>
      </c>
      <c r="K7355" s="15">
        <v>1.0</v>
      </c>
      <c r="L7355" s="16" t="s">
        <v>31</v>
      </c>
      <c r="M7355" s="14" t="s">
        <v>45798</v>
      </c>
      <c r="N7355" s="14" t="s">
        <v>2478</v>
      </c>
      <c r="O7355" s="16" t="s">
        <v>7332</v>
      </c>
      <c r="P7355" s="14" t="s">
        <v>45514</v>
      </c>
      <c r="Q7355" s="14" t="s">
        <v>31</v>
      </c>
      <c r="R7355" s="14" t="s">
        <v>7335</v>
      </c>
      <c r="S7355" s="16" t="s">
        <v>7336</v>
      </c>
      <c r="T7355" s="14" t="s">
        <v>5484</v>
      </c>
      <c r="U7355" s="16" t="s">
        <v>31</v>
      </c>
      <c r="V7355" s="14" t="s">
        <v>1283</v>
      </c>
      <c r="W7355" s="14" t="s">
        <v>45511</v>
      </c>
      <c r="X7355" s="17" t="str">
        <f>HYPERLINK("https://my.pitchbook.com?p=228997-27P","View People Online")</f>
        <v>View People Online</v>
      </c>
    </row>
    <row r="7356">
      <c r="A7356" s="10" t="s">
        <v>45799</v>
      </c>
      <c r="B7356" s="10" t="s">
        <v>45800</v>
      </c>
      <c r="C7356" s="10" t="s">
        <v>823</v>
      </c>
      <c r="D7356" s="10" t="s">
        <v>45801</v>
      </c>
      <c r="E7356" s="10" t="s">
        <v>45511</v>
      </c>
      <c r="F7356" s="10" t="s">
        <v>1283</v>
      </c>
      <c r="G7356" s="10" t="s">
        <v>45802</v>
      </c>
      <c r="H7356" s="11" t="s">
        <v>31</v>
      </c>
      <c r="I7356" s="11">
        <v>3.0</v>
      </c>
      <c r="J7356" s="11">
        <v>1.0</v>
      </c>
      <c r="K7356" s="11">
        <v>2.0</v>
      </c>
      <c r="L7356" s="12" t="s">
        <v>45591</v>
      </c>
      <c r="M7356" s="10" t="s">
        <v>45803</v>
      </c>
      <c r="N7356" s="10" t="s">
        <v>75</v>
      </c>
      <c r="O7356" s="12" t="s">
        <v>76</v>
      </c>
      <c r="P7356" s="10" t="s">
        <v>45541</v>
      </c>
      <c r="Q7356" s="10" t="s">
        <v>31</v>
      </c>
      <c r="R7356" s="10" t="s">
        <v>75</v>
      </c>
      <c r="S7356" s="12" t="s">
        <v>45542</v>
      </c>
      <c r="T7356" s="10" t="s">
        <v>66</v>
      </c>
      <c r="U7356" s="12" t="s">
        <v>31</v>
      </c>
      <c r="V7356" s="10" t="s">
        <v>1283</v>
      </c>
      <c r="W7356" s="10" t="s">
        <v>45511</v>
      </c>
      <c r="X7356" s="13" t="str">
        <f>HYPERLINK("https://my.pitchbook.com?p=180766-63P","View People Online")</f>
        <v>View People Online</v>
      </c>
    </row>
    <row r="7357">
      <c r="A7357" s="14" t="s">
        <v>45804</v>
      </c>
      <c r="B7357" s="14" t="s">
        <v>45805</v>
      </c>
      <c r="C7357" s="14" t="s">
        <v>823</v>
      </c>
      <c r="D7357" s="14" t="s">
        <v>45806</v>
      </c>
      <c r="E7357" s="14" t="s">
        <v>45511</v>
      </c>
      <c r="F7357" s="14" t="s">
        <v>2652</v>
      </c>
      <c r="G7357" s="14" t="s">
        <v>45807</v>
      </c>
      <c r="H7357" s="15" t="s">
        <v>31</v>
      </c>
      <c r="I7357" s="15">
        <v>1.0</v>
      </c>
      <c r="J7357" s="15">
        <v>1.0</v>
      </c>
      <c r="K7357" s="15" t="s">
        <v>31</v>
      </c>
      <c r="L7357" s="16" t="s">
        <v>45591</v>
      </c>
      <c r="M7357" s="14" t="s">
        <v>45808</v>
      </c>
      <c r="N7357" s="14" t="s">
        <v>75</v>
      </c>
      <c r="O7357" s="16" t="s">
        <v>76</v>
      </c>
      <c r="P7357" s="14" t="s">
        <v>45541</v>
      </c>
      <c r="Q7357" s="14" t="s">
        <v>31</v>
      </c>
      <c r="R7357" s="14" t="s">
        <v>75</v>
      </c>
      <c r="S7357" s="16" t="s">
        <v>45542</v>
      </c>
      <c r="T7357" s="14" t="s">
        <v>66</v>
      </c>
      <c r="U7357" s="16" t="s">
        <v>31</v>
      </c>
      <c r="V7357" s="14" t="s">
        <v>45809</v>
      </c>
      <c r="W7357" s="14" t="s">
        <v>45511</v>
      </c>
      <c r="X7357" s="17" t="str">
        <f>HYPERLINK("https://my.pitchbook.com?p=95284-45P","View People Online")</f>
        <v>View People Online</v>
      </c>
    </row>
    <row r="7358">
      <c r="A7358" s="2" t="s">
        <v>45810</v>
      </c>
      <c r="B7358" s="2" t="s">
        <v>45811</v>
      </c>
      <c r="C7358" s="2" t="s">
        <v>823</v>
      </c>
      <c r="D7358" s="2" t="s">
        <v>45812</v>
      </c>
      <c r="E7358" s="2" t="s">
        <v>45511</v>
      </c>
      <c r="F7358" s="2" t="s">
        <v>44294</v>
      </c>
      <c r="G7358" s="2" t="s">
        <v>45813</v>
      </c>
      <c r="H7358" s="3" t="s">
        <v>31</v>
      </c>
      <c r="I7358" s="3">
        <v>1.0</v>
      </c>
      <c r="J7358" s="3">
        <v>1.0</v>
      </c>
      <c r="K7358" s="3" t="s">
        <v>31</v>
      </c>
      <c r="L7358" s="4" t="s">
        <v>45814</v>
      </c>
      <c r="M7358" s="2" t="s">
        <v>45815</v>
      </c>
      <c r="N7358" s="2" t="s">
        <v>2478</v>
      </c>
      <c r="O7358" s="4" t="s">
        <v>7332</v>
      </c>
      <c r="P7358" s="2" t="s">
        <v>45514</v>
      </c>
      <c r="Q7358" s="2" t="s">
        <v>31</v>
      </c>
      <c r="R7358" s="2" t="s">
        <v>7335</v>
      </c>
      <c r="S7358" s="4" t="s">
        <v>7336</v>
      </c>
      <c r="T7358" s="2" t="s">
        <v>5484</v>
      </c>
      <c r="U7358" s="4" t="s">
        <v>31</v>
      </c>
      <c r="V7358" s="2" t="s">
        <v>45816</v>
      </c>
      <c r="W7358" s="2" t="s">
        <v>45511</v>
      </c>
      <c r="X7358" s="5" t="str">
        <f>HYPERLINK("https://my.pitchbook.com?p=150135-40P","View People Online")</f>
        <v>View People Online</v>
      </c>
    </row>
    <row r="7359">
      <c r="A7359" s="14" t="s">
        <v>45817</v>
      </c>
      <c r="B7359" s="14" t="s">
        <v>45818</v>
      </c>
      <c r="C7359" s="14" t="s">
        <v>5358</v>
      </c>
      <c r="D7359" s="14" t="s">
        <v>10402</v>
      </c>
      <c r="E7359" s="14" t="s">
        <v>45511</v>
      </c>
      <c r="F7359" s="14" t="s">
        <v>312</v>
      </c>
      <c r="G7359" s="14" t="s">
        <v>45819</v>
      </c>
      <c r="H7359" s="15" t="s">
        <v>31</v>
      </c>
      <c r="I7359" s="15">
        <v>2.0</v>
      </c>
      <c r="J7359" s="15">
        <v>1.0</v>
      </c>
      <c r="K7359" s="15">
        <v>1.0</v>
      </c>
      <c r="L7359" s="16" t="s">
        <v>31</v>
      </c>
      <c r="M7359" s="14" t="s">
        <v>31</v>
      </c>
      <c r="N7359" s="14" t="s">
        <v>2478</v>
      </c>
      <c r="O7359" s="16" t="s">
        <v>7332</v>
      </c>
      <c r="P7359" s="14" t="s">
        <v>45514</v>
      </c>
      <c r="Q7359" s="14" t="s">
        <v>31</v>
      </c>
      <c r="R7359" s="14" t="s">
        <v>7335</v>
      </c>
      <c r="S7359" s="16" t="s">
        <v>7336</v>
      </c>
      <c r="T7359" s="14" t="s">
        <v>5484</v>
      </c>
      <c r="U7359" s="16" t="s">
        <v>31</v>
      </c>
      <c r="V7359" s="14" t="s">
        <v>312</v>
      </c>
      <c r="W7359" s="14" t="s">
        <v>45511</v>
      </c>
      <c r="X7359" s="17" t="str">
        <f>HYPERLINK("https://my.pitchbook.com?p=454824-10P","View People Online")</f>
        <v>View People Online</v>
      </c>
    </row>
    <row r="7360">
      <c r="A7360" s="10" t="s">
        <v>45820</v>
      </c>
      <c r="B7360" s="10" t="s">
        <v>45821</v>
      </c>
      <c r="C7360" s="10" t="s">
        <v>3529</v>
      </c>
      <c r="D7360" s="10" t="s">
        <v>4346</v>
      </c>
      <c r="E7360" s="10" t="s">
        <v>45511</v>
      </c>
      <c r="F7360" s="10" t="s">
        <v>1283</v>
      </c>
      <c r="G7360" s="10" t="s">
        <v>45822</v>
      </c>
      <c r="H7360" s="11" t="s">
        <v>31</v>
      </c>
      <c r="I7360" s="11">
        <v>2.0</v>
      </c>
      <c r="J7360" s="11">
        <v>1.0</v>
      </c>
      <c r="K7360" s="11">
        <v>1.0</v>
      </c>
      <c r="L7360" s="12" t="s">
        <v>31</v>
      </c>
      <c r="M7360" s="10" t="s">
        <v>45823</v>
      </c>
      <c r="N7360" s="10" t="s">
        <v>2478</v>
      </c>
      <c r="O7360" s="12" t="s">
        <v>7332</v>
      </c>
      <c r="P7360" s="10" t="s">
        <v>45514</v>
      </c>
      <c r="Q7360" s="10" t="s">
        <v>31</v>
      </c>
      <c r="R7360" s="10" t="s">
        <v>7335</v>
      </c>
      <c r="S7360" s="12" t="s">
        <v>7336</v>
      </c>
      <c r="T7360" s="10" t="s">
        <v>5484</v>
      </c>
      <c r="U7360" s="12" t="s">
        <v>31</v>
      </c>
      <c r="V7360" s="10" t="s">
        <v>45824</v>
      </c>
      <c r="W7360" s="10" t="s">
        <v>45511</v>
      </c>
      <c r="X7360" s="13" t="str">
        <f>HYPERLINK("https://my.pitchbook.com?p=53845-21P","View People Online")</f>
        <v>View People Online</v>
      </c>
    </row>
    <row r="7361">
      <c r="A7361" s="6" t="s">
        <v>45825</v>
      </c>
      <c r="B7361" s="6" t="s">
        <v>45826</v>
      </c>
      <c r="C7361" s="6" t="s">
        <v>350</v>
      </c>
      <c r="D7361" s="6" t="s">
        <v>3228</v>
      </c>
      <c r="E7361" s="6" t="s">
        <v>45511</v>
      </c>
      <c r="F7361" s="6" t="s">
        <v>11160</v>
      </c>
      <c r="G7361" s="6" t="s">
        <v>45827</v>
      </c>
      <c r="H7361" s="7" t="s">
        <v>31</v>
      </c>
      <c r="I7361" s="7">
        <v>1.0</v>
      </c>
      <c r="J7361" s="7">
        <v>1.0</v>
      </c>
      <c r="K7361" s="7" t="s">
        <v>31</v>
      </c>
      <c r="L7361" s="8" t="s">
        <v>45828</v>
      </c>
      <c r="M7361" s="6" t="s">
        <v>45829</v>
      </c>
      <c r="N7361" s="6" t="s">
        <v>75</v>
      </c>
      <c r="O7361" s="8" t="s">
        <v>76</v>
      </c>
      <c r="P7361" s="6" t="s">
        <v>45541</v>
      </c>
      <c r="Q7361" s="6" t="s">
        <v>31</v>
      </c>
      <c r="R7361" s="6" t="s">
        <v>75</v>
      </c>
      <c r="S7361" s="8" t="s">
        <v>45542</v>
      </c>
      <c r="T7361" s="6" t="s">
        <v>66</v>
      </c>
      <c r="U7361" s="8" t="s">
        <v>31</v>
      </c>
      <c r="V7361" s="6" t="s">
        <v>45830</v>
      </c>
      <c r="W7361" s="6" t="s">
        <v>45511</v>
      </c>
      <c r="X7361" s="9" t="str">
        <f>HYPERLINK("https://my.pitchbook.com?p=117776-35P","View People Online")</f>
        <v>View People Online</v>
      </c>
    </row>
    <row r="7362">
      <c r="A7362" s="10" t="s">
        <v>45831</v>
      </c>
      <c r="B7362" s="10" t="s">
        <v>45832</v>
      </c>
      <c r="C7362" s="10" t="s">
        <v>1343</v>
      </c>
      <c r="D7362" s="10" t="s">
        <v>45833</v>
      </c>
      <c r="E7362" s="10" t="s">
        <v>45511</v>
      </c>
      <c r="F7362" s="10" t="s">
        <v>825</v>
      </c>
      <c r="G7362" s="10" t="s">
        <v>45834</v>
      </c>
      <c r="H7362" s="11" t="s">
        <v>31</v>
      </c>
      <c r="I7362" s="11">
        <v>1.0</v>
      </c>
      <c r="J7362" s="11">
        <v>1.0</v>
      </c>
      <c r="K7362" s="11" t="s">
        <v>31</v>
      </c>
      <c r="L7362" s="12" t="s">
        <v>31</v>
      </c>
      <c r="M7362" s="10" t="s">
        <v>45835</v>
      </c>
      <c r="N7362" s="10" t="s">
        <v>2478</v>
      </c>
      <c r="O7362" s="12" t="s">
        <v>7332</v>
      </c>
      <c r="P7362" s="10" t="s">
        <v>45514</v>
      </c>
      <c r="Q7362" s="10" t="s">
        <v>31</v>
      </c>
      <c r="R7362" s="10" t="s">
        <v>7335</v>
      </c>
      <c r="S7362" s="12" t="s">
        <v>7336</v>
      </c>
      <c r="T7362" s="10" t="s">
        <v>5484</v>
      </c>
      <c r="U7362" s="12" t="s">
        <v>31</v>
      </c>
      <c r="V7362" s="10" t="s">
        <v>45836</v>
      </c>
      <c r="W7362" s="10" t="s">
        <v>45511</v>
      </c>
      <c r="X7362" s="13" t="str">
        <f>HYPERLINK("https://my.pitchbook.com?p=152168-23P","View People Online")</f>
        <v>View People Online</v>
      </c>
    </row>
    <row r="7363">
      <c r="A7363" s="6" t="s">
        <v>45837</v>
      </c>
      <c r="B7363" s="6" t="s">
        <v>45838</v>
      </c>
      <c r="C7363" s="6" t="s">
        <v>45839</v>
      </c>
      <c r="D7363" s="6" t="s">
        <v>45840</v>
      </c>
      <c r="E7363" s="6" t="s">
        <v>45511</v>
      </c>
      <c r="F7363" s="6" t="s">
        <v>1283</v>
      </c>
      <c r="G7363" s="6" t="s">
        <v>45841</v>
      </c>
      <c r="H7363" s="7" t="s">
        <v>31</v>
      </c>
      <c r="I7363" s="7">
        <v>1.0</v>
      </c>
      <c r="J7363" s="7">
        <v>1.0</v>
      </c>
      <c r="K7363" s="7" t="s">
        <v>31</v>
      </c>
      <c r="L7363" s="8" t="s">
        <v>31</v>
      </c>
      <c r="M7363" s="6" t="s">
        <v>45842</v>
      </c>
      <c r="N7363" s="6" t="s">
        <v>2478</v>
      </c>
      <c r="O7363" s="8" t="s">
        <v>7332</v>
      </c>
      <c r="P7363" s="6" t="s">
        <v>45514</v>
      </c>
      <c r="Q7363" s="6" t="s">
        <v>31</v>
      </c>
      <c r="R7363" s="6" t="s">
        <v>7335</v>
      </c>
      <c r="S7363" s="8" t="s">
        <v>7336</v>
      </c>
      <c r="T7363" s="6" t="s">
        <v>5484</v>
      </c>
      <c r="U7363" s="8" t="s">
        <v>31</v>
      </c>
      <c r="V7363" s="6" t="s">
        <v>1283</v>
      </c>
      <c r="W7363" s="6" t="s">
        <v>45511</v>
      </c>
      <c r="X7363" s="9" t="str">
        <f>HYPERLINK("https://my.pitchbook.com?p=93504-79P","View People Online")</f>
        <v>View People Online</v>
      </c>
    </row>
    <row r="7364">
      <c r="A7364" s="2" t="s">
        <v>45843</v>
      </c>
      <c r="B7364" s="2" t="s">
        <v>45844</v>
      </c>
      <c r="C7364" s="2" t="s">
        <v>1489</v>
      </c>
      <c r="D7364" s="2" t="s">
        <v>25689</v>
      </c>
      <c r="E7364" s="2" t="s">
        <v>45511</v>
      </c>
      <c r="F7364" s="2" t="s">
        <v>312</v>
      </c>
      <c r="G7364" s="2" t="s">
        <v>45845</v>
      </c>
      <c r="H7364" s="3" t="s">
        <v>31</v>
      </c>
      <c r="I7364" s="3">
        <v>1.0</v>
      </c>
      <c r="J7364" s="3">
        <v>1.0</v>
      </c>
      <c r="K7364" s="3" t="s">
        <v>31</v>
      </c>
      <c r="L7364" s="4" t="s">
        <v>45591</v>
      </c>
      <c r="M7364" s="2" t="s">
        <v>45846</v>
      </c>
      <c r="N7364" s="2" t="s">
        <v>75</v>
      </c>
      <c r="O7364" s="4" t="s">
        <v>76</v>
      </c>
      <c r="P7364" s="2" t="s">
        <v>45541</v>
      </c>
      <c r="Q7364" s="2" t="s">
        <v>31</v>
      </c>
      <c r="R7364" s="2" t="s">
        <v>75</v>
      </c>
      <c r="S7364" s="4" t="s">
        <v>45542</v>
      </c>
      <c r="T7364" s="2" t="s">
        <v>66</v>
      </c>
      <c r="U7364" s="4" t="s">
        <v>31</v>
      </c>
      <c r="V7364" s="2" t="s">
        <v>312</v>
      </c>
      <c r="W7364" s="2" t="s">
        <v>45511</v>
      </c>
      <c r="X7364" s="5" t="str">
        <f>HYPERLINK("https://my.pitchbook.com?p=164812-33P","View People Online")</f>
        <v>View People Online</v>
      </c>
    </row>
    <row r="7365">
      <c r="A7365" s="6" t="s">
        <v>45847</v>
      </c>
      <c r="B7365" s="6" t="s">
        <v>45848</v>
      </c>
      <c r="C7365" s="6" t="s">
        <v>1489</v>
      </c>
      <c r="D7365" s="6" t="s">
        <v>45849</v>
      </c>
      <c r="E7365" s="6" t="s">
        <v>45511</v>
      </c>
      <c r="F7365" s="6" t="s">
        <v>1283</v>
      </c>
      <c r="G7365" s="6" t="s">
        <v>45850</v>
      </c>
      <c r="H7365" s="7" t="s">
        <v>31</v>
      </c>
      <c r="I7365" s="7">
        <v>1.0</v>
      </c>
      <c r="J7365" s="7">
        <v>1.0</v>
      </c>
      <c r="K7365" s="7" t="s">
        <v>31</v>
      </c>
      <c r="L7365" s="8" t="s">
        <v>45851</v>
      </c>
      <c r="M7365" s="6" t="s">
        <v>45852</v>
      </c>
      <c r="N7365" s="6" t="s">
        <v>75</v>
      </c>
      <c r="O7365" s="8" t="s">
        <v>76</v>
      </c>
      <c r="P7365" s="6" t="s">
        <v>45541</v>
      </c>
      <c r="Q7365" s="6" t="s">
        <v>31</v>
      </c>
      <c r="R7365" s="6" t="s">
        <v>75</v>
      </c>
      <c r="S7365" s="8" t="s">
        <v>45542</v>
      </c>
      <c r="T7365" s="6" t="s">
        <v>66</v>
      </c>
      <c r="U7365" s="8" t="s">
        <v>31</v>
      </c>
      <c r="V7365" s="6" t="s">
        <v>45853</v>
      </c>
      <c r="W7365" s="6" t="s">
        <v>45511</v>
      </c>
      <c r="X7365" s="9" t="str">
        <f>HYPERLINK("https://my.pitchbook.com?p=39661-84P","View People Online")</f>
        <v>View People Online</v>
      </c>
    </row>
    <row r="7366">
      <c r="A7366" s="10" t="s">
        <v>45854</v>
      </c>
      <c r="B7366" s="10" t="s">
        <v>45855</v>
      </c>
      <c r="C7366" s="10" t="s">
        <v>1489</v>
      </c>
      <c r="D7366" s="10" t="s">
        <v>45856</v>
      </c>
      <c r="E7366" s="10" t="s">
        <v>45511</v>
      </c>
      <c r="F7366" s="10" t="s">
        <v>1283</v>
      </c>
      <c r="G7366" s="10" t="s">
        <v>45857</v>
      </c>
      <c r="H7366" s="11" t="s">
        <v>31</v>
      </c>
      <c r="I7366" s="11">
        <v>1.0</v>
      </c>
      <c r="J7366" s="11">
        <v>1.0</v>
      </c>
      <c r="K7366" s="11" t="s">
        <v>31</v>
      </c>
      <c r="L7366" s="12" t="s">
        <v>31</v>
      </c>
      <c r="M7366" s="10" t="s">
        <v>45858</v>
      </c>
      <c r="N7366" s="10" t="s">
        <v>2478</v>
      </c>
      <c r="O7366" s="12" t="s">
        <v>7332</v>
      </c>
      <c r="P7366" s="10" t="s">
        <v>45514</v>
      </c>
      <c r="Q7366" s="10" t="s">
        <v>31</v>
      </c>
      <c r="R7366" s="10" t="s">
        <v>7335</v>
      </c>
      <c r="S7366" s="12" t="s">
        <v>7336</v>
      </c>
      <c r="T7366" s="10" t="s">
        <v>5484</v>
      </c>
      <c r="U7366" s="12" t="s">
        <v>31</v>
      </c>
      <c r="V7366" s="10" t="s">
        <v>45859</v>
      </c>
      <c r="W7366" s="10" t="s">
        <v>45511</v>
      </c>
      <c r="X7366" s="13" t="str">
        <f>HYPERLINK("https://my.pitchbook.com?p=327643-03P","View People Online")</f>
        <v>View People Online</v>
      </c>
    </row>
    <row r="7367">
      <c r="A7367" s="14" t="s">
        <v>45860</v>
      </c>
      <c r="B7367" s="14" t="s">
        <v>45861</v>
      </c>
      <c r="C7367" s="14" t="s">
        <v>10457</v>
      </c>
      <c r="D7367" s="14" t="s">
        <v>45862</v>
      </c>
      <c r="E7367" s="14" t="s">
        <v>45511</v>
      </c>
      <c r="F7367" s="14" t="s">
        <v>270</v>
      </c>
      <c r="G7367" s="14" t="s">
        <v>45863</v>
      </c>
      <c r="H7367" s="15" t="s">
        <v>31</v>
      </c>
      <c r="I7367" s="15">
        <v>1.0</v>
      </c>
      <c r="J7367" s="15">
        <v>1.0</v>
      </c>
      <c r="K7367" s="15" t="s">
        <v>31</v>
      </c>
      <c r="L7367" s="16" t="s">
        <v>31</v>
      </c>
      <c r="M7367" s="14" t="s">
        <v>45864</v>
      </c>
      <c r="N7367" s="14" t="s">
        <v>2478</v>
      </c>
      <c r="O7367" s="16" t="s">
        <v>7332</v>
      </c>
      <c r="P7367" s="14" t="s">
        <v>45514</v>
      </c>
      <c r="Q7367" s="14" t="s">
        <v>31</v>
      </c>
      <c r="R7367" s="14" t="s">
        <v>7335</v>
      </c>
      <c r="S7367" s="16" t="s">
        <v>7336</v>
      </c>
      <c r="T7367" s="14" t="s">
        <v>5484</v>
      </c>
      <c r="U7367" s="16" t="s">
        <v>31</v>
      </c>
      <c r="V7367" s="14" t="s">
        <v>45865</v>
      </c>
      <c r="W7367" s="14" t="s">
        <v>45511</v>
      </c>
      <c r="X7367" s="17" t="str">
        <f>HYPERLINK("https://my.pitchbook.com?p=50149-90P","View People Online")</f>
        <v>View People Online</v>
      </c>
    </row>
    <row r="7368">
      <c r="A7368" s="10" t="s">
        <v>45866</v>
      </c>
      <c r="B7368" s="10" t="s">
        <v>45867</v>
      </c>
      <c r="C7368" s="10" t="s">
        <v>3096</v>
      </c>
      <c r="D7368" s="10" t="s">
        <v>45868</v>
      </c>
      <c r="E7368" s="10" t="s">
        <v>45511</v>
      </c>
      <c r="F7368" s="10" t="s">
        <v>312</v>
      </c>
      <c r="G7368" s="10" t="s">
        <v>45869</v>
      </c>
      <c r="H7368" s="11" t="s">
        <v>31</v>
      </c>
      <c r="I7368" s="11">
        <v>1.0</v>
      </c>
      <c r="J7368" s="11">
        <v>1.0</v>
      </c>
      <c r="K7368" s="11" t="s">
        <v>31</v>
      </c>
      <c r="L7368" s="12" t="s">
        <v>31</v>
      </c>
      <c r="M7368" s="10" t="s">
        <v>45870</v>
      </c>
      <c r="N7368" s="10" t="s">
        <v>2478</v>
      </c>
      <c r="O7368" s="12" t="s">
        <v>7332</v>
      </c>
      <c r="P7368" s="10" t="s">
        <v>45514</v>
      </c>
      <c r="Q7368" s="10" t="s">
        <v>31</v>
      </c>
      <c r="R7368" s="10" t="s">
        <v>7335</v>
      </c>
      <c r="S7368" s="12" t="s">
        <v>7336</v>
      </c>
      <c r="T7368" s="10" t="s">
        <v>5484</v>
      </c>
      <c r="U7368" s="12" t="s">
        <v>31</v>
      </c>
      <c r="V7368" s="10" t="s">
        <v>312</v>
      </c>
      <c r="W7368" s="10" t="s">
        <v>45511</v>
      </c>
      <c r="X7368" s="13" t="str">
        <f>HYPERLINK("https://my.pitchbook.com?p=387178-12P","View People Online")</f>
        <v>View People Online</v>
      </c>
    </row>
    <row r="7369">
      <c r="A7369" s="14" t="s">
        <v>45871</v>
      </c>
      <c r="B7369" s="14" t="s">
        <v>45872</v>
      </c>
      <c r="C7369" s="14" t="s">
        <v>11737</v>
      </c>
      <c r="D7369" s="14" t="s">
        <v>45873</v>
      </c>
      <c r="E7369" s="14" t="s">
        <v>45511</v>
      </c>
      <c r="F7369" s="14" t="s">
        <v>11160</v>
      </c>
      <c r="G7369" s="14" t="s">
        <v>45874</v>
      </c>
      <c r="H7369" s="15">
        <v>5.0</v>
      </c>
      <c r="I7369" s="15">
        <v>52.0</v>
      </c>
      <c r="J7369" s="15">
        <v>1.0</v>
      </c>
      <c r="K7369" s="15">
        <v>40.0</v>
      </c>
      <c r="L7369" s="16" t="s">
        <v>45591</v>
      </c>
      <c r="M7369" s="14" t="s">
        <v>45875</v>
      </c>
      <c r="N7369" s="14" t="s">
        <v>75</v>
      </c>
      <c r="O7369" s="16" t="s">
        <v>76</v>
      </c>
      <c r="P7369" s="14" t="s">
        <v>45541</v>
      </c>
      <c r="Q7369" s="14" t="s">
        <v>31</v>
      </c>
      <c r="R7369" s="14" t="s">
        <v>75</v>
      </c>
      <c r="S7369" s="16" t="s">
        <v>45542</v>
      </c>
      <c r="T7369" s="14" t="s">
        <v>66</v>
      </c>
      <c r="U7369" s="16" t="s">
        <v>31</v>
      </c>
      <c r="V7369" s="14" t="s">
        <v>45876</v>
      </c>
      <c r="W7369" s="14" t="s">
        <v>45511</v>
      </c>
      <c r="X7369" s="17" t="str">
        <f>HYPERLINK("https://my.pitchbook.com?p=28135-27P","View People Online")</f>
        <v>View People Online</v>
      </c>
    </row>
    <row r="7370">
      <c r="A7370" s="2" t="s">
        <v>45877</v>
      </c>
      <c r="B7370" s="2" t="s">
        <v>45878</v>
      </c>
      <c r="C7370" s="2" t="s">
        <v>5113</v>
      </c>
      <c r="D7370" s="2" t="s">
        <v>45879</v>
      </c>
      <c r="E7370" s="2" t="s">
        <v>45511</v>
      </c>
      <c r="F7370" s="2" t="s">
        <v>548</v>
      </c>
      <c r="G7370" s="2" t="s">
        <v>45880</v>
      </c>
      <c r="H7370" s="3" t="s">
        <v>31</v>
      </c>
      <c r="I7370" s="3">
        <v>1.0</v>
      </c>
      <c r="J7370" s="3">
        <v>1.0</v>
      </c>
      <c r="K7370" s="3" t="s">
        <v>31</v>
      </c>
      <c r="L7370" s="4" t="s">
        <v>31</v>
      </c>
      <c r="M7370" s="2" t="s">
        <v>45881</v>
      </c>
      <c r="N7370" s="2" t="s">
        <v>2478</v>
      </c>
      <c r="O7370" s="4" t="s">
        <v>7332</v>
      </c>
      <c r="P7370" s="2" t="s">
        <v>45514</v>
      </c>
      <c r="Q7370" s="2" t="s">
        <v>31</v>
      </c>
      <c r="R7370" s="2" t="s">
        <v>7335</v>
      </c>
      <c r="S7370" s="4" t="s">
        <v>7336</v>
      </c>
      <c r="T7370" s="2" t="s">
        <v>5484</v>
      </c>
      <c r="U7370" s="4" t="s">
        <v>31</v>
      </c>
      <c r="V7370" s="2" t="s">
        <v>548</v>
      </c>
      <c r="W7370" s="2" t="s">
        <v>45511</v>
      </c>
      <c r="X7370" s="5" t="str">
        <f>HYPERLINK("https://my.pitchbook.com?p=363884-41P","View People Online")</f>
        <v>View People Online</v>
      </c>
    </row>
    <row r="7371">
      <c r="A7371" s="14" t="s">
        <v>45882</v>
      </c>
      <c r="B7371" s="14" t="s">
        <v>45883</v>
      </c>
      <c r="C7371" s="14" t="s">
        <v>45884</v>
      </c>
      <c r="D7371" s="14" t="s">
        <v>4586</v>
      </c>
      <c r="E7371" s="14" t="s">
        <v>45511</v>
      </c>
      <c r="F7371" s="14" t="s">
        <v>1283</v>
      </c>
      <c r="G7371" s="14" t="s">
        <v>45885</v>
      </c>
      <c r="H7371" s="15" t="s">
        <v>31</v>
      </c>
      <c r="I7371" s="15">
        <v>1.0</v>
      </c>
      <c r="J7371" s="15">
        <v>1.0</v>
      </c>
      <c r="K7371" s="15" t="s">
        <v>31</v>
      </c>
      <c r="L7371" s="16" t="s">
        <v>31</v>
      </c>
      <c r="M7371" s="14" t="s">
        <v>45886</v>
      </c>
      <c r="N7371" s="14" t="s">
        <v>2478</v>
      </c>
      <c r="O7371" s="16" t="s">
        <v>7332</v>
      </c>
      <c r="P7371" s="14" t="s">
        <v>45514</v>
      </c>
      <c r="Q7371" s="14" t="s">
        <v>31</v>
      </c>
      <c r="R7371" s="14" t="s">
        <v>7335</v>
      </c>
      <c r="S7371" s="16" t="s">
        <v>7336</v>
      </c>
      <c r="T7371" s="14" t="s">
        <v>5484</v>
      </c>
      <c r="U7371" s="16" t="s">
        <v>31</v>
      </c>
      <c r="V7371" s="14" t="s">
        <v>1283</v>
      </c>
      <c r="W7371" s="14" t="s">
        <v>45511</v>
      </c>
      <c r="X7371" s="17" t="str">
        <f>HYPERLINK("https://my.pitchbook.com?p=48263-68P","View People Online")</f>
        <v>View People Online</v>
      </c>
    </row>
    <row r="7372">
      <c r="A7372" s="2" t="s">
        <v>45887</v>
      </c>
      <c r="B7372" s="2" t="s">
        <v>45888</v>
      </c>
      <c r="C7372" s="2" t="s">
        <v>2288</v>
      </c>
      <c r="D7372" s="2" t="s">
        <v>45889</v>
      </c>
      <c r="E7372" s="2" t="s">
        <v>45511</v>
      </c>
      <c r="F7372" s="2" t="s">
        <v>825</v>
      </c>
      <c r="G7372" s="2" t="s">
        <v>45890</v>
      </c>
      <c r="H7372" s="3" t="s">
        <v>31</v>
      </c>
      <c r="I7372" s="3">
        <v>4.0</v>
      </c>
      <c r="J7372" s="3">
        <v>1.0</v>
      </c>
      <c r="K7372" s="3">
        <v>3.0</v>
      </c>
      <c r="L7372" s="4" t="s">
        <v>31</v>
      </c>
      <c r="M7372" s="2" t="s">
        <v>45891</v>
      </c>
      <c r="N7372" s="2" t="s">
        <v>2478</v>
      </c>
      <c r="O7372" s="4" t="s">
        <v>7332</v>
      </c>
      <c r="P7372" s="2" t="s">
        <v>45514</v>
      </c>
      <c r="Q7372" s="2" t="s">
        <v>31</v>
      </c>
      <c r="R7372" s="2" t="s">
        <v>7335</v>
      </c>
      <c r="S7372" s="4" t="s">
        <v>7336</v>
      </c>
      <c r="T7372" s="2" t="s">
        <v>5484</v>
      </c>
      <c r="U7372" s="4" t="s">
        <v>31</v>
      </c>
      <c r="V7372" s="2" t="s">
        <v>45892</v>
      </c>
      <c r="W7372" s="2" t="s">
        <v>45511</v>
      </c>
      <c r="X7372" s="5" t="str">
        <f>HYPERLINK("https://my.pitchbook.com?p=121911-94P","View People Online")</f>
        <v>View People Online</v>
      </c>
    </row>
    <row r="7373">
      <c r="A7373" s="14" t="s">
        <v>45893</v>
      </c>
      <c r="B7373" s="14" t="s">
        <v>45894</v>
      </c>
      <c r="C7373" s="14" t="s">
        <v>160</v>
      </c>
      <c r="D7373" s="14" t="s">
        <v>6212</v>
      </c>
      <c r="E7373" s="14" t="s">
        <v>45511</v>
      </c>
      <c r="F7373" s="14" t="s">
        <v>6993</v>
      </c>
      <c r="G7373" s="14" t="s">
        <v>45895</v>
      </c>
      <c r="H7373" s="15" t="s">
        <v>31</v>
      </c>
      <c r="I7373" s="15">
        <v>7.0</v>
      </c>
      <c r="J7373" s="15">
        <v>1.0</v>
      </c>
      <c r="K7373" s="15">
        <v>6.0</v>
      </c>
      <c r="L7373" s="16" t="s">
        <v>45778</v>
      </c>
      <c r="M7373" s="14" t="s">
        <v>45896</v>
      </c>
      <c r="N7373" s="14" t="s">
        <v>243</v>
      </c>
      <c r="O7373" s="16" t="s">
        <v>244</v>
      </c>
      <c r="P7373" s="14" t="s">
        <v>45780</v>
      </c>
      <c r="Q7373" s="14" t="s">
        <v>45781</v>
      </c>
      <c r="R7373" s="14" t="s">
        <v>247</v>
      </c>
      <c r="S7373" s="16" t="s">
        <v>45782</v>
      </c>
      <c r="T7373" s="14" t="s">
        <v>249</v>
      </c>
      <c r="U7373" s="16" t="s">
        <v>31</v>
      </c>
      <c r="V7373" s="14" t="s">
        <v>6993</v>
      </c>
      <c r="W7373" s="14" t="s">
        <v>45511</v>
      </c>
      <c r="X7373" s="17" t="str">
        <f>HYPERLINK("https://my.pitchbook.com?p=135037-99P","View People Online")</f>
        <v>View People Online</v>
      </c>
    </row>
    <row r="7374">
      <c r="A7374" s="2" t="s">
        <v>45897</v>
      </c>
      <c r="B7374" s="2" t="s">
        <v>45898</v>
      </c>
      <c r="C7374" s="2" t="s">
        <v>160</v>
      </c>
      <c r="D7374" s="2" t="s">
        <v>10193</v>
      </c>
      <c r="E7374" s="2" t="s">
        <v>45511</v>
      </c>
      <c r="F7374" s="2" t="s">
        <v>6993</v>
      </c>
      <c r="G7374" s="2" t="s">
        <v>45899</v>
      </c>
      <c r="H7374" s="3">
        <v>1.0</v>
      </c>
      <c r="I7374" s="3">
        <v>2.0</v>
      </c>
      <c r="J7374" s="3">
        <v>1.0</v>
      </c>
      <c r="K7374" s="3" t="s">
        <v>31</v>
      </c>
      <c r="L7374" s="4" t="s">
        <v>45900</v>
      </c>
      <c r="M7374" s="2" t="s">
        <v>45901</v>
      </c>
      <c r="N7374" s="2" t="s">
        <v>429</v>
      </c>
      <c r="O7374" s="4" t="s">
        <v>430</v>
      </c>
      <c r="P7374" s="2" t="s">
        <v>45902</v>
      </c>
      <c r="Q7374" s="2" t="s">
        <v>1331</v>
      </c>
      <c r="R7374" s="2" t="s">
        <v>31</v>
      </c>
      <c r="S7374" s="4" t="s">
        <v>432</v>
      </c>
      <c r="T7374" s="2" t="s">
        <v>433</v>
      </c>
      <c r="U7374" s="4" t="s">
        <v>31</v>
      </c>
      <c r="V7374" s="2" t="s">
        <v>6993</v>
      </c>
      <c r="W7374" s="2" t="s">
        <v>45511</v>
      </c>
      <c r="X7374" s="5" t="str">
        <f>HYPERLINK("https://my.pitchbook.com?p=378555-85P","View People Online")</f>
        <v>View People Online</v>
      </c>
    </row>
    <row r="7375">
      <c r="A7375" s="14" t="s">
        <v>45903</v>
      </c>
      <c r="B7375" s="14" t="s">
        <v>45904</v>
      </c>
      <c r="C7375" s="14" t="s">
        <v>160</v>
      </c>
      <c r="D7375" s="14" t="s">
        <v>25901</v>
      </c>
      <c r="E7375" s="14" t="s">
        <v>45511</v>
      </c>
      <c r="F7375" s="14" t="s">
        <v>270</v>
      </c>
      <c r="G7375" s="14" t="s">
        <v>45905</v>
      </c>
      <c r="H7375" s="15" t="s">
        <v>31</v>
      </c>
      <c r="I7375" s="15">
        <v>1.0</v>
      </c>
      <c r="J7375" s="15">
        <v>1.0</v>
      </c>
      <c r="K7375" s="15" t="s">
        <v>31</v>
      </c>
      <c r="L7375" s="16" t="s">
        <v>31</v>
      </c>
      <c r="M7375" s="14" t="s">
        <v>45906</v>
      </c>
      <c r="N7375" s="14" t="s">
        <v>2478</v>
      </c>
      <c r="O7375" s="16" t="s">
        <v>7332</v>
      </c>
      <c r="P7375" s="14" t="s">
        <v>45514</v>
      </c>
      <c r="Q7375" s="14" t="s">
        <v>31</v>
      </c>
      <c r="R7375" s="14" t="s">
        <v>7335</v>
      </c>
      <c r="S7375" s="16" t="s">
        <v>7336</v>
      </c>
      <c r="T7375" s="14" t="s">
        <v>5484</v>
      </c>
      <c r="U7375" s="16" t="s">
        <v>31</v>
      </c>
      <c r="V7375" s="14" t="s">
        <v>7982</v>
      </c>
      <c r="W7375" s="14" t="s">
        <v>45511</v>
      </c>
      <c r="X7375" s="17" t="str">
        <f>HYPERLINK("https://my.pitchbook.com?p=351689-23P","View People Online")</f>
        <v>View People Online</v>
      </c>
    </row>
    <row r="7376">
      <c r="A7376" s="10" t="s">
        <v>45907</v>
      </c>
      <c r="B7376" s="10" t="s">
        <v>45908</v>
      </c>
      <c r="C7376" s="10" t="s">
        <v>160</v>
      </c>
      <c r="D7376" s="10" t="s">
        <v>45909</v>
      </c>
      <c r="E7376" s="10" t="s">
        <v>45511</v>
      </c>
      <c r="F7376" s="10" t="s">
        <v>1283</v>
      </c>
      <c r="G7376" s="10" t="s">
        <v>45910</v>
      </c>
      <c r="H7376" s="11" t="s">
        <v>31</v>
      </c>
      <c r="I7376" s="11">
        <v>14.0</v>
      </c>
      <c r="J7376" s="11">
        <v>1.0</v>
      </c>
      <c r="K7376" s="11">
        <v>13.0</v>
      </c>
      <c r="L7376" s="12" t="s">
        <v>45911</v>
      </c>
      <c r="M7376" s="10" t="s">
        <v>45912</v>
      </c>
      <c r="N7376" s="10" t="s">
        <v>2478</v>
      </c>
      <c r="O7376" s="12" t="s">
        <v>7332</v>
      </c>
      <c r="P7376" s="10" t="s">
        <v>45514</v>
      </c>
      <c r="Q7376" s="10" t="s">
        <v>31</v>
      </c>
      <c r="R7376" s="10" t="s">
        <v>7335</v>
      </c>
      <c r="S7376" s="12" t="s">
        <v>7336</v>
      </c>
      <c r="T7376" s="10" t="s">
        <v>5484</v>
      </c>
      <c r="U7376" s="12" t="s">
        <v>31</v>
      </c>
      <c r="V7376" s="10" t="s">
        <v>1283</v>
      </c>
      <c r="W7376" s="10" t="s">
        <v>45511</v>
      </c>
      <c r="X7376" s="13" t="str">
        <f>HYPERLINK("https://my.pitchbook.com?p=32565-79P","View People Online")</f>
        <v>View People Online</v>
      </c>
    </row>
    <row r="7377">
      <c r="A7377" s="14" t="s">
        <v>45913</v>
      </c>
      <c r="B7377" s="14" t="s">
        <v>45914</v>
      </c>
      <c r="C7377" s="14" t="s">
        <v>160</v>
      </c>
      <c r="D7377" s="14" t="s">
        <v>4692</v>
      </c>
      <c r="E7377" s="14" t="s">
        <v>45511</v>
      </c>
      <c r="F7377" s="14" t="s">
        <v>1283</v>
      </c>
      <c r="G7377" s="14" t="s">
        <v>45915</v>
      </c>
      <c r="H7377" s="15" t="s">
        <v>31</v>
      </c>
      <c r="I7377" s="15">
        <v>1.0</v>
      </c>
      <c r="J7377" s="15">
        <v>1.0</v>
      </c>
      <c r="K7377" s="15" t="s">
        <v>31</v>
      </c>
      <c r="L7377" s="16" t="s">
        <v>45591</v>
      </c>
      <c r="M7377" s="14" t="s">
        <v>45916</v>
      </c>
      <c r="N7377" s="14" t="s">
        <v>75</v>
      </c>
      <c r="O7377" s="16" t="s">
        <v>76</v>
      </c>
      <c r="P7377" s="14" t="s">
        <v>45541</v>
      </c>
      <c r="Q7377" s="14" t="s">
        <v>31</v>
      </c>
      <c r="R7377" s="14" t="s">
        <v>75</v>
      </c>
      <c r="S7377" s="16" t="s">
        <v>45542</v>
      </c>
      <c r="T7377" s="14" t="s">
        <v>66</v>
      </c>
      <c r="U7377" s="16" t="s">
        <v>31</v>
      </c>
      <c r="V7377" s="14" t="s">
        <v>45917</v>
      </c>
      <c r="W7377" s="14" t="s">
        <v>45511</v>
      </c>
      <c r="X7377" s="17" t="str">
        <f>HYPERLINK("https://my.pitchbook.com?p=125928-64P","View People Online")</f>
        <v>View People Online</v>
      </c>
    </row>
    <row r="7378">
      <c r="A7378" s="2" t="s">
        <v>45918</v>
      </c>
      <c r="B7378" s="2" t="s">
        <v>45919</v>
      </c>
      <c r="C7378" s="2" t="s">
        <v>126</v>
      </c>
      <c r="D7378" s="2" t="s">
        <v>45920</v>
      </c>
      <c r="E7378" s="2" t="s">
        <v>45511</v>
      </c>
      <c r="F7378" s="2" t="s">
        <v>1283</v>
      </c>
      <c r="G7378" s="2" t="s">
        <v>45921</v>
      </c>
      <c r="H7378" s="3" t="s">
        <v>31</v>
      </c>
      <c r="I7378" s="3">
        <v>1.0</v>
      </c>
      <c r="J7378" s="3">
        <v>1.0</v>
      </c>
      <c r="K7378" s="3" t="s">
        <v>31</v>
      </c>
      <c r="L7378" s="4" t="s">
        <v>45591</v>
      </c>
      <c r="M7378" s="2" t="s">
        <v>45922</v>
      </c>
      <c r="N7378" s="2" t="s">
        <v>75</v>
      </c>
      <c r="O7378" s="4" t="s">
        <v>76</v>
      </c>
      <c r="P7378" s="2" t="s">
        <v>45541</v>
      </c>
      <c r="Q7378" s="2" t="s">
        <v>31</v>
      </c>
      <c r="R7378" s="2" t="s">
        <v>75</v>
      </c>
      <c r="S7378" s="4" t="s">
        <v>45542</v>
      </c>
      <c r="T7378" s="2" t="s">
        <v>66</v>
      </c>
      <c r="U7378" s="4" t="s">
        <v>31</v>
      </c>
      <c r="V7378" s="2" t="s">
        <v>45923</v>
      </c>
      <c r="W7378" s="2" t="s">
        <v>45511</v>
      </c>
      <c r="X7378" s="5" t="str">
        <f>HYPERLINK("https://my.pitchbook.com?p=101124-37P","View People Online")</f>
        <v>View People Online</v>
      </c>
    </row>
    <row r="7379">
      <c r="A7379" s="6" t="s">
        <v>45924</v>
      </c>
      <c r="B7379" s="6" t="s">
        <v>45925</v>
      </c>
      <c r="C7379" s="6" t="s">
        <v>126</v>
      </c>
      <c r="D7379" s="6" t="s">
        <v>45926</v>
      </c>
      <c r="E7379" s="6" t="s">
        <v>45511</v>
      </c>
      <c r="F7379" s="6" t="s">
        <v>6993</v>
      </c>
      <c r="G7379" s="6" t="s">
        <v>45927</v>
      </c>
      <c r="H7379" s="7">
        <v>1.0</v>
      </c>
      <c r="I7379" s="7">
        <v>3.0</v>
      </c>
      <c r="J7379" s="7">
        <v>1.0</v>
      </c>
      <c r="K7379" s="7">
        <v>1.0</v>
      </c>
      <c r="L7379" s="8" t="s">
        <v>31</v>
      </c>
      <c r="M7379" s="6" t="s">
        <v>45928</v>
      </c>
      <c r="N7379" s="6" t="s">
        <v>2478</v>
      </c>
      <c r="O7379" s="8" t="s">
        <v>7332</v>
      </c>
      <c r="P7379" s="6" t="s">
        <v>45514</v>
      </c>
      <c r="Q7379" s="6" t="s">
        <v>31</v>
      </c>
      <c r="R7379" s="6" t="s">
        <v>7335</v>
      </c>
      <c r="S7379" s="8" t="s">
        <v>7336</v>
      </c>
      <c r="T7379" s="6" t="s">
        <v>5484</v>
      </c>
      <c r="U7379" s="8" t="s">
        <v>31</v>
      </c>
      <c r="V7379" s="6" t="s">
        <v>6993</v>
      </c>
      <c r="W7379" s="6" t="s">
        <v>45511</v>
      </c>
      <c r="X7379" s="9" t="str">
        <f>HYPERLINK("https://my.pitchbook.com?p=31844-44P","View People Online")</f>
        <v>View People Online</v>
      </c>
    </row>
    <row r="7380">
      <c r="A7380" s="2" t="s">
        <v>45929</v>
      </c>
      <c r="B7380" s="2" t="s">
        <v>45930</v>
      </c>
      <c r="C7380" s="2" t="s">
        <v>126</v>
      </c>
      <c r="D7380" s="2" t="s">
        <v>45931</v>
      </c>
      <c r="E7380" s="2" t="s">
        <v>45511</v>
      </c>
      <c r="F7380" s="2" t="s">
        <v>2652</v>
      </c>
      <c r="G7380" s="2" t="s">
        <v>45932</v>
      </c>
      <c r="H7380" s="3" t="s">
        <v>31</v>
      </c>
      <c r="I7380" s="3">
        <v>14.0</v>
      </c>
      <c r="J7380" s="3">
        <v>1.0</v>
      </c>
      <c r="K7380" s="3" t="s">
        <v>31</v>
      </c>
      <c r="L7380" s="4" t="s">
        <v>45933</v>
      </c>
      <c r="M7380" s="2" t="s">
        <v>31</v>
      </c>
      <c r="N7380" s="2" t="s">
        <v>2478</v>
      </c>
      <c r="O7380" s="4" t="s">
        <v>7332</v>
      </c>
      <c r="P7380" s="2" t="s">
        <v>45514</v>
      </c>
      <c r="Q7380" s="2" t="s">
        <v>31</v>
      </c>
      <c r="R7380" s="2" t="s">
        <v>7335</v>
      </c>
      <c r="S7380" s="4" t="s">
        <v>7336</v>
      </c>
      <c r="T7380" s="2" t="s">
        <v>5484</v>
      </c>
      <c r="U7380" s="4" t="s">
        <v>31</v>
      </c>
      <c r="V7380" s="2" t="s">
        <v>45934</v>
      </c>
      <c r="W7380" s="2" t="s">
        <v>45511</v>
      </c>
      <c r="X7380" s="5" t="str">
        <f>HYPERLINK("https://my.pitchbook.com?p=47013-85P","View People Online")</f>
        <v>View People Online</v>
      </c>
    </row>
    <row r="7381">
      <c r="A7381" s="14" t="s">
        <v>45935</v>
      </c>
      <c r="B7381" s="14" t="s">
        <v>45936</v>
      </c>
      <c r="C7381" s="14" t="s">
        <v>126</v>
      </c>
      <c r="D7381" s="14" t="s">
        <v>45937</v>
      </c>
      <c r="E7381" s="14" t="s">
        <v>45511</v>
      </c>
      <c r="F7381" s="14" t="s">
        <v>1283</v>
      </c>
      <c r="G7381" s="14" t="s">
        <v>45938</v>
      </c>
      <c r="H7381" s="15">
        <v>1.0</v>
      </c>
      <c r="I7381" s="15">
        <v>2.0</v>
      </c>
      <c r="J7381" s="15">
        <v>1.0</v>
      </c>
      <c r="K7381" s="15" t="s">
        <v>31</v>
      </c>
      <c r="L7381" s="16" t="s">
        <v>45591</v>
      </c>
      <c r="M7381" s="14" t="s">
        <v>45939</v>
      </c>
      <c r="N7381" s="14" t="s">
        <v>75</v>
      </c>
      <c r="O7381" s="16" t="s">
        <v>76</v>
      </c>
      <c r="P7381" s="14" t="s">
        <v>45541</v>
      </c>
      <c r="Q7381" s="14" t="s">
        <v>31</v>
      </c>
      <c r="R7381" s="14" t="s">
        <v>75</v>
      </c>
      <c r="S7381" s="16" t="s">
        <v>45542</v>
      </c>
      <c r="T7381" s="14" t="s">
        <v>66</v>
      </c>
      <c r="U7381" s="16" t="s">
        <v>31</v>
      </c>
      <c r="V7381" s="14" t="s">
        <v>1283</v>
      </c>
      <c r="W7381" s="14" t="s">
        <v>45511</v>
      </c>
      <c r="X7381" s="17" t="str">
        <f>HYPERLINK("https://my.pitchbook.com?p=29633-95P","View People Online")</f>
        <v>View People Online</v>
      </c>
    </row>
    <row r="7382">
      <c r="A7382" s="2" t="s">
        <v>45940</v>
      </c>
      <c r="B7382" s="2" t="s">
        <v>45941</v>
      </c>
      <c r="C7382" s="2" t="s">
        <v>126</v>
      </c>
      <c r="D7382" s="2" t="s">
        <v>45942</v>
      </c>
      <c r="E7382" s="2" t="s">
        <v>45511</v>
      </c>
      <c r="F7382" s="2" t="s">
        <v>825</v>
      </c>
      <c r="G7382" s="2" t="s">
        <v>45943</v>
      </c>
      <c r="H7382" s="3" t="s">
        <v>31</v>
      </c>
      <c r="I7382" s="3">
        <v>2.0</v>
      </c>
      <c r="J7382" s="3">
        <v>1.0</v>
      </c>
      <c r="K7382" s="3">
        <v>1.0</v>
      </c>
      <c r="L7382" s="4" t="s">
        <v>45598</v>
      </c>
      <c r="M7382" s="2" t="s">
        <v>45944</v>
      </c>
      <c r="N7382" s="2" t="s">
        <v>4232</v>
      </c>
      <c r="O7382" s="4" t="s">
        <v>4233</v>
      </c>
      <c r="P7382" s="2" t="s">
        <v>45600</v>
      </c>
      <c r="Q7382" s="2" t="s">
        <v>45601</v>
      </c>
      <c r="R7382" s="2" t="s">
        <v>4236</v>
      </c>
      <c r="S7382" s="4" t="s">
        <v>11182</v>
      </c>
      <c r="T7382" s="2" t="s">
        <v>66</v>
      </c>
      <c r="U7382" s="4" t="s">
        <v>31</v>
      </c>
      <c r="V7382" s="2" t="s">
        <v>45945</v>
      </c>
      <c r="W7382" s="2" t="s">
        <v>45511</v>
      </c>
      <c r="X7382" s="5" t="str">
        <f>HYPERLINK("https://my.pitchbook.com?p=36395-02P","View People Online")</f>
        <v>View People Online</v>
      </c>
    </row>
    <row r="7383">
      <c r="A7383" s="14" t="s">
        <v>45946</v>
      </c>
      <c r="B7383" s="14" t="s">
        <v>45947</v>
      </c>
      <c r="C7383" s="14" t="s">
        <v>126</v>
      </c>
      <c r="D7383" s="14" t="s">
        <v>45948</v>
      </c>
      <c r="E7383" s="14" t="s">
        <v>45511</v>
      </c>
      <c r="F7383" s="14" t="s">
        <v>1283</v>
      </c>
      <c r="G7383" s="14" t="s">
        <v>45949</v>
      </c>
      <c r="H7383" s="15" t="s">
        <v>31</v>
      </c>
      <c r="I7383" s="15">
        <v>2.0</v>
      </c>
      <c r="J7383" s="15">
        <v>1.0</v>
      </c>
      <c r="K7383" s="15">
        <v>1.0</v>
      </c>
      <c r="L7383" s="16" t="s">
        <v>45950</v>
      </c>
      <c r="M7383" s="14" t="s">
        <v>45951</v>
      </c>
      <c r="N7383" s="14" t="s">
        <v>1170</v>
      </c>
      <c r="O7383" s="16" t="s">
        <v>1171</v>
      </c>
      <c r="P7383" s="14" t="s">
        <v>12620</v>
      </c>
      <c r="Q7383" s="14" t="s">
        <v>45952</v>
      </c>
      <c r="R7383" s="14" t="s">
        <v>64</v>
      </c>
      <c r="S7383" s="16" t="s">
        <v>12621</v>
      </c>
      <c r="T7383" s="14" t="s">
        <v>66</v>
      </c>
      <c r="U7383" s="16" t="s">
        <v>31</v>
      </c>
      <c r="V7383" s="14" t="s">
        <v>1283</v>
      </c>
      <c r="W7383" s="14" t="s">
        <v>45511</v>
      </c>
      <c r="X7383" s="17" t="str">
        <f>HYPERLINK("https://my.pitchbook.com?p=190855-00P","View People Online")</f>
        <v>View People Online</v>
      </c>
    </row>
    <row r="7384">
      <c r="A7384" s="10" t="s">
        <v>45953</v>
      </c>
      <c r="B7384" s="10" t="s">
        <v>45954</v>
      </c>
      <c r="C7384" s="10" t="s">
        <v>45955</v>
      </c>
      <c r="D7384" s="10" t="s">
        <v>45956</v>
      </c>
      <c r="E7384" s="10" t="s">
        <v>45511</v>
      </c>
      <c r="F7384" s="10" t="s">
        <v>11160</v>
      </c>
      <c r="G7384" s="10" t="s">
        <v>45957</v>
      </c>
      <c r="H7384" s="11">
        <v>1.0</v>
      </c>
      <c r="I7384" s="11">
        <v>4.0</v>
      </c>
      <c r="J7384" s="11">
        <v>1.0</v>
      </c>
      <c r="K7384" s="11">
        <v>2.0</v>
      </c>
      <c r="L7384" s="12" t="s">
        <v>31</v>
      </c>
      <c r="M7384" s="10" t="s">
        <v>45958</v>
      </c>
      <c r="N7384" s="10" t="s">
        <v>2478</v>
      </c>
      <c r="O7384" s="12" t="s">
        <v>7332</v>
      </c>
      <c r="P7384" s="10" t="s">
        <v>45514</v>
      </c>
      <c r="Q7384" s="10" t="s">
        <v>31</v>
      </c>
      <c r="R7384" s="10" t="s">
        <v>7335</v>
      </c>
      <c r="S7384" s="12" t="s">
        <v>7336</v>
      </c>
      <c r="T7384" s="10" t="s">
        <v>5484</v>
      </c>
      <c r="U7384" s="12" t="s">
        <v>31</v>
      </c>
      <c r="V7384" s="10" t="s">
        <v>45959</v>
      </c>
      <c r="W7384" s="10" t="s">
        <v>45511</v>
      </c>
      <c r="X7384" s="13" t="str">
        <f>HYPERLINK("https://my.pitchbook.com?p=200946-88P","View People Online")</f>
        <v>View People Online</v>
      </c>
    </row>
    <row r="7385">
      <c r="A7385" s="14" t="s">
        <v>45960</v>
      </c>
      <c r="B7385" s="14" t="s">
        <v>45961</v>
      </c>
      <c r="C7385" s="14" t="s">
        <v>45962</v>
      </c>
      <c r="D7385" s="14" t="s">
        <v>20640</v>
      </c>
      <c r="E7385" s="14" t="s">
        <v>45511</v>
      </c>
      <c r="F7385" s="14" t="s">
        <v>825</v>
      </c>
      <c r="G7385" s="14" t="s">
        <v>45963</v>
      </c>
      <c r="H7385" s="15" t="s">
        <v>31</v>
      </c>
      <c r="I7385" s="15">
        <v>1.0</v>
      </c>
      <c r="J7385" s="15">
        <v>1.0</v>
      </c>
      <c r="K7385" s="15" t="s">
        <v>31</v>
      </c>
      <c r="L7385" s="16" t="s">
        <v>45591</v>
      </c>
      <c r="M7385" s="14" t="s">
        <v>45964</v>
      </c>
      <c r="N7385" s="14" t="s">
        <v>75</v>
      </c>
      <c r="O7385" s="16" t="s">
        <v>76</v>
      </c>
      <c r="P7385" s="14" t="s">
        <v>45541</v>
      </c>
      <c r="Q7385" s="14" t="s">
        <v>31</v>
      </c>
      <c r="R7385" s="14" t="s">
        <v>75</v>
      </c>
      <c r="S7385" s="16" t="s">
        <v>45542</v>
      </c>
      <c r="T7385" s="14" t="s">
        <v>66</v>
      </c>
      <c r="U7385" s="16" t="s">
        <v>31</v>
      </c>
      <c r="V7385" s="14" t="s">
        <v>45965</v>
      </c>
      <c r="W7385" s="14" t="s">
        <v>45511</v>
      </c>
      <c r="X7385" s="17" t="str">
        <f>HYPERLINK("https://my.pitchbook.com?p=427791-34P","View People Online")</f>
        <v>View People Online</v>
      </c>
    </row>
    <row r="7386">
      <c r="A7386" s="2" t="s">
        <v>45966</v>
      </c>
      <c r="B7386" s="2" t="s">
        <v>45967</v>
      </c>
      <c r="C7386" s="2" t="s">
        <v>26641</v>
      </c>
      <c r="D7386" s="2" t="s">
        <v>45968</v>
      </c>
      <c r="E7386" s="2" t="s">
        <v>45511</v>
      </c>
      <c r="F7386" s="2" t="s">
        <v>2652</v>
      </c>
      <c r="G7386" s="2" t="s">
        <v>45969</v>
      </c>
      <c r="H7386" s="3" t="s">
        <v>31</v>
      </c>
      <c r="I7386" s="3">
        <v>1.0</v>
      </c>
      <c r="J7386" s="3">
        <v>1.0</v>
      </c>
      <c r="K7386" s="3" t="s">
        <v>31</v>
      </c>
      <c r="L7386" s="4" t="s">
        <v>45591</v>
      </c>
      <c r="M7386" s="2" t="s">
        <v>45970</v>
      </c>
      <c r="N7386" s="2" t="s">
        <v>75</v>
      </c>
      <c r="O7386" s="4" t="s">
        <v>76</v>
      </c>
      <c r="P7386" s="2" t="s">
        <v>45541</v>
      </c>
      <c r="Q7386" s="2" t="s">
        <v>31</v>
      </c>
      <c r="R7386" s="2" t="s">
        <v>75</v>
      </c>
      <c r="S7386" s="4" t="s">
        <v>45542</v>
      </c>
      <c r="T7386" s="2" t="s">
        <v>66</v>
      </c>
      <c r="U7386" s="4" t="s">
        <v>31</v>
      </c>
      <c r="V7386" s="2" t="s">
        <v>45971</v>
      </c>
      <c r="W7386" s="2" t="s">
        <v>45511</v>
      </c>
      <c r="X7386" s="5" t="str">
        <f>HYPERLINK("https://my.pitchbook.com?p=343230-94P","View People Online")</f>
        <v>View People Online</v>
      </c>
    </row>
    <row r="7387">
      <c r="A7387" s="14" t="s">
        <v>45972</v>
      </c>
      <c r="B7387" s="14" t="s">
        <v>45973</v>
      </c>
      <c r="C7387" s="14" t="s">
        <v>5185</v>
      </c>
      <c r="D7387" s="14" t="s">
        <v>45974</v>
      </c>
      <c r="E7387" s="14" t="s">
        <v>45511</v>
      </c>
      <c r="F7387" s="14" t="s">
        <v>4997</v>
      </c>
      <c r="G7387" s="14" t="s">
        <v>45975</v>
      </c>
      <c r="H7387" s="15" t="s">
        <v>31</v>
      </c>
      <c r="I7387" s="15">
        <v>3.0</v>
      </c>
      <c r="J7387" s="15">
        <v>1.0</v>
      </c>
      <c r="K7387" s="15">
        <v>2.0</v>
      </c>
      <c r="L7387" s="16" t="s">
        <v>31</v>
      </c>
      <c r="M7387" s="14" t="s">
        <v>45976</v>
      </c>
      <c r="N7387" s="14" t="s">
        <v>2478</v>
      </c>
      <c r="O7387" s="16" t="s">
        <v>7332</v>
      </c>
      <c r="P7387" s="14" t="s">
        <v>45514</v>
      </c>
      <c r="Q7387" s="14" t="s">
        <v>31</v>
      </c>
      <c r="R7387" s="14" t="s">
        <v>7335</v>
      </c>
      <c r="S7387" s="16" t="s">
        <v>7336</v>
      </c>
      <c r="T7387" s="14" t="s">
        <v>5484</v>
      </c>
      <c r="U7387" s="16" t="s">
        <v>31</v>
      </c>
      <c r="V7387" s="14" t="s">
        <v>45977</v>
      </c>
      <c r="W7387" s="14" t="s">
        <v>45511</v>
      </c>
      <c r="X7387" s="17" t="str">
        <f>HYPERLINK("https://my.pitchbook.com?p=202879-36P","View People Online")</f>
        <v>View People Online</v>
      </c>
    </row>
    <row r="7388">
      <c r="A7388" s="10" t="s">
        <v>45978</v>
      </c>
      <c r="B7388" s="10" t="s">
        <v>45979</v>
      </c>
      <c r="C7388" s="10" t="s">
        <v>907</v>
      </c>
      <c r="D7388" s="10" t="s">
        <v>45980</v>
      </c>
      <c r="E7388" s="10" t="s">
        <v>45511</v>
      </c>
      <c r="F7388" s="10" t="s">
        <v>6993</v>
      </c>
      <c r="G7388" s="10" t="s">
        <v>45981</v>
      </c>
      <c r="H7388" s="11" t="s">
        <v>31</v>
      </c>
      <c r="I7388" s="11">
        <v>2.0</v>
      </c>
      <c r="J7388" s="11">
        <v>1.0</v>
      </c>
      <c r="K7388" s="11">
        <v>1.0</v>
      </c>
      <c r="L7388" s="12" t="s">
        <v>31</v>
      </c>
      <c r="M7388" s="10" t="s">
        <v>45982</v>
      </c>
      <c r="N7388" s="10" t="s">
        <v>2478</v>
      </c>
      <c r="O7388" s="12" t="s">
        <v>7332</v>
      </c>
      <c r="P7388" s="10" t="s">
        <v>45514</v>
      </c>
      <c r="Q7388" s="10" t="s">
        <v>31</v>
      </c>
      <c r="R7388" s="10" t="s">
        <v>7335</v>
      </c>
      <c r="S7388" s="12" t="s">
        <v>7336</v>
      </c>
      <c r="T7388" s="10" t="s">
        <v>5484</v>
      </c>
      <c r="U7388" s="12" t="s">
        <v>31</v>
      </c>
      <c r="V7388" s="10" t="s">
        <v>6993</v>
      </c>
      <c r="W7388" s="10" t="s">
        <v>45511</v>
      </c>
      <c r="X7388" s="13" t="str">
        <f>HYPERLINK("https://my.pitchbook.com?p=80209-81P","View People Online")</f>
        <v>View People Online</v>
      </c>
    </row>
    <row r="7389">
      <c r="A7389" s="6" t="s">
        <v>45983</v>
      </c>
      <c r="B7389" s="6" t="s">
        <v>45984</v>
      </c>
      <c r="C7389" s="6" t="s">
        <v>132</v>
      </c>
      <c r="D7389" s="6" t="s">
        <v>45985</v>
      </c>
      <c r="E7389" s="6" t="s">
        <v>45511</v>
      </c>
      <c r="F7389" s="6" t="s">
        <v>1283</v>
      </c>
      <c r="G7389" s="6" t="s">
        <v>45986</v>
      </c>
      <c r="H7389" s="7" t="s">
        <v>31</v>
      </c>
      <c r="I7389" s="7">
        <v>1.0</v>
      </c>
      <c r="J7389" s="7">
        <v>1.0</v>
      </c>
      <c r="K7389" s="7" t="s">
        <v>31</v>
      </c>
      <c r="L7389" s="8" t="s">
        <v>45591</v>
      </c>
      <c r="M7389" s="6" t="s">
        <v>45987</v>
      </c>
      <c r="N7389" s="6" t="s">
        <v>75</v>
      </c>
      <c r="O7389" s="8" t="s">
        <v>76</v>
      </c>
      <c r="P7389" s="6" t="s">
        <v>45541</v>
      </c>
      <c r="Q7389" s="6" t="s">
        <v>31</v>
      </c>
      <c r="R7389" s="6" t="s">
        <v>75</v>
      </c>
      <c r="S7389" s="8" t="s">
        <v>45542</v>
      </c>
      <c r="T7389" s="6" t="s">
        <v>66</v>
      </c>
      <c r="U7389" s="8" t="s">
        <v>31</v>
      </c>
      <c r="V7389" s="6" t="s">
        <v>1283</v>
      </c>
      <c r="W7389" s="6" t="s">
        <v>45511</v>
      </c>
      <c r="X7389" s="9" t="str">
        <f>HYPERLINK("https://my.pitchbook.com?p=444345-67P","View People Online")</f>
        <v>View People Online</v>
      </c>
    </row>
    <row r="7390">
      <c r="A7390" s="2" t="s">
        <v>45988</v>
      </c>
      <c r="B7390" s="2" t="s">
        <v>45989</v>
      </c>
      <c r="C7390" s="2" t="s">
        <v>382</v>
      </c>
      <c r="D7390" s="2" t="s">
        <v>45990</v>
      </c>
      <c r="E7390" s="2" t="s">
        <v>45511</v>
      </c>
      <c r="F7390" s="2" t="s">
        <v>45991</v>
      </c>
      <c r="G7390" s="2" t="s">
        <v>45992</v>
      </c>
      <c r="H7390" s="3" t="s">
        <v>31</v>
      </c>
      <c r="I7390" s="3">
        <v>2.0</v>
      </c>
      <c r="J7390" s="3">
        <v>2.0</v>
      </c>
      <c r="K7390" s="3" t="s">
        <v>31</v>
      </c>
      <c r="L7390" s="4" t="s">
        <v>31</v>
      </c>
      <c r="M7390" s="2" t="s">
        <v>45993</v>
      </c>
      <c r="N7390" s="2" t="s">
        <v>2478</v>
      </c>
      <c r="O7390" s="4" t="s">
        <v>7332</v>
      </c>
      <c r="P7390" s="2" t="s">
        <v>45514</v>
      </c>
      <c r="Q7390" s="2" t="s">
        <v>31</v>
      </c>
      <c r="R7390" s="2" t="s">
        <v>7335</v>
      </c>
      <c r="S7390" s="4" t="s">
        <v>7336</v>
      </c>
      <c r="T7390" s="2" t="s">
        <v>5484</v>
      </c>
      <c r="U7390" s="4" t="s">
        <v>31</v>
      </c>
      <c r="V7390" s="2" t="s">
        <v>45994</v>
      </c>
      <c r="W7390" s="2" t="s">
        <v>45511</v>
      </c>
      <c r="X7390" s="5" t="str">
        <f>HYPERLINK("https://my.pitchbook.com?p=50155-21P","View People Online")</f>
        <v>View People Online</v>
      </c>
    </row>
    <row r="7391">
      <c r="A7391" s="6" t="s">
        <v>45995</v>
      </c>
      <c r="B7391" s="6" t="s">
        <v>45996</v>
      </c>
      <c r="C7391" s="6" t="s">
        <v>30956</v>
      </c>
      <c r="D7391" s="6" t="s">
        <v>45997</v>
      </c>
      <c r="E7391" s="6" t="s">
        <v>45511</v>
      </c>
      <c r="F7391" s="6" t="s">
        <v>312</v>
      </c>
      <c r="G7391" s="6" t="s">
        <v>45998</v>
      </c>
      <c r="H7391" s="7" t="s">
        <v>31</v>
      </c>
      <c r="I7391" s="7">
        <v>1.0</v>
      </c>
      <c r="J7391" s="7">
        <v>1.0</v>
      </c>
      <c r="K7391" s="7" t="s">
        <v>31</v>
      </c>
      <c r="L7391" s="8" t="s">
        <v>31</v>
      </c>
      <c r="M7391" s="6" t="s">
        <v>45999</v>
      </c>
      <c r="N7391" s="6" t="s">
        <v>2478</v>
      </c>
      <c r="O7391" s="8" t="s">
        <v>7332</v>
      </c>
      <c r="P7391" s="6" t="s">
        <v>45514</v>
      </c>
      <c r="Q7391" s="6" t="s">
        <v>31</v>
      </c>
      <c r="R7391" s="6" t="s">
        <v>7335</v>
      </c>
      <c r="S7391" s="8" t="s">
        <v>7336</v>
      </c>
      <c r="T7391" s="6" t="s">
        <v>5484</v>
      </c>
      <c r="U7391" s="8" t="s">
        <v>31</v>
      </c>
      <c r="V7391" s="6" t="s">
        <v>312</v>
      </c>
      <c r="W7391" s="6" t="s">
        <v>45511</v>
      </c>
      <c r="X7391" s="9" t="str">
        <f>HYPERLINK("https://my.pitchbook.com?p=299057-41P","View People Online")</f>
        <v>View People Online</v>
      </c>
    </row>
    <row r="7392">
      <c r="A7392" s="10" t="s">
        <v>46000</v>
      </c>
      <c r="B7392" s="10" t="s">
        <v>46001</v>
      </c>
      <c r="C7392" s="10" t="s">
        <v>3221</v>
      </c>
      <c r="D7392" s="10" t="s">
        <v>8535</v>
      </c>
      <c r="E7392" s="10" t="s">
        <v>45511</v>
      </c>
      <c r="F7392" s="10" t="s">
        <v>6993</v>
      </c>
      <c r="G7392" s="10" t="s">
        <v>46002</v>
      </c>
      <c r="H7392" s="11">
        <v>2.0</v>
      </c>
      <c r="I7392" s="11">
        <v>16.0</v>
      </c>
      <c r="J7392" s="11">
        <v>1.0</v>
      </c>
      <c r="K7392" s="11">
        <v>12.0</v>
      </c>
      <c r="L7392" s="12" t="s">
        <v>31</v>
      </c>
      <c r="M7392" s="10" t="s">
        <v>46003</v>
      </c>
      <c r="N7392" s="10" t="s">
        <v>2478</v>
      </c>
      <c r="O7392" s="12" t="s">
        <v>7332</v>
      </c>
      <c r="P7392" s="10" t="s">
        <v>45514</v>
      </c>
      <c r="Q7392" s="10" t="s">
        <v>31</v>
      </c>
      <c r="R7392" s="10" t="s">
        <v>7335</v>
      </c>
      <c r="S7392" s="12" t="s">
        <v>7336</v>
      </c>
      <c r="T7392" s="10" t="s">
        <v>5484</v>
      </c>
      <c r="U7392" s="12" t="s">
        <v>31</v>
      </c>
      <c r="V7392" s="10" t="s">
        <v>6993</v>
      </c>
      <c r="W7392" s="10" t="s">
        <v>45511</v>
      </c>
      <c r="X7392" s="13" t="str">
        <f>HYPERLINK("https://my.pitchbook.com?p=199347-04P","View People Online")</f>
        <v>View People Online</v>
      </c>
    </row>
    <row r="7393">
      <c r="A7393" s="14" t="s">
        <v>46004</v>
      </c>
      <c r="B7393" s="14" t="s">
        <v>46005</v>
      </c>
      <c r="C7393" s="14" t="s">
        <v>167</v>
      </c>
      <c r="D7393" s="14" t="s">
        <v>46006</v>
      </c>
      <c r="E7393" s="14" t="s">
        <v>45511</v>
      </c>
      <c r="F7393" s="14" t="s">
        <v>11160</v>
      </c>
      <c r="G7393" s="14" t="s">
        <v>46007</v>
      </c>
      <c r="H7393" s="15">
        <v>1.0</v>
      </c>
      <c r="I7393" s="15">
        <v>6.0</v>
      </c>
      <c r="J7393" s="15">
        <v>1.0</v>
      </c>
      <c r="K7393" s="15">
        <v>3.0</v>
      </c>
      <c r="L7393" s="16" t="s">
        <v>31</v>
      </c>
      <c r="M7393" s="14" t="s">
        <v>46008</v>
      </c>
      <c r="N7393" s="14" t="s">
        <v>2478</v>
      </c>
      <c r="O7393" s="16" t="s">
        <v>7332</v>
      </c>
      <c r="P7393" s="14" t="s">
        <v>45514</v>
      </c>
      <c r="Q7393" s="14" t="s">
        <v>31</v>
      </c>
      <c r="R7393" s="14" t="s">
        <v>7335</v>
      </c>
      <c r="S7393" s="16" t="s">
        <v>7336</v>
      </c>
      <c r="T7393" s="14" t="s">
        <v>5484</v>
      </c>
      <c r="U7393" s="16" t="s">
        <v>31</v>
      </c>
      <c r="V7393" s="14" t="s">
        <v>46009</v>
      </c>
      <c r="W7393" s="14" t="s">
        <v>45511</v>
      </c>
      <c r="X7393" s="17" t="str">
        <f>HYPERLINK("https://my.pitchbook.com?p=171576-46P","View People Online")</f>
        <v>View People Online</v>
      </c>
    </row>
    <row r="7394">
      <c r="A7394" s="10" t="s">
        <v>46010</v>
      </c>
      <c r="B7394" s="10" t="s">
        <v>46011</v>
      </c>
      <c r="C7394" s="10" t="s">
        <v>167</v>
      </c>
      <c r="D7394" s="10" t="s">
        <v>9464</v>
      </c>
      <c r="E7394" s="10" t="s">
        <v>45511</v>
      </c>
      <c r="F7394" s="10" t="s">
        <v>312</v>
      </c>
      <c r="G7394" s="10" t="s">
        <v>46012</v>
      </c>
      <c r="H7394" s="11" t="s">
        <v>31</v>
      </c>
      <c r="I7394" s="11">
        <v>1.0</v>
      </c>
      <c r="J7394" s="11">
        <v>1.0</v>
      </c>
      <c r="K7394" s="11" t="s">
        <v>31</v>
      </c>
      <c r="L7394" s="12" t="s">
        <v>45591</v>
      </c>
      <c r="M7394" s="10" t="s">
        <v>46013</v>
      </c>
      <c r="N7394" s="10" t="s">
        <v>75</v>
      </c>
      <c r="O7394" s="12" t="s">
        <v>76</v>
      </c>
      <c r="P7394" s="10" t="s">
        <v>45541</v>
      </c>
      <c r="Q7394" s="10" t="s">
        <v>31</v>
      </c>
      <c r="R7394" s="10" t="s">
        <v>75</v>
      </c>
      <c r="S7394" s="12" t="s">
        <v>45542</v>
      </c>
      <c r="T7394" s="10" t="s">
        <v>66</v>
      </c>
      <c r="U7394" s="12" t="s">
        <v>31</v>
      </c>
      <c r="V7394" s="10" t="s">
        <v>312</v>
      </c>
      <c r="W7394" s="10" t="s">
        <v>45511</v>
      </c>
      <c r="X7394" s="13" t="str">
        <f>HYPERLINK("https://my.pitchbook.com?p=337105-54P","View People Online")</f>
        <v>View People Online</v>
      </c>
    </row>
    <row r="7395">
      <c r="A7395" s="14" t="s">
        <v>46014</v>
      </c>
      <c r="B7395" s="14" t="s">
        <v>20734</v>
      </c>
      <c r="C7395" s="14" t="s">
        <v>2388</v>
      </c>
      <c r="D7395" s="14" t="s">
        <v>18117</v>
      </c>
      <c r="E7395" s="14" t="s">
        <v>45511</v>
      </c>
      <c r="F7395" s="14" t="s">
        <v>2652</v>
      </c>
      <c r="G7395" s="14" t="s">
        <v>46015</v>
      </c>
      <c r="H7395" s="15" t="s">
        <v>31</v>
      </c>
      <c r="I7395" s="15">
        <v>1.0</v>
      </c>
      <c r="J7395" s="15">
        <v>1.0</v>
      </c>
      <c r="K7395" s="15" t="s">
        <v>31</v>
      </c>
      <c r="L7395" s="16" t="s">
        <v>45591</v>
      </c>
      <c r="M7395" s="14" t="s">
        <v>46016</v>
      </c>
      <c r="N7395" s="14" t="s">
        <v>75</v>
      </c>
      <c r="O7395" s="16" t="s">
        <v>76</v>
      </c>
      <c r="P7395" s="14" t="s">
        <v>45541</v>
      </c>
      <c r="Q7395" s="14" t="s">
        <v>31</v>
      </c>
      <c r="R7395" s="14" t="s">
        <v>75</v>
      </c>
      <c r="S7395" s="16" t="s">
        <v>45542</v>
      </c>
      <c r="T7395" s="14" t="s">
        <v>66</v>
      </c>
      <c r="U7395" s="16" t="s">
        <v>31</v>
      </c>
      <c r="V7395" s="14" t="s">
        <v>46017</v>
      </c>
      <c r="W7395" s="14" t="s">
        <v>45511</v>
      </c>
      <c r="X7395" s="17" t="str">
        <f>HYPERLINK("https://my.pitchbook.com?p=107198-38P","View People Online")</f>
        <v>View People Online</v>
      </c>
    </row>
    <row r="7396">
      <c r="A7396" s="10" t="s">
        <v>46018</v>
      </c>
      <c r="B7396" s="10" t="s">
        <v>46019</v>
      </c>
      <c r="C7396" s="10" t="s">
        <v>2388</v>
      </c>
      <c r="D7396" s="10" t="s">
        <v>46020</v>
      </c>
      <c r="E7396" s="10" t="s">
        <v>45511</v>
      </c>
      <c r="F7396" s="10" t="s">
        <v>1283</v>
      </c>
      <c r="G7396" s="10" t="s">
        <v>46021</v>
      </c>
      <c r="H7396" s="11">
        <v>1.0</v>
      </c>
      <c r="I7396" s="11">
        <v>3.0</v>
      </c>
      <c r="J7396" s="11">
        <v>1.0</v>
      </c>
      <c r="K7396" s="11">
        <v>1.0</v>
      </c>
      <c r="L7396" s="12" t="s">
        <v>46022</v>
      </c>
      <c r="M7396" s="10" t="s">
        <v>46023</v>
      </c>
      <c r="N7396" s="10" t="s">
        <v>1034</v>
      </c>
      <c r="O7396" s="12" t="s">
        <v>1035</v>
      </c>
      <c r="P7396" s="10" t="s">
        <v>46024</v>
      </c>
      <c r="Q7396" s="10" t="s">
        <v>46025</v>
      </c>
      <c r="R7396" s="10" t="s">
        <v>31</v>
      </c>
      <c r="S7396" s="12" t="s">
        <v>46026</v>
      </c>
      <c r="T7396" s="10" t="s">
        <v>1034</v>
      </c>
      <c r="U7396" s="12" t="s">
        <v>31</v>
      </c>
      <c r="V7396" s="10" t="s">
        <v>46027</v>
      </c>
      <c r="W7396" s="10" t="s">
        <v>45511</v>
      </c>
      <c r="X7396" s="13" t="str">
        <f>HYPERLINK("https://my.pitchbook.com?p=256398-49P","View People Online")</f>
        <v>View People Online</v>
      </c>
    </row>
    <row r="7397">
      <c r="A7397" s="14" t="s">
        <v>46028</v>
      </c>
      <c r="B7397" s="14" t="s">
        <v>46029</v>
      </c>
      <c r="C7397" s="14" t="s">
        <v>46030</v>
      </c>
      <c r="D7397" s="14" t="s">
        <v>46031</v>
      </c>
      <c r="E7397" s="14" t="s">
        <v>45511</v>
      </c>
      <c r="F7397" s="14" t="s">
        <v>6993</v>
      </c>
      <c r="G7397" s="14" t="s">
        <v>46032</v>
      </c>
      <c r="H7397" s="15" t="s">
        <v>31</v>
      </c>
      <c r="I7397" s="15">
        <v>1.0</v>
      </c>
      <c r="J7397" s="15">
        <v>1.0</v>
      </c>
      <c r="K7397" s="15" t="s">
        <v>31</v>
      </c>
      <c r="L7397" s="16" t="s">
        <v>45598</v>
      </c>
      <c r="M7397" s="14" t="s">
        <v>46033</v>
      </c>
      <c r="N7397" s="14" t="s">
        <v>4232</v>
      </c>
      <c r="O7397" s="16" t="s">
        <v>4233</v>
      </c>
      <c r="P7397" s="14" t="s">
        <v>45600</v>
      </c>
      <c r="Q7397" s="14" t="s">
        <v>45601</v>
      </c>
      <c r="R7397" s="14" t="s">
        <v>4236</v>
      </c>
      <c r="S7397" s="16" t="s">
        <v>11182</v>
      </c>
      <c r="T7397" s="14" t="s">
        <v>66</v>
      </c>
      <c r="U7397" s="16" t="s">
        <v>31</v>
      </c>
      <c r="V7397" s="14" t="s">
        <v>46034</v>
      </c>
      <c r="W7397" s="14" t="s">
        <v>45511</v>
      </c>
      <c r="X7397" s="17" t="str">
        <f>HYPERLINK("https://my.pitchbook.com?p=141509-17P","View People Online")</f>
        <v>View People Online</v>
      </c>
    </row>
    <row r="7398">
      <c r="A7398" s="2" t="s">
        <v>46035</v>
      </c>
      <c r="B7398" s="2" t="s">
        <v>46036</v>
      </c>
      <c r="C7398" s="2" t="s">
        <v>46037</v>
      </c>
      <c r="D7398" s="2" t="s">
        <v>46038</v>
      </c>
      <c r="E7398" s="2" t="s">
        <v>45511</v>
      </c>
      <c r="F7398" s="2" t="s">
        <v>825</v>
      </c>
      <c r="G7398" s="2" t="s">
        <v>46039</v>
      </c>
      <c r="H7398" s="3" t="s">
        <v>31</v>
      </c>
      <c r="I7398" s="3">
        <v>1.0</v>
      </c>
      <c r="J7398" s="3">
        <v>1.0</v>
      </c>
      <c r="K7398" s="3" t="s">
        <v>31</v>
      </c>
      <c r="L7398" s="4" t="s">
        <v>31</v>
      </c>
      <c r="M7398" s="2" t="s">
        <v>46040</v>
      </c>
      <c r="N7398" s="2" t="s">
        <v>2478</v>
      </c>
      <c r="O7398" s="4" t="s">
        <v>7332</v>
      </c>
      <c r="P7398" s="2" t="s">
        <v>45514</v>
      </c>
      <c r="Q7398" s="2" t="s">
        <v>31</v>
      </c>
      <c r="R7398" s="2" t="s">
        <v>7335</v>
      </c>
      <c r="S7398" s="4" t="s">
        <v>7336</v>
      </c>
      <c r="T7398" s="2" t="s">
        <v>5484</v>
      </c>
      <c r="U7398" s="4" t="s">
        <v>31</v>
      </c>
      <c r="V7398" s="2" t="s">
        <v>46041</v>
      </c>
      <c r="W7398" s="2" t="s">
        <v>45511</v>
      </c>
      <c r="X7398" s="5" t="str">
        <f>HYPERLINK("https://my.pitchbook.com?p=203792-14P","View People Online")</f>
        <v>View People Online</v>
      </c>
    </row>
    <row r="7399">
      <c r="A7399" s="6" t="s">
        <v>46042</v>
      </c>
      <c r="B7399" s="6" t="s">
        <v>46043</v>
      </c>
      <c r="C7399" s="6" t="s">
        <v>44689</v>
      </c>
      <c r="D7399" s="6" t="s">
        <v>46044</v>
      </c>
      <c r="E7399" s="6" t="s">
        <v>45511</v>
      </c>
      <c r="F7399" s="6" t="s">
        <v>46045</v>
      </c>
      <c r="G7399" s="6" t="s">
        <v>46046</v>
      </c>
      <c r="H7399" s="7" t="s">
        <v>31</v>
      </c>
      <c r="I7399" s="7">
        <v>2.0</v>
      </c>
      <c r="J7399" s="7">
        <v>1.0</v>
      </c>
      <c r="K7399" s="7">
        <v>1.0</v>
      </c>
      <c r="L7399" s="8" t="s">
        <v>31</v>
      </c>
      <c r="M7399" s="6" t="s">
        <v>46047</v>
      </c>
      <c r="N7399" s="6" t="s">
        <v>2478</v>
      </c>
      <c r="O7399" s="8" t="s">
        <v>7332</v>
      </c>
      <c r="P7399" s="6" t="s">
        <v>45514</v>
      </c>
      <c r="Q7399" s="6" t="s">
        <v>31</v>
      </c>
      <c r="R7399" s="6" t="s">
        <v>7335</v>
      </c>
      <c r="S7399" s="8" t="s">
        <v>7336</v>
      </c>
      <c r="T7399" s="6" t="s">
        <v>5484</v>
      </c>
      <c r="U7399" s="8" t="s">
        <v>31</v>
      </c>
      <c r="V7399" s="6" t="s">
        <v>46048</v>
      </c>
      <c r="W7399" s="6" t="s">
        <v>45511</v>
      </c>
      <c r="X7399" s="9" t="str">
        <f>HYPERLINK("https://my.pitchbook.com?p=296436-88P","View People Online")</f>
        <v>View People Online</v>
      </c>
    </row>
    <row r="7400">
      <c r="A7400" s="10" t="s">
        <v>46049</v>
      </c>
      <c r="B7400" s="10" t="s">
        <v>46050</v>
      </c>
      <c r="C7400" s="10" t="s">
        <v>20889</v>
      </c>
      <c r="D7400" s="10" t="s">
        <v>46051</v>
      </c>
      <c r="E7400" s="10" t="s">
        <v>45511</v>
      </c>
      <c r="F7400" s="10" t="s">
        <v>713</v>
      </c>
      <c r="G7400" s="10" t="s">
        <v>46052</v>
      </c>
      <c r="H7400" s="11" t="s">
        <v>31</v>
      </c>
      <c r="I7400" s="11">
        <v>2.0</v>
      </c>
      <c r="J7400" s="11">
        <v>1.0</v>
      </c>
      <c r="K7400" s="11">
        <v>1.0</v>
      </c>
      <c r="L7400" s="12" t="s">
        <v>31</v>
      </c>
      <c r="M7400" s="10" t="s">
        <v>46053</v>
      </c>
      <c r="N7400" s="10" t="s">
        <v>2478</v>
      </c>
      <c r="O7400" s="12" t="s">
        <v>7332</v>
      </c>
      <c r="P7400" s="10" t="s">
        <v>45514</v>
      </c>
      <c r="Q7400" s="10" t="s">
        <v>31</v>
      </c>
      <c r="R7400" s="10" t="s">
        <v>7335</v>
      </c>
      <c r="S7400" s="12" t="s">
        <v>7336</v>
      </c>
      <c r="T7400" s="10" t="s">
        <v>5484</v>
      </c>
      <c r="U7400" s="12" t="s">
        <v>31</v>
      </c>
      <c r="V7400" s="10" t="s">
        <v>713</v>
      </c>
      <c r="W7400" s="10" t="s">
        <v>45511</v>
      </c>
      <c r="X7400" s="13" t="str">
        <f>HYPERLINK("https://my.pitchbook.com?p=37143-37P","View People Online")</f>
        <v>View People Online</v>
      </c>
    </row>
    <row r="7401">
      <c r="A7401" s="6" t="s">
        <v>46054</v>
      </c>
      <c r="B7401" s="6" t="s">
        <v>46055</v>
      </c>
      <c r="C7401" s="6" t="s">
        <v>2426</v>
      </c>
      <c r="D7401" s="6" t="s">
        <v>46056</v>
      </c>
      <c r="E7401" s="6" t="s">
        <v>45511</v>
      </c>
      <c r="F7401" s="6" t="s">
        <v>78</v>
      </c>
      <c r="G7401" s="6" t="s">
        <v>46057</v>
      </c>
      <c r="H7401" s="7" t="s">
        <v>31</v>
      </c>
      <c r="I7401" s="7">
        <v>1.0</v>
      </c>
      <c r="J7401" s="7">
        <v>1.0</v>
      </c>
      <c r="K7401" s="7" t="s">
        <v>31</v>
      </c>
      <c r="L7401" s="8" t="s">
        <v>31</v>
      </c>
      <c r="M7401" s="6" t="s">
        <v>46058</v>
      </c>
      <c r="N7401" s="6" t="s">
        <v>2478</v>
      </c>
      <c r="O7401" s="8" t="s">
        <v>7332</v>
      </c>
      <c r="P7401" s="6" t="s">
        <v>45514</v>
      </c>
      <c r="Q7401" s="6" t="s">
        <v>31</v>
      </c>
      <c r="R7401" s="6" t="s">
        <v>7335</v>
      </c>
      <c r="S7401" s="8" t="s">
        <v>7336</v>
      </c>
      <c r="T7401" s="6" t="s">
        <v>5484</v>
      </c>
      <c r="U7401" s="8" t="s">
        <v>31</v>
      </c>
      <c r="V7401" s="6" t="s">
        <v>46059</v>
      </c>
      <c r="W7401" s="6" t="s">
        <v>45511</v>
      </c>
      <c r="X7401" s="9" t="str">
        <f>HYPERLINK("https://my.pitchbook.com?p=47014-03P","View People Online")</f>
        <v>View People Online</v>
      </c>
    </row>
    <row r="7402">
      <c r="A7402" s="10" t="s">
        <v>46060</v>
      </c>
      <c r="B7402" s="10" t="s">
        <v>46061</v>
      </c>
      <c r="C7402" s="10" t="s">
        <v>4015</v>
      </c>
      <c r="D7402" s="10" t="s">
        <v>1267</v>
      </c>
      <c r="E7402" s="10" t="s">
        <v>45511</v>
      </c>
      <c r="F7402" s="10" t="s">
        <v>5365</v>
      </c>
      <c r="G7402" s="10" t="s">
        <v>46062</v>
      </c>
      <c r="H7402" s="11" t="s">
        <v>31</v>
      </c>
      <c r="I7402" s="11">
        <v>1.0</v>
      </c>
      <c r="J7402" s="11">
        <v>1.0</v>
      </c>
      <c r="K7402" s="11" t="s">
        <v>31</v>
      </c>
      <c r="L7402" s="12" t="s">
        <v>45591</v>
      </c>
      <c r="M7402" s="10" t="s">
        <v>46063</v>
      </c>
      <c r="N7402" s="10" t="s">
        <v>75</v>
      </c>
      <c r="O7402" s="12" t="s">
        <v>76</v>
      </c>
      <c r="P7402" s="10" t="s">
        <v>45541</v>
      </c>
      <c r="Q7402" s="10" t="s">
        <v>31</v>
      </c>
      <c r="R7402" s="10" t="s">
        <v>75</v>
      </c>
      <c r="S7402" s="12" t="s">
        <v>45542</v>
      </c>
      <c r="T7402" s="10" t="s">
        <v>66</v>
      </c>
      <c r="U7402" s="12" t="s">
        <v>31</v>
      </c>
      <c r="V7402" s="10" t="s">
        <v>46064</v>
      </c>
      <c r="W7402" s="10" t="s">
        <v>45511</v>
      </c>
      <c r="X7402" s="13" t="str">
        <f>HYPERLINK("https://my.pitchbook.com?p=37174-96P","View People Online")</f>
        <v>View People Online</v>
      </c>
    </row>
    <row r="7403">
      <c r="A7403" s="14" t="s">
        <v>46065</v>
      </c>
      <c r="B7403" s="14" t="s">
        <v>46066</v>
      </c>
      <c r="C7403" s="14" t="s">
        <v>180</v>
      </c>
      <c r="D7403" s="14" t="s">
        <v>8009</v>
      </c>
      <c r="E7403" s="14" t="s">
        <v>45511</v>
      </c>
      <c r="F7403" s="14" t="s">
        <v>371</v>
      </c>
      <c r="G7403" s="14" t="s">
        <v>46067</v>
      </c>
      <c r="H7403" s="15" t="s">
        <v>31</v>
      </c>
      <c r="I7403" s="15">
        <v>1.0</v>
      </c>
      <c r="J7403" s="15">
        <v>1.0</v>
      </c>
      <c r="K7403" s="15" t="s">
        <v>31</v>
      </c>
      <c r="L7403" s="16" t="s">
        <v>31</v>
      </c>
      <c r="M7403" s="14" t="s">
        <v>46068</v>
      </c>
      <c r="N7403" s="14" t="s">
        <v>2478</v>
      </c>
      <c r="O7403" s="16" t="s">
        <v>7332</v>
      </c>
      <c r="P7403" s="14" t="s">
        <v>45514</v>
      </c>
      <c r="Q7403" s="14" t="s">
        <v>31</v>
      </c>
      <c r="R7403" s="14" t="s">
        <v>7335</v>
      </c>
      <c r="S7403" s="16" t="s">
        <v>7336</v>
      </c>
      <c r="T7403" s="14" t="s">
        <v>5484</v>
      </c>
      <c r="U7403" s="16" t="s">
        <v>31</v>
      </c>
      <c r="V7403" s="14" t="s">
        <v>46069</v>
      </c>
      <c r="W7403" s="14" t="s">
        <v>45511</v>
      </c>
      <c r="X7403" s="17" t="str">
        <f>HYPERLINK("https://my.pitchbook.com?p=222034-15P","View People Online")</f>
        <v>View People Online</v>
      </c>
    </row>
    <row r="7404">
      <c r="A7404" s="2" t="s">
        <v>46070</v>
      </c>
      <c r="B7404" s="2" t="s">
        <v>46071</v>
      </c>
      <c r="C7404" s="2" t="s">
        <v>180</v>
      </c>
      <c r="D7404" s="2" t="s">
        <v>46072</v>
      </c>
      <c r="E7404" s="2" t="s">
        <v>45511</v>
      </c>
      <c r="F7404" s="2" t="s">
        <v>1801</v>
      </c>
      <c r="G7404" s="2" t="s">
        <v>46073</v>
      </c>
      <c r="H7404" s="3" t="s">
        <v>31</v>
      </c>
      <c r="I7404" s="3">
        <v>2.0</v>
      </c>
      <c r="J7404" s="3">
        <v>1.0</v>
      </c>
      <c r="K7404" s="3">
        <v>1.0</v>
      </c>
      <c r="L7404" s="4" t="s">
        <v>31</v>
      </c>
      <c r="M7404" s="2" t="s">
        <v>46074</v>
      </c>
      <c r="N7404" s="2" t="s">
        <v>2478</v>
      </c>
      <c r="O7404" s="4" t="s">
        <v>7332</v>
      </c>
      <c r="P7404" s="2" t="s">
        <v>45514</v>
      </c>
      <c r="Q7404" s="2" t="s">
        <v>31</v>
      </c>
      <c r="R7404" s="2" t="s">
        <v>7335</v>
      </c>
      <c r="S7404" s="4" t="s">
        <v>7336</v>
      </c>
      <c r="T7404" s="2" t="s">
        <v>5484</v>
      </c>
      <c r="U7404" s="4" t="s">
        <v>31</v>
      </c>
      <c r="V7404" s="2" t="s">
        <v>1801</v>
      </c>
      <c r="W7404" s="2" t="s">
        <v>45511</v>
      </c>
      <c r="X7404" s="5" t="str">
        <f>HYPERLINK("https://my.pitchbook.com?p=191677-06P","View People Online")</f>
        <v>View People Online</v>
      </c>
    </row>
    <row r="7405">
      <c r="A7405" s="14" t="s">
        <v>46075</v>
      </c>
      <c r="B7405" s="14" t="s">
        <v>46076</v>
      </c>
      <c r="C7405" s="14" t="s">
        <v>21750</v>
      </c>
      <c r="D7405" s="14" t="s">
        <v>46077</v>
      </c>
      <c r="E7405" s="14" t="s">
        <v>45511</v>
      </c>
      <c r="F7405" s="14" t="s">
        <v>6993</v>
      </c>
      <c r="G7405" s="14" t="s">
        <v>46078</v>
      </c>
      <c r="H7405" s="15" t="s">
        <v>31</v>
      </c>
      <c r="I7405" s="15">
        <v>1.0</v>
      </c>
      <c r="J7405" s="15">
        <v>1.0</v>
      </c>
      <c r="K7405" s="15" t="s">
        <v>31</v>
      </c>
      <c r="L7405" s="16" t="s">
        <v>45591</v>
      </c>
      <c r="M7405" s="14" t="s">
        <v>46079</v>
      </c>
      <c r="N7405" s="14" t="s">
        <v>75</v>
      </c>
      <c r="O7405" s="16" t="s">
        <v>76</v>
      </c>
      <c r="P7405" s="14" t="s">
        <v>45541</v>
      </c>
      <c r="Q7405" s="14" t="s">
        <v>31</v>
      </c>
      <c r="R7405" s="14" t="s">
        <v>75</v>
      </c>
      <c r="S7405" s="16" t="s">
        <v>45542</v>
      </c>
      <c r="T7405" s="14" t="s">
        <v>66</v>
      </c>
      <c r="U7405" s="16" t="s">
        <v>31</v>
      </c>
      <c r="V7405" s="14" t="s">
        <v>46080</v>
      </c>
      <c r="W7405" s="14" t="s">
        <v>45511</v>
      </c>
      <c r="X7405" s="17" t="str">
        <f>HYPERLINK("https://my.pitchbook.com?p=155445-67P","View People Online")</f>
        <v>View People Online</v>
      </c>
    </row>
    <row r="7406">
      <c r="A7406" s="2" t="s">
        <v>46081</v>
      </c>
      <c r="B7406" s="2" t="s">
        <v>46082</v>
      </c>
      <c r="C7406" s="2" t="s">
        <v>1042</v>
      </c>
      <c r="D7406" s="2" t="s">
        <v>46083</v>
      </c>
      <c r="E7406" s="2" t="s">
        <v>45511</v>
      </c>
      <c r="F7406" s="2" t="s">
        <v>38213</v>
      </c>
      <c r="G7406" s="2" t="s">
        <v>46084</v>
      </c>
      <c r="H7406" s="3" t="s">
        <v>31</v>
      </c>
      <c r="I7406" s="3">
        <v>5.0</v>
      </c>
      <c r="J7406" s="3">
        <v>3.0</v>
      </c>
      <c r="K7406" s="3">
        <v>2.0</v>
      </c>
      <c r="L7406" s="4" t="s">
        <v>31</v>
      </c>
      <c r="M7406" s="2" t="s">
        <v>46085</v>
      </c>
      <c r="N7406" s="2" t="s">
        <v>2478</v>
      </c>
      <c r="O7406" s="4" t="s">
        <v>7332</v>
      </c>
      <c r="P7406" s="2" t="s">
        <v>45514</v>
      </c>
      <c r="Q7406" s="2" t="s">
        <v>31</v>
      </c>
      <c r="R7406" s="2" t="s">
        <v>7335</v>
      </c>
      <c r="S7406" s="4" t="s">
        <v>7336</v>
      </c>
      <c r="T7406" s="2" t="s">
        <v>5484</v>
      </c>
      <c r="U7406" s="4" t="s">
        <v>31</v>
      </c>
      <c r="V7406" s="2" t="s">
        <v>46086</v>
      </c>
      <c r="W7406" s="2" t="s">
        <v>45511</v>
      </c>
      <c r="X7406" s="5" t="str">
        <f>HYPERLINK("https://my.pitchbook.com?p=54929-53P","View People Online")</f>
        <v>View People Online</v>
      </c>
    </row>
    <row r="7407">
      <c r="A7407" s="6" t="s">
        <v>46087</v>
      </c>
      <c r="B7407" s="6" t="s">
        <v>46088</v>
      </c>
      <c r="C7407" s="6" t="s">
        <v>40265</v>
      </c>
      <c r="D7407" s="6" t="s">
        <v>46089</v>
      </c>
      <c r="E7407" s="6" t="s">
        <v>45511</v>
      </c>
      <c r="F7407" s="6" t="s">
        <v>1283</v>
      </c>
      <c r="G7407" s="6" t="s">
        <v>46090</v>
      </c>
      <c r="H7407" s="7" t="s">
        <v>31</v>
      </c>
      <c r="I7407" s="7">
        <v>3.0</v>
      </c>
      <c r="J7407" s="7">
        <v>1.0</v>
      </c>
      <c r="K7407" s="7">
        <v>2.0</v>
      </c>
      <c r="L7407" s="8" t="s">
        <v>46091</v>
      </c>
      <c r="M7407" s="6" t="s">
        <v>46092</v>
      </c>
      <c r="N7407" s="6" t="s">
        <v>1416</v>
      </c>
      <c r="O7407" s="8" t="s">
        <v>1417</v>
      </c>
      <c r="P7407" s="6" t="s">
        <v>46093</v>
      </c>
      <c r="Q7407" s="6" t="s">
        <v>46094</v>
      </c>
      <c r="R7407" s="6" t="s">
        <v>1420</v>
      </c>
      <c r="S7407" s="8" t="s">
        <v>6302</v>
      </c>
      <c r="T7407" s="6" t="s">
        <v>66</v>
      </c>
      <c r="U7407" s="8" t="s">
        <v>31</v>
      </c>
      <c r="V7407" s="6" t="s">
        <v>46095</v>
      </c>
      <c r="W7407" s="6" t="s">
        <v>45511</v>
      </c>
      <c r="X7407" s="9" t="str">
        <f>HYPERLINK("https://my.pitchbook.com?p=439708-33P","View People Online")</f>
        <v>View People Online</v>
      </c>
    </row>
    <row r="7408">
      <c r="A7408" s="2" t="s">
        <v>46096</v>
      </c>
      <c r="B7408" s="2" t="s">
        <v>46097</v>
      </c>
      <c r="C7408" s="2" t="s">
        <v>46098</v>
      </c>
      <c r="D7408" s="2" t="s">
        <v>1248</v>
      </c>
      <c r="E7408" s="2" t="s">
        <v>45511</v>
      </c>
      <c r="F7408" s="2" t="s">
        <v>371</v>
      </c>
      <c r="G7408" s="2" t="s">
        <v>46099</v>
      </c>
      <c r="H7408" s="3" t="s">
        <v>31</v>
      </c>
      <c r="I7408" s="3">
        <v>1.0</v>
      </c>
      <c r="J7408" s="3">
        <v>1.0</v>
      </c>
      <c r="K7408" s="3" t="s">
        <v>31</v>
      </c>
      <c r="L7408" s="4" t="s">
        <v>31</v>
      </c>
      <c r="M7408" s="2" t="s">
        <v>46100</v>
      </c>
      <c r="N7408" s="2" t="s">
        <v>2478</v>
      </c>
      <c r="O7408" s="4" t="s">
        <v>7332</v>
      </c>
      <c r="P7408" s="2" t="s">
        <v>45514</v>
      </c>
      <c r="Q7408" s="2" t="s">
        <v>31</v>
      </c>
      <c r="R7408" s="2" t="s">
        <v>7335</v>
      </c>
      <c r="S7408" s="4" t="s">
        <v>7336</v>
      </c>
      <c r="T7408" s="2" t="s">
        <v>5484</v>
      </c>
      <c r="U7408" s="4" t="s">
        <v>31</v>
      </c>
      <c r="V7408" s="2" t="s">
        <v>371</v>
      </c>
      <c r="W7408" s="2" t="s">
        <v>45511</v>
      </c>
      <c r="X7408" s="5" t="str">
        <f>HYPERLINK("https://my.pitchbook.com?p=448764-94P","View People Online")</f>
        <v>View People Online</v>
      </c>
    </row>
    <row r="7409">
      <c r="A7409" s="6" t="s">
        <v>46101</v>
      </c>
      <c r="B7409" s="6" t="s">
        <v>46102</v>
      </c>
      <c r="C7409" s="6" t="s">
        <v>1411</v>
      </c>
      <c r="D7409" s="6" t="s">
        <v>9727</v>
      </c>
      <c r="E7409" s="6" t="s">
        <v>45511</v>
      </c>
      <c r="F7409" s="6" t="s">
        <v>46103</v>
      </c>
      <c r="G7409" s="6" t="s">
        <v>46104</v>
      </c>
      <c r="H7409" s="7">
        <v>1.0</v>
      </c>
      <c r="I7409" s="7">
        <v>1.0</v>
      </c>
      <c r="J7409" s="7">
        <v>1.0</v>
      </c>
      <c r="K7409" s="7" t="s">
        <v>31</v>
      </c>
      <c r="L7409" s="8" t="s">
        <v>31</v>
      </c>
      <c r="M7409" s="6" t="s">
        <v>46105</v>
      </c>
      <c r="N7409" s="6" t="s">
        <v>2478</v>
      </c>
      <c r="O7409" s="8" t="s">
        <v>7332</v>
      </c>
      <c r="P7409" s="6" t="s">
        <v>45514</v>
      </c>
      <c r="Q7409" s="6" t="s">
        <v>31</v>
      </c>
      <c r="R7409" s="6" t="s">
        <v>7335</v>
      </c>
      <c r="S7409" s="8" t="s">
        <v>7336</v>
      </c>
      <c r="T7409" s="6" t="s">
        <v>5484</v>
      </c>
      <c r="U7409" s="8" t="s">
        <v>31</v>
      </c>
      <c r="V7409" s="6" t="s">
        <v>46106</v>
      </c>
      <c r="W7409" s="6" t="s">
        <v>45511</v>
      </c>
      <c r="X7409" s="9" t="str">
        <f>HYPERLINK("https://my.pitchbook.com?p=404785-09P","View People Online")</f>
        <v>View People Online</v>
      </c>
    </row>
    <row r="7410">
      <c r="A7410" s="2" t="s">
        <v>46107</v>
      </c>
      <c r="B7410" s="2" t="s">
        <v>46108</v>
      </c>
      <c r="C7410" s="2" t="s">
        <v>6199</v>
      </c>
      <c r="D7410" s="2" t="s">
        <v>31946</v>
      </c>
      <c r="E7410" s="2" t="s">
        <v>45511</v>
      </c>
      <c r="F7410" s="2" t="s">
        <v>2652</v>
      </c>
      <c r="G7410" s="2" t="s">
        <v>46109</v>
      </c>
      <c r="H7410" s="3" t="s">
        <v>31</v>
      </c>
      <c r="I7410" s="3">
        <v>2.0</v>
      </c>
      <c r="J7410" s="3">
        <v>1.0</v>
      </c>
      <c r="K7410" s="3" t="s">
        <v>31</v>
      </c>
      <c r="L7410" s="4" t="s">
        <v>31</v>
      </c>
      <c r="M7410" s="2" t="s">
        <v>46110</v>
      </c>
      <c r="N7410" s="2" t="s">
        <v>2478</v>
      </c>
      <c r="O7410" s="4" t="s">
        <v>7332</v>
      </c>
      <c r="P7410" s="2" t="s">
        <v>45514</v>
      </c>
      <c r="Q7410" s="2" t="s">
        <v>31</v>
      </c>
      <c r="R7410" s="2" t="s">
        <v>7335</v>
      </c>
      <c r="S7410" s="4" t="s">
        <v>7336</v>
      </c>
      <c r="T7410" s="2" t="s">
        <v>5484</v>
      </c>
      <c r="U7410" s="4" t="s">
        <v>31</v>
      </c>
      <c r="V7410" s="2" t="s">
        <v>46111</v>
      </c>
      <c r="W7410" s="2" t="s">
        <v>45511</v>
      </c>
      <c r="X7410" s="5" t="str">
        <f>HYPERLINK("https://my.pitchbook.com?p=82008-46P","View People Online")</f>
        <v>View People Online</v>
      </c>
    </row>
    <row r="7411">
      <c r="A7411" s="14" t="s">
        <v>46112</v>
      </c>
      <c r="B7411" s="14" t="s">
        <v>46113</v>
      </c>
      <c r="C7411" s="14" t="s">
        <v>2456</v>
      </c>
      <c r="D7411" s="14" t="s">
        <v>46114</v>
      </c>
      <c r="E7411" s="14" t="s">
        <v>45511</v>
      </c>
      <c r="F7411" s="14" t="s">
        <v>548</v>
      </c>
      <c r="G7411" s="14" t="s">
        <v>46115</v>
      </c>
      <c r="H7411" s="15" t="s">
        <v>31</v>
      </c>
      <c r="I7411" s="15">
        <v>1.0</v>
      </c>
      <c r="J7411" s="15">
        <v>1.0</v>
      </c>
      <c r="K7411" s="15" t="s">
        <v>31</v>
      </c>
      <c r="L7411" s="16" t="s">
        <v>45591</v>
      </c>
      <c r="M7411" s="14" t="s">
        <v>46116</v>
      </c>
      <c r="N7411" s="14" t="s">
        <v>75</v>
      </c>
      <c r="O7411" s="16" t="s">
        <v>76</v>
      </c>
      <c r="P7411" s="14" t="s">
        <v>45541</v>
      </c>
      <c r="Q7411" s="14" t="s">
        <v>31</v>
      </c>
      <c r="R7411" s="14" t="s">
        <v>75</v>
      </c>
      <c r="S7411" s="16" t="s">
        <v>45542</v>
      </c>
      <c r="T7411" s="14" t="s">
        <v>66</v>
      </c>
      <c r="U7411" s="16" t="s">
        <v>31</v>
      </c>
      <c r="V7411" s="14" t="s">
        <v>46117</v>
      </c>
      <c r="W7411" s="14" t="s">
        <v>45511</v>
      </c>
      <c r="X7411" s="17" t="str">
        <f>HYPERLINK("https://my.pitchbook.com?p=301782-07P","View People Online")</f>
        <v>View People Online</v>
      </c>
    </row>
    <row r="7412">
      <c r="A7412" s="10" t="s">
        <v>46118</v>
      </c>
      <c r="B7412" s="10" t="s">
        <v>46119</v>
      </c>
      <c r="C7412" s="10" t="s">
        <v>14256</v>
      </c>
      <c r="D7412" s="10" t="s">
        <v>46120</v>
      </c>
      <c r="E7412" s="10" t="s">
        <v>45511</v>
      </c>
      <c r="F7412" s="10" t="s">
        <v>3710</v>
      </c>
      <c r="G7412" s="10" t="s">
        <v>46121</v>
      </c>
      <c r="H7412" s="11" t="s">
        <v>31</v>
      </c>
      <c r="I7412" s="11">
        <v>1.0</v>
      </c>
      <c r="J7412" s="11">
        <v>1.0</v>
      </c>
      <c r="K7412" s="11" t="s">
        <v>31</v>
      </c>
      <c r="L7412" s="12" t="s">
        <v>45598</v>
      </c>
      <c r="M7412" s="10" t="s">
        <v>46122</v>
      </c>
      <c r="N7412" s="10" t="s">
        <v>4232</v>
      </c>
      <c r="O7412" s="12" t="s">
        <v>4233</v>
      </c>
      <c r="P7412" s="10" t="s">
        <v>45600</v>
      </c>
      <c r="Q7412" s="10" t="s">
        <v>45601</v>
      </c>
      <c r="R7412" s="10" t="s">
        <v>4236</v>
      </c>
      <c r="S7412" s="12" t="s">
        <v>11182</v>
      </c>
      <c r="T7412" s="10" t="s">
        <v>66</v>
      </c>
      <c r="U7412" s="12" t="s">
        <v>31</v>
      </c>
      <c r="V7412" s="10" t="s">
        <v>46123</v>
      </c>
      <c r="W7412" s="10" t="s">
        <v>45511</v>
      </c>
      <c r="X7412" s="13" t="str">
        <f>HYPERLINK("https://my.pitchbook.com?p=29709-55P","View People Online")</f>
        <v>View People Online</v>
      </c>
    </row>
    <row r="7413">
      <c r="A7413" s="14" t="s">
        <v>46124</v>
      </c>
      <c r="B7413" s="14" t="s">
        <v>46125</v>
      </c>
      <c r="C7413" s="14" t="s">
        <v>46126</v>
      </c>
      <c r="D7413" s="14" t="s">
        <v>46127</v>
      </c>
      <c r="E7413" s="14" t="s">
        <v>45511</v>
      </c>
      <c r="F7413" s="14" t="s">
        <v>312</v>
      </c>
      <c r="G7413" s="14" t="s">
        <v>46128</v>
      </c>
      <c r="H7413" s="15" t="s">
        <v>31</v>
      </c>
      <c r="I7413" s="15">
        <v>1.0</v>
      </c>
      <c r="J7413" s="15">
        <v>1.0</v>
      </c>
      <c r="K7413" s="15" t="s">
        <v>31</v>
      </c>
      <c r="L7413" s="16" t="s">
        <v>46129</v>
      </c>
      <c r="M7413" s="14" t="s">
        <v>46130</v>
      </c>
      <c r="N7413" s="14" t="s">
        <v>1170</v>
      </c>
      <c r="O7413" s="16" t="s">
        <v>1171</v>
      </c>
      <c r="P7413" s="14" t="s">
        <v>12620</v>
      </c>
      <c r="Q7413" s="14" t="s">
        <v>45952</v>
      </c>
      <c r="R7413" s="14" t="s">
        <v>64</v>
      </c>
      <c r="S7413" s="16" t="s">
        <v>12621</v>
      </c>
      <c r="T7413" s="14" t="s">
        <v>66</v>
      </c>
      <c r="U7413" s="16" t="s">
        <v>31</v>
      </c>
      <c r="V7413" s="14" t="s">
        <v>46131</v>
      </c>
      <c r="W7413" s="14" t="s">
        <v>45511</v>
      </c>
      <c r="X7413" s="17" t="str">
        <f>HYPERLINK("https://my.pitchbook.com?p=209956-96P","View People Online")</f>
        <v>View People Online</v>
      </c>
    </row>
    <row r="7414">
      <c r="A7414" s="10" t="s">
        <v>46132</v>
      </c>
      <c r="B7414" s="10" t="s">
        <v>46133</v>
      </c>
      <c r="C7414" s="10" t="s">
        <v>562</v>
      </c>
      <c r="D7414" s="10" t="s">
        <v>46134</v>
      </c>
      <c r="E7414" s="10" t="s">
        <v>45511</v>
      </c>
      <c r="F7414" s="10" t="s">
        <v>11160</v>
      </c>
      <c r="G7414" s="10" t="s">
        <v>46135</v>
      </c>
      <c r="H7414" s="11" t="s">
        <v>31</v>
      </c>
      <c r="I7414" s="11">
        <v>1.0</v>
      </c>
      <c r="J7414" s="11">
        <v>1.0</v>
      </c>
      <c r="K7414" s="11" t="s">
        <v>31</v>
      </c>
      <c r="L7414" s="12" t="s">
        <v>45598</v>
      </c>
      <c r="M7414" s="10" t="s">
        <v>46136</v>
      </c>
      <c r="N7414" s="10" t="s">
        <v>4232</v>
      </c>
      <c r="O7414" s="12" t="s">
        <v>4233</v>
      </c>
      <c r="P7414" s="10" t="s">
        <v>45600</v>
      </c>
      <c r="Q7414" s="10" t="s">
        <v>45601</v>
      </c>
      <c r="R7414" s="10" t="s">
        <v>4236</v>
      </c>
      <c r="S7414" s="12" t="s">
        <v>11182</v>
      </c>
      <c r="T7414" s="10" t="s">
        <v>66</v>
      </c>
      <c r="U7414" s="12" t="s">
        <v>31</v>
      </c>
      <c r="V7414" s="10" t="s">
        <v>46137</v>
      </c>
      <c r="W7414" s="10" t="s">
        <v>45511</v>
      </c>
      <c r="X7414" s="13" t="str">
        <f>HYPERLINK("https://my.pitchbook.com?p=18076-78P","View People Online")</f>
        <v>View People Online</v>
      </c>
    </row>
    <row r="7415">
      <c r="A7415" s="6" t="s">
        <v>46138</v>
      </c>
      <c r="B7415" s="6" t="s">
        <v>46139</v>
      </c>
      <c r="C7415" s="6" t="s">
        <v>562</v>
      </c>
      <c r="D7415" s="6" t="s">
        <v>5555</v>
      </c>
      <c r="E7415" s="6" t="s">
        <v>45511</v>
      </c>
      <c r="F7415" s="6" t="s">
        <v>1922</v>
      </c>
      <c r="G7415" s="6" t="s">
        <v>46140</v>
      </c>
      <c r="H7415" s="7" t="s">
        <v>31</v>
      </c>
      <c r="I7415" s="7">
        <v>1.0</v>
      </c>
      <c r="J7415" s="7">
        <v>1.0</v>
      </c>
      <c r="K7415" s="7" t="s">
        <v>31</v>
      </c>
      <c r="L7415" s="8" t="s">
        <v>31</v>
      </c>
      <c r="M7415" s="6" t="s">
        <v>46141</v>
      </c>
      <c r="N7415" s="6" t="s">
        <v>2478</v>
      </c>
      <c r="O7415" s="8" t="s">
        <v>7332</v>
      </c>
      <c r="P7415" s="6" t="s">
        <v>45514</v>
      </c>
      <c r="Q7415" s="6" t="s">
        <v>31</v>
      </c>
      <c r="R7415" s="6" t="s">
        <v>7335</v>
      </c>
      <c r="S7415" s="8" t="s">
        <v>7336</v>
      </c>
      <c r="T7415" s="6" t="s">
        <v>5484</v>
      </c>
      <c r="U7415" s="8" t="s">
        <v>31</v>
      </c>
      <c r="V7415" s="6" t="s">
        <v>46142</v>
      </c>
      <c r="W7415" s="6" t="s">
        <v>45511</v>
      </c>
      <c r="X7415" s="9" t="str">
        <f>HYPERLINK("https://my.pitchbook.com?p=177094-63P","View People Online")</f>
        <v>View People Online</v>
      </c>
    </row>
    <row r="7416">
      <c r="A7416" s="10" t="s">
        <v>46143</v>
      </c>
      <c r="B7416" s="10" t="s">
        <v>46144</v>
      </c>
      <c r="C7416" s="10" t="s">
        <v>1066</v>
      </c>
      <c r="D7416" s="10" t="s">
        <v>46145</v>
      </c>
      <c r="E7416" s="10" t="s">
        <v>45511</v>
      </c>
      <c r="F7416" s="10" t="s">
        <v>6993</v>
      </c>
      <c r="G7416" s="10" t="s">
        <v>46146</v>
      </c>
      <c r="H7416" s="11" t="s">
        <v>31</v>
      </c>
      <c r="I7416" s="11">
        <v>1.0</v>
      </c>
      <c r="J7416" s="11">
        <v>1.0</v>
      </c>
      <c r="K7416" s="11" t="s">
        <v>31</v>
      </c>
      <c r="L7416" s="12" t="s">
        <v>31</v>
      </c>
      <c r="M7416" s="10" t="s">
        <v>46147</v>
      </c>
      <c r="N7416" s="10" t="s">
        <v>2478</v>
      </c>
      <c r="O7416" s="12" t="s">
        <v>7332</v>
      </c>
      <c r="P7416" s="10" t="s">
        <v>45514</v>
      </c>
      <c r="Q7416" s="10" t="s">
        <v>31</v>
      </c>
      <c r="R7416" s="10" t="s">
        <v>7335</v>
      </c>
      <c r="S7416" s="12" t="s">
        <v>7336</v>
      </c>
      <c r="T7416" s="10" t="s">
        <v>5484</v>
      </c>
      <c r="U7416" s="12" t="s">
        <v>31</v>
      </c>
      <c r="V7416" s="10" t="s">
        <v>6993</v>
      </c>
      <c r="W7416" s="10" t="s">
        <v>45511</v>
      </c>
      <c r="X7416" s="13" t="str">
        <f>HYPERLINK("https://my.pitchbook.com?p=203593-60P","View People Online")</f>
        <v>View People Online</v>
      </c>
    </row>
    <row r="7417">
      <c r="A7417" s="14" t="s">
        <v>46148</v>
      </c>
      <c r="B7417" s="14" t="s">
        <v>46149</v>
      </c>
      <c r="C7417" s="14" t="s">
        <v>1066</v>
      </c>
      <c r="D7417" s="14" t="s">
        <v>46150</v>
      </c>
      <c r="E7417" s="14" t="s">
        <v>45511</v>
      </c>
      <c r="F7417" s="14" t="s">
        <v>312</v>
      </c>
      <c r="G7417" s="14" t="s">
        <v>46151</v>
      </c>
      <c r="H7417" s="15" t="s">
        <v>31</v>
      </c>
      <c r="I7417" s="15">
        <v>1.0</v>
      </c>
      <c r="J7417" s="15">
        <v>1.0</v>
      </c>
      <c r="K7417" s="15" t="s">
        <v>31</v>
      </c>
      <c r="L7417" s="16" t="s">
        <v>31</v>
      </c>
      <c r="M7417" s="14" t="s">
        <v>46152</v>
      </c>
      <c r="N7417" s="14" t="s">
        <v>2478</v>
      </c>
      <c r="O7417" s="16" t="s">
        <v>7332</v>
      </c>
      <c r="P7417" s="14" t="s">
        <v>45514</v>
      </c>
      <c r="Q7417" s="14" t="s">
        <v>31</v>
      </c>
      <c r="R7417" s="14" t="s">
        <v>7335</v>
      </c>
      <c r="S7417" s="16" t="s">
        <v>7336</v>
      </c>
      <c r="T7417" s="14" t="s">
        <v>5484</v>
      </c>
      <c r="U7417" s="16" t="s">
        <v>31</v>
      </c>
      <c r="V7417" s="14" t="s">
        <v>312</v>
      </c>
      <c r="W7417" s="14" t="s">
        <v>45511</v>
      </c>
      <c r="X7417" s="17" t="str">
        <f>HYPERLINK("https://my.pitchbook.com?p=196859-53P","View People Online")</f>
        <v>View People Online</v>
      </c>
    </row>
    <row r="7418">
      <c r="A7418" s="2" t="s">
        <v>46153</v>
      </c>
      <c r="B7418" s="2" t="s">
        <v>46154</v>
      </c>
      <c r="C7418" s="2" t="s">
        <v>1830</v>
      </c>
      <c r="D7418" s="2" t="s">
        <v>46155</v>
      </c>
      <c r="E7418" s="2" t="s">
        <v>45511</v>
      </c>
      <c r="F7418" s="2" t="s">
        <v>1283</v>
      </c>
      <c r="G7418" s="2" t="s">
        <v>46156</v>
      </c>
      <c r="H7418" s="3" t="s">
        <v>31</v>
      </c>
      <c r="I7418" s="3">
        <v>2.0</v>
      </c>
      <c r="J7418" s="3">
        <v>1.0</v>
      </c>
      <c r="K7418" s="3">
        <v>1.0</v>
      </c>
      <c r="L7418" s="4" t="s">
        <v>31</v>
      </c>
      <c r="M7418" s="2" t="s">
        <v>46157</v>
      </c>
      <c r="N7418" s="2" t="s">
        <v>2478</v>
      </c>
      <c r="O7418" s="4" t="s">
        <v>7332</v>
      </c>
      <c r="P7418" s="2" t="s">
        <v>45514</v>
      </c>
      <c r="Q7418" s="2" t="s">
        <v>31</v>
      </c>
      <c r="R7418" s="2" t="s">
        <v>7335</v>
      </c>
      <c r="S7418" s="4" t="s">
        <v>7336</v>
      </c>
      <c r="T7418" s="2" t="s">
        <v>5484</v>
      </c>
      <c r="U7418" s="4" t="s">
        <v>31</v>
      </c>
      <c r="V7418" s="2" t="s">
        <v>1283</v>
      </c>
      <c r="W7418" s="2" t="s">
        <v>45511</v>
      </c>
      <c r="X7418" s="5" t="str">
        <f>HYPERLINK("https://my.pitchbook.com?p=436150-45P","View People Online")</f>
        <v>View People Online</v>
      </c>
    </row>
    <row r="7419">
      <c r="A7419" s="6" t="s">
        <v>46158</v>
      </c>
      <c r="B7419" s="6" t="s">
        <v>46159</v>
      </c>
      <c r="C7419" s="6" t="s">
        <v>46160</v>
      </c>
      <c r="D7419" s="6" t="s">
        <v>6900</v>
      </c>
      <c r="E7419" s="6" t="s">
        <v>45511</v>
      </c>
      <c r="F7419" s="6" t="s">
        <v>667</v>
      </c>
      <c r="G7419" s="6" t="s">
        <v>46161</v>
      </c>
      <c r="H7419" s="7" t="s">
        <v>31</v>
      </c>
      <c r="I7419" s="7">
        <v>1.0</v>
      </c>
      <c r="J7419" s="7">
        <v>1.0</v>
      </c>
      <c r="K7419" s="7" t="s">
        <v>31</v>
      </c>
      <c r="L7419" s="8" t="s">
        <v>45591</v>
      </c>
      <c r="M7419" s="6" t="s">
        <v>46162</v>
      </c>
      <c r="N7419" s="6" t="s">
        <v>75</v>
      </c>
      <c r="O7419" s="8" t="s">
        <v>76</v>
      </c>
      <c r="P7419" s="6" t="s">
        <v>45541</v>
      </c>
      <c r="Q7419" s="6" t="s">
        <v>31</v>
      </c>
      <c r="R7419" s="6" t="s">
        <v>75</v>
      </c>
      <c r="S7419" s="8" t="s">
        <v>45542</v>
      </c>
      <c r="T7419" s="6" t="s">
        <v>66</v>
      </c>
      <c r="U7419" s="8" t="s">
        <v>31</v>
      </c>
      <c r="V7419" s="6" t="s">
        <v>46163</v>
      </c>
      <c r="W7419" s="6" t="s">
        <v>45511</v>
      </c>
      <c r="X7419" s="9" t="str">
        <f>HYPERLINK("https://my.pitchbook.com?p=354363-49P","View People Online")</f>
        <v>View People Online</v>
      </c>
    </row>
    <row r="7420">
      <c r="A7420" s="10" t="s">
        <v>46164</v>
      </c>
      <c r="B7420" s="10" t="s">
        <v>46165</v>
      </c>
      <c r="C7420" s="10" t="s">
        <v>22863</v>
      </c>
      <c r="D7420" s="10" t="s">
        <v>33840</v>
      </c>
      <c r="E7420" s="10" t="s">
        <v>45511</v>
      </c>
      <c r="F7420" s="10" t="s">
        <v>1922</v>
      </c>
      <c r="G7420" s="10" t="s">
        <v>46166</v>
      </c>
      <c r="H7420" s="11" t="s">
        <v>31</v>
      </c>
      <c r="I7420" s="11">
        <v>1.0</v>
      </c>
      <c r="J7420" s="11">
        <v>1.0</v>
      </c>
      <c r="K7420" s="11" t="s">
        <v>31</v>
      </c>
      <c r="L7420" s="12" t="s">
        <v>31</v>
      </c>
      <c r="M7420" s="10" t="s">
        <v>46167</v>
      </c>
      <c r="N7420" s="10" t="s">
        <v>2478</v>
      </c>
      <c r="O7420" s="12" t="s">
        <v>7332</v>
      </c>
      <c r="P7420" s="10" t="s">
        <v>45514</v>
      </c>
      <c r="Q7420" s="10" t="s">
        <v>31</v>
      </c>
      <c r="R7420" s="10" t="s">
        <v>7335</v>
      </c>
      <c r="S7420" s="12" t="s">
        <v>7336</v>
      </c>
      <c r="T7420" s="10" t="s">
        <v>5484</v>
      </c>
      <c r="U7420" s="12" t="s">
        <v>31</v>
      </c>
      <c r="V7420" s="10" t="s">
        <v>1922</v>
      </c>
      <c r="W7420" s="10" t="s">
        <v>45511</v>
      </c>
      <c r="X7420" s="13" t="str">
        <f>HYPERLINK("https://my.pitchbook.com?p=262322-02P","View People Online")</f>
        <v>View People Online</v>
      </c>
    </row>
    <row r="7421">
      <c r="A7421" s="14" t="s">
        <v>46168</v>
      </c>
      <c r="B7421" s="14" t="s">
        <v>46169</v>
      </c>
      <c r="C7421" s="14" t="s">
        <v>28122</v>
      </c>
      <c r="D7421" s="14" t="s">
        <v>46170</v>
      </c>
      <c r="E7421" s="14" t="s">
        <v>45511</v>
      </c>
      <c r="F7421" s="14" t="s">
        <v>312</v>
      </c>
      <c r="G7421" s="14" t="s">
        <v>46171</v>
      </c>
      <c r="H7421" s="15" t="s">
        <v>31</v>
      </c>
      <c r="I7421" s="15">
        <v>1.0</v>
      </c>
      <c r="J7421" s="15">
        <v>1.0</v>
      </c>
      <c r="K7421" s="15" t="s">
        <v>31</v>
      </c>
      <c r="L7421" s="16" t="s">
        <v>45591</v>
      </c>
      <c r="M7421" s="14" t="s">
        <v>46172</v>
      </c>
      <c r="N7421" s="14" t="s">
        <v>75</v>
      </c>
      <c r="O7421" s="16" t="s">
        <v>76</v>
      </c>
      <c r="P7421" s="14" t="s">
        <v>45541</v>
      </c>
      <c r="Q7421" s="14" t="s">
        <v>31</v>
      </c>
      <c r="R7421" s="14" t="s">
        <v>75</v>
      </c>
      <c r="S7421" s="16" t="s">
        <v>45542</v>
      </c>
      <c r="T7421" s="14" t="s">
        <v>66</v>
      </c>
      <c r="U7421" s="16" t="s">
        <v>31</v>
      </c>
      <c r="V7421" s="14" t="s">
        <v>312</v>
      </c>
      <c r="W7421" s="14" t="s">
        <v>45511</v>
      </c>
      <c r="X7421" s="17" t="str">
        <f>HYPERLINK("https://my.pitchbook.com?p=224421-13P","View People Online")</f>
        <v>View People Online</v>
      </c>
    </row>
    <row r="7422">
      <c r="A7422" s="10" t="s">
        <v>46173</v>
      </c>
      <c r="B7422" s="10" t="s">
        <v>46174</v>
      </c>
      <c r="C7422" s="10" t="s">
        <v>22976</v>
      </c>
      <c r="D7422" s="10" t="s">
        <v>46175</v>
      </c>
      <c r="E7422" s="10" t="s">
        <v>45511</v>
      </c>
      <c r="F7422" s="10" t="s">
        <v>825</v>
      </c>
      <c r="G7422" s="10" t="s">
        <v>46176</v>
      </c>
      <c r="H7422" s="11" t="s">
        <v>31</v>
      </c>
      <c r="I7422" s="11">
        <v>1.0</v>
      </c>
      <c r="J7422" s="11">
        <v>1.0</v>
      </c>
      <c r="K7422" s="11" t="s">
        <v>31</v>
      </c>
      <c r="L7422" s="12" t="s">
        <v>31</v>
      </c>
      <c r="M7422" s="10" t="s">
        <v>46177</v>
      </c>
      <c r="N7422" s="10" t="s">
        <v>2478</v>
      </c>
      <c r="O7422" s="12" t="s">
        <v>7332</v>
      </c>
      <c r="P7422" s="10" t="s">
        <v>45514</v>
      </c>
      <c r="Q7422" s="10" t="s">
        <v>31</v>
      </c>
      <c r="R7422" s="10" t="s">
        <v>7335</v>
      </c>
      <c r="S7422" s="12" t="s">
        <v>7336</v>
      </c>
      <c r="T7422" s="10" t="s">
        <v>5484</v>
      </c>
      <c r="U7422" s="12" t="s">
        <v>31</v>
      </c>
      <c r="V7422" s="10" t="s">
        <v>46178</v>
      </c>
      <c r="W7422" s="10" t="s">
        <v>45511</v>
      </c>
      <c r="X7422" s="13" t="str">
        <f>HYPERLINK("https://my.pitchbook.com?p=376080-76P","View People Online")</f>
        <v>View People Online</v>
      </c>
    </row>
    <row r="7423">
      <c r="A7423" s="14" t="s">
        <v>46179</v>
      </c>
      <c r="B7423" s="14" t="s">
        <v>46180</v>
      </c>
      <c r="C7423" s="14" t="s">
        <v>46181</v>
      </c>
      <c r="D7423" s="14" t="s">
        <v>46182</v>
      </c>
      <c r="E7423" s="14" t="s">
        <v>45511</v>
      </c>
      <c r="F7423" s="14" t="s">
        <v>2652</v>
      </c>
      <c r="G7423" s="14" t="s">
        <v>46183</v>
      </c>
      <c r="H7423" s="15" t="s">
        <v>31</v>
      </c>
      <c r="I7423" s="15">
        <v>5.0</v>
      </c>
      <c r="J7423" s="15">
        <v>3.0</v>
      </c>
      <c r="K7423" s="15" t="s">
        <v>31</v>
      </c>
      <c r="L7423" s="16" t="s">
        <v>31</v>
      </c>
      <c r="M7423" s="14" t="s">
        <v>46184</v>
      </c>
      <c r="N7423" s="14" t="s">
        <v>2478</v>
      </c>
      <c r="O7423" s="16" t="s">
        <v>7332</v>
      </c>
      <c r="P7423" s="14" t="s">
        <v>45514</v>
      </c>
      <c r="Q7423" s="14" t="s">
        <v>31</v>
      </c>
      <c r="R7423" s="14" t="s">
        <v>7335</v>
      </c>
      <c r="S7423" s="16" t="s">
        <v>7336</v>
      </c>
      <c r="T7423" s="14" t="s">
        <v>5484</v>
      </c>
      <c r="U7423" s="16" t="s">
        <v>31</v>
      </c>
      <c r="V7423" s="14" t="s">
        <v>46185</v>
      </c>
      <c r="W7423" s="14" t="s">
        <v>45511</v>
      </c>
      <c r="X7423" s="17" t="str">
        <f>HYPERLINK("https://my.pitchbook.com?p=42745-87P","View People Online")</f>
        <v>View People Online</v>
      </c>
    </row>
    <row r="7424">
      <c r="A7424" s="2" t="s">
        <v>46186</v>
      </c>
      <c r="B7424" s="2" t="s">
        <v>46187</v>
      </c>
      <c r="C7424" s="2" t="s">
        <v>1697</v>
      </c>
      <c r="D7424" s="2" t="s">
        <v>46188</v>
      </c>
      <c r="E7424" s="2" t="s">
        <v>45511</v>
      </c>
      <c r="F7424" s="2" t="s">
        <v>2652</v>
      </c>
      <c r="G7424" s="2" t="s">
        <v>46189</v>
      </c>
      <c r="H7424" s="3">
        <v>1.0</v>
      </c>
      <c r="I7424" s="3">
        <v>6.0</v>
      </c>
      <c r="J7424" s="3">
        <v>2.0</v>
      </c>
      <c r="K7424" s="3">
        <v>2.0</v>
      </c>
      <c r="L7424" s="4" t="s">
        <v>45591</v>
      </c>
      <c r="M7424" s="2" t="s">
        <v>46190</v>
      </c>
      <c r="N7424" s="2" t="s">
        <v>75</v>
      </c>
      <c r="O7424" s="4" t="s">
        <v>76</v>
      </c>
      <c r="P7424" s="2" t="s">
        <v>45541</v>
      </c>
      <c r="Q7424" s="2" t="s">
        <v>31</v>
      </c>
      <c r="R7424" s="2" t="s">
        <v>75</v>
      </c>
      <c r="S7424" s="4" t="s">
        <v>45542</v>
      </c>
      <c r="T7424" s="2" t="s">
        <v>66</v>
      </c>
      <c r="U7424" s="4" t="s">
        <v>31</v>
      </c>
      <c r="V7424" s="2" t="s">
        <v>46191</v>
      </c>
      <c r="W7424" s="2" t="s">
        <v>45511</v>
      </c>
      <c r="X7424" s="5" t="str">
        <f>HYPERLINK("https://my.pitchbook.com?p=36091-81P","View People Online")</f>
        <v>View People Online</v>
      </c>
    </row>
    <row r="7425">
      <c r="A7425" s="14" t="s">
        <v>46192</v>
      </c>
      <c r="B7425" s="14" t="s">
        <v>46193</v>
      </c>
      <c r="C7425" s="14" t="s">
        <v>1697</v>
      </c>
      <c r="D7425" s="14" t="s">
        <v>46194</v>
      </c>
      <c r="E7425" s="14" t="s">
        <v>45511</v>
      </c>
      <c r="F7425" s="14" t="s">
        <v>11160</v>
      </c>
      <c r="G7425" s="14" t="s">
        <v>46195</v>
      </c>
      <c r="H7425" s="15" t="s">
        <v>31</v>
      </c>
      <c r="I7425" s="15">
        <v>5.0</v>
      </c>
      <c r="J7425" s="15">
        <v>1.0</v>
      </c>
      <c r="K7425" s="15">
        <v>4.0</v>
      </c>
      <c r="L7425" s="16" t="s">
        <v>45591</v>
      </c>
      <c r="M7425" s="14" t="s">
        <v>46196</v>
      </c>
      <c r="N7425" s="14" t="s">
        <v>75</v>
      </c>
      <c r="O7425" s="16" t="s">
        <v>76</v>
      </c>
      <c r="P7425" s="14" t="s">
        <v>45541</v>
      </c>
      <c r="Q7425" s="14" t="s">
        <v>31</v>
      </c>
      <c r="R7425" s="14" t="s">
        <v>75</v>
      </c>
      <c r="S7425" s="16" t="s">
        <v>45542</v>
      </c>
      <c r="T7425" s="14" t="s">
        <v>66</v>
      </c>
      <c r="U7425" s="16" t="s">
        <v>31</v>
      </c>
      <c r="V7425" s="14" t="s">
        <v>46197</v>
      </c>
      <c r="W7425" s="14" t="s">
        <v>45511</v>
      </c>
      <c r="X7425" s="17" t="str">
        <f>HYPERLINK("https://my.pitchbook.com?p=52043-32P","View People Online")</f>
        <v>View People Online</v>
      </c>
    </row>
    <row r="7426">
      <c r="A7426" s="10" t="s">
        <v>46198</v>
      </c>
      <c r="B7426" s="10" t="s">
        <v>46199</v>
      </c>
      <c r="C7426" s="10" t="s">
        <v>1697</v>
      </c>
      <c r="D7426" s="10" t="s">
        <v>46200</v>
      </c>
      <c r="E7426" s="10" t="s">
        <v>45511</v>
      </c>
      <c r="F7426" s="10" t="s">
        <v>371</v>
      </c>
      <c r="G7426" s="10" t="s">
        <v>46201</v>
      </c>
      <c r="H7426" s="11" t="s">
        <v>31</v>
      </c>
      <c r="I7426" s="11">
        <v>1.0</v>
      </c>
      <c r="J7426" s="11">
        <v>1.0</v>
      </c>
      <c r="K7426" s="11" t="s">
        <v>31</v>
      </c>
      <c r="L7426" s="12" t="s">
        <v>46202</v>
      </c>
      <c r="M7426" s="10" t="s">
        <v>46203</v>
      </c>
      <c r="N7426" s="10" t="s">
        <v>4232</v>
      </c>
      <c r="O7426" s="12" t="s">
        <v>4233</v>
      </c>
      <c r="P7426" s="10" t="s">
        <v>45600</v>
      </c>
      <c r="Q7426" s="10" t="s">
        <v>45601</v>
      </c>
      <c r="R7426" s="10" t="s">
        <v>4236</v>
      </c>
      <c r="S7426" s="12" t="s">
        <v>11182</v>
      </c>
      <c r="T7426" s="10" t="s">
        <v>66</v>
      </c>
      <c r="U7426" s="12" t="s">
        <v>31</v>
      </c>
      <c r="V7426" s="10" t="s">
        <v>46204</v>
      </c>
      <c r="W7426" s="10" t="s">
        <v>45511</v>
      </c>
      <c r="X7426" s="13" t="str">
        <f>HYPERLINK("https://my.pitchbook.com?p=315214-12P","View People Online")</f>
        <v>View People Online</v>
      </c>
    </row>
    <row r="7427">
      <c r="A7427" s="6" t="s">
        <v>46205</v>
      </c>
      <c r="B7427" s="6" t="s">
        <v>46206</v>
      </c>
      <c r="C7427" s="6" t="s">
        <v>12548</v>
      </c>
      <c r="D7427" s="6" t="s">
        <v>4612</v>
      </c>
      <c r="E7427" s="6" t="s">
        <v>45511</v>
      </c>
      <c r="F7427" s="6" t="s">
        <v>312</v>
      </c>
      <c r="G7427" s="6" t="s">
        <v>46207</v>
      </c>
      <c r="H7427" s="7" t="s">
        <v>31</v>
      </c>
      <c r="I7427" s="7">
        <v>1.0</v>
      </c>
      <c r="J7427" s="7">
        <v>1.0</v>
      </c>
      <c r="K7427" s="7" t="s">
        <v>31</v>
      </c>
      <c r="L7427" s="8" t="s">
        <v>45598</v>
      </c>
      <c r="M7427" s="6" t="s">
        <v>46208</v>
      </c>
      <c r="N7427" s="6" t="s">
        <v>4232</v>
      </c>
      <c r="O7427" s="8" t="s">
        <v>4233</v>
      </c>
      <c r="P7427" s="6" t="s">
        <v>45600</v>
      </c>
      <c r="Q7427" s="6" t="s">
        <v>45601</v>
      </c>
      <c r="R7427" s="6" t="s">
        <v>4236</v>
      </c>
      <c r="S7427" s="8" t="s">
        <v>11182</v>
      </c>
      <c r="T7427" s="6" t="s">
        <v>66</v>
      </c>
      <c r="U7427" s="8" t="s">
        <v>31</v>
      </c>
      <c r="V7427" s="6" t="s">
        <v>312</v>
      </c>
      <c r="W7427" s="6" t="s">
        <v>45511</v>
      </c>
      <c r="X7427" s="9" t="str">
        <f>HYPERLINK("https://my.pitchbook.com?p=387715-15P","View People Online")</f>
        <v>View People Online</v>
      </c>
    </row>
    <row r="7428">
      <c r="A7428" s="2" t="s">
        <v>46209</v>
      </c>
      <c r="B7428" s="2" t="s">
        <v>46210</v>
      </c>
      <c r="C7428" s="2" t="s">
        <v>46211</v>
      </c>
      <c r="D7428" s="2" t="s">
        <v>15750</v>
      </c>
      <c r="E7428" s="2" t="s">
        <v>46212</v>
      </c>
      <c r="F7428" s="2" t="s">
        <v>86</v>
      </c>
      <c r="G7428" s="2" t="s">
        <v>46213</v>
      </c>
      <c r="H7428" s="3" t="s">
        <v>31</v>
      </c>
      <c r="I7428" s="3">
        <v>3.0</v>
      </c>
      <c r="J7428" s="3">
        <v>2.0</v>
      </c>
      <c r="K7428" s="3" t="s">
        <v>31</v>
      </c>
      <c r="L7428" s="4" t="s">
        <v>46214</v>
      </c>
      <c r="M7428" s="2" t="s">
        <v>46215</v>
      </c>
      <c r="N7428" s="2" t="s">
        <v>1181</v>
      </c>
      <c r="O7428" s="4" t="s">
        <v>1182</v>
      </c>
      <c r="P7428" s="2" t="s">
        <v>28298</v>
      </c>
      <c r="Q7428" s="2" t="s">
        <v>24724</v>
      </c>
      <c r="R7428" s="2" t="s">
        <v>1185</v>
      </c>
      <c r="S7428" s="4" t="s">
        <v>10902</v>
      </c>
      <c r="T7428" s="2" t="s">
        <v>66</v>
      </c>
      <c r="U7428" s="4" t="s">
        <v>31</v>
      </c>
      <c r="V7428" s="2" t="s">
        <v>86</v>
      </c>
      <c r="W7428" s="2" t="s">
        <v>46212</v>
      </c>
      <c r="X7428" s="5" t="str">
        <f>HYPERLINK("https://my.pitchbook.com?p=306694-27P","View People Online")</f>
        <v>View People Online</v>
      </c>
    </row>
    <row r="7429">
      <c r="A7429" s="14" t="s">
        <v>46216</v>
      </c>
      <c r="B7429" s="14" t="s">
        <v>5606</v>
      </c>
      <c r="C7429" s="14" t="s">
        <v>5607</v>
      </c>
      <c r="D7429" s="14" t="s">
        <v>5608</v>
      </c>
      <c r="E7429" s="14" t="s">
        <v>46212</v>
      </c>
      <c r="F7429" s="14" t="s">
        <v>114</v>
      </c>
      <c r="G7429" s="14" t="s">
        <v>46217</v>
      </c>
      <c r="H7429" s="15" t="s">
        <v>31</v>
      </c>
      <c r="I7429" s="15">
        <v>1.0</v>
      </c>
      <c r="J7429" s="15">
        <v>1.0</v>
      </c>
      <c r="K7429" s="15" t="s">
        <v>31</v>
      </c>
      <c r="L7429" s="16" t="s">
        <v>46218</v>
      </c>
      <c r="M7429" s="14" t="s">
        <v>31</v>
      </c>
      <c r="N7429" s="14" t="s">
        <v>1181</v>
      </c>
      <c r="O7429" s="16" t="s">
        <v>1182</v>
      </c>
      <c r="P7429" s="14" t="s">
        <v>28298</v>
      </c>
      <c r="Q7429" s="14" t="s">
        <v>24724</v>
      </c>
      <c r="R7429" s="14" t="s">
        <v>1185</v>
      </c>
      <c r="S7429" s="16" t="s">
        <v>10902</v>
      </c>
      <c r="T7429" s="14" t="s">
        <v>66</v>
      </c>
      <c r="U7429" s="16" t="s">
        <v>31</v>
      </c>
      <c r="V7429" s="14" t="s">
        <v>114</v>
      </c>
      <c r="W7429" s="14" t="s">
        <v>46212</v>
      </c>
      <c r="X7429" s="17" t="str">
        <f>HYPERLINK("https://my.pitchbook.com?p=404359-21P","View People Online")</f>
        <v>View People Online</v>
      </c>
    </row>
    <row r="7430">
      <c r="A7430" s="10" t="s">
        <v>46219</v>
      </c>
      <c r="B7430" s="10" t="s">
        <v>46220</v>
      </c>
      <c r="C7430" s="10" t="s">
        <v>84</v>
      </c>
      <c r="D7430" s="10" t="s">
        <v>5608</v>
      </c>
      <c r="E7430" s="10" t="s">
        <v>46212</v>
      </c>
      <c r="F7430" s="10" t="s">
        <v>114</v>
      </c>
      <c r="G7430" s="10" t="s">
        <v>46221</v>
      </c>
      <c r="H7430" s="11">
        <v>1.0</v>
      </c>
      <c r="I7430" s="11">
        <v>3.0</v>
      </c>
      <c r="J7430" s="11">
        <v>2.0</v>
      </c>
      <c r="K7430" s="11" t="s">
        <v>31</v>
      </c>
      <c r="L7430" s="12" t="s">
        <v>46222</v>
      </c>
      <c r="M7430" s="10" t="s">
        <v>46223</v>
      </c>
      <c r="N7430" s="10" t="s">
        <v>40680</v>
      </c>
      <c r="O7430" s="12" t="s">
        <v>40681</v>
      </c>
      <c r="P7430" s="10" t="s">
        <v>46224</v>
      </c>
      <c r="Q7430" s="10" t="s">
        <v>46225</v>
      </c>
      <c r="R7430" s="10" t="s">
        <v>40684</v>
      </c>
      <c r="S7430" s="12" t="s">
        <v>46226</v>
      </c>
      <c r="T7430" s="10" t="s">
        <v>66</v>
      </c>
      <c r="U7430" s="12" t="s">
        <v>31</v>
      </c>
      <c r="V7430" s="10" t="s">
        <v>46227</v>
      </c>
      <c r="W7430" s="10" t="s">
        <v>46228</v>
      </c>
      <c r="X7430" s="13" t="str">
        <f>HYPERLINK("https://my.pitchbook.com?p=251517-34P","View People Online")</f>
        <v>View People Online</v>
      </c>
    </row>
    <row r="7431">
      <c r="A7431" s="6" t="s">
        <v>46229</v>
      </c>
      <c r="B7431" s="6" t="s">
        <v>46230</v>
      </c>
      <c r="C7431" s="6" t="s">
        <v>18210</v>
      </c>
      <c r="D7431" s="6" t="s">
        <v>46231</v>
      </c>
      <c r="E7431" s="6" t="s">
        <v>46212</v>
      </c>
      <c r="F7431" s="6" t="s">
        <v>86</v>
      </c>
      <c r="G7431" s="6" t="s">
        <v>46232</v>
      </c>
      <c r="H7431" s="7">
        <v>1.0</v>
      </c>
      <c r="I7431" s="7">
        <v>6.0</v>
      </c>
      <c r="J7431" s="7">
        <v>2.0</v>
      </c>
      <c r="K7431" s="7">
        <v>2.0</v>
      </c>
      <c r="L7431" s="8" t="s">
        <v>46233</v>
      </c>
      <c r="M7431" s="6" t="s">
        <v>46234</v>
      </c>
      <c r="N7431" s="6" t="s">
        <v>1181</v>
      </c>
      <c r="O7431" s="8" t="s">
        <v>1182</v>
      </c>
      <c r="P7431" s="6" t="s">
        <v>28298</v>
      </c>
      <c r="Q7431" s="6" t="s">
        <v>24724</v>
      </c>
      <c r="R7431" s="6" t="s">
        <v>1185</v>
      </c>
      <c r="S7431" s="8" t="s">
        <v>10902</v>
      </c>
      <c r="T7431" s="6" t="s">
        <v>66</v>
      </c>
      <c r="U7431" s="8" t="s">
        <v>31</v>
      </c>
      <c r="V7431" s="6" t="s">
        <v>95</v>
      </c>
      <c r="W7431" s="6" t="s">
        <v>46212</v>
      </c>
      <c r="X7431" s="9" t="str">
        <f>HYPERLINK("https://my.pitchbook.com?p=100731-88P","View People Online")</f>
        <v>View People Online</v>
      </c>
    </row>
    <row r="7432">
      <c r="A7432" s="10" t="s">
        <v>46235</v>
      </c>
      <c r="B7432" s="10" t="s">
        <v>46236</v>
      </c>
      <c r="C7432" s="10" t="s">
        <v>39630</v>
      </c>
      <c r="D7432" s="10" t="s">
        <v>27682</v>
      </c>
      <c r="E7432" s="10" t="s">
        <v>46212</v>
      </c>
      <c r="F7432" s="10" t="s">
        <v>43</v>
      </c>
      <c r="G7432" s="10" t="s">
        <v>46237</v>
      </c>
      <c r="H7432" s="11" t="s">
        <v>31</v>
      </c>
      <c r="I7432" s="11">
        <v>8.0</v>
      </c>
      <c r="J7432" s="11">
        <v>1.0</v>
      </c>
      <c r="K7432" s="11">
        <v>3.0</v>
      </c>
      <c r="L7432" s="12" t="s">
        <v>46218</v>
      </c>
      <c r="M7432" s="10" t="s">
        <v>46238</v>
      </c>
      <c r="N7432" s="10" t="s">
        <v>1181</v>
      </c>
      <c r="O7432" s="12" t="s">
        <v>1182</v>
      </c>
      <c r="P7432" s="10" t="s">
        <v>28298</v>
      </c>
      <c r="Q7432" s="10" t="s">
        <v>24724</v>
      </c>
      <c r="R7432" s="10" t="s">
        <v>1185</v>
      </c>
      <c r="S7432" s="12" t="s">
        <v>10902</v>
      </c>
      <c r="T7432" s="10" t="s">
        <v>66</v>
      </c>
      <c r="U7432" s="12" t="s">
        <v>31</v>
      </c>
      <c r="V7432" s="10" t="s">
        <v>43</v>
      </c>
      <c r="W7432" s="10" t="s">
        <v>46212</v>
      </c>
      <c r="X7432" s="13" t="str">
        <f>HYPERLINK("https://my.pitchbook.com?p=52953-13P","View People Online")</f>
        <v>View People Online</v>
      </c>
    </row>
    <row r="7433">
      <c r="A7433" s="14" t="s">
        <v>46239</v>
      </c>
      <c r="B7433" s="14" t="s">
        <v>46240</v>
      </c>
      <c r="C7433" s="14" t="s">
        <v>2204</v>
      </c>
      <c r="D7433" s="14" t="s">
        <v>46241</v>
      </c>
      <c r="E7433" s="14" t="s">
        <v>46212</v>
      </c>
      <c r="F7433" s="14" t="s">
        <v>86</v>
      </c>
      <c r="G7433" s="14" t="s">
        <v>46242</v>
      </c>
      <c r="H7433" s="15" t="s">
        <v>31</v>
      </c>
      <c r="I7433" s="15">
        <v>7.0</v>
      </c>
      <c r="J7433" s="15">
        <v>4.0</v>
      </c>
      <c r="K7433" s="15">
        <v>3.0</v>
      </c>
      <c r="L7433" s="16" t="s">
        <v>31</v>
      </c>
      <c r="M7433" s="14" t="s">
        <v>46243</v>
      </c>
      <c r="N7433" s="14" t="s">
        <v>1181</v>
      </c>
      <c r="O7433" s="16" t="s">
        <v>1182</v>
      </c>
      <c r="P7433" s="14" t="s">
        <v>46244</v>
      </c>
      <c r="Q7433" s="14" t="s">
        <v>31</v>
      </c>
      <c r="R7433" s="14" t="s">
        <v>1185</v>
      </c>
      <c r="S7433" s="16" t="s">
        <v>10902</v>
      </c>
      <c r="T7433" s="14" t="s">
        <v>66</v>
      </c>
      <c r="U7433" s="16" t="s">
        <v>31</v>
      </c>
      <c r="V7433" s="14" t="s">
        <v>46245</v>
      </c>
      <c r="W7433" s="14" t="s">
        <v>46246</v>
      </c>
      <c r="X7433" s="17" t="str">
        <f>HYPERLINK("https://my.pitchbook.com?p=287831-80P","View People Online")</f>
        <v>View People Online</v>
      </c>
    </row>
    <row r="7434">
      <c r="A7434" s="2" t="s">
        <v>46247</v>
      </c>
      <c r="B7434" s="2" t="s">
        <v>46248</v>
      </c>
      <c r="C7434" s="2" t="s">
        <v>4358</v>
      </c>
      <c r="D7434" s="2" t="s">
        <v>24615</v>
      </c>
      <c r="E7434" s="2" t="s">
        <v>46249</v>
      </c>
      <c r="F7434" s="2" t="s">
        <v>771</v>
      </c>
      <c r="G7434" s="2" t="s">
        <v>46250</v>
      </c>
      <c r="H7434" s="3" t="s">
        <v>31</v>
      </c>
      <c r="I7434" s="3">
        <v>11.0</v>
      </c>
      <c r="J7434" s="3">
        <v>1.0</v>
      </c>
      <c r="K7434" s="3">
        <v>8.0</v>
      </c>
      <c r="L7434" s="4" t="s">
        <v>31</v>
      </c>
      <c r="M7434" s="2" t="s">
        <v>46251</v>
      </c>
      <c r="N7434" s="2" t="s">
        <v>155</v>
      </c>
      <c r="O7434" s="4" t="s">
        <v>156</v>
      </c>
      <c r="P7434" s="2" t="s">
        <v>31</v>
      </c>
      <c r="Q7434" s="2" t="s">
        <v>31</v>
      </c>
      <c r="R7434" s="2" t="s">
        <v>64</v>
      </c>
      <c r="S7434" s="4" t="s">
        <v>5588</v>
      </c>
      <c r="T7434" s="2" t="s">
        <v>66</v>
      </c>
      <c r="U7434" s="4" t="s">
        <v>31</v>
      </c>
      <c r="V7434" s="2" t="s">
        <v>46252</v>
      </c>
      <c r="W7434" s="2" t="s">
        <v>46249</v>
      </c>
      <c r="X7434" s="5" t="str">
        <f>HYPERLINK("https://my.pitchbook.com?p=62101-90P","View People Online")</f>
        <v>View People Online</v>
      </c>
    </row>
    <row r="7435">
      <c r="A7435" s="6" t="s">
        <v>46253</v>
      </c>
      <c r="B7435" s="6" t="s">
        <v>46254</v>
      </c>
      <c r="C7435" s="6" t="s">
        <v>24317</v>
      </c>
      <c r="D7435" s="6" t="s">
        <v>46255</v>
      </c>
      <c r="E7435" s="6" t="s">
        <v>46249</v>
      </c>
      <c r="F7435" s="6" t="s">
        <v>221</v>
      </c>
      <c r="G7435" s="6" t="s">
        <v>46256</v>
      </c>
      <c r="H7435" s="7" t="s">
        <v>31</v>
      </c>
      <c r="I7435" s="7">
        <v>1.0</v>
      </c>
      <c r="J7435" s="7">
        <v>1.0</v>
      </c>
      <c r="K7435" s="7" t="s">
        <v>31</v>
      </c>
      <c r="L7435" s="8" t="s">
        <v>31</v>
      </c>
      <c r="M7435" s="6" t="s">
        <v>46257</v>
      </c>
      <c r="N7435" s="6" t="s">
        <v>155</v>
      </c>
      <c r="O7435" s="8" t="s">
        <v>156</v>
      </c>
      <c r="P7435" s="6" t="s">
        <v>31</v>
      </c>
      <c r="Q7435" s="6" t="s">
        <v>31</v>
      </c>
      <c r="R7435" s="6" t="s">
        <v>64</v>
      </c>
      <c r="S7435" s="8" t="s">
        <v>5588</v>
      </c>
      <c r="T7435" s="6" t="s">
        <v>66</v>
      </c>
      <c r="U7435" s="8" t="s">
        <v>31</v>
      </c>
      <c r="V7435" s="6" t="s">
        <v>221</v>
      </c>
      <c r="W7435" s="6" t="s">
        <v>46249</v>
      </c>
      <c r="X7435" s="9" t="str">
        <f>HYPERLINK("https://my.pitchbook.com?p=409113-82P","View People Online")</f>
        <v>View People Online</v>
      </c>
    </row>
    <row r="7436">
      <c r="A7436" s="10" t="s">
        <v>46258</v>
      </c>
      <c r="B7436" s="10" t="s">
        <v>46259</v>
      </c>
      <c r="C7436" s="10" t="s">
        <v>26641</v>
      </c>
      <c r="D7436" s="10" t="s">
        <v>46260</v>
      </c>
      <c r="E7436" s="10" t="s">
        <v>46249</v>
      </c>
      <c r="F7436" s="10" t="s">
        <v>86</v>
      </c>
      <c r="G7436" s="10" t="s">
        <v>46261</v>
      </c>
      <c r="H7436" s="11" t="s">
        <v>31</v>
      </c>
      <c r="I7436" s="11">
        <v>23.0</v>
      </c>
      <c r="J7436" s="11">
        <v>1.0</v>
      </c>
      <c r="K7436" s="11">
        <v>21.0</v>
      </c>
      <c r="L7436" s="12" t="s">
        <v>31</v>
      </c>
      <c r="M7436" s="10" t="s">
        <v>46262</v>
      </c>
      <c r="N7436" s="10" t="s">
        <v>155</v>
      </c>
      <c r="O7436" s="12" t="s">
        <v>156</v>
      </c>
      <c r="P7436" s="10" t="s">
        <v>31</v>
      </c>
      <c r="Q7436" s="10" t="s">
        <v>31</v>
      </c>
      <c r="R7436" s="10" t="s">
        <v>64</v>
      </c>
      <c r="S7436" s="12" t="s">
        <v>5588</v>
      </c>
      <c r="T7436" s="10" t="s">
        <v>66</v>
      </c>
      <c r="U7436" s="12" t="s">
        <v>31</v>
      </c>
      <c r="V7436" s="10" t="s">
        <v>95</v>
      </c>
      <c r="W7436" s="10" t="s">
        <v>46249</v>
      </c>
      <c r="X7436" s="13" t="str">
        <f>HYPERLINK("https://my.pitchbook.com?p=85687-75P","View People Online")</f>
        <v>View People Online</v>
      </c>
    </row>
    <row r="7437">
      <c r="A7437" s="14" t="s">
        <v>46263</v>
      </c>
      <c r="B7437" s="14" t="s">
        <v>46264</v>
      </c>
      <c r="C7437" s="14" t="s">
        <v>4169</v>
      </c>
      <c r="D7437" s="14" t="s">
        <v>6326</v>
      </c>
      <c r="E7437" s="14" t="s">
        <v>46265</v>
      </c>
      <c r="F7437" s="14" t="s">
        <v>86</v>
      </c>
      <c r="G7437" s="14" t="s">
        <v>46266</v>
      </c>
      <c r="H7437" s="15" t="s">
        <v>31</v>
      </c>
      <c r="I7437" s="15">
        <v>4.0</v>
      </c>
      <c r="J7437" s="15">
        <v>1.0</v>
      </c>
      <c r="K7437" s="15">
        <v>1.0</v>
      </c>
      <c r="L7437" s="16" t="s">
        <v>46267</v>
      </c>
      <c r="M7437" s="14" t="s">
        <v>46268</v>
      </c>
      <c r="N7437" s="14" t="s">
        <v>46269</v>
      </c>
      <c r="O7437" s="16" t="s">
        <v>46270</v>
      </c>
      <c r="P7437" s="14" t="s">
        <v>46271</v>
      </c>
      <c r="Q7437" s="14" t="s">
        <v>31</v>
      </c>
      <c r="R7437" s="14" t="s">
        <v>15275</v>
      </c>
      <c r="S7437" s="16" t="s">
        <v>46272</v>
      </c>
      <c r="T7437" s="14" t="s">
        <v>66</v>
      </c>
      <c r="U7437" s="16" t="s">
        <v>31</v>
      </c>
      <c r="V7437" s="14" t="s">
        <v>95</v>
      </c>
      <c r="W7437" s="14" t="s">
        <v>46265</v>
      </c>
      <c r="X7437" s="17" t="str">
        <f>HYPERLINK("https://my.pitchbook.com?p=388190-44P","View People Online")</f>
        <v>View People Online</v>
      </c>
    </row>
    <row r="7438">
      <c r="A7438" s="10" t="s">
        <v>46273</v>
      </c>
      <c r="B7438" s="10" t="s">
        <v>46274</v>
      </c>
      <c r="C7438" s="10" t="s">
        <v>112</v>
      </c>
      <c r="D7438" s="10" t="s">
        <v>1181</v>
      </c>
      <c r="E7438" s="10" t="s">
        <v>46265</v>
      </c>
      <c r="F7438" s="10" t="s">
        <v>86</v>
      </c>
      <c r="G7438" s="10" t="s">
        <v>46275</v>
      </c>
      <c r="H7438" s="11" t="s">
        <v>31</v>
      </c>
      <c r="I7438" s="11">
        <v>2.0</v>
      </c>
      <c r="J7438" s="11">
        <v>2.0</v>
      </c>
      <c r="K7438" s="11" t="s">
        <v>31</v>
      </c>
      <c r="L7438" s="12" t="s">
        <v>46276</v>
      </c>
      <c r="M7438" s="10" t="s">
        <v>46277</v>
      </c>
      <c r="N7438" s="10" t="s">
        <v>46278</v>
      </c>
      <c r="O7438" s="12" t="s">
        <v>46279</v>
      </c>
      <c r="P7438" s="10" t="s">
        <v>46280</v>
      </c>
      <c r="Q7438" s="10" t="s">
        <v>6591</v>
      </c>
      <c r="R7438" s="10" t="s">
        <v>15275</v>
      </c>
      <c r="S7438" s="12" t="s">
        <v>46281</v>
      </c>
      <c r="T7438" s="10" t="s">
        <v>66</v>
      </c>
      <c r="U7438" s="12" t="s">
        <v>31</v>
      </c>
      <c r="V7438" s="10" t="s">
        <v>152</v>
      </c>
      <c r="W7438" s="10" t="s">
        <v>46282</v>
      </c>
      <c r="X7438" s="13" t="str">
        <f>HYPERLINK("https://my.pitchbook.com?p=326999-53P","View People Online")</f>
        <v>View People Online</v>
      </c>
    </row>
    <row r="7439">
      <c r="A7439" s="14" t="s">
        <v>46283</v>
      </c>
      <c r="B7439" s="14" t="s">
        <v>46284</v>
      </c>
      <c r="C7439" s="14" t="s">
        <v>1343</v>
      </c>
      <c r="D7439" s="14" t="s">
        <v>46285</v>
      </c>
      <c r="E7439" s="14" t="s">
        <v>46265</v>
      </c>
      <c r="F7439" s="14" t="s">
        <v>86</v>
      </c>
      <c r="G7439" s="14" t="s">
        <v>46286</v>
      </c>
      <c r="H7439" s="15">
        <v>2.0</v>
      </c>
      <c r="I7439" s="15">
        <v>8.0</v>
      </c>
      <c r="J7439" s="15">
        <v>1.0</v>
      </c>
      <c r="K7439" s="15">
        <v>5.0</v>
      </c>
      <c r="L7439" s="16" t="s">
        <v>46267</v>
      </c>
      <c r="M7439" s="14" t="s">
        <v>46287</v>
      </c>
      <c r="N7439" s="14" t="s">
        <v>46269</v>
      </c>
      <c r="O7439" s="16" t="s">
        <v>46270</v>
      </c>
      <c r="P7439" s="14" t="s">
        <v>46271</v>
      </c>
      <c r="Q7439" s="14" t="s">
        <v>31</v>
      </c>
      <c r="R7439" s="14" t="s">
        <v>15275</v>
      </c>
      <c r="S7439" s="16" t="s">
        <v>46272</v>
      </c>
      <c r="T7439" s="14" t="s">
        <v>66</v>
      </c>
      <c r="U7439" s="16" t="s">
        <v>31</v>
      </c>
      <c r="V7439" s="14" t="s">
        <v>95</v>
      </c>
      <c r="W7439" s="14" t="s">
        <v>46265</v>
      </c>
      <c r="X7439" s="17" t="str">
        <f>HYPERLINK("https://my.pitchbook.com?p=298023-58P","View People Online")</f>
        <v>View People Online</v>
      </c>
    </row>
    <row r="7440">
      <c r="A7440" s="2" t="s">
        <v>46288</v>
      </c>
      <c r="B7440" s="2" t="s">
        <v>9257</v>
      </c>
      <c r="C7440" s="2" t="s">
        <v>1645</v>
      </c>
      <c r="D7440" s="2" t="s">
        <v>1147</v>
      </c>
      <c r="E7440" s="2" t="s">
        <v>46265</v>
      </c>
      <c r="F7440" s="2" t="s">
        <v>86</v>
      </c>
      <c r="G7440" s="2" t="s">
        <v>46289</v>
      </c>
      <c r="H7440" s="3" t="s">
        <v>31</v>
      </c>
      <c r="I7440" s="3">
        <v>2.0</v>
      </c>
      <c r="J7440" s="3">
        <v>2.0</v>
      </c>
      <c r="K7440" s="3" t="s">
        <v>31</v>
      </c>
      <c r="L7440" s="4" t="s">
        <v>46290</v>
      </c>
      <c r="M7440" s="2" t="s">
        <v>46291</v>
      </c>
      <c r="N7440" s="2" t="s">
        <v>46269</v>
      </c>
      <c r="O7440" s="4" t="s">
        <v>46270</v>
      </c>
      <c r="P7440" s="2" t="s">
        <v>46271</v>
      </c>
      <c r="Q7440" s="2" t="s">
        <v>31</v>
      </c>
      <c r="R7440" s="2" t="s">
        <v>15275</v>
      </c>
      <c r="S7440" s="4" t="s">
        <v>46272</v>
      </c>
      <c r="T7440" s="2" t="s">
        <v>66</v>
      </c>
      <c r="U7440" s="4" t="s">
        <v>31</v>
      </c>
      <c r="V7440" s="2" t="s">
        <v>95</v>
      </c>
      <c r="W7440" s="2" t="s">
        <v>46265</v>
      </c>
      <c r="X7440" s="5" t="str">
        <f>HYPERLINK("https://my.pitchbook.com?p=94633-03P","View People Online")</f>
        <v>View People Online</v>
      </c>
    </row>
    <row r="7441">
      <c r="A7441" s="14" t="s">
        <v>46292</v>
      </c>
      <c r="B7441" s="14" t="s">
        <v>46293</v>
      </c>
      <c r="C7441" s="14" t="s">
        <v>46294</v>
      </c>
      <c r="D7441" s="14" t="s">
        <v>46295</v>
      </c>
      <c r="E7441" s="14" t="s">
        <v>46265</v>
      </c>
      <c r="F7441" s="14" t="s">
        <v>86</v>
      </c>
      <c r="G7441" s="14" t="s">
        <v>46296</v>
      </c>
      <c r="H7441" s="15" t="s">
        <v>31</v>
      </c>
      <c r="I7441" s="15">
        <v>1.0</v>
      </c>
      <c r="J7441" s="15">
        <v>1.0</v>
      </c>
      <c r="K7441" s="15" t="s">
        <v>31</v>
      </c>
      <c r="L7441" s="16" t="s">
        <v>46267</v>
      </c>
      <c r="M7441" s="14" t="s">
        <v>46297</v>
      </c>
      <c r="N7441" s="14" t="s">
        <v>46269</v>
      </c>
      <c r="O7441" s="16" t="s">
        <v>46270</v>
      </c>
      <c r="P7441" s="14" t="s">
        <v>46271</v>
      </c>
      <c r="Q7441" s="14" t="s">
        <v>31</v>
      </c>
      <c r="R7441" s="14" t="s">
        <v>15275</v>
      </c>
      <c r="S7441" s="16" t="s">
        <v>46272</v>
      </c>
      <c r="T7441" s="14" t="s">
        <v>66</v>
      </c>
      <c r="U7441" s="16" t="s">
        <v>31</v>
      </c>
      <c r="V7441" s="14" t="s">
        <v>95</v>
      </c>
      <c r="W7441" s="14" t="s">
        <v>46265</v>
      </c>
      <c r="X7441" s="17" t="str">
        <f>HYPERLINK("https://my.pitchbook.com?p=424071-91P","View People Online")</f>
        <v>View People Online</v>
      </c>
    </row>
    <row r="7442">
      <c r="A7442" s="10" t="s">
        <v>46298</v>
      </c>
      <c r="B7442" s="10" t="s">
        <v>35785</v>
      </c>
      <c r="C7442" s="10" t="s">
        <v>3934</v>
      </c>
      <c r="D7442" s="10" t="s">
        <v>35786</v>
      </c>
      <c r="E7442" s="10" t="s">
        <v>46299</v>
      </c>
      <c r="F7442" s="10" t="s">
        <v>470</v>
      </c>
      <c r="G7442" s="10" t="s">
        <v>46300</v>
      </c>
      <c r="H7442" s="11" t="s">
        <v>31</v>
      </c>
      <c r="I7442" s="11">
        <v>2.0</v>
      </c>
      <c r="J7442" s="11">
        <v>1.0</v>
      </c>
      <c r="K7442" s="11">
        <v>1.0</v>
      </c>
      <c r="L7442" s="12" t="s">
        <v>46301</v>
      </c>
      <c r="M7442" s="10" t="s">
        <v>31</v>
      </c>
      <c r="N7442" s="10" t="s">
        <v>1348</v>
      </c>
      <c r="O7442" s="12" t="s">
        <v>1349</v>
      </c>
      <c r="P7442" s="10" t="s">
        <v>46302</v>
      </c>
      <c r="Q7442" s="10" t="s">
        <v>989</v>
      </c>
      <c r="R7442" s="10" t="s">
        <v>1018</v>
      </c>
      <c r="S7442" s="12" t="s">
        <v>46303</v>
      </c>
      <c r="T7442" s="10" t="s">
        <v>1019</v>
      </c>
      <c r="U7442" s="12" t="s">
        <v>31</v>
      </c>
      <c r="V7442" s="10" t="s">
        <v>470</v>
      </c>
      <c r="W7442" s="10" t="s">
        <v>46299</v>
      </c>
      <c r="X7442" s="13" t="str">
        <f>HYPERLINK("https://my.pitchbook.com?p=451054-72P","View People Online")</f>
        <v>View People Online</v>
      </c>
    </row>
    <row r="7443">
      <c r="A7443" s="6" t="s">
        <v>46304</v>
      </c>
      <c r="B7443" s="6" t="s">
        <v>46305</v>
      </c>
      <c r="C7443" s="6" t="s">
        <v>32688</v>
      </c>
      <c r="D7443" s="6" t="s">
        <v>46306</v>
      </c>
      <c r="E7443" s="6" t="s">
        <v>46299</v>
      </c>
      <c r="F7443" s="6" t="s">
        <v>46307</v>
      </c>
      <c r="G7443" s="6" t="s">
        <v>46308</v>
      </c>
      <c r="H7443" s="7" t="s">
        <v>31</v>
      </c>
      <c r="I7443" s="7">
        <v>1.0</v>
      </c>
      <c r="J7443" s="7">
        <v>1.0</v>
      </c>
      <c r="K7443" s="7" t="s">
        <v>31</v>
      </c>
      <c r="L7443" s="8" t="s">
        <v>46301</v>
      </c>
      <c r="M7443" s="6" t="s">
        <v>31</v>
      </c>
      <c r="N7443" s="6" t="s">
        <v>1348</v>
      </c>
      <c r="O7443" s="8" t="s">
        <v>1349</v>
      </c>
      <c r="P7443" s="6" t="s">
        <v>46302</v>
      </c>
      <c r="Q7443" s="6" t="s">
        <v>989</v>
      </c>
      <c r="R7443" s="6" t="s">
        <v>1018</v>
      </c>
      <c r="S7443" s="8" t="s">
        <v>46303</v>
      </c>
      <c r="T7443" s="6" t="s">
        <v>1019</v>
      </c>
      <c r="U7443" s="8" t="s">
        <v>31</v>
      </c>
      <c r="V7443" s="6" t="s">
        <v>46307</v>
      </c>
      <c r="W7443" s="6" t="s">
        <v>46299</v>
      </c>
      <c r="X7443" s="9" t="str">
        <f>HYPERLINK("https://my.pitchbook.com?p=57005-92P","View People Online")</f>
        <v>View People Online</v>
      </c>
    </row>
    <row r="7444">
      <c r="A7444" s="2" t="s">
        <v>46309</v>
      </c>
      <c r="B7444" s="2" t="s">
        <v>46310</v>
      </c>
      <c r="C7444" s="2" t="s">
        <v>46311</v>
      </c>
      <c r="D7444" s="2" t="s">
        <v>46312</v>
      </c>
      <c r="E7444" s="2" t="s">
        <v>46299</v>
      </c>
      <c r="F7444" s="2" t="s">
        <v>3600</v>
      </c>
      <c r="G7444" s="2" t="s">
        <v>46313</v>
      </c>
      <c r="H7444" s="3" t="s">
        <v>31</v>
      </c>
      <c r="I7444" s="3">
        <v>1.0</v>
      </c>
      <c r="J7444" s="3">
        <v>1.0</v>
      </c>
      <c r="K7444" s="3" t="s">
        <v>31</v>
      </c>
      <c r="L7444" s="4" t="s">
        <v>46314</v>
      </c>
      <c r="M7444" s="2" t="s">
        <v>46315</v>
      </c>
      <c r="N7444" s="2" t="s">
        <v>1348</v>
      </c>
      <c r="O7444" s="4" t="s">
        <v>1349</v>
      </c>
      <c r="P7444" s="2" t="s">
        <v>46302</v>
      </c>
      <c r="Q7444" s="2" t="s">
        <v>989</v>
      </c>
      <c r="R7444" s="2" t="s">
        <v>1018</v>
      </c>
      <c r="S7444" s="4" t="s">
        <v>46303</v>
      </c>
      <c r="T7444" s="2" t="s">
        <v>1019</v>
      </c>
      <c r="U7444" s="4" t="s">
        <v>31</v>
      </c>
      <c r="V7444" s="2" t="s">
        <v>46316</v>
      </c>
      <c r="W7444" s="2" t="s">
        <v>46299</v>
      </c>
      <c r="X7444" s="5" t="str">
        <f>HYPERLINK("https://my.pitchbook.com?p=435657-70P","View People Online")</f>
        <v>View People Online</v>
      </c>
    </row>
    <row r="7445">
      <c r="A7445" s="6" t="s">
        <v>46317</v>
      </c>
      <c r="B7445" s="6" t="s">
        <v>46318</v>
      </c>
      <c r="C7445" s="6" t="s">
        <v>807</v>
      </c>
      <c r="D7445" s="6" t="s">
        <v>46319</v>
      </c>
      <c r="E7445" s="6" t="s">
        <v>46299</v>
      </c>
      <c r="F7445" s="6" t="s">
        <v>470</v>
      </c>
      <c r="G7445" s="6" t="s">
        <v>46320</v>
      </c>
      <c r="H7445" s="7" t="s">
        <v>31</v>
      </c>
      <c r="I7445" s="7">
        <v>1.0</v>
      </c>
      <c r="J7445" s="7">
        <v>1.0</v>
      </c>
      <c r="K7445" s="7" t="s">
        <v>31</v>
      </c>
      <c r="L7445" s="8" t="s">
        <v>46301</v>
      </c>
      <c r="M7445" s="6" t="s">
        <v>46321</v>
      </c>
      <c r="N7445" s="6" t="s">
        <v>1348</v>
      </c>
      <c r="O7445" s="8" t="s">
        <v>1349</v>
      </c>
      <c r="P7445" s="6" t="s">
        <v>46302</v>
      </c>
      <c r="Q7445" s="6" t="s">
        <v>989</v>
      </c>
      <c r="R7445" s="6" t="s">
        <v>1018</v>
      </c>
      <c r="S7445" s="8" t="s">
        <v>46303</v>
      </c>
      <c r="T7445" s="6" t="s">
        <v>1019</v>
      </c>
      <c r="U7445" s="8" t="s">
        <v>31</v>
      </c>
      <c r="V7445" s="6" t="s">
        <v>470</v>
      </c>
      <c r="W7445" s="6" t="s">
        <v>46299</v>
      </c>
      <c r="X7445" s="9" t="str">
        <f>HYPERLINK("https://my.pitchbook.com?p=432967-51P","View People Online")</f>
        <v>View People Online</v>
      </c>
    </row>
    <row r="7446">
      <c r="A7446" s="10" t="s">
        <v>46322</v>
      </c>
      <c r="B7446" s="10" t="s">
        <v>46323</v>
      </c>
      <c r="C7446" s="10" t="s">
        <v>46324</v>
      </c>
      <c r="D7446" s="10" t="s">
        <v>46325</v>
      </c>
      <c r="E7446" s="10" t="s">
        <v>46299</v>
      </c>
      <c r="F7446" s="10" t="s">
        <v>1801</v>
      </c>
      <c r="G7446" s="10" t="s">
        <v>46326</v>
      </c>
      <c r="H7446" s="11" t="s">
        <v>31</v>
      </c>
      <c r="I7446" s="11">
        <v>2.0</v>
      </c>
      <c r="J7446" s="11">
        <v>1.0</v>
      </c>
      <c r="K7446" s="11">
        <v>1.0</v>
      </c>
      <c r="L7446" s="12" t="s">
        <v>46301</v>
      </c>
      <c r="M7446" s="10" t="s">
        <v>31</v>
      </c>
      <c r="N7446" s="10" t="s">
        <v>1348</v>
      </c>
      <c r="O7446" s="12" t="s">
        <v>1349</v>
      </c>
      <c r="P7446" s="10" t="s">
        <v>46302</v>
      </c>
      <c r="Q7446" s="10" t="s">
        <v>989</v>
      </c>
      <c r="R7446" s="10" t="s">
        <v>1018</v>
      </c>
      <c r="S7446" s="12" t="s">
        <v>46303</v>
      </c>
      <c r="T7446" s="10" t="s">
        <v>1019</v>
      </c>
      <c r="U7446" s="12" t="s">
        <v>31</v>
      </c>
      <c r="V7446" s="10" t="s">
        <v>1801</v>
      </c>
      <c r="W7446" s="10" t="s">
        <v>46299</v>
      </c>
      <c r="X7446" s="13" t="str">
        <f>HYPERLINK("https://my.pitchbook.com?p=448297-03P","View People Online")</f>
        <v>View People Online</v>
      </c>
    </row>
    <row r="7447">
      <c r="A7447" s="14" t="s">
        <v>46327</v>
      </c>
      <c r="B7447" s="14" t="s">
        <v>46328</v>
      </c>
      <c r="C7447" s="14" t="s">
        <v>2469</v>
      </c>
      <c r="D7447" s="14" t="s">
        <v>46329</v>
      </c>
      <c r="E7447" s="14" t="s">
        <v>46299</v>
      </c>
      <c r="F7447" s="14" t="s">
        <v>1801</v>
      </c>
      <c r="G7447" s="14" t="s">
        <v>46330</v>
      </c>
      <c r="H7447" s="15" t="s">
        <v>31</v>
      </c>
      <c r="I7447" s="15">
        <v>1.0</v>
      </c>
      <c r="J7447" s="15">
        <v>1.0</v>
      </c>
      <c r="K7447" s="15" t="s">
        <v>31</v>
      </c>
      <c r="L7447" s="16" t="s">
        <v>46331</v>
      </c>
      <c r="M7447" s="14" t="s">
        <v>46332</v>
      </c>
      <c r="N7447" s="14" t="s">
        <v>1348</v>
      </c>
      <c r="O7447" s="16" t="s">
        <v>1349</v>
      </c>
      <c r="P7447" s="14" t="s">
        <v>46302</v>
      </c>
      <c r="Q7447" s="14" t="s">
        <v>989</v>
      </c>
      <c r="R7447" s="14" t="s">
        <v>1018</v>
      </c>
      <c r="S7447" s="16" t="s">
        <v>46303</v>
      </c>
      <c r="T7447" s="14" t="s">
        <v>1019</v>
      </c>
      <c r="U7447" s="16" t="s">
        <v>46333</v>
      </c>
      <c r="V7447" s="14" t="s">
        <v>46334</v>
      </c>
      <c r="W7447" s="14" t="s">
        <v>46299</v>
      </c>
      <c r="X7447" s="17" t="str">
        <f>HYPERLINK("https://my.pitchbook.com?p=57012-22P","View People Online")</f>
        <v>View People Online</v>
      </c>
    </row>
    <row r="7448">
      <c r="A7448" s="10" t="s">
        <v>46335</v>
      </c>
      <c r="B7448" s="10" t="s">
        <v>46336</v>
      </c>
      <c r="C7448" s="10" t="s">
        <v>46337</v>
      </c>
      <c r="D7448" s="10" t="s">
        <v>4544</v>
      </c>
      <c r="E7448" s="10" t="s">
        <v>46299</v>
      </c>
      <c r="F7448" s="10" t="s">
        <v>1801</v>
      </c>
      <c r="G7448" s="10" t="s">
        <v>46338</v>
      </c>
      <c r="H7448" s="11" t="s">
        <v>31</v>
      </c>
      <c r="I7448" s="11">
        <v>2.0</v>
      </c>
      <c r="J7448" s="11">
        <v>1.0</v>
      </c>
      <c r="K7448" s="11">
        <v>1.0</v>
      </c>
      <c r="L7448" s="12" t="s">
        <v>46301</v>
      </c>
      <c r="M7448" s="10" t="s">
        <v>46339</v>
      </c>
      <c r="N7448" s="10" t="s">
        <v>1348</v>
      </c>
      <c r="O7448" s="12" t="s">
        <v>1349</v>
      </c>
      <c r="P7448" s="10" t="s">
        <v>46302</v>
      </c>
      <c r="Q7448" s="10" t="s">
        <v>989</v>
      </c>
      <c r="R7448" s="10" t="s">
        <v>1018</v>
      </c>
      <c r="S7448" s="12" t="s">
        <v>46303</v>
      </c>
      <c r="T7448" s="10" t="s">
        <v>1019</v>
      </c>
      <c r="U7448" s="12" t="s">
        <v>31</v>
      </c>
      <c r="V7448" s="10" t="s">
        <v>46340</v>
      </c>
      <c r="W7448" s="10" t="s">
        <v>46299</v>
      </c>
      <c r="X7448" s="13" t="str">
        <f>HYPERLINK("https://my.pitchbook.com?p=297483-31P","View People Online")</f>
        <v>View People Online</v>
      </c>
    </row>
    <row r="7449">
      <c r="A7449" s="6" t="s">
        <v>46341</v>
      </c>
      <c r="B7449" s="6" t="s">
        <v>46342</v>
      </c>
      <c r="C7449" s="6" t="s">
        <v>20381</v>
      </c>
      <c r="D7449" s="6" t="s">
        <v>46343</v>
      </c>
      <c r="E7449" s="6" t="s">
        <v>46299</v>
      </c>
      <c r="F7449" s="6" t="s">
        <v>312</v>
      </c>
      <c r="G7449" s="6" t="s">
        <v>46344</v>
      </c>
      <c r="H7449" s="7" t="s">
        <v>31</v>
      </c>
      <c r="I7449" s="7">
        <v>1.0</v>
      </c>
      <c r="J7449" s="7">
        <v>1.0</v>
      </c>
      <c r="K7449" s="7" t="s">
        <v>31</v>
      </c>
      <c r="L7449" s="8" t="s">
        <v>46345</v>
      </c>
      <c r="M7449" s="6" t="s">
        <v>46346</v>
      </c>
      <c r="N7449" s="6" t="s">
        <v>1348</v>
      </c>
      <c r="O7449" s="8" t="s">
        <v>1349</v>
      </c>
      <c r="P7449" s="6" t="s">
        <v>46302</v>
      </c>
      <c r="Q7449" s="6" t="s">
        <v>989</v>
      </c>
      <c r="R7449" s="6" t="s">
        <v>1018</v>
      </c>
      <c r="S7449" s="8" t="s">
        <v>46303</v>
      </c>
      <c r="T7449" s="6" t="s">
        <v>1019</v>
      </c>
      <c r="U7449" s="8" t="s">
        <v>46333</v>
      </c>
      <c r="V7449" s="6" t="s">
        <v>46347</v>
      </c>
      <c r="W7449" s="6" t="s">
        <v>46299</v>
      </c>
      <c r="X7449" s="9" t="str">
        <f>HYPERLINK("https://my.pitchbook.com?p=42136-12P","View People Online")</f>
        <v>View People Online</v>
      </c>
    </row>
    <row r="7450">
      <c r="A7450" s="2" t="s">
        <v>46348</v>
      </c>
      <c r="B7450" s="2" t="s">
        <v>46349</v>
      </c>
      <c r="C7450" s="2" t="s">
        <v>46350</v>
      </c>
      <c r="D7450" s="2" t="s">
        <v>857</v>
      </c>
      <c r="E7450" s="2" t="s">
        <v>46299</v>
      </c>
      <c r="F7450" s="2" t="s">
        <v>1801</v>
      </c>
      <c r="G7450" s="2" t="s">
        <v>46351</v>
      </c>
      <c r="H7450" s="3" t="s">
        <v>31</v>
      </c>
      <c r="I7450" s="3">
        <v>1.0</v>
      </c>
      <c r="J7450" s="3">
        <v>1.0</v>
      </c>
      <c r="K7450" s="3" t="s">
        <v>31</v>
      </c>
      <c r="L7450" s="4" t="s">
        <v>46301</v>
      </c>
      <c r="M7450" s="2" t="s">
        <v>46352</v>
      </c>
      <c r="N7450" s="2" t="s">
        <v>1348</v>
      </c>
      <c r="O7450" s="4" t="s">
        <v>1349</v>
      </c>
      <c r="P7450" s="2" t="s">
        <v>46302</v>
      </c>
      <c r="Q7450" s="2" t="s">
        <v>989</v>
      </c>
      <c r="R7450" s="2" t="s">
        <v>1018</v>
      </c>
      <c r="S7450" s="4" t="s">
        <v>46303</v>
      </c>
      <c r="T7450" s="2" t="s">
        <v>1019</v>
      </c>
      <c r="U7450" s="4" t="s">
        <v>31</v>
      </c>
      <c r="V7450" s="2" t="s">
        <v>46353</v>
      </c>
      <c r="W7450" s="2" t="s">
        <v>46299</v>
      </c>
      <c r="X7450" s="5" t="str">
        <f>HYPERLINK("https://my.pitchbook.com?p=309459-07P","View People Online")</f>
        <v>View People Online</v>
      </c>
    </row>
    <row r="7451">
      <c r="A7451" s="14" t="s">
        <v>46354</v>
      </c>
      <c r="B7451" s="14" t="s">
        <v>46355</v>
      </c>
      <c r="C7451" s="14" t="s">
        <v>395</v>
      </c>
      <c r="D7451" s="14" t="s">
        <v>46356</v>
      </c>
      <c r="E7451" s="14" t="s">
        <v>46299</v>
      </c>
      <c r="F7451" s="14" t="s">
        <v>2731</v>
      </c>
      <c r="G7451" s="14" t="s">
        <v>46357</v>
      </c>
      <c r="H7451" s="15" t="s">
        <v>31</v>
      </c>
      <c r="I7451" s="15">
        <v>1.0</v>
      </c>
      <c r="J7451" s="15">
        <v>1.0</v>
      </c>
      <c r="K7451" s="15" t="s">
        <v>31</v>
      </c>
      <c r="L7451" s="16" t="s">
        <v>46301</v>
      </c>
      <c r="M7451" s="14" t="s">
        <v>46358</v>
      </c>
      <c r="N7451" s="14" t="s">
        <v>1348</v>
      </c>
      <c r="O7451" s="16" t="s">
        <v>1349</v>
      </c>
      <c r="P7451" s="14" t="s">
        <v>46302</v>
      </c>
      <c r="Q7451" s="14" t="s">
        <v>989</v>
      </c>
      <c r="R7451" s="14" t="s">
        <v>1018</v>
      </c>
      <c r="S7451" s="16" t="s">
        <v>46303</v>
      </c>
      <c r="T7451" s="14" t="s">
        <v>1019</v>
      </c>
      <c r="U7451" s="16" t="s">
        <v>31</v>
      </c>
      <c r="V7451" s="14" t="s">
        <v>46359</v>
      </c>
      <c r="W7451" s="14" t="s">
        <v>46299</v>
      </c>
      <c r="X7451" s="17" t="str">
        <f>HYPERLINK("https://my.pitchbook.com?p=57017-71P","View People Online")</f>
        <v>View People Online</v>
      </c>
    </row>
    <row r="7452">
      <c r="A7452" s="10" t="s">
        <v>46360</v>
      </c>
      <c r="B7452" s="10" t="s">
        <v>46361</v>
      </c>
      <c r="C7452" s="10" t="s">
        <v>5574</v>
      </c>
      <c r="D7452" s="10" t="s">
        <v>41769</v>
      </c>
      <c r="E7452" s="10" t="s">
        <v>46299</v>
      </c>
      <c r="F7452" s="10" t="s">
        <v>3600</v>
      </c>
      <c r="G7452" s="10" t="s">
        <v>46362</v>
      </c>
      <c r="H7452" s="11" t="s">
        <v>31</v>
      </c>
      <c r="I7452" s="11">
        <v>1.0</v>
      </c>
      <c r="J7452" s="11">
        <v>1.0</v>
      </c>
      <c r="K7452" s="11" t="s">
        <v>31</v>
      </c>
      <c r="L7452" s="12" t="s">
        <v>46301</v>
      </c>
      <c r="M7452" s="10" t="s">
        <v>46363</v>
      </c>
      <c r="N7452" s="10" t="s">
        <v>1348</v>
      </c>
      <c r="O7452" s="12" t="s">
        <v>1349</v>
      </c>
      <c r="P7452" s="10" t="s">
        <v>46302</v>
      </c>
      <c r="Q7452" s="10" t="s">
        <v>989</v>
      </c>
      <c r="R7452" s="10" t="s">
        <v>1018</v>
      </c>
      <c r="S7452" s="12" t="s">
        <v>46303</v>
      </c>
      <c r="T7452" s="10" t="s">
        <v>1019</v>
      </c>
      <c r="U7452" s="12" t="s">
        <v>31</v>
      </c>
      <c r="V7452" s="10" t="s">
        <v>46364</v>
      </c>
      <c r="W7452" s="10" t="s">
        <v>46299</v>
      </c>
      <c r="X7452" s="13" t="str">
        <f>HYPERLINK("https://my.pitchbook.com?p=229081-87P","View People Online")</f>
        <v>View People Online</v>
      </c>
    </row>
    <row r="7453">
      <c r="A7453" s="6" t="s">
        <v>46365</v>
      </c>
      <c r="B7453" s="6" t="s">
        <v>46366</v>
      </c>
      <c r="C7453" s="6" t="s">
        <v>13465</v>
      </c>
      <c r="D7453" s="6" t="s">
        <v>46367</v>
      </c>
      <c r="E7453" s="6" t="s">
        <v>46368</v>
      </c>
      <c r="F7453" s="6" t="s">
        <v>1249</v>
      </c>
      <c r="G7453" s="6" t="s">
        <v>46369</v>
      </c>
      <c r="H7453" s="7">
        <v>1.0</v>
      </c>
      <c r="I7453" s="7">
        <v>3.0</v>
      </c>
      <c r="J7453" s="7">
        <v>1.0</v>
      </c>
      <c r="K7453" s="7">
        <v>2.0</v>
      </c>
      <c r="L7453" s="8" t="s">
        <v>46370</v>
      </c>
      <c r="M7453" s="6" t="s">
        <v>46371</v>
      </c>
      <c r="N7453" s="6" t="s">
        <v>243</v>
      </c>
      <c r="O7453" s="8" t="s">
        <v>244</v>
      </c>
      <c r="P7453" s="6" t="s">
        <v>46372</v>
      </c>
      <c r="Q7453" s="6" t="s">
        <v>31</v>
      </c>
      <c r="R7453" s="6" t="s">
        <v>247</v>
      </c>
      <c r="S7453" s="8" t="s">
        <v>46373</v>
      </c>
      <c r="T7453" s="6" t="s">
        <v>249</v>
      </c>
      <c r="U7453" s="8" t="s">
        <v>46374</v>
      </c>
      <c r="V7453" s="6" t="s">
        <v>46375</v>
      </c>
      <c r="W7453" s="6" t="s">
        <v>46368</v>
      </c>
      <c r="X7453" s="9" t="str">
        <f>HYPERLINK("https://my.pitchbook.com?p=282741-94P","View People Online")</f>
        <v>View People Online</v>
      </c>
    </row>
    <row r="7454">
      <c r="A7454" s="10" t="s">
        <v>46376</v>
      </c>
      <c r="B7454" s="10" t="s">
        <v>46377</v>
      </c>
      <c r="C7454" s="10" t="s">
        <v>46378</v>
      </c>
      <c r="D7454" s="10" t="s">
        <v>46379</v>
      </c>
      <c r="E7454" s="10" t="s">
        <v>46368</v>
      </c>
      <c r="F7454" s="10" t="s">
        <v>470</v>
      </c>
      <c r="G7454" s="10" t="s">
        <v>46380</v>
      </c>
      <c r="H7454" s="11" t="s">
        <v>31</v>
      </c>
      <c r="I7454" s="11">
        <v>2.0</v>
      </c>
      <c r="J7454" s="11">
        <v>1.0</v>
      </c>
      <c r="K7454" s="11">
        <v>1.0</v>
      </c>
      <c r="L7454" s="12" t="s">
        <v>46381</v>
      </c>
      <c r="M7454" s="10" t="s">
        <v>31</v>
      </c>
      <c r="N7454" s="10" t="s">
        <v>1005</v>
      </c>
      <c r="O7454" s="12" t="s">
        <v>1006</v>
      </c>
      <c r="P7454" s="10" t="s">
        <v>46382</v>
      </c>
      <c r="Q7454" s="10" t="s">
        <v>38488</v>
      </c>
      <c r="R7454" s="10" t="s">
        <v>31</v>
      </c>
      <c r="S7454" s="12" t="s">
        <v>46383</v>
      </c>
      <c r="T7454" s="10" t="s">
        <v>1010</v>
      </c>
      <c r="U7454" s="12" t="s">
        <v>46384</v>
      </c>
      <c r="V7454" s="10" t="s">
        <v>470</v>
      </c>
      <c r="W7454" s="10" t="s">
        <v>46368</v>
      </c>
      <c r="X7454" s="13" t="str">
        <f>HYPERLINK("https://my.pitchbook.com?p=440725-87P","View People Online")</f>
        <v>View People Online</v>
      </c>
    </row>
    <row r="7455">
      <c r="A7455" s="14" t="s">
        <v>46385</v>
      </c>
      <c r="B7455" s="14" t="s">
        <v>46386</v>
      </c>
      <c r="C7455" s="14" t="s">
        <v>46387</v>
      </c>
      <c r="D7455" s="14" t="s">
        <v>18289</v>
      </c>
      <c r="E7455" s="14" t="s">
        <v>46368</v>
      </c>
      <c r="F7455" s="14" t="s">
        <v>46388</v>
      </c>
      <c r="G7455" s="14" t="s">
        <v>46389</v>
      </c>
      <c r="H7455" s="15" t="s">
        <v>31</v>
      </c>
      <c r="I7455" s="15">
        <v>1.0</v>
      </c>
      <c r="J7455" s="15">
        <v>1.0</v>
      </c>
      <c r="K7455" s="15" t="s">
        <v>31</v>
      </c>
      <c r="L7455" s="16" t="s">
        <v>46381</v>
      </c>
      <c r="M7455" s="14" t="s">
        <v>46390</v>
      </c>
      <c r="N7455" s="14" t="s">
        <v>1005</v>
      </c>
      <c r="O7455" s="16" t="s">
        <v>1006</v>
      </c>
      <c r="P7455" s="14" t="s">
        <v>46382</v>
      </c>
      <c r="Q7455" s="14" t="s">
        <v>38488</v>
      </c>
      <c r="R7455" s="14" t="s">
        <v>31</v>
      </c>
      <c r="S7455" s="16" t="s">
        <v>46383</v>
      </c>
      <c r="T7455" s="14" t="s">
        <v>1010</v>
      </c>
      <c r="U7455" s="16" t="s">
        <v>46384</v>
      </c>
      <c r="V7455" s="14" t="s">
        <v>46388</v>
      </c>
      <c r="W7455" s="14" t="s">
        <v>46368</v>
      </c>
      <c r="X7455" s="17" t="str">
        <f>HYPERLINK("https://my.pitchbook.com?p=448763-23P","View People Online")</f>
        <v>View People Online</v>
      </c>
    </row>
    <row r="7456">
      <c r="A7456" s="2" t="s">
        <v>46391</v>
      </c>
      <c r="B7456" s="2" t="s">
        <v>46392</v>
      </c>
      <c r="C7456" s="2" t="s">
        <v>2908</v>
      </c>
      <c r="D7456" s="2" t="s">
        <v>46393</v>
      </c>
      <c r="E7456" s="2" t="s">
        <v>46368</v>
      </c>
      <c r="F7456" s="2" t="s">
        <v>1801</v>
      </c>
      <c r="G7456" s="2" t="s">
        <v>46394</v>
      </c>
      <c r="H7456" s="3" t="s">
        <v>31</v>
      </c>
      <c r="I7456" s="3">
        <v>1.0</v>
      </c>
      <c r="J7456" s="3">
        <v>1.0</v>
      </c>
      <c r="K7456" s="3" t="s">
        <v>31</v>
      </c>
      <c r="L7456" s="4" t="s">
        <v>46381</v>
      </c>
      <c r="M7456" s="2" t="s">
        <v>46395</v>
      </c>
      <c r="N7456" s="2" t="s">
        <v>1005</v>
      </c>
      <c r="O7456" s="4" t="s">
        <v>1006</v>
      </c>
      <c r="P7456" s="2" t="s">
        <v>46382</v>
      </c>
      <c r="Q7456" s="2" t="s">
        <v>38488</v>
      </c>
      <c r="R7456" s="2" t="s">
        <v>31</v>
      </c>
      <c r="S7456" s="4" t="s">
        <v>46383</v>
      </c>
      <c r="T7456" s="2" t="s">
        <v>1010</v>
      </c>
      <c r="U7456" s="4" t="s">
        <v>46384</v>
      </c>
      <c r="V7456" s="2" t="s">
        <v>46396</v>
      </c>
      <c r="W7456" s="2" t="s">
        <v>46368</v>
      </c>
      <c r="X7456" s="5" t="str">
        <f>HYPERLINK("https://my.pitchbook.com?p=259165-00P","View People Online")</f>
        <v>View People Online</v>
      </c>
    </row>
    <row r="7457">
      <c r="A7457" s="14" t="s">
        <v>46397</v>
      </c>
      <c r="B7457" s="14" t="s">
        <v>46398</v>
      </c>
      <c r="C7457" s="14" t="s">
        <v>17176</v>
      </c>
      <c r="D7457" s="14" t="s">
        <v>46399</v>
      </c>
      <c r="E7457" s="14" t="s">
        <v>46368</v>
      </c>
      <c r="F7457" s="14" t="s">
        <v>1801</v>
      </c>
      <c r="G7457" s="14" t="s">
        <v>46400</v>
      </c>
      <c r="H7457" s="15" t="s">
        <v>31</v>
      </c>
      <c r="I7457" s="15">
        <v>1.0</v>
      </c>
      <c r="J7457" s="15">
        <v>1.0</v>
      </c>
      <c r="K7457" s="15" t="s">
        <v>31</v>
      </c>
      <c r="L7457" s="16" t="s">
        <v>46381</v>
      </c>
      <c r="M7457" s="14" t="s">
        <v>46401</v>
      </c>
      <c r="N7457" s="14" t="s">
        <v>1005</v>
      </c>
      <c r="O7457" s="16" t="s">
        <v>1006</v>
      </c>
      <c r="P7457" s="14" t="s">
        <v>46382</v>
      </c>
      <c r="Q7457" s="14" t="s">
        <v>38488</v>
      </c>
      <c r="R7457" s="14" t="s">
        <v>31</v>
      </c>
      <c r="S7457" s="16" t="s">
        <v>46383</v>
      </c>
      <c r="T7457" s="14" t="s">
        <v>1010</v>
      </c>
      <c r="U7457" s="16" t="s">
        <v>46384</v>
      </c>
      <c r="V7457" s="14" t="s">
        <v>46402</v>
      </c>
      <c r="W7457" s="14" t="s">
        <v>46368</v>
      </c>
      <c r="X7457" s="17" t="str">
        <f>HYPERLINK("https://my.pitchbook.com?p=395331-13P","View People Online")</f>
        <v>View People Online</v>
      </c>
    </row>
    <row r="7458">
      <c r="A7458" s="10" t="s">
        <v>46403</v>
      </c>
      <c r="B7458" s="10" t="s">
        <v>46404</v>
      </c>
      <c r="C7458" s="10" t="s">
        <v>823</v>
      </c>
      <c r="D7458" s="10" t="s">
        <v>8032</v>
      </c>
      <c r="E7458" s="10" t="s">
        <v>46368</v>
      </c>
      <c r="F7458" s="10" t="s">
        <v>3600</v>
      </c>
      <c r="G7458" s="10" t="s">
        <v>46405</v>
      </c>
      <c r="H7458" s="11" t="s">
        <v>31</v>
      </c>
      <c r="I7458" s="11">
        <v>1.0</v>
      </c>
      <c r="J7458" s="11">
        <v>1.0</v>
      </c>
      <c r="K7458" s="11" t="s">
        <v>31</v>
      </c>
      <c r="L7458" s="12" t="s">
        <v>46381</v>
      </c>
      <c r="M7458" s="10" t="s">
        <v>46406</v>
      </c>
      <c r="N7458" s="10" t="s">
        <v>1005</v>
      </c>
      <c r="O7458" s="12" t="s">
        <v>1006</v>
      </c>
      <c r="P7458" s="10" t="s">
        <v>46382</v>
      </c>
      <c r="Q7458" s="10" t="s">
        <v>38488</v>
      </c>
      <c r="R7458" s="10" t="s">
        <v>31</v>
      </c>
      <c r="S7458" s="12" t="s">
        <v>46383</v>
      </c>
      <c r="T7458" s="10" t="s">
        <v>1010</v>
      </c>
      <c r="U7458" s="12" t="s">
        <v>46384</v>
      </c>
      <c r="V7458" s="10" t="s">
        <v>3600</v>
      </c>
      <c r="W7458" s="10" t="s">
        <v>46368</v>
      </c>
      <c r="X7458" s="13" t="str">
        <f>HYPERLINK("https://my.pitchbook.com?p=389285-47P","View People Online")</f>
        <v>View People Online</v>
      </c>
    </row>
    <row r="7459">
      <c r="A7459" s="14" t="s">
        <v>46407</v>
      </c>
      <c r="B7459" s="14" t="s">
        <v>46408</v>
      </c>
      <c r="C7459" s="14" t="s">
        <v>3058</v>
      </c>
      <c r="D7459" s="14" t="s">
        <v>46409</v>
      </c>
      <c r="E7459" s="14" t="s">
        <v>46368</v>
      </c>
      <c r="F7459" s="14" t="s">
        <v>825</v>
      </c>
      <c r="G7459" s="14" t="s">
        <v>46410</v>
      </c>
      <c r="H7459" s="15" t="s">
        <v>31</v>
      </c>
      <c r="I7459" s="15">
        <v>1.0</v>
      </c>
      <c r="J7459" s="15">
        <v>1.0</v>
      </c>
      <c r="K7459" s="15" t="s">
        <v>31</v>
      </c>
      <c r="L7459" s="16" t="s">
        <v>46381</v>
      </c>
      <c r="M7459" s="14" t="s">
        <v>31</v>
      </c>
      <c r="N7459" s="14" t="s">
        <v>1005</v>
      </c>
      <c r="O7459" s="16" t="s">
        <v>1006</v>
      </c>
      <c r="P7459" s="14" t="s">
        <v>46382</v>
      </c>
      <c r="Q7459" s="14" t="s">
        <v>38488</v>
      </c>
      <c r="R7459" s="14" t="s">
        <v>31</v>
      </c>
      <c r="S7459" s="16" t="s">
        <v>46383</v>
      </c>
      <c r="T7459" s="14" t="s">
        <v>1010</v>
      </c>
      <c r="U7459" s="16" t="s">
        <v>46384</v>
      </c>
      <c r="V7459" s="14" t="s">
        <v>46411</v>
      </c>
      <c r="W7459" s="14" t="s">
        <v>46368</v>
      </c>
      <c r="X7459" s="17" t="str">
        <f>HYPERLINK("https://my.pitchbook.com?p=386884-81P","View People Online")</f>
        <v>View People Online</v>
      </c>
    </row>
    <row r="7460">
      <c r="A7460" s="10" t="s">
        <v>46412</v>
      </c>
      <c r="B7460" s="10" t="s">
        <v>46413</v>
      </c>
      <c r="C7460" s="10" t="s">
        <v>3828</v>
      </c>
      <c r="D7460" s="10" t="s">
        <v>3744</v>
      </c>
      <c r="E7460" s="10" t="s">
        <v>46368</v>
      </c>
      <c r="F7460" s="10" t="s">
        <v>1801</v>
      </c>
      <c r="G7460" s="10" t="s">
        <v>46414</v>
      </c>
      <c r="H7460" s="11" t="s">
        <v>31</v>
      </c>
      <c r="I7460" s="11">
        <v>1.0</v>
      </c>
      <c r="J7460" s="11">
        <v>1.0</v>
      </c>
      <c r="K7460" s="11" t="s">
        <v>31</v>
      </c>
      <c r="L7460" s="12" t="s">
        <v>46381</v>
      </c>
      <c r="M7460" s="10" t="s">
        <v>31</v>
      </c>
      <c r="N7460" s="10" t="s">
        <v>1005</v>
      </c>
      <c r="O7460" s="12" t="s">
        <v>1006</v>
      </c>
      <c r="P7460" s="10" t="s">
        <v>46382</v>
      </c>
      <c r="Q7460" s="10" t="s">
        <v>38488</v>
      </c>
      <c r="R7460" s="10" t="s">
        <v>31</v>
      </c>
      <c r="S7460" s="12" t="s">
        <v>46383</v>
      </c>
      <c r="T7460" s="10" t="s">
        <v>1010</v>
      </c>
      <c r="U7460" s="12" t="s">
        <v>46384</v>
      </c>
      <c r="V7460" s="10" t="s">
        <v>1801</v>
      </c>
      <c r="W7460" s="10" t="s">
        <v>46368</v>
      </c>
      <c r="X7460" s="13" t="str">
        <f>HYPERLINK("https://my.pitchbook.com?p=448763-41P","View People Online")</f>
        <v>View People Online</v>
      </c>
    </row>
    <row r="7461">
      <c r="A7461" s="14" t="s">
        <v>46415</v>
      </c>
      <c r="B7461" s="14" t="s">
        <v>46416</v>
      </c>
      <c r="C7461" s="14" t="s">
        <v>18461</v>
      </c>
      <c r="D7461" s="14" t="s">
        <v>46417</v>
      </c>
      <c r="E7461" s="14" t="s">
        <v>46368</v>
      </c>
      <c r="F7461" s="14" t="s">
        <v>7624</v>
      </c>
      <c r="G7461" s="14" t="s">
        <v>46418</v>
      </c>
      <c r="H7461" s="15" t="s">
        <v>31</v>
      </c>
      <c r="I7461" s="15">
        <v>2.0</v>
      </c>
      <c r="J7461" s="15">
        <v>1.0</v>
      </c>
      <c r="K7461" s="15">
        <v>1.0</v>
      </c>
      <c r="L7461" s="16" t="s">
        <v>46381</v>
      </c>
      <c r="M7461" s="14" t="s">
        <v>31</v>
      </c>
      <c r="N7461" s="14" t="s">
        <v>1005</v>
      </c>
      <c r="O7461" s="16" t="s">
        <v>1006</v>
      </c>
      <c r="P7461" s="14" t="s">
        <v>46382</v>
      </c>
      <c r="Q7461" s="14" t="s">
        <v>38488</v>
      </c>
      <c r="R7461" s="14" t="s">
        <v>31</v>
      </c>
      <c r="S7461" s="16" t="s">
        <v>46383</v>
      </c>
      <c r="T7461" s="14" t="s">
        <v>1010</v>
      </c>
      <c r="U7461" s="16" t="s">
        <v>46384</v>
      </c>
      <c r="V7461" s="14" t="s">
        <v>46419</v>
      </c>
      <c r="W7461" s="14" t="s">
        <v>46368</v>
      </c>
      <c r="X7461" s="17" t="str">
        <f>HYPERLINK("https://my.pitchbook.com?p=453090-25P","View People Online")</f>
        <v>View People Online</v>
      </c>
    </row>
    <row r="7462">
      <c r="A7462" s="10" t="s">
        <v>46420</v>
      </c>
      <c r="B7462" s="10" t="s">
        <v>46421</v>
      </c>
      <c r="C7462" s="10" t="s">
        <v>46422</v>
      </c>
      <c r="D7462" s="10" t="s">
        <v>5759</v>
      </c>
      <c r="E7462" s="10" t="s">
        <v>46368</v>
      </c>
      <c r="F7462" s="10" t="s">
        <v>78</v>
      </c>
      <c r="G7462" s="10" t="s">
        <v>46423</v>
      </c>
      <c r="H7462" s="11" t="s">
        <v>31</v>
      </c>
      <c r="I7462" s="11">
        <v>1.0</v>
      </c>
      <c r="J7462" s="11">
        <v>1.0</v>
      </c>
      <c r="K7462" s="11" t="s">
        <v>31</v>
      </c>
      <c r="L7462" s="12" t="s">
        <v>46381</v>
      </c>
      <c r="M7462" s="10" t="s">
        <v>46424</v>
      </c>
      <c r="N7462" s="10" t="s">
        <v>1005</v>
      </c>
      <c r="O7462" s="12" t="s">
        <v>1006</v>
      </c>
      <c r="P7462" s="10" t="s">
        <v>46382</v>
      </c>
      <c r="Q7462" s="10" t="s">
        <v>38488</v>
      </c>
      <c r="R7462" s="10" t="s">
        <v>31</v>
      </c>
      <c r="S7462" s="12" t="s">
        <v>46383</v>
      </c>
      <c r="T7462" s="10" t="s">
        <v>1010</v>
      </c>
      <c r="U7462" s="12" t="s">
        <v>46384</v>
      </c>
      <c r="V7462" s="10" t="s">
        <v>46425</v>
      </c>
      <c r="W7462" s="10" t="s">
        <v>46368</v>
      </c>
      <c r="X7462" s="13" t="str">
        <f>HYPERLINK("https://my.pitchbook.com?p=219791-80P","View People Online")</f>
        <v>View People Online</v>
      </c>
    </row>
    <row r="7463">
      <c r="A7463" s="14" t="s">
        <v>46426</v>
      </c>
      <c r="B7463" s="14" t="s">
        <v>46427</v>
      </c>
      <c r="C7463" s="14" t="s">
        <v>18485</v>
      </c>
      <c r="D7463" s="14" t="s">
        <v>46428</v>
      </c>
      <c r="E7463" s="14" t="s">
        <v>46368</v>
      </c>
      <c r="F7463" s="14" t="s">
        <v>1801</v>
      </c>
      <c r="G7463" s="14" t="s">
        <v>46429</v>
      </c>
      <c r="H7463" s="15" t="s">
        <v>31</v>
      </c>
      <c r="I7463" s="15">
        <v>1.0</v>
      </c>
      <c r="J7463" s="15">
        <v>1.0</v>
      </c>
      <c r="K7463" s="15" t="s">
        <v>31</v>
      </c>
      <c r="L7463" s="16" t="s">
        <v>46381</v>
      </c>
      <c r="M7463" s="14" t="s">
        <v>46430</v>
      </c>
      <c r="N7463" s="14" t="s">
        <v>1005</v>
      </c>
      <c r="O7463" s="16" t="s">
        <v>1006</v>
      </c>
      <c r="P7463" s="14" t="s">
        <v>46382</v>
      </c>
      <c r="Q7463" s="14" t="s">
        <v>38488</v>
      </c>
      <c r="R7463" s="14" t="s">
        <v>31</v>
      </c>
      <c r="S7463" s="16" t="s">
        <v>46383</v>
      </c>
      <c r="T7463" s="14" t="s">
        <v>1010</v>
      </c>
      <c r="U7463" s="16" t="s">
        <v>46384</v>
      </c>
      <c r="V7463" s="14" t="s">
        <v>46431</v>
      </c>
      <c r="W7463" s="14" t="s">
        <v>46368</v>
      </c>
      <c r="X7463" s="17" t="str">
        <f>HYPERLINK("https://my.pitchbook.com?p=395493-85P","View People Online")</f>
        <v>View People Online</v>
      </c>
    </row>
    <row r="7464">
      <c r="A7464" s="2" t="s">
        <v>46432</v>
      </c>
      <c r="B7464" s="2" t="s">
        <v>46433</v>
      </c>
      <c r="C7464" s="2" t="s">
        <v>1299</v>
      </c>
      <c r="D7464" s="2" t="s">
        <v>46434</v>
      </c>
      <c r="E7464" s="2" t="s">
        <v>46368</v>
      </c>
      <c r="F7464" s="2" t="s">
        <v>46435</v>
      </c>
      <c r="G7464" s="2" t="s">
        <v>46436</v>
      </c>
      <c r="H7464" s="3" t="s">
        <v>31</v>
      </c>
      <c r="I7464" s="3">
        <v>2.0</v>
      </c>
      <c r="J7464" s="3">
        <v>1.0</v>
      </c>
      <c r="K7464" s="3">
        <v>1.0</v>
      </c>
      <c r="L7464" s="4" t="s">
        <v>46381</v>
      </c>
      <c r="M7464" s="2" t="s">
        <v>46437</v>
      </c>
      <c r="N7464" s="2" t="s">
        <v>1005</v>
      </c>
      <c r="O7464" s="4" t="s">
        <v>1006</v>
      </c>
      <c r="P7464" s="2" t="s">
        <v>46382</v>
      </c>
      <c r="Q7464" s="2" t="s">
        <v>38488</v>
      </c>
      <c r="R7464" s="2" t="s">
        <v>31</v>
      </c>
      <c r="S7464" s="4" t="s">
        <v>46383</v>
      </c>
      <c r="T7464" s="2" t="s">
        <v>1010</v>
      </c>
      <c r="U7464" s="4" t="s">
        <v>46384</v>
      </c>
      <c r="V7464" s="2" t="s">
        <v>46438</v>
      </c>
      <c r="W7464" s="2" t="s">
        <v>46368</v>
      </c>
      <c r="X7464" s="5" t="str">
        <f>HYPERLINK("https://my.pitchbook.com?p=152672-05P","View People Online")</f>
        <v>View People Online</v>
      </c>
    </row>
    <row r="7465">
      <c r="A7465" s="6" t="s">
        <v>46439</v>
      </c>
      <c r="B7465" s="6" t="s">
        <v>46440</v>
      </c>
      <c r="C7465" s="6" t="s">
        <v>18553</v>
      </c>
      <c r="D7465" s="6" t="s">
        <v>46441</v>
      </c>
      <c r="E7465" s="6" t="s">
        <v>46368</v>
      </c>
      <c r="F7465" s="6" t="s">
        <v>46442</v>
      </c>
      <c r="G7465" s="6" t="s">
        <v>46443</v>
      </c>
      <c r="H7465" s="7" t="s">
        <v>31</v>
      </c>
      <c r="I7465" s="7">
        <v>1.0</v>
      </c>
      <c r="J7465" s="7">
        <v>1.0</v>
      </c>
      <c r="K7465" s="7" t="s">
        <v>31</v>
      </c>
      <c r="L7465" s="8" t="s">
        <v>46381</v>
      </c>
      <c r="M7465" s="6" t="s">
        <v>46444</v>
      </c>
      <c r="N7465" s="6" t="s">
        <v>1005</v>
      </c>
      <c r="O7465" s="8" t="s">
        <v>1006</v>
      </c>
      <c r="P7465" s="6" t="s">
        <v>46382</v>
      </c>
      <c r="Q7465" s="6" t="s">
        <v>38488</v>
      </c>
      <c r="R7465" s="6" t="s">
        <v>31</v>
      </c>
      <c r="S7465" s="8" t="s">
        <v>46383</v>
      </c>
      <c r="T7465" s="6" t="s">
        <v>1010</v>
      </c>
      <c r="U7465" s="8" t="s">
        <v>46384</v>
      </c>
      <c r="V7465" s="6" t="s">
        <v>46445</v>
      </c>
      <c r="W7465" s="6" t="s">
        <v>46368</v>
      </c>
      <c r="X7465" s="9" t="str">
        <f>HYPERLINK("https://my.pitchbook.com?p=91103-77P","View People Online")</f>
        <v>View People Online</v>
      </c>
    </row>
    <row r="7466">
      <c r="A7466" s="10" t="s">
        <v>46446</v>
      </c>
      <c r="B7466" s="10" t="s">
        <v>46447</v>
      </c>
      <c r="C7466" s="10" t="s">
        <v>46448</v>
      </c>
      <c r="D7466" s="10" t="s">
        <v>46449</v>
      </c>
      <c r="E7466" s="10" t="s">
        <v>46368</v>
      </c>
      <c r="F7466" s="10" t="s">
        <v>7624</v>
      </c>
      <c r="G7466" s="10" t="s">
        <v>46450</v>
      </c>
      <c r="H7466" s="11" t="s">
        <v>31</v>
      </c>
      <c r="I7466" s="11">
        <v>2.0</v>
      </c>
      <c r="J7466" s="11">
        <v>1.0</v>
      </c>
      <c r="K7466" s="11">
        <v>1.0</v>
      </c>
      <c r="L7466" s="12" t="s">
        <v>46381</v>
      </c>
      <c r="M7466" s="10" t="s">
        <v>46451</v>
      </c>
      <c r="N7466" s="10" t="s">
        <v>1005</v>
      </c>
      <c r="O7466" s="12" t="s">
        <v>1006</v>
      </c>
      <c r="P7466" s="10" t="s">
        <v>46382</v>
      </c>
      <c r="Q7466" s="10" t="s">
        <v>38488</v>
      </c>
      <c r="R7466" s="10" t="s">
        <v>31</v>
      </c>
      <c r="S7466" s="12" t="s">
        <v>46383</v>
      </c>
      <c r="T7466" s="10" t="s">
        <v>1010</v>
      </c>
      <c r="U7466" s="12" t="s">
        <v>46384</v>
      </c>
      <c r="V7466" s="10" t="s">
        <v>46452</v>
      </c>
      <c r="W7466" s="10" t="s">
        <v>46368</v>
      </c>
      <c r="X7466" s="13" t="str">
        <f>HYPERLINK("https://my.pitchbook.com?p=101109-52P","View People Online")</f>
        <v>View People Online</v>
      </c>
    </row>
    <row r="7467">
      <c r="A7467" s="6" t="s">
        <v>46453</v>
      </c>
      <c r="B7467" s="6" t="s">
        <v>46454</v>
      </c>
      <c r="C7467" s="6" t="s">
        <v>46455</v>
      </c>
      <c r="D7467" s="6" t="s">
        <v>46456</v>
      </c>
      <c r="E7467" s="6" t="s">
        <v>46368</v>
      </c>
      <c r="F7467" s="6" t="s">
        <v>8399</v>
      </c>
      <c r="G7467" s="6" t="s">
        <v>46457</v>
      </c>
      <c r="H7467" s="7" t="s">
        <v>31</v>
      </c>
      <c r="I7467" s="7">
        <v>1.0</v>
      </c>
      <c r="J7467" s="7">
        <v>1.0</v>
      </c>
      <c r="K7467" s="7" t="s">
        <v>31</v>
      </c>
      <c r="L7467" s="8" t="s">
        <v>46381</v>
      </c>
      <c r="M7467" s="6" t="s">
        <v>46458</v>
      </c>
      <c r="N7467" s="6" t="s">
        <v>1005</v>
      </c>
      <c r="O7467" s="8" t="s">
        <v>1006</v>
      </c>
      <c r="P7467" s="6" t="s">
        <v>46382</v>
      </c>
      <c r="Q7467" s="6" t="s">
        <v>38488</v>
      </c>
      <c r="R7467" s="6" t="s">
        <v>31</v>
      </c>
      <c r="S7467" s="8" t="s">
        <v>46383</v>
      </c>
      <c r="T7467" s="6" t="s">
        <v>1010</v>
      </c>
      <c r="U7467" s="8" t="s">
        <v>46384</v>
      </c>
      <c r="V7467" s="6" t="s">
        <v>46459</v>
      </c>
      <c r="W7467" s="6" t="s">
        <v>46368</v>
      </c>
      <c r="X7467" s="9" t="str">
        <f>HYPERLINK("https://my.pitchbook.com?p=291411-64P","View People Online")</f>
        <v>View People Online</v>
      </c>
    </row>
    <row r="7468">
      <c r="A7468" s="2" t="s">
        <v>46460</v>
      </c>
      <c r="B7468" s="2" t="s">
        <v>46461</v>
      </c>
      <c r="C7468" s="2" t="s">
        <v>46455</v>
      </c>
      <c r="D7468" s="2" t="s">
        <v>46462</v>
      </c>
      <c r="E7468" s="2" t="s">
        <v>46368</v>
      </c>
      <c r="F7468" s="2" t="s">
        <v>371</v>
      </c>
      <c r="G7468" s="2" t="s">
        <v>46463</v>
      </c>
      <c r="H7468" s="3" t="s">
        <v>31</v>
      </c>
      <c r="I7468" s="3">
        <v>2.0</v>
      </c>
      <c r="J7468" s="3">
        <v>1.0</v>
      </c>
      <c r="K7468" s="3">
        <v>1.0</v>
      </c>
      <c r="L7468" s="4" t="s">
        <v>46381</v>
      </c>
      <c r="M7468" s="2" t="s">
        <v>46464</v>
      </c>
      <c r="N7468" s="2" t="s">
        <v>1005</v>
      </c>
      <c r="O7468" s="4" t="s">
        <v>1006</v>
      </c>
      <c r="P7468" s="2" t="s">
        <v>46382</v>
      </c>
      <c r="Q7468" s="2" t="s">
        <v>38488</v>
      </c>
      <c r="R7468" s="2" t="s">
        <v>31</v>
      </c>
      <c r="S7468" s="4" t="s">
        <v>46383</v>
      </c>
      <c r="T7468" s="2" t="s">
        <v>1010</v>
      </c>
      <c r="U7468" s="4" t="s">
        <v>46384</v>
      </c>
      <c r="V7468" s="2" t="s">
        <v>46465</v>
      </c>
      <c r="W7468" s="2" t="s">
        <v>46368</v>
      </c>
      <c r="X7468" s="5" t="str">
        <f>HYPERLINK("https://my.pitchbook.com?p=56404-99P","View People Online")</f>
        <v>View People Online</v>
      </c>
    </row>
    <row r="7469">
      <c r="A7469" s="6" t="s">
        <v>46466</v>
      </c>
      <c r="B7469" s="6" t="s">
        <v>46467</v>
      </c>
      <c r="C7469" s="6" t="s">
        <v>46468</v>
      </c>
      <c r="D7469" s="6" t="s">
        <v>46469</v>
      </c>
      <c r="E7469" s="6" t="s">
        <v>46368</v>
      </c>
      <c r="F7469" s="6" t="s">
        <v>7624</v>
      </c>
      <c r="G7469" s="6" t="s">
        <v>46470</v>
      </c>
      <c r="H7469" s="7" t="s">
        <v>31</v>
      </c>
      <c r="I7469" s="7">
        <v>2.0</v>
      </c>
      <c r="J7469" s="7">
        <v>1.0</v>
      </c>
      <c r="K7469" s="7">
        <v>1.0</v>
      </c>
      <c r="L7469" s="8" t="s">
        <v>46381</v>
      </c>
      <c r="M7469" s="6" t="s">
        <v>46471</v>
      </c>
      <c r="N7469" s="6" t="s">
        <v>1005</v>
      </c>
      <c r="O7469" s="8" t="s">
        <v>1006</v>
      </c>
      <c r="P7469" s="6" t="s">
        <v>46382</v>
      </c>
      <c r="Q7469" s="6" t="s">
        <v>38488</v>
      </c>
      <c r="R7469" s="6" t="s">
        <v>31</v>
      </c>
      <c r="S7469" s="8" t="s">
        <v>46383</v>
      </c>
      <c r="T7469" s="6" t="s">
        <v>1010</v>
      </c>
      <c r="U7469" s="8" t="s">
        <v>46384</v>
      </c>
      <c r="V7469" s="6" t="s">
        <v>46472</v>
      </c>
      <c r="W7469" s="6" t="s">
        <v>46368</v>
      </c>
      <c r="X7469" s="9" t="str">
        <f>HYPERLINK("https://my.pitchbook.com?p=334798-48P","View People Online")</f>
        <v>View People Online</v>
      </c>
    </row>
    <row r="7470">
      <c r="A7470" s="2" t="s">
        <v>46473</v>
      </c>
      <c r="B7470" s="2" t="s">
        <v>46474</v>
      </c>
      <c r="C7470" s="2" t="s">
        <v>19494</v>
      </c>
      <c r="D7470" s="2" t="s">
        <v>46475</v>
      </c>
      <c r="E7470" s="2" t="s">
        <v>46368</v>
      </c>
      <c r="F7470" s="2" t="s">
        <v>46476</v>
      </c>
      <c r="G7470" s="2" t="s">
        <v>46477</v>
      </c>
      <c r="H7470" s="3" t="s">
        <v>31</v>
      </c>
      <c r="I7470" s="3">
        <v>2.0</v>
      </c>
      <c r="J7470" s="3">
        <v>1.0</v>
      </c>
      <c r="K7470" s="3">
        <v>1.0</v>
      </c>
      <c r="L7470" s="4" t="s">
        <v>46381</v>
      </c>
      <c r="M7470" s="2" t="s">
        <v>31</v>
      </c>
      <c r="N7470" s="2" t="s">
        <v>1005</v>
      </c>
      <c r="O7470" s="4" t="s">
        <v>1006</v>
      </c>
      <c r="P7470" s="2" t="s">
        <v>46382</v>
      </c>
      <c r="Q7470" s="2" t="s">
        <v>38488</v>
      </c>
      <c r="R7470" s="2" t="s">
        <v>31</v>
      </c>
      <c r="S7470" s="4" t="s">
        <v>46383</v>
      </c>
      <c r="T7470" s="2" t="s">
        <v>1010</v>
      </c>
      <c r="U7470" s="4" t="s">
        <v>46384</v>
      </c>
      <c r="V7470" s="2" t="s">
        <v>46478</v>
      </c>
      <c r="W7470" s="2" t="s">
        <v>46368</v>
      </c>
      <c r="X7470" s="5" t="str">
        <f>HYPERLINK("https://my.pitchbook.com?p=406029-52P","View People Online")</f>
        <v>View People Online</v>
      </c>
    </row>
    <row r="7471">
      <c r="A7471" s="14" t="s">
        <v>46479</v>
      </c>
      <c r="B7471" s="14" t="s">
        <v>46480</v>
      </c>
      <c r="C7471" s="14" t="s">
        <v>19530</v>
      </c>
      <c r="D7471" s="14" t="s">
        <v>46379</v>
      </c>
      <c r="E7471" s="14" t="s">
        <v>46368</v>
      </c>
      <c r="F7471" s="14" t="s">
        <v>1249</v>
      </c>
      <c r="G7471" s="14" t="s">
        <v>46481</v>
      </c>
      <c r="H7471" s="15">
        <v>1.0</v>
      </c>
      <c r="I7471" s="15">
        <v>1.0</v>
      </c>
      <c r="J7471" s="15">
        <v>1.0</v>
      </c>
      <c r="K7471" s="15" t="s">
        <v>31</v>
      </c>
      <c r="L7471" s="16" t="s">
        <v>46381</v>
      </c>
      <c r="M7471" s="14" t="s">
        <v>31</v>
      </c>
      <c r="N7471" s="14" t="s">
        <v>1005</v>
      </c>
      <c r="O7471" s="16" t="s">
        <v>1006</v>
      </c>
      <c r="P7471" s="14" t="s">
        <v>46382</v>
      </c>
      <c r="Q7471" s="14" t="s">
        <v>38488</v>
      </c>
      <c r="R7471" s="14" t="s">
        <v>31</v>
      </c>
      <c r="S7471" s="16" t="s">
        <v>46383</v>
      </c>
      <c r="T7471" s="14" t="s">
        <v>1010</v>
      </c>
      <c r="U7471" s="16" t="s">
        <v>46384</v>
      </c>
      <c r="V7471" s="14" t="s">
        <v>1252</v>
      </c>
      <c r="W7471" s="14" t="s">
        <v>46368</v>
      </c>
      <c r="X7471" s="17" t="str">
        <f>HYPERLINK("https://my.pitchbook.com?p=255989-53P","View People Online")</f>
        <v>View People Online</v>
      </c>
    </row>
    <row r="7472">
      <c r="A7472" s="2" t="s">
        <v>46482</v>
      </c>
      <c r="B7472" s="2" t="s">
        <v>46483</v>
      </c>
      <c r="C7472" s="2" t="s">
        <v>46484</v>
      </c>
      <c r="D7472" s="2" t="s">
        <v>46485</v>
      </c>
      <c r="E7472" s="2" t="s">
        <v>46368</v>
      </c>
      <c r="F7472" s="2" t="s">
        <v>1249</v>
      </c>
      <c r="G7472" s="2" t="s">
        <v>46486</v>
      </c>
      <c r="H7472" s="3">
        <v>1.0</v>
      </c>
      <c r="I7472" s="3">
        <v>13.0</v>
      </c>
      <c r="J7472" s="3">
        <v>1.0</v>
      </c>
      <c r="K7472" s="3">
        <v>12.0</v>
      </c>
      <c r="L7472" s="4" t="s">
        <v>46381</v>
      </c>
      <c r="M7472" s="2" t="s">
        <v>46487</v>
      </c>
      <c r="N7472" s="2" t="s">
        <v>1005</v>
      </c>
      <c r="O7472" s="4" t="s">
        <v>1006</v>
      </c>
      <c r="P7472" s="2" t="s">
        <v>46382</v>
      </c>
      <c r="Q7472" s="2" t="s">
        <v>38488</v>
      </c>
      <c r="R7472" s="2" t="s">
        <v>31</v>
      </c>
      <c r="S7472" s="4" t="s">
        <v>46383</v>
      </c>
      <c r="T7472" s="2" t="s">
        <v>1010</v>
      </c>
      <c r="U7472" s="4" t="s">
        <v>46384</v>
      </c>
      <c r="V7472" s="2" t="s">
        <v>46488</v>
      </c>
      <c r="W7472" s="2" t="s">
        <v>46368</v>
      </c>
      <c r="X7472" s="5" t="str">
        <f>HYPERLINK("https://my.pitchbook.com?p=40589-20P","View People Online")</f>
        <v>View People Online</v>
      </c>
    </row>
    <row r="7473">
      <c r="A7473" s="6" t="s">
        <v>46489</v>
      </c>
      <c r="B7473" s="6" t="s">
        <v>46490</v>
      </c>
      <c r="C7473" s="6" t="s">
        <v>46491</v>
      </c>
      <c r="D7473" s="6" t="s">
        <v>46492</v>
      </c>
      <c r="E7473" s="6" t="s">
        <v>46368</v>
      </c>
      <c r="F7473" s="6" t="s">
        <v>7624</v>
      </c>
      <c r="G7473" s="6" t="s">
        <v>46493</v>
      </c>
      <c r="H7473" s="7" t="s">
        <v>31</v>
      </c>
      <c r="I7473" s="7">
        <v>2.0</v>
      </c>
      <c r="J7473" s="7">
        <v>1.0</v>
      </c>
      <c r="K7473" s="7">
        <v>1.0</v>
      </c>
      <c r="L7473" s="8" t="s">
        <v>46381</v>
      </c>
      <c r="M7473" s="6" t="s">
        <v>46494</v>
      </c>
      <c r="N7473" s="6" t="s">
        <v>1005</v>
      </c>
      <c r="O7473" s="8" t="s">
        <v>1006</v>
      </c>
      <c r="P7473" s="6" t="s">
        <v>46382</v>
      </c>
      <c r="Q7473" s="6" t="s">
        <v>38488</v>
      </c>
      <c r="R7473" s="6" t="s">
        <v>31</v>
      </c>
      <c r="S7473" s="8" t="s">
        <v>46383</v>
      </c>
      <c r="T7473" s="6" t="s">
        <v>1010</v>
      </c>
      <c r="U7473" s="8" t="s">
        <v>46384</v>
      </c>
      <c r="V7473" s="6" t="s">
        <v>7624</v>
      </c>
      <c r="W7473" s="6" t="s">
        <v>46368</v>
      </c>
      <c r="X7473" s="9" t="str">
        <f>HYPERLINK("https://my.pitchbook.com?p=279594-01P","View People Online")</f>
        <v>View People Online</v>
      </c>
    </row>
    <row r="7474">
      <c r="A7474" s="10" t="s">
        <v>46495</v>
      </c>
      <c r="B7474" s="10" t="s">
        <v>46496</v>
      </c>
      <c r="C7474" s="10" t="s">
        <v>20183</v>
      </c>
      <c r="D7474" s="10" t="s">
        <v>46441</v>
      </c>
      <c r="E7474" s="10" t="s">
        <v>46368</v>
      </c>
      <c r="F7474" s="10" t="s">
        <v>221</v>
      </c>
      <c r="G7474" s="10" t="s">
        <v>46497</v>
      </c>
      <c r="H7474" s="11" t="s">
        <v>31</v>
      </c>
      <c r="I7474" s="11">
        <v>1.0</v>
      </c>
      <c r="J7474" s="11">
        <v>1.0</v>
      </c>
      <c r="K7474" s="11" t="s">
        <v>31</v>
      </c>
      <c r="L7474" s="12" t="s">
        <v>46381</v>
      </c>
      <c r="M7474" s="10" t="s">
        <v>46498</v>
      </c>
      <c r="N7474" s="10" t="s">
        <v>1005</v>
      </c>
      <c r="O7474" s="12" t="s">
        <v>1006</v>
      </c>
      <c r="P7474" s="10" t="s">
        <v>46382</v>
      </c>
      <c r="Q7474" s="10" t="s">
        <v>38488</v>
      </c>
      <c r="R7474" s="10" t="s">
        <v>31</v>
      </c>
      <c r="S7474" s="12" t="s">
        <v>46383</v>
      </c>
      <c r="T7474" s="10" t="s">
        <v>1010</v>
      </c>
      <c r="U7474" s="12" t="s">
        <v>46384</v>
      </c>
      <c r="V7474" s="10" t="s">
        <v>46499</v>
      </c>
      <c r="W7474" s="10" t="s">
        <v>46368</v>
      </c>
      <c r="X7474" s="13" t="str">
        <f>HYPERLINK("https://my.pitchbook.com?p=395303-95P","View People Online")</f>
        <v>View People Online</v>
      </c>
    </row>
    <row r="7475">
      <c r="A7475" s="14" t="s">
        <v>46500</v>
      </c>
      <c r="B7475" s="14" t="s">
        <v>46501</v>
      </c>
      <c r="C7475" s="14" t="s">
        <v>46502</v>
      </c>
      <c r="D7475" s="14" t="s">
        <v>46503</v>
      </c>
      <c r="E7475" s="14" t="s">
        <v>46368</v>
      </c>
      <c r="F7475" s="14" t="s">
        <v>7624</v>
      </c>
      <c r="G7475" s="14" t="s">
        <v>46504</v>
      </c>
      <c r="H7475" s="15" t="s">
        <v>31</v>
      </c>
      <c r="I7475" s="15">
        <v>2.0</v>
      </c>
      <c r="J7475" s="15">
        <v>1.0</v>
      </c>
      <c r="K7475" s="15">
        <v>1.0</v>
      </c>
      <c r="L7475" s="16" t="s">
        <v>46381</v>
      </c>
      <c r="M7475" s="14" t="s">
        <v>31</v>
      </c>
      <c r="N7475" s="14" t="s">
        <v>1005</v>
      </c>
      <c r="O7475" s="16" t="s">
        <v>1006</v>
      </c>
      <c r="P7475" s="14" t="s">
        <v>46382</v>
      </c>
      <c r="Q7475" s="14" t="s">
        <v>38488</v>
      </c>
      <c r="R7475" s="14" t="s">
        <v>31</v>
      </c>
      <c r="S7475" s="16" t="s">
        <v>46383</v>
      </c>
      <c r="T7475" s="14" t="s">
        <v>1010</v>
      </c>
      <c r="U7475" s="16" t="s">
        <v>46384</v>
      </c>
      <c r="V7475" s="14" t="s">
        <v>46505</v>
      </c>
      <c r="W7475" s="14" t="s">
        <v>46368</v>
      </c>
      <c r="X7475" s="17" t="str">
        <f>HYPERLINK("https://my.pitchbook.com?p=414695-17P","View People Online")</f>
        <v>View People Online</v>
      </c>
    </row>
    <row r="7476">
      <c r="A7476" s="10" t="s">
        <v>46506</v>
      </c>
      <c r="B7476" s="10" t="s">
        <v>46507</v>
      </c>
      <c r="C7476" s="10" t="s">
        <v>167</v>
      </c>
      <c r="D7476" s="10" t="s">
        <v>46508</v>
      </c>
      <c r="E7476" s="10" t="s">
        <v>46368</v>
      </c>
      <c r="F7476" s="10" t="s">
        <v>46509</v>
      </c>
      <c r="G7476" s="10" t="s">
        <v>46510</v>
      </c>
      <c r="H7476" s="11" t="s">
        <v>31</v>
      </c>
      <c r="I7476" s="11">
        <v>3.0</v>
      </c>
      <c r="J7476" s="11">
        <v>2.0</v>
      </c>
      <c r="K7476" s="11">
        <v>1.0</v>
      </c>
      <c r="L7476" s="12" t="s">
        <v>46511</v>
      </c>
      <c r="M7476" s="10" t="s">
        <v>46512</v>
      </c>
      <c r="N7476" s="10" t="s">
        <v>75</v>
      </c>
      <c r="O7476" s="12" t="s">
        <v>76</v>
      </c>
      <c r="P7476" s="10" t="s">
        <v>46513</v>
      </c>
      <c r="Q7476" s="10" t="s">
        <v>31</v>
      </c>
      <c r="R7476" s="10" t="s">
        <v>75</v>
      </c>
      <c r="S7476" s="12" t="s">
        <v>4581</v>
      </c>
      <c r="T7476" s="10" t="s">
        <v>66</v>
      </c>
      <c r="U7476" s="12" t="s">
        <v>46514</v>
      </c>
      <c r="V7476" s="10" t="s">
        <v>46515</v>
      </c>
      <c r="W7476" s="10" t="s">
        <v>46368</v>
      </c>
      <c r="X7476" s="13" t="str">
        <f>HYPERLINK("https://my.pitchbook.com?p=143976-25P","View People Online")</f>
        <v>View People Online</v>
      </c>
    </row>
    <row r="7477">
      <c r="A7477" s="14" t="s">
        <v>46516</v>
      </c>
      <c r="B7477" s="14" t="s">
        <v>46517</v>
      </c>
      <c r="C7477" s="14" t="s">
        <v>46518</v>
      </c>
      <c r="D7477" s="14" t="s">
        <v>46519</v>
      </c>
      <c r="E7477" s="14" t="s">
        <v>46368</v>
      </c>
      <c r="F7477" s="14" t="s">
        <v>7624</v>
      </c>
      <c r="G7477" s="14" t="s">
        <v>46520</v>
      </c>
      <c r="H7477" s="15" t="s">
        <v>31</v>
      </c>
      <c r="I7477" s="15">
        <v>1.0</v>
      </c>
      <c r="J7477" s="15">
        <v>1.0</v>
      </c>
      <c r="K7477" s="15" t="s">
        <v>31</v>
      </c>
      <c r="L7477" s="16" t="s">
        <v>46381</v>
      </c>
      <c r="M7477" s="14" t="s">
        <v>46521</v>
      </c>
      <c r="N7477" s="14" t="s">
        <v>1005</v>
      </c>
      <c r="O7477" s="16" t="s">
        <v>1006</v>
      </c>
      <c r="P7477" s="14" t="s">
        <v>46382</v>
      </c>
      <c r="Q7477" s="14" t="s">
        <v>38488</v>
      </c>
      <c r="R7477" s="14" t="s">
        <v>31</v>
      </c>
      <c r="S7477" s="16" t="s">
        <v>46383</v>
      </c>
      <c r="T7477" s="14" t="s">
        <v>1010</v>
      </c>
      <c r="U7477" s="16" t="s">
        <v>46384</v>
      </c>
      <c r="V7477" s="14" t="s">
        <v>46522</v>
      </c>
      <c r="W7477" s="14" t="s">
        <v>46368</v>
      </c>
      <c r="X7477" s="17" t="str">
        <f>HYPERLINK("https://my.pitchbook.com?p=395307-73P","View People Online")</f>
        <v>View People Online</v>
      </c>
    </row>
    <row r="7478">
      <c r="A7478" s="10" t="s">
        <v>46523</v>
      </c>
      <c r="B7478" s="10" t="s">
        <v>46524</v>
      </c>
      <c r="C7478" s="10" t="s">
        <v>1311</v>
      </c>
      <c r="D7478" s="10" t="s">
        <v>46525</v>
      </c>
      <c r="E7478" s="10" t="s">
        <v>46368</v>
      </c>
      <c r="F7478" s="10" t="s">
        <v>46526</v>
      </c>
      <c r="G7478" s="10" t="s">
        <v>46527</v>
      </c>
      <c r="H7478" s="11" t="s">
        <v>31</v>
      </c>
      <c r="I7478" s="11">
        <v>1.0</v>
      </c>
      <c r="J7478" s="11">
        <v>1.0</v>
      </c>
      <c r="K7478" s="11" t="s">
        <v>31</v>
      </c>
      <c r="L7478" s="12" t="s">
        <v>46381</v>
      </c>
      <c r="M7478" s="10" t="s">
        <v>46528</v>
      </c>
      <c r="N7478" s="10" t="s">
        <v>1005</v>
      </c>
      <c r="O7478" s="12" t="s">
        <v>1006</v>
      </c>
      <c r="P7478" s="10" t="s">
        <v>46382</v>
      </c>
      <c r="Q7478" s="10" t="s">
        <v>38488</v>
      </c>
      <c r="R7478" s="10" t="s">
        <v>31</v>
      </c>
      <c r="S7478" s="12" t="s">
        <v>46383</v>
      </c>
      <c r="T7478" s="10" t="s">
        <v>1010</v>
      </c>
      <c r="U7478" s="12" t="s">
        <v>46384</v>
      </c>
      <c r="V7478" s="10" t="s">
        <v>46529</v>
      </c>
      <c r="W7478" s="10" t="s">
        <v>46368</v>
      </c>
      <c r="X7478" s="13" t="str">
        <f>HYPERLINK("https://my.pitchbook.com?p=84273-22P","View People Online")</f>
        <v>View People Online</v>
      </c>
    </row>
    <row r="7479">
      <c r="A7479" s="14" t="s">
        <v>46530</v>
      </c>
      <c r="B7479" s="14" t="s">
        <v>46531</v>
      </c>
      <c r="C7479" s="14" t="s">
        <v>46532</v>
      </c>
      <c r="D7479" s="14" t="s">
        <v>21542</v>
      </c>
      <c r="E7479" s="14" t="s">
        <v>46368</v>
      </c>
      <c r="F7479" s="14" t="s">
        <v>1801</v>
      </c>
      <c r="G7479" s="14" t="s">
        <v>46533</v>
      </c>
      <c r="H7479" s="15" t="s">
        <v>31</v>
      </c>
      <c r="I7479" s="15">
        <v>1.0</v>
      </c>
      <c r="J7479" s="15">
        <v>1.0</v>
      </c>
      <c r="K7479" s="15" t="s">
        <v>31</v>
      </c>
      <c r="L7479" s="16" t="s">
        <v>46381</v>
      </c>
      <c r="M7479" s="14" t="s">
        <v>46534</v>
      </c>
      <c r="N7479" s="14" t="s">
        <v>1005</v>
      </c>
      <c r="O7479" s="16" t="s">
        <v>1006</v>
      </c>
      <c r="P7479" s="14" t="s">
        <v>46382</v>
      </c>
      <c r="Q7479" s="14" t="s">
        <v>38488</v>
      </c>
      <c r="R7479" s="14" t="s">
        <v>31</v>
      </c>
      <c r="S7479" s="16" t="s">
        <v>46383</v>
      </c>
      <c r="T7479" s="14" t="s">
        <v>1010</v>
      </c>
      <c r="U7479" s="16" t="s">
        <v>46384</v>
      </c>
      <c r="V7479" s="14" t="s">
        <v>33606</v>
      </c>
      <c r="W7479" s="14" t="s">
        <v>46368</v>
      </c>
      <c r="X7479" s="17" t="str">
        <f>HYPERLINK("https://my.pitchbook.com?p=312185-44P","View People Online")</f>
        <v>View People Online</v>
      </c>
    </row>
    <row r="7480">
      <c r="A7480" s="2" t="s">
        <v>46535</v>
      </c>
      <c r="B7480" s="2" t="s">
        <v>46536</v>
      </c>
      <c r="C7480" s="2" t="s">
        <v>22284</v>
      </c>
      <c r="D7480" s="2" t="s">
        <v>46537</v>
      </c>
      <c r="E7480" s="2" t="s">
        <v>46368</v>
      </c>
      <c r="F7480" s="2" t="s">
        <v>1544</v>
      </c>
      <c r="G7480" s="2" t="s">
        <v>46538</v>
      </c>
      <c r="H7480" s="3" t="s">
        <v>31</v>
      </c>
      <c r="I7480" s="3">
        <v>1.0</v>
      </c>
      <c r="J7480" s="3">
        <v>1.0</v>
      </c>
      <c r="K7480" s="3" t="s">
        <v>31</v>
      </c>
      <c r="L7480" s="4" t="s">
        <v>46381</v>
      </c>
      <c r="M7480" s="2" t="s">
        <v>46539</v>
      </c>
      <c r="N7480" s="2" t="s">
        <v>1005</v>
      </c>
      <c r="O7480" s="4" t="s">
        <v>1006</v>
      </c>
      <c r="P7480" s="2" t="s">
        <v>46382</v>
      </c>
      <c r="Q7480" s="2" t="s">
        <v>38488</v>
      </c>
      <c r="R7480" s="2" t="s">
        <v>31</v>
      </c>
      <c r="S7480" s="4" t="s">
        <v>46383</v>
      </c>
      <c r="T7480" s="2" t="s">
        <v>1010</v>
      </c>
      <c r="U7480" s="4" t="s">
        <v>46384</v>
      </c>
      <c r="V7480" s="2" t="s">
        <v>46540</v>
      </c>
      <c r="W7480" s="2" t="s">
        <v>46368</v>
      </c>
      <c r="X7480" s="5" t="str">
        <f>HYPERLINK("https://my.pitchbook.com?p=239624-56P","View People Online")</f>
        <v>View People Online</v>
      </c>
    </row>
    <row r="7481">
      <c r="A7481" s="14" t="s">
        <v>46541</v>
      </c>
      <c r="B7481" s="14" t="s">
        <v>46542</v>
      </c>
      <c r="C7481" s="14" t="s">
        <v>46543</v>
      </c>
      <c r="D7481" s="14" t="s">
        <v>46544</v>
      </c>
      <c r="E7481" s="14" t="s">
        <v>46368</v>
      </c>
      <c r="F7481" s="14" t="s">
        <v>270</v>
      </c>
      <c r="G7481" s="14" t="s">
        <v>46545</v>
      </c>
      <c r="H7481" s="15" t="s">
        <v>31</v>
      </c>
      <c r="I7481" s="15">
        <v>1.0</v>
      </c>
      <c r="J7481" s="15">
        <v>1.0</v>
      </c>
      <c r="K7481" s="15" t="s">
        <v>31</v>
      </c>
      <c r="L7481" s="16" t="s">
        <v>46381</v>
      </c>
      <c r="M7481" s="14" t="s">
        <v>46546</v>
      </c>
      <c r="N7481" s="14" t="s">
        <v>1005</v>
      </c>
      <c r="O7481" s="16" t="s">
        <v>1006</v>
      </c>
      <c r="P7481" s="14" t="s">
        <v>46382</v>
      </c>
      <c r="Q7481" s="14" t="s">
        <v>38488</v>
      </c>
      <c r="R7481" s="14" t="s">
        <v>31</v>
      </c>
      <c r="S7481" s="16" t="s">
        <v>46383</v>
      </c>
      <c r="T7481" s="14" t="s">
        <v>1010</v>
      </c>
      <c r="U7481" s="16" t="s">
        <v>46384</v>
      </c>
      <c r="V7481" s="14" t="s">
        <v>46547</v>
      </c>
      <c r="W7481" s="14" t="s">
        <v>46368</v>
      </c>
      <c r="X7481" s="17" t="str">
        <f>HYPERLINK("https://my.pitchbook.com?p=271759-24P","View People Online")</f>
        <v>View People Online</v>
      </c>
    </row>
    <row r="7482">
      <c r="A7482" s="2" t="s">
        <v>46548</v>
      </c>
      <c r="B7482" s="2" t="s">
        <v>46549</v>
      </c>
      <c r="C7482" s="2" t="s">
        <v>46550</v>
      </c>
      <c r="D7482" s="2" t="s">
        <v>46551</v>
      </c>
      <c r="E7482" s="2" t="s">
        <v>46368</v>
      </c>
      <c r="F7482" s="2" t="s">
        <v>78</v>
      </c>
      <c r="G7482" s="2" t="s">
        <v>46552</v>
      </c>
      <c r="H7482" s="3" t="s">
        <v>31</v>
      </c>
      <c r="I7482" s="3">
        <v>2.0</v>
      </c>
      <c r="J7482" s="3">
        <v>1.0</v>
      </c>
      <c r="K7482" s="3">
        <v>1.0</v>
      </c>
      <c r="L7482" s="4" t="s">
        <v>46381</v>
      </c>
      <c r="M7482" s="2" t="s">
        <v>46553</v>
      </c>
      <c r="N7482" s="2" t="s">
        <v>1005</v>
      </c>
      <c r="O7482" s="4" t="s">
        <v>1006</v>
      </c>
      <c r="P7482" s="2" t="s">
        <v>46382</v>
      </c>
      <c r="Q7482" s="2" t="s">
        <v>38488</v>
      </c>
      <c r="R7482" s="2" t="s">
        <v>31</v>
      </c>
      <c r="S7482" s="4" t="s">
        <v>46383</v>
      </c>
      <c r="T7482" s="2" t="s">
        <v>1010</v>
      </c>
      <c r="U7482" s="4" t="s">
        <v>46384</v>
      </c>
      <c r="V7482" s="2" t="s">
        <v>46554</v>
      </c>
      <c r="W7482" s="2" t="s">
        <v>46368</v>
      </c>
      <c r="X7482" s="5" t="str">
        <f>HYPERLINK("https://my.pitchbook.com?p=227236-24P","View People Online")</f>
        <v>View People Online</v>
      </c>
    </row>
    <row r="7483">
      <c r="A7483" s="14" t="s">
        <v>46555</v>
      </c>
      <c r="B7483" s="14" t="s">
        <v>46556</v>
      </c>
      <c r="C7483" s="14" t="s">
        <v>46557</v>
      </c>
      <c r="D7483" s="14" t="s">
        <v>45955</v>
      </c>
      <c r="E7483" s="14" t="s">
        <v>46368</v>
      </c>
      <c r="F7483" s="14" t="s">
        <v>46558</v>
      </c>
      <c r="G7483" s="14" t="s">
        <v>46559</v>
      </c>
      <c r="H7483" s="15" t="s">
        <v>31</v>
      </c>
      <c r="I7483" s="15">
        <v>1.0</v>
      </c>
      <c r="J7483" s="15">
        <v>1.0</v>
      </c>
      <c r="K7483" s="15" t="s">
        <v>31</v>
      </c>
      <c r="L7483" s="16" t="s">
        <v>46381</v>
      </c>
      <c r="M7483" s="14" t="s">
        <v>31</v>
      </c>
      <c r="N7483" s="14" t="s">
        <v>1005</v>
      </c>
      <c r="O7483" s="16" t="s">
        <v>1006</v>
      </c>
      <c r="P7483" s="14" t="s">
        <v>46382</v>
      </c>
      <c r="Q7483" s="14" t="s">
        <v>38488</v>
      </c>
      <c r="R7483" s="14" t="s">
        <v>31</v>
      </c>
      <c r="S7483" s="16" t="s">
        <v>46383</v>
      </c>
      <c r="T7483" s="14" t="s">
        <v>1010</v>
      </c>
      <c r="U7483" s="16" t="s">
        <v>46384</v>
      </c>
      <c r="V7483" s="14" t="s">
        <v>46560</v>
      </c>
      <c r="W7483" s="14" t="s">
        <v>46368</v>
      </c>
      <c r="X7483" s="17" t="str">
        <f>HYPERLINK("https://my.pitchbook.com?p=181471-87P","View People Online")</f>
        <v>View People Online</v>
      </c>
    </row>
    <row r="7484">
      <c r="A7484" s="10" t="s">
        <v>46561</v>
      </c>
      <c r="B7484" s="10" t="s">
        <v>46562</v>
      </c>
      <c r="C7484" s="10" t="s">
        <v>22705</v>
      </c>
      <c r="D7484" s="10" t="s">
        <v>46563</v>
      </c>
      <c r="E7484" s="10" t="s">
        <v>46368</v>
      </c>
      <c r="F7484" s="10" t="s">
        <v>46558</v>
      </c>
      <c r="G7484" s="10" t="s">
        <v>46564</v>
      </c>
      <c r="H7484" s="11" t="s">
        <v>31</v>
      </c>
      <c r="I7484" s="11">
        <v>5.0</v>
      </c>
      <c r="J7484" s="11">
        <v>1.0</v>
      </c>
      <c r="K7484" s="11">
        <v>4.0</v>
      </c>
      <c r="L7484" s="12" t="s">
        <v>46381</v>
      </c>
      <c r="M7484" s="10" t="s">
        <v>46565</v>
      </c>
      <c r="N7484" s="10" t="s">
        <v>1005</v>
      </c>
      <c r="O7484" s="12" t="s">
        <v>1006</v>
      </c>
      <c r="P7484" s="10" t="s">
        <v>46382</v>
      </c>
      <c r="Q7484" s="10" t="s">
        <v>38488</v>
      </c>
      <c r="R7484" s="10" t="s">
        <v>31</v>
      </c>
      <c r="S7484" s="12" t="s">
        <v>46383</v>
      </c>
      <c r="T7484" s="10" t="s">
        <v>1010</v>
      </c>
      <c r="U7484" s="12" t="s">
        <v>46384</v>
      </c>
      <c r="V7484" s="10" t="s">
        <v>46566</v>
      </c>
      <c r="W7484" s="10" t="s">
        <v>46368</v>
      </c>
      <c r="X7484" s="13" t="str">
        <f>HYPERLINK("https://my.pitchbook.com?p=310268-35P","View People Online")</f>
        <v>View People Online</v>
      </c>
    </row>
    <row r="7485">
      <c r="A7485" s="14" t="s">
        <v>46567</v>
      </c>
      <c r="B7485" s="14" t="s">
        <v>46568</v>
      </c>
      <c r="C7485" s="14" t="s">
        <v>46569</v>
      </c>
      <c r="D7485" s="14" t="s">
        <v>46570</v>
      </c>
      <c r="E7485" s="14" t="s">
        <v>46368</v>
      </c>
      <c r="F7485" s="14" t="s">
        <v>78</v>
      </c>
      <c r="G7485" s="14" t="s">
        <v>46571</v>
      </c>
      <c r="H7485" s="15" t="s">
        <v>31</v>
      </c>
      <c r="I7485" s="15">
        <v>5.0</v>
      </c>
      <c r="J7485" s="15">
        <v>2.0</v>
      </c>
      <c r="K7485" s="15">
        <v>3.0</v>
      </c>
      <c r="L7485" s="16" t="s">
        <v>46381</v>
      </c>
      <c r="M7485" s="14" t="s">
        <v>31</v>
      </c>
      <c r="N7485" s="14" t="s">
        <v>1005</v>
      </c>
      <c r="O7485" s="16" t="s">
        <v>1006</v>
      </c>
      <c r="P7485" s="14" t="s">
        <v>46382</v>
      </c>
      <c r="Q7485" s="14" t="s">
        <v>38488</v>
      </c>
      <c r="R7485" s="14" t="s">
        <v>31</v>
      </c>
      <c r="S7485" s="16" t="s">
        <v>46383</v>
      </c>
      <c r="T7485" s="14" t="s">
        <v>1010</v>
      </c>
      <c r="U7485" s="16" t="s">
        <v>46384</v>
      </c>
      <c r="V7485" s="14" t="s">
        <v>46572</v>
      </c>
      <c r="W7485" s="14" t="s">
        <v>46368</v>
      </c>
      <c r="X7485" s="17" t="str">
        <f>HYPERLINK("https://my.pitchbook.com?p=80702-29P","View People Online")</f>
        <v>View People Online</v>
      </c>
    </row>
    <row r="7486">
      <c r="A7486" s="2" t="s">
        <v>46573</v>
      </c>
      <c r="B7486" s="2" t="s">
        <v>46574</v>
      </c>
      <c r="C7486" s="2" t="s">
        <v>46575</v>
      </c>
      <c r="D7486" s="2" t="s">
        <v>46576</v>
      </c>
      <c r="E7486" s="2" t="s">
        <v>46368</v>
      </c>
      <c r="F7486" s="2" t="s">
        <v>1801</v>
      </c>
      <c r="G7486" s="2" t="s">
        <v>46577</v>
      </c>
      <c r="H7486" s="3">
        <v>1.0</v>
      </c>
      <c r="I7486" s="3">
        <v>3.0</v>
      </c>
      <c r="J7486" s="3">
        <v>1.0</v>
      </c>
      <c r="K7486" s="3">
        <v>1.0</v>
      </c>
      <c r="L7486" s="4" t="s">
        <v>46578</v>
      </c>
      <c r="M7486" s="2" t="s">
        <v>46579</v>
      </c>
      <c r="N7486" s="2" t="s">
        <v>75</v>
      </c>
      <c r="O7486" s="4" t="s">
        <v>76</v>
      </c>
      <c r="P7486" s="2" t="s">
        <v>46513</v>
      </c>
      <c r="Q7486" s="2" t="s">
        <v>31</v>
      </c>
      <c r="R7486" s="2" t="s">
        <v>75</v>
      </c>
      <c r="S7486" s="4" t="s">
        <v>4581</v>
      </c>
      <c r="T7486" s="2" t="s">
        <v>66</v>
      </c>
      <c r="U7486" s="4" t="s">
        <v>46514</v>
      </c>
      <c r="V7486" s="2" t="s">
        <v>1801</v>
      </c>
      <c r="W7486" s="2" t="s">
        <v>46368</v>
      </c>
      <c r="X7486" s="5" t="str">
        <f>HYPERLINK("https://my.pitchbook.com?p=358321-24P","View People Online")</f>
        <v>View People Online</v>
      </c>
    </row>
    <row r="7487">
      <c r="A7487" s="6" t="s">
        <v>46580</v>
      </c>
      <c r="B7487" s="6" t="s">
        <v>46581</v>
      </c>
      <c r="C7487" s="6" t="s">
        <v>46582</v>
      </c>
      <c r="D7487" s="6" t="s">
        <v>46583</v>
      </c>
      <c r="E7487" s="6" t="s">
        <v>46368</v>
      </c>
      <c r="F7487" s="6" t="s">
        <v>7624</v>
      </c>
      <c r="G7487" s="6" t="s">
        <v>46584</v>
      </c>
      <c r="H7487" s="7" t="s">
        <v>31</v>
      </c>
      <c r="I7487" s="7">
        <v>2.0</v>
      </c>
      <c r="J7487" s="7">
        <v>1.0</v>
      </c>
      <c r="K7487" s="7">
        <v>1.0</v>
      </c>
      <c r="L7487" s="8" t="s">
        <v>46381</v>
      </c>
      <c r="M7487" s="6" t="s">
        <v>31</v>
      </c>
      <c r="N7487" s="6" t="s">
        <v>1005</v>
      </c>
      <c r="O7487" s="8" t="s">
        <v>1006</v>
      </c>
      <c r="P7487" s="6" t="s">
        <v>46382</v>
      </c>
      <c r="Q7487" s="6" t="s">
        <v>38488</v>
      </c>
      <c r="R7487" s="6" t="s">
        <v>31</v>
      </c>
      <c r="S7487" s="8" t="s">
        <v>46383</v>
      </c>
      <c r="T7487" s="6" t="s">
        <v>1010</v>
      </c>
      <c r="U7487" s="8" t="s">
        <v>46384</v>
      </c>
      <c r="V7487" s="6" t="s">
        <v>46585</v>
      </c>
      <c r="W7487" s="6" t="s">
        <v>46368</v>
      </c>
      <c r="X7487" s="9" t="str">
        <f>HYPERLINK("https://my.pitchbook.com?p=439772-14P","View People Online")</f>
        <v>View People Online</v>
      </c>
    </row>
    <row r="7488">
      <c r="A7488" s="2" t="s">
        <v>46586</v>
      </c>
      <c r="B7488" s="2" t="s">
        <v>46587</v>
      </c>
      <c r="C7488" s="2" t="s">
        <v>7366</v>
      </c>
      <c r="D7488" s="2" t="s">
        <v>740</v>
      </c>
      <c r="E7488" s="2" t="s">
        <v>46588</v>
      </c>
      <c r="F7488" s="2" t="s">
        <v>46589</v>
      </c>
      <c r="G7488" s="2" t="s">
        <v>46590</v>
      </c>
      <c r="H7488" s="3" t="s">
        <v>31</v>
      </c>
      <c r="I7488" s="3">
        <v>1.0</v>
      </c>
      <c r="J7488" s="3">
        <v>1.0</v>
      </c>
      <c r="K7488" s="3" t="s">
        <v>31</v>
      </c>
      <c r="L7488" s="4" t="s">
        <v>46591</v>
      </c>
      <c r="M7488" s="2" t="s">
        <v>46592</v>
      </c>
      <c r="N7488" s="2" t="s">
        <v>1181</v>
      </c>
      <c r="O7488" s="4" t="s">
        <v>1182</v>
      </c>
      <c r="P7488" s="2" t="s">
        <v>46593</v>
      </c>
      <c r="Q7488" s="2" t="s">
        <v>46594</v>
      </c>
      <c r="R7488" s="2" t="s">
        <v>1185</v>
      </c>
      <c r="S7488" s="4" t="s">
        <v>1186</v>
      </c>
      <c r="T7488" s="2" t="s">
        <v>66</v>
      </c>
      <c r="U7488" s="4" t="s">
        <v>46595</v>
      </c>
      <c r="V7488" s="2" t="s">
        <v>46596</v>
      </c>
      <c r="W7488" s="2" t="s">
        <v>46588</v>
      </c>
      <c r="X7488" s="5" t="str">
        <f>HYPERLINK("https://my.pitchbook.com?p=255614-14P","View People Online")</f>
        <v>View People Online</v>
      </c>
    </row>
    <row r="7489">
      <c r="A7489" s="14" t="s">
        <v>46597</v>
      </c>
      <c r="B7489" s="14" t="s">
        <v>46598</v>
      </c>
      <c r="C7489" s="14" t="s">
        <v>4128</v>
      </c>
      <c r="D7489" s="14" t="s">
        <v>23534</v>
      </c>
      <c r="E7489" s="14" t="s">
        <v>46599</v>
      </c>
      <c r="F7489" s="14" t="s">
        <v>46600</v>
      </c>
      <c r="G7489" s="14" t="s">
        <v>46601</v>
      </c>
      <c r="H7489" s="15" t="s">
        <v>31</v>
      </c>
      <c r="I7489" s="15">
        <v>1.0</v>
      </c>
      <c r="J7489" s="15">
        <v>1.0</v>
      </c>
      <c r="K7489" s="15" t="s">
        <v>31</v>
      </c>
      <c r="L7489" s="16" t="s">
        <v>46602</v>
      </c>
      <c r="M7489" s="14" t="s">
        <v>46603</v>
      </c>
      <c r="N7489" s="14" t="s">
        <v>1181</v>
      </c>
      <c r="O7489" s="16" t="s">
        <v>1182</v>
      </c>
      <c r="P7489" s="14" t="s">
        <v>46604</v>
      </c>
      <c r="Q7489" s="14" t="s">
        <v>31</v>
      </c>
      <c r="R7489" s="14" t="s">
        <v>1185</v>
      </c>
      <c r="S7489" s="16" t="s">
        <v>1186</v>
      </c>
      <c r="T7489" s="14" t="s">
        <v>66</v>
      </c>
      <c r="U7489" s="16" t="s">
        <v>46605</v>
      </c>
      <c r="V7489" s="14" t="s">
        <v>46606</v>
      </c>
      <c r="W7489" s="14" t="s">
        <v>46599</v>
      </c>
      <c r="X7489" s="17" t="str">
        <f>HYPERLINK("https://my.pitchbook.com?p=437429-08P","View People Online")</f>
        <v>View People Online</v>
      </c>
    </row>
    <row r="7490">
      <c r="A7490" s="10" t="s">
        <v>46607</v>
      </c>
      <c r="B7490" s="10" t="s">
        <v>46608</v>
      </c>
      <c r="C7490" s="10" t="s">
        <v>14754</v>
      </c>
      <c r="D7490" s="10" t="s">
        <v>5692</v>
      </c>
      <c r="E7490" s="10" t="s">
        <v>46599</v>
      </c>
      <c r="F7490" s="10" t="s">
        <v>371</v>
      </c>
      <c r="G7490" s="10" t="s">
        <v>46609</v>
      </c>
      <c r="H7490" s="11" t="s">
        <v>31</v>
      </c>
      <c r="I7490" s="11">
        <v>1.0</v>
      </c>
      <c r="J7490" s="11">
        <v>1.0</v>
      </c>
      <c r="K7490" s="11" t="s">
        <v>31</v>
      </c>
      <c r="L7490" s="12" t="s">
        <v>46610</v>
      </c>
      <c r="M7490" s="10" t="s">
        <v>46611</v>
      </c>
      <c r="N7490" s="10" t="s">
        <v>1181</v>
      </c>
      <c r="O7490" s="12" t="s">
        <v>1182</v>
      </c>
      <c r="P7490" s="10" t="s">
        <v>46604</v>
      </c>
      <c r="Q7490" s="10" t="s">
        <v>31</v>
      </c>
      <c r="R7490" s="10" t="s">
        <v>1185</v>
      </c>
      <c r="S7490" s="12" t="s">
        <v>1186</v>
      </c>
      <c r="T7490" s="10" t="s">
        <v>66</v>
      </c>
      <c r="U7490" s="12" t="s">
        <v>46605</v>
      </c>
      <c r="V7490" s="10" t="s">
        <v>46204</v>
      </c>
      <c r="W7490" s="10" t="s">
        <v>46599</v>
      </c>
      <c r="X7490" s="13" t="str">
        <f>HYPERLINK("https://my.pitchbook.com?p=398325-70P","View People Online")</f>
        <v>View People Online</v>
      </c>
    </row>
    <row r="7491">
      <c r="A7491" s="14" t="s">
        <v>46612</v>
      </c>
      <c r="B7491" s="14" t="s">
        <v>46613</v>
      </c>
      <c r="C7491" s="14" t="s">
        <v>32118</v>
      </c>
      <c r="D7491" s="14" t="s">
        <v>46614</v>
      </c>
      <c r="E7491" s="14" t="s">
        <v>46599</v>
      </c>
      <c r="F7491" s="14" t="s">
        <v>371</v>
      </c>
      <c r="G7491" s="14" t="s">
        <v>46615</v>
      </c>
      <c r="H7491" s="15" t="s">
        <v>31</v>
      </c>
      <c r="I7491" s="15">
        <v>1.0</v>
      </c>
      <c r="J7491" s="15">
        <v>1.0</v>
      </c>
      <c r="K7491" s="15" t="s">
        <v>31</v>
      </c>
      <c r="L7491" s="16" t="s">
        <v>46616</v>
      </c>
      <c r="M7491" s="14" t="s">
        <v>46617</v>
      </c>
      <c r="N7491" s="14" t="s">
        <v>1181</v>
      </c>
      <c r="O7491" s="16" t="s">
        <v>1182</v>
      </c>
      <c r="P7491" s="14" t="s">
        <v>46604</v>
      </c>
      <c r="Q7491" s="14" t="s">
        <v>31</v>
      </c>
      <c r="R7491" s="14" t="s">
        <v>1185</v>
      </c>
      <c r="S7491" s="16" t="s">
        <v>1186</v>
      </c>
      <c r="T7491" s="14" t="s">
        <v>66</v>
      </c>
      <c r="U7491" s="16" t="s">
        <v>46605</v>
      </c>
      <c r="V7491" s="14" t="s">
        <v>46618</v>
      </c>
      <c r="W7491" s="14" t="s">
        <v>46599</v>
      </c>
      <c r="X7491" s="17" t="str">
        <f>HYPERLINK("https://my.pitchbook.com?p=174505-87P","View People Online")</f>
        <v>View People Online</v>
      </c>
    </row>
    <row r="7492">
      <c r="A7492" s="2" t="s">
        <v>46619</v>
      </c>
      <c r="B7492" s="2" t="s">
        <v>46620</v>
      </c>
      <c r="C7492" s="2" t="s">
        <v>4943</v>
      </c>
      <c r="D7492" s="2" t="s">
        <v>1490</v>
      </c>
      <c r="E7492" s="2" t="s">
        <v>46599</v>
      </c>
      <c r="F7492" s="2" t="s">
        <v>270</v>
      </c>
      <c r="G7492" s="2" t="s">
        <v>46621</v>
      </c>
      <c r="H7492" s="3" t="s">
        <v>31</v>
      </c>
      <c r="I7492" s="3">
        <v>1.0</v>
      </c>
      <c r="J7492" s="3">
        <v>1.0</v>
      </c>
      <c r="K7492" s="3" t="s">
        <v>31</v>
      </c>
      <c r="L7492" s="4" t="s">
        <v>46602</v>
      </c>
      <c r="M7492" s="2" t="s">
        <v>46622</v>
      </c>
      <c r="N7492" s="2" t="s">
        <v>1181</v>
      </c>
      <c r="O7492" s="4" t="s">
        <v>1182</v>
      </c>
      <c r="P7492" s="2" t="s">
        <v>46604</v>
      </c>
      <c r="Q7492" s="2" t="s">
        <v>31</v>
      </c>
      <c r="R7492" s="2" t="s">
        <v>1185</v>
      </c>
      <c r="S7492" s="4" t="s">
        <v>1186</v>
      </c>
      <c r="T7492" s="2" t="s">
        <v>66</v>
      </c>
      <c r="U7492" s="4" t="s">
        <v>46605</v>
      </c>
      <c r="V7492" s="2" t="s">
        <v>46623</v>
      </c>
      <c r="W7492" s="2" t="s">
        <v>46599</v>
      </c>
      <c r="X7492" s="5" t="str">
        <f>HYPERLINK("https://my.pitchbook.com?p=396726-22P","View People Online")</f>
        <v>View People Online</v>
      </c>
    </row>
    <row r="7493">
      <c r="A7493" s="6" t="s">
        <v>46624</v>
      </c>
      <c r="B7493" s="6" t="s">
        <v>46625</v>
      </c>
      <c r="C7493" s="6" t="s">
        <v>1449</v>
      </c>
      <c r="D7493" s="6" t="s">
        <v>46626</v>
      </c>
      <c r="E7493" s="6" t="s">
        <v>46599</v>
      </c>
      <c r="F7493" s="6" t="s">
        <v>270</v>
      </c>
      <c r="G7493" s="6" t="s">
        <v>46627</v>
      </c>
      <c r="H7493" s="7" t="s">
        <v>31</v>
      </c>
      <c r="I7493" s="7">
        <v>1.0</v>
      </c>
      <c r="J7493" s="7">
        <v>1.0</v>
      </c>
      <c r="K7493" s="7" t="s">
        <v>31</v>
      </c>
      <c r="L7493" s="8" t="s">
        <v>46628</v>
      </c>
      <c r="M7493" s="6" t="s">
        <v>46629</v>
      </c>
      <c r="N7493" s="6" t="s">
        <v>1181</v>
      </c>
      <c r="O7493" s="8" t="s">
        <v>1182</v>
      </c>
      <c r="P7493" s="6" t="s">
        <v>46604</v>
      </c>
      <c r="Q7493" s="6" t="s">
        <v>31</v>
      </c>
      <c r="R7493" s="6" t="s">
        <v>1185</v>
      </c>
      <c r="S7493" s="8" t="s">
        <v>1186</v>
      </c>
      <c r="T7493" s="6" t="s">
        <v>66</v>
      </c>
      <c r="U7493" s="8" t="s">
        <v>46605</v>
      </c>
      <c r="V7493" s="6" t="s">
        <v>662</v>
      </c>
      <c r="W7493" s="6" t="s">
        <v>46599</v>
      </c>
      <c r="X7493" s="9" t="str">
        <f>HYPERLINK("https://my.pitchbook.com?p=378080-11P","View People Online")</f>
        <v>View People Online</v>
      </c>
    </row>
    <row r="7494">
      <c r="A7494" s="10" t="s">
        <v>46630</v>
      </c>
      <c r="B7494" s="10" t="s">
        <v>46631</v>
      </c>
      <c r="C7494" s="10" t="s">
        <v>3953</v>
      </c>
      <c r="D7494" s="10" t="s">
        <v>4098</v>
      </c>
      <c r="E7494" s="10" t="s">
        <v>46599</v>
      </c>
      <c r="F7494" s="10" t="s">
        <v>548</v>
      </c>
      <c r="G7494" s="10" t="s">
        <v>46632</v>
      </c>
      <c r="H7494" s="11" t="s">
        <v>31</v>
      </c>
      <c r="I7494" s="11">
        <v>1.0</v>
      </c>
      <c r="J7494" s="11">
        <v>1.0</v>
      </c>
      <c r="K7494" s="11" t="s">
        <v>31</v>
      </c>
      <c r="L7494" s="12" t="s">
        <v>46633</v>
      </c>
      <c r="M7494" s="10" t="s">
        <v>46634</v>
      </c>
      <c r="N7494" s="10" t="s">
        <v>1181</v>
      </c>
      <c r="O7494" s="12" t="s">
        <v>1182</v>
      </c>
      <c r="P7494" s="10" t="s">
        <v>46604</v>
      </c>
      <c r="Q7494" s="10" t="s">
        <v>31</v>
      </c>
      <c r="R7494" s="10" t="s">
        <v>1185</v>
      </c>
      <c r="S7494" s="12" t="s">
        <v>1186</v>
      </c>
      <c r="T7494" s="10" t="s">
        <v>66</v>
      </c>
      <c r="U7494" s="12" t="s">
        <v>46605</v>
      </c>
      <c r="V7494" s="10" t="s">
        <v>46635</v>
      </c>
      <c r="W7494" s="10" t="s">
        <v>46599</v>
      </c>
      <c r="X7494" s="13" t="str">
        <f>HYPERLINK("https://my.pitchbook.com?p=209037-88P","View People Online")</f>
        <v>View People Online</v>
      </c>
    </row>
    <row r="7495">
      <c r="A7495" s="14" t="s">
        <v>46636</v>
      </c>
      <c r="B7495" s="14" t="s">
        <v>46637</v>
      </c>
      <c r="C7495" s="14" t="s">
        <v>46638</v>
      </c>
      <c r="D7495" s="14" t="s">
        <v>46639</v>
      </c>
      <c r="E7495" s="14" t="s">
        <v>46599</v>
      </c>
      <c r="F7495" s="14" t="s">
        <v>548</v>
      </c>
      <c r="G7495" s="14" t="s">
        <v>46640</v>
      </c>
      <c r="H7495" s="15" t="s">
        <v>31</v>
      </c>
      <c r="I7495" s="15">
        <v>1.0</v>
      </c>
      <c r="J7495" s="15">
        <v>1.0</v>
      </c>
      <c r="K7495" s="15" t="s">
        <v>31</v>
      </c>
      <c r="L7495" s="16" t="s">
        <v>46641</v>
      </c>
      <c r="M7495" s="14" t="s">
        <v>46642</v>
      </c>
      <c r="N7495" s="14" t="s">
        <v>1181</v>
      </c>
      <c r="O7495" s="16" t="s">
        <v>1182</v>
      </c>
      <c r="P7495" s="14" t="s">
        <v>46604</v>
      </c>
      <c r="Q7495" s="14" t="s">
        <v>31</v>
      </c>
      <c r="R7495" s="14" t="s">
        <v>1185</v>
      </c>
      <c r="S7495" s="16" t="s">
        <v>1186</v>
      </c>
      <c r="T7495" s="14" t="s">
        <v>66</v>
      </c>
      <c r="U7495" s="16" t="s">
        <v>46605</v>
      </c>
      <c r="V7495" s="14" t="s">
        <v>46643</v>
      </c>
      <c r="W7495" s="14" t="s">
        <v>46599</v>
      </c>
      <c r="X7495" s="17" t="str">
        <f>HYPERLINK("https://my.pitchbook.com?p=398319-22P","View People Online")</f>
        <v>View People Online</v>
      </c>
    </row>
    <row r="7496">
      <c r="A7496" s="2" t="s">
        <v>46644</v>
      </c>
      <c r="B7496" s="2" t="s">
        <v>46645</v>
      </c>
      <c r="C7496" s="2" t="s">
        <v>1323</v>
      </c>
      <c r="D7496" s="2" t="s">
        <v>46646</v>
      </c>
      <c r="E7496" s="2" t="s">
        <v>46599</v>
      </c>
      <c r="F7496" s="2" t="s">
        <v>371</v>
      </c>
      <c r="G7496" s="2" t="s">
        <v>46647</v>
      </c>
      <c r="H7496" s="3" t="s">
        <v>31</v>
      </c>
      <c r="I7496" s="3">
        <v>1.0</v>
      </c>
      <c r="J7496" s="3">
        <v>1.0</v>
      </c>
      <c r="K7496" s="3" t="s">
        <v>31</v>
      </c>
      <c r="L7496" s="4" t="s">
        <v>46648</v>
      </c>
      <c r="M7496" s="2" t="s">
        <v>46649</v>
      </c>
      <c r="N7496" s="2" t="s">
        <v>1181</v>
      </c>
      <c r="O7496" s="4" t="s">
        <v>1182</v>
      </c>
      <c r="P7496" s="2" t="s">
        <v>46604</v>
      </c>
      <c r="Q7496" s="2" t="s">
        <v>31</v>
      </c>
      <c r="R7496" s="2" t="s">
        <v>1185</v>
      </c>
      <c r="S7496" s="4" t="s">
        <v>1186</v>
      </c>
      <c r="T7496" s="2" t="s">
        <v>66</v>
      </c>
      <c r="U7496" s="4" t="s">
        <v>46605</v>
      </c>
      <c r="V7496" s="2" t="s">
        <v>46204</v>
      </c>
      <c r="W7496" s="2" t="s">
        <v>46599</v>
      </c>
      <c r="X7496" s="5" t="str">
        <f>HYPERLINK("https://my.pitchbook.com?p=398322-73P","View People Online")</f>
        <v>View People Online</v>
      </c>
    </row>
    <row r="7497">
      <c r="A7497" s="6" t="s">
        <v>46650</v>
      </c>
      <c r="B7497" s="6" t="s">
        <v>46651</v>
      </c>
      <c r="C7497" s="6" t="s">
        <v>8834</v>
      </c>
      <c r="D7497" s="6" t="s">
        <v>15840</v>
      </c>
      <c r="E7497" s="6" t="s">
        <v>46599</v>
      </c>
      <c r="F7497" s="6" t="s">
        <v>3740</v>
      </c>
      <c r="G7497" s="6" t="s">
        <v>46652</v>
      </c>
      <c r="H7497" s="7" t="s">
        <v>31</v>
      </c>
      <c r="I7497" s="7">
        <v>1.0</v>
      </c>
      <c r="J7497" s="7">
        <v>1.0</v>
      </c>
      <c r="K7497" s="7" t="s">
        <v>31</v>
      </c>
      <c r="L7497" s="8" t="s">
        <v>46602</v>
      </c>
      <c r="M7497" s="6" t="s">
        <v>46653</v>
      </c>
      <c r="N7497" s="6" t="s">
        <v>1181</v>
      </c>
      <c r="O7497" s="8" t="s">
        <v>1182</v>
      </c>
      <c r="P7497" s="6" t="s">
        <v>46604</v>
      </c>
      <c r="Q7497" s="6" t="s">
        <v>31</v>
      </c>
      <c r="R7497" s="6" t="s">
        <v>1185</v>
      </c>
      <c r="S7497" s="8" t="s">
        <v>1186</v>
      </c>
      <c r="T7497" s="6" t="s">
        <v>66</v>
      </c>
      <c r="U7497" s="8" t="s">
        <v>46605</v>
      </c>
      <c r="V7497" s="6" t="s">
        <v>46654</v>
      </c>
      <c r="W7497" s="6" t="s">
        <v>46599</v>
      </c>
      <c r="X7497" s="9" t="str">
        <f>HYPERLINK("https://my.pitchbook.com?p=437428-63P","View People Online")</f>
        <v>View People Online</v>
      </c>
    </row>
    <row r="7498">
      <c r="A7498" s="10" t="s">
        <v>46655</v>
      </c>
      <c r="B7498" s="10" t="s">
        <v>46656</v>
      </c>
      <c r="C7498" s="10" t="s">
        <v>2871</v>
      </c>
      <c r="D7498" s="10" t="s">
        <v>46657</v>
      </c>
      <c r="E7498" s="10" t="s">
        <v>46599</v>
      </c>
      <c r="F7498" s="10" t="s">
        <v>548</v>
      </c>
      <c r="G7498" s="10" t="s">
        <v>46658</v>
      </c>
      <c r="H7498" s="11" t="s">
        <v>31</v>
      </c>
      <c r="I7498" s="11">
        <v>1.0</v>
      </c>
      <c r="J7498" s="11">
        <v>1.0</v>
      </c>
      <c r="K7498" s="11" t="s">
        <v>31</v>
      </c>
      <c r="L7498" s="12" t="s">
        <v>46602</v>
      </c>
      <c r="M7498" s="10" t="s">
        <v>46659</v>
      </c>
      <c r="N7498" s="10" t="s">
        <v>1181</v>
      </c>
      <c r="O7498" s="12" t="s">
        <v>1182</v>
      </c>
      <c r="P7498" s="10" t="s">
        <v>46604</v>
      </c>
      <c r="Q7498" s="10" t="s">
        <v>31</v>
      </c>
      <c r="R7498" s="10" t="s">
        <v>1185</v>
      </c>
      <c r="S7498" s="12" t="s">
        <v>1186</v>
      </c>
      <c r="T7498" s="10" t="s">
        <v>66</v>
      </c>
      <c r="U7498" s="12" t="s">
        <v>46605</v>
      </c>
      <c r="V7498" s="10" t="s">
        <v>46660</v>
      </c>
      <c r="W7498" s="10" t="s">
        <v>46599</v>
      </c>
      <c r="X7498" s="13" t="str">
        <f>HYPERLINK("https://my.pitchbook.com?p=437430-16P","View People Online")</f>
        <v>View People Online</v>
      </c>
    </row>
    <row r="7499">
      <c r="A7499" s="14" t="s">
        <v>46661</v>
      </c>
      <c r="B7499" s="14" t="s">
        <v>46662</v>
      </c>
      <c r="C7499" s="14" t="s">
        <v>5113</v>
      </c>
      <c r="D7499" s="14" t="s">
        <v>46663</v>
      </c>
      <c r="E7499" s="14" t="s">
        <v>46599</v>
      </c>
      <c r="F7499" s="14" t="s">
        <v>312</v>
      </c>
      <c r="G7499" s="14" t="s">
        <v>46664</v>
      </c>
      <c r="H7499" s="15" t="s">
        <v>31</v>
      </c>
      <c r="I7499" s="15">
        <v>1.0</v>
      </c>
      <c r="J7499" s="15">
        <v>1.0</v>
      </c>
      <c r="K7499" s="15" t="s">
        <v>31</v>
      </c>
      <c r="L7499" s="16" t="s">
        <v>46665</v>
      </c>
      <c r="M7499" s="14" t="s">
        <v>46666</v>
      </c>
      <c r="N7499" s="14" t="s">
        <v>1181</v>
      </c>
      <c r="O7499" s="16" t="s">
        <v>1182</v>
      </c>
      <c r="P7499" s="14" t="s">
        <v>46604</v>
      </c>
      <c r="Q7499" s="14" t="s">
        <v>31</v>
      </c>
      <c r="R7499" s="14" t="s">
        <v>1185</v>
      </c>
      <c r="S7499" s="16" t="s">
        <v>1186</v>
      </c>
      <c r="T7499" s="14" t="s">
        <v>66</v>
      </c>
      <c r="U7499" s="16" t="s">
        <v>46605</v>
      </c>
      <c r="V7499" s="14" t="s">
        <v>25270</v>
      </c>
      <c r="W7499" s="14" t="s">
        <v>46599</v>
      </c>
      <c r="X7499" s="17" t="str">
        <f>HYPERLINK("https://my.pitchbook.com?p=398327-77P","View People Online")</f>
        <v>View People Online</v>
      </c>
    </row>
    <row r="7500">
      <c r="A7500" s="10" t="s">
        <v>46667</v>
      </c>
      <c r="B7500" s="10" t="s">
        <v>46668</v>
      </c>
      <c r="C7500" s="10" t="s">
        <v>19268</v>
      </c>
      <c r="D7500" s="10" t="s">
        <v>46669</v>
      </c>
      <c r="E7500" s="10" t="s">
        <v>46599</v>
      </c>
      <c r="F7500" s="10" t="s">
        <v>46670</v>
      </c>
      <c r="G7500" s="10" t="s">
        <v>46671</v>
      </c>
      <c r="H7500" s="11" t="s">
        <v>31</v>
      </c>
      <c r="I7500" s="11">
        <v>1.0</v>
      </c>
      <c r="J7500" s="11">
        <v>1.0</v>
      </c>
      <c r="K7500" s="11" t="s">
        <v>31</v>
      </c>
      <c r="L7500" s="12" t="s">
        <v>46602</v>
      </c>
      <c r="M7500" s="10" t="s">
        <v>46672</v>
      </c>
      <c r="N7500" s="10" t="s">
        <v>1181</v>
      </c>
      <c r="O7500" s="12" t="s">
        <v>1182</v>
      </c>
      <c r="P7500" s="10" t="s">
        <v>46604</v>
      </c>
      <c r="Q7500" s="10" t="s">
        <v>31</v>
      </c>
      <c r="R7500" s="10" t="s">
        <v>1185</v>
      </c>
      <c r="S7500" s="12" t="s">
        <v>1186</v>
      </c>
      <c r="T7500" s="10" t="s">
        <v>66</v>
      </c>
      <c r="U7500" s="12" t="s">
        <v>46605</v>
      </c>
      <c r="V7500" s="10" t="s">
        <v>46673</v>
      </c>
      <c r="W7500" s="10" t="s">
        <v>46599</v>
      </c>
      <c r="X7500" s="13" t="str">
        <f>HYPERLINK("https://my.pitchbook.com?p=437432-68P","View People Online")</f>
        <v>View People Online</v>
      </c>
    </row>
    <row r="7501">
      <c r="A7501" s="6" t="s">
        <v>46674</v>
      </c>
      <c r="B7501" s="6" t="s">
        <v>46675</v>
      </c>
      <c r="C7501" s="6" t="s">
        <v>27095</v>
      </c>
      <c r="D7501" s="6" t="s">
        <v>46676</v>
      </c>
      <c r="E7501" s="6" t="s">
        <v>46599</v>
      </c>
      <c r="F7501" s="6" t="s">
        <v>5206</v>
      </c>
      <c r="G7501" s="6" t="s">
        <v>46677</v>
      </c>
      <c r="H7501" s="7" t="s">
        <v>31</v>
      </c>
      <c r="I7501" s="7">
        <v>1.0</v>
      </c>
      <c r="J7501" s="7">
        <v>1.0</v>
      </c>
      <c r="K7501" s="7" t="s">
        <v>31</v>
      </c>
      <c r="L7501" s="8" t="s">
        <v>46678</v>
      </c>
      <c r="M7501" s="6" t="s">
        <v>46679</v>
      </c>
      <c r="N7501" s="6" t="s">
        <v>1181</v>
      </c>
      <c r="O7501" s="8" t="s">
        <v>1182</v>
      </c>
      <c r="P7501" s="6" t="s">
        <v>46604</v>
      </c>
      <c r="Q7501" s="6" t="s">
        <v>31</v>
      </c>
      <c r="R7501" s="6" t="s">
        <v>1185</v>
      </c>
      <c r="S7501" s="8" t="s">
        <v>1186</v>
      </c>
      <c r="T7501" s="6" t="s">
        <v>66</v>
      </c>
      <c r="U7501" s="8" t="s">
        <v>46605</v>
      </c>
      <c r="V7501" s="6" t="s">
        <v>46680</v>
      </c>
      <c r="W7501" s="6" t="s">
        <v>46599</v>
      </c>
      <c r="X7501" s="9" t="str">
        <f>HYPERLINK("https://my.pitchbook.com?p=209037-52P","View People Online")</f>
        <v>View People Online</v>
      </c>
    </row>
    <row r="7502">
      <c r="A7502" s="10" t="s">
        <v>46681</v>
      </c>
      <c r="B7502" s="10" t="s">
        <v>46682</v>
      </c>
      <c r="C7502" s="10" t="s">
        <v>46683</v>
      </c>
      <c r="D7502" s="10" t="s">
        <v>46684</v>
      </c>
      <c r="E7502" s="10" t="s">
        <v>46599</v>
      </c>
      <c r="F7502" s="10" t="s">
        <v>371</v>
      </c>
      <c r="G7502" s="10" t="s">
        <v>46685</v>
      </c>
      <c r="H7502" s="11" t="s">
        <v>31</v>
      </c>
      <c r="I7502" s="11">
        <v>1.0</v>
      </c>
      <c r="J7502" s="11">
        <v>1.0</v>
      </c>
      <c r="K7502" s="11" t="s">
        <v>31</v>
      </c>
      <c r="L7502" s="12" t="s">
        <v>46686</v>
      </c>
      <c r="M7502" s="10" t="s">
        <v>46687</v>
      </c>
      <c r="N7502" s="10" t="s">
        <v>1181</v>
      </c>
      <c r="O7502" s="12" t="s">
        <v>1182</v>
      </c>
      <c r="P7502" s="10" t="s">
        <v>46604</v>
      </c>
      <c r="Q7502" s="10" t="s">
        <v>31</v>
      </c>
      <c r="R7502" s="10" t="s">
        <v>1185</v>
      </c>
      <c r="S7502" s="12" t="s">
        <v>1186</v>
      </c>
      <c r="T7502" s="10" t="s">
        <v>66</v>
      </c>
      <c r="U7502" s="12" t="s">
        <v>46605</v>
      </c>
      <c r="V7502" s="10" t="s">
        <v>46688</v>
      </c>
      <c r="W7502" s="10" t="s">
        <v>46599</v>
      </c>
      <c r="X7502" s="13" t="str">
        <f>HYPERLINK("https://my.pitchbook.com?p=398321-56P","View People Online")</f>
        <v>View People Online</v>
      </c>
    </row>
    <row r="7503">
      <c r="A7503" s="6" t="s">
        <v>46689</v>
      </c>
      <c r="B7503" s="6" t="s">
        <v>46690</v>
      </c>
      <c r="C7503" s="6" t="s">
        <v>46691</v>
      </c>
      <c r="D7503" s="6" t="s">
        <v>5107</v>
      </c>
      <c r="E7503" s="6" t="s">
        <v>46599</v>
      </c>
      <c r="F7503" s="6" t="s">
        <v>1459</v>
      </c>
      <c r="G7503" s="6" t="s">
        <v>46692</v>
      </c>
      <c r="H7503" s="7" t="s">
        <v>31</v>
      </c>
      <c r="I7503" s="7">
        <v>2.0</v>
      </c>
      <c r="J7503" s="7">
        <v>1.0</v>
      </c>
      <c r="K7503" s="7">
        <v>1.0</v>
      </c>
      <c r="L7503" s="8" t="s">
        <v>46602</v>
      </c>
      <c r="M7503" s="6" t="s">
        <v>46693</v>
      </c>
      <c r="N7503" s="6" t="s">
        <v>1181</v>
      </c>
      <c r="O7503" s="8" t="s">
        <v>1182</v>
      </c>
      <c r="P7503" s="6" t="s">
        <v>46604</v>
      </c>
      <c r="Q7503" s="6" t="s">
        <v>31</v>
      </c>
      <c r="R7503" s="6" t="s">
        <v>1185</v>
      </c>
      <c r="S7503" s="8" t="s">
        <v>1186</v>
      </c>
      <c r="T7503" s="6" t="s">
        <v>66</v>
      </c>
      <c r="U7503" s="8" t="s">
        <v>46605</v>
      </c>
      <c r="V7503" s="6" t="s">
        <v>1612</v>
      </c>
      <c r="W7503" s="6" t="s">
        <v>46599</v>
      </c>
      <c r="X7503" s="9" t="str">
        <f>HYPERLINK("https://my.pitchbook.com?p=437427-64P","View People Online")</f>
        <v>View People Online</v>
      </c>
    </row>
    <row r="7504">
      <c r="A7504" s="2" t="s">
        <v>46694</v>
      </c>
      <c r="B7504" s="2" t="s">
        <v>46695</v>
      </c>
      <c r="C7504" s="2" t="s">
        <v>46696</v>
      </c>
      <c r="D7504" s="2" t="s">
        <v>46697</v>
      </c>
      <c r="E7504" s="2" t="s">
        <v>46599</v>
      </c>
      <c r="F7504" s="2" t="s">
        <v>371</v>
      </c>
      <c r="G7504" s="2" t="s">
        <v>46698</v>
      </c>
      <c r="H7504" s="3" t="s">
        <v>31</v>
      </c>
      <c r="I7504" s="3">
        <v>1.0</v>
      </c>
      <c r="J7504" s="3">
        <v>1.0</v>
      </c>
      <c r="K7504" s="3" t="s">
        <v>31</v>
      </c>
      <c r="L7504" s="4" t="s">
        <v>46699</v>
      </c>
      <c r="M7504" s="2" t="s">
        <v>46700</v>
      </c>
      <c r="N7504" s="2" t="s">
        <v>1181</v>
      </c>
      <c r="O7504" s="4" t="s">
        <v>1182</v>
      </c>
      <c r="P7504" s="2" t="s">
        <v>46604</v>
      </c>
      <c r="Q7504" s="2" t="s">
        <v>31</v>
      </c>
      <c r="R7504" s="2" t="s">
        <v>1185</v>
      </c>
      <c r="S7504" s="4" t="s">
        <v>1186</v>
      </c>
      <c r="T7504" s="2" t="s">
        <v>66</v>
      </c>
      <c r="U7504" s="4" t="s">
        <v>46605</v>
      </c>
      <c r="V7504" s="2" t="s">
        <v>46701</v>
      </c>
      <c r="W7504" s="2" t="s">
        <v>46599</v>
      </c>
      <c r="X7504" s="5" t="str">
        <f>HYPERLINK("https://my.pitchbook.com?p=158849-92P","View People Online")</f>
        <v>View People Online</v>
      </c>
    </row>
    <row r="7505">
      <c r="A7505" s="6" t="s">
        <v>46702</v>
      </c>
      <c r="B7505" s="6" t="s">
        <v>46703</v>
      </c>
      <c r="C7505" s="6" t="s">
        <v>2412</v>
      </c>
      <c r="D7505" s="6" t="s">
        <v>16230</v>
      </c>
      <c r="E7505" s="6" t="s">
        <v>46599</v>
      </c>
      <c r="F7505" s="6" t="s">
        <v>312</v>
      </c>
      <c r="G7505" s="6" t="s">
        <v>46704</v>
      </c>
      <c r="H7505" s="7" t="s">
        <v>31</v>
      </c>
      <c r="I7505" s="7">
        <v>1.0</v>
      </c>
      <c r="J7505" s="7">
        <v>1.0</v>
      </c>
      <c r="K7505" s="7" t="s">
        <v>31</v>
      </c>
      <c r="L7505" s="8" t="s">
        <v>46705</v>
      </c>
      <c r="M7505" s="6" t="s">
        <v>46706</v>
      </c>
      <c r="N7505" s="6" t="s">
        <v>1181</v>
      </c>
      <c r="O7505" s="8" t="s">
        <v>1182</v>
      </c>
      <c r="P7505" s="6" t="s">
        <v>46604</v>
      </c>
      <c r="Q7505" s="6" t="s">
        <v>31</v>
      </c>
      <c r="R7505" s="6" t="s">
        <v>1185</v>
      </c>
      <c r="S7505" s="8" t="s">
        <v>1186</v>
      </c>
      <c r="T7505" s="6" t="s">
        <v>66</v>
      </c>
      <c r="U7505" s="8" t="s">
        <v>46605</v>
      </c>
      <c r="V7505" s="6" t="s">
        <v>46707</v>
      </c>
      <c r="W7505" s="6" t="s">
        <v>46599</v>
      </c>
      <c r="X7505" s="9" t="str">
        <f>HYPERLINK("https://my.pitchbook.com?p=398326-06P","View People Online")</f>
        <v>View People Online</v>
      </c>
    </row>
    <row r="7506">
      <c r="A7506" s="10" t="s">
        <v>46708</v>
      </c>
      <c r="B7506" s="10" t="s">
        <v>46709</v>
      </c>
      <c r="C7506" s="10" t="s">
        <v>536</v>
      </c>
      <c r="D7506" s="10" t="s">
        <v>46710</v>
      </c>
      <c r="E7506" s="10" t="s">
        <v>46599</v>
      </c>
      <c r="F7506" s="10" t="s">
        <v>371</v>
      </c>
      <c r="G7506" s="10" t="s">
        <v>46711</v>
      </c>
      <c r="H7506" s="11" t="s">
        <v>31</v>
      </c>
      <c r="I7506" s="11">
        <v>1.0</v>
      </c>
      <c r="J7506" s="11">
        <v>1.0</v>
      </c>
      <c r="K7506" s="11" t="s">
        <v>31</v>
      </c>
      <c r="L7506" s="12" t="s">
        <v>46712</v>
      </c>
      <c r="M7506" s="10" t="s">
        <v>46713</v>
      </c>
      <c r="N7506" s="10" t="s">
        <v>1181</v>
      </c>
      <c r="O7506" s="12" t="s">
        <v>1182</v>
      </c>
      <c r="P7506" s="10" t="s">
        <v>46604</v>
      </c>
      <c r="Q7506" s="10" t="s">
        <v>31</v>
      </c>
      <c r="R7506" s="10" t="s">
        <v>1185</v>
      </c>
      <c r="S7506" s="12" t="s">
        <v>1186</v>
      </c>
      <c r="T7506" s="10" t="s">
        <v>66</v>
      </c>
      <c r="U7506" s="12" t="s">
        <v>46605</v>
      </c>
      <c r="V7506" s="10" t="s">
        <v>46204</v>
      </c>
      <c r="W7506" s="10" t="s">
        <v>46599</v>
      </c>
      <c r="X7506" s="13" t="str">
        <f>HYPERLINK("https://my.pitchbook.com?p=398323-90P","View People Online")</f>
        <v>View People Online</v>
      </c>
    </row>
    <row r="7507">
      <c r="A7507" s="14" t="s">
        <v>46714</v>
      </c>
      <c r="B7507" s="14" t="s">
        <v>46715</v>
      </c>
      <c r="C7507" s="14" t="s">
        <v>46716</v>
      </c>
      <c r="D7507" s="14" t="s">
        <v>46717</v>
      </c>
      <c r="E7507" s="14" t="s">
        <v>46599</v>
      </c>
      <c r="F7507" s="14" t="s">
        <v>312</v>
      </c>
      <c r="G7507" s="14" t="s">
        <v>46718</v>
      </c>
      <c r="H7507" s="15" t="s">
        <v>31</v>
      </c>
      <c r="I7507" s="15">
        <v>1.0</v>
      </c>
      <c r="J7507" s="15">
        <v>1.0</v>
      </c>
      <c r="K7507" s="15" t="s">
        <v>31</v>
      </c>
      <c r="L7507" s="16" t="s">
        <v>46719</v>
      </c>
      <c r="M7507" s="14" t="s">
        <v>46720</v>
      </c>
      <c r="N7507" s="14" t="s">
        <v>1181</v>
      </c>
      <c r="O7507" s="16" t="s">
        <v>1182</v>
      </c>
      <c r="P7507" s="14" t="s">
        <v>46604</v>
      </c>
      <c r="Q7507" s="14" t="s">
        <v>31</v>
      </c>
      <c r="R7507" s="14" t="s">
        <v>1185</v>
      </c>
      <c r="S7507" s="16" t="s">
        <v>1186</v>
      </c>
      <c r="T7507" s="14" t="s">
        <v>66</v>
      </c>
      <c r="U7507" s="16" t="s">
        <v>46605</v>
      </c>
      <c r="V7507" s="14" t="s">
        <v>46721</v>
      </c>
      <c r="W7507" s="14" t="s">
        <v>46599</v>
      </c>
      <c r="X7507" s="17" t="str">
        <f>HYPERLINK("https://my.pitchbook.com?p=398326-51P","View People Online")</f>
        <v>View People Online</v>
      </c>
    </row>
    <row r="7508">
      <c r="A7508" s="2" t="s">
        <v>46722</v>
      </c>
      <c r="B7508" s="2" t="s">
        <v>46723</v>
      </c>
      <c r="C7508" s="2" t="s">
        <v>1411</v>
      </c>
      <c r="D7508" s="2" t="s">
        <v>46724</v>
      </c>
      <c r="E7508" s="2" t="s">
        <v>46599</v>
      </c>
      <c r="F7508" s="2" t="s">
        <v>43271</v>
      </c>
      <c r="G7508" s="2" t="s">
        <v>46725</v>
      </c>
      <c r="H7508" s="3" t="s">
        <v>31</v>
      </c>
      <c r="I7508" s="3">
        <v>1.0</v>
      </c>
      <c r="J7508" s="3">
        <v>1.0</v>
      </c>
      <c r="K7508" s="3" t="s">
        <v>31</v>
      </c>
      <c r="L7508" s="4" t="s">
        <v>46602</v>
      </c>
      <c r="M7508" s="2" t="s">
        <v>46726</v>
      </c>
      <c r="N7508" s="2" t="s">
        <v>1181</v>
      </c>
      <c r="O7508" s="4" t="s">
        <v>1182</v>
      </c>
      <c r="P7508" s="2" t="s">
        <v>46604</v>
      </c>
      <c r="Q7508" s="2" t="s">
        <v>31</v>
      </c>
      <c r="R7508" s="2" t="s">
        <v>1185</v>
      </c>
      <c r="S7508" s="4" t="s">
        <v>1186</v>
      </c>
      <c r="T7508" s="2" t="s">
        <v>66</v>
      </c>
      <c r="U7508" s="4" t="s">
        <v>46605</v>
      </c>
      <c r="V7508" s="2" t="s">
        <v>46727</v>
      </c>
      <c r="W7508" s="2" t="s">
        <v>46599</v>
      </c>
      <c r="X7508" s="5" t="str">
        <f>HYPERLINK("https://my.pitchbook.com?p=117619-75P","View People Online")</f>
        <v>View People Online</v>
      </c>
    </row>
    <row r="7509">
      <c r="A7509" s="6" t="s">
        <v>46728</v>
      </c>
      <c r="B7509" s="6" t="s">
        <v>46729</v>
      </c>
      <c r="C7509" s="6" t="s">
        <v>4673</v>
      </c>
      <c r="D7509" s="6" t="s">
        <v>46730</v>
      </c>
      <c r="E7509" s="6" t="s">
        <v>46599</v>
      </c>
      <c r="F7509" s="6" t="s">
        <v>5979</v>
      </c>
      <c r="G7509" s="6" t="s">
        <v>46731</v>
      </c>
      <c r="H7509" s="7" t="s">
        <v>31</v>
      </c>
      <c r="I7509" s="7">
        <v>1.0</v>
      </c>
      <c r="J7509" s="7">
        <v>1.0</v>
      </c>
      <c r="K7509" s="7" t="s">
        <v>31</v>
      </c>
      <c r="L7509" s="8" t="s">
        <v>46602</v>
      </c>
      <c r="M7509" s="6" t="s">
        <v>46732</v>
      </c>
      <c r="N7509" s="6" t="s">
        <v>1181</v>
      </c>
      <c r="O7509" s="8" t="s">
        <v>1182</v>
      </c>
      <c r="P7509" s="6" t="s">
        <v>46604</v>
      </c>
      <c r="Q7509" s="6" t="s">
        <v>31</v>
      </c>
      <c r="R7509" s="6" t="s">
        <v>1185</v>
      </c>
      <c r="S7509" s="8" t="s">
        <v>1186</v>
      </c>
      <c r="T7509" s="6" t="s">
        <v>66</v>
      </c>
      <c r="U7509" s="8" t="s">
        <v>46605</v>
      </c>
      <c r="V7509" s="6" t="s">
        <v>46733</v>
      </c>
      <c r="W7509" s="6" t="s">
        <v>46599</v>
      </c>
      <c r="X7509" s="9" t="str">
        <f>HYPERLINK("https://my.pitchbook.com?p=446514-49P","View People Online")</f>
        <v>View People Online</v>
      </c>
    </row>
    <row r="7510">
      <c r="A7510" s="2" t="s">
        <v>46734</v>
      </c>
      <c r="B7510" s="2" t="s">
        <v>46735</v>
      </c>
      <c r="C7510" s="2" t="s">
        <v>46736</v>
      </c>
      <c r="D7510" s="2" t="s">
        <v>46737</v>
      </c>
      <c r="E7510" s="2" t="s">
        <v>46599</v>
      </c>
      <c r="F7510" s="2" t="s">
        <v>371</v>
      </c>
      <c r="G7510" s="2" t="s">
        <v>46738</v>
      </c>
      <c r="H7510" s="3" t="s">
        <v>31</v>
      </c>
      <c r="I7510" s="3">
        <v>1.0</v>
      </c>
      <c r="J7510" s="3">
        <v>1.0</v>
      </c>
      <c r="K7510" s="3" t="s">
        <v>31</v>
      </c>
      <c r="L7510" s="4" t="s">
        <v>46602</v>
      </c>
      <c r="M7510" s="2" t="s">
        <v>46739</v>
      </c>
      <c r="N7510" s="2" t="s">
        <v>1181</v>
      </c>
      <c r="O7510" s="4" t="s">
        <v>1182</v>
      </c>
      <c r="P7510" s="2" t="s">
        <v>46604</v>
      </c>
      <c r="Q7510" s="2" t="s">
        <v>31</v>
      </c>
      <c r="R7510" s="2" t="s">
        <v>1185</v>
      </c>
      <c r="S7510" s="4" t="s">
        <v>1186</v>
      </c>
      <c r="T7510" s="2" t="s">
        <v>66</v>
      </c>
      <c r="U7510" s="4" t="s">
        <v>46605</v>
      </c>
      <c r="V7510" s="2" t="s">
        <v>46204</v>
      </c>
      <c r="W7510" s="2" t="s">
        <v>46599</v>
      </c>
      <c r="X7510" s="5" t="str">
        <f>HYPERLINK("https://my.pitchbook.com?p=398322-10P","View People Online")</f>
        <v>View People Online</v>
      </c>
    </row>
    <row r="7511">
      <c r="A7511" s="6" t="s">
        <v>46740</v>
      </c>
      <c r="B7511" s="6" t="s">
        <v>46741</v>
      </c>
      <c r="C7511" s="6" t="s">
        <v>1830</v>
      </c>
      <c r="D7511" s="6" t="s">
        <v>46742</v>
      </c>
      <c r="E7511" s="6" t="s">
        <v>46599</v>
      </c>
      <c r="F7511" s="6" t="s">
        <v>1801</v>
      </c>
      <c r="G7511" s="6" t="s">
        <v>46743</v>
      </c>
      <c r="H7511" s="7" t="s">
        <v>31</v>
      </c>
      <c r="I7511" s="7">
        <v>1.0</v>
      </c>
      <c r="J7511" s="7">
        <v>1.0</v>
      </c>
      <c r="K7511" s="7" t="s">
        <v>31</v>
      </c>
      <c r="L7511" s="8" t="s">
        <v>46744</v>
      </c>
      <c r="M7511" s="6" t="s">
        <v>46745</v>
      </c>
      <c r="N7511" s="6" t="s">
        <v>1181</v>
      </c>
      <c r="O7511" s="8" t="s">
        <v>1182</v>
      </c>
      <c r="P7511" s="6" t="s">
        <v>46604</v>
      </c>
      <c r="Q7511" s="6" t="s">
        <v>31</v>
      </c>
      <c r="R7511" s="6" t="s">
        <v>1185</v>
      </c>
      <c r="S7511" s="8" t="s">
        <v>1186</v>
      </c>
      <c r="T7511" s="6" t="s">
        <v>66</v>
      </c>
      <c r="U7511" s="8" t="s">
        <v>46605</v>
      </c>
      <c r="V7511" s="6" t="s">
        <v>46746</v>
      </c>
      <c r="W7511" s="6" t="s">
        <v>46599</v>
      </c>
      <c r="X7511" s="9" t="str">
        <f>HYPERLINK("https://my.pitchbook.com?p=174912-49P","View People Online")</f>
        <v>View People Online</v>
      </c>
    </row>
    <row r="7512">
      <c r="A7512" s="2" t="s">
        <v>46747</v>
      </c>
      <c r="B7512" s="2" t="s">
        <v>46748</v>
      </c>
      <c r="C7512" s="2" t="s">
        <v>46749</v>
      </c>
      <c r="D7512" s="2" t="s">
        <v>46750</v>
      </c>
      <c r="E7512" s="2" t="s">
        <v>46751</v>
      </c>
      <c r="F7512" s="2" t="s">
        <v>270</v>
      </c>
      <c r="G7512" s="2" t="s">
        <v>46752</v>
      </c>
      <c r="H7512" s="3">
        <v>1.0</v>
      </c>
      <c r="I7512" s="3">
        <v>3.0</v>
      </c>
      <c r="J7512" s="3">
        <v>2.0</v>
      </c>
      <c r="K7512" s="3" t="s">
        <v>31</v>
      </c>
      <c r="L7512" s="4" t="s">
        <v>46753</v>
      </c>
      <c r="M7512" s="2" t="s">
        <v>31</v>
      </c>
      <c r="N7512" s="2" t="s">
        <v>1034</v>
      </c>
      <c r="O7512" s="4" t="s">
        <v>1035</v>
      </c>
      <c r="P7512" s="2" t="s">
        <v>46754</v>
      </c>
      <c r="Q7512" s="2" t="s">
        <v>46755</v>
      </c>
      <c r="R7512" s="2" t="s">
        <v>31</v>
      </c>
      <c r="S7512" s="4" t="s">
        <v>46756</v>
      </c>
      <c r="T7512" s="2" t="s">
        <v>1034</v>
      </c>
      <c r="U7512" s="4" t="s">
        <v>31</v>
      </c>
      <c r="V7512" s="2" t="s">
        <v>2379</v>
      </c>
      <c r="W7512" s="2" t="s">
        <v>46757</v>
      </c>
      <c r="X7512" s="5" t="str">
        <f>HYPERLINK("https://my.pitchbook.com?p=139717-00P","View People Online")</f>
        <v>View People Online</v>
      </c>
    </row>
    <row r="7513">
      <c r="A7513" s="14" t="s">
        <v>46758</v>
      </c>
      <c r="B7513" s="14" t="s">
        <v>46759</v>
      </c>
      <c r="C7513" s="14" t="s">
        <v>724</v>
      </c>
      <c r="D7513" s="14" t="s">
        <v>46760</v>
      </c>
      <c r="E7513" s="14" t="s">
        <v>46751</v>
      </c>
      <c r="F7513" s="14" t="s">
        <v>270</v>
      </c>
      <c r="G7513" s="14" t="s">
        <v>46761</v>
      </c>
      <c r="H7513" s="15" t="s">
        <v>31</v>
      </c>
      <c r="I7513" s="15">
        <v>1.0</v>
      </c>
      <c r="J7513" s="15">
        <v>1.0</v>
      </c>
      <c r="K7513" s="15" t="s">
        <v>31</v>
      </c>
      <c r="L7513" s="16" t="s">
        <v>46762</v>
      </c>
      <c r="M7513" s="14" t="s">
        <v>46763</v>
      </c>
      <c r="N7513" s="14" t="s">
        <v>6669</v>
      </c>
      <c r="O7513" s="16" t="s">
        <v>6670</v>
      </c>
      <c r="P7513" s="14" t="s">
        <v>46764</v>
      </c>
      <c r="Q7513" s="14" t="s">
        <v>31</v>
      </c>
      <c r="R7513" s="14" t="s">
        <v>1185</v>
      </c>
      <c r="S7513" s="16" t="s">
        <v>6712</v>
      </c>
      <c r="T7513" s="14" t="s">
        <v>66</v>
      </c>
      <c r="U7513" s="16" t="s">
        <v>31</v>
      </c>
      <c r="V7513" s="14" t="s">
        <v>41972</v>
      </c>
      <c r="W7513" s="14" t="s">
        <v>46751</v>
      </c>
      <c r="X7513" s="17" t="str">
        <f>HYPERLINK("https://my.pitchbook.com?p=414929-89P","View People Online")</f>
        <v>View People Online</v>
      </c>
    </row>
    <row r="7514">
      <c r="A7514" s="2" t="s">
        <v>46765</v>
      </c>
      <c r="B7514" s="2" t="s">
        <v>46766</v>
      </c>
      <c r="C7514" s="2" t="s">
        <v>35468</v>
      </c>
      <c r="D7514" s="2" t="s">
        <v>46767</v>
      </c>
      <c r="E7514" s="2" t="s">
        <v>46751</v>
      </c>
      <c r="F7514" s="2" t="s">
        <v>10997</v>
      </c>
      <c r="G7514" s="2" t="s">
        <v>46768</v>
      </c>
      <c r="H7514" s="3">
        <v>2.0</v>
      </c>
      <c r="I7514" s="3">
        <v>2.0</v>
      </c>
      <c r="J7514" s="3">
        <v>1.0</v>
      </c>
      <c r="K7514" s="3" t="s">
        <v>31</v>
      </c>
      <c r="L7514" s="4" t="s">
        <v>46762</v>
      </c>
      <c r="M7514" s="2" t="s">
        <v>46769</v>
      </c>
      <c r="N7514" s="2" t="s">
        <v>6669</v>
      </c>
      <c r="O7514" s="4" t="s">
        <v>6670</v>
      </c>
      <c r="P7514" s="2" t="s">
        <v>46764</v>
      </c>
      <c r="Q7514" s="2" t="s">
        <v>31</v>
      </c>
      <c r="R7514" s="2" t="s">
        <v>1185</v>
      </c>
      <c r="S7514" s="4" t="s">
        <v>6712</v>
      </c>
      <c r="T7514" s="2" t="s">
        <v>66</v>
      </c>
      <c r="U7514" s="4" t="s">
        <v>31</v>
      </c>
      <c r="V7514" s="2" t="s">
        <v>46770</v>
      </c>
      <c r="W7514" s="2" t="s">
        <v>46751</v>
      </c>
      <c r="X7514" s="5" t="str">
        <f>HYPERLINK("https://my.pitchbook.com?p=234481-15P","View People Online")</f>
        <v>View People Online</v>
      </c>
    </row>
    <row r="7515">
      <c r="A7515" s="14" t="s">
        <v>46771</v>
      </c>
      <c r="B7515" s="14" t="s">
        <v>46772</v>
      </c>
      <c r="C7515" s="14" t="s">
        <v>26110</v>
      </c>
      <c r="D7515" s="14" t="s">
        <v>46773</v>
      </c>
      <c r="E7515" s="14" t="s">
        <v>46751</v>
      </c>
      <c r="F7515" s="14" t="s">
        <v>46774</v>
      </c>
      <c r="G7515" s="14" t="s">
        <v>46775</v>
      </c>
      <c r="H7515" s="15">
        <v>1.0</v>
      </c>
      <c r="I7515" s="15">
        <v>3.0</v>
      </c>
      <c r="J7515" s="15">
        <v>2.0</v>
      </c>
      <c r="K7515" s="15" t="s">
        <v>31</v>
      </c>
      <c r="L7515" s="16" t="s">
        <v>46762</v>
      </c>
      <c r="M7515" s="14" t="s">
        <v>46776</v>
      </c>
      <c r="N7515" s="14" t="s">
        <v>6669</v>
      </c>
      <c r="O7515" s="16" t="s">
        <v>6670</v>
      </c>
      <c r="P7515" s="14" t="s">
        <v>46764</v>
      </c>
      <c r="Q7515" s="14" t="s">
        <v>31</v>
      </c>
      <c r="R7515" s="14" t="s">
        <v>1185</v>
      </c>
      <c r="S7515" s="16" t="s">
        <v>6712</v>
      </c>
      <c r="T7515" s="14" t="s">
        <v>66</v>
      </c>
      <c r="U7515" s="16" t="s">
        <v>46777</v>
      </c>
      <c r="V7515" s="14" t="s">
        <v>46778</v>
      </c>
      <c r="W7515" s="14" t="s">
        <v>46779</v>
      </c>
      <c r="X7515" s="17" t="str">
        <f>HYPERLINK("https://my.pitchbook.com?p=72831-61P","View People Online")</f>
        <v>View People Online</v>
      </c>
    </row>
    <row r="7516">
      <c r="A7516" s="10" t="s">
        <v>46780</v>
      </c>
      <c r="B7516" s="10" t="s">
        <v>46781</v>
      </c>
      <c r="C7516" s="10" t="s">
        <v>5092</v>
      </c>
      <c r="D7516" s="10" t="s">
        <v>3789</v>
      </c>
      <c r="E7516" s="10" t="s">
        <v>46751</v>
      </c>
      <c r="F7516" s="10" t="s">
        <v>40769</v>
      </c>
      <c r="G7516" s="10" t="s">
        <v>46782</v>
      </c>
      <c r="H7516" s="11">
        <v>1.0</v>
      </c>
      <c r="I7516" s="11">
        <v>1.0</v>
      </c>
      <c r="J7516" s="11">
        <v>1.0</v>
      </c>
      <c r="K7516" s="11" t="s">
        <v>31</v>
      </c>
      <c r="L7516" s="12" t="s">
        <v>46783</v>
      </c>
      <c r="M7516" s="10" t="s">
        <v>46784</v>
      </c>
      <c r="N7516" s="10" t="s">
        <v>6669</v>
      </c>
      <c r="O7516" s="12" t="s">
        <v>6670</v>
      </c>
      <c r="P7516" s="10" t="s">
        <v>46764</v>
      </c>
      <c r="Q7516" s="10" t="s">
        <v>31</v>
      </c>
      <c r="R7516" s="10" t="s">
        <v>1185</v>
      </c>
      <c r="S7516" s="12" t="s">
        <v>6712</v>
      </c>
      <c r="T7516" s="10" t="s">
        <v>66</v>
      </c>
      <c r="U7516" s="12" t="s">
        <v>46785</v>
      </c>
      <c r="V7516" s="10" t="s">
        <v>46786</v>
      </c>
      <c r="W7516" s="10" t="s">
        <v>46751</v>
      </c>
      <c r="X7516" s="13" t="str">
        <f>HYPERLINK("https://my.pitchbook.com?p=321171-04P","View People Online")</f>
        <v>View People Online</v>
      </c>
    </row>
    <row r="7517">
      <c r="A7517" s="14" t="s">
        <v>46787</v>
      </c>
      <c r="B7517" s="14" t="s">
        <v>46788</v>
      </c>
      <c r="C7517" s="14" t="s">
        <v>2288</v>
      </c>
      <c r="D7517" s="14" t="s">
        <v>46789</v>
      </c>
      <c r="E7517" s="14" t="s">
        <v>46751</v>
      </c>
      <c r="F7517" s="14" t="s">
        <v>28089</v>
      </c>
      <c r="G7517" s="14" t="s">
        <v>46790</v>
      </c>
      <c r="H7517" s="15" t="s">
        <v>31</v>
      </c>
      <c r="I7517" s="15">
        <v>2.0</v>
      </c>
      <c r="J7517" s="15">
        <v>2.0</v>
      </c>
      <c r="K7517" s="15" t="s">
        <v>31</v>
      </c>
      <c r="L7517" s="16" t="s">
        <v>46791</v>
      </c>
      <c r="M7517" s="14" t="s">
        <v>46792</v>
      </c>
      <c r="N7517" s="14" t="s">
        <v>6669</v>
      </c>
      <c r="O7517" s="16" t="s">
        <v>6670</v>
      </c>
      <c r="P7517" s="14" t="s">
        <v>46764</v>
      </c>
      <c r="Q7517" s="14" t="s">
        <v>31</v>
      </c>
      <c r="R7517" s="14" t="s">
        <v>1185</v>
      </c>
      <c r="S7517" s="16" t="s">
        <v>6712</v>
      </c>
      <c r="T7517" s="14" t="s">
        <v>66</v>
      </c>
      <c r="U7517" s="16" t="s">
        <v>46777</v>
      </c>
      <c r="V7517" s="14" t="s">
        <v>46793</v>
      </c>
      <c r="W7517" s="14" t="s">
        <v>46779</v>
      </c>
      <c r="X7517" s="17" t="str">
        <f>HYPERLINK("https://my.pitchbook.com?p=114869-26P","View People Online")</f>
        <v>View People Online</v>
      </c>
    </row>
    <row r="7518">
      <c r="A7518" s="2" t="s">
        <v>46794</v>
      </c>
      <c r="B7518" s="2" t="s">
        <v>46795</v>
      </c>
      <c r="C7518" s="2" t="s">
        <v>11929</v>
      </c>
      <c r="D7518" s="2" t="s">
        <v>46796</v>
      </c>
      <c r="E7518" s="2" t="s">
        <v>46751</v>
      </c>
      <c r="F7518" s="2" t="s">
        <v>10997</v>
      </c>
      <c r="G7518" s="2" t="s">
        <v>46797</v>
      </c>
      <c r="H7518" s="3">
        <v>1.0</v>
      </c>
      <c r="I7518" s="3">
        <v>2.0</v>
      </c>
      <c r="J7518" s="3">
        <v>2.0</v>
      </c>
      <c r="K7518" s="3" t="s">
        <v>31</v>
      </c>
      <c r="L7518" s="4" t="s">
        <v>46798</v>
      </c>
      <c r="M7518" s="2" t="s">
        <v>46799</v>
      </c>
      <c r="N7518" s="2" t="s">
        <v>6669</v>
      </c>
      <c r="O7518" s="4" t="s">
        <v>6670</v>
      </c>
      <c r="P7518" s="2" t="s">
        <v>46764</v>
      </c>
      <c r="Q7518" s="2" t="s">
        <v>31</v>
      </c>
      <c r="R7518" s="2" t="s">
        <v>1185</v>
      </c>
      <c r="S7518" s="4" t="s">
        <v>6712</v>
      </c>
      <c r="T7518" s="2" t="s">
        <v>66</v>
      </c>
      <c r="U7518" s="4" t="s">
        <v>46777</v>
      </c>
      <c r="V7518" s="2" t="s">
        <v>270</v>
      </c>
      <c r="W7518" s="2" t="s">
        <v>46779</v>
      </c>
      <c r="X7518" s="5" t="str">
        <f>HYPERLINK("https://my.pitchbook.com?p=326336-77P","View People Online")</f>
        <v>View People Online</v>
      </c>
    </row>
    <row r="7519">
      <c r="A7519" s="14" t="s">
        <v>46800</v>
      </c>
      <c r="B7519" s="14" t="s">
        <v>46801</v>
      </c>
      <c r="C7519" s="14" t="s">
        <v>46802</v>
      </c>
      <c r="D7519" s="14" t="s">
        <v>46803</v>
      </c>
      <c r="E7519" s="14" t="s">
        <v>46751</v>
      </c>
      <c r="F7519" s="14" t="s">
        <v>30089</v>
      </c>
      <c r="G7519" s="14" t="s">
        <v>46804</v>
      </c>
      <c r="H7519" s="15" t="s">
        <v>31</v>
      </c>
      <c r="I7519" s="15">
        <v>4.0</v>
      </c>
      <c r="J7519" s="15">
        <v>2.0</v>
      </c>
      <c r="K7519" s="15" t="s">
        <v>31</v>
      </c>
      <c r="L7519" s="16" t="s">
        <v>46762</v>
      </c>
      <c r="M7519" s="14" t="s">
        <v>46805</v>
      </c>
      <c r="N7519" s="14" t="s">
        <v>6669</v>
      </c>
      <c r="O7519" s="16" t="s">
        <v>6670</v>
      </c>
      <c r="P7519" s="14" t="s">
        <v>46764</v>
      </c>
      <c r="Q7519" s="14" t="s">
        <v>31</v>
      </c>
      <c r="R7519" s="14" t="s">
        <v>1185</v>
      </c>
      <c r="S7519" s="16" t="s">
        <v>6712</v>
      </c>
      <c r="T7519" s="14" t="s">
        <v>66</v>
      </c>
      <c r="U7519" s="16" t="s">
        <v>31</v>
      </c>
      <c r="V7519" s="14" t="s">
        <v>46806</v>
      </c>
      <c r="W7519" s="14" t="s">
        <v>46751</v>
      </c>
      <c r="X7519" s="17" t="str">
        <f>HYPERLINK("https://my.pitchbook.com?p=428029-93P","View People Online")</f>
        <v>View People Online</v>
      </c>
    </row>
    <row r="7520">
      <c r="A7520" s="10" t="s">
        <v>46807</v>
      </c>
      <c r="B7520" s="10" t="s">
        <v>46808</v>
      </c>
      <c r="C7520" s="10" t="s">
        <v>3875</v>
      </c>
      <c r="D7520" s="10" t="s">
        <v>46809</v>
      </c>
      <c r="E7520" s="10" t="s">
        <v>46751</v>
      </c>
      <c r="F7520" s="10" t="s">
        <v>2835</v>
      </c>
      <c r="G7520" s="10" t="s">
        <v>46810</v>
      </c>
      <c r="H7520" s="11" t="s">
        <v>31</v>
      </c>
      <c r="I7520" s="11">
        <v>1.0</v>
      </c>
      <c r="J7520" s="11">
        <v>1.0</v>
      </c>
      <c r="K7520" s="11" t="s">
        <v>31</v>
      </c>
      <c r="L7520" s="12" t="s">
        <v>46762</v>
      </c>
      <c r="M7520" s="10" t="s">
        <v>31</v>
      </c>
      <c r="N7520" s="10" t="s">
        <v>6669</v>
      </c>
      <c r="O7520" s="12" t="s">
        <v>6670</v>
      </c>
      <c r="P7520" s="10" t="s">
        <v>46764</v>
      </c>
      <c r="Q7520" s="10" t="s">
        <v>31</v>
      </c>
      <c r="R7520" s="10" t="s">
        <v>1185</v>
      </c>
      <c r="S7520" s="12" t="s">
        <v>6712</v>
      </c>
      <c r="T7520" s="10" t="s">
        <v>66</v>
      </c>
      <c r="U7520" s="12" t="s">
        <v>31</v>
      </c>
      <c r="V7520" s="10" t="s">
        <v>46811</v>
      </c>
      <c r="W7520" s="10" t="s">
        <v>46751</v>
      </c>
      <c r="X7520" s="13" t="str">
        <f>HYPERLINK("https://my.pitchbook.com?p=435168-37P","View People Online")</f>
        <v>View People Online</v>
      </c>
    </row>
    <row r="7521">
      <c r="A7521" s="6" t="s">
        <v>46812</v>
      </c>
      <c r="B7521" s="6" t="s">
        <v>46813</v>
      </c>
      <c r="C7521" s="6" t="s">
        <v>5257</v>
      </c>
      <c r="D7521" s="6" t="s">
        <v>46814</v>
      </c>
      <c r="E7521" s="6" t="s">
        <v>46751</v>
      </c>
      <c r="F7521" s="6" t="s">
        <v>1459</v>
      </c>
      <c r="G7521" s="6" t="s">
        <v>46815</v>
      </c>
      <c r="H7521" s="7" t="s">
        <v>31</v>
      </c>
      <c r="I7521" s="7">
        <v>3.0</v>
      </c>
      <c r="J7521" s="7">
        <v>2.0</v>
      </c>
      <c r="K7521" s="7" t="s">
        <v>31</v>
      </c>
      <c r="L7521" s="8" t="s">
        <v>46816</v>
      </c>
      <c r="M7521" s="6" t="s">
        <v>46817</v>
      </c>
      <c r="N7521" s="6" t="s">
        <v>6669</v>
      </c>
      <c r="O7521" s="8" t="s">
        <v>6670</v>
      </c>
      <c r="P7521" s="6" t="s">
        <v>46764</v>
      </c>
      <c r="Q7521" s="6" t="s">
        <v>31</v>
      </c>
      <c r="R7521" s="6" t="s">
        <v>1185</v>
      </c>
      <c r="S7521" s="8" t="s">
        <v>6712</v>
      </c>
      <c r="T7521" s="6" t="s">
        <v>66</v>
      </c>
      <c r="U7521" s="8" t="s">
        <v>31</v>
      </c>
      <c r="V7521" s="6" t="s">
        <v>1459</v>
      </c>
      <c r="W7521" s="6" t="s">
        <v>46751</v>
      </c>
      <c r="X7521" s="9" t="str">
        <f>HYPERLINK("https://my.pitchbook.com?p=323774-92P","View People Online")</f>
        <v>View People Online</v>
      </c>
    </row>
    <row r="7522">
      <c r="A7522" s="2" t="s">
        <v>46818</v>
      </c>
      <c r="B7522" s="2" t="s">
        <v>46819</v>
      </c>
      <c r="C7522" s="2" t="s">
        <v>23041</v>
      </c>
      <c r="D7522" s="2" t="s">
        <v>46820</v>
      </c>
      <c r="E7522" s="2" t="s">
        <v>46751</v>
      </c>
      <c r="F7522" s="2" t="s">
        <v>270</v>
      </c>
      <c r="G7522" s="2" t="s">
        <v>46821</v>
      </c>
      <c r="H7522" s="3" t="s">
        <v>31</v>
      </c>
      <c r="I7522" s="3">
        <v>1.0</v>
      </c>
      <c r="J7522" s="3">
        <v>1.0</v>
      </c>
      <c r="K7522" s="3" t="s">
        <v>31</v>
      </c>
      <c r="L7522" s="4" t="s">
        <v>46822</v>
      </c>
      <c r="M7522" s="2" t="s">
        <v>46823</v>
      </c>
      <c r="N7522" s="2" t="s">
        <v>6669</v>
      </c>
      <c r="O7522" s="4" t="s">
        <v>6670</v>
      </c>
      <c r="P7522" s="2" t="s">
        <v>46764</v>
      </c>
      <c r="Q7522" s="2" t="s">
        <v>31</v>
      </c>
      <c r="R7522" s="2" t="s">
        <v>1185</v>
      </c>
      <c r="S7522" s="4" t="s">
        <v>6712</v>
      </c>
      <c r="T7522" s="2" t="s">
        <v>66</v>
      </c>
      <c r="U7522" s="4" t="s">
        <v>31</v>
      </c>
      <c r="V7522" s="2" t="s">
        <v>46824</v>
      </c>
      <c r="W7522" s="2" t="s">
        <v>46751</v>
      </c>
      <c r="X7522" s="5" t="str">
        <f>HYPERLINK("https://my.pitchbook.com?p=258526-00P","View People Online")</f>
        <v>View People Online</v>
      </c>
    </row>
    <row r="7523">
      <c r="A7523" s="14" t="s">
        <v>46825</v>
      </c>
      <c r="B7523" s="14" t="s">
        <v>46826</v>
      </c>
      <c r="C7523" s="14" t="s">
        <v>46827</v>
      </c>
      <c r="D7523" s="14" t="s">
        <v>1073</v>
      </c>
      <c r="E7523" s="14" t="s">
        <v>46751</v>
      </c>
      <c r="F7523" s="14" t="s">
        <v>270</v>
      </c>
      <c r="G7523" s="14" t="s">
        <v>46828</v>
      </c>
      <c r="H7523" s="15" t="s">
        <v>31</v>
      </c>
      <c r="I7523" s="15">
        <v>2.0</v>
      </c>
      <c r="J7523" s="15">
        <v>2.0</v>
      </c>
      <c r="K7523" s="15" t="s">
        <v>31</v>
      </c>
      <c r="L7523" s="16" t="s">
        <v>46829</v>
      </c>
      <c r="M7523" s="14" t="s">
        <v>46830</v>
      </c>
      <c r="N7523" s="14" t="s">
        <v>1181</v>
      </c>
      <c r="O7523" s="16" t="s">
        <v>1182</v>
      </c>
      <c r="P7523" s="14" t="s">
        <v>46831</v>
      </c>
      <c r="Q7523" s="14" t="s">
        <v>1895</v>
      </c>
      <c r="R7523" s="14" t="s">
        <v>1185</v>
      </c>
      <c r="S7523" s="16" t="s">
        <v>1332</v>
      </c>
      <c r="T7523" s="14" t="s">
        <v>66</v>
      </c>
      <c r="U7523" s="16" t="s">
        <v>31</v>
      </c>
      <c r="V7523" s="14" t="s">
        <v>46832</v>
      </c>
      <c r="W7523" s="14" t="s">
        <v>46833</v>
      </c>
      <c r="X7523" s="17" t="str">
        <f>HYPERLINK("https://my.pitchbook.com?p=426660-76P","View People Online")</f>
        <v>View People Online</v>
      </c>
    </row>
    <row r="7524">
      <c r="A7524" s="10" t="s">
        <v>46834</v>
      </c>
      <c r="B7524" s="10" t="s">
        <v>46835</v>
      </c>
      <c r="C7524" s="10" t="s">
        <v>46836</v>
      </c>
      <c r="D7524" s="10" t="s">
        <v>46837</v>
      </c>
      <c r="E7524" s="10" t="s">
        <v>46838</v>
      </c>
      <c r="F7524" s="10" t="s">
        <v>270</v>
      </c>
      <c r="G7524" s="10" t="s">
        <v>46839</v>
      </c>
      <c r="H7524" s="11" t="s">
        <v>31</v>
      </c>
      <c r="I7524" s="11">
        <v>2.0</v>
      </c>
      <c r="J7524" s="11">
        <v>1.0</v>
      </c>
      <c r="K7524" s="11">
        <v>1.0</v>
      </c>
      <c r="L7524" s="12" t="s">
        <v>46840</v>
      </c>
      <c r="M7524" s="10" t="s">
        <v>31</v>
      </c>
      <c r="N7524" s="10" t="s">
        <v>46841</v>
      </c>
      <c r="O7524" s="12" t="s">
        <v>46842</v>
      </c>
      <c r="P7524" s="10" t="s">
        <v>46843</v>
      </c>
      <c r="Q7524" s="10" t="s">
        <v>31</v>
      </c>
      <c r="R7524" s="10" t="s">
        <v>1185</v>
      </c>
      <c r="S7524" s="12" t="s">
        <v>46844</v>
      </c>
      <c r="T7524" s="10" t="s">
        <v>66</v>
      </c>
      <c r="U7524" s="12" t="s">
        <v>31</v>
      </c>
      <c r="V7524" s="10" t="s">
        <v>270</v>
      </c>
      <c r="W7524" s="10" t="s">
        <v>46838</v>
      </c>
      <c r="X7524" s="13" t="str">
        <f>HYPERLINK("https://my.pitchbook.com?p=430691-59P","View People Online")</f>
        <v>View People Online</v>
      </c>
    </row>
    <row r="7525">
      <c r="A7525" s="6" t="s">
        <v>46845</v>
      </c>
      <c r="B7525" s="6" t="s">
        <v>46846</v>
      </c>
      <c r="C7525" s="6" t="s">
        <v>35468</v>
      </c>
      <c r="D7525" s="6" t="s">
        <v>4015</v>
      </c>
      <c r="E7525" s="6" t="s">
        <v>46838</v>
      </c>
      <c r="F7525" s="6" t="s">
        <v>825</v>
      </c>
      <c r="G7525" s="6" t="s">
        <v>46847</v>
      </c>
      <c r="H7525" s="7" t="s">
        <v>31</v>
      </c>
      <c r="I7525" s="7">
        <v>1.0</v>
      </c>
      <c r="J7525" s="7">
        <v>1.0</v>
      </c>
      <c r="K7525" s="7" t="s">
        <v>31</v>
      </c>
      <c r="L7525" s="8" t="s">
        <v>46840</v>
      </c>
      <c r="M7525" s="6" t="s">
        <v>46848</v>
      </c>
      <c r="N7525" s="6" t="s">
        <v>46841</v>
      </c>
      <c r="O7525" s="8" t="s">
        <v>46842</v>
      </c>
      <c r="P7525" s="6" t="s">
        <v>46843</v>
      </c>
      <c r="Q7525" s="6" t="s">
        <v>31</v>
      </c>
      <c r="R7525" s="6" t="s">
        <v>1185</v>
      </c>
      <c r="S7525" s="8" t="s">
        <v>46844</v>
      </c>
      <c r="T7525" s="6" t="s">
        <v>66</v>
      </c>
      <c r="U7525" s="8" t="s">
        <v>31</v>
      </c>
      <c r="V7525" s="6" t="s">
        <v>46849</v>
      </c>
      <c r="W7525" s="6" t="s">
        <v>46850</v>
      </c>
      <c r="X7525" s="9" t="str">
        <f>HYPERLINK("https://my.pitchbook.com?p=293756-50P","View People Online")</f>
        <v>View People Online</v>
      </c>
    </row>
    <row r="7526">
      <c r="A7526" s="2" t="s">
        <v>46851</v>
      </c>
      <c r="B7526" s="2" t="s">
        <v>46852</v>
      </c>
      <c r="C7526" s="2" t="s">
        <v>46853</v>
      </c>
      <c r="D7526" s="2" t="s">
        <v>3744</v>
      </c>
      <c r="E7526" s="2" t="s">
        <v>46838</v>
      </c>
      <c r="F7526" s="2" t="s">
        <v>825</v>
      </c>
      <c r="G7526" s="2" t="s">
        <v>46854</v>
      </c>
      <c r="H7526" s="3" t="s">
        <v>31</v>
      </c>
      <c r="I7526" s="3">
        <v>2.0</v>
      </c>
      <c r="J7526" s="3">
        <v>2.0</v>
      </c>
      <c r="K7526" s="3" t="s">
        <v>31</v>
      </c>
      <c r="L7526" s="4" t="s">
        <v>46855</v>
      </c>
      <c r="M7526" s="2" t="s">
        <v>46856</v>
      </c>
      <c r="N7526" s="2" t="s">
        <v>3603</v>
      </c>
      <c r="O7526" s="4" t="s">
        <v>3604</v>
      </c>
      <c r="P7526" s="2" t="s">
        <v>46857</v>
      </c>
      <c r="Q7526" s="2" t="s">
        <v>46858</v>
      </c>
      <c r="R7526" s="2" t="s">
        <v>31</v>
      </c>
      <c r="S7526" s="4" t="s">
        <v>31</v>
      </c>
      <c r="T7526" s="2" t="s">
        <v>3603</v>
      </c>
      <c r="U7526" s="4" t="s">
        <v>31</v>
      </c>
      <c r="V7526" s="2" t="s">
        <v>46859</v>
      </c>
      <c r="W7526" s="2" t="s">
        <v>46860</v>
      </c>
      <c r="X7526" s="5" t="str">
        <f>HYPERLINK("https://my.pitchbook.com?p=241645-51P","View People Online")</f>
        <v>View People Online</v>
      </c>
    </row>
    <row r="7527">
      <c r="A7527" s="14" t="s">
        <v>46861</v>
      </c>
      <c r="B7527" s="14" t="s">
        <v>46862</v>
      </c>
      <c r="C7527" s="14" t="s">
        <v>3499</v>
      </c>
      <c r="D7527" s="14" t="s">
        <v>29593</v>
      </c>
      <c r="E7527" s="14" t="s">
        <v>46838</v>
      </c>
      <c r="F7527" s="14" t="s">
        <v>825</v>
      </c>
      <c r="G7527" s="14" t="s">
        <v>46863</v>
      </c>
      <c r="H7527" s="15" t="s">
        <v>31</v>
      </c>
      <c r="I7527" s="15">
        <v>1.0</v>
      </c>
      <c r="J7527" s="15">
        <v>1.0</v>
      </c>
      <c r="K7527" s="15" t="s">
        <v>31</v>
      </c>
      <c r="L7527" s="16" t="s">
        <v>46840</v>
      </c>
      <c r="M7527" s="14" t="s">
        <v>46864</v>
      </c>
      <c r="N7527" s="14" t="s">
        <v>46841</v>
      </c>
      <c r="O7527" s="16" t="s">
        <v>46842</v>
      </c>
      <c r="P7527" s="14" t="s">
        <v>46843</v>
      </c>
      <c r="Q7527" s="14" t="s">
        <v>31</v>
      </c>
      <c r="R7527" s="14" t="s">
        <v>1185</v>
      </c>
      <c r="S7527" s="16" t="s">
        <v>46844</v>
      </c>
      <c r="T7527" s="14" t="s">
        <v>66</v>
      </c>
      <c r="U7527" s="16" t="s">
        <v>31</v>
      </c>
      <c r="V7527" s="14" t="s">
        <v>46865</v>
      </c>
      <c r="W7527" s="14" t="s">
        <v>46838</v>
      </c>
      <c r="X7527" s="17" t="str">
        <f>HYPERLINK("https://my.pitchbook.com?p=398029-42P","View People Online")</f>
        <v>View People Online</v>
      </c>
    </row>
    <row r="7528">
      <c r="A7528" s="2" t="s">
        <v>46866</v>
      </c>
      <c r="B7528" s="2" t="s">
        <v>46867</v>
      </c>
      <c r="C7528" s="2" t="s">
        <v>1998</v>
      </c>
      <c r="D7528" s="2" t="s">
        <v>9782</v>
      </c>
      <c r="E7528" s="2" t="s">
        <v>46838</v>
      </c>
      <c r="F7528" s="2" t="s">
        <v>825</v>
      </c>
      <c r="G7528" s="2" t="s">
        <v>46868</v>
      </c>
      <c r="H7528" s="3">
        <v>4.0</v>
      </c>
      <c r="I7528" s="3">
        <v>34.0</v>
      </c>
      <c r="J7528" s="3">
        <v>3.0</v>
      </c>
      <c r="K7528" s="3">
        <v>24.0</v>
      </c>
      <c r="L7528" s="4" t="s">
        <v>46869</v>
      </c>
      <c r="M7528" s="2" t="s">
        <v>46870</v>
      </c>
      <c r="N7528" s="2" t="s">
        <v>46841</v>
      </c>
      <c r="O7528" s="4" t="s">
        <v>46842</v>
      </c>
      <c r="P7528" s="2" t="s">
        <v>46843</v>
      </c>
      <c r="Q7528" s="2" t="s">
        <v>31</v>
      </c>
      <c r="R7528" s="2" t="s">
        <v>1185</v>
      </c>
      <c r="S7528" s="4" t="s">
        <v>46844</v>
      </c>
      <c r="T7528" s="2" t="s">
        <v>66</v>
      </c>
      <c r="U7528" s="4" t="s">
        <v>31</v>
      </c>
      <c r="V7528" s="2" t="s">
        <v>46871</v>
      </c>
      <c r="W7528" s="2" t="s">
        <v>46838</v>
      </c>
      <c r="X7528" s="5" t="str">
        <f>HYPERLINK("https://my.pitchbook.com?p=143157-88P","View People Online")</f>
        <v>View People Online</v>
      </c>
    </row>
    <row r="7529">
      <c r="A7529" s="14" t="s">
        <v>46872</v>
      </c>
      <c r="B7529" s="14" t="s">
        <v>46873</v>
      </c>
      <c r="C7529" s="14" t="s">
        <v>323</v>
      </c>
      <c r="D7529" s="14" t="s">
        <v>46874</v>
      </c>
      <c r="E7529" s="14" t="s">
        <v>46838</v>
      </c>
      <c r="F7529" s="14" t="s">
        <v>3823</v>
      </c>
      <c r="G7529" s="14" t="s">
        <v>46875</v>
      </c>
      <c r="H7529" s="15" t="s">
        <v>31</v>
      </c>
      <c r="I7529" s="15">
        <v>3.0</v>
      </c>
      <c r="J7529" s="15">
        <v>1.0</v>
      </c>
      <c r="K7529" s="15">
        <v>2.0</v>
      </c>
      <c r="L7529" s="16" t="s">
        <v>46840</v>
      </c>
      <c r="M7529" s="14" t="s">
        <v>46876</v>
      </c>
      <c r="N7529" s="14" t="s">
        <v>46841</v>
      </c>
      <c r="O7529" s="16" t="s">
        <v>46842</v>
      </c>
      <c r="P7529" s="14" t="s">
        <v>46843</v>
      </c>
      <c r="Q7529" s="14" t="s">
        <v>31</v>
      </c>
      <c r="R7529" s="14" t="s">
        <v>1185</v>
      </c>
      <c r="S7529" s="16" t="s">
        <v>46844</v>
      </c>
      <c r="T7529" s="14" t="s">
        <v>66</v>
      </c>
      <c r="U7529" s="16" t="s">
        <v>31</v>
      </c>
      <c r="V7529" s="14" t="s">
        <v>3823</v>
      </c>
      <c r="W7529" s="14" t="s">
        <v>46838</v>
      </c>
      <c r="X7529" s="17" t="str">
        <f>HYPERLINK("https://my.pitchbook.com?p=339895-18P","View People Online")</f>
        <v>View People Online</v>
      </c>
    </row>
    <row r="7530">
      <c r="A7530" s="10" t="s">
        <v>46877</v>
      </c>
      <c r="B7530" s="10" t="s">
        <v>46878</v>
      </c>
      <c r="C7530" s="10" t="s">
        <v>8847</v>
      </c>
      <c r="D7530" s="10" t="s">
        <v>46879</v>
      </c>
      <c r="E7530" s="10" t="s">
        <v>46838</v>
      </c>
      <c r="F7530" s="10" t="s">
        <v>11212</v>
      </c>
      <c r="G7530" s="10" t="s">
        <v>46880</v>
      </c>
      <c r="H7530" s="11">
        <v>1.0</v>
      </c>
      <c r="I7530" s="11">
        <v>2.0</v>
      </c>
      <c r="J7530" s="11">
        <v>1.0</v>
      </c>
      <c r="K7530" s="11" t="s">
        <v>31</v>
      </c>
      <c r="L7530" s="12" t="s">
        <v>46840</v>
      </c>
      <c r="M7530" s="10" t="s">
        <v>31</v>
      </c>
      <c r="N7530" s="10" t="s">
        <v>46841</v>
      </c>
      <c r="O7530" s="12" t="s">
        <v>46842</v>
      </c>
      <c r="P7530" s="10" t="s">
        <v>46843</v>
      </c>
      <c r="Q7530" s="10" t="s">
        <v>31</v>
      </c>
      <c r="R7530" s="10" t="s">
        <v>1185</v>
      </c>
      <c r="S7530" s="12" t="s">
        <v>46844</v>
      </c>
      <c r="T7530" s="10" t="s">
        <v>66</v>
      </c>
      <c r="U7530" s="12" t="s">
        <v>31</v>
      </c>
      <c r="V7530" s="10" t="s">
        <v>11212</v>
      </c>
      <c r="W7530" s="10" t="s">
        <v>46838</v>
      </c>
      <c r="X7530" s="13" t="str">
        <f>HYPERLINK("https://my.pitchbook.com?p=197230-78P","View People Online")</f>
        <v>View People Online</v>
      </c>
    </row>
    <row r="7531">
      <c r="A7531" s="14" t="s">
        <v>46881</v>
      </c>
      <c r="B7531" s="14" t="s">
        <v>46882</v>
      </c>
      <c r="C7531" s="14" t="s">
        <v>36842</v>
      </c>
      <c r="D7531" s="14" t="s">
        <v>40497</v>
      </c>
      <c r="E7531" s="14" t="s">
        <v>46838</v>
      </c>
      <c r="F7531" s="14" t="s">
        <v>896</v>
      </c>
      <c r="G7531" s="14" t="s">
        <v>46883</v>
      </c>
      <c r="H7531" s="15" t="s">
        <v>31</v>
      </c>
      <c r="I7531" s="15">
        <v>1.0</v>
      </c>
      <c r="J7531" s="15">
        <v>1.0</v>
      </c>
      <c r="K7531" s="15" t="s">
        <v>31</v>
      </c>
      <c r="L7531" s="16" t="s">
        <v>46840</v>
      </c>
      <c r="M7531" s="14" t="s">
        <v>46884</v>
      </c>
      <c r="N7531" s="14" t="s">
        <v>46841</v>
      </c>
      <c r="O7531" s="16" t="s">
        <v>46842</v>
      </c>
      <c r="P7531" s="14" t="s">
        <v>46843</v>
      </c>
      <c r="Q7531" s="14" t="s">
        <v>31</v>
      </c>
      <c r="R7531" s="14" t="s">
        <v>1185</v>
      </c>
      <c r="S7531" s="16" t="s">
        <v>46844</v>
      </c>
      <c r="T7531" s="14" t="s">
        <v>66</v>
      </c>
      <c r="U7531" s="16" t="s">
        <v>31</v>
      </c>
      <c r="V7531" s="14" t="s">
        <v>896</v>
      </c>
      <c r="W7531" s="14" t="s">
        <v>46838</v>
      </c>
      <c r="X7531" s="17" t="str">
        <f>HYPERLINK("https://my.pitchbook.com?p=368120-08P","View People Online")</f>
        <v>View People Online</v>
      </c>
    </row>
    <row r="7532">
      <c r="A7532" s="10" t="s">
        <v>46885</v>
      </c>
      <c r="B7532" s="10" t="s">
        <v>46886</v>
      </c>
      <c r="C7532" s="10" t="s">
        <v>4358</v>
      </c>
      <c r="D7532" s="10" t="s">
        <v>15869</v>
      </c>
      <c r="E7532" s="10" t="s">
        <v>46838</v>
      </c>
      <c r="F7532" s="10" t="s">
        <v>825</v>
      </c>
      <c r="G7532" s="10" t="s">
        <v>46887</v>
      </c>
      <c r="H7532" s="11" t="s">
        <v>31</v>
      </c>
      <c r="I7532" s="11">
        <v>1.0</v>
      </c>
      <c r="J7532" s="11">
        <v>1.0</v>
      </c>
      <c r="K7532" s="11" t="s">
        <v>31</v>
      </c>
      <c r="L7532" s="12" t="s">
        <v>46840</v>
      </c>
      <c r="M7532" s="10" t="s">
        <v>46888</v>
      </c>
      <c r="N7532" s="10" t="s">
        <v>46841</v>
      </c>
      <c r="O7532" s="12" t="s">
        <v>46842</v>
      </c>
      <c r="P7532" s="10" t="s">
        <v>46843</v>
      </c>
      <c r="Q7532" s="10" t="s">
        <v>31</v>
      </c>
      <c r="R7532" s="10" t="s">
        <v>1185</v>
      </c>
      <c r="S7532" s="12" t="s">
        <v>46844</v>
      </c>
      <c r="T7532" s="10" t="s">
        <v>66</v>
      </c>
      <c r="U7532" s="12" t="s">
        <v>31</v>
      </c>
      <c r="V7532" s="10" t="s">
        <v>46889</v>
      </c>
      <c r="W7532" s="10" t="s">
        <v>46838</v>
      </c>
      <c r="X7532" s="13" t="str">
        <f>HYPERLINK("https://my.pitchbook.com?p=82208-08P","View People Online")</f>
        <v>View People Online</v>
      </c>
    </row>
    <row r="7533">
      <c r="A7533" s="14" t="s">
        <v>46890</v>
      </c>
      <c r="B7533" s="14" t="s">
        <v>46891</v>
      </c>
      <c r="C7533" s="14" t="s">
        <v>823</v>
      </c>
      <c r="D7533" s="14" t="s">
        <v>46892</v>
      </c>
      <c r="E7533" s="14" t="s">
        <v>46838</v>
      </c>
      <c r="F7533" s="14" t="s">
        <v>81</v>
      </c>
      <c r="G7533" s="14" t="s">
        <v>46893</v>
      </c>
      <c r="H7533" s="15" t="s">
        <v>31</v>
      </c>
      <c r="I7533" s="15">
        <v>1.0</v>
      </c>
      <c r="J7533" s="15" t="s">
        <v>31</v>
      </c>
      <c r="K7533" s="15" t="s">
        <v>31</v>
      </c>
      <c r="L7533" s="16" t="s">
        <v>46840</v>
      </c>
      <c r="M7533" s="14" t="s">
        <v>31</v>
      </c>
      <c r="N7533" s="14" t="s">
        <v>46841</v>
      </c>
      <c r="O7533" s="16" t="s">
        <v>46842</v>
      </c>
      <c r="P7533" s="14" t="s">
        <v>46843</v>
      </c>
      <c r="Q7533" s="14" t="s">
        <v>31</v>
      </c>
      <c r="R7533" s="14" t="s">
        <v>1185</v>
      </c>
      <c r="S7533" s="16" t="s">
        <v>46844</v>
      </c>
      <c r="T7533" s="14" t="s">
        <v>66</v>
      </c>
      <c r="U7533" s="16" t="s">
        <v>31</v>
      </c>
      <c r="V7533" s="14" t="s">
        <v>32910</v>
      </c>
      <c r="W7533" s="14" t="s">
        <v>46838</v>
      </c>
      <c r="X7533" s="17" t="str">
        <f>HYPERLINK("https://my.pitchbook.com?p=398713-69P","View People Online")</f>
        <v>View People Online</v>
      </c>
    </row>
    <row r="7534">
      <c r="A7534" s="10" t="s">
        <v>46894</v>
      </c>
      <c r="B7534" s="10" t="s">
        <v>46895</v>
      </c>
      <c r="C7534" s="10" t="s">
        <v>3529</v>
      </c>
      <c r="D7534" s="10" t="s">
        <v>25533</v>
      </c>
      <c r="E7534" s="10" t="s">
        <v>46838</v>
      </c>
      <c r="F7534" s="10" t="s">
        <v>825</v>
      </c>
      <c r="G7534" s="10" t="s">
        <v>46896</v>
      </c>
      <c r="H7534" s="11">
        <v>3.0</v>
      </c>
      <c r="I7534" s="11">
        <v>11.0</v>
      </c>
      <c r="J7534" s="11">
        <v>2.0</v>
      </c>
      <c r="K7534" s="11">
        <v>4.0</v>
      </c>
      <c r="L7534" s="12" t="s">
        <v>46897</v>
      </c>
      <c r="M7534" s="10" t="s">
        <v>46898</v>
      </c>
      <c r="N7534" s="10" t="s">
        <v>46841</v>
      </c>
      <c r="O7534" s="12" t="s">
        <v>46842</v>
      </c>
      <c r="P7534" s="10" t="s">
        <v>46843</v>
      </c>
      <c r="Q7534" s="10" t="s">
        <v>31</v>
      </c>
      <c r="R7534" s="10" t="s">
        <v>1185</v>
      </c>
      <c r="S7534" s="12" t="s">
        <v>46844</v>
      </c>
      <c r="T7534" s="10" t="s">
        <v>66</v>
      </c>
      <c r="U7534" s="12" t="s">
        <v>31</v>
      </c>
      <c r="V7534" s="10" t="s">
        <v>46899</v>
      </c>
      <c r="W7534" s="10" t="s">
        <v>46838</v>
      </c>
      <c r="X7534" s="13" t="str">
        <f>HYPERLINK("https://my.pitchbook.com?p=209499-67P","View People Online")</f>
        <v>View People Online</v>
      </c>
    </row>
    <row r="7535">
      <c r="A7535" s="6" t="s">
        <v>46900</v>
      </c>
      <c r="B7535" s="6" t="s">
        <v>46901</v>
      </c>
      <c r="C7535" s="6" t="s">
        <v>4404</v>
      </c>
      <c r="D7535" s="6" t="s">
        <v>46902</v>
      </c>
      <c r="E7535" s="6" t="s">
        <v>46838</v>
      </c>
      <c r="F7535" s="6" t="s">
        <v>825</v>
      </c>
      <c r="G7535" s="6" t="s">
        <v>46903</v>
      </c>
      <c r="H7535" s="7" t="s">
        <v>31</v>
      </c>
      <c r="I7535" s="7">
        <v>1.0</v>
      </c>
      <c r="J7535" s="7">
        <v>1.0</v>
      </c>
      <c r="K7535" s="7" t="s">
        <v>31</v>
      </c>
      <c r="L7535" s="8" t="s">
        <v>46840</v>
      </c>
      <c r="M7535" s="6" t="s">
        <v>46904</v>
      </c>
      <c r="N7535" s="6" t="s">
        <v>46841</v>
      </c>
      <c r="O7535" s="8" t="s">
        <v>46842</v>
      </c>
      <c r="P7535" s="6" t="s">
        <v>46843</v>
      </c>
      <c r="Q7535" s="6" t="s">
        <v>31</v>
      </c>
      <c r="R7535" s="6" t="s">
        <v>1185</v>
      </c>
      <c r="S7535" s="8" t="s">
        <v>46844</v>
      </c>
      <c r="T7535" s="6" t="s">
        <v>66</v>
      </c>
      <c r="U7535" s="8" t="s">
        <v>31</v>
      </c>
      <c r="V7535" s="6" t="s">
        <v>46905</v>
      </c>
      <c r="W7535" s="6" t="s">
        <v>46838</v>
      </c>
      <c r="X7535" s="9" t="str">
        <f>HYPERLINK("https://my.pitchbook.com?p=76230-46P","View People Online")</f>
        <v>View People Online</v>
      </c>
    </row>
    <row r="7536">
      <c r="A7536" s="2" t="s">
        <v>46906</v>
      </c>
      <c r="B7536" s="2" t="s">
        <v>46907</v>
      </c>
      <c r="C7536" s="2" t="s">
        <v>5071</v>
      </c>
      <c r="D7536" s="2" t="s">
        <v>16220</v>
      </c>
      <c r="E7536" s="2" t="s">
        <v>46838</v>
      </c>
      <c r="F7536" s="2" t="s">
        <v>695</v>
      </c>
      <c r="G7536" s="2" t="s">
        <v>46908</v>
      </c>
      <c r="H7536" s="3" t="s">
        <v>31</v>
      </c>
      <c r="I7536" s="3">
        <v>1.0</v>
      </c>
      <c r="J7536" s="3">
        <v>1.0</v>
      </c>
      <c r="K7536" s="3" t="s">
        <v>31</v>
      </c>
      <c r="L7536" s="4" t="s">
        <v>46840</v>
      </c>
      <c r="M7536" s="2" t="s">
        <v>46909</v>
      </c>
      <c r="N7536" s="2" t="s">
        <v>46841</v>
      </c>
      <c r="O7536" s="4" t="s">
        <v>46842</v>
      </c>
      <c r="P7536" s="2" t="s">
        <v>46843</v>
      </c>
      <c r="Q7536" s="2" t="s">
        <v>31</v>
      </c>
      <c r="R7536" s="2" t="s">
        <v>1185</v>
      </c>
      <c r="S7536" s="4" t="s">
        <v>46844</v>
      </c>
      <c r="T7536" s="2" t="s">
        <v>66</v>
      </c>
      <c r="U7536" s="4" t="s">
        <v>31</v>
      </c>
      <c r="V7536" s="2" t="s">
        <v>46910</v>
      </c>
      <c r="W7536" s="2" t="s">
        <v>46838</v>
      </c>
      <c r="X7536" s="5" t="str">
        <f>HYPERLINK("https://my.pitchbook.com?p=368054-38P","View People Online")</f>
        <v>View People Online</v>
      </c>
    </row>
    <row r="7537">
      <c r="A7537" s="14" t="s">
        <v>46911</v>
      </c>
      <c r="B7537" s="14" t="s">
        <v>46912</v>
      </c>
      <c r="C7537" s="14" t="s">
        <v>5071</v>
      </c>
      <c r="D7537" s="14" t="s">
        <v>1267</v>
      </c>
      <c r="E7537" s="14" t="s">
        <v>46838</v>
      </c>
      <c r="F7537" s="14" t="s">
        <v>825</v>
      </c>
      <c r="G7537" s="14" t="s">
        <v>46913</v>
      </c>
      <c r="H7537" s="15" t="s">
        <v>31</v>
      </c>
      <c r="I7537" s="15">
        <v>1.0</v>
      </c>
      <c r="J7537" s="15">
        <v>1.0</v>
      </c>
      <c r="K7537" s="15" t="s">
        <v>31</v>
      </c>
      <c r="L7537" s="16" t="s">
        <v>46840</v>
      </c>
      <c r="M7537" s="14" t="s">
        <v>46914</v>
      </c>
      <c r="N7537" s="14" t="s">
        <v>46841</v>
      </c>
      <c r="O7537" s="16" t="s">
        <v>46842</v>
      </c>
      <c r="P7537" s="14" t="s">
        <v>46843</v>
      </c>
      <c r="Q7537" s="14" t="s">
        <v>31</v>
      </c>
      <c r="R7537" s="14" t="s">
        <v>1185</v>
      </c>
      <c r="S7537" s="16" t="s">
        <v>46844</v>
      </c>
      <c r="T7537" s="14" t="s">
        <v>66</v>
      </c>
      <c r="U7537" s="16" t="s">
        <v>31</v>
      </c>
      <c r="V7537" s="14" t="s">
        <v>46915</v>
      </c>
      <c r="W7537" s="14" t="s">
        <v>46838</v>
      </c>
      <c r="X7537" s="17" t="str">
        <f>HYPERLINK("https://my.pitchbook.com?p=326451-70P","View People Online")</f>
        <v>View People Online</v>
      </c>
    </row>
    <row r="7538">
      <c r="A7538" s="10" t="s">
        <v>46916</v>
      </c>
      <c r="B7538" s="10" t="s">
        <v>46917</v>
      </c>
      <c r="C7538" s="10" t="s">
        <v>6414</v>
      </c>
      <c r="D7538" s="10" t="s">
        <v>46918</v>
      </c>
      <c r="E7538" s="10" t="s">
        <v>46838</v>
      </c>
      <c r="F7538" s="10" t="s">
        <v>825</v>
      </c>
      <c r="G7538" s="10" t="s">
        <v>46919</v>
      </c>
      <c r="H7538" s="11" t="s">
        <v>31</v>
      </c>
      <c r="I7538" s="11">
        <v>1.0</v>
      </c>
      <c r="J7538" s="11">
        <v>1.0</v>
      </c>
      <c r="K7538" s="11" t="s">
        <v>31</v>
      </c>
      <c r="L7538" s="12" t="s">
        <v>46840</v>
      </c>
      <c r="M7538" s="10" t="s">
        <v>31</v>
      </c>
      <c r="N7538" s="10" t="s">
        <v>46841</v>
      </c>
      <c r="O7538" s="12" t="s">
        <v>46842</v>
      </c>
      <c r="P7538" s="10" t="s">
        <v>46843</v>
      </c>
      <c r="Q7538" s="10" t="s">
        <v>31</v>
      </c>
      <c r="R7538" s="10" t="s">
        <v>1185</v>
      </c>
      <c r="S7538" s="12" t="s">
        <v>46844</v>
      </c>
      <c r="T7538" s="10" t="s">
        <v>66</v>
      </c>
      <c r="U7538" s="12" t="s">
        <v>31</v>
      </c>
      <c r="V7538" s="10" t="s">
        <v>46920</v>
      </c>
      <c r="W7538" s="10" t="s">
        <v>46838</v>
      </c>
      <c r="X7538" s="13" t="str">
        <f>HYPERLINK("https://my.pitchbook.com?p=366127-84P","View People Online")</f>
        <v>View People Online</v>
      </c>
    </row>
    <row r="7539">
      <c r="A7539" s="14" t="s">
        <v>46921</v>
      </c>
      <c r="B7539" s="14" t="s">
        <v>46922</v>
      </c>
      <c r="C7539" s="14" t="s">
        <v>1343</v>
      </c>
      <c r="D7539" s="14" t="s">
        <v>46923</v>
      </c>
      <c r="E7539" s="14" t="s">
        <v>46838</v>
      </c>
      <c r="F7539" s="14" t="s">
        <v>825</v>
      </c>
      <c r="G7539" s="14" t="s">
        <v>46924</v>
      </c>
      <c r="H7539" s="15" t="s">
        <v>31</v>
      </c>
      <c r="I7539" s="15">
        <v>1.0</v>
      </c>
      <c r="J7539" s="15">
        <v>1.0</v>
      </c>
      <c r="K7539" s="15" t="s">
        <v>31</v>
      </c>
      <c r="L7539" s="16" t="s">
        <v>46840</v>
      </c>
      <c r="M7539" s="14" t="s">
        <v>31</v>
      </c>
      <c r="N7539" s="14" t="s">
        <v>46841</v>
      </c>
      <c r="O7539" s="16" t="s">
        <v>46842</v>
      </c>
      <c r="P7539" s="14" t="s">
        <v>46843</v>
      </c>
      <c r="Q7539" s="14" t="s">
        <v>31</v>
      </c>
      <c r="R7539" s="14" t="s">
        <v>1185</v>
      </c>
      <c r="S7539" s="16" t="s">
        <v>46844</v>
      </c>
      <c r="T7539" s="14" t="s">
        <v>66</v>
      </c>
      <c r="U7539" s="16" t="s">
        <v>31</v>
      </c>
      <c r="V7539" s="14" t="s">
        <v>7191</v>
      </c>
      <c r="W7539" s="14" t="s">
        <v>46838</v>
      </c>
      <c r="X7539" s="17" t="str">
        <f>HYPERLINK("https://my.pitchbook.com?p=213534-91P","View People Online")</f>
        <v>View People Online</v>
      </c>
    </row>
    <row r="7540">
      <c r="A7540" s="2" t="s">
        <v>46925</v>
      </c>
      <c r="B7540" s="2" t="s">
        <v>46926</v>
      </c>
      <c r="C7540" s="2" t="s">
        <v>3089</v>
      </c>
      <c r="D7540" s="2" t="s">
        <v>46927</v>
      </c>
      <c r="E7540" s="2" t="s">
        <v>46838</v>
      </c>
      <c r="F7540" s="2" t="s">
        <v>6567</v>
      </c>
      <c r="G7540" s="2" t="s">
        <v>46928</v>
      </c>
      <c r="H7540" s="3" t="s">
        <v>31</v>
      </c>
      <c r="I7540" s="3">
        <v>1.0</v>
      </c>
      <c r="J7540" s="3">
        <v>1.0</v>
      </c>
      <c r="K7540" s="3" t="s">
        <v>31</v>
      </c>
      <c r="L7540" s="4" t="s">
        <v>46840</v>
      </c>
      <c r="M7540" s="2" t="s">
        <v>46929</v>
      </c>
      <c r="N7540" s="2" t="s">
        <v>46841</v>
      </c>
      <c r="O7540" s="4" t="s">
        <v>46842</v>
      </c>
      <c r="P7540" s="2" t="s">
        <v>46843</v>
      </c>
      <c r="Q7540" s="2" t="s">
        <v>31</v>
      </c>
      <c r="R7540" s="2" t="s">
        <v>1185</v>
      </c>
      <c r="S7540" s="4" t="s">
        <v>46844</v>
      </c>
      <c r="T7540" s="2" t="s">
        <v>66</v>
      </c>
      <c r="U7540" s="4" t="s">
        <v>31</v>
      </c>
      <c r="V7540" s="2" t="s">
        <v>46930</v>
      </c>
      <c r="W7540" s="2" t="s">
        <v>46838</v>
      </c>
      <c r="X7540" s="5" t="str">
        <f>HYPERLINK("https://my.pitchbook.com?p=107319-16P","View People Online")</f>
        <v>View People Online</v>
      </c>
    </row>
    <row r="7541">
      <c r="A7541" s="6" t="s">
        <v>46931</v>
      </c>
      <c r="B7541" s="6" t="s">
        <v>46932</v>
      </c>
      <c r="C7541" s="6" t="s">
        <v>5985</v>
      </c>
      <c r="D7541" s="6" t="s">
        <v>46933</v>
      </c>
      <c r="E7541" s="6" t="s">
        <v>46838</v>
      </c>
      <c r="F7541" s="6" t="s">
        <v>2532</v>
      </c>
      <c r="G7541" s="6" t="s">
        <v>46934</v>
      </c>
      <c r="H7541" s="7" t="s">
        <v>31</v>
      </c>
      <c r="I7541" s="7">
        <v>1.0</v>
      </c>
      <c r="J7541" s="7">
        <v>1.0</v>
      </c>
      <c r="K7541" s="7" t="s">
        <v>31</v>
      </c>
      <c r="L7541" s="8" t="s">
        <v>46840</v>
      </c>
      <c r="M7541" s="6" t="s">
        <v>46935</v>
      </c>
      <c r="N7541" s="6" t="s">
        <v>46841</v>
      </c>
      <c r="O7541" s="8" t="s">
        <v>46842</v>
      </c>
      <c r="P7541" s="6" t="s">
        <v>46843</v>
      </c>
      <c r="Q7541" s="6" t="s">
        <v>31</v>
      </c>
      <c r="R7541" s="6" t="s">
        <v>1185</v>
      </c>
      <c r="S7541" s="8" t="s">
        <v>46844</v>
      </c>
      <c r="T7541" s="6" t="s">
        <v>66</v>
      </c>
      <c r="U7541" s="8" t="s">
        <v>31</v>
      </c>
      <c r="V7541" s="6" t="s">
        <v>46936</v>
      </c>
      <c r="W7541" s="6" t="s">
        <v>46838</v>
      </c>
      <c r="X7541" s="9" t="str">
        <f>HYPERLINK("https://my.pitchbook.com?p=141311-71P","View People Online")</f>
        <v>View People Online</v>
      </c>
    </row>
    <row r="7542">
      <c r="A7542" s="2" t="s">
        <v>46937</v>
      </c>
      <c r="B7542" s="2" t="s">
        <v>46938</v>
      </c>
      <c r="C7542" s="2" t="s">
        <v>3846</v>
      </c>
      <c r="D7542" s="2" t="s">
        <v>46939</v>
      </c>
      <c r="E7542" s="2" t="s">
        <v>46838</v>
      </c>
      <c r="F7542" s="2" t="s">
        <v>502</v>
      </c>
      <c r="G7542" s="2" t="s">
        <v>46940</v>
      </c>
      <c r="H7542" s="3" t="s">
        <v>31</v>
      </c>
      <c r="I7542" s="3">
        <v>1.0</v>
      </c>
      <c r="J7542" s="3">
        <v>1.0</v>
      </c>
      <c r="K7542" s="3" t="s">
        <v>31</v>
      </c>
      <c r="L7542" s="4" t="s">
        <v>46840</v>
      </c>
      <c r="M7542" s="2" t="s">
        <v>46941</v>
      </c>
      <c r="N7542" s="2" t="s">
        <v>46841</v>
      </c>
      <c r="O7542" s="4" t="s">
        <v>46842</v>
      </c>
      <c r="P7542" s="2" t="s">
        <v>46843</v>
      </c>
      <c r="Q7542" s="2" t="s">
        <v>31</v>
      </c>
      <c r="R7542" s="2" t="s">
        <v>1185</v>
      </c>
      <c r="S7542" s="4" t="s">
        <v>46844</v>
      </c>
      <c r="T7542" s="2" t="s">
        <v>66</v>
      </c>
      <c r="U7542" s="4" t="s">
        <v>31</v>
      </c>
      <c r="V7542" s="2" t="s">
        <v>502</v>
      </c>
      <c r="W7542" s="2" t="s">
        <v>46838</v>
      </c>
      <c r="X7542" s="5" t="str">
        <f>HYPERLINK("https://my.pitchbook.com?p=427201-39P","View People Online")</f>
        <v>View People Online</v>
      </c>
    </row>
    <row r="7543">
      <c r="A7543" s="6" t="s">
        <v>46942</v>
      </c>
      <c r="B7543" s="6" t="s">
        <v>46943</v>
      </c>
      <c r="C7543" s="6" t="s">
        <v>126</v>
      </c>
      <c r="D7543" s="6" t="s">
        <v>7090</v>
      </c>
      <c r="E7543" s="6" t="s">
        <v>46838</v>
      </c>
      <c r="F7543" s="6" t="s">
        <v>3710</v>
      </c>
      <c r="G7543" s="6" t="s">
        <v>46944</v>
      </c>
      <c r="H7543" s="7">
        <v>1.0</v>
      </c>
      <c r="I7543" s="7">
        <v>3.0</v>
      </c>
      <c r="J7543" s="7">
        <v>2.0</v>
      </c>
      <c r="K7543" s="7" t="s">
        <v>31</v>
      </c>
      <c r="L7543" s="8" t="s">
        <v>46840</v>
      </c>
      <c r="M7543" s="6" t="s">
        <v>46945</v>
      </c>
      <c r="N7543" s="6" t="s">
        <v>46841</v>
      </c>
      <c r="O7543" s="8" t="s">
        <v>46842</v>
      </c>
      <c r="P7543" s="6" t="s">
        <v>46843</v>
      </c>
      <c r="Q7543" s="6" t="s">
        <v>31</v>
      </c>
      <c r="R7543" s="6" t="s">
        <v>1185</v>
      </c>
      <c r="S7543" s="8" t="s">
        <v>46844</v>
      </c>
      <c r="T7543" s="6" t="s">
        <v>66</v>
      </c>
      <c r="U7543" s="8" t="s">
        <v>31</v>
      </c>
      <c r="V7543" s="6" t="s">
        <v>3710</v>
      </c>
      <c r="W7543" s="6" t="s">
        <v>46838</v>
      </c>
      <c r="X7543" s="9" t="str">
        <f>HYPERLINK("https://my.pitchbook.com?p=197230-69P","View People Online")</f>
        <v>View People Online</v>
      </c>
    </row>
    <row r="7544">
      <c r="A7544" s="2" t="s">
        <v>46946</v>
      </c>
      <c r="B7544" s="2" t="s">
        <v>46947</v>
      </c>
      <c r="C7544" s="2" t="s">
        <v>395</v>
      </c>
      <c r="D7544" s="2" t="s">
        <v>2561</v>
      </c>
      <c r="E7544" s="2" t="s">
        <v>46838</v>
      </c>
      <c r="F7544" s="2" t="s">
        <v>371</v>
      </c>
      <c r="G7544" s="2" t="s">
        <v>46948</v>
      </c>
      <c r="H7544" s="3" t="s">
        <v>31</v>
      </c>
      <c r="I7544" s="3">
        <v>1.0</v>
      </c>
      <c r="J7544" s="3">
        <v>1.0</v>
      </c>
      <c r="K7544" s="3" t="s">
        <v>31</v>
      </c>
      <c r="L7544" s="4" t="s">
        <v>46840</v>
      </c>
      <c r="M7544" s="2" t="s">
        <v>46949</v>
      </c>
      <c r="N7544" s="2" t="s">
        <v>46841</v>
      </c>
      <c r="O7544" s="4" t="s">
        <v>46842</v>
      </c>
      <c r="P7544" s="2" t="s">
        <v>46843</v>
      </c>
      <c r="Q7544" s="2" t="s">
        <v>31</v>
      </c>
      <c r="R7544" s="2" t="s">
        <v>1185</v>
      </c>
      <c r="S7544" s="4" t="s">
        <v>46844</v>
      </c>
      <c r="T7544" s="2" t="s">
        <v>66</v>
      </c>
      <c r="U7544" s="4" t="s">
        <v>31</v>
      </c>
      <c r="V7544" s="2" t="s">
        <v>46950</v>
      </c>
      <c r="W7544" s="2" t="s">
        <v>46838</v>
      </c>
      <c r="X7544" s="5" t="str">
        <f>HYPERLINK("https://my.pitchbook.com?p=86523-22P","View People Online")</f>
        <v>View People Online</v>
      </c>
    </row>
    <row r="7545">
      <c r="A7545" s="14" t="s">
        <v>46951</v>
      </c>
      <c r="B7545" s="14" t="s">
        <v>46952</v>
      </c>
      <c r="C7545" s="14" t="s">
        <v>1697</v>
      </c>
      <c r="D7545" s="14" t="s">
        <v>46953</v>
      </c>
      <c r="E7545" s="14" t="s">
        <v>46838</v>
      </c>
      <c r="F7545" s="14" t="s">
        <v>5365</v>
      </c>
      <c r="G7545" s="14" t="s">
        <v>46954</v>
      </c>
      <c r="H7545" s="15" t="s">
        <v>31</v>
      </c>
      <c r="I7545" s="15">
        <v>1.0</v>
      </c>
      <c r="J7545" s="15">
        <v>1.0</v>
      </c>
      <c r="K7545" s="15" t="s">
        <v>31</v>
      </c>
      <c r="L7545" s="16" t="s">
        <v>46840</v>
      </c>
      <c r="M7545" s="14" t="s">
        <v>46955</v>
      </c>
      <c r="N7545" s="14" t="s">
        <v>46841</v>
      </c>
      <c r="O7545" s="16" t="s">
        <v>46842</v>
      </c>
      <c r="P7545" s="14" t="s">
        <v>46843</v>
      </c>
      <c r="Q7545" s="14" t="s">
        <v>31</v>
      </c>
      <c r="R7545" s="14" t="s">
        <v>1185</v>
      </c>
      <c r="S7545" s="16" t="s">
        <v>46844</v>
      </c>
      <c r="T7545" s="14" t="s">
        <v>66</v>
      </c>
      <c r="U7545" s="16" t="s">
        <v>31</v>
      </c>
      <c r="V7545" s="14" t="s">
        <v>46956</v>
      </c>
      <c r="W7545" s="14" t="s">
        <v>46838</v>
      </c>
      <c r="X7545" s="17" t="str">
        <f>HYPERLINK("https://my.pitchbook.com?p=65881-36P","View People Online")</f>
        <v>View People Online</v>
      </c>
    </row>
    <row r="7546">
      <c r="A7546" s="2" t="s">
        <v>46957</v>
      </c>
      <c r="B7546" s="2" t="s">
        <v>46958</v>
      </c>
      <c r="C7546" s="2" t="s">
        <v>10936</v>
      </c>
      <c r="D7546" s="2" t="s">
        <v>18624</v>
      </c>
      <c r="E7546" s="2" t="s">
        <v>46959</v>
      </c>
      <c r="F7546" s="2" t="s">
        <v>470</v>
      </c>
      <c r="G7546" s="2" t="s">
        <v>46960</v>
      </c>
      <c r="H7546" s="3" t="s">
        <v>31</v>
      </c>
      <c r="I7546" s="3">
        <v>13.0</v>
      </c>
      <c r="J7546" s="3">
        <v>1.0</v>
      </c>
      <c r="K7546" s="3">
        <v>12.0</v>
      </c>
      <c r="L7546" s="4" t="s">
        <v>46961</v>
      </c>
      <c r="M7546" s="2" t="s">
        <v>46962</v>
      </c>
      <c r="N7546" s="2" t="s">
        <v>46963</v>
      </c>
      <c r="O7546" s="4" t="s">
        <v>46964</v>
      </c>
      <c r="P7546" s="2" t="s">
        <v>46965</v>
      </c>
      <c r="Q7546" s="2" t="s">
        <v>31</v>
      </c>
      <c r="R7546" s="2" t="s">
        <v>1185</v>
      </c>
      <c r="S7546" s="4" t="s">
        <v>46966</v>
      </c>
      <c r="T7546" s="2" t="s">
        <v>66</v>
      </c>
      <c r="U7546" s="4" t="s">
        <v>46967</v>
      </c>
      <c r="V7546" s="2" t="s">
        <v>470</v>
      </c>
      <c r="W7546" s="2" t="s">
        <v>46959</v>
      </c>
      <c r="X7546" s="5" t="str">
        <f>HYPERLINK("https://my.pitchbook.com?p=242072-83P","View People Online")</f>
        <v>View People Online</v>
      </c>
    </row>
    <row r="7547">
      <c r="A7547" s="6" t="s">
        <v>46968</v>
      </c>
      <c r="B7547" s="6" t="s">
        <v>46969</v>
      </c>
      <c r="C7547" s="6" t="s">
        <v>1502</v>
      </c>
      <c r="D7547" s="6" t="s">
        <v>46970</v>
      </c>
      <c r="E7547" s="6" t="s">
        <v>46959</v>
      </c>
      <c r="F7547" s="6" t="s">
        <v>502</v>
      </c>
      <c r="G7547" s="6" t="s">
        <v>46971</v>
      </c>
      <c r="H7547" s="7" t="s">
        <v>31</v>
      </c>
      <c r="I7547" s="7">
        <v>1.0</v>
      </c>
      <c r="J7547" s="7">
        <v>1.0</v>
      </c>
      <c r="K7547" s="7" t="s">
        <v>31</v>
      </c>
      <c r="L7547" s="8" t="s">
        <v>46961</v>
      </c>
      <c r="M7547" s="6" t="s">
        <v>46972</v>
      </c>
      <c r="N7547" s="6" t="s">
        <v>46963</v>
      </c>
      <c r="O7547" s="8" t="s">
        <v>46964</v>
      </c>
      <c r="P7547" s="6" t="s">
        <v>46965</v>
      </c>
      <c r="Q7547" s="6" t="s">
        <v>31</v>
      </c>
      <c r="R7547" s="6" t="s">
        <v>1185</v>
      </c>
      <c r="S7547" s="8" t="s">
        <v>46966</v>
      </c>
      <c r="T7547" s="6" t="s">
        <v>66</v>
      </c>
      <c r="U7547" s="8" t="s">
        <v>46967</v>
      </c>
      <c r="V7547" s="6" t="s">
        <v>502</v>
      </c>
      <c r="W7547" s="6" t="s">
        <v>46959</v>
      </c>
      <c r="X7547" s="9" t="str">
        <f>HYPERLINK("https://my.pitchbook.com?p=390185-38P","View People Online")</f>
        <v>View People Online</v>
      </c>
    </row>
    <row r="7548">
      <c r="A7548" s="10" t="s">
        <v>46973</v>
      </c>
      <c r="B7548" s="10" t="s">
        <v>46974</v>
      </c>
      <c r="C7548" s="10" t="s">
        <v>3852</v>
      </c>
      <c r="D7548" s="10" t="s">
        <v>46975</v>
      </c>
      <c r="E7548" s="10" t="s">
        <v>46959</v>
      </c>
      <c r="F7548" s="10" t="s">
        <v>548</v>
      </c>
      <c r="G7548" s="10" t="s">
        <v>46976</v>
      </c>
      <c r="H7548" s="11" t="s">
        <v>31</v>
      </c>
      <c r="I7548" s="11">
        <v>1.0</v>
      </c>
      <c r="J7548" s="11">
        <v>1.0</v>
      </c>
      <c r="K7548" s="11" t="s">
        <v>31</v>
      </c>
      <c r="L7548" s="12" t="s">
        <v>46977</v>
      </c>
      <c r="M7548" s="10" t="s">
        <v>46978</v>
      </c>
      <c r="N7548" s="10" t="s">
        <v>46963</v>
      </c>
      <c r="O7548" s="12" t="s">
        <v>46964</v>
      </c>
      <c r="P7548" s="10" t="s">
        <v>46965</v>
      </c>
      <c r="Q7548" s="10" t="s">
        <v>31</v>
      </c>
      <c r="R7548" s="10" t="s">
        <v>1185</v>
      </c>
      <c r="S7548" s="12" t="s">
        <v>46966</v>
      </c>
      <c r="T7548" s="10" t="s">
        <v>66</v>
      </c>
      <c r="U7548" s="12" t="s">
        <v>46967</v>
      </c>
      <c r="V7548" s="10" t="s">
        <v>46979</v>
      </c>
      <c r="W7548" s="10" t="s">
        <v>46959</v>
      </c>
      <c r="X7548" s="13" t="str">
        <f>HYPERLINK("https://my.pitchbook.com?p=242066-71P","View People Online")</f>
        <v>View People Online</v>
      </c>
    </row>
    <row r="7549">
      <c r="A7549" s="14" t="s">
        <v>46980</v>
      </c>
      <c r="B7549" s="14" t="s">
        <v>46981</v>
      </c>
      <c r="C7549" s="14" t="s">
        <v>126</v>
      </c>
      <c r="D7549" s="14" t="s">
        <v>46982</v>
      </c>
      <c r="E7549" s="14" t="s">
        <v>46959</v>
      </c>
      <c r="F7549" s="14" t="s">
        <v>2199</v>
      </c>
      <c r="G7549" s="14" t="s">
        <v>46983</v>
      </c>
      <c r="H7549" s="15">
        <v>1.0</v>
      </c>
      <c r="I7549" s="15">
        <v>12.0</v>
      </c>
      <c r="J7549" s="15">
        <v>1.0</v>
      </c>
      <c r="K7549" s="15">
        <v>9.0</v>
      </c>
      <c r="L7549" s="16" t="s">
        <v>46961</v>
      </c>
      <c r="M7549" s="14" t="s">
        <v>31</v>
      </c>
      <c r="N7549" s="14" t="s">
        <v>46963</v>
      </c>
      <c r="O7549" s="16" t="s">
        <v>46964</v>
      </c>
      <c r="P7549" s="14" t="s">
        <v>46965</v>
      </c>
      <c r="Q7549" s="14" t="s">
        <v>31</v>
      </c>
      <c r="R7549" s="14" t="s">
        <v>1185</v>
      </c>
      <c r="S7549" s="16" t="s">
        <v>46966</v>
      </c>
      <c r="T7549" s="14" t="s">
        <v>66</v>
      </c>
      <c r="U7549" s="16" t="s">
        <v>46967</v>
      </c>
      <c r="V7549" s="14" t="s">
        <v>2199</v>
      </c>
      <c r="W7549" s="14" t="s">
        <v>46959</v>
      </c>
      <c r="X7549" s="17" t="str">
        <f>HYPERLINK("https://my.pitchbook.com?p=203574-25P","View People Online")</f>
        <v>View People Online</v>
      </c>
    </row>
    <row r="7550">
      <c r="A7550" s="10" t="s">
        <v>46984</v>
      </c>
      <c r="B7550" s="10" t="s">
        <v>46985</v>
      </c>
      <c r="C7550" s="10" t="s">
        <v>167</v>
      </c>
      <c r="D7550" s="10" t="s">
        <v>46986</v>
      </c>
      <c r="E7550" s="10" t="s">
        <v>46959</v>
      </c>
      <c r="F7550" s="10" t="s">
        <v>548</v>
      </c>
      <c r="G7550" s="10" t="s">
        <v>46987</v>
      </c>
      <c r="H7550" s="11" t="s">
        <v>31</v>
      </c>
      <c r="I7550" s="11">
        <v>1.0</v>
      </c>
      <c r="J7550" s="11">
        <v>1.0</v>
      </c>
      <c r="K7550" s="11" t="s">
        <v>31</v>
      </c>
      <c r="L7550" s="12" t="s">
        <v>46961</v>
      </c>
      <c r="M7550" s="10" t="s">
        <v>46988</v>
      </c>
      <c r="N7550" s="10" t="s">
        <v>1181</v>
      </c>
      <c r="O7550" s="12" t="s">
        <v>1182</v>
      </c>
      <c r="P7550" s="10" t="s">
        <v>46989</v>
      </c>
      <c r="Q7550" s="10" t="s">
        <v>6654</v>
      </c>
      <c r="R7550" s="10" t="s">
        <v>1185</v>
      </c>
      <c r="S7550" s="12" t="s">
        <v>29487</v>
      </c>
      <c r="T7550" s="10" t="s">
        <v>66</v>
      </c>
      <c r="U7550" s="12" t="s">
        <v>31</v>
      </c>
      <c r="V7550" s="10" t="s">
        <v>548</v>
      </c>
      <c r="W7550" s="10" t="s">
        <v>46959</v>
      </c>
      <c r="X7550" s="13" t="str">
        <f>HYPERLINK("https://my.pitchbook.com?p=143396-20P","View People Online")</f>
        <v>View People Online</v>
      </c>
    </row>
    <row r="7551">
      <c r="A7551" s="6" t="s">
        <v>46990</v>
      </c>
      <c r="B7551" s="6" t="s">
        <v>46991</v>
      </c>
      <c r="C7551" s="6" t="s">
        <v>1697</v>
      </c>
      <c r="D7551" s="6" t="s">
        <v>46992</v>
      </c>
      <c r="E7551" s="6" t="s">
        <v>46959</v>
      </c>
      <c r="F7551" s="6" t="s">
        <v>1801</v>
      </c>
      <c r="G7551" s="6" t="s">
        <v>46993</v>
      </c>
      <c r="H7551" s="7" t="s">
        <v>31</v>
      </c>
      <c r="I7551" s="7">
        <v>1.0</v>
      </c>
      <c r="J7551" s="7">
        <v>1.0</v>
      </c>
      <c r="K7551" s="7" t="s">
        <v>31</v>
      </c>
      <c r="L7551" s="8" t="s">
        <v>46961</v>
      </c>
      <c r="M7551" s="6" t="s">
        <v>46994</v>
      </c>
      <c r="N7551" s="6" t="s">
        <v>46963</v>
      </c>
      <c r="O7551" s="8" t="s">
        <v>46964</v>
      </c>
      <c r="P7551" s="6" t="s">
        <v>46965</v>
      </c>
      <c r="Q7551" s="6" t="s">
        <v>31</v>
      </c>
      <c r="R7551" s="6" t="s">
        <v>1185</v>
      </c>
      <c r="S7551" s="8" t="s">
        <v>46966</v>
      </c>
      <c r="T7551" s="6" t="s">
        <v>66</v>
      </c>
      <c r="U7551" s="8" t="s">
        <v>46967</v>
      </c>
      <c r="V7551" s="6" t="s">
        <v>46995</v>
      </c>
      <c r="W7551" s="6" t="s">
        <v>46959</v>
      </c>
      <c r="X7551" s="9" t="str">
        <f>HYPERLINK("https://my.pitchbook.com?p=242069-14P","View People Online")</f>
        <v>View People Online</v>
      </c>
    </row>
    <row r="7552">
      <c r="A7552" s="2" t="s">
        <v>46996</v>
      </c>
      <c r="B7552" s="2" t="s">
        <v>46997</v>
      </c>
      <c r="C7552" s="2" t="s">
        <v>46998</v>
      </c>
      <c r="D7552" s="2" t="s">
        <v>46999</v>
      </c>
      <c r="E7552" s="2" t="s">
        <v>47000</v>
      </c>
      <c r="F7552" s="2" t="s">
        <v>43</v>
      </c>
      <c r="G7552" s="2" t="s">
        <v>47001</v>
      </c>
      <c r="H7552" s="3">
        <v>4.0</v>
      </c>
      <c r="I7552" s="3">
        <v>25.0</v>
      </c>
      <c r="J7552" s="3">
        <v>1.0</v>
      </c>
      <c r="K7552" s="3">
        <v>14.0</v>
      </c>
      <c r="L7552" s="4" t="s">
        <v>31</v>
      </c>
      <c r="M7552" s="2" t="s">
        <v>47002</v>
      </c>
      <c r="N7552" s="2" t="s">
        <v>155</v>
      </c>
      <c r="O7552" s="4" t="s">
        <v>156</v>
      </c>
      <c r="P7552" s="2" t="s">
        <v>47003</v>
      </c>
      <c r="Q7552" s="2" t="s">
        <v>31</v>
      </c>
      <c r="R7552" s="2" t="s">
        <v>64</v>
      </c>
      <c r="S7552" s="4" t="s">
        <v>7780</v>
      </c>
      <c r="T7552" s="2" t="s">
        <v>66</v>
      </c>
      <c r="U7552" s="4" t="s">
        <v>47004</v>
      </c>
      <c r="V7552" s="2" t="s">
        <v>43</v>
      </c>
      <c r="W7552" s="2" t="s">
        <v>47000</v>
      </c>
      <c r="X7552" s="5" t="str">
        <f>HYPERLINK("https://my.pitchbook.com?p=84558-97P","View People Online")</f>
        <v>View People Online</v>
      </c>
    </row>
    <row r="7553">
      <c r="A7553" s="14" t="s">
        <v>47005</v>
      </c>
      <c r="B7553" s="14" t="s">
        <v>47006</v>
      </c>
      <c r="C7553" s="14" t="s">
        <v>69</v>
      </c>
      <c r="D7553" s="14" t="s">
        <v>47007</v>
      </c>
      <c r="E7553" s="14" t="s">
        <v>47000</v>
      </c>
      <c r="F7553" s="14" t="s">
        <v>86</v>
      </c>
      <c r="G7553" s="14" t="s">
        <v>47008</v>
      </c>
      <c r="H7553" s="15">
        <v>7.0</v>
      </c>
      <c r="I7553" s="15">
        <v>70.0</v>
      </c>
      <c r="J7553" s="15">
        <v>1.0</v>
      </c>
      <c r="K7553" s="15">
        <v>51.0</v>
      </c>
      <c r="L7553" s="16" t="s">
        <v>47009</v>
      </c>
      <c r="M7553" s="14" t="s">
        <v>47010</v>
      </c>
      <c r="N7553" s="14" t="s">
        <v>1442</v>
      </c>
      <c r="O7553" s="16" t="s">
        <v>1443</v>
      </c>
      <c r="P7553" s="14" t="s">
        <v>47011</v>
      </c>
      <c r="Q7553" s="14" t="s">
        <v>3928</v>
      </c>
      <c r="R7553" s="14" t="s">
        <v>1277</v>
      </c>
      <c r="S7553" s="16" t="s">
        <v>30123</v>
      </c>
      <c r="T7553" s="14" t="s">
        <v>66</v>
      </c>
      <c r="U7553" s="16" t="s">
        <v>47012</v>
      </c>
      <c r="V7553" s="14" t="s">
        <v>95</v>
      </c>
      <c r="W7553" s="14" t="s">
        <v>47000</v>
      </c>
      <c r="X7553" s="17" t="str">
        <f>HYPERLINK("https://my.pitchbook.com?p=13598-74P","View People Online")</f>
        <v>View People Online</v>
      </c>
    </row>
    <row r="7554">
      <c r="A7554" s="2" t="s">
        <v>47013</v>
      </c>
      <c r="B7554" s="2" t="s">
        <v>47014</v>
      </c>
      <c r="C7554" s="2" t="s">
        <v>1449</v>
      </c>
      <c r="D7554" s="2" t="s">
        <v>831</v>
      </c>
      <c r="E7554" s="2" t="s">
        <v>47000</v>
      </c>
      <c r="F7554" s="2" t="s">
        <v>114</v>
      </c>
      <c r="G7554" s="2" t="s">
        <v>47015</v>
      </c>
      <c r="H7554" s="3">
        <v>4.0</v>
      </c>
      <c r="I7554" s="3">
        <v>66.0</v>
      </c>
      <c r="J7554" s="3">
        <v>1.0</v>
      </c>
      <c r="K7554" s="3">
        <v>54.0</v>
      </c>
      <c r="L7554" s="4" t="s">
        <v>31</v>
      </c>
      <c r="M7554" s="2" t="s">
        <v>31</v>
      </c>
      <c r="N7554" s="2" t="s">
        <v>155</v>
      </c>
      <c r="O7554" s="4" t="s">
        <v>156</v>
      </c>
      <c r="P7554" s="2" t="s">
        <v>47003</v>
      </c>
      <c r="Q7554" s="2" t="s">
        <v>31</v>
      </c>
      <c r="R7554" s="2" t="s">
        <v>64</v>
      </c>
      <c r="S7554" s="4" t="s">
        <v>7780</v>
      </c>
      <c r="T7554" s="2" t="s">
        <v>66</v>
      </c>
      <c r="U7554" s="4" t="s">
        <v>47004</v>
      </c>
      <c r="V7554" s="2" t="s">
        <v>114</v>
      </c>
      <c r="W7554" s="2" t="s">
        <v>47000</v>
      </c>
      <c r="X7554" s="5" t="str">
        <f>HYPERLINK("https://my.pitchbook.com?p=42332-68P","View People Online")</f>
        <v>View People Online</v>
      </c>
    </row>
    <row r="7555">
      <c r="A7555" s="6" t="s">
        <v>47016</v>
      </c>
      <c r="B7555" s="6" t="s">
        <v>47017</v>
      </c>
      <c r="C7555" s="6" t="s">
        <v>8234</v>
      </c>
      <c r="D7555" s="6" t="s">
        <v>47018</v>
      </c>
      <c r="E7555" s="6" t="s">
        <v>47000</v>
      </c>
      <c r="F7555" s="6" t="s">
        <v>270</v>
      </c>
      <c r="G7555" s="6" t="s">
        <v>47019</v>
      </c>
      <c r="H7555" s="7" t="s">
        <v>31</v>
      </c>
      <c r="I7555" s="7">
        <v>1.0</v>
      </c>
      <c r="J7555" s="7">
        <v>1.0</v>
      </c>
      <c r="K7555" s="7" t="s">
        <v>31</v>
      </c>
      <c r="L7555" s="8" t="s">
        <v>47009</v>
      </c>
      <c r="M7555" s="6" t="s">
        <v>47020</v>
      </c>
      <c r="N7555" s="6" t="s">
        <v>1442</v>
      </c>
      <c r="O7555" s="8" t="s">
        <v>1443</v>
      </c>
      <c r="P7555" s="6" t="s">
        <v>47011</v>
      </c>
      <c r="Q7555" s="6" t="s">
        <v>3928</v>
      </c>
      <c r="R7555" s="6" t="s">
        <v>1277</v>
      </c>
      <c r="S7555" s="8" t="s">
        <v>30123</v>
      </c>
      <c r="T7555" s="6" t="s">
        <v>66</v>
      </c>
      <c r="U7555" s="8" t="s">
        <v>47012</v>
      </c>
      <c r="V7555" s="6" t="s">
        <v>662</v>
      </c>
      <c r="W7555" s="6" t="s">
        <v>47000</v>
      </c>
      <c r="X7555" s="9" t="str">
        <f>HYPERLINK("https://my.pitchbook.com?p=357117-40P","View People Online")</f>
        <v>View People Online</v>
      </c>
    </row>
    <row r="7556">
      <c r="A7556" s="2" t="s">
        <v>47021</v>
      </c>
      <c r="B7556" s="2" t="s">
        <v>47022</v>
      </c>
      <c r="C7556" s="2" t="s">
        <v>3529</v>
      </c>
      <c r="D7556" s="2" t="s">
        <v>47023</v>
      </c>
      <c r="E7556" s="2" t="s">
        <v>47000</v>
      </c>
      <c r="F7556" s="2" t="s">
        <v>32759</v>
      </c>
      <c r="G7556" s="2" t="s">
        <v>47024</v>
      </c>
      <c r="H7556" s="3">
        <v>5.0</v>
      </c>
      <c r="I7556" s="3">
        <v>51.0</v>
      </c>
      <c r="J7556" s="3">
        <v>1.0</v>
      </c>
      <c r="K7556" s="3">
        <v>36.0</v>
      </c>
      <c r="L7556" s="4" t="s">
        <v>47009</v>
      </c>
      <c r="M7556" s="2" t="s">
        <v>47025</v>
      </c>
      <c r="N7556" s="2" t="s">
        <v>1442</v>
      </c>
      <c r="O7556" s="4" t="s">
        <v>1443</v>
      </c>
      <c r="P7556" s="2" t="s">
        <v>47011</v>
      </c>
      <c r="Q7556" s="2" t="s">
        <v>3928</v>
      </c>
      <c r="R7556" s="2" t="s">
        <v>1277</v>
      </c>
      <c r="S7556" s="4" t="s">
        <v>30123</v>
      </c>
      <c r="T7556" s="2" t="s">
        <v>66</v>
      </c>
      <c r="U7556" s="4" t="s">
        <v>47012</v>
      </c>
      <c r="V7556" s="2" t="s">
        <v>32759</v>
      </c>
      <c r="W7556" s="2" t="s">
        <v>47000</v>
      </c>
      <c r="X7556" s="5" t="str">
        <f>HYPERLINK("https://my.pitchbook.com?p=33214-51P","View People Online")</f>
        <v>View People Online</v>
      </c>
    </row>
    <row r="7557">
      <c r="A7557" s="14" t="s">
        <v>47026</v>
      </c>
      <c r="B7557" s="14" t="s">
        <v>47027</v>
      </c>
      <c r="C7557" s="14" t="s">
        <v>9049</v>
      </c>
      <c r="D7557" s="14" t="s">
        <v>36581</v>
      </c>
      <c r="E7557" s="14" t="s">
        <v>47000</v>
      </c>
      <c r="F7557" s="14" t="s">
        <v>29</v>
      </c>
      <c r="G7557" s="14" t="s">
        <v>47028</v>
      </c>
      <c r="H7557" s="15">
        <v>1.0</v>
      </c>
      <c r="I7557" s="15">
        <v>2.0</v>
      </c>
      <c r="J7557" s="15">
        <v>1.0</v>
      </c>
      <c r="K7557" s="15" t="s">
        <v>31</v>
      </c>
      <c r="L7557" s="16" t="s">
        <v>47009</v>
      </c>
      <c r="M7557" s="14" t="s">
        <v>47029</v>
      </c>
      <c r="N7557" s="14" t="s">
        <v>1442</v>
      </c>
      <c r="O7557" s="16" t="s">
        <v>1443</v>
      </c>
      <c r="P7557" s="14" t="s">
        <v>47011</v>
      </c>
      <c r="Q7557" s="14" t="s">
        <v>3928</v>
      </c>
      <c r="R7557" s="14" t="s">
        <v>1277</v>
      </c>
      <c r="S7557" s="16" t="s">
        <v>30123</v>
      </c>
      <c r="T7557" s="14" t="s">
        <v>66</v>
      </c>
      <c r="U7557" s="16" t="s">
        <v>47012</v>
      </c>
      <c r="V7557" s="14" t="s">
        <v>29</v>
      </c>
      <c r="W7557" s="14" t="s">
        <v>47000</v>
      </c>
      <c r="X7557" s="17" t="str">
        <f>HYPERLINK("https://my.pitchbook.com?p=223037-20P","View People Online")</f>
        <v>View People Online</v>
      </c>
    </row>
    <row r="7558">
      <c r="A7558" s="10" t="s">
        <v>47030</v>
      </c>
      <c r="B7558" s="10" t="s">
        <v>47031</v>
      </c>
      <c r="C7558" s="10" t="s">
        <v>47032</v>
      </c>
      <c r="D7558" s="10" t="s">
        <v>47033</v>
      </c>
      <c r="E7558" s="10" t="s">
        <v>47000</v>
      </c>
      <c r="F7558" s="10" t="s">
        <v>47034</v>
      </c>
      <c r="G7558" s="10" t="s">
        <v>47035</v>
      </c>
      <c r="H7558" s="11" t="s">
        <v>31</v>
      </c>
      <c r="I7558" s="11">
        <v>1.0</v>
      </c>
      <c r="J7558" s="11">
        <v>1.0</v>
      </c>
      <c r="K7558" s="11" t="s">
        <v>31</v>
      </c>
      <c r="L7558" s="12" t="s">
        <v>47009</v>
      </c>
      <c r="M7558" s="10" t="s">
        <v>47036</v>
      </c>
      <c r="N7558" s="10" t="s">
        <v>1442</v>
      </c>
      <c r="O7558" s="12" t="s">
        <v>1443</v>
      </c>
      <c r="P7558" s="10" t="s">
        <v>47011</v>
      </c>
      <c r="Q7558" s="10" t="s">
        <v>3928</v>
      </c>
      <c r="R7558" s="10" t="s">
        <v>1277</v>
      </c>
      <c r="S7558" s="12" t="s">
        <v>30123</v>
      </c>
      <c r="T7558" s="10" t="s">
        <v>66</v>
      </c>
      <c r="U7558" s="12" t="s">
        <v>47012</v>
      </c>
      <c r="V7558" s="10" t="s">
        <v>47037</v>
      </c>
      <c r="W7558" s="10" t="s">
        <v>47000</v>
      </c>
      <c r="X7558" s="13" t="str">
        <f>HYPERLINK("https://my.pitchbook.com?p=39078-37P","View People Online")</f>
        <v>View People Online</v>
      </c>
    </row>
    <row r="7559">
      <c r="A7559" s="14" t="s">
        <v>47038</v>
      </c>
      <c r="B7559" s="14" t="s">
        <v>47039</v>
      </c>
      <c r="C7559" s="14" t="s">
        <v>2596</v>
      </c>
      <c r="D7559" s="14" t="s">
        <v>47040</v>
      </c>
      <c r="E7559" s="14" t="s">
        <v>47000</v>
      </c>
      <c r="F7559" s="14" t="s">
        <v>114</v>
      </c>
      <c r="G7559" s="14" t="s">
        <v>47041</v>
      </c>
      <c r="H7559" s="15">
        <v>2.0</v>
      </c>
      <c r="I7559" s="15">
        <v>12.0</v>
      </c>
      <c r="J7559" s="15">
        <v>3.0</v>
      </c>
      <c r="K7559" s="15">
        <v>8.0</v>
      </c>
      <c r="L7559" s="16" t="s">
        <v>31</v>
      </c>
      <c r="M7559" s="14" t="s">
        <v>47042</v>
      </c>
      <c r="N7559" s="14" t="s">
        <v>75</v>
      </c>
      <c r="O7559" s="16" t="s">
        <v>76</v>
      </c>
      <c r="P7559" s="14" t="s">
        <v>31</v>
      </c>
      <c r="Q7559" s="14" t="s">
        <v>31</v>
      </c>
      <c r="R7559" s="14" t="s">
        <v>75</v>
      </c>
      <c r="S7559" s="16" t="s">
        <v>31</v>
      </c>
      <c r="T7559" s="14" t="s">
        <v>66</v>
      </c>
      <c r="U7559" s="16" t="s">
        <v>31</v>
      </c>
      <c r="V7559" s="14" t="s">
        <v>23602</v>
      </c>
      <c r="W7559" s="14" t="s">
        <v>47043</v>
      </c>
      <c r="X7559" s="17" t="str">
        <f>HYPERLINK("https://my.pitchbook.com?p=130893-85P","View People Online")</f>
        <v>View People Online</v>
      </c>
    </row>
    <row r="7560">
      <c r="A7560" s="10" t="s">
        <v>47044</v>
      </c>
      <c r="B7560" s="10" t="s">
        <v>47045</v>
      </c>
      <c r="C7560" s="10" t="s">
        <v>5536</v>
      </c>
      <c r="D7560" s="10" t="s">
        <v>4970</v>
      </c>
      <c r="E7560" s="10" t="s">
        <v>47000</v>
      </c>
      <c r="F7560" s="10" t="s">
        <v>29</v>
      </c>
      <c r="G7560" s="10" t="s">
        <v>47046</v>
      </c>
      <c r="H7560" s="11">
        <v>2.0</v>
      </c>
      <c r="I7560" s="11">
        <v>9.0</v>
      </c>
      <c r="J7560" s="11">
        <v>1.0</v>
      </c>
      <c r="K7560" s="11">
        <v>4.0</v>
      </c>
      <c r="L7560" s="12" t="s">
        <v>31</v>
      </c>
      <c r="M7560" s="10" t="s">
        <v>47047</v>
      </c>
      <c r="N7560" s="10" t="s">
        <v>155</v>
      </c>
      <c r="O7560" s="12" t="s">
        <v>156</v>
      </c>
      <c r="P7560" s="10" t="s">
        <v>47003</v>
      </c>
      <c r="Q7560" s="10" t="s">
        <v>31</v>
      </c>
      <c r="R7560" s="10" t="s">
        <v>64</v>
      </c>
      <c r="S7560" s="12" t="s">
        <v>7780</v>
      </c>
      <c r="T7560" s="10" t="s">
        <v>66</v>
      </c>
      <c r="U7560" s="12" t="s">
        <v>47004</v>
      </c>
      <c r="V7560" s="10" t="s">
        <v>29</v>
      </c>
      <c r="W7560" s="10" t="s">
        <v>47000</v>
      </c>
      <c r="X7560" s="13" t="str">
        <f>HYPERLINK("https://my.pitchbook.com?p=169750-00P","View People Online")</f>
        <v>View People Online</v>
      </c>
    </row>
    <row r="7561">
      <c r="A7561" s="6" t="s">
        <v>47048</v>
      </c>
      <c r="B7561" s="6" t="s">
        <v>47049</v>
      </c>
      <c r="C7561" s="6" t="s">
        <v>20212</v>
      </c>
      <c r="D7561" s="6" t="s">
        <v>47050</v>
      </c>
      <c r="E7561" s="6" t="s">
        <v>47000</v>
      </c>
      <c r="F7561" s="6" t="s">
        <v>1544</v>
      </c>
      <c r="G7561" s="6" t="s">
        <v>47051</v>
      </c>
      <c r="H7561" s="7" t="s">
        <v>31</v>
      </c>
      <c r="I7561" s="7">
        <v>1.0</v>
      </c>
      <c r="J7561" s="7">
        <v>1.0</v>
      </c>
      <c r="K7561" s="7" t="s">
        <v>31</v>
      </c>
      <c r="L7561" s="8" t="s">
        <v>47052</v>
      </c>
      <c r="M7561" s="6" t="s">
        <v>47053</v>
      </c>
      <c r="N7561" s="6" t="s">
        <v>155</v>
      </c>
      <c r="O7561" s="8" t="s">
        <v>156</v>
      </c>
      <c r="P7561" s="6" t="s">
        <v>47003</v>
      </c>
      <c r="Q7561" s="6" t="s">
        <v>31</v>
      </c>
      <c r="R7561" s="6" t="s">
        <v>64</v>
      </c>
      <c r="S7561" s="8" t="s">
        <v>7780</v>
      </c>
      <c r="T7561" s="6" t="s">
        <v>66</v>
      </c>
      <c r="U7561" s="8" t="s">
        <v>47004</v>
      </c>
      <c r="V7561" s="6" t="s">
        <v>47054</v>
      </c>
      <c r="W7561" s="6" t="s">
        <v>47000</v>
      </c>
      <c r="X7561" s="9" t="str">
        <f>HYPERLINK("https://my.pitchbook.com?p=172964-35P","View People Online")</f>
        <v>View People Online</v>
      </c>
    </row>
    <row r="7562">
      <c r="A7562" s="2" t="s">
        <v>47055</v>
      </c>
      <c r="B7562" s="2" t="s">
        <v>47056</v>
      </c>
      <c r="C7562" s="2" t="s">
        <v>47057</v>
      </c>
      <c r="D7562" s="2" t="s">
        <v>47058</v>
      </c>
      <c r="E7562" s="2" t="s">
        <v>47000</v>
      </c>
      <c r="F7562" s="2" t="s">
        <v>1801</v>
      </c>
      <c r="G7562" s="2" t="s">
        <v>47059</v>
      </c>
      <c r="H7562" s="3" t="s">
        <v>31</v>
      </c>
      <c r="I7562" s="3">
        <v>1.0</v>
      </c>
      <c r="J7562" s="3">
        <v>1.0</v>
      </c>
      <c r="K7562" s="3" t="s">
        <v>31</v>
      </c>
      <c r="L7562" s="4" t="s">
        <v>47009</v>
      </c>
      <c r="M7562" s="2" t="s">
        <v>47060</v>
      </c>
      <c r="N7562" s="2" t="s">
        <v>1442</v>
      </c>
      <c r="O7562" s="4" t="s">
        <v>1443</v>
      </c>
      <c r="P7562" s="2" t="s">
        <v>47011</v>
      </c>
      <c r="Q7562" s="2" t="s">
        <v>3928</v>
      </c>
      <c r="R7562" s="2" t="s">
        <v>1277</v>
      </c>
      <c r="S7562" s="4" t="s">
        <v>30123</v>
      </c>
      <c r="T7562" s="2" t="s">
        <v>66</v>
      </c>
      <c r="U7562" s="4" t="s">
        <v>47012</v>
      </c>
      <c r="V7562" s="2" t="s">
        <v>1804</v>
      </c>
      <c r="W7562" s="2" t="s">
        <v>47000</v>
      </c>
      <c r="X7562" s="5" t="str">
        <f>HYPERLINK("https://my.pitchbook.com?p=348686-38P","View People Online")</f>
        <v>View People Online</v>
      </c>
    </row>
    <row r="7563">
      <c r="A7563" s="14" t="s">
        <v>47061</v>
      </c>
      <c r="B7563" s="14" t="s">
        <v>47062</v>
      </c>
      <c r="C7563" s="14" t="s">
        <v>47063</v>
      </c>
      <c r="D7563" s="14" t="s">
        <v>47064</v>
      </c>
      <c r="E7563" s="14" t="s">
        <v>47000</v>
      </c>
      <c r="F7563" s="14" t="s">
        <v>201</v>
      </c>
      <c r="G7563" s="14" t="s">
        <v>47065</v>
      </c>
      <c r="H7563" s="15" t="s">
        <v>31</v>
      </c>
      <c r="I7563" s="15">
        <v>2.0</v>
      </c>
      <c r="J7563" s="15">
        <v>1.0</v>
      </c>
      <c r="K7563" s="15" t="s">
        <v>31</v>
      </c>
      <c r="L7563" s="16" t="s">
        <v>47009</v>
      </c>
      <c r="M7563" s="14" t="s">
        <v>47066</v>
      </c>
      <c r="N7563" s="14" t="s">
        <v>1442</v>
      </c>
      <c r="O7563" s="16" t="s">
        <v>1443</v>
      </c>
      <c r="P7563" s="14" t="s">
        <v>47011</v>
      </c>
      <c r="Q7563" s="14" t="s">
        <v>3928</v>
      </c>
      <c r="R7563" s="14" t="s">
        <v>1277</v>
      </c>
      <c r="S7563" s="16" t="s">
        <v>30123</v>
      </c>
      <c r="T7563" s="14" t="s">
        <v>66</v>
      </c>
      <c r="U7563" s="16" t="s">
        <v>47012</v>
      </c>
      <c r="V7563" s="14" t="s">
        <v>201</v>
      </c>
      <c r="W7563" s="14" t="s">
        <v>47000</v>
      </c>
      <c r="X7563" s="17" t="str">
        <f>HYPERLINK("https://my.pitchbook.com?p=197220-97P","View People Online")</f>
        <v>View People Online</v>
      </c>
    </row>
    <row r="7564">
      <c r="A7564" s="10" t="s">
        <v>47067</v>
      </c>
      <c r="B7564" s="10" t="s">
        <v>47068</v>
      </c>
      <c r="C7564" s="10" t="s">
        <v>29195</v>
      </c>
      <c r="D7564" s="10" t="s">
        <v>2561</v>
      </c>
      <c r="E7564" s="10" t="s">
        <v>47069</v>
      </c>
      <c r="F7564" s="10" t="s">
        <v>695</v>
      </c>
      <c r="G7564" s="10" t="s">
        <v>47070</v>
      </c>
      <c r="H7564" s="11" t="s">
        <v>31</v>
      </c>
      <c r="I7564" s="11">
        <v>2.0</v>
      </c>
      <c r="J7564" s="11">
        <v>2.0</v>
      </c>
      <c r="K7564" s="11" t="s">
        <v>31</v>
      </c>
      <c r="L7564" s="12" t="s">
        <v>31</v>
      </c>
      <c r="M7564" s="10" t="s">
        <v>47071</v>
      </c>
      <c r="N7564" s="10" t="s">
        <v>1181</v>
      </c>
      <c r="O7564" s="12" t="s">
        <v>1182</v>
      </c>
      <c r="P7564" s="10" t="s">
        <v>47072</v>
      </c>
      <c r="Q7564" s="10" t="s">
        <v>47073</v>
      </c>
      <c r="R7564" s="10" t="s">
        <v>1185</v>
      </c>
      <c r="S7564" s="12" t="s">
        <v>6739</v>
      </c>
      <c r="T7564" s="10" t="s">
        <v>66</v>
      </c>
      <c r="U7564" s="12" t="s">
        <v>31</v>
      </c>
      <c r="V7564" s="10" t="s">
        <v>695</v>
      </c>
      <c r="W7564" s="10" t="s">
        <v>47069</v>
      </c>
      <c r="X7564" s="13" t="str">
        <f>HYPERLINK("https://my.pitchbook.com?p=406358-74P","View People Online")</f>
        <v>View People Online</v>
      </c>
    </row>
    <row r="7565">
      <c r="A7565" s="6" t="s">
        <v>47074</v>
      </c>
      <c r="B7565" s="6" t="s">
        <v>47075</v>
      </c>
      <c r="C7565" s="6" t="s">
        <v>4241</v>
      </c>
      <c r="D7565" s="6" t="s">
        <v>47076</v>
      </c>
      <c r="E7565" s="6" t="s">
        <v>47069</v>
      </c>
      <c r="F7565" s="6" t="s">
        <v>57</v>
      </c>
      <c r="G7565" s="6" t="s">
        <v>47077</v>
      </c>
      <c r="H7565" s="7" t="s">
        <v>31</v>
      </c>
      <c r="I7565" s="7">
        <v>57.0</v>
      </c>
      <c r="J7565" s="7">
        <v>1.0</v>
      </c>
      <c r="K7565" s="7">
        <v>54.0</v>
      </c>
      <c r="L7565" s="8" t="s">
        <v>31</v>
      </c>
      <c r="M7565" s="6" t="s">
        <v>47078</v>
      </c>
      <c r="N7565" s="6" t="s">
        <v>1170</v>
      </c>
      <c r="O7565" s="8" t="s">
        <v>1171</v>
      </c>
      <c r="P7565" s="6" t="s">
        <v>31</v>
      </c>
      <c r="Q7565" s="6" t="s">
        <v>31</v>
      </c>
      <c r="R7565" s="6" t="s">
        <v>64</v>
      </c>
      <c r="S7565" s="8" t="s">
        <v>31</v>
      </c>
      <c r="T7565" s="6" t="s">
        <v>66</v>
      </c>
      <c r="U7565" s="8" t="s">
        <v>31</v>
      </c>
      <c r="V7565" s="6" t="s">
        <v>57</v>
      </c>
      <c r="W7565" s="6" t="s">
        <v>47069</v>
      </c>
      <c r="X7565" s="9" t="str">
        <f>HYPERLINK("https://my.pitchbook.com?p=50080-96P","View People Online")</f>
        <v>View People Online</v>
      </c>
    </row>
    <row r="7566">
      <c r="A7566" s="10" t="s">
        <v>47079</v>
      </c>
      <c r="B7566" s="10" t="s">
        <v>47080</v>
      </c>
      <c r="C7566" s="10" t="s">
        <v>746</v>
      </c>
      <c r="D7566" s="10" t="s">
        <v>40878</v>
      </c>
      <c r="E7566" s="10" t="s">
        <v>47069</v>
      </c>
      <c r="F7566" s="10" t="s">
        <v>502</v>
      </c>
      <c r="G7566" s="10" t="s">
        <v>47081</v>
      </c>
      <c r="H7566" s="11" t="s">
        <v>31</v>
      </c>
      <c r="I7566" s="11">
        <v>1.0</v>
      </c>
      <c r="J7566" s="11">
        <v>1.0</v>
      </c>
      <c r="K7566" s="11" t="s">
        <v>31</v>
      </c>
      <c r="L7566" s="12" t="s">
        <v>31</v>
      </c>
      <c r="M7566" s="10" t="s">
        <v>47082</v>
      </c>
      <c r="N7566" s="10" t="s">
        <v>1181</v>
      </c>
      <c r="O7566" s="12" t="s">
        <v>1182</v>
      </c>
      <c r="P7566" s="10" t="s">
        <v>47072</v>
      </c>
      <c r="Q7566" s="10" t="s">
        <v>47073</v>
      </c>
      <c r="R7566" s="10" t="s">
        <v>1185</v>
      </c>
      <c r="S7566" s="12" t="s">
        <v>6739</v>
      </c>
      <c r="T7566" s="10" t="s">
        <v>66</v>
      </c>
      <c r="U7566" s="12" t="s">
        <v>31</v>
      </c>
      <c r="V7566" s="10" t="s">
        <v>502</v>
      </c>
      <c r="W7566" s="10" t="s">
        <v>47069</v>
      </c>
      <c r="X7566" s="13" t="str">
        <f>HYPERLINK("https://my.pitchbook.com?p=181004-41P","View People Online")</f>
        <v>View People Online</v>
      </c>
    </row>
    <row r="7567">
      <c r="A7567" s="14" t="s">
        <v>47083</v>
      </c>
      <c r="B7567" s="14" t="s">
        <v>47084</v>
      </c>
      <c r="C7567" s="14" t="s">
        <v>1449</v>
      </c>
      <c r="D7567" s="14" t="s">
        <v>47085</v>
      </c>
      <c r="E7567" s="14" t="s">
        <v>47069</v>
      </c>
      <c r="F7567" s="14" t="s">
        <v>2994</v>
      </c>
      <c r="G7567" s="14" t="s">
        <v>47086</v>
      </c>
      <c r="H7567" s="15">
        <v>7.0</v>
      </c>
      <c r="I7567" s="15">
        <v>68.0</v>
      </c>
      <c r="J7567" s="15">
        <v>1.0</v>
      </c>
      <c r="K7567" s="15">
        <v>54.0</v>
      </c>
      <c r="L7567" s="16" t="s">
        <v>47087</v>
      </c>
      <c r="M7567" s="14" t="s">
        <v>47088</v>
      </c>
      <c r="N7567" s="14" t="s">
        <v>29167</v>
      </c>
      <c r="O7567" s="16" t="s">
        <v>47089</v>
      </c>
      <c r="P7567" s="14" t="s">
        <v>47090</v>
      </c>
      <c r="Q7567" s="14" t="s">
        <v>31</v>
      </c>
      <c r="R7567" s="14" t="s">
        <v>28418</v>
      </c>
      <c r="S7567" s="16" t="s">
        <v>47091</v>
      </c>
      <c r="T7567" s="14" t="s">
        <v>66</v>
      </c>
      <c r="U7567" s="16" t="s">
        <v>31</v>
      </c>
      <c r="V7567" s="14" t="s">
        <v>7624</v>
      </c>
      <c r="W7567" s="14" t="s">
        <v>47092</v>
      </c>
      <c r="X7567" s="17" t="str">
        <f>HYPERLINK("https://my.pitchbook.com?p=13456-63P","View People Online")</f>
        <v>View People Online</v>
      </c>
    </row>
    <row r="7568">
      <c r="A7568" s="10" t="s">
        <v>47093</v>
      </c>
      <c r="B7568" s="10" t="s">
        <v>47094</v>
      </c>
      <c r="C7568" s="10" t="s">
        <v>3529</v>
      </c>
      <c r="D7568" s="10" t="s">
        <v>5839</v>
      </c>
      <c r="E7568" s="10" t="s">
        <v>47069</v>
      </c>
      <c r="F7568" s="10" t="s">
        <v>31376</v>
      </c>
      <c r="G7568" s="10" t="s">
        <v>47095</v>
      </c>
      <c r="H7568" s="11" t="s">
        <v>31</v>
      </c>
      <c r="I7568" s="11">
        <v>2.0</v>
      </c>
      <c r="J7568" s="11">
        <v>1.0</v>
      </c>
      <c r="K7568" s="11">
        <v>1.0</v>
      </c>
      <c r="L7568" s="12" t="s">
        <v>31</v>
      </c>
      <c r="M7568" s="10" t="s">
        <v>47096</v>
      </c>
      <c r="N7568" s="10" t="s">
        <v>1181</v>
      </c>
      <c r="O7568" s="12" t="s">
        <v>1182</v>
      </c>
      <c r="P7568" s="10" t="s">
        <v>47072</v>
      </c>
      <c r="Q7568" s="10" t="s">
        <v>47073</v>
      </c>
      <c r="R7568" s="10" t="s">
        <v>1185</v>
      </c>
      <c r="S7568" s="12" t="s">
        <v>6739</v>
      </c>
      <c r="T7568" s="10" t="s">
        <v>66</v>
      </c>
      <c r="U7568" s="12" t="s">
        <v>31</v>
      </c>
      <c r="V7568" s="10" t="s">
        <v>31376</v>
      </c>
      <c r="W7568" s="10" t="s">
        <v>47069</v>
      </c>
      <c r="X7568" s="13" t="str">
        <f>HYPERLINK("https://my.pitchbook.com?p=189452-08P","View People Online")</f>
        <v>View People Online</v>
      </c>
    </row>
    <row r="7569">
      <c r="A7569" s="14" t="s">
        <v>47097</v>
      </c>
      <c r="B7569" s="14" t="s">
        <v>47098</v>
      </c>
      <c r="C7569" s="14" t="s">
        <v>37027</v>
      </c>
      <c r="D7569" s="14" t="s">
        <v>47099</v>
      </c>
      <c r="E7569" s="14" t="s">
        <v>47069</v>
      </c>
      <c r="F7569" s="14" t="s">
        <v>548</v>
      </c>
      <c r="G7569" s="14" t="s">
        <v>47100</v>
      </c>
      <c r="H7569" s="15" t="s">
        <v>31</v>
      </c>
      <c r="I7569" s="15">
        <v>1.0</v>
      </c>
      <c r="J7569" s="15">
        <v>1.0</v>
      </c>
      <c r="K7569" s="15" t="s">
        <v>31</v>
      </c>
      <c r="L7569" s="16" t="s">
        <v>31</v>
      </c>
      <c r="M7569" s="14" t="s">
        <v>47101</v>
      </c>
      <c r="N7569" s="14" t="s">
        <v>6692</v>
      </c>
      <c r="O7569" s="16" t="s">
        <v>6693</v>
      </c>
      <c r="P7569" s="14" t="s">
        <v>31</v>
      </c>
      <c r="Q7569" s="14" t="s">
        <v>31</v>
      </c>
      <c r="R7569" s="14" t="s">
        <v>64</v>
      </c>
      <c r="S7569" s="16" t="s">
        <v>31</v>
      </c>
      <c r="T7569" s="14" t="s">
        <v>66</v>
      </c>
      <c r="U7569" s="16" t="s">
        <v>31</v>
      </c>
      <c r="V7569" s="14" t="s">
        <v>27117</v>
      </c>
      <c r="W7569" s="14" t="s">
        <v>47069</v>
      </c>
      <c r="X7569" s="17" t="str">
        <f>HYPERLINK("https://my.pitchbook.com?p=432775-18P","View People Online")</f>
        <v>View People Online</v>
      </c>
    </row>
    <row r="7570">
      <c r="A7570" s="10" t="s">
        <v>47102</v>
      </c>
      <c r="B7570" s="10" t="s">
        <v>47103</v>
      </c>
      <c r="C7570" s="10" t="s">
        <v>18807</v>
      </c>
      <c r="D7570" s="10" t="s">
        <v>28011</v>
      </c>
      <c r="E7570" s="10" t="s">
        <v>47069</v>
      </c>
      <c r="F7570" s="10" t="s">
        <v>825</v>
      </c>
      <c r="G7570" s="10" t="s">
        <v>47104</v>
      </c>
      <c r="H7570" s="11" t="s">
        <v>31</v>
      </c>
      <c r="I7570" s="11">
        <v>1.0</v>
      </c>
      <c r="J7570" s="11">
        <v>1.0</v>
      </c>
      <c r="K7570" s="11" t="s">
        <v>31</v>
      </c>
      <c r="L7570" s="12" t="s">
        <v>31</v>
      </c>
      <c r="M7570" s="10" t="s">
        <v>47105</v>
      </c>
      <c r="N7570" s="10" t="s">
        <v>1109</v>
      </c>
      <c r="O7570" s="12" t="s">
        <v>1110</v>
      </c>
      <c r="P7570" s="10" t="s">
        <v>31</v>
      </c>
      <c r="Q7570" s="10" t="s">
        <v>31</v>
      </c>
      <c r="R7570" s="10" t="s">
        <v>1112</v>
      </c>
      <c r="S7570" s="12" t="s">
        <v>31</v>
      </c>
      <c r="T7570" s="10" t="s">
        <v>66</v>
      </c>
      <c r="U7570" s="12" t="s">
        <v>31</v>
      </c>
      <c r="V7570" s="10" t="s">
        <v>40623</v>
      </c>
      <c r="W7570" s="10" t="s">
        <v>47069</v>
      </c>
      <c r="X7570" s="13" t="str">
        <f>HYPERLINK("https://my.pitchbook.com?p=438518-80P","View People Online")</f>
        <v>View People Online</v>
      </c>
    </row>
    <row r="7571">
      <c r="A7571" s="14" t="s">
        <v>47106</v>
      </c>
      <c r="B7571" s="14" t="s">
        <v>47107</v>
      </c>
      <c r="C7571" s="14" t="s">
        <v>25944</v>
      </c>
      <c r="D7571" s="14" t="s">
        <v>7791</v>
      </c>
      <c r="E7571" s="14" t="s">
        <v>47069</v>
      </c>
      <c r="F7571" s="14" t="s">
        <v>29</v>
      </c>
      <c r="G7571" s="14" t="s">
        <v>47108</v>
      </c>
      <c r="H7571" s="15" t="s">
        <v>31</v>
      </c>
      <c r="I7571" s="15">
        <v>1.0</v>
      </c>
      <c r="J7571" s="15">
        <v>1.0</v>
      </c>
      <c r="K7571" s="15" t="s">
        <v>31</v>
      </c>
      <c r="L7571" s="16" t="s">
        <v>31</v>
      </c>
      <c r="M7571" s="14" t="s">
        <v>47109</v>
      </c>
      <c r="N7571" s="14" t="s">
        <v>1181</v>
      </c>
      <c r="O7571" s="16" t="s">
        <v>1182</v>
      </c>
      <c r="P7571" s="14" t="s">
        <v>47072</v>
      </c>
      <c r="Q7571" s="14" t="s">
        <v>47073</v>
      </c>
      <c r="R7571" s="14" t="s">
        <v>1185</v>
      </c>
      <c r="S7571" s="16" t="s">
        <v>6739</v>
      </c>
      <c r="T7571" s="14" t="s">
        <v>66</v>
      </c>
      <c r="U7571" s="16" t="s">
        <v>31</v>
      </c>
      <c r="V7571" s="14" t="s">
        <v>29</v>
      </c>
      <c r="W7571" s="14" t="s">
        <v>47069</v>
      </c>
      <c r="X7571" s="17" t="str">
        <f>HYPERLINK("https://my.pitchbook.com?p=39891-43P","View People Online")</f>
        <v>View People Online</v>
      </c>
    </row>
    <row r="7572">
      <c r="A7572" s="10" t="s">
        <v>47110</v>
      </c>
      <c r="B7572" s="10" t="s">
        <v>47111</v>
      </c>
      <c r="C7572" s="10" t="s">
        <v>47112</v>
      </c>
      <c r="D7572" s="10" t="s">
        <v>36581</v>
      </c>
      <c r="E7572" s="10" t="s">
        <v>47069</v>
      </c>
      <c r="F7572" s="10" t="s">
        <v>29</v>
      </c>
      <c r="G7572" s="10" t="s">
        <v>47113</v>
      </c>
      <c r="H7572" s="11" t="s">
        <v>31</v>
      </c>
      <c r="I7572" s="11">
        <v>1.0</v>
      </c>
      <c r="J7572" s="11">
        <v>1.0</v>
      </c>
      <c r="K7572" s="11" t="s">
        <v>31</v>
      </c>
      <c r="L7572" s="12" t="s">
        <v>31</v>
      </c>
      <c r="M7572" s="10" t="s">
        <v>47114</v>
      </c>
      <c r="N7572" s="10" t="s">
        <v>1781</v>
      </c>
      <c r="O7572" s="12" t="s">
        <v>1782</v>
      </c>
      <c r="P7572" s="10" t="s">
        <v>31</v>
      </c>
      <c r="Q7572" s="10" t="s">
        <v>31</v>
      </c>
      <c r="R7572" s="10" t="s">
        <v>1785</v>
      </c>
      <c r="S7572" s="12" t="s">
        <v>31</v>
      </c>
      <c r="T7572" s="10" t="s">
        <v>1019</v>
      </c>
      <c r="U7572" s="12" t="s">
        <v>31</v>
      </c>
      <c r="V7572" s="10" t="s">
        <v>29</v>
      </c>
      <c r="W7572" s="10" t="s">
        <v>47069</v>
      </c>
      <c r="X7572" s="13" t="str">
        <f>HYPERLINK("https://my.pitchbook.com?p=294830-29P","View People Online")</f>
        <v>View People Online</v>
      </c>
    </row>
    <row r="7573">
      <c r="A7573" s="6" t="s">
        <v>47115</v>
      </c>
      <c r="B7573" s="6" t="s">
        <v>47116</v>
      </c>
      <c r="C7573" s="6" t="s">
        <v>4731</v>
      </c>
      <c r="D7573" s="6" t="s">
        <v>16220</v>
      </c>
      <c r="E7573" s="6" t="s">
        <v>47117</v>
      </c>
      <c r="F7573" s="6" t="s">
        <v>6567</v>
      </c>
      <c r="G7573" s="6" t="s">
        <v>47118</v>
      </c>
      <c r="H7573" s="7" t="s">
        <v>31</v>
      </c>
      <c r="I7573" s="7">
        <v>1.0</v>
      </c>
      <c r="J7573" s="7">
        <v>1.0</v>
      </c>
      <c r="K7573" s="7" t="s">
        <v>31</v>
      </c>
      <c r="L7573" s="8" t="s">
        <v>47119</v>
      </c>
      <c r="M7573" s="6" t="s">
        <v>47120</v>
      </c>
      <c r="N7573" s="6" t="s">
        <v>155</v>
      </c>
      <c r="O7573" s="8" t="s">
        <v>156</v>
      </c>
      <c r="P7573" s="6" t="s">
        <v>47121</v>
      </c>
      <c r="Q7573" s="6" t="s">
        <v>47122</v>
      </c>
      <c r="R7573" s="6" t="s">
        <v>64</v>
      </c>
      <c r="S7573" s="8" t="s">
        <v>3487</v>
      </c>
      <c r="T7573" s="6" t="s">
        <v>66</v>
      </c>
      <c r="U7573" s="8" t="s">
        <v>47123</v>
      </c>
      <c r="V7573" s="6" t="s">
        <v>6567</v>
      </c>
      <c r="W7573" s="6" t="s">
        <v>47117</v>
      </c>
      <c r="X7573" s="9" t="str">
        <f>HYPERLINK("https://my.pitchbook.com?p=308035-72P","View People Online")</f>
        <v>View People Online</v>
      </c>
    </row>
    <row r="7574">
      <c r="A7574" s="10" t="s">
        <v>47124</v>
      </c>
      <c r="B7574" s="10" t="s">
        <v>47125</v>
      </c>
      <c r="C7574" s="10" t="s">
        <v>4858</v>
      </c>
      <c r="D7574" s="10" t="s">
        <v>47126</v>
      </c>
      <c r="E7574" s="10" t="s">
        <v>47117</v>
      </c>
      <c r="F7574" s="10" t="s">
        <v>1283</v>
      </c>
      <c r="G7574" s="10" t="s">
        <v>47127</v>
      </c>
      <c r="H7574" s="11" t="s">
        <v>31</v>
      </c>
      <c r="I7574" s="11">
        <v>1.0</v>
      </c>
      <c r="J7574" s="11">
        <v>1.0</v>
      </c>
      <c r="K7574" s="11" t="s">
        <v>31</v>
      </c>
      <c r="L7574" s="12" t="s">
        <v>47119</v>
      </c>
      <c r="M7574" s="10" t="s">
        <v>47128</v>
      </c>
      <c r="N7574" s="10" t="s">
        <v>155</v>
      </c>
      <c r="O7574" s="12" t="s">
        <v>156</v>
      </c>
      <c r="P7574" s="10" t="s">
        <v>47121</v>
      </c>
      <c r="Q7574" s="10" t="s">
        <v>47122</v>
      </c>
      <c r="R7574" s="10" t="s">
        <v>64</v>
      </c>
      <c r="S7574" s="12" t="s">
        <v>3487</v>
      </c>
      <c r="T7574" s="10" t="s">
        <v>66</v>
      </c>
      <c r="U7574" s="12" t="s">
        <v>47123</v>
      </c>
      <c r="V7574" s="10" t="s">
        <v>1283</v>
      </c>
      <c r="W7574" s="10" t="s">
        <v>47117</v>
      </c>
      <c r="X7574" s="13" t="str">
        <f>HYPERLINK("https://my.pitchbook.com?p=12994-66P","View People Online")</f>
        <v>View People Online</v>
      </c>
    </row>
    <row r="7575">
      <c r="A7575" s="14" t="s">
        <v>47129</v>
      </c>
      <c r="B7575" s="14" t="s">
        <v>47130</v>
      </c>
      <c r="C7575" s="14" t="s">
        <v>47131</v>
      </c>
      <c r="D7575" s="14" t="s">
        <v>47132</v>
      </c>
      <c r="E7575" s="14" t="s">
        <v>47117</v>
      </c>
      <c r="F7575" s="14" t="s">
        <v>37635</v>
      </c>
      <c r="G7575" s="14" t="s">
        <v>47133</v>
      </c>
      <c r="H7575" s="15" t="s">
        <v>31</v>
      </c>
      <c r="I7575" s="15">
        <v>1.0</v>
      </c>
      <c r="J7575" s="15">
        <v>1.0</v>
      </c>
      <c r="K7575" s="15" t="s">
        <v>31</v>
      </c>
      <c r="L7575" s="16" t="s">
        <v>47119</v>
      </c>
      <c r="M7575" s="14" t="s">
        <v>47134</v>
      </c>
      <c r="N7575" s="14" t="s">
        <v>155</v>
      </c>
      <c r="O7575" s="16" t="s">
        <v>156</v>
      </c>
      <c r="P7575" s="14" t="s">
        <v>47121</v>
      </c>
      <c r="Q7575" s="14" t="s">
        <v>47122</v>
      </c>
      <c r="R7575" s="14" t="s">
        <v>64</v>
      </c>
      <c r="S7575" s="16" t="s">
        <v>3487</v>
      </c>
      <c r="T7575" s="14" t="s">
        <v>66</v>
      </c>
      <c r="U7575" s="16" t="s">
        <v>47123</v>
      </c>
      <c r="V7575" s="14" t="s">
        <v>37639</v>
      </c>
      <c r="W7575" s="14" t="s">
        <v>47117</v>
      </c>
      <c r="X7575" s="17" t="str">
        <f>HYPERLINK("https://my.pitchbook.com?p=42237-64P","View People Online")</f>
        <v>View People Online</v>
      </c>
    </row>
    <row r="7576">
      <c r="A7576" s="10" t="s">
        <v>47135</v>
      </c>
      <c r="B7576" s="10" t="s">
        <v>47136</v>
      </c>
      <c r="C7576" s="10" t="s">
        <v>43893</v>
      </c>
      <c r="D7576" s="10" t="s">
        <v>47137</v>
      </c>
      <c r="E7576" s="10" t="s">
        <v>47117</v>
      </c>
      <c r="F7576" s="10" t="s">
        <v>1283</v>
      </c>
      <c r="G7576" s="10" t="s">
        <v>47138</v>
      </c>
      <c r="H7576" s="11" t="s">
        <v>31</v>
      </c>
      <c r="I7576" s="11">
        <v>1.0</v>
      </c>
      <c r="J7576" s="11">
        <v>1.0</v>
      </c>
      <c r="K7576" s="11" t="s">
        <v>31</v>
      </c>
      <c r="L7576" s="12" t="s">
        <v>47119</v>
      </c>
      <c r="M7576" s="10" t="s">
        <v>47139</v>
      </c>
      <c r="N7576" s="10" t="s">
        <v>155</v>
      </c>
      <c r="O7576" s="12" t="s">
        <v>156</v>
      </c>
      <c r="P7576" s="10" t="s">
        <v>47121</v>
      </c>
      <c r="Q7576" s="10" t="s">
        <v>47122</v>
      </c>
      <c r="R7576" s="10" t="s">
        <v>64</v>
      </c>
      <c r="S7576" s="12" t="s">
        <v>3487</v>
      </c>
      <c r="T7576" s="10" t="s">
        <v>66</v>
      </c>
      <c r="U7576" s="12" t="s">
        <v>47123</v>
      </c>
      <c r="V7576" s="10" t="s">
        <v>1283</v>
      </c>
      <c r="W7576" s="10" t="s">
        <v>47117</v>
      </c>
      <c r="X7576" s="13" t="str">
        <f>HYPERLINK("https://my.pitchbook.com?p=56076-40P","View People Online")</f>
        <v>View People Online</v>
      </c>
    </row>
    <row r="7577">
      <c r="A7577" s="6" t="s">
        <v>47140</v>
      </c>
      <c r="B7577" s="6" t="s">
        <v>47141</v>
      </c>
      <c r="C7577" s="6" t="s">
        <v>47142</v>
      </c>
      <c r="D7577" s="6" t="s">
        <v>24097</v>
      </c>
      <c r="E7577" s="6" t="s">
        <v>47117</v>
      </c>
      <c r="F7577" s="6" t="s">
        <v>221</v>
      </c>
      <c r="G7577" s="6" t="s">
        <v>47143</v>
      </c>
      <c r="H7577" s="7" t="s">
        <v>31</v>
      </c>
      <c r="I7577" s="7">
        <v>1.0</v>
      </c>
      <c r="J7577" s="7">
        <v>1.0</v>
      </c>
      <c r="K7577" s="7" t="s">
        <v>31</v>
      </c>
      <c r="L7577" s="8" t="s">
        <v>47119</v>
      </c>
      <c r="M7577" s="6" t="s">
        <v>47144</v>
      </c>
      <c r="N7577" s="6" t="s">
        <v>155</v>
      </c>
      <c r="O7577" s="8" t="s">
        <v>156</v>
      </c>
      <c r="P7577" s="6" t="s">
        <v>47121</v>
      </c>
      <c r="Q7577" s="6" t="s">
        <v>47122</v>
      </c>
      <c r="R7577" s="6" t="s">
        <v>64</v>
      </c>
      <c r="S7577" s="8" t="s">
        <v>3487</v>
      </c>
      <c r="T7577" s="6" t="s">
        <v>66</v>
      </c>
      <c r="U7577" s="8" t="s">
        <v>47123</v>
      </c>
      <c r="V7577" s="6" t="s">
        <v>221</v>
      </c>
      <c r="W7577" s="6" t="s">
        <v>47117</v>
      </c>
      <c r="X7577" s="9" t="str">
        <f>HYPERLINK("https://my.pitchbook.com?p=398856-52P","View People Online")</f>
        <v>View People Online</v>
      </c>
    </row>
    <row r="7578">
      <c r="A7578" s="10" t="s">
        <v>47145</v>
      </c>
      <c r="B7578" s="10" t="s">
        <v>47146</v>
      </c>
      <c r="C7578" s="10" t="s">
        <v>2288</v>
      </c>
      <c r="D7578" s="10" t="s">
        <v>23058</v>
      </c>
      <c r="E7578" s="10" t="s">
        <v>47117</v>
      </c>
      <c r="F7578" s="10" t="s">
        <v>152</v>
      </c>
      <c r="G7578" s="10" t="s">
        <v>47147</v>
      </c>
      <c r="H7578" s="11">
        <v>5.0</v>
      </c>
      <c r="I7578" s="11">
        <v>14.0</v>
      </c>
      <c r="J7578" s="11">
        <v>2.0</v>
      </c>
      <c r="K7578" s="11">
        <v>7.0</v>
      </c>
      <c r="L7578" s="12" t="s">
        <v>47119</v>
      </c>
      <c r="M7578" s="10" t="s">
        <v>47148</v>
      </c>
      <c r="N7578" s="10" t="s">
        <v>155</v>
      </c>
      <c r="O7578" s="12" t="s">
        <v>156</v>
      </c>
      <c r="P7578" s="10" t="s">
        <v>47121</v>
      </c>
      <c r="Q7578" s="10" t="s">
        <v>47122</v>
      </c>
      <c r="R7578" s="10" t="s">
        <v>64</v>
      </c>
      <c r="S7578" s="12" t="s">
        <v>3487</v>
      </c>
      <c r="T7578" s="10" t="s">
        <v>66</v>
      </c>
      <c r="U7578" s="12" t="s">
        <v>47123</v>
      </c>
      <c r="V7578" s="10" t="s">
        <v>152</v>
      </c>
      <c r="W7578" s="10" t="s">
        <v>47117</v>
      </c>
      <c r="X7578" s="13" t="str">
        <f>HYPERLINK("https://my.pitchbook.com?p=42238-00P","View People Online")</f>
        <v>View People Online</v>
      </c>
    </row>
    <row r="7579">
      <c r="A7579" s="6" t="s">
        <v>47149</v>
      </c>
      <c r="B7579" s="6" t="s">
        <v>47150</v>
      </c>
      <c r="C7579" s="6" t="s">
        <v>7584</v>
      </c>
      <c r="D7579" s="6" t="s">
        <v>47151</v>
      </c>
      <c r="E7579" s="6" t="s">
        <v>47117</v>
      </c>
      <c r="F7579" s="6" t="s">
        <v>1283</v>
      </c>
      <c r="G7579" s="6" t="s">
        <v>47152</v>
      </c>
      <c r="H7579" s="7" t="s">
        <v>31</v>
      </c>
      <c r="I7579" s="7">
        <v>1.0</v>
      </c>
      <c r="J7579" s="7">
        <v>1.0</v>
      </c>
      <c r="K7579" s="7" t="s">
        <v>31</v>
      </c>
      <c r="L7579" s="8" t="s">
        <v>47119</v>
      </c>
      <c r="M7579" s="6" t="s">
        <v>47153</v>
      </c>
      <c r="N7579" s="6" t="s">
        <v>155</v>
      </c>
      <c r="O7579" s="8" t="s">
        <v>156</v>
      </c>
      <c r="P7579" s="6" t="s">
        <v>47121</v>
      </c>
      <c r="Q7579" s="6" t="s">
        <v>47122</v>
      </c>
      <c r="R7579" s="6" t="s">
        <v>64</v>
      </c>
      <c r="S7579" s="8" t="s">
        <v>3487</v>
      </c>
      <c r="T7579" s="6" t="s">
        <v>66</v>
      </c>
      <c r="U7579" s="8" t="s">
        <v>47123</v>
      </c>
      <c r="V7579" s="6" t="s">
        <v>1283</v>
      </c>
      <c r="W7579" s="6" t="s">
        <v>47117</v>
      </c>
      <c r="X7579" s="9" t="str">
        <f>HYPERLINK("https://my.pitchbook.com?p=40480-66P","View People Online")</f>
        <v>View People Online</v>
      </c>
    </row>
    <row r="7580">
      <c r="A7580" s="2" t="s">
        <v>47154</v>
      </c>
      <c r="B7580" s="2" t="s">
        <v>47155</v>
      </c>
      <c r="C7580" s="2" t="s">
        <v>2388</v>
      </c>
      <c r="D7580" s="2" t="s">
        <v>4550</v>
      </c>
      <c r="E7580" s="2" t="s">
        <v>47117</v>
      </c>
      <c r="F7580" s="2" t="s">
        <v>1283</v>
      </c>
      <c r="G7580" s="2" t="s">
        <v>47156</v>
      </c>
      <c r="H7580" s="3" t="s">
        <v>31</v>
      </c>
      <c r="I7580" s="3">
        <v>1.0</v>
      </c>
      <c r="J7580" s="3">
        <v>1.0</v>
      </c>
      <c r="K7580" s="3" t="s">
        <v>31</v>
      </c>
      <c r="L7580" s="4" t="s">
        <v>47119</v>
      </c>
      <c r="M7580" s="2" t="s">
        <v>47157</v>
      </c>
      <c r="N7580" s="2" t="s">
        <v>155</v>
      </c>
      <c r="O7580" s="4" t="s">
        <v>156</v>
      </c>
      <c r="P7580" s="2" t="s">
        <v>47121</v>
      </c>
      <c r="Q7580" s="2" t="s">
        <v>47122</v>
      </c>
      <c r="R7580" s="2" t="s">
        <v>64</v>
      </c>
      <c r="S7580" s="4" t="s">
        <v>3487</v>
      </c>
      <c r="T7580" s="2" t="s">
        <v>66</v>
      </c>
      <c r="U7580" s="4" t="s">
        <v>47123</v>
      </c>
      <c r="V7580" s="2" t="s">
        <v>1283</v>
      </c>
      <c r="W7580" s="2" t="s">
        <v>47117</v>
      </c>
      <c r="X7580" s="5" t="str">
        <f>HYPERLINK("https://my.pitchbook.com?p=42238-18P","View People Online")</f>
        <v>View People Online</v>
      </c>
    </row>
    <row r="7581">
      <c r="A7581" s="14" t="s">
        <v>47158</v>
      </c>
      <c r="B7581" s="14" t="s">
        <v>47159</v>
      </c>
      <c r="C7581" s="14" t="s">
        <v>22754</v>
      </c>
      <c r="D7581" s="14" t="s">
        <v>22095</v>
      </c>
      <c r="E7581" s="14" t="s">
        <v>47117</v>
      </c>
      <c r="F7581" s="14" t="s">
        <v>371</v>
      </c>
      <c r="G7581" s="14" t="s">
        <v>47160</v>
      </c>
      <c r="H7581" s="15" t="s">
        <v>31</v>
      </c>
      <c r="I7581" s="15">
        <v>1.0</v>
      </c>
      <c r="J7581" s="15">
        <v>1.0</v>
      </c>
      <c r="K7581" s="15" t="s">
        <v>31</v>
      </c>
      <c r="L7581" s="16" t="s">
        <v>47119</v>
      </c>
      <c r="M7581" s="14" t="s">
        <v>47161</v>
      </c>
      <c r="N7581" s="14" t="s">
        <v>155</v>
      </c>
      <c r="O7581" s="16" t="s">
        <v>156</v>
      </c>
      <c r="P7581" s="14" t="s">
        <v>47121</v>
      </c>
      <c r="Q7581" s="14" t="s">
        <v>47122</v>
      </c>
      <c r="R7581" s="14" t="s">
        <v>64</v>
      </c>
      <c r="S7581" s="16" t="s">
        <v>3487</v>
      </c>
      <c r="T7581" s="14" t="s">
        <v>66</v>
      </c>
      <c r="U7581" s="16" t="s">
        <v>47123</v>
      </c>
      <c r="V7581" s="14" t="s">
        <v>371</v>
      </c>
      <c r="W7581" s="14" t="s">
        <v>47117</v>
      </c>
      <c r="X7581" s="17" t="str">
        <f>HYPERLINK("https://my.pitchbook.com?p=264932-92P","View People Online")</f>
        <v>View People Online</v>
      </c>
    </row>
    <row r="7582">
      <c r="A7582" s="10" t="s">
        <v>47162</v>
      </c>
      <c r="B7582" s="10" t="s">
        <v>47163</v>
      </c>
      <c r="C7582" s="10" t="s">
        <v>1437</v>
      </c>
      <c r="D7582" s="10" t="s">
        <v>14048</v>
      </c>
      <c r="E7582" s="10" t="s">
        <v>47164</v>
      </c>
      <c r="F7582" s="10" t="s">
        <v>695</v>
      </c>
      <c r="G7582" s="10" t="s">
        <v>47165</v>
      </c>
      <c r="H7582" s="11" t="s">
        <v>31</v>
      </c>
      <c r="I7582" s="11">
        <v>1.0</v>
      </c>
      <c r="J7582" s="11">
        <v>1.0</v>
      </c>
      <c r="K7582" s="11" t="s">
        <v>31</v>
      </c>
      <c r="L7582" s="12" t="s">
        <v>47166</v>
      </c>
      <c r="M7582" s="10" t="s">
        <v>47167</v>
      </c>
      <c r="N7582" s="10" t="s">
        <v>29205</v>
      </c>
      <c r="O7582" s="12" t="s">
        <v>29206</v>
      </c>
      <c r="P7582" s="10" t="s">
        <v>47168</v>
      </c>
      <c r="Q7582" s="10" t="s">
        <v>47169</v>
      </c>
      <c r="R7582" s="10" t="s">
        <v>29209</v>
      </c>
      <c r="S7582" s="12" t="s">
        <v>34983</v>
      </c>
      <c r="T7582" s="10" t="s">
        <v>1209</v>
      </c>
      <c r="U7582" s="12" t="s">
        <v>31</v>
      </c>
      <c r="V7582" s="10" t="s">
        <v>695</v>
      </c>
      <c r="W7582" s="10" t="s">
        <v>47164</v>
      </c>
      <c r="X7582" s="13" t="str">
        <f>HYPERLINK("https://my.pitchbook.com?p=387297-19P","View People Online")</f>
        <v>View People Online</v>
      </c>
    </row>
    <row r="7583">
      <c r="A7583" s="6" t="s">
        <v>47170</v>
      </c>
      <c r="B7583" s="6" t="s">
        <v>47171</v>
      </c>
      <c r="C7583" s="6" t="s">
        <v>2871</v>
      </c>
      <c r="D7583" s="6" t="s">
        <v>562</v>
      </c>
      <c r="E7583" s="6" t="s">
        <v>47164</v>
      </c>
      <c r="F7583" s="6" t="s">
        <v>1134</v>
      </c>
      <c r="G7583" s="6" t="s">
        <v>47172</v>
      </c>
      <c r="H7583" s="7">
        <v>1.0</v>
      </c>
      <c r="I7583" s="7">
        <v>2.0</v>
      </c>
      <c r="J7583" s="7">
        <v>1.0</v>
      </c>
      <c r="K7583" s="7" t="s">
        <v>31</v>
      </c>
      <c r="L7583" s="8" t="s">
        <v>47166</v>
      </c>
      <c r="M7583" s="6" t="s">
        <v>47173</v>
      </c>
      <c r="N7583" s="6" t="s">
        <v>29205</v>
      </c>
      <c r="O7583" s="8" t="s">
        <v>29206</v>
      </c>
      <c r="P7583" s="6" t="s">
        <v>47168</v>
      </c>
      <c r="Q7583" s="6" t="s">
        <v>47169</v>
      </c>
      <c r="R7583" s="6" t="s">
        <v>29209</v>
      </c>
      <c r="S7583" s="8" t="s">
        <v>34983</v>
      </c>
      <c r="T7583" s="6" t="s">
        <v>1209</v>
      </c>
      <c r="U7583" s="8" t="s">
        <v>31</v>
      </c>
      <c r="V7583" s="6" t="s">
        <v>47174</v>
      </c>
      <c r="W7583" s="6" t="s">
        <v>47164</v>
      </c>
      <c r="X7583" s="9" t="str">
        <f>HYPERLINK("https://my.pitchbook.com?p=221172-40P","View People Online")</f>
        <v>View People Online</v>
      </c>
    </row>
    <row r="7584">
      <c r="A7584" s="2" t="s">
        <v>47175</v>
      </c>
      <c r="B7584" s="2" t="s">
        <v>47176</v>
      </c>
      <c r="C7584" s="2" t="s">
        <v>47177</v>
      </c>
      <c r="D7584" s="2" t="s">
        <v>6461</v>
      </c>
      <c r="E7584" s="2" t="s">
        <v>47164</v>
      </c>
      <c r="F7584" s="2" t="s">
        <v>189</v>
      </c>
      <c r="G7584" s="2" t="s">
        <v>47178</v>
      </c>
      <c r="H7584" s="3" t="s">
        <v>31</v>
      </c>
      <c r="I7584" s="3">
        <v>11.0</v>
      </c>
      <c r="J7584" s="3">
        <v>1.0</v>
      </c>
      <c r="K7584" s="3">
        <v>9.0</v>
      </c>
      <c r="L7584" s="4" t="s">
        <v>47166</v>
      </c>
      <c r="M7584" s="2" t="s">
        <v>47179</v>
      </c>
      <c r="N7584" s="2" t="s">
        <v>29205</v>
      </c>
      <c r="O7584" s="4" t="s">
        <v>29206</v>
      </c>
      <c r="P7584" s="2" t="s">
        <v>47168</v>
      </c>
      <c r="Q7584" s="2" t="s">
        <v>47169</v>
      </c>
      <c r="R7584" s="2" t="s">
        <v>29209</v>
      </c>
      <c r="S7584" s="4" t="s">
        <v>34983</v>
      </c>
      <c r="T7584" s="2" t="s">
        <v>1209</v>
      </c>
      <c r="U7584" s="4" t="s">
        <v>31</v>
      </c>
      <c r="V7584" s="2" t="s">
        <v>47180</v>
      </c>
      <c r="W7584" s="2" t="s">
        <v>47164</v>
      </c>
      <c r="X7584" s="5" t="str">
        <f>HYPERLINK("https://my.pitchbook.com?p=67577-05P","View People Online")</f>
        <v>View People Online</v>
      </c>
    </row>
    <row r="7585">
      <c r="A7585" s="14" t="s">
        <v>47181</v>
      </c>
      <c r="B7585" s="14" t="s">
        <v>47182</v>
      </c>
      <c r="C7585" s="14" t="s">
        <v>47183</v>
      </c>
      <c r="D7585" s="14" t="s">
        <v>47184</v>
      </c>
      <c r="E7585" s="14" t="s">
        <v>47164</v>
      </c>
      <c r="F7585" s="14" t="s">
        <v>30133</v>
      </c>
      <c r="G7585" s="14" t="s">
        <v>47185</v>
      </c>
      <c r="H7585" s="15">
        <v>1.0</v>
      </c>
      <c r="I7585" s="15">
        <v>6.0</v>
      </c>
      <c r="J7585" s="15">
        <v>2.0</v>
      </c>
      <c r="K7585" s="15">
        <v>3.0</v>
      </c>
      <c r="L7585" s="16" t="s">
        <v>47186</v>
      </c>
      <c r="M7585" s="14" t="s">
        <v>47187</v>
      </c>
      <c r="N7585" s="14" t="s">
        <v>29205</v>
      </c>
      <c r="O7585" s="16" t="s">
        <v>29206</v>
      </c>
      <c r="P7585" s="14" t="s">
        <v>47188</v>
      </c>
      <c r="Q7585" s="14" t="s">
        <v>47189</v>
      </c>
      <c r="R7585" s="14" t="s">
        <v>29209</v>
      </c>
      <c r="S7585" s="16" t="s">
        <v>47190</v>
      </c>
      <c r="T7585" s="14" t="s">
        <v>1209</v>
      </c>
      <c r="U7585" s="16" t="s">
        <v>31</v>
      </c>
      <c r="V7585" s="14" t="s">
        <v>2168</v>
      </c>
      <c r="W7585" s="14" t="s">
        <v>47191</v>
      </c>
      <c r="X7585" s="17" t="str">
        <f>HYPERLINK("https://my.pitchbook.com?p=262426-24P","View People Online")</f>
        <v>View People Online</v>
      </c>
    </row>
    <row r="7586">
      <c r="A7586" s="10" t="s">
        <v>47192</v>
      </c>
      <c r="B7586" s="10" t="s">
        <v>47193</v>
      </c>
      <c r="C7586" s="10" t="s">
        <v>934</v>
      </c>
      <c r="D7586" s="10" t="s">
        <v>2581</v>
      </c>
      <c r="E7586" s="10" t="s">
        <v>47164</v>
      </c>
      <c r="F7586" s="10" t="s">
        <v>189</v>
      </c>
      <c r="G7586" s="10" t="s">
        <v>47194</v>
      </c>
      <c r="H7586" s="11">
        <v>3.0</v>
      </c>
      <c r="I7586" s="11">
        <v>18.0</v>
      </c>
      <c r="J7586" s="11">
        <v>2.0</v>
      </c>
      <c r="K7586" s="11">
        <v>11.0</v>
      </c>
      <c r="L7586" s="12" t="s">
        <v>47195</v>
      </c>
      <c r="M7586" s="10" t="s">
        <v>47196</v>
      </c>
      <c r="N7586" s="10" t="s">
        <v>29205</v>
      </c>
      <c r="O7586" s="12" t="s">
        <v>29206</v>
      </c>
      <c r="P7586" s="10" t="s">
        <v>47168</v>
      </c>
      <c r="Q7586" s="10" t="s">
        <v>47169</v>
      </c>
      <c r="R7586" s="10" t="s">
        <v>29209</v>
      </c>
      <c r="S7586" s="12" t="s">
        <v>34983</v>
      </c>
      <c r="T7586" s="10" t="s">
        <v>1209</v>
      </c>
      <c r="U7586" s="12" t="s">
        <v>31</v>
      </c>
      <c r="V7586" s="10" t="s">
        <v>47197</v>
      </c>
      <c r="W7586" s="10" t="s">
        <v>47164</v>
      </c>
      <c r="X7586" s="13" t="str">
        <f>HYPERLINK("https://my.pitchbook.com?p=67575-52P","View People Online")</f>
        <v>View People Online</v>
      </c>
    </row>
    <row r="7587">
      <c r="A7587" s="14" t="s">
        <v>47198</v>
      </c>
      <c r="B7587" s="14" t="s">
        <v>47199</v>
      </c>
      <c r="C7587" s="14" t="s">
        <v>5684</v>
      </c>
      <c r="D7587" s="14" t="s">
        <v>47200</v>
      </c>
      <c r="E7587" s="14" t="s">
        <v>47201</v>
      </c>
      <c r="F7587" s="14" t="s">
        <v>43</v>
      </c>
      <c r="G7587" s="14" t="s">
        <v>47202</v>
      </c>
      <c r="H7587" s="15">
        <v>7.0</v>
      </c>
      <c r="I7587" s="15">
        <v>31.0</v>
      </c>
      <c r="J7587" s="15">
        <v>1.0</v>
      </c>
      <c r="K7587" s="15">
        <v>18.0</v>
      </c>
      <c r="L7587" s="16" t="s">
        <v>47203</v>
      </c>
      <c r="M7587" s="14" t="s">
        <v>47204</v>
      </c>
      <c r="N7587" s="14" t="s">
        <v>1416</v>
      </c>
      <c r="O7587" s="16" t="s">
        <v>1417</v>
      </c>
      <c r="P7587" s="14" t="s">
        <v>47205</v>
      </c>
      <c r="Q7587" s="14" t="s">
        <v>47206</v>
      </c>
      <c r="R7587" s="14" t="s">
        <v>1420</v>
      </c>
      <c r="S7587" s="16" t="s">
        <v>37621</v>
      </c>
      <c r="T7587" s="14" t="s">
        <v>66</v>
      </c>
      <c r="U7587" s="16" t="s">
        <v>31</v>
      </c>
      <c r="V7587" s="14" t="s">
        <v>43</v>
      </c>
      <c r="W7587" s="14" t="s">
        <v>47201</v>
      </c>
      <c r="X7587" s="17" t="str">
        <f>HYPERLINK("https://my.pitchbook.com?p=38892-79P","View People Online")</f>
        <v>View People Online</v>
      </c>
    </row>
    <row r="7588">
      <c r="A7588" s="10" t="s">
        <v>47207</v>
      </c>
      <c r="B7588" s="10" t="s">
        <v>47208</v>
      </c>
      <c r="C7588" s="10" t="s">
        <v>47209</v>
      </c>
      <c r="D7588" s="10" t="s">
        <v>25533</v>
      </c>
      <c r="E7588" s="10" t="s">
        <v>47201</v>
      </c>
      <c r="F7588" s="10" t="s">
        <v>114</v>
      </c>
      <c r="G7588" s="10" t="s">
        <v>47210</v>
      </c>
      <c r="H7588" s="11" t="s">
        <v>31</v>
      </c>
      <c r="I7588" s="11">
        <v>1.0</v>
      </c>
      <c r="J7588" s="11">
        <v>1.0</v>
      </c>
      <c r="K7588" s="11" t="s">
        <v>31</v>
      </c>
      <c r="L7588" s="12" t="s">
        <v>47203</v>
      </c>
      <c r="M7588" s="10" t="s">
        <v>31</v>
      </c>
      <c r="N7588" s="10" t="s">
        <v>1416</v>
      </c>
      <c r="O7588" s="12" t="s">
        <v>1417</v>
      </c>
      <c r="P7588" s="10" t="s">
        <v>47205</v>
      </c>
      <c r="Q7588" s="10" t="s">
        <v>47206</v>
      </c>
      <c r="R7588" s="10" t="s">
        <v>1420</v>
      </c>
      <c r="S7588" s="12" t="s">
        <v>37621</v>
      </c>
      <c r="T7588" s="10" t="s">
        <v>66</v>
      </c>
      <c r="U7588" s="12" t="s">
        <v>31</v>
      </c>
      <c r="V7588" s="10" t="s">
        <v>114</v>
      </c>
      <c r="W7588" s="10" t="s">
        <v>47201</v>
      </c>
      <c r="X7588" s="13" t="str">
        <f>HYPERLINK("https://my.pitchbook.com?p=418138-30P","View People Online")</f>
        <v>View People Online</v>
      </c>
    </row>
    <row r="7589">
      <c r="A7589" s="6" t="s">
        <v>47211</v>
      </c>
      <c r="B7589" s="6" t="s">
        <v>47212</v>
      </c>
      <c r="C7589" s="6" t="s">
        <v>237</v>
      </c>
      <c r="D7589" s="6" t="s">
        <v>47213</v>
      </c>
      <c r="E7589" s="6" t="s">
        <v>47201</v>
      </c>
      <c r="F7589" s="6" t="s">
        <v>221</v>
      </c>
      <c r="G7589" s="6" t="s">
        <v>47214</v>
      </c>
      <c r="H7589" s="7" t="s">
        <v>31</v>
      </c>
      <c r="I7589" s="7">
        <v>1.0</v>
      </c>
      <c r="J7589" s="7">
        <v>1.0</v>
      </c>
      <c r="K7589" s="7" t="s">
        <v>31</v>
      </c>
      <c r="L7589" s="8" t="s">
        <v>47203</v>
      </c>
      <c r="M7589" s="6" t="s">
        <v>47215</v>
      </c>
      <c r="N7589" s="6" t="s">
        <v>1416</v>
      </c>
      <c r="O7589" s="8" t="s">
        <v>1417</v>
      </c>
      <c r="P7589" s="6" t="s">
        <v>47205</v>
      </c>
      <c r="Q7589" s="6" t="s">
        <v>47206</v>
      </c>
      <c r="R7589" s="6" t="s">
        <v>1420</v>
      </c>
      <c r="S7589" s="8" t="s">
        <v>37621</v>
      </c>
      <c r="T7589" s="6" t="s">
        <v>66</v>
      </c>
      <c r="U7589" s="8" t="s">
        <v>31</v>
      </c>
      <c r="V7589" s="6" t="s">
        <v>47216</v>
      </c>
      <c r="W7589" s="6" t="s">
        <v>47201</v>
      </c>
      <c r="X7589" s="9" t="str">
        <f>HYPERLINK("https://my.pitchbook.com?p=280952-65P","View People Online")</f>
        <v>View People Online</v>
      </c>
    </row>
    <row r="7590">
      <c r="A7590" s="2" t="s">
        <v>47217</v>
      </c>
      <c r="B7590" s="2" t="s">
        <v>47218</v>
      </c>
      <c r="C7590" s="2" t="s">
        <v>8155</v>
      </c>
      <c r="D7590" s="2" t="s">
        <v>47219</v>
      </c>
      <c r="E7590" s="2" t="s">
        <v>47201</v>
      </c>
      <c r="F7590" s="2" t="s">
        <v>502</v>
      </c>
      <c r="G7590" s="2" t="s">
        <v>47220</v>
      </c>
      <c r="H7590" s="3" t="s">
        <v>31</v>
      </c>
      <c r="I7590" s="3">
        <v>2.0</v>
      </c>
      <c r="J7590" s="3">
        <v>2.0</v>
      </c>
      <c r="K7590" s="3" t="s">
        <v>31</v>
      </c>
      <c r="L7590" s="4" t="s">
        <v>47203</v>
      </c>
      <c r="M7590" s="2" t="s">
        <v>47221</v>
      </c>
      <c r="N7590" s="2" t="s">
        <v>1416</v>
      </c>
      <c r="O7590" s="4" t="s">
        <v>1417</v>
      </c>
      <c r="P7590" s="2" t="s">
        <v>47205</v>
      </c>
      <c r="Q7590" s="2" t="s">
        <v>47206</v>
      </c>
      <c r="R7590" s="2" t="s">
        <v>1420</v>
      </c>
      <c r="S7590" s="4" t="s">
        <v>37621</v>
      </c>
      <c r="T7590" s="2" t="s">
        <v>66</v>
      </c>
      <c r="U7590" s="4" t="s">
        <v>31</v>
      </c>
      <c r="V7590" s="2" t="s">
        <v>502</v>
      </c>
      <c r="W7590" s="2" t="s">
        <v>47201</v>
      </c>
      <c r="X7590" s="5" t="str">
        <f>HYPERLINK("https://my.pitchbook.com?p=74034-64P","View People Online")</f>
        <v>View People Online</v>
      </c>
    </row>
    <row r="7591">
      <c r="A7591" s="6" t="s">
        <v>47222</v>
      </c>
      <c r="B7591" s="6" t="s">
        <v>47223</v>
      </c>
      <c r="C7591" s="6" t="s">
        <v>47224</v>
      </c>
      <c r="D7591" s="6" t="s">
        <v>47225</v>
      </c>
      <c r="E7591" s="6" t="s">
        <v>47201</v>
      </c>
      <c r="F7591" s="6" t="s">
        <v>43</v>
      </c>
      <c r="G7591" s="6" t="s">
        <v>47226</v>
      </c>
      <c r="H7591" s="7">
        <v>8.0</v>
      </c>
      <c r="I7591" s="7">
        <v>50.0</v>
      </c>
      <c r="J7591" s="7">
        <v>1.0</v>
      </c>
      <c r="K7591" s="7">
        <v>34.0</v>
      </c>
      <c r="L7591" s="8" t="s">
        <v>47203</v>
      </c>
      <c r="M7591" s="6" t="s">
        <v>47227</v>
      </c>
      <c r="N7591" s="6" t="s">
        <v>1416</v>
      </c>
      <c r="O7591" s="8" t="s">
        <v>1417</v>
      </c>
      <c r="P7591" s="6" t="s">
        <v>47205</v>
      </c>
      <c r="Q7591" s="6" t="s">
        <v>47206</v>
      </c>
      <c r="R7591" s="6" t="s">
        <v>1420</v>
      </c>
      <c r="S7591" s="8" t="s">
        <v>37621</v>
      </c>
      <c r="T7591" s="6" t="s">
        <v>66</v>
      </c>
      <c r="U7591" s="8" t="s">
        <v>31</v>
      </c>
      <c r="V7591" s="6" t="s">
        <v>43</v>
      </c>
      <c r="W7591" s="6" t="s">
        <v>47201</v>
      </c>
      <c r="X7591" s="9" t="str">
        <f>HYPERLINK("https://my.pitchbook.com?p=36977-05P","View People Online")</f>
        <v>View People Online</v>
      </c>
    </row>
    <row r="7592">
      <c r="A7592" s="2" t="s">
        <v>47228</v>
      </c>
      <c r="B7592" s="2" t="s">
        <v>47229</v>
      </c>
      <c r="C7592" s="2" t="s">
        <v>29163</v>
      </c>
      <c r="D7592" s="2" t="s">
        <v>47230</v>
      </c>
      <c r="E7592" s="2" t="s">
        <v>47201</v>
      </c>
      <c r="F7592" s="2" t="s">
        <v>674</v>
      </c>
      <c r="G7592" s="2" t="s">
        <v>47231</v>
      </c>
      <c r="H7592" s="3">
        <v>10.0</v>
      </c>
      <c r="I7592" s="3">
        <v>61.0</v>
      </c>
      <c r="J7592" s="3">
        <v>1.0</v>
      </c>
      <c r="K7592" s="3">
        <v>40.0</v>
      </c>
      <c r="L7592" s="4" t="s">
        <v>47203</v>
      </c>
      <c r="M7592" s="2" t="s">
        <v>47232</v>
      </c>
      <c r="N7592" s="2" t="s">
        <v>1416</v>
      </c>
      <c r="O7592" s="4" t="s">
        <v>1417</v>
      </c>
      <c r="P7592" s="2" t="s">
        <v>47205</v>
      </c>
      <c r="Q7592" s="2" t="s">
        <v>47206</v>
      </c>
      <c r="R7592" s="2" t="s">
        <v>1420</v>
      </c>
      <c r="S7592" s="4" t="s">
        <v>37621</v>
      </c>
      <c r="T7592" s="2" t="s">
        <v>66</v>
      </c>
      <c r="U7592" s="4" t="s">
        <v>31</v>
      </c>
      <c r="V7592" s="2" t="s">
        <v>1172</v>
      </c>
      <c r="W7592" s="2" t="s">
        <v>47201</v>
      </c>
      <c r="X7592" s="5" t="str">
        <f>HYPERLINK("https://my.pitchbook.com?p=13161-43P","View People Online")</f>
        <v>View People Online</v>
      </c>
    </row>
    <row r="7593">
      <c r="A7593" s="6" t="s">
        <v>47233</v>
      </c>
      <c r="B7593" s="6" t="s">
        <v>47234</v>
      </c>
      <c r="C7593" s="6" t="s">
        <v>4851</v>
      </c>
      <c r="D7593" s="6" t="s">
        <v>47235</v>
      </c>
      <c r="E7593" s="6" t="s">
        <v>47201</v>
      </c>
      <c r="F7593" s="6" t="s">
        <v>81</v>
      </c>
      <c r="G7593" s="6" t="s">
        <v>47236</v>
      </c>
      <c r="H7593" s="7" t="s">
        <v>31</v>
      </c>
      <c r="I7593" s="7">
        <v>1.0</v>
      </c>
      <c r="J7593" s="7" t="s">
        <v>31</v>
      </c>
      <c r="K7593" s="7" t="s">
        <v>31</v>
      </c>
      <c r="L7593" s="8" t="s">
        <v>47203</v>
      </c>
      <c r="M7593" s="6" t="s">
        <v>31</v>
      </c>
      <c r="N7593" s="6" t="s">
        <v>1416</v>
      </c>
      <c r="O7593" s="8" t="s">
        <v>1417</v>
      </c>
      <c r="P7593" s="6" t="s">
        <v>47205</v>
      </c>
      <c r="Q7593" s="6" t="s">
        <v>47206</v>
      </c>
      <c r="R7593" s="6" t="s">
        <v>1420</v>
      </c>
      <c r="S7593" s="8" t="s">
        <v>37621</v>
      </c>
      <c r="T7593" s="6" t="s">
        <v>66</v>
      </c>
      <c r="U7593" s="8" t="s">
        <v>31</v>
      </c>
      <c r="V7593" s="6" t="s">
        <v>5619</v>
      </c>
      <c r="W7593" s="6" t="s">
        <v>47201</v>
      </c>
      <c r="X7593" s="9" t="str">
        <f>HYPERLINK("https://my.pitchbook.com?p=95086-81P","View People Online")</f>
        <v>View People Online</v>
      </c>
    </row>
    <row r="7594">
      <c r="A7594" s="10" t="s">
        <v>47237</v>
      </c>
      <c r="B7594" s="10" t="s">
        <v>47238</v>
      </c>
      <c r="C7594" s="10" t="s">
        <v>7267</v>
      </c>
      <c r="D7594" s="10" t="s">
        <v>47239</v>
      </c>
      <c r="E7594" s="10" t="s">
        <v>47201</v>
      </c>
      <c r="F7594" s="10" t="s">
        <v>667</v>
      </c>
      <c r="G7594" s="10" t="s">
        <v>47240</v>
      </c>
      <c r="H7594" s="11" t="s">
        <v>31</v>
      </c>
      <c r="I7594" s="11">
        <v>1.0</v>
      </c>
      <c r="J7594" s="11">
        <v>1.0</v>
      </c>
      <c r="K7594" s="11" t="s">
        <v>31</v>
      </c>
      <c r="L7594" s="12" t="s">
        <v>47203</v>
      </c>
      <c r="M7594" s="10" t="s">
        <v>47241</v>
      </c>
      <c r="N7594" s="10" t="s">
        <v>1416</v>
      </c>
      <c r="O7594" s="12" t="s">
        <v>1417</v>
      </c>
      <c r="P7594" s="10" t="s">
        <v>47205</v>
      </c>
      <c r="Q7594" s="10" t="s">
        <v>47206</v>
      </c>
      <c r="R7594" s="10" t="s">
        <v>1420</v>
      </c>
      <c r="S7594" s="12" t="s">
        <v>37621</v>
      </c>
      <c r="T7594" s="10" t="s">
        <v>66</v>
      </c>
      <c r="U7594" s="12" t="s">
        <v>31</v>
      </c>
      <c r="V7594" s="10" t="s">
        <v>667</v>
      </c>
      <c r="W7594" s="10" t="s">
        <v>47201</v>
      </c>
      <c r="X7594" s="13" t="str">
        <f>HYPERLINK("https://my.pitchbook.com?p=420090-94P","View People Online")</f>
        <v>View People Online</v>
      </c>
    </row>
    <row r="7595">
      <c r="A7595" s="6" t="s">
        <v>47242</v>
      </c>
      <c r="B7595" s="6" t="s">
        <v>47243</v>
      </c>
      <c r="C7595" s="6" t="s">
        <v>47244</v>
      </c>
      <c r="D7595" s="6" t="s">
        <v>25914</v>
      </c>
      <c r="E7595" s="6" t="s">
        <v>47201</v>
      </c>
      <c r="F7595" s="6" t="s">
        <v>81</v>
      </c>
      <c r="G7595" s="6" t="s">
        <v>47245</v>
      </c>
      <c r="H7595" s="7">
        <v>2.0</v>
      </c>
      <c r="I7595" s="7">
        <v>4.0</v>
      </c>
      <c r="J7595" s="7">
        <v>1.0</v>
      </c>
      <c r="K7595" s="7" t="s">
        <v>31</v>
      </c>
      <c r="L7595" s="8" t="s">
        <v>31</v>
      </c>
      <c r="M7595" s="6" t="s">
        <v>31</v>
      </c>
      <c r="N7595" s="6" t="s">
        <v>1416</v>
      </c>
      <c r="O7595" s="8" t="s">
        <v>1417</v>
      </c>
      <c r="P7595" s="6" t="s">
        <v>47246</v>
      </c>
      <c r="Q7595" s="6" t="s">
        <v>47247</v>
      </c>
      <c r="R7595" s="6" t="s">
        <v>1420</v>
      </c>
      <c r="S7595" s="8" t="s">
        <v>47248</v>
      </c>
      <c r="T7595" s="6" t="s">
        <v>66</v>
      </c>
      <c r="U7595" s="8" t="s">
        <v>31</v>
      </c>
      <c r="V7595" s="6" t="s">
        <v>440</v>
      </c>
      <c r="W7595" s="6" t="s">
        <v>47249</v>
      </c>
      <c r="X7595" s="9" t="str">
        <f>HYPERLINK("https://my.pitchbook.com?p=318124-81P","View People Online")</f>
        <v>View People Online</v>
      </c>
    </row>
    <row r="7596">
      <c r="A7596" s="10" t="s">
        <v>47250</v>
      </c>
      <c r="B7596" s="10" t="s">
        <v>47251</v>
      </c>
      <c r="C7596" s="10" t="s">
        <v>69</v>
      </c>
      <c r="D7596" s="10" t="s">
        <v>29618</v>
      </c>
      <c r="E7596" s="10" t="s">
        <v>47201</v>
      </c>
      <c r="F7596" s="10" t="s">
        <v>31376</v>
      </c>
      <c r="G7596" s="10" t="s">
        <v>47252</v>
      </c>
      <c r="H7596" s="11">
        <v>6.0</v>
      </c>
      <c r="I7596" s="11">
        <v>43.0</v>
      </c>
      <c r="J7596" s="11">
        <v>3.0</v>
      </c>
      <c r="K7596" s="11">
        <v>30.0</v>
      </c>
      <c r="L7596" s="12" t="s">
        <v>47253</v>
      </c>
      <c r="M7596" s="10" t="s">
        <v>47254</v>
      </c>
      <c r="N7596" s="10" t="s">
        <v>1416</v>
      </c>
      <c r="O7596" s="12" t="s">
        <v>1417</v>
      </c>
      <c r="P7596" s="10" t="s">
        <v>47255</v>
      </c>
      <c r="Q7596" s="10" t="s">
        <v>47256</v>
      </c>
      <c r="R7596" s="10" t="s">
        <v>1420</v>
      </c>
      <c r="S7596" s="12" t="s">
        <v>47257</v>
      </c>
      <c r="T7596" s="10" t="s">
        <v>66</v>
      </c>
      <c r="U7596" s="12" t="s">
        <v>31</v>
      </c>
      <c r="V7596" s="10" t="s">
        <v>47258</v>
      </c>
      <c r="W7596" s="10" t="s">
        <v>47259</v>
      </c>
      <c r="X7596" s="13" t="str">
        <f>HYPERLINK("https://my.pitchbook.com?p=13161-52P","View People Online")</f>
        <v>View People Online</v>
      </c>
    </row>
    <row r="7597">
      <c r="A7597" s="6" t="s">
        <v>47260</v>
      </c>
      <c r="B7597" s="6" t="s">
        <v>47261</v>
      </c>
      <c r="C7597" s="6" t="s">
        <v>84</v>
      </c>
      <c r="D7597" s="6" t="s">
        <v>47262</v>
      </c>
      <c r="E7597" s="6" t="s">
        <v>47201</v>
      </c>
      <c r="F7597" s="6" t="s">
        <v>46509</v>
      </c>
      <c r="G7597" s="6" t="s">
        <v>47263</v>
      </c>
      <c r="H7597" s="7" t="s">
        <v>31</v>
      </c>
      <c r="I7597" s="7">
        <v>1.0</v>
      </c>
      <c r="J7597" s="7">
        <v>1.0</v>
      </c>
      <c r="K7597" s="7" t="s">
        <v>31</v>
      </c>
      <c r="L7597" s="8" t="s">
        <v>47203</v>
      </c>
      <c r="M7597" s="6" t="s">
        <v>31</v>
      </c>
      <c r="N7597" s="6" t="s">
        <v>1416</v>
      </c>
      <c r="O7597" s="8" t="s">
        <v>1417</v>
      </c>
      <c r="P7597" s="6" t="s">
        <v>47205</v>
      </c>
      <c r="Q7597" s="6" t="s">
        <v>47206</v>
      </c>
      <c r="R7597" s="6" t="s">
        <v>1420</v>
      </c>
      <c r="S7597" s="8" t="s">
        <v>37621</v>
      </c>
      <c r="T7597" s="6" t="s">
        <v>66</v>
      </c>
      <c r="U7597" s="8" t="s">
        <v>31</v>
      </c>
      <c r="V7597" s="6" t="s">
        <v>47264</v>
      </c>
      <c r="W7597" s="6" t="s">
        <v>47201</v>
      </c>
      <c r="X7597" s="9" t="str">
        <f>HYPERLINK("https://my.pitchbook.com?p=274878-55P","View People Online")</f>
        <v>View People Online</v>
      </c>
    </row>
    <row r="7598">
      <c r="A7598" s="2" t="s">
        <v>47265</v>
      </c>
      <c r="B7598" s="2" t="s">
        <v>47266</v>
      </c>
      <c r="C7598" s="2" t="s">
        <v>11210</v>
      </c>
      <c r="D7598" s="2" t="s">
        <v>3935</v>
      </c>
      <c r="E7598" s="2" t="s">
        <v>47201</v>
      </c>
      <c r="F7598" s="2" t="s">
        <v>81</v>
      </c>
      <c r="G7598" s="2" t="s">
        <v>47267</v>
      </c>
      <c r="H7598" s="3">
        <v>1.0</v>
      </c>
      <c r="I7598" s="3">
        <v>12.0</v>
      </c>
      <c r="J7598" s="3">
        <v>1.0</v>
      </c>
      <c r="K7598" s="3">
        <v>5.0</v>
      </c>
      <c r="L7598" s="4" t="s">
        <v>47203</v>
      </c>
      <c r="M7598" s="2" t="s">
        <v>47268</v>
      </c>
      <c r="N7598" s="2" t="s">
        <v>665</v>
      </c>
      <c r="O7598" s="4" t="s">
        <v>3857</v>
      </c>
      <c r="P7598" s="2" t="s">
        <v>31</v>
      </c>
      <c r="Q7598" s="2" t="s">
        <v>31</v>
      </c>
      <c r="R7598" s="2" t="s">
        <v>1420</v>
      </c>
      <c r="S7598" s="4" t="s">
        <v>31</v>
      </c>
      <c r="T7598" s="2" t="s">
        <v>66</v>
      </c>
      <c r="U7598" s="4" t="s">
        <v>31</v>
      </c>
      <c r="V7598" s="2" t="s">
        <v>270</v>
      </c>
      <c r="W7598" s="2" t="s">
        <v>47269</v>
      </c>
      <c r="X7598" s="5" t="str">
        <f>HYPERLINK("https://my.pitchbook.com?p=43176-88P","View People Online")</f>
        <v>View People Online</v>
      </c>
    </row>
    <row r="7599">
      <c r="A7599" s="6" t="s">
        <v>47270</v>
      </c>
      <c r="B7599" s="6" t="s">
        <v>47271</v>
      </c>
      <c r="C7599" s="6" t="s">
        <v>11210</v>
      </c>
      <c r="D7599" s="6" t="s">
        <v>47272</v>
      </c>
      <c r="E7599" s="6" t="s">
        <v>47201</v>
      </c>
      <c r="F7599" s="6" t="s">
        <v>114</v>
      </c>
      <c r="G7599" s="6" t="s">
        <v>47273</v>
      </c>
      <c r="H7599" s="7">
        <v>6.0</v>
      </c>
      <c r="I7599" s="7">
        <v>32.0</v>
      </c>
      <c r="J7599" s="7">
        <v>2.0</v>
      </c>
      <c r="K7599" s="7">
        <v>22.0</v>
      </c>
      <c r="L7599" s="8" t="s">
        <v>47274</v>
      </c>
      <c r="M7599" s="6" t="s">
        <v>47275</v>
      </c>
      <c r="N7599" s="6" t="s">
        <v>4232</v>
      </c>
      <c r="O7599" s="8" t="s">
        <v>4233</v>
      </c>
      <c r="P7599" s="6" t="s">
        <v>47276</v>
      </c>
      <c r="Q7599" s="6" t="s">
        <v>31</v>
      </c>
      <c r="R7599" s="6" t="s">
        <v>4236</v>
      </c>
      <c r="S7599" s="8" t="s">
        <v>47277</v>
      </c>
      <c r="T7599" s="6" t="s">
        <v>66</v>
      </c>
      <c r="U7599" s="8" t="s">
        <v>31</v>
      </c>
      <c r="V7599" s="6" t="s">
        <v>157</v>
      </c>
      <c r="W7599" s="6" t="s">
        <v>47278</v>
      </c>
      <c r="X7599" s="9" t="str">
        <f>HYPERLINK("https://my.pitchbook.com?p=42531-58P","View People Online")</f>
        <v>View People Online</v>
      </c>
    </row>
    <row r="7600">
      <c r="A7600" s="2" t="s">
        <v>47279</v>
      </c>
      <c r="B7600" s="2" t="s">
        <v>47280</v>
      </c>
      <c r="C7600" s="2" t="s">
        <v>1255</v>
      </c>
      <c r="D7600" s="2" t="s">
        <v>47281</v>
      </c>
      <c r="E7600" s="2" t="s">
        <v>47201</v>
      </c>
      <c r="F7600" s="2" t="s">
        <v>81</v>
      </c>
      <c r="G7600" s="2" t="s">
        <v>47282</v>
      </c>
      <c r="H7600" s="3" t="s">
        <v>31</v>
      </c>
      <c r="I7600" s="3">
        <v>2.0</v>
      </c>
      <c r="J7600" s="3" t="s">
        <v>31</v>
      </c>
      <c r="K7600" s="3" t="s">
        <v>31</v>
      </c>
      <c r="L7600" s="4" t="s">
        <v>47203</v>
      </c>
      <c r="M7600" s="2" t="s">
        <v>31</v>
      </c>
      <c r="N7600" s="2" t="s">
        <v>1416</v>
      </c>
      <c r="O7600" s="4" t="s">
        <v>1417</v>
      </c>
      <c r="P7600" s="2" t="s">
        <v>47205</v>
      </c>
      <c r="Q7600" s="2" t="s">
        <v>47206</v>
      </c>
      <c r="R7600" s="2" t="s">
        <v>1420</v>
      </c>
      <c r="S7600" s="4" t="s">
        <v>37621</v>
      </c>
      <c r="T7600" s="2" t="s">
        <v>66</v>
      </c>
      <c r="U7600" s="4" t="s">
        <v>31</v>
      </c>
      <c r="V7600" s="2" t="s">
        <v>5619</v>
      </c>
      <c r="W7600" s="2" t="s">
        <v>47201</v>
      </c>
      <c r="X7600" s="5" t="str">
        <f>HYPERLINK("https://my.pitchbook.com?p=149725-18P","View People Online")</f>
        <v>View People Online</v>
      </c>
    </row>
    <row r="7601">
      <c r="A7601" s="6" t="s">
        <v>47283</v>
      </c>
      <c r="B7601" s="6" t="s">
        <v>47284</v>
      </c>
      <c r="C7601" s="6" t="s">
        <v>8106</v>
      </c>
      <c r="D7601" s="6" t="s">
        <v>47285</v>
      </c>
      <c r="E7601" s="6" t="s">
        <v>47201</v>
      </c>
      <c r="F7601" s="6" t="s">
        <v>81</v>
      </c>
      <c r="G7601" s="6" t="s">
        <v>47286</v>
      </c>
      <c r="H7601" s="7">
        <v>4.0</v>
      </c>
      <c r="I7601" s="7">
        <v>9.0</v>
      </c>
      <c r="J7601" s="7">
        <v>3.0</v>
      </c>
      <c r="K7601" s="7">
        <v>2.0</v>
      </c>
      <c r="L7601" s="8" t="s">
        <v>47287</v>
      </c>
      <c r="M7601" s="6" t="s">
        <v>47288</v>
      </c>
      <c r="N7601" s="6" t="s">
        <v>75</v>
      </c>
      <c r="O7601" s="8" t="s">
        <v>76</v>
      </c>
      <c r="P7601" s="6" t="s">
        <v>47289</v>
      </c>
      <c r="Q7601" s="6" t="s">
        <v>31</v>
      </c>
      <c r="R7601" s="6" t="s">
        <v>75</v>
      </c>
      <c r="S7601" s="8" t="s">
        <v>47290</v>
      </c>
      <c r="T7601" s="6" t="s">
        <v>66</v>
      </c>
      <c r="U7601" s="8" t="s">
        <v>31</v>
      </c>
      <c r="V7601" s="6" t="s">
        <v>583</v>
      </c>
      <c r="W7601" s="6" t="s">
        <v>47291</v>
      </c>
      <c r="X7601" s="9" t="str">
        <f>HYPERLINK("https://my.pitchbook.com?p=61949-35P","View People Online")</f>
        <v>View People Online</v>
      </c>
    </row>
    <row r="7602">
      <c r="A7602" s="2" t="s">
        <v>47292</v>
      </c>
      <c r="B7602" s="2" t="s">
        <v>47293</v>
      </c>
      <c r="C7602" s="2" t="s">
        <v>37148</v>
      </c>
      <c r="D7602" s="2" t="s">
        <v>9686</v>
      </c>
      <c r="E7602" s="2" t="s">
        <v>47201</v>
      </c>
      <c r="F7602" s="2" t="s">
        <v>29</v>
      </c>
      <c r="G7602" s="2" t="s">
        <v>47294</v>
      </c>
      <c r="H7602" s="3">
        <v>4.0</v>
      </c>
      <c r="I7602" s="3">
        <v>25.0</v>
      </c>
      <c r="J7602" s="3">
        <v>3.0</v>
      </c>
      <c r="K7602" s="3">
        <v>12.0</v>
      </c>
      <c r="L7602" s="4" t="s">
        <v>47203</v>
      </c>
      <c r="M7602" s="2" t="s">
        <v>47295</v>
      </c>
      <c r="N7602" s="2" t="s">
        <v>1416</v>
      </c>
      <c r="O7602" s="4" t="s">
        <v>1417</v>
      </c>
      <c r="P7602" s="2" t="s">
        <v>47205</v>
      </c>
      <c r="Q7602" s="2" t="s">
        <v>47206</v>
      </c>
      <c r="R7602" s="2" t="s">
        <v>1420</v>
      </c>
      <c r="S7602" s="4" t="s">
        <v>37621</v>
      </c>
      <c r="T7602" s="2" t="s">
        <v>66</v>
      </c>
      <c r="U7602" s="4" t="s">
        <v>31</v>
      </c>
      <c r="V7602" s="2" t="s">
        <v>29</v>
      </c>
      <c r="W7602" s="2" t="s">
        <v>47201</v>
      </c>
      <c r="X7602" s="5" t="str">
        <f>HYPERLINK("https://my.pitchbook.com?p=129866-59P","View People Online")</f>
        <v>View People Online</v>
      </c>
    </row>
    <row r="7603">
      <c r="A7603" s="6" t="s">
        <v>47296</v>
      </c>
      <c r="B7603" s="6" t="s">
        <v>47297</v>
      </c>
      <c r="C7603" s="6" t="s">
        <v>8956</v>
      </c>
      <c r="D7603" s="6" t="s">
        <v>47298</v>
      </c>
      <c r="E7603" s="6" t="s">
        <v>47201</v>
      </c>
      <c r="F7603" s="6" t="s">
        <v>78</v>
      </c>
      <c r="G7603" s="6" t="s">
        <v>47299</v>
      </c>
      <c r="H7603" s="7" t="s">
        <v>31</v>
      </c>
      <c r="I7603" s="7">
        <v>1.0</v>
      </c>
      <c r="J7603" s="7">
        <v>1.0</v>
      </c>
      <c r="K7603" s="7" t="s">
        <v>31</v>
      </c>
      <c r="L7603" s="8" t="s">
        <v>47203</v>
      </c>
      <c r="M7603" s="6" t="s">
        <v>47300</v>
      </c>
      <c r="N7603" s="6" t="s">
        <v>665</v>
      </c>
      <c r="O7603" s="8" t="s">
        <v>3857</v>
      </c>
      <c r="P7603" s="6" t="s">
        <v>47301</v>
      </c>
      <c r="Q7603" s="6" t="s">
        <v>6872</v>
      </c>
      <c r="R7603" s="6" t="s">
        <v>1420</v>
      </c>
      <c r="S7603" s="8" t="s">
        <v>8300</v>
      </c>
      <c r="T7603" s="6" t="s">
        <v>66</v>
      </c>
      <c r="U7603" s="8" t="s">
        <v>31</v>
      </c>
      <c r="V7603" s="6" t="s">
        <v>78</v>
      </c>
      <c r="W7603" s="6" t="s">
        <v>47201</v>
      </c>
      <c r="X7603" s="9" t="str">
        <f>HYPERLINK("https://my.pitchbook.com?p=140900-23P","View People Online")</f>
        <v>View People Online</v>
      </c>
    </row>
    <row r="7604">
      <c r="A7604" s="10" t="s">
        <v>47302</v>
      </c>
      <c r="B7604" s="10" t="s">
        <v>47303</v>
      </c>
      <c r="C7604" s="10" t="s">
        <v>350</v>
      </c>
      <c r="D7604" s="10" t="s">
        <v>47304</v>
      </c>
      <c r="E7604" s="10" t="s">
        <v>47201</v>
      </c>
      <c r="F7604" s="10" t="s">
        <v>81</v>
      </c>
      <c r="G7604" s="10" t="s">
        <v>47305</v>
      </c>
      <c r="H7604" s="11" t="s">
        <v>31</v>
      </c>
      <c r="I7604" s="11">
        <v>9.0</v>
      </c>
      <c r="J7604" s="11">
        <v>3.0</v>
      </c>
      <c r="K7604" s="11">
        <v>4.0</v>
      </c>
      <c r="L7604" s="12" t="s">
        <v>31</v>
      </c>
      <c r="M7604" s="10" t="s">
        <v>31</v>
      </c>
      <c r="N7604" s="10" t="s">
        <v>75</v>
      </c>
      <c r="O7604" s="12" t="s">
        <v>76</v>
      </c>
      <c r="P7604" s="10" t="s">
        <v>47306</v>
      </c>
      <c r="Q7604" s="10" t="s">
        <v>31</v>
      </c>
      <c r="R7604" s="10" t="s">
        <v>75</v>
      </c>
      <c r="S7604" s="12" t="s">
        <v>3929</v>
      </c>
      <c r="T7604" s="10" t="s">
        <v>66</v>
      </c>
      <c r="U7604" s="12" t="s">
        <v>31</v>
      </c>
      <c r="V7604" s="10" t="s">
        <v>991</v>
      </c>
      <c r="W7604" s="10" t="s">
        <v>47307</v>
      </c>
      <c r="X7604" s="13" t="str">
        <f>HYPERLINK("https://my.pitchbook.com?p=30476-62P","View People Online")</f>
        <v>View People Online</v>
      </c>
    </row>
    <row r="7605">
      <c r="A7605" s="14" t="s">
        <v>47308</v>
      </c>
      <c r="B7605" s="14" t="s">
        <v>47309</v>
      </c>
      <c r="C7605" s="14" t="s">
        <v>18624</v>
      </c>
      <c r="D7605" s="14" t="s">
        <v>36212</v>
      </c>
      <c r="E7605" s="14" t="s">
        <v>47201</v>
      </c>
      <c r="F7605" s="14" t="s">
        <v>81</v>
      </c>
      <c r="G7605" s="14" t="s">
        <v>47310</v>
      </c>
      <c r="H7605" s="15" t="s">
        <v>31</v>
      </c>
      <c r="I7605" s="15">
        <v>4.0</v>
      </c>
      <c r="J7605" s="15">
        <v>2.0</v>
      </c>
      <c r="K7605" s="15" t="s">
        <v>31</v>
      </c>
      <c r="L7605" s="16" t="s">
        <v>47311</v>
      </c>
      <c r="M7605" s="14" t="s">
        <v>47312</v>
      </c>
      <c r="N7605" s="14" t="s">
        <v>47313</v>
      </c>
      <c r="O7605" s="16" t="s">
        <v>47314</v>
      </c>
      <c r="P7605" s="14" t="s">
        <v>47315</v>
      </c>
      <c r="Q7605" s="14" t="s">
        <v>31</v>
      </c>
      <c r="R7605" s="14" t="s">
        <v>10017</v>
      </c>
      <c r="S7605" s="16" t="s">
        <v>47316</v>
      </c>
      <c r="T7605" s="14" t="s">
        <v>66</v>
      </c>
      <c r="U7605" s="16" t="s">
        <v>31</v>
      </c>
      <c r="V7605" s="14" t="s">
        <v>43467</v>
      </c>
      <c r="W7605" s="14" t="s">
        <v>47317</v>
      </c>
      <c r="X7605" s="17" t="str">
        <f>HYPERLINK("https://my.pitchbook.com?p=257455-72P","View People Online")</f>
        <v>View People Online</v>
      </c>
    </row>
    <row r="7606">
      <c r="A7606" s="10" t="s">
        <v>47318</v>
      </c>
      <c r="B7606" s="10" t="s">
        <v>47319</v>
      </c>
      <c r="C7606" s="10" t="s">
        <v>3096</v>
      </c>
      <c r="D7606" s="10" t="s">
        <v>47320</v>
      </c>
      <c r="E7606" s="10" t="s">
        <v>47201</v>
      </c>
      <c r="F7606" s="10" t="s">
        <v>81</v>
      </c>
      <c r="G7606" s="10" t="s">
        <v>47321</v>
      </c>
      <c r="H7606" s="11">
        <v>2.0</v>
      </c>
      <c r="I7606" s="11">
        <v>7.0</v>
      </c>
      <c r="J7606" s="11">
        <v>2.0</v>
      </c>
      <c r="K7606" s="11">
        <v>2.0</v>
      </c>
      <c r="L7606" s="12" t="s">
        <v>47322</v>
      </c>
      <c r="M7606" s="10" t="s">
        <v>47323</v>
      </c>
      <c r="N7606" s="10" t="s">
        <v>775</v>
      </c>
      <c r="O7606" s="12" t="s">
        <v>776</v>
      </c>
      <c r="P7606" s="10" t="s">
        <v>5634</v>
      </c>
      <c r="Q7606" s="10" t="s">
        <v>47324</v>
      </c>
      <c r="R7606" s="10" t="s">
        <v>64</v>
      </c>
      <c r="S7606" s="12" t="s">
        <v>5635</v>
      </c>
      <c r="T7606" s="10" t="s">
        <v>66</v>
      </c>
      <c r="U7606" s="12" t="s">
        <v>31</v>
      </c>
      <c r="V7606" s="10" t="s">
        <v>34077</v>
      </c>
      <c r="W7606" s="10" t="s">
        <v>47325</v>
      </c>
      <c r="X7606" s="13" t="str">
        <f>HYPERLINK("https://my.pitchbook.com?p=38329-75P","View People Online")</f>
        <v>View People Online</v>
      </c>
    </row>
    <row r="7607">
      <c r="A7607" s="6" t="s">
        <v>47326</v>
      </c>
      <c r="B7607" s="6" t="s">
        <v>47327</v>
      </c>
      <c r="C7607" s="6" t="s">
        <v>5113</v>
      </c>
      <c r="D7607" s="6" t="s">
        <v>9782</v>
      </c>
      <c r="E7607" s="6" t="s">
        <v>47201</v>
      </c>
      <c r="F7607" s="6" t="s">
        <v>3665</v>
      </c>
      <c r="G7607" s="6" t="s">
        <v>47328</v>
      </c>
      <c r="H7607" s="7" t="s">
        <v>31</v>
      </c>
      <c r="I7607" s="7">
        <v>1.0</v>
      </c>
      <c r="J7607" s="7">
        <v>1.0</v>
      </c>
      <c r="K7607" s="7" t="s">
        <v>31</v>
      </c>
      <c r="L7607" s="8" t="s">
        <v>47203</v>
      </c>
      <c r="M7607" s="6" t="s">
        <v>47329</v>
      </c>
      <c r="N7607" s="6" t="s">
        <v>1416</v>
      </c>
      <c r="O7607" s="8" t="s">
        <v>1417</v>
      </c>
      <c r="P7607" s="6" t="s">
        <v>47205</v>
      </c>
      <c r="Q7607" s="6" t="s">
        <v>47206</v>
      </c>
      <c r="R7607" s="6" t="s">
        <v>1420</v>
      </c>
      <c r="S7607" s="8" t="s">
        <v>37621</v>
      </c>
      <c r="T7607" s="6" t="s">
        <v>66</v>
      </c>
      <c r="U7607" s="8" t="s">
        <v>31</v>
      </c>
      <c r="V7607" s="6" t="s">
        <v>13081</v>
      </c>
      <c r="W7607" s="6" t="s">
        <v>47201</v>
      </c>
      <c r="X7607" s="9" t="str">
        <f>HYPERLINK("https://my.pitchbook.com?p=259147-63P","View People Online")</f>
        <v>View People Online</v>
      </c>
    </row>
    <row r="7608">
      <c r="A7608" s="10" t="s">
        <v>47330</v>
      </c>
      <c r="B7608" s="10" t="s">
        <v>47331</v>
      </c>
      <c r="C7608" s="10" t="s">
        <v>11929</v>
      </c>
      <c r="D7608" s="10" t="s">
        <v>47332</v>
      </c>
      <c r="E7608" s="10" t="s">
        <v>47201</v>
      </c>
      <c r="F7608" s="10" t="s">
        <v>5234</v>
      </c>
      <c r="G7608" s="10" t="s">
        <v>47333</v>
      </c>
      <c r="H7608" s="11" t="s">
        <v>31</v>
      </c>
      <c r="I7608" s="11">
        <v>1.0</v>
      </c>
      <c r="J7608" s="11">
        <v>1.0</v>
      </c>
      <c r="K7608" s="11" t="s">
        <v>31</v>
      </c>
      <c r="L7608" s="12" t="s">
        <v>47203</v>
      </c>
      <c r="M7608" s="10" t="s">
        <v>47334</v>
      </c>
      <c r="N7608" s="10" t="s">
        <v>1416</v>
      </c>
      <c r="O7608" s="12" t="s">
        <v>1417</v>
      </c>
      <c r="P7608" s="10" t="s">
        <v>47205</v>
      </c>
      <c r="Q7608" s="10" t="s">
        <v>47206</v>
      </c>
      <c r="R7608" s="10" t="s">
        <v>1420</v>
      </c>
      <c r="S7608" s="12" t="s">
        <v>37621</v>
      </c>
      <c r="T7608" s="10" t="s">
        <v>66</v>
      </c>
      <c r="U7608" s="12" t="s">
        <v>31</v>
      </c>
      <c r="V7608" s="10" t="s">
        <v>5234</v>
      </c>
      <c r="W7608" s="10" t="s">
        <v>47201</v>
      </c>
      <c r="X7608" s="13" t="str">
        <f>HYPERLINK("https://my.pitchbook.com?p=286829-38P","View People Online")</f>
        <v>View People Online</v>
      </c>
    </row>
    <row r="7609">
      <c r="A7609" s="6" t="s">
        <v>47335</v>
      </c>
      <c r="B7609" s="6" t="s">
        <v>47336</v>
      </c>
      <c r="C7609" s="6" t="s">
        <v>47337</v>
      </c>
      <c r="D7609" s="6" t="s">
        <v>22343</v>
      </c>
      <c r="E7609" s="6" t="s">
        <v>47201</v>
      </c>
      <c r="F7609" s="6" t="s">
        <v>81</v>
      </c>
      <c r="G7609" s="6" t="s">
        <v>47338</v>
      </c>
      <c r="H7609" s="7">
        <v>1.0</v>
      </c>
      <c r="I7609" s="7">
        <v>8.0</v>
      </c>
      <c r="J7609" s="7">
        <v>1.0</v>
      </c>
      <c r="K7609" s="7">
        <v>6.0</v>
      </c>
      <c r="L7609" s="8" t="s">
        <v>47203</v>
      </c>
      <c r="M7609" s="6" t="s">
        <v>47339</v>
      </c>
      <c r="N7609" s="6" t="s">
        <v>1416</v>
      </c>
      <c r="O7609" s="8" t="s">
        <v>1417</v>
      </c>
      <c r="P7609" s="6" t="s">
        <v>47340</v>
      </c>
      <c r="Q7609" s="6" t="s">
        <v>5626</v>
      </c>
      <c r="R7609" s="6" t="s">
        <v>1420</v>
      </c>
      <c r="S7609" s="8" t="s">
        <v>47341</v>
      </c>
      <c r="T7609" s="6" t="s">
        <v>66</v>
      </c>
      <c r="U7609" s="8" t="s">
        <v>31</v>
      </c>
      <c r="V7609" s="6" t="s">
        <v>1384</v>
      </c>
      <c r="W7609" s="6" t="s">
        <v>47342</v>
      </c>
      <c r="X7609" s="9" t="str">
        <f>HYPERLINK("https://my.pitchbook.com?p=231582-52P","View People Online")</f>
        <v>View People Online</v>
      </c>
    </row>
    <row r="7610">
      <c r="A7610" s="10" t="s">
        <v>47343</v>
      </c>
      <c r="B7610" s="10" t="s">
        <v>47344</v>
      </c>
      <c r="C7610" s="10" t="s">
        <v>167</v>
      </c>
      <c r="D7610" s="10" t="s">
        <v>47345</v>
      </c>
      <c r="E7610" s="10" t="s">
        <v>47201</v>
      </c>
      <c r="F7610" s="10" t="s">
        <v>548</v>
      </c>
      <c r="G7610" s="10" t="s">
        <v>47346</v>
      </c>
      <c r="H7610" s="11" t="s">
        <v>31</v>
      </c>
      <c r="I7610" s="11">
        <v>1.0</v>
      </c>
      <c r="J7610" s="11">
        <v>1.0</v>
      </c>
      <c r="K7610" s="11" t="s">
        <v>31</v>
      </c>
      <c r="L7610" s="12" t="s">
        <v>47347</v>
      </c>
      <c r="M7610" s="10" t="s">
        <v>47348</v>
      </c>
      <c r="N7610" s="10" t="s">
        <v>1416</v>
      </c>
      <c r="O7610" s="12" t="s">
        <v>1417</v>
      </c>
      <c r="P7610" s="10" t="s">
        <v>47205</v>
      </c>
      <c r="Q7610" s="10" t="s">
        <v>47206</v>
      </c>
      <c r="R7610" s="10" t="s">
        <v>1420</v>
      </c>
      <c r="S7610" s="12" t="s">
        <v>37621</v>
      </c>
      <c r="T7610" s="10" t="s">
        <v>66</v>
      </c>
      <c r="U7610" s="12" t="s">
        <v>31</v>
      </c>
      <c r="V7610" s="10" t="s">
        <v>1654</v>
      </c>
      <c r="W7610" s="10" t="s">
        <v>47201</v>
      </c>
      <c r="X7610" s="13" t="str">
        <f>HYPERLINK("https://my.pitchbook.com?p=376824-07P","View People Online")</f>
        <v>View People Online</v>
      </c>
    </row>
    <row r="7611">
      <c r="A7611" s="14" t="s">
        <v>47349</v>
      </c>
      <c r="B7611" s="14" t="s">
        <v>47350</v>
      </c>
      <c r="C7611" s="14" t="s">
        <v>3875</v>
      </c>
      <c r="D7611" s="14" t="s">
        <v>47351</v>
      </c>
      <c r="E7611" s="14" t="s">
        <v>47201</v>
      </c>
      <c r="F7611" s="14" t="s">
        <v>3877</v>
      </c>
      <c r="G7611" s="14" t="s">
        <v>47352</v>
      </c>
      <c r="H7611" s="15" t="s">
        <v>31</v>
      </c>
      <c r="I7611" s="15">
        <v>1.0</v>
      </c>
      <c r="J7611" s="15">
        <v>1.0</v>
      </c>
      <c r="K7611" s="15" t="s">
        <v>31</v>
      </c>
      <c r="L7611" s="16" t="s">
        <v>47203</v>
      </c>
      <c r="M7611" s="14" t="s">
        <v>47353</v>
      </c>
      <c r="N7611" s="14" t="s">
        <v>1416</v>
      </c>
      <c r="O7611" s="16" t="s">
        <v>1417</v>
      </c>
      <c r="P7611" s="14" t="s">
        <v>47205</v>
      </c>
      <c r="Q7611" s="14" t="s">
        <v>47206</v>
      </c>
      <c r="R7611" s="14" t="s">
        <v>1420</v>
      </c>
      <c r="S7611" s="16" t="s">
        <v>37621</v>
      </c>
      <c r="T7611" s="14" t="s">
        <v>66</v>
      </c>
      <c r="U7611" s="16" t="s">
        <v>31</v>
      </c>
      <c r="V7611" s="14" t="s">
        <v>47354</v>
      </c>
      <c r="W7611" s="14" t="s">
        <v>47201</v>
      </c>
      <c r="X7611" s="17" t="str">
        <f>HYPERLINK("https://my.pitchbook.com?p=330003-91P","View People Online")</f>
        <v>View People Online</v>
      </c>
    </row>
    <row r="7612">
      <c r="A7612" s="10" t="s">
        <v>47355</v>
      </c>
      <c r="B7612" s="10" t="s">
        <v>47356</v>
      </c>
      <c r="C7612" s="10" t="s">
        <v>3359</v>
      </c>
      <c r="D7612" s="10" t="s">
        <v>47357</v>
      </c>
      <c r="E7612" s="10" t="s">
        <v>47201</v>
      </c>
      <c r="F7612" s="10" t="s">
        <v>81</v>
      </c>
      <c r="G7612" s="10" t="s">
        <v>47358</v>
      </c>
      <c r="H7612" s="11" t="s">
        <v>31</v>
      </c>
      <c r="I7612" s="11">
        <v>1.0</v>
      </c>
      <c r="J7612" s="11" t="s">
        <v>31</v>
      </c>
      <c r="K7612" s="11" t="s">
        <v>31</v>
      </c>
      <c r="L7612" s="12" t="s">
        <v>47359</v>
      </c>
      <c r="M7612" s="10" t="s">
        <v>31</v>
      </c>
      <c r="N7612" s="10" t="s">
        <v>1416</v>
      </c>
      <c r="O7612" s="12" t="s">
        <v>1417</v>
      </c>
      <c r="P7612" s="10" t="s">
        <v>47205</v>
      </c>
      <c r="Q7612" s="10" t="s">
        <v>47206</v>
      </c>
      <c r="R7612" s="10" t="s">
        <v>1420</v>
      </c>
      <c r="S7612" s="12" t="s">
        <v>37621</v>
      </c>
      <c r="T7612" s="10" t="s">
        <v>66</v>
      </c>
      <c r="U7612" s="12" t="s">
        <v>31</v>
      </c>
      <c r="V7612" s="10" t="s">
        <v>81</v>
      </c>
      <c r="W7612" s="10" t="s">
        <v>47201</v>
      </c>
      <c r="X7612" s="13" t="str">
        <f>HYPERLINK("https://my.pitchbook.com?p=83969-47P","View People Online")</f>
        <v>View People Online</v>
      </c>
    </row>
    <row r="7613">
      <c r="A7613" s="14" t="s">
        <v>47360</v>
      </c>
      <c r="B7613" s="14" t="s">
        <v>47361</v>
      </c>
      <c r="C7613" s="14" t="s">
        <v>12264</v>
      </c>
      <c r="D7613" s="14" t="s">
        <v>47362</v>
      </c>
      <c r="E7613" s="14" t="s">
        <v>47201</v>
      </c>
      <c r="F7613" s="14" t="s">
        <v>81</v>
      </c>
      <c r="G7613" s="14" t="s">
        <v>47363</v>
      </c>
      <c r="H7613" s="15">
        <v>1.0</v>
      </c>
      <c r="I7613" s="15">
        <v>2.0</v>
      </c>
      <c r="J7613" s="15" t="s">
        <v>31</v>
      </c>
      <c r="K7613" s="15" t="s">
        <v>31</v>
      </c>
      <c r="L7613" s="16" t="s">
        <v>47203</v>
      </c>
      <c r="M7613" s="14" t="s">
        <v>31</v>
      </c>
      <c r="N7613" s="14" t="s">
        <v>1416</v>
      </c>
      <c r="O7613" s="16" t="s">
        <v>1417</v>
      </c>
      <c r="P7613" s="14" t="s">
        <v>47205</v>
      </c>
      <c r="Q7613" s="14" t="s">
        <v>47206</v>
      </c>
      <c r="R7613" s="14" t="s">
        <v>1420</v>
      </c>
      <c r="S7613" s="16" t="s">
        <v>37621</v>
      </c>
      <c r="T7613" s="14" t="s">
        <v>66</v>
      </c>
      <c r="U7613" s="16" t="s">
        <v>31</v>
      </c>
      <c r="V7613" s="14" t="s">
        <v>5619</v>
      </c>
      <c r="W7613" s="14" t="s">
        <v>47201</v>
      </c>
      <c r="X7613" s="17" t="str">
        <f>HYPERLINK("https://my.pitchbook.com?p=270955-99P","View People Online")</f>
        <v>View People Online</v>
      </c>
    </row>
    <row r="7614">
      <c r="A7614" s="2" t="s">
        <v>47364</v>
      </c>
      <c r="B7614" s="2" t="s">
        <v>47365</v>
      </c>
      <c r="C7614" s="2" t="s">
        <v>5264</v>
      </c>
      <c r="D7614" s="2" t="s">
        <v>5386</v>
      </c>
      <c r="E7614" s="2" t="s">
        <v>47201</v>
      </c>
      <c r="F7614" s="2" t="s">
        <v>29</v>
      </c>
      <c r="G7614" s="2" t="s">
        <v>47366</v>
      </c>
      <c r="H7614" s="3">
        <v>2.0</v>
      </c>
      <c r="I7614" s="3">
        <v>23.0</v>
      </c>
      <c r="J7614" s="3">
        <v>1.0</v>
      </c>
      <c r="K7614" s="3">
        <v>14.0</v>
      </c>
      <c r="L7614" s="4" t="s">
        <v>47203</v>
      </c>
      <c r="M7614" s="2" t="s">
        <v>47367</v>
      </c>
      <c r="N7614" s="2" t="s">
        <v>1416</v>
      </c>
      <c r="O7614" s="4" t="s">
        <v>1417</v>
      </c>
      <c r="P7614" s="2" t="s">
        <v>47205</v>
      </c>
      <c r="Q7614" s="2" t="s">
        <v>47206</v>
      </c>
      <c r="R7614" s="2" t="s">
        <v>1420</v>
      </c>
      <c r="S7614" s="4" t="s">
        <v>37621</v>
      </c>
      <c r="T7614" s="2" t="s">
        <v>66</v>
      </c>
      <c r="U7614" s="4" t="s">
        <v>31</v>
      </c>
      <c r="V7614" s="2" t="s">
        <v>29</v>
      </c>
      <c r="W7614" s="2" t="s">
        <v>47201</v>
      </c>
      <c r="X7614" s="5" t="str">
        <f>HYPERLINK("https://my.pitchbook.com?p=217295-11P","View People Online")</f>
        <v>View People Online</v>
      </c>
    </row>
    <row r="7615">
      <c r="A7615" s="6" t="s">
        <v>47368</v>
      </c>
      <c r="B7615" s="6" t="s">
        <v>47369</v>
      </c>
      <c r="C7615" s="6" t="s">
        <v>47370</v>
      </c>
      <c r="D7615" s="6" t="s">
        <v>1267</v>
      </c>
      <c r="E7615" s="6" t="s">
        <v>47201</v>
      </c>
      <c r="F7615" s="6" t="s">
        <v>270</v>
      </c>
      <c r="G7615" s="6" t="s">
        <v>47371</v>
      </c>
      <c r="H7615" s="7" t="s">
        <v>31</v>
      </c>
      <c r="I7615" s="7">
        <v>1.0</v>
      </c>
      <c r="J7615" s="7">
        <v>1.0</v>
      </c>
      <c r="K7615" s="7" t="s">
        <v>31</v>
      </c>
      <c r="L7615" s="8" t="s">
        <v>47203</v>
      </c>
      <c r="M7615" s="6" t="s">
        <v>47372</v>
      </c>
      <c r="N7615" s="6" t="s">
        <v>1416</v>
      </c>
      <c r="O7615" s="8" t="s">
        <v>1417</v>
      </c>
      <c r="P7615" s="6" t="s">
        <v>47205</v>
      </c>
      <c r="Q7615" s="6" t="s">
        <v>47206</v>
      </c>
      <c r="R7615" s="6" t="s">
        <v>1420</v>
      </c>
      <c r="S7615" s="8" t="s">
        <v>37621</v>
      </c>
      <c r="T7615" s="6" t="s">
        <v>66</v>
      </c>
      <c r="U7615" s="8" t="s">
        <v>31</v>
      </c>
      <c r="V7615" s="6" t="s">
        <v>1804</v>
      </c>
      <c r="W7615" s="6" t="s">
        <v>47201</v>
      </c>
      <c r="X7615" s="9" t="str">
        <f>HYPERLINK("https://my.pitchbook.com?p=268567-39P","View People Online")</f>
        <v>View People Online</v>
      </c>
    </row>
    <row r="7616">
      <c r="A7616" s="10" t="s">
        <v>47373</v>
      </c>
      <c r="B7616" s="10" t="s">
        <v>47374</v>
      </c>
      <c r="C7616" s="10" t="s">
        <v>42852</v>
      </c>
      <c r="D7616" s="10" t="s">
        <v>47375</v>
      </c>
      <c r="E7616" s="10" t="s">
        <v>47201</v>
      </c>
      <c r="F7616" s="10" t="s">
        <v>2731</v>
      </c>
      <c r="G7616" s="10" t="s">
        <v>47376</v>
      </c>
      <c r="H7616" s="11" t="s">
        <v>31</v>
      </c>
      <c r="I7616" s="11">
        <v>5.0</v>
      </c>
      <c r="J7616" s="11">
        <v>5.0</v>
      </c>
      <c r="K7616" s="11" t="s">
        <v>31</v>
      </c>
      <c r="L7616" s="12" t="s">
        <v>31</v>
      </c>
      <c r="M7616" s="10" t="s">
        <v>47377</v>
      </c>
      <c r="N7616" s="10" t="s">
        <v>1416</v>
      </c>
      <c r="O7616" s="12" t="s">
        <v>1417</v>
      </c>
      <c r="P7616" s="10" t="s">
        <v>47378</v>
      </c>
      <c r="Q7616" s="10" t="s">
        <v>47379</v>
      </c>
      <c r="R7616" s="10" t="s">
        <v>1420</v>
      </c>
      <c r="S7616" s="12" t="s">
        <v>6302</v>
      </c>
      <c r="T7616" s="10" t="s">
        <v>66</v>
      </c>
      <c r="U7616" s="12" t="s">
        <v>31</v>
      </c>
      <c r="V7616" s="10" t="s">
        <v>47380</v>
      </c>
      <c r="W7616" s="10" t="s">
        <v>47381</v>
      </c>
      <c r="X7616" s="13" t="str">
        <f>HYPERLINK("https://my.pitchbook.com?p=39109-06P","View People Online")</f>
        <v>View People Online</v>
      </c>
    </row>
    <row r="7617">
      <c r="A7617" s="14" t="s">
        <v>47382</v>
      </c>
      <c r="B7617" s="14" t="s">
        <v>47383</v>
      </c>
      <c r="C7617" s="14" t="s">
        <v>47384</v>
      </c>
      <c r="D7617" s="14" t="s">
        <v>29491</v>
      </c>
      <c r="E7617" s="14" t="s">
        <v>47385</v>
      </c>
      <c r="F7617" s="14" t="s">
        <v>3877</v>
      </c>
      <c r="G7617" s="14" t="s">
        <v>47386</v>
      </c>
      <c r="H7617" s="15" t="s">
        <v>31</v>
      </c>
      <c r="I7617" s="15">
        <v>1.0</v>
      </c>
      <c r="J7617" s="15">
        <v>1.0</v>
      </c>
      <c r="K7617" s="15" t="s">
        <v>31</v>
      </c>
      <c r="L7617" s="16" t="s">
        <v>47387</v>
      </c>
      <c r="M7617" s="14" t="s">
        <v>47388</v>
      </c>
      <c r="N7617" s="14" t="s">
        <v>75</v>
      </c>
      <c r="O7617" s="16" t="s">
        <v>76</v>
      </c>
      <c r="P7617" s="14" t="s">
        <v>47389</v>
      </c>
      <c r="Q7617" s="14" t="s">
        <v>1895</v>
      </c>
      <c r="R7617" s="14" t="s">
        <v>75</v>
      </c>
      <c r="S7617" s="16" t="s">
        <v>1432</v>
      </c>
      <c r="T7617" s="14" t="s">
        <v>66</v>
      </c>
      <c r="U7617" s="16" t="s">
        <v>31</v>
      </c>
      <c r="V7617" s="14" t="s">
        <v>47390</v>
      </c>
      <c r="W7617" s="14" t="s">
        <v>47385</v>
      </c>
      <c r="X7617" s="17" t="str">
        <f>HYPERLINK("https://my.pitchbook.com?p=422567-56P","View People Online")</f>
        <v>View People Online</v>
      </c>
    </row>
    <row r="7618">
      <c r="A7618" s="2" t="s">
        <v>47391</v>
      </c>
      <c r="B7618" s="2" t="s">
        <v>47392</v>
      </c>
      <c r="C7618" s="2" t="s">
        <v>12077</v>
      </c>
      <c r="D7618" s="2" t="s">
        <v>1583</v>
      </c>
      <c r="E7618" s="2" t="s">
        <v>47385</v>
      </c>
      <c r="F7618" s="2" t="s">
        <v>1167</v>
      </c>
      <c r="G7618" s="2" t="s">
        <v>47393</v>
      </c>
      <c r="H7618" s="3" t="s">
        <v>31</v>
      </c>
      <c r="I7618" s="3">
        <v>13.0</v>
      </c>
      <c r="J7618" s="3">
        <v>1.0</v>
      </c>
      <c r="K7618" s="3">
        <v>7.0</v>
      </c>
      <c r="L7618" s="4" t="s">
        <v>47387</v>
      </c>
      <c r="M7618" s="2" t="s">
        <v>47394</v>
      </c>
      <c r="N7618" s="2" t="s">
        <v>75</v>
      </c>
      <c r="O7618" s="4" t="s">
        <v>76</v>
      </c>
      <c r="P7618" s="2" t="s">
        <v>47389</v>
      </c>
      <c r="Q7618" s="2" t="s">
        <v>1895</v>
      </c>
      <c r="R7618" s="2" t="s">
        <v>75</v>
      </c>
      <c r="S7618" s="4" t="s">
        <v>1432</v>
      </c>
      <c r="T7618" s="2" t="s">
        <v>66</v>
      </c>
      <c r="U7618" s="4" t="s">
        <v>31</v>
      </c>
      <c r="V7618" s="2" t="s">
        <v>47395</v>
      </c>
      <c r="W7618" s="2" t="s">
        <v>47385</v>
      </c>
      <c r="X7618" s="5" t="str">
        <f>HYPERLINK("https://my.pitchbook.com?p=202239-64P","View People Online")</f>
        <v>View People Online</v>
      </c>
    </row>
    <row r="7619">
      <c r="A7619" s="14" t="s">
        <v>47396</v>
      </c>
      <c r="B7619" s="14" t="s">
        <v>47397</v>
      </c>
      <c r="C7619" s="14" t="s">
        <v>2572</v>
      </c>
      <c r="D7619" s="14" t="s">
        <v>4332</v>
      </c>
      <c r="E7619" s="14" t="s">
        <v>47398</v>
      </c>
      <c r="F7619" s="14" t="s">
        <v>667</v>
      </c>
      <c r="G7619" s="14" t="s">
        <v>47399</v>
      </c>
      <c r="H7619" s="15" t="s">
        <v>31</v>
      </c>
      <c r="I7619" s="15">
        <v>1.0</v>
      </c>
      <c r="J7619" s="15">
        <v>1.0</v>
      </c>
      <c r="K7619" s="15" t="s">
        <v>31</v>
      </c>
      <c r="L7619" s="16" t="s">
        <v>47400</v>
      </c>
      <c r="M7619" s="14" t="s">
        <v>47401</v>
      </c>
      <c r="N7619" s="14" t="s">
        <v>665</v>
      </c>
      <c r="O7619" s="16" t="s">
        <v>3857</v>
      </c>
      <c r="P7619" s="14" t="s">
        <v>47402</v>
      </c>
      <c r="Q7619" s="14" t="s">
        <v>989</v>
      </c>
      <c r="R7619" s="14" t="s">
        <v>1420</v>
      </c>
      <c r="S7619" s="16" t="s">
        <v>27049</v>
      </c>
      <c r="T7619" s="14" t="s">
        <v>66</v>
      </c>
      <c r="U7619" s="16" t="s">
        <v>31</v>
      </c>
      <c r="V7619" s="14" t="s">
        <v>47403</v>
      </c>
      <c r="W7619" s="14" t="s">
        <v>47398</v>
      </c>
      <c r="X7619" s="17" t="str">
        <f>HYPERLINK("https://my.pitchbook.com?p=317711-89P","View People Online")</f>
        <v>View People Online</v>
      </c>
    </row>
    <row r="7620">
      <c r="A7620" s="10" t="s">
        <v>47404</v>
      </c>
      <c r="B7620" s="10" t="s">
        <v>47405</v>
      </c>
      <c r="C7620" s="10" t="s">
        <v>1410</v>
      </c>
      <c r="D7620" s="10" t="s">
        <v>47406</v>
      </c>
      <c r="E7620" s="10" t="s">
        <v>47398</v>
      </c>
      <c r="F7620" s="10" t="s">
        <v>667</v>
      </c>
      <c r="G7620" s="10" t="s">
        <v>47407</v>
      </c>
      <c r="H7620" s="11" t="s">
        <v>31</v>
      </c>
      <c r="I7620" s="11">
        <v>1.0</v>
      </c>
      <c r="J7620" s="11">
        <v>1.0</v>
      </c>
      <c r="K7620" s="11" t="s">
        <v>31</v>
      </c>
      <c r="L7620" s="12" t="s">
        <v>47400</v>
      </c>
      <c r="M7620" s="10" t="s">
        <v>47408</v>
      </c>
      <c r="N7620" s="10" t="s">
        <v>665</v>
      </c>
      <c r="O7620" s="12" t="s">
        <v>3857</v>
      </c>
      <c r="P7620" s="10" t="s">
        <v>47402</v>
      </c>
      <c r="Q7620" s="10" t="s">
        <v>989</v>
      </c>
      <c r="R7620" s="10" t="s">
        <v>1420</v>
      </c>
      <c r="S7620" s="12" t="s">
        <v>27049</v>
      </c>
      <c r="T7620" s="10" t="s">
        <v>66</v>
      </c>
      <c r="U7620" s="12" t="s">
        <v>31</v>
      </c>
      <c r="V7620" s="10" t="s">
        <v>47409</v>
      </c>
      <c r="W7620" s="10" t="s">
        <v>47398</v>
      </c>
      <c r="X7620" s="13" t="str">
        <f>HYPERLINK("https://my.pitchbook.com?p=365021-83P","View People Online")</f>
        <v>View People Online</v>
      </c>
    </row>
    <row r="7621">
      <c r="A7621" s="14" t="s">
        <v>47410</v>
      </c>
      <c r="B7621" s="14" t="s">
        <v>47411</v>
      </c>
      <c r="C7621" s="14" t="s">
        <v>2688</v>
      </c>
      <c r="D7621" s="14" t="s">
        <v>25533</v>
      </c>
      <c r="E7621" s="14" t="s">
        <v>47398</v>
      </c>
      <c r="F7621" s="14" t="s">
        <v>371</v>
      </c>
      <c r="G7621" s="14" t="s">
        <v>47412</v>
      </c>
      <c r="H7621" s="15" t="s">
        <v>31</v>
      </c>
      <c r="I7621" s="15">
        <v>1.0</v>
      </c>
      <c r="J7621" s="15">
        <v>1.0</v>
      </c>
      <c r="K7621" s="15" t="s">
        <v>31</v>
      </c>
      <c r="L7621" s="16" t="s">
        <v>47400</v>
      </c>
      <c r="M7621" s="14" t="s">
        <v>31</v>
      </c>
      <c r="N7621" s="14" t="s">
        <v>665</v>
      </c>
      <c r="O7621" s="16" t="s">
        <v>3857</v>
      </c>
      <c r="P7621" s="14" t="s">
        <v>47402</v>
      </c>
      <c r="Q7621" s="14" t="s">
        <v>989</v>
      </c>
      <c r="R7621" s="14" t="s">
        <v>1420</v>
      </c>
      <c r="S7621" s="16" t="s">
        <v>27049</v>
      </c>
      <c r="T7621" s="14" t="s">
        <v>66</v>
      </c>
      <c r="U7621" s="16" t="s">
        <v>31</v>
      </c>
      <c r="V7621" s="14" t="s">
        <v>371</v>
      </c>
      <c r="W7621" s="14" t="s">
        <v>47398</v>
      </c>
      <c r="X7621" s="17" t="str">
        <f>HYPERLINK("https://my.pitchbook.com?p=265748-77P","View People Online")</f>
        <v>View People Online</v>
      </c>
    </row>
    <row r="7622">
      <c r="A7622" s="10" t="s">
        <v>47413</v>
      </c>
      <c r="B7622" s="10" t="s">
        <v>47414</v>
      </c>
      <c r="C7622" s="10" t="s">
        <v>54</v>
      </c>
      <c r="D7622" s="10" t="s">
        <v>20958</v>
      </c>
      <c r="E7622" s="10" t="s">
        <v>47398</v>
      </c>
      <c r="F7622" s="10" t="s">
        <v>26897</v>
      </c>
      <c r="G7622" s="10" t="s">
        <v>47415</v>
      </c>
      <c r="H7622" s="11" t="s">
        <v>31</v>
      </c>
      <c r="I7622" s="11">
        <v>1.0</v>
      </c>
      <c r="J7622" s="11">
        <v>1.0</v>
      </c>
      <c r="K7622" s="11" t="s">
        <v>31</v>
      </c>
      <c r="L7622" s="12" t="s">
        <v>47400</v>
      </c>
      <c r="M7622" s="10" t="s">
        <v>47416</v>
      </c>
      <c r="N7622" s="10" t="s">
        <v>665</v>
      </c>
      <c r="O7622" s="12" t="s">
        <v>3857</v>
      </c>
      <c r="P7622" s="10" t="s">
        <v>47402</v>
      </c>
      <c r="Q7622" s="10" t="s">
        <v>989</v>
      </c>
      <c r="R7622" s="10" t="s">
        <v>1420</v>
      </c>
      <c r="S7622" s="12" t="s">
        <v>27049</v>
      </c>
      <c r="T7622" s="10" t="s">
        <v>66</v>
      </c>
      <c r="U7622" s="12" t="s">
        <v>31</v>
      </c>
      <c r="V7622" s="10" t="s">
        <v>47417</v>
      </c>
      <c r="W7622" s="10" t="s">
        <v>47398</v>
      </c>
      <c r="X7622" s="13" t="str">
        <f>HYPERLINK("https://my.pitchbook.com?p=317716-39P","View People Online")</f>
        <v>View People Online</v>
      </c>
    </row>
    <row r="7623">
      <c r="A7623" s="6" t="s">
        <v>47418</v>
      </c>
      <c r="B7623" s="6" t="s">
        <v>47419</v>
      </c>
      <c r="C7623" s="6" t="s">
        <v>9571</v>
      </c>
      <c r="D7623" s="6" t="s">
        <v>27929</v>
      </c>
      <c r="E7623" s="6" t="s">
        <v>47398</v>
      </c>
      <c r="F7623" s="6" t="s">
        <v>26897</v>
      </c>
      <c r="G7623" s="6" t="s">
        <v>47420</v>
      </c>
      <c r="H7623" s="7" t="s">
        <v>31</v>
      </c>
      <c r="I7623" s="7">
        <v>1.0</v>
      </c>
      <c r="J7623" s="7">
        <v>1.0</v>
      </c>
      <c r="K7623" s="7" t="s">
        <v>31</v>
      </c>
      <c r="L7623" s="8" t="s">
        <v>47400</v>
      </c>
      <c r="M7623" s="6" t="s">
        <v>47421</v>
      </c>
      <c r="N7623" s="6" t="s">
        <v>665</v>
      </c>
      <c r="O7623" s="8" t="s">
        <v>3857</v>
      </c>
      <c r="P7623" s="6" t="s">
        <v>47402</v>
      </c>
      <c r="Q7623" s="6" t="s">
        <v>989</v>
      </c>
      <c r="R7623" s="6" t="s">
        <v>1420</v>
      </c>
      <c r="S7623" s="8" t="s">
        <v>27049</v>
      </c>
      <c r="T7623" s="6" t="s">
        <v>66</v>
      </c>
      <c r="U7623" s="8" t="s">
        <v>31</v>
      </c>
      <c r="V7623" s="6" t="s">
        <v>47417</v>
      </c>
      <c r="W7623" s="6" t="s">
        <v>47398</v>
      </c>
      <c r="X7623" s="9" t="str">
        <f>HYPERLINK("https://my.pitchbook.com?p=317727-73P","View People Online")</f>
        <v>View People Online</v>
      </c>
    </row>
    <row r="7624">
      <c r="A7624" s="10" t="s">
        <v>47422</v>
      </c>
      <c r="B7624" s="10" t="s">
        <v>47423</v>
      </c>
      <c r="C7624" s="10" t="s">
        <v>69</v>
      </c>
      <c r="D7624" s="10" t="s">
        <v>47424</v>
      </c>
      <c r="E7624" s="10" t="s">
        <v>47398</v>
      </c>
      <c r="F7624" s="10" t="s">
        <v>270</v>
      </c>
      <c r="G7624" s="10" t="s">
        <v>47425</v>
      </c>
      <c r="H7624" s="11" t="s">
        <v>31</v>
      </c>
      <c r="I7624" s="11">
        <v>1.0</v>
      </c>
      <c r="J7624" s="11">
        <v>1.0</v>
      </c>
      <c r="K7624" s="11" t="s">
        <v>31</v>
      </c>
      <c r="L7624" s="12" t="s">
        <v>47400</v>
      </c>
      <c r="M7624" s="10" t="s">
        <v>47426</v>
      </c>
      <c r="N7624" s="10" t="s">
        <v>665</v>
      </c>
      <c r="O7624" s="12" t="s">
        <v>3857</v>
      </c>
      <c r="P7624" s="10" t="s">
        <v>47402</v>
      </c>
      <c r="Q7624" s="10" t="s">
        <v>989</v>
      </c>
      <c r="R7624" s="10" t="s">
        <v>1420</v>
      </c>
      <c r="S7624" s="12" t="s">
        <v>27049</v>
      </c>
      <c r="T7624" s="10" t="s">
        <v>66</v>
      </c>
      <c r="U7624" s="12" t="s">
        <v>31</v>
      </c>
      <c r="V7624" s="10" t="s">
        <v>47427</v>
      </c>
      <c r="W7624" s="10" t="s">
        <v>47398</v>
      </c>
      <c r="X7624" s="13" t="str">
        <f>HYPERLINK("https://my.pitchbook.com?p=317724-67P","View People Online")</f>
        <v>View People Online</v>
      </c>
    </row>
    <row r="7625">
      <c r="A7625" s="14" t="s">
        <v>47428</v>
      </c>
      <c r="B7625" s="14" t="s">
        <v>47429</v>
      </c>
      <c r="C7625" s="14" t="s">
        <v>5785</v>
      </c>
      <c r="D7625" s="14" t="s">
        <v>47430</v>
      </c>
      <c r="E7625" s="14" t="s">
        <v>47398</v>
      </c>
      <c r="F7625" s="14" t="s">
        <v>667</v>
      </c>
      <c r="G7625" s="14" t="s">
        <v>47431</v>
      </c>
      <c r="H7625" s="15" t="s">
        <v>31</v>
      </c>
      <c r="I7625" s="15">
        <v>1.0</v>
      </c>
      <c r="J7625" s="15">
        <v>1.0</v>
      </c>
      <c r="K7625" s="15" t="s">
        <v>31</v>
      </c>
      <c r="L7625" s="16" t="s">
        <v>47400</v>
      </c>
      <c r="M7625" s="14" t="s">
        <v>47432</v>
      </c>
      <c r="N7625" s="14" t="s">
        <v>665</v>
      </c>
      <c r="O7625" s="16" t="s">
        <v>3857</v>
      </c>
      <c r="P7625" s="14" t="s">
        <v>47402</v>
      </c>
      <c r="Q7625" s="14" t="s">
        <v>989</v>
      </c>
      <c r="R7625" s="14" t="s">
        <v>1420</v>
      </c>
      <c r="S7625" s="16" t="s">
        <v>27049</v>
      </c>
      <c r="T7625" s="14" t="s">
        <v>66</v>
      </c>
      <c r="U7625" s="16" t="s">
        <v>31</v>
      </c>
      <c r="V7625" s="14" t="s">
        <v>47409</v>
      </c>
      <c r="W7625" s="14" t="s">
        <v>47398</v>
      </c>
      <c r="X7625" s="17" t="str">
        <f>HYPERLINK("https://my.pitchbook.com?p=365021-56P","View People Online")</f>
        <v>View People Online</v>
      </c>
    </row>
    <row r="7626">
      <c r="A7626" s="10" t="s">
        <v>47433</v>
      </c>
      <c r="B7626" s="10" t="s">
        <v>47434</v>
      </c>
      <c r="C7626" s="10" t="s">
        <v>1998</v>
      </c>
      <c r="D7626" s="10" t="s">
        <v>47435</v>
      </c>
      <c r="E7626" s="10" t="s">
        <v>47398</v>
      </c>
      <c r="F7626" s="10" t="s">
        <v>9167</v>
      </c>
      <c r="G7626" s="10" t="s">
        <v>47436</v>
      </c>
      <c r="H7626" s="11" t="s">
        <v>31</v>
      </c>
      <c r="I7626" s="11">
        <v>1.0</v>
      </c>
      <c r="J7626" s="11">
        <v>1.0</v>
      </c>
      <c r="K7626" s="11" t="s">
        <v>31</v>
      </c>
      <c r="L7626" s="12" t="s">
        <v>47400</v>
      </c>
      <c r="M7626" s="10" t="s">
        <v>47437</v>
      </c>
      <c r="N7626" s="10" t="s">
        <v>665</v>
      </c>
      <c r="O7626" s="12" t="s">
        <v>3857</v>
      </c>
      <c r="P7626" s="10" t="s">
        <v>47402</v>
      </c>
      <c r="Q7626" s="10" t="s">
        <v>989</v>
      </c>
      <c r="R7626" s="10" t="s">
        <v>1420</v>
      </c>
      <c r="S7626" s="12" t="s">
        <v>27049</v>
      </c>
      <c r="T7626" s="10" t="s">
        <v>66</v>
      </c>
      <c r="U7626" s="12" t="s">
        <v>31</v>
      </c>
      <c r="V7626" s="10" t="s">
        <v>9167</v>
      </c>
      <c r="W7626" s="10" t="s">
        <v>47398</v>
      </c>
      <c r="X7626" s="13" t="str">
        <f>HYPERLINK("https://my.pitchbook.com?p=246012-04P","View People Online")</f>
        <v>View People Online</v>
      </c>
    </row>
    <row r="7627">
      <c r="A7627" s="6" t="s">
        <v>47438</v>
      </c>
      <c r="B7627" s="6" t="s">
        <v>47439</v>
      </c>
      <c r="C7627" s="6" t="s">
        <v>1255</v>
      </c>
      <c r="D7627" s="6" t="s">
        <v>47440</v>
      </c>
      <c r="E7627" s="6" t="s">
        <v>47398</v>
      </c>
      <c r="F7627" s="6" t="s">
        <v>667</v>
      </c>
      <c r="G7627" s="6" t="s">
        <v>47441</v>
      </c>
      <c r="H7627" s="7" t="s">
        <v>31</v>
      </c>
      <c r="I7627" s="7">
        <v>1.0</v>
      </c>
      <c r="J7627" s="7">
        <v>1.0</v>
      </c>
      <c r="K7627" s="7" t="s">
        <v>31</v>
      </c>
      <c r="L7627" s="8" t="s">
        <v>47400</v>
      </c>
      <c r="M7627" s="6" t="s">
        <v>47442</v>
      </c>
      <c r="N7627" s="6" t="s">
        <v>665</v>
      </c>
      <c r="O7627" s="8" t="s">
        <v>3857</v>
      </c>
      <c r="P7627" s="6" t="s">
        <v>47402</v>
      </c>
      <c r="Q7627" s="6" t="s">
        <v>989</v>
      </c>
      <c r="R7627" s="6" t="s">
        <v>1420</v>
      </c>
      <c r="S7627" s="8" t="s">
        <v>27049</v>
      </c>
      <c r="T7627" s="6" t="s">
        <v>66</v>
      </c>
      <c r="U7627" s="8" t="s">
        <v>31</v>
      </c>
      <c r="V7627" s="6" t="s">
        <v>47443</v>
      </c>
      <c r="W7627" s="6" t="s">
        <v>47398</v>
      </c>
      <c r="X7627" s="9" t="str">
        <f>HYPERLINK("https://my.pitchbook.com?p=365020-75P","View People Online")</f>
        <v>View People Online</v>
      </c>
    </row>
    <row r="7628">
      <c r="A7628" s="2" t="s">
        <v>47444</v>
      </c>
      <c r="B7628" s="2" t="s">
        <v>47445</v>
      </c>
      <c r="C7628" s="2" t="s">
        <v>2776</v>
      </c>
      <c r="D7628" s="2" t="s">
        <v>47446</v>
      </c>
      <c r="E7628" s="2" t="s">
        <v>47398</v>
      </c>
      <c r="F7628" s="2" t="s">
        <v>371</v>
      </c>
      <c r="G7628" s="2" t="s">
        <v>47447</v>
      </c>
      <c r="H7628" s="3" t="s">
        <v>31</v>
      </c>
      <c r="I7628" s="3">
        <v>4.0</v>
      </c>
      <c r="J7628" s="3">
        <v>2.0</v>
      </c>
      <c r="K7628" s="3">
        <v>1.0</v>
      </c>
      <c r="L7628" s="4" t="s">
        <v>47400</v>
      </c>
      <c r="M7628" s="2" t="s">
        <v>47448</v>
      </c>
      <c r="N7628" s="2" t="s">
        <v>665</v>
      </c>
      <c r="O7628" s="4" t="s">
        <v>3857</v>
      </c>
      <c r="P7628" s="2" t="s">
        <v>47402</v>
      </c>
      <c r="Q7628" s="2" t="s">
        <v>989</v>
      </c>
      <c r="R7628" s="2" t="s">
        <v>1420</v>
      </c>
      <c r="S7628" s="4" t="s">
        <v>27049</v>
      </c>
      <c r="T7628" s="2" t="s">
        <v>66</v>
      </c>
      <c r="U7628" s="4" t="s">
        <v>31</v>
      </c>
      <c r="V7628" s="2" t="s">
        <v>44050</v>
      </c>
      <c r="W7628" s="2" t="s">
        <v>47398</v>
      </c>
      <c r="X7628" s="5" t="str">
        <f>HYPERLINK("https://my.pitchbook.com?p=66411-55P","View People Online")</f>
        <v>View People Online</v>
      </c>
    </row>
    <row r="7629">
      <c r="A7629" s="14" t="s">
        <v>47449</v>
      </c>
      <c r="B7629" s="14" t="s">
        <v>47450</v>
      </c>
      <c r="C7629" s="14" t="s">
        <v>47451</v>
      </c>
      <c r="D7629" s="14" t="s">
        <v>4550</v>
      </c>
      <c r="E7629" s="14" t="s">
        <v>47398</v>
      </c>
      <c r="F7629" s="14" t="s">
        <v>667</v>
      </c>
      <c r="G7629" s="14" t="s">
        <v>47452</v>
      </c>
      <c r="H7629" s="15" t="s">
        <v>31</v>
      </c>
      <c r="I7629" s="15">
        <v>1.0</v>
      </c>
      <c r="J7629" s="15">
        <v>1.0</v>
      </c>
      <c r="K7629" s="15" t="s">
        <v>31</v>
      </c>
      <c r="L7629" s="16" t="s">
        <v>47400</v>
      </c>
      <c r="M7629" s="14" t="s">
        <v>47453</v>
      </c>
      <c r="N7629" s="14" t="s">
        <v>665</v>
      </c>
      <c r="O7629" s="16" t="s">
        <v>3857</v>
      </c>
      <c r="P7629" s="14" t="s">
        <v>47402</v>
      </c>
      <c r="Q7629" s="14" t="s">
        <v>989</v>
      </c>
      <c r="R7629" s="14" t="s">
        <v>1420</v>
      </c>
      <c r="S7629" s="16" t="s">
        <v>27049</v>
      </c>
      <c r="T7629" s="14" t="s">
        <v>66</v>
      </c>
      <c r="U7629" s="16" t="s">
        <v>31</v>
      </c>
      <c r="V7629" s="14" t="s">
        <v>47443</v>
      </c>
      <c r="W7629" s="14" t="s">
        <v>47398</v>
      </c>
      <c r="X7629" s="17" t="str">
        <f>HYPERLINK("https://my.pitchbook.com?p=317728-09P","View People Online")</f>
        <v>View People Online</v>
      </c>
    </row>
    <row r="7630">
      <c r="A7630" s="10" t="s">
        <v>47454</v>
      </c>
      <c r="B7630" s="10" t="s">
        <v>47455</v>
      </c>
      <c r="C7630" s="10" t="s">
        <v>36851</v>
      </c>
      <c r="D7630" s="10" t="s">
        <v>47456</v>
      </c>
      <c r="E7630" s="10" t="s">
        <v>47398</v>
      </c>
      <c r="F7630" s="10" t="s">
        <v>270</v>
      </c>
      <c r="G7630" s="10" t="s">
        <v>47457</v>
      </c>
      <c r="H7630" s="11" t="s">
        <v>31</v>
      </c>
      <c r="I7630" s="11">
        <v>1.0</v>
      </c>
      <c r="J7630" s="11">
        <v>1.0</v>
      </c>
      <c r="K7630" s="11" t="s">
        <v>31</v>
      </c>
      <c r="L7630" s="12" t="s">
        <v>47400</v>
      </c>
      <c r="M7630" s="10" t="s">
        <v>31</v>
      </c>
      <c r="N7630" s="10" t="s">
        <v>665</v>
      </c>
      <c r="O7630" s="12" t="s">
        <v>3857</v>
      </c>
      <c r="P7630" s="10" t="s">
        <v>47402</v>
      </c>
      <c r="Q7630" s="10" t="s">
        <v>989</v>
      </c>
      <c r="R7630" s="10" t="s">
        <v>1420</v>
      </c>
      <c r="S7630" s="12" t="s">
        <v>27049</v>
      </c>
      <c r="T7630" s="10" t="s">
        <v>66</v>
      </c>
      <c r="U7630" s="12" t="s">
        <v>31</v>
      </c>
      <c r="V7630" s="10" t="s">
        <v>47458</v>
      </c>
      <c r="W7630" s="10" t="s">
        <v>47398</v>
      </c>
      <c r="X7630" s="13" t="str">
        <f>HYPERLINK("https://my.pitchbook.com?p=317726-74P","View People Online")</f>
        <v>View People Online</v>
      </c>
    </row>
    <row r="7631">
      <c r="A7631" s="14" t="s">
        <v>47459</v>
      </c>
      <c r="B7631" s="14" t="s">
        <v>47460</v>
      </c>
      <c r="C7631" s="14" t="s">
        <v>4457</v>
      </c>
      <c r="D7631" s="14" t="s">
        <v>4307</v>
      </c>
      <c r="E7631" s="14" t="s">
        <v>47398</v>
      </c>
      <c r="F7631" s="14" t="s">
        <v>667</v>
      </c>
      <c r="G7631" s="14" t="s">
        <v>47461</v>
      </c>
      <c r="H7631" s="15" t="s">
        <v>31</v>
      </c>
      <c r="I7631" s="15">
        <v>1.0</v>
      </c>
      <c r="J7631" s="15">
        <v>1.0</v>
      </c>
      <c r="K7631" s="15" t="s">
        <v>31</v>
      </c>
      <c r="L7631" s="16" t="s">
        <v>47400</v>
      </c>
      <c r="M7631" s="14" t="s">
        <v>47462</v>
      </c>
      <c r="N7631" s="14" t="s">
        <v>665</v>
      </c>
      <c r="O7631" s="16" t="s">
        <v>3857</v>
      </c>
      <c r="P7631" s="14" t="s">
        <v>47402</v>
      </c>
      <c r="Q7631" s="14" t="s">
        <v>989</v>
      </c>
      <c r="R7631" s="14" t="s">
        <v>1420</v>
      </c>
      <c r="S7631" s="16" t="s">
        <v>27049</v>
      </c>
      <c r="T7631" s="14" t="s">
        <v>66</v>
      </c>
      <c r="U7631" s="16" t="s">
        <v>31</v>
      </c>
      <c r="V7631" s="14" t="s">
        <v>47463</v>
      </c>
      <c r="W7631" s="14" t="s">
        <v>47398</v>
      </c>
      <c r="X7631" s="17" t="str">
        <f>HYPERLINK("https://my.pitchbook.com?p=317707-57P","View People Online")</f>
        <v>View People Online</v>
      </c>
    </row>
    <row r="7632">
      <c r="A7632" s="10" t="s">
        <v>47464</v>
      </c>
      <c r="B7632" s="10" t="s">
        <v>47465</v>
      </c>
      <c r="C7632" s="10" t="s">
        <v>5113</v>
      </c>
      <c r="D7632" s="10" t="s">
        <v>47466</v>
      </c>
      <c r="E7632" s="10" t="s">
        <v>47398</v>
      </c>
      <c r="F7632" s="10" t="s">
        <v>667</v>
      </c>
      <c r="G7632" s="10" t="s">
        <v>47467</v>
      </c>
      <c r="H7632" s="11" t="s">
        <v>31</v>
      </c>
      <c r="I7632" s="11">
        <v>1.0</v>
      </c>
      <c r="J7632" s="11">
        <v>1.0</v>
      </c>
      <c r="K7632" s="11" t="s">
        <v>31</v>
      </c>
      <c r="L7632" s="12" t="s">
        <v>47400</v>
      </c>
      <c r="M7632" s="10" t="s">
        <v>47468</v>
      </c>
      <c r="N7632" s="10" t="s">
        <v>665</v>
      </c>
      <c r="O7632" s="12" t="s">
        <v>3857</v>
      </c>
      <c r="P7632" s="10" t="s">
        <v>47402</v>
      </c>
      <c r="Q7632" s="10" t="s">
        <v>989</v>
      </c>
      <c r="R7632" s="10" t="s">
        <v>1420</v>
      </c>
      <c r="S7632" s="12" t="s">
        <v>27049</v>
      </c>
      <c r="T7632" s="10" t="s">
        <v>66</v>
      </c>
      <c r="U7632" s="12" t="s">
        <v>31</v>
      </c>
      <c r="V7632" s="10" t="s">
        <v>667</v>
      </c>
      <c r="W7632" s="10" t="s">
        <v>47398</v>
      </c>
      <c r="X7632" s="13" t="str">
        <f>HYPERLINK("https://my.pitchbook.com?p=66411-37P","View People Online")</f>
        <v>View People Online</v>
      </c>
    </row>
    <row r="7633">
      <c r="A7633" s="14" t="s">
        <v>47469</v>
      </c>
      <c r="B7633" s="14" t="s">
        <v>47470</v>
      </c>
      <c r="C7633" s="14" t="s">
        <v>160</v>
      </c>
      <c r="D7633" s="14" t="s">
        <v>47471</v>
      </c>
      <c r="E7633" s="14" t="s">
        <v>47398</v>
      </c>
      <c r="F7633" s="14" t="s">
        <v>667</v>
      </c>
      <c r="G7633" s="14" t="s">
        <v>47472</v>
      </c>
      <c r="H7633" s="15" t="s">
        <v>31</v>
      </c>
      <c r="I7633" s="15">
        <v>1.0</v>
      </c>
      <c r="J7633" s="15">
        <v>1.0</v>
      </c>
      <c r="K7633" s="15" t="s">
        <v>31</v>
      </c>
      <c r="L7633" s="16" t="s">
        <v>47400</v>
      </c>
      <c r="M7633" s="14" t="s">
        <v>47473</v>
      </c>
      <c r="N7633" s="14" t="s">
        <v>665</v>
      </c>
      <c r="O7633" s="16" t="s">
        <v>3857</v>
      </c>
      <c r="P7633" s="14" t="s">
        <v>47402</v>
      </c>
      <c r="Q7633" s="14" t="s">
        <v>989</v>
      </c>
      <c r="R7633" s="14" t="s">
        <v>1420</v>
      </c>
      <c r="S7633" s="16" t="s">
        <v>27049</v>
      </c>
      <c r="T7633" s="14" t="s">
        <v>66</v>
      </c>
      <c r="U7633" s="16" t="s">
        <v>31</v>
      </c>
      <c r="V7633" s="14" t="s">
        <v>47409</v>
      </c>
      <c r="W7633" s="14" t="s">
        <v>47398</v>
      </c>
      <c r="X7633" s="17" t="str">
        <f>HYPERLINK("https://my.pitchbook.com?p=317713-78P","View People Online")</f>
        <v>View People Online</v>
      </c>
    </row>
    <row r="7634">
      <c r="A7634" s="2" t="s">
        <v>47474</v>
      </c>
      <c r="B7634" s="2" t="s">
        <v>47475</v>
      </c>
      <c r="C7634" s="2" t="s">
        <v>126</v>
      </c>
      <c r="D7634" s="2" t="s">
        <v>47476</v>
      </c>
      <c r="E7634" s="2" t="s">
        <v>47398</v>
      </c>
      <c r="F7634" s="2" t="s">
        <v>270</v>
      </c>
      <c r="G7634" s="2" t="s">
        <v>47477</v>
      </c>
      <c r="H7634" s="3" t="s">
        <v>31</v>
      </c>
      <c r="I7634" s="3">
        <v>1.0</v>
      </c>
      <c r="J7634" s="3">
        <v>1.0</v>
      </c>
      <c r="K7634" s="3" t="s">
        <v>31</v>
      </c>
      <c r="L7634" s="4" t="s">
        <v>47400</v>
      </c>
      <c r="M7634" s="2" t="s">
        <v>47478</v>
      </c>
      <c r="N7634" s="2" t="s">
        <v>665</v>
      </c>
      <c r="O7634" s="4" t="s">
        <v>3857</v>
      </c>
      <c r="P7634" s="2" t="s">
        <v>47402</v>
      </c>
      <c r="Q7634" s="2" t="s">
        <v>989</v>
      </c>
      <c r="R7634" s="2" t="s">
        <v>1420</v>
      </c>
      <c r="S7634" s="4" t="s">
        <v>27049</v>
      </c>
      <c r="T7634" s="2" t="s">
        <v>66</v>
      </c>
      <c r="U7634" s="4" t="s">
        <v>31</v>
      </c>
      <c r="V7634" s="2" t="s">
        <v>47427</v>
      </c>
      <c r="W7634" s="2" t="s">
        <v>47398</v>
      </c>
      <c r="X7634" s="5" t="str">
        <f>HYPERLINK("https://my.pitchbook.com?p=317724-13P","View People Online")</f>
        <v>View People Online</v>
      </c>
    </row>
    <row r="7635">
      <c r="A7635" s="6" t="s">
        <v>47479</v>
      </c>
      <c r="B7635" s="6" t="s">
        <v>47480</v>
      </c>
      <c r="C7635" s="6" t="s">
        <v>20028</v>
      </c>
      <c r="D7635" s="6" t="s">
        <v>47481</v>
      </c>
      <c r="E7635" s="6" t="s">
        <v>47398</v>
      </c>
      <c r="F7635" s="6" t="s">
        <v>1801</v>
      </c>
      <c r="G7635" s="6" t="s">
        <v>47482</v>
      </c>
      <c r="H7635" s="7" t="s">
        <v>31</v>
      </c>
      <c r="I7635" s="7">
        <v>1.0</v>
      </c>
      <c r="J7635" s="7">
        <v>1.0</v>
      </c>
      <c r="K7635" s="7" t="s">
        <v>31</v>
      </c>
      <c r="L7635" s="8" t="s">
        <v>47400</v>
      </c>
      <c r="M7635" s="6" t="s">
        <v>47483</v>
      </c>
      <c r="N7635" s="6" t="s">
        <v>665</v>
      </c>
      <c r="O7635" s="8" t="s">
        <v>3857</v>
      </c>
      <c r="P7635" s="6" t="s">
        <v>47402</v>
      </c>
      <c r="Q7635" s="6" t="s">
        <v>989</v>
      </c>
      <c r="R7635" s="6" t="s">
        <v>1420</v>
      </c>
      <c r="S7635" s="8" t="s">
        <v>27049</v>
      </c>
      <c r="T7635" s="6" t="s">
        <v>66</v>
      </c>
      <c r="U7635" s="8" t="s">
        <v>31</v>
      </c>
      <c r="V7635" s="6" t="s">
        <v>47484</v>
      </c>
      <c r="W7635" s="6" t="s">
        <v>47398</v>
      </c>
      <c r="X7635" s="9" t="str">
        <f>HYPERLINK("https://my.pitchbook.com?p=317701-90P","View People Online")</f>
        <v>View People Online</v>
      </c>
    </row>
    <row r="7636">
      <c r="A7636" s="10" t="s">
        <v>47485</v>
      </c>
      <c r="B7636" s="10" t="s">
        <v>47486</v>
      </c>
      <c r="C7636" s="10" t="s">
        <v>4015</v>
      </c>
      <c r="D7636" s="10" t="s">
        <v>47487</v>
      </c>
      <c r="E7636" s="10" t="s">
        <v>47398</v>
      </c>
      <c r="F7636" s="10" t="s">
        <v>221</v>
      </c>
      <c r="G7636" s="10" t="s">
        <v>47488</v>
      </c>
      <c r="H7636" s="11" t="s">
        <v>31</v>
      </c>
      <c r="I7636" s="11">
        <v>1.0</v>
      </c>
      <c r="J7636" s="11">
        <v>1.0</v>
      </c>
      <c r="K7636" s="11" t="s">
        <v>31</v>
      </c>
      <c r="L7636" s="12" t="s">
        <v>47400</v>
      </c>
      <c r="M7636" s="10" t="s">
        <v>47489</v>
      </c>
      <c r="N7636" s="10" t="s">
        <v>665</v>
      </c>
      <c r="O7636" s="12" t="s">
        <v>3857</v>
      </c>
      <c r="P7636" s="10" t="s">
        <v>47402</v>
      </c>
      <c r="Q7636" s="10" t="s">
        <v>989</v>
      </c>
      <c r="R7636" s="10" t="s">
        <v>1420</v>
      </c>
      <c r="S7636" s="12" t="s">
        <v>27049</v>
      </c>
      <c r="T7636" s="10" t="s">
        <v>66</v>
      </c>
      <c r="U7636" s="12" t="s">
        <v>31</v>
      </c>
      <c r="V7636" s="10" t="s">
        <v>47490</v>
      </c>
      <c r="W7636" s="10" t="s">
        <v>47398</v>
      </c>
      <c r="X7636" s="13" t="str">
        <f>HYPERLINK("https://my.pitchbook.com?p=317709-73P","View People Online")</f>
        <v>View People Online</v>
      </c>
    </row>
    <row r="7637">
      <c r="A7637" s="14" t="s">
        <v>47491</v>
      </c>
      <c r="B7637" s="14" t="s">
        <v>47492</v>
      </c>
      <c r="C7637" s="14" t="s">
        <v>5574</v>
      </c>
      <c r="D7637" s="14" t="s">
        <v>7527</v>
      </c>
      <c r="E7637" s="14" t="s">
        <v>47398</v>
      </c>
      <c r="F7637" s="14" t="s">
        <v>583</v>
      </c>
      <c r="G7637" s="14" t="s">
        <v>47493</v>
      </c>
      <c r="H7637" s="15" t="s">
        <v>31</v>
      </c>
      <c r="I7637" s="15">
        <v>1.0</v>
      </c>
      <c r="J7637" s="15">
        <v>1.0</v>
      </c>
      <c r="K7637" s="15" t="s">
        <v>31</v>
      </c>
      <c r="L7637" s="16" t="s">
        <v>47494</v>
      </c>
      <c r="M7637" s="14" t="s">
        <v>47495</v>
      </c>
      <c r="N7637" s="14" t="s">
        <v>665</v>
      </c>
      <c r="O7637" s="16" t="s">
        <v>3857</v>
      </c>
      <c r="P7637" s="14" t="s">
        <v>47402</v>
      </c>
      <c r="Q7637" s="14" t="s">
        <v>989</v>
      </c>
      <c r="R7637" s="14" t="s">
        <v>1420</v>
      </c>
      <c r="S7637" s="16" t="s">
        <v>27049</v>
      </c>
      <c r="T7637" s="14" t="s">
        <v>66</v>
      </c>
      <c r="U7637" s="16" t="s">
        <v>31</v>
      </c>
      <c r="V7637" s="14" t="s">
        <v>583</v>
      </c>
      <c r="W7637" s="14" t="s">
        <v>47398</v>
      </c>
      <c r="X7637" s="17" t="str">
        <f>HYPERLINK("https://my.pitchbook.com?p=66411-19P","View People Online")</f>
        <v>View People Online</v>
      </c>
    </row>
    <row r="7638">
      <c r="A7638" s="2" t="s">
        <v>47496</v>
      </c>
      <c r="B7638" s="2" t="s">
        <v>47497</v>
      </c>
      <c r="C7638" s="2" t="s">
        <v>1697</v>
      </c>
      <c r="D7638" s="2" t="s">
        <v>15398</v>
      </c>
      <c r="E7638" s="2" t="s">
        <v>47398</v>
      </c>
      <c r="F7638" s="2" t="s">
        <v>1167</v>
      </c>
      <c r="G7638" s="2" t="s">
        <v>47498</v>
      </c>
      <c r="H7638" s="3" t="s">
        <v>31</v>
      </c>
      <c r="I7638" s="3">
        <v>3.0</v>
      </c>
      <c r="J7638" s="3">
        <v>2.0</v>
      </c>
      <c r="K7638" s="3">
        <v>1.0</v>
      </c>
      <c r="L7638" s="4" t="s">
        <v>47400</v>
      </c>
      <c r="M7638" s="2" t="s">
        <v>47499</v>
      </c>
      <c r="N7638" s="2" t="s">
        <v>665</v>
      </c>
      <c r="O7638" s="4" t="s">
        <v>3857</v>
      </c>
      <c r="P7638" s="2" t="s">
        <v>47402</v>
      </c>
      <c r="Q7638" s="2" t="s">
        <v>989</v>
      </c>
      <c r="R7638" s="2" t="s">
        <v>1420</v>
      </c>
      <c r="S7638" s="4" t="s">
        <v>27049</v>
      </c>
      <c r="T7638" s="2" t="s">
        <v>66</v>
      </c>
      <c r="U7638" s="4" t="s">
        <v>31</v>
      </c>
      <c r="V7638" s="2" t="s">
        <v>558</v>
      </c>
      <c r="W7638" s="2" t="s">
        <v>47398</v>
      </c>
      <c r="X7638" s="5" t="str">
        <f>HYPERLINK("https://my.pitchbook.com?p=66410-65P","View People Online")</f>
        <v>View People Online</v>
      </c>
    </row>
    <row r="7639">
      <c r="A7639" s="14" t="s">
        <v>47500</v>
      </c>
      <c r="B7639" s="14" t="s">
        <v>47501</v>
      </c>
      <c r="C7639" s="14" t="s">
        <v>69</v>
      </c>
      <c r="D7639" s="14" t="s">
        <v>47502</v>
      </c>
      <c r="E7639" s="14" t="s">
        <v>47503</v>
      </c>
      <c r="F7639" s="14" t="s">
        <v>270</v>
      </c>
      <c r="G7639" s="14" t="s">
        <v>47504</v>
      </c>
      <c r="H7639" s="15" t="s">
        <v>31</v>
      </c>
      <c r="I7639" s="15">
        <v>1.0</v>
      </c>
      <c r="J7639" s="15">
        <v>1.0</v>
      </c>
      <c r="K7639" s="15" t="s">
        <v>31</v>
      </c>
      <c r="L7639" s="16" t="s">
        <v>47505</v>
      </c>
      <c r="M7639" s="14" t="s">
        <v>47506</v>
      </c>
      <c r="N7639" s="14" t="s">
        <v>47507</v>
      </c>
      <c r="O7639" s="16" t="s">
        <v>47508</v>
      </c>
      <c r="P7639" s="14" t="s">
        <v>47509</v>
      </c>
      <c r="Q7639" s="14" t="s">
        <v>31</v>
      </c>
      <c r="R7639" s="14" t="s">
        <v>1638</v>
      </c>
      <c r="S7639" s="16" t="s">
        <v>47510</v>
      </c>
      <c r="T7639" s="14" t="s">
        <v>66</v>
      </c>
      <c r="U7639" s="16" t="s">
        <v>31</v>
      </c>
      <c r="V7639" s="14" t="s">
        <v>47511</v>
      </c>
      <c r="W7639" s="14" t="s">
        <v>47503</v>
      </c>
      <c r="X7639" s="17" t="str">
        <f>HYPERLINK("https://my.pitchbook.com?p=368227-72P","View People Online")</f>
        <v>View People Online</v>
      </c>
    </row>
    <row r="7640">
      <c r="A7640" s="2" t="s">
        <v>47512</v>
      </c>
      <c r="B7640" s="2" t="s">
        <v>47513</v>
      </c>
      <c r="C7640" s="2" t="s">
        <v>69</v>
      </c>
      <c r="D7640" s="2" t="s">
        <v>8594</v>
      </c>
      <c r="E7640" s="2" t="s">
        <v>47503</v>
      </c>
      <c r="F7640" s="2" t="s">
        <v>270</v>
      </c>
      <c r="G7640" s="2" t="s">
        <v>47514</v>
      </c>
      <c r="H7640" s="3" t="s">
        <v>31</v>
      </c>
      <c r="I7640" s="3">
        <v>1.0</v>
      </c>
      <c r="J7640" s="3">
        <v>1.0</v>
      </c>
      <c r="K7640" s="3" t="s">
        <v>31</v>
      </c>
      <c r="L7640" s="4" t="s">
        <v>47505</v>
      </c>
      <c r="M7640" s="2" t="s">
        <v>47515</v>
      </c>
      <c r="N7640" s="2" t="s">
        <v>47507</v>
      </c>
      <c r="O7640" s="4" t="s">
        <v>47508</v>
      </c>
      <c r="P7640" s="2" t="s">
        <v>47509</v>
      </c>
      <c r="Q7640" s="2" t="s">
        <v>31</v>
      </c>
      <c r="R7640" s="2" t="s">
        <v>1638</v>
      </c>
      <c r="S7640" s="4" t="s">
        <v>47510</v>
      </c>
      <c r="T7640" s="2" t="s">
        <v>66</v>
      </c>
      <c r="U7640" s="4" t="s">
        <v>31</v>
      </c>
      <c r="V7640" s="2" t="s">
        <v>47516</v>
      </c>
      <c r="W7640" s="2" t="s">
        <v>47503</v>
      </c>
      <c r="X7640" s="5" t="str">
        <f>HYPERLINK("https://my.pitchbook.com?p=368227-99P","View People Online")</f>
        <v>View People Online</v>
      </c>
    </row>
    <row r="7641">
      <c r="A7641" s="14" t="s">
        <v>47517</v>
      </c>
      <c r="B7641" s="14" t="s">
        <v>47518</v>
      </c>
      <c r="C7641" s="14" t="s">
        <v>823</v>
      </c>
      <c r="D7641" s="14" t="s">
        <v>47519</v>
      </c>
      <c r="E7641" s="14" t="s">
        <v>47503</v>
      </c>
      <c r="F7641" s="14" t="s">
        <v>3740</v>
      </c>
      <c r="G7641" s="14" t="s">
        <v>47520</v>
      </c>
      <c r="H7641" s="15" t="s">
        <v>31</v>
      </c>
      <c r="I7641" s="15">
        <v>1.0</v>
      </c>
      <c r="J7641" s="15">
        <v>1.0</v>
      </c>
      <c r="K7641" s="15" t="s">
        <v>31</v>
      </c>
      <c r="L7641" s="16" t="s">
        <v>47505</v>
      </c>
      <c r="M7641" s="14" t="s">
        <v>47521</v>
      </c>
      <c r="N7641" s="14" t="s">
        <v>47507</v>
      </c>
      <c r="O7641" s="16" t="s">
        <v>47508</v>
      </c>
      <c r="P7641" s="14" t="s">
        <v>47509</v>
      </c>
      <c r="Q7641" s="14" t="s">
        <v>31</v>
      </c>
      <c r="R7641" s="14" t="s">
        <v>1638</v>
      </c>
      <c r="S7641" s="16" t="s">
        <v>47510</v>
      </c>
      <c r="T7641" s="14" t="s">
        <v>66</v>
      </c>
      <c r="U7641" s="16" t="s">
        <v>31</v>
      </c>
      <c r="V7641" s="14" t="s">
        <v>32293</v>
      </c>
      <c r="W7641" s="14" t="s">
        <v>47522</v>
      </c>
      <c r="X7641" s="17" t="str">
        <f>HYPERLINK("https://my.pitchbook.com?p=214448-59P","View People Online")</f>
        <v>View People Online</v>
      </c>
    </row>
    <row r="7642">
      <c r="A7642" s="10" t="s">
        <v>47523</v>
      </c>
      <c r="B7642" s="10" t="s">
        <v>47524</v>
      </c>
      <c r="C7642" s="10" t="s">
        <v>3670</v>
      </c>
      <c r="D7642" s="10" t="s">
        <v>47525</v>
      </c>
      <c r="E7642" s="10" t="s">
        <v>47503</v>
      </c>
      <c r="F7642" s="10" t="s">
        <v>270</v>
      </c>
      <c r="G7642" s="10" t="s">
        <v>47526</v>
      </c>
      <c r="H7642" s="11" t="s">
        <v>31</v>
      </c>
      <c r="I7642" s="11">
        <v>1.0</v>
      </c>
      <c r="J7642" s="11">
        <v>1.0</v>
      </c>
      <c r="K7642" s="11" t="s">
        <v>31</v>
      </c>
      <c r="L7642" s="12" t="s">
        <v>47505</v>
      </c>
      <c r="M7642" s="10" t="s">
        <v>47527</v>
      </c>
      <c r="N7642" s="10" t="s">
        <v>47507</v>
      </c>
      <c r="O7642" s="12" t="s">
        <v>47508</v>
      </c>
      <c r="P7642" s="10" t="s">
        <v>47509</v>
      </c>
      <c r="Q7642" s="10" t="s">
        <v>31</v>
      </c>
      <c r="R7642" s="10" t="s">
        <v>1638</v>
      </c>
      <c r="S7642" s="12" t="s">
        <v>47510</v>
      </c>
      <c r="T7642" s="10" t="s">
        <v>66</v>
      </c>
      <c r="U7642" s="12" t="s">
        <v>31</v>
      </c>
      <c r="V7642" s="10" t="s">
        <v>47511</v>
      </c>
      <c r="W7642" s="10" t="s">
        <v>47503</v>
      </c>
      <c r="X7642" s="13" t="str">
        <f>HYPERLINK("https://my.pitchbook.com?p=368228-08P","View People Online")</f>
        <v>View People Online</v>
      </c>
    </row>
    <row r="7643">
      <c r="A7643" s="14" t="s">
        <v>47528</v>
      </c>
      <c r="B7643" s="14" t="s">
        <v>47529</v>
      </c>
      <c r="C7643" s="14" t="s">
        <v>1343</v>
      </c>
      <c r="D7643" s="14" t="s">
        <v>3716</v>
      </c>
      <c r="E7643" s="14" t="s">
        <v>47503</v>
      </c>
      <c r="F7643" s="14" t="s">
        <v>270</v>
      </c>
      <c r="G7643" s="14" t="s">
        <v>47530</v>
      </c>
      <c r="H7643" s="15" t="s">
        <v>31</v>
      </c>
      <c r="I7643" s="15">
        <v>1.0</v>
      </c>
      <c r="J7643" s="15">
        <v>1.0</v>
      </c>
      <c r="K7643" s="15" t="s">
        <v>31</v>
      </c>
      <c r="L7643" s="16" t="s">
        <v>47505</v>
      </c>
      <c r="M7643" s="14" t="s">
        <v>47531</v>
      </c>
      <c r="N7643" s="14" t="s">
        <v>47507</v>
      </c>
      <c r="O7643" s="16" t="s">
        <v>47508</v>
      </c>
      <c r="P7643" s="14" t="s">
        <v>47509</v>
      </c>
      <c r="Q7643" s="14" t="s">
        <v>31</v>
      </c>
      <c r="R7643" s="14" t="s">
        <v>1638</v>
      </c>
      <c r="S7643" s="16" t="s">
        <v>47510</v>
      </c>
      <c r="T7643" s="14" t="s">
        <v>66</v>
      </c>
      <c r="U7643" s="16" t="s">
        <v>31</v>
      </c>
      <c r="V7643" s="14" t="s">
        <v>47511</v>
      </c>
      <c r="W7643" s="14" t="s">
        <v>47503</v>
      </c>
      <c r="X7643" s="17" t="str">
        <f>HYPERLINK("https://my.pitchbook.com?p=368227-90P","View People Online")</f>
        <v>View People Online</v>
      </c>
    </row>
    <row r="7644">
      <c r="A7644" s="2" t="s">
        <v>47532</v>
      </c>
      <c r="B7644" s="2" t="s">
        <v>47533</v>
      </c>
      <c r="C7644" s="2" t="s">
        <v>2288</v>
      </c>
      <c r="D7644" s="2" t="s">
        <v>47534</v>
      </c>
      <c r="E7644" s="2" t="s">
        <v>47503</v>
      </c>
      <c r="F7644" s="2" t="s">
        <v>8021</v>
      </c>
      <c r="G7644" s="2" t="s">
        <v>47535</v>
      </c>
      <c r="H7644" s="3" t="s">
        <v>31</v>
      </c>
      <c r="I7644" s="3">
        <v>1.0</v>
      </c>
      <c r="J7644" s="3">
        <v>1.0</v>
      </c>
      <c r="K7644" s="3" t="s">
        <v>31</v>
      </c>
      <c r="L7644" s="4" t="s">
        <v>47505</v>
      </c>
      <c r="M7644" s="2" t="s">
        <v>47536</v>
      </c>
      <c r="N7644" s="2" t="s">
        <v>47507</v>
      </c>
      <c r="O7644" s="4" t="s">
        <v>47508</v>
      </c>
      <c r="P7644" s="2" t="s">
        <v>47509</v>
      </c>
      <c r="Q7644" s="2" t="s">
        <v>31</v>
      </c>
      <c r="R7644" s="2" t="s">
        <v>1638</v>
      </c>
      <c r="S7644" s="4" t="s">
        <v>47510</v>
      </c>
      <c r="T7644" s="2" t="s">
        <v>66</v>
      </c>
      <c r="U7644" s="4" t="s">
        <v>31</v>
      </c>
      <c r="V7644" s="2" t="s">
        <v>8021</v>
      </c>
      <c r="W7644" s="2" t="s">
        <v>47503</v>
      </c>
      <c r="X7644" s="5" t="str">
        <f>HYPERLINK("https://my.pitchbook.com?p=368227-63P","View People Online")</f>
        <v>View People Online</v>
      </c>
    </row>
    <row r="7645">
      <c r="A7645" s="14" t="s">
        <v>47537</v>
      </c>
      <c r="B7645" s="14" t="s">
        <v>47538</v>
      </c>
      <c r="C7645" s="14" t="s">
        <v>126</v>
      </c>
      <c r="D7645" s="14" t="s">
        <v>40220</v>
      </c>
      <c r="E7645" s="14" t="s">
        <v>47503</v>
      </c>
      <c r="F7645" s="14" t="s">
        <v>371</v>
      </c>
      <c r="G7645" s="14" t="s">
        <v>47539</v>
      </c>
      <c r="H7645" s="15" t="s">
        <v>31</v>
      </c>
      <c r="I7645" s="15">
        <v>1.0</v>
      </c>
      <c r="J7645" s="15">
        <v>1.0</v>
      </c>
      <c r="K7645" s="15" t="s">
        <v>31</v>
      </c>
      <c r="L7645" s="16" t="s">
        <v>47505</v>
      </c>
      <c r="M7645" s="14" t="s">
        <v>47540</v>
      </c>
      <c r="N7645" s="14" t="s">
        <v>47507</v>
      </c>
      <c r="O7645" s="16" t="s">
        <v>47508</v>
      </c>
      <c r="P7645" s="14" t="s">
        <v>47509</v>
      </c>
      <c r="Q7645" s="14" t="s">
        <v>31</v>
      </c>
      <c r="R7645" s="14" t="s">
        <v>1638</v>
      </c>
      <c r="S7645" s="16" t="s">
        <v>47510</v>
      </c>
      <c r="T7645" s="14" t="s">
        <v>66</v>
      </c>
      <c r="U7645" s="16" t="s">
        <v>31</v>
      </c>
      <c r="V7645" s="14" t="s">
        <v>47541</v>
      </c>
      <c r="W7645" s="14" t="s">
        <v>47503</v>
      </c>
      <c r="X7645" s="17" t="str">
        <f>HYPERLINK("https://my.pitchbook.com?p=385412-14P","View People Online")</f>
        <v>View People Online</v>
      </c>
    </row>
    <row r="7646">
      <c r="A7646" s="10" t="s">
        <v>47542</v>
      </c>
      <c r="B7646" s="10" t="s">
        <v>47543</v>
      </c>
      <c r="C7646" s="10" t="s">
        <v>47544</v>
      </c>
      <c r="D7646" s="10" t="s">
        <v>47545</v>
      </c>
      <c r="E7646" s="10" t="s">
        <v>47503</v>
      </c>
      <c r="F7646" s="10" t="s">
        <v>270</v>
      </c>
      <c r="G7646" s="10" t="s">
        <v>47546</v>
      </c>
      <c r="H7646" s="11" t="s">
        <v>31</v>
      </c>
      <c r="I7646" s="11">
        <v>1.0</v>
      </c>
      <c r="J7646" s="11">
        <v>1.0</v>
      </c>
      <c r="K7646" s="11" t="s">
        <v>31</v>
      </c>
      <c r="L7646" s="12" t="s">
        <v>47505</v>
      </c>
      <c r="M7646" s="10" t="s">
        <v>47547</v>
      </c>
      <c r="N7646" s="10" t="s">
        <v>47507</v>
      </c>
      <c r="O7646" s="12" t="s">
        <v>47508</v>
      </c>
      <c r="P7646" s="10" t="s">
        <v>47509</v>
      </c>
      <c r="Q7646" s="10" t="s">
        <v>31</v>
      </c>
      <c r="R7646" s="10" t="s">
        <v>1638</v>
      </c>
      <c r="S7646" s="12" t="s">
        <v>47510</v>
      </c>
      <c r="T7646" s="10" t="s">
        <v>66</v>
      </c>
      <c r="U7646" s="12" t="s">
        <v>31</v>
      </c>
      <c r="V7646" s="10" t="s">
        <v>47511</v>
      </c>
      <c r="W7646" s="10" t="s">
        <v>47503</v>
      </c>
      <c r="X7646" s="13" t="str">
        <f>HYPERLINK("https://my.pitchbook.com?p=368227-81P","View People Online")</f>
        <v>View People Online</v>
      </c>
    </row>
    <row r="7647">
      <c r="A7647" s="14" t="s">
        <v>47548</v>
      </c>
      <c r="B7647" s="14" t="s">
        <v>47549</v>
      </c>
      <c r="C7647" s="14" t="s">
        <v>3716</v>
      </c>
      <c r="D7647" s="14" t="s">
        <v>47550</v>
      </c>
      <c r="E7647" s="14" t="s">
        <v>47503</v>
      </c>
      <c r="F7647" s="14" t="s">
        <v>583</v>
      </c>
      <c r="G7647" s="14" t="s">
        <v>47551</v>
      </c>
      <c r="H7647" s="15" t="s">
        <v>31</v>
      </c>
      <c r="I7647" s="15">
        <v>2.0</v>
      </c>
      <c r="J7647" s="15">
        <v>1.0</v>
      </c>
      <c r="K7647" s="15">
        <v>1.0</v>
      </c>
      <c r="L7647" s="16" t="s">
        <v>47505</v>
      </c>
      <c r="M7647" s="14" t="s">
        <v>47552</v>
      </c>
      <c r="N7647" s="14" t="s">
        <v>47507</v>
      </c>
      <c r="O7647" s="16" t="s">
        <v>47508</v>
      </c>
      <c r="P7647" s="14" t="s">
        <v>47509</v>
      </c>
      <c r="Q7647" s="14" t="s">
        <v>31</v>
      </c>
      <c r="R7647" s="14" t="s">
        <v>1638</v>
      </c>
      <c r="S7647" s="16" t="s">
        <v>47510</v>
      </c>
      <c r="T7647" s="14" t="s">
        <v>66</v>
      </c>
      <c r="U7647" s="16" t="s">
        <v>31</v>
      </c>
      <c r="V7647" s="14" t="s">
        <v>47553</v>
      </c>
      <c r="W7647" s="14" t="s">
        <v>47503</v>
      </c>
      <c r="X7647" s="17" t="str">
        <f>HYPERLINK("https://my.pitchbook.com?p=167154-76P","View People Online")</f>
        <v>View People Online</v>
      </c>
    </row>
    <row r="7648">
      <c r="A7648" s="10" t="s">
        <v>47554</v>
      </c>
      <c r="B7648" s="10" t="s">
        <v>47555</v>
      </c>
      <c r="C7648" s="10" t="s">
        <v>4679</v>
      </c>
      <c r="D7648" s="10" t="s">
        <v>47556</v>
      </c>
      <c r="E7648" s="10" t="s">
        <v>47503</v>
      </c>
      <c r="F7648" s="10" t="s">
        <v>1459</v>
      </c>
      <c r="G7648" s="10" t="s">
        <v>47557</v>
      </c>
      <c r="H7648" s="11" t="s">
        <v>31</v>
      </c>
      <c r="I7648" s="11">
        <v>1.0</v>
      </c>
      <c r="J7648" s="11">
        <v>1.0</v>
      </c>
      <c r="K7648" s="11" t="s">
        <v>31</v>
      </c>
      <c r="L7648" s="12" t="s">
        <v>47505</v>
      </c>
      <c r="M7648" s="10" t="s">
        <v>47558</v>
      </c>
      <c r="N7648" s="10" t="s">
        <v>47507</v>
      </c>
      <c r="O7648" s="12" t="s">
        <v>47508</v>
      </c>
      <c r="P7648" s="10" t="s">
        <v>47509</v>
      </c>
      <c r="Q7648" s="10" t="s">
        <v>31</v>
      </c>
      <c r="R7648" s="10" t="s">
        <v>1638</v>
      </c>
      <c r="S7648" s="12" t="s">
        <v>47510</v>
      </c>
      <c r="T7648" s="10" t="s">
        <v>66</v>
      </c>
      <c r="U7648" s="12" t="s">
        <v>31</v>
      </c>
      <c r="V7648" s="10" t="s">
        <v>47559</v>
      </c>
      <c r="W7648" s="10" t="s">
        <v>47503</v>
      </c>
      <c r="X7648" s="13" t="str">
        <f>HYPERLINK("https://my.pitchbook.com?p=75220-66P","View People Online")</f>
        <v>View People Online</v>
      </c>
    </row>
    <row r="7649">
      <c r="A7649" s="6" t="s">
        <v>47560</v>
      </c>
      <c r="B7649" s="6" t="s">
        <v>47561</v>
      </c>
      <c r="C7649" s="6" t="s">
        <v>40496</v>
      </c>
      <c r="D7649" s="6" t="s">
        <v>3847</v>
      </c>
      <c r="E7649" s="6" t="s">
        <v>47562</v>
      </c>
      <c r="F7649" s="6" t="s">
        <v>1283</v>
      </c>
      <c r="G7649" s="6" t="s">
        <v>47563</v>
      </c>
      <c r="H7649" s="7" t="s">
        <v>31</v>
      </c>
      <c r="I7649" s="7">
        <v>1.0</v>
      </c>
      <c r="J7649" s="7">
        <v>1.0</v>
      </c>
      <c r="K7649" s="7" t="s">
        <v>31</v>
      </c>
      <c r="L7649" s="8" t="s">
        <v>31</v>
      </c>
      <c r="M7649" s="6" t="s">
        <v>47564</v>
      </c>
      <c r="N7649" s="6" t="s">
        <v>6669</v>
      </c>
      <c r="O7649" s="8" t="s">
        <v>6670</v>
      </c>
      <c r="P7649" s="6" t="s">
        <v>47565</v>
      </c>
      <c r="Q7649" s="6" t="s">
        <v>31</v>
      </c>
      <c r="R7649" s="6" t="s">
        <v>1185</v>
      </c>
      <c r="S7649" s="8" t="s">
        <v>1709</v>
      </c>
      <c r="T7649" s="6" t="s">
        <v>66</v>
      </c>
      <c r="U7649" s="8" t="s">
        <v>31</v>
      </c>
      <c r="V7649" s="6" t="s">
        <v>47566</v>
      </c>
      <c r="W7649" s="6" t="s">
        <v>47562</v>
      </c>
      <c r="X7649" s="9" t="str">
        <f>HYPERLINK("https://my.pitchbook.com?p=353831-32P","View People Online")</f>
        <v>View People Online</v>
      </c>
    </row>
    <row r="7650">
      <c r="A7650" s="2" t="s">
        <v>47567</v>
      </c>
      <c r="B7650" s="2" t="s">
        <v>47568</v>
      </c>
      <c r="C7650" s="2" t="s">
        <v>3360</v>
      </c>
      <c r="D7650" s="2" t="s">
        <v>5166</v>
      </c>
      <c r="E7650" s="2" t="s">
        <v>47569</v>
      </c>
      <c r="F7650" s="2" t="s">
        <v>713</v>
      </c>
      <c r="G7650" s="2" t="s">
        <v>47570</v>
      </c>
      <c r="H7650" s="3" t="s">
        <v>31</v>
      </c>
      <c r="I7650" s="3">
        <v>2.0</v>
      </c>
      <c r="J7650" s="3">
        <v>1.0</v>
      </c>
      <c r="K7650" s="3">
        <v>1.0</v>
      </c>
      <c r="L7650" s="4" t="s">
        <v>47571</v>
      </c>
      <c r="M7650" s="2" t="s">
        <v>47572</v>
      </c>
      <c r="N7650" s="2" t="s">
        <v>6669</v>
      </c>
      <c r="O7650" s="4" t="s">
        <v>6670</v>
      </c>
      <c r="P7650" s="2" t="s">
        <v>47573</v>
      </c>
      <c r="Q7650" s="2" t="s">
        <v>1895</v>
      </c>
      <c r="R7650" s="2" t="s">
        <v>1185</v>
      </c>
      <c r="S7650" s="4" t="s">
        <v>1709</v>
      </c>
      <c r="T7650" s="2" t="s">
        <v>66</v>
      </c>
      <c r="U7650" s="4" t="s">
        <v>31</v>
      </c>
      <c r="V7650" s="2" t="s">
        <v>713</v>
      </c>
      <c r="W7650" s="2" t="s">
        <v>47569</v>
      </c>
      <c r="X7650" s="5" t="str">
        <f>HYPERLINK("https://my.pitchbook.com?p=235037-44P","View People Online")</f>
        <v>View People Online</v>
      </c>
    </row>
    <row r="7651">
      <c r="A7651" s="14" t="s">
        <v>47574</v>
      </c>
      <c r="B7651" s="14" t="s">
        <v>47575</v>
      </c>
      <c r="C7651" s="14" t="s">
        <v>47576</v>
      </c>
      <c r="D7651" s="14" t="s">
        <v>47577</v>
      </c>
      <c r="E7651" s="14" t="s">
        <v>47578</v>
      </c>
      <c r="F7651" s="14" t="s">
        <v>7239</v>
      </c>
      <c r="G7651" s="14" t="s">
        <v>47579</v>
      </c>
      <c r="H7651" s="15" t="s">
        <v>31</v>
      </c>
      <c r="I7651" s="15">
        <v>1.0</v>
      </c>
      <c r="J7651" s="15">
        <v>1.0</v>
      </c>
      <c r="K7651" s="15" t="s">
        <v>31</v>
      </c>
      <c r="L7651" s="16" t="s">
        <v>47580</v>
      </c>
      <c r="M7651" s="14" t="s">
        <v>47581</v>
      </c>
      <c r="N7651" s="14" t="s">
        <v>6669</v>
      </c>
      <c r="O7651" s="16" t="s">
        <v>6670</v>
      </c>
      <c r="P7651" s="14" t="s">
        <v>47582</v>
      </c>
      <c r="Q7651" s="14" t="s">
        <v>47573</v>
      </c>
      <c r="R7651" s="14" t="s">
        <v>1185</v>
      </c>
      <c r="S7651" s="16" t="s">
        <v>1709</v>
      </c>
      <c r="T7651" s="14" t="s">
        <v>66</v>
      </c>
      <c r="U7651" s="16" t="s">
        <v>31</v>
      </c>
      <c r="V7651" s="14" t="s">
        <v>47583</v>
      </c>
      <c r="W7651" s="14" t="s">
        <v>47578</v>
      </c>
      <c r="X7651" s="17" t="str">
        <f>HYPERLINK("https://my.pitchbook.com?p=356933-26P","View People Online")</f>
        <v>View People Online</v>
      </c>
    </row>
    <row r="7652">
      <c r="A7652" s="2" t="s">
        <v>47584</v>
      </c>
      <c r="B7652" s="2" t="s">
        <v>47585</v>
      </c>
      <c r="C7652" s="2" t="s">
        <v>23160</v>
      </c>
      <c r="D7652" s="2" t="s">
        <v>47586</v>
      </c>
      <c r="E7652" s="2" t="s">
        <v>47587</v>
      </c>
      <c r="F7652" s="2" t="s">
        <v>29</v>
      </c>
      <c r="G7652" s="2" t="s">
        <v>47588</v>
      </c>
      <c r="H7652" s="3">
        <v>1.0</v>
      </c>
      <c r="I7652" s="3">
        <v>4.0</v>
      </c>
      <c r="J7652" s="3">
        <v>1.0</v>
      </c>
      <c r="K7652" s="3">
        <v>2.0</v>
      </c>
      <c r="L7652" s="4" t="s">
        <v>47589</v>
      </c>
      <c r="M7652" s="2" t="s">
        <v>47590</v>
      </c>
      <c r="N7652" s="2" t="s">
        <v>75</v>
      </c>
      <c r="O7652" s="4" t="s">
        <v>76</v>
      </c>
      <c r="P7652" s="2" t="s">
        <v>47591</v>
      </c>
      <c r="Q7652" s="2" t="s">
        <v>31</v>
      </c>
      <c r="R7652" s="2" t="s">
        <v>75</v>
      </c>
      <c r="S7652" s="4" t="s">
        <v>47592</v>
      </c>
      <c r="T7652" s="2" t="s">
        <v>66</v>
      </c>
      <c r="U7652" s="4" t="s">
        <v>31</v>
      </c>
      <c r="V7652" s="2" t="s">
        <v>29</v>
      </c>
      <c r="W7652" s="2" t="s">
        <v>47587</v>
      </c>
      <c r="X7652" s="5" t="str">
        <f>HYPERLINK("https://my.pitchbook.com?p=81530-56P","View People Online")</f>
        <v>View People Online</v>
      </c>
    </row>
    <row r="7653">
      <c r="A7653" s="6" t="s">
        <v>47593</v>
      </c>
      <c r="B7653" s="6" t="s">
        <v>47594</v>
      </c>
      <c r="C7653" s="6" t="s">
        <v>1117</v>
      </c>
      <c r="D7653" s="6" t="s">
        <v>47595</v>
      </c>
      <c r="E7653" s="6" t="s">
        <v>47587</v>
      </c>
      <c r="F7653" s="6" t="s">
        <v>43</v>
      </c>
      <c r="G7653" s="6" t="s">
        <v>47596</v>
      </c>
      <c r="H7653" s="7">
        <v>2.0</v>
      </c>
      <c r="I7653" s="7">
        <v>9.0</v>
      </c>
      <c r="J7653" s="7">
        <v>1.0</v>
      </c>
      <c r="K7653" s="7">
        <v>2.0</v>
      </c>
      <c r="L7653" s="8" t="s">
        <v>47589</v>
      </c>
      <c r="M7653" s="6" t="s">
        <v>47597</v>
      </c>
      <c r="N7653" s="6" t="s">
        <v>75</v>
      </c>
      <c r="O7653" s="8" t="s">
        <v>76</v>
      </c>
      <c r="P7653" s="6" t="s">
        <v>47591</v>
      </c>
      <c r="Q7653" s="6" t="s">
        <v>31</v>
      </c>
      <c r="R7653" s="6" t="s">
        <v>75</v>
      </c>
      <c r="S7653" s="8" t="s">
        <v>47592</v>
      </c>
      <c r="T7653" s="6" t="s">
        <v>66</v>
      </c>
      <c r="U7653" s="8" t="s">
        <v>31</v>
      </c>
      <c r="V7653" s="6" t="s">
        <v>43</v>
      </c>
      <c r="W7653" s="6" t="s">
        <v>47587</v>
      </c>
      <c r="X7653" s="9" t="str">
        <f>HYPERLINK("https://my.pitchbook.com?p=15513-49P","View People Online")</f>
        <v>View People Online</v>
      </c>
    </row>
    <row r="7654">
      <c r="A7654" s="2" t="s">
        <v>47598</v>
      </c>
      <c r="B7654" s="2" t="s">
        <v>47599</v>
      </c>
      <c r="C7654" s="2" t="s">
        <v>37252</v>
      </c>
      <c r="D7654" s="2" t="s">
        <v>607</v>
      </c>
      <c r="E7654" s="2" t="s">
        <v>47587</v>
      </c>
      <c r="F7654" s="2" t="s">
        <v>29</v>
      </c>
      <c r="G7654" s="2" t="s">
        <v>47600</v>
      </c>
      <c r="H7654" s="3" t="s">
        <v>31</v>
      </c>
      <c r="I7654" s="3">
        <v>1.0</v>
      </c>
      <c r="J7654" s="3">
        <v>1.0</v>
      </c>
      <c r="K7654" s="3" t="s">
        <v>31</v>
      </c>
      <c r="L7654" s="4" t="s">
        <v>47589</v>
      </c>
      <c r="M7654" s="2" t="s">
        <v>47601</v>
      </c>
      <c r="N7654" s="2" t="s">
        <v>75</v>
      </c>
      <c r="O7654" s="4" t="s">
        <v>76</v>
      </c>
      <c r="P7654" s="2" t="s">
        <v>47591</v>
      </c>
      <c r="Q7654" s="2" t="s">
        <v>31</v>
      </c>
      <c r="R7654" s="2" t="s">
        <v>75</v>
      </c>
      <c r="S7654" s="4" t="s">
        <v>47592</v>
      </c>
      <c r="T7654" s="2" t="s">
        <v>66</v>
      </c>
      <c r="U7654" s="4" t="s">
        <v>31</v>
      </c>
      <c r="V7654" s="2" t="s">
        <v>29</v>
      </c>
      <c r="W7654" s="2" t="s">
        <v>47587</v>
      </c>
      <c r="X7654" s="5" t="str">
        <f>HYPERLINK("https://my.pitchbook.com?p=322125-94P","View People Online")</f>
        <v>View People Online</v>
      </c>
    </row>
    <row r="7655">
      <c r="A7655" s="6" t="s">
        <v>47602</v>
      </c>
      <c r="B7655" s="6" t="s">
        <v>47603</v>
      </c>
      <c r="C7655" s="6" t="s">
        <v>7116</v>
      </c>
      <c r="D7655" s="6" t="s">
        <v>40677</v>
      </c>
      <c r="E7655" s="6" t="s">
        <v>47587</v>
      </c>
      <c r="F7655" s="6" t="s">
        <v>81</v>
      </c>
      <c r="G7655" s="6" t="s">
        <v>47604</v>
      </c>
      <c r="H7655" s="7">
        <v>1.0</v>
      </c>
      <c r="I7655" s="7">
        <v>2.0</v>
      </c>
      <c r="J7655" s="7" t="s">
        <v>31</v>
      </c>
      <c r="K7655" s="7" t="s">
        <v>31</v>
      </c>
      <c r="L7655" s="8" t="s">
        <v>47605</v>
      </c>
      <c r="M7655" s="6" t="s">
        <v>31</v>
      </c>
      <c r="N7655" s="6" t="s">
        <v>7957</v>
      </c>
      <c r="O7655" s="8" t="s">
        <v>7958</v>
      </c>
      <c r="P7655" s="6" t="s">
        <v>47606</v>
      </c>
      <c r="Q7655" s="6" t="s">
        <v>12673</v>
      </c>
      <c r="R7655" s="6" t="s">
        <v>7004</v>
      </c>
      <c r="S7655" s="8" t="s">
        <v>47607</v>
      </c>
      <c r="T7655" s="6" t="s">
        <v>66</v>
      </c>
      <c r="U7655" s="8" t="s">
        <v>31</v>
      </c>
      <c r="V7655" s="6" t="s">
        <v>2379</v>
      </c>
      <c r="W7655" s="6" t="s">
        <v>47608</v>
      </c>
      <c r="X7655" s="9" t="str">
        <f>HYPERLINK("https://my.pitchbook.com?p=394791-58P","View People Online")</f>
        <v>View People Online</v>
      </c>
    </row>
    <row r="7656">
      <c r="A7656" s="10" t="s">
        <v>47609</v>
      </c>
      <c r="B7656" s="10" t="s">
        <v>47610</v>
      </c>
      <c r="C7656" s="10" t="s">
        <v>45530</v>
      </c>
      <c r="D7656" s="10" t="s">
        <v>47611</v>
      </c>
      <c r="E7656" s="10" t="s">
        <v>47587</v>
      </c>
      <c r="F7656" s="10" t="s">
        <v>221</v>
      </c>
      <c r="G7656" s="10" t="s">
        <v>47612</v>
      </c>
      <c r="H7656" s="11" t="s">
        <v>31</v>
      </c>
      <c r="I7656" s="11">
        <v>1.0</v>
      </c>
      <c r="J7656" s="11">
        <v>1.0</v>
      </c>
      <c r="K7656" s="11" t="s">
        <v>31</v>
      </c>
      <c r="L7656" s="12" t="s">
        <v>47589</v>
      </c>
      <c r="M7656" s="10" t="s">
        <v>47613</v>
      </c>
      <c r="N7656" s="10" t="s">
        <v>75</v>
      </c>
      <c r="O7656" s="12" t="s">
        <v>76</v>
      </c>
      <c r="P7656" s="10" t="s">
        <v>47591</v>
      </c>
      <c r="Q7656" s="10" t="s">
        <v>31</v>
      </c>
      <c r="R7656" s="10" t="s">
        <v>75</v>
      </c>
      <c r="S7656" s="12" t="s">
        <v>47592</v>
      </c>
      <c r="T7656" s="10" t="s">
        <v>66</v>
      </c>
      <c r="U7656" s="12" t="s">
        <v>31</v>
      </c>
      <c r="V7656" s="10" t="s">
        <v>201</v>
      </c>
      <c r="W7656" s="10" t="s">
        <v>47587</v>
      </c>
      <c r="X7656" s="13" t="str">
        <f>HYPERLINK("https://my.pitchbook.com?p=240784-75P","View People Online")</f>
        <v>View People Online</v>
      </c>
    </row>
    <row r="7657">
      <c r="A7657" s="6" t="s">
        <v>47614</v>
      </c>
      <c r="B7657" s="6" t="s">
        <v>47615</v>
      </c>
      <c r="C7657" s="6" t="s">
        <v>1449</v>
      </c>
      <c r="D7657" s="6" t="s">
        <v>21894</v>
      </c>
      <c r="E7657" s="6" t="s">
        <v>47587</v>
      </c>
      <c r="F7657" s="6" t="s">
        <v>81</v>
      </c>
      <c r="G7657" s="6" t="s">
        <v>47616</v>
      </c>
      <c r="H7657" s="7" t="s">
        <v>31</v>
      </c>
      <c r="I7657" s="7">
        <v>2.0</v>
      </c>
      <c r="J7657" s="7">
        <v>1.0</v>
      </c>
      <c r="K7657" s="7" t="s">
        <v>31</v>
      </c>
      <c r="L7657" s="8" t="s">
        <v>47617</v>
      </c>
      <c r="M7657" s="6" t="s">
        <v>47618</v>
      </c>
      <c r="N7657" s="6" t="s">
        <v>4232</v>
      </c>
      <c r="O7657" s="8" t="s">
        <v>4233</v>
      </c>
      <c r="P7657" s="6" t="s">
        <v>47619</v>
      </c>
      <c r="Q7657" s="6" t="s">
        <v>47620</v>
      </c>
      <c r="R7657" s="6" t="s">
        <v>4236</v>
      </c>
      <c r="S7657" s="8" t="s">
        <v>27763</v>
      </c>
      <c r="T7657" s="6" t="s">
        <v>66</v>
      </c>
      <c r="U7657" s="8" t="s">
        <v>31</v>
      </c>
      <c r="V7657" s="6" t="s">
        <v>1167</v>
      </c>
      <c r="W7657" s="6" t="s">
        <v>47621</v>
      </c>
      <c r="X7657" s="9" t="str">
        <f>HYPERLINK("https://my.pitchbook.com?p=112204-90P","View People Online")</f>
        <v>View People Online</v>
      </c>
    </row>
    <row r="7658">
      <c r="A7658" s="2" t="s">
        <v>47622</v>
      </c>
      <c r="B7658" s="2" t="s">
        <v>47623</v>
      </c>
      <c r="C7658" s="2" t="s">
        <v>11152</v>
      </c>
      <c r="D7658" s="2" t="s">
        <v>6597</v>
      </c>
      <c r="E7658" s="2" t="s">
        <v>47587</v>
      </c>
      <c r="F7658" s="2" t="s">
        <v>81</v>
      </c>
      <c r="G7658" s="2" t="s">
        <v>47624</v>
      </c>
      <c r="H7658" s="3" t="s">
        <v>31</v>
      </c>
      <c r="I7658" s="3">
        <v>1.0</v>
      </c>
      <c r="J7658" s="3" t="s">
        <v>31</v>
      </c>
      <c r="K7658" s="3" t="s">
        <v>31</v>
      </c>
      <c r="L7658" s="4" t="s">
        <v>47625</v>
      </c>
      <c r="M7658" s="2" t="s">
        <v>31</v>
      </c>
      <c r="N7658" s="2" t="s">
        <v>75</v>
      </c>
      <c r="O7658" s="4" t="s">
        <v>76</v>
      </c>
      <c r="P7658" s="2" t="s">
        <v>47591</v>
      </c>
      <c r="Q7658" s="2" t="s">
        <v>31</v>
      </c>
      <c r="R7658" s="2" t="s">
        <v>75</v>
      </c>
      <c r="S7658" s="4" t="s">
        <v>47592</v>
      </c>
      <c r="T7658" s="2" t="s">
        <v>66</v>
      </c>
      <c r="U7658" s="4" t="s">
        <v>31</v>
      </c>
      <c r="V7658" s="2" t="s">
        <v>47626</v>
      </c>
      <c r="W7658" s="2" t="s">
        <v>47627</v>
      </c>
      <c r="X7658" s="5" t="str">
        <f>HYPERLINK("https://my.pitchbook.com?p=217557-19P","View People Online")</f>
        <v>View People Online</v>
      </c>
    </row>
    <row r="7659">
      <c r="A7659" s="6" t="s">
        <v>47628</v>
      </c>
      <c r="B7659" s="6" t="s">
        <v>47629</v>
      </c>
      <c r="C7659" s="6" t="s">
        <v>47630</v>
      </c>
      <c r="D7659" s="6" t="s">
        <v>47631</v>
      </c>
      <c r="E7659" s="6" t="s">
        <v>47587</v>
      </c>
      <c r="F7659" s="6" t="s">
        <v>81</v>
      </c>
      <c r="G7659" s="6" t="s">
        <v>47632</v>
      </c>
      <c r="H7659" s="7">
        <v>1.0</v>
      </c>
      <c r="I7659" s="7">
        <v>5.0</v>
      </c>
      <c r="J7659" s="7" t="s">
        <v>31</v>
      </c>
      <c r="K7659" s="7">
        <v>2.0</v>
      </c>
      <c r="L7659" s="8" t="s">
        <v>31</v>
      </c>
      <c r="M7659" s="6" t="s">
        <v>31</v>
      </c>
      <c r="N7659" s="6" t="s">
        <v>6311</v>
      </c>
      <c r="O7659" s="8" t="s">
        <v>6312</v>
      </c>
      <c r="P7659" s="6" t="s">
        <v>47633</v>
      </c>
      <c r="Q7659" s="6" t="s">
        <v>31</v>
      </c>
      <c r="R7659" s="6" t="s">
        <v>31</v>
      </c>
      <c r="S7659" s="8" t="s">
        <v>47634</v>
      </c>
      <c r="T7659" s="6" t="s">
        <v>6315</v>
      </c>
      <c r="U7659" s="8" t="s">
        <v>31</v>
      </c>
      <c r="V7659" s="6" t="s">
        <v>2379</v>
      </c>
      <c r="W7659" s="6" t="s">
        <v>47635</v>
      </c>
      <c r="X7659" s="9" t="str">
        <f>HYPERLINK("https://my.pitchbook.com?p=72809-20P","View People Online")</f>
        <v>View People Online</v>
      </c>
    </row>
    <row r="7660">
      <c r="A7660" s="2" t="s">
        <v>47636</v>
      </c>
      <c r="B7660" s="2" t="s">
        <v>47637</v>
      </c>
      <c r="C7660" s="2" t="s">
        <v>823</v>
      </c>
      <c r="D7660" s="2" t="s">
        <v>10050</v>
      </c>
      <c r="E7660" s="2" t="s">
        <v>47587</v>
      </c>
      <c r="F7660" s="2" t="s">
        <v>81</v>
      </c>
      <c r="G7660" s="2" t="s">
        <v>47638</v>
      </c>
      <c r="H7660" s="3">
        <v>3.0</v>
      </c>
      <c r="I7660" s="3">
        <v>11.0</v>
      </c>
      <c r="J7660" s="3">
        <v>1.0</v>
      </c>
      <c r="K7660" s="3">
        <v>7.0</v>
      </c>
      <c r="L7660" s="4" t="s">
        <v>47639</v>
      </c>
      <c r="M7660" s="2" t="s">
        <v>31</v>
      </c>
      <c r="N7660" s="2" t="s">
        <v>47640</v>
      </c>
      <c r="O7660" s="4" t="s">
        <v>47641</v>
      </c>
      <c r="P7660" s="2" t="s">
        <v>47642</v>
      </c>
      <c r="Q7660" s="2" t="s">
        <v>47643</v>
      </c>
      <c r="R7660" s="2" t="s">
        <v>15676</v>
      </c>
      <c r="S7660" s="4" t="s">
        <v>47644</v>
      </c>
      <c r="T7660" s="2" t="s">
        <v>66</v>
      </c>
      <c r="U7660" s="4" t="s">
        <v>31</v>
      </c>
      <c r="V7660" s="2" t="s">
        <v>1252</v>
      </c>
      <c r="W7660" s="2" t="s">
        <v>47645</v>
      </c>
      <c r="X7660" s="5" t="str">
        <f>HYPERLINK("https://my.pitchbook.com?p=144989-02P","View People Online")</f>
        <v>View People Online</v>
      </c>
    </row>
    <row r="7661">
      <c r="A7661" s="14" t="s">
        <v>47646</v>
      </c>
      <c r="B7661" s="14" t="s">
        <v>47647</v>
      </c>
      <c r="C7661" s="14" t="s">
        <v>1343</v>
      </c>
      <c r="D7661" s="14" t="s">
        <v>47648</v>
      </c>
      <c r="E7661" s="14" t="s">
        <v>47587</v>
      </c>
      <c r="F7661" s="14" t="s">
        <v>81</v>
      </c>
      <c r="G7661" s="14" t="s">
        <v>47649</v>
      </c>
      <c r="H7661" s="15" t="s">
        <v>31</v>
      </c>
      <c r="I7661" s="15">
        <v>1.0</v>
      </c>
      <c r="J7661" s="15" t="s">
        <v>31</v>
      </c>
      <c r="K7661" s="15" t="s">
        <v>31</v>
      </c>
      <c r="L7661" s="16" t="s">
        <v>47589</v>
      </c>
      <c r="M7661" s="14" t="s">
        <v>31</v>
      </c>
      <c r="N7661" s="14" t="s">
        <v>75</v>
      </c>
      <c r="O7661" s="16" t="s">
        <v>76</v>
      </c>
      <c r="P7661" s="14" t="s">
        <v>47591</v>
      </c>
      <c r="Q7661" s="14" t="s">
        <v>31</v>
      </c>
      <c r="R7661" s="14" t="s">
        <v>75</v>
      </c>
      <c r="S7661" s="16" t="s">
        <v>47592</v>
      </c>
      <c r="T7661" s="14" t="s">
        <v>66</v>
      </c>
      <c r="U7661" s="16" t="s">
        <v>31</v>
      </c>
      <c r="V7661" s="14" t="s">
        <v>302</v>
      </c>
      <c r="W7661" s="14" t="s">
        <v>47587</v>
      </c>
      <c r="X7661" s="17" t="str">
        <f>HYPERLINK("https://my.pitchbook.com?p=375798-34P","View People Online")</f>
        <v>View People Online</v>
      </c>
    </row>
    <row r="7662">
      <c r="A7662" s="2" t="s">
        <v>47650</v>
      </c>
      <c r="B7662" s="2" t="s">
        <v>47651</v>
      </c>
      <c r="C7662" s="2" t="s">
        <v>1343</v>
      </c>
      <c r="D7662" s="2" t="s">
        <v>47652</v>
      </c>
      <c r="E7662" s="2" t="s">
        <v>47587</v>
      </c>
      <c r="F7662" s="2" t="s">
        <v>81</v>
      </c>
      <c r="G7662" s="2" t="s">
        <v>47653</v>
      </c>
      <c r="H7662" s="3" t="s">
        <v>31</v>
      </c>
      <c r="I7662" s="3">
        <v>1.0</v>
      </c>
      <c r="J7662" s="3" t="s">
        <v>31</v>
      </c>
      <c r="K7662" s="3" t="s">
        <v>31</v>
      </c>
      <c r="L7662" s="4" t="s">
        <v>47589</v>
      </c>
      <c r="M7662" s="2" t="s">
        <v>31</v>
      </c>
      <c r="N7662" s="2" t="s">
        <v>75</v>
      </c>
      <c r="O7662" s="4" t="s">
        <v>76</v>
      </c>
      <c r="P7662" s="2" t="s">
        <v>47591</v>
      </c>
      <c r="Q7662" s="2" t="s">
        <v>31</v>
      </c>
      <c r="R7662" s="2" t="s">
        <v>75</v>
      </c>
      <c r="S7662" s="4" t="s">
        <v>47592</v>
      </c>
      <c r="T7662" s="2" t="s">
        <v>66</v>
      </c>
      <c r="U7662" s="4" t="s">
        <v>31</v>
      </c>
      <c r="V7662" s="2" t="s">
        <v>2379</v>
      </c>
      <c r="W7662" s="2" t="s">
        <v>47654</v>
      </c>
      <c r="X7662" s="5" t="str">
        <f>HYPERLINK("https://my.pitchbook.com?p=92779-66P","View People Online")</f>
        <v>View People Online</v>
      </c>
    </row>
    <row r="7663">
      <c r="A7663" s="14" t="s">
        <v>47655</v>
      </c>
      <c r="B7663" s="14" t="s">
        <v>47656</v>
      </c>
      <c r="C7663" s="14" t="s">
        <v>1343</v>
      </c>
      <c r="D7663" s="14" t="s">
        <v>25361</v>
      </c>
      <c r="E7663" s="14" t="s">
        <v>47587</v>
      </c>
      <c r="F7663" s="14" t="s">
        <v>29</v>
      </c>
      <c r="G7663" s="14" t="s">
        <v>47657</v>
      </c>
      <c r="H7663" s="15" t="s">
        <v>31</v>
      </c>
      <c r="I7663" s="15">
        <v>4.0</v>
      </c>
      <c r="J7663" s="15">
        <v>1.0</v>
      </c>
      <c r="K7663" s="15">
        <v>3.0</v>
      </c>
      <c r="L7663" s="16" t="s">
        <v>47589</v>
      </c>
      <c r="M7663" s="14" t="s">
        <v>47658</v>
      </c>
      <c r="N7663" s="14" t="s">
        <v>75</v>
      </c>
      <c r="O7663" s="16" t="s">
        <v>76</v>
      </c>
      <c r="P7663" s="14" t="s">
        <v>47591</v>
      </c>
      <c r="Q7663" s="14" t="s">
        <v>31</v>
      </c>
      <c r="R7663" s="14" t="s">
        <v>75</v>
      </c>
      <c r="S7663" s="16" t="s">
        <v>47592</v>
      </c>
      <c r="T7663" s="14" t="s">
        <v>66</v>
      </c>
      <c r="U7663" s="16" t="s">
        <v>31</v>
      </c>
      <c r="V7663" s="14" t="s">
        <v>29</v>
      </c>
      <c r="W7663" s="14" t="s">
        <v>47587</v>
      </c>
      <c r="X7663" s="17" t="str">
        <f>HYPERLINK("https://my.pitchbook.com?p=242452-09P","View People Online")</f>
        <v>View People Online</v>
      </c>
    </row>
    <row r="7664">
      <c r="A7664" s="2" t="s">
        <v>34301</v>
      </c>
      <c r="B7664" s="2" t="s">
        <v>34302</v>
      </c>
      <c r="C7664" s="2" t="s">
        <v>5113</v>
      </c>
      <c r="D7664" s="2" t="s">
        <v>21299</v>
      </c>
      <c r="E7664" s="2" t="s">
        <v>47587</v>
      </c>
      <c r="F7664" s="2" t="s">
        <v>81</v>
      </c>
      <c r="G7664" s="2" t="s">
        <v>34303</v>
      </c>
      <c r="H7664" s="3" t="s">
        <v>31</v>
      </c>
      <c r="I7664" s="3">
        <v>3.0</v>
      </c>
      <c r="J7664" s="3">
        <v>2.0</v>
      </c>
      <c r="K7664" s="3" t="s">
        <v>31</v>
      </c>
      <c r="L7664" s="4" t="s">
        <v>31</v>
      </c>
      <c r="M7664" s="2" t="s">
        <v>31</v>
      </c>
      <c r="N7664" s="2" t="s">
        <v>31</v>
      </c>
      <c r="O7664" s="4" t="s">
        <v>34304</v>
      </c>
      <c r="P7664" s="2" t="s">
        <v>31</v>
      </c>
      <c r="Q7664" s="2" t="s">
        <v>31</v>
      </c>
      <c r="R7664" s="2" t="s">
        <v>1185</v>
      </c>
      <c r="S7664" s="4" t="s">
        <v>31</v>
      </c>
      <c r="T7664" s="2" t="s">
        <v>66</v>
      </c>
      <c r="U7664" s="4" t="s">
        <v>31</v>
      </c>
      <c r="V7664" s="2" t="s">
        <v>81</v>
      </c>
      <c r="W7664" s="2" t="s">
        <v>34305</v>
      </c>
      <c r="X7664" s="5" t="str">
        <f>HYPERLINK("https://my.pitchbook.com?p=375802-84P","View People Online")</f>
        <v>View People Online</v>
      </c>
    </row>
    <row r="7665">
      <c r="A7665" s="6" t="s">
        <v>47659</v>
      </c>
      <c r="B7665" s="6" t="s">
        <v>47660</v>
      </c>
      <c r="C7665" s="6" t="s">
        <v>38977</v>
      </c>
      <c r="D7665" s="6" t="s">
        <v>47661</v>
      </c>
      <c r="E7665" s="6" t="s">
        <v>47587</v>
      </c>
      <c r="F7665" s="6" t="s">
        <v>81</v>
      </c>
      <c r="G7665" s="6" t="s">
        <v>47662</v>
      </c>
      <c r="H7665" s="7" t="s">
        <v>31</v>
      </c>
      <c r="I7665" s="7">
        <v>2.0</v>
      </c>
      <c r="J7665" s="7">
        <v>1.0</v>
      </c>
      <c r="K7665" s="7" t="s">
        <v>31</v>
      </c>
      <c r="L7665" s="8" t="s">
        <v>47663</v>
      </c>
      <c r="M7665" s="6" t="s">
        <v>47664</v>
      </c>
      <c r="N7665" s="6" t="s">
        <v>8132</v>
      </c>
      <c r="O7665" s="8" t="s">
        <v>8133</v>
      </c>
      <c r="P7665" s="6" t="s">
        <v>31</v>
      </c>
      <c r="Q7665" s="6" t="s">
        <v>31</v>
      </c>
      <c r="R7665" s="6" t="s">
        <v>64</v>
      </c>
      <c r="S7665" s="8" t="s">
        <v>34076</v>
      </c>
      <c r="T7665" s="6" t="s">
        <v>66</v>
      </c>
      <c r="U7665" s="8" t="s">
        <v>31</v>
      </c>
      <c r="V7665" s="6" t="s">
        <v>583</v>
      </c>
      <c r="W7665" s="6" t="s">
        <v>47665</v>
      </c>
      <c r="X7665" s="9" t="str">
        <f>HYPERLINK("https://my.pitchbook.com?p=123073-03P","View People Online")</f>
        <v>View People Online</v>
      </c>
    </row>
    <row r="7666">
      <c r="A7666" s="10" t="s">
        <v>47666</v>
      </c>
      <c r="B7666" s="10" t="s">
        <v>47667</v>
      </c>
      <c r="C7666" s="10" t="s">
        <v>2288</v>
      </c>
      <c r="D7666" s="10" t="s">
        <v>47668</v>
      </c>
      <c r="E7666" s="10" t="s">
        <v>47587</v>
      </c>
      <c r="F7666" s="10" t="s">
        <v>81</v>
      </c>
      <c r="G7666" s="10" t="s">
        <v>47669</v>
      </c>
      <c r="H7666" s="11">
        <v>2.0</v>
      </c>
      <c r="I7666" s="11">
        <v>5.0</v>
      </c>
      <c r="J7666" s="11" t="s">
        <v>31</v>
      </c>
      <c r="K7666" s="11">
        <v>1.0</v>
      </c>
      <c r="L7666" s="12" t="s">
        <v>47670</v>
      </c>
      <c r="M7666" s="10" t="s">
        <v>47671</v>
      </c>
      <c r="N7666" s="10" t="s">
        <v>1034</v>
      </c>
      <c r="O7666" s="12" t="s">
        <v>1035</v>
      </c>
      <c r="P7666" s="10" t="s">
        <v>47672</v>
      </c>
      <c r="Q7666" s="10" t="s">
        <v>31</v>
      </c>
      <c r="R7666" s="10" t="s">
        <v>31</v>
      </c>
      <c r="S7666" s="12" t="s">
        <v>47673</v>
      </c>
      <c r="T7666" s="10" t="s">
        <v>1034</v>
      </c>
      <c r="U7666" s="12" t="s">
        <v>47674</v>
      </c>
      <c r="V7666" s="10" t="s">
        <v>6873</v>
      </c>
      <c r="W7666" s="10" t="s">
        <v>47675</v>
      </c>
      <c r="X7666" s="13" t="str">
        <f>HYPERLINK("https://my.pitchbook.com?p=345403-18P","View People Online")</f>
        <v>View People Online</v>
      </c>
    </row>
    <row r="7667">
      <c r="A7667" s="14" t="s">
        <v>8127</v>
      </c>
      <c r="B7667" s="14" t="s">
        <v>8128</v>
      </c>
      <c r="C7667" s="14" t="s">
        <v>160</v>
      </c>
      <c r="D7667" s="14" t="s">
        <v>8129</v>
      </c>
      <c r="E7667" s="14" t="s">
        <v>47587</v>
      </c>
      <c r="F7667" s="14" t="s">
        <v>3025</v>
      </c>
      <c r="G7667" s="14" t="s">
        <v>8130</v>
      </c>
      <c r="H7667" s="15">
        <v>10.0</v>
      </c>
      <c r="I7667" s="15">
        <v>34.0</v>
      </c>
      <c r="J7667" s="15">
        <v>4.0</v>
      </c>
      <c r="K7667" s="15">
        <v>17.0</v>
      </c>
      <c r="L7667" s="16" t="s">
        <v>8131</v>
      </c>
      <c r="M7667" s="14" t="s">
        <v>31</v>
      </c>
      <c r="N7667" s="14" t="s">
        <v>8132</v>
      </c>
      <c r="O7667" s="16" t="s">
        <v>8133</v>
      </c>
      <c r="P7667" s="14" t="s">
        <v>8134</v>
      </c>
      <c r="Q7667" s="14" t="s">
        <v>8135</v>
      </c>
      <c r="R7667" s="14" t="s">
        <v>64</v>
      </c>
      <c r="S7667" s="16" t="s">
        <v>8136</v>
      </c>
      <c r="T7667" s="14" t="s">
        <v>66</v>
      </c>
      <c r="U7667" s="16" t="s">
        <v>31</v>
      </c>
      <c r="V7667" s="14" t="s">
        <v>2379</v>
      </c>
      <c r="W7667" s="14" t="s">
        <v>8137</v>
      </c>
      <c r="X7667" s="17" t="str">
        <f>HYPERLINK("https://my.pitchbook.com?p=31448-35P","View People Online")</f>
        <v>View People Online</v>
      </c>
    </row>
    <row r="7668">
      <c r="A7668" s="2" t="s">
        <v>47676</v>
      </c>
      <c r="B7668" s="2" t="s">
        <v>47677</v>
      </c>
      <c r="C7668" s="2" t="s">
        <v>2388</v>
      </c>
      <c r="D7668" s="2" t="s">
        <v>47678</v>
      </c>
      <c r="E7668" s="2" t="s">
        <v>47587</v>
      </c>
      <c r="F7668" s="2" t="s">
        <v>81</v>
      </c>
      <c r="G7668" s="2" t="s">
        <v>47679</v>
      </c>
      <c r="H7668" s="3" t="s">
        <v>31</v>
      </c>
      <c r="I7668" s="3">
        <v>4.0</v>
      </c>
      <c r="J7668" s="3">
        <v>1.0</v>
      </c>
      <c r="K7668" s="3">
        <v>2.0</v>
      </c>
      <c r="L7668" s="4" t="s">
        <v>47680</v>
      </c>
      <c r="M7668" s="2" t="s">
        <v>47681</v>
      </c>
      <c r="N7668" s="2" t="s">
        <v>47682</v>
      </c>
      <c r="O7668" s="4" t="s">
        <v>47683</v>
      </c>
      <c r="P7668" s="2" t="s">
        <v>47684</v>
      </c>
      <c r="Q7668" s="2" t="s">
        <v>47685</v>
      </c>
      <c r="R7668" s="2" t="s">
        <v>31</v>
      </c>
      <c r="S7668" s="4" t="s">
        <v>47686</v>
      </c>
      <c r="T7668" s="2" t="s">
        <v>47687</v>
      </c>
      <c r="U7668" s="4" t="s">
        <v>31</v>
      </c>
      <c r="V7668" s="2" t="s">
        <v>47688</v>
      </c>
      <c r="W7668" s="2" t="s">
        <v>47689</v>
      </c>
      <c r="X7668" s="5" t="str">
        <f>HYPERLINK("https://my.pitchbook.com?p=178689-16P","View People Online")</f>
        <v>View People Online</v>
      </c>
    </row>
    <row r="7669">
      <c r="A7669" s="6" t="s">
        <v>33847</v>
      </c>
      <c r="B7669" s="6" t="s">
        <v>33848</v>
      </c>
      <c r="C7669" s="6" t="s">
        <v>395</v>
      </c>
      <c r="D7669" s="6" t="s">
        <v>7623</v>
      </c>
      <c r="E7669" s="6" t="s">
        <v>47587</v>
      </c>
      <c r="F7669" s="6" t="s">
        <v>81</v>
      </c>
      <c r="G7669" s="6" t="s">
        <v>33849</v>
      </c>
      <c r="H7669" s="7" t="s">
        <v>31</v>
      </c>
      <c r="I7669" s="7">
        <v>2.0</v>
      </c>
      <c r="J7669" s="7" t="s">
        <v>31</v>
      </c>
      <c r="K7669" s="7" t="s">
        <v>31</v>
      </c>
      <c r="L7669" s="8" t="s">
        <v>33452</v>
      </c>
      <c r="M7669" s="6" t="s">
        <v>31</v>
      </c>
      <c r="N7669" s="6" t="s">
        <v>75</v>
      </c>
      <c r="O7669" s="8" t="s">
        <v>76</v>
      </c>
      <c r="P7669" s="6" t="s">
        <v>33454</v>
      </c>
      <c r="Q7669" s="6" t="s">
        <v>12967</v>
      </c>
      <c r="R7669" s="6" t="s">
        <v>75</v>
      </c>
      <c r="S7669" s="8" t="s">
        <v>2167</v>
      </c>
      <c r="T7669" s="6" t="s">
        <v>66</v>
      </c>
      <c r="U7669" s="8" t="s">
        <v>31</v>
      </c>
      <c r="V7669" s="6" t="s">
        <v>33599</v>
      </c>
      <c r="W7669" s="6" t="s">
        <v>33450</v>
      </c>
      <c r="X7669" s="9" t="str">
        <f>HYPERLINK("https://my.pitchbook.com?p=375801-94P","View People Online")</f>
        <v>View People Online</v>
      </c>
    </row>
    <row r="7670">
      <c r="A7670" s="2" t="s">
        <v>47690</v>
      </c>
      <c r="B7670" s="2" t="s">
        <v>47691</v>
      </c>
      <c r="C7670" s="2" t="s">
        <v>395</v>
      </c>
      <c r="D7670" s="2" t="s">
        <v>47692</v>
      </c>
      <c r="E7670" s="2" t="s">
        <v>47587</v>
      </c>
      <c r="F7670" s="2" t="s">
        <v>81</v>
      </c>
      <c r="G7670" s="2" t="s">
        <v>47693</v>
      </c>
      <c r="H7670" s="3">
        <v>1.0</v>
      </c>
      <c r="I7670" s="3">
        <v>5.0</v>
      </c>
      <c r="J7670" s="3">
        <v>1.0</v>
      </c>
      <c r="K7670" s="3">
        <v>1.0</v>
      </c>
      <c r="L7670" s="4" t="s">
        <v>47694</v>
      </c>
      <c r="M7670" s="2" t="s">
        <v>31</v>
      </c>
      <c r="N7670" s="2" t="s">
        <v>1416</v>
      </c>
      <c r="O7670" s="4" t="s">
        <v>1417</v>
      </c>
      <c r="P7670" s="2" t="s">
        <v>47695</v>
      </c>
      <c r="Q7670" s="2" t="s">
        <v>47696</v>
      </c>
      <c r="R7670" s="2" t="s">
        <v>1420</v>
      </c>
      <c r="S7670" s="4" t="s">
        <v>1421</v>
      </c>
      <c r="T7670" s="2" t="s">
        <v>66</v>
      </c>
      <c r="U7670" s="4" t="s">
        <v>31</v>
      </c>
      <c r="V7670" s="2" t="s">
        <v>674</v>
      </c>
      <c r="W7670" s="2" t="s">
        <v>47697</v>
      </c>
      <c r="X7670" s="5" t="str">
        <f>HYPERLINK("https://my.pitchbook.com?p=313779-43P","View People Online")</f>
        <v>View People Online</v>
      </c>
    </row>
    <row r="7671">
      <c r="A7671" s="6" t="s">
        <v>47698</v>
      </c>
      <c r="B7671" s="6" t="s">
        <v>47699</v>
      </c>
      <c r="C7671" s="6" t="s">
        <v>29451</v>
      </c>
      <c r="D7671" s="6" t="s">
        <v>45770</v>
      </c>
      <c r="E7671" s="6" t="s">
        <v>47587</v>
      </c>
      <c r="F7671" s="6" t="s">
        <v>81</v>
      </c>
      <c r="G7671" s="6" t="s">
        <v>47700</v>
      </c>
      <c r="H7671" s="7">
        <v>1.0</v>
      </c>
      <c r="I7671" s="7">
        <v>3.0</v>
      </c>
      <c r="J7671" s="7">
        <v>1.0</v>
      </c>
      <c r="K7671" s="7" t="s">
        <v>31</v>
      </c>
      <c r="L7671" s="8" t="s">
        <v>47701</v>
      </c>
      <c r="M7671" s="6" t="s">
        <v>47702</v>
      </c>
      <c r="N7671" s="6" t="s">
        <v>1277</v>
      </c>
      <c r="O7671" s="8" t="s">
        <v>1278</v>
      </c>
      <c r="P7671" s="6" t="s">
        <v>47703</v>
      </c>
      <c r="Q7671" s="6" t="s">
        <v>31</v>
      </c>
      <c r="R7671" s="6" t="s">
        <v>1281</v>
      </c>
      <c r="S7671" s="8" t="s">
        <v>47704</v>
      </c>
      <c r="T7671" s="6" t="s">
        <v>66</v>
      </c>
      <c r="U7671" s="8" t="s">
        <v>47705</v>
      </c>
      <c r="V7671" s="6" t="s">
        <v>29</v>
      </c>
      <c r="W7671" s="6" t="s">
        <v>47706</v>
      </c>
      <c r="X7671" s="9" t="str">
        <f>HYPERLINK("https://my.pitchbook.com?p=62644-78P","View People Online")</f>
        <v>View People Online</v>
      </c>
    </row>
    <row r="7672">
      <c r="A7672" s="10" t="s">
        <v>47707</v>
      </c>
      <c r="B7672" s="10" t="s">
        <v>47708</v>
      </c>
      <c r="C7672" s="10" t="s">
        <v>47709</v>
      </c>
      <c r="D7672" s="10" t="s">
        <v>47710</v>
      </c>
      <c r="E7672" s="10" t="s">
        <v>47587</v>
      </c>
      <c r="F7672" s="10" t="s">
        <v>29</v>
      </c>
      <c r="G7672" s="10" t="s">
        <v>47711</v>
      </c>
      <c r="H7672" s="11" t="s">
        <v>31</v>
      </c>
      <c r="I7672" s="11">
        <v>2.0</v>
      </c>
      <c r="J7672" s="11">
        <v>1.0</v>
      </c>
      <c r="K7672" s="11" t="s">
        <v>31</v>
      </c>
      <c r="L7672" s="12" t="s">
        <v>47712</v>
      </c>
      <c r="M7672" s="10" t="s">
        <v>47713</v>
      </c>
      <c r="N7672" s="10" t="s">
        <v>75</v>
      </c>
      <c r="O7672" s="12" t="s">
        <v>76</v>
      </c>
      <c r="P7672" s="10" t="s">
        <v>47591</v>
      </c>
      <c r="Q7672" s="10" t="s">
        <v>31</v>
      </c>
      <c r="R7672" s="10" t="s">
        <v>75</v>
      </c>
      <c r="S7672" s="12" t="s">
        <v>47592</v>
      </c>
      <c r="T7672" s="10" t="s">
        <v>66</v>
      </c>
      <c r="U7672" s="12" t="s">
        <v>31</v>
      </c>
      <c r="V7672" s="10" t="s">
        <v>47714</v>
      </c>
      <c r="W7672" s="10" t="s">
        <v>47587</v>
      </c>
      <c r="X7672" s="13" t="str">
        <f>HYPERLINK("https://my.pitchbook.com?p=322125-58P","View People Online")</f>
        <v>View People Online</v>
      </c>
    </row>
    <row r="7673">
      <c r="A7673" s="6" t="s">
        <v>47715</v>
      </c>
      <c r="B7673" s="6" t="s">
        <v>47716</v>
      </c>
      <c r="C7673" s="6" t="s">
        <v>4673</v>
      </c>
      <c r="D7673" s="6" t="s">
        <v>47717</v>
      </c>
      <c r="E7673" s="6" t="s">
        <v>47587</v>
      </c>
      <c r="F7673" s="6" t="s">
        <v>81</v>
      </c>
      <c r="G7673" s="6" t="s">
        <v>47718</v>
      </c>
      <c r="H7673" s="7">
        <v>4.0</v>
      </c>
      <c r="I7673" s="7">
        <v>5.0</v>
      </c>
      <c r="J7673" s="7" t="s">
        <v>31</v>
      </c>
      <c r="K7673" s="7" t="s">
        <v>31</v>
      </c>
      <c r="L7673" s="8" t="s">
        <v>47719</v>
      </c>
      <c r="M7673" s="6" t="s">
        <v>31</v>
      </c>
      <c r="N7673" s="6" t="s">
        <v>47720</v>
      </c>
      <c r="O7673" s="8" t="s">
        <v>47721</v>
      </c>
      <c r="P7673" s="6" t="s">
        <v>47722</v>
      </c>
      <c r="Q7673" s="6" t="s">
        <v>47723</v>
      </c>
      <c r="R7673" s="6" t="s">
        <v>47724</v>
      </c>
      <c r="S7673" s="8" t="s">
        <v>47725</v>
      </c>
      <c r="T7673" s="6" t="s">
        <v>249</v>
      </c>
      <c r="U7673" s="8" t="s">
        <v>31</v>
      </c>
      <c r="V7673" s="6" t="s">
        <v>2379</v>
      </c>
      <c r="W7673" s="6" t="s">
        <v>47726</v>
      </c>
      <c r="X7673" s="9" t="str">
        <f>HYPERLINK("https://my.pitchbook.com?p=278225-56P","View People Online")</f>
        <v>View People Online</v>
      </c>
    </row>
    <row r="7674">
      <c r="A7674" s="10" t="s">
        <v>47727</v>
      </c>
      <c r="B7674" s="10" t="s">
        <v>47728</v>
      </c>
      <c r="C7674" s="10" t="s">
        <v>3722</v>
      </c>
      <c r="D7674" s="10" t="s">
        <v>47729</v>
      </c>
      <c r="E7674" s="10" t="s">
        <v>47587</v>
      </c>
      <c r="F7674" s="10" t="s">
        <v>81</v>
      </c>
      <c r="G7674" s="10" t="s">
        <v>47730</v>
      </c>
      <c r="H7674" s="11">
        <v>3.0</v>
      </c>
      <c r="I7674" s="11">
        <v>4.0</v>
      </c>
      <c r="J7674" s="11" t="s">
        <v>31</v>
      </c>
      <c r="K7674" s="11" t="s">
        <v>31</v>
      </c>
      <c r="L7674" s="12" t="s">
        <v>47731</v>
      </c>
      <c r="M7674" s="10" t="s">
        <v>47732</v>
      </c>
      <c r="N7674" s="10" t="s">
        <v>243</v>
      </c>
      <c r="O7674" s="12" t="s">
        <v>244</v>
      </c>
      <c r="P7674" s="10" t="s">
        <v>23552</v>
      </c>
      <c r="Q7674" s="10" t="s">
        <v>47733</v>
      </c>
      <c r="R7674" s="10" t="s">
        <v>247</v>
      </c>
      <c r="S7674" s="12" t="s">
        <v>47734</v>
      </c>
      <c r="T7674" s="10" t="s">
        <v>249</v>
      </c>
      <c r="U7674" s="12" t="s">
        <v>31</v>
      </c>
      <c r="V7674" s="10" t="s">
        <v>2379</v>
      </c>
      <c r="W7674" s="10" t="s">
        <v>47735</v>
      </c>
      <c r="X7674" s="13" t="str">
        <f>HYPERLINK("https://my.pitchbook.com?p=221380-75P","View People Online")</f>
        <v>View People Online</v>
      </c>
    </row>
    <row r="7675">
      <c r="A7675" s="6" t="s">
        <v>47736</v>
      </c>
      <c r="B7675" s="6" t="s">
        <v>47737</v>
      </c>
      <c r="C7675" s="6" t="s">
        <v>4679</v>
      </c>
      <c r="D7675" s="6" t="s">
        <v>1043</v>
      </c>
      <c r="E7675" s="6" t="s">
        <v>47587</v>
      </c>
      <c r="F7675" s="6" t="s">
        <v>81</v>
      </c>
      <c r="G7675" s="6" t="s">
        <v>47738</v>
      </c>
      <c r="H7675" s="7">
        <v>3.0</v>
      </c>
      <c r="I7675" s="7">
        <v>4.0</v>
      </c>
      <c r="J7675" s="7" t="s">
        <v>31</v>
      </c>
      <c r="K7675" s="7" t="s">
        <v>31</v>
      </c>
      <c r="L7675" s="8" t="s">
        <v>31</v>
      </c>
      <c r="M7675" s="6" t="s">
        <v>31</v>
      </c>
      <c r="N7675" s="6" t="s">
        <v>31</v>
      </c>
      <c r="O7675" s="8" t="s">
        <v>31</v>
      </c>
      <c r="P7675" s="6" t="s">
        <v>31</v>
      </c>
      <c r="Q7675" s="6" t="s">
        <v>31</v>
      </c>
      <c r="R7675" s="6" t="s">
        <v>31</v>
      </c>
      <c r="S7675" s="8" t="s">
        <v>31</v>
      </c>
      <c r="T7675" s="6" t="s">
        <v>31</v>
      </c>
      <c r="U7675" s="8" t="s">
        <v>31</v>
      </c>
      <c r="V7675" s="6" t="s">
        <v>2379</v>
      </c>
      <c r="W7675" s="6" t="s">
        <v>47739</v>
      </c>
      <c r="X7675" s="9" t="str">
        <f>HYPERLINK("https://my.pitchbook.com?p=65148-67P","View People Online")</f>
        <v>View People Online</v>
      </c>
    </row>
    <row r="7676">
      <c r="A7676" s="2" t="s">
        <v>47740</v>
      </c>
      <c r="B7676" s="2" t="s">
        <v>47741</v>
      </c>
      <c r="C7676" s="2" t="s">
        <v>4679</v>
      </c>
      <c r="D7676" s="2" t="s">
        <v>47742</v>
      </c>
      <c r="E7676" s="2" t="s">
        <v>47587</v>
      </c>
      <c r="F7676" s="2" t="s">
        <v>674</v>
      </c>
      <c r="G7676" s="2" t="s">
        <v>47743</v>
      </c>
      <c r="H7676" s="3">
        <v>2.0</v>
      </c>
      <c r="I7676" s="3">
        <v>4.0</v>
      </c>
      <c r="J7676" s="3">
        <v>2.0</v>
      </c>
      <c r="K7676" s="3" t="s">
        <v>31</v>
      </c>
      <c r="L7676" s="4" t="s">
        <v>47744</v>
      </c>
      <c r="M7676" s="2" t="s">
        <v>47745</v>
      </c>
      <c r="N7676" s="2" t="s">
        <v>75</v>
      </c>
      <c r="O7676" s="4" t="s">
        <v>76</v>
      </c>
      <c r="P7676" s="2" t="s">
        <v>47591</v>
      </c>
      <c r="Q7676" s="2" t="s">
        <v>31</v>
      </c>
      <c r="R7676" s="2" t="s">
        <v>75</v>
      </c>
      <c r="S7676" s="4" t="s">
        <v>47592</v>
      </c>
      <c r="T7676" s="2" t="s">
        <v>66</v>
      </c>
      <c r="U7676" s="4" t="s">
        <v>31</v>
      </c>
      <c r="V7676" s="2" t="s">
        <v>674</v>
      </c>
      <c r="W7676" s="2" t="s">
        <v>47587</v>
      </c>
      <c r="X7676" s="5" t="str">
        <f>HYPERLINK("https://my.pitchbook.com?p=169770-52P","View People Online")</f>
        <v>View People Online</v>
      </c>
    </row>
    <row r="7677">
      <c r="A7677" s="14" t="s">
        <v>47746</v>
      </c>
      <c r="B7677" s="14" t="s">
        <v>47747</v>
      </c>
      <c r="C7677" s="14" t="s">
        <v>41552</v>
      </c>
      <c r="D7677" s="14" t="s">
        <v>47748</v>
      </c>
      <c r="E7677" s="14" t="s">
        <v>47587</v>
      </c>
      <c r="F7677" s="14" t="s">
        <v>81</v>
      </c>
      <c r="G7677" s="14" t="s">
        <v>47749</v>
      </c>
      <c r="H7677" s="15">
        <v>2.0</v>
      </c>
      <c r="I7677" s="15">
        <v>4.0</v>
      </c>
      <c r="J7677" s="15" t="s">
        <v>31</v>
      </c>
      <c r="K7677" s="15">
        <v>1.0</v>
      </c>
      <c r="L7677" s="16" t="s">
        <v>47750</v>
      </c>
      <c r="M7677" s="14" t="s">
        <v>31</v>
      </c>
      <c r="N7677" s="14" t="s">
        <v>10983</v>
      </c>
      <c r="O7677" s="16" t="s">
        <v>37748</v>
      </c>
      <c r="P7677" s="14" t="s">
        <v>47751</v>
      </c>
      <c r="Q7677" s="14" t="s">
        <v>31</v>
      </c>
      <c r="R7677" s="14" t="s">
        <v>37751</v>
      </c>
      <c r="S7677" s="16" t="s">
        <v>37752</v>
      </c>
      <c r="T7677" s="14" t="s">
        <v>66</v>
      </c>
      <c r="U7677" s="16" t="s">
        <v>31</v>
      </c>
      <c r="V7677" s="14" t="s">
        <v>47752</v>
      </c>
      <c r="W7677" s="14" t="s">
        <v>47753</v>
      </c>
      <c r="X7677" s="17" t="str">
        <f>HYPERLINK("https://my.pitchbook.com?p=77857-12P","View People Online")</f>
        <v>View People Online</v>
      </c>
    </row>
    <row r="7678">
      <c r="A7678" s="2" t="s">
        <v>47754</v>
      </c>
      <c r="B7678" s="2" t="s">
        <v>47755</v>
      </c>
      <c r="C7678" s="2" t="s">
        <v>562</v>
      </c>
      <c r="D7678" s="2" t="s">
        <v>47756</v>
      </c>
      <c r="E7678" s="2" t="s">
        <v>47587</v>
      </c>
      <c r="F7678" s="2" t="s">
        <v>81</v>
      </c>
      <c r="G7678" s="2" t="s">
        <v>47757</v>
      </c>
      <c r="H7678" s="3" t="s">
        <v>31</v>
      </c>
      <c r="I7678" s="3">
        <v>2.0</v>
      </c>
      <c r="J7678" s="3">
        <v>1.0</v>
      </c>
      <c r="K7678" s="3" t="s">
        <v>31</v>
      </c>
      <c r="L7678" s="4" t="s">
        <v>31</v>
      </c>
      <c r="M7678" s="2" t="s">
        <v>31</v>
      </c>
      <c r="N7678" s="2" t="s">
        <v>1181</v>
      </c>
      <c r="O7678" s="4" t="s">
        <v>1182</v>
      </c>
      <c r="P7678" s="2" t="s">
        <v>33795</v>
      </c>
      <c r="Q7678" s="2" t="s">
        <v>31</v>
      </c>
      <c r="R7678" s="2" t="s">
        <v>1185</v>
      </c>
      <c r="S7678" s="4" t="s">
        <v>6739</v>
      </c>
      <c r="T7678" s="2" t="s">
        <v>66</v>
      </c>
      <c r="U7678" s="4" t="s">
        <v>31</v>
      </c>
      <c r="V7678" s="2" t="s">
        <v>29</v>
      </c>
      <c r="W7678" s="2" t="s">
        <v>47758</v>
      </c>
      <c r="X7678" s="5" t="str">
        <f>HYPERLINK("https://my.pitchbook.com?p=148778-29P","View People Online")</f>
        <v>View People Online</v>
      </c>
    </row>
    <row r="7679">
      <c r="A7679" s="6" t="s">
        <v>33997</v>
      </c>
      <c r="B7679" s="6" t="s">
        <v>33998</v>
      </c>
      <c r="C7679" s="6" t="s">
        <v>4717</v>
      </c>
      <c r="D7679" s="6" t="s">
        <v>2561</v>
      </c>
      <c r="E7679" s="6" t="s">
        <v>47587</v>
      </c>
      <c r="F7679" s="6" t="s">
        <v>81</v>
      </c>
      <c r="G7679" s="6" t="s">
        <v>33999</v>
      </c>
      <c r="H7679" s="7">
        <v>1.0</v>
      </c>
      <c r="I7679" s="7">
        <v>8.0</v>
      </c>
      <c r="J7679" s="7">
        <v>2.0</v>
      </c>
      <c r="K7679" s="7">
        <v>3.0</v>
      </c>
      <c r="L7679" s="8" t="s">
        <v>34000</v>
      </c>
      <c r="M7679" s="6" t="s">
        <v>34001</v>
      </c>
      <c r="N7679" s="6" t="s">
        <v>155</v>
      </c>
      <c r="O7679" s="8" t="s">
        <v>156</v>
      </c>
      <c r="P7679" s="6" t="s">
        <v>34002</v>
      </c>
      <c r="Q7679" s="6" t="s">
        <v>31</v>
      </c>
      <c r="R7679" s="6" t="s">
        <v>64</v>
      </c>
      <c r="S7679" s="8" t="s">
        <v>24247</v>
      </c>
      <c r="T7679" s="6" t="s">
        <v>66</v>
      </c>
      <c r="U7679" s="8" t="s">
        <v>31</v>
      </c>
      <c r="V7679" s="6" t="s">
        <v>43</v>
      </c>
      <c r="W7679" s="6" t="s">
        <v>34003</v>
      </c>
      <c r="X7679" s="9" t="str">
        <f>HYPERLINK("https://my.pitchbook.com?p=41439-61P","View People Online")</f>
        <v>View People Online</v>
      </c>
    </row>
    <row r="7680">
      <c r="A7680" s="2" t="s">
        <v>47759</v>
      </c>
      <c r="B7680" s="2" t="s">
        <v>47760</v>
      </c>
      <c r="C7680" s="2" t="s">
        <v>23219</v>
      </c>
      <c r="D7680" s="2" t="s">
        <v>47761</v>
      </c>
      <c r="E7680" s="2" t="s">
        <v>47587</v>
      </c>
      <c r="F7680" s="2" t="s">
        <v>81</v>
      </c>
      <c r="G7680" s="2" t="s">
        <v>47762</v>
      </c>
      <c r="H7680" s="3" t="s">
        <v>31</v>
      </c>
      <c r="I7680" s="3">
        <v>1.0</v>
      </c>
      <c r="J7680" s="3" t="s">
        <v>31</v>
      </c>
      <c r="K7680" s="3" t="s">
        <v>31</v>
      </c>
      <c r="L7680" s="4" t="s">
        <v>47589</v>
      </c>
      <c r="M7680" s="2" t="s">
        <v>47763</v>
      </c>
      <c r="N7680" s="2" t="s">
        <v>75</v>
      </c>
      <c r="O7680" s="4" t="s">
        <v>76</v>
      </c>
      <c r="P7680" s="2" t="s">
        <v>47591</v>
      </c>
      <c r="Q7680" s="2" t="s">
        <v>31</v>
      </c>
      <c r="R7680" s="2" t="s">
        <v>75</v>
      </c>
      <c r="S7680" s="4" t="s">
        <v>47592</v>
      </c>
      <c r="T7680" s="2" t="s">
        <v>66</v>
      </c>
      <c r="U7680" s="4" t="s">
        <v>31</v>
      </c>
      <c r="V7680" s="2" t="s">
        <v>302</v>
      </c>
      <c r="W7680" s="2" t="s">
        <v>47587</v>
      </c>
      <c r="X7680" s="5" t="str">
        <f>HYPERLINK("https://my.pitchbook.com?p=375802-57P","View People Online")</f>
        <v>View People Online</v>
      </c>
    </row>
    <row r="7681">
      <c r="A7681" s="6" t="s">
        <v>47764</v>
      </c>
      <c r="B7681" s="6" t="s">
        <v>47765</v>
      </c>
      <c r="C7681" s="6" t="s">
        <v>649</v>
      </c>
      <c r="D7681" s="6" t="s">
        <v>47766</v>
      </c>
      <c r="E7681" s="6" t="s">
        <v>47767</v>
      </c>
      <c r="F7681" s="6" t="s">
        <v>201</v>
      </c>
      <c r="G7681" s="6" t="s">
        <v>47768</v>
      </c>
      <c r="H7681" s="7" t="s">
        <v>31</v>
      </c>
      <c r="I7681" s="7">
        <v>1.0</v>
      </c>
      <c r="J7681" s="7">
        <v>1.0</v>
      </c>
      <c r="K7681" s="7" t="s">
        <v>31</v>
      </c>
      <c r="L7681" s="8" t="s">
        <v>31</v>
      </c>
      <c r="M7681" s="6" t="s">
        <v>47769</v>
      </c>
      <c r="N7681" s="6" t="s">
        <v>4232</v>
      </c>
      <c r="O7681" s="8" t="s">
        <v>4233</v>
      </c>
      <c r="P7681" s="6" t="s">
        <v>47770</v>
      </c>
      <c r="Q7681" s="6" t="s">
        <v>47771</v>
      </c>
      <c r="R7681" s="6" t="s">
        <v>4236</v>
      </c>
      <c r="S7681" s="8" t="s">
        <v>47772</v>
      </c>
      <c r="T7681" s="6" t="s">
        <v>66</v>
      </c>
      <c r="U7681" s="8" t="s">
        <v>31</v>
      </c>
      <c r="V7681" s="6" t="s">
        <v>201</v>
      </c>
      <c r="W7681" s="6" t="s">
        <v>47767</v>
      </c>
      <c r="X7681" s="9" t="str">
        <f>HYPERLINK("https://my.pitchbook.com?p=396148-69P","View People Online")</f>
        <v>View People Online</v>
      </c>
    </row>
    <row r="7682">
      <c r="A7682" s="10" t="s">
        <v>47773</v>
      </c>
      <c r="B7682" s="10" t="s">
        <v>47774</v>
      </c>
      <c r="C7682" s="10" t="s">
        <v>47775</v>
      </c>
      <c r="D7682" s="10" t="s">
        <v>3458</v>
      </c>
      <c r="E7682" s="10" t="s">
        <v>47767</v>
      </c>
      <c r="F7682" s="10" t="s">
        <v>201</v>
      </c>
      <c r="G7682" s="10" t="s">
        <v>47776</v>
      </c>
      <c r="H7682" s="11" t="s">
        <v>31</v>
      </c>
      <c r="I7682" s="11">
        <v>1.0</v>
      </c>
      <c r="J7682" s="11">
        <v>1.0</v>
      </c>
      <c r="K7682" s="11" t="s">
        <v>31</v>
      </c>
      <c r="L7682" s="12" t="s">
        <v>31</v>
      </c>
      <c r="M7682" s="10" t="s">
        <v>47777</v>
      </c>
      <c r="N7682" s="10" t="s">
        <v>4232</v>
      </c>
      <c r="O7682" s="12" t="s">
        <v>4233</v>
      </c>
      <c r="P7682" s="10" t="s">
        <v>47770</v>
      </c>
      <c r="Q7682" s="10" t="s">
        <v>47771</v>
      </c>
      <c r="R7682" s="10" t="s">
        <v>4236</v>
      </c>
      <c r="S7682" s="12" t="s">
        <v>47772</v>
      </c>
      <c r="T7682" s="10" t="s">
        <v>66</v>
      </c>
      <c r="U7682" s="12" t="s">
        <v>31</v>
      </c>
      <c r="V7682" s="10" t="s">
        <v>201</v>
      </c>
      <c r="W7682" s="10" t="s">
        <v>47767</v>
      </c>
      <c r="X7682" s="13" t="str">
        <f>HYPERLINK("https://my.pitchbook.com?p=442168-84P","View People Online")</f>
        <v>View People Online</v>
      </c>
    </row>
    <row r="7683">
      <c r="A7683" s="6" t="s">
        <v>47778</v>
      </c>
      <c r="B7683" s="6" t="s">
        <v>47779</v>
      </c>
      <c r="C7683" s="6" t="s">
        <v>10936</v>
      </c>
      <c r="D7683" s="6" t="s">
        <v>17289</v>
      </c>
      <c r="E7683" s="6" t="s">
        <v>47767</v>
      </c>
      <c r="F7683" s="6" t="s">
        <v>825</v>
      </c>
      <c r="G7683" s="6" t="s">
        <v>47780</v>
      </c>
      <c r="H7683" s="7" t="s">
        <v>31</v>
      </c>
      <c r="I7683" s="7">
        <v>3.0</v>
      </c>
      <c r="J7683" s="7">
        <v>1.0</v>
      </c>
      <c r="K7683" s="7">
        <v>2.0</v>
      </c>
      <c r="L7683" s="8" t="s">
        <v>31</v>
      </c>
      <c r="M7683" s="6" t="s">
        <v>47781</v>
      </c>
      <c r="N7683" s="6" t="s">
        <v>4232</v>
      </c>
      <c r="O7683" s="8" t="s">
        <v>4233</v>
      </c>
      <c r="P7683" s="6" t="s">
        <v>47770</v>
      </c>
      <c r="Q7683" s="6" t="s">
        <v>47771</v>
      </c>
      <c r="R7683" s="6" t="s">
        <v>4236</v>
      </c>
      <c r="S7683" s="8" t="s">
        <v>47772</v>
      </c>
      <c r="T7683" s="6" t="s">
        <v>66</v>
      </c>
      <c r="U7683" s="8" t="s">
        <v>31</v>
      </c>
      <c r="V7683" s="6" t="s">
        <v>8145</v>
      </c>
      <c r="W7683" s="6" t="s">
        <v>47767</v>
      </c>
      <c r="X7683" s="9" t="str">
        <f>HYPERLINK("https://my.pitchbook.com?p=317793-16P","View People Online")</f>
        <v>View People Online</v>
      </c>
    </row>
    <row r="7684">
      <c r="A7684" s="2" t="s">
        <v>47782</v>
      </c>
      <c r="B7684" s="2" t="s">
        <v>47783</v>
      </c>
      <c r="C7684" s="2" t="s">
        <v>23683</v>
      </c>
      <c r="D7684" s="2" t="s">
        <v>33196</v>
      </c>
      <c r="E7684" s="2" t="s">
        <v>47767</v>
      </c>
      <c r="F7684" s="2" t="s">
        <v>674</v>
      </c>
      <c r="G7684" s="2" t="s">
        <v>47784</v>
      </c>
      <c r="H7684" s="3">
        <v>5.0</v>
      </c>
      <c r="I7684" s="3">
        <v>161.0</v>
      </c>
      <c r="J7684" s="3">
        <v>1.0</v>
      </c>
      <c r="K7684" s="3">
        <v>147.0</v>
      </c>
      <c r="L7684" s="4" t="s">
        <v>31</v>
      </c>
      <c r="M7684" s="2" t="s">
        <v>47785</v>
      </c>
      <c r="N7684" s="2" t="s">
        <v>4232</v>
      </c>
      <c r="O7684" s="4" t="s">
        <v>4233</v>
      </c>
      <c r="P7684" s="2" t="s">
        <v>47770</v>
      </c>
      <c r="Q7684" s="2" t="s">
        <v>47771</v>
      </c>
      <c r="R7684" s="2" t="s">
        <v>4236</v>
      </c>
      <c r="S7684" s="4" t="s">
        <v>47772</v>
      </c>
      <c r="T7684" s="2" t="s">
        <v>66</v>
      </c>
      <c r="U7684" s="4" t="s">
        <v>31</v>
      </c>
      <c r="V7684" s="2" t="s">
        <v>674</v>
      </c>
      <c r="W7684" s="2" t="s">
        <v>47767</v>
      </c>
      <c r="X7684" s="5" t="str">
        <f>HYPERLINK("https://my.pitchbook.com?p=69268-96P","View People Online")</f>
        <v>View People Online</v>
      </c>
    </row>
    <row r="7685">
      <c r="A7685" s="6" t="s">
        <v>47786</v>
      </c>
      <c r="B7685" s="6" t="s">
        <v>47787</v>
      </c>
      <c r="C7685" s="6" t="s">
        <v>1449</v>
      </c>
      <c r="D7685" s="6" t="s">
        <v>33940</v>
      </c>
      <c r="E7685" s="6" t="s">
        <v>47767</v>
      </c>
      <c r="F7685" s="6" t="s">
        <v>916</v>
      </c>
      <c r="G7685" s="6" t="s">
        <v>47788</v>
      </c>
      <c r="H7685" s="7" t="s">
        <v>31</v>
      </c>
      <c r="I7685" s="7">
        <v>2.0</v>
      </c>
      <c r="J7685" s="7">
        <v>2.0</v>
      </c>
      <c r="K7685" s="7" t="s">
        <v>31</v>
      </c>
      <c r="L7685" s="8" t="s">
        <v>47789</v>
      </c>
      <c r="M7685" s="6" t="s">
        <v>47790</v>
      </c>
      <c r="N7685" s="6" t="s">
        <v>6692</v>
      </c>
      <c r="O7685" s="8" t="s">
        <v>6693</v>
      </c>
      <c r="P7685" s="6" t="s">
        <v>47791</v>
      </c>
      <c r="Q7685" s="6" t="s">
        <v>47792</v>
      </c>
      <c r="R7685" s="6" t="s">
        <v>64</v>
      </c>
      <c r="S7685" s="8" t="s">
        <v>47793</v>
      </c>
      <c r="T7685" s="6" t="s">
        <v>66</v>
      </c>
      <c r="U7685" s="8" t="s">
        <v>31</v>
      </c>
      <c r="V7685" s="6" t="s">
        <v>991</v>
      </c>
      <c r="W7685" s="6" t="s">
        <v>47794</v>
      </c>
      <c r="X7685" s="9" t="str">
        <f>HYPERLINK("https://my.pitchbook.com?p=104740-48P","View People Online")</f>
        <v>View People Online</v>
      </c>
    </row>
    <row r="7686">
      <c r="A7686" s="2" t="s">
        <v>47795</v>
      </c>
      <c r="B7686" s="2" t="s">
        <v>47796</v>
      </c>
      <c r="C7686" s="2" t="s">
        <v>3788</v>
      </c>
      <c r="D7686" s="2" t="s">
        <v>47797</v>
      </c>
      <c r="E7686" s="2" t="s">
        <v>47767</v>
      </c>
      <c r="F7686" s="2" t="s">
        <v>318</v>
      </c>
      <c r="G7686" s="2" t="s">
        <v>47798</v>
      </c>
      <c r="H7686" s="3" t="s">
        <v>31</v>
      </c>
      <c r="I7686" s="3">
        <v>1.0</v>
      </c>
      <c r="J7686" s="3">
        <v>1.0</v>
      </c>
      <c r="K7686" s="3" t="s">
        <v>31</v>
      </c>
      <c r="L7686" s="4" t="s">
        <v>31</v>
      </c>
      <c r="M7686" s="2" t="s">
        <v>47799</v>
      </c>
      <c r="N7686" s="2" t="s">
        <v>4232</v>
      </c>
      <c r="O7686" s="4" t="s">
        <v>4233</v>
      </c>
      <c r="P7686" s="2" t="s">
        <v>47770</v>
      </c>
      <c r="Q7686" s="2" t="s">
        <v>47771</v>
      </c>
      <c r="R7686" s="2" t="s">
        <v>4236</v>
      </c>
      <c r="S7686" s="4" t="s">
        <v>47772</v>
      </c>
      <c r="T7686" s="2" t="s">
        <v>66</v>
      </c>
      <c r="U7686" s="4" t="s">
        <v>31</v>
      </c>
      <c r="V7686" s="2" t="s">
        <v>318</v>
      </c>
      <c r="W7686" s="2" t="s">
        <v>47767</v>
      </c>
      <c r="X7686" s="5" t="str">
        <f>HYPERLINK("https://my.pitchbook.com?p=311695-75P","View People Online")</f>
        <v>View People Online</v>
      </c>
    </row>
    <row r="7687">
      <c r="A7687" s="14" t="s">
        <v>47800</v>
      </c>
      <c r="B7687" s="14" t="s">
        <v>47801</v>
      </c>
      <c r="C7687" s="14" t="s">
        <v>5985</v>
      </c>
      <c r="D7687" s="14" t="s">
        <v>47802</v>
      </c>
      <c r="E7687" s="14" t="s">
        <v>47767</v>
      </c>
      <c r="F7687" s="14" t="s">
        <v>916</v>
      </c>
      <c r="G7687" s="14" t="s">
        <v>47803</v>
      </c>
      <c r="H7687" s="15" t="s">
        <v>31</v>
      </c>
      <c r="I7687" s="15">
        <v>1.0</v>
      </c>
      <c r="J7687" s="15">
        <v>1.0</v>
      </c>
      <c r="K7687" s="15" t="s">
        <v>31</v>
      </c>
      <c r="L7687" s="16" t="s">
        <v>31</v>
      </c>
      <c r="M7687" s="14" t="s">
        <v>31</v>
      </c>
      <c r="N7687" s="14" t="s">
        <v>4232</v>
      </c>
      <c r="O7687" s="16" t="s">
        <v>4233</v>
      </c>
      <c r="P7687" s="14" t="s">
        <v>47770</v>
      </c>
      <c r="Q7687" s="14" t="s">
        <v>47771</v>
      </c>
      <c r="R7687" s="14" t="s">
        <v>4236</v>
      </c>
      <c r="S7687" s="16" t="s">
        <v>47772</v>
      </c>
      <c r="T7687" s="14" t="s">
        <v>66</v>
      </c>
      <c r="U7687" s="16" t="s">
        <v>31</v>
      </c>
      <c r="V7687" s="14" t="s">
        <v>916</v>
      </c>
      <c r="W7687" s="14" t="s">
        <v>47767</v>
      </c>
      <c r="X7687" s="17" t="str">
        <f>HYPERLINK("https://my.pitchbook.com?p=442169-29P","View People Online")</f>
        <v>View People Online</v>
      </c>
    </row>
    <row r="7688">
      <c r="A7688" s="2" t="s">
        <v>47804</v>
      </c>
      <c r="B7688" s="2" t="s">
        <v>47805</v>
      </c>
      <c r="C7688" s="2" t="s">
        <v>39403</v>
      </c>
      <c r="D7688" s="2" t="s">
        <v>47806</v>
      </c>
      <c r="E7688" s="2" t="s">
        <v>47767</v>
      </c>
      <c r="F7688" s="2" t="s">
        <v>270</v>
      </c>
      <c r="G7688" s="2" t="s">
        <v>47807</v>
      </c>
      <c r="H7688" s="3" t="s">
        <v>31</v>
      </c>
      <c r="I7688" s="3">
        <v>1.0</v>
      </c>
      <c r="J7688" s="3">
        <v>1.0</v>
      </c>
      <c r="K7688" s="3" t="s">
        <v>31</v>
      </c>
      <c r="L7688" s="4" t="s">
        <v>31</v>
      </c>
      <c r="M7688" s="2" t="s">
        <v>47808</v>
      </c>
      <c r="N7688" s="2" t="s">
        <v>4232</v>
      </c>
      <c r="O7688" s="4" t="s">
        <v>4233</v>
      </c>
      <c r="P7688" s="2" t="s">
        <v>47770</v>
      </c>
      <c r="Q7688" s="2" t="s">
        <v>47771</v>
      </c>
      <c r="R7688" s="2" t="s">
        <v>4236</v>
      </c>
      <c r="S7688" s="4" t="s">
        <v>47772</v>
      </c>
      <c r="T7688" s="2" t="s">
        <v>66</v>
      </c>
      <c r="U7688" s="4" t="s">
        <v>31</v>
      </c>
      <c r="V7688" s="2" t="s">
        <v>270</v>
      </c>
      <c r="W7688" s="2" t="s">
        <v>47767</v>
      </c>
      <c r="X7688" s="5" t="str">
        <f>HYPERLINK("https://my.pitchbook.com?p=311684-50P","View People Online")</f>
        <v>View People Online</v>
      </c>
    </row>
    <row r="7689">
      <c r="A7689" s="14" t="s">
        <v>47809</v>
      </c>
      <c r="B7689" s="14" t="s">
        <v>47810</v>
      </c>
      <c r="C7689" s="14" t="s">
        <v>5186</v>
      </c>
      <c r="D7689" s="14" t="s">
        <v>47811</v>
      </c>
      <c r="E7689" s="14" t="s">
        <v>47767</v>
      </c>
      <c r="F7689" s="14" t="s">
        <v>916</v>
      </c>
      <c r="G7689" s="14" t="s">
        <v>47812</v>
      </c>
      <c r="H7689" s="15">
        <v>1.0</v>
      </c>
      <c r="I7689" s="15">
        <v>2.0</v>
      </c>
      <c r="J7689" s="15">
        <v>1.0</v>
      </c>
      <c r="K7689" s="15" t="s">
        <v>31</v>
      </c>
      <c r="L7689" s="16" t="s">
        <v>31</v>
      </c>
      <c r="M7689" s="14" t="s">
        <v>47813</v>
      </c>
      <c r="N7689" s="14" t="s">
        <v>4232</v>
      </c>
      <c r="O7689" s="16" t="s">
        <v>4233</v>
      </c>
      <c r="P7689" s="14" t="s">
        <v>47770</v>
      </c>
      <c r="Q7689" s="14" t="s">
        <v>47771</v>
      </c>
      <c r="R7689" s="14" t="s">
        <v>4236</v>
      </c>
      <c r="S7689" s="16" t="s">
        <v>47772</v>
      </c>
      <c r="T7689" s="14" t="s">
        <v>66</v>
      </c>
      <c r="U7689" s="16" t="s">
        <v>31</v>
      </c>
      <c r="V7689" s="14" t="s">
        <v>916</v>
      </c>
      <c r="W7689" s="14" t="s">
        <v>47767</v>
      </c>
      <c r="X7689" s="17" t="str">
        <f>HYPERLINK("https://my.pitchbook.com?p=138089-44P","View People Online")</f>
        <v>View People Online</v>
      </c>
    </row>
    <row r="7690">
      <c r="A7690" s="10" t="s">
        <v>47814</v>
      </c>
      <c r="B7690" s="10" t="s">
        <v>47815</v>
      </c>
      <c r="C7690" s="10" t="s">
        <v>47816</v>
      </c>
      <c r="D7690" s="10" t="s">
        <v>42733</v>
      </c>
      <c r="E7690" s="10" t="s">
        <v>47767</v>
      </c>
      <c r="F7690" s="10" t="s">
        <v>29</v>
      </c>
      <c r="G7690" s="10" t="s">
        <v>47817</v>
      </c>
      <c r="H7690" s="11">
        <v>2.0</v>
      </c>
      <c r="I7690" s="11">
        <v>25.0</v>
      </c>
      <c r="J7690" s="11">
        <v>1.0</v>
      </c>
      <c r="K7690" s="11">
        <v>15.0</v>
      </c>
      <c r="L7690" s="12" t="s">
        <v>31</v>
      </c>
      <c r="M7690" s="10" t="s">
        <v>47818</v>
      </c>
      <c r="N7690" s="10" t="s">
        <v>4232</v>
      </c>
      <c r="O7690" s="12" t="s">
        <v>4233</v>
      </c>
      <c r="P7690" s="10" t="s">
        <v>47770</v>
      </c>
      <c r="Q7690" s="10" t="s">
        <v>47771</v>
      </c>
      <c r="R7690" s="10" t="s">
        <v>4236</v>
      </c>
      <c r="S7690" s="12" t="s">
        <v>47772</v>
      </c>
      <c r="T7690" s="10" t="s">
        <v>66</v>
      </c>
      <c r="U7690" s="12" t="s">
        <v>31</v>
      </c>
      <c r="V7690" s="10" t="s">
        <v>29</v>
      </c>
      <c r="W7690" s="10" t="s">
        <v>47767</v>
      </c>
      <c r="X7690" s="13" t="str">
        <f>HYPERLINK("https://my.pitchbook.com?p=13092-04P","View People Online")</f>
        <v>View People Online</v>
      </c>
    </row>
    <row r="7691">
      <c r="A7691" s="14" t="s">
        <v>47819</v>
      </c>
      <c r="B7691" s="14" t="s">
        <v>47820</v>
      </c>
      <c r="C7691" s="14" t="s">
        <v>160</v>
      </c>
      <c r="D7691" s="14" t="s">
        <v>4255</v>
      </c>
      <c r="E7691" s="14" t="s">
        <v>47767</v>
      </c>
      <c r="F7691" s="14" t="s">
        <v>201</v>
      </c>
      <c r="G7691" s="14" t="s">
        <v>47821</v>
      </c>
      <c r="H7691" s="15" t="s">
        <v>31</v>
      </c>
      <c r="I7691" s="15">
        <v>1.0</v>
      </c>
      <c r="J7691" s="15">
        <v>1.0</v>
      </c>
      <c r="K7691" s="15" t="s">
        <v>31</v>
      </c>
      <c r="L7691" s="16" t="s">
        <v>31</v>
      </c>
      <c r="M7691" s="14" t="s">
        <v>47822</v>
      </c>
      <c r="N7691" s="14" t="s">
        <v>4232</v>
      </c>
      <c r="O7691" s="16" t="s">
        <v>4233</v>
      </c>
      <c r="P7691" s="14" t="s">
        <v>47770</v>
      </c>
      <c r="Q7691" s="14" t="s">
        <v>47771</v>
      </c>
      <c r="R7691" s="14" t="s">
        <v>4236</v>
      </c>
      <c r="S7691" s="16" t="s">
        <v>47772</v>
      </c>
      <c r="T7691" s="14" t="s">
        <v>66</v>
      </c>
      <c r="U7691" s="16" t="s">
        <v>31</v>
      </c>
      <c r="V7691" s="14" t="s">
        <v>201</v>
      </c>
      <c r="W7691" s="14" t="s">
        <v>47767</v>
      </c>
      <c r="X7691" s="17" t="str">
        <f>HYPERLINK("https://my.pitchbook.com?p=357632-56P","View People Online")</f>
        <v>View People Online</v>
      </c>
    </row>
    <row r="7692">
      <c r="A7692" s="10" t="s">
        <v>47823</v>
      </c>
      <c r="B7692" s="10" t="s">
        <v>47824</v>
      </c>
      <c r="C7692" s="10" t="s">
        <v>3875</v>
      </c>
      <c r="D7692" s="10" t="s">
        <v>4693</v>
      </c>
      <c r="E7692" s="10" t="s">
        <v>47767</v>
      </c>
      <c r="F7692" s="10" t="s">
        <v>221</v>
      </c>
      <c r="G7692" s="10" t="s">
        <v>47825</v>
      </c>
      <c r="H7692" s="11" t="s">
        <v>31</v>
      </c>
      <c r="I7692" s="11">
        <v>1.0</v>
      </c>
      <c r="J7692" s="11">
        <v>1.0</v>
      </c>
      <c r="K7692" s="11" t="s">
        <v>31</v>
      </c>
      <c r="L7692" s="12" t="s">
        <v>47826</v>
      </c>
      <c r="M7692" s="10" t="s">
        <v>47827</v>
      </c>
      <c r="N7692" s="10" t="s">
        <v>4232</v>
      </c>
      <c r="O7692" s="12" t="s">
        <v>4233</v>
      </c>
      <c r="P7692" s="10" t="s">
        <v>47770</v>
      </c>
      <c r="Q7692" s="10" t="s">
        <v>47771</v>
      </c>
      <c r="R7692" s="10" t="s">
        <v>4236</v>
      </c>
      <c r="S7692" s="12" t="s">
        <v>47772</v>
      </c>
      <c r="T7692" s="10" t="s">
        <v>66</v>
      </c>
      <c r="U7692" s="12" t="s">
        <v>31</v>
      </c>
      <c r="V7692" s="10" t="s">
        <v>47828</v>
      </c>
      <c r="W7692" s="10" t="s">
        <v>47767</v>
      </c>
      <c r="X7692" s="13" t="str">
        <f>HYPERLINK("https://my.pitchbook.com?p=422476-39P","View People Online")</f>
        <v>View People Online</v>
      </c>
    </row>
    <row r="7693">
      <c r="A7693" s="14" t="s">
        <v>47829</v>
      </c>
      <c r="B7693" s="14" t="s">
        <v>47830</v>
      </c>
      <c r="C7693" s="14" t="s">
        <v>180</v>
      </c>
      <c r="D7693" s="14" t="s">
        <v>47831</v>
      </c>
      <c r="E7693" s="14" t="s">
        <v>47767</v>
      </c>
      <c r="F7693" s="14" t="s">
        <v>120</v>
      </c>
      <c r="G7693" s="14" t="s">
        <v>47832</v>
      </c>
      <c r="H7693" s="15" t="s">
        <v>31</v>
      </c>
      <c r="I7693" s="15">
        <v>1.0</v>
      </c>
      <c r="J7693" s="15">
        <v>1.0</v>
      </c>
      <c r="K7693" s="15" t="s">
        <v>31</v>
      </c>
      <c r="L7693" s="16" t="s">
        <v>31</v>
      </c>
      <c r="M7693" s="14" t="s">
        <v>47833</v>
      </c>
      <c r="N7693" s="14" t="s">
        <v>4232</v>
      </c>
      <c r="O7693" s="16" t="s">
        <v>4233</v>
      </c>
      <c r="P7693" s="14" t="s">
        <v>47770</v>
      </c>
      <c r="Q7693" s="14" t="s">
        <v>47771</v>
      </c>
      <c r="R7693" s="14" t="s">
        <v>4236</v>
      </c>
      <c r="S7693" s="16" t="s">
        <v>47772</v>
      </c>
      <c r="T7693" s="14" t="s">
        <v>66</v>
      </c>
      <c r="U7693" s="16" t="s">
        <v>31</v>
      </c>
      <c r="V7693" s="14" t="s">
        <v>120</v>
      </c>
      <c r="W7693" s="14" t="s">
        <v>47767</v>
      </c>
      <c r="X7693" s="17" t="str">
        <f>HYPERLINK("https://my.pitchbook.com?p=238936-96P","View People Online")</f>
        <v>View People Online</v>
      </c>
    </row>
    <row r="7694">
      <c r="A7694" s="10" t="s">
        <v>47834</v>
      </c>
      <c r="B7694" s="10" t="s">
        <v>47835</v>
      </c>
      <c r="C7694" s="10" t="s">
        <v>2451</v>
      </c>
      <c r="D7694" s="10" t="s">
        <v>47836</v>
      </c>
      <c r="E7694" s="10" t="s">
        <v>47767</v>
      </c>
      <c r="F7694" s="10" t="s">
        <v>1283</v>
      </c>
      <c r="G7694" s="10" t="s">
        <v>47837</v>
      </c>
      <c r="H7694" s="11" t="s">
        <v>31</v>
      </c>
      <c r="I7694" s="11">
        <v>4.0</v>
      </c>
      <c r="J7694" s="11">
        <v>1.0</v>
      </c>
      <c r="K7694" s="11">
        <v>2.0</v>
      </c>
      <c r="L7694" s="12" t="s">
        <v>31</v>
      </c>
      <c r="M7694" s="10" t="s">
        <v>47838</v>
      </c>
      <c r="N7694" s="10" t="s">
        <v>4232</v>
      </c>
      <c r="O7694" s="12" t="s">
        <v>4233</v>
      </c>
      <c r="P7694" s="10" t="s">
        <v>47770</v>
      </c>
      <c r="Q7694" s="10" t="s">
        <v>47771</v>
      </c>
      <c r="R7694" s="10" t="s">
        <v>4236</v>
      </c>
      <c r="S7694" s="12" t="s">
        <v>47772</v>
      </c>
      <c r="T7694" s="10" t="s">
        <v>66</v>
      </c>
      <c r="U7694" s="12" t="s">
        <v>31</v>
      </c>
      <c r="V7694" s="10" t="s">
        <v>1283</v>
      </c>
      <c r="W7694" s="10" t="s">
        <v>47767</v>
      </c>
      <c r="X7694" s="13" t="str">
        <f>HYPERLINK("https://my.pitchbook.com?p=211861-45P","View People Online")</f>
        <v>View People Online</v>
      </c>
    </row>
    <row r="7695">
      <c r="A7695" s="6" t="s">
        <v>47839</v>
      </c>
      <c r="B7695" s="6" t="s">
        <v>47840</v>
      </c>
      <c r="C7695" s="6" t="s">
        <v>7666</v>
      </c>
      <c r="D7695" s="6" t="s">
        <v>784</v>
      </c>
      <c r="E7695" s="6" t="s">
        <v>47767</v>
      </c>
      <c r="F7695" s="6" t="s">
        <v>201</v>
      </c>
      <c r="G7695" s="6" t="s">
        <v>47841</v>
      </c>
      <c r="H7695" s="7" t="s">
        <v>31</v>
      </c>
      <c r="I7695" s="7">
        <v>1.0</v>
      </c>
      <c r="J7695" s="7">
        <v>1.0</v>
      </c>
      <c r="K7695" s="7" t="s">
        <v>31</v>
      </c>
      <c r="L7695" s="8" t="s">
        <v>31</v>
      </c>
      <c r="M7695" s="6" t="s">
        <v>47842</v>
      </c>
      <c r="N7695" s="6" t="s">
        <v>4232</v>
      </c>
      <c r="O7695" s="8" t="s">
        <v>4233</v>
      </c>
      <c r="P7695" s="6" t="s">
        <v>47770</v>
      </c>
      <c r="Q7695" s="6" t="s">
        <v>47771</v>
      </c>
      <c r="R7695" s="6" t="s">
        <v>4236</v>
      </c>
      <c r="S7695" s="8" t="s">
        <v>47772</v>
      </c>
      <c r="T7695" s="6" t="s">
        <v>66</v>
      </c>
      <c r="U7695" s="8" t="s">
        <v>31</v>
      </c>
      <c r="V7695" s="6" t="s">
        <v>201</v>
      </c>
      <c r="W7695" s="6" t="s">
        <v>47767</v>
      </c>
      <c r="X7695" s="9" t="str">
        <f>HYPERLINK("https://my.pitchbook.com?p=317793-52P","View People Online")</f>
        <v>View People Online</v>
      </c>
    </row>
    <row r="7696">
      <c r="A7696" s="2" t="s">
        <v>47843</v>
      </c>
      <c r="B7696" s="2" t="s">
        <v>47844</v>
      </c>
      <c r="C7696" s="2" t="s">
        <v>47845</v>
      </c>
      <c r="D7696" s="2" t="s">
        <v>27533</v>
      </c>
      <c r="E7696" s="2" t="s">
        <v>47767</v>
      </c>
      <c r="F7696" s="2" t="s">
        <v>2652</v>
      </c>
      <c r="G7696" s="2" t="s">
        <v>47846</v>
      </c>
      <c r="H7696" s="3" t="s">
        <v>31</v>
      </c>
      <c r="I7696" s="3">
        <v>1.0</v>
      </c>
      <c r="J7696" s="3">
        <v>1.0</v>
      </c>
      <c r="K7696" s="3" t="s">
        <v>31</v>
      </c>
      <c r="L7696" s="4" t="s">
        <v>31</v>
      </c>
      <c r="M7696" s="2" t="s">
        <v>47847</v>
      </c>
      <c r="N7696" s="2" t="s">
        <v>4232</v>
      </c>
      <c r="O7696" s="4" t="s">
        <v>4233</v>
      </c>
      <c r="P7696" s="2" t="s">
        <v>47770</v>
      </c>
      <c r="Q7696" s="2" t="s">
        <v>47771</v>
      </c>
      <c r="R7696" s="2" t="s">
        <v>4236</v>
      </c>
      <c r="S7696" s="4" t="s">
        <v>47772</v>
      </c>
      <c r="T7696" s="2" t="s">
        <v>66</v>
      </c>
      <c r="U7696" s="4" t="s">
        <v>31</v>
      </c>
      <c r="V7696" s="2" t="s">
        <v>47848</v>
      </c>
      <c r="W7696" s="2" t="s">
        <v>47767</v>
      </c>
      <c r="X7696" s="5" t="str">
        <f>HYPERLINK("https://my.pitchbook.com?p=366798-16P","View People Online")</f>
        <v>View People Online</v>
      </c>
    </row>
    <row r="7697">
      <c r="A7697" s="14" t="s">
        <v>47849</v>
      </c>
      <c r="B7697" s="14" t="s">
        <v>47850</v>
      </c>
      <c r="C7697" s="14" t="s">
        <v>47851</v>
      </c>
      <c r="D7697" s="14" t="s">
        <v>47852</v>
      </c>
      <c r="E7697" s="14" t="s">
        <v>47853</v>
      </c>
      <c r="F7697" s="14" t="s">
        <v>26897</v>
      </c>
      <c r="G7697" s="14" t="s">
        <v>47854</v>
      </c>
      <c r="H7697" s="15" t="s">
        <v>31</v>
      </c>
      <c r="I7697" s="15">
        <v>1.0</v>
      </c>
      <c r="J7697" s="15">
        <v>1.0</v>
      </c>
      <c r="K7697" s="15" t="s">
        <v>31</v>
      </c>
      <c r="L7697" s="16" t="s">
        <v>47855</v>
      </c>
      <c r="M7697" s="14" t="s">
        <v>47856</v>
      </c>
      <c r="N7697" s="14" t="s">
        <v>16551</v>
      </c>
      <c r="O7697" s="16" t="s">
        <v>16552</v>
      </c>
      <c r="P7697" s="14" t="s">
        <v>47857</v>
      </c>
      <c r="Q7697" s="14" t="s">
        <v>31</v>
      </c>
      <c r="R7697" s="14" t="s">
        <v>31</v>
      </c>
      <c r="S7697" s="16" t="s">
        <v>47858</v>
      </c>
      <c r="T7697" s="14" t="s">
        <v>16556</v>
      </c>
      <c r="U7697" s="16" t="s">
        <v>31</v>
      </c>
      <c r="V7697" s="14" t="s">
        <v>26897</v>
      </c>
      <c r="W7697" s="14" t="s">
        <v>47853</v>
      </c>
      <c r="X7697" s="17" t="str">
        <f>HYPERLINK("https://my.pitchbook.com?p=344088-64P","View People Online")</f>
        <v>View People Online</v>
      </c>
    </row>
    <row r="7698">
      <c r="A7698" s="2" t="s">
        <v>47859</v>
      </c>
      <c r="B7698" s="2" t="s">
        <v>47860</v>
      </c>
      <c r="C7698" s="2" t="s">
        <v>19036</v>
      </c>
      <c r="D7698" s="2" t="s">
        <v>47861</v>
      </c>
      <c r="E7698" s="2" t="s">
        <v>47853</v>
      </c>
      <c r="F7698" s="2" t="s">
        <v>25083</v>
      </c>
      <c r="G7698" s="2" t="s">
        <v>47862</v>
      </c>
      <c r="H7698" s="3" t="s">
        <v>31</v>
      </c>
      <c r="I7698" s="3">
        <v>2.0</v>
      </c>
      <c r="J7698" s="3">
        <v>1.0</v>
      </c>
      <c r="K7698" s="3">
        <v>1.0</v>
      </c>
      <c r="L7698" s="4" t="s">
        <v>31</v>
      </c>
      <c r="M7698" s="2" t="s">
        <v>47863</v>
      </c>
      <c r="N7698" s="2" t="s">
        <v>16551</v>
      </c>
      <c r="O7698" s="4" t="s">
        <v>16552</v>
      </c>
      <c r="P7698" s="2" t="s">
        <v>47857</v>
      </c>
      <c r="Q7698" s="2" t="s">
        <v>31</v>
      </c>
      <c r="R7698" s="2" t="s">
        <v>31</v>
      </c>
      <c r="S7698" s="4" t="s">
        <v>47858</v>
      </c>
      <c r="T7698" s="2" t="s">
        <v>16556</v>
      </c>
      <c r="U7698" s="4" t="s">
        <v>31</v>
      </c>
      <c r="V7698" s="2" t="s">
        <v>47864</v>
      </c>
      <c r="W7698" s="2" t="s">
        <v>47853</v>
      </c>
      <c r="X7698" s="5" t="str">
        <f>HYPERLINK("https://my.pitchbook.com?p=230930-02P","View People Online")</f>
        <v>View People Online</v>
      </c>
    </row>
    <row r="7699">
      <c r="A7699" s="14" t="s">
        <v>47865</v>
      </c>
      <c r="B7699" s="14" t="s">
        <v>47866</v>
      </c>
      <c r="C7699" s="14" t="s">
        <v>47867</v>
      </c>
      <c r="D7699" s="14" t="s">
        <v>47868</v>
      </c>
      <c r="E7699" s="14" t="s">
        <v>47853</v>
      </c>
      <c r="F7699" s="14" t="s">
        <v>114</v>
      </c>
      <c r="G7699" s="14" t="s">
        <v>47869</v>
      </c>
      <c r="H7699" s="15" t="s">
        <v>31</v>
      </c>
      <c r="I7699" s="15">
        <v>1.0</v>
      </c>
      <c r="J7699" s="15">
        <v>1.0</v>
      </c>
      <c r="K7699" s="15" t="s">
        <v>31</v>
      </c>
      <c r="L7699" s="16" t="s">
        <v>31</v>
      </c>
      <c r="M7699" s="14" t="s">
        <v>47870</v>
      </c>
      <c r="N7699" s="14" t="s">
        <v>16551</v>
      </c>
      <c r="O7699" s="16" t="s">
        <v>16552</v>
      </c>
      <c r="P7699" s="14" t="s">
        <v>47857</v>
      </c>
      <c r="Q7699" s="14" t="s">
        <v>31</v>
      </c>
      <c r="R7699" s="14" t="s">
        <v>31</v>
      </c>
      <c r="S7699" s="16" t="s">
        <v>47858</v>
      </c>
      <c r="T7699" s="14" t="s">
        <v>16556</v>
      </c>
      <c r="U7699" s="16" t="s">
        <v>31</v>
      </c>
      <c r="V7699" s="14" t="s">
        <v>114</v>
      </c>
      <c r="W7699" s="14" t="s">
        <v>47853</v>
      </c>
      <c r="X7699" s="17" t="str">
        <f>HYPERLINK("https://my.pitchbook.com?p=230929-30P","View People Online")</f>
        <v>View People Online</v>
      </c>
    </row>
    <row r="7700">
      <c r="A7700" s="2" t="s">
        <v>47871</v>
      </c>
      <c r="B7700" s="2" t="s">
        <v>47872</v>
      </c>
      <c r="C7700" s="2" t="s">
        <v>47873</v>
      </c>
      <c r="D7700" s="2" t="s">
        <v>47874</v>
      </c>
      <c r="E7700" s="2" t="s">
        <v>47853</v>
      </c>
      <c r="F7700" s="2" t="s">
        <v>57</v>
      </c>
      <c r="G7700" s="2" t="s">
        <v>47875</v>
      </c>
      <c r="H7700" s="3">
        <v>1.0</v>
      </c>
      <c r="I7700" s="3">
        <v>5.0</v>
      </c>
      <c r="J7700" s="3">
        <v>1.0</v>
      </c>
      <c r="K7700" s="3">
        <v>3.0</v>
      </c>
      <c r="L7700" s="4" t="s">
        <v>31</v>
      </c>
      <c r="M7700" s="2" t="s">
        <v>47876</v>
      </c>
      <c r="N7700" s="2" t="s">
        <v>16551</v>
      </c>
      <c r="O7700" s="4" t="s">
        <v>16552</v>
      </c>
      <c r="P7700" s="2" t="s">
        <v>47857</v>
      </c>
      <c r="Q7700" s="2" t="s">
        <v>31</v>
      </c>
      <c r="R7700" s="2" t="s">
        <v>31</v>
      </c>
      <c r="S7700" s="4" t="s">
        <v>47858</v>
      </c>
      <c r="T7700" s="2" t="s">
        <v>16556</v>
      </c>
      <c r="U7700" s="4" t="s">
        <v>31</v>
      </c>
      <c r="V7700" s="2" t="s">
        <v>57</v>
      </c>
      <c r="W7700" s="2" t="s">
        <v>47853</v>
      </c>
      <c r="X7700" s="5" t="str">
        <f>HYPERLINK("https://my.pitchbook.com?p=59602-69P","View People Online")</f>
        <v>View People Online</v>
      </c>
    </row>
    <row r="7701">
      <c r="A7701" s="6" t="s">
        <v>47877</v>
      </c>
      <c r="B7701" s="6" t="s">
        <v>47878</v>
      </c>
      <c r="C7701" s="6" t="s">
        <v>47879</v>
      </c>
      <c r="D7701" s="6" t="s">
        <v>47880</v>
      </c>
      <c r="E7701" s="6" t="s">
        <v>47853</v>
      </c>
      <c r="F7701" s="6" t="s">
        <v>57</v>
      </c>
      <c r="G7701" s="6" t="s">
        <v>47881</v>
      </c>
      <c r="H7701" s="7" t="s">
        <v>31</v>
      </c>
      <c r="I7701" s="7">
        <v>4.0</v>
      </c>
      <c r="J7701" s="7">
        <v>1.0</v>
      </c>
      <c r="K7701" s="7">
        <v>2.0</v>
      </c>
      <c r="L7701" s="8" t="s">
        <v>31</v>
      </c>
      <c r="M7701" s="6" t="s">
        <v>47882</v>
      </c>
      <c r="N7701" s="6" t="s">
        <v>16551</v>
      </c>
      <c r="O7701" s="8" t="s">
        <v>16552</v>
      </c>
      <c r="P7701" s="6" t="s">
        <v>47857</v>
      </c>
      <c r="Q7701" s="6" t="s">
        <v>31</v>
      </c>
      <c r="R7701" s="6" t="s">
        <v>31</v>
      </c>
      <c r="S7701" s="8" t="s">
        <v>47858</v>
      </c>
      <c r="T7701" s="6" t="s">
        <v>16556</v>
      </c>
      <c r="U7701" s="8" t="s">
        <v>31</v>
      </c>
      <c r="V7701" s="6" t="s">
        <v>57</v>
      </c>
      <c r="W7701" s="6" t="s">
        <v>47853</v>
      </c>
      <c r="X7701" s="9" t="str">
        <f>HYPERLINK("https://my.pitchbook.com?p=230928-31P","View People Online")</f>
        <v>View People Online</v>
      </c>
    </row>
    <row r="7702">
      <c r="A7702" s="2" t="s">
        <v>47883</v>
      </c>
      <c r="B7702" s="2" t="s">
        <v>47884</v>
      </c>
      <c r="C7702" s="2" t="s">
        <v>10383</v>
      </c>
      <c r="D7702" s="2" t="s">
        <v>1043</v>
      </c>
      <c r="E7702" s="2" t="s">
        <v>47885</v>
      </c>
      <c r="F7702" s="2" t="s">
        <v>502</v>
      </c>
      <c r="G7702" s="2" t="s">
        <v>47886</v>
      </c>
      <c r="H7702" s="3" t="s">
        <v>31</v>
      </c>
      <c r="I7702" s="3">
        <v>1.0</v>
      </c>
      <c r="J7702" s="3">
        <v>1.0</v>
      </c>
      <c r="K7702" s="3" t="s">
        <v>31</v>
      </c>
      <c r="L7702" s="4" t="s">
        <v>31</v>
      </c>
      <c r="M7702" s="2" t="s">
        <v>47887</v>
      </c>
      <c r="N7702" s="2" t="s">
        <v>47888</v>
      </c>
      <c r="O7702" s="4" t="s">
        <v>47889</v>
      </c>
      <c r="P7702" s="2" t="s">
        <v>47890</v>
      </c>
      <c r="Q7702" s="2" t="s">
        <v>47891</v>
      </c>
      <c r="R7702" s="2" t="s">
        <v>396</v>
      </c>
      <c r="S7702" s="4" t="s">
        <v>47892</v>
      </c>
      <c r="T7702" s="2" t="s">
        <v>66</v>
      </c>
      <c r="U7702" s="4" t="s">
        <v>31</v>
      </c>
      <c r="V7702" s="2" t="s">
        <v>502</v>
      </c>
      <c r="W7702" s="2" t="s">
        <v>47885</v>
      </c>
      <c r="X7702" s="5" t="str">
        <f>HYPERLINK("https://my.pitchbook.com?p=225463-06P","View People Online")</f>
        <v>View People Online</v>
      </c>
    </row>
    <row r="7703">
      <c r="A7703" s="14" t="s">
        <v>47893</v>
      </c>
      <c r="B7703" s="14" t="s">
        <v>47894</v>
      </c>
      <c r="C7703" s="14" t="s">
        <v>24140</v>
      </c>
      <c r="D7703" s="14" t="s">
        <v>7584</v>
      </c>
      <c r="E7703" s="14" t="s">
        <v>47885</v>
      </c>
      <c r="F7703" s="14" t="s">
        <v>674</v>
      </c>
      <c r="G7703" s="14" t="s">
        <v>47895</v>
      </c>
      <c r="H7703" s="15" t="s">
        <v>31</v>
      </c>
      <c r="I7703" s="15">
        <v>4.0</v>
      </c>
      <c r="J7703" s="15">
        <v>1.0</v>
      </c>
      <c r="K7703" s="15" t="s">
        <v>31</v>
      </c>
      <c r="L7703" s="16" t="s">
        <v>47896</v>
      </c>
      <c r="M7703" s="14" t="s">
        <v>47897</v>
      </c>
      <c r="N7703" s="14" t="s">
        <v>47888</v>
      </c>
      <c r="O7703" s="16" t="s">
        <v>47889</v>
      </c>
      <c r="P7703" s="14" t="s">
        <v>47890</v>
      </c>
      <c r="Q7703" s="14" t="s">
        <v>47891</v>
      </c>
      <c r="R7703" s="14" t="s">
        <v>396</v>
      </c>
      <c r="S7703" s="16" t="s">
        <v>47892</v>
      </c>
      <c r="T7703" s="14" t="s">
        <v>66</v>
      </c>
      <c r="U7703" s="16" t="s">
        <v>31</v>
      </c>
      <c r="V7703" s="14" t="s">
        <v>674</v>
      </c>
      <c r="W7703" s="14" t="s">
        <v>47885</v>
      </c>
      <c r="X7703" s="17" t="str">
        <f>HYPERLINK("https://my.pitchbook.com?p=14560-84P","View People Online")</f>
        <v>View People Online</v>
      </c>
    </row>
    <row r="7704">
      <c r="A7704" s="10" t="s">
        <v>47898</v>
      </c>
      <c r="B7704" s="10" t="s">
        <v>47899</v>
      </c>
      <c r="C7704" s="10" t="s">
        <v>47900</v>
      </c>
      <c r="D7704" s="10" t="s">
        <v>47901</v>
      </c>
      <c r="E7704" s="10" t="s">
        <v>47885</v>
      </c>
      <c r="F7704" s="10" t="s">
        <v>201</v>
      </c>
      <c r="G7704" s="10" t="s">
        <v>47902</v>
      </c>
      <c r="H7704" s="11" t="s">
        <v>31</v>
      </c>
      <c r="I7704" s="11">
        <v>1.0</v>
      </c>
      <c r="J7704" s="11">
        <v>1.0</v>
      </c>
      <c r="K7704" s="11" t="s">
        <v>31</v>
      </c>
      <c r="L7704" s="12" t="s">
        <v>31</v>
      </c>
      <c r="M7704" s="10" t="s">
        <v>47903</v>
      </c>
      <c r="N7704" s="10" t="s">
        <v>47888</v>
      </c>
      <c r="O7704" s="12" t="s">
        <v>47889</v>
      </c>
      <c r="P7704" s="10" t="s">
        <v>47890</v>
      </c>
      <c r="Q7704" s="10" t="s">
        <v>47891</v>
      </c>
      <c r="R7704" s="10" t="s">
        <v>396</v>
      </c>
      <c r="S7704" s="12" t="s">
        <v>47892</v>
      </c>
      <c r="T7704" s="10" t="s">
        <v>66</v>
      </c>
      <c r="U7704" s="12" t="s">
        <v>31</v>
      </c>
      <c r="V7704" s="10" t="s">
        <v>201</v>
      </c>
      <c r="W7704" s="10" t="s">
        <v>47885</v>
      </c>
      <c r="X7704" s="13" t="str">
        <f>HYPERLINK("https://my.pitchbook.com?p=366883-03P","View People Online")</f>
        <v>View People Online</v>
      </c>
    </row>
    <row r="7705">
      <c r="A7705" s="6" t="s">
        <v>47904</v>
      </c>
      <c r="B7705" s="6" t="s">
        <v>47905</v>
      </c>
      <c r="C7705" s="6" t="s">
        <v>4248</v>
      </c>
      <c r="D7705" s="6" t="s">
        <v>47906</v>
      </c>
      <c r="E7705" s="6" t="s">
        <v>47907</v>
      </c>
      <c r="F7705" s="6" t="s">
        <v>5065</v>
      </c>
      <c r="G7705" s="6" t="s">
        <v>47908</v>
      </c>
      <c r="H7705" s="7" t="s">
        <v>31</v>
      </c>
      <c r="I7705" s="7">
        <v>6.0</v>
      </c>
      <c r="J7705" s="7">
        <v>2.0</v>
      </c>
      <c r="K7705" s="7">
        <v>4.0</v>
      </c>
      <c r="L7705" s="8" t="s">
        <v>47909</v>
      </c>
      <c r="M7705" s="6" t="s">
        <v>47910</v>
      </c>
      <c r="N7705" s="6" t="s">
        <v>47911</v>
      </c>
      <c r="O7705" s="8" t="s">
        <v>47912</v>
      </c>
      <c r="P7705" s="6" t="s">
        <v>47913</v>
      </c>
      <c r="Q7705" s="6" t="s">
        <v>47914</v>
      </c>
      <c r="R7705" s="6" t="s">
        <v>64</v>
      </c>
      <c r="S7705" s="8" t="s">
        <v>47915</v>
      </c>
      <c r="T7705" s="6" t="s">
        <v>66</v>
      </c>
      <c r="U7705" s="8" t="s">
        <v>31</v>
      </c>
      <c r="V7705" s="6" t="s">
        <v>47916</v>
      </c>
      <c r="W7705" s="6" t="s">
        <v>47907</v>
      </c>
      <c r="X7705" s="9" t="str">
        <f>HYPERLINK("https://my.pitchbook.com?p=56193-22P","View People Online")</f>
        <v>View People Online</v>
      </c>
    </row>
    <row r="7706">
      <c r="A7706" s="2" t="s">
        <v>47917</v>
      </c>
      <c r="B7706" s="2" t="s">
        <v>47918</v>
      </c>
      <c r="C7706" s="2" t="s">
        <v>30892</v>
      </c>
      <c r="D7706" s="2" t="s">
        <v>6892</v>
      </c>
      <c r="E7706" s="2" t="s">
        <v>47907</v>
      </c>
      <c r="F7706" s="2" t="s">
        <v>1167</v>
      </c>
      <c r="G7706" s="2" t="s">
        <v>47919</v>
      </c>
      <c r="H7706" s="3" t="s">
        <v>31</v>
      </c>
      <c r="I7706" s="3">
        <v>1.0</v>
      </c>
      <c r="J7706" s="3">
        <v>1.0</v>
      </c>
      <c r="K7706" s="3" t="s">
        <v>31</v>
      </c>
      <c r="L7706" s="4" t="s">
        <v>47909</v>
      </c>
      <c r="M7706" s="2" t="s">
        <v>47920</v>
      </c>
      <c r="N7706" s="2" t="s">
        <v>47911</v>
      </c>
      <c r="O7706" s="4" t="s">
        <v>47912</v>
      </c>
      <c r="P7706" s="2" t="s">
        <v>47913</v>
      </c>
      <c r="Q7706" s="2" t="s">
        <v>47914</v>
      </c>
      <c r="R7706" s="2" t="s">
        <v>64</v>
      </c>
      <c r="S7706" s="4" t="s">
        <v>47915</v>
      </c>
      <c r="T7706" s="2" t="s">
        <v>66</v>
      </c>
      <c r="U7706" s="4" t="s">
        <v>31</v>
      </c>
      <c r="V7706" s="2" t="s">
        <v>991</v>
      </c>
      <c r="W7706" s="2" t="s">
        <v>47907</v>
      </c>
      <c r="X7706" s="5" t="str">
        <f>HYPERLINK("https://my.pitchbook.com?p=334182-97P","View People Online")</f>
        <v>View People Online</v>
      </c>
    </row>
    <row r="7707">
      <c r="A7707" s="6" t="s">
        <v>47921</v>
      </c>
      <c r="B7707" s="6" t="s">
        <v>47922</v>
      </c>
      <c r="C7707" s="6" t="s">
        <v>1616</v>
      </c>
      <c r="D7707" s="6" t="s">
        <v>47923</v>
      </c>
      <c r="E7707" s="6" t="s">
        <v>47907</v>
      </c>
      <c r="F7707" s="6" t="s">
        <v>10997</v>
      </c>
      <c r="G7707" s="6" t="s">
        <v>47924</v>
      </c>
      <c r="H7707" s="7">
        <v>1.0</v>
      </c>
      <c r="I7707" s="7">
        <v>4.0</v>
      </c>
      <c r="J7707" s="7">
        <v>4.0</v>
      </c>
      <c r="K7707" s="7" t="s">
        <v>31</v>
      </c>
      <c r="L7707" s="8" t="s">
        <v>47909</v>
      </c>
      <c r="M7707" s="6" t="s">
        <v>47925</v>
      </c>
      <c r="N7707" s="6" t="s">
        <v>47911</v>
      </c>
      <c r="O7707" s="8" t="s">
        <v>47912</v>
      </c>
      <c r="P7707" s="6" t="s">
        <v>47913</v>
      </c>
      <c r="Q7707" s="6" t="s">
        <v>47914</v>
      </c>
      <c r="R7707" s="6" t="s">
        <v>64</v>
      </c>
      <c r="S7707" s="8" t="s">
        <v>47915</v>
      </c>
      <c r="T7707" s="6" t="s">
        <v>66</v>
      </c>
      <c r="U7707" s="8" t="s">
        <v>31</v>
      </c>
      <c r="V7707" s="6" t="s">
        <v>47926</v>
      </c>
      <c r="W7707" s="6" t="s">
        <v>47907</v>
      </c>
      <c r="X7707" s="9" t="str">
        <f>HYPERLINK("https://my.pitchbook.com?p=116019-37P","View People Online")</f>
        <v>View People Online</v>
      </c>
    </row>
    <row r="7708">
      <c r="A7708" s="10" t="s">
        <v>47927</v>
      </c>
      <c r="B7708" s="10" t="s">
        <v>47928</v>
      </c>
      <c r="C7708" s="10" t="s">
        <v>3376</v>
      </c>
      <c r="D7708" s="10" t="s">
        <v>21299</v>
      </c>
      <c r="E7708" s="10" t="s">
        <v>47907</v>
      </c>
      <c r="F7708" s="10" t="s">
        <v>47929</v>
      </c>
      <c r="G7708" s="10" t="s">
        <v>47930</v>
      </c>
      <c r="H7708" s="11" t="s">
        <v>31</v>
      </c>
      <c r="I7708" s="11">
        <v>1.0</v>
      </c>
      <c r="J7708" s="11">
        <v>1.0</v>
      </c>
      <c r="K7708" s="11" t="s">
        <v>31</v>
      </c>
      <c r="L7708" s="12" t="s">
        <v>47909</v>
      </c>
      <c r="M7708" s="10" t="s">
        <v>47931</v>
      </c>
      <c r="N7708" s="10" t="s">
        <v>47911</v>
      </c>
      <c r="O7708" s="12" t="s">
        <v>47912</v>
      </c>
      <c r="P7708" s="10" t="s">
        <v>47913</v>
      </c>
      <c r="Q7708" s="10" t="s">
        <v>47914</v>
      </c>
      <c r="R7708" s="10" t="s">
        <v>64</v>
      </c>
      <c r="S7708" s="12" t="s">
        <v>47915</v>
      </c>
      <c r="T7708" s="10" t="s">
        <v>66</v>
      </c>
      <c r="U7708" s="12" t="s">
        <v>31</v>
      </c>
      <c r="V7708" s="10" t="s">
        <v>47932</v>
      </c>
      <c r="W7708" s="10" t="s">
        <v>47907</v>
      </c>
      <c r="X7708" s="13" t="str">
        <f>HYPERLINK("https://my.pitchbook.com?p=334183-87P","View People Online")</f>
        <v>View People Online</v>
      </c>
    </row>
    <row r="7709">
      <c r="A7709" s="14" t="s">
        <v>47933</v>
      </c>
      <c r="B7709" s="14" t="s">
        <v>47934</v>
      </c>
      <c r="C7709" s="14" t="s">
        <v>1117</v>
      </c>
      <c r="D7709" s="14" t="s">
        <v>27</v>
      </c>
      <c r="E7709" s="14" t="s">
        <v>47935</v>
      </c>
      <c r="F7709" s="14" t="s">
        <v>24351</v>
      </c>
      <c r="G7709" s="14" t="s">
        <v>47936</v>
      </c>
      <c r="H7709" s="15">
        <v>1.0</v>
      </c>
      <c r="I7709" s="15">
        <v>2.0</v>
      </c>
      <c r="J7709" s="15">
        <v>2.0</v>
      </c>
      <c r="K7709" s="15" t="s">
        <v>31</v>
      </c>
      <c r="L7709" s="16" t="s">
        <v>31</v>
      </c>
      <c r="M7709" s="14" t="s">
        <v>31</v>
      </c>
      <c r="N7709" s="14" t="s">
        <v>75</v>
      </c>
      <c r="O7709" s="16" t="s">
        <v>76</v>
      </c>
      <c r="P7709" s="14" t="s">
        <v>36760</v>
      </c>
      <c r="Q7709" s="14" t="s">
        <v>47937</v>
      </c>
      <c r="R7709" s="14" t="s">
        <v>75</v>
      </c>
      <c r="S7709" s="16" t="s">
        <v>1122</v>
      </c>
      <c r="T7709" s="14" t="s">
        <v>66</v>
      </c>
      <c r="U7709" s="16" t="s">
        <v>31</v>
      </c>
      <c r="V7709" s="14" t="s">
        <v>3665</v>
      </c>
      <c r="W7709" s="14" t="s">
        <v>47938</v>
      </c>
      <c r="X7709" s="17" t="str">
        <f>HYPERLINK("https://my.pitchbook.com?p=54927-82P","View People Online")</f>
        <v>View People Online</v>
      </c>
    </row>
    <row r="7710">
      <c r="A7710" s="2" t="s">
        <v>47939</v>
      </c>
      <c r="B7710" s="2" t="s">
        <v>47940</v>
      </c>
      <c r="C7710" s="2" t="s">
        <v>724</v>
      </c>
      <c r="D7710" s="2" t="s">
        <v>25277</v>
      </c>
      <c r="E7710" s="2" t="s">
        <v>47935</v>
      </c>
      <c r="F7710" s="2" t="s">
        <v>548</v>
      </c>
      <c r="G7710" s="2" t="s">
        <v>47941</v>
      </c>
      <c r="H7710" s="3" t="s">
        <v>31</v>
      </c>
      <c r="I7710" s="3">
        <v>1.0</v>
      </c>
      <c r="J7710" s="3">
        <v>1.0</v>
      </c>
      <c r="K7710" s="3" t="s">
        <v>31</v>
      </c>
      <c r="L7710" s="4" t="s">
        <v>47942</v>
      </c>
      <c r="M7710" s="2" t="s">
        <v>31</v>
      </c>
      <c r="N7710" s="2" t="s">
        <v>75</v>
      </c>
      <c r="O7710" s="4" t="s">
        <v>76</v>
      </c>
      <c r="P7710" s="2" t="s">
        <v>47943</v>
      </c>
      <c r="Q7710" s="2" t="s">
        <v>47944</v>
      </c>
      <c r="R7710" s="2" t="s">
        <v>75</v>
      </c>
      <c r="S7710" s="4" t="s">
        <v>13204</v>
      </c>
      <c r="T7710" s="2" t="s">
        <v>66</v>
      </c>
      <c r="U7710" s="4" t="s">
        <v>31</v>
      </c>
      <c r="V7710" s="2" t="s">
        <v>47945</v>
      </c>
      <c r="W7710" s="2" t="s">
        <v>47935</v>
      </c>
      <c r="X7710" s="5" t="str">
        <f>HYPERLINK("https://my.pitchbook.com?p=341564-95P","View People Online")</f>
        <v>View People Online</v>
      </c>
    </row>
    <row r="7711">
      <c r="A7711" s="6" t="s">
        <v>47946</v>
      </c>
      <c r="B7711" s="6" t="s">
        <v>47947</v>
      </c>
      <c r="C7711" s="6" t="s">
        <v>3529</v>
      </c>
      <c r="D7711" s="6" t="s">
        <v>360</v>
      </c>
      <c r="E7711" s="6" t="s">
        <v>47935</v>
      </c>
      <c r="F7711" s="6" t="s">
        <v>1730</v>
      </c>
      <c r="G7711" s="6" t="s">
        <v>47948</v>
      </c>
      <c r="H7711" s="7" t="s">
        <v>31</v>
      </c>
      <c r="I7711" s="7">
        <v>3.0</v>
      </c>
      <c r="J7711" s="7">
        <v>1.0</v>
      </c>
      <c r="K7711" s="7">
        <v>1.0</v>
      </c>
      <c r="L7711" s="8" t="s">
        <v>47942</v>
      </c>
      <c r="M7711" s="6" t="s">
        <v>47949</v>
      </c>
      <c r="N7711" s="6" t="s">
        <v>75</v>
      </c>
      <c r="O7711" s="8" t="s">
        <v>76</v>
      </c>
      <c r="P7711" s="6" t="s">
        <v>47943</v>
      </c>
      <c r="Q7711" s="6" t="s">
        <v>47944</v>
      </c>
      <c r="R7711" s="6" t="s">
        <v>75</v>
      </c>
      <c r="S7711" s="8" t="s">
        <v>13204</v>
      </c>
      <c r="T7711" s="6" t="s">
        <v>66</v>
      </c>
      <c r="U7711" s="8" t="s">
        <v>31</v>
      </c>
      <c r="V7711" s="6" t="s">
        <v>36715</v>
      </c>
      <c r="W7711" s="6" t="s">
        <v>47935</v>
      </c>
      <c r="X7711" s="9" t="str">
        <f>HYPERLINK("https://my.pitchbook.com?p=54928-36P","View People Online")</f>
        <v>View People Online</v>
      </c>
    </row>
    <row r="7712">
      <c r="A7712" s="2" t="s">
        <v>47950</v>
      </c>
      <c r="B7712" s="2" t="s">
        <v>47951</v>
      </c>
      <c r="C7712" s="2" t="s">
        <v>8112</v>
      </c>
      <c r="D7712" s="2" t="s">
        <v>47952</v>
      </c>
      <c r="E7712" s="2" t="s">
        <v>47935</v>
      </c>
      <c r="F7712" s="2" t="s">
        <v>4600</v>
      </c>
      <c r="G7712" s="2" t="s">
        <v>47953</v>
      </c>
      <c r="H7712" s="3" t="s">
        <v>31</v>
      </c>
      <c r="I7712" s="3">
        <v>1.0</v>
      </c>
      <c r="J7712" s="3">
        <v>1.0</v>
      </c>
      <c r="K7712" s="3" t="s">
        <v>31</v>
      </c>
      <c r="L7712" s="4" t="s">
        <v>47942</v>
      </c>
      <c r="M7712" s="2" t="s">
        <v>47954</v>
      </c>
      <c r="N7712" s="2" t="s">
        <v>75</v>
      </c>
      <c r="O7712" s="4" t="s">
        <v>76</v>
      </c>
      <c r="P7712" s="2" t="s">
        <v>47943</v>
      </c>
      <c r="Q7712" s="2" t="s">
        <v>47944</v>
      </c>
      <c r="R7712" s="2" t="s">
        <v>75</v>
      </c>
      <c r="S7712" s="4" t="s">
        <v>13204</v>
      </c>
      <c r="T7712" s="2" t="s">
        <v>66</v>
      </c>
      <c r="U7712" s="4" t="s">
        <v>31</v>
      </c>
      <c r="V7712" s="2" t="s">
        <v>7478</v>
      </c>
      <c r="W7712" s="2" t="s">
        <v>47935</v>
      </c>
      <c r="X7712" s="5" t="str">
        <f>HYPERLINK("https://my.pitchbook.com?p=190647-73P","View People Online")</f>
        <v>View People Online</v>
      </c>
    </row>
    <row r="7713">
      <c r="A7713" s="14" t="s">
        <v>47955</v>
      </c>
      <c r="B7713" s="14" t="s">
        <v>47956</v>
      </c>
      <c r="C7713" s="14" t="s">
        <v>126</v>
      </c>
      <c r="D7713" s="14" t="s">
        <v>27</v>
      </c>
      <c r="E7713" s="14" t="s">
        <v>47935</v>
      </c>
      <c r="F7713" s="14" t="s">
        <v>1249</v>
      </c>
      <c r="G7713" s="14" t="s">
        <v>47957</v>
      </c>
      <c r="H7713" s="15">
        <v>1.0</v>
      </c>
      <c r="I7713" s="15">
        <v>33.0</v>
      </c>
      <c r="J7713" s="15">
        <v>1.0</v>
      </c>
      <c r="K7713" s="15">
        <v>30.0</v>
      </c>
      <c r="L7713" s="16" t="s">
        <v>47942</v>
      </c>
      <c r="M7713" s="14" t="s">
        <v>47958</v>
      </c>
      <c r="N7713" s="14" t="s">
        <v>75</v>
      </c>
      <c r="O7713" s="16" t="s">
        <v>76</v>
      </c>
      <c r="P7713" s="14" t="s">
        <v>47943</v>
      </c>
      <c r="Q7713" s="14" t="s">
        <v>47944</v>
      </c>
      <c r="R7713" s="14" t="s">
        <v>75</v>
      </c>
      <c r="S7713" s="16" t="s">
        <v>13204</v>
      </c>
      <c r="T7713" s="14" t="s">
        <v>66</v>
      </c>
      <c r="U7713" s="16" t="s">
        <v>31</v>
      </c>
      <c r="V7713" s="14" t="s">
        <v>1384</v>
      </c>
      <c r="W7713" s="14" t="s">
        <v>47935</v>
      </c>
      <c r="X7713" s="17" t="str">
        <f>HYPERLINK("https://my.pitchbook.com?p=45930-79P","View People Online")</f>
        <v>View People Online</v>
      </c>
    </row>
    <row r="7714">
      <c r="A7714" s="10" t="s">
        <v>47959</v>
      </c>
      <c r="B7714" s="10" t="s">
        <v>47960</v>
      </c>
      <c r="C7714" s="10" t="s">
        <v>27706</v>
      </c>
      <c r="D7714" s="10" t="s">
        <v>47961</v>
      </c>
      <c r="E7714" s="10" t="s">
        <v>47962</v>
      </c>
      <c r="F7714" s="10" t="s">
        <v>86</v>
      </c>
      <c r="G7714" s="10" t="s">
        <v>47963</v>
      </c>
      <c r="H7714" s="11">
        <v>1.0</v>
      </c>
      <c r="I7714" s="11">
        <v>9.0</v>
      </c>
      <c r="J7714" s="11">
        <v>1.0</v>
      </c>
      <c r="K7714" s="11">
        <v>6.0</v>
      </c>
      <c r="L7714" s="12" t="s">
        <v>31</v>
      </c>
      <c r="M7714" s="10" t="s">
        <v>47964</v>
      </c>
      <c r="N7714" s="10" t="s">
        <v>47965</v>
      </c>
      <c r="O7714" s="12" t="s">
        <v>47966</v>
      </c>
      <c r="P7714" s="10" t="s">
        <v>47967</v>
      </c>
      <c r="Q7714" s="10" t="s">
        <v>31</v>
      </c>
      <c r="R7714" s="10" t="s">
        <v>47965</v>
      </c>
      <c r="S7714" s="12" t="s">
        <v>47968</v>
      </c>
      <c r="T7714" s="10" t="s">
        <v>1010</v>
      </c>
      <c r="U7714" s="12" t="s">
        <v>31</v>
      </c>
      <c r="V7714" s="10" t="s">
        <v>2379</v>
      </c>
      <c r="W7714" s="10" t="s">
        <v>47969</v>
      </c>
      <c r="X7714" s="13" t="str">
        <f>HYPERLINK("https://my.pitchbook.com?p=170234-92P","View People Online")</f>
        <v>View People Online</v>
      </c>
    </row>
    <row r="7715">
      <c r="A7715" s="14" t="s">
        <v>47970</v>
      </c>
      <c r="B7715" s="14" t="s">
        <v>47971</v>
      </c>
      <c r="C7715" s="14" t="s">
        <v>46422</v>
      </c>
      <c r="D7715" s="14" t="s">
        <v>47972</v>
      </c>
      <c r="E7715" s="14" t="s">
        <v>47962</v>
      </c>
      <c r="F7715" s="14" t="s">
        <v>221</v>
      </c>
      <c r="G7715" s="14" t="s">
        <v>47973</v>
      </c>
      <c r="H7715" s="15" t="s">
        <v>31</v>
      </c>
      <c r="I7715" s="15">
        <v>1.0</v>
      </c>
      <c r="J7715" s="15">
        <v>1.0</v>
      </c>
      <c r="K7715" s="15" t="s">
        <v>31</v>
      </c>
      <c r="L7715" s="16" t="s">
        <v>31</v>
      </c>
      <c r="M7715" s="14" t="s">
        <v>31</v>
      </c>
      <c r="N7715" s="14" t="s">
        <v>1005</v>
      </c>
      <c r="O7715" s="16" t="s">
        <v>1006</v>
      </c>
      <c r="P7715" s="14" t="s">
        <v>31</v>
      </c>
      <c r="Q7715" s="14" t="s">
        <v>31</v>
      </c>
      <c r="R7715" s="14" t="s">
        <v>31</v>
      </c>
      <c r="S7715" s="16" t="s">
        <v>31</v>
      </c>
      <c r="T7715" s="14" t="s">
        <v>1010</v>
      </c>
      <c r="U7715" s="16" t="s">
        <v>31</v>
      </c>
      <c r="V7715" s="14" t="s">
        <v>221</v>
      </c>
      <c r="W7715" s="14" t="s">
        <v>47962</v>
      </c>
      <c r="X7715" s="17" t="str">
        <f>HYPERLINK("https://my.pitchbook.com?p=384497-83P","View People Online")</f>
        <v>View People Online</v>
      </c>
    </row>
    <row r="7716">
      <c r="A7716" s="10" t="s">
        <v>47974</v>
      </c>
      <c r="B7716" s="10" t="s">
        <v>47975</v>
      </c>
      <c r="C7716" s="10" t="s">
        <v>47976</v>
      </c>
      <c r="D7716" s="10" t="s">
        <v>47977</v>
      </c>
      <c r="E7716" s="10" t="s">
        <v>47962</v>
      </c>
      <c r="F7716" s="10" t="s">
        <v>371</v>
      </c>
      <c r="G7716" s="10" t="s">
        <v>47978</v>
      </c>
      <c r="H7716" s="11" t="s">
        <v>31</v>
      </c>
      <c r="I7716" s="11">
        <v>2.0</v>
      </c>
      <c r="J7716" s="11">
        <v>1.0</v>
      </c>
      <c r="K7716" s="11" t="s">
        <v>31</v>
      </c>
      <c r="L7716" s="12" t="s">
        <v>31</v>
      </c>
      <c r="M7716" s="10" t="s">
        <v>47979</v>
      </c>
      <c r="N7716" s="10" t="s">
        <v>1005</v>
      </c>
      <c r="O7716" s="12" t="s">
        <v>1006</v>
      </c>
      <c r="P7716" s="10" t="s">
        <v>31</v>
      </c>
      <c r="Q7716" s="10" t="s">
        <v>31</v>
      </c>
      <c r="R7716" s="10" t="s">
        <v>31</v>
      </c>
      <c r="S7716" s="12" t="s">
        <v>31</v>
      </c>
      <c r="T7716" s="10" t="s">
        <v>1010</v>
      </c>
      <c r="U7716" s="12" t="s">
        <v>31</v>
      </c>
      <c r="V7716" s="10" t="s">
        <v>371</v>
      </c>
      <c r="W7716" s="10" t="s">
        <v>47962</v>
      </c>
      <c r="X7716" s="13" t="str">
        <f>HYPERLINK("https://my.pitchbook.com?p=337163-23P","View People Online")</f>
        <v>View People Online</v>
      </c>
    </row>
    <row r="7717">
      <c r="A7717" s="6" t="s">
        <v>47980</v>
      </c>
      <c r="B7717" s="6" t="s">
        <v>47981</v>
      </c>
      <c r="C7717" s="6" t="s">
        <v>47982</v>
      </c>
      <c r="D7717" s="6" t="s">
        <v>47983</v>
      </c>
      <c r="E7717" s="6" t="s">
        <v>47962</v>
      </c>
      <c r="F7717" s="6" t="s">
        <v>29</v>
      </c>
      <c r="G7717" s="6" t="s">
        <v>47984</v>
      </c>
      <c r="H7717" s="7">
        <v>3.0</v>
      </c>
      <c r="I7717" s="7">
        <v>14.0</v>
      </c>
      <c r="J7717" s="7">
        <v>1.0</v>
      </c>
      <c r="K7717" s="7">
        <v>7.0</v>
      </c>
      <c r="L7717" s="8" t="s">
        <v>47985</v>
      </c>
      <c r="M7717" s="6" t="s">
        <v>31</v>
      </c>
      <c r="N7717" s="6" t="s">
        <v>1005</v>
      </c>
      <c r="O7717" s="8" t="s">
        <v>1006</v>
      </c>
      <c r="P7717" s="6" t="s">
        <v>31</v>
      </c>
      <c r="Q7717" s="6" t="s">
        <v>31</v>
      </c>
      <c r="R7717" s="6" t="s">
        <v>31</v>
      </c>
      <c r="S7717" s="8" t="s">
        <v>31</v>
      </c>
      <c r="T7717" s="6" t="s">
        <v>1010</v>
      </c>
      <c r="U7717" s="8" t="s">
        <v>31</v>
      </c>
      <c r="V7717" s="6" t="s">
        <v>29</v>
      </c>
      <c r="W7717" s="6" t="s">
        <v>47962</v>
      </c>
      <c r="X7717" s="9" t="str">
        <f>HYPERLINK("https://my.pitchbook.com?p=127617-31P","View People Online")</f>
        <v>View People Online</v>
      </c>
    </row>
    <row r="7718">
      <c r="A7718" s="10" t="s">
        <v>47986</v>
      </c>
      <c r="B7718" s="10" t="s">
        <v>47987</v>
      </c>
      <c r="C7718" s="10" t="s">
        <v>47988</v>
      </c>
      <c r="D7718" s="10" t="s">
        <v>47989</v>
      </c>
      <c r="E7718" s="10" t="s">
        <v>47962</v>
      </c>
      <c r="F7718" s="10" t="s">
        <v>86</v>
      </c>
      <c r="G7718" s="10" t="s">
        <v>47990</v>
      </c>
      <c r="H7718" s="11" t="s">
        <v>31</v>
      </c>
      <c r="I7718" s="11">
        <v>7.0</v>
      </c>
      <c r="J7718" s="11">
        <v>1.0</v>
      </c>
      <c r="K7718" s="11">
        <v>3.0</v>
      </c>
      <c r="L7718" s="12" t="s">
        <v>31</v>
      </c>
      <c r="M7718" s="10" t="s">
        <v>47991</v>
      </c>
      <c r="N7718" s="10" t="s">
        <v>1005</v>
      </c>
      <c r="O7718" s="12" t="s">
        <v>1006</v>
      </c>
      <c r="P7718" s="10" t="s">
        <v>31</v>
      </c>
      <c r="Q7718" s="10" t="s">
        <v>31</v>
      </c>
      <c r="R7718" s="10" t="s">
        <v>31</v>
      </c>
      <c r="S7718" s="12" t="s">
        <v>31</v>
      </c>
      <c r="T7718" s="10" t="s">
        <v>1010</v>
      </c>
      <c r="U7718" s="12" t="s">
        <v>31</v>
      </c>
      <c r="V7718" s="10" t="s">
        <v>95</v>
      </c>
      <c r="W7718" s="10" t="s">
        <v>47962</v>
      </c>
      <c r="X7718" s="13" t="str">
        <f>HYPERLINK("https://my.pitchbook.com?p=337159-54P","View People Online")</f>
        <v>View People Online</v>
      </c>
    </row>
    <row r="7719">
      <c r="A7719" s="6" t="s">
        <v>47992</v>
      </c>
      <c r="B7719" s="6" t="s">
        <v>47993</v>
      </c>
      <c r="C7719" s="6" t="s">
        <v>19077</v>
      </c>
      <c r="D7719" s="6" t="s">
        <v>47994</v>
      </c>
      <c r="E7719" s="6" t="s">
        <v>47962</v>
      </c>
      <c r="F7719" s="6" t="s">
        <v>318</v>
      </c>
      <c r="G7719" s="6" t="s">
        <v>47995</v>
      </c>
      <c r="H7719" s="7" t="s">
        <v>31</v>
      </c>
      <c r="I7719" s="7">
        <v>3.0</v>
      </c>
      <c r="J7719" s="7">
        <v>1.0</v>
      </c>
      <c r="K7719" s="7" t="s">
        <v>31</v>
      </c>
      <c r="L7719" s="8" t="s">
        <v>31</v>
      </c>
      <c r="M7719" s="6" t="s">
        <v>47996</v>
      </c>
      <c r="N7719" s="6" t="s">
        <v>1005</v>
      </c>
      <c r="O7719" s="8" t="s">
        <v>1006</v>
      </c>
      <c r="P7719" s="6" t="s">
        <v>31</v>
      </c>
      <c r="Q7719" s="6" t="s">
        <v>31</v>
      </c>
      <c r="R7719" s="6" t="s">
        <v>31</v>
      </c>
      <c r="S7719" s="8" t="s">
        <v>31</v>
      </c>
      <c r="T7719" s="6" t="s">
        <v>1010</v>
      </c>
      <c r="U7719" s="8" t="s">
        <v>31</v>
      </c>
      <c r="V7719" s="6" t="s">
        <v>318</v>
      </c>
      <c r="W7719" s="6" t="s">
        <v>47962</v>
      </c>
      <c r="X7719" s="9" t="str">
        <f>HYPERLINK("https://my.pitchbook.com?p=337162-24P","View People Online")</f>
        <v>View People Online</v>
      </c>
    </row>
    <row r="7720">
      <c r="A7720" s="2" t="s">
        <v>47997</v>
      </c>
      <c r="B7720" s="2" t="s">
        <v>47998</v>
      </c>
      <c r="C7720" s="2" t="s">
        <v>47999</v>
      </c>
      <c r="D7720" s="2" t="s">
        <v>32250</v>
      </c>
      <c r="E7720" s="2" t="s">
        <v>47962</v>
      </c>
      <c r="F7720" s="2" t="s">
        <v>86</v>
      </c>
      <c r="G7720" s="2" t="s">
        <v>48000</v>
      </c>
      <c r="H7720" s="3" t="s">
        <v>31</v>
      </c>
      <c r="I7720" s="3">
        <v>5.0</v>
      </c>
      <c r="J7720" s="3">
        <v>1.0</v>
      </c>
      <c r="K7720" s="3">
        <v>3.0</v>
      </c>
      <c r="L7720" s="4" t="s">
        <v>31</v>
      </c>
      <c r="M7720" s="2" t="s">
        <v>48001</v>
      </c>
      <c r="N7720" s="2" t="s">
        <v>1005</v>
      </c>
      <c r="O7720" s="4" t="s">
        <v>1006</v>
      </c>
      <c r="P7720" s="2" t="s">
        <v>31</v>
      </c>
      <c r="Q7720" s="2" t="s">
        <v>31</v>
      </c>
      <c r="R7720" s="2" t="s">
        <v>31</v>
      </c>
      <c r="S7720" s="4" t="s">
        <v>31</v>
      </c>
      <c r="T7720" s="2" t="s">
        <v>1010</v>
      </c>
      <c r="U7720" s="4" t="s">
        <v>31</v>
      </c>
      <c r="V7720" s="2" t="s">
        <v>95</v>
      </c>
      <c r="W7720" s="2" t="s">
        <v>47962</v>
      </c>
      <c r="X7720" s="5" t="str">
        <f>HYPERLINK("https://my.pitchbook.com?p=337157-20P","View People Online")</f>
        <v>View People Online</v>
      </c>
    </row>
    <row r="7721">
      <c r="A7721" s="14" t="s">
        <v>48002</v>
      </c>
      <c r="B7721" s="14" t="s">
        <v>48003</v>
      </c>
      <c r="C7721" s="14" t="s">
        <v>48004</v>
      </c>
      <c r="D7721" s="14" t="s">
        <v>48005</v>
      </c>
      <c r="E7721" s="14" t="s">
        <v>47962</v>
      </c>
      <c r="F7721" s="14" t="s">
        <v>114</v>
      </c>
      <c r="G7721" s="14" t="s">
        <v>48006</v>
      </c>
      <c r="H7721" s="15" t="s">
        <v>31</v>
      </c>
      <c r="I7721" s="15">
        <v>2.0</v>
      </c>
      <c r="J7721" s="15">
        <v>1.0</v>
      </c>
      <c r="K7721" s="15" t="s">
        <v>31</v>
      </c>
      <c r="L7721" s="16" t="s">
        <v>31</v>
      </c>
      <c r="M7721" s="14" t="s">
        <v>48007</v>
      </c>
      <c r="N7721" s="14" t="s">
        <v>1005</v>
      </c>
      <c r="O7721" s="16" t="s">
        <v>1006</v>
      </c>
      <c r="P7721" s="14" t="s">
        <v>31</v>
      </c>
      <c r="Q7721" s="14" t="s">
        <v>31</v>
      </c>
      <c r="R7721" s="14" t="s">
        <v>31</v>
      </c>
      <c r="S7721" s="16" t="s">
        <v>31</v>
      </c>
      <c r="T7721" s="14" t="s">
        <v>1010</v>
      </c>
      <c r="U7721" s="16" t="s">
        <v>31</v>
      </c>
      <c r="V7721" s="14" t="s">
        <v>114</v>
      </c>
      <c r="W7721" s="14" t="s">
        <v>47962</v>
      </c>
      <c r="X7721" s="17" t="str">
        <f>HYPERLINK("https://my.pitchbook.com?p=317281-06P","View People Online")</f>
        <v>View People Online</v>
      </c>
    </row>
    <row r="7722">
      <c r="A7722" s="2" t="s">
        <v>48008</v>
      </c>
      <c r="B7722" s="2" t="s">
        <v>48009</v>
      </c>
      <c r="C7722" s="2" t="s">
        <v>14536</v>
      </c>
      <c r="D7722" s="2" t="s">
        <v>48010</v>
      </c>
      <c r="E7722" s="2" t="s">
        <v>48011</v>
      </c>
      <c r="F7722" s="2" t="s">
        <v>502</v>
      </c>
      <c r="G7722" s="2" t="s">
        <v>48012</v>
      </c>
      <c r="H7722" s="3" t="s">
        <v>31</v>
      </c>
      <c r="I7722" s="3">
        <v>1.0</v>
      </c>
      <c r="J7722" s="3">
        <v>1.0</v>
      </c>
      <c r="K7722" s="3" t="s">
        <v>31</v>
      </c>
      <c r="L7722" s="4" t="s">
        <v>48013</v>
      </c>
      <c r="M7722" s="2" t="s">
        <v>48014</v>
      </c>
      <c r="N7722" s="2" t="s">
        <v>48015</v>
      </c>
      <c r="O7722" s="4" t="s">
        <v>48016</v>
      </c>
      <c r="P7722" s="2" t="s">
        <v>48017</v>
      </c>
      <c r="Q7722" s="2" t="s">
        <v>48018</v>
      </c>
      <c r="R7722" s="2" t="s">
        <v>31</v>
      </c>
      <c r="S7722" s="4" t="s">
        <v>48019</v>
      </c>
      <c r="T7722" s="2" t="s">
        <v>10295</v>
      </c>
      <c r="U7722" s="4" t="s">
        <v>31</v>
      </c>
      <c r="V7722" s="2" t="s">
        <v>25161</v>
      </c>
      <c r="W7722" s="2" t="s">
        <v>48011</v>
      </c>
      <c r="X7722" s="5" t="str">
        <f>HYPERLINK("https://my.pitchbook.com?p=87941-80P","View People Online")</f>
        <v>View People Online</v>
      </c>
    </row>
    <row r="7723">
      <c r="A7723" s="14" t="s">
        <v>48020</v>
      </c>
      <c r="B7723" s="14" t="s">
        <v>48021</v>
      </c>
      <c r="C7723" s="14" t="s">
        <v>15514</v>
      </c>
      <c r="D7723" s="14" t="s">
        <v>4338</v>
      </c>
      <c r="E7723" s="14" t="s">
        <v>48011</v>
      </c>
      <c r="F7723" s="14" t="s">
        <v>48022</v>
      </c>
      <c r="G7723" s="14" t="s">
        <v>48023</v>
      </c>
      <c r="H7723" s="15" t="s">
        <v>31</v>
      </c>
      <c r="I7723" s="15">
        <v>2.0</v>
      </c>
      <c r="J7723" s="15">
        <v>1.0</v>
      </c>
      <c r="K7723" s="15">
        <v>1.0</v>
      </c>
      <c r="L7723" s="16" t="s">
        <v>48013</v>
      </c>
      <c r="M7723" s="14" t="s">
        <v>48024</v>
      </c>
      <c r="N7723" s="14" t="s">
        <v>48015</v>
      </c>
      <c r="O7723" s="16" t="s">
        <v>48016</v>
      </c>
      <c r="P7723" s="14" t="s">
        <v>48017</v>
      </c>
      <c r="Q7723" s="14" t="s">
        <v>48018</v>
      </c>
      <c r="R7723" s="14" t="s">
        <v>31</v>
      </c>
      <c r="S7723" s="16" t="s">
        <v>48019</v>
      </c>
      <c r="T7723" s="14" t="s">
        <v>10295</v>
      </c>
      <c r="U7723" s="16" t="s">
        <v>31</v>
      </c>
      <c r="V7723" s="14" t="s">
        <v>48025</v>
      </c>
      <c r="W7723" s="14" t="s">
        <v>48011</v>
      </c>
      <c r="X7723" s="17" t="str">
        <f>HYPERLINK("https://my.pitchbook.com?p=35334-01P","View People Online")</f>
        <v>View People Online</v>
      </c>
    </row>
    <row r="7724">
      <c r="A7724" s="10" t="s">
        <v>48026</v>
      </c>
      <c r="B7724" s="10" t="s">
        <v>48027</v>
      </c>
      <c r="C7724" s="10" t="s">
        <v>11652</v>
      </c>
      <c r="D7724" s="10" t="s">
        <v>48028</v>
      </c>
      <c r="E7724" s="10" t="s">
        <v>48011</v>
      </c>
      <c r="F7724" s="10" t="s">
        <v>270</v>
      </c>
      <c r="G7724" s="10" t="s">
        <v>48029</v>
      </c>
      <c r="H7724" s="11" t="s">
        <v>31</v>
      </c>
      <c r="I7724" s="11">
        <v>1.0</v>
      </c>
      <c r="J7724" s="11">
        <v>1.0</v>
      </c>
      <c r="K7724" s="11" t="s">
        <v>31</v>
      </c>
      <c r="L7724" s="12" t="s">
        <v>48013</v>
      </c>
      <c r="M7724" s="10" t="s">
        <v>31</v>
      </c>
      <c r="N7724" s="10" t="s">
        <v>48015</v>
      </c>
      <c r="O7724" s="12" t="s">
        <v>48016</v>
      </c>
      <c r="P7724" s="10" t="s">
        <v>48017</v>
      </c>
      <c r="Q7724" s="10" t="s">
        <v>48018</v>
      </c>
      <c r="R7724" s="10" t="s">
        <v>31</v>
      </c>
      <c r="S7724" s="12" t="s">
        <v>48019</v>
      </c>
      <c r="T7724" s="10" t="s">
        <v>10295</v>
      </c>
      <c r="U7724" s="12" t="s">
        <v>31</v>
      </c>
      <c r="V7724" s="10" t="s">
        <v>270</v>
      </c>
      <c r="W7724" s="10" t="s">
        <v>48011</v>
      </c>
      <c r="X7724" s="13" t="str">
        <f>HYPERLINK("https://my.pitchbook.com?p=345156-85P","View People Online")</f>
        <v>View People Online</v>
      </c>
    </row>
    <row r="7725">
      <c r="A7725" s="6" t="s">
        <v>48030</v>
      </c>
      <c r="B7725" s="6" t="s">
        <v>48031</v>
      </c>
      <c r="C7725" s="6" t="s">
        <v>132</v>
      </c>
      <c r="D7725" s="6" t="s">
        <v>48032</v>
      </c>
      <c r="E7725" s="6" t="s">
        <v>48011</v>
      </c>
      <c r="F7725" s="6" t="s">
        <v>3665</v>
      </c>
      <c r="G7725" s="6" t="s">
        <v>48033</v>
      </c>
      <c r="H7725" s="7" t="s">
        <v>31</v>
      </c>
      <c r="I7725" s="7">
        <v>3.0</v>
      </c>
      <c r="J7725" s="7">
        <v>2.0</v>
      </c>
      <c r="K7725" s="7">
        <v>1.0</v>
      </c>
      <c r="L7725" s="8" t="s">
        <v>48034</v>
      </c>
      <c r="M7725" s="6" t="s">
        <v>48035</v>
      </c>
      <c r="N7725" s="6" t="s">
        <v>6669</v>
      </c>
      <c r="O7725" s="8" t="s">
        <v>48036</v>
      </c>
      <c r="P7725" s="6" t="s">
        <v>48037</v>
      </c>
      <c r="Q7725" s="6" t="s">
        <v>48038</v>
      </c>
      <c r="R7725" s="6" t="s">
        <v>247</v>
      </c>
      <c r="S7725" s="8" t="s">
        <v>48039</v>
      </c>
      <c r="T7725" s="6" t="s">
        <v>249</v>
      </c>
      <c r="U7725" s="8" t="s">
        <v>31</v>
      </c>
      <c r="V7725" s="6" t="s">
        <v>48040</v>
      </c>
      <c r="W7725" s="6" t="s">
        <v>48041</v>
      </c>
      <c r="X7725" s="9" t="str">
        <f>HYPERLINK("https://my.pitchbook.com?p=287100-55P","View People Online")</f>
        <v>View People Online</v>
      </c>
    </row>
    <row r="7726">
      <c r="A7726" s="10" t="s">
        <v>48042</v>
      </c>
      <c r="B7726" s="10" t="s">
        <v>48043</v>
      </c>
      <c r="C7726" s="10" t="s">
        <v>48044</v>
      </c>
      <c r="D7726" s="10" t="s">
        <v>48045</v>
      </c>
      <c r="E7726" s="10" t="s">
        <v>48011</v>
      </c>
      <c r="F7726" s="10" t="s">
        <v>470</v>
      </c>
      <c r="G7726" s="10" t="s">
        <v>48046</v>
      </c>
      <c r="H7726" s="11">
        <v>1.0</v>
      </c>
      <c r="I7726" s="11">
        <v>4.0</v>
      </c>
      <c r="J7726" s="11">
        <v>1.0</v>
      </c>
      <c r="K7726" s="11">
        <v>2.0</v>
      </c>
      <c r="L7726" s="12" t="s">
        <v>48047</v>
      </c>
      <c r="M7726" s="10" t="s">
        <v>31</v>
      </c>
      <c r="N7726" s="10" t="s">
        <v>48015</v>
      </c>
      <c r="O7726" s="12" t="s">
        <v>48016</v>
      </c>
      <c r="P7726" s="10" t="s">
        <v>48017</v>
      </c>
      <c r="Q7726" s="10" t="s">
        <v>48018</v>
      </c>
      <c r="R7726" s="10" t="s">
        <v>31</v>
      </c>
      <c r="S7726" s="12" t="s">
        <v>48019</v>
      </c>
      <c r="T7726" s="10" t="s">
        <v>10295</v>
      </c>
      <c r="U7726" s="12" t="s">
        <v>31</v>
      </c>
      <c r="V7726" s="10" t="s">
        <v>470</v>
      </c>
      <c r="W7726" s="10" t="s">
        <v>48011</v>
      </c>
      <c r="X7726" s="13" t="str">
        <f>HYPERLINK("https://my.pitchbook.com?p=47894-14P","View People Online")</f>
        <v>View People Online</v>
      </c>
    </row>
    <row r="7727">
      <c r="A7727" s="6" t="s">
        <v>48048</v>
      </c>
      <c r="B7727" s="6" t="s">
        <v>48049</v>
      </c>
      <c r="C7727" s="6" t="s">
        <v>48050</v>
      </c>
      <c r="D7727" s="6" t="s">
        <v>48051</v>
      </c>
      <c r="E7727" s="6" t="s">
        <v>48011</v>
      </c>
      <c r="F7727" s="6" t="s">
        <v>1544</v>
      </c>
      <c r="G7727" s="6" t="s">
        <v>48052</v>
      </c>
      <c r="H7727" s="7" t="s">
        <v>31</v>
      </c>
      <c r="I7727" s="7">
        <v>1.0</v>
      </c>
      <c r="J7727" s="7">
        <v>1.0</v>
      </c>
      <c r="K7727" s="7" t="s">
        <v>31</v>
      </c>
      <c r="L7727" s="8" t="s">
        <v>48013</v>
      </c>
      <c r="M7727" s="6" t="s">
        <v>31</v>
      </c>
      <c r="N7727" s="6" t="s">
        <v>48015</v>
      </c>
      <c r="O7727" s="8" t="s">
        <v>48016</v>
      </c>
      <c r="P7727" s="6" t="s">
        <v>48017</v>
      </c>
      <c r="Q7727" s="6" t="s">
        <v>48018</v>
      </c>
      <c r="R7727" s="6" t="s">
        <v>31</v>
      </c>
      <c r="S7727" s="8" t="s">
        <v>48019</v>
      </c>
      <c r="T7727" s="6" t="s">
        <v>10295</v>
      </c>
      <c r="U7727" s="8" t="s">
        <v>31</v>
      </c>
      <c r="V7727" s="6" t="s">
        <v>34431</v>
      </c>
      <c r="W7727" s="6" t="s">
        <v>48011</v>
      </c>
      <c r="X7727" s="9" t="str">
        <f>HYPERLINK("https://my.pitchbook.com?p=100875-61P","View People Online")</f>
        <v>View People Online</v>
      </c>
    </row>
    <row r="7728">
      <c r="A7728" s="10" t="s">
        <v>48053</v>
      </c>
      <c r="B7728" s="10" t="s">
        <v>48054</v>
      </c>
      <c r="C7728" s="10" t="s">
        <v>48055</v>
      </c>
      <c r="D7728" s="10" t="s">
        <v>21250</v>
      </c>
      <c r="E7728" s="10" t="s">
        <v>48011</v>
      </c>
      <c r="F7728" s="10" t="s">
        <v>1249</v>
      </c>
      <c r="G7728" s="10" t="s">
        <v>48056</v>
      </c>
      <c r="H7728" s="11">
        <v>1.0</v>
      </c>
      <c r="I7728" s="11">
        <v>8.0</v>
      </c>
      <c r="J7728" s="11">
        <v>1.0</v>
      </c>
      <c r="K7728" s="11">
        <v>7.0</v>
      </c>
      <c r="L7728" s="12" t="s">
        <v>48013</v>
      </c>
      <c r="M7728" s="10" t="s">
        <v>48057</v>
      </c>
      <c r="N7728" s="10" t="s">
        <v>48015</v>
      </c>
      <c r="O7728" s="12" t="s">
        <v>48016</v>
      </c>
      <c r="P7728" s="10" t="s">
        <v>48017</v>
      </c>
      <c r="Q7728" s="10" t="s">
        <v>48018</v>
      </c>
      <c r="R7728" s="10" t="s">
        <v>31</v>
      </c>
      <c r="S7728" s="12" t="s">
        <v>48019</v>
      </c>
      <c r="T7728" s="10" t="s">
        <v>10295</v>
      </c>
      <c r="U7728" s="12" t="s">
        <v>31</v>
      </c>
      <c r="V7728" s="10" t="s">
        <v>1252</v>
      </c>
      <c r="W7728" s="10" t="s">
        <v>48011</v>
      </c>
      <c r="X7728" s="13" t="str">
        <f>HYPERLINK("https://my.pitchbook.com?p=223030-09P","View People Online")</f>
        <v>View People Online</v>
      </c>
    </row>
    <row r="7729">
      <c r="A7729" s="6" t="s">
        <v>48058</v>
      </c>
      <c r="B7729" s="6" t="s">
        <v>48059</v>
      </c>
      <c r="C7729" s="6" t="s">
        <v>48060</v>
      </c>
      <c r="D7729" s="6" t="s">
        <v>48061</v>
      </c>
      <c r="E7729" s="6" t="s">
        <v>48011</v>
      </c>
      <c r="F7729" s="6" t="s">
        <v>5206</v>
      </c>
      <c r="G7729" s="6" t="s">
        <v>48062</v>
      </c>
      <c r="H7729" s="7" t="s">
        <v>31</v>
      </c>
      <c r="I7729" s="7">
        <v>1.0</v>
      </c>
      <c r="J7729" s="7">
        <v>1.0</v>
      </c>
      <c r="K7729" s="7" t="s">
        <v>31</v>
      </c>
      <c r="L7729" s="8" t="s">
        <v>48013</v>
      </c>
      <c r="M7729" s="6" t="s">
        <v>48063</v>
      </c>
      <c r="N7729" s="6" t="s">
        <v>48015</v>
      </c>
      <c r="O7729" s="8" t="s">
        <v>48016</v>
      </c>
      <c r="P7729" s="6" t="s">
        <v>48017</v>
      </c>
      <c r="Q7729" s="6" t="s">
        <v>48018</v>
      </c>
      <c r="R7729" s="6" t="s">
        <v>31</v>
      </c>
      <c r="S7729" s="8" t="s">
        <v>48019</v>
      </c>
      <c r="T7729" s="6" t="s">
        <v>10295</v>
      </c>
      <c r="U7729" s="8" t="s">
        <v>31</v>
      </c>
      <c r="V7729" s="6" t="s">
        <v>48064</v>
      </c>
      <c r="W7729" s="6" t="s">
        <v>48011</v>
      </c>
      <c r="X7729" s="9" t="str">
        <f>HYPERLINK("https://my.pitchbook.com?p=68771-62P","View People Online")</f>
        <v>View People Online</v>
      </c>
    </row>
    <row r="7730">
      <c r="A7730" s="10" t="s">
        <v>48065</v>
      </c>
      <c r="B7730" s="10" t="s">
        <v>48066</v>
      </c>
      <c r="C7730" s="10" t="s">
        <v>48067</v>
      </c>
      <c r="D7730" s="10" t="s">
        <v>48068</v>
      </c>
      <c r="E7730" s="10" t="s">
        <v>48011</v>
      </c>
      <c r="F7730" s="10" t="s">
        <v>583</v>
      </c>
      <c r="G7730" s="10" t="s">
        <v>48069</v>
      </c>
      <c r="H7730" s="11">
        <v>1.0</v>
      </c>
      <c r="I7730" s="11">
        <v>2.0</v>
      </c>
      <c r="J7730" s="11">
        <v>1.0</v>
      </c>
      <c r="K7730" s="11" t="s">
        <v>31</v>
      </c>
      <c r="L7730" s="12" t="s">
        <v>48013</v>
      </c>
      <c r="M7730" s="10" t="s">
        <v>48070</v>
      </c>
      <c r="N7730" s="10" t="s">
        <v>48015</v>
      </c>
      <c r="O7730" s="12" t="s">
        <v>48016</v>
      </c>
      <c r="P7730" s="10" t="s">
        <v>48017</v>
      </c>
      <c r="Q7730" s="10" t="s">
        <v>48018</v>
      </c>
      <c r="R7730" s="10" t="s">
        <v>31</v>
      </c>
      <c r="S7730" s="12" t="s">
        <v>48019</v>
      </c>
      <c r="T7730" s="10" t="s">
        <v>10295</v>
      </c>
      <c r="U7730" s="12" t="s">
        <v>31</v>
      </c>
      <c r="V7730" s="10" t="s">
        <v>583</v>
      </c>
      <c r="W7730" s="10" t="s">
        <v>48011</v>
      </c>
      <c r="X7730" s="13" t="str">
        <f>HYPERLINK("https://my.pitchbook.com?p=32192-11P","View People Online")</f>
        <v>View People Online</v>
      </c>
    </row>
    <row r="7731">
      <c r="A7731" s="6" t="s">
        <v>48071</v>
      </c>
      <c r="B7731" s="6" t="s">
        <v>48072</v>
      </c>
      <c r="C7731" s="6" t="s">
        <v>48073</v>
      </c>
      <c r="D7731" s="6" t="s">
        <v>48074</v>
      </c>
      <c r="E7731" s="6" t="s">
        <v>48075</v>
      </c>
      <c r="F7731" s="6" t="s">
        <v>270</v>
      </c>
      <c r="G7731" s="6" t="s">
        <v>48076</v>
      </c>
      <c r="H7731" s="7" t="s">
        <v>31</v>
      </c>
      <c r="I7731" s="7">
        <v>1.0</v>
      </c>
      <c r="J7731" s="7">
        <v>1.0</v>
      </c>
      <c r="K7731" s="7" t="s">
        <v>31</v>
      </c>
      <c r="L7731" s="8" t="s">
        <v>48077</v>
      </c>
      <c r="M7731" s="6" t="s">
        <v>31</v>
      </c>
      <c r="N7731" s="6" t="s">
        <v>1277</v>
      </c>
      <c r="O7731" s="8" t="s">
        <v>1278</v>
      </c>
      <c r="P7731" s="6" t="s">
        <v>48078</v>
      </c>
      <c r="Q7731" s="6" t="s">
        <v>48079</v>
      </c>
      <c r="R7731" s="6" t="s">
        <v>1281</v>
      </c>
      <c r="S7731" s="8" t="s">
        <v>48080</v>
      </c>
      <c r="T7731" s="6" t="s">
        <v>66</v>
      </c>
      <c r="U7731" s="8" t="s">
        <v>48081</v>
      </c>
      <c r="V7731" s="6" t="s">
        <v>27270</v>
      </c>
      <c r="W7731" s="6" t="s">
        <v>48075</v>
      </c>
      <c r="X7731" s="9" t="str">
        <f>HYPERLINK("https://my.pitchbook.com?p=126726-67P","View People Online")</f>
        <v>View People Online</v>
      </c>
    </row>
    <row r="7732">
      <c r="A7732" s="2" t="s">
        <v>48082</v>
      </c>
      <c r="B7732" s="2" t="s">
        <v>48083</v>
      </c>
      <c r="C7732" s="2" t="s">
        <v>4798</v>
      </c>
      <c r="D7732" s="2" t="s">
        <v>48084</v>
      </c>
      <c r="E7732" s="2" t="s">
        <v>48075</v>
      </c>
      <c r="F7732" s="2" t="s">
        <v>270</v>
      </c>
      <c r="G7732" s="2" t="s">
        <v>48085</v>
      </c>
      <c r="H7732" s="3" t="s">
        <v>31</v>
      </c>
      <c r="I7732" s="3">
        <v>1.0</v>
      </c>
      <c r="J7732" s="3">
        <v>1.0</v>
      </c>
      <c r="K7732" s="3" t="s">
        <v>31</v>
      </c>
      <c r="L7732" s="4" t="s">
        <v>48086</v>
      </c>
      <c r="M7732" s="2" t="s">
        <v>48087</v>
      </c>
      <c r="N7732" s="2" t="s">
        <v>1277</v>
      </c>
      <c r="O7732" s="4" t="s">
        <v>1278</v>
      </c>
      <c r="P7732" s="2" t="s">
        <v>48078</v>
      </c>
      <c r="Q7732" s="2" t="s">
        <v>48079</v>
      </c>
      <c r="R7732" s="2" t="s">
        <v>1281</v>
      </c>
      <c r="S7732" s="4" t="s">
        <v>48080</v>
      </c>
      <c r="T7732" s="2" t="s">
        <v>66</v>
      </c>
      <c r="U7732" s="4" t="s">
        <v>48081</v>
      </c>
      <c r="V7732" s="2" t="s">
        <v>48088</v>
      </c>
      <c r="W7732" s="2" t="s">
        <v>48075</v>
      </c>
      <c r="X7732" s="5" t="str">
        <f>HYPERLINK("https://my.pitchbook.com?p=358694-02P","View People Online")</f>
        <v>View People Online</v>
      </c>
    </row>
    <row r="7733">
      <c r="A7733" s="14" t="s">
        <v>48089</v>
      </c>
      <c r="B7733" s="14" t="s">
        <v>48090</v>
      </c>
      <c r="C7733" s="14" t="s">
        <v>4731</v>
      </c>
      <c r="D7733" s="14" t="s">
        <v>48091</v>
      </c>
      <c r="E7733" s="14" t="s">
        <v>48075</v>
      </c>
      <c r="F7733" s="14" t="s">
        <v>270</v>
      </c>
      <c r="G7733" s="14" t="s">
        <v>48092</v>
      </c>
      <c r="H7733" s="15" t="s">
        <v>31</v>
      </c>
      <c r="I7733" s="15">
        <v>2.0</v>
      </c>
      <c r="J7733" s="15">
        <v>1.0</v>
      </c>
      <c r="K7733" s="15">
        <v>1.0</v>
      </c>
      <c r="L7733" s="16" t="s">
        <v>48086</v>
      </c>
      <c r="M7733" s="14" t="s">
        <v>31</v>
      </c>
      <c r="N7733" s="14" t="s">
        <v>1277</v>
      </c>
      <c r="O7733" s="16" t="s">
        <v>1278</v>
      </c>
      <c r="P7733" s="14" t="s">
        <v>48078</v>
      </c>
      <c r="Q7733" s="14" t="s">
        <v>48079</v>
      </c>
      <c r="R7733" s="14" t="s">
        <v>1281</v>
      </c>
      <c r="S7733" s="16" t="s">
        <v>48080</v>
      </c>
      <c r="T7733" s="14" t="s">
        <v>66</v>
      </c>
      <c r="U7733" s="16" t="s">
        <v>48081</v>
      </c>
      <c r="V7733" s="14" t="s">
        <v>48093</v>
      </c>
      <c r="W7733" s="14" t="s">
        <v>48075</v>
      </c>
      <c r="X7733" s="17" t="str">
        <f>HYPERLINK("https://my.pitchbook.com?p=404275-60P","View People Online")</f>
        <v>View People Online</v>
      </c>
    </row>
    <row r="7734">
      <c r="A7734" s="10" t="s">
        <v>48094</v>
      </c>
      <c r="B7734" s="10" t="s">
        <v>48095</v>
      </c>
      <c r="C7734" s="10" t="s">
        <v>1449</v>
      </c>
      <c r="D7734" s="10" t="s">
        <v>48096</v>
      </c>
      <c r="E7734" s="10" t="s">
        <v>48075</v>
      </c>
      <c r="F7734" s="10" t="s">
        <v>270</v>
      </c>
      <c r="G7734" s="10" t="s">
        <v>48097</v>
      </c>
      <c r="H7734" s="11" t="s">
        <v>31</v>
      </c>
      <c r="I7734" s="11">
        <v>1.0</v>
      </c>
      <c r="J7734" s="11">
        <v>1.0</v>
      </c>
      <c r="K7734" s="11" t="s">
        <v>31</v>
      </c>
      <c r="L7734" s="12" t="s">
        <v>48086</v>
      </c>
      <c r="M7734" s="10" t="s">
        <v>48098</v>
      </c>
      <c r="N7734" s="10" t="s">
        <v>1277</v>
      </c>
      <c r="O7734" s="12" t="s">
        <v>1278</v>
      </c>
      <c r="P7734" s="10" t="s">
        <v>48078</v>
      </c>
      <c r="Q7734" s="10" t="s">
        <v>48079</v>
      </c>
      <c r="R7734" s="10" t="s">
        <v>1281</v>
      </c>
      <c r="S7734" s="12" t="s">
        <v>48080</v>
      </c>
      <c r="T7734" s="10" t="s">
        <v>66</v>
      </c>
      <c r="U7734" s="12" t="s">
        <v>48081</v>
      </c>
      <c r="V7734" s="10" t="s">
        <v>270</v>
      </c>
      <c r="W7734" s="10" t="s">
        <v>48075</v>
      </c>
      <c r="X7734" s="13" t="str">
        <f>HYPERLINK("https://my.pitchbook.com?p=397336-06P","View People Online")</f>
        <v>View People Online</v>
      </c>
    </row>
    <row r="7735">
      <c r="A7735" s="14" t="s">
        <v>48099</v>
      </c>
      <c r="B7735" s="14" t="s">
        <v>48100</v>
      </c>
      <c r="C7735" s="14" t="s">
        <v>48101</v>
      </c>
      <c r="D7735" s="14" t="s">
        <v>29087</v>
      </c>
      <c r="E7735" s="14" t="s">
        <v>48075</v>
      </c>
      <c r="F7735" s="14" t="s">
        <v>1801</v>
      </c>
      <c r="G7735" s="14" t="s">
        <v>48102</v>
      </c>
      <c r="H7735" s="15" t="s">
        <v>31</v>
      </c>
      <c r="I7735" s="15">
        <v>1.0</v>
      </c>
      <c r="J7735" s="15">
        <v>1.0</v>
      </c>
      <c r="K7735" s="15" t="s">
        <v>31</v>
      </c>
      <c r="L7735" s="16" t="s">
        <v>48103</v>
      </c>
      <c r="M7735" s="14" t="s">
        <v>48104</v>
      </c>
      <c r="N7735" s="14" t="s">
        <v>1277</v>
      </c>
      <c r="O7735" s="16" t="s">
        <v>1278</v>
      </c>
      <c r="P7735" s="14" t="s">
        <v>48078</v>
      </c>
      <c r="Q7735" s="14" t="s">
        <v>48079</v>
      </c>
      <c r="R7735" s="14" t="s">
        <v>1281</v>
      </c>
      <c r="S7735" s="16" t="s">
        <v>48080</v>
      </c>
      <c r="T7735" s="14" t="s">
        <v>66</v>
      </c>
      <c r="U7735" s="16" t="s">
        <v>48081</v>
      </c>
      <c r="V7735" s="14" t="s">
        <v>1801</v>
      </c>
      <c r="W7735" s="14" t="s">
        <v>48075</v>
      </c>
      <c r="X7735" s="17" t="str">
        <f>HYPERLINK("https://my.pitchbook.com?p=213519-52P","View People Online")</f>
        <v>View People Online</v>
      </c>
    </row>
    <row r="7736">
      <c r="A7736" s="10" t="s">
        <v>48105</v>
      </c>
      <c r="B7736" s="10" t="s">
        <v>48106</v>
      </c>
      <c r="C7736" s="10" t="s">
        <v>823</v>
      </c>
      <c r="D7736" s="10" t="s">
        <v>48107</v>
      </c>
      <c r="E7736" s="10" t="s">
        <v>48075</v>
      </c>
      <c r="F7736" s="10" t="s">
        <v>35359</v>
      </c>
      <c r="G7736" s="10" t="s">
        <v>48108</v>
      </c>
      <c r="H7736" s="11" t="s">
        <v>31</v>
      </c>
      <c r="I7736" s="11">
        <v>1.0</v>
      </c>
      <c r="J7736" s="11">
        <v>1.0</v>
      </c>
      <c r="K7736" s="11" t="s">
        <v>31</v>
      </c>
      <c r="L7736" s="12" t="s">
        <v>48086</v>
      </c>
      <c r="M7736" s="10" t="s">
        <v>48109</v>
      </c>
      <c r="N7736" s="10" t="s">
        <v>1277</v>
      </c>
      <c r="O7736" s="12" t="s">
        <v>1278</v>
      </c>
      <c r="P7736" s="10" t="s">
        <v>48078</v>
      </c>
      <c r="Q7736" s="10" t="s">
        <v>48079</v>
      </c>
      <c r="R7736" s="10" t="s">
        <v>1281</v>
      </c>
      <c r="S7736" s="12" t="s">
        <v>48080</v>
      </c>
      <c r="T7736" s="10" t="s">
        <v>66</v>
      </c>
      <c r="U7736" s="12" t="s">
        <v>48081</v>
      </c>
      <c r="V7736" s="10" t="s">
        <v>48110</v>
      </c>
      <c r="W7736" s="10" t="s">
        <v>48075</v>
      </c>
      <c r="X7736" s="13" t="str">
        <f>HYPERLINK("https://my.pitchbook.com?p=162907-57P","View People Online")</f>
        <v>View People Online</v>
      </c>
    </row>
    <row r="7737">
      <c r="A7737" s="6" t="s">
        <v>48111</v>
      </c>
      <c r="B7737" s="6" t="s">
        <v>48112</v>
      </c>
      <c r="C7737" s="6" t="s">
        <v>3529</v>
      </c>
      <c r="D7737" s="6" t="s">
        <v>15581</v>
      </c>
      <c r="E7737" s="6" t="s">
        <v>48075</v>
      </c>
      <c r="F7737" s="6" t="s">
        <v>270</v>
      </c>
      <c r="G7737" s="6" t="s">
        <v>48113</v>
      </c>
      <c r="H7737" s="7" t="s">
        <v>31</v>
      </c>
      <c r="I7737" s="7">
        <v>1.0</v>
      </c>
      <c r="J7737" s="7">
        <v>1.0</v>
      </c>
      <c r="K7737" s="7" t="s">
        <v>31</v>
      </c>
      <c r="L7737" s="8" t="s">
        <v>48114</v>
      </c>
      <c r="M7737" s="6" t="s">
        <v>48115</v>
      </c>
      <c r="N7737" s="6" t="s">
        <v>1277</v>
      </c>
      <c r="O7737" s="8" t="s">
        <v>1278</v>
      </c>
      <c r="P7737" s="6" t="s">
        <v>48078</v>
      </c>
      <c r="Q7737" s="6" t="s">
        <v>48079</v>
      </c>
      <c r="R7737" s="6" t="s">
        <v>1281</v>
      </c>
      <c r="S7737" s="8" t="s">
        <v>48080</v>
      </c>
      <c r="T7737" s="6" t="s">
        <v>66</v>
      </c>
      <c r="U7737" s="8" t="s">
        <v>48081</v>
      </c>
      <c r="V7737" s="6" t="s">
        <v>48116</v>
      </c>
      <c r="W7737" s="6" t="s">
        <v>48075</v>
      </c>
      <c r="X7737" s="9" t="str">
        <f>HYPERLINK("https://my.pitchbook.com?p=317897-56P","View People Online")</f>
        <v>View People Online</v>
      </c>
    </row>
    <row r="7738">
      <c r="A7738" s="10" t="s">
        <v>48117</v>
      </c>
      <c r="B7738" s="10" t="s">
        <v>48118</v>
      </c>
      <c r="C7738" s="10" t="s">
        <v>26</v>
      </c>
      <c r="D7738" s="10" t="s">
        <v>48119</v>
      </c>
      <c r="E7738" s="10" t="s">
        <v>48075</v>
      </c>
      <c r="F7738" s="10" t="s">
        <v>8021</v>
      </c>
      <c r="G7738" s="10" t="s">
        <v>48120</v>
      </c>
      <c r="H7738" s="11" t="s">
        <v>31</v>
      </c>
      <c r="I7738" s="11">
        <v>1.0</v>
      </c>
      <c r="J7738" s="11">
        <v>1.0</v>
      </c>
      <c r="K7738" s="11" t="s">
        <v>31</v>
      </c>
      <c r="L7738" s="12" t="s">
        <v>48086</v>
      </c>
      <c r="M7738" s="10" t="s">
        <v>48121</v>
      </c>
      <c r="N7738" s="10" t="s">
        <v>1277</v>
      </c>
      <c r="O7738" s="12" t="s">
        <v>1278</v>
      </c>
      <c r="P7738" s="10" t="s">
        <v>48078</v>
      </c>
      <c r="Q7738" s="10" t="s">
        <v>48079</v>
      </c>
      <c r="R7738" s="10" t="s">
        <v>1281</v>
      </c>
      <c r="S7738" s="12" t="s">
        <v>48080</v>
      </c>
      <c r="T7738" s="10" t="s">
        <v>66</v>
      </c>
      <c r="U7738" s="12" t="s">
        <v>48081</v>
      </c>
      <c r="V7738" s="10" t="s">
        <v>8021</v>
      </c>
      <c r="W7738" s="10" t="s">
        <v>48075</v>
      </c>
      <c r="X7738" s="13" t="str">
        <f>HYPERLINK("https://my.pitchbook.com?p=271419-58P","View People Online")</f>
        <v>View People Online</v>
      </c>
    </row>
    <row r="7739">
      <c r="A7739" s="6" t="s">
        <v>48122</v>
      </c>
      <c r="B7739" s="6" t="s">
        <v>48123</v>
      </c>
      <c r="C7739" s="6" t="s">
        <v>2197</v>
      </c>
      <c r="D7739" s="6" t="s">
        <v>32688</v>
      </c>
      <c r="E7739" s="6" t="s">
        <v>48075</v>
      </c>
      <c r="F7739" s="6" t="s">
        <v>48124</v>
      </c>
      <c r="G7739" s="6" t="s">
        <v>48125</v>
      </c>
      <c r="H7739" s="7" t="s">
        <v>31</v>
      </c>
      <c r="I7739" s="7">
        <v>1.0</v>
      </c>
      <c r="J7739" s="7">
        <v>1.0</v>
      </c>
      <c r="K7739" s="7" t="s">
        <v>31</v>
      </c>
      <c r="L7739" s="8" t="s">
        <v>48086</v>
      </c>
      <c r="M7739" s="6" t="s">
        <v>48126</v>
      </c>
      <c r="N7739" s="6" t="s">
        <v>1277</v>
      </c>
      <c r="O7739" s="8" t="s">
        <v>1278</v>
      </c>
      <c r="P7739" s="6" t="s">
        <v>48078</v>
      </c>
      <c r="Q7739" s="6" t="s">
        <v>48079</v>
      </c>
      <c r="R7739" s="6" t="s">
        <v>1281</v>
      </c>
      <c r="S7739" s="8" t="s">
        <v>48080</v>
      </c>
      <c r="T7739" s="6" t="s">
        <v>66</v>
      </c>
      <c r="U7739" s="8" t="s">
        <v>48081</v>
      </c>
      <c r="V7739" s="6" t="s">
        <v>48127</v>
      </c>
      <c r="W7739" s="6" t="s">
        <v>48075</v>
      </c>
      <c r="X7739" s="9" t="str">
        <f>HYPERLINK("https://my.pitchbook.com?p=288188-11P","View People Online")</f>
        <v>View People Online</v>
      </c>
    </row>
    <row r="7740">
      <c r="A7740" s="2" t="s">
        <v>48128</v>
      </c>
      <c r="B7740" s="2" t="s">
        <v>48129</v>
      </c>
      <c r="C7740" s="2" t="s">
        <v>1765</v>
      </c>
      <c r="D7740" s="2" t="s">
        <v>48130</v>
      </c>
      <c r="E7740" s="2" t="s">
        <v>48075</v>
      </c>
      <c r="F7740" s="2" t="s">
        <v>502</v>
      </c>
      <c r="G7740" s="2" t="s">
        <v>48131</v>
      </c>
      <c r="H7740" s="3" t="s">
        <v>31</v>
      </c>
      <c r="I7740" s="3">
        <v>1.0</v>
      </c>
      <c r="J7740" s="3">
        <v>1.0</v>
      </c>
      <c r="K7740" s="3" t="s">
        <v>31</v>
      </c>
      <c r="L7740" s="4" t="s">
        <v>48086</v>
      </c>
      <c r="M7740" s="2" t="s">
        <v>48132</v>
      </c>
      <c r="N7740" s="2" t="s">
        <v>1277</v>
      </c>
      <c r="O7740" s="4" t="s">
        <v>1278</v>
      </c>
      <c r="P7740" s="2" t="s">
        <v>48078</v>
      </c>
      <c r="Q7740" s="2" t="s">
        <v>48079</v>
      </c>
      <c r="R7740" s="2" t="s">
        <v>1281</v>
      </c>
      <c r="S7740" s="4" t="s">
        <v>48080</v>
      </c>
      <c r="T7740" s="2" t="s">
        <v>66</v>
      </c>
      <c r="U7740" s="4" t="s">
        <v>48081</v>
      </c>
      <c r="V7740" s="2" t="s">
        <v>502</v>
      </c>
      <c r="W7740" s="2" t="s">
        <v>48075</v>
      </c>
      <c r="X7740" s="5" t="str">
        <f>HYPERLINK("https://my.pitchbook.com?p=271418-95P","View People Online")</f>
        <v>View People Online</v>
      </c>
    </row>
    <row r="7741">
      <c r="A7741" s="6" t="s">
        <v>48133</v>
      </c>
      <c r="B7741" s="6" t="s">
        <v>48134</v>
      </c>
      <c r="C7741" s="6" t="s">
        <v>48135</v>
      </c>
      <c r="D7741" s="6" t="s">
        <v>21335</v>
      </c>
      <c r="E7741" s="6" t="s">
        <v>48075</v>
      </c>
      <c r="F7741" s="6" t="s">
        <v>270</v>
      </c>
      <c r="G7741" s="6" t="s">
        <v>48136</v>
      </c>
      <c r="H7741" s="7" t="s">
        <v>31</v>
      </c>
      <c r="I7741" s="7">
        <v>2.0</v>
      </c>
      <c r="J7741" s="7">
        <v>1.0</v>
      </c>
      <c r="K7741" s="7">
        <v>1.0</v>
      </c>
      <c r="L7741" s="8" t="s">
        <v>48086</v>
      </c>
      <c r="M7741" s="6" t="s">
        <v>48137</v>
      </c>
      <c r="N7741" s="6" t="s">
        <v>1277</v>
      </c>
      <c r="O7741" s="8" t="s">
        <v>1278</v>
      </c>
      <c r="P7741" s="6" t="s">
        <v>48078</v>
      </c>
      <c r="Q7741" s="6" t="s">
        <v>48079</v>
      </c>
      <c r="R7741" s="6" t="s">
        <v>1281</v>
      </c>
      <c r="S7741" s="8" t="s">
        <v>48080</v>
      </c>
      <c r="T7741" s="6" t="s">
        <v>66</v>
      </c>
      <c r="U7741" s="8" t="s">
        <v>48081</v>
      </c>
      <c r="V7741" s="6" t="s">
        <v>48138</v>
      </c>
      <c r="W7741" s="6" t="s">
        <v>48075</v>
      </c>
      <c r="X7741" s="9" t="str">
        <f>HYPERLINK("https://my.pitchbook.com?p=208903-24P","View People Online")</f>
        <v>View People Online</v>
      </c>
    </row>
    <row r="7742">
      <c r="A7742" s="2" t="s">
        <v>48139</v>
      </c>
      <c r="B7742" s="2" t="s">
        <v>48140</v>
      </c>
      <c r="C7742" s="2" t="s">
        <v>48141</v>
      </c>
      <c r="D7742" s="2" t="s">
        <v>48142</v>
      </c>
      <c r="E7742" s="2" t="s">
        <v>48075</v>
      </c>
      <c r="F7742" s="2" t="s">
        <v>270</v>
      </c>
      <c r="G7742" s="2" t="s">
        <v>48143</v>
      </c>
      <c r="H7742" s="3" t="s">
        <v>31</v>
      </c>
      <c r="I7742" s="3">
        <v>2.0</v>
      </c>
      <c r="J7742" s="3">
        <v>2.0</v>
      </c>
      <c r="K7742" s="3" t="s">
        <v>31</v>
      </c>
      <c r="L7742" s="4" t="s">
        <v>48086</v>
      </c>
      <c r="M7742" s="2" t="s">
        <v>31</v>
      </c>
      <c r="N7742" s="2" t="s">
        <v>1277</v>
      </c>
      <c r="O7742" s="4" t="s">
        <v>1278</v>
      </c>
      <c r="P7742" s="2" t="s">
        <v>48078</v>
      </c>
      <c r="Q7742" s="2" t="s">
        <v>48079</v>
      </c>
      <c r="R7742" s="2" t="s">
        <v>1281</v>
      </c>
      <c r="S7742" s="4" t="s">
        <v>48080</v>
      </c>
      <c r="T7742" s="2" t="s">
        <v>66</v>
      </c>
      <c r="U7742" s="4" t="s">
        <v>48081</v>
      </c>
      <c r="V7742" s="2" t="s">
        <v>270</v>
      </c>
      <c r="W7742" s="2" t="s">
        <v>48075</v>
      </c>
      <c r="X7742" s="5" t="str">
        <f>HYPERLINK("https://my.pitchbook.com?p=329346-28P","View People Online")</f>
        <v>View People Online</v>
      </c>
    </row>
    <row r="7743">
      <c r="A7743" s="6" t="s">
        <v>48144</v>
      </c>
      <c r="B7743" s="6" t="s">
        <v>48145</v>
      </c>
      <c r="C7743" s="6" t="s">
        <v>7207</v>
      </c>
      <c r="D7743" s="6" t="s">
        <v>48146</v>
      </c>
      <c r="E7743" s="6" t="s">
        <v>48075</v>
      </c>
      <c r="F7743" s="6" t="s">
        <v>35359</v>
      </c>
      <c r="G7743" s="6" t="s">
        <v>48147</v>
      </c>
      <c r="H7743" s="7" t="s">
        <v>31</v>
      </c>
      <c r="I7743" s="7">
        <v>1.0</v>
      </c>
      <c r="J7743" s="7">
        <v>1.0</v>
      </c>
      <c r="K7743" s="7" t="s">
        <v>31</v>
      </c>
      <c r="L7743" s="8" t="s">
        <v>48086</v>
      </c>
      <c r="M7743" s="6" t="s">
        <v>48148</v>
      </c>
      <c r="N7743" s="6" t="s">
        <v>1277</v>
      </c>
      <c r="O7743" s="8" t="s">
        <v>1278</v>
      </c>
      <c r="P7743" s="6" t="s">
        <v>48078</v>
      </c>
      <c r="Q7743" s="6" t="s">
        <v>48079</v>
      </c>
      <c r="R7743" s="6" t="s">
        <v>1281</v>
      </c>
      <c r="S7743" s="8" t="s">
        <v>48080</v>
      </c>
      <c r="T7743" s="6" t="s">
        <v>66</v>
      </c>
      <c r="U7743" s="8" t="s">
        <v>48081</v>
      </c>
      <c r="V7743" s="6" t="s">
        <v>48149</v>
      </c>
      <c r="W7743" s="6" t="s">
        <v>48075</v>
      </c>
      <c r="X7743" s="9" t="str">
        <f>HYPERLINK("https://my.pitchbook.com?p=162909-19P","View People Online")</f>
        <v>View People Online</v>
      </c>
    </row>
    <row r="7744">
      <c r="A7744" s="10" t="s">
        <v>48150</v>
      </c>
      <c r="B7744" s="10" t="s">
        <v>48151</v>
      </c>
      <c r="C7744" s="10" t="s">
        <v>1697</v>
      </c>
      <c r="D7744" s="10" t="s">
        <v>48152</v>
      </c>
      <c r="E7744" s="10" t="s">
        <v>48075</v>
      </c>
      <c r="F7744" s="10" t="s">
        <v>221</v>
      </c>
      <c r="G7744" s="10" t="s">
        <v>48153</v>
      </c>
      <c r="H7744" s="11" t="s">
        <v>31</v>
      </c>
      <c r="I7744" s="11">
        <v>5.0</v>
      </c>
      <c r="J7744" s="11">
        <v>1.0</v>
      </c>
      <c r="K7744" s="11">
        <v>4.0</v>
      </c>
      <c r="L7744" s="12" t="s">
        <v>48154</v>
      </c>
      <c r="M7744" s="10" t="s">
        <v>31</v>
      </c>
      <c r="N7744" s="10" t="s">
        <v>1277</v>
      </c>
      <c r="O7744" s="12" t="s">
        <v>1278</v>
      </c>
      <c r="P7744" s="10" t="s">
        <v>48078</v>
      </c>
      <c r="Q7744" s="10" t="s">
        <v>48079</v>
      </c>
      <c r="R7744" s="10" t="s">
        <v>1281</v>
      </c>
      <c r="S7744" s="12" t="s">
        <v>48080</v>
      </c>
      <c r="T7744" s="10" t="s">
        <v>66</v>
      </c>
      <c r="U7744" s="12" t="s">
        <v>48081</v>
      </c>
      <c r="V7744" s="10" t="s">
        <v>48155</v>
      </c>
      <c r="W7744" s="10" t="s">
        <v>48075</v>
      </c>
      <c r="X7744" s="13" t="str">
        <f>HYPERLINK("https://my.pitchbook.com?p=172566-73P","View People Online")</f>
        <v>View People Online</v>
      </c>
    </row>
    <row r="7745">
      <c r="A7745" s="6" t="s">
        <v>48156</v>
      </c>
      <c r="B7745" s="6" t="s">
        <v>48157</v>
      </c>
      <c r="C7745" s="6" t="s">
        <v>10401</v>
      </c>
      <c r="D7745" s="6" t="s">
        <v>4338</v>
      </c>
      <c r="E7745" s="6" t="s">
        <v>48158</v>
      </c>
      <c r="F7745" s="6" t="s">
        <v>3652</v>
      </c>
      <c r="G7745" s="6" t="s">
        <v>48159</v>
      </c>
      <c r="H7745" s="7">
        <v>1.0</v>
      </c>
      <c r="I7745" s="7">
        <v>9.0</v>
      </c>
      <c r="J7745" s="7">
        <v>2.0</v>
      </c>
      <c r="K7745" s="7">
        <v>7.0</v>
      </c>
      <c r="L7745" s="8" t="s">
        <v>48160</v>
      </c>
      <c r="M7745" s="6" t="s">
        <v>48161</v>
      </c>
      <c r="N7745" s="6" t="s">
        <v>40371</v>
      </c>
      <c r="O7745" s="8" t="s">
        <v>40372</v>
      </c>
      <c r="P7745" s="6" t="s">
        <v>48162</v>
      </c>
      <c r="Q7745" s="6" t="s">
        <v>48163</v>
      </c>
      <c r="R7745" s="6" t="s">
        <v>27830</v>
      </c>
      <c r="S7745" s="8" t="s">
        <v>48164</v>
      </c>
      <c r="T7745" s="6" t="s">
        <v>66</v>
      </c>
      <c r="U7745" s="8" t="s">
        <v>48165</v>
      </c>
      <c r="V7745" s="6" t="s">
        <v>39916</v>
      </c>
      <c r="W7745" s="6" t="s">
        <v>48158</v>
      </c>
      <c r="X7745" s="9" t="str">
        <f>HYPERLINK("https://my.pitchbook.com?p=148473-37P","View People Online")</f>
        <v>View People Online</v>
      </c>
    </row>
    <row r="7746">
      <c r="A7746" s="10" t="s">
        <v>48166</v>
      </c>
      <c r="B7746" s="10" t="s">
        <v>48167</v>
      </c>
      <c r="C7746" s="10" t="s">
        <v>4943</v>
      </c>
      <c r="D7746" s="10" t="s">
        <v>48168</v>
      </c>
      <c r="E7746" s="10" t="s">
        <v>48158</v>
      </c>
      <c r="F7746" s="10" t="s">
        <v>312</v>
      </c>
      <c r="G7746" s="10" t="s">
        <v>48169</v>
      </c>
      <c r="H7746" s="11" t="s">
        <v>31</v>
      </c>
      <c r="I7746" s="11">
        <v>1.0</v>
      </c>
      <c r="J7746" s="11">
        <v>1.0</v>
      </c>
      <c r="K7746" s="11" t="s">
        <v>31</v>
      </c>
      <c r="L7746" s="12" t="s">
        <v>48160</v>
      </c>
      <c r="M7746" s="10" t="s">
        <v>48170</v>
      </c>
      <c r="N7746" s="10" t="s">
        <v>40371</v>
      </c>
      <c r="O7746" s="12" t="s">
        <v>40372</v>
      </c>
      <c r="P7746" s="10" t="s">
        <v>48162</v>
      </c>
      <c r="Q7746" s="10" t="s">
        <v>48163</v>
      </c>
      <c r="R7746" s="10" t="s">
        <v>27830</v>
      </c>
      <c r="S7746" s="12" t="s">
        <v>48164</v>
      </c>
      <c r="T7746" s="10" t="s">
        <v>66</v>
      </c>
      <c r="U7746" s="12" t="s">
        <v>48165</v>
      </c>
      <c r="V7746" s="10" t="s">
        <v>48171</v>
      </c>
      <c r="W7746" s="10" t="s">
        <v>48158</v>
      </c>
      <c r="X7746" s="13" t="str">
        <f>HYPERLINK("https://my.pitchbook.com?p=256427-56P","View People Online")</f>
        <v>View People Online</v>
      </c>
    </row>
    <row r="7747">
      <c r="A7747" s="6" t="s">
        <v>48172</v>
      </c>
      <c r="B7747" s="6" t="s">
        <v>48173</v>
      </c>
      <c r="C7747" s="6" t="s">
        <v>1449</v>
      </c>
      <c r="D7747" s="6" t="s">
        <v>48174</v>
      </c>
      <c r="E7747" s="6" t="s">
        <v>48158</v>
      </c>
      <c r="F7747" s="6" t="s">
        <v>371</v>
      </c>
      <c r="G7747" s="6" t="s">
        <v>48175</v>
      </c>
      <c r="H7747" s="7" t="s">
        <v>31</v>
      </c>
      <c r="I7747" s="7">
        <v>1.0</v>
      </c>
      <c r="J7747" s="7">
        <v>1.0</v>
      </c>
      <c r="K7747" s="7" t="s">
        <v>31</v>
      </c>
      <c r="L7747" s="8" t="s">
        <v>48160</v>
      </c>
      <c r="M7747" s="6" t="s">
        <v>48176</v>
      </c>
      <c r="N7747" s="6" t="s">
        <v>40371</v>
      </c>
      <c r="O7747" s="8" t="s">
        <v>40372</v>
      </c>
      <c r="P7747" s="6" t="s">
        <v>48162</v>
      </c>
      <c r="Q7747" s="6" t="s">
        <v>48163</v>
      </c>
      <c r="R7747" s="6" t="s">
        <v>27830</v>
      </c>
      <c r="S7747" s="8" t="s">
        <v>48164</v>
      </c>
      <c r="T7747" s="6" t="s">
        <v>66</v>
      </c>
      <c r="U7747" s="8" t="s">
        <v>48165</v>
      </c>
      <c r="V7747" s="6" t="s">
        <v>48177</v>
      </c>
      <c r="W7747" s="6" t="s">
        <v>48158</v>
      </c>
      <c r="X7747" s="9" t="str">
        <f>HYPERLINK("https://my.pitchbook.com?p=90398-98P","View People Online")</f>
        <v>View People Online</v>
      </c>
    </row>
    <row r="7748">
      <c r="A7748" s="2" t="s">
        <v>48178</v>
      </c>
      <c r="B7748" s="2" t="s">
        <v>48179</v>
      </c>
      <c r="C7748" s="2" t="s">
        <v>1343</v>
      </c>
      <c r="D7748" s="2" t="s">
        <v>48180</v>
      </c>
      <c r="E7748" s="2" t="s">
        <v>48158</v>
      </c>
      <c r="F7748" s="2" t="s">
        <v>43707</v>
      </c>
      <c r="G7748" s="2" t="s">
        <v>48181</v>
      </c>
      <c r="H7748" s="3" t="s">
        <v>31</v>
      </c>
      <c r="I7748" s="3">
        <v>1.0</v>
      </c>
      <c r="J7748" s="3">
        <v>1.0</v>
      </c>
      <c r="K7748" s="3" t="s">
        <v>31</v>
      </c>
      <c r="L7748" s="4" t="s">
        <v>48160</v>
      </c>
      <c r="M7748" s="2" t="s">
        <v>48182</v>
      </c>
      <c r="N7748" s="2" t="s">
        <v>40371</v>
      </c>
      <c r="O7748" s="4" t="s">
        <v>40372</v>
      </c>
      <c r="P7748" s="2" t="s">
        <v>48162</v>
      </c>
      <c r="Q7748" s="2" t="s">
        <v>48163</v>
      </c>
      <c r="R7748" s="2" t="s">
        <v>27830</v>
      </c>
      <c r="S7748" s="4" t="s">
        <v>48164</v>
      </c>
      <c r="T7748" s="2" t="s">
        <v>66</v>
      </c>
      <c r="U7748" s="4" t="s">
        <v>48165</v>
      </c>
      <c r="V7748" s="2" t="s">
        <v>48183</v>
      </c>
      <c r="W7748" s="2" t="s">
        <v>48158</v>
      </c>
      <c r="X7748" s="5" t="str">
        <f>HYPERLINK("https://my.pitchbook.com?p=398426-41P","View People Online")</f>
        <v>View People Online</v>
      </c>
    </row>
    <row r="7749">
      <c r="A7749" s="6" t="s">
        <v>48184</v>
      </c>
      <c r="B7749" s="6" t="s">
        <v>48185</v>
      </c>
      <c r="C7749" s="6" t="s">
        <v>10473</v>
      </c>
      <c r="D7749" s="6" t="s">
        <v>7578</v>
      </c>
      <c r="E7749" s="6" t="s">
        <v>48158</v>
      </c>
      <c r="F7749" s="6" t="s">
        <v>4868</v>
      </c>
      <c r="G7749" s="6" t="s">
        <v>48186</v>
      </c>
      <c r="H7749" s="7" t="s">
        <v>31</v>
      </c>
      <c r="I7749" s="7">
        <v>1.0</v>
      </c>
      <c r="J7749" s="7">
        <v>1.0</v>
      </c>
      <c r="K7749" s="7" t="s">
        <v>31</v>
      </c>
      <c r="L7749" s="8" t="s">
        <v>48160</v>
      </c>
      <c r="M7749" s="6" t="s">
        <v>48187</v>
      </c>
      <c r="N7749" s="6" t="s">
        <v>40371</v>
      </c>
      <c r="O7749" s="8" t="s">
        <v>40372</v>
      </c>
      <c r="P7749" s="6" t="s">
        <v>48162</v>
      </c>
      <c r="Q7749" s="6" t="s">
        <v>48163</v>
      </c>
      <c r="R7749" s="6" t="s">
        <v>27830</v>
      </c>
      <c r="S7749" s="8" t="s">
        <v>48164</v>
      </c>
      <c r="T7749" s="6" t="s">
        <v>66</v>
      </c>
      <c r="U7749" s="8" t="s">
        <v>48165</v>
      </c>
      <c r="V7749" s="6" t="s">
        <v>48188</v>
      </c>
      <c r="W7749" s="6" t="s">
        <v>48158</v>
      </c>
      <c r="X7749" s="9" t="str">
        <f>HYPERLINK("https://my.pitchbook.com?p=337611-07P","View People Online")</f>
        <v>View People Online</v>
      </c>
    </row>
    <row r="7750">
      <c r="A7750" s="10" t="s">
        <v>48189</v>
      </c>
      <c r="B7750" s="10" t="s">
        <v>48190</v>
      </c>
      <c r="C7750" s="10" t="s">
        <v>126</v>
      </c>
      <c r="D7750" s="10" t="s">
        <v>3847</v>
      </c>
      <c r="E7750" s="10" t="s">
        <v>48158</v>
      </c>
      <c r="F7750" s="10" t="s">
        <v>1283</v>
      </c>
      <c r="G7750" s="10" t="s">
        <v>48191</v>
      </c>
      <c r="H7750" s="11" t="s">
        <v>31</v>
      </c>
      <c r="I7750" s="11">
        <v>1.0</v>
      </c>
      <c r="J7750" s="11">
        <v>1.0</v>
      </c>
      <c r="K7750" s="11" t="s">
        <v>31</v>
      </c>
      <c r="L7750" s="12" t="s">
        <v>48160</v>
      </c>
      <c r="M7750" s="10" t="s">
        <v>48192</v>
      </c>
      <c r="N7750" s="10" t="s">
        <v>40371</v>
      </c>
      <c r="O7750" s="12" t="s">
        <v>40372</v>
      </c>
      <c r="P7750" s="10" t="s">
        <v>48162</v>
      </c>
      <c r="Q7750" s="10" t="s">
        <v>48163</v>
      </c>
      <c r="R7750" s="10" t="s">
        <v>27830</v>
      </c>
      <c r="S7750" s="12" t="s">
        <v>48164</v>
      </c>
      <c r="T7750" s="10" t="s">
        <v>66</v>
      </c>
      <c r="U7750" s="12" t="s">
        <v>48165</v>
      </c>
      <c r="V7750" s="10" t="s">
        <v>48193</v>
      </c>
      <c r="W7750" s="10" t="s">
        <v>48158</v>
      </c>
      <c r="X7750" s="13" t="str">
        <f>HYPERLINK("https://my.pitchbook.com?p=90397-00P","View People Online")</f>
        <v>View People Online</v>
      </c>
    </row>
    <row r="7751">
      <c r="A7751" s="6" t="s">
        <v>48194</v>
      </c>
      <c r="B7751" s="6" t="s">
        <v>48195</v>
      </c>
      <c r="C7751" s="6" t="s">
        <v>3716</v>
      </c>
      <c r="D7751" s="6" t="s">
        <v>48196</v>
      </c>
      <c r="E7751" s="6" t="s">
        <v>48158</v>
      </c>
      <c r="F7751" s="6" t="s">
        <v>4964</v>
      </c>
      <c r="G7751" s="6" t="s">
        <v>48197</v>
      </c>
      <c r="H7751" s="7" t="s">
        <v>31</v>
      </c>
      <c r="I7751" s="7">
        <v>1.0</v>
      </c>
      <c r="J7751" s="7">
        <v>1.0</v>
      </c>
      <c r="K7751" s="7" t="s">
        <v>31</v>
      </c>
      <c r="L7751" s="8" t="s">
        <v>48160</v>
      </c>
      <c r="M7751" s="6" t="s">
        <v>48198</v>
      </c>
      <c r="N7751" s="6" t="s">
        <v>40371</v>
      </c>
      <c r="O7751" s="8" t="s">
        <v>40372</v>
      </c>
      <c r="P7751" s="6" t="s">
        <v>48162</v>
      </c>
      <c r="Q7751" s="6" t="s">
        <v>48163</v>
      </c>
      <c r="R7751" s="6" t="s">
        <v>27830</v>
      </c>
      <c r="S7751" s="8" t="s">
        <v>48164</v>
      </c>
      <c r="T7751" s="6" t="s">
        <v>66</v>
      </c>
      <c r="U7751" s="8" t="s">
        <v>48165</v>
      </c>
      <c r="V7751" s="6" t="s">
        <v>48199</v>
      </c>
      <c r="W7751" s="6" t="s">
        <v>48158</v>
      </c>
      <c r="X7751" s="9" t="str">
        <f>HYPERLINK("https://my.pitchbook.com?p=282546-46P","View People Online")</f>
        <v>View People Online</v>
      </c>
    </row>
    <row r="7752">
      <c r="A7752" s="2" t="s">
        <v>48200</v>
      </c>
      <c r="B7752" s="2" t="s">
        <v>48201</v>
      </c>
      <c r="C7752" s="2" t="s">
        <v>7413</v>
      </c>
      <c r="D7752" s="2" t="s">
        <v>48202</v>
      </c>
      <c r="E7752" s="2" t="s">
        <v>48203</v>
      </c>
      <c r="F7752" s="2" t="s">
        <v>5515</v>
      </c>
      <c r="G7752" s="2" t="s">
        <v>48204</v>
      </c>
      <c r="H7752" s="3">
        <v>2.0</v>
      </c>
      <c r="I7752" s="3">
        <v>2.0</v>
      </c>
      <c r="J7752" s="3">
        <v>1.0</v>
      </c>
      <c r="K7752" s="3" t="s">
        <v>31</v>
      </c>
      <c r="L7752" s="4" t="s">
        <v>48205</v>
      </c>
      <c r="M7752" s="2" t="s">
        <v>48206</v>
      </c>
      <c r="N7752" s="2" t="s">
        <v>243</v>
      </c>
      <c r="O7752" s="4" t="s">
        <v>244</v>
      </c>
      <c r="P7752" s="2" t="s">
        <v>48207</v>
      </c>
      <c r="Q7752" s="2" t="s">
        <v>31</v>
      </c>
      <c r="R7752" s="2" t="s">
        <v>247</v>
      </c>
      <c r="S7752" s="4" t="s">
        <v>48208</v>
      </c>
      <c r="T7752" s="2" t="s">
        <v>249</v>
      </c>
      <c r="U7752" s="4" t="s">
        <v>31</v>
      </c>
      <c r="V7752" s="2" t="s">
        <v>48209</v>
      </c>
      <c r="W7752" s="2" t="s">
        <v>48203</v>
      </c>
      <c r="X7752" s="5" t="str">
        <f>HYPERLINK("https://my.pitchbook.com?p=191264-41P","View People Online")</f>
        <v>View People Online</v>
      </c>
    </row>
    <row r="7753">
      <c r="A7753" s="6" t="s">
        <v>48210</v>
      </c>
      <c r="B7753" s="6" t="s">
        <v>48211</v>
      </c>
      <c r="C7753" s="6" t="s">
        <v>37252</v>
      </c>
      <c r="D7753" s="6" t="s">
        <v>48212</v>
      </c>
      <c r="E7753" s="6" t="s">
        <v>48203</v>
      </c>
      <c r="F7753" s="6" t="s">
        <v>1801</v>
      </c>
      <c r="G7753" s="6" t="s">
        <v>48213</v>
      </c>
      <c r="H7753" s="7" t="s">
        <v>31</v>
      </c>
      <c r="I7753" s="7">
        <v>1.0</v>
      </c>
      <c r="J7753" s="7">
        <v>1.0</v>
      </c>
      <c r="K7753" s="7" t="s">
        <v>31</v>
      </c>
      <c r="L7753" s="8" t="s">
        <v>48214</v>
      </c>
      <c r="M7753" s="6" t="s">
        <v>48215</v>
      </c>
      <c r="N7753" s="6" t="s">
        <v>243</v>
      </c>
      <c r="O7753" s="8" t="s">
        <v>244</v>
      </c>
      <c r="P7753" s="6" t="s">
        <v>48207</v>
      </c>
      <c r="Q7753" s="6" t="s">
        <v>31</v>
      </c>
      <c r="R7753" s="6" t="s">
        <v>247</v>
      </c>
      <c r="S7753" s="8" t="s">
        <v>48208</v>
      </c>
      <c r="T7753" s="6" t="s">
        <v>249</v>
      </c>
      <c r="U7753" s="8" t="s">
        <v>31</v>
      </c>
      <c r="V7753" s="6" t="s">
        <v>48216</v>
      </c>
      <c r="W7753" s="6" t="s">
        <v>48203</v>
      </c>
      <c r="X7753" s="9" t="str">
        <f>HYPERLINK("https://my.pitchbook.com?p=267151-06P","View People Online")</f>
        <v>View People Online</v>
      </c>
    </row>
    <row r="7754">
      <c r="A7754" s="10" t="s">
        <v>48217</v>
      </c>
      <c r="B7754" s="10" t="s">
        <v>48218</v>
      </c>
      <c r="C7754" s="10" t="s">
        <v>10811</v>
      </c>
      <c r="D7754" s="10" t="s">
        <v>6733</v>
      </c>
      <c r="E7754" s="10" t="s">
        <v>48203</v>
      </c>
      <c r="F7754" s="10" t="s">
        <v>270</v>
      </c>
      <c r="G7754" s="10" t="s">
        <v>48219</v>
      </c>
      <c r="H7754" s="11" t="s">
        <v>31</v>
      </c>
      <c r="I7754" s="11">
        <v>1.0</v>
      </c>
      <c r="J7754" s="11">
        <v>1.0</v>
      </c>
      <c r="K7754" s="11" t="s">
        <v>31</v>
      </c>
      <c r="L7754" s="12" t="s">
        <v>48205</v>
      </c>
      <c r="M7754" s="10" t="s">
        <v>48220</v>
      </c>
      <c r="N7754" s="10" t="s">
        <v>243</v>
      </c>
      <c r="O7754" s="12" t="s">
        <v>244</v>
      </c>
      <c r="P7754" s="10" t="s">
        <v>48207</v>
      </c>
      <c r="Q7754" s="10" t="s">
        <v>31</v>
      </c>
      <c r="R7754" s="10" t="s">
        <v>247</v>
      </c>
      <c r="S7754" s="12" t="s">
        <v>48208</v>
      </c>
      <c r="T7754" s="10" t="s">
        <v>249</v>
      </c>
      <c r="U7754" s="12" t="s">
        <v>31</v>
      </c>
      <c r="V7754" s="10" t="s">
        <v>48221</v>
      </c>
      <c r="W7754" s="10" t="s">
        <v>48203</v>
      </c>
      <c r="X7754" s="13" t="str">
        <f>HYPERLINK("https://my.pitchbook.com?p=77681-71P","View People Online")</f>
        <v>View People Online</v>
      </c>
    </row>
    <row r="7755">
      <c r="A7755" s="6" t="s">
        <v>48222</v>
      </c>
      <c r="B7755" s="6" t="s">
        <v>48223</v>
      </c>
      <c r="C7755" s="6" t="s">
        <v>10841</v>
      </c>
      <c r="D7755" s="6" t="s">
        <v>31940</v>
      </c>
      <c r="E7755" s="6" t="s">
        <v>48203</v>
      </c>
      <c r="F7755" s="6" t="s">
        <v>825</v>
      </c>
      <c r="G7755" s="6" t="s">
        <v>48224</v>
      </c>
      <c r="H7755" s="7" t="s">
        <v>31</v>
      </c>
      <c r="I7755" s="7">
        <v>1.0</v>
      </c>
      <c r="J7755" s="7">
        <v>1.0</v>
      </c>
      <c r="K7755" s="7" t="s">
        <v>31</v>
      </c>
      <c r="L7755" s="8" t="s">
        <v>48205</v>
      </c>
      <c r="M7755" s="6" t="s">
        <v>48225</v>
      </c>
      <c r="N7755" s="6" t="s">
        <v>243</v>
      </c>
      <c r="O7755" s="8" t="s">
        <v>244</v>
      </c>
      <c r="P7755" s="6" t="s">
        <v>48207</v>
      </c>
      <c r="Q7755" s="6" t="s">
        <v>31</v>
      </c>
      <c r="R7755" s="6" t="s">
        <v>247</v>
      </c>
      <c r="S7755" s="8" t="s">
        <v>48208</v>
      </c>
      <c r="T7755" s="6" t="s">
        <v>249</v>
      </c>
      <c r="U7755" s="8" t="s">
        <v>31</v>
      </c>
      <c r="V7755" s="6" t="s">
        <v>48226</v>
      </c>
      <c r="W7755" s="6" t="s">
        <v>48203</v>
      </c>
      <c r="X7755" s="9" t="str">
        <f>HYPERLINK("https://my.pitchbook.com?p=141333-49P","View People Online")</f>
        <v>View People Online</v>
      </c>
    </row>
    <row r="7756">
      <c r="A7756" s="10" t="s">
        <v>48227</v>
      </c>
      <c r="B7756" s="10" t="s">
        <v>48228</v>
      </c>
      <c r="C7756" s="10" t="s">
        <v>7252</v>
      </c>
      <c r="D7756" s="10" t="s">
        <v>8429</v>
      </c>
      <c r="E7756" s="10" t="s">
        <v>48203</v>
      </c>
      <c r="F7756" s="10" t="s">
        <v>583</v>
      </c>
      <c r="G7756" s="10" t="s">
        <v>48229</v>
      </c>
      <c r="H7756" s="11" t="s">
        <v>31</v>
      </c>
      <c r="I7756" s="11">
        <v>1.0</v>
      </c>
      <c r="J7756" s="11">
        <v>1.0</v>
      </c>
      <c r="K7756" s="11" t="s">
        <v>31</v>
      </c>
      <c r="L7756" s="12" t="s">
        <v>48205</v>
      </c>
      <c r="M7756" s="10" t="s">
        <v>48230</v>
      </c>
      <c r="N7756" s="10" t="s">
        <v>243</v>
      </c>
      <c r="O7756" s="12" t="s">
        <v>244</v>
      </c>
      <c r="P7756" s="10" t="s">
        <v>48207</v>
      </c>
      <c r="Q7756" s="10" t="s">
        <v>31</v>
      </c>
      <c r="R7756" s="10" t="s">
        <v>247</v>
      </c>
      <c r="S7756" s="12" t="s">
        <v>48208</v>
      </c>
      <c r="T7756" s="10" t="s">
        <v>249</v>
      </c>
      <c r="U7756" s="12" t="s">
        <v>31</v>
      </c>
      <c r="V7756" s="10" t="s">
        <v>48231</v>
      </c>
      <c r="W7756" s="10" t="s">
        <v>48203</v>
      </c>
      <c r="X7756" s="13" t="str">
        <f>HYPERLINK("https://my.pitchbook.com?p=290015-83P","View People Online")</f>
        <v>View People Online</v>
      </c>
    </row>
    <row r="7757">
      <c r="A7757" s="6" t="s">
        <v>48232</v>
      </c>
      <c r="B7757" s="6" t="s">
        <v>48233</v>
      </c>
      <c r="C7757" s="6" t="s">
        <v>4210</v>
      </c>
      <c r="D7757" s="6" t="s">
        <v>48234</v>
      </c>
      <c r="E7757" s="6" t="s">
        <v>48203</v>
      </c>
      <c r="F7757" s="6" t="s">
        <v>583</v>
      </c>
      <c r="G7757" s="6" t="s">
        <v>48235</v>
      </c>
      <c r="H7757" s="7">
        <v>1.0</v>
      </c>
      <c r="I7757" s="7">
        <v>2.0</v>
      </c>
      <c r="J7757" s="7">
        <v>1.0</v>
      </c>
      <c r="K7757" s="7" t="s">
        <v>31</v>
      </c>
      <c r="L7757" s="8" t="s">
        <v>48236</v>
      </c>
      <c r="M7757" s="6" t="s">
        <v>31</v>
      </c>
      <c r="N7757" s="6" t="s">
        <v>1416</v>
      </c>
      <c r="O7757" s="8" t="s">
        <v>1417</v>
      </c>
      <c r="P7757" s="6" t="s">
        <v>48237</v>
      </c>
      <c r="Q7757" s="6" t="s">
        <v>48238</v>
      </c>
      <c r="R7757" s="6" t="s">
        <v>1420</v>
      </c>
      <c r="S7757" s="8" t="s">
        <v>48239</v>
      </c>
      <c r="T7757" s="6" t="s">
        <v>66</v>
      </c>
      <c r="U7757" s="8" t="s">
        <v>31</v>
      </c>
      <c r="V7757" s="6" t="s">
        <v>2379</v>
      </c>
      <c r="W7757" s="6" t="s">
        <v>48240</v>
      </c>
      <c r="X7757" s="9" t="str">
        <f>HYPERLINK("https://my.pitchbook.com?p=41654-17P","View People Online")</f>
        <v>View People Online</v>
      </c>
    </row>
    <row r="7758">
      <c r="A7758" s="2" t="s">
        <v>48241</v>
      </c>
      <c r="B7758" s="2" t="s">
        <v>48242</v>
      </c>
      <c r="C7758" s="2" t="s">
        <v>1426</v>
      </c>
      <c r="D7758" s="2" t="s">
        <v>48243</v>
      </c>
      <c r="E7758" s="2" t="s">
        <v>48203</v>
      </c>
      <c r="F7758" s="2" t="s">
        <v>371</v>
      </c>
      <c r="G7758" s="2" t="s">
        <v>48244</v>
      </c>
      <c r="H7758" s="3" t="s">
        <v>31</v>
      </c>
      <c r="I7758" s="3">
        <v>3.0</v>
      </c>
      <c r="J7758" s="3">
        <v>3.0</v>
      </c>
      <c r="K7758" s="3" t="s">
        <v>31</v>
      </c>
      <c r="L7758" s="4" t="s">
        <v>48205</v>
      </c>
      <c r="M7758" s="2" t="s">
        <v>48245</v>
      </c>
      <c r="N7758" s="2" t="s">
        <v>243</v>
      </c>
      <c r="O7758" s="4" t="s">
        <v>244</v>
      </c>
      <c r="P7758" s="2" t="s">
        <v>48207</v>
      </c>
      <c r="Q7758" s="2" t="s">
        <v>31</v>
      </c>
      <c r="R7758" s="2" t="s">
        <v>247</v>
      </c>
      <c r="S7758" s="4" t="s">
        <v>48208</v>
      </c>
      <c r="T7758" s="2" t="s">
        <v>249</v>
      </c>
      <c r="U7758" s="4" t="s">
        <v>31</v>
      </c>
      <c r="V7758" s="2" t="s">
        <v>48246</v>
      </c>
      <c r="W7758" s="2" t="s">
        <v>48203</v>
      </c>
      <c r="X7758" s="5" t="str">
        <f>HYPERLINK("https://my.pitchbook.com?p=67511-17P","View People Online")</f>
        <v>View People Online</v>
      </c>
    </row>
    <row r="7759">
      <c r="A7759" s="6" t="s">
        <v>48247</v>
      </c>
      <c r="B7759" s="6" t="s">
        <v>48248</v>
      </c>
      <c r="C7759" s="6" t="s">
        <v>10401</v>
      </c>
      <c r="D7759" s="6" t="s">
        <v>1147</v>
      </c>
      <c r="E7759" s="6" t="s">
        <v>48203</v>
      </c>
      <c r="F7759" s="6" t="s">
        <v>81</v>
      </c>
      <c r="G7759" s="6" t="s">
        <v>48249</v>
      </c>
      <c r="H7759" s="7" t="s">
        <v>31</v>
      </c>
      <c r="I7759" s="7">
        <v>1.0</v>
      </c>
      <c r="J7759" s="7" t="s">
        <v>31</v>
      </c>
      <c r="K7759" s="7" t="s">
        <v>31</v>
      </c>
      <c r="L7759" s="8" t="s">
        <v>48205</v>
      </c>
      <c r="M7759" s="6" t="s">
        <v>48250</v>
      </c>
      <c r="N7759" s="6" t="s">
        <v>243</v>
      </c>
      <c r="O7759" s="8" t="s">
        <v>244</v>
      </c>
      <c r="P7759" s="6" t="s">
        <v>48207</v>
      </c>
      <c r="Q7759" s="6" t="s">
        <v>31</v>
      </c>
      <c r="R7759" s="6" t="s">
        <v>247</v>
      </c>
      <c r="S7759" s="8" t="s">
        <v>48208</v>
      </c>
      <c r="T7759" s="6" t="s">
        <v>249</v>
      </c>
      <c r="U7759" s="8" t="s">
        <v>31</v>
      </c>
      <c r="V7759" s="6" t="s">
        <v>48251</v>
      </c>
      <c r="W7759" s="6" t="s">
        <v>48203</v>
      </c>
      <c r="X7759" s="9" t="str">
        <f>HYPERLINK("https://my.pitchbook.com?p=290056-78P","View People Online")</f>
        <v>View People Online</v>
      </c>
    </row>
    <row r="7760">
      <c r="A7760" s="2" t="s">
        <v>48252</v>
      </c>
      <c r="B7760" s="2" t="s">
        <v>48253</v>
      </c>
      <c r="C7760" s="2" t="s">
        <v>48254</v>
      </c>
      <c r="D7760" s="2" t="s">
        <v>45153</v>
      </c>
      <c r="E7760" s="2" t="s">
        <v>48203</v>
      </c>
      <c r="F7760" s="2" t="s">
        <v>9653</v>
      </c>
      <c r="G7760" s="2" t="s">
        <v>48255</v>
      </c>
      <c r="H7760" s="3" t="s">
        <v>31</v>
      </c>
      <c r="I7760" s="3">
        <v>3.0</v>
      </c>
      <c r="J7760" s="3">
        <v>2.0</v>
      </c>
      <c r="K7760" s="3">
        <v>1.0</v>
      </c>
      <c r="L7760" s="4" t="s">
        <v>48205</v>
      </c>
      <c r="M7760" s="2" t="s">
        <v>48256</v>
      </c>
      <c r="N7760" s="2" t="s">
        <v>243</v>
      </c>
      <c r="O7760" s="4" t="s">
        <v>244</v>
      </c>
      <c r="P7760" s="2" t="s">
        <v>48207</v>
      </c>
      <c r="Q7760" s="2" t="s">
        <v>31</v>
      </c>
      <c r="R7760" s="2" t="s">
        <v>247</v>
      </c>
      <c r="S7760" s="4" t="s">
        <v>48208</v>
      </c>
      <c r="T7760" s="2" t="s">
        <v>249</v>
      </c>
      <c r="U7760" s="4" t="s">
        <v>31</v>
      </c>
      <c r="V7760" s="2" t="s">
        <v>48257</v>
      </c>
      <c r="W7760" s="2" t="s">
        <v>48203</v>
      </c>
      <c r="X7760" s="5" t="str">
        <f>HYPERLINK("https://my.pitchbook.com?p=264914-92P","View People Online")</f>
        <v>View People Online</v>
      </c>
    </row>
    <row r="7761">
      <c r="A7761" s="14" t="s">
        <v>48258</v>
      </c>
      <c r="B7761" s="14" t="s">
        <v>48259</v>
      </c>
      <c r="C7761" s="14" t="s">
        <v>746</v>
      </c>
      <c r="D7761" s="14" t="s">
        <v>48260</v>
      </c>
      <c r="E7761" s="14" t="s">
        <v>48203</v>
      </c>
      <c r="F7761" s="14" t="s">
        <v>270</v>
      </c>
      <c r="G7761" s="14" t="s">
        <v>48261</v>
      </c>
      <c r="H7761" s="15" t="s">
        <v>31</v>
      </c>
      <c r="I7761" s="15">
        <v>1.0</v>
      </c>
      <c r="J7761" s="15">
        <v>1.0</v>
      </c>
      <c r="K7761" s="15" t="s">
        <v>31</v>
      </c>
      <c r="L7761" s="16" t="s">
        <v>48205</v>
      </c>
      <c r="M7761" s="14" t="s">
        <v>48262</v>
      </c>
      <c r="N7761" s="14" t="s">
        <v>243</v>
      </c>
      <c r="O7761" s="16" t="s">
        <v>244</v>
      </c>
      <c r="P7761" s="14" t="s">
        <v>48207</v>
      </c>
      <c r="Q7761" s="14" t="s">
        <v>31</v>
      </c>
      <c r="R7761" s="14" t="s">
        <v>247</v>
      </c>
      <c r="S7761" s="16" t="s">
        <v>48208</v>
      </c>
      <c r="T7761" s="14" t="s">
        <v>249</v>
      </c>
      <c r="U7761" s="16" t="s">
        <v>31</v>
      </c>
      <c r="V7761" s="14" t="s">
        <v>3740</v>
      </c>
      <c r="W7761" s="14" t="s">
        <v>48263</v>
      </c>
      <c r="X7761" s="17" t="str">
        <f>HYPERLINK("https://my.pitchbook.com?p=217756-45P","View People Online")</f>
        <v>View People Online</v>
      </c>
    </row>
    <row r="7762">
      <c r="A7762" s="2" t="s">
        <v>48264</v>
      </c>
      <c r="B7762" s="2" t="s">
        <v>48265</v>
      </c>
      <c r="C7762" s="2" t="s">
        <v>1449</v>
      </c>
      <c r="D7762" s="2" t="s">
        <v>290</v>
      </c>
      <c r="E7762" s="2" t="s">
        <v>48203</v>
      </c>
      <c r="F7762" s="2" t="s">
        <v>371</v>
      </c>
      <c r="G7762" s="2" t="s">
        <v>48266</v>
      </c>
      <c r="H7762" s="3" t="s">
        <v>31</v>
      </c>
      <c r="I7762" s="3">
        <v>1.0</v>
      </c>
      <c r="J7762" s="3">
        <v>1.0</v>
      </c>
      <c r="K7762" s="3" t="s">
        <v>31</v>
      </c>
      <c r="L7762" s="4" t="s">
        <v>48205</v>
      </c>
      <c r="M7762" s="2" t="s">
        <v>48267</v>
      </c>
      <c r="N7762" s="2" t="s">
        <v>243</v>
      </c>
      <c r="O7762" s="4" t="s">
        <v>244</v>
      </c>
      <c r="P7762" s="2" t="s">
        <v>48207</v>
      </c>
      <c r="Q7762" s="2" t="s">
        <v>31</v>
      </c>
      <c r="R7762" s="2" t="s">
        <v>247</v>
      </c>
      <c r="S7762" s="4" t="s">
        <v>48208</v>
      </c>
      <c r="T7762" s="2" t="s">
        <v>249</v>
      </c>
      <c r="U7762" s="4" t="s">
        <v>31</v>
      </c>
      <c r="V7762" s="2" t="s">
        <v>48268</v>
      </c>
      <c r="W7762" s="2" t="s">
        <v>48203</v>
      </c>
      <c r="X7762" s="5" t="str">
        <f>HYPERLINK("https://my.pitchbook.com?p=135007-03P","View People Online")</f>
        <v>View People Online</v>
      </c>
    </row>
    <row r="7763">
      <c r="A7763" s="14" t="s">
        <v>48269</v>
      </c>
      <c r="B7763" s="14" t="s">
        <v>48270</v>
      </c>
      <c r="C7763" s="14" t="s">
        <v>7286</v>
      </c>
      <c r="D7763" s="14" t="s">
        <v>48271</v>
      </c>
      <c r="E7763" s="14" t="s">
        <v>48203</v>
      </c>
      <c r="F7763" s="14" t="s">
        <v>2379</v>
      </c>
      <c r="G7763" s="14" t="s">
        <v>48272</v>
      </c>
      <c r="H7763" s="15">
        <v>3.0</v>
      </c>
      <c r="I7763" s="15">
        <v>3.0</v>
      </c>
      <c r="J7763" s="15">
        <v>1.0</v>
      </c>
      <c r="K7763" s="15" t="s">
        <v>31</v>
      </c>
      <c r="L7763" s="16" t="s">
        <v>48205</v>
      </c>
      <c r="M7763" s="14" t="s">
        <v>31</v>
      </c>
      <c r="N7763" s="14" t="s">
        <v>243</v>
      </c>
      <c r="O7763" s="16" t="s">
        <v>244</v>
      </c>
      <c r="P7763" s="14" t="s">
        <v>48207</v>
      </c>
      <c r="Q7763" s="14" t="s">
        <v>31</v>
      </c>
      <c r="R7763" s="14" t="s">
        <v>247</v>
      </c>
      <c r="S7763" s="16" t="s">
        <v>48208</v>
      </c>
      <c r="T7763" s="14" t="s">
        <v>249</v>
      </c>
      <c r="U7763" s="16" t="s">
        <v>31</v>
      </c>
      <c r="V7763" s="14" t="s">
        <v>48273</v>
      </c>
      <c r="W7763" s="14" t="s">
        <v>48203</v>
      </c>
      <c r="X7763" s="17" t="str">
        <f>HYPERLINK("https://my.pitchbook.com?p=31389-58P","View People Online")</f>
        <v>View People Online</v>
      </c>
    </row>
    <row r="7764">
      <c r="A7764" s="10" t="s">
        <v>48274</v>
      </c>
      <c r="B7764" s="10" t="s">
        <v>48275</v>
      </c>
      <c r="C7764" s="10" t="s">
        <v>48276</v>
      </c>
      <c r="D7764" s="10" t="s">
        <v>48277</v>
      </c>
      <c r="E7764" s="10" t="s">
        <v>48203</v>
      </c>
      <c r="F7764" s="10" t="s">
        <v>270</v>
      </c>
      <c r="G7764" s="10" t="s">
        <v>48278</v>
      </c>
      <c r="H7764" s="11" t="s">
        <v>31</v>
      </c>
      <c r="I7764" s="11">
        <v>1.0</v>
      </c>
      <c r="J7764" s="11">
        <v>1.0</v>
      </c>
      <c r="K7764" s="11" t="s">
        <v>31</v>
      </c>
      <c r="L7764" s="12" t="s">
        <v>48205</v>
      </c>
      <c r="M7764" s="10" t="s">
        <v>48279</v>
      </c>
      <c r="N7764" s="10" t="s">
        <v>243</v>
      </c>
      <c r="O7764" s="12" t="s">
        <v>244</v>
      </c>
      <c r="P7764" s="10" t="s">
        <v>48207</v>
      </c>
      <c r="Q7764" s="10" t="s">
        <v>31</v>
      </c>
      <c r="R7764" s="10" t="s">
        <v>247</v>
      </c>
      <c r="S7764" s="12" t="s">
        <v>48208</v>
      </c>
      <c r="T7764" s="10" t="s">
        <v>249</v>
      </c>
      <c r="U7764" s="12" t="s">
        <v>31</v>
      </c>
      <c r="V7764" s="10" t="s">
        <v>48280</v>
      </c>
      <c r="W7764" s="10" t="s">
        <v>48203</v>
      </c>
      <c r="X7764" s="13" t="str">
        <f>HYPERLINK("https://my.pitchbook.com?p=267149-62P","View People Online")</f>
        <v>View People Online</v>
      </c>
    </row>
    <row r="7765">
      <c r="A7765" s="14" t="s">
        <v>48281</v>
      </c>
      <c r="B7765" s="14" t="s">
        <v>48282</v>
      </c>
      <c r="C7765" s="14" t="s">
        <v>41658</v>
      </c>
      <c r="D7765" s="14" t="s">
        <v>30608</v>
      </c>
      <c r="E7765" s="14" t="s">
        <v>48203</v>
      </c>
      <c r="F7765" s="14" t="s">
        <v>825</v>
      </c>
      <c r="G7765" s="14" t="s">
        <v>48283</v>
      </c>
      <c r="H7765" s="15" t="s">
        <v>31</v>
      </c>
      <c r="I7765" s="15">
        <v>2.0</v>
      </c>
      <c r="J7765" s="15">
        <v>2.0</v>
      </c>
      <c r="K7765" s="15" t="s">
        <v>31</v>
      </c>
      <c r="L7765" s="16" t="s">
        <v>48205</v>
      </c>
      <c r="M7765" s="14" t="s">
        <v>48284</v>
      </c>
      <c r="N7765" s="14" t="s">
        <v>243</v>
      </c>
      <c r="O7765" s="16" t="s">
        <v>244</v>
      </c>
      <c r="P7765" s="14" t="s">
        <v>48207</v>
      </c>
      <c r="Q7765" s="14" t="s">
        <v>31</v>
      </c>
      <c r="R7765" s="14" t="s">
        <v>247</v>
      </c>
      <c r="S7765" s="16" t="s">
        <v>48208</v>
      </c>
      <c r="T7765" s="14" t="s">
        <v>249</v>
      </c>
      <c r="U7765" s="16" t="s">
        <v>31</v>
      </c>
      <c r="V7765" s="14" t="s">
        <v>48285</v>
      </c>
      <c r="W7765" s="14" t="s">
        <v>48203</v>
      </c>
      <c r="X7765" s="17" t="str">
        <f>HYPERLINK("https://my.pitchbook.com?p=128386-00P","View People Online")</f>
        <v>View People Online</v>
      </c>
    </row>
    <row r="7766">
      <c r="A7766" s="2" t="s">
        <v>48286</v>
      </c>
      <c r="B7766" s="2" t="s">
        <v>48287</v>
      </c>
      <c r="C7766" s="2" t="s">
        <v>48288</v>
      </c>
      <c r="D7766" s="2" t="s">
        <v>48289</v>
      </c>
      <c r="E7766" s="2" t="s">
        <v>48203</v>
      </c>
      <c r="F7766" s="2" t="s">
        <v>548</v>
      </c>
      <c r="G7766" s="2" t="s">
        <v>48290</v>
      </c>
      <c r="H7766" s="3" t="s">
        <v>31</v>
      </c>
      <c r="I7766" s="3">
        <v>1.0</v>
      </c>
      <c r="J7766" s="3">
        <v>1.0</v>
      </c>
      <c r="K7766" s="3" t="s">
        <v>31</v>
      </c>
      <c r="L7766" s="4" t="s">
        <v>48205</v>
      </c>
      <c r="M7766" s="2" t="s">
        <v>48291</v>
      </c>
      <c r="N7766" s="2" t="s">
        <v>243</v>
      </c>
      <c r="O7766" s="4" t="s">
        <v>244</v>
      </c>
      <c r="P7766" s="2" t="s">
        <v>48207</v>
      </c>
      <c r="Q7766" s="2" t="s">
        <v>31</v>
      </c>
      <c r="R7766" s="2" t="s">
        <v>247</v>
      </c>
      <c r="S7766" s="4" t="s">
        <v>48208</v>
      </c>
      <c r="T7766" s="2" t="s">
        <v>249</v>
      </c>
      <c r="U7766" s="4" t="s">
        <v>31</v>
      </c>
      <c r="V7766" s="2" t="s">
        <v>48292</v>
      </c>
      <c r="W7766" s="2" t="s">
        <v>48203</v>
      </c>
      <c r="X7766" s="5" t="str">
        <f>HYPERLINK("https://my.pitchbook.com?p=94900-69P","View People Online")</f>
        <v>View People Online</v>
      </c>
    </row>
    <row r="7767">
      <c r="A7767" s="6" t="s">
        <v>48293</v>
      </c>
      <c r="B7767" s="6" t="s">
        <v>48294</v>
      </c>
      <c r="C7767" s="6" t="s">
        <v>31666</v>
      </c>
      <c r="D7767" s="6" t="s">
        <v>48295</v>
      </c>
      <c r="E7767" s="6" t="s">
        <v>48203</v>
      </c>
      <c r="F7767" s="6" t="s">
        <v>4600</v>
      </c>
      <c r="G7767" s="6" t="s">
        <v>48296</v>
      </c>
      <c r="H7767" s="7" t="s">
        <v>31</v>
      </c>
      <c r="I7767" s="7">
        <v>1.0</v>
      </c>
      <c r="J7767" s="7">
        <v>1.0</v>
      </c>
      <c r="K7767" s="7" t="s">
        <v>31</v>
      </c>
      <c r="L7767" s="8" t="s">
        <v>48205</v>
      </c>
      <c r="M7767" s="6" t="s">
        <v>48297</v>
      </c>
      <c r="N7767" s="6" t="s">
        <v>243</v>
      </c>
      <c r="O7767" s="8" t="s">
        <v>244</v>
      </c>
      <c r="P7767" s="6" t="s">
        <v>48207</v>
      </c>
      <c r="Q7767" s="6" t="s">
        <v>31</v>
      </c>
      <c r="R7767" s="6" t="s">
        <v>247</v>
      </c>
      <c r="S7767" s="8" t="s">
        <v>48208</v>
      </c>
      <c r="T7767" s="6" t="s">
        <v>249</v>
      </c>
      <c r="U7767" s="8" t="s">
        <v>31</v>
      </c>
      <c r="V7767" s="6" t="s">
        <v>48298</v>
      </c>
      <c r="W7767" s="6" t="s">
        <v>48299</v>
      </c>
      <c r="X7767" s="9" t="str">
        <f>HYPERLINK("https://my.pitchbook.com?p=149974-12P","View People Online")</f>
        <v>View People Online</v>
      </c>
    </row>
    <row r="7768">
      <c r="A7768" s="2" t="s">
        <v>48300</v>
      </c>
      <c r="B7768" s="2" t="s">
        <v>48301</v>
      </c>
      <c r="C7768" s="2" t="s">
        <v>823</v>
      </c>
      <c r="D7768" s="2" t="s">
        <v>48302</v>
      </c>
      <c r="E7768" s="2" t="s">
        <v>48203</v>
      </c>
      <c r="F7768" s="2" t="s">
        <v>1801</v>
      </c>
      <c r="G7768" s="2" t="s">
        <v>48303</v>
      </c>
      <c r="H7768" s="3" t="s">
        <v>31</v>
      </c>
      <c r="I7768" s="3">
        <v>3.0</v>
      </c>
      <c r="J7768" s="3">
        <v>3.0</v>
      </c>
      <c r="K7768" s="3" t="s">
        <v>31</v>
      </c>
      <c r="L7768" s="4" t="s">
        <v>48304</v>
      </c>
      <c r="M7768" s="2" t="s">
        <v>48305</v>
      </c>
      <c r="N7768" s="2" t="s">
        <v>243</v>
      </c>
      <c r="O7768" s="4" t="s">
        <v>244</v>
      </c>
      <c r="P7768" s="2" t="s">
        <v>48207</v>
      </c>
      <c r="Q7768" s="2" t="s">
        <v>31</v>
      </c>
      <c r="R7768" s="2" t="s">
        <v>247</v>
      </c>
      <c r="S7768" s="4" t="s">
        <v>48208</v>
      </c>
      <c r="T7768" s="2" t="s">
        <v>249</v>
      </c>
      <c r="U7768" s="4" t="s">
        <v>31</v>
      </c>
      <c r="V7768" s="2" t="s">
        <v>48306</v>
      </c>
      <c r="W7768" s="2" t="s">
        <v>48203</v>
      </c>
      <c r="X7768" s="5" t="str">
        <f>HYPERLINK("https://my.pitchbook.com?p=128387-08P","View People Online")</f>
        <v>View People Online</v>
      </c>
    </row>
    <row r="7769">
      <c r="A7769" s="6" t="s">
        <v>48307</v>
      </c>
      <c r="B7769" s="6" t="s">
        <v>48308</v>
      </c>
      <c r="C7769" s="6" t="s">
        <v>823</v>
      </c>
      <c r="D7769" s="6" t="s">
        <v>48309</v>
      </c>
      <c r="E7769" s="6" t="s">
        <v>48203</v>
      </c>
      <c r="F7769" s="6" t="s">
        <v>825</v>
      </c>
      <c r="G7769" s="6" t="s">
        <v>48310</v>
      </c>
      <c r="H7769" s="7" t="s">
        <v>31</v>
      </c>
      <c r="I7769" s="7">
        <v>1.0</v>
      </c>
      <c r="J7769" s="7">
        <v>1.0</v>
      </c>
      <c r="K7769" s="7" t="s">
        <v>31</v>
      </c>
      <c r="L7769" s="8" t="s">
        <v>48205</v>
      </c>
      <c r="M7769" s="6" t="s">
        <v>48311</v>
      </c>
      <c r="N7769" s="6" t="s">
        <v>243</v>
      </c>
      <c r="O7769" s="8" t="s">
        <v>244</v>
      </c>
      <c r="P7769" s="6" t="s">
        <v>48207</v>
      </c>
      <c r="Q7769" s="6" t="s">
        <v>31</v>
      </c>
      <c r="R7769" s="6" t="s">
        <v>247</v>
      </c>
      <c r="S7769" s="8" t="s">
        <v>48208</v>
      </c>
      <c r="T7769" s="6" t="s">
        <v>249</v>
      </c>
      <c r="U7769" s="8" t="s">
        <v>31</v>
      </c>
      <c r="V7769" s="6" t="s">
        <v>48312</v>
      </c>
      <c r="W7769" s="6" t="s">
        <v>48203</v>
      </c>
      <c r="X7769" s="9" t="str">
        <f>HYPERLINK("https://my.pitchbook.com?p=351376-57P","View People Online")</f>
        <v>View People Online</v>
      </c>
    </row>
    <row r="7770">
      <c r="A7770" s="2" t="s">
        <v>48313</v>
      </c>
      <c r="B7770" s="2" t="s">
        <v>48314</v>
      </c>
      <c r="C7770" s="2" t="s">
        <v>1343</v>
      </c>
      <c r="D7770" s="2" t="s">
        <v>48315</v>
      </c>
      <c r="E7770" s="2" t="s">
        <v>48203</v>
      </c>
      <c r="F7770" s="2" t="s">
        <v>270</v>
      </c>
      <c r="G7770" s="2" t="s">
        <v>48316</v>
      </c>
      <c r="H7770" s="3" t="s">
        <v>31</v>
      </c>
      <c r="I7770" s="3">
        <v>1.0</v>
      </c>
      <c r="J7770" s="3">
        <v>1.0</v>
      </c>
      <c r="K7770" s="3" t="s">
        <v>31</v>
      </c>
      <c r="L7770" s="4" t="s">
        <v>48317</v>
      </c>
      <c r="M7770" s="2" t="s">
        <v>48318</v>
      </c>
      <c r="N7770" s="2" t="s">
        <v>243</v>
      </c>
      <c r="O7770" s="4" t="s">
        <v>244</v>
      </c>
      <c r="P7770" s="2" t="s">
        <v>48207</v>
      </c>
      <c r="Q7770" s="2" t="s">
        <v>31</v>
      </c>
      <c r="R7770" s="2" t="s">
        <v>247</v>
      </c>
      <c r="S7770" s="4" t="s">
        <v>48208</v>
      </c>
      <c r="T7770" s="2" t="s">
        <v>249</v>
      </c>
      <c r="U7770" s="4" t="s">
        <v>31</v>
      </c>
      <c r="V7770" s="2" t="s">
        <v>48319</v>
      </c>
      <c r="W7770" s="2" t="s">
        <v>48203</v>
      </c>
      <c r="X7770" s="5" t="str">
        <f>HYPERLINK("https://my.pitchbook.com?p=318582-91P","View People Online")</f>
        <v>View People Online</v>
      </c>
    </row>
    <row r="7771">
      <c r="A7771" s="6" t="s">
        <v>48320</v>
      </c>
      <c r="B7771" s="6" t="s">
        <v>48321</v>
      </c>
      <c r="C7771" s="6" t="s">
        <v>1343</v>
      </c>
      <c r="D7771" s="6" t="s">
        <v>48322</v>
      </c>
      <c r="E7771" s="6" t="s">
        <v>48203</v>
      </c>
      <c r="F7771" s="6" t="s">
        <v>1249</v>
      </c>
      <c r="G7771" s="6" t="s">
        <v>48323</v>
      </c>
      <c r="H7771" s="7">
        <v>2.0</v>
      </c>
      <c r="I7771" s="7">
        <v>3.0</v>
      </c>
      <c r="J7771" s="7">
        <v>1.0</v>
      </c>
      <c r="K7771" s="7">
        <v>1.0</v>
      </c>
      <c r="L7771" s="8" t="s">
        <v>48205</v>
      </c>
      <c r="M7771" s="6" t="s">
        <v>48324</v>
      </c>
      <c r="N7771" s="6" t="s">
        <v>243</v>
      </c>
      <c r="O7771" s="8" t="s">
        <v>244</v>
      </c>
      <c r="P7771" s="6" t="s">
        <v>48207</v>
      </c>
      <c r="Q7771" s="6" t="s">
        <v>31</v>
      </c>
      <c r="R7771" s="6" t="s">
        <v>247</v>
      </c>
      <c r="S7771" s="8" t="s">
        <v>48208</v>
      </c>
      <c r="T7771" s="6" t="s">
        <v>249</v>
      </c>
      <c r="U7771" s="8" t="s">
        <v>31</v>
      </c>
      <c r="V7771" s="6" t="s">
        <v>29447</v>
      </c>
      <c r="W7771" s="6" t="s">
        <v>48203</v>
      </c>
      <c r="X7771" s="9" t="str">
        <f>HYPERLINK("https://my.pitchbook.com?p=67389-76P","View People Online")</f>
        <v>View People Online</v>
      </c>
    </row>
    <row r="7772">
      <c r="A7772" s="2" t="s">
        <v>48325</v>
      </c>
      <c r="B7772" s="2" t="s">
        <v>48326</v>
      </c>
      <c r="C7772" s="2" t="s">
        <v>213</v>
      </c>
      <c r="D7772" s="2" t="s">
        <v>12822</v>
      </c>
      <c r="E7772" s="2" t="s">
        <v>48203</v>
      </c>
      <c r="F7772" s="2" t="s">
        <v>1801</v>
      </c>
      <c r="G7772" s="2" t="s">
        <v>48327</v>
      </c>
      <c r="H7772" s="3" t="s">
        <v>31</v>
      </c>
      <c r="I7772" s="3">
        <v>1.0</v>
      </c>
      <c r="J7772" s="3">
        <v>1.0</v>
      </c>
      <c r="K7772" s="3" t="s">
        <v>31</v>
      </c>
      <c r="L7772" s="4" t="s">
        <v>48205</v>
      </c>
      <c r="M7772" s="2" t="s">
        <v>48328</v>
      </c>
      <c r="N7772" s="2" t="s">
        <v>243</v>
      </c>
      <c r="O7772" s="4" t="s">
        <v>244</v>
      </c>
      <c r="P7772" s="2" t="s">
        <v>48207</v>
      </c>
      <c r="Q7772" s="2" t="s">
        <v>31</v>
      </c>
      <c r="R7772" s="2" t="s">
        <v>247</v>
      </c>
      <c r="S7772" s="4" t="s">
        <v>48208</v>
      </c>
      <c r="T7772" s="2" t="s">
        <v>249</v>
      </c>
      <c r="U7772" s="4" t="s">
        <v>31</v>
      </c>
      <c r="V7772" s="2" t="s">
        <v>48329</v>
      </c>
      <c r="W7772" s="2" t="s">
        <v>48203</v>
      </c>
      <c r="X7772" s="5" t="str">
        <f>HYPERLINK("https://my.pitchbook.com?p=267151-33P","View People Online")</f>
        <v>View People Online</v>
      </c>
    </row>
    <row r="7773">
      <c r="A7773" s="6" t="s">
        <v>48330</v>
      </c>
      <c r="B7773" s="6" t="s">
        <v>48331</v>
      </c>
      <c r="C7773" s="6" t="s">
        <v>48332</v>
      </c>
      <c r="D7773" s="6" t="s">
        <v>48333</v>
      </c>
      <c r="E7773" s="6" t="s">
        <v>48203</v>
      </c>
      <c r="F7773" s="6" t="s">
        <v>825</v>
      </c>
      <c r="G7773" s="6" t="s">
        <v>48334</v>
      </c>
      <c r="H7773" s="7" t="s">
        <v>31</v>
      </c>
      <c r="I7773" s="7">
        <v>1.0</v>
      </c>
      <c r="J7773" s="7">
        <v>1.0</v>
      </c>
      <c r="K7773" s="7" t="s">
        <v>31</v>
      </c>
      <c r="L7773" s="8" t="s">
        <v>48205</v>
      </c>
      <c r="M7773" s="6" t="s">
        <v>48335</v>
      </c>
      <c r="N7773" s="6" t="s">
        <v>243</v>
      </c>
      <c r="O7773" s="8" t="s">
        <v>244</v>
      </c>
      <c r="P7773" s="6" t="s">
        <v>48207</v>
      </c>
      <c r="Q7773" s="6" t="s">
        <v>31</v>
      </c>
      <c r="R7773" s="6" t="s">
        <v>247</v>
      </c>
      <c r="S7773" s="8" t="s">
        <v>48208</v>
      </c>
      <c r="T7773" s="6" t="s">
        <v>249</v>
      </c>
      <c r="U7773" s="8" t="s">
        <v>31</v>
      </c>
      <c r="V7773" s="6" t="s">
        <v>48336</v>
      </c>
      <c r="W7773" s="6" t="s">
        <v>48203</v>
      </c>
      <c r="X7773" s="9" t="str">
        <f>HYPERLINK("https://my.pitchbook.com?p=267149-26P","View People Online")</f>
        <v>View People Online</v>
      </c>
    </row>
    <row r="7774">
      <c r="A7774" s="2" t="s">
        <v>48337</v>
      </c>
      <c r="B7774" s="2" t="s">
        <v>48338</v>
      </c>
      <c r="C7774" s="2" t="s">
        <v>24603</v>
      </c>
      <c r="D7774" s="2" t="s">
        <v>48339</v>
      </c>
      <c r="E7774" s="2" t="s">
        <v>48203</v>
      </c>
      <c r="F7774" s="2" t="s">
        <v>48340</v>
      </c>
      <c r="G7774" s="2" t="s">
        <v>48341</v>
      </c>
      <c r="H7774" s="3" t="s">
        <v>31</v>
      </c>
      <c r="I7774" s="3">
        <v>2.0</v>
      </c>
      <c r="J7774" s="3">
        <v>1.0</v>
      </c>
      <c r="K7774" s="3">
        <v>1.0</v>
      </c>
      <c r="L7774" s="4" t="s">
        <v>48205</v>
      </c>
      <c r="M7774" s="2" t="s">
        <v>48342</v>
      </c>
      <c r="N7774" s="2" t="s">
        <v>243</v>
      </c>
      <c r="O7774" s="4" t="s">
        <v>244</v>
      </c>
      <c r="P7774" s="2" t="s">
        <v>48207</v>
      </c>
      <c r="Q7774" s="2" t="s">
        <v>31</v>
      </c>
      <c r="R7774" s="2" t="s">
        <v>247</v>
      </c>
      <c r="S7774" s="4" t="s">
        <v>48208</v>
      </c>
      <c r="T7774" s="2" t="s">
        <v>249</v>
      </c>
      <c r="U7774" s="4" t="s">
        <v>31</v>
      </c>
      <c r="V7774" s="2" t="s">
        <v>48343</v>
      </c>
      <c r="W7774" s="2" t="s">
        <v>48203</v>
      </c>
      <c r="X7774" s="5" t="str">
        <f>HYPERLINK("https://my.pitchbook.com?p=319842-55P","View People Online")</f>
        <v>View People Online</v>
      </c>
    </row>
    <row r="7775">
      <c r="A7775" s="6" t="s">
        <v>48344</v>
      </c>
      <c r="B7775" s="6" t="s">
        <v>48345</v>
      </c>
      <c r="C7775" s="6" t="s">
        <v>5113</v>
      </c>
      <c r="D7775" s="6" t="s">
        <v>7674</v>
      </c>
      <c r="E7775" s="6" t="s">
        <v>48203</v>
      </c>
      <c r="F7775" s="6" t="s">
        <v>152</v>
      </c>
      <c r="G7775" s="6" t="s">
        <v>48346</v>
      </c>
      <c r="H7775" s="7">
        <v>5.0</v>
      </c>
      <c r="I7775" s="7">
        <v>27.0</v>
      </c>
      <c r="J7775" s="7">
        <v>3.0</v>
      </c>
      <c r="K7775" s="7">
        <v>19.0</v>
      </c>
      <c r="L7775" s="8" t="s">
        <v>48347</v>
      </c>
      <c r="M7775" s="6" t="s">
        <v>48348</v>
      </c>
      <c r="N7775" s="6" t="s">
        <v>36917</v>
      </c>
      <c r="O7775" s="8" t="s">
        <v>48349</v>
      </c>
      <c r="P7775" s="6" t="s">
        <v>48350</v>
      </c>
      <c r="Q7775" s="6" t="s">
        <v>31</v>
      </c>
      <c r="R7775" s="6" t="s">
        <v>64</v>
      </c>
      <c r="S7775" s="8" t="s">
        <v>48351</v>
      </c>
      <c r="T7775" s="6" t="s">
        <v>66</v>
      </c>
      <c r="U7775" s="8" t="s">
        <v>31</v>
      </c>
      <c r="V7775" s="6" t="s">
        <v>2379</v>
      </c>
      <c r="W7775" s="6" t="s">
        <v>48352</v>
      </c>
      <c r="X7775" s="9" t="str">
        <f>HYPERLINK("https://my.pitchbook.com?p=187401-52P","View People Online")</f>
        <v>View People Online</v>
      </c>
    </row>
    <row r="7776">
      <c r="A7776" s="10" t="s">
        <v>48353</v>
      </c>
      <c r="B7776" s="10" t="s">
        <v>48354</v>
      </c>
      <c r="C7776" s="10" t="s">
        <v>5113</v>
      </c>
      <c r="D7776" s="10" t="s">
        <v>48355</v>
      </c>
      <c r="E7776" s="10" t="s">
        <v>48203</v>
      </c>
      <c r="F7776" s="10" t="s">
        <v>583</v>
      </c>
      <c r="G7776" s="10" t="s">
        <v>48356</v>
      </c>
      <c r="H7776" s="11" t="s">
        <v>31</v>
      </c>
      <c r="I7776" s="11">
        <v>1.0</v>
      </c>
      <c r="J7776" s="11">
        <v>1.0</v>
      </c>
      <c r="K7776" s="11" t="s">
        <v>31</v>
      </c>
      <c r="L7776" s="12" t="s">
        <v>48205</v>
      </c>
      <c r="M7776" s="10" t="s">
        <v>48357</v>
      </c>
      <c r="N7776" s="10" t="s">
        <v>243</v>
      </c>
      <c r="O7776" s="12" t="s">
        <v>244</v>
      </c>
      <c r="P7776" s="10" t="s">
        <v>48207</v>
      </c>
      <c r="Q7776" s="10" t="s">
        <v>31</v>
      </c>
      <c r="R7776" s="10" t="s">
        <v>247</v>
      </c>
      <c r="S7776" s="12" t="s">
        <v>48208</v>
      </c>
      <c r="T7776" s="10" t="s">
        <v>249</v>
      </c>
      <c r="U7776" s="12" t="s">
        <v>31</v>
      </c>
      <c r="V7776" s="10" t="s">
        <v>48358</v>
      </c>
      <c r="W7776" s="10" t="s">
        <v>48203</v>
      </c>
      <c r="X7776" s="13" t="str">
        <f>HYPERLINK("https://my.pitchbook.com?p=456348-88P","View People Online")</f>
        <v>View People Online</v>
      </c>
    </row>
    <row r="7777">
      <c r="A7777" s="6" t="s">
        <v>48359</v>
      </c>
      <c r="B7777" s="6" t="s">
        <v>48360</v>
      </c>
      <c r="C7777" s="6" t="s">
        <v>24993</v>
      </c>
      <c r="D7777" s="6" t="s">
        <v>48361</v>
      </c>
      <c r="E7777" s="6" t="s">
        <v>48203</v>
      </c>
      <c r="F7777" s="6" t="s">
        <v>548</v>
      </c>
      <c r="G7777" s="6" t="s">
        <v>48362</v>
      </c>
      <c r="H7777" s="7" t="s">
        <v>31</v>
      </c>
      <c r="I7777" s="7">
        <v>1.0</v>
      </c>
      <c r="J7777" s="7">
        <v>1.0</v>
      </c>
      <c r="K7777" s="7" t="s">
        <v>31</v>
      </c>
      <c r="L7777" s="8" t="s">
        <v>48205</v>
      </c>
      <c r="M7777" s="6" t="s">
        <v>48363</v>
      </c>
      <c r="N7777" s="6" t="s">
        <v>243</v>
      </c>
      <c r="O7777" s="8" t="s">
        <v>244</v>
      </c>
      <c r="P7777" s="6" t="s">
        <v>48207</v>
      </c>
      <c r="Q7777" s="6" t="s">
        <v>31</v>
      </c>
      <c r="R7777" s="6" t="s">
        <v>247</v>
      </c>
      <c r="S7777" s="8" t="s">
        <v>48208</v>
      </c>
      <c r="T7777" s="6" t="s">
        <v>249</v>
      </c>
      <c r="U7777" s="8" t="s">
        <v>31</v>
      </c>
      <c r="V7777" s="6" t="s">
        <v>48364</v>
      </c>
      <c r="W7777" s="6" t="s">
        <v>48203</v>
      </c>
      <c r="X7777" s="9" t="str">
        <f>HYPERLINK("https://my.pitchbook.com?p=134485-12P","View People Online")</f>
        <v>View People Online</v>
      </c>
    </row>
    <row r="7778">
      <c r="A7778" s="2" t="s">
        <v>48365</v>
      </c>
      <c r="B7778" s="2" t="s">
        <v>48366</v>
      </c>
      <c r="C7778" s="2" t="s">
        <v>43893</v>
      </c>
      <c r="D7778" s="2" t="s">
        <v>6004</v>
      </c>
      <c r="E7778" s="2" t="s">
        <v>48203</v>
      </c>
      <c r="F7778" s="2" t="s">
        <v>28075</v>
      </c>
      <c r="G7778" s="2" t="s">
        <v>48367</v>
      </c>
      <c r="H7778" s="3" t="s">
        <v>31</v>
      </c>
      <c r="I7778" s="3">
        <v>1.0</v>
      </c>
      <c r="J7778" s="3">
        <v>1.0</v>
      </c>
      <c r="K7778" s="3" t="s">
        <v>31</v>
      </c>
      <c r="L7778" s="4" t="s">
        <v>48368</v>
      </c>
      <c r="M7778" s="2" t="s">
        <v>48369</v>
      </c>
      <c r="N7778" s="2" t="s">
        <v>243</v>
      </c>
      <c r="O7778" s="4" t="s">
        <v>244</v>
      </c>
      <c r="P7778" s="2" t="s">
        <v>48207</v>
      </c>
      <c r="Q7778" s="2" t="s">
        <v>31</v>
      </c>
      <c r="R7778" s="2" t="s">
        <v>247</v>
      </c>
      <c r="S7778" s="4" t="s">
        <v>48208</v>
      </c>
      <c r="T7778" s="2" t="s">
        <v>249</v>
      </c>
      <c r="U7778" s="4" t="s">
        <v>31</v>
      </c>
      <c r="V7778" s="2" t="s">
        <v>28078</v>
      </c>
      <c r="W7778" s="2" t="s">
        <v>48203</v>
      </c>
      <c r="X7778" s="5" t="str">
        <f>HYPERLINK("https://my.pitchbook.com?p=59364-91P","View People Online")</f>
        <v>View People Online</v>
      </c>
    </row>
    <row r="7779">
      <c r="A7779" s="14" t="s">
        <v>48370</v>
      </c>
      <c r="B7779" s="14" t="s">
        <v>48371</v>
      </c>
      <c r="C7779" s="14" t="s">
        <v>5536</v>
      </c>
      <c r="D7779" s="14" t="s">
        <v>4494</v>
      </c>
      <c r="E7779" s="14" t="s">
        <v>48203</v>
      </c>
      <c r="F7779" s="14" t="s">
        <v>13073</v>
      </c>
      <c r="G7779" s="14" t="s">
        <v>48372</v>
      </c>
      <c r="H7779" s="15" t="s">
        <v>31</v>
      </c>
      <c r="I7779" s="15">
        <v>2.0</v>
      </c>
      <c r="J7779" s="15">
        <v>2.0</v>
      </c>
      <c r="K7779" s="15" t="s">
        <v>31</v>
      </c>
      <c r="L7779" s="16" t="s">
        <v>48205</v>
      </c>
      <c r="M7779" s="14" t="s">
        <v>48373</v>
      </c>
      <c r="N7779" s="14" t="s">
        <v>243</v>
      </c>
      <c r="O7779" s="16" t="s">
        <v>244</v>
      </c>
      <c r="P7779" s="14" t="s">
        <v>48207</v>
      </c>
      <c r="Q7779" s="14" t="s">
        <v>31</v>
      </c>
      <c r="R7779" s="14" t="s">
        <v>247</v>
      </c>
      <c r="S7779" s="16" t="s">
        <v>48208</v>
      </c>
      <c r="T7779" s="14" t="s">
        <v>249</v>
      </c>
      <c r="U7779" s="16" t="s">
        <v>31</v>
      </c>
      <c r="V7779" s="14" t="s">
        <v>48374</v>
      </c>
      <c r="W7779" s="14" t="s">
        <v>48203</v>
      </c>
      <c r="X7779" s="17" t="str">
        <f>HYPERLINK("https://my.pitchbook.com?p=170570-17P","View People Online")</f>
        <v>View People Online</v>
      </c>
    </row>
    <row r="7780">
      <c r="A7780" s="2" t="s">
        <v>48375</v>
      </c>
      <c r="B7780" s="2" t="s">
        <v>48376</v>
      </c>
      <c r="C7780" s="2" t="s">
        <v>934</v>
      </c>
      <c r="D7780" s="2" t="s">
        <v>48377</v>
      </c>
      <c r="E7780" s="2" t="s">
        <v>48203</v>
      </c>
      <c r="F7780" s="2" t="s">
        <v>548</v>
      </c>
      <c r="G7780" s="2" t="s">
        <v>48378</v>
      </c>
      <c r="H7780" s="3" t="s">
        <v>31</v>
      </c>
      <c r="I7780" s="3">
        <v>1.0</v>
      </c>
      <c r="J7780" s="3">
        <v>1.0</v>
      </c>
      <c r="K7780" s="3" t="s">
        <v>31</v>
      </c>
      <c r="L7780" s="4" t="s">
        <v>48205</v>
      </c>
      <c r="M7780" s="2" t="s">
        <v>48379</v>
      </c>
      <c r="N7780" s="2" t="s">
        <v>243</v>
      </c>
      <c r="O7780" s="4" t="s">
        <v>244</v>
      </c>
      <c r="P7780" s="2" t="s">
        <v>48207</v>
      </c>
      <c r="Q7780" s="2" t="s">
        <v>31</v>
      </c>
      <c r="R7780" s="2" t="s">
        <v>247</v>
      </c>
      <c r="S7780" s="4" t="s">
        <v>48208</v>
      </c>
      <c r="T7780" s="2" t="s">
        <v>249</v>
      </c>
      <c r="U7780" s="4" t="s">
        <v>31</v>
      </c>
      <c r="V7780" s="2" t="s">
        <v>48380</v>
      </c>
      <c r="W7780" s="2" t="s">
        <v>48203</v>
      </c>
      <c r="X7780" s="5" t="str">
        <f>HYPERLINK("https://my.pitchbook.com?p=290017-45P","View People Online")</f>
        <v>View People Online</v>
      </c>
    </row>
    <row r="7781">
      <c r="A7781" s="14" t="s">
        <v>48381</v>
      </c>
      <c r="B7781" s="14" t="s">
        <v>48382</v>
      </c>
      <c r="C7781" s="14" t="s">
        <v>39107</v>
      </c>
      <c r="D7781" s="14" t="s">
        <v>48383</v>
      </c>
      <c r="E7781" s="14" t="s">
        <v>48203</v>
      </c>
      <c r="F7781" s="14" t="s">
        <v>3665</v>
      </c>
      <c r="G7781" s="14" t="s">
        <v>48384</v>
      </c>
      <c r="H7781" s="15" t="s">
        <v>31</v>
      </c>
      <c r="I7781" s="15">
        <v>1.0</v>
      </c>
      <c r="J7781" s="15">
        <v>1.0</v>
      </c>
      <c r="K7781" s="15" t="s">
        <v>31</v>
      </c>
      <c r="L7781" s="16" t="s">
        <v>48205</v>
      </c>
      <c r="M7781" s="14" t="s">
        <v>48385</v>
      </c>
      <c r="N7781" s="14" t="s">
        <v>243</v>
      </c>
      <c r="O7781" s="16" t="s">
        <v>244</v>
      </c>
      <c r="P7781" s="14" t="s">
        <v>48207</v>
      </c>
      <c r="Q7781" s="14" t="s">
        <v>31</v>
      </c>
      <c r="R7781" s="14" t="s">
        <v>247</v>
      </c>
      <c r="S7781" s="16" t="s">
        <v>48208</v>
      </c>
      <c r="T7781" s="14" t="s">
        <v>249</v>
      </c>
      <c r="U7781" s="16" t="s">
        <v>31</v>
      </c>
      <c r="V7781" s="14" t="s">
        <v>3665</v>
      </c>
      <c r="W7781" s="14" t="s">
        <v>48203</v>
      </c>
      <c r="X7781" s="17" t="str">
        <f>HYPERLINK("https://my.pitchbook.com?p=390938-68P","View People Online")</f>
        <v>View People Online</v>
      </c>
    </row>
    <row r="7782">
      <c r="A7782" s="10" t="s">
        <v>48386</v>
      </c>
      <c r="B7782" s="10" t="s">
        <v>48387</v>
      </c>
      <c r="C7782" s="10" t="s">
        <v>1411</v>
      </c>
      <c r="D7782" s="10" t="s">
        <v>9348</v>
      </c>
      <c r="E7782" s="10" t="s">
        <v>48203</v>
      </c>
      <c r="F7782" s="10" t="s">
        <v>825</v>
      </c>
      <c r="G7782" s="10" t="s">
        <v>48388</v>
      </c>
      <c r="H7782" s="11" t="s">
        <v>31</v>
      </c>
      <c r="I7782" s="11">
        <v>1.0</v>
      </c>
      <c r="J7782" s="11">
        <v>1.0</v>
      </c>
      <c r="K7782" s="11" t="s">
        <v>31</v>
      </c>
      <c r="L7782" s="12" t="s">
        <v>48205</v>
      </c>
      <c r="M7782" s="10" t="s">
        <v>48389</v>
      </c>
      <c r="N7782" s="10" t="s">
        <v>243</v>
      </c>
      <c r="O7782" s="12" t="s">
        <v>244</v>
      </c>
      <c r="P7782" s="10" t="s">
        <v>48207</v>
      </c>
      <c r="Q7782" s="10" t="s">
        <v>31</v>
      </c>
      <c r="R7782" s="10" t="s">
        <v>247</v>
      </c>
      <c r="S7782" s="12" t="s">
        <v>48208</v>
      </c>
      <c r="T7782" s="10" t="s">
        <v>249</v>
      </c>
      <c r="U7782" s="12" t="s">
        <v>31</v>
      </c>
      <c r="V7782" s="10" t="s">
        <v>48390</v>
      </c>
      <c r="W7782" s="10" t="s">
        <v>48203</v>
      </c>
      <c r="X7782" s="13" t="str">
        <f>HYPERLINK("https://my.pitchbook.com?p=290058-58P","View People Online")</f>
        <v>View People Online</v>
      </c>
    </row>
    <row r="7783">
      <c r="A7783" s="14" t="s">
        <v>48391</v>
      </c>
      <c r="B7783" s="14" t="s">
        <v>48392</v>
      </c>
      <c r="C7783" s="14" t="s">
        <v>3722</v>
      </c>
      <c r="D7783" s="14" t="s">
        <v>39025</v>
      </c>
      <c r="E7783" s="14" t="s">
        <v>48203</v>
      </c>
      <c r="F7783" s="14" t="s">
        <v>3710</v>
      </c>
      <c r="G7783" s="14" t="s">
        <v>48393</v>
      </c>
      <c r="H7783" s="15" t="s">
        <v>31</v>
      </c>
      <c r="I7783" s="15">
        <v>1.0</v>
      </c>
      <c r="J7783" s="15">
        <v>1.0</v>
      </c>
      <c r="K7783" s="15" t="s">
        <v>31</v>
      </c>
      <c r="L7783" s="16" t="s">
        <v>48205</v>
      </c>
      <c r="M7783" s="14" t="s">
        <v>48394</v>
      </c>
      <c r="N7783" s="14" t="s">
        <v>243</v>
      </c>
      <c r="O7783" s="16" t="s">
        <v>244</v>
      </c>
      <c r="P7783" s="14" t="s">
        <v>48207</v>
      </c>
      <c r="Q7783" s="14" t="s">
        <v>31</v>
      </c>
      <c r="R7783" s="14" t="s">
        <v>247</v>
      </c>
      <c r="S7783" s="16" t="s">
        <v>48208</v>
      </c>
      <c r="T7783" s="14" t="s">
        <v>249</v>
      </c>
      <c r="U7783" s="16" t="s">
        <v>31</v>
      </c>
      <c r="V7783" s="14" t="s">
        <v>46123</v>
      </c>
      <c r="W7783" s="14" t="s">
        <v>48203</v>
      </c>
      <c r="X7783" s="17" t="str">
        <f>HYPERLINK("https://my.pitchbook.com?p=89715-16P","View People Online")</f>
        <v>View People Online</v>
      </c>
    </row>
    <row r="7784">
      <c r="A7784" s="10" t="s">
        <v>48395</v>
      </c>
      <c r="B7784" s="10" t="s">
        <v>48396</v>
      </c>
      <c r="C7784" s="10" t="s">
        <v>3722</v>
      </c>
      <c r="D7784" s="10" t="s">
        <v>3275</v>
      </c>
      <c r="E7784" s="10" t="s">
        <v>48203</v>
      </c>
      <c r="F7784" s="10" t="s">
        <v>2156</v>
      </c>
      <c r="G7784" s="10" t="s">
        <v>48397</v>
      </c>
      <c r="H7784" s="11" t="s">
        <v>31</v>
      </c>
      <c r="I7784" s="11">
        <v>2.0</v>
      </c>
      <c r="J7784" s="11">
        <v>2.0</v>
      </c>
      <c r="K7784" s="11" t="s">
        <v>31</v>
      </c>
      <c r="L7784" s="12" t="s">
        <v>48205</v>
      </c>
      <c r="M7784" s="10" t="s">
        <v>48398</v>
      </c>
      <c r="N7784" s="10" t="s">
        <v>243</v>
      </c>
      <c r="O7784" s="12" t="s">
        <v>244</v>
      </c>
      <c r="P7784" s="10" t="s">
        <v>48207</v>
      </c>
      <c r="Q7784" s="10" t="s">
        <v>31</v>
      </c>
      <c r="R7784" s="10" t="s">
        <v>247</v>
      </c>
      <c r="S7784" s="12" t="s">
        <v>48208</v>
      </c>
      <c r="T7784" s="10" t="s">
        <v>249</v>
      </c>
      <c r="U7784" s="12" t="s">
        <v>31</v>
      </c>
      <c r="V7784" s="10" t="s">
        <v>48399</v>
      </c>
      <c r="W7784" s="10" t="s">
        <v>48203</v>
      </c>
      <c r="X7784" s="13" t="str">
        <f>HYPERLINK("https://my.pitchbook.com?p=354252-97P","View People Online")</f>
        <v>View People Online</v>
      </c>
    </row>
    <row r="7785">
      <c r="A7785" s="14" t="s">
        <v>48400</v>
      </c>
      <c r="B7785" s="14" t="s">
        <v>48401</v>
      </c>
      <c r="C7785" s="14" t="s">
        <v>48402</v>
      </c>
      <c r="D7785" s="14" t="s">
        <v>35281</v>
      </c>
      <c r="E7785" s="14" t="s">
        <v>48203</v>
      </c>
      <c r="F7785" s="14" t="s">
        <v>7948</v>
      </c>
      <c r="G7785" s="14" t="s">
        <v>48403</v>
      </c>
      <c r="H7785" s="15" t="s">
        <v>31</v>
      </c>
      <c r="I7785" s="15">
        <v>1.0</v>
      </c>
      <c r="J7785" s="15">
        <v>1.0</v>
      </c>
      <c r="K7785" s="15" t="s">
        <v>31</v>
      </c>
      <c r="L7785" s="16" t="s">
        <v>48205</v>
      </c>
      <c r="M7785" s="14" t="s">
        <v>48404</v>
      </c>
      <c r="N7785" s="14" t="s">
        <v>243</v>
      </c>
      <c r="O7785" s="16" t="s">
        <v>244</v>
      </c>
      <c r="P7785" s="14" t="s">
        <v>48207</v>
      </c>
      <c r="Q7785" s="14" t="s">
        <v>31</v>
      </c>
      <c r="R7785" s="14" t="s">
        <v>247</v>
      </c>
      <c r="S7785" s="16" t="s">
        <v>48208</v>
      </c>
      <c r="T7785" s="14" t="s">
        <v>249</v>
      </c>
      <c r="U7785" s="16" t="s">
        <v>31</v>
      </c>
      <c r="V7785" s="14" t="s">
        <v>48405</v>
      </c>
      <c r="W7785" s="14" t="s">
        <v>48203</v>
      </c>
      <c r="X7785" s="17" t="str">
        <f>HYPERLINK("https://my.pitchbook.com?p=104868-10P","View People Online")</f>
        <v>View People Online</v>
      </c>
    </row>
    <row r="7786">
      <c r="A7786" s="2" t="s">
        <v>48406</v>
      </c>
      <c r="B7786" s="2" t="s">
        <v>48407</v>
      </c>
      <c r="C7786" s="2" t="s">
        <v>25350</v>
      </c>
      <c r="D7786" s="2" t="s">
        <v>48408</v>
      </c>
      <c r="E7786" s="2" t="s">
        <v>48203</v>
      </c>
      <c r="F7786" s="2" t="s">
        <v>371</v>
      </c>
      <c r="G7786" s="2" t="s">
        <v>48409</v>
      </c>
      <c r="H7786" s="3" t="s">
        <v>31</v>
      </c>
      <c r="I7786" s="3">
        <v>1.0</v>
      </c>
      <c r="J7786" s="3">
        <v>1.0</v>
      </c>
      <c r="K7786" s="3" t="s">
        <v>31</v>
      </c>
      <c r="L7786" s="4" t="s">
        <v>48205</v>
      </c>
      <c r="M7786" s="2" t="s">
        <v>48410</v>
      </c>
      <c r="N7786" s="2" t="s">
        <v>243</v>
      </c>
      <c r="O7786" s="4" t="s">
        <v>244</v>
      </c>
      <c r="P7786" s="2" t="s">
        <v>48207</v>
      </c>
      <c r="Q7786" s="2" t="s">
        <v>31</v>
      </c>
      <c r="R7786" s="2" t="s">
        <v>247</v>
      </c>
      <c r="S7786" s="4" t="s">
        <v>48208</v>
      </c>
      <c r="T7786" s="2" t="s">
        <v>249</v>
      </c>
      <c r="U7786" s="4" t="s">
        <v>31</v>
      </c>
      <c r="V7786" s="2" t="s">
        <v>10442</v>
      </c>
      <c r="W7786" s="2" t="s">
        <v>48203</v>
      </c>
      <c r="X7786" s="5" t="str">
        <f>HYPERLINK("https://my.pitchbook.com?p=141331-60P","View People Online")</f>
        <v>View People Online</v>
      </c>
    </row>
    <row r="7787">
      <c r="A7787" s="6" t="s">
        <v>48411</v>
      </c>
      <c r="B7787" s="6" t="s">
        <v>48412</v>
      </c>
      <c r="C7787" s="6" t="s">
        <v>7372</v>
      </c>
      <c r="D7787" s="6" t="s">
        <v>48413</v>
      </c>
      <c r="E7787" s="6" t="s">
        <v>48203</v>
      </c>
      <c r="F7787" s="6" t="s">
        <v>4406</v>
      </c>
      <c r="G7787" s="6" t="s">
        <v>48414</v>
      </c>
      <c r="H7787" s="7" t="s">
        <v>31</v>
      </c>
      <c r="I7787" s="7">
        <v>1.0</v>
      </c>
      <c r="J7787" s="7">
        <v>1.0</v>
      </c>
      <c r="K7787" s="7" t="s">
        <v>31</v>
      </c>
      <c r="L7787" s="8" t="s">
        <v>48205</v>
      </c>
      <c r="M7787" s="6" t="s">
        <v>48415</v>
      </c>
      <c r="N7787" s="6" t="s">
        <v>243</v>
      </c>
      <c r="O7787" s="8" t="s">
        <v>244</v>
      </c>
      <c r="P7787" s="6" t="s">
        <v>48207</v>
      </c>
      <c r="Q7787" s="6" t="s">
        <v>31</v>
      </c>
      <c r="R7787" s="6" t="s">
        <v>247</v>
      </c>
      <c r="S7787" s="8" t="s">
        <v>48208</v>
      </c>
      <c r="T7787" s="6" t="s">
        <v>249</v>
      </c>
      <c r="U7787" s="8" t="s">
        <v>31</v>
      </c>
      <c r="V7787" s="6" t="s">
        <v>4406</v>
      </c>
      <c r="W7787" s="6" t="s">
        <v>48203</v>
      </c>
      <c r="X7787" s="9" t="str">
        <f>HYPERLINK("https://my.pitchbook.com?p=277349-95P","View People Online")</f>
        <v>View People Online</v>
      </c>
    </row>
    <row r="7788">
      <c r="A7788" s="10" t="s">
        <v>48416</v>
      </c>
      <c r="B7788" s="10" t="s">
        <v>48417</v>
      </c>
      <c r="C7788" s="10" t="s">
        <v>10162</v>
      </c>
      <c r="D7788" s="10" t="s">
        <v>28011</v>
      </c>
      <c r="E7788" s="10" t="s">
        <v>48418</v>
      </c>
      <c r="F7788" s="10" t="s">
        <v>548</v>
      </c>
      <c r="G7788" s="10" t="s">
        <v>48419</v>
      </c>
      <c r="H7788" s="11" t="s">
        <v>31</v>
      </c>
      <c r="I7788" s="11">
        <v>1.0</v>
      </c>
      <c r="J7788" s="11">
        <v>1.0</v>
      </c>
      <c r="K7788" s="11" t="s">
        <v>31</v>
      </c>
      <c r="L7788" s="12" t="s">
        <v>48420</v>
      </c>
      <c r="M7788" s="10" t="s">
        <v>48421</v>
      </c>
      <c r="N7788" s="10" t="s">
        <v>29324</v>
      </c>
      <c r="O7788" s="12" t="s">
        <v>48422</v>
      </c>
      <c r="P7788" s="10" t="s">
        <v>48423</v>
      </c>
      <c r="Q7788" s="10" t="s">
        <v>31</v>
      </c>
      <c r="R7788" s="10" t="s">
        <v>93</v>
      </c>
      <c r="S7788" s="12" t="s">
        <v>48424</v>
      </c>
      <c r="T7788" s="10" t="s">
        <v>66</v>
      </c>
      <c r="U7788" s="12" t="s">
        <v>31</v>
      </c>
      <c r="V7788" s="10" t="s">
        <v>48425</v>
      </c>
      <c r="W7788" s="10" t="s">
        <v>48418</v>
      </c>
      <c r="X7788" s="13" t="str">
        <f>HYPERLINK("https://my.pitchbook.com?p=259329-88P","View People Online")</f>
        <v>View People Online</v>
      </c>
    </row>
    <row r="7789">
      <c r="A7789" s="6" t="s">
        <v>48426</v>
      </c>
      <c r="B7789" s="6" t="s">
        <v>48427</v>
      </c>
      <c r="C7789" s="6" t="s">
        <v>48428</v>
      </c>
      <c r="D7789" s="6" t="s">
        <v>25067</v>
      </c>
      <c r="E7789" s="6" t="s">
        <v>48418</v>
      </c>
      <c r="F7789" s="6" t="s">
        <v>1801</v>
      </c>
      <c r="G7789" s="6" t="s">
        <v>48429</v>
      </c>
      <c r="H7789" s="7" t="s">
        <v>31</v>
      </c>
      <c r="I7789" s="7">
        <v>1.0</v>
      </c>
      <c r="J7789" s="7">
        <v>1.0</v>
      </c>
      <c r="K7789" s="7" t="s">
        <v>31</v>
      </c>
      <c r="L7789" s="8" t="s">
        <v>48420</v>
      </c>
      <c r="M7789" s="6" t="s">
        <v>48430</v>
      </c>
      <c r="N7789" s="6" t="s">
        <v>29324</v>
      </c>
      <c r="O7789" s="8" t="s">
        <v>48422</v>
      </c>
      <c r="P7789" s="6" t="s">
        <v>48423</v>
      </c>
      <c r="Q7789" s="6" t="s">
        <v>31</v>
      </c>
      <c r="R7789" s="6" t="s">
        <v>93</v>
      </c>
      <c r="S7789" s="8" t="s">
        <v>48424</v>
      </c>
      <c r="T7789" s="6" t="s">
        <v>66</v>
      </c>
      <c r="U7789" s="8" t="s">
        <v>31</v>
      </c>
      <c r="V7789" s="6" t="s">
        <v>48431</v>
      </c>
      <c r="W7789" s="6" t="s">
        <v>48418</v>
      </c>
      <c r="X7789" s="9" t="str">
        <f>HYPERLINK("https://my.pitchbook.com?p=297565-93P","View People Online")</f>
        <v>View People Online</v>
      </c>
    </row>
    <row r="7790">
      <c r="A7790" s="10" t="s">
        <v>48432</v>
      </c>
      <c r="B7790" s="10" t="s">
        <v>48433</v>
      </c>
      <c r="C7790" s="10" t="s">
        <v>48434</v>
      </c>
      <c r="D7790" s="10" t="s">
        <v>15398</v>
      </c>
      <c r="E7790" s="10" t="s">
        <v>48418</v>
      </c>
      <c r="F7790" s="10" t="s">
        <v>270</v>
      </c>
      <c r="G7790" s="10" t="s">
        <v>48435</v>
      </c>
      <c r="H7790" s="11" t="s">
        <v>31</v>
      </c>
      <c r="I7790" s="11">
        <v>1.0</v>
      </c>
      <c r="J7790" s="11">
        <v>1.0</v>
      </c>
      <c r="K7790" s="11" t="s">
        <v>31</v>
      </c>
      <c r="L7790" s="12" t="s">
        <v>48420</v>
      </c>
      <c r="M7790" s="10" t="s">
        <v>31</v>
      </c>
      <c r="N7790" s="10" t="s">
        <v>29324</v>
      </c>
      <c r="O7790" s="12" t="s">
        <v>48422</v>
      </c>
      <c r="P7790" s="10" t="s">
        <v>48423</v>
      </c>
      <c r="Q7790" s="10" t="s">
        <v>31</v>
      </c>
      <c r="R7790" s="10" t="s">
        <v>93</v>
      </c>
      <c r="S7790" s="12" t="s">
        <v>48424</v>
      </c>
      <c r="T7790" s="10" t="s">
        <v>66</v>
      </c>
      <c r="U7790" s="12" t="s">
        <v>31</v>
      </c>
      <c r="V7790" s="10" t="s">
        <v>48436</v>
      </c>
      <c r="W7790" s="10" t="s">
        <v>48418</v>
      </c>
      <c r="X7790" s="13" t="str">
        <f>HYPERLINK("https://my.pitchbook.com?p=259128-37P","View People Online")</f>
        <v>View People Online</v>
      </c>
    </row>
    <row r="7791">
      <c r="A7791" s="6" t="s">
        <v>48437</v>
      </c>
      <c r="B7791" s="6" t="s">
        <v>48438</v>
      </c>
      <c r="C7791" s="6" t="s">
        <v>69</v>
      </c>
      <c r="D7791" s="6" t="s">
        <v>48439</v>
      </c>
      <c r="E7791" s="6" t="s">
        <v>48418</v>
      </c>
      <c r="F7791" s="6" t="s">
        <v>270</v>
      </c>
      <c r="G7791" s="6" t="s">
        <v>48440</v>
      </c>
      <c r="H7791" s="7" t="s">
        <v>31</v>
      </c>
      <c r="I7791" s="7">
        <v>1.0</v>
      </c>
      <c r="J7791" s="7">
        <v>1.0</v>
      </c>
      <c r="K7791" s="7" t="s">
        <v>31</v>
      </c>
      <c r="L7791" s="8" t="s">
        <v>48420</v>
      </c>
      <c r="M7791" s="6" t="s">
        <v>48441</v>
      </c>
      <c r="N7791" s="6" t="s">
        <v>29324</v>
      </c>
      <c r="O7791" s="8" t="s">
        <v>48422</v>
      </c>
      <c r="P7791" s="6" t="s">
        <v>48423</v>
      </c>
      <c r="Q7791" s="6" t="s">
        <v>31</v>
      </c>
      <c r="R7791" s="6" t="s">
        <v>93</v>
      </c>
      <c r="S7791" s="8" t="s">
        <v>48424</v>
      </c>
      <c r="T7791" s="6" t="s">
        <v>66</v>
      </c>
      <c r="U7791" s="8" t="s">
        <v>31</v>
      </c>
      <c r="V7791" s="6" t="s">
        <v>48442</v>
      </c>
      <c r="W7791" s="6" t="s">
        <v>48418</v>
      </c>
      <c r="X7791" s="9" t="str">
        <f>HYPERLINK("https://my.pitchbook.com?p=297462-79P","View People Online")</f>
        <v>View People Online</v>
      </c>
    </row>
    <row r="7792">
      <c r="A7792" s="10" t="s">
        <v>48443</v>
      </c>
      <c r="B7792" s="10" t="s">
        <v>48444</v>
      </c>
      <c r="C7792" s="10" t="s">
        <v>1449</v>
      </c>
      <c r="D7792" s="10" t="s">
        <v>48445</v>
      </c>
      <c r="E7792" s="10" t="s">
        <v>48418</v>
      </c>
      <c r="F7792" s="10" t="s">
        <v>270</v>
      </c>
      <c r="G7792" s="10" t="s">
        <v>48446</v>
      </c>
      <c r="H7792" s="11" t="s">
        <v>31</v>
      </c>
      <c r="I7792" s="11">
        <v>1.0</v>
      </c>
      <c r="J7792" s="11">
        <v>1.0</v>
      </c>
      <c r="K7792" s="11" t="s">
        <v>31</v>
      </c>
      <c r="L7792" s="12" t="s">
        <v>48420</v>
      </c>
      <c r="M7792" s="10" t="s">
        <v>48447</v>
      </c>
      <c r="N7792" s="10" t="s">
        <v>29324</v>
      </c>
      <c r="O7792" s="12" t="s">
        <v>48422</v>
      </c>
      <c r="P7792" s="10" t="s">
        <v>48423</v>
      </c>
      <c r="Q7792" s="10" t="s">
        <v>31</v>
      </c>
      <c r="R7792" s="10" t="s">
        <v>93</v>
      </c>
      <c r="S7792" s="12" t="s">
        <v>48424</v>
      </c>
      <c r="T7792" s="10" t="s">
        <v>66</v>
      </c>
      <c r="U7792" s="12" t="s">
        <v>31</v>
      </c>
      <c r="V7792" s="10" t="s">
        <v>48448</v>
      </c>
      <c r="W7792" s="10" t="s">
        <v>48418</v>
      </c>
      <c r="X7792" s="13" t="str">
        <f>HYPERLINK("https://my.pitchbook.com?p=229078-18P","View People Online")</f>
        <v>View People Online</v>
      </c>
    </row>
    <row r="7793">
      <c r="A7793" s="6" t="s">
        <v>48449</v>
      </c>
      <c r="B7793" s="6" t="s">
        <v>48450</v>
      </c>
      <c r="C7793" s="6" t="s">
        <v>8698</v>
      </c>
      <c r="D7793" s="6" t="s">
        <v>48451</v>
      </c>
      <c r="E7793" s="6" t="s">
        <v>48418</v>
      </c>
      <c r="F7793" s="6" t="s">
        <v>270</v>
      </c>
      <c r="G7793" s="6" t="s">
        <v>48452</v>
      </c>
      <c r="H7793" s="7" t="s">
        <v>31</v>
      </c>
      <c r="I7793" s="7">
        <v>1.0</v>
      </c>
      <c r="J7793" s="7">
        <v>1.0</v>
      </c>
      <c r="K7793" s="7" t="s">
        <v>31</v>
      </c>
      <c r="L7793" s="8" t="s">
        <v>48420</v>
      </c>
      <c r="M7793" s="6" t="s">
        <v>48453</v>
      </c>
      <c r="N7793" s="6" t="s">
        <v>29324</v>
      </c>
      <c r="O7793" s="8" t="s">
        <v>48422</v>
      </c>
      <c r="P7793" s="6" t="s">
        <v>48423</v>
      </c>
      <c r="Q7793" s="6" t="s">
        <v>31</v>
      </c>
      <c r="R7793" s="6" t="s">
        <v>93</v>
      </c>
      <c r="S7793" s="8" t="s">
        <v>48424</v>
      </c>
      <c r="T7793" s="6" t="s">
        <v>66</v>
      </c>
      <c r="U7793" s="8" t="s">
        <v>31</v>
      </c>
      <c r="V7793" s="6" t="s">
        <v>48454</v>
      </c>
      <c r="W7793" s="6" t="s">
        <v>48418</v>
      </c>
      <c r="X7793" s="9" t="str">
        <f>HYPERLINK("https://my.pitchbook.com?p=297243-28P","View People Online")</f>
        <v>View People Online</v>
      </c>
    </row>
    <row r="7794">
      <c r="A7794" s="10" t="s">
        <v>48455</v>
      </c>
      <c r="B7794" s="10" t="s">
        <v>48456</v>
      </c>
      <c r="C7794" s="10" t="s">
        <v>3953</v>
      </c>
      <c r="D7794" s="10" t="s">
        <v>48457</v>
      </c>
      <c r="E7794" s="10" t="s">
        <v>48418</v>
      </c>
      <c r="F7794" s="10" t="s">
        <v>713</v>
      </c>
      <c r="G7794" s="10" t="s">
        <v>48458</v>
      </c>
      <c r="H7794" s="11" t="s">
        <v>31</v>
      </c>
      <c r="I7794" s="11">
        <v>1.0</v>
      </c>
      <c r="J7794" s="11">
        <v>1.0</v>
      </c>
      <c r="K7794" s="11" t="s">
        <v>31</v>
      </c>
      <c r="L7794" s="12" t="s">
        <v>48420</v>
      </c>
      <c r="M7794" s="10" t="s">
        <v>48459</v>
      </c>
      <c r="N7794" s="10" t="s">
        <v>29324</v>
      </c>
      <c r="O7794" s="12" t="s">
        <v>48422</v>
      </c>
      <c r="P7794" s="10" t="s">
        <v>48423</v>
      </c>
      <c r="Q7794" s="10" t="s">
        <v>31</v>
      </c>
      <c r="R7794" s="10" t="s">
        <v>93</v>
      </c>
      <c r="S7794" s="12" t="s">
        <v>48424</v>
      </c>
      <c r="T7794" s="10" t="s">
        <v>66</v>
      </c>
      <c r="U7794" s="12" t="s">
        <v>31</v>
      </c>
      <c r="V7794" s="10" t="s">
        <v>48460</v>
      </c>
      <c r="W7794" s="10" t="s">
        <v>48418</v>
      </c>
      <c r="X7794" s="13" t="str">
        <f>HYPERLINK("https://my.pitchbook.com?p=180260-56P","View People Online")</f>
        <v>View People Online</v>
      </c>
    </row>
    <row r="7795">
      <c r="A7795" s="6" t="s">
        <v>48461</v>
      </c>
      <c r="B7795" s="6" t="s">
        <v>48462</v>
      </c>
      <c r="C7795" s="6" t="s">
        <v>23747</v>
      </c>
      <c r="D7795" s="6" t="s">
        <v>7578</v>
      </c>
      <c r="E7795" s="6" t="s">
        <v>48418</v>
      </c>
      <c r="F7795" s="6" t="s">
        <v>548</v>
      </c>
      <c r="G7795" s="6" t="s">
        <v>48463</v>
      </c>
      <c r="H7795" s="7" t="s">
        <v>31</v>
      </c>
      <c r="I7795" s="7">
        <v>1.0</v>
      </c>
      <c r="J7795" s="7">
        <v>1.0</v>
      </c>
      <c r="K7795" s="7" t="s">
        <v>31</v>
      </c>
      <c r="L7795" s="8" t="s">
        <v>48420</v>
      </c>
      <c r="M7795" s="6" t="s">
        <v>48464</v>
      </c>
      <c r="N7795" s="6" t="s">
        <v>29324</v>
      </c>
      <c r="O7795" s="8" t="s">
        <v>48422</v>
      </c>
      <c r="P7795" s="6" t="s">
        <v>48423</v>
      </c>
      <c r="Q7795" s="6" t="s">
        <v>31</v>
      </c>
      <c r="R7795" s="6" t="s">
        <v>93</v>
      </c>
      <c r="S7795" s="8" t="s">
        <v>48424</v>
      </c>
      <c r="T7795" s="6" t="s">
        <v>66</v>
      </c>
      <c r="U7795" s="8" t="s">
        <v>31</v>
      </c>
      <c r="V7795" s="6" t="s">
        <v>48465</v>
      </c>
      <c r="W7795" s="6" t="s">
        <v>48418</v>
      </c>
      <c r="X7795" s="9" t="str">
        <f>HYPERLINK("https://my.pitchbook.com?p=259334-74P","View People Online")</f>
        <v>View People Online</v>
      </c>
    </row>
    <row r="7796">
      <c r="A7796" s="10" t="s">
        <v>48466</v>
      </c>
      <c r="B7796" s="10" t="s">
        <v>48467</v>
      </c>
      <c r="C7796" s="10" t="s">
        <v>323</v>
      </c>
      <c r="D7796" s="10" t="s">
        <v>3132</v>
      </c>
      <c r="E7796" s="10" t="s">
        <v>48418</v>
      </c>
      <c r="F7796" s="10" t="s">
        <v>548</v>
      </c>
      <c r="G7796" s="10" t="s">
        <v>48468</v>
      </c>
      <c r="H7796" s="11" t="s">
        <v>31</v>
      </c>
      <c r="I7796" s="11">
        <v>1.0</v>
      </c>
      <c r="J7796" s="11">
        <v>1.0</v>
      </c>
      <c r="K7796" s="11" t="s">
        <v>31</v>
      </c>
      <c r="L7796" s="12" t="s">
        <v>48420</v>
      </c>
      <c r="M7796" s="10" t="s">
        <v>48469</v>
      </c>
      <c r="N7796" s="10" t="s">
        <v>29324</v>
      </c>
      <c r="O7796" s="12" t="s">
        <v>48422</v>
      </c>
      <c r="P7796" s="10" t="s">
        <v>48423</v>
      </c>
      <c r="Q7796" s="10" t="s">
        <v>31</v>
      </c>
      <c r="R7796" s="10" t="s">
        <v>93</v>
      </c>
      <c r="S7796" s="12" t="s">
        <v>48424</v>
      </c>
      <c r="T7796" s="10" t="s">
        <v>66</v>
      </c>
      <c r="U7796" s="12" t="s">
        <v>31</v>
      </c>
      <c r="V7796" s="10" t="s">
        <v>48470</v>
      </c>
      <c r="W7796" s="10" t="s">
        <v>48418</v>
      </c>
      <c r="X7796" s="13" t="str">
        <f>HYPERLINK("https://my.pitchbook.com?p=297391-51P","View People Online")</f>
        <v>View People Online</v>
      </c>
    </row>
    <row r="7797">
      <c r="A7797" s="14" t="s">
        <v>48471</v>
      </c>
      <c r="B7797" s="14" t="s">
        <v>48472</v>
      </c>
      <c r="C7797" s="14" t="s">
        <v>40491</v>
      </c>
      <c r="D7797" s="14" t="s">
        <v>3330</v>
      </c>
      <c r="E7797" s="14" t="s">
        <v>48418</v>
      </c>
      <c r="F7797" s="14" t="s">
        <v>48473</v>
      </c>
      <c r="G7797" s="14" t="s">
        <v>48474</v>
      </c>
      <c r="H7797" s="15" t="s">
        <v>31</v>
      </c>
      <c r="I7797" s="15">
        <v>1.0</v>
      </c>
      <c r="J7797" s="15">
        <v>1.0</v>
      </c>
      <c r="K7797" s="15" t="s">
        <v>31</v>
      </c>
      <c r="L7797" s="16" t="s">
        <v>48420</v>
      </c>
      <c r="M7797" s="14" t="s">
        <v>48475</v>
      </c>
      <c r="N7797" s="14" t="s">
        <v>29324</v>
      </c>
      <c r="O7797" s="16" t="s">
        <v>48422</v>
      </c>
      <c r="P7797" s="14" t="s">
        <v>48423</v>
      </c>
      <c r="Q7797" s="14" t="s">
        <v>31</v>
      </c>
      <c r="R7797" s="14" t="s">
        <v>93</v>
      </c>
      <c r="S7797" s="16" t="s">
        <v>48424</v>
      </c>
      <c r="T7797" s="14" t="s">
        <v>66</v>
      </c>
      <c r="U7797" s="16" t="s">
        <v>31</v>
      </c>
      <c r="V7797" s="14" t="s">
        <v>48476</v>
      </c>
      <c r="W7797" s="14" t="s">
        <v>48418</v>
      </c>
      <c r="X7797" s="17" t="str">
        <f>HYPERLINK("https://my.pitchbook.com?p=297460-00P","View People Online")</f>
        <v>View People Online</v>
      </c>
    </row>
    <row r="7798">
      <c r="A7798" s="10" t="s">
        <v>48477</v>
      </c>
      <c r="B7798" s="10" t="s">
        <v>48478</v>
      </c>
      <c r="C7798" s="10" t="s">
        <v>4739</v>
      </c>
      <c r="D7798" s="10" t="s">
        <v>48479</v>
      </c>
      <c r="E7798" s="10" t="s">
        <v>48418</v>
      </c>
      <c r="F7798" s="10" t="s">
        <v>270</v>
      </c>
      <c r="G7798" s="10" t="s">
        <v>48480</v>
      </c>
      <c r="H7798" s="11" t="s">
        <v>31</v>
      </c>
      <c r="I7798" s="11">
        <v>1.0</v>
      </c>
      <c r="J7798" s="11">
        <v>1.0</v>
      </c>
      <c r="K7798" s="11" t="s">
        <v>31</v>
      </c>
      <c r="L7798" s="12" t="s">
        <v>48420</v>
      </c>
      <c r="M7798" s="10" t="s">
        <v>48481</v>
      </c>
      <c r="N7798" s="10" t="s">
        <v>29324</v>
      </c>
      <c r="O7798" s="12" t="s">
        <v>48422</v>
      </c>
      <c r="P7798" s="10" t="s">
        <v>48423</v>
      </c>
      <c r="Q7798" s="10" t="s">
        <v>31</v>
      </c>
      <c r="R7798" s="10" t="s">
        <v>93</v>
      </c>
      <c r="S7798" s="12" t="s">
        <v>48424</v>
      </c>
      <c r="T7798" s="10" t="s">
        <v>66</v>
      </c>
      <c r="U7798" s="12" t="s">
        <v>31</v>
      </c>
      <c r="V7798" s="10" t="s">
        <v>48482</v>
      </c>
      <c r="W7798" s="10" t="s">
        <v>48418</v>
      </c>
      <c r="X7798" s="13" t="str">
        <f>HYPERLINK("https://my.pitchbook.com?p=297501-85P","View People Online")</f>
        <v>View People Online</v>
      </c>
    </row>
    <row r="7799">
      <c r="A7799" s="14" t="s">
        <v>48483</v>
      </c>
      <c r="B7799" s="14" t="s">
        <v>48484</v>
      </c>
      <c r="C7799" s="14" t="s">
        <v>823</v>
      </c>
      <c r="D7799" s="14" t="s">
        <v>48485</v>
      </c>
      <c r="E7799" s="14" t="s">
        <v>48418</v>
      </c>
      <c r="F7799" s="14" t="s">
        <v>8021</v>
      </c>
      <c r="G7799" s="14" t="s">
        <v>48486</v>
      </c>
      <c r="H7799" s="15" t="s">
        <v>31</v>
      </c>
      <c r="I7799" s="15">
        <v>1.0</v>
      </c>
      <c r="J7799" s="15">
        <v>1.0</v>
      </c>
      <c r="K7799" s="15" t="s">
        <v>31</v>
      </c>
      <c r="L7799" s="16" t="s">
        <v>48420</v>
      </c>
      <c r="M7799" s="14" t="s">
        <v>48487</v>
      </c>
      <c r="N7799" s="14" t="s">
        <v>29324</v>
      </c>
      <c r="O7799" s="16" t="s">
        <v>48422</v>
      </c>
      <c r="P7799" s="14" t="s">
        <v>48423</v>
      </c>
      <c r="Q7799" s="14" t="s">
        <v>31</v>
      </c>
      <c r="R7799" s="14" t="s">
        <v>93</v>
      </c>
      <c r="S7799" s="16" t="s">
        <v>48424</v>
      </c>
      <c r="T7799" s="14" t="s">
        <v>66</v>
      </c>
      <c r="U7799" s="16" t="s">
        <v>31</v>
      </c>
      <c r="V7799" s="14" t="s">
        <v>8021</v>
      </c>
      <c r="W7799" s="14" t="s">
        <v>48418</v>
      </c>
      <c r="X7799" s="17" t="str">
        <f>HYPERLINK("https://my.pitchbook.com?p=260304-13P","View People Online")</f>
        <v>View People Online</v>
      </c>
    </row>
    <row r="7800">
      <c r="A7800" s="2" t="s">
        <v>48488</v>
      </c>
      <c r="B7800" s="2" t="s">
        <v>48489</v>
      </c>
      <c r="C7800" s="2" t="s">
        <v>26</v>
      </c>
      <c r="D7800" s="2" t="s">
        <v>214</v>
      </c>
      <c r="E7800" s="2" t="s">
        <v>48418</v>
      </c>
      <c r="F7800" s="2" t="s">
        <v>221</v>
      </c>
      <c r="G7800" s="2" t="s">
        <v>48490</v>
      </c>
      <c r="H7800" s="3" t="s">
        <v>31</v>
      </c>
      <c r="I7800" s="3">
        <v>1.0</v>
      </c>
      <c r="J7800" s="3">
        <v>1.0</v>
      </c>
      <c r="K7800" s="3" t="s">
        <v>31</v>
      </c>
      <c r="L7800" s="4" t="s">
        <v>48420</v>
      </c>
      <c r="M7800" s="2" t="s">
        <v>48491</v>
      </c>
      <c r="N7800" s="2" t="s">
        <v>29324</v>
      </c>
      <c r="O7800" s="4" t="s">
        <v>48422</v>
      </c>
      <c r="P7800" s="2" t="s">
        <v>48423</v>
      </c>
      <c r="Q7800" s="2" t="s">
        <v>31</v>
      </c>
      <c r="R7800" s="2" t="s">
        <v>93</v>
      </c>
      <c r="S7800" s="4" t="s">
        <v>48424</v>
      </c>
      <c r="T7800" s="2" t="s">
        <v>66</v>
      </c>
      <c r="U7800" s="4" t="s">
        <v>31</v>
      </c>
      <c r="V7800" s="2" t="s">
        <v>48492</v>
      </c>
      <c r="W7800" s="2" t="s">
        <v>48418</v>
      </c>
      <c r="X7800" s="5" t="str">
        <f>HYPERLINK("https://my.pitchbook.com?p=297452-26P","View People Online")</f>
        <v>View People Online</v>
      </c>
    </row>
    <row r="7801">
      <c r="A7801" s="6" t="s">
        <v>48493</v>
      </c>
      <c r="B7801" s="6" t="s">
        <v>48494</v>
      </c>
      <c r="C7801" s="6" t="s">
        <v>4404</v>
      </c>
      <c r="D7801" s="6" t="s">
        <v>5890</v>
      </c>
      <c r="E7801" s="6" t="s">
        <v>48418</v>
      </c>
      <c r="F7801" s="6" t="s">
        <v>502</v>
      </c>
      <c r="G7801" s="6" t="s">
        <v>48495</v>
      </c>
      <c r="H7801" s="7" t="s">
        <v>31</v>
      </c>
      <c r="I7801" s="7">
        <v>1.0</v>
      </c>
      <c r="J7801" s="7">
        <v>1.0</v>
      </c>
      <c r="K7801" s="7" t="s">
        <v>31</v>
      </c>
      <c r="L7801" s="8" t="s">
        <v>48496</v>
      </c>
      <c r="M7801" s="6" t="s">
        <v>48497</v>
      </c>
      <c r="N7801" s="6" t="s">
        <v>1277</v>
      </c>
      <c r="O7801" s="8" t="s">
        <v>1278</v>
      </c>
      <c r="P7801" s="6" t="s">
        <v>48498</v>
      </c>
      <c r="Q7801" s="6" t="s">
        <v>48499</v>
      </c>
      <c r="R7801" s="6" t="s">
        <v>1281</v>
      </c>
      <c r="S7801" s="8" t="s">
        <v>48500</v>
      </c>
      <c r="T7801" s="6" t="s">
        <v>66</v>
      </c>
      <c r="U7801" s="8" t="s">
        <v>31</v>
      </c>
      <c r="V7801" s="6" t="s">
        <v>502</v>
      </c>
      <c r="W7801" s="6" t="s">
        <v>48418</v>
      </c>
      <c r="X7801" s="9" t="str">
        <f>HYPERLINK("https://my.pitchbook.com?p=306794-80P","View People Online")</f>
        <v>View People Online</v>
      </c>
    </row>
    <row r="7802">
      <c r="A7802" s="10" t="s">
        <v>48501</v>
      </c>
      <c r="B7802" s="10" t="s">
        <v>48502</v>
      </c>
      <c r="C7802" s="10" t="s">
        <v>48503</v>
      </c>
      <c r="D7802" s="10" t="s">
        <v>1317</v>
      </c>
      <c r="E7802" s="10" t="s">
        <v>48418</v>
      </c>
      <c r="F7802" s="10" t="s">
        <v>270</v>
      </c>
      <c r="G7802" s="10" t="s">
        <v>48504</v>
      </c>
      <c r="H7802" s="11" t="s">
        <v>31</v>
      </c>
      <c r="I7802" s="11">
        <v>1.0</v>
      </c>
      <c r="J7802" s="11">
        <v>1.0</v>
      </c>
      <c r="K7802" s="11" t="s">
        <v>31</v>
      </c>
      <c r="L7802" s="12" t="s">
        <v>48420</v>
      </c>
      <c r="M7802" s="10" t="s">
        <v>48505</v>
      </c>
      <c r="N7802" s="10" t="s">
        <v>29324</v>
      </c>
      <c r="O7802" s="12" t="s">
        <v>48422</v>
      </c>
      <c r="P7802" s="10" t="s">
        <v>48423</v>
      </c>
      <c r="Q7802" s="10" t="s">
        <v>31</v>
      </c>
      <c r="R7802" s="10" t="s">
        <v>93</v>
      </c>
      <c r="S7802" s="12" t="s">
        <v>48424</v>
      </c>
      <c r="T7802" s="10" t="s">
        <v>66</v>
      </c>
      <c r="U7802" s="12" t="s">
        <v>31</v>
      </c>
      <c r="V7802" s="10" t="s">
        <v>48506</v>
      </c>
      <c r="W7802" s="10" t="s">
        <v>48418</v>
      </c>
      <c r="X7802" s="13" t="str">
        <f>HYPERLINK("https://my.pitchbook.com?p=259332-85P","View People Online")</f>
        <v>View People Online</v>
      </c>
    </row>
    <row r="7803">
      <c r="A7803" s="14" t="s">
        <v>48507</v>
      </c>
      <c r="B7803" s="14" t="s">
        <v>48508</v>
      </c>
      <c r="C7803" s="14" t="s">
        <v>213</v>
      </c>
      <c r="D7803" s="14" t="s">
        <v>4338</v>
      </c>
      <c r="E7803" s="14" t="s">
        <v>48418</v>
      </c>
      <c r="F7803" s="14" t="s">
        <v>48509</v>
      </c>
      <c r="G7803" s="14" t="s">
        <v>48510</v>
      </c>
      <c r="H7803" s="15" t="s">
        <v>31</v>
      </c>
      <c r="I7803" s="15">
        <v>1.0</v>
      </c>
      <c r="J7803" s="15">
        <v>1.0</v>
      </c>
      <c r="K7803" s="15" t="s">
        <v>31</v>
      </c>
      <c r="L7803" s="16" t="s">
        <v>48420</v>
      </c>
      <c r="M7803" s="14" t="s">
        <v>48511</v>
      </c>
      <c r="N7803" s="14" t="s">
        <v>29324</v>
      </c>
      <c r="O7803" s="16" t="s">
        <v>48422</v>
      </c>
      <c r="P7803" s="14" t="s">
        <v>48423</v>
      </c>
      <c r="Q7803" s="14" t="s">
        <v>31</v>
      </c>
      <c r="R7803" s="14" t="s">
        <v>93</v>
      </c>
      <c r="S7803" s="16" t="s">
        <v>48424</v>
      </c>
      <c r="T7803" s="14" t="s">
        <v>66</v>
      </c>
      <c r="U7803" s="16" t="s">
        <v>31</v>
      </c>
      <c r="V7803" s="14" t="s">
        <v>48512</v>
      </c>
      <c r="W7803" s="14" t="s">
        <v>48418</v>
      </c>
      <c r="X7803" s="17" t="str">
        <f>HYPERLINK("https://my.pitchbook.com?p=270154-09P","View People Online")</f>
        <v>View People Online</v>
      </c>
    </row>
    <row r="7804">
      <c r="A7804" s="10" t="s">
        <v>48513</v>
      </c>
      <c r="B7804" s="10" t="s">
        <v>48514</v>
      </c>
      <c r="C7804" s="10" t="s">
        <v>1758</v>
      </c>
      <c r="D7804" s="10" t="s">
        <v>48515</v>
      </c>
      <c r="E7804" s="10" t="s">
        <v>48418</v>
      </c>
      <c r="F7804" s="10" t="s">
        <v>48516</v>
      </c>
      <c r="G7804" s="10" t="s">
        <v>48517</v>
      </c>
      <c r="H7804" s="11" t="s">
        <v>31</v>
      </c>
      <c r="I7804" s="11">
        <v>1.0</v>
      </c>
      <c r="J7804" s="11">
        <v>1.0</v>
      </c>
      <c r="K7804" s="11" t="s">
        <v>31</v>
      </c>
      <c r="L7804" s="12" t="s">
        <v>48420</v>
      </c>
      <c r="M7804" s="10" t="s">
        <v>48518</v>
      </c>
      <c r="N7804" s="10" t="s">
        <v>29324</v>
      </c>
      <c r="O7804" s="12" t="s">
        <v>48422</v>
      </c>
      <c r="P7804" s="10" t="s">
        <v>48423</v>
      </c>
      <c r="Q7804" s="10" t="s">
        <v>31</v>
      </c>
      <c r="R7804" s="10" t="s">
        <v>93</v>
      </c>
      <c r="S7804" s="12" t="s">
        <v>48424</v>
      </c>
      <c r="T7804" s="10" t="s">
        <v>66</v>
      </c>
      <c r="U7804" s="12" t="s">
        <v>31</v>
      </c>
      <c r="V7804" s="10" t="s">
        <v>48519</v>
      </c>
      <c r="W7804" s="10" t="s">
        <v>48418</v>
      </c>
      <c r="X7804" s="13" t="str">
        <f>HYPERLINK("https://my.pitchbook.com?p=227996-02P","View People Online")</f>
        <v>View People Online</v>
      </c>
    </row>
    <row r="7805">
      <c r="A7805" s="14" t="s">
        <v>48520</v>
      </c>
      <c r="B7805" s="14" t="s">
        <v>48521</v>
      </c>
      <c r="C7805" s="14" t="s">
        <v>2190</v>
      </c>
      <c r="D7805" s="14" t="s">
        <v>12822</v>
      </c>
      <c r="E7805" s="14" t="s">
        <v>48418</v>
      </c>
      <c r="F7805" s="14" t="s">
        <v>270</v>
      </c>
      <c r="G7805" s="14" t="s">
        <v>48522</v>
      </c>
      <c r="H7805" s="15" t="s">
        <v>31</v>
      </c>
      <c r="I7805" s="15">
        <v>1.0</v>
      </c>
      <c r="J7805" s="15">
        <v>1.0</v>
      </c>
      <c r="K7805" s="15" t="s">
        <v>31</v>
      </c>
      <c r="L7805" s="16" t="s">
        <v>48420</v>
      </c>
      <c r="M7805" s="14" t="s">
        <v>48523</v>
      </c>
      <c r="N7805" s="14" t="s">
        <v>29324</v>
      </c>
      <c r="O7805" s="16" t="s">
        <v>48422</v>
      </c>
      <c r="P7805" s="14" t="s">
        <v>48423</v>
      </c>
      <c r="Q7805" s="14" t="s">
        <v>31</v>
      </c>
      <c r="R7805" s="14" t="s">
        <v>93</v>
      </c>
      <c r="S7805" s="16" t="s">
        <v>48424</v>
      </c>
      <c r="T7805" s="14" t="s">
        <v>66</v>
      </c>
      <c r="U7805" s="16" t="s">
        <v>31</v>
      </c>
      <c r="V7805" s="14" t="s">
        <v>48524</v>
      </c>
      <c r="W7805" s="14" t="s">
        <v>48418</v>
      </c>
      <c r="X7805" s="17" t="str">
        <f>HYPERLINK("https://my.pitchbook.com?p=227979-55P","View People Online")</f>
        <v>View People Online</v>
      </c>
    </row>
    <row r="7806">
      <c r="A7806" s="2" t="s">
        <v>48525</v>
      </c>
      <c r="B7806" s="2" t="s">
        <v>48526</v>
      </c>
      <c r="C7806" s="2" t="s">
        <v>5092</v>
      </c>
      <c r="D7806" s="2" t="s">
        <v>9457</v>
      </c>
      <c r="E7806" s="2" t="s">
        <v>48418</v>
      </c>
      <c r="F7806" s="2" t="s">
        <v>1801</v>
      </c>
      <c r="G7806" s="2" t="s">
        <v>48527</v>
      </c>
      <c r="H7806" s="3" t="s">
        <v>31</v>
      </c>
      <c r="I7806" s="3">
        <v>1.0</v>
      </c>
      <c r="J7806" s="3">
        <v>1.0</v>
      </c>
      <c r="K7806" s="3" t="s">
        <v>31</v>
      </c>
      <c r="L7806" s="4" t="s">
        <v>48420</v>
      </c>
      <c r="M7806" s="2" t="s">
        <v>48528</v>
      </c>
      <c r="N7806" s="2" t="s">
        <v>29324</v>
      </c>
      <c r="O7806" s="4" t="s">
        <v>48422</v>
      </c>
      <c r="P7806" s="2" t="s">
        <v>48423</v>
      </c>
      <c r="Q7806" s="2" t="s">
        <v>31</v>
      </c>
      <c r="R7806" s="2" t="s">
        <v>93</v>
      </c>
      <c r="S7806" s="4" t="s">
        <v>48424</v>
      </c>
      <c r="T7806" s="2" t="s">
        <v>66</v>
      </c>
      <c r="U7806" s="4" t="s">
        <v>31</v>
      </c>
      <c r="V7806" s="2" t="s">
        <v>48529</v>
      </c>
      <c r="W7806" s="2" t="s">
        <v>48418</v>
      </c>
      <c r="X7806" s="5" t="str">
        <f>HYPERLINK("https://my.pitchbook.com?p=228006-55P","View People Online")</f>
        <v>View People Online</v>
      </c>
    </row>
    <row r="7807">
      <c r="A7807" s="14" t="s">
        <v>48530</v>
      </c>
      <c r="B7807" s="14" t="s">
        <v>48531</v>
      </c>
      <c r="C7807" s="14" t="s">
        <v>5092</v>
      </c>
      <c r="D7807" s="14" t="s">
        <v>48532</v>
      </c>
      <c r="E7807" s="14" t="s">
        <v>48418</v>
      </c>
      <c r="F7807" s="14" t="s">
        <v>1801</v>
      </c>
      <c r="G7807" s="14" t="s">
        <v>48533</v>
      </c>
      <c r="H7807" s="15" t="s">
        <v>31</v>
      </c>
      <c r="I7807" s="15">
        <v>3.0</v>
      </c>
      <c r="J7807" s="15">
        <v>2.0</v>
      </c>
      <c r="K7807" s="15">
        <v>1.0</v>
      </c>
      <c r="L7807" s="16" t="s">
        <v>48420</v>
      </c>
      <c r="M7807" s="14" t="s">
        <v>48534</v>
      </c>
      <c r="N7807" s="14" t="s">
        <v>29324</v>
      </c>
      <c r="O7807" s="16" t="s">
        <v>48422</v>
      </c>
      <c r="P7807" s="14" t="s">
        <v>48423</v>
      </c>
      <c r="Q7807" s="14" t="s">
        <v>31</v>
      </c>
      <c r="R7807" s="14" t="s">
        <v>93</v>
      </c>
      <c r="S7807" s="16" t="s">
        <v>48424</v>
      </c>
      <c r="T7807" s="14" t="s">
        <v>66</v>
      </c>
      <c r="U7807" s="16" t="s">
        <v>31</v>
      </c>
      <c r="V7807" s="14" t="s">
        <v>43686</v>
      </c>
      <c r="W7807" s="14" t="s">
        <v>48418</v>
      </c>
      <c r="X7807" s="17" t="str">
        <f>HYPERLINK("https://my.pitchbook.com?p=297453-88P","View People Online")</f>
        <v>View People Online</v>
      </c>
    </row>
    <row r="7808">
      <c r="A7808" s="2" t="s">
        <v>48535</v>
      </c>
      <c r="B7808" s="2" t="s">
        <v>48536</v>
      </c>
      <c r="C7808" s="2" t="s">
        <v>18713</v>
      </c>
      <c r="D7808" s="2" t="s">
        <v>48537</v>
      </c>
      <c r="E7808" s="2" t="s">
        <v>48418</v>
      </c>
      <c r="F7808" s="2" t="s">
        <v>270</v>
      </c>
      <c r="G7808" s="2" t="s">
        <v>48538</v>
      </c>
      <c r="H7808" s="3" t="s">
        <v>31</v>
      </c>
      <c r="I7808" s="3">
        <v>1.0</v>
      </c>
      <c r="J7808" s="3">
        <v>1.0</v>
      </c>
      <c r="K7808" s="3" t="s">
        <v>31</v>
      </c>
      <c r="L7808" s="4" t="s">
        <v>48420</v>
      </c>
      <c r="M7808" s="2" t="s">
        <v>31</v>
      </c>
      <c r="N7808" s="2" t="s">
        <v>29324</v>
      </c>
      <c r="O7808" s="4" t="s">
        <v>48422</v>
      </c>
      <c r="P7808" s="2" t="s">
        <v>48423</v>
      </c>
      <c r="Q7808" s="2" t="s">
        <v>31</v>
      </c>
      <c r="R7808" s="2" t="s">
        <v>93</v>
      </c>
      <c r="S7808" s="4" t="s">
        <v>48424</v>
      </c>
      <c r="T7808" s="2" t="s">
        <v>66</v>
      </c>
      <c r="U7808" s="4" t="s">
        <v>31</v>
      </c>
      <c r="V7808" s="2" t="s">
        <v>48539</v>
      </c>
      <c r="W7808" s="2" t="s">
        <v>48418</v>
      </c>
      <c r="X7808" s="5" t="str">
        <f>HYPERLINK("https://my.pitchbook.com?p=227979-82P","View People Online")</f>
        <v>View People Online</v>
      </c>
    </row>
    <row r="7809">
      <c r="A7809" s="6" t="s">
        <v>48540</v>
      </c>
      <c r="B7809" s="6" t="s">
        <v>48541</v>
      </c>
      <c r="C7809" s="6" t="s">
        <v>6010</v>
      </c>
      <c r="D7809" s="6" t="s">
        <v>48542</v>
      </c>
      <c r="E7809" s="6" t="s">
        <v>48418</v>
      </c>
      <c r="F7809" s="6" t="s">
        <v>1086</v>
      </c>
      <c r="G7809" s="6" t="s">
        <v>48543</v>
      </c>
      <c r="H7809" s="7" t="s">
        <v>31</v>
      </c>
      <c r="I7809" s="7">
        <v>1.0</v>
      </c>
      <c r="J7809" s="7">
        <v>1.0</v>
      </c>
      <c r="K7809" s="7" t="s">
        <v>31</v>
      </c>
      <c r="L7809" s="8" t="s">
        <v>48420</v>
      </c>
      <c r="M7809" s="6" t="s">
        <v>48544</v>
      </c>
      <c r="N7809" s="6" t="s">
        <v>29324</v>
      </c>
      <c r="O7809" s="8" t="s">
        <v>48422</v>
      </c>
      <c r="P7809" s="6" t="s">
        <v>48423</v>
      </c>
      <c r="Q7809" s="6" t="s">
        <v>31</v>
      </c>
      <c r="R7809" s="6" t="s">
        <v>93</v>
      </c>
      <c r="S7809" s="8" t="s">
        <v>48424</v>
      </c>
      <c r="T7809" s="6" t="s">
        <v>66</v>
      </c>
      <c r="U7809" s="8" t="s">
        <v>31</v>
      </c>
      <c r="V7809" s="6" t="s">
        <v>48545</v>
      </c>
      <c r="W7809" s="6" t="s">
        <v>48418</v>
      </c>
      <c r="X7809" s="9" t="str">
        <f>HYPERLINK("https://my.pitchbook.com?p=297349-66P","View People Online")</f>
        <v>View People Online</v>
      </c>
    </row>
    <row r="7810">
      <c r="A7810" s="2" t="s">
        <v>48546</v>
      </c>
      <c r="B7810" s="2" t="s">
        <v>48547</v>
      </c>
      <c r="C7810" s="2" t="s">
        <v>18864</v>
      </c>
      <c r="D7810" s="2" t="s">
        <v>48548</v>
      </c>
      <c r="E7810" s="2" t="s">
        <v>48418</v>
      </c>
      <c r="F7810" s="2" t="s">
        <v>270</v>
      </c>
      <c r="G7810" s="2" t="s">
        <v>48549</v>
      </c>
      <c r="H7810" s="3" t="s">
        <v>31</v>
      </c>
      <c r="I7810" s="3">
        <v>1.0</v>
      </c>
      <c r="J7810" s="3">
        <v>1.0</v>
      </c>
      <c r="K7810" s="3" t="s">
        <v>31</v>
      </c>
      <c r="L7810" s="4" t="s">
        <v>48420</v>
      </c>
      <c r="M7810" s="2" t="s">
        <v>31</v>
      </c>
      <c r="N7810" s="2" t="s">
        <v>29324</v>
      </c>
      <c r="O7810" s="4" t="s">
        <v>48422</v>
      </c>
      <c r="P7810" s="2" t="s">
        <v>48423</v>
      </c>
      <c r="Q7810" s="2" t="s">
        <v>31</v>
      </c>
      <c r="R7810" s="2" t="s">
        <v>93</v>
      </c>
      <c r="S7810" s="4" t="s">
        <v>48424</v>
      </c>
      <c r="T7810" s="2" t="s">
        <v>66</v>
      </c>
      <c r="U7810" s="4" t="s">
        <v>31</v>
      </c>
      <c r="V7810" s="2" t="s">
        <v>48506</v>
      </c>
      <c r="W7810" s="2" t="s">
        <v>48418</v>
      </c>
      <c r="X7810" s="5" t="str">
        <f>HYPERLINK("https://my.pitchbook.com?p=297555-04P","View People Online")</f>
        <v>View People Online</v>
      </c>
    </row>
    <row r="7811">
      <c r="A7811" s="6" t="s">
        <v>48550</v>
      </c>
      <c r="B7811" s="6" t="s">
        <v>48551</v>
      </c>
      <c r="C7811" s="6" t="s">
        <v>1645</v>
      </c>
      <c r="D7811" s="6" t="s">
        <v>22551</v>
      </c>
      <c r="E7811" s="6" t="s">
        <v>48418</v>
      </c>
      <c r="F7811" s="6" t="s">
        <v>3655</v>
      </c>
      <c r="G7811" s="6" t="s">
        <v>48552</v>
      </c>
      <c r="H7811" s="7">
        <v>1.0</v>
      </c>
      <c r="I7811" s="7">
        <v>3.0</v>
      </c>
      <c r="J7811" s="7">
        <v>2.0</v>
      </c>
      <c r="K7811" s="7" t="s">
        <v>31</v>
      </c>
      <c r="L7811" s="8" t="s">
        <v>48553</v>
      </c>
      <c r="M7811" s="6" t="s">
        <v>48554</v>
      </c>
      <c r="N7811" s="6" t="s">
        <v>29324</v>
      </c>
      <c r="O7811" s="8" t="s">
        <v>48422</v>
      </c>
      <c r="P7811" s="6" t="s">
        <v>48555</v>
      </c>
      <c r="Q7811" s="6" t="s">
        <v>48556</v>
      </c>
      <c r="R7811" s="6" t="s">
        <v>93</v>
      </c>
      <c r="S7811" s="8" t="s">
        <v>48424</v>
      </c>
      <c r="T7811" s="6" t="s">
        <v>66</v>
      </c>
      <c r="U7811" s="8" t="s">
        <v>31</v>
      </c>
      <c r="V7811" s="6" t="s">
        <v>48557</v>
      </c>
      <c r="W7811" s="6" t="s">
        <v>48558</v>
      </c>
      <c r="X7811" s="9" t="str">
        <f>HYPERLINK("https://my.pitchbook.com?p=259289-11P","View People Online")</f>
        <v>View People Online</v>
      </c>
    </row>
    <row r="7812">
      <c r="A7812" s="10" t="s">
        <v>48559</v>
      </c>
      <c r="B7812" s="10" t="s">
        <v>48560</v>
      </c>
      <c r="C7812" s="10" t="s">
        <v>48561</v>
      </c>
      <c r="D7812" s="10" t="s">
        <v>48562</v>
      </c>
      <c r="E7812" s="10" t="s">
        <v>48418</v>
      </c>
      <c r="F7812" s="10" t="s">
        <v>270</v>
      </c>
      <c r="G7812" s="10" t="s">
        <v>48563</v>
      </c>
      <c r="H7812" s="11" t="s">
        <v>31</v>
      </c>
      <c r="I7812" s="11">
        <v>1.0</v>
      </c>
      <c r="J7812" s="11">
        <v>1.0</v>
      </c>
      <c r="K7812" s="11" t="s">
        <v>31</v>
      </c>
      <c r="L7812" s="12" t="s">
        <v>48420</v>
      </c>
      <c r="M7812" s="10" t="s">
        <v>48564</v>
      </c>
      <c r="N7812" s="10" t="s">
        <v>29324</v>
      </c>
      <c r="O7812" s="12" t="s">
        <v>48422</v>
      </c>
      <c r="P7812" s="10" t="s">
        <v>48423</v>
      </c>
      <c r="Q7812" s="10" t="s">
        <v>31</v>
      </c>
      <c r="R7812" s="10" t="s">
        <v>93</v>
      </c>
      <c r="S7812" s="12" t="s">
        <v>48424</v>
      </c>
      <c r="T7812" s="10" t="s">
        <v>66</v>
      </c>
      <c r="U7812" s="12" t="s">
        <v>31</v>
      </c>
      <c r="V7812" s="10" t="s">
        <v>48565</v>
      </c>
      <c r="W7812" s="10" t="s">
        <v>48418</v>
      </c>
      <c r="X7812" s="13" t="str">
        <f>HYPERLINK("https://my.pitchbook.com?p=259337-62P","View People Online")</f>
        <v>View People Online</v>
      </c>
    </row>
    <row r="7813">
      <c r="A7813" s="14" t="s">
        <v>48566</v>
      </c>
      <c r="B7813" s="14" t="s">
        <v>48567</v>
      </c>
      <c r="C7813" s="14" t="s">
        <v>2388</v>
      </c>
      <c r="D7813" s="14" t="s">
        <v>7805</v>
      </c>
      <c r="E7813" s="14" t="s">
        <v>48418</v>
      </c>
      <c r="F7813" s="14" t="s">
        <v>48568</v>
      </c>
      <c r="G7813" s="14" t="s">
        <v>48569</v>
      </c>
      <c r="H7813" s="15" t="s">
        <v>31</v>
      </c>
      <c r="I7813" s="15">
        <v>1.0</v>
      </c>
      <c r="J7813" s="15">
        <v>1.0</v>
      </c>
      <c r="K7813" s="15" t="s">
        <v>31</v>
      </c>
      <c r="L7813" s="16" t="s">
        <v>48420</v>
      </c>
      <c r="M7813" s="14" t="s">
        <v>48570</v>
      </c>
      <c r="N7813" s="14" t="s">
        <v>29324</v>
      </c>
      <c r="O7813" s="16" t="s">
        <v>48422</v>
      </c>
      <c r="P7813" s="14" t="s">
        <v>48423</v>
      </c>
      <c r="Q7813" s="14" t="s">
        <v>31</v>
      </c>
      <c r="R7813" s="14" t="s">
        <v>93</v>
      </c>
      <c r="S7813" s="16" t="s">
        <v>48424</v>
      </c>
      <c r="T7813" s="14" t="s">
        <v>66</v>
      </c>
      <c r="U7813" s="16" t="s">
        <v>31</v>
      </c>
      <c r="V7813" s="14" t="s">
        <v>48571</v>
      </c>
      <c r="W7813" s="14" t="s">
        <v>48418</v>
      </c>
      <c r="X7813" s="17" t="str">
        <f>HYPERLINK("https://my.pitchbook.com?p=259211-08P","View People Online")</f>
        <v>View People Online</v>
      </c>
    </row>
    <row r="7814">
      <c r="A7814" s="2" t="s">
        <v>48572</v>
      </c>
      <c r="B7814" s="2" t="s">
        <v>48573</v>
      </c>
      <c r="C7814" s="2" t="s">
        <v>48574</v>
      </c>
      <c r="D7814" s="2" t="s">
        <v>48575</v>
      </c>
      <c r="E7814" s="2" t="s">
        <v>48418</v>
      </c>
      <c r="F7814" s="2" t="s">
        <v>1086</v>
      </c>
      <c r="G7814" s="2" t="s">
        <v>48576</v>
      </c>
      <c r="H7814" s="3">
        <v>1.0</v>
      </c>
      <c r="I7814" s="3">
        <v>2.0</v>
      </c>
      <c r="J7814" s="3">
        <v>1.0</v>
      </c>
      <c r="K7814" s="3" t="s">
        <v>31</v>
      </c>
      <c r="L7814" s="4" t="s">
        <v>48420</v>
      </c>
      <c r="M7814" s="2" t="s">
        <v>48577</v>
      </c>
      <c r="N7814" s="2" t="s">
        <v>29324</v>
      </c>
      <c r="O7814" s="4" t="s">
        <v>48422</v>
      </c>
      <c r="P7814" s="2" t="s">
        <v>48423</v>
      </c>
      <c r="Q7814" s="2" t="s">
        <v>31</v>
      </c>
      <c r="R7814" s="2" t="s">
        <v>93</v>
      </c>
      <c r="S7814" s="4" t="s">
        <v>48424</v>
      </c>
      <c r="T7814" s="2" t="s">
        <v>66</v>
      </c>
      <c r="U7814" s="4" t="s">
        <v>31</v>
      </c>
      <c r="V7814" s="2" t="s">
        <v>1086</v>
      </c>
      <c r="W7814" s="2" t="s">
        <v>48418</v>
      </c>
      <c r="X7814" s="5" t="str">
        <f>HYPERLINK("https://my.pitchbook.com?p=227887-03P","View People Online")</f>
        <v>View People Online</v>
      </c>
    </row>
    <row r="7815">
      <c r="A7815" s="6" t="s">
        <v>48578</v>
      </c>
      <c r="B7815" s="6" t="s">
        <v>48579</v>
      </c>
      <c r="C7815" s="6" t="s">
        <v>48580</v>
      </c>
      <c r="D7815" s="6" t="s">
        <v>26891</v>
      </c>
      <c r="E7815" s="6" t="s">
        <v>48418</v>
      </c>
      <c r="F7815" s="6" t="s">
        <v>1801</v>
      </c>
      <c r="G7815" s="6" t="s">
        <v>48581</v>
      </c>
      <c r="H7815" s="7" t="s">
        <v>31</v>
      </c>
      <c r="I7815" s="7">
        <v>1.0</v>
      </c>
      <c r="J7815" s="7">
        <v>1.0</v>
      </c>
      <c r="K7815" s="7" t="s">
        <v>31</v>
      </c>
      <c r="L7815" s="8" t="s">
        <v>48420</v>
      </c>
      <c r="M7815" s="6" t="s">
        <v>31</v>
      </c>
      <c r="N7815" s="6" t="s">
        <v>29324</v>
      </c>
      <c r="O7815" s="8" t="s">
        <v>48422</v>
      </c>
      <c r="P7815" s="6" t="s">
        <v>48423</v>
      </c>
      <c r="Q7815" s="6" t="s">
        <v>31</v>
      </c>
      <c r="R7815" s="6" t="s">
        <v>93</v>
      </c>
      <c r="S7815" s="8" t="s">
        <v>48424</v>
      </c>
      <c r="T7815" s="6" t="s">
        <v>66</v>
      </c>
      <c r="U7815" s="8" t="s">
        <v>31</v>
      </c>
      <c r="V7815" s="6" t="s">
        <v>48582</v>
      </c>
      <c r="W7815" s="6" t="s">
        <v>48418</v>
      </c>
      <c r="X7815" s="9" t="str">
        <f>HYPERLINK("https://my.pitchbook.com?p=227961-28P","View People Online")</f>
        <v>View People Online</v>
      </c>
    </row>
    <row r="7816">
      <c r="A7816" s="2" t="s">
        <v>48583</v>
      </c>
      <c r="B7816" s="2" t="s">
        <v>48584</v>
      </c>
      <c r="C7816" s="2" t="s">
        <v>4611</v>
      </c>
      <c r="D7816" s="2" t="s">
        <v>48585</v>
      </c>
      <c r="E7816" s="2" t="s">
        <v>48418</v>
      </c>
      <c r="F7816" s="2" t="s">
        <v>1801</v>
      </c>
      <c r="G7816" s="2" t="s">
        <v>48586</v>
      </c>
      <c r="H7816" s="3" t="s">
        <v>31</v>
      </c>
      <c r="I7816" s="3">
        <v>1.0</v>
      </c>
      <c r="J7816" s="3">
        <v>1.0</v>
      </c>
      <c r="K7816" s="3" t="s">
        <v>31</v>
      </c>
      <c r="L7816" s="4" t="s">
        <v>48420</v>
      </c>
      <c r="M7816" s="2" t="s">
        <v>48587</v>
      </c>
      <c r="N7816" s="2" t="s">
        <v>29324</v>
      </c>
      <c r="O7816" s="4" t="s">
        <v>48422</v>
      </c>
      <c r="P7816" s="2" t="s">
        <v>48423</v>
      </c>
      <c r="Q7816" s="2" t="s">
        <v>31</v>
      </c>
      <c r="R7816" s="2" t="s">
        <v>93</v>
      </c>
      <c r="S7816" s="4" t="s">
        <v>48424</v>
      </c>
      <c r="T7816" s="2" t="s">
        <v>66</v>
      </c>
      <c r="U7816" s="4" t="s">
        <v>31</v>
      </c>
      <c r="V7816" s="2" t="s">
        <v>48588</v>
      </c>
      <c r="W7816" s="2" t="s">
        <v>48418</v>
      </c>
      <c r="X7816" s="5" t="str">
        <f>HYPERLINK("https://my.pitchbook.com?p=297246-43P","View People Online")</f>
        <v>View People Online</v>
      </c>
    </row>
    <row r="7817">
      <c r="A7817" s="6" t="s">
        <v>48589</v>
      </c>
      <c r="B7817" s="6" t="s">
        <v>48590</v>
      </c>
      <c r="C7817" s="6" t="s">
        <v>4015</v>
      </c>
      <c r="D7817" s="6" t="s">
        <v>48591</v>
      </c>
      <c r="E7817" s="6" t="s">
        <v>48418</v>
      </c>
      <c r="F7817" s="6" t="s">
        <v>1801</v>
      </c>
      <c r="G7817" s="6" t="s">
        <v>48592</v>
      </c>
      <c r="H7817" s="7" t="s">
        <v>31</v>
      </c>
      <c r="I7817" s="7">
        <v>1.0</v>
      </c>
      <c r="J7817" s="7">
        <v>1.0</v>
      </c>
      <c r="K7817" s="7" t="s">
        <v>31</v>
      </c>
      <c r="L7817" s="8" t="s">
        <v>48420</v>
      </c>
      <c r="M7817" s="6" t="s">
        <v>31</v>
      </c>
      <c r="N7817" s="6" t="s">
        <v>29324</v>
      </c>
      <c r="O7817" s="8" t="s">
        <v>48422</v>
      </c>
      <c r="P7817" s="6" t="s">
        <v>48423</v>
      </c>
      <c r="Q7817" s="6" t="s">
        <v>31</v>
      </c>
      <c r="R7817" s="6" t="s">
        <v>93</v>
      </c>
      <c r="S7817" s="8" t="s">
        <v>48424</v>
      </c>
      <c r="T7817" s="6" t="s">
        <v>66</v>
      </c>
      <c r="U7817" s="8" t="s">
        <v>31</v>
      </c>
      <c r="V7817" s="6" t="s">
        <v>48593</v>
      </c>
      <c r="W7817" s="6" t="s">
        <v>48418</v>
      </c>
      <c r="X7817" s="9" t="str">
        <f>HYPERLINK("https://my.pitchbook.com?p=297276-13P","View People Online")</f>
        <v>View People Online</v>
      </c>
    </row>
    <row r="7818">
      <c r="A7818" s="2" t="s">
        <v>48594</v>
      </c>
      <c r="B7818" s="2" t="s">
        <v>48595</v>
      </c>
      <c r="C7818" s="2" t="s">
        <v>219</v>
      </c>
      <c r="D7818" s="2" t="s">
        <v>48596</v>
      </c>
      <c r="E7818" s="2" t="s">
        <v>48418</v>
      </c>
      <c r="F7818" s="2" t="s">
        <v>1086</v>
      </c>
      <c r="G7818" s="2" t="s">
        <v>48597</v>
      </c>
      <c r="H7818" s="3" t="s">
        <v>31</v>
      </c>
      <c r="I7818" s="3">
        <v>1.0</v>
      </c>
      <c r="J7818" s="3">
        <v>1.0</v>
      </c>
      <c r="K7818" s="3" t="s">
        <v>31</v>
      </c>
      <c r="L7818" s="4" t="s">
        <v>48420</v>
      </c>
      <c r="M7818" s="2" t="s">
        <v>48598</v>
      </c>
      <c r="N7818" s="2" t="s">
        <v>29324</v>
      </c>
      <c r="O7818" s="4" t="s">
        <v>48422</v>
      </c>
      <c r="P7818" s="2" t="s">
        <v>48423</v>
      </c>
      <c r="Q7818" s="2" t="s">
        <v>31</v>
      </c>
      <c r="R7818" s="2" t="s">
        <v>93</v>
      </c>
      <c r="S7818" s="4" t="s">
        <v>48424</v>
      </c>
      <c r="T7818" s="2" t="s">
        <v>66</v>
      </c>
      <c r="U7818" s="4" t="s">
        <v>31</v>
      </c>
      <c r="V7818" s="2" t="s">
        <v>1086</v>
      </c>
      <c r="W7818" s="2" t="s">
        <v>48418</v>
      </c>
      <c r="X7818" s="5" t="str">
        <f>HYPERLINK("https://my.pitchbook.com?p=229104-01P","View People Online")</f>
        <v>View People Online</v>
      </c>
    </row>
    <row r="7819">
      <c r="A7819" s="14" t="s">
        <v>48599</v>
      </c>
      <c r="B7819" s="14" t="s">
        <v>48600</v>
      </c>
      <c r="C7819" s="14" t="s">
        <v>48601</v>
      </c>
      <c r="D7819" s="14" t="s">
        <v>48602</v>
      </c>
      <c r="E7819" s="14" t="s">
        <v>48418</v>
      </c>
      <c r="F7819" s="14" t="s">
        <v>270</v>
      </c>
      <c r="G7819" s="14" t="s">
        <v>48603</v>
      </c>
      <c r="H7819" s="15" t="s">
        <v>31</v>
      </c>
      <c r="I7819" s="15">
        <v>1.0</v>
      </c>
      <c r="J7819" s="15">
        <v>1.0</v>
      </c>
      <c r="K7819" s="15" t="s">
        <v>31</v>
      </c>
      <c r="L7819" s="16" t="s">
        <v>48420</v>
      </c>
      <c r="M7819" s="14" t="s">
        <v>48604</v>
      </c>
      <c r="N7819" s="14" t="s">
        <v>29324</v>
      </c>
      <c r="O7819" s="16" t="s">
        <v>48422</v>
      </c>
      <c r="P7819" s="14" t="s">
        <v>48423</v>
      </c>
      <c r="Q7819" s="14" t="s">
        <v>31</v>
      </c>
      <c r="R7819" s="14" t="s">
        <v>93</v>
      </c>
      <c r="S7819" s="16" t="s">
        <v>48424</v>
      </c>
      <c r="T7819" s="14" t="s">
        <v>66</v>
      </c>
      <c r="U7819" s="16" t="s">
        <v>31</v>
      </c>
      <c r="V7819" s="14" t="s">
        <v>48605</v>
      </c>
      <c r="W7819" s="14" t="s">
        <v>48418</v>
      </c>
      <c r="X7819" s="17" t="str">
        <f>HYPERLINK("https://my.pitchbook.com?p=297491-32P","View People Online")</f>
        <v>View People Online</v>
      </c>
    </row>
    <row r="7820">
      <c r="A7820" s="10" t="s">
        <v>48606</v>
      </c>
      <c r="B7820" s="10" t="s">
        <v>48607</v>
      </c>
      <c r="C7820" s="10" t="s">
        <v>21767</v>
      </c>
      <c r="D7820" s="10" t="s">
        <v>48608</v>
      </c>
      <c r="E7820" s="10" t="s">
        <v>48418</v>
      </c>
      <c r="F7820" s="10" t="s">
        <v>1801</v>
      </c>
      <c r="G7820" s="10" t="s">
        <v>48609</v>
      </c>
      <c r="H7820" s="11" t="s">
        <v>31</v>
      </c>
      <c r="I7820" s="11">
        <v>4.0</v>
      </c>
      <c r="J7820" s="11">
        <v>2.0</v>
      </c>
      <c r="K7820" s="11">
        <v>2.0</v>
      </c>
      <c r="L7820" s="12" t="s">
        <v>48420</v>
      </c>
      <c r="M7820" s="10" t="s">
        <v>48610</v>
      </c>
      <c r="N7820" s="10" t="s">
        <v>29324</v>
      </c>
      <c r="O7820" s="12" t="s">
        <v>48422</v>
      </c>
      <c r="P7820" s="10" t="s">
        <v>48423</v>
      </c>
      <c r="Q7820" s="10" t="s">
        <v>31</v>
      </c>
      <c r="R7820" s="10" t="s">
        <v>93</v>
      </c>
      <c r="S7820" s="12" t="s">
        <v>48424</v>
      </c>
      <c r="T7820" s="10" t="s">
        <v>66</v>
      </c>
      <c r="U7820" s="12" t="s">
        <v>31</v>
      </c>
      <c r="V7820" s="10" t="s">
        <v>43686</v>
      </c>
      <c r="W7820" s="10" t="s">
        <v>48418</v>
      </c>
      <c r="X7820" s="13" t="str">
        <f>HYPERLINK("https://my.pitchbook.com?p=229048-39P","View People Online")</f>
        <v>View People Online</v>
      </c>
    </row>
    <row r="7821">
      <c r="A7821" s="14" t="s">
        <v>48611</v>
      </c>
      <c r="B7821" s="14" t="s">
        <v>48612</v>
      </c>
      <c r="C7821" s="14" t="s">
        <v>22586</v>
      </c>
      <c r="D7821" s="14" t="s">
        <v>48613</v>
      </c>
      <c r="E7821" s="14" t="s">
        <v>48418</v>
      </c>
      <c r="F7821" s="14" t="s">
        <v>13096</v>
      </c>
      <c r="G7821" s="14" t="s">
        <v>48614</v>
      </c>
      <c r="H7821" s="15" t="s">
        <v>31</v>
      </c>
      <c r="I7821" s="15">
        <v>1.0</v>
      </c>
      <c r="J7821" s="15">
        <v>1.0</v>
      </c>
      <c r="K7821" s="15" t="s">
        <v>31</v>
      </c>
      <c r="L7821" s="16" t="s">
        <v>48496</v>
      </c>
      <c r="M7821" s="14" t="s">
        <v>48615</v>
      </c>
      <c r="N7821" s="14" t="s">
        <v>1277</v>
      </c>
      <c r="O7821" s="16" t="s">
        <v>1278</v>
      </c>
      <c r="P7821" s="14" t="s">
        <v>48498</v>
      </c>
      <c r="Q7821" s="14" t="s">
        <v>48499</v>
      </c>
      <c r="R7821" s="14" t="s">
        <v>1281</v>
      </c>
      <c r="S7821" s="16" t="s">
        <v>48500</v>
      </c>
      <c r="T7821" s="14" t="s">
        <v>66</v>
      </c>
      <c r="U7821" s="16" t="s">
        <v>31</v>
      </c>
      <c r="V7821" s="14" t="s">
        <v>13096</v>
      </c>
      <c r="W7821" s="14" t="s">
        <v>48418</v>
      </c>
      <c r="X7821" s="17" t="str">
        <f>HYPERLINK("https://my.pitchbook.com?p=286709-05P","View People Online")</f>
        <v>View People Online</v>
      </c>
    </row>
    <row r="7822">
      <c r="A7822" s="2" t="s">
        <v>48616</v>
      </c>
      <c r="B7822" s="2" t="s">
        <v>48617</v>
      </c>
      <c r="C7822" s="2" t="s">
        <v>48618</v>
      </c>
      <c r="D7822" s="2" t="s">
        <v>16857</v>
      </c>
      <c r="E7822" s="2" t="s">
        <v>48418</v>
      </c>
      <c r="F7822" s="2" t="s">
        <v>270</v>
      </c>
      <c r="G7822" s="2" t="s">
        <v>48619</v>
      </c>
      <c r="H7822" s="3" t="s">
        <v>31</v>
      </c>
      <c r="I7822" s="3">
        <v>1.0</v>
      </c>
      <c r="J7822" s="3">
        <v>1.0</v>
      </c>
      <c r="K7822" s="3" t="s">
        <v>31</v>
      </c>
      <c r="L7822" s="4" t="s">
        <v>48420</v>
      </c>
      <c r="M7822" s="2" t="s">
        <v>48620</v>
      </c>
      <c r="N7822" s="2" t="s">
        <v>29324</v>
      </c>
      <c r="O7822" s="4" t="s">
        <v>48422</v>
      </c>
      <c r="P7822" s="2" t="s">
        <v>48423</v>
      </c>
      <c r="Q7822" s="2" t="s">
        <v>31</v>
      </c>
      <c r="R7822" s="2" t="s">
        <v>93</v>
      </c>
      <c r="S7822" s="4" t="s">
        <v>48424</v>
      </c>
      <c r="T7822" s="2" t="s">
        <v>66</v>
      </c>
      <c r="U7822" s="4" t="s">
        <v>31</v>
      </c>
      <c r="V7822" s="2" t="s">
        <v>48621</v>
      </c>
      <c r="W7822" s="2" t="s">
        <v>48418</v>
      </c>
      <c r="X7822" s="5" t="str">
        <f>HYPERLINK("https://my.pitchbook.com?p=227971-36P","View People Online")</f>
        <v>View People Online</v>
      </c>
    </row>
    <row r="7823">
      <c r="A7823" s="6" t="s">
        <v>48622</v>
      </c>
      <c r="B7823" s="6" t="s">
        <v>48623</v>
      </c>
      <c r="C7823" s="6" t="s">
        <v>7673</v>
      </c>
      <c r="D7823" s="6" t="s">
        <v>48624</v>
      </c>
      <c r="E7823" s="6" t="s">
        <v>48418</v>
      </c>
      <c r="F7823" s="6" t="s">
        <v>548</v>
      </c>
      <c r="G7823" s="6" t="s">
        <v>48625</v>
      </c>
      <c r="H7823" s="7" t="s">
        <v>31</v>
      </c>
      <c r="I7823" s="7">
        <v>50.0</v>
      </c>
      <c r="J7823" s="7">
        <v>1.0</v>
      </c>
      <c r="K7823" s="7">
        <v>49.0</v>
      </c>
      <c r="L7823" s="8" t="s">
        <v>48420</v>
      </c>
      <c r="M7823" s="6" t="s">
        <v>48626</v>
      </c>
      <c r="N7823" s="6" t="s">
        <v>29324</v>
      </c>
      <c r="O7823" s="8" t="s">
        <v>48422</v>
      </c>
      <c r="P7823" s="6" t="s">
        <v>48423</v>
      </c>
      <c r="Q7823" s="6" t="s">
        <v>31</v>
      </c>
      <c r="R7823" s="6" t="s">
        <v>93</v>
      </c>
      <c r="S7823" s="8" t="s">
        <v>48424</v>
      </c>
      <c r="T7823" s="6" t="s">
        <v>66</v>
      </c>
      <c r="U7823" s="8" t="s">
        <v>31</v>
      </c>
      <c r="V7823" s="6" t="s">
        <v>48627</v>
      </c>
      <c r="W7823" s="6" t="s">
        <v>48418</v>
      </c>
      <c r="X7823" s="9" t="str">
        <f>HYPERLINK("https://my.pitchbook.com?p=203215-06P","View People Online")</f>
        <v>View People Online</v>
      </c>
    </row>
    <row r="7824">
      <c r="A7824" s="10" t="s">
        <v>48628</v>
      </c>
      <c r="B7824" s="10" t="s">
        <v>48629</v>
      </c>
      <c r="C7824" s="10" t="s">
        <v>24384</v>
      </c>
      <c r="D7824" s="10" t="s">
        <v>48630</v>
      </c>
      <c r="E7824" s="10" t="s">
        <v>48418</v>
      </c>
      <c r="F7824" s="10" t="s">
        <v>270</v>
      </c>
      <c r="G7824" s="10" t="s">
        <v>48631</v>
      </c>
      <c r="H7824" s="11" t="s">
        <v>31</v>
      </c>
      <c r="I7824" s="11">
        <v>1.0</v>
      </c>
      <c r="J7824" s="11">
        <v>1.0</v>
      </c>
      <c r="K7824" s="11" t="s">
        <v>31</v>
      </c>
      <c r="L7824" s="12" t="s">
        <v>48420</v>
      </c>
      <c r="M7824" s="10" t="s">
        <v>31</v>
      </c>
      <c r="N7824" s="10" t="s">
        <v>29324</v>
      </c>
      <c r="O7824" s="12" t="s">
        <v>48422</v>
      </c>
      <c r="P7824" s="10" t="s">
        <v>48423</v>
      </c>
      <c r="Q7824" s="10" t="s">
        <v>31</v>
      </c>
      <c r="R7824" s="10" t="s">
        <v>93</v>
      </c>
      <c r="S7824" s="12" t="s">
        <v>48424</v>
      </c>
      <c r="T7824" s="10" t="s">
        <v>66</v>
      </c>
      <c r="U7824" s="12" t="s">
        <v>31</v>
      </c>
      <c r="V7824" s="10" t="s">
        <v>48632</v>
      </c>
      <c r="W7824" s="10" t="s">
        <v>48418</v>
      </c>
      <c r="X7824" s="13" t="str">
        <f>HYPERLINK("https://my.pitchbook.com?p=227875-15P","View People Online")</f>
        <v>View People Online</v>
      </c>
    </row>
    <row r="7825">
      <c r="A7825" s="14" t="s">
        <v>48633</v>
      </c>
      <c r="B7825" s="14" t="s">
        <v>48634</v>
      </c>
      <c r="C7825" s="14" t="s">
        <v>1697</v>
      </c>
      <c r="D7825" s="14" t="s">
        <v>11744</v>
      </c>
      <c r="E7825" s="14" t="s">
        <v>48418</v>
      </c>
      <c r="F7825" s="14" t="s">
        <v>1922</v>
      </c>
      <c r="G7825" s="14" t="s">
        <v>48635</v>
      </c>
      <c r="H7825" s="15" t="s">
        <v>31</v>
      </c>
      <c r="I7825" s="15">
        <v>1.0</v>
      </c>
      <c r="J7825" s="15">
        <v>1.0</v>
      </c>
      <c r="K7825" s="15" t="s">
        <v>31</v>
      </c>
      <c r="L7825" s="16" t="s">
        <v>48420</v>
      </c>
      <c r="M7825" s="14" t="s">
        <v>48636</v>
      </c>
      <c r="N7825" s="14" t="s">
        <v>29324</v>
      </c>
      <c r="O7825" s="16" t="s">
        <v>48422</v>
      </c>
      <c r="P7825" s="14" t="s">
        <v>48423</v>
      </c>
      <c r="Q7825" s="14" t="s">
        <v>31</v>
      </c>
      <c r="R7825" s="14" t="s">
        <v>93</v>
      </c>
      <c r="S7825" s="16" t="s">
        <v>48424</v>
      </c>
      <c r="T7825" s="14" t="s">
        <v>66</v>
      </c>
      <c r="U7825" s="16" t="s">
        <v>31</v>
      </c>
      <c r="V7825" s="14" t="s">
        <v>48637</v>
      </c>
      <c r="W7825" s="14" t="s">
        <v>48418</v>
      </c>
      <c r="X7825" s="17" t="str">
        <f>HYPERLINK("https://my.pitchbook.com?p=180263-17P","View People Online")</f>
        <v>View People Online</v>
      </c>
    </row>
    <row r="7826">
      <c r="A7826" s="10" t="s">
        <v>48638</v>
      </c>
      <c r="B7826" s="10" t="s">
        <v>48639</v>
      </c>
      <c r="C7826" s="10" t="s">
        <v>1697</v>
      </c>
      <c r="D7826" s="10" t="s">
        <v>48640</v>
      </c>
      <c r="E7826" s="10" t="s">
        <v>48418</v>
      </c>
      <c r="F7826" s="10" t="s">
        <v>1922</v>
      </c>
      <c r="G7826" s="10" t="s">
        <v>48641</v>
      </c>
      <c r="H7826" s="11" t="s">
        <v>31</v>
      </c>
      <c r="I7826" s="11">
        <v>1.0</v>
      </c>
      <c r="J7826" s="11">
        <v>1.0</v>
      </c>
      <c r="K7826" s="11" t="s">
        <v>31</v>
      </c>
      <c r="L7826" s="12" t="s">
        <v>48420</v>
      </c>
      <c r="M7826" s="10" t="s">
        <v>48642</v>
      </c>
      <c r="N7826" s="10" t="s">
        <v>29324</v>
      </c>
      <c r="O7826" s="12" t="s">
        <v>48422</v>
      </c>
      <c r="P7826" s="10" t="s">
        <v>48423</v>
      </c>
      <c r="Q7826" s="10" t="s">
        <v>31</v>
      </c>
      <c r="R7826" s="10" t="s">
        <v>93</v>
      </c>
      <c r="S7826" s="12" t="s">
        <v>48424</v>
      </c>
      <c r="T7826" s="10" t="s">
        <v>66</v>
      </c>
      <c r="U7826" s="12" t="s">
        <v>31</v>
      </c>
      <c r="V7826" s="10" t="s">
        <v>48643</v>
      </c>
      <c r="W7826" s="10" t="s">
        <v>48418</v>
      </c>
      <c r="X7826" s="13" t="str">
        <f>HYPERLINK("https://my.pitchbook.com?p=259318-36P","View People Online")</f>
        <v>View People Online</v>
      </c>
    </row>
    <row r="7827">
      <c r="A7827" s="6" t="s">
        <v>48644</v>
      </c>
      <c r="B7827" s="6" t="s">
        <v>48645</v>
      </c>
      <c r="C7827" s="6" t="s">
        <v>3875</v>
      </c>
      <c r="D7827" s="6" t="s">
        <v>1323</v>
      </c>
      <c r="E7827" s="6" t="s">
        <v>48646</v>
      </c>
      <c r="F7827" s="6" t="s">
        <v>583</v>
      </c>
      <c r="G7827" s="6" t="s">
        <v>48647</v>
      </c>
      <c r="H7827" s="7" t="s">
        <v>31</v>
      </c>
      <c r="I7827" s="7">
        <v>1.0</v>
      </c>
      <c r="J7827" s="7">
        <v>1.0</v>
      </c>
      <c r="K7827" s="7" t="s">
        <v>31</v>
      </c>
      <c r="L7827" s="8" t="s">
        <v>31</v>
      </c>
      <c r="M7827" s="6" t="s">
        <v>48648</v>
      </c>
      <c r="N7827" s="6" t="s">
        <v>48649</v>
      </c>
      <c r="O7827" s="8" t="s">
        <v>48650</v>
      </c>
      <c r="P7827" s="6" t="s">
        <v>48651</v>
      </c>
      <c r="Q7827" s="6" t="s">
        <v>31</v>
      </c>
      <c r="R7827" s="6" t="s">
        <v>396</v>
      </c>
      <c r="S7827" s="8" t="s">
        <v>48652</v>
      </c>
      <c r="T7827" s="6" t="s">
        <v>66</v>
      </c>
      <c r="U7827" s="8" t="s">
        <v>31</v>
      </c>
      <c r="V7827" s="6" t="s">
        <v>583</v>
      </c>
      <c r="W7827" s="6" t="s">
        <v>48646</v>
      </c>
      <c r="X7827" s="9" t="str">
        <f>HYPERLINK("https://my.pitchbook.com?p=411384-70P","View People Online")</f>
        <v>View People Online</v>
      </c>
    </row>
    <row r="7828">
      <c r="A7828" s="2" t="s">
        <v>48653</v>
      </c>
      <c r="B7828" s="2" t="s">
        <v>48654</v>
      </c>
      <c r="C7828" s="2" t="s">
        <v>1343</v>
      </c>
      <c r="D7828" s="2" t="s">
        <v>48655</v>
      </c>
      <c r="E7828" s="2" t="s">
        <v>48656</v>
      </c>
      <c r="F7828" s="2" t="s">
        <v>470</v>
      </c>
      <c r="G7828" s="2" t="s">
        <v>48657</v>
      </c>
      <c r="H7828" s="3" t="s">
        <v>31</v>
      </c>
      <c r="I7828" s="3">
        <v>1.0</v>
      </c>
      <c r="J7828" s="3">
        <v>1.0</v>
      </c>
      <c r="K7828" s="3" t="s">
        <v>31</v>
      </c>
      <c r="L7828" s="4" t="s">
        <v>48658</v>
      </c>
      <c r="M7828" s="2" t="s">
        <v>48659</v>
      </c>
      <c r="N7828" s="2" t="s">
        <v>1170</v>
      </c>
      <c r="O7828" s="4" t="s">
        <v>1171</v>
      </c>
      <c r="P7828" s="2" t="s">
        <v>48660</v>
      </c>
      <c r="Q7828" s="2" t="s">
        <v>31</v>
      </c>
      <c r="R7828" s="2" t="s">
        <v>64</v>
      </c>
      <c r="S7828" s="4" t="s">
        <v>48661</v>
      </c>
      <c r="T7828" s="2" t="s">
        <v>66</v>
      </c>
      <c r="U7828" s="4" t="s">
        <v>31</v>
      </c>
      <c r="V7828" s="2" t="s">
        <v>470</v>
      </c>
      <c r="W7828" s="2" t="s">
        <v>48656</v>
      </c>
      <c r="X7828" s="5" t="str">
        <f>HYPERLINK("https://my.pitchbook.com?p=120165-49P","View People Online")</f>
        <v>View People Online</v>
      </c>
    </row>
    <row r="7829">
      <c r="A7829" s="6" t="s">
        <v>48662</v>
      </c>
      <c r="B7829" s="6" t="s">
        <v>48663</v>
      </c>
      <c r="C7829" s="6" t="s">
        <v>4879</v>
      </c>
      <c r="D7829" s="6" t="s">
        <v>17115</v>
      </c>
      <c r="E7829" s="6" t="s">
        <v>48664</v>
      </c>
      <c r="F7829" s="6" t="s">
        <v>548</v>
      </c>
      <c r="G7829" s="6" t="s">
        <v>48665</v>
      </c>
      <c r="H7829" s="7" t="s">
        <v>31</v>
      </c>
      <c r="I7829" s="7">
        <v>1.0</v>
      </c>
      <c r="J7829" s="7">
        <v>1.0</v>
      </c>
      <c r="K7829" s="7" t="s">
        <v>31</v>
      </c>
      <c r="L7829" s="8" t="s">
        <v>48666</v>
      </c>
      <c r="M7829" s="6" t="s">
        <v>48667</v>
      </c>
      <c r="N7829" s="6" t="s">
        <v>612</v>
      </c>
      <c r="O7829" s="8" t="s">
        <v>613</v>
      </c>
      <c r="P7829" s="6" t="s">
        <v>48668</v>
      </c>
      <c r="Q7829" s="6" t="s">
        <v>989</v>
      </c>
      <c r="R7829" s="6" t="s">
        <v>616</v>
      </c>
      <c r="S7829" s="8" t="s">
        <v>42328</v>
      </c>
      <c r="T7829" s="6" t="s">
        <v>66</v>
      </c>
      <c r="U7829" s="8" t="s">
        <v>31</v>
      </c>
      <c r="V7829" s="6" t="s">
        <v>48669</v>
      </c>
      <c r="W7829" s="6" t="s">
        <v>48664</v>
      </c>
      <c r="X7829" s="9" t="str">
        <f>HYPERLINK("https://my.pitchbook.com?p=164392-66P","View People Online")</f>
        <v>View People Online</v>
      </c>
    </row>
    <row r="7830">
      <c r="A7830" s="10" t="s">
        <v>48670</v>
      </c>
      <c r="B7830" s="10" t="s">
        <v>48671</v>
      </c>
      <c r="C7830" s="10" t="s">
        <v>3946</v>
      </c>
      <c r="D7830" s="10" t="s">
        <v>4255</v>
      </c>
      <c r="E7830" s="10" t="s">
        <v>48664</v>
      </c>
      <c r="F7830" s="10" t="s">
        <v>1283</v>
      </c>
      <c r="G7830" s="10" t="s">
        <v>48672</v>
      </c>
      <c r="H7830" s="11" t="s">
        <v>31</v>
      </c>
      <c r="I7830" s="11">
        <v>1.0</v>
      </c>
      <c r="J7830" s="11">
        <v>1.0</v>
      </c>
      <c r="K7830" s="11" t="s">
        <v>31</v>
      </c>
      <c r="L7830" s="12" t="s">
        <v>48666</v>
      </c>
      <c r="M7830" s="10" t="s">
        <v>48673</v>
      </c>
      <c r="N7830" s="10" t="s">
        <v>612</v>
      </c>
      <c r="O7830" s="12" t="s">
        <v>613</v>
      </c>
      <c r="P7830" s="10" t="s">
        <v>48668</v>
      </c>
      <c r="Q7830" s="10" t="s">
        <v>989</v>
      </c>
      <c r="R7830" s="10" t="s">
        <v>616</v>
      </c>
      <c r="S7830" s="12" t="s">
        <v>42328</v>
      </c>
      <c r="T7830" s="10" t="s">
        <v>66</v>
      </c>
      <c r="U7830" s="12" t="s">
        <v>31</v>
      </c>
      <c r="V7830" s="10" t="s">
        <v>48674</v>
      </c>
      <c r="W7830" s="10" t="s">
        <v>48664</v>
      </c>
      <c r="X7830" s="13" t="str">
        <f>HYPERLINK("https://my.pitchbook.com?p=307216-99P","View People Online")</f>
        <v>View People Online</v>
      </c>
    </row>
    <row r="7831">
      <c r="A7831" s="14" t="s">
        <v>48675</v>
      </c>
      <c r="B7831" s="14" t="s">
        <v>48676</v>
      </c>
      <c r="C7831" s="14" t="s">
        <v>343</v>
      </c>
      <c r="D7831" s="14" t="s">
        <v>18117</v>
      </c>
      <c r="E7831" s="14" t="s">
        <v>48664</v>
      </c>
      <c r="F7831" s="14" t="s">
        <v>3600</v>
      </c>
      <c r="G7831" s="14" t="s">
        <v>48677</v>
      </c>
      <c r="H7831" s="15" t="s">
        <v>31</v>
      </c>
      <c r="I7831" s="15">
        <v>1.0</v>
      </c>
      <c r="J7831" s="15">
        <v>1.0</v>
      </c>
      <c r="K7831" s="15" t="s">
        <v>31</v>
      </c>
      <c r="L7831" s="16" t="s">
        <v>48678</v>
      </c>
      <c r="M7831" s="14" t="s">
        <v>48679</v>
      </c>
      <c r="N7831" s="14" t="s">
        <v>612</v>
      </c>
      <c r="O7831" s="16" t="s">
        <v>613</v>
      </c>
      <c r="P7831" s="14" t="s">
        <v>48668</v>
      </c>
      <c r="Q7831" s="14" t="s">
        <v>989</v>
      </c>
      <c r="R7831" s="14" t="s">
        <v>616</v>
      </c>
      <c r="S7831" s="16" t="s">
        <v>42328</v>
      </c>
      <c r="T7831" s="14" t="s">
        <v>66</v>
      </c>
      <c r="U7831" s="16" t="s">
        <v>31</v>
      </c>
      <c r="V7831" s="14" t="s">
        <v>48680</v>
      </c>
      <c r="W7831" s="14" t="s">
        <v>48664</v>
      </c>
      <c r="X7831" s="17" t="str">
        <f>HYPERLINK("https://my.pitchbook.com?p=164389-24P","View People Online")</f>
        <v>View People Online</v>
      </c>
    </row>
    <row r="7832">
      <c r="A7832" s="2" t="s">
        <v>48681</v>
      </c>
      <c r="B7832" s="2" t="s">
        <v>48682</v>
      </c>
      <c r="C7832" s="2" t="s">
        <v>3670</v>
      </c>
      <c r="D7832" s="2" t="s">
        <v>48683</v>
      </c>
      <c r="E7832" s="2" t="s">
        <v>48664</v>
      </c>
      <c r="F7832" s="2" t="s">
        <v>270</v>
      </c>
      <c r="G7832" s="2" t="s">
        <v>48684</v>
      </c>
      <c r="H7832" s="3" t="s">
        <v>31</v>
      </c>
      <c r="I7832" s="3">
        <v>1.0</v>
      </c>
      <c r="J7832" s="3">
        <v>1.0</v>
      </c>
      <c r="K7832" s="3" t="s">
        <v>31</v>
      </c>
      <c r="L7832" s="4" t="s">
        <v>48685</v>
      </c>
      <c r="M7832" s="2" t="s">
        <v>48686</v>
      </c>
      <c r="N7832" s="2" t="s">
        <v>612</v>
      </c>
      <c r="O7832" s="4" t="s">
        <v>613</v>
      </c>
      <c r="P7832" s="2" t="s">
        <v>48668</v>
      </c>
      <c r="Q7832" s="2" t="s">
        <v>989</v>
      </c>
      <c r="R7832" s="2" t="s">
        <v>616</v>
      </c>
      <c r="S7832" s="4" t="s">
        <v>42328</v>
      </c>
      <c r="T7832" s="2" t="s">
        <v>66</v>
      </c>
      <c r="U7832" s="4" t="s">
        <v>31</v>
      </c>
      <c r="V7832" s="2" t="s">
        <v>270</v>
      </c>
      <c r="W7832" s="2" t="s">
        <v>48664</v>
      </c>
      <c r="X7832" s="5" t="str">
        <f>HYPERLINK("https://my.pitchbook.com?p=434578-78P","View People Online")</f>
        <v>View People Online</v>
      </c>
    </row>
    <row r="7833">
      <c r="A7833" s="14" t="s">
        <v>48687</v>
      </c>
      <c r="B7833" s="14" t="s">
        <v>48688</v>
      </c>
      <c r="C7833" s="14" t="s">
        <v>4404</v>
      </c>
      <c r="D7833" s="14" t="s">
        <v>7578</v>
      </c>
      <c r="E7833" s="14" t="s">
        <v>48664</v>
      </c>
      <c r="F7833" s="14" t="s">
        <v>1249</v>
      </c>
      <c r="G7833" s="14" t="s">
        <v>48689</v>
      </c>
      <c r="H7833" s="15">
        <v>3.0</v>
      </c>
      <c r="I7833" s="15">
        <v>3.0</v>
      </c>
      <c r="J7833" s="15">
        <v>2.0</v>
      </c>
      <c r="K7833" s="15" t="s">
        <v>31</v>
      </c>
      <c r="L7833" s="16" t="s">
        <v>48666</v>
      </c>
      <c r="M7833" s="14" t="s">
        <v>31</v>
      </c>
      <c r="N7833" s="14" t="s">
        <v>612</v>
      </c>
      <c r="O7833" s="16" t="s">
        <v>613</v>
      </c>
      <c r="P7833" s="14" t="s">
        <v>48690</v>
      </c>
      <c r="Q7833" s="14" t="s">
        <v>989</v>
      </c>
      <c r="R7833" s="14" t="s">
        <v>616</v>
      </c>
      <c r="S7833" s="16" t="s">
        <v>42328</v>
      </c>
      <c r="T7833" s="14" t="s">
        <v>66</v>
      </c>
      <c r="U7833" s="16" t="s">
        <v>31</v>
      </c>
      <c r="V7833" s="14" t="s">
        <v>1252</v>
      </c>
      <c r="W7833" s="14" t="s">
        <v>48691</v>
      </c>
      <c r="X7833" s="17" t="str">
        <f>HYPERLINK("https://my.pitchbook.com?p=301653-91P","View People Online")</f>
        <v>View People Online</v>
      </c>
    </row>
    <row r="7834">
      <c r="A7834" s="10" t="s">
        <v>48692</v>
      </c>
      <c r="B7834" s="10" t="s">
        <v>48693</v>
      </c>
      <c r="C7834" s="10" t="s">
        <v>1630</v>
      </c>
      <c r="D7834" s="10" t="s">
        <v>40026</v>
      </c>
      <c r="E7834" s="10" t="s">
        <v>48664</v>
      </c>
      <c r="F7834" s="10" t="s">
        <v>270</v>
      </c>
      <c r="G7834" s="10" t="s">
        <v>48694</v>
      </c>
      <c r="H7834" s="11" t="s">
        <v>31</v>
      </c>
      <c r="I7834" s="11">
        <v>1.0</v>
      </c>
      <c r="J7834" s="11">
        <v>1.0</v>
      </c>
      <c r="K7834" s="11" t="s">
        <v>31</v>
      </c>
      <c r="L7834" s="12" t="s">
        <v>48666</v>
      </c>
      <c r="M7834" s="10" t="s">
        <v>31</v>
      </c>
      <c r="N7834" s="10" t="s">
        <v>612</v>
      </c>
      <c r="O7834" s="12" t="s">
        <v>613</v>
      </c>
      <c r="P7834" s="10" t="s">
        <v>48668</v>
      </c>
      <c r="Q7834" s="10" t="s">
        <v>989</v>
      </c>
      <c r="R7834" s="10" t="s">
        <v>616</v>
      </c>
      <c r="S7834" s="12" t="s">
        <v>42328</v>
      </c>
      <c r="T7834" s="10" t="s">
        <v>66</v>
      </c>
      <c r="U7834" s="12" t="s">
        <v>31</v>
      </c>
      <c r="V7834" s="10" t="s">
        <v>270</v>
      </c>
      <c r="W7834" s="10" t="s">
        <v>48664</v>
      </c>
      <c r="X7834" s="13" t="str">
        <f>HYPERLINK("https://my.pitchbook.com?p=307243-90P","View People Online")</f>
        <v>View People Online</v>
      </c>
    </row>
    <row r="7835">
      <c r="A7835" s="14" t="s">
        <v>48695</v>
      </c>
      <c r="B7835" s="14" t="s">
        <v>48696</v>
      </c>
      <c r="C7835" s="14" t="s">
        <v>18807</v>
      </c>
      <c r="D7835" s="14" t="s">
        <v>48697</v>
      </c>
      <c r="E7835" s="14" t="s">
        <v>48664</v>
      </c>
      <c r="F7835" s="14" t="s">
        <v>1283</v>
      </c>
      <c r="G7835" s="14" t="s">
        <v>48698</v>
      </c>
      <c r="H7835" s="15" t="s">
        <v>31</v>
      </c>
      <c r="I7835" s="15">
        <v>1.0</v>
      </c>
      <c r="J7835" s="15">
        <v>1.0</v>
      </c>
      <c r="K7835" s="15" t="s">
        <v>31</v>
      </c>
      <c r="L7835" s="16" t="s">
        <v>48666</v>
      </c>
      <c r="M7835" s="14" t="s">
        <v>48699</v>
      </c>
      <c r="N7835" s="14" t="s">
        <v>612</v>
      </c>
      <c r="O7835" s="16" t="s">
        <v>613</v>
      </c>
      <c r="P7835" s="14" t="s">
        <v>48668</v>
      </c>
      <c r="Q7835" s="14" t="s">
        <v>989</v>
      </c>
      <c r="R7835" s="14" t="s">
        <v>616</v>
      </c>
      <c r="S7835" s="16" t="s">
        <v>42328</v>
      </c>
      <c r="T7835" s="14" t="s">
        <v>66</v>
      </c>
      <c r="U7835" s="16" t="s">
        <v>31</v>
      </c>
      <c r="V7835" s="14" t="s">
        <v>1283</v>
      </c>
      <c r="W7835" s="14" t="s">
        <v>48664</v>
      </c>
      <c r="X7835" s="17" t="str">
        <f>HYPERLINK("https://my.pitchbook.com?p=164391-67P","View People Online")</f>
        <v>View People Online</v>
      </c>
    </row>
    <row r="7836">
      <c r="A7836" s="2" t="s">
        <v>48700</v>
      </c>
      <c r="B7836" s="2" t="s">
        <v>48701</v>
      </c>
      <c r="C7836" s="2" t="s">
        <v>160</v>
      </c>
      <c r="D7836" s="2" t="s">
        <v>8003</v>
      </c>
      <c r="E7836" s="2" t="s">
        <v>48664</v>
      </c>
      <c r="F7836" s="2" t="s">
        <v>825</v>
      </c>
      <c r="G7836" s="2" t="s">
        <v>48702</v>
      </c>
      <c r="H7836" s="3" t="s">
        <v>31</v>
      </c>
      <c r="I7836" s="3">
        <v>1.0</v>
      </c>
      <c r="J7836" s="3">
        <v>1.0</v>
      </c>
      <c r="K7836" s="3" t="s">
        <v>31</v>
      </c>
      <c r="L7836" s="4" t="s">
        <v>48666</v>
      </c>
      <c r="M7836" s="2" t="s">
        <v>48703</v>
      </c>
      <c r="N7836" s="2" t="s">
        <v>612</v>
      </c>
      <c r="O7836" s="4" t="s">
        <v>613</v>
      </c>
      <c r="P7836" s="2" t="s">
        <v>48668</v>
      </c>
      <c r="Q7836" s="2" t="s">
        <v>989</v>
      </c>
      <c r="R7836" s="2" t="s">
        <v>616</v>
      </c>
      <c r="S7836" s="4" t="s">
        <v>42328</v>
      </c>
      <c r="T7836" s="2" t="s">
        <v>66</v>
      </c>
      <c r="U7836" s="4" t="s">
        <v>31</v>
      </c>
      <c r="V7836" s="2" t="s">
        <v>48704</v>
      </c>
      <c r="W7836" s="2" t="s">
        <v>48664</v>
      </c>
      <c r="X7836" s="5" t="str">
        <f>HYPERLINK("https://my.pitchbook.com?p=95617-90P","View People Online")</f>
        <v>View People Online</v>
      </c>
    </row>
    <row r="7837">
      <c r="A7837" s="14" t="s">
        <v>48705</v>
      </c>
      <c r="B7837" s="14" t="s">
        <v>48706</v>
      </c>
      <c r="C7837" s="14" t="s">
        <v>11929</v>
      </c>
      <c r="D7837" s="14" t="s">
        <v>48707</v>
      </c>
      <c r="E7837" s="14" t="s">
        <v>48664</v>
      </c>
      <c r="F7837" s="14" t="s">
        <v>1283</v>
      </c>
      <c r="G7837" s="14" t="s">
        <v>48708</v>
      </c>
      <c r="H7837" s="15" t="s">
        <v>31</v>
      </c>
      <c r="I7837" s="15">
        <v>1.0</v>
      </c>
      <c r="J7837" s="15">
        <v>1.0</v>
      </c>
      <c r="K7837" s="15" t="s">
        <v>31</v>
      </c>
      <c r="L7837" s="16" t="s">
        <v>48666</v>
      </c>
      <c r="M7837" s="14" t="s">
        <v>48709</v>
      </c>
      <c r="N7837" s="14" t="s">
        <v>612</v>
      </c>
      <c r="O7837" s="16" t="s">
        <v>613</v>
      </c>
      <c r="P7837" s="14" t="s">
        <v>48668</v>
      </c>
      <c r="Q7837" s="14" t="s">
        <v>989</v>
      </c>
      <c r="R7837" s="14" t="s">
        <v>616</v>
      </c>
      <c r="S7837" s="16" t="s">
        <v>42328</v>
      </c>
      <c r="T7837" s="14" t="s">
        <v>66</v>
      </c>
      <c r="U7837" s="16" t="s">
        <v>31</v>
      </c>
      <c r="V7837" s="14" t="s">
        <v>48710</v>
      </c>
      <c r="W7837" s="14" t="s">
        <v>48664</v>
      </c>
      <c r="X7837" s="17" t="str">
        <f>HYPERLINK("https://my.pitchbook.com?p=164396-80P","View People Online")</f>
        <v>View People Online</v>
      </c>
    </row>
    <row r="7838">
      <c r="A7838" s="2" t="s">
        <v>48711</v>
      </c>
      <c r="B7838" s="2" t="s">
        <v>48712</v>
      </c>
      <c r="C7838" s="2" t="s">
        <v>48713</v>
      </c>
      <c r="D7838" s="2" t="s">
        <v>48714</v>
      </c>
      <c r="E7838" s="2" t="s">
        <v>48664</v>
      </c>
      <c r="F7838" s="2" t="s">
        <v>1283</v>
      </c>
      <c r="G7838" s="2" t="s">
        <v>48715</v>
      </c>
      <c r="H7838" s="3" t="s">
        <v>31</v>
      </c>
      <c r="I7838" s="3">
        <v>1.0</v>
      </c>
      <c r="J7838" s="3">
        <v>1.0</v>
      </c>
      <c r="K7838" s="3" t="s">
        <v>31</v>
      </c>
      <c r="L7838" s="4" t="s">
        <v>48666</v>
      </c>
      <c r="M7838" s="2" t="s">
        <v>48716</v>
      </c>
      <c r="N7838" s="2" t="s">
        <v>612</v>
      </c>
      <c r="O7838" s="4" t="s">
        <v>613</v>
      </c>
      <c r="P7838" s="2" t="s">
        <v>48668</v>
      </c>
      <c r="Q7838" s="2" t="s">
        <v>989</v>
      </c>
      <c r="R7838" s="2" t="s">
        <v>616</v>
      </c>
      <c r="S7838" s="4" t="s">
        <v>42328</v>
      </c>
      <c r="T7838" s="2" t="s">
        <v>66</v>
      </c>
      <c r="U7838" s="4" t="s">
        <v>31</v>
      </c>
      <c r="V7838" s="2" t="s">
        <v>48717</v>
      </c>
      <c r="W7838" s="2" t="s">
        <v>48664</v>
      </c>
      <c r="X7838" s="5" t="str">
        <f>HYPERLINK("https://my.pitchbook.com?p=380669-86P","View People Online")</f>
        <v>View People Online</v>
      </c>
    </row>
    <row r="7839">
      <c r="A7839" s="14" t="s">
        <v>48718</v>
      </c>
      <c r="B7839" s="14" t="s">
        <v>48719</v>
      </c>
      <c r="C7839" s="14" t="s">
        <v>48720</v>
      </c>
      <c r="D7839" s="14" t="s">
        <v>20072</v>
      </c>
      <c r="E7839" s="14" t="s">
        <v>48721</v>
      </c>
      <c r="F7839" s="14" t="s">
        <v>81</v>
      </c>
      <c r="G7839" s="14" t="s">
        <v>48722</v>
      </c>
      <c r="H7839" s="15" t="s">
        <v>31</v>
      </c>
      <c r="I7839" s="15">
        <v>12.0</v>
      </c>
      <c r="J7839" s="15">
        <v>1.0</v>
      </c>
      <c r="K7839" s="15">
        <v>10.0</v>
      </c>
      <c r="L7839" s="16" t="s">
        <v>48723</v>
      </c>
      <c r="M7839" s="14" t="s">
        <v>48724</v>
      </c>
      <c r="N7839" s="14" t="s">
        <v>48725</v>
      </c>
      <c r="O7839" s="16" t="s">
        <v>48726</v>
      </c>
      <c r="P7839" s="14" t="s">
        <v>48727</v>
      </c>
      <c r="Q7839" s="14" t="s">
        <v>31</v>
      </c>
      <c r="R7839" s="14" t="s">
        <v>209</v>
      </c>
      <c r="S7839" s="16" t="s">
        <v>48728</v>
      </c>
      <c r="T7839" s="14" t="s">
        <v>66</v>
      </c>
      <c r="U7839" s="16" t="s">
        <v>31</v>
      </c>
      <c r="V7839" s="14" t="s">
        <v>2731</v>
      </c>
      <c r="W7839" s="14" t="s">
        <v>48729</v>
      </c>
      <c r="X7839" s="17" t="str">
        <f>HYPERLINK("https://my.pitchbook.com?p=244710-73P","View People Online")</f>
        <v>View People Online</v>
      </c>
    </row>
    <row r="7840">
      <c r="A7840" s="2" t="s">
        <v>48730</v>
      </c>
      <c r="B7840" s="2" t="s">
        <v>48731</v>
      </c>
      <c r="C7840" s="2" t="s">
        <v>3846</v>
      </c>
      <c r="D7840" s="2" t="s">
        <v>48732</v>
      </c>
      <c r="E7840" s="2" t="s">
        <v>48721</v>
      </c>
      <c r="F7840" s="2" t="s">
        <v>25443</v>
      </c>
      <c r="G7840" s="2" t="s">
        <v>48733</v>
      </c>
      <c r="H7840" s="3" t="s">
        <v>31</v>
      </c>
      <c r="I7840" s="3">
        <v>1.0</v>
      </c>
      <c r="J7840" s="3">
        <v>1.0</v>
      </c>
      <c r="K7840" s="3" t="s">
        <v>31</v>
      </c>
      <c r="L7840" s="4" t="s">
        <v>48734</v>
      </c>
      <c r="M7840" s="2" t="s">
        <v>48735</v>
      </c>
      <c r="N7840" s="2" t="s">
        <v>1292</v>
      </c>
      <c r="O7840" s="4" t="s">
        <v>1293</v>
      </c>
      <c r="P7840" s="2" t="s">
        <v>48736</v>
      </c>
      <c r="Q7840" s="2" t="s">
        <v>989</v>
      </c>
      <c r="R7840" s="2" t="s">
        <v>64</v>
      </c>
      <c r="S7840" s="4" t="s">
        <v>1296</v>
      </c>
      <c r="T7840" s="2" t="s">
        <v>66</v>
      </c>
      <c r="U7840" s="4" t="s">
        <v>31</v>
      </c>
      <c r="V7840" s="2" t="s">
        <v>48737</v>
      </c>
      <c r="W7840" s="2" t="s">
        <v>48721</v>
      </c>
      <c r="X7840" s="5" t="str">
        <f>HYPERLINK("https://my.pitchbook.com?p=310317-67P","View People Online")</f>
        <v>View People Online</v>
      </c>
    </row>
    <row r="7841">
      <c r="A7841" s="6" t="s">
        <v>48738</v>
      </c>
      <c r="B7841" s="6" t="s">
        <v>48739</v>
      </c>
      <c r="C7841" s="6" t="s">
        <v>20238</v>
      </c>
      <c r="D7841" s="6" t="s">
        <v>48740</v>
      </c>
      <c r="E7841" s="6" t="s">
        <v>48721</v>
      </c>
      <c r="F7841" s="6" t="s">
        <v>29</v>
      </c>
      <c r="G7841" s="6" t="s">
        <v>48741</v>
      </c>
      <c r="H7841" s="7">
        <v>4.0</v>
      </c>
      <c r="I7841" s="7">
        <v>12.0</v>
      </c>
      <c r="J7841" s="7">
        <v>1.0</v>
      </c>
      <c r="K7841" s="7">
        <v>5.0</v>
      </c>
      <c r="L7841" s="8" t="s">
        <v>48742</v>
      </c>
      <c r="M7841" s="6" t="s">
        <v>48743</v>
      </c>
      <c r="N7841" s="6" t="s">
        <v>1292</v>
      </c>
      <c r="O7841" s="8" t="s">
        <v>1293</v>
      </c>
      <c r="P7841" s="6" t="s">
        <v>48736</v>
      </c>
      <c r="Q7841" s="6" t="s">
        <v>989</v>
      </c>
      <c r="R7841" s="6" t="s">
        <v>64</v>
      </c>
      <c r="S7841" s="8" t="s">
        <v>1296</v>
      </c>
      <c r="T7841" s="6" t="s">
        <v>66</v>
      </c>
      <c r="U7841" s="8" t="s">
        <v>31</v>
      </c>
      <c r="V7841" s="6" t="s">
        <v>29</v>
      </c>
      <c r="W7841" s="6" t="s">
        <v>48721</v>
      </c>
      <c r="X7841" s="9" t="str">
        <f>HYPERLINK("https://my.pitchbook.com?p=228244-87P","View People Online")</f>
        <v>View People Online</v>
      </c>
    </row>
    <row r="7842">
      <c r="A7842" s="10" t="s">
        <v>48744</v>
      </c>
      <c r="B7842" s="10" t="s">
        <v>48745</v>
      </c>
      <c r="C7842" s="10" t="s">
        <v>48746</v>
      </c>
      <c r="D7842" s="10" t="s">
        <v>48747</v>
      </c>
      <c r="E7842" s="10" t="s">
        <v>48721</v>
      </c>
      <c r="F7842" s="10" t="s">
        <v>1283</v>
      </c>
      <c r="G7842" s="10" t="s">
        <v>48748</v>
      </c>
      <c r="H7842" s="11">
        <v>2.0</v>
      </c>
      <c r="I7842" s="11">
        <v>6.0</v>
      </c>
      <c r="J7842" s="11">
        <v>1.0</v>
      </c>
      <c r="K7842" s="11">
        <v>2.0</v>
      </c>
      <c r="L7842" s="12" t="s">
        <v>48742</v>
      </c>
      <c r="M7842" s="10" t="s">
        <v>48749</v>
      </c>
      <c r="N7842" s="10" t="s">
        <v>1292</v>
      </c>
      <c r="O7842" s="12" t="s">
        <v>1293</v>
      </c>
      <c r="P7842" s="10" t="s">
        <v>48736</v>
      </c>
      <c r="Q7842" s="10" t="s">
        <v>989</v>
      </c>
      <c r="R7842" s="10" t="s">
        <v>64</v>
      </c>
      <c r="S7842" s="12" t="s">
        <v>1296</v>
      </c>
      <c r="T7842" s="10" t="s">
        <v>66</v>
      </c>
      <c r="U7842" s="12" t="s">
        <v>31</v>
      </c>
      <c r="V7842" s="10" t="s">
        <v>1283</v>
      </c>
      <c r="W7842" s="10" t="s">
        <v>48721</v>
      </c>
      <c r="X7842" s="13" t="str">
        <f>HYPERLINK("https://my.pitchbook.com?p=317474-11P","View People Online")</f>
        <v>View People Online</v>
      </c>
    </row>
    <row r="7843">
      <c r="A7843" s="6" t="s">
        <v>48750</v>
      </c>
      <c r="B7843" s="6" t="s">
        <v>48751</v>
      </c>
      <c r="C7843" s="6" t="s">
        <v>2412</v>
      </c>
      <c r="D7843" s="6" t="s">
        <v>48752</v>
      </c>
      <c r="E7843" s="6" t="s">
        <v>48721</v>
      </c>
      <c r="F7843" s="6" t="s">
        <v>29</v>
      </c>
      <c r="G7843" s="6" t="s">
        <v>48753</v>
      </c>
      <c r="H7843" s="7" t="s">
        <v>31</v>
      </c>
      <c r="I7843" s="7">
        <v>5.0</v>
      </c>
      <c r="J7843" s="7">
        <v>1.0</v>
      </c>
      <c r="K7843" s="7">
        <v>2.0</v>
      </c>
      <c r="L7843" s="8" t="s">
        <v>48742</v>
      </c>
      <c r="M7843" s="6" t="s">
        <v>48754</v>
      </c>
      <c r="N7843" s="6" t="s">
        <v>1292</v>
      </c>
      <c r="O7843" s="8" t="s">
        <v>1293</v>
      </c>
      <c r="P7843" s="6" t="s">
        <v>48736</v>
      </c>
      <c r="Q7843" s="6" t="s">
        <v>989</v>
      </c>
      <c r="R7843" s="6" t="s">
        <v>64</v>
      </c>
      <c r="S7843" s="8" t="s">
        <v>1296</v>
      </c>
      <c r="T7843" s="6" t="s">
        <v>66</v>
      </c>
      <c r="U7843" s="8" t="s">
        <v>31</v>
      </c>
      <c r="V7843" s="6" t="s">
        <v>29</v>
      </c>
      <c r="W7843" s="6" t="s">
        <v>48721</v>
      </c>
      <c r="X7843" s="9" t="str">
        <f>HYPERLINK("https://my.pitchbook.com?p=212313-61P","View People Online")</f>
        <v>View People Online</v>
      </c>
    </row>
    <row r="7844">
      <c r="A7844" s="10" t="s">
        <v>48755</v>
      </c>
      <c r="B7844" s="10" t="s">
        <v>48756</v>
      </c>
      <c r="C7844" s="10" t="s">
        <v>4679</v>
      </c>
      <c r="D7844" s="10" t="s">
        <v>48757</v>
      </c>
      <c r="E7844" s="10" t="s">
        <v>48721</v>
      </c>
      <c r="F7844" s="10" t="s">
        <v>48758</v>
      </c>
      <c r="G7844" s="10" t="s">
        <v>48759</v>
      </c>
      <c r="H7844" s="11" t="s">
        <v>31</v>
      </c>
      <c r="I7844" s="11">
        <v>1.0</v>
      </c>
      <c r="J7844" s="11">
        <v>1.0</v>
      </c>
      <c r="K7844" s="11" t="s">
        <v>31</v>
      </c>
      <c r="L7844" s="12" t="s">
        <v>48742</v>
      </c>
      <c r="M7844" s="10" t="s">
        <v>48760</v>
      </c>
      <c r="N7844" s="10" t="s">
        <v>1292</v>
      </c>
      <c r="O7844" s="12" t="s">
        <v>1293</v>
      </c>
      <c r="P7844" s="10" t="s">
        <v>48736</v>
      </c>
      <c r="Q7844" s="10" t="s">
        <v>989</v>
      </c>
      <c r="R7844" s="10" t="s">
        <v>64</v>
      </c>
      <c r="S7844" s="12" t="s">
        <v>1296</v>
      </c>
      <c r="T7844" s="10" t="s">
        <v>66</v>
      </c>
      <c r="U7844" s="12" t="s">
        <v>31</v>
      </c>
      <c r="V7844" s="10" t="s">
        <v>28137</v>
      </c>
      <c r="W7844" s="10" t="s">
        <v>48721</v>
      </c>
      <c r="X7844" s="13" t="str">
        <f>HYPERLINK("https://my.pitchbook.com?p=45663-49P","View People Online")</f>
        <v>View People Online</v>
      </c>
    </row>
    <row r="7845">
      <c r="A7845" s="6" t="s">
        <v>48761</v>
      </c>
      <c r="B7845" s="6" t="s">
        <v>48762</v>
      </c>
      <c r="C7845" s="6" t="s">
        <v>48763</v>
      </c>
      <c r="D7845" s="6" t="s">
        <v>45165</v>
      </c>
      <c r="E7845" s="6" t="s">
        <v>48721</v>
      </c>
      <c r="F7845" s="6" t="s">
        <v>1106</v>
      </c>
      <c r="G7845" s="6" t="s">
        <v>48764</v>
      </c>
      <c r="H7845" s="7">
        <v>13.0</v>
      </c>
      <c r="I7845" s="7">
        <v>132.0</v>
      </c>
      <c r="J7845" s="7">
        <v>1.0</v>
      </c>
      <c r="K7845" s="7">
        <v>106.0</v>
      </c>
      <c r="L7845" s="8" t="s">
        <v>48742</v>
      </c>
      <c r="M7845" s="6" t="s">
        <v>48765</v>
      </c>
      <c r="N7845" s="6" t="s">
        <v>1292</v>
      </c>
      <c r="O7845" s="8" t="s">
        <v>1293</v>
      </c>
      <c r="P7845" s="6" t="s">
        <v>48736</v>
      </c>
      <c r="Q7845" s="6" t="s">
        <v>989</v>
      </c>
      <c r="R7845" s="6" t="s">
        <v>64</v>
      </c>
      <c r="S7845" s="8" t="s">
        <v>1296</v>
      </c>
      <c r="T7845" s="6" t="s">
        <v>66</v>
      </c>
      <c r="U7845" s="8" t="s">
        <v>31</v>
      </c>
      <c r="V7845" s="6" t="s">
        <v>1114</v>
      </c>
      <c r="W7845" s="6" t="s">
        <v>48721</v>
      </c>
      <c r="X7845" s="9" t="str">
        <f>HYPERLINK("https://my.pitchbook.com?p=13682-35P","View People Online")</f>
        <v>View People Online</v>
      </c>
    </row>
    <row r="7846">
      <c r="A7846" s="10" t="s">
        <v>48766</v>
      </c>
      <c r="B7846" s="10" t="s">
        <v>48767</v>
      </c>
      <c r="C7846" s="10" t="s">
        <v>38567</v>
      </c>
      <c r="D7846" s="10" t="s">
        <v>13640</v>
      </c>
      <c r="E7846" s="10" t="s">
        <v>48721</v>
      </c>
      <c r="F7846" s="10" t="s">
        <v>6567</v>
      </c>
      <c r="G7846" s="10" t="s">
        <v>48768</v>
      </c>
      <c r="H7846" s="11" t="s">
        <v>31</v>
      </c>
      <c r="I7846" s="11">
        <v>1.0</v>
      </c>
      <c r="J7846" s="11">
        <v>1.0</v>
      </c>
      <c r="K7846" s="11" t="s">
        <v>31</v>
      </c>
      <c r="L7846" s="12" t="s">
        <v>48769</v>
      </c>
      <c r="M7846" s="10" t="s">
        <v>48770</v>
      </c>
      <c r="N7846" s="10" t="s">
        <v>1292</v>
      </c>
      <c r="O7846" s="12" t="s">
        <v>1293</v>
      </c>
      <c r="P7846" s="10" t="s">
        <v>48736</v>
      </c>
      <c r="Q7846" s="10" t="s">
        <v>989</v>
      </c>
      <c r="R7846" s="10" t="s">
        <v>64</v>
      </c>
      <c r="S7846" s="12" t="s">
        <v>1296</v>
      </c>
      <c r="T7846" s="10" t="s">
        <v>66</v>
      </c>
      <c r="U7846" s="12" t="s">
        <v>31</v>
      </c>
      <c r="V7846" s="10" t="s">
        <v>6567</v>
      </c>
      <c r="W7846" s="10" t="s">
        <v>48721</v>
      </c>
      <c r="X7846" s="13" t="str">
        <f>HYPERLINK("https://my.pitchbook.com?p=317147-32P","View People Online")</f>
        <v>View People Online</v>
      </c>
    </row>
    <row r="7847">
      <c r="A7847" s="6" t="s">
        <v>48771</v>
      </c>
      <c r="B7847" s="6" t="s">
        <v>48772</v>
      </c>
      <c r="C7847" s="6" t="s">
        <v>38977</v>
      </c>
      <c r="D7847" s="6" t="s">
        <v>48773</v>
      </c>
      <c r="E7847" s="6" t="s">
        <v>48774</v>
      </c>
      <c r="F7847" s="6" t="s">
        <v>270</v>
      </c>
      <c r="G7847" s="6" t="s">
        <v>48775</v>
      </c>
      <c r="H7847" s="7" t="s">
        <v>31</v>
      </c>
      <c r="I7847" s="7">
        <v>2.0</v>
      </c>
      <c r="J7847" s="7">
        <v>2.0</v>
      </c>
      <c r="K7847" s="7" t="s">
        <v>31</v>
      </c>
      <c r="L7847" s="8" t="s">
        <v>48776</v>
      </c>
      <c r="M7847" s="6" t="s">
        <v>31</v>
      </c>
      <c r="N7847" s="6" t="s">
        <v>6475</v>
      </c>
      <c r="O7847" s="8" t="s">
        <v>6476</v>
      </c>
      <c r="P7847" s="6" t="s">
        <v>48777</v>
      </c>
      <c r="Q7847" s="6" t="s">
        <v>31</v>
      </c>
      <c r="R7847" s="6" t="s">
        <v>6479</v>
      </c>
      <c r="S7847" s="8" t="s">
        <v>48778</v>
      </c>
      <c r="T7847" s="6" t="s">
        <v>249</v>
      </c>
      <c r="U7847" s="8" t="s">
        <v>31</v>
      </c>
      <c r="V7847" s="6" t="s">
        <v>48779</v>
      </c>
      <c r="W7847" s="6" t="s">
        <v>48774</v>
      </c>
      <c r="X7847" s="9" t="str">
        <f>HYPERLINK("https://my.pitchbook.com?p=327019-96P","View People Online")</f>
        <v>View People Online</v>
      </c>
    </row>
    <row r="7848">
      <c r="A7848" s="2" t="s">
        <v>48780</v>
      </c>
      <c r="B7848" s="2" t="s">
        <v>48781</v>
      </c>
      <c r="C7848" s="2" t="s">
        <v>2288</v>
      </c>
      <c r="D7848" s="2" t="s">
        <v>1950</v>
      </c>
      <c r="E7848" s="2" t="s">
        <v>48774</v>
      </c>
      <c r="F7848" s="2" t="s">
        <v>5206</v>
      </c>
      <c r="G7848" s="2" t="s">
        <v>48782</v>
      </c>
      <c r="H7848" s="3" t="s">
        <v>31</v>
      </c>
      <c r="I7848" s="3">
        <v>19.0</v>
      </c>
      <c r="J7848" s="3">
        <v>1.0</v>
      </c>
      <c r="K7848" s="3">
        <v>18.0</v>
      </c>
      <c r="L7848" s="4" t="s">
        <v>48776</v>
      </c>
      <c r="M7848" s="2" t="s">
        <v>48783</v>
      </c>
      <c r="N7848" s="2" t="s">
        <v>6475</v>
      </c>
      <c r="O7848" s="4" t="s">
        <v>6476</v>
      </c>
      <c r="P7848" s="2" t="s">
        <v>48777</v>
      </c>
      <c r="Q7848" s="2" t="s">
        <v>31</v>
      </c>
      <c r="R7848" s="2" t="s">
        <v>6479</v>
      </c>
      <c r="S7848" s="4" t="s">
        <v>48778</v>
      </c>
      <c r="T7848" s="2" t="s">
        <v>249</v>
      </c>
      <c r="U7848" s="4" t="s">
        <v>31</v>
      </c>
      <c r="V7848" s="2" t="s">
        <v>48784</v>
      </c>
      <c r="W7848" s="2" t="s">
        <v>48774</v>
      </c>
      <c r="X7848" s="5" t="str">
        <f>HYPERLINK("https://my.pitchbook.com?p=309636-64P","View People Online")</f>
        <v>View People Online</v>
      </c>
    </row>
    <row r="7849">
      <c r="A7849" s="6" t="s">
        <v>48785</v>
      </c>
      <c r="B7849" s="6" t="s">
        <v>48786</v>
      </c>
      <c r="C7849" s="6" t="s">
        <v>48787</v>
      </c>
      <c r="D7849" s="6" t="s">
        <v>48788</v>
      </c>
      <c r="E7849" s="6" t="s">
        <v>48774</v>
      </c>
      <c r="F7849" s="6" t="s">
        <v>470</v>
      </c>
      <c r="G7849" s="6" t="s">
        <v>48789</v>
      </c>
      <c r="H7849" s="7" t="s">
        <v>31</v>
      </c>
      <c r="I7849" s="7">
        <v>6.0</v>
      </c>
      <c r="J7849" s="7">
        <v>1.0</v>
      </c>
      <c r="K7849" s="7">
        <v>5.0</v>
      </c>
      <c r="L7849" s="8" t="s">
        <v>48776</v>
      </c>
      <c r="M7849" s="6" t="s">
        <v>48790</v>
      </c>
      <c r="N7849" s="6" t="s">
        <v>6475</v>
      </c>
      <c r="O7849" s="8" t="s">
        <v>6476</v>
      </c>
      <c r="P7849" s="6" t="s">
        <v>48777</v>
      </c>
      <c r="Q7849" s="6" t="s">
        <v>31</v>
      </c>
      <c r="R7849" s="6" t="s">
        <v>6479</v>
      </c>
      <c r="S7849" s="8" t="s">
        <v>48778</v>
      </c>
      <c r="T7849" s="6" t="s">
        <v>249</v>
      </c>
      <c r="U7849" s="8" t="s">
        <v>31</v>
      </c>
      <c r="V7849" s="6" t="s">
        <v>470</v>
      </c>
      <c r="W7849" s="6" t="s">
        <v>48774</v>
      </c>
      <c r="X7849" s="9" t="str">
        <f>HYPERLINK("https://my.pitchbook.com?p=345081-97P","View People Online")</f>
        <v>View People Online</v>
      </c>
    </row>
    <row r="7850">
      <c r="A7850" s="10" t="s">
        <v>48791</v>
      </c>
      <c r="B7850" s="10" t="s">
        <v>48792</v>
      </c>
      <c r="C7850" s="10" t="s">
        <v>2412</v>
      </c>
      <c r="D7850" s="10" t="s">
        <v>25787</v>
      </c>
      <c r="E7850" s="10" t="s">
        <v>48774</v>
      </c>
      <c r="F7850" s="10" t="s">
        <v>78</v>
      </c>
      <c r="G7850" s="10" t="s">
        <v>48793</v>
      </c>
      <c r="H7850" s="11" t="s">
        <v>31</v>
      </c>
      <c r="I7850" s="11">
        <v>2.0</v>
      </c>
      <c r="J7850" s="11">
        <v>1.0</v>
      </c>
      <c r="K7850" s="11">
        <v>1.0</v>
      </c>
      <c r="L7850" s="12" t="s">
        <v>48776</v>
      </c>
      <c r="M7850" s="10" t="s">
        <v>48794</v>
      </c>
      <c r="N7850" s="10" t="s">
        <v>6475</v>
      </c>
      <c r="O7850" s="12" t="s">
        <v>6476</v>
      </c>
      <c r="P7850" s="10" t="s">
        <v>48777</v>
      </c>
      <c r="Q7850" s="10" t="s">
        <v>31</v>
      </c>
      <c r="R7850" s="10" t="s">
        <v>6479</v>
      </c>
      <c r="S7850" s="12" t="s">
        <v>48778</v>
      </c>
      <c r="T7850" s="10" t="s">
        <v>249</v>
      </c>
      <c r="U7850" s="12" t="s">
        <v>31</v>
      </c>
      <c r="V7850" s="10" t="s">
        <v>6287</v>
      </c>
      <c r="W7850" s="10" t="s">
        <v>48774</v>
      </c>
      <c r="X7850" s="13" t="str">
        <f>HYPERLINK("https://my.pitchbook.com?p=343769-41P","View People Online")</f>
        <v>View People Online</v>
      </c>
    </row>
    <row r="7851">
      <c r="A7851" s="14" t="s">
        <v>48795</v>
      </c>
      <c r="B7851" s="14" t="s">
        <v>48796</v>
      </c>
      <c r="C7851" s="14" t="s">
        <v>2629</v>
      </c>
      <c r="D7851" s="14" t="s">
        <v>48797</v>
      </c>
      <c r="E7851" s="14" t="s">
        <v>48798</v>
      </c>
      <c r="F7851" s="14" t="s">
        <v>270</v>
      </c>
      <c r="G7851" s="14" t="s">
        <v>48799</v>
      </c>
      <c r="H7851" s="15" t="s">
        <v>31</v>
      </c>
      <c r="I7851" s="15">
        <v>6.0</v>
      </c>
      <c r="J7851" s="15">
        <v>1.0</v>
      </c>
      <c r="K7851" s="15" t="s">
        <v>31</v>
      </c>
      <c r="L7851" s="16" t="s">
        <v>31</v>
      </c>
      <c r="M7851" s="14" t="s">
        <v>48800</v>
      </c>
      <c r="N7851" s="14" t="s">
        <v>48801</v>
      </c>
      <c r="O7851" s="16" t="s">
        <v>48802</v>
      </c>
      <c r="P7851" s="14" t="s">
        <v>48803</v>
      </c>
      <c r="Q7851" s="14" t="s">
        <v>31</v>
      </c>
      <c r="R7851" s="14" t="s">
        <v>48804</v>
      </c>
      <c r="S7851" s="16" t="s">
        <v>48805</v>
      </c>
      <c r="T7851" s="14" t="s">
        <v>422</v>
      </c>
      <c r="U7851" s="16" t="s">
        <v>31</v>
      </c>
      <c r="V7851" s="14" t="s">
        <v>48806</v>
      </c>
      <c r="W7851" s="14" t="s">
        <v>48798</v>
      </c>
      <c r="X7851" s="17" t="str">
        <f>HYPERLINK("https://my.pitchbook.com?p=314060-77P","View People Online")</f>
        <v>View People Online</v>
      </c>
    </row>
    <row r="7852">
      <c r="A7852" s="2" t="s">
        <v>48807</v>
      </c>
      <c r="B7852" s="2" t="s">
        <v>48808</v>
      </c>
      <c r="C7852" s="2" t="s">
        <v>48809</v>
      </c>
      <c r="D7852" s="2" t="s">
        <v>48810</v>
      </c>
      <c r="E7852" s="2" t="s">
        <v>48798</v>
      </c>
      <c r="F7852" s="2" t="s">
        <v>270</v>
      </c>
      <c r="G7852" s="2" t="s">
        <v>48811</v>
      </c>
      <c r="H7852" s="3" t="s">
        <v>31</v>
      </c>
      <c r="I7852" s="3">
        <v>6.0</v>
      </c>
      <c r="J7852" s="3">
        <v>1.0</v>
      </c>
      <c r="K7852" s="3" t="s">
        <v>31</v>
      </c>
      <c r="L7852" s="4" t="s">
        <v>31</v>
      </c>
      <c r="M7852" s="2" t="s">
        <v>48812</v>
      </c>
      <c r="N7852" s="2" t="s">
        <v>48801</v>
      </c>
      <c r="O7852" s="4" t="s">
        <v>48802</v>
      </c>
      <c r="P7852" s="2" t="s">
        <v>48803</v>
      </c>
      <c r="Q7852" s="2" t="s">
        <v>31</v>
      </c>
      <c r="R7852" s="2" t="s">
        <v>48804</v>
      </c>
      <c r="S7852" s="4" t="s">
        <v>48805</v>
      </c>
      <c r="T7852" s="2" t="s">
        <v>422</v>
      </c>
      <c r="U7852" s="4" t="s">
        <v>31</v>
      </c>
      <c r="V7852" s="2" t="s">
        <v>440</v>
      </c>
      <c r="W7852" s="2" t="s">
        <v>48798</v>
      </c>
      <c r="X7852" s="5" t="str">
        <f>HYPERLINK("https://my.pitchbook.com?p=314060-95P","View People Online")</f>
        <v>View People Online</v>
      </c>
    </row>
    <row r="7853">
      <c r="A7853" s="6" t="s">
        <v>48813</v>
      </c>
      <c r="B7853" s="6" t="s">
        <v>48814</v>
      </c>
      <c r="C7853" s="6" t="s">
        <v>11244</v>
      </c>
      <c r="D7853" s="6" t="s">
        <v>48815</v>
      </c>
      <c r="E7853" s="6" t="s">
        <v>48798</v>
      </c>
      <c r="F7853" s="6" t="s">
        <v>8217</v>
      </c>
      <c r="G7853" s="6" t="s">
        <v>48816</v>
      </c>
      <c r="H7853" s="7" t="s">
        <v>31</v>
      </c>
      <c r="I7853" s="7">
        <v>1.0</v>
      </c>
      <c r="J7853" s="7">
        <v>1.0</v>
      </c>
      <c r="K7853" s="7" t="s">
        <v>31</v>
      </c>
      <c r="L7853" s="8" t="s">
        <v>31</v>
      </c>
      <c r="M7853" s="6" t="s">
        <v>48817</v>
      </c>
      <c r="N7853" s="6" t="s">
        <v>48801</v>
      </c>
      <c r="O7853" s="8" t="s">
        <v>48802</v>
      </c>
      <c r="P7853" s="6" t="s">
        <v>48803</v>
      </c>
      <c r="Q7853" s="6" t="s">
        <v>31</v>
      </c>
      <c r="R7853" s="6" t="s">
        <v>48804</v>
      </c>
      <c r="S7853" s="8" t="s">
        <v>48805</v>
      </c>
      <c r="T7853" s="6" t="s">
        <v>422</v>
      </c>
      <c r="U7853" s="8" t="s">
        <v>31</v>
      </c>
      <c r="V7853" s="6" t="s">
        <v>48818</v>
      </c>
      <c r="W7853" s="6" t="s">
        <v>48798</v>
      </c>
      <c r="X7853" s="9" t="str">
        <f>HYPERLINK("https://my.pitchbook.com?p=309318-49P","View People Online")</f>
        <v>View People Online</v>
      </c>
    </row>
    <row r="7854">
      <c r="A7854" s="10" t="s">
        <v>48819</v>
      </c>
      <c r="B7854" s="10" t="s">
        <v>48820</v>
      </c>
      <c r="C7854" s="10" t="s">
        <v>8827</v>
      </c>
      <c r="D7854" s="10" t="s">
        <v>31474</v>
      </c>
      <c r="E7854" s="10" t="s">
        <v>48798</v>
      </c>
      <c r="F7854" s="10" t="s">
        <v>318</v>
      </c>
      <c r="G7854" s="10" t="s">
        <v>48821</v>
      </c>
      <c r="H7854" s="11" t="s">
        <v>31</v>
      </c>
      <c r="I7854" s="11">
        <v>6.0</v>
      </c>
      <c r="J7854" s="11">
        <v>1.0</v>
      </c>
      <c r="K7854" s="11" t="s">
        <v>31</v>
      </c>
      <c r="L7854" s="12" t="s">
        <v>31</v>
      </c>
      <c r="M7854" s="10" t="s">
        <v>48822</v>
      </c>
      <c r="N7854" s="10" t="s">
        <v>48801</v>
      </c>
      <c r="O7854" s="12" t="s">
        <v>48802</v>
      </c>
      <c r="P7854" s="10" t="s">
        <v>48803</v>
      </c>
      <c r="Q7854" s="10" t="s">
        <v>31</v>
      </c>
      <c r="R7854" s="10" t="s">
        <v>48804</v>
      </c>
      <c r="S7854" s="12" t="s">
        <v>48805</v>
      </c>
      <c r="T7854" s="10" t="s">
        <v>422</v>
      </c>
      <c r="U7854" s="12" t="s">
        <v>31</v>
      </c>
      <c r="V7854" s="10" t="s">
        <v>318</v>
      </c>
      <c r="W7854" s="10" t="s">
        <v>48798</v>
      </c>
      <c r="X7854" s="13" t="str">
        <f>HYPERLINK("https://my.pitchbook.com?p=243452-89P","View People Online")</f>
        <v>View People Online</v>
      </c>
    </row>
    <row r="7855">
      <c r="A7855" s="6" t="s">
        <v>48823</v>
      </c>
      <c r="B7855" s="6" t="s">
        <v>48824</v>
      </c>
      <c r="C7855" s="6" t="s">
        <v>48825</v>
      </c>
      <c r="D7855" s="6" t="s">
        <v>48826</v>
      </c>
      <c r="E7855" s="6" t="s">
        <v>48798</v>
      </c>
      <c r="F7855" s="6" t="s">
        <v>548</v>
      </c>
      <c r="G7855" s="6" t="s">
        <v>48827</v>
      </c>
      <c r="H7855" s="7" t="s">
        <v>31</v>
      </c>
      <c r="I7855" s="7">
        <v>2.0</v>
      </c>
      <c r="J7855" s="7">
        <v>2.0</v>
      </c>
      <c r="K7855" s="7" t="s">
        <v>31</v>
      </c>
      <c r="L7855" s="8" t="s">
        <v>31</v>
      </c>
      <c r="M7855" s="6" t="s">
        <v>31</v>
      </c>
      <c r="N7855" s="6" t="s">
        <v>48801</v>
      </c>
      <c r="O7855" s="8" t="s">
        <v>48802</v>
      </c>
      <c r="P7855" s="6" t="s">
        <v>48803</v>
      </c>
      <c r="Q7855" s="6" t="s">
        <v>31</v>
      </c>
      <c r="R7855" s="6" t="s">
        <v>48804</v>
      </c>
      <c r="S7855" s="8" t="s">
        <v>48805</v>
      </c>
      <c r="T7855" s="6" t="s">
        <v>422</v>
      </c>
      <c r="U7855" s="8" t="s">
        <v>31</v>
      </c>
      <c r="V7855" s="6" t="s">
        <v>548</v>
      </c>
      <c r="W7855" s="6" t="s">
        <v>48798</v>
      </c>
      <c r="X7855" s="9" t="str">
        <f>HYPERLINK("https://my.pitchbook.com?p=284772-70P","View People Online")</f>
        <v>View People Online</v>
      </c>
    </row>
    <row r="7856">
      <c r="A7856" s="10" t="s">
        <v>48828</v>
      </c>
      <c r="B7856" s="10" t="s">
        <v>48829</v>
      </c>
      <c r="C7856" s="10" t="s">
        <v>23810</v>
      </c>
      <c r="D7856" s="10" t="s">
        <v>48830</v>
      </c>
      <c r="E7856" s="10" t="s">
        <v>48798</v>
      </c>
      <c r="F7856" s="10" t="s">
        <v>548</v>
      </c>
      <c r="G7856" s="10" t="s">
        <v>48831</v>
      </c>
      <c r="H7856" s="11" t="s">
        <v>31</v>
      </c>
      <c r="I7856" s="11">
        <v>1.0</v>
      </c>
      <c r="J7856" s="11">
        <v>1.0</v>
      </c>
      <c r="K7856" s="11" t="s">
        <v>31</v>
      </c>
      <c r="L7856" s="12" t="s">
        <v>31</v>
      </c>
      <c r="M7856" s="10" t="s">
        <v>31</v>
      </c>
      <c r="N7856" s="10" t="s">
        <v>48801</v>
      </c>
      <c r="O7856" s="12" t="s">
        <v>48802</v>
      </c>
      <c r="P7856" s="10" t="s">
        <v>48803</v>
      </c>
      <c r="Q7856" s="10" t="s">
        <v>31</v>
      </c>
      <c r="R7856" s="10" t="s">
        <v>48804</v>
      </c>
      <c r="S7856" s="12" t="s">
        <v>48805</v>
      </c>
      <c r="T7856" s="10" t="s">
        <v>422</v>
      </c>
      <c r="U7856" s="12" t="s">
        <v>31</v>
      </c>
      <c r="V7856" s="10" t="s">
        <v>548</v>
      </c>
      <c r="W7856" s="10" t="s">
        <v>48798</v>
      </c>
      <c r="X7856" s="13" t="str">
        <f>HYPERLINK("https://my.pitchbook.com?p=284772-07P","View People Online")</f>
        <v>View People Online</v>
      </c>
    </row>
    <row r="7857">
      <c r="A7857" s="14" t="s">
        <v>48832</v>
      </c>
      <c r="B7857" s="14" t="s">
        <v>48833</v>
      </c>
      <c r="C7857" s="14" t="s">
        <v>48834</v>
      </c>
      <c r="D7857" s="14" t="s">
        <v>27504</v>
      </c>
      <c r="E7857" s="14" t="s">
        <v>48798</v>
      </c>
      <c r="F7857" s="14" t="s">
        <v>270</v>
      </c>
      <c r="G7857" s="14" t="s">
        <v>48835</v>
      </c>
      <c r="H7857" s="15" t="s">
        <v>31</v>
      </c>
      <c r="I7857" s="15">
        <v>6.0</v>
      </c>
      <c r="J7857" s="15">
        <v>1.0</v>
      </c>
      <c r="K7857" s="15" t="s">
        <v>31</v>
      </c>
      <c r="L7857" s="16" t="s">
        <v>31</v>
      </c>
      <c r="M7857" s="14" t="s">
        <v>48836</v>
      </c>
      <c r="N7857" s="14" t="s">
        <v>48801</v>
      </c>
      <c r="O7857" s="16" t="s">
        <v>48802</v>
      </c>
      <c r="P7857" s="14" t="s">
        <v>48803</v>
      </c>
      <c r="Q7857" s="14" t="s">
        <v>31</v>
      </c>
      <c r="R7857" s="14" t="s">
        <v>48804</v>
      </c>
      <c r="S7857" s="16" t="s">
        <v>48805</v>
      </c>
      <c r="T7857" s="14" t="s">
        <v>422</v>
      </c>
      <c r="U7857" s="16" t="s">
        <v>31</v>
      </c>
      <c r="V7857" s="14" t="s">
        <v>48806</v>
      </c>
      <c r="W7857" s="14" t="s">
        <v>48798</v>
      </c>
      <c r="X7857" s="17" t="str">
        <f>HYPERLINK("https://my.pitchbook.com?p=362863-63P","View People Online")</f>
        <v>View People Online</v>
      </c>
    </row>
    <row r="7858">
      <c r="A7858" s="10" t="s">
        <v>48837</v>
      </c>
      <c r="B7858" s="10" t="s">
        <v>48838</v>
      </c>
      <c r="C7858" s="10" t="s">
        <v>30797</v>
      </c>
      <c r="D7858" s="10" t="s">
        <v>48839</v>
      </c>
      <c r="E7858" s="10" t="s">
        <v>48798</v>
      </c>
      <c r="F7858" s="10" t="s">
        <v>29</v>
      </c>
      <c r="G7858" s="10" t="s">
        <v>48840</v>
      </c>
      <c r="H7858" s="11">
        <v>1.0</v>
      </c>
      <c r="I7858" s="11">
        <v>5.0</v>
      </c>
      <c r="J7858" s="11">
        <v>1.0</v>
      </c>
      <c r="K7858" s="11">
        <v>1.0</v>
      </c>
      <c r="L7858" s="12" t="s">
        <v>31</v>
      </c>
      <c r="M7858" s="10" t="s">
        <v>48841</v>
      </c>
      <c r="N7858" s="10" t="s">
        <v>48842</v>
      </c>
      <c r="O7858" s="12" t="s">
        <v>48843</v>
      </c>
      <c r="P7858" s="10" t="s">
        <v>48844</v>
      </c>
      <c r="Q7858" s="10" t="s">
        <v>48845</v>
      </c>
      <c r="R7858" s="10" t="s">
        <v>31</v>
      </c>
      <c r="S7858" s="12" t="s">
        <v>48846</v>
      </c>
      <c r="T7858" s="10" t="s">
        <v>3104</v>
      </c>
      <c r="U7858" s="12" t="s">
        <v>31</v>
      </c>
      <c r="V7858" s="10" t="s">
        <v>2379</v>
      </c>
      <c r="W7858" s="10" t="s">
        <v>48847</v>
      </c>
      <c r="X7858" s="13" t="str">
        <f>HYPERLINK("https://my.pitchbook.com?p=197951-23P","View People Online")</f>
        <v>View People Online</v>
      </c>
    </row>
    <row r="7859">
      <c r="A7859" s="6" t="s">
        <v>48848</v>
      </c>
      <c r="B7859" s="6" t="s">
        <v>48849</v>
      </c>
      <c r="C7859" s="6" t="s">
        <v>3113</v>
      </c>
      <c r="D7859" s="6" t="s">
        <v>48850</v>
      </c>
      <c r="E7859" s="6" t="s">
        <v>48798</v>
      </c>
      <c r="F7859" s="6" t="s">
        <v>270</v>
      </c>
      <c r="G7859" s="6" t="s">
        <v>48851</v>
      </c>
      <c r="H7859" s="7" t="s">
        <v>31</v>
      </c>
      <c r="I7859" s="7">
        <v>6.0</v>
      </c>
      <c r="J7859" s="7">
        <v>1.0</v>
      </c>
      <c r="K7859" s="7" t="s">
        <v>31</v>
      </c>
      <c r="L7859" s="8" t="s">
        <v>31</v>
      </c>
      <c r="M7859" s="6" t="s">
        <v>48852</v>
      </c>
      <c r="N7859" s="6" t="s">
        <v>48801</v>
      </c>
      <c r="O7859" s="8" t="s">
        <v>48802</v>
      </c>
      <c r="P7859" s="6" t="s">
        <v>48803</v>
      </c>
      <c r="Q7859" s="6" t="s">
        <v>31</v>
      </c>
      <c r="R7859" s="6" t="s">
        <v>48804</v>
      </c>
      <c r="S7859" s="8" t="s">
        <v>48805</v>
      </c>
      <c r="T7859" s="6" t="s">
        <v>422</v>
      </c>
      <c r="U7859" s="8" t="s">
        <v>31</v>
      </c>
      <c r="V7859" s="6" t="s">
        <v>440</v>
      </c>
      <c r="W7859" s="6" t="s">
        <v>48798</v>
      </c>
      <c r="X7859" s="9" t="str">
        <f>HYPERLINK("https://my.pitchbook.com?p=314061-13P","View People Online")</f>
        <v>View People Online</v>
      </c>
    </row>
    <row r="7860">
      <c r="A7860" s="2" t="s">
        <v>48853</v>
      </c>
      <c r="B7860" s="2" t="s">
        <v>48854</v>
      </c>
      <c r="C7860" s="2" t="s">
        <v>9239</v>
      </c>
      <c r="D7860" s="2" t="s">
        <v>48855</v>
      </c>
      <c r="E7860" s="2" t="s">
        <v>48798</v>
      </c>
      <c r="F7860" s="2" t="s">
        <v>29</v>
      </c>
      <c r="G7860" s="2" t="s">
        <v>48856</v>
      </c>
      <c r="H7860" s="3" t="s">
        <v>31</v>
      </c>
      <c r="I7860" s="3">
        <v>6.0</v>
      </c>
      <c r="J7860" s="3">
        <v>1.0</v>
      </c>
      <c r="K7860" s="3" t="s">
        <v>31</v>
      </c>
      <c r="L7860" s="4" t="s">
        <v>31</v>
      </c>
      <c r="M7860" s="2" t="s">
        <v>48857</v>
      </c>
      <c r="N7860" s="2" t="s">
        <v>48801</v>
      </c>
      <c r="O7860" s="4" t="s">
        <v>48802</v>
      </c>
      <c r="P7860" s="2" t="s">
        <v>48803</v>
      </c>
      <c r="Q7860" s="2" t="s">
        <v>31</v>
      </c>
      <c r="R7860" s="2" t="s">
        <v>48804</v>
      </c>
      <c r="S7860" s="4" t="s">
        <v>48805</v>
      </c>
      <c r="T7860" s="2" t="s">
        <v>422</v>
      </c>
      <c r="U7860" s="4" t="s">
        <v>31</v>
      </c>
      <c r="V7860" s="2" t="s">
        <v>29</v>
      </c>
      <c r="W7860" s="2" t="s">
        <v>48798</v>
      </c>
      <c r="X7860" s="5" t="str">
        <f>HYPERLINK("https://my.pitchbook.com?p=207524-71P","View People Online")</f>
        <v>View People Online</v>
      </c>
    </row>
    <row r="7861">
      <c r="A7861" s="14" t="s">
        <v>48858</v>
      </c>
      <c r="B7861" s="14" t="s">
        <v>48859</v>
      </c>
      <c r="C7861" s="14" t="s">
        <v>10473</v>
      </c>
      <c r="D7861" s="14" t="s">
        <v>48860</v>
      </c>
      <c r="E7861" s="14" t="s">
        <v>48798</v>
      </c>
      <c r="F7861" s="14" t="s">
        <v>1249</v>
      </c>
      <c r="G7861" s="14" t="s">
        <v>48861</v>
      </c>
      <c r="H7861" s="15">
        <v>1.0</v>
      </c>
      <c r="I7861" s="15">
        <v>22.0</v>
      </c>
      <c r="J7861" s="15">
        <v>1.0</v>
      </c>
      <c r="K7861" s="15">
        <v>14.0</v>
      </c>
      <c r="L7861" s="16" t="s">
        <v>31</v>
      </c>
      <c r="M7861" s="14" t="s">
        <v>48862</v>
      </c>
      <c r="N7861" s="14" t="s">
        <v>48801</v>
      </c>
      <c r="O7861" s="16" t="s">
        <v>48802</v>
      </c>
      <c r="P7861" s="14" t="s">
        <v>48803</v>
      </c>
      <c r="Q7861" s="14" t="s">
        <v>31</v>
      </c>
      <c r="R7861" s="14" t="s">
        <v>48804</v>
      </c>
      <c r="S7861" s="16" t="s">
        <v>48805</v>
      </c>
      <c r="T7861" s="14" t="s">
        <v>422</v>
      </c>
      <c r="U7861" s="16" t="s">
        <v>31</v>
      </c>
      <c r="V7861" s="14" t="s">
        <v>48863</v>
      </c>
      <c r="W7861" s="14" t="s">
        <v>48798</v>
      </c>
      <c r="X7861" s="17" t="str">
        <f>HYPERLINK("https://my.pitchbook.com?p=203031-19P","View People Online")</f>
        <v>View People Online</v>
      </c>
    </row>
    <row r="7862">
      <c r="A7862" s="10" t="s">
        <v>48864</v>
      </c>
      <c r="B7862" s="10" t="s">
        <v>48865</v>
      </c>
      <c r="C7862" s="10" t="s">
        <v>32892</v>
      </c>
      <c r="D7862" s="10" t="s">
        <v>48866</v>
      </c>
      <c r="E7862" s="10" t="s">
        <v>48798</v>
      </c>
      <c r="F7862" s="10" t="s">
        <v>548</v>
      </c>
      <c r="G7862" s="10" t="s">
        <v>48867</v>
      </c>
      <c r="H7862" s="11" t="s">
        <v>31</v>
      </c>
      <c r="I7862" s="11">
        <v>3.0</v>
      </c>
      <c r="J7862" s="11">
        <v>2.0</v>
      </c>
      <c r="K7862" s="11">
        <v>1.0</v>
      </c>
      <c r="L7862" s="12" t="s">
        <v>48868</v>
      </c>
      <c r="M7862" s="10" t="s">
        <v>48869</v>
      </c>
      <c r="N7862" s="10" t="s">
        <v>48801</v>
      </c>
      <c r="O7862" s="12" t="s">
        <v>48802</v>
      </c>
      <c r="P7862" s="10" t="s">
        <v>48870</v>
      </c>
      <c r="Q7862" s="10" t="s">
        <v>31</v>
      </c>
      <c r="R7862" s="10" t="s">
        <v>31</v>
      </c>
      <c r="S7862" s="12" t="s">
        <v>48871</v>
      </c>
      <c r="T7862" s="10" t="s">
        <v>422</v>
      </c>
      <c r="U7862" s="12" t="s">
        <v>31</v>
      </c>
      <c r="V7862" s="10" t="s">
        <v>48872</v>
      </c>
      <c r="W7862" s="10" t="s">
        <v>48873</v>
      </c>
      <c r="X7862" s="13" t="str">
        <f>HYPERLINK("https://my.pitchbook.com?p=183127-33P","View People Online")</f>
        <v>View People Online</v>
      </c>
    </row>
    <row r="7863">
      <c r="A7863" s="6" t="s">
        <v>48874</v>
      </c>
      <c r="B7863" s="6" t="s">
        <v>48875</v>
      </c>
      <c r="C7863" s="6" t="s">
        <v>19597</v>
      </c>
      <c r="D7863" s="6" t="s">
        <v>13787</v>
      </c>
      <c r="E7863" s="6" t="s">
        <v>48798</v>
      </c>
      <c r="F7863" s="6" t="s">
        <v>12616</v>
      </c>
      <c r="G7863" s="6" t="s">
        <v>48876</v>
      </c>
      <c r="H7863" s="7" t="s">
        <v>31</v>
      </c>
      <c r="I7863" s="7">
        <v>6.0</v>
      </c>
      <c r="J7863" s="7">
        <v>1.0</v>
      </c>
      <c r="K7863" s="7" t="s">
        <v>31</v>
      </c>
      <c r="L7863" s="8" t="s">
        <v>31</v>
      </c>
      <c r="M7863" s="6" t="s">
        <v>48877</v>
      </c>
      <c r="N7863" s="6" t="s">
        <v>48801</v>
      </c>
      <c r="O7863" s="8" t="s">
        <v>48802</v>
      </c>
      <c r="P7863" s="6" t="s">
        <v>48803</v>
      </c>
      <c r="Q7863" s="6" t="s">
        <v>31</v>
      </c>
      <c r="R7863" s="6" t="s">
        <v>48804</v>
      </c>
      <c r="S7863" s="8" t="s">
        <v>48805</v>
      </c>
      <c r="T7863" s="6" t="s">
        <v>422</v>
      </c>
      <c r="U7863" s="8" t="s">
        <v>31</v>
      </c>
      <c r="V7863" s="6" t="s">
        <v>48878</v>
      </c>
      <c r="W7863" s="6" t="s">
        <v>48798</v>
      </c>
      <c r="X7863" s="9" t="str">
        <f>HYPERLINK("https://my.pitchbook.com?p=302236-39P","View People Online")</f>
        <v>View People Online</v>
      </c>
    </row>
    <row r="7864">
      <c r="A7864" s="10" t="s">
        <v>48879</v>
      </c>
      <c r="B7864" s="10" t="s">
        <v>48880</v>
      </c>
      <c r="C7864" s="10" t="s">
        <v>19597</v>
      </c>
      <c r="D7864" s="10" t="s">
        <v>48881</v>
      </c>
      <c r="E7864" s="10" t="s">
        <v>48798</v>
      </c>
      <c r="F7864" s="10" t="s">
        <v>12616</v>
      </c>
      <c r="G7864" s="10" t="s">
        <v>48882</v>
      </c>
      <c r="H7864" s="11">
        <v>1.0</v>
      </c>
      <c r="I7864" s="11">
        <v>6.0</v>
      </c>
      <c r="J7864" s="11">
        <v>3.0</v>
      </c>
      <c r="K7864" s="11" t="s">
        <v>31</v>
      </c>
      <c r="L7864" s="12" t="s">
        <v>31</v>
      </c>
      <c r="M7864" s="10" t="s">
        <v>48883</v>
      </c>
      <c r="N7864" s="10" t="s">
        <v>48801</v>
      </c>
      <c r="O7864" s="12" t="s">
        <v>48802</v>
      </c>
      <c r="P7864" s="10" t="s">
        <v>48803</v>
      </c>
      <c r="Q7864" s="10" t="s">
        <v>31</v>
      </c>
      <c r="R7864" s="10" t="s">
        <v>48804</v>
      </c>
      <c r="S7864" s="12" t="s">
        <v>48805</v>
      </c>
      <c r="T7864" s="10" t="s">
        <v>422</v>
      </c>
      <c r="U7864" s="12" t="s">
        <v>31</v>
      </c>
      <c r="V7864" s="10" t="s">
        <v>48884</v>
      </c>
      <c r="W7864" s="10" t="s">
        <v>48798</v>
      </c>
      <c r="X7864" s="13" t="str">
        <f>HYPERLINK("https://my.pitchbook.com?p=220729-96P","View People Online")</f>
        <v>View People Online</v>
      </c>
    </row>
    <row r="7865">
      <c r="A7865" s="14" t="s">
        <v>48885</v>
      </c>
      <c r="B7865" s="14" t="s">
        <v>48886</v>
      </c>
      <c r="C7865" s="14" t="s">
        <v>48887</v>
      </c>
      <c r="D7865" s="14" t="s">
        <v>48888</v>
      </c>
      <c r="E7865" s="14" t="s">
        <v>48798</v>
      </c>
      <c r="F7865" s="14" t="s">
        <v>548</v>
      </c>
      <c r="G7865" s="14" t="s">
        <v>48889</v>
      </c>
      <c r="H7865" s="15" t="s">
        <v>31</v>
      </c>
      <c r="I7865" s="15">
        <v>6.0</v>
      </c>
      <c r="J7865" s="15">
        <v>1.0</v>
      </c>
      <c r="K7865" s="15" t="s">
        <v>31</v>
      </c>
      <c r="L7865" s="16" t="s">
        <v>31</v>
      </c>
      <c r="M7865" s="14" t="s">
        <v>48890</v>
      </c>
      <c r="N7865" s="14" t="s">
        <v>48801</v>
      </c>
      <c r="O7865" s="16" t="s">
        <v>48802</v>
      </c>
      <c r="P7865" s="14" t="s">
        <v>48803</v>
      </c>
      <c r="Q7865" s="14" t="s">
        <v>31</v>
      </c>
      <c r="R7865" s="14" t="s">
        <v>48804</v>
      </c>
      <c r="S7865" s="16" t="s">
        <v>48805</v>
      </c>
      <c r="T7865" s="14" t="s">
        <v>422</v>
      </c>
      <c r="U7865" s="16" t="s">
        <v>31</v>
      </c>
      <c r="V7865" s="14" t="s">
        <v>10676</v>
      </c>
      <c r="W7865" s="14" t="s">
        <v>48798</v>
      </c>
      <c r="X7865" s="17" t="str">
        <f>HYPERLINK("https://my.pitchbook.com?p=285434-11P","View People Online")</f>
        <v>View People Online</v>
      </c>
    </row>
    <row r="7866">
      <c r="A7866" s="2" t="s">
        <v>48891</v>
      </c>
      <c r="B7866" s="2" t="s">
        <v>48892</v>
      </c>
      <c r="C7866" s="2" t="s">
        <v>20078</v>
      </c>
      <c r="D7866" s="2" t="s">
        <v>48893</v>
      </c>
      <c r="E7866" s="2" t="s">
        <v>48798</v>
      </c>
      <c r="F7866" s="2" t="s">
        <v>318</v>
      </c>
      <c r="G7866" s="2" t="s">
        <v>48894</v>
      </c>
      <c r="H7866" s="3" t="s">
        <v>31</v>
      </c>
      <c r="I7866" s="3">
        <v>6.0</v>
      </c>
      <c r="J7866" s="3">
        <v>1.0</v>
      </c>
      <c r="K7866" s="3" t="s">
        <v>31</v>
      </c>
      <c r="L7866" s="4" t="s">
        <v>31</v>
      </c>
      <c r="M7866" s="2" t="s">
        <v>48895</v>
      </c>
      <c r="N7866" s="2" t="s">
        <v>48801</v>
      </c>
      <c r="O7866" s="4" t="s">
        <v>48802</v>
      </c>
      <c r="P7866" s="2" t="s">
        <v>48803</v>
      </c>
      <c r="Q7866" s="2" t="s">
        <v>31</v>
      </c>
      <c r="R7866" s="2" t="s">
        <v>48804</v>
      </c>
      <c r="S7866" s="4" t="s">
        <v>48805</v>
      </c>
      <c r="T7866" s="2" t="s">
        <v>422</v>
      </c>
      <c r="U7866" s="4" t="s">
        <v>31</v>
      </c>
      <c r="V7866" s="2" t="s">
        <v>318</v>
      </c>
      <c r="W7866" s="2" t="s">
        <v>48798</v>
      </c>
      <c r="X7866" s="5" t="str">
        <f>HYPERLINK("https://my.pitchbook.com?p=446876-74P","View People Online")</f>
        <v>View People Online</v>
      </c>
    </row>
    <row r="7867">
      <c r="A7867" s="14" t="s">
        <v>48896</v>
      </c>
      <c r="B7867" s="14" t="s">
        <v>48897</v>
      </c>
      <c r="C7867" s="14" t="s">
        <v>20569</v>
      </c>
      <c r="D7867" s="14" t="s">
        <v>48898</v>
      </c>
      <c r="E7867" s="14" t="s">
        <v>48798</v>
      </c>
      <c r="F7867" s="14" t="s">
        <v>48899</v>
      </c>
      <c r="G7867" s="14" t="s">
        <v>48900</v>
      </c>
      <c r="H7867" s="15">
        <v>1.0</v>
      </c>
      <c r="I7867" s="15">
        <v>3.0</v>
      </c>
      <c r="J7867" s="15">
        <v>2.0</v>
      </c>
      <c r="K7867" s="15">
        <v>1.0</v>
      </c>
      <c r="L7867" s="16" t="s">
        <v>48868</v>
      </c>
      <c r="M7867" s="14" t="s">
        <v>48901</v>
      </c>
      <c r="N7867" s="14" t="s">
        <v>48801</v>
      </c>
      <c r="O7867" s="16" t="s">
        <v>48802</v>
      </c>
      <c r="P7867" s="14" t="s">
        <v>48870</v>
      </c>
      <c r="Q7867" s="14" t="s">
        <v>31</v>
      </c>
      <c r="R7867" s="14" t="s">
        <v>31</v>
      </c>
      <c r="S7867" s="16" t="s">
        <v>48871</v>
      </c>
      <c r="T7867" s="14" t="s">
        <v>422</v>
      </c>
      <c r="U7867" s="16" t="s">
        <v>31</v>
      </c>
      <c r="V7867" s="14" t="s">
        <v>7535</v>
      </c>
      <c r="W7867" s="14" t="s">
        <v>48873</v>
      </c>
      <c r="X7867" s="17" t="str">
        <f>HYPERLINK("https://my.pitchbook.com?p=228210-31P","View People Online")</f>
        <v>View People Online</v>
      </c>
    </row>
    <row r="7868">
      <c r="A7868" s="2" t="s">
        <v>48902</v>
      </c>
      <c r="B7868" s="2" t="s">
        <v>48903</v>
      </c>
      <c r="C7868" s="2" t="s">
        <v>20569</v>
      </c>
      <c r="D7868" s="2" t="s">
        <v>48904</v>
      </c>
      <c r="E7868" s="2" t="s">
        <v>48798</v>
      </c>
      <c r="F7868" s="2" t="s">
        <v>2379</v>
      </c>
      <c r="G7868" s="2" t="s">
        <v>48905</v>
      </c>
      <c r="H7868" s="3">
        <v>1.0</v>
      </c>
      <c r="I7868" s="3">
        <v>2.0</v>
      </c>
      <c r="J7868" s="3">
        <v>2.0</v>
      </c>
      <c r="K7868" s="3" t="s">
        <v>31</v>
      </c>
      <c r="L7868" s="4" t="s">
        <v>48868</v>
      </c>
      <c r="M7868" s="2" t="s">
        <v>48906</v>
      </c>
      <c r="N7868" s="2" t="s">
        <v>48801</v>
      </c>
      <c r="O7868" s="4" t="s">
        <v>48802</v>
      </c>
      <c r="P7868" s="2" t="s">
        <v>48870</v>
      </c>
      <c r="Q7868" s="2" t="s">
        <v>31</v>
      </c>
      <c r="R7868" s="2" t="s">
        <v>31</v>
      </c>
      <c r="S7868" s="4" t="s">
        <v>48871</v>
      </c>
      <c r="T7868" s="2" t="s">
        <v>422</v>
      </c>
      <c r="U7868" s="4" t="s">
        <v>31</v>
      </c>
      <c r="V7868" s="2" t="s">
        <v>48907</v>
      </c>
      <c r="W7868" s="2" t="s">
        <v>48873</v>
      </c>
      <c r="X7868" s="5" t="str">
        <f>HYPERLINK("https://my.pitchbook.com?p=355074-94P","View People Online")</f>
        <v>View People Online</v>
      </c>
    </row>
    <row r="7869">
      <c r="A7869" s="14" t="s">
        <v>48908</v>
      </c>
      <c r="B7869" s="14" t="s">
        <v>48909</v>
      </c>
      <c r="C7869" s="14" t="s">
        <v>9417</v>
      </c>
      <c r="D7869" s="14" t="s">
        <v>48910</v>
      </c>
      <c r="E7869" s="14" t="s">
        <v>48798</v>
      </c>
      <c r="F7869" s="14" t="s">
        <v>548</v>
      </c>
      <c r="G7869" s="14" t="s">
        <v>48911</v>
      </c>
      <c r="H7869" s="15" t="s">
        <v>31</v>
      </c>
      <c r="I7869" s="15">
        <v>1.0</v>
      </c>
      <c r="J7869" s="15">
        <v>1.0</v>
      </c>
      <c r="K7869" s="15" t="s">
        <v>31</v>
      </c>
      <c r="L7869" s="16" t="s">
        <v>31</v>
      </c>
      <c r="M7869" s="14" t="s">
        <v>31</v>
      </c>
      <c r="N7869" s="14" t="s">
        <v>48801</v>
      </c>
      <c r="O7869" s="16" t="s">
        <v>48802</v>
      </c>
      <c r="P7869" s="14" t="s">
        <v>48803</v>
      </c>
      <c r="Q7869" s="14" t="s">
        <v>31</v>
      </c>
      <c r="R7869" s="14" t="s">
        <v>48804</v>
      </c>
      <c r="S7869" s="16" t="s">
        <v>48805</v>
      </c>
      <c r="T7869" s="14" t="s">
        <v>422</v>
      </c>
      <c r="U7869" s="16" t="s">
        <v>31</v>
      </c>
      <c r="V7869" s="14" t="s">
        <v>548</v>
      </c>
      <c r="W7869" s="14" t="s">
        <v>48798</v>
      </c>
      <c r="X7869" s="17" t="str">
        <f>HYPERLINK("https://my.pitchbook.com?p=284771-71P","View People Online")</f>
        <v>View People Online</v>
      </c>
    </row>
    <row r="7870">
      <c r="A7870" s="2" t="s">
        <v>48912</v>
      </c>
      <c r="B7870" s="2" t="s">
        <v>48913</v>
      </c>
      <c r="C7870" s="2" t="s">
        <v>27609</v>
      </c>
      <c r="D7870" s="2" t="s">
        <v>47586</v>
      </c>
      <c r="E7870" s="2" t="s">
        <v>48914</v>
      </c>
      <c r="F7870" s="2" t="s">
        <v>78</v>
      </c>
      <c r="G7870" s="2" t="s">
        <v>48915</v>
      </c>
      <c r="H7870" s="3" t="s">
        <v>31</v>
      </c>
      <c r="I7870" s="3">
        <v>1.0</v>
      </c>
      <c r="J7870" s="3">
        <v>1.0</v>
      </c>
      <c r="K7870" s="3" t="s">
        <v>31</v>
      </c>
      <c r="L7870" s="4" t="s">
        <v>31</v>
      </c>
      <c r="M7870" s="2" t="s">
        <v>48916</v>
      </c>
      <c r="N7870" s="2" t="s">
        <v>10144</v>
      </c>
      <c r="O7870" s="4" t="s">
        <v>10145</v>
      </c>
      <c r="P7870" s="2" t="s">
        <v>31</v>
      </c>
      <c r="Q7870" s="2" t="s">
        <v>31</v>
      </c>
      <c r="R7870" s="2" t="s">
        <v>64</v>
      </c>
      <c r="S7870" s="4" t="s">
        <v>31</v>
      </c>
      <c r="T7870" s="2" t="s">
        <v>66</v>
      </c>
      <c r="U7870" s="4" t="s">
        <v>31</v>
      </c>
      <c r="V7870" s="2" t="s">
        <v>78</v>
      </c>
      <c r="W7870" s="2" t="s">
        <v>48914</v>
      </c>
      <c r="X7870" s="5" t="str">
        <f>HYPERLINK("https://my.pitchbook.com?p=206467-48P","View People Online")</f>
        <v>View People Online</v>
      </c>
    </row>
    <row r="7871">
      <c r="A7871" s="14" t="s">
        <v>48917</v>
      </c>
      <c r="B7871" s="14" t="s">
        <v>48918</v>
      </c>
      <c r="C7871" s="14" t="s">
        <v>32118</v>
      </c>
      <c r="D7871" s="14" t="s">
        <v>22840</v>
      </c>
      <c r="E7871" s="14" t="s">
        <v>48914</v>
      </c>
      <c r="F7871" s="14" t="s">
        <v>548</v>
      </c>
      <c r="G7871" s="14" t="s">
        <v>48919</v>
      </c>
      <c r="H7871" s="15" t="s">
        <v>31</v>
      </c>
      <c r="I7871" s="15">
        <v>1.0</v>
      </c>
      <c r="J7871" s="15">
        <v>1.0</v>
      </c>
      <c r="K7871" s="15" t="s">
        <v>31</v>
      </c>
      <c r="L7871" s="16" t="s">
        <v>31</v>
      </c>
      <c r="M7871" s="14" t="s">
        <v>48920</v>
      </c>
      <c r="N7871" s="14" t="s">
        <v>10144</v>
      </c>
      <c r="O7871" s="16" t="s">
        <v>10145</v>
      </c>
      <c r="P7871" s="14" t="s">
        <v>31</v>
      </c>
      <c r="Q7871" s="14" t="s">
        <v>31</v>
      </c>
      <c r="R7871" s="14" t="s">
        <v>64</v>
      </c>
      <c r="S7871" s="16" t="s">
        <v>31</v>
      </c>
      <c r="T7871" s="14" t="s">
        <v>66</v>
      </c>
      <c r="U7871" s="16" t="s">
        <v>31</v>
      </c>
      <c r="V7871" s="14" t="s">
        <v>10019</v>
      </c>
      <c r="W7871" s="14" t="s">
        <v>48914</v>
      </c>
      <c r="X7871" s="17" t="str">
        <f>HYPERLINK("https://my.pitchbook.com?p=417265-66P","View People Online")</f>
        <v>View People Online</v>
      </c>
    </row>
    <row r="7872">
      <c r="A7872" s="10" t="s">
        <v>48921</v>
      </c>
      <c r="B7872" s="10" t="s">
        <v>48922</v>
      </c>
      <c r="C7872" s="10" t="s">
        <v>4911</v>
      </c>
      <c r="D7872" s="10" t="s">
        <v>48923</v>
      </c>
      <c r="E7872" s="10" t="s">
        <v>48914</v>
      </c>
      <c r="F7872" s="10" t="s">
        <v>502</v>
      </c>
      <c r="G7872" s="10" t="s">
        <v>48924</v>
      </c>
      <c r="H7872" s="11" t="s">
        <v>31</v>
      </c>
      <c r="I7872" s="11">
        <v>1.0</v>
      </c>
      <c r="J7872" s="11">
        <v>1.0</v>
      </c>
      <c r="K7872" s="11" t="s">
        <v>31</v>
      </c>
      <c r="L7872" s="12" t="s">
        <v>31</v>
      </c>
      <c r="M7872" s="10" t="s">
        <v>48925</v>
      </c>
      <c r="N7872" s="10" t="s">
        <v>10144</v>
      </c>
      <c r="O7872" s="12" t="s">
        <v>10145</v>
      </c>
      <c r="P7872" s="10" t="s">
        <v>31</v>
      </c>
      <c r="Q7872" s="10" t="s">
        <v>31</v>
      </c>
      <c r="R7872" s="10" t="s">
        <v>64</v>
      </c>
      <c r="S7872" s="12" t="s">
        <v>31</v>
      </c>
      <c r="T7872" s="10" t="s">
        <v>66</v>
      </c>
      <c r="U7872" s="12" t="s">
        <v>31</v>
      </c>
      <c r="V7872" s="10" t="s">
        <v>502</v>
      </c>
      <c r="W7872" s="10" t="s">
        <v>48914</v>
      </c>
      <c r="X7872" s="13" t="str">
        <f>HYPERLINK("https://my.pitchbook.com?p=200839-69P","View People Online")</f>
        <v>View People Online</v>
      </c>
    </row>
    <row r="7873">
      <c r="A7873" s="14" t="s">
        <v>48926</v>
      </c>
      <c r="B7873" s="14" t="s">
        <v>48927</v>
      </c>
      <c r="C7873" s="14" t="s">
        <v>305</v>
      </c>
      <c r="D7873" s="14" t="s">
        <v>15869</v>
      </c>
      <c r="E7873" s="14" t="s">
        <v>48914</v>
      </c>
      <c r="F7873" s="14" t="s">
        <v>114</v>
      </c>
      <c r="G7873" s="14" t="s">
        <v>48928</v>
      </c>
      <c r="H7873" s="15">
        <v>1.0</v>
      </c>
      <c r="I7873" s="15">
        <v>9.0</v>
      </c>
      <c r="J7873" s="15">
        <v>4.0</v>
      </c>
      <c r="K7873" s="15">
        <v>3.0</v>
      </c>
      <c r="L7873" s="16" t="s">
        <v>48929</v>
      </c>
      <c r="M7873" s="14" t="s">
        <v>31</v>
      </c>
      <c r="N7873" s="14" t="s">
        <v>48930</v>
      </c>
      <c r="O7873" s="16" t="s">
        <v>48931</v>
      </c>
      <c r="P7873" s="14" t="s">
        <v>48932</v>
      </c>
      <c r="Q7873" s="14" t="s">
        <v>48933</v>
      </c>
      <c r="R7873" s="14" t="s">
        <v>48934</v>
      </c>
      <c r="S7873" s="16" t="s">
        <v>48935</v>
      </c>
      <c r="T7873" s="14" t="s">
        <v>1209</v>
      </c>
      <c r="U7873" s="16" t="s">
        <v>31</v>
      </c>
      <c r="V7873" s="14" t="s">
        <v>13755</v>
      </c>
      <c r="W7873" s="14" t="s">
        <v>14808</v>
      </c>
      <c r="X7873" s="17" t="str">
        <f>HYPERLINK("https://my.pitchbook.com?p=36384-40P","View People Online")</f>
        <v>View People Online</v>
      </c>
    </row>
    <row r="7874">
      <c r="A7874" s="10" t="s">
        <v>48936</v>
      </c>
      <c r="B7874" s="10" t="s">
        <v>48937</v>
      </c>
      <c r="C7874" s="10" t="s">
        <v>48938</v>
      </c>
      <c r="D7874" s="10" t="s">
        <v>2310</v>
      </c>
      <c r="E7874" s="10" t="s">
        <v>48914</v>
      </c>
      <c r="F7874" s="10" t="s">
        <v>548</v>
      </c>
      <c r="G7874" s="10" t="s">
        <v>48939</v>
      </c>
      <c r="H7874" s="11" t="s">
        <v>31</v>
      </c>
      <c r="I7874" s="11">
        <v>1.0</v>
      </c>
      <c r="J7874" s="11">
        <v>1.0</v>
      </c>
      <c r="K7874" s="11" t="s">
        <v>31</v>
      </c>
      <c r="L7874" s="12" t="s">
        <v>31</v>
      </c>
      <c r="M7874" s="10" t="s">
        <v>48940</v>
      </c>
      <c r="N7874" s="10" t="s">
        <v>10144</v>
      </c>
      <c r="O7874" s="12" t="s">
        <v>10145</v>
      </c>
      <c r="P7874" s="10" t="s">
        <v>31</v>
      </c>
      <c r="Q7874" s="10" t="s">
        <v>31</v>
      </c>
      <c r="R7874" s="10" t="s">
        <v>64</v>
      </c>
      <c r="S7874" s="12" t="s">
        <v>31</v>
      </c>
      <c r="T7874" s="10" t="s">
        <v>66</v>
      </c>
      <c r="U7874" s="12" t="s">
        <v>31</v>
      </c>
      <c r="V7874" s="10" t="s">
        <v>10019</v>
      </c>
      <c r="W7874" s="10" t="s">
        <v>48914</v>
      </c>
      <c r="X7874" s="13" t="str">
        <f>HYPERLINK("https://my.pitchbook.com?p=216630-10P","View People Online")</f>
        <v>View People Online</v>
      </c>
    </row>
    <row r="7875">
      <c r="A7875" s="14" t="s">
        <v>48941</v>
      </c>
      <c r="B7875" s="14" t="s">
        <v>48942</v>
      </c>
      <c r="C7875" s="14" t="s">
        <v>48943</v>
      </c>
      <c r="D7875" s="14" t="s">
        <v>48944</v>
      </c>
      <c r="E7875" s="14" t="s">
        <v>48914</v>
      </c>
      <c r="F7875" s="14" t="s">
        <v>548</v>
      </c>
      <c r="G7875" s="14" t="s">
        <v>48945</v>
      </c>
      <c r="H7875" s="15" t="s">
        <v>31</v>
      </c>
      <c r="I7875" s="15">
        <v>1.0</v>
      </c>
      <c r="J7875" s="15">
        <v>1.0</v>
      </c>
      <c r="K7875" s="15" t="s">
        <v>31</v>
      </c>
      <c r="L7875" s="16" t="s">
        <v>31</v>
      </c>
      <c r="M7875" s="14" t="s">
        <v>48946</v>
      </c>
      <c r="N7875" s="14" t="s">
        <v>10144</v>
      </c>
      <c r="O7875" s="16" t="s">
        <v>10145</v>
      </c>
      <c r="P7875" s="14" t="s">
        <v>31</v>
      </c>
      <c r="Q7875" s="14" t="s">
        <v>31</v>
      </c>
      <c r="R7875" s="14" t="s">
        <v>64</v>
      </c>
      <c r="S7875" s="16" t="s">
        <v>31</v>
      </c>
      <c r="T7875" s="14" t="s">
        <v>66</v>
      </c>
      <c r="U7875" s="16" t="s">
        <v>31</v>
      </c>
      <c r="V7875" s="14" t="s">
        <v>48947</v>
      </c>
      <c r="W7875" s="14" t="s">
        <v>48914</v>
      </c>
      <c r="X7875" s="17" t="str">
        <f>HYPERLINK("https://my.pitchbook.com?p=417264-13P","View People Online")</f>
        <v>View People Online</v>
      </c>
    </row>
    <row r="7876">
      <c r="A7876" s="2" t="s">
        <v>48948</v>
      </c>
      <c r="B7876" s="2" t="s">
        <v>48949</v>
      </c>
      <c r="C7876" s="2" t="s">
        <v>11411</v>
      </c>
      <c r="D7876" s="2" t="s">
        <v>48950</v>
      </c>
      <c r="E7876" s="2" t="s">
        <v>48914</v>
      </c>
      <c r="F7876" s="2" t="s">
        <v>470</v>
      </c>
      <c r="G7876" s="2" t="s">
        <v>48951</v>
      </c>
      <c r="H7876" s="3" t="s">
        <v>31</v>
      </c>
      <c r="I7876" s="3">
        <v>2.0</v>
      </c>
      <c r="J7876" s="3">
        <v>1.0</v>
      </c>
      <c r="K7876" s="3">
        <v>1.0</v>
      </c>
      <c r="L7876" s="4" t="s">
        <v>31</v>
      </c>
      <c r="M7876" s="2" t="s">
        <v>48952</v>
      </c>
      <c r="N7876" s="2" t="s">
        <v>10144</v>
      </c>
      <c r="O7876" s="4" t="s">
        <v>10145</v>
      </c>
      <c r="P7876" s="2" t="s">
        <v>31</v>
      </c>
      <c r="Q7876" s="2" t="s">
        <v>31</v>
      </c>
      <c r="R7876" s="2" t="s">
        <v>64</v>
      </c>
      <c r="S7876" s="4" t="s">
        <v>31</v>
      </c>
      <c r="T7876" s="2" t="s">
        <v>66</v>
      </c>
      <c r="U7876" s="4" t="s">
        <v>31</v>
      </c>
      <c r="V7876" s="2" t="s">
        <v>470</v>
      </c>
      <c r="W7876" s="2" t="s">
        <v>48914</v>
      </c>
      <c r="X7876" s="5" t="str">
        <f>HYPERLINK("https://my.pitchbook.com?p=109497-79P","View People Online")</f>
        <v>View People Online</v>
      </c>
    </row>
    <row r="7877">
      <c r="A7877" s="6" t="s">
        <v>48953</v>
      </c>
      <c r="B7877" s="6" t="s">
        <v>48954</v>
      </c>
      <c r="C7877" s="6" t="s">
        <v>48955</v>
      </c>
      <c r="D7877" s="6" t="s">
        <v>35674</v>
      </c>
      <c r="E7877" s="6" t="s">
        <v>48914</v>
      </c>
      <c r="F7877" s="6" t="s">
        <v>548</v>
      </c>
      <c r="G7877" s="6" t="s">
        <v>48956</v>
      </c>
      <c r="H7877" s="7" t="s">
        <v>31</v>
      </c>
      <c r="I7877" s="7">
        <v>8.0</v>
      </c>
      <c r="J7877" s="7">
        <v>2.0</v>
      </c>
      <c r="K7877" s="7">
        <v>6.0</v>
      </c>
      <c r="L7877" s="8" t="s">
        <v>31</v>
      </c>
      <c r="M7877" s="6" t="s">
        <v>48957</v>
      </c>
      <c r="N7877" s="6" t="s">
        <v>10144</v>
      </c>
      <c r="O7877" s="8" t="s">
        <v>10145</v>
      </c>
      <c r="P7877" s="6" t="s">
        <v>48958</v>
      </c>
      <c r="Q7877" s="6" t="s">
        <v>47256</v>
      </c>
      <c r="R7877" s="6" t="s">
        <v>64</v>
      </c>
      <c r="S7877" s="8" t="s">
        <v>10147</v>
      </c>
      <c r="T7877" s="6" t="s">
        <v>66</v>
      </c>
      <c r="U7877" s="8" t="s">
        <v>31</v>
      </c>
      <c r="V7877" s="6" t="s">
        <v>548</v>
      </c>
      <c r="W7877" s="6" t="s">
        <v>48959</v>
      </c>
      <c r="X7877" s="9" t="str">
        <f>HYPERLINK("https://my.pitchbook.com?p=320771-53P","View People Online")</f>
        <v>View People Online</v>
      </c>
    </row>
    <row r="7878">
      <c r="A7878" s="10" t="s">
        <v>48960</v>
      </c>
      <c r="B7878" s="10" t="s">
        <v>48961</v>
      </c>
      <c r="C7878" s="10" t="s">
        <v>18277</v>
      </c>
      <c r="D7878" s="10" t="s">
        <v>48962</v>
      </c>
      <c r="E7878" s="10" t="s">
        <v>48914</v>
      </c>
      <c r="F7878" s="10" t="s">
        <v>548</v>
      </c>
      <c r="G7878" s="10" t="s">
        <v>48963</v>
      </c>
      <c r="H7878" s="11" t="s">
        <v>31</v>
      </c>
      <c r="I7878" s="11">
        <v>1.0</v>
      </c>
      <c r="J7878" s="11">
        <v>1.0</v>
      </c>
      <c r="K7878" s="11" t="s">
        <v>31</v>
      </c>
      <c r="L7878" s="12" t="s">
        <v>31</v>
      </c>
      <c r="M7878" s="10" t="s">
        <v>48964</v>
      </c>
      <c r="N7878" s="10" t="s">
        <v>10144</v>
      </c>
      <c r="O7878" s="12" t="s">
        <v>10145</v>
      </c>
      <c r="P7878" s="10" t="s">
        <v>31</v>
      </c>
      <c r="Q7878" s="10" t="s">
        <v>31</v>
      </c>
      <c r="R7878" s="10" t="s">
        <v>64</v>
      </c>
      <c r="S7878" s="12" t="s">
        <v>31</v>
      </c>
      <c r="T7878" s="10" t="s">
        <v>66</v>
      </c>
      <c r="U7878" s="12" t="s">
        <v>31</v>
      </c>
      <c r="V7878" s="10" t="s">
        <v>48965</v>
      </c>
      <c r="W7878" s="10" t="s">
        <v>48914</v>
      </c>
      <c r="X7878" s="13" t="str">
        <f>HYPERLINK("https://my.pitchbook.com?p=278669-71P","View People Online")</f>
        <v>View People Online</v>
      </c>
    </row>
    <row r="7879">
      <c r="A7879" s="6" t="s">
        <v>48966</v>
      </c>
      <c r="B7879" s="6" t="s">
        <v>48967</v>
      </c>
      <c r="C7879" s="6" t="s">
        <v>2190</v>
      </c>
      <c r="D7879" s="6" t="s">
        <v>48968</v>
      </c>
      <c r="E7879" s="6" t="s">
        <v>48914</v>
      </c>
      <c r="F7879" s="6" t="s">
        <v>1283</v>
      </c>
      <c r="G7879" s="6" t="s">
        <v>48969</v>
      </c>
      <c r="H7879" s="7">
        <v>1.0</v>
      </c>
      <c r="I7879" s="7">
        <v>12.0</v>
      </c>
      <c r="J7879" s="7">
        <v>2.0</v>
      </c>
      <c r="K7879" s="7">
        <v>10.0</v>
      </c>
      <c r="L7879" s="8" t="s">
        <v>31</v>
      </c>
      <c r="M7879" s="6" t="s">
        <v>48970</v>
      </c>
      <c r="N7879" s="6" t="s">
        <v>75</v>
      </c>
      <c r="O7879" s="8" t="s">
        <v>76</v>
      </c>
      <c r="P7879" s="6" t="s">
        <v>48971</v>
      </c>
      <c r="Q7879" s="6" t="s">
        <v>30051</v>
      </c>
      <c r="R7879" s="6" t="s">
        <v>75</v>
      </c>
      <c r="S7879" s="8" t="s">
        <v>1122</v>
      </c>
      <c r="T7879" s="6" t="s">
        <v>66</v>
      </c>
      <c r="U7879" s="8" t="s">
        <v>31</v>
      </c>
      <c r="V7879" s="6" t="s">
        <v>48972</v>
      </c>
      <c r="W7879" s="6" t="s">
        <v>48973</v>
      </c>
      <c r="X7879" s="9" t="str">
        <f>HYPERLINK("https://my.pitchbook.com?p=278669-62P","View People Online")</f>
        <v>View People Online</v>
      </c>
    </row>
    <row r="7880">
      <c r="A7880" s="2" t="s">
        <v>48974</v>
      </c>
      <c r="B7880" s="2" t="s">
        <v>48975</v>
      </c>
      <c r="C7880" s="2" t="s">
        <v>5398</v>
      </c>
      <c r="D7880" s="2" t="s">
        <v>4799</v>
      </c>
      <c r="E7880" s="2" t="s">
        <v>48914</v>
      </c>
      <c r="F7880" s="2" t="s">
        <v>548</v>
      </c>
      <c r="G7880" s="2" t="s">
        <v>48976</v>
      </c>
      <c r="H7880" s="3" t="s">
        <v>31</v>
      </c>
      <c r="I7880" s="3">
        <v>1.0</v>
      </c>
      <c r="J7880" s="3">
        <v>1.0</v>
      </c>
      <c r="K7880" s="3" t="s">
        <v>31</v>
      </c>
      <c r="L7880" s="4" t="s">
        <v>31</v>
      </c>
      <c r="M7880" s="2" t="s">
        <v>48977</v>
      </c>
      <c r="N7880" s="2" t="s">
        <v>10144</v>
      </c>
      <c r="O7880" s="4" t="s">
        <v>10145</v>
      </c>
      <c r="P7880" s="2" t="s">
        <v>31</v>
      </c>
      <c r="Q7880" s="2" t="s">
        <v>31</v>
      </c>
      <c r="R7880" s="2" t="s">
        <v>64</v>
      </c>
      <c r="S7880" s="4" t="s">
        <v>31</v>
      </c>
      <c r="T7880" s="2" t="s">
        <v>66</v>
      </c>
      <c r="U7880" s="4" t="s">
        <v>31</v>
      </c>
      <c r="V7880" s="2" t="s">
        <v>48978</v>
      </c>
      <c r="W7880" s="2" t="s">
        <v>48914</v>
      </c>
      <c r="X7880" s="5" t="str">
        <f>HYPERLINK("https://my.pitchbook.com?p=278669-17P","View People Online")</f>
        <v>View People Online</v>
      </c>
    </row>
    <row r="7881">
      <c r="A7881" s="14" t="s">
        <v>28724</v>
      </c>
      <c r="B7881" s="14" t="s">
        <v>28725</v>
      </c>
      <c r="C7881" s="14" t="s">
        <v>28726</v>
      </c>
      <c r="D7881" s="14" t="s">
        <v>28727</v>
      </c>
      <c r="E7881" s="14" t="s">
        <v>48914</v>
      </c>
      <c r="F7881" s="14" t="s">
        <v>71</v>
      </c>
      <c r="G7881" s="14" t="s">
        <v>28729</v>
      </c>
      <c r="H7881" s="15" t="s">
        <v>31</v>
      </c>
      <c r="I7881" s="15">
        <v>3.0</v>
      </c>
      <c r="J7881" s="15">
        <v>2.0</v>
      </c>
      <c r="K7881" s="15">
        <v>1.0</v>
      </c>
      <c r="L7881" s="16" t="s">
        <v>31</v>
      </c>
      <c r="M7881" s="14" t="s">
        <v>28730</v>
      </c>
      <c r="N7881" s="14" t="s">
        <v>28731</v>
      </c>
      <c r="O7881" s="16" t="s">
        <v>28732</v>
      </c>
      <c r="P7881" s="14" t="s">
        <v>28733</v>
      </c>
      <c r="Q7881" s="14" t="s">
        <v>28734</v>
      </c>
      <c r="R7881" s="14" t="s">
        <v>28735</v>
      </c>
      <c r="S7881" s="16" t="s">
        <v>28736</v>
      </c>
      <c r="T7881" s="14" t="s">
        <v>1209</v>
      </c>
      <c r="U7881" s="16" t="s">
        <v>31</v>
      </c>
      <c r="V7881" s="14" t="s">
        <v>189</v>
      </c>
      <c r="W7881" s="14" t="s">
        <v>28728</v>
      </c>
      <c r="X7881" s="17" t="str">
        <f>HYPERLINK("https://my.pitchbook.com?p=278669-26P","View People Online")</f>
        <v>View People Online</v>
      </c>
    </row>
    <row r="7882">
      <c r="A7882" s="10" t="s">
        <v>48979</v>
      </c>
      <c r="B7882" s="10" t="s">
        <v>48980</v>
      </c>
      <c r="C7882" s="10" t="s">
        <v>48981</v>
      </c>
      <c r="D7882" s="10" t="s">
        <v>857</v>
      </c>
      <c r="E7882" s="10" t="s">
        <v>48914</v>
      </c>
      <c r="F7882" s="10" t="s">
        <v>548</v>
      </c>
      <c r="G7882" s="10" t="s">
        <v>48982</v>
      </c>
      <c r="H7882" s="11" t="s">
        <v>31</v>
      </c>
      <c r="I7882" s="11">
        <v>1.0</v>
      </c>
      <c r="J7882" s="11">
        <v>1.0</v>
      </c>
      <c r="K7882" s="11" t="s">
        <v>31</v>
      </c>
      <c r="L7882" s="12" t="s">
        <v>31</v>
      </c>
      <c r="M7882" s="10" t="s">
        <v>48983</v>
      </c>
      <c r="N7882" s="10" t="s">
        <v>10144</v>
      </c>
      <c r="O7882" s="12" t="s">
        <v>10145</v>
      </c>
      <c r="P7882" s="10" t="s">
        <v>31</v>
      </c>
      <c r="Q7882" s="10" t="s">
        <v>31</v>
      </c>
      <c r="R7882" s="10" t="s">
        <v>64</v>
      </c>
      <c r="S7882" s="12" t="s">
        <v>31</v>
      </c>
      <c r="T7882" s="10" t="s">
        <v>66</v>
      </c>
      <c r="U7882" s="12" t="s">
        <v>31</v>
      </c>
      <c r="V7882" s="10" t="s">
        <v>48984</v>
      </c>
      <c r="W7882" s="10" t="s">
        <v>48914</v>
      </c>
      <c r="X7882" s="13" t="str">
        <f>HYPERLINK("https://my.pitchbook.com?p=338484-34P","View People Online")</f>
        <v>View People Online</v>
      </c>
    </row>
    <row r="7883">
      <c r="A7883" s="6" t="s">
        <v>48985</v>
      </c>
      <c r="B7883" s="6" t="s">
        <v>48986</v>
      </c>
      <c r="C7883" s="6" t="s">
        <v>48987</v>
      </c>
      <c r="D7883" s="6" t="s">
        <v>1571</v>
      </c>
      <c r="E7883" s="6" t="s">
        <v>48914</v>
      </c>
      <c r="F7883" s="6" t="s">
        <v>825</v>
      </c>
      <c r="G7883" s="6" t="s">
        <v>48988</v>
      </c>
      <c r="H7883" s="7">
        <v>2.0</v>
      </c>
      <c r="I7883" s="7">
        <v>21.0</v>
      </c>
      <c r="J7883" s="7">
        <v>3.0</v>
      </c>
      <c r="K7883" s="7">
        <v>12.0</v>
      </c>
      <c r="L7883" s="8" t="s">
        <v>48989</v>
      </c>
      <c r="M7883" s="6" t="s">
        <v>48990</v>
      </c>
      <c r="N7883" s="6" t="s">
        <v>75</v>
      </c>
      <c r="O7883" s="8" t="s">
        <v>76</v>
      </c>
      <c r="P7883" s="6" t="s">
        <v>48991</v>
      </c>
      <c r="Q7883" s="6" t="s">
        <v>48992</v>
      </c>
      <c r="R7883" s="6" t="s">
        <v>75</v>
      </c>
      <c r="S7883" s="8" t="s">
        <v>1432</v>
      </c>
      <c r="T7883" s="6" t="s">
        <v>66</v>
      </c>
      <c r="U7883" s="8" t="s">
        <v>31</v>
      </c>
      <c r="V7883" s="6" t="s">
        <v>3930</v>
      </c>
      <c r="W7883" s="6" t="s">
        <v>48993</v>
      </c>
      <c r="X7883" s="9" t="str">
        <f>HYPERLINK("https://my.pitchbook.com?p=13144-33P","View People Online")</f>
        <v>View People Online</v>
      </c>
    </row>
    <row r="7884">
      <c r="A7884" s="10" t="s">
        <v>48994</v>
      </c>
      <c r="B7884" s="10" t="s">
        <v>48995</v>
      </c>
      <c r="C7884" s="10" t="s">
        <v>48996</v>
      </c>
      <c r="D7884" s="10" t="s">
        <v>48997</v>
      </c>
      <c r="E7884" s="10" t="s">
        <v>48914</v>
      </c>
      <c r="F7884" s="10" t="s">
        <v>10639</v>
      </c>
      <c r="G7884" s="10" t="s">
        <v>48998</v>
      </c>
      <c r="H7884" s="11" t="s">
        <v>31</v>
      </c>
      <c r="I7884" s="11">
        <v>5.0</v>
      </c>
      <c r="J7884" s="11">
        <v>2.0</v>
      </c>
      <c r="K7884" s="11">
        <v>1.0</v>
      </c>
      <c r="L7884" s="12" t="s">
        <v>31</v>
      </c>
      <c r="M7884" s="10" t="s">
        <v>48999</v>
      </c>
      <c r="N7884" s="10" t="s">
        <v>1034</v>
      </c>
      <c r="O7884" s="12" t="s">
        <v>1035</v>
      </c>
      <c r="P7884" s="10" t="s">
        <v>49000</v>
      </c>
      <c r="Q7884" s="10" t="s">
        <v>49001</v>
      </c>
      <c r="R7884" s="10" t="s">
        <v>31</v>
      </c>
      <c r="S7884" s="12" t="s">
        <v>49002</v>
      </c>
      <c r="T7884" s="10" t="s">
        <v>1034</v>
      </c>
      <c r="U7884" s="12" t="s">
        <v>31</v>
      </c>
      <c r="V7884" s="10" t="s">
        <v>3523</v>
      </c>
      <c r="W7884" s="10" t="s">
        <v>49003</v>
      </c>
      <c r="X7884" s="13" t="str">
        <f>HYPERLINK("https://my.pitchbook.com?p=278669-53P","View People Online")</f>
        <v>View People Online</v>
      </c>
    </row>
    <row r="7885">
      <c r="A7885" s="6" t="s">
        <v>49004</v>
      </c>
      <c r="B7885" s="6" t="s">
        <v>49005</v>
      </c>
      <c r="C7885" s="6" t="s">
        <v>2572</v>
      </c>
      <c r="D7885" s="6" t="s">
        <v>8009</v>
      </c>
      <c r="E7885" s="6" t="s">
        <v>49006</v>
      </c>
      <c r="F7885" s="6" t="s">
        <v>29</v>
      </c>
      <c r="G7885" s="6" t="s">
        <v>49007</v>
      </c>
      <c r="H7885" s="7">
        <v>9.0</v>
      </c>
      <c r="I7885" s="7">
        <v>44.0</v>
      </c>
      <c r="J7885" s="7">
        <v>1.0</v>
      </c>
      <c r="K7885" s="7">
        <v>30.0</v>
      </c>
      <c r="L7885" s="8" t="s">
        <v>49008</v>
      </c>
      <c r="M7885" s="6" t="s">
        <v>49009</v>
      </c>
      <c r="N7885" s="6" t="s">
        <v>1292</v>
      </c>
      <c r="O7885" s="8" t="s">
        <v>1293</v>
      </c>
      <c r="P7885" s="6" t="s">
        <v>49010</v>
      </c>
      <c r="Q7885" s="6" t="s">
        <v>31</v>
      </c>
      <c r="R7885" s="6" t="s">
        <v>64</v>
      </c>
      <c r="S7885" s="8" t="s">
        <v>1296</v>
      </c>
      <c r="T7885" s="6" t="s">
        <v>66</v>
      </c>
      <c r="U7885" s="8" t="s">
        <v>49011</v>
      </c>
      <c r="V7885" s="6" t="s">
        <v>29</v>
      </c>
      <c r="W7885" s="6" t="s">
        <v>49006</v>
      </c>
      <c r="X7885" s="9" t="str">
        <f>HYPERLINK("https://my.pitchbook.com?p=41962-24P","View People Online")</f>
        <v>View People Online</v>
      </c>
    </row>
    <row r="7886">
      <c r="A7886" s="10" t="s">
        <v>49012</v>
      </c>
      <c r="B7886" s="10" t="s">
        <v>49013</v>
      </c>
      <c r="C7886" s="10" t="s">
        <v>49014</v>
      </c>
      <c r="D7886" s="10" t="s">
        <v>43098</v>
      </c>
      <c r="E7886" s="10" t="s">
        <v>49006</v>
      </c>
      <c r="F7886" s="10" t="s">
        <v>221</v>
      </c>
      <c r="G7886" s="10" t="s">
        <v>49015</v>
      </c>
      <c r="H7886" s="11" t="s">
        <v>31</v>
      </c>
      <c r="I7886" s="11">
        <v>1.0</v>
      </c>
      <c r="J7886" s="11">
        <v>1.0</v>
      </c>
      <c r="K7886" s="11" t="s">
        <v>31</v>
      </c>
      <c r="L7886" s="12" t="s">
        <v>49016</v>
      </c>
      <c r="M7886" s="10" t="s">
        <v>49017</v>
      </c>
      <c r="N7886" s="10" t="s">
        <v>75</v>
      </c>
      <c r="O7886" s="12" t="s">
        <v>76</v>
      </c>
      <c r="P7886" s="10" t="s">
        <v>49018</v>
      </c>
      <c r="Q7886" s="10" t="s">
        <v>49019</v>
      </c>
      <c r="R7886" s="10" t="s">
        <v>75</v>
      </c>
      <c r="S7886" s="12" t="s">
        <v>27197</v>
      </c>
      <c r="T7886" s="10" t="s">
        <v>66</v>
      </c>
      <c r="U7886" s="12" t="s">
        <v>31</v>
      </c>
      <c r="V7886" s="10" t="s">
        <v>221</v>
      </c>
      <c r="W7886" s="10" t="s">
        <v>49006</v>
      </c>
      <c r="X7886" s="13" t="str">
        <f>HYPERLINK("https://my.pitchbook.com?p=385406-65P","View People Online")</f>
        <v>View People Online</v>
      </c>
    </row>
    <row r="7887">
      <c r="A7887" s="6" t="s">
        <v>49020</v>
      </c>
      <c r="B7887" s="6" t="s">
        <v>49021</v>
      </c>
      <c r="C7887" s="6" t="s">
        <v>186</v>
      </c>
      <c r="D7887" s="6" t="s">
        <v>49022</v>
      </c>
      <c r="E7887" s="6" t="s">
        <v>49006</v>
      </c>
      <c r="F7887" s="6" t="s">
        <v>29</v>
      </c>
      <c r="G7887" s="6" t="s">
        <v>49023</v>
      </c>
      <c r="H7887" s="7">
        <v>1.0</v>
      </c>
      <c r="I7887" s="7">
        <v>2.0</v>
      </c>
      <c r="J7887" s="7">
        <v>1.0</v>
      </c>
      <c r="K7887" s="7" t="s">
        <v>31</v>
      </c>
      <c r="L7887" s="8" t="s">
        <v>49008</v>
      </c>
      <c r="M7887" s="6" t="s">
        <v>49024</v>
      </c>
      <c r="N7887" s="6" t="s">
        <v>75</v>
      </c>
      <c r="O7887" s="8" t="s">
        <v>76</v>
      </c>
      <c r="P7887" s="6" t="s">
        <v>49018</v>
      </c>
      <c r="Q7887" s="6" t="s">
        <v>49019</v>
      </c>
      <c r="R7887" s="6" t="s">
        <v>75</v>
      </c>
      <c r="S7887" s="8" t="s">
        <v>27197</v>
      </c>
      <c r="T7887" s="6" t="s">
        <v>66</v>
      </c>
      <c r="U7887" s="8" t="s">
        <v>31</v>
      </c>
      <c r="V7887" s="6" t="s">
        <v>29</v>
      </c>
      <c r="W7887" s="6" t="s">
        <v>49006</v>
      </c>
      <c r="X7887" s="9" t="str">
        <f>HYPERLINK("https://my.pitchbook.com?p=117286-93P","View People Online")</f>
        <v>View People Online</v>
      </c>
    </row>
    <row r="7888">
      <c r="A7888" s="10" t="s">
        <v>49025</v>
      </c>
      <c r="B7888" s="10" t="s">
        <v>49026</v>
      </c>
      <c r="C7888" s="10" t="s">
        <v>10710</v>
      </c>
      <c r="D7888" s="10" t="s">
        <v>49027</v>
      </c>
      <c r="E7888" s="10" t="s">
        <v>49006</v>
      </c>
      <c r="F7888" s="10" t="s">
        <v>5234</v>
      </c>
      <c r="G7888" s="10" t="s">
        <v>49028</v>
      </c>
      <c r="H7888" s="11" t="s">
        <v>31</v>
      </c>
      <c r="I7888" s="11">
        <v>1.0</v>
      </c>
      <c r="J7888" s="11">
        <v>1.0</v>
      </c>
      <c r="K7888" s="11" t="s">
        <v>31</v>
      </c>
      <c r="L7888" s="12" t="s">
        <v>49008</v>
      </c>
      <c r="M7888" s="10" t="s">
        <v>49029</v>
      </c>
      <c r="N7888" s="10" t="s">
        <v>1292</v>
      </c>
      <c r="O7888" s="12" t="s">
        <v>1293</v>
      </c>
      <c r="P7888" s="10" t="s">
        <v>49010</v>
      </c>
      <c r="Q7888" s="10" t="s">
        <v>31</v>
      </c>
      <c r="R7888" s="10" t="s">
        <v>64</v>
      </c>
      <c r="S7888" s="12" t="s">
        <v>1296</v>
      </c>
      <c r="T7888" s="10" t="s">
        <v>66</v>
      </c>
      <c r="U7888" s="12" t="s">
        <v>49011</v>
      </c>
      <c r="V7888" s="10" t="s">
        <v>5234</v>
      </c>
      <c r="W7888" s="10" t="s">
        <v>49006</v>
      </c>
      <c r="X7888" s="13" t="str">
        <f>HYPERLINK("https://my.pitchbook.com?p=332259-76P","View People Online")</f>
        <v>View People Online</v>
      </c>
    </row>
    <row r="7889">
      <c r="A7889" s="14" t="s">
        <v>49030</v>
      </c>
      <c r="B7889" s="14" t="s">
        <v>49031</v>
      </c>
      <c r="C7889" s="14" t="s">
        <v>233</v>
      </c>
      <c r="D7889" s="14" t="s">
        <v>49032</v>
      </c>
      <c r="E7889" s="14" t="s">
        <v>49006</v>
      </c>
      <c r="F7889" s="14" t="s">
        <v>1134</v>
      </c>
      <c r="G7889" s="14" t="s">
        <v>49033</v>
      </c>
      <c r="H7889" s="15">
        <v>15.0</v>
      </c>
      <c r="I7889" s="15">
        <v>61.0</v>
      </c>
      <c r="J7889" s="15">
        <v>1.0</v>
      </c>
      <c r="K7889" s="15">
        <v>37.0</v>
      </c>
      <c r="L7889" s="16" t="s">
        <v>49008</v>
      </c>
      <c r="M7889" s="14" t="s">
        <v>49034</v>
      </c>
      <c r="N7889" s="14" t="s">
        <v>1292</v>
      </c>
      <c r="O7889" s="16" t="s">
        <v>1293</v>
      </c>
      <c r="P7889" s="14" t="s">
        <v>49010</v>
      </c>
      <c r="Q7889" s="14" t="s">
        <v>31</v>
      </c>
      <c r="R7889" s="14" t="s">
        <v>64</v>
      </c>
      <c r="S7889" s="16" t="s">
        <v>1296</v>
      </c>
      <c r="T7889" s="14" t="s">
        <v>66</v>
      </c>
      <c r="U7889" s="16" t="s">
        <v>49011</v>
      </c>
      <c r="V7889" s="14" t="s">
        <v>49035</v>
      </c>
      <c r="W7889" s="14" t="s">
        <v>49006</v>
      </c>
      <c r="X7889" s="17" t="str">
        <f>HYPERLINK("https://my.pitchbook.com?p=20773-81P","View People Online")</f>
        <v>View People Online</v>
      </c>
    </row>
    <row r="7890">
      <c r="A7890" s="10" t="s">
        <v>49036</v>
      </c>
      <c r="B7890" s="10" t="s">
        <v>49037</v>
      </c>
      <c r="C7890" s="10" t="s">
        <v>1117</v>
      </c>
      <c r="D7890" s="10" t="s">
        <v>49038</v>
      </c>
      <c r="E7890" s="10" t="s">
        <v>49006</v>
      </c>
      <c r="F7890" s="10" t="s">
        <v>29</v>
      </c>
      <c r="G7890" s="10" t="s">
        <v>49039</v>
      </c>
      <c r="H7890" s="11">
        <v>4.0</v>
      </c>
      <c r="I7890" s="11">
        <v>51.0</v>
      </c>
      <c r="J7890" s="11">
        <v>1.0</v>
      </c>
      <c r="K7890" s="11">
        <v>42.0</v>
      </c>
      <c r="L7890" s="12" t="s">
        <v>49016</v>
      </c>
      <c r="M7890" s="10" t="s">
        <v>49040</v>
      </c>
      <c r="N7890" s="10" t="s">
        <v>75</v>
      </c>
      <c r="O7890" s="12" t="s">
        <v>76</v>
      </c>
      <c r="P7890" s="10" t="s">
        <v>49018</v>
      </c>
      <c r="Q7890" s="10" t="s">
        <v>49019</v>
      </c>
      <c r="R7890" s="10" t="s">
        <v>75</v>
      </c>
      <c r="S7890" s="12" t="s">
        <v>27197</v>
      </c>
      <c r="T7890" s="10" t="s">
        <v>66</v>
      </c>
      <c r="U7890" s="12" t="s">
        <v>31</v>
      </c>
      <c r="V7890" s="10" t="s">
        <v>29</v>
      </c>
      <c r="W7890" s="10" t="s">
        <v>49006</v>
      </c>
      <c r="X7890" s="13" t="str">
        <f>HYPERLINK("https://my.pitchbook.com?p=97941-70P","View People Online")</f>
        <v>View People Online</v>
      </c>
    </row>
    <row r="7891">
      <c r="A7891" s="14" t="s">
        <v>49041</v>
      </c>
      <c r="B7891" s="14" t="s">
        <v>49042</v>
      </c>
      <c r="C7891" s="14" t="s">
        <v>10383</v>
      </c>
      <c r="D7891" s="14" t="s">
        <v>49043</v>
      </c>
      <c r="E7891" s="14" t="s">
        <v>49006</v>
      </c>
      <c r="F7891" s="14" t="s">
        <v>29</v>
      </c>
      <c r="G7891" s="14" t="s">
        <v>49044</v>
      </c>
      <c r="H7891" s="15">
        <v>1.0</v>
      </c>
      <c r="I7891" s="15">
        <v>16.0</v>
      </c>
      <c r="J7891" s="15">
        <v>1.0</v>
      </c>
      <c r="K7891" s="15">
        <v>11.0</v>
      </c>
      <c r="L7891" s="16" t="s">
        <v>49008</v>
      </c>
      <c r="M7891" s="14" t="s">
        <v>49045</v>
      </c>
      <c r="N7891" s="14" t="s">
        <v>1292</v>
      </c>
      <c r="O7891" s="16" t="s">
        <v>1293</v>
      </c>
      <c r="P7891" s="14" t="s">
        <v>49010</v>
      </c>
      <c r="Q7891" s="14" t="s">
        <v>31</v>
      </c>
      <c r="R7891" s="14" t="s">
        <v>64</v>
      </c>
      <c r="S7891" s="16" t="s">
        <v>1296</v>
      </c>
      <c r="T7891" s="14" t="s">
        <v>66</v>
      </c>
      <c r="U7891" s="16" t="s">
        <v>49011</v>
      </c>
      <c r="V7891" s="14" t="s">
        <v>29</v>
      </c>
      <c r="W7891" s="14" t="s">
        <v>49006</v>
      </c>
      <c r="X7891" s="17" t="str">
        <f>HYPERLINK("https://my.pitchbook.com?p=195356-53P","View People Online")</f>
        <v>View People Online</v>
      </c>
    </row>
    <row r="7892">
      <c r="A7892" s="2" t="s">
        <v>49046</v>
      </c>
      <c r="B7892" s="2" t="s">
        <v>49047</v>
      </c>
      <c r="C7892" s="2" t="s">
        <v>1541</v>
      </c>
      <c r="D7892" s="2" t="s">
        <v>49048</v>
      </c>
      <c r="E7892" s="2" t="s">
        <v>49006</v>
      </c>
      <c r="F7892" s="2" t="s">
        <v>1134</v>
      </c>
      <c r="G7892" s="2" t="s">
        <v>49049</v>
      </c>
      <c r="H7892" s="3" t="s">
        <v>31</v>
      </c>
      <c r="I7892" s="3">
        <v>2.0</v>
      </c>
      <c r="J7892" s="3">
        <v>2.0</v>
      </c>
      <c r="K7892" s="3" t="s">
        <v>31</v>
      </c>
      <c r="L7892" s="4" t="s">
        <v>49050</v>
      </c>
      <c r="M7892" s="2" t="s">
        <v>49051</v>
      </c>
      <c r="N7892" s="2" t="s">
        <v>75</v>
      </c>
      <c r="O7892" s="4" t="s">
        <v>76</v>
      </c>
      <c r="P7892" s="2" t="s">
        <v>49052</v>
      </c>
      <c r="Q7892" s="2" t="s">
        <v>49053</v>
      </c>
      <c r="R7892" s="2" t="s">
        <v>75</v>
      </c>
      <c r="S7892" s="4" t="s">
        <v>49054</v>
      </c>
      <c r="T7892" s="2" t="s">
        <v>66</v>
      </c>
      <c r="U7892" s="4" t="s">
        <v>31</v>
      </c>
      <c r="V7892" s="2" t="s">
        <v>30562</v>
      </c>
      <c r="W7892" s="2" t="s">
        <v>49055</v>
      </c>
      <c r="X7892" s="5" t="str">
        <f>HYPERLINK("https://my.pitchbook.com?p=138332-71P","View People Online")</f>
        <v>View People Online</v>
      </c>
    </row>
    <row r="7893">
      <c r="A7893" s="14" t="s">
        <v>49056</v>
      </c>
      <c r="B7893" s="14" t="s">
        <v>49057</v>
      </c>
      <c r="C7893" s="14" t="s">
        <v>1103</v>
      </c>
      <c r="D7893" s="14" t="s">
        <v>12848</v>
      </c>
      <c r="E7893" s="14" t="s">
        <v>49006</v>
      </c>
      <c r="F7893" s="14" t="s">
        <v>470</v>
      </c>
      <c r="G7893" s="14" t="s">
        <v>49058</v>
      </c>
      <c r="H7893" s="15">
        <v>17.0</v>
      </c>
      <c r="I7893" s="15">
        <v>95.0</v>
      </c>
      <c r="J7893" s="15">
        <v>3.0</v>
      </c>
      <c r="K7893" s="15">
        <v>67.0</v>
      </c>
      <c r="L7893" s="16" t="s">
        <v>49016</v>
      </c>
      <c r="M7893" s="14" t="s">
        <v>49059</v>
      </c>
      <c r="N7893" s="14" t="s">
        <v>75</v>
      </c>
      <c r="O7893" s="16" t="s">
        <v>76</v>
      </c>
      <c r="P7893" s="14" t="s">
        <v>49018</v>
      </c>
      <c r="Q7893" s="14" t="s">
        <v>49019</v>
      </c>
      <c r="R7893" s="14" t="s">
        <v>75</v>
      </c>
      <c r="S7893" s="16" t="s">
        <v>27197</v>
      </c>
      <c r="T7893" s="14" t="s">
        <v>66</v>
      </c>
      <c r="U7893" s="16" t="s">
        <v>31</v>
      </c>
      <c r="V7893" s="14" t="s">
        <v>10347</v>
      </c>
      <c r="W7893" s="14" t="s">
        <v>49006</v>
      </c>
      <c r="X7893" s="17" t="str">
        <f>HYPERLINK("https://my.pitchbook.com?p=16190-83P","View People Online")</f>
        <v>View People Online</v>
      </c>
    </row>
    <row r="7894">
      <c r="A7894" s="2" t="s">
        <v>49060</v>
      </c>
      <c r="B7894" s="2" t="s">
        <v>49061</v>
      </c>
      <c r="C7894" s="2" t="s">
        <v>14410</v>
      </c>
      <c r="D7894" s="2" t="s">
        <v>4586</v>
      </c>
      <c r="E7894" s="2" t="s">
        <v>49006</v>
      </c>
      <c r="F7894" s="2" t="s">
        <v>318</v>
      </c>
      <c r="G7894" s="2" t="s">
        <v>49062</v>
      </c>
      <c r="H7894" s="3" t="s">
        <v>31</v>
      </c>
      <c r="I7894" s="3">
        <v>1.0</v>
      </c>
      <c r="J7894" s="3">
        <v>1.0</v>
      </c>
      <c r="K7894" s="3" t="s">
        <v>31</v>
      </c>
      <c r="L7894" s="4" t="s">
        <v>49016</v>
      </c>
      <c r="M7894" s="2" t="s">
        <v>49063</v>
      </c>
      <c r="N7894" s="2" t="s">
        <v>75</v>
      </c>
      <c r="O7894" s="4" t="s">
        <v>76</v>
      </c>
      <c r="P7894" s="2" t="s">
        <v>49018</v>
      </c>
      <c r="Q7894" s="2" t="s">
        <v>49019</v>
      </c>
      <c r="R7894" s="2" t="s">
        <v>75</v>
      </c>
      <c r="S7894" s="4" t="s">
        <v>27197</v>
      </c>
      <c r="T7894" s="2" t="s">
        <v>66</v>
      </c>
      <c r="U7894" s="4" t="s">
        <v>31</v>
      </c>
      <c r="V7894" s="2" t="s">
        <v>318</v>
      </c>
      <c r="W7894" s="2" t="s">
        <v>49006</v>
      </c>
      <c r="X7894" s="5" t="str">
        <f>HYPERLINK("https://my.pitchbook.com?p=332273-71P","View People Online")</f>
        <v>View People Online</v>
      </c>
    </row>
    <row r="7895">
      <c r="A7895" s="6" t="s">
        <v>49064</v>
      </c>
      <c r="B7895" s="6" t="s">
        <v>49065</v>
      </c>
      <c r="C7895" s="6" t="s">
        <v>2688</v>
      </c>
      <c r="D7895" s="6" t="s">
        <v>11992</v>
      </c>
      <c r="E7895" s="6" t="s">
        <v>49006</v>
      </c>
      <c r="F7895" s="6" t="s">
        <v>548</v>
      </c>
      <c r="G7895" s="6" t="s">
        <v>49066</v>
      </c>
      <c r="H7895" s="7" t="s">
        <v>31</v>
      </c>
      <c r="I7895" s="7">
        <v>3.0</v>
      </c>
      <c r="J7895" s="7">
        <v>1.0</v>
      </c>
      <c r="K7895" s="7">
        <v>1.0</v>
      </c>
      <c r="L7895" s="8" t="s">
        <v>49008</v>
      </c>
      <c r="M7895" s="6" t="s">
        <v>49067</v>
      </c>
      <c r="N7895" s="6" t="s">
        <v>1292</v>
      </c>
      <c r="O7895" s="8" t="s">
        <v>1293</v>
      </c>
      <c r="P7895" s="6" t="s">
        <v>49010</v>
      </c>
      <c r="Q7895" s="6" t="s">
        <v>31</v>
      </c>
      <c r="R7895" s="6" t="s">
        <v>64</v>
      </c>
      <c r="S7895" s="8" t="s">
        <v>1296</v>
      </c>
      <c r="T7895" s="6" t="s">
        <v>66</v>
      </c>
      <c r="U7895" s="8" t="s">
        <v>49011</v>
      </c>
      <c r="V7895" s="6" t="s">
        <v>27117</v>
      </c>
      <c r="W7895" s="6" t="s">
        <v>49006</v>
      </c>
      <c r="X7895" s="9" t="str">
        <f>HYPERLINK("https://my.pitchbook.com?p=125471-89P","View People Online")</f>
        <v>View People Online</v>
      </c>
    </row>
    <row r="7896">
      <c r="A7896" s="2" t="s">
        <v>49068</v>
      </c>
      <c r="B7896" s="2" t="s">
        <v>49069</v>
      </c>
      <c r="C7896" s="2" t="s">
        <v>49070</v>
      </c>
      <c r="D7896" s="2" t="s">
        <v>49071</v>
      </c>
      <c r="E7896" s="2" t="s">
        <v>49006</v>
      </c>
      <c r="F7896" s="2" t="s">
        <v>221</v>
      </c>
      <c r="G7896" s="2" t="s">
        <v>49072</v>
      </c>
      <c r="H7896" s="3" t="s">
        <v>31</v>
      </c>
      <c r="I7896" s="3">
        <v>1.0</v>
      </c>
      <c r="J7896" s="3">
        <v>1.0</v>
      </c>
      <c r="K7896" s="3" t="s">
        <v>31</v>
      </c>
      <c r="L7896" s="4" t="s">
        <v>49016</v>
      </c>
      <c r="M7896" s="2" t="s">
        <v>49073</v>
      </c>
      <c r="N7896" s="2" t="s">
        <v>75</v>
      </c>
      <c r="O7896" s="4" t="s">
        <v>76</v>
      </c>
      <c r="P7896" s="2" t="s">
        <v>49018</v>
      </c>
      <c r="Q7896" s="2" t="s">
        <v>49019</v>
      </c>
      <c r="R7896" s="2" t="s">
        <v>75</v>
      </c>
      <c r="S7896" s="4" t="s">
        <v>27197</v>
      </c>
      <c r="T7896" s="2" t="s">
        <v>66</v>
      </c>
      <c r="U7896" s="4" t="s">
        <v>31</v>
      </c>
      <c r="V7896" s="2" t="s">
        <v>221</v>
      </c>
      <c r="W7896" s="2" t="s">
        <v>49006</v>
      </c>
      <c r="X7896" s="5" t="str">
        <f>HYPERLINK("https://my.pitchbook.com?p=385407-37P","View People Online")</f>
        <v>View People Online</v>
      </c>
    </row>
    <row r="7897">
      <c r="A7897" s="6" t="s">
        <v>49074</v>
      </c>
      <c r="B7897" s="6" t="s">
        <v>49075</v>
      </c>
      <c r="C7897" s="6" t="s">
        <v>49076</v>
      </c>
      <c r="D7897" s="6" t="s">
        <v>49077</v>
      </c>
      <c r="E7897" s="6" t="s">
        <v>49006</v>
      </c>
      <c r="F7897" s="6" t="s">
        <v>221</v>
      </c>
      <c r="G7897" s="6" t="s">
        <v>49078</v>
      </c>
      <c r="H7897" s="7" t="s">
        <v>31</v>
      </c>
      <c r="I7897" s="7">
        <v>1.0</v>
      </c>
      <c r="J7897" s="7">
        <v>1.0</v>
      </c>
      <c r="K7897" s="7" t="s">
        <v>31</v>
      </c>
      <c r="L7897" s="8" t="s">
        <v>49008</v>
      </c>
      <c r="M7897" s="6" t="s">
        <v>49079</v>
      </c>
      <c r="N7897" s="6" t="s">
        <v>1292</v>
      </c>
      <c r="O7897" s="8" t="s">
        <v>1293</v>
      </c>
      <c r="P7897" s="6" t="s">
        <v>49010</v>
      </c>
      <c r="Q7897" s="6" t="s">
        <v>31</v>
      </c>
      <c r="R7897" s="6" t="s">
        <v>64</v>
      </c>
      <c r="S7897" s="8" t="s">
        <v>1296</v>
      </c>
      <c r="T7897" s="6" t="s">
        <v>66</v>
      </c>
      <c r="U7897" s="8" t="s">
        <v>49011</v>
      </c>
      <c r="V7897" s="6" t="s">
        <v>221</v>
      </c>
      <c r="W7897" s="6" t="s">
        <v>49006</v>
      </c>
      <c r="X7897" s="9" t="str">
        <f>HYPERLINK("https://my.pitchbook.com?p=385408-00P","View People Online")</f>
        <v>View People Online</v>
      </c>
    </row>
    <row r="7898">
      <c r="A7898" s="10" t="s">
        <v>49080</v>
      </c>
      <c r="B7898" s="10" t="s">
        <v>49081</v>
      </c>
      <c r="C7898" s="10" t="s">
        <v>12699</v>
      </c>
      <c r="D7898" s="10" t="s">
        <v>831</v>
      </c>
      <c r="E7898" s="10" t="s">
        <v>49006</v>
      </c>
      <c r="F7898" s="10" t="s">
        <v>29</v>
      </c>
      <c r="G7898" s="10" t="s">
        <v>49082</v>
      </c>
      <c r="H7898" s="11">
        <v>5.0</v>
      </c>
      <c r="I7898" s="11">
        <v>12.0</v>
      </c>
      <c r="J7898" s="11">
        <v>1.0</v>
      </c>
      <c r="K7898" s="11">
        <v>6.0</v>
      </c>
      <c r="L7898" s="12" t="s">
        <v>49008</v>
      </c>
      <c r="M7898" s="10" t="s">
        <v>49083</v>
      </c>
      <c r="N7898" s="10" t="s">
        <v>1292</v>
      </c>
      <c r="O7898" s="12" t="s">
        <v>1293</v>
      </c>
      <c r="P7898" s="10" t="s">
        <v>49010</v>
      </c>
      <c r="Q7898" s="10" t="s">
        <v>31</v>
      </c>
      <c r="R7898" s="10" t="s">
        <v>64</v>
      </c>
      <c r="S7898" s="12" t="s">
        <v>1296</v>
      </c>
      <c r="T7898" s="10" t="s">
        <v>66</v>
      </c>
      <c r="U7898" s="12" t="s">
        <v>49011</v>
      </c>
      <c r="V7898" s="10" t="s">
        <v>29</v>
      </c>
      <c r="W7898" s="10" t="s">
        <v>49006</v>
      </c>
      <c r="X7898" s="13" t="str">
        <f>HYPERLINK("https://my.pitchbook.com?p=74551-78P","View People Online")</f>
        <v>View People Online</v>
      </c>
    </row>
    <row r="7899">
      <c r="A7899" s="6" t="s">
        <v>49084</v>
      </c>
      <c r="B7899" s="6" t="s">
        <v>49085</v>
      </c>
      <c r="C7899" s="6" t="s">
        <v>4851</v>
      </c>
      <c r="D7899" s="6" t="s">
        <v>49086</v>
      </c>
      <c r="E7899" s="6" t="s">
        <v>49006</v>
      </c>
      <c r="F7899" s="6" t="s">
        <v>29</v>
      </c>
      <c r="G7899" s="6" t="s">
        <v>49087</v>
      </c>
      <c r="H7899" s="7" t="s">
        <v>31</v>
      </c>
      <c r="I7899" s="7">
        <v>1.0</v>
      </c>
      <c r="J7899" s="7">
        <v>1.0</v>
      </c>
      <c r="K7899" s="7" t="s">
        <v>31</v>
      </c>
      <c r="L7899" s="8" t="s">
        <v>49088</v>
      </c>
      <c r="M7899" s="6" t="s">
        <v>49089</v>
      </c>
      <c r="N7899" s="6" t="s">
        <v>1292</v>
      </c>
      <c r="O7899" s="8" t="s">
        <v>1293</v>
      </c>
      <c r="P7899" s="6" t="s">
        <v>49010</v>
      </c>
      <c r="Q7899" s="6" t="s">
        <v>31</v>
      </c>
      <c r="R7899" s="6" t="s">
        <v>64</v>
      </c>
      <c r="S7899" s="8" t="s">
        <v>1296</v>
      </c>
      <c r="T7899" s="6" t="s">
        <v>66</v>
      </c>
      <c r="U7899" s="8" t="s">
        <v>49011</v>
      </c>
      <c r="V7899" s="6" t="s">
        <v>49090</v>
      </c>
      <c r="W7899" s="6" t="s">
        <v>49006</v>
      </c>
      <c r="X7899" s="9" t="str">
        <f>HYPERLINK("https://my.pitchbook.com?p=45032-32P","View People Online")</f>
        <v>View People Online</v>
      </c>
    </row>
    <row r="7900">
      <c r="A7900" s="10" t="s">
        <v>49091</v>
      </c>
      <c r="B7900" s="10" t="s">
        <v>49092</v>
      </c>
      <c r="C7900" s="10" t="s">
        <v>4169</v>
      </c>
      <c r="D7900" s="10" t="s">
        <v>7901</v>
      </c>
      <c r="E7900" s="10" t="s">
        <v>49006</v>
      </c>
      <c r="F7900" s="10" t="s">
        <v>318</v>
      </c>
      <c r="G7900" s="10" t="s">
        <v>49093</v>
      </c>
      <c r="H7900" s="11" t="s">
        <v>31</v>
      </c>
      <c r="I7900" s="11">
        <v>1.0</v>
      </c>
      <c r="J7900" s="11">
        <v>1.0</v>
      </c>
      <c r="K7900" s="11" t="s">
        <v>31</v>
      </c>
      <c r="L7900" s="12" t="s">
        <v>49008</v>
      </c>
      <c r="M7900" s="10" t="s">
        <v>49094</v>
      </c>
      <c r="N7900" s="10" t="s">
        <v>1292</v>
      </c>
      <c r="O7900" s="12" t="s">
        <v>1293</v>
      </c>
      <c r="P7900" s="10" t="s">
        <v>49010</v>
      </c>
      <c r="Q7900" s="10" t="s">
        <v>31</v>
      </c>
      <c r="R7900" s="10" t="s">
        <v>64</v>
      </c>
      <c r="S7900" s="12" t="s">
        <v>1296</v>
      </c>
      <c r="T7900" s="10" t="s">
        <v>66</v>
      </c>
      <c r="U7900" s="12" t="s">
        <v>49011</v>
      </c>
      <c r="V7900" s="10" t="s">
        <v>49095</v>
      </c>
      <c r="W7900" s="10" t="s">
        <v>49006</v>
      </c>
      <c r="X7900" s="13" t="str">
        <f>HYPERLINK("https://my.pitchbook.com?p=81959-77P","View People Online")</f>
        <v>View People Online</v>
      </c>
    </row>
    <row r="7901">
      <c r="A7901" s="14" t="s">
        <v>49096</v>
      </c>
      <c r="B7901" s="14" t="s">
        <v>49097</v>
      </c>
      <c r="C7901" s="14" t="s">
        <v>14893</v>
      </c>
      <c r="D7901" s="14" t="s">
        <v>49098</v>
      </c>
      <c r="E7901" s="14" t="s">
        <v>49006</v>
      </c>
      <c r="F7901" s="14" t="s">
        <v>114</v>
      </c>
      <c r="G7901" s="14" t="s">
        <v>49099</v>
      </c>
      <c r="H7901" s="15">
        <v>4.0</v>
      </c>
      <c r="I7901" s="15">
        <v>34.0</v>
      </c>
      <c r="J7901" s="15">
        <v>2.0</v>
      </c>
      <c r="K7901" s="15">
        <v>17.0</v>
      </c>
      <c r="L7901" s="16" t="s">
        <v>49100</v>
      </c>
      <c r="M7901" s="14" t="s">
        <v>31</v>
      </c>
      <c r="N7901" s="14" t="s">
        <v>49101</v>
      </c>
      <c r="O7901" s="16" t="s">
        <v>49102</v>
      </c>
      <c r="P7901" s="14" t="s">
        <v>49103</v>
      </c>
      <c r="Q7901" s="14" t="s">
        <v>31</v>
      </c>
      <c r="R7901" s="14" t="s">
        <v>64</v>
      </c>
      <c r="S7901" s="16" t="s">
        <v>49104</v>
      </c>
      <c r="T7901" s="14" t="s">
        <v>66</v>
      </c>
      <c r="U7901" s="16" t="s">
        <v>31</v>
      </c>
      <c r="V7901" s="14" t="s">
        <v>49105</v>
      </c>
      <c r="W7901" s="14" t="s">
        <v>49106</v>
      </c>
      <c r="X7901" s="17" t="str">
        <f>HYPERLINK("https://my.pitchbook.com?p=13681-18P","View People Online")</f>
        <v>View People Online</v>
      </c>
    </row>
    <row r="7902">
      <c r="A7902" s="2" t="s">
        <v>49107</v>
      </c>
      <c r="B7902" s="2" t="s">
        <v>49108</v>
      </c>
      <c r="C7902" s="2" t="s">
        <v>704</v>
      </c>
      <c r="D7902" s="2" t="s">
        <v>1723</v>
      </c>
      <c r="E7902" s="2" t="s">
        <v>49006</v>
      </c>
      <c r="F7902" s="2" t="s">
        <v>29</v>
      </c>
      <c r="G7902" s="2" t="s">
        <v>49109</v>
      </c>
      <c r="H7902" s="3">
        <v>11.0</v>
      </c>
      <c r="I7902" s="3">
        <v>36.0</v>
      </c>
      <c r="J7902" s="3">
        <v>1.0</v>
      </c>
      <c r="K7902" s="3">
        <v>17.0</v>
      </c>
      <c r="L7902" s="4" t="s">
        <v>49110</v>
      </c>
      <c r="M7902" s="2" t="s">
        <v>31</v>
      </c>
      <c r="N7902" s="2" t="s">
        <v>36778</v>
      </c>
      <c r="O7902" s="4" t="s">
        <v>36779</v>
      </c>
      <c r="P7902" s="2" t="s">
        <v>49111</v>
      </c>
      <c r="Q7902" s="2" t="s">
        <v>7094</v>
      </c>
      <c r="R7902" s="2" t="s">
        <v>64</v>
      </c>
      <c r="S7902" s="4" t="s">
        <v>49112</v>
      </c>
      <c r="T7902" s="2" t="s">
        <v>66</v>
      </c>
      <c r="U7902" s="4" t="s">
        <v>31</v>
      </c>
      <c r="V7902" s="2" t="s">
        <v>2379</v>
      </c>
      <c r="W7902" s="2" t="s">
        <v>49113</v>
      </c>
      <c r="X7902" s="5" t="str">
        <f>HYPERLINK("https://my.pitchbook.com?p=35855-74P","View People Online")</f>
        <v>View People Online</v>
      </c>
    </row>
    <row r="7903">
      <c r="A7903" s="6" t="s">
        <v>49114</v>
      </c>
      <c r="B7903" s="6" t="s">
        <v>49115</v>
      </c>
      <c r="C7903" s="6" t="s">
        <v>15404</v>
      </c>
      <c r="D7903" s="6" t="s">
        <v>49116</v>
      </c>
      <c r="E7903" s="6" t="s">
        <v>49006</v>
      </c>
      <c r="F7903" s="6" t="s">
        <v>81</v>
      </c>
      <c r="G7903" s="6" t="s">
        <v>49117</v>
      </c>
      <c r="H7903" s="7">
        <v>2.0</v>
      </c>
      <c r="I7903" s="7">
        <v>4.0</v>
      </c>
      <c r="J7903" s="7" t="s">
        <v>31</v>
      </c>
      <c r="K7903" s="7" t="s">
        <v>31</v>
      </c>
      <c r="L7903" s="8" t="s">
        <v>49118</v>
      </c>
      <c r="M7903" s="6" t="s">
        <v>31</v>
      </c>
      <c r="N7903" s="6" t="s">
        <v>49119</v>
      </c>
      <c r="O7903" s="8" t="s">
        <v>49120</v>
      </c>
      <c r="P7903" s="6" t="s">
        <v>49121</v>
      </c>
      <c r="Q7903" s="6" t="s">
        <v>31</v>
      </c>
      <c r="R7903" s="6" t="s">
        <v>18816</v>
      </c>
      <c r="S7903" s="8" t="s">
        <v>49122</v>
      </c>
      <c r="T7903" s="6" t="s">
        <v>66</v>
      </c>
      <c r="U7903" s="8" t="s">
        <v>31</v>
      </c>
      <c r="V7903" s="6" t="s">
        <v>2379</v>
      </c>
      <c r="W7903" s="6" t="s">
        <v>49123</v>
      </c>
      <c r="X7903" s="9" t="str">
        <f>HYPERLINK("https://my.pitchbook.com?p=47552-50P","View People Online")</f>
        <v>View People Online</v>
      </c>
    </row>
    <row r="7904">
      <c r="A7904" s="2" t="s">
        <v>49124</v>
      </c>
      <c r="B7904" s="2" t="s">
        <v>49125</v>
      </c>
      <c r="C7904" s="2" t="s">
        <v>84</v>
      </c>
      <c r="D7904" s="2" t="s">
        <v>49126</v>
      </c>
      <c r="E7904" s="2" t="s">
        <v>49006</v>
      </c>
      <c r="F7904" s="2" t="s">
        <v>221</v>
      </c>
      <c r="G7904" s="2" t="s">
        <v>49127</v>
      </c>
      <c r="H7904" s="3" t="s">
        <v>31</v>
      </c>
      <c r="I7904" s="3">
        <v>1.0</v>
      </c>
      <c r="J7904" s="3">
        <v>1.0</v>
      </c>
      <c r="K7904" s="3" t="s">
        <v>31</v>
      </c>
      <c r="L7904" s="4" t="s">
        <v>49128</v>
      </c>
      <c r="M7904" s="2" t="s">
        <v>49129</v>
      </c>
      <c r="N7904" s="2" t="s">
        <v>1292</v>
      </c>
      <c r="O7904" s="4" t="s">
        <v>1293</v>
      </c>
      <c r="P7904" s="2" t="s">
        <v>49010</v>
      </c>
      <c r="Q7904" s="2" t="s">
        <v>31</v>
      </c>
      <c r="R7904" s="2" t="s">
        <v>64</v>
      </c>
      <c r="S7904" s="4" t="s">
        <v>1296</v>
      </c>
      <c r="T7904" s="2" t="s">
        <v>66</v>
      </c>
      <c r="U7904" s="4" t="s">
        <v>49011</v>
      </c>
      <c r="V7904" s="2" t="s">
        <v>221</v>
      </c>
      <c r="W7904" s="2" t="s">
        <v>49006</v>
      </c>
      <c r="X7904" s="5" t="str">
        <f>HYPERLINK("https://my.pitchbook.com?p=271107-37P","View People Online")</f>
        <v>View People Online</v>
      </c>
    </row>
    <row r="7905">
      <c r="A7905" s="14" t="s">
        <v>49130</v>
      </c>
      <c r="B7905" s="14" t="s">
        <v>49131</v>
      </c>
      <c r="C7905" s="14" t="s">
        <v>84</v>
      </c>
      <c r="D7905" s="14" t="s">
        <v>38431</v>
      </c>
      <c r="E7905" s="14" t="s">
        <v>49006</v>
      </c>
      <c r="F7905" s="14" t="s">
        <v>29</v>
      </c>
      <c r="G7905" s="14" t="s">
        <v>49132</v>
      </c>
      <c r="H7905" s="15" t="s">
        <v>31</v>
      </c>
      <c r="I7905" s="15">
        <v>3.0</v>
      </c>
      <c r="J7905" s="15">
        <v>1.0</v>
      </c>
      <c r="K7905" s="15">
        <v>2.0</v>
      </c>
      <c r="L7905" s="16" t="s">
        <v>49016</v>
      </c>
      <c r="M7905" s="14" t="s">
        <v>49133</v>
      </c>
      <c r="N7905" s="14" t="s">
        <v>75</v>
      </c>
      <c r="O7905" s="16" t="s">
        <v>76</v>
      </c>
      <c r="P7905" s="14" t="s">
        <v>49018</v>
      </c>
      <c r="Q7905" s="14" t="s">
        <v>49019</v>
      </c>
      <c r="R7905" s="14" t="s">
        <v>75</v>
      </c>
      <c r="S7905" s="16" t="s">
        <v>27197</v>
      </c>
      <c r="T7905" s="14" t="s">
        <v>66</v>
      </c>
      <c r="U7905" s="16" t="s">
        <v>31</v>
      </c>
      <c r="V7905" s="14" t="s">
        <v>29</v>
      </c>
      <c r="W7905" s="14" t="s">
        <v>49006</v>
      </c>
      <c r="X7905" s="17" t="str">
        <f>HYPERLINK("https://my.pitchbook.com?p=206582-05P","View People Online")</f>
        <v>View People Online</v>
      </c>
    </row>
    <row r="7906">
      <c r="A7906" s="10" t="s">
        <v>49134</v>
      </c>
      <c r="B7906" s="10" t="s">
        <v>49135</v>
      </c>
      <c r="C7906" s="10" t="s">
        <v>49136</v>
      </c>
      <c r="D7906" s="10" t="s">
        <v>49137</v>
      </c>
      <c r="E7906" s="10" t="s">
        <v>49006</v>
      </c>
      <c r="F7906" s="10" t="s">
        <v>548</v>
      </c>
      <c r="G7906" s="10" t="s">
        <v>49138</v>
      </c>
      <c r="H7906" s="11" t="s">
        <v>31</v>
      </c>
      <c r="I7906" s="11">
        <v>1.0</v>
      </c>
      <c r="J7906" s="11">
        <v>1.0</v>
      </c>
      <c r="K7906" s="11" t="s">
        <v>31</v>
      </c>
      <c r="L7906" s="12" t="s">
        <v>49008</v>
      </c>
      <c r="M7906" s="10" t="s">
        <v>49139</v>
      </c>
      <c r="N7906" s="10" t="s">
        <v>1292</v>
      </c>
      <c r="O7906" s="12" t="s">
        <v>1293</v>
      </c>
      <c r="P7906" s="10" t="s">
        <v>49010</v>
      </c>
      <c r="Q7906" s="10" t="s">
        <v>31</v>
      </c>
      <c r="R7906" s="10" t="s">
        <v>64</v>
      </c>
      <c r="S7906" s="12" t="s">
        <v>1296</v>
      </c>
      <c r="T7906" s="10" t="s">
        <v>66</v>
      </c>
      <c r="U7906" s="12" t="s">
        <v>49011</v>
      </c>
      <c r="V7906" s="10" t="s">
        <v>49140</v>
      </c>
      <c r="W7906" s="10" t="s">
        <v>49006</v>
      </c>
      <c r="X7906" s="13" t="str">
        <f>HYPERLINK("https://my.pitchbook.com?p=385409-35P","View People Online")</f>
        <v>View People Online</v>
      </c>
    </row>
    <row r="7907">
      <c r="A7907" s="14" t="s">
        <v>49141</v>
      </c>
      <c r="B7907" s="14" t="s">
        <v>49142</v>
      </c>
      <c r="C7907" s="14" t="s">
        <v>11210</v>
      </c>
      <c r="D7907" s="14" t="s">
        <v>9086</v>
      </c>
      <c r="E7907" s="14" t="s">
        <v>49006</v>
      </c>
      <c r="F7907" s="14" t="s">
        <v>29</v>
      </c>
      <c r="G7907" s="14" t="s">
        <v>49143</v>
      </c>
      <c r="H7907" s="15">
        <v>17.0</v>
      </c>
      <c r="I7907" s="15">
        <v>91.0</v>
      </c>
      <c r="J7907" s="15">
        <v>1.0</v>
      </c>
      <c r="K7907" s="15">
        <v>63.0</v>
      </c>
      <c r="L7907" s="16" t="s">
        <v>49008</v>
      </c>
      <c r="M7907" s="14" t="s">
        <v>49144</v>
      </c>
      <c r="N7907" s="14" t="s">
        <v>1292</v>
      </c>
      <c r="O7907" s="16" t="s">
        <v>1293</v>
      </c>
      <c r="P7907" s="14" t="s">
        <v>49010</v>
      </c>
      <c r="Q7907" s="14" t="s">
        <v>31</v>
      </c>
      <c r="R7907" s="14" t="s">
        <v>64</v>
      </c>
      <c r="S7907" s="16" t="s">
        <v>1296</v>
      </c>
      <c r="T7907" s="14" t="s">
        <v>66</v>
      </c>
      <c r="U7907" s="16" t="s">
        <v>49011</v>
      </c>
      <c r="V7907" s="14" t="s">
        <v>29</v>
      </c>
      <c r="W7907" s="14" t="s">
        <v>49006</v>
      </c>
      <c r="X7907" s="17" t="str">
        <f>HYPERLINK("https://my.pitchbook.com?p=28487-71P","View People Online")</f>
        <v>View People Online</v>
      </c>
    </row>
    <row r="7908">
      <c r="A7908" s="2" t="s">
        <v>49145</v>
      </c>
      <c r="B7908" s="2" t="s">
        <v>49146</v>
      </c>
      <c r="C7908" s="2" t="s">
        <v>1255</v>
      </c>
      <c r="D7908" s="2" t="s">
        <v>49147</v>
      </c>
      <c r="E7908" s="2" t="s">
        <v>49006</v>
      </c>
      <c r="F7908" s="2" t="s">
        <v>371</v>
      </c>
      <c r="G7908" s="2" t="s">
        <v>49148</v>
      </c>
      <c r="H7908" s="3" t="s">
        <v>31</v>
      </c>
      <c r="I7908" s="3">
        <v>1.0</v>
      </c>
      <c r="J7908" s="3">
        <v>1.0</v>
      </c>
      <c r="K7908" s="3" t="s">
        <v>31</v>
      </c>
      <c r="L7908" s="4" t="s">
        <v>49016</v>
      </c>
      <c r="M7908" s="2" t="s">
        <v>49149</v>
      </c>
      <c r="N7908" s="2" t="s">
        <v>75</v>
      </c>
      <c r="O7908" s="4" t="s">
        <v>76</v>
      </c>
      <c r="P7908" s="2" t="s">
        <v>49018</v>
      </c>
      <c r="Q7908" s="2" t="s">
        <v>49019</v>
      </c>
      <c r="R7908" s="2" t="s">
        <v>75</v>
      </c>
      <c r="S7908" s="4" t="s">
        <v>27197</v>
      </c>
      <c r="T7908" s="2" t="s">
        <v>66</v>
      </c>
      <c r="U7908" s="4" t="s">
        <v>31</v>
      </c>
      <c r="V7908" s="2" t="s">
        <v>49150</v>
      </c>
      <c r="W7908" s="2" t="s">
        <v>49006</v>
      </c>
      <c r="X7908" s="5" t="str">
        <f>HYPERLINK("https://my.pitchbook.com?p=385409-62P","View People Online")</f>
        <v>View People Online</v>
      </c>
    </row>
    <row r="7909">
      <c r="A7909" s="6" t="s">
        <v>49151</v>
      </c>
      <c r="B7909" s="6" t="s">
        <v>49152</v>
      </c>
      <c r="C7909" s="6" t="s">
        <v>2032</v>
      </c>
      <c r="D7909" s="6" t="s">
        <v>49153</v>
      </c>
      <c r="E7909" s="6" t="s">
        <v>49006</v>
      </c>
      <c r="F7909" s="6" t="s">
        <v>548</v>
      </c>
      <c r="G7909" s="6" t="s">
        <v>49154</v>
      </c>
      <c r="H7909" s="7" t="s">
        <v>31</v>
      </c>
      <c r="I7909" s="7">
        <v>1.0</v>
      </c>
      <c r="J7909" s="7">
        <v>1.0</v>
      </c>
      <c r="K7909" s="7" t="s">
        <v>31</v>
      </c>
      <c r="L7909" s="8" t="s">
        <v>49016</v>
      </c>
      <c r="M7909" s="6" t="s">
        <v>49155</v>
      </c>
      <c r="N7909" s="6" t="s">
        <v>75</v>
      </c>
      <c r="O7909" s="8" t="s">
        <v>76</v>
      </c>
      <c r="P7909" s="6" t="s">
        <v>49018</v>
      </c>
      <c r="Q7909" s="6" t="s">
        <v>49019</v>
      </c>
      <c r="R7909" s="6" t="s">
        <v>75</v>
      </c>
      <c r="S7909" s="8" t="s">
        <v>27197</v>
      </c>
      <c r="T7909" s="6" t="s">
        <v>66</v>
      </c>
      <c r="U7909" s="8" t="s">
        <v>31</v>
      </c>
      <c r="V7909" s="6" t="s">
        <v>49156</v>
      </c>
      <c r="W7909" s="6" t="s">
        <v>49006</v>
      </c>
      <c r="X7909" s="9" t="str">
        <f>HYPERLINK("https://my.pitchbook.com?p=385409-89P","View People Online")</f>
        <v>View People Online</v>
      </c>
    </row>
    <row r="7910">
      <c r="A7910" s="2" t="s">
        <v>49157</v>
      </c>
      <c r="B7910" s="2" t="s">
        <v>49158</v>
      </c>
      <c r="C7910" s="2" t="s">
        <v>49159</v>
      </c>
      <c r="D7910" s="2" t="s">
        <v>49160</v>
      </c>
      <c r="E7910" s="2" t="s">
        <v>49006</v>
      </c>
      <c r="F7910" s="2" t="s">
        <v>29</v>
      </c>
      <c r="G7910" s="2" t="s">
        <v>49161</v>
      </c>
      <c r="H7910" s="3">
        <v>15.0</v>
      </c>
      <c r="I7910" s="3">
        <v>143.0</v>
      </c>
      <c r="J7910" s="3">
        <v>1.0</v>
      </c>
      <c r="K7910" s="3">
        <v>112.0</v>
      </c>
      <c r="L7910" s="4" t="s">
        <v>49008</v>
      </c>
      <c r="M7910" s="2" t="s">
        <v>49162</v>
      </c>
      <c r="N7910" s="2" t="s">
        <v>1292</v>
      </c>
      <c r="O7910" s="4" t="s">
        <v>1293</v>
      </c>
      <c r="P7910" s="2" t="s">
        <v>49010</v>
      </c>
      <c r="Q7910" s="2" t="s">
        <v>31</v>
      </c>
      <c r="R7910" s="2" t="s">
        <v>64</v>
      </c>
      <c r="S7910" s="4" t="s">
        <v>1296</v>
      </c>
      <c r="T7910" s="2" t="s">
        <v>66</v>
      </c>
      <c r="U7910" s="4" t="s">
        <v>49011</v>
      </c>
      <c r="V7910" s="2" t="s">
        <v>34285</v>
      </c>
      <c r="W7910" s="2" t="s">
        <v>49006</v>
      </c>
      <c r="X7910" s="5" t="str">
        <f>HYPERLINK("https://my.pitchbook.com?p=13679-11P","View People Online")</f>
        <v>View People Online</v>
      </c>
    </row>
    <row r="7911">
      <c r="A7911" s="6" t="s">
        <v>49163</v>
      </c>
      <c r="B7911" s="6" t="s">
        <v>49164</v>
      </c>
      <c r="C7911" s="6" t="s">
        <v>1471</v>
      </c>
      <c r="D7911" s="6" t="s">
        <v>30957</v>
      </c>
      <c r="E7911" s="6" t="s">
        <v>49006</v>
      </c>
      <c r="F7911" s="6" t="s">
        <v>114</v>
      </c>
      <c r="G7911" s="6" t="s">
        <v>49165</v>
      </c>
      <c r="H7911" s="7">
        <v>17.0</v>
      </c>
      <c r="I7911" s="7">
        <v>73.0</v>
      </c>
      <c r="J7911" s="7">
        <v>1.0</v>
      </c>
      <c r="K7911" s="7">
        <v>48.0</v>
      </c>
      <c r="L7911" s="8" t="s">
        <v>49008</v>
      </c>
      <c r="M7911" s="6" t="s">
        <v>49166</v>
      </c>
      <c r="N7911" s="6" t="s">
        <v>1292</v>
      </c>
      <c r="O7911" s="8" t="s">
        <v>1293</v>
      </c>
      <c r="P7911" s="6" t="s">
        <v>49010</v>
      </c>
      <c r="Q7911" s="6" t="s">
        <v>31</v>
      </c>
      <c r="R7911" s="6" t="s">
        <v>64</v>
      </c>
      <c r="S7911" s="8" t="s">
        <v>1296</v>
      </c>
      <c r="T7911" s="6" t="s">
        <v>66</v>
      </c>
      <c r="U7911" s="8" t="s">
        <v>49011</v>
      </c>
      <c r="V7911" s="6" t="s">
        <v>114</v>
      </c>
      <c r="W7911" s="6" t="s">
        <v>49006</v>
      </c>
      <c r="X7911" s="9" t="str">
        <f>HYPERLINK("https://my.pitchbook.com?p=36915-13P","View People Online")</f>
        <v>View People Online</v>
      </c>
    </row>
    <row r="7912">
      <c r="A7912" s="10" t="s">
        <v>49167</v>
      </c>
      <c r="B7912" s="10" t="s">
        <v>49168</v>
      </c>
      <c r="C7912" s="10" t="s">
        <v>49169</v>
      </c>
      <c r="D7912" s="10" t="s">
        <v>49170</v>
      </c>
      <c r="E7912" s="10" t="s">
        <v>49006</v>
      </c>
      <c r="F7912" s="10" t="s">
        <v>114</v>
      </c>
      <c r="G7912" s="10" t="s">
        <v>49171</v>
      </c>
      <c r="H7912" s="11">
        <v>11.0</v>
      </c>
      <c r="I7912" s="11">
        <v>22.0</v>
      </c>
      <c r="J7912" s="11">
        <v>1.0</v>
      </c>
      <c r="K7912" s="11">
        <v>7.0</v>
      </c>
      <c r="L7912" s="12" t="s">
        <v>49008</v>
      </c>
      <c r="M7912" s="10" t="s">
        <v>49172</v>
      </c>
      <c r="N7912" s="10" t="s">
        <v>1292</v>
      </c>
      <c r="O7912" s="12" t="s">
        <v>1293</v>
      </c>
      <c r="P7912" s="10" t="s">
        <v>49010</v>
      </c>
      <c r="Q7912" s="10" t="s">
        <v>31</v>
      </c>
      <c r="R7912" s="10" t="s">
        <v>64</v>
      </c>
      <c r="S7912" s="12" t="s">
        <v>1296</v>
      </c>
      <c r="T7912" s="10" t="s">
        <v>66</v>
      </c>
      <c r="U7912" s="12" t="s">
        <v>49011</v>
      </c>
      <c r="V7912" s="10" t="s">
        <v>114</v>
      </c>
      <c r="W7912" s="10" t="s">
        <v>49006</v>
      </c>
      <c r="X7912" s="13" t="str">
        <f>HYPERLINK("https://my.pitchbook.com?p=57763-00P","View People Online")</f>
        <v>View People Online</v>
      </c>
    </row>
    <row r="7913">
      <c r="A7913" s="14" t="s">
        <v>49173</v>
      </c>
      <c r="B7913" s="14" t="s">
        <v>49174</v>
      </c>
      <c r="C7913" s="14" t="s">
        <v>8234</v>
      </c>
      <c r="D7913" s="14" t="s">
        <v>49175</v>
      </c>
      <c r="E7913" s="14" t="s">
        <v>49006</v>
      </c>
      <c r="F7913" s="14" t="s">
        <v>318</v>
      </c>
      <c r="G7913" s="14" t="s">
        <v>49176</v>
      </c>
      <c r="H7913" s="15" t="s">
        <v>31</v>
      </c>
      <c r="I7913" s="15">
        <v>1.0</v>
      </c>
      <c r="J7913" s="15">
        <v>1.0</v>
      </c>
      <c r="K7913" s="15" t="s">
        <v>31</v>
      </c>
      <c r="L7913" s="16" t="s">
        <v>49016</v>
      </c>
      <c r="M7913" s="14" t="s">
        <v>49177</v>
      </c>
      <c r="N7913" s="14" t="s">
        <v>75</v>
      </c>
      <c r="O7913" s="16" t="s">
        <v>76</v>
      </c>
      <c r="P7913" s="14" t="s">
        <v>49018</v>
      </c>
      <c r="Q7913" s="14" t="s">
        <v>49019</v>
      </c>
      <c r="R7913" s="14" t="s">
        <v>75</v>
      </c>
      <c r="S7913" s="16" t="s">
        <v>27197</v>
      </c>
      <c r="T7913" s="14" t="s">
        <v>66</v>
      </c>
      <c r="U7913" s="16" t="s">
        <v>31</v>
      </c>
      <c r="V7913" s="14" t="s">
        <v>318</v>
      </c>
      <c r="W7913" s="14" t="s">
        <v>49006</v>
      </c>
      <c r="X7913" s="17" t="str">
        <f>HYPERLINK("https://my.pitchbook.com?p=332268-31P","View People Online")</f>
        <v>View People Online</v>
      </c>
    </row>
    <row r="7914">
      <c r="A7914" s="2" t="s">
        <v>49178</v>
      </c>
      <c r="B7914" s="2" t="s">
        <v>49179</v>
      </c>
      <c r="C7914" s="2" t="s">
        <v>49180</v>
      </c>
      <c r="D7914" s="2" t="s">
        <v>2269</v>
      </c>
      <c r="E7914" s="2" t="s">
        <v>49006</v>
      </c>
      <c r="F7914" s="2" t="s">
        <v>318</v>
      </c>
      <c r="G7914" s="2" t="s">
        <v>49181</v>
      </c>
      <c r="H7914" s="3">
        <v>2.0</v>
      </c>
      <c r="I7914" s="3">
        <v>4.0</v>
      </c>
      <c r="J7914" s="3">
        <v>1.0</v>
      </c>
      <c r="K7914" s="3">
        <v>1.0</v>
      </c>
      <c r="L7914" s="4" t="s">
        <v>49016</v>
      </c>
      <c r="M7914" s="2" t="s">
        <v>49182</v>
      </c>
      <c r="N7914" s="2" t="s">
        <v>75</v>
      </c>
      <c r="O7914" s="4" t="s">
        <v>76</v>
      </c>
      <c r="P7914" s="2" t="s">
        <v>49018</v>
      </c>
      <c r="Q7914" s="2" t="s">
        <v>49019</v>
      </c>
      <c r="R7914" s="2" t="s">
        <v>75</v>
      </c>
      <c r="S7914" s="4" t="s">
        <v>27197</v>
      </c>
      <c r="T7914" s="2" t="s">
        <v>66</v>
      </c>
      <c r="U7914" s="4" t="s">
        <v>31</v>
      </c>
      <c r="V7914" s="2" t="s">
        <v>49183</v>
      </c>
      <c r="W7914" s="2" t="s">
        <v>49006</v>
      </c>
      <c r="X7914" s="5" t="str">
        <f>HYPERLINK("https://my.pitchbook.com?p=248333-32P","View People Online")</f>
        <v>View People Online</v>
      </c>
    </row>
    <row r="7915">
      <c r="A7915" s="6" t="s">
        <v>49184</v>
      </c>
      <c r="B7915" s="6" t="s">
        <v>49185</v>
      </c>
      <c r="C7915" s="6" t="s">
        <v>823</v>
      </c>
      <c r="D7915" s="6" t="s">
        <v>49186</v>
      </c>
      <c r="E7915" s="6" t="s">
        <v>49006</v>
      </c>
      <c r="F7915" s="6" t="s">
        <v>318</v>
      </c>
      <c r="G7915" s="6" t="s">
        <v>49187</v>
      </c>
      <c r="H7915" s="7" t="s">
        <v>31</v>
      </c>
      <c r="I7915" s="7">
        <v>1.0</v>
      </c>
      <c r="J7915" s="7">
        <v>1.0</v>
      </c>
      <c r="K7915" s="7" t="s">
        <v>31</v>
      </c>
      <c r="L7915" s="8" t="s">
        <v>49016</v>
      </c>
      <c r="M7915" s="6" t="s">
        <v>49188</v>
      </c>
      <c r="N7915" s="6" t="s">
        <v>75</v>
      </c>
      <c r="O7915" s="8" t="s">
        <v>76</v>
      </c>
      <c r="P7915" s="6" t="s">
        <v>49018</v>
      </c>
      <c r="Q7915" s="6" t="s">
        <v>49019</v>
      </c>
      <c r="R7915" s="6" t="s">
        <v>75</v>
      </c>
      <c r="S7915" s="8" t="s">
        <v>27197</v>
      </c>
      <c r="T7915" s="6" t="s">
        <v>66</v>
      </c>
      <c r="U7915" s="8" t="s">
        <v>31</v>
      </c>
      <c r="V7915" s="6" t="s">
        <v>318</v>
      </c>
      <c r="W7915" s="6" t="s">
        <v>49006</v>
      </c>
      <c r="X7915" s="9" t="str">
        <f>HYPERLINK("https://my.pitchbook.com?p=332266-87P","View People Online")</f>
        <v>View People Online</v>
      </c>
    </row>
    <row r="7916">
      <c r="A7916" s="10" t="s">
        <v>49189</v>
      </c>
      <c r="B7916" s="10" t="s">
        <v>49190</v>
      </c>
      <c r="C7916" s="10" t="s">
        <v>823</v>
      </c>
      <c r="D7916" s="10" t="s">
        <v>18045</v>
      </c>
      <c r="E7916" s="10" t="s">
        <v>49006</v>
      </c>
      <c r="F7916" s="10" t="s">
        <v>221</v>
      </c>
      <c r="G7916" s="10" t="s">
        <v>49191</v>
      </c>
      <c r="H7916" s="11" t="s">
        <v>31</v>
      </c>
      <c r="I7916" s="11">
        <v>1.0</v>
      </c>
      <c r="J7916" s="11">
        <v>1.0</v>
      </c>
      <c r="K7916" s="11" t="s">
        <v>31</v>
      </c>
      <c r="L7916" s="12" t="s">
        <v>49008</v>
      </c>
      <c r="M7916" s="10" t="s">
        <v>49192</v>
      </c>
      <c r="N7916" s="10" t="s">
        <v>1292</v>
      </c>
      <c r="O7916" s="12" t="s">
        <v>1293</v>
      </c>
      <c r="P7916" s="10" t="s">
        <v>49010</v>
      </c>
      <c r="Q7916" s="10" t="s">
        <v>31</v>
      </c>
      <c r="R7916" s="10" t="s">
        <v>64</v>
      </c>
      <c r="S7916" s="12" t="s">
        <v>1296</v>
      </c>
      <c r="T7916" s="10" t="s">
        <v>66</v>
      </c>
      <c r="U7916" s="12" t="s">
        <v>49011</v>
      </c>
      <c r="V7916" s="10" t="s">
        <v>221</v>
      </c>
      <c r="W7916" s="10" t="s">
        <v>49006</v>
      </c>
      <c r="X7916" s="13" t="str">
        <f>HYPERLINK("https://my.pitchbook.com?p=385411-24P","View People Online")</f>
        <v>View People Online</v>
      </c>
    </row>
    <row r="7917">
      <c r="A7917" s="6" t="s">
        <v>49193</v>
      </c>
      <c r="B7917" s="6" t="s">
        <v>49194</v>
      </c>
      <c r="C7917" s="6" t="s">
        <v>26</v>
      </c>
      <c r="D7917" s="6" t="s">
        <v>49195</v>
      </c>
      <c r="E7917" s="6" t="s">
        <v>49006</v>
      </c>
      <c r="F7917" s="6" t="s">
        <v>114</v>
      </c>
      <c r="G7917" s="6" t="s">
        <v>49196</v>
      </c>
      <c r="H7917" s="7">
        <v>13.0</v>
      </c>
      <c r="I7917" s="7">
        <v>30.0</v>
      </c>
      <c r="J7917" s="7">
        <v>1.0</v>
      </c>
      <c r="K7917" s="7">
        <v>12.0</v>
      </c>
      <c r="L7917" s="8" t="s">
        <v>49197</v>
      </c>
      <c r="M7917" s="6" t="s">
        <v>31</v>
      </c>
      <c r="N7917" s="6" t="s">
        <v>155</v>
      </c>
      <c r="O7917" s="8" t="s">
        <v>156</v>
      </c>
      <c r="P7917" s="6" t="s">
        <v>49198</v>
      </c>
      <c r="Q7917" s="6" t="s">
        <v>23552</v>
      </c>
      <c r="R7917" s="6" t="s">
        <v>64</v>
      </c>
      <c r="S7917" s="8" t="s">
        <v>3487</v>
      </c>
      <c r="T7917" s="6" t="s">
        <v>66</v>
      </c>
      <c r="U7917" s="8" t="s">
        <v>31</v>
      </c>
      <c r="V7917" s="6" t="s">
        <v>2379</v>
      </c>
      <c r="W7917" s="6" t="s">
        <v>49199</v>
      </c>
      <c r="X7917" s="9" t="str">
        <f>HYPERLINK("https://my.pitchbook.com?p=106372-36P","View People Online")</f>
        <v>View People Online</v>
      </c>
    </row>
    <row r="7918">
      <c r="A7918" s="10" t="s">
        <v>49200</v>
      </c>
      <c r="B7918" s="10" t="s">
        <v>49201</v>
      </c>
      <c r="C7918" s="10" t="s">
        <v>4404</v>
      </c>
      <c r="D7918" s="10" t="s">
        <v>36212</v>
      </c>
      <c r="E7918" s="10" t="s">
        <v>49006</v>
      </c>
      <c r="F7918" s="10" t="s">
        <v>49202</v>
      </c>
      <c r="G7918" s="10" t="s">
        <v>49203</v>
      </c>
      <c r="H7918" s="11" t="s">
        <v>31</v>
      </c>
      <c r="I7918" s="11">
        <v>1.0</v>
      </c>
      <c r="J7918" s="11">
        <v>1.0</v>
      </c>
      <c r="K7918" s="11" t="s">
        <v>31</v>
      </c>
      <c r="L7918" s="12" t="s">
        <v>49008</v>
      </c>
      <c r="M7918" s="10" t="s">
        <v>49204</v>
      </c>
      <c r="N7918" s="10" t="s">
        <v>1292</v>
      </c>
      <c r="O7918" s="12" t="s">
        <v>1293</v>
      </c>
      <c r="P7918" s="10" t="s">
        <v>49010</v>
      </c>
      <c r="Q7918" s="10" t="s">
        <v>31</v>
      </c>
      <c r="R7918" s="10" t="s">
        <v>64</v>
      </c>
      <c r="S7918" s="12" t="s">
        <v>1296</v>
      </c>
      <c r="T7918" s="10" t="s">
        <v>66</v>
      </c>
      <c r="U7918" s="12" t="s">
        <v>49011</v>
      </c>
      <c r="V7918" s="10" t="s">
        <v>49205</v>
      </c>
      <c r="W7918" s="10" t="s">
        <v>49006</v>
      </c>
      <c r="X7918" s="13" t="str">
        <f>HYPERLINK("https://my.pitchbook.com?p=385411-42P","View People Online")</f>
        <v>View People Online</v>
      </c>
    </row>
    <row r="7919">
      <c r="A7919" s="6" t="s">
        <v>49206</v>
      </c>
      <c r="B7919" s="6" t="s">
        <v>49207</v>
      </c>
      <c r="C7919" s="6" t="s">
        <v>9049</v>
      </c>
      <c r="D7919" s="6" t="s">
        <v>10402</v>
      </c>
      <c r="E7919" s="6" t="s">
        <v>49006</v>
      </c>
      <c r="F7919" s="6" t="s">
        <v>9167</v>
      </c>
      <c r="G7919" s="6" t="s">
        <v>49208</v>
      </c>
      <c r="H7919" s="7" t="s">
        <v>31</v>
      </c>
      <c r="I7919" s="7">
        <v>2.0</v>
      </c>
      <c r="J7919" s="7">
        <v>1.0</v>
      </c>
      <c r="K7919" s="7" t="s">
        <v>31</v>
      </c>
      <c r="L7919" s="8" t="s">
        <v>49008</v>
      </c>
      <c r="M7919" s="6" t="s">
        <v>49209</v>
      </c>
      <c r="N7919" s="6" t="s">
        <v>1292</v>
      </c>
      <c r="O7919" s="8" t="s">
        <v>1293</v>
      </c>
      <c r="P7919" s="6" t="s">
        <v>49010</v>
      </c>
      <c r="Q7919" s="6" t="s">
        <v>31</v>
      </c>
      <c r="R7919" s="6" t="s">
        <v>64</v>
      </c>
      <c r="S7919" s="8" t="s">
        <v>1296</v>
      </c>
      <c r="T7919" s="6" t="s">
        <v>66</v>
      </c>
      <c r="U7919" s="8" t="s">
        <v>49011</v>
      </c>
      <c r="V7919" s="6" t="s">
        <v>9167</v>
      </c>
      <c r="W7919" s="6" t="s">
        <v>49006</v>
      </c>
      <c r="X7919" s="9" t="str">
        <f>HYPERLINK("https://my.pitchbook.com?p=271828-63P","View People Online")</f>
        <v>View People Online</v>
      </c>
    </row>
    <row r="7920">
      <c r="A7920" s="2" t="s">
        <v>49210</v>
      </c>
      <c r="B7920" s="2" t="s">
        <v>49211</v>
      </c>
      <c r="C7920" s="2" t="s">
        <v>1343</v>
      </c>
      <c r="D7920" s="2" t="s">
        <v>49212</v>
      </c>
      <c r="E7920" s="2" t="s">
        <v>49006</v>
      </c>
      <c r="F7920" s="2" t="s">
        <v>201</v>
      </c>
      <c r="G7920" s="2" t="s">
        <v>49213</v>
      </c>
      <c r="H7920" s="3" t="s">
        <v>31</v>
      </c>
      <c r="I7920" s="3">
        <v>1.0</v>
      </c>
      <c r="J7920" s="3">
        <v>1.0</v>
      </c>
      <c r="K7920" s="3" t="s">
        <v>31</v>
      </c>
      <c r="L7920" s="4" t="s">
        <v>49016</v>
      </c>
      <c r="M7920" s="2" t="s">
        <v>49214</v>
      </c>
      <c r="N7920" s="2" t="s">
        <v>75</v>
      </c>
      <c r="O7920" s="4" t="s">
        <v>76</v>
      </c>
      <c r="P7920" s="2" t="s">
        <v>49018</v>
      </c>
      <c r="Q7920" s="2" t="s">
        <v>49019</v>
      </c>
      <c r="R7920" s="2" t="s">
        <v>75</v>
      </c>
      <c r="S7920" s="4" t="s">
        <v>27197</v>
      </c>
      <c r="T7920" s="2" t="s">
        <v>66</v>
      </c>
      <c r="U7920" s="4" t="s">
        <v>31</v>
      </c>
      <c r="V7920" s="2" t="s">
        <v>49215</v>
      </c>
      <c r="W7920" s="2" t="s">
        <v>49006</v>
      </c>
      <c r="X7920" s="5" t="str">
        <f>HYPERLINK("https://my.pitchbook.com?p=216363-70P","View People Online")</f>
        <v>View People Online</v>
      </c>
    </row>
    <row r="7921">
      <c r="A7921" s="6" t="s">
        <v>49216</v>
      </c>
      <c r="B7921" s="6" t="s">
        <v>49217</v>
      </c>
      <c r="C7921" s="6" t="s">
        <v>2190</v>
      </c>
      <c r="D7921" s="6" t="s">
        <v>1994</v>
      </c>
      <c r="E7921" s="6" t="s">
        <v>49006</v>
      </c>
      <c r="F7921" s="6" t="s">
        <v>29</v>
      </c>
      <c r="G7921" s="6" t="s">
        <v>49218</v>
      </c>
      <c r="H7921" s="7" t="s">
        <v>31</v>
      </c>
      <c r="I7921" s="7">
        <v>1.0</v>
      </c>
      <c r="J7921" s="7">
        <v>1.0</v>
      </c>
      <c r="K7921" s="7" t="s">
        <v>31</v>
      </c>
      <c r="L7921" s="8" t="s">
        <v>49219</v>
      </c>
      <c r="M7921" s="6" t="s">
        <v>49220</v>
      </c>
      <c r="N7921" s="6" t="s">
        <v>1292</v>
      </c>
      <c r="O7921" s="8" t="s">
        <v>1293</v>
      </c>
      <c r="P7921" s="6" t="s">
        <v>49010</v>
      </c>
      <c r="Q7921" s="6" t="s">
        <v>31</v>
      </c>
      <c r="R7921" s="6" t="s">
        <v>64</v>
      </c>
      <c r="S7921" s="8" t="s">
        <v>1296</v>
      </c>
      <c r="T7921" s="6" t="s">
        <v>66</v>
      </c>
      <c r="U7921" s="8" t="s">
        <v>49011</v>
      </c>
      <c r="V7921" s="6" t="s">
        <v>49221</v>
      </c>
      <c r="W7921" s="6" t="s">
        <v>49006</v>
      </c>
      <c r="X7921" s="9" t="str">
        <f>HYPERLINK("https://my.pitchbook.com?p=64434-79P","View People Online")</f>
        <v>View People Online</v>
      </c>
    </row>
    <row r="7922">
      <c r="A7922" s="10" t="s">
        <v>49222</v>
      </c>
      <c r="B7922" s="10" t="s">
        <v>49223</v>
      </c>
      <c r="C7922" s="10" t="s">
        <v>30748</v>
      </c>
      <c r="D7922" s="10" t="s">
        <v>5302</v>
      </c>
      <c r="E7922" s="10" t="s">
        <v>49006</v>
      </c>
      <c r="F7922" s="10" t="s">
        <v>114</v>
      </c>
      <c r="G7922" s="10" t="s">
        <v>49224</v>
      </c>
      <c r="H7922" s="11">
        <v>6.0</v>
      </c>
      <c r="I7922" s="11">
        <v>11.0</v>
      </c>
      <c r="J7922" s="11">
        <v>1.0</v>
      </c>
      <c r="K7922" s="11">
        <v>1.0</v>
      </c>
      <c r="L7922" s="12" t="s">
        <v>49008</v>
      </c>
      <c r="M7922" s="10" t="s">
        <v>49225</v>
      </c>
      <c r="N7922" s="10" t="s">
        <v>1292</v>
      </c>
      <c r="O7922" s="12" t="s">
        <v>1293</v>
      </c>
      <c r="P7922" s="10" t="s">
        <v>49010</v>
      </c>
      <c r="Q7922" s="10" t="s">
        <v>31</v>
      </c>
      <c r="R7922" s="10" t="s">
        <v>64</v>
      </c>
      <c r="S7922" s="12" t="s">
        <v>1296</v>
      </c>
      <c r="T7922" s="10" t="s">
        <v>66</v>
      </c>
      <c r="U7922" s="12" t="s">
        <v>49011</v>
      </c>
      <c r="V7922" s="10" t="s">
        <v>114</v>
      </c>
      <c r="W7922" s="10" t="s">
        <v>49006</v>
      </c>
      <c r="X7922" s="13" t="str">
        <f>HYPERLINK("https://my.pitchbook.com?p=112387-78P","View People Online")</f>
        <v>View People Online</v>
      </c>
    </row>
    <row r="7923">
      <c r="A7923" s="6" t="s">
        <v>49226</v>
      </c>
      <c r="B7923" s="6" t="s">
        <v>49227</v>
      </c>
      <c r="C7923" s="6" t="s">
        <v>49228</v>
      </c>
      <c r="D7923" s="6" t="s">
        <v>49229</v>
      </c>
      <c r="E7923" s="6" t="s">
        <v>49006</v>
      </c>
      <c r="F7923" s="6" t="s">
        <v>201</v>
      </c>
      <c r="G7923" s="6" t="s">
        <v>49230</v>
      </c>
      <c r="H7923" s="7" t="s">
        <v>31</v>
      </c>
      <c r="I7923" s="7">
        <v>1.0</v>
      </c>
      <c r="J7923" s="7">
        <v>1.0</v>
      </c>
      <c r="K7923" s="7" t="s">
        <v>31</v>
      </c>
      <c r="L7923" s="8" t="s">
        <v>49231</v>
      </c>
      <c r="M7923" s="6" t="s">
        <v>49232</v>
      </c>
      <c r="N7923" s="6" t="s">
        <v>243</v>
      </c>
      <c r="O7923" s="8" t="s">
        <v>244</v>
      </c>
      <c r="P7923" s="6" t="s">
        <v>49233</v>
      </c>
      <c r="Q7923" s="6" t="s">
        <v>23552</v>
      </c>
      <c r="R7923" s="6" t="s">
        <v>247</v>
      </c>
      <c r="S7923" s="8" t="s">
        <v>49234</v>
      </c>
      <c r="T7923" s="6" t="s">
        <v>249</v>
      </c>
      <c r="U7923" s="8" t="s">
        <v>31</v>
      </c>
      <c r="V7923" s="6" t="s">
        <v>201</v>
      </c>
      <c r="W7923" s="6" t="s">
        <v>49006</v>
      </c>
      <c r="X7923" s="9" t="str">
        <f>HYPERLINK("https://my.pitchbook.com?p=308315-17P","View People Online")</f>
        <v>View People Online</v>
      </c>
    </row>
    <row r="7924">
      <c r="A7924" s="10" t="s">
        <v>49235</v>
      </c>
      <c r="B7924" s="10" t="s">
        <v>49236</v>
      </c>
      <c r="C7924" s="10" t="s">
        <v>39403</v>
      </c>
      <c r="D7924" s="10" t="s">
        <v>49237</v>
      </c>
      <c r="E7924" s="10" t="s">
        <v>49006</v>
      </c>
      <c r="F7924" s="10" t="s">
        <v>1134</v>
      </c>
      <c r="G7924" s="10" t="s">
        <v>49238</v>
      </c>
      <c r="H7924" s="11">
        <v>5.0</v>
      </c>
      <c r="I7924" s="11">
        <v>12.0</v>
      </c>
      <c r="J7924" s="11">
        <v>4.0</v>
      </c>
      <c r="K7924" s="11">
        <v>3.0</v>
      </c>
      <c r="L7924" s="12" t="s">
        <v>49239</v>
      </c>
      <c r="M7924" s="10" t="s">
        <v>31</v>
      </c>
      <c r="N7924" s="10" t="s">
        <v>155</v>
      </c>
      <c r="O7924" s="12" t="s">
        <v>156</v>
      </c>
      <c r="P7924" s="10" t="s">
        <v>49240</v>
      </c>
      <c r="Q7924" s="10" t="s">
        <v>6654</v>
      </c>
      <c r="R7924" s="10" t="s">
        <v>64</v>
      </c>
      <c r="S7924" s="12" t="s">
        <v>7780</v>
      </c>
      <c r="T7924" s="10" t="s">
        <v>66</v>
      </c>
      <c r="U7924" s="12" t="s">
        <v>31</v>
      </c>
      <c r="V7924" s="10" t="s">
        <v>40713</v>
      </c>
      <c r="W7924" s="10" t="s">
        <v>49241</v>
      </c>
      <c r="X7924" s="13" t="str">
        <f>HYPERLINK("https://my.pitchbook.com?p=61250-59P","View People Online")</f>
        <v>View People Online</v>
      </c>
    </row>
    <row r="7925">
      <c r="A7925" s="14" t="s">
        <v>49242</v>
      </c>
      <c r="B7925" s="14" t="s">
        <v>49243</v>
      </c>
      <c r="C7925" s="14" t="s">
        <v>4480</v>
      </c>
      <c r="D7925" s="14" t="s">
        <v>26095</v>
      </c>
      <c r="E7925" s="14" t="s">
        <v>49006</v>
      </c>
      <c r="F7925" s="14" t="s">
        <v>29</v>
      </c>
      <c r="G7925" s="14" t="s">
        <v>49244</v>
      </c>
      <c r="H7925" s="15" t="s">
        <v>31</v>
      </c>
      <c r="I7925" s="15">
        <v>5.0</v>
      </c>
      <c r="J7925" s="15">
        <v>2.0</v>
      </c>
      <c r="K7925" s="15">
        <v>2.0</v>
      </c>
      <c r="L7925" s="16" t="s">
        <v>49008</v>
      </c>
      <c r="M7925" s="14" t="s">
        <v>49245</v>
      </c>
      <c r="N7925" s="14" t="s">
        <v>243</v>
      </c>
      <c r="O7925" s="16" t="s">
        <v>244</v>
      </c>
      <c r="P7925" s="14" t="s">
        <v>49233</v>
      </c>
      <c r="Q7925" s="14" t="s">
        <v>23552</v>
      </c>
      <c r="R7925" s="14" t="s">
        <v>247</v>
      </c>
      <c r="S7925" s="16" t="s">
        <v>49234</v>
      </c>
      <c r="T7925" s="14" t="s">
        <v>249</v>
      </c>
      <c r="U7925" s="16" t="s">
        <v>31</v>
      </c>
      <c r="V7925" s="14" t="s">
        <v>29</v>
      </c>
      <c r="W7925" s="14" t="s">
        <v>49006</v>
      </c>
      <c r="X7925" s="17" t="str">
        <f>HYPERLINK("https://my.pitchbook.com?p=206585-20P","View People Online")</f>
        <v>View People Online</v>
      </c>
    </row>
    <row r="7926">
      <c r="A7926" s="2" t="s">
        <v>49246</v>
      </c>
      <c r="B7926" s="2" t="s">
        <v>49247</v>
      </c>
      <c r="C7926" s="2" t="s">
        <v>49248</v>
      </c>
      <c r="D7926" s="2" t="s">
        <v>3644</v>
      </c>
      <c r="E7926" s="2" t="s">
        <v>49006</v>
      </c>
      <c r="F7926" s="2" t="s">
        <v>318</v>
      </c>
      <c r="G7926" s="2" t="s">
        <v>49249</v>
      </c>
      <c r="H7926" s="3" t="s">
        <v>31</v>
      </c>
      <c r="I7926" s="3">
        <v>1.0</v>
      </c>
      <c r="J7926" s="3">
        <v>1.0</v>
      </c>
      <c r="K7926" s="3" t="s">
        <v>31</v>
      </c>
      <c r="L7926" s="4" t="s">
        <v>49008</v>
      </c>
      <c r="M7926" s="2" t="s">
        <v>49250</v>
      </c>
      <c r="N7926" s="2" t="s">
        <v>1292</v>
      </c>
      <c r="O7926" s="4" t="s">
        <v>1293</v>
      </c>
      <c r="P7926" s="2" t="s">
        <v>49010</v>
      </c>
      <c r="Q7926" s="2" t="s">
        <v>31</v>
      </c>
      <c r="R7926" s="2" t="s">
        <v>64</v>
      </c>
      <c r="S7926" s="4" t="s">
        <v>1296</v>
      </c>
      <c r="T7926" s="2" t="s">
        <v>66</v>
      </c>
      <c r="U7926" s="4" t="s">
        <v>49011</v>
      </c>
      <c r="V7926" s="2" t="s">
        <v>318</v>
      </c>
      <c r="W7926" s="2" t="s">
        <v>49006</v>
      </c>
      <c r="X7926" s="5" t="str">
        <f>HYPERLINK("https://my.pitchbook.com?p=275699-17P","View People Online")</f>
        <v>View People Online</v>
      </c>
    </row>
    <row r="7927">
      <c r="A7927" s="14" t="s">
        <v>49251</v>
      </c>
      <c r="B7927" s="14" t="s">
        <v>49252</v>
      </c>
      <c r="C7927" s="14" t="s">
        <v>4560</v>
      </c>
      <c r="D7927" s="14" t="s">
        <v>49253</v>
      </c>
      <c r="E7927" s="14" t="s">
        <v>49006</v>
      </c>
      <c r="F7927" s="14" t="s">
        <v>318</v>
      </c>
      <c r="G7927" s="14" t="s">
        <v>49254</v>
      </c>
      <c r="H7927" s="15">
        <v>1.0</v>
      </c>
      <c r="I7927" s="15">
        <v>2.0</v>
      </c>
      <c r="J7927" s="15">
        <v>1.0</v>
      </c>
      <c r="K7927" s="15" t="s">
        <v>31</v>
      </c>
      <c r="L7927" s="16" t="s">
        <v>49008</v>
      </c>
      <c r="M7927" s="14" t="s">
        <v>49255</v>
      </c>
      <c r="N7927" s="14" t="s">
        <v>1292</v>
      </c>
      <c r="O7927" s="16" t="s">
        <v>1293</v>
      </c>
      <c r="P7927" s="14" t="s">
        <v>49010</v>
      </c>
      <c r="Q7927" s="14" t="s">
        <v>31</v>
      </c>
      <c r="R7927" s="14" t="s">
        <v>64</v>
      </c>
      <c r="S7927" s="16" t="s">
        <v>1296</v>
      </c>
      <c r="T7927" s="14" t="s">
        <v>66</v>
      </c>
      <c r="U7927" s="16" t="s">
        <v>49011</v>
      </c>
      <c r="V7927" s="14" t="s">
        <v>318</v>
      </c>
      <c r="W7927" s="14" t="s">
        <v>49006</v>
      </c>
      <c r="X7927" s="17" t="str">
        <f>HYPERLINK("https://my.pitchbook.com?p=411230-98P","View People Online")</f>
        <v>View People Online</v>
      </c>
    </row>
    <row r="7928">
      <c r="A7928" s="2" t="s">
        <v>49256</v>
      </c>
      <c r="B7928" s="2" t="s">
        <v>49257</v>
      </c>
      <c r="C7928" s="2" t="s">
        <v>2288</v>
      </c>
      <c r="D7928" s="2" t="s">
        <v>49258</v>
      </c>
      <c r="E7928" s="2" t="s">
        <v>49006</v>
      </c>
      <c r="F7928" s="2" t="s">
        <v>114</v>
      </c>
      <c r="G7928" s="2" t="s">
        <v>49259</v>
      </c>
      <c r="H7928" s="3">
        <v>4.0</v>
      </c>
      <c r="I7928" s="3">
        <v>7.0</v>
      </c>
      <c r="J7928" s="3">
        <v>2.0</v>
      </c>
      <c r="K7928" s="3" t="s">
        <v>31</v>
      </c>
      <c r="L7928" s="4" t="s">
        <v>49260</v>
      </c>
      <c r="M7928" s="2" t="s">
        <v>49261</v>
      </c>
      <c r="N7928" s="2" t="s">
        <v>155</v>
      </c>
      <c r="O7928" s="4" t="s">
        <v>156</v>
      </c>
      <c r="P7928" s="2" t="s">
        <v>49262</v>
      </c>
      <c r="Q7928" s="2" t="s">
        <v>49263</v>
      </c>
      <c r="R7928" s="2" t="s">
        <v>64</v>
      </c>
      <c r="S7928" s="4" t="s">
        <v>3487</v>
      </c>
      <c r="T7928" s="2" t="s">
        <v>66</v>
      </c>
      <c r="U7928" s="4" t="s">
        <v>49264</v>
      </c>
      <c r="V7928" s="2" t="s">
        <v>81</v>
      </c>
      <c r="W7928" s="2" t="s">
        <v>49265</v>
      </c>
      <c r="X7928" s="5" t="str">
        <f>HYPERLINK("https://my.pitchbook.com?p=31276-72P","View People Online")</f>
        <v>View People Online</v>
      </c>
    </row>
    <row r="7929">
      <c r="A7929" s="6" t="s">
        <v>49266</v>
      </c>
      <c r="B7929" s="6" t="s">
        <v>49267</v>
      </c>
      <c r="C7929" s="6" t="s">
        <v>4505</v>
      </c>
      <c r="D7929" s="6" t="s">
        <v>3908</v>
      </c>
      <c r="E7929" s="6" t="s">
        <v>49006</v>
      </c>
      <c r="F7929" s="6" t="s">
        <v>201</v>
      </c>
      <c r="G7929" s="6" t="s">
        <v>49268</v>
      </c>
      <c r="H7929" s="7" t="s">
        <v>31</v>
      </c>
      <c r="I7929" s="7">
        <v>1.0</v>
      </c>
      <c r="J7929" s="7">
        <v>1.0</v>
      </c>
      <c r="K7929" s="7" t="s">
        <v>31</v>
      </c>
      <c r="L7929" s="8" t="s">
        <v>49016</v>
      </c>
      <c r="M7929" s="6" t="s">
        <v>49269</v>
      </c>
      <c r="N7929" s="6" t="s">
        <v>75</v>
      </c>
      <c r="O7929" s="8" t="s">
        <v>76</v>
      </c>
      <c r="P7929" s="6" t="s">
        <v>49018</v>
      </c>
      <c r="Q7929" s="6" t="s">
        <v>49019</v>
      </c>
      <c r="R7929" s="6" t="s">
        <v>75</v>
      </c>
      <c r="S7929" s="8" t="s">
        <v>27197</v>
      </c>
      <c r="T7929" s="6" t="s">
        <v>66</v>
      </c>
      <c r="U7929" s="8" t="s">
        <v>31</v>
      </c>
      <c r="V7929" s="6" t="s">
        <v>201</v>
      </c>
      <c r="W7929" s="6" t="s">
        <v>49006</v>
      </c>
      <c r="X7929" s="9" t="str">
        <f>HYPERLINK("https://my.pitchbook.com?p=332271-37P","View People Online")</f>
        <v>View People Online</v>
      </c>
    </row>
    <row r="7930">
      <c r="A7930" s="2" t="s">
        <v>49270</v>
      </c>
      <c r="B7930" s="2" t="s">
        <v>49271</v>
      </c>
      <c r="C7930" s="2" t="s">
        <v>160</v>
      </c>
      <c r="D7930" s="2" t="s">
        <v>49272</v>
      </c>
      <c r="E7930" s="2" t="s">
        <v>49006</v>
      </c>
      <c r="F7930" s="2" t="s">
        <v>29</v>
      </c>
      <c r="G7930" s="2" t="s">
        <v>49273</v>
      </c>
      <c r="H7930" s="3">
        <v>5.0</v>
      </c>
      <c r="I7930" s="3">
        <v>11.0</v>
      </c>
      <c r="J7930" s="3">
        <v>1.0</v>
      </c>
      <c r="K7930" s="3">
        <v>5.0</v>
      </c>
      <c r="L7930" s="4" t="s">
        <v>49274</v>
      </c>
      <c r="M7930" s="2" t="s">
        <v>49275</v>
      </c>
      <c r="N7930" s="2" t="s">
        <v>1292</v>
      </c>
      <c r="O7930" s="4" t="s">
        <v>1293</v>
      </c>
      <c r="P7930" s="2" t="s">
        <v>49010</v>
      </c>
      <c r="Q7930" s="2" t="s">
        <v>31</v>
      </c>
      <c r="R7930" s="2" t="s">
        <v>64</v>
      </c>
      <c r="S7930" s="4" t="s">
        <v>1296</v>
      </c>
      <c r="T7930" s="2" t="s">
        <v>66</v>
      </c>
      <c r="U7930" s="4" t="s">
        <v>49011</v>
      </c>
      <c r="V7930" s="2" t="s">
        <v>29</v>
      </c>
      <c r="W7930" s="2" t="s">
        <v>49006</v>
      </c>
      <c r="X7930" s="5" t="str">
        <f>HYPERLINK("https://my.pitchbook.com?p=65847-79P","View People Online")</f>
        <v>View People Online</v>
      </c>
    </row>
    <row r="7931">
      <c r="A7931" s="6" t="s">
        <v>49276</v>
      </c>
      <c r="B7931" s="6" t="s">
        <v>49277</v>
      </c>
      <c r="C7931" s="6" t="s">
        <v>11929</v>
      </c>
      <c r="D7931" s="6" t="s">
        <v>49278</v>
      </c>
      <c r="E7931" s="6" t="s">
        <v>49006</v>
      </c>
      <c r="F7931" s="6" t="s">
        <v>29</v>
      </c>
      <c r="G7931" s="6" t="s">
        <v>49279</v>
      </c>
      <c r="H7931" s="7" t="s">
        <v>31</v>
      </c>
      <c r="I7931" s="7">
        <v>3.0</v>
      </c>
      <c r="J7931" s="7">
        <v>1.0</v>
      </c>
      <c r="K7931" s="7" t="s">
        <v>31</v>
      </c>
      <c r="L7931" s="8" t="s">
        <v>49008</v>
      </c>
      <c r="M7931" s="6" t="s">
        <v>49280</v>
      </c>
      <c r="N7931" s="6" t="s">
        <v>1292</v>
      </c>
      <c r="O7931" s="8" t="s">
        <v>1293</v>
      </c>
      <c r="P7931" s="6" t="s">
        <v>49010</v>
      </c>
      <c r="Q7931" s="6" t="s">
        <v>31</v>
      </c>
      <c r="R7931" s="6" t="s">
        <v>64</v>
      </c>
      <c r="S7931" s="8" t="s">
        <v>1296</v>
      </c>
      <c r="T7931" s="6" t="s">
        <v>66</v>
      </c>
      <c r="U7931" s="8" t="s">
        <v>49011</v>
      </c>
      <c r="V7931" s="6" t="s">
        <v>29</v>
      </c>
      <c r="W7931" s="6" t="s">
        <v>49006</v>
      </c>
      <c r="X7931" s="9" t="str">
        <f>HYPERLINK("https://my.pitchbook.com?p=63880-30P","View People Online")</f>
        <v>View People Online</v>
      </c>
    </row>
    <row r="7932">
      <c r="A7932" s="10" t="s">
        <v>49281</v>
      </c>
      <c r="B7932" s="10" t="s">
        <v>49282</v>
      </c>
      <c r="C7932" s="10" t="s">
        <v>33202</v>
      </c>
      <c r="D7932" s="10" t="s">
        <v>49283</v>
      </c>
      <c r="E7932" s="10" t="s">
        <v>49006</v>
      </c>
      <c r="F7932" s="10" t="s">
        <v>201</v>
      </c>
      <c r="G7932" s="10" t="s">
        <v>49284</v>
      </c>
      <c r="H7932" s="11" t="s">
        <v>31</v>
      </c>
      <c r="I7932" s="11">
        <v>1.0</v>
      </c>
      <c r="J7932" s="11">
        <v>1.0</v>
      </c>
      <c r="K7932" s="11" t="s">
        <v>31</v>
      </c>
      <c r="L7932" s="12" t="s">
        <v>49016</v>
      </c>
      <c r="M7932" s="10" t="s">
        <v>49285</v>
      </c>
      <c r="N7932" s="10" t="s">
        <v>75</v>
      </c>
      <c r="O7932" s="12" t="s">
        <v>76</v>
      </c>
      <c r="P7932" s="10" t="s">
        <v>49018</v>
      </c>
      <c r="Q7932" s="10" t="s">
        <v>49019</v>
      </c>
      <c r="R7932" s="10" t="s">
        <v>75</v>
      </c>
      <c r="S7932" s="12" t="s">
        <v>27197</v>
      </c>
      <c r="T7932" s="10" t="s">
        <v>66</v>
      </c>
      <c r="U7932" s="12" t="s">
        <v>31</v>
      </c>
      <c r="V7932" s="10" t="s">
        <v>201</v>
      </c>
      <c r="W7932" s="10" t="s">
        <v>49006</v>
      </c>
      <c r="X7932" s="13" t="str">
        <f>HYPERLINK("https://my.pitchbook.com?p=339720-13P","View People Online")</f>
        <v>View People Online</v>
      </c>
    </row>
    <row r="7933">
      <c r="A7933" s="6" t="s">
        <v>49286</v>
      </c>
      <c r="B7933" s="6" t="s">
        <v>49287</v>
      </c>
      <c r="C7933" s="6" t="s">
        <v>126</v>
      </c>
      <c r="D7933" s="6" t="s">
        <v>13523</v>
      </c>
      <c r="E7933" s="6" t="s">
        <v>49006</v>
      </c>
      <c r="F7933" s="6" t="s">
        <v>221</v>
      </c>
      <c r="G7933" s="6" t="s">
        <v>49288</v>
      </c>
      <c r="H7933" s="7" t="s">
        <v>31</v>
      </c>
      <c r="I7933" s="7">
        <v>1.0</v>
      </c>
      <c r="J7933" s="7">
        <v>1.0</v>
      </c>
      <c r="K7933" s="7" t="s">
        <v>31</v>
      </c>
      <c r="L7933" s="8" t="s">
        <v>49016</v>
      </c>
      <c r="M7933" s="6" t="s">
        <v>49289</v>
      </c>
      <c r="N7933" s="6" t="s">
        <v>75</v>
      </c>
      <c r="O7933" s="8" t="s">
        <v>76</v>
      </c>
      <c r="P7933" s="6" t="s">
        <v>49018</v>
      </c>
      <c r="Q7933" s="6" t="s">
        <v>49019</v>
      </c>
      <c r="R7933" s="6" t="s">
        <v>75</v>
      </c>
      <c r="S7933" s="8" t="s">
        <v>27197</v>
      </c>
      <c r="T7933" s="6" t="s">
        <v>66</v>
      </c>
      <c r="U7933" s="8" t="s">
        <v>31</v>
      </c>
      <c r="V7933" s="6" t="s">
        <v>221</v>
      </c>
      <c r="W7933" s="6" t="s">
        <v>49006</v>
      </c>
      <c r="X7933" s="9" t="str">
        <f>HYPERLINK("https://my.pitchbook.com?p=273328-21P","View People Online")</f>
        <v>View People Online</v>
      </c>
    </row>
    <row r="7934">
      <c r="A7934" s="10" t="s">
        <v>49290</v>
      </c>
      <c r="B7934" s="10" t="s">
        <v>49291</v>
      </c>
      <c r="C7934" s="10" t="s">
        <v>126</v>
      </c>
      <c r="D7934" s="10" t="s">
        <v>16220</v>
      </c>
      <c r="E7934" s="10" t="s">
        <v>49006</v>
      </c>
      <c r="F7934" s="10" t="s">
        <v>318</v>
      </c>
      <c r="G7934" s="10" t="s">
        <v>49292</v>
      </c>
      <c r="H7934" s="11" t="s">
        <v>31</v>
      </c>
      <c r="I7934" s="11">
        <v>1.0</v>
      </c>
      <c r="J7934" s="11">
        <v>1.0</v>
      </c>
      <c r="K7934" s="11" t="s">
        <v>31</v>
      </c>
      <c r="L7934" s="12" t="s">
        <v>49293</v>
      </c>
      <c r="M7934" s="10" t="s">
        <v>49294</v>
      </c>
      <c r="N7934" s="10" t="s">
        <v>1292</v>
      </c>
      <c r="O7934" s="12" t="s">
        <v>1293</v>
      </c>
      <c r="P7934" s="10" t="s">
        <v>49010</v>
      </c>
      <c r="Q7934" s="10" t="s">
        <v>31</v>
      </c>
      <c r="R7934" s="10" t="s">
        <v>64</v>
      </c>
      <c r="S7934" s="12" t="s">
        <v>1296</v>
      </c>
      <c r="T7934" s="10" t="s">
        <v>66</v>
      </c>
      <c r="U7934" s="12" t="s">
        <v>49011</v>
      </c>
      <c r="V7934" s="10" t="s">
        <v>318</v>
      </c>
      <c r="W7934" s="10" t="s">
        <v>49006</v>
      </c>
      <c r="X7934" s="13" t="str">
        <f>HYPERLINK("https://my.pitchbook.com?p=211291-84P","View People Online")</f>
        <v>View People Online</v>
      </c>
    </row>
    <row r="7935">
      <c r="A7935" s="14" t="s">
        <v>49295</v>
      </c>
      <c r="B7935" s="14" t="s">
        <v>49296</v>
      </c>
      <c r="C7935" s="14" t="s">
        <v>518</v>
      </c>
      <c r="D7935" s="14" t="s">
        <v>21687</v>
      </c>
      <c r="E7935" s="14" t="s">
        <v>49006</v>
      </c>
      <c r="F7935" s="14" t="s">
        <v>29</v>
      </c>
      <c r="G7935" s="14" t="s">
        <v>49297</v>
      </c>
      <c r="H7935" s="15">
        <v>3.0</v>
      </c>
      <c r="I7935" s="15">
        <v>6.0</v>
      </c>
      <c r="J7935" s="15">
        <v>1.0</v>
      </c>
      <c r="K7935" s="15">
        <v>2.0</v>
      </c>
      <c r="L7935" s="16" t="s">
        <v>49008</v>
      </c>
      <c r="M7935" s="14" t="s">
        <v>49298</v>
      </c>
      <c r="N7935" s="14" t="s">
        <v>1292</v>
      </c>
      <c r="O7935" s="16" t="s">
        <v>1293</v>
      </c>
      <c r="P7935" s="14" t="s">
        <v>49010</v>
      </c>
      <c r="Q7935" s="14" t="s">
        <v>31</v>
      </c>
      <c r="R7935" s="14" t="s">
        <v>64</v>
      </c>
      <c r="S7935" s="16" t="s">
        <v>1296</v>
      </c>
      <c r="T7935" s="14" t="s">
        <v>66</v>
      </c>
      <c r="U7935" s="16" t="s">
        <v>49011</v>
      </c>
      <c r="V7935" s="14" t="s">
        <v>29</v>
      </c>
      <c r="W7935" s="14" t="s">
        <v>49006</v>
      </c>
      <c r="X7935" s="17" t="str">
        <f>HYPERLINK("https://my.pitchbook.com?p=13072-33P","View People Online")</f>
        <v>View People Online</v>
      </c>
    </row>
    <row r="7936">
      <c r="A7936" s="2" t="s">
        <v>49299</v>
      </c>
      <c r="B7936" s="2" t="s">
        <v>49300</v>
      </c>
      <c r="C7936" s="2" t="s">
        <v>49301</v>
      </c>
      <c r="D7936" s="2" t="s">
        <v>49302</v>
      </c>
      <c r="E7936" s="2" t="s">
        <v>49006</v>
      </c>
      <c r="F7936" s="2" t="s">
        <v>470</v>
      </c>
      <c r="G7936" s="2" t="s">
        <v>49303</v>
      </c>
      <c r="H7936" s="3">
        <v>13.0</v>
      </c>
      <c r="I7936" s="3">
        <v>85.0</v>
      </c>
      <c r="J7936" s="3">
        <v>1.0</v>
      </c>
      <c r="K7936" s="3">
        <v>61.0</v>
      </c>
      <c r="L7936" s="4" t="s">
        <v>49304</v>
      </c>
      <c r="M7936" s="2" t="s">
        <v>31</v>
      </c>
      <c r="N7936" s="2" t="s">
        <v>155</v>
      </c>
      <c r="O7936" s="4" t="s">
        <v>156</v>
      </c>
      <c r="P7936" s="2" t="s">
        <v>49305</v>
      </c>
      <c r="Q7936" s="2" t="s">
        <v>33967</v>
      </c>
      <c r="R7936" s="2" t="s">
        <v>64</v>
      </c>
      <c r="S7936" s="4" t="s">
        <v>3487</v>
      </c>
      <c r="T7936" s="2" t="s">
        <v>66</v>
      </c>
      <c r="U7936" s="4" t="s">
        <v>31</v>
      </c>
      <c r="V7936" s="2" t="s">
        <v>2379</v>
      </c>
      <c r="W7936" s="2" t="s">
        <v>49306</v>
      </c>
      <c r="X7936" s="5" t="str">
        <f>HYPERLINK("https://my.pitchbook.com?p=13680-19P","View People Online")</f>
        <v>View People Online</v>
      </c>
    </row>
    <row r="7937">
      <c r="A7937" s="14" t="s">
        <v>49307</v>
      </c>
      <c r="B7937" s="14" t="s">
        <v>49308</v>
      </c>
      <c r="C7937" s="14" t="s">
        <v>26981</v>
      </c>
      <c r="D7937" s="14" t="s">
        <v>49309</v>
      </c>
      <c r="E7937" s="14" t="s">
        <v>49006</v>
      </c>
      <c r="F7937" s="14" t="s">
        <v>318</v>
      </c>
      <c r="G7937" s="14" t="s">
        <v>49310</v>
      </c>
      <c r="H7937" s="15" t="s">
        <v>31</v>
      </c>
      <c r="I7937" s="15">
        <v>1.0</v>
      </c>
      <c r="J7937" s="15">
        <v>1.0</v>
      </c>
      <c r="K7937" s="15" t="s">
        <v>31</v>
      </c>
      <c r="L7937" s="16" t="s">
        <v>49008</v>
      </c>
      <c r="M7937" s="14" t="s">
        <v>49311</v>
      </c>
      <c r="N7937" s="14" t="s">
        <v>1292</v>
      </c>
      <c r="O7937" s="16" t="s">
        <v>1293</v>
      </c>
      <c r="P7937" s="14" t="s">
        <v>49010</v>
      </c>
      <c r="Q7937" s="14" t="s">
        <v>31</v>
      </c>
      <c r="R7937" s="14" t="s">
        <v>64</v>
      </c>
      <c r="S7937" s="16" t="s">
        <v>1296</v>
      </c>
      <c r="T7937" s="14" t="s">
        <v>66</v>
      </c>
      <c r="U7937" s="16" t="s">
        <v>49011</v>
      </c>
      <c r="V7937" s="14" t="s">
        <v>318</v>
      </c>
      <c r="W7937" s="14" t="s">
        <v>49006</v>
      </c>
      <c r="X7937" s="17" t="str">
        <f>HYPERLINK("https://my.pitchbook.com?p=332272-36P","View People Online")</f>
        <v>View People Online</v>
      </c>
    </row>
    <row r="7938">
      <c r="A7938" s="2" t="s">
        <v>49312</v>
      </c>
      <c r="B7938" s="2" t="s">
        <v>49313</v>
      </c>
      <c r="C7938" s="2" t="s">
        <v>132</v>
      </c>
      <c r="D7938" s="2" t="s">
        <v>49314</v>
      </c>
      <c r="E7938" s="2" t="s">
        <v>49006</v>
      </c>
      <c r="F7938" s="2" t="s">
        <v>29</v>
      </c>
      <c r="G7938" s="2" t="s">
        <v>49315</v>
      </c>
      <c r="H7938" s="3" t="s">
        <v>31</v>
      </c>
      <c r="I7938" s="3">
        <v>1.0</v>
      </c>
      <c r="J7938" s="3">
        <v>1.0</v>
      </c>
      <c r="K7938" s="3" t="s">
        <v>31</v>
      </c>
      <c r="L7938" s="4" t="s">
        <v>49008</v>
      </c>
      <c r="M7938" s="2" t="s">
        <v>49316</v>
      </c>
      <c r="N7938" s="2" t="s">
        <v>1292</v>
      </c>
      <c r="O7938" s="4" t="s">
        <v>1293</v>
      </c>
      <c r="P7938" s="2" t="s">
        <v>49010</v>
      </c>
      <c r="Q7938" s="2" t="s">
        <v>31</v>
      </c>
      <c r="R7938" s="2" t="s">
        <v>64</v>
      </c>
      <c r="S7938" s="4" t="s">
        <v>1296</v>
      </c>
      <c r="T7938" s="2" t="s">
        <v>66</v>
      </c>
      <c r="U7938" s="4" t="s">
        <v>49011</v>
      </c>
      <c r="V7938" s="2" t="s">
        <v>49317</v>
      </c>
      <c r="W7938" s="2" t="s">
        <v>49006</v>
      </c>
      <c r="X7938" s="5" t="str">
        <f>HYPERLINK("https://my.pitchbook.com?p=216606-97P","View People Online")</f>
        <v>View People Online</v>
      </c>
    </row>
    <row r="7939">
      <c r="A7939" s="14" t="s">
        <v>49318</v>
      </c>
      <c r="B7939" s="14" t="s">
        <v>49319</v>
      </c>
      <c r="C7939" s="14" t="s">
        <v>49320</v>
      </c>
      <c r="D7939" s="14" t="s">
        <v>9860</v>
      </c>
      <c r="E7939" s="14" t="s">
        <v>49006</v>
      </c>
      <c r="F7939" s="14" t="s">
        <v>221</v>
      </c>
      <c r="G7939" s="14" t="s">
        <v>49321</v>
      </c>
      <c r="H7939" s="15" t="s">
        <v>31</v>
      </c>
      <c r="I7939" s="15">
        <v>1.0</v>
      </c>
      <c r="J7939" s="15">
        <v>1.0</v>
      </c>
      <c r="K7939" s="15" t="s">
        <v>31</v>
      </c>
      <c r="L7939" s="16" t="s">
        <v>49016</v>
      </c>
      <c r="M7939" s="14" t="s">
        <v>49322</v>
      </c>
      <c r="N7939" s="14" t="s">
        <v>75</v>
      </c>
      <c r="O7939" s="16" t="s">
        <v>76</v>
      </c>
      <c r="P7939" s="14" t="s">
        <v>49018</v>
      </c>
      <c r="Q7939" s="14" t="s">
        <v>49019</v>
      </c>
      <c r="R7939" s="14" t="s">
        <v>75</v>
      </c>
      <c r="S7939" s="16" t="s">
        <v>27197</v>
      </c>
      <c r="T7939" s="14" t="s">
        <v>66</v>
      </c>
      <c r="U7939" s="16" t="s">
        <v>31</v>
      </c>
      <c r="V7939" s="14" t="s">
        <v>221</v>
      </c>
      <c r="W7939" s="14" t="s">
        <v>49006</v>
      </c>
      <c r="X7939" s="17" t="str">
        <f>HYPERLINK("https://my.pitchbook.com?p=385412-68P","View People Online")</f>
        <v>View People Online</v>
      </c>
    </row>
    <row r="7940">
      <c r="A7940" s="2" t="s">
        <v>49323</v>
      </c>
      <c r="B7940" s="2" t="s">
        <v>49324</v>
      </c>
      <c r="C7940" s="2" t="s">
        <v>167</v>
      </c>
      <c r="D7940" s="2" t="s">
        <v>49325</v>
      </c>
      <c r="E7940" s="2" t="s">
        <v>49006</v>
      </c>
      <c r="F7940" s="2" t="s">
        <v>34285</v>
      </c>
      <c r="G7940" s="2" t="s">
        <v>49326</v>
      </c>
      <c r="H7940" s="3">
        <v>2.0</v>
      </c>
      <c r="I7940" s="3">
        <v>28.0</v>
      </c>
      <c r="J7940" s="3">
        <v>2.0</v>
      </c>
      <c r="K7940" s="3">
        <v>20.0</v>
      </c>
      <c r="L7940" s="4" t="s">
        <v>49008</v>
      </c>
      <c r="M7940" s="2" t="s">
        <v>49327</v>
      </c>
      <c r="N7940" s="2" t="s">
        <v>1292</v>
      </c>
      <c r="O7940" s="4" t="s">
        <v>1293</v>
      </c>
      <c r="P7940" s="2" t="s">
        <v>49010</v>
      </c>
      <c r="Q7940" s="2" t="s">
        <v>31</v>
      </c>
      <c r="R7940" s="2" t="s">
        <v>64</v>
      </c>
      <c r="S7940" s="4" t="s">
        <v>1296</v>
      </c>
      <c r="T7940" s="2" t="s">
        <v>66</v>
      </c>
      <c r="U7940" s="4" t="s">
        <v>49011</v>
      </c>
      <c r="V7940" s="2" t="s">
        <v>34285</v>
      </c>
      <c r="W7940" s="2" t="s">
        <v>49006</v>
      </c>
      <c r="X7940" s="5" t="str">
        <f>HYPERLINK("https://my.pitchbook.com?p=13679-74P","View People Online")</f>
        <v>View People Online</v>
      </c>
    </row>
    <row r="7941">
      <c r="A7941" s="6" t="s">
        <v>49328</v>
      </c>
      <c r="B7941" s="6" t="s">
        <v>49329</v>
      </c>
      <c r="C7941" s="6" t="s">
        <v>934</v>
      </c>
      <c r="D7941" s="6" t="s">
        <v>15840</v>
      </c>
      <c r="E7941" s="6" t="s">
        <v>49006</v>
      </c>
      <c r="F7941" s="6" t="s">
        <v>1134</v>
      </c>
      <c r="G7941" s="6" t="s">
        <v>49330</v>
      </c>
      <c r="H7941" s="7">
        <v>1.0</v>
      </c>
      <c r="I7941" s="7">
        <v>12.0</v>
      </c>
      <c r="J7941" s="7">
        <v>1.0</v>
      </c>
      <c r="K7941" s="7">
        <v>7.0</v>
      </c>
      <c r="L7941" s="8" t="s">
        <v>49008</v>
      </c>
      <c r="M7941" s="6" t="s">
        <v>49331</v>
      </c>
      <c r="N7941" s="6" t="s">
        <v>1292</v>
      </c>
      <c r="O7941" s="8" t="s">
        <v>1293</v>
      </c>
      <c r="P7941" s="6" t="s">
        <v>49010</v>
      </c>
      <c r="Q7941" s="6" t="s">
        <v>31</v>
      </c>
      <c r="R7941" s="6" t="s">
        <v>64</v>
      </c>
      <c r="S7941" s="8" t="s">
        <v>1296</v>
      </c>
      <c r="T7941" s="6" t="s">
        <v>66</v>
      </c>
      <c r="U7941" s="8" t="s">
        <v>49011</v>
      </c>
      <c r="V7941" s="6" t="s">
        <v>49035</v>
      </c>
      <c r="W7941" s="6" t="s">
        <v>49006</v>
      </c>
      <c r="X7941" s="9" t="str">
        <f>HYPERLINK("https://my.pitchbook.com?p=13621-51P","View People Online")</f>
        <v>View People Online</v>
      </c>
    </row>
    <row r="7942">
      <c r="A7942" s="10" t="s">
        <v>49332</v>
      </c>
      <c r="B7942" s="10" t="s">
        <v>49333</v>
      </c>
      <c r="C7942" s="10" t="s">
        <v>2388</v>
      </c>
      <c r="D7942" s="10" t="s">
        <v>49334</v>
      </c>
      <c r="E7942" s="10" t="s">
        <v>49006</v>
      </c>
      <c r="F7942" s="10" t="s">
        <v>81</v>
      </c>
      <c r="G7942" s="10" t="s">
        <v>49335</v>
      </c>
      <c r="H7942" s="11">
        <v>13.0</v>
      </c>
      <c r="I7942" s="11">
        <v>99.0</v>
      </c>
      <c r="J7942" s="11">
        <v>1.0</v>
      </c>
      <c r="K7942" s="11">
        <v>75.0</v>
      </c>
      <c r="L7942" s="12" t="s">
        <v>49008</v>
      </c>
      <c r="M7942" s="10" t="s">
        <v>49336</v>
      </c>
      <c r="N7942" s="10" t="s">
        <v>1292</v>
      </c>
      <c r="O7942" s="12" t="s">
        <v>1293</v>
      </c>
      <c r="P7942" s="10" t="s">
        <v>49010</v>
      </c>
      <c r="Q7942" s="10" t="s">
        <v>31</v>
      </c>
      <c r="R7942" s="10" t="s">
        <v>64</v>
      </c>
      <c r="S7942" s="12" t="s">
        <v>1296</v>
      </c>
      <c r="T7942" s="10" t="s">
        <v>66</v>
      </c>
      <c r="U7942" s="12" t="s">
        <v>49011</v>
      </c>
      <c r="V7942" s="10" t="s">
        <v>5619</v>
      </c>
      <c r="W7942" s="10" t="s">
        <v>49006</v>
      </c>
      <c r="X7942" s="13" t="str">
        <f>HYPERLINK("https://my.pitchbook.com?p=13681-27P","View People Online")</f>
        <v>View People Online</v>
      </c>
    </row>
    <row r="7943">
      <c r="A7943" s="14" t="s">
        <v>49337</v>
      </c>
      <c r="B7943" s="14" t="s">
        <v>49338</v>
      </c>
      <c r="C7943" s="14" t="s">
        <v>3274</v>
      </c>
      <c r="D7943" s="14" t="s">
        <v>49339</v>
      </c>
      <c r="E7943" s="14" t="s">
        <v>49006</v>
      </c>
      <c r="F7943" s="14" t="s">
        <v>1283</v>
      </c>
      <c r="G7943" s="14" t="s">
        <v>49340</v>
      </c>
      <c r="H7943" s="15">
        <v>2.0</v>
      </c>
      <c r="I7943" s="15">
        <v>8.0</v>
      </c>
      <c r="J7943" s="15">
        <v>1.0</v>
      </c>
      <c r="K7943" s="15">
        <v>4.0</v>
      </c>
      <c r="L7943" s="16" t="s">
        <v>49341</v>
      </c>
      <c r="M7943" s="14" t="s">
        <v>49342</v>
      </c>
      <c r="N7943" s="14" t="s">
        <v>243</v>
      </c>
      <c r="O7943" s="16" t="s">
        <v>244</v>
      </c>
      <c r="P7943" s="14" t="s">
        <v>49233</v>
      </c>
      <c r="Q7943" s="14" t="s">
        <v>23552</v>
      </c>
      <c r="R7943" s="14" t="s">
        <v>247</v>
      </c>
      <c r="S7943" s="16" t="s">
        <v>49234</v>
      </c>
      <c r="T7943" s="14" t="s">
        <v>249</v>
      </c>
      <c r="U7943" s="16" t="s">
        <v>31</v>
      </c>
      <c r="V7943" s="14" t="s">
        <v>49343</v>
      </c>
      <c r="W7943" s="14" t="s">
        <v>49006</v>
      </c>
      <c r="X7943" s="17" t="str">
        <f>HYPERLINK("https://my.pitchbook.com?p=196266-52P","View People Online")</f>
        <v>View People Online</v>
      </c>
    </row>
    <row r="7944">
      <c r="A7944" s="2" t="s">
        <v>49344</v>
      </c>
      <c r="B7944" s="2" t="s">
        <v>49345</v>
      </c>
      <c r="C7944" s="2" t="s">
        <v>8042</v>
      </c>
      <c r="D7944" s="2" t="s">
        <v>673</v>
      </c>
      <c r="E7944" s="2" t="s">
        <v>49006</v>
      </c>
      <c r="F7944" s="2" t="s">
        <v>1134</v>
      </c>
      <c r="G7944" s="2" t="s">
        <v>49346</v>
      </c>
      <c r="H7944" s="3">
        <v>13.0</v>
      </c>
      <c r="I7944" s="3">
        <v>68.0</v>
      </c>
      <c r="J7944" s="3">
        <v>2.0</v>
      </c>
      <c r="K7944" s="3">
        <v>45.0</v>
      </c>
      <c r="L7944" s="4" t="s">
        <v>49008</v>
      </c>
      <c r="M7944" s="2" t="s">
        <v>49347</v>
      </c>
      <c r="N7944" s="2" t="s">
        <v>1292</v>
      </c>
      <c r="O7944" s="4" t="s">
        <v>1293</v>
      </c>
      <c r="P7944" s="2" t="s">
        <v>49010</v>
      </c>
      <c r="Q7944" s="2" t="s">
        <v>31</v>
      </c>
      <c r="R7944" s="2" t="s">
        <v>64</v>
      </c>
      <c r="S7944" s="4" t="s">
        <v>1296</v>
      </c>
      <c r="T7944" s="2" t="s">
        <v>66</v>
      </c>
      <c r="U7944" s="4" t="s">
        <v>49011</v>
      </c>
      <c r="V7944" s="2" t="s">
        <v>49348</v>
      </c>
      <c r="W7944" s="2" t="s">
        <v>49006</v>
      </c>
      <c r="X7944" s="5" t="str">
        <f>HYPERLINK("https://my.pitchbook.com?p=36032-50P","View People Online")</f>
        <v>View People Online</v>
      </c>
    </row>
    <row r="7945">
      <c r="A7945" s="14" t="s">
        <v>49349</v>
      </c>
      <c r="B7945" s="14" t="s">
        <v>49350</v>
      </c>
      <c r="C7945" s="14" t="s">
        <v>12257</v>
      </c>
      <c r="D7945" s="14" t="s">
        <v>49351</v>
      </c>
      <c r="E7945" s="14" t="s">
        <v>49006</v>
      </c>
      <c r="F7945" s="14" t="s">
        <v>114</v>
      </c>
      <c r="G7945" s="14" t="s">
        <v>49352</v>
      </c>
      <c r="H7945" s="15">
        <v>3.0</v>
      </c>
      <c r="I7945" s="15">
        <v>38.0</v>
      </c>
      <c r="J7945" s="15">
        <v>1.0</v>
      </c>
      <c r="K7945" s="15">
        <v>26.0</v>
      </c>
      <c r="L7945" s="16" t="s">
        <v>49008</v>
      </c>
      <c r="M7945" s="14" t="s">
        <v>49353</v>
      </c>
      <c r="N7945" s="14" t="s">
        <v>1292</v>
      </c>
      <c r="O7945" s="16" t="s">
        <v>1293</v>
      </c>
      <c r="P7945" s="14" t="s">
        <v>49010</v>
      </c>
      <c r="Q7945" s="14" t="s">
        <v>31</v>
      </c>
      <c r="R7945" s="14" t="s">
        <v>64</v>
      </c>
      <c r="S7945" s="16" t="s">
        <v>1296</v>
      </c>
      <c r="T7945" s="14" t="s">
        <v>66</v>
      </c>
      <c r="U7945" s="16" t="s">
        <v>49011</v>
      </c>
      <c r="V7945" s="14" t="s">
        <v>114</v>
      </c>
      <c r="W7945" s="14" t="s">
        <v>49006</v>
      </c>
      <c r="X7945" s="17" t="str">
        <f>HYPERLINK("https://my.pitchbook.com?p=13958-83P","View People Online")</f>
        <v>View People Online</v>
      </c>
    </row>
    <row r="7946">
      <c r="A7946" s="10" t="s">
        <v>49354</v>
      </c>
      <c r="B7946" s="10" t="s">
        <v>49355</v>
      </c>
      <c r="C7946" s="10" t="s">
        <v>3716</v>
      </c>
      <c r="D7946" s="10" t="s">
        <v>49356</v>
      </c>
      <c r="E7946" s="10" t="s">
        <v>49006</v>
      </c>
      <c r="F7946" s="10" t="s">
        <v>29</v>
      </c>
      <c r="G7946" s="10" t="s">
        <v>49357</v>
      </c>
      <c r="H7946" s="11">
        <v>7.0</v>
      </c>
      <c r="I7946" s="11">
        <v>27.0</v>
      </c>
      <c r="J7946" s="11">
        <v>1.0</v>
      </c>
      <c r="K7946" s="11">
        <v>10.0</v>
      </c>
      <c r="L7946" s="12" t="s">
        <v>49358</v>
      </c>
      <c r="M7946" s="10" t="s">
        <v>49359</v>
      </c>
      <c r="N7946" s="10" t="s">
        <v>6692</v>
      </c>
      <c r="O7946" s="12" t="s">
        <v>6693</v>
      </c>
      <c r="P7946" s="10" t="s">
        <v>49360</v>
      </c>
      <c r="Q7946" s="10" t="s">
        <v>31</v>
      </c>
      <c r="R7946" s="10" t="s">
        <v>64</v>
      </c>
      <c r="S7946" s="12" t="s">
        <v>49361</v>
      </c>
      <c r="T7946" s="10" t="s">
        <v>66</v>
      </c>
      <c r="U7946" s="12" t="s">
        <v>49362</v>
      </c>
      <c r="V7946" s="10" t="s">
        <v>6873</v>
      </c>
      <c r="W7946" s="10" t="s">
        <v>49363</v>
      </c>
      <c r="X7946" s="13" t="str">
        <f>HYPERLINK("https://my.pitchbook.com?p=36034-12P","View People Online")</f>
        <v>View People Online</v>
      </c>
    </row>
    <row r="7947">
      <c r="A7947" s="6" t="s">
        <v>49364</v>
      </c>
      <c r="B7947" s="6" t="s">
        <v>49365</v>
      </c>
      <c r="C7947" s="6" t="s">
        <v>3716</v>
      </c>
      <c r="D7947" s="6" t="s">
        <v>49366</v>
      </c>
      <c r="E7947" s="6" t="s">
        <v>49006</v>
      </c>
      <c r="F7947" s="6" t="s">
        <v>49367</v>
      </c>
      <c r="G7947" s="6" t="s">
        <v>49368</v>
      </c>
      <c r="H7947" s="7">
        <v>15.0</v>
      </c>
      <c r="I7947" s="7">
        <v>166.0</v>
      </c>
      <c r="J7947" s="7">
        <v>2.0</v>
      </c>
      <c r="K7947" s="7">
        <v>130.0</v>
      </c>
      <c r="L7947" s="8" t="s">
        <v>49008</v>
      </c>
      <c r="M7947" s="6" t="s">
        <v>49369</v>
      </c>
      <c r="N7947" s="6" t="s">
        <v>1292</v>
      </c>
      <c r="O7947" s="8" t="s">
        <v>1293</v>
      </c>
      <c r="P7947" s="6" t="s">
        <v>49010</v>
      </c>
      <c r="Q7947" s="6" t="s">
        <v>31</v>
      </c>
      <c r="R7947" s="6" t="s">
        <v>64</v>
      </c>
      <c r="S7947" s="8" t="s">
        <v>1296</v>
      </c>
      <c r="T7947" s="6" t="s">
        <v>66</v>
      </c>
      <c r="U7947" s="8" t="s">
        <v>49011</v>
      </c>
      <c r="V7947" s="6" t="s">
        <v>49370</v>
      </c>
      <c r="W7947" s="6" t="s">
        <v>49006</v>
      </c>
      <c r="X7947" s="9" t="str">
        <f>HYPERLINK("https://my.pitchbook.com?p=13681-09P","View People Online")</f>
        <v>View People Online</v>
      </c>
    </row>
    <row r="7948">
      <c r="A7948" s="2" t="s">
        <v>49371</v>
      </c>
      <c r="B7948" s="2" t="s">
        <v>49372</v>
      </c>
      <c r="C7948" s="2" t="s">
        <v>49373</v>
      </c>
      <c r="D7948" s="2" t="s">
        <v>24102</v>
      </c>
      <c r="E7948" s="2" t="s">
        <v>49006</v>
      </c>
      <c r="F7948" s="2" t="s">
        <v>548</v>
      </c>
      <c r="G7948" s="2" t="s">
        <v>49374</v>
      </c>
      <c r="H7948" s="3" t="s">
        <v>31</v>
      </c>
      <c r="I7948" s="3">
        <v>1.0</v>
      </c>
      <c r="J7948" s="3">
        <v>1.0</v>
      </c>
      <c r="K7948" s="3" t="s">
        <v>31</v>
      </c>
      <c r="L7948" s="4" t="s">
        <v>49008</v>
      </c>
      <c r="M7948" s="2" t="s">
        <v>49375</v>
      </c>
      <c r="N7948" s="2" t="s">
        <v>1292</v>
      </c>
      <c r="O7948" s="4" t="s">
        <v>1293</v>
      </c>
      <c r="P7948" s="2" t="s">
        <v>49010</v>
      </c>
      <c r="Q7948" s="2" t="s">
        <v>31</v>
      </c>
      <c r="R7948" s="2" t="s">
        <v>64</v>
      </c>
      <c r="S7948" s="4" t="s">
        <v>1296</v>
      </c>
      <c r="T7948" s="2" t="s">
        <v>66</v>
      </c>
      <c r="U7948" s="4" t="s">
        <v>49011</v>
      </c>
      <c r="V7948" s="2" t="s">
        <v>10316</v>
      </c>
      <c r="W7948" s="2" t="s">
        <v>49006</v>
      </c>
      <c r="X7948" s="5" t="str">
        <f>HYPERLINK("https://my.pitchbook.com?p=125460-82P","View People Online")</f>
        <v>View People Online</v>
      </c>
    </row>
    <row r="7949">
      <c r="A7949" s="6" t="s">
        <v>49376</v>
      </c>
      <c r="B7949" s="6" t="s">
        <v>49377</v>
      </c>
      <c r="C7949" s="6" t="s">
        <v>4673</v>
      </c>
      <c r="D7949" s="6" t="s">
        <v>49378</v>
      </c>
      <c r="E7949" s="6" t="s">
        <v>49006</v>
      </c>
      <c r="F7949" s="6" t="s">
        <v>13066</v>
      </c>
      <c r="G7949" s="6" t="s">
        <v>49379</v>
      </c>
      <c r="H7949" s="7" t="s">
        <v>31</v>
      </c>
      <c r="I7949" s="7">
        <v>2.0</v>
      </c>
      <c r="J7949" s="7">
        <v>2.0</v>
      </c>
      <c r="K7949" s="7" t="s">
        <v>31</v>
      </c>
      <c r="L7949" s="8" t="s">
        <v>49380</v>
      </c>
      <c r="M7949" s="6" t="s">
        <v>49381</v>
      </c>
      <c r="N7949" s="6" t="s">
        <v>1292</v>
      </c>
      <c r="O7949" s="8" t="s">
        <v>1293</v>
      </c>
      <c r="P7949" s="6" t="s">
        <v>49010</v>
      </c>
      <c r="Q7949" s="6" t="s">
        <v>31</v>
      </c>
      <c r="R7949" s="6" t="s">
        <v>64</v>
      </c>
      <c r="S7949" s="8" t="s">
        <v>1296</v>
      </c>
      <c r="T7949" s="6" t="s">
        <v>66</v>
      </c>
      <c r="U7949" s="8" t="s">
        <v>49382</v>
      </c>
      <c r="V7949" s="6" t="s">
        <v>13066</v>
      </c>
      <c r="W7949" s="6" t="s">
        <v>49006</v>
      </c>
      <c r="X7949" s="9" t="str">
        <f>HYPERLINK("https://my.pitchbook.com?p=38803-42P","View People Online")</f>
        <v>View People Online</v>
      </c>
    </row>
    <row r="7950">
      <c r="A7950" s="10" t="s">
        <v>49383</v>
      </c>
      <c r="B7950" s="10" t="s">
        <v>49384</v>
      </c>
      <c r="C7950" s="10" t="s">
        <v>25331</v>
      </c>
      <c r="D7950" s="10" t="s">
        <v>3847</v>
      </c>
      <c r="E7950" s="10" t="s">
        <v>49006</v>
      </c>
      <c r="F7950" s="10" t="s">
        <v>1134</v>
      </c>
      <c r="G7950" s="10" t="s">
        <v>49385</v>
      </c>
      <c r="H7950" s="11" t="s">
        <v>31</v>
      </c>
      <c r="I7950" s="11">
        <v>24.0</v>
      </c>
      <c r="J7950" s="11">
        <v>1.0</v>
      </c>
      <c r="K7950" s="11">
        <v>17.0</v>
      </c>
      <c r="L7950" s="12" t="s">
        <v>49008</v>
      </c>
      <c r="M7950" s="10" t="s">
        <v>49386</v>
      </c>
      <c r="N7950" s="10" t="s">
        <v>1292</v>
      </c>
      <c r="O7950" s="12" t="s">
        <v>1293</v>
      </c>
      <c r="P7950" s="10" t="s">
        <v>49010</v>
      </c>
      <c r="Q7950" s="10" t="s">
        <v>31</v>
      </c>
      <c r="R7950" s="10" t="s">
        <v>64</v>
      </c>
      <c r="S7950" s="12" t="s">
        <v>1296</v>
      </c>
      <c r="T7950" s="10" t="s">
        <v>66</v>
      </c>
      <c r="U7950" s="12" t="s">
        <v>49011</v>
      </c>
      <c r="V7950" s="10" t="s">
        <v>49387</v>
      </c>
      <c r="W7950" s="10" t="s">
        <v>49006</v>
      </c>
      <c r="X7950" s="13" t="str">
        <f>HYPERLINK("https://my.pitchbook.com?p=13679-83P","View People Online")</f>
        <v>View People Online</v>
      </c>
    </row>
    <row r="7951">
      <c r="A7951" s="14" t="s">
        <v>49388</v>
      </c>
      <c r="B7951" s="14" t="s">
        <v>49389</v>
      </c>
      <c r="C7951" s="14" t="s">
        <v>6205</v>
      </c>
      <c r="D7951" s="14" t="s">
        <v>26342</v>
      </c>
      <c r="E7951" s="14" t="s">
        <v>49006</v>
      </c>
      <c r="F7951" s="14" t="s">
        <v>318</v>
      </c>
      <c r="G7951" s="14" t="s">
        <v>49390</v>
      </c>
      <c r="H7951" s="15">
        <v>3.0</v>
      </c>
      <c r="I7951" s="15">
        <v>8.0</v>
      </c>
      <c r="J7951" s="15">
        <v>1.0</v>
      </c>
      <c r="K7951" s="15">
        <v>4.0</v>
      </c>
      <c r="L7951" s="16" t="s">
        <v>49008</v>
      </c>
      <c r="M7951" s="14" t="s">
        <v>49391</v>
      </c>
      <c r="N7951" s="14" t="s">
        <v>1292</v>
      </c>
      <c r="O7951" s="16" t="s">
        <v>1293</v>
      </c>
      <c r="P7951" s="14" t="s">
        <v>49010</v>
      </c>
      <c r="Q7951" s="14" t="s">
        <v>31</v>
      </c>
      <c r="R7951" s="14" t="s">
        <v>64</v>
      </c>
      <c r="S7951" s="16" t="s">
        <v>1296</v>
      </c>
      <c r="T7951" s="14" t="s">
        <v>66</v>
      </c>
      <c r="U7951" s="16" t="s">
        <v>49011</v>
      </c>
      <c r="V7951" s="14" t="s">
        <v>318</v>
      </c>
      <c r="W7951" s="14" t="s">
        <v>49006</v>
      </c>
      <c r="X7951" s="17" t="str">
        <f>HYPERLINK("https://my.pitchbook.com?p=210545-47P","View People Online")</f>
        <v>View People Online</v>
      </c>
    </row>
    <row r="7952">
      <c r="A7952" s="10" t="s">
        <v>49392</v>
      </c>
      <c r="B7952" s="10" t="s">
        <v>49393</v>
      </c>
      <c r="C7952" s="10" t="s">
        <v>6205</v>
      </c>
      <c r="D7952" s="10" t="s">
        <v>49394</v>
      </c>
      <c r="E7952" s="10" t="s">
        <v>49006</v>
      </c>
      <c r="F7952" s="10" t="s">
        <v>29</v>
      </c>
      <c r="G7952" s="10" t="s">
        <v>49395</v>
      </c>
      <c r="H7952" s="11">
        <v>3.0</v>
      </c>
      <c r="I7952" s="11">
        <v>8.0</v>
      </c>
      <c r="J7952" s="11">
        <v>1.0</v>
      </c>
      <c r="K7952" s="11">
        <v>3.0</v>
      </c>
      <c r="L7952" s="12" t="s">
        <v>49016</v>
      </c>
      <c r="M7952" s="10" t="s">
        <v>49396</v>
      </c>
      <c r="N7952" s="10" t="s">
        <v>75</v>
      </c>
      <c r="O7952" s="12" t="s">
        <v>76</v>
      </c>
      <c r="P7952" s="10" t="s">
        <v>49018</v>
      </c>
      <c r="Q7952" s="10" t="s">
        <v>49019</v>
      </c>
      <c r="R7952" s="10" t="s">
        <v>75</v>
      </c>
      <c r="S7952" s="12" t="s">
        <v>27197</v>
      </c>
      <c r="T7952" s="10" t="s">
        <v>66</v>
      </c>
      <c r="U7952" s="12" t="s">
        <v>31</v>
      </c>
      <c r="V7952" s="10" t="s">
        <v>29</v>
      </c>
      <c r="W7952" s="10" t="s">
        <v>49006</v>
      </c>
      <c r="X7952" s="13" t="str">
        <f>HYPERLINK("https://my.pitchbook.com?p=211002-31P","View People Online")</f>
        <v>View People Online</v>
      </c>
    </row>
    <row r="7953">
      <c r="A7953" s="14" t="s">
        <v>49397</v>
      </c>
      <c r="B7953" s="14" t="s">
        <v>49398</v>
      </c>
      <c r="C7953" s="14" t="s">
        <v>38567</v>
      </c>
      <c r="D7953" s="14" t="s">
        <v>49399</v>
      </c>
      <c r="E7953" s="14" t="s">
        <v>49006</v>
      </c>
      <c r="F7953" s="14" t="s">
        <v>49400</v>
      </c>
      <c r="G7953" s="14" t="s">
        <v>49401</v>
      </c>
      <c r="H7953" s="15" t="s">
        <v>31</v>
      </c>
      <c r="I7953" s="15">
        <v>1.0</v>
      </c>
      <c r="J7953" s="15">
        <v>1.0</v>
      </c>
      <c r="K7953" s="15" t="s">
        <v>31</v>
      </c>
      <c r="L7953" s="16" t="s">
        <v>49008</v>
      </c>
      <c r="M7953" s="14" t="s">
        <v>49402</v>
      </c>
      <c r="N7953" s="14" t="s">
        <v>1292</v>
      </c>
      <c r="O7953" s="16" t="s">
        <v>1293</v>
      </c>
      <c r="P7953" s="14" t="s">
        <v>49010</v>
      </c>
      <c r="Q7953" s="14" t="s">
        <v>31</v>
      </c>
      <c r="R7953" s="14" t="s">
        <v>64</v>
      </c>
      <c r="S7953" s="16" t="s">
        <v>1296</v>
      </c>
      <c r="T7953" s="14" t="s">
        <v>66</v>
      </c>
      <c r="U7953" s="16" t="s">
        <v>49011</v>
      </c>
      <c r="V7953" s="14" t="s">
        <v>49403</v>
      </c>
      <c r="W7953" s="14" t="s">
        <v>49006</v>
      </c>
      <c r="X7953" s="17" t="str">
        <f>HYPERLINK("https://my.pitchbook.com?p=385413-31P","View People Online")</f>
        <v>View People Online</v>
      </c>
    </row>
    <row r="7954">
      <c r="A7954" s="10" t="s">
        <v>49404</v>
      </c>
      <c r="B7954" s="10" t="s">
        <v>49405</v>
      </c>
      <c r="C7954" s="10" t="s">
        <v>5321</v>
      </c>
      <c r="D7954" s="10" t="s">
        <v>49406</v>
      </c>
      <c r="E7954" s="10" t="s">
        <v>49006</v>
      </c>
      <c r="F7954" s="10" t="s">
        <v>29</v>
      </c>
      <c r="G7954" s="10" t="s">
        <v>49407</v>
      </c>
      <c r="H7954" s="11">
        <v>12.0</v>
      </c>
      <c r="I7954" s="11">
        <v>37.0</v>
      </c>
      <c r="J7954" s="11">
        <v>1.0</v>
      </c>
      <c r="K7954" s="11">
        <v>19.0</v>
      </c>
      <c r="L7954" s="12" t="s">
        <v>49008</v>
      </c>
      <c r="M7954" s="10" t="s">
        <v>49408</v>
      </c>
      <c r="N7954" s="10" t="s">
        <v>1292</v>
      </c>
      <c r="O7954" s="12" t="s">
        <v>1293</v>
      </c>
      <c r="P7954" s="10" t="s">
        <v>49010</v>
      </c>
      <c r="Q7954" s="10" t="s">
        <v>31</v>
      </c>
      <c r="R7954" s="10" t="s">
        <v>64</v>
      </c>
      <c r="S7954" s="12" t="s">
        <v>1296</v>
      </c>
      <c r="T7954" s="10" t="s">
        <v>66</v>
      </c>
      <c r="U7954" s="12" t="s">
        <v>49011</v>
      </c>
      <c r="V7954" s="10" t="s">
        <v>29</v>
      </c>
      <c r="W7954" s="10" t="s">
        <v>49006</v>
      </c>
      <c r="X7954" s="13" t="str">
        <f>HYPERLINK("https://my.pitchbook.com?p=92173-24P","View People Online")</f>
        <v>View People Online</v>
      </c>
    </row>
    <row r="7955">
      <c r="A7955" s="14" t="s">
        <v>49409</v>
      </c>
      <c r="B7955" s="14" t="s">
        <v>49410</v>
      </c>
      <c r="C7955" s="14" t="s">
        <v>7262</v>
      </c>
      <c r="D7955" s="14" t="s">
        <v>49411</v>
      </c>
      <c r="E7955" s="14" t="s">
        <v>49006</v>
      </c>
      <c r="F7955" s="14" t="s">
        <v>221</v>
      </c>
      <c r="G7955" s="14" t="s">
        <v>49412</v>
      </c>
      <c r="H7955" s="15" t="s">
        <v>31</v>
      </c>
      <c r="I7955" s="15">
        <v>2.0</v>
      </c>
      <c r="J7955" s="15">
        <v>2.0</v>
      </c>
      <c r="K7955" s="15" t="s">
        <v>31</v>
      </c>
      <c r="L7955" s="16" t="s">
        <v>49413</v>
      </c>
      <c r="M7955" s="14" t="s">
        <v>49414</v>
      </c>
      <c r="N7955" s="14" t="s">
        <v>49415</v>
      </c>
      <c r="O7955" s="16" t="s">
        <v>49416</v>
      </c>
      <c r="P7955" s="14" t="s">
        <v>49417</v>
      </c>
      <c r="Q7955" s="14" t="s">
        <v>31</v>
      </c>
      <c r="R7955" s="14" t="s">
        <v>64</v>
      </c>
      <c r="S7955" s="16" t="s">
        <v>49418</v>
      </c>
      <c r="T7955" s="14" t="s">
        <v>66</v>
      </c>
      <c r="U7955" s="16" t="s">
        <v>31</v>
      </c>
      <c r="V7955" s="14" t="s">
        <v>221</v>
      </c>
      <c r="W7955" s="14" t="s">
        <v>49419</v>
      </c>
      <c r="X7955" s="17" t="str">
        <f>HYPERLINK("https://my.pitchbook.com?p=385413-49P","View People Online")</f>
        <v>View People Online</v>
      </c>
    </row>
    <row r="7956">
      <c r="A7956" s="10" t="s">
        <v>49420</v>
      </c>
      <c r="B7956" s="10" t="s">
        <v>49421</v>
      </c>
      <c r="C7956" s="10" t="s">
        <v>24140</v>
      </c>
      <c r="D7956" s="10" t="s">
        <v>49422</v>
      </c>
      <c r="E7956" s="10" t="s">
        <v>49423</v>
      </c>
      <c r="F7956" s="10" t="s">
        <v>43</v>
      </c>
      <c r="G7956" s="10" t="s">
        <v>49424</v>
      </c>
      <c r="H7956" s="11">
        <v>2.0</v>
      </c>
      <c r="I7956" s="11">
        <v>43.0</v>
      </c>
      <c r="J7956" s="11">
        <v>1.0</v>
      </c>
      <c r="K7956" s="11">
        <v>35.0</v>
      </c>
      <c r="L7956" s="12" t="s">
        <v>49425</v>
      </c>
      <c r="M7956" s="10" t="s">
        <v>49426</v>
      </c>
      <c r="N7956" s="10" t="s">
        <v>4088</v>
      </c>
      <c r="O7956" s="12" t="s">
        <v>4089</v>
      </c>
      <c r="P7956" s="10" t="s">
        <v>49427</v>
      </c>
      <c r="Q7956" s="10" t="s">
        <v>31</v>
      </c>
      <c r="R7956" s="10" t="s">
        <v>4092</v>
      </c>
      <c r="S7956" s="12" t="s">
        <v>4093</v>
      </c>
      <c r="T7956" s="10" t="s">
        <v>66</v>
      </c>
      <c r="U7956" s="12" t="s">
        <v>31</v>
      </c>
      <c r="V7956" s="10" t="s">
        <v>43</v>
      </c>
      <c r="W7956" s="10" t="s">
        <v>49423</v>
      </c>
      <c r="X7956" s="13" t="str">
        <f>HYPERLINK("https://my.pitchbook.com?p=42121-00P","View People Online")</f>
        <v>View People Online</v>
      </c>
    </row>
    <row r="7957">
      <c r="A7957" s="6" t="s">
        <v>49428</v>
      </c>
      <c r="B7957" s="6" t="s">
        <v>49429</v>
      </c>
      <c r="C7957" s="6" t="s">
        <v>4358</v>
      </c>
      <c r="D7957" s="6" t="s">
        <v>5786</v>
      </c>
      <c r="E7957" s="6" t="s">
        <v>49423</v>
      </c>
      <c r="F7957" s="6" t="s">
        <v>114</v>
      </c>
      <c r="G7957" s="6" t="s">
        <v>49430</v>
      </c>
      <c r="H7957" s="7">
        <v>1.0</v>
      </c>
      <c r="I7957" s="7">
        <v>25.0</v>
      </c>
      <c r="J7957" s="7">
        <v>3.0</v>
      </c>
      <c r="K7957" s="7">
        <v>15.0</v>
      </c>
      <c r="L7957" s="8" t="s">
        <v>31</v>
      </c>
      <c r="M7957" s="6" t="s">
        <v>31</v>
      </c>
      <c r="N7957" s="6" t="s">
        <v>10091</v>
      </c>
      <c r="O7957" s="8" t="s">
        <v>10092</v>
      </c>
      <c r="P7957" s="6" t="s">
        <v>49431</v>
      </c>
      <c r="Q7957" s="6" t="s">
        <v>31</v>
      </c>
      <c r="R7957" s="6" t="s">
        <v>396</v>
      </c>
      <c r="S7957" s="8" t="s">
        <v>49432</v>
      </c>
      <c r="T7957" s="6" t="s">
        <v>66</v>
      </c>
      <c r="U7957" s="8" t="s">
        <v>31</v>
      </c>
      <c r="V7957" s="6" t="s">
        <v>57</v>
      </c>
      <c r="W7957" s="6" t="s">
        <v>49433</v>
      </c>
      <c r="X7957" s="9" t="str">
        <f>HYPERLINK("https://my.pitchbook.com?p=102666-61P","View People Online")</f>
        <v>View People Online</v>
      </c>
    </row>
    <row r="7958">
      <c r="A7958" s="10" t="s">
        <v>49434</v>
      </c>
      <c r="B7958" s="10" t="s">
        <v>49435</v>
      </c>
      <c r="C7958" s="10" t="s">
        <v>350</v>
      </c>
      <c r="D7958" s="10" t="s">
        <v>49436</v>
      </c>
      <c r="E7958" s="10" t="s">
        <v>49423</v>
      </c>
      <c r="F7958" s="10" t="s">
        <v>86</v>
      </c>
      <c r="G7958" s="10" t="s">
        <v>49437</v>
      </c>
      <c r="H7958" s="11">
        <v>2.0</v>
      </c>
      <c r="I7958" s="11">
        <v>18.0</v>
      </c>
      <c r="J7958" s="11">
        <v>3.0</v>
      </c>
      <c r="K7958" s="11">
        <v>10.0</v>
      </c>
      <c r="L7958" s="12" t="s">
        <v>31</v>
      </c>
      <c r="M7958" s="10" t="s">
        <v>49438</v>
      </c>
      <c r="N7958" s="10" t="s">
        <v>4088</v>
      </c>
      <c r="O7958" s="12" t="s">
        <v>4089</v>
      </c>
      <c r="P7958" s="10" t="s">
        <v>49427</v>
      </c>
      <c r="Q7958" s="10" t="s">
        <v>31</v>
      </c>
      <c r="R7958" s="10" t="s">
        <v>4092</v>
      </c>
      <c r="S7958" s="12" t="s">
        <v>4093</v>
      </c>
      <c r="T7958" s="10" t="s">
        <v>66</v>
      </c>
      <c r="U7958" s="12" t="s">
        <v>31</v>
      </c>
      <c r="V7958" s="10" t="s">
        <v>95</v>
      </c>
      <c r="W7958" s="10" t="s">
        <v>49423</v>
      </c>
      <c r="X7958" s="13" t="str">
        <f>HYPERLINK("https://my.pitchbook.com?p=41724-46P","View People Online")</f>
        <v>View People Online</v>
      </c>
    </row>
    <row r="7959">
      <c r="A7959" s="14" t="s">
        <v>49439</v>
      </c>
      <c r="B7959" s="14" t="s">
        <v>49440</v>
      </c>
      <c r="C7959" s="14" t="s">
        <v>5071</v>
      </c>
      <c r="D7959" s="14" t="s">
        <v>28047</v>
      </c>
      <c r="E7959" s="14" t="s">
        <v>49423</v>
      </c>
      <c r="F7959" s="14" t="s">
        <v>318</v>
      </c>
      <c r="G7959" s="14" t="s">
        <v>49441</v>
      </c>
      <c r="H7959" s="15" t="s">
        <v>31</v>
      </c>
      <c r="I7959" s="15">
        <v>1.0</v>
      </c>
      <c r="J7959" s="15">
        <v>1.0</v>
      </c>
      <c r="K7959" s="15" t="s">
        <v>31</v>
      </c>
      <c r="L7959" s="16" t="s">
        <v>49442</v>
      </c>
      <c r="M7959" s="14" t="s">
        <v>49443</v>
      </c>
      <c r="N7959" s="14" t="s">
        <v>4088</v>
      </c>
      <c r="O7959" s="16" t="s">
        <v>4089</v>
      </c>
      <c r="P7959" s="14" t="s">
        <v>49427</v>
      </c>
      <c r="Q7959" s="14" t="s">
        <v>31</v>
      </c>
      <c r="R7959" s="14" t="s">
        <v>4092</v>
      </c>
      <c r="S7959" s="16" t="s">
        <v>4093</v>
      </c>
      <c r="T7959" s="14" t="s">
        <v>66</v>
      </c>
      <c r="U7959" s="16" t="s">
        <v>31</v>
      </c>
      <c r="V7959" s="14" t="s">
        <v>318</v>
      </c>
      <c r="W7959" s="14" t="s">
        <v>49423</v>
      </c>
      <c r="X7959" s="17" t="str">
        <f>HYPERLINK("https://my.pitchbook.com?p=315916-66P","View People Online")</f>
        <v>View People Online</v>
      </c>
    </row>
    <row r="7960">
      <c r="A7960" s="2" t="s">
        <v>49444</v>
      </c>
      <c r="B7960" s="2" t="s">
        <v>49445</v>
      </c>
      <c r="C7960" s="2" t="s">
        <v>1489</v>
      </c>
      <c r="D7960" s="2" t="s">
        <v>49446</v>
      </c>
      <c r="E7960" s="2" t="s">
        <v>49423</v>
      </c>
      <c r="F7960" s="2" t="s">
        <v>114</v>
      </c>
      <c r="G7960" s="2" t="s">
        <v>49447</v>
      </c>
      <c r="H7960" s="3" t="s">
        <v>31</v>
      </c>
      <c r="I7960" s="3">
        <v>1.0</v>
      </c>
      <c r="J7960" s="3">
        <v>1.0</v>
      </c>
      <c r="K7960" s="3" t="s">
        <v>31</v>
      </c>
      <c r="L7960" s="4" t="s">
        <v>31</v>
      </c>
      <c r="M7960" s="2" t="s">
        <v>31</v>
      </c>
      <c r="N7960" s="2" t="s">
        <v>4088</v>
      </c>
      <c r="O7960" s="4" t="s">
        <v>4089</v>
      </c>
      <c r="P7960" s="2" t="s">
        <v>49427</v>
      </c>
      <c r="Q7960" s="2" t="s">
        <v>31</v>
      </c>
      <c r="R7960" s="2" t="s">
        <v>4092</v>
      </c>
      <c r="S7960" s="4" t="s">
        <v>4093</v>
      </c>
      <c r="T7960" s="2" t="s">
        <v>66</v>
      </c>
      <c r="U7960" s="4" t="s">
        <v>31</v>
      </c>
      <c r="V7960" s="2" t="s">
        <v>114</v>
      </c>
      <c r="W7960" s="2" t="s">
        <v>49423</v>
      </c>
      <c r="X7960" s="5" t="str">
        <f>HYPERLINK("https://my.pitchbook.com?p=328814-29P","View People Online")</f>
        <v>View People Online</v>
      </c>
    </row>
    <row r="7961">
      <c r="A7961" s="6" t="s">
        <v>49448</v>
      </c>
      <c r="B7961" s="6" t="s">
        <v>49449</v>
      </c>
      <c r="C7961" s="6" t="s">
        <v>1502</v>
      </c>
      <c r="D7961" s="6" t="s">
        <v>214</v>
      </c>
      <c r="E7961" s="6" t="s">
        <v>49423</v>
      </c>
      <c r="F7961" s="6" t="s">
        <v>114</v>
      </c>
      <c r="G7961" s="6" t="s">
        <v>49450</v>
      </c>
      <c r="H7961" s="7" t="s">
        <v>31</v>
      </c>
      <c r="I7961" s="7">
        <v>1.0</v>
      </c>
      <c r="J7961" s="7">
        <v>1.0</v>
      </c>
      <c r="K7961" s="7" t="s">
        <v>31</v>
      </c>
      <c r="L7961" s="8" t="s">
        <v>31</v>
      </c>
      <c r="M7961" s="6" t="s">
        <v>31</v>
      </c>
      <c r="N7961" s="6" t="s">
        <v>4088</v>
      </c>
      <c r="O7961" s="8" t="s">
        <v>4089</v>
      </c>
      <c r="P7961" s="6" t="s">
        <v>49427</v>
      </c>
      <c r="Q7961" s="6" t="s">
        <v>31</v>
      </c>
      <c r="R7961" s="6" t="s">
        <v>4092</v>
      </c>
      <c r="S7961" s="8" t="s">
        <v>4093</v>
      </c>
      <c r="T7961" s="6" t="s">
        <v>66</v>
      </c>
      <c r="U7961" s="8" t="s">
        <v>31</v>
      </c>
      <c r="V7961" s="6" t="s">
        <v>114</v>
      </c>
      <c r="W7961" s="6" t="s">
        <v>49423</v>
      </c>
      <c r="X7961" s="9" t="str">
        <f>HYPERLINK("https://my.pitchbook.com?p=378172-81P","View People Online")</f>
        <v>View People Online</v>
      </c>
    </row>
    <row r="7962">
      <c r="A7962" s="10" t="s">
        <v>49451</v>
      </c>
      <c r="B7962" s="10" t="s">
        <v>49452</v>
      </c>
      <c r="C7962" s="10" t="s">
        <v>934</v>
      </c>
      <c r="D7962" s="10" t="s">
        <v>49453</v>
      </c>
      <c r="E7962" s="10" t="s">
        <v>49423</v>
      </c>
      <c r="F7962" s="10" t="s">
        <v>114</v>
      </c>
      <c r="G7962" s="10" t="s">
        <v>49454</v>
      </c>
      <c r="H7962" s="11">
        <v>1.0</v>
      </c>
      <c r="I7962" s="11">
        <v>5.0</v>
      </c>
      <c r="J7962" s="11">
        <v>2.0</v>
      </c>
      <c r="K7962" s="11">
        <v>2.0</v>
      </c>
      <c r="L7962" s="12" t="s">
        <v>49455</v>
      </c>
      <c r="M7962" s="10" t="s">
        <v>49456</v>
      </c>
      <c r="N7962" s="10" t="s">
        <v>1181</v>
      </c>
      <c r="O7962" s="12" t="s">
        <v>1182</v>
      </c>
      <c r="P7962" s="10" t="s">
        <v>31890</v>
      </c>
      <c r="Q7962" s="10" t="s">
        <v>31891</v>
      </c>
      <c r="R7962" s="10" t="s">
        <v>1185</v>
      </c>
      <c r="S7962" s="12" t="s">
        <v>6739</v>
      </c>
      <c r="T7962" s="10" t="s">
        <v>66</v>
      </c>
      <c r="U7962" s="12" t="s">
        <v>31</v>
      </c>
      <c r="V7962" s="10" t="s">
        <v>36315</v>
      </c>
      <c r="W7962" s="10" t="s">
        <v>31892</v>
      </c>
      <c r="X7962" s="13" t="str">
        <f>HYPERLINK("https://my.pitchbook.com?p=42273-55P","View People Online")</f>
        <v>View People Online</v>
      </c>
    </row>
    <row r="7963">
      <c r="A7963" s="6" t="s">
        <v>49457</v>
      </c>
      <c r="B7963" s="6" t="s">
        <v>49458</v>
      </c>
      <c r="C7963" s="6" t="s">
        <v>8042</v>
      </c>
      <c r="D7963" s="6" t="s">
        <v>22095</v>
      </c>
      <c r="E7963" s="6" t="s">
        <v>49423</v>
      </c>
      <c r="F7963" s="6" t="s">
        <v>114</v>
      </c>
      <c r="G7963" s="6" t="s">
        <v>49459</v>
      </c>
      <c r="H7963" s="7" t="s">
        <v>31</v>
      </c>
      <c r="I7963" s="7">
        <v>1.0</v>
      </c>
      <c r="J7963" s="7">
        <v>1.0</v>
      </c>
      <c r="K7963" s="7" t="s">
        <v>31</v>
      </c>
      <c r="L7963" s="8" t="s">
        <v>31</v>
      </c>
      <c r="M7963" s="6" t="s">
        <v>31</v>
      </c>
      <c r="N7963" s="6" t="s">
        <v>4088</v>
      </c>
      <c r="O7963" s="8" t="s">
        <v>4089</v>
      </c>
      <c r="P7963" s="6" t="s">
        <v>49427</v>
      </c>
      <c r="Q7963" s="6" t="s">
        <v>31</v>
      </c>
      <c r="R7963" s="6" t="s">
        <v>4092</v>
      </c>
      <c r="S7963" s="8" t="s">
        <v>4093</v>
      </c>
      <c r="T7963" s="6" t="s">
        <v>66</v>
      </c>
      <c r="U7963" s="8" t="s">
        <v>31</v>
      </c>
      <c r="V7963" s="6" t="s">
        <v>114</v>
      </c>
      <c r="W7963" s="6" t="s">
        <v>49423</v>
      </c>
      <c r="X7963" s="9" t="str">
        <f>HYPERLINK("https://my.pitchbook.com?p=279475-48P","View People Online")</f>
        <v>View People Online</v>
      </c>
    </row>
    <row r="7964">
      <c r="A7964" s="10" t="s">
        <v>49460</v>
      </c>
      <c r="B7964" s="10" t="s">
        <v>49461</v>
      </c>
      <c r="C7964" s="10" t="s">
        <v>536</v>
      </c>
      <c r="D7964" s="10" t="s">
        <v>27544</v>
      </c>
      <c r="E7964" s="10" t="s">
        <v>49423</v>
      </c>
      <c r="F7964" s="10" t="s">
        <v>29</v>
      </c>
      <c r="G7964" s="10" t="s">
        <v>49462</v>
      </c>
      <c r="H7964" s="11">
        <v>3.0</v>
      </c>
      <c r="I7964" s="11">
        <v>55.0</v>
      </c>
      <c r="J7964" s="11">
        <v>6.0</v>
      </c>
      <c r="K7964" s="11">
        <v>38.0</v>
      </c>
      <c r="L7964" s="12" t="s">
        <v>49463</v>
      </c>
      <c r="M7964" s="10" t="s">
        <v>49464</v>
      </c>
      <c r="N7964" s="10" t="s">
        <v>1181</v>
      </c>
      <c r="O7964" s="12" t="s">
        <v>1182</v>
      </c>
      <c r="P7964" s="10" t="s">
        <v>49465</v>
      </c>
      <c r="Q7964" s="10" t="s">
        <v>31</v>
      </c>
      <c r="R7964" s="10" t="s">
        <v>1185</v>
      </c>
      <c r="S7964" s="12" t="s">
        <v>6739</v>
      </c>
      <c r="T7964" s="10" t="s">
        <v>66</v>
      </c>
      <c r="U7964" s="12" t="s">
        <v>31</v>
      </c>
      <c r="V7964" s="10" t="s">
        <v>95</v>
      </c>
      <c r="W7964" s="10" t="s">
        <v>49466</v>
      </c>
      <c r="X7964" s="13" t="str">
        <f>HYPERLINK("https://my.pitchbook.com?p=35645-86P","View People Online")</f>
        <v>View People Online</v>
      </c>
    </row>
    <row r="7965">
      <c r="A7965" s="14" t="s">
        <v>49467</v>
      </c>
      <c r="B7965" s="14" t="s">
        <v>49468</v>
      </c>
      <c r="C7965" s="14" t="s">
        <v>49469</v>
      </c>
      <c r="D7965" s="14" t="s">
        <v>49470</v>
      </c>
      <c r="E7965" s="14" t="s">
        <v>49423</v>
      </c>
      <c r="F7965" s="14" t="s">
        <v>502</v>
      </c>
      <c r="G7965" s="14" t="s">
        <v>49471</v>
      </c>
      <c r="H7965" s="15" t="s">
        <v>31</v>
      </c>
      <c r="I7965" s="15">
        <v>1.0</v>
      </c>
      <c r="J7965" s="15">
        <v>1.0</v>
      </c>
      <c r="K7965" s="15" t="s">
        <v>31</v>
      </c>
      <c r="L7965" s="16" t="s">
        <v>31</v>
      </c>
      <c r="M7965" s="14" t="s">
        <v>49472</v>
      </c>
      <c r="N7965" s="14" t="s">
        <v>4088</v>
      </c>
      <c r="O7965" s="16" t="s">
        <v>4089</v>
      </c>
      <c r="P7965" s="14" t="s">
        <v>49427</v>
      </c>
      <c r="Q7965" s="14" t="s">
        <v>31</v>
      </c>
      <c r="R7965" s="14" t="s">
        <v>4092</v>
      </c>
      <c r="S7965" s="16" t="s">
        <v>4093</v>
      </c>
      <c r="T7965" s="14" t="s">
        <v>66</v>
      </c>
      <c r="U7965" s="16" t="s">
        <v>31</v>
      </c>
      <c r="V7965" s="14" t="s">
        <v>502</v>
      </c>
      <c r="W7965" s="14" t="s">
        <v>49423</v>
      </c>
      <c r="X7965" s="17" t="str">
        <f>HYPERLINK("https://my.pitchbook.com?p=428926-60P","View People Online")</f>
        <v>View People Online</v>
      </c>
    </row>
    <row r="7966">
      <c r="A7966" s="2" t="s">
        <v>49473</v>
      </c>
      <c r="B7966" s="2" t="s">
        <v>49474</v>
      </c>
      <c r="C7966" s="2" t="s">
        <v>4673</v>
      </c>
      <c r="D7966" s="2" t="s">
        <v>49475</v>
      </c>
      <c r="E7966" s="2" t="s">
        <v>49423</v>
      </c>
      <c r="F7966" s="2" t="s">
        <v>43</v>
      </c>
      <c r="G7966" s="2" t="s">
        <v>49476</v>
      </c>
      <c r="H7966" s="3" t="s">
        <v>31</v>
      </c>
      <c r="I7966" s="3">
        <v>4.0</v>
      </c>
      <c r="J7966" s="3">
        <v>1.0</v>
      </c>
      <c r="K7966" s="3">
        <v>1.0</v>
      </c>
      <c r="L7966" s="4" t="s">
        <v>31</v>
      </c>
      <c r="M7966" s="2" t="s">
        <v>49477</v>
      </c>
      <c r="N7966" s="2" t="s">
        <v>4088</v>
      </c>
      <c r="O7966" s="4" t="s">
        <v>4089</v>
      </c>
      <c r="P7966" s="2" t="s">
        <v>49427</v>
      </c>
      <c r="Q7966" s="2" t="s">
        <v>31</v>
      </c>
      <c r="R7966" s="2" t="s">
        <v>4092</v>
      </c>
      <c r="S7966" s="4" t="s">
        <v>4093</v>
      </c>
      <c r="T7966" s="2" t="s">
        <v>66</v>
      </c>
      <c r="U7966" s="4" t="s">
        <v>31</v>
      </c>
      <c r="V7966" s="2" t="s">
        <v>43</v>
      </c>
      <c r="W7966" s="2" t="s">
        <v>49423</v>
      </c>
      <c r="X7966" s="5" t="str">
        <f>HYPERLINK("https://my.pitchbook.com?p=328814-20P","View People Online")</f>
        <v>View People Online</v>
      </c>
    </row>
    <row r="7967">
      <c r="A7967" s="6" t="s">
        <v>49478</v>
      </c>
      <c r="B7967" s="6" t="s">
        <v>49479</v>
      </c>
      <c r="C7967" s="6" t="s">
        <v>1683</v>
      </c>
      <c r="D7967" s="6" t="s">
        <v>49480</v>
      </c>
      <c r="E7967" s="6" t="s">
        <v>49423</v>
      </c>
      <c r="F7967" s="6" t="s">
        <v>114</v>
      </c>
      <c r="G7967" s="6" t="s">
        <v>49481</v>
      </c>
      <c r="H7967" s="7" t="s">
        <v>31</v>
      </c>
      <c r="I7967" s="7">
        <v>1.0</v>
      </c>
      <c r="J7967" s="7">
        <v>1.0</v>
      </c>
      <c r="K7967" s="7" t="s">
        <v>31</v>
      </c>
      <c r="L7967" s="8" t="s">
        <v>31</v>
      </c>
      <c r="M7967" s="6" t="s">
        <v>31</v>
      </c>
      <c r="N7967" s="6" t="s">
        <v>4088</v>
      </c>
      <c r="O7967" s="8" t="s">
        <v>4089</v>
      </c>
      <c r="P7967" s="6" t="s">
        <v>49427</v>
      </c>
      <c r="Q7967" s="6" t="s">
        <v>31</v>
      </c>
      <c r="R7967" s="6" t="s">
        <v>4092</v>
      </c>
      <c r="S7967" s="8" t="s">
        <v>4093</v>
      </c>
      <c r="T7967" s="6" t="s">
        <v>66</v>
      </c>
      <c r="U7967" s="8" t="s">
        <v>31</v>
      </c>
      <c r="V7967" s="6" t="s">
        <v>114</v>
      </c>
      <c r="W7967" s="6" t="s">
        <v>49423</v>
      </c>
      <c r="X7967" s="9" t="str">
        <f>HYPERLINK("https://my.pitchbook.com?p=234483-40P","View People Online")</f>
        <v>View People Online</v>
      </c>
    </row>
    <row r="7968">
      <c r="A7968" s="2" t="s">
        <v>49482</v>
      </c>
      <c r="B7968" s="2" t="s">
        <v>49483</v>
      </c>
      <c r="C7968" s="2" t="s">
        <v>25331</v>
      </c>
      <c r="D7968" s="2" t="s">
        <v>5985</v>
      </c>
      <c r="E7968" s="2" t="s">
        <v>49423</v>
      </c>
      <c r="F7968" s="2" t="s">
        <v>114</v>
      </c>
      <c r="G7968" s="2" t="s">
        <v>49484</v>
      </c>
      <c r="H7968" s="3">
        <v>1.0</v>
      </c>
      <c r="I7968" s="3">
        <v>2.0</v>
      </c>
      <c r="J7968" s="3">
        <v>2.0</v>
      </c>
      <c r="K7968" s="3" t="s">
        <v>31</v>
      </c>
      <c r="L7968" s="4" t="s">
        <v>31</v>
      </c>
      <c r="M7968" s="2" t="s">
        <v>31</v>
      </c>
      <c r="N7968" s="2" t="s">
        <v>49485</v>
      </c>
      <c r="O7968" s="4" t="s">
        <v>49486</v>
      </c>
      <c r="P7968" s="2" t="s">
        <v>49487</v>
      </c>
      <c r="Q7968" s="2" t="s">
        <v>12673</v>
      </c>
      <c r="R7968" s="2" t="s">
        <v>7693</v>
      </c>
      <c r="S7968" s="4" t="s">
        <v>49488</v>
      </c>
      <c r="T7968" s="2" t="s">
        <v>66</v>
      </c>
      <c r="U7968" s="4" t="s">
        <v>31</v>
      </c>
      <c r="V7968" s="2" t="s">
        <v>49489</v>
      </c>
      <c r="W7968" s="2" t="s">
        <v>49490</v>
      </c>
      <c r="X7968" s="5" t="str">
        <f>HYPERLINK("https://my.pitchbook.com?p=68326-21P","View People Online")</f>
        <v>View People Online</v>
      </c>
    </row>
    <row r="7969">
      <c r="A7969" s="6" t="s">
        <v>49491</v>
      </c>
      <c r="B7969" s="6" t="s">
        <v>49492</v>
      </c>
      <c r="C7969" s="6" t="s">
        <v>49493</v>
      </c>
      <c r="D7969" s="6" t="s">
        <v>1323</v>
      </c>
      <c r="E7969" s="6" t="s">
        <v>49494</v>
      </c>
      <c r="F7969" s="6" t="s">
        <v>221</v>
      </c>
      <c r="G7969" s="6" t="s">
        <v>49495</v>
      </c>
      <c r="H7969" s="7" t="s">
        <v>31</v>
      </c>
      <c r="I7969" s="7">
        <v>2.0</v>
      </c>
      <c r="J7969" s="7">
        <v>1.0</v>
      </c>
      <c r="K7969" s="7" t="s">
        <v>31</v>
      </c>
      <c r="L7969" s="8" t="s">
        <v>49496</v>
      </c>
      <c r="M7969" s="6" t="s">
        <v>49497</v>
      </c>
      <c r="N7969" s="6" t="s">
        <v>4232</v>
      </c>
      <c r="O7969" s="8" t="s">
        <v>4233</v>
      </c>
      <c r="P7969" s="6" t="s">
        <v>47619</v>
      </c>
      <c r="Q7969" s="6" t="s">
        <v>49498</v>
      </c>
      <c r="R7969" s="6" t="s">
        <v>4236</v>
      </c>
      <c r="S7969" s="8" t="s">
        <v>27763</v>
      </c>
      <c r="T7969" s="6" t="s">
        <v>66</v>
      </c>
      <c r="U7969" s="8" t="s">
        <v>31</v>
      </c>
      <c r="V7969" s="6" t="s">
        <v>221</v>
      </c>
      <c r="W7969" s="6" t="s">
        <v>49494</v>
      </c>
      <c r="X7969" s="9" t="str">
        <f>HYPERLINK("https://my.pitchbook.com?p=303365-44P","View People Online")</f>
        <v>View People Online</v>
      </c>
    </row>
    <row r="7970">
      <c r="A7970" s="10" t="s">
        <v>49499</v>
      </c>
      <c r="B7970" s="10" t="s">
        <v>49500</v>
      </c>
      <c r="C7970" s="10" t="s">
        <v>49501</v>
      </c>
      <c r="D7970" s="10" t="s">
        <v>38453</v>
      </c>
      <c r="E7970" s="10" t="s">
        <v>49494</v>
      </c>
      <c r="F7970" s="10" t="s">
        <v>114</v>
      </c>
      <c r="G7970" s="10" t="s">
        <v>49502</v>
      </c>
      <c r="H7970" s="11" t="s">
        <v>31</v>
      </c>
      <c r="I7970" s="11">
        <v>12.0</v>
      </c>
      <c r="J7970" s="11">
        <v>3.0</v>
      </c>
      <c r="K7970" s="11">
        <v>5.0</v>
      </c>
      <c r="L7970" s="12" t="s">
        <v>49503</v>
      </c>
      <c r="M7970" s="10" t="s">
        <v>49504</v>
      </c>
      <c r="N7970" s="10" t="s">
        <v>1170</v>
      </c>
      <c r="O7970" s="12" t="s">
        <v>1171</v>
      </c>
      <c r="P7970" s="10" t="s">
        <v>49505</v>
      </c>
      <c r="Q7970" s="10" t="s">
        <v>13284</v>
      </c>
      <c r="R7970" s="10" t="s">
        <v>64</v>
      </c>
      <c r="S7970" s="12" t="s">
        <v>49506</v>
      </c>
      <c r="T7970" s="10" t="s">
        <v>66</v>
      </c>
      <c r="U7970" s="12" t="s">
        <v>31</v>
      </c>
      <c r="V7970" s="10" t="s">
        <v>10156</v>
      </c>
      <c r="W7970" s="10" t="s">
        <v>49507</v>
      </c>
      <c r="X7970" s="13" t="str">
        <f>HYPERLINK("https://my.pitchbook.com?p=99726-85P","View People Online")</f>
        <v>View People Online</v>
      </c>
    </row>
    <row r="7971">
      <c r="A7971" s="14" t="s">
        <v>49508</v>
      </c>
      <c r="B7971" s="14" t="s">
        <v>49509</v>
      </c>
      <c r="C7971" s="14" t="s">
        <v>49510</v>
      </c>
      <c r="D7971" s="14" t="s">
        <v>33320</v>
      </c>
      <c r="E7971" s="14" t="s">
        <v>49494</v>
      </c>
      <c r="F7971" s="14" t="s">
        <v>78</v>
      </c>
      <c r="G7971" s="14" t="s">
        <v>49511</v>
      </c>
      <c r="H7971" s="15" t="s">
        <v>31</v>
      </c>
      <c r="I7971" s="15">
        <v>4.0</v>
      </c>
      <c r="J7971" s="15">
        <v>1.0</v>
      </c>
      <c r="K7971" s="15">
        <v>1.0</v>
      </c>
      <c r="L7971" s="16" t="s">
        <v>49496</v>
      </c>
      <c r="M7971" s="14" t="s">
        <v>49512</v>
      </c>
      <c r="N7971" s="14" t="s">
        <v>4232</v>
      </c>
      <c r="O7971" s="16" t="s">
        <v>4233</v>
      </c>
      <c r="P7971" s="14" t="s">
        <v>47619</v>
      </c>
      <c r="Q7971" s="14" t="s">
        <v>49498</v>
      </c>
      <c r="R7971" s="14" t="s">
        <v>4236</v>
      </c>
      <c r="S7971" s="16" t="s">
        <v>27763</v>
      </c>
      <c r="T7971" s="14" t="s">
        <v>66</v>
      </c>
      <c r="U7971" s="16" t="s">
        <v>31</v>
      </c>
      <c r="V7971" s="14" t="s">
        <v>78</v>
      </c>
      <c r="W7971" s="14" t="s">
        <v>49494</v>
      </c>
      <c r="X7971" s="17" t="str">
        <f>HYPERLINK("https://my.pitchbook.com?p=202777-84P","View People Online")</f>
        <v>View People Online</v>
      </c>
    </row>
    <row r="7972">
      <c r="A7972" s="10" t="s">
        <v>49513</v>
      </c>
      <c r="B7972" s="10" t="s">
        <v>49514</v>
      </c>
      <c r="C7972" s="10" t="s">
        <v>4480</v>
      </c>
      <c r="D7972" s="10" t="s">
        <v>49515</v>
      </c>
      <c r="E7972" s="10" t="s">
        <v>49494</v>
      </c>
      <c r="F7972" s="10" t="s">
        <v>318</v>
      </c>
      <c r="G7972" s="10" t="s">
        <v>49516</v>
      </c>
      <c r="H7972" s="11" t="s">
        <v>31</v>
      </c>
      <c r="I7972" s="11">
        <v>3.0</v>
      </c>
      <c r="J7972" s="11">
        <v>1.0</v>
      </c>
      <c r="K7972" s="11">
        <v>2.0</v>
      </c>
      <c r="L7972" s="12" t="s">
        <v>49496</v>
      </c>
      <c r="M7972" s="10" t="s">
        <v>49517</v>
      </c>
      <c r="N7972" s="10" t="s">
        <v>4232</v>
      </c>
      <c r="O7972" s="12" t="s">
        <v>4233</v>
      </c>
      <c r="P7972" s="10" t="s">
        <v>47619</v>
      </c>
      <c r="Q7972" s="10" t="s">
        <v>49498</v>
      </c>
      <c r="R7972" s="10" t="s">
        <v>4236</v>
      </c>
      <c r="S7972" s="12" t="s">
        <v>27763</v>
      </c>
      <c r="T7972" s="10" t="s">
        <v>66</v>
      </c>
      <c r="U7972" s="12" t="s">
        <v>31</v>
      </c>
      <c r="V7972" s="10" t="s">
        <v>318</v>
      </c>
      <c r="W7972" s="10" t="s">
        <v>49494</v>
      </c>
      <c r="X7972" s="13" t="str">
        <f>HYPERLINK("https://my.pitchbook.com?p=224047-45P","View People Online")</f>
        <v>View People Online</v>
      </c>
    </row>
    <row r="7973">
      <c r="A7973" s="6" t="s">
        <v>49518</v>
      </c>
      <c r="B7973" s="6" t="s">
        <v>49519</v>
      </c>
      <c r="C7973" s="6" t="s">
        <v>20194</v>
      </c>
      <c r="D7973" s="6" t="s">
        <v>49520</v>
      </c>
      <c r="E7973" s="6" t="s">
        <v>49494</v>
      </c>
      <c r="F7973" s="6" t="s">
        <v>114</v>
      </c>
      <c r="G7973" s="6" t="s">
        <v>49521</v>
      </c>
      <c r="H7973" s="7" t="s">
        <v>31</v>
      </c>
      <c r="I7973" s="7">
        <v>3.0</v>
      </c>
      <c r="J7973" s="7">
        <v>2.0</v>
      </c>
      <c r="K7973" s="7" t="s">
        <v>31</v>
      </c>
      <c r="L7973" s="8" t="s">
        <v>49522</v>
      </c>
      <c r="M7973" s="6" t="s">
        <v>49523</v>
      </c>
      <c r="N7973" s="6" t="s">
        <v>4232</v>
      </c>
      <c r="O7973" s="8" t="s">
        <v>4233</v>
      </c>
      <c r="P7973" s="6" t="s">
        <v>49524</v>
      </c>
      <c r="Q7973" s="6" t="s">
        <v>49525</v>
      </c>
      <c r="R7973" s="6" t="s">
        <v>4236</v>
      </c>
      <c r="S7973" s="8" t="s">
        <v>47277</v>
      </c>
      <c r="T7973" s="6" t="s">
        <v>66</v>
      </c>
      <c r="U7973" s="8" t="s">
        <v>31</v>
      </c>
      <c r="V7973" s="6" t="s">
        <v>157</v>
      </c>
      <c r="W7973" s="6" t="s">
        <v>49526</v>
      </c>
      <c r="X7973" s="9" t="str">
        <f>HYPERLINK("https://my.pitchbook.com?p=294879-70P","View People Online")</f>
        <v>View People Online</v>
      </c>
    </row>
    <row r="7974">
      <c r="A7974" s="10" t="s">
        <v>49527</v>
      </c>
      <c r="B7974" s="10" t="s">
        <v>49528</v>
      </c>
      <c r="C7974" s="10" t="s">
        <v>907</v>
      </c>
      <c r="D7974" s="10" t="s">
        <v>33320</v>
      </c>
      <c r="E7974" s="10" t="s">
        <v>49494</v>
      </c>
      <c r="F7974" s="10" t="s">
        <v>43</v>
      </c>
      <c r="G7974" s="10" t="s">
        <v>49529</v>
      </c>
      <c r="H7974" s="11">
        <v>3.0</v>
      </c>
      <c r="I7974" s="11">
        <v>27.0</v>
      </c>
      <c r="J7974" s="11">
        <v>2.0</v>
      </c>
      <c r="K7974" s="11">
        <v>20.0</v>
      </c>
      <c r="L7974" s="12" t="s">
        <v>49496</v>
      </c>
      <c r="M7974" s="10" t="s">
        <v>49530</v>
      </c>
      <c r="N7974" s="10" t="s">
        <v>4232</v>
      </c>
      <c r="O7974" s="12" t="s">
        <v>4233</v>
      </c>
      <c r="P7974" s="10" t="s">
        <v>47619</v>
      </c>
      <c r="Q7974" s="10" t="s">
        <v>49498</v>
      </c>
      <c r="R7974" s="10" t="s">
        <v>4236</v>
      </c>
      <c r="S7974" s="12" t="s">
        <v>27763</v>
      </c>
      <c r="T7974" s="10" t="s">
        <v>66</v>
      </c>
      <c r="U7974" s="12" t="s">
        <v>31</v>
      </c>
      <c r="V7974" s="10" t="s">
        <v>43</v>
      </c>
      <c r="W7974" s="10" t="s">
        <v>49494</v>
      </c>
      <c r="X7974" s="13" t="str">
        <f>HYPERLINK("https://my.pitchbook.com?p=116875-18P","View People Online")</f>
        <v>View People Online</v>
      </c>
    </row>
    <row r="7975">
      <c r="A7975" s="14" t="s">
        <v>49531</v>
      </c>
      <c r="B7975" s="14" t="s">
        <v>49532</v>
      </c>
      <c r="C7975" s="14" t="s">
        <v>49533</v>
      </c>
      <c r="D7975" s="14" t="s">
        <v>27348</v>
      </c>
      <c r="E7975" s="14" t="s">
        <v>49494</v>
      </c>
      <c r="F7975" s="14" t="s">
        <v>667</v>
      </c>
      <c r="G7975" s="14" t="s">
        <v>49534</v>
      </c>
      <c r="H7975" s="15" t="s">
        <v>31</v>
      </c>
      <c r="I7975" s="15">
        <v>1.0</v>
      </c>
      <c r="J7975" s="15">
        <v>1.0</v>
      </c>
      <c r="K7975" s="15" t="s">
        <v>31</v>
      </c>
      <c r="L7975" s="16" t="s">
        <v>49496</v>
      </c>
      <c r="M7975" s="14" t="s">
        <v>49535</v>
      </c>
      <c r="N7975" s="14" t="s">
        <v>4232</v>
      </c>
      <c r="O7975" s="16" t="s">
        <v>4233</v>
      </c>
      <c r="P7975" s="14" t="s">
        <v>47619</v>
      </c>
      <c r="Q7975" s="14" t="s">
        <v>49498</v>
      </c>
      <c r="R7975" s="14" t="s">
        <v>4236</v>
      </c>
      <c r="S7975" s="16" t="s">
        <v>27763</v>
      </c>
      <c r="T7975" s="14" t="s">
        <v>66</v>
      </c>
      <c r="U7975" s="16" t="s">
        <v>31</v>
      </c>
      <c r="V7975" s="14" t="s">
        <v>667</v>
      </c>
      <c r="W7975" s="14" t="s">
        <v>49494</v>
      </c>
      <c r="X7975" s="17" t="str">
        <f>HYPERLINK("https://my.pitchbook.com?p=423267-22P","View People Online")</f>
        <v>View People Online</v>
      </c>
    </row>
    <row r="7976">
      <c r="A7976" s="2" t="s">
        <v>49536</v>
      </c>
      <c r="B7976" s="2" t="s">
        <v>49537</v>
      </c>
      <c r="C7976" s="2" t="s">
        <v>7267</v>
      </c>
      <c r="D7976" s="2" t="s">
        <v>11737</v>
      </c>
      <c r="E7976" s="2" t="s">
        <v>49538</v>
      </c>
      <c r="F7976" s="2" t="s">
        <v>470</v>
      </c>
      <c r="G7976" s="2" t="s">
        <v>49539</v>
      </c>
      <c r="H7976" s="3" t="s">
        <v>31</v>
      </c>
      <c r="I7976" s="3">
        <v>2.0</v>
      </c>
      <c r="J7976" s="3">
        <v>2.0</v>
      </c>
      <c r="K7976" s="3" t="s">
        <v>31</v>
      </c>
      <c r="L7976" s="4" t="s">
        <v>49540</v>
      </c>
      <c r="M7976" s="2" t="s">
        <v>49541</v>
      </c>
      <c r="N7976" s="2" t="s">
        <v>75</v>
      </c>
      <c r="O7976" s="4" t="s">
        <v>76</v>
      </c>
      <c r="P7976" s="2" t="s">
        <v>37920</v>
      </c>
      <c r="Q7976" s="2" t="s">
        <v>49542</v>
      </c>
      <c r="R7976" s="2" t="s">
        <v>75</v>
      </c>
      <c r="S7976" s="4" t="s">
        <v>49543</v>
      </c>
      <c r="T7976" s="2" t="s">
        <v>66</v>
      </c>
      <c r="U7976" s="4" t="s">
        <v>31</v>
      </c>
      <c r="V7976" s="2" t="s">
        <v>502</v>
      </c>
      <c r="W7976" s="2" t="s">
        <v>49544</v>
      </c>
      <c r="X7976" s="5" t="str">
        <f>HYPERLINK("https://my.pitchbook.com?p=65766-43P","View People Online")</f>
        <v>View People Online</v>
      </c>
    </row>
    <row r="7977">
      <c r="A7977" s="14" t="s">
        <v>49545</v>
      </c>
      <c r="B7977" s="14" t="s">
        <v>49546</v>
      </c>
      <c r="C7977" s="14" t="s">
        <v>4210</v>
      </c>
      <c r="D7977" s="14" t="s">
        <v>214</v>
      </c>
      <c r="E7977" s="14" t="s">
        <v>49538</v>
      </c>
      <c r="F7977" s="14" t="s">
        <v>270</v>
      </c>
      <c r="G7977" s="14" t="s">
        <v>49547</v>
      </c>
      <c r="H7977" s="15" t="s">
        <v>31</v>
      </c>
      <c r="I7977" s="15">
        <v>2.0</v>
      </c>
      <c r="J7977" s="15">
        <v>2.0</v>
      </c>
      <c r="K7977" s="15" t="s">
        <v>31</v>
      </c>
      <c r="L7977" s="16" t="s">
        <v>42803</v>
      </c>
      <c r="M7977" s="14" t="s">
        <v>49548</v>
      </c>
      <c r="N7977" s="14" t="s">
        <v>42804</v>
      </c>
      <c r="O7977" s="16" t="s">
        <v>42805</v>
      </c>
      <c r="P7977" s="14" t="s">
        <v>42806</v>
      </c>
      <c r="Q7977" s="14" t="s">
        <v>1280</v>
      </c>
      <c r="R7977" s="14" t="s">
        <v>4236</v>
      </c>
      <c r="S7977" s="16" t="s">
        <v>42807</v>
      </c>
      <c r="T7977" s="14" t="s">
        <v>66</v>
      </c>
      <c r="U7977" s="16" t="s">
        <v>31</v>
      </c>
      <c r="V7977" s="14" t="s">
        <v>10197</v>
      </c>
      <c r="W7977" s="14" t="s">
        <v>42808</v>
      </c>
      <c r="X7977" s="17" t="str">
        <f>HYPERLINK("https://my.pitchbook.com?p=385297-39P","View People Online")</f>
        <v>View People Online</v>
      </c>
    </row>
    <row r="7978">
      <c r="A7978" s="2" t="s">
        <v>49549</v>
      </c>
      <c r="B7978" s="2" t="s">
        <v>49550</v>
      </c>
      <c r="C7978" s="2" t="s">
        <v>1449</v>
      </c>
      <c r="D7978" s="2" t="s">
        <v>14385</v>
      </c>
      <c r="E7978" s="2" t="s">
        <v>49538</v>
      </c>
      <c r="F7978" s="2" t="s">
        <v>2590</v>
      </c>
      <c r="G7978" s="2" t="s">
        <v>49551</v>
      </c>
      <c r="H7978" s="3">
        <v>2.0</v>
      </c>
      <c r="I7978" s="3">
        <v>3.0</v>
      </c>
      <c r="J7978" s="3">
        <v>1.0</v>
      </c>
      <c r="K7978" s="3" t="s">
        <v>31</v>
      </c>
      <c r="L7978" s="4" t="s">
        <v>49540</v>
      </c>
      <c r="M7978" s="2" t="s">
        <v>49552</v>
      </c>
      <c r="N7978" s="2" t="s">
        <v>75</v>
      </c>
      <c r="O7978" s="4" t="s">
        <v>76</v>
      </c>
      <c r="P7978" s="2" t="s">
        <v>37920</v>
      </c>
      <c r="Q7978" s="2" t="s">
        <v>49542</v>
      </c>
      <c r="R7978" s="2" t="s">
        <v>75</v>
      </c>
      <c r="S7978" s="4" t="s">
        <v>49543</v>
      </c>
      <c r="T7978" s="2" t="s">
        <v>66</v>
      </c>
      <c r="U7978" s="4" t="s">
        <v>31</v>
      </c>
      <c r="V7978" s="2" t="s">
        <v>37607</v>
      </c>
      <c r="W7978" s="2" t="s">
        <v>49538</v>
      </c>
      <c r="X7978" s="5" t="str">
        <f>HYPERLINK("https://my.pitchbook.com?p=130261-78P","View People Online")</f>
        <v>View People Online</v>
      </c>
    </row>
    <row r="7979">
      <c r="A7979" s="6" t="s">
        <v>49553</v>
      </c>
      <c r="B7979" s="6" t="s">
        <v>49554</v>
      </c>
      <c r="C7979" s="6" t="s">
        <v>4320</v>
      </c>
      <c r="D7979" s="6" t="s">
        <v>49555</v>
      </c>
      <c r="E7979" s="6" t="s">
        <v>49538</v>
      </c>
      <c r="F7979" s="6" t="s">
        <v>270</v>
      </c>
      <c r="G7979" s="6" t="s">
        <v>49556</v>
      </c>
      <c r="H7979" s="7" t="s">
        <v>31</v>
      </c>
      <c r="I7979" s="7">
        <v>2.0</v>
      </c>
      <c r="J7979" s="7">
        <v>1.0</v>
      </c>
      <c r="K7979" s="7">
        <v>1.0</v>
      </c>
      <c r="L7979" s="8" t="s">
        <v>49540</v>
      </c>
      <c r="M7979" s="6" t="s">
        <v>49557</v>
      </c>
      <c r="N7979" s="6" t="s">
        <v>75</v>
      </c>
      <c r="O7979" s="8" t="s">
        <v>76</v>
      </c>
      <c r="P7979" s="6" t="s">
        <v>37920</v>
      </c>
      <c r="Q7979" s="6" t="s">
        <v>49542</v>
      </c>
      <c r="R7979" s="6" t="s">
        <v>75</v>
      </c>
      <c r="S7979" s="8" t="s">
        <v>49543</v>
      </c>
      <c r="T7979" s="6" t="s">
        <v>66</v>
      </c>
      <c r="U7979" s="8" t="s">
        <v>31</v>
      </c>
      <c r="V7979" s="6" t="s">
        <v>49558</v>
      </c>
      <c r="W7979" s="6" t="s">
        <v>49538</v>
      </c>
      <c r="X7979" s="9" t="str">
        <f>HYPERLINK("https://my.pitchbook.com?p=209021-59P","View People Online")</f>
        <v>View People Online</v>
      </c>
    </row>
    <row r="7980">
      <c r="A7980" s="10" t="s">
        <v>49559</v>
      </c>
      <c r="B7980" s="10" t="s">
        <v>49560</v>
      </c>
      <c r="C7980" s="10" t="s">
        <v>38977</v>
      </c>
      <c r="D7980" s="10" t="s">
        <v>49561</v>
      </c>
      <c r="E7980" s="10" t="s">
        <v>49538</v>
      </c>
      <c r="F7980" s="10" t="s">
        <v>2156</v>
      </c>
      <c r="G7980" s="10" t="s">
        <v>49562</v>
      </c>
      <c r="H7980" s="11" t="s">
        <v>31</v>
      </c>
      <c r="I7980" s="11">
        <v>2.0</v>
      </c>
      <c r="J7980" s="11">
        <v>2.0</v>
      </c>
      <c r="K7980" s="11" t="s">
        <v>31</v>
      </c>
      <c r="L7980" s="12" t="s">
        <v>49563</v>
      </c>
      <c r="M7980" s="10" t="s">
        <v>49564</v>
      </c>
      <c r="N7980" s="10" t="s">
        <v>75</v>
      </c>
      <c r="O7980" s="12" t="s">
        <v>76</v>
      </c>
      <c r="P7980" s="10" t="s">
        <v>37920</v>
      </c>
      <c r="Q7980" s="10" t="s">
        <v>49542</v>
      </c>
      <c r="R7980" s="10" t="s">
        <v>75</v>
      </c>
      <c r="S7980" s="12" t="s">
        <v>49543</v>
      </c>
      <c r="T7980" s="10" t="s">
        <v>66</v>
      </c>
      <c r="U7980" s="12" t="s">
        <v>31</v>
      </c>
      <c r="V7980" s="10" t="s">
        <v>2156</v>
      </c>
      <c r="W7980" s="10" t="s">
        <v>49538</v>
      </c>
      <c r="X7980" s="13" t="str">
        <f>HYPERLINK("https://my.pitchbook.com?p=181902-70P","View People Online")</f>
        <v>View People Online</v>
      </c>
    </row>
    <row r="7981">
      <c r="A7981" s="6" t="s">
        <v>49565</v>
      </c>
      <c r="B7981" s="6" t="s">
        <v>49566</v>
      </c>
      <c r="C7981" s="6" t="s">
        <v>36992</v>
      </c>
      <c r="D7981" s="6" t="s">
        <v>10601</v>
      </c>
      <c r="E7981" s="6" t="s">
        <v>49538</v>
      </c>
      <c r="F7981" s="6" t="s">
        <v>270</v>
      </c>
      <c r="G7981" s="6" t="s">
        <v>49567</v>
      </c>
      <c r="H7981" s="7" t="s">
        <v>31</v>
      </c>
      <c r="I7981" s="7">
        <v>1.0</v>
      </c>
      <c r="J7981" s="7">
        <v>1.0</v>
      </c>
      <c r="K7981" s="7" t="s">
        <v>31</v>
      </c>
      <c r="L7981" s="8" t="s">
        <v>49540</v>
      </c>
      <c r="M7981" s="6" t="s">
        <v>49568</v>
      </c>
      <c r="N7981" s="6" t="s">
        <v>75</v>
      </c>
      <c r="O7981" s="8" t="s">
        <v>76</v>
      </c>
      <c r="P7981" s="6" t="s">
        <v>37920</v>
      </c>
      <c r="Q7981" s="6" t="s">
        <v>49542</v>
      </c>
      <c r="R7981" s="6" t="s">
        <v>75</v>
      </c>
      <c r="S7981" s="8" t="s">
        <v>49543</v>
      </c>
      <c r="T7981" s="6" t="s">
        <v>66</v>
      </c>
      <c r="U7981" s="8" t="s">
        <v>31</v>
      </c>
      <c r="V7981" s="6" t="s">
        <v>13081</v>
      </c>
      <c r="W7981" s="6" t="s">
        <v>49538</v>
      </c>
      <c r="X7981" s="9" t="str">
        <f>HYPERLINK("https://my.pitchbook.com?p=118929-61P","View People Online")</f>
        <v>View People Online</v>
      </c>
    </row>
    <row r="7982">
      <c r="A7982" s="10" t="s">
        <v>49569</v>
      </c>
      <c r="B7982" s="10" t="s">
        <v>49570</v>
      </c>
      <c r="C7982" s="10" t="s">
        <v>3716</v>
      </c>
      <c r="D7982" s="10" t="s">
        <v>200</v>
      </c>
      <c r="E7982" s="10" t="s">
        <v>49538</v>
      </c>
      <c r="F7982" s="10" t="s">
        <v>4592</v>
      </c>
      <c r="G7982" s="10" t="s">
        <v>49571</v>
      </c>
      <c r="H7982" s="11">
        <v>2.0</v>
      </c>
      <c r="I7982" s="11">
        <v>3.0</v>
      </c>
      <c r="J7982" s="11">
        <v>2.0</v>
      </c>
      <c r="K7982" s="11">
        <v>1.0</v>
      </c>
      <c r="L7982" s="12" t="s">
        <v>49540</v>
      </c>
      <c r="M7982" s="10" t="s">
        <v>49572</v>
      </c>
      <c r="N7982" s="10" t="s">
        <v>75</v>
      </c>
      <c r="O7982" s="12" t="s">
        <v>76</v>
      </c>
      <c r="P7982" s="10" t="s">
        <v>37920</v>
      </c>
      <c r="Q7982" s="10" t="s">
        <v>49542</v>
      </c>
      <c r="R7982" s="10" t="s">
        <v>75</v>
      </c>
      <c r="S7982" s="12" t="s">
        <v>49543</v>
      </c>
      <c r="T7982" s="10" t="s">
        <v>66</v>
      </c>
      <c r="U7982" s="12" t="s">
        <v>31</v>
      </c>
      <c r="V7982" s="10" t="s">
        <v>49573</v>
      </c>
      <c r="W7982" s="10" t="s">
        <v>49538</v>
      </c>
      <c r="X7982" s="13" t="str">
        <f>HYPERLINK("https://my.pitchbook.com?p=141358-78P","View People Online")</f>
        <v>View People Online</v>
      </c>
    </row>
    <row r="7983">
      <c r="A7983" s="6" t="s">
        <v>49574</v>
      </c>
      <c r="B7983" s="6" t="s">
        <v>49575</v>
      </c>
      <c r="C7983" s="6" t="s">
        <v>41312</v>
      </c>
      <c r="D7983" s="6" t="s">
        <v>13655</v>
      </c>
      <c r="E7983" s="6" t="s">
        <v>49576</v>
      </c>
      <c r="F7983" s="6" t="s">
        <v>2731</v>
      </c>
      <c r="G7983" s="6" t="s">
        <v>49577</v>
      </c>
      <c r="H7983" s="7" t="s">
        <v>31</v>
      </c>
      <c r="I7983" s="7">
        <v>1.0</v>
      </c>
      <c r="J7983" s="7" t="s">
        <v>31</v>
      </c>
      <c r="K7983" s="7" t="s">
        <v>31</v>
      </c>
      <c r="L7983" s="8" t="s">
        <v>49578</v>
      </c>
      <c r="M7983" s="6" t="s">
        <v>49579</v>
      </c>
      <c r="N7983" s="6" t="s">
        <v>44950</v>
      </c>
      <c r="O7983" s="8" t="s">
        <v>44951</v>
      </c>
      <c r="P7983" s="6" t="s">
        <v>49580</v>
      </c>
      <c r="Q7983" s="6" t="s">
        <v>49581</v>
      </c>
      <c r="R7983" s="6" t="s">
        <v>75</v>
      </c>
      <c r="S7983" s="8" t="s">
        <v>44953</v>
      </c>
      <c r="T7983" s="6" t="s">
        <v>66</v>
      </c>
      <c r="U7983" s="8" t="s">
        <v>49582</v>
      </c>
      <c r="V7983" s="6" t="s">
        <v>49583</v>
      </c>
      <c r="W7983" s="6" t="s">
        <v>49576</v>
      </c>
      <c r="X7983" s="9" t="str">
        <f>HYPERLINK("https://my.pitchbook.com?p=228165-04P","View People Online")</f>
        <v>View People Online</v>
      </c>
    </row>
    <row r="7984">
      <c r="A7984" s="2" t="s">
        <v>49584</v>
      </c>
      <c r="B7984" s="2" t="s">
        <v>49585</v>
      </c>
      <c r="C7984" s="2" t="s">
        <v>1437</v>
      </c>
      <c r="D7984" s="2" t="s">
        <v>49586</v>
      </c>
      <c r="E7984" s="2" t="s">
        <v>49576</v>
      </c>
      <c r="F7984" s="2" t="s">
        <v>1801</v>
      </c>
      <c r="G7984" s="2" t="s">
        <v>49587</v>
      </c>
      <c r="H7984" s="3" t="s">
        <v>31</v>
      </c>
      <c r="I7984" s="3">
        <v>1.0</v>
      </c>
      <c r="J7984" s="3">
        <v>1.0</v>
      </c>
      <c r="K7984" s="3" t="s">
        <v>31</v>
      </c>
      <c r="L7984" s="4" t="s">
        <v>49588</v>
      </c>
      <c r="M7984" s="2" t="s">
        <v>49589</v>
      </c>
      <c r="N7984" s="2" t="s">
        <v>44950</v>
      </c>
      <c r="O7984" s="4" t="s">
        <v>44951</v>
      </c>
      <c r="P7984" s="2" t="s">
        <v>49580</v>
      </c>
      <c r="Q7984" s="2" t="s">
        <v>49581</v>
      </c>
      <c r="R7984" s="2" t="s">
        <v>75</v>
      </c>
      <c r="S7984" s="4" t="s">
        <v>44953</v>
      </c>
      <c r="T7984" s="2" t="s">
        <v>66</v>
      </c>
      <c r="U7984" s="4" t="s">
        <v>49582</v>
      </c>
      <c r="V7984" s="2" t="s">
        <v>49590</v>
      </c>
      <c r="W7984" s="2" t="s">
        <v>49576</v>
      </c>
      <c r="X7984" s="5" t="str">
        <f>HYPERLINK("https://my.pitchbook.com?p=259117-48P","View People Online")</f>
        <v>View People Online</v>
      </c>
    </row>
    <row r="7985">
      <c r="A7985" s="6" t="s">
        <v>49591</v>
      </c>
      <c r="B7985" s="6" t="s">
        <v>49592</v>
      </c>
      <c r="C7985" s="6" t="s">
        <v>24674</v>
      </c>
      <c r="D7985" s="6" t="s">
        <v>49593</v>
      </c>
      <c r="E7985" s="6" t="s">
        <v>49576</v>
      </c>
      <c r="F7985" s="6" t="s">
        <v>1801</v>
      </c>
      <c r="G7985" s="6" t="s">
        <v>49594</v>
      </c>
      <c r="H7985" s="7" t="s">
        <v>31</v>
      </c>
      <c r="I7985" s="7">
        <v>1.0</v>
      </c>
      <c r="J7985" s="7">
        <v>1.0</v>
      </c>
      <c r="K7985" s="7" t="s">
        <v>31</v>
      </c>
      <c r="L7985" s="8" t="s">
        <v>49578</v>
      </c>
      <c r="M7985" s="6" t="s">
        <v>49595</v>
      </c>
      <c r="N7985" s="6" t="s">
        <v>44950</v>
      </c>
      <c r="O7985" s="8" t="s">
        <v>44951</v>
      </c>
      <c r="P7985" s="6" t="s">
        <v>49580</v>
      </c>
      <c r="Q7985" s="6" t="s">
        <v>49581</v>
      </c>
      <c r="R7985" s="6" t="s">
        <v>75</v>
      </c>
      <c r="S7985" s="8" t="s">
        <v>44953</v>
      </c>
      <c r="T7985" s="6" t="s">
        <v>66</v>
      </c>
      <c r="U7985" s="8" t="s">
        <v>49582</v>
      </c>
      <c r="V7985" s="6" t="s">
        <v>49596</v>
      </c>
      <c r="W7985" s="6" t="s">
        <v>49576</v>
      </c>
      <c r="X7985" s="9" t="str">
        <f>HYPERLINK("https://my.pitchbook.com?p=228197-53P","View People Online")</f>
        <v>View People Online</v>
      </c>
    </row>
    <row r="7986">
      <c r="A7986" s="2" t="s">
        <v>49597</v>
      </c>
      <c r="B7986" s="2" t="s">
        <v>49598</v>
      </c>
      <c r="C7986" s="2" t="s">
        <v>39302</v>
      </c>
      <c r="D7986" s="2" t="s">
        <v>1994</v>
      </c>
      <c r="E7986" s="2" t="s">
        <v>49576</v>
      </c>
      <c r="F7986" s="2" t="s">
        <v>5234</v>
      </c>
      <c r="G7986" s="2" t="s">
        <v>49599</v>
      </c>
      <c r="H7986" s="3" t="s">
        <v>31</v>
      </c>
      <c r="I7986" s="3">
        <v>2.0</v>
      </c>
      <c r="J7986" s="3">
        <v>2.0</v>
      </c>
      <c r="K7986" s="3" t="s">
        <v>31</v>
      </c>
      <c r="L7986" s="4" t="s">
        <v>49578</v>
      </c>
      <c r="M7986" s="2" t="s">
        <v>31</v>
      </c>
      <c r="N7986" s="2" t="s">
        <v>44950</v>
      </c>
      <c r="O7986" s="4" t="s">
        <v>44951</v>
      </c>
      <c r="P7986" s="2" t="s">
        <v>49580</v>
      </c>
      <c r="Q7986" s="2" t="s">
        <v>49581</v>
      </c>
      <c r="R7986" s="2" t="s">
        <v>75</v>
      </c>
      <c r="S7986" s="4" t="s">
        <v>44953</v>
      </c>
      <c r="T7986" s="2" t="s">
        <v>66</v>
      </c>
      <c r="U7986" s="4" t="s">
        <v>49582</v>
      </c>
      <c r="V7986" s="2" t="s">
        <v>5234</v>
      </c>
      <c r="W7986" s="2" t="s">
        <v>49600</v>
      </c>
      <c r="X7986" s="5" t="str">
        <f>HYPERLINK("https://my.pitchbook.com?p=103230-82P","View People Online")</f>
        <v>View People Online</v>
      </c>
    </row>
    <row r="7987">
      <c r="A7987" s="14" t="s">
        <v>49601</v>
      </c>
      <c r="B7987" s="14" t="s">
        <v>49602</v>
      </c>
      <c r="C7987" s="14" t="s">
        <v>8956</v>
      </c>
      <c r="D7987" s="14" t="s">
        <v>49603</v>
      </c>
      <c r="E7987" s="14" t="s">
        <v>49576</v>
      </c>
      <c r="F7987" s="14" t="s">
        <v>5787</v>
      </c>
      <c r="G7987" s="14" t="s">
        <v>49604</v>
      </c>
      <c r="H7987" s="15" t="s">
        <v>31</v>
      </c>
      <c r="I7987" s="15">
        <v>1.0</v>
      </c>
      <c r="J7987" s="15">
        <v>1.0</v>
      </c>
      <c r="K7987" s="15" t="s">
        <v>31</v>
      </c>
      <c r="L7987" s="16" t="s">
        <v>49605</v>
      </c>
      <c r="M7987" s="14" t="s">
        <v>49606</v>
      </c>
      <c r="N7987" s="14" t="s">
        <v>44950</v>
      </c>
      <c r="O7987" s="16" t="s">
        <v>44951</v>
      </c>
      <c r="P7987" s="14" t="s">
        <v>49580</v>
      </c>
      <c r="Q7987" s="14" t="s">
        <v>49581</v>
      </c>
      <c r="R7987" s="14" t="s">
        <v>75</v>
      </c>
      <c r="S7987" s="16" t="s">
        <v>44953</v>
      </c>
      <c r="T7987" s="14" t="s">
        <v>66</v>
      </c>
      <c r="U7987" s="16" t="s">
        <v>49582</v>
      </c>
      <c r="V7987" s="14" t="s">
        <v>49607</v>
      </c>
      <c r="W7987" s="14" t="s">
        <v>49576</v>
      </c>
      <c r="X7987" s="17" t="str">
        <f>HYPERLINK("https://my.pitchbook.com?p=259073-74P","View People Online")</f>
        <v>View People Online</v>
      </c>
    </row>
    <row r="7988">
      <c r="A7988" s="10" t="s">
        <v>49608</v>
      </c>
      <c r="B7988" s="10" t="s">
        <v>49609</v>
      </c>
      <c r="C7988" s="10" t="s">
        <v>823</v>
      </c>
      <c r="D7988" s="10" t="s">
        <v>49610</v>
      </c>
      <c r="E7988" s="10" t="s">
        <v>49576</v>
      </c>
      <c r="F7988" s="10" t="s">
        <v>583</v>
      </c>
      <c r="G7988" s="10" t="s">
        <v>49611</v>
      </c>
      <c r="H7988" s="11" t="s">
        <v>31</v>
      </c>
      <c r="I7988" s="11">
        <v>5.0</v>
      </c>
      <c r="J7988" s="11">
        <v>2.0</v>
      </c>
      <c r="K7988" s="11">
        <v>2.0</v>
      </c>
      <c r="L7988" s="12" t="s">
        <v>49578</v>
      </c>
      <c r="M7988" s="10" t="s">
        <v>49612</v>
      </c>
      <c r="N7988" s="10" t="s">
        <v>44950</v>
      </c>
      <c r="O7988" s="12" t="s">
        <v>44951</v>
      </c>
      <c r="P7988" s="10" t="s">
        <v>49580</v>
      </c>
      <c r="Q7988" s="10" t="s">
        <v>49581</v>
      </c>
      <c r="R7988" s="10" t="s">
        <v>75</v>
      </c>
      <c r="S7988" s="12" t="s">
        <v>44953</v>
      </c>
      <c r="T7988" s="10" t="s">
        <v>66</v>
      </c>
      <c r="U7988" s="12" t="s">
        <v>49582</v>
      </c>
      <c r="V7988" s="10" t="s">
        <v>583</v>
      </c>
      <c r="W7988" s="10" t="s">
        <v>49576</v>
      </c>
      <c r="X7988" s="13" t="str">
        <f>HYPERLINK("https://my.pitchbook.com?p=47618-92P","View People Online")</f>
        <v>View People Online</v>
      </c>
    </row>
    <row r="7989">
      <c r="A7989" s="14" t="s">
        <v>49613</v>
      </c>
      <c r="B7989" s="14" t="s">
        <v>49614</v>
      </c>
      <c r="C7989" s="14" t="s">
        <v>126</v>
      </c>
      <c r="D7989" s="14" t="s">
        <v>49615</v>
      </c>
      <c r="E7989" s="14" t="s">
        <v>49576</v>
      </c>
      <c r="F7989" s="14" t="s">
        <v>2731</v>
      </c>
      <c r="G7989" s="14" t="s">
        <v>49616</v>
      </c>
      <c r="H7989" s="15" t="s">
        <v>31</v>
      </c>
      <c r="I7989" s="15">
        <v>1.0</v>
      </c>
      <c r="J7989" s="15" t="s">
        <v>31</v>
      </c>
      <c r="K7989" s="15" t="s">
        <v>31</v>
      </c>
      <c r="L7989" s="16" t="s">
        <v>49578</v>
      </c>
      <c r="M7989" s="14" t="s">
        <v>49617</v>
      </c>
      <c r="N7989" s="14" t="s">
        <v>44950</v>
      </c>
      <c r="O7989" s="16" t="s">
        <v>44951</v>
      </c>
      <c r="P7989" s="14" t="s">
        <v>49580</v>
      </c>
      <c r="Q7989" s="14" t="s">
        <v>49581</v>
      </c>
      <c r="R7989" s="14" t="s">
        <v>75</v>
      </c>
      <c r="S7989" s="16" t="s">
        <v>44953</v>
      </c>
      <c r="T7989" s="14" t="s">
        <v>66</v>
      </c>
      <c r="U7989" s="16" t="s">
        <v>49582</v>
      </c>
      <c r="V7989" s="14" t="s">
        <v>49583</v>
      </c>
      <c r="W7989" s="14" t="s">
        <v>49576</v>
      </c>
      <c r="X7989" s="17" t="str">
        <f>HYPERLINK("https://my.pitchbook.com?p=184821-49P","View People Online")</f>
        <v>View People Online</v>
      </c>
    </row>
    <row r="7990">
      <c r="A7990" s="10" t="s">
        <v>49618</v>
      </c>
      <c r="B7990" s="10" t="s">
        <v>49619</v>
      </c>
      <c r="C7990" s="10" t="s">
        <v>1807</v>
      </c>
      <c r="D7990" s="10" t="s">
        <v>49620</v>
      </c>
      <c r="E7990" s="10" t="s">
        <v>49576</v>
      </c>
      <c r="F7990" s="10" t="s">
        <v>1283</v>
      </c>
      <c r="G7990" s="10" t="s">
        <v>49621</v>
      </c>
      <c r="H7990" s="11" t="s">
        <v>31</v>
      </c>
      <c r="I7990" s="11">
        <v>7.0</v>
      </c>
      <c r="J7990" s="11">
        <v>3.0</v>
      </c>
      <c r="K7990" s="11">
        <v>4.0</v>
      </c>
      <c r="L7990" s="12" t="s">
        <v>49622</v>
      </c>
      <c r="M7990" s="10" t="s">
        <v>49623</v>
      </c>
      <c r="N7990" s="10" t="s">
        <v>44950</v>
      </c>
      <c r="O7990" s="12" t="s">
        <v>44951</v>
      </c>
      <c r="P7990" s="10" t="s">
        <v>49580</v>
      </c>
      <c r="Q7990" s="10" t="s">
        <v>49581</v>
      </c>
      <c r="R7990" s="10" t="s">
        <v>75</v>
      </c>
      <c r="S7990" s="12" t="s">
        <v>44953</v>
      </c>
      <c r="T7990" s="10" t="s">
        <v>66</v>
      </c>
      <c r="U7990" s="12" t="s">
        <v>49582</v>
      </c>
      <c r="V7990" s="10" t="s">
        <v>49624</v>
      </c>
      <c r="W7990" s="10" t="s">
        <v>49576</v>
      </c>
      <c r="X7990" s="13" t="str">
        <f>HYPERLINK("https://my.pitchbook.com?p=118388-71P","View People Online")</f>
        <v>View People Online</v>
      </c>
    </row>
    <row r="7991">
      <c r="A7991" s="14" t="s">
        <v>49625</v>
      </c>
      <c r="B7991" s="14" t="s">
        <v>49626</v>
      </c>
      <c r="C7991" s="14" t="s">
        <v>2388</v>
      </c>
      <c r="D7991" s="14" t="s">
        <v>49627</v>
      </c>
      <c r="E7991" s="14" t="s">
        <v>49576</v>
      </c>
      <c r="F7991" s="14" t="s">
        <v>5538</v>
      </c>
      <c r="G7991" s="14" t="s">
        <v>49628</v>
      </c>
      <c r="H7991" s="15" t="s">
        <v>31</v>
      </c>
      <c r="I7991" s="15">
        <v>2.0</v>
      </c>
      <c r="J7991" s="15">
        <v>2.0</v>
      </c>
      <c r="K7991" s="15" t="s">
        <v>31</v>
      </c>
      <c r="L7991" s="16" t="s">
        <v>49629</v>
      </c>
      <c r="M7991" s="14" t="s">
        <v>49630</v>
      </c>
      <c r="N7991" s="14" t="s">
        <v>44950</v>
      </c>
      <c r="O7991" s="16" t="s">
        <v>44951</v>
      </c>
      <c r="P7991" s="14" t="s">
        <v>49580</v>
      </c>
      <c r="Q7991" s="14" t="s">
        <v>49581</v>
      </c>
      <c r="R7991" s="14" t="s">
        <v>75</v>
      </c>
      <c r="S7991" s="16" t="s">
        <v>44953</v>
      </c>
      <c r="T7991" s="14" t="s">
        <v>66</v>
      </c>
      <c r="U7991" s="16" t="s">
        <v>49582</v>
      </c>
      <c r="V7991" s="14" t="s">
        <v>49631</v>
      </c>
      <c r="W7991" s="14" t="s">
        <v>49576</v>
      </c>
      <c r="X7991" s="17" t="str">
        <f>HYPERLINK("https://my.pitchbook.com?p=446201-83P","View People Online")</f>
        <v>View People Online</v>
      </c>
    </row>
    <row r="7992">
      <c r="A7992" s="2" t="s">
        <v>49632</v>
      </c>
      <c r="B7992" s="2" t="s">
        <v>49633</v>
      </c>
      <c r="C7992" s="2" t="s">
        <v>49634</v>
      </c>
      <c r="D7992" s="2" t="s">
        <v>49635</v>
      </c>
      <c r="E7992" s="2" t="s">
        <v>49576</v>
      </c>
      <c r="F7992" s="2" t="s">
        <v>10639</v>
      </c>
      <c r="G7992" s="2" t="s">
        <v>49636</v>
      </c>
      <c r="H7992" s="3">
        <v>3.0</v>
      </c>
      <c r="I7992" s="3">
        <v>33.0</v>
      </c>
      <c r="J7992" s="3">
        <v>2.0</v>
      </c>
      <c r="K7992" s="3">
        <v>28.0</v>
      </c>
      <c r="L7992" s="4" t="s">
        <v>49578</v>
      </c>
      <c r="M7992" s="2" t="s">
        <v>49637</v>
      </c>
      <c r="N7992" s="2" t="s">
        <v>44950</v>
      </c>
      <c r="O7992" s="4" t="s">
        <v>44951</v>
      </c>
      <c r="P7992" s="2" t="s">
        <v>49580</v>
      </c>
      <c r="Q7992" s="2" t="s">
        <v>49581</v>
      </c>
      <c r="R7992" s="2" t="s">
        <v>75</v>
      </c>
      <c r="S7992" s="4" t="s">
        <v>44953</v>
      </c>
      <c r="T7992" s="2" t="s">
        <v>66</v>
      </c>
      <c r="U7992" s="4" t="s">
        <v>49582</v>
      </c>
      <c r="V7992" s="2" t="s">
        <v>49638</v>
      </c>
      <c r="W7992" s="2" t="s">
        <v>49600</v>
      </c>
      <c r="X7992" s="5" t="str">
        <f>HYPERLINK("https://my.pitchbook.com?p=54221-68P","View People Online")</f>
        <v>View People Online</v>
      </c>
    </row>
    <row r="7993">
      <c r="A7993" s="14" t="s">
        <v>49639</v>
      </c>
      <c r="B7993" s="14" t="s">
        <v>49640</v>
      </c>
      <c r="C7993" s="14" t="s">
        <v>4169</v>
      </c>
      <c r="D7993" s="14" t="s">
        <v>49641</v>
      </c>
      <c r="E7993" s="14" t="s">
        <v>49642</v>
      </c>
      <c r="F7993" s="14" t="s">
        <v>120</v>
      </c>
      <c r="G7993" s="14" t="s">
        <v>49643</v>
      </c>
      <c r="H7993" s="15">
        <v>1.0</v>
      </c>
      <c r="I7993" s="15">
        <v>3.0</v>
      </c>
      <c r="J7993" s="15">
        <v>2.0</v>
      </c>
      <c r="K7993" s="15" t="s">
        <v>31</v>
      </c>
      <c r="L7993" s="16" t="s">
        <v>49644</v>
      </c>
      <c r="M7993" s="14" t="s">
        <v>49645</v>
      </c>
      <c r="N7993" s="14" t="s">
        <v>1277</v>
      </c>
      <c r="O7993" s="16" t="s">
        <v>1278</v>
      </c>
      <c r="P7993" s="14" t="s">
        <v>49646</v>
      </c>
      <c r="Q7993" s="14" t="s">
        <v>3928</v>
      </c>
      <c r="R7993" s="14" t="s">
        <v>1281</v>
      </c>
      <c r="S7993" s="16" t="s">
        <v>37039</v>
      </c>
      <c r="T7993" s="14" t="s">
        <v>66</v>
      </c>
      <c r="U7993" s="16" t="s">
        <v>31</v>
      </c>
      <c r="V7993" s="14" t="s">
        <v>196</v>
      </c>
      <c r="W7993" s="14" t="s">
        <v>49647</v>
      </c>
      <c r="X7993" s="17" t="str">
        <f>HYPERLINK("https://my.pitchbook.com?p=93729-07P","View People Online")</f>
        <v>View People Online</v>
      </c>
    </row>
    <row r="7994">
      <c r="A7994" s="2" t="s">
        <v>49648</v>
      </c>
      <c r="B7994" s="2" t="s">
        <v>49649</v>
      </c>
      <c r="C7994" s="2" t="s">
        <v>1929</v>
      </c>
      <c r="D7994" s="2" t="s">
        <v>55</v>
      </c>
      <c r="E7994" s="2" t="s">
        <v>49642</v>
      </c>
      <c r="F7994" s="2" t="s">
        <v>29</v>
      </c>
      <c r="G7994" s="2" t="s">
        <v>49650</v>
      </c>
      <c r="H7994" s="3" t="s">
        <v>31</v>
      </c>
      <c r="I7994" s="3">
        <v>1.0</v>
      </c>
      <c r="J7994" s="3">
        <v>1.0</v>
      </c>
      <c r="K7994" s="3" t="s">
        <v>31</v>
      </c>
      <c r="L7994" s="4" t="s">
        <v>49644</v>
      </c>
      <c r="M7994" s="2" t="s">
        <v>49651</v>
      </c>
      <c r="N7994" s="2" t="s">
        <v>14203</v>
      </c>
      <c r="O7994" s="4" t="s">
        <v>14204</v>
      </c>
      <c r="P7994" s="2" t="s">
        <v>49652</v>
      </c>
      <c r="Q7994" s="2" t="s">
        <v>49019</v>
      </c>
      <c r="R7994" s="2" t="s">
        <v>1420</v>
      </c>
      <c r="S7994" s="4" t="s">
        <v>14207</v>
      </c>
      <c r="T7994" s="2" t="s">
        <v>66</v>
      </c>
      <c r="U7994" s="4" t="s">
        <v>49653</v>
      </c>
      <c r="V7994" s="2" t="s">
        <v>49654</v>
      </c>
      <c r="W7994" s="2" t="s">
        <v>49642</v>
      </c>
      <c r="X7994" s="5" t="str">
        <f>HYPERLINK("https://my.pitchbook.com?p=121555-27P","View People Online")</f>
        <v>View People Online</v>
      </c>
    </row>
    <row r="7995">
      <c r="A7995" s="14" t="s">
        <v>49655</v>
      </c>
      <c r="B7995" s="14" t="s">
        <v>49656</v>
      </c>
      <c r="C7995" s="14" t="s">
        <v>1929</v>
      </c>
      <c r="D7995" s="14" t="s">
        <v>49657</v>
      </c>
      <c r="E7995" s="14" t="s">
        <v>49642</v>
      </c>
      <c r="F7995" s="14" t="s">
        <v>29</v>
      </c>
      <c r="G7995" s="14" t="s">
        <v>49658</v>
      </c>
      <c r="H7995" s="15" t="s">
        <v>31</v>
      </c>
      <c r="I7995" s="15">
        <v>6.0</v>
      </c>
      <c r="J7995" s="15">
        <v>1.0</v>
      </c>
      <c r="K7995" s="15">
        <v>2.0</v>
      </c>
      <c r="L7995" s="16" t="s">
        <v>49644</v>
      </c>
      <c r="M7995" s="14" t="s">
        <v>49659</v>
      </c>
      <c r="N7995" s="14" t="s">
        <v>14203</v>
      </c>
      <c r="O7995" s="16" t="s">
        <v>14204</v>
      </c>
      <c r="P7995" s="14" t="s">
        <v>49652</v>
      </c>
      <c r="Q7995" s="14" t="s">
        <v>49019</v>
      </c>
      <c r="R7995" s="14" t="s">
        <v>1420</v>
      </c>
      <c r="S7995" s="16" t="s">
        <v>14207</v>
      </c>
      <c r="T7995" s="14" t="s">
        <v>66</v>
      </c>
      <c r="U7995" s="16" t="s">
        <v>49653</v>
      </c>
      <c r="V7995" s="14" t="s">
        <v>29</v>
      </c>
      <c r="W7995" s="14" t="s">
        <v>49642</v>
      </c>
      <c r="X7995" s="17" t="str">
        <f>HYPERLINK("https://my.pitchbook.com?p=99289-72P","View People Online")</f>
        <v>View People Online</v>
      </c>
    </row>
    <row r="7996">
      <c r="A7996" s="2" t="s">
        <v>49660</v>
      </c>
      <c r="B7996" s="2" t="s">
        <v>49661</v>
      </c>
      <c r="C7996" s="2" t="s">
        <v>41190</v>
      </c>
      <c r="D7996" s="2" t="s">
        <v>41991</v>
      </c>
      <c r="E7996" s="2" t="s">
        <v>49642</v>
      </c>
      <c r="F7996" s="2" t="s">
        <v>1801</v>
      </c>
      <c r="G7996" s="2" t="s">
        <v>49662</v>
      </c>
      <c r="H7996" s="3" t="s">
        <v>31</v>
      </c>
      <c r="I7996" s="3">
        <v>1.0</v>
      </c>
      <c r="J7996" s="3">
        <v>1.0</v>
      </c>
      <c r="K7996" s="3" t="s">
        <v>31</v>
      </c>
      <c r="L7996" s="4" t="s">
        <v>49644</v>
      </c>
      <c r="M7996" s="2" t="s">
        <v>49663</v>
      </c>
      <c r="N7996" s="2" t="s">
        <v>14203</v>
      </c>
      <c r="O7996" s="4" t="s">
        <v>14204</v>
      </c>
      <c r="P7996" s="2" t="s">
        <v>49652</v>
      </c>
      <c r="Q7996" s="2" t="s">
        <v>49019</v>
      </c>
      <c r="R7996" s="2" t="s">
        <v>1420</v>
      </c>
      <c r="S7996" s="4" t="s">
        <v>14207</v>
      </c>
      <c r="T7996" s="2" t="s">
        <v>66</v>
      </c>
      <c r="U7996" s="4" t="s">
        <v>49653</v>
      </c>
      <c r="V7996" s="2" t="s">
        <v>49664</v>
      </c>
      <c r="W7996" s="2" t="s">
        <v>49642</v>
      </c>
      <c r="X7996" s="5" t="str">
        <f>HYPERLINK("https://my.pitchbook.com?p=160511-77P","View People Online")</f>
        <v>View People Online</v>
      </c>
    </row>
    <row r="7997">
      <c r="A7997" s="6" t="s">
        <v>49665</v>
      </c>
      <c r="B7997" s="6" t="s">
        <v>49666</v>
      </c>
      <c r="C7997" s="6" t="s">
        <v>49667</v>
      </c>
      <c r="D7997" s="6" t="s">
        <v>49668</v>
      </c>
      <c r="E7997" s="6" t="s">
        <v>49642</v>
      </c>
      <c r="F7997" s="6" t="s">
        <v>221</v>
      </c>
      <c r="G7997" s="6" t="s">
        <v>49669</v>
      </c>
      <c r="H7997" s="7" t="s">
        <v>31</v>
      </c>
      <c r="I7997" s="7">
        <v>1.0</v>
      </c>
      <c r="J7997" s="7">
        <v>1.0</v>
      </c>
      <c r="K7997" s="7" t="s">
        <v>31</v>
      </c>
      <c r="L7997" s="8" t="s">
        <v>49670</v>
      </c>
      <c r="M7997" s="6" t="s">
        <v>49671</v>
      </c>
      <c r="N7997" s="6" t="s">
        <v>14203</v>
      </c>
      <c r="O7997" s="8" t="s">
        <v>14204</v>
      </c>
      <c r="P7997" s="6" t="s">
        <v>49652</v>
      </c>
      <c r="Q7997" s="6" t="s">
        <v>49019</v>
      </c>
      <c r="R7997" s="6" t="s">
        <v>1420</v>
      </c>
      <c r="S7997" s="8" t="s">
        <v>14207</v>
      </c>
      <c r="T7997" s="6" t="s">
        <v>66</v>
      </c>
      <c r="U7997" s="8" t="s">
        <v>49653</v>
      </c>
      <c r="V7997" s="6" t="s">
        <v>221</v>
      </c>
      <c r="W7997" s="6" t="s">
        <v>49642</v>
      </c>
      <c r="X7997" s="9" t="str">
        <f>HYPERLINK("https://my.pitchbook.com?p=409257-10P","View People Online")</f>
        <v>View People Online</v>
      </c>
    </row>
    <row r="7998">
      <c r="A7998" s="10" t="s">
        <v>49672</v>
      </c>
      <c r="B7998" s="10" t="s">
        <v>49673</v>
      </c>
      <c r="C7998" s="10" t="s">
        <v>10401</v>
      </c>
      <c r="D7998" s="10" t="s">
        <v>49674</v>
      </c>
      <c r="E7998" s="10" t="s">
        <v>49642</v>
      </c>
      <c r="F7998" s="10" t="s">
        <v>114</v>
      </c>
      <c r="G7998" s="10" t="s">
        <v>49675</v>
      </c>
      <c r="H7998" s="11" t="s">
        <v>31</v>
      </c>
      <c r="I7998" s="11">
        <v>8.0</v>
      </c>
      <c r="J7998" s="11">
        <v>2.0</v>
      </c>
      <c r="K7998" s="11">
        <v>5.0</v>
      </c>
      <c r="L7998" s="12" t="s">
        <v>49676</v>
      </c>
      <c r="M7998" s="10" t="s">
        <v>49677</v>
      </c>
      <c r="N7998" s="10" t="s">
        <v>14203</v>
      </c>
      <c r="O7998" s="12" t="s">
        <v>14204</v>
      </c>
      <c r="P7998" s="10" t="s">
        <v>49678</v>
      </c>
      <c r="Q7998" s="10" t="s">
        <v>31</v>
      </c>
      <c r="R7998" s="10" t="s">
        <v>1420</v>
      </c>
      <c r="S7998" s="12" t="s">
        <v>49679</v>
      </c>
      <c r="T7998" s="10" t="s">
        <v>66</v>
      </c>
      <c r="U7998" s="12" t="s">
        <v>31</v>
      </c>
      <c r="V7998" s="10" t="s">
        <v>27016</v>
      </c>
      <c r="W7998" s="10" t="s">
        <v>49680</v>
      </c>
      <c r="X7998" s="13" t="str">
        <f>HYPERLINK("https://my.pitchbook.com?p=148495-60P","View People Online")</f>
        <v>View People Online</v>
      </c>
    </row>
    <row r="7999">
      <c r="A7999" s="14" t="s">
        <v>49681</v>
      </c>
      <c r="B7999" s="14" t="s">
        <v>49682</v>
      </c>
      <c r="C7999" s="14" t="s">
        <v>6892</v>
      </c>
      <c r="D7999" s="14" t="s">
        <v>49683</v>
      </c>
      <c r="E7999" s="14" t="s">
        <v>49642</v>
      </c>
      <c r="F7999" s="14" t="s">
        <v>548</v>
      </c>
      <c r="G7999" s="14" t="s">
        <v>49684</v>
      </c>
      <c r="H7999" s="15" t="s">
        <v>31</v>
      </c>
      <c r="I7999" s="15">
        <v>1.0</v>
      </c>
      <c r="J7999" s="15">
        <v>1.0</v>
      </c>
      <c r="K7999" s="15" t="s">
        <v>31</v>
      </c>
      <c r="L7999" s="16" t="s">
        <v>49685</v>
      </c>
      <c r="M7999" s="14" t="s">
        <v>49686</v>
      </c>
      <c r="N7999" s="14" t="s">
        <v>14203</v>
      </c>
      <c r="O7999" s="16" t="s">
        <v>14204</v>
      </c>
      <c r="P7999" s="14" t="s">
        <v>49652</v>
      </c>
      <c r="Q7999" s="14" t="s">
        <v>49019</v>
      </c>
      <c r="R7999" s="14" t="s">
        <v>1420</v>
      </c>
      <c r="S7999" s="16" t="s">
        <v>14207</v>
      </c>
      <c r="T7999" s="14" t="s">
        <v>66</v>
      </c>
      <c r="U7999" s="16" t="s">
        <v>49653</v>
      </c>
      <c r="V7999" s="14" t="s">
        <v>49687</v>
      </c>
      <c r="W7999" s="14" t="s">
        <v>49642</v>
      </c>
      <c r="X7999" s="17" t="str">
        <f>HYPERLINK("https://my.pitchbook.com?p=112702-78P","View People Online")</f>
        <v>View People Online</v>
      </c>
    </row>
    <row r="8000">
      <c r="A8000" s="10" t="s">
        <v>49688</v>
      </c>
      <c r="B8000" s="10" t="s">
        <v>49689</v>
      </c>
      <c r="C8000" s="10" t="s">
        <v>49690</v>
      </c>
      <c r="D8000" s="10" t="s">
        <v>1073</v>
      </c>
      <c r="E8000" s="10" t="s">
        <v>49642</v>
      </c>
      <c r="F8000" s="10" t="s">
        <v>371</v>
      </c>
      <c r="G8000" s="10" t="s">
        <v>49691</v>
      </c>
      <c r="H8000" s="11" t="s">
        <v>31</v>
      </c>
      <c r="I8000" s="11">
        <v>1.0</v>
      </c>
      <c r="J8000" s="11">
        <v>1.0</v>
      </c>
      <c r="K8000" s="11" t="s">
        <v>31</v>
      </c>
      <c r="L8000" s="12" t="s">
        <v>49644</v>
      </c>
      <c r="M8000" s="10" t="s">
        <v>49692</v>
      </c>
      <c r="N8000" s="10" t="s">
        <v>1416</v>
      </c>
      <c r="O8000" s="12" t="s">
        <v>1417</v>
      </c>
      <c r="P8000" s="10" t="s">
        <v>49693</v>
      </c>
      <c r="Q8000" s="10" t="s">
        <v>49694</v>
      </c>
      <c r="R8000" s="10" t="s">
        <v>1420</v>
      </c>
      <c r="S8000" s="12" t="s">
        <v>6302</v>
      </c>
      <c r="T8000" s="10" t="s">
        <v>66</v>
      </c>
      <c r="U8000" s="12" t="s">
        <v>31</v>
      </c>
      <c r="V8000" s="10" t="s">
        <v>371</v>
      </c>
      <c r="W8000" s="10" t="s">
        <v>49642</v>
      </c>
      <c r="X8000" s="13" t="str">
        <f>HYPERLINK("https://my.pitchbook.com?p=258098-68P","View People Online")</f>
        <v>View People Online</v>
      </c>
    </row>
    <row r="8001">
      <c r="A8001" s="6" t="s">
        <v>49695</v>
      </c>
      <c r="B8001" s="6" t="s">
        <v>49696</v>
      </c>
      <c r="C8001" s="6" t="s">
        <v>1437</v>
      </c>
      <c r="D8001" s="6" t="s">
        <v>6333</v>
      </c>
      <c r="E8001" s="6" t="s">
        <v>49642</v>
      </c>
      <c r="F8001" s="6" t="s">
        <v>57</v>
      </c>
      <c r="G8001" s="6" t="s">
        <v>49697</v>
      </c>
      <c r="H8001" s="7" t="s">
        <v>31</v>
      </c>
      <c r="I8001" s="7">
        <v>12.0</v>
      </c>
      <c r="J8001" s="7">
        <v>1.0</v>
      </c>
      <c r="K8001" s="7">
        <v>4.0</v>
      </c>
      <c r="L8001" s="8" t="s">
        <v>49644</v>
      </c>
      <c r="M8001" s="6" t="s">
        <v>49698</v>
      </c>
      <c r="N8001" s="6" t="s">
        <v>14203</v>
      </c>
      <c r="O8001" s="8" t="s">
        <v>14204</v>
      </c>
      <c r="P8001" s="6" t="s">
        <v>49652</v>
      </c>
      <c r="Q8001" s="6" t="s">
        <v>49019</v>
      </c>
      <c r="R8001" s="6" t="s">
        <v>1420</v>
      </c>
      <c r="S8001" s="8" t="s">
        <v>14207</v>
      </c>
      <c r="T8001" s="6" t="s">
        <v>66</v>
      </c>
      <c r="U8001" s="8" t="s">
        <v>49653</v>
      </c>
      <c r="V8001" s="6" t="s">
        <v>57</v>
      </c>
      <c r="W8001" s="6" t="s">
        <v>49642</v>
      </c>
      <c r="X8001" s="9" t="str">
        <f>HYPERLINK("https://my.pitchbook.com?p=28273-42P","View People Online")</f>
        <v>View People Online</v>
      </c>
    </row>
    <row r="8002">
      <c r="A8002" s="10" t="s">
        <v>49699</v>
      </c>
      <c r="B8002" s="10" t="s">
        <v>49700</v>
      </c>
      <c r="C8002" s="10" t="s">
        <v>4911</v>
      </c>
      <c r="D8002" s="10" t="s">
        <v>22811</v>
      </c>
      <c r="E8002" s="10" t="s">
        <v>49642</v>
      </c>
      <c r="F8002" s="10" t="s">
        <v>3710</v>
      </c>
      <c r="G8002" s="10" t="s">
        <v>49701</v>
      </c>
      <c r="H8002" s="11" t="s">
        <v>31</v>
      </c>
      <c r="I8002" s="11">
        <v>1.0</v>
      </c>
      <c r="J8002" s="11">
        <v>1.0</v>
      </c>
      <c r="K8002" s="11" t="s">
        <v>31</v>
      </c>
      <c r="L8002" s="12" t="s">
        <v>49644</v>
      </c>
      <c r="M8002" s="10" t="s">
        <v>49702</v>
      </c>
      <c r="N8002" s="10" t="s">
        <v>14203</v>
      </c>
      <c r="O8002" s="12" t="s">
        <v>14204</v>
      </c>
      <c r="P8002" s="10" t="s">
        <v>49652</v>
      </c>
      <c r="Q8002" s="10" t="s">
        <v>49019</v>
      </c>
      <c r="R8002" s="10" t="s">
        <v>1420</v>
      </c>
      <c r="S8002" s="12" t="s">
        <v>14207</v>
      </c>
      <c r="T8002" s="10" t="s">
        <v>66</v>
      </c>
      <c r="U8002" s="12" t="s">
        <v>49653</v>
      </c>
      <c r="V8002" s="10" t="s">
        <v>49703</v>
      </c>
      <c r="W8002" s="10" t="s">
        <v>49642</v>
      </c>
      <c r="X8002" s="13" t="str">
        <f>HYPERLINK("https://my.pitchbook.com?p=185257-27P","View People Online")</f>
        <v>View People Online</v>
      </c>
    </row>
    <row r="8003">
      <c r="A8003" s="6" t="s">
        <v>49704</v>
      </c>
      <c r="B8003" s="6" t="s">
        <v>49705</v>
      </c>
      <c r="C8003" s="6" t="s">
        <v>4248</v>
      </c>
      <c r="D8003" s="6" t="s">
        <v>49706</v>
      </c>
      <c r="E8003" s="6" t="s">
        <v>49642</v>
      </c>
      <c r="F8003" s="6" t="s">
        <v>221</v>
      </c>
      <c r="G8003" s="6" t="s">
        <v>49707</v>
      </c>
      <c r="H8003" s="7" t="s">
        <v>31</v>
      </c>
      <c r="I8003" s="7">
        <v>1.0</v>
      </c>
      <c r="J8003" s="7">
        <v>1.0</v>
      </c>
      <c r="K8003" s="7" t="s">
        <v>31</v>
      </c>
      <c r="L8003" s="8" t="s">
        <v>49708</v>
      </c>
      <c r="M8003" s="6" t="s">
        <v>49709</v>
      </c>
      <c r="N8003" s="6" t="s">
        <v>14203</v>
      </c>
      <c r="O8003" s="8" t="s">
        <v>14204</v>
      </c>
      <c r="P8003" s="6" t="s">
        <v>49652</v>
      </c>
      <c r="Q8003" s="6" t="s">
        <v>49019</v>
      </c>
      <c r="R8003" s="6" t="s">
        <v>1420</v>
      </c>
      <c r="S8003" s="8" t="s">
        <v>14207</v>
      </c>
      <c r="T8003" s="6" t="s">
        <v>66</v>
      </c>
      <c r="U8003" s="8" t="s">
        <v>49653</v>
      </c>
      <c r="V8003" s="6" t="s">
        <v>221</v>
      </c>
      <c r="W8003" s="6" t="s">
        <v>49642</v>
      </c>
      <c r="X8003" s="9" t="str">
        <f>HYPERLINK("https://my.pitchbook.com?p=409257-73P","View People Online")</f>
        <v>View People Online</v>
      </c>
    </row>
    <row r="8004">
      <c r="A8004" s="10" t="s">
        <v>49710</v>
      </c>
      <c r="B8004" s="10" t="s">
        <v>49711</v>
      </c>
      <c r="C8004" s="10" t="s">
        <v>1982</v>
      </c>
      <c r="D8004" s="10" t="s">
        <v>10937</v>
      </c>
      <c r="E8004" s="10" t="s">
        <v>49642</v>
      </c>
      <c r="F8004" s="10" t="s">
        <v>29</v>
      </c>
      <c r="G8004" s="10" t="s">
        <v>49712</v>
      </c>
      <c r="H8004" s="11">
        <v>2.0</v>
      </c>
      <c r="I8004" s="11">
        <v>20.0</v>
      </c>
      <c r="J8004" s="11">
        <v>1.0</v>
      </c>
      <c r="K8004" s="11">
        <v>10.0</v>
      </c>
      <c r="L8004" s="12" t="s">
        <v>49644</v>
      </c>
      <c r="M8004" s="10" t="s">
        <v>49713</v>
      </c>
      <c r="N8004" s="10" t="s">
        <v>14203</v>
      </c>
      <c r="O8004" s="12" t="s">
        <v>14204</v>
      </c>
      <c r="P8004" s="10" t="s">
        <v>49652</v>
      </c>
      <c r="Q8004" s="10" t="s">
        <v>49019</v>
      </c>
      <c r="R8004" s="10" t="s">
        <v>1420</v>
      </c>
      <c r="S8004" s="12" t="s">
        <v>14207</v>
      </c>
      <c r="T8004" s="10" t="s">
        <v>66</v>
      </c>
      <c r="U8004" s="12" t="s">
        <v>49653</v>
      </c>
      <c r="V8004" s="10" t="s">
        <v>29</v>
      </c>
      <c r="W8004" s="10" t="s">
        <v>49642</v>
      </c>
      <c r="X8004" s="13" t="str">
        <f>HYPERLINK("https://my.pitchbook.com?p=30108-16P","View People Online")</f>
        <v>View People Online</v>
      </c>
    </row>
    <row r="8005">
      <c r="A8005" s="6" t="s">
        <v>49714</v>
      </c>
      <c r="B8005" s="6" t="s">
        <v>49715</v>
      </c>
      <c r="C8005" s="6" t="s">
        <v>1449</v>
      </c>
      <c r="D8005" s="6" t="s">
        <v>49716</v>
      </c>
      <c r="E8005" s="6" t="s">
        <v>49642</v>
      </c>
      <c r="F8005" s="6" t="s">
        <v>29</v>
      </c>
      <c r="G8005" s="6" t="s">
        <v>49717</v>
      </c>
      <c r="H8005" s="7" t="s">
        <v>31</v>
      </c>
      <c r="I8005" s="7">
        <v>4.0</v>
      </c>
      <c r="J8005" s="7">
        <v>1.0</v>
      </c>
      <c r="K8005" s="7">
        <v>1.0</v>
      </c>
      <c r="L8005" s="8" t="s">
        <v>49644</v>
      </c>
      <c r="M8005" s="6" t="s">
        <v>49718</v>
      </c>
      <c r="N8005" s="6" t="s">
        <v>14203</v>
      </c>
      <c r="O8005" s="8" t="s">
        <v>14204</v>
      </c>
      <c r="P8005" s="6" t="s">
        <v>49652</v>
      </c>
      <c r="Q8005" s="6" t="s">
        <v>49019</v>
      </c>
      <c r="R8005" s="6" t="s">
        <v>1420</v>
      </c>
      <c r="S8005" s="8" t="s">
        <v>14207</v>
      </c>
      <c r="T8005" s="6" t="s">
        <v>66</v>
      </c>
      <c r="U8005" s="8" t="s">
        <v>49653</v>
      </c>
      <c r="V8005" s="6" t="s">
        <v>29</v>
      </c>
      <c r="W8005" s="6" t="s">
        <v>49642</v>
      </c>
      <c r="X8005" s="9" t="str">
        <f>HYPERLINK("https://my.pitchbook.com?p=286349-41P","View People Online")</f>
        <v>View People Online</v>
      </c>
    </row>
    <row r="8006">
      <c r="A8006" s="2" t="s">
        <v>49719</v>
      </c>
      <c r="B8006" s="2" t="s">
        <v>49720</v>
      </c>
      <c r="C8006" s="2" t="s">
        <v>1449</v>
      </c>
      <c r="D8006" s="2" t="s">
        <v>4873</v>
      </c>
      <c r="E8006" s="2" t="s">
        <v>49642</v>
      </c>
      <c r="F8006" s="2" t="s">
        <v>29</v>
      </c>
      <c r="G8006" s="2" t="s">
        <v>49721</v>
      </c>
      <c r="H8006" s="3" t="s">
        <v>31</v>
      </c>
      <c r="I8006" s="3">
        <v>8.0</v>
      </c>
      <c r="J8006" s="3">
        <v>1.0</v>
      </c>
      <c r="K8006" s="3">
        <v>4.0</v>
      </c>
      <c r="L8006" s="4" t="s">
        <v>49644</v>
      </c>
      <c r="M8006" s="2" t="s">
        <v>49722</v>
      </c>
      <c r="N8006" s="2" t="s">
        <v>14203</v>
      </c>
      <c r="O8006" s="4" t="s">
        <v>14204</v>
      </c>
      <c r="P8006" s="2" t="s">
        <v>49652</v>
      </c>
      <c r="Q8006" s="2" t="s">
        <v>49019</v>
      </c>
      <c r="R8006" s="2" t="s">
        <v>1420</v>
      </c>
      <c r="S8006" s="4" t="s">
        <v>14207</v>
      </c>
      <c r="T8006" s="2" t="s">
        <v>66</v>
      </c>
      <c r="U8006" s="4" t="s">
        <v>49653</v>
      </c>
      <c r="V8006" s="2" t="s">
        <v>29</v>
      </c>
      <c r="W8006" s="2" t="s">
        <v>49642</v>
      </c>
      <c r="X8006" s="5" t="str">
        <f>HYPERLINK("https://my.pitchbook.com?p=15550-48P","View People Online")</f>
        <v>View People Online</v>
      </c>
    </row>
    <row r="8007">
      <c r="A8007" s="6" t="s">
        <v>49723</v>
      </c>
      <c r="B8007" s="6" t="s">
        <v>49724</v>
      </c>
      <c r="C8007" s="6" t="s">
        <v>1449</v>
      </c>
      <c r="D8007" s="6" t="s">
        <v>49725</v>
      </c>
      <c r="E8007" s="6" t="s">
        <v>49642</v>
      </c>
      <c r="F8007" s="6" t="s">
        <v>9167</v>
      </c>
      <c r="G8007" s="6" t="s">
        <v>49726</v>
      </c>
      <c r="H8007" s="7" t="s">
        <v>31</v>
      </c>
      <c r="I8007" s="7">
        <v>1.0</v>
      </c>
      <c r="J8007" s="7">
        <v>1.0</v>
      </c>
      <c r="K8007" s="7" t="s">
        <v>31</v>
      </c>
      <c r="L8007" s="8" t="s">
        <v>49644</v>
      </c>
      <c r="M8007" s="6" t="s">
        <v>49727</v>
      </c>
      <c r="N8007" s="6" t="s">
        <v>14203</v>
      </c>
      <c r="O8007" s="8" t="s">
        <v>14204</v>
      </c>
      <c r="P8007" s="6" t="s">
        <v>49652</v>
      </c>
      <c r="Q8007" s="6" t="s">
        <v>49019</v>
      </c>
      <c r="R8007" s="6" t="s">
        <v>1420</v>
      </c>
      <c r="S8007" s="8" t="s">
        <v>14207</v>
      </c>
      <c r="T8007" s="6" t="s">
        <v>66</v>
      </c>
      <c r="U8007" s="8" t="s">
        <v>49653</v>
      </c>
      <c r="V8007" s="6" t="s">
        <v>9167</v>
      </c>
      <c r="W8007" s="6" t="s">
        <v>49642</v>
      </c>
      <c r="X8007" s="9" t="str">
        <f>HYPERLINK("https://my.pitchbook.com?p=354613-15P","View People Online")</f>
        <v>View People Online</v>
      </c>
    </row>
    <row r="8008">
      <c r="A8008" s="2" t="s">
        <v>49728</v>
      </c>
      <c r="B8008" s="2" t="s">
        <v>49729</v>
      </c>
      <c r="C8008" s="2" t="s">
        <v>8739</v>
      </c>
      <c r="D8008" s="2" t="s">
        <v>15398</v>
      </c>
      <c r="E8008" s="2" t="s">
        <v>49642</v>
      </c>
      <c r="F8008" s="2" t="s">
        <v>201</v>
      </c>
      <c r="G8008" s="2" t="s">
        <v>49730</v>
      </c>
      <c r="H8008" s="3" t="s">
        <v>31</v>
      </c>
      <c r="I8008" s="3">
        <v>1.0</v>
      </c>
      <c r="J8008" s="3">
        <v>1.0</v>
      </c>
      <c r="K8008" s="3" t="s">
        <v>31</v>
      </c>
      <c r="L8008" s="4" t="s">
        <v>49644</v>
      </c>
      <c r="M8008" s="2" t="s">
        <v>49731</v>
      </c>
      <c r="N8008" s="2" t="s">
        <v>14203</v>
      </c>
      <c r="O8008" s="4" t="s">
        <v>14204</v>
      </c>
      <c r="P8008" s="2" t="s">
        <v>49652</v>
      </c>
      <c r="Q8008" s="2" t="s">
        <v>49019</v>
      </c>
      <c r="R8008" s="2" t="s">
        <v>1420</v>
      </c>
      <c r="S8008" s="4" t="s">
        <v>14207</v>
      </c>
      <c r="T8008" s="2" t="s">
        <v>66</v>
      </c>
      <c r="U8008" s="4" t="s">
        <v>49653</v>
      </c>
      <c r="V8008" s="2" t="s">
        <v>201</v>
      </c>
      <c r="W8008" s="2" t="s">
        <v>49642</v>
      </c>
      <c r="X8008" s="5" t="str">
        <f>HYPERLINK("https://my.pitchbook.com?p=271354-60P","View People Online")</f>
        <v>View People Online</v>
      </c>
    </row>
    <row r="8009">
      <c r="A8009" s="6" t="s">
        <v>49732</v>
      </c>
      <c r="B8009" s="6" t="s">
        <v>49733</v>
      </c>
      <c r="C8009" s="6" t="s">
        <v>1588</v>
      </c>
      <c r="D8009" s="6" t="s">
        <v>3275</v>
      </c>
      <c r="E8009" s="6" t="s">
        <v>49642</v>
      </c>
      <c r="F8009" s="6" t="s">
        <v>221</v>
      </c>
      <c r="G8009" s="6" t="s">
        <v>49734</v>
      </c>
      <c r="H8009" s="7" t="s">
        <v>31</v>
      </c>
      <c r="I8009" s="7">
        <v>1.0</v>
      </c>
      <c r="J8009" s="7">
        <v>1.0</v>
      </c>
      <c r="K8009" s="7" t="s">
        <v>31</v>
      </c>
      <c r="L8009" s="8" t="s">
        <v>49644</v>
      </c>
      <c r="M8009" s="6" t="s">
        <v>49735</v>
      </c>
      <c r="N8009" s="6" t="s">
        <v>14203</v>
      </c>
      <c r="O8009" s="8" t="s">
        <v>14204</v>
      </c>
      <c r="P8009" s="6" t="s">
        <v>49652</v>
      </c>
      <c r="Q8009" s="6" t="s">
        <v>49019</v>
      </c>
      <c r="R8009" s="6" t="s">
        <v>1420</v>
      </c>
      <c r="S8009" s="8" t="s">
        <v>14207</v>
      </c>
      <c r="T8009" s="6" t="s">
        <v>66</v>
      </c>
      <c r="U8009" s="8" t="s">
        <v>49653</v>
      </c>
      <c r="V8009" s="6" t="s">
        <v>221</v>
      </c>
      <c r="W8009" s="6" t="s">
        <v>49642</v>
      </c>
      <c r="X8009" s="9" t="str">
        <f>HYPERLINK("https://my.pitchbook.com?p=370299-07P","View People Online")</f>
        <v>View People Online</v>
      </c>
    </row>
    <row r="8010">
      <c r="A8010" s="10" t="s">
        <v>49736</v>
      </c>
      <c r="B8010" s="10" t="s">
        <v>49737</v>
      </c>
      <c r="C8010" s="10" t="s">
        <v>3811</v>
      </c>
      <c r="D8010" s="10" t="s">
        <v>27267</v>
      </c>
      <c r="E8010" s="10" t="s">
        <v>49642</v>
      </c>
      <c r="F8010" s="10" t="s">
        <v>29</v>
      </c>
      <c r="G8010" s="10" t="s">
        <v>49738</v>
      </c>
      <c r="H8010" s="11">
        <v>2.0</v>
      </c>
      <c r="I8010" s="11">
        <v>16.0</v>
      </c>
      <c r="J8010" s="11">
        <v>2.0</v>
      </c>
      <c r="K8010" s="11">
        <v>8.0</v>
      </c>
      <c r="L8010" s="12" t="s">
        <v>49644</v>
      </c>
      <c r="M8010" s="10" t="s">
        <v>49739</v>
      </c>
      <c r="N8010" s="10" t="s">
        <v>1277</v>
      </c>
      <c r="O8010" s="12" t="s">
        <v>1278</v>
      </c>
      <c r="P8010" s="10" t="s">
        <v>49740</v>
      </c>
      <c r="Q8010" s="10" t="s">
        <v>2566</v>
      </c>
      <c r="R8010" s="10" t="s">
        <v>1281</v>
      </c>
      <c r="S8010" s="12" t="s">
        <v>21357</v>
      </c>
      <c r="T8010" s="10" t="s">
        <v>66</v>
      </c>
      <c r="U8010" s="12" t="s">
        <v>49741</v>
      </c>
      <c r="V8010" s="10" t="s">
        <v>29</v>
      </c>
      <c r="W8010" s="10" t="s">
        <v>49742</v>
      </c>
      <c r="X8010" s="13" t="str">
        <f>HYPERLINK("https://my.pitchbook.com?p=99287-83P","View People Online")</f>
        <v>View People Online</v>
      </c>
    </row>
    <row r="8011">
      <c r="A8011" s="6" t="s">
        <v>49743</v>
      </c>
      <c r="B8011" s="6" t="s">
        <v>49744</v>
      </c>
      <c r="C8011" s="6" t="s">
        <v>3626</v>
      </c>
      <c r="D8011" s="6" t="s">
        <v>49745</v>
      </c>
      <c r="E8011" s="6" t="s">
        <v>49642</v>
      </c>
      <c r="F8011" s="6" t="s">
        <v>5538</v>
      </c>
      <c r="G8011" s="6" t="s">
        <v>49746</v>
      </c>
      <c r="H8011" s="7" t="s">
        <v>31</v>
      </c>
      <c r="I8011" s="7">
        <v>1.0</v>
      </c>
      <c r="J8011" s="7">
        <v>1.0</v>
      </c>
      <c r="K8011" s="7" t="s">
        <v>31</v>
      </c>
      <c r="L8011" s="8" t="s">
        <v>49747</v>
      </c>
      <c r="M8011" s="6" t="s">
        <v>49748</v>
      </c>
      <c r="N8011" s="6" t="s">
        <v>14203</v>
      </c>
      <c r="O8011" s="8" t="s">
        <v>14204</v>
      </c>
      <c r="P8011" s="6" t="s">
        <v>49652</v>
      </c>
      <c r="Q8011" s="6" t="s">
        <v>49019</v>
      </c>
      <c r="R8011" s="6" t="s">
        <v>1420</v>
      </c>
      <c r="S8011" s="8" t="s">
        <v>14207</v>
      </c>
      <c r="T8011" s="6" t="s">
        <v>66</v>
      </c>
      <c r="U8011" s="8" t="s">
        <v>49653</v>
      </c>
      <c r="V8011" s="6" t="s">
        <v>5541</v>
      </c>
      <c r="W8011" s="6" t="s">
        <v>49642</v>
      </c>
      <c r="X8011" s="9" t="str">
        <f>HYPERLINK("https://my.pitchbook.com?p=370301-95P","View People Online")</f>
        <v>View People Online</v>
      </c>
    </row>
    <row r="8012">
      <c r="A8012" s="10" t="s">
        <v>49749</v>
      </c>
      <c r="B8012" s="10" t="s">
        <v>49750</v>
      </c>
      <c r="C8012" s="10" t="s">
        <v>823</v>
      </c>
      <c r="D8012" s="10" t="s">
        <v>11393</v>
      </c>
      <c r="E8012" s="10" t="s">
        <v>49642</v>
      </c>
      <c r="F8012" s="10" t="s">
        <v>29</v>
      </c>
      <c r="G8012" s="10" t="s">
        <v>49751</v>
      </c>
      <c r="H8012" s="11">
        <v>1.0</v>
      </c>
      <c r="I8012" s="11">
        <v>7.0</v>
      </c>
      <c r="J8012" s="11">
        <v>1.0</v>
      </c>
      <c r="K8012" s="11">
        <v>2.0</v>
      </c>
      <c r="L8012" s="12" t="s">
        <v>49752</v>
      </c>
      <c r="M8012" s="10" t="s">
        <v>49753</v>
      </c>
      <c r="N8012" s="10" t="s">
        <v>1416</v>
      </c>
      <c r="O8012" s="12" t="s">
        <v>1417</v>
      </c>
      <c r="P8012" s="10" t="s">
        <v>49693</v>
      </c>
      <c r="Q8012" s="10" t="s">
        <v>49694</v>
      </c>
      <c r="R8012" s="10" t="s">
        <v>1420</v>
      </c>
      <c r="S8012" s="12" t="s">
        <v>6302</v>
      </c>
      <c r="T8012" s="10" t="s">
        <v>66</v>
      </c>
      <c r="U8012" s="12" t="s">
        <v>31</v>
      </c>
      <c r="V8012" s="10" t="s">
        <v>29</v>
      </c>
      <c r="W8012" s="10" t="s">
        <v>49642</v>
      </c>
      <c r="X8012" s="13" t="str">
        <f>HYPERLINK("https://my.pitchbook.com?p=28370-98P","View People Online")</f>
        <v>View People Online</v>
      </c>
    </row>
    <row r="8013">
      <c r="A8013" s="14" t="s">
        <v>49754</v>
      </c>
      <c r="B8013" s="14" t="s">
        <v>49755</v>
      </c>
      <c r="C8013" s="14" t="s">
        <v>26</v>
      </c>
      <c r="D8013" s="14" t="s">
        <v>49756</v>
      </c>
      <c r="E8013" s="14" t="s">
        <v>49642</v>
      </c>
      <c r="F8013" s="14" t="s">
        <v>1326</v>
      </c>
      <c r="G8013" s="14" t="s">
        <v>49757</v>
      </c>
      <c r="H8013" s="15" t="s">
        <v>31</v>
      </c>
      <c r="I8013" s="15">
        <v>1.0</v>
      </c>
      <c r="J8013" s="15">
        <v>1.0</v>
      </c>
      <c r="K8013" s="15" t="s">
        <v>31</v>
      </c>
      <c r="L8013" s="16" t="s">
        <v>49644</v>
      </c>
      <c r="M8013" s="14" t="s">
        <v>49758</v>
      </c>
      <c r="N8013" s="14" t="s">
        <v>14203</v>
      </c>
      <c r="O8013" s="16" t="s">
        <v>14204</v>
      </c>
      <c r="P8013" s="14" t="s">
        <v>49652</v>
      </c>
      <c r="Q8013" s="14" t="s">
        <v>49019</v>
      </c>
      <c r="R8013" s="14" t="s">
        <v>1420</v>
      </c>
      <c r="S8013" s="16" t="s">
        <v>14207</v>
      </c>
      <c r="T8013" s="14" t="s">
        <v>66</v>
      </c>
      <c r="U8013" s="16" t="s">
        <v>49653</v>
      </c>
      <c r="V8013" s="14" t="s">
        <v>49759</v>
      </c>
      <c r="W8013" s="14" t="s">
        <v>49642</v>
      </c>
      <c r="X8013" s="17" t="str">
        <f>HYPERLINK("https://my.pitchbook.com?p=35400-88P","View People Online")</f>
        <v>View People Online</v>
      </c>
    </row>
    <row r="8014">
      <c r="A8014" s="2" t="s">
        <v>49760</v>
      </c>
      <c r="B8014" s="2" t="s">
        <v>49761</v>
      </c>
      <c r="C8014" s="2" t="s">
        <v>1752</v>
      </c>
      <c r="D8014" s="2" t="s">
        <v>49762</v>
      </c>
      <c r="E8014" s="2" t="s">
        <v>49642</v>
      </c>
      <c r="F8014" s="2" t="s">
        <v>49763</v>
      </c>
      <c r="G8014" s="2" t="s">
        <v>49764</v>
      </c>
      <c r="H8014" s="3" t="s">
        <v>31</v>
      </c>
      <c r="I8014" s="3">
        <v>6.0</v>
      </c>
      <c r="J8014" s="3">
        <v>1.0</v>
      </c>
      <c r="K8014" s="3" t="s">
        <v>31</v>
      </c>
      <c r="L8014" s="4" t="s">
        <v>49644</v>
      </c>
      <c r="M8014" s="2" t="s">
        <v>49765</v>
      </c>
      <c r="N8014" s="2" t="s">
        <v>14203</v>
      </c>
      <c r="O8014" s="4" t="s">
        <v>14204</v>
      </c>
      <c r="P8014" s="2" t="s">
        <v>49652</v>
      </c>
      <c r="Q8014" s="2" t="s">
        <v>49019</v>
      </c>
      <c r="R8014" s="2" t="s">
        <v>1420</v>
      </c>
      <c r="S8014" s="4" t="s">
        <v>14207</v>
      </c>
      <c r="T8014" s="2" t="s">
        <v>66</v>
      </c>
      <c r="U8014" s="4" t="s">
        <v>49653</v>
      </c>
      <c r="V8014" s="2" t="s">
        <v>49766</v>
      </c>
      <c r="W8014" s="2" t="s">
        <v>49642</v>
      </c>
      <c r="X8014" s="5" t="str">
        <f>HYPERLINK("https://my.pitchbook.com?p=45147-16P","View People Online")</f>
        <v>View People Online</v>
      </c>
    </row>
    <row r="8015">
      <c r="A8015" s="14" t="s">
        <v>49767</v>
      </c>
      <c r="B8015" s="14" t="s">
        <v>49768</v>
      </c>
      <c r="C8015" s="14" t="s">
        <v>1489</v>
      </c>
      <c r="D8015" s="14" t="s">
        <v>49769</v>
      </c>
      <c r="E8015" s="14" t="s">
        <v>49642</v>
      </c>
      <c r="F8015" s="14" t="s">
        <v>312</v>
      </c>
      <c r="G8015" s="14" t="s">
        <v>49770</v>
      </c>
      <c r="H8015" s="15" t="s">
        <v>31</v>
      </c>
      <c r="I8015" s="15">
        <v>1.0</v>
      </c>
      <c r="J8015" s="15">
        <v>1.0</v>
      </c>
      <c r="K8015" s="15" t="s">
        <v>31</v>
      </c>
      <c r="L8015" s="16" t="s">
        <v>49644</v>
      </c>
      <c r="M8015" s="14" t="s">
        <v>49771</v>
      </c>
      <c r="N8015" s="14" t="s">
        <v>14203</v>
      </c>
      <c r="O8015" s="16" t="s">
        <v>14204</v>
      </c>
      <c r="P8015" s="14" t="s">
        <v>49652</v>
      </c>
      <c r="Q8015" s="14" t="s">
        <v>49019</v>
      </c>
      <c r="R8015" s="14" t="s">
        <v>1420</v>
      </c>
      <c r="S8015" s="16" t="s">
        <v>14207</v>
      </c>
      <c r="T8015" s="14" t="s">
        <v>66</v>
      </c>
      <c r="U8015" s="16" t="s">
        <v>49653</v>
      </c>
      <c r="V8015" s="14" t="s">
        <v>49772</v>
      </c>
      <c r="W8015" s="14" t="s">
        <v>49642</v>
      </c>
      <c r="X8015" s="17" t="str">
        <f>HYPERLINK("https://my.pitchbook.com?p=160511-59P","View People Online")</f>
        <v>View People Online</v>
      </c>
    </row>
    <row r="8016">
      <c r="A8016" s="10" t="s">
        <v>49773</v>
      </c>
      <c r="B8016" s="10" t="s">
        <v>49774</v>
      </c>
      <c r="C8016" s="10" t="s">
        <v>49775</v>
      </c>
      <c r="D8016" s="10" t="s">
        <v>49776</v>
      </c>
      <c r="E8016" s="10" t="s">
        <v>49642</v>
      </c>
      <c r="F8016" s="10" t="s">
        <v>29</v>
      </c>
      <c r="G8016" s="10" t="s">
        <v>49777</v>
      </c>
      <c r="H8016" s="11" t="s">
        <v>31</v>
      </c>
      <c r="I8016" s="11">
        <v>5.0</v>
      </c>
      <c r="J8016" s="11">
        <v>1.0</v>
      </c>
      <c r="K8016" s="11">
        <v>2.0</v>
      </c>
      <c r="L8016" s="12" t="s">
        <v>49644</v>
      </c>
      <c r="M8016" s="10" t="s">
        <v>49778</v>
      </c>
      <c r="N8016" s="10" t="s">
        <v>14203</v>
      </c>
      <c r="O8016" s="12" t="s">
        <v>14204</v>
      </c>
      <c r="P8016" s="10" t="s">
        <v>49652</v>
      </c>
      <c r="Q8016" s="10" t="s">
        <v>49019</v>
      </c>
      <c r="R8016" s="10" t="s">
        <v>1420</v>
      </c>
      <c r="S8016" s="12" t="s">
        <v>14207</v>
      </c>
      <c r="T8016" s="10" t="s">
        <v>66</v>
      </c>
      <c r="U8016" s="12" t="s">
        <v>49653</v>
      </c>
      <c r="V8016" s="10" t="s">
        <v>29</v>
      </c>
      <c r="W8016" s="10" t="s">
        <v>49642</v>
      </c>
      <c r="X8016" s="13" t="str">
        <f>HYPERLINK("https://my.pitchbook.com?p=35301-70P","View People Online")</f>
        <v>View People Online</v>
      </c>
    </row>
    <row r="8017">
      <c r="A8017" s="14" t="s">
        <v>49779</v>
      </c>
      <c r="B8017" s="14" t="s">
        <v>19628</v>
      </c>
      <c r="C8017" s="14" t="s">
        <v>160</v>
      </c>
      <c r="D8017" s="14" t="s">
        <v>8037</v>
      </c>
      <c r="E8017" s="14" t="s">
        <v>49642</v>
      </c>
      <c r="F8017" s="14" t="s">
        <v>114</v>
      </c>
      <c r="G8017" s="14" t="s">
        <v>49780</v>
      </c>
      <c r="H8017" s="15">
        <v>1.0</v>
      </c>
      <c r="I8017" s="15">
        <v>6.0</v>
      </c>
      <c r="J8017" s="15">
        <v>3.0</v>
      </c>
      <c r="K8017" s="15">
        <v>2.0</v>
      </c>
      <c r="L8017" s="16" t="s">
        <v>49781</v>
      </c>
      <c r="M8017" s="14" t="s">
        <v>49782</v>
      </c>
      <c r="N8017" s="14" t="s">
        <v>665</v>
      </c>
      <c r="O8017" s="16" t="s">
        <v>3857</v>
      </c>
      <c r="P8017" s="14" t="s">
        <v>49783</v>
      </c>
      <c r="Q8017" s="14" t="s">
        <v>49784</v>
      </c>
      <c r="R8017" s="14" t="s">
        <v>1420</v>
      </c>
      <c r="S8017" s="16" t="s">
        <v>49785</v>
      </c>
      <c r="T8017" s="14" t="s">
        <v>66</v>
      </c>
      <c r="U8017" s="16" t="s">
        <v>31</v>
      </c>
      <c r="V8017" s="14" t="s">
        <v>49786</v>
      </c>
      <c r="W8017" s="14" t="s">
        <v>49787</v>
      </c>
      <c r="X8017" s="17" t="str">
        <f>HYPERLINK("https://my.pitchbook.com?p=68608-27P","View People Online")</f>
        <v>View People Online</v>
      </c>
    </row>
    <row r="8018">
      <c r="A8018" s="10" t="s">
        <v>49788</v>
      </c>
      <c r="B8018" s="10" t="s">
        <v>49789</v>
      </c>
      <c r="C8018" s="10" t="s">
        <v>160</v>
      </c>
      <c r="D8018" s="10" t="s">
        <v>49790</v>
      </c>
      <c r="E8018" s="10" t="s">
        <v>49642</v>
      </c>
      <c r="F8018" s="10" t="s">
        <v>221</v>
      </c>
      <c r="G8018" s="10" t="s">
        <v>49791</v>
      </c>
      <c r="H8018" s="11" t="s">
        <v>31</v>
      </c>
      <c r="I8018" s="11">
        <v>1.0</v>
      </c>
      <c r="J8018" s="11">
        <v>1.0</v>
      </c>
      <c r="K8018" s="11" t="s">
        <v>31</v>
      </c>
      <c r="L8018" s="12" t="s">
        <v>49792</v>
      </c>
      <c r="M8018" s="10" t="s">
        <v>49793</v>
      </c>
      <c r="N8018" s="10" t="s">
        <v>14203</v>
      </c>
      <c r="O8018" s="12" t="s">
        <v>14204</v>
      </c>
      <c r="P8018" s="10" t="s">
        <v>49652</v>
      </c>
      <c r="Q8018" s="10" t="s">
        <v>49019</v>
      </c>
      <c r="R8018" s="10" t="s">
        <v>1420</v>
      </c>
      <c r="S8018" s="12" t="s">
        <v>14207</v>
      </c>
      <c r="T8018" s="10" t="s">
        <v>66</v>
      </c>
      <c r="U8018" s="12" t="s">
        <v>49653</v>
      </c>
      <c r="V8018" s="10" t="s">
        <v>221</v>
      </c>
      <c r="W8018" s="10" t="s">
        <v>49642</v>
      </c>
      <c r="X8018" s="13" t="str">
        <f>HYPERLINK("https://my.pitchbook.com?p=409258-27P","View People Online")</f>
        <v>View People Online</v>
      </c>
    </row>
    <row r="8019">
      <c r="A8019" s="6" t="s">
        <v>49794</v>
      </c>
      <c r="B8019" s="6" t="s">
        <v>49795</v>
      </c>
      <c r="C8019" s="6" t="s">
        <v>160</v>
      </c>
      <c r="D8019" s="6" t="s">
        <v>49796</v>
      </c>
      <c r="E8019" s="6" t="s">
        <v>49642</v>
      </c>
      <c r="F8019" s="6" t="s">
        <v>318</v>
      </c>
      <c r="G8019" s="6" t="s">
        <v>49797</v>
      </c>
      <c r="H8019" s="7" t="s">
        <v>31</v>
      </c>
      <c r="I8019" s="7">
        <v>1.0</v>
      </c>
      <c r="J8019" s="7">
        <v>1.0</v>
      </c>
      <c r="K8019" s="7" t="s">
        <v>31</v>
      </c>
      <c r="L8019" s="8" t="s">
        <v>49752</v>
      </c>
      <c r="M8019" s="6" t="s">
        <v>49798</v>
      </c>
      <c r="N8019" s="6" t="s">
        <v>1416</v>
      </c>
      <c r="O8019" s="8" t="s">
        <v>1417</v>
      </c>
      <c r="P8019" s="6" t="s">
        <v>49693</v>
      </c>
      <c r="Q8019" s="6" t="s">
        <v>49694</v>
      </c>
      <c r="R8019" s="6" t="s">
        <v>1420</v>
      </c>
      <c r="S8019" s="8" t="s">
        <v>6302</v>
      </c>
      <c r="T8019" s="6" t="s">
        <v>66</v>
      </c>
      <c r="U8019" s="8" t="s">
        <v>31</v>
      </c>
      <c r="V8019" s="6" t="s">
        <v>318</v>
      </c>
      <c r="W8019" s="6" t="s">
        <v>49642</v>
      </c>
      <c r="X8019" s="9" t="str">
        <f>HYPERLINK("https://my.pitchbook.com?p=166986-28P","View People Online")</f>
        <v>View People Online</v>
      </c>
    </row>
    <row r="8020">
      <c r="A8020" s="10" t="s">
        <v>49799</v>
      </c>
      <c r="B8020" s="10" t="s">
        <v>49800</v>
      </c>
      <c r="C8020" s="10" t="s">
        <v>167</v>
      </c>
      <c r="D8020" s="10" t="s">
        <v>49801</v>
      </c>
      <c r="E8020" s="10" t="s">
        <v>49642</v>
      </c>
      <c r="F8020" s="10" t="s">
        <v>29</v>
      </c>
      <c r="G8020" s="10" t="s">
        <v>49802</v>
      </c>
      <c r="H8020" s="11" t="s">
        <v>31</v>
      </c>
      <c r="I8020" s="11">
        <v>10.0</v>
      </c>
      <c r="J8020" s="11">
        <v>1.0</v>
      </c>
      <c r="K8020" s="11">
        <v>6.0</v>
      </c>
      <c r="L8020" s="12" t="s">
        <v>49752</v>
      </c>
      <c r="M8020" s="10" t="s">
        <v>49803</v>
      </c>
      <c r="N8020" s="10" t="s">
        <v>1416</v>
      </c>
      <c r="O8020" s="12" t="s">
        <v>1417</v>
      </c>
      <c r="P8020" s="10" t="s">
        <v>49693</v>
      </c>
      <c r="Q8020" s="10" t="s">
        <v>49694</v>
      </c>
      <c r="R8020" s="10" t="s">
        <v>1420</v>
      </c>
      <c r="S8020" s="12" t="s">
        <v>6302</v>
      </c>
      <c r="T8020" s="10" t="s">
        <v>66</v>
      </c>
      <c r="U8020" s="12" t="s">
        <v>31</v>
      </c>
      <c r="V8020" s="10" t="s">
        <v>29</v>
      </c>
      <c r="W8020" s="10" t="s">
        <v>49642</v>
      </c>
      <c r="X8020" s="13" t="str">
        <f>HYPERLINK("https://my.pitchbook.com?p=108269-11P","View People Online")</f>
        <v>View People Online</v>
      </c>
    </row>
    <row r="8021">
      <c r="A8021" s="6" t="s">
        <v>49804</v>
      </c>
      <c r="B8021" s="6" t="s">
        <v>49805</v>
      </c>
      <c r="C8021" s="6" t="s">
        <v>2388</v>
      </c>
      <c r="D8021" s="6" t="s">
        <v>3377</v>
      </c>
      <c r="E8021" s="6" t="s">
        <v>49642</v>
      </c>
      <c r="F8021" s="6" t="s">
        <v>29</v>
      </c>
      <c r="G8021" s="6" t="s">
        <v>49806</v>
      </c>
      <c r="H8021" s="7">
        <v>1.0</v>
      </c>
      <c r="I8021" s="7">
        <v>6.0</v>
      </c>
      <c r="J8021" s="7">
        <v>1.0</v>
      </c>
      <c r="K8021" s="7">
        <v>2.0</v>
      </c>
      <c r="L8021" s="8" t="s">
        <v>49644</v>
      </c>
      <c r="M8021" s="6" t="s">
        <v>49807</v>
      </c>
      <c r="N8021" s="6" t="s">
        <v>14203</v>
      </c>
      <c r="O8021" s="8" t="s">
        <v>14204</v>
      </c>
      <c r="P8021" s="6" t="s">
        <v>49652</v>
      </c>
      <c r="Q8021" s="6" t="s">
        <v>49019</v>
      </c>
      <c r="R8021" s="6" t="s">
        <v>1420</v>
      </c>
      <c r="S8021" s="8" t="s">
        <v>14207</v>
      </c>
      <c r="T8021" s="6" t="s">
        <v>66</v>
      </c>
      <c r="U8021" s="8" t="s">
        <v>49653</v>
      </c>
      <c r="V8021" s="6" t="s">
        <v>29</v>
      </c>
      <c r="W8021" s="6" t="s">
        <v>49642</v>
      </c>
      <c r="X8021" s="9" t="str">
        <f>HYPERLINK("https://my.pitchbook.com?p=99288-55P","View People Online")</f>
        <v>View People Online</v>
      </c>
    </row>
    <row r="8022">
      <c r="A8022" s="10" t="s">
        <v>49808</v>
      </c>
      <c r="B8022" s="10" t="s">
        <v>49809</v>
      </c>
      <c r="C8022" s="10" t="s">
        <v>3274</v>
      </c>
      <c r="D8022" s="10" t="s">
        <v>49810</v>
      </c>
      <c r="E8022" s="10" t="s">
        <v>49642</v>
      </c>
      <c r="F8022" s="10" t="s">
        <v>29</v>
      </c>
      <c r="G8022" s="10" t="s">
        <v>49811</v>
      </c>
      <c r="H8022" s="11">
        <v>5.0</v>
      </c>
      <c r="I8022" s="11">
        <v>51.0</v>
      </c>
      <c r="J8022" s="11">
        <v>4.0</v>
      </c>
      <c r="K8022" s="11">
        <v>36.0</v>
      </c>
      <c r="L8022" s="12" t="s">
        <v>49812</v>
      </c>
      <c r="M8022" s="10" t="s">
        <v>49813</v>
      </c>
      <c r="N8022" s="10" t="s">
        <v>1277</v>
      </c>
      <c r="O8022" s="12" t="s">
        <v>1278</v>
      </c>
      <c r="P8022" s="10" t="s">
        <v>49740</v>
      </c>
      <c r="Q8022" s="10" t="s">
        <v>2566</v>
      </c>
      <c r="R8022" s="10" t="s">
        <v>1281</v>
      </c>
      <c r="S8022" s="12" t="s">
        <v>21357</v>
      </c>
      <c r="T8022" s="10" t="s">
        <v>66</v>
      </c>
      <c r="U8022" s="12" t="s">
        <v>49741</v>
      </c>
      <c r="V8022" s="10" t="s">
        <v>49814</v>
      </c>
      <c r="W8022" s="10" t="s">
        <v>49742</v>
      </c>
      <c r="X8022" s="13" t="str">
        <f>HYPERLINK("https://my.pitchbook.com?p=16219-45P","View People Online")</f>
        <v>View People Online</v>
      </c>
    </row>
    <row r="8023">
      <c r="A8023" s="14" t="s">
        <v>49815</v>
      </c>
      <c r="B8023" s="14" t="s">
        <v>49816</v>
      </c>
      <c r="C8023" s="14" t="s">
        <v>49817</v>
      </c>
      <c r="D8023" s="14" t="s">
        <v>28682</v>
      </c>
      <c r="E8023" s="14" t="s">
        <v>49642</v>
      </c>
      <c r="F8023" s="14" t="s">
        <v>371</v>
      </c>
      <c r="G8023" s="14" t="s">
        <v>49818</v>
      </c>
      <c r="H8023" s="15" t="s">
        <v>31</v>
      </c>
      <c r="I8023" s="15">
        <v>1.0</v>
      </c>
      <c r="J8023" s="15">
        <v>1.0</v>
      </c>
      <c r="K8023" s="15" t="s">
        <v>31</v>
      </c>
      <c r="L8023" s="16" t="s">
        <v>49644</v>
      </c>
      <c r="M8023" s="14" t="s">
        <v>49819</v>
      </c>
      <c r="N8023" s="14" t="s">
        <v>14203</v>
      </c>
      <c r="O8023" s="16" t="s">
        <v>14204</v>
      </c>
      <c r="P8023" s="14" t="s">
        <v>49652</v>
      </c>
      <c r="Q8023" s="14" t="s">
        <v>49019</v>
      </c>
      <c r="R8023" s="14" t="s">
        <v>1420</v>
      </c>
      <c r="S8023" s="16" t="s">
        <v>14207</v>
      </c>
      <c r="T8023" s="14" t="s">
        <v>66</v>
      </c>
      <c r="U8023" s="16" t="s">
        <v>49653</v>
      </c>
      <c r="V8023" s="14" t="s">
        <v>371</v>
      </c>
      <c r="W8023" s="14" t="s">
        <v>49642</v>
      </c>
      <c r="X8023" s="17" t="str">
        <f>HYPERLINK("https://my.pitchbook.com?p=258107-23P","View People Online")</f>
        <v>View People Online</v>
      </c>
    </row>
    <row r="8024">
      <c r="A8024" s="2" t="s">
        <v>49820</v>
      </c>
      <c r="B8024" s="2" t="s">
        <v>49821</v>
      </c>
      <c r="C8024" s="2" t="s">
        <v>180</v>
      </c>
      <c r="D8024" s="2" t="s">
        <v>49822</v>
      </c>
      <c r="E8024" s="2" t="s">
        <v>49642</v>
      </c>
      <c r="F8024" s="2" t="s">
        <v>1134</v>
      </c>
      <c r="G8024" s="2" t="s">
        <v>49823</v>
      </c>
      <c r="H8024" s="3" t="s">
        <v>31</v>
      </c>
      <c r="I8024" s="3">
        <v>8.0</v>
      </c>
      <c r="J8024" s="3">
        <v>1.0</v>
      </c>
      <c r="K8024" s="3">
        <v>4.0</v>
      </c>
      <c r="L8024" s="4" t="s">
        <v>49644</v>
      </c>
      <c r="M8024" s="2" t="s">
        <v>49824</v>
      </c>
      <c r="N8024" s="2" t="s">
        <v>14203</v>
      </c>
      <c r="O8024" s="4" t="s">
        <v>14204</v>
      </c>
      <c r="P8024" s="2" t="s">
        <v>49652</v>
      </c>
      <c r="Q8024" s="2" t="s">
        <v>49019</v>
      </c>
      <c r="R8024" s="2" t="s">
        <v>1420</v>
      </c>
      <c r="S8024" s="4" t="s">
        <v>14207</v>
      </c>
      <c r="T8024" s="2" t="s">
        <v>66</v>
      </c>
      <c r="U8024" s="4" t="s">
        <v>49653</v>
      </c>
      <c r="V8024" s="2" t="s">
        <v>49814</v>
      </c>
      <c r="W8024" s="2" t="s">
        <v>49642</v>
      </c>
      <c r="X8024" s="5" t="str">
        <f>HYPERLINK("https://my.pitchbook.com?p=144828-28P","View People Online")</f>
        <v>View People Online</v>
      </c>
    </row>
    <row r="8025">
      <c r="A8025" s="6" t="s">
        <v>49825</v>
      </c>
      <c r="B8025" s="6" t="s">
        <v>49826</v>
      </c>
      <c r="C8025" s="6" t="s">
        <v>43991</v>
      </c>
      <c r="D8025" s="6" t="s">
        <v>29834</v>
      </c>
      <c r="E8025" s="6" t="s">
        <v>49642</v>
      </c>
      <c r="F8025" s="6" t="s">
        <v>318</v>
      </c>
      <c r="G8025" s="6" t="s">
        <v>49827</v>
      </c>
      <c r="H8025" s="7" t="s">
        <v>31</v>
      </c>
      <c r="I8025" s="7">
        <v>2.0</v>
      </c>
      <c r="J8025" s="7">
        <v>1.0</v>
      </c>
      <c r="K8025" s="7" t="s">
        <v>31</v>
      </c>
      <c r="L8025" s="8" t="s">
        <v>49644</v>
      </c>
      <c r="M8025" s="6" t="s">
        <v>49828</v>
      </c>
      <c r="N8025" s="6" t="s">
        <v>14203</v>
      </c>
      <c r="O8025" s="8" t="s">
        <v>14204</v>
      </c>
      <c r="P8025" s="6" t="s">
        <v>49652</v>
      </c>
      <c r="Q8025" s="6" t="s">
        <v>49019</v>
      </c>
      <c r="R8025" s="6" t="s">
        <v>1420</v>
      </c>
      <c r="S8025" s="8" t="s">
        <v>14207</v>
      </c>
      <c r="T8025" s="6" t="s">
        <v>66</v>
      </c>
      <c r="U8025" s="8" t="s">
        <v>49653</v>
      </c>
      <c r="V8025" s="6" t="s">
        <v>318</v>
      </c>
      <c r="W8025" s="6" t="s">
        <v>49642</v>
      </c>
      <c r="X8025" s="9" t="str">
        <f>HYPERLINK("https://my.pitchbook.com?p=144830-98P","View People Online")</f>
        <v>View People Online</v>
      </c>
    </row>
    <row r="8026">
      <c r="A8026" s="2" t="s">
        <v>49829</v>
      </c>
      <c r="B8026" s="2" t="s">
        <v>49830</v>
      </c>
      <c r="C8026" s="2" t="s">
        <v>680</v>
      </c>
      <c r="D8026" s="2" t="s">
        <v>49831</v>
      </c>
      <c r="E8026" s="2" t="s">
        <v>49642</v>
      </c>
      <c r="F8026" s="2" t="s">
        <v>371</v>
      </c>
      <c r="G8026" s="2" t="s">
        <v>49832</v>
      </c>
      <c r="H8026" s="3" t="s">
        <v>31</v>
      </c>
      <c r="I8026" s="3">
        <v>3.0</v>
      </c>
      <c r="J8026" s="3">
        <v>3.0</v>
      </c>
      <c r="K8026" s="3" t="s">
        <v>31</v>
      </c>
      <c r="L8026" s="4" t="s">
        <v>31</v>
      </c>
      <c r="M8026" s="2" t="s">
        <v>49833</v>
      </c>
      <c r="N8026" s="2" t="s">
        <v>1416</v>
      </c>
      <c r="O8026" s="4" t="s">
        <v>1417</v>
      </c>
      <c r="P8026" s="2" t="s">
        <v>49834</v>
      </c>
      <c r="Q8026" s="2" t="s">
        <v>49835</v>
      </c>
      <c r="R8026" s="2" t="s">
        <v>1420</v>
      </c>
      <c r="S8026" s="4" t="s">
        <v>6302</v>
      </c>
      <c r="T8026" s="2" t="s">
        <v>66</v>
      </c>
      <c r="U8026" s="4" t="s">
        <v>31</v>
      </c>
      <c r="V8026" s="2" t="s">
        <v>201</v>
      </c>
      <c r="W8026" s="2" t="s">
        <v>49836</v>
      </c>
      <c r="X8026" s="5" t="str">
        <f>HYPERLINK("https://my.pitchbook.com?p=172053-28P","View People Online")</f>
        <v>View People Online</v>
      </c>
    </row>
    <row r="8027">
      <c r="A8027" s="14" t="s">
        <v>49837</v>
      </c>
      <c r="B8027" s="14" t="s">
        <v>49838</v>
      </c>
      <c r="C8027" s="14" t="s">
        <v>19668</v>
      </c>
      <c r="D8027" s="14" t="s">
        <v>49839</v>
      </c>
      <c r="E8027" s="14" t="s">
        <v>49642</v>
      </c>
      <c r="F8027" s="14" t="s">
        <v>114</v>
      </c>
      <c r="G8027" s="14" t="s">
        <v>49840</v>
      </c>
      <c r="H8027" s="15">
        <v>1.0</v>
      </c>
      <c r="I8027" s="15">
        <v>2.0</v>
      </c>
      <c r="J8027" s="15">
        <v>2.0</v>
      </c>
      <c r="K8027" s="15" t="s">
        <v>31</v>
      </c>
      <c r="L8027" s="16" t="s">
        <v>49841</v>
      </c>
      <c r="M8027" s="14" t="s">
        <v>49842</v>
      </c>
      <c r="N8027" s="14" t="s">
        <v>1454</v>
      </c>
      <c r="O8027" s="16" t="s">
        <v>1455</v>
      </c>
      <c r="P8027" s="14" t="s">
        <v>43259</v>
      </c>
      <c r="Q8027" s="14" t="s">
        <v>14206</v>
      </c>
      <c r="R8027" s="14" t="s">
        <v>93</v>
      </c>
      <c r="S8027" s="16" t="s">
        <v>1458</v>
      </c>
      <c r="T8027" s="14" t="s">
        <v>66</v>
      </c>
      <c r="U8027" s="16" t="s">
        <v>31</v>
      </c>
      <c r="V8027" s="14" t="s">
        <v>36300</v>
      </c>
      <c r="W8027" s="14" t="s">
        <v>49843</v>
      </c>
      <c r="X8027" s="17" t="str">
        <f>HYPERLINK("https://my.pitchbook.com?p=16204-42P","View People Online")</f>
        <v>View People Online</v>
      </c>
    </row>
    <row r="8028">
      <c r="A8028" s="2" t="s">
        <v>49844</v>
      </c>
      <c r="B8028" s="2" t="s">
        <v>49845</v>
      </c>
      <c r="C8028" s="2" t="s">
        <v>49846</v>
      </c>
      <c r="D8028" s="2" t="s">
        <v>16884</v>
      </c>
      <c r="E8028" s="2" t="s">
        <v>49642</v>
      </c>
      <c r="F8028" s="2" t="s">
        <v>371</v>
      </c>
      <c r="G8028" s="2" t="s">
        <v>49847</v>
      </c>
      <c r="H8028" s="3" t="s">
        <v>31</v>
      </c>
      <c r="I8028" s="3">
        <v>1.0</v>
      </c>
      <c r="J8028" s="3">
        <v>1.0</v>
      </c>
      <c r="K8028" s="3" t="s">
        <v>31</v>
      </c>
      <c r="L8028" s="4" t="s">
        <v>49644</v>
      </c>
      <c r="M8028" s="2" t="s">
        <v>49848</v>
      </c>
      <c r="N8028" s="2" t="s">
        <v>42762</v>
      </c>
      <c r="O8028" s="4" t="s">
        <v>42763</v>
      </c>
      <c r="P8028" s="2" t="s">
        <v>49849</v>
      </c>
      <c r="Q8028" s="2" t="s">
        <v>31</v>
      </c>
      <c r="R8028" s="2" t="s">
        <v>1420</v>
      </c>
      <c r="S8028" s="4" t="s">
        <v>49850</v>
      </c>
      <c r="T8028" s="2" t="s">
        <v>66</v>
      </c>
      <c r="U8028" s="4" t="s">
        <v>31</v>
      </c>
      <c r="V8028" s="2" t="s">
        <v>201</v>
      </c>
      <c r="W8028" s="2" t="s">
        <v>49851</v>
      </c>
      <c r="X8028" s="5" t="str">
        <f>HYPERLINK("https://my.pitchbook.com?p=84490-66P","View People Online")</f>
        <v>View People Online</v>
      </c>
    </row>
    <row r="8029">
      <c r="A8029" s="6" t="s">
        <v>49852</v>
      </c>
      <c r="B8029" s="6" t="s">
        <v>49853</v>
      </c>
      <c r="C8029" s="6" t="s">
        <v>226</v>
      </c>
      <c r="D8029" s="6" t="s">
        <v>5985</v>
      </c>
      <c r="E8029" s="6" t="s">
        <v>49642</v>
      </c>
      <c r="F8029" s="6" t="s">
        <v>201</v>
      </c>
      <c r="G8029" s="6" t="s">
        <v>49854</v>
      </c>
      <c r="H8029" s="7" t="s">
        <v>31</v>
      </c>
      <c r="I8029" s="7">
        <v>1.0</v>
      </c>
      <c r="J8029" s="7">
        <v>1.0</v>
      </c>
      <c r="K8029" s="7" t="s">
        <v>31</v>
      </c>
      <c r="L8029" s="8" t="s">
        <v>49644</v>
      </c>
      <c r="M8029" s="6" t="s">
        <v>49855</v>
      </c>
      <c r="N8029" s="6" t="s">
        <v>14203</v>
      </c>
      <c r="O8029" s="8" t="s">
        <v>14204</v>
      </c>
      <c r="P8029" s="6" t="s">
        <v>49652</v>
      </c>
      <c r="Q8029" s="6" t="s">
        <v>49019</v>
      </c>
      <c r="R8029" s="6" t="s">
        <v>1420</v>
      </c>
      <c r="S8029" s="8" t="s">
        <v>14207</v>
      </c>
      <c r="T8029" s="6" t="s">
        <v>66</v>
      </c>
      <c r="U8029" s="8" t="s">
        <v>49653</v>
      </c>
      <c r="V8029" s="6" t="s">
        <v>201</v>
      </c>
      <c r="W8029" s="6" t="s">
        <v>49642</v>
      </c>
      <c r="X8029" s="9" t="str">
        <f>HYPERLINK("https://my.pitchbook.com?p=335371-42P","View People Online")</f>
        <v>View People Online</v>
      </c>
    </row>
    <row r="8030">
      <c r="A8030" s="10" t="s">
        <v>49856</v>
      </c>
      <c r="B8030" s="10" t="s">
        <v>49857</v>
      </c>
      <c r="C8030" s="10" t="s">
        <v>49858</v>
      </c>
      <c r="D8030" s="10" t="s">
        <v>49859</v>
      </c>
      <c r="E8030" s="10" t="s">
        <v>49860</v>
      </c>
      <c r="F8030" s="10" t="s">
        <v>32296</v>
      </c>
      <c r="G8030" s="10" t="s">
        <v>49861</v>
      </c>
      <c r="H8030" s="11" t="s">
        <v>31</v>
      </c>
      <c r="I8030" s="11">
        <v>1.0</v>
      </c>
      <c r="J8030" s="11">
        <v>1.0</v>
      </c>
      <c r="K8030" s="11" t="s">
        <v>31</v>
      </c>
      <c r="L8030" s="12" t="s">
        <v>49862</v>
      </c>
      <c r="M8030" s="10" t="s">
        <v>49863</v>
      </c>
      <c r="N8030" s="10" t="s">
        <v>6311</v>
      </c>
      <c r="O8030" s="12" t="s">
        <v>6312</v>
      </c>
      <c r="P8030" s="10" t="s">
        <v>49864</v>
      </c>
      <c r="Q8030" s="10" t="s">
        <v>49865</v>
      </c>
      <c r="R8030" s="10" t="s">
        <v>31</v>
      </c>
      <c r="S8030" s="12" t="s">
        <v>49866</v>
      </c>
      <c r="T8030" s="10" t="s">
        <v>6315</v>
      </c>
      <c r="U8030" s="12" t="s">
        <v>31</v>
      </c>
      <c r="V8030" s="10" t="s">
        <v>49867</v>
      </c>
      <c r="W8030" s="10" t="s">
        <v>49860</v>
      </c>
      <c r="X8030" s="13" t="str">
        <f>HYPERLINK("https://my.pitchbook.com?p=122262-31P","View People Online")</f>
        <v>View People Online</v>
      </c>
    </row>
    <row r="8031">
      <c r="A8031" s="14" t="s">
        <v>49868</v>
      </c>
      <c r="B8031" s="14" t="s">
        <v>49869</v>
      </c>
      <c r="C8031" s="14" t="s">
        <v>49870</v>
      </c>
      <c r="D8031" s="14" t="s">
        <v>49871</v>
      </c>
      <c r="E8031" s="14" t="s">
        <v>49860</v>
      </c>
      <c r="F8031" s="14" t="s">
        <v>2532</v>
      </c>
      <c r="G8031" s="14" t="s">
        <v>49872</v>
      </c>
      <c r="H8031" s="15" t="s">
        <v>31</v>
      </c>
      <c r="I8031" s="15">
        <v>1.0</v>
      </c>
      <c r="J8031" s="15">
        <v>1.0</v>
      </c>
      <c r="K8031" s="15" t="s">
        <v>31</v>
      </c>
      <c r="L8031" s="16" t="s">
        <v>49873</v>
      </c>
      <c r="M8031" s="14" t="s">
        <v>49874</v>
      </c>
      <c r="N8031" s="14" t="s">
        <v>6311</v>
      </c>
      <c r="O8031" s="16" t="s">
        <v>6312</v>
      </c>
      <c r="P8031" s="14" t="s">
        <v>49864</v>
      </c>
      <c r="Q8031" s="14" t="s">
        <v>49865</v>
      </c>
      <c r="R8031" s="14" t="s">
        <v>31</v>
      </c>
      <c r="S8031" s="16" t="s">
        <v>49866</v>
      </c>
      <c r="T8031" s="14" t="s">
        <v>6315</v>
      </c>
      <c r="U8031" s="16" t="s">
        <v>31</v>
      </c>
      <c r="V8031" s="14" t="s">
        <v>49875</v>
      </c>
      <c r="W8031" s="14" t="s">
        <v>49860</v>
      </c>
      <c r="X8031" s="17" t="str">
        <f>HYPERLINK("https://my.pitchbook.com?p=228771-64P","View People Online")</f>
        <v>View People Online</v>
      </c>
    </row>
    <row r="8032">
      <c r="A8032" s="2" t="s">
        <v>49876</v>
      </c>
      <c r="B8032" s="2" t="s">
        <v>49877</v>
      </c>
      <c r="C8032" s="2" t="s">
        <v>34748</v>
      </c>
      <c r="D8032" s="2" t="s">
        <v>49878</v>
      </c>
      <c r="E8032" s="2" t="s">
        <v>49860</v>
      </c>
      <c r="F8032" s="2" t="s">
        <v>1459</v>
      </c>
      <c r="G8032" s="2" t="s">
        <v>49879</v>
      </c>
      <c r="H8032" s="3" t="s">
        <v>31</v>
      </c>
      <c r="I8032" s="3">
        <v>2.0</v>
      </c>
      <c r="J8032" s="3">
        <v>1.0</v>
      </c>
      <c r="K8032" s="3">
        <v>1.0</v>
      </c>
      <c r="L8032" s="4" t="s">
        <v>49862</v>
      </c>
      <c r="M8032" s="2" t="s">
        <v>49880</v>
      </c>
      <c r="N8032" s="2" t="s">
        <v>6311</v>
      </c>
      <c r="O8032" s="4" t="s">
        <v>6312</v>
      </c>
      <c r="P8032" s="2" t="s">
        <v>49864</v>
      </c>
      <c r="Q8032" s="2" t="s">
        <v>49865</v>
      </c>
      <c r="R8032" s="2" t="s">
        <v>31</v>
      </c>
      <c r="S8032" s="4" t="s">
        <v>49866</v>
      </c>
      <c r="T8032" s="2" t="s">
        <v>6315</v>
      </c>
      <c r="U8032" s="4" t="s">
        <v>31</v>
      </c>
      <c r="V8032" s="2" t="s">
        <v>1459</v>
      </c>
      <c r="W8032" s="2" t="s">
        <v>49860</v>
      </c>
      <c r="X8032" s="5" t="str">
        <f>HYPERLINK("https://my.pitchbook.com?p=83597-05P","View People Online")</f>
        <v>View People Online</v>
      </c>
    </row>
    <row r="8033">
      <c r="A8033" s="14" t="s">
        <v>49881</v>
      </c>
      <c r="B8033" s="14" t="s">
        <v>49882</v>
      </c>
      <c r="C8033" s="14" t="s">
        <v>49883</v>
      </c>
      <c r="D8033" s="14" t="s">
        <v>49884</v>
      </c>
      <c r="E8033" s="14" t="s">
        <v>49860</v>
      </c>
      <c r="F8033" s="14" t="s">
        <v>270</v>
      </c>
      <c r="G8033" s="14" t="s">
        <v>49885</v>
      </c>
      <c r="H8033" s="15" t="s">
        <v>31</v>
      </c>
      <c r="I8033" s="15">
        <v>1.0</v>
      </c>
      <c r="J8033" s="15">
        <v>1.0</v>
      </c>
      <c r="K8033" s="15" t="s">
        <v>31</v>
      </c>
      <c r="L8033" s="16" t="s">
        <v>49886</v>
      </c>
      <c r="M8033" s="14" t="s">
        <v>49887</v>
      </c>
      <c r="N8033" s="14" t="s">
        <v>6311</v>
      </c>
      <c r="O8033" s="16" t="s">
        <v>6312</v>
      </c>
      <c r="P8033" s="14" t="s">
        <v>49864</v>
      </c>
      <c r="Q8033" s="14" t="s">
        <v>49865</v>
      </c>
      <c r="R8033" s="14" t="s">
        <v>31</v>
      </c>
      <c r="S8033" s="16" t="s">
        <v>49866</v>
      </c>
      <c r="T8033" s="14" t="s">
        <v>6315</v>
      </c>
      <c r="U8033" s="16" t="s">
        <v>31</v>
      </c>
      <c r="V8033" s="14" t="s">
        <v>34757</v>
      </c>
      <c r="W8033" s="14" t="s">
        <v>49860</v>
      </c>
      <c r="X8033" s="17" t="str">
        <f>HYPERLINK("https://my.pitchbook.com?p=369910-90P","View People Online")</f>
        <v>View People Online</v>
      </c>
    </row>
    <row r="8034">
      <c r="A8034" s="2" t="s">
        <v>49888</v>
      </c>
      <c r="B8034" s="2" t="s">
        <v>49889</v>
      </c>
      <c r="C8034" s="2" t="s">
        <v>49890</v>
      </c>
      <c r="D8034" s="2" t="s">
        <v>27321</v>
      </c>
      <c r="E8034" s="2" t="s">
        <v>49860</v>
      </c>
      <c r="F8034" s="2" t="s">
        <v>1801</v>
      </c>
      <c r="G8034" s="2" t="s">
        <v>49891</v>
      </c>
      <c r="H8034" s="3" t="s">
        <v>31</v>
      </c>
      <c r="I8034" s="3">
        <v>1.0</v>
      </c>
      <c r="J8034" s="3">
        <v>1.0</v>
      </c>
      <c r="K8034" s="3" t="s">
        <v>31</v>
      </c>
      <c r="L8034" s="4" t="s">
        <v>49862</v>
      </c>
      <c r="M8034" s="2" t="s">
        <v>49892</v>
      </c>
      <c r="N8034" s="2" t="s">
        <v>6311</v>
      </c>
      <c r="O8034" s="4" t="s">
        <v>6312</v>
      </c>
      <c r="P8034" s="2" t="s">
        <v>49864</v>
      </c>
      <c r="Q8034" s="2" t="s">
        <v>49865</v>
      </c>
      <c r="R8034" s="2" t="s">
        <v>31</v>
      </c>
      <c r="S8034" s="4" t="s">
        <v>49866</v>
      </c>
      <c r="T8034" s="2" t="s">
        <v>6315</v>
      </c>
      <c r="U8034" s="4" t="s">
        <v>31</v>
      </c>
      <c r="V8034" s="2" t="s">
        <v>49893</v>
      </c>
      <c r="W8034" s="2" t="s">
        <v>49860</v>
      </c>
      <c r="X8034" s="5" t="str">
        <f>HYPERLINK("https://my.pitchbook.com?p=155603-44P","View People Online")</f>
        <v>View People Online</v>
      </c>
    </row>
    <row r="8035">
      <c r="A8035" s="14" t="s">
        <v>49894</v>
      </c>
      <c r="B8035" s="14" t="s">
        <v>49895</v>
      </c>
      <c r="C8035" s="14" t="s">
        <v>49896</v>
      </c>
      <c r="D8035" s="14" t="s">
        <v>49897</v>
      </c>
      <c r="E8035" s="14" t="s">
        <v>49860</v>
      </c>
      <c r="F8035" s="14" t="s">
        <v>371</v>
      </c>
      <c r="G8035" s="14" t="s">
        <v>49898</v>
      </c>
      <c r="H8035" s="15" t="s">
        <v>31</v>
      </c>
      <c r="I8035" s="15">
        <v>2.0</v>
      </c>
      <c r="J8035" s="15">
        <v>1.0</v>
      </c>
      <c r="K8035" s="15">
        <v>1.0</v>
      </c>
      <c r="L8035" s="16" t="s">
        <v>49862</v>
      </c>
      <c r="M8035" s="14" t="s">
        <v>49899</v>
      </c>
      <c r="N8035" s="14" t="s">
        <v>6311</v>
      </c>
      <c r="O8035" s="16" t="s">
        <v>6312</v>
      </c>
      <c r="P8035" s="14" t="s">
        <v>49864</v>
      </c>
      <c r="Q8035" s="14" t="s">
        <v>49865</v>
      </c>
      <c r="R8035" s="14" t="s">
        <v>31</v>
      </c>
      <c r="S8035" s="16" t="s">
        <v>49866</v>
      </c>
      <c r="T8035" s="14" t="s">
        <v>6315</v>
      </c>
      <c r="U8035" s="16" t="s">
        <v>31</v>
      </c>
      <c r="V8035" s="14" t="s">
        <v>371</v>
      </c>
      <c r="W8035" s="14" t="s">
        <v>49860</v>
      </c>
      <c r="X8035" s="17" t="str">
        <f>HYPERLINK("https://my.pitchbook.com?p=200759-77P","View People Online")</f>
        <v>View People Online</v>
      </c>
    </row>
    <row r="8036">
      <c r="A8036" s="10" t="s">
        <v>49900</v>
      </c>
      <c r="B8036" s="10" t="s">
        <v>49901</v>
      </c>
      <c r="C8036" s="10" t="s">
        <v>34779</v>
      </c>
      <c r="D8036" s="10" t="s">
        <v>49902</v>
      </c>
      <c r="E8036" s="10" t="s">
        <v>49860</v>
      </c>
      <c r="F8036" s="10" t="s">
        <v>3740</v>
      </c>
      <c r="G8036" s="10" t="s">
        <v>49903</v>
      </c>
      <c r="H8036" s="11" t="s">
        <v>31</v>
      </c>
      <c r="I8036" s="11">
        <v>1.0</v>
      </c>
      <c r="J8036" s="11">
        <v>1.0</v>
      </c>
      <c r="K8036" s="11" t="s">
        <v>31</v>
      </c>
      <c r="L8036" s="12" t="s">
        <v>49862</v>
      </c>
      <c r="M8036" s="10" t="s">
        <v>49904</v>
      </c>
      <c r="N8036" s="10" t="s">
        <v>6311</v>
      </c>
      <c r="O8036" s="12" t="s">
        <v>6312</v>
      </c>
      <c r="P8036" s="10" t="s">
        <v>49864</v>
      </c>
      <c r="Q8036" s="10" t="s">
        <v>49865</v>
      </c>
      <c r="R8036" s="10" t="s">
        <v>31</v>
      </c>
      <c r="S8036" s="12" t="s">
        <v>49866</v>
      </c>
      <c r="T8036" s="10" t="s">
        <v>6315</v>
      </c>
      <c r="U8036" s="12" t="s">
        <v>31</v>
      </c>
      <c r="V8036" s="10" t="s">
        <v>49905</v>
      </c>
      <c r="W8036" s="10" t="s">
        <v>49860</v>
      </c>
      <c r="X8036" s="13" t="str">
        <f>HYPERLINK("https://my.pitchbook.com?p=122263-30P","View People Online")</f>
        <v>View People Online</v>
      </c>
    </row>
    <row r="8037">
      <c r="A8037" s="14" t="s">
        <v>49906</v>
      </c>
      <c r="B8037" s="14" t="s">
        <v>49907</v>
      </c>
      <c r="C8037" s="14" t="s">
        <v>49908</v>
      </c>
      <c r="D8037" s="14" t="s">
        <v>49909</v>
      </c>
      <c r="E8037" s="14" t="s">
        <v>49860</v>
      </c>
      <c r="F8037" s="14" t="s">
        <v>270</v>
      </c>
      <c r="G8037" s="14" t="s">
        <v>49910</v>
      </c>
      <c r="H8037" s="15" t="s">
        <v>31</v>
      </c>
      <c r="I8037" s="15">
        <v>1.0</v>
      </c>
      <c r="J8037" s="15">
        <v>1.0</v>
      </c>
      <c r="K8037" s="15" t="s">
        <v>31</v>
      </c>
      <c r="L8037" s="16" t="s">
        <v>49862</v>
      </c>
      <c r="M8037" s="14" t="s">
        <v>49911</v>
      </c>
      <c r="N8037" s="14" t="s">
        <v>6311</v>
      </c>
      <c r="O8037" s="16" t="s">
        <v>6312</v>
      </c>
      <c r="P8037" s="14" t="s">
        <v>49864</v>
      </c>
      <c r="Q8037" s="14" t="s">
        <v>49865</v>
      </c>
      <c r="R8037" s="14" t="s">
        <v>31</v>
      </c>
      <c r="S8037" s="16" t="s">
        <v>49866</v>
      </c>
      <c r="T8037" s="14" t="s">
        <v>6315</v>
      </c>
      <c r="U8037" s="16" t="s">
        <v>31</v>
      </c>
      <c r="V8037" s="14" t="s">
        <v>49912</v>
      </c>
      <c r="W8037" s="14" t="s">
        <v>49860</v>
      </c>
      <c r="X8037" s="17" t="str">
        <f>HYPERLINK("https://my.pitchbook.com?p=142628-32P","View People Online")</f>
        <v>View People Online</v>
      </c>
    </row>
    <row r="8038">
      <c r="A8038" s="2" t="s">
        <v>49913</v>
      </c>
      <c r="B8038" s="2" t="s">
        <v>49914</v>
      </c>
      <c r="C8038" s="2" t="s">
        <v>34798</v>
      </c>
      <c r="D8038" s="2" t="s">
        <v>49915</v>
      </c>
      <c r="E8038" s="2" t="s">
        <v>49860</v>
      </c>
      <c r="F8038" s="2" t="s">
        <v>1459</v>
      </c>
      <c r="G8038" s="2" t="s">
        <v>49916</v>
      </c>
      <c r="H8038" s="3" t="s">
        <v>31</v>
      </c>
      <c r="I8038" s="3">
        <v>5.0</v>
      </c>
      <c r="J8038" s="3">
        <v>1.0</v>
      </c>
      <c r="K8038" s="3">
        <v>4.0</v>
      </c>
      <c r="L8038" s="4" t="s">
        <v>49862</v>
      </c>
      <c r="M8038" s="2" t="s">
        <v>31</v>
      </c>
      <c r="N8038" s="2" t="s">
        <v>6311</v>
      </c>
      <c r="O8038" s="4" t="s">
        <v>6312</v>
      </c>
      <c r="P8038" s="2" t="s">
        <v>49864</v>
      </c>
      <c r="Q8038" s="2" t="s">
        <v>49865</v>
      </c>
      <c r="R8038" s="2" t="s">
        <v>31</v>
      </c>
      <c r="S8038" s="4" t="s">
        <v>49866</v>
      </c>
      <c r="T8038" s="2" t="s">
        <v>6315</v>
      </c>
      <c r="U8038" s="4" t="s">
        <v>31</v>
      </c>
      <c r="V8038" s="2" t="s">
        <v>1459</v>
      </c>
      <c r="W8038" s="2" t="s">
        <v>49860</v>
      </c>
      <c r="X8038" s="5" t="str">
        <f>HYPERLINK("https://my.pitchbook.com?p=83584-63P","View People Online")</f>
        <v>View People Online</v>
      </c>
    </row>
    <row r="8039">
      <c r="A8039" s="6" t="s">
        <v>49917</v>
      </c>
      <c r="B8039" s="6" t="s">
        <v>49918</v>
      </c>
      <c r="C8039" s="6" t="s">
        <v>49919</v>
      </c>
      <c r="D8039" s="6" t="s">
        <v>49920</v>
      </c>
      <c r="E8039" s="6" t="s">
        <v>49860</v>
      </c>
      <c r="F8039" s="6" t="s">
        <v>3740</v>
      </c>
      <c r="G8039" s="6" t="s">
        <v>49921</v>
      </c>
      <c r="H8039" s="7" t="s">
        <v>31</v>
      </c>
      <c r="I8039" s="7">
        <v>2.0</v>
      </c>
      <c r="J8039" s="7">
        <v>1.0</v>
      </c>
      <c r="K8039" s="7">
        <v>1.0</v>
      </c>
      <c r="L8039" s="8" t="s">
        <v>49862</v>
      </c>
      <c r="M8039" s="6" t="s">
        <v>31</v>
      </c>
      <c r="N8039" s="6" t="s">
        <v>6311</v>
      </c>
      <c r="O8039" s="8" t="s">
        <v>6312</v>
      </c>
      <c r="P8039" s="6" t="s">
        <v>49864</v>
      </c>
      <c r="Q8039" s="6" t="s">
        <v>49865</v>
      </c>
      <c r="R8039" s="6" t="s">
        <v>31</v>
      </c>
      <c r="S8039" s="8" t="s">
        <v>49866</v>
      </c>
      <c r="T8039" s="6" t="s">
        <v>6315</v>
      </c>
      <c r="U8039" s="8" t="s">
        <v>31</v>
      </c>
      <c r="V8039" s="6" t="s">
        <v>3740</v>
      </c>
      <c r="W8039" s="6" t="s">
        <v>49860</v>
      </c>
      <c r="X8039" s="9" t="str">
        <f>HYPERLINK("https://my.pitchbook.com?p=368331-49P","View People Online")</f>
        <v>View People Online</v>
      </c>
    </row>
    <row r="8040">
      <c r="A8040" s="2" t="s">
        <v>49922</v>
      </c>
      <c r="B8040" s="2" t="s">
        <v>49923</v>
      </c>
      <c r="C8040" s="2" t="s">
        <v>49924</v>
      </c>
      <c r="D8040" s="2" t="s">
        <v>49925</v>
      </c>
      <c r="E8040" s="2" t="s">
        <v>49860</v>
      </c>
      <c r="F8040" s="2" t="s">
        <v>312</v>
      </c>
      <c r="G8040" s="2" t="s">
        <v>49926</v>
      </c>
      <c r="H8040" s="3" t="s">
        <v>31</v>
      </c>
      <c r="I8040" s="3">
        <v>1.0</v>
      </c>
      <c r="J8040" s="3">
        <v>1.0</v>
      </c>
      <c r="K8040" s="3" t="s">
        <v>31</v>
      </c>
      <c r="L8040" s="4" t="s">
        <v>49862</v>
      </c>
      <c r="M8040" s="2" t="s">
        <v>49927</v>
      </c>
      <c r="N8040" s="2" t="s">
        <v>6311</v>
      </c>
      <c r="O8040" s="4" t="s">
        <v>6312</v>
      </c>
      <c r="P8040" s="2" t="s">
        <v>49864</v>
      </c>
      <c r="Q8040" s="2" t="s">
        <v>49865</v>
      </c>
      <c r="R8040" s="2" t="s">
        <v>31</v>
      </c>
      <c r="S8040" s="4" t="s">
        <v>49866</v>
      </c>
      <c r="T8040" s="2" t="s">
        <v>6315</v>
      </c>
      <c r="U8040" s="4" t="s">
        <v>31</v>
      </c>
      <c r="V8040" s="2" t="s">
        <v>49928</v>
      </c>
      <c r="W8040" s="2" t="s">
        <v>49860</v>
      </c>
      <c r="X8040" s="5" t="str">
        <f>HYPERLINK("https://my.pitchbook.com?p=155603-17P","View People Online")</f>
        <v>View People Online</v>
      </c>
    </row>
    <row r="8041">
      <c r="A8041" s="14" t="s">
        <v>49929</v>
      </c>
      <c r="B8041" s="14" t="s">
        <v>49930</v>
      </c>
      <c r="C8041" s="14" t="s">
        <v>18773</v>
      </c>
      <c r="D8041" s="14" t="s">
        <v>49931</v>
      </c>
      <c r="E8041" s="14" t="s">
        <v>49860</v>
      </c>
      <c r="F8041" s="14" t="s">
        <v>49932</v>
      </c>
      <c r="G8041" s="14" t="s">
        <v>49933</v>
      </c>
      <c r="H8041" s="15" t="s">
        <v>31</v>
      </c>
      <c r="I8041" s="15">
        <v>1.0</v>
      </c>
      <c r="J8041" s="15">
        <v>1.0</v>
      </c>
      <c r="K8041" s="15" t="s">
        <v>31</v>
      </c>
      <c r="L8041" s="16" t="s">
        <v>49862</v>
      </c>
      <c r="M8041" s="14" t="s">
        <v>49934</v>
      </c>
      <c r="N8041" s="14" t="s">
        <v>6311</v>
      </c>
      <c r="O8041" s="16" t="s">
        <v>6312</v>
      </c>
      <c r="P8041" s="14" t="s">
        <v>49864</v>
      </c>
      <c r="Q8041" s="14" t="s">
        <v>49865</v>
      </c>
      <c r="R8041" s="14" t="s">
        <v>31</v>
      </c>
      <c r="S8041" s="16" t="s">
        <v>49866</v>
      </c>
      <c r="T8041" s="14" t="s">
        <v>6315</v>
      </c>
      <c r="U8041" s="16" t="s">
        <v>31</v>
      </c>
      <c r="V8041" s="14" t="s">
        <v>49935</v>
      </c>
      <c r="W8041" s="14" t="s">
        <v>49860</v>
      </c>
      <c r="X8041" s="17" t="str">
        <f>HYPERLINK("https://my.pitchbook.com?p=122267-44P","View People Online")</f>
        <v>View People Online</v>
      </c>
    </row>
    <row r="8042">
      <c r="A8042" s="2" t="s">
        <v>49936</v>
      </c>
      <c r="B8042" s="2" t="s">
        <v>49937</v>
      </c>
      <c r="C8042" s="2" t="s">
        <v>49938</v>
      </c>
      <c r="D8042" s="2" t="s">
        <v>49939</v>
      </c>
      <c r="E8042" s="2" t="s">
        <v>49860</v>
      </c>
      <c r="F8042" s="2" t="s">
        <v>825</v>
      </c>
      <c r="G8042" s="2" t="s">
        <v>49940</v>
      </c>
      <c r="H8042" s="3" t="s">
        <v>31</v>
      </c>
      <c r="I8042" s="3">
        <v>2.0</v>
      </c>
      <c r="J8042" s="3">
        <v>1.0</v>
      </c>
      <c r="K8042" s="3">
        <v>1.0</v>
      </c>
      <c r="L8042" s="4" t="s">
        <v>49941</v>
      </c>
      <c r="M8042" s="2" t="s">
        <v>49942</v>
      </c>
      <c r="N8042" s="2" t="s">
        <v>6311</v>
      </c>
      <c r="O8042" s="4" t="s">
        <v>6312</v>
      </c>
      <c r="P8042" s="2" t="s">
        <v>49864</v>
      </c>
      <c r="Q8042" s="2" t="s">
        <v>49865</v>
      </c>
      <c r="R8042" s="2" t="s">
        <v>31</v>
      </c>
      <c r="S8042" s="4" t="s">
        <v>49866</v>
      </c>
      <c r="T8042" s="2" t="s">
        <v>6315</v>
      </c>
      <c r="U8042" s="4" t="s">
        <v>31</v>
      </c>
      <c r="V8042" s="2" t="s">
        <v>950</v>
      </c>
      <c r="W8042" s="2" t="s">
        <v>49860</v>
      </c>
      <c r="X8042" s="5" t="str">
        <f>HYPERLINK("https://my.pitchbook.com?p=369909-28P","View People Online")</f>
        <v>View People Online</v>
      </c>
    </row>
    <row r="8043">
      <c r="A8043" s="14" t="s">
        <v>49943</v>
      </c>
      <c r="B8043" s="14" t="s">
        <v>49944</v>
      </c>
      <c r="C8043" s="14" t="s">
        <v>4591</v>
      </c>
      <c r="D8043" s="14" t="s">
        <v>49945</v>
      </c>
      <c r="E8043" s="14" t="s">
        <v>49860</v>
      </c>
      <c r="F8043" s="14" t="s">
        <v>270</v>
      </c>
      <c r="G8043" s="14" t="s">
        <v>49946</v>
      </c>
      <c r="H8043" s="15" t="s">
        <v>31</v>
      </c>
      <c r="I8043" s="15">
        <v>1.0</v>
      </c>
      <c r="J8043" s="15">
        <v>1.0</v>
      </c>
      <c r="K8043" s="15" t="s">
        <v>31</v>
      </c>
      <c r="L8043" s="16" t="s">
        <v>49947</v>
      </c>
      <c r="M8043" s="14" t="s">
        <v>49948</v>
      </c>
      <c r="N8043" s="14" t="s">
        <v>6311</v>
      </c>
      <c r="O8043" s="16" t="s">
        <v>6312</v>
      </c>
      <c r="P8043" s="14" t="s">
        <v>49864</v>
      </c>
      <c r="Q8043" s="14" t="s">
        <v>49865</v>
      </c>
      <c r="R8043" s="14" t="s">
        <v>31</v>
      </c>
      <c r="S8043" s="16" t="s">
        <v>49866</v>
      </c>
      <c r="T8043" s="14" t="s">
        <v>6315</v>
      </c>
      <c r="U8043" s="16" t="s">
        <v>31</v>
      </c>
      <c r="V8043" s="14" t="s">
        <v>34757</v>
      </c>
      <c r="W8043" s="14" t="s">
        <v>49860</v>
      </c>
      <c r="X8043" s="17" t="str">
        <f>HYPERLINK("https://my.pitchbook.com?p=410282-38P","View People Online")</f>
        <v>View People Online</v>
      </c>
    </row>
    <row r="8044">
      <c r="A8044" s="10" t="s">
        <v>49949</v>
      </c>
      <c r="B8044" s="10" t="s">
        <v>49950</v>
      </c>
      <c r="C8044" s="10" t="s">
        <v>49951</v>
      </c>
      <c r="D8044" s="10" t="s">
        <v>49952</v>
      </c>
      <c r="E8044" s="10" t="s">
        <v>49860</v>
      </c>
      <c r="F8044" s="10" t="s">
        <v>5418</v>
      </c>
      <c r="G8044" s="10" t="s">
        <v>49953</v>
      </c>
      <c r="H8044" s="11" t="s">
        <v>31</v>
      </c>
      <c r="I8044" s="11">
        <v>1.0</v>
      </c>
      <c r="J8044" s="11">
        <v>1.0</v>
      </c>
      <c r="K8044" s="11" t="s">
        <v>31</v>
      </c>
      <c r="L8044" s="12" t="s">
        <v>49862</v>
      </c>
      <c r="M8044" s="10" t="s">
        <v>49954</v>
      </c>
      <c r="N8044" s="10" t="s">
        <v>6311</v>
      </c>
      <c r="O8044" s="12" t="s">
        <v>6312</v>
      </c>
      <c r="P8044" s="10" t="s">
        <v>49864</v>
      </c>
      <c r="Q8044" s="10" t="s">
        <v>49865</v>
      </c>
      <c r="R8044" s="10" t="s">
        <v>31</v>
      </c>
      <c r="S8044" s="12" t="s">
        <v>49866</v>
      </c>
      <c r="T8044" s="10" t="s">
        <v>6315</v>
      </c>
      <c r="U8044" s="12" t="s">
        <v>31</v>
      </c>
      <c r="V8044" s="10" t="s">
        <v>29690</v>
      </c>
      <c r="W8044" s="10" t="s">
        <v>49860</v>
      </c>
      <c r="X8044" s="13" t="str">
        <f>HYPERLINK("https://my.pitchbook.com?p=228768-85P","View People Online")</f>
        <v>View People Online</v>
      </c>
    </row>
    <row r="8045">
      <c r="A8045" s="6" t="s">
        <v>49955</v>
      </c>
      <c r="B8045" s="6" t="s">
        <v>49956</v>
      </c>
      <c r="C8045" s="6" t="s">
        <v>49957</v>
      </c>
      <c r="D8045" s="6" t="s">
        <v>49958</v>
      </c>
      <c r="E8045" s="6" t="s">
        <v>49860</v>
      </c>
      <c r="F8045" s="6" t="s">
        <v>825</v>
      </c>
      <c r="G8045" s="6" t="s">
        <v>49959</v>
      </c>
      <c r="H8045" s="7" t="s">
        <v>31</v>
      </c>
      <c r="I8045" s="7">
        <v>1.0</v>
      </c>
      <c r="J8045" s="7">
        <v>1.0</v>
      </c>
      <c r="K8045" s="7" t="s">
        <v>31</v>
      </c>
      <c r="L8045" s="8" t="s">
        <v>49862</v>
      </c>
      <c r="M8045" s="6" t="s">
        <v>31</v>
      </c>
      <c r="N8045" s="6" t="s">
        <v>6311</v>
      </c>
      <c r="O8045" s="8" t="s">
        <v>6312</v>
      </c>
      <c r="P8045" s="6" t="s">
        <v>49864</v>
      </c>
      <c r="Q8045" s="6" t="s">
        <v>49865</v>
      </c>
      <c r="R8045" s="6" t="s">
        <v>31</v>
      </c>
      <c r="S8045" s="8" t="s">
        <v>49866</v>
      </c>
      <c r="T8045" s="6" t="s">
        <v>6315</v>
      </c>
      <c r="U8045" s="8" t="s">
        <v>31</v>
      </c>
      <c r="V8045" s="6" t="s">
        <v>49960</v>
      </c>
      <c r="W8045" s="6" t="s">
        <v>49860</v>
      </c>
      <c r="X8045" s="9" t="str">
        <f>HYPERLINK("https://my.pitchbook.com?p=97871-50P","View People Online")</f>
        <v>View People Online</v>
      </c>
    </row>
    <row r="8046">
      <c r="A8046" s="2" t="s">
        <v>49961</v>
      </c>
      <c r="B8046" s="2" t="s">
        <v>49962</v>
      </c>
      <c r="C8046" s="2" t="s">
        <v>995</v>
      </c>
      <c r="D8046" s="2" t="s">
        <v>49963</v>
      </c>
      <c r="E8046" s="2" t="s">
        <v>49860</v>
      </c>
      <c r="F8046" s="2" t="s">
        <v>49964</v>
      </c>
      <c r="G8046" s="2" t="s">
        <v>49965</v>
      </c>
      <c r="H8046" s="3" t="s">
        <v>31</v>
      </c>
      <c r="I8046" s="3">
        <v>2.0</v>
      </c>
      <c r="J8046" s="3">
        <v>1.0</v>
      </c>
      <c r="K8046" s="3">
        <v>1.0</v>
      </c>
      <c r="L8046" s="4" t="s">
        <v>49862</v>
      </c>
      <c r="M8046" s="2" t="s">
        <v>49966</v>
      </c>
      <c r="N8046" s="2" t="s">
        <v>6311</v>
      </c>
      <c r="O8046" s="4" t="s">
        <v>6312</v>
      </c>
      <c r="P8046" s="2" t="s">
        <v>49864</v>
      </c>
      <c r="Q8046" s="2" t="s">
        <v>49865</v>
      </c>
      <c r="R8046" s="2" t="s">
        <v>31</v>
      </c>
      <c r="S8046" s="4" t="s">
        <v>49866</v>
      </c>
      <c r="T8046" s="2" t="s">
        <v>6315</v>
      </c>
      <c r="U8046" s="4" t="s">
        <v>31</v>
      </c>
      <c r="V8046" s="2" t="s">
        <v>49967</v>
      </c>
      <c r="W8046" s="2" t="s">
        <v>49860</v>
      </c>
      <c r="X8046" s="5" t="str">
        <f>HYPERLINK("https://my.pitchbook.com?p=97567-84P","View People Online")</f>
        <v>View People Online</v>
      </c>
    </row>
    <row r="8047">
      <c r="A8047" s="6" t="s">
        <v>49968</v>
      </c>
      <c r="B8047" s="6" t="s">
        <v>49969</v>
      </c>
      <c r="C8047" s="6" t="s">
        <v>2483</v>
      </c>
      <c r="D8047" s="6" t="s">
        <v>49970</v>
      </c>
      <c r="E8047" s="6" t="s">
        <v>49860</v>
      </c>
      <c r="F8047" s="6" t="s">
        <v>4800</v>
      </c>
      <c r="G8047" s="6" t="s">
        <v>49971</v>
      </c>
      <c r="H8047" s="7" t="s">
        <v>31</v>
      </c>
      <c r="I8047" s="7">
        <v>3.0</v>
      </c>
      <c r="J8047" s="7">
        <v>1.0</v>
      </c>
      <c r="K8047" s="7">
        <v>2.0</v>
      </c>
      <c r="L8047" s="8" t="s">
        <v>49862</v>
      </c>
      <c r="M8047" s="6" t="s">
        <v>49972</v>
      </c>
      <c r="N8047" s="6" t="s">
        <v>6311</v>
      </c>
      <c r="O8047" s="8" t="s">
        <v>6312</v>
      </c>
      <c r="P8047" s="6" t="s">
        <v>49864</v>
      </c>
      <c r="Q8047" s="6" t="s">
        <v>49865</v>
      </c>
      <c r="R8047" s="6" t="s">
        <v>31</v>
      </c>
      <c r="S8047" s="8" t="s">
        <v>49866</v>
      </c>
      <c r="T8047" s="6" t="s">
        <v>6315</v>
      </c>
      <c r="U8047" s="8" t="s">
        <v>31</v>
      </c>
      <c r="V8047" s="6" t="s">
        <v>49973</v>
      </c>
      <c r="W8047" s="6" t="s">
        <v>49860</v>
      </c>
      <c r="X8047" s="9" t="str">
        <f>HYPERLINK("https://my.pitchbook.com?p=145096-48P","View People Online")</f>
        <v>View People Online</v>
      </c>
    </row>
    <row r="8048">
      <c r="A8048" s="2" t="s">
        <v>49974</v>
      </c>
      <c r="B8048" s="2" t="s">
        <v>49975</v>
      </c>
      <c r="C8048" s="2" t="s">
        <v>1830</v>
      </c>
      <c r="D8048" s="2" t="s">
        <v>49976</v>
      </c>
      <c r="E8048" s="2" t="s">
        <v>49860</v>
      </c>
      <c r="F8048" s="2" t="s">
        <v>312</v>
      </c>
      <c r="G8048" s="2" t="s">
        <v>49977</v>
      </c>
      <c r="H8048" s="3">
        <v>1.0</v>
      </c>
      <c r="I8048" s="3">
        <v>2.0</v>
      </c>
      <c r="J8048" s="3">
        <v>1.0</v>
      </c>
      <c r="K8048" s="3" t="s">
        <v>31</v>
      </c>
      <c r="L8048" s="4" t="s">
        <v>49862</v>
      </c>
      <c r="M8048" s="2" t="s">
        <v>31</v>
      </c>
      <c r="N8048" s="2" t="s">
        <v>6311</v>
      </c>
      <c r="O8048" s="4" t="s">
        <v>6312</v>
      </c>
      <c r="P8048" s="2" t="s">
        <v>49864</v>
      </c>
      <c r="Q8048" s="2" t="s">
        <v>49865</v>
      </c>
      <c r="R8048" s="2" t="s">
        <v>31</v>
      </c>
      <c r="S8048" s="4" t="s">
        <v>49866</v>
      </c>
      <c r="T8048" s="2" t="s">
        <v>6315</v>
      </c>
      <c r="U8048" s="4" t="s">
        <v>31</v>
      </c>
      <c r="V8048" s="2" t="s">
        <v>49978</v>
      </c>
      <c r="W8048" s="2" t="s">
        <v>49860</v>
      </c>
      <c r="X8048" s="5" t="str">
        <f>HYPERLINK("https://my.pitchbook.com?p=58833-91P","View People Online")</f>
        <v>View People Online</v>
      </c>
    </row>
    <row r="8049">
      <c r="A8049" s="6" t="s">
        <v>49979</v>
      </c>
      <c r="B8049" s="6" t="s">
        <v>49980</v>
      </c>
      <c r="C8049" s="6" t="s">
        <v>49981</v>
      </c>
      <c r="D8049" s="6" t="s">
        <v>49982</v>
      </c>
      <c r="E8049" s="6" t="s">
        <v>49860</v>
      </c>
      <c r="F8049" s="6" t="s">
        <v>5418</v>
      </c>
      <c r="G8049" s="6" t="s">
        <v>49983</v>
      </c>
      <c r="H8049" s="7" t="s">
        <v>31</v>
      </c>
      <c r="I8049" s="7">
        <v>2.0</v>
      </c>
      <c r="J8049" s="7">
        <v>2.0</v>
      </c>
      <c r="K8049" s="7" t="s">
        <v>31</v>
      </c>
      <c r="L8049" s="8" t="s">
        <v>49862</v>
      </c>
      <c r="M8049" s="6" t="s">
        <v>31</v>
      </c>
      <c r="N8049" s="6" t="s">
        <v>6311</v>
      </c>
      <c r="O8049" s="8" t="s">
        <v>6312</v>
      </c>
      <c r="P8049" s="6" t="s">
        <v>49864</v>
      </c>
      <c r="Q8049" s="6" t="s">
        <v>49865</v>
      </c>
      <c r="R8049" s="6" t="s">
        <v>31</v>
      </c>
      <c r="S8049" s="8" t="s">
        <v>49866</v>
      </c>
      <c r="T8049" s="6" t="s">
        <v>6315</v>
      </c>
      <c r="U8049" s="8" t="s">
        <v>31</v>
      </c>
      <c r="V8049" s="6" t="s">
        <v>5418</v>
      </c>
      <c r="W8049" s="6" t="s">
        <v>49860</v>
      </c>
      <c r="X8049" s="9" t="str">
        <f>HYPERLINK("https://my.pitchbook.com?p=369875-53P","View People Online")</f>
        <v>View People Online</v>
      </c>
    </row>
    <row r="8050">
      <c r="A8050" s="2" t="s">
        <v>49984</v>
      </c>
      <c r="B8050" s="2" t="s">
        <v>49985</v>
      </c>
      <c r="C8050" s="2" t="s">
        <v>49986</v>
      </c>
      <c r="D8050" s="2" t="s">
        <v>49987</v>
      </c>
      <c r="E8050" s="2" t="s">
        <v>49988</v>
      </c>
      <c r="F8050" s="2" t="s">
        <v>674</v>
      </c>
      <c r="G8050" s="2" t="s">
        <v>49989</v>
      </c>
      <c r="H8050" s="3" t="s">
        <v>31</v>
      </c>
      <c r="I8050" s="3">
        <v>1.0</v>
      </c>
      <c r="J8050" s="3">
        <v>1.0</v>
      </c>
      <c r="K8050" s="3" t="s">
        <v>31</v>
      </c>
      <c r="L8050" s="4" t="s">
        <v>49990</v>
      </c>
      <c r="M8050" s="2" t="s">
        <v>49991</v>
      </c>
      <c r="N8050" s="2" t="s">
        <v>16551</v>
      </c>
      <c r="O8050" s="4" t="s">
        <v>16552</v>
      </c>
      <c r="P8050" s="2" t="s">
        <v>49992</v>
      </c>
      <c r="Q8050" s="2" t="s">
        <v>49993</v>
      </c>
      <c r="R8050" s="2" t="s">
        <v>31</v>
      </c>
      <c r="S8050" s="4" t="s">
        <v>49994</v>
      </c>
      <c r="T8050" s="2" t="s">
        <v>16556</v>
      </c>
      <c r="U8050" s="4" t="s">
        <v>49995</v>
      </c>
      <c r="V8050" s="2" t="s">
        <v>1172</v>
      </c>
      <c r="W8050" s="2" t="s">
        <v>49988</v>
      </c>
      <c r="X8050" s="5" t="str">
        <f>HYPERLINK("https://my.pitchbook.com?p=216081-46P","View People Online")</f>
        <v>View People Online</v>
      </c>
    </row>
    <row r="8051">
      <c r="A8051" s="6" t="s">
        <v>49996</v>
      </c>
      <c r="B8051" s="6" t="s">
        <v>49997</v>
      </c>
      <c r="C8051" s="6" t="s">
        <v>49986</v>
      </c>
      <c r="D8051" s="6" t="s">
        <v>49998</v>
      </c>
      <c r="E8051" s="6" t="s">
        <v>49988</v>
      </c>
      <c r="F8051" s="6" t="s">
        <v>29</v>
      </c>
      <c r="G8051" s="6" t="s">
        <v>49999</v>
      </c>
      <c r="H8051" s="7" t="s">
        <v>31</v>
      </c>
      <c r="I8051" s="7">
        <v>1.0</v>
      </c>
      <c r="J8051" s="7">
        <v>1.0</v>
      </c>
      <c r="K8051" s="7" t="s">
        <v>31</v>
      </c>
      <c r="L8051" s="8" t="s">
        <v>49990</v>
      </c>
      <c r="M8051" s="6" t="s">
        <v>50000</v>
      </c>
      <c r="N8051" s="6" t="s">
        <v>16551</v>
      </c>
      <c r="O8051" s="8" t="s">
        <v>16552</v>
      </c>
      <c r="P8051" s="6" t="s">
        <v>49992</v>
      </c>
      <c r="Q8051" s="6" t="s">
        <v>49993</v>
      </c>
      <c r="R8051" s="6" t="s">
        <v>31</v>
      </c>
      <c r="S8051" s="8" t="s">
        <v>49994</v>
      </c>
      <c r="T8051" s="6" t="s">
        <v>16556</v>
      </c>
      <c r="U8051" s="8" t="s">
        <v>49995</v>
      </c>
      <c r="V8051" s="6" t="s">
        <v>29</v>
      </c>
      <c r="W8051" s="6" t="s">
        <v>49988</v>
      </c>
      <c r="X8051" s="9" t="str">
        <f>HYPERLINK("https://my.pitchbook.com?p=216081-64P","View People Online")</f>
        <v>View People Online</v>
      </c>
    </row>
    <row r="8052">
      <c r="A8052" s="2" t="s">
        <v>50001</v>
      </c>
      <c r="B8052" s="2" t="s">
        <v>50002</v>
      </c>
      <c r="C8052" s="2" t="s">
        <v>50003</v>
      </c>
      <c r="D8052" s="2" t="s">
        <v>50004</v>
      </c>
      <c r="E8052" s="2" t="s">
        <v>49988</v>
      </c>
      <c r="F8052" s="2" t="s">
        <v>81</v>
      </c>
      <c r="G8052" s="2" t="s">
        <v>50005</v>
      </c>
      <c r="H8052" s="3" t="s">
        <v>31</v>
      </c>
      <c r="I8052" s="3">
        <v>4.0</v>
      </c>
      <c r="J8052" s="3">
        <v>1.0</v>
      </c>
      <c r="K8052" s="3">
        <v>1.0</v>
      </c>
      <c r="L8052" s="4" t="s">
        <v>50006</v>
      </c>
      <c r="M8052" s="2" t="s">
        <v>50007</v>
      </c>
      <c r="N8052" s="2" t="s">
        <v>50008</v>
      </c>
      <c r="O8052" s="4" t="s">
        <v>50009</v>
      </c>
      <c r="P8052" s="2" t="s">
        <v>50010</v>
      </c>
      <c r="Q8052" s="2" t="s">
        <v>31</v>
      </c>
      <c r="R8052" s="2" t="s">
        <v>31</v>
      </c>
      <c r="S8052" s="4" t="s">
        <v>50011</v>
      </c>
      <c r="T8052" s="2" t="s">
        <v>16556</v>
      </c>
      <c r="U8052" s="4" t="s">
        <v>31</v>
      </c>
      <c r="V8052" s="2" t="s">
        <v>991</v>
      </c>
      <c r="W8052" s="2" t="s">
        <v>50012</v>
      </c>
      <c r="X8052" s="5" t="str">
        <f>HYPERLINK("https://my.pitchbook.com?p=227655-28P","View People Online")</f>
        <v>View People Online</v>
      </c>
    </row>
    <row r="8053">
      <c r="A8053" s="14" t="s">
        <v>50013</v>
      </c>
      <c r="B8053" s="14" t="s">
        <v>50014</v>
      </c>
      <c r="C8053" s="14" t="s">
        <v>35127</v>
      </c>
      <c r="D8053" s="14" t="s">
        <v>50015</v>
      </c>
      <c r="E8053" s="14" t="s">
        <v>49988</v>
      </c>
      <c r="F8053" s="14" t="s">
        <v>114</v>
      </c>
      <c r="G8053" s="14" t="s">
        <v>50016</v>
      </c>
      <c r="H8053" s="15">
        <v>1.0</v>
      </c>
      <c r="I8053" s="15">
        <v>3.0</v>
      </c>
      <c r="J8053" s="15">
        <v>3.0</v>
      </c>
      <c r="K8053" s="15" t="s">
        <v>31</v>
      </c>
      <c r="L8053" s="16" t="s">
        <v>50017</v>
      </c>
      <c r="M8053" s="14" t="s">
        <v>50018</v>
      </c>
      <c r="N8053" s="14" t="s">
        <v>50019</v>
      </c>
      <c r="O8053" s="16" t="s">
        <v>50020</v>
      </c>
      <c r="P8053" s="14" t="s">
        <v>50021</v>
      </c>
      <c r="Q8053" s="14" t="s">
        <v>31</v>
      </c>
      <c r="R8053" s="14" t="s">
        <v>50022</v>
      </c>
      <c r="S8053" s="16" t="s">
        <v>50023</v>
      </c>
      <c r="T8053" s="14" t="s">
        <v>16556</v>
      </c>
      <c r="U8053" s="16" t="s">
        <v>31</v>
      </c>
      <c r="V8053" s="14" t="s">
        <v>50024</v>
      </c>
      <c r="W8053" s="14" t="s">
        <v>50025</v>
      </c>
      <c r="X8053" s="17" t="str">
        <f>HYPERLINK("https://my.pitchbook.com?p=208720-72P","View People Online")</f>
        <v>View People Online</v>
      </c>
    </row>
    <row r="8054">
      <c r="A8054" s="10" t="s">
        <v>50026</v>
      </c>
      <c r="B8054" s="10" t="s">
        <v>50027</v>
      </c>
      <c r="C8054" s="10" t="s">
        <v>19247</v>
      </c>
      <c r="D8054" s="10" t="s">
        <v>50028</v>
      </c>
      <c r="E8054" s="10" t="s">
        <v>49988</v>
      </c>
      <c r="F8054" s="10" t="s">
        <v>548</v>
      </c>
      <c r="G8054" s="10" t="s">
        <v>50029</v>
      </c>
      <c r="H8054" s="11" t="s">
        <v>31</v>
      </c>
      <c r="I8054" s="11">
        <v>1.0</v>
      </c>
      <c r="J8054" s="11">
        <v>1.0</v>
      </c>
      <c r="K8054" s="11" t="s">
        <v>31</v>
      </c>
      <c r="L8054" s="12" t="s">
        <v>49990</v>
      </c>
      <c r="M8054" s="10" t="s">
        <v>50030</v>
      </c>
      <c r="N8054" s="10" t="s">
        <v>16551</v>
      </c>
      <c r="O8054" s="12" t="s">
        <v>16552</v>
      </c>
      <c r="P8054" s="10" t="s">
        <v>49992</v>
      </c>
      <c r="Q8054" s="10" t="s">
        <v>49993</v>
      </c>
      <c r="R8054" s="10" t="s">
        <v>31</v>
      </c>
      <c r="S8054" s="12" t="s">
        <v>49994</v>
      </c>
      <c r="T8054" s="10" t="s">
        <v>16556</v>
      </c>
      <c r="U8054" s="12" t="s">
        <v>49995</v>
      </c>
      <c r="V8054" s="10" t="s">
        <v>50031</v>
      </c>
      <c r="W8054" s="10" t="s">
        <v>49988</v>
      </c>
      <c r="X8054" s="13" t="str">
        <f>HYPERLINK("https://my.pitchbook.com?p=216084-34P","View People Online")</f>
        <v>View People Online</v>
      </c>
    </row>
    <row r="8055">
      <c r="A8055" s="6" t="s">
        <v>50032</v>
      </c>
      <c r="B8055" s="6" t="s">
        <v>50033</v>
      </c>
      <c r="C8055" s="6" t="s">
        <v>19541</v>
      </c>
      <c r="D8055" s="6" t="s">
        <v>24651</v>
      </c>
      <c r="E8055" s="6" t="s">
        <v>49988</v>
      </c>
      <c r="F8055" s="6" t="s">
        <v>24050</v>
      </c>
      <c r="G8055" s="6" t="s">
        <v>50034</v>
      </c>
      <c r="H8055" s="7" t="s">
        <v>31</v>
      </c>
      <c r="I8055" s="7">
        <v>1.0</v>
      </c>
      <c r="J8055" s="7">
        <v>1.0</v>
      </c>
      <c r="K8055" s="7" t="s">
        <v>31</v>
      </c>
      <c r="L8055" s="8" t="s">
        <v>50035</v>
      </c>
      <c r="M8055" s="6" t="s">
        <v>50036</v>
      </c>
      <c r="N8055" s="6" t="s">
        <v>16551</v>
      </c>
      <c r="O8055" s="8" t="s">
        <v>16552</v>
      </c>
      <c r="P8055" s="6" t="s">
        <v>49992</v>
      </c>
      <c r="Q8055" s="6" t="s">
        <v>49993</v>
      </c>
      <c r="R8055" s="6" t="s">
        <v>31</v>
      </c>
      <c r="S8055" s="8" t="s">
        <v>49994</v>
      </c>
      <c r="T8055" s="6" t="s">
        <v>16556</v>
      </c>
      <c r="U8055" s="8" t="s">
        <v>49995</v>
      </c>
      <c r="V8055" s="6" t="s">
        <v>50037</v>
      </c>
      <c r="W8055" s="6" t="s">
        <v>49988</v>
      </c>
      <c r="X8055" s="9" t="str">
        <f>HYPERLINK("https://my.pitchbook.com?p=256666-78P","View People Online")</f>
        <v>View People Online</v>
      </c>
    </row>
    <row r="8056">
      <c r="A8056" s="10" t="s">
        <v>50038</v>
      </c>
      <c r="B8056" s="10" t="s">
        <v>50039</v>
      </c>
      <c r="C8056" s="10" t="s">
        <v>47867</v>
      </c>
      <c r="D8056" s="10" t="s">
        <v>50040</v>
      </c>
      <c r="E8056" s="10" t="s">
        <v>49988</v>
      </c>
      <c r="F8056" s="10" t="s">
        <v>57</v>
      </c>
      <c r="G8056" s="10" t="s">
        <v>50041</v>
      </c>
      <c r="H8056" s="11">
        <v>3.0</v>
      </c>
      <c r="I8056" s="11">
        <v>9.0</v>
      </c>
      <c r="J8056" s="11">
        <v>2.0</v>
      </c>
      <c r="K8056" s="11">
        <v>5.0</v>
      </c>
      <c r="L8056" s="12" t="s">
        <v>50042</v>
      </c>
      <c r="M8056" s="10" t="s">
        <v>50043</v>
      </c>
      <c r="N8056" s="10" t="s">
        <v>16551</v>
      </c>
      <c r="O8056" s="12" t="s">
        <v>16552</v>
      </c>
      <c r="P8056" s="10" t="s">
        <v>49992</v>
      </c>
      <c r="Q8056" s="10" t="s">
        <v>49993</v>
      </c>
      <c r="R8056" s="10" t="s">
        <v>31</v>
      </c>
      <c r="S8056" s="12" t="s">
        <v>49994</v>
      </c>
      <c r="T8056" s="10" t="s">
        <v>16556</v>
      </c>
      <c r="U8056" s="12" t="s">
        <v>49995</v>
      </c>
      <c r="V8056" s="10" t="s">
        <v>57</v>
      </c>
      <c r="W8056" s="10" t="s">
        <v>49988</v>
      </c>
      <c r="X8056" s="13" t="str">
        <f>HYPERLINK("https://my.pitchbook.com?p=216034-57P","View People Online")</f>
        <v>View People Online</v>
      </c>
    </row>
    <row r="8057">
      <c r="A8057" s="14" t="s">
        <v>50044</v>
      </c>
      <c r="B8057" s="14" t="s">
        <v>50045</v>
      </c>
      <c r="C8057" s="14" t="s">
        <v>47867</v>
      </c>
      <c r="D8057" s="14" t="s">
        <v>50046</v>
      </c>
      <c r="E8057" s="14" t="s">
        <v>49988</v>
      </c>
      <c r="F8057" s="14" t="s">
        <v>221</v>
      </c>
      <c r="G8057" s="14" t="s">
        <v>50047</v>
      </c>
      <c r="H8057" s="15" t="s">
        <v>31</v>
      </c>
      <c r="I8057" s="15">
        <v>1.0</v>
      </c>
      <c r="J8057" s="15">
        <v>1.0</v>
      </c>
      <c r="K8057" s="15" t="s">
        <v>31</v>
      </c>
      <c r="L8057" s="16" t="s">
        <v>49990</v>
      </c>
      <c r="M8057" s="14" t="s">
        <v>50048</v>
      </c>
      <c r="N8057" s="14" t="s">
        <v>16551</v>
      </c>
      <c r="O8057" s="16" t="s">
        <v>16552</v>
      </c>
      <c r="P8057" s="14" t="s">
        <v>49992</v>
      </c>
      <c r="Q8057" s="14" t="s">
        <v>49993</v>
      </c>
      <c r="R8057" s="14" t="s">
        <v>31</v>
      </c>
      <c r="S8057" s="16" t="s">
        <v>49994</v>
      </c>
      <c r="T8057" s="14" t="s">
        <v>16556</v>
      </c>
      <c r="U8057" s="16" t="s">
        <v>49995</v>
      </c>
      <c r="V8057" s="14" t="s">
        <v>957</v>
      </c>
      <c r="W8057" s="14" t="s">
        <v>49988</v>
      </c>
      <c r="X8057" s="17" t="str">
        <f>HYPERLINK("https://my.pitchbook.com?p=353128-51P","View People Online")</f>
        <v>View People Online</v>
      </c>
    </row>
    <row r="8058">
      <c r="A8058" s="2" t="s">
        <v>50049</v>
      </c>
      <c r="B8058" s="2" t="s">
        <v>50050</v>
      </c>
      <c r="C8058" s="2" t="s">
        <v>50051</v>
      </c>
      <c r="D8058" s="2" t="s">
        <v>50052</v>
      </c>
      <c r="E8058" s="2" t="s">
        <v>49988</v>
      </c>
      <c r="F8058" s="2" t="s">
        <v>2422</v>
      </c>
      <c r="G8058" s="2" t="s">
        <v>50053</v>
      </c>
      <c r="H8058" s="3" t="s">
        <v>31</v>
      </c>
      <c r="I8058" s="3">
        <v>2.0</v>
      </c>
      <c r="J8058" s="3">
        <v>1.0</v>
      </c>
      <c r="K8058" s="3">
        <v>1.0</v>
      </c>
      <c r="L8058" s="4" t="s">
        <v>49990</v>
      </c>
      <c r="M8058" s="2" t="s">
        <v>50054</v>
      </c>
      <c r="N8058" s="2" t="s">
        <v>16551</v>
      </c>
      <c r="O8058" s="4" t="s">
        <v>16552</v>
      </c>
      <c r="P8058" s="2" t="s">
        <v>49992</v>
      </c>
      <c r="Q8058" s="2" t="s">
        <v>49993</v>
      </c>
      <c r="R8058" s="2" t="s">
        <v>31</v>
      </c>
      <c r="S8058" s="4" t="s">
        <v>49994</v>
      </c>
      <c r="T8058" s="2" t="s">
        <v>16556</v>
      </c>
      <c r="U8058" s="4" t="s">
        <v>49995</v>
      </c>
      <c r="V8058" s="2" t="s">
        <v>2422</v>
      </c>
      <c r="W8058" s="2" t="s">
        <v>49988</v>
      </c>
      <c r="X8058" s="5" t="str">
        <f>HYPERLINK("https://my.pitchbook.com?p=305880-40P","View People Online")</f>
        <v>View People Online</v>
      </c>
    </row>
    <row r="8059">
      <c r="A8059" s="14" t="s">
        <v>50055</v>
      </c>
      <c r="B8059" s="14" t="s">
        <v>50056</v>
      </c>
      <c r="C8059" s="14" t="s">
        <v>50057</v>
      </c>
      <c r="D8059" s="14" t="s">
        <v>50058</v>
      </c>
      <c r="E8059" s="14" t="s">
        <v>49988</v>
      </c>
      <c r="F8059" s="14" t="s">
        <v>189</v>
      </c>
      <c r="G8059" s="14" t="s">
        <v>50059</v>
      </c>
      <c r="H8059" s="15" t="s">
        <v>31</v>
      </c>
      <c r="I8059" s="15">
        <v>1.0</v>
      </c>
      <c r="J8059" s="15">
        <v>1.0</v>
      </c>
      <c r="K8059" s="15" t="s">
        <v>31</v>
      </c>
      <c r="L8059" s="16" t="s">
        <v>49990</v>
      </c>
      <c r="M8059" s="14" t="s">
        <v>50060</v>
      </c>
      <c r="N8059" s="14" t="s">
        <v>16551</v>
      </c>
      <c r="O8059" s="16" t="s">
        <v>16552</v>
      </c>
      <c r="P8059" s="14" t="s">
        <v>49992</v>
      </c>
      <c r="Q8059" s="14" t="s">
        <v>49993</v>
      </c>
      <c r="R8059" s="14" t="s">
        <v>31</v>
      </c>
      <c r="S8059" s="16" t="s">
        <v>49994</v>
      </c>
      <c r="T8059" s="14" t="s">
        <v>16556</v>
      </c>
      <c r="U8059" s="16" t="s">
        <v>49995</v>
      </c>
      <c r="V8059" s="14" t="s">
        <v>196</v>
      </c>
      <c r="W8059" s="14" t="s">
        <v>49988</v>
      </c>
      <c r="X8059" s="17" t="str">
        <f>HYPERLINK("https://my.pitchbook.com?p=216081-55P","View People Online")</f>
        <v>View People Online</v>
      </c>
    </row>
    <row r="8060">
      <c r="A8060" s="2" t="s">
        <v>50061</v>
      </c>
      <c r="B8060" s="2" t="s">
        <v>50062</v>
      </c>
      <c r="C8060" s="2" t="s">
        <v>50063</v>
      </c>
      <c r="D8060" s="2" t="s">
        <v>50064</v>
      </c>
      <c r="E8060" s="2" t="s">
        <v>50065</v>
      </c>
      <c r="F8060" s="2" t="s">
        <v>802</v>
      </c>
      <c r="G8060" s="2" t="s">
        <v>50066</v>
      </c>
      <c r="H8060" s="3" t="s">
        <v>31</v>
      </c>
      <c r="I8060" s="3">
        <v>1.0</v>
      </c>
      <c r="J8060" s="3">
        <v>1.0</v>
      </c>
      <c r="K8060" s="3" t="s">
        <v>31</v>
      </c>
      <c r="L8060" s="4" t="s">
        <v>50067</v>
      </c>
      <c r="M8060" s="2" t="s">
        <v>50068</v>
      </c>
      <c r="N8060" s="2" t="s">
        <v>15475</v>
      </c>
      <c r="O8060" s="4" t="s">
        <v>15476</v>
      </c>
      <c r="P8060" s="2" t="s">
        <v>50069</v>
      </c>
      <c r="Q8060" s="2" t="s">
        <v>31</v>
      </c>
      <c r="R8060" s="2" t="s">
        <v>31</v>
      </c>
      <c r="S8060" s="4" t="s">
        <v>15478</v>
      </c>
      <c r="T8060" s="2" t="s">
        <v>3104</v>
      </c>
      <c r="U8060" s="4" t="s">
        <v>31</v>
      </c>
      <c r="V8060" s="2" t="s">
        <v>50070</v>
      </c>
      <c r="W8060" s="2" t="s">
        <v>50065</v>
      </c>
      <c r="X8060" s="5" t="str">
        <f>HYPERLINK("https://my.pitchbook.com?p=404443-36P","View People Online")</f>
        <v>View People Online</v>
      </c>
    </row>
    <row r="8061">
      <c r="A8061" s="6" t="s">
        <v>50071</v>
      </c>
      <c r="B8061" s="6" t="s">
        <v>50072</v>
      </c>
      <c r="C8061" s="6" t="s">
        <v>50073</v>
      </c>
      <c r="D8061" s="6" t="s">
        <v>50074</v>
      </c>
      <c r="E8061" s="6" t="s">
        <v>50065</v>
      </c>
      <c r="F8061" s="6" t="s">
        <v>3025</v>
      </c>
      <c r="G8061" s="6" t="s">
        <v>50075</v>
      </c>
      <c r="H8061" s="7">
        <v>1.0</v>
      </c>
      <c r="I8061" s="7">
        <v>1.0</v>
      </c>
      <c r="J8061" s="7">
        <v>1.0</v>
      </c>
      <c r="K8061" s="7" t="s">
        <v>31</v>
      </c>
      <c r="L8061" s="8" t="s">
        <v>50067</v>
      </c>
      <c r="M8061" s="6" t="s">
        <v>50076</v>
      </c>
      <c r="N8061" s="6" t="s">
        <v>15475</v>
      </c>
      <c r="O8061" s="8" t="s">
        <v>15476</v>
      </c>
      <c r="P8061" s="6" t="s">
        <v>50069</v>
      </c>
      <c r="Q8061" s="6" t="s">
        <v>31</v>
      </c>
      <c r="R8061" s="6" t="s">
        <v>31</v>
      </c>
      <c r="S8061" s="8" t="s">
        <v>15478</v>
      </c>
      <c r="T8061" s="6" t="s">
        <v>3104</v>
      </c>
      <c r="U8061" s="8" t="s">
        <v>31</v>
      </c>
      <c r="V8061" s="6" t="s">
        <v>50077</v>
      </c>
      <c r="W8061" s="6" t="s">
        <v>50065</v>
      </c>
      <c r="X8061" s="9" t="str">
        <f>HYPERLINK("https://my.pitchbook.com?p=236885-68P","View People Online")</f>
        <v>View People Online</v>
      </c>
    </row>
    <row r="8062">
      <c r="A8062" s="2" t="s">
        <v>50078</v>
      </c>
      <c r="B8062" s="2" t="s">
        <v>50079</v>
      </c>
      <c r="C8062" s="2" t="s">
        <v>443</v>
      </c>
      <c r="D8062" s="2" t="s">
        <v>50080</v>
      </c>
      <c r="E8062" s="2" t="s">
        <v>50065</v>
      </c>
      <c r="F8062" s="2" t="s">
        <v>8198</v>
      </c>
      <c r="G8062" s="2" t="s">
        <v>50081</v>
      </c>
      <c r="H8062" s="3">
        <v>3.0</v>
      </c>
      <c r="I8062" s="3">
        <v>4.0</v>
      </c>
      <c r="J8062" s="3">
        <v>2.0</v>
      </c>
      <c r="K8062" s="3">
        <v>1.0</v>
      </c>
      <c r="L8062" s="4" t="s">
        <v>50082</v>
      </c>
      <c r="M8062" s="2" t="s">
        <v>50083</v>
      </c>
      <c r="N8062" s="2" t="s">
        <v>465</v>
      </c>
      <c r="O8062" s="4" t="s">
        <v>466</v>
      </c>
      <c r="P8062" s="2" t="s">
        <v>50084</v>
      </c>
      <c r="Q8062" s="2" t="s">
        <v>31</v>
      </c>
      <c r="R8062" s="2" t="s">
        <v>31</v>
      </c>
      <c r="S8062" s="4" t="s">
        <v>468</v>
      </c>
      <c r="T8062" s="2" t="s">
        <v>422</v>
      </c>
      <c r="U8062" s="4" t="s">
        <v>50085</v>
      </c>
      <c r="V8062" s="2" t="s">
        <v>1252</v>
      </c>
      <c r="W8062" s="2" t="s">
        <v>50086</v>
      </c>
      <c r="X8062" s="5" t="str">
        <f>HYPERLINK("https://my.pitchbook.com?p=49675-87P","View People Online")</f>
        <v>View People Online</v>
      </c>
    </row>
    <row r="8063">
      <c r="A8063" s="14" t="s">
        <v>50087</v>
      </c>
      <c r="B8063" s="14" t="s">
        <v>50088</v>
      </c>
      <c r="C8063" s="14" t="s">
        <v>763</v>
      </c>
      <c r="D8063" s="14" t="s">
        <v>50089</v>
      </c>
      <c r="E8063" s="14" t="s">
        <v>50065</v>
      </c>
      <c r="F8063" s="14" t="s">
        <v>3144</v>
      </c>
      <c r="G8063" s="14" t="s">
        <v>50090</v>
      </c>
      <c r="H8063" s="15" t="s">
        <v>31</v>
      </c>
      <c r="I8063" s="15">
        <v>2.0</v>
      </c>
      <c r="J8063" s="15">
        <v>2.0</v>
      </c>
      <c r="K8063" s="15" t="s">
        <v>31</v>
      </c>
      <c r="L8063" s="16" t="s">
        <v>50091</v>
      </c>
      <c r="M8063" s="14" t="s">
        <v>50092</v>
      </c>
      <c r="N8063" s="14" t="s">
        <v>15475</v>
      </c>
      <c r="O8063" s="16" t="s">
        <v>15476</v>
      </c>
      <c r="P8063" s="14" t="s">
        <v>50069</v>
      </c>
      <c r="Q8063" s="14" t="s">
        <v>31</v>
      </c>
      <c r="R8063" s="14" t="s">
        <v>31</v>
      </c>
      <c r="S8063" s="16" t="s">
        <v>15478</v>
      </c>
      <c r="T8063" s="14" t="s">
        <v>3104</v>
      </c>
      <c r="U8063" s="16" t="s">
        <v>31</v>
      </c>
      <c r="V8063" s="14" t="s">
        <v>3144</v>
      </c>
      <c r="W8063" s="14" t="s">
        <v>50065</v>
      </c>
      <c r="X8063" s="17" t="str">
        <f>HYPERLINK("https://my.pitchbook.com?p=236886-94P","View People Online")</f>
        <v>View People Online</v>
      </c>
    </row>
    <row r="8064">
      <c r="A8064" s="10" t="s">
        <v>50093</v>
      </c>
      <c r="B8064" s="10" t="s">
        <v>50094</v>
      </c>
      <c r="C8064" s="10" t="s">
        <v>3985</v>
      </c>
      <c r="D8064" s="10" t="s">
        <v>50095</v>
      </c>
      <c r="E8064" s="10" t="s">
        <v>50065</v>
      </c>
      <c r="F8064" s="10" t="s">
        <v>6552</v>
      </c>
      <c r="G8064" s="10" t="s">
        <v>50096</v>
      </c>
      <c r="H8064" s="11" t="s">
        <v>31</v>
      </c>
      <c r="I8064" s="11">
        <v>1.0</v>
      </c>
      <c r="J8064" s="11">
        <v>1.0</v>
      </c>
      <c r="K8064" s="11" t="s">
        <v>31</v>
      </c>
      <c r="L8064" s="12" t="s">
        <v>50067</v>
      </c>
      <c r="M8064" s="10" t="s">
        <v>50097</v>
      </c>
      <c r="N8064" s="10" t="s">
        <v>15475</v>
      </c>
      <c r="O8064" s="12" t="s">
        <v>15476</v>
      </c>
      <c r="P8064" s="10" t="s">
        <v>50069</v>
      </c>
      <c r="Q8064" s="10" t="s">
        <v>31</v>
      </c>
      <c r="R8064" s="10" t="s">
        <v>31</v>
      </c>
      <c r="S8064" s="12" t="s">
        <v>15478</v>
      </c>
      <c r="T8064" s="10" t="s">
        <v>3104</v>
      </c>
      <c r="U8064" s="12" t="s">
        <v>31</v>
      </c>
      <c r="V8064" s="10" t="s">
        <v>50098</v>
      </c>
      <c r="W8064" s="10" t="s">
        <v>50065</v>
      </c>
      <c r="X8064" s="13" t="str">
        <f>HYPERLINK("https://my.pitchbook.com?p=366628-33P","View People Online")</f>
        <v>View People Online</v>
      </c>
    </row>
    <row r="8065">
      <c r="A8065" s="14" t="s">
        <v>50099</v>
      </c>
      <c r="B8065" s="14" t="s">
        <v>50100</v>
      </c>
      <c r="C8065" s="14" t="s">
        <v>16663</v>
      </c>
      <c r="D8065" s="14" t="s">
        <v>50101</v>
      </c>
      <c r="E8065" s="14" t="s">
        <v>50065</v>
      </c>
      <c r="F8065" s="14" t="s">
        <v>733</v>
      </c>
      <c r="G8065" s="14" t="s">
        <v>50102</v>
      </c>
      <c r="H8065" s="15">
        <v>2.0</v>
      </c>
      <c r="I8065" s="15">
        <v>5.0</v>
      </c>
      <c r="J8065" s="15">
        <v>1.0</v>
      </c>
      <c r="K8065" s="15">
        <v>2.0</v>
      </c>
      <c r="L8065" s="16" t="s">
        <v>50067</v>
      </c>
      <c r="M8065" s="14" t="s">
        <v>50103</v>
      </c>
      <c r="N8065" s="14" t="s">
        <v>15475</v>
      </c>
      <c r="O8065" s="16" t="s">
        <v>15476</v>
      </c>
      <c r="P8065" s="14" t="s">
        <v>50069</v>
      </c>
      <c r="Q8065" s="14" t="s">
        <v>31</v>
      </c>
      <c r="R8065" s="14" t="s">
        <v>31</v>
      </c>
      <c r="S8065" s="16" t="s">
        <v>15478</v>
      </c>
      <c r="T8065" s="14" t="s">
        <v>3104</v>
      </c>
      <c r="U8065" s="16" t="s">
        <v>31</v>
      </c>
      <c r="V8065" s="14" t="s">
        <v>50104</v>
      </c>
      <c r="W8065" s="14" t="s">
        <v>50065</v>
      </c>
      <c r="X8065" s="17" t="str">
        <f>HYPERLINK("https://my.pitchbook.com?p=83627-11P","View People Online")</f>
        <v>View People Online</v>
      </c>
    </row>
    <row r="8066">
      <c r="A8066" s="2" t="s">
        <v>50105</v>
      </c>
      <c r="B8066" s="2" t="s">
        <v>50106</v>
      </c>
      <c r="C8066" s="2" t="s">
        <v>487</v>
      </c>
      <c r="D8066" s="2" t="s">
        <v>14244</v>
      </c>
      <c r="E8066" s="2" t="s">
        <v>50065</v>
      </c>
      <c r="F8066" s="2" t="s">
        <v>802</v>
      </c>
      <c r="G8066" s="2" t="s">
        <v>50107</v>
      </c>
      <c r="H8066" s="3" t="s">
        <v>31</v>
      </c>
      <c r="I8066" s="3">
        <v>2.0</v>
      </c>
      <c r="J8066" s="3">
        <v>2.0</v>
      </c>
      <c r="K8066" s="3" t="s">
        <v>31</v>
      </c>
      <c r="L8066" s="4" t="s">
        <v>50108</v>
      </c>
      <c r="M8066" s="2" t="s">
        <v>50109</v>
      </c>
      <c r="N8066" s="2" t="s">
        <v>15475</v>
      </c>
      <c r="O8066" s="4" t="s">
        <v>15476</v>
      </c>
      <c r="P8066" s="2" t="s">
        <v>50069</v>
      </c>
      <c r="Q8066" s="2" t="s">
        <v>31</v>
      </c>
      <c r="R8066" s="2" t="s">
        <v>31</v>
      </c>
      <c r="S8066" s="4" t="s">
        <v>15478</v>
      </c>
      <c r="T8066" s="2" t="s">
        <v>3104</v>
      </c>
      <c r="U8066" s="4" t="s">
        <v>31</v>
      </c>
      <c r="V8066" s="2" t="s">
        <v>50110</v>
      </c>
      <c r="W8066" s="2" t="s">
        <v>50065</v>
      </c>
      <c r="X8066" s="5" t="str">
        <f>HYPERLINK("https://my.pitchbook.com?p=330938-38P","View People Online")</f>
        <v>View People Online</v>
      </c>
    </row>
    <row r="8067">
      <c r="A8067" s="14" t="s">
        <v>50111</v>
      </c>
      <c r="B8067" s="14" t="s">
        <v>50112</v>
      </c>
      <c r="C8067" s="14" t="s">
        <v>11652</v>
      </c>
      <c r="D8067" s="14" t="s">
        <v>50113</v>
      </c>
      <c r="E8067" s="14" t="s">
        <v>50065</v>
      </c>
      <c r="F8067" s="14" t="s">
        <v>3823</v>
      </c>
      <c r="G8067" s="14" t="s">
        <v>50114</v>
      </c>
      <c r="H8067" s="15" t="s">
        <v>31</v>
      </c>
      <c r="I8067" s="15">
        <v>5.0</v>
      </c>
      <c r="J8067" s="15">
        <v>2.0</v>
      </c>
      <c r="K8067" s="15">
        <v>2.0</v>
      </c>
      <c r="L8067" s="16" t="s">
        <v>50067</v>
      </c>
      <c r="M8067" s="14" t="s">
        <v>50115</v>
      </c>
      <c r="N8067" s="14" t="s">
        <v>15475</v>
      </c>
      <c r="O8067" s="16" t="s">
        <v>15476</v>
      </c>
      <c r="P8067" s="14" t="s">
        <v>50069</v>
      </c>
      <c r="Q8067" s="14" t="s">
        <v>31</v>
      </c>
      <c r="R8067" s="14" t="s">
        <v>31</v>
      </c>
      <c r="S8067" s="16" t="s">
        <v>15478</v>
      </c>
      <c r="T8067" s="14" t="s">
        <v>3104</v>
      </c>
      <c r="U8067" s="16" t="s">
        <v>31</v>
      </c>
      <c r="V8067" s="14" t="s">
        <v>3823</v>
      </c>
      <c r="W8067" s="14" t="s">
        <v>50065</v>
      </c>
      <c r="X8067" s="17" t="str">
        <f>HYPERLINK("https://my.pitchbook.com?p=182802-88P","View People Online")</f>
        <v>View People Online</v>
      </c>
    </row>
    <row r="8068">
      <c r="A8068" s="2" t="s">
        <v>50116</v>
      </c>
      <c r="B8068" s="2" t="s">
        <v>50117</v>
      </c>
      <c r="C8068" s="2" t="s">
        <v>11652</v>
      </c>
      <c r="D8068" s="2" t="s">
        <v>50118</v>
      </c>
      <c r="E8068" s="2" t="s">
        <v>50065</v>
      </c>
      <c r="F8068" s="2" t="s">
        <v>5065</v>
      </c>
      <c r="G8068" s="2" t="s">
        <v>50119</v>
      </c>
      <c r="H8068" s="3" t="s">
        <v>31</v>
      </c>
      <c r="I8068" s="3">
        <v>1.0</v>
      </c>
      <c r="J8068" s="3">
        <v>1.0</v>
      </c>
      <c r="K8068" s="3" t="s">
        <v>31</v>
      </c>
      <c r="L8068" s="4" t="s">
        <v>50067</v>
      </c>
      <c r="M8068" s="2" t="s">
        <v>50120</v>
      </c>
      <c r="N8068" s="2" t="s">
        <v>15475</v>
      </c>
      <c r="O8068" s="4" t="s">
        <v>15476</v>
      </c>
      <c r="P8068" s="2" t="s">
        <v>50069</v>
      </c>
      <c r="Q8068" s="2" t="s">
        <v>31</v>
      </c>
      <c r="R8068" s="2" t="s">
        <v>31</v>
      </c>
      <c r="S8068" s="4" t="s">
        <v>15478</v>
      </c>
      <c r="T8068" s="2" t="s">
        <v>3104</v>
      </c>
      <c r="U8068" s="4" t="s">
        <v>31</v>
      </c>
      <c r="V8068" s="2" t="s">
        <v>50121</v>
      </c>
      <c r="W8068" s="2" t="s">
        <v>50065</v>
      </c>
      <c r="X8068" s="5" t="str">
        <f>HYPERLINK("https://my.pitchbook.com?p=413765-74P","View People Online")</f>
        <v>View People Online</v>
      </c>
    </row>
    <row r="8069">
      <c r="A8069" s="6" t="s">
        <v>50122</v>
      </c>
      <c r="B8069" s="6" t="s">
        <v>50123</v>
      </c>
      <c r="C8069" s="6" t="s">
        <v>39937</v>
      </c>
      <c r="D8069" s="6" t="s">
        <v>17282</v>
      </c>
      <c r="E8069" s="6" t="s">
        <v>50065</v>
      </c>
      <c r="F8069" s="6" t="s">
        <v>896</v>
      </c>
      <c r="G8069" s="6" t="s">
        <v>50124</v>
      </c>
      <c r="H8069" s="7" t="s">
        <v>31</v>
      </c>
      <c r="I8069" s="7">
        <v>2.0</v>
      </c>
      <c r="J8069" s="7">
        <v>2.0</v>
      </c>
      <c r="K8069" s="7" t="s">
        <v>31</v>
      </c>
      <c r="L8069" s="8" t="s">
        <v>50067</v>
      </c>
      <c r="M8069" s="6" t="s">
        <v>50125</v>
      </c>
      <c r="N8069" s="6" t="s">
        <v>15475</v>
      </c>
      <c r="O8069" s="8" t="s">
        <v>15476</v>
      </c>
      <c r="P8069" s="6" t="s">
        <v>50069</v>
      </c>
      <c r="Q8069" s="6" t="s">
        <v>31</v>
      </c>
      <c r="R8069" s="6" t="s">
        <v>31</v>
      </c>
      <c r="S8069" s="8" t="s">
        <v>15478</v>
      </c>
      <c r="T8069" s="6" t="s">
        <v>3104</v>
      </c>
      <c r="U8069" s="8" t="s">
        <v>31</v>
      </c>
      <c r="V8069" s="6" t="s">
        <v>25748</v>
      </c>
      <c r="W8069" s="6" t="s">
        <v>50065</v>
      </c>
      <c r="X8069" s="9" t="str">
        <f>HYPERLINK("https://my.pitchbook.com?p=237074-14P","View People Online")</f>
        <v>View People Online</v>
      </c>
    </row>
    <row r="8070">
      <c r="A8070" s="10" t="s">
        <v>50126</v>
      </c>
      <c r="B8070" s="10" t="s">
        <v>50127</v>
      </c>
      <c r="C8070" s="10" t="s">
        <v>50128</v>
      </c>
      <c r="D8070" s="10" t="s">
        <v>44522</v>
      </c>
      <c r="E8070" s="10" t="s">
        <v>50065</v>
      </c>
      <c r="F8070" s="10" t="s">
        <v>3025</v>
      </c>
      <c r="G8070" s="10" t="s">
        <v>50129</v>
      </c>
      <c r="H8070" s="11">
        <v>1.0</v>
      </c>
      <c r="I8070" s="11">
        <v>1.0</v>
      </c>
      <c r="J8070" s="11">
        <v>1.0</v>
      </c>
      <c r="K8070" s="11" t="s">
        <v>31</v>
      </c>
      <c r="L8070" s="12" t="s">
        <v>31</v>
      </c>
      <c r="M8070" s="10" t="s">
        <v>31</v>
      </c>
      <c r="N8070" s="10" t="s">
        <v>794</v>
      </c>
      <c r="O8070" s="12" t="s">
        <v>795</v>
      </c>
      <c r="P8070" s="10" t="s">
        <v>50130</v>
      </c>
      <c r="Q8070" s="10" t="s">
        <v>31</v>
      </c>
      <c r="R8070" s="10" t="s">
        <v>31</v>
      </c>
      <c r="S8070" s="12" t="s">
        <v>50131</v>
      </c>
      <c r="T8070" s="10" t="s">
        <v>796</v>
      </c>
      <c r="U8070" s="12" t="s">
        <v>31</v>
      </c>
      <c r="V8070" s="10" t="s">
        <v>1172</v>
      </c>
      <c r="W8070" s="10" t="s">
        <v>50132</v>
      </c>
      <c r="X8070" s="13" t="str">
        <f>HYPERLINK("https://my.pitchbook.com?p=132636-52P","View People Online")</f>
        <v>View People Online</v>
      </c>
    </row>
    <row r="8071">
      <c r="A8071" s="14" t="s">
        <v>50133</v>
      </c>
      <c r="B8071" s="14" t="s">
        <v>50134</v>
      </c>
      <c r="C8071" s="14" t="s">
        <v>38977</v>
      </c>
      <c r="D8071" s="14" t="s">
        <v>15869</v>
      </c>
      <c r="E8071" s="14" t="s">
        <v>50065</v>
      </c>
      <c r="F8071" s="14" t="s">
        <v>802</v>
      </c>
      <c r="G8071" s="14" t="s">
        <v>50135</v>
      </c>
      <c r="H8071" s="15" t="s">
        <v>31</v>
      </c>
      <c r="I8071" s="15">
        <v>1.0</v>
      </c>
      <c r="J8071" s="15">
        <v>1.0</v>
      </c>
      <c r="K8071" s="15" t="s">
        <v>31</v>
      </c>
      <c r="L8071" s="16" t="s">
        <v>50067</v>
      </c>
      <c r="M8071" s="14" t="s">
        <v>50136</v>
      </c>
      <c r="N8071" s="14" t="s">
        <v>15475</v>
      </c>
      <c r="O8071" s="16" t="s">
        <v>15476</v>
      </c>
      <c r="P8071" s="14" t="s">
        <v>50069</v>
      </c>
      <c r="Q8071" s="14" t="s">
        <v>31</v>
      </c>
      <c r="R8071" s="14" t="s">
        <v>31</v>
      </c>
      <c r="S8071" s="16" t="s">
        <v>15478</v>
      </c>
      <c r="T8071" s="14" t="s">
        <v>3104</v>
      </c>
      <c r="U8071" s="16" t="s">
        <v>31</v>
      </c>
      <c r="V8071" s="14" t="s">
        <v>6552</v>
      </c>
      <c r="W8071" s="14" t="s">
        <v>50065</v>
      </c>
      <c r="X8071" s="17" t="str">
        <f>HYPERLINK("https://my.pitchbook.com?p=413761-06P","View People Online")</f>
        <v>View People Online</v>
      </c>
    </row>
    <row r="8072">
      <c r="A8072" s="2" t="s">
        <v>50137</v>
      </c>
      <c r="B8072" s="2" t="s">
        <v>50138</v>
      </c>
      <c r="C8072" s="2" t="s">
        <v>38447</v>
      </c>
      <c r="D8072" s="2" t="s">
        <v>50139</v>
      </c>
      <c r="E8072" s="2" t="s">
        <v>50065</v>
      </c>
      <c r="F8072" s="2" t="s">
        <v>6552</v>
      </c>
      <c r="G8072" s="2" t="s">
        <v>50140</v>
      </c>
      <c r="H8072" s="3" t="s">
        <v>31</v>
      </c>
      <c r="I8072" s="3">
        <v>1.0</v>
      </c>
      <c r="J8072" s="3">
        <v>1.0</v>
      </c>
      <c r="K8072" s="3" t="s">
        <v>31</v>
      </c>
      <c r="L8072" s="4" t="s">
        <v>50067</v>
      </c>
      <c r="M8072" s="2" t="s">
        <v>50141</v>
      </c>
      <c r="N8072" s="2" t="s">
        <v>15475</v>
      </c>
      <c r="O8072" s="4" t="s">
        <v>15476</v>
      </c>
      <c r="P8072" s="2" t="s">
        <v>50069</v>
      </c>
      <c r="Q8072" s="2" t="s">
        <v>31</v>
      </c>
      <c r="R8072" s="2" t="s">
        <v>31</v>
      </c>
      <c r="S8072" s="4" t="s">
        <v>15478</v>
      </c>
      <c r="T8072" s="2" t="s">
        <v>3104</v>
      </c>
      <c r="U8072" s="4" t="s">
        <v>31</v>
      </c>
      <c r="V8072" s="2" t="s">
        <v>50142</v>
      </c>
      <c r="W8072" s="2" t="s">
        <v>50065</v>
      </c>
      <c r="X8072" s="5" t="str">
        <f>HYPERLINK("https://my.pitchbook.com?p=366627-52P","View People Online")</f>
        <v>View People Online</v>
      </c>
    </row>
    <row r="8073">
      <c r="A8073" s="14" t="s">
        <v>50143</v>
      </c>
      <c r="B8073" s="14" t="s">
        <v>50144</v>
      </c>
      <c r="C8073" s="14" t="s">
        <v>3888</v>
      </c>
      <c r="D8073" s="14" t="s">
        <v>50145</v>
      </c>
      <c r="E8073" s="14" t="s">
        <v>50065</v>
      </c>
      <c r="F8073" s="14" t="s">
        <v>10102</v>
      </c>
      <c r="G8073" s="14" t="s">
        <v>50146</v>
      </c>
      <c r="H8073" s="15" t="s">
        <v>31</v>
      </c>
      <c r="I8073" s="15">
        <v>2.0</v>
      </c>
      <c r="J8073" s="15">
        <v>2.0</v>
      </c>
      <c r="K8073" s="15" t="s">
        <v>31</v>
      </c>
      <c r="L8073" s="16" t="s">
        <v>50067</v>
      </c>
      <c r="M8073" s="14" t="s">
        <v>50147</v>
      </c>
      <c r="N8073" s="14" t="s">
        <v>15475</v>
      </c>
      <c r="O8073" s="16" t="s">
        <v>15476</v>
      </c>
      <c r="P8073" s="14" t="s">
        <v>50069</v>
      </c>
      <c r="Q8073" s="14" t="s">
        <v>31</v>
      </c>
      <c r="R8073" s="14" t="s">
        <v>31</v>
      </c>
      <c r="S8073" s="16" t="s">
        <v>15478</v>
      </c>
      <c r="T8073" s="14" t="s">
        <v>3104</v>
      </c>
      <c r="U8073" s="16" t="s">
        <v>31</v>
      </c>
      <c r="V8073" s="14" t="s">
        <v>50148</v>
      </c>
      <c r="W8073" s="14" t="s">
        <v>50065</v>
      </c>
      <c r="X8073" s="17" t="str">
        <f>HYPERLINK("https://my.pitchbook.com?p=413759-62P","View People Online")</f>
        <v>View People Online</v>
      </c>
    </row>
    <row r="8074">
      <c r="A8074" s="10" t="s">
        <v>50149</v>
      </c>
      <c r="B8074" s="10" t="s">
        <v>50150</v>
      </c>
      <c r="C8074" s="10" t="s">
        <v>50151</v>
      </c>
      <c r="D8074" s="10" t="s">
        <v>50152</v>
      </c>
      <c r="E8074" s="10" t="s">
        <v>50065</v>
      </c>
      <c r="F8074" s="10" t="s">
        <v>802</v>
      </c>
      <c r="G8074" s="10" t="s">
        <v>50153</v>
      </c>
      <c r="H8074" s="11" t="s">
        <v>31</v>
      </c>
      <c r="I8074" s="11">
        <v>1.0</v>
      </c>
      <c r="J8074" s="11">
        <v>1.0</v>
      </c>
      <c r="K8074" s="11" t="s">
        <v>31</v>
      </c>
      <c r="L8074" s="12" t="s">
        <v>50067</v>
      </c>
      <c r="M8074" s="10" t="s">
        <v>50154</v>
      </c>
      <c r="N8074" s="10" t="s">
        <v>15475</v>
      </c>
      <c r="O8074" s="12" t="s">
        <v>15476</v>
      </c>
      <c r="P8074" s="10" t="s">
        <v>50069</v>
      </c>
      <c r="Q8074" s="10" t="s">
        <v>31</v>
      </c>
      <c r="R8074" s="10" t="s">
        <v>31</v>
      </c>
      <c r="S8074" s="12" t="s">
        <v>15478</v>
      </c>
      <c r="T8074" s="10" t="s">
        <v>3104</v>
      </c>
      <c r="U8074" s="12" t="s">
        <v>31</v>
      </c>
      <c r="V8074" s="10" t="s">
        <v>50155</v>
      </c>
      <c r="W8074" s="10" t="s">
        <v>50065</v>
      </c>
      <c r="X8074" s="13" t="str">
        <f>HYPERLINK("https://my.pitchbook.com?p=413762-14P","View People Online")</f>
        <v>View People Online</v>
      </c>
    </row>
    <row r="8075">
      <c r="A8075" s="14" t="s">
        <v>50156</v>
      </c>
      <c r="B8075" s="14" t="s">
        <v>50157</v>
      </c>
      <c r="C8075" s="14" t="s">
        <v>50158</v>
      </c>
      <c r="D8075" s="14" t="s">
        <v>50159</v>
      </c>
      <c r="E8075" s="14" t="s">
        <v>50065</v>
      </c>
      <c r="F8075" s="14" t="s">
        <v>3429</v>
      </c>
      <c r="G8075" s="14" t="s">
        <v>50160</v>
      </c>
      <c r="H8075" s="15" t="s">
        <v>31</v>
      </c>
      <c r="I8075" s="15">
        <v>1.0</v>
      </c>
      <c r="J8075" s="15">
        <v>1.0</v>
      </c>
      <c r="K8075" s="15" t="s">
        <v>31</v>
      </c>
      <c r="L8075" s="16" t="s">
        <v>50067</v>
      </c>
      <c r="M8075" s="14" t="s">
        <v>50161</v>
      </c>
      <c r="N8075" s="14" t="s">
        <v>15475</v>
      </c>
      <c r="O8075" s="16" t="s">
        <v>15476</v>
      </c>
      <c r="P8075" s="14" t="s">
        <v>50069</v>
      </c>
      <c r="Q8075" s="14" t="s">
        <v>31</v>
      </c>
      <c r="R8075" s="14" t="s">
        <v>31</v>
      </c>
      <c r="S8075" s="16" t="s">
        <v>15478</v>
      </c>
      <c r="T8075" s="14" t="s">
        <v>3104</v>
      </c>
      <c r="U8075" s="16" t="s">
        <v>31</v>
      </c>
      <c r="V8075" s="14" t="s">
        <v>50162</v>
      </c>
      <c r="W8075" s="14" t="s">
        <v>50065</v>
      </c>
      <c r="X8075" s="17" t="str">
        <f>HYPERLINK("https://my.pitchbook.com?p=236886-49P","View People Online")</f>
        <v>View People Online</v>
      </c>
    </row>
    <row r="8076">
      <c r="A8076" s="10" t="s">
        <v>50163</v>
      </c>
      <c r="B8076" s="10" t="s">
        <v>50164</v>
      </c>
      <c r="C8076" s="10" t="s">
        <v>50165</v>
      </c>
      <c r="D8076" s="10" t="s">
        <v>50166</v>
      </c>
      <c r="E8076" s="10" t="s">
        <v>50167</v>
      </c>
      <c r="F8076" s="10" t="s">
        <v>81</v>
      </c>
      <c r="G8076" s="10" t="s">
        <v>50168</v>
      </c>
      <c r="H8076" s="11">
        <v>2.0</v>
      </c>
      <c r="I8076" s="11">
        <v>3.0</v>
      </c>
      <c r="J8076" s="11" t="s">
        <v>31</v>
      </c>
      <c r="K8076" s="11" t="s">
        <v>31</v>
      </c>
      <c r="L8076" s="12" t="s">
        <v>50169</v>
      </c>
      <c r="M8076" s="10" t="s">
        <v>50170</v>
      </c>
      <c r="N8076" s="10" t="s">
        <v>50171</v>
      </c>
      <c r="O8076" s="12" t="s">
        <v>50172</v>
      </c>
      <c r="P8076" s="10" t="s">
        <v>50173</v>
      </c>
      <c r="Q8076" s="10" t="s">
        <v>31</v>
      </c>
      <c r="R8076" s="10" t="s">
        <v>31</v>
      </c>
      <c r="S8076" s="12" t="s">
        <v>50174</v>
      </c>
      <c r="T8076" s="10" t="s">
        <v>796</v>
      </c>
      <c r="U8076" s="12" t="s">
        <v>50175</v>
      </c>
      <c r="V8076" s="10" t="s">
        <v>2199</v>
      </c>
      <c r="W8076" s="10" t="s">
        <v>50176</v>
      </c>
      <c r="X8076" s="13" t="str">
        <f>HYPERLINK("https://my.pitchbook.com?p=121516-93P","View People Online")</f>
        <v>View People Online</v>
      </c>
    </row>
    <row r="8077">
      <c r="A8077" s="14" t="s">
        <v>50177</v>
      </c>
      <c r="B8077" s="14" t="s">
        <v>50178</v>
      </c>
      <c r="C8077" s="14" t="s">
        <v>10710</v>
      </c>
      <c r="D8077" s="14" t="s">
        <v>50179</v>
      </c>
      <c r="E8077" s="14" t="s">
        <v>50167</v>
      </c>
      <c r="F8077" s="14" t="s">
        <v>2422</v>
      </c>
      <c r="G8077" s="14" t="s">
        <v>50180</v>
      </c>
      <c r="H8077" s="15" t="s">
        <v>31</v>
      </c>
      <c r="I8077" s="15">
        <v>10.0</v>
      </c>
      <c r="J8077" s="15">
        <v>1.0</v>
      </c>
      <c r="K8077" s="15">
        <v>6.0</v>
      </c>
      <c r="L8077" s="16" t="s">
        <v>50181</v>
      </c>
      <c r="M8077" s="14" t="s">
        <v>50182</v>
      </c>
      <c r="N8077" s="14" t="s">
        <v>794</v>
      </c>
      <c r="O8077" s="16" t="s">
        <v>795</v>
      </c>
      <c r="P8077" s="14" t="s">
        <v>50183</v>
      </c>
      <c r="Q8077" s="14" t="s">
        <v>31</v>
      </c>
      <c r="R8077" s="14" t="s">
        <v>50184</v>
      </c>
      <c r="S8077" s="16" t="s">
        <v>50185</v>
      </c>
      <c r="T8077" s="14" t="s">
        <v>796</v>
      </c>
      <c r="U8077" s="16" t="s">
        <v>31</v>
      </c>
      <c r="V8077" s="14" t="s">
        <v>2422</v>
      </c>
      <c r="W8077" s="14" t="s">
        <v>50167</v>
      </c>
      <c r="X8077" s="17" t="str">
        <f>HYPERLINK("https://my.pitchbook.com?p=39734-56P","View People Online")</f>
        <v>View People Online</v>
      </c>
    </row>
    <row r="8078">
      <c r="A8078" s="2" t="s">
        <v>50186</v>
      </c>
      <c r="B8078" s="2" t="s">
        <v>50187</v>
      </c>
      <c r="C8078" s="2" t="s">
        <v>23660</v>
      </c>
      <c r="D8078" s="2" t="s">
        <v>50188</v>
      </c>
      <c r="E8078" s="2" t="s">
        <v>50167</v>
      </c>
      <c r="F8078" s="2" t="s">
        <v>1283</v>
      </c>
      <c r="G8078" s="2" t="s">
        <v>50189</v>
      </c>
      <c r="H8078" s="3" t="s">
        <v>31</v>
      </c>
      <c r="I8078" s="3">
        <v>35.0</v>
      </c>
      <c r="J8078" s="3">
        <v>1.0</v>
      </c>
      <c r="K8078" s="3">
        <v>34.0</v>
      </c>
      <c r="L8078" s="4" t="s">
        <v>50190</v>
      </c>
      <c r="M8078" s="2" t="s">
        <v>50191</v>
      </c>
      <c r="N8078" s="2" t="s">
        <v>794</v>
      </c>
      <c r="O8078" s="4" t="s">
        <v>795</v>
      </c>
      <c r="P8078" s="2" t="s">
        <v>50183</v>
      </c>
      <c r="Q8078" s="2" t="s">
        <v>31</v>
      </c>
      <c r="R8078" s="2" t="s">
        <v>50184</v>
      </c>
      <c r="S8078" s="4" t="s">
        <v>50185</v>
      </c>
      <c r="T8078" s="2" t="s">
        <v>796</v>
      </c>
      <c r="U8078" s="4" t="s">
        <v>31</v>
      </c>
      <c r="V8078" s="2" t="s">
        <v>1283</v>
      </c>
      <c r="W8078" s="2" t="s">
        <v>50167</v>
      </c>
      <c r="X8078" s="5" t="str">
        <f>HYPERLINK("https://my.pitchbook.com?p=58804-75P","View People Online")</f>
        <v>View People Online</v>
      </c>
    </row>
    <row r="8079">
      <c r="A8079" s="6" t="s">
        <v>50192</v>
      </c>
      <c r="B8079" s="6" t="s">
        <v>50193</v>
      </c>
      <c r="C8079" s="6" t="s">
        <v>10008</v>
      </c>
      <c r="D8079" s="6" t="s">
        <v>23877</v>
      </c>
      <c r="E8079" s="6" t="s">
        <v>50167</v>
      </c>
      <c r="F8079" s="6" t="s">
        <v>270</v>
      </c>
      <c r="G8079" s="6" t="s">
        <v>50194</v>
      </c>
      <c r="H8079" s="7" t="s">
        <v>31</v>
      </c>
      <c r="I8079" s="7">
        <v>1.0</v>
      </c>
      <c r="J8079" s="7">
        <v>1.0</v>
      </c>
      <c r="K8079" s="7" t="s">
        <v>31</v>
      </c>
      <c r="L8079" s="8" t="s">
        <v>50190</v>
      </c>
      <c r="M8079" s="6" t="s">
        <v>50195</v>
      </c>
      <c r="N8079" s="6" t="s">
        <v>794</v>
      </c>
      <c r="O8079" s="8" t="s">
        <v>795</v>
      </c>
      <c r="P8079" s="6" t="s">
        <v>50183</v>
      </c>
      <c r="Q8079" s="6" t="s">
        <v>31</v>
      </c>
      <c r="R8079" s="6" t="s">
        <v>50184</v>
      </c>
      <c r="S8079" s="8" t="s">
        <v>50185</v>
      </c>
      <c r="T8079" s="6" t="s">
        <v>796</v>
      </c>
      <c r="U8079" s="8" t="s">
        <v>31</v>
      </c>
      <c r="V8079" s="6" t="s">
        <v>50196</v>
      </c>
      <c r="W8079" s="6" t="s">
        <v>50167</v>
      </c>
      <c r="X8079" s="9" t="str">
        <f>HYPERLINK("https://my.pitchbook.com?p=172774-99P","View People Online")</f>
        <v>View People Online</v>
      </c>
    </row>
    <row r="8080">
      <c r="A8080" s="10" t="s">
        <v>50197</v>
      </c>
      <c r="B8080" s="10" t="s">
        <v>50198</v>
      </c>
      <c r="C8080" s="10" t="s">
        <v>42516</v>
      </c>
      <c r="D8080" s="10" t="s">
        <v>50199</v>
      </c>
      <c r="E8080" s="10" t="s">
        <v>50167</v>
      </c>
      <c r="F8080" s="10" t="s">
        <v>201</v>
      </c>
      <c r="G8080" s="10" t="s">
        <v>50200</v>
      </c>
      <c r="H8080" s="11" t="s">
        <v>31</v>
      </c>
      <c r="I8080" s="11">
        <v>1.0</v>
      </c>
      <c r="J8080" s="11">
        <v>1.0</v>
      </c>
      <c r="K8080" s="11" t="s">
        <v>31</v>
      </c>
      <c r="L8080" s="12" t="s">
        <v>50190</v>
      </c>
      <c r="M8080" s="10" t="s">
        <v>50201</v>
      </c>
      <c r="N8080" s="10" t="s">
        <v>794</v>
      </c>
      <c r="O8080" s="12" t="s">
        <v>795</v>
      </c>
      <c r="P8080" s="10" t="s">
        <v>50183</v>
      </c>
      <c r="Q8080" s="10" t="s">
        <v>31</v>
      </c>
      <c r="R8080" s="10" t="s">
        <v>50184</v>
      </c>
      <c r="S8080" s="12" t="s">
        <v>50185</v>
      </c>
      <c r="T8080" s="10" t="s">
        <v>796</v>
      </c>
      <c r="U8080" s="12" t="s">
        <v>31</v>
      </c>
      <c r="V8080" s="10" t="s">
        <v>201</v>
      </c>
      <c r="W8080" s="10" t="s">
        <v>50167</v>
      </c>
      <c r="X8080" s="13" t="str">
        <f>HYPERLINK("https://my.pitchbook.com?p=252071-29P","View People Online")</f>
        <v>View People Online</v>
      </c>
    </row>
    <row r="8081">
      <c r="A8081" s="14" t="s">
        <v>50202</v>
      </c>
      <c r="B8081" s="14" t="s">
        <v>50203</v>
      </c>
      <c r="C8081" s="14" t="s">
        <v>15104</v>
      </c>
      <c r="D8081" s="14" t="s">
        <v>50204</v>
      </c>
      <c r="E8081" s="14" t="s">
        <v>50167</v>
      </c>
      <c r="F8081" s="14" t="s">
        <v>802</v>
      </c>
      <c r="G8081" s="14" t="s">
        <v>50205</v>
      </c>
      <c r="H8081" s="15" t="s">
        <v>31</v>
      </c>
      <c r="I8081" s="15">
        <v>1.0</v>
      </c>
      <c r="J8081" s="15">
        <v>1.0</v>
      </c>
      <c r="K8081" s="15" t="s">
        <v>31</v>
      </c>
      <c r="L8081" s="16" t="s">
        <v>50190</v>
      </c>
      <c r="M8081" s="14" t="s">
        <v>50206</v>
      </c>
      <c r="N8081" s="14" t="s">
        <v>794</v>
      </c>
      <c r="O8081" s="16" t="s">
        <v>795</v>
      </c>
      <c r="P8081" s="14" t="s">
        <v>50183</v>
      </c>
      <c r="Q8081" s="14" t="s">
        <v>31</v>
      </c>
      <c r="R8081" s="14" t="s">
        <v>50184</v>
      </c>
      <c r="S8081" s="16" t="s">
        <v>50185</v>
      </c>
      <c r="T8081" s="14" t="s">
        <v>796</v>
      </c>
      <c r="U8081" s="16" t="s">
        <v>31</v>
      </c>
      <c r="V8081" s="14" t="s">
        <v>6552</v>
      </c>
      <c r="W8081" s="14" t="s">
        <v>50167</v>
      </c>
      <c r="X8081" s="17" t="str">
        <f>HYPERLINK("https://my.pitchbook.com?p=179532-19P","View People Online")</f>
        <v>View People Online</v>
      </c>
    </row>
    <row r="8082">
      <c r="A8082" s="10" t="s">
        <v>50207</v>
      </c>
      <c r="B8082" s="10" t="s">
        <v>50208</v>
      </c>
      <c r="C8082" s="10" t="s">
        <v>50209</v>
      </c>
      <c r="D8082" s="10" t="s">
        <v>50210</v>
      </c>
      <c r="E8082" s="10" t="s">
        <v>50167</v>
      </c>
      <c r="F8082" s="10" t="s">
        <v>667</v>
      </c>
      <c r="G8082" s="10" t="s">
        <v>50211</v>
      </c>
      <c r="H8082" s="11" t="s">
        <v>31</v>
      </c>
      <c r="I8082" s="11">
        <v>1.0</v>
      </c>
      <c r="J8082" s="11">
        <v>1.0</v>
      </c>
      <c r="K8082" s="11" t="s">
        <v>31</v>
      </c>
      <c r="L8082" s="12" t="s">
        <v>50190</v>
      </c>
      <c r="M8082" s="10" t="s">
        <v>50212</v>
      </c>
      <c r="N8082" s="10" t="s">
        <v>794</v>
      </c>
      <c r="O8082" s="12" t="s">
        <v>795</v>
      </c>
      <c r="P8082" s="10" t="s">
        <v>50183</v>
      </c>
      <c r="Q8082" s="10" t="s">
        <v>31</v>
      </c>
      <c r="R8082" s="10" t="s">
        <v>50184</v>
      </c>
      <c r="S8082" s="12" t="s">
        <v>50185</v>
      </c>
      <c r="T8082" s="10" t="s">
        <v>796</v>
      </c>
      <c r="U8082" s="12" t="s">
        <v>31</v>
      </c>
      <c r="V8082" s="10" t="s">
        <v>667</v>
      </c>
      <c r="W8082" s="10" t="s">
        <v>50167</v>
      </c>
      <c r="X8082" s="13" t="str">
        <f>HYPERLINK("https://my.pitchbook.com?p=442617-49P","View People Online")</f>
        <v>View People Online</v>
      </c>
    </row>
    <row r="8083">
      <c r="A8083" s="14" t="s">
        <v>50213</v>
      </c>
      <c r="B8083" s="14" t="s">
        <v>50214</v>
      </c>
      <c r="C8083" s="14" t="s">
        <v>69</v>
      </c>
      <c r="D8083" s="14" t="s">
        <v>50215</v>
      </c>
      <c r="E8083" s="14" t="s">
        <v>50167</v>
      </c>
      <c r="F8083" s="14" t="s">
        <v>81</v>
      </c>
      <c r="G8083" s="14" t="s">
        <v>50216</v>
      </c>
      <c r="H8083" s="15">
        <v>2.0</v>
      </c>
      <c r="I8083" s="15">
        <v>6.0</v>
      </c>
      <c r="J8083" s="15" t="s">
        <v>31</v>
      </c>
      <c r="K8083" s="15">
        <v>2.0</v>
      </c>
      <c r="L8083" s="16" t="s">
        <v>50217</v>
      </c>
      <c r="M8083" s="14" t="s">
        <v>50218</v>
      </c>
      <c r="N8083" s="14" t="s">
        <v>50219</v>
      </c>
      <c r="O8083" s="16" t="s">
        <v>50220</v>
      </c>
      <c r="P8083" s="14" t="s">
        <v>50221</v>
      </c>
      <c r="Q8083" s="14" t="s">
        <v>31</v>
      </c>
      <c r="R8083" s="14" t="s">
        <v>31</v>
      </c>
      <c r="S8083" s="16" t="s">
        <v>50222</v>
      </c>
      <c r="T8083" s="14" t="s">
        <v>796</v>
      </c>
      <c r="U8083" s="16" t="s">
        <v>31</v>
      </c>
      <c r="V8083" s="14" t="s">
        <v>50223</v>
      </c>
      <c r="W8083" s="14" t="s">
        <v>50224</v>
      </c>
      <c r="X8083" s="17" t="str">
        <f>HYPERLINK("https://my.pitchbook.com?p=55876-87P","View People Online")</f>
        <v>View People Online</v>
      </c>
    </row>
    <row r="8084">
      <c r="A8084" s="2" t="s">
        <v>50225</v>
      </c>
      <c r="B8084" s="2" t="s">
        <v>50226</v>
      </c>
      <c r="C8084" s="2" t="s">
        <v>763</v>
      </c>
      <c r="D8084" s="2" t="s">
        <v>42112</v>
      </c>
      <c r="E8084" s="2" t="s">
        <v>50167</v>
      </c>
      <c r="F8084" s="2" t="s">
        <v>667</v>
      </c>
      <c r="G8084" s="2" t="s">
        <v>50227</v>
      </c>
      <c r="H8084" s="3" t="s">
        <v>31</v>
      </c>
      <c r="I8084" s="3">
        <v>1.0</v>
      </c>
      <c r="J8084" s="3">
        <v>1.0</v>
      </c>
      <c r="K8084" s="3" t="s">
        <v>31</v>
      </c>
      <c r="L8084" s="4" t="s">
        <v>50190</v>
      </c>
      <c r="M8084" s="2" t="s">
        <v>50228</v>
      </c>
      <c r="N8084" s="2" t="s">
        <v>794</v>
      </c>
      <c r="O8084" s="4" t="s">
        <v>795</v>
      </c>
      <c r="P8084" s="2" t="s">
        <v>50183</v>
      </c>
      <c r="Q8084" s="2" t="s">
        <v>31</v>
      </c>
      <c r="R8084" s="2" t="s">
        <v>50184</v>
      </c>
      <c r="S8084" s="4" t="s">
        <v>50185</v>
      </c>
      <c r="T8084" s="2" t="s">
        <v>796</v>
      </c>
      <c r="U8084" s="4" t="s">
        <v>31</v>
      </c>
      <c r="V8084" s="2" t="s">
        <v>667</v>
      </c>
      <c r="W8084" s="2" t="s">
        <v>50167</v>
      </c>
      <c r="X8084" s="5" t="str">
        <f>HYPERLINK("https://my.pitchbook.com?p=308909-26P","View People Online")</f>
        <v>View People Online</v>
      </c>
    </row>
    <row r="8085">
      <c r="A8085" s="14" t="s">
        <v>50229</v>
      </c>
      <c r="B8085" s="14" t="s">
        <v>50230</v>
      </c>
      <c r="C8085" s="14" t="s">
        <v>11186</v>
      </c>
      <c r="D8085" s="14" t="s">
        <v>50231</v>
      </c>
      <c r="E8085" s="14" t="s">
        <v>50167</v>
      </c>
      <c r="F8085" s="14" t="s">
        <v>81</v>
      </c>
      <c r="G8085" s="14" t="s">
        <v>50232</v>
      </c>
      <c r="H8085" s="15">
        <v>2.0</v>
      </c>
      <c r="I8085" s="15">
        <v>5.0</v>
      </c>
      <c r="J8085" s="15">
        <v>1.0</v>
      </c>
      <c r="K8085" s="15" t="s">
        <v>31</v>
      </c>
      <c r="L8085" s="16" t="s">
        <v>50233</v>
      </c>
      <c r="M8085" s="14" t="s">
        <v>50234</v>
      </c>
      <c r="N8085" s="14" t="s">
        <v>14333</v>
      </c>
      <c r="O8085" s="16" t="s">
        <v>14334</v>
      </c>
      <c r="P8085" s="14" t="s">
        <v>50235</v>
      </c>
      <c r="Q8085" s="14" t="s">
        <v>31</v>
      </c>
      <c r="R8085" s="14" t="s">
        <v>31</v>
      </c>
      <c r="S8085" s="16" t="s">
        <v>14337</v>
      </c>
      <c r="T8085" s="14" t="s">
        <v>14338</v>
      </c>
      <c r="U8085" s="16" t="s">
        <v>31</v>
      </c>
      <c r="V8085" s="14" t="s">
        <v>57</v>
      </c>
      <c r="W8085" s="14" t="s">
        <v>50236</v>
      </c>
      <c r="X8085" s="17" t="str">
        <f>HYPERLINK("https://my.pitchbook.com?p=39103-21P","View People Online")</f>
        <v>View People Online</v>
      </c>
    </row>
    <row r="8086">
      <c r="A8086" s="2" t="s">
        <v>50237</v>
      </c>
      <c r="B8086" s="2" t="s">
        <v>50238</v>
      </c>
      <c r="C8086" s="2" t="s">
        <v>323</v>
      </c>
      <c r="D8086" s="2" t="s">
        <v>50239</v>
      </c>
      <c r="E8086" s="2" t="s">
        <v>50167</v>
      </c>
      <c r="F8086" s="2" t="s">
        <v>81</v>
      </c>
      <c r="G8086" s="2" t="s">
        <v>50240</v>
      </c>
      <c r="H8086" s="3" t="s">
        <v>31</v>
      </c>
      <c r="I8086" s="3">
        <v>1.0</v>
      </c>
      <c r="J8086" s="3" t="s">
        <v>31</v>
      </c>
      <c r="K8086" s="3" t="s">
        <v>31</v>
      </c>
      <c r="L8086" s="4" t="s">
        <v>50190</v>
      </c>
      <c r="M8086" s="2" t="s">
        <v>31</v>
      </c>
      <c r="N8086" s="2" t="s">
        <v>794</v>
      </c>
      <c r="O8086" s="4" t="s">
        <v>795</v>
      </c>
      <c r="P8086" s="2" t="s">
        <v>50183</v>
      </c>
      <c r="Q8086" s="2" t="s">
        <v>31</v>
      </c>
      <c r="R8086" s="2" t="s">
        <v>50184</v>
      </c>
      <c r="S8086" s="4" t="s">
        <v>50185</v>
      </c>
      <c r="T8086" s="2" t="s">
        <v>796</v>
      </c>
      <c r="U8086" s="4" t="s">
        <v>31</v>
      </c>
      <c r="V8086" s="2" t="s">
        <v>470</v>
      </c>
      <c r="W8086" s="2" t="s">
        <v>50241</v>
      </c>
      <c r="X8086" s="5" t="str">
        <f>HYPERLINK("https://my.pitchbook.com?p=308918-80P","View People Online")</f>
        <v>View People Online</v>
      </c>
    </row>
    <row r="8087">
      <c r="A8087" s="14" t="s">
        <v>50242</v>
      </c>
      <c r="B8087" s="14" t="s">
        <v>50243</v>
      </c>
      <c r="C8087" s="14" t="s">
        <v>8106</v>
      </c>
      <c r="D8087" s="14" t="s">
        <v>50244</v>
      </c>
      <c r="E8087" s="14" t="s">
        <v>50167</v>
      </c>
      <c r="F8087" s="14" t="s">
        <v>11270</v>
      </c>
      <c r="G8087" s="14" t="s">
        <v>50245</v>
      </c>
      <c r="H8087" s="15" t="s">
        <v>31</v>
      </c>
      <c r="I8087" s="15">
        <v>1.0</v>
      </c>
      <c r="J8087" s="15">
        <v>1.0</v>
      </c>
      <c r="K8087" s="15" t="s">
        <v>31</v>
      </c>
      <c r="L8087" s="16" t="s">
        <v>50190</v>
      </c>
      <c r="M8087" s="14" t="s">
        <v>50246</v>
      </c>
      <c r="N8087" s="14" t="s">
        <v>794</v>
      </c>
      <c r="O8087" s="16" t="s">
        <v>795</v>
      </c>
      <c r="P8087" s="14" t="s">
        <v>50183</v>
      </c>
      <c r="Q8087" s="14" t="s">
        <v>31</v>
      </c>
      <c r="R8087" s="14" t="s">
        <v>50184</v>
      </c>
      <c r="S8087" s="16" t="s">
        <v>50185</v>
      </c>
      <c r="T8087" s="14" t="s">
        <v>796</v>
      </c>
      <c r="U8087" s="16" t="s">
        <v>31</v>
      </c>
      <c r="V8087" s="14" t="s">
        <v>50247</v>
      </c>
      <c r="W8087" s="14" t="s">
        <v>50167</v>
      </c>
      <c r="X8087" s="17" t="str">
        <f>HYPERLINK("https://my.pitchbook.com?p=395365-96P","View People Online")</f>
        <v>View People Online</v>
      </c>
    </row>
    <row r="8088">
      <c r="A8088" s="10" t="s">
        <v>50248</v>
      </c>
      <c r="B8088" s="10" t="s">
        <v>50249</v>
      </c>
      <c r="C8088" s="10" t="s">
        <v>50250</v>
      </c>
      <c r="D8088" s="10" t="s">
        <v>50251</v>
      </c>
      <c r="E8088" s="10" t="s">
        <v>50167</v>
      </c>
      <c r="F8088" s="10" t="s">
        <v>221</v>
      </c>
      <c r="G8088" s="10" t="s">
        <v>50252</v>
      </c>
      <c r="H8088" s="11" t="s">
        <v>31</v>
      </c>
      <c r="I8088" s="11">
        <v>1.0</v>
      </c>
      <c r="J8088" s="11">
        <v>1.0</v>
      </c>
      <c r="K8088" s="11" t="s">
        <v>31</v>
      </c>
      <c r="L8088" s="12" t="s">
        <v>50190</v>
      </c>
      <c r="M8088" s="10" t="s">
        <v>50253</v>
      </c>
      <c r="N8088" s="10" t="s">
        <v>794</v>
      </c>
      <c r="O8088" s="12" t="s">
        <v>795</v>
      </c>
      <c r="P8088" s="10" t="s">
        <v>50183</v>
      </c>
      <c r="Q8088" s="10" t="s">
        <v>31</v>
      </c>
      <c r="R8088" s="10" t="s">
        <v>50184</v>
      </c>
      <c r="S8088" s="12" t="s">
        <v>50185</v>
      </c>
      <c r="T8088" s="10" t="s">
        <v>796</v>
      </c>
      <c r="U8088" s="12" t="s">
        <v>31</v>
      </c>
      <c r="V8088" s="10" t="s">
        <v>221</v>
      </c>
      <c r="W8088" s="10" t="s">
        <v>50167</v>
      </c>
      <c r="X8088" s="13" t="str">
        <f>HYPERLINK("https://my.pitchbook.com?p=308913-31P","View People Online")</f>
        <v>View People Online</v>
      </c>
    </row>
    <row r="8089">
      <c r="A8089" s="6" t="s">
        <v>50254</v>
      </c>
      <c r="B8089" s="6" t="s">
        <v>50255</v>
      </c>
      <c r="C8089" s="6" t="s">
        <v>6383</v>
      </c>
      <c r="D8089" s="6" t="s">
        <v>50256</v>
      </c>
      <c r="E8089" s="6" t="s">
        <v>50167</v>
      </c>
      <c r="F8089" s="6" t="s">
        <v>81</v>
      </c>
      <c r="G8089" s="6" t="s">
        <v>50257</v>
      </c>
      <c r="H8089" s="7" t="s">
        <v>31</v>
      </c>
      <c r="I8089" s="7">
        <v>1.0</v>
      </c>
      <c r="J8089" s="7" t="s">
        <v>31</v>
      </c>
      <c r="K8089" s="7" t="s">
        <v>31</v>
      </c>
      <c r="L8089" s="8" t="s">
        <v>50190</v>
      </c>
      <c r="M8089" s="6" t="s">
        <v>31</v>
      </c>
      <c r="N8089" s="6" t="s">
        <v>794</v>
      </c>
      <c r="O8089" s="8" t="s">
        <v>795</v>
      </c>
      <c r="P8089" s="6" t="s">
        <v>50183</v>
      </c>
      <c r="Q8089" s="6" t="s">
        <v>31</v>
      </c>
      <c r="R8089" s="6" t="s">
        <v>50184</v>
      </c>
      <c r="S8089" s="8" t="s">
        <v>50185</v>
      </c>
      <c r="T8089" s="6" t="s">
        <v>796</v>
      </c>
      <c r="U8089" s="8" t="s">
        <v>31</v>
      </c>
      <c r="V8089" s="6" t="s">
        <v>81</v>
      </c>
      <c r="W8089" s="6" t="s">
        <v>50167</v>
      </c>
      <c r="X8089" s="9" t="str">
        <f>HYPERLINK("https://my.pitchbook.com?p=354949-03P","View People Online")</f>
        <v>View People Online</v>
      </c>
    </row>
    <row r="8090">
      <c r="A8090" s="2" t="s">
        <v>50258</v>
      </c>
      <c r="B8090" s="2" t="s">
        <v>50259</v>
      </c>
      <c r="C8090" s="2" t="s">
        <v>50260</v>
      </c>
      <c r="D8090" s="2" t="s">
        <v>31654</v>
      </c>
      <c r="E8090" s="2" t="s">
        <v>50167</v>
      </c>
      <c r="F8090" s="2" t="s">
        <v>2422</v>
      </c>
      <c r="G8090" s="2" t="s">
        <v>50261</v>
      </c>
      <c r="H8090" s="3">
        <v>1.0</v>
      </c>
      <c r="I8090" s="3">
        <v>10.0</v>
      </c>
      <c r="J8090" s="3">
        <v>1.0</v>
      </c>
      <c r="K8090" s="3">
        <v>8.0</v>
      </c>
      <c r="L8090" s="4" t="s">
        <v>50262</v>
      </c>
      <c r="M8090" s="2" t="s">
        <v>50263</v>
      </c>
      <c r="N8090" s="2" t="s">
        <v>794</v>
      </c>
      <c r="O8090" s="4" t="s">
        <v>795</v>
      </c>
      <c r="P8090" s="2" t="s">
        <v>50183</v>
      </c>
      <c r="Q8090" s="2" t="s">
        <v>31</v>
      </c>
      <c r="R8090" s="2" t="s">
        <v>50184</v>
      </c>
      <c r="S8090" s="4" t="s">
        <v>50185</v>
      </c>
      <c r="T8090" s="2" t="s">
        <v>796</v>
      </c>
      <c r="U8090" s="4" t="s">
        <v>31</v>
      </c>
      <c r="V8090" s="2" t="s">
        <v>2422</v>
      </c>
      <c r="W8090" s="2" t="s">
        <v>50167</v>
      </c>
      <c r="X8090" s="5" t="str">
        <f>HYPERLINK("https://my.pitchbook.com?p=51841-81P","View People Online")</f>
        <v>View People Online</v>
      </c>
    </row>
    <row r="8091">
      <c r="A8091" s="14" t="s">
        <v>50264</v>
      </c>
      <c r="B8091" s="14" t="s">
        <v>50265</v>
      </c>
      <c r="C8091" s="14" t="s">
        <v>50266</v>
      </c>
      <c r="D8091" s="14" t="s">
        <v>50267</v>
      </c>
      <c r="E8091" s="14" t="s">
        <v>50167</v>
      </c>
      <c r="F8091" s="14" t="s">
        <v>221</v>
      </c>
      <c r="G8091" s="14" t="s">
        <v>50268</v>
      </c>
      <c r="H8091" s="15" t="s">
        <v>31</v>
      </c>
      <c r="I8091" s="15">
        <v>1.0</v>
      </c>
      <c r="J8091" s="15">
        <v>1.0</v>
      </c>
      <c r="K8091" s="15" t="s">
        <v>31</v>
      </c>
      <c r="L8091" s="16" t="s">
        <v>50190</v>
      </c>
      <c r="M8091" s="14" t="s">
        <v>50269</v>
      </c>
      <c r="N8091" s="14" t="s">
        <v>794</v>
      </c>
      <c r="O8091" s="16" t="s">
        <v>795</v>
      </c>
      <c r="P8091" s="14" t="s">
        <v>50183</v>
      </c>
      <c r="Q8091" s="14" t="s">
        <v>31</v>
      </c>
      <c r="R8091" s="14" t="s">
        <v>50184</v>
      </c>
      <c r="S8091" s="16" t="s">
        <v>50185</v>
      </c>
      <c r="T8091" s="14" t="s">
        <v>796</v>
      </c>
      <c r="U8091" s="16" t="s">
        <v>31</v>
      </c>
      <c r="V8091" s="14" t="s">
        <v>221</v>
      </c>
      <c r="W8091" s="14" t="s">
        <v>50167</v>
      </c>
      <c r="X8091" s="17" t="str">
        <f>HYPERLINK("https://my.pitchbook.com?p=374158-45P","View People Online")</f>
        <v>View People Online</v>
      </c>
    </row>
    <row r="8092">
      <c r="A8092" s="2" t="s">
        <v>50270</v>
      </c>
      <c r="B8092" s="2" t="s">
        <v>50271</v>
      </c>
      <c r="C8092" s="2" t="s">
        <v>8163</v>
      </c>
      <c r="D8092" s="2" t="s">
        <v>50272</v>
      </c>
      <c r="E8092" s="2" t="s">
        <v>50167</v>
      </c>
      <c r="F8092" s="2" t="s">
        <v>81</v>
      </c>
      <c r="G8092" s="2" t="s">
        <v>50273</v>
      </c>
      <c r="H8092" s="3">
        <v>3.0</v>
      </c>
      <c r="I8092" s="3">
        <v>4.0</v>
      </c>
      <c r="J8092" s="3" t="s">
        <v>31</v>
      </c>
      <c r="K8092" s="3" t="s">
        <v>31</v>
      </c>
      <c r="L8092" s="4" t="s">
        <v>50190</v>
      </c>
      <c r="M8092" s="2" t="s">
        <v>31</v>
      </c>
      <c r="N8092" s="2" t="s">
        <v>794</v>
      </c>
      <c r="O8092" s="4" t="s">
        <v>795</v>
      </c>
      <c r="P8092" s="2" t="s">
        <v>50183</v>
      </c>
      <c r="Q8092" s="2" t="s">
        <v>31</v>
      </c>
      <c r="R8092" s="2" t="s">
        <v>50184</v>
      </c>
      <c r="S8092" s="4" t="s">
        <v>50185</v>
      </c>
      <c r="T8092" s="2" t="s">
        <v>796</v>
      </c>
      <c r="U8092" s="4" t="s">
        <v>31</v>
      </c>
      <c r="V8092" s="2" t="s">
        <v>81</v>
      </c>
      <c r="W8092" s="2" t="s">
        <v>50167</v>
      </c>
      <c r="X8092" s="5" t="str">
        <f>HYPERLINK("https://my.pitchbook.com?p=308919-61P","View People Online")</f>
        <v>View People Online</v>
      </c>
    </row>
    <row r="8093">
      <c r="A8093" s="6" t="s">
        <v>50274</v>
      </c>
      <c r="B8093" s="6" t="s">
        <v>50275</v>
      </c>
      <c r="C8093" s="6" t="s">
        <v>50276</v>
      </c>
      <c r="D8093" s="6" t="s">
        <v>50277</v>
      </c>
      <c r="E8093" s="6" t="s">
        <v>50167</v>
      </c>
      <c r="F8093" s="6" t="s">
        <v>6552</v>
      </c>
      <c r="G8093" s="6" t="s">
        <v>50278</v>
      </c>
      <c r="H8093" s="7" t="s">
        <v>31</v>
      </c>
      <c r="I8093" s="7">
        <v>1.0</v>
      </c>
      <c r="J8093" s="7">
        <v>1.0</v>
      </c>
      <c r="K8093" s="7" t="s">
        <v>31</v>
      </c>
      <c r="L8093" s="8" t="s">
        <v>50190</v>
      </c>
      <c r="M8093" s="6" t="s">
        <v>50279</v>
      </c>
      <c r="N8093" s="6" t="s">
        <v>794</v>
      </c>
      <c r="O8093" s="8" t="s">
        <v>795</v>
      </c>
      <c r="P8093" s="6" t="s">
        <v>50183</v>
      </c>
      <c r="Q8093" s="6" t="s">
        <v>31</v>
      </c>
      <c r="R8093" s="6" t="s">
        <v>50184</v>
      </c>
      <c r="S8093" s="8" t="s">
        <v>50185</v>
      </c>
      <c r="T8093" s="6" t="s">
        <v>796</v>
      </c>
      <c r="U8093" s="8" t="s">
        <v>31</v>
      </c>
      <c r="V8093" s="6" t="s">
        <v>6552</v>
      </c>
      <c r="W8093" s="6" t="s">
        <v>50167</v>
      </c>
      <c r="X8093" s="9" t="str">
        <f>HYPERLINK("https://my.pitchbook.com?p=144925-39P","View People Online")</f>
        <v>View People Online</v>
      </c>
    </row>
    <row r="8094">
      <c r="A8094" s="2" t="s">
        <v>50280</v>
      </c>
      <c r="B8094" s="2" t="s">
        <v>50281</v>
      </c>
      <c r="C8094" s="2" t="s">
        <v>17759</v>
      </c>
      <c r="D8094" s="2" t="s">
        <v>50282</v>
      </c>
      <c r="E8094" s="2" t="s">
        <v>50167</v>
      </c>
      <c r="F8094" s="2" t="s">
        <v>81</v>
      </c>
      <c r="G8094" s="2" t="s">
        <v>50283</v>
      </c>
      <c r="H8094" s="3" t="s">
        <v>31</v>
      </c>
      <c r="I8094" s="3">
        <v>11.0</v>
      </c>
      <c r="J8094" s="3" t="s">
        <v>31</v>
      </c>
      <c r="K8094" s="3">
        <v>10.0</v>
      </c>
      <c r="L8094" s="4" t="s">
        <v>50190</v>
      </c>
      <c r="M8094" s="2" t="s">
        <v>31</v>
      </c>
      <c r="N8094" s="2" t="s">
        <v>794</v>
      </c>
      <c r="O8094" s="4" t="s">
        <v>795</v>
      </c>
      <c r="P8094" s="2" t="s">
        <v>50183</v>
      </c>
      <c r="Q8094" s="2" t="s">
        <v>31</v>
      </c>
      <c r="R8094" s="2" t="s">
        <v>50184</v>
      </c>
      <c r="S8094" s="4" t="s">
        <v>50185</v>
      </c>
      <c r="T8094" s="2" t="s">
        <v>796</v>
      </c>
      <c r="U8094" s="4" t="s">
        <v>31</v>
      </c>
      <c r="V8094" s="2" t="s">
        <v>50284</v>
      </c>
      <c r="W8094" s="2" t="s">
        <v>50285</v>
      </c>
      <c r="X8094" s="5" t="str">
        <f>HYPERLINK("https://my.pitchbook.com?p=70342-03P","View People Online")</f>
        <v>View People Online</v>
      </c>
    </row>
    <row r="8095">
      <c r="A8095" s="6" t="s">
        <v>50286</v>
      </c>
      <c r="B8095" s="6" t="s">
        <v>50287</v>
      </c>
      <c r="C8095" s="6" t="s">
        <v>17759</v>
      </c>
      <c r="D8095" s="6" t="s">
        <v>42448</v>
      </c>
      <c r="E8095" s="6" t="s">
        <v>50167</v>
      </c>
      <c r="F8095" s="6" t="s">
        <v>81</v>
      </c>
      <c r="G8095" s="6" t="s">
        <v>50288</v>
      </c>
      <c r="H8095" s="7" t="s">
        <v>31</v>
      </c>
      <c r="I8095" s="7">
        <v>2.0</v>
      </c>
      <c r="J8095" s="7" t="s">
        <v>31</v>
      </c>
      <c r="K8095" s="7">
        <v>1.0</v>
      </c>
      <c r="L8095" s="8" t="s">
        <v>50190</v>
      </c>
      <c r="M8095" s="6" t="s">
        <v>31</v>
      </c>
      <c r="N8095" s="6" t="s">
        <v>794</v>
      </c>
      <c r="O8095" s="8" t="s">
        <v>795</v>
      </c>
      <c r="P8095" s="6" t="s">
        <v>50183</v>
      </c>
      <c r="Q8095" s="6" t="s">
        <v>31</v>
      </c>
      <c r="R8095" s="6" t="s">
        <v>50184</v>
      </c>
      <c r="S8095" s="8" t="s">
        <v>50185</v>
      </c>
      <c r="T8095" s="6" t="s">
        <v>796</v>
      </c>
      <c r="U8095" s="8" t="s">
        <v>31</v>
      </c>
      <c r="V8095" s="6" t="s">
        <v>50289</v>
      </c>
      <c r="W8095" s="6" t="s">
        <v>50290</v>
      </c>
      <c r="X8095" s="9" t="str">
        <f>HYPERLINK("https://my.pitchbook.com?p=218306-17P","View People Online")</f>
        <v>View People Online</v>
      </c>
    </row>
    <row r="8096">
      <c r="A8096" s="10" t="s">
        <v>50291</v>
      </c>
      <c r="B8096" s="10" t="s">
        <v>50292</v>
      </c>
      <c r="C8096" s="10" t="s">
        <v>50293</v>
      </c>
      <c r="D8096" s="10" t="s">
        <v>50294</v>
      </c>
      <c r="E8096" s="10" t="s">
        <v>50167</v>
      </c>
      <c r="F8096" s="10" t="s">
        <v>221</v>
      </c>
      <c r="G8096" s="10" t="s">
        <v>50295</v>
      </c>
      <c r="H8096" s="11" t="s">
        <v>31</v>
      </c>
      <c r="I8096" s="11">
        <v>1.0</v>
      </c>
      <c r="J8096" s="11">
        <v>1.0</v>
      </c>
      <c r="K8096" s="11" t="s">
        <v>31</v>
      </c>
      <c r="L8096" s="12" t="s">
        <v>50190</v>
      </c>
      <c r="M8096" s="10" t="s">
        <v>50296</v>
      </c>
      <c r="N8096" s="10" t="s">
        <v>794</v>
      </c>
      <c r="O8096" s="12" t="s">
        <v>795</v>
      </c>
      <c r="P8096" s="10" t="s">
        <v>50183</v>
      </c>
      <c r="Q8096" s="10" t="s">
        <v>31</v>
      </c>
      <c r="R8096" s="10" t="s">
        <v>50184</v>
      </c>
      <c r="S8096" s="12" t="s">
        <v>50185</v>
      </c>
      <c r="T8096" s="10" t="s">
        <v>796</v>
      </c>
      <c r="U8096" s="12" t="s">
        <v>31</v>
      </c>
      <c r="V8096" s="10" t="s">
        <v>221</v>
      </c>
      <c r="W8096" s="10" t="s">
        <v>50167</v>
      </c>
      <c r="X8096" s="13" t="str">
        <f>HYPERLINK("https://my.pitchbook.com?p=354943-81P","View People Online")</f>
        <v>View People Online</v>
      </c>
    </row>
    <row r="8097">
      <c r="A8097" s="6" t="s">
        <v>50297</v>
      </c>
      <c r="B8097" s="6" t="s">
        <v>50298</v>
      </c>
      <c r="C8097" s="6" t="s">
        <v>50299</v>
      </c>
      <c r="D8097" s="6" t="s">
        <v>50300</v>
      </c>
      <c r="E8097" s="6" t="s">
        <v>50167</v>
      </c>
      <c r="F8097" s="6" t="s">
        <v>81</v>
      </c>
      <c r="G8097" s="6" t="s">
        <v>50301</v>
      </c>
      <c r="H8097" s="7">
        <v>1.0</v>
      </c>
      <c r="I8097" s="7">
        <v>6.0</v>
      </c>
      <c r="J8097" s="7" t="s">
        <v>31</v>
      </c>
      <c r="K8097" s="7">
        <v>4.0</v>
      </c>
      <c r="L8097" s="8" t="s">
        <v>50190</v>
      </c>
      <c r="M8097" s="6" t="s">
        <v>31</v>
      </c>
      <c r="N8097" s="6" t="s">
        <v>794</v>
      </c>
      <c r="O8097" s="8" t="s">
        <v>795</v>
      </c>
      <c r="P8097" s="6" t="s">
        <v>50183</v>
      </c>
      <c r="Q8097" s="6" t="s">
        <v>31</v>
      </c>
      <c r="R8097" s="6" t="s">
        <v>50184</v>
      </c>
      <c r="S8097" s="8" t="s">
        <v>50185</v>
      </c>
      <c r="T8097" s="6" t="s">
        <v>796</v>
      </c>
      <c r="U8097" s="8" t="s">
        <v>31</v>
      </c>
      <c r="V8097" s="6" t="s">
        <v>81</v>
      </c>
      <c r="W8097" s="6" t="s">
        <v>50167</v>
      </c>
      <c r="X8097" s="9" t="str">
        <f>HYPERLINK("https://my.pitchbook.com?p=56625-58P","View People Online")</f>
        <v>View People Online</v>
      </c>
    </row>
    <row r="8098">
      <c r="A8098" s="2" t="s">
        <v>50302</v>
      </c>
      <c r="B8098" s="2" t="s">
        <v>50303</v>
      </c>
      <c r="C8098" s="2" t="s">
        <v>50304</v>
      </c>
      <c r="D8098" s="2" t="s">
        <v>50305</v>
      </c>
      <c r="E8098" s="2" t="s">
        <v>50167</v>
      </c>
      <c r="F8098" s="2" t="s">
        <v>270</v>
      </c>
      <c r="G8098" s="2" t="s">
        <v>50306</v>
      </c>
      <c r="H8098" s="3" t="s">
        <v>31</v>
      </c>
      <c r="I8098" s="3">
        <v>1.0</v>
      </c>
      <c r="J8098" s="3">
        <v>1.0</v>
      </c>
      <c r="K8098" s="3" t="s">
        <v>31</v>
      </c>
      <c r="L8098" s="4" t="s">
        <v>50190</v>
      </c>
      <c r="M8098" s="2" t="s">
        <v>50307</v>
      </c>
      <c r="N8098" s="2" t="s">
        <v>794</v>
      </c>
      <c r="O8098" s="4" t="s">
        <v>795</v>
      </c>
      <c r="P8098" s="2" t="s">
        <v>50183</v>
      </c>
      <c r="Q8098" s="2" t="s">
        <v>31</v>
      </c>
      <c r="R8098" s="2" t="s">
        <v>50184</v>
      </c>
      <c r="S8098" s="4" t="s">
        <v>50185</v>
      </c>
      <c r="T8098" s="2" t="s">
        <v>796</v>
      </c>
      <c r="U8098" s="4" t="s">
        <v>31</v>
      </c>
      <c r="V8098" s="2" t="s">
        <v>50308</v>
      </c>
      <c r="W8098" s="2" t="s">
        <v>50167</v>
      </c>
      <c r="X8098" s="5" t="str">
        <f>HYPERLINK("https://my.pitchbook.com?p=424429-84P","View People Online")</f>
        <v>View People Online</v>
      </c>
    </row>
    <row r="8099">
      <c r="A8099" s="14" t="s">
        <v>50309</v>
      </c>
      <c r="B8099" s="14" t="s">
        <v>50310</v>
      </c>
      <c r="C8099" s="14" t="s">
        <v>50311</v>
      </c>
      <c r="D8099" s="14" t="s">
        <v>50312</v>
      </c>
      <c r="E8099" s="14" t="s">
        <v>50167</v>
      </c>
      <c r="F8099" s="14" t="s">
        <v>81</v>
      </c>
      <c r="G8099" s="14" t="s">
        <v>50313</v>
      </c>
      <c r="H8099" s="15" t="s">
        <v>31</v>
      </c>
      <c r="I8099" s="15">
        <v>10.0</v>
      </c>
      <c r="J8099" s="15">
        <v>1.0</v>
      </c>
      <c r="K8099" s="15">
        <v>8.0</v>
      </c>
      <c r="L8099" s="16" t="s">
        <v>31</v>
      </c>
      <c r="M8099" s="14" t="s">
        <v>50314</v>
      </c>
      <c r="N8099" s="14" t="s">
        <v>50315</v>
      </c>
      <c r="O8099" s="16" t="s">
        <v>50316</v>
      </c>
      <c r="P8099" s="14" t="s">
        <v>50317</v>
      </c>
      <c r="Q8099" s="14" t="s">
        <v>31</v>
      </c>
      <c r="R8099" s="14" t="s">
        <v>31</v>
      </c>
      <c r="S8099" s="16" t="s">
        <v>7336</v>
      </c>
      <c r="T8099" s="14" t="s">
        <v>14338</v>
      </c>
      <c r="U8099" s="16" t="s">
        <v>31</v>
      </c>
      <c r="V8099" s="14" t="s">
        <v>470</v>
      </c>
      <c r="W8099" s="14" t="s">
        <v>50318</v>
      </c>
      <c r="X8099" s="17" t="str">
        <f>HYPERLINK("https://my.pitchbook.com?p=130427-74P","View People Online")</f>
        <v>View People Online</v>
      </c>
    </row>
    <row r="8100">
      <c r="A8100" s="2" t="s">
        <v>50319</v>
      </c>
      <c r="B8100" s="2" t="s">
        <v>50320</v>
      </c>
      <c r="C8100" s="2" t="s">
        <v>19041</v>
      </c>
      <c r="D8100" s="2" t="s">
        <v>50321</v>
      </c>
      <c r="E8100" s="2" t="s">
        <v>50167</v>
      </c>
      <c r="F8100" s="2" t="s">
        <v>81</v>
      </c>
      <c r="G8100" s="2" t="s">
        <v>50322</v>
      </c>
      <c r="H8100" s="3" t="s">
        <v>31</v>
      </c>
      <c r="I8100" s="3">
        <v>4.0</v>
      </c>
      <c r="J8100" s="3">
        <v>2.0</v>
      </c>
      <c r="K8100" s="3" t="s">
        <v>31</v>
      </c>
      <c r="L8100" s="4" t="s">
        <v>50323</v>
      </c>
      <c r="M8100" s="2" t="s">
        <v>50324</v>
      </c>
      <c r="N8100" s="2" t="s">
        <v>50325</v>
      </c>
      <c r="O8100" s="4" t="s">
        <v>50326</v>
      </c>
      <c r="P8100" s="2" t="s">
        <v>50327</v>
      </c>
      <c r="Q8100" s="2" t="s">
        <v>31</v>
      </c>
      <c r="R8100" s="2" t="s">
        <v>31</v>
      </c>
      <c r="S8100" s="4" t="s">
        <v>50328</v>
      </c>
      <c r="T8100" s="2" t="s">
        <v>796</v>
      </c>
      <c r="U8100" s="4" t="s">
        <v>31</v>
      </c>
      <c r="V8100" s="2" t="s">
        <v>50329</v>
      </c>
      <c r="W8100" s="2" t="s">
        <v>50330</v>
      </c>
      <c r="X8100" s="5" t="str">
        <f>HYPERLINK("https://my.pitchbook.com?p=128845-63P","View People Online")</f>
        <v>View People Online</v>
      </c>
    </row>
    <row r="8101">
      <c r="A8101" s="6" t="s">
        <v>50331</v>
      </c>
      <c r="B8101" s="6" t="s">
        <v>50332</v>
      </c>
      <c r="C8101" s="6" t="s">
        <v>26420</v>
      </c>
      <c r="D8101" s="6" t="s">
        <v>50333</v>
      </c>
      <c r="E8101" s="6" t="s">
        <v>50167</v>
      </c>
      <c r="F8101" s="6" t="s">
        <v>221</v>
      </c>
      <c r="G8101" s="6" t="s">
        <v>50334</v>
      </c>
      <c r="H8101" s="7" t="s">
        <v>31</v>
      </c>
      <c r="I8101" s="7">
        <v>1.0</v>
      </c>
      <c r="J8101" s="7">
        <v>1.0</v>
      </c>
      <c r="K8101" s="7" t="s">
        <v>31</v>
      </c>
      <c r="L8101" s="8" t="s">
        <v>50190</v>
      </c>
      <c r="M8101" s="6" t="s">
        <v>50335</v>
      </c>
      <c r="N8101" s="6" t="s">
        <v>794</v>
      </c>
      <c r="O8101" s="8" t="s">
        <v>795</v>
      </c>
      <c r="P8101" s="6" t="s">
        <v>50183</v>
      </c>
      <c r="Q8101" s="6" t="s">
        <v>31</v>
      </c>
      <c r="R8101" s="6" t="s">
        <v>50184</v>
      </c>
      <c r="S8101" s="8" t="s">
        <v>50185</v>
      </c>
      <c r="T8101" s="6" t="s">
        <v>796</v>
      </c>
      <c r="U8101" s="8" t="s">
        <v>31</v>
      </c>
      <c r="V8101" s="6" t="s">
        <v>221</v>
      </c>
      <c r="W8101" s="6" t="s">
        <v>50167</v>
      </c>
      <c r="X8101" s="9" t="str">
        <f>HYPERLINK("https://my.pitchbook.com?p=308914-57P","View People Online")</f>
        <v>View People Online</v>
      </c>
    </row>
    <row r="8102">
      <c r="A8102" s="10" t="s">
        <v>50336</v>
      </c>
      <c r="B8102" s="10" t="s">
        <v>50337</v>
      </c>
      <c r="C8102" s="10" t="s">
        <v>50338</v>
      </c>
      <c r="D8102" s="10" t="s">
        <v>50339</v>
      </c>
      <c r="E8102" s="10" t="s">
        <v>50167</v>
      </c>
      <c r="F8102" s="10" t="s">
        <v>802</v>
      </c>
      <c r="G8102" s="10" t="s">
        <v>50340</v>
      </c>
      <c r="H8102" s="11" t="s">
        <v>31</v>
      </c>
      <c r="I8102" s="11">
        <v>1.0</v>
      </c>
      <c r="J8102" s="11">
        <v>1.0</v>
      </c>
      <c r="K8102" s="11" t="s">
        <v>31</v>
      </c>
      <c r="L8102" s="12" t="s">
        <v>50190</v>
      </c>
      <c r="M8102" s="10" t="s">
        <v>50341</v>
      </c>
      <c r="N8102" s="10" t="s">
        <v>794</v>
      </c>
      <c r="O8102" s="12" t="s">
        <v>795</v>
      </c>
      <c r="P8102" s="10" t="s">
        <v>50183</v>
      </c>
      <c r="Q8102" s="10" t="s">
        <v>31</v>
      </c>
      <c r="R8102" s="10" t="s">
        <v>50184</v>
      </c>
      <c r="S8102" s="12" t="s">
        <v>50185</v>
      </c>
      <c r="T8102" s="10" t="s">
        <v>796</v>
      </c>
      <c r="U8102" s="12" t="s">
        <v>31</v>
      </c>
      <c r="V8102" s="10" t="s">
        <v>802</v>
      </c>
      <c r="W8102" s="10" t="s">
        <v>50167</v>
      </c>
      <c r="X8102" s="13" t="str">
        <f>HYPERLINK("https://my.pitchbook.com?p=356236-93P","View People Online")</f>
        <v>View People Online</v>
      </c>
    </row>
    <row r="8103">
      <c r="A8103" s="14" t="s">
        <v>50342</v>
      </c>
      <c r="B8103" s="14" t="s">
        <v>50343</v>
      </c>
      <c r="C8103" s="14" t="s">
        <v>50344</v>
      </c>
      <c r="D8103" s="14" t="s">
        <v>5941</v>
      </c>
      <c r="E8103" s="14" t="s">
        <v>50167</v>
      </c>
      <c r="F8103" s="14" t="s">
        <v>81</v>
      </c>
      <c r="G8103" s="14" t="s">
        <v>50345</v>
      </c>
      <c r="H8103" s="15" t="s">
        <v>31</v>
      </c>
      <c r="I8103" s="15">
        <v>3.0</v>
      </c>
      <c r="J8103" s="15">
        <v>1.0</v>
      </c>
      <c r="K8103" s="15">
        <v>1.0</v>
      </c>
      <c r="L8103" s="16" t="s">
        <v>50346</v>
      </c>
      <c r="M8103" s="14" t="s">
        <v>50347</v>
      </c>
      <c r="N8103" s="14" t="s">
        <v>50348</v>
      </c>
      <c r="O8103" s="16" t="s">
        <v>50349</v>
      </c>
      <c r="P8103" s="14" t="s">
        <v>50350</v>
      </c>
      <c r="Q8103" s="14" t="s">
        <v>31</v>
      </c>
      <c r="R8103" s="14" t="s">
        <v>31</v>
      </c>
      <c r="S8103" s="16" t="s">
        <v>50351</v>
      </c>
      <c r="T8103" s="14" t="s">
        <v>796</v>
      </c>
      <c r="U8103" s="16" t="s">
        <v>31</v>
      </c>
      <c r="V8103" s="14" t="s">
        <v>674</v>
      </c>
      <c r="W8103" s="14" t="s">
        <v>50352</v>
      </c>
      <c r="X8103" s="17" t="str">
        <f>HYPERLINK("https://my.pitchbook.com?p=225620-02P","View People Online")</f>
        <v>View People Online</v>
      </c>
    </row>
    <row r="8104">
      <c r="A8104" s="10" t="s">
        <v>50353</v>
      </c>
      <c r="B8104" s="10" t="s">
        <v>50354</v>
      </c>
      <c r="C8104" s="10" t="s">
        <v>23896</v>
      </c>
      <c r="D8104" s="10" t="s">
        <v>50355</v>
      </c>
      <c r="E8104" s="10" t="s">
        <v>50167</v>
      </c>
      <c r="F8104" s="10" t="s">
        <v>3710</v>
      </c>
      <c r="G8104" s="10" t="s">
        <v>50356</v>
      </c>
      <c r="H8104" s="11" t="s">
        <v>31</v>
      </c>
      <c r="I8104" s="11">
        <v>1.0</v>
      </c>
      <c r="J8104" s="11">
        <v>1.0</v>
      </c>
      <c r="K8104" s="11" t="s">
        <v>31</v>
      </c>
      <c r="L8104" s="12" t="s">
        <v>50357</v>
      </c>
      <c r="M8104" s="10" t="s">
        <v>50358</v>
      </c>
      <c r="N8104" s="10" t="s">
        <v>794</v>
      </c>
      <c r="O8104" s="12" t="s">
        <v>795</v>
      </c>
      <c r="P8104" s="10" t="s">
        <v>50183</v>
      </c>
      <c r="Q8104" s="10" t="s">
        <v>31</v>
      </c>
      <c r="R8104" s="10" t="s">
        <v>50184</v>
      </c>
      <c r="S8104" s="12" t="s">
        <v>50185</v>
      </c>
      <c r="T8104" s="10" t="s">
        <v>796</v>
      </c>
      <c r="U8104" s="12" t="s">
        <v>50359</v>
      </c>
      <c r="V8104" s="10" t="s">
        <v>3710</v>
      </c>
      <c r="W8104" s="10" t="s">
        <v>50167</v>
      </c>
      <c r="X8104" s="13" t="str">
        <f>HYPERLINK("https://my.pitchbook.com?p=59645-44P","View People Online")</f>
        <v>View People Online</v>
      </c>
    </row>
    <row r="8105">
      <c r="A8105" s="14" t="s">
        <v>50360</v>
      </c>
      <c r="B8105" s="14" t="s">
        <v>50361</v>
      </c>
      <c r="C8105" s="14" t="s">
        <v>23896</v>
      </c>
      <c r="D8105" s="14" t="s">
        <v>13616</v>
      </c>
      <c r="E8105" s="14" t="s">
        <v>50167</v>
      </c>
      <c r="F8105" s="14" t="s">
        <v>2422</v>
      </c>
      <c r="G8105" s="14" t="s">
        <v>50362</v>
      </c>
      <c r="H8105" s="15">
        <v>1.0</v>
      </c>
      <c r="I8105" s="15">
        <v>3.0</v>
      </c>
      <c r="J8105" s="15">
        <v>1.0</v>
      </c>
      <c r="K8105" s="15">
        <v>1.0</v>
      </c>
      <c r="L8105" s="16" t="s">
        <v>50190</v>
      </c>
      <c r="M8105" s="14" t="s">
        <v>50363</v>
      </c>
      <c r="N8105" s="14" t="s">
        <v>794</v>
      </c>
      <c r="O8105" s="16" t="s">
        <v>795</v>
      </c>
      <c r="P8105" s="14" t="s">
        <v>50183</v>
      </c>
      <c r="Q8105" s="14" t="s">
        <v>31</v>
      </c>
      <c r="R8105" s="14" t="s">
        <v>50184</v>
      </c>
      <c r="S8105" s="16" t="s">
        <v>50185</v>
      </c>
      <c r="T8105" s="14" t="s">
        <v>796</v>
      </c>
      <c r="U8105" s="16" t="s">
        <v>31</v>
      </c>
      <c r="V8105" s="14" t="s">
        <v>2422</v>
      </c>
      <c r="W8105" s="14" t="s">
        <v>50167</v>
      </c>
      <c r="X8105" s="17" t="str">
        <f>HYPERLINK("https://my.pitchbook.com?p=94412-62P","View People Online")</f>
        <v>View People Online</v>
      </c>
    </row>
    <row r="8106">
      <c r="A8106" s="10" t="s">
        <v>50364</v>
      </c>
      <c r="B8106" s="10" t="s">
        <v>50365</v>
      </c>
      <c r="C8106" s="10" t="s">
        <v>19547</v>
      </c>
      <c r="D8106" s="10" t="s">
        <v>50366</v>
      </c>
      <c r="E8106" s="10" t="s">
        <v>50167</v>
      </c>
      <c r="F8106" s="10" t="s">
        <v>6552</v>
      </c>
      <c r="G8106" s="10" t="s">
        <v>50367</v>
      </c>
      <c r="H8106" s="11" t="s">
        <v>31</v>
      </c>
      <c r="I8106" s="11">
        <v>1.0</v>
      </c>
      <c r="J8106" s="11">
        <v>1.0</v>
      </c>
      <c r="K8106" s="11" t="s">
        <v>31</v>
      </c>
      <c r="L8106" s="12" t="s">
        <v>50190</v>
      </c>
      <c r="M8106" s="10" t="s">
        <v>50368</v>
      </c>
      <c r="N8106" s="10" t="s">
        <v>794</v>
      </c>
      <c r="O8106" s="12" t="s">
        <v>795</v>
      </c>
      <c r="P8106" s="10" t="s">
        <v>50183</v>
      </c>
      <c r="Q8106" s="10" t="s">
        <v>31</v>
      </c>
      <c r="R8106" s="10" t="s">
        <v>50184</v>
      </c>
      <c r="S8106" s="12" t="s">
        <v>50185</v>
      </c>
      <c r="T8106" s="10" t="s">
        <v>796</v>
      </c>
      <c r="U8106" s="12" t="s">
        <v>31</v>
      </c>
      <c r="V8106" s="10" t="s">
        <v>6552</v>
      </c>
      <c r="W8106" s="10" t="s">
        <v>50167</v>
      </c>
      <c r="X8106" s="13" t="str">
        <f>HYPERLINK("https://my.pitchbook.com?p=157910-05P","View People Online")</f>
        <v>View People Online</v>
      </c>
    </row>
    <row r="8107">
      <c r="A8107" s="14" t="s">
        <v>50369</v>
      </c>
      <c r="B8107" s="14" t="s">
        <v>50370</v>
      </c>
      <c r="C8107" s="14" t="s">
        <v>28442</v>
      </c>
      <c r="D8107" s="14" t="s">
        <v>50371</v>
      </c>
      <c r="E8107" s="14" t="s">
        <v>50167</v>
      </c>
      <c r="F8107" s="14" t="s">
        <v>802</v>
      </c>
      <c r="G8107" s="14" t="s">
        <v>50372</v>
      </c>
      <c r="H8107" s="15" t="s">
        <v>31</v>
      </c>
      <c r="I8107" s="15">
        <v>1.0</v>
      </c>
      <c r="J8107" s="15">
        <v>1.0</v>
      </c>
      <c r="K8107" s="15" t="s">
        <v>31</v>
      </c>
      <c r="L8107" s="16" t="s">
        <v>50190</v>
      </c>
      <c r="M8107" s="14" t="s">
        <v>50373</v>
      </c>
      <c r="N8107" s="14" t="s">
        <v>794</v>
      </c>
      <c r="O8107" s="16" t="s">
        <v>795</v>
      </c>
      <c r="P8107" s="14" t="s">
        <v>50183</v>
      </c>
      <c r="Q8107" s="14" t="s">
        <v>31</v>
      </c>
      <c r="R8107" s="14" t="s">
        <v>50184</v>
      </c>
      <c r="S8107" s="16" t="s">
        <v>50185</v>
      </c>
      <c r="T8107" s="14" t="s">
        <v>796</v>
      </c>
      <c r="U8107" s="16" t="s">
        <v>31</v>
      </c>
      <c r="V8107" s="14" t="s">
        <v>802</v>
      </c>
      <c r="W8107" s="14" t="s">
        <v>50167</v>
      </c>
      <c r="X8107" s="17" t="str">
        <f>HYPERLINK("https://my.pitchbook.com?p=244354-33P","View People Online")</f>
        <v>View People Online</v>
      </c>
    </row>
    <row r="8108">
      <c r="A8108" s="10" t="s">
        <v>50374</v>
      </c>
      <c r="B8108" s="10" t="s">
        <v>50375</v>
      </c>
      <c r="C8108" s="10" t="s">
        <v>4033</v>
      </c>
      <c r="D8108" s="10" t="s">
        <v>50376</v>
      </c>
      <c r="E8108" s="10" t="s">
        <v>50167</v>
      </c>
      <c r="F8108" s="10" t="s">
        <v>802</v>
      </c>
      <c r="G8108" s="10" t="s">
        <v>50377</v>
      </c>
      <c r="H8108" s="11" t="s">
        <v>31</v>
      </c>
      <c r="I8108" s="11">
        <v>1.0</v>
      </c>
      <c r="J8108" s="11">
        <v>1.0</v>
      </c>
      <c r="K8108" s="11" t="s">
        <v>31</v>
      </c>
      <c r="L8108" s="12" t="s">
        <v>50190</v>
      </c>
      <c r="M8108" s="10" t="s">
        <v>50378</v>
      </c>
      <c r="N8108" s="10" t="s">
        <v>794</v>
      </c>
      <c r="O8108" s="12" t="s">
        <v>795</v>
      </c>
      <c r="P8108" s="10" t="s">
        <v>50183</v>
      </c>
      <c r="Q8108" s="10" t="s">
        <v>31</v>
      </c>
      <c r="R8108" s="10" t="s">
        <v>50184</v>
      </c>
      <c r="S8108" s="12" t="s">
        <v>50185</v>
      </c>
      <c r="T8108" s="10" t="s">
        <v>796</v>
      </c>
      <c r="U8108" s="12" t="s">
        <v>31</v>
      </c>
      <c r="V8108" s="10" t="s">
        <v>802</v>
      </c>
      <c r="W8108" s="10" t="s">
        <v>50167</v>
      </c>
      <c r="X8108" s="13" t="str">
        <f>HYPERLINK("https://my.pitchbook.com?p=198281-53P","View People Online")</f>
        <v>View People Online</v>
      </c>
    </row>
    <row r="8109">
      <c r="A8109" s="6" t="s">
        <v>50379</v>
      </c>
      <c r="B8109" s="6" t="s">
        <v>50380</v>
      </c>
      <c r="C8109" s="6" t="s">
        <v>2388</v>
      </c>
      <c r="D8109" s="6" t="s">
        <v>50381</v>
      </c>
      <c r="E8109" s="6" t="s">
        <v>50167</v>
      </c>
      <c r="F8109" s="6" t="s">
        <v>81</v>
      </c>
      <c r="G8109" s="6" t="s">
        <v>50382</v>
      </c>
      <c r="H8109" s="7">
        <v>1.0</v>
      </c>
      <c r="I8109" s="7">
        <v>12.0</v>
      </c>
      <c r="J8109" s="7">
        <v>1.0</v>
      </c>
      <c r="K8109" s="7">
        <v>8.0</v>
      </c>
      <c r="L8109" s="8" t="s">
        <v>50383</v>
      </c>
      <c r="M8109" s="6" t="s">
        <v>50384</v>
      </c>
      <c r="N8109" s="6" t="s">
        <v>6733</v>
      </c>
      <c r="O8109" s="8" t="s">
        <v>50385</v>
      </c>
      <c r="P8109" s="6" t="s">
        <v>50386</v>
      </c>
      <c r="Q8109" s="6" t="s">
        <v>50387</v>
      </c>
      <c r="R8109" s="6" t="s">
        <v>247</v>
      </c>
      <c r="S8109" s="8" t="s">
        <v>50388</v>
      </c>
      <c r="T8109" s="6" t="s">
        <v>249</v>
      </c>
      <c r="U8109" s="8" t="s">
        <v>31</v>
      </c>
      <c r="V8109" s="6" t="s">
        <v>6811</v>
      </c>
      <c r="W8109" s="6" t="s">
        <v>50389</v>
      </c>
      <c r="X8109" s="9" t="str">
        <f>HYPERLINK("https://my.pitchbook.com?p=58370-23P","View People Online")</f>
        <v>View People Online</v>
      </c>
    </row>
    <row r="8110">
      <c r="A8110" s="10" t="s">
        <v>50390</v>
      </c>
      <c r="B8110" s="10" t="s">
        <v>50391</v>
      </c>
      <c r="C8110" s="10" t="s">
        <v>966</v>
      </c>
      <c r="D8110" s="10" t="s">
        <v>50392</v>
      </c>
      <c r="E8110" s="10" t="s">
        <v>50167</v>
      </c>
      <c r="F8110" s="10" t="s">
        <v>81</v>
      </c>
      <c r="G8110" s="10" t="s">
        <v>50393</v>
      </c>
      <c r="H8110" s="11" t="s">
        <v>31</v>
      </c>
      <c r="I8110" s="11">
        <v>1.0</v>
      </c>
      <c r="J8110" s="11" t="s">
        <v>31</v>
      </c>
      <c r="K8110" s="11" t="s">
        <v>31</v>
      </c>
      <c r="L8110" s="12" t="s">
        <v>50190</v>
      </c>
      <c r="M8110" s="10" t="s">
        <v>31</v>
      </c>
      <c r="N8110" s="10" t="s">
        <v>794</v>
      </c>
      <c r="O8110" s="12" t="s">
        <v>795</v>
      </c>
      <c r="P8110" s="10" t="s">
        <v>50183</v>
      </c>
      <c r="Q8110" s="10" t="s">
        <v>31</v>
      </c>
      <c r="R8110" s="10" t="s">
        <v>50184</v>
      </c>
      <c r="S8110" s="12" t="s">
        <v>50185</v>
      </c>
      <c r="T8110" s="10" t="s">
        <v>796</v>
      </c>
      <c r="U8110" s="12" t="s">
        <v>31</v>
      </c>
      <c r="V8110" s="10" t="s">
        <v>81</v>
      </c>
      <c r="W8110" s="10" t="s">
        <v>50167</v>
      </c>
      <c r="X8110" s="13" t="str">
        <f>HYPERLINK("https://my.pitchbook.com?p=374166-10P","View People Online")</f>
        <v>View People Online</v>
      </c>
    </row>
    <row r="8111">
      <c r="A8111" s="14" t="s">
        <v>50394</v>
      </c>
      <c r="B8111" s="14" t="s">
        <v>50395</v>
      </c>
      <c r="C8111" s="14" t="s">
        <v>28094</v>
      </c>
      <c r="D8111" s="14" t="s">
        <v>50396</v>
      </c>
      <c r="E8111" s="14" t="s">
        <v>50167</v>
      </c>
      <c r="F8111" s="14" t="s">
        <v>2422</v>
      </c>
      <c r="G8111" s="14" t="s">
        <v>50397</v>
      </c>
      <c r="H8111" s="15" t="s">
        <v>31</v>
      </c>
      <c r="I8111" s="15">
        <v>4.0</v>
      </c>
      <c r="J8111" s="15">
        <v>1.0</v>
      </c>
      <c r="K8111" s="15">
        <v>2.0</v>
      </c>
      <c r="L8111" s="16" t="s">
        <v>50190</v>
      </c>
      <c r="M8111" s="14" t="s">
        <v>50398</v>
      </c>
      <c r="N8111" s="14" t="s">
        <v>794</v>
      </c>
      <c r="O8111" s="16" t="s">
        <v>795</v>
      </c>
      <c r="P8111" s="14" t="s">
        <v>50183</v>
      </c>
      <c r="Q8111" s="14" t="s">
        <v>31</v>
      </c>
      <c r="R8111" s="14" t="s">
        <v>50184</v>
      </c>
      <c r="S8111" s="16" t="s">
        <v>50185</v>
      </c>
      <c r="T8111" s="14" t="s">
        <v>796</v>
      </c>
      <c r="U8111" s="16" t="s">
        <v>31</v>
      </c>
      <c r="V8111" s="14" t="s">
        <v>2422</v>
      </c>
      <c r="W8111" s="14" t="s">
        <v>50167</v>
      </c>
      <c r="X8111" s="17" t="str">
        <f>HYPERLINK("https://my.pitchbook.com?p=74787-85P","View People Online")</f>
        <v>View People Online</v>
      </c>
    </row>
    <row r="8112">
      <c r="A8112" s="2" t="s">
        <v>50399</v>
      </c>
      <c r="B8112" s="2" t="s">
        <v>50400</v>
      </c>
      <c r="C8112" s="2" t="s">
        <v>50401</v>
      </c>
      <c r="D8112" s="2" t="s">
        <v>50402</v>
      </c>
      <c r="E8112" s="2" t="s">
        <v>50167</v>
      </c>
      <c r="F8112" s="2" t="s">
        <v>1283</v>
      </c>
      <c r="G8112" s="2" t="s">
        <v>50403</v>
      </c>
      <c r="H8112" s="3" t="s">
        <v>31</v>
      </c>
      <c r="I8112" s="3">
        <v>29.0</v>
      </c>
      <c r="J8112" s="3">
        <v>1.0</v>
      </c>
      <c r="K8112" s="3">
        <v>28.0</v>
      </c>
      <c r="L8112" s="4" t="s">
        <v>50190</v>
      </c>
      <c r="M8112" s="2" t="s">
        <v>50404</v>
      </c>
      <c r="N8112" s="2" t="s">
        <v>794</v>
      </c>
      <c r="O8112" s="4" t="s">
        <v>795</v>
      </c>
      <c r="P8112" s="2" t="s">
        <v>50183</v>
      </c>
      <c r="Q8112" s="2" t="s">
        <v>31</v>
      </c>
      <c r="R8112" s="2" t="s">
        <v>50184</v>
      </c>
      <c r="S8112" s="4" t="s">
        <v>50185</v>
      </c>
      <c r="T8112" s="2" t="s">
        <v>796</v>
      </c>
      <c r="U8112" s="4" t="s">
        <v>31</v>
      </c>
      <c r="V8112" s="2" t="s">
        <v>1283</v>
      </c>
      <c r="W8112" s="2" t="s">
        <v>50167</v>
      </c>
      <c r="X8112" s="5" t="str">
        <f>HYPERLINK("https://my.pitchbook.com?p=57347-11P","View People Online")</f>
        <v>View People Online</v>
      </c>
    </row>
    <row r="8113">
      <c r="A8113" s="6" t="s">
        <v>50405</v>
      </c>
      <c r="B8113" s="6" t="s">
        <v>50406</v>
      </c>
      <c r="C8113" s="6" t="s">
        <v>12386</v>
      </c>
      <c r="D8113" s="6" t="s">
        <v>50407</v>
      </c>
      <c r="E8113" s="6" t="s">
        <v>50167</v>
      </c>
      <c r="F8113" s="6" t="s">
        <v>6567</v>
      </c>
      <c r="G8113" s="6" t="s">
        <v>50408</v>
      </c>
      <c r="H8113" s="7" t="s">
        <v>31</v>
      </c>
      <c r="I8113" s="7">
        <v>1.0</v>
      </c>
      <c r="J8113" s="7">
        <v>1.0</v>
      </c>
      <c r="K8113" s="7" t="s">
        <v>31</v>
      </c>
      <c r="L8113" s="8" t="s">
        <v>50190</v>
      </c>
      <c r="M8113" s="6" t="s">
        <v>50409</v>
      </c>
      <c r="N8113" s="6" t="s">
        <v>794</v>
      </c>
      <c r="O8113" s="8" t="s">
        <v>795</v>
      </c>
      <c r="P8113" s="6" t="s">
        <v>50183</v>
      </c>
      <c r="Q8113" s="6" t="s">
        <v>31</v>
      </c>
      <c r="R8113" s="6" t="s">
        <v>50184</v>
      </c>
      <c r="S8113" s="8" t="s">
        <v>50185</v>
      </c>
      <c r="T8113" s="6" t="s">
        <v>796</v>
      </c>
      <c r="U8113" s="8" t="s">
        <v>31</v>
      </c>
      <c r="V8113" s="6" t="s">
        <v>50410</v>
      </c>
      <c r="W8113" s="6" t="s">
        <v>50167</v>
      </c>
      <c r="X8113" s="9" t="str">
        <f>HYPERLINK("https://my.pitchbook.com?p=172776-52P","View People Online")</f>
        <v>View People Online</v>
      </c>
    </row>
    <row r="8114">
      <c r="A8114" s="2" t="s">
        <v>50411</v>
      </c>
      <c r="B8114" s="2" t="s">
        <v>50412</v>
      </c>
      <c r="C8114" s="2" t="s">
        <v>24056</v>
      </c>
      <c r="D8114" s="2" t="s">
        <v>50413</v>
      </c>
      <c r="E8114" s="2" t="s">
        <v>50167</v>
      </c>
      <c r="F8114" s="2" t="s">
        <v>6552</v>
      </c>
      <c r="G8114" s="2" t="s">
        <v>50414</v>
      </c>
      <c r="H8114" s="3" t="s">
        <v>31</v>
      </c>
      <c r="I8114" s="3">
        <v>1.0</v>
      </c>
      <c r="J8114" s="3">
        <v>1.0</v>
      </c>
      <c r="K8114" s="3" t="s">
        <v>31</v>
      </c>
      <c r="L8114" s="4" t="s">
        <v>50190</v>
      </c>
      <c r="M8114" s="2" t="s">
        <v>50415</v>
      </c>
      <c r="N8114" s="2" t="s">
        <v>794</v>
      </c>
      <c r="O8114" s="4" t="s">
        <v>795</v>
      </c>
      <c r="P8114" s="2" t="s">
        <v>50183</v>
      </c>
      <c r="Q8114" s="2" t="s">
        <v>31</v>
      </c>
      <c r="R8114" s="2" t="s">
        <v>50184</v>
      </c>
      <c r="S8114" s="4" t="s">
        <v>50185</v>
      </c>
      <c r="T8114" s="2" t="s">
        <v>796</v>
      </c>
      <c r="U8114" s="4" t="s">
        <v>31</v>
      </c>
      <c r="V8114" s="2" t="s">
        <v>6552</v>
      </c>
      <c r="W8114" s="2" t="s">
        <v>50167</v>
      </c>
      <c r="X8114" s="5" t="str">
        <f>HYPERLINK("https://my.pitchbook.com?p=144870-94P","View People Online")</f>
        <v>View People Online</v>
      </c>
    </row>
    <row r="8115">
      <c r="A8115" s="14" t="s">
        <v>50416</v>
      </c>
      <c r="B8115" s="14" t="s">
        <v>50417</v>
      </c>
      <c r="C8115" s="14" t="s">
        <v>12490</v>
      </c>
      <c r="D8115" s="14" t="s">
        <v>50418</v>
      </c>
      <c r="E8115" s="14" t="s">
        <v>50167</v>
      </c>
      <c r="F8115" s="14" t="s">
        <v>81</v>
      </c>
      <c r="G8115" s="14" t="s">
        <v>50419</v>
      </c>
      <c r="H8115" s="15" t="s">
        <v>31</v>
      </c>
      <c r="I8115" s="15">
        <v>1.0</v>
      </c>
      <c r="J8115" s="15" t="s">
        <v>31</v>
      </c>
      <c r="K8115" s="15" t="s">
        <v>31</v>
      </c>
      <c r="L8115" s="16" t="s">
        <v>50190</v>
      </c>
      <c r="M8115" s="14" t="s">
        <v>31</v>
      </c>
      <c r="N8115" s="14" t="s">
        <v>794</v>
      </c>
      <c r="O8115" s="16" t="s">
        <v>795</v>
      </c>
      <c r="P8115" s="14" t="s">
        <v>50183</v>
      </c>
      <c r="Q8115" s="14" t="s">
        <v>31</v>
      </c>
      <c r="R8115" s="14" t="s">
        <v>50184</v>
      </c>
      <c r="S8115" s="16" t="s">
        <v>50185</v>
      </c>
      <c r="T8115" s="14" t="s">
        <v>796</v>
      </c>
      <c r="U8115" s="16" t="s">
        <v>31</v>
      </c>
      <c r="V8115" s="14" t="s">
        <v>81</v>
      </c>
      <c r="W8115" s="14" t="s">
        <v>50167</v>
      </c>
      <c r="X8115" s="17" t="str">
        <f>HYPERLINK("https://my.pitchbook.com?p=374173-75P","View People Online")</f>
        <v>View People Online</v>
      </c>
    </row>
    <row r="8116">
      <c r="A8116" s="2" t="s">
        <v>50420</v>
      </c>
      <c r="B8116" s="2" t="s">
        <v>50421</v>
      </c>
      <c r="C8116" s="2" t="s">
        <v>50422</v>
      </c>
      <c r="D8116" s="2" t="s">
        <v>50423</v>
      </c>
      <c r="E8116" s="2" t="s">
        <v>50167</v>
      </c>
      <c r="F8116" s="2" t="s">
        <v>6552</v>
      </c>
      <c r="G8116" s="2" t="s">
        <v>50424</v>
      </c>
      <c r="H8116" s="3" t="s">
        <v>31</v>
      </c>
      <c r="I8116" s="3">
        <v>1.0</v>
      </c>
      <c r="J8116" s="3">
        <v>1.0</v>
      </c>
      <c r="K8116" s="3" t="s">
        <v>31</v>
      </c>
      <c r="L8116" s="4" t="s">
        <v>50425</v>
      </c>
      <c r="M8116" s="2" t="s">
        <v>50426</v>
      </c>
      <c r="N8116" s="2" t="s">
        <v>794</v>
      </c>
      <c r="O8116" s="4" t="s">
        <v>795</v>
      </c>
      <c r="P8116" s="2" t="s">
        <v>50183</v>
      </c>
      <c r="Q8116" s="2" t="s">
        <v>31</v>
      </c>
      <c r="R8116" s="2" t="s">
        <v>50184</v>
      </c>
      <c r="S8116" s="4" t="s">
        <v>50185</v>
      </c>
      <c r="T8116" s="2" t="s">
        <v>796</v>
      </c>
      <c r="U8116" s="4" t="s">
        <v>31</v>
      </c>
      <c r="V8116" s="2" t="s">
        <v>6552</v>
      </c>
      <c r="W8116" s="2" t="s">
        <v>50167</v>
      </c>
      <c r="X8116" s="5" t="str">
        <f>HYPERLINK("https://my.pitchbook.com?p=167511-43P","View People Online")</f>
        <v>View People Online</v>
      </c>
    </row>
    <row r="8117">
      <c r="A8117" s="6" t="s">
        <v>50427</v>
      </c>
      <c r="B8117" s="6" t="s">
        <v>50428</v>
      </c>
      <c r="C8117" s="6" t="s">
        <v>2572</v>
      </c>
      <c r="D8117" s="6" t="s">
        <v>47064</v>
      </c>
      <c r="E8117" s="6" t="s">
        <v>50429</v>
      </c>
      <c r="F8117" s="6" t="s">
        <v>270</v>
      </c>
      <c r="G8117" s="6" t="s">
        <v>50430</v>
      </c>
      <c r="H8117" s="7" t="s">
        <v>31</v>
      </c>
      <c r="I8117" s="7">
        <v>1.0</v>
      </c>
      <c r="J8117" s="7">
        <v>1.0</v>
      </c>
      <c r="K8117" s="7" t="s">
        <v>31</v>
      </c>
      <c r="L8117" s="8" t="s">
        <v>31</v>
      </c>
      <c r="M8117" s="6" t="s">
        <v>50431</v>
      </c>
      <c r="N8117" s="6" t="s">
        <v>34</v>
      </c>
      <c r="O8117" s="8" t="s">
        <v>35</v>
      </c>
      <c r="P8117" s="6" t="s">
        <v>50432</v>
      </c>
      <c r="Q8117" s="6" t="s">
        <v>31</v>
      </c>
      <c r="R8117" s="6" t="s">
        <v>31</v>
      </c>
      <c r="S8117" s="8" t="s">
        <v>40980</v>
      </c>
      <c r="T8117" s="6" t="s">
        <v>38</v>
      </c>
      <c r="U8117" s="8" t="s">
        <v>31</v>
      </c>
      <c r="V8117" s="6" t="s">
        <v>440</v>
      </c>
      <c r="W8117" s="6" t="s">
        <v>50429</v>
      </c>
      <c r="X8117" s="9" t="str">
        <f>HYPERLINK("https://my.pitchbook.com?p=320976-01P","View People Online")</f>
        <v>View People Online</v>
      </c>
    </row>
    <row r="8118">
      <c r="A8118" s="2" t="s">
        <v>50433</v>
      </c>
      <c r="B8118" s="2" t="s">
        <v>50434</v>
      </c>
      <c r="C8118" s="2" t="s">
        <v>24578</v>
      </c>
      <c r="D8118" s="2" t="s">
        <v>42686</v>
      </c>
      <c r="E8118" s="2" t="s">
        <v>50429</v>
      </c>
      <c r="F8118" s="2" t="s">
        <v>318</v>
      </c>
      <c r="G8118" s="2" t="s">
        <v>50435</v>
      </c>
      <c r="H8118" s="3" t="s">
        <v>31</v>
      </c>
      <c r="I8118" s="3">
        <v>1.0</v>
      </c>
      <c r="J8118" s="3">
        <v>1.0</v>
      </c>
      <c r="K8118" s="3" t="s">
        <v>31</v>
      </c>
      <c r="L8118" s="4" t="s">
        <v>31</v>
      </c>
      <c r="M8118" s="2" t="s">
        <v>50436</v>
      </c>
      <c r="N8118" s="2" t="s">
        <v>34</v>
      </c>
      <c r="O8118" s="4" t="s">
        <v>35</v>
      </c>
      <c r="P8118" s="2" t="s">
        <v>50432</v>
      </c>
      <c r="Q8118" s="2" t="s">
        <v>31</v>
      </c>
      <c r="R8118" s="2" t="s">
        <v>31</v>
      </c>
      <c r="S8118" s="4" t="s">
        <v>40980</v>
      </c>
      <c r="T8118" s="2" t="s">
        <v>38</v>
      </c>
      <c r="U8118" s="4" t="s">
        <v>31</v>
      </c>
      <c r="V8118" s="2" t="s">
        <v>318</v>
      </c>
      <c r="W8118" s="2" t="s">
        <v>50429</v>
      </c>
      <c r="X8118" s="5" t="str">
        <f>HYPERLINK("https://my.pitchbook.com?p=384698-98P","View People Online")</f>
        <v>View People Online</v>
      </c>
    </row>
    <row r="8119">
      <c r="A8119" s="14" t="s">
        <v>50437</v>
      </c>
      <c r="B8119" s="14" t="s">
        <v>50438</v>
      </c>
      <c r="C8119" s="14" t="s">
        <v>11437</v>
      </c>
      <c r="D8119" s="14" t="s">
        <v>50439</v>
      </c>
      <c r="E8119" s="14" t="s">
        <v>50429</v>
      </c>
      <c r="F8119" s="14" t="s">
        <v>86</v>
      </c>
      <c r="G8119" s="14" t="s">
        <v>50440</v>
      </c>
      <c r="H8119" s="15" t="s">
        <v>31</v>
      </c>
      <c r="I8119" s="15">
        <v>2.0</v>
      </c>
      <c r="J8119" s="15">
        <v>1.0</v>
      </c>
      <c r="K8119" s="15" t="s">
        <v>31</v>
      </c>
      <c r="L8119" s="16" t="s">
        <v>31</v>
      </c>
      <c r="M8119" s="14" t="s">
        <v>50441</v>
      </c>
      <c r="N8119" s="14" t="s">
        <v>34</v>
      </c>
      <c r="O8119" s="16" t="s">
        <v>35</v>
      </c>
      <c r="P8119" s="14" t="s">
        <v>50432</v>
      </c>
      <c r="Q8119" s="14" t="s">
        <v>31</v>
      </c>
      <c r="R8119" s="14" t="s">
        <v>31</v>
      </c>
      <c r="S8119" s="16" t="s">
        <v>40980</v>
      </c>
      <c r="T8119" s="14" t="s">
        <v>38</v>
      </c>
      <c r="U8119" s="16" t="s">
        <v>31</v>
      </c>
      <c r="V8119" s="14" t="s">
        <v>95</v>
      </c>
      <c r="W8119" s="14" t="s">
        <v>50429</v>
      </c>
      <c r="X8119" s="17" t="str">
        <f>HYPERLINK("https://my.pitchbook.com?p=320974-66P","View People Online")</f>
        <v>View People Online</v>
      </c>
    </row>
    <row r="8120">
      <c r="A8120" s="2" t="s">
        <v>50442</v>
      </c>
      <c r="B8120" s="2" t="s">
        <v>50443</v>
      </c>
      <c r="C8120" s="2" t="s">
        <v>39937</v>
      </c>
      <c r="D8120" s="2" t="s">
        <v>50444</v>
      </c>
      <c r="E8120" s="2" t="s">
        <v>50429</v>
      </c>
      <c r="F8120" s="2" t="s">
        <v>50445</v>
      </c>
      <c r="G8120" s="2" t="s">
        <v>50446</v>
      </c>
      <c r="H8120" s="3" t="s">
        <v>31</v>
      </c>
      <c r="I8120" s="3">
        <v>1.0</v>
      </c>
      <c r="J8120" s="3">
        <v>1.0</v>
      </c>
      <c r="K8120" s="3" t="s">
        <v>31</v>
      </c>
      <c r="L8120" s="4" t="s">
        <v>31</v>
      </c>
      <c r="M8120" s="2" t="s">
        <v>31</v>
      </c>
      <c r="N8120" s="2" t="s">
        <v>34</v>
      </c>
      <c r="O8120" s="4" t="s">
        <v>35</v>
      </c>
      <c r="P8120" s="2" t="s">
        <v>50432</v>
      </c>
      <c r="Q8120" s="2" t="s">
        <v>31</v>
      </c>
      <c r="R8120" s="2" t="s">
        <v>31</v>
      </c>
      <c r="S8120" s="4" t="s">
        <v>40980</v>
      </c>
      <c r="T8120" s="2" t="s">
        <v>38</v>
      </c>
      <c r="U8120" s="4" t="s">
        <v>31</v>
      </c>
      <c r="V8120" s="2" t="s">
        <v>50447</v>
      </c>
      <c r="W8120" s="2" t="s">
        <v>50429</v>
      </c>
      <c r="X8120" s="5" t="str">
        <f>HYPERLINK("https://my.pitchbook.com?p=273693-52P","View People Online")</f>
        <v>View People Online</v>
      </c>
    </row>
    <row r="8121">
      <c r="A8121" s="6" t="s">
        <v>50448</v>
      </c>
      <c r="B8121" s="6" t="s">
        <v>50449</v>
      </c>
      <c r="C8121" s="6" t="s">
        <v>1502</v>
      </c>
      <c r="D8121" s="6" t="s">
        <v>50450</v>
      </c>
      <c r="E8121" s="6" t="s">
        <v>50429</v>
      </c>
      <c r="F8121" s="6" t="s">
        <v>50451</v>
      </c>
      <c r="G8121" s="6" t="s">
        <v>50452</v>
      </c>
      <c r="H8121" s="7" t="s">
        <v>31</v>
      </c>
      <c r="I8121" s="7">
        <v>2.0</v>
      </c>
      <c r="J8121" s="7">
        <v>1.0</v>
      </c>
      <c r="K8121" s="7" t="s">
        <v>31</v>
      </c>
      <c r="L8121" s="8" t="s">
        <v>31</v>
      </c>
      <c r="M8121" s="6" t="s">
        <v>50453</v>
      </c>
      <c r="N8121" s="6" t="s">
        <v>34</v>
      </c>
      <c r="O8121" s="8" t="s">
        <v>35</v>
      </c>
      <c r="P8121" s="6" t="s">
        <v>50454</v>
      </c>
      <c r="Q8121" s="6" t="s">
        <v>31</v>
      </c>
      <c r="R8121" s="6" t="s">
        <v>31</v>
      </c>
      <c r="S8121" s="8" t="s">
        <v>50455</v>
      </c>
      <c r="T8121" s="6" t="s">
        <v>38</v>
      </c>
      <c r="U8121" s="8" t="s">
        <v>31</v>
      </c>
      <c r="V8121" s="6" t="s">
        <v>50456</v>
      </c>
      <c r="W8121" s="6" t="s">
        <v>50457</v>
      </c>
      <c r="X8121" s="9" t="str">
        <f>HYPERLINK("https://my.pitchbook.com?p=267178-06P","View People Online")</f>
        <v>View People Online</v>
      </c>
    </row>
    <row r="8122">
      <c r="A8122" s="2" t="s">
        <v>50458</v>
      </c>
      <c r="B8122" s="2" t="s">
        <v>50459</v>
      </c>
      <c r="C8122" s="2" t="s">
        <v>1645</v>
      </c>
      <c r="D8122" s="2" t="s">
        <v>17903</v>
      </c>
      <c r="E8122" s="2" t="s">
        <v>50429</v>
      </c>
      <c r="F8122" s="2" t="s">
        <v>114</v>
      </c>
      <c r="G8122" s="2" t="s">
        <v>50460</v>
      </c>
      <c r="H8122" s="3" t="s">
        <v>31</v>
      </c>
      <c r="I8122" s="3">
        <v>3.0</v>
      </c>
      <c r="J8122" s="3">
        <v>2.0</v>
      </c>
      <c r="K8122" s="3">
        <v>1.0</v>
      </c>
      <c r="L8122" s="4" t="s">
        <v>31</v>
      </c>
      <c r="M8122" s="2" t="s">
        <v>50461</v>
      </c>
      <c r="N8122" s="2" t="s">
        <v>13659</v>
      </c>
      <c r="O8122" s="4" t="s">
        <v>13660</v>
      </c>
      <c r="P8122" s="2" t="s">
        <v>50462</v>
      </c>
      <c r="Q8122" s="2" t="s">
        <v>31</v>
      </c>
      <c r="R8122" s="2" t="s">
        <v>31</v>
      </c>
      <c r="S8122" s="4" t="s">
        <v>50463</v>
      </c>
      <c r="T8122" s="2" t="s">
        <v>38</v>
      </c>
      <c r="U8122" s="4" t="s">
        <v>31</v>
      </c>
      <c r="V8122" s="2" t="s">
        <v>50464</v>
      </c>
      <c r="W8122" s="2" t="s">
        <v>50465</v>
      </c>
      <c r="X8122" s="5" t="str">
        <f>HYPERLINK("https://my.pitchbook.com?p=266425-57P","View People Online")</f>
        <v>View People Online</v>
      </c>
    </row>
    <row r="8123">
      <c r="A8123" s="14" t="s">
        <v>50466</v>
      </c>
      <c r="B8123" s="14" t="s">
        <v>50467</v>
      </c>
      <c r="C8123" s="14" t="s">
        <v>19736</v>
      </c>
      <c r="D8123" s="14" t="s">
        <v>50468</v>
      </c>
      <c r="E8123" s="14" t="s">
        <v>50429</v>
      </c>
      <c r="F8123" s="14" t="s">
        <v>86</v>
      </c>
      <c r="G8123" s="14" t="s">
        <v>50469</v>
      </c>
      <c r="H8123" s="15" t="s">
        <v>31</v>
      </c>
      <c r="I8123" s="15">
        <v>6.0</v>
      </c>
      <c r="J8123" s="15">
        <v>1.0</v>
      </c>
      <c r="K8123" s="15">
        <v>3.0</v>
      </c>
      <c r="L8123" s="16" t="s">
        <v>31</v>
      </c>
      <c r="M8123" s="14" t="s">
        <v>50470</v>
      </c>
      <c r="N8123" s="14" t="s">
        <v>34</v>
      </c>
      <c r="O8123" s="16" t="s">
        <v>35</v>
      </c>
      <c r="P8123" s="14" t="s">
        <v>50432</v>
      </c>
      <c r="Q8123" s="14" t="s">
        <v>31</v>
      </c>
      <c r="R8123" s="14" t="s">
        <v>31</v>
      </c>
      <c r="S8123" s="16" t="s">
        <v>40980</v>
      </c>
      <c r="T8123" s="14" t="s">
        <v>38</v>
      </c>
      <c r="U8123" s="16" t="s">
        <v>31</v>
      </c>
      <c r="V8123" s="14" t="s">
        <v>95</v>
      </c>
      <c r="W8123" s="14" t="s">
        <v>50429</v>
      </c>
      <c r="X8123" s="17" t="str">
        <f>HYPERLINK("https://my.pitchbook.com?p=355019-32P","View People Online")</f>
        <v>View People Online</v>
      </c>
    </row>
    <row r="8124">
      <c r="A8124" s="2" t="s">
        <v>50471</v>
      </c>
      <c r="B8124" s="2" t="s">
        <v>50472</v>
      </c>
      <c r="C8124" s="2" t="s">
        <v>20979</v>
      </c>
      <c r="D8124" s="2" t="s">
        <v>50473</v>
      </c>
      <c r="E8124" s="2" t="s">
        <v>50429</v>
      </c>
      <c r="F8124" s="2" t="s">
        <v>114</v>
      </c>
      <c r="G8124" s="2" t="s">
        <v>50474</v>
      </c>
      <c r="H8124" s="3" t="s">
        <v>31</v>
      </c>
      <c r="I8124" s="3">
        <v>2.0</v>
      </c>
      <c r="J8124" s="3">
        <v>2.0</v>
      </c>
      <c r="K8124" s="3" t="s">
        <v>31</v>
      </c>
      <c r="L8124" s="4" t="s">
        <v>50475</v>
      </c>
      <c r="M8124" s="2" t="s">
        <v>50476</v>
      </c>
      <c r="N8124" s="2" t="s">
        <v>34</v>
      </c>
      <c r="O8124" s="4" t="s">
        <v>35</v>
      </c>
      <c r="P8124" s="2" t="s">
        <v>50477</v>
      </c>
      <c r="Q8124" s="2" t="s">
        <v>31</v>
      </c>
      <c r="R8124" s="2" t="s">
        <v>34</v>
      </c>
      <c r="S8124" s="4" t="s">
        <v>50478</v>
      </c>
      <c r="T8124" s="2" t="s">
        <v>38</v>
      </c>
      <c r="U8124" s="4" t="s">
        <v>31</v>
      </c>
      <c r="V8124" s="2" t="s">
        <v>50479</v>
      </c>
      <c r="W8124" s="2" t="s">
        <v>50480</v>
      </c>
      <c r="X8124" s="5" t="str">
        <f>HYPERLINK("https://my.pitchbook.com?p=218445-04P","View People Online")</f>
        <v>View People Online</v>
      </c>
    </row>
    <row r="8125">
      <c r="A8125" s="6" t="s">
        <v>50481</v>
      </c>
      <c r="B8125" s="6" t="s">
        <v>50482</v>
      </c>
      <c r="C8125" s="6" t="s">
        <v>50483</v>
      </c>
      <c r="D8125" s="6" t="s">
        <v>50484</v>
      </c>
      <c r="E8125" s="6" t="s">
        <v>50429</v>
      </c>
      <c r="F8125" s="6" t="s">
        <v>114</v>
      </c>
      <c r="G8125" s="6" t="s">
        <v>50485</v>
      </c>
      <c r="H8125" s="7" t="s">
        <v>31</v>
      </c>
      <c r="I8125" s="7">
        <v>2.0</v>
      </c>
      <c r="J8125" s="7">
        <v>2.0</v>
      </c>
      <c r="K8125" s="7" t="s">
        <v>31</v>
      </c>
      <c r="L8125" s="8" t="s">
        <v>50486</v>
      </c>
      <c r="M8125" s="6" t="s">
        <v>50487</v>
      </c>
      <c r="N8125" s="6" t="s">
        <v>34</v>
      </c>
      <c r="O8125" s="8" t="s">
        <v>35</v>
      </c>
      <c r="P8125" s="6" t="s">
        <v>50488</v>
      </c>
      <c r="Q8125" s="6" t="s">
        <v>31</v>
      </c>
      <c r="R8125" s="6" t="s">
        <v>31</v>
      </c>
      <c r="S8125" s="8" t="s">
        <v>50489</v>
      </c>
      <c r="T8125" s="6" t="s">
        <v>38</v>
      </c>
      <c r="U8125" s="8" t="s">
        <v>50490</v>
      </c>
      <c r="V8125" s="6" t="s">
        <v>29</v>
      </c>
      <c r="W8125" s="6" t="s">
        <v>50491</v>
      </c>
      <c r="X8125" s="9" t="str">
        <f>HYPERLINK("https://my.pitchbook.com?p=273693-07P","View People Online")</f>
        <v>View People Online</v>
      </c>
    </row>
    <row r="8126">
      <c r="A8126" s="2" t="s">
        <v>50492</v>
      </c>
      <c r="B8126" s="2" t="s">
        <v>50493</v>
      </c>
      <c r="C8126" s="2" t="s">
        <v>186</v>
      </c>
      <c r="D8126" s="2" t="s">
        <v>5140</v>
      </c>
      <c r="E8126" s="2" t="s">
        <v>50494</v>
      </c>
      <c r="F8126" s="2" t="s">
        <v>371</v>
      </c>
      <c r="G8126" s="2" t="s">
        <v>50495</v>
      </c>
      <c r="H8126" s="3" t="s">
        <v>31</v>
      </c>
      <c r="I8126" s="3">
        <v>2.0</v>
      </c>
      <c r="J8126" s="3">
        <v>1.0</v>
      </c>
      <c r="K8126" s="3">
        <v>1.0</v>
      </c>
      <c r="L8126" s="4" t="s">
        <v>50496</v>
      </c>
      <c r="M8126" s="2" t="s">
        <v>50497</v>
      </c>
      <c r="N8126" s="2" t="s">
        <v>10983</v>
      </c>
      <c r="O8126" s="4" t="s">
        <v>37748</v>
      </c>
      <c r="P8126" s="2" t="s">
        <v>50498</v>
      </c>
      <c r="Q8126" s="2" t="s">
        <v>31</v>
      </c>
      <c r="R8126" s="2" t="s">
        <v>37751</v>
      </c>
      <c r="S8126" s="4" t="s">
        <v>50499</v>
      </c>
      <c r="T8126" s="2" t="s">
        <v>66</v>
      </c>
      <c r="U8126" s="4" t="s">
        <v>50500</v>
      </c>
      <c r="V8126" s="2" t="s">
        <v>50501</v>
      </c>
      <c r="W8126" s="2" t="s">
        <v>50494</v>
      </c>
      <c r="X8126" s="5" t="str">
        <f>HYPERLINK("https://my.pitchbook.com?p=220538-44P","View People Online")</f>
        <v>View People Online</v>
      </c>
    </row>
    <row r="8127">
      <c r="A8127" s="14" t="s">
        <v>50502</v>
      </c>
      <c r="B8127" s="14" t="s">
        <v>50503</v>
      </c>
      <c r="C8127" s="14" t="s">
        <v>25533</v>
      </c>
      <c r="D8127" s="14" t="s">
        <v>50504</v>
      </c>
      <c r="E8127" s="14" t="s">
        <v>50494</v>
      </c>
      <c r="F8127" s="14" t="s">
        <v>3740</v>
      </c>
      <c r="G8127" s="14" t="s">
        <v>50505</v>
      </c>
      <c r="H8127" s="15" t="s">
        <v>31</v>
      </c>
      <c r="I8127" s="15">
        <v>1.0</v>
      </c>
      <c r="J8127" s="15">
        <v>1.0</v>
      </c>
      <c r="K8127" s="15" t="s">
        <v>31</v>
      </c>
      <c r="L8127" s="16" t="s">
        <v>50496</v>
      </c>
      <c r="M8127" s="14" t="s">
        <v>50506</v>
      </c>
      <c r="N8127" s="14" t="s">
        <v>10983</v>
      </c>
      <c r="O8127" s="16" t="s">
        <v>37748</v>
      </c>
      <c r="P8127" s="14" t="s">
        <v>50498</v>
      </c>
      <c r="Q8127" s="14" t="s">
        <v>31</v>
      </c>
      <c r="R8127" s="14" t="s">
        <v>37751</v>
      </c>
      <c r="S8127" s="16" t="s">
        <v>50499</v>
      </c>
      <c r="T8127" s="14" t="s">
        <v>66</v>
      </c>
      <c r="U8127" s="16" t="s">
        <v>50500</v>
      </c>
      <c r="V8127" s="14" t="s">
        <v>3740</v>
      </c>
      <c r="W8127" s="14" t="s">
        <v>50494</v>
      </c>
      <c r="X8127" s="17" t="str">
        <f>HYPERLINK("https://my.pitchbook.com?p=272177-20P","View People Online")</f>
        <v>View People Online</v>
      </c>
    </row>
    <row r="8128">
      <c r="A8128" s="2" t="s">
        <v>50507</v>
      </c>
      <c r="B8128" s="2" t="s">
        <v>50508</v>
      </c>
      <c r="C8128" s="2" t="s">
        <v>5602</v>
      </c>
      <c r="D8128" s="2" t="s">
        <v>50509</v>
      </c>
      <c r="E8128" s="2" t="s">
        <v>50494</v>
      </c>
      <c r="F8128" s="2" t="s">
        <v>3740</v>
      </c>
      <c r="G8128" s="2" t="s">
        <v>50510</v>
      </c>
      <c r="H8128" s="3" t="s">
        <v>31</v>
      </c>
      <c r="I8128" s="3">
        <v>2.0</v>
      </c>
      <c r="J8128" s="3">
        <v>1.0</v>
      </c>
      <c r="K8128" s="3">
        <v>1.0</v>
      </c>
      <c r="L8128" s="4" t="s">
        <v>50496</v>
      </c>
      <c r="M8128" s="2" t="s">
        <v>50511</v>
      </c>
      <c r="N8128" s="2" t="s">
        <v>10983</v>
      </c>
      <c r="O8128" s="4" t="s">
        <v>37748</v>
      </c>
      <c r="P8128" s="2" t="s">
        <v>50498</v>
      </c>
      <c r="Q8128" s="2" t="s">
        <v>31</v>
      </c>
      <c r="R8128" s="2" t="s">
        <v>37751</v>
      </c>
      <c r="S8128" s="4" t="s">
        <v>50499</v>
      </c>
      <c r="T8128" s="2" t="s">
        <v>66</v>
      </c>
      <c r="U8128" s="4" t="s">
        <v>50500</v>
      </c>
      <c r="V8128" s="2" t="s">
        <v>3740</v>
      </c>
      <c r="W8128" s="2" t="s">
        <v>50494</v>
      </c>
      <c r="X8128" s="5" t="str">
        <f>HYPERLINK("https://my.pitchbook.com?p=218119-87P","View People Online")</f>
        <v>View People Online</v>
      </c>
    </row>
    <row r="8129">
      <c r="A8129" s="6" t="s">
        <v>50512</v>
      </c>
      <c r="B8129" s="6" t="s">
        <v>50513</v>
      </c>
      <c r="C8129" s="6" t="s">
        <v>1437</v>
      </c>
      <c r="D8129" s="6" t="s">
        <v>50514</v>
      </c>
      <c r="E8129" s="6" t="s">
        <v>50494</v>
      </c>
      <c r="F8129" s="6" t="s">
        <v>6567</v>
      </c>
      <c r="G8129" s="6" t="s">
        <v>50515</v>
      </c>
      <c r="H8129" s="7" t="s">
        <v>31</v>
      </c>
      <c r="I8129" s="7">
        <v>1.0</v>
      </c>
      <c r="J8129" s="7">
        <v>1.0</v>
      </c>
      <c r="K8129" s="7" t="s">
        <v>31</v>
      </c>
      <c r="L8129" s="8" t="s">
        <v>50496</v>
      </c>
      <c r="M8129" s="6" t="s">
        <v>50516</v>
      </c>
      <c r="N8129" s="6" t="s">
        <v>10983</v>
      </c>
      <c r="O8129" s="8" t="s">
        <v>37748</v>
      </c>
      <c r="P8129" s="6" t="s">
        <v>50498</v>
      </c>
      <c r="Q8129" s="6" t="s">
        <v>31</v>
      </c>
      <c r="R8129" s="6" t="s">
        <v>37751</v>
      </c>
      <c r="S8129" s="8" t="s">
        <v>50499</v>
      </c>
      <c r="T8129" s="6" t="s">
        <v>66</v>
      </c>
      <c r="U8129" s="8" t="s">
        <v>50500</v>
      </c>
      <c r="V8129" s="6" t="s">
        <v>6567</v>
      </c>
      <c r="W8129" s="6" t="s">
        <v>50494</v>
      </c>
      <c r="X8129" s="9" t="str">
        <f>HYPERLINK("https://my.pitchbook.com?p=82664-92P","View People Online")</f>
        <v>View People Online</v>
      </c>
    </row>
    <row r="8130">
      <c r="A8130" s="2" t="s">
        <v>50517</v>
      </c>
      <c r="B8130" s="2" t="s">
        <v>50518</v>
      </c>
      <c r="C8130" s="2" t="s">
        <v>69</v>
      </c>
      <c r="D8130" s="2" t="s">
        <v>50519</v>
      </c>
      <c r="E8130" s="2" t="s">
        <v>50494</v>
      </c>
      <c r="F8130" s="2" t="s">
        <v>3740</v>
      </c>
      <c r="G8130" s="2" t="s">
        <v>50520</v>
      </c>
      <c r="H8130" s="3" t="s">
        <v>31</v>
      </c>
      <c r="I8130" s="3">
        <v>1.0</v>
      </c>
      <c r="J8130" s="3">
        <v>1.0</v>
      </c>
      <c r="K8130" s="3" t="s">
        <v>31</v>
      </c>
      <c r="L8130" s="4" t="s">
        <v>50496</v>
      </c>
      <c r="M8130" s="2" t="s">
        <v>50521</v>
      </c>
      <c r="N8130" s="2" t="s">
        <v>10983</v>
      </c>
      <c r="O8130" s="4" t="s">
        <v>37748</v>
      </c>
      <c r="P8130" s="2" t="s">
        <v>50498</v>
      </c>
      <c r="Q8130" s="2" t="s">
        <v>31</v>
      </c>
      <c r="R8130" s="2" t="s">
        <v>37751</v>
      </c>
      <c r="S8130" s="4" t="s">
        <v>50499</v>
      </c>
      <c r="T8130" s="2" t="s">
        <v>66</v>
      </c>
      <c r="U8130" s="4" t="s">
        <v>50500</v>
      </c>
      <c r="V8130" s="2" t="s">
        <v>3740</v>
      </c>
      <c r="W8130" s="2" t="s">
        <v>50494</v>
      </c>
      <c r="X8130" s="5" t="str">
        <f>HYPERLINK("https://my.pitchbook.com?p=272179-09P","View People Online")</f>
        <v>View People Online</v>
      </c>
    </row>
    <row r="8131">
      <c r="A8131" s="14" t="s">
        <v>50522</v>
      </c>
      <c r="B8131" s="14" t="s">
        <v>50523</v>
      </c>
      <c r="C8131" s="14" t="s">
        <v>1449</v>
      </c>
      <c r="D8131" s="14" t="s">
        <v>50524</v>
      </c>
      <c r="E8131" s="14" t="s">
        <v>50494</v>
      </c>
      <c r="F8131" s="14" t="s">
        <v>78</v>
      </c>
      <c r="G8131" s="14" t="s">
        <v>50525</v>
      </c>
      <c r="H8131" s="15" t="s">
        <v>31</v>
      </c>
      <c r="I8131" s="15">
        <v>1.0</v>
      </c>
      <c r="J8131" s="15">
        <v>1.0</v>
      </c>
      <c r="K8131" s="15" t="s">
        <v>31</v>
      </c>
      <c r="L8131" s="16" t="s">
        <v>50496</v>
      </c>
      <c r="M8131" s="14" t="s">
        <v>50526</v>
      </c>
      <c r="N8131" s="14" t="s">
        <v>10983</v>
      </c>
      <c r="O8131" s="16" t="s">
        <v>37748</v>
      </c>
      <c r="P8131" s="14" t="s">
        <v>50498</v>
      </c>
      <c r="Q8131" s="14" t="s">
        <v>31</v>
      </c>
      <c r="R8131" s="14" t="s">
        <v>37751</v>
      </c>
      <c r="S8131" s="16" t="s">
        <v>50499</v>
      </c>
      <c r="T8131" s="14" t="s">
        <v>66</v>
      </c>
      <c r="U8131" s="16" t="s">
        <v>50500</v>
      </c>
      <c r="V8131" s="14" t="s">
        <v>10197</v>
      </c>
      <c r="W8131" s="14" t="s">
        <v>50494</v>
      </c>
      <c r="X8131" s="17" t="str">
        <f>HYPERLINK("https://my.pitchbook.com?p=225897-31P","View People Online")</f>
        <v>View People Online</v>
      </c>
    </row>
    <row r="8132">
      <c r="A8132" s="10" t="s">
        <v>50527</v>
      </c>
      <c r="B8132" s="10" t="s">
        <v>50528</v>
      </c>
      <c r="C8132" s="10" t="s">
        <v>34070</v>
      </c>
      <c r="D8132" s="10" t="s">
        <v>4465</v>
      </c>
      <c r="E8132" s="10" t="s">
        <v>50494</v>
      </c>
      <c r="F8132" s="10" t="s">
        <v>548</v>
      </c>
      <c r="G8132" s="10" t="s">
        <v>50529</v>
      </c>
      <c r="H8132" s="11" t="s">
        <v>31</v>
      </c>
      <c r="I8132" s="11">
        <v>1.0</v>
      </c>
      <c r="J8132" s="11">
        <v>1.0</v>
      </c>
      <c r="K8132" s="11" t="s">
        <v>31</v>
      </c>
      <c r="L8132" s="12" t="s">
        <v>50530</v>
      </c>
      <c r="M8132" s="10" t="s">
        <v>50531</v>
      </c>
      <c r="N8132" s="10" t="s">
        <v>10983</v>
      </c>
      <c r="O8132" s="12" t="s">
        <v>37748</v>
      </c>
      <c r="P8132" s="10" t="s">
        <v>50498</v>
      </c>
      <c r="Q8132" s="10" t="s">
        <v>31</v>
      </c>
      <c r="R8132" s="10" t="s">
        <v>37751</v>
      </c>
      <c r="S8132" s="12" t="s">
        <v>50499</v>
      </c>
      <c r="T8132" s="10" t="s">
        <v>66</v>
      </c>
      <c r="U8132" s="12" t="s">
        <v>50500</v>
      </c>
      <c r="V8132" s="10" t="s">
        <v>760</v>
      </c>
      <c r="W8132" s="10" t="s">
        <v>50494</v>
      </c>
      <c r="X8132" s="13" t="str">
        <f>HYPERLINK("https://my.pitchbook.com?p=220537-81P","View People Online")</f>
        <v>View People Online</v>
      </c>
    </row>
    <row r="8133">
      <c r="A8133" s="14" t="s">
        <v>50532</v>
      </c>
      <c r="B8133" s="14" t="s">
        <v>50533</v>
      </c>
      <c r="C8133" s="14" t="s">
        <v>1471</v>
      </c>
      <c r="D8133" s="14" t="s">
        <v>10412</v>
      </c>
      <c r="E8133" s="14" t="s">
        <v>50494</v>
      </c>
      <c r="F8133" s="14" t="s">
        <v>32296</v>
      </c>
      <c r="G8133" s="14" t="s">
        <v>50534</v>
      </c>
      <c r="H8133" s="15" t="s">
        <v>31</v>
      </c>
      <c r="I8133" s="15">
        <v>1.0</v>
      </c>
      <c r="J8133" s="15">
        <v>1.0</v>
      </c>
      <c r="K8133" s="15" t="s">
        <v>31</v>
      </c>
      <c r="L8133" s="16" t="s">
        <v>50496</v>
      </c>
      <c r="M8133" s="14" t="s">
        <v>50535</v>
      </c>
      <c r="N8133" s="14" t="s">
        <v>10983</v>
      </c>
      <c r="O8133" s="16" t="s">
        <v>37748</v>
      </c>
      <c r="P8133" s="14" t="s">
        <v>50498</v>
      </c>
      <c r="Q8133" s="14" t="s">
        <v>31</v>
      </c>
      <c r="R8133" s="14" t="s">
        <v>37751</v>
      </c>
      <c r="S8133" s="16" t="s">
        <v>50499</v>
      </c>
      <c r="T8133" s="14" t="s">
        <v>66</v>
      </c>
      <c r="U8133" s="16" t="s">
        <v>50500</v>
      </c>
      <c r="V8133" s="14" t="s">
        <v>35665</v>
      </c>
      <c r="W8133" s="14" t="s">
        <v>50494</v>
      </c>
      <c r="X8133" s="17" t="str">
        <f>HYPERLINK("https://my.pitchbook.com?p=272178-46P","View People Online")</f>
        <v>View People Online</v>
      </c>
    </row>
    <row r="8134">
      <c r="A8134" s="2" t="s">
        <v>50536</v>
      </c>
      <c r="B8134" s="2" t="s">
        <v>50537</v>
      </c>
      <c r="C8134" s="2" t="s">
        <v>4358</v>
      </c>
      <c r="D8134" s="2" t="s">
        <v>16230</v>
      </c>
      <c r="E8134" s="2" t="s">
        <v>50494</v>
      </c>
      <c r="F8134" s="2" t="s">
        <v>7624</v>
      </c>
      <c r="G8134" s="2" t="s">
        <v>50538</v>
      </c>
      <c r="H8134" s="3" t="s">
        <v>31</v>
      </c>
      <c r="I8134" s="3">
        <v>1.0</v>
      </c>
      <c r="J8134" s="3">
        <v>1.0</v>
      </c>
      <c r="K8134" s="3" t="s">
        <v>31</v>
      </c>
      <c r="L8134" s="4" t="s">
        <v>50496</v>
      </c>
      <c r="M8134" s="2" t="s">
        <v>50539</v>
      </c>
      <c r="N8134" s="2" t="s">
        <v>10983</v>
      </c>
      <c r="O8134" s="4" t="s">
        <v>37748</v>
      </c>
      <c r="P8134" s="2" t="s">
        <v>50498</v>
      </c>
      <c r="Q8134" s="2" t="s">
        <v>31</v>
      </c>
      <c r="R8134" s="2" t="s">
        <v>37751</v>
      </c>
      <c r="S8134" s="4" t="s">
        <v>50499</v>
      </c>
      <c r="T8134" s="2" t="s">
        <v>66</v>
      </c>
      <c r="U8134" s="4" t="s">
        <v>50500</v>
      </c>
      <c r="V8134" s="2" t="s">
        <v>50540</v>
      </c>
      <c r="W8134" s="2" t="s">
        <v>50494</v>
      </c>
      <c r="X8134" s="5" t="str">
        <f>HYPERLINK("https://my.pitchbook.com?p=327548-53P","View People Online")</f>
        <v>View People Online</v>
      </c>
    </row>
    <row r="8135">
      <c r="A8135" s="6" t="s">
        <v>50541</v>
      </c>
      <c r="B8135" s="6" t="s">
        <v>50542</v>
      </c>
      <c r="C8135" s="6" t="s">
        <v>1343</v>
      </c>
      <c r="D8135" s="6" t="s">
        <v>50543</v>
      </c>
      <c r="E8135" s="6" t="s">
        <v>50494</v>
      </c>
      <c r="F8135" s="6" t="s">
        <v>3740</v>
      </c>
      <c r="G8135" s="6" t="s">
        <v>50544</v>
      </c>
      <c r="H8135" s="7" t="s">
        <v>31</v>
      </c>
      <c r="I8135" s="7">
        <v>2.0</v>
      </c>
      <c r="J8135" s="7">
        <v>1.0</v>
      </c>
      <c r="K8135" s="7">
        <v>1.0</v>
      </c>
      <c r="L8135" s="8" t="s">
        <v>50496</v>
      </c>
      <c r="M8135" s="6" t="s">
        <v>50545</v>
      </c>
      <c r="N8135" s="6" t="s">
        <v>10983</v>
      </c>
      <c r="O8135" s="8" t="s">
        <v>37748</v>
      </c>
      <c r="P8135" s="6" t="s">
        <v>50498</v>
      </c>
      <c r="Q8135" s="6" t="s">
        <v>31</v>
      </c>
      <c r="R8135" s="6" t="s">
        <v>37751</v>
      </c>
      <c r="S8135" s="8" t="s">
        <v>50499</v>
      </c>
      <c r="T8135" s="6" t="s">
        <v>66</v>
      </c>
      <c r="U8135" s="8" t="s">
        <v>50500</v>
      </c>
      <c r="V8135" s="6" t="s">
        <v>3740</v>
      </c>
      <c r="W8135" s="6" t="s">
        <v>50494</v>
      </c>
      <c r="X8135" s="9" t="str">
        <f>HYPERLINK("https://my.pitchbook.com?p=190420-21P","View People Online")</f>
        <v>View People Online</v>
      </c>
    </row>
    <row r="8136">
      <c r="A8136" s="2" t="s">
        <v>50546</v>
      </c>
      <c r="B8136" s="2" t="s">
        <v>50547</v>
      </c>
      <c r="C8136" s="2" t="s">
        <v>1343</v>
      </c>
      <c r="D8136" s="2" t="s">
        <v>50548</v>
      </c>
      <c r="E8136" s="2" t="s">
        <v>50494</v>
      </c>
      <c r="F8136" s="2" t="s">
        <v>1801</v>
      </c>
      <c r="G8136" s="2" t="s">
        <v>50549</v>
      </c>
      <c r="H8136" s="3" t="s">
        <v>31</v>
      </c>
      <c r="I8136" s="3">
        <v>1.0</v>
      </c>
      <c r="J8136" s="3">
        <v>1.0</v>
      </c>
      <c r="K8136" s="3" t="s">
        <v>31</v>
      </c>
      <c r="L8136" s="4" t="s">
        <v>50496</v>
      </c>
      <c r="M8136" s="2" t="s">
        <v>50550</v>
      </c>
      <c r="N8136" s="2" t="s">
        <v>10983</v>
      </c>
      <c r="O8136" s="4" t="s">
        <v>37748</v>
      </c>
      <c r="P8136" s="2" t="s">
        <v>50498</v>
      </c>
      <c r="Q8136" s="2" t="s">
        <v>31</v>
      </c>
      <c r="R8136" s="2" t="s">
        <v>37751</v>
      </c>
      <c r="S8136" s="4" t="s">
        <v>50499</v>
      </c>
      <c r="T8136" s="2" t="s">
        <v>66</v>
      </c>
      <c r="U8136" s="4" t="s">
        <v>50500</v>
      </c>
      <c r="V8136" s="2" t="s">
        <v>50551</v>
      </c>
      <c r="W8136" s="2" t="s">
        <v>50494</v>
      </c>
      <c r="X8136" s="5" t="str">
        <f>HYPERLINK("https://my.pitchbook.com?p=82664-83P","View People Online")</f>
        <v>View People Online</v>
      </c>
    </row>
    <row r="8137">
      <c r="A8137" s="6" t="s">
        <v>50552</v>
      </c>
      <c r="B8137" s="6" t="s">
        <v>50553</v>
      </c>
      <c r="C8137" s="6" t="s">
        <v>4009</v>
      </c>
      <c r="D8137" s="6" t="s">
        <v>50554</v>
      </c>
      <c r="E8137" s="6" t="s">
        <v>50494</v>
      </c>
      <c r="F8137" s="6" t="s">
        <v>3740</v>
      </c>
      <c r="G8137" s="6" t="s">
        <v>50555</v>
      </c>
      <c r="H8137" s="7" t="s">
        <v>31</v>
      </c>
      <c r="I8137" s="7">
        <v>1.0</v>
      </c>
      <c r="J8137" s="7">
        <v>1.0</v>
      </c>
      <c r="K8137" s="7" t="s">
        <v>31</v>
      </c>
      <c r="L8137" s="8" t="s">
        <v>50496</v>
      </c>
      <c r="M8137" s="6" t="s">
        <v>50556</v>
      </c>
      <c r="N8137" s="6" t="s">
        <v>10983</v>
      </c>
      <c r="O8137" s="8" t="s">
        <v>37748</v>
      </c>
      <c r="P8137" s="6" t="s">
        <v>50498</v>
      </c>
      <c r="Q8137" s="6" t="s">
        <v>31</v>
      </c>
      <c r="R8137" s="6" t="s">
        <v>37751</v>
      </c>
      <c r="S8137" s="8" t="s">
        <v>50499</v>
      </c>
      <c r="T8137" s="6" t="s">
        <v>66</v>
      </c>
      <c r="U8137" s="8" t="s">
        <v>50500</v>
      </c>
      <c r="V8137" s="6" t="s">
        <v>3740</v>
      </c>
      <c r="W8137" s="6" t="s">
        <v>50494</v>
      </c>
      <c r="X8137" s="9" t="str">
        <f>HYPERLINK("https://my.pitchbook.com?p=248970-43P","View People Online")</f>
        <v>View People Online</v>
      </c>
    </row>
    <row r="8138">
      <c r="A8138" s="2" t="s">
        <v>50557</v>
      </c>
      <c r="B8138" s="2" t="s">
        <v>50558</v>
      </c>
      <c r="C8138" s="2" t="s">
        <v>24966</v>
      </c>
      <c r="D8138" s="2" t="s">
        <v>50559</v>
      </c>
      <c r="E8138" s="2" t="s">
        <v>50494</v>
      </c>
      <c r="F8138" s="2" t="s">
        <v>8021</v>
      </c>
      <c r="G8138" s="2" t="s">
        <v>50560</v>
      </c>
      <c r="H8138" s="3" t="s">
        <v>31</v>
      </c>
      <c r="I8138" s="3">
        <v>2.0</v>
      </c>
      <c r="J8138" s="3">
        <v>2.0</v>
      </c>
      <c r="K8138" s="3" t="s">
        <v>31</v>
      </c>
      <c r="L8138" s="4" t="s">
        <v>50561</v>
      </c>
      <c r="M8138" s="2" t="s">
        <v>50562</v>
      </c>
      <c r="N8138" s="2" t="s">
        <v>1348</v>
      </c>
      <c r="O8138" s="4" t="s">
        <v>1349</v>
      </c>
      <c r="P8138" s="2" t="s">
        <v>50563</v>
      </c>
      <c r="Q8138" s="2" t="s">
        <v>31</v>
      </c>
      <c r="R8138" s="2" t="s">
        <v>1018</v>
      </c>
      <c r="S8138" s="4" t="s">
        <v>50564</v>
      </c>
      <c r="T8138" s="2" t="s">
        <v>1019</v>
      </c>
      <c r="U8138" s="4" t="s">
        <v>31</v>
      </c>
      <c r="V8138" s="2" t="s">
        <v>8021</v>
      </c>
      <c r="W8138" s="2" t="s">
        <v>50565</v>
      </c>
      <c r="X8138" s="5" t="str">
        <f>HYPERLINK("https://my.pitchbook.com?p=350149-96P","View People Online")</f>
        <v>View People Online</v>
      </c>
    </row>
    <row r="8139">
      <c r="A8139" s="6" t="s">
        <v>50566</v>
      </c>
      <c r="B8139" s="6" t="s">
        <v>50567</v>
      </c>
      <c r="C8139" s="6" t="s">
        <v>3360</v>
      </c>
      <c r="D8139" s="6" t="s">
        <v>50568</v>
      </c>
      <c r="E8139" s="6" t="s">
        <v>50494</v>
      </c>
      <c r="F8139" s="6" t="s">
        <v>4527</v>
      </c>
      <c r="G8139" s="6" t="s">
        <v>50569</v>
      </c>
      <c r="H8139" s="7">
        <v>2.0</v>
      </c>
      <c r="I8139" s="7">
        <v>11.0</v>
      </c>
      <c r="J8139" s="7">
        <v>1.0</v>
      </c>
      <c r="K8139" s="7">
        <v>9.0</v>
      </c>
      <c r="L8139" s="8" t="s">
        <v>50496</v>
      </c>
      <c r="M8139" s="6" t="s">
        <v>50570</v>
      </c>
      <c r="N8139" s="6" t="s">
        <v>10983</v>
      </c>
      <c r="O8139" s="8" t="s">
        <v>37748</v>
      </c>
      <c r="P8139" s="6" t="s">
        <v>50498</v>
      </c>
      <c r="Q8139" s="6" t="s">
        <v>31</v>
      </c>
      <c r="R8139" s="6" t="s">
        <v>37751</v>
      </c>
      <c r="S8139" s="8" t="s">
        <v>50499</v>
      </c>
      <c r="T8139" s="6" t="s">
        <v>66</v>
      </c>
      <c r="U8139" s="8" t="s">
        <v>50500</v>
      </c>
      <c r="V8139" s="6" t="s">
        <v>50571</v>
      </c>
      <c r="W8139" s="6" t="s">
        <v>50494</v>
      </c>
      <c r="X8139" s="9" t="str">
        <f>HYPERLINK("https://my.pitchbook.com?p=210708-37P","View People Online")</f>
        <v>View People Online</v>
      </c>
    </row>
    <row r="8140">
      <c r="A8140" s="10" t="s">
        <v>50572</v>
      </c>
      <c r="B8140" s="10" t="s">
        <v>50573</v>
      </c>
      <c r="C8140" s="10" t="s">
        <v>126</v>
      </c>
      <c r="D8140" s="10" t="s">
        <v>22551</v>
      </c>
      <c r="E8140" s="10" t="s">
        <v>50494</v>
      </c>
      <c r="F8140" s="10" t="s">
        <v>7930</v>
      </c>
      <c r="G8140" s="10" t="s">
        <v>50574</v>
      </c>
      <c r="H8140" s="11" t="s">
        <v>31</v>
      </c>
      <c r="I8140" s="11">
        <v>1.0</v>
      </c>
      <c r="J8140" s="11">
        <v>1.0</v>
      </c>
      <c r="K8140" s="11" t="s">
        <v>31</v>
      </c>
      <c r="L8140" s="12" t="s">
        <v>50496</v>
      </c>
      <c r="M8140" s="10" t="s">
        <v>50575</v>
      </c>
      <c r="N8140" s="10" t="s">
        <v>10983</v>
      </c>
      <c r="O8140" s="12" t="s">
        <v>37748</v>
      </c>
      <c r="P8140" s="10" t="s">
        <v>50498</v>
      </c>
      <c r="Q8140" s="10" t="s">
        <v>31</v>
      </c>
      <c r="R8140" s="10" t="s">
        <v>37751</v>
      </c>
      <c r="S8140" s="12" t="s">
        <v>50499</v>
      </c>
      <c r="T8140" s="10" t="s">
        <v>66</v>
      </c>
      <c r="U8140" s="12" t="s">
        <v>50500</v>
      </c>
      <c r="V8140" s="10" t="s">
        <v>42452</v>
      </c>
      <c r="W8140" s="10" t="s">
        <v>50494</v>
      </c>
      <c r="X8140" s="13" t="str">
        <f>HYPERLINK("https://my.pitchbook.com?p=225586-81P","View People Online")</f>
        <v>View People Online</v>
      </c>
    </row>
    <row r="8141">
      <c r="A8141" s="6" t="s">
        <v>50576</v>
      </c>
      <c r="B8141" s="6" t="s">
        <v>50577</v>
      </c>
      <c r="C8141" s="6" t="s">
        <v>6199</v>
      </c>
      <c r="D8141" s="6" t="s">
        <v>50578</v>
      </c>
      <c r="E8141" s="6" t="s">
        <v>50494</v>
      </c>
      <c r="F8141" s="6" t="s">
        <v>43271</v>
      </c>
      <c r="G8141" s="6" t="s">
        <v>50579</v>
      </c>
      <c r="H8141" s="7" t="s">
        <v>31</v>
      </c>
      <c r="I8141" s="7">
        <v>1.0</v>
      </c>
      <c r="J8141" s="7">
        <v>1.0</v>
      </c>
      <c r="K8141" s="7" t="s">
        <v>31</v>
      </c>
      <c r="L8141" s="8" t="s">
        <v>50496</v>
      </c>
      <c r="M8141" s="6" t="s">
        <v>50580</v>
      </c>
      <c r="N8141" s="6" t="s">
        <v>10983</v>
      </c>
      <c r="O8141" s="8" t="s">
        <v>37748</v>
      </c>
      <c r="P8141" s="6" t="s">
        <v>50498</v>
      </c>
      <c r="Q8141" s="6" t="s">
        <v>31</v>
      </c>
      <c r="R8141" s="6" t="s">
        <v>37751</v>
      </c>
      <c r="S8141" s="8" t="s">
        <v>50499</v>
      </c>
      <c r="T8141" s="6" t="s">
        <v>66</v>
      </c>
      <c r="U8141" s="8" t="s">
        <v>50500</v>
      </c>
      <c r="V8141" s="6" t="s">
        <v>50581</v>
      </c>
      <c r="W8141" s="6" t="s">
        <v>50494</v>
      </c>
      <c r="X8141" s="9" t="str">
        <f>HYPERLINK("https://my.pitchbook.com?p=82665-01P","View People Online")</f>
        <v>View People Online</v>
      </c>
    </row>
    <row r="8142">
      <c r="A8142" s="10" t="s">
        <v>50582</v>
      </c>
      <c r="B8142" s="10" t="s">
        <v>50583</v>
      </c>
      <c r="C8142" s="10" t="s">
        <v>4480</v>
      </c>
      <c r="D8142" s="10" t="s">
        <v>50584</v>
      </c>
      <c r="E8142" s="10" t="s">
        <v>50585</v>
      </c>
      <c r="F8142" s="10" t="s">
        <v>548</v>
      </c>
      <c r="G8142" s="10" t="s">
        <v>50586</v>
      </c>
      <c r="H8142" s="11" t="s">
        <v>31</v>
      </c>
      <c r="I8142" s="11">
        <v>1.0</v>
      </c>
      <c r="J8142" s="11">
        <v>1.0</v>
      </c>
      <c r="K8142" s="11" t="s">
        <v>31</v>
      </c>
      <c r="L8142" s="12" t="s">
        <v>50587</v>
      </c>
      <c r="M8142" s="10" t="s">
        <v>50588</v>
      </c>
      <c r="N8142" s="10" t="s">
        <v>75</v>
      </c>
      <c r="O8142" s="12" t="s">
        <v>76</v>
      </c>
      <c r="P8142" s="10" t="s">
        <v>50589</v>
      </c>
      <c r="Q8142" s="10" t="s">
        <v>31325</v>
      </c>
      <c r="R8142" s="10" t="s">
        <v>75</v>
      </c>
      <c r="S8142" s="12" t="s">
        <v>4581</v>
      </c>
      <c r="T8142" s="10" t="s">
        <v>66</v>
      </c>
      <c r="U8142" s="12" t="s">
        <v>31</v>
      </c>
      <c r="V8142" s="10" t="s">
        <v>10019</v>
      </c>
      <c r="W8142" s="10" t="s">
        <v>50585</v>
      </c>
      <c r="X8142" s="13" t="str">
        <f>HYPERLINK("https://my.pitchbook.com?p=398110-33P","View People Online")</f>
        <v>View People Online</v>
      </c>
    </row>
    <row r="8143">
      <c r="A8143" s="14" t="s">
        <v>50590</v>
      </c>
      <c r="B8143" s="14" t="s">
        <v>50591</v>
      </c>
      <c r="C8143" s="14" t="s">
        <v>38180</v>
      </c>
      <c r="D8143" s="14" t="s">
        <v>5608</v>
      </c>
      <c r="E8143" s="14" t="s">
        <v>50592</v>
      </c>
      <c r="F8143" s="14" t="s">
        <v>1459</v>
      </c>
      <c r="G8143" s="14" t="s">
        <v>50593</v>
      </c>
      <c r="H8143" s="15" t="s">
        <v>31</v>
      </c>
      <c r="I8143" s="15">
        <v>5.0</v>
      </c>
      <c r="J8143" s="15">
        <v>1.0</v>
      </c>
      <c r="K8143" s="15">
        <v>4.0</v>
      </c>
      <c r="L8143" s="16" t="s">
        <v>50594</v>
      </c>
      <c r="M8143" s="14" t="s">
        <v>50595</v>
      </c>
      <c r="N8143" s="14" t="s">
        <v>10946</v>
      </c>
      <c r="O8143" s="16" t="s">
        <v>10947</v>
      </c>
      <c r="P8143" s="14" t="s">
        <v>50596</v>
      </c>
      <c r="Q8143" s="14" t="s">
        <v>31</v>
      </c>
      <c r="R8143" s="14" t="s">
        <v>75</v>
      </c>
      <c r="S8143" s="16" t="s">
        <v>45226</v>
      </c>
      <c r="T8143" s="14" t="s">
        <v>66</v>
      </c>
      <c r="U8143" s="16" t="s">
        <v>50597</v>
      </c>
      <c r="V8143" s="14" t="s">
        <v>1459</v>
      </c>
      <c r="W8143" s="14" t="s">
        <v>50592</v>
      </c>
      <c r="X8143" s="17" t="str">
        <f>HYPERLINK("https://my.pitchbook.com?p=252519-04P","View People Online")</f>
        <v>View People Online</v>
      </c>
    </row>
    <row r="8144">
      <c r="A8144" s="2" t="s">
        <v>50598</v>
      </c>
      <c r="B8144" s="2" t="s">
        <v>50599</v>
      </c>
      <c r="C8144" s="2" t="s">
        <v>50600</v>
      </c>
      <c r="D8144" s="2" t="s">
        <v>50601</v>
      </c>
      <c r="E8144" s="2" t="s">
        <v>50592</v>
      </c>
      <c r="F8144" s="2" t="s">
        <v>270</v>
      </c>
      <c r="G8144" s="2" t="s">
        <v>50602</v>
      </c>
      <c r="H8144" s="3" t="s">
        <v>31</v>
      </c>
      <c r="I8144" s="3">
        <v>1.0</v>
      </c>
      <c r="J8144" s="3">
        <v>1.0</v>
      </c>
      <c r="K8144" s="3" t="s">
        <v>31</v>
      </c>
      <c r="L8144" s="4" t="s">
        <v>50594</v>
      </c>
      <c r="M8144" s="2" t="s">
        <v>31</v>
      </c>
      <c r="N8144" s="2" t="s">
        <v>10946</v>
      </c>
      <c r="O8144" s="4" t="s">
        <v>10947</v>
      </c>
      <c r="P8144" s="2" t="s">
        <v>50596</v>
      </c>
      <c r="Q8144" s="2" t="s">
        <v>31</v>
      </c>
      <c r="R8144" s="2" t="s">
        <v>75</v>
      </c>
      <c r="S8144" s="4" t="s">
        <v>45226</v>
      </c>
      <c r="T8144" s="2" t="s">
        <v>66</v>
      </c>
      <c r="U8144" s="4" t="s">
        <v>50597</v>
      </c>
      <c r="V8144" s="2" t="s">
        <v>50603</v>
      </c>
      <c r="W8144" s="2" t="s">
        <v>50592</v>
      </c>
      <c r="X8144" s="5" t="str">
        <f>HYPERLINK("https://my.pitchbook.com?p=168895-72P","View People Online")</f>
        <v>View People Online</v>
      </c>
    </row>
    <row r="8145">
      <c r="A8145" s="14" t="s">
        <v>50604</v>
      </c>
      <c r="B8145" s="14" t="s">
        <v>50605</v>
      </c>
      <c r="C8145" s="14" t="s">
        <v>17524</v>
      </c>
      <c r="D8145" s="14" t="s">
        <v>3040</v>
      </c>
      <c r="E8145" s="14" t="s">
        <v>50592</v>
      </c>
      <c r="F8145" s="14" t="s">
        <v>371</v>
      </c>
      <c r="G8145" s="14" t="s">
        <v>50606</v>
      </c>
      <c r="H8145" s="15" t="s">
        <v>31</v>
      </c>
      <c r="I8145" s="15">
        <v>2.0</v>
      </c>
      <c r="J8145" s="15">
        <v>1.0</v>
      </c>
      <c r="K8145" s="15" t="s">
        <v>31</v>
      </c>
      <c r="L8145" s="16" t="s">
        <v>50607</v>
      </c>
      <c r="M8145" s="14" t="s">
        <v>31</v>
      </c>
      <c r="N8145" s="14" t="s">
        <v>75</v>
      </c>
      <c r="O8145" s="16" t="s">
        <v>76</v>
      </c>
      <c r="P8145" s="14" t="s">
        <v>50608</v>
      </c>
      <c r="Q8145" s="14" t="s">
        <v>49019</v>
      </c>
      <c r="R8145" s="14" t="s">
        <v>75</v>
      </c>
      <c r="S8145" s="16" t="s">
        <v>3795</v>
      </c>
      <c r="T8145" s="14" t="s">
        <v>66</v>
      </c>
      <c r="U8145" s="16" t="s">
        <v>50597</v>
      </c>
      <c r="V8145" s="14" t="s">
        <v>50609</v>
      </c>
      <c r="W8145" s="14" t="s">
        <v>50592</v>
      </c>
      <c r="X8145" s="17" t="str">
        <f>HYPERLINK("https://my.pitchbook.com?p=168194-62P","View People Online")</f>
        <v>View People Online</v>
      </c>
    </row>
    <row r="8146">
      <c r="A8146" s="2" t="s">
        <v>50610</v>
      </c>
      <c r="B8146" s="2" t="s">
        <v>50611</v>
      </c>
      <c r="C8146" s="2" t="s">
        <v>1343</v>
      </c>
      <c r="D8146" s="2" t="s">
        <v>50612</v>
      </c>
      <c r="E8146" s="2" t="s">
        <v>50592</v>
      </c>
      <c r="F8146" s="2" t="s">
        <v>81</v>
      </c>
      <c r="G8146" s="2" t="s">
        <v>50613</v>
      </c>
      <c r="H8146" s="3" t="s">
        <v>31</v>
      </c>
      <c r="I8146" s="3">
        <v>1.0</v>
      </c>
      <c r="J8146" s="3" t="s">
        <v>31</v>
      </c>
      <c r="K8146" s="3" t="s">
        <v>31</v>
      </c>
      <c r="L8146" s="4" t="s">
        <v>50614</v>
      </c>
      <c r="M8146" s="2" t="s">
        <v>50615</v>
      </c>
      <c r="N8146" s="2" t="s">
        <v>75</v>
      </c>
      <c r="O8146" s="4" t="s">
        <v>76</v>
      </c>
      <c r="P8146" s="2" t="s">
        <v>50608</v>
      </c>
      <c r="Q8146" s="2" t="s">
        <v>49019</v>
      </c>
      <c r="R8146" s="2" t="s">
        <v>75</v>
      </c>
      <c r="S8146" s="4" t="s">
        <v>3795</v>
      </c>
      <c r="T8146" s="2" t="s">
        <v>66</v>
      </c>
      <c r="U8146" s="4" t="s">
        <v>50597</v>
      </c>
      <c r="V8146" s="2" t="s">
        <v>81</v>
      </c>
      <c r="W8146" s="2" t="s">
        <v>50592</v>
      </c>
      <c r="X8146" s="5" t="str">
        <f>HYPERLINK("https://my.pitchbook.com?p=62126-38P","View People Online")</f>
        <v>View People Online</v>
      </c>
    </row>
    <row r="8147">
      <c r="A8147" s="14" t="s">
        <v>50616</v>
      </c>
      <c r="B8147" s="14" t="s">
        <v>50617</v>
      </c>
      <c r="C8147" s="14" t="s">
        <v>126</v>
      </c>
      <c r="D8147" s="14" t="s">
        <v>50618</v>
      </c>
      <c r="E8147" s="14" t="s">
        <v>50592</v>
      </c>
      <c r="F8147" s="14" t="s">
        <v>1086</v>
      </c>
      <c r="G8147" s="14" t="s">
        <v>50619</v>
      </c>
      <c r="H8147" s="15" t="s">
        <v>31</v>
      </c>
      <c r="I8147" s="15">
        <v>1.0</v>
      </c>
      <c r="J8147" s="15">
        <v>1.0</v>
      </c>
      <c r="K8147" s="15" t="s">
        <v>31</v>
      </c>
      <c r="L8147" s="16" t="s">
        <v>50620</v>
      </c>
      <c r="M8147" s="14" t="s">
        <v>50621</v>
      </c>
      <c r="N8147" s="14" t="s">
        <v>10946</v>
      </c>
      <c r="O8147" s="16" t="s">
        <v>10947</v>
      </c>
      <c r="P8147" s="14" t="s">
        <v>50596</v>
      </c>
      <c r="Q8147" s="14" t="s">
        <v>31</v>
      </c>
      <c r="R8147" s="14" t="s">
        <v>75</v>
      </c>
      <c r="S8147" s="16" t="s">
        <v>45226</v>
      </c>
      <c r="T8147" s="14" t="s">
        <v>66</v>
      </c>
      <c r="U8147" s="16" t="s">
        <v>50597</v>
      </c>
      <c r="V8147" s="14" t="s">
        <v>12351</v>
      </c>
      <c r="W8147" s="14" t="s">
        <v>50592</v>
      </c>
      <c r="X8147" s="17" t="str">
        <f>HYPERLINK("https://my.pitchbook.com?p=171188-38P","View People Online")</f>
        <v>View People Online</v>
      </c>
    </row>
    <row r="8148">
      <c r="A8148" s="10" t="s">
        <v>50622</v>
      </c>
      <c r="B8148" s="10" t="s">
        <v>50623</v>
      </c>
      <c r="C8148" s="10" t="s">
        <v>50624</v>
      </c>
      <c r="D8148" s="10" t="s">
        <v>50625</v>
      </c>
      <c r="E8148" s="10" t="s">
        <v>50592</v>
      </c>
      <c r="F8148" s="10" t="s">
        <v>502</v>
      </c>
      <c r="G8148" s="10" t="s">
        <v>50626</v>
      </c>
      <c r="H8148" s="11" t="s">
        <v>31</v>
      </c>
      <c r="I8148" s="11">
        <v>1.0</v>
      </c>
      <c r="J8148" s="11">
        <v>1.0</v>
      </c>
      <c r="K8148" s="11" t="s">
        <v>31</v>
      </c>
      <c r="L8148" s="12" t="s">
        <v>50594</v>
      </c>
      <c r="M8148" s="10" t="s">
        <v>50627</v>
      </c>
      <c r="N8148" s="10" t="s">
        <v>10946</v>
      </c>
      <c r="O8148" s="12" t="s">
        <v>10947</v>
      </c>
      <c r="P8148" s="10" t="s">
        <v>50596</v>
      </c>
      <c r="Q8148" s="10" t="s">
        <v>31</v>
      </c>
      <c r="R8148" s="10" t="s">
        <v>75</v>
      </c>
      <c r="S8148" s="12" t="s">
        <v>45226</v>
      </c>
      <c r="T8148" s="10" t="s">
        <v>66</v>
      </c>
      <c r="U8148" s="12" t="s">
        <v>50597</v>
      </c>
      <c r="V8148" s="10" t="s">
        <v>502</v>
      </c>
      <c r="W8148" s="10" t="s">
        <v>50592</v>
      </c>
      <c r="X8148" s="13" t="str">
        <f>HYPERLINK("https://my.pitchbook.com?p=368411-50P","View People Online")</f>
        <v>View People Online</v>
      </c>
    </row>
    <row r="8149">
      <c r="A8149" s="6" t="s">
        <v>50628</v>
      </c>
      <c r="B8149" s="6" t="s">
        <v>50629</v>
      </c>
      <c r="C8149" s="6" t="s">
        <v>536</v>
      </c>
      <c r="D8149" s="6" t="s">
        <v>50630</v>
      </c>
      <c r="E8149" s="6" t="s">
        <v>50592</v>
      </c>
      <c r="F8149" s="6" t="s">
        <v>916</v>
      </c>
      <c r="G8149" s="6" t="s">
        <v>50631</v>
      </c>
      <c r="H8149" s="7">
        <v>1.0</v>
      </c>
      <c r="I8149" s="7">
        <v>4.0</v>
      </c>
      <c r="J8149" s="7">
        <v>2.0</v>
      </c>
      <c r="K8149" s="7">
        <v>1.0</v>
      </c>
      <c r="L8149" s="8" t="s">
        <v>50594</v>
      </c>
      <c r="M8149" s="6" t="s">
        <v>50632</v>
      </c>
      <c r="N8149" s="6" t="s">
        <v>10946</v>
      </c>
      <c r="O8149" s="8" t="s">
        <v>10947</v>
      </c>
      <c r="P8149" s="6" t="s">
        <v>50596</v>
      </c>
      <c r="Q8149" s="6" t="s">
        <v>31</v>
      </c>
      <c r="R8149" s="6" t="s">
        <v>75</v>
      </c>
      <c r="S8149" s="8" t="s">
        <v>45226</v>
      </c>
      <c r="T8149" s="6" t="s">
        <v>66</v>
      </c>
      <c r="U8149" s="8" t="s">
        <v>50597</v>
      </c>
      <c r="V8149" s="6" t="s">
        <v>470</v>
      </c>
      <c r="W8149" s="6" t="s">
        <v>50633</v>
      </c>
      <c r="X8149" s="9" t="str">
        <f>HYPERLINK("https://my.pitchbook.com?p=78147-46P","View People Online")</f>
        <v>View People Online</v>
      </c>
    </row>
    <row r="8150">
      <c r="A8150" s="2" t="s">
        <v>50634</v>
      </c>
      <c r="B8150" s="2" t="s">
        <v>50635</v>
      </c>
      <c r="C8150" s="2" t="s">
        <v>1117</v>
      </c>
      <c r="D8150" s="2" t="s">
        <v>50636</v>
      </c>
      <c r="E8150" s="2" t="s">
        <v>50637</v>
      </c>
      <c r="F8150" s="2" t="s">
        <v>502</v>
      </c>
      <c r="G8150" s="2" t="s">
        <v>50638</v>
      </c>
      <c r="H8150" s="3" t="s">
        <v>31</v>
      </c>
      <c r="I8150" s="3">
        <v>1.0</v>
      </c>
      <c r="J8150" s="3">
        <v>1.0</v>
      </c>
      <c r="K8150" s="3" t="s">
        <v>31</v>
      </c>
      <c r="L8150" s="4" t="s">
        <v>50639</v>
      </c>
      <c r="M8150" s="2" t="s">
        <v>50640</v>
      </c>
      <c r="N8150" s="2" t="s">
        <v>46278</v>
      </c>
      <c r="O8150" s="4" t="s">
        <v>46279</v>
      </c>
      <c r="P8150" s="2" t="s">
        <v>50641</v>
      </c>
      <c r="Q8150" s="2" t="s">
        <v>31</v>
      </c>
      <c r="R8150" s="2" t="s">
        <v>15275</v>
      </c>
      <c r="S8150" s="4" t="s">
        <v>50642</v>
      </c>
      <c r="T8150" s="2" t="s">
        <v>66</v>
      </c>
      <c r="U8150" s="4" t="s">
        <v>31</v>
      </c>
      <c r="V8150" s="2" t="s">
        <v>50643</v>
      </c>
      <c r="W8150" s="2" t="s">
        <v>50637</v>
      </c>
      <c r="X8150" s="5" t="str">
        <f>HYPERLINK("https://my.pitchbook.com?p=436464-37P","View People Online")</f>
        <v>View People Online</v>
      </c>
    </row>
    <row r="8151">
      <c r="A8151" s="14" t="s">
        <v>50644</v>
      </c>
      <c r="B8151" s="14" t="s">
        <v>50645</v>
      </c>
      <c r="C8151" s="14" t="s">
        <v>50646</v>
      </c>
      <c r="D8151" s="14" t="s">
        <v>50647</v>
      </c>
      <c r="E8151" s="14" t="s">
        <v>50637</v>
      </c>
      <c r="F8151" s="14" t="s">
        <v>6997</v>
      </c>
      <c r="G8151" s="14" t="s">
        <v>50648</v>
      </c>
      <c r="H8151" s="15" t="s">
        <v>31</v>
      </c>
      <c r="I8151" s="15">
        <v>1.0</v>
      </c>
      <c r="J8151" s="15">
        <v>1.0</v>
      </c>
      <c r="K8151" s="15" t="s">
        <v>31</v>
      </c>
      <c r="L8151" s="16" t="s">
        <v>50639</v>
      </c>
      <c r="M8151" s="14" t="s">
        <v>50649</v>
      </c>
      <c r="N8151" s="14" t="s">
        <v>46278</v>
      </c>
      <c r="O8151" s="16" t="s">
        <v>46279</v>
      </c>
      <c r="P8151" s="14" t="s">
        <v>50641</v>
      </c>
      <c r="Q8151" s="14" t="s">
        <v>31</v>
      </c>
      <c r="R8151" s="14" t="s">
        <v>15275</v>
      </c>
      <c r="S8151" s="16" t="s">
        <v>50642</v>
      </c>
      <c r="T8151" s="14" t="s">
        <v>66</v>
      </c>
      <c r="U8151" s="16" t="s">
        <v>31</v>
      </c>
      <c r="V8151" s="14" t="s">
        <v>50650</v>
      </c>
      <c r="W8151" s="14" t="s">
        <v>50637</v>
      </c>
      <c r="X8151" s="17" t="str">
        <f>HYPERLINK("https://my.pitchbook.com?p=342074-71P","View People Online")</f>
        <v>View People Online</v>
      </c>
    </row>
    <row r="8152">
      <c r="A8152" s="2" t="s">
        <v>50651</v>
      </c>
      <c r="B8152" s="2" t="s">
        <v>50652</v>
      </c>
      <c r="C8152" s="2" t="s">
        <v>1982</v>
      </c>
      <c r="D8152" s="2" t="s">
        <v>50653</v>
      </c>
      <c r="E8152" s="2" t="s">
        <v>50637</v>
      </c>
      <c r="F8152" s="2" t="s">
        <v>270</v>
      </c>
      <c r="G8152" s="2" t="s">
        <v>50654</v>
      </c>
      <c r="H8152" s="3" t="s">
        <v>31</v>
      </c>
      <c r="I8152" s="3">
        <v>1.0</v>
      </c>
      <c r="J8152" s="3">
        <v>1.0</v>
      </c>
      <c r="K8152" s="3" t="s">
        <v>31</v>
      </c>
      <c r="L8152" s="4" t="s">
        <v>50639</v>
      </c>
      <c r="M8152" s="2" t="s">
        <v>50655</v>
      </c>
      <c r="N8152" s="2" t="s">
        <v>46278</v>
      </c>
      <c r="O8152" s="4" t="s">
        <v>46279</v>
      </c>
      <c r="P8152" s="2" t="s">
        <v>50641</v>
      </c>
      <c r="Q8152" s="2" t="s">
        <v>31</v>
      </c>
      <c r="R8152" s="2" t="s">
        <v>15275</v>
      </c>
      <c r="S8152" s="4" t="s">
        <v>50642</v>
      </c>
      <c r="T8152" s="2" t="s">
        <v>66</v>
      </c>
      <c r="U8152" s="4" t="s">
        <v>31</v>
      </c>
      <c r="V8152" s="2" t="s">
        <v>50656</v>
      </c>
      <c r="W8152" s="2" t="s">
        <v>50637</v>
      </c>
      <c r="X8152" s="5" t="str">
        <f>HYPERLINK("https://my.pitchbook.com?p=403028-11P","View People Online")</f>
        <v>View People Online</v>
      </c>
    </row>
    <row r="8153">
      <c r="A8153" s="14" t="s">
        <v>50657</v>
      </c>
      <c r="B8153" s="14" t="s">
        <v>50658</v>
      </c>
      <c r="C8153" s="14" t="s">
        <v>4404</v>
      </c>
      <c r="D8153" s="14" t="s">
        <v>50659</v>
      </c>
      <c r="E8153" s="14" t="s">
        <v>50637</v>
      </c>
      <c r="F8153" s="14" t="s">
        <v>548</v>
      </c>
      <c r="G8153" s="14" t="s">
        <v>50660</v>
      </c>
      <c r="H8153" s="15" t="s">
        <v>31</v>
      </c>
      <c r="I8153" s="15">
        <v>1.0</v>
      </c>
      <c r="J8153" s="15">
        <v>1.0</v>
      </c>
      <c r="K8153" s="15" t="s">
        <v>31</v>
      </c>
      <c r="L8153" s="16" t="s">
        <v>50661</v>
      </c>
      <c r="M8153" s="14" t="s">
        <v>50662</v>
      </c>
      <c r="N8153" s="14" t="s">
        <v>46278</v>
      </c>
      <c r="O8153" s="16" t="s">
        <v>46279</v>
      </c>
      <c r="P8153" s="14" t="s">
        <v>50641</v>
      </c>
      <c r="Q8153" s="14" t="s">
        <v>31</v>
      </c>
      <c r="R8153" s="14" t="s">
        <v>15275</v>
      </c>
      <c r="S8153" s="16" t="s">
        <v>50642</v>
      </c>
      <c r="T8153" s="14" t="s">
        <v>66</v>
      </c>
      <c r="U8153" s="16" t="s">
        <v>50663</v>
      </c>
      <c r="V8153" s="14" t="s">
        <v>50664</v>
      </c>
      <c r="W8153" s="14" t="s">
        <v>50637</v>
      </c>
      <c r="X8153" s="17" t="str">
        <f>HYPERLINK("https://my.pitchbook.com?p=13866-85P","View People Online")</f>
        <v>View People Online</v>
      </c>
    </row>
    <row r="8154">
      <c r="A8154" s="10" t="s">
        <v>50665</v>
      </c>
      <c r="B8154" s="10" t="s">
        <v>50666</v>
      </c>
      <c r="C8154" s="10" t="s">
        <v>126</v>
      </c>
      <c r="D8154" s="10" t="s">
        <v>50667</v>
      </c>
      <c r="E8154" s="10" t="s">
        <v>50637</v>
      </c>
      <c r="F8154" s="10" t="s">
        <v>548</v>
      </c>
      <c r="G8154" s="10" t="s">
        <v>50668</v>
      </c>
      <c r="H8154" s="11" t="s">
        <v>31</v>
      </c>
      <c r="I8154" s="11">
        <v>1.0</v>
      </c>
      <c r="J8154" s="11">
        <v>1.0</v>
      </c>
      <c r="K8154" s="11" t="s">
        <v>31</v>
      </c>
      <c r="L8154" s="12" t="s">
        <v>50639</v>
      </c>
      <c r="M8154" s="10" t="s">
        <v>50669</v>
      </c>
      <c r="N8154" s="10" t="s">
        <v>46278</v>
      </c>
      <c r="O8154" s="12" t="s">
        <v>46279</v>
      </c>
      <c r="P8154" s="10" t="s">
        <v>50641</v>
      </c>
      <c r="Q8154" s="10" t="s">
        <v>31</v>
      </c>
      <c r="R8154" s="10" t="s">
        <v>15275</v>
      </c>
      <c r="S8154" s="12" t="s">
        <v>50642</v>
      </c>
      <c r="T8154" s="10" t="s">
        <v>66</v>
      </c>
      <c r="U8154" s="12" t="s">
        <v>31</v>
      </c>
      <c r="V8154" s="10" t="s">
        <v>50670</v>
      </c>
      <c r="W8154" s="10" t="s">
        <v>50637</v>
      </c>
      <c r="X8154" s="13" t="str">
        <f>HYPERLINK("https://my.pitchbook.com?p=151482-25P","View People Online")</f>
        <v>View People Online</v>
      </c>
    </row>
    <row r="8155">
      <c r="A8155" s="14" t="s">
        <v>50671</v>
      </c>
      <c r="B8155" s="14" t="s">
        <v>50672</v>
      </c>
      <c r="C8155" s="14" t="s">
        <v>3716</v>
      </c>
      <c r="D8155" s="14" t="s">
        <v>50673</v>
      </c>
      <c r="E8155" s="14" t="s">
        <v>50637</v>
      </c>
      <c r="F8155" s="14" t="s">
        <v>44736</v>
      </c>
      <c r="G8155" s="14" t="s">
        <v>50674</v>
      </c>
      <c r="H8155" s="15" t="s">
        <v>31</v>
      </c>
      <c r="I8155" s="15">
        <v>1.0</v>
      </c>
      <c r="J8155" s="15">
        <v>1.0</v>
      </c>
      <c r="K8155" s="15" t="s">
        <v>31</v>
      </c>
      <c r="L8155" s="16" t="s">
        <v>50675</v>
      </c>
      <c r="M8155" s="14" t="s">
        <v>50676</v>
      </c>
      <c r="N8155" s="14" t="s">
        <v>46278</v>
      </c>
      <c r="O8155" s="16" t="s">
        <v>46279</v>
      </c>
      <c r="P8155" s="14" t="s">
        <v>50641</v>
      </c>
      <c r="Q8155" s="14" t="s">
        <v>31</v>
      </c>
      <c r="R8155" s="14" t="s">
        <v>15275</v>
      </c>
      <c r="S8155" s="16" t="s">
        <v>50642</v>
      </c>
      <c r="T8155" s="14" t="s">
        <v>66</v>
      </c>
      <c r="U8155" s="16" t="s">
        <v>50677</v>
      </c>
      <c r="V8155" s="14" t="s">
        <v>50678</v>
      </c>
      <c r="W8155" s="14" t="s">
        <v>50637</v>
      </c>
      <c r="X8155" s="17" t="str">
        <f>HYPERLINK("https://my.pitchbook.com?p=59682-43P","View People Online")</f>
        <v>View People Online</v>
      </c>
    </row>
    <row r="8156">
      <c r="A8156" s="10" t="s">
        <v>50679</v>
      </c>
      <c r="B8156" s="10" t="s">
        <v>50680</v>
      </c>
      <c r="C8156" s="10" t="s">
        <v>3934</v>
      </c>
      <c r="D8156" s="10" t="s">
        <v>50681</v>
      </c>
      <c r="E8156" s="10" t="s">
        <v>50682</v>
      </c>
      <c r="F8156" s="10" t="s">
        <v>71</v>
      </c>
      <c r="G8156" s="10" t="s">
        <v>50683</v>
      </c>
      <c r="H8156" s="11" t="s">
        <v>31</v>
      </c>
      <c r="I8156" s="11">
        <v>1.0</v>
      </c>
      <c r="J8156" s="11">
        <v>1.0</v>
      </c>
      <c r="K8156" s="11" t="s">
        <v>31</v>
      </c>
      <c r="L8156" s="12" t="s">
        <v>50684</v>
      </c>
      <c r="M8156" s="10" t="s">
        <v>50685</v>
      </c>
      <c r="N8156" s="10" t="s">
        <v>75</v>
      </c>
      <c r="O8156" s="12" t="s">
        <v>76</v>
      </c>
      <c r="P8156" s="10" t="s">
        <v>50686</v>
      </c>
      <c r="Q8156" s="10" t="s">
        <v>31</v>
      </c>
      <c r="R8156" s="10" t="s">
        <v>75</v>
      </c>
      <c r="S8156" s="12" t="s">
        <v>195</v>
      </c>
      <c r="T8156" s="10" t="s">
        <v>66</v>
      </c>
      <c r="U8156" s="12" t="s">
        <v>31</v>
      </c>
      <c r="V8156" s="10" t="s">
        <v>71</v>
      </c>
      <c r="W8156" s="10" t="s">
        <v>50682</v>
      </c>
      <c r="X8156" s="13" t="str">
        <f>HYPERLINK("https://my.pitchbook.com?p=295606-00P","View People Online")</f>
        <v>View People Online</v>
      </c>
    </row>
    <row r="8157">
      <c r="A8157" s="6" t="s">
        <v>50687</v>
      </c>
      <c r="B8157" s="6" t="s">
        <v>50688</v>
      </c>
      <c r="C8157" s="6" t="s">
        <v>50689</v>
      </c>
      <c r="D8157" s="6" t="s">
        <v>50690</v>
      </c>
      <c r="E8157" s="6" t="s">
        <v>50682</v>
      </c>
      <c r="F8157" s="6" t="s">
        <v>221</v>
      </c>
      <c r="G8157" s="6" t="s">
        <v>50691</v>
      </c>
      <c r="H8157" s="7" t="s">
        <v>31</v>
      </c>
      <c r="I8157" s="7">
        <v>1.0</v>
      </c>
      <c r="J8157" s="7">
        <v>1.0</v>
      </c>
      <c r="K8157" s="7" t="s">
        <v>31</v>
      </c>
      <c r="L8157" s="8" t="s">
        <v>31</v>
      </c>
      <c r="M8157" s="6" t="s">
        <v>50692</v>
      </c>
      <c r="N8157" s="6" t="s">
        <v>75</v>
      </c>
      <c r="O8157" s="8" t="s">
        <v>76</v>
      </c>
      <c r="P8157" s="6" t="s">
        <v>50686</v>
      </c>
      <c r="Q8157" s="6" t="s">
        <v>31</v>
      </c>
      <c r="R8157" s="6" t="s">
        <v>75</v>
      </c>
      <c r="S8157" s="8" t="s">
        <v>195</v>
      </c>
      <c r="T8157" s="6" t="s">
        <v>66</v>
      </c>
      <c r="U8157" s="8" t="s">
        <v>31</v>
      </c>
      <c r="V8157" s="6" t="s">
        <v>221</v>
      </c>
      <c r="W8157" s="6" t="s">
        <v>50682</v>
      </c>
      <c r="X8157" s="9" t="str">
        <f>HYPERLINK("https://my.pitchbook.com?p=300049-48P","View People Online")</f>
        <v>View People Online</v>
      </c>
    </row>
    <row r="8158">
      <c r="A8158" s="10" t="s">
        <v>50693</v>
      </c>
      <c r="B8158" s="10" t="s">
        <v>50694</v>
      </c>
      <c r="C8158" s="10" t="s">
        <v>3554</v>
      </c>
      <c r="D8158" s="10" t="s">
        <v>7623</v>
      </c>
      <c r="E8158" s="10" t="s">
        <v>50682</v>
      </c>
      <c r="F8158" s="10" t="s">
        <v>371</v>
      </c>
      <c r="G8158" s="10" t="s">
        <v>50695</v>
      </c>
      <c r="H8158" s="11" t="s">
        <v>31</v>
      </c>
      <c r="I8158" s="11">
        <v>2.0</v>
      </c>
      <c r="J8158" s="11">
        <v>1.0</v>
      </c>
      <c r="K8158" s="11">
        <v>1.0</v>
      </c>
      <c r="L8158" s="12" t="s">
        <v>50696</v>
      </c>
      <c r="M8158" s="10" t="s">
        <v>50697</v>
      </c>
      <c r="N8158" s="10" t="s">
        <v>75</v>
      </c>
      <c r="O8158" s="12" t="s">
        <v>76</v>
      </c>
      <c r="P8158" s="10" t="s">
        <v>50686</v>
      </c>
      <c r="Q8158" s="10" t="s">
        <v>31</v>
      </c>
      <c r="R8158" s="10" t="s">
        <v>75</v>
      </c>
      <c r="S8158" s="12" t="s">
        <v>195</v>
      </c>
      <c r="T8158" s="10" t="s">
        <v>66</v>
      </c>
      <c r="U8158" s="12" t="s">
        <v>31</v>
      </c>
      <c r="V8158" s="10" t="s">
        <v>50698</v>
      </c>
      <c r="W8158" s="10" t="s">
        <v>50682</v>
      </c>
      <c r="X8158" s="13" t="str">
        <f>HYPERLINK("https://my.pitchbook.com?p=300048-58P","View People Online")</f>
        <v>View People Online</v>
      </c>
    </row>
    <row r="8159">
      <c r="A8159" s="6" t="s">
        <v>50699</v>
      </c>
      <c r="B8159" s="6" t="s">
        <v>50700</v>
      </c>
      <c r="C8159" s="6" t="s">
        <v>50701</v>
      </c>
      <c r="D8159" s="6" t="s">
        <v>50702</v>
      </c>
      <c r="E8159" s="6" t="s">
        <v>50682</v>
      </c>
      <c r="F8159" s="6" t="s">
        <v>71</v>
      </c>
      <c r="G8159" s="6" t="s">
        <v>50703</v>
      </c>
      <c r="H8159" s="7" t="s">
        <v>31</v>
      </c>
      <c r="I8159" s="7">
        <v>7.0</v>
      </c>
      <c r="J8159" s="7">
        <v>1.0</v>
      </c>
      <c r="K8159" s="7">
        <v>6.0</v>
      </c>
      <c r="L8159" s="8" t="s">
        <v>50704</v>
      </c>
      <c r="M8159" s="6" t="s">
        <v>50705</v>
      </c>
      <c r="N8159" s="6" t="s">
        <v>75</v>
      </c>
      <c r="O8159" s="8" t="s">
        <v>76</v>
      </c>
      <c r="P8159" s="6" t="s">
        <v>50686</v>
      </c>
      <c r="Q8159" s="6" t="s">
        <v>31</v>
      </c>
      <c r="R8159" s="6" t="s">
        <v>75</v>
      </c>
      <c r="S8159" s="8" t="s">
        <v>195</v>
      </c>
      <c r="T8159" s="6" t="s">
        <v>66</v>
      </c>
      <c r="U8159" s="8" t="s">
        <v>31</v>
      </c>
      <c r="V8159" s="6" t="s">
        <v>71</v>
      </c>
      <c r="W8159" s="6" t="s">
        <v>50682</v>
      </c>
      <c r="X8159" s="9" t="str">
        <f>HYPERLINK("https://my.pitchbook.com?p=13652-38P","View People Online")</f>
        <v>View People Online</v>
      </c>
    </row>
    <row r="8160">
      <c r="A8160" s="10" t="s">
        <v>50706</v>
      </c>
      <c r="B8160" s="10" t="s">
        <v>50707</v>
      </c>
      <c r="C8160" s="10" t="s">
        <v>50708</v>
      </c>
      <c r="D8160" s="10" t="s">
        <v>50709</v>
      </c>
      <c r="E8160" s="10" t="s">
        <v>50682</v>
      </c>
      <c r="F8160" s="10" t="s">
        <v>695</v>
      </c>
      <c r="G8160" s="10" t="s">
        <v>50710</v>
      </c>
      <c r="H8160" s="11" t="s">
        <v>31</v>
      </c>
      <c r="I8160" s="11">
        <v>1.0</v>
      </c>
      <c r="J8160" s="11">
        <v>1.0</v>
      </c>
      <c r="K8160" s="11" t="s">
        <v>31</v>
      </c>
      <c r="L8160" s="12" t="s">
        <v>31</v>
      </c>
      <c r="M8160" s="10" t="s">
        <v>50711</v>
      </c>
      <c r="N8160" s="10" t="s">
        <v>75</v>
      </c>
      <c r="O8160" s="12" t="s">
        <v>76</v>
      </c>
      <c r="P8160" s="10" t="s">
        <v>50686</v>
      </c>
      <c r="Q8160" s="10" t="s">
        <v>31</v>
      </c>
      <c r="R8160" s="10" t="s">
        <v>75</v>
      </c>
      <c r="S8160" s="12" t="s">
        <v>195</v>
      </c>
      <c r="T8160" s="10" t="s">
        <v>66</v>
      </c>
      <c r="U8160" s="12" t="s">
        <v>31</v>
      </c>
      <c r="V8160" s="10" t="s">
        <v>695</v>
      </c>
      <c r="W8160" s="10" t="s">
        <v>50682</v>
      </c>
      <c r="X8160" s="13" t="str">
        <f>HYPERLINK("https://my.pitchbook.com?p=298679-14P","View People Online")</f>
        <v>View People Online</v>
      </c>
    </row>
    <row r="8161">
      <c r="A8161" s="14" t="s">
        <v>50712</v>
      </c>
      <c r="B8161" s="14" t="s">
        <v>50713</v>
      </c>
      <c r="C8161" s="14" t="s">
        <v>13523</v>
      </c>
      <c r="D8161" s="14" t="s">
        <v>50714</v>
      </c>
      <c r="E8161" s="14" t="s">
        <v>50715</v>
      </c>
      <c r="F8161" s="14" t="s">
        <v>81</v>
      </c>
      <c r="G8161" s="14" t="s">
        <v>50716</v>
      </c>
      <c r="H8161" s="15" t="s">
        <v>31</v>
      </c>
      <c r="I8161" s="15">
        <v>1.0</v>
      </c>
      <c r="J8161" s="15" t="s">
        <v>31</v>
      </c>
      <c r="K8161" s="15" t="s">
        <v>31</v>
      </c>
      <c r="L8161" s="16" t="s">
        <v>50717</v>
      </c>
      <c r="M8161" s="14" t="s">
        <v>31</v>
      </c>
      <c r="N8161" s="14" t="s">
        <v>243</v>
      </c>
      <c r="O8161" s="16" t="s">
        <v>244</v>
      </c>
      <c r="P8161" s="14" t="s">
        <v>50718</v>
      </c>
      <c r="Q8161" s="14" t="s">
        <v>31</v>
      </c>
      <c r="R8161" s="14" t="s">
        <v>247</v>
      </c>
      <c r="S8161" s="16" t="s">
        <v>50719</v>
      </c>
      <c r="T8161" s="14" t="s">
        <v>249</v>
      </c>
      <c r="U8161" s="16" t="s">
        <v>31</v>
      </c>
      <c r="V8161" s="14" t="s">
        <v>302</v>
      </c>
      <c r="W8161" s="14" t="s">
        <v>50715</v>
      </c>
      <c r="X8161" s="17" t="str">
        <f>HYPERLINK("https://my.pitchbook.com?p=60043-69P","View People Online")</f>
        <v>View People Online</v>
      </c>
    </row>
    <row r="8162">
      <c r="A8162" s="10" t="s">
        <v>50720</v>
      </c>
      <c r="B8162" s="10" t="s">
        <v>50721</v>
      </c>
      <c r="C8162" s="10" t="s">
        <v>10738</v>
      </c>
      <c r="D8162" s="10" t="s">
        <v>24780</v>
      </c>
      <c r="E8162" s="10" t="s">
        <v>50715</v>
      </c>
      <c r="F8162" s="10" t="s">
        <v>201</v>
      </c>
      <c r="G8162" s="10" t="s">
        <v>50722</v>
      </c>
      <c r="H8162" s="11" t="s">
        <v>31</v>
      </c>
      <c r="I8162" s="11">
        <v>1.0</v>
      </c>
      <c r="J8162" s="11">
        <v>1.0</v>
      </c>
      <c r="K8162" s="11" t="s">
        <v>31</v>
      </c>
      <c r="L8162" s="12" t="s">
        <v>50723</v>
      </c>
      <c r="M8162" s="10" t="s">
        <v>50724</v>
      </c>
      <c r="N8162" s="10" t="s">
        <v>243</v>
      </c>
      <c r="O8162" s="12" t="s">
        <v>244</v>
      </c>
      <c r="P8162" s="10" t="s">
        <v>50718</v>
      </c>
      <c r="Q8162" s="10" t="s">
        <v>31</v>
      </c>
      <c r="R8162" s="10" t="s">
        <v>247</v>
      </c>
      <c r="S8162" s="12" t="s">
        <v>50719</v>
      </c>
      <c r="T8162" s="10" t="s">
        <v>249</v>
      </c>
      <c r="U8162" s="12" t="s">
        <v>31</v>
      </c>
      <c r="V8162" s="10" t="s">
        <v>201</v>
      </c>
      <c r="W8162" s="10" t="s">
        <v>50715</v>
      </c>
      <c r="X8162" s="13" t="str">
        <f>HYPERLINK("https://my.pitchbook.com?p=190030-87P","View People Online")</f>
        <v>View People Online</v>
      </c>
    </row>
    <row r="8163">
      <c r="A8163" s="6" t="s">
        <v>50725</v>
      </c>
      <c r="B8163" s="6" t="s">
        <v>50726</v>
      </c>
      <c r="C8163" s="6" t="s">
        <v>2713</v>
      </c>
      <c r="D8163" s="6" t="s">
        <v>50727</v>
      </c>
      <c r="E8163" s="6" t="s">
        <v>50715</v>
      </c>
      <c r="F8163" s="6" t="s">
        <v>81</v>
      </c>
      <c r="G8163" s="6" t="s">
        <v>50728</v>
      </c>
      <c r="H8163" s="7">
        <v>1.0</v>
      </c>
      <c r="I8163" s="7">
        <v>8.0</v>
      </c>
      <c r="J8163" s="7">
        <v>3.0</v>
      </c>
      <c r="K8163" s="7">
        <v>4.0</v>
      </c>
      <c r="L8163" s="8" t="s">
        <v>50729</v>
      </c>
      <c r="M8163" s="6" t="s">
        <v>50730</v>
      </c>
      <c r="N8163" s="6" t="s">
        <v>243</v>
      </c>
      <c r="O8163" s="8" t="s">
        <v>244</v>
      </c>
      <c r="P8163" s="6" t="s">
        <v>50731</v>
      </c>
      <c r="Q8163" s="6" t="s">
        <v>31</v>
      </c>
      <c r="R8163" s="6" t="s">
        <v>247</v>
      </c>
      <c r="S8163" s="8" t="s">
        <v>50732</v>
      </c>
      <c r="T8163" s="6" t="s">
        <v>249</v>
      </c>
      <c r="U8163" s="8" t="s">
        <v>31</v>
      </c>
      <c r="V8163" s="6" t="s">
        <v>152</v>
      </c>
      <c r="W8163" s="6" t="s">
        <v>50733</v>
      </c>
      <c r="X8163" s="9" t="str">
        <f>HYPERLINK("https://my.pitchbook.com?p=237821-68P","View People Online")</f>
        <v>View People Online</v>
      </c>
    </row>
    <row r="8164">
      <c r="A8164" s="2" t="s">
        <v>50734</v>
      </c>
      <c r="B8164" s="2" t="s">
        <v>50735</v>
      </c>
      <c r="C8164" s="2" t="s">
        <v>24578</v>
      </c>
      <c r="D8164" s="2" t="s">
        <v>5870</v>
      </c>
      <c r="E8164" s="2" t="s">
        <v>50715</v>
      </c>
      <c r="F8164" s="2" t="s">
        <v>221</v>
      </c>
      <c r="G8164" s="2" t="s">
        <v>50736</v>
      </c>
      <c r="H8164" s="3" t="s">
        <v>31</v>
      </c>
      <c r="I8164" s="3">
        <v>1.0</v>
      </c>
      <c r="J8164" s="3">
        <v>1.0</v>
      </c>
      <c r="K8164" s="3" t="s">
        <v>31</v>
      </c>
      <c r="L8164" s="4" t="s">
        <v>50717</v>
      </c>
      <c r="M8164" s="2" t="s">
        <v>50737</v>
      </c>
      <c r="N8164" s="2" t="s">
        <v>243</v>
      </c>
      <c r="O8164" s="4" t="s">
        <v>244</v>
      </c>
      <c r="P8164" s="2" t="s">
        <v>50718</v>
      </c>
      <c r="Q8164" s="2" t="s">
        <v>31</v>
      </c>
      <c r="R8164" s="2" t="s">
        <v>247</v>
      </c>
      <c r="S8164" s="4" t="s">
        <v>50719</v>
      </c>
      <c r="T8164" s="2" t="s">
        <v>249</v>
      </c>
      <c r="U8164" s="4" t="s">
        <v>31</v>
      </c>
      <c r="V8164" s="2" t="s">
        <v>221</v>
      </c>
      <c r="W8164" s="2" t="s">
        <v>50715</v>
      </c>
      <c r="X8164" s="5" t="str">
        <f>HYPERLINK("https://my.pitchbook.com?p=454897-99P","View People Online")</f>
        <v>View People Online</v>
      </c>
    </row>
    <row r="8165">
      <c r="A8165" s="6" t="s">
        <v>50738</v>
      </c>
      <c r="B8165" s="6" t="s">
        <v>50739</v>
      </c>
      <c r="C8165" s="6" t="s">
        <v>1437</v>
      </c>
      <c r="D8165" s="6" t="s">
        <v>9386</v>
      </c>
      <c r="E8165" s="6" t="s">
        <v>50715</v>
      </c>
      <c r="F8165" s="6" t="s">
        <v>71</v>
      </c>
      <c r="G8165" s="6" t="s">
        <v>50740</v>
      </c>
      <c r="H8165" s="7" t="s">
        <v>31</v>
      </c>
      <c r="I8165" s="7">
        <v>3.0</v>
      </c>
      <c r="J8165" s="7">
        <v>2.0</v>
      </c>
      <c r="K8165" s="7" t="s">
        <v>31</v>
      </c>
      <c r="L8165" s="8" t="s">
        <v>50741</v>
      </c>
      <c r="M8165" s="6" t="s">
        <v>50742</v>
      </c>
      <c r="N8165" s="6" t="s">
        <v>243</v>
      </c>
      <c r="O8165" s="8" t="s">
        <v>244</v>
      </c>
      <c r="P8165" s="6" t="s">
        <v>50743</v>
      </c>
      <c r="Q8165" s="6" t="s">
        <v>50744</v>
      </c>
      <c r="R8165" s="6" t="s">
        <v>247</v>
      </c>
      <c r="S8165" s="8" t="s">
        <v>1972</v>
      </c>
      <c r="T8165" s="6" t="s">
        <v>249</v>
      </c>
      <c r="U8165" s="8" t="s">
        <v>31</v>
      </c>
      <c r="V8165" s="6" t="s">
        <v>20241</v>
      </c>
      <c r="W8165" s="6" t="s">
        <v>50745</v>
      </c>
      <c r="X8165" s="9" t="str">
        <f>HYPERLINK("https://my.pitchbook.com?p=164586-88P","View People Online")</f>
        <v>View People Online</v>
      </c>
    </row>
    <row r="8166">
      <c r="A8166" s="10" t="s">
        <v>50746</v>
      </c>
      <c r="B8166" s="10" t="s">
        <v>50747</v>
      </c>
      <c r="C8166" s="10" t="s">
        <v>1449</v>
      </c>
      <c r="D8166" s="10" t="s">
        <v>50748</v>
      </c>
      <c r="E8166" s="10" t="s">
        <v>50715</v>
      </c>
      <c r="F8166" s="10" t="s">
        <v>81</v>
      </c>
      <c r="G8166" s="10" t="s">
        <v>50749</v>
      </c>
      <c r="H8166" s="11" t="s">
        <v>31</v>
      </c>
      <c r="I8166" s="11">
        <v>4.0</v>
      </c>
      <c r="J8166" s="11">
        <v>1.0</v>
      </c>
      <c r="K8166" s="11">
        <v>1.0</v>
      </c>
      <c r="L8166" s="12" t="s">
        <v>50717</v>
      </c>
      <c r="M8166" s="10" t="s">
        <v>31</v>
      </c>
      <c r="N8166" s="10" t="s">
        <v>243</v>
      </c>
      <c r="O8166" s="12" t="s">
        <v>244</v>
      </c>
      <c r="P8166" s="10" t="s">
        <v>50718</v>
      </c>
      <c r="Q8166" s="10" t="s">
        <v>31</v>
      </c>
      <c r="R8166" s="10" t="s">
        <v>247</v>
      </c>
      <c r="S8166" s="12" t="s">
        <v>50719</v>
      </c>
      <c r="T8166" s="10" t="s">
        <v>249</v>
      </c>
      <c r="U8166" s="12" t="s">
        <v>31</v>
      </c>
      <c r="V8166" s="10" t="s">
        <v>302</v>
      </c>
      <c r="W8166" s="10" t="s">
        <v>50715</v>
      </c>
      <c r="X8166" s="13" t="str">
        <f>HYPERLINK("https://my.pitchbook.com?p=59827-69P","View People Online")</f>
        <v>View People Online</v>
      </c>
    </row>
    <row r="8167">
      <c r="A8167" s="14" t="s">
        <v>50750</v>
      </c>
      <c r="B8167" s="14" t="s">
        <v>50751</v>
      </c>
      <c r="C8167" s="14" t="s">
        <v>2833</v>
      </c>
      <c r="D8167" s="14" t="s">
        <v>20417</v>
      </c>
      <c r="E8167" s="14" t="s">
        <v>50715</v>
      </c>
      <c r="F8167" s="14" t="s">
        <v>50752</v>
      </c>
      <c r="G8167" s="14" t="s">
        <v>50753</v>
      </c>
      <c r="H8167" s="15" t="s">
        <v>31</v>
      </c>
      <c r="I8167" s="15">
        <v>6.0</v>
      </c>
      <c r="J8167" s="15">
        <v>1.0</v>
      </c>
      <c r="K8167" s="15">
        <v>4.0</v>
      </c>
      <c r="L8167" s="16" t="s">
        <v>50754</v>
      </c>
      <c r="M8167" s="14" t="s">
        <v>31</v>
      </c>
      <c r="N8167" s="14" t="s">
        <v>243</v>
      </c>
      <c r="O8167" s="16" t="s">
        <v>244</v>
      </c>
      <c r="P8167" s="14" t="s">
        <v>50718</v>
      </c>
      <c r="Q8167" s="14" t="s">
        <v>31</v>
      </c>
      <c r="R8167" s="14" t="s">
        <v>247</v>
      </c>
      <c r="S8167" s="16" t="s">
        <v>50719</v>
      </c>
      <c r="T8167" s="14" t="s">
        <v>249</v>
      </c>
      <c r="U8167" s="16" t="s">
        <v>31</v>
      </c>
      <c r="V8167" s="14" t="s">
        <v>50755</v>
      </c>
      <c r="W8167" s="14" t="s">
        <v>50715</v>
      </c>
      <c r="X8167" s="17" t="str">
        <f>HYPERLINK("https://my.pitchbook.com?p=116529-04P","View People Online")</f>
        <v>View People Online</v>
      </c>
    </row>
    <row r="8168">
      <c r="A8168" s="2" t="s">
        <v>50756</v>
      </c>
      <c r="B8168" s="2" t="s">
        <v>50757</v>
      </c>
      <c r="C8168" s="2" t="s">
        <v>2871</v>
      </c>
      <c r="D8168" s="2" t="s">
        <v>50758</v>
      </c>
      <c r="E8168" s="2" t="s">
        <v>50715</v>
      </c>
      <c r="F8168" s="2" t="s">
        <v>71</v>
      </c>
      <c r="G8168" s="2" t="s">
        <v>50759</v>
      </c>
      <c r="H8168" s="3">
        <v>1.0</v>
      </c>
      <c r="I8168" s="3">
        <v>6.0</v>
      </c>
      <c r="J8168" s="3">
        <v>2.0</v>
      </c>
      <c r="K8168" s="3">
        <v>2.0</v>
      </c>
      <c r="L8168" s="4" t="s">
        <v>50717</v>
      </c>
      <c r="M8168" s="2" t="s">
        <v>50760</v>
      </c>
      <c r="N8168" s="2" t="s">
        <v>243</v>
      </c>
      <c r="O8168" s="4" t="s">
        <v>244</v>
      </c>
      <c r="P8168" s="2" t="s">
        <v>50718</v>
      </c>
      <c r="Q8168" s="2" t="s">
        <v>31</v>
      </c>
      <c r="R8168" s="2" t="s">
        <v>247</v>
      </c>
      <c r="S8168" s="4" t="s">
        <v>50719</v>
      </c>
      <c r="T8168" s="2" t="s">
        <v>249</v>
      </c>
      <c r="U8168" s="4" t="s">
        <v>31</v>
      </c>
      <c r="V8168" s="2" t="s">
        <v>71</v>
      </c>
      <c r="W8168" s="2" t="s">
        <v>50715</v>
      </c>
      <c r="X8168" s="5" t="str">
        <f>HYPERLINK("https://my.pitchbook.com?p=237013-03P","View People Online")</f>
        <v>View People Online</v>
      </c>
    </row>
    <row r="8169">
      <c r="A8169" s="6" t="s">
        <v>50761</v>
      </c>
      <c r="B8169" s="6" t="s">
        <v>50762</v>
      </c>
      <c r="C8169" s="6" t="s">
        <v>17219</v>
      </c>
      <c r="D8169" s="6" t="s">
        <v>50763</v>
      </c>
      <c r="E8169" s="6" t="s">
        <v>50715</v>
      </c>
      <c r="F8169" s="6" t="s">
        <v>825</v>
      </c>
      <c r="G8169" s="6" t="s">
        <v>50764</v>
      </c>
      <c r="H8169" s="7" t="s">
        <v>31</v>
      </c>
      <c r="I8169" s="7">
        <v>1.0</v>
      </c>
      <c r="J8169" s="7">
        <v>1.0</v>
      </c>
      <c r="K8169" s="7" t="s">
        <v>31</v>
      </c>
      <c r="L8169" s="8" t="s">
        <v>50717</v>
      </c>
      <c r="M8169" s="6" t="s">
        <v>50765</v>
      </c>
      <c r="N8169" s="6" t="s">
        <v>243</v>
      </c>
      <c r="O8169" s="8" t="s">
        <v>244</v>
      </c>
      <c r="P8169" s="6" t="s">
        <v>50718</v>
      </c>
      <c r="Q8169" s="6" t="s">
        <v>31</v>
      </c>
      <c r="R8169" s="6" t="s">
        <v>247</v>
      </c>
      <c r="S8169" s="8" t="s">
        <v>50719</v>
      </c>
      <c r="T8169" s="6" t="s">
        <v>249</v>
      </c>
      <c r="U8169" s="8" t="s">
        <v>31</v>
      </c>
      <c r="V8169" s="6" t="s">
        <v>50766</v>
      </c>
      <c r="W8169" s="6" t="s">
        <v>50715</v>
      </c>
      <c r="X8169" s="9" t="str">
        <f>HYPERLINK("https://my.pitchbook.com?p=315353-26P","View People Online")</f>
        <v>View People Online</v>
      </c>
    </row>
    <row r="8170">
      <c r="A8170" s="2" t="s">
        <v>50767</v>
      </c>
      <c r="B8170" s="2" t="s">
        <v>50768</v>
      </c>
      <c r="C8170" s="2" t="s">
        <v>5363</v>
      </c>
      <c r="D8170" s="2" t="s">
        <v>50769</v>
      </c>
      <c r="E8170" s="2" t="s">
        <v>50715</v>
      </c>
      <c r="F8170" s="2" t="s">
        <v>695</v>
      </c>
      <c r="G8170" s="2" t="s">
        <v>50770</v>
      </c>
      <c r="H8170" s="3" t="s">
        <v>31</v>
      </c>
      <c r="I8170" s="3">
        <v>1.0</v>
      </c>
      <c r="J8170" s="3">
        <v>1.0</v>
      </c>
      <c r="K8170" s="3" t="s">
        <v>31</v>
      </c>
      <c r="L8170" s="4" t="s">
        <v>50717</v>
      </c>
      <c r="M8170" s="2" t="s">
        <v>50771</v>
      </c>
      <c r="N8170" s="2" t="s">
        <v>243</v>
      </c>
      <c r="O8170" s="4" t="s">
        <v>244</v>
      </c>
      <c r="P8170" s="2" t="s">
        <v>50718</v>
      </c>
      <c r="Q8170" s="2" t="s">
        <v>31</v>
      </c>
      <c r="R8170" s="2" t="s">
        <v>247</v>
      </c>
      <c r="S8170" s="4" t="s">
        <v>50719</v>
      </c>
      <c r="T8170" s="2" t="s">
        <v>249</v>
      </c>
      <c r="U8170" s="4" t="s">
        <v>31</v>
      </c>
      <c r="V8170" s="2" t="s">
        <v>667</v>
      </c>
      <c r="W8170" s="2" t="s">
        <v>50715</v>
      </c>
      <c r="X8170" s="5" t="str">
        <f>HYPERLINK("https://my.pitchbook.com?p=357851-35P","View People Online")</f>
        <v>View People Online</v>
      </c>
    </row>
    <row r="8171">
      <c r="A8171" s="14" t="s">
        <v>50772</v>
      </c>
      <c r="B8171" s="14" t="s">
        <v>50773</v>
      </c>
      <c r="C8171" s="14" t="s">
        <v>369</v>
      </c>
      <c r="D8171" s="14" t="s">
        <v>50774</v>
      </c>
      <c r="E8171" s="14" t="s">
        <v>50715</v>
      </c>
      <c r="F8171" s="14" t="s">
        <v>7390</v>
      </c>
      <c r="G8171" s="14" t="s">
        <v>50775</v>
      </c>
      <c r="H8171" s="15">
        <v>1.0</v>
      </c>
      <c r="I8171" s="15">
        <v>4.0</v>
      </c>
      <c r="J8171" s="15">
        <v>1.0</v>
      </c>
      <c r="K8171" s="15">
        <v>1.0</v>
      </c>
      <c r="L8171" s="16" t="s">
        <v>50776</v>
      </c>
      <c r="M8171" s="14" t="s">
        <v>31</v>
      </c>
      <c r="N8171" s="14" t="s">
        <v>50777</v>
      </c>
      <c r="O8171" s="16" t="s">
        <v>50778</v>
      </c>
      <c r="P8171" s="14" t="s">
        <v>50779</v>
      </c>
      <c r="Q8171" s="14" t="s">
        <v>27524</v>
      </c>
      <c r="R8171" s="14" t="s">
        <v>4236</v>
      </c>
      <c r="S8171" s="16" t="s">
        <v>50780</v>
      </c>
      <c r="T8171" s="14" t="s">
        <v>66</v>
      </c>
      <c r="U8171" s="16" t="s">
        <v>31</v>
      </c>
      <c r="V8171" s="14" t="s">
        <v>2379</v>
      </c>
      <c r="W8171" s="14" t="s">
        <v>50781</v>
      </c>
      <c r="X8171" s="17" t="str">
        <f>HYPERLINK("https://my.pitchbook.com?p=308988-55P","View People Online")</f>
        <v>View People Online</v>
      </c>
    </row>
    <row r="8172">
      <c r="A8172" s="10" t="s">
        <v>50782</v>
      </c>
      <c r="B8172" s="10" t="s">
        <v>50783</v>
      </c>
      <c r="C8172" s="10" t="s">
        <v>19736</v>
      </c>
      <c r="D8172" s="10" t="s">
        <v>50784</v>
      </c>
      <c r="E8172" s="10" t="s">
        <v>50715</v>
      </c>
      <c r="F8172" s="10" t="s">
        <v>71</v>
      </c>
      <c r="G8172" s="10" t="s">
        <v>50785</v>
      </c>
      <c r="H8172" s="11" t="s">
        <v>31</v>
      </c>
      <c r="I8172" s="11">
        <v>5.0</v>
      </c>
      <c r="J8172" s="11">
        <v>2.0</v>
      </c>
      <c r="K8172" s="11" t="s">
        <v>31</v>
      </c>
      <c r="L8172" s="12" t="s">
        <v>50786</v>
      </c>
      <c r="M8172" s="10" t="s">
        <v>50787</v>
      </c>
      <c r="N8172" s="10" t="s">
        <v>243</v>
      </c>
      <c r="O8172" s="12" t="s">
        <v>244</v>
      </c>
      <c r="P8172" s="10" t="s">
        <v>50718</v>
      </c>
      <c r="Q8172" s="10" t="s">
        <v>31</v>
      </c>
      <c r="R8172" s="10" t="s">
        <v>247</v>
      </c>
      <c r="S8172" s="12" t="s">
        <v>50719</v>
      </c>
      <c r="T8172" s="10" t="s">
        <v>249</v>
      </c>
      <c r="U8172" s="12" t="s">
        <v>31</v>
      </c>
      <c r="V8172" s="10" t="s">
        <v>71</v>
      </c>
      <c r="W8172" s="10" t="s">
        <v>50715</v>
      </c>
      <c r="X8172" s="13" t="str">
        <f>HYPERLINK("https://my.pitchbook.com?p=98660-17P","View People Online")</f>
        <v>View People Online</v>
      </c>
    </row>
    <row r="8173">
      <c r="A8173" s="14" t="s">
        <v>50788</v>
      </c>
      <c r="B8173" s="14" t="s">
        <v>50789</v>
      </c>
      <c r="C8173" s="14" t="s">
        <v>9469</v>
      </c>
      <c r="D8173" s="14" t="s">
        <v>50790</v>
      </c>
      <c r="E8173" s="14" t="s">
        <v>50715</v>
      </c>
      <c r="F8173" s="14" t="s">
        <v>318</v>
      </c>
      <c r="G8173" s="14" t="s">
        <v>50791</v>
      </c>
      <c r="H8173" s="15" t="s">
        <v>31</v>
      </c>
      <c r="I8173" s="15">
        <v>2.0</v>
      </c>
      <c r="J8173" s="15">
        <v>1.0</v>
      </c>
      <c r="K8173" s="15">
        <v>1.0</v>
      </c>
      <c r="L8173" s="16" t="s">
        <v>50792</v>
      </c>
      <c r="M8173" s="14" t="s">
        <v>50793</v>
      </c>
      <c r="N8173" s="14" t="s">
        <v>243</v>
      </c>
      <c r="O8173" s="16" t="s">
        <v>244</v>
      </c>
      <c r="P8173" s="14" t="s">
        <v>50718</v>
      </c>
      <c r="Q8173" s="14" t="s">
        <v>31</v>
      </c>
      <c r="R8173" s="14" t="s">
        <v>247</v>
      </c>
      <c r="S8173" s="16" t="s">
        <v>50719</v>
      </c>
      <c r="T8173" s="14" t="s">
        <v>249</v>
      </c>
      <c r="U8173" s="16" t="s">
        <v>31</v>
      </c>
      <c r="V8173" s="14" t="s">
        <v>318</v>
      </c>
      <c r="W8173" s="14" t="s">
        <v>50715</v>
      </c>
      <c r="X8173" s="17" t="str">
        <f>HYPERLINK("https://my.pitchbook.com?p=237013-30P","View People Online")</f>
        <v>View People Online</v>
      </c>
    </row>
    <row r="8174">
      <c r="A8174" s="2" t="s">
        <v>50794</v>
      </c>
      <c r="B8174" s="2" t="s">
        <v>50795</v>
      </c>
      <c r="C8174" s="2" t="s">
        <v>9511</v>
      </c>
      <c r="D8174" s="2" t="s">
        <v>50796</v>
      </c>
      <c r="E8174" s="2" t="s">
        <v>50715</v>
      </c>
      <c r="F8174" s="2" t="s">
        <v>26897</v>
      </c>
      <c r="G8174" s="2" t="s">
        <v>50797</v>
      </c>
      <c r="H8174" s="3" t="s">
        <v>31</v>
      </c>
      <c r="I8174" s="3">
        <v>1.0</v>
      </c>
      <c r="J8174" s="3">
        <v>1.0</v>
      </c>
      <c r="K8174" s="3" t="s">
        <v>31</v>
      </c>
      <c r="L8174" s="4" t="s">
        <v>50717</v>
      </c>
      <c r="M8174" s="2" t="s">
        <v>50798</v>
      </c>
      <c r="N8174" s="2" t="s">
        <v>243</v>
      </c>
      <c r="O8174" s="4" t="s">
        <v>244</v>
      </c>
      <c r="P8174" s="2" t="s">
        <v>50718</v>
      </c>
      <c r="Q8174" s="2" t="s">
        <v>31</v>
      </c>
      <c r="R8174" s="2" t="s">
        <v>247</v>
      </c>
      <c r="S8174" s="4" t="s">
        <v>50719</v>
      </c>
      <c r="T8174" s="2" t="s">
        <v>249</v>
      </c>
      <c r="U8174" s="4" t="s">
        <v>31</v>
      </c>
      <c r="V8174" s="2" t="s">
        <v>26897</v>
      </c>
      <c r="W8174" s="2" t="s">
        <v>50715</v>
      </c>
      <c r="X8174" s="5" t="str">
        <f>HYPERLINK("https://my.pitchbook.com?p=267200-20P","View People Online")</f>
        <v>View People Online</v>
      </c>
    </row>
    <row r="8175">
      <c r="A8175" s="6" t="s">
        <v>50799</v>
      </c>
      <c r="B8175" s="6" t="s">
        <v>50800</v>
      </c>
      <c r="C8175" s="6" t="s">
        <v>39113</v>
      </c>
      <c r="D8175" s="6" t="s">
        <v>50801</v>
      </c>
      <c r="E8175" s="6" t="s">
        <v>50715</v>
      </c>
      <c r="F8175" s="6" t="s">
        <v>825</v>
      </c>
      <c r="G8175" s="6" t="s">
        <v>50802</v>
      </c>
      <c r="H8175" s="7" t="s">
        <v>31</v>
      </c>
      <c r="I8175" s="7">
        <v>1.0</v>
      </c>
      <c r="J8175" s="7">
        <v>1.0</v>
      </c>
      <c r="K8175" s="7" t="s">
        <v>31</v>
      </c>
      <c r="L8175" s="8" t="s">
        <v>50717</v>
      </c>
      <c r="M8175" s="6" t="s">
        <v>50803</v>
      </c>
      <c r="N8175" s="6" t="s">
        <v>243</v>
      </c>
      <c r="O8175" s="8" t="s">
        <v>244</v>
      </c>
      <c r="P8175" s="6" t="s">
        <v>50718</v>
      </c>
      <c r="Q8175" s="6" t="s">
        <v>31</v>
      </c>
      <c r="R8175" s="6" t="s">
        <v>247</v>
      </c>
      <c r="S8175" s="8" t="s">
        <v>50719</v>
      </c>
      <c r="T8175" s="6" t="s">
        <v>249</v>
      </c>
      <c r="U8175" s="8" t="s">
        <v>31</v>
      </c>
      <c r="V8175" s="6" t="s">
        <v>950</v>
      </c>
      <c r="W8175" s="6" t="s">
        <v>50715</v>
      </c>
      <c r="X8175" s="9" t="str">
        <f>HYPERLINK("https://my.pitchbook.com?p=104251-24P","View People Online")</f>
        <v>View People Online</v>
      </c>
    </row>
    <row r="8176">
      <c r="A8176" s="10" t="s">
        <v>50804</v>
      </c>
      <c r="B8176" s="10" t="s">
        <v>50805</v>
      </c>
      <c r="C8176" s="10" t="s">
        <v>1066</v>
      </c>
      <c r="D8176" s="10" t="s">
        <v>50806</v>
      </c>
      <c r="E8176" s="10" t="s">
        <v>50715</v>
      </c>
      <c r="F8176" s="10" t="s">
        <v>548</v>
      </c>
      <c r="G8176" s="10" t="s">
        <v>50807</v>
      </c>
      <c r="H8176" s="11" t="s">
        <v>31</v>
      </c>
      <c r="I8176" s="11">
        <v>5.0</v>
      </c>
      <c r="J8176" s="11">
        <v>3.0</v>
      </c>
      <c r="K8176" s="11" t="s">
        <v>31</v>
      </c>
      <c r="L8176" s="12" t="s">
        <v>31</v>
      </c>
      <c r="M8176" s="10" t="s">
        <v>50808</v>
      </c>
      <c r="N8176" s="10" t="s">
        <v>243</v>
      </c>
      <c r="O8176" s="12" t="s">
        <v>244</v>
      </c>
      <c r="P8176" s="10" t="s">
        <v>50809</v>
      </c>
      <c r="Q8176" s="10" t="s">
        <v>31</v>
      </c>
      <c r="R8176" s="10" t="s">
        <v>247</v>
      </c>
      <c r="S8176" s="12" t="s">
        <v>50810</v>
      </c>
      <c r="T8176" s="10" t="s">
        <v>249</v>
      </c>
      <c r="U8176" s="12" t="s">
        <v>31</v>
      </c>
      <c r="V8176" s="10" t="s">
        <v>50811</v>
      </c>
      <c r="W8176" s="10" t="s">
        <v>50812</v>
      </c>
      <c r="X8176" s="13" t="str">
        <f>HYPERLINK("https://my.pitchbook.com?p=117380-98P","View People Online")</f>
        <v>View People Online</v>
      </c>
    </row>
    <row r="8177">
      <c r="A8177" s="14" t="s">
        <v>50813</v>
      </c>
      <c r="B8177" s="14" t="s">
        <v>50814</v>
      </c>
      <c r="C8177" s="14" t="s">
        <v>4851</v>
      </c>
      <c r="D8177" s="14" t="s">
        <v>50815</v>
      </c>
      <c r="E8177" s="14" t="s">
        <v>50816</v>
      </c>
      <c r="F8177" s="14" t="s">
        <v>1249</v>
      </c>
      <c r="G8177" s="14" t="s">
        <v>50817</v>
      </c>
      <c r="H8177" s="15">
        <v>1.0</v>
      </c>
      <c r="I8177" s="15">
        <v>3.0</v>
      </c>
      <c r="J8177" s="15">
        <v>1.0</v>
      </c>
      <c r="K8177" s="15" t="s">
        <v>31</v>
      </c>
      <c r="L8177" s="16" t="s">
        <v>31</v>
      </c>
      <c r="M8177" s="14" t="s">
        <v>50818</v>
      </c>
      <c r="N8177" s="14" t="s">
        <v>50819</v>
      </c>
      <c r="O8177" s="16" t="s">
        <v>50820</v>
      </c>
      <c r="P8177" s="14" t="s">
        <v>50821</v>
      </c>
      <c r="Q8177" s="14" t="s">
        <v>50822</v>
      </c>
      <c r="R8177" s="14" t="s">
        <v>616</v>
      </c>
      <c r="S8177" s="16" t="s">
        <v>50823</v>
      </c>
      <c r="T8177" s="14" t="s">
        <v>66</v>
      </c>
      <c r="U8177" s="16" t="s">
        <v>31</v>
      </c>
      <c r="V8177" s="14" t="s">
        <v>50824</v>
      </c>
      <c r="W8177" s="14" t="s">
        <v>50816</v>
      </c>
      <c r="X8177" s="17" t="str">
        <f>HYPERLINK("https://my.pitchbook.com?p=230517-19P","View People Online")</f>
        <v>View People Online</v>
      </c>
    </row>
    <row r="8178">
      <c r="A8178" s="2" t="s">
        <v>50825</v>
      </c>
      <c r="B8178" s="2" t="s">
        <v>50826</v>
      </c>
      <c r="C8178" s="2" t="s">
        <v>6111</v>
      </c>
      <c r="D8178" s="2" t="s">
        <v>50827</v>
      </c>
      <c r="E8178" s="2" t="s">
        <v>50816</v>
      </c>
      <c r="F8178" s="2" t="s">
        <v>4600</v>
      </c>
      <c r="G8178" s="2" t="s">
        <v>50828</v>
      </c>
      <c r="H8178" s="3" t="s">
        <v>31</v>
      </c>
      <c r="I8178" s="3">
        <v>6.0</v>
      </c>
      <c r="J8178" s="3">
        <v>1.0</v>
      </c>
      <c r="K8178" s="3">
        <v>5.0</v>
      </c>
      <c r="L8178" s="4" t="s">
        <v>31</v>
      </c>
      <c r="M8178" s="2" t="s">
        <v>50829</v>
      </c>
      <c r="N8178" s="2" t="s">
        <v>7690</v>
      </c>
      <c r="O8178" s="4" t="s">
        <v>7691</v>
      </c>
      <c r="P8178" s="2" t="s">
        <v>50830</v>
      </c>
      <c r="Q8178" s="2" t="s">
        <v>31</v>
      </c>
      <c r="R8178" s="2" t="s">
        <v>7693</v>
      </c>
      <c r="S8178" s="4" t="s">
        <v>50831</v>
      </c>
      <c r="T8178" s="2" t="s">
        <v>66</v>
      </c>
      <c r="U8178" s="4" t="s">
        <v>31</v>
      </c>
      <c r="V8178" s="2" t="s">
        <v>50832</v>
      </c>
      <c r="W8178" s="2" t="s">
        <v>50816</v>
      </c>
      <c r="X8178" s="5" t="str">
        <f>HYPERLINK("https://my.pitchbook.com?p=391047-31P","View People Online")</f>
        <v>View People Online</v>
      </c>
    </row>
    <row r="8179">
      <c r="A8179" s="14" t="s">
        <v>50833</v>
      </c>
      <c r="B8179" s="14" t="s">
        <v>50834</v>
      </c>
      <c r="C8179" s="14" t="s">
        <v>2426</v>
      </c>
      <c r="D8179" s="14" t="s">
        <v>50835</v>
      </c>
      <c r="E8179" s="14" t="s">
        <v>50816</v>
      </c>
      <c r="F8179" s="14" t="s">
        <v>548</v>
      </c>
      <c r="G8179" s="14" t="s">
        <v>50836</v>
      </c>
      <c r="H8179" s="15" t="s">
        <v>31</v>
      </c>
      <c r="I8179" s="15">
        <v>1.0</v>
      </c>
      <c r="J8179" s="15">
        <v>1.0</v>
      </c>
      <c r="K8179" s="15" t="s">
        <v>31</v>
      </c>
      <c r="L8179" s="16" t="s">
        <v>31</v>
      </c>
      <c r="M8179" s="14" t="s">
        <v>50837</v>
      </c>
      <c r="N8179" s="14" t="s">
        <v>50819</v>
      </c>
      <c r="O8179" s="16" t="s">
        <v>50820</v>
      </c>
      <c r="P8179" s="14" t="s">
        <v>50821</v>
      </c>
      <c r="Q8179" s="14" t="s">
        <v>50822</v>
      </c>
      <c r="R8179" s="14" t="s">
        <v>616</v>
      </c>
      <c r="S8179" s="16" t="s">
        <v>50823</v>
      </c>
      <c r="T8179" s="14" t="s">
        <v>66</v>
      </c>
      <c r="U8179" s="16" t="s">
        <v>31</v>
      </c>
      <c r="V8179" s="14" t="s">
        <v>10019</v>
      </c>
      <c r="W8179" s="14" t="s">
        <v>50816</v>
      </c>
      <c r="X8179" s="17" t="str">
        <f>HYPERLINK("https://my.pitchbook.com?p=443462-05P","View People Online")</f>
        <v>View People Online</v>
      </c>
    </row>
    <row r="8180">
      <c r="A8180" s="10" t="s">
        <v>50838</v>
      </c>
      <c r="B8180" s="10" t="s">
        <v>50839</v>
      </c>
      <c r="C8180" s="10" t="s">
        <v>1356</v>
      </c>
      <c r="D8180" s="10" t="s">
        <v>50840</v>
      </c>
      <c r="E8180" s="10" t="s">
        <v>50841</v>
      </c>
      <c r="F8180" s="10" t="s">
        <v>470</v>
      </c>
      <c r="G8180" s="10" t="s">
        <v>50842</v>
      </c>
      <c r="H8180" s="11" t="s">
        <v>31</v>
      </c>
      <c r="I8180" s="11">
        <v>1.0</v>
      </c>
      <c r="J8180" s="11">
        <v>1.0</v>
      </c>
      <c r="K8180" s="11" t="s">
        <v>31</v>
      </c>
      <c r="L8180" s="12" t="s">
        <v>50843</v>
      </c>
      <c r="M8180" s="10" t="s">
        <v>50844</v>
      </c>
      <c r="N8180" s="10" t="s">
        <v>243</v>
      </c>
      <c r="O8180" s="12" t="s">
        <v>244</v>
      </c>
      <c r="P8180" s="10" t="s">
        <v>50845</v>
      </c>
      <c r="Q8180" s="10" t="s">
        <v>31</v>
      </c>
      <c r="R8180" s="10" t="s">
        <v>247</v>
      </c>
      <c r="S8180" s="12" t="s">
        <v>50846</v>
      </c>
      <c r="T8180" s="10" t="s">
        <v>249</v>
      </c>
      <c r="U8180" s="12" t="s">
        <v>50847</v>
      </c>
      <c r="V8180" s="10" t="s">
        <v>470</v>
      </c>
      <c r="W8180" s="10" t="s">
        <v>50841</v>
      </c>
      <c r="X8180" s="13" t="str">
        <f>HYPERLINK("https://my.pitchbook.com?p=429159-70P","View People Online")</f>
        <v>View People Online</v>
      </c>
    </row>
    <row r="8181">
      <c r="A8181" s="6" t="s">
        <v>50848</v>
      </c>
      <c r="B8181" s="6" t="s">
        <v>50849</v>
      </c>
      <c r="C8181" s="6" t="s">
        <v>3554</v>
      </c>
      <c r="D8181" s="6" t="s">
        <v>50850</v>
      </c>
      <c r="E8181" s="6" t="s">
        <v>50841</v>
      </c>
      <c r="F8181" s="6" t="s">
        <v>548</v>
      </c>
      <c r="G8181" s="6" t="s">
        <v>50851</v>
      </c>
      <c r="H8181" s="7" t="s">
        <v>31</v>
      </c>
      <c r="I8181" s="7">
        <v>2.0</v>
      </c>
      <c r="J8181" s="7">
        <v>1.0</v>
      </c>
      <c r="K8181" s="7">
        <v>1.0</v>
      </c>
      <c r="L8181" s="8" t="s">
        <v>50843</v>
      </c>
      <c r="M8181" s="6" t="s">
        <v>31</v>
      </c>
      <c r="N8181" s="6" t="s">
        <v>243</v>
      </c>
      <c r="O8181" s="8" t="s">
        <v>244</v>
      </c>
      <c r="P8181" s="6" t="s">
        <v>50845</v>
      </c>
      <c r="Q8181" s="6" t="s">
        <v>31</v>
      </c>
      <c r="R8181" s="6" t="s">
        <v>247</v>
      </c>
      <c r="S8181" s="8" t="s">
        <v>50846</v>
      </c>
      <c r="T8181" s="6" t="s">
        <v>249</v>
      </c>
      <c r="U8181" s="8" t="s">
        <v>50847</v>
      </c>
      <c r="V8181" s="6" t="s">
        <v>37447</v>
      </c>
      <c r="W8181" s="6" t="s">
        <v>50841</v>
      </c>
      <c r="X8181" s="9" t="str">
        <f>HYPERLINK("https://my.pitchbook.com?p=431177-77P","View People Online")</f>
        <v>View People Online</v>
      </c>
    </row>
    <row r="8182">
      <c r="A8182" s="2" t="s">
        <v>50852</v>
      </c>
      <c r="B8182" s="2" t="s">
        <v>50853</v>
      </c>
      <c r="C8182" s="2" t="s">
        <v>10780</v>
      </c>
      <c r="D8182" s="2" t="s">
        <v>34273</v>
      </c>
      <c r="E8182" s="2" t="s">
        <v>50854</v>
      </c>
      <c r="F8182" s="2" t="s">
        <v>270</v>
      </c>
      <c r="G8182" s="2" t="s">
        <v>50855</v>
      </c>
      <c r="H8182" s="3">
        <v>1.0</v>
      </c>
      <c r="I8182" s="3">
        <v>3.0</v>
      </c>
      <c r="J8182" s="3">
        <v>2.0</v>
      </c>
      <c r="K8182" s="3" t="s">
        <v>31</v>
      </c>
      <c r="L8182" s="4" t="s">
        <v>50856</v>
      </c>
      <c r="M8182" s="2" t="s">
        <v>31</v>
      </c>
      <c r="N8182" s="2" t="s">
        <v>658</v>
      </c>
      <c r="O8182" s="4" t="s">
        <v>659</v>
      </c>
      <c r="P8182" s="2" t="s">
        <v>50857</v>
      </c>
      <c r="Q8182" s="2" t="s">
        <v>50858</v>
      </c>
      <c r="R8182" s="2" t="s">
        <v>31</v>
      </c>
      <c r="S8182" s="4" t="s">
        <v>50859</v>
      </c>
      <c r="T8182" s="2" t="s">
        <v>661</v>
      </c>
      <c r="U8182" s="4" t="s">
        <v>31</v>
      </c>
      <c r="V8182" s="2" t="s">
        <v>270</v>
      </c>
      <c r="W8182" s="2" t="s">
        <v>50854</v>
      </c>
      <c r="X8182" s="5" t="str">
        <f>HYPERLINK("https://my.pitchbook.com?p=94645-27P","View People Online")</f>
        <v>View People Online</v>
      </c>
    </row>
    <row r="8183">
      <c r="A8183" s="14" t="s">
        <v>50860</v>
      </c>
      <c r="B8183" s="14" t="s">
        <v>50861</v>
      </c>
      <c r="C8183" s="14" t="s">
        <v>50862</v>
      </c>
      <c r="D8183" s="14" t="s">
        <v>50863</v>
      </c>
      <c r="E8183" s="14" t="s">
        <v>50854</v>
      </c>
      <c r="F8183" s="14" t="s">
        <v>548</v>
      </c>
      <c r="G8183" s="14" t="s">
        <v>50864</v>
      </c>
      <c r="H8183" s="15" t="s">
        <v>31</v>
      </c>
      <c r="I8183" s="15">
        <v>1.0</v>
      </c>
      <c r="J8183" s="15">
        <v>1.0</v>
      </c>
      <c r="K8183" s="15" t="s">
        <v>31</v>
      </c>
      <c r="L8183" s="16" t="s">
        <v>50865</v>
      </c>
      <c r="M8183" s="14" t="s">
        <v>31</v>
      </c>
      <c r="N8183" s="14" t="s">
        <v>658</v>
      </c>
      <c r="O8183" s="16" t="s">
        <v>659</v>
      </c>
      <c r="P8183" s="14" t="s">
        <v>50857</v>
      </c>
      <c r="Q8183" s="14" t="s">
        <v>50858</v>
      </c>
      <c r="R8183" s="14" t="s">
        <v>31</v>
      </c>
      <c r="S8183" s="16" t="s">
        <v>50859</v>
      </c>
      <c r="T8183" s="14" t="s">
        <v>661</v>
      </c>
      <c r="U8183" s="16" t="s">
        <v>31</v>
      </c>
      <c r="V8183" s="14" t="s">
        <v>4696</v>
      </c>
      <c r="W8183" s="14" t="s">
        <v>50854</v>
      </c>
      <c r="X8183" s="17" t="str">
        <f>HYPERLINK("https://my.pitchbook.com?p=154079-20P","View People Online")</f>
        <v>View People Online</v>
      </c>
    </row>
    <row r="8184">
      <c r="A8184" s="2" t="s">
        <v>50866</v>
      </c>
      <c r="B8184" s="2" t="s">
        <v>50867</v>
      </c>
      <c r="C8184" s="2" t="s">
        <v>7464</v>
      </c>
      <c r="D8184" s="2" t="s">
        <v>50868</v>
      </c>
      <c r="E8184" s="2" t="s">
        <v>50854</v>
      </c>
      <c r="F8184" s="2" t="s">
        <v>50869</v>
      </c>
      <c r="G8184" s="2" t="s">
        <v>50870</v>
      </c>
      <c r="H8184" s="3" t="s">
        <v>31</v>
      </c>
      <c r="I8184" s="3">
        <v>1.0</v>
      </c>
      <c r="J8184" s="3">
        <v>1.0</v>
      </c>
      <c r="K8184" s="3" t="s">
        <v>31</v>
      </c>
      <c r="L8184" s="4" t="s">
        <v>50856</v>
      </c>
      <c r="M8184" s="2" t="s">
        <v>50871</v>
      </c>
      <c r="N8184" s="2" t="s">
        <v>658</v>
      </c>
      <c r="O8184" s="4" t="s">
        <v>659</v>
      </c>
      <c r="P8184" s="2" t="s">
        <v>50857</v>
      </c>
      <c r="Q8184" s="2" t="s">
        <v>50858</v>
      </c>
      <c r="R8184" s="2" t="s">
        <v>31</v>
      </c>
      <c r="S8184" s="4" t="s">
        <v>50859</v>
      </c>
      <c r="T8184" s="2" t="s">
        <v>661</v>
      </c>
      <c r="U8184" s="4" t="s">
        <v>31</v>
      </c>
      <c r="V8184" s="2" t="s">
        <v>50872</v>
      </c>
      <c r="W8184" s="2" t="s">
        <v>50854</v>
      </c>
      <c r="X8184" s="5" t="str">
        <f>HYPERLINK("https://my.pitchbook.com?p=294334-30P","View People Online")</f>
        <v>View People Online</v>
      </c>
    </row>
    <row r="8185">
      <c r="A8185" s="6" t="s">
        <v>50873</v>
      </c>
      <c r="B8185" s="6" t="s">
        <v>50874</v>
      </c>
      <c r="C8185" s="6" t="s">
        <v>26000</v>
      </c>
      <c r="D8185" s="6" t="s">
        <v>50875</v>
      </c>
      <c r="E8185" s="6" t="s">
        <v>50854</v>
      </c>
      <c r="F8185" s="6" t="s">
        <v>371</v>
      </c>
      <c r="G8185" s="6" t="s">
        <v>50876</v>
      </c>
      <c r="H8185" s="7" t="s">
        <v>31</v>
      </c>
      <c r="I8185" s="7">
        <v>2.0</v>
      </c>
      <c r="J8185" s="7">
        <v>2.0</v>
      </c>
      <c r="K8185" s="7" t="s">
        <v>31</v>
      </c>
      <c r="L8185" s="8" t="s">
        <v>50877</v>
      </c>
      <c r="M8185" s="6" t="s">
        <v>50878</v>
      </c>
      <c r="N8185" s="6" t="s">
        <v>658</v>
      </c>
      <c r="O8185" s="8" t="s">
        <v>659</v>
      </c>
      <c r="P8185" s="6" t="s">
        <v>50857</v>
      </c>
      <c r="Q8185" s="6" t="s">
        <v>50858</v>
      </c>
      <c r="R8185" s="6" t="s">
        <v>31</v>
      </c>
      <c r="S8185" s="8" t="s">
        <v>50859</v>
      </c>
      <c r="T8185" s="6" t="s">
        <v>661</v>
      </c>
      <c r="U8185" s="8" t="s">
        <v>31</v>
      </c>
      <c r="V8185" s="6" t="s">
        <v>50879</v>
      </c>
      <c r="W8185" s="6" t="s">
        <v>50854</v>
      </c>
      <c r="X8185" s="9" t="str">
        <f>HYPERLINK("https://my.pitchbook.com?p=320699-62P","View People Online")</f>
        <v>View People Online</v>
      </c>
    </row>
    <row r="8186">
      <c r="A8186" s="2" t="s">
        <v>50880</v>
      </c>
      <c r="B8186" s="2" t="s">
        <v>50881</v>
      </c>
      <c r="C8186" s="2" t="s">
        <v>50882</v>
      </c>
      <c r="D8186" s="2" t="s">
        <v>50883</v>
      </c>
      <c r="E8186" s="2" t="s">
        <v>50854</v>
      </c>
      <c r="F8186" s="2" t="s">
        <v>50884</v>
      </c>
      <c r="G8186" s="2" t="s">
        <v>50885</v>
      </c>
      <c r="H8186" s="3" t="s">
        <v>31</v>
      </c>
      <c r="I8186" s="3">
        <v>2.0</v>
      </c>
      <c r="J8186" s="3">
        <v>1.0</v>
      </c>
      <c r="K8186" s="3">
        <v>1.0</v>
      </c>
      <c r="L8186" s="4" t="s">
        <v>50856</v>
      </c>
      <c r="M8186" s="2" t="s">
        <v>50886</v>
      </c>
      <c r="N8186" s="2" t="s">
        <v>658</v>
      </c>
      <c r="O8186" s="4" t="s">
        <v>659</v>
      </c>
      <c r="P8186" s="2" t="s">
        <v>50857</v>
      </c>
      <c r="Q8186" s="2" t="s">
        <v>50858</v>
      </c>
      <c r="R8186" s="2" t="s">
        <v>31</v>
      </c>
      <c r="S8186" s="4" t="s">
        <v>50859</v>
      </c>
      <c r="T8186" s="2" t="s">
        <v>661</v>
      </c>
      <c r="U8186" s="4" t="s">
        <v>31</v>
      </c>
      <c r="V8186" s="2" t="s">
        <v>50887</v>
      </c>
      <c r="W8186" s="2" t="s">
        <v>50854</v>
      </c>
      <c r="X8186" s="5" t="str">
        <f>HYPERLINK("https://my.pitchbook.com?p=347569-48P","View People Online")</f>
        <v>View People Online</v>
      </c>
    </row>
    <row r="8187">
      <c r="A8187" s="6" t="s">
        <v>50888</v>
      </c>
      <c r="B8187" s="6" t="s">
        <v>50889</v>
      </c>
      <c r="C8187" s="6" t="s">
        <v>823</v>
      </c>
      <c r="D8187" s="6" t="s">
        <v>5985</v>
      </c>
      <c r="E8187" s="6" t="s">
        <v>50854</v>
      </c>
      <c r="F8187" s="6" t="s">
        <v>4868</v>
      </c>
      <c r="G8187" s="6" t="s">
        <v>50890</v>
      </c>
      <c r="H8187" s="7" t="s">
        <v>31</v>
      </c>
      <c r="I8187" s="7">
        <v>1.0</v>
      </c>
      <c r="J8187" s="7">
        <v>1.0</v>
      </c>
      <c r="K8187" s="7" t="s">
        <v>31</v>
      </c>
      <c r="L8187" s="8" t="s">
        <v>50856</v>
      </c>
      <c r="M8187" s="6" t="s">
        <v>50891</v>
      </c>
      <c r="N8187" s="6" t="s">
        <v>658</v>
      </c>
      <c r="O8187" s="8" t="s">
        <v>659</v>
      </c>
      <c r="P8187" s="6" t="s">
        <v>50857</v>
      </c>
      <c r="Q8187" s="6" t="s">
        <v>50858</v>
      </c>
      <c r="R8187" s="6" t="s">
        <v>31</v>
      </c>
      <c r="S8187" s="8" t="s">
        <v>50859</v>
      </c>
      <c r="T8187" s="6" t="s">
        <v>661</v>
      </c>
      <c r="U8187" s="8" t="s">
        <v>31</v>
      </c>
      <c r="V8187" s="6" t="s">
        <v>4868</v>
      </c>
      <c r="W8187" s="6" t="s">
        <v>50854</v>
      </c>
      <c r="X8187" s="9" t="str">
        <f>HYPERLINK("https://my.pitchbook.com?p=294336-55P","View People Online")</f>
        <v>View People Online</v>
      </c>
    </row>
    <row r="8188">
      <c r="A8188" s="10" t="s">
        <v>50892</v>
      </c>
      <c r="B8188" s="10" t="s">
        <v>50893</v>
      </c>
      <c r="C8188" s="10" t="s">
        <v>33860</v>
      </c>
      <c r="D8188" s="10" t="s">
        <v>14398</v>
      </c>
      <c r="E8188" s="10" t="s">
        <v>50854</v>
      </c>
      <c r="F8188" s="10" t="s">
        <v>1459</v>
      </c>
      <c r="G8188" s="10" t="s">
        <v>50894</v>
      </c>
      <c r="H8188" s="11" t="s">
        <v>31</v>
      </c>
      <c r="I8188" s="11">
        <v>5.0</v>
      </c>
      <c r="J8188" s="11">
        <v>1.0</v>
      </c>
      <c r="K8188" s="11">
        <v>4.0</v>
      </c>
      <c r="L8188" s="12" t="s">
        <v>50856</v>
      </c>
      <c r="M8188" s="10" t="s">
        <v>50895</v>
      </c>
      <c r="N8188" s="10" t="s">
        <v>658</v>
      </c>
      <c r="O8188" s="12" t="s">
        <v>659</v>
      </c>
      <c r="P8188" s="10" t="s">
        <v>50857</v>
      </c>
      <c r="Q8188" s="10" t="s">
        <v>50858</v>
      </c>
      <c r="R8188" s="10" t="s">
        <v>31</v>
      </c>
      <c r="S8188" s="12" t="s">
        <v>50859</v>
      </c>
      <c r="T8188" s="10" t="s">
        <v>661</v>
      </c>
      <c r="U8188" s="12" t="s">
        <v>31</v>
      </c>
      <c r="V8188" s="10" t="s">
        <v>50896</v>
      </c>
      <c r="W8188" s="10" t="s">
        <v>50854</v>
      </c>
      <c r="X8188" s="13" t="str">
        <f>HYPERLINK("https://my.pitchbook.com?p=151164-82P","View People Online")</f>
        <v>View People Online</v>
      </c>
    </row>
    <row r="8189">
      <c r="A8189" s="6" t="s">
        <v>50897</v>
      </c>
      <c r="B8189" s="6" t="s">
        <v>50898</v>
      </c>
      <c r="C8189" s="6" t="s">
        <v>1411</v>
      </c>
      <c r="D8189" s="6" t="s">
        <v>24482</v>
      </c>
      <c r="E8189" s="6" t="s">
        <v>50854</v>
      </c>
      <c r="F8189" s="6" t="s">
        <v>548</v>
      </c>
      <c r="G8189" s="6" t="s">
        <v>50899</v>
      </c>
      <c r="H8189" s="7" t="s">
        <v>31</v>
      </c>
      <c r="I8189" s="7">
        <v>2.0</v>
      </c>
      <c r="J8189" s="7">
        <v>1.0</v>
      </c>
      <c r="K8189" s="7">
        <v>1.0</v>
      </c>
      <c r="L8189" s="8" t="s">
        <v>50856</v>
      </c>
      <c r="M8189" s="6" t="s">
        <v>50900</v>
      </c>
      <c r="N8189" s="6" t="s">
        <v>658</v>
      </c>
      <c r="O8189" s="8" t="s">
        <v>659</v>
      </c>
      <c r="P8189" s="6" t="s">
        <v>50857</v>
      </c>
      <c r="Q8189" s="6" t="s">
        <v>50858</v>
      </c>
      <c r="R8189" s="6" t="s">
        <v>31</v>
      </c>
      <c r="S8189" s="8" t="s">
        <v>50859</v>
      </c>
      <c r="T8189" s="6" t="s">
        <v>661</v>
      </c>
      <c r="U8189" s="8" t="s">
        <v>31</v>
      </c>
      <c r="V8189" s="6" t="s">
        <v>548</v>
      </c>
      <c r="W8189" s="6" t="s">
        <v>50854</v>
      </c>
      <c r="X8189" s="9" t="str">
        <f>HYPERLINK("https://my.pitchbook.com?p=138202-66P","View People Online")</f>
        <v>View People Online</v>
      </c>
    </row>
    <row r="8190">
      <c r="A8190" s="2" t="s">
        <v>50901</v>
      </c>
      <c r="B8190" s="2" t="s">
        <v>50902</v>
      </c>
      <c r="C8190" s="2" t="s">
        <v>3529</v>
      </c>
      <c r="D8190" s="2" t="s">
        <v>7117</v>
      </c>
      <c r="E8190" s="2" t="s">
        <v>50903</v>
      </c>
      <c r="F8190" s="2" t="s">
        <v>29</v>
      </c>
      <c r="G8190" s="2" t="s">
        <v>50904</v>
      </c>
      <c r="H8190" s="3" t="s">
        <v>31</v>
      </c>
      <c r="I8190" s="3">
        <v>4.0</v>
      </c>
      <c r="J8190" s="3">
        <v>3.0</v>
      </c>
      <c r="K8190" s="3">
        <v>1.0</v>
      </c>
      <c r="L8190" s="4" t="s">
        <v>50905</v>
      </c>
      <c r="M8190" s="2" t="s">
        <v>50906</v>
      </c>
      <c r="N8190" s="2" t="s">
        <v>75</v>
      </c>
      <c r="O8190" s="4" t="s">
        <v>76</v>
      </c>
      <c r="P8190" s="2" t="s">
        <v>50907</v>
      </c>
      <c r="Q8190" s="2" t="s">
        <v>50908</v>
      </c>
      <c r="R8190" s="2" t="s">
        <v>75</v>
      </c>
      <c r="S8190" s="4" t="s">
        <v>3795</v>
      </c>
      <c r="T8190" s="2" t="s">
        <v>66</v>
      </c>
      <c r="U8190" s="4" t="s">
        <v>31</v>
      </c>
      <c r="V8190" s="2" t="s">
        <v>29</v>
      </c>
      <c r="W8190" s="2" t="s">
        <v>50903</v>
      </c>
      <c r="X8190" s="5" t="str">
        <f>HYPERLINK("https://my.pitchbook.com?p=52894-99P","View People Online")</f>
        <v>View People Online</v>
      </c>
    </row>
    <row r="8191">
      <c r="A8191" s="14" t="s">
        <v>50909</v>
      </c>
      <c r="B8191" s="14" t="s">
        <v>50910</v>
      </c>
      <c r="C8191" s="14" t="s">
        <v>2288</v>
      </c>
      <c r="D8191" s="14" t="s">
        <v>50911</v>
      </c>
      <c r="E8191" s="14" t="s">
        <v>50903</v>
      </c>
      <c r="F8191" s="14" t="s">
        <v>57</v>
      </c>
      <c r="G8191" s="14" t="s">
        <v>50912</v>
      </c>
      <c r="H8191" s="15" t="s">
        <v>31</v>
      </c>
      <c r="I8191" s="15">
        <v>2.0</v>
      </c>
      <c r="J8191" s="15">
        <v>1.0</v>
      </c>
      <c r="K8191" s="15">
        <v>1.0</v>
      </c>
      <c r="L8191" s="16" t="s">
        <v>31</v>
      </c>
      <c r="M8191" s="14" t="s">
        <v>50913</v>
      </c>
      <c r="N8191" s="14" t="s">
        <v>75</v>
      </c>
      <c r="O8191" s="16" t="s">
        <v>76</v>
      </c>
      <c r="P8191" s="14" t="s">
        <v>50907</v>
      </c>
      <c r="Q8191" s="14" t="s">
        <v>50908</v>
      </c>
      <c r="R8191" s="14" t="s">
        <v>75</v>
      </c>
      <c r="S8191" s="16" t="s">
        <v>3795</v>
      </c>
      <c r="T8191" s="14" t="s">
        <v>66</v>
      </c>
      <c r="U8191" s="16" t="s">
        <v>31</v>
      </c>
      <c r="V8191" s="14" t="s">
        <v>57</v>
      </c>
      <c r="W8191" s="14" t="s">
        <v>50903</v>
      </c>
      <c r="X8191" s="17" t="str">
        <f>HYPERLINK("https://my.pitchbook.com?p=427867-21P","View People Online")</f>
        <v>View People Online</v>
      </c>
    </row>
    <row r="8192">
      <c r="A8192" s="2" t="s">
        <v>50914</v>
      </c>
      <c r="B8192" s="2" t="s">
        <v>50915</v>
      </c>
      <c r="C8192" s="2" t="s">
        <v>50916</v>
      </c>
      <c r="D8192" s="2" t="s">
        <v>10268</v>
      </c>
      <c r="E8192" s="2" t="s">
        <v>50903</v>
      </c>
      <c r="F8192" s="2" t="s">
        <v>270</v>
      </c>
      <c r="G8192" s="2" t="s">
        <v>50917</v>
      </c>
      <c r="H8192" s="3" t="s">
        <v>31</v>
      </c>
      <c r="I8192" s="3">
        <v>1.0</v>
      </c>
      <c r="J8192" s="3">
        <v>1.0</v>
      </c>
      <c r="K8192" s="3" t="s">
        <v>31</v>
      </c>
      <c r="L8192" s="4" t="s">
        <v>31</v>
      </c>
      <c r="M8192" s="2" t="s">
        <v>50918</v>
      </c>
      <c r="N8192" s="2" t="s">
        <v>75</v>
      </c>
      <c r="O8192" s="4" t="s">
        <v>76</v>
      </c>
      <c r="P8192" s="2" t="s">
        <v>50907</v>
      </c>
      <c r="Q8192" s="2" t="s">
        <v>50908</v>
      </c>
      <c r="R8192" s="2" t="s">
        <v>75</v>
      </c>
      <c r="S8192" s="4" t="s">
        <v>3795</v>
      </c>
      <c r="T8192" s="2" t="s">
        <v>66</v>
      </c>
      <c r="U8192" s="4" t="s">
        <v>31</v>
      </c>
      <c r="V8192" s="2" t="s">
        <v>440</v>
      </c>
      <c r="W8192" s="2" t="s">
        <v>50903</v>
      </c>
      <c r="X8192" s="5" t="str">
        <f>HYPERLINK("https://my.pitchbook.com?p=427869-37P","View People Online")</f>
        <v>View People Online</v>
      </c>
    </row>
    <row r="8193">
      <c r="A8193" s="14" t="s">
        <v>50919</v>
      </c>
      <c r="B8193" s="14" t="s">
        <v>50920</v>
      </c>
      <c r="C8193" s="14" t="s">
        <v>50921</v>
      </c>
      <c r="D8193" s="14" t="s">
        <v>50922</v>
      </c>
      <c r="E8193" s="14" t="s">
        <v>50903</v>
      </c>
      <c r="F8193" s="14" t="s">
        <v>1167</v>
      </c>
      <c r="G8193" s="14" t="s">
        <v>50923</v>
      </c>
      <c r="H8193" s="15">
        <v>1.0</v>
      </c>
      <c r="I8193" s="15">
        <v>24.0</v>
      </c>
      <c r="J8193" s="15">
        <v>2.0</v>
      </c>
      <c r="K8193" s="15">
        <v>10.0</v>
      </c>
      <c r="L8193" s="16" t="s">
        <v>50924</v>
      </c>
      <c r="M8193" s="14" t="s">
        <v>50925</v>
      </c>
      <c r="N8193" s="14" t="s">
        <v>75</v>
      </c>
      <c r="O8193" s="16" t="s">
        <v>76</v>
      </c>
      <c r="P8193" s="14" t="s">
        <v>50907</v>
      </c>
      <c r="Q8193" s="14" t="s">
        <v>50908</v>
      </c>
      <c r="R8193" s="14" t="s">
        <v>75</v>
      </c>
      <c r="S8193" s="16" t="s">
        <v>3795</v>
      </c>
      <c r="T8193" s="14" t="s">
        <v>66</v>
      </c>
      <c r="U8193" s="16" t="s">
        <v>31</v>
      </c>
      <c r="V8193" s="14" t="s">
        <v>50926</v>
      </c>
      <c r="W8193" s="14" t="s">
        <v>50927</v>
      </c>
      <c r="X8193" s="17" t="str">
        <f>HYPERLINK("https://my.pitchbook.com?p=54161-92P","View People Online")</f>
        <v>View People Online</v>
      </c>
    </row>
    <row r="8194">
      <c r="A8194" s="2" t="s">
        <v>50928</v>
      </c>
      <c r="B8194" s="2" t="s">
        <v>50929</v>
      </c>
      <c r="C8194" s="2" t="s">
        <v>8348</v>
      </c>
      <c r="D8194" s="2" t="s">
        <v>50930</v>
      </c>
      <c r="E8194" s="2" t="s">
        <v>50931</v>
      </c>
      <c r="F8194" s="2" t="s">
        <v>318</v>
      </c>
      <c r="G8194" s="2" t="s">
        <v>50932</v>
      </c>
      <c r="H8194" s="3" t="s">
        <v>31</v>
      </c>
      <c r="I8194" s="3">
        <v>3.0</v>
      </c>
      <c r="J8194" s="3">
        <v>1.0</v>
      </c>
      <c r="K8194" s="3" t="s">
        <v>31</v>
      </c>
      <c r="L8194" s="4" t="s">
        <v>50933</v>
      </c>
      <c r="M8194" s="2" t="s">
        <v>50934</v>
      </c>
      <c r="N8194" s="2" t="s">
        <v>50935</v>
      </c>
      <c r="O8194" s="4" t="s">
        <v>50936</v>
      </c>
      <c r="P8194" s="2" t="s">
        <v>50937</v>
      </c>
      <c r="Q8194" s="2" t="s">
        <v>7124</v>
      </c>
      <c r="R8194" s="2" t="s">
        <v>10017</v>
      </c>
      <c r="S8194" s="4" t="s">
        <v>50938</v>
      </c>
      <c r="T8194" s="2" t="s">
        <v>66</v>
      </c>
      <c r="U8194" s="4" t="s">
        <v>50939</v>
      </c>
      <c r="V8194" s="2" t="s">
        <v>50940</v>
      </c>
      <c r="W8194" s="2" t="s">
        <v>50931</v>
      </c>
      <c r="X8194" s="5" t="str">
        <f>HYPERLINK("https://my.pitchbook.com?p=269221-60P","View People Online")</f>
        <v>View People Online</v>
      </c>
    </row>
    <row r="8195">
      <c r="A8195" s="6" t="s">
        <v>50941</v>
      </c>
      <c r="B8195" s="6" t="s">
        <v>50942</v>
      </c>
      <c r="C8195" s="6" t="s">
        <v>4161</v>
      </c>
      <c r="D8195" s="6" t="s">
        <v>50943</v>
      </c>
      <c r="E8195" s="6" t="s">
        <v>50931</v>
      </c>
      <c r="F8195" s="6" t="s">
        <v>371</v>
      </c>
      <c r="G8195" s="6" t="s">
        <v>50944</v>
      </c>
      <c r="H8195" s="7" t="s">
        <v>31</v>
      </c>
      <c r="I8195" s="7">
        <v>1.0</v>
      </c>
      <c r="J8195" s="7">
        <v>1.0</v>
      </c>
      <c r="K8195" s="7" t="s">
        <v>31</v>
      </c>
      <c r="L8195" s="8" t="s">
        <v>50945</v>
      </c>
      <c r="M8195" s="6" t="s">
        <v>50946</v>
      </c>
      <c r="N8195" s="6" t="s">
        <v>50935</v>
      </c>
      <c r="O8195" s="8" t="s">
        <v>50936</v>
      </c>
      <c r="P8195" s="6" t="s">
        <v>50937</v>
      </c>
      <c r="Q8195" s="6" t="s">
        <v>7124</v>
      </c>
      <c r="R8195" s="6" t="s">
        <v>10017</v>
      </c>
      <c r="S8195" s="8" t="s">
        <v>50938</v>
      </c>
      <c r="T8195" s="6" t="s">
        <v>66</v>
      </c>
      <c r="U8195" s="8" t="s">
        <v>50939</v>
      </c>
      <c r="V8195" s="6" t="s">
        <v>3808</v>
      </c>
      <c r="W8195" s="6" t="s">
        <v>50931</v>
      </c>
      <c r="X8195" s="9" t="str">
        <f>HYPERLINK("https://my.pitchbook.com?p=148424-23P","View People Online")</f>
        <v>View People Online</v>
      </c>
    </row>
    <row r="8196">
      <c r="A8196" s="10" t="s">
        <v>50947</v>
      </c>
      <c r="B8196" s="10" t="s">
        <v>50948</v>
      </c>
      <c r="C8196" s="10" t="s">
        <v>15404</v>
      </c>
      <c r="D8196" s="10" t="s">
        <v>50949</v>
      </c>
      <c r="E8196" s="10" t="s">
        <v>50931</v>
      </c>
      <c r="F8196" s="10" t="s">
        <v>502</v>
      </c>
      <c r="G8196" s="10" t="s">
        <v>50950</v>
      </c>
      <c r="H8196" s="11" t="s">
        <v>31</v>
      </c>
      <c r="I8196" s="11">
        <v>2.0</v>
      </c>
      <c r="J8196" s="11">
        <v>2.0</v>
      </c>
      <c r="K8196" s="11" t="s">
        <v>31</v>
      </c>
      <c r="L8196" s="12" t="s">
        <v>50951</v>
      </c>
      <c r="M8196" s="10" t="s">
        <v>50952</v>
      </c>
      <c r="N8196" s="10" t="s">
        <v>50935</v>
      </c>
      <c r="O8196" s="12" t="s">
        <v>50936</v>
      </c>
      <c r="P8196" s="10" t="s">
        <v>50937</v>
      </c>
      <c r="Q8196" s="10" t="s">
        <v>7124</v>
      </c>
      <c r="R8196" s="10" t="s">
        <v>10017</v>
      </c>
      <c r="S8196" s="12" t="s">
        <v>50938</v>
      </c>
      <c r="T8196" s="10" t="s">
        <v>66</v>
      </c>
      <c r="U8196" s="12" t="s">
        <v>50939</v>
      </c>
      <c r="V8196" s="10" t="s">
        <v>502</v>
      </c>
      <c r="W8196" s="10" t="s">
        <v>50953</v>
      </c>
      <c r="X8196" s="13" t="str">
        <f>HYPERLINK("https://my.pitchbook.com?p=36613-00P","View People Online")</f>
        <v>View People Online</v>
      </c>
    </row>
    <row r="8197">
      <c r="A8197" s="14" t="s">
        <v>50954</v>
      </c>
      <c r="B8197" s="14" t="s">
        <v>50955</v>
      </c>
      <c r="C8197" s="14" t="s">
        <v>3082</v>
      </c>
      <c r="D8197" s="14" t="s">
        <v>50956</v>
      </c>
      <c r="E8197" s="14" t="s">
        <v>50931</v>
      </c>
      <c r="F8197" s="14" t="s">
        <v>221</v>
      </c>
      <c r="G8197" s="14" t="s">
        <v>50957</v>
      </c>
      <c r="H8197" s="15" t="s">
        <v>31</v>
      </c>
      <c r="I8197" s="15">
        <v>1.0</v>
      </c>
      <c r="J8197" s="15">
        <v>1.0</v>
      </c>
      <c r="K8197" s="15" t="s">
        <v>31</v>
      </c>
      <c r="L8197" s="16" t="s">
        <v>50933</v>
      </c>
      <c r="M8197" s="14" t="s">
        <v>50958</v>
      </c>
      <c r="N8197" s="14" t="s">
        <v>50935</v>
      </c>
      <c r="O8197" s="16" t="s">
        <v>50936</v>
      </c>
      <c r="P8197" s="14" t="s">
        <v>50937</v>
      </c>
      <c r="Q8197" s="14" t="s">
        <v>7124</v>
      </c>
      <c r="R8197" s="14" t="s">
        <v>10017</v>
      </c>
      <c r="S8197" s="16" t="s">
        <v>50938</v>
      </c>
      <c r="T8197" s="14" t="s">
        <v>66</v>
      </c>
      <c r="U8197" s="16" t="s">
        <v>50939</v>
      </c>
      <c r="V8197" s="14" t="s">
        <v>50959</v>
      </c>
      <c r="W8197" s="14" t="s">
        <v>50931</v>
      </c>
      <c r="X8197" s="17" t="str">
        <f>HYPERLINK("https://my.pitchbook.com?p=446681-62P","View People Online")</f>
        <v>View People Online</v>
      </c>
    </row>
    <row r="8198">
      <c r="A8198" s="2" t="s">
        <v>50960</v>
      </c>
      <c r="B8198" s="2" t="s">
        <v>50961</v>
      </c>
      <c r="C8198" s="2" t="s">
        <v>4444</v>
      </c>
      <c r="D8198" s="2" t="s">
        <v>50962</v>
      </c>
      <c r="E8198" s="2" t="s">
        <v>50931</v>
      </c>
      <c r="F8198" s="2" t="s">
        <v>29</v>
      </c>
      <c r="G8198" s="2" t="s">
        <v>50963</v>
      </c>
      <c r="H8198" s="3" t="s">
        <v>31</v>
      </c>
      <c r="I8198" s="3">
        <v>1.0</v>
      </c>
      <c r="J8198" s="3">
        <v>1.0</v>
      </c>
      <c r="K8198" s="3" t="s">
        <v>31</v>
      </c>
      <c r="L8198" s="4" t="s">
        <v>50933</v>
      </c>
      <c r="M8198" s="2" t="s">
        <v>50964</v>
      </c>
      <c r="N8198" s="2" t="s">
        <v>50935</v>
      </c>
      <c r="O8198" s="4" t="s">
        <v>50936</v>
      </c>
      <c r="P8198" s="2" t="s">
        <v>50937</v>
      </c>
      <c r="Q8198" s="2" t="s">
        <v>7124</v>
      </c>
      <c r="R8198" s="2" t="s">
        <v>10017</v>
      </c>
      <c r="S8198" s="4" t="s">
        <v>50938</v>
      </c>
      <c r="T8198" s="2" t="s">
        <v>66</v>
      </c>
      <c r="U8198" s="4" t="s">
        <v>50939</v>
      </c>
      <c r="V8198" s="2" t="s">
        <v>50965</v>
      </c>
      <c r="W8198" s="2" t="s">
        <v>50931</v>
      </c>
      <c r="X8198" s="5" t="str">
        <f>HYPERLINK("https://my.pitchbook.com?p=111680-83P","View People Online")</f>
        <v>View People Online</v>
      </c>
    </row>
    <row r="8199">
      <c r="A8199" s="14" t="s">
        <v>50966</v>
      </c>
      <c r="B8199" s="14" t="s">
        <v>50967</v>
      </c>
      <c r="C8199" s="14" t="s">
        <v>6900</v>
      </c>
      <c r="D8199" s="14" t="s">
        <v>5302</v>
      </c>
      <c r="E8199" s="14" t="s">
        <v>50931</v>
      </c>
      <c r="F8199" s="14" t="s">
        <v>6567</v>
      </c>
      <c r="G8199" s="14" t="s">
        <v>50968</v>
      </c>
      <c r="H8199" s="15" t="s">
        <v>31</v>
      </c>
      <c r="I8199" s="15">
        <v>1.0</v>
      </c>
      <c r="J8199" s="15">
        <v>1.0</v>
      </c>
      <c r="K8199" s="15" t="s">
        <v>31</v>
      </c>
      <c r="L8199" s="16" t="s">
        <v>50969</v>
      </c>
      <c r="M8199" s="14" t="s">
        <v>50970</v>
      </c>
      <c r="N8199" s="14" t="s">
        <v>50935</v>
      </c>
      <c r="O8199" s="16" t="s">
        <v>50936</v>
      </c>
      <c r="P8199" s="14" t="s">
        <v>50937</v>
      </c>
      <c r="Q8199" s="14" t="s">
        <v>7124</v>
      </c>
      <c r="R8199" s="14" t="s">
        <v>10017</v>
      </c>
      <c r="S8199" s="16" t="s">
        <v>50938</v>
      </c>
      <c r="T8199" s="14" t="s">
        <v>66</v>
      </c>
      <c r="U8199" s="16" t="s">
        <v>50939</v>
      </c>
      <c r="V8199" s="14" t="s">
        <v>50971</v>
      </c>
      <c r="W8199" s="14" t="s">
        <v>50931</v>
      </c>
      <c r="X8199" s="17" t="str">
        <f>HYPERLINK("https://my.pitchbook.com?p=211651-48P","View People Online")</f>
        <v>View People Online</v>
      </c>
    </row>
    <row r="8200">
      <c r="A8200" s="2" t="s">
        <v>50972</v>
      </c>
      <c r="B8200" s="2" t="s">
        <v>50973</v>
      </c>
      <c r="C8200" s="2" t="s">
        <v>6453</v>
      </c>
      <c r="D8200" s="2" t="s">
        <v>50974</v>
      </c>
      <c r="E8200" s="2" t="s">
        <v>50931</v>
      </c>
      <c r="F8200" s="2" t="s">
        <v>71</v>
      </c>
      <c r="G8200" s="2" t="s">
        <v>50975</v>
      </c>
      <c r="H8200" s="3" t="s">
        <v>31</v>
      </c>
      <c r="I8200" s="3">
        <v>2.0</v>
      </c>
      <c r="J8200" s="3">
        <v>2.0</v>
      </c>
      <c r="K8200" s="3" t="s">
        <v>31</v>
      </c>
      <c r="L8200" s="4" t="s">
        <v>50976</v>
      </c>
      <c r="M8200" s="2" t="s">
        <v>50977</v>
      </c>
      <c r="N8200" s="2" t="s">
        <v>50935</v>
      </c>
      <c r="O8200" s="4" t="s">
        <v>50936</v>
      </c>
      <c r="P8200" s="2" t="s">
        <v>50937</v>
      </c>
      <c r="Q8200" s="2" t="s">
        <v>7124</v>
      </c>
      <c r="R8200" s="2" t="s">
        <v>10017</v>
      </c>
      <c r="S8200" s="4" t="s">
        <v>50938</v>
      </c>
      <c r="T8200" s="2" t="s">
        <v>66</v>
      </c>
      <c r="U8200" s="4" t="s">
        <v>50939</v>
      </c>
      <c r="V8200" s="2" t="s">
        <v>71</v>
      </c>
      <c r="W8200" s="2" t="s">
        <v>50931</v>
      </c>
      <c r="X8200" s="5" t="str">
        <f>HYPERLINK("https://my.pitchbook.com?p=36612-73P","View People Online")</f>
        <v>View People Online</v>
      </c>
    </row>
    <row r="8201">
      <c r="A8201" s="14" t="s">
        <v>50978</v>
      </c>
      <c r="B8201" s="14" t="s">
        <v>50979</v>
      </c>
      <c r="C8201" s="14" t="s">
        <v>50980</v>
      </c>
      <c r="D8201" s="14" t="s">
        <v>50981</v>
      </c>
      <c r="E8201" s="14" t="s">
        <v>50931</v>
      </c>
      <c r="F8201" s="14" t="s">
        <v>29</v>
      </c>
      <c r="G8201" s="14" t="s">
        <v>50982</v>
      </c>
      <c r="H8201" s="15">
        <v>4.0</v>
      </c>
      <c r="I8201" s="15">
        <v>25.0</v>
      </c>
      <c r="J8201" s="15">
        <v>1.0</v>
      </c>
      <c r="K8201" s="15">
        <v>16.0</v>
      </c>
      <c r="L8201" s="16" t="s">
        <v>50933</v>
      </c>
      <c r="M8201" s="14" t="s">
        <v>50983</v>
      </c>
      <c r="N8201" s="14" t="s">
        <v>50935</v>
      </c>
      <c r="O8201" s="16" t="s">
        <v>50936</v>
      </c>
      <c r="P8201" s="14" t="s">
        <v>50937</v>
      </c>
      <c r="Q8201" s="14" t="s">
        <v>7124</v>
      </c>
      <c r="R8201" s="14" t="s">
        <v>10017</v>
      </c>
      <c r="S8201" s="16" t="s">
        <v>50938</v>
      </c>
      <c r="T8201" s="14" t="s">
        <v>66</v>
      </c>
      <c r="U8201" s="16" t="s">
        <v>50939</v>
      </c>
      <c r="V8201" s="14" t="s">
        <v>50984</v>
      </c>
      <c r="W8201" s="14" t="s">
        <v>50931</v>
      </c>
      <c r="X8201" s="17" t="str">
        <f>HYPERLINK("https://my.pitchbook.com?p=131463-10P","View People Online")</f>
        <v>View People Online</v>
      </c>
    </row>
    <row r="8202">
      <c r="A8202" s="2" t="s">
        <v>50985</v>
      </c>
      <c r="B8202" s="2" t="s">
        <v>50986</v>
      </c>
      <c r="C8202" s="2" t="s">
        <v>1502</v>
      </c>
      <c r="D8202" s="2" t="s">
        <v>1944</v>
      </c>
      <c r="E8202" s="2" t="s">
        <v>50931</v>
      </c>
      <c r="F8202" s="2" t="s">
        <v>674</v>
      </c>
      <c r="G8202" s="2" t="s">
        <v>50987</v>
      </c>
      <c r="H8202" s="3" t="s">
        <v>31</v>
      </c>
      <c r="I8202" s="3">
        <v>53.0</v>
      </c>
      <c r="J8202" s="3">
        <v>1.0</v>
      </c>
      <c r="K8202" s="3">
        <v>45.0</v>
      </c>
      <c r="L8202" s="4" t="s">
        <v>50988</v>
      </c>
      <c r="M8202" s="2" t="s">
        <v>50989</v>
      </c>
      <c r="N8202" s="2" t="s">
        <v>50935</v>
      </c>
      <c r="O8202" s="4" t="s">
        <v>50936</v>
      </c>
      <c r="P8202" s="2" t="s">
        <v>50937</v>
      </c>
      <c r="Q8202" s="2" t="s">
        <v>7124</v>
      </c>
      <c r="R8202" s="2" t="s">
        <v>10017</v>
      </c>
      <c r="S8202" s="4" t="s">
        <v>50938</v>
      </c>
      <c r="T8202" s="2" t="s">
        <v>66</v>
      </c>
      <c r="U8202" s="4" t="s">
        <v>50939</v>
      </c>
      <c r="V8202" s="2" t="s">
        <v>50990</v>
      </c>
      <c r="W8202" s="2" t="s">
        <v>50931</v>
      </c>
      <c r="X8202" s="5" t="str">
        <f>HYPERLINK("https://my.pitchbook.com?p=12915-28P","View People Online")</f>
        <v>View People Online</v>
      </c>
    </row>
    <row r="8203">
      <c r="A8203" s="6" t="s">
        <v>50991</v>
      </c>
      <c r="B8203" s="6" t="s">
        <v>50992</v>
      </c>
      <c r="C8203" s="6" t="s">
        <v>160</v>
      </c>
      <c r="D8203" s="6" t="s">
        <v>200</v>
      </c>
      <c r="E8203" s="6" t="s">
        <v>50931</v>
      </c>
      <c r="F8203" s="6" t="s">
        <v>57</v>
      </c>
      <c r="G8203" s="6" t="s">
        <v>50993</v>
      </c>
      <c r="H8203" s="7">
        <v>3.0</v>
      </c>
      <c r="I8203" s="7">
        <v>10.0</v>
      </c>
      <c r="J8203" s="7">
        <v>1.0</v>
      </c>
      <c r="K8203" s="7">
        <v>3.0</v>
      </c>
      <c r="L8203" s="8" t="s">
        <v>50994</v>
      </c>
      <c r="M8203" s="6" t="s">
        <v>50995</v>
      </c>
      <c r="N8203" s="6" t="s">
        <v>50935</v>
      </c>
      <c r="O8203" s="8" t="s">
        <v>50936</v>
      </c>
      <c r="P8203" s="6" t="s">
        <v>50937</v>
      </c>
      <c r="Q8203" s="6" t="s">
        <v>7124</v>
      </c>
      <c r="R8203" s="6" t="s">
        <v>10017</v>
      </c>
      <c r="S8203" s="8" t="s">
        <v>50938</v>
      </c>
      <c r="T8203" s="6" t="s">
        <v>66</v>
      </c>
      <c r="U8203" s="8" t="s">
        <v>50939</v>
      </c>
      <c r="V8203" s="6" t="s">
        <v>50996</v>
      </c>
      <c r="W8203" s="6" t="s">
        <v>50931</v>
      </c>
      <c r="X8203" s="9" t="str">
        <f>HYPERLINK("https://my.pitchbook.com?p=55653-76P","View People Online")</f>
        <v>View People Online</v>
      </c>
    </row>
    <row r="8204">
      <c r="A8204" s="2" t="s">
        <v>50997</v>
      </c>
      <c r="B8204" s="2" t="s">
        <v>50998</v>
      </c>
      <c r="C8204" s="2" t="s">
        <v>39561</v>
      </c>
      <c r="D8204" s="2" t="s">
        <v>50999</v>
      </c>
      <c r="E8204" s="2" t="s">
        <v>50931</v>
      </c>
      <c r="F8204" s="2" t="s">
        <v>318</v>
      </c>
      <c r="G8204" s="2" t="s">
        <v>51000</v>
      </c>
      <c r="H8204" s="3">
        <v>1.0</v>
      </c>
      <c r="I8204" s="3">
        <v>3.0</v>
      </c>
      <c r="J8204" s="3">
        <v>1.0</v>
      </c>
      <c r="K8204" s="3" t="s">
        <v>31</v>
      </c>
      <c r="L8204" s="4" t="s">
        <v>51001</v>
      </c>
      <c r="M8204" s="2" t="s">
        <v>51002</v>
      </c>
      <c r="N8204" s="2" t="s">
        <v>50935</v>
      </c>
      <c r="O8204" s="4" t="s">
        <v>50936</v>
      </c>
      <c r="P8204" s="2" t="s">
        <v>50937</v>
      </c>
      <c r="Q8204" s="2" t="s">
        <v>7124</v>
      </c>
      <c r="R8204" s="2" t="s">
        <v>10017</v>
      </c>
      <c r="S8204" s="4" t="s">
        <v>50938</v>
      </c>
      <c r="T8204" s="2" t="s">
        <v>66</v>
      </c>
      <c r="U8204" s="4" t="s">
        <v>51003</v>
      </c>
      <c r="V8204" s="2" t="s">
        <v>51004</v>
      </c>
      <c r="W8204" s="2" t="s">
        <v>50931</v>
      </c>
      <c r="X8204" s="5" t="str">
        <f>HYPERLINK("https://my.pitchbook.com?p=241131-07P","View People Online")</f>
        <v>View People Online</v>
      </c>
    </row>
    <row r="8205">
      <c r="A8205" s="14" t="s">
        <v>51005</v>
      </c>
      <c r="B8205" s="14" t="s">
        <v>51006</v>
      </c>
      <c r="C8205" s="14" t="s">
        <v>20129</v>
      </c>
      <c r="D8205" s="14" t="s">
        <v>51007</v>
      </c>
      <c r="E8205" s="14" t="s">
        <v>50931</v>
      </c>
      <c r="F8205" s="14" t="s">
        <v>221</v>
      </c>
      <c r="G8205" s="14" t="s">
        <v>51008</v>
      </c>
      <c r="H8205" s="15" t="s">
        <v>31</v>
      </c>
      <c r="I8205" s="15">
        <v>2.0</v>
      </c>
      <c r="J8205" s="15">
        <v>1.0</v>
      </c>
      <c r="K8205" s="15" t="s">
        <v>31</v>
      </c>
      <c r="L8205" s="16" t="s">
        <v>50933</v>
      </c>
      <c r="M8205" s="14" t="s">
        <v>51009</v>
      </c>
      <c r="N8205" s="14" t="s">
        <v>50935</v>
      </c>
      <c r="O8205" s="16" t="s">
        <v>50936</v>
      </c>
      <c r="P8205" s="14" t="s">
        <v>50937</v>
      </c>
      <c r="Q8205" s="14" t="s">
        <v>7124</v>
      </c>
      <c r="R8205" s="14" t="s">
        <v>10017</v>
      </c>
      <c r="S8205" s="16" t="s">
        <v>50938</v>
      </c>
      <c r="T8205" s="14" t="s">
        <v>66</v>
      </c>
      <c r="U8205" s="16" t="s">
        <v>50939</v>
      </c>
      <c r="V8205" s="14" t="s">
        <v>221</v>
      </c>
      <c r="W8205" s="14" t="s">
        <v>50931</v>
      </c>
      <c r="X8205" s="17" t="str">
        <f>HYPERLINK("https://my.pitchbook.com?p=261666-82P","View People Online")</f>
        <v>View People Online</v>
      </c>
    </row>
    <row r="8206">
      <c r="A8206" s="10" t="s">
        <v>51010</v>
      </c>
      <c r="B8206" s="10" t="s">
        <v>51011</v>
      </c>
      <c r="C8206" s="10" t="s">
        <v>536</v>
      </c>
      <c r="D8206" s="10" t="s">
        <v>51012</v>
      </c>
      <c r="E8206" s="10" t="s">
        <v>50931</v>
      </c>
      <c r="F8206" s="10" t="s">
        <v>674</v>
      </c>
      <c r="G8206" s="10" t="s">
        <v>51013</v>
      </c>
      <c r="H8206" s="11">
        <v>1.0</v>
      </c>
      <c r="I8206" s="11">
        <v>27.0</v>
      </c>
      <c r="J8206" s="11">
        <v>3.0</v>
      </c>
      <c r="K8206" s="11">
        <v>11.0</v>
      </c>
      <c r="L8206" s="12" t="s">
        <v>50933</v>
      </c>
      <c r="M8206" s="10" t="s">
        <v>51014</v>
      </c>
      <c r="N8206" s="10" t="s">
        <v>50935</v>
      </c>
      <c r="O8206" s="12" t="s">
        <v>50936</v>
      </c>
      <c r="P8206" s="10" t="s">
        <v>50937</v>
      </c>
      <c r="Q8206" s="10" t="s">
        <v>7124</v>
      </c>
      <c r="R8206" s="10" t="s">
        <v>10017</v>
      </c>
      <c r="S8206" s="12" t="s">
        <v>50938</v>
      </c>
      <c r="T8206" s="10" t="s">
        <v>66</v>
      </c>
      <c r="U8206" s="12" t="s">
        <v>50939</v>
      </c>
      <c r="V8206" s="10" t="s">
        <v>674</v>
      </c>
      <c r="W8206" s="10" t="s">
        <v>50953</v>
      </c>
      <c r="X8206" s="13" t="str">
        <f>HYPERLINK("https://my.pitchbook.com?p=13752-37P","View People Online")</f>
        <v>View People Online</v>
      </c>
    </row>
    <row r="8207">
      <c r="A8207" s="14" t="s">
        <v>51015</v>
      </c>
      <c r="B8207" s="14" t="s">
        <v>51016</v>
      </c>
      <c r="C8207" s="14" t="s">
        <v>1697</v>
      </c>
      <c r="D8207" s="14" t="s">
        <v>36185</v>
      </c>
      <c r="E8207" s="14" t="s">
        <v>50931</v>
      </c>
      <c r="F8207" s="14" t="s">
        <v>57</v>
      </c>
      <c r="G8207" s="14" t="s">
        <v>51017</v>
      </c>
      <c r="H8207" s="15">
        <v>4.0</v>
      </c>
      <c r="I8207" s="15">
        <v>56.0</v>
      </c>
      <c r="J8207" s="15">
        <v>1.0</v>
      </c>
      <c r="K8207" s="15">
        <v>44.0</v>
      </c>
      <c r="L8207" s="16" t="s">
        <v>50933</v>
      </c>
      <c r="M8207" s="14" t="s">
        <v>51018</v>
      </c>
      <c r="N8207" s="14" t="s">
        <v>50935</v>
      </c>
      <c r="O8207" s="16" t="s">
        <v>50936</v>
      </c>
      <c r="P8207" s="14" t="s">
        <v>50937</v>
      </c>
      <c r="Q8207" s="14" t="s">
        <v>7124</v>
      </c>
      <c r="R8207" s="14" t="s">
        <v>10017</v>
      </c>
      <c r="S8207" s="16" t="s">
        <v>50938</v>
      </c>
      <c r="T8207" s="14" t="s">
        <v>66</v>
      </c>
      <c r="U8207" s="16" t="s">
        <v>50939</v>
      </c>
      <c r="V8207" s="14" t="s">
        <v>50996</v>
      </c>
      <c r="W8207" s="14" t="s">
        <v>50931</v>
      </c>
      <c r="X8207" s="17" t="str">
        <f>HYPERLINK("https://my.pitchbook.com?p=14074-39P","View People Online")</f>
        <v>View People Online</v>
      </c>
    </row>
    <row r="8208">
      <c r="A8208" s="2" t="s">
        <v>51019</v>
      </c>
      <c r="B8208" s="2" t="s">
        <v>51020</v>
      </c>
      <c r="C8208" s="2" t="s">
        <v>3529</v>
      </c>
      <c r="D8208" s="2" t="s">
        <v>4612</v>
      </c>
      <c r="E8208" s="2" t="s">
        <v>51021</v>
      </c>
      <c r="F8208" s="2" t="s">
        <v>583</v>
      </c>
      <c r="G8208" s="2" t="s">
        <v>51022</v>
      </c>
      <c r="H8208" s="3">
        <v>1.0</v>
      </c>
      <c r="I8208" s="3">
        <v>5.0</v>
      </c>
      <c r="J8208" s="3">
        <v>1.0</v>
      </c>
      <c r="K8208" s="3">
        <v>3.0</v>
      </c>
      <c r="L8208" s="4" t="s">
        <v>51023</v>
      </c>
      <c r="M8208" s="2" t="s">
        <v>51024</v>
      </c>
      <c r="N8208" s="2" t="s">
        <v>1348</v>
      </c>
      <c r="O8208" s="4" t="s">
        <v>1349</v>
      </c>
      <c r="P8208" s="2" t="s">
        <v>26885</v>
      </c>
      <c r="Q8208" s="2" t="s">
        <v>39760</v>
      </c>
      <c r="R8208" s="2" t="s">
        <v>1018</v>
      </c>
      <c r="S8208" s="4" t="s">
        <v>26887</v>
      </c>
      <c r="T8208" s="2" t="s">
        <v>1019</v>
      </c>
      <c r="U8208" s="4" t="s">
        <v>31</v>
      </c>
      <c r="V8208" s="2" t="s">
        <v>583</v>
      </c>
      <c r="W8208" s="2" t="s">
        <v>51021</v>
      </c>
      <c r="X8208" s="5" t="str">
        <f>HYPERLINK("https://my.pitchbook.com?p=187999-57P","View People Online")</f>
        <v>View People Online</v>
      </c>
    </row>
    <row r="8209">
      <c r="A8209" s="14" t="s">
        <v>51025</v>
      </c>
      <c r="B8209" s="14" t="s">
        <v>51026</v>
      </c>
      <c r="C8209" s="14" t="s">
        <v>1356</v>
      </c>
      <c r="D8209" s="14" t="s">
        <v>51027</v>
      </c>
      <c r="E8209" s="14" t="s">
        <v>51021</v>
      </c>
      <c r="F8209" s="14" t="s">
        <v>2366</v>
      </c>
      <c r="G8209" s="14" t="s">
        <v>51028</v>
      </c>
      <c r="H8209" s="15" t="s">
        <v>31</v>
      </c>
      <c r="I8209" s="15">
        <v>1.0</v>
      </c>
      <c r="J8209" s="15">
        <v>1.0</v>
      </c>
      <c r="K8209" s="15" t="s">
        <v>31</v>
      </c>
      <c r="L8209" s="16" t="s">
        <v>51023</v>
      </c>
      <c r="M8209" s="14" t="s">
        <v>51029</v>
      </c>
      <c r="N8209" s="14" t="s">
        <v>1348</v>
      </c>
      <c r="O8209" s="16" t="s">
        <v>1349</v>
      </c>
      <c r="P8209" s="14" t="s">
        <v>26885</v>
      </c>
      <c r="Q8209" s="14" t="s">
        <v>39760</v>
      </c>
      <c r="R8209" s="14" t="s">
        <v>1018</v>
      </c>
      <c r="S8209" s="16" t="s">
        <v>26887</v>
      </c>
      <c r="T8209" s="14" t="s">
        <v>1019</v>
      </c>
      <c r="U8209" s="16" t="s">
        <v>31</v>
      </c>
      <c r="V8209" s="14" t="s">
        <v>51030</v>
      </c>
      <c r="W8209" s="14" t="s">
        <v>51021</v>
      </c>
      <c r="X8209" s="17" t="str">
        <f>HYPERLINK("https://my.pitchbook.com?p=421297-21P","View People Online")</f>
        <v>View People Online</v>
      </c>
    </row>
    <row r="8210">
      <c r="A8210" s="10" t="s">
        <v>51031</v>
      </c>
      <c r="B8210" s="10" t="s">
        <v>51032</v>
      </c>
      <c r="C8210" s="10" t="s">
        <v>843</v>
      </c>
      <c r="D8210" s="10" t="s">
        <v>51033</v>
      </c>
      <c r="E8210" s="10" t="s">
        <v>51021</v>
      </c>
      <c r="F8210" s="10" t="s">
        <v>371</v>
      </c>
      <c r="G8210" s="10" t="s">
        <v>51034</v>
      </c>
      <c r="H8210" s="11" t="s">
        <v>31</v>
      </c>
      <c r="I8210" s="11">
        <v>1.0</v>
      </c>
      <c r="J8210" s="11">
        <v>1.0</v>
      </c>
      <c r="K8210" s="11" t="s">
        <v>31</v>
      </c>
      <c r="L8210" s="12" t="s">
        <v>51023</v>
      </c>
      <c r="M8210" s="10" t="s">
        <v>51035</v>
      </c>
      <c r="N8210" s="10" t="s">
        <v>1348</v>
      </c>
      <c r="O8210" s="12" t="s">
        <v>1349</v>
      </c>
      <c r="P8210" s="10" t="s">
        <v>26885</v>
      </c>
      <c r="Q8210" s="10" t="s">
        <v>39760</v>
      </c>
      <c r="R8210" s="10" t="s">
        <v>1018</v>
      </c>
      <c r="S8210" s="12" t="s">
        <v>26887</v>
      </c>
      <c r="T8210" s="10" t="s">
        <v>1019</v>
      </c>
      <c r="U8210" s="12" t="s">
        <v>31</v>
      </c>
      <c r="V8210" s="10" t="s">
        <v>51036</v>
      </c>
      <c r="W8210" s="10" t="s">
        <v>51021</v>
      </c>
      <c r="X8210" s="13" t="str">
        <f>HYPERLINK("https://my.pitchbook.com?p=421297-03P","View People Online")</f>
        <v>View People Online</v>
      </c>
    </row>
    <row r="8211">
      <c r="A8211" s="14" t="s">
        <v>51037</v>
      </c>
      <c r="B8211" s="14" t="s">
        <v>51038</v>
      </c>
      <c r="C8211" s="14" t="s">
        <v>11737</v>
      </c>
      <c r="D8211" s="14" t="s">
        <v>51039</v>
      </c>
      <c r="E8211" s="14" t="s">
        <v>51021</v>
      </c>
      <c r="F8211" s="14" t="s">
        <v>470</v>
      </c>
      <c r="G8211" s="14" t="s">
        <v>51040</v>
      </c>
      <c r="H8211" s="15" t="s">
        <v>31</v>
      </c>
      <c r="I8211" s="15">
        <v>6.0</v>
      </c>
      <c r="J8211" s="15">
        <v>2.0</v>
      </c>
      <c r="K8211" s="15">
        <v>4.0</v>
      </c>
      <c r="L8211" s="16" t="s">
        <v>51041</v>
      </c>
      <c r="M8211" s="14" t="s">
        <v>51042</v>
      </c>
      <c r="N8211" s="14" t="s">
        <v>1348</v>
      </c>
      <c r="O8211" s="16" t="s">
        <v>1349</v>
      </c>
      <c r="P8211" s="14" t="s">
        <v>26885</v>
      </c>
      <c r="Q8211" s="14" t="s">
        <v>39760</v>
      </c>
      <c r="R8211" s="14" t="s">
        <v>1018</v>
      </c>
      <c r="S8211" s="16" t="s">
        <v>26887</v>
      </c>
      <c r="T8211" s="14" t="s">
        <v>1019</v>
      </c>
      <c r="U8211" s="16" t="s">
        <v>31</v>
      </c>
      <c r="V8211" s="14" t="s">
        <v>470</v>
      </c>
      <c r="W8211" s="14" t="s">
        <v>51021</v>
      </c>
      <c r="X8211" s="17" t="str">
        <f>HYPERLINK("https://my.pitchbook.com?p=111840-40P","View People Online")</f>
        <v>View People Online</v>
      </c>
    </row>
    <row r="8212">
      <c r="A8212" s="10" t="s">
        <v>51043</v>
      </c>
      <c r="B8212" s="10" t="s">
        <v>51044</v>
      </c>
      <c r="C8212" s="10" t="s">
        <v>43512</v>
      </c>
      <c r="D8212" s="10" t="s">
        <v>51045</v>
      </c>
      <c r="E8212" s="10" t="s">
        <v>51021</v>
      </c>
      <c r="F8212" s="10" t="s">
        <v>371</v>
      </c>
      <c r="G8212" s="10" t="s">
        <v>51046</v>
      </c>
      <c r="H8212" s="11">
        <v>2.0</v>
      </c>
      <c r="I8212" s="11">
        <v>8.0</v>
      </c>
      <c r="J8212" s="11">
        <v>2.0</v>
      </c>
      <c r="K8212" s="11">
        <v>4.0</v>
      </c>
      <c r="L8212" s="12" t="s">
        <v>51023</v>
      </c>
      <c r="M8212" s="10" t="s">
        <v>51047</v>
      </c>
      <c r="N8212" s="10" t="s">
        <v>1348</v>
      </c>
      <c r="O8212" s="12" t="s">
        <v>1349</v>
      </c>
      <c r="P8212" s="10" t="s">
        <v>26885</v>
      </c>
      <c r="Q8212" s="10" t="s">
        <v>39760</v>
      </c>
      <c r="R8212" s="10" t="s">
        <v>1018</v>
      </c>
      <c r="S8212" s="12" t="s">
        <v>26887</v>
      </c>
      <c r="T8212" s="10" t="s">
        <v>1019</v>
      </c>
      <c r="U8212" s="12" t="s">
        <v>31</v>
      </c>
      <c r="V8212" s="10" t="s">
        <v>39581</v>
      </c>
      <c r="W8212" s="10" t="s">
        <v>51021</v>
      </c>
      <c r="X8212" s="13" t="str">
        <f>HYPERLINK("https://my.pitchbook.com?p=204737-05P","View People Online")</f>
        <v>View People Online</v>
      </c>
    </row>
    <row r="8213">
      <c r="A8213" s="14" t="s">
        <v>51048</v>
      </c>
      <c r="B8213" s="14" t="s">
        <v>51049</v>
      </c>
      <c r="C8213" s="14" t="s">
        <v>907</v>
      </c>
      <c r="D8213" s="14" t="s">
        <v>51050</v>
      </c>
      <c r="E8213" s="14" t="s">
        <v>51051</v>
      </c>
      <c r="F8213" s="14" t="s">
        <v>51052</v>
      </c>
      <c r="G8213" s="14" t="s">
        <v>51053</v>
      </c>
      <c r="H8213" s="15" t="s">
        <v>31</v>
      </c>
      <c r="I8213" s="15">
        <v>2.0</v>
      </c>
      <c r="J8213" s="15">
        <v>2.0</v>
      </c>
      <c r="K8213" s="15" t="s">
        <v>31</v>
      </c>
      <c r="L8213" s="16" t="s">
        <v>51054</v>
      </c>
      <c r="M8213" s="14" t="s">
        <v>51055</v>
      </c>
      <c r="N8213" s="14" t="s">
        <v>665</v>
      </c>
      <c r="O8213" s="16" t="s">
        <v>3857</v>
      </c>
      <c r="P8213" s="14" t="s">
        <v>51056</v>
      </c>
      <c r="Q8213" s="14" t="s">
        <v>51057</v>
      </c>
      <c r="R8213" s="14" t="s">
        <v>1420</v>
      </c>
      <c r="S8213" s="16" t="s">
        <v>51058</v>
      </c>
      <c r="T8213" s="14" t="s">
        <v>66</v>
      </c>
      <c r="U8213" s="16" t="s">
        <v>31</v>
      </c>
      <c r="V8213" s="14" t="s">
        <v>51059</v>
      </c>
      <c r="W8213" s="14" t="s">
        <v>51051</v>
      </c>
      <c r="X8213" s="17" t="str">
        <f>HYPERLINK("https://my.pitchbook.com?p=206047-90P","View People Online")</f>
        <v>View People Online</v>
      </c>
    </row>
    <row r="8214">
      <c r="A8214" s="10" t="s">
        <v>51060</v>
      </c>
      <c r="B8214" s="10" t="s">
        <v>51061</v>
      </c>
      <c r="C8214" s="10" t="s">
        <v>9417</v>
      </c>
      <c r="D8214" s="10" t="s">
        <v>51062</v>
      </c>
      <c r="E8214" s="10" t="s">
        <v>51051</v>
      </c>
      <c r="F8214" s="10" t="s">
        <v>51052</v>
      </c>
      <c r="G8214" s="10" t="s">
        <v>51063</v>
      </c>
      <c r="H8214" s="11">
        <v>2.0</v>
      </c>
      <c r="I8214" s="11">
        <v>10.0</v>
      </c>
      <c r="J8214" s="11">
        <v>2.0</v>
      </c>
      <c r="K8214" s="11">
        <v>6.0</v>
      </c>
      <c r="L8214" s="12" t="s">
        <v>51064</v>
      </c>
      <c r="M8214" s="10" t="s">
        <v>51065</v>
      </c>
      <c r="N8214" s="10" t="s">
        <v>665</v>
      </c>
      <c r="O8214" s="12" t="s">
        <v>3857</v>
      </c>
      <c r="P8214" s="10" t="s">
        <v>51066</v>
      </c>
      <c r="Q8214" s="10" t="s">
        <v>51057</v>
      </c>
      <c r="R8214" s="10" t="s">
        <v>1420</v>
      </c>
      <c r="S8214" s="12" t="s">
        <v>51058</v>
      </c>
      <c r="T8214" s="10" t="s">
        <v>66</v>
      </c>
      <c r="U8214" s="12" t="s">
        <v>31</v>
      </c>
      <c r="V8214" s="10" t="s">
        <v>57</v>
      </c>
      <c r="W8214" s="10" t="s">
        <v>51067</v>
      </c>
      <c r="X8214" s="13" t="str">
        <f>HYPERLINK("https://my.pitchbook.com?p=206052-31P","View People Online")</f>
        <v>View People Online</v>
      </c>
    </row>
    <row r="8215">
      <c r="A8215" s="14" t="s">
        <v>51068</v>
      </c>
      <c r="B8215" s="14" t="s">
        <v>51069</v>
      </c>
      <c r="C8215" s="14" t="s">
        <v>1697</v>
      </c>
      <c r="D8215" s="14" t="s">
        <v>51070</v>
      </c>
      <c r="E8215" s="14" t="s">
        <v>51051</v>
      </c>
      <c r="F8215" s="14" t="s">
        <v>51052</v>
      </c>
      <c r="G8215" s="14" t="s">
        <v>51071</v>
      </c>
      <c r="H8215" s="15">
        <v>1.0</v>
      </c>
      <c r="I8215" s="15">
        <v>3.0</v>
      </c>
      <c r="J8215" s="15">
        <v>2.0</v>
      </c>
      <c r="K8215" s="15">
        <v>1.0</v>
      </c>
      <c r="L8215" s="16" t="s">
        <v>51072</v>
      </c>
      <c r="M8215" s="14" t="s">
        <v>51073</v>
      </c>
      <c r="N8215" s="14" t="s">
        <v>665</v>
      </c>
      <c r="O8215" s="16" t="s">
        <v>3857</v>
      </c>
      <c r="P8215" s="14" t="s">
        <v>51056</v>
      </c>
      <c r="Q8215" s="14" t="s">
        <v>51057</v>
      </c>
      <c r="R8215" s="14" t="s">
        <v>1420</v>
      </c>
      <c r="S8215" s="16" t="s">
        <v>51058</v>
      </c>
      <c r="T8215" s="14" t="s">
        <v>66</v>
      </c>
      <c r="U8215" s="16" t="s">
        <v>31</v>
      </c>
      <c r="V8215" s="14" t="s">
        <v>1384</v>
      </c>
      <c r="W8215" s="14" t="s">
        <v>51074</v>
      </c>
      <c r="X8215" s="17" t="str">
        <f>HYPERLINK("https://my.pitchbook.com?p=206047-63P","View People Online")</f>
        <v>View People Online</v>
      </c>
    </row>
    <row r="8216">
      <c r="A8216" s="10" t="s">
        <v>51075</v>
      </c>
      <c r="B8216" s="10" t="s">
        <v>51076</v>
      </c>
      <c r="C8216" s="10" t="s">
        <v>1998</v>
      </c>
      <c r="D8216" s="10" t="s">
        <v>51077</v>
      </c>
      <c r="E8216" s="10" t="s">
        <v>51078</v>
      </c>
      <c r="F8216" s="10" t="s">
        <v>548</v>
      </c>
      <c r="G8216" s="10" t="s">
        <v>51079</v>
      </c>
      <c r="H8216" s="11" t="s">
        <v>31</v>
      </c>
      <c r="I8216" s="11">
        <v>1.0</v>
      </c>
      <c r="J8216" s="11">
        <v>1.0</v>
      </c>
      <c r="K8216" s="11" t="s">
        <v>31</v>
      </c>
      <c r="L8216" s="12" t="s">
        <v>51080</v>
      </c>
      <c r="M8216" s="10" t="s">
        <v>51081</v>
      </c>
      <c r="N8216" s="10" t="s">
        <v>75</v>
      </c>
      <c r="O8216" s="12" t="s">
        <v>76</v>
      </c>
      <c r="P8216" s="10" t="s">
        <v>31</v>
      </c>
      <c r="Q8216" s="10" t="s">
        <v>31</v>
      </c>
      <c r="R8216" s="10" t="s">
        <v>75</v>
      </c>
      <c r="S8216" s="12" t="s">
        <v>31</v>
      </c>
      <c r="T8216" s="10" t="s">
        <v>66</v>
      </c>
      <c r="U8216" s="12" t="s">
        <v>31</v>
      </c>
      <c r="V8216" s="10" t="s">
        <v>51082</v>
      </c>
      <c r="W8216" s="10" t="s">
        <v>51078</v>
      </c>
      <c r="X8216" s="13" t="str">
        <f>HYPERLINK("https://my.pitchbook.com?p=443090-17P","View People Online")</f>
        <v>View People Online</v>
      </c>
    </row>
    <row r="8217">
      <c r="A8217" s="6" t="s">
        <v>51083</v>
      </c>
      <c r="B8217" s="6" t="s">
        <v>51084</v>
      </c>
      <c r="C8217" s="6" t="s">
        <v>51085</v>
      </c>
      <c r="D8217" s="6" t="s">
        <v>51086</v>
      </c>
      <c r="E8217" s="6" t="s">
        <v>51078</v>
      </c>
      <c r="F8217" s="6" t="s">
        <v>221</v>
      </c>
      <c r="G8217" s="6" t="s">
        <v>51087</v>
      </c>
      <c r="H8217" s="7" t="s">
        <v>31</v>
      </c>
      <c r="I8217" s="7">
        <v>1.0</v>
      </c>
      <c r="J8217" s="7">
        <v>1.0</v>
      </c>
      <c r="K8217" s="7" t="s">
        <v>31</v>
      </c>
      <c r="L8217" s="8" t="s">
        <v>51080</v>
      </c>
      <c r="M8217" s="6" t="s">
        <v>51088</v>
      </c>
      <c r="N8217" s="6" t="s">
        <v>75</v>
      </c>
      <c r="O8217" s="8" t="s">
        <v>76</v>
      </c>
      <c r="P8217" s="6" t="s">
        <v>31</v>
      </c>
      <c r="Q8217" s="6" t="s">
        <v>31</v>
      </c>
      <c r="R8217" s="6" t="s">
        <v>75</v>
      </c>
      <c r="S8217" s="8" t="s">
        <v>31</v>
      </c>
      <c r="T8217" s="6" t="s">
        <v>66</v>
      </c>
      <c r="U8217" s="8" t="s">
        <v>31</v>
      </c>
      <c r="V8217" s="6" t="s">
        <v>221</v>
      </c>
      <c r="W8217" s="6" t="s">
        <v>51078</v>
      </c>
      <c r="X8217" s="9" t="str">
        <f>HYPERLINK("https://my.pitchbook.com?p=344993-05P","View People Online")</f>
        <v>View People Online</v>
      </c>
    </row>
    <row r="8218">
      <c r="A8218" s="2" t="s">
        <v>51089</v>
      </c>
      <c r="B8218" s="2" t="s">
        <v>51090</v>
      </c>
      <c r="C8218" s="2" t="s">
        <v>34830</v>
      </c>
      <c r="D8218" s="2" t="s">
        <v>4494</v>
      </c>
      <c r="E8218" s="2" t="s">
        <v>51078</v>
      </c>
      <c r="F8218" s="2" t="s">
        <v>5065</v>
      </c>
      <c r="G8218" s="2" t="s">
        <v>51091</v>
      </c>
      <c r="H8218" s="3" t="s">
        <v>31</v>
      </c>
      <c r="I8218" s="3">
        <v>1.0</v>
      </c>
      <c r="J8218" s="3">
        <v>1.0</v>
      </c>
      <c r="K8218" s="3" t="s">
        <v>31</v>
      </c>
      <c r="L8218" s="4" t="s">
        <v>51080</v>
      </c>
      <c r="M8218" s="2" t="s">
        <v>51092</v>
      </c>
      <c r="N8218" s="2" t="s">
        <v>75</v>
      </c>
      <c r="O8218" s="4" t="s">
        <v>76</v>
      </c>
      <c r="P8218" s="2" t="s">
        <v>31</v>
      </c>
      <c r="Q8218" s="2" t="s">
        <v>31</v>
      </c>
      <c r="R8218" s="2" t="s">
        <v>75</v>
      </c>
      <c r="S8218" s="4" t="s">
        <v>31</v>
      </c>
      <c r="T8218" s="2" t="s">
        <v>66</v>
      </c>
      <c r="U8218" s="4" t="s">
        <v>31</v>
      </c>
      <c r="V8218" s="2" t="s">
        <v>51093</v>
      </c>
      <c r="W8218" s="2" t="s">
        <v>51078</v>
      </c>
      <c r="X8218" s="5" t="str">
        <f>HYPERLINK("https://my.pitchbook.com?p=389101-51P","View People Online")</f>
        <v>View People Online</v>
      </c>
    </row>
    <row r="8219">
      <c r="A8219" s="6" t="s">
        <v>51094</v>
      </c>
      <c r="B8219" s="6" t="s">
        <v>51095</v>
      </c>
      <c r="C8219" s="6" t="s">
        <v>3082</v>
      </c>
      <c r="D8219" s="6" t="s">
        <v>51096</v>
      </c>
      <c r="E8219" s="6" t="s">
        <v>51078</v>
      </c>
      <c r="F8219" s="6" t="s">
        <v>1167</v>
      </c>
      <c r="G8219" s="6" t="s">
        <v>51097</v>
      </c>
      <c r="H8219" s="7" t="s">
        <v>31</v>
      </c>
      <c r="I8219" s="7">
        <v>4.0</v>
      </c>
      <c r="J8219" s="7">
        <v>1.0</v>
      </c>
      <c r="K8219" s="7">
        <v>1.0</v>
      </c>
      <c r="L8219" s="8" t="s">
        <v>51080</v>
      </c>
      <c r="M8219" s="6" t="s">
        <v>51098</v>
      </c>
      <c r="N8219" s="6" t="s">
        <v>75</v>
      </c>
      <c r="O8219" s="8" t="s">
        <v>76</v>
      </c>
      <c r="P8219" s="6" t="s">
        <v>31</v>
      </c>
      <c r="Q8219" s="6" t="s">
        <v>31</v>
      </c>
      <c r="R8219" s="6" t="s">
        <v>75</v>
      </c>
      <c r="S8219" s="8" t="s">
        <v>31</v>
      </c>
      <c r="T8219" s="6" t="s">
        <v>66</v>
      </c>
      <c r="U8219" s="8" t="s">
        <v>31</v>
      </c>
      <c r="V8219" s="6" t="s">
        <v>558</v>
      </c>
      <c r="W8219" s="6" t="s">
        <v>51078</v>
      </c>
      <c r="X8219" s="9" t="str">
        <f>HYPERLINK("https://my.pitchbook.com?p=344992-69P","View People Online")</f>
        <v>View People Online</v>
      </c>
    </row>
    <row r="8220">
      <c r="A8220" s="2" t="s">
        <v>51099</v>
      </c>
      <c r="B8220" s="2" t="s">
        <v>51100</v>
      </c>
      <c r="C8220" s="2" t="s">
        <v>536</v>
      </c>
      <c r="D8220" s="2" t="s">
        <v>51101</v>
      </c>
      <c r="E8220" s="2" t="s">
        <v>51078</v>
      </c>
      <c r="F8220" s="2" t="s">
        <v>78</v>
      </c>
      <c r="G8220" s="2" t="s">
        <v>51102</v>
      </c>
      <c r="H8220" s="3" t="s">
        <v>31</v>
      </c>
      <c r="I8220" s="3">
        <v>2.0</v>
      </c>
      <c r="J8220" s="3">
        <v>1.0</v>
      </c>
      <c r="K8220" s="3">
        <v>1.0</v>
      </c>
      <c r="L8220" s="4" t="s">
        <v>51080</v>
      </c>
      <c r="M8220" s="2" t="s">
        <v>51103</v>
      </c>
      <c r="N8220" s="2" t="s">
        <v>75</v>
      </c>
      <c r="O8220" s="4" t="s">
        <v>76</v>
      </c>
      <c r="P8220" s="2" t="s">
        <v>31</v>
      </c>
      <c r="Q8220" s="2" t="s">
        <v>31</v>
      </c>
      <c r="R8220" s="2" t="s">
        <v>75</v>
      </c>
      <c r="S8220" s="4" t="s">
        <v>31</v>
      </c>
      <c r="T8220" s="2" t="s">
        <v>66</v>
      </c>
      <c r="U8220" s="4" t="s">
        <v>31</v>
      </c>
      <c r="V8220" s="2" t="s">
        <v>78</v>
      </c>
      <c r="W8220" s="2" t="s">
        <v>51078</v>
      </c>
      <c r="X8220" s="5" t="str">
        <f>HYPERLINK("https://my.pitchbook.com?p=42224-86P","View People Online")</f>
        <v>View People Online</v>
      </c>
    </row>
    <row r="8221">
      <c r="A8221" s="14" t="s">
        <v>51104</v>
      </c>
      <c r="B8221" s="14" t="s">
        <v>51105</v>
      </c>
      <c r="C8221" s="14" t="s">
        <v>51106</v>
      </c>
      <c r="D8221" s="14" t="s">
        <v>27348</v>
      </c>
      <c r="E8221" s="14" t="s">
        <v>51107</v>
      </c>
      <c r="F8221" s="14" t="s">
        <v>3523</v>
      </c>
      <c r="G8221" s="14" t="s">
        <v>51108</v>
      </c>
      <c r="H8221" s="15" t="s">
        <v>31</v>
      </c>
      <c r="I8221" s="15">
        <v>3.0</v>
      </c>
      <c r="J8221" s="15">
        <v>3.0</v>
      </c>
      <c r="K8221" s="15" t="s">
        <v>31</v>
      </c>
      <c r="L8221" s="16" t="s">
        <v>51109</v>
      </c>
      <c r="M8221" s="14" t="s">
        <v>51110</v>
      </c>
      <c r="N8221" s="14" t="s">
        <v>51111</v>
      </c>
      <c r="O8221" s="16" t="s">
        <v>51112</v>
      </c>
      <c r="P8221" s="14" t="s">
        <v>51113</v>
      </c>
      <c r="Q8221" s="14" t="s">
        <v>51114</v>
      </c>
      <c r="R8221" s="14" t="s">
        <v>7693</v>
      </c>
      <c r="S8221" s="16" t="s">
        <v>51115</v>
      </c>
      <c r="T8221" s="14" t="s">
        <v>66</v>
      </c>
      <c r="U8221" s="16" t="s">
        <v>31</v>
      </c>
      <c r="V8221" s="14" t="s">
        <v>51116</v>
      </c>
      <c r="W8221" s="14" t="s">
        <v>51107</v>
      </c>
      <c r="X8221" s="17" t="str">
        <f>HYPERLINK("https://my.pitchbook.com?p=43684-75P","View People Online")</f>
        <v>View People Online</v>
      </c>
    </row>
    <row r="8222">
      <c r="A8222" s="10" t="s">
        <v>51117</v>
      </c>
      <c r="B8222" s="10" t="s">
        <v>51118</v>
      </c>
      <c r="C8222" s="10" t="s">
        <v>24222</v>
      </c>
      <c r="D8222" s="10" t="s">
        <v>51119</v>
      </c>
      <c r="E8222" s="10" t="s">
        <v>51107</v>
      </c>
      <c r="F8222" s="10" t="s">
        <v>25143</v>
      </c>
      <c r="G8222" s="10" t="s">
        <v>51120</v>
      </c>
      <c r="H8222" s="11" t="s">
        <v>31</v>
      </c>
      <c r="I8222" s="11">
        <v>1.0</v>
      </c>
      <c r="J8222" s="11">
        <v>1.0</v>
      </c>
      <c r="K8222" s="11" t="s">
        <v>31</v>
      </c>
      <c r="L8222" s="12" t="s">
        <v>51109</v>
      </c>
      <c r="M8222" s="10" t="s">
        <v>51121</v>
      </c>
      <c r="N8222" s="10" t="s">
        <v>51111</v>
      </c>
      <c r="O8222" s="12" t="s">
        <v>51112</v>
      </c>
      <c r="P8222" s="10" t="s">
        <v>51113</v>
      </c>
      <c r="Q8222" s="10" t="s">
        <v>51114</v>
      </c>
      <c r="R8222" s="10" t="s">
        <v>7693</v>
      </c>
      <c r="S8222" s="12" t="s">
        <v>51115</v>
      </c>
      <c r="T8222" s="10" t="s">
        <v>66</v>
      </c>
      <c r="U8222" s="12" t="s">
        <v>31</v>
      </c>
      <c r="V8222" s="10" t="s">
        <v>51122</v>
      </c>
      <c r="W8222" s="10" t="s">
        <v>51107</v>
      </c>
      <c r="X8222" s="13" t="str">
        <f>HYPERLINK("https://my.pitchbook.com?p=358622-74P","View People Online")</f>
        <v>View People Online</v>
      </c>
    </row>
    <row r="8223">
      <c r="A8223" s="6" t="s">
        <v>51123</v>
      </c>
      <c r="B8223" s="6" t="s">
        <v>51124</v>
      </c>
      <c r="C8223" s="6" t="s">
        <v>51125</v>
      </c>
      <c r="D8223" s="6" t="s">
        <v>3651</v>
      </c>
      <c r="E8223" s="6" t="s">
        <v>51107</v>
      </c>
      <c r="F8223" s="6" t="s">
        <v>24979</v>
      </c>
      <c r="G8223" s="6" t="s">
        <v>51126</v>
      </c>
      <c r="H8223" s="7">
        <v>1.0</v>
      </c>
      <c r="I8223" s="7">
        <v>4.0</v>
      </c>
      <c r="J8223" s="7">
        <v>2.0</v>
      </c>
      <c r="K8223" s="7">
        <v>1.0</v>
      </c>
      <c r="L8223" s="8" t="s">
        <v>51109</v>
      </c>
      <c r="M8223" s="6" t="s">
        <v>51127</v>
      </c>
      <c r="N8223" s="6" t="s">
        <v>51111</v>
      </c>
      <c r="O8223" s="8" t="s">
        <v>51112</v>
      </c>
      <c r="P8223" s="6" t="s">
        <v>51113</v>
      </c>
      <c r="Q8223" s="6" t="s">
        <v>51114</v>
      </c>
      <c r="R8223" s="6" t="s">
        <v>7693</v>
      </c>
      <c r="S8223" s="8" t="s">
        <v>51115</v>
      </c>
      <c r="T8223" s="6" t="s">
        <v>66</v>
      </c>
      <c r="U8223" s="8" t="s">
        <v>31</v>
      </c>
      <c r="V8223" s="6" t="s">
        <v>51128</v>
      </c>
      <c r="W8223" s="6" t="s">
        <v>51107</v>
      </c>
      <c r="X8223" s="9" t="str">
        <f>HYPERLINK("https://my.pitchbook.com?p=203112-55P","View People Online")</f>
        <v>View People Online</v>
      </c>
    </row>
    <row r="8224">
      <c r="A8224" s="2" t="s">
        <v>51129</v>
      </c>
      <c r="B8224" s="2" t="s">
        <v>51130</v>
      </c>
      <c r="C8224" s="2" t="s">
        <v>1998</v>
      </c>
      <c r="D8224" s="2" t="s">
        <v>51131</v>
      </c>
      <c r="E8224" s="2" t="s">
        <v>51107</v>
      </c>
      <c r="F8224" s="2" t="s">
        <v>548</v>
      </c>
      <c r="G8224" s="2" t="s">
        <v>51132</v>
      </c>
      <c r="H8224" s="3" t="s">
        <v>31</v>
      </c>
      <c r="I8224" s="3">
        <v>1.0</v>
      </c>
      <c r="J8224" s="3">
        <v>1.0</v>
      </c>
      <c r="K8224" s="3" t="s">
        <v>31</v>
      </c>
      <c r="L8224" s="4" t="s">
        <v>51133</v>
      </c>
      <c r="M8224" s="2" t="s">
        <v>51134</v>
      </c>
      <c r="N8224" s="2" t="s">
        <v>51111</v>
      </c>
      <c r="O8224" s="4" t="s">
        <v>51112</v>
      </c>
      <c r="P8224" s="2" t="s">
        <v>51113</v>
      </c>
      <c r="Q8224" s="2" t="s">
        <v>51114</v>
      </c>
      <c r="R8224" s="2" t="s">
        <v>7693</v>
      </c>
      <c r="S8224" s="4" t="s">
        <v>51115</v>
      </c>
      <c r="T8224" s="2" t="s">
        <v>66</v>
      </c>
      <c r="U8224" s="4" t="s">
        <v>31</v>
      </c>
      <c r="V8224" s="2" t="s">
        <v>8067</v>
      </c>
      <c r="W8224" s="2" t="s">
        <v>51107</v>
      </c>
      <c r="X8224" s="5" t="str">
        <f>HYPERLINK("https://my.pitchbook.com?p=399624-04P","View People Online")</f>
        <v>View People Online</v>
      </c>
    </row>
    <row r="8225">
      <c r="A8225" s="6" t="s">
        <v>51135</v>
      </c>
      <c r="B8225" s="6" t="s">
        <v>51136</v>
      </c>
      <c r="C8225" s="6" t="s">
        <v>3670</v>
      </c>
      <c r="D8225" s="6" t="s">
        <v>14739</v>
      </c>
      <c r="E8225" s="6" t="s">
        <v>51107</v>
      </c>
      <c r="F8225" s="6" t="s">
        <v>51137</v>
      </c>
      <c r="G8225" s="6" t="s">
        <v>51138</v>
      </c>
      <c r="H8225" s="7" t="s">
        <v>31</v>
      </c>
      <c r="I8225" s="7">
        <v>1.0</v>
      </c>
      <c r="J8225" s="7">
        <v>1.0</v>
      </c>
      <c r="K8225" s="7" t="s">
        <v>31</v>
      </c>
      <c r="L8225" s="8" t="s">
        <v>51109</v>
      </c>
      <c r="M8225" s="6" t="s">
        <v>51139</v>
      </c>
      <c r="N8225" s="6" t="s">
        <v>51111</v>
      </c>
      <c r="O8225" s="8" t="s">
        <v>51112</v>
      </c>
      <c r="P8225" s="6" t="s">
        <v>51113</v>
      </c>
      <c r="Q8225" s="6" t="s">
        <v>51114</v>
      </c>
      <c r="R8225" s="6" t="s">
        <v>7693</v>
      </c>
      <c r="S8225" s="8" t="s">
        <v>51115</v>
      </c>
      <c r="T8225" s="6" t="s">
        <v>66</v>
      </c>
      <c r="U8225" s="8" t="s">
        <v>31</v>
      </c>
      <c r="V8225" s="6" t="s">
        <v>51140</v>
      </c>
      <c r="W8225" s="6" t="s">
        <v>51107</v>
      </c>
      <c r="X8225" s="9" t="str">
        <f>HYPERLINK("https://my.pitchbook.com?p=89900-29P","View People Online")</f>
        <v>View People Online</v>
      </c>
    </row>
    <row r="8226">
      <c r="A8226" s="10" t="s">
        <v>51141</v>
      </c>
      <c r="B8226" s="10" t="s">
        <v>51142</v>
      </c>
      <c r="C8226" s="10" t="s">
        <v>51143</v>
      </c>
      <c r="D8226" s="10" t="s">
        <v>51144</v>
      </c>
      <c r="E8226" s="10" t="s">
        <v>51107</v>
      </c>
      <c r="F8226" s="10" t="s">
        <v>57</v>
      </c>
      <c r="G8226" s="10" t="s">
        <v>51145</v>
      </c>
      <c r="H8226" s="11" t="s">
        <v>31</v>
      </c>
      <c r="I8226" s="11">
        <v>1.0</v>
      </c>
      <c r="J8226" s="11">
        <v>1.0</v>
      </c>
      <c r="K8226" s="11" t="s">
        <v>31</v>
      </c>
      <c r="L8226" s="12" t="s">
        <v>51146</v>
      </c>
      <c r="M8226" s="10" t="s">
        <v>51147</v>
      </c>
      <c r="N8226" s="10" t="s">
        <v>51111</v>
      </c>
      <c r="O8226" s="12" t="s">
        <v>51112</v>
      </c>
      <c r="P8226" s="10" t="s">
        <v>51113</v>
      </c>
      <c r="Q8226" s="10" t="s">
        <v>51114</v>
      </c>
      <c r="R8226" s="10" t="s">
        <v>7693</v>
      </c>
      <c r="S8226" s="12" t="s">
        <v>51115</v>
      </c>
      <c r="T8226" s="10" t="s">
        <v>66</v>
      </c>
      <c r="U8226" s="12" t="s">
        <v>31</v>
      </c>
      <c r="V8226" s="10" t="s">
        <v>51148</v>
      </c>
      <c r="W8226" s="10" t="s">
        <v>51107</v>
      </c>
      <c r="X8226" s="13" t="str">
        <f>HYPERLINK("https://my.pitchbook.com?p=304420-51P","View People Online")</f>
        <v>View People Online</v>
      </c>
    </row>
    <row r="8227">
      <c r="A8227" s="6" t="s">
        <v>51149</v>
      </c>
      <c r="B8227" s="6" t="s">
        <v>51150</v>
      </c>
      <c r="C8227" s="6" t="s">
        <v>27485</v>
      </c>
      <c r="D8227" s="6" t="s">
        <v>51151</v>
      </c>
      <c r="E8227" s="6" t="s">
        <v>51107</v>
      </c>
      <c r="F8227" s="6" t="s">
        <v>548</v>
      </c>
      <c r="G8227" s="6" t="s">
        <v>51152</v>
      </c>
      <c r="H8227" s="7" t="s">
        <v>31</v>
      </c>
      <c r="I8227" s="7">
        <v>1.0</v>
      </c>
      <c r="J8227" s="7">
        <v>1.0</v>
      </c>
      <c r="K8227" s="7" t="s">
        <v>31</v>
      </c>
      <c r="L8227" s="8" t="s">
        <v>51109</v>
      </c>
      <c r="M8227" s="6" t="s">
        <v>51153</v>
      </c>
      <c r="N8227" s="6" t="s">
        <v>51111</v>
      </c>
      <c r="O8227" s="8" t="s">
        <v>51112</v>
      </c>
      <c r="P8227" s="6" t="s">
        <v>51113</v>
      </c>
      <c r="Q8227" s="6" t="s">
        <v>51114</v>
      </c>
      <c r="R8227" s="6" t="s">
        <v>7693</v>
      </c>
      <c r="S8227" s="8" t="s">
        <v>51115</v>
      </c>
      <c r="T8227" s="6" t="s">
        <v>66</v>
      </c>
      <c r="U8227" s="8" t="s">
        <v>31</v>
      </c>
      <c r="V8227" s="6" t="s">
        <v>760</v>
      </c>
      <c r="W8227" s="6" t="s">
        <v>51107</v>
      </c>
      <c r="X8227" s="9" t="str">
        <f>HYPERLINK("https://my.pitchbook.com?p=358624-00P","View People Online")</f>
        <v>View People Online</v>
      </c>
    </row>
    <row r="8228">
      <c r="A8228" s="10" t="s">
        <v>51154</v>
      </c>
      <c r="B8228" s="10" t="s">
        <v>51155</v>
      </c>
      <c r="C8228" s="10" t="s">
        <v>3716</v>
      </c>
      <c r="D8228" s="10" t="s">
        <v>51156</v>
      </c>
      <c r="E8228" s="10" t="s">
        <v>51107</v>
      </c>
      <c r="F8228" s="10" t="s">
        <v>548</v>
      </c>
      <c r="G8228" s="10" t="s">
        <v>51157</v>
      </c>
      <c r="H8228" s="11" t="s">
        <v>31</v>
      </c>
      <c r="I8228" s="11">
        <v>1.0</v>
      </c>
      <c r="J8228" s="11">
        <v>1.0</v>
      </c>
      <c r="K8228" s="11" t="s">
        <v>31</v>
      </c>
      <c r="L8228" s="12" t="s">
        <v>51109</v>
      </c>
      <c r="M8228" s="10" t="s">
        <v>51158</v>
      </c>
      <c r="N8228" s="10" t="s">
        <v>51111</v>
      </c>
      <c r="O8228" s="12" t="s">
        <v>51112</v>
      </c>
      <c r="P8228" s="10" t="s">
        <v>51113</v>
      </c>
      <c r="Q8228" s="10" t="s">
        <v>51114</v>
      </c>
      <c r="R8228" s="10" t="s">
        <v>7693</v>
      </c>
      <c r="S8228" s="12" t="s">
        <v>51115</v>
      </c>
      <c r="T8228" s="10" t="s">
        <v>66</v>
      </c>
      <c r="U8228" s="12" t="s">
        <v>31</v>
      </c>
      <c r="V8228" s="10" t="s">
        <v>51159</v>
      </c>
      <c r="W8228" s="10" t="s">
        <v>51107</v>
      </c>
      <c r="X8228" s="13" t="str">
        <f>HYPERLINK("https://my.pitchbook.com?p=311140-00P","View People Online")</f>
        <v>View People Online</v>
      </c>
    </row>
    <row r="8229">
      <c r="A8229" s="6" t="s">
        <v>51160</v>
      </c>
      <c r="B8229" s="6" t="s">
        <v>51161</v>
      </c>
      <c r="C8229" s="6" t="s">
        <v>25787</v>
      </c>
      <c r="D8229" s="6" t="s">
        <v>51162</v>
      </c>
      <c r="E8229" s="6" t="s">
        <v>51163</v>
      </c>
      <c r="F8229" s="6" t="s">
        <v>4192</v>
      </c>
      <c r="G8229" s="6" t="s">
        <v>51164</v>
      </c>
      <c r="H8229" s="7">
        <v>1.0</v>
      </c>
      <c r="I8229" s="7">
        <v>2.0</v>
      </c>
      <c r="J8229" s="7">
        <v>1.0</v>
      </c>
      <c r="K8229" s="7" t="s">
        <v>31</v>
      </c>
      <c r="L8229" s="8" t="s">
        <v>51165</v>
      </c>
      <c r="M8229" s="6" t="s">
        <v>51166</v>
      </c>
      <c r="N8229" s="6" t="s">
        <v>1170</v>
      </c>
      <c r="O8229" s="8" t="s">
        <v>1171</v>
      </c>
      <c r="P8229" s="6" t="s">
        <v>31</v>
      </c>
      <c r="Q8229" s="6" t="s">
        <v>31</v>
      </c>
      <c r="R8229" s="6" t="s">
        <v>64</v>
      </c>
      <c r="S8229" s="8" t="s">
        <v>31</v>
      </c>
      <c r="T8229" s="6" t="s">
        <v>66</v>
      </c>
      <c r="U8229" s="8" t="s">
        <v>31</v>
      </c>
      <c r="V8229" s="6" t="s">
        <v>4192</v>
      </c>
      <c r="W8229" s="6" t="s">
        <v>51163</v>
      </c>
      <c r="X8229" s="9" t="str">
        <f>HYPERLINK("https://my.pitchbook.com?p=268184-80P","View People Online")</f>
        <v>View People Online</v>
      </c>
    </row>
    <row r="8230">
      <c r="A8230" s="2" t="s">
        <v>51167</v>
      </c>
      <c r="B8230" s="2" t="s">
        <v>51168</v>
      </c>
      <c r="C8230" s="2" t="s">
        <v>51169</v>
      </c>
      <c r="D8230" s="2" t="s">
        <v>51170</v>
      </c>
      <c r="E8230" s="2" t="s">
        <v>51163</v>
      </c>
      <c r="F8230" s="2" t="s">
        <v>81</v>
      </c>
      <c r="G8230" s="2" t="s">
        <v>51171</v>
      </c>
      <c r="H8230" s="3" t="s">
        <v>31</v>
      </c>
      <c r="I8230" s="3">
        <v>2.0</v>
      </c>
      <c r="J8230" s="3">
        <v>1.0</v>
      </c>
      <c r="K8230" s="3" t="s">
        <v>31</v>
      </c>
      <c r="L8230" s="4" t="s">
        <v>51172</v>
      </c>
      <c r="M8230" s="2" t="s">
        <v>31</v>
      </c>
      <c r="N8230" s="2" t="s">
        <v>51173</v>
      </c>
      <c r="O8230" s="4" t="s">
        <v>51174</v>
      </c>
      <c r="P8230" s="2" t="s">
        <v>51175</v>
      </c>
      <c r="Q8230" s="2" t="s">
        <v>31</v>
      </c>
      <c r="R8230" s="2" t="s">
        <v>64</v>
      </c>
      <c r="S8230" s="4" t="s">
        <v>51176</v>
      </c>
      <c r="T8230" s="2" t="s">
        <v>66</v>
      </c>
      <c r="U8230" s="4" t="s">
        <v>31</v>
      </c>
      <c r="V8230" s="2" t="s">
        <v>114</v>
      </c>
      <c r="W8230" s="2" t="s">
        <v>51177</v>
      </c>
      <c r="X8230" s="5" t="str">
        <f>HYPERLINK("https://my.pitchbook.com?p=384611-23P","View People Online")</f>
        <v>View People Online</v>
      </c>
    </row>
    <row r="8231">
      <c r="A8231" s="6" t="s">
        <v>51178</v>
      </c>
      <c r="B8231" s="6" t="s">
        <v>51179</v>
      </c>
      <c r="C8231" s="6" t="s">
        <v>7252</v>
      </c>
      <c r="D8231" s="6" t="s">
        <v>15750</v>
      </c>
      <c r="E8231" s="6" t="s">
        <v>51163</v>
      </c>
      <c r="F8231" s="6" t="s">
        <v>81</v>
      </c>
      <c r="G8231" s="6" t="s">
        <v>51180</v>
      </c>
      <c r="H8231" s="7" t="s">
        <v>31</v>
      </c>
      <c r="I8231" s="7">
        <v>1.0</v>
      </c>
      <c r="J8231" s="7" t="s">
        <v>31</v>
      </c>
      <c r="K8231" s="7" t="s">
        <v>31</v>
      </c>
      <c r="L8231" s="8" t="s">
        <v>51181</v>
      </c>
      <c r="M8231" s="6" t="s">
        <v>31</v>
      </c>
      <c r="N8231" s="6" t="s">
        <v>11530</v>
      </c>
      <c r="O8231" s="8" t="s">
        <v>11531</v>
      </c>
      <c r="P8231" s="6" t="s">
        <v>51182</v>
      </c>
      <c r="Q8231" s="6" t="s">
        <v>5626</v>
      </c>
      <c r="R8231" s="6" t="s">
        <v>64</v>
      </c>
      <c r="S8231" s="8" t="s">
        <v>11533</v>
      </c>
      <c r="T8231" s="6" t="s">
        <v>66</v>
      </c>
      <c r="U8231" s="8" t="s">
        <v>31</v>
      </c>
      <c r="V8231" s="6" t="s">
        <v>81</v>
      </c>
      <c r="W8231" s="6" t="s">
        <v>51163</v>
      </c>
      <c r="X8231" s="9" t="str">
        <f>HYPERLINK("https://my.pitchbook.com?p=329192-56P","View People Online")</f>
        <v>View People Online</v>
      </c>
    </row>
    <row r="8232">
      <c r="A8232" s="10" t="s">
        <v>51183</v>
      </c>
      <c r="B8232" s="10" t="s">
        <v>51184</v>
      </c>
      <c r="C8232" s="10" t="s">
        <v>4169</v>
      </c>
      <c r="D8232" s="10" t="s">
        <v>49641</v>
      </c>
      <c r="E8232" s="10" t="s">
        <v>51163</v>
      </c>
      <c r="F8232" s="10" t="s">
        <v>51052</v>
      </c>
      <c r="G8232" s="10" t="s">
        <v>51185</v>
      </c>
      <c r="H8232" s="11" t="s">
        <v>31</v>
      </c>
      <c r="I8232" s="11">
        <v>1.0</v>
      </c>
      <c r="J8232" s="11">
        <v>1.0</v>
      </c>
      <c r="K8232" s="11" t="s">
        <v>31</v>
      </c>
      <c r="L8232" s="12" t="s">
        <v>51186</v>
      </c>
      <c r="M8232" s="10" t="s">
        <v>51187</v>
      </c>
      <c r="N8232" s="10" t="s">
        <v>11530</v>
      </c>
      <c r="O8232" s="12" t="s">
        <v>11531</v>
      </c>
      <c r="P8232" s="10" t="s">
        <v>51182</v>
      </c>
      <c r="Q8232" s="10" t="s">
        <v>5626</v>
      </c>
      <c r="R8232" s="10" t="s">
        <v>64</v>
      </c>
      <c r="S8232" s="12" t="s">
        <v>11533</v>
      </c>
      <c r="T8232" s="10" t="s">
        <v>66</v>
      </c>
      <c r="U8232" s="12" t="s">
        <v>31</v>
      </c>
      <c r="V8232" s="10" t="s">
        <v>51059</v>
      </c>
      <c r="W8232" s="10" t="s">
        <v>51163</v>
      </c>
      <c r="X8232" s="13" t="str">
        <f>HYPERLINK("https://my.pitchbook.com?p=281612-89P","View People Online")</f>
        <v>View People Online</v>
      </c>
    </row>
    <row r="8233">
      <c r="A8233" s="6" t="s">
        <v>51188</v>
      </c>
      <c r="B8233" s="6" t="s">
        <v>51189</v>
      </c>
      <c r="C8233" s="6" t="s">
        <v>1125</v>
      </c>
      <c r="D8233" s="6" t="s">
        <v>46927</v>
      </c>
      <c r="E8233" s="6" t="s">
        <v>51163</v>
      </c>
      <c r="F8233" s="6" t="s">
        <v>371</v>
      </c>
      <c r="G8233" s="6" t="s">
        <v>51190</v>
      </c>
      <c r="H8233" s="7" t="s">
        <v>31</v>
      </c>
      <c r="I8233" s="7">
        <v>1.0</v>
      </c>
      <c r="J8233" s="7">
        <v>1.0</v>
      </c>
      <c r="K8233" s="7" t="s">
        <v>31</v>
      </c>
      <c r="L8233" s="8" t="s">
        <v>51181</v>
      </c>
      <c r="M8233" s="6" t="s">
        <v>51191</v>
      </c>
      <c r="N8233" s="6" t="s">
        <v>11530</v>
      </c>
      <c r="O8233" s="8" t="s">
        <v>11531</v>
      </c>
      <c r="P8233" s="6" t="s">
        <v>51182</v>
      </c>
      <c r="Q8233" s="6" t="s">
        <v>5626</v>
      </c>
      <c r="R8233" s="6" t="s">
        <v>64</v>
      </c>
      <c r="S8233" s="8" t="s">
        <v>11533</v>
      </c>
      <c r="T8233" s="6" t="s">
        <v>66</v>
      </c>
      <c r="U8233" s="8" t="s">
        <v>31</v>
      </c>
      <c r="V8233" s="6" t="s">
        <v>371</v>
      </c>
      <c r="W8233" s="6" t="s">
        <v>51163</v>
      </c>
      <c r="X8233" s="9" t="str">
        <f>HYPERLINK("https://my.pitchbook.com?p=292978-45P","View People Online")</f>
        <v>View People Online</v>
      </c>
    </row>
    <row r="8234">
      <c r="A8234" s="10" t="s">
        <v>51192</v>
      </c>
      <c r="B8234" s="10" t="s">
        <v>51193</v>
      </c>
      <c r="C8234" s="10" t="s">
        <v>16686</v>
      </c>
      <c r="D8234" s="10" t="s">
        <v>51194</v>
      </c>
      <c r="E8234" s="10" t="s">
        <v>51163</v>
      </c>
      <c r="F8234" s="10" t="s">
        <v>81</v>
      </c>
      <c r="G8234" s="10" t="s">
        <v>51195</v>
      </c>
      <c r="H8234" s="11">
        <v>2.0</v>
      </c>
      <c r="I8234" s="11">
        <v>5.0</v>
      </c>
      <c r="J8234" s="11">
        <v>3.0</v>
      </c>
      <c r="K8234" s="11" t="s">
        <v>31</v>
      </c>
      <c r="L8234" s="12" t="s">
        <v>51196</v>
      </c>
      <c r="M8234" s="10" t="s">
        <v>51197</v>
      </c>
      <c r="N8234" s="10" t="s">
        <v>51198</v>
      </c>
      <c r="O8234" s="12" t="s">
        <v>51199</v>
      </c>
      <c r="P8234" s="10" t="s">
        <v>51200</v>
      </c>
      <c r="Q8234" s="10" t="s">
        <v>51201</v>
      </c>
      <c r="R8234" s="10" t="s">
        <v>64</v>
      </c>
      <c r="S8234" s="12" t="s">
        <v>51202</v>
      </c>
      <c r="T8234" s="10" t="s">
        <v>66</v>
      </c>
      <c r="U8234" s="12" t="s">
        <v>31</v>
      </c>
      <c r="V8234" s="10" t="s">
        <v>24354</v>
      </c>
      <c r="W8234" s="10" t="s">
        <v>51203</v>
      </c>
      <c r="X8234" s="13" t="str">
        <f>HYPERLINK("https://my.pitchbook.com?p=241526-71P","View People Online")</f>
        <v>View People Online</v>
      </c>
    </row>
    <row r="8235">
      <c r="A8235" s="14" t="s">
        <v>51204</v>
      </c>
      <c r="B8235" s="14" t="s">
        <v>51205</v>
      </c>
      <c r="C8235" s="14" t="s">
        <v>18382</v>
      </c>
      <c r="D8235" s="14" t="s">
        <v>51206</v>
      </c>
      <c r="E8235" s="14" t="s">
        <v>51163</v>
      </c>
      <c r="F8235" s="14" t="s">
        <v>81</v>
      </c>
      <c r="G8235" s="14" t="s">
        <v>51207</v>
      </c>
      <c r="H8235" s="15" t="s">
        <v>31</v>
      </c>
      <c r="I8235" s="15">
        <v>1.0</v>
      </c>
      <c r="J8235" s="15" t="s">
        <v>31</v>
      </c>
      <c r="K8235" s="15" t="s">
        <v>31</v>
      </c>
      <c r="L8235" s="16" t="s">
        <v>31</v>
      </c>
      <c r="M8235" s="14" t="s">
        <v>31</v>
      </c>
      <c r="N8235" s="14" t="s">
        <v>1170</v>
      </c>
      <c r="O8235" s="16" t="s">
        <v>1171</v>
      </c>
      <c r="P8235" s="14" t="s">
        <v>31</v>
      </c>
      <c r="Q8235" s="14" t="s">
        <v>31</v>
      </c>
      <c r="R8235" s="14" t="s">
        <v>64</v>
      </c>
      <c r="S8235" s="16" t="s">
        <v>31</v>
      </c>
      <c r="T8235" s="14" t="s">
        <v>66</v>
      </c>
      <c r="U8235" s="16" t="s">
        <v>31</v>
      </c>
      <c r="V8235" s="14" t="s">
        <v>81</v>
      </c>
      <c r="W8235" s="14" t="s">
        <v>51163</v>
      </c>
      <c r="X8235" s="17" t="str">
        <f>HYPERLINK("https://my.pitchbook.com?p=421803-55P","View People Online")</f>
        <v>View People Online</v>
      </c>
    </row>
    <row r="8236">
      <c r="A8236" s="2" t="s">
        <v>51208</v>
      </c>
      <c r="B8236" s="2" t="s">
        <v>51209</v>
      </c>
      <c r="C8236" s="2" t="s">
        <v>5106</v>
      </c>
      <c r="D8236" s="2" t="s">
        <v>51210</v>
      </c>
      <c r="E8236" s="2" t="s">
        <v>51163</v>
      </c>
      <c r="F8236" s="2" t="s">
        <v>81</v>
      </c>
      <c r="G8236" s="2" t="s">
        <v>51211</v>
      </c>
      <c r="H8236" s="3">
        <v>3.0</v>
      </c>
      <c r="I8236" s="3">
        <v>26.0</v>
      </c>
      <c r="J8236" s="3">
        <v>2.0</v>
      </c>
      <c r="K8236" s="3">
        <v>19.0</v>
      </c>
      <c r="L8236" s="4" t="s">
        <v>51212</v>
      </c>
      <c r="M8236" s="2" t="s">
        <v>51213</v>
      </c>
      <c r="N8236" s="2" t="s">
        <v>1277</v>
      </c>
      <c r="O8236" s="4" t="s">
        <v>1278</v>
      </c>
      <c r="P8236" s="2" t="s">
        <v>51214</v>
      </c>
      <c r="Q8236" s="2" t="s">
        <v>1280</v>
      </c>
      <c r="R8236" s="2" t="s">
        <v>1281</v>
      </c>
      <c r="S8236" s="4" t="s">
        <v>37039</v>
      </c>
      <c r="T8236" s="2" t="s">
        <v>66</v>
      </c>
      <c r="U8236" s="4" t="s">
        <v>31</v>
      </c>
      <c r="V8236" s="2" t="s">
        <v>991</v>
      </c>
      <c r="W8236" s="2" t="s">
        <v>51215</v>
      </c>
      <c r="X8236" s="5" t="str">
        <f>HYPERLINK("https://my.pitchbook.com?p=49370-95P","View People Online")</f>
        <v>View People Online</v>
      </c>
    </row>
    <row r="8237">
      <c r="A8237" s="14" t="s">
        <v>51216</v>
      </c>
      <c r="B8237" s="14" t="s">
        <v>51217</v>
      </c>
      <c r="C8237" s="14" t="s">
        <v>18767</v>
      </c>
      <c r="D8237" s="14" t="s">
        <v>51218</v>
      </c>
      <c r="E8237" s="14" t="s">
        <v>51163</v>
      </c>
      <c r="F8237" s="14" t="s">
        <v>81</v>
      </c>
      <c r="G8237" s="14" t="s">
        <v>51219</v>
      </c>
      <c r="H8237" s="15" t="s">
        <v>31</v>
      </c>
      <c r="I8237" s="15">
        <v>4.0</v>
      </c>
      <c r="J8237" s="15">
        <v>1.0</v>
      </c>
      <c r="K8237" s="15">
        <v>1.0</v>
      </c>
      <c r="L8237" s="16" t="s">
        <v>31</v>
      </c>
      <c r="M8237" s="14" t="s">
        <v>51220</v>
      </c>
      <c r="N8237" s="14" t="s">
        <v>6669</v>
      </c>
      <c r="O8237" s="16" t="s">
        <v>6670</v>
      </c>
      <c r="P8237" s="14" t="s">
        <v>8080</v>
      </c>
      <c r="Q8237" s="14" t="s">
        <v>310</v>
      </c>
      <c r="R8237" s="14" t="s">
        <v>1185</v>
      </c>
      <c r="S8237" s="16" t="s">
        <v>6712</v>
      </c>
      <c r="T8237" s="14" t="s">
        <v>66</v>
      </c>
      <c r="U8237" s="16" t="s">
        <v>31</v>
      </c>
      <c r="V8237" s="14" t="s">
        <v>1283</v>
      </c>
      <c r="W8237" s="14" t="s">
        <v>51221</v>
      </c>
      <c r="X8237" s="17" t="str">
        <f>HYPERLINK("https://my.pitchbook.com?p=329192-02P","View People Online")</f>
        <v>View People Online</v>
      </c>
    </row>
    <row r="8238">
      <c r="A8238" s="2" t="s">
        <v>51222</v>
      </c>
      <c r="B8238" s="2" t="s">
        <v>51223</v>
      </c>
      <c r="C8238" s="2" t="s">
        <v>1644</v>
      </c>
      <c r="D8238" s="2" t="s">
        <v>51224</v>
      </c>
      <c r="E8238" s="2" t="s">
        <v>51163</v>
      </c>
      <c r="F8238" s="2" t="s">
        <v>318</v>
      </c>
      <c r="G8238" s="2" t="s">
        <v>51225</v>
      </c>
      <c r="H8238" s="3" t="s">
        <v>31</v>
      </c>
      <c r="I8238" s="3">
        <v>1.0</v>
      </c>
      <c r="J8238" s="3">
        <v>1.0</v>
      </c>
      <c r="K8238" s="3" t="s">
        <v>31</v>
      </c>
      <c r="L8238" s="4" t="s">
        <v>31</v>
      </c>
      <c r="M8238" s="2" t="s">
        <v>51226</v>
      </c>
      <c r="N8238" s="2" t="s">
        <v>1170</v>
      </c>
      <c r="O8238" s="4" t="s">
        <v>1171</v>
      </c>
      <c r="P8238" s="2" t="s">
        <v>31</v>
      </c>
      <c r="Q8238" s="2" t="s">
        <v>31</v>
      </c>
      <c r="R8238" s="2" t="s">
        <v>64</v>
      </c>
      <c r="S8238" s="4" t="s">
        <v>31</v>
      </c>
      <c r="T8238" s="2" t="s">
        <v>66</v>
      </c>
      <c r="U8238" s="4" t="s">
        <v>31</v>
      </c>
      <c r="V8238" s="2" t="s">
        <v>318</v>
      </c>
      <c r="W8238" s="2" t="s">
        <v>51163</v>
      </c>
      <c r="X8238" s="5" t="str">
        <f>HYPERLINK("https://my.pitchbook.com?p=445193-02P","View People Online")</f>
        <v>View People Online</v>
      </c>
    </row>
    <row r="8239">
      <c r="A8239" s="14" t="s">
        <v>51227</v>
      </c>
      <c r="B8239" s="14" t="s">
        <v>51228</v>
      </c>
      <c r="C8239" s="14" t="s">
        <v>51229</v>
      </c>
      <c r="D8239" s="14" t="s">
        <v>51230</v>
      </c>
      <c r="E8239" s="14" t="s">
        <v>51163</v>
      </c>
      <c r="F8239" s="14" t="s">
        <v>114</v>
      </c>
      <c r="G8239" s="14" t="s">
        <v>51231</v>
      </c>
      <c r="H8239" s="15">
        <v>3.0</v>
      </c>
      <c r="I8239" s="15">
        <v>22.0</v>
      </c>
      <c r="J8239" s="15">
        <v>1.0</v>
      </c>
      <c r="K8239" s="15">
        <v>14.0</v>
      </c>
      <c r="L8239" s="16" t="s">
        <v>51232</v>
      </c>
      <c r="M8239" s="14" t="s">
        <v>51233</v>
      </c>
      <c r="N8239" s="14" t="s">
        <v>75</v>
      </c>
      <c r="O8239" s="16" t="s">
        <v>76</v>
      </c>
      <c r="P8239" s="14" t="s">
        <v>51234</v>
      </c>
      <c r="Q8239" s="14" t="s">
        <v>51235</v>
      </c>
      <c r="R8239" s="14" t="s">
        <v>75</v>
      </c>
      <c r="S8239" s="16" t="s">
        <v>1432</v>
      </c>
      <c r="T8239" s="14" t="s">
        <v>66</v>
      </c>
      <c r="U8239" s="16" t="s">
        <v>31</v>
      </c>
      <c r="V8239" s="14" t="s">
        <v>51236</v>
      </c>
      <c r="W8239" s="14" t="s">
        <v>51237</v>
      </c>
      <c r="X8239" s="17" t="str">
        <f>HYPERLINK("https://my.pitchbook.com?p=13274-29P","View People Online")</f>
        <v>View People Online</v>
      </c>
    </row>
    <row r="8240">
      <c r="A8240" s="2" t="s">
        <v>51238</v>
      </c>
      <c r="B8240" s="2" t="s">
        <v>51239</v>
      </c>
      <c r="C8240" s="2" t="s">
        <v>51240</v>
      </c>
      <c r="D8240" s="2" t="s">
        <v>51241</v>
      </c>
      <c r="E8240" s="2" t="s">
        <v>51163</v>
      </c>
      <c r="F8240" s="2" t="s">
        <v>81</v>
      </c>
      <c r="G8240" s="2" t="s">
        <v>51242</v>
      </c>
      <c r="H8240" s="3" t="s">
        <v>31</v>
      </c>
      <c r="I8240" s="3">
        <v>3.0</v>
      </c>
      <c r="J8240" s="3">
        <v>1.0</v>
      </c>
      <c r="K8240" s="3">
        <v>1.0</v>
      </c>
      <c r="L8240" s="4" t="s">
        <v>51243</v>
      </c>
      <c r="M8240" s="2" t="s">
        <v>51244</v>
      </c>
      <c r="N8240" s="2" t="s">
        <v>36778</v>
      </c>
      <c r="O8240" s="4" t="s">
        <v>36779</v>
      </c>
      <c r="P8240" s="2" t="s">
        <v>51245</v>
      </c>
      <c r="Q8240" s="2" t="s">
        <v>31</v>
      </c>
      <c r="R8240" s="2" t="s">
        <v>64</v>
      </c>
      <c r="S8240" s="4" t="s">
        <v>39747</v>
      </c>
      <c r="T8240" s="2" t="s">
        <v>66</v>
      </c>
      <c r="U8240" s="4" t="s">
        <v>31</v>
      </c>
      <c r="V8240" s="2" t="s">
        <v>51246</v>
      </c>
      <c r="W8240" s="2" t="s">
        <v>51247</v>
      </c>
      <c r="X8240" s="5" t="str">
        <f>HYPERLINK("https://my.pitchbook.com?p=307773-64P","View People Online")</f>
        <v>View People Online</v>
      </c>
    </row>
    <row r="8241">
      <c r="A8241" s="6" t="s">
        <v>51248</v>
      </c>
      <c r="B8241" s="6" t="s">
        <v>51249</v>
      </c>
      <c r="C8241" s="6" t="s">
        <v>126</v>
      </c>
      <c r="D8241" s="6" t="s">
        <v>51250</v>
      </c>
      <c r="E8241" s="6" t="s">
        <v>51163</v>
      </c>
      <c r="F8241" s="6" t="s">
        <v>189</v>
      </c>
      <c r="G8241" s="6" t="s">
        <v>51251</v>
      </c>
      <c r="H8241" s="7" t="s">
        <v>31</v>
      </c>
      <c r="I8241" s="7">
        <v>1.0</v>
      </c>
      <c r="J8241" s="7">
        <v>1.0</v>
      </c>
      <c r="K8241" s="7" t="s">
        <v>31</v>
      </c>
      <c r="L8241" s="8" t="s">
        <v>51181</v>
      </c>
      <c r="M8241" s="6" t="s">
        <v>51252</v>
      </c>
      <c r="N8241" s="6" t="s">
        <v>11530</v>
      </c>
      <c r="O8241" s="8" t="s">
        <v>11531</v>
      </c>
      <c r="P8241" s="6" t="s">
        <v>51182</v>
      </c>
      <c r="Q8241" s="6" t="s">
        <v>5626</v>
      </c>
      <c r="R8241" s="6" t="s">
        <v>64</v>
      </c>
      <c r="S8241" s="8" t="s">
        <v>11533</v>
      </c>
      <c r="T8241" s="6" t="s">
        <v>66</v>
      </c>
      <c r="U8241" s="8" t="s">
        <v>31</v>
      </c>
      <c r="V8241" s="6" t="s">
        <v>196</v>
      </c>
      <c r="W8241" s="6" t="s">
        <v>51163</v>
      </c>
      <c r="X8241" s="9" t="str">
        <f>HYPERLINK("https://my.pitchbook.com?p=281613-70P","View People Online")</f>
        <v>View People Online</v>
      </c>
    </row>
    <row r="8242">
      <c r="A8242" s="2" t="s">
        <v>51253</v>
      </c>
      <c r="B8242" s="2" t="s">
        <v>51254</v>
      </c>
      <c r="C8242" s="2" t="s">
        <v>5185</v>
      </c>
      <c r="D8242" s="2" t="s">
        <v>29461</v>
      </c>
      <c r="E8242" s="2" t="s">
        <v>51163</v>
      </c>
      <c r="F8242" s="2" t="s">
        <v>81</v>
      </c>
      <c r="G8242" s="2" t="s">
        <v>51255</v>
      </c>
      <c r="H8242" s="3">
        <v>1.0</v>
      </c>
      <c r="I8242" s="3">
        <v>4.0</v>
      </c>
      <c r="J8242" s="3">
        <v>1.0</v>
      </c>
      <c r="K8242" s="3" t="s">
        <v>31</v>
      </c>
      <c r="L8242" s="4" t="s">
        <v>51256</v>
      </c>
      <c r="M8242" s="2" t="s">
        <v>51257</v>
      </c>
      <c r="N8242" s="2" t="s">
        <v>775</v>
      </c>
      <c r="O8242" s="4" t="s">
        <v>776</v>
      </c>
      <c r="P8242" s="2" t="s">
        <v>51258</v>
      </c>
      <c r="Q8242" s="2" t="s">
        <v>6654</v>
      </c>
      <c r="R8242" s="2" t="s">
        <v>64</v>
      </c>
      <c r="S8242" s="4" t="s">
        <v>779</v>
      </c>
      <c r="T8242" s="2" t="s">
        <v>66</v>
      </c>
      <c r="U8242" s="4" t="s">
        <v>31</v>
      </c>
      <c r="V8242" s="2" t="s">
        <v>42504</v>
      </c>
      <c r="W8242" s="2" t="s">
        <v>51259</v>
      </c>
      <c r="X8242" s="5" t="str">
        <f>HYPERLINK("https://my.pitchbook.com?p=391339-63P","View People Online")</f>
        <v>View People Online</v>
      </c>
    </row>
    <row r="8243">
      <c r="A8243" s="14" t="s">
        <v>51260</v>
      </c>
      <c r="B8243" s="14" t="s">
        <v>51261</v>
      </c>
      <c r="C8243" s="14" t="s">
        <v>4575</v>
      </c>
      <c r="D8243" s="14" t="s">
        <v>6786</v>
      </c>
      <c r="E8243" s="14" t="s">
        <v>51163</v>
      </c>
      <c r="F8243" s="14" t="s">
        <v>81</v>
      </c>
      <c r="G8243" s="14" t="s">
        <v>51262</v>
      </c>
      <c r="H8243" s="15">
        <v>2.0</v>
      </c>
      <c r="I8243" s="15">
        <v>3.0</v>
      </c>
      <c r="J8243" s="15" t="s">
        <v>31</v>
      </c>
      <c r="K8243" s="15" t="s">
        <v>31</v>
      </c>
      <c r="L8243" s="16" t="s">
        <v>51263</v>
      </c>
      <c r="M8243" s="14" t="s">
        <v>31</v>
      </c>
      <c r="N8243" s="14" t="s">
        <v>1368</v>
      </c>
      <c r="O8243" s="16" t="s">
        <v>1369</v>
      </c>
      <c r="P8243" s="14" t="s">
        <v>6399</v>
      </c>
      <c r="Q8243" s="14" t="s">
        <v>31</v>
      </c>
      <c r="R8243" s="14" t="s">
        <v>1185</v>
      </c>
      <c r="S8243" s="16" t="s">
        <v>1372</v>
      </c>
      <c r="T8243" s="14" t="s">
        <v>66</v>
      </c>
      <c r="U8243" s="16" t="s">
        <v>31</v>
      </c>
      <c r="V8243" s="14" t="s">
        <v>2379</v>
      </c>
      <c r="W8243" s="14" t="s">
        <v>6398</v>
      </c>
      <c r="X8243" s="17" t="str">
        <f>HYPERLINK("https://my.pitchbook.com?p=289134-91P","View People Online")</f>
        <v>View People Online</v>
      </c>
    </row>
    <row r="8244">
      <c r="A8244" s="10" t="s">
        <v>51264</v>
      </c>
      <c r="B8244" s="10" t="s">
        <v>51265</v>
      </c>
      <c r="C8244" s="10" t="s">
        <v>2388</v>
      </c>
      <c r="D8244" s="10" t="s">
        <v>14862</v>
      </c>
      <c r="E8244" s="10" t="s">
        <v>51163</v>
      </c>
      <c r="F8244" s="10" t="s">
        <v>81</v>
      </c>
      <c r="G8244" s="10" t="s">
        <v>51266</v>
      </c>
      <c r="H8244" s="11">
        <v>4.0</v>
      </c>
      <c r="I8244" s="11">
        <v>5.0</v>
      </c>
      <c r="J8244" s="11" t="s">
        <v>31</v>
      </c>
      <c r="K8244" s="11" t="s">
        <v>31</v>
      </c>
      <c r="L8244" s="12" t="s">
        <v>51267</v>
      </c>
      <c r="M8244" s="10" t="s">
        <v>31</v>
      </c>
      <c r="N8244" s="10" t="s">
        <v>51268</v>
      </c>
      <c r="O8244" s="12" t="s">
        <v>51269</v>
      </c>
      <c r="P8244" s="10" t="s">
        <v>51270</v>
      </c>
      <c r="Q8244" s="10" t="s">
        <v>51271</v>
      </c>
      <c r="R8244" s="10" t="s">
        <v>64</v>
      </c>
      <c r="S8244" s="12" t="s">
        <v>51272</v>
      </c>
      <c r="T8244" s="10" t="s">
        <v>66</v>
      </c>
      <c r="U8244" s="12" t="s">
        <v>51273</v>
      </c>
      <c r="V8244" s="10" t="s">
        <v>2199</v>
      </c>
      <c r="W8244" s="10" t="s">
        <v>51274</v>
      </c>
      <c r="X8244" s="13" t="str">
        <f>HYPERLINK("https://my.pitchbook.com?p=15065-56P","View People Online")</f>
        <v>View People Online</v>
      </c>
    </row>
    <row r="8245">
      <c r="A8245" s="6" t="s">
        <v>51275</v>
      </c>
      <c r="B8245" s="6" t="s">
        <v>51276</v>
      </c>
      <c r="C8245" s="6" t="s">
        <v>2388</v>
      </c>
      <c r="D8245" s="6" t="s">
        <v>19572</v>
      </c>
      <c r="E8245" s="6" t="s">
        <v>51163</v>
      </c>
      <c r="F8245" s="6" t="s">
        <v>81</v>
      </c>
      <c r="G8245" s="6" t="s">
        <v>51277</v>
      </c>
      <c r="H8245" s="7" t="s">
        <v>31</v>
      </c>
      <c r="I8245" s="7">
        <v>1.0</v>
      </c>
      <c r="J8245" s="7" t="s">
        <v>31</v>
      </c>
      <c r="K8245" s="7" t="s">
        <v>31</v>
      </c>
      <c r="L8245" s="8" t="s">
        <v>51181</v>
      </c>
      <c r="M8245" s="6" t="s">
        <v>31</v>
      </c>
      <c r="N8245" s="6" t="s">
        <v>11530</v>
      </c>
      <c r="O8245" s="8" t="s">
        <v>11531</v>
      </c>
      <c r="P8245" s="6" t="s">
        <v>51182</v>
      </c>
      <c r="Q8245" s="6" t="s">
        <v>5626</v>
      </c>
      <c r="R8245" s="6" t="s">
        <v>64</v>
      </c>
      <c r="S8245" s="8" t="s">
        <v>11533</v>
      </c>
      <c r="T8245" s="6" t="s">
        <v>66</v>
      </c>
      <c r="U8245" s="8" t="s">
        <v>31</v>
      </c>
      <c r="V8245" s="6" t="s">
        <v>81</v>
      </c>
      <c r="W8245" s="6" t="s">
        <v>51163</v>
      </c>
      <c r="X8245" s="9" t="str">
        <f>HYPERLINK("https://my.pitchbook.com?p=329191-21P","View People Online")</f>
        <v>View People Online</v>
      </c>
    </row>
    <row r="8246">
      <c r="A8246" s="10" t="s">
        <v>51278</v>
      </c>
      <c r="B8246" s="10" t="s">
        <v>51279</v>
      </c>
      <c r="C8246" s="10" t="s">
        <v>51280</v>
      </c>
      <c r="D8246" s="10" t="s">
        <v>21740</v>
      </c>
      <c r="E8246" s="10" t="s">
        <v>51163</v>
      </c>
      <c r="F8246" s="10" t="s">
        <v>674</v>
      </c>
      <c r="G8246" s="10" t="s">
        <v>51281</v>
      </c>
      <c r="H8246" s="11">
        <v>2.0</v>
      </c>
      <c r="I8246" s="11">
        <v>15.0</v>
      </c>
      <c r="J8246" s="11">
        <v>2.0</v>
      </c>
      <c r="K8246" s="11">
        <v>7.0</v>
      </c>
      <c r="L8246" s="12" t="s">
        <v>51181</v>
      </c>
      <c r="M8246" s="10" t="s">
        <v>51282</v>
      </c>
      <c r="N8246" s="10" t="s">
        <v>11530</v>
      </c>
      <c r="O8246" s="12" t="s">
        <v>11531</v>
      </c>
      <c r="P8246" s="10" t="s">
        <v>51182</v>
      </c>
      <c r="Q8246" s="10" t="s">
        <v>5626</v>
      </c>
      <c r="R8246" s="10" t="s">
        <v>64</v>
      </c>
      <c r="S8246" s="12" t="s">
        <v>11533</v>
      </c>
      <c r="T8246" s="10" t="s">
        <v>66</v>
      </c>
      <c r="U8246" s="12" t="s">
        <v>31</v>
      </c>
      <c r="V8246" s="10" t="s">
        <v>1172</v>
      </c>
      <c r="W8246" s="10" t="s">
        <v>51163</v>
      </c>
      <c r="X8246" s="13" t="str">
        <f>HYPERLINK("https://my.pitchbook.com?p=54982-18P","View People Online")</f>
        <v>View People Online</v>
      </c>
    </row>
    <row r="8247">
      <c r="A8247" s="14" t="s">
        <v>51283</v>
      </c>
      <c r="B8247" s="14" t="s">
        <v>51284</v>
      </c>
      <c r="C8247" s="14" t="s">
        <v>51285</v>
      </c>
      <c r="D8247" s="14" t="s">
        <v>51286</v>
      </c>
      <c r="E8247" s="14" t="s">
        <v>51163</v>
      </c>
      <c r="F8247" s="14" t="s">
        <v>31376</v>
      </c>
      <c r="G8247" s="14" t="s">
        <v>51287</v>
      </c>
      <c r="H8247" s="15" t="s">
        <v>31</v>
      </c>
      <c r="I8247" s="15">
        <v>1.0</v>
      </c>
      <c r="J8247" s="15">
        <v>1.0</v>
      </c>
      <c r="K8247" s="15" t="s">
        <v>31</v>
      </c>
      <c r="L8247" s="16" t="s">
        <v>51181</v>
      </c>
      <c r="M8247" s="14" t="s">
        <v>51288</v>
      </c>
      <c r="N8247" s="14" t="s">
        <v>11530</v>
      </c>
      <c r="O8247" s="16" t="s">
        <v>11531</v>
      </c>
      <c r="P8247" s="14" t="s">
        <v>51182</v>
      </c>
      <c r="Q8247" s="14" t="s">
        <v>5626</v>
      </c>
      <c r="R8247" s="14" t="s">
        <v>64</v>
      </c>
      <c r="S8247" s="16" t="s">
        <v>11533</v>
      </c>
      <c r="T8247" s="14" t="s">
        <v>66</v>
      </c>
      <c r="U8247" s="16" t="s">
        <v>31</v>
      </c>
      <c r="V8247" s="14" t="s">
        <v>31379</v>
      </c>
      <c r="W8247" s="14" t="s">
        <v>51163</v>
      </c>
      <c r="X8247" s="17" t="str">
        <f>HYPERLINK("https://my.pitchbook.com?p=281613-07P","View People Online")</f>
        <v>View People Online</v>
      </c>
    </row>
    <row r="8248">
      <c r="A8248" s="10" t="s">
        <v>51289</v>
      </c>
      <c r="B8248" s="10" t="s">
        <v>51290</v>
      </c>
      <c r="C8248" s="10" t="s">
        <v>5071</v>
      </c>
      <c r="D8248" s="10" t="s">
        <v>51291</v>
      </c>
      <c r="E8248" s="10" t="s">
        <v>51292</v>
      </c>
      <c r="F8248" s="10" t="s">
        <v>1283</v>
      </c>
      <c r="G8248" s="10" t="s">
        <v>51293</v>
      </c>
      <c r="H8248" s="11" t="s">
        <v>31</v>
      </c>
      <c r="I8248" s="11">
        <v>3.0</v>
      </c>
      <c r="J8248" s="11">
        <v>2.0</v>
      </c>
      <c r="K8248" s="11">
        <v>1.0</v>
      </c>
      <c r="L8248" s="12" t="s">
        <v>51294</v>
      </c>
      <c r="M8248" s="10" t="s">
        <v>51295</v>
      </c>
      <c r="N8248" s="10" t="s">
        <v>1416</v>
      </c>
      <c r="O8248" s="12" t="s">
        <v>1417</v>
      </c>
      <c r="P8248" s="10" t="s">
        <v>51296</v>
      </c>
      <c r="Q8248" s="10" t="s">
        <v>51297</v>
      </c>
      <c r="R8248" s="10" t="s">
        <v>1420</v>
      </c>
      <c r="S8248" s="12" t="s">
        <v>51298</v>
      </c>
      <c r="T8248" s="10" t="s">
        <v>66</v>
      </c>
      <c r="U8248" s="12" t="s">
        <v>51299</v>
      </c>
      <c r="V8248" s="10" t="s">
        <v>51300</v>
      </c>
      <c r="W8248" s="10" t="s">
        <v>51301</v>
      </c>
      <c r="X8248" s="13" t="str">
        <f>HYPERLINK("https://my.pitchbook.com?p=392131-54P","View People Online")</f>
        <v>View People Online</v>
      </c>
    </row>
    <row r="8249">
      <c r="A8249" s="6" t="s">
        <v>51302</v>
      </c>
      <c r="B8249" s="6" t="s">
        <v>51303</v>
      </c>
      <c r="C8249" s="6" t="s">
        <v>24917</v>
      </c>
      <c r="D8249" s="6" t="s">
        <v>3275</v>
      </c>
      <c r="E8249" s="6" t="s">
        <v>51292</v>
      </c>
      <c r="F8249" s="6" t="s">
        <v>81</v>
      </c>
      <c r="G8249" s="6" t="s">
        <v>51304</v>
      </c>
      <c r="H8249" s="7" t="s">
        <v>31</v>
      </c>
      <c r="I8249" s="7">
        <v>20.0</v>
      </c>
      <c r="J8249" s="7">
        <v>1.0</v>
      </c>
      <c r="K8249" s="7">
        <v>18.0</v>
      </c>
      <c r="L8249" s="8" t="s">
        <v>51294</v>
      </c>
      <c r="M8249" s="6" t="s">
        <v>51305</v>
      </c>
      <c r="N8249" s="6" t="s">
        <v>1416</v>
      </c>
      <c r="O8249" s="8" t="s">
        <v>1417</v>
      </c>
      <c r="P8249" s="6" t="s">
        <v>51306</v>
      </c>
      <c r="Q8249" s="6" t="s">
        <v>51307</v>
      </c>
      <c r="R8249" s="6" t="s">
        <v>1420</v>
      </c>
      <c r="S8249" s="8" t="s">
        <v>51298</v>
      </c>
      <c r="T8249" s="6" t="s">
        <v>66</v>
      </c>
      <c r="U8249" s="8" t="s">
        <v>31</v>
      </c>
      <c r="V8249" s="6" t="s">
        <v>713</v>
      </c>
      <c r="W8249" s="6" t="s">
        <v>51308</v>
      </c>
      <c r="X8249" s="9" t="str">
        <f>HYPERLINK("https://my.pitchbook.com?p=43325-20P","View People Online")</f>
        <v>View People Online</v>
      </c>
    </row>
    <row r="8250">
      <c r="A8250" s="2" t="s">
        <v>51309</v>
      </c>
      <c r="B8250" s="2" t="s">
        <v>51310</v>
      </c>
      <c r="C8250" s="2" t="s">
        <v>51311</v>
      </c>
      <c r="D8250" s="2" t="s">
        <v>13862</v>
      </c>
      <c r="E8250" s="2" t="s">
        <v>51312</v>
      </c>
      <c r="F8250" s="2" t="s">
        <v>1167</v>
      </c>
      <c r="G8250" s="2" t="s">
        <v>51313</v>
      </c>
      <c r="H8250" s="3">
        <v>1.0</v>
      </c>
      <c r="I8250" s="3">
        <v>2.0</v>
      </c>
      <c r="J8250" s="3">
        <v>1.0</v>
      </c>
      <c r="K8250" s="3" t="s">
        <v>31</v>
      </c>
      <c r="L8250" s="4" t="s">
        <v>51314</v>
      </c>
      <c r="M8250" s="2" t="s">
        <v>51315</v>
      </c>
      <c r="N8250" s="2" t="s">
        <v>1781</v>
      </c>
      <c r="O8250" s="4" t="s">
        <v>1782</v>
      </c>
      <c r="P8250" s="2" t="s">
        <v>51316</v>
      </c>
      <c r="Q8250" s="2" t="s">
        <v>51317</v>
      </c>
      <c r="R8250" s="2" t="s">
        <v>1785</v>
      </c>
      <c r="S8250" s="4" t="s">
        <v>51318</v>
      </c>
      <c r="T8250" s="2" t="s">
        <v>1019</v>
      </c>
      <c r="U8250" s="4" t="s">
        <v>31</v>
      </c>
      <c r="V8250" s="2" t="s">
        <v>991</v>
      </c>
      <c r="W8250" s="2" t="s">
        <v>51312</v>
      </c>
      <c r="X8250" s="5" t="str">
        <f>HYPERLINK("https://my.pitchbook.com?p=134034-58P","View People Online")</f>
        <v>View People Online</v>
      </c>
    </row>
    <row r="8251">
      <c r="A8251" s="14" t="s">
        <v>51319</v>
      </c>
      <c r="B8251" s="14" t="s">
        <v>51320</v>
      </c>
      <c r="C8251" s="14" t="s">
        <v>6626</v>
      </c>
      <c r="D8251" s="14" t="s">
        <v>51321</v>
      </c>
      <c r="E8251" s="14" t="s">
        <v>51312</v>
      </c>
      <c r="F8251" s="14" t="s">
        <v>78</v>
      </c>
      <c r="G8251" s="14" t="s">
        <v>51322</v>
      </c>
      <c r="H8251" s="15" t="s">
        <v>31</v>
      </c>
      <c r="I8251" s="15">
        <v>1.0</v>
      </c>
      <c r="J8251" s="15">
        <v>1.0</v>
      </c>
      <c r="K8251" s="15" t="s">
        <v>31</v>
      </c>
      <c r="L8251" s="16" t="s">
        <v>51314</v>
      </c>
      <c r="M8251" s="14" t="s">
        <v>51323</v>
      </c>
      <c r="N8251" s="14" t="s">
        <v>1781</v>
      </c>
      <c r="O8251" s="16" t="s">
        <v>1782</v>
      </c>
      <c r="P8251" s="14" t="s">
        <v>51316</v>
      </c>
      <c r="Q8251" s="14" t="s">
        <v>51317</v>
      </c>
      <c r="R8251" s="14" t="s">
        <v>1785</v>
      </c>
      <c r="S8251" s="16" t="s">
        <v>51318</v>
      </c>
      <c r="T8251" s="14" t="s">
        <v>1019</v>
      </c>
      <c r="U8251" s="16" t="s">
        <v>31</v>
      </c>
      <c r="V8251" s="14" t="s">
        <v>78</v>
      </c>
      <c r="W8251" s="14" t="s">
        <v>51312</v>
      </c>
      <c r="X8251" s="17" t="str">
        <f>HYPERLINK("https://my.pitchbook.com?p=199446-67P","View People Online")</f>
        <v>View People Online</v>
      </c>
    </row>
    <row r="8252">
      <c r="A8252" s="10" t="s">
        <v>51324</v>
      </c>
      <c r="B8252" s="10" t="s">
        <v>51325</v>
      </c>
      <c r="C8252" s="10" t="s">
        <v>4943</v>
      </c>
      <c r="D8252" s="10" t="s">
        <v>51326</v>
      </c>
      <c r="E8252" s="10" t="s">
        <v>51312</v>
      </c>
      <c r="F8252" s="10" t="s">
        <v>3600</v>
      </c>
      <c r="G8252" s="10" t="s">
        <v>51327</v>
      </c>
      <c r="H8252" s="11" t="s">
        <v>31</v>
      </c>
      <c r="I8252" s="11">
        <v>1.0</v>
      </c>
      <c r="J8252" s="11">
        <v>1.0</v>
      </c>
      <c r="K8252" s="11" t="s">
        <v>31</v>
      </c>
      <c r="L8252" s="12" t="s">
        <v>51314</v>
      </c>
      <c r="M8252" s="10" t="s">
        <v>51328</v>
      </c>
      <c r="N8252" s="10" t="s">
        <v>1781</v>
      </c>
      <c r="O8252" s="12" t="s">
        <v>1782</v>
      </c>
      <c r="P8252" s="10" t="s">
        <v>51316</v>
      </c>
      <c r="Q8252" s="10" t="s">
        <v>51317</v>
      </c>
      <c r="R8252" s="10" t="s">
        <v>1785</v>
      </c>
      <c r="S8252" s="12" t="s">
        <v>51318</v>
      </c>
      <c r="T8252" s="10" t="s">
        <v>1019</v>
      </c>
      <c r="U8252" s="12" t="s">
        <v>31</v>
      </c>
      <c r="V8252" s="10" t="s">
        <v>51329</v>
      </c>
      <c r="W8252" s="10" t="s">
        <v>51312</v>
      </c>
      <c r="X8252" s="13" t="str">
        <f>HYPERLINK("https://my.pitchbook.com?p=207601-30P","View People Online")</f>
        <v>View People Online</v>
      </c>
    </row>
    <row r="8253">
      <c r="A8253" s="14" t="s">
        <v>51330</v>
      </c>
      <c r="B8253" s="14" t="s">
        <v>51331</v>
      </c>
      <c r="C8253" s="14" t="s">
        <v>5363</v>
      </c>
      <c r="D8253" s="14" t="s">
        <v>51332</v>
      </c>
      <c r="E8253" s="14" t="s">
        <v>51312</v>
      </c>
      <c r="F8253" s="14" t="s">
        <v>27013</v>
      </c>
      <c r="G8253" s="14" t="s">
        <v>51333</v>
      </c>
      <c r="H8253" s="15" t="s">
        <v>31</v>
      </c>
      <c r="I8253" s="15">
        <v>1.0</v>
      </c>
      <c r="J8253" s="15">
        <v>1.0</v>
      </c>
      <c r="K8253" s="15" t="s">
        <v>31</v>
      </c>
      <c r="L8253" s="16" t="s">
        <v>51314</v>
      </c>
      <c r="M8253" s="14" t="s">
        <v>51334</v>
      </c>
      <c r="N8253" s="14" t="s">
        <v>1781</v>
      </c>
      <c r="O8253" s="16" t="s">
        <v>1782</v>
      </c>
      <c r="P8253" s="14" t="s">
        <v>51316</v>
      </c>
      <c r="Q8253" s="14" t="s">
        <v>51317</v>
      </c>
      <c r="R8253" s="14" t="s">
        <v>1785</v>
      </c>
      <c r="S8253" s="16" t="s">
        <v>51318</v>
      </c>
      <c r="T8253" s="14" t="s">
        <v>1019</v>
      </c>
      <c r="U8253" s="16" t="s">
        <v>31</v>
      </c>
      <c r="V8253" s="14" t="s">
        <v>27016</v>
      </c>
      <c r="W8253" s="14" t="s">
        <v>51312</v>
      </c>
      <c r="X8253" s="17" t="str">
        <f>HYPERLINK("https://my.pitchbook.com?p=134036-11P","View People Online")</f>
        <v>View People Online</v>
      </c>
    </row>
    <row r="8254">
      <c r="A8254" s="2" t="s">
        <v>51335</v>
      </c>
      <c r="B8254" s="2" t="s">
        <v>51336</v>
      </c>
      <c r="C8254" s="2" t="s">
        <v>51337</v>
      </c>
      <c r="D8254" s="2" t="s">
        <v>51338</v>
      </c>
      <c r="E8254" s="2" t="s">
        <v>51312</v>
      </c>
      <c r="F8254" s="2" t="s">
        <v>896</v>
      </c>
      <c r="G8254" s="2" t="s">
        <v>51339</v>
      </c>
      <c r="H8254" s="3" t="s">
        <v>31</v>
      </c>
      <c r="I8254" s="3">
        <v>1.0</v>
      </c>
      <c r="J8254" s="3">
        <v>1.0</v>
      </c>
      <c r="K8254" s="3" t="s">
        <v>31</v>
      </c>
      <c r="L8254" s="4" t="s">
        <v>51340</v>
      </c>
      <c r="M8254" s="2" t="s">
        <v>51341</v>
      </c>
      <c r="N8254" s="2" t="s">
        <v>1781</v>
      </c>
      <c r="O8254" s="4" t="s">
        <v>1782</v>
      </c>
      <c r="P8254" s="2" t="s">
        <v>51316</v>
      </c>
      <c r="Q8254" s="2" t="s">
        <v>51317</v>
      </c>
      <c r="R8254" s="2" t="s">
        <v>1785</v>
      </c>
      <c r="S8254" s="4" t="s">
        <v>51318</v>
      </c>
      <c r="T8254" s="2" t="s">
        <v>1019</v>
      </c>
      <c r="U8254" s="4" t="s">
        <v>31</v>
      </c>
      <c r="V8254" s="2" t="s">
        <v>896</v>
      </c>
      <c r="W8254" s="2" t="s">
        <v>51312</v>
      </c>
      <c r="X8254" s="5" t="str">
        <f>HYPERLINK("https://my.pitchbook.com?p=199448-74P","View People Online")</f>
        <v>View People Online</v>
      </c>
    </row>
    <row r="8255">
      <c r="A8255" s="6" t="s">
        <v>51342</v>
      </c>
      <c r="B8255" s="6" t="s">
        <v>51343</v>
      </c>
      <c r="C8255" s="6" t="s">
        <v>51344</v>
      </c>
      <c r="D8255" s="6" t="s">
        <v>51345</v>
      </c>
      <c r="E8255" s="6" t="s">
        <v>51312</v>
      </c>
      <c r="F8255" s="6" t="s">
        <v>1283</v>
      </c>
      <c r="G8255" s="6" t="s">
        <v>51346</v>
      </c>
      <c r="H8255" s="7" t="s">
        <v>31</v>
      </c>
      <c r="I8255" s="7">
        <v>2.0</v>
      </c>
      <c r="J8255" s="7">
        <v>1.0</v>
      </c>
      <c r="K8255" s="7">
        <v>1.0</v>
      </c>
      <c r="L8255" s="8" t="s">
        <v>51314</v>
      </c>
      <c r="M8255" s="6" t="s">
        <v>51347</v>
      </c>
      <c r="N8255" s="6" t="s">
        <v>1781</v>
      </c>
      <c r="O8255" s="8" t="s">
        <v>1782</v>
      </c>
      <c r="P8255" s="6" t="s">
        <v>51316</v>
      </c>
      <c r="Q8255" s="6" t="s">
        <v>51317</v>
      </c>
      <c r="R8255" s="6" t="s">
        <v>1785</v>
      </c>
      <c r="S8255" s="8" t="s">
        <v>51318</v>
      </c>
      <c r="T8255" s="6" t="s">
        <v>1019</v>
      </c>
      <c r="U8255" s="8" t="s">
        <v>31</v>
      </c>
      <c r="V8255" s="6" t="s">
        <v>51348</v>
      </c>
      <c r="W8255" s="6" t="s">
        <v>51312</v>
      </c>
      <c r="X8255" s="9" t="str">
        <f>HYPERLINK("https://my.pitchbook.com?p=186505-21P","View People Online")</f>
        <v>View People Online</v>
      </c>
    </row>
    <row r="8256">
      <c r="A8256" s="2" t="s">
        <v>51349</v>
      </c>
      <c r="B8256" s="2" t="s">
        <v>51350</v>
      </c>
      <c r="C8256" s="2" t="s">
        <v>51351</v>
      </c>
      <c r="D8256" s="2" t="s">
        <v>42797</v>
      </c>
      <c r="E8256" s="2" t="s">
        <v>51352</v>
      </c>
      <c r="F8256" s="2" t="s">
        <v>51353</v>
      </c>
      <c r="G8256" s="2" t="s">
        <v>51354</v>
      </c>
      <c r="H8256" s="3" t="s">
        <v>31</v>
      </c>
      <c r="I8256" s="3">
        <v>17.0</v>
      </c>
      <c r="J8256" s="3">
        <v>1.0</v>
      </c>
      <c r="K8256" s="3">
        <v>15.0</v>
      </c>
      <c r="L8256" s="4" t="s">
        <v>31</v>
      </c>
      <c r="M8256" s="2" t="s">
        <v>51355</v>
      </c>
      <c r="N8256" s="2" t="s">
        <v>51356</v>
      </c>
      <c r="O8256" s="4" t="s">
        <v>51357</v>
      </c>
      <c r="P8256" s="2" t="s">
        <v>51358</v>
      </c>
      <c r="Q8256" s="2" t="s">
        <v>51359</v>
      </c>
      <c r="R8256" s="2" t="s">
        <v>29209</v>
      </c>
      <c r="S8256" s="4" t="s">
        <v>51360</v>
      </c>
      <c r="T8256" s="2" t="s">
        <v>1209</v>
      </c>
      <c r="U8256" s="4" t="s">
        <v>31</v>
      </c>
      <c r="V8256" s="2" t="s">
        <v>51353</v>
      </c>
      <c r="W8256" s="2" t="s">
        <v>51352</v>
      </c>
      <c r="X8256" s="5" t="str">
        <f>HYPERLINK("https://my.pitchbook.com?p=200111-23P","View People Online")</f>
        <v>View People Online</v>
      </c>
    </row>
    <row r="8257">
      <c r="A8257" s="6" t="s">
        <v>51361</v>
      </c>
      <c r="B8257" s="6" t="s">
        <v>51362</v>
      </c>
      <c r="C8257" s="6" t="s">
        <v>51363</v>
      </c>
      <c r="D8257" s="6" t="s">
        <v>42797</v>
      </c>
      <c r="E8257" s="6" t="s">
        <v>51352</v>
      </c>
      <c r="F8257" s="6" t="s">
        <v>29</v>
      </c>
      <c r="G8257" s="6" t="s">
        <v>51364</v>
      </c>
      <c r="H8257" s="7" t="s">
        <v>31</v>
      </c>
      <c r="I8257" s="7">
        <v>1.0</v>
      </c>
      <c r="J8257" s="7">
        <v>1.0</v>
      </c>
      <c r="K8257" s="7" t="s">
        <v>31</v>
      </c>
      <c r="L8257" s="8" t="s">
        <v>31</v>
      </c>
      <c r="M8257" s="6" t="s">
        <v>31</v>
      </c>
      <c r="N8257" s="6" t="s">
        <v>51356</v>
      </c>
      <c r="O8257" s="8" t="s">
        <v>51357</v>
      </c>
      <c r="P8257" s="6" t="s">
        <v>51358</v>
      </c>
      <c r="Q8257" s="6" t="s">
        <v>51359</v>
      </c>
      <c r="R8257" s="6" t="s">
        <v>29209</v>
      </c>
      <c r="S8257" s="8" t="s">
        <v>51360</v>
      </c>
      <c r="T8257" s="6" t="s">
        <v>1209</v>
      </c>
      <c r="U8257" s="8" t="s">
        <v>31</v>
      </c>
      <c r="V8257" s="6" t="s">
        <v>51365</v>
      </c>
      <c r="W8257" s="6" t="s">
        <v>51352</v>
      </c>
      <c r="X8257" s="9" t="str">
        <f>HYPERLINK("https://my.pitchbook.com?p=413653-24P","View People Online")</f>
        <v>View People Online</v>
      </c>
    </row>
    <row r="8258">
      <c r="A8258" s="10" t="s">
        <v>51366</v>
      </c>
      <c r="B8258" s="10" t="s">
        <v>51367</v>
      </c>
      <c r="C8258" s="10" t="s">
        <v>1677</v>
      </c>
      <c r="D8258" s="10" t="s">
        <v>42797</v>
      </c>
      <c r="E8258" s="10" t="s">
        <v>51352</v>
      </c>
      <c r="F8258" s="10" t="s">
        <v>29</v>
      </c>
      <c r="G8258" s="10" t="s">
        <v>51368</v>
      </c>
      <c r="H8258" s="11" t="s">
        <v>31</v>
      </c>
      <c r="I8258" s="11">
        <v>1.0</v>
      </c>
      <c r="J8258" s="11">
        <v>1.0</v>
      </c>
      <c r="K8258" s="11" t="s">
        <v>31</v>
      </c>
      <c r="L8258" s="12" t="s">
        <v>31</v>
      </c>
      <c r="M8258" s="10" t="s">
        <v>31</v>
      </c>
      <c r="N8258" s="10" t="s">
        <v>51356</v>
      </c>
      <c r="O8258" s="12" t="s">
        <v>51357</v>
      </c>
      <c r="P8258" s="10" t="s">
        <v>51358</v>
      </c>
      <c r="Q8258" s="10" t="s">
        <v>51359</v>
      </c>
      <c r="R8258" s="10" t="s">
        <v>29209</v>
      </c>
      <c r="S8258" s="12" t="s">
        <v>51360</v>
      </c>
      <c r="T8258" s="10" t="s">
        <v>1209</v>
      </c>
      <c r="U8258" s="12" t="s">
        <v>31</v>
      </c>
      <c r="V8258" s="10" t="s">
        <v>29</v>
      </c>
      <c r="W8258" s="10" t="s">
        <v>51352</v>
      </c>
      <c r="X8258" s="13" t="str">
        <f>HYPERLINK("https://my.pitchbook.com?p=413652-61P","View People Online")</f>
        <v>View People Online</v>
      </c>
    </row>
    <row r="8259">
      <c r="A8259" s="14" t="s">
        <v>51369</v>
      </c>
      <c r="B8259" s="14" t="s">
        <v>51370</v>
      </c>
      <c r="C8259" s="14" t="s">
        <v>15454</v>
      </c>
      <c r="D8259" s="14" t="s">
        <v>8466</v>
      </c>
      <c r="E8259" s="14" t="s">
        <v>51371</v>
      </c>
      <c r="F8259" s="14" t="s">
        <v>371</v>
      </c>
      <c r="G8259" s="14" t="s">
        <v>51372</v>
      </c>
      <c r="H8259" s="15" t="s">
        <v>31</v>
      </c>
      <c r="I8259" s="15">
        <v>1.0</v>
      </c>
      <c r="J8259" s="15">
        <v>1.0</v>
      </c>
      <c r="K8259" s="15" t="s">
        <v>31</v>
      </c>
      <c r="L8259" s="16" t="s">
        <v>51373</v>
      </c>
      <c r="M8259" s="14" t="s">
        <v>51374</v>
      </c>
      <c r="N8259" s="14" t="s">
        <v>1416</v>
      </c>
      <c r="O8259" s="16" t="s">
        <v>1417</v>
      </c>
      <c r="P8259" s="14" t="s">
        <v>51375</v>
      </c>
      <c r="Q8259" s="14" t="s">
        <v>31</v>
      </c>
      <c r="R8259" s="14" t="s">
        <v>1420</v>
      </c>
      <c r="S8259" s="16" t="s">
        <v>37621</v>
      </c>
      <c r="T8259" s="14" t="s">
        <v>66</v>
      </c>
      <c r="U8259" s="16" t="s">
        <v>31</v>
      </c>
      <c r="V8259" s="14" t="s">
        <v>39581</v>
      </c>
      <c r="W8259" s="14" t="s">
        <v>51371</v>
      </c>
      <c r="X8259" s="17" t="str">
        <f>HYPERLINK("https://my.pitchbook.com?p=188439-94P","View People Online")</f>
        <v>View People Online</v>
      </c>
    </row>
    <row r="8260">
      <c r="A8260" s="2" t="s">
        <v>51376</v>
      </c>
      <c r="B8260" s="2" t="s">
        <v>51377</v>
      </c>
      <c r="C8260" s="2" t="s">
        <v>4299</v>
      </c>
      <c r="D8260" s="2" t="s">
        <v>51378</v>
      </c>
      <c r="E8260" s="2" t="s">
        <v>51371</v>
      </c>
      <c r="F8260" s="2" t="s">
        <v>27013</v>
      </c>
      <c r="G8260" s="2" t="s">
        <v>51379</v>
      </c>
      <c r="H8260" s="3" t="s">
        <v>31</v>
      </c>
      <c r="I8260" s="3">
        <v>1.0</v>
      </c>
      <c r="J8260" s="3">
        <v>1.0</v>
      </c>
      <c r="K8260" s="3" t="s">
        <v>31</v>
      </c>
      <c r="L8260" s="4" t="s">
        <v>51380</v>
      </c>
      <c r="M8260" s="2" t="s">
        <v>51381</v>
      </c>
      <c r="N8260" s="2" t="s">
        <v>1416</v>
      </c>
      <c r="O8260" s="4" t="s">
        <v>1417</v>
      </c>
      <c r="P8260" s="2" t="s">
        <v>51375</v>
      </c>
      <c r="Q8260" s="2" t="s">
        <v>31</v>
      </c>
      <c r="R8260" s="2" t="s">
        <v>1420</v>
      </c>
      <c r="S8260" s="4" t="s">
        <v>37621</v>
      </c>
      <c r="T8260" s="2" t="s">
        <v>66</v>
      </c>
      <c r="U8260" s="4" t="s">
        <v>31</v>
      </c>
      <c r="V8260" s="2" t="s">
        <v>27016</v>
      </c>
      <c r="W8260" s="2" t="s">
        <v>51371</v>
      </c>
      <c r="X8260" s="5" t="str">
        <f>HYPERLINK("https://my.pitchbook.com?p=175466-71P","View People Online")</f>
        <v>View People Online</v>
      </c>
    </row>
    <row r="8261">
      <c r="A8261" s="14" t="s">
        <v>51382</v>
      </c>
      <c r="B8261" s="14" t="s">
        <v>51383</v>
      </c>
      <c r="C8261" s="14" t="s">
        <v>10008</v>
      </c>
      <c r="D8261" s="14" t="s">
        <v>28784</v>
      </c>
      <c r="E8261" s="14" t="s">
        <v>51384</v>
      </c>
      <c r="F8261" s="14" t="s">
        <v>548</v>
      </c>
      <c r="G8261" s="14" t="s">
        <v>51385</v>
      </c>
      <c r="H8261" s="15" t="s">
        <v>31</v>
      </c>
      <c r="I8261" s="15">
        <v>1.0</v>
      </c>
      <c r="J8261" s="15">
        <v>1.0</v>
      </c>
      <c r="K8261" s="15" t="s">
        <v>31</v>
      </c>
      <c r="L8261" s="16" t="s">
        <v>51386</v>
      </c>
      <c r="M8261" s="14" t="s">
        <v>51387</v>
      </c>
      <c r="N8261" s="14" t="s">
        <v>15993</v>
      </c>
      <c r="O8261" s="16" t="s">
        <v>15994</v>
      </c>
      <c r="P8261" s="14" t="s">
        <v>51388</v>
      </c>
      <c r="Q8261" s="14" t="s">
        <v>31</v>
      </c>
      <c r="R8261" s="14" t="s">
        <v>15997</v>
      </c>
      <c r="S8261" s="16" t="s">
        <v>51389</v>
      </c>
      <c r="T8261" s="14" t="s">
        <v>1019</v>
      </c>
      <c r="U8261" s="16" t="s">
        <v>51390</v>
      </c>
      <c r="V8261" s="14" t="s">
        <v>51391</v>
      </c>
      <c r="W8261" s="14" t="s">
        <v>51384</v>
      </c>
      <c r="X8261" s="17" t="str">
        <f>HYPERLINK("https://my.pitchbook.com?p=158095-63P","View People Online")</f>
        <v>View People Online</v>
      </c>
    </row>
    <row r="8262">
      <c r="A8262" s="2" t="s">
        <v>51392</v>
      </c>
      <c r="B8262" s="2" t="s">
        <v>51393</v>
      </c>
      <c r="C8262" s="2" t="s">
        <v>30669</v>
      </c>
      <c r="D8262" s="2" t="s">
        <v>3988</v>
      </c>
      <c r="E8262" s="2" t="s">
        <v>51384</v>
      </c>
      <c r="F8262" s="2" t="s">
        <v>371</v>
      </c>
      <c r="G8262" s="2" t="s">
        <v>51394</v>
      </c>
      <c r="H8262" s="3" t="s">
        <v>31</v>
      </c>
      <c r="I8262" s="3">
        <v>1.0</v>
      </c>
      <c r="J8262" s="3">
        <v>1.0</v>
      </c>
      <c r="K8262" s="3" t="s">
        <v>31</v>
      </c>
      <c r="L8262" s="4" t="s">
        <v>51386</v>
      </c>
      <c r="M8262" s="2" t="s">
        <v>51395</v>
      </c>
      <c r="N8262" s="2" t="s">
        <v>15993</v>
      </c>
      <c r="O8262" s="4" t="s">
        <v>15994</v>
      </c>
      <c r="P8262" s="2" t="s">
        <v>51388</v>
      </c>
      <c r="Q8262" s="2" t="s">
        <v>31</v>
      </c>
      <c r="R8262" s="2" t="s">
        <v>15997</v>
      </c>
      <c r="S8262" s="4" t="s">
        <v>51389</v>
      </c>
      <c r="T8262" s="2" t="s">
        <v>1019</v>
      </c>
      <c r="U8262" s="4" t="s">
        <v>51390</v>
      </c>
      <c r="V8262" s="2" t="s">
        <v>371</v>
      </c>
      <c r="W8262" s="2" t="s">
        <v>51384</v>
      </c>
      <c r="X8262" s="5" t="str">
        <f>HYPERLINK("https://my.pitchbook.com?p=274517-20P","View People Online")</f>
        <v>View People Online</v>
      </c>
    </row>
    <row r="8263">
      <c r="A8263" s="6" t="s">
        <v>51396</v>
      </c>
      <c r="B8263" s="6" t="s">
        <v>51397</v>
      </c>
      <c r="C8263" s="6" t="s">
        <v>38091</v>
      </c>
      <c r="D8263" s="6" t="s">
        <v>1181</v>
      </c>
      <c r="E8263" s="6" t="s">
        <v>51384</v>
      </c>
      <c r="F8263" s="6" t="s">
        <v>502</v>
      </c>
      <c r="G8263" s="6" t="s">
        <v>51398</v>
      </c>
      <c r="H8263" s="7" t="s">
        <v>31</v>
      </c>
      <c r="I8263" s="7">
        <v>1.0</v>
      </c>
      <c r="J8263" s="7">
        <v>1.0</v>
      </c>
      <c r="K8263" s="7" t="s">
        <v>31</v>
      </c>
      <c r="L8263" s="8" t="s">
        <v>51386</v>
      </c>
      <c r="M8263" s="6" t="s">
        <v>51399</v>
      </c>
      <c r="N8263" s="6" t="s">
        <v>15993</v>
      </c>
      <c r="O8263" s="8" t="s">
        <v>15994</v>
      </c>
      <c r="P8263" s="6" t="s">
        <v>51388</v>
      </c>
      <c r="Q8263" s="6" t="s">
        <v>31</v>
      </c>
      <c r="R8263" s="6" t="s">
        <v>15997</v>
      </c>
      <c r="S8263" s="8" t="s">
        <v>51389</v>
      </c>
      <c r="T8263" s="6" t="s">
        <v>1019</v>
      </c>
      <c r="U8263" s="8" t="s">
        <v>51390</v>
      </c>
      <c r="V8263" s="6" t="s">
        <v>25161</v>
      </c>
      <c r="W8263" s="6" t="s">
        <v>51384</v>
      </c>
      <c r="X8263" s="9" t="str">
        <f>HYPERLINK("https://my.pitchbook.com?p=246078-64P","View People Online")</f>
        <v>View People Online</v>
      </c>
    </row>
    <row r="8264">
      <c r="A8264" s="2" t="s">
        <v>51400</v>
      </c>
      <c r="B8264" s="2" t="s">
        <v>51401</v>
      </c>
      <c r="C8264" s="2" t="s">
        <v>4739</v>
      </c>
      <c r="D8264" s="2" t="s">
        <v>51402</v>
      </c>
      <c r="E8264" s="2" t="s">
        <v>51384</v>
      </c>
      <c r="F8264" s="2" t="s">
        <v>371</v>
      </c>
      <c r="G8264" s="2" t="s">
        <v>51403</v>
      </c>
      <c r="H8264" s="3" t="s">
        <v>31</v>
      </c>
      <c r="I8264" s="3">
        <v>1.0</v>
      </c>
      <c r="J8264" s="3">
        <v>1.0</v>
      </c>
      <c r="K8264" s="3" t="s">
        <v>31</v>
      </c>
      <c r="L8264" s="4" t="s">
        <v>51386</v>
      </c>
      <c r="M8264" s="2" t="s">
        <v>51404</v>
      </c>
      <c r="N8264" s="2" t="s">
        <v>15993</v>
      </c>
      <c r="O8264" s="4" t="s">
        <v>15994</v>
      </c>
      <c r="P8264" s="2" t="s">
        <v>51388</v>
      </c>
      <c r="Q8264" s="2" t="s">
        <v>31</v>
      </c>
      <c r="R8264" s="2" t="s">
        <v>15997</v>
      </c>
      <c r="S8264" s="4" t="s">
        <v>51389</v>
      </c>
      <c r="T8264" s="2" t="s">
        <v>1019</v>
      </c>
      <c r="U8264" s="4" t="s">
        <v>51390</v>
      </c>
      <c r="V8264" s="2" t="s">
        <v>371</v>
      </c>
      <c r="W8264" s="2" t="s">
        <v>51384</v>
      </c>
      <c r="X8264" s="5" t="str">
        <f>HYPERLINK("https://my.pitchbook.com?p=274523-77P","View People Online")</f>
        <v>View People Online</v>
      </c>
    </row>
    <row r="8265">
      <c r="A8265" s="6" t="s">
        <v>51405</v>
      </c>
      <c r="B8265" s="6" t="s">
        <v>51406</v>
      </c>
      <c r="C8265" s="6" t="s">
        <v>1616</v>
      </c>
      <c r="D8265" s="6" t="s">
        <v>32752</v>
      </c>
      <c r="E8265" s="6" t="s">
        <v>51384</v>
      </c>
      <c r="F8265" s="6" t="s">
        <v>1249</v>
      </c>
      <c r="G8265" s="6" t="s">
        <v>51407</v>
      </c>
      <c r="H8265" s="7">
        <v>1.0</v>
      </c>
      <c r="I8265" s="7">
        <v>3.0</v>
      </c>
      <c r="J8265" s="7">
        <v>1.0</v>
      </c>
      <c r="K8265" s="7">
        <v>2.0</v>
      </c>
      <c r="L8265" s="8" t="s">
        <v>51386</v>
      </c>
      <c r="M8265" s="6" t="s">
        <v>51408</v>
      </c>
      <c r="N8265" s="6" t="s">
        <v>15993</v>
      </c>
      <c r="O8265" s="8" t="s">
        <v>15994</v>
      </c>
      <c r="P8265" s="6" t="s">
        <v>51388</v>
      </c>
      <c r="Q8265" s="6" t="s">
        <v>31</v>
      </c>
      <c r="R8265" s="6" t="s">
        <v>15997</v>
      </c>
      <c r="S8265" s="8" t="s">
        <v>51389</v>
      </c>
      <c r="T8265" s="6" t="s">
        <v>1019</v>
      </c>
      <c r="U8265" s="8" t="s">
        <v>51390</v>
      </c>
      <c r="V8265" s="6" t="s">
        <v>51409</v>
      </c>
      <c r="W8265" s="6" t="s">
        <v>51384</v>
      </c>
      <c r="X8265" s="9" t="str">
        <f>HYPERLINK("https://my.pitchbook.com?p=66939-58P","View People Online")</f>
        <v>View People Online</v>
      </c>
    </row>
    <row r="8266">
      <c r="A8266" s="10" t="s">
        <v>51410</v>
      </c>
      <c r="B8266" s="10" t="s">
        <v>51411</v>
      </c>
      <c r="C8266" s="10" t="s">
        <v>1489</v>
      </c>
      <c r="D8266" s="10" t="s">
        <v>1181</v>
      </c>
      <c r="E8266" s="10" t="s">
        <v>51384</v>
      </c>
      <c r="F8266" s="10" t="s">
        <v>371</v>
      </c>
      <c r="G8266" s="10" t="s">
        <v>51412</v>
      </c>
      <c r="H8266" s="11" t="s">
        <v>31</v>
      </c>
      <c r="I8266" s="11">
        <v>1.0</v>
      </c>
      <c r="J8266" s="11">
        <v>1.0</v>
      </c>
      <c r="K8266" s="11" t="s">
        <v>31</v>
      </c>
      <c r="L8266" s="12" t="s">
        <v>51386</v>
      </c>
      <c r="M8266" s="10" t="s">
        <v>51413</v>
      </c>
      <c r="N8266" s="10" t="s">
        <v>15993</v>
      </c>
      <c r="O8266" s="12" t="s">
        <v>15994</v>
      </c>
      <c r="P8266" s="10" t="s">
        <v>51388</v>
      </c>
      <c r="Q8266" s="10" t="s">
        <v>31</v>
      </c>
      <c r="R8266" s="10" t="s">
        <v>15997</v>
      </c>
      <c r="S8266" s="12" t="s">
        <v>51389</v>
      </c>
      <c r="T8266" s="10" t="s">
        <v>1019</v>
      </c>
      <c r="U8266" s="12" t="s">
        <v>51390</v>
      </c>
      <c r="V8266" s="10" t="s">
        <v>371</v>
      </c>
      <c r="W8266" s="10" t="s">
        <v>51384</v>
      </c>
      <c r="X8266" s="13" t="str">
        <f>HYPERLINK("https://my.pitchbook.com?p=144536-59P","View People Online")</f>
        <v>View People Online</v>
      </c>
    </row>
    <row r="8267">
      <c r="A8267" s="6" t="s">
        <v>51414</v>
      </c>
      <c r="B8267" s="6" t="s">
        <v>51415</v>
      </c>
      <c r="C8267" s="6" t="s">
        <v>18773</v>
      </c>
      <c r="D8267" s="6" t="s">
        <v>51416</v>
      </c>
      <c r="E8267" s="6" t="s">
        <v>51384</v>
      </c>
      <c r="F8267" s="6" t="s">
        <v>371</v>
      </c>
      <c r="G8267" s="6" t="s">
        <v>51417</v>
      </c>
      <c r="H8267" s="7" t="s">
        <v>31</v>
      </c>
      <c r="I8267" s="7">
        <v>1.0</v>
      </c>
      <c r="J8267" s="7">
        <v>1.0</v>
      </c>
      <c r="K8267" s="7" t="s">
        <v>31</v>
      </c>
      <c r="L8267" s="8" t="s">
        <v>51386</v>
      </c>
      <c r="M8267" s="6" t="s">
        <v>51418</v>
      </c>
      <c r="N8267" s="6" t="s">
        <v>15993</v>
      </c>
      <c r="O8267" s="8" t="s">
        <v>15994</v>
      </c>
      <c r="P8267" s="6" t="s">
        <v>51388</v>
      </c>
      <c r="Q8267" s="6" t="s">
        <v>31</v>
      </c>
      <c r="R8267" s="6" t="s">
        <v>15997</v>
      </c>
      <c r="S8267" s="8" t="s">
        <v>51389</v>
      </c>
      <c r="T8267" s="6" t="s">
        <v>1019</v>
      </c>
      <c r="U8267" s="8" t="s">
        <v>51390</v>
      </c>
      <c r="V8267" s="6" t="s">
        <v>371</v>
      </c>
      <c r="W8267" s="6" t="s">
        <v>51384</v>
      </c>
      <c r="X8267" s="9" t="str">
        <f>HYPERLINK("https://my.pitchbook.com?p=158085-37P","View People Online")</f>
        <v>View People Online</v>
      </c>
    </row>
    <row r="8268">
      <c r="A8268" s="10" t="s">
        <v>51419</v>
      </c>
      <c r="B8268" s="10" t="s">
        <v>51420</v>
      </c>
      <c r="C8268" s="10" t="s">
        <v>5536</v>
      </c>
      <c r="D8268" s="10" t="s">
        <v>51421</v>
      </c>
      <c r="E8268" s="10" t="s">
        <v>51384</v>
      </c>
      <c r="F8268" s="10" t="s">
        <v>40242</v>
      </c>
      <c r="G8268" s="10" t="s">
        <v>51422</v>
      </c>
      <c r="H8268" s="11" t="s">
        <v>31</v>
      </c>
      <c r="I8268" s="11">
        <v>1.0</v>
      </c>
      <c r="J8268" s="11">
        <v>1.0</v>
      </c>
      <c r="K8268" s="11" t="s">
        <v>31</v>
      </c>
      <c r="L8268" s="12" t="s">
        <v>51386</v>
      </c>
      <c r="M8268" s="10" t="s">
        <v>51423</v>
      </c>
      <c r="N8268" s="10" t="s">
        <v>15993</v>
      </c>
      <c r="O8268" s="12" t="s">
        <v>15994</v>
      </c>
      <c r="P8268" s="10" t="s">
        <v>51388</v>
      </c>
      <c r="Q8268" s="10" t="s">
        <v>31</v>
      </c>
      <c r="R8268" s="10" t="s">
        <v>15997</v>
      </c>
      <c r="S8268" s="12" t="s">
        <v>51389</v>
      </c>
      <c r="T8268" s="10" t="s">
        <v>1019</v>
      </c>
      <c r="U8268" s="12" t="s">
        <v>51390</v>
      </c>
      <c r="V8268" s="10" t="s">
        <v>51424</v>
      </c>
      <c r="W8268" s="10" t="s">
        <v>51384</v>
      </c>
      <c r="X8268" s="13" t="str">
        <f>HYPERLINK("https://my.pitchbook.com?p=218017-09P","View People Online")</f>
        <v>View People Online</v>
      </c>
    </row>
    <row r="8269">
      <c r="A8269" s="14" t="s">
        <v>51425</v>
      </c>
      <c r="B8269" s="14" t="s">
        <v>51426</v>
      </c>
      <c r="C8269" s="14" t="s">
        <v>5240</v>
      </c>
      <c r="D8269" s="14" t="s">
        <v>3275</v>
      </c>
      <c r="E8269" s="14" t="s">
        <v>51384</v>
      </c>
      <c r="F8269" s="14" t="s">
        <v>371</v>
      </c>
      <c r="G8269" s="14" t="s">
        <v>51427</v>
      </c>
      <c r="H8269" s="15" t="s">
        <v>31</v>
      </c>
      <c r="I8269" s="15">
        <v>1.0</v>
      </c>
      <c r="J8269" s="15">
        <v>1.0</v>
      </c>
      <c r="K8269" s="15" t="s">
        <v>31</v>
      </c>
      <c r="L8269" s="16" t="s">
        <v>51386</v>
      </c>
      <c r="M8269" s="14" t="s">
        <v>51428</v>
      </c>
      <c r="N8269" s="14" t="s">
        <v>15993</v>
      </c>
      <c r="O8269" s="16" t="s">
        <v>15994</v>
      </c>
      <c r="P8269" s="14" t="s">
        <v>51388</v>
      </c>
      <c r="Q8269" s="14" t="s">
        <v>31</v>
      </c>
      <c r="R8269" s="14" t="s">
        <v>15997</v>
      </c>
      <c r="S8269" s="16" t="s">
        <v>51389</v>
      </c>
      <c r="T8269" s="14" t="s">
        <v>1019</v>
      </c>
      <c r="U8269" s="16" t="s">
        <v>51390</v>
      </c>
      <c r="V8269" s="14" t="s">
        <v>371</v>
      </c>
      <c r="W8269" s="14" t="s">
        <v>51384</v>
      </c>
      <c r="X8269" s="17" t="str">
        <f>HYPERLINK("https://my.pitchbook.com?p=274521-16P","View People Online")</f>
        <v>View People Online</v>
      </c>
    </row>
    <row r="8270">
      <c r="A8270" s="2" t="s">
        <v>51429</v>
      </c>
      <c r="B8270" s="2" t="s">
        <v>51430</v>
      </c>
      <c r="C8270" s="2" t="s">
        <v>4015</v>
      </c>
      <c r="D8270" s="2" t="s">
        <v>51431</v>
      </c>
      <c r="E8270" s="2" t="s">
        <v>51384</v>
      </c>
      <c r="F8270" s="2" t="s">
        <v>371</v>
      </c>
      <c r="G8270" s="2" t="s">
        <v>51432</v>
      </c>
      <c r="H8270" s="3" t="s">
        <v>31</v>
      </c>
      <c r="I8270" s="3">
        <v>1.0</v>
      </c>
      <c r="J8270" s="3">
        <v>1.0</v>
      </c>
      <c r="K8270" s="3" t="s">
        <v>31</v>
      </c>
      <c r="L8270" s="4" t="s">
        <v>51386</v>
      </c>
      <c r="M8270" s="2" t="s">
        <v>51433</v>
      </c>
      <c r="N8270" s="2" t="s">
        <v>15993</v>
      </c>
      <c r="O8270" s="4" t="s">
        <v>15994</v>
      </c>
      <c r="P8270" s="2" t="s">
        <v>51388</v>
      </c>
      <c r="Q8270" s="2" t="s">
        <v>31</v>
      </c>
      <c r="R8270" s="2" t="s">
        <v>15997</v>
      </c>
      <c r="S8270" s="4" t="s">
        <v>51389</v>
      </c>
      <c r="T8270" s="2" t="s">
        <v>1019</v>
      </c>
      <c r="U8270" s="4" t="s">
        <v>51390</v>
      </c>
      <c r="V8270" s="2" t="s">
        <v>371</v>
      </c>
      <c r="W8270" s="2" t="s">
        <v>51384</v>
      </c>
      <c r="X8270" s="5" t="str">
        <f>HYPERLINK("https://my.pitchbook.com?p=274522-51P","View People Online")</f>
        <v>View People Online</v>
      </c>
    </row>
    <row r="8271">
      <c r="A8271" s="14" t="s">
        <v>51434</v>
      </c>
      <c r="B8271" s="14" t="s">
        <v>51435</v>
      </c>
      <c r="C8271" s="14" t="s">
        <v>8542</v>
      </c>
      <c r="D8271" s="14" t="s">
        <v>3275</v>
      </c>
      <c r="E8271" s="14" t="s">
        <v>51436</v>
      </c>
      <c r="F8271" s="14" t="s">
        <v>3645</v>
      </c>
      <c r="G8271" s="14" t="s">
        <v>51437</v>
      </c>
      <c r="H8271" s="15" t="s">
        <v>31</v>
      </c>
      <c r="I8271" s="15">
        <v>1.0</v>
      </c>
      <c r="J8271" s="15">
        <v>1.0</v>
      </c>
      <c r="K8271" s="15" t="s">
        <v>31</v>
      </c>
      <c r="L8271" s="16" t="s">
        <v>51438</v>
      </c>
      <c r="M8271" s="14" t="s">
        <v>31</v>
      </c>
      <c r="N8271" s="14" t="s">
        <v>1416</v>
      </c>
      <c r="O8271" s="16" t="s">
        <v>1417</v>
      </c>
      <c r="P8271" s="14" t="s">
        <v>51439</v>
      </c>
      <c r="Q8271" s="14" t="s">
        <v>25468</v>
      </c>
      <c r="R8271" s="14" t="s">
        <v>1420</v>
      </c>
      <c r="S8271" s="16" t="s">
        <v>51440</v>
      </c>
      <c r="T8271" s="14" t="s">
        <v>66</v>
      </c>
      <c r="U8271" s="16" t="s">
        <v>51441</v>
      </c>
      <c r="V8271" s="14" t="s">
        <v>51442</v>
      </c>
      <c r="W8271" s="14" t="s">
        <v>51436</v>
      </c>
      <c r="X8271" s="17" t="str">
        <f>HYPERLINK("https://my.pitchbook.com?p=270352-36P","View People Online")</f>
        <v>View People Online</v>
      </c>
    </row>
    <row r="8272">
      <c r="A8272" s="2" t="s">
        <v>51443</v>
      </c>
      <c r="B8272" s="2" t="s">
        <v>51444</v>
      </c>
      <c r="C8272" s="2" t="s">
        <v>823</v>
      </c>
      <c r="D8272" s="2" t="s">
        <v>51445</v>
      </c>
      <c r="E8272" s="2" t="s">
        <v>51436</v>
      </c>
      <c r="F8272" s="2" t="s">
        <v>7608</v>
      </c>
      <c r="G8272" s="2" t="s">
        <v>51446</v>
      </c>
      <c r="H8272" s="3" t="s">
        <v>31</v>
      </c>
      <c r="I8272" s="3">
        <v>1.0</v>
      </c>
      <c r="J8272" s="3">
        <v>1.0</v>
      </c>
      <c r="K8272" s="3" t="s">
        <v>31</v>
      </c>
      <c r="L8272" s="4" t="s">
        <v>51438</v>
      </c>
      <c r="M8272" s="2" t="s">
        <v>51447</v>
      </c>
      <c r="N8272" s="2" t="s">
        <v>1416</v>
      </c>
      <c r="O8272" s="4" t="s">
        <v>1417</v>
      </c>
      <c r="P8272" s="2" t="s">
        <v>51439</v>
      </c>
      <c r="Q8272" s="2" t="s">
        <v>25468</v>
      </c>
      <c r="R8272" s="2" t="s">
        <v>1420</v>
      </c>
      <c r="S8272" s="4" t="s">
        <v>51440</v>
      </c>
      <c r="T8272" s="2" t="s">
        <v>66</v>
      </c>
      <c r="U8272" s="4" t="s">
        <v>51441</v>
      </c>
      <c r="V8272" s="2" t="s">
        <v>51448</v>
      </c>
      <c r="W8272" s="2" t="s">
        <v>51436</v>
      </c>
      <c r="X8272" s="5" t="str">
        <f>HYPERLINK("https://my.pitchbook.com?p=292454-38P","View People Online")</f>
        <v>View People Online</v>
      </c>
    </row>
    <row r="8273">
      <c r="A8273" s="14" t="s">
        <v>51449</v>
      </c>
      <c r="B8273" s="14" t="s">
        <v>51450</v>
      </c>
      <c r="C8273" s="14" t="s">
        <v>28147</v>
      </c>
      <c r="D8273" s="14" t="s">
        <v>51451</v>
      </c>
      <c r="E8273" s="14" t="s">
        <v>51436</v>
      </c>
      <c r="F8273" s="14" t="s">
        <v>312</v>
      </c>
      <c r="G8273" s="14" t="s">
        <v>51452</v>
      </c>
      <c r="H8273" s="15" t="s">
        <v>31</v>
      </c>
      <c r="I8273" s="15">
        <v>1.0</v>
      </c>
      <c r="J8273" s="15">
        <v>1.0</v>
      </c>
      <c r="K8273" s="15" t="s">
        <v>31</v>
      </c>
      <c r="L8273" s="16" t="s">
        <v>51438</v>
      </c>
      <c r="M8273" s="14" t="s">
        <v>51453</v>
      </c>
      <c r="N8273" s="14" t="s">
        <v>1416</v>
      </c>
      <c r="O8273" s="16" t="s">
        <v>1417</v>
      </c>
      <c r="P8273" s="14" t="s">
        <v>51439</v>
      </c>
      <c r="Q8273" s="14" t="s">
        <v>25468</v>
      </c>
      <c r="R8273" s="14" t="s">
        <v>1420</v>
      </c>
      <c r="S8273" s="16" t="s">
        <v>51440</v>
      </c>
      <c r="T8273" s="14" t="s">
        <v>66</v>
      </c>
      <c r="U8273" s="16" t="s">
        <v>51441</v>
      </c>
      <c r="V8273" s="14" t="s">
        <v>51454</v>
      </c>
      <c r="W8273" s="14" t="s">
        <v>51436</v>
      </c>
      <c r="X8273" s="17" t="str">
        <f>HYPERLINK("https://my.pitchbook.com?p=392497-12P","View People Online")</f>
        <v>View People Online</v>
      </c>
    </row>
    <row r="8274">
      <c r="A8274" s="10" t="s">
        <v>51455</v>
      </c>
      <c r="B8274" s="10" t="s">
        <v>51456</v>
      </c>
      <c r="C8274" s="10" t="s">
        <v>4009</v>
      </c>
      <c r="D8274" s="10" t="s">
        <v>6806</v>
      </c>
      <c r="E8274" s="10" t="s">
        <v>51436</v>
      </c>
      <c r="F8274" s="10" t="s">
        <v>7608</v>
      </c>
      <c r="G8274" s="10" t="s">
        <v>51457</v>
      </c>
      <c r="H8274" s="11" t="s">
        <v>31</v>
      </c>
      <c r="I8274" s="11">
        <v>1.0</v>
      </c>
      <c r="J8274" s="11">
        <v>1.0</v>
      </c>
      <c r="K8274" s="11" t="s">
        <v>31</v>
      </c>
      <c r="L8274" s="12" t="s">
        <v>51438</v>
      </c>
      <c r="M8274" s="10" t="s">
        <v>51458</v>
      </c>
      <c r="N8274" s="10" t="s">
        <v>1416</v>
      </c>
      <c r="O8274" s="12" t="s">
        <v>1417</v>
      </c>
      <c r="P8274" s="10" t="s">
        <v>51439</v>
      </c>
      <c r="Q8274" s="10" t="s">
        <v>25468</v>
      </c>
      <c r="R8274" s="10" t="s">
        <v>1420</v>
      </c>
      <c r="S8274" s="12" t="s">
        <v>51440</v>
      </c>
      <c r="T8274" s="10" t="s">
        <v>66</v>
      </c>
      <c r="U8274" s="12" t="s">
        <v>51441</v>
      </c>
      <c r="V8274" s="10" t="s">
        <v>32293</v>
      </c>
      <c r="W8274" s="10" t="s">
        <v>51436</v>
      </c>
      <c r="X8274" s="13" t="str">
        <f>HYPERLINK("https://my.pitchbook.com?p=83767-69P","View People Online")</f>
        <v>View People Online</v>
      </c>
    </row>
    <row r="8275">
      <c r="A8275" s="6" t="s">
        <v>51459</v>
      </c>
      <c r="B8275" s="6" t="s">
        <v>51460</v>
      </c>
      <c r="C8275" s="6" t="s">
        <v>51461</v>
      </c>
      <c r="D8275" s="6" t="s">
        <v>51462</v>
      </c>
      <c r="E8275" s="6" t="s">
        <v>51436</v>
      </c>
      <c r="F8275" s="6" t="s">
        <v>312</v>
      </c>
      <c r="G8275" s="6" t="s">
        <v>51463</v>
      </c>
      <c r="H8275" s="7" t="s">
        <v>31</v>
      </c>
      <c r="I8275" s="7">
        <v>1.0</v>
      </c>
      <c r="J8275" s="7">
        <v>1.0</v>
      </c>
      <c r="K8275" s="7" t="s">
        <v>31</v>
      </c>
      <c r="L8275" s="8" t="s">
        <v>51438</v>
      </c>
      <c r="M8275" s="6" t="s">
        <v>51464</v>
      </c>
      <c r="N8275" s="6" t="s">
        <v>1416</v>
      </c>
      <c r="O8275" s="8" t="s">
        <v>1417</v>
      </c>
      <c r="P8275" s="6" t="s">
        <v>51439</v>
      </c>
      <c r="Q8275" s="6" t="s">
        <v>25468</v>
      </c>
      <c r="R8275" s="6" t="s">
        <v>1420</v>
      </c>
      <c r="S8275" s="8" t="s">
        <v>51440</v>
      </c>
      <c r="T8275" s="6" t="s">
        <v>66</v>
      </c>
      <c r="U8275" s="8" t="s">
        <v>51441</v>
      </c>
      <c r="V8275" s="6" t="s">
        <v>51465</v>
      </c>
      <c r="W8275" s="6" t="s">
        <v>51436</v>
      </c>
      <c r="X8275" s="9" t="str">
        <f>HYPERLINK("https://my.pitchbook.com?p=392498-29P","View People Online")</f>
        <v>View People Online</v>
      </c>
    </row>
    <row r="8276">
      <c r="A8276" s="10" t="s">
        <v>51466</v>
      </c>
      <c r="B8276" s="10" t="s">
        <v>51467</v>
      </c>
      <c r="C8276" s="10" t="s">
        <v>2451</v>
      </c>
      <c r="D8276" s="10" t="s">
        <v>42025</v>
      </c>
      <c r="E8276" s="10" t="s">
        <v>51436</v>
      </c>
      <c r="F8276" s="10" t="s">
        <v>32296</v>
      </c>
      <c r="G8276" s="10" t="s">
        <v>51468</v>
      </c>
      <c r="H8276" s="11" t="s">
        <v>31</v>
      </c>
      <c r="I8276" s="11">
        <v>1.0</v>
      </c>
      <c r="J8276" s="11">
        <v>1.0</v>
      </c>
      <c r="K8276" s="11" t="s">
        <v>31</v>
      </c>
      <c r="L8276" s="12" t="s">
        <v>51438</v>
      </c>
      <c r="M8276" s="10" t="s">
        <v>51469</v>
      </c>
      <c r="N8276" s="10" t="s">
        <v>1416</v>
      </c>
      <c r="O8276" s="12" t="s">
        <v>1417</v>
      </c>
      <c r="P8276" s="10" t="s">
        <v>51439</v>
      </c>
      <c r="Q8276" s="10" t="s">
        <v>25468</v>
      </c>
      <c r="R8276" s="10" t="s">
        <v>1420</v>
      </c>
      <c r="S8276" s="12" t="s">
        <v>51440</v>
      </c>
      <c r="T8276" s="10" t="s">
        <v>66</v>
      </c>
      <c r="U8276" s="12" t="s">
        <v>51441</v>
      </c>
      <c r="V8276" s="10" t="s">
        <v>35665</v>
      </c>
      <c r="W8276" s="10" t="s">
        <v>51436</v>
      </c>
      <c r="X8276" s="13" t="str">
        <f>HYPERLINK("https://my.pitchbook.com?p=292453-57P","View People Online")</f>
        <v>View People Online</v>
      </c>
    </row>
    <row r="8277">
      <c r="A8277" s="6" t="s">
        <v>51470</v>
      </c>
      <c r="B8277" s="6" t="s">
        <v>51471</v>
      </c>
      <c r="C8277" s="6" t="s">
        <v>1697</v>
      </c>
      <c r="D8277" s="6" t="s">
        <v>51472</v>
      </c>
      <c r="E8277" s="6" t="s">
        <v>51436</v>
      </c>
      <c r="F8277" s="6" t="s">
        <v>1249</v>
      </c>
      <c r="G8277" s="6" t="s">
        <v>51473</v>
      </c>
      <c r="H8277" s="7">
        <v>2.0</v>
      </c>
      <c r="I8277" s="7">
        <v>8.0</v>
      </c>
      <c r="J8277" s="7">
        <v>1.0</v>
      </c>
      <c r="K8277" s="7">
        <v>6.0</v>
      </c>
      <c r="L8277" s="8" t="s">
        <v>51438</v>
      </c>
      <c r="M8277" s="6" t="s">
        <v>51474</v>
      </c>
      <c r="N8277" s="6" t="s">
        <v>1416</v>
      </c>
      <c r="O8277" s="8" t="s">
        <v>1417</v>
      </c>
      <c r="P8277" s="6" t="s">
        <v>51439</v>
      </c>
      <c r="Q8277" s="6" t="s">
        <v>25468</v>
      </c>
      <c r="R8277" s="6" t="s">
        <v>1420</v>
      </c>
      <c r="S8277" s="8" t="s">
        <v>51440</v>
      </c>
      <c r="T8277" s="6" t="s">
        <v>66</v>
      </c>
      <c r="U8277" s="8" t="s">
        <v>51441</v>
      </c>
      <c r="V8277" s="6" t="s">
        <v>7404</v>
      </c>
      <c r="W8277" s="6" t="s">
        <v>51436</v>
      </c>
      <c r="X8277" s="9" t="str">
        <f>HYPERLINK("https://my.pitchbook.com?p=79587-55P","View People Online")</f>
        <v>View People Online</v>
      </c>
    </row>
    <row r="8278">
      <c r="A8278" s="2" t="s">
        <v>51475</v>
      </c>
      <c r="B8278" s="2" t="s">
        <v>51476</v>
      </c>
      <c r="C8278" s="2" t="s">
        <v>6326</v>
      </c>
      <c r="D8278" s="2" t="s">
        <v>2150</v>
      </c>
      <c r="E8278" s="2" t="s">
        <v>51477</v>
      </c>
      <c r="F8278" s="2" t="s">
        <v>270</v>
      </c>
      <c r="G8278" s="2" t="s">
        <v>51478</v>
      </c>
      <c r="H8278" s="3">
        <v>6.0</v>
      </c>
      <c r="I8278" s="3">
        <v>24.0</v>
      </c>
      <c r="J8278" s="3">
        <v>1.0</v>
      </c>
      <c r="K8278" s="3">
        <v>17.0</v>
      </c>
      <c r="L8278" s="4" t="s">
        <v>51479</v>
      </c>
      <c r="M8278" s="2" t="s">
        <v>51480</v>
      </c>
      <c r="N8278" s="2" t="s">
        <v>1566</v>
      </c>
      <c r="O8278" s="4" t="s">
        <v>51481</v>
      </c>
      <c r="P8278" s="2" t="s">
        <v>51482</v>
      </c>
      <c r="Q8278" s="2" t="s">
        <v>31</v>
      </c>
      <c r="R8278" s="2" t="s">
        <v>1185</v>
      </c>
      <c r="S8278" s="4" t="s">
        <v>51483</v>
      </c>
      <c r="T8278" s="2" t="s">
        <v>66</v>
      </c>
      <c r="U8278" s="4" t="s">
        <v>31</v>
      </c>
      <c r="V8278" s="2" t="s">
        <v>32107</v>
      </c>
      <c r="W8278" s="2" t="s">
        <v>51477</v>
      </c>
      <c r="X8278" s="5" t="str">
        <f>HYPERLINK("https://my.pitchbook.com?p=111270-34P","View People Online")</f>
        <v>View People Online</v>
      </c>
    </row>
    <row r="8279">
      <c r="A8279" s="6" t="s">
        <v>51484</v>
      </c>
      <c r="B8279" s="6" t="s">
        <v>51485</v>
      </c>
      <c r="C8279" s="6" t="s">
        <v>1449</v>
      </c>
      <c r="D8279" s="6" t="s">
        <v>51486</v>
      </c>
      <c r="E8279" s="6" t="s">
        <v>51487</v>
      </c>
      <c r="F8279" s="6" t="s">
        <v>29</v>
      </c>
      <c r="G8279" s="6" t="s">
        <v>51488</v>
      </c>
      <c r="H8279" s="7" t="s">
        <v>31</v>
      </c>
      <c r="I8279" s="7">
        <v>1.0</v>
      </c>
      <c r="J8279" s="7">
        <v>1.0</v>
      </c>
      <c r="K8279" s="7" t="s">
        <v>31</v>
      </c>
      <c r="L8279" s="8" t="s">
        <v>51489</v>
      </c>
      <c r="M8279" s="6" t="s">
        <v>51490</v>
      </c>
      <c r="N8279" s="6" t="s">
        <v>4232</v>
      </c>
      <c r="O8279" s="8" t="s">
        <v>4233</v>
      </c>
      <c r="P8279" s="6" t="s">
        <v>51491</v>
      </c>
      <c r="Q8279" s="6" t="s">
        <v>7094</v>
      </c>
      <c r="R8279" s="6" t="s">
        <v>4236</v>
      </c>
      <c r="S8279" s="8" t="s">
        <v>29525</v>
      </c>
      <c r="T8279" s="6" t="s">
        <v>66</v>
      </c>
      <c r="U8279" s="8" t="s">
        <v>31</v>
      </c>
      <c r="V8279" s="6" t="s">
        <v>29</v>
      </c>
      <c r="W8279" s="6" t="s">
        <v>51487</v>
      </c>
      <c r="X8279" s="9" t="str">
        <f>HYPERLINK("https://my.pitchbook.com?p=87766-66P","View People Online")</f>
        <v>View People Online</v>
      </c>
    </row>
    <row r="8280">
      <c r="A8280" s="10" t="s">
        <v>51492</v>
      </c>
      <c r="B8280" s="10" t="s">
        <v>51493</v>
      </c>
      <c r="C8280" s="10" t="s">
        <v>3977</v>
      </c>
      <c r="D8280" s="10" t="s">
        <v>51494</v>
      </c>
      <c r="E8280" s="10" t="s">
        <v>51487</v>
      </c>
      <c r="F8280" s="10" t="s">
        <v>9808</v>
      </c>
      <c r="G8280" s="10" t="s">
        <v>51495</v>
      </c>
      <c r="H8280" s="11">
        <v>1.0</v>
      </c>
      <c r="I8280" s="11">
        <v>3.0</v>
      </c>
      <c r="J8280" s="11">
        <v>1.0</v>
      </c>
      <c r="K8280" s="11">
        <v>1.0</v>
      </c>
      <c r="L8280" s="12" t="s">
        <v>51489</v>
      </c>
      <c r="M8280" s="10" t="s">
        <v>51496</v>
      </c>
      <c r="N8280" s="10" t="s">
        <v>4232</v>
      </c>
      <c r="O8280" s="12" t="s">
        <v>4233</v>
      </c>
      <c r="P8280" s="10" t="s">
        <v>51491</v>
      </c>
      <c r="Q8280" s="10" t="s">
        <v>7094</v>
      </c>
      <c r="R8280" s="10" t="s">
        <v>4236</v>
      </c>
      <c r="S8280" s="12" t="s">
        <v>29525</v>
      </c>
      <c r="T8280" s="10" t="s">
        <v>66</v>
      </c>
      <c r="U8280" s="12" t="s">
        <v>31</v>
      </c>
      <c r="V8280" s="10" t="s">
        <v>51497</v>
      </c>
      <c r="W8280" s="10" t="s">
        <v>51487</v>
      </c>
      <c r="X8280" s="13" t="str">
        <f>HYPERLINK("https://my.pitchbook.com?p=29982-34P","View People Online")</f>
        <v>View People Online</v>
      </c>
    </row>
    <row r="8281">
      <c r="A8281" s="14" t="s">
        <v>51498</v>
      </c>
      <c r="B8281" s="14" t="s">
        <v>51499</v>
      </c>
      <c r="C8281" s="14" t="s">
        <v>4404</v>
      </c>
      <c r="D8281" s="14" t="s">
        <v>51500</v>
      </c>
      <c r="E8281" s="14" t="s">
        <v>51487</v>
      </c>
      <c r="F8281" s="14" t="s">
        <v>674</v>
      </c>
      <c r="G8281" s="14" t="s">
        <v>51501</v>
      </c>
      <c r="H8281" s="15" t="s">
        <v>31</v>
      </c>
      <c r="I8281" s="15">
        <v>5.0</v>
      </c>
      <c r="J8281" s="15">
        <v>2.0</v>
      </c>
      <c r="K8281" s="15">
        <v>2.0</v>
      </c>
      <c r="L8281" s="16" t="s">
        <v>51489</v>
      </c>
      <c r="M8281" s="14" t="s">
        <v>51502</v>
      </c>
      <c r="N8281" s="14" t="s">
        <v>4232</v>
      </c>
      <c r="O8281" s="16" t="s">
        <v>4233</v>
      </c>
      <c r="P8281" s="14" t="s">
        <v>51491</v>
      </c>
      <c r="Q8281" s="14" t="s">
        <v>7094</v>
      </c>
      <c r="R8281" s="14" t="s">
        <v>4236</v>
      </c>
      <c r="S8281" s="16" t="s">
        <v>29525</v>
      </c>
      <c r="T8281" s="14" t="s">
        <v>66</v>
      </c>
      <c r="U8281" s="16" t="s">
        <v>31</v>
      </c>
      <c r="V8281" s="14" t="s">
        <v>1172</v>
      </c>
      <c r="W8281" s="14" t="s">
        <v>51487</v>
      </c>
      <c r="X8281" s="17" t="str">
        <f>HYPERLINK("https://my.pitchbook.com?p=87762-79P","View People Online")</f>
        <v>View People Online</v>
      </c>
    </row>
    <row r="8282">
      <c r="A8282" s="10" t="s">
        <v>51503</v>
      </c>
      <c r="B8282" s="10" t="s">
        <v>51504</v>
      </c>
      <c r="C8282" s="10" t="s">
        <v>51505</v>
      </c>
      <c r="D8282" s="10" t="s">
        <v>35562</v>
      </c>
      <c r="E8282" s="10" t="s">
        <v>51487</v>
      </c>
      <c r="F8282" s="10" t="s">
        <v>3740</v>
      </c>
      <c r="G8282" s="10" t="s">
        <v>51506</v>
      </c>
      <c r="H8282" s="11" t="s">
        <v>31</v>
      </c>
      <c r="I8282" s="11">
        <v>1.0</v>
      </c>
      <c r="J8282" s="11">
        <v>1.0</v>
      </c>
      <c r="K8282" s="11" t="s">
        <v>31</v>
      </c>
      <c r="L8282" s="12" t="s">
        <v>51489</v>
      </c>
      <c r="M8282" s="10" t="s">
        <v>51507</v>
      </c>
      <c r="N8282" s="10" t="s">
        <v>4232</v>
      </c>
      <c r="O8282" s="12" t="s">
        <v>4233</v>
      </c>
      <c r="P8282" s="10" t="s">
        <v>51491</v>
      </c>
      <c r="Q8282" s="10" t="s">
        <v>7094</v>
      </c>
      <c r="R8282" s="10" t="s">
        <v>4236</v>
      </c>
      <c r="S8282" s="12" t="s">
        <v>29525</v>
      </c>
      <c r="T8282" s="10" t="s">
        <v>66</v>
      </c>
      <c r="U8282" s="12" t="s">
        <v>31</v>
      </c>
      <c r="V8282" s="10" t="s">
        <v>3740</v>
      </c>
      <c r="W8282" s="10" t="s">
        <v>51487</v>
      </c>
      <c r="X8282" s="13" t="str">
        <f>HYPERLINK("https://my.pitchbook.com?p=225126-19P","View People Online")</f>
        <v>View People Online</v>
      </c>
    </row>
    <row r="8283">
      <c r="A8283" s="6" t="s">
        <v>51508</v>
      </c>
      <c r="B8283" s="6" t="s">
        <v>51509</v>
      </c>
      <c r="C8283" s="6" t="s">
        <v>3554</v>
      </c>
      <c r="D8283" s="6" t="s">
        <v>51510</v>
      </c>
      <c r="E8283" s="6" t="s">
        <v>51487</v>
      </c>
      <c r="F8283" s="6" t="s">
        <v>674</v>
      </c>
      <c r="G8283" s="6" t="s">
        <v>51511</v>
      </c>
      <c r="H8283" s="7" t="s">
        <v>31</v>
      </c>
      <c r="I8283" s="7">
        <v>4.0</v>
      </c>
      <c r="J8283" s="7">
        <v>1.0</v>
      </c>
      <c r="K8283" s="7">
        <v>2.0</v>
      </c>
      <c r="L8283" s="8" t="s">
        <v>51489</v>
      </c>
      <c r="M8283" s="6" t="s">
        <v>51512</v>
      </c>
      <c r="N8283" s="6" t="s">
        <v>4232</v>
      </c>
      <c r="O8283" s="8" t="s">
        <v>4233</v>
      </c>
      <c r="P8283" s="6" t="s">
        <v>51491</v>
      </c>
      <c r="Q8283" s="6" t="s">
        <v>7094</v>
      </c>
      <c r="R8283" s="6" t="s">
        <v>4236</v>
      </c>
      <c r="S8283" s="8" t="s">
        <v>29525</v>
      </c>
      <c r="T8283" s="6" t="s">
        <v>66</v>
      </c>
      <c r="U8283" s="8" t="s">
        <v>31</v>
      </c>
      <c r="V8283" s="6" t="s">
        <v>1172</v>
      </c>
      <c r="W8283" s="6" t="s">
        <v>51487</v>
      </c>
      <c r="X8283" s="9" t="str">
        <f>HYPERLINK("https://my.pitchbook.com?p=87761-53P","View People Online")</f>
        <v>View People Online</v>
      </c>
    </row>
    <row r="8284">
      <c r="A8284" s="2" t="s">
        <v>51513</v>
      </c>
      <c r="B8284" s="2" t="s">
        <v>51514</v>
      </c>
      <c r="C8284" s="2" t="s">
        <v>12149</v>
      </c>
      <c r="D8284" s="2" t="s">
        <v>51515</v>
      </c>
      <c r="E8284" s="2" t="s">
        <v>51487</v>
      </c>
      <c r="F8284" s="2" t="s">
        <v>201</v>
      </c>
      <c r="G8284" s="2" t="s">
        <v>51516</v>
      </c>
      <c r="H8284" s="3" t="s">
        <v>31</v>
      </c>
      <c r="I8284" s="3">
        <v>1.0</v>
      </c>
      <c r="J8284" s="3">
        <v>1.0</v>
      </c>
      <c r="K8284" s="3" t="s">
        <v>31</v>
      </c>
      <c r="L8284" s="4" t="s">
        <v>31</v>
      </c>
      <c r="M8284" s="2" t="s">
        <v>51517</v>
      </c>
      <c r="N8284" s="2" t="s">
        <v>75</v>
      </c>
      <c r="O8284" s="4" t="s">
        <v>76</v>
      </c>
      <c r="P8284" s="2" t="s">
        <v>51518</v>
      </c>
      <c r="Q8284" s="2" t="s">
        <v>31</v>
      </c>
      <c r="R8284" s="2" t="s">
        <v>75</v>
      </c>
      <c r="S8284" s="4" t="s">
        <v>51519</v>
      </c>
      <c r="T8284" s="2" t="s">
        <v>66</v>
      </c>
      <c r="U8284" s="4" t="s">
        <v>31</v>
      </c>
      <c r="V8284" s="2" t="s">
        <v>51520</v>
      </c>
      <c r="W8284" s="2" t="s">
        <v>51487</v>
      </c>
      <c r="X8284" s="5" t="str">
        <f>HYPERLINK("https://my.pitchbook.com?p=319034-17P","View People Online")</f>
        <v>View People Online</v>
      </c>
    </row>
    <row r="8285">
      <c r="A8285" s="14" t="s">
        <v>51521</v>
      </c>
      <c r="B8285" s="14" t="s">
        <v>51522</v>
      </c>
      <c r="C8285" s="14" t="s">
        <v>180</v>
      </c>
      <c r="D8285" s="14" t="s">
        <v>5004</v>
      </c>
      <c r="E8285" s="14" t="s">
        <v>51487</v>
      </c>
      <c r="F8285" s="14" t="s">
        <v>3823</v>
      </c>
      <c r="G8285" s="14" t="s">
        <v>51523</v>
      </c>
      <c r="H8285" s="15" t="s">
        <v>31</v>
      </c>
      <c r="I8285" s="15">
        <v>2.0</v>
      </c>
      <c r="J8285" s="15">
        <v>2.0</v>
      </c>
      <c r="K8285" s="15" t="s">
        <v>31</v>
      </c>
      <c r="L8285" s="16" t="s">
        <v>51524</v>
      </c>
      <c r="M8285" s="14" t="s">
        <v>51525</v>
      </c>
      <c r="N8285" s="14" t="s">
        <v>4232</v>
      </c>
      <c r="O8285" s="16" t="s">
        <v>4233</v>
      </c>
      <c r="P8285" s="14" t="s">
        <v>51491</v>
      </c>
      <c r="Q8285" s="14" t="s">
        <v>7094</v>
      </c>
      <c r="R8285" s="14" t="s">
        <v>4236</v>
      </c>
      <c r="S8285" s="16" t="s">
        <v>29525</v>
      </c>
      <c r="T8285" s="14" t="s">
        <v>66</v>
      </c>
      <c r="U8285" s="16" t="s">
        <v>31</v>
      </c>
      <c r="V8285" s="14" t="s">
        <v>51526</v>
      </c>
      <c r="W8285" s="14" t="s">
        <v>51487</v>
      </c>
      <c r="X8285" s="17" t="str">
        <f>HYPERLINK("https://my.pitchbook.com?p=280650-07P","View People Online")</f>
        <v>View People Online</v>
      </c>
    </row>
    <row r="8286">
      <c r="A8286" s="2" t="s">
        <v>51527</v>
      </c>
      <c r="B8286" s="2" t="s">
        <v>51528</v>
      </c>
      <c r="C8286" s="2" t="s">
        <v>34632</v>
      </c>
      <c r="D8286" s="2" t="s">
        <v>51529</v>
      </c>
      <c r="E8286" s="2" t="s">
        <v>51487</v>
      </c>
      <c r="F8286" s="2" t="s">
        <v>29</v>
      </c>
      <c r="G8286" s="2" t="s">
        <v>51530</v>
      </c>
      <c r="H8286" s="3" t="s">
        <v>31</v>
      </c>
      <c r="I8286" s="3">
        <v>1.0</v>
      </c>
      <c r="J8286" s="3">
        <v>1.0</v>
      </c>
      <c r="K8286" s="3" t="s">
        <v>31</v>
      </c>
      <c r="L8286" s="4" t="s">
        <v>51489</v>
      </c>
      <c r="M8286" s="2" t="s">
        <v>51531</v>
      </c>
      <c r="N8286" s="2" t="s">
        <v>4232</v>
      </c>
      <c r="O8286" s="4" t="s">
        <v>4233</v>
      </c>
      <c r="P8286" s="2" t="s">
        <v>51491</v>
      </c>
      <c r="Q8286" s="2" t="s">
        <v>7094</v>
      </c>
      <c r="R8286" s="2" t="s">
        <v>4236</v>
      </c>
      <c r="S8286" s="4" t="s">
        <v>29525</v>
      </c>
      <c r="T8286" s="2" t="s">
        <v>66</v>
      </c>
      <c r="U8286" s="4" t="s">
        <v>31</v>
      </c>
      <c r="V8286" s="2" t="s">
        <v>29</v>
      </c>
      <c r="W8286" s="2" t="s">
        <v>51487</v>
      </c>
      <c r="X8286" s="5" t="str">
        <f>HYPERLINK("https://my.pitchbook.com?p=87768-37P","View People Online")</f>
        <v>View People Online</v>
      </c>
    </row>
    <row r="8287">
      <c r="A8287" s="6" t="s">
        <v>51532</v>
      </c>
      <c r="B8287" s="6" t="s">
        <v>51533</v>
      </c>
      <c r="C8287" s="6" t="s">
        <v>4692</v>
      </c>
      <c r="D8287" s="6" t="s">
        <v>51534</v>
      </c>
      <c r="E8287" s="6" t="s">
        <v>51487</v>
      </c>
      <c r="F8287" s="6" t="s">
        <v>3740</v>
      </c>
      <c r="G8287" s="6" t="s">
        <v>51535</v>
      </c>
      <c r="H8287" s="7" t="s">
        <v>31</v>
      </c>
      <c r="I8287" s="7">
        <v>1.0</v>
      </c>
      <c r="J8287" s="7">
        <v>1.0</v>
      </c>
      <c r="K8287" s="7" t="s">
        <v>31</v>
      </c>
      <c r="L8287" s="8" t="s">
        <v>51489</v>
      </c>
      <c r="M8287" s="6" t="s">
        <v>51536</v>
      </c>
      <c r="N8287" s="6" t="s">
        <v>4232</v>
      </c>
      <c r="O8287" s="8" t="s">
        <v>4233</v>
      </c>
      <c r="P8287" s="6" t="s">
        <v>51491</v>
      </c>
      <c r="Q8287" s="6" t="s">
        <v>7094</v>
      </c>
      <c r="R8287" s="6" t="s">
        <v>4236</v>
      </c>
      <c r="S8287" s="8" t="s">
        <v>29525</v>
      </c>
      <c r="T8287" s="6" t="s">
        <v>66</v>
      </c>
      <c r="U8287" s="8" t="s">
        <v>31</v>
      </c>
      <c r="V8287" s="6" t="s">
        <v>51537</v>
      </c>
      <c r="W8287" s="6" t="s">
        <v>51487</v>
      </c>
      <c r="X8287" s="9" t="str">
        <f>HYPERLINK("https://my.pitchbook.com?p=203657-23P","View People Online")</f>
        <v>View People Online</v>
      </c>
    </row>
    <row r="8288">
      <c r="A8288" s="2" t="s">
        <v>51538</v>
      </c>
      <c r="B8288" s="2" t="s">
        <v>51539</v>
      </c>
      <c r="C8288" s="2" t="s">
        <v>1830</v>
      </c>
      <c r="D8288" s="2" t="s">
        <v>48548</v>
      </c>
      <c r="E8288" s="2" t="s">
        <v>51487</v>
      </c>
      <c r="F8288" s="2" t="s">
        <v>470</v>
      </c>
      <c r="G8288" s="2" t="s">
        <v>51540</v>
      </c>
      <c r="H8288" s="3" t="s">
        <v>31</v>
      </c>
      <c r="I8288" s="3">
        <v>1.0</v>
      </c>
      <c r="J8288" s="3">
        <v>1.0</v>
      </c>
      <c r="K8288" s="3" t="s">
        <v>31</v>
      </c>
      <c r="L8288" s="4" t="s">
        <v>51489</v>
      </c>
      <c r="M8288" s="2" t="s">
        <v>51541</v>
      </c>
      <c r="N8288" s="2" t="s">
        <v>4232</v>
      </c>
      <c r="O8288" s="4" t="s">
        <v>4233</v>
      </c>
      <c r="P8288" s="2" t="s">
        <v>51491</v>
      </c>
      <c r="Q8288" s="2" t="s">
        <v>7094</v>
      </c>
      <c r="R8288" s="2" t="s">
        <v>4236</v>
      </c>
      <c r="S8288" s="4" t="s">
        <v>29525</v>
      </c>
      <c r="T8288" s="2" t="s">
        <v>66</v>
      </c>
      <c r="U8288" s="4" t="s">
        <v>31</v>
      </c>
      <c r="V8288" s="2" t="s">
        <v>51542</v>
      </c>
      <c r="W8288" s="2" t="s">
        <v>51487</v>
      </c>
      <c r="X8288" s="5" t="str">
        <f>HYPERLINK("https://my.pitchbook.com?p=255629-17P","View People Online")</f>
        <v>View People Online</v>
      </c>
    </row>
    <row r="8289">
      <c r="A8289" s="6" t="s">
        <v>51543</v>
      </c>
      <c r="B8289" s="6" t="s">
        <v>51544</v>
      </c>
      <c r="C8289" s="6" t="s">
        <v>1697</v>
      </c>
      <c r="D8289" s="6" t="s">
        <v>51545</v>
      </c>
      <c r="E8289" s="6" t="s">
        <v>51487</v>
      </c>
      <c r="F8289" s="6" t="s">
        <v>29</v>
      </c>
      <c r="G8289" s="6" t="s">
        <v>51546</v>
      </c>
      <c r="H8289" s="7">
        <v>1.0</v>
      </c>
      <c r="I8289" s="7">
        <v>13.0</v>
      </c>
      <c r="J8289" s="7">
        <v>2.0</v>
      </c>
      <c r="K8289" s="7">
        <v>9.0</v>
      </c>
      <c r="L8289" s="8" t="s">
        <v>51547</v>
      </c>
      <c r="M8289" s="6" t="s">
        <v>51548</v>
      </c>
      <c r="N8289" s="6" t="s">
        <v>14203</v>
      </c>
      <c r="O8289" s="8" t="s">
        <v>14204</v>
      </c>
      <c r="P8289" s="6" t="s">
        <v>51549</v>
      </c>
      <c r="Q8289" s="6" t="s">
        <v>51550</v>
      </c>
      <c r="R8289" s="6" t="s">
        <v>1420</v>
      </c>
      <c r="S8289" s="8" t="s">
        <v>14207</v>
      </c>
      <c r="T8289" s="6" t="s">
        <v>66</v>
      </c>
      <c r="U8289" s="8" t="s">
        <v>31</v>
      </c>
      <c r="V8289" s="6" t="s">
        <v>470</v>
      </c>
      <c r="W8289" s="6" t="s">
        <v>51551</v>
      </c>
      <c r="X8289" s="9" t="str">
        <f>HYPERLINK("https://my.pitchbook.com?p=92168-38P","View People Online")</f>
        <v>View People Online</v>
      </c>
    </row>
    <row r="8290">
      <c r="A8290" s="10" t="s">
        <v>51552</v>
      </c>
      <c r="B8290" s="10" t="s">
        <v>51553</v>
      </c>
      <c r="C8290" s="10" t="s">
        <v>51554</v>
      </c>
      <c r="D8290" s="10" t="s">
        <v>4098</v>
      </c>
      <c r="E8290" s="10" t="s">
        <v>51555</v>
      </c>
      <c r="F8290" s="10" t="s">
        <v>38794</v>
      </c>
      <c r="G8290" s="10" t="s">
        <v>51556</v>
      </c>
      <c r="H8290" s="11" t="s">
        <v>31</v>
      </c>
      <c r="I8290" s="11">
        <v>5.0</v>
      </c>
      <c r="J8290" s="11">
        <v>1.0</v>
      </c>
      <c r="K8290" s="11" t="s">
        <v>31</v>
      </c>
      <c r="L8290" s="12" t="s">
        <v>31</v>
      </c>
      <c r="M8290" s="10" t="s">
        <v>51557</v>
      </c>
      <c r="N8290" s="10" t="s">
        <v>51558</v>
      </c>
      <c r="O8290" s="12" t="s">
        <v>51559</v>
      </c>
      <c r="P8290" s="10" t="s">
        <v>51560</v>
      </c>
      <c r="Q8290" s="10" t="s">
        <v>31757</v>
      </c>
      <c r="R8290" s="10" t="s">
        <v>64</v>
      </c>
      <c r="S8290" s="12" t="s">
        <v>51561</v>
      </c>
      <c r="T8290" s="10" t="s">
        <v>66</v>
      </c>
      <c r="U8290" s="12" t="s">
        <v>31</v>
      </c>
      <c r="V8290" s="10" t="s">
        <v>6970</v>
      </c>
      <c r="W8290" s="10" t="s">
        <v>51555</v>
      </c>
      <c r="X8290" s="13" t="str">
        <f>HYPERLINK("https://my.pitchbook.com?p=302403-34P","View People Online")</f>
        <v>View People Online</v>
      </c>
    </row>
    <row r="8291">
      <c r="A8291" s="14" t="s">
        <v>51562</v>
      </c>
      <c r="B8291" s="14" t="s">
        <v>51563</v>
      </c>
      <c r="C8291" s="14" t="s">
        <v>6010</v>
      </c>
      <c r="D8291" s="14" t="s">
        <v>3716</v>
      </c>
      <c r="E8291" s="14" t="s">
        <v>51555</v>
      </c>
      <c r="F8291" s="14" t="s">
        <v>8581</v>
      </c>
      <c r="G8291" s="14" t="s">
        <v>51564</v>
      </c>
      <c r="H8291" s="15" t="s">
        <v>31</v>
      </c>
      <c r="I8291" s="15">
        <v>1.0</v>
      </c>
      <c r="J8291" s="15">
        <v>1.0</v>
      </c>
      <c r="K8291" s="15" t="s">
        <v>31</v>
      </c>
      <c r="L8291" s="16" t="s">
        <v>31</v>
      </c>
      <c r="M8291" s="14" t="s">
        <v>51565</v>
      </c>
      <c r="N8291" s="14" t="s">
        <v>51558</v>
      </c>
      <c r="O8291" s="16" t="s">
        <v>51559</v>
      </c>
      <c r="P8291" s="14" t="s">
        <v>51560</v>
      </c>
      <c r="Q8291" s="14" t="s">
        <v>31757</v>
      </c>
      <c r="R8291" s="14" t="s">
        <v>64</v>
      </c>
      <c r="S8291" s="16" t="s">
        <v>51561</v>
      </c>
      <c r="T8291" s="14" t="s">
        <v>66</v>
      </c>
      <c r="U8291" s="16" t="s">
        <v>31</v>
      </c>
      <c r="V8291" s="14" t="s">
        <v>51566</v>
      </c>
      <c r="W8291" s="14" t="s">
        <v>51555</v>
      </c>
      <c r="X8291" s="17" t="str">
        <f>HYPERLINK("https://my.pitchbook.com?p=302403-88P","View People Online")</f>
        <v>View People Online</v>
      </c>
    </row>
    <row r="8292">
      <c r="A8292" s="10" t="s">
        <v>51567</v>
      </c>
      <c r="B8292" s="10" t="s">
        <v>51568</v>
      </c>
      <c r="C8292" s="10" t="s">
        <v>51569</v>
      </c>
      <c r="D8292" s="10" t="s">
        <v>14427</v>
      </c>
      <c r="E8292" s="10" t="s">
        <v>51555</v>
      </c>
      <c r="F8292" s="10" t="s">
        <v>1283</v>
      </c>
      <c r="G8292" s="10" t="s">
        <v>51570</v>
      </c>
      <c r="H8292" s="11">
        <v>1.0</v>
      </c>
      <c r="I8292" s="11">
        <v>6.0</v>
      </c>
      <c r="J8292" s="11">
        <v>1.0</v>
      </c>
      <c r="K8292" s="11">
        <v>3.0</v>
      </c>
      <c r="L8292" s="12" t="s">
        <v>31</v>
      </c>
      <c r="M8292" s="10" t="s">
        <v>51571</v>
      </c>
      <c r="N8292" s="10" t="s">
        <v>51558</v>
      </c>
      <c r="O8292" s="12" t="s">
        <v>51559</v>
      </c>
      <c r="P8292" s="10" t="s">
        <v>51560</v>
      </c>
      <c r="Q8292" s="10" t="s">
        <v>31757</v>
      </c>
      <c r="R8292" s="10" t="s">
        <v>64</v>
      </c>
      <c r="S8292" s="12" t="s">
        <v>51561</v>
      </c>
      <c r="T8292" s="10" t="s">
        <v>66</v>
      </c>
      <c r="U8292" s="12" t="s">
        <v>31</v>
      </c>
      <c r="V8292" s="10" t="s">
        <v>1283</v>
      </c>
      <c r="W8292" s="10" t="s">
        <v>51555</v>
      </c>
      <c r="X8292" s="13" t="str">
        <f>HYPERLINK("https://my.pitchbook.com?p=57157-93P","View People Online")</f>
        <v>View People Online</v>
      </c>
    </row>
    <row r="8293">
      <c r="A8293" s="14" t="s">
        <v>51572</v>
      </c>
      <c r="B8293" s="14" t="s">
        <v>51573</v>
      </c>
      <c r="C8293" s="14" t="s">
        <v>51574</v>
      </c>
      <c r="D8293" s="14" t="s">
        <v>4098</v>
      </c>
      <c r="E8293" s="14" t="s">
        <v>51555</v>
      </c>
      <c r="F8293" s="14" t="s">
        <v>1167</v>
      </c>
      <c r="G8293" s="14" t="s">
        <v>51575</v>
      </c>
      <c r="H8293" s="15">
        <v>2.0</v>
      </c>
      <c r="I8293" s="15">
        <v>10.0</v>
      </c>
      <c r="J8293" s="15">
        <v>1.0</v>
      </c>
      <c r="K8293" s="15">
        <v>7.0</v>
      </c>
      <c r="L8293" s="16" t="s">
        <v>31</v>
      </c>
      <c r="M8293" s="14" t="s">
        <v>51576</v>
      </c>
      <c r="N8293" s="14" t="s">
        <v>51558</v>
      </c>
      <c r="O8293" s="16" t="s">
        <v>51559</v>
      </c>
      <c r="P8293" s="14" t="s">
        <v>51560</v>
      </c>
      <c r="Q8293" s="14" t="s">
        <v>31757</v>
      </c>
      <c r="R8293" s="14" t="s">
        <v>64</v>
      </c>
      <c r="S8293" s="16" t="s">
        <v>51561</v>
      </c>
      <c r="T8293" s="14" t="s">
        <v>66</v>
      </c>
      <c r="U8293" s="16" t="s">
        <v>31</v>
      </c>
      <c r="V8293" s="14" t="s">
        <v>991</v>
      </c>
      <c r="W8293" s="14" t="s">
        <v>51555</v>
      </c>
      <c r="X8293" s="17" t="str">
        <f>HYPERLINK("https://my.pitchbook.com?p=293787-46P","View People Online")</f>
        <v>View People Online</v>
      </c>
    </row>
    <row r="8294">
      <c r="A8294" s="2" t="s">
        <v>51577</v>
      </c>
      <c r="B8294" s="2" t="s">
        <v>51578</v>
      </c>
      <c r="C8294" s="2" t="s">
        <v>8336</v>
      </c>
      <c r="D8294" s="2" t="s">
        <v>51579</v>
      </c>
      <c r="E8294" s="2" t="s">
        <v>51580</v>
      </c>
      <c r="F8294" s="2" t="s">
        <v>57</v>
      </c>
      <c r="G8294" s="2" t="s">
        <v>51581</v>
      </c>
      <c r="H8294" s="3" t="s">
        <v>31</v>
      </c>
      <c r="I8294" s="3">
        <v>2.0</v>
      </c>
      <c r="J8294" s="3">
        <v>1.0</v>
      </c>
      <c r="K8294" s="3" t="s">
        <v>31</v>
      </c>
      <c r="L8294" s="4" t="s">
        <v>51582</v>
      </c>
      <c r="M8294" s="2" t="s">
        <v>51583</v>
      </c>
      <c r="N8294" s="2" t="s">
        <v>75</v>
      </c>
      <c r="O8294" s="4" t="s">
        <v>76</v>
      </c>
      <c r="P8294" s="2" t="s">
        <v>51584</v>
      </c>
      <c r="Q8294" s="2" t="s">
        <v>3920</v>
      </c>
      <c r="R8294" s="2" t="s">
        <v>75</v>
      </c>
      <c r="S8294" s="4" t="s">
        <v>51585</v>
      </c>
      <c r="T8294" s="2" t="s">
        <v>66</v>
      </c>
      <c r="U8294" s="4" t="s">
        <v>31</v>
      </c>
      <c r="V8294" s="2" t="s">
        <v>57</v>
      </c>
      <c r="W8294" s="2" t="s">
        <v>51580</v>
      </c>
      <c r="X8294" s="5" t="str">
        <f>HYPERLINK("https://my.pitchbook.com?p=40814-65P","View People Online")</f>
        <v>View People Online</v>
      </c>
    </row>
    <row r="8295">
      <c r="A8295" s="6" t="s">
        <v>51586</v>
      </c>
      <c r="B8295" s="6" t="s">
        <v>51587</v>
      </c>
      <c r="C8295" s="6" t="s">
        <v>1929</v>
      </c>
      <c r="D8295" s="6" t="s">
        <v>51588</v>
      </c>
      <c r="E8295" s="6" t="s">
        <v>51580</v>
      </c>
      <c r="F8295" s="6" t="s">
        <v>29</v>
      </c>
      <c r="G8295" s="6" t="s">
        <v>51589</v>
      </c>
      <c r="H8295" s="7" t="s">
        <v>31</v>
      </c>
      <c r="I8295" s="7">
        <v>2.0</v>
      </c>
      <c r="J8295" s="7">
        <v>1.0</v>
      </c>
      <c r="K8295" s="7" t="s">
        <v>31</v>
      </c>
      <c r="L8295" s="8" t="s">
        <v>51582</v>
      </c>
      <c r="M8295" s="6" t="s">
        <v>51590</v>
      </c>
      <c r="N8295" s="6" t="s">
        <v>75</v>
      </c>
      <c r="O8295" s="8" t="s">
        <v>76</v>
      </c>
      <c r="P8295" s="6" t="s">
        <v>51584</v>
      </c>
      <c r="Q8295" s="6" t="s">
        <v>3920</v>
      </c>
      <c r="R8295" s="6" t="s">
        <v>75</v>
      </c>
      <c r="S8295" s="8" t="s">
        <v>51585</v>
      </c>
      <c r="T8295" s="6" t="s">
        <v>66</v>
      </c>
      <c r="U8295" s="8" t="s">
        <v>31</v>
      </c>
      <c r="V8295" s="6" t="s">
        <v>29</v>
      </c>
      <c r="W8295" s="6" t="s">
        <v>51580</v>
      </c>
      <c r="X8295" s="9" t="str">
        <f>HYPERLINK("https://my.pitchbook.com?p=75775-33P","View People Online")</f>
        <v>View People Online</v>
      </c>
    </row>
    <row r="8296">
      <c r="A8296" s="10" t="s">
        <v>51591</v>
      </c>
      <c r="B8296" s="10" t="s">
        <v>51592</v>
      </c>
      <c r="C8296" s="10" t="s">
        <v>3716</v>
      </c>
      <c r="D8296" s="10" t="s">
        <v>51593</v>
      </c>
      <c r="E8296" s="10" t="s">
        <v>51580</v>
      </c>
      <c r="F8296" s="10" t="s">
        <v>502</v>
      </c>
      <c r="G8296" s="10" t="s">
        <v>51594</v>
      </c>
      <c r="H8296" s="11" t="s">
        <v>31</v>
      </c>
      <c r="I8296" s="11">
        <v>2.0</v>
      </c>
      <c r="J8296" s="11">
        <v>1.0</v>
      </c>
      <c r="K8296" s="11" t="s">
        <v>31</v>
      </c>
      <c r="L8296" s="12" t="s">
        <v>51582</v>
      </c>
      <c r="M8296" s="10" t="s">
        <v>51595</v>
      </c>
      <c r="N8296" s="10" t="s">
        <v>75</v>
      </c>
      <c r="O8296" s="12" t="s">
        <v>76</v>
      </c>
      <c r="P8296" s="10" t="s">
        <v>51584</v>
      </c>
      <c r="Q8296" s="10" t="s">
        <v>3920</v>
      </c>
      <c r="R8296" s="10" t="s">
        <v>75</v>
      </c>
      <c r="S8296" s="12" t="s">
        <v>51585</v>
      </c>
      <c r="T8296" s="10" t="s">
        <v>66</v>
      </c>
      <c r="U8296" s="12" t="s">
        <v>31</v>
      </c>
      <c r="V8296" s="10" t="s">
        <v>502</v>
      </c>
      <c r="W8296" s="10" t="s">
        <v>51580</v>
      </c>
      <c r="X8296" s="13" t="str">
        <f>HYPERLINK("https://my.pitchbook.com?p=80112-70P","View People Online")</f>
        <v>View People Online</v>
      </c>
    </row>
    <row r="8297">
      <c r="A8297" s="6" t="s">
        <v>51596</v>
      </c>
      <c r="B8297" s="6" t="s">
        <v>51597</v>
      </c>
      <c r="C8297" s="6" t="s">
        <v>51598</v>
      </c>
      <c r="D8297" s="6" t="s">
        <v>17781</v>
      </c>
      <c r="E8297" s="6" t="s">
        <v>51599</v>
      </c>
      <c r="F8297" s="6" t="s">
        <v>114</v>
      </c>
      <c r="G8297" s="6" t="s">
        <v>51600</v>
      </c>
      <c r="H8297" s="7">
        <v>1.0</v>
      </c>
      <c r="I8297" s="7">
        <v>9.0</v>
      </c>
      <c r="J8297" s="7">
        <v>2.0</v>
      </c>
      <c r="K8297" s="7">
        <v>6.0</v>
      </c>
      <c r="L8297" s="8" t="s">
        <v>51601</v>
      </c>
      <c r="M8297" s="6" t="s">
        <v>51602</v>
      </c>
      <c r="N8297" s="6" t="s">
        <v>1181</v>
      </c>
      <c r="O8297" s="8" t="s">
        <v>1182</v>
      </c>
      <c r="P8297" s="6" t="s">
        <v>39759</v>
      </c>
      <c r="Q8297" s="6" t="s">
        <v>1477</v>
      </c>
      <c r="R8297" s="6" t="s">
        <v>1185</v>
      </c>
      <c r="S8297" s="8" t="s">
        <v>23438</v>
      </c>
      <c r="T8297" s="6" t="s">
        <v>66</v>
      </c>
      <c r="U8297" s="8" t="s">
        <v>31</v>
      </c>
      <c r="V8297" s="6" t="s">
        <v>51603</v>
      </c>
      <c r="W8297" s="6" t="s">
        <v>51604</v>
      </c>
      <c r="X8297" s="9" t="str">
        <f>HYPERLINK("https://my.pitchbook.com?p=163994-95P","View People Online")</f>
        <v>View People Online</v>
      </c>
    </row>
    <row r="8298">
      <c r="A8298" s="10" t="s">
        <v>51605</v>
      </c>
      <c r="B8298" s="10" t="s">
        <v>51606</v>
      </c>
      <c r="C8298" s="10" t="s">
        <v>186</v>
      </c>
      <c r="D8298" s="10" t="s">
        <v>51607</v>
      </c>
      <c r="E8298" s="10" t="s">
        <v>51599</v>
      </c>
      <c r="F8298" s="10" t="s">
        <v>221</v>
      </c>
      <c r="G8298" s="10" t="s">
        <v>51608</v>
      </c>
      <c r="H8298" s="11" t="s">
        <v>31</v>
      </c>
      <c r="I8298" s="11">
        <v>1.0</v>
      </c>
      <c r="J8298" s="11">
        <v>1.0</v>
      </c>
      <c r="K8298" s="11" t="s">
        <v>31</v>
      </c>
      <c r="L8298" s="12" t="s">
        <v>31</v>
      </c>
      <c r="M8298" s="10" t="s">
        <v>51609</v>
      </c>
      <c r="N8298" s="10" t="s">
        <v>1181</v>
      </c>
      <c r="O8298" s="12" t="s">
        <v>1182</v>
      </c>
      <c r="P8298" s="10" t="s">
        <v>51610</v>
      </c>
      <c r="Q8298" s="10" t="s">
        <v>2340</v>
      </c>
      <c r="R8298" s="10" t="s">
        <v>1185</v>
      </c>
      <c r="S8298" s="12" t="s">
        <v>6739</v>
      </c>
      <c r="T8298" s="10" t="s">
        <v>66</v>
      </c>
      <c r="U8298" s="12" t="s">
        <v>31</v>
      </c>
      <c r="V8298" s="10" t="s">
        <v>221</v>
      </c>
      <c r="W8298" s="10" t="s">
        <v>51599</v>
      </c>
      <c r="X8298" s="13" t="str">
        <f>HYPERLINK("https://my.pitchbook.com?p=370398-52P","View People Online")</f>
        <v>View People Online</v>
      </c>
    </row>
    <row r="8299">
      <c r="A8299" s="6" t="s">
        <v>51611</v>
      </c>
      <c r="B8299" s="6" t="s">
        <v>51612</v>
      </c>
      <c r="C8299" s="6" t="s">
        <v>1449</v>
      </c>
      <c r="D8299" s="6" t="s">
        <v>51613</v>
      </c>
      <c r="E8299" s="6" t="s">
        <v>51599</v>
      </c>
      <c r="F8299" s="6" t="s">
        <v>114</v>
      </c>
      <c r="G8299" s="6" t="s">
        <v>51614</v>
      </c>
      <c r="H8299" s="7" t="s">
        <v>31</v>
      </c>
      <c r="I8299" s="7">
        <v>1.0</v>
      </c>
      <c r="J8299" s="7">
        <v>1.0</v>
      </c>
      <c r="K8299" s="7" t="s">
        <v>31</v>
      </c>
      <c r="L8299" s="8" t="s">
        <v>31</v>
      </c>
      <c r="M8299" s="6" t="s">
        <v>31</v>
      </c>
      <c r="N8299" s="6" t="s">
        <v>1181</v>
      </c>
      <c r="O8299" s="8" t="s">
        <v>1182</v>
      </c>
      <c r="P8299" s="6" t="s">
        <v>51610</v>
      </c>
      <c r="Q8299" s="6" t="s">
        <v>2340</v>
      </c>
      <c r="R8299" s="6" t="s">
        <v>1185</v>
      </c>
      <c r="S8299" s="8" t="s">
        <v>6739</v>
      </c>
      <c r="T8299" s="6" t="s">
        <v>66</v>
      </c>
      <c r="U8299" s="8" t="s">
        <v>31</v>
      </c>
      <c r="V8299" s="6" t="s">
        <v>114</v>
      </c>
      <c r="W8299" s="6" t="s">
        <v>51599</v>
      </c>
      <c r="X8299" s="9" t="str">
        <f>HYPERLINK("https://my.pitchbook.com?p=38345-32P","View People Online")</f>
        <v>View People Online</v>
      </c>
    </row>
    <row r="8300">
      <c r="A8300" s="2" t="s">
        <v>51615</v>
      </c>
      <c r="B8300" s="2" t="s">
        <v>51616</v>
      </c>
      <c r="C8300" s="2" t="s">
        <v>5358</v>
      </c>
      <c r="D8300" s="2" t="s">
        <v>2561</v>
      </c>
      <c r="E8300" s="2" t="s">
        <v>51599</v>
      </c>
      <c r="F8300" s="2" t="s">
        <v>51617</v>
      </c>
      <c r="G8300" s="2" t="s">
        <v>51618</v>
      </c>
      <c r="H8300" s="3">
        <v>5.0</v>
      </c>
      <c r="I8300" s="3">
        <v>70.0</v>
      </c>
      <c r="J8300" s="3">
        <v>3.0</v>
      </c>
      <c r="K8300" s="3">
        <v>55.0</v>
      </c>
      <c r="L8300" s="4" t="s">
        <v>31</v>
      </c>
      <c r="M8300" s="2" t="s">
        <v>51619</v>
      </c>
      <c r="N8300" s="2" t="s">
        <v>1181</v>
      </c>
      <c r="O8300" s="4" t="s">
        <v>1182</v>
      </c>
      <c r="P8300" s="2" t="s">
        <v>51610</v>
      </c>
      <c r="Q8300" s="2" t="s">
        <v>2340</v>
      </c>
      <c r="R8300" s="2" t="s">
        <v>1185</v>
      </c>
      <c r="S8300" s="4" t="s">
        <v>6739</v>
      </c>
      <c r="T8300" s="2" t="s">
        <v>66</v>
      </c>
      <c r="U8300" s="4" t="s">
        <v>31</v>
      </c>
      <c r="V8300" s="2" t="s">
        <v>51620</v>
      </c>
      <c r="W8300" s="2" t="s">
        <v>51599</v>
      </c>
      <c r="X8300" s="5" t="str">
        <f>HYPERLINK("https://my.pitchbook.com?p=13716-37P","View People Online")</f>
        <v>View People Online</v>
      </c>
    </row>
    <row r="8301">
      <c r="A8301" s="6" t="s">
        <v>51621</v>
      </c>
      <c r="B8301" s="6" t="s">
        <v>51622</v>
      </c>
      <c r="C8301" s="6" t="s">
        <v>1343</v>
      </c>
      <c r="D8301" s="6" t="s">
        <v>29195</v>
      </c>
      <c r="E8301" s="6" t="s">
        <v>51599</v>
      </c>
      <c r="F8301" s="6" t="s">
        <v>114</v>
      </c>
      <c r="G8301" s="6" t="s">
        <v>51623</v>
      </c>
      <c r="H8301" s="7" t="s">
        <v>31</v>
      </c>
      <c r="I8301" s="7">
        <v>1.0</v>
      </c>
      <c r="J8301" s="7">
        <v>1.0</v>
      </c>
      <c r="K8301" s="7" t="s">
        <v>31</v>
      </c>
      <c r="L8301" s="8" t="s">
        <v>31</v>
      </c>
      <c r="M8301" s="6" t="s">
        <v>31</v>
      </c>
      <c r="N8301" s="6" t="s">
        <v>1181</v>
      </c>
      <c r="O8301" s="8" t="s">
        <v>1182</v>
      </c>
      <c r="P8301" s="6" t="s">
        <v>51610</v>
      </c>
      <c r="Q8301" s="6" t="s">
        <v>2340</v>
      </c>
      <c r="R8301" s="6" t="s">
        <v>1185</v>
      </c>
      <c r="S8301" s="8" t="s">
        <v>6739</v>
      </c>
      <c r="T8301" s="6" t="s">
        <v>66</v>
      </c>
      <c r="U8301" s="8" t="s">
        <v>31</v>
      </c>
      <c r="V8301" s="6" t="s">
        <v>114</v>
      </c>
      <c r="W8301" s="6" t="s">
        <v>51599</v>
      </c>
      <c r="X8301" s="9" t="str">
        <f>HYPERLINK("https://my.pitchbook.com?p=451490-95P","View People Online")</f>
        <v>View People Online</v>
      </c>
    </row>
    <row r="8302">
      <c r="A8302" s="2" t="s">
        <v>51624</v>
      </c>
      <c r="B8302" s="2" t="s">
        <v>51625</v>
      </c>
      <c r="C8302" s="2" t="s">
        <v>46337</v>
      </c>
      <c r="D8302" s="2" t="s">
        <v>7578</v>
      </c>
      <c r="E8302" s="2" t="s">
        <v>51599</v>
      </c>
      <c r="F8302" s="2" t="s">
        <v>713</v>
      </c>
      <c r="G8302" s="2" t="s">
        <v>51626</v>
      </c>
      <c r="H8302" s="3" t="s">
        <v>31</v>
      </c>
      <c r="I8302" s="3">
        <v>1.0</v>
      </c>
      <c r="J8302" s="3">
        <v>1.0</v>
      </c>
      <c r="K8302" s="3" t="s">
        <v>31</v>
      </c>
      <c r="L8302" s="4" t="s">
        <v>31</v>
      </c>
      <c r="M8302" s="2" t="s">
        <v>51627</v>
      </c>
      <c r="N8302" s="2" t="s">
        <v>1181</v>
      </c>
      <c r="O8302" s="4" t="s">
        <v>1182</v>
      </c>
      <c r="P8302" s="2" t="s">
        <v>51610</v>
      </c>
      <c r="Q8302" s="2" t="s">
        <v>2340</v>
      </c>
      <c r="R8302" s="2" t="s">
        <v>1185</v>
      </c>
      <c r="S8302" s="4" t="s">
        <v>6739</v>
      </c>
      <c r="T8302" s="2" t="s">
        <v>66</v>
      </c>
      <c r="U8302" s="4" t="s">
        <v>31</v>
      </c>
      <c r="V8302" s="2" t="s">
        <v>713</v>
      </c>
      <c r="W8302" s="2" t="s">
        <v>51599</v>
      </c>
      <c r="X8302" s="5" t="str">
        <f>HYPERLINK("https://my.pitchbook.com?p=249195-25P","View People Online")</f>
        <v>View People Online</v>
      </c>
    </row>
    <row r="8303">
      <c r="A8303" s="14" t="s">
        <v>51628</v>
      </c>
      <c r="B8303" s="14" t="s">
        <v>51629</v>
      </c>
      <c r="C8303" s="14" t="s">
        <v>38977</v>
      </c>
      <c r="D8303" s="14" t="s">
        <v>51630</v>
      </c>
      <c r="E8303" s="14" t="s">
        <v>51599</v>
      </c>
      <c r="F8303" s="14" t="s">
        <v>502</v>
      </c>
      <c r="G8303" s="14" t="s">
        <v>51631</v>
      </c>
      <c r="H8303" s="15" t="s">
        <v>31</v>
      </c>
      <c r="I8303" s="15">
        <v>1.0</v>
      </c>
      <c r="J8303" s="15">
        <v>1.0</v>
      </c>
      <c r="K8303" s="15" t="s">
        <v>31</v>
      </c>
      <c r="L8303" s="16" t="s">
        <v>31</v>
      </c>
      <c r="M8303" s="14" t="s">
        <v>51632</v>
      </c>
      <c r="N8303" s="14" t="s">
        <v>1181</v>
      </c>
      <c r="O8303" s="16" t="s">
        <v>1182</v>
      </c>
      <c r="P8303" s="14" t="s">
        <v>51610</v>
      </c>
      <c r="Q8303" s="14" t="s">
        <v>2340</v>
      </c>
      <c r="R8303" s="14" t="s">
        <v>1185</v>
      </c>
      <c r="S8303" s="16" t="s">
        <v>6739</v>
      </c>
      <c r="T8303" s="14" t="s">
        <v>66</v>
      </c>
      <c r="U8303" s="16" t="s">
        <v>31</v>
      </c>
      <c r="V8303" s="14" t="s">
        <v>502</v>
      </c>
      <c r="W8303" s="14" t="s">
        <v>51599</v>
      </c>
      <c r="X8303" s="17" t="str">
        <f>HYPERLINK("https://my.pitchbook.com?p=398100-61P","View People Online")</f>
        <v>View People Online</v>
      </c>
    </row>
    <row r="8304">
      <c r="A8304" s="2" t="s">
        <v>51633</v>
      </c>
      <c r="B8304" s="2" t="s">
        <v>51634</v>
      </c>
      <c r="C8304" s="2" t="s">
        <v>3228</v>
      </c>
      <c r="D8304" s="2" t="s">
        <v>51635</v>
      </c>
      <c r="E8304" s="2" t="s">
        <v>51599</v>
      </c>
      <c r="F8304" s="2" t="s">
        <v>29</v>
      </c>
      <c r="G8304" s="2" t="s">
        <v>51636</v>
      </c>
      <c r="H8304" s="3">
        <v>4.0</v>
      </c>
      <c r="I8304" s="3">
        <v>19.0</v>
      </c>
      <c r="J8304" s="3">
        <v>1.0</v>
      </c>
      <c r="K8304" s="3">
        <v>12.0</v>
      </c>
      <c r="L8304" s="4" t="s">
        <v>31</v>
      </c>
      <c r="M8304" s="2" t="s">
        <v>51637</v>
      </c>
      <c r="N8304" s="2" t="s">
        <v>1181</v>
      </c>
      <c r="O8304" s="4" t="s">
        <v>1182</v>
      </c>
      <c r="P8304" s="2" t="s">
        <v>51610</v>
      </c>
      <c r="Q8304" s="2" t="s">
        <v>2340</v>
      </c>
      <c r="R8304" s="2" t="s">
        <v>1185</v>
      </c>
      <c r="S8304" s="4" t="s">
        <v>6739</v>
      </c>
      <c r="T8304" s="2" t="s">
        <v>66</v>
      </c>
      <c r="U8304" s="4" t="s">
        <v>31</v>
      </c>
      <c r="V8304" s="2" t="s">
        <v>29</v>
      </c>
      <c r="W8304" s="2" t="s">
        <v>51599</v>
      </c>
      <c r="X8304" s="5" t="str">
        <f>HYPERLINK("https://my.pitchbook.com?p=193687-03P","View People Online")</f>
        <v>View People Online</v>
      </c>
    </row>
    <row r="8305">
      <c r="A8305" s="14" t="s">
        <v>51638</v>
      </c>
      <c r="B8305" s="14" t="s">
        <v>51639</v>
      </c>
      <c r="C8305" s="14" t="s">
        <v>395</v>
      </c>
      <c r="D8305" s="14" t="s">
        <v>22841</v>
      </c>
      <c r="E8305" s="14" t="s">
        <v>51599</v>
      </c>
      <c r="F8305" s="14" t="s">
        <v>270</v>
      </c>
      <c r="G8305" s="14" t="s">
        <v>51640</v>
      </c>
      <c r="H8305" s="15" t="s">
        <v>31</v>
      </c>
      <c r="I8305" s="15">
        <v>2.0</v>
      </c>
      <c r="J8305" s="15">
        <v>1.0</v>
      </c>
      <c r="K8305" s="15">
        <v>1.0</v>
      </c>
      <c r="L8305" s="16" t="s">
        <v>31</v>
      </c>
      <c r="M8305" s="14" t="s">
        <v>31</v>
      </c>
      <c r="N8305" s="14" t="s">
        <v>1181</v>
      </c>
      <c r="O8305" s="16" t="s">
        <v>1182</v>
      </c>
      <c r="P8305" s="14" t="s">
        <v>51610</v>
      </c>
      <c r="Q8305" s="14" t="s">
        <v>2340</v>
      </c>
      <c r="R8305" s="14" t="s">
        <v>1185</v>
      </c>
      <c r="S8305" s="16" t="s">
        <v>6739</v>
      </c>
      <c r="T8305" s="14" t="s">
        <v>66</v>
      </c>
      <c r="U8305" s="16" t="s">
        <v>31</v>
      </c>
      <c r="V8305" s="14" t="s">
        <v>51641</v>
      </c>
      <c r="W8305" s="14" t="s">
        <v>51599</v>
      </c>
      <c r="X8305" s="17" t="str">
        <f>HYPERLINK("https://my.pitchbook.com?p=45276-49P","View People Online")</f>
        <v>View People Online</v>
      </c>
    </row>
    <row r="8306">
      <c r="A8306" s="2" t="s">
        <v>51642</v>
      </c>
      <c r="B8306" s="2" t="s">
        <v>51643</v>
      </c>
      <c r="C8306" s="2" t="s">
        <v>12281</v>
      </c>
      <c r="D8306" s="2" t="s">
        <v>7892</v>
      </c>
      <c r="E8306" s="2" t="s">
        <v>51599</v>
      </c>
      <c r="F8306" s="2" t="s">
        <v>114</v>
      </c>
      <c r="G8306" s="2" t="s">
        <v>51644</v>
      </c>
      <c r="H8306" s="3">
        <v>8.0</v>
      </c>
      <c r="I8306" s="3">
        <v>35.0</v>
      </c>
      <c r="J8306" s="3">
        <v>4.0</v>
      </c>
      <c r="K8306" s="3">
        <v>21.0</v>
      </c>
      <c r="L8306" s="4" t="s">
        <v>28506</v>
      </c>
      <c r="M8306" s="2" t="s">
        <v>51645</v>
      </c>
      <c r="N8306" s="2" t="s">
        <v>1368</v>
      </c>
      <c r="O8306" s="4" t="s">
        <v>1369</v>
      </c>
      <c r="P8306" s="2" t="s">
        <v>6399</v>
      </c>
      <c r="Q8306" s="2" t="s">
        <v>31</v>
      </c>
      <c r="R8306" s="2" t="s">
        <v>1185</v>
      </c>
      <c r="S8306" s="4" t="s">
        <v>28508</v>
      </c>
      <c r="T8306" s="2" t="s">
        <v>66</v>
      </c>
      <c r="U8306" s="4" t="s">
        <v>31</v>
      </c>
      <c r="V8306" s="2" t="s">
        <v>2168</v>
      </c>
      <c r="W8306" s="2" t="s">
        <v>28510</v>
      </c>
      <c r="X8306" s="5" t="str">
        <f>HYPERLINK("https://my.pitchbook.com?p=41555-35P","View People Online")</f>
        <v>View People Online</v>
      </c>
    </row>
    <row r="8307">
      <c r="A8307" s="14" t="s">
        <v>51646</v>
      </c>
      <c r="B8307" s="14" t="s">
        <v>51647</v>
      </c>
      <c r="C8307" s="14" t="s">
        <v>1388</v>
      </c>
      <c r="D8307" s="14" t="s">
        <v>36644</v>
      </c>
      <c r="E8307" s="14" t="s">
        <v>51599</v>
      </c>
      <c r="F8307" s="14" t="s">
        <v>57</v>
      </c>
      <c r="G8307" s="14" t="s">
        <v>51648</v>
      </c>
      <c r="H8307" s="15">
        <v>3.0</v>
      </c>
      <c r="I8307" s="15">
        <v>20.0</v>
      </c>
      <c r="J8307" s="15">
        <v>2.0</v>
      </c>
      <c r="K8307" s="15">
        <v>10.0</v>
      </c>
      <c r="L8307" s="16" t="s">
        <v>31</v>
      </c>
      <c r="M8307" s="14" t="s">
        <v>51649</v>
      </c>
      <c r="N8307" s="14" t="s">
        <v>1181</v>
      </c>
      <c r="O8307" s="16" t="s">
        <v>1182</v>
      </c>
      <c r="P8307" s="14" t="s">
        <v>51610</v>
      </c>
      <c r="Q8307" s="14" t="s">
        <v>2340</v>
      </c>
      <c r="R8307" s="14" t="s">
        <v>1185</v>
      </c>
      <c r="S8307" s="16" t="s">
        <v>6739</v>
      </c>
      <c r="T8307" s="14" t="s">
        <v>66</v>
      </c>
      <c r="U8307" s="16" t="s">
        <v>31</v>
      </c>
      <c r="V8307" s="14" t="s">
        <v>57</v>
      </c>
      <c r="W8307" s="14" t="s">
        <v>51599</v>
      </c>
      <c r="X8307" s="17" t="str">
        <f>HYPERLINK("https://my.pitchbook.com?p=44163-19P","View People Online")</f>
        <v>View People Online</v>
      </c>
    </row>
    <row r="8308">
      <c r="A8308" s="10" t="s">
        <v>51650</v>
      </c>
      <c r="B8308" s="10" t="s">
        <v>51651</v>
      </c>
      <c r="C8308" s="10" t="s">
        <v>562</v>
      </c>
      <c r="D8308" s="10" t="s">
        <v>51652</v>
      </c>
      <c r="E8308" s="10" t="s">
        <v>51599</v>
      </c>
      <c r="F8308" s="10" t="s">
        <v>29</v>
      </c>
      <c r="G8308" s="10" t="s">
        <v>51653</v>
      </c>
      <c r="H8308" s="11">
        <v>2.0</v>
      </c>
      <c r="I8308" s="11">
        <v>6.0</v>
      </c>
      <c r="J8308" s="11">
        <v>1.0</v>
      </c>
      <c r="K8308" s="11">
        <v>3.0</v>
      </c>
      <c r="L8308" s="12" t="s">
        <v>31</v>
      </c>
      <c r="M8308" s="10" t="s">
        <v>51654</v>
      </c>
      <c r="N8308" s="10" t="s">
        <v>1181</v>
      </c>
      <c r="O8308" s="12" t="s">
        <v>1182</v>
      </c>
      <c r="P8308" s="10" t="s">
        <v>51610</v>
      </c>
      <c r="Q8308" s="10" t="s">
        <v>2340</v>
      </c>
      <c r="R8308" s="10" t="s">
        <v>1185</v>
      </c>
      <c r="S8308" s="12" t="s">
        <v>6739</v>
      </c>
      <c r="T8308" s="10" t="s">
        <v>66</v>
      </c>
      <c r="U8308" s="12" t="s">
        <v>31</v>
      </c>
      <c r="V8308" s="10" t="s">
        <v>29</v>
      </c>
      <c r="W8308" s="10" t="s">
        <v>51599</v>
      </c>
      <c r="X8308" s="13" t="str">
        <f>HYPERLINK("https://my.pitchbook.com?p=206618-86P","View People Online")</f>
        <v>View People Online</v>
      </c>
    </row>
    <row r="8309">
      <c r="A8309" s="14" t="s">
        <v>51655</v>
      </c>
      <c r="B8309" s="14" t="s">
        <v>51656</v>
      </c>
      <c r="C8309" s="14" t="s">
        <v>1072</v>
      </c>
      <c r="D8309" s="14" t="s">
        <v>51657</v>
      </c>
      <c r="E8309" s="14" t="s">
        <v>51599</v>
      </c>
      <c r="F8309" s="14" t="s">
        <v>29</v>
      </c>
      <c r="G8309" s="14" t="s">
        <v>51658</v>
      </c>
      <c r="H8309" s="15">
        <v>1.0</v>
      </c>
      <c r="I8309" s="15">
        <v>30.0</v>
      </c>
      <c r="J8309" s="15">
        <v>2.0</v>
      </c>
      <c r="K8309" s="15">
        <v>26.0</v>
      </c>
      <c r="L8309" s="16" t="s">
        <v>31</v>
      </c>
      <c r="M8309" s="14" t="s">
        <v>51659</v>
      </c>
      <c r="N8309" s="14" t="s">
        <v>1181</v>
      </c>
      <c r="O8309" s="16" t="s">
        <v>1182</v>
      </c>
      <c r="P8309" s="14" t="s">
        <v>51610</v>
      </c>
      <c r="Q8309" s="14" t="s">
        <v>2340</v>
      </c>
      <c r="R8309" s="14" t="s">
        <v>1185</v>
      </c>
      <c r="S8309" s="16" t="s">
        <v>6739</v>
      </c>
      <c r="T8309" s="14" t="s">
        <v>66</v>
      </c>
      <c r="U8309" s="16" t="s">
        <v>31</v>
      </c>
      <c r="V8309" s="14" t="s">
        <v>29</v>
      </c>
      <c r="W8309" s="14" t="s">
        <v>51599</v>
      </c>
      <c r="X8309" s="17" t="str">
        <f>HYPERLINK("https://my.pitchbook.com?p=273728-89P","View People Online")</f>
        <v>View People Online</v>
      </c>
    </row>
    <row r="8310">
      <c r="A8310" s="2" t="s">
        <v>51660</v>
      </c>
      <c r="B8310" s="2" t="s">
        <v>51661</v>
      </c>
      <c r="C8310" s="2" t="s">
        <v>51662</v>
      </c>
      <c r="D8310" s="2" t="s">
        <v>51663</v>
      </c>
      <c r="E8310" s="2" t="s">
        <v>51664</v>
      </c>
      <c r="F8310" s="2" t="s">
        <v>1249</v>
      </c>
      <c r="G8310" s="2" t="s">
        <v>51665</v>
      </c>
      <c r="H8310" s="3">
        <v>2.0</v>
      </c>
      <c r="I8310" s="3">
        <v>9.0</v>
      </c>
      <c r="J8310" s="3">
        <v>3.0</v>
      </c>
      <c r="K8310" s="3">
        <v>5.0</v>
      </c>
      <c r="L8310" s="4" t="s">
        <v>51666</v>
      </c>
      <c r="M8310" s="2" t="s">
        <v>51667</v>
      </c>
      <c r="N8310" s="2" t="s">
        <v>2876</v>
      </c>
      <c r="O8310" s="4" t="s">
        <v>2877</v>
      </c>
      <c r="P8310" s="2" t="s">
        <v>51668</v>
      </c>
      <c r="Q8310" s="2" t="s">
        <v>31</v>
      </c>
      <c r="R8310" s="2" t="s">
        <v>31</v>
      </c>
      <c r="S8310" s="4" t="s">
        <v>51669</v>
      </c>
      <c r="T8310" s="2" t="s">
        <v>2880</v>
      </c>
      <c r="U8310" s="4" t="s">
        <v>31</v>
      </c>
      <c r="V8310" s="2" t="s">
        <v>470</v>
      </c>
      <c r="W8310" s="2" t="s">
        <v>51664</v>
      </c>
      <c r="X8310" s="5" t="str">
        <f>HYPERLINK("https://my.pitchbook.com?p=68423-68P","View People Online")</f>
        <v>View People Online</v>
      </c>
    </row>
    <row r="8311">
      <c r="A8311" s="6" t="s">
        <v>51670</v>
      </c>
      <c r="B8311" s="6" t="s">
        <v>51671</v>
      </c>
      <c r="C8311" s="6" t="s">
        <v>51672</v>
      </c>
      <c r="D8311" s="6" t="s">
        <v>51673</v>
      </c>
      <c r="E8311" s="6" t="s">
        <v>51664</v>
      </c>
      <c r="F8311" s="6" t="s">
        <v>270</v>
      </c>
      <c r="G8311" s="6" t="s">
        <v>51674</v>
      </c>
      <c r="H8311" s="7" t="s">
        <v>31</v>
      </c>
      <c r="I8311" s="7">
        <v>2.0</v>
      </c>
      <c r="J8311" s="7">
        <v>2.0</v>
      </c>
      <c r="K8311" s="7" t="s">
        <v>31</v>
      </c>
      <c r="L8311" s="8" t="s">
        <v>51675</v>
      </c>
      <c r="M8311" s="6" t="s">
        <v>51676</v>
      </c>
      <c r="N8311" s="6" t="s">
        <v>2876</v>
      </c>
      <c r="O8311" s="8" t="s">
        <v>2877</v>
      </c>
      <c r="P8311" s="6" t="s">
        <v>51668</v>
      </c>
      <c r="Q8311" s="6" t="s">
        <v>31</v>
      </c>
      <c r="R8311" s="6" t="s">
        <v>31</v>
      </c>
      <c r="S8311" s="8" t="s">
        <v>51669</v>
      </c>
      <c r="T8311" s="6" t="s">
        <v>2880</v>
      </c>
      <c r="U8311" s="8" t="s">
        <v>31</v>
      </c>
      <c r="V8311" s="6" t="s">
        <v>270</v>
      </c>
      <c r="W8311" s="6" t="s">
        <v>51664</v>
      </c>
      <c r="X8311" s="9" t="str">
        <f>HYPERLINK("https://my.pitchbook.com?p=243135-19P","View People Online")</f>
        <v>View People Online</v>
      </c>
    </row>
    <row r="8312">
      <c r="A8312" s="2" t="s">
        <v>51677</v>
      </c>
      <c r="B8312" s="2" t="s">
        <v>51678</v>
      </c>
      <c r="C8312" s="2" t="s">
        <v>7314</v>
      </c>
      <c r="D8312" s="2" t="s">
        <v>51679</v>
      </c>
      <c r="E8312" s="2" t="s">
        <v>51664</v>
      </c>
      <c r="F8312" s="2" t="s">
        <v>51680</v>
      </c>
      <c r="G8312" s="2" t="s">
        <v>51681</v>
      </c>
      <c r="H8312" s="3">
        <v>1.0</v>
      </c>
      <c r="I8312" s="3">
        <v>1.0</v>
      </c>
      <c r="J8312" s="3">
        <v>1.0</v>
      </c>
      <c r="K8312" s="3" t="s">
        <v>31</v>
      </c>
      <c r="L8312" s="4" t="s">
        <v>51666</v>
      </c>
      <c r="M8312" s="2" t="s">
        <v>31</v>
      </c>
      <c r="N8312" s="2" t="s">
        <v>2876</v>
      </c>
      <c r="O8312" s="4" t="s">
        <v>2877</v>
      </c>
      <c r="P8312" s="2" t="s">
        <v>51668</v>
      </c>
      <c r="Q8312" s="2" t="s">
        <v>31</v>
      </c>
      <c r="R8312" s="2" t="s">
        <v>31</v>
      </c>
      <c r="S8312" s="4" t="s">
        <v>51669</v>
      </c>
      <c r="T8312" s="2" t="s">
        <v>2880</v>
      </c>
      <c r="U8312" s="4" t="s">
        <v>31</v>
      </c>
      <c r="V8312" s="2" t="s">
        <v>51682</v>
      </c>
      <c r="W8312" s="2" t="s">
        <v>51664</v>
      </c>
      <c r="X8312" s="5" t="str">
        <f>HYPERLINK("https://my.pitchbook.com?p=63721-36P","View People Online")</f>
        <v>View People Online</v>
      </c>
    </row>
    <row r="8313">
      <c r="A8313" s="6" t="s">
        <v>51683</v>
      </c>
      <c r="B8313" s="6" t="s">
        <v>51684</v>
      </c>
      <c r="C8313" s="6" t="s">
        <v>568</v>
      </c>
      <c r="D8313" s="6" t="s">
        <v>51685</v>
      </c>
      <c r="E8313" s="6" t="s">
        <v>51686</v>
      </c>
      <c r="F8313" s="6" t="s">
        <v>29</v>
      </c>
      <c r="G8313" s="6" t="s">
        <v>51687</v>
      </c>
      <c r="H8313" s="7" t="s">
        <v>31</v>
      </c>
      <c r="I8313" s="7">
        <v>1.0</v>
      </c>
      <c r="J8313" s="7">
        <v>1.0</v>
      </c>
      <c r="K8313" s="7" t="s">
        <v>31</v>
      </c>
      <c r="L8313" s="8" t="s">
        <v>51688</v>
      </c>
      <c r="M8313" s="6" t="s">
        <v>51689</v>
      </c>
      <c r="N8313" s="6" t="s">
        <v>155</v>
      </c>
      <c r="O8313" s="8" t="s">
        <v>156</v>
      </c>
      <c r="P8313" s="6" t="s">
        <v>51690</v>
      </c>
      <c r="Q8313" s="6" t="s">
        <v>51691</v>
      </c>
      <c r="R8313" s="6" t="s">
        <v>64</v>
      </c>
      <c r="S8313" s="8" t="s">
        <v>1549</v>
      </c>
      <c r="T8313" s="6" t="s">
        <v>66</v>
      </c>
      <c r="U8313" s="8" t="s">
        <v>51692</v>
      </c>
      <c r="V8313" s="6" t="s">
        <v>51693</v>
      </c>
      <c r="W8313" s="6" t="s">
        <v>51686</v>
      </c>
      <c r="X8313" s="9" t="str">
        <f>HYPERLINK("https://my.pitchbook.com?p=122736-25P","View People Online")</f>
        <v>View People Online</v>
      </c>
    </row>
    <row r="8314">
      <c r="A8314" s="10" t="s">
        <v>51694</v>
      </c>
      <c r="B8314" s="10" t="s">
        <v>51695</v>
      </c>
      <c r="C8314" s="10" t="s">
        <v>51696</v>
      </c>
      <c r="D8314" s="10" t="s">
        <v>51697</v>
      </c>
      <c r="E8314" s="10" t="s">
        <v>51686</v>
      </c>
      <c r="F8314" s="10" t="s">
        <v>189</v>
      </c>
      <c r="G8314" s="10" t="s">
        <v>51698</v>
      </c>
      <c r="H8314" s="11">
        <v>3.0</v>
      </c>
      <c r="I8314" s="11">
        <v>14.0</v>
      </c>
      <c r="J8314" s="11">
        <v>1.0</v>
      </c>
      <c r="K8314" s="11">
        <v>8.0</v>
      </c>
      <c r="L8314" s="12" t="s">
        <v>51699</v>
      </c>
      <c r="M8314" s="10" t="s">
        <v>51700</v>
      </c>
      <c r="N8314" s="10" t="s">
        <v>155</v>
      </c>
      <c r="O8314" s="12" t="s">
        <v>156</v>
      </c>
      <c r="P8314" s="10" t="s">
        <v>51690</v>
      </c>
      <c r="Q8314" s="10" t="s">
        <v>51691</v>
      </c>
      <c r="R8314" s="10" t="s">
        <v>64</v>
      </c>
      <c r="S8314" s="12" t="s">
        <v>1549</v>
      </c>
      <c r="T8314" s="10" t="s">
        <v>66</v>
      </c>
      <c r="U8314" s="12" t="s">
        <v>51692</v>
      </c>
      <c r="V8314" s="10" t="s">
        <v>196</v>
      </c>
      <c r="W8314" s="10" t="s">
        <v>51686</v>
      </c>
      <c r="X8314" s="13" t="str">
        <f>HYPERLINK("https://my.pitchbook.com?p=217179-19P","View People Online")</f>
        <v>View People Online</v>
      </c>
    </row>
    <row r="8315">
      <c r="A8315" s="6" t="s">
        <v>51701</v>
      </c>
      <c r="B8315" s="6" t="s">
        <v>51702</v>
      </c>
      <c r="C8315" s="6" t="s">
        <v>4923</v>
      </c>
      <c r="D8315" s="6" t="s">
        <v>9847</v>
      </c>
      <c r="E8315" s="6" t="s">
        <v>51686</v>
      </c>
      <c r="F8315" s="6" t="s">
        <v>270</v>
      </c>
      <c r="G8315" s="6" t="s">
        <v>51703</v>
      </c>
      <c r="H8315" s="7" t="s">
        <v>31</v>
      </c>
      <c r="I8315" s="7">
        <v>1.0</v>
      </c>
      <c r="J8315" s="7">
        <v>1.0</v>
      </c>
      <c r="K8315" s="7" t="s">
        <v>31</v>
      </c>
      <c r="L8315" s="8" t="s">
        <v>51688</v>
      </c>
      <c r="M8315" s="6" t="s">
        <v>51704</v>
      </c>
      <c r="N8315" s="6" t="s">
        <v>155</v>
      </c>
      <c r="O8315" s="8" t="s">
        <v>156</v>
      </c>
      <c r="P8315" s="6" t="s">
        <v>51690</v>
      </c>
      <c r="Q8315" s="6" t="s">
        <v>51691</v>
      </c>
      <c r="R8315" s="6" t="s">
        <v>64</v>
      </c>
      <c r="S8315" s="8" t="s">
        <v>1549</v>
      </c>
      <c r="T8315" s="6" t="s">
        <v>66</v>
      </c>
      <c r="U8315" s="8" t="s">
        <v>51692</v>
      </c>
      <c r="V8315" s="6" t="s">
        <v>440</v>
      </c>
      <c r="W8315" s="6" t="s">
        <v>51686</v>
      </c>
      <c r="X8315" s="9" t="str">
        <f>HYPERLINK("https://my.pitchbook.com?p=410650-03P","View People Online")</f>
        <v>View People Online</v>
      </c>
    </row>
    <row r="8316">
      <c r="A8316" s="2" t="s">
        <v>51705</v>
      </c>
      <c r="B8316" s="2" t="s">
        <v>51706</v>
      </c>
      <c r="C8316" s="2" t="s">
        <v>51707</v>
      </c>
      <c r="D8316" s="2" t="s">
        <v>51708</v>
      </c>
      <c r="E8316" s="2" t="s">
        <v>51686</v>
      </c>
      <c r="F8316" s="2" t="s">
        <v>35080</v>
      </c>
      <c r="G8316" s="2" t="s">
        <v>51709</v>
      </c>
      <c r="H8316" s="3" t="s">
        <v>31</v>
      </c>
      <c r="I8316" s="3">
        <v>1.0</v>
      </c>
      <c r="J8316" s="3">
        <v>1.0</v>
      </c>
      <c r="K8316" s="3" t="s">
        <v>31</v>
      </c>
      <c r="L8316" s="4" t="s">
        <v>51688</v>
      </c>
      <c r="M8316" s="2" t="s">
        <v>51710</v>
      </c>
      <c r="N8316" s="2" t="s">
        <v>155</v>
      </c>
      <c r="O8316" s="4" t="s">
        <v>156</v>
      </c>
      <c r="P8316" s="2" t="s">
        <v>51690</v>
      </c>
      <c r="Q8316" s="2" t="s">
        <v>51691</v>
      </c>
      <c r="R8316" s="2" t="s">
        <v>64</v>
      </c>
      <c r="S8316" s="4" t="s">
        <v>1549</v>
      </c>
      <c r="T8316" s="2" t="s">
        <v>66</v>
      </c>
      <c r="U8316" s="4" t="s">
        <v>51692</v>
      </c>
      <c r="V8316" s="2" t="s">
        <v>35080</v>
      </c>
      <c r="W8316" s="2" t="s">
        <v>51686</v>
      </c>
      <c r="X8316" s="5" t="str">
        <f>HYPERLINK("https://my.pitchbook.com?p=310407-49P","View People Online")</f>
        <v>View People Online</v>
      </c>
    </row>
    <row r="8317">
      <c r="A8317" s="6" t="s">
        <v>33607</v>
      </c>
      <c r="B8317" s="6" t="s">
        <v>33608</v>
      </c>
      <c r="C8317" s="6" t="s">
        <v>24140</v>
      </c>
      <c r="D8317" s="6" t="s">
        <v>21299</v>
      </c>
      <c r="E8317" s="6" t="s">
        <v>51686</v>
      </c>
      <c r="F8317" s="6" t="s">
        <v>2731</v>
      </c>
      <c r="G8317" s="6" t="s">
        <v>33609</v>
      </c>
      <c r="H8317" s="7" t="s">
        <v>31</v>
      </c>
      <c r="I8317" s="7">
        <v>21.0</v>
      </c>
      <c r="J8317" s="7" t="s">
        <v>31</v>
      </c>
      <c r="K8317" s="7">
        <v>13.0</v>
      </c>
      <c r="L8317" s="8" t="s">
        <v>33452</v>
      </c>
      <c r="M8317" s="6" t="s">
        <v>33610</v>
      </c>
      <c r="N8317" s="6" t="s">
        <v>75</v>
      </c>
      <c r="O8317" s="8" t="s">
        <v>76</v>
      </c>
      <c r="P8317" s="6" t="s">
        <v>33454</v>
      </c>
      <c r="Q8317" s="6" t="s">
        <v>12967</v>
      </c>
      <c r="R8317" s="6" t="s">
        <v>75</v>
      </c>
      <c r="S8317" s="8" t="s">
        <v>2167</v>
      </c>
      <c r="T8317" s="6" t="s">
        <v>66</v>
      </c>
      <c r="U8317" s="8" t="s">
        <v>31</v>
      </c>
      <c r="V8317" s="6" t="s">
        <v>33611</v>
      </c>
      <c r="W8317" s="6" t="s">
        <v>33450</v>
      </c>
      <c r="X8317" s="9" t="str">
        <f>HYPERLINK("https://my.pitchbook.com?p=13143-52P","View People Online")</f>
        <v>View People Online</v>
      </c>
    </row>
    <row r="8318">
      <c r="A8318" s="10" t="s">
        <v>51711</v>
      </c>
      <c r="B8318" s="10" t="s">
        <v>51712</v>
      </c>
      <c r="C8318" s="10" t="s">
        <v>1998</v>
      </c>
      <c r="D8318" s="10" t="s">
        <v>40909</v>
      </c>
      <c r="E8318" s="10" t="s">
        <v>51686</v>
      </c>
      <c r="F8318" s="10" t="s">
        <v>2731</v>
      </c>
      <c r="G8318" s="10" t="s">
        <v>51713</v>
      </c>
      <c r="H8318" s="11">
        <v>2.0</v>
      </c>
      <c r="I8318" s="11">
        <v>3.0</v>
      </c>
      <c r="J8318" s="11" t="s">
        <v>31</v>
      </c>
      <c r="K8318" s="11" t="s">
        <v>31</v>
      </c>
      <c r="L8318" s="12" t="s">
        <v>51714</v>
      </c>
      <c r="M8318" s="10" t="s">
        <v>31</v>
      </c>
      <c r="N8318" s="10" t="s">
        <v>3958</v>
      </c>
      <c r="O8318" s="12" t="s">
        <v>3959</v>
      </c>
      <c r="P8318" s="10" t="s">
        <v>51715</v>
      </c>
      <c r="Q8318" s="10" t="s">
        <v>7094</v>
      </c>
      <c r="R8318" s="10" t="s">
        <v>3960</v>
      </c>
      <c r="S8318" s="12" t="s">
        <v>51716</v>
      </c>
      <c r="T8318" s="10" t="s">
        <v>66</v>
      </c>
      <c r="U8318" s="12" t="s">
        <v>31</v>
      </c>
      <c r="V8318" s="10" t="s">
        <v>51717</v>
      </c>
      <c r="W8318" s="10" t="s">
        <v>51718</v>
      </c>
      <c r="X8318" s="13" t="str">
        <f>HYPERLINK("https://my.pitchbook.com?p=307697-41P","View People Online")</f>
        <v>View People Online</v>
      </c>
    </row>
    <row r="8319">
      <c r="A8319" s="6" t="s">
        <v>51719</v>
      </c>
      <c r="B8319" s="6" t="s">
        <v>51720</v>
      </c>
      <c r="C8319" s="6" t="s">
        <v>51721</v>
      </c>
      <c r="D8319" s="6" t="s">
        <v>51722</v>
      </c>
      <c r="E8319" s="6" t="s">
        <v>51686</v>
      </c>
      <c r="F8319" s="6" t="s">
        <v>114</v>
      </c>
      <c r="G8319" s="6" t="s">
        <v>51723</v>
      </c>
      <c r="H8319" s="7" t="s">
        <v>31</v>
      </c>
      <c r="I8319" s="7">
        <v>4.0</v>
      </c>
      <c r="J8319" s="7">
        <v>1.0</v>
      </c>
      <c r="K8319" s="7">
        <v>3.0</v>
      </c>
      <c r="L8319" s="8" t="s">
        <v>51688</v>
      </c>
      <c r="M8319" s="6" t="s">
        <v>51724</v>
      </c>
      <c r="N8319" s="6" t="s">
        <v>155</v>
      </c>
      <c r="O8319" s="8" t="s">
        <v>156</v>
      </c>
      <c r="P8319" s="6" t="s">
        <v>51690</v>
      </c>
      <c r="Q8319" s="6" t="s">
        <v>51691</v>
      </c>
      <c r="R8319" s="6" t="s">
        <v>64</v>
      </c>
      <c r="S8319" s="8" t="s">
        <v>1549</v>
      </c>
      <c r="T8319" s="6" t="s">
        <v>66</v>
      </c>
      <c r="U8319" s="8" t="s">
        <v>51692</v>
      </c>
      <c r="V8319" s="6" t="s">
        <v>114</v>
      </c>
      <c r="W8319" s="6" t="s">
        <v>51686</v>
      </c>
      <c r="X8319" s="9" t="str">
        <f>HYPERLINK("https://my.pitchbook.com?p=48136-69P","View People Online")</f>
        <v>View People Online</v>
      </c>
    </row>
    <row r="8320">
      <c r="A8320" s="10" t="s">
        <v>51725</v>
      </c>
      <c r="B8320" s="10" t="s">
        <v>51726</v>
      </c>
      <c r="C8320" s="10" t="s">
        <v>8112</v>
      </c>
      <c r="D8320" s="10" t="s">
        <v>23377</v>
      </c>
      <c r="E8320" s="10" t="s">
        <v>51686</v>
      </c>
      <c r="F8320" s="10" t="s">
        <v>270</v>
      </c>
      <c r="G8320" s="10" t="s">
        <v>51727</v>
      </c>
      <c r="H8320" s="11" t="s">
        <v>31</v>
      </c>
      <c r="I8320" s="11">
        <v>1.0</v>
      </c>
      <c r="J8320" s="11">
        <v>1.0</v>
      </c>
      <c r="K8320" s="11" t="s">
        <v>31</v>
      </c>
      <c r="L8320" s="12" t="s">
        <v>51688</v>
      </c>
      <c r="M8320" s="10" t="s">
        <v>51728</v>
      </c>
      <c r="N8320" s="10" t="s">
        <v>155</v>
      </c>
      <c r="O8320" s="12" t="s">
        <v>156</v>
      </c>
      <c r="P8320" s="10" t="s">
        <v>51690</v>
      </c>
      <c r="Q8320" s="10" t="s">
        <v>51691</v>
      </c>
      <c r="R8320" s="10" t="s">
        <v>64</v>
      </c>
      <c r="S8320" s="12" t="s">
        <v>1549</v>
      </c>
      <c r="T8320" s="10" t="s">
        <v>66</v>
      </c>
      <c r="U8320" s="12" t="s">
        <v>51692</v>
      </c>
      <c r="V8320" s="10" t="s">
        <v>440</v>
      </c>
      <c r="W8320" s="10" t="s">
        <v>51686</v>
      </c>
      <c r="X8320" s="13" t="str">
        <f>HYPERLINK("https://my.pitchbook.com?p=410653-18P","View People Online")</f>
        <v>View People Online</v>
      </c>
    </row>
    <row r="8321">
      <c r="A8321" s="6" t="s">
        <v>51729</v>
      </c>
      <c r="B8321" s="6" t="s">
        <v>51730</v>
      </c>
      <c r="C8321" s="6" t="s">
        <v>666</v>
      </c>
      <c r="D8321" s="6" t="s">
        <v>35674</v>
      </c>
      <c r="E8321" s="6" t="s">
        <v>51686</v>
      </c>
      <c r="F8321" s="6" t="s">
        <v>270</v>
      </c>
      <c r="G8321" s="6" t="s">
        <v>51731</v>
      </c>
      <c r="H8321" s="7" t="s">
        <v>31</v>
      </c>
      <c r="I8321" s="7">
        <v>1.0</v>
      </c>
      <c r="J8321" s="7">
        <v>1.0</v>
      </c>
      <c r="K8321" s="7" t="s">
        <v>31</v>
      </c>
      <c r="L8321" s="8" t="s">
        <v>51688</v>
      </c>
      <c r="M8321" s="6" t="s">
        <v>31</v>
      </c>
      <c r="N8321" s="6" t="s">
        <v>155</v>
      </c>
      <c r="O8321" s="8" t="s">
        <v>156</v>
      </c>
      <c r="P8321" s="6" t="s">
        <v>51690</v>
      </c>
      <c r="Q8321" s="6" t="s">
        <v>51691</v>
      </c>
      <c r="R8321" s="6" t="s">
        <v>64</v>
      </c>
      <c r="S8321" s="8" t="s">
        <v>1549</v>
      </c>
      <c r="T8321" s="6" t="s">
        <v>66</v>
      </c>
      <c r="U8321" s="8" t="s">
        <v>51692</v>
      </c>
      <c r="V8321" s="6" t="s">
        <v>440</v>
      </c>
      <c r="W8321" s="6" t="s">
        <v>51686</v>
      </c>
      <c r="X8321" s="9" t="str">
        <f>HYPERLINK("https://my.pitchbook.com?p=410450-14P","View People Online")</f>
        <v>View People Online</v>
      </c>
    </row>
    <row r="8322">
      <c r="A8322" s="2" t="s">
        <v>51732</v>
      </c>
      <c r="B8322" s="2" t="s">
        <v>51733</v>
      </c>
      <c r="C8322" s="2" t="s">
        <v>5113</v>
      </c>
      <c r="D8322" s="2" t="s">
        <v>51734</v>
      </c>
      <c r="E8322" s="2" t="s">
        <v>51686</v>
      </c>
      <c r="F8322" s="2" t="s">
        <v>29</v>
      </c>
      <c r="G8322" s="2" t="s">
        <v>51735</v>
      </c>
      <c r="H8322" s="3" t="s">
        <v>31</v>
      </c>
      <c r="I8322" s="3">
        <v>1.0</v>
      </c>
      <c r="J8322" s="3">
        <v>1.0</v>
      </c>
      <c r="K8322" s="3" t="s">
        <v>31</v>
      </c>
      <c r="L8322" s="4" t="s">
        <v>51736</v>
      </c>
      <c r="M8322" s="2" t="s">
        <v>51737</v>
      </c>
      <c r="N8322" s="2" t="s">
        <v>155</v>
      </c>
      <c r="O8322" s="4" t="s">
        <v>156</v>
      </c>
      <c r="P8322" s="2" t="s">
        <v>51690</v>
      </c>
      <c r="Q8322" s="2" t="s">
        <v>51691</v>
      </c>
      <c r="R8322" s="2" t="s">
        <v>64</v>
      </c>
      <c r="S8322" s="4" t="s">
        <v>1549</v>
      </c>
      <c r="T8322" s="2" t="s">
        <v>66</v>
      </c>
      <c r="U8322" s="4" t="s">
        <v>51738</v>
      </c>
      <c r="V8322" s="2" t="s">
        <v>51739</v>
      </c>
      <c r="W8322" s="2" t="s">
        <v>51686</v>
      </c>
      <c r="X8322" s="5" t="str">
        <f>HYPERLINK("https://my.pitchbook.com?p=22142-89P","View People Online")</f>
        <v>View People Online</v>
      </c>
    </row>
    <row r="8323">
      <c r="A8323" s="14" t="s">
        <v>51740</v>
      </c>
      <c r="B8323" s="14" t="s">
        <v>51741</v>
      </c>
      <c r="C8323" s="14" t="s">
        <v>2283</v>
      </c>
      <c r="D8323" s="14" t="s">
        <v>51742</v>
      </c>
      <c r="E8323" s="14" t="s">
        <v>51686</v>
      </c>
      <c r="F8323" s="14" t="s">
        <v>318</v>
      </c>
      <c r="G8323" s="14" t="s">
        <v>51743</v>
      </c>
      <c r="H8323" s="15" t="s">
        <v>31</v>
      </c>
      <c r="I8323" s="15">
        <v>2.0</v>
      </c>
      <c r="J8323" s="15">
        <v>1.0</v>
      </c>
      <c r="K8323" s="15">
        <v>1.0</v>
      </c>
      <c r="L8323" s="16" t="s">
        <v>51688</v>
      </c>
      <c r="M8323" s="14" t="s">
        <v>51744</v>
      </c>
      <c r="N8323" s="14" t="s">
        <v>155</v>
      </c>
      <c r="O8323" s="16" t="s">
        <v>156</v>
      </c>
      <c r="P8323" s="14" t="s">
        <v>51690</v>
      </c>
      <c r="Q8323" s="14" t="s">
        <v>51691</v>
      </c>
      <c r="R8323" s="14" t="s">
        <v>64</v>
      </c>
      <c r="S8323" s="16" t="s">
        <v>1549</v>
      </c>
      <c r="T8323" s="14" t="s">
        <v>66</v>
      </c>
      <c r="U8323" s="16" t="s">
        <v>51692</v>
      </c>
      <c r="V8323" s="14" t="s">
        <v>318</v>
      </c>
      <c r="W8323" s="14" t="s">
        <v>51686</v>
      </c>
      <c r="X8323" s="17" t="str">
        <f>HYPERLINK("https://my.pitchbook.com?p=217175-50P","View People Online")</f>
        <v>View People Online</v>
      </c>
    </row>
    <row r="8324">
      <c r="A8324" s="10" t="s">
        <v>51745</v>
      </c>
      <c r="B8324" s="10" t="s">
        <v>51746</v>
      </c>
      <c r="C8324" s="10" t="s">
        <v>2288</v>
      </c>
      <c r="D8324" s="10" t="s">
        <v>51747</v>
      </c>
      <c r="E8324" s="10" t="s">
        <v>51686</v>
      </c>
      <c r="F8324" s="10" t="s">
        <v>57</v>
      </c>
      <c r="G8324" s="10" t="s">
        <v>51748</v>
      </c>
      <c r="H8324" s="11">
        <v>2.0</v>
      </c>
      <c r="I8324" s="11">
        <v>10.0</v>
      </c>
      <c r="J8324" s="11">
        <v>1.0</v>
      </c>
      <c r="K8324" s="11">
        <v>5.0</v>
      </c>
      <c r="L8324" s="12" t="s">
        <v>51688</v>
      </c>
      <c r="M8324" s="10" t="s">
        <v>51749</v>
      </c>
      <c r="N8324" s="10" t="s">
        <v>155</v>
      </c>
      <c r="O8324" s="12" t="s">
        <v>156</v>
      </c>
      <c r="P8324" s="10" t="s">
        <v>51690</v>
      </c>
      <c r="Q8324" s="10" t="s">
        <v>51691</v>
      </c>
      <c r="R8324" s="10" t="s">
        <v>64</v>
      </c>
      <c r="S8324" s="12" t="s">
        <v>1549</v>
      </c>
      <c r="T8324" s="10" t="s">
        <v>66</v>
      </c>
      <c r="U8324" s="12" t="s">
        <v>51692</v>
      </c>
      <c r="V8324" s="10" t="s">
        <v>57</v>
      </c>
      <c r="W8324" s="10" t="s">
        <v>51686</v>
      </c>
      <c r="X8324" s="13" t="str">
        <f>HYPERLINK("https://my.pitchbook.com?p=39674-08P","View People Online")</f>
        <v>View People Online</v>
      </c>
    </row>
    <row r="8325">
      <c r="A8325" s="6" t="s">
        <v>51750</v>
      </c>
      <c r="B8325" s="6" t="s">
        <v>51751</v>
      </c>
      <c r="C8325" s="6" t="s">
        <v>126</v>
      </c>
      <c r="D8325" s="6" t="s">
        <v>51752</v>
      </c>
      <c r="E8325" s="6" t="s">
        <v>51686</v>
      </c>
      <c r="F8325" s="6" t="s">
        <v>2731</v>
      </c>
      <c r="G8325" s="6" t="s">
        <v>51753</v>
      </c>
      <c r="H8325" s="7">
        <v>2.0</v>
      </c>
      <c r="I8325" s="7">
        <v>5.0</v>
      </c>
      <c r="J8325" s="7">
        <v>2.0</v>
      </c>
      <c r="K8325" s="7" t="s">
        <v>31</v>
      </c>
      <c r="L8325" s="8" t="s">
        <v>51754</v>
      </c>
      <c r="M8325" s="6" t="s">
        <v>31</v>
      </c>
      <c r="N8325" s="6" t="s">
        <v>51755</v>
      </c>
      <c r="O8325" s="8" t="s">
        <v>51756</v>
      </c>
      <c r="P8325" s="6" t="s">
        <v>51757</v>
      </c>
      <c r="Q8325" s="6" t="s">
        <v>31</v>
      </c>
      <c r="R8325" s="6" t="s">
        <v>75</v>
      </c>
      <c r="S8325" s="8" t="s">
        <v>51758</v>
      </c>
      <c r="T8325" s="6" t="s">
        <v>66</v>
      </c>
      <c r="U8325" s="8" t="s">
        <v>31</v>
      </c>
      <c r="V8325" s="6" t="s">
        <v>51759</v>
      </c>
      <c r="W8325" s="6" t="s">
        <v>51760</v>
      </c>
      <c r="X8325" s="9" t="str">
        <f>HYPERLINK("https://my.pitchbook.com?p=52764-94P","View People Online")</f>
        <v>View People Online</v>
      </c>
    </row>
    <row r="8326">
      <c r="A8326" s="2" t="s">
        <v>51761</v>
      </c>
      <c r="B8326" s="2" t="s">
        <v>51762</v>
      </c>
      <c r="C8326" s="2" t="s">
        <v>9511</v>
      </c>
      <c r="D8326" s="2" t="s">
        <v>14243</v>
      </c>
      <c r="E8326" s="2" t="s">
        <v>51686</v>
      </c>
      <c r="F8326" s="2" t="s">
        <v>25083</v>
      </c>
      <c r="G8326" s="2" t="s">
        <v>51763</v>
      </c>
      <c r="H8326" s="3">
        <v>3.0</v>
      </c>
      <c r="I8326" s="3">
        <v>17.0</v>
      </c>
      <c r="J8326" s="3">
        <v>1.0</v>
      </c>
      <c r="K8326" s="3">
        <v>10.0</v>
      </c>
      <c r="L8326" s="4" t="s">
        <v>51764</v>
      </c>
      <c r="M8326" s="2" t="s">
        <v>51765</v>
      </c>
      <c r="N8326" s="2" t="s">
        <v>155</v>
      </c>
      <c r="O8326" s="4" t="s">
        <v>156</v>
      </c>
      <c r="P8326" s="2" t="s">
        <v>51690</v>
      </c>
      <c r="Q8326" s="2" t="s">
        <v>51691</v>
      </c>
      <c r="R8326" s="2" t="s">
        <v>64</v>
      </c>
      <c r="S8326" s="4" t="s">
        <v>1549</v>
      </c>
      <c r="T8326" s="2" t="s">
        <v>66</v>
      </c>
      <c r="U8326" s="4" t="s">
        <v>51692</v>
      </c>
      <c r="V8326" s="2" t="s">
        <v>51766</v>
      </c>
      <c r="W8326" s="2" t="s">
        <v>51686</v>
      </c>
      <c r="X8326" s="5" t="str">
        <f>HYPERLINK("https://my.pitchbook.com?p=13055-59P","View People Online")</f>
        <v>View People Online</v>
      </c>
    </row>
    <row r="8327">
      <c r="A8327" s="14" t="s">
        <v>51767</v>
      </c>
      <c r="B8327" s="14" t="s">
        <v>51768</v>
      </c>
      <c r="C8327" s="14" t="s">
        <v>536</v>
      </c>
      <c r="D8327" s="14" t="s">
        <v>51769</v>
      </c>
      <c r="E8327" s="14" t="s">
        <v>51686</v>
      </c>
      <c r="F8327" s="14" t="s">
        <v>114</v>
      </c>
      <c r="G8327" s="14" t="s">
        <v>51770</v>
      </c>
      <c r="H8327" s="15">
        <v>2.0</v>
      </c>
      <c r="I8327" s="15">
        <v>38.0</v>
      </c>
      <c r="J8327" s="15">
        <v>2.0</v>
      </c>
      <c r="K8327" s="15">
        <v>30.0</v>
      </c>
      <c r="L8327" s="16" t="s">
        <v>51771</v>
      </c>
      <c r="M8327" s="14" t="s">
        <v>51772</v>
      </c>
      <c r="N8327" s="14" t="s">
        <v>39912</v>
      </c>
      <c r="O8327" s="16" t="s">
        <v>39913</v>
      </c>
      <c r="P8327" s="14" t="s">
        <v>51773</v>
      </c>
      <c r="Q8327" s="14" t="s">
        <v>6654</v>
      </c>
      <c r="R8327" s="14" t="s">
        <v>64</v>
      </c>
      <c r="S8327" s="16" t="s">
        <v>39915</v>
      </c>
      <c r="T8327" s="14" t="s">
        <v>66</v>
      </c>
      <c r="U8327" s="16" t="s">
        <v>31</v>
      </c>
      <c r="V8327" s="14" t="s">
        <v>29</v>
      </c>
      <c r="W8327" s="14" t="s">
        <v>51774</v>
      </c>
      <c r="X8327" s="17" t="str">
        <f>HYPERLINK("https://my.pitchbook.com?p=40365-37P","View People Online")</f>
        <v>View People Online</v>
      </c>
    </row>
    <row r="8328">
      <c r="A8328" s="2" t="s">
        <v>51775</v>
      </c>
      <c r="B8328" s="2" t="s">
        <v>51776</v>
      </c>
      <c r="C8328" s="2" t="s">
        <v>51777</v>
      </c>
      <c r="D8328" s="2" t="s">
        <v>25361</v>
      </c>
      <c r="E8328" s="2" t="s">
        <v>51686</v>
      </c>
      <c r="F8328" s="2" t="s">
        <v>318</v>
      </c>
      <c r="G8328" s="2" t="s">
        <v>51778</v>
      </c>
      <c r="H8328" s="3" t="s">
        <v>31</v>
      </c>
      <c r="I8328" s="3">
        <v>1.0</v>
      </c>
      <c r="J8328" s="3">
        <v>1.0</v>
      </c>
      <c r="K8328" s="3" t="s">
        <v>31</v>
      </c>
      <c r="L8328" s="4" t="s">
        <v>51688</v>
      </c>
      <c r="M8328" s="2" t="s">
        <v>51779</v>
      </c>
      <c r="N8328" s="2" t="s">
        <v>155</v>
      </c>
      <c r="O8328" s="4" t="s">
        <v>156</v>
      </c>
      <c r="P8328" s="2" t="s">
        <v>51690</v>
      </c>
      <c r="Q8328" s="2" t="s">
        <v>51691</v>
      </c>
      <c r="R8328" s="2" t="s">
        <v>64</v>
      </c>
      <c r="S8328" s="4" t="s">
        <v>1549</v>
      </c>
      <c r="T8328" s="2" t="s">
        <v>66</v>
      </c>
      <c r="U8328" s="4" t="s">
        <v>51692</v>
      </c>
      <c r="V8328" s="2" t="s">
        <v>318</v>
      </c>
      <c r="W8328" s="2" t="s">
        <v>51686</v>
      </c>
      <c r="X8328" s="5" t="str">
        <f>HYPERLINK("https://my.pitchbook.com?p=272043-10P","View People Online")</f>
        <v>View People Online</v>
      </c>
    </row>
    <row r="8329">
      <c r="A8329" s="14" t="s">
        <v>51780</v>
      </c>
      <c r="B8329" s="14" t="s">
        <v>51781</v>
      </c>
      <c r="C8329" s="14" t="s">
        <v>6199</v>
      </c>
      <c r="D8329" s="14" t="s">
        <v>5959</v>
      </c>
      <c r="E8329" s="14" t="s">
        <v>51686</v>
      </c>
      <c r="F8329" s="14" t="s">
        <v>114</v>
      </c>
      <c r="G8329" s="14" t="s">
        <v>51782</v>
      </c>
      <c r="H8329" s="15" t="s">
        <v>31</v>
      </c>
      <c r="I8329" s="15">
        <v>1.0</v>
      </c>
      <c r="J8329" s="15">
        <v>1.0</v>
      </c>
      <c r="K8329" s="15" t="s">
        <v>31</v>
      </c>
      <c r="L8329" s="16" t="s">
        <v>51783</v>
      </c>
      <c r="M8329" s="14" t="s">
        <v>31</v>
      </c>
      <c r="N8329" s="14" t="s">
        <v>155</v>
      </c>
      <c r="O8329" s="16" t="s">
        <v>156</v>
      </c>
      <c r="P8329" s="14" t="s">
        <v>51690</v>
      </c>
      <c r="Q8329" s="14" t="s">
        <v>51691</v>
      </c>
      <c r="R8329" s="14" t="s">
        <v>64</v>
      </c>
      <c r="S8329" s="16" t="s">
        <v>1549</v>
      </c>
      <c r="T8329" s="14" t="s">
        <v>66</v>
      </c>
      <c r="U8329" s="16" t="s">
        <v>51692</v>
      </c>
      <c r="V8329" s="14" t="s">
        <v>114</v>
      </c>
      <c r="W8329" s="14" t="s">
        <v>51686</v>
      </c>
      <c r="X8329" s="17" t="str">
        <f>HYPERLINK("https://my.pitchbook.com?p=237149-11P","View People Online")</f>
        <v>View People Online</v>
      </c>
    </row>
    <row r="8330">
      <c r="A8330" s="2" t="s">
        <v>51784</v>
      </c>
      <c r="B8330" s="2" t="s">
        <v>7819</v>
      </c>
      <c r="C8330" s="2" t="s">
        <v>1072</v>
      </c>
      <c r="D8330" s="2" t="s">
        <v>7820</v>
      </c>
      <c r="E8330" s="2" t="s">
        <v>51686</v>
      </c>
      <c r="F8330" s="2" t="s">
        <v>502</v>
      </c>
      <c r="G8330" s="2" t="s">
        <v>51785</v>
      </c>
      <c r="H8330" s="3" t="s">
        <v>31</v>
      </c>
      <c r="I8330" s="3">
        <v>6.0</v>
      </c>
      <c r="J8330" s="3">
        <v>6.0</v>
      </c>
      <c r="K8330" s="3" t="s">
        <v>31</v>
      </c>
      <c r="L8330" s="4" t="s">
        <v>51786</v>
      </c>
      <c r="M8330" s="2" t="s">
        <v>51787</v>
      </c>
      <c r="N8330" s="2" t="s">
        <v>3766</v>
      </c>
      <c r="O8330" s="4" t="s">
        <v>3767</v>
      </c>
      <c r="P8330" s="2" t="s">
        <v>7800</v>
      </c>
      <c r="Q8330" s="2" t="s">
        <v>6654</v>
      </c>
      <c r="R8330" s="2" t="s">
        <v>64</v>
      </c>
      <c r="S8330" s="4" t="s">
        <v>7801</v>
      </c>
      <c r="T8330" s="2" t="s">
        <v>66</v>
      </c>
      <c r="U8330" s="4" t="s">
        <v>31</v>
      </c>
      <c r="V8330" s="2" t="s">
        <v>157</v>
      </c>
      <c r="W8330" s="2" t="s">
        <v>7802</v>
      </c>
      <c r="X8330" s="5" t="str">
        <f>HYPERLINK("https://my.pitchbook.com?p=342813-70P","View People Online")</f>
        <v>View People Online</v>
      </c>
    </row>
    <row r="8331">
      <c r="A8331" s="14" t="s">
        <v>51788</v>
      </c>
      <c r="B8331" s="14" t="s">
        <v>51789</v>
      </c>
      <c r="C8331" s="14" t="s">
        <v>54</v>
      </c>
      <c r="D8331" s="14" t="s">
        <v>2469</v>
      </c>
      <c r="E8331" s="14" t="s">
        <v>51790</v>
      </c>
      <c r="F8331" s="14" t="s">
        <v>29</v>
      </c>
      <c r="G8331" s="14" t="s">
        <v>51791</v>
      </c>
      <c r="H8331" s="15">
        <v>1.0</v>
      </c>
      <c r="I8331" s="15">
        <v>4.0</v>
      </c>
      <c r="J8331" s="15">
        <v>1.0</v>
      </c>
      <c r="K8331" s="15">
        <v>2.0</v>
      </c>
      <c r="L8331" s="16" t="s">
        <v>28845</v>
      </c>
      <c r="M8331" s="14" t="s">
        <v>51792</v>
      </c>
      <c r="N8331" s="14" t="s">
        <v>775</v>
      </c>
      <c r="O8331" s="16" t="s">
        <v>776</v>
      </c>
      <c r="P8331" s="14" t="s">
        <v>34326</v>
      </c>
      <c r="Q8331" s="14" t="s">
        <v>31</v>
      </c>
      <c r="R8331" s="14" t="s">
        <v>64</v>
      </c>
      <c r="S8331" s="16" t="s">
        <v>5635</v>
      </c>
      <c r="T8331" s="14" t="s">
        <v>66</v>
      </c>
      <c r="U8331" s="16" t="s">
        <v>31</v>
      </c>
      <c r="V8331" s="14" t="s">
        <v>29</v>
      </c>
      <c r="W8331" s="14" t="s">
        <v>51790</v>
      </c>
      <c r="X8331" s="17" t="str">
        <f>HYPERLINK("https://my.pitchbook.com?p=240202-81P","View People Online")</f>
        <v>View People Online</v>
      </c>
    </row>
    <row r="8332">
      <c r="A8332" s="2" t="s">
        <v>51793</v>
      </c>
      <c r="B8332" s="2" t="s">
        <v>51794</v>
      </c>
      <c r="C8332" s="2" t="s">
        <v>6326</v>
      </c>
      <c r="D8332" s="2" t="s">
        <v>51795</v>
      </c>
      <c r="E8332" s="2" t="s">
        <v>51790</v>
      </c>
      <c r="F8332" s="2" t="s">
        <v>28669</v>
      </c>
      <c r="G8332" s="2" t="s">
        <v>51796</v>
      </c>
      <c r="H8332" s="3">
        <v>9.0</v>
      </c>
      <c r="I8332" s="3">
        <v>53.0</v>
      </c>
      <c r="J8332" s="3">
        <v>1.0</v>
      </c>
      <c r="K8332" s="3">
        <v>33.0</v>
      </c>
      <c r="L8332" s="4" t="s">
        <v>28845</v>
      </c>
      <c r="M8332" s="2" t="s">
        <v>51797</v>
      </c>
      <c r="N8332" s="2" t="s">
        <v>775</v>
      </c>
      <c r="O8332" s="4" t="s">
        <v>776</v>
      </c>
      <c r="P8332" s="2" t="s">
        <v>34326</v>
      </c>
      <c r="Q8332" s="2" t="s">
        <v>31</v>
      </c>
      <c r="R8332" s="2" t="s">
        <v>64</v>
      </c>
      <c r="S8332" s="4" t="s">
        <v>5635</v>
      </c>
      <c r="T8332" s="2" t="s">
        <v>66</v>
      </c>
      <c r="U8332" s="4" t="s">
        <v>31</v>
      </c>
      <c r="V8332" s="2" t="s">
        <v>28669</v>
      </c>
      <c r="W8332" s="2" t="s">
        <v>51790</v>
      </c>
      <c r="X8332" s="5" t="str">
        <f>HYPERLINK("https://my.pitchbook.com?p=44974-99P","View People Online")</f>
        <v>View People Online</v>
      </c>
    </row>
    <row r="8333">
      <c r="A8333" s="6" t="s">
        <v>51798</v>
      </c>
      <c r="B8333" s="6" t="s">
        <v>51799</v>
      </c>
      <c r="C8333" s="6" t="s">
        <v>69</v>
      </c>
      <c r="D8333" s="6" t="s">
        <v>51800</v>
      </c>
      <c r="E8333" s="6" t="s">
        <v>51790</v>
      </c>
      <c r="F8333" s="6" t="s">
        <v>7390</v>
      </c>
      <c r="G8333" s="6" t="s">
        <v>51801</v>
      </c>
      <c r="H8333" s="7" t="s">
        <v>31</v>
      </c>
      <c r="I8333" s="7">
        <v>1.0</v>
      </c>
      <c r="J8333" s="7">
        <v>1.0</v>
      </c>
      <c r="K8333" s="7" t="s">
        <v>31</v>
      </c>
      <c r="L8333" s="8" t="s">
        <v>28845</v>
      </c>
      <c r="M8333" s="6" t="s">
        <v>51802</v>
      </c>
      <c r="N8333" s="6" t="s">
        <v>775</v>
      </c>
      <c r="O8333" s="8" t="s">
        <v>776</v>
      </c>
      <c r="P8333" s="6" t="s">
        <v>34326</v>
      </c>
      <c r="Q8333" s="6" t="s">
        <v>31</v>
      </c>
      <c r="R8333" s="6" t="s">
        <v>64</v>
      </c>
      <c r="S8333" s="8" t="s">
        <v>5635</v>
      </c>
      <c r="T8333" s="6" t="s">
        <v>66</v>
      </c>
      <c r="U8333" s="8" t="s">
        <v>31</v>
      </c>
      <c r="V8333" s="6" t="s">
        <v>51803</v>
      </c>
      <c r="W8333" s="6" t="s">
        <v>51790</v>
      </c>
      <c r="X8333" s="9" t="str">
        <f>HYPERLINK("https://my.pitchbook.com?p=418495-15P","View People Online")</f>
        <v>View People Online</v>
      </c>
    </row>
    <row r="8334">
      <c r="A8334" s="2" t="s">
        <v>51804</v>
      </c>
      <c r="B8334" s="2" t="s">
        <v>51805</v>
      </c>
      <c r="C8334" s="2" t="s">
        <v>2871</v>
      </c>
      <c r="D8334" s="2" t="s">
        <v>51806</v>
      </c>
      <c r="E8334" s="2" t="s">
        <v>51790</v>
      </c>
      <c r="F8334" s="2" t="s">
        <v>81</v>
      </c>
      <c r="G8334" s="2" t="s">
        <v>51807</v>
      </c>
      <c r="H8334" s="3" t="s">
        <v>31</v>
      </c>
      <c r="I8334" s="3">
        <v>1.0</v>
      </c>
      <c r="J8334" s="3" t="s">
        <v>31</v>
      </c>
      <c r="K8334" s="3" t="s">
        <v>31</v>
      </c>
      <c r="L8334" s="4" t="s">
        <v>28845</v>
      </c>
      <c r="M8334" s="2" t="s">
        <v>31</v>
      </c>
      <c r="N8334" s="2" t="s">
        <v>775</v>
      </c>
      <c r="O8334" s="4" t="s">
        <v>776</v>
      </c>
      <c r="P8334" s="2" t="s">
        <v>34326</v>
      </c>
      <c r="Q8334" s="2" t="s">
        <v>31</v>
      </c>
      <c r="R8334" s="2" t="s">
        <v>64</v>
      </c>
      <c r="S8334" s="4" t="s">
        <v>5635</v>
      </c>
      <c r="T8334" s="2" t="s">
        <v>66</v>
      </c>
      <c r="U8334" s="4" t="s">
        <v>31</v>
      </c>
      <c r="V8334" s="2" t="s">
        <v>81</v>
      </c>
      <c r="W8334" s="2" t="s">
        <v>51790</v>
      </c>
      <c r="X8334" s="5" t="str">
        <f>HYPERLINK("https://my.pitchbook.com?p=377326-63P","View People Online")</f>
        <v>View People Online</v>
      </c>
    </row>
    <row r="8335">
      <c r="A8335" s="6" t="s">
        <v>51808</v>
      </c>
      <c r="B8335" s="6" t="s">
        <v>51809</v>
      </c>
      <c r="C8335" s="6" t="s">
        <v>1471</v>
      </c>
      <c r="D8335" s="6" t="s">
        <v>8429</v>
      </c>
      <c r="E8335" s="6" t="s">
        <v>51790</v>
      </c>
      <c r="F8335" s="6" t="s">
        <v>502</v>
      </c>
      <c r="G8335" s="6" t="s">
        <v>51810</v>
      </c>
      <c r="H8335" s="7" t="s">
        <v>31</v>
      </c>
      <c r="I8335" s="7">
        <v>1.0</v>
      </c>
      <c r="J8335" s="7">
        <v>1.0</v>
      </c>
      <c r="K8335" s="7" t="s">
        <v>31</v>
      </c>
      <c r="L8335" s="8" t="s">
        <v>28845</v>
      </c>
      <c r="M8335" s="6" t="s">
        <v>51811</v>
      </c>
      <c r="N8335" s="6" t="s">
        <v>775</v>
      </c>
      <c r="O8335" s="8" t="s">
        <v>776</v>
      </c>
      <c r="P8335" s="6" t="s">
        <v>34326</v>
      </c>
      <c r="Q8335" s="6" t="s">
        <v>31</v>
      </c>
      <c r="R8335" s="6" t="s">
        <v>64</v>
      </c>
      <c r="S8335" s="8" t="s">
        <v>5635</v>
      </c>
      <c r="T8335" s="6" t="s">
        <v>66</v>
      </c>
      <c r="U8335" s="8" t="s">
        <v>31</v>
      </c>
      <c r="V8335" s="6" t="s">
        <v>502</v>
      </c>
      <c r="W8335" s="6" t="s">
        <v>51790</v>
      </c>
      <c r="X8335" s="9" t="str">
        <f>HYPERLINK("https://my.pitchbook.com?p=199484-11P","View People Online")</f>
        <v>View People Online</v>
      </c>
    </row>
    <row r="8336">
      <c r="A8336" s="2" t="s">
        <v>51812</v>
      </c>
      <c r="B8336" s="2" t="s">
        <v>51813</v>
      </c>
      <c r="C8336" s="2" t="s">
        <v>24775</v>
      </c>
      <c r="D8336" s="2" t="s">
        <v>51814</v>
      </c>
      <c r="E8336" s="2" t="s">
        <v>51790</v>
      </c>
      <c r="F8336" s="2" t="s">
        <v>29</v>
      </c>
      <c r="G8336" s="2" t="s">
        <v>51815</v>
      </c>
      <c r="H8336" s="3" t="s">
        <v>31</v>
      </c>
      <c r="I8336" s="3">
        <v>1.0</v>
      </c>
      <c r="J8336" s="3">
        <v>1.0</v>
      </c>
      <c r="K8336" s="3" t="s">
        <v>31</v>
      </c>
      <c r="L8336" s="4" t="s">
        <v>51816</v>
      </c>
      <c r="M8336" s="2" t="s">
        <v>51817</v>
      </c>
      <c r="N8336" s="2" t="s">
        <v>775</v>
      </c>
      <c r="O8336" s="4" t="s">
        <v>776</v>
      </c>
      <c r="P8336" s="2" t="s">
        <v>34326</v>
      </c>
      <c r="Q8336" s="2" t="s">
        <v>31</v>
      </c>
      <c r="R8336" s="2" t="s">
        <v>64</v>
      </c>
      <c r="S8336" s="4" t="s">
        <v>5635</v>
      </c>
      <c r="T8336" s="2" t="s">
        <v>66</v>
      </c>
      <c r="U8336" s="4" t="s">
        <v>31</v>
      </c>
      <c r="V8336" s="2" t="s">
        <v>51818</v>
      </c>
      <c r="W8336" s="2" t="s">
        <v>51790</v>
      </c>
      <c r="X8336" s="5" t="str">
        <f>HYPERLINK("https://my.pitchbook.com?p=119824-66P","View People Online")</f>
        <v>View People Online</v>
      </c>
    </row>
    <row r="8337">
      <c r="A8337" s="14" t="s">
        <v>51819</v>
      </c>
      <c r="B8337" s="14" t="s">
        <v>51820</v>
      </c>
      <c r="C8337" s="14" t="s">
        <v>51821</v>
      </c>
      <c r="D8337" s="14" t="s">
        <v>1571</v>
      </c>
      <c r="E8337" s="14" t="s">
        <v>51790</v>
      </c>
      <c r="F8337" s="14" t="s">
        <v>43</v>
      </c>
      <c r="G8337" s="14" t="s">
        <v>51822</v>
      </c>
      <c r="H8337" s="15">
        <v>5.0</v>
      </c>
      <c r="I8337" s="15">
        <v>28.0</v>
      </c>
      <c r="J8337" s="15">
        <v>1.0</v>
      </c>
      <c r="K8337" s="15">
        <v>15.0</v>
      </c>
      <c r="L8337" s="16" t="s">
        <v>28845</v>
      </c>
      <c r="M8337" s="14" t="s">
        <v>31</v>
      </c>
      <c r="N8337" s="14" t="s">
        <v>775</v>
      </c>
      <c r="O8337" s="16" t="s">
        <v>776</v>
      </c>
      <c r="P8337" s="14" t="s">
        <v>34326</v>
      </c>
      <c r="Q8337" s="14" t="s">
        <v>31</v>
      </c>
      <c r="R8337" s="14" t="s">
        <v>64</v>
      </c>
      <c r="S8337" s="16" t="s">
        <v>5635</v>
      </c>
      <c r="T8337" s="14" t="s">
        <v>66</v>
      </c>
      <c r="U8337" s="16" t="s">
        <v>31</v>
      </c>
      <c r="V8337" s="14" t="s">
        <v>43</v>
      </c>
      <c r="W8337" s="14" t="s">
        <v>51790</v>
      </c>
      <c r="X8337" s="17" t="str">
        <f>HYPERLINK("https://my.pitchbook.com?p=40792-51P","View People Online")</f>
        <v>View People Online</v>
      </c>
    </row>
    <row r="8338">
      <c r="A8338" s="10" t="s">
        <v>51823</v>
      </c>
      <c r="B8338" s="10" t="s">
        <v>51824</v>
      </c>
      <c r="C8338" s="10" t="s">
        <v>3082</v>
      </c>
      <c r="D8338" s="10" t="s">
        <v>16279</v>
      </c>
      <c r="E8338" s="10" t="s">
        <v>51790</v>
      </c>
      <c r="F8338" s="10" t="s">
        <v>318</v>
      </c>
      <c r="G8338" s="10" t="s">
        <v>51825</v>
      </c>
      <c r="H8338" s="11" t="s">
        <v>31</v>
      </c>
      <c r="I8338" s="11">
        <v>1.0</v>
      </c>
      <c r="J8338" s="11">
        <v>1.0</v>
      </c>
      <c r="K8338" s="11" t="s">
        <v>31</v>
      </c>
      <c r="L8338" s="12" t="s">
        <v>28845</v>
      </c>
      <c r="M8338" s="10" t="s">
        <v>51826</v>
      </c>
      <c r="N8338" s="10" t="s">
        <v>775</v>
      </c>
      <c r="O8338" s="12" t="s">
        <v>776</v>
      </c>
      <c r="P8338" s="10" t="s">
        <v>34326</v>
      </c>
      <c r="Q8338" s="10" t="s">
        <v>31</v>
      </c>
      <c r="R8338" s="10" t="s">
        <v>64</v>
      </c>
      <c r="S8338" s="12" t="s">
        <v>5635</v>
      </c>
      <c r="T8338" s="10" t="s">
        <v>66</v>
      </c>
      <c r="U8338" s="12" t="s">
        <v>31</v>
      </c>
      <c r="V8338" s="10" t="s">
        <v>318</v>
      </c>
      <c r="W8338" s="10" t="s">
        <v>51790</v>
      </c>
      <c r="X8338" s="13" t="str">
        <f>HYPERLINK("https://my.pitchbook.com?p=216681-94P","View People Online")</f>
        <v>View People Online</v>
      </c>
    </row>
    <row r="8339">
      <c r="A8339" s="14" t="s">
        <v>51827</v>
      </c>
      <c r="B8339" s="14" t="s">
        <v>51828</v>
      </c>
      <c r="C8339" s="14" t="s">
        <v>51829</v>
      </c>
      <c r="D8339" s="14" t="s">
        <v>51830</v>
      </c>
      <c r="E8339" s="14" t="s">
        <v>51790</v>
      </c>
      <c r="F8339" s="14" t="s">
        <v>78</v>
      </c>
      <c r="G8339" s="14" t="s">
        <v>51831</v>
      </c>
      <c r="H8339" s="15" t="s">
        <v>31</v>
      </c>
      <c r="I8339" s="15">
        <v>2.0</v>
      </c>
      <c r="J8339" s="15">
        <v>1.0</v>
      </c>
      <c r="K8339" s="15" t="s">
        <v>31</v>
      </c>
      <c r="L8339" s="16" t="s">
        <v>51832</v>
      </c>
      <c r="M8339" s="14" t="s">
        <v>51833</v>
      </c>
      <c r="N8339" s="14" t="s">
        <v>775</v>
      </c>
      <c r="O8339" s="16" t="s">
        <v>776</v>
      </c>
      <c r="P8339" s="14" t="s">
        <v>34326</v>
      </c>
      <c r="Q8339" s="14" t="s">
        <v>31</v>
      </c>
      <c r="R8339" s="14" t="s">
        <v>64</v>
      </c>
      <c r="S8339" s="16" t="s">
        <v>5635</v>
      </c>
      <c r="T8339" s="14" t="s">
        <v>66</v>
      </c>
      <c r="U8339" s="16" t="s">
        <v>31</v>
      </c>
      <c r="V8339" s="14" t="s">
        <v>78</v>
      </c>
      <c r="W8339" s="14" t="s">
        <v>51790</v>
      </c>
      <c r="X8339" s="17" t="str">
        <f>HYPERLINK("https://my.pitchbook.com?p=171107-56P","View People Online")</f>
        <v>View People Online</v>
      </c>
    </row>
    <row r="8340">
      <c r="A8340" s="10" t="s">
        <v>51834</v>
      </c>
      <c r="B8340" s="10" t="s">
        <v>51835</v>
      </c>
      <c r="C8340" s="10" t="s">
        <v>24603</v>
      </c>
      <c r="D8340" s="10" t="s">
        <v>51836</v>
      </c>
      <c r="E8340" s="10" t="s">
        <v>51790</v>
      </c>
      <c r="F8340" s="10" t="s">
        <v>51837</v>
      </c>
      <c r="G8340" s="10" t="s">
        <v>51838</v>
      </c>
      <c r="H8340" s="11">
        <v>3.0</v>
      </c>
      <c r="I8340" s="11">
        <v>15.0</v>
      </c>
      <c r="J8340" s="11">
        <v>1.0</v>
      </c>
      <c r="K8340" s="11">
        <v>9.0</v>
      </c>
      <c r="L8340" s="12" t="s">
        <v>28845</v>
      </c>
      <c r="M8340" s="10" t="s">
        <v>51839</v>
      </c>
      <c r="N8340" s="10" t="s">
        <v>775</v>
      </c>
      <c r="O8340" s="12" t="s">
        <v>776</v>
      </c>
      <c r="P8340" s="10" t="s">
        <v>34326</v>
      </c>
      <c r="Q8340" s="10" t="s">
        <v>31</v>
      </c>
      <c r="R8340" s="10" t="s">
        <v>64</v>
      </c>
      <c r="S8340" s="12" t="s">
        <v>5635</v>
      </c>
      <c r="T8340" s="10" t="s">
        <v>66</v>
      </c>
      <c r="U8340" s="12" t="s">
        <v>31</v>
      </c>
      <c r="V8340" s="10" t="s">
        <v>51840</v>
      </c>
      <c r="W8340" s="10" t="s">
        <v>51790</v>
      </c>
      <c r="X8340" s="13" t="str">
        <f>HYPERLINK("https://my.pitchbook.com?p=31370-23P","View People Online")</f>
        <v>View People Online</v>
      </c>
    </row>
    <row r="8341">
      <c r="A8341" s="14" t="s">
        <v>51841</v>
      </c>
      <c r="B8341" s="14" t="s">
        <v>51842</v>
      </c>
      <c r="C8341" s="14" t="s">
        <v>160</v>
      </c>
      <c r="D8341" s="14" t="s">
        <v>51843</v>
      </c>
      <c r="E8341" s="14" t="s">
        <v>51790</v>
      </c>
      <c r="F8341" s="14" t="s">
        <v>31376</v>
      </c>
      <c r="G8341" s="14" t="s">
        <v>51844</v>
      </c>
      <c r="H8341" s="15">
        <v>3.0</v>
      </c>
      <c r="I8341" s="15">
        <v>21.0</v>
      </c>
      <c r="J8341" s="15">
        <v>1.0</v>
      </c>
      <c r="K8341" s="15">
        <v>14.0</v>
      </c>
      <c r="L8341" s="16" t="s">
        <v>28845</v>
      </c>
      <c r="M8341" s="14" t="s">
        <v>51845</v>
      </c>
      <c r="N8341" s="14" t="s">
        <v>775</v>
      </c>
      <c r="O8341" s="16" t="s">
        <v>776</v>
      </c>
      <c r="P8341" s="14" t="s">
        <v>34326</v>
      </c>
      <c r="Q8341" s="14" t="s">
        <v>31</v>
      </c>
      <c r="R8341" s="14" t="s">
        <v>64</v>
      </c>
      <c r="S8341" s="16" t="s">
        <v>5635</v>
      </c>
      <c r="T8341" s="14" t="s">
        <v>66</v>
      </c>
      <c r="U8341" s="16" t="s">
        <v>31</v>
      </c>
      <c r="V8341" s="14" t="s">
        <v>31379</v>
      </c>
      <c r="W8341" s="14" t="s">
        <v>51790</v>
      </c>
      <c r="X8341" s="17" t="str">
        <f>HYPERLINK("https://my.pitchbook.com?p=134040-97P","View People Online")</f>
        <v>View People Online</v>
      </c>
    </row>
    <row r="8342">
      <c r="A8342" s="2" t="s">
        <v>51846</v>
      </c>
      <c r="B8342" s="2" t="s">
        <v>51847</v>
      </c>
      <c r="C8342" s="2" t="s">
        <v>167</v>
      </c>
      <c r="D8342" s="2" t="s">
        <v>51848</v>
      </c>
      <c r="E8342" s="2" t="s">
        <v>51790</v>
      </c>
      <c r="F8342" s="2" t="s">
        <v>43</v>
      </c>
      <c r="G8342" s="2" t="s">
        <v>51849</v>
      </c>
      <c r="H8342" s="3">
        <v>4.0</v>
      </c>
      <c r="I8342" s="3">
        <v>23.0</v>
      </c>
      <c r="J8342" s="3">
        <v>3.0</v>
      </c>
      <c r="K8342" s="3">
        <v>16.0</v>
      </c>
      <c r="L8342" s="4" t="s">
        <v>28845</v>
      </c>
      <c r="M8342" s="2" t="s">
        <v>31</v>
      </c>
      <c r="N8342" s="2" t="s">
        <v>775</v>
      </c>
      <c r="O8342" s="4" t="s">
        <v>776</v>
      </c>
      <c r="P8342" s="2" t="s">
        <v>34326</v>
      </c>
      <c r="Q8342" s="2" t="s">
        <v>31</v>
      </c>
      <c r="R8342" s="2" t="s">
        <v>64</v>
      </c>
      <c r="S8342" s="4" t="s">
        <v>5635</v>
      </c>
      <c r="T8342" s="2" t="s">
        <v>66</v>
      </c>
      <c r="U8342" s="4" t="s">
        <v>31</v>
      </c>
      <c r="V8342" s="2" t="s">
        <v>43</v>
      </c>
      <c r="W8342" s="2" t="s">
        <v>51790</v>
      </c>
      <c r="X8342" s="5" t="str">
        <f>HYPERLINK("https://my.pitchbook.com?p=35305-48P","View People Online")</f>
        <v>View People Online</v>
      </c>
    </row>
    <row r="8343">
      <c r="A8343" s="6" t="s">
        <v>51850</v>
      </c>
      <c r="B8343" s="6" t="s">
        <v>51851</v>
      </c>
      <c r="C8343" s="6" t="s">
        <v>2388</v>
      </c>
      <c r="D8343" s="6" t="s">
        <v>1994</v>
      </c>
      <c r="E8343" s="6" t="s">
        <v>51790</v>
      </c>
      <c r="F8343" s="6" t="s">
        <v>86</v>
      </c>
      <c r="G8343" s="6" t="s">
        <v>51852</v>
      </c>
      <c r="H8343" s="7">
        <v>6.0</v>
      </c>
      <c r="I8343" s="7">
        <v>38.0</v>
      </c>
      <c r="J8343" s="7">
        <v>1.0</v>
      </c>
      <c r="K8343" s="7">
        <v>23.0</v>
      </c>
      <c r="L8343" s="8" t="s">
        <v>28845</v>
      </c>
      <c r="M8343" s="6" t="s">
        <v>51853</v>
      </c>
      <c r="N8343" s="6" t="s">
        <v>775</v>
      </c>
      <c r="O8343" s="8" t="s">
        <v>776</v>
      </c>
      <c r="P8343" s="6" t="s">
        <v>34326</v>
      </c>
      <c r="Q8343" s="6" t="s">
        <v>31</v>
      </c>
      <c r="R8343" s="6" t="s">
        <v>64</v>
      </c>
      <c r="S8343" s="8" t="s">
        <v>5635</v>
      </c>
      <c r="T8343" s="6" t="s">
        <v>66</v>
      </c>
      <c r="U8343" s="8" t="s">
        <v>31</v>
      </c>
      <c r="V8343" s="6" t="s">
        <v>95</v>
      </c>
      <c r="W8343" s="6" t="s">
        <v>51790</v>
      </c>
      <c r="X8343" s="9" t="str">
        <f>HYPERLINK("https://my.pitchbook.com?p=61706-44P","View People Online")</f>
        <v>View People Online</v>
      </c>
    </row>
    <row r="8344">
      <c r="A8344" s="10" t="s">
        <v>51854</v>
      </c>
      <c r="B8344" s="10" t="s">
        <v>51855</v>
      </c>
      <c r="C8344" s="10" t="s">
        <v>1671</v>
      </c>
      <c r="D8344" s="10" t="s">
        <v>51856</v>
      </c>
      <c r="E8344" s="10" t="s">
        <v>51790</v>
      </c>
      <c r="F8344" s="10" t="s">
        <v>81</v>
      </c>
      <c r="G8344" s="10" t="s">
        <v>51857</v>
      </c>
      <c r="H8344" s="11">
        <v>3.0</v>
      </c>
      <c r="I8344" s="11">
        <v>14.0</v>
      </c>
      <c r="J8344" s="11">
        <v>1.0</v>
      </c>
      <c r="K8344" s="11">
        <v>7.0</v>
      </c>
      <c r="L8344" s="12" t="s">
        <v>51858</v>
      </c>
      <c r="M8344" s="10" t="s">
        <v>51859</v>
      </c>
      <c r="N8344" s="10" t="s">
        <v>155</v>
      </c>
      <c r="O8344" s="12" t="s">
        <v>156</v>
      </c>
      <c r="P8344" s="10" t="s">
        <v>51860</v>
      </c>
      <c r="Q8344" s="10" t="s">
        <v>6654</v>
      </c>
      <c r="R8344" s="10" t="s">
        <v>64</v>
      </c>
      <c r="S8344" s="12" t="s">
        <v>24247</v>
      </c>
      <c r="T8344" s="10" t="s">
        <v>66</v>
      </c>
      <c r="U8344" s="12" t="s">
        <v>31</v>
      </c>
      <c r="V8344" s="10" t="s">
        <v>3930</v>
      </c>
      <c r="W8344" s="10" t="s">
        <v>51861</v>
      </c>
      <c r="X8344" s="13" t="str">
        <f>HYPERLINK("https://my.pitchbook.com?p=41573-71P","View People Online")</f>
        <v>View People Online</v>
      </c>
    </row>
    <row r="8345">
      <c r="A8345" s="6" t="s">
        <v>51862</v>
      </c>
      <c r="B8345" s="6" t="s">
        <v>51863</v>
      </c>
      <c r="C8345" s="6" t="s">
        <v>388</v>
      </c>
      <c r="D8345" s="6" t="s">
        <v>51864</v>
      </c>
      <c r="E8345" s="6" t="s">
        <v>51790</v>
      </c>
      <c r="F8345" s="6" t="s">
        <v>201</v>
      </c>
      <c r="G8345" s="6" t="s">
        <v>51865</v>
      </c>
      <c r="H8345" s="7" t="s">
        <v>31</v>
      </c>
      <c r="I8345" s="7">
        <v>1.0</v>
      </c>
      <c r="J8345" s="7">
        <v>1.0</v>
      </c>
      <c r="K8345" s="7" t="s">
        <v>31</v>
      </c>
      <c r="L8345" s="8" t="s">
        <v>28845</v>
      </c>
      <c r="M8345" s="6" t="s">
        <v>51866</v>
      </c>
      <c r="N8345" s="6" t="s">
        <v>775</v>
      </c>
      <c r="O8345" s="8" t="s">
        <v>776</v>
      </c>
      <c r="P8345" s="6" t="s">
        <v>34326</v>
      </c>
      <c r="Q8345" s="6" t="s">
        <v>31</v>
      </c>
      <c r="R8345" s="6" t="s">
        <v>64</v>
      </c>
      <c r="S8345" s="8" t="s">
        <v>5635</v>
      </c>
      <c r="T8345" s="6" t="s">
        <v>66</v>
      </c>
      <c r="U8345" s="8" t="s">
        <v>31</v>
      </c>
      <c r="V8345" s="6" t="s">
        <v>201</v>
      </c>
      <c r="W8345" s="6" t="s">
        <v>51790</v>
      </c>
      <c r="X8345" s="9" t="str">
        <f>HYPERLINK("https://my.pitchbook.com?p=377327-98P","View People Online")</f>
        <v>View People Online</v>
      </c>
    </row>
    <row r="8346">
      <c r="A8346" s="10" t="s">
        <v>51867</v>
      </c>
      <c r="B8346" s="10" t="s">
        <v>51868</v>
      </c>
      <c r="C8346" s="10" t="s">
        <v>395</v>
      </c>
      <c r="D8346" s="10" t="s">
        <v>51869</v>
      </c>
      <c r="E8346" s="10" t="s">
        <v>51790</v>
      </c>
      <c r="F8346" s="10" t="s">
        <v>114</v>
      </c>
      <c r="G8346" s="10" t="s">
        <v>51870</v>
      </c>
      <c r="H8346" s="11">
        <v>2.0</v>
      </c>
      <c r="I8346" s="11">
        <v>4.0</v>
      </c>
      <c r="J8346" s="11">
        <v>1.0</v>
      </c>
      <c r="K8346" s="11">
        <v>1.0</v>
      </c>
      <c r="L8346" s="12" t="s">
        <v>28845</v>
      </c>
      <c r="M8346" s="10" t="s">
        <v>51871</v>
      </c>
      <c r="N8346" s="10" t="s">
        <v>775</v>
      </c>
      <c r="O8346" s="12" t="s">
        <v>776</v>
      </c>
      <c r="P8346" s="10" t="s">
        <v>34326</v>
      </c>
      <c r="Q8346" s="10" t="s">
        <v>31</v>
      </c>
      <c r="R8346" s="10" t="s">
        <v>64</v>
      </c>
      <c r="S8346" s="12" t="s">
        <v>5635</v>
      </c>
      <c r="T8346" s="10" t="s">
        <v>66</v>
      </c>
      <c r="U8346" s="12" t="s">
        <v>31</v>
      </c>
      <c r="V8346" s="10" t="s">
        <v>2379</v>
      </c>
      <c r="W8346" s="10" t="s">
        <v>51872</v>
      </c>
      <c r="X8346" s="13" t="str">
        <f>HYPERLINK("https://my.pitchbook.com?p=94277-98P","View People Online")</f>
        <v>View People Online</v>
      </c>
    </row>
    <row r="8347">
      <c r="A8347" s="6" t="s">
        <v>51873</v>
      </c>
      <c r="B8347" s="6" t="s">
        <v>51874</v>
      </c>
      <c r="C8347" s="6" t="s">
        <v>1388</v>
      </c>
      <c r="D8347" s="6" t="s">
        <v>51875</v>
      </c>
      <c r="E8347" s="6" t="s">
        <v>51790</v>
      </c>
      <c r="F8347" s="6" t="s">
        <v>548</v>
      </c>
      <c r="G8347" s="6" t="s">
        <v>51876</v>
      </c>
      <c r="H8347" s="7" t="s">
        <v>31</v>
      </c>
      <c r="I8347" s="7">
        <v>1.0</v>
      </c>
      <c r="J8347" s="7">
        <v>1.0</v>
      </c>
      <c r="K8347" s="7" t="s">
        <v>31</v>
      </c>
      <c r="L8347" s="8" t="s">
        <v>28845</v>
      </c>
      <c r="M8347" s="6" t="s">
        <v>51877</v>
      </c>
      <c r="N8347" s="6" t="s">
        <v>775</v>
      </c>
      <c r="O8347" s="8" t="s">
        <v>776</v>
      </c>
      <c r="P8347" s="6" t="s">
        <v>34326</v>
      </c>
      <c r="Q8347" s="6" t="s">
        <v>31</v>
      </c>
      <c r="R8347" s="6" t="s">
        <v>64</v>
      </c>
      <c r="S8347" s="8" t="s">
        <v>5635</v>
      </c>
      <c r="T8347" s="6" t="s">
        <v>66</v>
      </c>
      <c r="U8347" s="8" t="s">
        <v>31</v>
      </c>
      <c r="V8347" s="6" t="s">
        <v>760</v>
      </c>
      <c r="W8347" s="6" t="s">
        <v>51790</v>
      </c>
      <c r="X8347" s="9" t="str">
        <f>HYPERLINK("https://my.pitchbook.com?p=418470-58P","View People Online")</f>
        <v>View People Online</v>
      </c>
    </row>
    <row r="8348">
      <c r="A8348" s="10" t="s">
        <v>51878</v>
      </c>
      <c r="B8348" s="10" t="s">
        <v>51879</v>
      </c>
      <c r="C8348" s="10" t="s">
        <v>9581</v>
      </c>
      <c r="D8348" s="10" t="s">
        <v>51880</v>
      </c>
      <c r="E8348" s="10" t="s">
        <v>51790</v>
      </c>
      <c r="F8348" s="10" t="s">
        <v>114</v>
      </c>
      <c r="G8348" s="10" t="s">
        <v>51881</v>
      </c>
      <c r="H8348" s="11">
        <v>2.0</v>
      </c>
      <c r="I8348" s="11">
        <v>10.0</v>
      </c>
      <c r="J8348" s="11">
        <v>1.0</v>
      </c>
      <c r="K8348" s="11">
        <v>4.0</v>
      </c>
      <c r="L8348" s="12" t="s">
        <v>28845</v>
      </c>
      <c r="M8348" s="10" t="s">
        <v>31</v>
      </c>
      <c r="N8348" s="10" t="s">
        <v>775</v>
      </c>
      <c r="O8348" s="12" t="s">
        <v>776</v>
      </c>
      <c r="P8348" s="10" t="s">
        <v>34326</v>
      </c>
      <c r="Q8348" s="10" t="s">
        <v>31</v>
      </c>
      <c r="R8348" s="10" t="s">
        <v>64</v>
      </c>
      <c r="S8348" s="12" t="s">
        <v>5635</v>
      </c>
      <c r="T8348" s="10" t="s">
        <v>66</v>
      </c>
      <c r="U8348" s="12" t="s">
        <v>31</v>
      </c>
      <c r="V8348" s="10" t="s">
        <v>114</v>
      </c>
      <c r="W8348" s="10" t="s">
        <v>51790</v>
      </c>
      <c r="X8348" s="13" t="str">
        <f>HYPERLINK("https://my.pitchbook.com?p=216682-30P","View People Online")</f>
        <v>View People Online</v>
      </c>
    </row>
    <row r="8349">
      <c r="A8349" s="6" t="s">
        <v>51882</v>
      </c>
      <c r="B8349" s="6" t="s">
        <v>51883</v>
      </c>
      <c r="C8349" s="6" t="s">
        <v>7262</v>
      </c>
      <c r="D8349" s="6" t="s">
        <v>51884</v>
      </c>
      <c r="E8349" s="6" t="s">
        <v>51790</v>
      </c>
      <c r="F8349" s="6" t="s">
        <v>81</v>
      </c>
      <c r="G8349" s="6" t="s">
        <v>51885</v>
      </c>
      <c r="H8349" s="7" t="s">
        <v>31</v>
      </c>
      <c r="I8349" s="7">
        <v>1.0</v>
      </c>
      <c r="J8349" s="7" t="s">
        <v>31</v>
      </c>
      <c r="K8349" s="7" t="s">
        <v>31</v>
      </c>
      <c r="L8349" s="8" t="s">
        <v>28845</v>
      </c>
      <c r="M8349" s="6" t="s">
        <v>51886</v>
      </c>
      <c r="N8349" s="6" t="s">
        <v>775</v>
      </c>
      <c r="O8349" s="8" t="s">
        <v>776</v>
      </c>
      <c r="P8349" s="6" t="s">
        <v>34326</v>
      </c>
      <c r="Q8349" s="6" t="s">
        <v>31</v>
      </c>
      <c r="R8349" s="6" t="s">
        <v>64</v>
      </c>
      <c r="S8349" s="8" t="s">
        <v>5635</v>
      </c>
      <c r="T8349" s="6" t="s">
        <v>66</v>
      </c>
      <c r="U8349" s="8" t="s">
        <v>31</v>
      </c>
      <c r="V8349" s="6" t="s">
        <v>81</v>
      </c>
      <c r="W8349" s="6" t="s">
        <v>51790</v>
      </c>
      <c r="X8349" s="9" t="str">
        <f>HYPERLINK("https://my.pitchbook.com?p=339472-81P","View People Online")</f>
        <v>View People Online</v>
      </c>
    </row>
    <row r="8350">
      <c r="A8350" s="2" t="s">
        <v>51887</v>
      </c>
      <c r="B8350" s="2" t="s">
        <v>51888</v>
      </c>
      <c r="C8350" s="2" t="s">
        <v>69</v>
      </c>
      <c r="D8350" s="2" t="s">
        <v>51889</v>
      </c>
      <c r="E8350" s="2" t="s">
        <v>51890</v>
      </c>
      <c r="F8350" s="2" t="s">
        <v>674</v>
      </c>
      <c r="G8350" s="2" t="s">
        <v>51891</v>
      </c>
      <c r="H8350" s="3">
        <v>2.0</v>
      </c>
      <c r="I8350" s="3">
        <v>13.0</v>
      </c>
      <c r="J8350" s="3">
        <v>3.0</v>
      </c>
      <c r="K8350" s="3">
        <v>8.0</v>
      </c>
      <c r="L8350" s="4" t="s">
        <v>31</v>
      </c>
      <c r="M8350" s="2" t="s">
        <v>51892</v>
      </c>
      <c r="N8350" s="2" t="s">
        <v>51893</v>
      </c>
      <c r="O8350" s="4" t="s">
        <v>51894</v>
      </c>
      <c r="P8350" s="2" t="s">
        <v>31</v>
      </c>
      <c r="Q8350" s="2" t="s">
        <v>31</v>
      </c>
      <c r="R8350" s="2" t="s">
        <v>51895</v>
      </c>
      <c r="S8350" s="4" t="s">
        <v>31</v>
      </c>
      <c r="T8350" s="2" t="s">
        <v>66</v>
      </c>
      <c r="U8350" s="4" t="s">
        <v>31</v>
      </c>
      <c r="V8350" s="2" t="s">
        <v>674</v>
      </c>
      <c r="W8350" s="2" t="s">
        <v>51890</v>
      </c>
      <c r="X8350" s="5" t="str">
        <f>HYPERLINK("https://my.pitchbook.com?p=38305-45P","View People Online")</f>
        <v>View People Online</v>
      </c>
    </row>
    <row r="8351">
      <c r="A8351" s="6" t="s">
        <v>51896</v>
      </c>
      <c r="B8351" s="6" t="s">
        <v>51897</v>
      </c>
      <c r="C8351" s="6" t="s">
        <v>1103</v>
      </c>
      <c r="D8351" s="6" t="s">
        <v>48888</v>
      </c>
      <c r="E8351" s="6" t="s">
        <v>51898</v>
      </c>
      <c r="F8351" s="6" t="s">
        <v>221</v>
      </c>
      <c r="G8351" s="6" t="s">
        <v>51899</v>
      </c>
      <c r="H8351" s="7" t="s">
        <v>31</v>
      </c>
      <c r="I8351" s="7">
        <v>1.0</v>
      </c>
      <c r="J8351" s="7">
        <v>1.0</v>
      </c>
      <c r="K8351" s="7" t="s">
        <v>31</v>
      </c>
      <c r="L8351" s="8" t="s">
        <v>31</v>
      </c>
      <c r="M8351" s="6" t="s">
        <v>51900</v>
      </c>
      <c r="N8351" s="6" t="s">
        <v>75</v>
      </c>
      <c r="O8351" s="8" t="s">
        <v>76</v>
      </c>
      <c r="P8351" s="6" t="s">
        <v>31</v>
      </c>
      <c r="Q8351" s="6" t="s">
        <v>31</v>
      </c>
      <c r="R8351" s="6" t="s">
        <v>75</v>
      </c>
      <c r="S8351" s="8" t="s">
        <v>31</v>
      </c>
      <c r="T8351" s="6" t="s">
        <v>66</v>
      </c>
      <c r="U8351" s="8" t="s">
        <v>31</v>
      </c>
      <c r="V8351" s="6" t="s">
        <v>221</v>
      </c>
      <c r="W8351" s="6" t="s">
        <v>51898</v>
      </c>
      <c r="X8351" s="9" t="str">
        <f>HYPERLINK("https://my.pitchbook.com?p=451557-91P","View People Online")</f>
        <v>View People Online</v>
      </c>
    </row>
    <row r="8352">
      <c r="A8352" s="2" t="s">
        <v>51901</v>
      </c>
      <c r="B8352" s="2" t="s">
        <v>51902</v>
      </c>
      <c r="C8352" s="2" t="s">
        <v>51903</v>
      </c>
      <c r="D8352" s="2" t="s">
        <v>51904</v>
      </c>
      <c r="E8352" s="2" t="s">
        <v>51898</v>
      </c>
      <c r="F8352" s="2" t="s">
        <v>318</v>
      </c>
      <c r="G8352" s="2" t="s">
        <v>51905</v>
      </c>
      <c r="H8352" s="3" t="s">
        <v>31</v>
      </c>
      <c r="I8352" s="3">
        <v>2.0</v>
      </c>
      <c r="J8352" s="3">
        <v>1.0</v>
      </c>
      <c r="K8352" s="3">
        <v>1.0</v>
      </c>
      <c r="L8352" s="4" t="s">
        <v>51906</v>
      </c>
      <c r="M8352" s="2" t="s">
        <v>51907</v>
      </c>
      <c r="N8352" s="2" t="s">
        <v>75</v>
      </c>
      <c r="O8352" s="4" t="s">
        <v>76</v>
      </c>
      <c r="P8352" s="2" t="s">
        <v>31</v>
      </c>
      <c r="Q8352" s="2" t="s">
        <v>31</v>
      </c>
      <c r="R8352" s="2" t="s">
        <v>75</v>
      </c>
      <c r="S8352" s="4" t="s">
        <v>31</v>
      </c>
      <c r="T8352" s="2" t="s">
        <v>66</v>
      </c>
      <c r="U8352" s="4" t="s">
        <v>31</v>
      </c>
      <c r="V8352" s="2" t="s">
        <v>318</v>
      </c>
      <c r="W8352" s="2" t="s">
        <v>51898</v>
      </c>
      <c r="X8352" s="5" t="str">
        <f>HYPERLINK("https://my.pitchbook.com?p=345385-63P","View People Online")</f>
        <v>View People Online</v>
      </c>
    </row>
    <row r="8353">
      <c r="A8353" s="6" t="s">
        <v>51908</v>
      </c>
      <c r="B8353" s="6" t="s">
        <v>51909</v>
      </c>
      <c r="C8353" s="6" t="s">
        <v>51910</v>
      </c>
      <c r="D8353" s="6" t="s">
        <v>37359</v>
      </c>
      <c r="E8353" s="6" t="s">
        <v>51898</v>
      </c>
      <c r="F8353" s="6" t="s">
        <v>1730</v>
      </c>
      <c r="G8353" s="6" t="s">
        <v>51911</v>
      </c>
      <c r="H8353" s="7">
        <v>2.0</v>
      </c>
      <c r="I8353" s="7">
        <v>10.0</v>
      </c>
      <c r="J8353" s="7">
        <v>1.0</v>
      </c>
      <c r="K8353" s="7">
        <v>4.0</v>
      </c>
      <c r="L8353" s="8" t="s">
        <v>51912</v>
      </c>
      <c r="M8353" s="6" t="s">
        <v>31</v>
      </c>
      <c r="N8353" s="6" t="s">
        <v>75</v>
      </c>
      <c r="O8353" s="8" t="s">
        <v>76</v>
      </c>
      <c r="P8353" s="6" t="s">
        <v>31</v>
      </c>
      <c r="Q8353" s="6" t="s">
        <v>31</v>
      </c>
      <c r="R8353" s="6" t="s">
        <v>75</v>
      </c>
      <c r="S8353" s="8" t="s">
        <v>31</v>
      </c>
      <c r="T8353" s="6" t="s">
        <v>66</v>
      </c>
      <c r="U8353" s="8" t="s">
        <v>31</v>
      </c>
      <c r="V8353" s="6" t="s">
        <v>51913</v>
      </c>
      <c r="W8353" s="6" t="s">
        <v>51898</v>
      </c>
      <c r="X8353" s="9" t="str">
        <f>HYPERLINK("https://my.pitchbook.com?p=225100-27P","View People Online")</f>
        <v>View People Online</v>
      </c>
    </row>
    <row r="8354">
      <c r="A8354" s="10" t="s">
        <v>51914</v>
      </c>
      <c r="B8354" s="10" t="s">
        <v>51915</v>
      </c>
      <c r="C8354" s="10" t="s">
        <v>562</v>
      </c>
      <c r="D8354" s="10" t="s">
        <v>37359</v>
      </c>
      <c r="E8354" s="10" t="s">
        <v>51898</v>
      </c>
      <c r="F8354" s="10" t="s">
        <v>1730</v>
      </c>
      <c r="G8354" s="10" t="s">
        <v>51916</v>
      </c>
      <c r="H8354" s="11">
        <v>1.0</v>
      </c>
      <c r="I8354" s="11">
        <v>19.0</v>
      </c>
      <c r="J8354" s="11">
        <v>4.0</v>
      </c>
      <c r="K8354" s="11">
        <v>13.0</v>
      </c>
      <c r="L8354" s="12" t="s">
        <v>31</v>
      </c>
      <c r="M8354" s="10" t="s">
        <v>51917</v>
      </c>
      <c r="N8354" s="10" t="s">
        <v>75</v>
      </c>
      <c r="O8354" s="12" t="s">
        <v>76</v>
      </c>
      <c r="P8354" s="10" t="s">
        <v>31</v>
      </c>
      <c r="Q8354" s="10" t="s">
        <v>31</v>
      </c>
      <c r="R8354" s="10" t="s">
        <v>75</v>
      </c>
      <c r="S8354" s="12" t="s">
        <v>31</v>
      </c>
      <c r="T8354" s="10" t="s">
        <v>66</v>
      </c>
      <c r="U8354" s="12" t="s">
        <v>31</v>
      </c>
      <c r="V8354" s="10" t="s">
        <v>51913</v>
      </c>
      <c r="W8354" s="10" t="s">
        <v>51898</v>
      </c>
      <c r="X8354" s="13" t="str">
        <f>HYPERLINK("https://my.pitchbook.com?p=15075-28P","View People Online")</f>
        <v>View People Online</v>
      </c>
    </row>
    <row r="8355">
      <c r="A8355" s="6" t="s">
        <v>51918</v>
      </c>
      <c r="B8355" s="6" t="s">
        <v>51919</v>
      </c>
      <c r="C8355" s="6" t="s">
        <v>13913</v>
      </c>
      <c r="D8355" s="6" t="s">
        <v>51920</v>
      </c>
      <c r="E8355" s="6" t="s">
        <v>51921</v>
      </c>
      <c r="F8355" s="6" t="s">
        <v>114</v>
      </c>
      <c r="G8355" s="6" t="s">
        <v>51922</v>
      </c>
      <c r="H8355" s="7">
        <v>1.0</v>
      </c>
      <c r="I8355" s="7">
        <v>6.0</v>
      </c>
      <c r="J8355" s="7">
        <v>1.0</v>
      </c>
      <c r="K8355" s="7">
        <v>2.0</v>
      </c>
      <c r="L8355" s="8" t="s">
        <v>51923</v>
      </c>
      <c r="M8355" s="6" t="s">
        <v>51924</v>
      </c>
      <c r="N8355" s="6" t="s">
        <v>3766</v>
      </c>
      <c r="O8355" s="8" t="s">
        <v>3767</v>
      </c>
      <c r="P8355" s="6" t="s">
        <v>51925</v>
      </c>
      <c r="Q8355" s="6" t="s">
        <v>6654</v>
      </c>
      <c r="R8355" s="6" t="s">
        <v>64</v>
      </c>
      <c r="S8355" s="8" t="s">
        <v>3769</v>
      </c>
      <c r="T8355" s="6" t="s">
        <v>66</v>
      </c>
      <c r="U8355" s="8" t="s">
        <v>31</v>
      </c>
      <c r="V8355" s="6" t="s">
        <v>51926</v>
      </c>
      <c r="W8355" s="6" t="s">
        <v>51921</v>
      </c>
      <c r="X8355" s="9" t="str">
        <f>HYPERLINK("https://my.pitchbook.com?p=52400-26P","View People Online")</f>
        <v>View People Online</v>
      </c>
    </row>
    <row r="8356">
      <c r="A8356" s="2" t="s">
        <v>51927</v>
      </c>
      <c r="B8356" s="2" t="s">
        <v>51928</v>
      </c>
      <c r="C8356" s="2" t="s">
        <v>27913</v>
      </c>
      <c r="D8356" s="2" t="s">
        <v>2150</v>
      </c>
      <c r="E8356" s="2" t="s">
        <v>51921</v>
      </c>
      <c r="F8356" s="2" t="s">
        <v>270</v>
      </c>
      <c r="G8356" s="2" t="s">
        <v>51929</v>
      </c>
      <c r="H8356" s="3">
        <v>3.0</v>
      </c>
      <c r="I8356" s="3">
        <v>16.0</v>
      </c>
      <c r="J8356" s="3">
        <v>2.0</v>
      </c>
      <c r="K8356" s="3">
        <v>11.0</v>
      </c>
      <c r="L8356" s="4" t="s">
        <v>51930</v>
      </c>
      <c r="M8356" s="2" t="s">
        <v>51931</v>
      </c>
      <c r="N8356" s="2" t="s">
        <v>1181</v>
      </c>
      <c r="O8356" s="4" t="s">
        <v>1182</v>
      </c>
      <c r="P8356" s="2" t="s">
        <v>51932</v>
      </c>
      <c r="Q8356" s="2" t="s">
        <v>51933</v>
      </c>
      <c r="R8356" s="2" t="s">
        <v>1185</v>
      </c>
      <c r="S8356" s="4" t="s">
        <v>1332</v>
      </c>
      <c r="T8356" s="2" t="s">
        <v>66</v>
      </c>
      <c r="U8356" s="4" t="s">
        <v>31</v>
      </c>
      <c r="V8356" s="2" t="s">
        <v>3930</v>
      </c>
      <c r="W8356" s="2" t="s">
        <v>51934</v>
      </c>
      <c r="X8356" s="5" t="str">
        <f>HYPERLINK("https://my.pitchbook.com?p=129617-11P","View People Online")</f>
        <v>View People Online</v>
      </c>
    </row>
    <row r="8357">
      <c r="A8357" s="14" t="s">
        <v>51935</v>
      </c>
      <c r="B8357" s="14" t="s">
        <v>51936</v>
      </c>
      <c r="C8357" s="14" t="s">
        <v>41190</v>
      </c>
      <c r="D8357" s="14" t="s">
        <v>51937</v>
      </c>
      <c r="E8357" s="14" t="s">
        <v>51921</v>
      </c>
      <c r="F8357" s="14" t="s">
        <v>548</v>
      </c>
      <c r="G8357" s="14" t="s">
        <v>51938</v>
      </c>
      <c r="H8357" s="15" t="s">
        <v>31</v>
      </c>
      <c r="I8357" s="15">
        <v>1.0</v>
      </c>
      <c r="J8357" s="15">
        <v>1.0</v>
      </c>
      <c r="K8357" s="15" t="s">
        <v>31</v>
      </c>
      <c r="L8357" s="16" t="s">
        <v>51939</v>
      </c>
      <c r="M8357" s="14" t="s">
        <v>51940</v>
      </c>
      <c r="N8357" s="14" t="s">
        <v>3766</v>
      </c>
      <c r="O8357" s="16" t="s">
        <v>3767</v>
      </c>
      <c r="P8357" s="14" t="s">
        <v>51925</v>
      </c>
      <c r="Q8357" s="14" t="s">
        <v>6654</v>
      </c>
      <c r="R8357" s="14" t="s">
        <v>64</v>
      </c>
      <c r="S8357" s="16" t="s">
        <v>3769</v>
      </c>
      <c r="T8357" s="14" t="s">
        <v>66</v>
      </c>
      <c r="U8357" s="16" t="s">
        <v>31</v>
      </c>
      <c r="V8357" s="14" t="s">
        <v>4696</v>
      </c>
      <c r="W8357" s="14" t="s">
        <v>51921</v>
      </c>
      <c r="X8357" s="17" t="str">
        <f>HYPERLINK("https://my.pitchbook.com?p=337955-14P","View People Online")</f>
        <v>View People Online</v>
      </c>
    </row>
    <row r="8358">
      <c r="A8358" s="2" t="s">
        <v>51941</v>
      </c>
      <c r="B8358" s="2" t="s">
        <v>47243</v>
      </c>
      <c r="C8358" s="2" t="s">
        <v>47244</v>
      </c>
      <c r="D8358" s="2" t="s">
        <v>25914</v>
      </c>
      <c r="E8358" s="2" t="s">
        <v>51921</v>
      </c>
      <c r="F8358" s="2" t="s">
        <v>29</v>
      </c>
      <c r="G8358" s="2" t="s">
        <v>51942</v>
      </c>
      <c r="H8358" s="3" t="s">
        <v>31</v>
      </c>
      <c r="I8358" s="3">
        <v>3.0</v>
      </c>
      <c r="J8358" s="3">
        <v>2.0</v>
      </c>
      <c r="K8358" s="3" t="s">
        <v>31</v>
      </c>
      <c r="L8358" s="4" t="s">
        <v>51943</v>
      </c>
      <c r="M8358" s="2" t="s">
        <v>31</v>
      </c>
      <c r="N8358" s="2" t="s">
        <v>3766</v>
      </c>
      <c r="O8358" s="4" t="s">
        <v>3767</v>
      </c>
      <c r="P8358" s="2" t="s">
        <v>51925</v>
      </c>
      <c r="Q8358" s="2" t="s">
        <v>6654</v>
      </c>
      <c r="R8358" s="2" t="s">
        <v>64</v>
      </c>
      <c r="S8358" s="4" t="s">
        <v>3769</v>
      </c>
      <c r="T8358" s="2" t="s">
        <v>66</v>
      </c>
      <c r="U8358" s="4" t="s">
        <v>31</v>
      </c>
      <c r="V8358" s="2" t="s">
        <v>51944</v>
      </c>
      <c r="W8358" s="2" t="s">
        <v>51921</v>
      </c>
      <c r="X8358" s="5" t="str">
        <f>HYPERLINK("https://my.pitchbook.com?p=98715-97P","View People Online")</f>
        <v>View People Online</v>
      </c>
    </row>
    <row r="8359">
      <c r="A8359" s="6" t="s">
        <v>51945</v>
      </c>
      <c r="B8359" s="6" t="s">
        <v>51946</v>
      </c>
      <c r="C8359" s="6" t="s">
        <v>4923</v>
      </c>
      <c r="D8359" s="6" t="s">
        <v>247</v>
      </c>
      <c r="E8359" s="6" t="s">
        <v>51921</v>
      </c>
      <c r="F8359" s="6" t="s">
        <v>29</v>
      </c>
      <c r="G8359" s="6" t="s">
        <v>51947</v>
      </c>
      <c r="H8359" s="7" t="s">
        <v>31</v>
      </c>
      <c r="I8359" s="7">
        <v>7.0</v>
      </c>
      <c r="J8359" s="7">
        <v>3.0</v>
      </c>
      <c r="K8359" s="7">
        <v>3.0</v>
      </c>
      <c r="L8359" s="8" t="s">
        <v>51948</v>
      </c>
      <c r="M8359" s="6" t="s">
        <v>31</v>
      </c>
      <c r="N8359" s="6" t="s">
        <v>1416</v>
      </c>
      <c r="O8359" s="8" t="s">
        <v>1417</v>
      </c>
      <c r="P8359" s="6" t="s">
        <v>31</v>
      </c>
      <c r="Q8359" s="6" t="s">
        <v>31</v>
      </c>
      <c r="R8359" s="6" t="s">
        <v>1420</v>
      </c>
      <c r="S8359" s="8" t="s">
        <v>31</v>
      </c>
      <c r="T8359" s="6" t="s">
        <v>66</v>
      </c>
      <c r="U8359" s="8" t="s">
        <v>31</v>
      </c>
      <c r="V8359" s="6" t="s">
        <v>1433</v>
      </c>
      <c r="W8359" s="6" t="s">
        <v>51949</v>
      </c>
      <c r="X8359" s="9" t="str">
        <f>HYPERLINK("https://my.pitchbook.com?p=90317-71P","View People Online")</f>
        <v>View People Online</v>
      </c>
    </row>
    <row r="8360">
      <c r="A8360" s="10" t="s">
        <v>51950</v>
      </c>
      <c r="B8360" s="10" t="s">
        <v>51951</v>
      </c>
      <c r="C8360" s="10" t="s">
        <v>11239</v>
      </c>
      <c r="D8360" s="10" t="s">
        <v>51952</v>
      </c>
      <c r="E8360" s="10" t="s">
        <v>51921</v>
      </c>
      <c r="F8360" s="10" t="s">
        <v>29</v>
      </c>
      <c r="G8360" s="10" t="s">
        <v>51953</v>
      </c>
      <c r="H8360" s="11">
        <v>3.0</v>
      </c>
      <c r="I8360" s="11">
        <v>8.0</v>
      </c>
      <c r="J8360" s="11">
        <v>2.0</v>
      </c>
      <c r="K8360" s="11">
        <v>1.0</v>
      </c>
      <c r="L8360" s="12" t="s">
        <v>31</v>
      </c>
      <c r="M8360" s="10" t="s">
        <v>31</v>
      </c>
      <c r="N8360" s="10" t="s">
        <v>28682</v>
      </c>
      <c r="O8360" s="12" t="s">
        <v>51954</v>
      </c>
      <c r="P8360" s="10" t="s">
        <v>51955</v>
      </c>
      <c r="Q8360" s="10" t="s">
        <v>31</v>
      </c>
      <c r="R8360" s="10" t="s">
        <v>37751</v>
      </c>
      <c r="S8360" s="12" t="s">
        <v>51956</v>
      </c>
      <c r="T8360" s="10" t="s">
        <v>66</v>
      </c>
      <c r="U8360" s="12" t="s">
        <v>31</v>
      </c>
      <c r="V8360" s="10" t="s">
        <v>3930</v>
      </c>
      <c r="W8360" s="10" t="s">
        <v>51957</v>
      </c>
      <c r="X8360" s="13" t="str">
        <f>HYPERLINK("https://my.pitchbook.com?p=138733-12P","View People Online")</f>
        <v>View People Online</v>
      </c>
    </row>
    <row r="8361">
      <c r="A8361" s="6" t="s">
        <v>51958</v>
      </c>
      <c r="B8361" s="6" t="s">
        <v>51959</v>
      </c>
      <c r="C8361" s="6" t="s">
        <v>3658</v>
      </c>
      <c r="D8361" s="6" t="s">
        <v>51960</v>
      </c>
      <c r="E8361" s="6" t="s">
        <v>51921</v>
      </c>
      <c r="F8361" s="6" t="s">
        <v>270</v>
      </c>
      <c r="G8361" s="6" t="s">
        <v>51961</v>
      </c>
      <c r="H8361" s="7" t="s">
        <v>31</v>
      </c>
      <c r="I8361" s="7">
        <v>4.0</v>
      </c>
      <c r="J8361" s="7">
        <v>1.0</v>
      </c>
      <c r="K8361" s="7">
        <v>1.0</v>
      </c>
      <c r="L8361" s="8" t="s">
        <v>51939</v>
      </c>
      <c r="M8361" s="6" t="s">
        <v>31</v>
      </c>
      <c r="N8361" s="6" t="s">
        <v>3766</v>
      </c>
      <c r="O8361" s="8" t="s">
        <v>3767</v>
      </c>
      <c r="P8361" s="6" t="s">
        <v>51925</v>
      </c>
      <c r="Q8361" s="6" t="s">
        <v>6654</v>
      </c>
      <c r="R8361" s="6" t="s">
        <v>64</v>
      </c>
      <c r="S8361" s="8" t="s">
        <v>3769</v>
      </c>
      <c r="T8361" s="6" t="s">
        <v>66</v>
      </c>
      <c r="U8361" s="8" t="s">
        <v>31</v>
      </c>
      <c r="V8361" s="6" t="s">
        <v>51962</v>
      </c>
      <c r="W8361" s="6" t="s">
        <v>51921</v>
      </c>
      <c r="X8361" s="9" t="str">
        <f>HYPERLINK("https://my.pitchbook.com?p=277479-64P","View People Online")</f>
        <v>View People Online</v>
      </c>
    </row>
    <row r="8362">
      <c r="A8362" s="2" t="s">
        <v>51963</v>
      </c>
      <c r="B8362" s="2" t="s">
        <v>51964</v>
      </c>
      <c r="C8362" s="2" t="s">
        <v>51965</v>
      </c>
      <c r="D8362" s="2" t="s">
        <v>7791</v>
      </c>
      <c r="E8362" s="2" t="s">
        <v>51921</v>
      </c>
      <c r="F8362" s="2" t="s">
        <v>36142</v>
      </c>
      <c r="G8362" s="2" t="s">
        <v>51966</v>
      </c>
      <c r="H8362" s="3">
        <v>1.0</v>
      </c>
      <c r="I8362" s="3">
        <v>3.0</v>
      </c>
      <c r="J8362" s="3">
        <v>2.0</v>
      </c>
      <c r="K8362" s="3" t="s">
        <v>31</v>
      </c>
      <c r="L8362" s="4" t="s">
        <v>51967</v>
      </c>
      <c r="M8362" s="2" t="s">
        <v>51968</v>
      </c>
      <c r="N8362" s="2" t="s">
        <v>8132</v>
      </c>
      <c r="O8362" s="4" t="s">
        <v>8133</v>
      </c>
      <c r="P8362" s="2" t="s">
        <v>51969</v>
      </c>
      <c r="Q8362" s="2" t="s">
        <v>31</v>
      </c>
      <c r="R8362" s="2" t="s">
        <v>64</v>
      </c>
      <c r="S8362" s="4" t="s">
        <v>51970</v>
      </c>
      <c r="T8362" s="2" t="s">
        <v>66</v>
      </c>
      <c r="U8362" s="4" t="s">
        <v>51971</v>
      </c>
      <c r="V8362" s="2" t="s">
        <v>470</v>
      </c>
      <c r="W8362" s="2" t="s">
        <v>51972</v>
      </c>
      <c r="X8362" s="5" t="str">
        <f>HYPERLINK("https://my.pitchbook.com?p=41310-10P","View People Online")</f>
        <v>View People Online</v>
      </c>
    </row>
    <row r="8363">
      <c r="A8363" s="6" t="s">
        <v>51973</v>
      </c>
      <c r="B8363" s="6" t="s">
        <v>51974</v>
      </c>
      <c r="C8363" s="6" t="s">
        <v>51975</v>
      </c>
      <c r="D8363" s="6" t="s">
        <v>51976</v>
      </c>
      <c r="E8363" s="6" t="s">
        <v>51921</v>
      </c>
      <c r="F8363" s="6" t="s">
        <v>270</v>
      </c>
      <c r="G8363" s="6" t="s">
        <v>51977</v>
      </c>
      <c r="H8363" s="7">
        <v>1.0</v>
      </c>
      <c r="I8363" s="7">
        <v>11.0</v>
      </c>
      <c r="J8363" s="7">
        <v>2.0</v>
      </c>
      <c r="K8363" s="7">
        <v>3.0</v>
      </c>
      <c r="L8363" s="8" t="s">
        <v>51978</v>
      </c>
      <c r="M8363" s="6" t="s">
        <v>51979</v>
      </c>
      <c r="N8363" s="6" t="s">
        <v>51980</v>
      </c>
      <c r="O8363" s="8" t="s">
        <v>51981</v>
      </c>
      <c r="P8363" s="6" t="s">
        <v>51982</v>
      </c>
      <c r="Q8363" s="6" t="s">
        <v>31</v>
      </c>
      <c r="R8363" s="6" t="s">
        <v>64</v>
      </c>
      <c r="S8363" s="8" t="s">
        <v>51983</v>
      </c>
      <c r="T8363" s="6" t="s">
        <v>66</v>
      </c>
      <c r="U8363" s="8" t="s">
        <v>51984</v>
      </c>
      <c r="V8363" s="6" t="s">
        <v>152</v>
      </c>
      <c r="W8363" s="6" t="s">
        <v>51985</v>
      </c>
      <c r="X8363" s="9" t="str">
        <f>HYPERLINK("https://my.pitchbook.com?p=113941-90P","View People Online")</f>
        <v>View People Online</v>
      </c>
    </row>
    <row r="8364">
      <c r="A8364" s="2" t="s">
        <v>2347</v>
      </c>
      <c r="B8364" s="2" t="s">
        <v>2348</v>
      </c>
      <c r="C8364" s="2" t="s">
        <v>2349</v>
      </c>
      <c r="D8364" s="2" t="s">
        <v>2350</v>
      </c>
      <c r="E8364" s="2" t="s">
        <v>51921</v>
      </c>
      <c r="F8364" s="2" t="s">
        <v>270</v>
      </c>
      <c r="G8364" s="2" t="s">
        <v>2351</v>
      </c>
      <c r="H8364" s="3">
        <v>3.0</v>
      </c>
      <c r="I8364" s="3">
        <v>27.0</v>
      </c>
      <c r="J8364" s="3">
        <v>5.0</v>
      </c>
      <c r="K8364" s="3">
        <v>11.0</v>
      </c>
      <c r="L8364" s="4" t="s">
        <v>2352</v>
      </c>
      <c r="M8364" s="2" t="s">
        <v>2353</v>
      </c>
      <c r="N8364" s="2" t="s">
        <v>1170</v>
      </c>
      <c r="O8364" s="4" t="s">
        <v>1171</v>
      </c>
      <c r="P8364" s="2" t="s">
        <v>31</v>
      </c>
      <c r="Q8364" s="2" t="s">
        <v>31</v>
      </c>
      <c r="R8364" s="2" t="s">
        <v>64</v>
      </c>
      <c r="S8364" s="4" t="s">
        <v>31</v>
      </c>
      <c r="T8364" s="2" t="s">
        <v>66</v>
      </c>
      <c r="U8364" s="4" t="s">
        <v>31</v>
      </c>
      <c r="V8364" s="2" t="s">
        <v>95</v>
      </c>
      <c r="W8364" s="2" t="s">
        <v>2354</v>
      </c>
      <c r="X8364" s="5" t="str">
        <f>HYPERLINK("https://my.pitchbook.com?p=119281-33P","View People Online")</f>
        <v>View People Online</v>
      </c>
    </row>
    <row r="8365">
      <c r="A8365" s="6" t="s">
        <v>51986</v>
      </c>
      <c r="B8365" s="6" t="s">
        <v>51987</v>
      </c>
      <c r="C8365" s="6" t="s">
        <v>928</v>
      </c>
      <c r="D8365" s="6" t="s">
        <v>24129</v>
      </c>
      <c r="E8365" s="6" t="s">
        <v>51921</v>
      </c>
      <c r="F8365" s="6" t="s">
        <v>1241</v>
      </c>
      <c r="G8365" s="6" t="s">
        <v>51988</v>
      </c>
      <c r="H8365" s="7">
        <v>1.0</v>
      </c>
      <c r="I8365" s="7">
        <v>2.0</v>
      </c>
      <c r="J8365" s="7">
        <v>1.0</v>
      </c>
      <c r="K8365" s="7" t="s">
        <v>31</v>
      </c>
      <c r="L8365" s="8" t="s">
        <v>51939</v>
      </c>
      <c r="M8365" s="6" t="s">
        <v>31</v>
      </c>
      <c r="N8365" s="6" t="s">
        <v>3766</v>
      </c>
      <c r="O8365" s="8" t="s">
        <v>3767</v>
      </c>
      <c r="P8365" s="6" t="s">
        <v>51925</v>
      </c>
      <c r="Q8365" s="6" t="s">
        <v>6654</v>
      </c>
      <c r="R8365" s="6" t="s">
        <v>64</v>
      </c>
      <c r="S8365" s="8" t="s">
        <v>3769</v>
      </c>
      <c r="T8365" s="6" t="s">
        <v>66</v>
      </c>
      <c r="U8365" s="8" t="s">
        <v>31</v>
      </c>
      <c r="V8365" s="6" t="s">
        <v>41473</v>
      </c>
      <c r="W8365" s="6" t="s">
        <v>51921</v>
      </c>
      <c r="X8365" s="9" t="str">
        <f>HYPERLINK("https://my.pitchbook.com?p=168916-96P","View People Online")</f>
        <v>View People Online</v>
      </c>
    </row>
    <row r="8366">
      <c r="A8366" s="2" t="s">
        <v>51989</v>
      </c>
      <c r="B8366" s="2" t="s">
        <v>51990</v>
      </c>
      <c r="C8366" s="2" t="s">
        <v>39113</v>
      </c>
      <c r="D8366" s="2" t="s">
        <v>4526</v>
      </c>
      <c r="E8366" s="2" t="s">
        <v>51921</v>
      </c>
      <c r="F8366" s="2" t="s">
        <v>29</v>
      </c>
      <c r="G8366" s="2" t="s">
        <v>51991</v>
      </c>
      <c r="H8366" s="3" t="s">
        <v>31</v>
      </c>
      <c r="I8366" s="3">
        <v>1.0</v>
      </c>
      <c r="J8366" s="3">
        <v>1.0</v>
      </c>
      <c r="K8366" s="3" t="s">
        <v>31</v>
      </c>
      <c r="L8366" s="4" t="s">
        <v>51939</v>
      </c>
      <c r="M8366" s="2" t="s">
        <v>31</v>
      </c>
      <c r="N8366" s="2" t="s">
        <v>3766</v>
      </c>
      <c r="O8366" s="4" t="s">
        <v>3767</v>
      </c>
      <c r="P8366" s="2" t="s">
        <v>51925</v>
      </c>
      <c r="Q8366" s="2" t="s">
        <v>6654</v>
      </c>
      <c r="R8366" s="2" t="s">
        <v>64</v>
      </c>
      <c r="S8366" s="4" t="s">
        <v>3769</v>
      </c>
      <c r="T8366" s="2" t="s">
        <v>66</v>
      </c>
      <c r="U8366" s="4" t="s">
        <v>31</v>
      </c>
      <c r="V8366" s="2" t="s">
        <v>51992</v>
      </c>
      <c r="W8366" s="2" t="s">
        <v>51921</v>
      </c>
      <c r="X8366" s="5" t="str">
        <f>HYPERLINK("https://my.pitchbook.com?p=366493-51P","View People Online")</f>
        <v>View People Online</v>
      </c>
    </row>
    <row r="8367">
      <c r="A8367" s="14" t="s">
        <v>51993</v>
      </c>
      <c r="B8367" s="14" t="s">
        <v>51994</v>
      </c>
      <c r="C8367" s="14" t="s">
        <v>7673</v>
      </c>
      <c r="D8367" s="14" t="s">
        <v>24129</v>
      </c>
      <c r="E8367" s="14" t="s">
        <v>51921</v>
      </c>
      <c r="F8367" s="14" t="s">
        <v>1167</v>
      </c>
      <c r="G8367" s="14" t="s">
        <v>51995</v>
      </c>
      <c r="H8367" s="15" t="s">
        <v>31</v>
      </c>
      <c r="I8367" s="15">
        <v>3.0</v>
      </c>
      <c r="J8367" s="15">
        <v>1.0</v>
      </c>
      <c r="K8367" s="15" t="s">
        <v>31</v>
      </c>
      <c r="L8367" s="16" t="s">
        <v>51939</v>
      </c>
      <c r="M8367" s="14" t="s">
        <v>51996</v>
      </c>
      <c r="N8367" s="14" t="s">
        <v>3766</v>
      </c>
      <c r="O8367" s="16" t="s">
        <v>3767</v>
      </c>
      <c r="P8367" s="14" t="s">
        <v>51925</v>
      </c>
      <c r="Q8367" s="14" t="s">
        <v>6654</v>
      </c>
      <c r="R8367" s="14" t="s">
        <v>64</v>
      </c>
      <c r="S8367" s="16" t="s">
        <v>3769</v>
      </c>
      <c r="T8367" s="14" t="s">
        <v>66</v>
      </c>
      <c r="U8367" s="16" t="s">
        <v>31</v>
      </c>
      <c r="V8367" s="14" t="s">
        <v>558</v>
      </c>
      <c r="W8367" s="14" t="s">
        <v>51921</v>
      </c>
      <c r="X8367" s="17" t="str">
        <f>HYPERLINK("https://my.pitchbook.com?p=90988-66P","View People Online")</f>
        <v>View People Online</v>
      </c>
    </row>
    <row r="8368">
      <c r="A8368" s="2" t="s">
        <v>51997</v>
      </c>
      <c r="B8368" s="2" t="s">
        <v>51998</v>
      </c>
      <c r="C8368" s="2" t="s">
        <v>5721</v>
      </c>
      <c r="D8368" s="2" t="s">
        <v>6030</v>
      </c>
      <c r="E8368" s="2" t="s">
        <v>51999</v>
      </c>
      <c r="F8368" s="2" t="s">
        <v>1106</v>
      </c>
      <c r="G8368" s="2" t="s">
        <v>52000</v>
      </c>
      <c r="H8368" s="3">
        <v>1.0</v>
      </c>
      <c r="I8368" s="3">
        <v>85.0</v>
      </c>
      <c r="J8368" s="3">
        <v>1.0</v>
      </c>
      <c r="K8368" s="3">
        <v>77.0</v>
      </c>
      <c r="L8368" s="4" t="s">
        <v>52001</v>
      </c>
      <c r="M8368" s="2" t="s">
        <v>52002</v>
      </c>
      <c r="N8368" s="2" t="s">
        <v>52003</v>
      </c>
      <c r="O8368" s="4" t="s">
        <v>52004</v>
      </c>
      <c r="P8368" s="2" t="s">
        <v>52005</v>
      </c>
      <c r="Q8368" s="2" t="s">
        <v>1280</v>
      </c>
      <c r="R8368" s="2" t="s">
        <v>1112</v>
      </c>
      <c r="S8368" s="4" t="s">
        <v>52006</v>
      </c>
      <c r="T8368" s="2" t="s">
        <v>66</v>
      </c>
      <c r="U8368" s="4" t="s">
        <v>31</v>
      </c>
      <c r="V8368" s="2" t="s">
        <v>1114</v>
      </c>
      <c r="W8368" s="2" t="s">
        <v>51999</v>
      </c>
      <c r="X8368" s="5" t="str">
        <f>HYPERLINK("https://my.pitchbook.com?p=40506-58P","View People Online")</f>
        <v>View People Online</v>
      </c>
    </row>
    <row r="8369">
      <c r="A8369" s="14" t="s">
        <v>52007</v>
      </c>
      <c r="B8369" s="14" t="s">
        <v>52008</v>
      </c>
      <c r="C8369" s="14" t="s">
        <v>37027</v>
      </c>
      <c r="D8369" s="14" t="s">
        <v>6004</v>
      </c>
      <c r="E8369" s="14" t="s">
        <v>51999</v>
      </c>
      <c r="F8369" s="14" t="s">
        <v>1283</v>
      </c>
      <c r="G8369" s="14" t="s">
        <v>52009</v>
      </c>
      <c r="H8369" s="15" t="s">
        <v>31</v>
      </c>
      <c r="I8369" s="15">
        <v>23.0</v>
      </c>
      <c r="J8369" s="15">
        <v>2.0</v>
      </c>
      <c r="K8369" s="15">
        <v>15.0</v>
      </c>
      <c r="L8369" s="16" t="s">
        <v>52001</v>
      </c>
      <c r="M8369" s="14" t="s">
        <v>52010</v>
      </c>
      <c r="N8369" s="14" t="s">
        <v>52003</v>
      </c>
      <c r="O8369" s="16" t="s">
        <v>52004</v>
      </c>
      <c r="P8369" s="14" t="s">
        <v>52005</v>
      </c>
      <c r="Q8369" s="14" t="s">
        <v>1280</v>
      </c>
      <c r="R8369" s="14" t="s">
        <v>1112</v>
      </c>
      <c r="S8369" s="16" t="s">
        <v>52006</v>
      </c>
      <c r="T8369" s="14" t="s">
        <v>66</v>
      </c>
      <c r="U8369" s="16" t="s">
        <v>31</v>
      </c>
      <c r="V8369" s="14" t="s">
        <v>1283</v>
      </c>
      <c r="W8369" s="14" t="s">
        <v>51999</v>
      </c>
      <c r="X8369" s="17" t="str">
        <f>HYPERLINK("https://my.pitchbook.com?p=40204-09P","View People Online")</f>
        <v>View People Online</v>
      </c>
    </row>
    <row r="8370">
      <c r="A8370" s="10" t="s">
        <v>52011</v>
      </c>
      <c r="B8370" s="10" t="s">
        <v>52012</v>
      </c>
      <c r="C8370" s="10" t="s">
        <v>6414</v>
      </c>
      <c r="D8370" s="10" t="s">
        <v>52013</v>
      </c>
      <c r="E8370" s="10" t="s">
        <v>51999</v>
      </c>
      <c r="F8370" s="10" t="s">
        <v>1106</v>
      </c>
      <c r="G8370" s="10" t="s">
        <v>52014</v>
      </c>
      <c r="H8370" s="11" t="s">
        <v>31</v>
      </c>
      <c r="I8370" s="11">
        <v>47.0</v>
      </c>
      <c r="J8370" s="11">
        <v>1.0</v>
      </c>
      <c r="K8370" s="11">
        <v>41.0</v>
      </c>
      <c r="L8370" s="12" t="s">
        <v>52015</v>
      </c>
      <c r="M8370" s="10" t="s">
        <v>52016</v>
      </c>
      <c r="N8370" s="10" t="s">
        <v>52003</v>
      </c>
      <c r="O8370" s="12" t="s">
        <v>52004</v>
      </c>
      <c r="P8370" s="10" t="s">
        <v>52005</v>
      </c>
      <c r="Q8370" s="10" t="s">
        <v>1280</v>
      </c>
      <c r="R8370" s="10" t="s">
        <v>1112</v>
      </c>
      <c r="S8370" s="12" t="s">
        <v>52006</v>
      </c>
      <c r="T8370" s="10" t="s">
        <v>66</v>
      </c>
      <c r="U8370" s="12" t="s">
        <v>31</v>
      </c>
      <c r="V8370" s="10" t="s">
        <v>1114</v>
      </c>
      <c r="W8370" s="10" t="s">
        <v>51999</v>
      </c>
      <c r="X8370" s="13" t="str">
        <f>HYPERLINK("https://my.pitchbook.com?p=12904-39P","View People Online")</f>
        <v>View People Online</v>
      </c>
    </row>
    <row r="8371">
      <c r="A8371" s="6" t="s">
        <v>52017</v>
      </c>
      <c r="B8371" s="6" t="s">
        <v>52018</v>
      </c>
      <c r="C8371" s="6" t="s">
        <v>52019</v>
      </c>
      <c r="D8371" s="6" t="s">
        <v>4586</v>
      </c>
      <c r="E8371" s="6" t="s">
        <v>51999</v>
      </c>
      <c r="F8371" s="6" t="s">
        <v>114</v>
      </c>
      <c r="G8371" s="6" t="s">
        <v>52020</v>
      </c>
      <c r="H8371" s="7" t="s">
        <v>31</v>
      </c>
      <c r="I8371" s="7">
        <v>1.0</v>
      </c>
      <c r="J8371" s="7">
        <v>1.0</v>
      </c>
      <c r="K8371" s="7" t="s">
        <v>31</v>
      </c>
      <c r="L8371" s="8" t="s">
        <v>52001</v>
      </c>
      <c r="M8371" s="6" t="s">
        <v>31</v>
      </c>
      <c r="N8371" s="6" t="s">
        <v>52003</v>
      </c>
      <c r="O8371" s="8" t="s">
        <v>52004</v>
      </c>
      <c r="P8371" s="6" t="s">
        <v>52005</v>
      </c>
      <c r="Q8371" s="6" t="s">
        <v>1280</v>
      </c>
      <c r="R8371" s="6" t="s">
        <v>1112</v>
      </c>
      <c r="S8371" s="8" t="s">
        <v>52006</v>
      </c>
      <c r="T8371" s="6" t="s">
        <v>66</v>
      </c>
      <c r="U8371" s="8" t="s">
        <v>31</v>
      </c>
      <c r="V8371" s="6" t="s">
        <v>114</v>
      </c>
      <c r="W8371" s="6" t="s">
        <v>51999</v>
      </c>
      <c r="X8371" s="9" t="str">
        <f>HYPERLINK("https://my.pitchbook.com?p=130972-15P","View People Online")</f>
        <v>View People Online</v>
      </c>
    </row>
    <row r="8372">
      <c r="A8372" s="2" t="s">
        <v>52021</v>
      </c>
      <c r="B8372" s="2" t="s">
        <v>52022</v>
      </c>
      <c r="C8372" s="2" t="s">
        <v>6199</v>
      </c>
      <c r="D8372" s="2" t="s">
        <v>52023</v>
      </c>
      <c r="E8372" s="2" t="s">
        <v>51999</v>
      </c>
      <c r="F8372" s="2" t="s">
        <v>1283</v>
      </c>
      <c r="G8372" s="2" t="s">
        <v>52024</v>
      </c>
      <c r="H8372" s="3" t="s">
        <v>31</v>
      </c>
      <c r="I8372" s="3">
        <v>3.0</v>
      </c>
      <c r="J8372" s="3">
        <v>1.0</v>
      </c>
      <c r="K8372" s="3" t="s">
        <v>31</v>
      </c>
      <c r="L8372" s="4" t="s">
        <v>52025</v>
      </c>
      <c r="M8372" s="2" t="s">
        <v>52026</v>
      </c>
      <c r="N8372" s="2" t="s">
        <v>52003</v>
      </c>
      <c r="O8372" s="4" t="s">
        <v>52004</v>
      </c>
      <c r="P8372" s="2" t="s">
        <v>52005</v>
      </c>
      <c r="Q8372" s="2" t="s">
        <v>1280</v>
      </c>
      <c r="R8372" s="2" t="s">
        <v>1112</v>
      </c>
      <c r="S8372" s="4" t="s">
        <v>52006</v>
      </c>
      <c r="T8372" s="2" t="s">
        <v>66</v>
      </c>
      <c r="U8372" s="4" t="s">
        <v>31</v>
      </c>
      <c r="V8372" s="2" t="s">
        <v>1283</v>
      </c>
      <c r="W8372" s="2" t="s">
        <v>51999</v>
      </c>
      <c r="X8372" s="5" t="str">
        <f>HYPERLINK("https://my.pitchbook.com?p=327823-30P","View People Online")</f>
        <v>View People Online</v>
      </c>
    </row>
    <row r="8373">
      <c r="A8373" s="14" t="s">
        <v>52027</v>
      </c>
      <c r="B8373" s="14" t="s">
        <v>52028</v>
      </c>
      <c r="C8373" s="14" t="s">
        <v>33037</v>
      </c>
      <c r="D8373" s="14" t="s">
        <v>2807</v>
      </c>
      <c r="E8373" s="14" t="s">
        <v>52029</v>
      </c>
      <c r="F8373" s="14" t="s">
        <v>221</v>
      </c>
      <c r="G8373" s="14" t="s">
        <v>52030</v>
      </c>
      <c r="H8373" s="15" t="s">
        <v>31</v>
      </c>
      <c r="I8373" s="15">
        <v>1.0</v>
      </c>
      <c r="J8373" s="15">
        <v>1.0</v>
      </c>
      <c r="K8373" s="15" t="s">
        <v>31</v>
      </c>
      <c r="L8373" s="16" t="s">
        <v>31</v>
      </c>
      <c r="M8373" s="14" t="s">
        <v>52031</v>
      </c>
      <c r="N8373" s="14" t="s">
        <v>10144</v>
      </c>
      <c r="O8373" s="16" t="s">
        <v>10145</v>
      </c>
      <c r="P8373" s="14" t="s">
        <v>52032</v>
      </c>
      <c r="Q8373" s="14" t="s">
        <v>31</v>
      </c>
      <c r="R8373" s="14" t="s">
        <v>64</v>
      </c>
      <c r="S8373" s="16" t="s">
        <v>10147</v>
      </c>
      <c r="T8373" s="14" t="s">
        <v>66</v>
      </c>
      <c r="U8373" s="16" t="s">
        <v>31</v>
      </c>
      <c r="V8373" s="14" t="s">
        <v>221</v>
      </c>
      <c r="W8373" s="14" t="s">
        <v>52029</v>
      </c>
      <c r="X8373" s="17" t="str">
        <f>HYPERLINK("https://my.pitchbook.com?p=414043-84P","View People Online")</f>
        <v>View People Online</v>
      </c>
    </row>
    <row r="8374">
      <c r="A8374" s="2" t="s">
        <v>52033</v>
      </c>
      <c r="B8374" s="2" t="s">
        <v>52034</v>
      </c>
      <c r="C8374" s="2" t="s">
        <v>7267</v>
      </c>
      <c r="D8374" s="2" t="s">
        <v>52035</v>
      </c>
      <c r="E8374" s="2" t="s">
        <v>52029</v>
      </c>
      <c r="F8374" s="2" t="s">
        <v>201</v>
      </c>
      <c r="G8374" s="2" t="s">
        <v>52036</v>
      </c>
      <c r="H8374" s="3" t="s">
        <v>31</v>
      </c>
      <c r="I8374" s="3">
        <v>1.0</v>
      </c>
      <c r="J8374" s="3">
        <v>1.0</v>
      </c>
      <c r="K8374" s="3" t="s">
        <v>31</v>
      </c>
      <c r="L8374" s="4" t="s">
        <v>31</v>
      </c>
      <c r="M8374" s="2" t="s">
        <v>52037</v>
      </c>
      <c r="N8374" s="2" t="s">
        <v>10144</v>
      </c>
      <c r="O8374" s="4" t="s">
        <v>10145</v>
      </c>
      <c r="P8374" s="2" t="s">
        <v>52032</v>
      </c>
      <c r="Q8374" s="2" t="s">
        <v>31</v>
      </c>
      <c r="R8374" s="2" t="s">
        <v>64</v>
      </c>
      <c r="S8374" s="4" t="s">
        <v>10147</v>
      </c>
      <c r="T8374" s="2" t="s">
        <v>66</v>
      </c>
      <c r="U8374" s="4" t="s">
        <v>31</v>
      </c>
      <c r="V8374" s="2" t="s">
        <v>201</v>
      </c>
      <c r="W8374" s="2" t="s">
        <v>52029</v>
      </c>
      <c r="X8374" s="5" t="str">
        <f>HYPERLINK("https://my.pitchbook.com?p=288133-57P","View People Online")</f>
        <v>View People Online</v>
      </c>
    </row>
    <row r="8375">
      <c r="A8375" s="6" t="s">
        <v>52038</v>
      </c>
      <c r="B8375" s="6" t="s">
        <v>52039</v>
      </c>
      <c r="C8375" s="6" t="s">
        <v>1255</v>
      </c>
      <c r="D8375" s="6" t="s">
        <v>52040</v>
      </c>
      <c r="E8375" s="6" t="s">
        <v>52029</v>
      </c>
      <c r="F8375" s="6" t="s">
        <v>1167</v>
      </c>
      <c r="G8375" s="6" t="s">
        <v>52041</v>
      </c>
      <c r="H8375" s="7">
        <v>2.0</v>
      </c>
      <c r="I8375" s="7">
        <v>30.0</v>
      </c>
      <c r="J8375" s="7">
        <v>1.0</v>
      </c>
      <c r="K8375" s="7">
        <v>21.0</v>
      </c>
      <c r="L8375" s="8" t="s">
        <v>31</v>
      </c>
      <c r="M8375" s="6" t="s">
        <v>52042</v>
      </c>
      <c r="N8375" s="6" t="s">
        <v>10144</v>
      </c>
      <c r="O8375" s="8" t="s">
        <v>10145</v>
      </c>
      <c r="P8375" s="6" t="s">
        <v>52032</v>
      </c>
      <c r="Q8375" s="6" t="s">
        <v>31</v>
      </c>
      <c r="R8375" s="6" t="s">
        <v>64</v>
      </c>
      <c r="S8375" s="8" t="s">
        <v>10147</v>
      </c>
      <c r="T8375" s="6" t="s">
        <v>66</v>
      </c>
      <c r="U8375" s="8" t="s">
        <v>31</v>
      </c>
      <c r="V8375" s="6" t="s">
        <v>52043</v>
      </c>
      <c r="W8375" s="6" t="s">
        <v>52029</v>
      </c>
      <c r="X8375" s="9" t="str">
        <f>HYPERLINK("https://my.pitchbook.com?p=96419-71P","View People Online")</f>
        <v>View People Online</v>
      </c>
    </row>
    <row r="8376">
      <c r="A8376" s="2" t="s">
        <v>52044</v>
      </c>
      <c r="B8376" s="2" t="s">
        <v>52045</v>
      </c>
      <c r="C8376" s="2" t="s">
        <v>5844</v>
      </c>
      <c r="D8376" s="2" t="s">
        <v>52046</v>
      </c>
      <c r="E8376" s="2" t="s">
        <v>52029</v>
      </c>
      <c r="F8376" s="2" t="s">
        <v>318</v>
      </c>
      <c r="G8376" s="2" t="s">
        <v>52047</v>
      </c>
      <c r="H8376" s="3" t="s">
        <v>31</v>
      </c>
      <c r="I8376" s="3">
        <v>1.0</v>
      </c>
      <c r="J8376" s="3">
        <v>1.0</v>
      </c>
      <c r="K8376" s="3" t="s">
        <v>31</v>
      </c>
      <c r="L8376" s="4" t="s">
        <v>31</v>
      </c>
      <c r="M8376" s="2" t="s">
        <v>52048</v>
      </c>
      <c r="N8376" s="2" t="s">
        <v>10144</v>
      </c>
      <c r="O8376" s="4" t="s">
        <v>10145</v>
      </c>
      <c r="P8376" s="2" t="s">
        <v>52032</v>
      </c>
      <c r="Q8376" s="2" t="s">
        <v>31</v>
      </c>
      <c r="R8376" s="2" t="s">
        <v>64</v>
      </c>
      <c r="S8376" s="4" t="s">
        <v>10147</v>
      </c>
      <c r="T8376" s="2" t="s">
        <v>66</v>
      </c>
      <c r="U8376" s="4" t="s">
        <v>31</v>
      </c>
      <c r="V8376" s="2" t="s">
        <v>318</v>
      </c>
      <c r="W8376" s="2" t="s">
        <v>52029</v>
      </c>
      <c r="X8376" s="5" t="str">
        <f>HYPERLINK("https://my.pitchbook.com?p=321795-55P","View People Online")</f>
        <v>View People Online</v>
      </c>
    </row>
    <row r="8377">
      <c r="A8377" s="6" t="s">
        <v>52049</v>
      </c>
      <c r="B8377" s="6" t="s">
        <v>52050</v>
      </c>
      <c r="C8377" s="6" t="s">
        <v>8294</v>
      </c>
      <c r="D8377" s="6" t="s">
        <v>52051</v>
      </c>
      <c r="E8377" s="6" t="s">
        <v>52029</v>
      </c>
      <c r="F8377" s="6" t="s">
        <v>318</v>
      </c>
      <c r="G8377" s="6" t="s">
        <v>52052</v>
      </c>
      <c r="H8377" s="7" t="s">
        <v>31</v>
      </c>
      <c r="I8377" s="7">
        <v>1.0</v>
      </c>
      <c r="J8377" s="7">
        <v>1.0</v>
      </c>
      <c r="K8377" s="7" t="s">
        <v>31</v>
      </c>
      <c r="L8377" s="8" t="s">
        <v>31</v>
      </c>
      <c r="M8377" s="6" t="s">
        <v>52053</v>
      </c>
      <c r="N8377" s="6" t="s">
        <v>10144</v>
      </c>
      <c r="O8377" s="8" t="s">
        <v>10145</v>
      </c>
      <c r="P8377" s="6" t="s">
        <v>52032</v>
      </c>
      <c r="Q8377" s="6" t="s">
        <v>31</v>
      </c>
      <c r="R8377" s="6" t="s">
        <v>64</v>
      </c>
      <c r="S8377" s="8" t="s">
        <v>10147</v>
      </c>
      <c r="T8377" s="6" t="s">
        <v>66</v>
      </c>
      <c r="U8377" s="8" t="s">
        <v>31</v>
      </c>
      <c r="V8377" s="6" t="s">
        <v>318</v>
      </c>
      <c r="W8377" s="6" t="s">
        <v>52029</v>
      </c>
      <c r="X8377" s="9" t="str">
        <f>HYPERLINK("https://my.pitchbook.com?p=321796-36P","View People Online")</f>
        <v>View People Online</v>
      </c>
    </row>
    <row r="8378">
      <c r="A8378" s="10" t="s">
        <v>52054</v>
      </c>
      <c r="B8378" s="10" t="s">
        <v>52055</v>
      </c>
      <c r="C8378" s="10" t="s">
        <v>5358</v>
      </c>
      <c r="D8378" s="10" t="s">
        <v>52056</v>
      </c>
      <c r="E8378" s="10" t="s">
        <v>52029</v>
      </c>
      <c r="F8378" s="10" t="s">
        <v>3740</v>
      </c>
      <c r="G8378" s="10" t="s">
        <v>52057</v>
      </c>
      <c r="H8378" s="11" t="s">
        <v>31</v>
      </c>
      <c r="I8378" s="11">
        <v>1.0</v>
      </c>
      <c r="J8378" s="11">
        <v>1.0</v>
      </c>
      <c r="K8378" s="11" t="s">
        <v>31</v>
      </c>
      <c r="L8378" s="12" t="s">
        <v>31</v>
      </c>
      <c r="M8378" s="10" t="s">
        <v>31</v>
      </c>
      <c r="N8378" s="10" t="s">
        <v>10144</v>
      </c>
      <c r="O8378" s="12" t="s">
        <v>10145</v>
      </c>
      <c r="P8378" s="10" t="s">
        <v>52032</v>
      </c>
      <c r="Q8378" s="10" t="s">
        <v>31</v>
      </c>
      <c r="R8378" s="10" t="s">
        <v>64</v>
      </c>
      <c r="S8378" s="12" t="s">
        <v>10147</v>
      </c>
      <c r="T8378" s="10" t="s">
        <v>66</v>
      </c>
      <c r="U8378" s="12" t="s">
        <v>31</v>
      </c>
      <c r="V8378" s="10" t="s">
        <v>3740</v>
      </c>
      <c r="W8378" s="10" t="s">
        <v>52029</v>
      </c>
      <c r="X8378" s="13" t="str">
        <f>HYPERLINK("https://my.pitchbook.com?p=434764-00P","View People Online")</f>
        <v>View People Online</v>
      </c>
    </row>
    <row r="8379">
      <c r="A8379" s="14" t="s">
        <v>52058</v>
      </c>
      <c r="B8379" s="14" t="s">
        <v>52059</v>
      </c>
      <c r="C8379" s="14" t="s">
        <v>9032</v>
      </c>
      <c r="D8379" s="14" t="s">
        <v>14888</v>
      </c>
      <c r="E8379" s="14" t="s">
        <v>52029</v>
      </c>
      <c r="F8379" s="14" t="s">
        <v>29</v>
      </c>
      <c r="G8379" s="14" t="s">
        <v>52060</v>
      </c>
      <c r="H8379" s="15">
        <v>1.0</v>
      </c>
      <c r="I8379" s="15">
        <v>2.0</v>
      </c>
      <c r="J8379" s="15">
        <v>1.0</v>
      </c>
      <c r="K8379" s="15" t="s">
        <v>31</v>
      </c>
      <c r="L8379" s="16" t="s">
        <v>31</v>
      </c>
      <c r="M8379" s="14" t="s">
        <v>52061</v>
      </c>
      <c r="N8379" s="14" t="s">
        <v>10144</v>
      </c>
      <c r="O8379" s="16" t="s">
        <v>10145</v>
      </c>
      <c r="P8379" s="14" t="s">
        <v>52032</v>
      </c>
      <c r="Q8379" s="14" t="s">
        <v>31</v>
      </c>
      <c r="R8379" s="14" t="s">
        <v>64</v>
      </c>
      <c r="S8379" s="16" t="s">
        <v>10147</v>
      </c>
      <c r="T8379" s="14" t="s">
        <v>66</v>
      </c>
      <c r="U8379" s="16" t="s">
        <v>31</v>
      </c>
      <c r="V8379" s="14" t="s">
        <v>29</v>
      </c>
      <c r="W8379" s="14" t="s">
        <v>52029</v>
      </c>
      <c r="X8379" s="17" t="str">
        <f>HYPERLINK("https://my.pitchbook.com?p=245049-04P","View People Online")</f>
        <v>View People Online</v>
      </c>
    </row>
    <row r="8380">
      <c r="A8380" s="10" t="s">
        <v>52062</v>
      </c>
      <c r="B8380" s="10" t="s">
        <v>52063</v>
      </c>
      <c r="C8380" s="10" t="s">
        <v>52064</v>
      </c>
      <c r="D8380" s="10" t="s">
        <v>52065</v>
      </c>
      <c r="E8380" s="10" t="s">
        <v>52029</v>
      </c>
      <c r="F8380" s="10" t="s">
        <v>201</v>
      </c>
      <c r="G8380" s="10" t="s">
        <v>52066</v>
      </c>
      <c r="H8380" s="11" t="s">
        <v>31</v>
      </c>
      <c r="I8380" s="11">
        <v>1.0</v>
      </c>
      <c r="J8380" s="11">
        <v>1.0</v>
      </c>
      <c r="K8380" s="11" t="s">
        <v>31</v>
      </c>
      <c r="L8380" s="12" t="s">
        <v>31</v>
      </c>
      <c r="M8380" s="10" t="s">
        <v>52067</v>
      </c>
      <c r="N8380" s="10" t="s">
        <v>10144</v>
      </c>
      <c r="O8380" s="12" t="s">
        <v>10145</v>
      </c>
      <c r="P8380" s="10" t="s">
        <v>52032</v>
      </c>
      <c r="Q8380" s="10" t="s">
        <v>31</v>
      </c>
      <c r="R8380" s="10" t="s">
        <v>64</v>
      </c>
      <c r="S8380" s="12" t="s">
        <v>10147</v>
      </c>
      <c r="T8380" s="10" t="s">
        <v>66</v>
      </c>
      <c r="U8380" s="12" t="s">
        <v>31</v>
      </c>
      <c r="V8380" s="10" t="s">
        <v>201</v>
      </c>
      <c r="W8380" s="10" t="s">
        <v>52029</v>
      </c>
      <c r="X8380" s="13" t="str">
        <f>HYPERLINK("https://my.pitchbook.com?p=274276-90P","View People Online")</f>
        <v>View People Online</v>
      </c>
    </row>
    <row r="8381">
      <c r="A8381" s="14" t="s">
        <v>52068</v>
      </c>
      <c r="B8381" s="14" t="s">
        <v>52069</v>
      </c>
      <c r="C8381" s="14" t="s">
        <v>52070</v>
      </c>
      <c r="D8381" s="14" t="s">
        <v>1950</v>
      </c>
      <c r="E8381" s="14" t="s">
        <v>52071</v>
      </c>
      <c r="F8381" s="14" t="s">
        <v>318</v>
      </c>
      <c r="G8381" s="14" t="s">
        <v>52072</v>
      </c>
      <c r="H8381" s="15" t="s">
        <v>31</v>
      </c>
      <c r="I8381" s="15">
        <v>7.0</v>
      </c>
      <c r="J8381" s="15">
        <v>1.0</v>
      </c>
      <c r="K8381" s="15">
        <v>3.0</v>
      </c>
      <c r="L8381" s="16" t="s">
        <v>52073</v>
      </c>
      <c r="M8381" s="14" t="s">
        <v>52074</v>
      </c>
      <c r="N8381" s="14" t="s">
        <v>155</v>
      </c>
      <c r="O8381" s="16" t="s">
        <v>156</v>
      </c>
      <c r="P8381" s="14" t="s">
        <v>52075</v>
      </c>
      <c r="Q8381" s="14" t="s">
        <v>52076</v>
      </c>
      <c r="R8381" s="14" t="s">
        <v>64</v>
      </c>
      <c r="S8381" s="16" t="s">
        <v>1549</v>
      </c>
      <c r="T8381" s="14" t="s">
        <v>66</v>
      </c>
      <c r="U8381" s="16" t="s">
        <v>31</v>
      </c>
      <c r="V8381" s="14" t="s">
        <v>318</v>
      </c>
      <c r="W8381" s="14" t="s">
        <v>52071</v>
      </c>
      <c r="X8381" s="17" t="str">
        <f>HYPERLINK("https://my.pitchbook.com?p=244474-66P","View People Online")</f>
        <v>View People Online</v>
      </c>
    </row>
    <row r="8382">
      <c r="A8382" s="10" t="s">
        <v>52077</v>
      </c>
      <c r="B8382" s="10" t="s">
        <v>52078</v>
      </c>
      <c r="C8382" s="10" t="s">
        <v>11210</v>
      </c>
      <c r="D8382" s="10" t="s">
        <v>673</v>
      </c>
      <c r="E8382" s="10" t="s">
        <v>52071</v>
      </c>
      <c r="F8382" s="10" t="s">
        <v>201</v>
      </c>
      <c r="G8382" s="10" t="s">
        <v>52079</v>
      </c>
      <c r="H8382" s="11" t="s">
        <v>31</v>
      </c>
      <c r="I8382" s="11">
        <v>1.0</v>
      </c>
      <c r="J8382" s="11">
        <v>1.0</v>
      </c>
      <c r="K8382" s="11" t="s">
        <v>31</v>
      </c>
      <c r="L8382" s="12" t="s">
        <v>52073</v>
      </c>
      <c r="M8382" s="10" t="s">
        <v>52080</v>
      </c>
      <c r="N8382" s="10" t="s">
        <v>155</v>
      </c>
      <c r="O8382" s="12" t="s">
        <v>156</v>
      </c>
      <c r="P8382" s="10" t="s">
        <v>52075</v>
      </c>
      <c r="Q8382" s="10" t="s">
        <v>52076</v>
      </c>
      <c r="R8382" s="10" t="s">
        <v>64</v>
      </c>
      <c r="S8382" s="12" t="s">
        <v>1549</v>
      </c>
      <c r="T8382" s="10" t="s">
        <v>66</v>
      </c>
      <c r="U8382" s="12" t="s">
        <v>31</v>
      </c>
      <c r="V8382" s="10" t="s">
        <v>201</v>
      </c>
      <c r="W8382" s="10" t="s">
        <v>52071</v>
      </c>
      <c r="X8382" s="13" t="str">
        <f>HYPERLINK("https://my.pitchbook.com?p=403304-05P","View People Online")</f>
        <v>View People Online</v>
      </c>
    </row>
    <row r="8383">
      <c r="A8383" s="6" t="s">
        <v>52081</v>
      </c>
      <c r="B8383" s="6" t="s">
        <v>52082</v>
      </c>
      <c r="C8383" s="6" t="s">
        <v>27651</v>
      </c>
      <c r="D8383" s="6" t="s">
        <v>7623</v>
      </c>
      <c r="E8383" s="6" t="s">
        <v>52071</v>
      </c>
      <c r="F8383" s="6" t="s">
        <v>33308</v>
      </c>
      <c r="G8383" s="6" t="s">
        <v>52083</v>
      </c>
      <c r="H8383" s="7" t="s">
        <v>31</v>
      </c>
      <c r="I8383" s="7">
        <v>1.0</v>
      </c>
      <c r="J8383" s="7">
        <v>1.0</v>
      </c>
      <c r="K8383" s="7" t="s">
        <v>31</v>
      </c>
      <c r="L8383" s="8" t="s">
        <v>52073</v>
      </c>
      <c r="M8383" s="6" t="s">
        <v>52084</v>
      </c>
      <c r="N8383" s="6" t="s">
        <v>155</v>
      </c>
      <c r="O8383" s="8" t="s">
        <v>156</v>
      </c>
      <c r="P8383" s="6" t="s">
        <v>52075</v>
      </c>
      <c r="Q8383" s="6" t="s">
        <v>52076</v>
      </c>
      <c r="R8383" s="6" t="s">
        <v>64</v>
      </c>
      <c r="S8383" s="8" t="s">
        <v>1549</v>
      </c>
      <c r="T8383" s="6" t="s">
        <v>66</v>
      </c>
      <c r="U8383" s="8" t="s">
        <v>31</v>
      </c>
      <c r="V8383" s="6" t="s">
        <v>52085</v>
      </c>
      <c r="W8383" s="6" t="s">
        <v>52071</v>
      </c>
      <c r="X8383" s="9" t="str">
        <f>HYPERLINK("https://my.pitchbook.com?p=85047-94P","View People Online")</f>
        <v>View People Online</v>
      </c>
    </row>
    <row r="8384">
      <c r="A8384" s="10" t="s">
        <v>52086</v>
      </c>
      <c r="B8384" s="10" t="s">
        <v>52087</v>
      </c>
      <c r="C8384" s="10" t="s">
        <v>8294</v>
      </c>
      <c r="D8384" s="10" t="s">
        <v>52088</v>
      </c>
      <c r="E8384" s="10" t="s">
        <v>52071</v>
      </c>
      <c r="F8384" s="10" t="s">
        <v>1106</v>
      </c>
      <c r="G8384" s="10" t="s">
        <v>52089</v>
      </c>
      <c r="H8384" s="11">
        <v>11.0</v>
      </c>
      <c r="I8384" s="11">
        <v>54.0</v>
      </c>
      <c r="J8384" s="11">
        <v>2.0</v>
      </c>
      <c r="K8384" s="11">
        <v>36.0</v>
      </c>
      <c r="L8384" s="12" t="s">
        <v>52073</v>
      </c>
      <c r="M8384" s="10" t="s">
        <v>52090</v>
      </c>
      <c r="N8384" s="10" t="s">
        <v>155</v>
      </c>
      <c r="O8384" s="12" t="s">
        <v>156</v>
      </c>
      <c r="P8384" s="10" t="s">
        <v>52075</v>
      </c>
      <c r="Q8384" s="10" t="s">
        <v>52076</v>
      </c>
      <c r="R8384" s="10" t="s">
        <v>64</v>
      </c>
      <c r="S8384" s="12" t="s">
        <v>1549</v>
      </c>
      <c r="T8384" s="10" t="s">
        <v>66</v>
      </c>
      <c r="U8384" s="12" t="s">
        <v>31</v>
      </c>
      <c r="V8384" s="10" t="s">
        <v>1114</v>
      </c>
      <c r="W8384" s="10" t="s">
        <v>52071</v>
      </c>
      <c r="X8384" s="13" t="str">
        <f>HYPERLINK("https://my.pitchbook.com?p=42118-48P","View People Online")</f>
        <v>View People Online</v>
      </c>
    </row>
    <row r="8385">
      <c r="A8385" s="14" t="s">
        <v>52091</v>
      </c>
      <c r="B8385" s="14" t="s">
        <v>52092</v>
      </c>
      <c r="C8385" s="14" t="s">
        <v>5092</v>
      </c>
      <c r="D8385" s="14" t="s">
        <v>52093</v>
      </c>
      <c r="E8385" s="14" t="s">
        <v>52071</v>
      </c>
      <c r="F8385" s="14" t="s">
        <v>318</v>
      </c>
      <c r="G8385" s="14" t="s">
        <v>52094</v>
      </c>
      <c r="H8385" s="15" t="s">
        <v>31</v>
      </c>
      <c r="I8385" s="15">
        <v>2.0</v>
      </c>
      <c r="J8385" s="15">
        <v>1.0</v>
      </c>
      <c r="K8385" s="15" t="s">
        <v>31</v>
      </c>
      <c r="L8385" s="16" t="s">
        <v>52073</v>
      </c>
      <c r="M8385" s="14" t="s">
        <v>52095</v>
      </c>
      <c r="N8385" s="14" t="s">
        <v>155</v>
      </c>
      <c r="O8385" s="16" t="s">
        <v>156</v>
      </c>
      <c r="P8385" s="14" t="s">
        <v>52075</v>
      </c>
      <c r="Q8385" s="14" t="s">
        <v>52076</v>
      </c>
      <c r="R8385" s="14" t="s">
        <v>64</v>
      </c>
      <c r="S8385" s="16" t="s">
        <v>1549</v>
      </c>
      <c r="T8385" s="14" t="s">
        <v>66</v>
      </c>
      <c r="U8385" s="16" t="s">
        <v>31</v>
      </c>
      <c r="V8385" s="14" t="s">
        <v>318</v>
      </c>
      <c r="W8385" s="14" t="s">
        <v>52071</v>
      </c>
      <c r="X8385" s="17" t="str">
        <f>HYPERLINK("https://my.pitchbook.com?p=365236-21P","View People Online")</f>
        <v>View People Online</v>
      </c>
    </row>
    <row r="8386">
      <c r="A8386" s="10" t="s">
        <v>52096</v>
      </c>
      <c r="B8386" s="10" t="s">
        <v>52097</v>
      </c>
      <c r="C8386" s="10" t="s">
        <v>31275</v>
      </c>
      <c r="D8386" s="10" t="s">
        <v>3354</v>
      </c>
      <c r="E8386" s="10" t="s">
        <v>52071</v>
      </c>
      <c r="F8386" s="10" t="s">
        <v>502</v>
      </c>
      <c r="G8386" s="10" t="s">
        <v>52098</v>
      </c>
      <c r="H8386" s="11" t="s">
        <v>31</v>
      </c>
      <c r="I8386" s="11">
        <v>1.0</v>
      </c>
      <c r="J8386" s="11">
        <v>1.0</v>
      </c>
      <c r="K8386" s="11" t="s">
        <v>31</v>
      </c>
      <c r="L8386" s="12" t="s">
        <v>52099</v>
      </c>
      <c r="M8386" s="10" t="s">
        <v>52100</v>
      </c>
      <c r="N8386" s="10" t="s">
        <v>155</v>
      </c>
      <c r="O8386" s="12" t="s">
        <v>156</v>
      </c>
      <c r="P8386" s="10" t="s">
        <v>52075</v>
      </c>
      <c r="Q8386" s="10" t="s">
        <v>52076</v>
      </c>
      <c r="R8386" s="10" t="s">
        <v>64</v>
      </c>
      <c r="S8386" s="12" t="s">
        <v>1549</v>
      </c>
      <c r="T8386" s="10" t="s">
        <v>66</v>
      </c>
      <c r="U8386" s="12" t="s">
        <v>31</v>
      </c>
      <c r="V8386" s="10" t="s">
        <v>502</v>
      </c>
      <c r="W8386" s="10" t="s">
        <v>52071</v>
      </c>
      <c r="X8386" s="13" t="str">
        <f>HYPERLINK("https://my.pitchbook.com?p=11527-75P","View People Online")</f>
        <v>View People Online</v>
      </c>
    </row>
    <row r="8387">
      <c r="A8387" s="14" t="s">
        <v>52101</v>
      </c>
      <c r="B8387" s="14" t="s">
        <v>52102</v>
      </c>
      <c r="C8387" s="14" t="s">
        <v>2221</v>
      </c>
      <c r="D8387" s="14" t="s">
        <v>52103</v>
      </c>
      <c r="E8387" s="14" t="s">
        <v>52071</v>
      </c>
      <c r="F8387" s="14" t="s">
        <v>152</v>
      </c>
      <c r="G8387" s="14" t="s">
        <v>52104</v>
      </c>
      <c r="H8387" s="15" t="s">
        <v>31</v>
      </c>
      <c r="I8387" s="15">
        <v>3.0</v>
      </c>
      <c r="J8387" s="15">
        <v>3.0</v>
      </c>
      <c r="K8387" s="15" t="s">
        <v>31</v>
      </c>
      <c r="L8387" s="16" t="s">
        <v>52105</v>
      </c>
      <c r="M8387" s="14" t="s">
        <v>52106</v>
      </c>
      <c r="N8387" s="14" t="s">
        <v>155</v>
      </c>
      <c r="O8387" s="16" t="s">
        <v>156</v>
      </c>
      <c r="P8387" s="14" t="s">
        <v>52075</v>
      </c>
      <c r="Q8387" s="14" t="s">
        <v>52107</v>
      </c>
      <c r="R8387" s="14" t="s">
        <v>64</v>
      </c>
      <c r="S8387" s="16" t="s">
        <v>1549</v>
      </c>
      <c r="T8387" s="14" t="s">
        <v>66</v>
      </c>
      <c r="U8387" s="16" t="s">
        <v>52108</v>
      </c>
      <c r="V8387" s="14" t="s">
        <v>38644</v>
      </c>
      <c r="W8387" s="14" t="s">
        <v>52109</v>
      </c>
      <c r="X8387" s="17" t="str">
        <f>HYPERLINK("https://my.pitchbook.com?p=95866-39P","View People Online")</f>
        <v>View People Online</v>
      </c>
    </row>
    <row r="8388">
      <c r="A8388" s="2" t="s">
        <v>52110</v>
      </c>
      <c r="B8388" s="2" t="s">
        <v>52111</v>
      </c>
      <c r="C8388" s="2" t="s">
        <v>2288</v>
      </c>
      <c r="D8388" s="2" t="s">
        <v>52112</v>
      </c>
      <c r="E8388" s="2" t="s">
        <v>52071</v>
      </c>
      <c r="F8388" s="2" t="s">
        <v>1283</v>
      </c>
      <c r="G8388" s="2" t="s">
        <v>52113</v>
      </c>
      <c r="H8388" s="3">
        <v>10.0</v>
      </c>
      <c r="I8388" s="3">
        <v>57.0</v>
      </c>
      <c r="J8388" s="3">
        <v>1.0</v>
      </c>
      <c r="K8388" s="3">
        <v>43.0</v>
      </c>
      <c r="L8388" s="4" t="s">
        <v>52073</v>
      </c>
      <c r="M8388" s="2" t="s">
        <v>52114</v>
      </c>
      <c r="N8388" s="2" t="s">
        <v>155</v>
      </c>
      <c r="O8388" s="4" t="s">
        <v>156</v>
      </c>
      <c r="P8388" s="2" t="s">
        <v>52075</v>
      </c>
      <c r="Q8388" s="2" t="s">
        <v>52076</v>
      </c>
      <c r="R8388" s="2" t="s">
        <v>64</v>
      </c>
      <c r="S8388" s="4" t="s">
        <v>1549</v>
      </c>
      <c r="T8388" s="2" t="s">
        <v>66</v>
      </c>
      <c r="U8388" s="4" t="s">
        <v>31</v>
      </c>
      <c r="V8388" s="2" t="s">
        <v>1283</v>
      </c>
      <c r="W8388" s="2" t="s">
        <v>52071</v>
      </c>
      <c r="X8388" s="5" t="str">
        <f>HYPERLINK("https://my.pitchbook.com?p=68131-90P","View People Online")</f>
        <v>View People Online</v>
      </c>
    </row>
    <row r="8389">
      <c r="A8389" s="6" t="s">
        <v>52115</v>
      </c>
      <c r="B8389" s="6" t="s">
        <v>52116</v>
      </c>
      <c r="C8389" s="6" t="s">
        <v>160</v>
      </c>
      <c r="D8389" s="6" t="s">
        <v>29686</v>
      </c>
      <c r="E8389" s="6" t="s">
        <v>52071</v>
      </c>
      <c r="F8389" s="6" t="s">
        <v>1283</v>
      </c>
      <c r="G8389" s="6" t="s">
        <v>52117</v>
      </c>
      <c r="H8389" s="7">
        <v>2.0</v>
      </c>
      <c r="I8389" s="7">
        <v>19.0</v>
      </c>
      <c r="J8389" s="7">
        <v>1.0</v>
      </c>
      <c r="K8389" s="7">
        <v>12.0</v>
      </c>
      <c r="L8389" s="8" t="s">
        <v>52073</v>
      </c>
      <c r="M8389" s="6" t="s">
        <v>52118</v>
      </c>
      <c r="N8389" s="6" t="s">
        <v>155</v>
      </c>
      <c r="O8389" s="8" t="s">
        <v>156</v>
      </c>
      <c r="P8389" s="6" t="s">
        <v>52075</v>
      </c>
      <c r="Q8389" s="6" t="s">
        <v>52076</v>
      </c>
      <c r="R8389" s="6" t="s">
        <v>64</v>
      </c>
      <c r="S8389" s="8" t="s">
        <v>1549</v>
      </c>
      <c r="T8389" s="6" t="s">
        <v>66</v>
      </c>
      <c r="U8389" s="8" t="s">
        <v>31</v>
      </c>
      <c r="V8389" s="6" t="s">
        <v>1283</v>
      </c>
      <c r="W8389" s="6" t="s">
        <v>52071</v>
      </c>
      <c r="X8389" s="9" t="str">
        <f>HYPERLINK("https://my.pitchbook.com?p=42478-93P","View People Online")</f>
        <v>View People Online</v>
      </c>
    </row>
    <row r="8390">
      <c r="A8390" s="2" t="s">
        <v>52119</v>
      </c>
      <c r="B8390" s="2" t="s">
        <v>52120</v>
      </c>
      <c r="C8390" s="2" t="s">
        <v>20223</v>
      </c>
      <c r="D8390" s="2" t="s">
        <v>27677</v>
      </c>
      <c r="E8390" s="2" t="s">
        <v>52071</v>
      </c>
      <c r="F8390" s="2" t="s">
        <v>152</v>
      </c>
      <c r="G8390" s="2" t="s">
        <v>52121</v>
      </c>
      <c r="H8390" s="3">
        <v>1.0</v>
      </c>
      <c r="I8390" s="3">
        <v>5.0</v>
      </c>
      <c r="J8390" s="3">
        <v>4.0</v>
      </c>
      <c r="K8390" s="3" t="s">
        <v>31</v>
      </c>
      <c r="L8390" s="4" t="s">
        <v>52122</v>
      </c>
      <c r="M8390" s="2" t="s">
        <v>52123</v>
      </c>
      <c r="N8390" s="2" t="s">
        <v>155</v>
      </c>
      <c r="O8390" s="4" t="s">
        <v>156</v>
      </c>
      <c r="P8390" s="2" t="s">
        <v>52075</v>
      </c>
      <c r="Q8390" s="2" t="s">
        <v>52076</v>
      </c>
      <c r="R8390" s="2" t="s">
        <v>64</v>
      </c>
      <c r="S8390" s="4" t="s">
        <v>1549</v>
      </c>
      <c r="T8390" s="2" t="s">
        <v>66</v>
      </c>
      <c r="U8390" s="4" t="s">
        <v>31</v>
      </c>
      <c r="V8390" s="2" t="s">
        <v>157</v>
      </c>
      <c r="W8390" s="2" t="s">
        <v>52071</v>
      </c>
      <c r="X8390" s="5" t="str">
        <f>HYPERLINK("https://my.pitchbook.com?p=95865-40P","View People Online")</f>
        <v>View People Online</v>
      </c>
    </row>
    <row r="8391">
      <c r="A8391" s="6" t="s">
        <v>52124</v>
      </c>
      <c r="B8391" s="6" t="s">
        <v>52125</v>
      </c>
      <c r="C8391" s="6" t="s">
        <v>1066</v>
      </c>
      <c r="D8391" s="6" t="s">
        <v>5630</v>
      </c>
      <c r="E8391" s="6" t="s">
        <v>52071</v>
      </c>
      <c r="F8391" s="6" t="s">
        <v>1283</v>
      </c>
      <c r="G8391" s="6" t="s">
        <v>52126</v>
      </c>
      <c r="H8391" s="7">
        <v>7.0</v>
      </c>
      <c r="I8391" s="7">
        <v>68.0</v>
      </c>
      <c r="J8391" s="7">
        <v>1.0</v>
      </c>
      <c r="K8391" s="7">
        <v>54.0</v>
      </c>
      <c r="L8391" s="8" t="s">
        <v>52073</v>
      </c>
      <c r="M8391" s="6" t="s">
        <v>52127</v>
      </c>
      <c r="N8391" s="6" t="s">
        <v>155</v>
      </c>
      <c r="O8391" s="8" t="s">
        <v>156</v>
      </c>
      <c r="P8391" s="6" t="s">
        <v>52075</v>
      </c>
      <c r="Q8391" s="6" t="s">
        <v>52076</v>
      </c>
      <c r="R8391" s="6" t="s">
        <v>64</v>
      </c>
      <c r="S8391" s="8" t="s">
        <v>1549</v>
      </c>
      <c r="T8391" s="6" t="s">
        <v>66</v>
      </c>
      <c r="U8391" s="8" t="s">
        <v>31</v>
      </c>
      <c r="V8391" s="6" t="s">
        <v>1283</v>
      </c>
      <c r="W8391" s="6" t="s">
        <v>52071</v>
      </c>
      <c r="X8391" s="9" t="str">
        <f>HYPERLINK("https://my.pitchbook.com?p=13725-82P","View People Online")</f>
        <v>View People Online</v>
      </c>
    </row>
    <row r="8392">
      <c r="A8392" s="2" t="s">
        <v>52128</v>
      </c>
      <c r="B8392" s="2" t="s">
        <v>52129</v>
      </c>
      <c r="C8392" s="2" t="s">
        <v>52130</v>
      </c>
      <c r="D8392" s="2" t="s">
        <v>52131</v>
      </c>
      <c r="E8392" s="2" t="s">
        <v>52071</v>
      </c>
      <c r="F8392" s="2" t="s">
        <v>270</v>
      </c>
      <c r="G8392" s="2" t="s">
        <v>52132</v>
      </c>
      <c r="H8392" s="3" t="s">
        <v>31</v>
      </c>
      <c r="I8392" s="3">
        <v>1.0</v>
      </c>
      <c r="J8392" s="3">
        <v>1.0</v>
      </c>
      <c r="K8392" s="3" t="s">
        <v>31</v>
      </c>
      <c r="L8392" s="4" t="s">
        <v>52073</v>
      </c>
      <c r="M8392" s="2" t="s">
        <v>52133</v>
      </c>
      <c r="N8392" s="2" t="s">
        <v>155</v>
      </c>
      <c r="O8392" s="4" t="s">
        <v>156</v>
      </c>
      <c r="P8392" s="2" t="s">
        <v>52075</v>
      </c>
      <c r="Q8392" s="2" t="s">
        <v>52076</v>
      </c>
      <c r="R8392" s="2" t="s">
        <v>64</v>
      </c>
      <c r="S8392" s="4" t="s">
        <v>1549</v>
      </c>
      <c r="T8392" s="2" t="s">
        <v>66</v>
      </c>
      <c r="U8392" s="4" t="s">
        <v>31</v>
      </c>
      <c r="V8392" s="2" t="s">
        <v>8217</v>
      </c>
      <c r="W8392" s="2" t="s">
        <v>52071</v>
      </c>
      <c r="X8392" s="5" t="str">
        <f>HYPERLINK("https://my.pitchbook.com?p=352708-57P","View People Online")</f>
        <v>View People Online</v>
      </c>
    </row>
    <row r="8393">
      <c r="A8393" s="14" t="s">
        <v>52134</v>
      </c>
      <c r="B8393" s="14" t="s">
        <v>52135</v>
      </c>
      <c r="C8393" s="14" t="s">
        <v>7413</v>
      </c>
      <c r="D8393" s="14" t="s">
        <v>52136</v>
      </c>
      <c r="E8393" s="14" t="s">
        <v>52137</v>
      </c>
      <c r="F8393" s="14" t="s">
        <v>78</v>
      </c>
      <c r="G8393" s="14" t="s">
        <v>52138</v>
      </c>
      <c r="H8393" s="15" t="s">
        <v>31</v>
      </c>
      <c r="I8393" s="15">
        <v>1.0</v>
      </c>
      <c r="J8393" s="15">
        <v>1.0</v>
      </c>
      <c r="K8393" s="15" t="s">
        <v>31</v>
      </c>
      <c r="L8393" s="16" t="s">
        <v>52139</v>
      </c>
      <c r="M8393" s="14" t="s">
        <v>52140</v>
      </c>
      <c r="N8393" s="14" t="s">
        <v>39870</v>
      </c>
      <c r="O8393" s="16" t="s">
        <v>39871</v>
      </c>
      <c r="P8393" s="14" t="s">
        <v>52141</v>
      </c>
      <c r="Q8393" s="14" t="s">
        <v>52142</v>
      </c>
      <c r="R8393" s="14" t="s">
        <v>64</v>
      </c>
      <c r="S8393" s="16" t="s">
        <v>43175</v>
      </c>
      <c r="T8393" s="14" t="s">
        <v>66</v>
      </c>
      <c r="U8393" s="16" t="s">
        <v>31</v>
      </c>
      <c r="V8393" s="14" t="s">
        <v>52143</v>
      </c>
      <c r="W8393" s="14" t="s">
        <v>52137</v>
      </c>
      <c r="X8393" s="17" t="str">
        <f>HYPERLINK("https://my.pitchbook.com?p=418519-99P","View People Online")</f>
        <v>View People Online</v>
      </c>
    </row>
    <row r="8394">
      <c r="A8394" s="10" t="s">
        <v>52144</v>
      </c>
      <c r="B8394" s="10" t="s">
        <v>52145</v>
      </c>
      <c r="C8394" s="10" t="s">
        <v>52146</v>
      </c>
      <c r="D8394" s="10" t="s">
        <v>52147</v>
      </c>
      <c r="E8394" s="10" t="s">
        <v>52137</v>
      </c>
      <c r="F8394" s="10" t="s">
        <v>318</v>
      </c>
      <c r="G8394" s="10" t="s">
        <v>52148</v>
      </c>
      <c r="H8394" s="11" t="s">
        <v>31</v>
      </c>
      <c r="I8394" s="11">
        <v>1.0</v>
      </c>
      <c r="J8394" s="11">
        <v>1.0</v>
      </c>
      <c r="K8394" s="11" t="s">
        <v>31</v>
      </c>
      <c r="L8394" s="12" t="s">
        <v>52149</v>
      </c>
      <c r="M8394" s="10" t="s">
        <v>31</v>
      </c>
      <c r="N8394" s="10" t="s">
        <v>243</v>
      </c>
      <c r="O8394" s="12" t="s">
        <v>244</v>
      </c>
      <c r="P8394" s="10" t="s">
        <v>52150</v>
      </c>
      <c r="Q8394" s="10" t="s">
        <v>52151</v>
      </c>
      <c r="R8394" s="10" t="s">
        <v>247</v>
      </c>
      <c r="S8394" s="12" t="s">
        <v>52152</v>
      </c>
      <c r="T8394" s="10" t="s">
        <v>249</v>
      </c>
      <c r="U8394" s="12" t="s">
        <v>31</v>
      </c>
      <c r="V8394" s="10" t="s">
        <v>318</v>
      </c>
      <c r="W8394" s="10" t="s">
        <v>52137</v>
      </c>
      <c r="X8394" s="13" t="str">
        <f>HYPERLINK("https://my.pitchbook.com?p=357204-70P","View People Online")</f>
        <v>View People Online</v>
      </c>
    </row>
    <row r="8395">
      <c r="A8395" s="6" t="s">
        <v>52153</v>
      </c>
      <c r="B8395" s="6" t="s">
        <v>52154</v>
      </c>
      <c r="C8395" s="6" t="s">
        <v>52155</v>
      </c>
      <c r="D8395" s="6" t="s">
        <v>52156</v>
      </c>
      <c r="E8395" s="6" t="s">
        <v>52137</v>
      </c>
      <c r="F8395" s="6" t="s">
        <v>318</v>
      </c>
      <c r="G8395" s="6" t="s">
        <v>52157</v>
      </c>
      <c r="H8395" s="7" t="s">
        <v>31</v>
      </c>
      <c r="I8395" s="7">
        <v>1.0</v>
      </c>
      <c r="J8395" s="7">
        <v>1.0</v>
      </c>
      <c r="K8395" s="7" t="s">
        <v>31</v>
      </c>
      <c r="L8395" s="8" t="s">
        <v>52149</v>
      </c>
      <c r="M8395" s="6" t="s">
        <v>52158</v>
      </c>
      <c r="N8395" s="6" t="s">
        <v>243</v>
      </c>
      <c r="O8395" s="8" t="s">
        <v>244</v>
      </c>
      <c r="P8395" s="6" t="s">
        <v>52150</v>
      </c>
      <c r="Q8395" s="6" t="s">
        <v>52151</v>
      </c>
      <c r="R8395" s="6" t="s">
        <v>247</v>
      </c>
      <c r="S8395" s="8" t="s">
        <v>52152</v>
      </c>
      <c r="T8395" s="6" t="s">
        <v>249</v>
      </c>
      <c r="U8395" s="8" t="s">
        <v>31</v>
      </c>
      <c r="V8395" s="6" t="s">
        <v>6380</v>
      </c>
      <c r="W8395" s="6" t="s">
        <v>52137</v>
      </c>
      <c r="X8395" s="9" t="str">
        <f>HYPERLINK("https://my.pitchbook.com?p=418502-62P","View People Online")</f>
        <v>View People Online</v>
      </c>
    </row>
    <row r="8396">
      <c r="A8396" s="2" t="s">
        <v>52159</v>
      </c>
      <c r="B8396" s="2" t="s">
        <v>52160</v>
      </c>
      <c r="C8396" s="2" t="s">
        <v>11193</v>
      </c>
      <c r="D8396" s="2" t="s">
        <v>52161</v>
      </c>
      <c r="E8396" s="2" t="s">
        <v>52137</v>
      </c>
      <c r="F8396" s="2" t="s">
        <v>548</v>
      </c>
      <c r="G8396" s="2" t="s">
        <v>52162</v>
      </c>
      <c r="H8396" s="3">
        <v>1.0</v>
      </c>
      <c r="I8396" s="3">
        <v>2.0</v>
      </c>
      <c r="J8396" s="3">
        <v>1.0</v>
      </c>
      <c r="K8396" s="3" t="s">
        <v>31</v>
      </c>
      <c r="L8396" s="4" t="s">
        <v>52149</v>
      </c>
      <c r="M8396" s="2" t="s">
        <v>31</v>
      </c>
      <c r="N8396" s="2" t="s">
        <v>243</v>
      </c>
      <c r="O8396" s="4" t="s">
        <v>244</v>
      </c>
      <c r="P8396" s="2" t="s">
        <v>52150</v>
      </c>
      <c r="Q8396" s="2" t="s">
        <v>52151</v>
      </c>
      <c r="R8396" s="2" t="s">
        <v>247</v>
      </c>
      <c r="S8396" s="4" t="s">
        <v>52152</v>
      </c>
      <c r="T8396" s="2" t="s">
        <v>249</v>
      </c>
      <c r="U8396" s="4" t="s">
        <v>31</v>
      </c>
      <c r="V8396" s="2" t="s">
        <v>2422</v>
      </c>
      <c r="W8396" s="2" t="s">
        <v>52137</v>
      </c>
      <c r="X8396" s="5" t="str">
        <f>HYPERLINK("https://my.pitchbook.com?p=305094-07P","View People Online")</f>
        <v>View People Online</v>
      </c>
    </row>
    <row r="8397">
      <c r="A8397" s="6" t="s">
        <v>52163</v>
      </c>
      <c r="B8397" s="6" t="s">
        <v>52164</v>
      </c>
      <c r="C8397" s="6" t="s">
        <v>23747</v>
      </c>
      <c r="D8397" s="6" t="s">
        <v>49817</v>
      </c>
      <c r="E8397" s="6" t="s">
        <v>52137</v>
      </c>
      <c r="F8397" s="6" t="s">
        <v>371</v>
      </c>
      <c r="G8397" s="6" t="s">
        <v>52165</v>
      </c>
      <c r="H8397" s="7" t="s">
        <v>31</v>
      </c>
      <c r="I8397" s="7">
        <v>1.0</v>
      </c>
      <c r="J8397" s="7">
        <v>1.0</v>
      </c>
      <c r="K8397" s="7" t="s">
        <v>31</v>
      </c>
      <c r="L8397" s="8" t="s">
        <v>52139</v>
      </c>
      <c r="M8397" s="6" t="s">
        <v>52166</v>
      </c>
      <c r="N8397" s="6" t="s">
        <v>39870</v>
      </c>
      <c r="O8397" s="8" t="s">
        <v>39871</v>
      </c>
      <c r="P8397" s="6" t="s">
        <v>52141</v>
      </c>
      <c r="Q8397" s="6" t="s">
        <v>52142</v>
      </c>
      <c r="R8397" s="6" t="s">
        <v>64</v>
      </c>
      <c r="S8397" s="8" t="s">
        <v>43175</v>
      </c>
      <c r="T8397" s="6" t="s">
        <v>66</v>
      </c>
      <c r="U8397" s="8" t="s">
        <v>31</v>
      </c>
      <c r="V8397" s="6" t="s">
        <v>52167</v>
      </c>
      <c r="W8397" s="6" t="s">
        <v>52137</v>
      </c>
      <c r="X8397" s="9" t="str">
        <f>HYPERLINK("https://my.pitchbook.com?p=42067-72P","View People Online")</f>
        <v>View People Online</v>
      </c>
    </row>
    <row r="8398">
      <c r="A8398" s="2" t="s">
        <v>52168</v>
      </c>
      <c r="B8398" s="2" t="s">
        <v>52169</v>
      </c>
      <c r="C8398" s="2" t="s">
        <v>52170</v>
      </c>
      <c r="D8398" s="2" t="s">
        <v>52171</v>
      </c>
      <c r="E8398" s="2" t="s">
        <v>52137</v>
      </c>
      <c r="F8398" s="2" t="s">
        <v>221</v>
      </c>
      <c r="G8398" s="2" t="s">
        <v>52172</v>
      </c>
      <c r="H8398" s="3" t="s">
        <v>31</v>
      </c>
      <c r="I8398" s="3">
        <v>1.0</v>
      </c>
      <c r="J8398" s="3">
        <v>1.0</v>
      </c>
      <c r="K8398" s="3" t="s">
        <v>31</v>
      </c>
      <c r="L8398" s="4" t="s">
        <v>52139</v>
      </c>
      <c r="M8398" s="2" t="s">
        <v>52173</v>
      </c>
      <c r="N8398" s="2" t="s">
        <v>39870</v>
      </c>
      <c r="O8398" s="4" t="s">
        <v>39871</v>
      </c>
      <c r="P8398" s="2" t="s">
        <v>52141</v>
      </c>
      <c r="Q8398" s="2" t="s">
        <v>52142</v>
      </c>
      <c r="R8398" s="2" t="s">
        <v>64</v>
      </c>
      <c r="S8398" s="4" t="s">
        <v>43175</v>
      </c>
      <c r="T8398" s="2" t="s">
        <v>66</v>
      </c>
      <c r="U8398" s="4" t="s">
        <v>31</v>
      </c>
      <c r="V8398" s="2" t="s">
        <v>221</v>
      </c>
      <c r="W8398" s="2" t="s">
        <v>52137</v>
      </c>
      <c r="X8398" s="5" t="str">
        <f>HYPERLINK("https://my.pitchbook.com?p=418515-67P","View People Online")</f>
        <v>View People Online</v>
      </c>
    </row>
    <row r="8399">
      <c r="A8399" s="14" t="s">
        <v>52174</v>
      </c>
      <c r="B8399" s="14" t="s">
        <v>52175</v>
      </c>
      <c r="C8399" s="14" t="s">
        <v>5358</v>
      </c>
      <c r="D8399" s="14" t="s">
        <v>52176</v>
      </c>
      <c r="E8399" s="14" t="s">
        <v>52137</v>
      </c>
      <c r="F8399" s="14" t="s">
        <v>3877</v>
      </c>
      <c r="G8399" s="14" t="s">
        <v>52177</v>
      </c>
      <c r="H8399" s="15" t="s">
        <v>31</v>
      </c>
      <c r="I8399" s="15">
        <v>1.0</v>
      </c>
      <c r="J8399" s="15">
        <v>1.0</v>
      </c>
      <c r="K8399" s="15" t="s">
        <v>31</v>
      </c>
      <c r="L8399" s="16" t="s">
        <v>52139</v>
      </c>
      <c r="M8399" s="14" t="s">
        <v>52178</v>
      </c>
      <c r="N8399" s="14" t="s">
        <v>39870</v>
      </c>
      <c r="O8399" s="16" t="s">
        <v>39871</v>
      </c>
      <c r="P8399" s="14" t="s">
        <v>52141</v>
      </c>
      <c r="Q8399" s="14" t="s">
        <v>52142</v>
      </c>
      <c r="R8399" s="14" t="s">
        <v>64</v>
      </c>
      <c r="S8399" s="16" t="s">
        <v>43175</v>
      </c>
      <c r="T8399" s="14" t="s">
        <v>66</v>
      </c>
      <c r="U8399" s="16" t="s">
        <v>31</v>
      </c>
      <c r="V8399" s="14" t="s">
        <v>8217</v>
      </c>
      <c r="W8399" s="14" t="s">
        <v>52137</v>
      </c>
      <c r="X8399" s="17" t="str">
        <f>HYPERLINK("https://my.pitchbook.com?p=196925-23P","View People Online")</f>
        <v>View People Online</v>
      </c>
    </row>
    <row r="8400">
      <c r="A8400" s="10" t="s">
        <v>52179</v>
      </c>
      <c r="B8400" s="10" t="s">
        <v>52180</v>
      </c>
      <c r="C8400" s="10" t="s">
        <v>18485</v>
      </c>
      <c r="D8400" s="10" t="s">
        <v>52181</v>
      </c>
      <c r="E8400" s="10" t="s">
        <v>52137</v>
      </c>
      <c r="F8400" s="10" t="s">
        <v>318</v>
      </c>
      <c r="G8400" s="10" t="s">
        <v>52182</v>
      </c>
      <c r="H8400" s="11" t="s">
        <v>31</v>
      </c>
      <c r="I8400" s="11">
        <v>1.0</v>
      </c>
      <c r="J8400" s="11">
        <v>1.0</v>
      </c>
      <c r="K8400" s="11" t="s">
        <v>31</v>
      </c>
      <c r="L8400" s="12" t="s">
        <v>52139</v>
      </c>
      <c r="M8400" s="10" t="s">
        <v>52183</v>
      </c>
      <c r="N8400" s="10" t="s">
        <v>39870</v>
      </c>
      <c r="O8400" s="12" t="s">
        <v>39871</v>
      </c>
      <c r="P8400" s="10" t="s">
        <v>52141</v>
      </c>
      <c r="Q8400" s="10" t="s">
        <v>52142</v>
      </c>
      <c r="R8400" s="10" t="s">
        <v>64</v>
      </c>
      <c r="S8400" s="12" t="s">
        <v>43175</v>
      </c>
      <c r="T8400" s="10" t="s">
        <v>66</v>
      </c>
      <c r="U8400" s="12" t="s">
        <v>31</v>
      </c>
      <c r="V8400" s="10" t="s">
        <v>318</v>
      </c>
      <c r="W8400" s="10" t="s">
        <v>52137</v>
      </c>
      <c r="X8400" s="13" t="str">
        <f>HYPERLINK("https://my.pitchbook.com?p=222194-53P","View People Online")</f>
        <v>View People Online</v>
      </c>
    </row>
    <row r="8401">
      <c r="A8401" s="14" t="s">
        <v>52184</v>
      </c>
      <c r="B8401" s="14" t="s">
        <v>52185</v>
      </c>
      <c r="C8401" s="14" t="s">
        <v>18657</v>
      </c>
      <c r="D8401" s="14" t="s">
        <v>52186</v>
      </c>
      <c r="E8401" s="14" t="s">
        <v>52137</v>
      </c>
      <c r="F8401" s="14" t="s">
        <v>221</v>
      </c>
      <c r="G8401" s="14" t="s">
        <v>52187</v>
      </c>
      <c r="H8401" s="15" t="s">
        <v>31</v>
      </c>
      <c r="I8401" s="15">
        <v>1.0</v>
      </c>
      <c r="J8401" s="15">
        <v>1.0</v>
      </c>
      <c r="K8401" s="15" t="s">
        <v>31</v>
      </c>
      <c r="L8401" s="16" t="s">
        <v>52149</v>
      </c>
      <c r="M8401" s="14" t="s">
        <v>31</v>
      </c>
      <c r="N8401" s="14" t="s">
        <v>243</v>
      </c>
      <c r="O8401" s="16" t="s">
        <v>244</v>
      </c>
      <c r="P8401" s="14" t="s">
        <v>52150</v>
      </c>
      <c r="Q8401" s="14" t="s">
        <v>52151</v>
      </c>
      <c r="R8401" s="14" t="s">
        <v>247</v>
      </c>
      <c r="S8401" s="16" t="s">
        <v>52152</v>
      </c>
      <c r="T8401" s="14" t="s">
        <v>249</v>
      </c>
      <c r="U8401" s="16" t="s">
        <v>31</v>
      </c>
      <c r="V8401" s="14" t="s">
        <v>221</v>
      </c>
      <c r="W8401" s="14" t="s">
        <v>52137</v>
      </c>
      <c r="X8401" s="17" t="str">
        <f>HYPERLINK("https://my.pitchbook.com?p=370447-66P","View People Online")</f>
        <v>View People Online</v>
      </c>
    </row>
    <row r="8402">
      <c r="A8402" s="10" t="s">
        <v>52188</v>
      </c>
      <c r="B8402" s="10" t="s">
        <v>52189</v>
      </c>
      <c r="C8402" s="10" t="s">
        <v>52190</v>
      </c>
      <c r="D8402" s="10" t="s">
        <v>52191</v>
      </c>
      <c r="E8402" s="10" t="s">
        <v>52137</v>
      </c>
      <c r="F8402" s="10" t="s">
        <v>1283</v>
      </c>
      <c r="G8402" s="10" t="s">
        <v>52192</v>
      </c>
      <c r="H8402" s="11" t="s">
        <v>31</v>
      </c>
      <c r="I8402" s="11">
        <v>2.0</v>
      </c>
      <c r="J8402" s="11">
        <v>1.0</v>
      </c>
      <c r="K8402" s="11">
        <v>1.0</v>
      </c>
      <c r="L8402" s="12" t="s">
        <v>52139</v>
      </c>
      <c r="M8402" s="10" t="s">
        <v>31</v>
      </c>
      <c r="N8402" s="10" t="s">
        <v>243</v>
      </c>
      <c r="O8402" s="12" t="s">
        <v>244</v>
      </c>
      <c r="P8402" s="10" t="s">
        <v>52150</v>
      </c>
      <c r="Q8402" s="10" t="s">
        <v>52151</v>
      </c>
      <c r="R8402" s="10" t="s">
        <v>247</v>
      </c>
      <c r="S8402" s="12" t="s">
        <v>52152</v>
      </c>
      <c r="T8402" s="10" t="s">
        <v>249</v>
      </c>
      <c r="U8402" s="12" t="s">
        <v>31</v>
      </c>
      <c r="V8402" s="10" t="s">
        <v>1283</v>
      </c>
      <c r="W8402" s="10" t="s">
        <v>52137</v>
      </c>
      <c r="X8402" s="13" t="str">
        <f>HYPERLINK("https://my.pitchbook.com?p=300130-57P","View People Online")</f>
        <v>View People Online</v>
      </c>
    </row>
    <row r="8403">
      <c r="A8403" s="14" t="s">
        <v>52193</v>
      </c>
      <c r="B8403" s="14" t="s">
        <v>52194</v>
      </c>
      <c r="C8403" s="14" t="s">
        <v>868</v>
      </c>
      <c r="D8403" s="14" t="s">
        <v>52195</v>
      </c>
      <c r="E8403" s="14" t="s">
        <v>52137</v>
      </c>
      <c r="F8403" s="14" t="s">
        <v>6567</v>
      </c>
      <c r="G8403" s="14" t="s">
        <v>52196</v>
      </c>
      <c r="H8403" s="15" t="s">
        <v>31</v>
      </c>
      <c r="I8403" s="15">
        <v>1.0</v>
      </c>
      <c r="J8403" s="15">
        <v>1.0</v>
      </c>
      <c r="K8403" s="15" t="s">
        <v>31</v>
      </c>
      <c r="L8403" s="16" t="s">
        <v>52139</v>
      </c>
      <c r="M8403" s="14" t="s">
        <v>52197</v>
      </c>
      <c r="N8403" s="14" t="s">
        <v>39870</v>
      </c>
      <c r="O8403" s="16" t="s">
        <v>39871</v>
      </c>
      <c r="P8403" s="14" t="s">
        <v>52141</v>
      </c>
      <c r="Q8403" s="14" t="s">
        <v>52142</v>
      </c>
      <c r="R8403" s="14" t="s">
        <v>64</v>
      </c>
      <c r="S8403" s="16" t="s">
        <v>43175</v>
      </c>
      <c r="T8403" s="14" t="s">
        <v>66</v>
      </c>
      <c r="U8403" s="16" t="s">
        <v>31</v>
      </c>
      <c r="V8403" s="14" t="s">
        <v>52198</v>
      </c>
      <c r="W8403" s="14" t="s">
        <v>52137</v>
      </c>
      <c r="X8403" s="17" t="str">
        <f>HYPERLINK("https://my.pitchbook.com?p=209888-38P","View People Online")</f>
        <v>View People Online</v>
      </c>
    </row>
    <row r="8404">
      <c r="A8404" s="2" t="s">
        <v>52199</v>
      </c>
      <c r="B8404" s="2" t="s">
        <v>52200</v>
      </c>
      <c r="C8404" s="2" t="s">
        <v>19500</v>
      </c>
      <c r="D8404" s="2" t="s">
        <v>52201</v>
      </c>
      <c r="E8404" s="2" t="s">
        <v>52137</v>
      </c>
      <c r="F8404" s="2" t="s">
        <v>3600</v>
      </c>
      <c r="G8404" s="2" t="s">
        <v>52202</v>
      </c>
      <c r="H8404" s="3" t="s">
        <v>31</v>
      </c>
      <c r="I8404" s="3">
        <v>1.0</v>
      </c>
      <c r="J8404" s="3">
        <v>1.0</v>
      </c>
      <c r="K8404" s="3" t="s">
        <v>31</v>
      </c>
      <c r="L8404" s="4" t="s">
        <v>52139</v>
      </c>
      <c r="M8404" s="2" t="s">
        <v>52203</v>
      </c>
      <c r="N8404" s="2" t="s">
        <v>39870</v>
      </c>
      <c r="O8404" s="4" t="s">
        <v>39871</v>
      </c>
      <c r="P8404" s="2" t="s">
        <v>52141</v>
      </c>
      <c r="Q8404" s="2" t="s">
        <v>52142</v>
      </c>
      <c r="R8404" s="2" t="s">
        <v>64</v>
      </c>
      <c r="S8404" s="4" t="s">
        <v>43175</v>
      </c>
      <c r="T8404" s="2" t="s">
        <v>66</v>
      </c>
      <c r="U8404" s="4" t="s">
        <v>31</v>
      </c>
      <c r="V8404" s="2" t="s">
        <v>3600</v>
      </c>
      <c r="W8404" s="2" t="s">
        <v>52137</v>
      </c>
      <c r="X8404" s="5" t="str">
        <f>HYPERLINK("https://my.pitchbook.com?p=297376-03P","View People Online")</f>
        <v>View People Online</v>
      </c>
    </row>
    <row r="8405">
      <c r="A8405" s="14" t="s">
        <v>52204</v>
      </c>
      <c r="B8405" s="14" t="s">
        <v>52205</v>
      </c>
      <c r="C8405" s="14" t="s">
        <v>52206</v>
      </c>
      <c r="D8405" s="14" t="s">
        <v>52207</v>
      </c>
      <c r="E8405" s="14" t="s">
        <v>52137</v>
      </c>
      <c r="F8405" s="14" t="s">
        <v>470</v>
      </c>
      <c r="G8405" s="14" t="s">
        <v>52208</v>
      </c>
      <c r="H8405" s="15">
        <v>4.0</v>
      </c>
      <c r="I8405" s="15">
        <v>15.0</v>
      </c>
      <c r="J8405" s="15">
        <v>1.0</v>
      </c>
      <c r="K8405" s="15">
        <v>10.0</v>
      </c>
      <c r="L8405" s="16" t="s">
        <v>52139</v>
      </c>
      <c r="M8405" s="14" t="s">
        <v>52209</v>
      </c>
      <c r="N8405" s="14" t="s">
        <v>39870</v>
      </c>
      <c r="O8405" s="16" t="s">
        <v>39871</v>
      </c>
      <c r="P8405" s="14" t="s">
        <v>52141</v>
      </c>
      <c r="Q8405" s="14" t="s">
        <v>52142</v>
      </c>
      <c r="R8405" s="14" t="s">
        <v>64</v>
      </c>
      <c r="S8405" s="16" t="s">
        <v>43175</v>
      </c>
      <c r="T8405" s="14" t="s">
        <v>66</v>
      </c>
      <c r="U8405" s="16" t="s">
        <v>31</v>
      </c>
      <c r="V8405" s="14" t="s">
        <v>52210</v>
      </c>
      <c r="W8405" s="14" t="s">
        <v>52137</v>
      </c>
      <c r="X8405" s="17" t="str">
        <f>HYPERLINK("https://my.pitchbook.com?p=42067-81P","View People Online")</f>
        <v>View People Online</v>
      </c>
    </row>
    <row r="8406">
      <c r="A8406" s="2" t="s">
        <v>52211</v>
      </c>
      <c r="B8406" s="2" t="s">
        <v>52212</v>
      </c>
      <c r="C8406" s="2" t="s">
        <v>4033</v>
      </c>
      <c r="D8406" s="2" t="s">
        <v>52213</v>
      </c>
      <c r="E8406" s="2" t="s">
        <v>52137</v>
      </c>
      <c r="F8406" s="2" t="s">
        <v>548</v>
      </c>
      <c r="G8406" s="2" t="s">
        <v>52214</v>
      </c>
      <c r="H8406" s="3" t="s">
        <v>31</v>
      </c>
      <c r="I8406" s="3">
        <v>1.0</v>
      </c>
      <c r="J8406" s="3">
        <v>1.0</v>
      </c>
      <c r="K8406" s="3" t="s">
        <v>31</v>
      </c>
      <c r="L8406" s="4" t="s">
        <v>52215</v>
      </c>
      <c r="M8406" s="2" t="s">
        <v>52216</v>
      </c>
      <c r="N8406" s="2" t="s">
        <v>39870</v>
      </c>
      <c r="O8406" s="4" t="s">
        <v>39871</v>
      </c>
      <c r="P8406" s="2" t="s">
        <v>52141</v>
      </c>
      <c r="Q8406" s="2" t="s">
        <v>52142</v>
      </c>
      <c r="R8406" s="2" t="s">
        <v>64</v>
      </c>
      <c r="S8406" s="4" t="s">
        <v>43175</v>
      </c>
      <c r="T8406" s="2" t="s">
        <v>66</v>
      </c>
      <c r="U8406" s="4" t="s">
        <v>31</v>
      </c>
      <c r="V8406" s="2" t="s">
        <v>1654</v>
      </c>
      <c r="W8406" s="2" t="s">
        <v>52137</v>
      </c>
      <c r="X8406" s="5" t="str">
        <f>HYPERLINK("https://my.pitchbook.com?p=42067-63P","View People Online")</f>
        <v>View People Online</v>
      </c>
    </row>
    <row r="8407">
      <c r="A8407" s="14" t="s">
        <v>52217</v>
      </c>
      <c r="B8407" s="14" t="s">
        <v>52218</v>
      </c>
      <c r="C8407" s="14" t="s">
        <v>3202</v>
      </c>
      <c r="D8407" s="14" t="s">
        <v>33080</v>
      </c>
      <c r="E8407" s="14" t="s">
        <v>52137</v>
      </c>
      <c r="F8407" s="14" t="s">
        <v>221</v>
      </c>
      <c r="G8407" s="14" t="s">
        <v>52219</v>
      </c>
      <c r="H8407" s="15" t="s">
        <v>31</v>
      </c>
      <c r="I8407" s="15">
        <v>1.0</v>
      </c>
      <c r="J8407" s="15">
        <v>1.0</v>
      </c>
      <c r="K8407" s="15" t="s">
        <v>31</v>
      </c>
      <c r="L8407" s="16" t="s">
        <v>52139</v>
      </c>
      <c r="M8407" s="14" t="s">
        <v>52220</v>
      </c>
      <c r="N8407" s="14" t="s">
        <v>39870</v>
      </c>
      <c r="O8407" s="16" t="s">
        <v>39871</v>
      </c>
      <c r="P8407" s="14" t="s">
        <v>52141</v>
      </c>
      <c r="Q8407" s="14" t="s">
        <v>52142</v>
      </c>
      <c r="R8407" s="14" t="s">
        <v>64</v>
      </c>
      <c r="S8407" s="16" t="s">
        <v>43175</v>
      </c>
      <c r="T8407" s="14" t="s">
        <v>66</v>
      </c>
      <c r="U8407" s="16" t="s">
        <v>31</v>
      </c>
      <c r="V8407" s="14" t="s">
        <v>221</v>
      </c>
      <c r="W8407" s="14" t="s">
        <v>52137</v>
      </c>
      <c r="X8407" s="17" t="str">
        <f>HYPERLINK("https://my.pitchbook.com?p=357181-93P","View People Online")</f>
        <v>View People Online</v>
      </c>
    </row>
    <row r="8408">
      <c r="A8408" s="10" t="s">
        <v>52221</v>
      </c>
      <c r="B8408" s="10" t="s">
        <v>52222</v>
      </c>
      <c r="C8408" s="10" t="s">
        <v>52223</v>
      </c>
      <c r="D8408" s="10" t="s">
        <v>6868</v>
      </c>
      <c r="E8408" s="10" t="s">
        <v>52137</v>
      </c>
      <c r="F8408" s="10" t="s">
        <v>3600</v>
      </c>
      <c r="G8408" s="10" t="s">
        <v>52224</v>
      </c>
      <c r="H8408" s="11" t="s">
        <v>31</v>
      </c>
      <c r="I8408" s="11">
        <v>1.0</v>
      </c>
      <c r="J8408" s="11">
        <v>1.0</v>
      </c>
      <c r="K8408" s="11" t="s">
        <v>31</v>
      </c>
      <c r="L8408" s="12" t="s">
        <v>52139</v>
      </c>
      <c r="M8408" s="10" t="s">
        <v>31</v>
      </c>
      <c r="N8408" s="10" t="s">
        <v>39870</v>
      </c>
      <c r="O8408" s="12" t="s">
        <v>39871</v>
      </c>
      <c r="P8408" s="10" t="s">
        <v>52141</v>
      </c>
      <c r="Q8408" s="10" t="s">
        <v>52142</v>
      </c>
      <c r="R8408" s="10" t="s">
        <v>64</v>
      </c>
      <c r="S8408" s="12" t="s">
        <v>43175</v>
      </c>
      <c r="T8408" s="10" t="s">
        <v>66</v>
      </c>
      <c r="U8408" s="12" t="s">
        <v>31</v>
      </c>
      <c r="V8408" s="10" t="s">
        <v>3600</v>
      </c>
      <c r="W8408" s="10" t="s">
        <v>52137</v>
      </c>
      <c r="X8408" s="13" t="str">
        <f>HYPERLINK("https://my.pitchbook.com?p=396324-37P","View People Online")</f>
        <v>View People Online</v>
      </c>
    </row>
    <row r="8409">
      <c r="A8409" s="6" t="s">
        <v>52225</v>
      </c>
      <c r="B8409" s="6" t="s">
        <v>52226</v>
      </c>
      <c r="C8409" s="6" t="s">
        <v>42138</v>
      </c>
      <c r="D8409" s="6" t="s">
        <v>5327</v>
      </c>
      <c r="E8409" s="6" t="s">
        <v>52137</v>
      </c>
      <c r="F8409" s="6" t="s">
        <v>318</v>
      </c>
      <c r="G8409" s="6" t="s">
        <v>52227</v>
      </c>
      <c r="H8409" s="7" t="s">
        <v>31</v>
      </c>
      <c r="I8409" s="7">
        <v>1.0</v>
      </c>
      <c r="J8409" s="7">
        <v>1.0</v>
      </c>
      <c r="K8409" s="7" t="s">
        <v>31</v>
      </c>
      <c r="L8409" s="8" t="s">
        <v>52228</v>
      </c>
      <c r="M8409" s="6" t="s">
        <v>52229</v>
      </c>
      <c r="N8409" s="6" t="s">
        <v>29167</v>
      </c>
      <c r="O8409" s="8" t="s">
        <v>29168</v>
      </c>
      <c r="P8409" s="6" t="s">
        <v>52230</v>
      </c>
      <c r="Q8409" s="6" t="s">
        <v>52231</v>
      </c>
      <c r="R8409" s="6" t="s">
        <v>1185</v>
      </c>
      <c r="S8409" s="8" t="s">
        <v>29170</v>
      </c>
      <c r="T8409" s="6" t="s">
        <v>66</v>
      </c>
      <c r="U8409" s="8" t="s">
        <v>31</v>
      </c>
      <c r="V8409" s="6" t="s">
        <v>318</v>
      </c>
      <c r="W8409" s="6" t="s">
        <v>52137</v>
      </c>
      <c r="X8409" s="9" t="str">
        <f>HYPERLINK("https://my.pitchbook.com?p=169401-79P","View People Online")</f>
        <v>View People Online</v>
      </c>
    </row>
    <row r="8410">
      <c r="A8410" s="2" t="s">
        <v>52232</v>
      </c>
      <c r="B8410" s="2" t="s">
        <v>52233</v>
      </c>
      <c r="C8410" s="2" t="s">
        <v>395</v>
      </c>
      <c r="D8410" s="2" t="s">
        <v>52234</v>
      </c>
      <c r="E8410" s="2" t="s">
        <v>52137</v>
      </c>
      <c r="F8410" s="2" t="s">
        <v>548</v>
      </c>
      <c r="G8410" s="2" t="s">
        <v>52235</v>
      </c>
      <c r="H8410" s="3">
        <v>1.0</v>
      </c>
      <c r="I8410" s="3">
        <v>3.0</v>
      </c>
      <c r="J8410" s="3">
        <v>1.0</v>
      </c>
      <c r="K8410" s="3">
        <v>1.0</v>
      </c>
      <c r="L8410" s="4" t="s">
        <v>52149</v>
      </c>
      <c r="M8410" s="2" t="s">
        <v>52236</v>
      </c>
      <c r="N8410" s="2" t="s">
        <v>243</v>
      </c>
      <c r="O8410" s="4" t="s">
        <v>244</v>
      </c>
      <c r="P8410" s="2" t="s">
        <v>52150</v>
      </c>
      <c r="Q8410" s="2" t="s">
        <v>52151</v>
      </c>
      <c r="R8410" s="2" t="s">
        <v>247</v>
      </c>
      <c r="S8410" s="4" t="s">
        <v>52152</v>
      </c>
      <c r="T8410" s="2" t="s">
        <v>249</v>
      </c>
      <c r="U8410" s="4" t="s">
        <v>31</v>
      </c>
      <c r="V8410" s="2" t="s">
        <v>548</v>
      </c>
      <c r="W8410" s="2" t="s">
        <v>52137</v>
      </c>
      <c r="X8410" s="5" t="str">
        <f>HYPERLINK("https://my.pitchbook.com?p=175915-09P","View People Online")</f>
        <v>View People Online</v>
      </c>
    </row>
    <row r="8411">
      <c r="A8411" s="14" t="s">
        <v>52237</v>
      </c>
      <c r="B8411" s="14" t="s">
        <v>52238</v>
      </c>
      <c r="C8411" s="14" t="s">
        <v>9546</v>
      </c>
      <c r="D8411" s="14" t="s">
        <v>52239</v>
      </c>
      <c r="E8411" s="14" t="s">
        <v>52137</v>
      </c>
      <c r="F8411" s="14" t="s">
        <v>312</v>
      </c>
      <c r="G8411" s="14" t="s">
        <v>52240</v>
      </c>
      <c r="H8411" s="15">
        <v>7.0</v>
      </c>
      <c r="I8411" s="15">
        <v>14.0</v>
      </c>
      <c r="J8411" s="15">
        <v>1.0</v>
      </c>
      <c r="K8411" s="15">
        <v>6.0</v>
      </c>
      <c r="L8411" s="16" t="s">
        <v>52139</v>
      </c>
      <c r="M8411" s="14" t="s">
        <v>52241</v>
      </c>
      <c r="N8411" s="14" t="s">
        <v>29167</v>
      </c>
      <c r="O8411" s="16" t="s">
        <v>29168</v>
      </c>
      <c r="P8411" s="14" t="s">
        <v>52230</v>
      </c>
      <c r="Q8411" s="14" t="s">
        <v>52231</v>
      </c>
      <c r="R8411" s="14" t="s">
        <v>1185</v>
      </c>
      <c r="S8411" s="16" t="s">
        <v>29170</v>
      </c>
      <c r="T8411" s="14" t="s">
        <v>66</v>
      </c>
      <c r="U8411" s="16" t="s">
        <v>31</v>
      </c>
      <c r="V8411" s="14" t="s">
        <v>312</v>
      </c>
      <c r="W8411" s="14" t="s">
        <v>52137</v>
      </c>
      <c r="X8411" s="17" t="str">
        <f>HYPERLINK("https://my.pitchbook.com?p=13824-64P","View People Online")</f>
        <v>View People Online</v>
      </c>
    </row>
    <row r="8412">
      <c r="A8412" s="10" t="s">
        <v>52242</v>
      </c>
      <c r="B8412" s="10" t="s">
        <v>52243</v>
      </c>
      <c r="C8412" s="10" t="s">
        <v>2451</v>
      </c>
      <c r="D8412" s="10" t="s">
        <v>22246</v>
      </c>
      <c r="E8412" s="10" t="s">
        <v>52137</v>
      </c>
      <c r="F8412" s="10" t="s">
        <v>3600</v>
      </c>
      <c r="G8412" s="10" t="s">
        <v>52244</v>
      </c>
      <c r="H8412" s="11">
        <v>1.0</v>
      </c>
      <c r="I8412" s="11">
        <v>2.0</v>
      </c>
      <c r="J8412" s="11">
        <v>1.0</v>
      </c>
      <c r="K8412" s="11" t="s">
        <v>31</v>
      </c>
      <c r="L8412" s="12" t="s">
        <v>52139</v>
      </c>
      <c r="M8412" s="10" t="s">
        <v>52245</v>
      </c>
      <c r="N8412" s="10" t="s">
        <v>39870</v>
      </c>
      <c r="O8412" s="12" t="s">
        <v>39871</v>
      </c>
      <c r="P8412" s="10" t="s">
        <v>52141</v>
      </c>
      <c r="Q8412" s="10" t="s">
        <v>52142</v>
      </c>
      <c r="R8412" s="10" t="s">
        <v>64</v>
      </c>
      <c r="S8412" s="12" t="s">
        <v>43175</v>
      </c>
      <c r="T8412" s="10" t="s">
        <v>66</v>
      </c>
      <c r="U8412" s="12" t="s">
        <v>31</v>
      </c>
      <c r="V8412" s="10" t="s">
        <v>3600</v>
      </c>
      <c r="W8412" s="10" t="s">
        <v>52137</v>
      </c>
      <c r="X8412" s="13" t="str">
        <f>HYPERLINK("https://my.pitchbook.com?p=247187-53P","View People Online")</f>
        <v>View People Online</v>
      </c>
    </row>
    <row r="8413">
      <c r="A8413" s="6" t="s">
        <v>52246</v>
      </c>
      <c r="B8413" s="6" t="s">
        <v>52247</v>
      </c>
      <c r="C8413" s="6" t="s">
        <v>52248</v>
      </c>
      <c r="D8413" s="6" t="s">
        <v>18294</v>
      </c>
      <c r="E8413" s="6" t="s">
        <v>52137</v>
      </c>
      <c r="F8413" s="6" t="s">
        <v>318</v>
      </c>
      <c r="G8413" s="6" t="s">
        <v>52249</v>
      </c>
      <c r="H8413" s="7" t="s">
        <v>31</v>
      </c>
      <c r="I8413" s="7">
        <v>1.0</v>
      </c>
      <c r="J8413" s="7">
        <v>1.0</v>
      </c>
      <c r="K8413" s="7" t="s">
        <v>31</v>
      </c>
      <c r="L8413" s="8" t="s">
        <v>52139</v>
      </c>
      <c r="M8413" s="6" t="s">
        <v>52250</v>
      </c>
      <c r="N8413" s="6" t="s">
        <v>39870</v>
      </c>
      <c r="O8413" s="8" t="s">
        <v>39871</v>
      </c>
      <c r="P8413" s="6" t="s">
        <v>52141</v>
      </c>
      <c r="Q8413" s="6" t="s">
        <v>52142</v>
      </c>
      <c r="R8413" s="6" t="s">
        <v>64</v>
      </c>
      <c r="S8413" s="8" t="s">
        <v>43175</v>
      </c>
      <c r="T8413" s="6" t="s">
        <v>66</v>
      </c>
      <c r="U8413" s="8" t="s">
        <v>31</v>
      </c>
      <c r="V8413" s="6" t="s">
        <v>318</v>
      </c>
      <c r="W8413" s="6" t="s">
        <v>52137</v>
      </c>
      <c r="X8413" s="9" t="str">
        <f>HYPERLINK("https://my.pitchbook.com?p=370447-57P","View People Online")</f>
        <v>View People Online</v>
      </c>
    </row>
    <row r="8414">
      <c r="A8414" s="2" t="s">
        <v>52251</v>
      </c>
      <c r="B8414" s="2" t="s">
        <v>52252</v>
      </c>
      <c r="C8414" s="2" t="s">
        <v>52253</v>
      </c>
      <c r="D8414" s="2" t="s">
        <v>52254</v>
      </c>
      <c r="E8414" s="2" t="s">
        <v>52137</v>
      </c>
      <c r="F8414" s="2" t="s">
        <v>8217</v>
      </c>
      <c r="G8414" s="2" t="s">
        <v>52255</v>
      </c>
      <c r="H8414" s="3" t="s">
        <v>31</v>
      </c>
      <c r="I8414" s="3">
        <v>1.0</v>
      </c>
      <c r="J8414" s="3">
        <v>1.0</v>
      </c>
      <c r="K8414" s="3" t="s">
        <v>31</v>
      </c>
      <c r="L8414" s="4" t="s">
        <v>52139</v>
      </c>
      <c r="M8414" s="2" t="s">
        <v>52256</v>
      </c>
      <c r="N8414" s="2" t="s">
        <v>39870</v>
      </c>
      <c r="O8414" s="4" t="s">
        <v>39871</v>
      </c>
      <c r="P8414" s="2" t="s">
        <v>52141</v>
      </c>
      <c r="Q8414" s="2" t="s">
        <v>52142</v>
      </c>
      <c r="R8414" s="2" t="s">
        <v>64</v>
      </c>
      <c r="S8414" s="4" t="s">
        <v>43175</v>
      </c>
      <c r="T8414" s="2" t="s">
        <v>66</v>
      </c>
      <c r="U8414" s="4" t="s">
        <v>31</v>
      </c>
      <c r="V8414" s="2" t="s">
        <v>47390</v>
      </c>
      <c r="W8414" s="2" t="s">
        <v>52137</v>
      </c>
      <c r="X8414" s="5" t="str">
        <f>HYPERLINK("https://my.pitchbook.com?p=396325-45P","View People Online")</f>
        <v>View People Online</v>
      </c>
    </row>
    <row r="8415">
      <c r="A8415" s="14" t="s">
        <v>52257</v>
      </c>
      <c r="B8415" s="14" t="s">
        <v>52258</v>
      </c>
      <c r="C8415" s="14" t="s">
        <v>52259</v>
      </c>
      <c r="D8415" s="14" t="s">
        <v>52260</v>
      </c>
      <c r="E8415" s="14" t="s">
        <v>52137</v>
      </c>
      <c r="F8415" s="14" t="s">
        <v>318</v>
      </c>
      <c r="G8415" s="14" t="s">
        <v>52261</v>
      </c>
      <c r="H8415" s="15" t="s">
        <v>31</v>
      </c>
      <c r="I8415" s="15">
        <v>1.0</v>
      </c>
      <c r="J8415" s="15">
        <v>1.0</v>
      </c>
      <c r="K8415" s="15" t="s">
        <v>31</v>
      </c>
      <c r="L8415" s="16" t="s">
        <v>52139</v>
      </c>
      <c r="M8415" s="14" t="s">
        <v>31</v>
      </c>
      <c r="N8415" s="14" t="s">
        <v>39870</v>
      </c>
      <c r="O8415" s="16" t="s">
        <v>39871</v>
      </c>
      <c r="P8415" s="14" t="s">
        <v>52141</v>
      </c>
      <c r="Q8415" s="14" t="s">
        <v>52142</v>
      </c>
      <c r="R8415" s="14" t="s">
        <v>64</v>
      </c>
      <c r="S8415" s="16" t="s">
        <v>43175</v>
      </c>
      <c r="T8415" s="14" t="s">
        <v>66</v>
      </c>
      <c r="U8415" s="16" t="s">
        <v>31</v>
      </c>
      <c r="V8415" s="14" t="s">
        <v>318</v>
      </c>
      <c r="W8415" s="14" t="s">
        <v>52137</v>
      </c>
      <c r="X8415" s="17" t="str">
        <f>HYPERLINK("https://my.pitchbook.com?p=441458-29P","View People Online")</f>
        <v>View People Online</v>
      </c>
    </row>
    <row r="8416">
      <c r="A8416" s="10" t="s">
        <v>52262</v>
      </c>
      <c r="B8416" s="10" t="s">
        <v>52263</v>
      </c>
      <c r="C8416" s="10" t="s">
        <v>52264</v>
      </c>
      <c r="D8416" s="10" t="s">
        <v>47965</v>
      </c>
      <c r="E8416" s="10" t="s">
        <v>52137</v>
      </c>
      <c r="F8416" s="10" t="s">
        <v>3600</v>
      </c>
      <c r="G8416" s="10" t="s">
        <v>52265</v>
      </c>
      <c r="H8416" s="11" t="s">
        <v>31</v>
      </c>
      <c r="I8416" s="11">
        <v>1.0</v>
      </c>
      <c r="J8416" s="11">
        <v>1.0</v>
      </c>
      <c r="K8416" s="11" t="s">
        <v>31</v>
      </c>
      <c r="L8416" s="12" t="s">
        <v>52139</v>
      </c>
      <c r="M8416" s="10" t="s">
        <v>52266</v>
      </c>
      <c r="N8416" s="10" t="s">
        <v>39870</v>
      </c>
      <c r="O8416" s="12" t="s">
        <v>39871</v>
      </c>
      <c r="P8416" s="10" t="s">
        <v>52141</v>
      </c>
      <c r="Q8416" s="10" t="s">
        <v>52142</v>
      </c>
      <c r="R8416" s="10" t="s">
        <v>64</v>
      </c>
      <c r="S8416" s="12" t="s">
        <v>43175</v>
      </c>
      <c r="T8416" s="10" t="s">
        <v>66</v>
      </c>
      <c r="U8416" s="12" t="s">
        <v>31</v>
      </c>
      <c r="V8416" s="10" t="s">
        <v>3600</v>
      </c>
      <c r="W8416" s="10" t="s">
        <v>52137</v>
      </c>
      <c r="X8416" s="13" t="str">
        <f>HYPERLINK("https://my.pitchbook.com?p=357180-04P","View People Online")</f>
        <v>View People Online</v>
      </c>
    </row>
    <row r="8417">
      <c r="A8417" s="6" t="s">
        <v>52267</v>
      </c>
      <c r="B8417" s="6" t="s">
        <v>52268</v>
      </c>
      <c r="C8417" s="6" t="s">
        <v>52269</v>
      </c>
      <c r="D8417" s="6" t="s">
        <v>6868</v>
      </c>
      <c r="E8417" s="6" t="s">
        <v>52137</v>
      </c>
      <c r="F8417" s="6" t="s">
        <v>318</v>
      </c>
      <c r="G8417" s="6" t="s">
        <v>52270</v>
      </c>
      <c r="H8417" s="7" t="s">
        <v>31</v>
      </c>
      <c r="I8417" s="7">
        <v>1.0</v>
      </c>
      <c r="J8417" s="7">
        <v>1.0</v>
      </c>
      <c r="K8417" s="7" t="s">
        <v>31</v>
      </c>
      <c r="L8417" s="8" t="s">
        <v>52139</v>
      </c>
      <c r="M8417" s="6" t="s">
        <v>52271</v>
      </c>
      <c r="N8417" s="6" t="s">
        <v>39870</v>
      </c>
      <c r="O8417" s="8" t="s">
        <v>39871</v>
      </c>
      <c r="P8417" s="6" t="s">
        <v>52141</v>
      </c>
      <c r="Q8417" s="6" t="s">
        <v>52142</v>
      </c>
      <c r="R8417" s="6" t="s">
        <v>64</v>
      </c>
      <c r="S8417" s="8" t="s">
        <v>43175</v>
      </c>
      <c r="T8417" s="6" t="s">
        <v>66</v>
      </c>
      <c r="U8417" s="8" t="s">
        <v>31</v>
      </c>
      <c r="V8417" s="6" t="s">
        <v>318</v>
      </c>
      <c r="W8417" s="6" t="s">
        <v>52137</v>
      </c>
      <c r="X8417" s="9" t="str">
        <f>HYPERLINK("https://my.pitchbook.com?p=370447-12P","View People Online")</f>
        <v>View People Online</v>
      </c>
    </row>
    <row r="8418">
      <c r="A8418" s="10" t="s">
        <v>52272</v>
      </c>
      <c r="B8418" s="10" t="s">
        <v>52273</v>
      </c>
      <c r="C8418" s="10" t="s">
        <v>5574</v>
      </c>
      <c r="D8418" s="10" t="s">
        <v>52274</v>
      </c>
      <c r="E8418" s="10" t="s">
        <v>52137</v>
      </c>
      <c r="F8418" s="10" t="s">
        <v>3600</v>
      </c>
      <c r="G8418" s="10" t="s">
        <v>52275</v>
      </c>
      <c r="H8418" s="11">
        <v>3.0</v>
      </c>
      <c r="I8418" s="11">
        <v>6.0</v>
      </c>
      <c r="J8418" s="11">
        <v>1.0</v>
      </c>
      <c r="K8418" s="11">
        <v>2.0</v>
      </c>
      <c r="L8418" s="12" t="s">
        <v>31</v>
      </c>
      <c r="M8418" s="10" t="s">
        <v>52276</v>
      </c>
      <c r="N8418" s="10" t="s">
        <v>75</v>
      </c>
      <c r="O8418" s="12" t="s">
        <v>76</v>
      </c>
      <c r="P8418" s="10" t="s">
        <v>52277</v>
      </c>
      <c r="Q8418" s="10" t="s">
        <v>52278</v>
      </c>
      <c r="R8418" s="10" t="s">
        <v>75</v>
      </c>
      <c r="S8418" s="12" t="s">
        <v>52279</v>
      </c>
      <c r="T8418" s="10" t="s">
        <v>66</v>
      </c>
      <c r="U8418" s="12" t="s">
        <v>31</v>
      </c>
      <c r="V8418" s="10" t="s">
        <v>3600</v>
      </c>
      <c r="W8418" s="10" t="s">
        <v>52137</v>
      </c>
      <c r="X8418" s="13" t="str">
        <f>HYPERLINK("https://my.pitchbook.com?p=89437-51P","View People Online")</f>
        <v>View People Online</v>
      </c>
    </row>
    <row r="8419">
      <c r="A8419" s="6" t="s">
        <v>52280</v>
      </c>
      <c r="B8419" s="6" t="s">
        <v>52281</v>
      </c>
      <c r="C8419" s="6" t="s">
        <v>23306</v>
      </c>
      <c r="D8419" s="6" t="s">
        <v>52282</v>
      </c>
      <c r="E8419" s="6" t="s">
        <v>52137</v>
      </c>
      <c r="F8419" s="6" t="s">
        <v>318</v>
      </c>
      <c r="G8419" s="6" t="s">
        <v>52283</v>
      </c>
      <c r="H8419" s="7" t="s">
        <v>31</v>
      </c>
      <c r="I8419" s="7">
        <v>1.0</v>
      </c>
      <c r="J8419" s="7">
        <v>1.0</v>
      </c>
      <c r="K8419" s="7" t="s">
        <v>31</v>
      </c>
      <c r="L8419" s="8" t="s">
        <v>52139</v>
      </c>
      <c r="M8419" s="6" t="s">
        <v>52284</v>
      </c>
      <c r="N8419" s="6" t="s">
        <v>39870</v>
      </c>
      <c r="O8419" s="8" t="s">
        <v>39871</v>
      </c>
      <c r="P8419" s="6" t="s">
        <v>52141</v>
      </c>
      <c r="Q8419" s="6" t="s">
        <v>52142</v>
      </c>
      <c r="R8419" s="6" t="s">
        <v>64</v>
      </c>
      <c r="S8419" s="8" t="s">
        <v>43175</v>
      </c>
      <c r="T8419" s="6" t="s">
        <v>66</v>
      </c>
      <c r="U8419" s="8" t="s">
        <v>31</v>
      </c>
      <c r="V8419" s="6" t="s">
        <v>318</v>
      </c>
      <c r="W8419" s="6" t="s">
        <v>52137</v>
      </c>
      <c r="X8419" s="9" t="str">
        <f>HYPERLINK("https://my.pitchbook.com?p=222193-36P","View People Online")</f>
        <v>View People Online</v>
      </c>
    </row>
    <row r="8420">
      <c r="A8420" s="2" t="s">
        <v>52285</v>
      </c>
      <c r="B8420" s="2" t="s">
        <v>52286</v>
      </c>
      <c r="C8420" s="2" t="s">
        <v>1117</v>
      </c>
      <c r="D8420" s="2" t="s">
        <v>52287</v>
      </c>
      <c r="E8420" s="2" t="s">
        <v>51221</v>
      </c>
      <c r="F8420" s="2" t="s">
        <v>81</v>
      </c>
      <c r="G8420" s="2" t="s">
        <v>52288</v>
      </c>
      <c r="H8420" s="3">
        <v>5.0</v>
      </c>
      <c r="I8420" s="3">
        <v>35.0</v>
      </c>
      <c r="J8420" s="3">
        <v>1.0</v>
      </c>
      <c r="K8420" s="3">
        <v>22.0</v>
      </c>
      <c r="L8420" s="4" t="s">
        <v>52289</v>
      </c>
      <c r="M8420" s="2" t="s">
        <v>52290</v>
      </c>
      <c r="N8420" s="2" t="s">
        <v>155</v>
      </c>
      <c r="O8420" s="4" t="s">
        <v>156</v>
      </c>
      <c r="P8420" s="2" t="s">
        <v>52291</v>
      </c>
      <c r="Q8420" s="2" t="s">
        <v>31</v>
      </c>
      <c r="R8420" s="2" t="s">
        <v>64</v>
      </c>
      <c r="S8420" s="4" t="s">
        <v>1549</v>
      </c>
      <c r="T8420" s="2" t="s">
        <v>66</v>
      </c>
      <c r="U8420" s="4" t="s">
        <v>31</v>
      </c>
      <c r="V8420" s="2" t="s">
        <v>1283</v>
      </c>
      <c r="W8420" s="2" t="s">
        <v>52292</v>
      </c>
      <c r="X8420" s="5" t="str">
        <f>HYPERLINK("https://my.pitchbook.com?p=98309-71P","View People Online")</f>
        <v>View People Online</v>
      </c>
    </row>
    <row r="8421">
      <c r="A8421" s="6" t="s">
        <v>52293</v>
      </c>
      <c r="B8421" s="6" t="s">
        <v>52294</v>
      </c>
      <c r="C8421" s="6" t="s">
        <v>1117</v>
      </c>
      <c r="D8421" s="6" t="s">
        <v>52295</v>
      </c>
      <c r="E8421" s="6" t="s">
        <v>51221</v>
      </c>
      <c r="F8421" s="6" t="s">
        <v>270</v>
      </c>
      <c r="G8421" s="6" t="s">
        <v>52296</v>
      </c>
      <c r="H8421" s="7">
        <v>2.0</v>
      </c>
      <c r="I8421" s="7">
        <v>15.0</v>
      </c>
      <c r="J8421" s="7">
        <v>1.0</v>
      </c>
      <c r="K8421" s="7">
        <v>8.0</v>
      </c>
      <c r="L8421" s="8" t="s">
        <v>52297</v>
      </c>
      <c r="M8421" s="6" t="s">
        <v>52298</v>
      </c>
      <c r="N8421" s="6" t="s">
        <v>4232</v>
      </c>
      <c r="O8421" s="8" t="s">
        <v>4233</v>
      </c>
      <c r="P8421" s="6" t="s">
        <v>52299</v>
      </c>
      <c r="Q8421" s="6" t="s">
        <v>43145</v>
      </c>
      <c r="R8421" s="6" t="s">
        <v>4236</v>
      </c>
      <c r="S8421" s="8" t="s">
        <v>13212</v>
      </c>
      <c r="T8421" s="6" t="s">
        <v>66</v>
      </c>
      <c r="U8421" s="8" t="s">
        <v>31</v>
      </c>
      <c r="V8421" s="6" t="s">
        <v>52300</v>
      </c>
      <c r="W8421" s="6" t="s">
        <v>52301</v>
      </c>
      <c r="X8421" s="9" t="str">
        <f>HYPERLINK("https://my.pitchbook.com?p=35641-27P","View People Online")</f>
        <v>View People Online</v>
      </c>
    </row>
    <row r="8422">
      <c r="A8422" s="10" t="s">
        <v>34218</v>
      </c>
      <c r="B8422" s="10" t="s">
        <v>34219</v>
      </c>
      <c r="C8422" s="10" t="s">
        <v>10383</v>
      </c>
      <c r="D8422" s="10" t="s">
        <v>34220</v>
      </c>
      <c r="E8422" s="10" t="s">
        <v>51221</v>
      </c>
      <c r="F8422" s="10" t="s">
        <v>270</v>
      </c>
      <c r="G8422" s="10" t="s">
        <v>34221</v>
      </c>
      <c r="H8422" s="11">
        <v>10.0</v>
      </c>
      <c r="I8422" s="11">
        <v>44.0</v>
      </c>
      <c r="J8422" s="11">
        <v>4.0</v>
      </c>
      <c r="K8422" s="11">
        <v>29.0</v>
      </c>
      <c r="L8422" s="12" t="s">
        <v>34222</v>
      </c>
      <c r="M8422" s="10" t="s">
        <v>34223</v>
      </c>
      <c r="N8422" s="10" t="s">
        <v>6669</v>
      </c>
      <c r="O8422" s="12" t="s">
        <v>6670</v>
      </c>
      <c r="P8422" s="10" t="s">
        <v>25633</v>
      </c>
      <c r="Q8422" s="10" t="s">
        <v>31</v>
      </c>
      <c r="R8422" s="10" t="s">
        <v>1185</v>
      </c>
      <c r="S8422" s="12" t="s">
        <v>6712</v>
      </c>
      <c r="T8422" s="10" t="s">
        <v>66</v>
      </c>
      <c r="U8422" s="12" t="s">
        <v>31</v>
      </c>
      <c r="V8422" s="10" t="s">
        <v>43</v>
      </c>
      <c r="W8422" s="10" t="s">
        <v>25634</v>
      </c>
      <c r="X8422" s="13" t="str">
        <f>HYPERLINK("https://my.pitchbook.com?p=58430-80P","View People Online")</f>
        <v>View People Online</v>
      </c>
    </row>
    <row r="8423">
      <c r="A8423" s="6" t="s">
        <v>52302</v>
      </c>
      <c r="B8423" s="6" t="s">
        <v>52303</v>
      </c>
      <c r="C8423" s="6" t="s">
        <v>1541</v>
      </c>
      <c r="D8423" s="6" t="s">
        <v>2561</v>
      </c>
      <c r="E8423" s="6" t="s">
        <v>51221</v>
      </c>
      <c r="F8423" s="6" t="s">
        <v>548</v>
      </c>
      <c r="G8423" s="6" t="s">
        <v>52304</v>
      </c>
      <c r="H8423" s="7" t="s">
        <v>31</v>
      </c>
      <c r="I8423" s="7">
        <v>1.0</v>
      </c>
      <c r="J8423" s="7">
        <v>1.0</v>
      </c>
      <c r="K8423" s="7" t="s">
        <v>31</v>
      </c>
      <c r="L8423" s="8" t="s">
        <v>31</v>
      </c>
      <c r="M8423" s="6" t="s">
        <v>52305</v>
      </c>
      <c r="N8423" s="6" t="s">
        <v>6669</v>
      </c>
      <c r="O8423" s="8" t="s">
        <v>6670</v>
      </c>
      <c r="P8423" s="6" t="s">
        <v>8080</v>
      </c>
      <c r="Q8423" s="6" t="s">
        <v>310</v>
      </c>
      <c r="R8423" s="6" t="s">
        <v>1185</v>
      </c>
      <c r="S8423" s="8" t="s">
        <v>6712</v>
      </c>
      <c r="T8423" s="6" t="s">
        <v>66</v>
      </c>
      <c r="U8423" s="8" t="s">
        <v>31</v>
      </c>
      <c r="V8423" s="6" t="s">
        <v>52306</v>
      </c>
      <c r="W8423" s="6" t="s">
        <v>51221</v>
      </c>
      <c r="X8423" s="9" t="str">
        <f>HYPERLINK("https://my.pitchbook.com?p=416371-60P","View People Online")</f>
        <v>View People Online</v>
      </c>
    </row>
    <row r="8424">
      <c r="A8424" s="10" t="s">
        <v>52307</v>
      </c>
      <c r="B8424" s="10" t="s">
        <v>52308</v>
      </c>
      <c r="C8424" s="10" t="s">
        <v>69</v>
      </c>
      <c r="D8424" s="10" t="s">
        <v>28011</v>
      </c>
      <c r="E8424" s="10" t="s">
        <v>51221</v>
      </c>
      <c r="F8424" s="10" t="s">
        <v>81</v>
      </c>
      <c r="G8424" s="10" t="s">
        <v>52309</v>
      </c>
      <c r="H8424" s="11">
        <v>1.0</v>
      </c>
      <c r="I8424" s="11">
        <v>17.0</v>
      </c>
      <c r="J8424" s="11">
        <v>1.0</v>
      </c>
      <c r="K8424" s="11">
        <v>10.0</v>
      </c>
      <c r="L8424" s="12" t="s">
        <v>52310</v>
      </c>
      <c r="M8424" s="10" t="s">
        <v>52311</v>
      </c>
      <c r="N8424" s="10" t="s">
        <v>1716</v>
      </c>
      <c r="O8424" s="12" t="s">
        <v>1717</v>
      </c>
      <c r="P8424" s="10" t="s">
        <v>52312</v>
      </c>
      <c r="Q8424" s="10" t="s">
        <v>31</v>
      </c>
      <c r="R8424" s="10" t="s">
        <v>64</v>
      </c>
      <c r="S8424" s="12" t="s">
        <v>52313</v>
      </c>
      <c r="T8424" s="10" t="s">
        <v>66</v>
      </c>
      <c r="U8424" s="12" t="s">
        <v>52314</v>
      </c>
      <c r="V8424" s="10" t="s">
        <v>1114</v>
      </c>
      <c r="W8424" s="10" t="s">
        <v>52315</v>
      </c>
      <c r="X8424" s="13" t="str">
        <f>HYPERLINK("https://my.pitchbook.com?p=14069-53P","View People Online")</f>
        <v>View People Online</v>
      </c>
    </row>
    <row r="8425">
      <c r="A8425" s="14" t="s">
        <v>52316</v>
      </c>
      <c r="B8425" s="14" t="s">
        <v>52317</v>
      </c>
      <c r="C8425" s="14" t="s">
        <v>1449</v>
      </c>
      <c r="D8425" s="14" t="s">
        <v>52318</v>
      </c>
      <c r="E8425" s="14" t="s">
        <v>51221</v>
      </c>
      <c r="F8425" s="14" t="s">
        <v>81</v>
      </c>
      <c r="G8425" s="14" t="s">
        <v>52319</v>
      </c>
      <c r="H8425" s="15">
        <v>9.0</v>
      </c>
      <c r="I8425" s="15">
        <v>30.0</v>
      </c>
      <c r="J8425" s="15">
        <v>1.0</v>
      </c>
      <c r="K8425" s="15">
        <v>18.0</v>
      </c>
      <c r="L8425" s="16" t="s">
        <v>52320</v>
      </c>
      <c r="M8425" s="14" t="s">
        <v>52321</v>
      </c>
      <c r="N8425" s="14" t="s">
        <v>52322</v>
      </c>
      <c r="O8425" s="16" t="s">
        <v>52323</v>
      </c>
      <c r="P8425" s="14" t="s">
        <v>52324</v>
      </c>
      <c r="Q8425" s="14" t="s">
        <v>31</v>
      </c>
      <c r="R8425" s="14" t="s">
        <v>1277</v>
      </c>
      <c r="S8425" s="16" t="s">
        <v>52325</v>
      </c>
      <c r="T8425" s="14" t="s">
        <v>66</v>
      </c>
      <c r="U8425" s="16" t="s">
        <v>31</v>
      </c>
      <c r="V8425" s="14" t="s">
        <v>52326</v>
      </c>
      <c r="W8425" s="14" t="s">
        <v>52327</v>
      </c>
      <c r="X8425" s="17" t="str">
        <f>HYPERLINK("https://my.pitchbook.com?p=157880-98P","View People Online")</f>
        <v>View People Online</v>
      </c>
    </row>
    <row r="8426">
      <c r="A8426" s="2" t="s">
        <v>52328</v>
      </c>
      <c r="B8426" s="2" t="s">
        <v>52329</v>
      </c>
      <c r="C8426" s="2" t="s">
        <v>52330</v>
      </c>
      <c r="D8426" s="2" t="s">
        <v>52331</v>
      </c>
      <c r="E8426" s="2" t="s">
        <v>51221</v>
      </c>
      <c r="F8426" s="2" t="s">
        <v>270</v>
      </c>
      <c r="G8426" s="2" t="s">
        <v>52332</v>
      </c>
      <c r="H8426" s="3">
        <v>1.0</v>
      </c>
      <c r="I8426" s="3">
        <v>34.0</v>
      </c>
      <c r="J8426" s="3">
        <v>3.0</v>
      </c>
      <c r="K8426" s="3">
        <v>28.0</v>
      </c>
      <c r="L8426" s="4" t="s">
        <v>31</v>
      </c>
      <c r="M8426" s="2" t="s">
        <v>52333</v>
      </c>
      <c r="N8426" s="2" t="s">
        <v>40680</v>
      </c>
      <c r="O8426" s="4" t="s">
        <v>40681</v>
      </c>
      <c r="P8426" s="2" t="s">
        <v>31</v>
      </c>
      <c r="Q8426" s="2" t="s">
        <v>31</v>
      </c>
      <c r="R8426" s="2" t="s">
        <v>40684</v>
      </c>
      <c r="S8426" s="4" t="s">
        <v>31</v>
      </c>
      <c r="T8426" s="2" t="s">
        <v>66</v>
      </c>
      <c r="U8426" s="4" t="s">
        <v>31</v>
      </c>
      <c r="V8426" s="2" t="s">
        <v>71</v>
      </c>
      <c r="W8426" s="2" t="s">
        <v>52334</v>
      </c>
      <c r="X8426" s="5" t="str">
        <f>HYPERLINK("https://my.pitchbook.com?p=82266-67P","View People Online")</f>
        <v>View People Online</v>
      </c>
    </row>
    <row r="8427">
      <c r="A8427" s="6" t="s">
        <v>27232</v>
      </c>
      <c r="B8427" s="6" t="s">
        <v>27233</v>
      </c>
      <c r="C8427" s="6" t="s">
        <v>27234</v>
      </c>
      <c r="D8427" s="6" t="s">
        <v>27235</v>
      </c>
      <c r="E8427" s="6" t="s">
        <v>51221</v>
      </c>
      <c r="F8427" s="6" t="s">
        <v>81</v>
      </c>
      <c r="G8427" s="6" t="s">
        <v>27236</v>
      </c>
      <c r="H8427" s="7">
        <v>14.0</v>
      </c>
      <c r="I8427" s="7">
        <v>88.0</v>
      </c>
      <c r="J8427" s="7">
        <v>1.0</v>
      </c>
      <c r="K8427" s="7">
        <v>63.0</v>
      </c>
      <c r="L8427" s="8" t="s">
        <v>27237</v>
      </c>
      <c r="M8427" s="6" t="s">
        <v>27238</v>
      </c>
      <c r="N8427" s="6" t="s">
        <v>155</v>
      </c>
      <c r="O8427" s="8" t="s">
        <v>156</v>
      </c>
      <c r="P8427" s="6" t="s">
        <v>27239</v>
      </c>
      <c r="Q8427" s="6" t="s">
        <v>2403</v>
      </c>
      <c r="R8427" s="6" t="s">
        <v>64</v>
      </c>
      <c r="S8427" s="8" t="s">
        <v>7810</v>
      </c>
      <c r="T8427" s="6" t="s">
        <v>66</v>
      </c>
      <c r="U8427" s="8" t="s">
        <v>31</v>
      </c>
      <c r="V8427" s="6" t="s">
        <v>2379</v>
      </c>
      <c r="W8427" s="6" t="s">
        <v>27240</v>
      </c>
      <c r="X8427" s="9" t="str">
        <f>HYPERLINK("https://my.pitchbook.com?p=38923-39P","View People Online")</f>
        <v>View People Online</v>
      </c>
    </row>
    <row r="8428">
      <c r="A8428" s="2" t="s">
        <v>52335</v>
      </c>
      <c r="B8428" s="2" t="s">
        <v>52336</v>
      </c>
      <c r="C8428" s="2" t="s">
        <v>4299</v>
      </c>
      <c r="D8428" s="2" t="s">
        <v>52337</v>
      </c>
      <c r="E8428" s="2" t="s">
        <v>51221</v>
      </c>
      <c r="F8428" s="2" t="s">
        <v>81</v>
      </c>
      <c r="G8428" s="2" t="s">
        <v>52338</v>
      </c>
      <c r="H8428" s="3" t="s">
        <v>31</v>
      </c>
      <c r="I8428" s="3">
        <v>2.0</v>
      </c>
      <c r="J8428" s="3">
        <v>1.0</v>
      </c>
      <c r="K8428" s="3" t="s">
        <v>31</v>
      </c>
      <c r="L8428" s="4" t="s">
        <v>52339</v>
      </c>
      <c r="M8428" s="2" t="s">
        <v>31</v>
      </c>
      <c r="N8428" s="2" t="s">
        <v>75</v>
      </c>
      <c r="O8428" s="4" t="s">
        <v>76</v>
      </c>
      <c r="P8428" s="2" t="s">
        <v>47306</v>
      </c>
      <c r="Q8428" s="2" t="s">
        <v>31</v>
      </c>
      <c r="R8428" s="2" t="s">
        <v>75</v>
      </c>
      <c r="S8428" s="4" t="s">
        <v>3929</v>
      </c>
      <c r="T8428" s="2" t="s">
        <v>66</v>
      </c>
      <c r="U8428" s="4" t="s">
        <v>31</v>
      </c>
      <c r="V8428" s="2" t="s">
        <v>157</v>
      </c>
      <c r="W8428" s="2" t="s">
        <v>52340</v>
      </c>
      <c r="X8428" s="5" t="str">
        <f>HYPERLINK("https://my.pitchbook.com?p=135821-44P","View People Online")</f>
        <v>View People Online</v>
      </c>
    </row>
    <row r="8429">
      <c r="A8429" s="14" t="s">
        <v>52086</v>
      </c>
      <c r="B8429" s="14" t="s">
        <v>52087</v>
      </c>
      <c r="C8429" s="14" t="s">
        <v>8294</v>
      </c>
      <c r="D8429" s="14" t="s">
        <v>52088</v>
      </c>
      <c r="E8429" s="14" t="s">
        <v>51221</v>
      </c>
      <c r="F8429" s="14" t="s">
        <v>81</v>
      </c>
      <c r="G8429" s="14" t="s">
        <v>52089</v>
      </c>
      <c r="H8429" s="15">
        <v>11.0</v>
      </c>
      <c r="I8429" s="15">
        <v>54.0</v>
      </c>
      <c r="J8429" s="15">
        <v>2.0</v>
      </c>
      <c r="K8429" s="15">
        <v>36.0</v>
      </c>
      <c r="L8429" s="16" t="s">
        <v>52073</v>
      </c>
      <c r="M8429" s="14" t="s">
        <v>52090</v>
      </c>
      <c r="N8429" s="14" t="s">
        <v>155</v>
      </c>
      <c r="O8429" s="16" t="s">
        <v>156</v>
      </c>
      <c r="P8429" s="14" t="s">
        <v>52075</v>
      </c>
      <c r="Q8429" s="14" t="s">
        <v>52076</v>
      </c>
      <c r="R8429" s="14" t="s">
        <v>64</v>
      </c>
      <c r="S8429" s="16" t="s">
        <v>1549</v>
      </c>
      <c r="T8429" s="14" t="s">
        <v>66</v>
      </c>
      <c r="U8429" s="16" t="s">
        <v>31</v>
      </c>
      <c r="V8429" s="14" t="s">
        <v>1114</v>
      </c>
      <c r="W8429" s="14" t="s">
        <v>52071</v>
      </c>
      <c r="X8429" s="17" t="str">
        <f>HYPERLINK("https://my.pitchbook.com?p=42118-48P","View People Online")</f>
        <v>View People Online</v>
      </c>
    </row>
    <row r="8430">
      <c r="A8430" s="2" t="s">
        <v>28364</v>
      </c>
      <c r="B8430" s="2" t="s">
        <v>28365</v>
      </c>
      <c r="C8430" s="2" t="s">
        <v>26</v>
      </c>
      <c r="D8430" s="2" t="s">
        <v>5431</v>
      </c>
      <c r="E8430" s="2" t="s">
        <v>51221</v>
      </c>
      <c r="F8430" s="2" t="s">
        <v>81</v>
      </c>
      <c r="G8430" s="2" t="s">
        <v>28366</v>
      </c>
      <c r="H8430" s="3">
        <v>2.0</v>
      </c>
      <c r="I8430" s="3">
        <v>5.0</v>
      </c>
      <c r="J8430" s="3">
        <v>2.0</v>
      </c>
      <c r="K8430" s="3" t="s">
        <v>31</v>
      </c>
      <c r="L8430" s="4" t="s">
        <v>28367</v>
      </c>
      <c r="M8430" s="2" t="s">
        <v>28368</v>
      </c>
      <c r="N8430" s="2" t="s">
        <v>28369</v>
      </c>
      <c r="O8430" s="4" t="s">
        <v>28370</v>
      </c>
      <c r="P8430" s="2" t="s">
        <v>28371</v>
      </c>
      <c r="Q8430" s="2" t="s">
        <v>31</v>
      </c>
      <c r="R8430" s="2" t="s">
        <v>1185</v>
      </c>
      <c r="S8430" s="4" t="s">
        <v>28372</v>
      </c>
      <c r="T8430" s="2" t="s">
        <v>66</v>
      </c>
      <c r="U8430" s="4" t="s">
        <v>31</v>
      </c>
      <c r="V8430" s="2" t="s">
        <v>29</v>
      </c>
      <c r="W8430" s="2" t="s">
        <v>28294</v>
      </c>
      <c r="X8430" s="5" t="str">
        <f>HYPERLINK("https://my.pitchbook.com?p=33582-25P","View People Online")</f>
        <v>View People Online</v>
      </c>
    </row>
    <row r="8431">
      <c r="A8431" s="6" t="s">
        <v>29627</v>
      </c>
      <c r="B8431" s="6" t="s">
        <v>29628</v>
      </c>
      <c r="C8431" s="6" t="s">
        <v>3052</v>
      </c>
      <c r="D8431" s="6" t="s">
        <v>29629</v>
      </c>
      <c r="E8431" s="6" t="s">
        <v>51221</v>
      </c>
      <c r="F8431" s="6" t="s">
        <v>81</v>
      </c>
      <c r="G8431" s="6" t="s">
        <v>29630</v>
      </c>
      <c r="H8431" s="7">
        <v>9.0</v>
      </c>
      <c r="I8431" s="7">
        <v>50.0</v>
      </c>
      <c r="J8431" s="7">
        <v>1.0</v>
      </c>
      <c r="K8431" s="7">
        <v>34.0</v>
      </c>
      <c r="L8431" s="8" t="s">
        <v>29596</v>
      </c>
      <c r="M8431" s="6" t="s">
        <v>29631</v>
      </c>
      <c r="N8431" s="6" t="s">
        <v>155</v>
      </c>
      <c r="O8431" s="8" t="s">
        <v>156</v>
      </c>
      <c r="P8431" s="6" t="s">
        <v>29598</v>
      </c>
      <c r="Q8431" s="6" t="s">
        <v>29599</v>
      </c>
      <c r="R8431" s="6" t="s">
        <v>64</v>
      </c>
      <c r="S8431" s="8" t="s">
        <v>3487</v>
      </c>
      <c r="T8431" s="6" t="s">
        <v>66</v>
      </c>
      <c r="U8431" s="8" t="s">
        <v>31</v>
      </c>
      <c r="V8431" s="6" t="s">
        <v>1172</v>
      </c>
      <c r="W8431" s="6" t="s">
        <v>29594</v>
      </c>
      <c r="X8431" s="9" t="str">
        <f>HYPERLINK("https://my.pitchbook.com?p=68129-56P","View People Online")</f>
        <v>View People Online</v>
      </c>
    </row>
    <row r="8432">
      <c r="A8432" s="10" t="s">
        <v>51216</v>
      </c>
      <c r="B8432" s="10" t="s">
        <v>51217</v>
      </c>
      <c r="C8432" s="10" t="s">
        <v>18767</v>
      </c>
      <c r="D8432" s="10" t="s">
        <v>51218</v>
      </c>
      <c r="E8432" s="10" t="s">
        <v>51221</v>
      </c>
      <c r="F8432" s="10" t="s">
        <v>1283</v>
      </c>
      <c r="G8432" s="10" t="s">
        <v>51219</v>
      </c>
      <c r="H8432" s="11" t="s">
        <v>31</v>
      </c>
      <c r="I8432" s="11">
        <v>4.0</v>
      </c>
      <c r="J8432" s="11">
        <v>1.0</v>
      </c>
      <c r="K8432" s="11">
        <v>1.0</v>
      </c>
      <c r="L8432" s="12" t="s">
        <v>31</v>
      </c>
      <c r="M8432" s="10" t="s">
        <v>51220</v>
      </c>
      <c r="N8432" s="10" t="s">
        <v>6669</v>
      </c>
      <c r="O8432" s="12" t="s">
        <v>6670</v>
      </c>
      <c r="P8432" s="10" t="s">
        <v>8080</v>
      </c>
      <c r="Q8432" s="10" t="s">
        <v>310</v>
      </c>
      <c r="R8432" s="10" t="s">
        <v>1185</v>
      </c>
      <c r="S8432" s="12" t="s">
        <v>6712</v>
      </c>
      <c r="T8432" s="10" t="s">
        <v>66</v>
      </c>
      <c r="U8432" s="12" t="s">
        <v>31</v>
      </c>
      <c r="V8432" s="10" t="s">
        <v>1283</v>
      </c>
      <c r="W8432" s="10" t="s">
        <v>51221</v>
      </c>
      <c r="X8432" s="13" t="str">
        <f>HYPERLINK("https://my.pitchbook.com?p=329192-02P","View People Online")</f>
        <v>View People Online</v>
      </c>
    </row>
    <row r="8433">
      <c r="A8433" s="6" t="s">
        <v>29639</v>
      </c>
      <c r="B8433" s="6" t="s">
        <v>29640</v>
      </c>
      <c r="C8433" s="6" t="s">
        <v>19321</v>
      </c>
      <c r="D8433" s="6" t="s">
        <v>831</v>
      </c>
      <c r="E8433" s="6" t="s">
        <v>51221</v>
      </c>
      <c r="F8433" s="6" t="s">
        <v>81</v>
      </c>
      <c r="G8433" s="6" t="s">
        <v>29641</v>
      </c>
      <c r="H8433" s="7">
        <v>4.0</v>
      </c>
      <c r="I8433" s="7">
        <v>31.0</v>
      </c>
      <c r="J8433" s="7">
        <v>2.0</v>
      </c>
      <c r="K8433" s="7">
        <v>19.0</v>
      </c>
      <c r="L8433" s="8" t="s">
        <v>29596</v>
      </c>
      <c r="M8433" s="6" t="s">
        <v>31</v>
      </c>
      <c r="N8433" s="6" t="s">
        <v>155</v>
      </c>
      <c r="O8433" s="8" t="s">
        <v>156</v>
      </c>
      <c r="P8433" s="6" t="s">
        <v>29598</v>
      </c>
      <c r="Q8433" s="6" t="s">
        <v>29599</v>
      </c>
      <c r="R8433" s="6" t="s">
        <v>64</v>
      </c>
      <c r="S8433" s="8" t="s">
        <v>3487</v>
      </c>
      <c r="T8433" s="6" t="s">
        <v>66</v>
      </c>
      <c r="U8433" s="8" t="s">
        <v>31</v>
      </c>
      <c r="V8433" s="6" t="s">
        <v>114</v>
      </c>
      <c r="W8433" s="6" t="s">
        <v>29594</v>
      </c>
      <c r="X8433" s="9" t="str">
        <f>HYPERLINK("https://my.pitchbook.com?p=13661-29P","View People Online")</f>
        <v>View People Online</v>
      </c>
    </row>
    <row r="8434">
      <c r="A8434" s="10" t="s">
        <v>52341</v>
      </c>
      <c r="B8434" s="10" t="s">
        <v>52342</v>
      </c>
      <c r="C8434" s="10" t="s">
        <v>7089</v>
      </c>
      <c r="D8434" s="10" t="s">
        <v>52343</v>
      </c>
      <c r="E8434" s="10" t="s">
        <v>51221</v>
      </c>
      <c r="F8434" s="10" t="s">
        <v>81</v>
      </c>
      <c r="G8434" s="10" t="s">
        <v>52344</v>
      </c>
      <c r="H8434" s="11">
        <v>7.0</v>
      </c>
      <c r="I8434" s="11">
        <v>61.0</v>
      </c>
      <c r="J8434" s="11">
        <v>1.0</v>
      </c>
      <c r="K8434" s="11">
        <v>44.0</v>
      </c>
      <c r="L8434" s="12" t="s">
        <v>52345</v>
      </c>
      <c r="M8434" s="10" t="s">
        <v>52346</v>
      </c>
      <c r="N8434" s="10" t="s">
        <v>155</v>
      </c>
      <c r="O8434" s="12" t="s">
        <v>156</v>
      </c>
      <c r="P8434" s="10" t="s">
        <v>52347</v>
      </c>
      <c r="Q8434" s="10" t="s">
        <v>52348</v>
      </c>
      <c r="R8434" s="10" t="s">
        <v>64</v>
      </c>
      <c r="S8434" s="12" t="s">
        <v>2463</v>
      </c>
      <c r="T8434" s="10" t="s">
        <v>66</v>
      </c>
      <c r="U8434" s="12" t="s">
        <v>52349</v>
      </c>
      <c r="V8434" s="10" t="s">
        <v>1172</v>
      </c>
      <c r="W8434" s="10" t="s">
        <v>52350</v>
      </c>
      <c r="X8434" s="13" t="str">
        <f>HYPERLINK("https://my.pitchbook.com?p=28512-64P","View People Online")</f>
        <v>View People Online</v>
      </c>
    </row>
    <row r="8435">
      <c r="A8435" s="6" t="s">
        <v>52351</v>
      </c>
      <c r="B8435" s="6" t="s">
        <v>52352</v>
      </c>
      <c r="C8435" s="6" t="s">
        <v>52353</v>
      </c>
      <c r="D8435" s="6" t="s">
        <v>52354</v>
      </c>
      <c r="E8435" s="6" t="s">
        <v>51221</v>
      </c>
      <c r="F8435" s="6" t="s">
        <v>270</v>
      </c>
      <c r="G8435" s="6" t="s">
        <v>52355</v>
      </c>
      <c r="H8435" s="7" t="s">
        <v>31</v>
      </c>
      <c r="I8435" s="7">
        <v>14.0</v>
      </c>
      <c r="J8435" s="7">
        <v>2.0</v>
      </c>
      <c r="K8435" s="7">
        <v>9.0</v>
      </c>
      <c r="L8435" s="8" t="s">
        <v>52356</v>
      </c>
      <c r="M8435" s="6" t="s">
        <v>52357</v>
      </c>
      <c r="N8435" s="6" t="s">
        <v>3766</v>
      </c>
      <c r="O8435" s="8" t="s">
        <v>3767</v>
      </c>
      <c r="P8435" s="6" t="s">
        <v>52358</v>
      </c>
      <c r="Q8435" s="6" t="s">
        <v>52359</v>
      </c>
      <c r="R8435" s="6" t="s">
        <v>64</v>
      </c>
      <c r="S8435" s="8" t="s">
        <v>3769</v>
      </c>
      <c r="T8435" s="6" t="s">
        <v>66</v>
      </c>
      <c r="U8435" s="8" t="s">
        <v>52360</v>
      </c>
      <c r="V8435" s="6" t="s">
        <v>108</v>
      </c>
      <c r="W8435" s="6" t="s">
        <v>52361</v>
      </c>
      <c r="X8435" s="9" t="str">
        <f>HYPERLINK("https://my.pitchbook.com?p=142011-46P","View People Online")</f>
        <v>View People Online</v>
      </c>
    </row>
    <row r="8436">
      <c r="A8436" s="2" t="s">
        <v>52362</v>
      </c>
      <c r="B8436" s="2" t="s">
        <v>52363</v>
      </c>
      <c r="C8436" s="2" t="s">
        <v>1388</v>
      </c>
      <c r="D8436" s="2" t="s">
        <v>34313</v>
      </c>
      <c r="E8436" s="2" t="s">
        <v>51221</v>
      </c>
      <c r="F8436" s="2" t="s">
        <v>23372</v>
      </c>
      <c r="G8436" s="2" t="s">
        <v>52364</v>
      </c>
      <c r="H8436" s="3">
        <v>1.0</v>
      </c>
      <c r="I8436" s="3">
        <v>4.0</v>
      </c>
      <c r="J8436" s="3">
        <v>1.0</v>
      </c>
      <c r="K8436" s="3">
        <v>3.0</v>
      </c>
      <c r="L8436" s="4" t="s">
        <v>52365</v>
      </c>
      <c r="M8436" s="2" t="s">
        <v>52366</v>
      </c>
      <c r="N8436" s="2" t="s">
        <v>6669</v>
      </c>
      <c r="O8436" s="4" t="s">
        <v>6670</v>
      </c>
      <c r="P8436" s="2" t="s">
        <v>8080</v>
      </c>
      <c r="Q8436" s="2" t="s">
        <v>310</v>
      </c>
      <c r="R8436" s="2" t="s">
        <v>1185</v>
      </c>
      <c r="S8436" s="4" t="s">
        <v>6712</v>
      </c>
      <c r="T8436" s="2" t="s">
        <v>66</v>
      </c>
      <c r="U8436" s="4" t="s">
        <v>31</v>
      </c>
      <c r="V8436" s="2" t="s">
        <v>52367</v>
      </c>
      <c r="W8436" s="2" t="s">
        <v>51221</v>
      </c>
      <c r="X8436" s="5" t="str">
        <f>HYPERLINK("https://my.pitchbook.com?p=135982-90P","View People Online")</f>
        <v>View People Online</v>
      </c>
    </row>
    <row r="8437">
      <c r="A8437" s="6" t="s">
        <v>52368</v>
      </c>
      <c r="B8437" s="6" t="s">
        <v>52369</v>
      </c>
      <c r="C8437" s="6" t="s">
        <v>22105</v>
      </c>
      <c r="D8437" s="6" t="s">
        <v>52370</v>
      </c>
      <c r="E8437" s="6" t="s">
        <v>51221</v>
      </c>
      <c r="F8437" s="6" t="s">
        <v>81</v>
      </c>
      <c r="G8437" s="6" t="s">
        <v>52371</v>
      </c>
      <c r="H8437" s="7">
        <v>2.0</v>
      </c>
      <c r="I8437" s="7">
        <v>18.0</v>
      </c>
      <c r="J8437" s="7">
        <v>2.0</v>
      </c>
      <c r="K8437" s="7">
        <v>10.0</v>
      </c>
      <c r="L8437" s="8" t="s">
        <v>36110</v>
      </c>
      <c r="M8437" s="6" t="s">
        <v>52372</v>
      </c>
      <c r="N8437" s="6" t="s">
        <v>36102</v>
      </c>
      <c r="O8437" s="8" t="s">
        <v>36103</v>
      </c>
      <c r="P8437" s="6" t="s">
        <v>36104</v>
      </c>
      <c r="Q8437" s="6" t="s">
        <v>5626</v>
      </c>
      <c r="R8437" s="6" t="s">
        <v>64</v>
      </c>
      <c r="S8437" s="8" t="s">
        <v>36105</v>
      </c>
      <c r="T8437" s="6" t="s">
        <v>66</v>
      </c>
      <c r="U8437" s="8" t="s">
        <v>31</v>
      </c>
      <c r="V8437" s="6" t="s">
        <v>674</v>
      </c>
      <c r="W8437" s="6" t="s">
        <v>36118</v>
      </c>
      <c r="X8437" s="9" t="str">
        <f>HYPERLINK("https://my.pitchbook.com?p=38792-17P","View People Online")</f>
        <v>View People Online</v>
      </c>
    </row>
    <row r="8438">
      <c r="A8438" s="2" t="s">
        <v>52373</v>
      </c>
      <c r="B8438" s="2" t="s">
        <v>52374</v>
      </c>
      <c r="C8438" s="2" t="s">
        <v>1830</v>
      </c>
      <c r="D8438" s="2" t="s">
        <v>52375</v>
      </c>
      <c r="E8438" s="2" t="s">
        <v>51221</v>
      </c>
      <c r="F8438" s="2" t="s">
        <v>81</v>
      </c>
      <c r="G8438" s="2" t="s">
        <v>52376</v>
      </c>
      <c r="H8438" s="3">
        <v>3.0</v>
      </c>
      <c r="I8438" s="3">
        <v>10.0</v>
      </c>
      <c r="J8438" s="3">
        <v>1.0</v>
      </c>
      <c r="K8438" s="3">
        <v>3.0</v>
      </c>
      <c r="L8438" s="4" t="s">
        <v>31</v>
      </c>
      <c r="M8438" s="2" t="s">
        <v>52377</v>
      </c>
      <c r="N8438" s="2" t="s">
        <v>155</v>
      </c>
      <c r="O8438" s="4" t="s">
        <v>156</v>
      </c>
      <c r="P8438" s="2" t="s">
        <v>52378</v>
      </c>
      <c r="Q8438" s="2" t="s">
        <v>31</v>
      </c>
      <c r="R8438" s="2" t="s">
        <v>64</v>
      </c>
      <c r="S8438" s="4" t="s">
        <v>24247</v>
      </c>
      <c r="T8438" s="2" t="s">
        <v>66</v>
      </c>
      <c r="U8438" s="4" t="s">
        <v>31</v>
      </c>
      <c r="V8438" s="2" t="s">
        <v>71</v>
      </c>
      <c r="W8438" s="2" t="s">
        <v>52379</v>
      </c>
      <c r="X8438" s="5" t="str">
        <f>HYPERLINK("https://my.pitchbook.com?p=141636-34P","View People Online")</f>
        <v>View People Online</v>
      </c>
    </row>
    <row r="8439">
      <c r="A8439" s="6" t="s">
        <v>52380</v>
      </c>
      <c r="B8439" s="6" t="s">
        <v>52381</v>
      </c>
      <c r="C8439" s="6" t="s">
        <v>1830</v>
      </c>
      <c r="D8439" s="6" t="s">
        <v>32700</v>
      </c>
      <c r="E8439" s="6" t="s">
        <v>51221</v>
      </c>
      <c r="F8439" s="6" t="s">
        <v>270</v>
      </c>
      <c r="G8439" s="6" t="s">
        <v>52382</v>
      </c>
      <c r="H8439" s="7" t="s">
        <v>31</v>
      </c>
      <c r="I8439" s="7">
        <v>1.0</v>
      </c>
      <c r="J8439" s="7">
        <v>1.0</v>
      </c>
      <c r="K8439" s="7" t="s">
        <v>31</v>
      </c>
      <c r="L8439" s="8" t="s">
        <v>31</v>
      </c>
      <c r="M8439" s="6" t="s">
        <v>31</v>
      </c>
      <c r="N8439" s="6" t="s">
        <v>6669</v>
      </c>
      <c r="O8439" s="8" t="s">
        <v>6670</v>
      </c>
      <c r="P8439" s="6" t="s">
        <v>8080</v>
      </c>
      <c r="Q8439" s="6" t="s">
        <v>310</v>
      </c>
      <c r="R8439" s="6" t="s">
        <v>1185</v>
      </c>
      <c r="S8439" s="8" t="s">
        <v>6712</v>
      </c>
      <c r="T8439" s="6" t="s">
        <v>66</v>
      </c>
      <c r="U8439" s="8" t="s">
        <v>31</v>
      </c>
      <c r="V8439" s="6" t="s">
        <v>52383</v>
      </c>
      <c r="W8439" s="6" t="s">
        <v>51221</v>
      </c>
      <c r="X8439" s="9" t="str">
        <f>HYPERLINK("https://my.pitchbook.com?p=293817-16P","View People Online")</f>
        <v>View People Online</v>
      </c>
    </row>
    <row r="8440">
      <c r="A8440" s="2" t="s">
        <v>37368</v>
      </c>
      <c r="B8440" s="2" t="s">
        <v>37369</v>
      </c>
      <c r="C8440" s="2" t="s">
        <v>37370</v>
      </c>
      <c r="D8440" s="2" t="s">
        <v>37371</v>
      </c>
      <c r="E8440" s="2" t="s">
        <v>51221</v>
      </c>
      <c r="F8440" s="2" t="s">
        <v>81</v>
      </c>
      <c r="G8440" s="2" t="s">
        <v>37372</v>
      </c>
      <c r="H8440" s="3">
        <v>8.0</v>
      </c>
      <c r="I8440" s="3">
        <v>28.0</v>
      </c>
      <c r="J8440" s="3">
        <v>1.0</v>
      </c>
      <c r="K8440" s="3">
        <v>17.0</v>
      </c>
      <c r="L8440" s="4" t="s">
        <v>37373</v>
      </c>
      <c r="M8440" s="2" t="s">
        <v>37374</v>
      </c>
      <c r="N8440" s="2" t="s">
        <v>155</v>
      </c>
      <c r="O8440" s="4" t="s">
        <v>156</v>
      </c>
      <c r="P8440" s="2" t="s">
        <v>37237</v>
      </c>
      <c r="Q8440" s="2" t="s">
        <v>31</v>
      </c>
      <c r="R8440" s="2" t="s">
        <v>64</v>
      </c>
      <c r="S8440" s="4" t="s">
        <v>2463</v>
      </c>
      <c r="T8440" s="2" t="s">
        <v>66</v>
      </c>
      <c r="U8440" s="4" t="s">
        <v>31</v>
      </c>
      <c r="V8440" s="2" t="s">
        <v>37342</v>
      </c>
      <c r="W8440" s="2" t="s">
        <v>37233</v>
      </c>
      <c r="X8440" s="5" t="str">
        <f>HYPERLINK("https://my.pitchbook.com?p=139830-49P","View People Online")</f>
        <v>View People Online</v>
      </c>
    </row>
    <row r="8441">
      <c r="A8441" s="14" t="s">
        <v>52384</v>
      </c>
      <c r="B8441" s="14" t="s">
        <v>52385</v>
      </c>
      <c r="C8441" s="14" t="s">
        <v>42409</v>
      </c>
      <c r="D8441" s="14" t="s">
        <v>52386</v>
      </c>
      <c r="E8441" s="14" t="s">
        <v>52387</v>
      </c>
      <c r="F8441" s="14" t="s">
        <v>270</v>
      </c>
      <c r="G8441" s="14" t="s">
        <v>52388</v>
      </c>
      <c r="H8441" s="15">
        <v>3.0</v>
      </c>
      <c r="I8441" s="15">
        <v>6.0</v>
      </c>
      <c r="J8441" s="15">
        <v>3.0</v>
      </c>
      <c r="K8441" s="15" t="s">
        <v>31</v>
      </c>
      <c r="L8441" s="16" t="s">
        <v>52389</v>
      </c>
      <c r="M8441" s="14" t="s">
        <v>52390</v>
      </c>
      <c r="N8441" s="14" t="s">
        <v>205</v>
      </c>
      <c r="O8441" s="16" t="s">
        <v>206</v>
      </c>
      <c r="P8441" s="14" t="s">
        <v>52391</v>
      </c>
      <c r="Q8441" s="14" t="s">
        <v>52392</v>
      </c>
      <c r="R8441" s="14" t="s">
        <v>209</v>
      </c>
      <c r="S8441" s="16" t="s">
        <v>52393</v>
      </c>
      <c r="T8441" s="14" t="s">
        <v>66</v>
      </c>
      <c r="U8441" s="16" t="s">
        <v>31</v>
      </c>
      <c r="V8441" s="14" t="s">
        <v>52394</v>
      </c>
      <c r="W8441" s="14" t="s">
        <v>52387</v>
      </c>
      <c r="X8441" s="17" t="str">
        <f>HYPERLINK("https://my.pitchbook.com?p=166448-08P","View People Online")</f>
        <v>View People Online</v>
      </c>
    </row>
    <row r="8442">
      <c r="A8442" s="10" t="s">
        <v>52395</v>
      </c>
      <c r="B8442" s="10" t="s">
        <v>52396</v>
      </c>
      <c r="C8442" s="10" t="s">
        <v>285</v>
      </c>
      <c r="D8442" s="10" t="s">
        <v>52397</v>
      </c>
      <c r="E8442" s="10" t="s">
        <v>52387</v>
      </c>
      <c r="F8442" s="10" t="s">
        <v>583</v>
      </c>
      <c r="G8442" s="10" t="s">
        <v>52398</v>
      </c>
      <c r="H8442" s="11">
        <v>1.0</v>
      </c>
      <c r="I8442" s="11">
        <v>3.0</v>
      </c>
      <c r="J8442" s="11">
        <v>2.0</v>
      </c>
      <c r="K8442" s="11" t="s">
        <v>31</v>
      </c>
      <c r="L8442" s="12" t="s">
        <v>52399</v>
      </c>
      <c r="M8442" s="10" t="s">
        <v>52400</v>
      </c>
      <c r="N8442" s="10" t="s">
        <v>205</v>
      </c>
      <c r="O8442" s="12" t="s">
        <v>206</v>
      </c>
      <c r="P8442" s="10" t="s">
        <v>52391</v>
      </c>
      <c r="Q8442" s="10" t="s">
        <v>52392</v>
      </c>
      <c r="R8442" s="10" t="s">
        <v>209</v>
      </c>
      <c r="S8442" s="12" t="s">
        <v>52393</v>
      </c>
      <c r="T8442" s="10" t="s">
        <v>66</v>
      </c>
      <c r="U8442" s="12" t="s">
        <v>31</v>
      </c>
      <c r="V8442" s="10" t="s">
        <v>583</v>
      </c>
      <c r="W8442" s="10" t="s">
        <v>52387</v>
      </c>
      <c r="X8442" s="13" t="str">
        <f>HYPERLINK("https://my.pitchbook.com?p=60875-47P","View People Online")</f>
        <v>View People Online</v>
      </c>
    </row>
    <row r="8443">
      <c r="A8443" s="6" t="s">
        <v>52401</v>
      </c>
      <c r="B8443" s="6" t="s">
        <v>52402</v>
      </c>
      <c r="C8443" s="6" t="s">
        <v>26</v>
      </c>
      <c r="D8443" s="6" t="s">
        <v>52403</v>
      </c>
      <c r="E8443" s="6" t="s">
        <v>52387</v>
      </c>
      <c r="F8443" s="6" t="s">
        <v>1801</v>
      </c>
      <c r="G8443" s="6" t="s">
        <v>52404</v>
      </c>
      <c r="H8443" s="7" t="s">
        <v>31</v>
      </c>
      <c r="I8443" s="7">
        <v>1.0</v>
      </c>
      <c r="J8443" s="7">
        <v>1.0</v>
      </c>
      <c r="K8443" s="7" t="s">
        <v>31</v>
      </c>
      <c r="L8443" s="8" t="s">
        <v>52389</v>
      </c>
      <c r="M8443" s="6" t="s">
        <v>31</v>
      </c>
      <c r="N8443" s="6" t="s">
        <v>205</v>
      </c>
      <c r="O8443" s="8" t="s">
        <v>206</v>
      </c>
      <c r="P8443" s="6" t="s">
        <v>52391</v>
      </c>
      <c r="Q8443" s="6" t="s">
        <v>52392</v>
      </c>
      <c r="R8443" s="6" t="s">
        <v>209</v>
      </c>
      <c r="S8443" s="8" t="s">
        <v>52393</v>
      </c>
      <c r="T8443" s="6" t="s">
        <v>66</v>
      </c>
      <c r="U8443" s="8" t="s">
        <v>31</v>
      </c>
      <c r="V8443" s="6" t="s">
        <v>52405</v>
      </c>
      <c r="W8443" s="6" t="s">
        <v>52387</v>
      </c>
      <c r="X8443" s="9" t="str">
        <f>HYPERLINK("https://my.pitchbook.com?p=331096-78P","View People Online")</f>
        <v>View People Online</v>
      </c>
    </row>
    <row r="8444">
      <c r="A8444" s="10" t="s">
        <v>52406</v>
      </c>
      <c r="B8444" s="10" t="s">
        <v>52407</v>
      </c>
      <c r="C8444" s="10" t="s">
        <v>369</v>
      </c>
      <c r="D8444" s="10" t="s">
        <v>52408</v>
      </c>
      <c r="E8444" s="10" t="s">
        <v>52387</v>
      </c>
      <c r="F8444" s="10" t="s">
        <v>52409</v>
      </c>
      <c r="G8444" s="10" t="s">
        <v>52410</v>
      </c>
      <c r="H8444" s="11" t="s">
        <v>31</v>
      </c>
      <c r="I8444" s="11">
        <v>1.0</v>
      </c>
      <c r="J8444" s="11">
        <v>1.0</v>
      </c>
      <c r="K8444" s="11" t="s">
        <v>31</v>
      </c>
      <c r="L8444" s="12" t="s">
        <v>52389</v>
      </c>
      <c r="M8444" s="10" t="s">
        <v>52411</v>
      </c>
      <c r="N8444" s="10" t="s">
        <v>205</v>
      </c>
      <c r="O8444" s="12" t="s">
        <v>206</v>
      </c>
      <c r="P8444" s="10" t="s">
        <v>52391</v>
      </c>
      <c r="Q8444" s="10" t="s">
        <v>52392</v>
      </c>
      <c r="R8444" s="10" t="s">
        <v>209</v>
      </c>
      <c r="S8444" s="12" t="s">
        <v>52393</v>
      </c>
      <c r="T8444" s="10" t="s">
        <v>66</v>
      </c>
      <c r="U8444" s="12" t="s">
        <v>31</v>
      </c>
      <c r="V8444" s="10" t="s">
        <v>52412</v>
      </c>
      <c r="W8444" s="10" t="s">
        <v>52387</v>
      </c>
      <c r="X8444" s="13" t="str">
        <f>HYPERLINK("https://my.pitchbook.com?p=200486-26P","View People Online")</f>
        <v>View People Online</v>
      </c>
    </row>
    <row r="8445">
      <c r="A8445" s="14" t="s">
        <v>52413</v>
      </c>
      <c r="B8445" s="14" t="s">
        <v>52414</v>
      </c>
      <c r="C8445" s="14" t="s">
        <v>7413</v>
      </c>
      <c r="D8445" s="14" t="s">
        <v>4873</v>
      </c>
      <c r="E8445" s="14" t="s">
        <v>52415</v>
      </c>
      <c r="F8445" s="14" t="s">
        <v>29</v>
      </c>
      <c r="G8445" s="14" t="s">
        <v>52416</v>
      </c>
      <c r="H8445" s="15" t="s">
        <v>31</v>
      </c>
      <c r="I8445" s="15">
        <v>2.0</v>
      </c>
      <c r="J8445" s="15">
        <v>1.0</v>
      </c>
      <c r="K8445" s="15" t="s">
        <v>31</v>
      </c>
      <c r="L8445" s="16" t="s">
        <v>52417</v>
      </c>
      <c r="M8445" s="14" t="s">
        <v>52418</v>
      </c>
      <c r="N8445" s="14" t="s">
        <v>52419</v>
      </c>
      <c r="O8445" s="16" t="s">
        <v>52420</v>
      </c>
      <c r="P8445" s="14" t="s">
        <v>52421</v>
      </c>
      <c r="Q8445" s="14" t="s">
        <v>52422</v>
      </c>
      <c r="R8445" s="14" t="s">
        <v>616</v>
      </c>
      <c r="S8445" s="16" t="s">
        <v>52423</v>
      </c>
      <c r="T8445" s="14" t="s">
        <v>66</v>
      </c>
      <c r="U8445" s="16" t="s">
        <v>52424</v>
      </c>
      <c r="V8445" s="14" t="s">
        <v>52425</v>
      </c>
      <c r="W8445" s="14" t="s">
        <v>52415</v>
      </c>
      <c r="X8445" s="17" t="str">
        <f>HYPERLINK("https://my.pitchbook.com?p=49504-42P","View People Online")</f>
        <v>View People Online</v>
      </c>
    </row>
    <row r="8446">
      <c r="A8446" s="10" t="s">
        <v>52426</v>
      </c>
      <c r="B8446" s="10" t="s">
        <v>52427</v>
      </c>
      <c r="C8446" s="10" t="s">
        <v>740</v>
      </c>
      <c r="D8446" s="10" t="s">
        <v>52428</v>
      </c>
      <c r="E8446" s="10" t="s">
        <v>52415</v>
      </c>
      <c r="F8446" s="10" t="s">
        <v>43</v>
      </c>
      <c r="G8446" s="10" t="s">
        <v>52429</v>
      </c>
      <c r="H8446" s="11" t="s">
        <v>31</v>
      </c>
      <c r="I8446" s="11">
        <v>7.0</v>
      </c>
      <c r="J8446" s="11">
        <v>2.0</v>
      </c>
      <c r="K8446" s="11">
        <v>2.0</v>
      </c>
      <c r="L8446" s="12" t="s">
        <v>31</v>
      </c>
      <c r="M8446" s="10" t="s">
        <v>52430</v>
      </c>
      <c r="N8446" s="10" t="s">
        <v>155</v>
      </c>
      <c r="O8446" s="12" t="s">
        <v>156</v>
      </c>
      <c r="P8446" s="10" t="s">
        <v>52431</v>
      </c>
      <c r="Q8446" s="10" t="s">
        <v>31</v>
      </c>
      <c r="R8446" s="10" t="s">
        <v>64</v>
      </c>
      <c r="S8446" s="12" t="s">
        <v>7780</v>
      </c>
      <c r="T8446" s="10" t="s">
        <v>66</v>
      </c>
      <c r="U8446" s="12" t="s">
        <v>31</v>
      </c>
      <c r="V8446" s="10" t="s">
        <v>29</v>
      </c>
      <c r="W8446" s="10" t="s">
        <v>52432</v>
      </c>
      <c r="X8446" s="13" t="str">
        <f>HYPERLINK("https://my.pitchbook.com?p=89922-25P","View People Online")</f>
        <v>View People Online</v>
      </c>
    </row>
    <row r="8447">
      <c r="A8447" s="14" t="s">
        <v>52433</v>
      </c>
      <c r="B8447" s="14" t="s">
        <v>52434</v>
      </c>
      <c r="C8447" s="14" t="s">
        <v>26153</v>
      </c>
      <c r="D8447" s="14" t="s">
        <v>52435</v>
      </c>
      <c r="E8447" s="14" t="s">
        <v>52415</v>
      </c>
      <c r="F8447" s="14" t="s">
        <v>667</v>
      </c>
      <c r="G8447" s="14" t="s">
        <v>52436</v>
      </c>
      <c r="H8447" s="15" t="s">
        <v>31</v>
      </c>
      <c r="I8447" s="15">
        <v>1.0</v>
      </c>
      <c r="J8447" s="15">
        <v>1.0</v>
      </c>
      <c r="K8447" s="15" t="s">
        <v>31</v>
      </c>
      <c r="L8447" s="16" t="s">
        <v>52417</v>
      </c>
      <c r="M8447" s="14" t="s">
        <v>52437</v>
      </c>
      <c r="N8447" s="14" t="s">
        <v>52419</v>
      </c>
      <c r="O8447" s="16" t="s">
        <v>52420</v>
      </c>
      <c r="P8447" s="14" t="s">
        <v>52421</v>
      </c>
      <c r="Q8447" s="14" t="s">
        <v>52422</v>
      </c>
      <c r="R8447" s="14" t="s">
        <v>616</v>
      </c>
      <c r="S8447" s="16" t="s">
        <v>52423</v>
      </c>
      <c r="T8447" s="14" t="s">
        <v>66</v>
      </c>
      <c r="U8447" s="16" t="s">
        <v>52424</v>
      </c>
      <c r="V8447" s="14" t="s">
        <v>667</v>
      </c>
      <c r="W8447" s="14" t="s">
        <v>52415</v>
      </c>
      <c r="X8447" s="17" t="str">
        <f>HYPERLINK("https://my.pitchbook.com?p=355572-19P","View People Online")</f>
        <v>View People Online</v>
      </c>
    </row>
    <row r="8448">
      <c r="A8448" s="2" t="s">
        <v>52438</v>
      </c>
      <c r="B8448" s="2" t="s">
        <v>52439</v>
      </c>
      <c r="C8448" s="2" t="s">
        <v>4404</v>
      </c>
      <c r="D8448" s="2" t="s">
        <v>52440</v>
      </c>
      <c r="E8448" s="2" t="s">
        <v>52415</v>
      </c>
      <c r="F8448" s="2" t="s">
        <v>43</v>
      </c>
      <c r="G8448" s="2" t="s">
        <v>52441</v>
      </c>
      <c r="H8448" s="3" t="s">
        <v>31</v>
      </c>
      <c r="I8448" s="3">
        <v>4.0</v>
      </c>
      <c r="J8448" s="3">
        <v>1.0</v>
      </c>
      <c r="K8448" s="3">
        <v>2.0</v>
      </c>
      <c r="L8448" s="4" t="s">
        <v>52417</v>
      </c>
      <c r="M8448" s="2" t="s">
        <v>52442</v>
      </c>
      <c r="N8448" s="2" t="s">
        <v>52419</v>
      </c>
      <c r="O8448" s="4" t="s">
        <v>52420</v>
      </c>
      <c r="P8448" s="2" t="s">
        <v>52421</v>
      </c>
      <c r="Q8448" s="2" t="s">
        <v>52422</v>
      </c>
      <c r="R8448" s="2" t="s">
        <v>616</v>
      </c>
      <c r="S8448" s="4" t="s">
        <v>52423</v>
      </c>
      <c r="T8448" s="2" t="s">
        <v>66</v>
      </c>
      <c r="U8448" s="4" t="s">
        <v>52424</v>
      </c>
      <c r="V8448" s="2" t="s">
        <v>43</v>
      </c>
      <c r="W8448" s="2" t="s">
        <v>52415</v>
      </c>
      <c r="X8448" s="5" t="str">
        <f>HYPERLINK("https://my.pitchbook.com?p=184303-45P","View People Online")</f>
        <v>View People Online</v>
      </c>
    </row>
    <row r="8449">
      <c r="A8449" s="6" t="s">
        <v>52443</v>
      </c>
      <c r="B8449" s="6" t="s">
        <v>52444</v>
      </c>
      <c r="C8449" s="6" t="s">
        <v>1343</v>
      </c>
      <c r="D8449" s="6" t="s">
        <v>52445</v>
      </c>
      <c r="E8449" s="6" t="s">
        <v>52415</v>
      </c>
      <c r="F8449" s="6" t="s">
        <v>674</v>
      </c>
      <c r="G8449" s="6" t="s">
        <v>52446</v>
      </c>
      <c r="H8449" s="7">
        <v>1.0</v>
      </c>
      <c r="I8449" s="7">
        <v>47.0</v>
      </c>
      <c r="J8449" s="7">
        <v>2.0</v>
      </c>
      <c r="K8449" s="7">
        <v>31.0</v>
      </c>
      <c r="L8449" s="8" t="s">
        <v>52447</v>
      </c>
      <c r="M8449" s="6" t="s">
        <v>52448</v>
      </c>
      <c r="N8449" s="6" t="s">
        <v>52419</v>
      </c>
      <c r="O8449" s="8" t="s">
        <v>52420</v>
      </c>
      <c r="P8449" s="6" t="s">
        <v>52421</v>
      </c>
      <c r="Q8449" s="6" t="s">
        <v>52422</v>
      </c>
      <c r="R8449" s="6" t="s">
        <v>616</v>
      </c>
      <c r="S8449" s="8" t="s">
        <v>52423</v>
      </c>
      <c r="T8449" s="6" t="s">
        <v>66</v>
      </c>
      <c r="U8449" s="8" t="s">
        <v>52424</v>
      </c>
      <c r="V8449" s="6" t="s">
        <v>1172</v>
      </c>
      <c r="W8449" s="6" t="s">
        <v>52415</v>
      </c>
      <c r="X8449" s="9" t="str">
        <f>HYPERLINK("https://my.pitchbook.com?p=13144-42P","View People Online")</f>
        <v>View People Online</v>
      </c>
    </row>
    <row r="8450">
      <c r="A8450" s="10" t="s">
        <v>52449</v>
      </c>
      <c r="B8450" s="10" t="s">
        <v>52450</v>
      </c>
      <c r="C8450" s="10" t="s">
        <v>1343</v>
      </c>
      <c r="D8450" s="10" t="s">
        <v>4307</v>
      </c>
      <c r="E8450" s="10" t="s">
        <v>52415</v>
      </c>
      <c r="F8450" s="10" t="s">
        <v>86</v>
      </c>
      <c r="G8450" s="10" t="s">
        <v>52451</v>
      </c>
      <c r="H8450" s="11" t="s">
        <v>31</v>
      </c>
      <c r="I8450" s="11">
        <v>24.0</v>
      </c>
      <c r="J8450" s="11">
        <v>1.0</v>
      </c>
      <c r="K8450" s="11">
        <v>15.0</v>
      </c>
      <c r="L8450" s="12" t="s">
        <v>52452</v>
      </c>
      <c r="M8450" s="10" t="s">
        <v>52453</v>
      </c>
      <c r="N8450" s="10" t="s">
        <v>52419</v>
      </c>
      <c r="O8450" s="12" t="s">
        <v>52420</v>
      </c>
      <c r="P8450" s="10" t="s">
        <v>52421</v>
      </c>
      <c r="Q8450" s="10" t="s">
        <v>52422</v>
      </c>
      <c r="R8450" s="10" t="s">
        <v>616</v>
      </c>
      <c r="S8450" s="12" t="s">
        <v>52423</v>
      </c>
      <c r="T8450" s="10" t="s">
        <v>66</v>
      </c>
      <c r="U8450" s="12" t="s">
        <v>52424</v>
      </c>
      <c r="V8450" s="10" t="s">
        <v>95</v>
      </c>
      <c r="W8450" s="10" t="s">
        <v>52415</v>
      </c>
      <c r="X8450" s="13" t="str">
        <f>HYPERLINK("https://my.pitchbook.com?p=14104-90P","View People Online")</f>
        <v>View People Online</v>
      </c>
    </row>
    <row r="8451">
      <c r="A8451" s="6" t="s">
        <v>52454</v>
      </c>
      <c r="B8451" s="6" t="s">
        <v>52455</v>
      </c>
      <c r="C8451" s="6" t="s">
        <v>1765</v>
      </c>
      <c r="D8451" s="6" t="s">
        <v>52456</v>
      </c>
      <c r="E8451" s="6" t="s">
        <v>52415</v>
      </c>
      <c r="F8451" s="6" t="s">
        <v>502</v>
      </c>
      <c r="G8451" s="6" t="s">
        <v>52457</v>
      </c>
      <c r="H8451" s="7" t="s">
        <v>31</v>
      </c>
      <c r="I8451" s="7">
        <v>1.0</v>
      </c>
      <c r="J8451" s="7">
        <v>1.0</v>
      </c>
      <c r="K8451" s="7" t="s">
        <v>31</v>
      </c>
      <c r="L8451" s="8" t="s">
        <v>52417</v>
      </c>
      <c r="M8451" s="6" t="s">
        <v>52458</v>
      </c>
      <c r="N8451" s="6" t="s">
        <v>52419</v>
      </c>
      <c r="O8451" s="8" t="s">
        <v>52420</v>
      </c>
      <c r="P8451" s="6" t="s">
        <v>52421</v>
      </c>
      <c r="Q8451" s="6" t="s">
        <v>52422</v>
      </c>
      <c r="R8451" s="6" t="s">
        <v>616</v>
      </c>
      <c r="S8451" s="8" t="s">
        <v>52423</v>
      </c>
      <c r="T8451" s="6" t="s">
        <v>66</v>
      </c>
      <c r="U8451" s="8" t="s">
        <v>52424</v>
      </c>
      <c r="V8451" s="6" t="s">
        <v>502</v>
      </c>
      <c r="W8451" s="6" t="s">
        <v>52415</v>
      </c>
      <c r="X8451" s="9" t="str">
        <f>HYPERLINK("https://my.pitchbook.com?p=290131-66P","View People Online")</f>
        <v>View People Online</v>
      </c>
    </row>
    <row r="8452">
      <c r="A8452" s="10" t="s">
        <v>52459</v>
      </c>
      <c r="B8452" s="10" t="s">
        <v>52460</v>
      </c>
      <c r="C8452" s="10" t="s">
        <v>126</v>
      </c>
      <c r="D8452" s="10" t="s">
        <v>52461</v>
      </c>
      <c r="E8452" s="10" t="s">
        <v>52415</v>
      </c>
      <c r="F8452" s="10" t="s">
        <v>3710</v>
      </c>
      <c r="G8452" s="10" t="s">
        <v>52462</v>
      </c>
      <c r="H8452" s="11" t="s">
        <v>31</v>
      </c>
      <c r="I8452" s="11">
        <v>1.0</v>
      </c>
      <c r="J8452" s="11">
        <v>1.0</v>
      </c>
      <c r="K8452" s="11" t="s">
        <v>31</v>
      </c>
      <c r="L8452" s="12" t="s">
        <v>52417</v>
      </c>
      <c r="M8452" s="10" t="s">
        <v>52463</v>
      </c>
      <c r="N8452" s="10" t="s">
        <v>52419</v>
      </c>
      <c r="O8452" s="12" t="s">
        <v>52420</v>
      </c>
      <c r="P8452" s="10" t="s">
        <v>52421</v>
      </c>
      <c r="Q8452" s="10" t="s">
        <v>52422</v>
      </c>
      <c r="R8452" s="10" t="s">
        <v>616</v>
      </c>
      <c r="S8452" s="12" t="s">
        <v>52423</v>
      </c>
      <c r="T8452" s="10" t="s">
        <v>66</v>
      </c>
      <c r="U8452" s="12" t="s">
        <v>52424</v>
      </c>
      <c r="V8452" s="10" t="s">
        <v>3710</v>
      </c>
      <c r="W8452" s="10" t="s">
        <v>52415</v>
      </c>
      <c r="X8452" s="13" t="str">
        <f>HYPERLINK("https://my.pitchbook.com?p=208264-51P","View People Online")</f>
        <v>View People Online</v>
      </c>
    </row>
    <row r="8453">
      <c r="A8453" s="14" t="s">
        <v>52464</v>
      </c>
      <c r="B8453" s="14" t="s">
        <v>52465</v>
      </c>
      <c r="C8453" s="14" t="s">
        <v>52466</v>
      </c>
      <c r="D8453" s="14" t="s">
        <v>52467</v>
      </c>
      <c r="E8453" s="14" t="s">
        <v>52415</v>
      </c>
      <c r="F8453" s="14" t="s">
        <v>674</v>
      </c>
      <c r="G8453" s="14" t="s">
        <v>52468</v>
      </c>
      <c r="H8453" s="15">
        <v>3.0</v>
      </c>
      <c r="I8453" s="15">
        <v>61.0</v>
      </c>
      <c r="J8453" s="15">
        <v>2.0</v>
      </c>
      <c r="K8453" s="15">
        <v>43.0</v>
      </c>
      <c r="L8453" s="16" t="s">
        <v>52469</v>
      </c>
      <c r="M8453" s="14" t="s">
        <v>52470</v>
      </c>
      <c r="N8453" s="14" t="s">
        <v>52419</v>
      </c>
      <c r="O8453" s="16" t="s">
        <v>52420</v>
      </c>
      <c r="P8453" s="14" t="s">
        <v>52421</v>
      </c>
      <c r="Q8453" s="14" t="s">
        <v>52422</v>
      </c>
      <c r="R8453" s="14" t="s">
        <v>616</v>
      </c>
      <c r="S8453" s="16" t="s">
        <v>52423</v>
      </c>
      <c r="T8453" s="14" t="s">
        <v>66</v>
      </c>
      <c r="U8453" s="16" t="s">
        <v>52424</v>
      </c>
      <c r="V8453" s="14" t="s">
        <v>1172</v>
      </c>
      <c r="W8453" s="14" t="s">
        <v>52415</v>
      </c>
      <c r="X8453" s="17" t="str">
        <f>HYPERLINK("https://my.pitchbook.com?p=13144-60P","View People Online")</f>
        <v>View People Online</v>
      </c>
    </row>
    <row r="8454">
      <c r="A8454" s="2" t="s">
        <v>52471</v>
      </c>
      <c r="B8454" s="2" t="s">
        <v>52472</v>
      </c>
      <c r="C8454" s="2" t="s">
        <v>8834</v>
      </c>
      <c r="D8454" s="2" t="s">
        <v>18864</v>
      </c>
      <c r="E8454" s="2" t="s">
        <v>52473</v>
      </c>
      <c r="F8454" s="2" t="s">
        <v>1106</v>
      </c>
      <c r="G8454" s="2" t="s">
        <v>52474</v>
      </c>
      <c r="H8454" s="3">
        <v>1.0</v>
      </c>
      <c r="I8454" s="3">
        <v>12.0</v>
      </c>
      <c r="J8454" s="3">
        <v>2.0</v>
      </c>
      <c r="K8454" s="3">
        <v>7.0</v>
      </c>
      <c r="L8454" s="4" t="s">
        <v>31</v>
      </c>
      <c r="M8454" s="2" t="s">
        <v>52475</v>
      </c>
      <c r="N8454" s="2" t="s">
        <v>34</v>
      </c>
      <c r="O8454" s="4" t="s">
        <v>35</v>
      </c>
      <c r="P8454" s="2" t="s">
        <v>52476</v>
      </c>
      <c r="Q8454" s="2" t="s">
        <v>52477</v>
      </c>
      <c r="R8454" s="2" t="s">
        <v>31</v>
      </c>
      <c r="S8454" s="4" t="s">
        <v>31</v>
      </c>
      <c r="T8454" s="2" t="s">
        <v>38</v>
      </c>
      <c r="U8454" s="4" t="s">
        <v>31</v>
      </c>
      <c r="V8454" s="2" t="s">
        <v>1106</v>
      </c>
      <c r="W8454" s="2" t="s">
        <v>52473</v>
      </c>
      <c r="X8454" s="5" t="str">
        <f>HYPERLINK("https://my.pitchbook.com?p=95700-70P","View People Online")</f>
        <v>View People Online</v>
      </c>
    </row>
    <row r="8455">
      <c r="A8455" s="6" t="s">
        <v>52478</v>
      </c>
      <c r="B8455" s="6" t="s">
        <v>52479</v>
      </c>
      <c r="C8455" s="6" t="s">
        <v>4169</v>
      </c>
      <c r="D8455" s="6" t="s">
        <v>52480</v>
      </c>
      <c r="E8455" s="6" t="s">
        <v>52481</v>
      </c>
      <c r="F8455" s="6" t="s">
        <v>1730</v>
      </c>
      <c r="G8455" s="6" t="s">
        <v>52482</v>
      </c>
      <c r="H8455" s="7" t="s">
        <v>31</v>
      </c>
      <c r="I8455" s="7">
        <v>2.0</v>
      </c>
      <c r="J8455" s="7">
        <v>2.0</v>
      </c>
      <c r="K8455" s="7" t="s">
        <v>31</v>
      </c>
      <c r="L8455" s="8" t="s">
        <v>52483</v>
      </c>
      <c r="M8455" s="6" t="s">
        <v>52484</v>
      </c>
      <c r="N8455" s="6" t="s">
        <v>1170</v>
      </c>
      <c r="O8455" s="8" t="s">
        <v>1171</v>
      </c>
      <c r="P8455" s="6" t="s">
        <v>38648</v>
      </c>
      <c r="Q8455" s="6" t="s">
        <v>31</v>
      </c>
      <c r="R8455" s="6" t="s">
        <v>64</v>
      </c>
      <c r="S8455" s="8" t="s">
        <v>52485</v>
      </c>
      <c r="T8455" s="6" t="s">
        <v>66</v>
      </c>
      <c r="U8455" s="8" t="s">
        <v>31</v>
      </c>
      <c r="V8455" s="6" t="s">
        <v>95</v>
      </c>
      <c r="W8455" s="6" t="s">
        <v>52486</v>
      </c>
      <c r="X8455" s="9" t="str">
        <f>HYPERLINK("https://my.pitchbook.com?p=146450-17P","View People Online")</f>
        <v>View People Online</v>
      </c>
    </row>
    <row r="8456">
      <c r="A8456" s="2" t="s">
        <v>52487</v>
      </c>
      <c r="B8456" s="2" t="s">
        <v>52488</v>
      </c>
      <c r="C8456" s="2" t="s">
        <v>52489</v>
      </c>
      <c r="D8456" s="2" t="s">
        <v>52490</v>
      </c>
      <c r="E8456" s="2" t="s">
        <v>52481</v>
      </c>
      <c r="F8456" s="2" t="s">
        <v>86</v>
      </c>
      <c r="G8456" s="2" t="s">
        <v>52491</v>
      </c>
      <c r="H8456" s="3">
        <v>4.0</v>
      </c>
      <c r="I8456" s="3">
        <v>22.0</v>
      </c>
      <c r="J8456" s="3">
        <v>2.0</v>
      </c>
      <c r="K8456" s="3">
        <v>12.0</v>
      </c>
      <c r="L8456" s="4" t="s">
        <v>52492</v>
      </c>
      <c r="M8456" s="2" t="s">
        <v>52493</v>
      </c>
      <c r="N8456" s="2" t="s">
        <v>1442</v>
      </c>
      <c r="O8456" s="4" t="s">
        <v>1443</v>
      </c>
      <c r="P8456" s="2" t="s">
        <v>52494</v>
      </c>
      <c r="Q8456" s="2" t="s">
        <v>52495</v>
      </c>
      <c r="R8456" s="2" t="s">
        <v>1277</v>
      </c>
      <c r="S8456" s="4" t="s">
        <v>52325</v>
      </c>
      <c r="T8456" s="2" t="s">
        <v>66</v>
      </c>
      <c r="U8456" s="4" t="s">
        <v>31</v>
      </c>
      <c r="V8456" s="2" t="s">
        <v>95</v>
      </c>
      <c r="W8456" s="2" t="s">
        <v>52481</v>
      </c>
      <c r="X8456" s="5" t="str">
        <f>HYPERLINK("https://my.pitchbook.com?p=106528-78P","View People Online")</f>
        <v>View People Online</v>
      </c>
    </row>
    <row r="8457">
      <c r="A8457" s="6" t="s">
        <v>52496</v>
      </c>
      <c r="B8457" s="6" t="s">
        <v>52497</v>
      </c>
      <c r="C8457" s="6" t="s">
        <v>3529</v>
      </c>
      <c r="D8457" s="6" t="s">
        <v>2801</v>
      </c>
      <c r="E8457" s="6" t="s">
        <v>52481</v>
      </c>
      <c r="F8457" s="6" t="s">
        <v>25143</v>
      </c>
      <c r="G8457" s="6" t="s">
        <v>52498</v>
      </c>
      <c r="H8457" s="7" t="s">
        <v>31</v>
      </c>
      <c r="I8457" s="7">
        <v>6.0</v>
      </c>
      <c r="J8457" s="7">
        <v>2.0</v>
      </c>
      <c r="K8457" s="7">
        <v>1.0</v>
      </c>
      <c r="L8457" s="8" t="s">
        <v>52499</v>
      </c>
      <c r="M8457" s="6" t="s">
        <v>52500</v>
      </c>
      <c r="N8457" s="6" t="s">
        <v>1442</v>
      </c>
      <c r="O8457" s="8" t="s">
        <v>1443</v>
      </c>
      <c r="P8457" s="6" t="s">
        <v>52494</v>
      </c>
      <c r="Q8457" s="6" t="s">
        <v>52495</v>
      </c>
      <c r="R8457" s="6" t="s">
        <v>1277</v>
      </c>
      <c r="S8457" s="8" t="s">
        <v>52325</v>
      </c>
      <c r="T8457" s="6" t="s">
        <v>66</v>
      </c>
      <c r="U8457" s="8" t="s">
        <v>31</v>
      </c>
      <c r="V8457" s="6" t="s">
        <v>51122</v>
      </c>
      <c r="W8457" s="6" t="s">
        <v>52481</v>
      </c>
      <c r="X8457" s="9" t="str">
        <f>HYPERLINK("https://my.pitchbook.com?p=38619-64P","View People Online")</f>
        <v>View People Online</v>
      </c>
    </row>
    <row r="8458">
      <c r="A8458" s="2" t="s">
        <v>52501</v>
      </c>
      <c r="B8458" s="2" t="s">
        <v>52502</v>
      </c>
      <c r="C8458" s="2" t="s">
        <v>52503</v>
      </c>
      <c r="D8458" s="2" t="s">
        <v>52504</v>
      </c>
      <c r="E8458" s="2" t="s">
        <v>52505</v>
      </c>
      <c r="F8458" s="2" t="s">
        <v>1544</v>
      </c>
      <c r="G8458" s="2" t="s">
        <v>52506</v>
      </c>
      <c r="H8458" s="3">
        <v>1.0</v>
      </c>
      <c r="I8458" s="3">
        <v>4.0</v>
      </c>
      <c r="J8458" s="3">
        <v>1.0</v>
      </c>
      <c r="K8458" s="3">
        <v>1.0</v>
      </c>
      <c r="L8458" s="4" t="s">
        <v>52507</v>
      </c>
      <c r="M8458" s="2" t="s">
        <v>52508</v>
      </c>
      <c r="N8458" s="2" t="s">
        <v>6692</v>
      </c>
      <c r="O8458" s="4" t="s">
        <v>6693</v>
      </c>
      <c r="P8458" s="2" t="s">
        <v>7565</v>
      </c>
      <c r="Q8458" s="2" t="s">
        <v>52509</v>
      </c>
      <c r="R8458" s="2" t="s">
        <v>64</v>
      </c>
      <c r="S8458" s="4" t="s">
        <v>29972</v>
      </c>
      <c r="T8458" s="2" t="s">
        <v>66</v>
      </c>
      <c r="U8458" s="4" t="s">
        <v>31</v>
      </c>
      <c r="V8458" s="2" t="s">
        <v>1544</v>
      </c>
      <c r="W8458" s="2" t="s">
        <v>52505</v>
      </c>
      <c r="X8458" s="5" t="str">
        <f>HYPERLINK("https://my.pitchbook.com?p=213007-06P","View People Online")</f>
        <v>View People Online</v>
      </c>
    </row>
    <row r="8459">
      <c r="A8459" s="14" t="s">
        <v>52510</v>
      </c>
      <c r="B8459" s="14" t="s">
        <v>52511</v>
      </c>
      <c r="C8459" s="14" t="s">
        <v>52512</v>
      </c>
      <c r="D8459" s="14" t="s">
        <v>52513</v>
      </c>
      <c r="E8459" s="14" t="s">
        <v>52505</v>
      </c>
      <c r="F8459" s="14" t="s">
        <v>270</v>
      </c>
      <c r="G8459" s="14" t="s">
        <v>52514</v>
      </c>
      <c r="H8459" s="15" t="s">
        <v>31</v>
      </c>
      <c r="I8459" s="15">
        <v>1.0</v>
      </c>
      <c r="J8459" s="15">
        <v>1.0</v>
      </c>
      <c r="K8459" s="15" t="s">
        <v>31</v>
      </c>
      <c r="L8459" s="16" t="s">
        <v>52507</v>
      </c>
      <c r="M8459" s="14" t="s">
        <v>52515</v>
      </c>
      <c r="N8459" s="14" t="s">
        <v>6692</v>
      </c>
      <c r="O8459" s="16" t="s">
        <v>6693</v>
      </c>
      <c r="P8459" s="14" t="s">
        <v>7565</v>
      </c>
      <c r="Q8459" s="14" t="s">
        <v>52509</v>
      </c>
      <c r="R8459" s="14" t="s">
        <v>64</v>
      </c>
      <c r="S8459" s="16" t="s">
        <v>29972</v>
      </c>
      <c r="T8459" s="14" t="s">
        <v>66</v>
      </c>
      <c r="U8459" s="16" t="s">
        <v>31</v>
      </c>
      <c r="V8459" s="14" t="s">
        <v>6133</v>
      </c>
      <c r="W8459" s="14" t="s">
        <v>52505</v>
      </c>
      <c r="X8459" s="17" t="str">
        <f>HYPERLINK("https://my.pitchbook.com?p=93099-43P","View People Online")</f>
        <v>View People Online</v>
      </c>
    </row>
    <row r="8460">
      <c r="A8460" s="2" t="s">
        <v>52516</v>
      </c>
      <c r="B8460" s="2" t="s">
        <v>52517</v>
      </c>
      <c r="C8460" s="2" t="s">
        <v>186</v>
      </c>
      <c r="D8460" s="2" t="s">
        <v>52518</v>
      </c>
      <c r="E8460" s="2" t="s">
        <v>52505</v>
      </c>
      <c r="F8460" s="2" t="s">
        <v>7624</v>
      </c>
      <c r="G8460" s="2" t="s">
        <v>52519</v>
      </c>
      <c r="H8460" s="3" t="s">
        <v>31</v>
      </c>
      <c r="I8460" s="3">
        <v>2.0</v>
      </c>
      <c r="J8460" s="3">
        <v>1.0</v>
      </c>
      <c r="K8460" s="3">
        <v>1.0</v>
      </c>
      <c r="L8460" s="4" t="s">
        <v>52507</v>
      </c>
      <c r="M8460" s="2" t="s">
        <v>52520</v>
      </c>
      <c r="N8460" s="2" t="s">
        <v>6692</v>
      </c>
      <c r="O8460" s="4" t="s">
        <v>6693</v>
      </c>
      <c r="P8460" s="2" t="s">
        <v>7565</v>
      </c>
      <c r="Q8460" s="2" t="s">
        <v>52509</v>
      </c>
      <c r="R8460" s="2" t="s">
        <v>64</v>
      </c>
      <c r="S8460" s="4" t="s">
        <v>29972</v>
      </c>
      <c r="T8460" s="2" t="s">
        <v>66</v>
      </c>
      <c r="U8460" s="4" t="s">
        <v>31</v>
      </c>
      <c r="V8460" s="2" t="s">
        <v>52521</v>
      </c>
      <c r="W8460" s="2" t="s">
        <v>52505</v>
      </c>
      <c r="X8460" s="5" t="str">
        <f>HYPERLINK("https://my.pitchbook.com?p=269523-64P","View People Online")</f>
        <v>View People Online</v>
      </c>
    </row>
    <row r="8461">
      <c r="A8461" s="14" t="s">
        <v>52522</v>
      </c>
      <c r="B8461" s="14" t="s">
        <v>52523</v>
      </c>
      <c r="C8461" s="14" t="s">
        <v>237</v>
      </c>
      <c r="D8461" s="14" t="s">
        <v>6734</v>
      </c>
      <c r="E8461" s="14" t="s">
        <v>52505</v>
      </c>
      <c r="F8461" s="14" t="s">
        <v>583</v>
      </c>
      <c r="G8461" s="14" t="s">
        <v>52524</v>
      </c>
      <c r="H8461" s="15">
        <v>1.0</v>
      </c>
      <c r="I8461" s="15">
        <v>4.0</v>
      </c>
      <c r="J8461" s="15">
        <v>1.0</v>
      </c>
      <c r="K8461" s="15">
        <v>2.0</v>
      </c>
      <c r="L8461" s="16" t="s">
        <v>52507</v>
      </c>
      <c r="M8461" s="14" t="s">
        <v>52525</v>
      </c>
      <c r="N8461" s="14" t="s">
        <v>6692</v>
      </c>
      <c r="O8461" s="16" t="s">
        <v>6693</v>
      </c>
      <c r="P8461" s="14" t="s">
        <v>7565</v>
      </c>
      <c r="Q8461" s="14" t="s">
        <v>52509</v>
      </c>
      <c r="R8461" s="14" t="s">
        <v>64</v>
      </c>
      <c r="S8461" s="16" t="s">
        <v>29972</v>
      </c>
      <c r="T8461" s="14" t="s">
        <v>66</v>
      </c>
      <c r="U8461" s="16" t="s">
        <v>31</v>
      </c>
      <c r="V8461" s="14" t="s">
        <v>52526</v>
      </c>
      <c r="W8461" s="14" t="s">
        <v>52505</v>
      </c>
      <c r="X8461" s="17" t="str">
        <f>HYPERLINK("https://my.pitchbook.com?p=190011-61P","View People Online")</f>
        <v>View People Online</v>
      </c>
    </row>
    <row r="8462">
      <c r="A8462" s="2" t="s">
        <v>52527</v>
      </c>
      <c r="B8462" s="2" t="s">
        <v>52528</v>
      </c>
      <c r="C8462" s="2" t="s">
        <v>1117</v>
      </c>
      <c r="D8462" s="2" t="s">
        <v>200</v>
      </c>
      <c r="E8462" s="2" t="s">
        <v>52505</v>
      </c>
      <c r="F8462" s="2" t="s">
        <v>152</v>
      </c>
      <c r="G8462" s="2" t="s">
        <v>52529</v>
      </c>
      <c r="H8462" s="3" t="s">
        <v>31</v>
      </c>
      <c r="I8462" s="3">
        <v>1.0</v>
      </c>
      <c r="J8462" s="3">
        <v>1.0</v>
      </c>
      <c r="K8462" s="3" t="s">
        <v>31</v>
      </c>
      <c r="L8462" s="4" t="s">
        <v>52507</v>
      </c>
      <c r="M8462" s="2" t="s">
        <v>52530</v>
      </c>
      <c r="N8462" s="2" t="s">
        <v>6692</v>
      </c>
      <c r="O8462" s="4" t="s">
        <v>6693</v>
      </c>
      <c r="P8462" s="2" t="s">
        <v>7565</v>
      </c>
      <c r="Q8462" s="2" t="s">
        <v>52509</v>
      </c>
      <c r="R8462" s="2" t="s">
        <v>64</v>
      </c>
      <c r="S8462" s="4" t="s">
        <v>29972</v>
      </c>
      <c r="T8462" s="2" t="s">
        <v>66</v>
      </c>
      <c r="U8462" s="4" t="s">
        <v>31</v>
      </c>
      <c r="V8462" s="2" t="s">
        <v>157</v>
      </c>
      <c r="W8462" s="2" t="s">
        <v>52505</v>
      </c>
      <c r="X8462" s="5" t="str">
        <f>HYPERLINK("https://my.pitchbook.com?p=173912-95P","View People Online")</f>
        <v>View People Online</v>
      </c>
    </row>
    <row r="8463">
      <c r="A8463" s="6" t="s">
        <v>52531</v>
      </c>
      <c r="B8463" s="6" t="s">
        <v>52532</v>
      </c>
      <c r="C8463" s="6" t="s">
        <v>10383</v>
      </c>
      <c r="D8463" s="6" t="s">
        <v>43068</v>
      </c>
      <c r="E8463" s="6" t="s">
        <v>52505</v>
      </c>
      <c r="F8463" s="6" t="s">
        <v>5979</v>
      </c>
      <c r="G8463" s="6" t="s">
        <v>52533</v>
      </c>
      <c r="H8463" s="7" t="s">
        <v>31</v>
      </c>
      <c r="I8463" s="7">
        <v>1.0</v>
      </c>
      <c r="J8463" s="7">
        <v>1.0</v>
      </c>
      <c r="K8463" s="7" t="s">
        <v>31</v>
      </c>
      <c r="L8463" s="8" t="s">
        <v>52507</v>
      </c>
      <c r="M8463" s="6" t="s">
        <v>52534</v>
      </c>
      <c r="N8463" s="6" t="s">
        <v>6692</v>
      </c>
      <c r="O8463" s="8" t="s">
        <v>6693</v>
      </c>
      <c r="P8463" s="6" t="s">
        <v>7565</v>
      </c>
      <c r="Q8463" s="6" t="s">
        <v>52509</v>
      </c>
      <c r="R8463" s="6" t="s">
        <v>64</v>
      </c>
      <c r="S8463" s="8" t="s">
        <v>29972</v>
      </c>
      <c r="T8463" s="6" t="s">
        <v>66</v>
      </c>
      <c r="U8463" s="8" t="s">
        <v>31</v>
      </c>
      <c r="V8463" s="6" t="s">
        <v>32809</v>
      </c>
      <c r="W8463" s="6" t="s">
        <v>52505</v>
      </c>
      <c r="X8463" s="9" t="str">
        <f>HYPERLINK("https://my.pitchbook.com?p=227006-11P","View People Online")</f>
        <v>View People Online</v>
      </c>
    </row>
    <row r="8464">
      <c r="A8464" s="2" t="s">
        <v>52535</v>
      </c>
      <c r="B8464" s="2" t="s">
        <v>52536</v>
      </c>
      <c r="C8464" s="2" t="s">
        <v>52537</v>
      </c>
      <c r="D8464" s="2" t="s">
        <v>52538</v>
      </c>
      <c r="E8464" s="2" t="s">
        <v>52505</v>
      </c>
      <c r="F8464" s="2" t="s">
        <v>548</v>
      </c>
      <c r="G8464" s="2" t="s">
        <v>52539</v>
      </c>
      <c r="H8464" s="3" t="s">
        <v>31</v>
      </c>
      <c r="I8464" s="3">
        <v>1.0</v>
      </c>
      <c r="J8464" s="3">
        <v>1.0</v>
      </c>
      <c r="K8464" s="3" t="s">
        <v>31</v>
      </c>
      <c r="L8464" s="4" t="s">
        <v>52507</v>
      </c>
      <c r="M8464" s="2" t="s">
        <v>52540</v>
      </c>
      <c r="N8464" s="2" t="s">
        <v>6692</v>
      </c>
      <c r="O8464" s="4" t="s">
        <v>6693</v>
      </c>
      <c r="P8464" s="2" t="s">
        <v>7565</v>
      </c>
      <c r="Q8464" s="2" t="s">
        <v>52509</v>
      </c>
      <c r="R8464" s="2" t="s">
        <v>64</v>
      </c>
      <c r="S8464" s="4" t="s">
        <v>29972</v>
      </c>
      <c r="T8464" s="2" t="s">
        <v>66</v>
      </c>
      <c r="U8464" s="4" t="s">
        <v>31</v>
      </c>
      <c r="V8464" s="2" t="s">
        <v>52541</v>
      </c>
      <c r="W8464" s="2" t="s">
        <v>52505</v>
      </c>
      <c r="X8464" s="5" t="str">
        <f>HYPERLINK("https://my.pitchbook.com?p=142624-27P","View People Online")</f>
        <v>View People Online</v>
      </c>
    </row>
    <row r="8465">
      <c r="A8465" s="14" t="s">
        <v>52542</v>
      </c>
      <c r="B8465" s="14" t="s">
        <v>52543</v>
      </c>
      <c r="C8465" s="14" t="s">
        <v>52544</v>
      </c>
      <c r="D8465" s="14" t="s">
        <v>52545</v>
      </c>
      <c r="E8465" s="14" t="s">
        <v>52505</v>
      </c>
      <c r="F8465" s="14" t="s">
        <v>3665</v>
      </c>
      <c r="G8465" s="14" t="s">
        <v>52546</v>
      </c>
      <c r="H8465" s="15" t="s">
        <v>31</v>
      </c>
      <c r="I8465" s="15">
        <v>1.0</v>
      </c>
      <c r="J8465" s="15">
        <v>1.0</v>
      </c>
      <c r="K8465" s="15" t="s">
        <v>31</v>
      </c>
      <c r="L8465" s="16" t="s">
        <v>52507</v>
      </c>
      <c r="M8465" s="14" t="s">
        <v>52547</v>
      </c>
      <c r="N8465" s="14" t="s">
        <v>6692</v>
      </c>
      <c r="O8465" s="16" t="s">
        <v>6693</v>
      </c>
      <c r="P8465" s="14" t="s">
        <v>7565</v>
      </c>
      <c r="Q8465" s="14" t="s">
        <v>52509</v>
      </c>
      <c r="R8465" s="14" t="s">
        <v>64</v>
      </c>
      <c r="S8465" s="16" t="s">
        <v>29972</v>
      </c>
      <c r="T8465" s="14" t="s">
        <v>66</v>
      </c>
      <c r="U8465" s="16" t="s">
        <v>31</v>
      </c>
      <c r="V8465" s="14" t="s">
        <v>28916</v>
      </c>
      <c r="W8465" s="14" t="s">
        <v>52505</v>
      </c>
      <c r="X8465" s="17" t="str">
        <f>HYPERLINK("https://my.pitchbook.com?p=424883-53P","View People Online")</f>
        <v>View People Online</v>
      </c>
    </row>
    <row r="8466">
      <c r="A8466" s="10" t="s">
        <v>52548</v>
      </c>
      <c r="B8466" s="10" t="s">
        <v>52549</v>
      </c>
      <c r="C8466" s="10" t="s">
        <v>1929</v>
      </c>
      <c r="D8466" s="10" t="s">
        <v>52550</v>
      </c>
      <c r="E8466" s="10" t="s">
        <v>52505</v>
      </c>
      <c r="F8466" s="10" t="s">
        <v>3740</v>
      </c>
      <c r="G8466" s="10" t="s">
        <v>52551</v>
      </c>
      <c r="H8466" s="11">
        <v>2.0</v>
      </c>
      <c r="I8466" s="11">
        <v>7.0</v>
      </c>
      <c r="J8466" s="11">
        <v>2.0</v>
      </c>
      <c r="K8466" s="11" t="s">
        <v>31</v>
      </c>
      <c r="L8466" s="12" t="s">
        <v>52507</v>
      </c>
      <c r="M8466" s="10" t="s">
        <v>52552</v>
      </c>
      <c r="N8466" s="10" t="s">
        <v>6692</v>
      </c>
      <c r="O8466" s="12" t="s">
        <v>6693</v>
      </c>
      <c r="P8466" s="10" t="s">
        <v>7565</v>
      </c>
      <c r="Q8466" s="10" t="s">
        <v>52509</v>
      </c>
      <c r="R8466" s="10" t="s">
        <v>64</v>
      </c>
      <c r="S8466" s="12" t="s">
        <v>29972</v>
      </c>
      <c r="T8466" s="10" t="s">
        <v>66</v>
      </c>
      <c r="U8466" s="12" t="s">
        <v>31</v>
      </c>
      <c r="V8466" s="10" t="s">
        <v>3740</v>
      </c>
      <c r="W8466" s="10" t="s">
        <v>52505</v>
      </c>
      <c r="X8466" s="13" t="str">
        <f>HYPERLINK("https://my.pitchbook.com?p=118419-85P","View People Online")</f>
        <v>View People Online</v>
      </c>
    </row>
    <row r="8467">
      <c r="A8467" s="14" t="s">
        <v>52553</v>
      </c>
      <c r="B8467" s="14" t="s">
        <v>52554</v>
      </c>
      <c r="C8467" s="14" t="s">
        <v>1437</v>
      </c>
      <c r="D8467" s="14" t="s">
        <v>4662</v>
      </c>
      <c r="E8467" s="14" t="s">
        <v>52505</v>
      </c>
      <c r="F8467" s="14" t="s">
        <v>1801</v>
      </c>
      <c r="G8467" s="14" t="s">
        <v>52555</v>
      </c>
      <c r="H8467" s="15" t="s">
        <v>31</v>
      </c>
      <c r="I8467" s="15">
        <v>1.0</v>
      </c>
      <c r="J8467" s="15">
        <v>1.0</v>
      </c>
      <c r="K8467" s="15" t="s">
        <v>31</v>
      </c>
      <c r="L8467" s="16" t="s">
        <v>52507</v>
      </c>
      <c r="M8467" s="14" t="s">
        <v>52556</v>
      </c>
      <c r="N8467" s="14" t="s">
        <v>6692</v>
      </c>
      <c r="O8467" s="16" t="s">
        <v>6693</v>
      </c>
      <c r="P8467" s="14" t="s">
        <v>7565</v>
      </c>
      <c r="Q8467" s="14" t="s">
        <v>52509</v>
      </c>
      <c r="R8467" s="14" t="s">
        <v>64</v>
      </c>
      <c r="S8467" s="16" t="s">
        <v>29972</v>
      </c>
      <c r="T8467" s="14" t="s">
        <v>66</v>
      </c>
      <c r="U8467" s="16" t="s">
        <v>31</v>
      </c>
      <c r="V8467" s="14" t="s">
        <v>52557</v>
      </c>
      <c r="W8467" s="14" t="s">
        <v>52505</v>
      </c>
      <c r="X8467" s="17" t="str">
        <f>HYPERLINK("https://my.pitchbook.com?p=44863-21P","View People Online")</f>
        <v>View People Online</v>
      </c>
    </row>
    <row r="8468">
      <c r="A8468" s="10" t="s">
        <v>52558</v>
      </c>
      <c r="B8468" s="10" t="s">
        <v>52559</v>
      </c>
      <c r="C8468" s="10" t="s">
        <v>4248</v>
      </c>
      <c r="D8468" s="10" t="s">
        <v>4015</v>
      </c>
      <c r="E8468" s="10" t="s">
        <v>52505</v>
      </c>
      <c r="F8468" s="10" t="s">
        <v>2156</v>
      </c>
      <c r="G8468" s="10" t="s">
        <v>52560</v>
      </c>
      <c r="H8468" s="11" t="s">
        <v>31</v>
      </c>
      <c r="I8468" s="11">
        <v>1.0</v>
      </c>
      <c r="J8468" s="11">
        <v>1.0</v>
      </c>
      <c r="K8468" s="11" t="s">
        <v>31</v>
      </c>
      <c r="L8468" s="12" t="s">
        <v>52507</v>
      </c>
      <c r="M8468" s="10" t="s">
        <v>52561</v>
      </c>
      <c r="N8468" s="10" t="s">
        <v>6692</v>
      </c>
      <c r="O8468" s="12" t="s">
        <v>6693</v>
      </c>
      <c r="P8468" s="10" t="s">
        <v>7565</v>
      </c>
      <c r="Q8468" s="10" t="s">
        <v>52509</v>
      </c>
      <c r="R8468" s="10" t="s">
        <v>64</v>
      </c>
      <c r="S8468" s="12" t="s">
        <v>29972</v>
      </c>
      <c r="T8468" s="10" t="s">
        <v>66</v>
      </c>
      <c r="U8468" s="12" t="s">
        <v>31</v>
      </c>
      <c r="V8468" s="10" t="s">
        <v>52562</v>
      </c>
      <c r="W8468" s="10" t="s">
        <v>52505</v>
      </c>
      <c r="X8468" s="13" t="str">
        <f>HYPERLINK("https://my.pitchbook.com?p=84697-75P","View People Online")</f>
        <v>View People Online</v>
      </c>
    </row>
    <row r="8469">
      <c r="A8469" s="6" t="s">
        <v>52563</v>
      </c>
      <c r="B8469" s="6" t="s">
        <v>52564</v>
      </c>
      <c r="C8469" s="6" t="s">
        <v>15483</v>
      </c>
      <c r="D8469" s="6" t="s">
        <v>52565</v>
      </c>
      <c r="E8469" s="6" t="s">
        <v>52505</v>
      </c>
      <c r="F8469" s="6" t="s">
        <v>1249</v>
      </c>
      <c r="G8469" s="6" t="s">
        <v>52566</v>
      </c>
      <c r="H8469" s="7">
        <v>2.0</v>
      </c>
      <c r="I8469" s="7">
        <v>9.0</v>
      </c>
      <c r="J8469" s="7">
        <v>1.0</v>
      </c>
      <c r="K8469" s="7">
        <v>7.0</v>
      </c>
      <c r="L8469" s="8" t="s">
        <v>52507</v>
      </c>
      <c r="M8469" s="6" t="s">
        <v>52567</v>
      </c>
      <c r="N8469" s="6" t="s">
        <v>6692</v>
      </c>
      <c r="O8469" s="8" t="s">
        <v>6693</v>
      </c>
      <c r="P8469" s="6" t="s">
        <v>7565</v>
      </c>
      <c r="Q8469" s="6" t="s">
        <v>52509</v>
      </c>
      <c r="R8469" s="6" t="s">
        <v>64</v>
      </c>
      <c r="S8469" s="8" t="s">
        <v>29972</v>
      </c>
      <c r="T8469" s="6" t="s">
        <v>66</v>
      </c>
      <c r="U8469" s="8" t="s">
        <v>31</v>
      </c>
      <c r="V8469" s="6" t="s">
        <v>7404</v>
      </c>
      <c r="W8469" s="6" t="s">
        <v>52505</v>
      </c>
      <c r="X8469" s="9" t="str">
        <f>HYPERLINK("https://my.pitchbook.com?p=111517-57P","View People Online")</f>
        <v>View People Online</v>
      </c>
    </row>
    <row r="8470">
      <c r="A8470" s="10" t="s">
        <v>52568</v>
      </c>
      <c r="B8470" s="10" t="s">
        <v>52569</v>
      </c>
      <c r="C8470" s="10" t="s">
        <v>1449</v>
      </c>
      <c r="D8470" s="10" t="s">
        <v>52570</v>
      </c>
      <c r="E8470" s="10" t="s">
        <v>52505</v>
      </c>
      <c r="F8470" s="10" t="s">
        <v>3600</v>
      </c>
      <c r="G8470" s="10" t="s">
        <v>52571</v>
      </c>
      <c r="H8470" s="11" t="s">
        <v>31</v>
      </c>
      <c r="I8470" s="11">
        <v>1.0</v>
      </c>
      <c r="J8470" s="11">
        <v>1.0</v>
      </c>
      <c r="K8470" s="11" t="s">
        <v>31</v>
      </c>
      <c r="L8470" s="12" t="s">
        <v>52507</v>
      </c>
      <c r="M8470" s="10" t="s">
        <v>52572</v>
      </c>
      <c r="N8470" s="10" t="s">
        <v>6692</v>
      </c>
      <c r="O8470" s="12" t="s">
        <v>6693</v>
      </c>
      <c r="P8470" s="10" t="s">
        <v>7565</v>
      </c>
      <c r="Q8470" s="10" t="s">
        <v>52509</v>
      </c>
      <c r="R8470" s="10" t="s">
        <v>64</v>
      </c>
      <c r="S8470" s="12" t="s">
        <v>29972</v>
      </c>
      <c r="T8470" s="10" t="s">
        <v>66</v>
      </c>
      <c r="U8470" s="12" t="s">
        <v>31</v>
      </c>
      <c r="V8470" s="10" t="s">
        <v>52573</v>
      </c>
      <c r="W8470" s="10" t="s">
        <v>52505</v>
      </c>
      <c r="X8470" s="13" t="str">
        <f>HYPERLINK("https://my.pitchbook.com?p=80359-48P","View People Online")</f>
        <v>View People Online</v>
      </c>
    </row>
    <row r="8471">
      <c r="A8471" s="6" t="s">
        <v>52574</v>
      </c>
      <c r="B8471" s="6" t="s">
        <v>52575</v>
      </c>
      <c r="C8471" s="6" t="s">
        <v>26010</v>
      </c>
      <c r="D8471" s="6" t="s">
        <v>52576</v>
      </c>
      <c r="E8471" s="6" t="s">
        <v>52505</v>
      </c>
      <c r="F8471" s="6" t="s">
        <v>10389</v>
      </c>
      <c r="G8471" s="6" t="s">
        <v>52577</v>
      </c>
      <c r="H8471" s="7" t="s">
        <v>31</v>
      </c>
      <c r="I8471" s="7">
        <v>1.0</v>
      </c>
      <c r="J8471" s="7">
        <v>1.0</v>
      </c>
      <c r="K8471" s="7" t="s">
        <v>31</v>
      </c>
      <c r="L8471" s="8" t="s">
        <v>52507</v>
      </c>
      <c r="M8471" s="6" t="s">
        <v>52578</v>
      </c>
      <c r="N8471" s="6" t="s">
        <v>6692</v>
      </c>
      <c r="O8471" s="8" t="s">
        <v>6693</v>
      </c>
      <c r="P8471" s="6" t="s">
        <v>7565</v>
      </c>
      <c r="Q8471" s="6" t="s">
        <v>52509</v>
      </c>
      <c r="R8471" s="6" t="s">
        <v>64</v>
      </c>
      <c r="S8471" s="8" t="s">
        <v>29972</v>
      </c>
      <c r="T8471" s="6" t="s">
        <v>66</v>
      </c>
      <c r="U8471" s="8" t="s">
        <v>31</v>
      </c>
      <c r="V8471" s="6" t="s">
        <v>52579</v>
      </c>
      <c r="W8471" s="6" t="s">
        <v>52505</v>
      </c>
      <c r="X8471" s="9" t="str">
        <f>HYPERLINK("https://my.pitchbook.com?p=106777-63P","View People Online")</f>
        <v>View People Online</v>
      </c>
    </row>
    <row r="8472">
      <c r="A8472" s="10" t="s">
        <v>52580</v>
      </c>
      <c r="B8472" s="10" t="s">
        <v>52581</v>
      </c>
      <c r="C8472" s="10" t="s">
        <v>52582</v>
      </c>
      <c r="D8472" s="10" t="s">
        <v>35373</v>
      </c>
      <c r="E8472" s="10" t="s">
        <v>52505</v>
      </c>
      <c r="F8472" s="10" t="s">
        <v>548</v>
      </c>
      <c r="G8472" s="10" t="s">
        <v>52583</v>
      </c>
      <c r="H8472" s="11" t="s">
        <v>31</v>
      </c>
      <c r="I8472" s="11">
        <v>1.0</v>
      </c>
      <c r="J8472" s="11">
        <v>1.0</v>
      </c>
      <c r="K8472" s="11" t="s">
        <v>31</v>
      </c>
      <c r="L8472" s="12" t="s">
        <v>52507</v>
      </c>
      <c r="M8472" s="10" t="s">
        <v>52584</v>
      </c>
      <c r="N8472" s="10" t="s">
        <v>6692</v>
      </c>
      <c r="O8472" s="12" t="s">
        <v>6693</v>
      </c>
      <c r="P8472" s="10" t="s">
        <v>7565</v>
      </c>
      <c r="Q8472" s="10" t="s">
        <v>52509</v>
      </c>
      <c r="R8472" s="10" t="s">
        <v>64</v>
      </c>
      <c r="S8472" s="12" t="s">
        <v>29972</v>
      </c>
      <c r="T8472" s="10" t="s">
        <v>66</v>
      </c>
      <c r="U8472" s="12" t="s">
        <v>31</v>
      </c>
      <c r="V8472" s="10" t="s">
        <v>52585</v>
      </c>
      <c r="W8472" s="10" t="s">
        <v>52505</v>
      </c>
      <c r="X8472" s="13" t="str">
        <f>HYPERLINK("https://my.pitchbook.com?p=142624-90P","View People Online")</f>
        <v>View People Online</v>
      </c>
    </row>
    <row r="8473">
      <c r="A8473" s="6" t="s">
        <v>52586</v>
      </c>
      <c r="B8473" s="6" t="s">
        <v>52587</v>
      </c>
      <c r="C8473" s="6" t="s">
        <v>4739</v>
      </c>
      <c r="D8473" s="6" t="s">
        <v>5644</v>
      </c>
      <c r="E8473" s="6" t="s">
        <v>52505</v>
      </c>
      <c r="F8473" s="6" t="s">
        <v>270</v>
      </c>
      <c r="G8473" s="6" t="s">
        <v>52588</v>
      </c>
      <c r="H8473" s="7">
        <v>1.0</v>
      </c>
      <c r="I8473" s="7">
        <v>2.0</v>
      </c>
      <c r="J8473" s="7">
        <v>1.0</v>
      </c>
      <c r="K8473" s="7" t="s">
        <v>31</v>
      </c>
      <c r="L8473" s="8" t="s">
        <v>52507</v>
      </c>
      <c r="M8473" s="6" t="s">
        <v>52589</v>
      </c>
      <c r="N8473" s="6" t="s">
        <v>6692</v>
      </c>
      <c r="O8473" s="8" t="s">
        <v>6693</v>
      </c>
      <c r="P8473" s="6" t="s">
        <v>7565</v>
      </c>
      <c r="Q8473" s="6" t="s">
        <v>52509</v>
      </c>
      <c r="R8473" s="6" t="s">
        <v>64</v>
      </c>
      <c r="S8473" s="8" t="s">
        <v>29972</v>
      </c>
      <c r="T8473" s="6" t="s">
        <v>66</v>
      </c>
      <c r="U8473" s="8" t="s">
        <v>31</v>
      </c>
      <c r="V8473" s="6" t="s">
        <v>13096</v>
      </c>
      <c r="W8473" s="6" t="s">
        <v>52505</v>
      </c>
      <c r="X8473" s="9" t="str">
        <f>HYPERLINK("https://my.pitchbook.com?p=133356-70P","View People Online")</f>
        <v>View People Online</v>
      </c>
    </row>
    <row r="8474">
      <c r="A8474" s="2" t="s">
        <v>52590</v>
      </c>
      <c r="B8474" s="2" t="s">
        <v>52591</v>
      </c>
      <c r="C8474" s="2" t="s">
        <v>52592</v>
      </c>
      <c r="D8474" s="2" t="s">
        <v>52593</v>
      </c>
      <c r="E8474" s="2" t="s">
        <v>52505</v>
      </c>
      <c r="F8474" s="2" t="s">
        <v>3600</v>
      </c>
      <c r="G8474" s="2" t="s">
        <v>52594</v>
      </c>
      <c r="H8474" s="3" t="s">
        <v>31</v>
      </c>
      <c r="I8474" s="3">
        <v>1.0</v>
      </c>
      <c r="J8474" s="3">
        <v>1.0</v>
      </c>
      <c r="K8474" s="3" t="s">
        <v>31</v>
      </c>
      <c r="L8474" s="4" t="s">
        <v>52507</v>
      </c>
      <c r="M8474" s="2" t="s">
        <v>52595</v>
      </c>
      <c r="N8474" s="2" t="s">
        <v>6692</v>
      </c>
      <c r="O8474" s="4" t="s">
        <v>6693</v>
      </c>
      <c r="P8474" s="2" t="s">
        <v>7565</v>
      </c>
      <c r="Q8474" s="2" t="s">
        <v>52509</v>
      </c>
      <c r="R8474" s="2" t="s">
        <v>64</v>
      </c>
      <c r="S8474" s="4" t="s">
        <v>29972</v>
      </c>
      <c r="T8474" s="2" t="s">
        <v>66</v>
      </c>
      <c r="U8474" s="4" t="s">
        <v>31</v>
      </c>
      <c r="V8474" s="2" t="s">
        <v>52596</v>
      </c>
      <c r="W8474" s="2" t="s">
        <v>52505</v>
      </c>
      <c r="X8474" s="5" t="str">
        <f>HYPERLINK("https://my.pitchbook.com?p=82489-78P","View People Online")</f>
        <v>View People Online</v>
      </c>
    </row>
    <row r="8475">
      <c r="A8475" s="6" t="s">
        <v>52597</v>
      </c>
      <c r="B8475" s="6" t="s">
        <v>52598</v>
      </c>
      <c r="C8475" s="6" t="s">
        <v>823</v>
      </c>
      <c r="D8475" s="6" t="s">
        <v>237</v>
      </c>
      <c r="E8475" s="6" t="s">
        <v>52505</v>
      </c>
      <c r="F8475" s="6" t="s">
        <v>371</v>
      </c>
      <c r="G8475" s="6" t="s">
        <v>52599</v>
      </c>
      <c r="H8475" s="7" t="s">
        <v>31</v>
      </c>
      <c r="I8475" s="7">
        <v>1.0</v>
      </c>
      <c r="J8475" s="7">
        <v>1.0</v>
      </c>
      <c r="K8475" s="7" t="s">
        <v>31</v>
      </c>
      <c r="L8475" s="8" t="s">
        <v>52507</v>
      </c>
      <c r="M8475" s="6" t="s">
        <v>52600</v>
      </c>
      <c r="N8475" s="6" t="s">
        <v>6692</v>
      </c>
      <c r="O8475" s="8" t="s">
        <v>6693</v>
      </c>
      <c r="P8475" s="6" t="s">
        <v>7565</v>
      </c>
      <c r="Q8475" s="6" t="s">
        <v>52509</v>
      </c>
      <c r="R8475" s="6" t="s">
        <v>64</v>
      </c>
      <c r="S8475" s="8" t="s">
        <v>29972</v>
      </c>
      <c r="T8475" s="6" t="s">
        <v>66</v>
      </c>
      <c r="U8475" s="8" t="s">
        <v>31</v>
      </c>
      <c r="V8475" s="6" t="s">
        <v>52601</v>
      </c>
      <c r="W8475" s="6" t="s">
        <v>52505</v>
      </c>
      <c r="X8475" s="9" t="str">
        <f>HYPERLINK("https://my.pitchbook.com?p=82489-51P","View People Online")</f>
        <v>View People Online</v>
      </c>
    </row>
    <row r="8476">
      <c r="A8476" s="10" t="s">
        <v>52602</v>
      </c>
      <c r="B8476" s="10" t="s">
        <v>52603</v>
      </c>
      <c r="C8476" s="10" t="s">
        <v>823</v>
      </c>
      <c r="D8476" s="10" t="s">
        <v>52604</v>
      </c>
      <c r="E8476" s="10" t="s">
        <v>52505</v>
      </c>
      <c r="F8476" s="10" t="s">
        <v>3600</v>
      </c>
      <c r="G8476" s="10" t="s">
        <v>52605</v>
      </c>
      <c r="H8476" s="11" t="s">
        <v>31</v>
      </c>
      <c r="I8476" s="11">
        <v>3.0</v>
      </c>
      <c r="J8476" s="11">
        <v>1.0</v>
      </c>
      <c r="K8476" s="11">
        <v>1.0</v>
      </c>
      <c r="L8476" s="12" t="s">
        <v>52507</v>
      </c>
      <c r="M8476" s="10" t="s">
        <v>52606</v>
      </c>
      <c r="N8476" s="10" t="s">
        <v>6692</v>
      </c>
      <c r="O8476" s="12" t="s">
        <v>6693</v>
      </c>
      <c r="P8476" s="10" t="s">
        <v>7565</v>
      </c>
      <c r="Q8476" s="10" t="s">
        <v>52509</v>
      </c>
      <c r="R8476" s="10" t="s">
        <v>64</v>
      </c>
      <c r="S8476" s="12" t="s">
        <v>29972</v>
      </c>
      <c r="T8476" s="10" t="s">
        <v>66</v>
      </c>
      <c r="U8476" s="12" t="s">
        <v>31</v>
      </c>
      <c r="V8476" s="10" t="s">
        <v>52607</v>
      </c>
      <c r="W8476" s="10" t="s">
        <v>52505</v>
      </c>
      <c r="X8476" s="13" t="str">
        <f>HYPERLINK("https://my.pitchbook.com?p=79856-47P","View People Online")</f>
        <v>View People Online</v>
      </c>
    </row>
    <row r="8477">
      <c r="A8477" s="14" t="s">
        <v>52608</v>
      </c>
      <c r="B8477" s="14" t="s">
        <v>52609</v>
      </c>
      <c r="C8477" s="14" t="s">
        <v>823</v>
      </c>
      <c r="D8477" s="14" t="s">
        <v>14888</v>
      </c>
      <c r="E8477" s="14" t="s">
        <v>52505</v>
      </c>
      <c r="F8477" s="14" t="s">
        <v>270</v>
      </c>
      <c r="G8477" s="14" t="s">
        <v>52610</v>
      </c>
      <c r="H8477" s="15" t="s">
        <v>31</v>
      </c>
      <c r="I8477" s="15">
        <v>2.0</v>
      </c>
      <c r="J8477" s="15">
        <v>2.0</v>
      </c>
      <c r="K8477" s="15" t="s">
        <v>31</v>
      </c>
      <c r="L8477" s="16" t="s">
        <v>52507</v>
      </c>
      <c r="M8477" s="14" t="s">
        <v>52611</v>
      </c>
      <c r="N8477" s="14" t="s">
        <v>6692</v>
      </c>
      <c r="O8477" s="16" t="s">
        <v>6693</v>
      </c>
      <c r="P8477" s="14" t="s">
        <v>7565</v>
      </c>
      <c r="Q8477" s="14" t="s">
        <v>52509</v>
      </c>
      <c r="R8477" s="14" t="s">
        <v>64</v>
      </c>
      <c r="S8477" s="16" t="s">
        <v>29972</v>
      </c>
      <c r="T8477" s="14" t="s">
        <v>66</v>
      </c>
      <c r="U8477" s="16" t="s">
        <v>31</v>
      </c>
      <c r="V8477" s="14" t="s">
        <v>270</v>
      </c>
      <c r="W8477" s="14" t="s">
        <v>52505</v>
      </c>
      <c r="X8477" s="17" t="str">
        <f>HYPERLINK("https://my.pitchbook.com?p=111520-36P","View People Online")</f>
        <v>View People Online</v>
      </c>
    </row>
    <row r="8478">
      <c r="A8478" s="10" t="s">
        <v>52612</v>
      </c>
      <c r="B8478" s="10" t="s">
        <v>52613</v>
      </c>
      <c r="C8478" s="10" t="s">
        <v>3529</v>
      </c>
      <c r="D8478" s="10" t="s">
        <v>52614</v>
      </c>
      <c r="E8478" s="10" t="s">
        <v>52505</v>
      </c>
      <c r="F8478" s="10" t="s">
        <v>3600</v>
      </c>
      <c r="G8478" s="10" t="s">
        <v>52615</v>
      </c>
      <c r="H8478" s="11" t="s">
        <v>31</v>
      </c>
      <c r="I8478" s="11">
        <v>1.0</v>
      </c>
      <c r="J8478" s="11">
        <v>1.0</v>
      </c>
      <c r="K8478" s="11" t="s">
        <v>31</v>
      </c>
      <c r="L8478" s="12" t="s">
        <v>52507</v>
      </c>
      <c r="M8478" s="10" t="s">
        <v>52616</v>
      </c>
      <c r="N8478" s="10" t="s">
        <v>6692</v>
      </c>
      <c r="O8478" s="12" t="s">
        <v>6693</v>
      </c>
      <c r="P8478" s="10" t="s">
        <v>7565</v>
      </c>
      <c r="Q8478" s="10" t="s">
        <v>52509</v>
      </c>
      <c r="R8478" s="10" t="s">
        <v>64</v>
      </c>
      <c r="S8478" s="12" t="s">
        <v>29972</v>
      </c>
      <c r="T8478" s="10" t="s">
        <v>66</v>
      </c>
      <c r="U8478" s="12" t="s">
        <v>31</v>
      </c>
      <c r="V8478" s="10" t="s">
        <v>52617</v>
      </c>
      <c r="W8478" s="10" t="s">
        <v>52505</v>
      </c>
      <c r="X8478" s="13" t="str">
        <f>HYPERLINK("https://my.pitchbook.com?p=139351-51P","View People Online")</f>
        <v>View People Online</v>
      </c>
    </row>
    <row r="8479">
      <c r="A8479" s="6" t="s">
        <v>52618</v>
      </c>
      <c r="B8479" s="6" t="s">
        <v>52619</v>
      </c>
      <c r="C8479" s="6" t="s">
        <v>3670</v>
      </c>
      <c r="D8479" s="6" t="s">
        <v>51198</v>
      </c>
      <c r="E8479" s="6" t="s">
        <v>52505</v>
      </c>
      <c r="F8479" s="6" t="s">
        <v>52620</v>
      </c>
      <c r="G8479" s="6" t="s">
        <v>52621</v>
      </c>
      <c r="H8479" s="7" t="s">
        <v>31</v>
      </c>
      <c r="I8479" s="7">
        <v>2.0</v>
      </c>
      <c r="J8479" s="7">
        <v>1.0</v>
      </c>
      <c r="K8479" s="7">
        <v>1.0</v>
      </c>
      <c r="L8479" s="8" t="s">
        <v>52507</v>
      </c>
      <c r="M8479" s="6" t="s">
        <v>52622</v>
      </c>
      <c r="N8479" s="6" t="s">
        <v>6692</v>
      </c>
      <c r="O8479" s="8" t="s">
        <v>6693</v>
      </c>
      <c r="P8479" s="6" t="s">
        <v>7565</v>
      </c>
      <c r="Q8479" s="6" t="s">
        <v>52509</v>
      </c>
      <c r="R8479" s="6" t="s">
        <v>64</v>
      </c>
      <c r="S8479" s="8" t="s">
        <v>29972</v>
      </c>
      <c r="T8479" s="6" t="s">
        <v>66</v>
      </c>
      <c r="U8479" s="8" t="s">
        <v>31</v>
      </c>
      <c r="V8479" s="6" t="s">
        <v>52623</v>
      </c>
      <c r="W8479" s="6" t="s">
        <v>52505</v>
      </c>
      <c r="X8479" s="9" t="str">
        <f>HYPERLINK("https://my.pitchbook.com?p=360566-38P","View People Online")</f>
        <v>View People Online</v>
      </c>
    </row>
    <row r="8480">
      <c r="A8480" s="10" t="s">
        <v>52624</v>
      </c>
      <c r="B8480" s="10" t="s">
        <v>52625</v>
      </c>
      <c r="C8480" s="10" t="s">
        <v>52626</v>
      </c>
      <c r="D8480" s="10" t="s">
        <v>52627</v>
      </c>
      <c r="E8480" s="10" t="s">
        <v>52505</v>
      </c>
      <c r="F8480" s="10" t="s">
        <v>270</v>
      </c>
      <c r="G8480" s="10" t="s">
        <v>52628</v>
      </c>
      <c r="H8480" s="11" t="s">
        <v>31</v>
      </c>
      <c r="I8480" s="11">
        <v>2.0</v>
      </c>
      <c r="J8480" s="11">
        <v>1.0</v>
      </c>
      <c r="K8480" s="11">
        <v>1.0</v>
      </c>
      <c r="L8480" s="12" t="s">
        <v>52507</v>
      </c>
      <c r="M8480" s="10" t="s">
        <v>31</v>
      </c>
      <c r="N8480" s="10" t="s">
        <v>6692</v>
      </c>
      <c r="O8480" s="12" t="s">
        <v>6693</v>
      </c>
      <c r="P8480" s="10" t="s">
        <v>7565</v>
      </c>
      <c r="Q8480" s="10" t="s">
        <v>52509</v>
      </c>
      <c r="R8480" s="10" t="s">
        <v>64</v>
      </c>
      <c r="S8480" s="12" t="s">
        <v>29972</v>
      </c>
      <c r="T8480" s="10" t="s">
        <v>66</v>
      </c>
      <c r="U8480" s="12" t="s">
        <v>31</v>
      </c>
      <c r="V8480" s="10" t="s">
        <v>270</v>
      </c>
      <c r="W8480" s="10" t="s">
        <v>52505</v>
      </c>
      <c r="X8480" s="13" t="str">
        <f>HYPERLINK("https://my.pitchbook.com?p=440707-33P","View People Online")</f>
        <v>View People Online</v>
      </c>
    </row>
    <row r="8481">
      <c r="A8481" s="14" t="s">
        <v>52629</v>
      </c>
      <c r="B8481" s="14" t="s">
        <v>52630</v>
      </c>
      <c r="C8481" s="14" t="s">
        <v>1616</v>
      </c>
      <c r="D8481" s="14" t="s">
        <v>2659</v>
      </c>
      <c r="E8481" s="14" t="s">
        <v>52505</v>
      </c>
      <c r="F8481" s="14" t="s">
        <v>52631</v>
      </c>
      <c r="G8481" s="14" t="s">
        <v>52632</v>
      </c>
      <c r="H8481" s="15" t="s">
        <v>31</v>
      </c>
      <c r="I8481" s="15">
        <v>1.0</v>
      </c>
      <c r="J8481" s="15">
        <v>1.0</v>
      </c>
      <c r="K8481" s="15" t="s">
        <v>31</v>
      </c>
      <c r="L8481" s="16" t="s">
        <v>52507</v>
      </c>
      <c r="M8481" s="14" t="s">
        <v>52633</v>
      </c>
      <c r="N8481" s="14" t="s">
        <v>6692</v>
      </c>
      <c r="O8481" s="16" t="s">
        <v>6693</v>
      </c>
      <c r="P8481" s="14" t="s">
        <v>7565</v>
      </c>
      <c r="Q8481" s="14" t="s">
        <v>52509</v>
      </c>
      <c r="R8481" s="14" t="s">
        <v>64</v>
      </c>
      <c r="S8481" s="16" t="s">
        <v>29972</v>
      </c>
      <c r="T8481" s="14" t="s">
        <v>66</v>
      </c>
      <c r="U8481" s="16" t="s">
        <v>31</v>
      </c>
      <c r="V8481" s="14" t="s">
        <v>52634</v>
      </c>
      <c r="W8481" s="14" t="s">
        <v>52505</v>
      </c>
      <c r="X8481" s="17" t="str">
        <f>HYPERLINK("https://my.pitchbook.com?p=121041-91P","View People Online")</f>
        <v>View People Online</v>
      </c>
    </row>
    <row r="8482">
      <c r="A8482" s="10" t="s">
        <v>52635</v>
      </c>
      <c r="B8482" s="10" t="s">
        <v>52636</v>
      </c>
      <c r="C8482" s="10" t="s">
        <v>126</v>
      </c>
      <c r="D8482" s="10" t="s">
        <v>52637</v>
      </c>
      <c r="E8482" s="10" t="s">
        <v>52505</v>
      </c>
      <c r="F8482" s="10" t="s">
        <v>270</v>
      </c>
      <c r="G8482" s="10" t="s">
        <v>52638</v>
      </c>
      <c r="H8482" s="11" t="s">
        <v>31</v>
      </c>
      <c r="I8482" s="11">
        <v>2.0</v>
      </c>
      <c r="J8482" s="11">
        <v>1.0</v>
      </c>
      <c r="K8482" s="11">
        <v>1.0</v>
      </c>
      <c r="L8482" s="12" t="s">
        <v>52639</v>
      </c>
      <c r="M8482" s="10" t="s">
        <v>52640</v>
      </c>
      <c r="N8482" s="10" t="s">
        <v>6692</v>
      </c>
      <c r="O8482" s="12" t="s">
        <v>6693</v>
      </c>
      <c r="P8482" s="10" t="s">
        <v>7565</v>
      </c>
      <c r="Q8482" s="10" t="s">
        <v>52509</v>
      </c>
      <c r="R8482" s="10" t="s">
        <v>64</v>
      </c>
      <c r="S8482" s="12" t="s">
        <v>29972</v>
      </c>
      <c r="T8482" s="10" t="s">
        <v>66</v>
      </c>
      <c r="U8482" s="12" t="s">
        <v>31</v>
      </c>
      <c r="V8482" s="10" t="s">
        <v>270</v>
      </c>
      <c r="W8482" s="10" t="s">
        <v>52505</v>
      </c>
      <c r="X8482" s="13" t="str">
        <f>HYPERLINK("https://my.pitchbook.com?p=139048-93P","View People Online")</f>
        <v>View People Online</v>
      </c>
    </row>
    <row r="8483">
      <c r="A8483" s="6" t="s">
        <v>52641</v>
      </c>
      <c r="B8483" s="6" t="s">
        <v>52642</v>
      </c>
      <c r="C8483" s="6" t="s">
        <v>52643</v>
      </c>
      <c r="D8483" s="6" t="s">
        <v>52644</v>
      </c>
      <c r="E8483" s="6" t="s">
        <v>52505</v>
      </c>
      <c r="F8483" s="6" t="s">
        <v>7624</v>
      </c>
      <c r="G8483" s="6" t="s">
        <v>52645</v>
      </c>
      <c r="H8483" s="7">
        <v>1.0</v>
      </c>
      <c r="I8483" s="7">
        <v>5.0</v>
      </c>
      <c r="J8483" s="7">
        <v>1.0</v>
      </c>
      <c r="K8483" s="7">
        <v>3.0</v>
      </c>
      <c r="L8483" s="8" t="s">
        <v>52646</v>
      </c>
      <c r="M8483" s="6" t="s">
        <v>52647</v>
      </c>
      <c r="N8483" s="6" t="s">
        <v>6692</v>
      </c>
      <c r="O8483" s="8" t="s">
        <v>6693</v>
      </c>
      <c r="P8483" s="6" t="s">
        <v>7565</v>
      </c>
      <c r="Q8483" s="6" t="s">
        <v>52509</v>
      </c>
      <c r="R8483" s="6" t="s">
        <v>64</v>
      </c>
      <c r="S8483" s="8" t="s">
        <v>29972</v>
      </c>
      <c r="T8483" s="6" t="s">
        <v>66</v>
      </c>
      <c r="U8483" s="8" t="s">
        <v>31</v>
      </c>
      <c r="V8483" s="6" t="s">
        <v>52648</v>
      </c>
      <c r="W8483" s="6" t="s">
        <v>52505</v>
      </c>
      <c r="X8483" s="9" t="str">
        <f>HYPERLINK("https://my.pitchbook.com?p=220798-54P","View People Online")</f>
        <v>View People Online</v>
      </c>
    </row>
    <row r="8484">
      <c r="A8484" s="2" t="s">
        <v>52649</v>
      </c>
      <c r="B8484" s="2" t="s">
        <v>52650</v>
      </c>
      <c r="C8484" s="2" t="s">
        <v>48746</v>
      </c>
      <c r="D8484" s="2" t="s">
        <v>52651</v>
      </c>
      <c r="E8484" s="2" t="s">
        <v>52505</v>
      </c>
      <c r="F8484" s="2" t="s">
        <v>548</v>
      </c>
      <c r="G8484" s="2" t="s">
        <v>52652</v>
      </c>
      <c r="H8484" s="3" t="s">
        <v>31</v>
      </c>
      <c r="I8484" s="3">
        <v>1.0</v>
      </c>
      <c r="J8484" s="3">
        <v>1.0</v>
      </c>
      <c r="K8484" s="3" t="s">
        <v>31</v>
      </c>
      <c r="L8484" s="4" t="s">
        <v>52507</v>
      </c>
      <c r="M8484" s="2" t="s">
        <v>52653</v>
      </c>
      <c r="N8484" s="2" t="s">
        <v>6692</v>
      </c>
      <c r="O8484" s="4" t="s">
        <v>6693</v>
      </c>
      <c r="P8484" s="2" t="s">
        <v>7565</v>
      </c>
      <c r="Q8484" s="2" t="s">
        <v>52509</v>
      </c>
      <c r="R8484" s="2" t="s">
        <v>64</v>
      </c>
      <c r="S8484" s="4" t="s">
        <v>29972</v>
      </c>
      <c r="T8484" s="2" t="s">
        <v>66</v>
      </c>
      <c r="U8484" s="4" t="s">
        <v>31</v>
      </c>
      <c r="V8484" s="2" t="s">
        <v>52654</v>
      </c>
      <c r="W8484" s="2" t="s">
        <v>52505</v>
      </c>
      <c r="X8484" s="5" t="str">
        <f>HYPERLINK("https://my.pitchbook.com?p=142625-71P","View People Online")</f>
        <v>View People Online</v>
      </c>
    </row>
    <row r="8485">
      <c r="A8485" s="6" t="s">
        <v>52655</v>
      </c>
      <c r="B8485" s="6" t="s">
        <v>52656</v>
      </c>
      <c r="C8485" s="6" t="s">
        <v>52657</v>
      </c>
      <c r="D8485" s="6" t="s">
        <v>4586</v>
      </c>
      <c r="E8485" s="6" t="s">
        <v>52505</v>
      </c>
      <c r="F8485" s="6" t="s">
        <v>3600</v>
      </c>
      <c r="G8485" s="6" t="s">
        <v>52658</v>
      </c>
      <c r="H8485" s="7" t="s">
        <v>31</v>
      </c>
      <c r="I8485" s="7">
        <v>1.0</v>
      </c>
      <c r="J8485" s="7">
        <v>1.0</v>
      </c>
      <c r="K8485" s="7" t="s">
        <v>31</v>
      </c>
      <c r="L8485" s="8" t="s">
        <v>52507</v>
      </c>
      <c r="M8485" s="6" t="s">
        <v>52659</v>
      </c>
      <c r="N8485" s="6" t="s">
        <v>6692</v>
      </c>
      <c r="O8485" s="8" t="s">
        <v>6693</v>
      </c>
      <c r="P8485" s="6" t="s">
        <v>7565</v>
      </c>
      <c r="Q8485" s="6" t="s">
        <v>52509</v>
      </c>
      <c r="R8485" s="6" t="s">
        <v>64</v>
      </c>
      <c r="S8485" s="8" t="s">
        <v>29972</v>
      </c>
      <c r="T8485" s="6" t="s">
        <v>66</v>
      </c>
      <c r="U8485" s="8" t="s">
        <v>31</v>
      </c>
      <c r="V8485" s="6" t="s">
        <v>52573</v>
      </c>
      <c r="W8485" s="6" t="s">
        <v>52505</v>
      </c>
      <c r="X8485" s="9" t="str">
        <f>HYPERLINK("https://my.pitchbook.com?p=340227-46P","View People Online")</f>
        <v>View People Online</v>
      </c>
    </row>
    <row r="8486">
      <c r="A8486" s="2" t="s">
        <v>52660</v>
      </c>
      <c r="B8486" s="2" t="s">
        <v>52661</v>
      </c>
      <c r="C8486" s="2" t="s">
        <v>52662</v>
      </c>
      <c r="D8486" s="2" t="s">
        <v>52663</v>
      </c>
      <c r="E8486" s="2" t="s">
        <v>52505</v>
      </c>
      <c r="F8486" s="2" t="s">
        <v>270</v>
      </c>
      <c r="G8486" s="2" t="s">
        <v>52664</v>
      </c>
      <c r="H8486" s="3" t="s">
        <v>31</v>
      </c>
      <c r="I8486" s="3">
        <v>1.0</v>
      </c>
      <c r="J8486" s="3">
        <v>1.0</v>
      </c>
      <c r="K8486" s="3" t="s">
        <v>31</v>
      </c>
      <c r="L8486" s="4" t="s">
        <v>52507</v>
      </c>
      <c r="M8486" s="2" t="s">
        <v>52665</v>
      </c>
      <c r="N8486" s="2" t="s">
        <v>6692</v>
      </c>
      <c r="O8486" s="4" t="s">
        <v>6693</v>
      </c>
      <c r="P8486" s="2" t="s">
        <v>7565</v>
      </c>
      <c r="Q8486" s="2" t="s">
        <v>52509</v>
      </c>
      <c r="R8486" s="2" t="s">
        <v>64</v>
      </c>
      <c r="S8486" s="4" t="s">
        <v>29972</v>
      </c>
      <c r="T8486" s="2" t="s">
        <v>66</v>
      </c>
      <c r="U8486" s="4" t="s">
        <v>31</v>
      </c>
      <c r="V8486" s="2" t="s">
        <v>52666</v>
      </c>
      <c r="W8486" s="2" t="s">
        <v>52505</v>
      </c>
      <c r="X8486" s="5" t="str">
        <f>HYPERLINK("https://my.pitchbook.com?p=315294-13P","View People Online")</f>
        <v>View People Online</v>
      </c>
    </row>
    <row r="8487">
      <c r="A8487" s="6" t="s">
        <v>52667</v>
      </c>
      <c r="B8487" s="6" t="s">
        <v>52668</v>
      </c>
      <c r="C8487" s="6" t="s">
        <v>52669</v>
      </c>
      <c r="D8487" s="6" t="s">
        <v>4314</v>
      </c>
      <c r="E8487" s="6" t="s">
        <v>52505</v>
      </c>
      <c r="F8487" s="6" t="s">
        <v>270</v>
      </c>
      <c r="G8487" s="6" t="s">
        <v>52670</v>
      </c>
      <c r="H8487" s="7" t="s">
        <v>31</v>
      </c>
      <c r="I8487" s="7">
        <v>1.0</v>
      </c>
      <c r="J8487" s="7">
        <v>1.0</v>
      </c>
      <c r="K8487" s="7" t="s">
        <v>31</v>
      </c>
      <c r="L8487" s="8" t="s">
        <v>52507</v>
      </c>
      <c r="M8487" s="6" t="s">
        <v>52671</v>
      </c>
      <c r="N8487" s="6" t="s">
        <v>6692</v>
      </c>
      <c r="O8487" s="8" t="s">
        <v>6693</v>
      </c>
      <c r="P8487" s="6" t="s">
        <v>7565</v>
      </c>
      <c r="Q8487" s="6" t="s">
        <v>52509</v>
      </c>
      <c r="R8487" s="6" t="s">
        <v>64</v>
      </c>
      <c r="S8487" s="8" t="s">
        <v>29972</v>
      </c>
      <c r="T8487" s="6" t="s">
        <v>66</v>
      </c>
      <c r="U8487" s="8" t="s">
        <v>31</v>
      </c>
      <c r="V8487" s="6" t="s">
        <v>52672</v>
      </c>
      <c r="W8487" s="6" t="s">
        <v>52505</v>
      </c>
      <c r="X8487" s="9" t="str">
        <f>HYPERLINK("https://my.pitchbook.com?p=330307-66P","View People Online")</f>
        <v>View People Online</v>
      </c>
    </row>
    <row r="8488">
      <c r="A8488" s="10" t="s">
        <v>52673</v>
      </c>
      <c r="B8488" s="10" t="s">
        <v>52674</v>
      </c>
      <c r="C8488" s="10" t="s">
        <v>52675</v>
      </c>
      <c r="D8488" s="10" t="s">
        <v>23474</v>
      </c>
      <c r="E8488" s="10" t="s">
        <v>52505</v>
      </c>
      <c r="F8488" s="10" t="s">
        <v>548</v>
      </c>
      <c r="G8488" s="10" t="s">
        <v>52676</v>
      </c>
      <c r="H8488" s="11" t="s">
        <v>31</v>
      </c>
      <c r="I8488" s="11">
        <v>2.0</v>
      </c>
      <c r="J8488" s="11">
        <v>1.0</v>
      </c>
      <c r="K8488" s="11">
        <v>1.0</v>
      </c>
      <c r="L8488" s="12" t="s">
        <v>52507</v>
      </c>
      <c r="M8488" s="10" t="s">
        <v>31</v>
      </c>
      <c r="N8488" s="10" t="s">
        <v>6692</v>
      </c>
      <c r="O8488" s="12" t="s">
        <v>6693</v>
      </c>
      <c r="P8488" s="10" t="s">
        <v>7565</v>
      </c>
      <c r="Q8488" s="10" t="s">
        <v>52509</v>
      </c>
      <c r="R8488" s="10" t="s">
        <v>64</v>
      </c>
      <c r="S8488" s="12" t="s">
        <v>29972</v>
      </c>
      <c r="T8488" s="10" t="s">
        <v>66</v>
      </c>
      <c r="U8488" s="12" t="s">
        <v>31</v>
      </c>
      <c r="V8488" s="10" t="s">
        <v>43206</v>
      </c>
      <c r="W8488" s="10" t="s">
        <v>52505</v>
      </c>
      <c r="X8488" s="13" t="str">
        <f>HYPERLINK("https://my.pitchbook.com?p=445549-33P","View People Online")</f>
        <v>View People Online</v>
      </c>
    </row>
    <row r="8489">
      <c r="A8489" s="6" t="s">
        <v>52677</v>
      </c>
      <c r="B8489" s="6" t="s">
        <v>52678</v>
      </c>
      <c r="C8489" s="6" t="s">
        <v>52679</v>
      </c>
      <c r="D8489" s="6" t="s">
        <v>52680</v>
      </c>
      <c r="E8489" s="6" t="s">
        <v>52505</v>
      </c>
      <c r="F8489" s="6" t="s">
        <v>270</v>
      </c>
      <c r="G8489" s="6" t="s">
        <v>52681</v>
      </c>
      <c r="H8489" s="7" t="s">
        <v>31</v>
      </c>
      <c r="I8489" s="7">
        <v>1.0</v>
      </c>
      <c r="J8489" s="7">
        <v>1.0</v>
      </c>
      <c r="K8489" s="7" t="s">
        <v>31</v>
      </c>
      <c r="L8489" s="8" t="s">
        <v>52507</v>
      </c>
      <c r="M8489" s="6" t="s">
        <v>52682</v>
      </c>
      <c r="N8489" s="6" t="s">
        <v>6692</v>
      </c>
      <c r="O8489" s="8" t="s">
        <v>6693</v>
      </c>
      <c r="P8489" s="6" t="s">
        <v>7565</v>
      </c>
      <c r="Q8489" s="6" t="s">
        <v>52509</v>
      </c>
      <c r="R8489" s="6" t="s">
        <v>64</v>
      </c>
      <c r="S8489" s="8" t="s">
        <v>29972</v>
      </c>
      <c r="T8489" s="6" t="s">
        <v>66</v>
      </c>
      <c r="U8489" s="8" t="s">
        <v>31</v>
      </c>
      <c r="V8489" s="6" t="s">
        <v>52683</v>
      </c>
      <c r="W8489" s="6" t="s">
        <v>52505</v>
      </c>
      <c r="X8489" s="9" t="str">
        <f>HYPERLINK("https://my.pitchbook.com?p=142627-06P","View People Online")</f>
        <v>View People Online</v>
      </c>
    </row>
    <row r="8490">
      <c r="A8490" s="10" t="s">
        <v>52684</v>
      </c>
      <c r="B8490" s="10" t="s">
        <v>52685</v>
      </c>
      <c r="C8490" s="10" t="s">
        <v>52686</v>
      </c>
      <c r="D8490" s="10" t="s">
        <v>20889</v>
      </c>
      <c r="E8490" s="10" t="s">
        <v>52505</v>
      </c>
      <c r="F8490" s="10" t="s">
        <v>371</v>
      </c>
      <c r="G8490" s="10" t="s">
        <v>31</v>
      </c>
      <c r="H8490" s="11" t="s">
        <v>31</v>
      </c>
      <c r="I8490" s="11">
        <v>1.0</v>
      </c>
      <c r="J8490" s="11">
        <v>1.0</v>
      </c>
      <c r="K8490" s="11" t="s">
        <v>31</v>
      </c>
      <c r="L8490" s="12" t="s">
        <v>52507</v>
      </c>
      <c r="M8490" s="10" t="s">
        <v>31</v>
      </c>
      <c r="N8490" s="10" t="s">
        <v>6692</v>
      </c>
      <c r="O8490" s="12" t="s">
        <v>6693</v>
      </c>
      <c r="P8490" s="10" t="s">
        <v>7565</v>
      </c>
      <c r="Q8490" s="10" t="s">
        <v>52509</v>
      </c>
      <c r="R8490" s="10" t="s">
        <v>64</v>
      </c>
      <c r="S8490" s="12" t="s">
        <v>29972</v>
      </c>
      <c r="T8490" s="10" t="s">
        <v>66</v>
      </c>
      <c r="U8490" s="12" t="s">
        <v>31</v>
      </c>
      <c r="V8490" s="10" t="s">
        <v>371</v>
      </c>
      <c r="W8490" s="10" t="s">
        <v>52505</v>
      </c>
      <c r="X8490" s="13" t="str">
        <f>HYPERLINK("https://my.pitchbook.com?p=440473-24P","View People Online")</f>
        <v>View People Online</v>
      </c>
    </row>
    <row r="8491">
      <c r="A8491" s="6" t="s">
        <v>52687</v>
      </c>
      <c r="B8491" s="6" t="s">
        <v>52688</v>
      </c>
      <c r="C8491" s="6" t="s">
        <v>2504</v>
      </c>
      <c r="D8491" s="6" t="s">
        <v>40359</v>
      </c>
      <c r="E8491" s="6" t="s">
        <v>52505</v>
      </c>
      <c r="F8491" s="6" t="s">
        <v>3600</v>
      </c>
      <c r="G8491" s="6" t="s">
        <v>52689</v>
      </c>
      <c r="H8491" s="7" t="s">
        <v>31</v>
      </c>
      <c r="I8491" s="7">
        <v>1.0</v>
      </c>
      <c r="J8491" s="7">
        <v>1.0</v>
      </c>
      <c r="K8491" s="7" t="s">
        <v>31</v>
      </c>
      <c r="L8491" s="8" t="s">
        <v>52507</v>
      </c>
      <c r="M8491" s="6" t="s">
        <v>52690</v>
      </c>
      <c r="N8491" s="6" t="s">
        <v>6692</v>
      </c>
      <c r="O8491" s="8" t="s">
        <v>6693</v>
      </c>
      <c r="P8491" s="6" t="s">
        <v>7565</v>
      </c>
      <c r="Q8491" s="6" t="s">
        <v>52509</v>
      </c>
      <c r="R8491" s="6" t="s">
        <v>64</v>
      </c>
      <c r="S8491" s="8" t="s">
        <v>29972</v>
      </c>
      <c r="T8491" s="6" t="s">
        <v>66</v>
      </c>
      <c r="U8491" s="8" t="s">
        <v>31</v>
      </c>
      <c r="V8491" s="6" t="s">
        <v>52573</v>
      </c>
      <c r="W8491" s="6" t="s">
        <v>52505</v>
      </c>
      <c r="X8491" s="9" t="str">
        <f>HYPERLINK("https://my.pitchbook.com?p=340393-15P","View People Online")</f>
        <v>View People Online</v>
      </c>
    </row>
    <row r="8492">
      <c r="A8492" s="2" t="s">
        <v>52691</v>
      </c>
      <c r="B8492" s="2" t="s">
        <v>52692</v>
      </c>
      <c r="C8492" s="2" t="s">
        <v>1697</v>
      </c>
      <c r="D8492" s="2" t="s">
        <v>2469</v>
      </c>
      <c r="E8492" s="2" t="s">
        <v>52505</v>
      </c>
      <c r="F8492" s="2" t="s">
        <v>548</v>
      </c>
      <c r="G8492" s="2" t="s">
        <v>52693</v>
      </c>
      <c r="H8492" s="3" t="s">
        <v>31</v>
      </c>
      <c r="I8492" s="3">
        <v>1.0</v>
      </c>
      <c r="J8492" s="3">
        <v>1.0</v>
      </c>
      <c r="K8492" s="3" t="s">
        <v>31</v>
      </c>
      <c r="L8492" s="4" t="s">
        <v>52507</v>
      </c>
      <c r="M8492" s="2" t="s">
        <v>52694</v>
      </c>
      <c r="N8492" s="2" t="s">
        <v>6692</v>
      </c>
      <c r="O8492" s="4" t="s">
        <v>6693</v>
      </c>
      <c r="P8492" s="2" t="s">
        <v>7565</v>
      </c>
      <c r="Q8492" s="2" t="s">
        <v>52509</v>
      </c>
      <c r="R8492" s="2" t="s">
        <v>64</v>
      </c>
      <c r="S8492" s="4" t="s">
        <v>29972</v>
      </c>
      <c r="T8492" s="2" t="s">
        <v>66</v>
      </c>
      <c r="U8492" s="4" t="s">
        <v>31</v>
      </c>
      <c r="V8492" s="2" t="s">
        <v>4822</v>
      </c>
      <c r="W8492" s="2" t="s">
        <v>52505</v>
      </c>
      <c r="X8492" s="5" t="str">
        <f>HYPERLINK("https://my.pitchbook.com?p=146807-29P","View People Online")</f>
        <v>View People Online</v>
      </c>
    </row>
    <row r="8493">
      <c r="A8493" s="14" t="s">
        <v>52695</v>
      </c>
      <c r="B8493" s="14" t="s">
        <v>52696</v>
      </c>
      <c r="C8493" s="14" t="s">
        <v>132</v>
      </c>
      <c r="D8493" s="14" t="s">
        <v>52697</v>
      </c>
      <c r="E8493" s="14" t="s">
        <v>52698</v>
      </c>
      <c r="F8493" s="14" t="s">
        <v>7603</v>
      </c>
      <c r="G8493" s="14" t="s">
        <v>52699</v>
      </c>
      <c r="H8493" s="15" t="s">
        <v>31</v>
      </c>
      <c r="I8493" s="15">
        <v>3.0</v>
      </c>
      <c r="J8493" s="15">
        <v>3.0</v>
      </c>
      <c r="K8493" s="15" t="s">
        <v>31</v>
      </c>
      <c r="L8493" s="16" t="s">
        <v>52700</v>
      </c>
      <c r="M8493" s="14" t="s">
        <v>52701</v>
      </c>
      <c r="N8493" s="14" t="s">
        <v>75</v>
      </c>
      <c r="O8493" s="16" t="s">
        <v>76</v>
      </c>
      <c r="P8493" s="14" t="s">
        <v>52702</v>
      </c>
      <c r="Q8493" s="14" t="s">
        <v>52703</v>
      </c>
      <c r="R8493" s="14" t="s">
        <v>75</v>
      </c>
      <c r="S8493" s="16" t="s">
        <v>195</v>
      </c>
      <c r="T8493" s="14" t="s">
        <v>66</v>
      </c>
      <c r="U8493" s="16" t="s">
        <v>31</v>
      </c>
      <c r="V8493" s="14" t="s">
        <v>29</v>
      </c>
      <c r="W8493" s="14" t="s">
        <v>52704</v>
      </c>
      <c r="X8493" s="17" t="str">
        <f>HYPERLINK("https://my.pitchbook.com?p=100214-83P","View People Online")</f>
        <v>View People Online</v>
      </c>
    </row>
    <row r="8494">
      <c r="A8494" s="2" t="s">
        <v>52705</v>
      </c>
      <c r="B8494" s="2" t="s">
        <v>52706</v>
      </c>
      <c r="C8494" s="2" t="s">
        <v>3722</v>
      </c>
      <c r="D8494" s="2" t="s">
        <v>52707</v>
      </c>
      <c r="E8494" s="2" t="s">
        <v>52698</v>
      </c>
      <c r="F8494" s="2" t="s">
        <v>9112</v>
      </c>
      <c r="G8494" s="2" t="s">
        <v>52708</v>
      </c>
      <c r="H8494" s="3" t="s">
        <v>31</v>
      </c>
      <c r="I8494" s="3">
        <v>15.0</v>
      </c>
      <c r="J8494" s="3">
        <v>2.0</v>
      </c>
      <c r="K8494" s="3">
        <v>13.0</v>
      </c>
      <c r="L8494" s="4" t="s">
        <v>52709</v>
      </c>
      <c r="M8494" s="2" t="s">
        <v>52710</v>
      </c>
      <c r="N8494" s="2" t="s">
        <v>75</v>
      </c>
      <c r="O8494" s="4" t="s">
        <v>76</v>
      </c>
      <c r="P8494" s="2" t="s">
        <v>52702</v>
      </c>
      <c r="Q8494" s="2" t="s">
        <v>52703</v>
      </c>
      <c r="R8494" s="2" t="s">
        <v>75</v>
      </c>
      <c r="S8494" s="4" t="s">
        <v>195</v>
      </c>
      <c r="T8494" s="2" t="s">
        <v>66</v>
      </c>
      <c r="U8494" s="4" t="s">
        <v>31</v>
      </c>
      <c r="V8494" s="2" t="s">
        <v>674</v>
      </c>
      <c r="W8494" s="2" t="s">
        <v>52704</v>
      </c>
      <c r="X8494" s="5" t="str">
        <f>HYPERLINK("https://my.pitchbook.com?p=74062-45P","View People Online")</f>
        <v>View People Online</v>
      </c>
    </row>
    <row r="8495">
      <c r="A8495" s="14" t="s">
        <v>52711</v>
      </c>
      <c r="B8495" s="14" t="s">
        <v>52712</v>
      </c>
      <c r="C8495" s="14" t="s">
        <v>1437</v>
      </c>
      <c r="D8495" s="14" t="s">
        <v>52713</v>
      </c>
      <c r="E8495" s="14" t="s">
        <v>52714</v>
      </c>
      <c r="F8495" s="14" t="s">
        <v>1544</v>
      </c>
      <c r="G8495" s="14" t="s">
        <v>52715</v>
      </c>
      <c r="H8495" s="15" t="s">
        <v>31</v>
      </c>
      <c r="I8495" s="15">
        <v>1.0</v>
      </c>
      <c r="J8495" s="15">
        <v>1.0</v>
      </c>
      <c r="K8495" s="15" t="s">
        <v>31</v>
      </c>
      <c r="L8495" s="16" t="s">
        <v>31</v>
      </c>
      <c r="M8495" s="14" t="s">
        <v>52716</v>
      </c>
      <c r="N8495" s="14" t="s">
        <v>155</v>
      </c>
      <c r="O8495" s="16" t="s">
        <v>156</v>
      </c>
      <c r="P8495" s="14" t="s">
        <v>31</v>
      </c>
      <c r="Q8495" s="14" t="s">
        <v>31</v>
      </c>
      <c r="R8495" s="14" t="s">
        <v>64</v>
      </c>
      <c r="S8495" s="16" t="s">
        <v>31</v>
      </c>
      <c r="T8495" s="14" t="s">
        <v>66</v>
      </c>
      <c r="U8495" s="16" t="s">
        <v>31</v>
      </c>
      <c r="V8495" s="14" t="s">
        <v>52717</v>
      </c>
      <c r="W8495" s="14" t="s">
        <v>52714</v>
      </c>
      <c r="X8495" s="17" t="str">
        <f>HYPERLINK("https://my.pitchbook.com?p=306721-63P","View People Online")</f>
        <v>View People Online</v>
      </c>
    </row>
    <row r="8496">
      <c r="A8496" s="2" t="s">
        <v>52718</v>
      </c>
      <c r="B8496" s="2" t="s">
        <v>52719</v>
      </c>
      <c r="C8496" s="2" t="s">
        <v>1343</v>
      </c>
      <c r="D8496" s="2" t="s">
        <v>52720</v>
      </c>
      <c r="E8496" s="2" t="s">
        <v>52714</v>
      </c>
      <c r="F8496" s="2" t="s">
        <v>78</v>
      </c>
      <c r="G8496" s="2" t="s">
        <v>52721</v>
      </c>
      <c r="H8496" s="3" t="s">
        <v>31</v>
      </c>
      <c r="I8496" s="3">
        <v>1.0</v>
      </c>
      <c r="J8496" s="3">
        <v>1.0</v>
      </c>
      <c r="K8496" s="3" t="s">
        <v>31</v>
      </c>
      <c r="L8496" s="4" t="s">
        <v>31</v>
      </c>
      <c r="M8496" s="2" t="s">
        <v>31</v>
      </c>
      <c r="N8496" s="2" t="s">
        <v>155</v>
      </c>
      <c r="O8496" s="4" t="s">
        <v>156</v>
      </c>
      <c r="P8496" s="2" t="s">
        <v>31</v>
      </c>
      <c r="Q8496" s="2" t="s">
        <v>31</v>
      </c>
      <c r="R8496" s="2" t="s">
        <v>64</v>
      </c>
      <c r="S8496" s="4" t="s">
        <v>31</v>
      </c>
      <c r="T8496" s="2" t="s">
        <v>66</v>
      </c>
      <c r="U8496" s="4" t="s">
        <v>31</v>
      </c>
      <c r="V8496" s="2" t="s">
        <v>39254</v>
      </c>
      <c r="W8496" s="2" t="s">
        <v>52714</v>
      </c>
      <c r="X8496" s="5" t="str">
        <f>HYPERLINK("https://my.pitchbook.com?p=61302-52P","View People Online")</f>
        <v>View People Online</v>
      </c>
    </row>
    <row r="8497">
      <c r="A8497" s="14" t="s">
        <v>52722</v>
      </c>
      <c r="B8497" s="14" t="s">
        <v>52723</v>
      </c>
      <c r="C8497" s="14" t="s">
        <v>429</v>
      </c>
      <c r="D8497" s="14" t="s">
        <v>52724</v>
      </c>
      <c r="E8497" s="14" t="s">
        <v>52714</v>
      </c>
      <c r="F8497" s="14" t="s">
        <v>1283</v>
      </c>
      <c r="G8497" s="14" t="s">
        <v>52725</v>
      </c>
      <c r="H8497" s="15" t="s">
        <v>31</v>
      </c>
      <c r="I8497" s="15">
        <v>1.0</v>
      </c>
      <c r="J8497" s="15">
        <v>1.0</v>
      </c>
      <c r="K8497" s="15" t="s">
        <v>31</v>
      </c>
      <c r="L8497" s="16" t="s">
        <v>52726</v>
      </c>
      <c r="M8497" s="14" t="s">
        <v>52727</v>
      </c>
      <c r="N8497" s="14" t="s">
        <v>155</v>
      </c>
      <c r="O8497" s="16" t="s">
        <v>156</v>
      </c>
      <c r="P8497" s="14" t="s">
        <v>31</v>
      </c>
      <c r="Q8497" s="14" t="s">
        <v>31</v>
      </c>
      <c r="R8497" s="14" t="s">
        <v>64</v>
      </c>
      <c r="S8497" s="16" t="s">
        <v>31</v>
      </c>
      <c r="T8497" s="14" t="s">
        <v>66</v>
      </c>
      <c r="U8497" s="16" t="s">
        <v>31</v>
      </c>
      <c r="V8497" s="14" t="s">
        <v>1283</v>
      </c>
      <c r="W8497" s="14" t="s">
        <v>52714</v>
      </c>
      <c r="X8497" s="17" t="str">
        <f>HYPERLINK("https://my.pitchbook.com?p=81660-88P","View People Online")</f>
        <v>View People Online</v>
      </c>
    </row>
    <row r="8498">
      <c r="A8498" s="2" t="s">
        <v>52728</v>
      </c>
      <c r="B8498" s="2" t="s">
        <v>52729</v>
      </c>
      <c r="C8498" s="2" t="s">
        <v>536</v>
      </c>
      <c r="D8498" s="2" t="s">
        <v>52713</v>
      </c>
      <c r="E8498" s="2" t="s">
        <v>52714</v>
      </c>
      <c r="F8498" s="2" t="s">
        <v>71</v>
      </c>
      <c r="G8498" s="2" t="s">
        <v>52730</v>
      </c>
      <c r="H8498" s="3" t="s">
        <v>31</v>
      </c>
      <c r="I8498" s="3">
        <v>4.0</v>
      </c>
      <c r="J8498" s="3">
        <v>1.0</v>
      </c>
      <c r="K8498" s="3">
        <v>2.0</v>
      </c>
      <c r="L8498" s="4" t="s">
        <v>52731</v>
      </c>
      <c r="M8498" s="2" t="s">
        <v>52732</v>
      </c>
      <c r="N8498" s="2" t="s">
        <v>28211</v>
      </c>
      <c r="O8498" s="4" t="s">
        <v>28212</v>
      </c>
      <c r="P8498" s="2" t="s">
        <v>52733</v>
      </c>
      <c r="Q8498" s="2" t="s">
        <v>31</v>
      </c>
      <c r="R8498" s="2" t="s">
        <v>28214</v>
      </c>
      <c r="S8498" s="4" t="s">
        <v>52734</v>
      </c>
      <c r="T8498" s="2" t="s">
        <v>66</v>
      </c>
      <c r="U8498" s="4" t="s">
        <v>31</v>
      </c>
      <c r="V8498" s="2" t="s">
        <v>71</v>
      </c>
      <c r="W8498" s="2" t="s">
        <v>52714</v>
      </c>
      <c r="X8498" s="5" t="str">
        <f>HYPERLINK("https://my.pitchbook.com?p=61301-98P","View People Online")</f>
        <v>View People Online</v>
      </c>
    </row>
    <row r="8499">
      <c r="A8499" s="14" t="s">
        <v>52735</v>
      </c>
      <c r="B8499" s="14" t="s">
        <v>52736</v>
      </c>
      <c r="C8499" s="14" t="s">
        <v>52737</v>
      </c>
      <c r="D8499" s="14" t="s">
        <v>10351</v>
      </c>
      <c r="E8499" s="14" t="s">
        <v>52738</v>
      </c>
      <c r="F8499" s="14" t="s">
        <v>29</v>
      </c>
      <c r="G8499" s="14" t="s">
        <v>52739</v>
      </c>
      <c r="H8499" s="15" t="s">
        <v>31</v>
      </c>
      <c r="I8499" s="15">
        <v>1.0</v>
      </c>
      <c r="J8499" s="15">
        <v>1.0</v>
      </c>
      <c r="K8499" s="15" t="s">
        <v>31</v>
      </c>
      <c r="L8499" s="16" t="s">
        <v>52740</v>
      </c>
      <c r="M8499" s="14" t="s">
        <v>52741</v>
      </c>
      <c r="N8499" s="14" t="s">
        <v>155</v>
      </c>
      <c r="O8499" s="16" t="s">
        <v>156</v>
      </c>
      <c r="P8499" s="14" t="s">
        <v>27606</v>
      </c>
      <c r="Q8499" s="14" t="s">
        <v>3928</v>
      </c>
      <c r="R8499" s="14" t="s">
        <v>64</v>
      </c>
      <c r="S8499" s="16" t="s">
        <v>2463</v>
      </c>
      <c r="T8499" s="14" t="s">
        <v>66</v>
      </c>
      <c r="U8499" s="16" t="s">
        <v>31</v>
      </c>
      <c r="V8499" s="14" t="s">
        <v>29</v>
      </c>
      <c r="W8499" s="14" t="s">
        <v>52738</v>
      </c>
      <c r="X8499" s="17" t="str">
        <f>HYPERLINK("https://my.pitchbook.com?p=154209-79P","View People Online")</f>
        <v>View People Online</v>
      </c>
    </row>
    <row r="8500">
      <c r="A8500" s="2" t="s">
        <v>52742</v>
      </c>
      <c r="B8500" s="2" t="s">
        <v>52743</v>
      </c>
      <c r="C8500" s="2" t="s">
        <v>6626</v>
      </c>
      <c r="D8500" s="2" t="s">
        <v>52744</v>
      </c>
      <c r="E8500" s="2" t="s">
        <v>52738</v>
      </c>
      <c r="F8500" s="2" t="s">
        <v>29</v>
      </c>
      <c r="G8500" s="2" t="s">
        <v>52745</v>
      </c>
      <c r="H8500" s="3">
        <v>1.0</v>
      </c>
      <c r="I8500" s="3">
        <v>2.0</v>
      </c>
      <c r="J8500" s="3">
        <v>1.0</v>
      </c>
      <c r="K8500" s="3" t="s">
        <v>31</v>
      </c>
      <c r="L8500" s="4" t="s">
        <v>52746</v>
      </c>
      <c r="M8500" s="2" t="s">
        <v>52747</v>
      </c>
      <c r="N8500" s="2" t="s">
        <v>155</v>
      </c>
      <c r="O8500" s="4" t="s">
        <v>156</v>
      </c>
      <c r="P8500" s="2" t="s">
        <v>27606</v>
      </c>
      <c r="Q8500" s="2" t="s">
        <v>3928</v>
      </c>
      <c r="R8500" s="2" t="s">
        <v>64</v>
      </c>
      <c r="S8500" s="4" t="s">
        <v>2463</v>
      </c>
      <c r="T8500" s="2" t="s">
        <v>66</v>
      </c>
      <c r="U8500" s="4" t="s">
        <v>31</v>
      </c>
      <c r="V8500" s="2" t="s">
        <v>29</v>
      </c>
      <c r="W8500" s="2" t="s">
        <v>52738</v>
      </c>
      <c r="X8500" s="5" t="str">
        <f>HYPERLINK("https://my.pitchbook.com?p=124790-68P","View People Online")</f>
        <v>View People Online</v>
      </c>
    </row>
    <row r="8501">
      <c r="A8501" s="14" t="s">
        <v>52748</v>
      </c>
      <c r="B8501" s="14" t="s">
        <v>52749</v>
      </c>
      <c r="C8501" s="14" t="s">
        <v>69</v>
      </c>
      <c r="D8501" s="14" t="s">
        <v>52750</v>
      </c>
      <c r="E8501" s="14" t="s">
        <v>52738</v>
      </c>
      <c r="F8501" s="14" t="s">
        <v>674</v>
      </c>
      <c r="G8501" s="14" t="s">
        <v>52751</v>
      </c>
      <c r="H8501" s="15">
        <v>5.0</v>
      </c>
      <c r="I8501" s="15">
        <v>21.0</v>
      </c>
      <c r="J8501" s="15">
        <v>1.0</v>
      </c>
      <c r="K8501" s="15">
        <v>12.0</v>
      </c>
      <c r="L8501" s="16" t="s">
        <v>52740</v>
      </c>
      <c r="M8501" s="14" t="s">
        <v>52752</v>
      </c>
      <c r="N8501" s="14" t="s">
        <v>155</v>
      </c>
      <c r="O8501" s="16" t="s">
        <v>156</v>
      </c>
      <c r="P8501" s="14" t="s">
        <v>27606</v>
      </c>
      <c r="Q8501" s="14" t="s">
        <v>3928</v>
      </c>
      <c r="R8501" s="14" t="s">
        <v>64</v>
      </c>
      <c r="S8501" s="16" t="s">
        <v>2463</v>
      </c>
      <c r="T8501" s="14" t="s">
        <v>66</v>
      </c>
      <c r="U8501" s="16" t="s">
        <v>31</v>
      </c>
      <c r="V8501" s="14" t="s">
        <v>1172</v>
      </c>
      <c r="W8501" s="14" t="s">
        <v>52738</v>
      </c>
      <c r="X8501" s="17" t="str">
        <f>HYPERLINK("https://my.pitchbook.com?p=13252-06P","View People Online")</f>
        <v>View People Online</v>
      </c>
    </row>
    <row r="8502">
      <c r="A8502" s="10" t="s">
        <v>52753</v>
      </c>
      <c r="B8502" s="10" t="s">
        <v>52754</v>
      </c>
      <c r="C8502" s="10" t="s">
        <v>28147</v>
      </c>
      <c r="D8502" s="10" t="s">
        <v>4692</v>
      </c>
      <c r="E8502" s="10" t="s">
        <v>52738</v>
      </c>
      <c r="F8502" s="10" t="s">
        <v>152</v>
      </c>
      <c r="G8502" s="10" t="s">
        <v>52755</v>
      </c>
      <c r="H8502" s="11" t="s">
        <v>31</v>
      </c>
      <c r="I8502" s="11">
        <v>5.0</v>
      </c>
      <c r="J8502" s="11">
        <v>2.0</v>
      </c>
      <c r="K8502" s="11">
        <v>2.0</v>
      </c>
      <c r="L8502" s="12" t="s">
        <v>52756</v>
      </c>
      <c r="M8502" s="10" t="s">
        <v>31</v>
      </c>
      <c r="N8502" s="10" t="s">
        <v>155</v>
      </c>
      <c r="O8502" s="12" t="s">
        <v>156</v>
      </c>
      <c r="P8502" s="10" t="s">
        <v>27606</v>
      </c>
      <c r="Q8502" s="10" t="s">
        <v>3928</v>
      </c>
      <c r="R8502" s="10" t="s">
        <v>64</v>
      </c>
      <c r="S8502" s="12" t="s">
        <v>2463</v>
      </c>
      <c r="T8502" s="10" t="s">
        <v>66</v>
      </c>
      <c r="U8502" s="12" t="s">
        <v>31</v>
      </c>
      <c r="V8502" s="10" t="s">
        <v>52757</v>
      </c>
      <c r="W8502" s="10" t="s">
        <v>52738</v>
      </c>
      <c r="X8502" s="13" t="str">
        <f>HYPERLINK("https://my.pitchbook.com?p=50763-61P","View People Online")</f>
        <v>View People Online</v>
      </c>
    </row>
    <row r="8503">
      <c r="A8503" s="14" t="s">
        <v>52758</v>
      </c>
      <c r="B8503" s="14" t="s">
        <v>52759</v>
      </c>
      <c r="C8503" s="14" t="s">
        <v>1502</v>
      </c>
      <c r="D8503" s="14" t="s">
        <v>1147</v>
      </c>
      <c r="E8503" s="14" t="s">
        <v>52738</v>
      </c>
      <c r="F8503" s="14" t="s">
        <v>81</v>
      </c>
      <c r="G8503" s="14" t="s">
        <v>52760</v>
      </c>
      <c r="H8503" s="15">
        <v>2.0</v>
      </c>
      <c r="I8503" s="15">
        <v>7.0</v>
      </c>
      <c r="J8503" s="15">
        <v>1.0</v>
      </c>
      <c r="K8503" s="15">
        <v>3.0</v>
      </c>
      <c r="L8503" s="16" t="s">
        <v>52761</v>
      </c>
      <c r="M8503" s="14" t="s">
        <v>52762</v>
      </c>
      <c r="N8503" s="14" t="s">
        <v>243</v>
      </c>
      <c r="O8503" s="16" t="s">
        <v>244</v>
      </c>
      <c r="P8503" s="14" t="s">
        <v>52763</v>
      </c>
      <c r="Q8503" s="14" t="s">
        <v>2839</v>
      </c>
      <c r="R8503" s="14" t="s">
        <v>247</v>
      </c>
      <c r="S8503" s="16" t="s">
        <v>52764</v>
      </c>
      <c r="T8503" s="14" t="s">
        <v>249</v>
      </c>
      <c r="U8503" s="16" t="s">
        <v>31</v>
      </c>
      <c r="V8503" s="14" t="s">
        <v>52765</v>
      </c>
      <c r="W8503" s="14" t="s">
        <v>52766</v>
      </c>
      <c r="X8503" s="17" t="str">
        <f>HYPERLINK("https://my.pitchbook.com?p=33231-43P","View People Online")</f>
        <v>View People Online</v>
      </c>
    </row>
    <row r="8504">
      <c r="A8504" s="2" t="s">
        <v>52767</v>
      </c>
      <c r="B8504" s="2" t="s">
        <v>52768</v>
      </c>
      <c r="C8504" s="2" t="s">
        <v>5219</v>
      </c>
      <c r="D8504" s="2" t="s">
        <v>40677</v>
      </c>
      <c r="E8504" s="2" t="s">
        <v>52738</v>
      </c>
      <c r="F8504" s="2" t="s">
        <v>81</v>
      </c>
      <c r="G8504" s="2" t="s">
        <v>52769</v>
      </c>
      <c r="H8504" s="3">
        <v>1.0</v>
      </c>
      <c r="I8504" s="3">
        <v>3.0</v>
      </c>
      <c r="J8504" s="3">
        <v>1.0</v>
      </c>
      <c r="K8504" s="3">
        <v>1.0</v>
      </c>
      <c r="L8504" s="4" t="s">
        <v>52770</v>
      </c>
      <c r="M8504" s="2" t="s">
        <v>52771</v>
      </c>
      <c r="N8504" s="2" t="s">
        <v>6588</v>
      </c>
      <c r="O8504" s="4" t="s">
        <v>6589</v>
      </c>
      <c r="P8504" s="2" t="s">
        <v>52772</v>
      </c>
      <c r="Q8504" s="2" t="s">
        <v>52773</v>
      </c>
      <c r="R8504" s="2" t="s">
        <v>93</v>
      </c>
      <c r="S8504" s="4" t="s">
        <v>52774</v>
      </c>
      <c r="T8504" s="2" t="s">
        <v>66</v>
      </c>
      <c r="U8504" s="4" t="s">
        <v>31</v>
      </c>
      <c r="V8504" s="2" t="s">
        <v>52775</v>
      </c>
      <c r="W8504" s="2" t="s">
        <v>52776</v>
      </c>
      <c r="X8504" s="5" t="str">
        <f>HYPERLINK("https://my.pitchbook.com?p=180070-39P","View People Online")</f>
        <v>View People Online</v>
      </c>
    </row>
    <row r="8505">
      <c r="A8505" s="6" t="s">
        <v>52777</v>
      </c>
      <c r="B8505" s="6" t="s">
        <v>52778</v>
      </c>
      <c r="C8505" s="6" t="s">
        <v>33860</v>
      </c>
      <c r="D8505" s="6" t="s">
        <v>4586</v>
      </c>
      <c r="E8505" s="6" t="s">
        <v>52738</v>
      </c>
      <c r="F8505" s="6" t="s">
        <v>502</v>
      </c>
      <c r="G8505" s="6" t="s">
        <v>52779</v>
      </c>
      <c r="H8505" s="7" t="s">
        <v>31</v>
      </c>
      <c r="I8505" s="7">
        <v>1.0</v>
      </c>
      <c r="J8505" s="7">
        <v>1.0</v>
      </c>
      <c r="K8505" s="7" t="s">
        <v>31</v>
      </c>
      <c r="L8505" s="8" t="s">
        <v>52740</v>
      </c>
      <c r="M8505" s="6" t="s">
        <v>52780</v>
      </c>
      <c r="N8505" s="6" t="s">
        <v>155</v>
      </c>
      <c r="O8505" s="8" t="s">
        <v>156</v>
      </c>
      <c r="P8505" s="6" t="s">
        <v>27606</v>
      </c>
      <c r="Q8505" s="6" t="s">
        <v>3928</v>
      </c>
      <c r="R8505" s="6" t="s">
        <v>64</v>
      </c>
      <c r="S8505" s="8" t="s">
        <v>2463</v>
      </c>
      <c r="T8505" s="6" t="s">
        <v>66</v>
      </c>
      <c r="U8505" s="8" t="s">
        <v>31</v>
      </c>
      <c r="V8505" s="6" t="s">
        <v>502</v>
      </c>
      <c r="W8505" s="6" t="s">
        <v>52738</v>
      </c>
      <c r="X8505" s="9" t="str">
        <f>HYPERLINK("https://my.pitchbook.com?p=400607-38P","View People Online")</f>
        <v>View People Online</v>
      </c>
    </row>
    <row r="8506">
      <c r="A8506" s="2" t="s">
        <v>52781</v>
      </c>
      <c r="B8506" s="2" t="s">
        <v>52782</v>
      </c>
      <c r="C8506" s="2" t="s">
        <v>1830</v>
      </c>
      <c r="D8506" s="2" t="s">
        <v>52783</v>
      </c>
      <c r="E8506" s="2" t="s">
        <v>52738</v>
      </c>
      <c r="F8506" s="2" t="s">
        <v>81</v>
      </c>
      <c r="G8506" s="2" t="s">
        <v>52784</v>
      </c>
      <c r="H8506" s="3">
        <v>5.0</v>
      </c>
      <c r="I8506" s="3">
        <v>30.0</v>
      </c>
      <c r="J8506" s="3">
        <v>7.0</v>
      </c>
      <c r="K8506" s="3">
        <v>16.0</v>
      </c>
      <c r="L8506" s="4" t="s">
        <v>31</v>
      </c>
      <c r="M8506" s="2" t="s">
        <v>52785</v>
      </c>
      <c r="N8506" s="2" t="s">
        <v>155</v>
      </c>
      <c r="O8506" s="4" t="s">
        <v>156</v>
      </c>
      <c r="P8506" s="2" t="s">
        <v>52786</v>
      </c>
      <c r="Q8506" s="2" t="s">
        <v>3928</v>
      </c>
      <c r="R8506" s="2" t="s">
        <v>64</v>
      </c>
      <c r="S8506" s="4" t="s">
        <v>2567</v>
      </c>
      <c r="T8506" s="2" t="s">
        <v>66</v>
      </c>
      <c r="U8506" s="4" t="s">
        <v>31</v>
      </c>
      <c r="V8506" s="2" t="s">
        <v>37607</v>
      </c>
      <c r="W8506" s="2" t="s">
        <v>52787</v>
      </c>
      <c r="X8506" s="5" t="str">
        <f>HYPERLINK("https://my.pitchbook.com?p=38753-38P","View People Online")</f>
        <v>View People Online</v>
      </c>
    </row>
    <row r="8507">
      <c r="A8507" s="6" t="s">
        <v>52788</v>
      </c>
      <c r="B8507" s="6" t="s">
        <v>52789</v>
      </c>
      <c r="C8507" s="6" t="s">
        <v>186</v>
      </c>
      <c r="D8507" s="6" t="s">
        <v>52790</v>
      </c>
      <c r="E8507" s="6" t="s">
        <v>52791</v>
      </c>
      <c r="F8507" s="6" t="s">
        <v>114</v>
      </c>
      <c r="G8507" s="6" t="s">
        <v>52792</v>
      </c>
      <c r="H8507" s="7" t="s">
        <v>31</v>
      </c>
      <c r="I8507" s="7">
        <v>1.0</v>
      </c>
      <c r="J8507" s="7">
        <v>1.0</v>
      </c>
      <c r="K8507" s="7" t="s">
        <v>31</v>
      </c>
      <c r="L8507" s="8" t="s">
        <v>31</v>
      </c>
      <c r="M8507" s="6" t="s">
        <v>31</v>
      </c>
      <c r="N8507" s="6" t="s">
        <v>332</v>
      </c>
      <c r="O8507" s="8" t="s">
        <v>10854</v>
      </c>
      <c r="P8507" s="6" t="s">
        <v>52793</v>
      </c>
      <c r="Q8507" s="6" t="s">
        <v>31</v>
      </c>
      <c r="R8507" s="6" t="s">
        <v>31</v>
      </c>
      <c r="S8507" s="8" t="s">
        <v>52794</v>
      </c>
      <c r="T8507" s="6" t="s">
        <v>332</v>
      </c>
      <c r="U8507" s="8" t="s">
        <v>31</v>
      </c>
      <c r="V8507" s="6" t="s">
        <v>114</v>
      </c>
      <c r="W8507" s="6" t="s">
        <v>52791</v>
      </c>
      <c r="X8507" s="9" t="str">
        <f>HYPERLINK("https://my.pitchbook.com?p=354309-04P","View People Online")</f>
        <v>View People Online</v>
      </c>
    </row>
    <row r="8508">
      <c r="A8508" s="10" t="s">
        <v>52795</v>
      </c>
      <c r="B8508" s="10" t="s">
        <v>52796</v>
      </c>
      <c r="C8508" s="10" t="s">
        <v>52797</v>
      </c>
      <c r="D8508" s="10" t="s">
        <v>52798</v>
      </c>
      <c r="E8508" s="10" t="s">
        <v>52791</v>
      </c>
      <c r="F8508" s="10" t="s">
        <v>114</v>
      </c>
      <c r="G8508" s="10" t="s">
        <v>52799</v>
      </c>
      <c r="H8508" s="11" t="s">
        <v>31</v>
      </c>
      <c r="I8508" s="11">
        <v>8.0</v>
      </c>
      <c r="J8508" s="11">
        <v>1.0</v>
      </c>
      <c r="K8508" s="11">
        <v>6.0</v>
      </c>
      <c r="L8508" s="12" t="s">
        <v>31</v>
      </c>
      <c r="M8508" s="10" t="s">
        <v>52800</v>
      </c>
      <c r="N8508" s="10" t="s">
        <v>332</v>
      </c>
      <c r="O8508" s="12" t="s">
        <v>10854</v>
      </c>
      <c r="P8508" s="10" t="s">
        <v>52793</v>
      </c>
      <c r="Q8508" s="10" t="s">
        <v>31</v>
      </c>
      <c r="R8508" s="10" t="s">
        <v>31</v>
      </c>
      <c r="S8508" s="12" t="s">
        <v>52794</v>
      </c>
      <c r="T8508" s="10" t="s">
        <v>332</v>
      </c>
      <c r="U8508" s="12" t="s">
        <v>31</v>
      </c>
      <c r="V8508" s="10" t="s">
        <v>114</v>
      </c>
      <c r="W8508" s="10" t="s">
        <v>52791</v>
      </c>
      <c r="X8508" s="13" t="str">
        <f>HYPERLINK("https://my.pitchbook.com?p=56424-07P","View People Online")</f>
        <v>View People Online</v>
      </c>
    </row>
    <row r="8509">
      <c r="A8509" s="14" t="s">
        <v>52801</v>
      </c>
      <c r="B8509" s="14" t="s">
        <v>52802</v>
      </c>
      <c r="C8509" s="14" t="s">
        <v>19921</v>
      </c>
      <c r="D8509" s="14" t="s">
        <v>52803</v>
      </c>
      <c r="E8509" s="14" t="s">
        <v>52791</v>
      </c>
      <c r="F8509" s="14" t="s">
        <v>3665</v>
      </c>
      <c r="G8509" s="14" t="s">
        <v>52804</v>
      </c>
      <c r="H8509" s="15">
        <v>2.0</v>
      </c>
      <c r="I8509" s="15">
        <v>7.0</v>
      </c>
      <c r="J8509" s="15">
        <v>2.0</v>
      </c>
      <c r="K8509" s="15">
        <v>1.0</v>
      </c>
      <c r="L8509" s="16" t="s">
        <v>31</v>
      </c>
      <c r="M8509" s="14" t="s">
        <v>52805</v>
      </c>
      <c r="N8509" s="14" t="s">
        <v>332</v>
      </c>
      <c r="O8509" s="16" t="s">
        <v>10854</v>
      </c>
      <c r="P8509" s="14" t="s">
        <v>52793</v>
      </c>
      <c r="Q8509" s="14" t="s">
        <v>31</v>
      </c>
      <c r="R8509" s="14" t="s">
        <v>31</v>
      </c>
      <c r="S8509" s="16" t="s">
        <v>52794</v>
      </c>
      <c r="T8509" s="14" t="s">
        <v>332</v>
      </c>
      <c r="U8509" s="16" t="s">
        <v>31</v>
      </c>
      <c r="V8509" s="14" t="s">
        <v>3665</v>
      </c>
      <c r="W8509" s="14" t="s">
        <v>52791</v>
      </c>
      <c r="X8509" s="17" t="str">
        <f>HYPERLINK("https://my.pitchbook.com?p=133029-91P","View People Online")</f>
        <v>View People Online</v>
      </c>
    </row>
    <row r="8510">
      <c r="A8510" s="2" t="s">
        <v>52806</v>
      </c>
      <c r="B8510" s="2" t="s">
        <v>52807</v>
      </c>
      <c r="C8510" s="2" t="s">
        <v>19921</v>
      </c>
      <c r="D8510" s="2" t="s">
        <v>52808</v>
      </c>
      <c r="E8510" s="2" t="s">
        <v>52791</v>
      </c>
      <c r="F8510" s="2" t="s">
        <v>3429</v>
      </c>
      <c r="G8510" s="2" t="s">
        <v>52809</v>
      </c>
      <c r="H8510" s="3" t="s">
        <v>31</v>
      </c>
      <c r="I8510" s="3">
        <v>2.0</v>
      </c>
      <c r="J8510" s="3">
        <v>1.0</v>
      </c>
      <c r="K8510" s="3" t="s">
        <v>31</v>
      </c>
      <c r="L8510" s="4" t="s">
        <v>31</v>
      </c>
      <c r="M8510" s="2" t="s">
        <v>52810</v>
      </c>
      <c r="N8510" s="2" t="s">
        <v>332</v>
      </c>
      <c r="O8510" s="4" t="s">
        <v>10854</v>
      </c>
      <c r="P8510" s="2" t="s">
        <v>52793</v>
      </c>
      <c r="Q8510" s="2" t="s">
        <v>31</v>
      </c>
      <c r="R8510" s="2" t="s">
        <v>31</v>
      </c>
      <c r="S8510" s="4" t="s">
        <v>52794</v>
      </c>
      <c r="T8510" s="2" t="s">
        <v>332</v>
      </c>
      <c r="U8510" s="4" t="s">
        <v>31</v>
      </c>
      <c r="V8510" s="2" t="s">
        <v>52811</v>
      </c>
      <c r="W8510" s="2" t="s">
        <v>52791</v>
      </c>
      <c r="X8510" s="5" t="str">
        <f>HYPERLINK("https://my.pitchbook.com?p=354301-48P","View People Online")</f>
        <v>View People Online</v>
      </c>
    </row>
    <row r="8511">
      <c r="A8511" s="6" t="s">
        <v>52812</v>
      </c>
      <c r="B8511" s="6" t="s">
        <v>52813</v>
      </c>
      <c r="C8511" s="6" t="s">
        <v>50051</v>
      </c>
      <c r="D8511" s="6" t="s">
        <v>52814</v>
      </c>
      <c r="E8511" s="6" t="s">
        <v>52791</v>
      </c>
      <c r="F8511" s="6" t="s">
        <v>29</v>
      </c>
      <c r="G8511" s="6" t="s">
        <v>52815</v>
      </c>
      <c r="H8511" s="7">
        <v>2.0</v>
      </c>
      <c r="I8511" s="7">
        <v>16.0</v>
      </c>
      <c r="J8511" s="7">
        <v>4.0</v>
      </c>
      <c r="K8511" s="7">
        <v>8.0</v>
      </c>
      <c r="L8511" s="8" t="s">
        <v>52816</v>
      </c>
      <c r="M8511" s="6" t="s">
        <v>52817</v>
      </c>
      <c r="N8511" s="6" t="s">
        <v>332</v>
      </c>
      <c r="O8511" s="8" t="s">
        <v>10854</v>
      </c>
      <c r="P8511" s="6" t="s">
        <v>52793</v>
      </c>
      <c r="Q8511" s="6" t="s">
        <v>31</v>
      </c>
      <c r="R8511" s="6" t="s">
        <v>31</v>
      </c>
      <c r="S8511" s="8" t="s">
        <v>52794</v>
      </c>
      <c r="T8511" s="6" t="s">
        <v>332</v>
      </c>
      <c r="U8511" s="8" t="s">
        <v>31</v>
      </c>
      <c r="V8511" s="6" t="s">
        <v>29</v>
      </c>
      <c r="W8511" s="6" t="s">
        <v>52791</v>
      </c>
      <c r="X8511" s="9" t="str">
        <f>HYPERLINK("https://my.pitchbook.com?p=150706-36P","View People Online")</f>
        <v>View People Online</v>
      </c>
    </row>
    <row r="8512">
      <c r="A8512" s="10" t="s">
        <v>52818</v>
      </c>
      <c r="B8512" s="10" t="s">
        <v>52819</v>
      </c>
      <c r="C8512" s="10" t="s">
        <v>52820</v>
      </c>
      <c r="D8512" s="10" t="s">
        <v>52821</v>
      </c>
      <c r="E8512" s="10" t="s">
        <v>52791</v>
      </c>
      <c r="F8512" s="10" t="s">
        <v>114</v>
      </c>
      <c r="G8512" s="10" t="s">
        <v>52822</v>
      </c>
      <c r="H8512" s="11" t="s">
        <v>31</v>
      </c>
      <c r="I8512" s="11">
        <v>2.0</v>
      </c>
      <c r="J8512" s="11">
        <v>2.0</v>
      </c>
      <c r="K8512" s="11" t="s">
        <v>31</v>
      </c>
      <c r="L8512" s="12" t="s">
        <v>31</v>
      </c>
      <c r="M8512" s="10" t="s">
        <v>31</v>
      </c>
      <c r="N8512" s="10" t="s">
        <v>34</v>
      </c>
      <c r="O8512" s="12" t="s">
        <v>35</v>
      </c>
      <c r="P8512" s="10" t="s">
        <v>52823</v>
      </c>
      <c r="Q8512" s="10" t="s">
        <v>31</v>
      </c>
      <c r="R8512" s="10" t="s">
        <v>31</v>
      </c>
      <c r="S8512" s="12" t="s">
        <v>52824</v>
      </c>
      <c r="T8512" s="10" t="s">
        <v>38</v>
      </c>
      <c r="U8512" s="12" t="s">
        <v>31</v>
      </c>
      <c r="V8512" s="10" t="s">
        <v>52825</v>
      </c>
      <c r="W8512" s="10" t="s">
        <v>52826</v>
      </c>
      <c r="X8512" s="13" t="str">
        <f>HYPERLINK("https://my.pitchbook.com?p=354305-98P","View People Online")</f>
        <v>View People Online</v>
      </c>
    </row>
    <row r="8513">
      <c r="A8513" s="14" t="s">
        <v>52827</v>
      </c>
      <c r="B8513" s="14" t="s">
        <v>52828</v>
      </c>
      <c r="C8513" s="14" t="s">
        <v>47879</v>
      </c>
      <c r="D8513" s="14" t="s">
        <v>52829</v>
      </c>
      <c r="E8513" s="14" t="s">
        <v>52791</v>
      </c>
      <c r="F8513" s="14" t="s">
        <v>29</v>
      </c>
      <c r="G8513" s="14" t="s">
        <v>52830</v>
      </c>
      <c r="H8513" s="15">
        <v>2.0</v>
      </c>
      <c r="I8513" s="15">
        <v>8.0</v>
      </c>
      <c r="J8513" s="15">
        <v>2.0</v>
      </c>
      <c r="K8513" s="15">
        <v>3.0</v>
      </c>
      <c r="L8513" s="16" t="s">
        <v>52831</v>
      </c>
      <c r="M8513" s="14" t="s">
        <v>52832</v>
      </c>
      <c r="N8513" s="14" t="s">
        <v>332</v>
      </c>
      <c r="O8513" s="16" t="s">
        <v>10854</v>
      </c>
      <c r="P8513" s="14" t="s">
        <v>52793</v>
      </c>
      <c r="Q8513" s="14" t="s">
        <v>31</v>
      </c>
      <c r="R8513" s="14" t="s">
        <v>31</v>
      </c>
      <c r="S8513" s="16" t="s">
        <v>52794</v>
      </c>
      <c r="T8513" s="14" t="s">
        <v>332</v>
      </c>
      <c r="U8513" s="16" t="s">
        <v>31</v>
      </c>
      <c r="V8513" s="14" t="s">
        <v>29</v>
      </c>
      <c r="W8513" s="14" t="s">
        <v>52791</v>
      </c>
      <c r="X8513" s="17" t="str">
        <f>HYPERLINK("https://my.pitchbook.com?p=130501-54P","View People Online")</f>
        <v>View People Online</v>
      </c>
    </row>
    <row r="8514">
      <c r="A8514" s="2" t="s">
        <v>52833</v>
      </c>
      <c r="B8514" s="2" t="s">
        <v>52834</v>
      </c>
      <c r="C8514" s="2" t="s">
        <v>1471</v>
      </c>
      <c r="D8514" s="2" t="s">
        <v>52835</v>
      </c>
      <c r="E8514" s="2" t="s">
        <v>52836</v>
      </c>
      <c r="F8514" s="2" t="s">
        <v>86</v>
      </c>
      <c r="G8514" s="2" t="s">
        <v>52837</v>
      </c>
      <c r="H8514" s="3" t="s">
        <v>31</v>
      </c>
      <c r="I8514" s="3">
        <v>21.0</v>
      </c>
      <c r="J8514" s="3">
        <v>1.0</v>
      </c>
      <c r="K8514" s="3">
        <v>17.0</v>
      </c>
      <c r="L8514" s="4" t="s">
        <v>31</v>
      </c>
      <c r="M8514" s="2" t="s">
        <v>52838</v>
      </c>
      <c r="N8514" s="2" t="s">
        <v>1181</v>
      </c>
      <c r="O8514" s="4" t="s">
        <v>1182</v>
      </c>
      <c r="P8514" s="2" t="s">
        <v>52839</v>
      </c>
      <c r="Q8514" s="2" t="s">
        <v>39359</v>
      </c>
      <c r="R8514" s="2" t="s">
        <v>1185</v>
      </c>
      <c r="S8514" s="4" t="s">
        <v>52840</v>
      </c>
      <c r="T8514" s="2" t="s">
        <v>66</v>
      </c>
      <c r="U8514" s="4" t="s">
        <v>31</v>
      </c>
      <c r="V8514" s="2" t="s">
        <v>86</v>
      </c>
      <c r="W8514" s="2" t="s">
        <v>52836</v>
      </c>
      <c r="X8514" s="5" t="str">
        <f>HYPERLINK("https://my.pitchbook.com?p=111378-97P","View People Online")</f>
        <v>View People Online</v>
      </c>
    </row>
    <row r="8515">
      <c r="A8515" s="6" t="s">
        <v>52841</v>
      </c>
      <c r="B8515" s="6" t="s">
        <v>52842</v>
      </c>
      <c r="C8515" s="6" t="s">
        <v>5071</v>
      </c>
      <c r="D8515" s="6" t="s">
        <v>6004</v>
      </c>
      <c r="E8515" s="6" t="s">
        <v>52836</v>
      </c>
      <c r="F8515" s="6" t="s">
        <v>71</v>
      </c>
      <c r="G8515" s="6" t="s">
        <v>52843</v>
      </c>
      <c r="H8515" s="7" t="s">
        <v>31</v>
      </c>
      <c r="I8515" s="7">
        <v>1.0</v>
      </c>
      <c r="J8515" s="7">
        <v>1.0</v>
      </c>
      <c r="K8515" s="7" t="s">
        <v>31</v>
      </c>
      <c r="L8515" s="8" t="s">
        <v>31</v>
      </c>
      <c r="M8515" s="6" t="s">
        <v>52844</v>
      </c>
      <c r="N8515" s="6" t="s">
        <v>1181</v>
      </c>
      <c r="O8515" s="8" t="s">
        <v>1182</v>
      </c>
      <c r="P8515" s="6" t="s">
        <v>52839</v>
      </c>
      <c r="Q8515" s="6" t="s">
        <v>39359</v>
      </c>
      <c r="R8515" s="6" t="s">
        <v>1185</v>
      </c>
      <c r="S8515" s="8" t="s">
        <v>52840</v>
      </c>
      <c r="T8515" s="6" t="s">
        <v>66</v>
      </c>
      <c r="U8515" s="8" t="s">
        <v>31</v>
      </c>
      <c r="V8515" s="6" t="s">
        <v>71</v>
      </c>
      <c r="W8515" s="6" t="s">
        <v>52836</v>
      </c>
      <c r="X8515" s="9" t="str">
        <f>HYPERLINK("https://my.pitchbook.com?p=210920-23P","View People Online")</f>
        <v>View People Online</v>
      </c>
    </row>
    <row r="8516">
      <c r="A8516" s="10" t="s">
        <v>52845</v>
      </c>
      <c r="B8516" s="10" t="s">
        <v>52846</v>
      </c>
      <c r="C8516" s="10" t="s">
        <v>52847</v>
      </c>
      <c r="D8516" s="10" t="s">
        <v>52848</v>
      </c>
      <c r="E8516" s="10" t="s">
        <v>52849</v>
      </c>
      <c r="F8516" s="10" t="s">
        <v>43</v>
      </c>
      <c r="G8516" s="10" t="s">
        <v>52850</v>
      </c>
      <c r="H8516" s="11">
        <v>1.0</v>
      </c>
      <c r="I8516" s="11">
        <v>7.0</v>
      </c>
      <c r="J8516" s="11">
        <v>1.0</v>
      </c>
      <c r="K8516" s="11">
        <v>3.0</v>
      </c>
      <c r="L8516" s="12" t="s">
        <v>31</v>
      </c>
      <c r="M8516" s="10" t="s">
        <v>52851</v>
      </c>
      <c r="N8516" s="10" t="s">
        <v>1781</v>
      </c>
      <c r="O8516" s="12" t="s">
        <v>1782</v>
      </c>
      <c r="P8516" s="10" t="s">
        <v>52852</v>
      </c>
      <c r="Q8516" s="10" t="s">
        <v>31</v>
      </c>
      <c r="R8516" s="10" t="s">
        <v>1785</v>
      </c>
      <c r="S8516" s="12" t="s">
        <v>52853</v>
      </c>
      <c r="T8516" s="10" t="s">
        <v>1019</v>
      </c>
      <c r="U8516" s="12" t="s">
        <v>31</v>
      </c>
      <c r="V8516" s="10" t="s">
        <v>43</v>
      </c>
      <c r="W8516" s="10" t="s">
        <v>52849</v>
      </c>
      <c r="X8516" s="13" t="str">
        <f>HYPERLINK("https://my.pitchbook.com?p=351751-06P","View People Online")</f>
        <v>View People Online</v>
      </c>
    </row>
    <row r="8517">
      <c r="A8517" s="6" t="s">
        <v>52854</v>
      </c>
      <c r="B8517" s="6" t="s">
        <v>52855</v>
      </c>
      <c r="C8517" s="6" t="s">
        <v>52856</v>
      </c>
      <c r="D8517" s="6" t="s">
        <v>52857</v>
      </c>
      <c r="E8517" s="6" t="s">
        <v>52849</v>
      </c>
      <c r="F8517" s="6" t="s">
        <v>221</v>
      </c>
      <c r="G8517" s="6" t="s">
        <v>52858</v>
      </c>
      <c r="H8517" s="7" t="s">
        <v>31</v>
      </c>
      <c r="I8517" s="7">
        <v>2.0</v>
      </c>
      <c r="J8517" s="7">
        <v>1.0</v>
      </c>
      <c r="K8517" s="7">
        <v>1.0</v>
      </c>
      <c r="L8517" s="8" t="s">
        <v>31</v>
      </c>
      <c r="M8517" s="6" t="s">
        <v>52859</v>
      </c>
      <c r="N8517" s="6" t="s">
        <v>1781</v>
      </c>
      <c r="O8517" s="8" t="s">
        <v>1782</v>
      </c>
      <c r="P8517" s="6" t="s">
        <v>52852</v>
      </c>
      <c r="Q8517" s="6" t="s">
        <v>31</v>
      </c>
      <c r="R8517" s="6" t="s">
        <v>1785</v>
      </c>
      <c r="S8517" s="8" t="s">
        <v>52853</v>
      </c>
      <c r="T8517" s="6" t="s">
        <v>1019</v>
      </c>
      <c r="U8517" s="8" t="s">
        <v>31</v>
      </c>
      <c r="V8517" s="6" t="s">
        <v>957</v>
      </c>
      <c r="W8517" s="6" t="s">
        <v>52849</v>
      </c>
      <c r="X8517" s="9" t="str">
        <f>HYPERLINK("https://my.pitchbook.com?p=353088-55P","View People Online")</f>
        <v>View People Online</v>
      </c>
    </row>
    <row r="8518">
      <c r="A8518" s="2" t="s">
        <v>52860</v>
      </c>
      <c r="B8518" s="2" t="s">
        <v>52861</v>
      </c>
      <c r="C8518" s="2" t="s">
        <v>26069</v>
      </c>
      <c r="D8518" s="2" t="s">
        <v>52862</v>
      </c>
      <c r="E8518" s="2" t="s">
        <v>52849</v>
      </c>
      <c r="F8518" s="2" t="s">
        <v>502</v>
      </c>
      <c r="G8518" s="2" t="s">
        <v>52863</v>
      </c>
      <c r="H8518" s="3" t="s">
        <v>31</v>
      </c>
      <c r="I8518" s="3">
        <v>1.0</v>
      </c>
      <c r="J8518" s="3">
        <v>1.0</v>
      </c>
      <c r="K8518" s="3" t="s">
        <v>31</v>
      </c>
      <c r="L8518" s="4" t="s">
        <v>31</v>
      </c>
      <c r="M8518" s="2" t="s">
        <v>52864</v>
      </c>
      <c r="N8518" s="2" t="s">
        <v>1781</v>
      </c>
      <c r="O8518" s="4" t="s">
        <v>1782</v>
      </c>
      <c r="P8518" s="2" t="s">
        <v>52852</v>
      </c>
      <c r="Q8518" s="2" t="s">
        <v>31</v>
      </c>
      <c r="R8518" s="2" t="s">
        <v>1785</v>
      </c>
      <c r="S8518" s="4" t="s">
        <v>52853</v>
      </c>
      <c r="T8518" s="2" t="s">
        <v>1019</v>
      </c>
      <c r="U8518" s="4" t="s">
        <v>31</v>
      </c>
      <c r="V8518" s="2" t="s">
        <v>502</v>
      </c>
      <c r="W8518" s="2" t="s">
        <v>52849</v>
      </c>
      <c r="X8518" s="5" t="str">
        <f>HYPERLINK("https://my.pitchbook.com?p=402219-64P","View People Online")</f>
        <v>View People Online</v>
      </c>
    </row>
    <row r="8519">
      <c r="A8519" s="14" t="s">
        <v>52865</v>
      </c>
      <c r="B8519" s="14" t="s">
        <v>52866</v>
      </c>
      <c r="C8519" s="14" t="s">
        <v>26</v>
      </c>
      <c r="D8519" s="14" t="s">
        <v>20802</v>
      </c>
      <c r="E8519" s="14" t="s">
        <v>52849</v>
      </c>
      <c r="F8519" s="14" t="s">
        <v>57</v>
      </c>
      <c r="G8519" s="14" t="s">
        <v>52867</v>
      </c>
      <c r="H8519" s="15" t="s">
        <v>31</v>
      </c>
      <c r="I8519" s="15">
        <v>5.0</v>
      </c>
      <c r="J8519" s="15">
        <v>1.0</v>
      </c>
      <c r="K8519" s="15">
        <v>2.0</v>
      </c>
      <c r="L8519" s="16" t="s">
        <v>31</v>
      </c>
      <c r="M8519" s="14" t="s">
        <v>52868</v>
      </c>
      <c r="N8519" s="14" t="s">
        <v>1781</v>
      </c>
      <c r="O8519" s="16" t="s">
        <v>1782</v>
      </c>
      <c r="P8519" s="14" t="s">
        <v>52852</v>
      </c>
      <c r="Q8519" s="14" t="s">
        <v>31</v>
      </c>
      <c r="R8519" s="14" t="s">
        <v>1785</v>
      </c>
      <c r="S8519" s="16" t="s">
        <v>52853</v>
      </c>
      <c r="T8519" s="14" t="s">
        <v>1019</v>
      </c>
      <c r="U8519" s="16" t="s">
        <v>31</v>
      </c>
      <c r="V8519" s="14" t="s">
        <v>57</v>
      </c>
      <c r="W8519" s="14" t="s">
        <v>52849</v>
      </c>
      <c r="X8519" s="17" t="str">
        <f>HYPERLINK("https://my.pitchbook.com?p=206309-80P","View People Online")</f>
        <v>View People Online</v>
      </c>
    </row>
    <row r="8520">
      <c r="A8520" s="10" t="s">
        <v>52869</v>
      </c>
      <c r="B8520" s="10" t="s">
        <v>52870</v>
      </c>
      <c r="C8520" s="10" t="s">
        <v>3052</v>
      </c>
      <c r="D8520" s="10" t="s">
        <v>52871</v>
      </c>
      <c r="E8520" s="10" t="s">
        <v>52849</v>
      </c>
      <c r="F8520" s="10" t="s">
        <v>221</v>
      </c>
      <c r="G8520" s="10" t="s">
        <v>52872</v>
      </c>
      <c r="H8520" s="11">
        <v>1.0</v>
      </c>
      <c r="I8520" s="11">
        <v>4.0</v>
      </c>
      <c r="J8520" s="11">
        <v>1.0</v>
      </c>
      <c r="K8520" s="11">
        <v>1.0</v>
      </c>
      <c r="L8520" s="12" t="s">
        <v>31</v>
      </c>
      <c r="M8520" s="10" t="s">
        <v>52873</v>
      </c>
      <c r="N8520" s="10" t="s">
        <v>1781</v>
      </c>
      <c r="O8520" s="12" t="s">
        <v>1782</v>
      </c>
      <c r="P8520" s="10" t="s">
        <v>52852</v>
      </c>
      <c r="Q8520" s="10" t="s">
        <v>31</v>
      </c>
      <c r="R8520" s="10" t="s">
        <v>1785</v>
      </c>
      <c r="S8520" s="12" t="s">
        <v>52853</v>
      </c>
      <c r="T8520" s="10" t="s">
        <v>1019</v>
      </c>
      <c r="U8520" s="12" t="s">
        <v>31</v>
      </c>
      <c r="V8520" s="10" t="s">
        <v>957</v>
      </c>
      <c r="W8520" s="10" t="s">
        <v>52849</v>
      </c>
      <c r="X8520" s="13" t="str">
        <f>HYPERLINK("https://my.pitchbook.com?p=353090-80P","View People Online")</f>
        <v>View People Online</v>
      </c>
    </row>
    <row r="8521">
      <c r="A8521" s="6" t="s">
        <v>52874</v>
      </c>
      <c r="B8521" s="6" t="s">
        <v>52875</v>
      </c>
      <c r="C8521" s="6" t="s">
        <v>382</v>
      </c>
      <c r="D8521" s="6" t="s">
        <v>52876</v>
      </c>
      <c r="E8521" s="6" t="s">
        <v>52849</v>
      </c>
      <c r="F8521" s="6" t="s">
        <v>221</v>
      </c>
      <c r="G8521" s="6" t="s">
        <v>52877</v>
      </c>
      <c r="H8521" s="7" t="s">
        <v>31</v>
      </c>
      <c r="I8521" s="7">
        <v>2.0</v>
      </c>
      <c r="J8521" s="7">
        <v>1.0</v>
      </c>
      <c r="K8521" s="7">
        <v>1.0</v>
      </c>
      <c r="L8521" s="8" t="s">
        <v>31</v>
      </c>
      <c r="M8521" s="6" t="s">
        <v>52878</v>
      </c>
      <c r="N8521" s="6" t="s">
        <v>1781</v>
      </c>
      <c r="O8521" s="8" t="s">
        <v>1782</v>
      </c>
      <c r="P8521" s="6" t="s">
        <v>52852</v>
      </c>
      <c r="Q8521" s="6" t="s">
        <v>31</v>
      </c>
      <c r="R8521" s="6" t="s">
        <v>1785</v>
      </c>
      <c r="S8521" s="8" t="s">
        <v>52853</v>
      </c>
      <c r="T8521" s="6" t="s">
        <v>1019</v>
      </c>
      <c r="U8521" s="8" t="s">
        <v>31</v>
      </c>
      <c r="V8521" s="6" t="s">
        <v>957</v>
      </c>
      <c r="W8521" s="6" t="s">
        <v>52849</v>
      </c>
      <c r="X8521" s="9" t="str">
        <f>HYPERLINK("https://my.pitchbook.com?p=353089-63P","View People Online")</f>
        <v>View People Online</v>
      </c>
    </row>
    <row r="8522">
      <c r="A8522" s="10" t="s">
        <v>52879</v>
      </c>
      <c r="B8522" s="10" t="s">
        <v>52880</v>
      </c>
      <c r="C8522" s="10" t="s">
        <v>934</v>
      </c>
      <c r="D8522" s="10" t="s">
        <v>52881</v>
      </c>
      <c r="E8522" s="10" t="s">
        <v>52849</v>
      </c>
      <c r="F8522" s="10" t="s">
        <v>57</v>
      </c>
      <c r="G8522" s="10" t="s">
        <v>52882</v>
      </c>
      <c r="H8522" s="11">
        <v>2.0</v>
      </c>
      <c r="I8522" s="11">
        <v>6.0</v>
      </c>
      <c r="J8522" s="11">
        <v>1.0</v>
      </c>
      <c r="K8522" s="11">
        <v>1.0</v>
      </c>
      <c r="L8522" s="12" t="s">
        <v>31</v>
      </c>
      <c r="M8522" s="10" t="s">
        <v>52883</v>
      </c>
      <c r="N8522" s="10" t="s">
        <v>1781</v>
      </c>
      <c r="O8522" s="12" t="s">
        <v>1782</v>
      </c>
      <c r="P8522" s="10" t="s">
        <v>52852</v>
      </c>
      <c r="Q8522" s="10" t="s">
        <v>31</v>
      </c>
      <c r="R8522" s="10" t="s">
        <v>1785</v>
      </c>
      <c r="S8522" s="12" t="s">
        <v>52853</v>
      </c>
      <c r="T8522" s="10" t="s">
        <v>1019</v>
      </c>
      <c r="U8522" s="12" t="s">
        <v>31</v>
      </c>
      <c r="V8522" s="10" t="s">
        <v>57</v>
      </c>
      <c r="W8522" s="10" t="s">
        <v>52849</v>
      </c>
      <c r="X8522" s="13" t="str">
        <f>HYPERLINK("https://my.pitchbook.com?p=266469-04P","View People Online")</f>
        <v>View People Online</v>
      </c>
    </row>
    <row r="8523">
      <c r="A8523" s="14" t="s">
        <v>52884</v>
      </c>
      <c r="B8523" s="14" t="s">
        <v>52885</v>
      </c>
      <c r="C8523" s="14" t="s">
        <v>3722</v>
      </c>
      <c r="D8523" s="14" t="s">
        <v>52886</v>
      </c>
      <c r="E8523" s="14" t="s">
        <v>52849</v>
      </c>
      <c r="F8523" s="14" t="s">
        <v>3823</v>
      </c>
      <c r="G8523" s="14" t="s">
        <v>52887</v>
      </c>
      <c r="H8523" s="15">
        <v>1.0</v>
      </c>
      <c r="I8523" s="15">
        <v>9.0</v>
      </c>
      <c r="J8523" s="15">
        <v>1.0</v>
      </c>
      <c r="K8523" s="15">
        <v>5.0</v>
      </c>
      <c r="L8523" s="16" t="s">
        <v>31</v>
      </c>
      <c r="M8523" s="14" t="s">
        <v>52888</v>
      </c>
      <c r="N8523" s="14" t="s">
        <v>1781</v>
      </c>
      <c r="O8523" s="16" t="s">
        <v>1782</v>
      </c>
      <c r="P8523" s="14" t="s">
        <v>52852</v>
      </c>
      <c r="Q8523" s="14" t="s">
        <v>31</v>
      </c>
      <c r="R8523" s="14" t="s">
        <v>1785</v>
      </c>
      <c r="S8523" s="16" t="s">
        <v>52853</v>
      </c>
      <c r="T8523" s="14" t="s">
        <v>1019</v>
      </c>
      <c r="U8523" s="16" t="s">
        <v>31</v>
      </c>
      <c r="V8523" s="14" t="s">
        <v>3823</v>
      </c>
      <c r="W8523" s="14" t="s">
        <v>52849</v>
      </c>
      <c r="X8523" s="17" t="str">
        <f>HYPERLINK("https://my.pitchbook.com?p=259805-44P","View People Online")</f>
        <v>View People Online</v>
      </c>
    </row>
    <row r="8524">
      <c r="A8524" s="2" t="s">
        <v>52889</v>
      </c>
      <c r="B8524" s="2" t="s">
        <v>52890</v>
      </c>
      <c r="C8524" s="2" t="s">
        <v>10008</v>
      </c>
      <c r="D8524" s="2" t="s">
        <v>18509</v>
      </c>
      <c r="E8524" s="2" t="s">
        <v>52891</v>
      </c>
      <c r="F8524" s="2" t="s">
        <v>713</v>
      </c>
      <c r="G8524" s="2" t="s">
        <v>52892</v>
      </c>
      <c r="H8524" s="3" t="s">
        <v>31</v>
      </c>
      <c r="I8524" s="3">
        <v>11.0</v>
      </c>
      <c r="J8524" s="3">
        <v>2.0</v>
      </c>
      <c r="K8524" s="3">
        <v>8.0</v>
      </c>
      <c r="L8524" s="4" t="s">
        <v>52893</v>
      </c>
      <c r="M8524" s="2" t="s">
        <v>52894</v>
      </c>
      <c r="N8524" s="2" t="s">
        <v>4232</v>
      </c>
      <c r="O8524" s="4" t="s">
        <v>4233</v>
      </c>
      <c r="P8524" s="2" t="s">
        <v>52895</v>
      </c>
      <c r="Q8524" s="2" t="s">
        <v>31</v>
      </c>
      <c r="R8524" s="2" t="s">
        <v>4236</v>
      </c>
      <c r="S8524" s="4" t="s">
        <v>47772</v>
      </c>
      <c r="T8524" s="2" t="s">
        <v>66</v>
      </c>
      <c r="U8524" s="4" t="s">
        <v>31</v>
      </c>
      <c r="V8524" s="2" t="s">
        <v>52896</v>
      </c>
      <c r="W8524" s="2" t="s">
        <v>52897</v>
      </c>
      <c r="X8524" s="5" t="str">
        <f>HYPERLINK("https://my.pitchbook.com?p=39540-25P","View People Online")</f>
        <v>View People Online</v>
      </c>
    </row>
    <row r="8525">
      <c r="A8525" s="6" t="s">
        <v>52898</v>
      </c>
      <c r="B8525" s="6" t="s">
        <v>52899</v>
      </c>
      <c r="C8525" s="6" t="s">
        <v>10008</v>
      </c>
      <c r="D8525" s="6" t="s">
        <v>12088</v>
      </c>
      <c r="E8525" s="6" t="s">
        <v>52891</v>
      </c>
      <c r="F8525" s="6" t="s">
        <v>470</v>
      </c>
      <c r="G8525" s="6" t="s">
        <v>31</v>
      </c>
      <c r="H8525" s="7" t="s">
        <v>31</v>
      </c>
      <c r="I8525" s="7">
        <v>10.0</v>
      </c>
      <c r="J8525" s="7">
        <v>1.0</v>
      </c>
      <c r="K8525" s="7">
        <v>8.0</v>
      </c>
      <c r="L8525" s="8" t="s">
        <v>52893</v>
      </c>
      <c r="M8525" s="6" t="s">
        <v>52900</v>
      </c>
      <c r="N8525" s="6" t="s">
        <v>4232</v>
      </c>
      <c r="O8525" s="8" t="s">
        <v>4233</v>
      </c>
      <c r="P8525" s="6" t="s">
        <v>52895</v>
      </c>
      <c r="Q8525" s="6" t="s">
        <v>2340</v>
      </c>
      <c r="R8525" s="6" t="s">
        <v>4236</v>
      </c>
      <c r="S8525" s="8" t="s">
        <v>47772</v>
      </c>
      <c r="T8525" s="6" t="s">
        <v>66</v>
      </c>
      <c r="U8525" s="8" t="s">
        <v>31</v>
      </c>
      <c r="V8525" s="6" t="s">
        <v>470</v>
      </c>
      <c r="W8525" s="6" t="s">
        <v>52891</v>
      </c>
      <c r="X8525" s="9" t="str">
        <f>HYPERLINK("https://my.pitchbook.com?p=400806-19P","View People Online")</f>
        <v>View People Online</v>
      </c>
    </row>
    <row r="8526">
      <c r="A8526" s="2" t="s">
        <v>52901</v>
      </c>
      <c r="B8526" s="2" t="s">
        <v>52902</v>
      </c>
      <c r="C8526" s="2" t="s">
        <v>2713</v>
      </c>
      <c r="D8526" s="2" t="s">
        <v>52903</v>
      </c>
      <c r="E8526" s="2" t="s">
        <v>52891</v>
      </c>
      <c r="F8526" s="2" t="s">
        <v>57</v>
      </c>
      <c r="G8526" s="2" t="s">
        <v>52904</v>
      </c>
      <c r="H8526" s="3" t="s">
        <v>31</v>
      </c>
      <c r="I8526" s="3">
        <v>4.0</v>
      </c>
      <c r="J8526" s="3">
        <v>2.0</v>
      </c>
      <c r="K8526" s="3">
        <v>2.0</v>
      </c>
      <c r="L8526" s="4" t="s">
        <v>52893</v>
      </c>
      <c r="M8526" s="2" t="s">
        <v>52905</v>
      </c>
      <c r="N8526" s="2" t="s">
        <v>4232</v>
      </c>
      <c r="O8526" s="4" t="s">
        <v>4233</v>
      </c>
      <c r="P8526" s="2" t="s">
        <v>52895</v>
      </c>
      <c r="Q8526" s="2" t="s">
        <v>2340</v>
      </c>
      <c r="R8526" s="2" t="s">
        <v>4236</v>
      </c>
      <c r="S8526" s="4" t="s">
        <v>47772</v>
      </c>
      <c r="T8526" s="2" t="s">
        <v>66</v>
      </c>
      <c r="U8526" s="4" t="s">
        <v>31</v>
      </c>
      <c r="V8526" s="2" t="s">
        <v>57</v>
      </c>
      <c r="W8526" s="2" t="s">
        <v>52891</v>
      </c>
      <c r="X8526" s="5" t="str">
        <f>HYPERLINK("https://my.pitchbook.com?p=421678-09P","View People Online")</f>
        <v>View People Online</v>
      </c>
    </row>
    <row r="8527">
      <c r="A8527" s="14" t="s">
        <v>52906</v>
      </c>
      <c r="B8527" s="14" t="s">
        <v>52907</v>
      </c>
      <c r="C8527" s="14" t="s">
        <v>4943</v>
      </c>
      <c r="D8527" s="14" t="s">
        <v>52908</v>
      </c>
      <c r="E8527" s="14" t="s">
        <v>52891</v>
      </c>
      <c r="F8527" s="14" t="s">
        <v>270</v>
      </c>
      <c r="G8527" s="14" t="s">
        <v>52909</v>
      </c>
      <c r="H8527" s="15" t="s">
        <v>31</v>
      </c>
      <c r="I8527" s="15">
        <v>2.0</v>
      </c>
      <c r="J8527" s="15">
        <v>1.0</v>
      </c>
      <c r="K8527" s="15">
        <v>1.0</v>
      </c>
      <c r="L8527" s="16" t="s">
        <v>52893</v>
      </c>
      <c r="M8527" s="14" t="s">
        <v>31</v>
      </c>
      <c r="N8527" s="14" t="s">
        <v>4232</v>
      </c>
      <c r="O8527" s="16" t="s">
        <v>4233</v>
      </c>
      <c r="P8527" s="14" t="s">
        <v>52895</v>
      </c>
      <c r="Q8527" s="14" t="s">
        <v>2340</v>
      </c>
      <c r="R8527" s="14" t="s">
        <v>4236</v>
      </c>
      <c r="S8527" s="16" t="s">
        <v>47772</v>
      </c>
      <c r="T8527" s="14" t="s">
        <v>66</v>
      </c>
      <c r="U8527" s="16" t="s">
        <v>31</v>
      </c>
      <c r="V8527" s="14" t="s">
        <v>27009</v>
      </c>
      <c r="W8527" s="14" t="s">
        <v>52891</v>
      </c>
      <c r="X8527" s="17" t="str">
        <f>HYPERLINK("https://my.pitchbook.com?p=421689-07P","View People Online")</f>
        <v>View People Online</v>
      </c>
    </row>
    <row r="8528">
      <c r="A8528" s="10" t="s">
        <v>52910</v>
      </c>
      <c r="B8528" s="10" t="s">
        <v>52911</v>
      </c>
      <c r="C8528" s="10" t="s">
        <v>7978</v>
      </c>
      <c r="D8528" s="10" t="s">
        <v>4034</v>
      </c>
      <c r="E8528" s="10" t="s">
        <v>52891</v>
      </c>
      <c r="F8528" s="10" t="s">
        <v>57</v>
      </c>
      <c r="G8528" s="10" t="s">
        <v>52912</v>
      </c>
      <c r="H8528" s="11">
        <v>3.0</v>
      </c>
      <c r="I8528" s="11">
        <v>20.0</v>
      </c>
      <c r="J8528" s="11">
        <v>2.0</v>
      </c>
      <c r="K8528" s="11">
        <v>12.0</v>
      </c>
      <c r="L8528" s="12" t="s">
        <v>52893</v>
      </c>
      <c r="M8528" s="10" t="s">
        <v>52913</v>
      </c>
      <c r="N8528" s="10" t="s">
        <v>4232</v>
      </c>
      <c r="O8528" s="12" t="s">
        <v>4233</v>
      </c>
      <c r="P8528" s="10" t="s">
        <v>52895</v>
      </c>
      <c r="Q8528" s="10" t="s">
        <v>2340</v>
      </c>
      <c r="R8528" s="10" t="s">
        <v>4236</v>
      </c>
      <c r="S8528" s="12" t="s">
        <v>47772</v>
      </c>
      <c r="T8528" s="10" t="s">
        <v>66</v>
      </c>
      <c r="U8528" s="12" t="s">
        <v>31</v>
      </c>
      <c r="V8528" s="10" t="s">
        <v>57</v>
      </c>
      <c r="W8528" s="10" t="s">
        <v>52891</v>
      </c>
      <c r="X8528" s="13" t="str">
        <f>HYPERLINK("https://my.pitchbook.com?p=163404-37P","View People Online")</f>
        <v>View People Online</v>
      </c>
    </row>
    <row r="8529">
      <c r="A8529" s="6" t="s">
        <v>52914</v>
      </c>
      <c r="B8529" s="6" t="s">
        <v>52915</v>
      </c>
      <c r="C8529" s="6" t="s">
        <v>52916</v>
      </c>
      <c r="D8529" s="6" t="s">
        <v>52917</v>
      </c>
      <c r="E8529" s="6" t="s">
        <v>52891</v>
      </c>
      <c r="F8529" s="6" t="s">
        <v>57</v>
      </c>
      <c r="G8529" s="6" t="s">
        <v>52918</v>
      </c>
      <c r="H8529" s="7" t="s">
        <v>31</v>
      </c>
      <c r="I8529" s="7">
        <v>7.0</v>
      </c>
      <c r="J8529" s="7">
        <v>1.0</v>
      </c>
      <c r="K8529" s="7">
        <v>6.0</v>
      </c>
      <c r="L8529" s="8" t="s">
        <v>52893</v>
      </c>
      <c r="M8529" s="6" t="s">
        <v>52919</v>
      </c>
      <c r="N8529" s="6" t="s">
        <v>4232</v>
      </c>
      <c r="O8529" s="8" t="s">
        <v>4233</v>
      </c>
      <c r="P8529" s="6" t="s">
        <v>52895</v>
      </c>
      <c r="Q8529" s="6" t="s">
        <v>2340</v>
      </c>
      <c r="R8529" s="6" t="s">
        <v>4236</v>
      </c>
      <c r="S8529" s="8" t="s">
        <v>47772</v>
      </c>
      <c r="T8529" s="6" t="s">
        <v>66</v>
      </c>
      <c r="U8529" s="8" t="s">
        <v>31</v>
      </c>
      <c r="V8529" s="6" t="s">
        <v>52920</v>
      </c>
      <c r="W8529" s="6" t="s">
        <v>52891</v>
      </c>
      <c r="X8529" s="9" t="str">
        <f>HYPERLINK("https://my.pitchbook.com?p=244307-08P","View People Online")</f>
        <v>View People Online</v>
      </c>
    </row>
    <row r="8530">
      <c r="A8530" s="10" t="s">
        <v>52921</v>
      </c>
      <c r="B8530" s="10" t="s">
        <v>52922</v>
      </c>
      <c r="C8530" s="10" t="s">
        <v>2288</v>
      </c>
      <c r="D8530" s="10" t="s">
        <v>52923</v>
      </c>
      <c r="E8530" s="10" t="s">
        <v>52891</v>
      </c>
      <c r="F8530" s="10" t="s">
        <v>1283</v>
      </c>
      <c r="G8530" s="10" t="s">
        <v>52924</v>
      </c>
      <c r="H8530" s="11" t="s">
        <v>31</v>
      </c>
      <c r="I8530" s="11">
        <v>19.0</v>
      </c>
      <c r="J8530" s="11">
        <v>2.0</v>
      </c>
      <c r="K8530" s="11">
        <v>14.0</v>
      </c>
      <c r="L8530" s="12" t="s">
        <v>52925</v>
      </c>
      <c r="M8530" s="10" t="s">
        <v>52926</v>
      </c>
      <c r="N8530" s="10" t="s">
        <v>4232</v>
      </c>
      <c r="O8530" s="12" t="s">
        <v>4233</v>
      </c>
      <c r="P8530" s="10" t="s">
        <v>52895</v>
      </c>
      <c r="Q8530" s="10" t="s">
        <v>2340</v>
      </c>
      <c r="R8530" s="10" t="s">
        <v>4236</v>
      </c>
      <c r="S8530" s="12" t="s">
        <v>47772</v>
      </c>
      <c r="T8530" s="10" t="s">
        <v>66</v>
      </c>
      <c r="U8530" s="12" t="s">
        <v>31</v>
      </c>
      <c r="V8530" s="10" t="s">
        <v>1283</v>
      </c>
      <c r="W8530" s="10" t="s">
        <v>52891</v>
      </c>
      <c r="X8530" s="13" t="str">
        <f>HYPERLINK("https://my.pitchbook.com?p=79786-63P","View People Online")</f>
        <v>View People Online</v>
      </c>
    </row>
    <row r="8531">
      <c r="A8531" s="6" t="s">
        <v>52927</v>
      </c>
      <c r="B8531" s="6" t="s">
        <v>6471</v>
      </c>
      <c r="C8531" s="6" t="s">
        <v>126</v>
      </c>
      <c r="D8531" s="6" t="s">
        <v>3935</v>
      </c>
      <c r="E8531" s="6" t="s">
        <v>52891</v>
      </c>
      <c r="F8531" s="6" t="s">
        <v>548</v>
      </c>
      <c r="G8531" s="6" t="s">
        <v>52928</v>
      </c>
      <c r="H8531" s="7" t="s">
        <v>31</v>
      </c>
      <c r="I8531" s="7">
        <v>1.0</v>
      </c>
      <c r="J8531" s="7">
        <v>1.0</v>
      </c>
      <c r="K8531" s="7" t="s">
        <v>31</v>
      </c>
      <c r="L8531" s="8" t="s">
        <v>52893</v>
      </c>
      <c r="M8531" s="6" t="s">
        <v>52929</v>
      </c>
      <c r="N8531" s="6" t="s">
        <v>4232</v>
      </c>
      <c r="O8531" s="8" t="s">
        <v>4233</v>
      </c>
      <c r="P8531" s="6" t="s">
        <v>52895</v>
      </c>
      <c r="Q8531" s="6" t="s">
        <v>2340</v>
      </c>
      <c r="R8531" s="6" t="s">
        <v>4236</v>
      </c>
      <c r="S8531" s="8" t="s">
        <v>47772</v>
      </c>
      <c r="T8531" s="6" t="s">
        <v>66</v>
      </c>
      <c r="U8531" s="8" t="s">
        <v>31</v>
      </c>
      <c r="V8531" s="6" t="s">
        <v>52930</v>
      </c>
      <c r="W8531" s="6" t="s">
        <v>52891</v>
      </c>
      <c r="X8531" s="9" t="str">
        <f>HYPERLINK("https://my.pitchbook.com?p=446155-39P","View People Online")</f>
        <v>View People Online</v>
      </c>
    </row>
    <row r="8532">
      <c r="A8532" s="2" t="s">
        <v>52931</v>
      </c>
      <c r="B8532" s="2" t="s">
        <v>52932</v>
      </c>
      <c r="C8532" s="2" t="s">
        <v>1807</v>
      </c>
      <c r="D8532" s="2" t="s">
        <v>52933</v>
      </c>
      <c r="E8532" s="2" t="s">
        <v>52891</v>
      </c>
      <c r="F8532" s="2" t="s">
        <v>548</v>
      </c>
      <c r="G8532" s="2" t="s">
        <v>52934</v>
      </c>
      <c r="H8532" s="3" t="s">
        <v>31</v>
      </c>
      <c r="I8532" s="3">
        <v>1.0</v>
      </c>
      <c r="J8532" s="3">
        <v>1.0</v>
      </c>
      <c r="K8532" s="3" t="s">
        <v>31</v>
      </c>
      <c r="L8532" s="4" t="s">
        <v>52893</v>
      </c>
      <c r="M8532" s="2" t="s">
        <v>52935</v>
      </c>
      <c r="N8532" s="2" t="s">
        <v>4232</v>
      </c>
      <c r="O8532" s="4" t="s">
        <v>4233</v>
      </c>
      <c r="P8532" s="2" t="s">
        <v>52895</v>
      </c>
      <c r="Q8532" s="2" t="s">
        <v>2340</v>
      </c>
      <c r="R8532" s="2" t="s">
        <v>4236</v>
      </c>
      <c r="S8532" s="4" t="s">
        <v>47772</v>
      </c>
      <c r="T8532" s="2" t="s">
        <v>66</v>
      </c>
      <c r="U8532" s="4" t="s">
        <v>31</v>
      </c>
      <c r="V8532" s="2" t="s">
        <v>52936</v>
      </c>
      <c r="W8532" s="2" t="s">
        <v>52891</v>
      </c>
      <c r="X8532" s="5" t="str">
        <f>HYPERLINK("https://my.pitchbook.com?p=372389-95P","View People Online")</f>
        <v>View People Online</v>
      </c>
    </row>
    <row r="8533">
      <c r="A8533" s="6" t="s">
        <v>52937</v>
      </c>
      <c r="B8533" s="6" t="s">
        <v>52938</v>
      </c>
      <c r="C8533" s="6" t="s">
        <v>20189</v>
      </c>
      <c r="D8533" s="6" t="s">
        <v>52939</v>
      </c>
      <c r="E8533" s="6" t="s">
        <v>52891</v>
      </c>
      <c r="F8533" s="6" t="s">
        <v>13240</v>
      </c>
      <c r="G8533" s="6" t="s">
        <v>52940</v>
      </c>
      <c r="H8533" s="7" t="s">
        <v>31</v>
      </c>
      <c r="I8533" s="7">
        <v>3.0</v>
      </c>
      <c r="J8533" s="7">
        <v>1.0</v>
      </c>
      <c r="K8533" s="7">
        <v>2.0</v>
      </c>
      <c r="L8533" s="8" t="s">
        <v>52893</v>
      </c>
      <c r="M8533" s="6" t="s">
        <v>52941</v>
      </c>
      <c r="N8533" s="6" t="s">
        <v>4232</v>
      </c>
      <c r="O8533" s="8" t="s">
        <v>4233</v>
      </c>
      <c r="P8533" s="6" t="s">
        <v>52895</v>
      </c>
      <c r="Q8533" s="6" t="s">
        <v>2340</v>
      </c>
      <c r="R8533" s="6" t="s">
        <v>4236</v>
      </c>
      <c r="S8533" s="8" t="s">
        <v>47772</v>
      </c>
      <c r="T8533" s="6" t="s">
        <v>66</v>
      </c>
      <c r="U8533" s="8" t="s">
        <v>31</v>
      </c>
      <c r="V8533" s="6" t="s">
        <v>52942</v>
      </c>
      <c r="W8533" s="6" t="s">
        <v>52891</v>
      </c>
      <c r="X8533" s="9" t="str">
        <f>HYPERLINK("https://my.pitchbook.com?p=180187-30P","View People Online")</f>
        <v>View People Online</v>
      </c>
    </row>
    <row r="8534">
      <c r="A8534" s="10" t="s">
        <v>52943</v>
      </c>
      <c r="B8534" s="10" t="s">
        <v>52944</v>
      </c>
      <c r="C8534" s="10" t="s">
        <v>52945</v>
      </c>
      <c r="D8534" s="10" t="s">
        <v>52946</v>
      </c>
      <c r="E8534" s="10" t="s">
        <v>52947</v>
      </c>
      <c r="F8534" s="10" t="s">
        <v>71</v>
      </c>
      <c r="G8534" s="10" t="s">
        <v>52948</v>
      </c>
      <c r="H8534" s="11">
        <v>2.0</v>
      </c>
      <c r="I8534" s="11">
        <v>38.0</v>
      </c>
      <c r="J8534" s="11">
        <v>1.0</v>
      </c>
      <c r="K8534" s="11">
        <v>21.0</v>
      </c>
      <c r="L8534" s="12" t="s">
        <v>31</v>
      </c>
      <c r="M8534" s="10" t="s">
        <v>52949</v>
      </c>
      <c r="N8534" s="10" t="s">
        <v>40619</v>
      </c>
      <c r="O8534" s="12" t="s">
        <v>40620</v>
      </c>
      <c r="P8534" s="10" t="s">
        <v>52950</v>
      </c>
      <c r="Q8534" s="10" t="s">
        <v>7124</v>
      </c>
      <c r="R8534" s="10" t="s">
        <v>64</v>
      </c>
      <c r="S8534" s="12" t="s">
        <v>40622</v>
      </c>
      <c r="T8534" s="10" t="s">
        <v>66</v>
      </c>
      <c r="U8534" s="12" t="s">
        <v>31</v>
      </c>
      <c r="V8534" s="10" t="s">
        <v>71</v>
      </c>
      <c r="W8534" s="10" t="s">
        <v>52947</v>
      </c>
      <c r="X8534" s="13" t="str">
        <f>HYPERLINK("https://my.pitchbook.com?p=54204-31P","View People Online")</f>
        <v>View People Online</v>
      </c>
    </row>
    <row r="8535">
      <c r="A8535" s="6" t="s">
        <v>52951</v>
      </c>
      <c r="B8535" s="6" t="s">
        <v>52952</v>
      </c>
      <c r="C8535" s="6" t="s">
        <v>186</v>
      </c>
      <c r="D8535" s="6" t="s">
        <v>52953</v>
      </c>
      <c r="E8535" s="6" t="s">
        <v>52954</v>
      </c>
      <c r="F8535" s="6" t="s">
        <v>81</v>
      </c>
      <c r="G8535" s="6" t="s">
        <v>52955</v>
      </c>
      <c r="H8535" s="7" t="s">
        <v>31</v>
      </c>
      <c r="I8535" s="7">
        <v>1.0</v>
      </c>
      <c r="J8535" s="7" t="s">
        <v>31</v>
      </c>
      <c r="K8535" s="7" t="s">
        <v>31</v>
      </c>
      <c r="L8535" s="8" t="s">
        <v>52956</v>
      </c>
      <c r="M8535" s="6" t="s">
        <v>31</v>
      </c>
      <c r="N8535" s="6" t="s">
        <v>52957</v>
      </c>
      <c r="O8535" s="8" t="s">
        <v>52958</v>
      </c>
      <c r="P8535" s="6" t="s">
        <v>52959</v>
      </c>
      <c r="Q8535" s="6" t="s">
        <v>31</v>
      </c>
      <c r="R8535" s="6" t="s">
        <v>7335</v>
      </c>
      <c r="S8535" s="8" t="s">
        <v>52960</v>
      </c>
      <c r="T8535" s="6" t="s">
        <v>5484</v>
      </c>
      <c r="U8535" s="8" t="s">
        <v>31</v>
      </c>
      <c r="V8535" s="6" t="s">
        <v>81</v>
      </c>
      <c r="W8535" s="6" t="s">
        <v>52954</v>
      </c>
      <c r="X8535" s="9" t="str">
        <f>HYPERLINK("https://my.pitchbook.com?p=429391-81P","View People Online")</f>
        <v>View People Online</v>
      </c>
    </row>
    <row r="8536">
      <c r="A8536" s="10" t="s">
        <v>52961</v>
      </c>
      <c r="B8536" s="10" t="s">
        <v>52962</v>
      </c>
      <c r="C8536" s="10" t="s">
        <v>622</v>
      </c>
      <c r="D8536" s="10" t="s">
        <v>1306</v>
      </c>
      <c r="E8536" s="10" t="s">
        <v>52954</v>
      </c>
      <c r="F8536" s="10" t="s">
        <v>270</v>
      </c>
      <c r="G8536" s="10" t="s">
        <v>52963</v>
      </c>
      <c r="H8536" s="11" t="s">
        <v>31</v>
      </c>
      <c r="I8536" s="11">
        <v>1.0</v>
      </c>
      <c r="J8536" s="11">
        <v>1.0</v>
      </c>
      <c r="K8536" s="11" t="s">
        <v>31</v>
      </c>
      <c r="L8536" s="12" t="s">
        <v>52956</v>
      </c>
      <c r="M8536" s="10" t="s">
        <v>52964</v>
      </c>
      <c r="N8536" s="10" t="s">
        <v>52957</v>
      </c>
      <c r="O8536" s="12" t="s">
        <v>52958</v>
      </c>
      <c r="P8536" s="10" t="s">
        <v>52959</v>
      </c>
      <c r="Q8536" s="10" t="s">
        <v>31</v>
      </c>
      <c r="R8536" s="10" t="s">
        <v>7335</v>
      </c>
      <c r="S8536" s="12" t="s">
        <v>52960</v>
      </c>
      <c r="T8536" s="10" t="s">
        <v>5484</v>
      </c>
      <c r="U8536" s="12" t="s">
        <v>31</v>
      </c>
      <c r="V8536" s="10" t="s">
        <v>662</v>
      </c>
      <c r="W8536" s="10" t="s">
        <v>52954</v>
      </c>
      <c r="X8536" s="13" t="str">
        <f>HYPERLINK("https://my.pitchbook.com?p=291534-13P","View People Online")</f>
        <v>View People Online</v>
      </c>
    </row>
    <row r="8537">
      <c r="A8537" s="6" t="s">
        <v>52965</v>
      </c>
      <c r="B8537" s="6" t="s">
        <v>52966</v>
      </c>
      <c r="C8537" s="6" t="s">
        <v>7116</v>
      </c>
      <c r="D8537" s="6" t="s">
        <v>52967</v>
      </c>
      <c r="E8537" s="6" t="s">
        <v>52954</v>
      </c>
      <c r="F8537" s="6" t="s">
        <v>81</v>
      </c>
      <c r="G8537" s="6" t="s">
        <v>52968</v>
      </c>
      <c r="H8537" s="7" t="s">
        <v>31</v>
      </c>
      <c r="I8537" s="7">
        <v>3.0</v>
      </c>
      <c r="J8537" s="7">
        <v>1.0</v>
      </c>
      <c r="K8537" s="7" t="s">
        <v>31</v>
      </c>
      <c r="L8537" s="8" t="s">
        <v>31</v>
      </c>
      <c r="M8537" s="6" t="s">
        <v>52969</v>
      </c>
      <c r="N8537" s="6" t="s">
        <v>155</v>
      </c>
      <c r="O8537" s="8" t="s">
        <v>156</v>
      </c>
      <c r="P8537" s="6" t="s">
        <v>31</v>
      </c>
      <c r="Q8537" s="6" t="s">
        <v>31</v>
      </c>
      <c r="R8537" s="6" t="s">
        <v>64</v>
      </c>
      <c r="S8537" s="8" t="s">
        <v>31</v>
      </c>
      <c r="T8537" s="6" t="s">
        <v>66</v>
      </c>
      <c r="U8537" s="8" t="s">
        <v>31</v>
      </c>
      <c r="V8537" s="6" t="s">
        <v>1114</v>
      </c>
      <c r="W8537" s="6" t="s">
        <v>52970</v>
      </c>
      <c r="X8537" s="9" t="str">
        <f>HYPERLINK("https://my.pitchbook.com?p=29331-91P","View People Online")</f>
        <v>View People Online</v>
      </c>
    </row>
    <row r="8538">
      <c r="A8538" s="10" t="s">
        <v>52971</v>
      </c>
      <c r="B8538" s="10" t="s">
        <v>52972</v>
      </c>
      <c r="C8538" s="10" t="s">
        <v>7267</v>
      </c>
      <c r="D8538" s="10" t="s">
        <v>5978</v>
      </c>
      <c r="E8538" s="10" t="s">
        <v>52954</v>
      </c>
      <c r="F8538" s="10" t="s">
        <v>81</v>
      </c>
      <c r="G8538" s="10" t="s">
        <v>52973</v>
      </c>
      <c r="H8538" s="11" t="s">
        <v>31</v>
      </c>
      <c r="I8538" s="11">
        <v>12.0</v>
      </c>
      <c r="J8538" s="11">
        <v>2.0</v>
      </c>
      <c r="K8538" s="11">
        <v>8.0</v>
      </c>
      <c r="L8538" s="12" t="s">
        <v>52974</v>
      </c>
      <c r="M8538" s="10" t="s">
        <v>52975</v>
      </c>
      <c r="N8538" s="10" t="s">
        <v>52976</v>
      </c>
      <c r="O8538" s="12" t="s">
        <v>52977</v>
      </c>
      <c r="P8538" s="10" t="s">
        <v>52978</v>
      </c>
      <c r="Q8538" s="10" t="s">
        <v>31</v>
      </c>
      <c r="R8538" s="10" t="s">
        <v>7335</v>
      </c>
      <c r="S8538" s="12" t="s">
        <v>52979</v>
      </c>
      <c r="T8538" s="10" t="s">
        <v>5484</v>
      </c>
      <c r="U8538" s="12" t="s">
        <v>31</v>
      </c>
      <c r="V8538" s="10" t="s">
        <v>52980</v>
      </c>
      <c r="W8538" s="10" t="s">
        <v>52981</v>
      </c>
      <c r="X8538" s="13" t="str">
        <f>HYPERLINK("https://my.pitchbook.com?p=47915-74P","View People Online")</f>
        <v>View People Online</v>
      </c>
    </row>
    <row r="8539">
      <c r="A8539" s="14" t="s">
        <v>52982</v>
      </c>
      <c r="B8539" s="14" t="s">
        <v>52983</v>
      </c>
      <c r="C8539" s="14" t="s">
        <v>711</v>
      </c>
      <c r="D8539" s="14" t="s">
        <v>4550</v>
      </c>
      <c r="E8539" s="14" t="s">
        <v>52954</v>
      </c>
      <c r="F8539" s="14" t="s">
        <v>81</v>
      </c>
      <c r="G8539" s="14" t="s">
        <v>52984</v>
      </c>
      <c r="H8539" s="15" t="s">
        <v>31</v>
      </c>
      <c r="I8539" s="15">
        <v>1.0</v>
      </c>
      <c r="J8539" s="15" t="s">
        <v>31</v>
      </c>
      <c r="K8539" s="15" t="s">
        <v>31</v>
      </c>
      <c r="L8539" s="16" t="s">
        <v>52956</v>
      </c>
      <c r="M8539" s="14" t="s">
        <v>31</v>
      </c>
      <c r="N8539" s="14" t="s">
        <v>52957</v>
      </c>
      <c r="O8539" s="16" t="s">
        <v>52958</v>
      </c>
      <c r="P8539" s="14" t="s">
        <v>52959</v>
      </c>
      <c r="Q8539" s="14" t="s">
        <v>31</v>
      </c>
      <c r="R8539" s="14" t="s">
        <v>7335</v>
      </c>
      <c r="S8539" s="16" t="s">
        <v>52960</v>
      </c>
      <c r="T8539" s="14" t="s">
        <v>5484</v>
      </c>
      <c r="U8539" s="16" t="s">
        <v>31</v>
      </c>
      <c r="V8539" s="14" t="s">
        <v>81</v>
      </c>
      <c r="W8539" s="14" t="s">
        <v>52954</v>
      </c>
      <c r="X8539" s="17" t="str">
        <f>HYPERLINK("https://my.pitchbook.com?p=252864-37P","View People Online")</f>
        <v>View People Online</v>
      </c>
    </row>
    <row r="8540">
      <c r="A8540" s="10" t="s">
        <v>52985</v>
      </c>
      <c r="B8540" s="10" t="s">
        <v>52986</v>
      </c>
      <c r="C8540" s="10" t="s">
        <v>7704</v>
      </c>
      <c r="D8540" s="10" t="s">
        <v>37722</v>
      </c>
      <c r="E8540" s="10" t="s">
        <v>52954</v>
      </c>
      <c r="F8540" s="10" t="s">
        <v>81</v>
      </c>
      <c r="G8540" s="10" t="s">
        <v>52987</v>
      </c>
      <c r="H8540" s="11" t="s">
        <v>31</v>
      </c>
      <c r="I8540" s="11">
        <v>2.0</v>
      </c>
      <c r="J8540" s="11" t="s">
        <v>31</v>
      </c>
      <c r="K8540" s="11" t="s">
        <v>31</v>
      </c>
      <c r="L8540" s="12" t="s">
        <v>52956</v>
      </c>
      <c r="M8540" s="10" t="s">
        <v>31</v>
      </c>
      <c r="N8540" s="10" t="s">
        <v>52957</v>
      </c>
      <c r="O8540" s="12" t="s">
        <v>52958</v>
      </c>
      <c r="P8540" s="10" t="s">
        <v>52959</v>
      </c>
      <c r="Q8540" s="10" t="s">
        <v>31</v>
      </c>
      <c r="R8540" s="10" t="s">
        <v>7335</v>
      </c>
      <c r="S8540" s="12" t="s">
        <v>52960</v>
      </c>
      <c r="T8540" s="10" t="s">
        <v>5484</v>
      </c>
      <c r="U8540" s="12" t="s">
        <v>31</v>
      </c>
      <c r="V8540" s="10" t="s">
        <v>81</v>
      </c>
      <c r="W8540" s="10" t="s">
        <v>52954</v>
      </c>
      <c r="X8540" s="13" t="str">
        <f>HYPERLINK("https://my.pitchbook.com?p=384999-13P","View People Online")</f>
        <v>View People Online</v>
      </c>
    </row>
    <row r="8541">
      <c r="A8541" s="6" t="s">
        <v>52988</v>
      </c>
      <c r="B8541" s="6" t="s">
        <v>52989</v>
      </c>
      <c r="C8541" s="6" t="s">
        <v>69</v>
      </c>
      <c r="D8541" s="6" t="s">
        <v>18122</v>
      </c>
      <c r="E8541" s="6" t="s">
        <v>52954</v>
      </c>
      <c r="F8541" s="6" t="s">
        <v>674</v>
      </c>
      <c r="G8541" s="6" t="s">
        <v>52990</v>
      </c>
      <c r="H8541" s="7">
        <v>3.0</v>
      </c>
      <c r="I8541" s="7">
        <v>13.0</v>
      </c>
      <c r="J8541" s="7">
        <v>2.0</v>
      </c>
      <c r="K8541" s="7">
        <v>7.0</v>
      </c>
      <c r="L8541" s="8" t="s">
        <v>52956</v>
      </c>
      <c r="M8541" s="6" t="s">
        <v>52991</v>
      </c>
      <c r="N8541" s="6" t="s">
        <v>52957</v>
      </c>
      <c r="O8541" s="8" t="s">
        <v>52958</v>
      </c>
      <c r="P8541" s="6" t="s">
        <v>52959</v>
      </c>
      <c r="Q8541" s="6" t="s">
        <v>31</v>
      </c>
      <c r="R8541" s="6" t="s">
        <v>7335</v>
      </c>
      <c r="S8541" s="8" t="s">
        <v>52960</v>
      </c>
      <c r="T8541" s="6" t="s">
        <v>5484</v>
      </c>
      <c r="U8541" s="8" t="s">
        <v>31</v>
      </c>
      <c r="V8541" s="6" t="s">
        <v>674</v>
      </c>
      <c r="W8541" s="6" t="s">
        <v>52954</v>
      </c>
      <c r="X8541" s="9" t="str">
        <f>HYPERLINK("https://my.pitchbook.com?p=178958-62P","View People Online")</f>
        <v>View People Online</v>
      </c>
    </row>
    <row r="8542">
      <c r="A8542" s="10" t="s">
        <v>52992</v>
      </c>
      <c r="B8542" s="10" t="s">
        <v>52993</v>
      </c>
      <c r="C8542" s="10" t="s">
        <v>11244</v>
      </c>
      <c r="D8542" s="10" t="s">
        <v>52994</v>
      </c>
      <c r="E8542" s="10" t="s">
        <v>52954</v>
      </c>
      <c r="F8542" s="10" t="s">
        <v>221</v>
      </c>
      <c r="G8542" s="10" t="s">
        <v>52995</v>
      </c>
      <c r="H8542" s="11" t="s">
        <v>31</v>
      </c>
      <c r="I8542" s="11">
        <v>1.0</v>
      </c>
      <c r="J8542" s="11">
        <v>1.0</v>
      </c>
      <c r="K8542" s="11" t="s">
        <v>31</v>
      </c>
      <c r="L8542" s="12" t="s">
        <v>52956</v>
      </c>
      <c r="M8542" s="10" t="s">
        <v>52996</v>
      </c>
      <c r="N8542" s="10" t="s">
        <v>52957</v>
      </c>
      <c r="O8542" s="12" t="s">
        <v>52958</v>
      </c>
      <c r="P8542" s="10" t="s">
        <v>52959</v>
      </c>
      <c r="Q8542" s="10" t="s">
        <v>31</v>
      </c>
      <c r="R8542" s="10" t="s">
        <v>7335</v>
      </c>
      <c r="S8542" s="12" t="s">
        <v>52960</v>
      </c>
      <c r="T8542" s="10" t="s">
        <v>5484</v>
      </c>
      <c r="U8542" s="12" t="s">
        <v>31</v>
      </c>
      <c r="V8542" s="10" t="s">
        <v>221</v>
      </c>
      <c r="W8542" s="10" t="s">
        <v>52954</v>
      </c>
      <c r="X8542" s="13" t="str">
        <f>HYPERLINK("https://my.pitchbook.com?p=384987-97P","View People Online")</f>
        <v>View People Online</v>
      </c>
    </row>
    <row r="8543">
      <c r="A8543" s="14" t="s">
        <v>52997</v>
      </c>
      <c r="B8543" s="14" t="s">
        <v>52998</v>
      </c>
      <c r="C8543" s="14" t="s">
        <v>7693</v>
      </c>
      <c r="D8543" s="14" t="s">
        <v>52999</v>
      </c>
      <c r="E8543" s="14" t="s">
        <v>52954</v>
      </c>
      <c r="F8543" s="14" t="s">
        <v>81</v>
      </c>
      <c r="G8543" s="14" t="s">
        <v>53000</v>
      </c>
      <c r="H8543" s="15" t="s">
        <v>31</v>
      </c>
      <c r="I8543" s="15">
        <v>3.0</v>
      </c>
      <c r="J8543" s="15">
        <v>2.0</v>
      </c>
      <c r="K8543" s="15" t="s">
        <v>31</v>
      </c>
      <c r="L8543" s="16" t="s">
        <v>52974</v>
      </c>
      <c r="M8543" s="14" t="s">
        <v>53001</v>
      </c>
      <c r="N8543" s="14" t="s">
        <v>2478</v>
      </c>
      <c r="O8543" s="16" t="s">
        <v>7332</v>
      </c>
      <c r="P8543" s="14" t="s">
        <v>53002</v>
      </c>
      <c r="Q8543" s="14" t="s">
        <v>53003</v>
      </c>
      <c r="R8543" s="14" t="s">
        <v>7335</v>
      </c>
      <c r="S8543" s="16" t="s">
        <v>52979</v>
      </c>
      <c r="T8543" s="14" t="s">
        <v>5484</v>
      </c>
      <c r="U8543" s="16" t="s">
        <v>31</v>
      </c>
      <c r="V8543" s="14" t="s">
        <v>157</v>
      </c>
      <c r="W8543" s="14" t="s">
        <v>53004</v>
      </c>
      <c r="X8543" s="17" t="str">
        <f>HYPERLINK("https://my.pitchbook.com?p=289536-13P","View People Online")</f>
        <v>View People Online</v>
      </c>
    </row>
    <row r="8544">
      <c r="A8544" s="2" t="s">
        <v>53005</v>
      </c>
      <c r="B8544" s="2" t="s">
        <v>53006</v>
      </c>
      <c r="C8544" s="2" t="s">
        <v>53007</v>
      </c>
      <c r="D8544" s="2" t="s">
        <v>49831</v>
      </c>
      <c r="E8544" s="2" t="s">
        <v>52954</v>
      </c>
      <c r="F8544" s="2" t="s">
        <v>318</v>
      </c>
      <c r="G8544" s="2" t="s">
        <v>53008</v>
      </c>
      <c r="H8544" s="3" t="s">
        <v>31</v>
      </c>
      <c r="I8544" s="3">
        <v>1.0</v>
      </c>
      <c r="J8544" s="3">
        <v>1.0</v>
      </c>
      <c r="K8544" s="3" t="s">
        <v>31</v>
      </c>
      <c r="L8544" s="4" t="s">
        <v>31</v>
      </c>
      <c r="M8544" s="2" t="s">
        <v>53009</v>
      </c>
      <c r="N8544" s="2" t="s">
        <v>1170</v>
      </c>
      <c r="O8544" s="4" t="s">
        <v>1171</v>
      </c>
      <c r="P8544" s="2" t="s">
        <v>31</v>
      </c>
      <c r="Q8544" s="2" t="s">
        <v>31</v>
      </c>
      <c r="R8544" s="2" t="s">
        <v>64</v>
      </c>
      <c r="S8544" s="4" t="s">
        <v>31</v>
      </c>
      <c r="T8544" s="2" t="s">
        <v>66</v>
      </c>
      <c r="U8544" s="4" t="s">
        <v>31</v>
      </c>
      <c r="V8544" s="2" t="s">
        <v>318</v>
      </c>
      <c r="W8544" s="2" t="s">
        <v>52954</v>
      </c>
      <c r="X8544" s="5" t="str">
        <f>HYPERLINK("https://my.pitchbook.com?p=319084-21P","View People Online")</f>
        <v>View People Online</v>
      </c>
    </row>
    <row r="8545">
      <c r="A8545" s="6" t="s">
        <v>2286</v>
      </c>
      <c r="B8545" s="6" t="s">
        <v>2287</v>
      </c>
      <c r="C8545" s="6" t="s">
        <v>2288</v>
      </c>
      <c r="D8545" s="6" t="s">
        <v>2289</v>
      </c>
      <c r="E8545" s="6" t="s">
        <v>52954</v>
      </c>
      <c r="F8545" s="6" t="s">
        <v>81</v>
      </c>
      <c r="G8545" s="6" t="s">
        <v>2290</v>
      </c>
      <c r="H8545" s="7">
        <v>4.0</v>
      </c>
      <c r="I8545" s="7">
        <v>10.0</v>
      </c>
      <c r="J8545" s="7" t="s">
        <v>31</v>
      </c>
      <c r="K8545" s="7">
        <v>3.0</v>
      </c>
      <c r="L8545" s="8" t="s">
        <v>1851</v>
      </c>
      <c r="M8545" s="6" t="s">
        <v>2291</v>
      </c>
      <c r="N8545" s="6" t="s">
        <v>75</v>
      </c>
      <c r="O8545" s="8" t="s">
        <v>76</v>
      </c>
      <c r="P8545" s="6" t="s">
        <v>1853</v>
      </c>
      <c r="Q8545" s="6" t="s">
        <v>1854</v>
      </c>
      <c r="R8545" s="6" t="s">
        <v>75</v>
      </c>
      <c r="S8545" s="8" t="s">
        <v>1855</v>
      </c>
      <c r="T8545" s="6" t="s">
        <v>66</v>
      </c>
      <c r="U8545" s="8" t="s">
        <v>1856</v>
      </c>
      <c r="V8545" s="6" t="s">
        <v>2292</v>
      </c>
      <c r="W8545" s="6" t="s">
        <v>1837</v>
      </c>
      <c r="X8545" s="9" t="str">
        <f>HYPERLINK("https://my.pitchbook.com?p=50038-21P","View People Online")</f>
        <v>View People Online</v>
      </c>
    </row>
    <row r="8546">
      <c r="A8546" s="10" t="s">
        <v>53010</v>
      </c>
      <c r="B8546" s="10" t="s">
        <v>53011</v>
      </c>
      <c r="C8546" s="10" t="s">
        <v>3228</v>
      </c>
      <c r="D8546" s="10" t="s">
        <v>15536</v>
      </c>
      <c r="E8546" s="10" t="s">
        <v>52954</v>
      </c>
      <c r="F8546" s="10" t="s">
        <v>318</v>
      </c>
      <c r="G8546" s="10" t="s">
        <v>53012</v>
      </c>
      <c r="H8546" s="11" t="s">
        <v>31</v>
      </c>
      <c r="I8546" s="11">
        <v>1.0</v>
      </c>
      <c r="J8546" s="11">
        <v>1.0</v>
      </c>
      <c r="K8546" s="11" t="s">
        <v>31</v>
      </c>
      <c r="L8546" s="12" t="s">
        <v>31</v>
      </c>
      <c r="M8546" s="10" t="s">
        <v>53013</v>
      </c>
      <c r="N8546" s="10" t="s">
        <v>1170</v>
      </c>
      <c r="O8546" s="12" t="s">
        <v>1171</v>
      </c>
      <c r="P8546" s="10" t="s">
        <v>31</v>
      </c>
      <c r="Q8546" s="10" t="s">
        <v>31</v>
      </c>
      <c r="R8546" s="10" t="s">
        <v>64</v>
      </c>
      <c r="S8546" s="12" t="s">
        <v>31</v>
      </c>
      <c r="T8546" s="10" t="s">
        <v>66</v>
      </c>
      <c r="U8546" s="12" t="s">
        <v>31</v>
      </c>
      <c r="V8546" s="10" t="s">
        <v>318</v>
      </c>
      <c r="W8546" s="10" t="s">
        <v>52954</v>
      </c>
      <c r="X8546" s="13" t="str">
        <f>HYPERLINK("https://my.pitchbook.com?p=199730-44P","View People Online")</f>
        <v>View People Online</v>
      </c>
    </row>
    <row r="8547">
      <c r="A8547" s="14" t="s">
        <v>53014</v>
      </c>
      <c r="B8547" s="14" t="s">
        <v>53015</v>
      </c>
      <c r="C8547" s="14" t="s">
        <v>2388</v>
      </c>
      <c r="D8547" s="14" t="s">
        <v>25960</v>
      </c>
      <c r="E8547" s="14" t="s">
        <v>52954</v>
      </c>
      <c r="F8547" s="14" t="s">
        <v>81</v>
      </c>
      <c r="G8547" s="14" t="s">
        <v>53016</v>
      </c>
      <c r="H8547" s="15" t="s">
        <v>31</v>
      </c>
      <c r="I8547" s="15">
        <v>8.0</v>
      </c>
      <c r="J8547" s="15">
        <v>2.0</v>
      </c>
      <c r="K8547" s="15">
        <v>4.0</v>
      </c>
      <c r="L8547" s="16" t="s">
        <v>31</v>
      </c>
      <c r="M8547" s="14" t="s">
        <v>53017</v>
      </c>
      <c r="N8547" s="14" t="s">
        <v>2478</v>
      </c>
      <c r="O8547" s="16" t="s">
        <v>7332</v>
      </c>
      <c r="P8547" s="14" t="s">
        <v>53018</v>
      </c>
      <c r="Q8547" s="14" t="s">
        <v>53019</v>
      </c>
      <c r="R8547" s="14" t="s">
        <v>7335</v>
      </c>
      <c r="S8547" s="16" t="s">
        <v>7336</v>
      </c>
      <c r="T8547" s="14" t="s">
        <v>5484</v>
      </c>
      <c r="U8547" s="16" t="s">
        <v>31</v>
      </c>
      <c r="V8547" s="14" t="s">
        <v>157</v>
      </c>
      <c r="W8547" s="14" t="s">
        <v>53020</v>
      </c>
      <c r="X8547" s="17" t="str">
        <f>HYPERLINK("https://my.pitchbook.com?p=54946-45P","View People Online")</f>
        <v>View People Online</v>
      </c>
    </row>
    <row r="8548">
      <c r="A8548" s="2" t="s">
        <v>53021</v>
      </c>
      <c r="B8548" s="2" t="s">
        <v>53022</v>
      </c>
      <c r="C8548" s="2" t="s">
        <v>53023</v>
      </c>
      <c r="D8548" s="2" t="s">
        <v>53024</v>
      </c>
      <c r="E8548" s="2" t="s">
        <v>52954</v>
      </c>
      <c r="F8548" s="2" t="s">
        <v>2731</v>
      </c>
      <c r="G8548" s="2" t="s">
        <v>53025</v>
      </c>
      <c r="H8548" s="3">
        <v>2.0</v>
      </c>
      <c r="I8548" s="3">
        <v>4.0</v>
      </c>
      <c r="J8548" s="3">
        <v>1.0</v>
      </c>
      <c r="K8548" s="3" t="s">
        <v>31</v>
      </c>
      <c r="L8548" s="4" t="s">
        <v>52956</v>
      </c>
      <c r="M8548" s="2" t="s">
        <v>31</v>
      </c>
      <c r="N8548" s="2" t="s">
        <v>52957</v>
      </c>
      <c r="O8548" s="4" t="s">
        <v>52958</v>
      </c>
      <c r="P8548" s="2" t="s">
        <v>52959</v>
      </c>
      <c r="Q8548" s="2" t="s">
        <v>31</v>
      </c>
      <c r="R8548" s="2" t="s">
        <v>7335</v>
      </c>
      <c r="S8548" s="4" t="s">
        <v>52960</v>
      </c>
      <c r="T8548" s="2" t="s">
        <v>5484</v>
      </c>
      <c r="U8548" s="4" t="s">
        <v>31</v>
      </c>
      <c r="V8548" s="2" t="s">
        <v>2731</v>
      </c>
      <c r="W8548" s="2" t="s">
        <v>52954</v>
      </c>
      <c r="X8548" s="5" t="str">
        <f>HYPERLINK("https://my.pitchbook.com?p=53996-95P","View People Online")</f>
        <v>View People Online</v>
      </c>
    </row>
    <row r="8549">
      <c r="A8549" s="14" t="s">
        <v>53026</v>
      </c>
      <c r="B8549" s="14" t="s">
        <v>53027</v>
      </c>
      <c r="C8549" s="14" t="s">
        <v>9524</v>
      </c>
      <c r="D8549" s="14" t="s">
        <v>53028</v>
      </c>
      <c r="E8549" s="14" t="s">
        <v>52954</v>
      </c>
      <c r="F8549" s="14" t="s">
        <v>81</v>
      </c>
      <c r="G8549" s="14" t="s">
        <v>53029</v>
      </c>
      <c r="H8549" s="15" t="s">
        <v>31</v>
      </c>
      <c r="I8549" s="15">
        <v>1.0</v>
      </c>
      <c r="J8549" s="15" t="s">
        <v>31</v>
      </c>
      <c r="K8549" s="15" t="s">
        <v>31</v>
      </c>
      <c r="L8549" s="16" t="s">
        <v>52956</v>
      </c>
      <c r="M8549" s="14" t="s">
        <v>31</v>
      </c>
      <c r="N8549" s="14" t="s">
        <v>52957</v>
      </c>
      <c r="O8549" s="16" t="s">
        <v>52958</v>
      </c>
      <c r="P8549" s="14" t="s">
        <v>52959</v>
      </c>
      <c r="Q8549" s="14" t="s">
        <v>31</v>
      </c>
      <c r="R8549" s="14" t="s">
        <v>7335</v>
      </c>
      <c r="S8549" s="16" t="s">
        <v>52960</v>
      </c>
      <c r="T8549" s="14" t="s">
        <v>5484</v>
      </c>
      <c r="U8549" s="16" t="s">
        <v>31</v>
      </c>
      <c r="V8549" s="14" t="s">
        <v>81</v>
      </c>
      <c r="W8549" s="14" t="s">
        <v>52954</v>
      </c>
      <c r="X8549" s="17" t="str">
        <f>HYPERLINK("https://my.pitchbook.com?p=429392-26P","View People Online")</f>
        <v>View People Online</v>
      </c>
    </row>
    <row r="8550">
      <c r="A8550" s="2" t="s">
        <v>53030</v>
      </c>
      <c r="B8550" s="2" t="s">
        <v>53031</v>
      </c>
      <c r="C8550" s="2" t="s">
        <v>1703</v>
      </c>
      <c r="D8550" s="2" t="s">
        <v>53032</v>
      </c>
      <c r="E8550" s="2" t="s">
        <v>52954</v>
      </c>
      <c r="F8550" s="2" t="s">
        <v>29</v>
      </c>
      <c r="G8550" s="2" t="s">
        <v>53033</v>
      </c>
      <c r="H8550" s="3">
        <v>1.0</v>
      </c>
      <c r="I8550" s="3">
        <v>6.0</v>
      </c>
      <c r="J8550" s="3">
        <v>1.0</v>
      </c>
      <c r="K8550" s="3">
        <v>2.0</v>
      </c>
      <c r="L8550" s="4" t="s">
        <v>31</v>
      </c>
      <c r="M8550" s="2" t="s">
        <v>53034</v>
      </c>
      <c r="N8550" s="2" t="s">
        <v>1170</v>
      </c>
      <c r="O8550" s="4" t="s">
        <v>1171</v>
      </c>
      <c r="P8550" s="2" t="s">
        <v>31</v>
      </c>
      <c r="Q8550" s="2" t="s">
        <v>31</v>
      </c>
      <c r="R8550" s="2" t="s">
        <v>64</v>
      </c>
      <c r="S8550" s="4" t="s">
        <v>31</v>
      </c>
      <c r="T8550" s="2" t="s">
        <v>66</v>
      </c>
      <c r="U8550" s="4" t="s">
        <v>31</v>
      </c>
      <c r="V8550" s="2" t="s">
        <v>29</v>
      </c>
      <c r="W8550" s="2" t="s">
        <v>52954</v>
      </c>
      <c r="X8550" s="5" t="str">
        <f>HYPERLINK("https://my.pitchbook.com?p=97326-19P","View People Online")</f>
        <v>View People Online</v>
      </c>
    </row>
    <row r="8551">
      <c r="A8551" s="14" t="s">
        <v>53035</v>
      </c>
      <c r="B8551" s="14" t="s">
        <v>53036</v>
      </c>
      <c r="C8551" s="14" t="s">
        <v>180</v>
      </c>
      <c r="D8551" s="14" t="s">
        <v>53037</v>
      </c>
      <c r="E8551" s="14" t="s">
        <v>52954</v>
      </c>
      <c r="F8551" s="14" t="s">
        <v>318</v>
      </c>
      <c r="G8551" s="14" t="s">
        <v>53038</v>
      </c>
      <c r="H8551" s="15" t="s">
        <v>31</v>
      </c>
      <c r="I8551" s="15">
        <v>1.0</v>
      </c>
      <c r="J8551" s="15">
        <v>1.0</v>
      </c>
      <c r="K8551" s="15" t="s">
        <v>31</v>
      </c>
      <c r="L8551" s="16" t="s">
        <v>52956</v>
      </c>
      <c r="M8551" s="14" t="s">
        <v>53039</v>
      </c>
      <c r="N8551" s="14" t="s">
        <v>52957</v>
      </c>
      <c r="O8551" s="16" t="s">
        <v>52958</v>
      </c>
      <c r="P8551" s="14" t="s">
        <v>52959</v>
      </c>
      <c r="Q8551" s="14" t="s">
        <v>31</v>
      </c>
      <c r="R8551" s="14" t="s">
        <v>7335</v>
      </c>
      <c r="S8551" s="16" t="s">
        <v>52960</v>
      </c>
      <c r="T8551" s="14" t="s">
        <v>5484</v>
      </c>
      <c r="U8551" s="16" t="s">
        <v>31</v>
      </c>
      <c r="V8551" s="14" t="s">
        <v>318</v>
      </c>
      <c r="W8551" s="14" t="s">
        <v>52954</v>
      </c>
      <c r="X8551" s="17" t="str">
        <f>HYPERLINK("https://my.pitchbook.com?p=322677-19P","View People Online")</f>
        <v>View People Online</v>
      </c>
    </row>
    <row r="8552">
      <c r="A8552" s="10" t="s">
        <v>2449</v>
      </c>
      <c r="B8552" s="10" t="s">
        <v>2450</v>
      </c>
      <c r="C8552" s="10" t="s">
        <v>2451</v>
      </c>
      <c r="D8552" s="10" t="s">
        <v>2452</v>
      </c>
      <c r="E8552" s="10" t="s">
        <v>52954</v>
      </c>
      <c r="F8552" s="10" t="s">
        <v>81</v>
      </c>
      <c r="G8552" s="10" t="s">
        <v>2453</v>
      </c>
      <c r="H8552" s="11" t="s">
        <v>31</v>
      </c>
      <c r="I8552" s="11">
        <v>2.0</v>
      </c>
      <c r="J8552" s="11" t="s">
        <v>31</v>
      </c>
      <c r="K8552" s="11" t="s">
        <v>31</v>
      </c>
      <c r="L8552" s="12" t="s">
        <v>1851</v>
      </c>
      <c r="M8552" s="10" t="s">
        <v>31</v>
      </c>
      <c r="N8552" s="10" t="s">
        <v>75</v>
      </c>
      <c r="O8552" s="12" t="s">
        <v>76</v>
      </c>
      <c r="P8552" s="10" t="s">
        <v>1853</v>
      </c>
      <c r="Q8552" s="10" t="s">
        <v>1854</v>
      </c>
      <c r="R8552" s="10" t="s">
        <v>75</v>
      </c>
      <c r="S8552" s="12" t="s">
        <v>1855</v>
      </c>
      <c r="T8552" s="10" t="s">
        <v>66</v>
      </c>
      <c r="U8552" s="12" t="s">
        <v>1856</v>
      </c>
      <c r="V8552" s="10" t="s">
        <v>81</v>
      </c>
      <c r="W8552" s="10" t="s">
        <v>1837</v>
      </c>
      <c r="X8552" s="13" t="str">
        <f>HYPERLINK("https://my.pitchbook.com?p=118459-90P","View People Online")</f>
        <v>View People Online</v>
      </c>
    </row>
    <row r="8553">
      <c r="A8553" s="14" t="s">
        <v>53040</v>
      </c>
      <c r="B8553" s="14" t="s">
        <v>53041</v>
      </c>
      <c r="C8553" s="14" t="s">
        <v>1830</v>
      </c>
      <c r="D8553" s="14" t="s">
        <v>53042</v>
      </c>
      <c r="E8553" s="14" t="s">
        <v>52954</v>
      </c>
      <c r="F8553" s="14" t="s">
        <v>29</v>
      </c>
      <c r="G8553" s="14" t="s">
        <v>53043</v>
      </c>
      <c r="H8553" s="15" t="s">
        <v>31</v>
      </c>
      <c r="I8553" s="15">
        <v>2.0</v>
      </c>
      <c r="J8553" s="15">
        <v>1.0</v>
      </c>
      <c r="K8553" s="15">
        <v>1.0</v>
      </c>
      <c r="L8553" s="16" t="s">
        <v>52956</v>
      </c>
      <c r="M8553" s="14" t="s">
        <v>53044</v>
      </c>
      <c r="N8553" s="14" t="s">
        <v>52957</v>
      </c>
      <c r="O8553" s="16" t="s">
        <v>52958</v>
      </c>
      <c r="P8553" s="14" t="s">
        <v>52959</v>
      </c>
      <c r="Q8553" s="14" t="s">
        <v>31</v>
      </c>
      <c r="R8553" s="14" t="s">
        <v>7335</v>
      </c>
      <c r="S8553" s="16" t="s">
        <v>52960</v>
      </c>
      <c r="T8553" s="14" t="s">
        <v>5484</v>
      </c>
      <c r="U8553" s="16" t="s">
        <v>31</v>
      </c>
      <c r="V8553" s="14" t="s">
        <v>29</v>
      </c>
      <c r="W8553" s="14" t="s">
        <v>52954</v>
      </c>
      <c r="X8553" s="17" t="str">
        <f>HYPERLINK("https://my.pitchbook.com?p=289533-43P","View People Online")</f>
        <v>View People Online</v>
      </c>
    </row>
    <row r="8554">
      <c r="A8554" s="10" t="s">
        <v>53045</v>
      </c>
      <c r="B8554" s="10" t="s">
        <v>53046</v>
      </c>
      <c r="C8554" s="10" t="s">
        <v>1697</v>
      </c>
      <c r="D8554" s="10" t="s">
        <v>9008</v>
      </c>
      <c r="E8554" s="10" t="s">
        <v>52954</v>
      </c>
      <c r="F8554" s="10" t="s">
        <v>81</v>
      </c>
      <c r="G8554" s="10" t="s">
        <v>53047</v>
      </c>
      <c r="H8554" s="11">
        <v>1.0</v>
      </c>
      <c r="I8554" s="11">
        <v>5.0</v>
      </c>
      <c r="J8554" s="11" t="s">
        <v>31</v>
      </c>
      <c r="K8554" s="11">
        <v>2.0</v>
      </c>
      <c r="L8554" s="12" t="s">
        <v>53048</v>
      </c>
      <c r="M8554" s="10" t="s">
        <v>53049</v>
      </c>
      <c r="N8554" s="10" t="s">
        <v>155</v>
      </c>
      <c r="O8554" s="12" t="s">
        <v>156</v>
      </c>
      <c r="P8554" s="10" t="s">
        <v>31</v>
      </c>
      <c r="Q8554" s="10" t="s">
        <v>31</v>
      </c>
      <c r="R8554" s="10" t="s">
        <v>64</v>
      </c>
      <c r="S8554" s="12" t="s">
        <v>31</v>
      </c>
      <c r="T8554" s="10" t="s">
        <v>66</v>
      </c>
      <c r="U8554" s="12" t="s">
        <v>31</v>
      </c>
      <c r="V8554" s="10" t="s">
        <v>81</v>
      </c>
      <c r="W8554" s="10" t="s">
        <v>52954</v>
      </c>
      <c r="X8554" s="13" t="str">
        <f>HYPERLINK("https://my.pitchbook.com?p=289536-85P","View People Online")</f>
        <v>View People Online</v>
      </c>
    </row>
    <row r="8555">
      <c r="A8555" s="14" t="s">
        <v>28997</v>
      </c>
      <c r="B8555" s="14" t="s">
        <v>28998</v>
      </c>
      <c r="C8555" s="14" t="s">
        <v>1449</v>
      </c>
      <c r="D8555" s="14" t="s">
        <v>200</v>
      </c>
      <c r="E8555" s="14" t="s">
        <v>29004</v>
      </c>
      <c r="F8555" s="14" t="s">
        <v>120</v>
      </c>
      <c r="G8555" s="14" t="s">
        <v>29000</v>
      </c>
      <c r="H8555" s="15" t="s">
        <v>31</v>
      </c>
      <c r="I8555" s="15">
        <v>3.0</v>
      </c>
      <c r="J8555" s="15">
        <v>3.0</v>
      </c>
      <c r="K8555" s="15" t="s">
        <v>31</v>
      </c>
      <c r="L8555" s="16" t="s">
        <v>29001</v>
      </c>
      <c r="M8555" s="14" t="s">
        <v>29002</v>
      </c>
      <c r="N8555" s="14" t="s">
        <v>75</v>
      </c>
      <c r="O8555" s="16" t="s">
        <v>76</v>
      </c>
      <c r="P8555" s="14" t="s">
        <v>29003</v>
      </c>
      <c r="Q8555" s="14" t="s">
        <v>1955</v>
      </c>
      <c r="R8555" s="14" t="s">
        <v>75</v>
      </c>
      <c r="S8555" s="16" t="s">
        <v>28963</v>
      </c>
      <c r="T8555" s="14" t="s">
        <v>66</v>
      </c>
      <c r="U8555" s="16" t="s">
        <v>31</v>
      </c>
      <c r="V8555" s="14" t="s">
        <v>120</v>
      </c>
      <c r="W8555" s="14" t="s">
        <v>29004</v>
      </c>
      <c r="X8555" s="17" t="str">
        <f>HYPERLINK("https://my.pitchbook.com?p=76245-49P","View People Online")</f>
        <v>View People Online</v>
      </c>
    </row>
    <row r="8556">
      <c r="A8556" s="10" t="s">
        <v>53050</v>
      </c>
      <c r="B8556" s="10" t="s">
        <v>53051</v>
      </c>
      <c r="C8556" s="10" t="s">
        <v>2288</v>
      </c>
      <c r="D8556" s="10" t="s">
        <v>53052</v>
      </c>
      <c r="E8556" s="10" t="s">
        <v>29004</v>
      </c>
      <c r="F8556" s="10" t="s">
        <v>1730</v>
      </c>
      <c r="G8556" s="10" t="s">
        <v>53053</v>
      </c>
      <c r="H8556" s="11">
        <v>3.0</v>
      </c>
      <c r="I8556" s="11">
        <v>142.0</v>
      </c>
      <c r="J8556" s="11">
        <v>3.0</v>
      </c>
      <c r="K8556" s="11">
        <v>133.0</v>
      </c>
      <c r="L8556" s="12" t="s">
        <v>29001</v>
      </c>
      <c r="M8556" s="10" t="s">
        <v>53054</v>
      </c>
      <c r="N8556" s="10" t="s">
        <v>155</v>
      </c>
      <c r="O8556" s="12" t="s">
        <v>156</v>
      </c>
      <c r="P8556" s="10" t="s">
        <v>31</v>
      </c>
      <c r="Q8556" s="10" t="s">
        <v>31</v>
      </c>
      <c r="R8556" s="10" t="s">
        <v>64</v>
      </c>
      <c r="S8556" s="12" t="s">
        <v>31</v>
      </c>
      <c r="T8556" s="10" t="s">
        <v>66</v>
      </c>
      <c r="U8556" s="12" t="s">
        <v>31</v>
      </c>
      <c r="V8556" s="10" t="s">
        <v>53055</v>
      </c>
      <c r="W8556" s="10" t="s">
        <v>29004</v>
      </c>
      <c r="X8556" s="13" t="str">
        <f>HYPERLINK("https://my.pitchbook.com?p=33832-27P","View People Online")</f>
        <v>View People Online</v>
      </c>
    </row>
    <row r="8557">
      <c r="A8557" s="6" t="s">
        <v>53056</v>
      </c>
      <c r="B8557" s="6" t="s">
        <v>53057</v>
      </c>
      <c r="C8557" s="6" t="s">
        <v>126</v>
      </c>
      <c r="D8557" s="6" t="s">
        <v>14888</v>
      </c>
      <c r="E8557" s="6" t="s">
        <v>29004</v>
      </c>
      <c r="F8557" s="6" t="s">
        <v>674</v>
      </c>
      <c r="G8557" s="6" t="s">
        <v>53058</v>
      </c>
      <c r="H8557" s="7">
        <v>1.0</v>
      </c>
      <c r="I8557" s="7">
        <v>6.0</v>
      </c>
      <c r="J8557" s="7">
        <v>4.0</v>
      </c>
      <c r="K8557" s="7" t="s">
        <v>31</v>
      </c>
      <c r="L8557" s="8" t="s">
        <v>53059</v>
      </c>
      <c r="M8557" s="6" t="s">
        <v>53060</v>
      </c>
      <c r="N8557" s="6" t="s">
        <v>75</v>
      </c>
      <c r="O8557" s="8" t="s">
        <v>76</v>
      </c>
      <c r="P8557" s="6" t="s">
        <v>53061</v>
      </c>
      <c r="Q8557" s="6" t="s">
        <v>24724</v>
      </c>
      <c r="R8557" s="6" t="s">
        <v>75</v>
      </c>
      <c r="S8557" s="8" t="s">
        <v>4581</v>
      </c>
      <c r="T8557" s="6" t="s">
        <v>66</v>
      </c>
      <c r="U8557" s="8" t="s">
        <v>31</v>
      </c>
      <c r="V8557" s="6" t="s">
        <v>57</v>
      </c>
      <c r="W8557" s="6" t="s">
        <v>53062</v>
      </c>
      <c r="X8557" s="9" t="str">
        <f>HYPERLINK("https://my.pitchbook.com?p=204315-13P","View People Online")</f>
        <v>View People Online</v>
      </c>
    </row>
    <row r="8558">
      <c r="A8558" s="2" t="s">
        <v>53063</v>
      </c>
      <c r="B8558" s="2" t="s">
        <v>53064</v>
      </c>
      <c r="C8558" s="2" t="s">
        <v>1672</v>
      </c>
      <c r="D8558" s="2" t="s">
        <v>5140</v>
      </c>
      <c r="E8558" s="2" t="s">
        <v>29004</v>
      </c>
      <c r="F8558" s="2" t="s">
        <v>30133</v>
      </c>
      <c r="G8558" s="2" t="s">
        <v>53065</v>
      </c>
      <c r="H8558" s="3">
        <v>16.0</v>
      </c>
      <c r="I8558" s="3">
        <v>228.0</v>
      </c>
      <c r="J8558" s="3">
        <v>8.0</v>
      </c>
      <c r="K8558" s="3">
        <v>195.0</v>
      </c>
      <c r="L8558" s="4" t="s">
        <v>53066</v>
      </c>
      <c r="M8558" s="2" t="s">
        <v>31</v>
      </c>
      <c r="N8558" s="2" t="s">
        <v>12252</v>
      </c>
      <c r="O8558" s="4" t="s">
        <v>29152</v>
      </c>
      <c r="P8558" s="2" t="s">
        <v>53067</v>
      </c>
      <c r="Q8558" s="2" t="s">
        <v>31</v>
      </c>
      <c r="R8558" s="2" t="s">
        <v>1277</v>
      </c>
      <c r="S8558" s="4" t="s">
        <v>53068</v>
      </c>
      <c r="T8558" s="2" t="s">
        <v>66</v>
      </c>
      <c r="U8558" s="4" t="s">
        <v>31</v>
      </c>
      <c r="V8558" s="2" t="s">
        <v>31</v>
      </c>
      <c r="W8558" s="2" t="s">
        <v>53069</v>
      </c>
      <c r="X8558" s="5" t="str">
        <f>HYPERLINK("https://my.pitchbook.com?p=31710-43P","View People Online")</f>
        <v>View People Online</v>
      </c>
    </row>
    <row r="8559">
      <c r="A8559" s="14" t="s">
        <v>53070</v>
      </c>
      <c r="B8559" s="14" t="s">
        <v>53071</v>
      </c>
      <c r="C8559" s="14" t="s">
        <v>53072</v>
      </c>
      <c r="D8559" s="14" t="s">
        <v>53073</v>
      </c>
      <c r="E8559" s="14" t="s">
        <v>53074</v>
      </c>
      <c r="F8559" s="14" t="s">
        <v>81</v>
      </c>
      <c r="G8559" s="14" t="s">
        <v>53075</v>
      </c>
      <c r="H8559" s="15" t="s">
        <v>31</v>
      </c>
      <c r="I8559" s="15">
        <v>1.0</v>
      </c>
      <c r="J8559" s="15" t="s">
        <v>31</v>
      </c>
      <c r="K8559" s="15" t="s">
        <v>31</v>
      </c>
      <c r="L8559" s="16" t="s">
        <v>31</v>
      </c>
      <c r="M8559" s="14" t="s">
        <v>31</v>
      </c>
      <c r="N8559" s="14" t="s">
        <v>1181</v>
      </c>
      <c r="O8559" s="16" t="s">
        <v>1182</v>
      </c>
      <c r="P8559" s="14" t="s">
        <v>31</v>
      </c>
      <c r="Q8559" s="14" t="s">
        <v>31</v>
      </c>
      <c r="R8559" s="14" t="s">
        <v>1185</v>
      </c>
      <c r="S8559" s="16" t="s">
        <v>53076</v>
      </c>
      <c r="T8559" s="14" t="s">
        <v>66</v>
      </c>
      <c r="U8559" s="16" t="s">
        <v>31</v>
      </c>
      <c r="V8559" s="14" t="s">
        <v>81</v>
      </c>
      <c r="W8559" s="14" t="s">
        <v>53074</v>
      </c>
      <c r="X8559" s="17" t="str">
        <f>HYPERLINK("https://my.pitchbook.com?p=247829-86P","View People Online")</f>
        <v>View People Online</v>
      </c>
    </row>
    <row r="8560">
      <c r="A8560" s="10" t="s">
        <v>53077</v>
      </c>
      <c r="B8560" s="10" t="s">
        <v>53078</v>
      </c>
      <c r="C8560" s="10" t="s">
        <v>11210</v>
      </c>
      <c r="D8560" s="10" t="s">
        <v>53079</v>
      </c>
      <c r="E8560" s="10" t="s">
        <v>53074</v>
      </c>
      <c r="F8560" s="10" t="s">
        <v>674</v>
      </c>
      <c r="G8560" s="10" t="s">
        <v>53080</v>
      </c>
      <c r="H8560" s="11">
        <v>4.0</v>
      </c>
      <c r="I8560" s="11">
        <v>9.0</v>
      </c>
      <c r="J8560" s="11">
        <v>1.0</v>
      </c>
      <c r="K8560" s="11">
        <v>3.0</v>
      </c>
      <c r="L8560" s="12" t="s">
        <v>53081</v>
      </c>
      <c r="M8560" s="10" t="s">
        <v>53082</v>
      </c>
      <c r="N8560" s="10" t="s">
        <v>1181</v>
      </c>
      <c r="O8560" s="12" t="s">
        <v>1182</v>
      </c>
      <c r="P8560" s="10" t="s">
        <v>31</v>
      </c>
      <c r="Q8560" s="10" t="s">
        <v>31</v>
      </c>
      <c r="R8560" s="10" t="s">
        <v>1185</v>
      </c>
      <c r="S8560" s="12" t="s">
        <v>53076</v>
      </c>
      <c r="T8560" s="10" t="s">
        <v>66</v>
      </c>
      <c r="U8560" s="12" t="s">
        <v>31</v>
      </c>
      <c r="V8560" s="10" t="s">
        <v>674</v>
      </c>
      <c r="W8560" s="10" t="s">
        <v>53074</v>
      </c>
      <c r="X8560" s="13" t="str">
        <f>HYPERLINK("https://my.pitchbook.com?p=47955-34P","View People Online")</f>
        <v>View People Online</v>
      </c>
    </row>
    <row r="8561">
      <c r="A8561" s="14" t="s">
        <v>53083</v>
      </c>
      <c r="B8561" s="14" t="s">
        <v>53084</v>
      </c>
      <c r="C8561" s="14" t="s">
        <v>1776</v>
      </c>
      <c r="D8561" s="14" t="s">
        <v>53085</v>
      </c>
      <c r="E8561" s="14" t="s">
        <v>53074</v>
      </c>
      <c r="F8561" s="14" t="s">
        <v>12689</v>
      </c>
      <c r="G8561" s="14" t="s">
        <v>53086</v>
      </c>
      <c r="H8561" s="15">
        <v>1.0</v>
      </c>
      <c r="I8561" s="15">
        <v>5.0</v>
      </c>
      <c r="J8561" s="15">
        <v>2.0</v>
      </c>
      <c r="K8561" s="15">
        <v>1.0</v>
      </c>
      <c r="L8561" s="16" t="s">
        <v>53087</v>
      </c>
      <c r="M8561" s="14" t="s">
        <v>53088</v>
      </c>
      <c r="N8561" s="14" t="s">
        <v>1181</v>
      </c>
      <c r="O8561" s="16" t="s">
        <v>1182</v>
      </c>
      <c r="P8561" s="14" t="s">
        <v>53089</v>
      </c>
      <c r="Q8561" s="14" t="s">
        <v>1895</v>
      </c>
      <c r="R8561" s="14" t="s">
        <v>1185</v>
      </c>
      <c r="S8561" s="16" t="s">
        <v>23348</v>
      </c>
      <c r="T8561" s="14" t="s">
        <v>66</v>
      </c>
      <c r="U8561" s="16" t="s">
        <v>53090</v>
      </c>
      <c r="V8561" s="14" t="s">
        <v>470</v>
      </c>
      <c r="W8561" s="14" t="s">
        <v>53091</v>
      </c>
      <c r="X8561" s="17" t="str">
        <f>HYPERLINK("https://my.pitchbook.com?p=46798-84P","View People Online")</f>
        <v>View People Online</v>
      </c>
    </row>
    <row r="8562">
      <c r="A8562" s="2" t="s">
        <v>53092</v>
      </c>
      <c r="B8562" s="2" t="s">
        <v>53093</v>
      </c>
      <c r="C8562" s="2" t="s">
        <v>4345</v>
      </c>
      <c r="D8562" s="2" t="s">
        <v>53094</v>
      </c>
      <c r="E8562" s="2" t="s">
        <v>53074</v>
      </c>
      <c r="F8562" s="2" t="s">
        <v>12689</v>
      </c>
      <c r="G8562" s="2" t="s">
        <v>53095</v>
      </c>
      <c r="H8562" s="3">
        <v>1.0</v>
      </c>
      <c r="I8562" s="3">
        <v>2.0</v>
      </c>
      <c r="J8562" s="3">
        <v>1.0</v>
      </c>
      <c r="K8562" s="3" t="s">
        <v>31</v>
      </c>
      <c r="L8562" s="4" t="s">
        <v>53096</v>
      </c>
      <c r="M8562" s="2" t="s">
        <v>31</v>
      </c>
      <c r="N8562" s="2" t="s">
        <v>41404</v>
      </c>
      <c r="O8562" s="4" t="s">
        <v>41405</v>
      </c>
      <c r="P8562" s="2" t="s">
        <v>53097</v>
      </c>
      <c r="Q8562" s="2" t="s">
        <v>34047</v>
      </c>
      <c r="R8562" s="2" t="s">
        <v>616</v>
      </c>
      <c r="S8562" s="4" t="s">
        <v>3991</v>
      </c>
      <c r="T8562" s="2" t="s">
        <v>66</v>
      </c>
      <c r="U8562" s="4" t="s">
        <v>31</v>
      </c>
      <c r="V8562" s="2" t="s">
        <v>2379</v>
      </c>
      <c r="W8562" s="2" t="s">
        <v>53098</v>
      </c>
      <c r="X8562" s="5" t="str">
        <f>HYPERLINK("https://my.pitchbook.com?p=66203-47P","View People Online")</f>
        <v>View People Online</v>
      </c>
    </row>
    <row r="8563">
      <c r="A8563" s="6" t="s">
        <v>53099</v>
      </c>
      <c r="B8563" s="6" t="s">
        <v>53100</v>
      </c>
      <c r="C8563" s="6" t="s">
        <v>53101</v>
      </c>
      <c r="D8563" s="6" t="s">
        <v>53102</v>
      </c>
      <c r="E8563" s="6" t="s">
        <v>53074</v>
      </c>
      <c r="F8563" s="6" t="s">
        <v>201</v>
      </c>
      <c r="G8563" s="6" t="s">
        <v>53103</v>
      </c>
      <c r="H8563" s="7" t="s">
        <v>31</v>
      </c>
      <c r="I8563" s="7">
        <v>2.0</v>
      </c>
      <c r="J8563" s="7">
        <v>1.0</v>
      </c>
      <c r="K8563" s="7" t="s">
        <v>31</v>
      </c>
      <c r="L8563" s="8" t="s">
        <v>53104</v>
      </c>
      <c r="M8563" s="6" t="s">
        <v>53105</v>
      </c>
      <c r="N8563" s="6" t="s">
        <v>1181</v>
      </c>
      <c r="O8563" s="8" t="s">
        <v>1182</v>
      </c>
      <c r="P8563" s="6" t="s">
        <v>31</v>
      </c>
      <c r="Q8563" s="6" t="s">
        <v>31</v>
      </c>
      <c r="R8563" s="6" t="s">
        <v>1185</v>
      </c>
      <c r="S8563" s="8" t="s">
        <v>53076</v>
      </c>
      <c r="T8563" s="6" t="s">
        <v>66</v>
      </c>
      <c r="U8563" s="8" t="s">
        <v>31</v>
      </c>
      <c r="V8563" s="6" t="s">
        <v>41667</v>
      </c>
      <c r="W8563" s="6" t="s">
        <v>53074</v>
      </c>
      <c r="X8563" s="9" t="str">
        <f>HYPERLINK("https://my.pitchbook.com?p=206969-50P","View People Online")</f>
        <v>View People Online</v>
      </c>
    </row>
    <row r="8564">
      <c r="A8564" s="2" t="s">
        <v>53106</v>
      </c>
      <c r="B8564" s="2" t="s">
        <v>53107</v>
      </c>
      <c r="C8564" s="2" t="s">
        <v>823</v>
      </c>
      <c r="D8564" s="2" t="s">
        <v>53108</v>
      </c>
      <c r="E8564" s="2" t="s">
        <v>53074</v>
      </c>
      <c r="F8564" s="2" t="s">
        <v>12689</v>
      </c>
      <c r="G8564" s="2" t="s">
        <v>53109</v>
      </c>
      <c r="H8564" s="3">
        <v>1.0</v>
      </c>
      <c r="I8564" s="3">
        <v>3.0</v>
      </c>
      <c r="J8564" s="3">
        <v>2.0</v>
      </c>
      <c r="K8564" s="3" t="s">
        <v>31</v>
      </c>
      <c r="L8564" s="4" t="s">
        <v>53110</v>
      </c>
      <c r="M8564" s="2" t="s">
        <v>53111</v>
      </c>
      <c r="N8564" s="2" t="s">
        <v>75</v>
      </c>
      <c r="O8564" s="4" t="s">
        <v>76</v>
      </c>
      <c r="P8564" s="2" t="s">
        <v>50686</v>
      </c>
      <c r="Q8564" s="2" t="s">
        <v>31325</v>
      </c>
      <c r="R8564" s="2" t="s">
        <v>75</v>
      </c>
      <c r="S8564" s="4" t="s">
        <v>195</v>
      </c>
      <c r="T8564" s="2" t="s">
        <v>66</v>
      </c>
      <c r="U8564" s="4" t="s">
        <v>31</v>
      </c>
      <c r="V8564" s="2" t="s">
        <v>991</v>
      </c>
      <c r="W8564" s="2" t="s">
        <v>53112</v>
      </c>
      <c r="X8564" s="5" t="str">
        <f>HYPERLINK("https://my.pitchbook.com?p=40685-68P","View People Online")</f>
        <v>View People Online</v>
      </c>
    </row>
    <row r="8565">
      <c r="A8565" s="14" t="s">
        <v>53113</v>
      </c>
      <c r="B8565" s="14" t="s">
        <v>53114</v>
      </c>
      <c r="C8565" s="14" t="s">
        <v>823</v>
      </c>
      <c r="D8565" s="14" t="s">
        <v>2457</v>
      </c>
      <c r="E8565" s="14" t="s">
        <v>53074</v>
      </c>
      <c r="F8565" s="14" t="s">
        <v>12689</v>
      </c>
      <c r="G8565" s="14" t="s">
        <v>53115</v>
      </c>
      <c r="H8565" s="15">
        <v>2.0</v>
      </c>
      <c r="I8565" s="15">
        <v>4.0</v>
      </c>
      <c r="J8565" s="15">
        <v>2.0</v>
      </c>
      <c r="K8565" s="15" t="s">
        <v>31</v>
      </c>
      <c r="L8565" s="16" t="s">
        <v>31</v>
      </c>
      <c r="M8565" s="14" t="s">
        <v>31</v>
      </c>
      <c r="N8565" s="14" t="s">
        <v>1181</v>
      </c>
      <c r="O8565" s="16" t="s">
        <v>1182</v>
      </c>
      <c r="P8565" s="14" t="s">
        <v>31</v>
      </c>
      <c r="Q8565" s="14" t="s">
        <v>31</v>
      </c>
      <c r="R8565" s="14" t="s">
        <v>1185</v>
      </c>
      <c r="S8565" s="16" t="s">
        <v>53076</v>
      </c>
      <c r="T8565" s="14" t="s">
        <v>66</v>
      </c>
      <c r="U8565" s="16" t="s">
        <v>31</v>
      </c>
      <c r="V8565" s="14" t="s">
        <v>40568</v>
      </c>
      <c r="W8565" s="14" t="s">
        <v>53074</v>
      </c>
      <c r="X8565" s="17" t="str">
        <f>HYPERLINK("https://my.pitchbook.com?p=50830-66P","View People Online")</f>
        <v>View People Online</v>
      </c>
    </row>
    <row r="8566">
      <c r="A8566" s="2" t="s">
        <v>53116</v>
      </c>
      <c r="B8566" s="2" t="s">
        <v>53117</v>
      </c>
      <c r="C8566" s="2" t="s">
        <v>53118</v>
      </c>
      <c r="D8566" s="2" t="s">
        <v>53079</v>
      </c>
      <c r="E8566" s="2" t="s">
        <v>53074</v>
      </c>
      <c r="F8566" s="2" t="s">
        <v>29</v>
      </c>
      <c r="G8566" s="2" t="s">
        <v>53119</v>
      </c>
      <c r="H8566" s="3" t="s">
        <v>31</v>
      </c>
      <c r="I8566" s="3">
        <v>2.0</v>
      </c>
      <c r="J8566" s="3">
        <v>1.0</v>
      </c>
      <c r="K8566" s="3" t="s">
        <v>31</v>
      </c>
      <c r="L8566" s="4" t="s">
        <v>31</v>
      </c>
      <c r="M8566" s="2" t="s">
        <v>53120</v>
      </c>
      <c r="N8566" s="2" t="s">
        <v>1181</v>
      </c>
      <c r="O8566" s="4" t="s">
        <v>1182</v>
      </c>
      <c r="P8566" s="2" t="s">
        <v>31</v>
      </c>
      <c r="Q8566" s="2" t="s">
        <v>31</v>
      </c>
      <c r="R8566" s="2" t="s">
        <v>1185</v>
      </c>
      <c r="S8566" s="4" t="s">
        <v>53076</v>
      </c>
      <c r="T8566" s="2" t="s">
        <v>66</v>
      </c>
      <c r="U8566" s="4" t="s">
        <v>31</v>
      </c>
      <c r="V8566" s="2" t="s">
        <v>53121</v>
      </c>
      <c r="W8566" s="2" t="s">
        <v>53074</v>
      </c>
      <c r="X8566" s="5" t="str">
        <f>HYPERLINK("https://my.pitchbook.com?p=441868-24P","View People Online")</f>
        <v>View People Online</v>
      </c>
    </row>
    <row r="8567">
      <c r="A8567" s="6" t="s">
        <v>53122</v>
      </c>
      <c r="B8567" s="6" t="s">
        <v>53123</v>
      </c>
      <c r="C8567" s="6" t="s">
        <v>24966</v>
      </c>
      <c r="D8567" s="6" t="s">
        <v>53124</v>
      </c>
      <c r="E8567" s="6" t="s">
        <v>53074</v>
      </c>
      <c r="F8567" s="6" t="s">
        <v>29</v>
      </c>
      <c r="G8567" s="6" t="s">
        <v>53125</v>
      </c>
      <c r="H8567" s="7" t="s">
        <v>31</v>
      </c>
      <c r="I8567" s="7">
        <v>1.0</v>
      </c>
      <c r="J8567" s="7">
        <v>1.0</v>
      </c>
      <c r="K8567" s="7" t="s">
        <v>31</v>
      </c>
      <c r="L8567" s="8" t="s">
        <v>31</v>
      </c>
      <c r="M8567" s="6" t="s">
        <v>31</v>
      </c>
      <c r="N8567" s="6" t="s">
        <v>1181</v>
      </c>
      <c r="O8567" s="8" t="s">
        <v>1182</v>
      </c>
      <c r="P8567" s="6" t="s">
        <v>31</v>
      </c>
      <c r="Q8567" s="6" t="s">
        <v>31</v>
      </c>
      <c r="R8567" s="6" t="s">
        <v>1185</v>
      </c>
      <c r="S8567" s="8" t="s">
        <v>53076</v>
      </c>
      <c r="T8567" s="6" t="s">
        <v>66</v>
      </c>
      <c r="U8567" s="8" t="s">
        <v>31</v>
      </c>
      <c r="V8567" s="6" t="s">
        <v>29</v>
      </c>
      <c r="W8567" s="6" t="s">
        <v>53074</v>
      </c>
      <c r="X8567" s="9" t="str">
        <f>HYPERLINK("https://my.pitchbook.com?p=247827-88P","View People Online")</f>
        <v>View People Online</v>
      </c>
    </row>
    <row r="8568">
      <c r="A8568" s="10" t="s">
        <v>53126</v>
      </c>
      <c r="B8568" s="10" t="s">
        <v>53127</v>
      </c>
      <c r="C8568" s="10" t="s">
        <v>53128</v>
      </c>
      <c r="D8568" s="10" t="s">
        <v>6333</v>
      </c>
      <c r="E8568" s="10" t="s">
        <v>53074</v>
      </c>
      <c r="F8568" s="10" t="s">
        <v>12689</v>
      </c>
      <c r="G8568" s="10" t="s">
        <v>53129</v>
      </c>
      <c r="H8568" s="11" t="s">
        <v>31</v>
      </c>
      <c r="I8568" s="11">
        <v>1.0</v>
      </c>
      <c r="J8568" s="11">
        <v>1.0</v>
      </c>
      <c r="K8568" s="11" t="s">
        <v>31</v>
      </c>
      <c r="L8568" s="12" t="s">
        <v>31</v>
      </c>
      <c r="M8568" s="10" t="s">
        <v>31</v>
      </c>
      <c r="N8568" s="10" t="s">
        <v>1181</v>
      </c>
      <c r="O8568" s="12" t="s">
        <v>1182</v>
      </c>
      <c r="P8568" s="10" t="s">
        <v>31</v>
      </c>
      <c r="Q8568" s="10" t="s">
        <v>31</v>
      </c>
      <c r="R8568" s="10" t="s">
        <v>1185</v>
      </c>
      <c r="S8568" s="12" t="s">
        <v>53076</v>
      </c>
      <c r="T8568" s="10" t="s">
        <v>66</v>
      </c>
      <c r="U8568" s="12" t="s">
        <v>31</v>
      </c>
      <c r="V8568" s="10" t="s">
        <v>12689</v>
      </c>
      <c r="W8568" s="10" t="s">
        <v>53074</v>
      </c>
      <c r="X8568" s="13" t="str">
        <f>HYPERLINK("https://my.pitchbook.com?p=247792-78P","View People Online")</f>
        <v>View People Online</v>
      </c>
    </row>
    <row r="8569">
      <c r="A8569" s="14" t="s">
        <v>53130</v>
      </c>
      <c r="B8569" s="14" t="s">
        <v>53131</v>
      </c>
      <c r="C8569" s="14" t="s">
        <v>53132</v>
      </c>
      <c r="D8569" s="14" t="s">
        <v>11992</v>
      </c>
      <c r="E8569" s="14" t="s">
        <v>53074</v>
      </c>
      <c r="F8569" s="14" t="s">
        <v>270</v>
      </c>
      <c r="G8569" s="14" t="s">
        <v>53133</v>
      </c>
      <c r="H8569" s="15" t="s">
        <v>31</v>
      </c>
      <c r="I8569" s="15">
        <v>1.0</v>
      </c>
      <c r="J8569" s="15">
        <v>1.0</v>
      </c>
      <c r="K8569" s="15" t="s">
        <v>31</v>
      </c>
      <c r="L8569" s="16" t="s">
        <v>31</v>
      </c>
      <c r="M8569" s="14" t="s">
        <v>53134</v>
      </c>
      <c r="N8569" s="14" t="s">
        <v>1181</v>
      </c>
      <c r="O8569" s="16" t="s">
        <v>1182</v>
      </c>
      <c r="P8569" s="14" t="s">
        <v>31</v>
      </c>
      <c r="Q8569" s="14" t="s">
        <v>31</v>
      </c>
      <c r="R8569" s="14" t="s">
        <v>1185</v>
      </c>
      <c r="S8569" s="16" t="s">
        <v>53076</v>
      </c>
      <c r="T8569" s="14" t="s">
        <v>66</v>
      </c>
      <c r="U8569" s="16" t="s">
        <v>31</v>
      </c>
      <c r="V8569" s="14" t="s">
        <v>53135</v>
      </c>
      <c r="W8569" s="14" t="s">
        <v>53074</v>
      </c>
      <c r="X8569" s="17" t="str">
        <f>HYPERLINK("https://my.pitchbook.com?p=391279-60P","View People Online")</f>
        <v>View People Online</v>
      </c>
    </row>
    <row r="8570">
      <c r="A8570" s="2" t="s">
        <v>53136</v>
      </c>
      <c r="B8570" s="2" t="s">
        <v>53137</v>
      </c>
      <c r="C8570" s="2" t="s">
        <v>9404</v>
      </c>
      <c r="D8570" s="2" t="s">
        <v>53138</v>
      </c>
      <c r="E8570" s="2" t="s">
        <v>53074</v>
      </c>
      <c r="F8570" s="2" t="s">
        <v>29</v>
      </c>
      <c r="G8570" s="2" t="s">
        <v>53139</v>
      </c>
      <c r="H8570" s="3" t="s">
        <v>31</v>
      </c>
      <c r="I8570" s="3">
        <v>1.0</v>
      </c>
      <c r="J8570" s="3">
        <v>1.0</v>
      </c>
      <c r="K8570" s="3" t="s">
        <v>31</v>
      </c>
      <c r="L8570" s="4" t="s">
        <v>31</v>
      </c>
      <c r="M8570" s="2" t="s">
        <v>31</v>
      </c>
      <c r="N8570" s="2" t="s">
        <v>1181</v>
      </c>
      <c r="O8570" s="4" t="s">
        <v>1182</v>
      </c>
      <c r="P8570" s="2" t="s">
        <v>31</v>
      </c>
      <c r="Q8570" s="2" t="s">
        <v>31</v>
      </c>
      <c r="R8570" s="2" t="s">
        <v>1185</v>
      </c>
      <c r="S8570" s="4" t="s">
        <v>53076</v>
      </c>
      <c r="T8570" s="2" t="s">
        <v>66</v>
      </c>
      <c r="U8570" s="4" t="s">
        <v>31</v>
      </c>
      <c r="V8570" s="2" t="s">
        <v>29</v>
      </c>
      <c r="W8570" s="2" t="s">
        <v>53074</v>
      </c>
      <c r="X8570" s="5" t="str">
        <f>HYPERLINK("https://my.pitchbook.com?p=247828-24P","View People Online")</f>
        <v>View People Online</v>
      </c>
    </row>
    <row r="8571">
      <c r="A8571" s="14" t="s">
        <v>53140</v>
      </c>
      <c r="B8571" s="14" t="s">
        <v>53141</v>
      </c>
      <c r="C8571" s="14" t="s">
        <v>395</v>
      </c>
      <c r="D8571" s="14" t="s">
        <v>53142</v>
      </c>
      <c r="E8571" s="14" t="s">
        <v>53074</v>
      </c>
      <c r="F8571" s="14" t="s">
        <v>12689</v>
      </c>
      <c r="G8571" s="14" t="s">
        <v>53143</v>
      </c>
      <c r="H8571" s="15" t="s">
        <v>31</v>
      </c>
      <c r="I8571" s="15">
        <v>1.0</v>
      </c>
      <c r="J8571" s="15">
        <v>1.0</v>
      </c>
      <c r="K8571" s="15" t="s">
        <v>31</v>
      </c>
      <c r="L8571" s="16" t="s">
        <v>31</v>
      </c>
      <c r="M8571" s="14" t="s">
        <v>31</v>
      </c>
      <c r="N8571" s="14" t="s">
        <v>1181</v>
      </c>
      <c r="O8571" s="16" t="s">
        <v>1182</v>
      </c>
      <c r="P8571" s="14" t="s">
        <v>31</v>
      </c>
      <c r="Q8571" s="14" t="s">
        <v>31</v>
      </c>
      <c r="R8571" s="14" t="s">
        <v>1185</v>
      </c>
      <c r="S8571" s="16" t="s">
        <v>53076</v>
      </c>
      <c r="T8571" s="14" t="s">
        <v>66</v>
      </c>
      <c r="U8571" s="16" t="s">
        <v>31</v>
      </c>
      <c r="V8571" s="14" t="s">
        <v>40568</v>
      </c>
      <c r="W8571" s="14" t="s">
        <v>53074</v>
      </c>
      <c r="X8571" s="17" t="str">
        <f>HYPERLINK("https://my.pitchbook.com?p=174562-75P","View People Online")</f>
        <v>View People Online</v>
      </c>
    </row>
    <row r="8572">
      <c r="A8572" s="2" t="s">
        <v>53144</v>
      </c>
      <c r="B8572" s="2" t="s">
        <v>53145</v>
      </c>
      <c r="C8572" s="2" t="s">
        <v>12257</v>
      </c>
      <c r="D8572" s="2" t="s">
        <v>53146</v>
      </c>
      <c r="E8572" s="2" t="s">
        <v>53074</v>
      </c>
      <c r="F8572" s="2" t="s">
        <v>12689</v>
      </c>
      <c r="G8572" s="2" t="s">
        <v>53147</v>
      </c>
      <c r="H8572" s="3" t="s">
        <v>31</v>
      </c>
      <c r="I8572" s="3">
        <v>1.0</v>
      </c>
      <c r="J8572" s="3">
        <v>1.0</v>
      </c>
      <c r="K8572" s="3" t="s">
        <v>31</v>
      </c>
      <c r="L8572" s="4" t="s">
        <v>53148</v>
      </c>
      <c r="M8572" s="2" t="s">
        <v>31</v>
      </c>
      <c r="N8572" s="2" t="s">
        <v>1181</v>
      </c>
      <c r="O8572" s="4" t="s">
        <v>1182</v>
      </c>
      <c r="P8572" s="2" t="s">
        <v>31</v>
      </c>
      <c r="Q8572" s="2" t="s">
        <v>31</v>
      </c>
      <c r="R8572" s="2" t="s">
        <v>1185</v>
      </c>
      <c r="S8572" s="4" t="s">
        <v>53076</v>
      </c>
      <c r="T8572" s="2" t="s">
        <v>66</v>
      </c>
      <c r="U8572" s="4" t="s">
        <v>31</v>
      </c>
      <c r="V8572" s="2" t="s">
        <v>40568</v>
      </c>
      <c r="W8572" s="2" t="s">
        <v>53074</v>
      </c>
      <c r="X8572" s="5" t="str">
        <f>HYPERLINK("https://my.pitchbook.com?p=56254-96P","View People Online")</f>
        <v>View People Online</v>
      </c>
    </row>
    <row r="8573">
      <c r="A8573" s="6" t="s">
        <v>53149</v>
      </c>
      <c r="B8573" s="6" t="s">
        <v>53150</v>
      </c>
      <c r="C8573" s="6" t="s">
        <v>53151</v>
      </c>
      <c r="D8573" s="6" t="s">
        <v>53152</v>
      </c>
      <c r="E8573" s="6" t="s">
        <v>53074</v>
      </c>
      <c r="F8573" s="6" t="s">
        <v>29</v>
      </c>
      <c r="G8573" s="6" t="s">
        <v>53153</v>
      </c>
      <c r="H8573" s="7">
        <v>1.0</v>
      </c>
      <c r="I8573" s="7">
        <v>4.0</v>
      </c>
      <c r="J8573" s="7">
        <v>1.0</v>
      </c>
      <c r="K8573" s="7">
        <v>1.0</v>
      </c>
      <c r="L8573" s="8" t="s">
        <v>53081</v>
      </c>
      <c r="M8573" s="6" t="s">
        <v>53154</v>
      </c>
      <c r="N8573" s="6" t="s">
        <v>1181</v>
      </c>
      <c r="O8573" s="8" t="s">
        <v>1182</v>
      </c>
      <c r="P8573" s="6" t="s">
        <v>31</v>
      </c>
      <c r="Q8573" s="6" t="s">
        <v>31</v>
      </c>
      <c r="R8573" s="6" t="s">
        <v>1185</v>
      </c>
      <c r="S8573" s="8" t="s">
        <v>53076</v>
      </c>
      <c r="T8573" s="6" t="s">
        <v>66</v>
      </c>
      <c r="U8573" s="8" t="s">
        <v>31</v>
      </c>
      <c r="V8573" s="6" t="s">
        <v>29</v>
      </c>
      <c r="W8573" s="6" t="s">
        <v>53074</v>
      </c>
      <c r="X8573" s="9" t="str">
        <f>HYPERLINK("https://my.pitchbook.com?p=247790-71P","View People Online")</f>
        <v>View People Online</v>
      </c>
    </row>
    <row r="8574">
      <c r="A8574" s="2" t="s">
        <v>41289</v>
      </c>
      <c r="B8574" s="2" t="s">
        <v>41290</v>
      </c>
      <c r="C8574" s="2" t="s">
        <v>1066</v>
      </c>
      <c r="D8574" s="2" t="s">
        <v>41291</v>
      </c>
      <c r="E8574" s="2" t="s">
        <v>53074</v>
      </c>
      <c r="F8574" s="2" t="s">
        <v>29</v>
      </c>
      <c r="G8574" s="2" t="s">
        <v>41293</v>
      </c>
      <c r="H8574" s="3" t="s">
        <v>31</v>
      </c>
      <c r="I8574" s="3">
        <v>6.0</v>
      </c>
      <c r="J8574" s="3">
        <v>2.0</v>
      </c>
      <c r="K8574" s="3">
        <v>3.0</v>
      </c>
      <c r="L8574" s="4" t="s">
        <v>41217</v>
      </c>
      <c r="M8574" s="2" t="s">
        <v>41294</v>
      </c>
      <c r="N8574" s="2" t="s">
        <v>28269</v>
      </c>
      <c r="O8574" s="4" t="s">
        <v>28270</v>
      </c>
      <c r="P8574" s="2" t="s">
        <v>41219</v>
      </c>
      <c r="Q8574" s="2" t="s">
        <v>27524</v>
      </c>
      <c r="R8574" s="2" t="s">
        <v>10326</v>
      </c>
      <c r="S8574" s="4" t="s">
        <v>41220</v>
      </c>
      <c r="T8574" s="2" t="s">
        <v>66</v>
      </c>
      <c r="U8574" s="4" t="s">
        <v>41221</v>
      </c>
      <c r="V8574" s="2" t="s">
        <v>41295</v>
      </c>
      <c r="W8574" s="2" t="s">
        <v>41215</v>
      </c>
      <c r="X8574" s="5" t="str">
        <f>HYPERLINK("https://my.pitchbook.com?p=42755-05P","View People Online")</f>
        <v>View People Online</v>
      </c>
    </row>
    <row r="8575">
      <c r="A8575" s="14" t="s">
        <v>53155</v>
      </c>
      <c r="B8575" s="14" t="s">
        <v>53156</v>
      </c>
      <c r="C8575" s="14" t="s">
        <v>186</v>
      </c>
      <c r="D8575" s="14" t="s">
        <v>53157</v>
      </c>
      <c r="E8575" s="14" t="s">
        <v>53158</v>
      </c>
      <c r="F8575" s="14" t="s">
        <v>81</v>
      </c>
      <c r="G8575" s="14" t="s">
        <v>53159</v>
      </c>
      <c r="H8575" s="15" t="s">
        <v>31</v>
      </c>
      <c r="I8575" s="15">
        <v>10.0</v>
      </c>
      <c r="J8575" s="15">
        <v>3.0</v>
      </c>
      <c r="K8575" s="15">
        <v>1.0</v>
      </c>
      <c r="L8575" s="16" t="s">
        <v>53160</v>
      </c>
      <c r="M8575" s="14" t="s">
        <v>31</v>
      </c>
      <c r="N8575" s="14" t="s">
        <v>1181</v>
      </c>
      <c r="O8575" s="16" t="s">
        <v>1182</v>
      </c>
      <c r="P8575" s="14" t="s">
        <v>53161</v>
      </c>
      <c r="Q8575" s="14" t="s">
        <v>989</v>
      </c>
      <c r="R8575" s="14" t="s">
        <v>1185</v>
      </c>
      <c r="S8575" s="16" t="s">
        <v>10902</v>
      </c>
      <c r="T8575" s="14" t="s">
        <v>66</v>
      </c>
      <c r="U8575" s="16" t="s">
        <v>53162</v>
      </c>
      <c r="V8575" s="14" t="s">
        <v>53163</v>
      </c>
      <c r="W8575" s="14" t="s">
        <v>53164</v>
      </c>
      <c r="X8575" s="17" t="str">
        <f>HYPERLINK("https://my.pitchbook.com?p=42049-90P","View People Online")</f>
        <v>View People Online</v>
      </c>
    </row>
    <row r="8576">
      <c r="A8576" s="10" t="s">
        <v>53165</v>
      </c>
      <c r="B8576" s="10" t="s">
        <v>53166</v>
      </c>
      <c r="C8576" s="10" t="s">
        <v>53167</v>
      </c>
      <c r="D8576" s="10" t="s">
        <v>53168</v>
      </c>
      <c r="E8576" s="10" t="s">
        <v>53158</v>
      </c>
      <c r="F8576" s="10" t="s">
        <v>81</v>
      </c>
      <c r="G8576" s="10" t="s">
        <v>53169</v>
      </c>
      <c r="H8576" s="11">
        <v>1.0</v>
      </c>
      <c r="I8576" s="11">
        <v>5.0</v>
      </c>
      <c r="J8576" s="11">
        <v>1.0</v>
      </c>
      <c r="K8576" s="11">
        <v>1.0</v>
      </c>
      <c r="L8576" s="12" t="s">
        <v>53170</v>
      </c>
      <c r="M8576" s="10" t="s">
        <v>53171</v>
      </c>
      <c r="N8576" s="10" t="s">
        <v>155</v>
      </c>
      <c r="O8576" s="12" t="s">
        <v>156</v>
      </c>
      <c r="P8576" s="10" t="s">
        <v>53172</v>
      </c>
      <c r="Q8576" s="10" t="s">
        <v>31</v>
      </c>
      <c r="R8576" s="10" t="s">
        <v>64</v>
      </c>
      <c r="S8576" s="12" t="s">
        <v>7810</v>
      </c>
      <c r="T8576" s="10" t="s">
        <v>66</v>
      </c>
      <c r="U8576" s="12" t="s">
        <v>31</v>
      </c>
      <c r="V8576" s="10" t="s">
        <v>2127</v>
      </c>
      <c r="W8576" s="10" t="s">
        <v>53173</v>
      </c>
      <c r="X8576" s="13" t="str">
        <f>HYPERLINK("https://my.pitchbook.com?p=38480-05P","View People Online")</f>
        <v>View People Online</v>
      </c>
    </row>
    <row r="8577">
      <c r="A8577" s="6" t="s">
        <v>53174</v>
      </c>
      <c r="B8577" s="6" t="s">
        <v>53175</v>
      </c>
      <c r="C8577" s="6" t="s">
        <v>10805</v>
      </c>
      <c r="D8577" s="6" t="s">
        <v>53176</v>
      </c>
      <c r="E8577" s="6" t="s">
        <v>53158</v>
      </c>
      <c r="F8577" s="6" t="s">
        <v>81</v>
      </c>
      <c r="G8577" s="6" t="s">
        <v>53177</v>
      </c>
      <c r="H8577" s="7" t="s">
        <v>31</v>
      </c>
      <c r="I8577" s="7">
        <v>1.0</v>
      </c>
      <c r="J8577" s="7" t="s">
        <v>31</v>
      </c>
      <c r="K8577" s="7" t="s">
        <v>31</v>
      </c>
      <c r="L8577" s="8" t="s">
        <v>53178</v>
      </c>
      <c r="M8577" s="6" t="s">
        <v>31</v>
      </c>
      <c r="N8577" s="6" t="s">
        <v>1181</v>
      </c>
      <c r="O8577" s="8" t="s">
        <v>1182</v>
      </c>
      <c r="P8577" s="6" t="s">
        <v>1183</v>
      </c>
      <c r="Q8577" s="6" t="s">
        <v>31</v>
      </c>
      <c r="R8577" s="6" t="s">
        <v>1185</v>
      </c>
      <c r="S8577" s="8" t="s">
        <v>1186</v>
      </c>
      <c r="T8577" s="6" t="s">
        <v>66</v>
      </c>
      <c r="U8577" s="8" t="s">
        <v>31</v>
      </c>
      <c r="V8577" s="6" t="s">
        <v>81</v>
      </c>
      <c r="W8577" s="6" t="s">
        <v>53158</v>
      </c>
      <c r="X8577" s="9" t="str">
        <f>HYPERLINK("https://my.pitchbook.com?p=112433-32P","View People Online")</f>
        <v>View People Online</v>
      </c>
    </row>
    <row r="8578">
      <c r="A8578" s="2" t="s">
        <v>53179</v>
      </c>
      <c r="B8578" s="2" t="s">
        <v>53180</v>
      </c>
      <c r="C8578" s="2" t="s">
        <v>54</v>
      </c>
      <c r="D8578" s="2" t="s">
        <v>53181</v>
      </c>
      <c r="E8578" s="2" t="s">
        <v>53158</v>
      </c>
      <c r="F8578" s="2" t="s">
        <v>81</v>
      </c>
      <c r="G8578" s="2" t="s">
        <v>53182</v>
      </c>
      <c r="H8578" s="3">
        <v>1.0</v>
      </c>
      <c r="I8578" s="3">
        <v>2.0</v>
      </c>
      <c r="J8578" s="3" t="s">
        <v>31</v>
      </c>
      <c r="K8578" s="3" t="s">
        <v>31</v>
      </c>
      <c r="L8578" s="4" t="s">
        <v>53183</v>
      </c>
      <c r="M8578" s="2" t="s">
        <v>53184</v>
      </c>
      <c r="N8578" s="2" t="s">
        <v>1181</v>
      </c>
      <c r="O8578" s="4" t="s">
        <v>1182</v>
      </c>
      <c r="P8578" s="2" t="s">
        <v>47072</v>
      </c>
      <c r="Q8578" s="2" t="s">
        <v>7094</v>
      </c>
      <c r="R8578" s="2" t="s">
        <v>1185</v>
      </c>
      <c r="S8578" s="4" t="s">
        <v>6739</v>
      </c>
      <c r="T8578" s="2" t="s">
        <v>66</v>
      </c>
      <c r="U8578" s="4" t="s">
        <v>31</v>
      </c>
      <c r="V8578" s="2" t="s">
        <v>53185</v>
      </c>
      <c r="W8578" s="2" t="s">
        <v>53186</v>
      </c>
      <c r="X8578" s="5" t="str">
        <f>HYPERLINK("https://my.pitchbook.com?p=94248-46P","View People Online")</f>
        <v>View People Online</v>
      </c>
    </row>
    <row r="8579">
      <c r="A8579" s="6" t="s">
        <v>53187</v>
      </c>
      <c r="B8579" s="6" t="s">
        <v>53188</v>
      </c>
      <c r="C8579" s="6" t="s">
        <v>24222</v>
      </c>
      <c r="D8579" s="6" t="s">
        <v>7698</v>
      </c>
      <c r="E8579" s="6" t="s">
        <v>53158</v>
      </c>
      <c r="F8579" s="6" t="s">
        <v>81</v>
      </c>
      <c r="G8579" s="6" t="s">
        <v>53189</v>
      </c>
      <c r="H8579" s="7" t="s">
        <v>31</v>
      </c>
      <c r="I8579" s="7">
        <v>1.0</v>
      </c>
      <c r="J8579" s="7" t="s">
        <v>31</v>
      </c>
      <c r="K8579" s="7" t="s">
        <v>31</v>
      </c>
      <c r="L8579" s="8" t="s">
        <v>53178</v>
      </c>
      <c r="M8579" s="6" t="s">
        <v>31</v>
      </c>
      <c r="N8579" s="6" t="s">
        <v>1181</v>
      </c>
      <c r="O8579" s="8" t="s">
        <v>1182</v>
      </c>
      <c r="P8579" s="6" t="s">
        <v>1183</v>
      </c>
      <c r="Q8579" s="6" t="s">
        <v>31</v>
      </c>
      <c r="R8579" s="6" t="s">
        <v>1185</v>
      </c>
      <c r="S8579" s="8" t="s">
        <v>1186</v>
      </c>
      <c r="T8579" s="6" t="s">
        <v>66</v>
      </c>
      <c r="U8579" s="8" t="s">
        <v>31</v>
      </c>
      <c r="V8579" s="6" t="s">
        <v>81</v>
      </c>
      <c r="W8579" s="6" t="s">
        <v>53158</v>
      </c>
      <c r="X8579" s="9" t="str">
        <f>HYPERLINK("https://my.pitchbook.com?p=54357-04P","View People Online")</f>
        <v>View People Online</v>
      </c>
    </row>
    <row r="8580">
      <c r="A8580" s="2" t="s">
        <v>53190</v>
      </c>
      <c r="B8580" s="2" t="s">
        <v>53191</v>
      </c>
      <c r="C8580" s="2" t="s">
        <v>53192</v>
      </c>
      <c r="D8580" s="2" t="s">
        <v>53193</v>
      </c>
      <c r="E8580" s="2" t="s">
        <v>53158</v>
      </c>
      <c r="F8580" s="2" t="s">
        <v>318</v>
      </c>
      <c r="G8580" s="2" t="s">
        <v>53194</v>
      </c>
      <c r="H8580" s="3" t="s">
        <v>31</v>
      </c>
      <c r="I8580" s="3">
        <v>1.0</v>
      </c>
      <c r="J8580" s="3">
        <v>1.0</v>
      </c>
      <c r="K8580" s="3" t="s">
        <v>31</v>
      </c>
      <c r="L8580" s="4" t="s">
        <v>53178</v>
      </c>
      <c r="M8580" s="2" t="s">
        <v>53195</v>
      </c>
      <c r="N8580" s="2" t="s">
        <v>1181</v>
      </c>
      <c r="O8580" s="4" t="s">
        <v>1182</v>
      </c>
      <c r="P8580" s="2" t="s">
        <v>1183</v>
      </c>
      <c r="Q8580" s="2" t="s">
        <v>31</v>
      </c>
      <c r="R8580" s="2" t="s">
        <v>1185</v>
      </c>
      <c r="S8580" s="4" t="s">
        <v>1186</v>
      </c>
      <c r="T8580" s="2" t="s">
        <v>66</v>
      </c>
      <c r="U8580" s="4" t="s">
        <v>31</v>
      </c>
      <c r="V8580" s="2" t="s">
        <v>53196</v>
      </c>
      <c r="W8580" s="2" t="s">
        <v>53158</v>
      </c>
      <c r="X8580" s="5" t="str">
        <f>HYPERLINK("https://my.pitchbook.com?p=229080-25P","View People Online")</f>
        <v>View People Online</v>
      </c>
    </row>
    <row r="8581">
      <c r="A8581" s="14" t="s">
        <v>53197</v>
      </c>
      <c r="B8581" s="14" t="s">
        <v>53198</v>
      </c>
      <c r="C8581" s="14" t="s">
        <v>69</v>
      </c>
      <c r="D8581" s="14" t="s">
        <v>7731</v>
      </c>
      <c r="E8581" s="14" t="s">
        <v>53158</v>
      </c>
      <c r="F8581" s="14" t="s">
        <v>81</v>
      </c>
      <c r="G8581" s="14" t="s">
        <v>53199</v>
      </c>
      <c r="H8581" s="15" t="s">
        <v>31</v>
      </c>
      <c r="I8581" s="15">
        <v>2.0</v>
      </c>
      <c r="J8581" s="15">
        <v>1.0</v>
      </c>
      <c r="K8581" s="15" t="s">
        <v>31</v>
      </c>
      <c r="L8581" s="16" t="s">
        <v>53200</v>
      </c>
      <c r="M8581" s="14" t="s">
        <v>53201</v>
      </c>
      <c r="N8581" s="14" t="s">
        <v>6669</v>
      </c>
      <c r="O8581" s="16" t="s">
        <v>48036</v>
      </c>
      <c r="P8581" s="14" t="s">
        <v>53202</v>
      </c>
      <c r="Q8581" s="14" t="s">
        <v>53203</v>
      </c>
      <c r="R8581" s="14" t="s">
        <v>247</v>
      </c>
      <c r="S8581" s="16" t="s">
        <v>53204</v>
      </c>
      <c r="T8581" s="14" t="s">
        <v>249</v>
      </c>
      <c r="U8581" s="16" t="s">
        <v>31</v>
      </c>
      <c r="V8581" s="14" t="s">
        <v>991</v>
      </c>
      <c r="W8581" s="14" t="s">
        <v>53205</v>
      </c>
      <c r="X8581" s="17" t="str">
        <f>HYPERLINK("https://my.pitchbook.com?p=133182-55P","View People Online")</f>
        <v>View People Online</v>
      </c>
    </row>
    <row r="8582">
      <c r="A8582" s="2" t="s">
        <v>53206</v>
      </c>
      <c r="B8582" s="2" t="s">
        <v>53207</v>
      </c>
      <c r="C8582" s="2" t="s">
        <v>1323</v>
      </c>
      <c r="D8582" s="2" t="s">
        <v>53208</v>
      </c>
      <c r="E8582" s="2" t="s">
        <v>53158</v>
      </c>
      <c r="F8582" s="2" t="s">
        <v>81</v>
      </c>
      <c r="G8582" s="2" t="s">
        <v>53209</v>
      </c>
      <c r="H8582" s="3" t="s">
        <v>31</v>
      </c>
      <c r="I8582" s="3">
        <v>1.0</v>
      </c>
      <c r="J8582" s="3" t="s">
        <v>31</v>
      </c>
      <c r="K8582" s="3" t="s">
        <v>31</v>
      </c>
      <c r="L8582" s="4" t="s">
        <v>53178</v>
      </c>
      <c r="M8582" s="2" t="s">
        <v>31</v>
      </c>
      <c r="N8582" s="2" t="s">
        <v>1181</v>
      </c>
      <c r="O8582" s="4" t="s">
        <v>1182</v>
      </c>
      <c r="P8582" s="2" t="s">
        <v>1183</v>
      </c>
      <c r="Q8582" s="2" t="s">
        <v>31</v>
      </c>
      <c r="R8582" s="2" t="s">
        <v>1185</v>
      </c>
      <c r="S8582" s="4" t="s">
        <v>1186</v>
      </c>
      <c r="T8582" s="2" t="s">
        <v>66</v>
      </c>
      <c r="U8582" s="4" t="s">
        <v>31</v>
      </c>
      <c r="V8582" s="2" t="s">
        <v>2379</v>
      </c>
      <c r="W8582" s="2" t="s">
        <v>53210</v>
      </c>
      <c r="X8582" s="5" t="str">
        <f>HYPERLINK("https://my.pitchbook.com?p=110314-45P","View People Online")</f>
        <v>View People Online</v>
      </c>
    </row>
    <row r="8583">
      <c r="A8583" s="6" t="s">
        <v>53211</v>
      </c>
      <c r="B8583" s="6" t="s">
        <v>53212</v>
      </c>
      <c r="C8583" s="6" t="s">
        <v>3521</v>
      </c>
      <c r="D8583" s="6" t="s">
        <v>53213</v>
      </c>
      <c r="E8583" s="6" t="s">
        <v>53158</v>
      </c>
      <c r="F8583" s="6" t="s">
        <v>81</v>
      </c>
      <c r="G8583" s="6" t="s">
        <v>53214</v>
      </c>
      <c r="H8583" s="7" t="s">
        <v>31</v>
      </c>
      <c r="I8583" s="7">
        <v>2.0</v>
      </c>
      <c r="J8583" s="7">
        <v>1.0</v>
      </c>
      <c r="K8583" s="7" t="s">
        <v>31</v>
      </c>
      <c r="L8583" s="8" t="s">
        <v>53215</v>
      </c>
      <c r="M8583" s="6" t="s">
        <v>53216</v>
      </c>
      <c r="N8583" s="6" t="s">
        <v>1181</v>
      </c>
      <c r="O8583" s="8" t="s">
        <v>1182</v>
      </c>
      <c r="P8583" s="6" t="s">
        <v>53217</v>
      </c>
      <c r="Q8583" s="6" t="s">
        <v>31</v>
      </c>
      <c r="R8583" s="6" t="s">
        <v>1185</v>
      </c>
      <c r="S8583" s="8" t="s">
        <v>53218</v>
      </c>
      <c r="T8583" s="6" t="s">
        <v>66</v>
      </c>
      <c r="U8583" s="8" t="s">
        <v>31</v>
      </c>
      <c r="V8583" s="6" t="s">
        <v>991</v>
      </c>
      <c r="W8583" s="6" t="s">
        <v>53219</v>
      </c>
      <c r="X8583" s="9" t="str">
        <f>HYPERLINK("https://my.pitchbook.com?p=206267-05P","View People Online")</f>
        <v>View People Online</v>
      </c>
    </row>
    <row r="8584">
      <c r="A8584" s="10" t="s">
        <v>53220</v>
      </c>
      <c r="B8584" s="10" t="s">
        <v>53221</v>
      </c>
      <c r="C8584" s="10" t="s">
        <v>11437</v>
      </c>
      <c r="D8584" s="10" t="s">
        <v>18954</v>
      </c>
      <c r="E8584" s="10" t="s">
        <v>53158</v>
      </c>
      <c r="F8584" s="10" t="s">
        <v>81</v>
      </c>
      <c r="G8584" s="10" t="s">
        <v>53222</v>
      </c>
      <c r="H8584" s="11" t="s">
        <v>31</v>
      </c>
      <c r="I8584" s="11">
        <v>1.0</v>
      </c>
      <c r="J8584" s="11" t="s">
        <v>31</v>
      </c>
      <c r="K8584" s="11" t="s">
        <v>31</v>
      </c>
      <c r="L8584" s="12" t="s">
        <v>53178</v>
      </c>
      <c r="M8584" s="10" t="s">
        <v>53223</v>
      </c>
      <c r="N8584" s="10" t="s">
        <v>1181</v>
      </c>
      <c r="O8584" s="12" t="s">
        <v>1182</v>
      </c>
      <c r="P8584" s="10" t="s">
        <v>1183</v>
      </c>
      <c r="Q8584" s="10" t="s">
        <v>31</v>
      </c>
      <c r="R8584" s="10" t="s">
        <v>1185</v>
      </c>
      <c r="S8584" s="12" t="s">
        <v>1186</v>
      </c>
      <c r="T8584" s="10" t="s">
        <v>66</v>
      </c>
      <c r="U8584" s="12" t="s">
        <v>31</v>
      </c>
      <c r="V8584" s="10" t="s">
        <v>5619</v>
      </c>
      <c r="W8584" s="10" t="s">
        <v>53158</v>
      </c>
      <c r="X8584" s="13" t="str">
        <f>HYPERLINK("https://my.pitchbook.com?p=220985-29P","View People Online")</f>
        <v>View People Online</v>
      </c>
    </row>
    <row r="8585">
      <c r="A8585" s="6" t="s">
        <v>53224</v>
      </c>
      <c r="B8585" s="6" t="s">
        <v>53225</v>
      </c>
      <c r="C8585" s="6" t="s">
        <v>3529</v>
      </c>
      <c r="D8585" s="6" t="s">
        <v>53226</v>
      </c>
      <c r="E8585" s="6" t="s">
        <v>53158</v>
      </c>
      <c r="F8585" s="6" t="s">
        <v>81</v>
      </c>
      <c r="G8585" s="6" t="s">
        <v>53227</v>
      </c>
      <c r="H8585" s="7">
        <v>1.0</v>
      </c>
      <c r="I8585" s="7">
        <v>2.0</v>
      </c>
      <c r="J8585" s="7">
        <v>1.0</v>
      </c>
      <c r="K8585" s="7" t="s">
        <v>31</v>
      </c>
      <c r="L8585" s="8" t="s">
        <v>53228</v>
      </c>
      <c r="M8585" s="6" t="s">
        <v>53229</v>
      </c>
      <c r="N8585" s="6" t="s">
        <v>53230</v>
      </c>
      <c r="O8585" s="8" t="s">
        <v>53231</v>
      </c>
      <c r="P8585" s="6" t="s">
        <v>53232</v>
      </c>
      <c r="Q8585" s="6" t="s">
        <v>53233</v>
      </c>
      <c r="R8585" s="6" t="s">
        <v>1185</v>
      </c>
      <c r="S8585" s="8" t="s">
        <v>53234</v>
      </c>
      <c r="T8585" s="6" t="s">
        <v>66</v>
      </c>
      <c r="U8585" s="8" t="s">
        <v>53235</v>
      </c>
      <c r="V8585" s="6" t="s">
        <v>1384</v>
      </c>
      <c r="W8585" s="6" t="s">
        <v>53236</v>
      </c>
      <c r="X8585" s="9" t="str">
        <f>HYPERLINK("https://my.pitchbook.com?p=66432-88P","View People Online")</f>
        <v>View People Online</v>
      </c>
    </row>
    <row r="8586">
      <c r="A8586" s="2" t="s">
        <v>53237</v>
      </c>
      <c r="B8586" s="2" t="s">
        <v>53238</v>
      </c>
      <c r="C8586" s="2" t="s">
        <v>1343</v>
      </c>
      <c r="D8586" s="2" t="s">
        <v>53239</v>
      </c>
      <c r="E8586" s="2" t="s">
        <v>53158</v>
      </c>
      <c r="F8586" s="2" t="s">
        <v>29</v>
      </c>
      <c r="G8586" s="2" t="s">
        <v>53240</v>
      </c>
      <c r="H8586" s="3">
        <v>2.0</v>
      </c>
      <c r="I8586" s="3">
        <v>3.0</v>
      </c>
      <c r="J8586" s="3">
        <v>1.0</v>
      </c>
      <c r="K8586" s="3" t="s">
        <v>31</v>
      </c>
      <c r="L8586" s="4" t="s">
        <v>53178</v>
      </c>
      <c r="M8586" s="2" t="s">
        <v>53241</v>
      </c>
      <c r="N8586" s="2" t="s">
        <v>1181</v>
      </c>
      <c r="O8586" s="4" t="s">
        <v>1182</v>
      </c>
      <c r="P8586" s="2" t="s">
        <v>1183</v>
      </c>
      <c r="Q8586" s="2" t="s">
        <v>31</v>
      </c>
      <c r="R8586" s="2" t="s">
        <v>1185</v>
      </c>
      <c r="S8586" s="4" t="s">
        <v>1186</v>
      </c>
      <c r="T8586" s="2" t="s">
        <v>66</v>
      </c>
      <c r="U8586" s="4" t="s">
        <v>31</v>
      </c>
      <c r="V8586" s="2" t="s">
        <v>29</v>
      </c>
      <c r="W8586" s="2" t="s">
        <v>53158</v>
      </c>
      <c r="X8586" s="5" t="str">
        <f>HYPERLINK("https://my.pitchbook.com?p=166847-77P","View People Online")</f>
        <v>View People Online</v>
      </c>
    </row>
    <row r="8587">
      <c r="A8587" s="14" t="s">
        <v>53242</v>
      </c>
      <c r="B8587" s="14" t="s">
        <v>53243</v>
      </c>
      <c r="C8587" s="14" t="s">
        <v>1356</v>
      </c>
      <c r="D8587" s="14" t="s">
        <v>53244</v>
      </c>
      <c r="E8587" s="14" t="s">
        <v>53158</v>
      </c>
      <c r="F8587" s="14" t="s">
        <v>81</v>
      </c>
      <c r="G8587" s="14" t="s">
        <v>53245</v>
      </c>
      <c r="H8587" s="15">
        <v>1.0</v>
      </c>
      <c r="I8587" s="15">
        <v>7.0</v>
      </c>
      <c r="J8587" s="15">
        <v>1.0</v>
      </c>
      <c r="K8587" s="15">
        <v>3.0</v>
      </c>
      <c r="L8587" s="16" t="s">
        <v>53246</v>
      </c>
      <c r="M8587" s="14" t="s">
        <v>53247</v>
      </c>
      <c r="N8587" s="14" t="s">
        <v>1181</v>
      </c>
      <c r="O8587" s="16" t="s">
        <v>1182</v>
      </c>
      <c r="P8587" s="14" t="s">
        <v>53248</v>
      </c>
      <c r="Q8587" s="14" t="s">
        <v>53249</v>
      </c>
      <c r="R8587" s="14" t="s">
        <v>1185</v>
      </c>
      <c r="S8587" s="16" t="s">
        <v>10902</v>
      </c>
      <c r="T8587" s="14" t="s">
        <v>66</v>
      </c>
      <c r="U8587" s="16" t="s">
        <v>31</v>
      </c>
      <c r="V8587" s="14" t="s">
        <v>28509</v>
      </c>
      <c r="W8587" s="14" t="s">
        <v>53250</v>
      </c>
      <c r="X8587" s="17" t="str">
        <f>HYPERLINK("https://my.pitchbook.com?p=38637-01P","View People Online")</f>
        <v>View People Online</v>
      </c>
    </row>
    <row r="8588">
      <c r="A8588" s="2" t="s">
        <v>53251</v>
      </c>
      <c r="B8588" s="2" t="s">
        <v>53252</v>
      </c>
      <c r="C8588" s="2" t="s">
        <v>3052</v>
      </c>
      <c r="D8588" s="2" t="s">
        <v>37722</v>
      </c>
      <c r="E8588" s="2" t="s">
        <v>53158</v>
      </c>
      <c r="F8588" s="2" t="s">
        <v>114</v>
      </c>
      <c r="G8588" s="2" t="s">
        <v>53253</v>
      </c>
      <c r="H8588" s="3" t="s">
        <v>31</v>
      </c>
      <c r="I8588" s="3">
        <v>7.0</v>
      </c>
      <c r="J8588" s="3">
        <v>3.0</v>
      </c>
      <c r="K8588" s="3">
        <v>2.0</v>
      </c>
      <c r="L8588" s="4" t="s">
        <v>31</v>
      </c>
      <c r="M8588" s="2" t="s">
        <v>53254</v>
      </c>
      <c r="N8588" s="2" t="s">
        <v>1170</v>
      </c>
      <c r="O8588" s="4" t="s">
        <v>1171</v>
      </c>
      <c r="P8588" s="2" t="s">
        <v>31</v>
      </c>
      <c r="Q8588" s="2" t="s">
        <v>31</v>
      </c>
      <c r="R8588" s="2" t="s">
        <v>64</v>
      </c>
      <c r="S8588" s="4" t="s">
        <v>31</v>
      </c>
      <c r="T8588" s="2" t="s">
        <v>66</v>
      </c>
      <c r="U8588" s="4" t="s">
        <v>31</v>
      </c>
      <c r="V8588" s="2" t="s">
        <v>53255</v>
      </c>
      <c r="W8588" s="2" t="s">
        <v>53256</v>
      </c>
      <c r="X8588" s="5" t="str">
        <f>HYPERLINK("https://my.pitchbook.com?p=256002-31P","View People Online")</f>
        <v>View People Online</v>
      </c>
    </row>
    <row r="8589">
      <c r="A8589" s="6" t="s">
        <v>53257</v>
      </c>
      <c r="B8589" s="6" t="s">
        <v>53258</v>
      </c>
      <c r="C8589" s="6" t="s">
        <v>18701</v>
      </c>
      <c r="D8589" s="6" t="s">
        <v>2432</v>
      </c>
      <c r="E8589" s="6" t="s">
        <v>53158</v>
      </c>
      <c r="F8589" s="6" t="s">
        <v>1167</v>
      </c>
      <c r="G8589" s="6" t="s">
        <v>53259</v>
      </c>
      <c r="H8589" s="7">
        <v>11.0</v>
      </c>
      <c r="I8589" s="7">
        <v>47.0</v>
      </c>
      <c r="J8589" s="7">
        <v>4.0</v>
      </c>
      <c r="K8589" s="7">
        <v>30.0</v>
      </c>
      <c r="L8589" s="8" t="s">
        <v>1179</v>
      </c>
      <c r="M8589" s="6" t="s">
        <v>53260</v>
      </c>
      <c r="N8589" s="6" t="s">
        <v>1181</v>
      </c>
      <c r="O8589" s="8" t="s">
        <v>1182</v>
      </c>
      <c r="P8589" s="6" t="s">
        <v>1183</v>
      </c>
      <c r="Q8589" s="6" t="s">
        <v>1184</v>
      </c>
      <c r="R8589" s="6" t="s">
        <v>1185</v>
      </c>
      <c r="S8589" s="8" t="s">
        <v>1186</v>
      </c>
      <c r="T8589" s="6" t="s">
        <v>66</v>
      </c>
      <c r="U8589" s="8" t="s">
        <v>1187</v>
      </c>
      <c r="V8589" s="6" t="s">
        <v>95</v>
      </c>
      <c r="W8589" s="6" t="s">
        <v>53261</v>
      </c>
      <c r="X8589" s="9" t="str">
        <f>HYPERLINK("https://my.pitchbook.com?p=48365-92P","View People Online")</f>
        <v>View People Online</v>
      </c>
    </row>
    <row r="8590">
      <c r="A8590" s="10" t="s">
        <v>53262</v>
      </c>
      <c r="B8590" s="10" t="s">
        <v>53263</v>
      </c>
      <c r="C8590" s="10" t="s">
        <v>160</v>
      </c>
      <c r="D8590" s="10" t="s">
        <v>53264</v>
      </c>
      <c r="E8590" s="10" t="s">
        <v>53158</v>
      </c>
      <c r="F8590" s="10" t="s">
        <v>81</v>
      </c>
      <c r="G8590" s="10" t="s">
        <v>53265</v>
      </c>
      <c r="H8590" s="11">
        <v>1.0</v>
      </c>
      <c r="I8590" s="11">
        <v>4.0</v>
      </c>
      <c r="J8590" s="11">
        <v>1.0</v>
      </c>
      <c r="K8590" s="11">
        <v>2.0</v>
      </c>
      <c r="L8590" s="12" t="s">
        <v>53266</v>
      </c>
      <c r="M8590" s="10" t="s">
        <v>53267</v>
      </c>
      <c r="N8590" s="10" t="s">
        <v>1181</v>
      </c>
      <c r="O8590" s="12" t="s">
        <v>1182</v>
      </c>
      <c r="P8590" s="10" t="s">
        <v>53268</v>
      </c>
      <c r="Q8590" s="10" t="s">
        <v>3920</v>
      </c>
      <c r="R8590" s="10" t="s">
        <v>1185</v>
      </c>
      <c r="S8590" s="12" t="s">
        <v>1186</v>
      </c>
      <c r="T8590" s="10" t="s">
        <v>66</v>
      </c>
      <c r="U8590" s="12" t="s">
        <v>31</v>
      </c>
      <c r="V8590" s="10" t="s">
        <v>36782</v>
      </c>
      <c r="W8590" s="10" t="s">
        <v>53269</v>
      </c>
      <c r="X8590" s="13" t="str">
        <f>HYPERLINK("https://my.pitchbook.com?p=38566-00P","View People Online")</f>
        <v>View People Online</v>
      </c>
    </row>
    <row r="8591">
      <c r="A8591" s="14" t="s">
        <v>53270</v>
      </c>
      <c r="B8591" s="14" t="s">
        <v>53271</v>
      </c>
      <c r="C8591" s="14" t="s">
        <v>53272</v>
      </c>
      <c r="D8591" s="14" t="s">
        <v>21288</v>
      </c>
      <c r="E8591" s="14" t="s">
        <v>53158</v>
      </c>
      <c r="F8591" s="14" t="s">
        <v>81</v>
      </c>
      <c r="G8591" s="14" t="s">
        <v>53273</v>
      </c>
      <c r="H8591" s="15">
        <v>1.0</v>
      </c>
      <c r="I8591" s="15">
        <v>7.0</v>
      </c>
      <c r="J8591" s="15">
        <v>1.0</v>
      </c>
      <c r="K8591" s="15">
        <v>4.0</v>
      </c>
      <c r="L8591" s="16" t="s">
        <v>53274</v>
      </c>
      <c r="M8591" s="14" t="s">
        <v>53275</v>
      </c>
      <c r="N8591" s="14" t="s">
        <v>53276</v>
      </c>
      <c r="O8591" s="16" t="s">
        <v>53277</v>
      </c>
      <c r="P8591" s="14" t="s">
        <v>53278</v>
      </c>
      <c r="Q8591" s="14" t="s">
        <v>53279</v>
      </c>
      <c r="R8591" s="14" t="s">
        <v>29270</v>
      </c>
      <c r="S8591" s="16" t="s">
        <v>53280</v>
      </c>
      <c r="T8591" s="14" t="s">
        <v>66</v>
      </c>
      <c r="U8591" s="16" t="s">
        <v>31</v>
      </c>
      <c r="V8591" s="14" t="s">
        <v>34077</v>
      </c>
      <c r="W8591" s="14" t="s">
        <v>53281</v>
      </c>
      <c r="X8591" s="17" t="str">
        <f>HYPERLINK("https://my.pitchbook.com?p=41998-24P","View People Online")</f>
        <v>View People Online</v>
      </c>
    </row>
    <row r="8592">
      <c r="A8592" s="2" t="s">
        <v>53282</v>
      </c>
      <c r="B8592" s="2" t="s">
        <v>53283</v>
      </c>
      <c r="C8592" s="2" t="s">
        <v>21005</v>
      </c>
      <c r="D8592" s="2" t="s">
        <v>47064</v>
      </c>
      <c r="E8592" s="2" t="s">
        <v>53158</v>
      </c>
      <c r="F8592" s="2" t="s">
        <v>81</v>
      </c>
      <c r="G8592" s="2" t="s">
        <v>53284</v>
      </c>
      <c r="H8592" s="3" t="s">
        <v>31</v>
      </c>
      <c r="I8592" s="3">
        <v>5.0</v>
      </c>
      <c r="J8592" s="3" t="s">
        <v>31</v>
      </c>
      <c r="K8592" s="3">
        <v>3.0</v>
      </c>
      <c r="L8592" s="4" t="s">
        <v>53178</v>
      </c>
      <c r="M8592" s="2" t="s">
        <v>31</v>
      </c>
      <c r="N8592" s="2" t="s">
        <v>1181</v>
      </c>
      <c r="O8592" s="4" t="s">
        <v>1182</v>
      </c>
      <c r="P8592" s="2" t="s">
        <v>1183</v>
      </c>
      <c r="Q8592" s="2" t="s">
        <v>31</v>
      </c>
      <c r="R8592" s="2" t="s">
        <v>1185</v>
      </c>
      <c r="S8592" s="4" t="s">
        <v>1186</v>
      </c>
      <c r="T8592" s="2" t="s">
        <v>66</v>
      </c>
      <c r="U8592" s="4" t="s">
        <v>31</v>
      </c>
      <c r="V8592" s="2" t="s">
        <v>1252</v>
      </c>
      <c r="W8592" s="2" t="s">
        <v>53285</v>
      </c>
      <c r="X8592" s="5" t="str">
        <f>HYPERLINK("https://my.pitchbook.com?p=38555-92P","View People Online")</f>
        <v>View People Online</v>
      </c>
    </row>
    <row r="8593">
      <c r="A8593" s="6" t="s">
        <v>53286</v>
      </c>
      <c r="B8593" s="6" t="s">
        <v>53287</v>
      </c>
      <c r="C8593" s="6" t="s">
        <v>536</v>
      </c>
      <c r="D8593" s="6" t="s">
        <v>53288</v>
      </c>
      <c r="E8593" s="6" t="s">
        <v>53158</v>
      </c>
      <c r="F8593" s="6" t="s">
        <v>81</v>
      </c>
      <c r="G8593" s="6" t="s">
        <v>53289</v>
      </c>
      <c r="H8593" s="7">
        <v>1.0</v>
      </c>
      <c r="I8593" s="7">
        <v>2.0</v>
      </c>
      <c r="J8593" s="7">
        <v>1.0</v>
      </c>
      <c r="K8593" s="7" t="s">
        <v>31</v>
      </c>
      <c r="L8593" s="8" t="s">
        <v>53290</v>
      </c>
      <c r="M8593" s="6" t="s">
        <v>53291</v>
      </c>
      <c r="N8593" s="6" t="s">
        <v>6669</v>
      </c>
      <c r="O8593" s="8" t="s">
        <v>48036</v>
      </c>
      <c r="P8593" s="6" t="s">
        <v>53292</v>
      </c>
      <c r="Q8593" s="6" t="s">
        <v>31</v>
      </c>
      <c r="R8593" s="6" t="s">
        <v>247</v>
      </c>
      <c r="S8593" s="8" t="s">
        <v>53293</v>
      </c>
      <c r="T8593" s="6" t="s">
        <v>249</v>
      </c>
      <c r="U8593" s="8" t="s">
        <v>31</v>
      </c>
      <c r="V8593" s="6" t="s">
        <v>1384</v>
      </c>
      <c r="W8593" s="6" t="s">
        <v>53294</v>
      </c>
      <c r="X8593" s="9" t="str">
        <f>HYPERLINK("https://my.pitchbook.com?p=237722-86P","View People Online")</f>
        <v>View People Online</v>
      </c>
    </row>
    <row r="8594">
      <c r="A8594" s="10" t="s">
        <v>53295</v>
      </c>
      <c r="B8594" s="10" t="s">
        <v>53296</v>
      </c>
      <c r="C8594" s="10" t="s">
        <v>3716</v>
      </c>
      <c r="D8594" s="10" t="s">
        <v>53297</v>
      </c>
      <c r="E8594" s="10" t="s">
        <v>53158</v>
      </c>
      <c r="F8594" s="10" t="s">
        <v>81</v>
      </c>
      <c r="G8594" s="10" t="s">
        <v>53298</v>
      </c>
      <c r="H8594" s="11" t="s">
        <v>31</v>
      </c>
      <c r="I8594" s="11">
        <v>2.0</v>
      </c>
      <c r="J8594" s="11">
        <v>1.0</v>
      </c>
      <c r="K8594" s="11" t="s">
        <v>31</v>
      </c>
      <c r="L8594" s="12" t="s">
        <v>53299</v>
      </c>
      <c r="M8594" s="10" t="s">
        <v>53300</v>
      </c>
      <c r="N8594" s="10" t="s">
        <v>155</v>
      </c>
      <c r="O8594" s="12" t="s">
        <v>156</v>
      </c>
      <c r="P8594" s="10" t="s">
        <v>37778</v>
      </c>
      <c r="Q8594" s="10" t="s">
        <v>2403</v>
      </c>
      <c r="R8594" s="10" t="s">
        <v>64</v>
      </c>
      <c r="S8594" s="12" t="s">
        <v>3487</v>
      </c>
      <c r="T8594" s="10" t="s">
        <v>66</v>
      </c>
      <c r="U8594" s="12" t="s">
        <v>31</v>
      </c>
      <c r="V8594" s="10" t="s">
        <v>991</v>
      </c>
      <c r="W8594" s="10" t="s">
        <v>53301</v>
      </c>
      <c r="X8594" s="13" t="str">
        <f>HYPERLINK("https://my.pitchbook.com?p=123433-57P","View People Online")</f>
        <v>View People Online</v>
      </c>
    </row>
    <row r="8595">
      <c r="A8595" s="6" t="s">
        <v>53302</v>
      </c>
      <c r="B8595" s="6" t="s">
        <v>53303</v>
      </c>
      <c r="C8595" s="6" t="s">
        <v>21716</v>
      </c>
      <c r="D8595" s="6" t="s">
        <v>53304</v>
      </c>
      <c r="E8595" s="6" t="s">
        <v>53158</v>
      </c>
      <c r="F8595" s="6" t="s">
        <v>81</v>
      </c>
      <c r="G8595" s="6" t="s">
        <v>53305</v>
      </c>
      <c r="H8595" s="7" t="s">
        <v>31</v>
      </c>
      <c r="I8595" s="7">
        <v>3.0</v>
      </c>
      <c r="J8595" s="7">
        <v>1.0</v>
      </c>
      <c r="K8595" s="7">
        <v>1.0</v>
      </c>
      <c r="L8595" s="8" t="s">
        <v>53306</v>
      </c>
      <c r="M8595" s="6" t="s">
        <v>53307</v>
      </c>
      <c r="N8595" s="6" t="s">
        <v>53230</v>
      </c>
      <c r="O8595" s="8" t="s">
        <v>53231</v>
      </c>
      <c r="P8595" s="6" t="s">
        <v>53308</v>
      </c>
      <c r="Q8595" s="6" t="s">
        <v>31</v>
      </c>
      <c r="R8595" s="6" t="s">
        <v>1185</v>
      </c>
      <c r="S8595" s="8" t="s">
        <v>53234</v>
      </c>
      <c r="T8595" s="6" t="s">
        <v>66</v>
      </c>
      <c r="U8595" s="8" t="s">
        <v>31</v>
      </c>
      <c r="V8595" s="6" t="s">
        <v>53309</v>
      </c>
      <c r="W8595" s="6" t="s">
        <v>53310</v>
      </c>
      <c r="X8595" s="9" t="str">
        <f>HYPERLINK("https://my.pitchbook.com?p=42469-66P","View People Online")</f>
        <v>View People Online</v>
      </c>
    </row>
    <row r="8596">
      <c r="A8596" s="10" t="s">
        <v>53311</v>
      </c>
      <c r="B8596" s="10" t="s">
        <v>53312</v>
      </c>
      <c r="C8596" s="10" t="s">
        <v>53313</v>
      </c>
      <c r="D8596" s="10" t="s">
        <v>53314</v>
      </c>
      <c r="E8596" s="10" t="s">
        <v>53158</v>
      </c>
      <c r="F8596" s="10" t="s">
        <v>81</v>
      </c>
      <c r="G8596" s="10" t="s">
        <v>53315</v>
      </c>
      <c r="H8596" s="11">
        <v>2.0</v>
      </c>
      <c r="I8596" s="11">
        <v>4.0</v>
      </c>
      <c r="J8596" s="11">
        <v>3.0</v>
      </c>
      <c r="K8596" s="11" t="s">
        <v>31</v>
      </c>
      <c r="L8596" s="12" t="s">
        <v>53316</v>
      </c>
      <c r="M8596" s="10" t="s">
        <v>53317</v>
      </c>
      <c r="N8596" s="10" t="s">
        <v>205</v>
      </c>
      <c r="O8596" s="12" t="s">
        <v>206</v>
      </c>
      <c r="P8596" s="10" t="s">
        <v>53318</v>
      </c>
      <c r="Q8596" s="10" t="s">
        <v>6831</v>
      </c>
      <c r="R8596" s="10" t="s">
        <v>209</v>
      </c>
      <c r="S8596" s="12" t="s">
        <v>210</v>
      </c>
      <c r="T8596" s="10" t="s">
        <v>66</v>
      </c>
      <c r="U8596" s="12" t="s">
        <v>31</v>
      </c>
      <c r="V8596" s="10" t="s">
        <v>53319</v>
      </c>
      <c r="W8596" s="10" t="s">
        <v>53320</v>
      </c>
      <c r="X8596" s="13" t="str">
        <f>HYPERLINK("https://my.pitchbook.com?p=75616-93P","View People Online")</f>
        <v>View People Online</v>
      </c>
    </row>
    <row r="8597">
      <c r="A8597" s="14" t="s">
        <v>53321</v>
      </c>
      <c r="B8597" s="14" t="s">
        <v>53322</v>
      </c>
      <c r="C8597" s="14" t="s">
        <v>53323</v>
      </c>
      <c r="D8597" s="14" t="s">
        <v>53324</v>
      </c>
      <c r="E8597" s="14" t="s">
        <v>53158</v>
      </c>
      <c r="F8597" s="14" t="s">
        <v>114</v>
      </c>
      <c r="G8597" s="14" t="s">
        <v>53325</v>
      </c>
      <c r="H8597" s="15">
        <v>1.0</v>
      </c>
      <c r="I8597" s="15">
        <v>2.0</v>
      </c>
      <c r="J8597" s="15">
        <v>1.0</v>
      </c>
      <c r="K8597" s="15" t="s">
        <v>31</v>
      </c>
      <c r="L8597" s="16" t="s">
        <v>53178</v>
      </c>
      <c r="M8597" s="14" t="s">
        <v>31</v>
      </c>
      <c r="N8597" s="14" t="s">
        <v>1181</v>
      </c>
      <c r="O8597" s="16" t="s">
        <v>1182</v>
      </c>
      <c r="P8597" s="14" t="s">
        <v>1183</v>
      </c>
      <c r="Q8597" s="14" t="s">
        <v>31</v>
      </c>
      <c r="R8597" s="14" t="s">
        <v>1185</v>
      </c>
      <c r="S8597" s="16" t="s">
        <v>1186</v>
      </c>
      <c r="T8597" s="14" t="s">
        <v>66</v>
      </c>
      <c r="U8597" s="16" t="s">
        <v>31</v>
      </c>
      <c r="V8597" s="14" t="s">
        <v>114</v>
      </c>
      <c r="W8597" s="14" t="s">
        <v>53158</v>
      </c>
      <c r="X8597" s="17" t="str">
        <f>HYPERLINK("https://my.pitchbook.com?p=222776-29P","View People Online")</f>
        <v>View People Online</v>
      </c>
    </row>
    <row r="8598">
      <c r="A8598" s="10" t="s">
        <v>53326</v>
      </c>
      <c r="B8598" s="10" t="s">
        <v>53327</v>
      </c>
      <c r="C8598" s="10" t="s">
        <v>1697</v>
      </c>
      <c r="D8598" s="10" t="s">
        <v>53328</v>
      </c>
      <c r="E8598" s="10" t="s">
        <v>53158</v>
      </c>
      <c r="F8598" s="10" t="s">
        <v>114</v>
      </c>
      <c r="G8598" s="10" t="s">
        <v>53329</v>
      </c>
      <c r="H8598" s="11" t="s">
        <v>31</v>
      </c>
      <c r="I8598" s="11">
        <v>1.0</v>
      </c>
      <c r="J8598" s="11">
        <v>1.0</v>
      </c>
      <c r="K8598" s="11" t="s">
        <v>31</v>
      </c>
      <c r="L8598" s="12" t="s">
        <v>53178</v>
      </c>
      <c r="M8598" s="10" t="s">
        <v>31</v>
      </c>
      <c r="N8598" s="10" t="s">
        <v>1181</v>
      </c>
      <c r="O8598" s="12" t="s">
        <v>1182</v>
      </c>
      <c r="P8598" s="10" t="s">
        <v>1183</v>
      </c>
      <c r="Q8598" s="10" t="s">
        <v>31</v>
      </c>
      <c r="R8598" s="10" t="s">
        <v>1185</v>
      </c>
      <c r="S8598" s="12" t="s">
        <v>1186</v>
      </c>
      <c r="T8598" s="10" t="s">
        <v>66</v>
      </c>
      <c r="U8598" s="12" t="s">
        <v>31</v>
      </c>
      <c r="V8598" s="10" t="s">
        <v>114</v>
      </c>
      <c r="W8598" s="10" t="s">
        <v>53158</v>
      </c>
      <c r="X8598" s="13" t="str">
        <f>HYPERLINK("https://my.pitchbook.com?p=229080-97P","View People Online")</f>
        <v>View People Online</v>
      </c>
    </row>
    <row r="8599">
      <c r="A8599" s="14" t="s">
        <v>53330</v>
      </c>
      <c r="B8599" s="14" t="s">
        <v>53331</v>
      </c>
      <c r="C8599" s="14" t="s">
        <v>4731</v>
      </c>
      <c r="D8599" s="14" t="s">
        <v>28047</v>
      </c>
      <c r="E8599" s="14" t="s">
        <v>53332</v>
      </c>
      <c r="F8599" s="14" t="s">
        <v>2156</v>
      </c>
      <c r="G8599" s="14" t="s">
        <v>53333</v>
      </c>
      <c r="H8599" s="15" t="s">
        <v>31</v>
      </c>
      <c r="I8599" s="15">
        <v>2.0</v>
      </c>
      <c r="J8599" s="15">
        <v>1.0</v>
      </c>
      <c r="K8599" s="15" t="s">
        <v>31</v>
      </c>
      <c r="L8599" s="16" t="s">
        <v>53334</v>
      </c>
      <c r="M8599" s="14" t="s">
        <v>53335</v>
      </c>
      <c r="N8599" s="14" t="s">
        <v>29434</v>
      </c>
      <c r="O8599" s="16" t="s">
        <v>29435</v>
      </c>
      <c r="P8599" s="14" t="s">
        <v>53336</v>
      </c>
      <c r="Q8599" s="14" t="s">
        <v>1784</v>
      </c>
      <c r="R8599" s="14" t="s">
        <v>75</v>
      </c>
      <c r="S8599" s="16" t="s">
        <v>53337</v>
      </c>
      <c r="T8599" s="14" t="s">
        <v>66</v>
      </c>
      <c r="U8599" s="16" t="s">
        <v>53338</v>
      </c>
      <c r="V8599" s="14" t="s">
        <v>2156</v>
      </c>
      <c r="W8599" s="14" t="s">
        <v>53332</v>
      </c>
      <c r="X8599" s="17" t="str">
        <f>HYPERLINK("https://my.pitchbook.com?p=168838-39P","View People Online")</f>
        <v>View People Online</v>
      </c>
    </row>
    <row r="8600">
      <c r="A8600" s="10" t="s">
        <v>53339</v>
      </c>
      <c r="B8600" s="10" t="s">
        <v>53340</v>
      </c>
      <c r="C8600" s="10" t="s">
        <v>2650</v>
      </c>
      <c r="D8600" s="10" t="s">
        <v>53341</v>
      </c>
      <c r="E8600" s="10" t="s">
        <v>53332</v>
      </c>
      <c r="F8600" s="10" t="s">
        <v>57</v>
      </c>
      <c r="G8600" s="10" t="s">
        <v>53342</v>
      </c>
      <c r="H8600" s="11">
        <v>1.0</v>
      </c>
      <c r="I8600" s="11">
        <v>6.0</v>
      </c>
      <c r="J8600" s="11">
        <v>1.0</v>
      </c>
      <c r="K8600" s="11">
        <v>2.0</v>
      </c>
      <c r="L8600" s="12" t="s">
        <v>53343</v>
      </c>
      <c r="M8600" s="10" t="s">
        <v>31</v>
      </c>
      <c r="N8600" s="10" t="s">
        <v>29434</v>
      </c>
      <c r="O8600" s="12" t="s">
        <v>29435</v>
      </c>
      <c r="P8600" s="10" t="s">
        <v>53336</v>
      </c>
      <c r="Q8600" s="10" t="s">
        <v>1784</v>
      </c>
      <c r="R8600" s="10" t="s">
        <v>75</v>
      </c>
      <c r="S8600" s="12" t="s">
        <v>53337</v>
      </c>
      <c r="T8600" s="10" t="s">
        <v>66</v>
      </c>
      <c r="U8600" s="12" t="s">
        <v>53338</v>
      </c>
      <c r="V8600" s="10" t="s">
        <v>53344</v>
      </c>
      <c r="W8600" s="10" t="s">
        <v>53332</v>
      </c>
      <c r="X8600" s="13" t="str">
        <f>HYPERLINK("https://my.pitchbook.com?p=293167-00P","View People Online")</f>
        <v>View People Online</v>
      </c>
    </row>
    <row r="8601">
      <c r="A8601" s="6" t="s">
        <v>53345</v>
      </c>
      <c r="B8601" s="6" t="s">
        <v>53346</v>
      </c>
      <c r="C8601" s="6" t="s">
        <v>4851</v>
      </c>
      <c r="D8601" s="6" t="s">
        <v>53347</v>
      </c>
      <c r="E8601" s="6" t="s">
        <v>53332</v>
      </c>
      <c r="F8601" s="6" t="s">
        <v>152</v>
      </c>
      <c r="G8601" s="6" t="s">
        <v>53348</v>
      </c>
      <c r="H8601" s="7">
        <v>2.0</v>
      </c>
      <c r="I8601" s="7">
        <v>4.0</v>
      </c>
      <c r="J8601" s="7">
        <v>1.0</v>
      </c>
      <c r="K8601" s="7" t="s">
        <v>31</v>
      </c>
      <c r="L8601" s="8" t="s">
        <v>53343</v>
      </c>
      <c r="M8601" s="6" t="s">
        <v>53349</v>
      </c>
      <c r="N8601" s="6" t="s">
        <v>29434</v>
      </c>
      <c r="O8601" s="8" t="s">
        <v>29435</v>
      </c>
      <c r="P8601" s="6" t="s">
        <v>53336</v>
      </c>
      <c r="Q8601" s="6" t="s">
        <v>1784</v>
      </c>
      <c r="R8601" s="6" t="s">
        <v>75</v>
      </c>
      <c r="S8601" s="8" t="s">
        <v>53337</v>
      </c>
      <c r="T8601" s="6" t="s">
        <v>66</v>
      </c>
      <c r="U8601" s="8" t="s">
        <v>53338</v>
      </c>
      <c r="V8601" s="6" t="s">
        <v>53350</v>
      </c>
      <c r="W8601" s="6" t="s">
        <v>53332</v>
      </c>
      <c r="X8601" s="9" t="str">
        <f>HYPERLINK("https://my.pitchbook.com?p=233363-62P","View People Online")</f>
        <v>View People Online</v>
      </c>
    </row>
    <row r="8602">
      <c r="A8602" s="10" t="s">
        <v>53351</v>
      </c>
      <c r="B8602" s="10" t="s">
        <v>53352</v>
      </c>
      <c r="C8602" s="10" t="s">
        <v>53353</v>
      </c>
      <c r="D8602" s="10" t="s">
        <v>53354</v>
      </c>
      <c r="E8602" s="10" t="s">
        <v>53332</v>
      </c>
      <c r="F8602" s="10" t="s">
        <v>53355</v>
      </c>
      <c r="G8602" s="10" t="s">
        <v>53356</v>
      </c>
      <c r="H8602" s="11">
        <v>1.0</v>
      </c>
      <c r="I8602" s="11">
        <v>1.0</v>
      </c>
      <c r="J8602" s="11">
        <v>1.0</v>
      </c>
      <c r="K8602" s="11" t="s">
        <v>31</v>
      </c>
      <c r="L8602" s="12" t="s">
        <v>53357</v>
      </c>
      <c r="M8602" s="10" t="s">
        <v>31</v>
      </c>
      <c r="N8602" s="10" t="s">
        <v>29434</v>
      </c>
      <c r="O8602" s="12" t="s">
        <v>29435</v>
      </c>
      <c r="P8602" s="10" t="s">
        <v>53336</v>
      </c>
      <c r="Q8602" s="10" t="s">
        <v>1784</v>
      </c>
      <c r="R8602" s="10" t="s">
        <v>75</v>
      </c>
      <c r="S8602" s="12" t="s">
        <v>53337</v>
      </c>
      <c r="T8602" s="10" t="s">
        <v>66</v>
      </c>
      <c r="U8602" s="12" t="s">
        <v>53338</v>
      </c>
      <c r="V8602" s="10" t="s">
        <v>53358</v>
      </c>
      <c r="W8602" s="10" t="s">
        <v>53332</v>
      </c>
      <c r="X8602" s="13" t="str">
        <f>HYPERLINK("https://my.pitchbook.com?p=316906-66P","View People Online")</f>
        <v>View People Online</v>
      </c>
    </row>
    <row r="8603">
      <c r="A8603" s="14" t="s">
        <v>53359</v>
      </c>
      <c r="B8603" s="14" t="s">
        <v>53360</v>
      </c>
      <c r="C8603" s="14" t="s">
        <v>1449</v>
      </c>
      <c r="D8603" s="14" t="s">
        <v>53361</v>
      </c>
      <c r="E8603" s="14" t="s">
        <v>53332</v>
      </c>
      <c r="F8603" s="14" t="s">
        <v>312</v>
      </c>
      <c r="G8603" s="14" t="s">
        <v>53362</v>
      </c>
      <c r="H8603" s="15" t="s">
        <v>31</v>
      </c>
      <c r="I8603" s="15">
        <v>2.0</v>
      </c>
      <c r="J8603" s="15">
        <v>1.0</v>
      </c>
      <c r="K8603" s="15" t="s">
        <v>31</v>
      </c>
      <c r="L8603" s="16" t="s">
        <v>53343</v>
      </c>
      <c r="M8603" s="14" t="s">
        <v>31</v>
      </c>
      <c r="N8603" s="14" t="s">
        <v>29434</v>
      </c>
      <c r="O8603" s="16" t="s">
        <v>29435</v>
      </c>
      <c r="P8603" s="14" t="s">
        <v>53336</v>
      </c>
      <c r="Q8603" s="14" t="s">
        <v>1784</v>
      </c>
      <c r="R8603" s="14" t="s">
        <v>75</v>
      </c>
      <c r="S8603" s="16" t="s">
        <v>53337</v>
      </c>
      <c r="T8603" s="14" t="s">
        <v>66</v>
      </c>
      <c r="U8603" s="16" t="s">
        <v>53338</v>
      </c>
      <c r="V8603" s="14" t="s">
        <v>53363</v>
      </c>
      <c r="W8603" s="14" t="s">
        <v>53332</v>
      </c>
      <c r="X8603" s="17" t="str">
        <f>HYPERLINK("https://my.pitchbook.com?p=205490-89P","View People Online")</f>
        <v>View People Online</v>
      </c>
    </row>
    <row r="8604">
      <c r="A8604" s="2" t="s">
        <v>53364</v>
      </c>
      <c r="B8604" s="2" t="s">
        <v>53365</v>
      </c>
      <c r="C8604" s="2" t="s">
        <v>7286</v>
      </c>
      <c r="D8604" s="2" t="s">
        <v>53366</v>
      </c>
      <c r="E8604" s="2" t="s">
        <v>53332</v>
      </c>
      <c r="F8604" s="2" t="s">
        <v>81</v>
      </c>
      <c r="G8604" s="2" t="s">
        <v>53367</v>
      </c>
      <c r="H8604" s="3">
        <v>2.0</v>
      </c>
      <c r="I8604" s="3">
        <v>5.0</v>
      </c>
      <c r="J8604" s="3">
        <v>2.0</v>
      </c>
      <c r="K8604" s="3" t="s">
        <v>31</v>
      </c>
      <c r="L8604" s="4" t="s">
        <v>53368</v>
      </c>
      <c r="M8604" s="2" t="s">
        <v>53369</v>
      </c>
      <c r="N8604" s="2" t="s">
        <v>1181</v>
      </c>
      <c r="O8604" s="4" t="s">
        <v>1182</v>
      </c>
      <c r="P8604" s="2" t="s">
        <v>53370</v>
      </c>
      <c r="Q8604" s="2" t="s">
        <v>53371</v>
      </c>
      <c r="R8604" s="2" t="s">
        <v>1185</v>
      </c>
      <c r="S8604" s="4" t="s">
        <v>41111</v>
      </c>
      <c r="T8604" s="2" t="s">
        <v>66</v>
      </c>
      <c r="U8604" s="4" t="s">
        <v>31</v>
      </c>
      <c r="V8604" s="2" t="s">
        <v>1252</v>
      </c>
      <c r="W8604" s="2" t="s">
        <v>53372</v>
      </c>
      <c r="X8604" s="5" t="str">
        <f>HYPERLINK("https://my.pitchbook.com?p=370416-07P","View People Online")</f>
        <v>View People Online</v>
      </c>
    </row>
    <row r="8605">
      <c r="A8605" s="14" t="s">
        <v>53373</v>
      </c>
      <c r="B8605" s="14" t="s">
        <v>53374</v>
      </c>
      <c r="C8605" s="14" t="s">
        <v>1463</v>
      </c>
      <c r="D8605" s="14" t="s">
        <v>53375</v>
      </c>
      <c r="E8605" s="14" t="s">
        <v>53332</v>
      </c>
      <c r="F8605" s="14" t="s">
        <v>81</v>
      </c>
      <c r="G8605" s="14" t="s">
        <v>53376</v>
      </c>
      <c r="H8605" s="15" t="s">
        <v>31</v>
      </c>
      <c r="I8605" s="15">
        <v>3.0</v>
      </c>
      <c r="J8605" s="15">
        <v>1.0</v>
      </c>
      <c r="K8605" s="15" t="s">
        <v>31</v>
      </c>
      <c r="L8605" s="16" t="s">
        <v>53377</v>
      </c>
      <c r="M8605" s="14" t="s">
        <v>53378</v>
      </c>
      <c r="N8605" s="14" t="s">
        <v>155</v>
      </c>
      <c r="O8605" s="16" t="s">
        <v>156</v>
      </c>
      <c r="P8605" s="14" t="s">
        <v>39229</v>
      </c>
      <c r="Q8605" s="14" t="s">
        <v>31</v>
      </c>
      <c r="R8605" s="14" t="s">
        <v>64</v>
      </c>
      <c r="S8605" s="16" t="s">
        <v>39231</v>
      </c>
      <c r="T8605" s="14" t="s">
        <v>66</v>
      </c>
      <c r="U8605" s="16" t="s">
        <v>31</v>
      </c>
      <c r="V8605" s="14" t="s">
        <v>991</v>
      </c>
      <c r="W8605" s="14" t="s">
        <v>53379</v>
      </c>
      <c r="X8605" s="17" t="str">
        <f>HYPERLINK("https://my.pitchbook.com?p=372485-53P","View People Online")</f>
        <v>View People Online</v>
      </c>
    </row>
    <row r="8606">
      <c r="A8606" s="2" t="s">
        <v>53380</v>
      </c>
      <c r="B8606" s="2" t="s">
        <v>53381</v>
      </c>
      <c r="C8606" s="2" t="s">
        <v>3953</v>
      </c>
      <c r="D8606" s="2" t="s">
        <v>3377</v>
      </c>
      <c r="E8606" s="2" t="s">
        <v>53332</v>
      </c>
      <c r="F8606" s="2" t="s">
        <v>1459</v>
      </c>
      <c r="G8606" s="2" t="s">
        <v>53382</v>
      </c>
      <c r="H8606" s="3" t="s">
        <v>31</v>
      </c>
      <c r="I8606" s="3">
        <v>4.0</v>
      </c>
      <c r="J8606" s="3">
        <v>1.0</v>
      </c>
      <c r="K8606" s="3" t="s">
        <v>31</v>
      </c>
      <c r="L8606" s="4" t="s">
        <v>53343</v>
      </c>
      <c r="M8606" s="2" t="s">
        <v>31</v>
      </c>
      <c r="N8606" s="2" t="s">
        <v>29434</v>
      </c>
      <c r="O8606" s="4" t="s">
        <v>29435</v>
      </c>
      <c r="P8606" s="2" t="s">
        <v>53336</v>
      </c>
      <c r="Q8606" s="2" t="s">
        <v>1784</v>
      </c>
      <c r="R8606" s="2" t="s">
        <v>75</v>
      </c>
      <c r="S8606" s="4" t="s">
        <v>53337</v>
      </c>
      <c r="T8606" s="2" t="s">
        <v>66</v>
      </c>
      <c r="U8606" s="4" t="s">
        <v>53338</v>
      </c>
      <c r="V8606" s="2" t="s">
        <v>1612</v>
      </c>
      <c r="W8606" s="2" t="s">
        <v>53332</v>
      </c>
      <c r="X8606" s="5" t="str">
        <f>HYPERLINK("https://my.pitchbook.com?p=275607-10P","View People Online")</f>
        <v>View People Online</v>
      </c>
    </row>
    <row r="8607">
      <c r="A8607" s="6" t="s">
        <v>53383</v>
      </c>
      <c r="B8607" s="6" t="s">
        <v>53384</v>
      </c>
      <c r="C8607" s="6" t="s">
        <v>53385</v>
      </c>
      <c r="D8607" s="6" t="s">
        <v>1147</v>
      </c>
      <c r="E8607" s="6" t="s">
        <v>53332</v>
      </c>
      <c r="F8607" s="6" t="s">
        <v>29</v>
      </c>
      <c r="G8607" s="6" t="s">
        <v>53386</v>
      </c>
      <c r="H8607" s="7" t="s">
        <v>31</v>
      </c>
      <c r="I8607" s="7">
        <v>7.0</v>
      </c>
      <c r="J8607" s="7">
        <v>1.0</v>
      </c>
      <c r="K8607" s="7">
        <v>4.0</v>
      </c>
      <c r="L8607" s="8" t="s">
        <v>53343</v>
      </c>
      <c r="M8607" s="6" t="s">
        <v>31</v>
      </c>
      <c r="N8607" s="6" t="s">
        <v>29434</v>
      </c>
      <c r="O8607" s="8" t="s">
        <v>29435</v>
      </c>
      <c r="P8607" s="6" t="s">
        <v>53336</v>
      </c>
      <c r="Q8607" s="6" t="s">
        <v>1784</v>
      </c>
      <c r="R8607" s="6" t="s">
        <v>75</v>
      </c>
      <c r="S8607" s="8" t="s">
        <v>53337</v>
      </c>
      <c r="T8607" s="6" t="s">
        <v>66</v>
      </c>
      <c r="U8607" s="8" t="s">
        <v>53338</v>
      </c>
      <c r="V8607" s="6" t="s">
        <v>53387</v>
      </c>
      <c r="W8607" s="6" t="s">
        <v>53332</v>
      </c>
      <c r="X8607" s="9" t="str">
        <f>HYPERLINK("https://my.pitchbook.com?p=60600-43P","View People Online")</f>
        <v>View People Online</v>
      </c>
    </row>
    <row r="8608">
      <c r="A8608" s="10" t="s">
        <v>53388</v>
      </c>
      <c r="B8608" s="10" t="s">
        <v>53389</v>
      </c>
      <c r="C8608" s="10" t="s">
        <v>32822</v>
      </c>
      <c r="D8608" s="10" t="s">
        <v>5302</v>
      </c>
      <c r="E8608" s="10" t="s">
        <v>53332</v>
      </c>
      <c r="F8608" s="10" t="s">
        <v>57</v>
      </c>
      <c r="G8608" s="10" t="s">
        <v>53390</v>
      </c>
      <c r="H8608" s="11">
        <v>7.0</v>
      </c>
      <c r="I8608" s="11">
        <v>29.0</v>
      </c>
      <c r="J8608" s="11">
        <v>3.0</v>
      </c>
      <c r="K8608" s="11">
        <v>17.0</v>
      </c>
      <c r="L8608" s="12" t="s">
        <v>53391</v>
      </c>
      <c r="M8608" s="10" t="s">
        <v>53392</v>
      </c>
      <c r="N8608" s="10" t="s">
        <v>155</v>
      </c>
      <c r="O8608" s="12" t="s">
        <v>156</v>
      </c>
      <c r="P8608" s="10" t="s">
        <v>31</v>
      </c>
      <c r="Q8608" s="10" t="s">
        <v>31</v>
      </c>
      <c r="R8608" s="10" t="s">
        <v>64</v>
      </c>
      <c r="S8608" s="12" t="s">
        <v>31</v>
      </c>
      <c r="T8608" s="10" t="s">
        <v>66</v>
      </c>
      <c r="U8608" s="12" t="s">
        <v>31</v>
      </c>
      <c r="V8608" s="10" t="s">
        <v>57</v>
      </c>
      <c r="W8608" s="10" t="s">
        <v>53393</v>
      </c>
      <c r="X8608" s="13" t="str">
        <f>HYPERLINK("https://my.pitchbook.com?p=61581-61P","View People Online")</f>
        <v>View People Online</v>
      </c>
    </row>
    <row r="8609">
      <c r="A8609" s="6" t="s">
        <v>53394</v>
      </c>
      <c r="B8609" s="6" t="s">
        <v>53395</v>
      </c>
      <c r="C8609" s="6" t="s">
        <v>53396</v>
      </c>
      <c r="D8609" s="6" t="s">
        <v>4526</v>
      </c>
      <c r="E8609" s="6" t="s">
        <v>53332</v>
      </c>
      <c r="F8609" s="6" t="s">
        <v>201</v>
      </c>
      <c r="G8609" s="6" t="s">
        <v>53397</v>
      </c>
      <c r="H8609" s="7" t="s">
        <v>31</v>
      </c>
      <c r="I8609" s="7">
        <v>2.0</v>
      </c>
      <c r="J8609" s="7">
        <v>1.0</v>
      </c>
      <c r="K8609" s="7" t="s">
        <v>31</v>
      </c>
      <c r="L8609" s="8" t="s">
        <v>53343</v>
      </c>
      <c r="M8609" s="6" t="s">
        <v>53398</v>
      </c>
      <c r="N8609" s="6" t="s">
        <v>29434</v>
      </c>
      <c r="O8609" s="8" t="s">
        <v>29435</v>
      </c>
      <c r="P8609" s="6" t="s">
        <v>53336</v>
      </c>
      <c r="Q8609" s="6" t="s">
        <v>1784</v>
      </c>
      <c r="R8609" s="6" t="s">
        <v>75</v>
      </c>
      <c r="S8609" s="8" t="s">
        <v>53337</v>
      </c>
      <c r="T8609" s="6" t="s">
        <v>66</v>
      </c>
      <c r="U8609" s="8" t="s">
        <v>53338</v>
      </c>
      <c r="V8609" s="6" t="s">
        <v>53399</v>
      </c>
      <c r="W8609" s="6" t="s">
        <v>53332</v>
      </c>
      <c r="X8609" s="9" t="str">
        <f>HYPERLINK("https://my.pitchbook.com?p=413915-14P","View People Online")</f>
        <v>View People Online</v>
      </c>
    </row>
    <row r="8610">
      <c r="A8610" s="10" t="s">
        <v>53400</v>
      </c>
      <c r="B8610" s="10" t="s">
        <v>53401</v>
      </c>
      <c r="C8610" s="10" t="s">
        <v>30073</v>
      </c>
      <c r="D8610" s="10" t="s">
        <v>33486</v>
      </c>
      <c r="E8610" s="10" t="s">
        <v>53332</v>
      </c>
      <c r="F8610" s="10" t="s">
        <v>674</v>
      </c>
      <c r="G8610" s="10" t="s">
        <v>53402</v>
      </c>
      <c r="H8610" s="11">
        <v>6.0</v>
      </c>
      <c r="I8610" s="11">
        <v>19.0</v>
      </c>
      <c r="J8610" s="11">
        <v>2.0</v>
      </c>
      <c r="K8610" s="11">
        <v>9.0</v>
      </c>
      <c r="L8610" s="12" t="s">
        <v>53403</v>
      </c>
      <c r="M8610" s="10" t="s">
        <v>53404</v>
      </c>
      <c r="N8610" s="10" t="s">
        <v>29434</v>
      </c>
      <c r="O8610" s="12" t="s">
        <v>29435</v>
      </c>
      <c r="P8610" s="10" t="s">
        <v>53336</v>
      </c>
      <c r="Q8610" s="10" t="s">
        <v>1784</v>
      </c>
      <c r="R8610" s="10" t="s">
        <v>75</v>
      </c>
      <c r="S8610" s="12" t="s">
        <v>53337</v>
      </c>
      <c r="T8610" s="10" t="s">
        <v>66</v>
      </c>
      <c r="U8610" s="12" t="s">
        <v>53338</v>
      </c>
      <c r="V8610" s="10" t="s">
        <v>674</v>
      </c>
      <c r="W8610" s="10" t="s">
        <v>53332</v>
      </c>
      <c r="X8610" s="13" t="str">
        <f>HYPERLINK("https://my.pitchbook.com?p=56967-94P","View People Online")</f>
        <v>View People Online</v>
      </c>
    </row>
    <row r="8611">
      <c r="A8611" s="6" t="s">
        <v>53405</v>
      </c>
      <c r="B8611" s="6" t="s">
        <v>53406</v>
      </c>
      <c r="C8611" s="6" t="s">
        <v>5071</v>
      </c>
      <c r="D8611" s="6" t="s">
        <v>53407</v>
      </c>
      <c r="E8611" s="6" t="s">
        <v>53332</v>
      </c>
      <c r="F8611" s="6" t="s">
        <v>81</v>
      </c>
      <c r="G8611" s="6" t="s">
        <v>53408</v>
      </c>
      <c r="H8611" s="7" t="s">
        <v>31</v>
      </c>
      <c r="I8611" s="7">
        <v>3.0</v>
      </c>
      <c r="J8611" s="7">
        <v>1.0</v>
      </c>
      <c r="K8611" s="7" t="s">
        <v>31</v>
      </c>
      <c r="L8611" s="8" t="s">
        <v>31</v>
      </c>
      <c r="M8611" s="6" t="s">
        <v>53409</v>
      </c>
      <c r="N8611" s="6" t="s">
        <v>1716</v>
      </c>
      <c r="O8611" s="8" t="s">
        <v>1717</v>
      </c>
      <c r="P8611" s="6" t="s">
        <v>53410</v>
      </c>
      <c r="Q8611" s="6" t="s">
        <v>53411</v>
      </c>
      <c r="R8611" s="6" t="s">
        <v>64</v>
      </c>
      <c r="S8611" s="8" t="s">
        <v>1720</v>
      </c>
      <c r="T8611" s="6" t="s">
        <v>66</v>
      </c>
      <c r="U8611" s="8" t="s">
        <v>31</v>
      </c>
      <c r="V8611" s="6" t="s">
        <v>991</v>
      </c>
      <c r="W8611" s="6" t="s">
        <v>53412</v>
      </c>
      <c r="X8611" s="9" t="str">
        <f>HYPERLINK("https://my.pitchbook.com?p=284079-70P","View People Online")</f>
        <v>View People Online</v>
      </c>
    </row>
    <row r="8612">
      <c r="A8612" s="2" t="s">
        <v>53413</v>
      </c>
      <c r="B8612" s="2" t="s">
        <v>53414</v>
      </c>
      <c r="C8612" s="2" t="s">
        <v>1356</v>
      </c>
      <c r="D8612" s="2" t="s">
        <v>53415</v>
      </c>
      <c r="E8612" s="2" t="s">
        <v>53332</v>
      </c>
      <c r="F8612" s="2" t="s">
        <v>53416</v>
      </c>
      <c r="G8612" s="2" t="s">
        <v>53417</v>
      </c>
      <c r="H8612" s="3" t="s">
        <v>31</v>
      </c>
      <c r="I8612" s="3">
        <v>11.0</v>
      </c>
      <c r="J8612" s="3">
        <v>2.0</v>
      </c>
      <c r="K8612" s="3">
        <v>6.0</v>
      </c>
      <c r="L8612" s="4" t="s">
        <v>53418</v>
      </c>
      <c r="M8612" s="2" t="s">
        <v>53419</v>
      </c>
      <c r="N8612" s="2" t="s">
        <v>29434</v>
      </c>
      <c r="O8612" s="4" t="s">
        <v>29435</v>
      </c>
      <c r="P8612" s="2" t="s">
        <v>53336</v>
      </c>
      <c r="Q8612" s="2" t="s">
        <v>1784</v>
      </c>
      <c r="R8612" s="2" t="s">
        <v>75</v>
      </c>
      <c r="S8612" s="4" t="s">
        <v>53337</v>
      </c>
      <c r="T8612" s="2" t="s">
        <v>66</v>
      </c>
      <c r="U8612" s="4" t="s">
        <v>53338</v>
      </c>
      <c r="V8612" s="2" t="s">
        <v>53420</v>
      </c>
      <c r="W8612" s="2" t="s">
        <v>53332</v>
      </c>
      <c r="X8612" s="5" t="str">
        <f>HYPERLINK("https://my.pitchbook.com?p=37695-52P","View People Online")</f>
        <v>View People Online</v>
      </c>
    </row>
    <row r="8613">
      <c r="A8613" s="14" t="s">
        <v>53421</v>
      </c>
      <c r="B8613" s="14" t="s">
        <v>53422</v>
      </c>
      <c r="C8613" s="14" t="s">
        <v>1758</v>
      </c>
      <c r="D8613" s="14" t="s">
        <v>53423</v>
      </c>
      <c r="E8613" s="14" t="s">
        <v>53332</v>
      </c>
      <c r="F8613" s="14" t="s">
        <v>81</v>
      </c>
      <c r="G8613" s="14" t="s">
        <v>53424</v>
      </c>
      <c r="H8613" s="15" t="s">
        <v>31</v>
      </c>
      <c r="I8613" s="15">
        <v>3.0</v>
      </c>
      <c r="J8613" s="15">
        <v>1.0</v>
      </c>
      <c r="K8613" s="15" t="s">
        <v>31</v>
      </c>
      <c r="L8613" s="16" t="s">
        <v>5908</v>
      </c>
      <c r="M8613" s="14" t="s">
        <v>31</v>
      </c>
      <c r="N8613" s="14" t="s">
        <v>29167</v>
      </c>
      <c r="O8613" s="16" t="s">
        <v>29168</v>
      </c>
      <c r="P8613" s="14" t="s">
        <v>53425</v>
      </c>
      <c r="Q8613" s="14" t="s">
        <v>31</v>
      </c>
      <c r="R8613" s="14" t="s">
        <v>1185</v>
      </c>
      <c r="S8613" s="16" t="s">
        <v>29170</v>
      </c>
      <c r="T8613" s="14" t="s">
        <v>66</v>
      </c>
      <c r="U8613" s="16" t="s">
        <v>31</v>
      </c>
      <c r="V8613" s="14" t="s">
        <v>270</v>
      </c>
      <c r="W8613" s="14" t="s">
        <v>53426</v>
      </c>
      <c r="X8613" s="17" t="str">
        <f>HYPERLINK("https://my.pitchbook.com?p=277367-14P","View People Online")</f>
        <v>View People Online</v>
      </c>
    </row>
    <row r="8614">
      <c r="A8614" s="10" t="s">
        <v>53427</v>
      </c>
      <c r="B8614" s="10" t="s">
        <v>53428</v>
      </c>
      <c r="C8614" s="10" t="s">
        <v>53429</v>
      </c>
      <c r="D8614" s="10" t="s">
        <v>1146</v>
      </c>
      <c r="E8614" s="10" t="s">
        <v>53332</v>
      </c>
      <c r="F8614" s="10" t="s">
        <v>371</v>
      </c>
      <c r="G8614" s="10" t="s">
        <v>53430</v>
      </c>
      <c r="H8614" s="11" t="s">
        <v>31</v>
      </c>
      <c r="I8614" s="11">
        <v>1.0</v>
      </c>
      <c r="J8614" s="11">
        <v>1.0</v>
      </c>
      <c r="K8614" s="11" t="s">
        <v>31</v>
      </c>
      <c r="L8614" s="12" t="s">
        <v>53343</v>
      </c>
      <c r="M8614" s="10" t="s">
        <v>31</v>
      </c>
      <c r="N8614" s="10" t="s">
        <v>29434</v>
      </c>
      <c r="O8614" s="12" t="s">
        <v>29435</v>
      </c>
      <c r="P8614" s="10" t="s">
        <v>53336</v>
      </c>
      <c r="Q8614" s="10" t="s">
        <v>1784</v>
      </c>
      <c r="R8614" s="10" t="s">
        <v>75</v>
      </c>
      <c r="S8614" s="12" t="s">
        <v>53337</v>
      </c>
      <c r="T8614" s="10" t="s">
        <v>66</v>
      </c>
      <c r="U8614" s="12" t="s">
        <v>53338</v>
      </c>
      <c r="V8614" s="10" t="s">
        <v>3808</v>
      </c>
      <c r="W8614" s="10" t="s">
        <v>53332</v>
      </c>
      <c r="X8614" s="13" t="str">
        <f>HYPERLINK("https://my.pitchbook.com?p=316941-67P","View People Online")</f>
        <v>View People Online</v>
      </c>
    </row>
    <row r="8615">
      <c r="A8615" s="14" t="s">
        <v>53431</v>
      </c>
      <c r="B8615" s="14" t="s">
        <v>53432</v>
      </c>
      <c r="C8615" s="14" t="s">
        <v>3089</v>
      </c>
      <c r="D8615" s="14" t="s">
        <v>30092</v>
      </c>
      <c r="E8615" s="14" t="s">
        <v>53332</v>
      </c>
      <c r="F8615" s="14" t="s">
        <v>371</v>
      </c>
      <c r="G8615" s="14" t="s">
        <v>53433</v>
      </c>
      <c r="H8615" s="15" t="s">
        <v>31</v>
      </c>
      <c r="I8615" s="15">
        <v>2.0</v>
      </c>
      <c r="J8615" s="15">
        <v>1.0</v>
      </c>
      <c r="K8615" s="15" t="s">
        <v>31</v>
      </c>
      <c r="L8615" s="16" t="s">
        <v>53343</v>
      </c>
      <c r="M8615" s="14" t="s">
        <v>53434</v>
      </c>
      <c r="N8615" s="14" t="s">
        <v>29434</v>
      </c>
      <c r="O8615" s="16" t="s">
        <v>29435</v>
      </c>
      <c r="P8615" s="14" t="s">
        <v>53336</v>
      </c>
      <c r="Q8615" s="14" t="s">
        <v>1784</v>
      </c>
      <c r="R8615" s="14" t="s">
        <v>75</v>
      </c>
      <c r="S8615" s="16" t="s">
        <v>53337</v>
      </c>
      <c r="T8615" s="14" t="s">
        <v>66</v>
      </c>
      <c r="U8615" s="16" t="s">
        <v>53338</v>
      </c>
      <c r="V8615" s="14" t="s">
        <v>53435</v>
      </c>
      <c r="W8615" s="14" t="s">
        <v>53332</v>
      </c>
      <c r="X8615" s="17" t="str">
        <f>HYPERLINK("https://my.pitchbook.com?p=413914-69P","View People Online")</f>
        <v>View People Online</v>
      </c>
    </row>
    <row r="8616">
      <c r="A8616" s="2" t="s">
        <v>53436</v>
      </c>
      <c r="B8616" s="2" t="s">
        <v>53437</v>
      </c>
      <c r="C8616" s="2" t="s">
        <v>3096</v>
      </c>
      <c r="D8616" s="2" t="s">
        <v>10050</v>
      </c>
      <c r="E8616" s="2" t="s">
        <v>53332</v>
      </c>
      <c r="F8616" s="2" t="s">
        <v>371</v>
      </c>
      <c r="G8616" s="2" t="s">
        <v>53438</v>
      </c>
      <c r="H8616" s="3" t="s">
        <v>31</v>
      </c>
      <c r="I8616" s="3">
        <v>1.0</v>
      </c>
      <c r="J8616" s="3">
        <v>1.0</v>
      </c>
      <c r="K8616" s="3" t="s">
        <v>31</v>
      </c>
      <c r="L8616" s="4" t="s">
        <v>53343</v>
      </c>
      <c r="M8616" s="2" t="s">
        <v>31</v>
      </c>
      <c r="N8616" s="2" t="s">
        <v>29434</v>
      </c>
      <c r="O8616" s="4" t="s">
        <v>29435</v>
      </c>
      <c r="P8616" s="2" t="s">
        <v>53336</v>
      </c>
      <c r="Q8616" s="2" t="s">
        <v>1784</v>
      </c>
      <c r="R8616" s="2" t="s">
        <v>75</v>
      </c>
      <c r="S8616" s="4" t="s">
        <v>53337</v>
      </c>
      <c r="T8616" s="2" t="s">
        <v>66</v>
      </c>
      <c r="U8616" s="4" t="s">
        <v>53338</v>
      </c>
      <c r="V8616" s="2" t="s">
        <v>53439</v>
      </c>
      <c r="W8616" s="2" t="s">
        <v>53332</v>
      </c>
      <c r="X8616" s="5" t="str">
        <f>HYPERLINK("https://my.pitchbook.com?p=205491-07P","View People Online")</f>
        <v>View People Online</v>
      </c>
    </row>
    <row r="8617">
      <c r="A8617" s="14" t="s">
        <v>53440</v>
      </c>
      <c r="B8617" s="14" t="s">
        <v>53441</v>
      </c>
      <c r="C8617" s="14" t="s">
        <v>5113</v>
      </c>
      <c r="D8617" s="14" t="s">
        <v>9222</v>
      </c>
      <c r="E8617" s="14" t="s">
        <v>53332</v>
      </c>
      <c r="F8617" s="14" t="s">
        <v>81</v>
      </c>
      <c r="G8617" s="14" t="s">
        <v>53442</v>
      </c>
      <c r="H8617" s="15">
        <v>1.0</v>
      </c>
      <c r="I8617" s="15">
        <v>4.0</v>
      </c>
      <c r="J8617" s="15">
        <v>1.0</v>
      </c>
      <c r="K8617" s="15" t="s">
        <v>31</v>
      </c>
      <c r="L8617" s="16" t="s">
        <v>31</v>
      </c>
      <c r="M8617" s="14" t="s">
        <v>53443</v>
      </c>
      <c r="N8617" s="14" t="s">
        <v>75</v>
      </c>
      <c r="O8617" s="16" t="s">
        <v>76</v>
      </c>
      <c r="P8617" s="14" t="s">
        <v>53444</v>
      </c>
      <c r="Q8617" s="14" t="s">
        <v>2340</v>
      </c>
      <c r="R8617" s="14" t="s">
        <v>75</v>
      </c>
      <c r="S8617" s="16" t="s">
        <v>1432</v>
      </c>
      <c r="T8617" s="14" t="s">
        <v>66</v>
      </c>
      <c r="U8617" s="16" t="s">
        <v>31</v>
      </c>
      <c r="V8617" s="14" t="s">
        <v>53445</v>
      </c>
      <c r="W8617" s="14" t="s">
        <v>53446</v>
      </c>
      <c r="X8617" s="17" t="str">
        <f>HYPERLINK("https://my.pitchbook.com?p=270969-49P","View People Online")</f>
        <v>View People Online</v>
      </c>
    </row>
    <row r="8618">
      <c r="A8618" s="2" t="s">
        <v>53447</v>
      </c>
      <c r="B8618" s="2" t="s">
        <v>53448</v>
      </c>
      <c r="C8618" s="2" t="s">
        <v>53449</v>
      </c>
      <c r="D8618" s="2" t="s">
        <v>53450</v>
      </c>
      <c r="E8618" s="2" t="s">
        <v>53332</v>
      </c>
      <c r="F8618" s="2" t="s">
        <v>10552</v>
      </c>
      <c r="G8618" s="2" t="s">
        <v>53451</v>
      </c>
      <c r="H8618" s="3" t="s">
        <v>31</v>
      </c>
      <c r="I8618" s="3">
        <v>2.0</v>
      </c>
      <c r="J8618" s="3">
        <v>1.0</v>
      </c>
      <c r="K8618" s="3" t="s">
        <v>31</v>
      </c>
      <c r="L8618" s="4" t="s">
        <v>53343</v>
      </c>
      <c r="M8618" s="2" t="s">
        <v>53452</v>
      </c>
      <c r="N8618" s="2" t="s">
        <v>29434</v>
      </c>
      <c r="O8618" s="4" t="s">
        <v>29435</v>
      </c>
      <c r="P8618" s="2" t="s">
        <v>53336</v>
      </c>
      <c r="Q8618" s="2" t="s">
        <v>1784</v>
      </c>
      <c r="R8618" s="2" t="s">
        <v>75</v>
      </c>
      <c r="S8618" s="4" t="s">
        <v>53337</v>
      </c>
      <c r="T8618" s="2" t="s">
        <v>66</v>
      </c>
      <c r="U8618" s="4" t="s">
        <v>53338</v>
      </c>
      <c r="V8618" s="2" t="s">
        <v>53453</v>
      </c>
      <c r="W8618" s="2" t="s">
        <v>53332</v>
      </c>
      <c r="X8618" s="5" t="str">
        <f>HYPERLINK("https://my.pitchbook.com?p=193347-19P","View People Online")</f>
        <v>View People Online</v>
      </c>
    </row>
    <row r="8619">
      <c r="A8619" s="6" t="s">
        <v>53454</v>
      </c>
      <c r="B8619" s="6" t="s">
        <v>53455</v>
      </c>
      <c r="C8619" s="6" t="s">
        <v>160</v>
      </c>
      <c r="D8619" s="6" t="s">
        <v>7731</v>
      </c>
      <c r="E8619" s="6" t="s">
        <v>53332</v>
      </c>
      <c r="F8619" s="6" t="s">
        <v>674</v>
      </c>
      <c r="G8619" s="6" t="s">
        <v>53456</v>
      </c>
      <c r="H8619" s="7">
        <v>7.0</v>
      </c>
      <c r="I8619" s="7">
        <v>43.0</v>
      </c>
      <c r="J8619" s="7">
        <v>2.0</v>
      </c>
      <c r="K8619" s="7">
        <v>28.0</v>
      </c>
      <c r="L8619" s="8" t="s">
        <v>53457</v>
      </c>
      <c r="M8619" s="6" t="s">
        <v>31</v>
      </c>
      <c r="N8619" s="6" t="s">
        <v>29434</v>
      </c>
      <c r="O8619" s="8" t="s">
        <v>29435</v>
      </c>
      <c r="P8619" s="6" t="s">
        <v>53336</v>
      </c>
      <c r="Q8619" s="6" t="s">
        <v>1784</v>
      </c>
      <c r="R8619" s="6" t="s">
        <v>75</v>
      </c>
      <c r="S8619" s="8" t="s">
        <v>53337</v>
      </c>
      <c r="T8619" s="6" t="s">
        <v>66</v>
      </c>
      <c r="U8619" s="8" t="s">
        <v>53338</v>
      </c>
      <c r="V8619" s="6" t="s">
        <v>53458</v>
      </c>
      <c r="W8619" s="6" t="s">
        <v>53332</v>
      </c>
      <c r="X8619" s="9" t="str">
        <f>HYPERLINK("https://my.pitchbook.com?p=40448-44P","View People Online")</f>
        <v>View People Online</v>
      </c>
    </row>
    <row r="8620">
      <c r="A8620" s="10" t="s">
        <v>53459</v>
      </c>
      <c r="B8620" s="10" t="s">
        <v>53460</v>
      </c>
      <c r="C8620" s="10" t="s">
        <v>126</v>
      </c>
      <c r="D8620" s="10" t="s">
        <v>53461</v>
      </c>
      <c r="E8620" s="10" t="s">
        <v>53332</v>
      </c>
      <c r="F8620" s="10" t="s">
        <v>25501</v>
      </c>
      <c r="G8620" s="10" t="s">
        <v>53462</v>
      </c>
      <c r="H8620" s="11" t="s">
        <v>31</v>
      </c>
      <c r="I8620" s="11">
        <v>10.0</v>
      </c>
      <c r="J8620" s="11">
        <v>3.0</v>
      </c>
      <c r="K8620" s="11">
        <v>3.0</v>
      </c>
      <c r="L8620" s="12" t="s">
        <v>53418</v>
      </c>
      <c r="M8620" s="10" t="s">
        <v>53463</v>
      </c>
      <c r="N8620" s="10" t="s">
        <v>29434</v>
      </c>
      <c r="O8620" s="12" t="s">
        <v>29435</v>
      </c>
      <c r="P8620" s="10" t="s">
        <v>53336</v>
      </c>
      <c r="Q8620" s="10" t="s">
        <v>1784</v>
      </c>
      <c r="R8620" s="10" t="s">
        <v>75</v>
      </c>
      <c r="S8620" s="12" t="s">
        <v>53337</v>
      </c>
      <c r="T8620" s="10" t="s">
        <v>66</v>
      </c>
      <c r="U8620" s="12" t="s">
        <v>53338</v>
      </c>
      <c r="V8620" s="10" t="s">
        <v>53464</v>
      </c>
      <c r="W8620" s="10" t="s">
        <v>53332</v>
      </c>
      <c r="X8620" s="13" t="str">
        <f>HYPERLINK("https://my.pitchbook.com?p=42824-17P","View People Online")</f>
        <v>View People Online</v>
      </c>
    </row>
    <row r="8621">
      <c r="A8621" s="14" t="s">
        <v>53465</v>
      </c>
      <c r="B8621" s="14" t="s">
        <v>53466</v>
      </c>
      <c r="C8621" s="14" t="s">
        <v>4033</v>
      </c>
      <c r="D8621" s="14" t="s">
        <v>53467</v>
      </c>
      <c r="E8621" s="14" t="s">
        <v>53332</v>
      </c>
      <c r="F8621" s="14" t="s">
        <v>114</v>
      </c>
      <c r="G8621" s="14" t="s">
        <v>53468</v>
      </c>
      <c r="H8621" s="15">
        <v>2.0</v>
      </c>
      <c r="I8621" s="15">
        <v>7.0</v>
      </c>
      <c r="J8621" s="15">
        <v>2.0</v>
      </c>
      <c r="K8621" s="15">
        <v>2.0</v>
      </c>
      <c r="L8621" s="16" t="s">
        <v>53418</v>
      </c>
      <c r="M8621" s="14" t="s">
        <v>31</v>
      </c>
      <c r="N8621" s="14" t="s">
        <v>3190</v>
      </c>
      <c r="O8621" s="16" t="s">
        <v>3191</v>
      </c>
      <c r="P8621" s="14" t="s">
        <v>31</v>
      </c>
      <c r="Q8621" s="14" t="s">
        <v>31</v>
      </c>
      <c r="R8621" s="14" t="s">
        <v>31</v>
      </c>
      <c r="S8621" s="16" t="s">
        <v>31</v>
      </c>
      <c r="T8621" s="14" t="s">
        <v>3194</v>
      </c>
      <c r="U8621" s="16" t="s">
        <v>31</v>
      </c>
      <c r="V8621" s="14" t="s">
        <v>2127</v>
      </c>
      <c r="W8621" s="14" t="s">
        <v>53469</v>
      </c>
      <c r="X8621" s="17" t="str">
        <f>HYPERLINK("https://my.pitchbook.com?p=192201-76P","View People Online")</f>
        <v>View People Online</v>
      </c>
    </row>
    <row r="8622">
      <c r="A8622" s="10" t="s">
        <v>53470</v>
      </c>
      <c r="B8622" s="10" t="s">
        <v>53471</v>
      </c>
      <c r="C8622" s="10" t="s">
        <v>53472</v>
      </c>
      <c r="D8622" s="10" t="s">
        <v>53473</v>
      </c>
      <c r="E8622" s="10" t="s">
        <v>53332</v>
      </c>
      <c r="F8622" s="10" t="s">
        <v>81</v>
      </c>
      <c r="G8622" s="10" t="s">
        <v>53474</v>
      </c>
      <c r="H8622" s="11" t="s">
        <v>31</v>
      </c>
      <c r="I8622" s="11">
        <v>2.0</v>
      </c>
      <c r="J8622" s="11" t="s">
        <v>31</v>
      </c>
      <c r="K8622" s="11" t="s">
        <v>31</v>
      </c>
      <c r="L8622" s="12" t="s">
        <v>53343</v>
      </c>
      <c r="M8622" s="10" t="s">
        <v>31</v>
      </c>
      <c r="N8622" s="10" t="s">
        <v>29434</v>
      </c>
      <c r="O8622" s="12" t="s">
        <v>29435</v>
      </c>
      <c r="P8622" s="10" t="s">
        <v>53336</v>
      </c>
      <c r="Q8622" s="10" t="s">
        <v>1784</v>
      </c>
      <c r="R8622" s="10" t="s">
        <v>75</v>
      </c>
      <c r="S8622" s="12" t="s">
        <v>53337</v>
      </c>
      <c r="T8622" s="10" t="s">
        <v>66</v>
      </c>
      <c r="U8622" s="12" t="s">
        <v>53338</v>
      </c>
      <c r="V8622" s="10" t="s">
        <v>53475</v>
      </c>
      <c r="W8622" s="10" t="s">
        <v>53332</v>
      </c>
      <c r="X8622" s="13" t="str">
        <f>HYPERLINK("https://my.pitchbook.com?p=413910-01P","View People Online")</f>
        <v>View People Online</v>
      </c>
    </row>
    <row r="8623">
      <c r="A8623" s="6" t="s">
        <v>53476</v>
      </c>
      <c r="B8623" s="6" t="s">
        <v>53477</v>
      </c>
      <c r="C8623" s="6" t="s">
        <v>12005</v>
      </c>
      <c r="D8623" s="6" t="s">
        <v>53478</v>
      </c>
      <c r="E8623" s="6" t="s">
        <v>53332</v>
      </c>
      <c r="F8623" s="6" t="s">
        <v>53355</v>
      </c>
      <c r="G8623" s="6" t="s">
        <v>53479</v>
      </c>
      <c r="H8623" s="7">
        <v>1.0</v>
      </c>
      <c r="I8623" s="7">
        <v>1.0</v>
      </c>
      <c r="J8623" s="7">
        <v>1.0</v>
      </c>
      <c r="K8623" s="7" t="s">
        <v>31</v>
      </c>
      <c r="L8623" s="8" t="s">
        <v>31</v>
      </c>
      <c r="M8623" s="6" t="s">
        <v>53480</v>
      </c>
      <c r="N8623" s="6" t="s">
        <v>75</v>
      </c>
      <c r="O8623" s="8" t="s">
        <v>76</v>
      </c>
      <c r="P8623" s="6" t="s">
        <v>53481</v>
      </c>
      <c r="Q8623" s="6" t="s">
        <v>31</v>
      </c>
      <c r="R8623" s="6" t="s">
        <v>75</v>
      </c>
      <c r="S8623" s="8" t="s">
        <v>1122</v>
      </c>
      <c r="T8623" s="6" t="s">
        <v>66</v>
      </c>
      <c r="U8623" s="8" t="s">
        <v>31</v>
      </c>
      <c r="V8623" s="6" t="s">
        <v>53482</v>
      </c>
      <c r="W8623" s="6" t="s">
        <v>53332</v>
      </c>
      <c r="X8623" s="9" t="str">
        <f>HYPERLINK("https://my.pitchbook.com?p=381072-61P","View People Online")</f>
        <v>View People Online</v>
      </c>
    </row>
    <row r="8624">
      <c r="A8624" s="2" t="s">
        <v>53483</v>
      </c>
      <c r="B8624" s="2" t="s">
        <v>53484</v>
      </c>
      <c r="C8624" s="2" t="s">
        <v>53485</v>
      </c>
      <c r="D8624" s="2" t="s">
        <v>53486</v>
      </c>
      <c r="E8624" s="2" t="s">
        <v>53332</v>
      </c>
      <c r="F8624" s="2" t="s">
        <v>57</v>
      </c>
      <c r="G8624" s="2" t="s">
        <v>53487</v>
      </c>
      <c r="H8624" s="3">
        <v>1.0</v>
      </c>
      <c r="I8624" s="3">
        <v>5.0</v>
      </c>
      <c r="J8624" s="3">
        <v>2.0</v>
      </c>
      <c r="K8624" s="3">
        <v>1.0</v>
      </c>
      <c r="L8624" s="4" t="s">
        <v>53488</v>
      </c>
      <c r="M8624" s="2" t="s">
        <v>53489</v>
      </c>
      <c r="N8624" s="2" t="s">
        <v>13041</v>
      </c>
      <c r="O8624" s="4" t="s">
        <v>13042</v>
      </c>
      <c r="P8624" s="2" t="s">
        <v>53490</v>
      </c>
      <c r="Q8624" s="2" t="s">
        <v>53491</v>
      </c>
      <c r="R8624" s="2" t="s">
        <v>10326</v>
      </c>
      <c r="S8624" s="4" t="s">
        <v>53492</v>
      </c>
      <c r="T8624" s="2" t="s">
        <v>66</v>
      </c>
      <c r="U8624" s="4" t="s">
        <v>53493</v>
      </c>
      <c r="V8624" s="2" t="s">
        <v>1172</v>
      </c>
      <c r="W8624" s="2" t="s">
        <v>53494</v>
      </c>
      <c r="X8624" s="5" t="str">
        <f>HYPERLINK("https://my.pitchbook.com?p=132214-60P","View People Online")</f>
        <v>View People Online</v>
      </c>
    </row>
    <row r="8625">
      <c r="A8625" s="14" t="s">
        <v>53495</v>
      </c>
      <c r="B8625" s="14" t="s">
        <v>53496</v>
      </c>
      <c r="C8625" s="14" t="s">
        <v>36086</v>
      </c>
      <c r="D8625" s="14" t="s">
        <v>3221</v>
      </c>
      <c r="E8625" s="14" t="s">
        <v>53332</v>
      </c>
      <c r="F8625" s="14" t="s">
        <v>221</v>
      </c>
      <c r="G8625" s="14" t="s">
        <v>53497</v>
      </c>
      <c r="H8625" s="15" t="s">
        <v>31</v>
      </c>
      <c r="I8625" s="15">
        <v>1.0</v>
      </c>
      <c r="J8625" s="15">
        <v>1.0</v>
      </c>
      <c r="K8625" s="15" t="s">
        <v>31</v>
      </c>
      <c r="L8625" s="16" t="s">
        <v>53343</v>
      </c>
      <c r="M8625" s="14" t="s">
        <v>31</v>
      </c>
      <c r="N8625" s="14" t="s">
        <v>29434</v>
      </c>
      <c r="O8625" s="16" t="s">
        <v>29435</v>
      </c>
      <c r="P8625" s="14" t="s">
        <v>53336</v>
      </c>
      <c r="Q8625" s="14" t="s">
        <v>1784</v>
      </c>
      <c r="R8625" s="14" t="s">
        <v>75</v>
      </c>
      <c r="S8625" s="16" t="s">
        <v>53337</v>
      </c>
      <c r="T8625" s="14" t="s">
        <v>66</v>
      </c>
      <c r="U8625" s="16" t="s">
        <v>53338</v>
      </c>
      <c r="V8625" s="14" t="s">
        <v>53498</v>
      </c>
      <c r="W8625" s="14" t="s">
        <v>53332</v>
      </c>
      <c r="X8625" s="17" t="str">
        <f>HYPERLINK("https://my.pitchbook.com?p=316908-91P","View People Online")</f>
        <v>View People Online</v>
      </c>
    </row>
    <row r="8626">
      <c r="A8626" s="2" t="s">
        <v>53499</v>
      </c>
      <c r="B8626" s="2" t="s">
        <v>53500</v>
      </c>
      <c r="C8626" s="2" t="s">
        <v>395</v>
      </c>
      <c r="D8626" s="2" t="s">
        <v>53375</v>
      </c>
      <c r="E8626" s="2" t="s">
        <v>53332</v>
      </c>
      <c r="F8626" s="2" t="s">
        <v>81</v>
      </c>
      <c r="G8626" s="2" t="s">
        <v>53501</v>
      </c>
      <c r="H8626" s="3" t="s">
        <v>31</v>
      </c>
      <c r="I8626" s="3">
        <v>2.0</v>
      </c>
      <c r="J8626" s="3" t="s">
        <v>31</v>
      </c>
      <c r="K8626" s="3" t="s">
        <v>31</v>
      </c>
      <c r="L8626" s="4" t="s">
        <v>53343</v>
      </c>
      <c r="M8626" s="2" t="s">
        <v>31</v>
      </c>
      <c r="N8626" s="2" t="s">
        <v>29434</v>
      </c>
      <c r="O8626" s="4" t="s">
        <v>29435</v>
      </c>
      <c r="P8626" s="2" t="s">
        <v>53336</v>
      </c>
      <c r="Q8626" s="2" t="s">
        <v>1784</v>
      </c>
      <c r="R8626" s="2" t="s">
        <v>75</v>
      </c>
      <c r="S8626" s="4" t="s">
        <v>53337</v>
      </c>
      <c r="T8626" s="2" t="s">
        <v>66</v>
      </c>
      <c r="U8626" s="4" t="s">
        <v>53338</v>
      </c>
      <c r="V8626" s="2" t="s">
        <v>53502</v>
      </c>
      <c r="W8626" s="2" t="s">
        <v>53332</v>
      </c>
      <c r="X8626" s="5" t="str">
        <f>HYPERLINK("https://my.pitchbook.com?p=413910-55P","View People Online")</f>
        <v>View People Online</v>
      </c>
    </row>
    <row r="8627">
      <c r="A8627" s="6" t="s">
        <v>53503</v>
      </c>
      <c r="B8627" s="6" t="s">
        <v>53504</v>
      </c>
      <c r="C8627" s="6" t="s">
        <v>395</v>
      </c>
      <c r="D8627" s="6" t="s">
        <v>53505</v>
      </c>
      <c r="E8627" s="6" t="s">
        <v>53332</v>
      </c>
      <c r="F8627" s="6" t="s">
        <v>53506</v>
      </c>
      <c r="G8627" s="6" t="s">
        <v>53507</v>
      </c>
      <c r="H8627" s="7">
        <v>5.0</v>
      </c>
      <c r="I8627" s="7">
        <v>33.0</v>
      </c>
      <c r="J8627" s="7">
        <v>3.0</v>
      </c>
      <c r="K8627" s="7">
        <v>17.0</v>
      </c>
      <c r="L8627" s="8" t="s">
        <v>53418</v>
      </c>
      <c r="M8627" s="6" t="s">
        <v>53508</v>
      </c>
      <c r="N8627" s="6" t="s">
        <v>29434</v>
      </c>
      <c r="O8627" s="8" t="s">
        <v>29435</v>
      </c>
      <c r="P8627" s="6" t="s">
        <v>53336</v>
      </c>
      <c r="Q8627" s="6" t="s">
        <v>1784</v>
      </c>
      <c r="R8627" s="6" t="s">
        <v>75</v>
      </c>
      <c r="S8627" s="8" t="s">
        <v>53337</v>
      </c>
      <c r="T8627" s="6" t="s">
        <v>66</v>
      </c>
      <c r="U8627" s="8" t="s">
        <v>53338</v>
      </c>
      <c r="V8627" s="6" t="s">
        <v>53509</v>
      </c>
      <c r="W8627" s="6" t="s">
        <v>53332</v>
      </c>
      <c r="X8627" s="9" t="str">
        <f>HYPERLINK("https://my.pitchbook.com?p=48049-84P","View People Online")</f>
        <v>View People Online</v>
      </c>
    </row>
    <row r="8628">
      <c r="A8628" s="10" t="s">
        <v>53510</v>
      </c>
      <c r="B8628" s="10" t="s">
        <v>53511</v>
      </c>
      <c r="C8628" s="10" t="s">
        <v>53512</v>
      </c>
      <c r="D8628" s="10" t="s">
        <v>7731</v>
      </c>
      <c r="E8628" s="10" t="s">
        <v>53332</v>
      </c>
      <c r="F8628" s="10" t="s">
        <v>674</v>
      </c>
      <c r="G8628" s="10" t="s">
        <v>53513</v>
      </c>
      <c r="H8628" s="11" t="s">
        <v>31</v>
      </c>
      <c r="I8628" s="11">
        <v>3.0</v>
      </c>
      <c r="J8628" s="11">
        <v>1.0</v>
      </c>
      <c r="K8628" s="11">
        <v>1.0</v>
      </c>
      <c r="L8628" s="12" t="s">
        <v>53343</v>
      </c>
      <c r="M8628" s="10" t="s">
        <v>31</v>
      </c>
      <c r="N8628" s="10" t="s">
        <v>29434</v>
      </c>
      <c r="O8628" s="12" t="s">
        <v>29435</v>
      </c>
      <c r="P8628" s="10" t="s">
        <v>53336</v>
      </c>
      <c r="Q8628" s="10" t="s">
        <v>1784</v>
      </c>
      <c r="R8628" s="10" t="s">
        <v>75</v>
      </c>
      <c r="S8628" s="12" t="s">
        <v>53337</v>
      </c>
      <c r="T8628" s="10" t="s">
        <v>66</v>
      </c>
      <c r="U8628" s="12" t="s">
        <v>53338</v>
      </c>
      <c r="V8628" s="10" t="s">
        <v>53514</v>
      </c>
      <c r="W8628" s="10" t="s">
        <v>53332</v>
      </c>
      <c r="X8628" s="13" t="str">
        <f>HYPERLINK("https://my.pitchbook.com?p=233364-07P","View People Online")</f>
        <v>View People Online</v>
      </c>
    </row>
    <row r="8629">
      <c r="A8629" s="6" t="s">
        <v>53515</v>
      </c>
      <c r="B8629" s="6" t="s">
        <v>53516</v>
      </c>
      <c r="C8629" s="6" t="s">
        <v>53517</v>
      </c>
      <c r="D8629" s="6" t="s">
        <v>13439</v>
      </c>
      <c r="E8629" s="6" t="s">
        <v>53332</v>
      </c>
      <c r="F8629" s="6" t="s">
        <v>502</v>
      </c>
      <c r="G8629" s="6" t="s">
        <v>53518</v>
      </c>
      <c r="H8629" s="7" t="s">
        <v>31</v>
      </c>
      <c r="I8629" s="7">
        <v>2.0</v>
      </c>
      <c r="J8629" s="7">
        <v>2.0</v>
      </c>
      <c r="K8629" s="7" t="s">
        <v>31</v>
      </c>
      <c r="L8629" s="8" t="s">
        <v>53343</v>
      </c>
      <c r="M8629" s="6" t="s">
        <v>53519</v>
      </c>
      <c r="N8629" s="6" t="s">
        <v>29434</v>
      </c>
      <c r="O8629" s="8" t="s">
        <v>29435</v>
      </c>
      <c r="P8629" s="6" t="s">
        <v>53336</v>
      </c>
      <c r="Q8629" s="6" t="s">
        <v>1784</v>
      </c>
      <c r="R8629" s="6" t="s">
        <v>75</v>
      </c>
      <c r="S8629" s="8" t="s">
        <v>53337</v>
      </c>
      <c r="T8629" s="6" t="s">
        <v>66</v>
      </c>
      <c r="U8629" s="8" t="s">
        <v>53338</v>
      </c>
      <c r="V8629" s="6" t="s">
        <v>502</v>
      </c>
      <c r="W8629" s="6" t="s">
        <v>53332</v>
      </c>
      <c r="X8629" s="9" t="str">
        <f>HYPERLINK("https://my.pitchbook.com?p=112764-70P","View People Online")</f>
        <v>View People Online</v>
      </c>
    </row>
    <row r="8630">
      <c r="A8630" s="2" t="s">
        <v>53520</v>
      </c>
      <c r="B8630" s="2" t="s">
        <v>53521</v>
      </c>
      <c r="C8630" s="2" t="s">
        <v>1824</v>
      </c>
      <c r="D8630" s="2" t="s">
        <v>2469</v>
      </c>
      <c r="E8630" s="2" t="s">
        <v>53332</v>
      </c>
      <c r="F8630" s="2" t="s">
        <v>201</v>
      </c>
      <c r="G8630" s="2" t="s">
        <v>53522</v>
      </c>
      <c r="H8630" s="3" t="s">
        <v>31</v>
      </c>
      <c r="I8630" s="3">
        <v>1.0</v>
      </c>
      <c r="J8630" s="3">
        <v>1.0</v>
      </c>
      <c r="K8630" s="3" t="s">
        <v>31</v>
      </c>
      <c r="L8630" s="4" t="s">
        <v>53523</v>
      </c>
      <c r="M8630" s="2" t="s">
        <v>31</v>
      </c>
      <c r="N8630" s="2" t="s">
        <v>29434</v>
      </c>
      <c r="O8630" s="4" t="s">
        <v>29435</v>
      </c>
      <c r="P8630" s="2" t="s">
        <v>53336</v>
      </c>
      <c r="Q8630" s="2" t="s">
        <v>1784</v>
      </c>
      <c r="R8630" s="2" t="s">
        <v>75</v>
      </c>
      <c r="S8630" s="4" t="s">
        <v>53337</v>
      </c>
      <c r="T8630" s="2" t="s">
        <v>66</v>
      </c>
      <c r="U8630" s="4" t="s">
        <v>53338</v>
      </c>
      <c r="V8630" s="2" t="s">
        <v>53524</v>
      </c>
      <c r="W8630" s="2" t="s">
        <v>53332</v>
      </c>
      <c r="X8630" s="5" t="str">
        <f>HYPERLINK("https://my.pitchbook.com?p=257796-19P","View People Online")</f>
        <v>View People Online</v>
      </c>
    </row>
    <row r="8631">
      <c r="A8631" s="14" t="s">
        <v>53525</v>
      </c>
      <c r="B8631" s="14" t="s">
        <v>53526</v>
      </c>
      <c r="C8631" s="14" t="s">
        <v>6199</v>
      </c>
      <c r="D8631" s="14" t="s">
        <v>53527</v>
      </c>
      <c r="E8631" s="14" t="s">
        <v>53332</v>
      </c>
      <c r="F8631" s="14" t="s">
        <v>81</v>
      </c>
      <c r="G8631" s="14" t="s">
        <v>53528</v>
      </c>
      <c r="H8631" s="15" t="s">
        <v>31</v>
      </c>
      <c r="I8631" s="15">
        <v>2.0</v>
      </c>
      <c r="J8631" s="15" t="s">
        <v>31</v>
      </c>
      <c r="K8631" s="15" t="s">
        <v>31</v>
      </c>
      <c r="L8631" s="16" t="s">
        <v>53343</v>
      </c>
      <c r="M8631" s="14" t="s">
        <v>31</v>
      </c>
      <c r="N8631" s="14" t="s">
        <v>29434</v>
      </c>
      <c r="O8631" s="16" t="s">
        <v>29435</v>
      </c>
      <c r="P8631" s="14" t="s">
        <v>53336</v>
      </c>
      <c r="Q8631" s="14" t="s">
        <v>1784</v>
      </c>
      <c r="R8631" s="14" t="s">
        <v>75</v>
      </c>
      <c r="S8631" s="16" t="s">
        <v>53337</v>
      </c>
      <c r="T8631" s="14" t="s">
        <v>66</v>
      </c>
      <c r="U8631" s="16" t="s">
        <v>53338</v>
      </c>
      <c r="V8631" s="14" t="s">
        <v>2379</v>
      </c>
      <c r="W8631" s="14" t="s">
        <v>53529</v>
      </c>
      <c r="X8631" s="17" t="str">
        <f>HYPERLINK("https://my.pitchbook.com?p=72932-68P","View People Online")</f>
        <v>View People Online</v>
      </c>
    </row>
    <row r="8632">
      <c r="A8632" s="10" t="s">
        <v>53530</v>
      </c>
      <c r="B8632" s="10" t="s">
        <v>53531</v>
      </c>
      <c r="C8632" s="10" t="s">
        <v>562</v>
      </c>
      <c r="D8632" s="10" t="s">
        <v>53532</v>
      </c>
      <c r="E8632" s="10" t="s">
        <v>53332</v>
      </c>
      <c r="F8632" s="10" t="s">
        <v>81</v>
      </c>
      <c r="G8632" s="10" t="s">
        <v>53533</v>
      </c>
      <c r="H8632" s="11" t="s">
        <v>31</v>
      </c>
      <c r="I8632" s="11">
        <v>2.0</v>
      </c>
      <c r="J8632" s="11" t="s">
        <v>31</v>
      </c>
      <c r="K8632" s="11" t="s">
        <v>31</v>
      </c>
      <c r="L8632" s="12" t="s">
        <v>53343</v>
      </c>
      <c r="M8632" s="10" t="s">
        <v>31</v>
      </c>
      <c r="N8632" s="10" t="s">
        <v>29434</v>
      </c>
      <c r="O8632" s="12" t="s">
        <v>29435</v>
      </c>
      <c r="P8632" s="10" t="s">
        <v>53336</v>
      </c>
      <c r="Q8632" s="10" t="s">
        <v>1784</v>
      </c>
      <c r="R8632" s="10" t="s">
        <v>75</v>
      </c>
      <c r="S8632" s="12" t="s">
        <v>53337</v>
      </c>
      <c r="T8632" s="10" t="s">
        <v>66</v>
      </c>
      <c r="U8632" s="12" t="s">
        <v>53338</v>
      </c>
      <c r="V8632" s="10" t="s">
        <v>53534</v>
      </c>
      <c r="W8632" s="10" t="s">
        <v>53332</v>
      </c>
      <c r="X8632" s="13" t="str">
        <f>HYPERLINK("https://my.pitchbook.com?p=413912-17P","View People Online")</f>
        <v>View People Online</v>
      </c>
    </row>
    <row r="8633">
      <c r="A8633" s="14" t="s">
        <v>53535</v>
      </c>
      <c r="B8633" s="14" t="s">
        <v>53536</v>
      </c>
      <c r="C8633" s="14" t="s">
        <v>53537</v>
      </c>
      <c r="D8633" s="14" t="s">
        <v>53538</v>
      </c>
      <c r="E8633" s="14" t="s">
        <v>53332</v>
      </c>
      <c r="F8633" s="14" t="s">
        <v>201</v>
      </c>
      <c r="G8633" s="14" t="s">
        <v>53539</v>
      </c>
      <c r="H8633" s="15" t="s">
        <v>31</v>
      </c>
      <c r="I8633" s="15">
        <v>1.0</v>
      </c>
      <c r="J8633" s="15">
        <v>1.0</v>
      </c>
      <c r="K8633" s="15" t="s">
        <v>31</v>
      </c>
      <c r="L8633" s="16" t="s">
        <v>31</v>
      </c>
      <c r="M8633" s="14" t="s">
        <v>53540</v>
      </c>
      <c r="N8633" s="14" t="s">
        <v>75</v>
      </c>
      <c r="O8633" s="16" t="s">
        <v>76</v>
      </c>
      <c r="P8633" s="14" t="s">
        <v>53481</v>
      </c>
      <c r="Q8633" s="14" t="s">
        <v>31</v>
      </c>
      <c r="R8633" s="14" t="s">
        <v>75</v>
      </c>
      <c r="S8633" s="16" t="s">
        <v>1122</v>
      </c>
      <c r="T8633" s="14" t="s">
        <v>66</v>
      </c>
      <c r="U8633" s="16" t="s">
        <v>31</v>
      </c>
      <c r="V8633" s="14" t="s">
        <v>41655</v>
      </c>
      <c r="W8633" s="14" t="s">
        <v>53332</v>
      </c>
      <c r="X8633" s="17" t="str">
        <f>HYPERLINK("https://my.pitchbook.com?p=281919-97P","View People Online")</f>
        <v>View People Online</v>
      </c>
    </row>
    <row r="8634">
      <c r="A8634" s="10" t="s">
        <v>53541</v>
      </c>
      <c r="B8634" s="10" t="s">
        <v>53542</v>
      </c>
      <c r="C8634" s="10" t="s">
        <v>38170</v>
      </c>
      <c r="D8634" s="10" t="s">
        <v>21636</v>
      </c>
      <c r="E8634" s="10" t="s">
        <v>53543</v>
      </c>
      <c r="F8634" s="10" t="s">
        <v>270</v>
      </c>
      <c r="G8634" s="10" t="s">
        <v>31</v>
      </c>
      <c r="H8634" s="11" t="s">
        <v>31</v>
      </c>
      <c r="I8634" s="11">
        <v>2.0</v>
      </c>
      <c r="J8634" s="11">
        <v>1.0</v>
      </c>
      <c r="K8634" s="11">
        <v>1.0</v>
      </c>
      <c r="L8634" s="12" t="s">
        <v>53544</v>
      </c>
      <c r="M8634" s="10" t="s">
        <v>31</v>
      </c>
      <c r="N8634" s="10" t="s">
        <v>28133</v>
      </c>
      <c r="O8634" s="12" t="s">
        <v>28134</v>
      </c>
      <c r="P8634" s="10" t="s">
        <v>53545</v>
      </c>
      <c r="Q8634" s="10" t="s">
        <v>6654</v>
      </c>
      <c r="R8634" s="10" t="s">
        <v>75</v>
      </c>
      <c r="S8634" s="12" t="s">
        <v>28136</v>
      </c>
      <c r="T8634" s="10" t="s">
        <v>66</v>
      </c>
      <c r="U8634" s="12" t="s">
        <v>31</v>
      </c>
      <c r="V8634" s="10" t="s">
        <v>1922</v>
      </c>
      <c r="W8634" s="10" t="s">
        <v>53543</v>
      </c>
      <c r="X8634" s="13" t="str">
        <f>HYPERLINK("https://my.pitchbook.com?p=452065-33P","View People Online")</f>
        <v>View People Online</v>
      </c>
    </row>
    <row r="8635">
      <c r="A8635" s="14" t="s">
        <v>53546</v>
      </c>
      <c r="B8635" s="14" t="s">
        <v>53547</v>
      </c>
      <c r="C8635" s="14" t="s">
        <v>4009</v>
      </c>
      <c r="D8635" s="14" t="s">
        <v>53548</v>
      </c>
      <c r="E8635" s="14" t="s">
        <v>53543</v>
      </c>
      <c r="F8635" s="14" t="s">
        <v>53549</v>
      </c>
      <c r="G8635" s="14" t="s">
        <v>53550</v>
      </c>
      <c r="H8635" s="15" t="s">
        <v>31</v>
      </c>
      <c r="I8635" s="15">
        <v>7.0</v>
      </c>
      <c r="J8635" s="15">
        <v>1.0</v>
      </c>
      <c r="K8635" s="15">
        <v>5.0</v>
      </c>
      <c r="L8635" s="16" t="s">
        <v>53544</v>
      </c>
      <c r="M8635" s="14" t="s">
        <v>53551</v>
      </c>
      <c r="N8635" s="14" t="s">
        <v>28133</v>
      </c>
      <c r="O8635" s="16" t="s">
        <v>28134</v>
      </c>
      <c r="P8635" s="14" t="s">
        <v>53545</v>
      </c>
      <c r="Q8635" s="14" t="s">
        <v>6654</v>
      </c>
      <c r="R8635" s="14" t="s">
        <v>75</v>
      </c>
      <c r="S8635" s="16" t="s">
        <v>28136</v>
      </c>
      <c r="T8635" s="14" t="s">
        <v>66</v>
      </c>
      <c r="U8635" s="16" t="s">
        <v>31</v>
      </c>
      <c r="V8635" s="14" t="s">
        <v>53549</v>
      </c>
      <c r="W8635" s="14" t="s">
        <v>53543</v>
      </c>
      <c r="X8635" s="17" t="str">
        <f>HYPERLINK("https://my.pitchbook.com?p=163850-59P","View People Online")</f>
        <v>View People Online</v>
      </c>
    </row>
    <row r="8636">
      <c r="A8636" s="10" t="s">
        <v>53552</v>
      </c>
      <c r="B8636" s="10" t="s">
        <v>53553</v>
      </c>
      <c r="C8636" s="10" t="s">
        <v>53554</v>
      </c>
      <c r="D8636" s="10" t="s">
        <v>53555</v>
      </c>
      <c r="E8636" s="10" t="s">
        <v>53556</v>
      </c>
      <c r="F8636" s="10" t="s">
        <v>548</v>
      </c>
      <c r="G8636" s="10" t="s">
        <v>53557</v>
      </c>
      <c r="H8636" s="11" t="s">
        <v>31</v>
      </c>
      <c r="I8636" s="11">
        <v>1.0</v>
      </c>
      <c r="J8636" s="11">
        <v>1.0</v>
      </c>
      <c r="K8636" s="11" t="s">
        <v>31</v>
      </c>
      <c r="L8636" s="12" t="s">
        <v>53558</v>
      </c>
      <c r="M8636" s="10" t="s">
        <v>53559</v>
      </c>
      <c r="N8636" s="10" t="s">
        <v>53560</v>
      </c>
      <c r="O8636" s="12" t="s">
        <v>53561</v>
      </c>
      <c r="P8636" s="10" t="s">
        <v>53562</v>
      </c>
      <c r="Q8636" s="10" t="s">
        <v>31</v>
      </c>
      <c r="R8636" s="10" t="s">
        <v>31</v>
      </c>
      <c r="S8636" s="12" t="s">
        <v>53563</v>
      </c>
      <c r="T8636" s="10" t="s">
        <v>3104</v>
      </c>
      <c r="U8636" s="12" t="s">
        <v>31</v>
      </c>
      <c r="V8636" s="10" t="s">
        <v>548</v>
      </c>
      <c r="W8636" s="10" t="s">
        <v>53556</v>
      </c>
      <c r="X8636" s="13" t="str">
        <f>HYPERLINK("https://my.pitchbook.com?p=204616-09P","View People Online")</f>
        <v>View People Online</v>
      </c>
    </row>
    <row r="8637">
      <c r="A8637" s="14" t="s">
        <v>53564</v>
      </c>
      <c r="B8637" s="14" t="s">
        <v>53565</v>
      </c>
      <c r="C8637" s="14" t="s">
        <v>541</v>
      </c>
      <c r="D8637" s="14" t="s">
        <v>16295</v>
      </c>
      <c r="E8637" s="14" t="s">
        <v>53556</v>
      </c>
      <c r="F8637" s="14" t="s">
        <v>270</v>
      </c>
      <c r="G8637" s="14" t="s">
        <v>53566</v>
      </c>
      <c r="H8637" s="15" t="s">
        <v>31</v>
      </c>
      <c r="I8637" s="15">
        <v>2.0</v>
      </c>
      <c r="J8637" s="15">
        <v>1.0</v>
      </c>
      <c r="K8637" s="15" t="s">
        <v>31</v>
      </c>
      <c r="L8637" s="16" t="s">
        <v>53558</v>
      </c>
      <c r="M8637" s="14" t="s">
        <v>53567</v>
      </c>
      <c r="N8637" s="14" t="s">
        <v>53560</v>
      </c>
      <c r="O8637" s="16" t="s">
        <v>53561</v>
      </c>
      <c r="P8637" s="14" t="s">
        <v>53562</v>
      </c>
      <c r="Q8637" s="14" t="s">
        <v>31</v>
      </c>
      <c r="R8637" s="14" t="s">
        <v>31</v>
      </c>
      <c r="S8637" s="16" t="s">
        <v>53563</v>
      </c>
      <c r="T8637" s="14" t="s">
        <v>3104</v>
      </c>
      <c r="U8637" s="16" t="s">
        <v>31</v>
      </c>
      <c r="V8637" s="14" t="s">
        <v>1529</v>
      </c>
      <c r="W8637" s="14" t="s">
        <v>53556</v>
      </c>
      <c r="X8637" s="17" t="str">
        <f>HYPERLINK("https://my.pitchbook.com?p=268131-16P","View People Online")</f>
        <v>View People Online</v>
      </c>
    </row>
    <row r="8638">
      <c r="A8638" s="10" t="s">
        <v>53568</v>
      </c>
      <c r="B8638" s="10" t="s">
        <v>53569</v>
      </c>
      <c r="C8638" s="10" t="s">
        <v>180</v>
      </c>
      <c r="D8638" s="10" t="s">
        <v>53570</v>
      </c>
      <c r="E8638" s="10" t="s">
        <v>53556</v>
      </c>
      <c r="F8638" s="10" t="s">
        <v>2731</v>
      </c>
      <c r="G8638" s="10" t="s">
        <v>53571</v>
      </c>
      <c r="H8638" s="11" t="s">
        <v>31</v>
      </c>
      <c r="I8638" s="11">
        <v>3.0</v>
      </c>
      <c r="J8638" s="11">
        <v>1.0</v>
      </c>
      <c r="K8638" s="11">
        <v>1.0</v>
      </c>
      <c r="L8638" s="12" t="s">
        <v>31</v>
      </c>
      <c r="M8638" s="10" t="s">
        <v>31</v>
      </c>
      <c r="N8638" s="10" t="s">
        <v>243</v>
      </c>
      <c r="O8638" s="12" t="s">
        <v>244</v>
      </c>
      <c r="P8638" s="10" t="s">
        <v>53572</v>
      </c>
      <c r="Q8638" s="10" t="s">
        <v>31</v>
      </c>
      <c r="R8638" s="10" t="s">
        <v>247</v>
      </c>
      <c r="S8638" s="12" t="s">
        <v>53573</v>
      </c>
      <c r="T8638" s="10" t="s">
        <v>249</v>
      </c>
      <c r="U8638" s="12" t="s">
        <v>31</v>
      </c>
      <c r="V8638" s="10" t="s">
        <v>1114</v>
      </c>
      <c r="W8638" s="10" t="s">
        <v>53574</v>
      </c>
      <c r="X8638" s="13" t="str">
        <f>HYPERLINK("https://my.pitchbook.com?p=212286-88P","View People Online")</f>
        <v>View People Online</v>
      </c>
    </row>
    <row r="8639">
      <c r="A8639" s="14" t="s">
        <v>53575</v>
      </c>
      <c r="B8639" s="14" t="s">
        <v>53576</v>
      </c>
      <c r="C8639" s="14" t="s">
        <v>5205</v>
      </c>
      <c r="D8639" s="14" t="s">
        <v>53577</v>
      </c>
      <c r="E8639" s="14" t="s">
        <v>53578</v>
      </c>
      <c r="F8639" s="14" t="s">
        <v>43</v>
      </c>
      <c r="G8639" s="14" t="s">
        <v>53579</v>
      </c>
      <c r="H8639" s="15">
        <v>4.0</v>
      </c>
      <c r="I8639" s="15">
        <v>20.0</v>
      </c>
      <c r="J8639" s="15">
        <v>1.0</v>
      </c>
      <c r="K8639" s="15">
        <v>12.0</v>
      </c>
      <c r="L8639" s="16" t="s">
        <v>31</v>
      </c>
      <c r="M8639" s="14" t="s">
        <v>31</v>
      </c>
      <c r="N8639" s="14" t="s">
        <v>6669</v>
      </c>
      <c r="O8639" s="16" t="s">
        <v>6670</v>
      </c>
      <c r="P8639" s="14" t="s">
        <v>53580</v>
      </c>
      <c r="Q8639" s="14" t="s">
        <v>53581</v>
      </c>
      <c r="R8639" s="14" t="s">
        <v>1185</v>
      </c>
      <c r="S8639" s="16" t="s">
        <v>6712</v>
      </c>
      <c r="T8639" s="14" t="s">
        <v>66</v>
      </c>
      <c r="U8639" s="16" t="s">
        <v>31</v>
      </c>
      <c r="V8639" s="14" t="s">
        <v>43</v>
      </c>
      <c r="W8639" s="14" t="s">
        <v>53578</v>
      </c>
      <c r="X8639" s="17" t="str">
        <f>HYPERLINK("https://my.pitchbook.com?p=158483-17P","View People Online")</f>
        <v>View People Online</v>
      </c>
    </row>
    <row r="8640">
      <c r="A8640" s="10" t="s">
        <v>53582</v>
      </c>
      <c r="B8640" s="10" t="s">
        <v>53583</v>
      </c>
      <c r="C8640" s="10" t="s">
        <v>15042</v>
      </c>
      <c r="D8640" s="10" t="s">
        <v>53584</v>
      </c>
      <c r="E8640" s="10" t="s">
        <v>53578</v>
      </c>
      <c r="F8640" s="10" t="s">
        <v>57</v>
      </c>
      <c r="G8640" s="10" t="s">
        <v>53585</v>
      </c>
      <c r="H8640" s="11">
        <v>3.0</v>
      </c>
      <c r="I8640" s="11">
        <v>26.0</v>
      </c>
      <c r="J8640" s="11">
        <v>2.0</v>
      </c>
      <c r="K8640" s="11">
        <v>17.0</v>
      </c>
      <c r="L8640" s="12" t="s">
        <v>53586</v>
      </c>
      <c r="M8640" s="10" t="s">
        <v>53587</v>
      </c>
      <c r="N8640" s="10" t="s">
        <v>6669</v>
      </c>
      <c r="O8640" s="12" t="s">
        <v>6670</v>
      </c>
      <c r="P8640" s="10" t="s">
        <v>53580</v>
      </c>
      <c r="Q8640" s="10" t="s">
        <v>53581</v>
      </c>
      <c r="R8640" s="10" t="s">
        <v>1185</v>
      </c>
      <c r="S8640" s="12" t="s">
        <v>6712</v>
      </c>
      <c r="T8640" s="10" t="s">
        <v>66</v>
      </c>
      <c r="U8640" s="12" t="s">
        <v>31</v>
      </c>
      <c r="V8640" s="10" t="s">
        <v>57</v>
      </c>
      <c r="W8640" s="10" t="s">
        <v>53578</v>
      </c>
      <c r="X8640" s="13" t="str">
        <f>HYPERLINK("https://my.pitchbook.com?p=94601-35P","View People Online")</f>
        <v>View People Online</v>
      </c>
    </row>
    <row r="8641">
      <c r="A8641" s="14" t="s">
        <v>53588</v>
      </c>
      <c r="B8641" s="14" t="s">
        <v>53589</v>
      </c>
      <c r="C8641" s="14" t="s">
        <v>53590</v>
      </c>
      <c r="D8641" s="14" t="s">
        <v>53591</v>
      </c>
      <c r="E8641" s="14" t="s">
        <v>53578</v>
      </c>
      <c r="F8641" s="14" t="s">
        <v>318</v>
      </c>
      <c r="G8641" s="14" t="s">
        <v>53592</v>
      </c>
      <c r="H8641" s="15" t="s">
        <v>31</v>
      </c>
      <c r="I8641" s="15">
        <v>1.0</v>
      </c>
      <c r="J8641" s="15">
        <v>1.0</v>
      </c>
      <c r="K8641" s="15" t="s">
        <v>31</v>
      </c>
      <c r="L8641" s="16" t="s">
        <v>31</v>
      </c>
      <c r="M8641" s="14" t="s">
        <v>53593</v>
      </c>
      <c r="N8641" s="14" t="s">
        <v>6669</v>
      </c>
      <c r="O8641" s="16" t="s">
        <v>6670</v>
      </c>
      <c r="P8641" s="14" t="s">
        <v>53580</v>
      </c>
      <c r="Q8641" s="14" t="s">
        <v>53581</v>
      </c>
      <c r="R8641" s="14" t="s">
        <v>1185</v>
      </c>
      <c r="S8641" s="16" t="s">
        <v>6712</v>
      </c>
      <c r="T8641" s="14" t="s">
        <v>66</v>
      </c>
      <c r="U8641" s="16" t="s">
        <v>31</v>
      </c>
      <c r="V8641" s="14" t="s">
        <v>318</v>
      </c>
      <c r="W8641" s="14" t="s">
        <v>53578</v>
      </c>
      <c r="X8641" s="17" t="str">
        <f>HYPERLINK("https://my.pitchbook.com?p=331829-29P","View People Online")</f>
        <v>View People Online</v>
      </c>
    </row>
    <row r="8642">
      <c r="A8642" s="2" t="s">
        <v>53594</v>
      </c>
      <c r="B8642" s="2" t="s">
        <v>53595</v>
      </c>
      <c r="C8642" s="2" t="s">
        <v>2950</v>
      </c>
      <c r="D8642" s="2" t="s">
        <v>10129</v>
      </c>
      <c r="E8642" s="2" t="s">
        <v>53578</v>
      </c>
      <c r="F8642" s="2" t="s">
        <v>221</v>
      </c>
      <c r="G8642" s="2" t="s">
        <v>53596</v>
      </c>
      <c r="H8642" s="3" t="s">
        <v>31</v>
      </c>
      <c r="I8642" s="3">
        <v>1.0</v>
      </c>
      <c r="J8642" s="3">
        <v>1.0</v>
      </c>
      <c r="K8642" s="3" t="s">
        <v>31</v>
      </c>
      <c r="L8642" s="4" t="s">
        <v>31</v>
      </c>
      <c r="M8642" s="2" t="s">
        <v>53597</v>
      </c>
      <c r="N8642" s="2" t="s">
        <v>6669</v>
      </c>
      <c r="O8642" s="4" t="s">
        <v>6670</v>
      </c>
      <c r="P8642" s="2" t="s">
        <v>53580</v>
      </c>
      <c r="Q8642" s="2" t="s">
        <v>53581</v>
      </c>
      <c r="R8642" s="2" t="s">
        <v>1185</v>
      </c>
      <c r="S8642" s="4" t="s">
        <v>6712</v>
      </c>
      <c r="T8642" s="2" t="s">
        <v>66</v>
      </c>
      <c r="U8642" s="4" t="s">
        <v>31</v>
      </c>
      <c r="V8642" s="2" t="s">
        <v>221</v>
      </c>
      <c r="W8642" s="2" t="s">
        <v>53578</v>
      </c>
      <c r="X8642" s="5" t="str">
        <f>HYPERLINK("https://my.pitchbook.com?p=380420-20P","View People Online")</f>
        <v>View People Online</v>
      </c>
    </row>
    <row r="8643">
      <c r="A8643" s="14" t="s">
        <v>53598</v>
      </c>
      <c r="B8643" s="14" t="s">
        <v>53599</v>
      </c>
      <c r="C8643" s="14" t="s">
        <v>3529</v>
      </c>
      <c r="D8643" s="14" t="s">
        <v>53600</v>
      </c>
      <c r="E8643" s="14" t="s">
        <v>53578</v>
      </c>
      <c r="F8643" s="14" t="s">
        <v>43</v>
      </c>
      <c r="G8643" s="14" t="s">
        <v>53601</v>
      </c>
      <c r="H8643" s="15">
        <v>4.0</v>
      </c>
      <c r="I8643" s="15">
        <v>17.0</v>
      </c>
      <c r="J8643" s="15">
        <v>3.0</v>
      </c>
      <c r="K8643" s="15">
        <v>8.0</v>
      </c>
      <c r="L8643" s="16" t="s">
        <v>31</v>
      </c>
      <c r="M8643" s="14" t="s">
        <v>53602</v>
      </c>
      <c r="N8643" s="14" t="s">
        <v>6669</v>
      </c>
      <c r="O8643" s="16" t="s">
        <v>6670</v>
      </c>
      <c r="P8643" s="14" t="s">
        <v>53580</v>
      </c>
      <c r="Q8643" s="14" t="s">
        <v>53581</v>
      </c>
      <c r="R8643" s="14" t="s">
        <v>1185</v>
      </c>
      <c r="S8643" s="16" t="s">
        <v>6712</v>
      </c>
      <c r="T8643" s="14" t="s">
        <v>66</v>
      </c>
      <c r="U8643" s="16" t="s">
        <v>31</v>
      </c>
      <c r="V8643" s="14" t="s">
        <v>43</v>
      </c>
      <c r="W8643" s="14" t="s">
        <v>53578</v>
      </c>
      <c r="X8643" s="17" t="str">
        <f>HYPERLINK("https://my.pitchbook.com?p=129842-74P","View People Online")</f>
        <v>View People Online</v>
      </c>
    </row>
    <row r="8644">
      <c r="A8644" s="2" t="s">
        <v>53603</v>
      </c>
      <c r="B8644" s="2" t="s">
        <v>53604</v>
      </c>
      <c r="C8644" s="2" t="s">
        <v>5071</v>
      </c>
      <c r="D8644" s="2" t="s">
        <v>53605</v>
      </c>
      <c r="E8644" s="2" t="s">
        <v>53578</v>
      </c>
      <c r="F8644" s="2" t="s">
        <v>29</v>
      </c>
      <c r="G8644" s="2" t="s">
        <v>53606</v>
      </c>
      <c r="H8644" s="3">
        <v>3.0</v>
      </c>
      <c r="I8644" s="3">
        <v>7.0</v>
      </c>
      <c r="J8644" s="3">
        <v>1.0</v>
      </c>
      <c r="K8644" s="3">
        <v>2.0</v>
      </c>
      <c r="L8644" s="4" t="s">
        <v>31</v>
      </c>
      <c r="M8644" s="2" t="s">
        <v>31</v>
      </c>
      <c r="N8644" s="2" t="s">
        <v>6669</v>
      </c>
      <c r="O8644" s="4" t="s">
        <v>6670</v>
      </c>
      <c r="P8644" s="2" t="s">
        <v>53580</v>
      </c>
      <c r="Q8644" s="2" t="s">
        <v>53581</v>
      </c>
      <c r="R8644" s="2" t="s">
        <v>1185</v>
      </c>
      <c r="S8644" s="4" t="s">
        <v>6712</v>
      </c>
      <c r="T8644" s="2" t="s">
        <v>66</v>
      </c>
      <c r="U8644" s="4" t="s">
        <v>31</v>
      </c>
      <c r="V8644" s="2" t="s">
        <v>29</v>
      </c>
      <c r="W8644" s="2" t="s">
        <v>53578</v>
      </c>
      <c r="X8644" s="5" t="str">
        <f>HYPERLINK("https://my.pitchbook.com?p=226812-52P","View People Online")</f>
        <v>View People Online</v>
      </c>
    </row>
    <row r="8645">
      <c r="A8645" s="6" t="s">
        <v>53607</v>
      </c>
      <c r="B8645" s="6" t="s">
        <v>53608</v>
      </c>
      <c r="C8645" s="6" t="s">
        <v>1807</v>
      </c>
      <c r="D8645" s="6" t="s">
        <v>53609</v>
      </c>
      <c r="E8645" s="6" t="s">
        <v>53578</v>
      </c>
      <c r="F8645" s="6" t="s">
        <v>29</v>
      </c>
      <c r="G8645" s="6" t="s">
        <v>53610</v>
      </c>
      <c r="H8645" s="7" t="s">
        <v>31</v>
      </c>
      <c r="I8645" s="7">
        <v>2.0</v>
      </c>
      <c r="J8645" s="7">
        <v>1.0</v>
      </c>
      <c r="K8645" s="7" t="s">
        <v>31</v>
      </c>
      <c r="L8645" s="8" t="s">
        <v>31</v>
      </c>
      <c r="M8645" s="6" t="s">
        <v>53611</v>
      </c>
      <c r="N8645" s="6" t="s">
        <v>6669</v>
      </c>
      <c r="O8645" s="8" t="s">
        <v>6670</v>
      </c>
      <c r="P8645" s="6" t="s">
        <v>53580</v>
      </c>
      <c r="Q8645" s="6" t="s">
        <v>53581</v>
      </c>
      <c r="R8645" s="6" t="s">
        <v>1185</v>
      </c>
      <c r="S8645" s="8" t="s">
        <v>6712</v>
      </c>
      <c r="T8645" s="6" t="s">
        <v>66</v>
      </c>
      <c r="U8645" s="8" t="s">
        <v>31</v>
      </c>
      <c r="V8645" s="6" t="s">
        <v>29</v>
      </c>
      <c r="W8645" s="6" t="s">
        <v>53578</v>
      </c>
      <c r="X8645" s="9" t="str">
        <f>HYPERLINK("https://my.pitchbook.com?p=83496-88P","View People Online")</f>
        <v>View People Online</v>
      </c>
    </row>
    <row r="8646">
      <c r="A8646" s="2" t="s">
        <v>53612</v>
      </c>
      <c r="B8646" s="2" t="s">
        <v>53613</v>
      </c>
      <c r="C8646" s="2" t="s">
        <v>2412</v>
      </c>
      <c r="D8646" s="2" t="s">
        <v>8429</v>
      </c>
      <c r="E8646" s="2" t="s">
        <v>53578</v>
      </c>
      <c r="F8646" s="2" t="s">
        <v>221</v>
      </c>
      <c r="G8646" s="2" t="s">
        <v>53614</v>
      </c>
      <c r="H8646" s="3" t="s">
        <v>31</v>
      </c>
      <c r="I8646" s="3">
        <v>1.0</v>
      </c>
      <c r="J8646" s="3">
        <v>1.0</v>
      </c>
      <c r="K8646" s="3" t="s">
        <v>31</v>
      </c>
      <c r="L8646" s="4" t="s">
        <v>31</v>
      </c>
      <c r="M8646" s="2" t="s">
        <v>53615</v>
      </c>
      <c r="N8646" s="2" t="s">
        <v>6669</v>
      </c>
      <c r="O8646" s="4" t="s">
        <v>6670</v>
      </c>
      <c r="P8646" s="2" t="s">
        <v>53580</v>
      </c>
      <c r="Q8646" s="2" t="s">
        <v>53581</v>
      </c>
      <c r="R8646" s="2" t="s">
        <v>1185</v>
      </c>
      <c r="S8646" s="4" t="s">
        <v>6712</v>
      </c>
      <c r="T8646" s="2" t="s">
        <v>66</v>
      </c>
      <c r="U8646" s="4" t="s">
        <v>31</v>
      </c>
      <c r="V8646" s="2" t="s">
        <v>221</v>
      </c>
      <c r="W8646" s="2" t="s">
        <v>53578</v>
      </c>
      <c r="X8646" s="5" t="str">
        <f>HYPERLINK("https://my.pitchbook.com?p=270156-16P","View People Online")</f>
        <v>View People Online</v>
      </c>
    </row>
    <row r="8647">
      <c r="A8647" s="14" t="s">
        <v>53616</v>
      </c>
      <c r="B8647" s="14" t="s">
        <v>53617</v>
      </c>
      <c r="C8647" s="14" t="s">
        <v>536</v>
      </c>
      <c r="D8647" s="14" t="s">
        <v>12207</v>
      </c>
      <c r="E8647" s="14" t="s">
        <v>53578</v>
      </c>
      <c r="F8647" s="14" t="s">
        <v>667</v>
      </c>
      <c r="G8647" s="14" t="s">
        <v>53618</v>
      </c>
      <c r="H8647" s="15" t="s">
        <v>31</v>
      </c>
      <c r="I8647" s="15">
        <v>1.0</v>
      </c>
      <c r="J8647" s="15">
        <v>1.0</v>
      </c>
      <c r="K8647" s="15" t="s">
        <v>31</v>
      </c>
      <c r="L8647" s="16" t="s">
        <v>31</v>
      </c>
      <c r="M8647" s="14" t="s">
        <v>53619</v>
      </c>
      <c r="N8647" s="14" t="s">
        <v>6669</v>
      </c>
      <c r="O8647" s="16" t="s">
        <v>6670</v>
      </c>
      <c r="P8647" s="14" t="s">
        <v>53580</v>
      </c>
      <c r="Q8647" s="14" t="s">
        <v>53581</v>
      </c>
      <c r="R8647" s="14" t="s">
        <v>1185</v>
      </c>
      <c r="S8647" s="16" t="s">
        <v>6712</v>
      </c>
      <c r="T8647" s="14" t="s">
        <v>66</v>
      </c>
      <c r="U8647" s="16" t="s">
        <v>31</v>
      </c>
      <c r="V8647" s="14" t="s">
        <v>667</v>
      </c>
      <c r="W8647" s="14" t="s">
        <v>53578</v>
      </c>
      <c r="X8647" s="17" t="str">
        <f>HYPERLINK("https://my.pitchbook.com?p=430770-25P","View People Online")</f>
        <v>View People Online</v>
      </c>
    </row>
    <row r="8648">
      <c r="A8648" s="2" t="s">
        <v>53620</v>
      </c>
      <c r="B8648" s="2" t="s">
        <v>53621</v>
      </c>
      <c r="C8648" s="2" t="s">
        <v>1388</v>
      </c>
      <c r="D8648" s="2" t="s">
        <v>3789</v>
      </c>
      <c r="E8648" s="2" t="s">
        <v>53578</v>
      </c>
      <c r="F8648" s="2" t="s">
        <v>221</v>
      </c>
      <c r="G8648" s="2" t="s">
        <v>53622</v>
      </c>
      <c r="H8648" s="3" t="s">
        <v>31</v>
      </c>
      <c r="I8648" s="3">
        <v>1.0</v>
      </c>
      <c r="J8648" s="3">
        <v>1.0</v>
      </c>
      <c r="K8648" s="3" t="s">
        <v>31</v>
      </c>
      <c r="L8648" s="4" t="s">
        <v>31</v>
      </c>
      <c r="M8648" s="2" t="s">
        <v>53623</v>
      </c>
      <c r="N8648" s="2" t="s">
        <v>6669</v>
      </c>
      <c r="O8648" s="4" t="s">
        <v>6670</v>
      </c>
      <c r="P8648" s="2" t="s">
        <v>53580</v>
      </c>
      <c r="Q8648" s="2" t="s">
        <v>53581</v>
      </c>
      <c r="R8648" s="2" t="s">
        <v>1185</v>
      </c>
      <c r="S8648" s="4" t="s">
        <v>6712</v>
      </c>
      <c r="T8648" s="2" t="s">
        <v>66</v>
      </c>
      <c r="U8648" s="4" t="s">
        <v>31</v>
      </c>
      <c r="V8648" s="2" t="s">
        <v>221</v>
      </c>
      <c r="W8648" s="2" t="s">
        <v>53578</v>
      </c>
      <c r="X8648" s="5" t="str">
        <f>HYPERLINK("https://my.pitchbook.com?p=430771-33P","View People Online")</f>
        <v>View People Online</v>
      </c>
    </row>
    <row r="8649">
      <c r="A8649" s="6" t="s">
        <v>53624</v>
      </c>
      <c r="B8649" s="6" t="s">
        <v>53625</v>
      </c>
      <c r="C8649" s="6" t="s">
        <v>39750</v>
      </c>
      <c r="D8649" s="6" t="s">
        <v>53626</v>
      </c>
      <c r="E8649" s="6" t="s">
        <v>53627</v>
      </c>
      <c r="F8649" s="6" t="s">
        <v>5234</v>
      </c>
      <c r="G8649" s="6" t="s">
        <v>53628</v>
      </c>
      <c r="H8649" s="7" t="s">
        <v>31</v>
      </c>
      <c r="I8649" s="7">
        <v>1.0</v>
      </c>
      <c r="J8649" s="7">
        <v>1.0</v>
      </c>
      <c r="K8649" s="7" t="s">
        <v>31</v>
      </c>
      <c r="L8649" s="8" t="s">
        <v>53629</v>
      </c>
      <c r="M8649" s="6" t="s">
        <v>53630</v>
      </c>
      <c r="N8649" s="6" t="s">
        <v>51893</v>
      </c>
      <c r="O8649" s="8" t="s">
        <v>51894</v>
      </c>
      <c r="P8649" s="6" t="s">
        <v>53631</v>
      </c>
      <c r="Q8649" s="6" t="s">
        <v>6591</v>
      </c>
      <c r="R8649" s="6" t="s">
        <v>51895</v>
      </c>
      <c r="S8649" s="8" t="s">
        <v>53632</v>
      </c>
      <c r="T8649" s="6" t="s">
        <v>66</v>
      </c>
      <c r="U8649" s="8" t="s">
        <v>53633</v>
      </c>
      <c r="V8649" s="6" t="s">
        <v>5234</v>
      </c>
      <c r="W8649" s="6" t="s">
        <v>53627</v>
      </c>
      <c r="X8649" s="9" t="str">
        <f>HYPERLINK("https://my.pitchbook.com?p=298803-07P","View People Online")</f>
        <v>View People Online</v>
      </c>
    </row>
    <row r="8650">
      <c r="A8650" s="10" t="s">
        <v>53634</v>
      </c>
      <c r="B8650" s="10" t="s">
        <v>53635</v>
      </c>
      <c r="C8650" s="10" t="s">
        <v>7116</v>
      </c>
      <c r="D8650" s="10" t="s">
        <v>53636</v>
      </c>
      <c r="E8650" s="10" t="s">
        <v>53627</v>
      </c>
      <c r="F8650" s="10" t="s">
        <v>11527</v>
      </c>
      <c r="G8650" s="10" t="s">
        <v>53637</v>
      </c>
      <c r="H8650" s="11" t="s">
        <v>31</v>
      </c>
      <c r="I8650" s="11">
        <v>1.0</v>
      </c>
      <c r="J8650" s="11">
        <v>1.0</v>
      </c>
      <c r="K8650" s="11" t="s">
        <v>31</v>
      </c>
      <c r="L8650" s="12" t="s">
        <v>53638</v>
      </c>
      <c r="M8650" s="10" t="s">
        <v>53639</v>
      </c>
      <c r="N8650" s="10" t="s">
        <v>51893</v>
      </c>
      <c r="O8650" s="12" t="s">
        <v>51894</v>
      </c>
      <c r="P8650" s="10" t="s">
        <v>53631</v>
      </c>
      <c r="Q8650" s="10" t="s">
        <v>6591</v>
      </c>
      <c r="R8650" s="10" t="s">
        <v>51895</v>
      </c>
      <c r="S8650" s="12" t="s">
        <v>53632</v>
      </c>
      <c r="T8650" s="10" t="s">
        <v>66</v>
      </c>
      <c r="U8650" s="12" t="s">
        <v>53633</v>
      </c>
      <c r="V8650" s="10" t="s">
        <v>53640</v>
      </c>
      <c r="W8650" s="10" t="s">
        <v>53627</v>
      </c>
      <c r="X8650" s="13" t="str">
        <f>HYPERLINK("https://my.pitchbook.com?p=146278-90P","View People Online")</f>
        <v>View People Online</v>
      </c>
    </row>
    <row r="8651">
      <c r="A8651" s="6" t="s">
        <v>53641</v>
      </c>
      <c r="B8651" s="6" t="s">
        <v>53642</v>
      </c>
      <c r="C8651" s="6" t="s">
        <v>69</v>
      </c>
      <c r="D8651" s="6" t="s">
        <v>51635</v>
      </c>
      <c r="E8651" s="6" t="s">
        <v>53627</v>
      </c>
      <c r="F8651" s="6" t="s">
        <v>270</v>
      </c>
      <c r="G8651" s="6" t="s">
        <v>53643</v>
      </c>
      <c r="H8651" s="7" t="s">
        <v>31</v>
      </c>
      <c r="I8651" s="7">
        <v>1.0</v>
      </c>
      <c r="J8651" s="7">
        <v>1.0</v>
      </c>
      <c r="K8651" s="7" t="s">
        <v>31</v>
      </c>
      <c r="L8651" s="8" t="s">
        <v>53644</v>
      </c>
      <c r="M8651" s="6" t="s">
        <v>31</v>
      </c>
      <c r="N8651" s="6" t="s">
        <v>51893</v>
      </c>
      <c r="O8651" s="8" t="s">
        <v>51894</v>
      </c>
      <c r="P8651" s="6" t="s">
        <v>53631</v>
      </c>
      <c r="Q8651" s="6" t="s">
        <v>6591</v>
      </c>
      <c r="R8651" s="6" t="s">
        <v>51895</v>
      </c>
      <c r="S8651" s="8" t="s">
        <v>53632</v>
      </c>
      <c r="T8651" s="6" t="s">
        <v>66</v>
      </c>
      <c r="U8651" s="8" t="s">
        <v>53633</v>
      </c>
      <c r="V8651" s="6" t="s">
        <v>53645</v>
      </c>
      <c r="W8651" s="6" t="s">
        <v>53627</v>
      </c>
      <c r="X8651" s="9" t="str">
        <f>HYPERLINK("https://my.pitchbook.com?p=266583-43P","View People Online")</f>
        <v>View People Online</v>
      </c>
    </row>
    <row r="8652">
      <c r="A8652" s="2" t="s">
        <v>53646</v>
      </c>
      <c r="B8652" s="2" t="s">
        <v>53647</v>
      </c>
      <c r="C8652" s="2" t="s">
        <v>9904</v>
      </c>
      <c r="D8652" s="2" t="s">
        <v>53648</v>
      </c>
      <c r="E8652" s="2" t="s">
        <v>53627</v>
      </c>
      <c r="F8652" s="2" t="s">
        <v>2156</v>
      </c>
      <c r="G8652" s="2" t="s">
        <v>53649</v>
      </c>
      <c r="H8652" s="3" t="s">
        <v>31</v>
      </c>
      <c r="I8652" s="3">
        <v>1.0</v>
      </c>
      <c r="J8652" s="3">
        <v>1.0</v>
      </c>
      <c r="K8652" s="3" t="s">
        <v>31</v>
      </c>
      <c r="L8652" s="4" t="s">
        <v>53650</v>
      </c>
      <c r="M8652" s="2" t="s">
        <v>53651</v>
      </c>
      <c r="N8652" s="2" t="s">
        <v>51893</v>
      </c>
      <c r="O8652" s="4" t="s">
        <v>51894</v>
      </c>
      <c r="P8652" s="2" t="s">
        <v>53631</v>
      </c>
      <c r="Q8652" s="2" t="s">
        <v>6591</v>
      </c>
      <c r="R8652" s="2" t="s">
        <v>51895</v>
      </c>
      <c r="S8652" s="4" t="s">
        <v>53632</v>
      </c>
      <c r="T8652" s="2" t="s">
        <v>66</v>
      </c>
      <c r="U8652" s="4" t="s">
        <v>53633</v>
      </c>
      <c r="V8652" s="2" t="s">
        <v>2156</v>
      </c>
      <c r="W8652" s="2" t="s">
        <v>53627</v>
      </c>
      <c r="X8652" s="5" t="str">
        <f>HYPERLINK("https://my.pitchbook.com?p=338304-61P","View People Online")</f>
        <v>View People Online</v>
      </c>
    </row>
    <row r="8653">
      <c r="A8653" s="14" t="s">
        <v>53652</v>
      </c>
      <c r="B8653" s="14" t="s">
        <v>53653</v>
      </c>
      <c r="C8653" s="14" t="s">
        <v>1998</v>
      </c>
      <c r="D8653" s="14" t="s">
        <v>43991</v>
      </c>
      <c r="E8653" s="14" t="s">
        <v>53627</v>
      </c>
      <c r="F8653" s="14" t="s">
        <v>2835</v>
      </c>
      <c r="G8653" s="14" t="s">
        <v>53654</v>
      </c>
      <c r="H8653" s="15" t="s">
        <v>31</v>
      </c>
      <c r="I8653" s="15">
        <v>1.0</v>
      </c>
      <c r="J8653" s="15">
        <v>1.0</v>
      </c>
      <c r="K8653" s="15" t="s">
        <v>31</v>
      </c>
      <c r="L8653" s="16" t="s">
        <v>53644</v>
      </c>
      <c r="M8653" s="14" t="s">
        <v>53655</v>
      </c>
      <c r="N8653" s="14" t="s">
        <v>51893</v>
      </c>
      <c r="O8653" s="16" t="s">
        <v>51894</v>
      </c>
      <c r="P8653" s="14" t="s">
        <v>53631</v>
      </c>
      <c r="Q8653" s="14" t="s">
        <v>6591</v>
      </c>
      <c r="R8653" s="14" t="s">
        <v>51895</v>
      </c>
      <c r="S8653" s="16" t="s">
        <v>53632</v>
      </c>
      <c r="T8653" s="14" t="s">
        <v>66</v>
      </c>
      <c r="U8653" s="16" t="s">
        <v>53633</v>
      </c>
      <c r="V8653" s="14" t="s">
        <v>53656</v>
      </c>
      <c r="W8653" s="14" t="s">
        <v>53627</v>
      </c>
      <c r="X8653" s="17" t="str">
        <f>HYPERLINK("https://my.pitchbook.com?p=146278-00P","View People Online")</f>
        <v>View People Online</v>
      </c>
    </row>
    <row r="8654">
      <c r="A8654" s="2" t="s">
        <v>53657</v>
      </c>
      <c r="B8654" s="2" t="s">
        <v>53658</v>
      </c>
      <c r="C8654" s="2" t="s">
        <v>823</v>
      </c>
      <c r="D8654" s="2" t="s">
        <v>9293</v>
      </c>
      <c r="E8654" s="2" t="s">
        <v>53627</v>
      </c>
      <c r="F8654" s="2" t="s">
        <v>25501</v>
      </c>
      <c r="G8654" s="2" t="s">
        <v>53659</v>
      </c>
      <c r="H8654" s="3" t="s">
        <v>31</v>
      </c>
      <c r="I8654" s="3">
        <v>1.0</v>
      </c>
      <c r="J8654" s="3">
        <v>1.0</v>
      </c>
      <c r="K8654" s="3" t="s">
        <v>31</v>
      </c>
      <c r="L8654" s="4" t="s">
        <v>53644</v>
      </c>
      <c r="M8654" s="2" t="s">
        <v>53660</v>
      </c>
      <c r="N8654" s="2" t="s">
        <v>51893</v>
      </c>
      <c r="O8654" s="4" t="s">
        <v>51894</v>
      </c>
      <c r="P8654" s="2" t="s">
        <v>53631</v>
      </c>
      <c r="Q8654" s="2" t="s">
        <v>6591</v>
      </c>
      <c r="R8654" s="2" t="s">
        <v>51895</v>
      </c>
      <c r="S8654" s="4" t="s">
        <v>53632</v>
      </c>
      <c r="T8654" s="2" t="s">
        <v>66</v>
      </c>
      <c r="U8654" s="4" t="s">
        <v>53633</v>
      </c>
      <c r="V8654" s="2" t="s">
        <v>32451</v>
      </c>
      <c r="W8654" s="2" t="s">
        <v>53627</v>
      </c>
      <c r="X8654" s="5" t="str">
        <f>HYPERLINK("https://my.pitchbook.com?p=393135-13P","View People Online")</f>
        <v>View People Online</v>
      </c>
    </row>
    <row r="8655">
      <c r="A8655" s="6" t="s">
        <v>53661</v>
      </c>
      <c r="B8655" s="6" t="s">
        <v>53662</v>
      </c>
      <c r="C8655" s="6" t="s">
        <v>3670</v>
      </c>
      <c r="D8655" s="6" t="s">
        <v>28011</v>
      </c>
      <c r="E8655" s="6" t="s">
        <v>53627</v>
      </c>
      <c r="F8655" s="6" t="s">
        <v>3740</v>
      </c>
      <c r="G8655" s="6" t="s">
        <v>53663</v>
      </c>
      <c r="H8655" s="7" t="s">
        <v>31</v>
      </c>
      <c r="I8655" s="7">
        <v>1.0</v>
      </c>
      <c r="J8655" s="7">
        <v>1.0</v>
      </c>
      <c r="K8655" s="7" t="s">
        <v>31</v>
      </c>
      <c r="L8655" s="8" t="s">
        <v>53664</v>
      </c>
      <c r="M8655" s="6" t="s">
        <v>53665</v>
      </c>
      <c r="N8655" s="6" t="s">
        <v>51893</v>
      </c>
      <c r="O8655" s="8" t="s">
        <v>51894</v>
      </c>
      <c r="P8655" s="6" t="s">
        <v>53631</v>
      </c>
      <c r="Q8655" s="6" t="s">
        <v>6591</v>
      </c>
      <c r="R8655" s="6" t="s">
        <v>51895</v>
      </c>
      <c r="S8655" s="8" t="s">
        <v>53632</v>
      </c>
      <c r="T8655" s="6" t="s">
        <v>66</v>
      </c>
      <c r="U8655" s="8" t="s">
        <v>53633</v>
      </c>
      <c r="V8655" s="6" t="s">
        <v>41448</v>
      </c>
      <c r="W8655" s="6" t="s">
        <v>53627</v>
      </c>
      <c r="X8655" s="9" t="str">
        <f>HYPERLINK("https://my.pitchbook.com?p=183120-49P","View People Online")</f>
        <v>View People Online</v>
      </c>
    </row>
    <row r="8656">
      <c r="A8656" s="10" t="s">
        <v>53666</v>
      </c>
      <c r="B8656" s="10" t="s">
        <v>53667</v>
      </c>
      <c r="C8656" s="10" t="s">
        <v>39630</v>
      </c>
      <c r="D8656" s="10" t="s">
        <v>53668</v>
      </c>
      <c r="E8656" s="10" t="s">
        <v>53627</v>
      </c>
      <c r="F8656" s="10" t="s">
        <v>270</v>
      </c>
      <c r="G8656" s="10" t="s">
        <v>53669</v>
      </c>
      <c r="H8656" s="11" t="s">
        <v>31</v>
      </c>
      <c r="I8656" s="11">
        <v>1.0</v>
      </c>
      <c r="J8656" s="11">
        <v>1.0</v>
      </c>
      <c r="K8656" s="11" t="s">
        <v>31</v>
      </c>
      <c r="L8656" s="12" t="s">
        <v>53644</v>
      </c>
      <c r="M8656" s="10" t="s">
        <v>53670</v>
      </c>
      <c r="N8656" s="10" t="s">
        <v>51893</v>
      </c>
      <c r="O8656" s="12" t="s">
        <v>51894</v>
      </c>
      <c r="P8656" s="10" t="s">
        <v>53631</v>
      </c>
      <c r="Q8656" s="10" t="s">
        <v>6591</v>
      </c>
      <c r="R8656" s="10" t="s">
        <v>51895</v>
      </c>
      <c r="S8656" s="12" t="s">
        <v>53632</v>
      </c>
      <c r="T8656" s="10" t="s">
        <v>66</v>
      </c>
      <c r="U8656" s="12" t="s">
        <v>53633</v>
      </c>
      <c r="V8656" s="10" t="s">
        <v>53671</v>
      </c>
      <c r="W8656" s="10" t="s">
        <v>53627</v>
      </c>
      <c r="X8656" s="13" t="str">
        <f>HYPERLINK("https://my.pitchbook.com?p=294762-97P","View People Online")</f>
        <v>View People Online</v>
      </c>
    </row>
    <row r="8657">
      <c r="A8657" s="6" t="s">
        <v>53672</v>
      </c>
      <c r="B8657" s="6" t="s">
        <v>53673</v>
      </c>
      <c r="C8657" s="6" t="s">
        <v>3082</v>
      </c>
      <c r="D8657" s="6" t="s">
        <v>47502</v>
      </c>
      <c r="E8657" s="6" t="s">
        <v>53627</v>
      </c>
      <c r="F8657" s="6" t="s">
        <v>27498</v>
      </c>
      <c r="G8657" s="6" t="s">
        <v>53674</v>
      </c>
      <c r="H8657" s="7" t="s">
        <v>31</v>
      </c>
      <c r="I8657" s="7">
        <v>1.0</v>
      </c>
      <c r="J8657" s="7">
        <v>1.0</v>
      </c>
      <c r="K8657" s="7" t="s">
        <v>31</v>
      </c>
      <c r="L8657" s="8" t="s">
        <v>53675</v>
      </c>
      <c r="M8657" s="6" t="s">
        <v>53676</v>
      </c>
      <c r="N8657" s="6" t="s">
        <v>51893</v>
      </c>
      <c r="O8657" s="8" t="s">
        <v>51894</v>
      </c>
      <c r="P8657" s="6" t="s">
        <v>53631</v>
      </c>
      <c r="Q8657" s="6" t="s">
        <v>6591</v>
      </c>
      <c r="R8657" s="6" t="s">
        <v>51895</v>
      </c>
      <c r="S8657" s="8" t="s">
        <v>53632</v>
      </c>
      <c r="T8657" s="6" t="s">
        <v>66</v>
      </c>
      <c r="U8657" s="8" t="s">
        <v>53633</v>
      </c>
      <c r="V8657" s="6" t="s">
        <v>53677</v>
      </c>
      <c r="W8657" s="6" t="s">
        <v>53627</v>
      </c>
      <c r="X8657" s="9" t="str">
        <f>HYPERLINK("https://my.pitchbook.com?p=298805-59P","View People Online")</f>
        <v>View People Online</v>
      </c>
    </row>
    <row r="8658">
      <c r="A8658" s="10" t="s">
        <v>53678</v>
      </c>
      <c r="B8658" s="10" t="s">
        <v>53679</v>
      </c>
      <c r="C8658" s="10" t="s">
        <v>27706</v>
      </c>
      <c r="D8658" s="10" t="s">
        <v>53680</v>
      </c>
      <c r="E8658" s="10" t="s">
        <v>53627</v>
      </c>
      <c r="F8658" s="10" t="s">
        <v>548</v>
      </c>
      <c r="G8658" s="10" t="s">
        <v>53681</v>
      </c>
      <c r="H8658" s="11" t="s">
        <v>31</v>
      </c>
      <c r="I8658" s="11">
        <v>1.0</v>
      </c>
      <c r="J8658" s="11">
        <v>1.0</v>
      </c>
      <c r="K8658" s="11" t="s">
        <v>31</v>
      </c>
      <c r="L8658" s="12" t="s">
        <v>53644</v>
      </c>
      <c r="M8658" s="10" t="s">
        <v>31</v>
      </c>
      <c r="N8658" s="10" t="s">
        <v>51893</v>
      </c>
      <c r="O8658" s="12" t="s">
        <v>51894</v>
      </c>
      <c r="P8658" s="10" t="s">
        <v>53631</v>
      </c>
      <c r="Q8658" s="10" t="s">
        <v>6591</v>
      </c>
      <c r="R8658" s="10" t="s">
        <v>51895</v>
      </c>
      <c r="S8658" s="12" t="s">
        <v>53632</v>
      </c>
      <c r="T8658" s="10" t="s">
        <v>66</v>
      </c>
      <c r="U8658" s="12" t="s">
        <v>53633</v>
      </c>
      <c r="V8658" s="10" t="s">
        <v>53682</v>
      </c>
      <c r="W8658" s="10" t="s">
        <v>53627</v>
      </c>
      <c r="X8658" s="13" t="str">
        <f>HYPERLINK("https://my.pitchbook.com?p=42219-46P","View People Online")</f>
        <v>View People Online</v>
      </c>
    </row>
    <row r="8659">
      <c r="A8659" s="14" t="s">
        <v>53683</v>
      </c>
      <c r="B8659" s="14" t="s">
        <v>53684</v>
      </c>
      <c r="C8659" s="14" t="s">
        <v>2288</v>
      </c>
      <c r="D8659" s="14" t="s">
        <v>53685</v>
      </c>
      <c r="E8659" s="14" t="s">
        <v>53627</v>
      </c>
      <c r="F8659" s="14" t="s">
        <v>221</v>
      </c>
      <c r="G8659" s="14" t="s">
        <v>53686</v>
      </c>
      <c r="H8659" s="15" t="s">
        <v>31</v>
      </c>
      <c r="I8659" s="15">
        <v>1.0</v>
      </c>
      <c r="J8659" s="15">
        <v>1.0</v>
      </c>
      <c r="K8659" s="15" t="s">
        <v>31</v>
      </c>
      <c r="L8659" s="16" t="s">
        <v>53644</v>
      </c>
      <c r="M8659" s="14" t="s">
        <v>31</v>
      </c>
      <c r="N8659" s="14" t="s">
        <v>51893</v>
      </c>
      <c r="O8659" s="16" t="s">
        <v>51894</v>
      </c>
      <c r="P8659" s="14" t="s">
        <v>53631</v>
      </c>
      <c r="Q8659" s="14" t="s">
        <v>6591</v>
      </c>
      <c r="R8659" s="14" t="s">
        <v>51895</v>
      </c>
      <c r="S8659" s="16" t="s">
        <v>53632</v>
      </c>
      <c r="T8659" s="14" t="s">
        <v>66</v>
      </c>
      <c r="U8659" s="16" t="s">
        <v>53633</v>
      </c>
      <c r="V8659" s="14" t="s">
        <v>53687</v>
      </c>
      <c r="W8659" s="14" t="s">
        <v>53627</v>
      </c>
      <c r="X8659" s="17" t="str">
        <f>HYPERLINK("https://my.pitchbook.com?p=42220-27P","View People Online")</f>
        <v>View People Online</v>
      </c>
    </row>
    <row r="8660">
      <c r="A8660" s="2" t="s">
        <v>53688</v>
      </c>
      <c r="B8660" s="2" t="s">
        <v>53689</v>
      </c>
      <c r="C8660" s="2" t="s">
        <v>53690</v>
      </c>
      <c r="D8660" s="2" t="s">
        <v>53691</v>
      </c>
      <c r="E8660" s="2" t="s">
        <v>53627</v>
      </c>
      <c r="F8660" s="2" t="s">
        <v>3740</v>
      </c>
      <c r="G8660" s="2" t="s">
        <v>53692</v>
      </c>
      <c r="H8660" s="3" t="s">
        <v>31</v>
      </c>
      <c r="I8660" s="3">
        <v>1.0</v>
      </c>
      <c r="J8660" s="3">
        <v>1.0</v>
      </c>
      <c r="K8660" s="3" t="s">
        <v>31</v>
      </c>
      <c r="L8660" s="4" t="s">
        <v>53693</v>
      </c>
      <c r="M8660" s="2" t="s">
        <v>53694</v>
      </c>
      <c r="N8660" s="2" t="s">
        <v>51893</v>
      </c>
      <c r="O8660" s="4" t="s">
        <v>51894</v>
      </c>
      <c r="P8660" s="2" t="s">
        <v>53631</v>
      </c>
      <c r="Q8660" s="2" t="s">
        <v>6591</v>
      </c>
      <c r="R8660" s="2" t="s">
        <v>51895</v>
      </c>
      <c r="S8660" s="4" t="s">
        <v>53632</v>
      </c>
      <c r="T8660" s="2" t="s">
        <v>66</v>
      </c>
      <c r="U8660" s="4" t="s">
        <v>53633</v>
      </c>
      <c r="V8660" s="2" t="s">
        <v>3740</v>
      </c>
      <c r="W8660" s="2" t="s">
        <v>53627</v>
      </c>
      <c r="X8660" s="5" t="str">
        <f>HYPERLINK("https://my.pitchbook.com?p=394609-06P","View People Online")</f>
        <v>View People Online</v>
      </c>
    </row>
    <row r="8661">
      <c r="A8661" s="14" t="s">
        <v>53695</v>
      </c>
      <c r="B8661" s="14" t="s">
        <v>53696</v>
      </c>
      <c r="C8661" s="14" t="s">
        <v>5185</v>
      </c>
      <c r="D8661" s="14" t="s">
        <v>1645</v>
      </c>
      <c r="E8661" s="14" t="s">
        <v>53627</v>
      </c>
      <c r="F8661" s="14" t="s">
        <v>1283</v>
      </c>
      <c r="G8661" s="14" t="s">
        <v>53697</v>
      </c>
      <c r="H8661" s="15" t="s">
        <v>31</v>
      </c>
      <c r="I8661" s="15">
        <v>1.0</v>
      </c>
      <c r="J8661" s="15">
        <v>1.0</v>
      </c>
      <c r="K8661" s="15" t="s">
        <v>31</v>
      </c>
      <c r="L8661" s="16" t="s">
        <v>53698</v>
      </c>
      <c r="M8661" s="14" t="s">
        <v>53699</v>
      </c>
      <c r="N8661" s="14" t="s">
        <v>51893</v>
      </c>
      <c r="O8661" s="16" t="s">
        <v>51894</v>
      </c>
      <c r="P8661" s="14" t="s">
        <v>53631</v>
      </c>
      <c r="Q8661" s="14" t="s">
        <v>6591</v>
      </c>
      <c r="R8661" s="14" t="s">
        <v>51895</v>
      </c>
      <c r="S8661" s="16" t="s">
        <v>53632</v>
      </c>
      <c r="T8661" s="14" t="s">
        <v>66</v>
      </c>
      <c r="U8661" s="16" t="s">
        <v>53633</v>
      </c>
      <c r="V8661" s="14" t="s">
        <v>53700</v>
      </c>
      <c r="W8661" s="14" t="s">
        <v>53627</v>
      </c>
      <c r="X8661" s="17" t="str">
        <f>HYPERLINK("https://my.pitchbook.com?p=394608-07P","View People Online")</f>
        <v>View People Online</v>
      </c>
    </row>
    <row r="8662">
      <c r="A8662" s="2" t="s">
        <v>53701</v>
      </c>
      <c r="B8662" s="2" t="s">
        <v>53702</v>
      </c>
      <c r="C8662" s="2" t="s">
        <v>3370</v>
      </c>
      <c r="D8662" s="2" t="s">
        <v>53703</v>
      </c>
      <c r="E8662" s="2" t="s">
        <v>53627</v>
      </c>
      <c r="F8662" s="2" t="s">
        <v>548</v>
      </c>
      <c r="G8662" s="2" t="s">
        <v>53704</v>
      </c>
      <c r="H8662" s="3" t="s">
        <v>31</v>
      </c>
      <c r="I8662" s="3">
        <v>1.0</v>
      </c>
      <c r="J8662" s="3">
        <v>1.0</v>
      </c>
      <c r="K8662" s="3" t="s">
        <v>31</v>
      </c>
      <c r="L8662" s="4" t="s">
        <v>53705</v>
      </c>
      <c r="M8662" s="2" t="s">
        <v>53706</v>
      </c>
      <c r="N8662" s="2" t="s">
        <v>51893</v>
      </c>
      <c r="O8662" s="4" t="s">
        <v>51894</v>
      </c>
      <c r="P8662" s="2" t="s">
        <v>53631</v>
      </c>
      <c r="Q8662" s="2" t="s">
        <v>6591</v>
      </c>
      <c r="R8662" s="2" t="s">
        <v>51895</v>
      </c>
      <c r="S8662" s="4" t="s">
        <v>53632</v>
      </c>
      <c r="T8662" s="2" t="s">
        <v>66</v>
      </c>
      <c r="U8662" s="4" t="s">
        <v>53633</v>
      </c>
      <c r="V8662" s="2" t="s">
        <v>53707</v>
      </c>
      <c r="W8662" s="2" t="s">
        <v>53627</v>
      </c>
      <c r="X8662" s="5" t="str">
        <f>HYPERLINK("https://my.pitchbook.com?p=203710-33P","View People Online")</f>
        <v>View People Online</v>
      </c>
    </row>
    <row r="8663">
      <c r="A8663" s="6" t="s">
        <v>53708</v>
      </c>
      <c r="B8663" s="6" t="s">
        <v>53709</v>
      </c>
      <c r="C8663" s="6" t="s">
        <v>21727</v>
      </c>
      <c r="D8663" s="6" t="s">
        <v>53710</v>
      </c>
      <c r="E8663" s="6" t="s">
        <v>53627</v>
      </c>
      <c r="F8663" s="6" t="s">
        <v>1801</v>
      </c>
      <c r="G8663" s="6" t="s">
        <v>53711</v>
      </c>
      <c r="H8663" s="7" t="s">
        <v>31</v>
      </c>
      <c r="I8663" s="7">
        <v>1.0</v>
      </c>
      <c r="J8663" s="7">
        <v>1.0</v>
      </c>
      <c r="K8663" s="7" t="s">
        <v>31</v>
      </c>
      <c r="L8663" s="8" t="s">
        <v>53712</v>
      </c>
      <c r="M8663" s="6" t="s">
        <v>53713</v>
      </c>
      <c r="N8663" s="6" t="s">
        <v>51893</v>
      </c>
      <c r="O8663" s="8" t="s">
        <v>51894</v>
      </c>
      <c r="P8663" s="6" t="s">
        <v>53631</v>
      </c>
      <c r="Q8663" s="6" t="s">
        <v>6591</v>
      </c>
      <c r="R8663" s="6" t="s">
        <v>51895</v>
      </c>
      <c r="S8663" s="8" t="s">
        <v>53632</v>
      </c>
      <c r="T8663" s="6" t="s">
        <v>66</v>
      </c>
      <c r="U8663" s="8" t="s">
        <v>53633</v>
      </c>
      <c r="V8663" s="6" t="s">
        <v>1804</v>
      </c>
      <c r="W8663" s="6" t="s">
        <v>53627</v>
      </c>
      <c r="X8663" s="9" t="str">
        <f>HYPERLINK("https://my.pitchbook.com?p=241419-34P","View People Online")</f>
        <v>View People Online</v>
      </c>
    </row>
    <row r="8664">
      <c r="A8664" s="2" t="s">
        <v>53714</v>
      </c>
      <c r="B8664" s="2" t="s">
        <v>53715</v>
      </c>
      <c r="C8664" s="2" t="s">
        <v>13114</v>
      </c>
      <c r="D8664" s="2" t="s">
        <v>43034</v>
      </c>
      <c r="E8664" s="2" t="s">
        <v>53627</v>
      </c>
      <c r="F8664" s="2" t="s">
        <v>53716</v>
      </c>
      <c r="G8664" s="2" t="s">
        <v>53717</v>
      </c>
      <c r="H8664" s="3" t="s">
        <v>31</v>
      </c>
      <c r="I8664" s="3">
        <v>1.0</v>
      </c>
      <c r="J8664" s="3">
        <v>1.0</v>
      </c>
      <c r="K8664" s="3" t="s">
        <v>31</v>
      </c>
      <c r="L8664" s="4" t="s">
        <v>53718</v>
      </c>
      <c r="M8664" s="2" t="s">
        <v>53719</v>
      </c>
      <c r="N8664" s="2" t="s">
        <v>51893</v>
      </c>
      <c r="O8664" s="4" t="s">
        <v>51894</v>
      </c>
      <c r="P8664" s="2" t="s">
        <v>53631</v>
      </c>
      <c r="Q8664" s="2" t="s">
        <v>6591</v>
      </c>
      <c r="R8664" s="2" t="s">
        <v>51895</v>
      </c>
      <c r="S8664" s="4" t="s">
        <v>53632</v>
      </c>
      <c r="T8664" s="2" t="s">
        <v>66</v>
      </c>
      <c r="U8664" s="4" t="s">
        <v>53633</v>
      </c>
      <c r="V8664" s="2" t="s">
        <v>53720</v>
      </c>
      <c r="W8664" s="2" t="s">
        <v>53627</v>
      </c>
      <c r="X8664" s="5" t="str">
        <f>HYPERLINK("https://my.pitchbook.com?p=241420-60P","View People Online")</f>
        <v>View People Online</v>
      </c>
    </row>
    <row r="8665">
      <c r="A8665" s="6" t="s">
        <v>53721</v>
      </c>
      <c r="B8665" s="6" t="s">
        <v>53722</v>
      </c>
      <c r="C8665" s="6" t="s">
        <v>2456</v>
      </c>
      <c r="D8665" s="6" t="s">
        <v>19624</v>
      </c>
      <c r="E8665" s="6" t="s">
        <v>53627</v>
      </c>
      <c r="F8665" s="6" t="s">
        <v>548</v>
      </c>
      <c r="G8665" s="6" t="s">
        <v>53723</v>
      </c>
      <c r="H8665" s="7" t="s">
        <v>31</v>
      </c>
      <c r="I8665" s="7">
        <v>1.0</v>
      </c>
      <c r="J8665" s="7">
        <v>1.0</v>
      </c>
      <c r="K8665" s="7" t="s">
        <v>31</v>
      </c>
      <c r="L8665" s="8" t="s">
        <v>53724</v>
      </c>
      <c r="M8665" s="6" t="s">
        <v>53725</v>
      </c>
      <c r="N8665" s="6" t="s">
        <v>51893</v>
      </c>
      <c r="O8665" s="8" t="s">
        <v>51894</v>
      </c>
      <c r="P8665" s="6" t="s">
        <v>53631</v>
      </c>
      <c r="Q8665" s="6" t="s">
        <v>6591</v>
      </c>
      <c r="R8665" s="6" t="s">
        <v>51895</v>
      </c>
      <c r="S8665" s="8" t="s">
        <v>53632</v>
      </c>
      <c r="T8665" s="6" t="s">
        <v>66</v>
      </c>
      <c r="U8665" s="8" t="s">
        <v>53633</v>
      </c>
      <c r="V8665" s="6" t="s">
        <v>53726</v>
      </c>
      <c r="W8665" s="6" t="s">
        <v>53627</v>
      </c>
      <c r="X8665" s="9" t="str">
        <f>HYPERLINK("https://my.pitchbook.com?p=42218-38P","View People Online")</f>
        <v>View People Online</v>
      </c>
    </row>
    <row r="8666">
      <c r="A8666" s="2" t="s">
        <v>53727</v>
      </c>
      <c r="B8666" s="2" t="s">
        <v>53728</v>
      </c>
      <c r="C8666" s="2" t="s">
        <v>5721</v>
      </c>
      <c r="D8666" s="2" t="s">
        <v>51814</v>
      </c>
      <c r="E8666" s="2" t="s">
        <v>53729</v>
      </c>
      <c r="F8666" s="2" t="s">
        <v>713</v>
      </c>
      <c r="G8666" s="2" t="s">
        <v>53730</v>
      </c>
      <c r="H8666" s="3">
        <v>1.0</v>
      </c>
      <c r="I8666" s="3">
        <v>4.0</v>
      </c>
      <c r="J8666" s="3">
        <v>3.0</v>
      </c>
      <c r="K8666" s="3">
        <v>1.0</v>
      </c>
      <c r="L8666" s="4" t="s">
        <v>53731</v>
      </c>
      <c r="M8666" s="2" t="s">
        <v>53732</v>
      </c>
      <c r="N8666" s="2" t="s">
        <v>1416</v>
      </c>
      <c r="O8666" s="4" t="s">
        <v>1417</v>
      </c>
      <c r="P8666" s="2" t="s">
        <v>31</v>
      </c>
      <c r="Q8666" s="2" t="s">
        <v>31</v>
      </c>
      <c r="R8666" s="2" t="s">
        <v>1420</v>
      </c>
      <c r="S8666" s="4" t="s">
        <v>53733</v>
      </c>
      <c r="T8666" s="2" t="s">
        <v>66</v>
      </c>
      <c r="U8666" s="4" t="s">
        <v>31</v>
      </c>
      <c r="V8666" s="2" t="s">
        <v>53734</v>
      </c>
      <c r="W8666" s="2" t="s">
        <v>53735</v>
      </c>
      <c r="X8666" s="5" t="str">
        <f>HYPERLINK("https://my.pitchbook.com?p=252351-82P","View People Online")</f>
        <v>View People Online</v>
      </c>
    </row>
    <row r="8667">
      <c r="A8667" s="14" t="s">
        <v>53736</v>
      </c>
      <c r="B8667" s="14" t="s">
        <v>53737</v>
      </c>
      <c r="C8667" s="14" t="s">
        <v>53738</v>
      </c>
      <c r="D8667" s="14" t="s">
        <v>27382</v>
      </c>
      <c r="E8667" s="14" t="s">
        <v>53729</v>
      </c>
      <c r="F8667" s="14" t="s">
        <v>667</v>
      </c>
      <c r="G8667" s="14" t="s">
        <v>53739</v>
      </c>
      <c r="H8667" s="15" t="s">
        <v>31</v>
      </c>
      <c r="I8667" s="15">
        <v>1.0</v>
      </c>
      <c r="J8667" s="15">
        <v>1.0</v>
      </c>
      <c r="K8667" s="15" t="s">
        <v>31</v>
      </c>
      <c r="L8667" s="16" t="s">
        <v>53740</v>
      </c>
      <c r="M8667" s="14" t="s">
        <v>31</v>
      </c>
      <c r="N8667" s="14" t="s">
        <v>1416</v>
      </c>
      <c r="O8667" s="16" t="s">
        <v>1417</v>
      </c>
      <c r="P8667" s="14" t="s">
        <v>47246</v>
      </c>
      <c r="Q8667" s="14" t="s">
        <v>31</v>
      </c>
      <c r="R8667" s="14" t="s">
        <v>1420</v>
      </c>
      <c r="S8667" s="16" t="s">
        <v>53741</v>
      </c>
      <c r="T8667" s="14" t="s">
        <v>66</v>
      </c>
      <c r="U8667" s="16" t="s">
        <v>53742</v>
      </c>
      <c r="V8667" s="14" t="s">
        <v>53743</v>
      </c>
      <c r="W8667" s="14" t="s">
        <v>53729</v>
      </c>
      <c r="X8667" s="17" t="str">
        <f>HYPERLINK("https://my.pitchbook.com?p=317882-80P","View People Online")</f>
        <v>View People Online</v>
      </c>
    </row>
    <row r="8668">
      <c r="A8668" s="10" t="s">
        <v>53744</v>
      </c>
      <c r="B8668" s="10" t="s">
        <v>53745</v>
      </c>
      <c r="C8668" s="10" t="s">
        <v>23660</v>
      </c>
      <c r="D8668" s="10" t="s">
        <v>53746</v>
      </c>
      <c r="E8668" s="10" t="s">
        <v>53729</v>
      </c>
      <c r="F8668" s="10" t="s">
        <v>32651</v>
      </c>
      <c r="G8668" s="10" t="s">
        <v>53747</v>
      </c>
      <c r="H8668" s="11">
        <v>2.0</v>
      </c>
      <c r="I8668" s="11">
        <v>5.0</v>
      </c>
      <c r="J8668" s="11">
        <v>2.0</v>
      </c>
      <c r="K8668" s="11" t="s">
        <v>31</v>
      </c>
      <c r="L8668" s="12" t="s">
        <v>53748</v>
      </c>
      <c r="M8668" s="10" t="s">
        <v>53749</v>
      </c>
      <c r="N8668" s="10" t="s">
        <v>1034</v>
      </c>
      <c r="O8668" s="12" t="s">
        <v>1035</v>
      </c>
      <c r="P8668" s="10" t="s">
        <v>53750</v>
      </c>
      <c r="Q8668" s="10" t="s">
        <v>53751</v>
      </c>
      <c r="R8668" s="10" t="s">
        <v>31</v>
      </c>
      <c r="S8668" s="12" t="s">
        <v>53752</v>
      </c>
      <c r="T8668" s="10" t="s">
        <v>1034</v>
      </c>
      <c r="U8668" s="12" t="s">
        <v>31</v>
      </c>
      <c r="V8668" s="10" t="s">
        <v>1283</v>
      </c>
      <c r="W8668" s="10" t="s">
        <v>53753</v>
      </c>
      <c r="X8668" s="13" t="str">
        <f>HYPERLINK("https://my.pitchbook.com?p=117708-85P","View People Online")</f>
        <v>View People Online</v>
      </c>
    </row>
    <row r="8669">
      <c r="A8669" s="14" t="s">
        <v>53754</v>
      </c>
      <c r="B8669" s="14" t="s">
        <v>53755</v>
      </c>
      <c r="C8669" s="14" t="s">
        <v>4851</v>
      </c>
      <c r="D8669" s="14" t="s">
        <v>53756</v>
      </c>
      <c r="E8669" s="14" t="s">
        <v>53729</v>
      </c>
      <c r="F8669" s="14" t="s">
        <v>6567</v>
      </c>
      <c r="G8669" s="14" t="s">
        <v>53757</v>
      </c>
      <c r="H8669" s="15" t="s">
        <v>31</v>
      </c>
      <c r="I8669" s="15">
        <v>1.0</v>
      </c>
      <c r="J8669" s="15">
        <v>1.0</v>
      </c>
      <c r="K8669" s="15" t="s">
        <v>31</v>
      </c>
      <c r="L8669" s="16" t="s">
        <v>53758</v>
      </c>
      <c r="M8669" s="14" t="s">
        <v>53759</v>
      </c>
      <c r="N8669" s="14" t="s">
        <v>1416</v>
      </c>
      <c r="O8669" s="16" t="s">
        <v>1417</v>
      </c>
      <c r="P8669" s="14" t="s">
        <v>47246</v>
      </c>
      <c r="Q8669" s="14" t="s">
        <v>31</v>
      </c>
      <c r="R8669" s="14" t="s">
        <v>1420</v>
      </c>
      <c r="S8669" s="16" t="s">
        <v>53741</v>
      </c>
      <c r="T8669" s="14" t="s">
        <v>66</v>
      </c>
      <c r="U8669" s="16" t="s">
        <v>53742</v>
      </c>
      <c r="V8669" s="14" t="s">
        <v>6567</v>
      </c>
      <c r="W8669" s="14" t="s">
        <v>53729</v>
      </c>
      <c r="X8669" s="17" t="str">
        <f>HYPERLINK("https://my.pitchbook.com?p=63797-32P","View People Online")</f>
        <v>View People Online</v>
      </c>
    </row>
    <row r="8670">
      <c r="A8670" s="10" t="s">
        <v>53760</v>
      </c>
      <c r="B8670" s="10" t="s">
        <v>53761</v>
      </c>
      <c r="C8670" s="10" t="s">
        <v>35468</v>
      </c>
      <c r="D8670" s="10" t="s">
        <v>8429</v>
      </c>
      <c r="E8670" s="10" t="s">
        <v>53729</v>
      </c>
      <c r="F8670" s="10" t="s">
        <v>2835</v>
      </c>
      <c r="G8670" s="10" t="s">
        <v>53762</v>
      </c>
      <c r="H8670" s="11" t="s">
        <v>31</v>
      </c>
      <c r="I8670" s="11">
        <v>2.0</v>
      </c>
      <c r="J8670" s="11">
        <v>2.0</v>
      </c>
      <c r="K8670" s="11" t="s">
        <v>31</v>
      </c>
      <c r="L8670" s="12" t="s">
        <v>53763</v>
      </c>
      <c r="M8670" s="10" t="s">
        <v>53764</v>
      </c>
      <c r="N8670" s="10" t="s">
        <v>1416</v>
      </c>
      <c r="O8670" s="12" t="s">
        <v>1417</v>
      </c>
      <c r="P8670" s="10" t="s">
        <v>47246</v>
      </c>
      <c r="Q8670" s="10" t="s">
        <v>31</v>
      </c>
      <c r="R8670" s="10" t="s">
        <v>1420</v>
      </c>
      <c r="S8670" s="12" t="s">
        <v>53741</v>
      </c>
      <c r="T8670" s="10" t="s">
        <v>66</v>
      </c>
      <c r="U8670" s="12" t="s">
        <v>53765</v>
      </c>
      <c r="V8670" s="10" t="s">
        <v>53766</v>
      </c>
      <c r="W8670" s="10" t="s">
        <v>53729</v>
      </c>
      <c r="X8670" s="13" t="str">
        <f>HYPERLINK("https://my.pitchbook.com?p=111014-20P","View People Online")</f>
        <v>View People Online</v>
      </c>
    </row>
    <row r="8671">
      <c r="A8671" s="14" t="s">
        <v>53767</v>
      </c>
      <c r="B8671" s="14" t="s">
        <v>53768</v>
      </c>
      <c r="C8671" s="14" t="s">
        <v>4943</v>
      </c>
      <c r="D8671" s="14" t="s">
        <v>9348</v>
      </c>
      <c r="E8671" s="14" t="s">
        <v>53729</v>
      </c>
      <c r="F8671" s="14" t="s">
        <v>270</v>
      </c>
      <c r="G8671" s="14" t="s">
        <v>53769</v>
      </c>
      <c r="H8671" s="15" t="s">
        <v>31</v>
      </c>
      <c r="I8671" s="15">
        <v>1.0</v>
      </c>
      <c r="J8671" s="15">
        <v>1.0</v>
      </c>
      <c r="K8671" s="15" t="s">
        <v>31</v>
      </c>
      <c r="L8671" s="16" t="s">
        <v>53770</v>
      </c>
      <c r="M8671" s="14" t="s">
        <v>31</v>
      </c>
      <c r="N8671" s="14" t="s">
        <v>1416</v>
      </c>
      <c r="O8671" s="16" t="s">
        <v>1417</v>
      </c>
      <c r="P8671" s="14" t="s">
        <v>47246</v>
      </c>
      <c r="Q8671" s="14" t="s">
        <v>31</v>
      </c>
      <c r="R8671" s="14" t="s">
        <v>1420</v>
      </c>
      <c r="S8671" s="16" t="s">
        <v>53741</v>
      </c>
      <c r="T8671" s="14" t="s">
        <v>66</v>
      </c>
      <c r="U8671" s="16" t="s">
        <v>53742</v>
      </c>
      <c r="V8671" s="14" t="s">
        <v>53771</v>
      </c>
      <c r="W8671" s="14" t="s">
        <v>53729</v>
      </c>
      <c r="X8671" s="17" t="str">
        <f>HYPERLINK("https://my.pitchbook.com?p=188140-42P","View People Online")</f>
        <v>View People Online</v>
      </c>
    </row>
    <row r="8672">
      <c r="A8672" s="10" t="s">
        <v>53772</v>
      </c>
      <c r="B8672" s="10" t="s">
        <v>53773</v>
      </c>
      <c r="C8672" s="10" t="s">
        <v>1343</v>
      </c>
      <c r="D8672" s="10" t="s">
        <v>11737</v>
      </c>
      <c r="E8672" s="10" t="s">
        <v>53729</v>
      </c>
      <c r="F8672" s="10" t="s">
        <v>3823</v>
      </c>
      <c r="G8672" s="10" t="s">
        <v>53774</v>
      </c>
      <c r="H8672" s="11" t="s">
        <v>31</v>
      </c>
      <c r="I8672" s="11">
        <v>1.0</v>
      </c>
      <c r="J8672" s="11">
        <v>1.0</v>
      </c>
      <c r="K8672" s="11" t="s">
        <v>31</v>
      </c>
      <c r="L8672" s="12" t="s">
        <v>53740</v>
      </c>
      <c r="M8672" s="10" t="s">
        <v>53775</v>
      </c>
      <c r="N8672" s="10" t="s">
        <v>1416</v>
      </c>
      <c r="O8672" s="12" t="s">
        <v>1417</v>
      </c>
      <c r="P8672" s="10" t="s">
        <v>47246</v>
      </c>
      <c r="Q8672" s="10" t="s">
        <v>31</v>
      </c>
      <c r="R8672" s="10" t="s">
        <v>1420</v>
      </c>
      <c r="S8672" s="12" t="s">
        <v>53741</v>
      </c>
      <c r="T8672" s="10" t="s">
        <v>66</v>
      </c>
      <c r="U8672" s="12" t="s">
        <v>53742</v>
      </c>
      <c r="V8672" s="10" t="s">
        <v>3823</v>
      </c>
      <c r="W8672" s="10" t="s">
        <v>53729</v>
      </c>
      <c r="X8672" s="13" t="str">
        <f>HYPERLINK("https://my.pitchbook.com?p=437941-81P","View People Online")</f>
        <v>View People Online</v>
      </c>
    </row>
    <row r="8673">
      <c r="A8673" s="6" t="s">
        <v>53776</v>
      </c>
      <c r="B8673" s="6" t="s">
        <v>53777</v>
      </c>
      <c r="C8673" s="6" t="s">
        <v>53778</v>
      </c>
      <c r="D8673" s="6" t="s">
        <v>22105</v>
      </c>
      <c r="E8673" s="6" t="s">
        <v>53729</v>
      </c>
      <c r="F8673" s="6" t="s">
        <v>43271</v>
      </c>
      <c r="G8673" s="6" t="s">
        <v>53779</v>
      </c>
      <c r="H8673" s="7" t="s">
        <v>31</v>
      </c>
      <c r="I8673" s="7">
        <v>1.0</v>
      </c>
      <c r="J8673" s="7">
        <v>1.0</v>
      </c>
      <c r="K8673" s="7" t="s">
        <v>31</v>
      </c>
      <c r="L8673" s="8" t="s">
        <v>53740</v>
      </c>
      <c r="M8673" s="6" t="s">
        <v>53780</v>
      </c>
      <c r="N8673" s="6" t="s">
        <v>1416</v>
      </c>
      <c r="O8673" s="8" t="s">
        <v>1417</v>
      </c>
      <c r="P8673" s="6" t="s">
        <v>47246</v>
      </c>
      <c r="Q8673" s="6" t="s">
        <v>31</v>
      </c>
      <c r="R8673" s="6" t="s">
        <v>1420</v>
      </c>
      <c r="S8673" s="8" t="s">
        <v>53741</v>
      </c>
      <c r="T8673" s="6" t="s">
        <v>66</v>
      </c>
      <c r="U8673" s="8" t="s">
        <v>53742</v>
      </c>
      <c r="V8673" s="6" t="s">
        <v>46727</v>
      </c>
      <c r="W8673" s="6" t="s">
        <v>53729</v>
      </c>
      <c r="X8673" s="9" t="str">
        <f>HYPERLINK("https://my.pitchbook.com?p=338848-84P","View People Online")</f>
        <v>View People Online</v>
      </c>
    </row>
    <row r="8674">
      <c r="A8674" s="10" t="s">
        <v>53781</v>
      </c>
      <c r="B8674" s="10" t="s">
        <v>53782</v>
      </c>
      <c r="C8674" s="10" t="s">
        <v>5985</v>
      </c>
      <c r="D8674" s="10" t="s">
        <v>24539</v>
      </c>
      <c r="E8674" s="10" t="s">
        <v>53729</v>
      </c>
      <c r="F8674" s="10" t="s">
        <v>371</v>
      </c>
      <c r="G8674" s="10" t="s">
        <v>53783</v>
      </c>
      <c r="H8674" s="11">
        <v>1.0</v>
      </c>
      <c r="I8674" s="11">
        <v>3.0</v>
      </c>
      <c r="J8674" s="11">
        <v>2.0</v>
      </c>
      <c r="K8674" s="11" t="s">
        <v>31</v>
      </c>
      <c r="L8674" s="12" t="s">
        <v>53784</v>
      </c>
      <c r="M8674" s="10" t="s">
        <v>53785</v>
      </c>
      <c r="N8674" s="10" t="s">
        <v>1416</v>
      </c>
      <c r="O8674" s="12" t="s">
        <v>1417</v>
      </c>
      <c r="P8674" s="10" t="s">
        <v>47246</v>
      </c>
      <c r="Q8674" s="10" t="s">
        <v>31</v>
      </c>
      <c r="R8674" s="10" t="s">
        <v>1420</v>
      </c>
      <c r="S8674" s="12" t="s">
        <v>53741</v>
      </c>
      <c r="T8674" s="10" t="s">
        <v>66</v>
      </c>
      <c r="U8674" s="12" t="s">
        <v>53742</v>
      </c>
      <c r="V8674" s="10" t="s">
        <v>53786</v>
      </c>
      <c r="W8674" s="10" t="s">
        <v>53729</v>
      </c>
      <c r="X8674" s="13" t="str">
        <f>HYPERLINK("https://my.pitchbook.com?p=309790-90P","View People Online")</f>
        <v>View People Online</v>
      </c>
    </row>
    <row r="8675">
      <c r="A8675" s="14" t="s">
        <v>53787</v>
      </c>
      <c r="B8675" s="14" t="s">
        <v>53788</v>
      </c>
      <c r="C8675" s="14" t="s">
        <v>53789</v>
      </c>
      <c r="D8675" s="14" t="s">
        <v>53790</v>
      </c>
      <c r="E8675" s="14" t="s">
        <v>53729</v>
      </c>
      <c r="F8675" s="14" t="s">
        <v>32651</v>
      </c>
      <c r="G8675" s="14" t="s">
        <v>53791</v>
      </c>
      <c r="H8675" s="15" t="s">
        <v>31</v>
      </c>
      <c r="I8675" s="15">
        <v>1.0</v>
      </c>
      <c r="J8675" s="15">
        <v>1.0</v>
      </c>
      <c r="K8675" s="15" t="s">
        <v>31</v>
      </c>
      <c r="L8675" s="16" t="s">
        <v>31</v>
      </c>
      <c r="M8675" s="14" t="s">
        <v>31</v>
      </c>
      <c r="N8675" s="14" t="s">
        <v>1416</v>
      </c>
      <c r="O8675" s="16" t="s">
        <v>1417</v>
      </c>
      <c r="P8675" s="14" t="s">
        <v>53792</v>
      </c>
      <c r="Q8675" s="14" t="s">
        <v>34047</v>
      </c>
      <c r="R8675" s="14" t="s">
        <v>1420</v>
      </c>
      <c r="S8675" s="16" t="s">
        <v>34668</v>
      </c>
      <c r="T8675" s="14" t="s">
        <v>66</v>
      </c>
      <c r="U8675" s="16" t="s">
        <v>31</v>
      </c>
      <c r="V8675" s="14" t="s">
        <v>5979</v>
      </c>
      <c r="W8675" s="14" t="s">
        <v>53793</v>
      </c>
      <c r="X8675" s="17" t="str">
        <f>HYPERLINK("https://my.pitchbook.com?p=278193-25P","View People Online")</f>
        <v>View People Online</v>
      </c>
    </row>
    <row r="8676">
      <c r="A8676" s="2" t="s">
        <v>53794</v>
      </c>
      <c r="B8676" s="2" t="s">
        <v>53795</v>
      </c>
      <c r="C8676" s="2" t="s">
        <v>53796</v>
      </c>
      <c r="D8676" s="2" t="s">
        <v>53797</v>
      </c>
      <c r="E8676" s="2" t="s">
        <v>53729</v>
      </c>
      <c r="F8676" s="2" t="s">
        <v>1801</v>
      </c>
      <c r="G8676" s="2" t="s">
        <v>53798</v>
      </c>
      <c r="H8676" s="3" t="s">
        <v>31</v>
      </c>
      <c r="I8676" s="3">
        <v>1.0</v>
      </c>
      <c r="J8676" s="3">
        <v>1.0</v>
      </c>
      <c r="K8676" s="3" t="s">
        <v>31</v>
      </c>
      <c r="L8676" s="4" t="s">
        <v>53740</v>
      </c>
      <c r="M8676" s="2" t="s">
        <v>53799</v>
      </c>
      <c r="N8676" s="2" t="s">
        <v>1416</v>
      </c>
      <c r="O8676" s="4" t="s">
        <v>1417</v>
      </c>
      <c r="P8676" s="2" t="s">
        <v>47246</v>
      </c>
      <c r="Q8676" s="2" t="s">
        <v>31</v>
      </c>
      <c r="R8676" s="2" t="s">
        <v>1420</v>
      </c>
      <c r="S8676" s="4" t="s">
        <v>53741</v>
      </c>
      <c r="T8676" s="2" t="s">
        <v>66</v>
      </c>
      <c r="U8676" s="4" t="s">
        <v>53742</v>
      </c>
      <c r="V8676" s="2" t="s">
        <v>53800</v>
      </c>
      <c r="W8676" s="2" t="s">
        <v>53729</v>
      </c>
      <c r="X8676" s="5" t="str">
        <f>HYPERLINK("https://my.pitchbook.com?p=274878-19P","View People Online")</f>
        <v>View People Online</v>
      </c>
    </row>
    <row r="8677">
      <c r="A8677" s="14" t="s">
        <v>53801</v>
      </c>
      <c r="B8677" s="14" t="s">
        <v>53802</v>
      </c>
      <c r="C8677" s="14" t="s">
        <v>4039</v>
      </c>
      <c r="D8677" s="14" t="s">
        <v>6536</v>
      </c>
      <c r="E8677" s="14" t="s">
        <v>53729</v>
      </c>
      <c r="F8677" s="14" t="s">
        <v>28089</v>
      </c>
      <c r="G8677" s="14" t="s">
        <v>53803</v>
      </c>
      <c r="H8677" s="15" t="s">
        <v>31</v>
      </c>
      <c r="I8677" s="15">
        <v>2.0</v>
      </c>
      <c r="J8677" s="15">
        <v>2.0</v>
      </c>
      <c r="K8677" s="15" t="s">
        <v>31</v>
      </c>
      <c r="L8677" s="16" t="s">
        <v>53804</v>
      </c>
      <c r="M8677" s="14" t="s">
        <v>53805</v>
      </c>
      <c r="N8677" s="14" t="s">
        <v>1416</v>
      </c>
      <c r="O8677" s="16" t="s">
        <v>1417</v>
      </c>
      <c r="P8677" s="14" t="s">
        <v>47246</v>
      </c>
      <c r="Q8677" s="14" t="s">
        <v>31</v>
      </c>
      <c r="R8677" s="14" t="s">
        <v>1420</v>
      </c>
      <c r="S8677" s="16" t="s">
        <v>53741</v>
      </c>
      <c r="T8677" s="14" t="s">
        <v>66</v>
      </c>
      <c r="U8677" s="16" t="s">
        <v>53742</v>
      </c>
      <c r="V8677" s="14" t="s">
        <v>53806</v>
      </c>
      <c r="W8677" s="14" t="s">
        <v>53729</v>
      </c>
      <c r="X8677" s="17" t="str">
        <f>HYPERLINK("https://my.pitchbook.com?p=317879-02P","View People Online")</f>
        <v>View People Online</v>
      </c>
    </row>
    <row r="8678">
      <c r="A8678" s="10" t="s">
        <v>53807</v>
      </c>
      <c r="B8678" s="10" t="s">
        <v>53808</v>
      </c>
      <c r="C8678" s="10" t="s">
        <v>934</v>
      </c>
      <c r="D8678" s="10" t="s">
        <v>53809</v>
      </c>
      <c r="E8678" s="10" t="s">
        <v>53729</v>
      </c>
      <c r="F8678" s="10" t="s">
        <v>49932</v>
      </c>
      <c r="G8678" s="10" t="s">
        <v>53810</v>
      </c>
      <c r="H8678" s="11">
        <v>1.0</v>
      </c>
      <c r="I8678" s="11">
        <v>2.0</v>
      </c>
      <c r="J8678" s="11">
        <v>1.0</v>
      </c>
      <c r="K8678" s="11" t="s">
        <v>31</v>
      </c>
      <c r="L8678" s="12" t="s">
        <v>31</v>
      </c>
      <c r="M8678" s="10" t="s">
        <v>53811</v>
      </c>
      <c r="N8678" s="10" t="s">
        <v>1416</v>
      </c>
      <c r="O8678" s="12" t="s">
        <v>1417</v>
      </c>
      <c r="P8678" s="10" t="s">
        <v>53812</v>
      </c>
      <c r="Q8678" s="10" t="s">
        <v>53813</v>
      </c>
      <c r="R8678" s="10" t="s">
        <v>1420</v>
      </c>
      <c r="S8678" s="12" t="s">
        <v>53814</v>
      </c>
      <c r="T8678" s="10" t="s">
        <v>66</v>
      </c>
      <c r="U8678" s="12" t="s">
        <v>31</v>
      </c>
      <c r="V8678" s="10" t="s">
        <v>2379</v>
      </c>
      <c r="W8678" s="10" t="s">
        <v>53815</v>
      </c>
      <c r="X8678" s="13" t="str">
        <f>HYPERLINK("https://my.pitchbook.com?p=418824-37P","View People Online")</f>
        <v>View People Online</v>
      </c>
    </row>
    <row r="8679">
      <c r="A8679" s="14" t="s">
        <v>53816</v>
      </c>
      <c r="B8679" s="14" t="s">
        <v>53817</v>
      </c>
      <c r="C8679" s="14" t="s">
        <v>53818</v>
      </c>
      <c r="D8679" s="14" t="s">
        <v>53819</v>
      </c>
      <c r="E8679" s="14" t="s">
        <v>53729</v>
      </c>
      <c r="F8679" s="14" t="s">
        <v>53820</v>
      </c>
      <c r="G8679" s="14" t="s">
        <v>53821</v>
      </c>
      <c r="H8679" s="15">
        <v>1.0</v>
      </c>
      <c r="I8679" s="15">
        <v>2.0</v>
      </c>
      <c r="J8679" s="15">
        <v>2.0</v>
      </c>
      <c r="K8679" s="15" t="s">
        <v>31</v>
      </c>
      <c r="L8679" s="16" t="s">
        <v>53740</v>
      </c>
      <c r="M8679" s="14" t="s">
        <v>53822</v>
      </c>
      <c r="N8679" s="14" t="s">
        <v>1416</v>
      </c>
      <c r="O8679" s="16" t="s">
        <v>1417</v>
      </c>
      <c r="P8679" s="14" t="s">
        <v>47246</v>
      </c>
      <c r="Q8679" s="14" t="s">
        <v>31</v>
      </c>
      <c r="R8679" s="14" t="s">
        <v>1420</v>
      </c>
      <c r="S8679" s="16" t="s">
        <v>53741</v>
      </c>
      <c r="T8679" s="14" t="s">
        <v>66</v>
      </c>
      <c r="U8679" s="16" t="s">
        <v>53742</v>
      </c>
      <c r="V8679" s="14" t="s">
        <v>53820</v>
      </c>
      <c r="W8679" s="14" t="s">
        <v>53729</v>
      </c>
      <c r="X8679" s="17" t="str">
        <f>HYPERLINK("https://my.pitchbook.com?p=317880-01P","View People Online")</f>
        <v>View People Online</v>
      </c>
    </row>
    <row r="8680">
      <c r="A8680" s="2" t="s">
        <v>53823</v>
      </c>
      <c r="B8680" s="2" t="s">
        <v>53824</v>
      </c>
      <c r="C8680" s="2" t="s">
        <v>53825</v>
      </c>
      <c r="D8680" s="2" t="s">
        <v>16698</v>
      </c>
      <c r="E8680" s="2" t="s">
        <v>53729</v>
      </c>
      <c r="F8680" s="2" t="s">
        <v>32651</v>
      </c>
      <c r="G8680" s="2" t="s">
        <v>53826</v>
      </c>
      <c r="H8680" s="3">
        <v>1.0</v>
      </c>
      <c r="I8680" s="3">
        <v>3.0</v>
      </c>
      <c r="J8680" s="3">
        <v>2.0</v>
      </c>
      <c r="K8680" s="3" t="s">
        <v>31</v>
      </c>
      <c r="L8680" s="4" t="s">
        <v>53827</v>
      </c>
      <c r="M8680" s="2" t="s">
        <v>53828</v>
      </c>
      <c r="N8680" s="2" t="s">
        <v>53829</v>
      </c>
      <c r="O8680" s="4" t="s">
        <v>53830</v>
      </c>
      <c r="P8680" s="2" t="s">
        <v>53831</v>
      </c>
      <c r="Q8680" s="2" t="s">
        <v>989</v>
      </c>
      <c r="R8680" s="2" t="s">
        <v>396</v>
      </c>
      <c r="S8680" s="4" t="s">
        <v>53832</v>
      </c>
      <c r="T8680" s="2" t="s">
        <v>66</v>
      </c>
      <c r="U8680" s="4" t="s">
        <v>31</v>
      </c>
      <c r="V8680" s="2" t="s">
        <v>53833</v>
      </c>
      <c r="W8680" s="2" t="s">
        <v>53834</v>
      </c>
      <c r="X8680" s="5" t="str">
        <f>HYPERLINK("https://my.pitchbook.com?p=262892-08P","View People Online")</f>
        <v>View People Online</v>
      </c>
    </row>
    <row r="8681">
      <c r="A8681" s="14" t="s">
        <v>53835</v>
      </c>
      <c r="B8681" s="14" t="s">
        <v>53836</v>
      </c>
      <c r="C8681" s="14" t="s">
        <v>28498</v>
      </c>
      <c r="D8681" s="14" t="s">
        <v>53837</v>
      </c>
      <c r="E8681" s="14" t="s">
        <v>53729</v>
      </c>
      <c r="F8681" s="14" t="s">
        <v>32651</v>
      </c>
      <c r="G8681" s="14" t="s">
        <v>53838</v>
      </c>
      <c r="H8681" s="15" t="s">
        <v>31</v>
      </c>
      <c r="I8681" s="15">
        <v>1.0</v>
      </c>
      <c r="J8681" s="15">
        <v>1.0</v>
      </c>
      <c r="K8681" s="15" t="s">
        <v>31</v>
      </c>
      <c r="L8681" s="16" t="s">
        <v>53740</v>
      </c>
      <c r="M8681" s="14" t="s">
        <v>53839</v>
      </c>
      <c r="N8681" s="14" t="s">
        <v>1416</v>
      </c>
      <c r="O8681" s="16" t="s">
        <v>1417</v>
      </c>
      <c r="P8681" s="14" t="s">
        <v>47246</v>
      </c>
      <c r="Q8681" s="14" t="s">
        <v>31</v>
      </c>
      <c r="R8681" s="14" t="s">
        <v>1420</v>
      </c>
      <c r="S8681" s="16" t="s">
        <v>53741</v>
      </c>
      <c r="T8681" s="14" t="s">
        <v>66</v>
      </c>
      <c r="U8681" s="16" t="s">
        <v>53742</v>
      </c>
      <c r="V8681" s="14" t="s">
        <v>32651</v>
      </c>
      <c r="W8681" s="14" t="s">
        <v>53729</v>
      </c>
      <c r="X8681" s="17" t="str">
        <f>HYPERLINK("https://my.pitchbook.com?p=317881-18P","View People Online")</f>
        <v>View People Online</v>
      </c>
    </row>
    <row r="8682">
      <c r="A8682" s="2" t="s">
        <v>53840</v>
      </c>
      <c r="B8682" s="2" t="s">
        <v>53841</v>
      </c>
      <c r="C8682" s="2" t="s">
        <v>10008</v>
      </c>
      <c r="D8682" s="2" t="s">
        <v>53842</v>
      </c>
      <c r="E8682" s="2" t="s">
        <v>53843</v>
      </c>
      <c r="F8682" s="2" t="s">
        <v>548</v>
      </c>
      <c r="G8682" s="2" t="s">
        <v>53844</v>
      </c>
      <c r="H8682" s="3" t="s">
        <v>31</v>
      </c>
      <c r="I8682" s="3">
        <v>2.0</v>
      </c>
      <c r="J8682" s="3">
        <v>2.0</v>
      </c>
      <c r="K8682" s="3" t="s">
        <v>31</v>
      </c>
      <c r="L8682" s="4" t="s">
        <v>53845</v>
      </c>
      <c r="M8682" s="2" t="s">
        <v>53846</v>
      </c>
      <c r="N8682" s="2" t="s">
        <v>51893</v>
      </c>
      <c r="O8682" s="4" t="s">
        <v>51894</v>
      </c>
      <c r="P8682" s="2" t="s">
        <v>53847</v>
      </c>
      <c r="Q8682" s="2" t="s">
        <v>31</v>
      </c>
      <c r="R8682" s="2" t="s">
        <v>51895</v>
      </c>
      <c r="S8682" s="4" t="s">
        <v>53848</v>
      </c>
      <c r="T8682" s="2" t="s">
        <v>66</v>
      </c>
      <c r="U8682" s="4" t="s">
        <v>31</v>
      </c>
      <c r="V8682" s="2" t="s">
        <v>548</v>
      </c>
      <c r="W8682" s="2" t="s">
        <v>53843</v>
      </c>
      <c r="X8682" s="5" t="str">
        <f>HYPERLINK("https://my.pitchbook.com?p=55098-91P","View People Online")</f>
        <v>View People Online</v>
      </c>
    </row>
    <row r="8683">
      <c r="A8683" s="14" t="s">
        <v>53849</v>
      </c>
      <c r="B8683" s="14" t="s">
        <v>53850</v>
      </c>
      <c r="C8683" s="14" t="s">
        <v>7978</v>
      </c>
      <c r="D8683" s="14" t="s">
        <v>53851</v>
      </c>
      <c r="E8683" s="14" t="s">
        <v>53843</v>
      </c>
      <c r="F8683" s="14" t="s">
        <v>81</v>
      </c>
      <c r="G8683" s="14" t="s">
        <v>53852</v>
      </c>
      <c r="H8683" s="15" t="s">
        <v>31</v>
      </c>
      <c r="I8683" s="15">
        <v>2.0</v>
      </c>
      <c r="J8683" s="15">
        <v>1.0</v>
      </c>
      <c r="K8683" s="15" t="s">
        <v>31</v>
      </c>
      <c r="L8683" s="16" t="s">
        <v>53853</v>
      </c>
      <c r="M8683" s="14" t="s">
        <v>53854</v>
      </c>
      <c r="N8683" s="14" t="s">
        <v>53855</v>
      </c>
      <c r="O8683" s="16" t="s">
        <v>53856</v>
      </c>
      <c r="P8683" s="14" t="s">
        <v>53857</v>
      </c>
      <c r="Q8683" s="14" t="s">
        <v>989</v>
      </c>
      <c r="R8683" s="14" t="s">
        <v>51895</v>
      </c>
      <c r="S8683" s="16" t="s">
        <v>53858</v>
      </c>
      <c r="T8683" s="14" t="s">
        <v>66</v>
      </c>
      <c r="U8683" s="16" t="s">
        <v>31</v>
      </c>
      <c r="V8683" s="14" t="s">
        <v>53859</v>
      </c>
      <c r="W8683" s="14" t="s">
        <v>53860</v>
      </c>
      <c r="X8683" s="17" t="str">
        <f>HYPERLINK("https://my.pitchbook.com?p=291195-01P","View People Online")</f>
        <v>View People Online</v>
      </c>
    </row>
    <row r="8684">
      <c r="A8684" s="10" t="s">
        <v>53861</v>
      </c>
      <c r="B8684" s="10" t="s">
        <v>53862</v>
      </c>
      <c r="C8684" s="10" t="s">
        <v>3529</v>
      </c>
      <c r="D8684" s="10" t="s">
        <v>112</v>
      </c>
      <c r="E8684" s="10" t="s">
        <v>53843</v>
      </c>
      <c r="F8684" s="10" t="s">
        <v>81</v>
      </c>
      <c r="G8684" s="10" t="s">
        <v>53863</v>
      </c>
      <c r="H8684" s="11" t="s">
        <v>31</v>
      </c>
      <c r="I8684" s="11">
        <v>3.0</v>
      </c>
      <c r="J8684" s="11">
        <v>1.0</v>
      </c>
      <c r="K8684" s="11" t="s">
        <v>31</v>
      </c>
      <c r="L8684" s="12" t="s">
        <v>53864</v>
      </c>
      <c r="M8684" s="10" t="s">
        <v>31</v>
      </c>
      <c r="N8684" s="10" t="s">
        <v>51893</v>
      </c>
      <c r="O8684" s="12" t="s">
        <v>51894</v>
      </c>
      <c r="P8684" s="10" t="s">
        <v>53865</v>
      </c>
      <c r="Q8684" s="10" t="s">
        <v>31</v>
      </c>
      <c r="R8684" s="10" t="s">
        <v>51895</v>
      </c>
      <c r="S8684" s="12" t="s">
        <v>53866</v>
      </c>
      <c r="T8684" s="10" t="s">
        <v>66</v>
      </c>
      <c r="U8684" s="12" t="s">
        <v>31</v>
      </c>
      <c r="V8684" s="10" t="s">
        <v>558</v>
      </c>
      <c r="W8684" s="10" t="s">
        <v>53867</v>
      </c>
      <c r="X8684" s="13" t="str">
        <f>HYPERLINK("https://my.pitchbook.com?p=42519-25P","View People Online")</f>
        <v>View People Online</v>
      </c>
    </row>
    <row r="8685">
      <c r="A8685" s="14" t="s">
        <v>53868</v>
      </c>
      <c r="B8685" s="14" t="s">
        <v>53869</v>
      </c>
      <c r="C8685" s="14" t="s">
        <v>3852</v>
      </c>
      <c r="D8685" s="14" t="s">
        <v>53870</v>
      </c>
      <c r="E8685" s="14" t="s">
        <v>53843</v>
      </c>
      <c r="F8685" s="14" t="s">
        <v>81</v>
      </c>
      <c r="G8685" s="14" t="s">
        <v>53871</v>
      </c>
      <c r="H8685" s="15" t="s">
        <v>31</v>
      </c>
      <c r="I8685" s="15">
        <v>2.0</v>
      </c>
      <c r="J8685" s="15">
        <v>1.0</v>
      </c>
      <c r="K8685" s="15" t="s">
        <v>31</v>
      </c>
      <c r="L8685" s="16" t="s">
        <v>53872</v>
      </c>
      <c r="M8685" s="14" t="s">
        <v>31</v>
      </c>
      <c r="N8685" s="14" t="s">
        <v>31</v>
      </c>
      <c r="O8685" s="16" t="s">
        <v>53873</v>
      </c>
      <c r="P8685" s="14" t="s">
        <v>53874</v>
      </c>
      <c r="Q8685" s="14" t="s">
        <v>2566</v>
      </c>
      <c r="R8685" s="14" t="s">
        <v>1277</v>
      </c>
      <c r="S8685" s="16" t="s">
        <v>31</v>
      </c>
      <c r="T8685" s="14" t="s">
        <v>66</v>
      </c>
      <c r="U8685" s="16" t="s">
        <v>31</v>
      </c>
      <c r="V8685" s="14" t="s">
        <v>53875</v>
      </c>
      <c r="W8685" s="14" t="s">
        <v>53876</v>
      </c>
      <c r="X8685" s="17" t="str">
        <f>HYPERLINK("https://my.pitchbook.com?p=281418-67P","View People Online")</f>
        <v>View People Online</v>
      </c>
    </row>
    <row r="8686">
      <c r="A8686" s="10" t="s">
        <v>53877</v>
      </c>
      <c r="B8686" s="10" t="s">
        <v>53878</v>
      </c>
      <c r="C8686" s="10" t="s">
        <v>53879</v>
      </c>
      <c r="D8686" s="10" t="s">
        <v>28577</v>
      </c>
      <c r="E8686" s="10" t="s">
        <v>53843</v>
      </c>
      <c r="F8686" s="10" t="s">
        <v>81</v>
      </c>
      <c r="G8686" s="10" t="s">
        <v>53880</v>
      </c>
      <c r="H8686" s="11" t="s">
        <v>31</v>
      </c>
      <c r="I8686" s="11">
        <v>1.0</v>
      </c>
      <c r="J8686" s="11" t="s">
        <v>31</v>
      </c>
      <c r="K8686" s="11" t="s">
        <v>31</v>
      </c>
      <c r="L8686" s="12" t="s">
        <v>53845</v>
      </c>
      <c r="M8686" s="10" t="s">
        <v>31</v>
      </c>
      <c r="N8686" s="10" t="s">
        <v>51893</v>
      </c>
      <c r="O8686" s="12" t="s">
        <v>51894</v>
      </c>
      <c r="P8686" s="10" t="s">
        <v>53847</v>
      </c>
      <c r="Q8686" s="10" t="s">
        <v>31</v>
      </c>
      <c r="R8686" s="10" t="s">
        <v>51895</v>
      </c>
      <c r="S8686" s="12" t="s">
        <v>53848</v>
      </c>
      <c r="T8686" s="10" t="s">
        <v>66</v>
      </c>
      <c r="U8686" s="12" t="s">
        <v>31</v>
      </c>
      <c r="V8686" s="10" t="s">
        <v>81</v>
      </c>
      <c r="W8686" s="10" t="s">
        <v>53843</v>
      </c>
      <c r="X8686" s="13" t="str">
        <f>HYPERLINK("https://my.pitchbook.com?p=292865-05P","View People Online")</f>
        <v>View People Online</v>
      </c>
    </row>
    <row r="8687">
      <c r="A8687" s="6" t="s">
        <v>53881</v>
      </c>
      <c r="B8687" s="6" t="s">
        <v>53882</v>
      </c>
      <c r="C8687" s="6" t="s">
        <v>53883</v>
      </c>
      <c r="D8687" s="6" t="s">
        <v>53884</v>
      </c>
      <c r="E8687" s="6" t="s">
        <v>53843</v>
      </c>
      <c r="F8687" s="6" t="s">
        <v>1283</v>
      </c>
      <c r="G8687" s="6" t="s">
        <v>53885</v>
      </c>
      <c r="H8687" s="7">
        <v>8.0</v>
      </c>
      <c r="I8687" s="7">
        <v>46.0</v>
      </c>
      <c r="J8687" s="7">
        <v>2.0</v>
      </c>
      <c r="K8687" s="7">
        <v>36.0</v>
      </c>
      <c r="L8687" s="8" t="s">
        <v>53886</v>
      </c>
      <c r="M8687" s="6" t="s">
        <v>53887</v>
      </c>
      <c r="N8687" s="6" t="s">
        <v>51893</v>
      </c>
      <c r="O8687" s="8" t="s">
        <v>51894</v>
      </c>
      <c r="P8687" s="6" t="s">
        <v>53847</v>
      </c>
      <c r="Q8687" s="6" t="s">
        <v>31</v>
      </c>
      <c r="R8687" s="6" t="s">
        <v>51895</v>
      </c>
      <c r="S8687" s="8" t="s">
        <v>53848</v>
      </c>
      <c r="T8687" s="6" t="s">
        <v>66</v>
      </c>
      <c r="U8687" s="8" t="s">
        <v>31</v>
      </c>
      <c r="V8687" s="6" t="s">
        <v>1283</v>
      </c>
      <c r="W8687" s="6" t="s">
        <v>53843</v>
      </c>
      <c r="X8687" s="9" t="str">
        <f>HYPERLINK("https://my.pitchbook.com?p=36215-92P","View People Online")</f>
        <v>View People Online</v>
      </c>
    </row>
    <row r="8688">
      <c r="A8688" s="10" t="s">
        <v>53888</v>
      </c>
      <c r="B8688" s="10" t="s">
        <v>53889</v>
      </c>
      <c r="C8688" s="10" t="s">
        <v>53890</v>
      </c>
      <c r="D8688" s="10" t="s">
        <v>16652</v>
      </c>
      <c r="E8688" s="10" t="s">
        <v>53891</v>
      </c>
      <c r="F8688" s="10" t="s">
        <v>7478</v>
      </c>
      <c r="G8688" s="10" t="s">
        <v>53892</v>
      </c>
      <c r="H8688" s="11">
        <v>1.0</v>
      </c>
      <c r="I8688" s="11">
        <v>2.0</v>
      </c>
      <c r="J8688" s="11">
        <v>1.0</v>
      </c>
      <c r="K8688" s="11" t="s">
        <v>31</v>
      </c>
      <c r="L8688" s="12" t="s">
        <v>53893</v>
      </c>
      <c r="M8688" s="10" t="s">
        <v>53894</v>
      </c>
      <c r="N8688" s="10" t="s">
        <v>243</v>
      </c>
      <c r="O8688" s="12" t="s">
        <v>244</v>
      </c>
      <c r="P8688" s="10" t="s">
        <v>53895</v>
      </c>
      <c r="Q8688" s="10" t="s">
        <v>31</v>
      </c>
      <c r="R8688" s="10" t="s">
        <v>247</v>
      </c>
      <c r="S8688" s="12" t="s">
        <v>53896</v>
      </c>
      <c r="T8688" s="10" t="s">
        <v>249</v>
      </c>
      <c r="U8688" s="12" t="s">
        <v>31</v>
      </c>
      <c r="V8688" s="10" t="s">
        <v>2004</v>
      </c>
      <c r="W8688" s="10" t="s">
        <v>53891</v>
      </c>
      <c r="X8688" s="13" t="str">
        <f>HYPERLINK("https://my.pitchbook.com?p=426884-23P","View People Online")</f>
        <v>View People Online</v>
      </c>
    </row>
    <row r="8689">
      <c r="A8689" s="14" t="s">
        <v>53897</v>
      </c>
      <c r="B8689" s="14" t="s">
        <v>53898</v>
      </c>
      <c r="C8689" s="14" t="s">
        <v>23160</v>
      </c>
      <c r="D8689" s="14" t="s">
        <v>53899</v>
      </c>
      <c r="E8689" s="14" t="s">
        <v>53891</v>
      </c>
      <c r="F8689" s="14" t="s">
        <v>1801</v>
      </c>
      <c r="G8689" s="14" t="s">
        <v>53900</v>
      </c>
      <c r="H8689" s="15" t="s">
        <v>31</v>
      </c>
      <c r="I8689" s="15">
        <v>1.0</v>
      </c>
      <c r="J8689" s="15">
        <v>1.0</v>
      </c>
      <c r="K8689" s="15" t="s">
        <v>31</v>
      </c>
      <c r="L8689" s="16" t="s">
        <v>53893</v>
      </c>
      <c r="M8689" s="14" t="s">
        <v>53901</v>
      </c>
      <c r="N8689" s="14" t="s">
        <v>243</v>
      </c>
      <c r="O8689" s="16" t="s">
        <v>244</v>
      </c>
      <c r="P8689" s="14" t="s">
        <v>53895</v>
      </c>
      <c r="Q8689" s="14" t="s">
        <v>31</v>
      </c>
      <c r="R8689" s="14" t="s">
        <v>247</v>
      </c>
      <c r="S8689" s="16" t="s">
        <v>53896</v>
      </c>
      <c r="T8689" s="14" t="s">
        <v>249</v>
      </c>
      <c r="U8689" s="16" t="s">
        <v>31</v>
      </c>
      <c r="V8689" s="14" t="s">
        <v>7945</v>
      </c>
      <c r="W8689" s="14" t="s">
        <v>53891</v>
      </c>
      <c r="X8689" s="17" t="str">
        <f>HYPERLINK("https://my.pitchbook.com?p=295827-49P","View People Online")</f>
        <v>View People Online</v>
      </c>
    </row>
    <row r="8690">
      <c r="A8690" s="10" t="s">
        <v>53902</v>
      </c>
      <c r="B8690" s="10" t="s">
        <v>53903</v>
      </c>
      <c r="C8690" s="10" t="s">
        <v>1117</v>
      </c>
      <c r="D8690" s="10" t="s">
        <v>31803</v>
      </c>
      <c r="E8690" s="10" t="s">
        <v>53891</v>
      </c>
      <c r="F8690" s="10" t="s">
        <v>825</v>
      </c>
      <c r="G8690" s="10" t="s">
        <v>53904</v>
      </c>
      <c r="H8690" s="11" t="s">
        <v>31</v>
      </c>
      <c r="I8690" s="11">
        <v>1.0</v>
      </c>
      <c r="J8690" s="11">
        <v>1.0</v>
      </c>
      <c r="K8690" s="11" t="s">
        <v>31</v>
      </c>
      <c r="L8690" s="12" t="s">
        <v>53893</v>
      </c>
      <c r="M8690" s="10" t="s">
        <v>53905</v>
      </c>
      <c r="N8690" s="10" t="s">
        <v>243</v>
      </c>
      <c r="O8690" s="12" t="s">
        <v>244</v>
      </c>
      <c r="P8690" s="10" t="s">
        <v>53895</v>
      </c>
      <c r="Q8690" s="10" t="s">
        <v>31</v>
      </c>
      <c r="R8690" s="10" t="s">
        <v>247</v>
      </c>
      <c r="S8690" s="12" t="s">
        <v>53896</v>
      </c>
      <c r="T8690" s="10" t="s">
        <v>249</v>
      </c>
      <c r="U8690" s="12" t="s">
        <v>31</v>
      </c>
      <c r="V8690" s="10" t="s">
        <v>53906</v>
      </c>
      <c r="W8690" s="10" t="s">
        <v>53891</v>
      </c>
      <c r="X8690" s="13" t="str">
        <f>HYPERLINK("https://my.pitchbook.com?p=267499-00P","View People Online")</f>
        <v>View People Online</v>
      </c>
    </row>
    <row r="8691">
      <c r="A8691" s="6" t="s">
        <v>53907</v>
      </c>
      <c r="B8691" s="6" t="s">
        <v>53908</v>
      </c>
      <c r="C8691" s="6" t="s">
        <v>10787</v>
      </c>
      <c r="D8691" s="6" t="s">
        <v>53909</v>
      </c>
      <c r="E8691" s="6" t="s">
        <v>53891</v>
      </c>
      <c r="F8691" s="6" t="s">
        <v>1283</v>
      </c>
      <c r="G8691" s="6" t="s">
        <v>53910</v>
      </c>
      <c r="H8691" s="7" t="s">
        <v>31</v>
      </c>
      <c r="I8691" s="7">
        <v>2.0</v>
      </c>
      <c r="J8691" s="7">
        <v>1.0</v>
      </c>
      <c r="K8691" s="7">
        <v>1.0</v>
      </c>
      <c r="L8691" s="8" t="s">
        <v>53893</v>
      </c>
      <c r="M8691" s="6" t="s">
        <v>31</v>
      </c>
      <c r="N8691" s="6" t="s">
        <v>243</v>
      </c>
      <c r="O8691" s="8" t="s">
        <v>244</v>
      </c>
      <c r="P8691" s="6" t="s">
        <v>53895</v>
      </c>
      <c r="Q8691" s="6" t="s">
        <v>31</v>
      </c>
      <c r="R8691" s="6" t="s">
        <v>247</v>
      </c>
      <c r="S8691" s="8" t="s">
        <v>53896</v>
      </c>
      <c r="T8691" s="6" t="s">
        <v>249</v>
      </c>
      <c r="U8691" s="8" t="s">
        <v>31</v>
      </c>
      <c r="V8691" s="6" t="s">
        <v>53911</v>
      </c>
      <c r="W8691" s="6" t="s">
        <v>53891</v>
      </c>
      <c r="X8691" s="9" t="str">
        <f>HYPERLINK("https://my.pitchbook.com?p=419898-52P","View People Online")</f>
        <v>View People Online</v>
      </c>
    </row>
    <row r="8692">
      <c r="A8692" s="10" t="s">
        <v>53912</v>
      </c>
      <c r="B8692" s="10" t="s">
        <v>53913</v>
      </c>
      <c r="C8692" s="10" t="s">
        <v>8490</v>
      </c>
      <c r="D8692" s="10" t="s">
        <v>53914</v>
      </c>
      <c r="E8692" s="10" t="s">
        <v>53891</v>
      </c>
      <c r="F8692" s="10" t="s">
        <v>78</v>
      </c>
      <c r="G8692" s="10" t="s">
        <v>53915</v>
      </c>
      <c r="H8692" s="11" t="s">
        <v>31</v>
      </c>
      <c r="I8692" s="11">
        <v>2.0</v>
      </c>
      <c r="J8692" s="11">
        <v>1.0</v>
      </c>
      <c r="K8692" s="11">
        <v>1.0</v>
      </c>
      <c r="L8692" s="12" t="s">
        <v>53893</v>
      </c>
      <c r="M8692" s="10" t="s">
        <v>53916</v>
      </c>
      <c r="N8692" s="10" t="s">
        <v>243</v>
      </c>
      <c r="O8692" s="12" t="s">
        <v>244</v>
      </c>
      <c r="P8692" s="10" t="s">
        <v>53895</v>
      </c>
      <c r="Q8692" s="10" t="s">
        <v>31</v>
      </c>
      <c r="R8692" s="10" t="s">
        <v>247</v>
      </c>
      <c r="S8692" s="12" t="s">
        <v>53896</v>
      </c>
      <c r="T8692" s="10" t="s">
        <v>249</v>
      </c>
      <c r="U8692" s="12" t="s">
        <v>31</v>
      </c>
      <c r="V8692" s="10" t="s">
        <v>78</v>
      </c>
      <c r="W8692" s="10" t="s">
        <v>53891</v>
      </c>
      <c r="X8692" s="13" t="str">
        <f>HYPERLINK("https://my.pitchbook.com?p=252107-02P","View People Online")</f>
        <v>View People Online</v>
      </c>
    </row>
    <row r="8693">
      <c r="A8693" s="14" t="s">
        <v>53917</v>
      </c>
      <c r="B8693" s="14" t="s">
        <v>53918</v>
      </c>
      <c r="C8693" s="14" t="s">
        <v>53919</v>
      </c>
      <c r="D8693" s="14" t="s">
        <v>53920</v>
      </c>
      <c r="E8693" s="14" t="s">
        <v>53891</v>
      </c>
      <c r="F8693" s="14" t="s">
        <v>270</v>
      </c>
      <c r="G8693" s="14" t="s">
        <v>53921</v>
      </c>
      <c r="H8693" s="15" t="s">
        <v>31</v>
      </c>
      <c r="I8693" s="15">
        <v>1.0</v>
      </c>
      <c r="J8693" s="15">
        <v>1.0</v>
      </c>
      <c r="K8693" s="15" t="s">
        <v>31</v>
      </c>
      <c r="L8693" s="16" t="s">
        <v>53893</v>
      </c>
      <c r="M8693" s="14" t="s">
        <v>53922</v>
      </c>
      <c r="N8693" s="14" t="s">
        <v>243</v>
      </c>
      <c r="O8693" s="16" t="s">
        <v>244</v>
      </c>
      <c r="P8693" s="14" t="s">
        <v>53895</v>
      </c>
      <c r="Q8693" s="14" t="s">
        <v>31</v>
      </c>
      <c r="R8693" s="14" t="s">
        <v>247</v>
      </c>
      <c r="S8693" s="16" t="s">
        <v>53896</v>
      </c>
      <c r="T8693" s="14" t="s">
        <v>249</v>
      </c>
      <c r="U8693" s="16" t="s">
        <v>31</v>
      </c>
      <c r="V8693" s="14" t="s">
        <v>2004</v>
      </c>
      <c r="W8693" s="14" t="s">
        <v>53891</v>
      </c>
      <c r="X8693" s="17" t="str">
        <f>HYPERLINK("https://my.pitchbook.com?p=393469-12P","View People Online")</f>
        <v>View People Online</v>
      </c>
    </row>
    <row r="8694">
      <c r="A8694" s="2" t="s">
        <v>53923</v>
      </c>
      <c r="B8694" s="2" t="s">
        <v>53924</v>
      </c>
      <c r="C8694" s="2" t="s">
        <v>53925</v>
      </c>
      <c r="D8694" s="2" t="s">
        <v>53926</v>
      </c>
      <c r="E8694" s="2" t="s">
        <v>53891</v>
      </c>
      <c r="F8694" s="2" t="s">
        <v>7624</v>
      </c>
      <c r="G8694" s="2" t="s">
        <v>53927</v>
      </c>
      <c r="H8694" s="3" t="s">
        <v>31</v>
      </c>
      <c r="I8694" s="3">
        <v>1.0</v>
      </c>
      <c r="J8694" s="3">
        <v>1.0</v>
      </c>
      <c r="K8694" s="3" t="s">
        <v>31</v>
      </c>
      <c r="L8694" s="4" t="s">
        <v>53893</v>
      </c>
      <c r="M8694" s="2" t="s">
        <v>53928</v>
      </c>
      <c r="N8694" s="2" t="s">
        <v>243</v>
      </c>
      <c r="O8694" s="4" t="s">
        <v>244</v>
      </c>
      <c r="P8694" s="2" t="s">
        <v>53895</v>
      </c>
      <c r="Q8694" s="2" t="s">
        <v>31</v>
      </c>
      <c r="R8694" s="2" t="s">
        <v>247</v>
      </c>
      <c r="S8694" s="4" t="s">
        <v>53896</v>
      </c>
      <c r="T8694" s="2" t="s">
        <v>249</v>
      </c>
      <c r="U8694" s="4" t="s">
        <v>31</v>
      </c>
      <c r="V8694" s="2" t="s">
        <v>53929</v>
      </c>
      <c r="W8694" s="2" t="s">
        <v>53891</v>
      </c>
      <c r="X8694" s="5" t="str">
        <f>HYPERLINK("https://my.pitchbook.com?p=267499-63P","View People Online")</f>
        <v>View People Online</v>
      </c>
    </row>
    <row r="8695">
      <c r="A8695" s="14" t="s">
        <v>53930</v>
      </c>
      <c r="B8695" s="14" t="s">
        <v>53931</v>
      </c>
      <c r="C8695" s="14" t="s">
        <v>4228</v>
      </c>
      <c r="D8695" s="14" t="s">
        <v>53932</v>
      </c>
      <c r="E8695" s="14" t="s">
        <v>53891</v>
      </c>
      <c r="F8695" s="14" t="s">
        <v>270</v>
      </c>
      <c r="G8695" s="14" t="s">
        <v>53933</v>
      </c>
      <c r="H8695" s="15" t="s">
        <v>31</v>
      </c>
      <c r="I8695" s="15">
        <v>1.0</v>
      </c>
      <c r="J8695" s="15">
        <v>1.0</v>
      </c>
      <c r="K8695" s="15" t="s">
        <v>31</v>
      </c>
      <c r="L8695" s="16" t="s">
        <v>53934</v>
      </c>
      <c r="M8695" s="14" t="s">
        <v>53935</v>
      </c>
      <c r="N8695" s="14" t="s">
        <v>243</v>
      </c>
      <c r="O8695" s="16" t="s">
        <v>244</v>
      </c>
      <c r="P8695" s="14" t="s">
        <v>53895</v>
      </c>
      <c r="Q8695" s="14" t="s">
        <v>31</v>
      </c>
      <c r="R8695" s="14" t="s">
        <v>247</v>
      </c>
      <c r="S8695" s="16" t="s">
        <v>53896</v>
      </c>
      <c r="T8695" s="14" t="s">
        <v>249</v>
      </c>
      <c r="U8695" s="16" t="s">
        <v>31</v>
      </c>
      <c r="V8695" s="14" t="s">
        <v>53936</v>
      </c>
      <c r="W8695" s="14" t="s">
        <v>53891</v>
      </c>
      <c r="X8695" s="17" t="str">
        <f>HYPERLINK("https://my.pitchbook.com?p=295829-74P","View People Online")</f>
        <v>View People Online</v>
      </c>
    </row>
    <row r="8696">
      <c r="A8696" s="10" t="s">
        <v>53937</v>
      </c>
      <c r="B8696" s="10" t="s">
        <v>53938</v>
      </c>
      <c r="C8696" s="10" t="s">
        <v>4943</v>
      </c>
      <c r="D8696" s="10" t="s">
        <v>15840</v>
      </c>
      <c r="E8696" s="10" t="s">
        <v>53891</v>
      </c>
      <c r="F8696" s="10" t="s">
        <v>4600</v>
      </c>
      <c r="G8696" s="10" t="s">
        <v>53939</v>
      </c>
      <c r="H8696" s="11" t="s">
        <v>31</v>
      </c>
      <c r="I8696" s="11">
        <v>3.0</v>
      </c>
      <c r="J8696" s="11">
        <v>1.0</v>
      </c>
      <c r="K8696" s="11">
        <v>2.0</v>
      </c>
      <c r="L8696" s="12" t="s">
        <v>53893</v>
      </c>
      <c r="M8696" s="10" t="s">
        <v>53940</v>
      </c>
      <c r="N8696" s="10" t="s">
        <v>243</v>
      </c>
      <c r="O8696" s="12" t="s">
        <v>244</v>
      </c>
      <c r="P8696" s="10" t="s">
        <v>53895</v>
      </c>
      <c r="Q8696" s="10" t="s">
        <v>31</v>
      </c>
      <c r="R8696" s="10" t="s">
        <v>247</v>
      </c>
      <c r="S8696" s="12" t="s">
        <v>53896</v>
      </c>
      <c r="T8696" s="10" t="s">
        <v>249</v>
      </c>
      <c r="U8696" s="12" t="s">
        <v>31</v>
      </c>
      <c r="V8696" s="10" t="s">
        <v>42434</v>
      </c>
      <c r="W8696" s="10" t="s">
        <v>53891</v>
      </c>
      <c r="X8696" s="13" t="str">
        <f>HYPERLINK("https://my.pitchbook.com?p=417228-13P","View People Online")</f>
        <v>View People Online</v>
      </c>
    </row>
    <row r="8697">
      <c r="A8697" s="14" t="s">
        <v>53941</v>
      </c>
      <c r="B8697" s="14" t="s">
        <v>53942</v>
      </c>
      <c r="C8697" s="14" t="s">
        <v>1449</v>
      </c>
      <c r="D8697" s="14" t="s">
        <v>53943</v>
      </c>
      <c r="E8697" s="14" t="s">
        <v>53891</v>
      </c>
      <c r="F8697" s="14" t="s">
        <v>270</v>
      </c>
      <c r="G8697" s="14" t="s">
        <v>53944</v>
      </c>
      <c r="H8697" s="15" t="s">
        <v>31</v>
      </c>
      <c r="I8697" s="15">
        <v>1.0</v>
      </c>
      <c r="J8697" s="15">
        <v>1.0</v>
      </c>
      <c r="K8697" s="15" t="s">
        <v>31</v>
      </c>
      <c r="L8697" s="16" t="s">
        <v>53945</v>
      </c>
      <c r="M8697" s="14" t="s">
        <v>53946</v>
      </c>
      <c r="N8697" s="14" t="s">
        <v>243</v>
      </c>
      <c r="O8697" s="16" t="s">
        <v>244</v>
      </c>
      <c r="P8697" s="14" t="s">
        <v>53895</v>
      </c>
      <c r="Q8697" s="14" t="s">
        <v>31</v>
      </c>
      <c r="R8697" s="14" t="s">
        <v>247</v>
      </c>
      <c r="S8697" s="16" t="s">
        <v>53896</v>
      </c>
      <c r="T8697" s="14" t="s">
        <v>249</v>
      </c>
      <c r="U8697" s="16" t="s">
        <v>31</v>
      </c>
      <c r="V8697" s="14" t="s">
        <v>47458</v>
      </c>
      <c r="W8697" s="14" t="s">
        <v>53891</v>
      </c>
      <c r="X8697" s="17" t="str">
        <f>HYPERLINK("https://my.pitchbook.com?p=267498-82P","View People Online")</f>
        <v>View People Online</v>
      </c>
    </row>
    <row r="8698">
      <c r="A8698" s="10" t="s">
        <v>53947</v>
      </c>
      <c r="B8698" s="10" t="s">
        <v>53948</v>
      </c>
      <c r="C8698" s="10" t="s">
        <v>53949</v>
      </c>
      <c r="D8698" s="10" t="s">
        <v>53950</v>
      </c>
      <c r="E8698" s="10" t="s">
        <v>53891</v>
      </c>
      <c r="F8698" s="10" t="s">
        <v>4406</v>
      </c>
      <c r="G8698" s="10" t="s">
        <v>53951</v>
      </c>
      <c r="H8698" s="11" t="s">
        <v>31</v>
      </c>
      <c r="I8698" s="11">
        <v>1.0</v>
      </c>
      <c r="J8698" s="11">
        <v>1.0</v>
      </c>
      <c r="K8698" s="11" t="s">
        <v>31</v>
      </c>
      <c r="L8698" s="12" t="s">
        <v>53893</v>
      </c>
      <c r="M8698" s="10" t="s">
        <v>53952</v>
      </c>
      <c r="N8698" s="10" t="s">
        <v>243</v>
      </c>
      <c r="O8698" s="12" t="s">
        <v>244</v>
      </c>
      <c r="P8698" s="10" t="s">
        <v>53895</v>
      </c>
      <c r="Q8698" s="10" t="s">
        <v>31</v>
      </c>
      <c r="R8698" s="10" t="s">
        <v>247</v>
      </c>
      <c r="S8698" s="12" t="s">
        <v>53896</v>
      </c>
      <c r="T8698" s="10" t="s">
        <v>249</v>
      </c>
      <c r="U8698" s="12" t="s">
        <v>31</v>
      </c>
      <c r="V8698" s="10" t="s">
        <v>4406</v>
      </c>
      <c r="W8698" s="10" t="s">
        <v>53891</v>
      </c>
      <c r="X8698" s="13" t="str">
        <f>HYPERLINK("https://my.pitchbook.com?p=426156-04P","View People Online")</f>
        <v>View People Online</v>
      </c>
    </row>
    <row r="8699">
      <c r="A8699" s="14" t="s">
        <v>53953</v>
      </c>
      <c r="B8699" s="14" t="s">
        <v>53954</v>
      </c>
      <c r="C8699" s="14" t="s">
        <v>35725</v>
      </c>
      <c r="D8699" s="14" t="s">
        <v>53955</v>
      </c>
      <c r="E8699" s="14" t="s">
        <v>53891</v>
      </c>
      <c r="F8699" s="14" t="s">
        <v>10173</v>
      </c>
      <c r="G8699" s="14" t="s">
        <v>53956</v>
      </c>
      <c r="H8699" s="15" t="s">
        <v>31</v>
      </c>
      <c r="I8699" s="15">
        <v>1.0</v>
      </c>
      <c r="J8699" s="15">
        <v>1.0</v>
      </c>
      <c r="K8699" s="15" t="s">
        <v>31</v>
      </c>
      <c r="L8699" s="16" t="s">
        <v>53893</v>
      </c>
      <c r="M8699" s="14" t="s">
        <v>53957</v>
      </c>
      <c r="N8699" s="14" t="s">
        <v>243</v>
      </c>
      <c r="O8699" s="16" t="s">
        <v>244</v>
      </c>
      <c r="P8699" s="14" t="s">
        <v>53895</v>
      </c>
      <c r="Q8699" s="14" t="s">
        <v>31</v>
      </c>
      <c r="R8699" s="14" t="s">
        <v>247</v>
      </c>
      <c r="S8699" s="16" t="s">
        <v>53896</v>
      </c>
      <c r="T8699" s="14" t="s">
        <v>249</v>
      </c>
      <c r="U8699" s="16" t="s">
        <v>31</v>
      </c>
      <c r="V8699" s="14" t="s">
        <v>53958</v>
      </c>
      <c r="W8699" s="14" t="s">
        <v>53891</v>
      </c>
      <c r="X8699" s="17" t="str">
        <f>HYPERLINK("https://my.pitchbook.com?p=199333-09P","View People Online")</f>
        <v>View People Online</v>
      </c>
    </row>
    <row r="8700">
      <c r="A8700" s="10" t="s">
        <v>53959</v>
      </c>
      <c r="B8700" s="10" t="s">
        <v>53960</v>
      </c>
      <c r="C8700" s="10" t="s">
        <v>53961</v>
      </c>
      <c r="D8700" s="10" t="s">
        <v>53962</v>
      </c>
      <c r="E8700" s="10" t="s">
        <v>53891</v>
      </c>
      <c r="F8700" s="10" t="s">
        <v>1249</v>
      </c>
      <c r="G8700" s="10" t="s">
        <v>53963</v>
      </c>
      <c r="H8700" s="11">
        <v>2.0</v>
      </c>
      <c r="I8700" s="11">
        <v>10.0</v>
      </c>
      <c r="J8700" s="11">
        <v>2.0</v>
      </c>
      <c r="K8700" s="11">
        <v>8.0</v>
      </c>
      <c r="L8700" s="12" t="s">
        <v>53964</v>
      </c>
      <c r="M8700" s="10" t="s">
        <v>53965</v>
      </c>
      <c r="N8700" s="10" t="s">
        <v>7258</v>
      </c>
      <c r="O8700" s="12" t="s">
        <v>7259</v>
      </c>
      <c r="P8700" s="10" t="s">
        <v>53966</v>
      </c>
      <c r="Q8700" s="10" t="s">
        <v>53967</v>
      </c>
      <c r="R8700" s="10" t="s">
        <v>7262</v>
      </c>
      <c r="S8700" s="12" t="s">
        <v>7263</v>
      </c>
      <c r="T8700" s="10" t="s">
        <v>5484</v>
      </c>
      <c r="U8700" s="12" t="s">
        <v>31</v>
      </c>
      <c r="V8700" s="10" t="s">
        <v>1252</v>
      </c>
      <c r="W8700" s="10" t="s">
        <v>53968</v>
      </c>
      <c r="X8700" s="13" t="str">
        <f>HYPERLINK("https://my.pitchbook.com?p=35268-85P","View People Online")</f>
        <v>View People Online</v>
      </c>
    </row>
    <row r="8701">
      <c r="A8701" s="14" t="s">
        <v>53969</v>
      </c>
      <c r="B8701" s="14" t="s">
        <v>53970</v>
      </c>
      <c r="C8701" s="14" t="s">
        <v>823</v>
      </c>
      <c r="D8701" s="14" t="s">
        <v>1645</v>
      </c>
      <c r="E8701" s="14" t="s">
        <v>53891</v>
      </c>
      <c r="F8701" s="14" t="s">
        <v>39654</v>
      </c>
      <c r="G8701" s="14" t="s">
        <v>53971</v>
      </c>
      <c r="H8701" s="15" t="s">
        <v>31</v>
      </c>
      <c r="I8701" s="15">
        <v>1.0</v>
      </c>
      <c r="J8701" s="15">
        <v>1.0</v>
      </c>
      <c r="K8701" s="15" t="s">
        <v>31</v>
      </c>
      <c r="L8701" s="16" t="s">
        <v>53893</v>
      </c>
      <c r="M8701" s="14" t="s">
        <v>53972</v>
      </c>
      <c r="N8701" s="14" t="s">
        <v>243</v>
      </c>
      <c r="O8701" s="16" t="s">
        <v>244</v>
      </c>
      <c r="P8701" s="14" t="s">
        <v>53895</v>
      </c>
      <c r="Q8701" s="14" t="s">
        <v>31</v>
      </c>
      <c r="R8701" s="14" t="s">
        <v>247</v>
      </c>
      <c r="S8701" s="16" t="s">
        <v>53896</v>
      </c>
      <c r="T8701" s="14" t="s">
        <v>249</v>
      </c>
      <c r="U8701" s="16" t="s">
        <v>31</v>
      </c>
      <c r="V8701" s="14" t="s">
        <v>53973</v>
      </c>
      <c r="W8701" s="14" t="s">
        <v>53891</v>
      </c>
      <c r="X8701" s="17" t="str">
        <f>HYPERLINK("https://my.pitchbook.com?p=277172-56P","View People Online")</f>
        <v>View People Online</v>
      </c>
    </row>
    <row r="8702">
      <c r="A8702" s="2" t="s">
        <v>53974</v>
      </c>
      <c r="B8702" s="2" t="s">
        <v>53975</v>
      </c>
      <c r="C8702" s="2" t="s">
        <v>53976</v>
      </c>
      <c r="D8702" s="2" t="s">
        <v>53977</v>
      </c>
      <c r="E8702" s="2" t="s">
        <v>53891</v>
      </c>
      <c r="F8702" s="2" t="s">
        <v>548</v>
      </c>
      <c r="G8702" s="2" t="s">
        <v>53978</v>
      </c>
      <c r="H8702" s="3" t="s">
        <v>31</v>
      </c>
      <c r="I8702" s="3">
        <v>1.0</v>
      </c>
      <c r="J8702" s="3">
        <v>1.0</v>
      </c>
      <c r="K8702" s="3" t="s">
        <v>31</v>
      </c>
      <c r="L8702" s="4" t="s">
        <v>53979</v>
      </c>
      <c r="M8702" s="2" t="s">
        <v>53980</v>
      </c>
      <c r="N8702" s="2" t="s">
        <v>243</v>
      </c>
      <c r="O8702" s="4" t="s">
        <v>244</v>
      </c>
      <c r="P8702" s="2" t="s">
        <v>53895</v>
      </c>
      <c r="Q8702" s="2" t="s">
        <v>31</v>
      </c>
      <c r="R8702" s="2" t="s">
        <v>247</v>
      </c>
      <c r="S8702" s="4" t="s">
        <v>53896</v>
      </c>
      <c r="T8702" s="2" t="s">
        <v>249</v>
      </c>
      <c r="U8702" s="4" t="s">
        <v>31</v>
      </c>
      <c r="V8702" s="2" t="s">
        <v>53981</v>
      </c>
      <c r="W8702" s="2" t="s">
        <v>53891</v>
      </c>
      <c r="X8702" s="5" t="str">
        <f>HYPERLINK("https://my.pitchbook.com?p=342819-46P","View People Online")</f>
        <v>View People Online</v>
      </c>
    </row>
    <row r="8703">
      <c r="A8703" s="6" t="s">
        <v>53982</v>
      </c>
      <c r="B8703" s="6" t="s">
        <v>53983</v>
      </c>
      <c r="C8703" s="6" t="s">
        <v>17648</v>
      </c>
      <c r="D8703" s="6" t="s">
        <v>50600</v>
      </c>
      <c r="E8703" s="6" t="s">
        <v>53891</v>
      </c>
      <c r="F8703" s="6" t="s">
        <v>1249</v>
      </c>
      <c r="G8703" s="6" t="s">
        <v>53984</v>
      </c>
      <c r="H8703" s="7">
        <v>1.0</v>
      </c>
      <c r="I8703" s="7">
        <v>1.0</v>
      </c>
      <c r="J8703" s="7">
        <v>1.0</v>
      </c>
      <c r="K8703" s="7" t="s">
        <v>31</v>
      </c>
      <c r="L8703" s="8" t="s">
        <v>53893</v>
      </c>
      <c r="M8703" s="6" t="s">
        <v>31</v>
      </c>
      <c r="N8703" s="6" t="s">
        <v>243</v>
      </c>
      <c r="O8703" s="8" t="s">
        <v>244</v>
      </c>
      <c r="P8703" s="6" t="s">
        <v>53895</v>
      </c>
      <c r="Q8703" s="6" t="s">
        <v>31</v>
      </c>
      <c r="R8703" s="6" t="s">
        <v>247</v>
      </c>
      <c r="S8703" s="8" t="s">
        <v>53896</v>
      </c>
      <c r="T8703" s="6" t="s">
        <v>249</v>
      </c>
      <c r="U8703" s="8" t="s">
        <v>31</v>
      </c>
      <c r="V8703" s="6" t="s">
        <v>1252</v>
      </c>
      <c r="W8703" s="6" t="s">
        <v>53891</v>
      </c>
      <c r="X8703" s="9" t="str">
        <f>HYPERLINK("https://my.pitchbook.com?p=130944-25P","View People Online")</f>
        <v>View People Online</v>
      </c>
    </row>
    <row r="8704">
      <c r="A8704" s="10" t="s">
        <v>53985</v>
      </c>
      <c r="B8704" s="10" t="s">
        <v>53986</v>
      </c>
      <c r="C8704" s="10" t="s">
        <v>9104</v>
      </c>
      <c r="D8704" s="10" t="s">
        <v>17468</v>
      </c>
      <c r="E8704" s="10" t="s">
        <v>53891</v>
      </c>
      <c r="F8704" s="10" t="s">
        <v>825</v>
      </c>
      <c r="G8704" s="10" t="s">
        <v>53987</v>
      </c>
      <c r="H8704" s="11" t="s">
        <v>31</v>
      </c>
      <c r="I8704" s="11">
        <v>2.0</v>
      </c>
      <c r="J8704" s="11">
        <v>1.0</v>
      </c>
      <c r="K8704" s="11">
        <v>1.0</v>
      </c>
      <c r="L8704" s="12" t="s">
        <v>53893</v>
      </c>
      <c r="M8704" s="10" t="s">
        <v>53988</v>
      </c>
      <c r="N8704" s="10" t="s">
        <v>243</v>
      </c>
      <c r="O8704" s="12" t="s">
        <v>244</v>
      </c>
      <c r="P8704" s="10" t="s">
        <v>53895</v>
      </c>
      <c r="Q8704" s="10" t="s">
        <v>31</v>
      </c>
      <c r="R8704" s="10" t="s">
        <v>247</v>
      </c>
      <c r="S8704" s="12" t="s">
        <v>53896</v>
      </c>
      <c r="T8704" s="10" t="s">
        <v>249</v>
      </c>
      <c r="U8704" s="12" t="s">
        <v>31</v>
      </c>
      <c r="V8704" s="10" t="s">
        <v>53989</v>
      </c>
      <c r="W8704" s="10" t="s">
        <v>53891</v>
      </c>
      <c r="X8704" s="13" t="str">
        <f>HYPERLINK("https://my.pitchbook.com?p=394795-09P","View People Online")</f>
        <v>View People Online</v>
      </c>
    </row>
    <row r="8705">
      <c r="A8705" s="14" t="s">
        <v>53990</v>
      </c>
      <c r="B8705" s="14" t="s">
        <v>53991</v>
      </c>
      <c r="C8705" s="14" t="s">
        <v>3058</v>
      </c>
      <c r="D8705" s="14" t="s">
        <v>16451</v>
      </c>
      <c r="E8705" s="14" t="s">
        <v>53891</v>
      </c>
      <c r="F8705" s="14" t="s">
        <v>371</v>
      </c>
      <c r="G8705" s="14" t="s">
        <v>53992</v>
      </c>
      <c r="H8705" s="15" t="s">
        <v>31</v>
      </c>
      <c r="I8705" s="15">
        <v>1.0</v>
      </c>
      <c r="J8705" s="15">
        <v>1.0</v>
      </c>
      <c r="K8705" s="15" t="s">
        <v>31</v>
      </c>
      <c r="L8705" s="16" t="s">
        <v>53893</v>
      </c>
      <c r="M8705" s="14" t="s">
        <v>53993</v>
      </c>
      <c r="N8705" s="14" t="s">
        <v>243</v>
      </c>
      <c r="O8705" s="16" t="s">
        <v>244</v>
      </c>
      <c r="P8705" s="14" t="s">
        <v>53895</v>
      </c>
      <c r="Q8705" s="14" t="s">
        <v>31</v>
      </c>
      <c r="R8705" s="14" t="s">
        <v>247</v>
      </c>
      <c r="S8705" s="16" t="s">
        <v>53896</v>
      </c>
      <c r="T8705" s="14" t="s">
        <v>249</v>
      </c>
      <c r="U8705" s="16" t="s">
        <v>31</v>
      </c>
      <c r="V8705" s="14" t="s">
        <v>2974</v>
      </c>
      <c r="W8705" s="14" t="s">
        <v>53891</v>
      </c>
      <c r="X8705" s="17" t="str">
        <f>HYPERLINK("https://my.pitchbook.com?p=267499-27P","View People Online")</f>
        <v>View People Online</v>
      </c>
    </row>
    <row r="8706">
      <c r="A8706" s="2" t="s">
        <v>53994</v>
      </c>
      <c r="B8706" s="2" t="s">
        <v>53995</v>
      </c>
      <c r="C8706" s="2" t="s">
        <v>3841</v>
      </c>
      <c r="D8706" s="2" t="s">
        <v>3228</v>
      </c>
      <c r="E8706" s="2" t="s">
        <v>53891</v>
      </c>
      <c r="F8706" s="2" t="s">
        <v>270</v>
      </c>
      <c r="G8706" s="2" t="s">
        <v>53996</v>
      </c>
      <c r="H8706" s="3" t="s">
        <v>31</v>
      </c>
      <c r="I8706" s="3">
        <v>1.0</v>
      </c>
      <c r="J8706" s="3">
        <v>1.0</v>
      </c>
      <c r="K8706" s="3" t="s">
        <v>31</v>
      </c>
      <c r="L8706" s="4" t="s">
        <v>53964</v>
      </c>
      <c r="M8706" s="2" t="s">
        <v>53997</v>
      </c>
      <c r="N8706" s="2" t="s">
        <v>7258</v>
      </c>
      <c r="O8706" s="4" t="s">
        <v>7259</v>
      </c>
      <c r="P8706" s="2" t="s">
        <v>53998</v>
      </c>
      <c r="Q8706" s="2" t="s">
        <v>53999</v>
      </c>
      <c r="R8706" s="2" t="s">
        <v>7262</v>
      </c>
      <c r="S8706" s="4" t="s">
        <v>7263</v>
      </c>
      <c r="T8706" s="2" t="s">
        <v>5484</v>
      </c>
      <c r="U8706" s="4" t="s">
        <v>54000</v>
      </c>
      <c r="V8706" s="2" t="s">
        <v>270</v>
      </c>
      <c r="W8706" s="2" t="s">
        <v>53891</v>
      </c>
      <c r="X8706" s="5" t="str">
        <f>HYPERLINK("https://my.pitchbook.com?p=254444-86P","View People Online")</f>
        <v>View People Online</v>
      </c>
    </row>
    <row r="8707">
      <c r="A8707" s="14" t="s">
        <v>54001</v>
      </c>
      <c r="B8707" s="14" t="s">
        <v>54002</v>
      </c>
      <c r="C8707" s="14" t="s">
        <v>2221</v>
      </c>
      <c r="D8707" s="14" t="s">
        <v>317</v>
      </c>
      <c r="E8707" s="14" t="s">
        <v>53891</v>
      </c>
      <c r="F8707" s="14" t="s">
        <v>1801</v>
      </c>
      <c r="G8707" s="14" t="s">
        <v>54003</v>
      </c>
      <c r="H8707" s="15" t="s">
        <v>31</v>
      </c>
      <c r="I8707" s="15">
        <v>1.0</v>
      </c>
      <c r="J8707" s="15">
        <v>1.0</v>
      </c>
      <c r="K8707" s="15" t="s">
        <v>31</v>
      </c>
      <c r="L8707" s="16" t="s">
        <v>53893</v>
      </c>
      <c r="M8707" s="14" t="s">
        <v>54004</v>
      </c>
      <c r="N8707" s="14" t="s">
        <v>243</v>
      </c>
      <c r="O8707" s="16" t="s">
        <v>244</v>
      </c>
      <c r="P8707" s="14" t="s">
        <v>53895</v>
      </c>
      <c r="Q8707" s="14" t="s">
        <v>31</v>
      </c>
      <c r="R8707" s="14" t="s">
        <v>247</v>
      </c>
      <c r="S8707" s="16" t="s">
        <v>53896</v>
      </c>
      <c r="T8707" s="14" t="s">
        <v>249</v>
      </c>
      <c r="U8707" s="16" t="s">
        <v>31</v>
      </c>
      <c r="V8707" s="14" t="s">
        <v>4118</v>
      </c>
      <c r="W8707" s="14" t="s">
        <v>53891</v>
      </c>
      <c r="X8707" s="17" t="str">
        <f>HYPERLINK("https://my.pitchbook.com?p=403585-93P","View People Online")</f>
        <v>View People Online</v>
      </c>
    </row>
    <row r="8708">
      <c r="A8708" s="10" t="s">
        <v>54005</v>
      </c>
      <c r="B8708" s="10" t="s">
        <v>54006</v>
      </c>
      <c r="C8708" s="10" t="s">
        <v>2288</v>
      </c>
      <c r="D8708" s="10" t="s">
        <v>30608</v>
      </c>
      <c r="E8708" s="10" t="s">
        <v>53891</v>
      </c>
      <c r="F8708" s="10" t="s">
        <v>5568</v>
      </c>
      <c r="G8708" s="10" t="s">
        <v>54007</v>
      </c>
      <c r="H8708" s="11" t="s">
        <v>31</v>
      </c>
      <c r="I8708" s="11">
        <v>1.0</v>
      </c>
      <c r="J8708" s="11">
        <v>1.0</v>
      </c>
      <c r="K8708" s="11" t="s">
        <v>31</v>
      </c>
      <c r="L8708" s="12" t="s">
        <v>53893</v>
      </c>
      <c r="M8708" s="10" t="s">
        <v>54008</v>
      </c>
      <c r="N8708" s="10" t="s">
        <v>243</v>
      </c>
      <c r="O8708" s="12" t="s">
        <v>244</v>
      </c>
      <c r="P8708" s="10" t="s">
        <v>53895</v>
      </c>
      <c r="Q8708" s="10" t="s">
        <v>31</v>
      </c>
      <c r="R8708" s="10" t="s">
        <v>247</v>
      </c>
      <c r="S8708" s="12" t="s">
        <v>53896</v>
      </c>
      <c r="T8708" s="10" t="s">
        <v>249</v>
      </c>
      <c r="U8708" s="12" t="s">
        <v>31</v>
      </c>
      <c r="V8708" s="10" t="s">
        <v>54009</v>
      </c>
      <c r="W8708" s="10" t="s">
        <v>53891</v>
      </c>
      <c r="X8708" s="13" t="str">
        <f>HYPERLINK("https://my.pitchbook.com?p=309431-62P","View People Online")</f>
        <v>View People Online</v>
      </c>
    </row>
    <row r="8709">
      <c r="A8709" s="6" t="s">
        <v>54010</v>
      </c>
      <c r="B8709" s="6" t="s">
        <v>54011</v>
      </c>
      <c r="C8709" s="6" t="s">
        <v>54012</v>
      </c>
      <c r="D8709" s="6" t="s">
        <v>54013</v>
      </c>
      <c r="E8709" s="6" t="s">
        <v>53891</v>
      </c>
      <c r="F8709" s="6" t="s">
        <v>1283</v>
      </c>
      <c r="G8709" s="6" t="s">
        <v>54014</v>
      </c>
      <c r="H8709" s="7" t="s">
        <v>31</v>
      </c>
      <c r="I8709" s="7">
        <v>3.0</v>
      </c>
      <c r="J8709" s="7">
        <v>1.0</v>
      </c>
      <c r="K8709" s="7">
        <v>2.0</v>
      </c>
      <c r="L8709" s="8" t="s">
        <v>53893</v>
      </c>
      <c r="M8709" s="6" t="s">
        <v>54015</v>
      </c>
      <c r="N8709" s="6" t="s">
        <v>243</v>
      </c>
      <c r="O8709" s="8" t="s">
        <v>244</v>
      </c>
      <c r="P8709" s="6" t="s">
        <v>53895</v>
      </c>
      <c r="Q8709" s="6" t="s">
        <v>31</v>
      </c>
      <c r="R8709" s="6" t="s">
        <v>247</v>
      </c>
      <c r="S8709" s="8" t="s">
        <v>53896</v>
      </c>
      <c r="T8709" s="6" t="s">
        <v>249</v>
      </c>
      <c r="U8709" s="8" t="s">
        <v>31</v>
      </c>
      <c r="V8709" s="6" t="s">
        <v>54016</v>
      </c>
      <c r="W8709" s="6" t="s">
        <v>53891</v>
      </c>
      <c r="X8709" s="9" t="str">
        <f>HYPERLINK("https://my.pitchbook.com?p=282574-90P","View People Online")</f>
        <v>View People Online</v>
      </c>
    </row>
    <row r="8710">
      <c r="A8710" s="2" t="s">
        <v>54017</v>
      </c>
      <c r="B8710" s="2" t="s">
        <v>54018</v>
      </c>
      <c r="C8710" s="2" t="s">
        <v>1305</v>
      </c>
      <c r="D8710" s="2" t="s">
        <v>54019</v>
      </c>
      <c r="E8710" s="2" t="s">
        <v>53891</v>
      </c>
      <c r="F8710" s="2" t="s">
        <v>54020</v>
      </c>
      <c r="G8710" s="2" t="s">
        <v>54021</v>
      </c>
      <c r="H8710" s="3" t="s">
        <v>31</v>
      </c>
      <c r="I8710" s="3">
        <v>4.0</v>
      </c>
      <c r="J8710" s="3">
        <v>2.0</v>
      </c>
      <c r="K8710" s="3">
        <v>2.0</v>
      </c>
      <c r="L8710" s="4" t="s">
        <v>53893</v>
      </c>
      <c r="M8710" s="2" t="s">
        <v>54022</v>
      </c>
      <c r="N8710" s="2" t="s">
        <v>243</v>
      </c>
      <c r="O8710" s="4" t="s">
        <v>244</v>
      </c>
      <c r="P8710" s="2" t="s">
        <v>53895</v>
      </c>
      <c r="Q8710" s="2" t="s">
        <v>31</v>
      </c>
      <c r="R8710" s="2" t="s">
        <v>247</v>
      </c>
      <c r="S8710" s="4" t="s">
        <v>53896</v>
      </c>
      <c r="T8710" s="2" t="s">
        <v>249</v>
      </c>
      <c r="U8710" s="4" t="s">
        <v>31</v>
      </c>
      <c r="V8710" s="2" t="s">
        <v>54023</v>
      </c>
      <c r="W8710" s="2" t="s">
        <v>53891</v>
      </c>
      <c r="X8710" s="5" t="str">
        <f>HYPERLINK("https://my.pitchbook.com?p=120604-87P","View People Online")</f>
        <v>View People Online</v>
      </c>
    </row>
    <row r="8711">
      <c r="A8711" s="6" t="s">
        <v>54024</v>
      </c>
      <c r="B8711" s="6" t="s">
        <v>54025</v>
      </c>
      <c r="C8711" s="6" t="s">
        <v>54026</v>
      </c>
      <c r="D8711" s="6" t="s">
        <v>54027</v>
      </c>
      <c r="E8711" s="6" t="s">
        <v>53891</v>
      </c>
      <c r="F8711" s="6" t="s">
        <v>825</v>
      </c>
      <c r="G8711" s="6" t="s">
        <v>54028</v>
      </c>
      <c r="H8711" s="7" t="s">
        <v>31</v>
      </c>
      <c r="I8711" s="7">
        <v>2.0</v>
      </c>
      <c r="J8711" s="7">
        <v>1.0</v>
      </c>
      <c r="K8711" s="7">
        <v>1.0</v>
      </c>
      <c r="L8711" s="8" t="s">
        <v>53893</v>
      </c>
      <c r="M8711" s="6" t="s">
        <v>31</v>
      </c>
      <c r="N8711" s="6" t="s">
        <v>243</v>
      </c>
      <c r="O8711" s="8" t="s">
        <v>244</v>
      </c>
      <c r="P8711" s="6" t="s">
        <v>53895</v>
      </c>
      <c r="Q8711" s="6" t="s">
        <v>31</v>
      </c>
      <c r="R8711" s="6" t="s">
        <v>247</v>
      </c>
      <c r="S8711" s="8" t="s">
        <v>53896</v>
      </c>
      <c r="T8711" s="6" t="s">
        <v>249</v>
      </c>
      <c r="U8711" s="8" t="s">
        <v>31</v>
      </c>
      <c r="V8711" s="6" t="s">
        <v>54029</v>
      </c>
      <c r="W8711" s="6" t="s">
        <v>53891</v>
      </c>
      <c r="X8711" s="9" t="str">
        <f>HYPERLINK("https://my.pitchbook.com?p=455884-66P","View People Online")</f>
        <v>View People Online</v>
      </c>
    </row>
    <row r="8712">
      <c r="A8712" s="2" t="s">
        <v>54030</v>
      </c>
      <c r="B8712" s="2" t="s">
        <v>54031</v>
      </c>
      <c r="C8712" s="2" t="s">
        <v>2388</v>
      </c>
      <c r="D8712" s="2" t="s">
        <v>25694</v>
      </c>
      <c r="E8712" s="2" t="s">
        <v>53891</v>
      </c>
      <c r="F8712" s="2" t="s">
        <v>5515</v>
      </c>
      <c r="G8712" s="2" t="s">
        <v>54032</v>
      </c>
      <c r="H8712" s="3">
        <v>4.0</v>
      </c>
      <c r="I8712" s="3">
        <v>5.0</v>
      </c>
      <c r="J8712" s="3">
        <v>5.0</v>
      </c>
      <c r="K8712" s="3" t="s">
        <v>31</v>
      </c>
      <c r="L8712" s="4" t="s">
        <v>53893</v>
      </c>
      <c r="M8712" s="2" t="s">
        <v>54033</v>
      </c>
      <c r="N8712" s="2" t="s">
        <v>243</v>
      </c>
      <c r="O8712" s="4" t="s">
        <v>244</v>
      </c>
      <c r="P8712" s="2" t="s">
        <v>53895</v>
      </c>
      <c r="Q8712" s="2" t="s">
        <v>31</v>
      </c>
      <c r="R8712" s="2" t="s">
        <v>247</v>
      </c>
      <c r="S8712" s="4" t="s">
        <v>53896</v>
      </c>
      <c r="T8712" s="2" t="s">
        <v>249</v>
      </c>
      <c r="U8712" s="4" t="s">
        <v>31</v>
      </c>
      <c r="V8712" s="2" t="s">
        <v>29953</v>
      </c>
      <c r="W8712" s="2" t="s">
        <v>53891</v>
      </c>
      <c r="X8712" s="5" t="str">
        <f>HYPERLINK("https://my.pitchbook.com?p=250929-01P","View People Online")</f>
        <v>View People Online</v>
      </c>
    </row>
    <row r="8713">
      <c r="A8713" s="14" t="s">
        <v>54034</v>
      </c>
      <c r="B8713" s="14" t="s">
        <v>54035</v>
      </c>
      <c r="C8713" s="14" t="s">
        <v>2388</v>
      </c>
      <c r="D8713" s="14" t="s">
        <v>24471</v>
      </c>
      <c r="E8713" s="14" t="s">
        <v>53891</v>
      </c>
      <c r="F8713" s="14" t="s">
        <v>1283</v>
      </c>
      <c r="G8713" s="14" t="s">
        <v>54036</v>
      </c>
      <c r="H8713" s="15" t="s">
        <v>31</v>
      </c>
      <c r="I8713" s="15">
        <v>2.0</v>
      </c>
      <c r="J8713" s="15">
        <v>1.0</v>
      </c>
      <c r="K8713" s="15">
        <v>1.0</v>
      </c>
      <c r="L8713" s="16" t="s">
        <v>53893</v>
      </c>
      <c r="M8713" s="14" t="s">
        <v>54037</v>
      </c>
      <c r="N8713" s="14" t="s">
        <v>243</v>
      </c>
      <c r="O8713" s="16" t="s">
        <v>244</v>
      </c>
      <c r="P8713" s="14" t="s">
        <v>53895</v>
      </c>
      <c r="Q8713" s="14" t="s">
        <v>31</v>
      </c>
      <c r="R8713" s="14" t="s">
        <v>247</v>
      </c>
      <c r="S8713" s="16" t="s">
        <v>53896</v>
      </c>
      <c r="T8713" s="14" t="s">
        <v>249</v>
      </c>
      <c r="U8713" s="16" t="s">
        <v>31</v>
      </c>
      <c r="V8713" s="14" t="s">
        <v>54038</v>
      </c>
      <c r="W8713" s="14" t="s">
        <v>53891</v>
      </c>
      <c r="X8713" s="17" t="str">
        <f>HYPERLINK("https://my.pitchbook.com?p=303125-95P","View People Online")</f>
        <v>View People Online</v>
      </c>
    </row>
    <row r="8714">
      <c r="A8714" s="10" t="s">
        <v>54039</v>
      </c>
      <c r="B8714" s="10" t="s">
        <v>54040</v>
      </c>
      <c r="C8714" s="10" t="s">
        <v>3274</v>
      </c>
      <c r="D8714" s="10" t="s">
        <v>37722</v>
      </c>
      <c r="E8714" s="10" t="s">
        <v>53891</v>
      </c>
      <c r="F8714" s="10" t="s">
        <v>3710</v>
      </c>
      <c r="G8714" s="10" t="s">
        <v>54041</v>
      </c>
      <c r="H8714" s="11" t="s">
        <v>31</v>
      </c>
      <c r="I8714" s="11">
        <v>2.0</v>
      </c>
      <c r="J8714" s="11">
        <v>1.0</v>
      </c>
      <c r="K8714" s="11">
        <v>1.0</v>
      </c>
      <c r="L8714" s="12" t="s">
        <v>53893</v>
      </c>
      <c r="M8714" s="10" t="s">
        <v>54042</v>
      </c>
      <c r="N8714" s="10" t="s">
        <v>243</v>
      </c>
      <c r="O8714" s="12" t="s">
        <v>244</v>
      </c>
      <c r="P8714" s="10" t="s">
        <v>53895</v>
      </c>
      <c r="Q8714" s="10" t="s">
        <v>31</v>
      </c>
      <c r="R8714" s="10" t="s">
        <v>247</v>
      </c>
      <c r="S8714" s="12" t="s">
        <v>53896</v>
      </c>
      <c r="T8714" s="10" t="s">
        <v>249</v>
      </c>
      <c r="U8714" s="12" t="s">
        <v>31</v>
      </c>
      <c r="V8714" s="10" t="s">
        <v>9672</v>
      </c>
      <c r="W8714" s="10" t="s">
        <v>53891</v>
      </c>
      <c r="X8714" s="13" t="str">
        <f>HYPERLINK("https://my.pitchbook.com?p=98851-96P","View People Online")</f>
        <v>View People Online</v>
      </c>
    </row>
    <row r="8715">
      <c r="A8715" s="14" t="s">
        <v>54043</v>
      </c>
      <c r="B8715" s="14" t="s">
        <v>54044</v>
      </c>
      <c r="C8715" s="14" t="s">
        <v>1411</v>
      </c>
      <c r="D8715" s="14" t="s">
        <v>54045</v>
      </c>
      <c r="E8715" s="14" t="s">
        <v>53891</v>
      </c>
      <c r="F8715" s="14" t="s">
        <v>8950</v>
      </c>
      <c r="G8715" s="14" t="s">
        <v>54046</v>
      </c>
      <c r="H8715" s="15" t="s">
        <v>31</v>
      </c>
      <c r="I8715" s="15">
        <v>3.0</v>
      </c>
      <c r="J8715" s="15">
        <v>1.0</v>
      </c>
      <c r="K8715" s="15">
        <v>2.0</v>
      </c>
      <c r="L8715" s="16" t="s">
        <v>53893</v>
      </c>
      <c r="M8715" s="14" t="s">
        <v>54047</v>
      </c>
      <c r="N8715" s="14" t="s">
        <v>243</v>
      </c>
      <c r="O8715" s="16" t="s">
        <v>244</v>
      </c>
      <c r="P8715" s="14" t="s">
        <v>53895</v>
      </c>
      <c r="Q8715" s="14" t="s">
        <v>31</v>
      </c>
      <c r="R8715" s="14" t="s">
        <v>247</v>
      </c>
      <c r="S8715" s="16" t="s">
        <v>53896</v>
      </c>
      <c r="T8715" s="14" t="s">
        <v>249</v>
      </c>
      <c r="U8715" s="16" t="s">
        <v>31</v>
      </c>
      <c r="V8715" s="14" t="s">
        <v>54048</v>
      </c>
      <c r="W8715" s="14" t="s">
        <v>53891</v>
      </c>
      <c r="X8715" s="17" t="str">
        <f>HYPERLINK("https://my.pitchbook.com?p=206615-44P","View People Online")</f>
        <v>View People Online</v>
      </c>
    </row>
    <row r="8716">
      <c r="A8716" s="10" t="s">
        <v>54049</v>
      </c>
      <c r="B8716" s="10" t="s">
        <v>54050</v>
      </c>
      <c r="C8716" s="10" t="s">
        <v>9626</v>
      </c>
      <c r="D8716" s="10" t="s">
        <v>28476</v>
      </c>
      <c r="E8716" s="10" t="s">
        <v>53891</v>
      </c>
      <c r="F8716" s="10" t="s">
        <v>270</v>
      </c>
      <c r="G8716" s="10" t="s">
        <v>54051</v>
      </c>
      <c r="H8716" s="11" t="s">
        <v>31</v>
      </c>
      <c r="I8716" s="11">
        <v>3.0</v>
      </c>
      <c r="J8716" s="11">
        <v>1.0</v>
      </c>
      <c r="K8716" s="11">
        <v>2.0</v>
      </c>
      <c r="L8716" s="12" t="s">
        <v>53893</v>
      </c>
      <c r="M8716" s="10" t="s">
        <v>54052</v>
      </c>
      <c r="N8716" s="10" t="s">
        <v>243</v>
      </c>
      <c r="O8716" s="12" t="s">
        <v>244</v>
      </c>
      <c r="P8716" s="10" t="s">
        <v>53895</v>
      </c>
      <c r="Q8716" s="10" t="s">
        <v>31</v>
      </c>
      <c r="R8716" s="10" t="s">
        <v>247</v>
      </c>
      <c r="S8716" s="12" t="s">
        <v>53896</v>
      </c>
      <c r="T8716" s="10" t="s">
        <v>249</v>
      </c>
      <c r="U8716" s="12" t="s">
        <v>31</v>
      </c>
      <c r="V8716" s="10" t="s">
        <v>270</v>
      </c>
      <c r="W8716" s="10" t="s">
        <v>53891</v>
      </c>
      <c r="X8716" s="13" t="str">
        <f>HYPERLINK("https://my.pitchbook.com?p=292961-62P","View People Online")</f>
        <v>View People Online</v>
      </c>
    </row>
    <row r="8717">
      <c r="A8717" s="6" t="s">
        <v>54053</v>
      </c>
      <c r="B8717" s="6" t="s">
        <v>54054</v>
      </c>
      <c r="C8717" s="6" t="s">
        <v>1824</v>
      </c>
      <c r="D8717" s="6" t="s">
        <v>54055</v>
      </c>
      <c r="E8717" s="6" t="s">
        <v>53891</v>
      </c>
      <c r="F8717" s="6" t="s">
        <v>1283</v>
      </c>
      <c r="G8717" s="6" t="s">
        <v>54056</v>
      </c>
      <c r="H8717" s="7" t="s">
        <v>31</v>
      </c>
      <c r="I8717" s="7">
        <v>2.0</v>
      </c>
      <c r="J8717" s="7">
        <v>1.0</v>
      </c>
      <c r="K8717" s="7">
        <v>1.0</v>
      </c>
      <c r="L8717" s="8" t="s">
        <v>53893</v>
      </c>
      <c r="M8717" s="6" t="s">
        <v>31</v>
      </c>
      <c r="N8717" s="6" t="s">
        <v>243</v>
      </c>
      <c r="O8717" s="8" t="s">
        <v>244</v>
      </c>
      <c r="P8717" s="6" t="s">
        <v>53895</v>
      </c>
      <c r="Q8717" s="6" t="s">
        <v>31</v>
      </c>
      <c r="R8717" s="6" t="s">
        <v>247</v>
      </c>
      <c r="S8717" s="8" t="s">
        <v>53896</v>
      </c>
      <c r="T8717" s="6" t="s">
        <v>249</v>
      </c>
      <c r="U8717" s="8" t="s">
        <v>31</v>
      </c>
      <c r="V8717" s="6" t="s">
        <v>1283</v>
      </c>
      <c r="W8717" s="6" t="s">
        <v>53891</v>
      </c>
      <c r="X8717" s="9" t="str">
        <f>HYPERLINK("https://my.pitchbook.com?p=406558-18P","View People Online")</f>
        <v>View People Online</v>
      </c>
    </row>
    <row r="8718">
      <c r="A8718" s="10" t="s">
        <v>54057</v>
      </c>
      <c r="B8718" s="10" t="s">
        <v>54058</v>
      </c>
      <c r="C8718" s="10" t="s">
        <v>1830</v>
      </c>
      <c r="D8718" s="10" t="s">
        <v>54059</v>
      </c>
      <c r="E8718" s="10" t="s">
        <v>53891</v>
      </c>
      <c r="F8718" s="10" t="s">
        <v>7624</v>
      </c>
      <c r="G8718" s="10" t="s">
        <v>54060</v>
      </c>
      <c r="H8718" s="11" t="s">
        <v>31</v>
      </c>
      <c r="I8718" s="11">
        <v>1.0</v>
      </c>
      <c r="J8718" s="11">
        <v>1.0</v>
      </c>
      <c r="K8718" s="11" t="s">
        <v>31</v>
      </c>
      <c r="L8718" s="12" t="s">
        <v>53964</v>
      </c>
      <c r="M8718" s="10" t="s">
        <v>54061</v>
      </c>
      <c r="N8718" s="10" t="s">
        <v>7258</v>
      </c>
      <c r="O8718" s="12" t="s">
        <v>7259</v>
      </c>
      <c r="P8718" s="10" t="s">
        <v>53998</v>
      </c>
      <c r="Q8718" s="10" t="s">
        <v>53999</v>
      </c>
      <c r="R8718" s="10" t="s">
        <v>7262</v>
      </c>
      <c r="S8718" s="12" t="s">
        <v>7263</v>
      </c>
      <c r="T8718" s="10" t="s">
        <v>5484</v>
      </c>
      <c r="U8718" s="12" t="s">
        <v>54000</v>
      </c>
      <c r="V8718" s="10" t="s">
        <v>54062</v>
      </c>
      <c r="W8718" s="10" t="s">
        <v>53891</v>
      </c>
      <c r="X8718" s="13" t="str">
        <f>HYPERLINK("https://my.pitchbook.com?p=403584-94P","View People Online")</f>
        <v>View People Online</v>
      </c>
    </row>
    <row r="8719">
      <c r="A8719" s="6" t="s">
        <v>54063</v>
      </c>
      <c r="B8719" s="6" t="s">
        <v>54064</v>
      </c>
      <c r="C8719" s="6" t="s">
        <v>54065</v>
      </c>
      <c r="D8719" s="6" t="s">
        <v>19861</v>
      </c>
      <c r="E8719" s="6" t="s">
        <v>53891</v>
      </c>
      <c r="F8719" s="6" t="s">
        <v>1801</v>
      </c>
      <c r="G8719" s="6" t="s">
        <v>54066</v>
      </c>
      <c r="H8719" s="7" t="s">
        <v>31</v>
      </c>
      <c r="I8719" s="7">
        <v>1.0</v>
      </c>
      <c r="J8719" s="7">
        <v>1.0</v>
      </c>
      <c r="K8719" s="7" t="s">
        <v>31</v>
      </c>
      <c r="L8719" s="8" t="s">
        <v>53893</v>
      </c>
      <c r="M8719" s="6" t="s">
        <v>54067</v>
      </c>
      <c r="N8719" s="6" t="s">
        <v>243</v>
      </c>
      <c r="O8719" s="8" t="s">
        <v>244</v>
      </c>
      <c r="P8719" s="6" t="s">
        <v>53895</v>
      </c>
      <c r="Q8719" s="6" t="s">
        <v>31</v>
      </c>
      <c r="R8719" s="6" t="s">
        <v>247</v>
      </c>
      <c r="S8719" s="8" t="s">
        <v>53896</v>
      </c>
      <c r="T8719" s="6" t="s">
        <v>249</v>
      </c>
      <c r="U8719" s="8" t="s">
        <v>31</v>
      </c>
      <c r="V8719" s="6" t="s">
        <v>4118</v>
      </c>
      <c r="W8719" s="6" t="s">
        <v>53891</v>
      </c>
      <c r="X8719" s="9" t="str">
        <f>HYPERLINK("https://my.pitchbook.com?p=403587-10P","View People Online")</f>
        <v>View People Online</v>
      </c>
    </row>
    <row r="8720">
      <c r="A8720" s="2" t="s">
        <v>54068</v>
      </c>
      <c r="B8720" s="2" t="s">
        <v>54069</v>
      </c>
      <c r="C8720" s="2" t="s">
        <v>3644</v>
      </c>
      <c r="D8720" s="2" t="s">
        <v>17840</v>
      </c>
      <c r="E8720" s="2" t="s">
        <v>53891</v>
      </c>
      <c r="F8720" s="2" t="s">
        <v>470</v>
      </c>
      <c r="G8720" s="2" t="s">
        <v>54070</v>
      </c>
      <c r="H8720" s="3" t="s">
        <v>31</v>
      </c>
      <c r="I8720" s="3">
        <v>1.0</v>
      </c>
      <c r="J8720" s="3">
        <v>1.0</v>
      </c>
      <c r="K8720" s="3" t="s">
        <v>31</v>
      </c>
      <c r="L8720" s="4" t="s">
        <v>53893</v>
      </c>
      <c r="M8720" s="2" t="s">
        <v>54071</v>
      </c>
      <c r="N8720" s="2" t="s">
        <v>243</v>
      </c>
      <c r="O8720" s="4" t="s">
        <v>244</v>
      </c>
      <c r="P8720" s="2" t="s">
        <v>53895</v>
      </c>
      <c r="Q8720" s="2" t="s">
        <v>31</v>
      </c>
      <c r="R8720" s="2" t="s">
        <v>247</v>
      </c>
      <c r="S8720" s="4" t="s">
        <v>53896</v>
      </c>
      <c r="T8720" s="2" t="s">
        <v>249</v>
      </c>
      <c r="U8720" s="4" t="s">
        <v>31</v>
      </c>
      <c r="V8720" s="2" t="s">
        <v>470</v>
      </c>
      <c r="W8720" s="2" t="s">
        <v>53891</v>
      </c>
      <c r="X8720" s="5" t="str">
        <f>HYPERLINK("https://my.pitchbook.com?p=407894-23P","View People Online")</f>
        <v>View People Online</v>
      </c>
    </row>
    <row r="8721">
      <c r="A8721" s="14" t="s">
        <v>54072</v>
      </c>
      <c r="B8721" s="14" t="s">
        <v>54073</v>
      </c>
      <c r="C8721" s="14" t="s">
        <v>54074</v>
      </c>
      <c r="D8721" s="14" t="s">
        <v>54075</v>
      </c>
      <c r="E8721" s="14" t="s">
        <v>54076</v>
      </c>
      <c r="F8721" s="14" t="s">
        <v>1134</v>
      </c>
      <c r="G8721" s="14" t="s">
        <v>54077</v>
      </c>
      <c r="H8721" s="15" t="s">
        <v>31</v>
      </c>
      <c r="I8721" s="15">
        <v>1.0</v>
      </c>
      <c r="J8721" s="15">
        <v>1.0</v>
      </c>
      <c r="K8721" s="15" t="s">
        <v>31</v>
      </c>
      <c r="L8721" s="16" t="s">
        <v>54078</v>
      </c>
      <c r="M8721" s="14" t="s">
        <v>54079</v>
      </c>
      <c r="N8721" s="14" t="s">
        <v>1181</v>
      </c>
      <c r="O8721" s="16" t="s">
        <v>1182</v>
      </c>
      <c r="P8721" s="14" t="s">
        <v>54080</v>
      </c>
      <c r="Q8721" s="14" t="s">
        <v>24724</v>
      </c>
      <c r="R8721" s="14" t="s">
        <v>1185</v>
      </c>
      <c r="S8721" s="16" t="s">
        <v>29487</v>
      </c>
      <c r="T8721" s="14" t="s">
        <v>66</v>
      </c>
      <c r="U8721" s="16" t="s">
        <v>31</v>
      </c>
      <c r="V8721" s="14" t="s">
        <v>31313</v>
      </c>
      <c r="W8721" s="14" t="s">
        <v>54076</v>
      </c>
      <c r="X8721" s="17" t="str">
        <f>HYPERLINK("https://my.pitchbook.com?p=210341-17P","View People Online")</f>
        <v>View People Online</v>
      </c>
    </row>
    <row r="8722">
      <c r="A8722" s="2" t="s">
        <v>54081</v>
      </c>
      <c r="B8722" s="2" t="s">
        <v>54082</v>
      </c>
      <c r="C8722" s="2" t="s">
        <v>54083</v>
      </c>
      <c r="D8722" s="2" t="s">
        <v>54084</v>
      </c>
      <c r="E8722" s="2" t="s">
        <v>54076</v>
      </c>
      <c r="F8722" s="2" t="s">
        <v>270</v>
      </c>
      <c r="G8722" s="2" t="s">
        <v>54085</v>
      </c>
      <c r="H8722" s="3" t="s">
        <v>31</v>
      </c>
      <c r="I8722" s="3">
        <v>1.0</v>
      </c>
      <c r="J8722" s="3">
        <v>1.0</v>
      </c>
      <c r="K8722" s="3" t="s">
        <v>31</v>
      </c>
      <c r="L8722" s="4" t="s">
        <v>54086</v>
      </c>
      <c r="M8722" s="2" t="s">
        <v>54087</v>
      </c>
      <c r="N8722" s="2" t="s">
        <v>1181</v>
      </c>
      <c r="O8722" s="4" t="s">
        <v>1182</v>
      </c>
      <c r="P8722" s="2" t="s">
        <v>54080</v>
      </c>
      <c r="Q8722" s="2" t="s">
        <v>24724</v>
      </c>
      <c r="R8722" s="2" t="s">
        <v>1185</v>
      </c>
      <c r="S8722" s="4" t="s">
        <v>29487</v>
      </c>
      <c r="T8722" s="2" t="s">
        <v>66</v>
      </c>
      <c r="U8722" s="4" t="s">
        <v>31</v>
      </c>
      <c r="V8722" s="2" t="s">
        <v>440</v>
      </c>
      <c r="W8722" s="2" t="s">
        <v>54076</v>
      </c>
      <c r="X8722" s="5" t="str">
        <f>HYPERLINK("https://my.pitchbook.com?p=241965-91P","View People Online")</f>
        <v>View People Online</v>
      </c>
    </row>
    <row r="8723">
      <c r="A8723" s="6" t="s">
        <v>54088</v>
      </c>
      <c r="B8723" s="6" t="s">
        <v>54089</v>
      </c>
      <c r="C8723" s="6" t="s">
        <v>3722</v>
      </c>
      <c r="D8723" s="6" t="s">
        <v>19274</v>
      </c>
      <c r="E8723" s="6" t="s">
        <v>54076</v>
      </c>
      <c r="F8723" s="6" t="s">
        <v>86</v>
      </c>
      <c r="G8723" s="6" t="s">
        <v>54090</v>
      </c>
      <c r="H8723" s="7">
        <v>1.0</v>
      </c>
      <c r="I8723" s="7">
        <v>9.0</v>
      </c>
      <c r="J8723" s="7">
        <v>1.0</v>
      </c>
      <c r="K8723" s="7">
        <v>3.0</v>
      </c>
      <c r="L8723" s="8" t="s">
        <v>54091</v>
      </c>
      <c r="M8723" s="6" t="s">
        <v>54092</v>
      </c>
      <c r="N8723" s="6" t="s">
        <v>1181</v>
      </c>
      <c r="O8723" s="8" t="s">
        <v>1182</v>
      </c>
      <c r="P8723" s="6" t="s">
        <v>54080</v>
      </c>
      <c r="Q8723" s="6" t="s">
        <v>24724</v>
      </c>
      <c r="R8723" s="6" t="s">
        <v>1185</v>
      </c>
      <c r="S8723" s="8" t="s">
        <v>29487</v>
      </c>
      <c r="T8723" s="6" t="s">
        <v>66</v>
      </c>
      <c r="U8723" s="8" t="s">
        <v>31</v>
      </c>
      <c r="V8723" s="6" t="s">
        <v>95</v>
      </c>
      <c r="W8723" s="6" t="s">
        <v>54076</v>
      </c>
      <c r="X8723" s="9" t="str">
        <f>HYPERLINK("https://my.pitchbook.com?p=31427-02P","View People Online")</f>
        <v>View People Online</v>
      </c>
    </row>
    <row r="8724">
      <c r="A8724" s="2" t="s">
        <v>54093</v>
      </c>
      <c r="B8724" s="2" t="s">
        <v>54094</v>
      </c>
      <c r="C8724" s="2" t="s">
        <v>1697</v>
      </c>
      <c r="D8724" s="2" t="s">
        <v>54095</v>
      </c>
      <c r="E8724" s="2" t="s">
        <v>54076</v>
      </c>
      <c r="F8724" s="2" t="s">
        <v>86</v>
      </c>
      <c r="G8724" s="2" t="s">
        <v>54096</v>
      </c>
      <c r="H8724" s="3">
        <v>2.0</v>
      </c>
      <c r="I8724" s="3">
        <v>13.0</v>
      </c>
      <c r="J8724" s="3">
        <v>1.0</v>
      </c>
      <c r="K8724" s="3">
        <v>7.0</v>
      </c>
      <c r="L8724" s="4" t="s">
        <v>54097</v>
      </c>
      <c r="M8724" s="2" t="s">
        <v>54098</v>
      </c>
      <c r="N8724" s="2" t="s">
        <v>1181</v>
      </c>
      <c r="O8724" s="4" t="s">
        <v>1182</v>
      </c>
      <c r="P8724" s="2" t="s">
        <v>54080</v>
      </c>
      <c r="Q8724" s="2" t="s">
        <v>24724</v>
      </c>
      <c r="R8724" s="2" t="s">
        <v>1185</v>
      </c>
      <c r="S8724" s="4" t="s">
        <v>29487</v>
      </c>
      <c r="T8724" s="2" t="s">
        <v>66</v>
      </c>
      <c r="U8724" s="4" t="s">
        <v>31</v>
      </c>
      <c r="V8724" s="2" t="s">
        <v>95</v>
      </c>
      <c r="W8724" s="2" t="s">
        <v>54076</v>
      </c>
      <c r="X8724" s="5" t="str">
        <f>HYPERLINK("https://my.pitchbook.com?p=92197-45P","View People Online")</f>
        <v>View People Online</v>
      </c>
    </row>
    <row r="8725">
      <c r="A8725" s="6" t="s">
        <v>54099</v>
      </c>
      <c r="B8725" s="6" t="s">
        <v>54100</v>
      </c>
      <c r="C8725" s="6" t="s">
        <v>1117</v>
      </c>
      <c r="D8725" s="6" t="s">
        <v>54101</v>
      </c>
      <c r="E8725" s="6" t="s">
        <v>54102</v>
      </c>
      <c r="F8725" s="6" t="s">
        <v>57</v>
      </c>
      <c r="G8725" s="6" t="s">
        <v>54103</v>
      </c>
      <c r="H8725" s="7">
        <v>2.0</v>
      </c>
      <c r="I8725" s="7">
        <v>32.0</v>
      </c>
      <c r="J8725" s="7">
        <v>2.0</v>
      </c>
      <c r="K8725" s="7">
        <v>27.0</v>
      </c>
      <c r="L8725" s="8" t="s">
        <v>54104</v>
      </c>
      <c r="M8725" s="6" t="s">
        <v>54105</v>
      </c>
      <c r="N8725" s="6" t="s">
        <v>75</v>
      </c>
      <c r="O8725" s="8" t="s">
        <v>76</v>
      </c>
      <c r="P8725" s="6" t="s">
        <v>54106</v>
      </c>
      <c r="Q8725" s="6" t="s">
        <v>3920</v>
      </c>
      <c r="R8725" s="6" t="s">
        <v>75</v>
      </c>
      <c r="S8725" s="8" t="s">
        <v>1478</v>
      </c>
      <c r="T8725" s="6" t="s">
        <v>66</v>
      </c>
      <c r="U8725" s="8" t="s">
        <v>54107</v>
      </c>
      <c r="V8725" s="6" t="s">
        <v>57</v>
      </c>
      <c r="W8725" s="6" t="s">
        <v>54102</v>
      </c>
      <c r="X8725" s="9" t="str">
        <f>HYPERLINK("https://my.pitchbook.com?p=40697-56P","View People Online")</f>
        <v>View People Online</v>
      </c>
    </row>
    <row r="8726">
      <c r="A8726" s="10" t="s">
        <v>54108</v>
      </c>
      <c r="B8726" s="10" t="s">
        <v>54109</v>
      </c>
      <c r="C8726" s="10" t="s">
        <v>30892</v>
      </c>
      <c r="D8726" s="10" t="s">
        <v>54110</v>
      </c>
      <c r="E8726" s="10" t="s">
        <v>54102</v>
      </c>
      <c r="F8726" s="10" t="s">
        <v>896</v>
      </c>
      <c r="G8726" s="10" t="s">
        <v>54111</v>
      </c>
      <c r="H8726" s="11" t="s">
        <v>31</v>
      </c>
      <c r="I8726" s="11">
        <v>2.0</v>
      </c>
      <c r="J8726" s="11">
        <v>2.0</v>
      </c>
      <c r="K8726" s="11" t="s">
        <v>31</v>
      </c>
      <c r="L8726" s="12" t="s">
        <v>54112</v>
      </c>
      <c r="M8726" s="10" t="s">
        <v>54113</v>
      </c>
      <c r="N8726" s="10" t="s">
        <v>75</v>
      </c>
      <c r="O8726" s="12" t="s">
        <v>76</v>
      </c>
      <c r="P8726" s="10" t="s">
        <v>54106</v>
      </c>
      <c r="Q8726" s="10" t="s">
        <v>3920</v>
      </c>
      <c r="R8726" s="10" t="s">
        <v>75</v>
      </c>
      <c r="S8726" s="12" t="s">
        <v>1478</v>
      </c>
      <c r="T8726" s="10" t="s">
        <v>66</v>
      </c>
      <c r="U8726" s="12" t="s">
        <v>54107</v>
      </c>
      <c r="V8726" s="10" t="s">
        <v>54114</v>
      </c>
      <c r="W8726" s="10" t="s">
        <v>54102</v>
      </c>
      <c r="X8726" s="13" t="str">
        <f>HYPERLINK("https://my.pitchbook.com?p=151500-70P","View People Online")</f>
        <v>View People Online</v>
      </c>
    </row>
    <row r="8727">
      <c r="A8727" s="14" t="s">
        <v>54115</v>
      </c>
      <c r="B8727" s="14" t="s">
        <v>54116</v>
      </c>
      <c r="C8727" s="14" t="s">
        <v>305</v>
      </c>
      <c r="D8727" s="14" t="s">
        <v>200</v>
      </c>
      <c r="E8727" s="14" t="s">
        <v>54102</v>
      </c>
      <c r="F8727" s="14" t="s">
        <v>270</v>
      </c>
      <c r="G8727" s="14" t="s">
        <v>54117</v>
      </c>
      <c r="H8727" s="15" t="s">
        <v>31</v>
      </c>
      <c r="I8727" s="15">
        <v>1.0</v>
      </c>
      <c r="J8727" s="15">
        <v>1.0</v>
      </c>
      <c r="K8727" s="15" t="s">
        <v>31</v>
      </c>
      <c r="L8727" s="16" t="s">
        <v>54112</v>
      </c>
      <c r="M8727" s="14" t="s">
        <v>54118</v>
      </c>
      <c r="N8727" s="14" t="s">
        <v>75</v>
      </c>
      <c r="O8727" s="16" t="s">
        <v>76</v>
      </c>
      <c r="P8727" s="14" t="s">
        <v>54106</v>
      </c>
      <c r="Q8727" s="14" t="s">
        <v>3920</v>
      </c>
      <c r="R8727" s="14" t="s">
        <v>75</v>
      </c>
      <c r="S8727" s="16" t="s">
        <v>1478</v>
      </c>
      <c r="T8727" s="14" t="s">
        <v>66</v>
      </c>
      <c r="U8727" s="16" t="s">
        <v>54107</v>
      </c>
      <c r="V8727" s="14" t="s">
        <v>440</v>
      </c>
      <c r="W8727" s="14" t="s">
        <v>54102</v>
      </c>
      <c r="X8727" s="17" t="str">
        <f>HYPERLINK("https://my.pitchbook.com?p=211478-77P","View People Online")</f>
        <v>View People Online</v>
      </c>
    </row>
    <row r="8728">
      <c r="A8728" s="2" t="s">
        <v>54119</v>
      </c>
      <c r="B8728" s="2" t="s">
        <v>54120</v>
      </c>
      <c r="C8728" s="2" t="s">
        <v>4009</v>
      </c>
      <c r="D8728" s="2" t="s">
        <v>54121</v>
      </c>
      <c r="E8728" s="2" t="s">
        <v>54102</v>
      </c>
      <c r="F8728" s="2" t="s">
        <v>78</v>
      </c>
      <c r="G8728" s="2" t="s">
        <v>54122</v>
      </c>
      <c r="H8728" s="3" t="s">
        <v>31</v>
      </c>
      <c r="I8728" s="3">
        <v>1.0</v>
      </c>
      <c r="J8728" s="3">
        <v>1.0</v>
      </c>
      <c r="K8728" s="3" t="s">
        <v>31</v>
      </c>
      <c r="L8728" s="4" t="s">
        <v>54112</v>
      </c>
      <c r="M8728" s="2" t="s">
        <v>54123</v>
      </c>
      <c r="N8728" s="2" t="s">
        <v>75</v>
      </c>
      <c r="O8728" s="4" t="s">
        <v>76</v>
      </c>
      <c r="P8728" s="2" t="s">
        <v>54106</v>
      </c>
      <c r="Q8728" s="2" t="s">
        <v>3920</v>
      </c>
      <c r="R8728" s="2" t="s">
        <v>75</v>
      </c>
      <c r="S8728" s="4" t="s">
        <v>1478</v>
      </c>
      <c r="T8728" s="2" t="s">
        <v>66</v>
      </c>
      <c r="U8728" s="4" t="s">
        <v>54107</v>
      </c>
      <c r="V8728" s="2" t="s">
        <v>78</v>
      </c>
      <c r="W8728" s="2" t="s">
        <v>54102</v>
      </c>
      <c r="X8728" s="5" t="str">
        <f>HYPERLINK("https://my.pitchbook.com?p=151502-50P","View People Online")</f>
        <v>View People Online</v>
      </c>
    </row>
    <row r="8729">
      <c r="A8729" s="14" t="s">
        <v>54124</v>
      </c>
      <c r="B8729" s="14" t="s">
        <v>54125</v>
      </c>
      <c r="C8729" s="14" t="s">
        <v>18713</v>
      </c>
      <c r="D8729" s="14" t="s">
        <v>54126</v>
      </c>
      <c r="E8729" s="14" t="s">
        <v>54102</v>
      </c>
      <c r="F8729" s="14" t="s">
        <v>1659</v>
      </c>
      <c r="G8729" s="14" t="s">
        <v>54127</v>
      </c>
      <c r="H8729" s="15" t="s">
        <v>31</v>
      </c>
      <c r="I8729" s="15">
        <v>1.0</v>
      </c>
      <c r="J8729" s="15">
        <v>1.0</v>
      </c>
      <c r="K8729" s="15" t="s">
        <v>31</v>
      </c>
      <c r="L8729" s="16" t="s">
        <v>54112</v>
      </c>
      <c r="M8729" s="14" t="s">
        <v>54128</v>
      </c>
      <c r="N8729" s="14" t="s">
        <v>75</v>
      </c>
      <c r="O8729" s="16" t="s">
        <v>76</v>
      </c>
      <c r="P8729" s="14" t="s">
        <v>54106</v>
      </c>
      <c r="Q8729" s="14" t="s">
        <v>3920</v>
      </c>
      <c r="R8729" s="14" t="s">
        <v>75</v>
      </c>
      <c r="S8729" s="16" t="s">
        <v>1478</v>
      </c>
      <c r="T8729" s="14" t="s">
        <v>66</v>
      </c>
      <c r="U8729" s="16" t="s">
        <v>54107</v>
      </c>
      <c r="V8729" s="14" t="s">
        <v>1659</v>
      </c>
      <c r="W8729" s="14" t="s">
        <v>54102</v>
      </c>
      <c r="X8729" s="17" t="str">
        <f>HYPERLINK("https://my.pitchbook.com?p=151506-55P","View People Online")</f>
        <v>View People Online</v>
      </c>
    </row>
    <row r="8730">
      <c r="A8730" s="10" t="s">
        <v>54129</v>
      </c>
      <c r="B8730" s="10" t="s">
        <v>54130</v>
      </c>
      <c r="C8730" s="10" t="s">
        <v>6010</v>
      </c>
      <c r="D8730" s="10" t="s">
        <v>54131</v>
      </c>
      <c r="E8730" s="10" t="s">
        <v>54102</v>
      </c>
      <c r="F8730" s="10" t="s">
        <v>221</v>
      </c>
      <c r="G8730" s="10" t="s">
        <v>54132</v>
      </c>
      <c r="H8730" s="11" t="s">
        <v>31</v>
      </c>
      <c r="I8730" s="11">
        <v>1.0</v>
      </c>
      <c r="J8730" s="11">
        <v>1.0</v>
      </c>
      <c r="K8730" s="11" t="s">
        <v>31</v>
      </c>
      <c r="L8730" s="12" t="s">
        <v>54112</v>
      </c>
      <c r="M8730" s="10" t="s">
        <v>31</v>
      </c>
      <c r="N8730" s="10" t="s">
        <v>75</v>
      </c>
      <c r="O8730" s="12" t="s">
        <v>76</v>
      </c>
      <c r="P8730" s="10" t="s">
        <v>54106</v>
      </c>
      <c r="Q8730" s="10" t="s">
        <v>3920</v>
      </c>
      <c r="R8730" s="10" t="s">
        <v>75</v>
      </c>
      <c r="S8730" s="12" t="s">
        <v>1478</v>
      </c>
      <c r="T8730" s="10" t="s">
        <v>66</v>
      </c>
      <c r="U8730" s="12" t="s">
        <v>54107</v>
      </c>
      <c r="V8730" s="10" t="s">
        <v>54133</v>
      </c>
      <c r="W8730" s="10" t="s">
        <v>54102</v>
      </c>
      <c r="X8730" s="13" t="str">
        <f>HYPERLINK("https://my.pitchbook.com?p=151507-18P","View People Online")</f>
        <v>View People Online</v>
      </c>
    </row>
    <row r="8731">
      <c r="A8731" s="14" t="s">
        <v>54134</v>
      </c>
      <c r="B8731" s="14" t="s">
        <v>54135</v>
      </c>
      <c r="C8731" s="14" t="s">
        <v>160</v>
      </c>
      <c r="D8731" s="14" t="s">
        <v>54136</v>
      </c>
      <c r="E8731" s="14" t="s">
        <v>54102</v>
      </c>
      <c r="F8731" s="14" t="s">
        <v>6567</v>
      </c>
      <c r="G8731" s="14" t="s">
        <v>54137</v>
      </c>
      <c r="H8731" s="15" t="s">
        <v>31</v>
      </c>
      <c r="I8731" s="15">
        <v>2.0</v>
      </c>
      <c r="J8731" s="15">
        <v>2.0</v>
      </c>
      <c r="K8731" s="15" t="s">
        <v>31</v>
      </c>
      <c r="L8731" s="16" t="s">
        <v>54138</v>
      </c>
      <c r="M8731" s="14" t="s">
        <v>54139</v>
      </c>
      <c r="N8731" s="14" t="s">
        <v>75</v>
      </c>
      <c r="O8731" s="16" t="s">
        <v>76</v>
      </c>
      <c r="P8731" s="14" t="s">
        <v>51518</v>
      </c>
      <c r="Q8731" s="14" t="s">
        <v>2403</v>
      </c>
      <c r="R8731" s="14" t="s">
        <v>75</v>
      </c>
      <c r="S8731" s="16" t="s">
        <v>51519</v>
      </c>
      <c r="T8731" s="14" t="s">
        <v>66</v>
      </c>
      <c r="U8731" s="16" t="s">
        <v>31</v>
      </c>
      <c r="V8731" s="14" t="s">
        <v>1544</v>
      </c>
      <c r="W8731" s="14" t="s">
        <v>54140</v>
      </c>
      <c r="X8731" s="17" t="str">
        <f>HYPERLINK("https://my.pitchbook.com?p=151506-01P","View People Online")</f>
        <v>View People Online</v>
      </c>
    </row>
    <row r="8732">
      <c r="A8732" s="2" t="s">
        <v>54141</v>
      </c>
      <c r="B8732" s="2" t="s">
        <v>54142</v>
      </c>
      <c r="C8732" s="2" t="s">
        <v>54143</v>
      </c>
      <c r="D8732" s="2" t="s">
        <v>54144</v>
      </c>
      <c r="E8732" s="2" t="s">
        <v>54102</v>
      </c>
      <c r="F8732" s="2" t="s">
        <v>733</v>
      </c>
      <c r="G8732" s="2" t="s">
        <v>54145</v>
      </c>
      <c r="H8732" s="3">
        <v>1.0</v>
      </c>
      <c r="I8732" s="3">
        <v>5.0</v>
      </c>
      <c r="J8732" s="3">
        <v>2.0</v>
      </c>
      <c r="K8732" s="3">
        <v>2.0</v>
      </c>
      <c r="L8732" s="4" t="s">
        <v>54112</v>
      </c>
      <c r="M8732" s="2" t="s">
        <v>54146</v>
      </c>
      <c r="N8732" s="2" t="s">
        <v>75</v>
      </c>
      <c r="O8732" s="4" t="s">
        <v>76</v>
      </c>
      <c r="P8732" s="2" t="s">
        <v>54106</v>
      </c>
      <c r="Q8732" s="2" t="s">
        <v>3920</v>
      </c>
      <c r="R8732" s="2" t="s">
        <v>75</v>
      </c>
      <c r="S8732" s="4" t="s">
        <v>1478</v>
      </c>
      <c r="T8732" s="2" t="s">
        <v>66</v>
      </c>
      <c r="U8732" s="4" t="s">
        <v>54107</v>
      </c>
      <c r="V8732" s="2" t="s">
        <v>736</v>
      </c>
      <c r="W8732" s="2" t="s">
        <v>54102</v>
      </c>
      <c r="X8732" s="5" t="str">
        <f>HYPERLINK("https://my.pitchbook.com?p=123265-81P","View People Online")</f>
        <v>View People Online</v>
      </c>
    </row>
    <row r="8733">
      <c r="A8733" s="6" t="s">
        <v>54147</v>
      </c>
      <c r="B8733" s="6" t="s">
        <v>54148</v>
      </c>
      <c r="C8733" s="6" t="s">
        <v>934</v>
      </c>
      <c r="D8733" s="6" t="s">
        <v>54149</v>
      </c>
      <c r="E8733" s="6" t="s">
        <v>54102</v>
      </c>
      <c r="F8733" s="6" t="s">
        <v>502</v>
      </c>
      <c r="G8733" s="6" t="s">
        <v>54150</v>
      </c>
      <c r="H8733" s="7" t="s">
        <v>31</v>
      </c>
      <c r="I8733" s="7">
        <v>2.0</v>
      </c>
      <c r="J8733" s="7">
        <v>2.0</v>
      </c>
      <c r="K8733" s="7" t="s">
        <v>31</v>
      </c>
      <c r="L8733" s="8" t="s">
        <v>54112</v>
      </c>
      <c r="M8733" s="6" t="s">
        <v>54151</v>
      </c>
      <c r="N8733" s="6" t="s">
        <v>5345</v>
      </c>
      <c r="O8733" s="8" t="s">
        <v>5346</v>
      </c>
      <c r="P8733" s="6" t="s">
        <v>54152</v>
      </c>
      <c r="Q8733" s="6" t="s">
        <v>31</v>
      </c>
      <c r="R8733" s="6" t="s">
        <v>5348</v>
      </c>
      <c r="S8733" s="8" t="s">
        <v>54153</v>
      </c>
      <c r="T8733" s="6" t="s">
        <v>66</v>
      </c>
      <c r="U8733" s="8" t="s">
        <v>31</v>
      </c>
      <c r="V8733" s="6" t="s">
        <v>502</v>
      </c>
      <c r="W8733" s="6" t="s">
        <v>54154</v>
      </c>
      <c r="X8733" s="9" t="str">
        <f>HYPERLINK("https://my.pitchbook.com?p=151505-11P","View People Online")</f>
        <v>View People Online</v>
      </c>
    </row>
    <row r="8734">
      <c r="A8734" s="10" t="s">
        <v>54155</v>
      </c>
      <c r="B8734" s="10" t="s">
        <v>54156</v>
      </c>
      <c r="C8734" s="10" t="s">
        <v>22105</v>
      </c>
      <c r="D8734" s="10" t="s">
        <v>54157</v>
      </c>
      <c r="E8734" s="10" t="s">
        <v>54102</v>
      </c>
      <c r="F8734" s="10" t="s">
        <v>29</v>
      </c>
      <c r="G8734" s="10" t="s">
        <v>54158</v>
      </c>
      <c r="H8734" s="11">
        <v>1.0</v>
      </c>
      <c r="I8734" s="11">
        <v>3.0</v>
      </c>
      <c r="J8734" s="11">
        <v>1.0</v>
      </c>
      <c r="K8734" s="11">
        <v>1.0</v>
      </c>
      <c r="L8734" s="12" t="s">
        <v>54112</v>
      </c>
      <c r="M8734" s="10" t="s">
        <v>54159</v>
      </c>
      <c r="N8734" s="10" t="s">
        <v>75</v>
      </c>
      <c r="O8734" s="12" t="s">
        <v>76</v>
      </c>
      <c r="P8734" s="10" t="s">
        <v>54106</v>
      </c>
      <c r="Q8734" s="10" t="s">
        <v>3920</v>
      </c>
      <c r="R8734" s="10" t="s">
        <v>75</v>
      </c>
      <c r="S8734" s="12" t="s">
        <v>1478</v>
      </c>
      <c r="T8734" s="10" t="s">
        <v>66</v>
      </c>
      <c r="U8734" s="12" t="s">
        <v>54107</v>
      </c>
      <c r="V8734" s="10" t="s">
        <v>29</v>
      </c>
      <c r="W8734" s="10" t="s">
        <v>54102</v>
      </c>
      <c r="X8734" s="13" t="str">
        <f>HYPERLINK("https://my.pitchbook.com?p=165743-74P","View People Online")</f>
        <v>View People Online</v>
      </c>
    </row>
    <row r="8735">
      <c r="A8735" s="6" t="s">
        <v>54160</v>
      </c>
      <c r="B8735" s="6" t="s">
        <v>54161</v>
      </c>
      <c r="C8735" s="6" t="s">
        <v>54162</v>
      </c>
      <c r="D8735" s="6" t="s">
        <v>54163</v>
      </c>
      <c r="E8735" s="6" t="s">
        <v>54102</v>
      </c>
      <c r="F8735" s="6" t="s">
        <v>270</v>
      </c>
      <c r="G8735" s="6" t="s">
        <v>54164</v>
      </c>
      <c r="H8735" s="7" t="s">
        <v>31</v>
      </c>
      <c r="I8735" s="7">
        <v>1.0</v>
      </c>
      <c r="J8735" s="7">
        <v>1.0</v>
      </c>
      <c r="K8735" s="7" t="s">
        <v>31</v>
      </c>
      <c r="L8735" s="8" t="s">
        <v>54112</v>
      </c>
      <c r="M8735" s="6" t="s">
        <v>31</v>
      </c>
      <c r="N8735" s="6" t="s">
        <v>75</v>
      </c>
      <c r="O8735" s="8" t="s">
        <v>76</v>
      </c>
      <c r="P8735" s="6" t="s">
        <v>54106</v>
      </c>
      <c r="Q8735" s="6" t="s">
        <v>3920</v>
      </c>
      <c r="R8735" s="6" t="s">
        <v>75</v>
      </c>
      <c r="S8735" s="8" t="s">
        <v>1478</v>
      </c>
      <c r="T8735" s="6" t="s">
        <v>66</v>
      </c>
      <c r="U8735" s="8" t="s">
        <v>54107</v>
      </c>
      <c r="V8735" s="6" t="s">
        <v>270</v>
      </c>
      <c r="W8735" s="6" t="s">
        <v>54102</v>
      </c>
      <c r="X8735" s="9" t="str">
        <f>HYPERLINK("https://my.pitchbook.com?p=358337-71P","View People Online")</f>
        <v>View People Online</v>
      </c>
    </row>
    <row r="8736">
      <c r="A8736" s="2" t="s">
        <v>54165</v>
      </c>
      <c r="B8736" s="2" t="s">
        <v>54166</v>
      </c>
      <c r="C8736" s="2" t="s">
        <v>11586</v>
      </c>
      <c r="D8736" s="2" t="s">
        <v>54167</v>
      </c>
      <c r="E8736" s="2" t="s">
        <v>54168</v>
      </c>
      <c r="F8736" s="2" t="s">
        <v>114</v>
      </c>
      <c r="G8736" s="2" t="s">
        <v>54169</v>
      </c>
      <c r="H8736" s="3">
        <v>2.0</v>
      </c>
      <c r="I8736" s="3">
        <v>11.0</v>
      </c>
      <c r="J8736" s="3">
        <v>3.0</v>
      </c>
      <c r="K8736" s="3">
        <v>6.0</v>
      </c>
      <c r="L8736" s="4" t="s">
        <v>31</v>
      </c>
      <c r="M8736" s="2" t="s">
        <v>31</v>
      </c>
      <c r="N8736" s="2" t="s">
        <v>54170</v>
      </c>
      <c r="O8736" s="4" t="s">
        <v>54171</v>
      </c>
      <c r="P8736" s="2" t="s">
        <v>54172</v>
      </c>
      <c r="Q8736" s="2" t="s">
        <v>54173</v>
      </c>
      <c r="R8736" s="2" t="s">
        <v>247</v>
      </c>
      <c r="S8736" s="4" t="s">
        <v>54174</v>
      </c>
      <c r="T8736" s="2" t="s">
        <v>249</v>
      </c>
      <c r="U8736" s="4" t="s">
        <v>31</v>
      </c>
      <c r="V8736" s="2" t="s">
        <v>157</v>
      </c>
      <c r="W8736" s="2" t="s">
        <v>54175</v>
      </c>
      <c r="X8736" s="5" t="str">
        <f>HYPERLINK("https://my.pitchbook.com?p=106139-62P","View People Online")</f>
        <v>View People Online</v>
      </c>
    </row>
    <row r="8737">
      <c r="A8737" s="6" t="s">
        <v>54176</v>
      </c>
      <c r="B8737" s="6" t="s">
        <v>54177</v>
      </c>
      <c r="C8737" s="6" t="s">
        <v>28873</v>
      </c>
      <c r="D8737" s="6" t="s">
        <v>54178</v>
      </c>
      <c r="E8737" s="6" t="s">
        <v>54168</v>
      </c>
      <c r="F8737" s="6" t="s">
        <v>114</v>
      </c>
      <c r="G8737" s="6" t="s">
        <v>54179</v>
      </c>
      <c r="H8737" s="7" t="s">
        <v>31</v>
      </c>
      <c r="I8737" s="7">
        <v>2.0</v>
      </c>
      <c r="J8737" s="7">
        <v>2.0</v>
      </c>
      <c r="K8737" s="7" t="s">
        <v>31</v>
      </c>
      <c r="L8737" s="8" t="s">
        <v>31</v>
      </c>
      <c r="M8737" s="6" t="s">
        <v>31</v>
      </c>
      <c r="N8737" s="6" t="s">
        <v>2754</v>
      </c>
      <c r="O8737" s="8" t="s">
        <v>2755</v>
      </c>
      <c r="P8737" s="6" t="s">
        <v>31</v>
      </c>
      <c r="Q8737" s="6" t="s">
        <v>31</v>
      </c>
      <c r="R8737" s="6" t="s">
        <v>54180</v>
      </c>
      <c r="S8737" s="8" t="s">
        <v>31</v>
      </c>
      <c r="T8737" s="6" t="s">
        <v>38</v>
      </c>
      <c r="U8737" s="8" t="s">
        <v>31</v>
      </c>
      <c r="V8737" s="6" t="s">
        <v>2312</v>
      </c>
      <c r="W8737" s="6" t="s">
        <v>54177</v>
      </c>
      <c r="X8737" s="9" t="str">
        <f>HYPERLINK("https://my.pitchbook.com?p=426926-26P","View People Online")</f>
        <v>View People Online</v>
      </c>
    </row>
    <row r="8738">
      <c r="A8738" s="10" t="s">
        <v>54181</v>
      </c>
      <c r="B8738" s="10" t="s">
        <v>54182</v>
      </c>
      <c r="C8738" s="10" t="s">
        <v>21148</v>
      </c>
      <c r="D8738" s="10" t="s">
        <v>54183</v>
      </c>
      <c r="E8738" s="10" t="s">
        <v>54168</v>
      </c>
      <c r="F8738" s="10" t="s">
        <v>114</v>
      </c>
      <c r="G8738" s="10" t="s">
        <v>54184</v>
      </c>
      <c r="H8738" s="11">
        <v>1.0</v>
      </c>
      <c r="I8738" s="11">
        <v>45.0</v>
      </c>
      <c r="J8738" s="11">
        <v>3.0</v>
      </c>
      <c r="K8738" s="11">
        <v>39.0</v>
      </c>
      <c r="L8738" s="12" t="s">
        <v>54185</v>
      </c>
      <c r="M8738" s="10" t="s">
        <v>54186</v>
      </c>
      <c r="N8738" s="10" t="s">
        <v>429</v>
      </c>
      <c r="O8738" s="12" t="s">
        <v>430</v>
      </c>
      <c r="P8738" s="10" t="s">
        <v>54187</v>
      </c>
      <c r="Q8738" s="10" t="s">
        <v>31</v>
      </c>
      <c r="R8738" s="10" t="s">
        <v>31</v>
      </c>
      <c r="S8738" s="12" t="s">
        <v>432</v>
      </c>
      <c r="T8738" s="10" t="s">
        <v>433</v>
      </c>
      <c r="U8738" s="12" t="s">
        <v>31</v>
      </c>
      <c r="V8738" s="10" t="s">
        <v>71</v>
      </c>
      <c r="W8738" s="10" t="s">
        <v>54188</v>
      </c>
      <c r="X8738" s="13" t="str">
        <f>HYPERLINK("https://my.pitchbook.com?p=35726-86P","View People Online")</f>
        <v>View People Online</v>
      </c>
    </row>
    <row r="8739">
      <c r="A8739" s="6" t="s">
        <v>54189</v>
      </c>
      <c r="B8739" s="6" t="s">
        <v>54190</v>
      </c>
      <c r="C8739" s="6" t="s">
        <v>3370</v>
      </c>
      <c r="D8739" s="6" t="s">
        <v>54191</v>
      </c>
      <c r="E8739" s="6" t="s">
        <v>54168</v>
      </c>
      <c r="F8739" s="6" t="s">
        <v>674</v>
      </c>
      <c r="G8739" s="6" t="s">
        <v>54192</v>
      </c>
      <c r="H8739" s="7" t="s">
        <v>31</v>
      </c>
      <c r="I8739" s="7">
        <v>12.0</v>
      </c>
      <c r="J8739" s="7">
        <v>1.0</v>
      </c>
      <c r="K8739" s="7">
        <v>8.0</v>
      </c>
      <c r="L8739" s="8" t="s">
        <v>31</v>
      </c>
      <c r="M8739" s="6" t="s">
        <v>54193</v>
      </c>
      <c r="N8739" s="6" t="s">
        <v>34</v>
      </c>
      <c r="O8739" s="8" t="s">
        <v>35</v>
      </c>
      <c r="P8739" s="6" t="s">
        <v>54194</v>
      </c>
      <c r="Q8739" s="6" t="s">
        <v>31</v>
      </c>
      <c r="R8739" s="6" t="s">
        <v>31</v>
      </c>
      <c r="S8739" s="8" t="s">
        <v>54195</v>
      </c>
      <c r="T8739" s="6" t="s">
        <v>38</v>
      </c>
      <c r="U8739" s="8" t="s">
        <v>31</v>
      </c>
      <c r="V8739" s="6" t="s">
        <v>674</v>
      </c>
      <c r="W8739" s="6" t="s">
        <v>54168</v>
      </c>
      <c r="X8739" s="9" t="str">
        <f>HYPERLINK("https://my.pitchbook.com?p=259701-58P","View People Online")</f>
        <v>View People Online</v>
      </c>
    </row>
    <row r="8740">
      <c r="A8740" s="10" t="s">
        <v>54196</v>
      </c>
      <c r="B8740" s="10" t="s">
        <v>54197</v>
      </c>
      <c r="C8740" s="10" t="s">
        <v>13983</v>
      </c>
      <c r="D8740" s="10" t="s">
        <v>54198</v>
      </c>
      <c r="E8740" s="10" t="s">
        <v>54199</v>
      </c>
      <c r="F8740" s="10" t="s">
        <v>29</v>
      </c>
      <c r="G8740" s="10" t="s">
        <v>54200</v>
      </c>
      <c r="H8740" s="11">
        <v>1.0</v>
      </c>
      <c r="I8740" s="11">
        <v>61.0</v>
      </c>
      <c r="J8740" s="11">
        <v>3.0</v>
      </c>
      <c r="K8740" s="11">
        <v>52.0</v>
      </c>
      <c r="L8740" s="12" t="s">
        <v>31</v>
      </c>
      <c r="M8740" s="10" t="s">
        <v>54201</v>
      </c>
      <c r="N8740" s="10" t="s">
        <v>36542</v>
      </c>
      <c r="O8740" s="12" t="s">
        <v>36543</v>
      </c>
      <c r="P8740" s="10" t="s">
        <v>54202</v>
      </c>
      <c r="Q8740" s="10" t="s">
        <v>31</v>
      </c>
      <c r="R8740" s="10" t="s">
        <v>64</v>
      </c>
      <c r="S8740" s="12" t="s">
        <v>36545</v>
      </c>
      <c r="T8740" s="10" t="s">
        <v>66</v>
      </c>
      <c r="U8740" s="12" t="s">
        <v>31</v>
      </c>
      <c r="V8740" s="10" t="s">
        <v>54203</v>
      </c>
      <c r="W8740" s="10" t="s">
        <v>54204</v>
      </c>
      <c r="X8740" s="13" t="str">
        <f>HYPERLINK("https://my.pitchbook.com?p=12963-70P","View People Online")</f>
        <v>View People Online</v>
      </c>
    </row>
    <row r="8741">
      <c r="A8741" s="14" t="s">
        <v>54205</v>
      </c>
      <c r="B8741" s="14" t="s">
        <v>54206</v>
      </c>
      <c r="C8741" s="14" t="s">
        <v>3811</v>
      </c>
      <c r="D8741" s="14" t="s">
        <v>54207</v>
      </c>
      <c r="E8741" s="14" t="s">
        <v>54199</v>
      </c>
      <c r="F8741" s="14" t="s">
        <v>502</v>
      </c>
      <c r="G8741" s="14" t="s">
        <v>54208</v>
      </c>
      <c r="H8741" s="15" t="s">
        <v>31</v>
      </c>
      <c r="I8741" s="15">
        <v>6.0</v>
      </c>
      <c r="J8741" s="15">
        <v>1.0</v>
      </c>
      <c r="K8741" s="15">
        <v>3.0</v>
      </c>
      <c r="L8741" s="16" t="s">
        <v>31</v>
      </c>
      <c r="M8741" s="14" t="s">
        <v>54209</v>
      </c>
      <c r="N8741" s="14" t="s">
        <v>36542</v>
      </c>
      <c r="O8741" s="16" t="s">
        <v>36543</v>
      </c>
      <c r="P8741" s="14" t="s">
        <v>54202</v>
      </c>
      <c r="Q8741" s="14" t="s">
        <v>31</v>
      </c>
      <c r="R8741" s="14" t="s">
        <v>64</v>
      </c>
      <c r="S8741" s="16" t="s">
        <v>36545</v>
      </c>
      <c r="T8741" s="14" t="s">
        <v>66</v>
      </c>
      <c r="U8741" s="16" t="s">
        <v>31</v>
      </c>
      <c r="V8741" s="14" t="s">
        <v>502</v>
      </c>
      <c r="W8741" s="14" t="s">
        <v>54199</v>
      </c>
      <c r="X8741" s="17" t="str">
        <f>HYPERLINK("https://my.pitchbook.com?p=13723-66P","View People Online")</f>
        <v>View People Online</v>
      </c>
    </row>
    <row r="8742">
      <c r="A8742" s="10" t="s">
        <v>54210</v>
      </c>
      <c r="B8742" s="10" t="s">
        <v>54211</v>
      </c>
      <c r="C8742" s="10" t="s">
        <v>5113</v>
      </c>
      <c r="D8742" s="10" t="s">
        <v>54212</v>
      </c>
      <c r="E8742" s="10" t="s">
        <v>54199</v>
      </c>
      <c r="F8742" s="10" t="s">
        <v>270</v>
      </c>
      <c r="G8742" s="10" t="s">
        <v>54213</v>
      </c>
      <c r="H8742" s="11" t="s">
        <v>31</v>
      </c>
      <c r="I8742" s="11">
        <v>1.0</v>
      </c>
      <c r="J8742" s="11">
        <v>1.0</v>
      </c>
      <c r="K8742" s="11" t="s">
        <v>31</v>
      </c>
      <c r="L8742" s="12" t="s">
        <v>31</v>
      </c>
      <c r="M8742" s="10" t="s">
        <v>31</v>
      </c>
      <c r="N8742" s="10" t="s">
        <v>36542</v>
      </c>
      <c r="O8742" s="12" t="s">
        <v>36543</v>
      </c>
      <c r="P8742" s="10" t="s">
        <v>54202</v>
      </c>
      <c r="Q8742" s="10" t="s">
        <v>31</v>
      </c>
      <c r="R8742" s="10" t="s">
        <v>64</v>
      </c>
      <c r="S8742" s="12" t="s">
        <v>36545</v>
      </c>
      <c r="T8742" s="10" t="s">
        <v>66</v>
      </c>
      <c r="U8742" s="12" t="s">
        <v>31</v>
      </c>
      <c r="V8742" s="10" t="s">
        <v>54214</v>
      </c>
      <c r="W8742" s="10" t="s">
        <v>54199</v>
      </c>
      <c r="X8742" s="13" t="str">
        <f>HYPERLINK("https://my.pitchbook.com?p=317285-92P","View People Online")</f>
        <v>View People Online</v>
      </c>
    </row>
    <row r="8743">
      <c r="A8743" s="6" t="s">
        <v>54215</v>
      </c>
      <c r="B8743" s="6" t="s">
        <v>54216</v>
      </c>
      <c r="C8743" s="6" t="s">
        <v>54217</v>
      </c>
      <c r="D8743" s="6" t="s">
        <v>21699</v>
      </c>
      <c r="E8743" s="6" t="s">
        <v>54199</v>
      </c>
      <c r="F8743" s="6" t="s">
        <v>57</v>
      </c>
      <c r="G8743" s="6" t="s">
        <v>54218</v>
      </c>
      <c r="H8743" s="7" t="s">
        <v>31</v>
      </c>
      <c r="I8743" s="7">
        <v>4.0</v>
      </c>
      <c r="J8743" s="7">
        <v>1.0</v>
      </c>
      <c r="K8743" s="7">
        <v>1.0</v>
      </c>
      <c r="L8743" s="8" t="s">
        <v>31</v>
      </c>
      <c r="M8743" s="6" t="s">
        <v>54219</v>
      </c>
      <c r="N8743" s="6" t="s">
        <v>36542</v>
      </c>
      <c r="O8743" s="8" t="s">
        <v>36543</v>
      </c>
      <c r="P8743" s="6" t="s">
        <v>54202</v>
      </c>
      <c r="Q8743" s="6" t="s">
        <v>31</v>
      </c>
      <c r="R8743" s="6" t="s">
        <v>64</v>
      </c>
      <c r="S8743" s="8" t="s">
        <v>36545</v>
      </c>
      <c r="T8743" s="6" t="s">
        <v>66</v>
      </c>
      <c r="U8743" s="8" t="s">
        <v>31</v>
      </c>
      <c r="V8743" s="6" t="s">
        <v>57</v>
      </c>
      <c r="W8743" s="6" t="s">
        <v>54199</v>
      </c>
      <c r="X8743" s="9" t="str">
        <f>HYPERLINK("https://my.pitchbook.com?p=240736-78P","View People Online")</f>
        <v>View People Online</v>
      </c>
    </row>
    <row r="8744">
      <c r="A8744" s="10" t="s">
        <v>54220</v>
      </c>
      <c r="B8744" s="10" t="s">
        <v>54221</v>
      </c>
      <c r="C8744" s="10" t="s">
        <v>54222</v>
      </c>
      <c r="D8744" s="10" t="s">
        <v>34976</v>
      </c>
      <c r="E8744" s="10" t="s">
        <v>54199</v>
      </c>
      <c r="F8744" s="10" t="s">
        <v>57</v>
      </c>
      <c r="G8744" s="10" t="s">
        <v>54223</v>
      </c>
      <c r="H8744" s="11" t="s">
        <v>31</v>
      </c>
      <c r="I8744" s="11">
        <v>12.0</v>
      </c>
      <c r="J8744" s="11">
        <v>2.0</v>
      </c>
      <c r="K8744" s="11">
        <v>6.0</v>
      </c>
      <c r="L8744" s="12" t="s">
        <v>31</v>
      </c>
      <c r="M8744" s="10" t="s">
        <v>54224</v>
      </c>
      <c r="N8744" s="10" t="s">
        <v>36542</v>
      </c>
      <c r="O8744" s="12" t="s">
        <v>36543</v>
      </c>
      <c r="P8744" s="10" t="s">
        <v>54202</v>
      </c>
      <c r="Q8744" s="10" t="s">
        <v>31</v>
      </c>
      <c r="R8744" s="10" t="s">
        <v>64</v>
      </c>
      <c r="S8744" s="12" t="s">
        <v>36545</v>
      </c>
      <c r="T8744" s="10" t="s">
        <v>66</v>
      </c>
      <c r="U8744" s="12" t="s">
        <v>31</v>
      </c>
      <c r="V8744" s="10" t="s">
        <v>57</v>
      </c>
      <c r="W8744" s="10" t="s">
        <v>54199</v>
      </c>
      <c r="X8744" s="13" t="str">
        <f>HYPERLINK("https://my.pitchbook.com?p=42719-50P","View People Online")</f>
        <v>View People Online</v>
      </c>
    </row>
    <row r="8745">
      <c r="A8745" s="14" t="s">
        <v>54225</v>
      </c>
      <c r="B8745" s="14" t="s">
        <v>54226</v>
      </c>
      <c r="C8745" s="14" t="s">
        <v>54227</v>
      </c>
      <c r="D8745" s="14" t="s">
        <v>5302</v>
      </c>
      <c r="E8745" s="14" t="s">
        <v>54199</v>
      </c>
      <c r="F8745" s="14" t="s">
        <v>270</v>
      </c>
      <c r="G8745" s="14" t="s">
        <v>54228</v>
      </c>
      <c r="H8745" s="15" t="s">
        <v>31</v>
      </c>
      <c r="I8745" s="15">
        <v>1.0</v>
      </c>
      <c r="J8745" s="15">
        <v>1.0</v>
      </c>
      <c r="K8745" s="15" t="s">
        <v>31</v>
      </c>
      <c r="L8745" s="16" t="s">
        <v>31</v>
      </c>
      <c r="M8745" s="14" t="s">
        <v>54229</v>
      </c>
      <c r="N8745" s="14" t="s">
        <v>36542</v>
      </c>
      <c r="O8745" s="16" t="s">
        <v>36543</v>
      </c>
      <c r="P8745" s="14" t="s">
        <v>54202</v>
      </c>
      <c r="Q8745" s="14" t="s">
        <v>31</v>
      </c>
      <c r="R8745" s="14" t="s">
        <v>64</v>
      </c>
      <c r="S8745" s="16" t="s">
        <v>36545</v>
      </c>
      <c r="T8745" s="14" t="s">
        <v>66</v>
      </c>
      <c r="U8745" s="16" t="s">
        <v>31</v>
      </c>
      <c r="V8745" s="14" t="s">
        <v>440</v>
      </c>
      <c r="W8745" s="14" t="s">
        <v>54199</v>
      </c>
      <c r="X8745" s="17" t="str">
        <f>HYPERLINK("https://my.pitchbook.com?p=434745-64P","View People Online")</f>
        <v>View People Online</v>
      </c>
    </row>
    <row r="8746">
      <c r="A8746" s="10" t="s">
        <v>54230</v>
      </c>
      <c r="B8746" s="10" t="s">
        <v>54231</v>
      </c>
      <c r="C8746" s="10" t="s">
        <v>7830</v>
      </c>
      <c r="D8746" s="10" t="s">
        <v>54232</v>
      </c>
      <c r="E8746" s="10" t="s">
        <v>54199</v>
      </c>
      <c r="F8746" s="10" t="s">
        <v>29</v>
      </c>
      <c r="G8746" s="10" t="s">
        <v>54233</v>
      </c>
      <c r="H8746" s="11" t="s">
        <v>31</v>
      </c>
      <c r="I8746" s="11">
        <v>43.0</v>
      </c>
      <c r="J8746" s="11">
        <v>3.0</v>
      </c>
      <c r="K8746" s="11">
        <v>38.0</v>
      </c>
      <c r="L8746" s="12" t="s">
        <v>31</v>
      </c>
      <c r="M8746" s="10" t="s">
        <v>54234</v>
      </c>
      <c r="N8746" s="10" t="s">
        <v>36542</v>
      </c>
      <c r="O8746" s="12" t="s">
        <v>36543</v>
      </c>
      <c r="P8746" s="10" t="s">
        <v>54202</v>
      </c>
      <c r="Q8746" s="10" t="s">
        <v>31</v>
      </c>
      <c r="R8746" s="10" t="s">
        <v>64</v>
      </c>
      <c r="S8746" s="12" t="s">
        <v>36545</v>
      </c>
      <c r="T8746" s="10" t="s">
        <v>66</v>
      </c>
      <c r="U8746" s="12" t="s">
        <v>31</v>
      </c>
      <c r="V8746" s="10" t="s">
        <v>54203</v>
      </c>
      <c r="W8746" s="10" t="s">
        <v>54204</v>
      </c>
      <c r="X8746" s="13" t="str">
        <f>HYPERLINK("https://my.pitchbook.com?p=12963-88P","View People Online")</f>
        <v>View People Online</v>
      </c>
    </row>
    <row r="8747">
      <c r="A8747" s="6" t="s">
        <v>54235</v>
      </c>
      <c r="B8747" s="6" t="s">
        <v>54236</v>
      </c>
      <c r="C8747" s="6" t="s">
        <v>1073</v>
      </c>
      <c r="D8747" s="6" t="s">
        <v>24942</v>
      </c>
      <c r="E8747" s="6" t="s">
        <v>54199</v>
      </c>
      <c r="F8747" s="6" t="s">
        <v>29</v>
      </c>
      <c r="G8747" s="6" t="s">
        <v>54237</v>
      </c>
      <c r="H8747" s="7" t="s">
        <v>31</v>
      </c>
      <c r="I8747" s="7">
        <v>1.0</v>
      </c>
      <c r="J8747" s="7">
        <v>1.0</v>
      </c>
      <c r="K8747" s="7" t="s">
        <v>31</v>
      </c>
      <c r="L8747" s="8" t="s">
        <v>31</v>
      </c>
      <c r="M8747" s="6" t="s">
        <v>54238</v>
      </c>
      <c r="N8747" s="6" t="s">
        <v>36542</v>
      </c>
      <c r="O8747" s="8" t="s">
        <v>36543</v>
      </c>
      <c r="P8747" s="6" t="s">
        <v>54202</v>
      </c>
      <c r="Q8747" s="6" t="s">
        <v>31</v>
      </c>
      <c r="R8747" s="6" t="s">
        <v>64</v>
      </c>
      <c r="S8747" s="8" t="s">
        <v>36545</v>
      </c>
      <c r="T8747" s="6" t="s">
        <v>66</v>
      </c>
      <c r="U8747" s="8" t="s">
        <v>31</v>
      </c>
      <c r="V8747" s="6" t="s">
        <v>29</v>
      </c>
      <c r="W8747" s="6" t="s">
        <v>54199</v>
      </c>
      <c r="X8747" s="9" t="str">
        <f>HYPERLINK("https://my.pitchbook.com?p=152587-00P","View People Online")</f>
        <v>View People Online</v>
      </c>
    </row>
    <row r="8748">
      <c r="A8748" s="2" t="s">
        <v>54239</v>
      </c>
      <c r="B8748" s="2" t="s">
        <v>54240</v>
      </c>
      <c r="C8748" s="2" t="s">
        <v>54241</v>
      </c>
      <c r="D8748" s="2" t="s">
        <v>13942</v>
      </c>
      <c r="E8748" s="2" t="s">
        <v>54199</v>
      </c>
      <c r="F8748" s="2" t="s">
        <v>270</v>
      </c>
      <c r="G8748" s="2" t="s">
        <v>54242</v>
      </c>
      <c r="H8748" s="3" t="s">
        <v>31</v>
      </c>
      <c r="I8748" s="3">
        <v>1.0</v>
      </c>
      <c r="J8748" s="3">
        <v>1.0</v>
      </c>
      <c r="K8748" s="3" t="s">
        <v>31</v>
      </c>
      <c r="L8748" s="4" t="s">
        <v>31</v>
      </c>
      <c r="M8748" s="2" t="s">
        <v>31</v>
      </c>
      <c r="N8748" s="2" t="s">
        <v>36542</v>
      </c>
      <c r="O8748" s="4" t="s">
        <v>36543</v>
      </c>
      <c r="P8748" s="2" t="s">
        <v>54202</v>
      </c>
      <c r="Q8748" s="2" t="s">
        <v>31</v>
      </c>
      <c r="R8748" s="2" t="s">
        <v>64</v>
      </c>
      <c r="S8748" s="4" t="s">
        <v>36545</v>
      </c>
      <c r="T8748" s="2" t="s">
        <v>66</v>
      </c>
      <c r="U8748" s="4" t="s">
        <v>31</v>
      </c>
      <c r="V8748" s="2" t="s">
        <v>440</v>
      </c>
      <c r="W8748" s="2" t="s">
        <v>54199</v>
      </c>
      <c r="X8748" s="5" t="str">
        <f>HYPERLINK("https://my.pitchbook.com?p=386734-60P","View People Online")</f>
        <v>View People Online</v>
      </c>
    </row>
    <row r="8749">
      <c r="A8749" s="14" t="s">
        <v>54243</v>
      </c>
      <c r="B8749" s="14" t="s">
        <v>54244</v>
      </c>
      <c r="C8749" s="14" t="s">
        <v>54245</v>
      </c>
      <c r="D8749" s="14" t="s">
        <v>54246</v>
      </c>
      <c r="E8749" s="14" t="s">
        <v>54247</v>
      </c>
      <c r="F8749" s="14" t="s">
        <v>54248</v>
      </c>
      <c r="G8749" s="14" t="s">
        <v>54249</v>
      </c>
      <c r="H8749" s="15" t="s">
        <v>31</v>
      </c>
      <c r="I8749" s="15">
        <v>2.0</v>
      </c>
      <c r="J8749" s="15">
        <v>1.0</v>
      </c>
      <c r="K8749" s="15" t="s">
        <v>31</v>
      </c>
      <c r="L8749" s="16" t="s">
        <v>54250</v>
      </c>
      <c r="M8749" s="14" t="s">
        <v>54251</v>
      </c>
      <c r="N8749" s="14" t="s">
        <v>6588</v>
      </c>
      <c r="O8749" s="16" t="s">
        <v>6589</v>
      </c>
      <c r="P8749" s="14" t="s">
        <v>54252</v>
      </c>
      <c r="Q8749" s="14" t="s">
        <v>6654</v>
      </c>
      <c r="R8749" s="14" t="s">
        <v>93</v>
      </c>
      <c r="S8749" s="16" t="s">
        <v>52774</v>
      </c>
      <c r="T8749" s="14" t="s">
        <v>66</v>
      </c>
      <c r="U8749" s="16" t="s">
        <v>31</v>
      </c>
      <c r="V8749" s="14" t="s">
        <v>20241</v>
      </c>
      <c r="W8749" s="14" t="s">
        <v>54247</v>
      </c>
      <c r="X8749" s="17" t="str">
        <f>HYPERLINK("https://my.pitchbook.com?p=39131-83P","View People Online")</f>
        <v>View People Online</v>
      </c>
    </row>
    <row r="8750">
      <c r="A8750" s="2" t="s">
        <v>54253</v>
      </c>
      <c r="B8750" s="2" t="s">
        <v>54254</v>
      </c>
      <c r="C8750" s="2" t="s">
        <v>1929</v>
      </c>
      <c r="D8750" s="2" t="s">
        <v>54255</v>
      </c>
      <c r="E8750" s="2" t="s">
        <v>54247</v>
      </c>
      <c r="F8750" s="2" t="s">
        <v>1283</v>
      </c>
      <c r="G8750" s="2" t="s">
        <v>54256</v>
      </c>
      <c r="H8750" s="3">
        <v>1.0</v>
      </c>
      <c r="I8750" s="3">
        <v>2.0</v>
      </c>
      <c r="J8750" s="3">
        <v>2.0</v>
      </c>
      <c r="K8750" s="3" t="s">
        <v>31</v>
      </c>
      <c r="L8750" s="4" t="s">
        <v>54257</v>
      </c>
      <c r="M8750" s="2" t="s">
        <v>54258</v>
      </c>
      <c r="N8750" s="2" t="s">
        <v>2599</v>
      </c>
      <c r="O8750" s="4" t="s">
        <v>2600</v>
      </c>
      <c r="P8750" s="2" t="s">
        <v>54259</v>
      </c>
      <c r="Q8750" s="2" t="s">
        <v>31</v>
      </c>
      <c r="R8750" s="2" t="s">
        <v>396</v>
      </c>
      <c r="S8750" s="4" t="s">
        <v>54260</v>
      </c>
      <c r="T8750" s="2" t="s">
        <v>66</v>
      </c>
      <c r="U8750" s="4" t="s">
        <v>31</v>
      </c>
      <c r="V8750" s="2" t="s">
        <v>36315</v>
      </c>
      <c r="W8750" s="2" t="s">
        <v>54261</v>
      </c>
      <c r="X8750" s="5" t="str">
        <f>HYPERLINK("https://my.pitchbook.com?p=101838-25P","View People Online")</f>
        <v>View People Online</v>
      </c>
    </row>
    <row r="8751">
      <c r="A8751" s="6" t="s">
        <v>54262</v>
      </c>
      <c r="B8751" s="6" t="s">
        <v>54254</v>
      </c>
      <c r="C8751" s="6" t="s">
        <v>1929</v>
      </c>
      <c r="D8751" s="6" t="s">
        <v>54255</v>
      </c>
      <c r="E8751" s="6" t="s">
        <v>54247</v>
      </c>
      <c r="F8751" s="6" t="s">
        <v>1283</v>
      </c>
      <c r="G8751" s="6" t="s">
        <v>54263</v>
      </c>
      <c r="H8751" s="7" t="s">
        <v>31</v>
      </c>
      <c r="I8751" s="7">
        <v>1.0</v>
      </c>
      <c r="J8751" s="7">
        <v>1.0</v>
      </c>
      <c r="K8751" s="7" t="s">
        <v>31</v>
      </c>
      <c r="L8751" s="8" t="s">
        <v>54250</v>
      </c>
      <c r="M8751" s="6" t="s">
        <v>31</v>
      </c>
      <c r="N8751" s="6" t="s">
        <v>6588</v>
      </c>
      <c r="O8751" s="8" t="s">
        <v>6589</v>
      </c>
      <c r="P8751" s="6" t="s">
        <v>54252</v>
      </c>
      <c r="Q8751" s="6" t="s">
        <v>6654</v>
      </c>
      <c r="R8751" s="6" t="s">
        <v>93</v>
      </c>
      <c r="S8751" s="8" t="s">
        <v>52774</v>
      </c>
      <c r="T8751" s="6" t="s">
        <v>66</v>
      </c>
      <c r="U8751" s="8" t="s">
        <v>31</v>
      </c>
      <c r="V8751" s="6" t="s">
        <v>1283</v>
      </c>
      <c r="W8751" s="6" t="s">
        <v>54247</v>
      </c>
      <c r="X8751" s="9" t="str">
        <f>HYPERLINK("https://my.pitchbook.com?p=422388-28P","View People Online")</f>
        <v>View People Online</v>
      </c>
    </row>
    <row r="8752">
      <c r="A8752" s="2" t="s">
        <v>54264</v>
      </c>
      <c r="B8752" s="2" t="s">
        <v>54265</v>
      </c>
      <c r="C8752" s="2" t="s">
        <v>52070</v>
      </c>
      <c r="D8752" s="2" t="s">
        <v>54266</v>
      </c>
      <c r="E8752" s="2" t="s">
        <v>54247</v>
      </c>
      <c r="F8752" s="2" t="s">
        <v>6567</v>
      </c>
      <c r="G8752" s="2" t="s">
        <v>54267</v>
      </c>
      <c r="H8752" s="3" t="s">
        <v>31</v>
      </c>
      <c r="I8752" s="3">
        <v>1.0</v>
      </c>
      <c r="J8752" s="3">
        <v>1.0</v>
      </c>
      <c r="K8752" s="3" t="s">
        <v>31</v>
      </c>
      <c r="L8752" s="4" t="s">
        <v>54250</v>
      </c>
      <c r="M8752" s="2" t="s">
        <v>54268</v>
      </c>
      <c r="N8752" s="2" t="s">
        <v>6588</v>
      </c>
      <c r="O8752" s="4" t="s">
        <v>6589</v>
      </c>
      <c r="P8752" s="2" t="s">
        <v>54252</v>
      </c>
      <c r="Q8752" s="2" t="s">
        <v>6654</v>
      </c>
      <c r="R8752" s="2" t="s">
        <v>93</v>
      </c>
      <c r="S8752" s="4" t="s">
        <v>52774</v>
      </c>
      <c r="T8752" s="2" t="s">
        <v>66</v>
      </c>
      <c r="U8752" s="4" t="s">
        <v>31</v>
      </c>
      <c r="V8752" s="2" t="s">
        <v>54269</v>
      </c>
      <c r="W8752" s="2" t="s">
        <v>54247</v>
      </c>
      <c r="X8752" s="5" t="str">
        <f>HYPERLINK("https://my.pitchbook.com?p=214792-75P","View People Online")</f>
        <v>View People Online</v>
      </c>
    </row>
    <row r="8753">
      <c r="A8753" s="6" t="s">
        <v>54270</v>
      </c>
      <c r="B8753" s="6" t="s">
        <v>54271</v>
      </c>
      <c r="C8753" s="6" t="s">
        <v>10983</v>
      </c>
      <c r="D8753" s="6" t="s">
        <v>25556</v>
      </c>
      <c r="E8753" s="6" t="s">
        <v>54247</v>
      </c>
      <c r="F8753" s="6" t="s">
        <v>1283</v>
      </c>
      <c r="G8753" s="6" t="s">
        <v>54272</v>
      </c>
      <c r="H8753" s="7" t="s">
        <v>31</v>
      </c>
      <c r="I8753" s="7">
        <v>2.0</v>
      </c>
      <c r="J8753" s="7">
        <v>1.0</v>
      </c>
      <c r="K8753" s="7" t="s">
        <v>31</v>
      </c>
      <c r="L8753" s="8" t="s">
        <v>54250</v>
      </c>
      <c r="M8753" s="6" t="s">
        <v>54273</v>
      </c>
      <c r="N8753" s="6" t="s">
        <v>6588</v>
      </c>
      <c r="O8753" s="8" t="s">
        <v>6589</v>
      </c>
      <c r="P8753" s="6" t="s">
        <v>54252</v>
      </c>
      <c r="Q8753" s="6" t="s">
        <v>6654</v>
      </c>
      <c r="R8753" s="6" t="s">
        <v>93</v>
      </c>
      <c r="S8753" s="8" t="s">
        <v>52774</v>
      </c>
      <c r="T8753" s="6" t="s">
        <v>66</v>
      </c>
      <c r="U8753" s="8" t="s">
        <v>31</v>
      </c>
      <c r="V8753" s="6" t="s">
        <v>54274</v>
      </c>
      <c r="W8753" s="6" t="s">
        <v>54247</v>
      </c>
      <c r="X8753" s="9" t="str">
        <f>HYPERLINK("https://my.pitchbook.com?p=367416-28P","View People Online")</f>
        <v>View People Online</v>
      </c>
    </row>
    <row r="8754">
      <c r="A8754" s="2" t="s">
        <v>54275</v>
      </c>
      <c r="B8754" s="2" t="s">
        <v>54276</v>
      </c>
      <c r="C8754" s="2" t="s">
        <v>54277</v>
      </c>
      <c r="D8754" s="2" t="s">
        <v>1085</v>
      </c>
      <c r="E8754" s="2" t="s">
        <v>54247</v>
      </c>
      <c r="F8754" s="2" t="s">
        <v>32651</v>
      </c>
      <c r="G8754" s="2" t="s">
        <v>54278</v>
      </c>
      <c r="H8754" s="3" t="s">
        <v>31</v>
      </c>
      <c r="I8754" s="3">
        <v>1.0</v>
      </c>
      <c r="J8754" s="3">
        <v>1.0</v>
      </c>
      <c r="K8754" s="3" t="s">
        <v>31</v>
      </c>
      <c r="L8754" s="4" t="s">
        <v>54250</v>
      </c>
      <c r="M8754" s="2" t="s">
        <v>31</v>
      </c>
      <c r="N8754" s="2" t="s">
        <v>6588</v>
      </c>
      <c r="O8754" s="4" t="s">
        <v>6589</v>
      </c>
      <c r="P8754" s="2" t="s">
        <v>54252</v>
      </c>
      <c r="Q8754" s="2" t="s">
        <v>6654</v>
      </c>
      <c r="R8754" s="2" t="s">
        <v>93</v>
      </c>
      <c r="S8754" s="4" t="s">
        <v>52774</v>
      </c>
      <c r="T8754" s="2" t="s">
        <v>66</v>
      </c>
      <c r="U8754" s="4" t="s">
        <v>31</v>
      </c>
      <c r="V8754" s="2" t="s">
        <v>31</v>
      </c>
      <c r="W8754" s="2" t="s">
        <v>54279</v>
      </c>
      <c r="X8754" s="5" t="str">
        <f>HYPERLINK("https://my.pitchbook.com?p=364241-53P","View People Online")</f>
        <v>View People Online</v>
      </c>
    </row>
    <row r="8755">
      <c r="A8755" s="6" t="s">
        <v>54280</v>
      </c>
      <c r="B8755" s="6" t="s">
        <v>54281</v>
      </c>
      <c r="C8755" s="6" t="s">
        <v>4739</v>
      </c>
      <c r="D8755" s="6" t="s">
        <v>54282</v>
      </c>
      <c r="E8755" s="6" t="s">
        <v>54247</v>
      </c>
      <c r="F8755" s="6" t="s">
        <v>502</v>
      </c>
      <c r="G8755" s="6" t="s">
        <v>54283</v>
      </c>
      <c r="H8755" s="7" t="s">
        <v>31</v>
      </c>
      <c r="I8755" s="7">
        <v>1.0</v>
      </c>
      <c r="J8755" s="7">
        <v>1.0</v>
      </c>
      <c r="K8755" s="7" t="s">
        <v>31</v>
      </c>
      <c r="L8755" s="8" t="s">
        <v>54250</v>
      </c>
      <c r="M8755" s="6" t="s">
        <v>54284</v>
      </c>
      <c r="N8755" s="6" t="s">
        <v>6588</v>
      </c>
      <c r="O8755" s="8" t="s">
        <v>6589</v>
      </c>
      <c r="P8755" s="6" t="s">
        <v>54252</v>
      </c>
      <c r="Q8755" s="6" t="s">
        <v>6654</v>
      </c>
      <c r="R8755" s="6" t="s">
        <v>93</v>
      </c>
      <c r="S8755" s="8" t="s">
        <v>52774</v>
      </c>
      <c r="T8755" s="6" t="s">
        <v>66</v>
      </c>
      <c r="U8755" s="8" t="s">
        <v>31</v>
      </c>
      <c r="V8755" s="6" t="s">
        <v>54285</v>
      </c>
      <c r="W8755" s="6" t="s">
        <v>54247</v>
      </c>
      <c r="X8755" s="9" t="str">
        <f>HYPERLINK("https://my.pitchbook.com?p=214791-94P","View People Online")</f>
        <v>View People Online</v>
      </c>
    </row>
    <row r="8756">
      <c r="A8756" s="2" t="s">
        <v>54286</v>
      </c>
      <c r="B8756" s="2" t="s">
        <v>54287</v>
      </c>
      <c r="C8756" s="2" t="s">
        <v>54288</v>
      </c>
      <c r="D8756" s="2" t="s">
        <v>54289</v>
      </c>
      <c r="E8756" s="2" t="s">
        <v>54247</v>
      </c>
      <c r="F8756" s="2" t="s">
        <v>1283</v>
      </c>
      <c r="G8756" s="2" t="s">
        <v>54290</v>
      </c>
      <c r="H8756" s="3" t="s">
        <v>31</v>
      </c>
      <c r="I8756" s="3">
        <v>1.0</v>
      </c>
      <c r="J8756" s="3">
        <v>1.0</v>
      </c>
      <c r="K8756" s="3" t="s">
        <v>31</v>
      </c>
      <c r="L8756" s="4" t="s">
        <v>54250</v>
      </c>
      <c r="M8756" s="2" t="s">
        <v>54291</v>
      </c>
      <c r="N8756" s="2" t="s">
        <v>6588</v>
      </c>
      <c r="O8756" s="4" t="s">
        <v>6589</v>
      </c>
      <c r="P8756" s="2" t="s">
        <v>54252</v>
      </c>
      <c r="Q8756" s="2" t="s">
        <v>6654</v>
      </c>
      <c r="R8756" s="2" t="s">
        <v>93</v>
      </c>
      <c r="S8756" s="4" t="s">
        <v>52774</v>
      </c>
      <c r="T8756" s="2" t="s">
        <v>66</v>
      </c>
      <c r="U8756" s="4" t="s">
        <v>31</v>
      </c>
      <c r="V8756" s="2" t="s">
        <v>54292</v>
      </c>
      <c r="W8756" s="2" t="s">
        <v>54247</v>
      </c>
      <c r="X8756" s="5" t="str">
        <f>HYPERLINK("https://my.pitchbook.com?p=355949-65P","View People Online")</f>
        <v>View People Online</v>
      </c>
    </row>
    <row r="8757">
      <c r="A8757" s="6" t="s">
        <v>54293</v>
      </c>
      <c r="B8757" s="6" t="s">
        <v>54294</v>
      </c>
      <c r="C8757" s="6" t="s">
        <v>823</v>
      </c>
      <c r="D8757" s="6" t="s">
        <v>54295</v>
      </c>
      <c r="E8757" s="6" t="s">
        <v>54247</v>
      </c>
      <c r="F8757" s="6" t="s">
        <v>1283</v>
      </c>
      <c r="G8757" s="6" t="s">
        <v>54296</v>
      </c>
      <c r="H8757" s="7" t="s">
        <v>31</v>
      </c>
      <c r="I8757" s="7">
        <v>1.0</v>
      </c>
      <c r="J8757" s="7">
        <v>1.0</v>
      </c>
      <c r="K8757" s="7" t="s">
        <v>31</v>
      </c>
      <c r="L8757" s="8" t="s">
        <v>54250</v>
      </c>
      <c r="M8757" s="6" t="s">
        <v>54297</v>
      </c>
      <c r="N8757" s="6" t="s">
        <v>6588</v>
      </c>
      <c r="O8757" s="8" t="s">
        <v>6589</v>
      </c>
      <c r="P8757" s="6" t="s">
        <v>54252</v>
      </c>
      <c r="Q8757" s="6" t="s">
        <v>6654</v>
      </c>
      <c r="R8757" s="6" t="s">
        <v>93</v>
      </c>
      <c r="S8757" s="8" t="s">
        <v>52774</v>
      </c>
      <c r="T8757" s="6" t="s">
        <v>66</v>
      </c>
      <c r="U8757" s="8" t="s">
        <v>31</v>
      </c>
      <c r="V8757" s="6" t="s">
        <v>54298</v>
      </c>
      <c r="W8757" s="6" t="s">
        <v>54247</v>
      </c>
      <c r="X8757" s="9" t="str">
        <f>HYPERLINK("https://my.pitchbook.com?p=253633-51P","View People Online")</f>
        <v>View People Online</v>
      </c>
    </row>
    <row r="8758">
      <c r="A8758" s="2" t="s">
        <v>54299</v>
      </c>
      <c r="B8758" s="2" t="s">
        <v>54300</v>
      </c>
      <c r="C8758" s="2" t="s">
        <v>4404</v>
      </c>
      <c r="D8758" s="2" t="s">
        <v>29024</v>
      </c>
      <c r="E8758" s="2" t="s">
        <v>54247</v>
      </c>
      <c r="F8758" s="2" t="s">
        <v>2540</v>
      </c>
      <c r="G8758" s="2" t="s">
        <v>54301</v>
      </c>
      <c r="H8758" s="3" t="s">
        <v>31</v>
      </c>
      <c r="I8758" s="3">
        <v>1.0</v>
      </c>
      <c r="J8758" s="3">
        <v>1.0</v>
      </c>
      <c r="K8758" s="3" t="s">
        <v>31</v>
      </c>
      <c r="L8758" s="4" t="s">
        <v>54250</v>
      </c>
      <c r="M8758" s="2" t="s">
        <v>54302</v>
      </c>
      <c r="N8758" s="2" t="s">
        <v>6588</v>
      </c>
      <c r="O8758" s="4" t="s">
        <v>6589</v>
      </c>
      <c r="P8758" s="2" t="s">
        <v>54252</v>
      </c>
      <c r="Q8758" s="2" t="s">
        <v>6654</v>
      </c>
      <c r="R8758" s="2" t="s">
        <v>93</v>
      </c>
      <c r="S8758" s="4" t="s">
        <v>52774</v>
      </c>
      <c r="T8758" s="2" t="s">
        <v>66</v>
      </c>
      <c r="U8758" s="4" t="s">
        <v>31</v>
      </c>
      <c r="V8758" s="2" t="s">
        <v>2540</v>
      </c>
      <c r="W8758" s="2" t="s">
        <v>54247</v>
      </c>
      <c r="X8758" s="5" t="str">
        <f>HYPERLINK("https://my.pitchbook.com?p=253634-05P","View People Online")</f>
        <v>View People Online</v>
      </c>
    </row>
    <row r="8759">
      <c r="A8759" s="14" t="s">
        <v>54303</v>
      </c>
      <c r="B8759" s="14" t="s">
        <v>54304</v>
      </c>
      <c r="C8759" s="14" t="s">
        <v>5071</v>
      </c>
      <c r="D8759" s="14" t="s">
        <v>54305</v>
      </c>
      <c r="E8759" s="14" t="s">
        <v>54247</v>
      </c>
      <c r="F8759" s="14" t="s">
        <v>32651</v>
      </c>
      <c r="G8759" s="14" t="s">
        <v>54306</v>
      </c>
      <c r="H8759" s="15" t="s">
        <v>31</v>
      </c>
      <c r="I8759" s="15">
        <v>3.0</v>
      </c>
      <c r="J8759" s="15">
        <v>2.0</v>
      </c>
      <c r="K8759" s="15">
        <v>1.0</v>
      </c>
      <c r="L8759" s="16" t="s">
        <v>54307</v>
      </c>
      <c r="M8759" s="14" t="s">
        <v>31</v>
      </c>
      <c r="N8759" s="14" t="s">
        <v>6669</v>
      </c>
      <c r="O8759" s="16" t="s">
        <v>6670</v>
      </c>
      <c r="P8759" s="14" t="s">
        <v>54308</v>
      </c>
      <c r="Q8759" s="14" t="s">
        <v>31</v>
      </c>
      <c r="R8759" s="14" t="s">
        <v>1185</v>
      </c>
      <c r="S8759" s="16" t="s">
        <v>54309</v>
      </c>
      <c r="T8759" s="14" t="s">
        <v>66</v>
      </c>
      <c r="U8759" s="16" t="s">
        <v>31</v>
      </c>
      <c r="V8759" s="14" t="s">
        <v>583</v>
      </c>
      <c r="W8759" s="14" t="s">
        <v>54310</v>
      </c>
      <c r="X8759" s="17" t="str">
        <f>HYPERLINK("https://my.pitchbook.com?p=159603-85P","View People Online")</f>
        <v>View People Online</v>
      </c>
    </row>
    <row r="8760">
      <c r="A8760" s="2" t="s">
        <v>54311</v>
      </c>
      <c r="B8760" s="2" t="s">
        <v>54312</v>
      </c>
      <c r="C8760" s="2" t="s">
        <v>1616</v>
      </c>
      <c r="D8760" s="2" t="s">
        <v>54313</v>
      </c>
      <c r="E8760" s="2" t="s">
        <v>54247</v>
      </c>
      <c r="F8760" s="2" t="s">
        <v>54314</v>
      </c>
      <c r="G8760" s="2" t="s">
        <v>54315</v>
      </c>
      <c r="H8760" s="3" t="s">
        <v>31</v>
      </c>
      <c r="I8760" s="3">
        <v>1.0</v>
      </c>
      <c r="J8760" s="3">
        <v>1.0</v>
      </c>
      <c r="K8760" s="3" t="s">
        <v>31</v>
      </c>
      <c r="L8760" s="4" t="s">
        <v>54250</v>
      </c>
      <c r="M8760" s="2" t="s">
        <v>54316</v>
      </c>
      <c r="N8760" s="2" t="s">
        <v>6588</v>
      </c>
      <c r="O8760" s="4" t="s">
        <v>6589</v>
      </c>
      <c r="P8760" s="2" t="s">
        <v>54252</v>
      </c>
      <c r="Q8760" s="2" t="s">
        <v>6654</v>
      </c>
      <c r="R8760" s="2" t="s">
        <v>93</v>
      </c>
      <c r="S8760" s="4" t="s">
        <v>52774</v>
      </c>
      <c r="T8760" s="2" t="s">
        <v>66</v>
      </c>
      <c r="U8760" s="4" t="s">
        <v>31</v>
      </c>
      <c r="V8760" s="2" t="s">
        <v>54314</v>
      </c>
      <c r="W8760" s="2" t="s">
        <v>54247</v>
      </c>
      <c r="X8760" s="5" t="str">
        <f>HYPERLINK("https://my.pitchbook.com?p=253634-86P","View People Online")</f>
        <v>View People Online</v>
      </c>
    </row>
    <row r="8761">
      <c r="A8761" s="14" t="s">
        <v>54317</v>
      </c>
      <c r="B8761" s="14" t="s">
        <v>54318</v>
      </c>
      <c r="C8761" s="14" t="s">
        <v>18127</v>
      </c>
      <c r="D8761" s="14" t="s">
        <v>54319</v>
      </c>
      <c r="E8761" s="14" t="s">
        <v>54247</v>
      </c>
      <c r="F8761" s="14" t="s">
        <v>1283</v>
      </c>
      <c r="G8761" s="14" t="s">
        <v>54320</v>
      </c>
      <c r="H8761" s="15" t="s">
        <v>31</v>
      </c>
      <c r="I8761" s="15">
        <v>1.0</v>
      </c>
      <c r="J8761" s="15">
        <v>1.0</v>
      </c>
      <c r="K8761" s="15" t="s">
        <v>31</v>
      </c>
      <c r="L8761" s="16" t="s">
        <v>54321</v>
      </c>
      <c r="M8761" s="14" t="s">
        <v>54322</v>
      </c>
      <c r="N8761" s="14" t="s">
        <v>1277</v>
      </c>
      <c r="O8761" s="16" t="s">
        <v>1278</v>
      </c>
      <c r="P8761" s="14" t="s">
        <v>54323</v>
      </c>
      <c r="Q8761" s="14" t="s">
        <v>1280</v>
      </c>
      <c r="R8761" s="14" t="s">
        <v>1281</v>
      </c>
      <c r="S8761" s="16" t="s">
        <v>21357</v>
      </c>
      <c r="T8761" s="14" t="s">
        <v>66</v>
      </c>
      <c r="U8761" s="16" t="s">
        <v>31</v>
      </c>
      <c r="V8761" s="14" t="s">
        <v>54324</v>
      </c>
      <c r="W8761" s="14" t="s">
        <v>54247</v>
      </c>
      <c r="X8761" s="17" t="str">
        <f>HYPERLINK("https://my.pitchbook.com?p=287030-08P","View People Online")</f>
        <v>View People Online</v>
      </c>
    </row>
    <row r="8762">
      <c r="A8762" s="2" t="s">
        <v>54325</v>
      </c>
      <c r="B8762" s="2" t="s">
        <v>54326</v>
      </c>
      <c r="C8762" s="2" t="s">
        <v>54327</v>
      </c>
      <c r="D8762" s="2" t="s">
        <v>54328</v>
      </c>
      <c r="E8762" s="2" t="s">
        <v>54247</v>
      </c>
      <c r="F8762" s="2" t="s">
        <v>1283</v>
      </c>
      <c r="G8762" s="2" t="s">
        <v>54329</v>
      </c>
      <c r="H8762" s="3" t="s">
        <v>31</v>
      </c>
      <c r="I8762" s="3">
        <v>1.0</v>
      </c>
      <c r="J8762" s="3">
        <v>1.0</v>
      </c>
      <c r="K8762" s="3" t="s">
        <v>31</v>
      </c>
      <c r="L8762" s="4" t="s">
        <v>54250</v>
      </c>
      <c r="M8762" s="2" t="s">
        <v>54330</v>
      </c>
      <c r="N8762" s="2" t="s">
        <v>6588</v>
      </c>
      <c r="O8762" s="4" t="s">
        <v>6589</v>
      </c>
      <c r="P8762" s="2" t="s">
        <v>54252</v>
      </c>
      <c r="Q8762" s="2" t="s">
        <v>6654</v>
      </c>
      <c r="R8762" s="2" t="s">
        <v>93</v>
      </c>
      <c r="S8762" s="4" t="s">
        <v>52774</v>
      </c>
      <c r="T8762" s="2" t="s">
        <v>66</v>
      </c>
      <c r="U8762" s="4" t="s">
        <v>31</v>
      </c>
      <c r="V8762" s="2" t="s">
        <v>54331</v>
      </c>
      <c r="W8762" s="2" t="s">
        <v>54247</v>
      </c>
      <c r="X8762" s="5" t="str">
        <f>HYPERLINK("https://my.pitchbook.com?p=253636-03P","View People Online")</f>
        <v>View People Online</v>
      </c>
    </row>
    <row r="8763">
      <c r="A8763" s="14" t="s">
        <v>54332</v>
      </c>
      <c r="B8763" s="14" t="s">
        <v>54333</v>
      </c>
      <c r="C8763" s="14" t="s">
        <v>36851</v>
      </c>
      <c r="D8763" s="14" t="s">
        <v>16467</v>
      </c>
      <c r="E8763" s="14" t="s">
        <v>54247</v>
      </c>
      <c r="F8763" s="14" t="s">
        <v>2156</v>
      </c>
      <c r="G8763" s="14" t="s">
        <v>54334</v>
      </c>
      <c r="H8763" s="15" t="s">
        <v>31</v>
      </c>
      <c r="I8763" s="15">
        <v>1.0</v>
      </c>
      <c r="J8763" s="15">
        <v>1.0</v>
      </c>
      <c r="K8763" s="15" t="s">
        <v>31</v>
      </c>
      <c r="L8763" s="16" t="s">
        <v>54250</v>
      </c>
      <c r="M8763" s="14" t="s">
        <v>54335</v>
      </c>
      <c r="N8763" s="14" t="s">
        <v>6588</v>
      </c>
      <c r="O8763" s="16" t="s">
        <v>6589</v>
      </c>
      <c r="P8763" s="14" t="s">
        <v>54252</v>
      </c>
      <c r="Q8763" s="14" t="s">
        <v>6654</v>
      </c>
      <c r="R8763" s="14" t="s">
        <v>93</v>
      </c>
      <c r="S8763" s="16" t="s">
        <v>52774</v>
      </c>
      <c r="T8763" s="14" t="s">
        <v>66</v>
      </c>
      <c r="U8763" s="16" t="s">
        <v>31</v>
      </c>
      <c r="V8763" s="14" t="s">
        <v>2156</v>
      </c>
      <c r="W8763" s="14" t="s">
        <v>54247</v>
      </c>
      <c r="X8763" s="17" t="str">
        <f>HYPERLINK("https://my.pitchbook.com?p=253637-47P","View People Online")</f>
        <v>View People Online</v>
      </c>
    </row>
    <row r="8764">
      <c r="A8764" s="2" t="s">
        <v>54336</v>
      </c>
      <c r="B8764" s="2" t="s">
        <v>54337</v>
      </c>
      <c r="C8764" s="2" t="s">
        <v>51461</v>
      </c>
      <c r="D8764" s="2" t="s">
        <v>54338</v>
      </c>
      <c r="E8764" s="2" t="s">
        <v>54247</v>
      </c>
      <c r="F8764" s="2" t="s">
        <v>32663</v>
      </c>
      <c r="G8764" s="2" t="s">
        <v>54339</v>
      </c>
      <c r="H8764" s="3" t="s">
        <v>31</v>
      </c>
      <c r="I8764" s="3">
        <v>1.0</v>
      </c>
      <c r="J8764" s="3">
        <v>1.0</v>
      </c>
      <c r="K8764" s="3" t="s">
        <v>31</v>
      </c>
      <c r="L8764" s="4" t="s">
        <v>54250</v>
      </c>
      <c r="M8764" s="2" t="s">
        <v>54340</v>
      </c>
      <c r="N8764" s="2" t="s">
        <v>6588</v>
      </c>
      <c r="O8764" s="4" t="s">
        <v>6589</v>
      </c>
      <c r="P8764" s="2" t="s">
        <v>54252</v>
      </c>
      <c r="Q8764" s="2" t="s">
        <v>6654</v>
      </c>
      <c r="R8764" s="2" t="s">
        <v>93</v>
      </c>
      <c r="S8764" s="4" t="s">
        <v>52774</v>
      </c>
      <c r="T8764" s="2" t="s">
        <v>66</v>
      </c>
      <c r="U8764" s="4" t="s">
        <v>31</v>
      </c>
      <c r="V8764" s="2" t="s">
        <v>54341</v>
      </c>
      <c r="W8764" s="2" t="s">
        <v>54247</v>
      </c>
      <c r="X8764" s="5" t="str">
        <f>HYPERLINK("https://my.pitchbook.com?p=214793-47P","View People Online")</f>
        <v>View People Online</v>
      </c>
    </row>
    <row r="8765">
      <c r="A8765" s="14" t="s">
        <v>54342</v>
      </c>
      <c r="B8765" s="14" t="s">
        <v>54343</v>
      </c>
      <c r="C8765" s="14" t="s">
        <v>54344</v>
      </c>
      <c r="D8765" s="14" t="s">
        <v>54345</v>
      </c>
      <c r="E8765" s="14" t="s">
        <v>54247</v>
      </c>
      <c r="F8765" s="14" t="s">
        <v>1283</v>
      </c>
      <c r="G8765" s="14" t="s">
        <v>54346</v>
      </c>
      <c r="H8765" s="15" t="s">
        <v>31</v>
      </c>
      <c r="I8765" s="15">
        <v>1.0</v>
      </c>
      <c r="J8765" s="15">
        <v>1.0</v>
      </c>
      <c r="K8765" s="15" t="s">
        <v>31</v>
      </c>
      <c r="L8765" s="16" t="s">
        <v>54250</v>
      </c>
      <c r="M8765" s="14" t="s">
        <v>54347</v>
      </c>
      <c r="N8765" s="14" t="s">
        <v>6588</v>
      </c>
      <c r="O8765" s="16" t="s">
        <v>6589</v>
      </c>
      <c r="P8765" s="14" t="s">
        <v>54252</v>
      </c>
      <c r="Q8765" s="14" t="s">
        <v>6654</v>
      </c>
      <c r="R8765" s="14" t="s">
        <v>93</v>
      </c>
      <c r="S8765" s="16" t="s">
        <v>52774</v>
      </c>
      <c r="T8765" s="14" t="s">
        <v>66</v>
      </c>
      <c r="U8765" s="16" t="s">
        <v>31</v>
      </c>
      <c r="V8765" s="14" t="s">
        <v>54274</v>
      </c>
      <c r="W8765" s="14" t="s">
        <v>54247</v>
      </c>
      <c r="X8765" s="17" t="str">
        <f>HYPERLINK("https://my.pitchbook.com?p=367419-16P","View People Online")</f>
        <v>View People Online</v>
      </c>
    </row>
    <row r="8766">
      <c r="A8766" s="10" t="s">
        <v>54348</v>
      </c>
      <c r="B8766" s="10" t="s">
        <v>54349</v>
      </c>
      <c r="C8766" s="10" t="s">
        <v>562</v>
      </c>
      <c r="D8766" s="10" t="s">
        <v>54350</v>
      </c>
      <c r="E8766" s="10" t="s">
        <v>54247</v>
      </c>
      <c r="F8766" s="10" t="s">
        <v>270</v>
      </c>
      <c r="G8766" s="10" t="s">
        <v>54351</v>
      </c>
      <c r="H8766" s="11">
        <v>1.0</v>
      </c>
      <c r="I8766" s="11">
        <v>4.0</v>
      </c>
      <c r="J8766" s="11">
        <v>1.0</v>
      </c>
      <c r="K8766" s="11">
        <v>1.0</v>
      </c>
      <c r="L8766" s="12" t="s">
        <v>54250</v>
      </c>
      <c r="M8766" s="10" t="s">
        <v>54352</v>
      </c>
      <c r="N8766" s="10" t="s">
        <v>6588</v>
      </c>
      <c r="O8766" s="12" t="s">
        <v>6589</v>
      </c>
      <c r="P8766" s="10" t="s">
        <v>54252</v>
      </c>
      <c r="Q8766" s="10" t="s">
        <v>6654</v>
      </c>
      <c r="R8766" s="10" t="s">
        <v>93</v>
      </c>
      <c r="S8766" s="12" t="s">
        <v>52774</v>
      </c>
      <c r="T8766" s="10" t="s">
        <v>66</v>
      </c>
      <c r="U8766" s="12" t="s">
        <v>31</v>
      </c>
      <c r="V8766" s="10" t="s">
        <v>270</v>
      </c>
      <c r="W8766" s="10" t="s">
        <v>54247</v>
      </c>
      <c r="X8766" s="13" t="str">
        <f>HYPERLINK("https://my.pitchbook.com?p=114457-78P","View People Online")</f>
        <v>View People Online</v>
      </c>
    </row>
    <row r="8767">
      <c r="A8767" s="14" t="s">
        <v>54353</v>
      </c>
      <c r="B8767" s="14" t="s">
        <v>54354</v>
      </c>
      <c r="C8767" s="14" t="s">
        <v>54355</v>
      </c>
      <c r="D8767" s="14" t="s">
        <v>9546</v>
      </c>
      <c r="E8767" s="14" t="s">
        <v>54356</v>
      </c>
      <c r="F8767" s="14" t="s">
        <v>51617</v>
      </c>
      <c r="G8767" s="14" t="s">
        <v>54357</v>
      </c>
      <c r="H8767" s="15">
        <v>4.0</v>
      </c>
      <c r="I8767" s="15">
        <v>33.0</v>
      </c>
      <c r="J8767" s="15">
        <v>1.0</v>
      </c>
      <c r="K8767" s="15">
        <v>23.0</v>
      </c>
      <c r="L8767" s="16" t="s">
        <v>54358</v>
      </c>
      <c r="M8767" s="14" t="s">
        <v>54359</v>
      </c>
      <c r="N8767" s="14" t="s">
        <v>155</v>
      </c>
      <c r="O8767" s="16" t="s">
        <v>156</v>
      </c>
      <c r="P8767" s="14" t="s">
        <v>54360</v>
      </c>
      <c r="Q8767" s="14" t="s">
        <v>31</v>
      </c>
      <c r="R8767" s="14" t="s">
        <v>64</v>
      </c>
      <c r="S8767" s="16" t="s">
        <v>5599</v>
      </c>
      <c r="T8767" s="14" t="s">
        <v>66</v>
      </c>
      <c r="U8767" s="16" t="s">
        <v>31</v>
      </c>
      <c r="V8767" s="14" t="s">
        <v>51617</v>
      </c>
      <c r="W8767" s="14" t="s">
        <v>54356</v>
      </c>
      <c r="X8767" s="17" t="str">
        <f>HYPERLINK("https://my.pitchbook.com?p=72178-57P","View People Online")</f>
        <v>View People Online</v>
      </c>
    </row>
    <row r="8768">
      <c r="A8768" s="10" t="s">
        <v>54361</v>
      </c>
      <c r="B8768" s="10" t="s">
        <v>54362</v>
      </c>
      <c r="C8768" s="10" t="s">
        <v>7252</v>
      </c>
      <c r="D8768" s="10" t="s">
        <v>37866</v>
      </c>
      <c r="E8768" s="10" t="s">
        <v>54356</v>
      </c>
      <c r="F8768" s="10" t="s">
        <v>825</v>
      </c>
      <c r="G8768" s="10" t="s">
        <v>54363</v>
      </c>
      <c r="H8768" s="11" t="s">
        <v>31</v>
      </c>
      <c r="I8768" s="11">
        <v>1.0</v>
      </c>
      <c r="J8768" s="11">
        <v>1.0</v>
      </c>
      <c r="K8768" s="11" t="s">
        <v>31</v>
      </c>
      <c r="L8768" s="12" t="s">
        <v>54358</v>
      </c>
      <c r="M8768" s="10" t="s">
        <v>54364</v>
      </c>
      <c r="N8768" s="10" t="s">
        <v>155</v>
      </c>
      <c r="O8768" s="12" t="s">
        <v>156</v>
      </c>
      <c r="P8768" s="10" t="s">
        <v>54360</v>
      </c>
      <c r="Q8768" s="10" t="s">
        <v>31</v>
      </c>
      <c r="R8768" s="10" t="s">
        <v>64</v>
      </c>
      <c r="S8768" s="12" t="s">
        <v>5599</v>
      </c>
      <c r="T8768" s="10" t="s">
        <v>66</v>
      </c>
      <c r="U8768" s="12" t="s">
        <v>31</v>
      </c>
      <c r="V8768" s="10" t="s">
        <v>7191</v>
      </c>
      <c r="W8768" s="10" t="s">
        <v>54356</v>
      </c>
      <c r="X8768" s="13" t="str">
        <f>HYPERLINK("https://my.pitchbook.com?p=402407-65P","View People Online")</f>
        <v>View People Online</v>
      </c>
    </row>
    <row r="8769">
      <c r="A8769" s="6" t="s">
        <v>54365</v>
      </c>
      <c r="B8769" s="6" t="s">
        <v>54366</v>
      </c>
      <c r="C8769" s="6" t="s">
        <v>54367</v>
      </c>
      <c r="D8769" s="6" t="s">
        <v>1583</v>
      </c>
      <c r="E8769" s="6" t="s">
        <v>54356</v>
      </c>
      <c r="F8769" s="6" t="s">
        <v>29</v>
      </c>
      <c r="G8769" s="6" t="s">
        <v>54368</v>
      </c>
      <c r="H8769" s="7">
        <v>1.0</v>
      </c>
      <c r="I8769" s="7">
        <v>8.0</v>
      </c>
      <c r="J8769" s="7">
        <v>1.0</v>
      </c>
      <c r="K8769" s="7">
        <v>4.0</v>
      </c>
      <c r="L8769" s="8" t="s">
        <v>54358</v>
      </c>
      <c r="M8769" s="6" t="s">
        <v>54369</v>
      </c>
      <c r="N8769" s="6" t="s">
        <v>155</v>
      </c>
      <c r="O8769" s="8" t="s">
        <v>156</v>
      </c>
      <c r="P8769" s="6" t="s">
        <v>54360</v>
      </c>
      <c r="Q8769" s="6" t="s">
        <v>31</v>
      </c>
      <c r="R8769" s="6" t="s">
        <v>64</v>
      </c>
      <c r="S8769" s="8" t="s">
        <v>5599</v>
      </c>
      <c r="T8769" s="6" t="s">
        <v>66</v>
      </c>
      <c r="U8769" s="8" t="s">
        <v>31</v>
      </c>
      <c r="V8769" s="6" t="s">
        <v>29</v>
      </c>
      <c r="W8769" s="6" t="s">
        <v>54356</v>
      </c>
      <c r="X8769" s="9" t="str">
        <f>HYPERLINK("https://my.pitchbook.com?p=178875-46P","View People Online")</f>
        <v>View People Online</v>
      </c>
    </row>
    <row r="8770">
      <c r="A8770" s="10" t="s">
        <v>54370</v>
      </c>
      <c r="B8770" s="10" t="s">
        <v>54371</v>
      </c>
      <c r="C8770" s="10" t="s">
        <v>47406</v>
      </c>
      <c r="D8770" s="10" t="s">
        <v>42293</v>
      </c>
      <c r="E8770" s="10" t="s">
        <v>54356</v>
      </c>
      <c r="F8770" s="10" t="s">
        <v>29</v>
      </c>
      <c r="G8770" s="10" t="s">
        <v>54372</v>
      </c>
      <c r="H8770" s="11">
        <v>2.0</v>
      </c>
      <c r="I8770" s="11">
        <v>14.0</v>
      </c>
      <c r="J8770" s="11">
        <v>1.0</v>
      </c>
      <c r="K8770" s="11">
        <v>7.0</v>
      </c>
      <c r="L8770" s="12" t="s">
        <v>54358</v>
      </c>
      <c r="M8770" s="10" t="s">
        <v>54373</v>
      </c>
      <c r="N8770" s="10" t="s">
        <v>155</v>
      </c>
      <c r="O8770" s="12" t="s">
        <v>156</v>
      </c>
      <c r="P8770" s="10" t="s">
        <v>54360</v>
      </c>
      <c r="Q8770" s="10" t="s">
        <v>31</v>
      </c>
      <c r="R8770" s="10" t="s">
        <v>64</v>
      </c>
      <c r="S8770" s="12" t="s">
        <v>5599</v>
      </c>
      <c r="T8770" s="10" t="s">
        <v>66</v>
      </c>
      <c r="U8770" s="12" t="s">
        <v>31</v>
      </c>
      <c r="V8770" s="10" t="s">
        <v>29</v>
      </c>
      <c r="W8770" s="10" t="s">
        <v>54356</v>
      </c>
      <c r="X8770" s="13" t="str">
        <f>HYPERLINK("https://my.pitchbook.com?p=44944-39P","View People Online")</f>
        <v>View People Online</v>
      </c>
    </row>
    <row r="8771">
      <c r="A8771" s="6" t="s">
        <v>54374</v>
      </c>
      <c r="B8771" s="6" t="s">
        <v>54375</v>
      </c>
      <c r="C8771" s="6" t="s">
        <v>54376</v>
      </c>
      <c r="D8771" s="6" t="s">
        <v>54377</v>
      </c>
      <c r="E8771" s="6" t="s">
        <v>54356</v>
      </c>
      <c r="F8771" s="6" t="s">
        <v>1801</v>
      </c>
      <c r="G8771" s="6" t="s">
        <v>54378</v>
      </c>
      <c r="H8771" s="7" t="s">
        <v>31</v>
      </c>
      <c r="I8771" s="7">
        <v>1.0</v>
      </c>
      <c r="J8771" s="7">
        <v>1.0</v>
      </c>
      <c r="K8771" s="7" t="s">
        <v>31</v>
      </c>
      <c r="L8771" s="8" t="s">
        <v>54358</v>
      </c>
      <c r="M8771" s="6" t="s">
        <v>54379</v>
      </c>
      <c r="N8771" s="6" t="s">
        <v>155</v>
      </c>
      <c r="O8771" s="8" t="s">
        <v>156</v>
      </c>
      <c r="P8771" s="6" t="s">
        <v>54360</v>
      </c>
      <c r="Q8771" s="6" t="s">
        <v>31</v>
      </c>
      <c r="R8771" s="6" t="s">
        <v>64</v>
      </c>
      <c r="S8771" s="8" t="s">
        <v>5599</v>
      </c>
      <c r="T8771" s="6" t="s">
        <v>66</v>
      </c>
      <c r="U8771" s="8" t="s">
        <v>31</v>
      </c>
      <c r="V8771" s="6" t="s">
        <v>1804</v>
      </c>
      <c r="W8771" s="6" t="s">
        <v>54356</v>
      </c>
      <c r="X8771" s="9" t="str">
        <f>HYPERLINK("https://my.pitchbook.com?p=196290-82P","View People Online")</f>
        <v>View People Online</v>
      </c>
    </row>
    <row r="8772">
      <c r="A8772" s="2" t="s">
        <v>54380</v>
      </c>
      <c r="B8772" s="2" t="s">
        <v>54381</v>
      </c>
      <c r="C8772" s="2" t="s">
        <v>666</v>
      </c>
      <c r="D8772" s="2" t="s">
        <v>4494</v>
      </c>
      <c r="E8772" s="2" t="s">
        <v>54356</v>
      </c>
      <c r="F8772" s="2" t="s">
        <v>29</v>
      </c>
      <c r="G8772" s="2" t="s">
        <v>54382</v>
      </c>
      <c r="H8772" s="3">
        <v>3.0</v>
      </c>
      <c r="I8772" s="3">
        <v>21.0</v>
      </c>
      <c r="J8772" s="3">
        <v>2.0</v>
      </c>
      <c r="K8772" s="3">
        <v>13.0</v>
      </c>
      <c r="L8772" s="4" t="s">
        <v>54358</v>
      </c>
      <c r="M8772" s="2" t="s">
        <v>54383</v>
      </c>
      <c r="N8772" s="2" t="s">
        <v>155</v>
      </c>
      <c r="O8772" s="4" t="s">
        <v>156</v>
      </c>
      <c r="P8772" s="2" t="s">
        <v>54360</v>
      </c>
      <c r="Q8772" s="2" t="s">
        <v>31</v>
      </c>
      <c r="R8772" s="2" t="s">
        <v>64</v>
      </c>
      <c r="S8772" s="4" t="s">
        <v>5599</v>
      </c>
      <c r="T8772" s="2" t="s">
        <v>66</v>
      </c>
      <c r="U8772" s="4" t="s">
        <v>31</v>
      </c>
      <c r="V8772" s="2" t="s">
        <v>29</v>
      </c>
      <c r="W8772" s="2" t="s">
        <v>54356</v>
      </c>
      <c r="X8772" s="5" t="str">
        <f>HYPERLINK("https://my.pitchbook.com?p=196288-75P","View People Online")</f>
        <v>View People Online</v>
      </c>
    </row>
    <row r="8773">
      <c r="A8773" s="6" t="s">
        <v>54384</v>
      </c>
      <c r="B8773" s="6" t="s">
        <v>54385</v>
      </c>
      <c r="C8773" s="6" t="s">
        <v>10200</v>
      </c>
      <c r="D8773" s="6" t="s">
        <v>54386</v>
      </c>
      <c r="E8773" s="6" t="s">
        <v>54387</v>
      </c>
      <c r="F8773" s="6" t="s">
        <v>152</v>
      </c>
      <c r="G8773" s="6" t="s">
        <v>54388</v>
      </c>
      <c r="H8773" s="7">
        <v>3.0</v>
      </c>
      <c r="I8773" s="7">
        <v>8.0</v>
      </c>
      <c r="J8773" s="7">
        <v>3.0</v>
      </c>
      <c r="K8773" s="7">
        <v>4.0</v>
      </c>
      <c r="L8773" s="8" t="s">
        <v>54389</v>
      </c>
      <c r="M8773" s="6" t="s">
        <v>54390</v>
      </c>
      <c r="N8773" s="6" t="s">
        <v>11029</v>
      </c>
      <c r="O8773" s="8" t="s">
        <v>11030</v>
      </c>
      <c r="P8773" s="6" t="s">
        <v>31</v>
      </c>
      <c r="Q8773" s="6" t="s">
        <v>31</v>
      </c>
      <c r="R8773" s="6" t="s">
        <v>10017</v>
      </c>
      <c r="S8773" s="8" t="s">
        <v>31</v>
      </c>
      <c r="T8773" s="6" t="s">
        <v>66</v>
      </c>
      <c r="U8773" s="8" t="s">
        <v>31</v>
      </c>
      <c r="V8773" s="6" t="s">
        <v>152</v>
      </c>
      <c r="W8773" s="6" t="s">
        <v>54387</v>
      </c>
      <c r="X8773" s="9" t="str">
        <f>HYPERLINK("https://my.pitchbook.com?p=41588-83P","View People Online")</f>
        <v>View People Online</v>
      </c>
    </row>
    <row r="8774">
      <c r="A8774" s="2" t="s">
        <v>54391</v>
      </c>
      <c r="B8774" s="2" t="s">
        <v>54392</v>
      </c>
      <c r="C8774" s="2" t="s">
        <v>3811</v>
      </c>
      <c r="D8774" s="2" t="s">
        <v>49258</v>
      </c>
      <c r="E8774" s="2" t="s">
        <v>54393</v>
      </c>
      <c r="F8774" s="2" t="s">
        <v>502</v>
      </c>
      <c r="G8774" s="2" t="s">
        <v>54394</v>
      </c>
      <c r="H8774" s="3" t="s">
        <v>31</v>
      </c>
      <c r="I8774" s="3">
        <v>1.0</v>
      </c>
      <c r="J8774" s="3">
        <v>1.0</v>
      </c>
      <c r="K8774" s="3" t="s">
        <v>31</v>
      </c>
      <c r="L8774" s="4" t="s">
        <v>54395</v>
      </c>
      <c r="M8774" s="2" t="s">
        <v>54396</v>
      </c>
      <c r="N8774" s="2" t="s">
        <v>54397</v>
      </c>
      <c r="O8774" s="4" t="s">
        <v>54398</v>
      </c>
      <c r="P8774" s="2" t="s">
        <v>54399</v>
      </c>
      <c r="Q8774" s="2" t="s">
        <v>31</v>
      </c>
      <c r="R8774" s="2" t="s">
        <v>13707</v>
      </c>
      <c r="S8774" s="4" t="s">
        <v>54400</v>
      </c>
      <c r="T8774" s="2" t="s">
        <v>5484</v>
      </c>
      <c r="U8774" s="4" t="s">
        <v>54401</v>
      </c>
      <c r="V8774" s="2" t="s">
        <v>502</v>
      </c>
      <c r="W8774" s="2" t="s">
        <v>54393</v>
      </c>
      <c r="X8774" s="5" t="str">
        <f>HYPERLINK("https://my.pitchbook.com?p=144546-13P","View People Online")</f>
        <v>View People Online</v>
      </c>
    </row>
    <row r="8775">
      <c r="A8775" s="6" t="s">
        <v>54402</v>
      </c>
      <c r="B8775" s="6" t="s">
        <v>54403</v>
      </c>
      <c r="C8775" s="6" t="s">
        <v>54404</v>
      </c>
      <c r="D8775" s="6" t="s">
        <v>54405</v>
      </c>
      <c r="E8775" s="6" t="s">
        <v>54393</v>
      </c>
      <c r="F8775" s="6" t="s">
        <v>48509</v>
      </c>
      <c r="G8775" s="6" t="s">
        <v>54406</v>
      </c>
      <c r="H8775" s="7" t="s">
        <v>31</v>
      </c>
      <c r="I8775" s="7">
        <v>1.0</v>
      </c>
      <c r="J8775" s="7">
        <v>1.0</v>
      </c>
      <c r="K8775" s="7" t="s">
        <v>31</v>
      </c>
      <c r="L8775" s="8" t="s">
        <v>54395</v>
      </c>
      <c r="M8775" s="6" t="s">
        <v>54407</v>
      </c>
      <c r="N8775" s="6" t="s">
        <v>54397</v>
      </c>
      <c r="O8775" s="8" t="s">
        <v>54398</v>
      </c>
      <c r="P8775" s="6" t="s">
        <v>54399</v>
      </c>
      <c r="Q8775" s="6" t="s">
        <v>31</v>
      </c>
      <c r="R8775" s="6" t="s">
        <v>13707</v>
      </c>
      <c r="S8775" s="8" t="s">
        <v>54400</v>
      </c>
      <c r="T8775" s="6" t="s">
        <v>5484</v>
      </c>
      <c r="U8775" s="8" t="s">
        <v>54401</v>
      </c>
      <c r="V8775" s="6" t="s">
        <v>54408</v>
      </c>
      <c r="W8775" s="6" t="s">
        <v>54393</v>
      </c>
      <c r="X8775" s="9" t="str">
        <f>HYPERLINK("https://my.pitchbook.com?p=144545-86P","View People Online")</f>
        <v>View People Online</v>
      </c>
    </row>
    <row r="8776">
      <c r="A8776" s="2" t="s">
        <v>54409</v>
      </c>
      <c r="B8776" s="2" t="s">
        <v>54410</v>
      </c>
      <c r="C8776" s="2" t="s">
        <v>2572</v>
      </c>
      <c r="D8776" s="2" t="s">
        <v>54411</v>
      </c>
      <c r="E8776" s="2" t="s">
        <v>54412</v>
      </c>
      <c r="F8776" s="2" t="s">
        <v>57</v>
      </c>
      <c r="G8776" s="2" t="s">
        <v>54413</v>
      </c>
      <c r="H8776" s="3">
        <v>2.0</v>
      </c>
      <c r="I8776" s="3">
        <v>8.0</v>
      </c>
      <c r="J8776" s="3">
        <v>1.0</v>
      </c>
      <c r="K8776" s="3">
        <v>2.0</v>
      </c>
      <c r="L8776" s="4" t="s">
        <v>54414</v>
      </c>
      <c r="M8776" s="2" t="s">
        <v>54415</v>
      </c>
      <c r="N8776" s="2" t="s">
        <v>4232</v>
      </c>
      <c r="O8776" s="4" t="s">
        <v>4233</v>
      </c>
      <c r="P8776" s="2" t="s">
        <v>25467</v>
      </c>
      <c r="Q8776" s="2" t="s">
        <v>31</v>
      </c>
      <c r="R8776" s="2" t="s">
        <v>4236</v>
      </c>
      <c r="S8776" s="4" t="s">
        <v>13212</v>
      </c>
      <c r="T8776" s="2" t="s">
        <v>66</v>
      </c>
      <c r="U8776" s="4" t="s">
        <v>31</v>
      </c>
      <c r="V8776" s="2" t="s">
        <v>57</v>
      </c>
      <c r="W8776" s="2" t="s">
        <v>54412</v>
      </c>
      <c r="X8776" s="5" t="str">
        <f>HYPERLINK("https://my.pitchbook.com?p=14698-72P","View People Online")</f>
        <v>View People Online</v>
      </c>
    </row>
    <row r="8777">
      <c r="A8777" s="6" t="s">
        <v>54416</v>
      </c>
      <c r="B8777" s="6" t="s">
        <v>54417</v>
      </c>
      <c r="C8777" s="6" t="s">
        <v>2658</v>
      </c>
      <c r="D8777" s="6" t="s">
        <v>51980</v>
      </c>
      <c r="E8777" s="6" t="s">
        <v>54412</v>
      </c>
      <c r="F8777" s="6" t="s">
        <v>1283</v>
      </c>
      <c r="G8777" s="6" t="s">
        <v>54418</v>
      </c>
      <c r="H8777" s="7" t="s">
        <v>31</v>
      </c>
      <c r="I8777" s="7">
        <v>3.0</v>
      </c>
      <c r="J8777" s="7">
        <v>1.0</v>
      </c>
      <c r="K8777" s="7">
        <v>1.0</v>
      </c>
      <c r="L8777" s="8" t="s">
        <v>54414</v>
      </c>
      <c r="M8777" s="6" t="s">
        <v>54419</v>
      </c>
      <c r="N8777" s="6" t="s">
        <v>4232</v>
      </c>
      <c r="O8777" s="8" t="s">
        <v>4233</v>
      </c>
      <c r="P8777" s="6" t="s">
        <v>25467</v>
      </c>
      <c r="Q8777" s="6" t="s">
        <v>31</v>
      </c>
      <c r="R8777" s="6" t="s">
        <v>4236</v>
      </c>
      <c r="S8777" s="8" t="s">
        <v>13212</v>
      </c>
      <c r="T8777" s="6" t="s">
        <v>66</v>
      </c>
      <c r="U8777" s="8" t="s">
        <v>31</v>
      </c>
      <c r="V8777" s="6" t="s">
        <v>1283</v>
      </c>
      <c r="W8777" s="6" t="s">
        <v>54412</v>
      </c>
      <c r="X8777" s="9" t="str">
        <f>HYPERLINK("https://my.pitchbook.com?p=343216-90P","View People Online")</f>
        <v>View People Online</v>
      </c>
    </row>
    <row r="8778">
      <c r="A8778" s="10" t="s">
        <v>54420</v>
      </c>
      <c r="B8778" s="10" t="s">
        <v>54421</v>
      </c>
      <c r="C8778" s="10" t="s">
        <v>14460</v>
      </c>
      <c r="D8778" s="10" t="s">
        <v>3598</v>
      </c>
      <c r="E8778" s="10" t="s">
        <v>54412</v>
      </c>
      <c r="F8778" s="10" t="s">
        <v>318</v>
      </c>
      <c r="G8778" s="10" t="s">
        <v>54422</v>
      </c>
      <c r="H8778" s="11">
        <v>1.0</v>
      </c>
      <c r="I8778" s="11">
        <v>3.0</v>
      </c>
      <c r="J8778" s="11">
        <v>1.0</v>
      </c>
      <c r="K8778" s="11">
        <v>1.0</v>
      </c>
      <c r="L8778" s="12" t="s">
        <v>54414</v>
      </c>
      <c r="M8778" s="10" t="s">
        <v>54423</v>
      </c>
      <c r="N8778" s="10" t="s">
        <v>4232</v>
      </c>
      <c r="O8778" s="12" t="s">
        <v>4233</v>
      </c>
      <c r="P8778" s="10" t="s">
        <v>25467</v>
      </c>
      <c r="Q8778" s="10" t="s">
        <v>31</v>
      </c>
      <c r="R8778" s="10" t="s">
        <v>4236</v>
      </c>
      <c r="S8778" s="12" t="s">
        <v>13212</v>
      </c>
      <c r="T8778" s="10" t="s">
        <v>66</v>
      </c>
      <c r="U8778" s="12" t="s">
        <v>31</v>
      </c>
      <c r="V8778" s="10" t="s">
        <v>54424</v>
      </c>
      <c r="W8778" s="10" t="s">
        <v>54412</v>
      </c>
      <c r="X8778" s="13" t="str">
        <f>HYPERLINK("https://my.pitchbook.com?p=73521-91P","View People Online")</f>
        <v>View People Online</v>
      </c>
    </row>
    <row r="8779">
      <c r="A8779" s="14" t="s">
        <v>54425</v>
      </c>
      <c r="B8779" s="14" t="s">
        <v>54426</v>
      </c>
      <c r="C8779" s="14" t="s">
        <v>54427</v>
      </c>
      <c r="D8779" s="14" t="s">
        <v>54428</v>
      </c>
      <c r="E8779" s="14" t="s">
        <v>54412</v>
      </c>
      <c r="F8779" s="14" t="s">
        <v>318</v>
      </c>
      <c r="G8779" s="14" t="s">
        <v>54429</v>
      </c>
      <c r="H8779" s="15" t="s">
        <v>31</v>
      </c>
      <c r="I8779" s="15">
        <v>3.0</v>
      </c>
      <c r="J8779" s="15">
        <v>2.0</v>
      </c>
      <c r="K8779" s="15">
        <v>1.0</v>
      </c>
      <c r="L8779" s="16" t="s">
        <v>54430</v>
      </c>
      <c r="M8779" s="14" t="s">
        <v>54431</v>
      </c>
      <c r="N8779" s="14" t="s">
        <v>4232</v>
      </c>
      <c r="O8779" s="16" t="s">
        <v>4233</v>
      </c>
      <c r="P8779" s="14" t="s">
        <v>54432</v>
      </c>
      <c r="Q8779" s="14" t="s">
        <v>47620</v>
      </c>
      <c r="R8779" s="14" t="s">
        <v>4236</v>
      </c>
      <c r="S8779" s="16" t="s">
        <v>27763</v>
      </c>
      <c r="T8779" s="14" t="s">
        <v>66</v>
      </c>
      <c r="U8779" s="16" t="s">
        <v>31</v>
      </c>
      <c r="V8779" s="14" t="s">
        <v>13755</v>
      </c>
      <c r="W8779" s="14" t="s">
        <v>54433</v>
      </c>
      <c r="X8779" s="17" t="str">
        <f>HYPERLINK("https://my.pitchbook.com?p=197412-58P","View People Online")</f>
        <v>View People Online</v>
      </c>
    </row>
    <row r="8780">
      <c r="A8780" s="10" t="s">
        <v>54434</v>
      </c>
      <c r="B8780" s="10" t="s">
        <v>54435</v>
      </c>
      <c r="C8780" s="10" t="s">
        <v>38537</v>
      </c>
      <c r="D8780" s="10" t="s">
        <v>38588</v>
      </c>
      <c r="E8780" s="10" t="s">
        <v>54412</v>
      </c>
      <c r="F8780" s="10" t="s">
        <v>1283</v>
      </c>
      <c r="G8780" s="10" t="s">
        <v>54436</v>
      </c>
      <c r="H8780" s="11">
        <v>2.0</v>
      </c>
      <c r="I8780" s="11">
        <v>4.0</v>
      </c>
      <c r="J8780" s="11">
        <v>1.0</v>
      </c>
      <c r="K8780" s="11">
        <v>1.0</v>
      </c>
      <c r="L8780" s="12" t="s">
        <v>54414</v>
      </c>
      <c r="M8780" s="10" t="s">
        <v>54437</v>
      </c>
      <c r="N8780" s="10" t="s">
        <v>4232</v>
      </c>
      <c r="O8780" s="12" t="s">
        <v>4233</v>
      </c>
      <c r="P8780" s="10" t="s">
        <v>25467</v>
      </c>
      <c r="Q8780" s="10" t="s">
        <v>31</v>
      </c>
      <c r="R8780" s="10" t="s">
        <v>4236</v>
      </c>
      <c r="S8780" s="12" t="s">
        <v>13212</v>
      </c>
      <c r="T8780" s="10" t="s">
        <v>66</v>
      </c>
      <c r="U8780" s="12" t="s">
        <v>31</v>
      </c>
      <c r="V8780" s="10" t="s">
        <v>1283</v>
      </c>
      <c r="W8780" s="10" t="s">
        <v>54412</v>
      </c>
      <c r="X8780" s="13" t="str">
        <f>HYPERLINK("https://my.pitchbook.com?p=211533-49P","View People Online")</f>
        <v>View People Online</v>
      </c>
    </row>
    <row r="8781">
      <c r="A8781" s="6" t="s">
        <v>54438</v>
      </c>
      <c r="B8781" s="6" t="s">
        <v>54439</v>
      </c>
      <c r="C8781" s="6" t="s">
        <v>29227</v>
      </c>
      <c r="D8781" s="6" t="s">
        <v>54440</v>
      </c>
      <c r="E8781" s="6" t="s">
        <v>54412</v>
      </c>
      <c r="F8781" s="6" t="s">
        <v>57</v>
      </c>
      <c r="G8781" s="6" t="s">
        <v>54441</v>
      </c>
      <c r="H8781" s="7">
        <v>11.0</v>
      </c>
      <c r="I8781" s="7">
        <v>51.0</v>
      </c>
      <c r="J8781" s="7">
        <v>3.0</v>
      </c>
      <c r="K8781" s="7">
        <v>30.0</v>
      </c>
      <c r="L8781" s="8" t="s">
        <v>54414</v>
      </c>
      <c r="M8781" s="6" t="s">
        <v>54442</v>
      </c>
      <c r="N8781" s="6" t="s">
        <v>4232</v>
      </c>
      <c r="O8781" s="8" t="s">
        <v>4233</v>
      </c>
      <c r="P8781" s="6" t="s">
        <v>25467</v>
      </c>
      <c r="Q8781" s="6" t="s">
        <v>31</v>
      </c>
      <c r="R8781" s="6" t="s">
        <v>4236</v>
      </c>
      <c r="S8781" s="8" t="s">
        <v>13212</v>
      </c>
      <c r="T8781" s="6" t="s">
        <v>66</v>
      </c>
      <c r="U8781" s="8" t="s">
        <v>31</v>
      </c>
      <c r="V8781" s="6" t="s">
        <v>57</v>
      </c>
      <c r="W8781" s="6" t="s">
        <v>54412</v>
      </c>
      <c r="X8781" s="9" t="str">
        <f>HYPERLINK("https://my.pitchbook.com?p=40570-57P","View People Online")</f>
        <v>View People Online</v>
      </c>
    </row>
    <row r="8782">
      <c r="A8782" s="10" t="s">
        <v>54443</v>
      </c>
      <c r="B8782" s="10" t="s">
        <v>54444</v>
      </c>
      <c r="C8782" s="10" t="s">
        <v>15489</v>
      </c>
      <c r="D8782" s="10" t="s">
        <v>54445</v>
      </c>
      <c r="E8782" s="10" t="s">
        <v>54412</v>
      </c>
      <c r="F8782" s="10" t="s">
        <v>1283</v>
      </c>
      <c r="G8782" s="10" t="s">
        <v>54446</v>
      </c>
      <c r="H8782" s="11">
        <v>3.0</v>
      </c>
      <c r="I8782" s="11">
        <v>17.0</v>
      </c>
      <c r="J8782" s="11">
        <v>1.0</v>
      </c>
      <c r="K8782" s="11">
        <v>9.0</v>
      </c>
      <c r="L8782" s="12" t="s">
        <v>54414</v>
      </c>
      <c r="M8782" s="10" t="s">
        <v>54447</v>
      </c>
      <c r="N8782" s="10" t="s">
        <v>4232</v>
      </c>
      <c r="O8782" s="12" t="s">
        <v>4233</v>
      </c>
      <c r="P8782" s="10" t="s">
        <v>25467</v>
      </c>
      <c r="Q8782" s="10" t="s">
        <v>31</v>
      </c>
      <c r="R8782" s="10" t="s">
        <v>4236</v>
      </c>
      <c r="S8782" s="12" t="s">
        <v>13212</v>
      </c>
      <c r="T8782" s="10" t="s">
        <v>66</v>
      </c>
      <c r="U8782" s="12" t="s">
        <v>31</v>
      </c>
      <c r="V8782" s="10" t="s">
        <v>54448</v>
      </c>
      <c r="W8782" s="10" t="s">
        <v>54412</v>
      </c>
      <c r="X8782" s="13" t="str">
        <f>HYPERLINK("https://my.pitchbook.com?p=80381-89P","View People Online")</f>
        <v>View People Online</v>
      </c>
    </row>
    <row r="8783">
      <c r="A8783" s="14" t="s">
        <v>54449</v>
      </c>
      <c r="B8783" s="14" t="s">
        <v>54450</v>
      </c>
      <c r="C8783" s="14" t="s">
        <v>69</v>
      </c>
      <c r="D8783" s="14" t="s">
        <v>54451</v>
      </c>
      <c r="E8783" s="14" t="s">
        <v>54412</v>
      </c>
      <c r="F8783" s="14" t="s">
        <v>371</v>
      </c>
      <c r="G8783" s="14" t="s">
        <v>54452</v>
      </c>
      <c r="H8783" s="15">
        <v>4.0</v>
      </c>
      <c r="I8783" s="15">
        <v>9.0</v>
      </c>
      <c r="J8783" s="15">
        <v>2.0</v>
      </c>
      <c r="K8783" s="15">
        <v>4.0</v>
      </c>
      <c r="L8783" s="16" t="s">
        <v>54453</v>
      </c>
      <c r="M8783" s="14" t="s">
        <v>31</v>
      </c>
      <c r="N8783" s="14" t="s">
        <v>75</v>
      </c>
      <c r="O8783" s="16" t="s">
        <v>76</v>
      </c>
      <c r="P8783" s="14" t="s">
        <v>54454</v>
      </c>
      <c r="Q8783" s="14" t="s">
        <v>1895</v>
      </c>
      <c r="R8783" s="14" t="s">
        <v>75</v>
      </c>
      <c r="S8783" s="16" t="s">
        <v>1263</v>
      </c>
      <c r="T8783" s="14" t="s">
        <v>66</v>
      </c>
      <c r="U8783" s="16" t="s">
        <v>31</v>
      </c>
      <c r="V8783" s="14" t="s">
        <v>40771</v>
      </c>
      <c r="W8783" s="14" t="s">
        <v>54455</v>
      </c>
      <c r="X8783" s="17" t="str">
        <f>HYPERLINK("https://my.pitchbook.com?p=182839-06P","View People Online")</f>
        <v>View People Online</v>
      </c>
    </row>
    <row r="8784">
      <c r="A8784" s="2" t="s">
        <v>54456</v>
      </c>
      <c r="B8784" s="2" t="s">
        <v>54457</v>
      </c>
      <c r="C8784" s="2" t="s">
        <v>18625</v>
      </c>
      <c r="D8784" s="2" t="s">
        <v>3186</v>
      </c>
      <c r="E8784" s="2" t="s">
        <v>54412</v>
      </c>
      <c r="F8784" s="2" t="s">
        <v>1283</v>
      </c>
      <c r="G8784" s="2" t="s">
        <v>54458</v>
      </c>
      <c r="H8784" s="3">
        <v>4.0</v>
      </c>
      <c r="I8784" s="3">
        <v>14.0</v>
      </c>
      <c r="J8784" s="3">
        <v>1.0</v>
      </c>
      <c r="K8784" s="3">
        <v>6.0</v>
      </c>
      <c r="L8784" s="4" t="s">
        <v>54414</v>
      </c>
      <c r="M8784" s="2" t="s">
        <v>54459</v>
      </c>
      <c r="N8784" s="2" t="s">
        <v>4232</v>
      </c>
      <c r="O8784" s="4" t="s">
        <v>4233</v>
      </c>
      <c r="P8784" s="2" t="s">
        <v>25467</v>
      </c>
      <c r="Q8784" s="2" t="s">
        <v>31</v>
      </c>
      <c r="R8784" s="2" t="s">
        <v>4236</v>
      </c>
      <c r="S8784" s="4" t="s">
        <v>13212</v>
      </c>
      <c r="T8784" s="2" t="s">
        <v>66</v>
      </c>
      <c r="U8784" s="4" t="s">
        <v>31</v>
      </c>
      <c r="V8784" s="2" t="s">
        <v>54460</v>
      </c>
      <c r="W8784" s="2" t="s">
        <v>54412</v>
      </c>
      <c r="X8784" s="5" t="str">
        <f>HYPERLINK("https://my.pitchbook.com?p=300843-46P","View People Online")</f>
        <v>View People Online</v>
      </c>
    </row>
    <row r="8785">
      <c r="A8785" s="14" t="s">
        <v>54461</v>
      </c>
      <c r="B8785" s="14" t="s">
        <v>54462</v>
      </c>
      <c r="C8785" s="14" t="s">
        <v>18625</v>
      </c>
      <c r="D8785" s="14" t="s">
        <v>54463</v>
      </c>
      <c r="E8785" s="14" t="s">
        <v>54412</v>
      </c>
      <c r="F8785" s="14" t="s">
        <v>221</v>
      </c>
      <c r="G8785" s="14" t="s">
        <v>54464</v>
      </c>
      <c r="H8785" s="15" t="s">
        <v>31</v>
      </c>
      <c r="I8785" s="15">
        <v>1.0</v>
      </c>
      <c r="J8785" s="15">
        <v>1.0</v>
      </c>
      <c r="K8785" s="15" t="s">
        <v>31</v>
      </c>
      <c r="L8785" s="16" t="s">
        <v>54414</v>
      </c>
      <c r="M8785" s="14" t="s">
        <v>31</v>
      </c>
      <c r="N8785" s="14" t="s">
        <v>4232</v>
      </c>
      <c r="O8785" s="16" t="s">
        <v>4233</v>
      </c>
      <c r="P8785" s="14" t="s">
        <v>25467</v>
      </c>
      <c r="Q8785" s="14" t="s">
        <v>31</v>
      </c>
      <c r="R8785" s="14" t="s">
        <v>4236</v>
      </c>
      <c r="S8785" s="16" t="s">
        <v>13212</v>
      </c>
      <c r="T8785" s="14" t="s">
        <v>66</v>
      </c>
      <c r="U8785" s="16" t="s">
        <v>31</v>
      </c>
      <c r="V8785" s="14" t="s">
        <v>54465</v>
      </c>
      <c r="W8785" s="14" t="s">
        <v>54412</v>
      </c>
      <c r="X8785" s="17" t="str">
        <f>HYPERLINK("https://my.pitchbook.com?p=343220-59P","View People Online")</f>
        <v>View People Online</v>
      </c>
    </row>
    <row r="8786">
      <c r="A8786" s="2" t="s">
        <v>54466</v>
      </c>
      <c r="B8786" s="2" t="s">
        <v>54467</v>
      </c>
      <c r="C8786" s="2" t="s">
        <v>54468</v>
      </c>
      <c r="D8786" s="2" t="s">
        <v>13984</v>
      </c>
      <c r="E8786" s="2" t="s">
        <v>54412</v>
      </c>
      <c r="F8786" s="2" t="s">
        <v>371</v>
      </c>
      <c r="G8786" s="2" t="s">
        <v>54469</v>
      </c>
      <c r="H8786" s="3" t="s">
        <v>31</v>
      </c>
      <c r="I8786" s="3">
        <v>1.0</v>
      </c>
      <c r="J8786" s="3">
        <v>1.0</v>
      </c>
      <c r="K8786" s="3" t="s">
        <v>31</v>
      </c>
      <c r="L8786" s="4" t="s">
        <v>54414</v>
      </c>
      <c r="M8786" s="2" t="s">
        <v>54470</v>
      </c>
      <c r="N8786" s="2" t="s">
        <v>4232</v>
      </c>
      <c r="O8786" s="4" t="s">
        <v>4233</v>
      </c>
      <c r="P8786" s="2" t="s">
        <v>25467</v>
      </c>
      <c r="Q8786" s="2" t="s">
        <v>31</v>
      </c>
      <c r="R8786" s="2" t="s">
        <v>4236</v>
      </c>
      <c r="S8786" s="4" t="s">
        <v>13212</v>
      </c>
      <c r="T8786" s="2" t="s">
        <v>66</v>
      </c>
      <c r="U8786" s="4" t="s">
        <v>31</v>
      </c>
      <c r="V8786" s="2" t="s">
        <v>54471</v>
      </c>
      <c r="W8786" s="2" t="s">
        <v>54412</v>
      </c>
      <c r="X8786" s="5" t="str">
        <f>HYPERLINK("https://my.pitchbook.com?p=343221-40P","View People Online")</f>
        <v>View People Online</v>
      </c>
    </row>
    <row r="8787">
      <c r="A8787" s="14" t="s">
        <v>54472</v>
      </c>
      <c r="B8787" s="14" t="s">
        <v>54473</v>
      </c>
      <c r="C8787" s="14" t="s">
        <v>4739</v>
      </c>
      <c r="D8787" s="14" t="s">
        <v>54474</v>
      </c>
      <c r="E8787" s="14" t="s">
        <v>54412</v>
      </c>
      <c r="F8787" s="14" t="s">
        <v>54475</v>
      </c>
      <c r="G8787" s="14" t="s">
        <v>54476</v>
      </c>
      <c r="H8787" s="15" t="s">
        <v>31</v>
      </c>
      <c r="I8787" s="15">
        <v>1.0</v>
      </c>
      <c r="J8787" s="15">
        <v>1.0</v>
      </c>
      <c r="K8787" s="15" t="s">
        <v>31</v>
      </c>
      <c r="L8787" s="16" t="s">
        <v>54414</v>
      </c>
      <c r="M8787" s="14" t="s">
        <v>54477</v>
      </c>
      <c r="N8787" s="14" t="s">
        <v>4232</v>
      </c>
      <c r="O8787" s="16" t="s">
        <v>4233</v>
      </c>
      <c r="P8787" s="14" t="s">
        <v>25467</v>
      </c>
      <c r="Q8787" s="14" t="s">
        <v>31</v>
      </c>
      <c r="R8787" s="14" t="s">
        <v>4236</v>
      </c>
      <c r="S8787" s="16" t="s">
        <v>13212</v>
      </c>
      <c r="T8787" s="14" t="s">
        <v>66</v>
      </c>
      <c r="U8787" s="16" t="s">
        <v>31</v>
      </c>
      <c r="V8787" s="14" t="s">
        <v>54478</v>
      </c>
      <c r="W8787" s="14" t="s">
        <v>54412</v>
      </c>
      <c r="X8787" s="17" t="str">
        <f>HYPERLINK("https://my.pitchbook.com?p=453486-16P","View People Online")</f>
        <v>View People Online</v>
      </c>
    </row>
    <row r="8788">
      <c r="A8788" s="2" t="s">
        <v>54479</v>
      </c>
      <c r="B8788" s="2" t="s">
        <v>54480</v>
      </c>
      <c r="C8788" s="2" t="s">
        <v>26193</v>
      </c>
      <c r="D8788" s="2" t="s">
        <v>54481</v>
      </c>
      <c r="E8788" s="2" t="s">
        <v>54412</v>
      </c>
      <c r="F8788" s="2" t="s">
        <v>371</v>
      </c>
      <c r="G8788" s="2" t="s">
        <v>54482</v>
      </c>
      <c r="H8788" s="3" t="s">
        <v>31</v>
      </c>
      <c r="I8788" s="3">
        <v>1.0</v>
      </c>
      <c r="J8788" s="3">
        <v>1.0</v>
      </c>
      <c r="K8788" s="3" t="s">
        <v>31</v>
      </c>
      <c r="L8788" s="4" t="s">
        <v>54414</v>
      </c>
      <c r="M8788" s="2" t="s">
        <v>54483</v>
      </c>
      <c r="N8788" s="2" t="s">
        <v>4232</v>
      </c>
      <c r="O8788" s="4" t="s">
        <v>4233</v>
      </c>
      <c r="P8788" s="2" t="s">
        <v>25467</v>
      </c>
      <c r="Q8788" s="2" t="s">
        <v>31</v>
      </c>
      <c r="R8788" s="2" t="s">
        <v>4236</v>
      </c>
      <c r="S8788" s="4" t="s">
        <v>13212</v>
      </c>
      <c r="T8788" s="2" t="s">
        <v>66</v>
      </c>
      <c r="U8788" s="4" t="s">
        <v>31</v>
      </c>
      <c r="V8788" s="2" t="s">
        <v>54484</v>
      </c>
      <c r="W8788" s="2" t="s">
        <v>54412</v>
      </c>
      <c r="X8788" s="5" t="str">
        <f>HYPERLINK("https://my.pitchbook.com?p=266771-35P","View People Online")</f>
        <v>View People Online</v>
      </c>
    </row>
    <row r="8789">
      <c r="A8789" s="6" t="s">
        <v>54485</v>
      </c>
      <c r="B8789" s="6" t="s">
        <v>54486</v>
      </c>
      <c r="C8789" s="6" t="s">
        <v>5071</v>
      </c>
      <c r="D8789" s="6" t="s">
        <v>10412</v>
      </c>
      <c r="E8789" s="6" t="s">
        <v>54412</v>
      </c>
      <c r="F8789" s="6" t="s">
        <v>371</v>
      </c>
      <c r="G8789" s="6" t="s">
        <v>54487</v>
      </c>
      <c r="H8789" s="7" t="s">
        <v>31</v>
      </c>
      <c r="I8789" s="7">
        <v>1.0</v>
      </c>
      <c r="J8789" s="7">
        <v>1.0</v>
      </c>
      <c r="K8789" s="7" t="s">
        <v>31</v>
      </c>
      <c r="L8789" s="8" t="s">
        <v>54414</v>
      </c>
      <c r="M8789" s="6" t="s">
        <v>54488</v>
      </c>
      <c r="N8789" s="6" t="s">
        <v>4232</v>
      </c>
      <c r="O8789" s="8" t="s">
        <v>4233</v>
      </c>
      <c r="P8789" s="6" t="s">
        <v>25467</v>
      </c>
      <c r="Q8789" s="6" t="s">
        <v>31</v>
      </c>
      <c r="R8789" s="6" t="s">
        <v>4236</v>
      </c>
      <c r="S8789" s="8" t="s">
        <v>13212</v>
      </c>
      <c r="T8789" s="6" t="s">
        <v>66</v>
      </c>
      <c r="U8789" s="8" t="s">
        <v>31</v>
      </c>
      <c r="V8789" s="6" t="s">
        <v>54489</v>
      </c>
      <c r="W8789" s="6" t="s">
        <v>54412</v>
      </c>
      <c r="X8789" s="9" t="str">
        <f>HYPERLINK("https://my.pitchbook.com?p=120512-62P","View People Online")</f>
        <v>View People Online</v>
      </c>
    </row>
    <row r="8790">
      <c r="A8790" s="10" t="s">
        <v>54490</v>
      </c>
      <c r="B8790" s="10" t="s">
        <v>54491</v>
      </c>
      <c r="C8790" s="10" t="s">
        <v>54492</v>
      </c>
      <c r="D8790" s="10" t="s">
        <v>54493</v>
      </c>
      <c r="E8790" s="10" t="s">
        <v>54412</v>
      </c>
      <c r="F8790" s="10" t="s">
        <v>201</v>
      </c>
      <c r="G8790" s="10" t="s">
        <v>54494</v>
      </c>
      <c r="H8790" s="11" t="s">
        <v>31</v>
      </c>
      <c r="I8790" s="11">
        <v>1.0</v>
      </c>
      <c r="J8790" s="11">
        <v>1.0</v>
      </c>
      <c r="K8790" s="11" t="s">
        <v>31</v>
      </c>
      <c r="L8790" s="12" t="s">
        <v>54414</v>
      </c>
      <c r="M8790" s="10" t="s">
        <v>54495</v>
      </c>
      <c r="N8790" s="10" t="s">
        <v>4232</v>
      </c>
      <c r="O8790" s="12" t="s">
        <v>4233</v>
      </c>
      <c r="P8790" s="10" t="s">
        <v>25467</v>
      </c>
      <c r="Q8790" s="10" t="s">
        <v>31</v>
      </c>
      <c r="R8790" s="10" t="s">
        <v>4236</v>
      </c>
      <c r="S8790" s="12" t="s">
        <v>13212</v>
      </c>
      <c r="T8790" s="10" t="s">
        <v>66</v>
      </c>
      <c r="U8790" s="12" t="s">
        <v>31</v>
      </c>
      <c r="V8790" s="10" t="s">
        <v>201</v>
      </c>
      <c r="W8790" s="10" t="s">
        <v>54412</v>
      </c>
      <c r="X8790" s="13" t="str">
        <f>HYPERLINK("https://my.pitchbook.com?p=343223-83P","View People Online")</f>
        <v>View People Online</v>
      </c>
    </row>
    <row r="8791">
      <c r="A8791" s="14" t="s">
        <v>54496</v>
      </c>
      <c r="B8791" s="14" t="s">
        <v>54497</v>
      </c>
      <c r="C8791" s="14" t="s">
        <v>2190</v>
      </c>
      <c r="D8791" s="14" t="s">
        <v>54498</v>
      </c>
      <c r="E8791" s="14" t="s">
        <v>54412</v>
      </c>
      <c r="F8791" s="14" t="s">
        <v>1283</v>
      </c>
      <c r="G8791" s="14" t="s">
        <v>54499</v>
      </c>
      <c r="H8791" s="15">
        <v>2.0</v>
      </c>
      <c r="I8791" s="15">
        <v>11.0</v>
      </c>
      <c r="J8791" s="15">
        <v>1.0</v>
      </c>
      <c r="K8791" s="15">
        <v>6.0</v>
      </c>
      <c r="L8791" s="16" t="s">
        <v>54414</v>
      </c>
      <c r="M8791" s="14" t="s">
        <v>54500</v>
      </c>
      <c r="N8791" s="14" t="s">
        <v>4232</v>
      </c>
      <c r="O8791" s="16" t="s">
        <v>4233</v>
      </c>
      <c r="P8791" s="14" t="s">
        <v>25467</v>
      </c>
      <c r="Q8791" s="14" t="s">
        <v>31</v>
      </c>
      <c r="R8791" s="14" t="s">
        <v>4236</v>
      </c>
      <c r="S8791" s="16" t="s">
        <v>13212</v>
      </c>
      <c r="T8791" s="14" t="s">
        <v>66</v>
      </c>
      <c r="U8791" s="16" t="s">
        <v>31</v>
      </c>
      <c r="V8791" s="14" t="s">
        <v>54501</v>
      </c>
      <c r="W8791" s="14" t="s">
        <v>54412</v>
      </c>
      <c r="X8791" s="17" t="str">
        <f>HYPERLINK("https://my.pitchbook.com?p=187331-95P","View People Online")</f>
        <v>View People Online</v>
      </c>
    </row>
    <row r="8792">
      <c r="A8792" s="10" t="s">
        <v>54502</v>
      </c>
      <c r="B8792" s="10" t="s">
        <v>54503</v>
      </c>
      <c r="C8792" s="10" t="s">
        <v>1489</v>
      </c>
      <c r="D8792" s="10" t="s">
        <v>7207</v>
      </c>
      <c r="E8792" s="10" t="s">
        <v>54412</v>
      </c>
      <c r="F8792" s="10" t="s">
        <v>9167</v>
      </c>
      <c r="G8792" s="10" t="s">
        <v>54504</v>
      </c>
      <c r="H8792" s="11" t="s">
        <v>31</v>
      </c>
      <c r="I8792" s="11">
        <v>1.0</v>
      </c>
      <c r="J8792" s="11">
        <v>1.0</v>
      </c>
      <c r="K8792" s="11" t="s">
        <v>31</v>
      </c>
      <c r="L8792" s="12" t="s">
        <v>54414</v>
      </c>
      <c r="M8792" s="10" t="s">
        <v>54505</v>
      </c>
      <c r="N8792" s="10" t="s">
        <v>4232</v>
      </c>
      <c r="O8792" s="12" t="s">
        <v>4233</v>
      </c>
      <c r="P8792" s="10" t="s">
        <v>25467</v>
      </c>
      <c r="Q8792" s="10" t="s">
        <v>31</v>
      </c>
      <c r="R8792" s="10" t="s">
        <v>4236</v>
      </c>
      <c r="S8792" s="12" t="s">
        <v>13212</v>
      </c>
      <c r="T8792" s="10" t="s">
        <v>66</v>
      </c>
      <c r="U8792" s="12" t="s">
        <v>31</v>
      </c>
      <c r="V8792" s="10" t="s">
        <v>9167</v>
      </c>
      <c r="W8792" s="10" t="s">
        <v>54412</v>
      </c>
      <c r="X8792" s="13" t="str">
        <f>HYPERLINK("https://my.pitchbook.com?p=435427-93P","View People Online")</f>
        <v>View People Online</v>
      </c>
    </row>
    <row r="8793">
      <c r="A8793" s="14" t="s">
        <v>54506</v>
      </c>
      <c r="B8793" s="14" t="s">
        <v>54507</v>
      </c>
      <c r="C8793" s="14" t="s">
        <v>19779</v>
      </c>
      <c r="D8793" s="14" t="s">
        <v>54508</v>
      </c>
      <c r="E8793" s="14" t="s">
        <v>54412</v>
      </c>
      <c r="F8793" s="14" t="s">
        <v>1283</v>
      </c>
      <c r="G8793" s="14" t="s">
        <v>54509</v>
      </c>
      <c r="H8793" s="15">
        <v>5.0</v>
      </c>
      <c r="I8793" s="15">
        <v>15.0</v>
      </c>
      <c r="J8793" s="15">
        <v>1.0</v>
      </c>
      <c r="K8793" s="15">
        <v>7.0</v>
      </c>
      <c r="L8793" s="16" t="s">
        <v>54414</v>
      </c>
      <c r="M8793" s="14" t="s">
        <v>54510</v>
      </c>
      <c r="N8793" s="14" t="s">
        <v>4232</v>
      </c>
      <c r="O8793" s="16" t="s">
        <v>4233</v>
      </c>
      <c r="P8793" s="14" t="s">
        <v>25467</v>
      </c>
      <c r="Q8793" s="14" t="s">
        <v>31</v>
      </c>
      <c r="R8793" s="14" t="s">
        <v>4236</v>
      </c>
      <c r="S8793" s="16" t="s">
        <v>13212</v>
      </c>
      <c r="T8793" s="14" t="s">
        <v>66</v>
      </c>
      <c r="U8793" s="16" t="s">
        <v>31</v>
      </c>
      <c r="V8793" s="14" t="s">
        <v>54501</v>
      </c>
      <c r="W8793" s="14" t="s">
        <v>54412</v>
      </c>
      <c r="X8793" s="17" t="str">
        <f>HYPERLINK("https://my.pitchbook.com?p=82626-31P","View People Online")</f>
        <v>View People Online</v>
      </c>
    </row>
    <row r="8794">
      <c r="A8794" s="2" t="s">
        <v>54511</v>
      </c>
      <c r="B8794" s="2" t="s">
        <v>54512</v>
      </c>
      <c r="C8794" s="2" t="s">
        <v>5120</v>
      </c>
      <c r="D8794" s="2" t="s">
        <v>34615</v>
      </c>
      <c r="E8794" s="2" t="s">
        <v>54412</v>
      </c>
      <c r="F8794" s="2" t="s">
        <v>221</v>
      </c>
      <c r="G8794" s="2" t="s">
        <v>54513</v>
      </c>
      <c r="H8794" s="3" t="s">
        <v>31</v>
      </c>
      <c r="I8794" s="3">
        <v>1.0</v>
      </c>
      <c r="J8794" s="3">
        <v>1.0</v>
      </c>
      <c r="K8794" s="3" t="s">
        <v>31</v>
      </c>
      <c r="L8794" s="4" t="s">
        <v>54414</v>
      </c>
      <c r="M8794" s="2" t="s">
        <v>54514</v>
      </c>
      <c r="N8794" s="2" t="s">
        <v>4232</v>
      </c>
      <c r="O8794" s="4" t="s">
        <v>4233</v>
      </c>
      <c r="P8794" s="2" t="s">
        <v>25467</v>
      </c>
      <c r="Q8794" s="2" t="s">
        <v>31</v>
      </c>
      <c r="R8794" s="2" t="s">
        <v>4236</v>
      </c>
      <c r="S8794" s="4" t="s">
        <v>13212</v>
      </c>
      <c r="T8794" s="2" t="s">
        <v>66</v>
      </c>
      <c r="U8794" s="4" t="s">
        <v>31</v>
      </c>
      <c r="V8794" s="2" t="s">
        <v>54465</v>
      </c>
      <c r="W8794" s="2" t="s">
        <v>54412</v>
      </c>
      <c r="X8794" s="5" t="str">
        <f>HYPERLINK("https://my.pitchbook.com?p=354622-78P","View People Online")</f>
        <v>View People Online</v>
      </c>
    </row>
    <row r="8795">
      <c r="A8795" s="6" t="s">
        <v>54515</v>
      </c>
      <c r="B8795" s="6" t="s">
        <v>54516</v>
      </c>
      <c r="C8795" s="6" t="s">
        <v>5120</v>
      </c>
      <c r="D8795" s="6" t="s">
        <v>54517</v>
      </c>
      <c r="E8795" s="6" t="s">
        <v>54412</v>
      </c>
      <c r="F8795" s="6" t="s">
        <v>371</v>
      </c>
      <c r="G8795" s="6" t="s">
        <v>54518</v>
      </c>
      <c r="H8795" s="7" t="s">
        <v>31</v>
      </c>
      <c r="I8795" s="7">
        <v>1.0</v>
      </c>
      <c r="J8795" s="7">
        <v>1.0</v>
      </c>
      <c r="K8795" s="7" t="s">
        <v>31</v>
      </c>
      <c r="L8795" s="8" t="s">
        <v>54414</v>
      </c>
      <c r="M8795" s="6" t="s">
        <v>54519</v>
      </c>
      <c r="N8795" s="6" t="s">
        <v>4232</v>
      </c>
      <c r="O8795" s="8" t="s">
        <v>4233</v>
      </c>
      <c r="P8795" s="6" t="s">
        <v>25467</v>
      </c>
      <c r="Q8795" s="6" t="s">
        <v>31</v>
      </c>
      <c r="R8795" s="6" t="s">
        <v>4236</v>
      </c>
      <c r="S8795" s="8" t="s">
        <v>13212</v>
      </c>
      <c r="T8795" s="6" t="s">
        <v>66</v>
      </c>
      <c r="U8795" s="8" t="s">
        <v>31</v>
      </c>
      <c r="V8795" s="6" t="s">
        <v>54520</v>
      </c>
      <c r="W8795" s="6" t="s">
        <v>54412</v>
      </c>
      <c r="X8795" s="9" t="str">
        <f>HYPERLINK("https://my.pitchbook.com?p=322206-31P","View People Online")</f>
        <v>View People Online</v>
      </c>
    </row>
    <row r="8796">
      <c r="A8796" s="10" t="s">
        <v>54521</v>
      </c>
      <c r="B8796" s="10" t="s">
        <v>54522</v>
      </c>
      <c r="C8796" s="10" t="s">
        <v>6050</v>
      </c>
      <c r="D8796" s="10" t="s">
        <v>54523</v>
      </c>
      <c r="E8796" s="10" t="s">
        <v>54412</v>
      </c>
      <c r="F8796" s="10" t="s">
        <v>318</v>
      </c>
      <c r="G8796" s="10" t="s">
        <v>54524</v>
      </c>
      <c r="H8796" s="11">
        <v>1.0</v>
      </c>
      <c r="I8796" s="11">
        <v>2.0</v>
      </c>
      <c r="J8796" s="11">
        <v>1.0</v>
      </c>
      <c r="K8796" s="11" t="s">
        <v>31</v>
      </c>
      <c r="L8796" s="12" t="s">
        <v>54414</v>
      </c>
      <c r="M8796" s="10" t="s">
        <v>54525</v>
      </c>
      <c r="N8796" s="10" t="s">
        <v>4232</v>
      </c>
      <c r="O8796" s="12" t="s">
        <v>4233</v>
      </c>
      <c r="P8796" s="10" t="s">
        <v>25467</v>
      </c>
      <c r="Q8796" s="10" t="s">
        <v>31</v>
      </c>
      <c r="R8796" s="10" t="s">
        <v>4236</v>
      </c>
      <c r="S8796" s="12" t="s">
        <v>13212</v>
      </c>
      <c r="T8796" s="10" t="s">
        <v>66</v>
      </c>
      <c r="U8796" s="12" t="s">
        <v>31</v>
      </c>
      <c r="V8796" s="10" t="s">
        <v>54526</v>
      </c>
      <c r="W8796" s="10" t="s">
        <v>54412</v>
      </c>
      <c r="X8796" s="13" t="str">
        <f>HYPERLINK("https://my.pitchbook.com?p=377475-31P","View People Online")</f>
        <v>View People Online</v>
      </c>
    </row>
    <row r="8797">
      <c r="A8797" s="6" t="s">
        <v>54527</v>
      </c>
      <c r="B8797" s="6" t="s">
        <v>54528</v>
      </c>
      <c r="C8797" s="6" t="s">
        <v>3846</v>
      </c>
      <c r="D8797" s="6" t="s">
        <v>14935</v>
      </c>
      <c r="E8797" s="6" t="s">
        <v>54412</v>
      </c>
      <c r="F8797" s="6" t="s">
        <v>4406</v>
      </c>
      <c r="G8797" s="6" t="s">
        <v>54529</v>
      </c>
      <c r="H8797" s="7" t="s">
        <v>31</v>
      </c>
      <c r="I8797" s="7">
        <v>1.0</v>
      </c>
      <c r="J8797" s="7">
        <v>1.0</v>
      </c>
      <c r="K8797" s="7" t="s">
        <v>31</v>
      </c>
      <c r="L8797" s="8" t="s">
        <v>54414</v>
      </c>
      <c r="M8797" s="6" t="s">
        <v>54530</v>
      </c>
      <c r="N8797" s="6" t="s">
        <v>4232</v>
      </c>
      <c r="O8797" s="8" t="s">
        <v>4233</v>
      </c>
      <c r="P8797" s="6" t="s">
        <v>25467</v>
      </c>
      <c r="Q8797" s="6" t="s">
        <v>31</v>
      </c>
      <c r="R8797" s="6" t="s">
        <v>4236</v>
      </c>
      <c r="S8797" s="8" t="s">
        <v>13212</v>
      </c>
      <c r="T8797" s="6" t="s">
        <v>66</v>
      </c>
      <c r="U8797" s="8" t="s">
        <v>31</v>
      </c>
      <c r="V8797" s="6" t="s">
        <v>4406</v>
      </c>
      <c r="W8797" s="6" t="s">
        <v>54412</v>
      </c>
      <c r="X8797" s="9" t="str">
        <f>HYPERLINK("https://my.pitchbook.com?p=75223-63P","View People Online")</f>
        <v>View People Online</v>
      </c>
    </row>
    <row r="8798">
      <c r="A8798" s="2" t="s">
        <v>54531</v>
      </c>
      <c r="B8798" s="2" t="s">
        <v>54532</v>
      </c>
      <c r="C8798" s="2" t="s">
        <v>4505</v>
      </c>
      <c r="D8798" s="2" t="s">
        <v>54533</v>
      </c>
      <c r="E8798" s="2" t="s">
        <v>54412</v>
      </c>
      <c r="F8798" s="2" t="s">
        <v>221</v>
      </c>
      <c r="G8798" s="2" t="s">
        <v>54534</v>
      </c>
      <c r="H8798" s="3" t="s">
        <v>31</v>
      </c>
      <c r="I8798" s="3">
        <v>1.0</v>
      </c>
      <c r="J8798" s="3">
        <v>1.0</v>
      </c>
      <c r="K8798" s="3" t="s">
        <v>31</v>
      </c>
      <c r="L8798" s="4" t="s">
        <v>54414</v>
      </c>
      <c r="M8798" s="2" t="s">
        <v>54535</v>
      </c>
      <c r="N8798" s="2" t="s">
        <v>4232</v>
      </c>
      <c r="O8798" s="4" t="s">
        <v>4233</v>
      </c>
      <c r="P8798" s="2" t="s">
        <v>25467</v>
      </c>
      <c r="Q8798" s="2" t="s">
        <v>31</v>
      </c>
      <c r="R8798" s="2" t="s">
        <v>4236</v>
      </c>
      <c r="S8798" s="4" t="s">
        <v>13212</v>
      </c>
      <c r="T8798" s="2" t="s">
        <v>66</v>
      </c>
      <c r="U8798" s="4" t="s">
        <v>31</v>
      </c>
      <c r="V8798" s="2" t="s">
        <v>54536</v>
      </c>
      <c r="W8798" s="2" t="s">
        <v>54412</v>
      </c>
      <c r="X8798" s="5" t="str">
        <f>HYPERLINK("https://my.pitchbook.com?p=266781-16P","View People Online")</f>
        <v>View People Online</v>
      </c>
    </row>
    <row r="8799">
      <c r="A8799" s="14" t="s">
        <v>54537</v>
      </c>
      <c r="B8799" s="14" t="s">
        <v>54538</v>
      </c>
      <c r="C8799" s="14" t="s">
        <v>160</v>
      </c>
      <c r="D8799" s="14" t="s">
        <v>15840</v>
      </c>
      <c r="E8799" s="14" t="s">
        <v>54412</v>
      </c>
      <c r="F8799" s="14" t="s">
        <v>1283</v>
      </c>
      <c r="G8799" s="14" t="s">
        <v>54539</v>
      </c>
      <c r="H8799" s="15">
        <v>5.0</v>
      </c>
      <c r="I8799" s="15">
        <v>28.0</v>
      </c>
      <c r="J8799" s="15">
        <v>1.0</v>
      </c>
      <c r="K8799" s="15">
        <v>18.0</v>
      </c>
      <c r="L8799" s="16" t="s">
        <v>54414</v>
      </c>
      <c r="M8799" s="14" t="s">
        <v>54540</v>
      </c>
      <c r="N8799" s="14" t="s">
        <v>4232</v>
      </c>
      <c r="O8799" s="16" t="s">
        <v>4233</v>
      </c>
      <c r="P8799" s="14" t="s">
        <v>25467</v>
      </c>
      <c r="Q8799" s="14" t="s">
        <v>31</v>
      </c>
      <c r="R8799" s="14" t="s">
        <v>4236</v>
      </c>
      <c r="S8799" s="16" t="s">
        <v>13212</v>
      </c>
      <c r="T8799" s="14" t="s">
        <v>66</v>
      </c>
      <c r="U8799" s="16" t="s">
        <v>31</v>
      </c>
      <c r="V8799" s="14" t="s">
        <v>54541</v>
      </c>
      <c r="W8799" s="14" t="s">
        <v>54412</v>
      </c>
      <c r="X8799" s="17" t="str">
        <f>HYPERLINK("https://my.pitchbook.com?p=112597-39P","View People Online")</f>
        <v>View People Online</v>
      </c>
    </row>
    <row r="8800">
      <c r="A8800" s="10" t="s">
        <v>54542</v>
      </c>
      <c r="B8800" s="10" t="s">
        <v>54543</v>
      </c>
      <c r="C8800" s="10" t="s">
        <v>126</v>
      </c>
      <c r="D8800" s="10" t="s">
        <v>54544</v>
      </c>
      <c r="E8800" s="10" t="s">
        <v>54412</v>
      </c>
      <c r="F8800" s="10" t="s">
        <v>371</v>
      </c>
      <c r="G8800" s="10" t="s">
        <v>54545</v>
      </c>
      <c r="H8800" s="11" t="s">
        <v>31</v>
      </c>
      <c r="I8800" s="11">
        <v>1.0</v>
      </c>
      <c r="J8800" s="11">
        <v>1.0</v>
      </c>
      <c r="K8800" s="11" t="s">
        <v>31</v>
      </c>
      <c r="L8800" s="12" t="s">
        <v>54414</v>
      </c>
      <c r="M8800" s="10" t="s">
        <v>54546</v>
      </c>
      <c r="N8800" s="10" t="s">
        <v>4232</v>
      </c>
      <c r="O8800" s="12" t="s">
        <v>4233</v>
      </c>
      <c r="P8800" s="10" t="s">
        <v>25467</v>
      </c>
      <c r="Q8800" s="10" t="s">
        <v>31</v>
      </c>
      <c r="R8800" s="10" t="s">
        <v>4236</v>
      </c>
      <c r="S8800" s="12" t="s">
        <v>13212</v>
      </c>
      <c r="T8800" s="10" t="s">
        <v>66</v>
      </c>
      <c r="U8800" s="12" t="s">
        <v>31</v>
      </c>
      <c r="V8800" s="10" t="s">
        <v>54547</v>
      </c>
      <c r="W8800" s="10" t="s">
        <v>54412</v>
      </c>
      <c r="X8800" s="13" t="str">
        <f>HYPERLINK("https://my.pitchbook.com?p=306554-59P","View People Online")</f>
        <v>View People Online</v>
      </c>
    </row>
    <row r="8801">
      <c r="A8801" s="14" t="s">
        <v>54548</v>
      </c>
      <c r="B8801" s="14" t="s">
        <v>54549</v>
      </c>
      <c r="C8801" s="14" t="s">
        <v>126</v>
      </c>
      <c r="D8801" s="14" t="s">
        <v>54550</v>
      </c>
      <c r="E8801" s="14" t="s">
        <v>54412</v>
      </c>
      <c r="F8801" s="14" t="s">
        <v>201</v>
      </c>
      <c r="G8801" s="14" t="s">
        <v>54551</v>
      </c>
      <c r="H8801" s="15" t="s">
        <v>31</v>
      </c>
      <c r="I8801" s="15">
        <v>1.0</v>
      </c>
      <c r="J8801" s="15">
        <v>1.0</v>
      </c>
      <c r="K8801" s="15" t="s">
        <v>31</v>
      </c>
      <c r="L8801" s="16" t="s">
        <v>54414</v>
      </c>
      <c r="M8801" s="14" t="s">
        <v>54552</v>
      </c>
      <c r="N8801" s="14" t="s">
        <v>4232</v>
      </c>
      <c r="O8801" s="16" t="s">
        <v>4233</v>
      </c>
      <c r="P8801" s="14" t="s">
        <v>25467</v>
      </c>
      <c r="Q8801" s="14" t="s">
        <v>31</v>
      </c>
      <c r="R8801" s="14" t="s">
        <v>4236</v>
      </c>
      <c r="S8801" s="16" t="s">
        <v>13212</v>
      </c>
      <c r="T8801" s="14" t="s">
        <v>66</v>
      </c>
      <c r="U8801" s="16" t="s">
        <v>31</v>
      </c>
      <c r="V8801" s="14" t="s">
        <v>54553</v>
      </c>
      <c r="W8801" s="14" t="s">
        <v>54412</v>
      </c>
      <c r="X8801" s="17" t="str">
        <f>HYPERLINK("https://my.pitchbook.com?p=343227-52P","View People Online")</f>
        <v>View People Online</v>
      </c>
    </row>
    <row r="8802">
      <c r="A8802" s="2" t="s">
        <v>54554</v>
      </c>
      <c r="B8802" s="2" t="s">
        <v>54555</v>
      </c>
      <c r="C8802" s="2" t="s">
        <v>4033</v>
      </c>
      <c r="D8802" s="2" t="s">
        <v>13961</v>
      </c>
      <c r="E8802" s="2" t="s">
        <v>54412</v>
      </c>
      <c r="F8802" s="2" t="s">
        <v>221</v>
      </c>
      <c r="G8802" s="2" t="s">
        <v>54556</v>
      </c>
      <c r="H8802" s="3" t="s">
        <v>31</v>
      </c>
      <c r="I8802" s="3">
        <v>1.0</v>
      </c>
      <c r="J8802" s="3">
        <v>1.0</v>
      </c>
      <c r="K8802" s="3" t="s">
        <v>31</v>
      </c>
      <c r="L8802" s="4" t="s">
        <v>54414</v>
      </c>
      <c r="M8802" s="2" t="s">
        <v>54557</v>
      </c>
      <c r="N8802" s="2" t="s">
        <v>4232</v>
      </c>
      <c r="O8802" s="4" t="s">
        <v>4233</v>
      </c>
      <c r="P8802" s="2" t="s">
        <v>25467</v>
      </c>
      <c r="Q8802" s="2" t="s">
        <v>31</v>
      </c>
      <c r="R8802" s="2" t="s">
        <v>4236</v>
      </c>
      <c r="S8802" s="4" t="s">
        <v>13212</v>
      </c>
      <c r="T8802" s="2" t="s">
        <v>66</v>
      </c>
      <c r="U8802" s="4" t="s">
        <v>31</v>
      </c>
      <c r="V8802" s="2" t="s">
        <v>54558</v>
      </c>
      <c r="W8802" s="2" t="s">
        <v>54412</v>
      </c>
      <c r="X8802" s="5" t="str">
        <f>HYPERLINK("https://my.pitchbook.com?p=343227-97P","View People Online")</f>
        <v>View People Online</v>
      </c>
    </row>
    <row r="8803">
      <c r="A8803" s="6" t="s">
        <v>54559</v>
      </c>
      <c r="B8803" s="6" t="s">
        <v>54560</v>
      </c>
      <c r="C8803" s="6" t="s">
        <v>1807</v>
      </c>
      <c r="D8803" s="6" t="s">
        <v>13512</v>
      </c>
      <c r="E8803" s="6" t="s">
        <v>54412</v>
      </c>
      <c r="F8803" s="6" t="s">
        <v>318</v>
      </c>
      <c r="G8803" s="6" t="s">
        <v>54561</v>
      </c>
      <c r="H8803" s="7">
        <v>1.0</v>
      </c>
      <c r="I8803" s="7">
        <v>4.0</v>
      </c>
      <c r="J8803" s="7">
        <v>1.0</v>
      </c>
      <c r="K8803" s="7">
        <v>1.0</v>
      </c>
      <c r="L8803" s="8" t="s">
        <v>54414</v>
      </c>
      <c r="M8803" s="6" t="s">
        <v>54562</v>
      </c>
      <c r="N8803" s="6" t="s">
        <v>4232</v>
      </c>
      <c r="O8803" s="8" t="s">
        <v>4233</v>
      </c>
      <c r="P8803" s="6" t="s">
        <v>25467</v>
      </c>
      <c r="Q8803" s="6" t="s">
        <v>31</v>
      </c>
      <c r="R8803" s="6" t="s">
        <v>4236</v>
      </c>
      <c r="S8803" s="8" t="s">
        <v>13212</v>
      </c>
      <c r="T8803" s="6" t="s">
        <v>66</v>
      </c>
      <c r="U8803" s="8" t="s">
        <v>31</v>
      </c>
      <c r="V8803" s="6" t="s">
        <v>318</v>
      </c>
      <c r="W8803" s="6" t="s">
        <v>54412</v>
      </c>
      <c r="X8803" s="9" t="str">
        <f>HYPERLINK("https://my.pitchbook.com?p=197412-04P","View People Online")</f>
        <v>View People Online</v>
      </c>
    </row>
    <row r="8804">
      <c r="A8804" s="2" t="s">
        <v>54563</v>
      </c>
      <c r="B8804" s="2" t="s">
        <v>54564</v>
      </c>
      <c r="C8804" s="2" t="s">
        <v>54565</v>
      </c>
      <c r="D8804" s="2" t="s">
        <v>2659</v>
      </c>
      <c r="E8804" s="2" t="s">
        <v>54412</v>
      </c>
      <c r="F8804" s="2" t="s">
        <v>221</v>
      </c>
      <c r="G8804" s="2" t="s">
        <v>54566</v>
      </c>
      <c r="H8804" s="3" t="s">
        <v>31</v>
      </c>
      <c r="I8804" s="3">
        <v>1.0</v>
      </c>
      <c r="J8804" s="3">
        <v>1.0</v>
      </c>
      <c r="K8804" s="3" t="s">
        <v>31</v>
      </c>
      <c r="L8804" s="4" t="s">
        <v>54414</v>
      </c>
      <c r="M8804" s="2" t="s">
        <v>54567</v>
      </c>
      <c r="N8804" s="2" t="s">
        <v>4232</v>
      </c>
      <c r="O8804" s="4" t="s">
        <v>4233</v>
      </c>
      <c r="P8804" s="2" t="s">
        <v>25467</v>
      </c>
      <c r="Q8804" s="2" t="s">
        <v>31</v>
      </c>
      <c r="R8804" s="2" t="s">
        <v>4236</v>
      </c>
      <c r="S8804" s="4" t="s">
        <v>13212</v>
      </c>
      <c r="T8804" s="2" t="s">
        <v>66</v>
      </c>
      <c r="U8804" s="4" t="s">
        <v>31</v>
      </c>
      <c r="V8804" s="2" t="s">
        <v>54568</v>
      </c>
      <c r="W8804" s="2" t="s">
        <v>54412</v>
      </c>
      <c r="X8804" s="5" t="str">
        <f>HYPERLINK("https://my.pitchbook.com?p=377476-93P","View People Online")</f>
        <v>View People Online</v>
      </c>
    </row>
    <row r="8805">
      <c r="A8805" s="6" t="s">
        <v>54569</v>
      </c>
      <c r="B8805" s="6" t="s">
        <v>54570</v>
      </c>
      <c r="C8805" s="6" t="s">
        <v>20056</v>
      </c>
      <c r="D8805" s="6" t="s">
        <v>54571</v>
      </c>
      <c r="E8805" s="6" t="s">
        <v>54412</v>
      </c>
      <c r="F8805" s="6" t="s">
        <v>371</v>
      </c>
      <c r="G8805" s="6" t="s">
        <v>54572</v>
      </c>
      <c r="H8805" s="7" t="s">
        <v>31</v>
      </c>
      <c r="I8805" s="7">
        <v>1.0</v>
      </c>
      <c r="J8805" s="7">
        <v>1.0</v>
      </c>
      <c r="K8805" s="7" t="s">
        <v>31</v>
      </c>
      <c r="L8805" s="8" t="s">
        <v>54414</v>
      </c>
      <c r="M8805" s="6" t="s">
        <v>54573</v>
      </c>
      <c r="N8805" s="6" t="s">
        <v>4232</v>
      </c>
      <c r="O8805" s="8" t="s">
        <v>4233</v>
      </c>
      <c r="P8805" s="6" t="s">
        <v>25467</v>
      </c>
      <c r="Q8805" s="6" t="s">
        <v>31</v>
      </c>
      <c r="R8805" s="6" t="s">
        <v>4236</v>
      </c>
      <c r="S8805" s="8" t="s">
        <v>13212</v>
      </c>
      <c r="T8805" s="6" t="s">
        <v>66</v>
      </c>
      <c r="U8805" s="8" t="s">
        <v>31</v>
      </c>
      <c r="V8805" s="6" t="s">
        <v>54574</v>
      </c>
      <c r="W8805" s="6" t="s">
        <v>54412</v>
      </c>
      <c r="X8805" s="9" t="str">
        <f>HYPERLINK("https://my.pitchbook.com?p=343229-05P","View People Online")</f>
        <v>View People Online</v>
      </c>
    </row>
    <row r="8806">
      <c r="A8806" s="2" t="s">
        <v>54575</v>
      </c>
      <c r="B8806" s="2" t="s">
        <v>54576</v>
      </c>
      <c r="C8806" s="2" t="s">
        <v>20078</v>
      </c>
      <c r="D8806" s="2" t="s">
        <v>18808</v>
      </c>
      <c r="E8806" s="2" t="s">
        <v>54412</v>
      </c>
      <c r="F8806" s="2" t="s">
        <v>270</v>
      </c>
      <c r="G8806" s="2" t="s">
        <v>54577</v>
      </c>
      <c r="H8806" s="3" t="s">
        <v>31</v>
      </c>
      <c r="I8806" s="3">
        <v>1.0</v>
      </c>
      <c r="J8806" s="3">
        <v>1.0</v>
      </c>
      <c r="K8806" s="3" t="s">
        <v>31</v>
      </c>
      <c r="L8806" s="4" t="s">
        <v>54578</v>
      </c>
      <c r="M8806" s="2" t="s">
        <v>31</v>
      </c>
      <c r="N8806" s="2" t="s">
        <v>4232</v>
      </c>
      <c r="O8806" s="4" t="s">
        <v>4233</v>
      </c>
      <c r="P8806" s="2" t="s">
        <v>25467</v>
      </c>
      <c r="Q8806" s="2" t="s">
        <v>31</v>
      </c>
      <c r="R8806" s="2" t="s">
        <v>4236</v>
      </c>
      <c r="S8806" s="4" t="s">
        <v>13212</v>
      </c>
      <c r="T8806" s="2" t="s">
        <v>66</v>
      </c>
      <c r="U8806" s="4" t="s">
        <v>31</v>
      </c>
      <c r="V8806" s="2" t="s">
        <v>54579</v>
      </c>
      <c r="W8806" s="2" t="s">
        <v>54412</v>
      </c>
      <c r="X8806" s="5" t="str">
        <f>HYPERLINK("https://my.pitchbook.com?p=15588-73P","View People Online")</f>
        <v>View People Online</v>
      </c>
    </row>
    <row r="8807">
      <c r="A8807" s="14" t="s">
        <v>54580</v>
      </c>
      <c r="B8807" s="14" t="s">
        <v>54581</v>
      </c>
      <c r="C8807" s="14" t="s">
        <v>54582</v>
      </c>
      <c r="D8807" s="14" t="s">
        <v>54583</v>
      </c>
      <c r="E8807" s="14" t="s">
        <v>54412</v>
      </c>
      <c r="F8807" s="14" t="s">
        <v>201</v>
      </c>
      <c r="G8807" s="14" t="s">
        <v>54584</v>
      </c>
      <c r="H8807" s="15" t="s">
        <v>31</v>
      </c>
      <c r="I8807" s="15">
        <v>1.0</v>
      </c>
      <c r="J8807" s="15">
        <v>1.0</v>
      </c>
      <c r="K8807" s="15" t="s">
        <v>31</v>
      </c>
      <c r="L8807" s="16" t="s">
        <v>54414</v>
      </c>
      <c r="M8807" s="14" t="s">
        <v>54585</v>
      </c>
      <c r="N8807" s="14" t="s">
        <v>4232</v>
      </c>
      <c r="O8807" s="16" t="s">
        <v>4233</v>
      </c>
      <c r="P8807" s="14" t="s">
        <v>25467</v>
      </c>
      <c r="Q8807" s="14" t="s">
        <v>31</v>
      </c>
      <c r="R8807" s="14" t="s">
        <v>4236</v>
      </c>
      <c r="S8807" s="16" t="s">
        <v>13212</v>
      </c>
      <c r="T8807" s="14" t="s">
        <v>66</v>
      </c>
      <c r="U8807" s="16" t="s">
        <v>31</v>
      </c>
      <c r="V8807" s="14" t="s">
        <v>54586</v>
      </c>
      <c r="W8807" s="14" t="s">
        <v>54412</v>
      </c>
      <c r="X8807" s="17" t="str">
        <f>HYPERLINK("https://my.pitchbook.com?p=266780-62P","View People Online")</f>
        <v>View People Online</v>
      </c>
    </row>
    <row r="8808">
      <c r="A8808" s="2" t="s">
        <v>54587</v>
      </c>
      <c r="B8808" s="2" t="s">
        <v>54588</v>
      </c>
      <c r="C8808" s="2" t="s">
        <v>6791</v>
      </c>
      <c r="D8808" s="2" t="s">
        <v>2014</v>
      </c>
      <c r="E8808" s="2" t="s">
        <v>54412</v>
      </c>
      <c r="F8808" s="2" t="s">
        <v>221</v>
      </c>
      <c r="G8808" s="2" t="s">
        <v>54589</v>
      </c>
      <c r="H8808" s="3" t="s">
        <v>31</v>
      </c>
      <c r="I8808" s="3">
        <v>1.0</v>
      </c>
      <c r="J8808" s="3">
        <v>1.0</v>
      </c>
      <c r="K8808" s="3" t="s">
        <v>31</v>
      </c>
      <c r="L8808" s="4" t="s">
        <v>54414</v>
      </c>
      <c r="M8808" s="2" t="s">
        <v>54590</v>
      </c>
      <c r="N8808" s="2" t="s">
        <v>4232</v>
      </c>
      <c r="O8808" s="4" t="s">
        <v>4233</v>
      </c>
      <c r="P8808" s="2" t="s">
        <v>25467</v>
      </c>
      <c r="Q8808" s="2" t="s">
        <v>31</v>
      </c>
      <c r="R8808" s="2" t="s">
        <v>4236</v>
      </c>
      <c r="S8808" s="4" t="s">
        <v>13212</v>
      </c>
      <c r="T8808" s="2" t="s">
        <v>66</v>
      </c>
      <c r="U8808" s="4" t="s">
        <v>31</v>
      </c>
      <c r="V8808" s="2" t="s">
        <v>54591</v>
      </c>
      <c r="W8808" s="2" t="s">
        <v>54412</v>
      </c>
      <c r="X8808" s="5" t="str">
        <f>HYPERLINK("https://my.pitchbook.com?p=343229-95P","View People Online")</f>
        <v>View People Online</v>
      </c>
    </row>
    <row r="8809">
      <c r="A8809" s="6" t="s">
        <v>54592</v>
      </c>
      <c r="B8809" s="6" t="s">
        <v>54593</v>
      </c>
      <c r="C8809" s="6" t="s">
        <v>2398</v>
      </c>
      <c r="D8809" s="6" t="s">
        <v>54594</v>
      </c>
      <c r="E8809" s="6" t="s">
        <v>54412</v>
      </c>
      <c r="F8809" s="6" t="s">
        <v>318</v>
      </c>
      <c r="G8809" s="6" t="s">
        <v>54595</v>
      </c>
      <c r="H8809" s="7">
        <v>1.0</v>
      </c>
      <c r="I8809" s="7">
        <v>4.0</v>
      </c>
      <c r="J8809" s="7">
        <v>1.0</v>
      </c>
      <c r="K8809" s="7">
        <v>2.0</v>
      </c>
      <c r="L8809" s="8" t="s">
        <v>54414</v>
      </c>
      <c r="M8809" s="6" t="s">
        <v>54596</v>
      </c>
      <c r="N8809" s="6" t="s">
        <v>4232</v>
      </c>
      <c r="O8809" s="8" t="s">
        <v>4233</v>
      </c>
      <c r="P8809" s="6" t="s">
        <v>25467</v>
      </c>
      <c r="Q8809" s="6" t="s">
        <v>31</v>
      </c>
      <c r="R8809" s="6" t="s">
        <v>4236</v>
      </c>
      <c r="S8809" s="8" t="s">
        <v>13212</v>
      </c>
      <c r="T8809" s="6" t="s">
        <v>66</v>
      </c>
      <c r="U8809" s="8" t="s">
        <v>31</v>
      </c>
      <c r="V8809" s="6" t="s">
        <v>54597</v>
      </c>
      <c r="W8809" s="6" t="s">
        <v>54412</v>
      </c>
      <c r="X8809" s="9" t="str">
        <f>HYPERLINK("https://my.pitchbook.com?p=173908-90P","View People Online")</f>
        <v>View People Online</v>
      </c>
    </row>
    <row r="8810">
      <c r="A8810" s="2" t="s">
        <v>54598</v>
      </c>
      <c r="B8810" s="2" t="s">
        <v>54599</v>
      </c>
      <c r="C8810" s="2" t="s">
        <v>54600</v>
      </c>
      <c r="D8810" s="2" t="s">
        <v>16693</v>
      </c>
      <c r="E8810" s="2" t="s">
        <v>54412</v>
      </c>
      <c r="F8810" s="2" t="s">
        <v>57</v>
      </c>
      <c r="G8810" s="2" t="s">
        <v>54601</v>
      </c>
      <c r="H8810" s="3">
        <v>13.0</v>
      </c>
      <c r="I8810" s="3">
        <v>70.0</v>
      </c>
      <c r="J8810" s="3">
        <v>2.0</v>
      </c>
      <c r="K8810" s="3">
        <v>49.0</v>
      </c>
      <c r="L8810" s="4" t="s">
        <v>54414</v>
      </c>
      <c r="M8810" s="2" t="s">
        <v>54602</v>
      </c>
      <c r="N8810" s="2" t="s">
        <v>4232</v>
      </c>
      <c r="O8810" s="4" t="s">
        <v>4233</v>
      </c>
      <c r="P8810" s="2" t="s">
        <v>25467</v>
      </c>
      <c r="Q8810" s="2" t="s">
        <v>31</v>
      </c>
      <c r="R8810" s="2" t="s">
        <v>4236</v>
      </c>
      <c r="S8810" s="4" t="s">
        <v>13212</v>
      </c>
      <c r="T8810" s="2" t="s">
        <v>66</v>
      </c>
      <c r="U8810" s="4" t="s">
        <v>31</v>
      </c>
      <c r="V8810" s="2" t="s">
        <v>57</v>
      </c>
      <c r="W8810" s="2" t="s">
        <v>54412</v>
      </c>
      <c r="X8810" s="5" t="str">
        <f>HYPERLINK("https://my.pitchbook.com?p=35360-74P","View People Online")</f>
        <v>View People Online</v>
      </c>
    </row>
    <row r="8811">
      <c r="A8811" s="6" t="s">
        <v>54603</v>
      </c>
      <c r="B8811" s="6" t="s">
        <v>54604</v>
      </c>
      <c r="C8811" s="6" t="s">
        <v>48618</v>
      </c>
      <c r="D8811" s="6" t="s">
        <v>54605</v>
      </c>
      <c r="E8811" s="6" t="s">
        <v>54412</v>
      </c>
      <c r="F8811" s="6" t="s">
        <v>5234</v>
      </c>
      <c r="G8811" s="6" t="s">
        <v>54606</v>
      </c>
      <c r="H8811" s="7" t="s">
        <v>31</v>
      </c>
      <c r="I8811" s="7">
        <v>1.0</v>
      </c>
      <c r="J8811" s="7">
        <v>1.0</v>
      </c>
      <c r="K8811" s="7" t="s">
        <v>31</v>
      </c>
      <c r="L8811" s="8" t="s">
        <v>54414</v>
      </c>
      <c r="M8811" s="6" t="s">
        <v>54607</v>
      </c>
      <c r="N8811" s="6" t="s">
        <v>4232</v>
      </c>
      <c r="O8811" s="8" t="s">
        <v>4233</v>
      </c>
      <c r="P8811" s="6" t="s">
        <v>25467</v>
      </c>
      <c r="Q8811" s="6" t="s">
        <v>31</v>
      </c>
      <c r="R8811" s="6" t="s">
        <v>4236</v>
      </c>
      <c r="S8811" s="8" t="s">
        <v>13212</v>
      </c>
      <c r="T8811" s="6" t="s">
        <v>66</v>
      </c>
      <c r="U8811" s="8" t="s">
        <v>31</v>
      </c>
      <c r="V8811" s="6" t="s">
        <v>5234</v>
      </c>
      <c r="W8811" s="6" t="s">
        <v>54412</v>
      </c>
      <c r="X8811" s="9" t="str">
        <f>HYPERLINK("https://my.pitchbook.com?p=266726-44P","View People Online")</f>
        <v>View People Online</v>
      </c>
    </row>
    <row r="8812">
      <c r="A8812" s="2" t="s">
        <v>54608</v>
      </c>
      <c r="B8812" s="2" t="s">
        <v>54609</v>
      </c>
      <c r="C8812" s="2" t="s">
        <v>9987</v>
      </c>
      <c r="D8812" s="2" t="s">
        <v>54610</v>
      </c>
      <c r="E8812" s="2" t="s">
        <v>54412</v>
      </c>
      <c r="F8812" s="2" t="s">
        <v>54611</v>
      </c>
      <c r="G8812" s="2" t="s">
        <v>54612</v>
      </c>
      <c r="H8812" s="3">
        <v>7.0</v>
      </c>
      <c r="I8812" s="3">
        <v>35.0</v>
      </c>
      <c r="J8812" s="3">
        <v>2.0</v>
      </c>
      <c r="K8812" s="3">
        <v>21.0</v>
      </c>
      <c r="L8812" s="4" t="s">
        <v>54414</v>
      </c>
      <c r="M8812" s="2" t="s">
        <v>54613</v>
      </c>
      <c r="N8812" s="2" t="s">
        <v>4232</v>
      </c>
      <c r="O8812" s="4" t="s">
        <v>4233</v>
      </c>
      <c r="P8812" s="2" t="s">
        <v>25467</v>
      </c>
      <c r="Q8812" s="2" t="s">
        <v>31</v>
      </c>
      <c r="R8812" s="2" t="s">
        <v>4236</v>
      </c>
      <c r="S8812" s="4" t="s">
        <v>13212</v>
      </c>
      <c r="T8812" s="2" t="s">
        <v>66</v>
      </c>
      <c r="U8812" s="4" t="s">
        <v>31</v>
      </c>
      <c r="V8812" s="2" t="s">
        <v>54614</v>
      </c>
      <c r="W8812" s="2" t="s">
        <v>54412</v>
      </c>
      <c r="X8812" s="5" t="str">
        <f>HYPERLINK("https://my.pitchbook.com?p=22370-14P","View People Online")</f>
        <v>View People Online</v>
      </c>
    </row>
    <row r="8813">
      <c r="A8813" s="14" t="s">
        <v>54615</v>
      </c>
      <c r="B8813" s="14" t="s">
        <v>54616</v>
      </c>
      <c r="C8813" s="14" t="s">
        <v>54617</v>
      </c>
      <c r="D8813" s="14" t="s">
        <v>54618</v>
      </c>
      <c r="E8813" s="14" t="s">
        <v>54412</v>
      </c>
      <c r="F8813" s="14" t="s">
        <v>26897</v>
      </c>
      <c r="G8813" s="14" t="s">
        <v>54619</v>
      </c>
      <c r="H8813" s="15" t="s">
        <v>31</v>
      </c>
      <c r="I8813" s="15">
        <v>1.0</v>
      </c>
      <c r="J8813" s="15">
        <v>1.0</v>
      </c>
      <c r="K8813" s="15" t="s">
        <v>31</v>
      </c>
      <c r="L8813" s="16" t="s">
        <v>54414</v>
      </c>
      <c r="M8813" s="14" t="s">
        <v>54620</v>
      </c>
      <c r="N8813" s="14" t="s">
        <v>4232</v>
      </c>
      <c r="O8813" s="16" t="s">
        <v>4233</v>
      </c>
      <c r="P8813" s="14" t="s">
        <v>25467</v>
      </c>
      <c r="Q8813" s="14" t="s">
        <v>31</v>
      </c>
      <c r="R8813" s="14" t="s">
        <v>4236</v>
      </c>
      <c r="S8813" s="16" t="s">
        <v>13212</v>
      </c>
      <c r="T8813" s="14" t="s">
        <v>66</v>
      </c>
      <c r="U8813" s="16" t="s">
        <v>31</v>
      </c>
      <c r="V8813" s="14" t="s">
        <v>26897</v>
      </c>
      <c r="W8813" s="14" t="s">
        <v>54412</v>
      </c>
      <c r="X8813" s="17" t="str">
        <f>HYPERLINK("https://my.pitchbook.com?p=324012-79P","View People Online")</f>
        <v>View People Online</v>
      </c>
    </row>
    <row r="8814">
      <c r="A8814" s="10" t="s">
        <v>54621</v>
      </c>
      <c r="B8814" s="10" t="s">
        <v>54622</v>
      </c>
      <c r="C8814" s="10" t="s">
        <v>1929</v>
      </c>
      <c r="D8814" s="10" t="s">
        <v>54623</v>
      </c>
      <c r="E8814" s="10" t="s">
        <v>54624</v>
      </c>
      <c r="F8814" s="10" t="s">
        <v>189</v>
      </c>
      <c r="G8814" s="10" t="s">
        <v>54625</v>
      </c>
      <c r="H8814" s="11" t="s">
        <v>31</v>
      </c>
      <c r="I8814" s="11">
        <v>5.0</v>
      </c>
      <c r="J8814" s="11">
        <v>2.0</v>
      </c>
      <c r="K8814" s="11" t="s">
        <v>31</v>
      </c>
      <c r="L8814" s="12" t="s">
        <v>54626</v>
      </c>
      <c r="M8814" s="10" t="s">
        <v>54627</v>
      </c>
      <c r="N8814" s="10" t="s">
        <v>28269</v>
      </c>
      <c r="O8814" s="12" t="s">
        <v>28270</v>
      </c>
      <c r="P8814" s="10" t="s">
        <v>54628</v>
      </c>
      <c r="Q8814" s="10" t="s">
        <v>54629</v>
      </c>
      <c r="R8814" s="10" t="s">
        <v>10326</v>
      </c>
      <c r="S8814" s="12" t="s">
        <v>41220</v>
      </c>
      <c r="T8814" s="10" t="s">
        <v>66</v>
      </c>
      <c r="U8814" s="12" t="s">
        <v>54630</v>
      </c>
      <c r="V8814" s="10" t="s">
        <v>991</v>
      </c>
      <c r="W8814" s="10" t="s">
        <v>54631</v>
      </c>
      <c r="X8814" s="13" t="str">
        <f>HYPERLINK("https://my.pitchbook.com?p=169456-51P","View People Online")</f>
        <v>View People Online</v>
      </c>
    </row>
    <row r="8815">
      <c r="A8815" s="14" t="s">
        <v>54632</v>
      </c>
      <c r="B8815" s="14" t="s">
        <v>54633</v>
      </c>
      <c r="C8815" s="14" t="s">
        <v>22426</v>
      </c>
      <c r="D8815" s="14" t="s">
        <v>54634</v>
      </c>
      <c r="E8815" s="14" t="s">
        <v>54624</v>
      </c>
      <c r="F8815" s="14" t="s">
        <v>674</v>
      </c>
      <c r="G8815" s="14" t="s">
        <v>54635</v>
      </c>
      <c r="H8815" s="15">
        <v>2.0</v>
      </c>
      <c r="I8815" s="15">
        <v>20.0</v>
      </c>
      <c r="J8815" s="15">
        <v>1.0</v>
      </c>
      <c r="K8815" s="15">
        <v>11.0</v>
      </c>
      <c r="L8815" s="16" t="s">
        <v>54636</v>
      </c>
      <c r="M8815" s="14" t="s">
        <v>54637</v>
      </c>
      <c r="N8815" s="14" t="s">
        <v>1277</v>
      </c>
      <c r="O8815" s="16" t="s">
        <v>1278</v>
      </c>
      <c r="P8815" s="14" t="s">
        <v>31</v>
      </c>
      <c r="Q8815" s="14" t="s">
        <v>31</v>
      </c>
      <c r="R8815" s="14" t="s">
        <v>1281</v>
      </c>
      <c r="S8815" s="16" t="s">
        <v>54638</v>
      </c>
      <c r="T8815" s="14" t="s">
        <v>66</v>
      </c>
      <c r="U8815" s="16" t="s">
        <v>31</v>
      </c>
      <c r="V8815" s="14" t="s">
        <v>1172</v>
      </c>
      <c r="W8815" s="14" t="s">
        <v>54624</v>
      </c>
      <c r="X8815" s="17" t="str">
        <f>HYPERLINK("https://my.pitchbook.com?p=47855-35P","View People Online")</f>
        <v>View People Online</v>
      </c>
    </row>
    <row r="8816">
      <c r="A8816" s="2" t="s">
        <v>54639</v>
      </c>
      <c r="B8816" s="2" t="s">
        <v>54640</v>
      </c>
      <c r="C8816" s="2" t="s">
        <v>4943</v>
      </c>
      <c r="D8816" s="2" t="s">
        <v>54641</v>
      </c>
      <c r="E8816" s="2" t="s">
        <v>54624</v>
      </c>
      <c r="F8816" s="2" t="s">
        <v>29</v>
      </c>
      <c r="G8816" s="2" t="s">
        <v>54642</v>
      </c>
      <c r="H8816" s="3">
        <v>1.0</v>
      </c>
      <c r="I8816" s="3">
        <v>3.0</v>
      </c>
      <c r="J8816" s="3">
        <v>1.0</v>
      </c>
      <c r="K8816" s="3">
        <v>1.0</v>
      </c>
      <c r="L8816" s="4" t="s">
        <v>54636</v>
      </c>
      <c r="M8816" s="2" t="s">
        <v>54643</v>
      </c>
      <c r="N8816" s="2" t="s">
        <v>1277</v>
      </c>
      <c r="O8816" s="4" t="s">
        <v>1278</v>
      </c>
      <c r="P8816" s="2" t="s">
        <v>31</v>
      </c>
      <c r="Q8816" s="2" t="s">
        <v>31</v>
      </c>
      <c r="R8816" s="2" t="s">
        <v>1281</v>
      </c>
      <c r="S8816" s="4" t="s">
        <v>54638</v>
      </c>
      <c r="T8816" s="2" t="s">
        <v>66</v>
      </c>
      <c r="U8816" s="4" t="s">
        <v>31</v>
      </c>
      <c r="V8816" s="2" t="s">
        <v>29</v>
      </c>
      <c r="W8816" s="2" t="s">
        <v>54624</v>
      </c>
      <c r="X8816" s="5" t="str">
        <f>HYPERLINK("https://my.pitchbook.com?p=249261-67P","View People Online")</f>
        <v>View People Online</v>
      </c>
    </row>
    <row r="8817">
      <c r="A8817" s="14" t="s">
        <v>54644</v>
      </c>
      <c r="B8817" s="14" t="s">
        <v>54645</v>
      </c>
      <c r="C8817" s="14" t="s">
        <v>2149</v>
      </c>
      <c r="D8817" s="14" t="s">
        <v>25232</v>
      </c>
      <c r="E8817" s="14" t="s">
        <v>54624</v>
      </c>
      <c r="F8817" s="14" t="s">
        <v>29</v>
      </c>
      <c r="G8817" s="14" t="s">
        <v>54646</v>
      </c>
      <c r="H8817" s="15" t="s">
        <v>31</v>
      </c>
      <c r="I8817" s="15">
        <v>2.0</v>
      </c>
      <c r="J8817" s="15">
        <v>1.0</v>
      </c>
      <c r="K8817" s="15">
        <v>1.0</v>
      </c>
      <c r="L8817" s="16" t="s">
        <v>54636</v>
      </c>
      <c r="M8817" s="14" t="s">
        <v>54647</v>
      </c>
      <c r="N8817" s="14" t="s">
        <v>1277</v>
      </c>
      <c r="O8817" s="16" t="s">
        <v>1278</v>
      </c>
      <c r="P8817" s="14" t="s">
        <v>31</v>
      </c>
      <c r="Q8817" s="14" t="s">
        <v>31</v>
      </c>
      <c r="R8817" s="14" t="s">
        <v>1281</v>
      </c>
      <c r="S8817" s="16" t="s">
        <v>54638</v>
      </c>
      <c r="T8817" s="14" t="s">
        <v>66</v>
      </c>
      <c r="U8817" s="16" t="s">
        <v>31</v>
      </c>
      <c r="V8817" s="14" t="s">
        <v>29</v>
      </c>
      <c r="W8817" s="14" t="s">
        <v>54624</v>
      </c>
      <c r="X8817" s="17" t="str">
        <f>HYPERLINK("https://my.pitchbook.com?p=252020-26P","View People Online")</f>
        <v>View People Online</v>
      </c>
    </row>
    <row r="8818">
      <c r="A8818" s="2" t="s">
        <v>54648</v>
      </c>
      <c r="B8818" s="2" t="s">
        <v>54649</v>
      </c>
      <c r="C8818" s="2" t="s">
        <v>54650</v>
      </c>
      <c r="D8818" s="2" t="s">
        <v>54651</v>
      </c>
      <c r="E8818" s="2" t="s">
        <v>54624</v>
      </c>
      <c r="F8818" s="2" t="s">
        <v>114</v>
      </c>
      <c r="G8818" s="2" t="s">
        <v>54652</v>
      </c>
      <c r="H8818" s="3" t="s">
        <v>31</v>
      </c>
      <c r="I8818" s="3">
        <v>3.0</v>
      </c>
      <c r="J8818" s="3">
        <v>3.0</v>
      </c>
      <c r="K8818" s="3" t="s">
        <v>31</v>
      </c>
      <c r="L8818" s="4" t="s">
        <v>49812</v>
      </c>
      <c r="M8818" s="2" t="s">
        <v>54653</v>
      </c>
      <c r="N8818" s="2" t="s">
        <v>1277</v>
      </c>
      <c r="O8818" s="4" t="s">
        <v>1278</v>
      </c>
      <c r="P8818" s="2" t="s">
        <v>49740</v>
      </c>
      <c r="Q8818" s="2" t="s">
        <v>2566</v>
      </c>
      <c r="R8818" s="2" t="s">
        <v>1281</v>
      </c>
      <c r="S8818" s="4" t="s">
        <v>21357</v>
      </c>
      <c r="T8818" s="2" t="s">
        <v>66</v>
      </c>
      <c r="U8818" s="4" t="s">
        <v>49741</v>
      </c>
      <c r="V8818" s="2" t="s">
        <v>502</v>
      </c>
      <c r="W8818" s="2" t="s">
        <v>49742</v>
      </c>
      <c r="X8818" s="5" t="str">
        <f>HYPERLINK("https://my.pitchbook.com?p=15588-01P","View People Online")</f>
        <v>View People Online</v>
      </c>
    </row>
    <row r="8819">
      <c r="A8819" s="14" t="s">
        <v>54654</v>
      </c>
      <c r="B8819" s="14" t="s">
        <v>54655</v>
      </c>
      <c r="C8819" s="14" t="s">
        <v>2451</v>
      </c>
      <c r="D8819" s="14" t="s">
        <v>54656</v>
      </c>
      <c r="E8819" s="14" t="s">
        <v>54624</v>
      </c>
      <c r="F8819" s="14" t="s">
        <v>189</v>
      </c>
      <c r="G8819" s="14" t="s">
        <v>54657</v>
      </c>
      <c r="H8819" s="15" t="s">
        <v>31</v>
      </c>
      <c r="I8819" s="15">
        <v>3.0</v>
      </c>
      <c r="J8819" s="15">
        <v>1.0</v>
      </c>
      <c r="K8819" s="15" t="s">
        <v>31</v>
      </c>
      <c r="L8819" s="16" t="s">
        <v>54658</v>
      </c>
      <c r="M8819" s="14" t="s">
        <v>54659</v>
      </c>
      <c r="N8819" s="14" t="s">
        <v>1277</v>
      </c>
      <c r="O8819" s="16" t="s">
        <v>1278</v>
      </c>
      <c r="P8819" s="14" t="s">
        <v>31</v>
      </c>
      <c r="Q8819" s="14" t="s">
        <v>31</v>
      </c>
      <c r="R8819" s="14" t="s">
        <v>1281</v>
      </c>
      <c r="S8819" s="16" t="s">
        <v>54638</v>
      </c>
      <c r="T8819" s="14" t="s">
        <v>66</v>
      </c>
      <c r="U8819" s="16" t="s">
        <v>31</v>
      </c>
      <c r="V8819" s="14" t="s">
        <v>196</v>
      </c>
      <c r="W8819" s="14" t="s">
        <v>54624</v>
      </c>
      <c r="X8819" s="17" t="str">
        <f>HYPERLINK("https://my.pitchbook.com?p=55993-06P","View People Online")</f>
        <v>View People Online</v>
      </c>
    </row>
    <row r="8820">
      <c r="A8820" s="2" t="s">
        <v>54660</v>
      </c>
      <c r="B8820" s="2" t="s">
        <v>54661</v>
      </c>
      <c r="C8820" s="2" t="s">
        <v>54662</v>
      </c>
      <c r="D8820" s="2" t="s">
        <v>54663</v>
      </c>
      <c r="E8820" s="2" t="s">
        <v>54664</v>
      </c>
      <c r="F8820" s="2" t="s">
        <v>1283</v>
      </c>
      <c r="G8820" s="2" t="s">
        <v>54665</v>
      </c>
      <c r="H8820" s="3" t="s">
        <v>31</v>
      </c>
      <c r="I8820" s="3">
        <v>1.0</v>
      </c>
      <c r="J8820" s="3">
        <v>1.0</v>
      </c>
      <c r="K8820" s="3" t="s">
        <v>31</v>
      </c>
      <c r="L8820" s="4" t="s">
        <v>54666</v>
      </c>
      <c r="M8820" s="2" t="s">
        <v>54667</v>
      </c>
      <c r="N8820" s="2" t="s">
        <v>32123</v>
      </c>
      <c r="O8820" s="4" t="s">
        <v>32124</v>
      </c>
      <c r="P8820" s="2" t="s">
        <v>31</v>
      </c>
      <c r="Q8820" s="2" t="s">
        <v>31</v>
      </c>
      <c r="R8820" s="2" t="s">
        <v>64</v>
      </c>
      <c r="S8820" s="4" t="s">
        <v>31</v>
      </c>
      <c r="T8820" s="2" t="s">
        <v>66</v>
      </c>
      <c r="U8820" s="4" t="s">
        <v>31</v>
      </c>
      <c r="V8820" s="2" t="s">
        <v>1283</v>
      </c>
      <c r="W8820" s="2" t="s">
        <v>54664</v>
      </c>
      <c r="X8820" s="5" t="str">
        <f>HYPERLINK("https://my.pitchbook.com?p=205983-91P","View People Online")</f>
        <v>View People Online</v>
      </c>
    </row>
    <row r="8821">
      <c r="A8821" s="14" t="s">
        <v>54668</v>
      </c>
      <c r="B8821" s="14" t="s">
        <v>54669</v>
      </c>
      <c r="C8821" s="14" t="s">
        <v>54670</v>
      </c>
      <c r="D8821" s="14" t="s">
        <v>54671</v>
      </c>
      <c r="E8821" s="14" t="s">
        <v>54664</v>
      </c>
      <c r="F8821" s="14" t="s">
        <v>802</v>
      </c>
      <c r="G8821" s="14" t="s">
        <v>54672</v>
      </c>
      <c r="H8821" s="15" t="s">
        <v>31</v>
      </c>
      <c r="I8821" s="15">
        <v>1.0</v>
      </c>
      <c r="J8821" s="15">
        <v>1.0</v>
      </c>
      <c r="K8821" s="15" t="s">
        <v>31</v>
      </c>
      <c r="L8821" s="16" t="s">
        <v>31</v>
      </c>
      <c r="M8821" s="14" t="s">
        <v>54673</v>
      </c>
      <c r="N8821" s="14" t="s">
        <v>665</v>
      </c>
      <c r="O8821" s="16" t="s">
        <v>3857</v>
      </c>
      <c r="P8821" s="14" t="s">
        <v>27002</v>
      </c>
      <c r="Q8821" s="14" t="s">
        <v>31</v>
      </c>
      <c r="R8821" s="14" t="s">
        <v>1420</v>
      </c>
      <c r="S8821" s="16" t="s">
        <v>8300</v>
      </c>
      <c r="T8821" s="14" t="s">
        <v>66</v>
      </c>
      <c r="U8821" s="16" t="s">
        <v>31</v>
      </c>
      <c r="V8821" s="14" t="s">
        <v>54674</v>
      </c>
      <c r="W8821" s="14" t="s">
        <v>54664</v>
      </c>
      <c r="X8821" s="17" t="str">
        <f>HYPERLINK("https://my.pitchbook.com?p=264788-02P","View People Online")</f>
        <v>View People Online</v>
      </c>
    </row>
    <row r="8822">
      <c r="A8822" s="10" t="s">
        <v>54675</v>
      </c>
      <c r="B8822" s="10" t="s">
        <v>54676</v>
      </c>
      <c r="C8822" s="10" t="s">
        <v>54677</v>
      </c>
      <c r="D8822" s="10" t="s">
        <v>54678</v>
      </c>
      <c r="E8822" s="10" t="s">
        <v>54664</v>
      </c>
      <c r="F8822" s="10" t="s">
        <v>1801</v>
      </c>
      <c r="G8822" s="10" t="s">
        <v>54679</v>
      </c>
      <c r="H8822" s="11" t="s">
        <v>31</v>
      </c>
      <c r="I8822" s="11">
        <v>1.0</v>
      </c>
      <c r="J8822" s="11">
        <v>1.0</v>
      </c>
      <c r="K8822" s="11" t="s">
        <v>31</v>
      </c>
      <c r="L8822" s="12" t="s">
        <v>31</v>
      </c>
      <c r="M8822" s="10" t="s">
        <v>54680</v>
      </c>
      <c r="N8822" s="10" t="s">
        <v>665</v>
      </c>
      <c r="O8822" s="12" t="s">
        <v>3857</v>
      </c>
      <c r="P8822" s="10" t="s">
        <v>27002</v>
      </c>
      <c r="Q8822" s="10" t="s">
        <v>31</v>
      </c>
      <c r="R8822" s="10" t="s">
        <v>1420</v>
      </c>
      <c r="S8822" s="12" t="s">
        <v>8300</v>
      </c>
      <c r="T8822" s="10" t="s">
        <v>66</v>
      </c>
      <c r="U8822" s="12" t="s">
        <v>31</v>
      </c>
      <c r="V8822" s="10" t="s">
        <v>802</v>
      </c>
      <c r="W8822" s="10" t="s">
        <v>54664</v>
      </c>
      <c r="X8822" s="13" t="str">
        <f>HYPERLINK("https://my.pitchbook.com?p=318635-11P","View People Online")</f>
        <v>View People Online</v>
      </c>
    </row>
    <row r="8823">
      <c r="A8823" s="14" t="s">
        <v>54681</v>
      </c>
      <c r="B8823" s="14" t="s">
        <v>54682</v>
      </c>
      <c r="C8823" s="14" t="s">
        <v>54683</v>
      </c>
      <c r="D8823" s="14" t="s">
        <v>54684</v>
      </c>
      <c r="E8823" s="14" t="s">
        <v>54664</v>
      </c>
      <c r="F8823" s="14" t="s">
        <v>470</v>
      </c>
      <c r="G8823" s="14" t="s">
        <v>54685</v>
      </c>
      <c r="H8823" s="15" t="s">
        <v>31</v>
      </c>
      <c r="I8823" s="15">
        <v>3.0</v>
      </c>
      <c r="J8823" s="15">
        <v>1.0</v>
      </c>
      <c r="K8823" s="15">
        <v>1.0</v>
      </c>
      <c r="L8823" s="16" t="s">
        <v>31</v>
      </c>
      <c r="M8823" s="14" t="s">
        <v>54686</v>
      </c>
      <c r="N8823" s="14" t="s">
        <v>665</v>
      </c>
      <c r="O8823" s="16" t="s">
        <v>3857</v>
      </c>
      <c r="P8823" s="14" t="s">
        <v>27002</v>
      </c>
      <c r="Q8823" s="14" t="s">
        <v>31</v>
      </c>
      <c r="R8823" s="14" t="s">
        <v>1420</v>
      </c>
      <c r="S8823" s="16" t="s">
        <v>8300</v>
      </c>
      <c r="T8823" s="14" t="s">
        <v>66</v>
      </c>
      <c r="U8823" s="16" t="s">
        <v>31</v>
      </c>
      <c r="V8823" s="14" t="s">
        <v>470</v>
      </c>
      <c r="W8823" s="14" t="s">
        <v>54664</v>
      </c>
      <c r="X8823" s="17" t="str">
        <f>HYPERLINK("https://my.pitchbook.com?p=253342-27P","View People Online")</f>
        <v>View People Online</v>
      </c>
    </row>
    <row r="8824">
      <c r="A8824" s="2" t="s">
        <v>54687</v>
      </c>
      <c r="B8824" s="2" t="s">
        <v>54688</v>
      </c>
      <c r="C8824" s="2" t="s">
        <v>7413</v>
      </c>
      <c r="D8824" s="2" t="s">
        <v>200</v>
      </c>
      <c r="E8824" s="2" t="s">
        <v>54689</v>
      </c>
      <c r="F8824" s="2" t="s">
        <v>667</v>
      </c>
      <c r="G8824" s="2" t="s">
        <v>54690</v>
      </c>
      <c r="H8824" s="3" t="s">
        <v>31</v>
      </c>
      <c r="I8824" s="3">
        <v>1.0</v>
      </c>
      <c r="J8824" s="3">
        <v>1.0</v>
      </c>
      <c r="K8824" s="3" t="s">
        <v>31</v>
      </c>
      <c r="L8824" s="4" t="s">
        <v>54691</v>
      </c>
      <c r="M8824" s="2" t="s">
        <v>54692</v>
      </c>
      <c r="N8824" s="2" t="s">
        <v>6669</v>
      </c>
      <c r="O8824" s="4" t="s">
        <v>6670</v>
      </c>
      <c r="P8824" s="2" t="s">
        <v>28292</v>
      </c>
      <c r="Q8824" s="2" t="s">
        <v>8191</v>
      </c>
      <c r="R8824" s="2" t="s">
        <v>1185</v>
      </c>
      <c r="S8824" s="4" t="s">
        <v>1709</v>
      </c>
      <c r="T8824" s="2" t="s">
        <v>66</v>
      </c>
      <c r="U8824" s="4" t="s">
        <v>31</v>
      </c>
      <c r="V8824" s="2" t="s">
        <v>667</v>
      </c>
      <c r="W8824" s="2" t="s">
        <v>54689</v>
      </c>
      <c r="X8824" s="5" t="str">
        <f>HYPERLINK("https://my.pitchbook.com?p=429469-84P","View People Online")</f>
        <v>View People Online</v>
      </c>
    </row>
    <row r="8825">
      <c r="A8825" s="14" t="s">
        <v>54693</v>
      </c>
      <c r="B8825" s="14" t="s">
        <v>54694</v>
      </c>
      <c r="C8825" s="14" t="s">
        <v>54695</v>
      </c>
      <c r="D8825" s="14" t="s">
        <v>54696</v>
      </c>
      <c r="E8825" s="14" t="s">
        <v>54689</v>
      </c>
      <c r="F8825" s="14" t="s">
        <v>81</v>
      </c>
      <c r="G8825" s="14" t="s">
        <v>54697</v>
      </c>
      <c r="H8825" s="15" t="s">
        <v>31</v>
      </c>
      <c r="I8825" s="15">
        <v>3.0</v>
      </c>
      <c r="J8825" s="15">
        <v>1.0</v>
      </c>
      <c r="K8825" s="15">
        <v>1.0</v>
      </c>
      <c r="L8825" s="16" t="s">
        <v>54698</v>
      </c>
      <c r="M8825" s="14" t="s">
        <v>31</v>
      </c>
      <c r="N8825" s="14" t="s">
        <v>24171</v>
      </c>
      <c r="O8825" s="16" t="s">
        <v>24172</v>
      </c>
      <c r="P8825" s="14" t="s">
        <v>54699</v>
      </c>
      <c r="Q8825" s="14" t="s">
        <v>6654</v>
      </c>
      <c r="R8825" s="14" t="s">
        <v>1185</v>
      </c>
      <c r="S8825" s="16" t="s">
        <v>24174</v>
      </c>
      <c r="T8825" s="14" t="s">
        <v>66</v>
      </c>
      <c r="U8825" s="16" t="s">
        <v>31</v>
      </c>
      <c r="V8825" s="14" t="s">
        <v>991</v>
      </c>
      <c r="W8825" s="14" t="s">
        <v>54700</v>
      </c>
      <c r="X8825" s="17" t="str">
        <f>HYPERLINK("https://my.pitchbook.com?p=50801-68P","View People Online")</f>
        <v>View People Online</v>
      </c>
    </row>
    <row r="8826">
      <c r="A8826" s="10" t="s">
        <v>54701</v>
      </c>
      <c r="B8826" s="10" t="s">
        <v>54702</v>
      </c>
      <c r="C8826" s="10" t="s">
        <v>54703</v>
      </c>
      <c r="D8826" s="10" t="s">
        <v>54704</v>
      </c>
      <c r="E8826" s="10" t="s">
        <v>54689</v>
      </c>
      <c r="F8826" s="10" t="s">
        <v>221</v>
      </c>
      <c r="G8826" s="10" t="s">
        <v>54705</v>
      </c>
      <c r="H8826" s="11" t="s">
        <v>31</v>
      </c>
      <c r="I8826" s="11">
        <v>1.0</v>
      </c>
      <c r="J8826" s="11">
        <v>1.0</v>
      </c>
      <c r="K8826" s="11" t="s">
        <v>31</v>
      </c>
      <c r="L8826" s="12" t="s">
        <v>54691</v>
      </c>
      <c r="M8826" s="10" t="s">
        <v>54706</v>
      </c>
      <c r="N8826" s="10" t="s">
        <v>6669</v>
      </c>
      <c r="O8826" s="12" t="s">
        <v>6670</v>
      </c>
      <c r="P8826" s="10" t="s">
        <v>28292</v>
      </c>
      <c r="Q8826" s="10" t="s">
        <v>8191</v>
      </c>
      <c r="R8826" s="10" t="s">
        <v>1185</v>
      </c>
      <c r="S8826" s="12" t="s">
        <v>1709</v>
      </c>
      <c r="T8826" s="10" t="s">
        <v>66</v>
      </c>
      <c r="U8826" s="12" t="s">
        <v>31</v>
      </c>
      <c r="V8826" s="10" t="s">
        <v>221</v>
      </c>
      <c r="W8826" s="10" t="s">
        <v>54689</v>
      </c>
      <c r="X8826" s="13" t="str">
        <f>HYPERLINK("https://my.pitchbook.com?p=321216-58P","View People Online")</f>
        <v>View People Online</v>
      </c>
    </row>
    <row r="8827">
      <c r="A8827" s="14" t="s">
        <v>54707</v>
      </c>
      <c r="B8827" s="14" t="s">
        <v>54708</v>
      </c>
      <c r="C8827" s="14" t="s">
        <v>54709</v>
      </c>
      <c r="D8827" s="14" t="s">
        <v>54710</v>
      </c>
      <c r="E8827" s="14" t="s">
        <v>54689</v>
      </c>
      <c r="F8827" s="14" t="s">
        <v>3411</v>
      </c>
      <c r="G8827" s="14" t="s">
        <v>54711</v>
      </c>
      <c r="H8827" s="15">
        <v>11.0</v>
      </c>
      <c r="I8827" s="15">
        <v>48.0</v>
      </c>
      <c r="J8827" s="15">
        <v>1.0</v>
      </c>
      <c r="K8827" s="15">
        <v>33.0</v>
      </c>
      <c r="L8827" s="16" t="s">
        <v>54712</v>
      </c>
      <c r="M8827" s="14" t="s">
        <v>54713</v>
      </c>
      <c r="N8827" s="14" t="s">
        <v>6669</v>
      </c>
      <c r="O8827" s="16" t="s">
        <v>6670</v>
      </c>
      <c r="P8827" s="14" t="s">
        <v>28292</v>
      </c>
      <c r="Q8827" s="14" t="s">
        <v>8191</v>
      </c>
      <c r="R8827" s="14" t="s">
        <v>1185</v>
      </c>
      <c r="S8827" s="16" t="s">
        <v>1709</v>
      </c>
      <c r="T8827" s="14" t="s">
        <v>66</v>
      </c>
      <c r="U8827" s="16" t="s">
        <v>31</v>
      </c>
      <c r="V8827" s="14" t="s">
        <v>54714</v>
      </c>
      <c r="W8827" s="14" t="s">
        <v>54689</v>
      </c>
      <c r="X8827" s="17" t="str">
        <f>HYPERLINK("https://my.pitchbook.com?p=17166-16P","View People Online")</f>
        <v>View People Online</v>
      </c>
    </row>
    <row r="8828">
      <c r="A8828" s="2" t="s">
        <v>54715</v>
      </c>
      <c r="B8828" s="2" t="s">
        <v>54716</v>
      </c>
      <c r="C8828" s="2" t="s">
        <v>54717</v>
      </c>
      <c r="D8828" s="2" t="s">
        <v>54718</v>
      </c>
      <c r="E8828" s="2" t="s">
        <v>54689</v>
      </c>
      <c r="F8828" s="2" t="s">
        <v>2731</v>
      </c>
      <c r="G8828" s="2" t="s">
        <v>54719</v>
      </c>
      <c r="H8828" s="3" t="s">
        <v>31</v>
      </c>
      <c r="I8828" s="3">
        <v>2.0</v>
      </c>
      <c r="J8828" s="3">
        <v>1.0</v>
      </c>
      <c r="K8828" s="3" t="s">
        <v>31</v>
      </c>
      <c r="L8828" s="4" t="s">
        <v>54720</v>
      </c>
      <c r="M8828" s="2" t="s">
        <v>54721</v>
      </c>
      <c r="N8828" s="2" t="s">
        <v>36102</v>
      </c>
      <c r="O8828" s="4" t="s">
        <v>36103</v>
      </c>
      <c r="P8828" s="2" t="s">
        <v>54722</v>
      </c>
      <c r="Q8828" s="2" t="s">
        <v>31</v>
      </c>
      <c r="R8828" s="2" t="s">
        <v>64</v>
      </c>
      <c r="S8828" s="4" t="s">
        <v>36105</v>
      </c>
      <c r="T8828" s="2" t="s">
        <v>66</v>
      </c>
      <c r="U8828" s="4" t="s">
        <v>54723</v>
      </c>
      <c r="V8828" s="2" t="s">
        <v>54724</v>
      </c>
      <c r="W8828" s="2" t="s">
        <v>54725</v>
      </c>
      <c r="X8828" s="5" t="str">
        <f>HYPERLINK("https://my.pitchbook.com?p=304744-78P","View People Online")</f>
        <v>View People Online</v>
      </c>
    </row>
    <row r="8829">
      <c r="A8829" s="14" t="s">
        <v>54726</v>
      </c>
      <c r="B8829" s="14" t="s">
        <v>54727</v>
      </c>
      <c r="C8829" s="14" t="s">
        <v>54728</v>
      </c>
      <c r="D8829" s="14" t="s">
        <v>54729</v>
      </c>
      <c r="E8829" s="14" t="s">
        <v>54689</v>
      </c>
      <c r="F8829" s="14" t="s">
        <v>81</v>
      </c>
      <c r="G8829" s="14" t="s">
        <v>54730</v>
      </c>
      <c r="H8829" s="15">
        <v>3.0</v>
      </c>
      <c r="I8829" s="15">
        <v>37.0</v>
      </c>
      <c r="J8829" s="15">
        <v>1.0</v>
      </c>
      <c r="K8829" s="15">
        <v>22.0</v>
      </c>
      <c r="L8829" s="16" t="s">
        <v>54731</v>
      </c>
      <c r="M8829" s="14" t="s">
        <v>54732</v>
      </c>
      <c r="N8829" s="14" t="s">
        <v>54733</v>
      </c>
      <c r="O8829" s="16" t="s">
        <v>54734</v>
      </c>
      <c r="P8829" s="14" t="s">
        <v>54735</v>
      </c>
      <c r="Q8829" s="14" t="s">
        <v>52142</v>
      </c>
      <c r="R8829" s="14" t="s">
        <v>616</v>
      </c>
      <c r="S8829" s="16" t="s">
        <v>617</v>
      </c>
      <c r="T8829" s="14" t="s">
        <v>66</v>
      </c>
      <c r="U8829" s="16" t="s">
        <v>31</v>
      </c>
      <c r="V8829" s="14" t="s">
        <v>1114</v>
      </c>
      <c r="W8829" s="14" t="s">
        <v>54736</v>
      </c>
      <c r="X8829" s="17" t="str">
        <f>HYPERLINK("https://my.pitchbook.com?p=15502-60P","View People Online")</f>
        <v>View People Online</v>
      </c>
    </row>
    <row r="8830">
      <c r="A8830" s="2" t="s">
        <v>54737</v>
      </c>
      <c r="B8830" s="2" t="s">
        <v>54738</v>
      </c>
      <c r="C8830" s="2" t="s">
        <v>1437</v>
      </c>
      <c r="D8830" s="2" t="s">
        <v>54739</v>
      </c>
      <c r="E8830" s="2" t="s">
        <v>54689</v>
      </c>
      <c r="F8830" s="2" t="s">
        <v>81</v>
      </c>
      <c r="G8830" s="2" t="s">
        <v>54740</v>
      </c>
      <c r="H8830" s="3" t="s">
        <v>31</v>
      </c>
      <c r="I8830" s="3">
        <v>1.0</v>
      </c>
      <c r="J8830" s="3" t="s">
        <v>31</v>
      </c>
      <c r="K8830" s="3" t="s">
        <v>31</v>
      </c>
      <c r="L8830" s="4" t="s">
        <v>54691</v>
      </c>
      <c r="M8830" s="2" t="s">
        <v>31</v>
      </c>
      <c r="N8830" s="2" t="s">
        <v>6669</v>
      </c>
      <c r="O8830" s="4" t="s">
        <v>6670</v>
      </c>
      <c r="P8830" s="2" t="s">
        <v>28292</v>
      </c>
      <c r="Q8830" s="2" t="s">
        <v>8191</v>
      </c>
      <c r="R8830" s="2" t="s">
        <v>1185</v>
      </c>
      <c r="S8830" s="4" t="s">
        <v>1709</v>
      </c>
      <c r="T8830" s="2" t="s">
        <v>66</v>
      </c>
      <c r="U8830" s="4" t="s">
        <v>31</v>
      </c>
      <c r="V8830" s="2" t="s">
        <v>54741</v>
      </c>
      <c r="W8830" s="2" t="s">
        <v>54689</v>
      </c>
      <c r="X8830" s="5" t="str">
        <f>HYPERLINK("https://my.pitchbook.com?p=287246-26P","View People Online")</f>
        <v>View People Online</v>
      </c>
    </row>
    <row r="8831">
      <c r="A8831" s="6" t="s">
        <v>54742</v>
      </c>
      <c r="B8831" s="6" t="s">
        <v>54743</v>
      </c>
      <c r="C8831" s="6" t="s">
        <v>30422</v>
      </c>
      <c r="D8831" s="6" t="s">
        <v>758</v>
      </c>
      <c r="E8831" s="6" t="s">
        <v>54689</v>
      </c>
      <c r="F8831" s="6" t="s">
        <v>54744</v>
      </c>
      <c r="G8831" s="6" t="s">
        <v>54745</v>
      </c>
      <c r="H8831" s="7">
        <v>2.0</v>
      </c>
      <c r="I8831" s="7">
        <v>5.0</v>
      </c>
      <c r="J8831" s="7">
        <v>2.0</v>
      </c>
      <c r="K8831" s="7">
        <v>1.0</v>
      </c>
      <c r="L8831" s="8" t="s">
        <v>54746</v>
      </c>
      <c r="M8831" s="6" t="s">
        <v>31</v>
      </c>
      <c r="N8831" s="6" t="s">
        <v>25006</v>
      </c>
      <c r="O8831" s="8" t="s">
        <v>54747</v>
      </c>
      <c r="P8831" s="6" t="s">
        <v>54748</v>
      </c>
      <c r="Q8831" s="6" t="s">
        <v>54749</v>
      </c>
      <c r="R8831" s="6" t="s">
        <v>1185</v>
      </c>
      <c r="S8831" s="8" t="s">
        <v>54750</v>
      </c>
      <c r="T8831" s="6" t="s">
        <v>66</v>
      </c>
      <c r="U8831" s="8" t="s">
        <v>54751</v>
      </c>
      <c r="V8831" s="6" t="s">
        <v>3930</v>
      </c>
      <c r="W8831" s="6" t="s">
        <v>54752</v>
      </c>
      <c r="X8831" s="9" t="str">
        <f>HYPERLINK("https://my.pitchbook.com?p=253029-70P","View People Online")</f>
        <v>View People Online</v>
      </c>
    </row>
    <row r="8832">
      <c r="A8832" s="2" t="s">
        <v>54753</v>
      </c>
      <c r="B8832" s="2" t="s">
        <v>54754</v>
      </c>
      <c r="C8832" s="2" t="s">
        <v>3811</v>
      </c>
      <c r="D8832" s="2" t="s">
        <v>14687</v>
      </c>
      <c r="E8832" s="2" t="s">
        <v>54689</v>
      </c>
      <c r="F8832" s="2" t="s">
        <v>4592</v>
      </c>
      <c r="G8832" s="2" t="s">
        <v>54755</v>
      </c>
      <c r="H8832" s="3">
        <v>1.0</v>
      </c>
      <c r="I8832" s="3">
        <v>11.0</v>
      </c>
      <c r="J8832" s="3">
        <v>2.0</v>
      </c>
      <c r="K8832" s="3">
        <v>4.0</v>
      </c>
      <c r="L8832" s="4" t="s">
        <v>54691</v>
      </c>
      <c r="M8832" s="2" t="s">
        <v>54756</v>
      </c>
      <c r="N8832" s="2" t="s">
        <v>6669</v>
      </c>
      <c r="O8832" s="4" t="s">
        <v>6670</v>
      </c>
      <c r="P8832" s="2" t="s">
        <v>28292</v>
      </c>
      <c r="Q8832" s="2" t="s">
        <v>8191</v>
      </c>
      <c r="R8832" s="2" t="s">
        <v>1185</v>
      </c>
      <c r="S8832" s="4" t="s">
        <v>1709</v>
      </c>
      <c r="T8832" s="2" t="s">
        <v>66</v>
      </c>
      <c r="U8832" s="4" t="s">
        <v>31</v>
      </c>
      <c r="V8832" s="2" t="s">
        <v>54757</v>
      </c>
      <c r="W8832" s="2" t="s">
        <v>54689</v>
      </c>
      <c r="X8832" s="5" t="str">
        <f>HYPERLINK("https://my.pitchbook.com?p=14351-50P","View People Online")</f>
        <v>View People Online</v>
      </c>
    </row>
    <row r="8833">
      <c r="A8833" s="14" t="s">
        <v>54758</v>
      </c>
      <c r="B8833" s="14" t="s">
        <v>54759</v>
      </c>
      <c r="C8833" s="14" t="s">
        <v>2109</v>
      </c>
      <c r="D8833" s="14" t="s">
        <v>5839</v>
      </c>
      <c r="E8833" s="14" t="s">
        <v>54689</v>
      </c>
      <c r="F8833" s="14" t="s">
        <v>667</v>
      </c>
      <c r="G8833" s="14" t="s">
        <v>54760</v>
      </c>
      <c r="H8833" s="15" t="s">
        <v>31</v>
      </c>
      <c r="I8833" s="15">
        <v>1.0</v>
      </c>
      <c r="J8833" s="15">
        <v>1.0</v>
      </c>
      <c r="K8833" s="15" t="s">
        <v>31</v>
      </c>
      <c r="L8833" s="16" t="s">
        <v>54691</v>
      </c>
      <c r="M8833" s="14" t="s">
        <v>54761</v>
      </c>
      <c r="N8833" s="14" t="s">
        <v>6669</v>
      </c>
      <c r="O8833" s="16" t="s">
        <v>6670</v>
      </c>
      <c r="P8833" s="14" t="s">
        <v>28292</v>
      </c>
      <c r="Q8833" s="14" t="s">
        <v>8191</v>
      </c>
      <c r="R8833" s="14" t="s">
        <v>1185</v>
      </c>
      <c r="S8833" s="16" t="s">
        <v>1709</v>
      </c>
      <c r="T8833" s="14" t="s">
        <v>66</v>
      </c>
      <c r="U8833" s="16" t="s">
        <v>31</v>
      </c>
      <c r="V8833" s="14" t="s">
        <v>667</v>
      </c>
      <c r="W8833" s="14" t="s">
        <v>54689</v>
      </c>
      <c r="X8833" s="17" t="str">
        <f>HYPERLINK("https://my.pitchbook.com?p=429469-21P","View People Online")</f>
        <v>View People Online</v>
      </c>
    </row>
    <row r="8834">
      <c r="A8834" s="2" t="s">
        <v>54762</v>
      </c>
      <c r="B8834" s="2" t="s">
        <v>54763</v>
      </c>
      <c r="C8834" s="2" t="s">
        <v>2288</v>
      </c>
      <c r="D8834" s="2" t="s">
        <v>54764</v>
      </c>
      <c r="E8834" s="2" t="s">
        <v>54689</v>
      </c>
      <c r="F8834" s="2" t="s">
        <v>81</v>
      </c>
      <c r="G8834" s="2" t="s">
        <v>54765</v>
      </c>
      <c r="H8834" s="3" t="s">
        <v>31</v>
      </c>
      <c r="I8834" s="3">
        <v>1.0</v>
      </c>
      <c r="J8834" s="3" t="s">
        <v>31</v>
      </c>
      <c r="K8834" s="3" t="s">
        <v>31</v>
      </c>
      <c r="L8834" s="4" t="s">
        <v>54691</v>
      </c>
      <c r="M8834" s="2" t="s">
        <v>31</v>
      </c>
      <c r="N8834" s="2" t="s">
        <v>6669</v>
      </c>
      <c r="O8834" s="4" t="s">
        <v>6670</v>
      </c>
      <c r="P8834" s="2" t="s">
        <v>28292</v>
      </c>
      <c r="Q8834" s="2" t="s">
        <v>8191</v>
      </c>
      <c r="R8834" s="2" t="s">
        <v>1185</v>
      </c>
      <c r="S8834" s="4" t="s">
        <v>1709</v>
      </c>
      <c r="T8834" s="2" t="s">
        <v>66</v>
      </c>
      <c r="U8834" s="4" t="s">
        <v>31</v>
      </c>
      <c r="V8834" s="2" t="s">
        <v>54741</v>
      </c>
      <c r="W8834" s="2" t="s">
        <v>54689</v>
      </c>
      <c r="X8834" s="5" t="str">
        <f>HYPERLINK("https://my.pitchbook.com?p=234921-79P","View People Online")</f>
        <v>View People Online</v>
      </c>
    </row>
    <row r="8835">
      <c r="A8835" s="6" t="s">
        <v>54766</v>
      </c>
      <c r="B8835" s="6" t="s">
        <v>54767</v>
      </c>
      <c r="C8835" s="6" t="s">
        <v>2288</v>
      </c>
      <c r="D8835" s="6" t="s">
        <v>54768</v>
      </c>
      <c r="E8835" s="6" t="s">
        <v>54689</v>
      </c>
      <c r="F8835" s="6" t="s">
        <v>81</v>
      </c>
      <c r="G8835" s="6" t="s">
        <v>54769</v>
      </c>
      <c r="H8835" s="7">
        <v>1.0</v>
      </c>
      <c r="I8835" s="7">
        <v>4.0</v>
      </c>
      <c r="J8835" s="7">
        <v>2.0</v>
      </c>
      <c r="K8835" s="7" t="s">
        <v>31</v>
      </c>
      <c r="L8835" s="8" t="s">
        <v>54770</v>
      </c>
      <c r="M8835" s="6" t="s">
        <v>54771</v>
      </c>
      <c r="N8835" s="6" t="s">
        <v>54772</v>
      </c>
      <c r="O8835" s="8" t="s">
        <v>54773</v>
      </c>
      <c r="P8835" s="6" t="s">
        <v>54774</v>
      </c>
      <c r="Q8835" s="6" t="s">
        <v>31</v>
      </c>
      <c r="R8835" s="6" t="s">
        <v>75</v>
      </c>
      <c r="S8835" s="8" t="s">
        <v>54775</v>
      </c>
      <c r="T8835" s="6" t="s">
        <v>66</v>
      </c>
      <c r="U8835" s="8" t="s">
        <v>31</v>
      </c>
      <c r="V8835" s="6" t="s">
        <v>583</v>
      </c>
      <c r="W8835" s="6" t="s">
        <v>54776</v>
      </c>
      <c r="X8835" s="9" t="str">
        <f>HYPERLINK("https://my.pitchbook.com?p=148179-61P","View People Online")</f>
        <v>View People Online</v>
      </c>
    </row>
    <row r="8836">
      <c r="A8836" s="2" t="s">
        <v>54777</v>
      </c>
      <c r="B8836" s="2" t="s">
        <v>54778</v>
      </c>
      <c r="C8836" s="2" t="s">
        <v>19373</v>
      </c>
      <c r="D8836" s="2" t="s">
        <v>54779</v>
      </c>
      <c r="E8836" s="2" t="s">
        <v>54689</v>
      </c>
      <c r="F8836" s="2" t="s">
        <v>81</v>
      </c>
      <c r="G8836" s="2" t="s">
        <v>54780</v>
      </c>
      <c r="H8836" s="3" t="s">
        <v>31</v>
      </c>
      <c r="I8836" s="3">
        <v>1.0</v>
      </c>
      <c r="J8836" s="3" t="s">
        <v>31</v>
      </c>
      <c r="K8836" s="3" t="s">
        <v>31</v>
      </c>
      <c r="L8836" s="4" t="s">
        <v>54781</v>
      </c>
      <c r="M8836" s="2" t="s">
        <v>31</v>
      </c>
      <c r="N8836" s="2" t="s">
        <v>6669</v>
      </c>
      <c r="O8836" s="4" t="s">
        <v>6670</v>
      </c>
      <c r="P8836" s="2" t="s">
        <v>28292</v>
      </c>
      <c r="Q8836" s="2" t="s">
        <v>8191</v>
      </c>
      <c r="R8836" s="2" t="s">
        <v>1185</v>
      </c>
      <c r="S8836" s="4" t="s">
        <v>1709</v>
      </c>
      <c r="T8836" s="2" t="s">
        <v>66</v>
      </c>
      <c r="U8836" s="4" t="s">
        <v>31</v>
      </c>
      <c r="V8836" s="2" t="s">
        <v>54782</v>
      </c>
      <c r="W8836" s="2" t="s">
        <v>54689</v>
      </c>
      <c r="X8836" s="5" t="str">
        <f>HYPERLINK("https://my.pitchbook.com?p=234892-99P","View People Online")</f>
        <v>View People Online</v>
      </c>
    </row>
    <row r="8837">
      <c r="A8837" s="6" t="s">
        <v>54783</v>
      </c>
      <c r="B8837" s="6" t="s">
        <v>54784</v>
      </c>
      <c r="C8837" s="6" t="s">
        <v>529</v>
      </c>
      <c r="D8837" s="6" t="s">
        <v>54785</v>
      </c>
      <c r="E8837" s="6" t="s">
        <v>54689</v>
      </c>
      <c r="F8837" s="6" t="s">
        <v>674</v>
      </c>
      <c r="G8837" s="6" t="s">
        <v>54786</v>
      </c>
      <c r="H8837" s="7">
        <v>1.0</v>
      </c>
      <c r="I8837" s="7">
        <v>8.0</v>
      </c>
      <c r="J8837" s="7">
        <v>1.0</v>
      </c>
      <c r="K8837" s="7">
        <v>3.0</v>
      </c>
      <c r="L8837" s="8" t="s">
        <v>54787</v>
      </c>
      <c r="M8837" s="6" t="s">
        <v>54788</v>
      </c>
      <c r="N8837" s="6" t="s">
        <v>6669</v>
      </c>
      <c r="O8837" s="8" t="s">
        <v>6670</v>
      </c>
      <c r="P8837" s="6" t="s">
        <v>28292</v>
      </c>
      <c r="Q8837" s="6" t="s">
        <v>8191</v>
      </c>
      <c r="R8837" s="6" t="s">
        <v>1185</v>
      </c>
      <c r="S8837" s="8" t="s">
        <v>1709</v>
      </c>
      <c r="T8837" s="6" t="s">
        <v>66</v>
      </c>
      <c r="U8837" s="8" t="s">
        <v>31</v>
      </c>
      <c r="V8837" s="6" t="s">
        <v>54789</v>
      </c>
      <c r="W8837" s="6" t="s">
        <v>54689</v>
      </c>
      <c r="X8837" s="9" t="str">
        <f>HYPERLINK("https://my.pitchbook.com?p=40120-12P","View People Online")</f>
        <v>View People Online</v>
      </c>
    </row>
    <row r="8838">
      <c r="A8838" s="10" t="s">
        <v>54790</v>
      </c>
      <c r="B8838" s="10" t="s">
        <v>54791</v>
      </c>
      <c r="C8838" s="10" t="s">
        <v>3215</v>
      </c>
      <c r="D8838" s="10" t="s">
        <v>54792</v>
      </c>
      <c r="E8838" s="10" t="s">
        <v>54689</v>
      </c>
      <c r="F8838" s="10" t="s">
        <v>81</v>
      </c>
      <c r="G8838" s="10" t="s">
        <v>54793</v>
      </c>
      <c r="H8838" s="11" t="s">
        <v>31</v>
      </c>
      <c r="I8838" s="11">
        <v>1.0</v>
      </c>
      <c r="J8838" s="11" t="s">
        <v>31</v>
      </c>
      <c r="K8838" s="11" t="s">
        <v>31</v>
      </c>
      <c r="L8838" s="12" t="s">
        <v>54691</v>
      </c>
      <c r="M8838" s="10" t="s">
        <v>31</v>
      </c>
      <c r="N8838" s="10" t="s">
        <v>6669</v>
      </c>
      <c r="O8838" s="12" t="s">
        <v>6670</v>
      </c>
      <c r="P8838" s="10" t="s">
        <v>28292</v>
      </c>
      <c r="Q8838" s="10" t="s">
        <v>8191</v>
      </c>
      <c r="R8838" s="10" t="s">
        <v>1185</v>
      </c>
      <c r="S8838" s="12" t="s">
        <v>1709</v>
      </c>
      <c r="T8838" s="10" t="s">
        <v>66</v>
      </c>
      <c r="U8838" s="12" t="s">
        <v>31</v>
      </c>
      <c r="V8838" s="10" t="s">
        <v>54741</v>
      </c>
      <c r="W8838" s="10" t="s">
        <v>54689</v>
      </c>
      <c r="X8838" s="13" t="str">
        <f>HYPERLINK("https://my.pitchbook.com?p=152194-33P","View People Online")</f>
        <v>View People Online</v>
      </c>
    </row>
    <row r="8839">
      <c r="A8839" s="6" t="s">
        <v>54794</v>
      </c>
      <c r="B8839" s="6" t="s">
        <v>54795</v>
      </c>
      <c r="C8839" s="6" t="s">
        <v>54796</v>
      </c>
      <c r="D8839" s="6" t="s">
        <v>54785</v>
      </c>
      <c r="E8839" s="6" t="s">
        <v>54689</v>
      </c>
      <c r="F8839" s="6" t="s">
        <v>4592</v>
      </c>
      <c r="G8839" s="6" t="s">
        <v>54797</v>
      </c>
      <c r="H8839" s="7">
        <v>3.0</v>
      </c>
      <c r="I8839" s="7">
        <v>8.0</v>
      </c>
      <c r="J8839" s="7">
        <v>1.0</v>
      </c>
      <c r="K8839" s="7">
        <v>4.0</v>
      </c>
      <c r="L8839" s="8" t="s">
        <v>54798</v>
      </c>
      <c r="M8839" s="6" t="s">
        <v>54799</v>
      </c>
      <c r="N8839" s="6" t="s">
        <v>6669</v>
      </c>
      <c r="O8839" s="8" t="s">
        <v>6670</v>
      </c>
      <c r="P8839" s="6" t="s">
        <v>28292</v>
      </c>
      <c r="Q8839" s="6" t="s">
        <v>8191</v>
      </c>
      <c r="R8839" s="6" t="s">
        <v>1185</v>
      </c>
      <c r="S8839" s="8" t="s">
        <v>1709</v>
      </c>
      <c r="T8839" s="6" t="s">
        <v>66</v>
      </c>
      <c r="U8839" s="8" t="s">
        <v>31</v>
      </c>
      <c r="V8839" s="6" t="s">
        <v>54757</v>
      </c>
      <c r="W8839" s="6" t="s">
        <v>54689</v>
      </c>
      <c r="X8839" s="9" t="str">
        <f>HYPERLINK("https://my.pitchbook.com?p=234847-00P","View People Online")</f>
        <v>View People Online</v>
      </c>
    </row>
    <row r="8840">
      <c r="A8840" s="2" t="s">
        <v>54800</v>
      </c>
      <c r="B8840" s="2" t="s">
        <v>54801</v>
      </c>
      <c r="C8840" s="2" t="s">
        <v>31027</v>
      </c>
      <c r="D8840" s="2" t="s">
        <v>54802</v>
      </c>
      <c r="E8840" s="2" t="s">
        <v>54689</v>
      </c>
      <c r="F8840" s="2" t="s">
        <v>81</v>
      </c>
      <c r="G8840" s="2" t="s">
        <v>54803</v>
      </c>
      <c r="H8840" s="3" t="s">
        <v>31</v>
      </c>
      <c r="I8840" s="3">
        <v>3.0</v>
      </c>
      <c r="J8840" s="3">
        <v>2.0</v>
      </c>
      <c r="K8840" s="3" t="s">
        <v>31</v>
      </c>
      <c r="L8840" s="4" t="s">
        <v>54804</v>
      </c>
      <c r="M8840" s="2" t="s">
        <v>54805</v>
      </c>
      <c r="N8840" s="2" t="s">
        <v>429</v>
      </c>
      <c r="O8840" s="4" t="s">
        <v>430</v>
      </c>
      <c r="P8840" s="2" t="s">
        <v>54806</v>
      </c>
      <c r="Q8840" s="2" t="s">
        <v>31</v>
      </c>
      <c r="R8840" s="2" t="s">
        <v>31</v>
      </c>
      <c r="S8840" s="4" t="s">
        <v>432</v>
      </c>
      <c r="T8840" s="2" t="s">
        <v>433</v>
      </c>
      <c r="U8840" s="4" t="s">
        <v>54807</v>
      </c>
      <c r="V8840" s="2" t="s">
        <v>57</v>
      </c>
      <c r="W8840" s="2" t="s">
        <v>54808</v>
      </c>
      <c r="X8840" s="5" t="str">
        <f>HYPERLINK("https://my.pitchbook.com?p=304752-25P","View People Online")</f>
        <v>View People Online</v>
      </c>
    </row>
    <row r="8841">
      <c r="A8841" s="14" t="s">
        <v>54809</v>
      </c>
      <c r="B8841" s="14" t="s">
        <v>54810</v>
      </c>
      <c r="C8841" s="14" t="s">
        <v>9504</v>
      </c>
      <c r="D8841" s="14" t="s">
        <v>3625</v>
      </c>
      <c r="E8841" s="14" t="s">
        <v>54689</v>
      </c>
      <c r="F8841" s="14" t="s">
        <v>81</v>
      </c>
      <c r="G8841" s="14" t="s">
        <v>54811</v>
      </c>
      <c r="H8841" s="15">
        <v>2.0</v>
      </c>
      <c r="I8841" s="15">
        <v>6.0</v>
      </c>
      <c r="J8841" s="15">
        <v>4.0</v>
      </c>
      <c r="K8841" s="15" t="s">
        <v>31</v>
      </c>
      <c r="L8841" s="16" t="s">
        <v>54812</v>
      </c>
      <c r="M8841" s="14" t="s">
        <v>54813</v>
      </c>
      <c r="N8841" s="14" t="s">
        <v>54814</v>
      </c>
      <c r="O8841" s="16" t="s">
        <v>54815</v>
      </c>
      <c r="P8841" s="14" t="s">
        <v>54816</v>
      </c>
      <c r="Q8841" s="14" t="s">
        <v>54817</v>
      </c>
      <c r="R8841" s="14" t="s">
        <v>1185</v>
      </c>
      <c r="S8841" s="16" t="s">
        <v>54818</v>
      </c>
      <c r="T8841" s="14" t="s">
        <v>66</v>
      </c>
      <c r="U8841" s="16" t="s">
        <v>31</v>
      </c>
      <c r="V8841" s="14" t="s">
        <v>3930</v>
      </c>
      <c r="W8841" s="14" t="s">
        <v>54819</v>
      </c>
      <c r="X8841" s="17" t="str">
        <f>HYPERLINK("https://my.pitchbook.com?p=220781-26P","View People Online")</f>
        <v>View People Online</v>
      </c>
    </row>
    <row r="8842">
      <c r="A8842" s="10" t="s">
        <v>54820</v>
      </c>
      <c r="B8842" s="10" t="s">
        <v>54821</v>
      </c>
      <c r="C8842" s="10" t="s">
        <v>536</v>
      </c>
      <c r="D8842" s="10" t="s">
        <v>54822</v>
      </c>
      <c r="E8842" s="10" t="s">
        <v>54689</v>
      </c>
      <c r="F8842" s="10" t="s">
        <v>2731</v>
      </c>
      <c r="G8842" s="10" t="s">
        <v>54823</v>
      </c>
      <c r="H8842" s="11">
        <v>1.0</v>
      </c>
      <c r="I8842" s="11">
        <v>46.0</v>
      </c>
      <c r="J8842" s="11" t="s">
        <v>31</v>
      </c>
      <c r="K8842" s="11">
        <v>36.0</v>
      </c>
      <c r="L8842" s="12" t="s">
        <v>54691</v>
      </c>
      <c r="M8842" s="10" t="s">
        <v>31</v>
      </c>
      <c r="N8842" s="10" t="s">
        <v>6669</v>
      </c>
      <c r="O8842" s="12" t="s">
        <v>6670</v>
      </c>
      <c r="P8842" s="10" t="s">
        <v>28292</v>
      </c>
      <c r="Q8842" s="10" t="s">
        <v>8191</v>
      </c>
      <c r="R8842" s="10" t="s">
        <v>1185</v>
      </c>
      <c r="S8842" s="12" t="s">
        <v>1709</v>
      </c>
      <c r="T8842" s="10" t="s">
        <v>66</v>
      </c>
      <c r="U8842" s="12" t="s">
        <v>31</v>
      </c>
      <c r="V8842" s="10" t="s">
        <v>2731</v>
      </c>
      <c r="W8842" s="10" t="s">
        <v>54689</v>
      </c>
      <c r="X8842" s="13" t="str">
        <f>HYPERLINK("https://my.pitchbook.com?p=13815-73P","View People Online")</f>
        <v>View People Online</v>
      </c>
    </row>
    <row r="8843">
      <c r="A8843" s="14" t="s">
        <v>54824</v>
      </c>
      <c r="B8843" s="14" t="s">
        <v>54825</v>
      </c>
      <c r="C8843" s="14" t="s">
        <v>536</v>
      </c>
      <c r="D8843" s="14" t="s">
        <v>29275</v>
      </c>
      <c r="E8843" s="14" t="s">
        <v>54689</v>
      </c>
      <c r="F8843" s="14" t="s">
        <v>2731</v>
      </c>
      <c r="G8843" s="14" t="s">
        <v>54826</v>
      </c>
      <c r="H8843" s="15">
        <v>3.0</v>
      </c>
      <c r="I8843" s="15">
        <v>5.0</v>
      </c>
      <c r="J8843" s="15">
        <v>1.0</v>
      </c>
      <c r="K8843" s="15" t="s">
        <v>31</v>
      </c>
      <c r="L8843" s="16" t="s">
        <v>54827</v>
      </c>
      <c r="M8843" s="14" t="s">
        <v>31</v>
      </c>
      <c r="N8843" s="14" t="s">
        <v>75</v>
      </c>
      <c r="O8843" s="16" t="s">
        <v>76</v>
      </c>
      <c r="P8843" s="14" t="s">
        <v>54828</v>
      </c>
      <c r="Q8843" s="14" t="s">
        <v>31</v>
      </c>
      <c r="R8843" s="14" t="s">
        <v>75</v>
      </c>
      <c r="S8843" s="16" t="s">
        <v>49054</v>
      </c>
      <c r="T8843" s="14" t="s">
        <v>66</v>
      </c>
      <c r="U8843" s="16" t="s">
        <v>31</v>
      </c>
      <c r="V8843" s="14" t="s">
        <v>54829</v>
      </c>
      <c r="W8843" s="14" t="s">
        <v>54830</v>
      </c>
      <c r="X8843" s="17" t="str">
        <f>HYPERLINK("https://my.pitchbook.com?p=65932-57P","View People Online")</f>
        <v>View People Online</v>
      </c>
    </row>
    <row r="8844">
      <c r="A8844" s="2" t="s">
        <v>54831</v>
      </c>
      <c r="B8844" s="2" t="s">
        <v>54832</v>
      </c>
      <c r="C8844" s="2" t="s">
        <v>4015</v>
      </c>
      <c r="D8844" s="2" t="s">
        <v>39932</v>
      </c>
      <c r="E8844" s="2" t="s">
        <v>54689</v>
      </c>
      <c r="F8844" s="2" t="s">
        <v>667</v>
      </c>
      <c r="G8844" s="2" t="s">
        <v>54833</v>
      </c>
      <c r="H8844" s="3" t="s">
        <v>31</v>
      </c>
      <c r="I8844" s="3">
        <v>1.0</v>
      </c>
      <c r="J8844" s="3">
        <v>1.0</v>
      </c>
      <c r="K8844" s="3" t="s">
        <v>31</v>
      </c>
      <c r="L8844" s="4" t="s">
        <v>54691</v>
      </c>
      <c r="M8844" s="2" t="s">
        <v>54834</v>
      </c>
      <c r="N8844" s="2" t="s">
        <v>6669</v>
      </c>
      <c r="O8844" s="4" t="s">
        <v>6670</v>
      </c>
      <c r="P8844" s="2" t="s">
        <v>28292</v>
      </c>
      <c r="Q8844" s="2" t="s">
        <v>8191</v>
      </c>
      <c r="R8844" s="2" t="s">
        <v>1185</v>
      </c>
      <c r="S8844" s="4" t="s">
        <v>1709</v>
      </c>
      <c r="T8844" s="2" t="s">
        <v>66</v>
      </c>
      <c r="U8844" s="4" t="s">
        <v>31</v>
      </c>
      <c r="V8844" s="2" t="s">
        <v>667</v>
      </c>
      <c r="W8844" s="2" t="s">
        <v>54689</v>
      </c>
      <c r="X8844" s="5" t="str">
        <f>HYPERLINK("https://my.pitchbook.com?p=380445-13P","View People Online")</f>
        <v>View People Online</v>
      </c>
    </row>
    <row r="8845">
      <c r="A8845" s="6" t="s">
        <v>54835</v>
      </c>
      <c r="B8845" s="6" t="s">
        <v>54836</v>
      </c>
      <c r="C8845" s="6" t="s">
        <v>54837</v>
      </c>
      <c r="D8845" s="6" t="s">
        <v>54838</v>
      </c>
      <c r="E8845" s="6" t="s">
        <v>54689</v>
      </c>
      <c r="F8845" s="6" t="s">
        <v>7182</v>
      </c>
      <c r="G8845" s="6" t="s">
        <v>54839</v>
      </c>
      <c r="H8845" s="7" t="s">
        <v>31</v>
      </c>
      <c r="I8845" s="7">
        <v>1.0</v>
      </c>
      <c r="J8845" s="7">
        <v>1.0</v>
      </c>
      <c r="K8845" s="7" t="s">
        <v>31</v>
      </c>
      <c r="L8845" s="8" t="s">
        <v>54691</v>
      </c>
      <c r="M8845" s="6" t="s">
        <v>54840</v>
      </c>
      <c r="N8845" s="6" t="s">
        <v>6669</v>
      </c>
      <c r="O8845" s="8" t="s">
        <v>6670</v>
      </c>
      <c r="P8845" s="6" t="s">
        <v>28292</v>
      </c>
      <c r="Q8845" s="6" t="s">
        <v>8191</v>
      </c>
      <c r="R8845" s="6" t="s">
        <v>1185</v>
      </c>
      <c r="S8845" s="8" t="s">
        <v>1709</v>
      </c>
      <c r="T8845" s="6" t="s">
        <v>66</v>
      </c>
      <c r="U8845" s="8" t="s">
        <v>31</v>
      </c>
      <c r="V8845" s="6" t="s">
        <v>54841</v>
      </c>
      <c r="W8845" s="6" t="s">
        <v>54689</v>
      </c>
      <c r="X8845" s="9" t="str">
        <f>HYPERLINK("https://my.pitchbook.com?p=234845-92P","View People Online")</f>
        <v>View People Online</v>
      </c>
    </row>
    <row r="8846">
      <c r="A8846" s="10" t="s">
        <v>54842</v>
      </c>
      <c r="B8846" s="10" t="s">
        <v>54843</v>
      </c>
      <c r="C8846" s="10" t="s">
        <v>2451</v>
      </c>
      <c r="D8846" s="10" t="s">
        <v>54844</v>
      </c>
      <c r="E8846" s="10" t="s">
        <v>54689</v>
      </c>
      <c r="F8846" s="10" t="s">
        <v>81</v>
      </c>
      <c r="G8846" s="10" t="s">
        <v>54845</v>
      </c>
      <c r="H8846" s="11">
        <v>1.0</v>
      </c>
      <c r="I8846" s="11">
        <v>9.0</v>
      </c>
      <c r="J8846" s="11">
        <v>3.0</v>
      </c>
      <c r="K8846" s="11">
        <v>2.0</v>
      </c>
      <c r="L8846" s="12" t="s">
        <v>54846</v>
      </c>
      <c r="M8846" s="10" t="s">
        <v>54847</v>
      </c>
      <c r="N8846" s="10" t="s">
        <v>1181</v>
      </c>
      <c r="O8846" s="12" t="s">
        <v>1182</v>
      </c>
      <c r="P8846" s="10" t="s">
        <v>54848</v>
      </c>
      <c r="Q8846" s="10" t="s">
        <v>31</v>
      </c>
      <c r="R8846" s="10" t="s">
        <v>1185</v>
      </c>
      <c r="S8846" s="12" t="s">
        <v>1186</v>
      </c>
      <c r="T8846" s="10" t="s">
        <v>66</v>
      </c>
      <c r="U8846" s="12" t="s">
        <v>31</v>
      </c>
      <c r="V8846" s="10" t="s">
        <v>54849</v>
      </c>
      <c r="W8846" s="10" t="s">
        <v>54850</v>
      </c>
      <c r="X8846" s="13" t="str">
        <f>HYPERLINK("https://my.pitchbook.com?p=27533-80P","View People Online")</f>
        <v>View People Online</v>
      </c>
    </row>
    <row r="8847">
      <c r="A8847" s="6" t="s">
        <v>54851</v>
      </c>
      <c r="B8847" s="6" t="s">
        <v>54852</v>
      </c>
      <c r="C8847" s="6" t="s">
        <v>54853</v>
      </c>
      <c r="D8847" s="6" t="s">
        <v>7978</v>
      </c>
      <c r="E8847" s="6" t="s">
        <v>54689</v>
      </c>
      <c r="F8847" s="6" t="s">
        <v>81</v>
      </c>
      <c r="G8847" s="6" t="s">
        <v>54854</v>
      </c>
      <c r="H8847" s="7">
        <v>1.0</v>
      </c>
      <c r="I8847" s="7">
        <v>3.0</v>
      </c>
      <c r="J8847" s="7">
        <v>1.0</v>
      </c>
      <c r="K8847" s="7">
        <v>1.0</v>
      </c>
      <c r="L8847" s="8" t="s">
        <v>54855</v>
      </c>
      <c r="M8847" s="6" t="s">
        <v>54856</v>
      </c>
      <c r="N8847" s="6" t="s">
        <v>1368</v>
      </c>
      <c r="O8847" s="8" t="s">
        <v>1369</v>
      </c>
      <c r="P8847" s="6" t="s">
        <v>6399</v>
      </c>
      <c r="Q8847" s="6" t="s">
        <v>31</v>
      </c>
      <c r="R8847" s="6" t="s">
        <v>1185</v>
      </c>
      <c r="S8847" s="8" t="s">
        <v>6672</v>
      </c>
      <c r="T8847" s="6" t="s">
        <v>66</v>
      </c>
      <c r="U8847" s="8" t="s">
        <v>31</v>
      </c>
      <c r="V8847" s="6" t="s">
        <v>54857</v>
      </c>
      <c r="W8847" s="6" t="s">
        <v>54858</v>
      </c>
      <c r="X8847" s="9" t="str">
        <f>HYPERLINK("https://my.pitchbook.com?p=171287-11P","View People Online")</f>
        <v>View People Online</v>
      </c>
    </row>
    <row r="8848">
      <c r="A8848" s="2" t="s">
        <v>54859</v>
      </c>
      <c r="B8848" s="2" t="s">
        <v>54860</v>
      </c>
      <c r="C8848" s="2" t="s">
        <v>1824</v>
      </c>
      <c r="D8848" s="2" t="s">
        <v>54861</v>
      </c>
      <c r="E8848" s="2" t="s">
        <v>54689</v>
      </c>
      <c r="F8848" s="2" t="s">
        <v>81</v>
      </c>
      <c r="G8848" s="2" t="s">
        <v>54862</v>
      </c>
      <c r="H8848" s="3">
        <v>4.0</v>
      </c>
      <c r="I8848" s="3">
        <v>7.0</v>
      </c>
      <c r="J8848" s="3" t="s">
        <v>31</v>
      </c>
      <c r="K8848" s="3" t="s">
        <v>31</v>
      </c>
      <c r="L8848" s="4" t="s">
        <v>54863</v>
      </c>
      <c r="M8848" s="2" t="s">
        <v>31</v>
      </c>
      <c r="N8848" s="2" t="s">
        <v>54864</v>
      </c>
      <c r="O8848" s="4" t="s">
        <v>54865</v>
      </c>
      <c r="P8848" s="2" t="s">
        <v>54866</v>
      </c>
      <c r="Q8848" s="2" t="s">
        <v>31</v>
      </c>
      <c r="R8848" s="2" t="s">
        <v>13171</v>
      </c>
      <c r="S8848" s="4" t="s">
        <v>54867</v>
      </c>
      <c r="T8848" s="2" t="s">
        <v>66</v>
      </c>
      <c r="U8848" s="4" t="s">
        <v>54868</v>
      </c>
      <c r="V8848" s="2" t="s">
        <v>2379</v>
      </c>
      <c r="W8848" s="2" t="s">
        <v>54869</v>
      </c>
      <c r="X8848" s="5" t="str">
        <f>HYPERLINK("https://my.pitchbook.com?p=64025-38P","View People Online")</f>
        <v>View People Online</v>
      </c>
    </row>
    <row r="8849">
      <c r="A8849" s="14" t="s">
        <v>54870</v>
      </c>
      <c r="B8849" s="14" t="s">
        <v>54871</v>
      </c>
      <c r="C8849" s="14" t="s">
        <v>1066</v>
      </c>
      <c r="D8849" s="14" t="s">
        <v>54872</v>
      </c>
      <c r="E8849" s="14" t="s">
        <v>54689</v>
      </c>
      <c r="F8849" s="14" t="s">
        <v>81</v>
      </c>
      <c r="G8849" s="14" t="s">
        <v>54873</v>
      </c>
      <c r="H8849" s="15">
        <v>1.0</v>
      </c>
      <c r="I8849" s="15">
        <v>7.0</v>
      </c>
      <c r="J8849" s="15">
        <v>6.0</v>
      </c>
      <c r="K8849" s="15" t="s">
        <v>31</v>
      </c>
      <c r="L8849" s="16" t="s">
        <v>54874</v>
      </c>
      <c r="M8849" s="14" t="s">
        <v>54875</v>
      </c>
      <c r="N8849" s="14" t="s">
        <v>6725</v>
      </c>
      <c r="O8849" s="16" t="s">
        <v>6726</v>
      </c>
      <c r="P8849" s="14" t="s">
        <v>54876</v>
      </c>
      <c r="Q8849" s="14" t="s">
        <v>31</v>
      </c>
      <c r="R8849" s="14" t="s">
        <v>1185</v>
      </c>
      <c r="S8849" s="16" t="s">
        <v>6729</v>
      </c>
      <c r="T8849" s="14" t="s">
        <v>66</v>
      </c>
      <c r="U8849" s="16" t="s">
        <v>31</v>
      </c>
      <c r="V8849" s="14" t="s">
        <v>157</v>
      </c>
      <c r="W8849" s="14" t="s">
        <v>54877</v>
      </c>
      <c r="X8849" s="17" t="str">
        <f>HYPERLINK("https://my.pitchbook.com?p=116140-87P","View People Online")</f>
        <v>View People Online</v>
      </c>
    </row>
    <row r="8850">
      <c r="A8850" s="10" t="s">
        <v>54878</v>
      </c>
      <c r="B8850" s="10" t="s">
        <v>54879</v>
      </c>
      <c r="C8850" s="10" t="s">
        <v>54880</v>
      </c>
      <c r="D8850" s="10" t="s">
        <v>9925</v>
      </c>
      <c r="E8850" s="10" t="s">
        <v>54689</v>
      </c>
      <c r="F8850" s="10" t="s">
        <v>4592</v>
      </c>
      <c r="G8850" s="10" t="s">
        <v>54881</v>
      </c>
      <c r="H8850" s="11">
        <v>3.0</v>
      </c>
      <c r="I8850" s="11">
        <v>6.0</v>
      </c>
      <c r="J8850" s="11">
        <v>1.0</v>
      </c>
      <c r="K8850" s="11">
        <v>2.0</v>
      </c>
      <c r="L8850" s="12" t="s">
        <v>54882</v>
      </c>
      <c r="M8850" s="10" t="s">
        <v>54883</v>
      </c>
      <c r="N8850" s="10" t="s">
        <v>6669</v>
      </c>
      <c r="O8850" s="12" t="s">
        <v>6670</v>
      </c>
      <c r="P8850" s="10" t="s">
        <v>28292</v>
      </c>
      <c r="Q8850" s="10" t="s">
        <v>8191</v>
      </c>
      <c r="R8850" s="10" t="s">
        <v>1185</v>
      </c>
      <c r="S8850" s="12" t="s">
        <v>1709</v>
      </c>
      <c r="T8850" s="10" t="s">
        <v>66</v>
      </c>
      <c r="U8850" s="12" t="s">
        <v>31</v>
      </c>
      <c r="V8850" s="10" t="s">
        <v>54757</v>
      </c>
      <c r="W8850" s="10" t="s">
        <v>54689</v>
      </c>
      <c r="X8850" s="13" t="str">
        <f>HYPERLINK("https://my.pitchbook.com?p=234846-55P","View People Online")</f>
        <v>View People Online</v>
      </c>
    </row>
    <row r="8851">
      <c r="A8851" s="6" t="s">
        <v>54884</v>
      </c>
      <c r="B8851" s="6" t="s">
        <v>54885</v>
      </c>
      <c r="C8851" s="6" t="s">
        <v>9814</v>
      </c>
      <c r="D8851" s="6" t="s">
        <v>54886</v>
      </c>
      <c r="E8851" s="6" t="s">
        <v>54689</v>
      </c>
      <c r="F8851" s="6" t="s">
        <v>81</v>
      </c>
      <c r="G8851" s="6" t="s">
        <v>54887</v>
      </c>
      <c r="H8851" s="7" t="s">
        <v>31</v>
      </c>
      <c r="I8851" s="7">
        <v>1.0</v>
      </c>
      <c r="J8851" s="7" t="s">
        <v>31</v>
      </c>
      <c r="K8851" s="7" t="s">
        <v>31</v>
      </c>
      <c r="L8851" s="8" t="s">
        <v>54691</v>
      </c>
      <c r="M8851" s="6" t="s">
        <v>54888</v>
      </c>
      <c r="N8851" s="6" t="s">
        <v>6669</v>
      </c>
      <c r="O8851" s="8" t="s">
        <v>6670</v>
      </c>
      <c r="P8851" s="6" t="s">
        <v>28292</v>
      </c>
      <c r="Q8851" s="6" t="s">
        <v>8191</v>
      </c>
      <c r="R8851" s="6" t="s">
        <v>1185</v>
      </c>
      <c r="S8851" s="8" t="s">
        <v>1709</v>
      </c>
      <c r="T8851" s="6" t="s">
        <v>66</v>
      </c>
      <c r="U8851" s="8" t="s">
        <v>31</v>
      </c>
      <c r="V8851" s="6" t="s">
        <v>31</v>
      </c>
      <c r="W8851" s="6" t="s">
        <v>54889</v>
      </c>
      <c r="X8851" s="9" t="str">
        <f>HYPERLINK("https://my.pitchbook.com?p=44055-46P","View People Online")</f>
        <v>View People Online</v>
      </c>
    </row>
    <row r="8852">
      <c r="A8852" s="2" t="s">
        <v>54890</v>
      </c>
      <c r="B8852" s="2" t="s">
        <v>54891</v>
      </c>
      <c r="C8852" s="2" t="s">
        <v>13488</v>
      </c>
      <c r="D8852" s="2" t="s">
        <v>54892</v>
      </c>
      <c r="E8852" s="2" t="s">
        <v>54893</v>
      </c>
      <c r="F8852" s="2" t="s">
        <v>2379</v>
      </c>
      <c r="G8852" s="2" t="s">
        <v>54894</v>
      </c>
      <c r="H8852" s="3">
        <v>1.0</v>
      </c>
      <c r="I8852" s="3">
        <v>1.0</v>
      </c>
      <c r="J8852" s="3">
        <v>1.0</v>
      </c>
      <c r="K8852" s="3" t="s">
        <v>31</v>
      </c>
      <c r="L8852" s="4" t="s">
        <v>54895</v>
      </c>
      <c r="M8852" s="2" t="s">
        <v>31</v>
      </c>
      <c r="N8852" s="2" t="s">
        <v>429</v>
      </c>
      <c r="O8852" s="4" t="s">
        <v>430</v>
      </c>
      <c r="P8852" s="2" t="s">
        <v>54896</v>
      </c>
      <c r="Q8852" s="2" t="s">
        <v>54897</v>
      </c>
      <c r="R8852" s="2" t="s">
        <v>31</v>
      </c>
      <c r="S8852" s="4" t="s">
        <v>54898</v>
      </c>
      <c r="T8852" s="2" t="s">
        <v>433</v>
      </c>
      <c r="U8852" s="4" t="s">
        <v>31</v>
      </c>
      <c r="V8852" s="2" t="s">
        <v>2379</v>
      </c>
      <c r="W8852" s="2" t="s">
        <v>54893</v>
      </c>
      <c r="X8852" s="5" t="str">
        <f>HYPERLINK("https://my.pitchbook.com?p=122471-20P","View People Online")</f>
        <v>View People Online</v>
      </c>
    </row>
    <row r="8853">
      <c r="A8853" s="14" t="s">
        <v>54899</v>
      </c>
      <c r="B8853" s="14" t="s">
        <v>54900</v>
      </c>
      <c r="C8853" s="14" t="s">
        <v>54901</v>
      </c>
      <c r="D8853" s="14" t="s">
        <v>54902</v>
      </c>
      <c r="E8853" s="14" t="s">
        <v>54893</v>
      </c>
      <c r="F8853" s="14" t="s">
        <v>548</v>
      </c>
      <c r="G8853" s="14" t="s">
        <v>54903</v>
      </c>
      <c r="H8853" s="15" t="s">
        <v>31</v>
      </c>
      <c r="I8853" s="15">
        <v>1.0</v>
      </c>
      <c r="J8853" s="15">
        <v>1.0</v>
      </c>
      <c r="K8853" s="15" t="s">
        <v>31</v>
      </c>
      <c r="L8853" s="16" t="s">
        <v>54895</v>
      </c>
      <c r="M8853" s="14" t="s">
        <v>54904</v>
      </c>
      <c r="N8853" s="14" t="s">
        <v>429</v>
      </c>
      <c r="O8853" s="16" t="s">
        <v>430</v>
      </c>
      <c r="P8853" s="14" t="s">
        <v>54896</v>
      </c>
      <c r="Q8853" s="14" t="s">
        <v>54897</v>
      </c>
      <c r="R8853" s="14" t="s">
        <v>31</v>
      </c>
      <c r="S8853" s="16" t="s">
        <v>54898</v>
      </c>
      <c r="T8853" s="14" t="s">
        <v>433</v>
      </c>
      <c r="U8853" s="16" t="s">
        <v>31</v>
      </c>
      <c r="V8853" s="14" t="s">
        <v>54905</v>
      </c>
      <c r="W8853" s="14" t="s">
        <v>54893</v>
      </c>
      <c r="X8853" s="17" t="str">
        <f>HYPERLINK("https://my.pitchbook.com?p=395435-89P","View People Online")</f>
        <v>View People Online</v>
      </c>
    </row>
    <row r="8854">
      <c r="A8854" s="10" t="s">
        <v>54906</v>
      </c>
      <c r="B8854" s="10" t="s">
        <v>54907</v>
      </c>
      <c r="C8854" s="10" t="s">
        <v>10162</v>
      </c>
      <c r="D8854" s="10" t="s">
        <v>13089</v>
      </c>
      <c r="E8854" s="10" t="s">
        <v>54893</v>
      </c>
      <c r="F8854" s="10" t="s">
        <v>4600</v>
      </c>
      <c r="G8854" s="10" t="s">
        <v>54908</v>
      </c>
      <c r="H8854" s="11" t="s">
        <v>31</v>
      </c>
      <c r="I8854" s="11">
        <v>1.0</v>
      </c>
      <c r="J8854" s="11">
        <v>1.0</v>
      </c>
      <c r="K8854" s="11" t="s">
        <v>31</v>
      </c>
      <c r="L8854" s="12" t="s">
        <v>54895</v>
      </c>
      <c r="M8854" s="10" t="s">
        <v>31</v>
      </c>
      <c r="N8854" s="10" t="s">
        <v>429</v>
      </c>
      <c r="O8854" s="12" t="s">
        <v>430</v>
      </c>
      <c r="P8854" s="10" t="s">
        <v>54896</v>
      </c>
      <c r="Q8854" s="10" t="s">
        <v>54897</v>
      </c>
      <c r="R8854" s="10" t="s">
        <v>31</v>
      </c>
      <c r="S8854" s="12" t="s">
        <v>54898</v>
      </c>
      <c r="T8854" s="10" t="s">
        <v>433</v>
      </c>
      <c r="U8854" s="12" t="s">
        <v>31</v>
      </c>
      <c r="V8854" s="10" t="s">
        <v>42434</v>
      </c>
      <c r="W8854" s="10" t="s">
        <v>54893</v>
      </c>
      <c r="X8854" s="13" t="str">
        <f>HYPERLINK("https://my.pitchbook.com?p=319424-68P","View People Online")</f>
        <v>View People Online</v>
      </c>
    </row>
    <row r="8855">
      <c r="A8855" s="6" t="s">
        <v>54909</v>
      </c>
      <c r="B8855" s="6" t="s">
        <v>54910</v>
      </c>
      <c r="C8855" s="6" t="s">
        <v>14352</v>
      </c>
      <c r="D8855" s="6" t="s">
        <v>54911</v>
      </c>
      <c r="E8855" s="6" t="s">
        <v>54893</v>
      </c>
      <c r="F8855" s="6" t="s">
        <v>2835</v>
      </c>
      <c r="G8855" s="6" t="s">
        <v>54912</v>
      </c>
      <c r="H8855" s="7" t="s">
        <v>31</v>
      </c>
      <c r="I8855" s="7">
        <v>1.0</v>
      </c>
      <c r="J8855" s="7">
        <v>1.0</v>
      </c>
      <c r="K8855" s="7" t="s">
        <v>31</v>
      </c>
      <c r="L8855" s="8" t="s">
        <v>54895</v>
      </c>
      <c r="M8855" s="6" t="s">
        <v>54913</v>
      </c>
      <c r="N8855" s="6" t="s">
        <v>429</v>
      </c>
      <c r="O8855" s="8" t="s">
        <v>430</v>
      </c>
      <c r="P8855" s="6" t="s">
        <v>54896</v>
      </c>
      <c r="Q8855" s="6" t="s">
        <v>54897</v>
      </c>
      <c r="R8855" s="6" t="s">
        <v>31</v>
      </c>
      <c r="S8855" s="8" t="s">
        <v>54898</v>
      </c>
      <c r="T8855" s="6" t="s">
        <v>433</v>
      </c>
      <c r="U8855" s="8" t="s">
        <v>31</v>
      </c>
      <c r="V8855" s="6" t="s">
        <v>3689</v>
      </c>
      <c r="W8855" s="6" t="s">
        <v>54893</v>
      </c>
      <c r="X8855" s="9" t="str">
        <f>HYPERLINK("https://my.pitchbook.com?p=271463-50P","View People Online")</f>
        <v>View People Online</v>
      </c>
    </row>
    <row r="8856">
      <c r="A8856" s="10" t="s">
        <v>54914</v>
      </c>
      <c r="B8856" s="10" t="s">
        <v>54915</v>
      </c>
      <c r="C8856" s="10" t="s">
        <v>54916</v>
      </c>
      <c r="D8856" s="10" t="s">
        <v>54917</v>
      </c>
      <c r="E8856" s="10" t="s">
        <v>54893</v>
      </c>
      <c r="F8856" s="10" t="s">
        <v>470</v>
      </c>
      <c r="G8856" s="10" t="s">
        <v>54918</v>
      </c>
      <c r="H8856" s="11" t="s">
        <v>31</v>
      </c>
      <c r="I8856" s="11">
        <v>2.0</v>
      </c>
      <c r="J8856" s="11">
        <v>1.0</v>
      </c>
      <c r="K8856" s="11">
        <v>1.0</v>
      </c>
      <c r="L8856" s="12" t="s">
        <v>54895</v>
      </c>
      <c r="M8856" s="10" t="s">
        <v>54919</v>
      </c>
      <c r="N8856" s="10" t="s">
        <v>429</v>
      </c>
      <c r="O8856" s="12" t="s">
        <v>430</v>
      </c>
      <c r="P8856" s="10" t="s">
        <v>54896</v>
      </c>
      <c r="Q8856" s="10" t="s">
        <v>54897</v>
      </c>
      <c r="R8856" s="10" t="s">
        <v>31</v>
      </c>
      <c r="S8856" s="12" t="s">
        <v>54898</v>
      </c>
      <c r="T8856" s="10" t="s">
        <v>433</v>
      </c>
      <c r="U8856" s="12" t="s">
        <v>31</v>
      </c>
      <c r="V8856" s="10" t="s">
        <v>470</v>
      </c>
      <c r="W8856" s="10" t="s">
        <v>54893</v>
      </c>
      <c r="X8856" s="13" t="str">
        <f>HYPERLINK("https://my.pitchbook.com?p=338034-43P","View People Online")</f>
        <v>View People Online</v>
      </c>
    </row>
    <row r="8857">
      <c r="A8857" s="6" t="s">
        <v>54920</v>
      </c>
      <c r="B8857" s="6" t="s">
        <v>54921</v>
      </c>
      <c r="C8857" s="6" t="s">
        <v>54922</v>
      </c>
      <c r="D8857" s="6" t="s">
        <v>54923</v>
      </c>
      <c r="E8857" s="6" t="s">
        <v>54893</v>
      </c>
      <c r="F8857" s="6" t="s">
        <v>54924</v>
      </c>
      <c r="G8857" s="6" t="s">
        <v>54925</v>
      </c>
      <c r="H8857" s="7" t="s">
        <v>31</v>
      </c>
      <c r="I8857" s="7">
        <v>1.0</v>
      </c>
      <c r="J8857" s="7">
        <v>1.0</v>
      </c>
      <c r="K8857" s="7" t="s">
        <v>31</v>
      </c>
      <c r="L8857" s="8" t="s">
        <v>54895</v>
      </c>
      <c r="M8857" s="6" t="s">
        <v>54926</v>
      </c>
      <c r="N8857" s="6" t="s">
        <v>429</v>
      </c>
      <c r="O8857" s="8" t="s">
        <v>430</v>
      </c>
      <c r="P8857" s="6" t="s">
        <v>54896</v>
      </c>
      <c r="Q8857" s="6" t="s">
        <v>54897</v>
      </c>
      <c r="R8857" s="6" t="s">
        <v>31</v>
      </c>
      <c r="S8857" s="8" t="s">
        <v>54898</v>
      </c>
      <c r="T8857" s="6" t="s">
        <v>433</v>
      </c>
      <c r="U8857" s="8" t="s">
        <v>31</v>
      </c>
      <c r="V8857" s="6" t="s">
        <v>54927</v>
      </c>
      <c r="W8857" s="6" t="s">
        <v>54893</v>
      </c>
      <c r="X8857" s="9" t="str">
        <f>HYPERLINK("https://my.pitchbook.com?p=142587-46P","View People Online")</f>
        <v>View People Online</v>
      </c>
    </row>
    <row r="8858">
      <c r="A8858" s="2" t="s">
        <v>54928</v>
      </c>
      <c r="B8858" s="2" t="s">
        <v>54929</v>
      </c>
      <c r="C8858" s="2" t="s">
        <v>54930</v>
      </c>
      <c r="D8858" s="2" t="s">
        <v>54931</v>
      </c>
      <c r="E8858" s="2" t="s">
        <v>54893</v>
      </c>
      <c r="F8858" s="2" t="s">
        <v>371</v>
      </c>
      <c r="G8858" s="2" t="s">
        <v>54932</v>
      </c>
      <c r="H8858" s="3" t="s">
        <v>31</v>
      </c>
      <c r="I8858" s="3">
        <v>5.0</v>
      </c>
      <c r="J8858" s="3">
        <v>2.0</v>
      </c>
      <c r="K8858" s="3">
        <v>3.0</v>
      </c>
      <c r="L8858" s="4" t="s">
        <v>54895</v>
      </c>
      <c r="M8858" s="2" t="s">
        <v>54933</v>
      </c>
      <c r="N8858" s="2" t="s">
        <v>429</v>
      </c>
      <c r="O8858" s="4" t="s">
        <v>430</v>
      </c>
      <c r="P8858" s="2" t="s">
        <v>54896</v>
      </c>
      <c r="Q8858" s="2" t="s">
        <v>54897</v>
      </c>
      <c r="R8858" s="2" t="s">
        <v>31</v>
      </c>
      <c r="S8858" s="4" t="s">
        <v>54898</v>
      </c>
      <c r="T8858" s="2" t="s">
        <v>433</v>
      </c>
      <c r="U8858" s="4" t="s">
        <v>31</v>
      </c>
      <c r="V8858" s="2" t="s">
        <v>54934</v>
      </c>
      <c r="W8858" s="2" t="s">
        <v>54893</v>
      </c>
      <c r="X8858" s="5" t="str">
        <f>HYPERLINK("https://my.pitchbook.com?p=377466-58P","View People Online")</f>
        <v>View People Online</v>
      </c>
    </row>
    <row r="8859">
      <c r="A8859" s="6" t="s">
        <v>54935</v>
      </c>
      <c r="B8859" s="6" t="s">
        <v>54936</v>
      </c>
      <c r="C8859" s="6" t="s">
        <v>54937</v>
      </c>
      <c r="D8859" s="6" t="s">
        <v>54938</v>
      </c>
      <c r="E8859" s="6" t="s">
        <v>54893</v>
      </c>
      <c r="F8859" s="6" t="s">
        <v>4527</v>
      </c>
      <c r="G8859" s="6" t="s">
        <v>54939</v>
      </c>
      <c r="H8859" s="7">
        <v>2.0</v>
      </c>
      <c r="I8859" s="7">
        <v>11.0</v>
      </c>
      <c r="J8859" s="7">
        <v>1.0</v>
      </c>
      <c r="K8859" s="7">
        <v>9.0</v>
      </c>
      <c r="L8859" s="8" t="s">
        <v>54895</v>
      </c>
      <c r="M8859" s="6" t="s">
        <v>54940</v>
      </c>
      <c r="N8859" s="6" t="s">
        <v>429</v>
      </c>
      <c r="O8859" s="8" t="s">
        <v>430</v>
      </c>
      <c r="P8859" s="6" t="s">
        <v>54896</v>
      </c>
      <c r="Q8859" s="6" t="s">
        <v>54897</v>
      </c>
      <c r="R8859" s="6" t="s">
        <v>31</v>
      </c>
      <c r="S8859" s="8" t="s">
        <v>54898</v>
      </c>
      <c r="T8859" s="6" t="s">
        <v>433</v>
      </c>
      <c r="U8859" s="8" t="s">
        <v>31</v>
      </c>
      <c r="V8859" s="6" t="s">
        <v>54941</v>
      </c>
      <c r="W8859" s="6" t="s">
        <v>54893</v>
      </c>
      <c r="X8859" s="9" t="str">
        <f>HYPERLINK("https://my.pitchbook.com?p=166209-85P","View People Online")</f>
        <v>View People Online</v>
      </c>
    </row>
    <row r="8860">
      <c r="A8860" s="2" t="s">
        <v>54942</v>
      </c>
      <c r="B8860" s="2" t="s">
        <v>54943</v>
      </c>
      <c r="C8860" s="2" t="s">
        <v>54937</v>
      </c>
      <c r="D8860" s="2" t="s">
        <v>395</v>
      </c>
      <c r="E8860" s="2" t="s">
        <v>54893</v>
      </c>
      <c r="F8860" s="2" t="s">
        <v>548</v>
      </c>
      <c r="G8860" s="2" t="s">
        <v>54944</v>
      </c>
      <c r="H8860" s="3" t="s">
        <v>31</v>
      </c>
      <c r="I8860" s="3">
        <v>1.0</v>
      </c>
      <c r="J8860" s="3">
        <v>1.0</v>
      </c>
      <c r="K8860" s="3" t="s">
        <v>31</v>
      </c>
      <c r="L8860" s="4" t="s">
        <v>54895</v>
      </c>
      <c r="M8860" s="2" t="s">
        <v>54945</v>
      </c>
      <c r="N8860" s="2" t="s">
        <v>429</v>
      </c>
      <c r="O8860" s="4" t="s">
        <v>430</v>
      </c>
      <c r="P8860" s="2" t="s">
        <v>54896</v>
      </c>
      <c r="Q8860" s="2" t="s">
        <v>54897</v>
      </c>
      <c r="R8860" s="2" t="s">
        <v>31</v>
      </c>
      <c r="S8860" s="4" t="s">
        <v>54898</v>
      </c>
      <c r="T8860" s="2" t="s">
        <v>433</v>
      </c>
      <c r="U8860" s="4" t="s">
        <v>31</v>
      </c>
      <c r="V8860" s="2" t="s">
        <v>54946</v>
      </c>
      <c r="W8860" s="2" t="s">
        <v>54893</v>
      </c>
      <c r="X8860" s="5" t="str">
        <f>HYPERLINK("https://my.pitchbook.com?p=127510-03P","View People Online")</f>
        <v>View People Online</v>
      </c>
    </row>
    <row r="8861">
      <c r="A8861" s="6" t="s">
        <v>54947</v>
      </c>
      <c r="B8861" s="6" t="s">
        <v>54948</v>
      </c>
      <c r="C8861" s="6" t="s">
        <v>5205</v>
      </c>
      <c r="D8861" s="6" t="s">
        <v>49945</v>
      </c>
      <c r="E8861" s="6" t="s">
        <v>54893</v>
      </c>
      <c r="F8861" s="6" t="s">
        <v>2379</v>
      </c>
      <c r="G8861" s="6" t="s">
        <v>54949</v>
      </c>
      <c r="H8861" s="7">
        <v>1.0</v>
      </c>
      <c r="I8861" s="7">
        <v>1.0</v>
      </c>
      <c r="J8861" s="7">
        <v>1.0</v>
      </c>
      <c r="K8861" s="7" t="s">
        <v>31</v>
      </c>
      <c r="L8861" s="8" t="s">
        <v>54895</v>
      </c>
      <c r="M8861" s="6" t="s">
        <v>31</v>
      </c>
      <c r="N8861" s="6" t="s">
        <v>429</v>
      </c>
      <c r="O8861" s="8" t="s">
        <v>430</v>
      </c>
      <c r="P8861" s="6" t="s">
        <v>54896</v>
      </c>
      <c r="Q8861" s="6" t="s">
        <v>54897</v>
      </c>
      <c r="R8861" s="6" t="s">
        <v>31</v>
      </c>
      <c r="S8861" s="8" t="s">
        <v>54898</v>
      </c>
      <c r="T8861" s="6" t="s">
        <v>433</v>
      </c>
      <c r="U8861" s="8" t="s">
        <v>31</v>
      </c>
      <c r="V8861" s="6" t="s">
        <v>2379</v>
      </c>
      <c r="W8861" s="6" t="s">
        <v>54893</v>
      </c>
      <c r="X8861" s="9" t="str">
        <f>HYPERLINK("https://my.pitchbook.com?p=31900-87P","View People Online")</f>
        <v>View People Online</v>
      </c>
    </row>
    <row r="8862">
      <c r="A8862" s="10" t="s">
        <v>54950</v>
      </c>
      <c r="B8862" s="10" t="s">
        <v>54951</v>
      </c>
      <c r="C8862" s="10" t="s">
        <v>263</v>
      </c>
      <c r="D8862" s="10" t="s">
        <v>54952</v>
      </c>
      <c r="E8862" s="10" t="s">
        <v>54893</v>
      </c>
      <c r="F8862" s="10" t="s">
        <v>371</v>
      </c>
      <c r="G8862" s="10" t="s">
        <v>54953</v>
      </c>
      <c r="H8862" s="11" t="s">
        <v>31</v>
      </c>
      <c r="I8862" s="11">
        <v>1.0</v>
      </c>
      <c r="J8862" s="11">
        <v>1.0</v>
      </c>
      <c r="K8862" s="11" t="s">
        <v>31</v>
      </c>
      <c r="L8862" s="12" t="s">
        <v>54895</v>
      </c>
      <c r="M8862" s="10" t="s">
        <v>54954</v>
      </c>
      <c r="N8862" s="10" t="s">
        <v>429</v>
      </c>
      <c r="O8862" s="12" t="s">
        <v>430</v>
      </c>
      <c r="P8862" s="10" t="s">
        <v>54896</v>
      </c>
      <c r="Q8862" s="10" t="s">
        <v>54897</v>
      </c>
      <c r="R8862" s="10" t="s">
        <v>31</v>
      </c>
      <c r="S8862" s="12" t="s">
        <v>54898</v>
      </c>
      <c r="T8862" s="10" t="s">
        <v>433</v>
      </c>
      <c r="U8862" s="12" t="s">
        <v>31</v>
      </c>
      <c r="V8862" s="10" t="s">
        <v>54955</v>
      </c>
      <c r="W8862" s="10" t="s">
        <v>54893</v>
      </c>
      <c r="X8862" s="13" t="str">
        <f>HYPERLINK("https://my.pitchbook.com?p=395432-11P","View People Online")</f>
        <v>View People Online</v>
      </c>
    </row>
    <row r="8863">
      <c r="A8863" s="6" t="s">
        <v>54956</v>
      </c>
      <c r="B8863" s="6" t="s">
        <v>54957</v>
      </c>
      <c r="C8863" s="6" t="s">
        <v>54958</v>
      </c>
      <c r="D8863" s="6" t="s">
        <v>54959</v>
      </c>
      <c r="E8863" s="6" t="s">
        <v>54893</v>
      </c>
      <c r="F8863" s="6" t="s">
        <v>7624</v>
      </c>
      <c r="G8863" s="6" t="s">
        <v>54960</v>
      </c>
      <c r="H8863" s="7" t="s">
        <v>31</v>
      </c>
      <c r="I8863" s="7">
        <v>1.0</v>
      </c>
      <c r="J8863" s="7">
        <v>1.0</v>
      </c>
      <c r="K8863" s="7" t="s">
        <v>31</v>
      </c>
      <c r="L8863" s="8" t="s">
        <v>54895</v>
      </c>
      <c r="M8863" s="6" t="s">
        <v>54961</v>
      </c>
      <c r="N8863" s="6" t="s">
        <v>429</v>
      </c>
      <c r="O8863" s="8" t="s">
        <v>430</v>
      </c>
      <c r="P8863" s="6" t="s">
        <v>54896</v>
      </c>
      <c r="Q8863" s="6" t="s">
        <v>54897</v>
      </c>
      <c r="R8863" s="6" t="s">
        <v>31</v>
      </c>
      <c r="S8863" s="8" t="s">
        <v>54898</v>
      </c>
      <c r="T8863" s="6" t="s">
        <v>433</v>
      </c>
      <c r="U8863" s="8" t="s">
        <v>31</v>
      </c>
      <c r="V8863" s="6" t="s">
        <v>54962</v>
      </c>
      <c r="W8863" s="6" t="s">
        <v>54893</v>
      </c>
      <c r="X8863" s="9" t="str">
        <f>HYPERLINK("https://my.pitchbook.com?p=210550-24P","View People Online")</f>
        <v>View People Online</v>
      </c>
    </row>
    <row r="8864">
      <c r="A8864" s="10" t="s">
        <v>54963</v>
      </c>
      <c r="B8864" s="10" t="s">
        <v>54964</v>
      </c>
      <c r="C8864" s="10" t="s">
        <v>11186</v>
      </c>
      <c r="D8864" s="10" t="s">
        <v>54965</v>
      </c>
      <c r="E8864" s="10" t="s">
        <v>54893</v>
      </c>
      <c r="F8864" s="10" t="s">
        <v>548</v>
      </c>
      <c r="G8864" s="10" t="s">
        <v>54966</v>
      </c>
      <c r="H8864" s="11">
        <v>1.0</v>
      </c>
      <c r="I8864" s="11">
        <v>3.0</v>
      </c>
      <c r="J8864" s="11">
        <v>1.0</v>
      </c>
      <c r="K8864" s="11">
        <v>1.0</v>
      </c>
      <c r="L8864" s="12" t="s">
        <v>54895</v>
      </c>
      <c r="M8864" s="10" t="s">
        <v>31</v>
      </c>
      <c r="N8864" s="10" t="s">
        <v>429</v>
      </c>
      <c r="O8864" s="12" t="s">
        <v>430</v>
      </c>
      <c r="P8864" s="10" t="s">
        <v>54896</v>
      </c>
      <c r="Q8864" s="10" t="s">
        <v>54897</v>
      </c>
      <c r="R8864" s="10" t="s">
        <v>31</v>
      </c>
      <c r="S8864" s="12" t="s">
        <v>54898</v>
      </c>
      <c r="T8864" s="10" t="s">
        <v>433</v>
      </c>
      <c r="U8864" s="12" t="s">
        <v>31</v>
      </c>
      <c r="V8864" s="10" t="s">
        <v>10065</v>
      </c>
      <c r="W8864" s="10" t="s">
        <v>54893</v>
      </c>
      <c r="X8864" s="13" t="str">
        <f>HYPERLINK("https://my.pitchbook.com?p=295915-15P","View People Online")</f>
        <v>View People Online</v>
      </c>
    </row>
    <row r="8865">
      <c r="A8865" s="6" t="s">
        <v>54967</v>
      </c>
      <c r="B8865" s="6" t="s">
        <v>54968</v>
      </c>
      <c r="C8865" s="6" t="s">
        <v>54969</v>
      </c>
      <c r="D8865" s="6" t="s">
        <v>54970</v>
      </c>
      <c r="E8865" s="6" t="s">
        <v>54893</v>
      </c>
      <c r="F8865" s="6" t="s">
        <v>1241</v>
      </c>
      <c r="G8865" s="6" t="s">
        <v>54971</v>
      </c>
      <c r="H8865" s="7">
        <v>1.0</v>
      </c>
      <c r="I8865" s="7">
        <v>1.0</v>
      </c>
      <c r="J8865" s="7">
        <v>1.0</v>
      </c>
      <c r="K8865" s="7" t="s">
        <v>31</v>
      </c>
      <c r="L8865" s="8" t="s">
        <v>54895</v>
      </c>
      <c r="M8865" s="6" t="s">
        <v>54972</v>
      </c>
      <c r="N8865" s="6" t="s">
        <v>429</v>
      </c>
      <c r="O8865" s="8" t="s">
        <v>430</v>
      </c>
      <c r="P8865" s="6" t="s">
        <v>54896</v>
      </c>
      <c r="Q8865" s="6" t="s">
        <v>54897</v>
      </c>
      <c r="R8865" s="6" t="s">
        <v>31</v>
      </c>
      <c r="S8865" s="8" t="s">
        <v>54898</v>
      </c>
      <c r="T8865" s="6" t="s">
        <v>433</v>
      </c>
      <c r="U8865" s="8" t="s">
        <v>31</v>
      </c>
      <c r="V8865" s="6" t="s">
        <v>54973</v>
      </c>
      <c r="W8865" s="6" t="s">
        <v>54893</v>
      </c>
      <c r="X8865" s="9" t="str">
        <f>HYPERLINK("https://my.pitchbook.com?p=427550-05P","View People Online")</f>
        <v>View People Online</v>
      </c>
    </row>
    <row r="8866">
      <c r="A8866" s="2" t="s">
        <v>54974</v>
      </c>
      <c r="B8866" s="2" t="s">
        <v>54975</v>
      </c>
      <c r="C8866" s="2" t="s">
        <v>54976</v>
      </c>
      <c r="D8866" s="2" t="s">
        <v>36902</v>
      </c>
      <c r="E8866" s="2" t="s">
        <v>54893</v>
      </c>
      <c r="F8866" s="2" t="s">
        <v>548</v>
      </c>
      <c r="G8866" s="2" t="s">
        <v>54977</v>
      </c>
      <c r="H8866" s="3" t="s">
        <v>31</v>
      </c>
      <c r="I8866" s="3">
        <v>1.0</v>
      </c>
      <c r="J8866" s="3">
        <v>1.0</v>
      </c>
      <c r="K8866" s="3" t="s">
        <v>31</v>
      </c>
      <c r="L8866" s="4" t="s">
        <v>54895</v>
      </c>
      <c r="M8866" s="2" t="s">
        <v>54978</v>
      </c>
      <c r="N8866" s="2" t="s">
        <v>429</v>
      </c>
      <c r="O8866" s="4" t="s">
        <v>430</v>
      </c>
      <c r="P8866" s="2" t="s">
        <v>54896</v>
      </c>
      <c r="Q8866" s="2" t="s">
        <v>54897</v>
      </c>
      <c r="R8866" s="2" t="s">
        <v>31</v>
      </c>
      <c r="S8866" s="4" t="s">
        <v>54898</v>
      </c>
      <c r="T8866" s="2" t="s">
        <v>433</v>
      </c>
      <c r="U8866" s="4" t="s">
        <v>31</v>
      </c>
      <c r="V8866" s="2" t="s">
        <v>54979</v>
      </c>
      <c r="W8866" s="2" t="s">
        <v>54893</v>
      </c>
      <c r="X8866" s="5" t="str">
        <f>HYPERLINK("https://my.pitchbook.com?p=122472-64P","View People Online")</f>
        <v>View People Online</v>
      </c>
    </row>
    <row r="8867">
      <c r="A8867" s="14" t="s">
        <v>54980</v>
      </c>
      <c r="B8867" s="14" t="s">
        <v>54981</v>
      </c>
      <c r="C8867" s="14" t="s">
        <v>2964</v>
      </c>
      <c r="D8867" s="14" t="s">
        <v>54982</v>
      </c>
      <c r="E8867" s="14" t="s">
        <v>54893</v>
      </c>
      <c r="F8867" s="14" t="s">
        <v>548</v>
      </c>
      <c r="G8867" s="14" t="s">
        <v>54983</v>
      </c>
      <c r="H8867" s="15" t="s">
        <v>31</v>
      </c>
      <c r="I8867" s="15">
        <v>2.0</v>
      </c>
      <c r="J8867" s="15">
        <v>1.0</v>
      </c>
      <c r="K8867" s="15">
        <v>1.0</v>
      </c>
      <c r="L8867" s="16" t="s">
        <v>54895</v>
      </c>
      <c r="M8867" s="14" t="s">
        <v>54984</v>
      </c>
      <c r="N8867" s="14" t="s">
        <v>429</v>
      </c>
      <c r="O8867" s="16" t="s">
        <v>430</v>
      </c>
      <c r="P8867" s="14" t="s">
        <v>54896</v>
      </c>
      <c r="Q8867" s="14" t="s">
        <v>54897</v>
      </c>
      <c r="R8867" s="14" t="s">
        <v>31</v>
      </c>
      <c r="S8867" s="16" t="s">
        <v>54898</v>
      </c>
      <c r="T8867" s="14" t="s">
        <v>433</v>
      </c>
      <c r="U8867" s="16" t="s">
        <v>31</v>
      </c>
      <c r="V8867" s="14" t="s">
        <v>54985</v>
      </c>
      <c r="W8867" s="14" t="s">
        <v>54893</v>
      </c>
      <c r="X8867" s="17" t="str">
        <f>HYPERLINK("https://my.pitchbook.com?p=431778-70P","View People Online")</f>
        <v>View People Online</v>
      </c>
    </row>
    <row r="8868">
      <c r="A8868" s="10" t="s">
        <v>54986</v>
      </c>
      <c r="B8868" s="10" t="s">
        <v>54987</v>
      </c>
      <c r="C8868" s="10" t="s">
        <v>11731</v>
      </c>
      <c r="D8868" s="10" t="s">
        <v>54988</v>
      </c>
      <c r="E8868" s="10" t="s">
        <v>54893</v>
      </c>
      <c r="F8868" s="10" t="s">
        <v>371</v>
      </c>
      <c r="G8868" s="10" t="s">
        <v>54989</v>
      </c>
      <c r="H8868" s="11" t="s">
        <v>31</v>
      </c>
      <c r="I8868" s="11">
        <v>2.0</v>
      </c>
      <c r="J8868" s="11">
        <v>1.0</v>
      </c>
      <c r="K8868" s="11">
        <v>1.0</v>
      </c>
      <c r="L8868" s="12" t="s">
        <v>54895</v>
      </c>
      <c r="M8868" s="10" t="s">
        <v>54990</v>
      </c>
      <c r="N8868" s="10" t="s">
        <v>429</v>
      </c>
      <c r="O8868" s="12" t="s">
        <v>430</v>
      </c>
      <c r="P8868" s="10" t="s">
        <v>54896</v>
      </c>
      <c r="Q8868" s="10" t="s">
        <v>54897</v>
      </c>
      <c r="R8868" s="10" t="s">
        <v>31</v>
      </c>
      <c r="S8868" s="12" t="s">
        <v>54898</v>
      </c>
      <c r="T8868" s="10" t="s">
        <v>433</v>
      </c>
      <c r="U8868" s="12" t="s">
        <v>31</v>
      </c>
      <c r="V8868" s="10" t="s">
        <v>54991</v>
      </c>
      <c r="W8868" s="10" t="s">
        <v>54893</v>
      </c>
      <c r="X8868" s="13" t="str">
        <f>HYPERLINK("https://my.pitchbook.com?p=228692-26P","View People Online")</f>
        <v>View People Online</v>
      </c>
    </row>
    <row r="8869">
      <c r="A8869" s="6" t="s">
        <v>54992</v>
      </c>
      <c r="B8869" s="6" t="s">
        <v>54993</v>
      </c>
      <c r="C8869" s="6" t="s">
        <v>51240</v>
      </c>
      <c r="D8869" s="6" t="s">
        <v>54994</v>
      </c>
      <c r="E8869" s="6" t="s">
        <v>54893</v>
      </c>
      <c r="F8869" s="6" t="s">
        <v>502</v>
      </c>
      <c r="G8869" s="6" t="s">
        <v>54995</v>
      </c>
      <c r="H8869" s="7" t="s">
        <v>31</v>
      </c>
      <c r="I8869" s="7">
        <v>3.0</v>
      </c>
      <c r="J8869" s="7">
        <v>1.0</v>
      </c>
      <c r="K8869" s="7">
        <v>1.0</v>
      </c>
      <c r="L8869" s="8" t="s">
        <v>54895</v>
      </c>
      <c r="M8869" s="6" t="s">
        <v>54996</v>
      </c>
      <c r="N8869" s="6" t="s">
        <v>429</v>
      </c>
      <c r="O8869" s="8" t="s">
        <v>430</v>
      </c>
      <c r="P8869" s="6" t="s">
        <v>54896</v>
      </c>
      <c r="Q8869" s="6" t="s">
        <v>54897</v>
      </c>
      <c r="R8869" s="6" t="s">
        <v>31</v>
      </c>
      <c r="S8869" s="8" t="s">
        <v>54898</v>
      </c>
      <c r="T8869" s="6" t="s">
        <v>433</v>
      </c>
      <c r="U8869" s="8" t="s">
        <v>31</v>
      </c>
      <c r="V8869" s="6" t="s">
        <v>502</v>
      </c>
      <c r="W8869" s="6" t="s">
        <v>54893</v>
      </c>
      <c r="X8869" s="9" t="str">
        <f>HYPERLINK("https://my.pitchbook.com?p=146221-66P","View People Online")</f>
        <v>View People Online</v>
      </c>
    </row>
    <row r="8870">
      <c r="A8870" s="10" t="s">
        <v>54997</v>
      </c>
      <c r="B8870" s="10" t="s">
        <v>54998</v>
      </c>
      <c r="C8870" s="10" t="s">
        <v>1807</v>
      </c>
      <c r="D8870" s="10" t="s">
        <v>54999</v>
      </c>
      <c r="E8870" s="10" t="s">
        <v>54893</v>
      </c>
      <c r="F8870" s="10" t="s">
        <v>470</v>
      </c>
      <c r="G8870" s="10" t="s">
        <v>55000</v>
      </c>
      <c r="H8870" s="11" t="s">
        <v>31</v>
      </c>
      <c r="I8870" s="11">
        <v>3.0</v>
      </c>
      <c r="J8870" s="11">
        <v>1.0</v>
      </c>
      <c r="K8870" s="11">
        <v>2.0</v>
      </c>
      <c r="L8870" s="12" t="s">
        <v>54895</v>
      </c>
      <c r="M8870" s="10" t="s">
        <v>55001</v>
      </c>
      <c r="N8870" s="10" t="s">
        <v>429</v>
      </c>
      <c r="O8870" s="12" t="s">
        <v>430</v>
      </c>
      <c r="P8870" s="10" t="s">
        <v>54896</v>
      </c>
      <c r="Q8870" s="10" t="s">
        <v>54897</v>
      </c>
      <c r="R8870" s="10" t="s">
        <v>31</v>
      </c>
      <c r="S8870" s="12" t="s">
        <v>54898</v>
      </c>
      <c r="T8870" s="10" t="s">
        <v>433</v>
      </c>
      <c r="U8870" s="12" t="s">
        <v>31</v>
      </c>
      <c r="V8870" s="10" t="s">
        <v>55002</v>
      </c>
      <c r="W8870" s="10" t="s">
        <v>54893</v>
      </c>
      <c r="X8870" s="13" t="str">
        <f>HYPERLINK("https://my.pitchbook.com?p=222672-25P","View People Online")</f>
        <v>View People Online</v>
      </c>
    </row>
    <row r="8871">
      <c r="A8871" s="6" t="s">
        <v>55003</v>
      </c>
      <c r="B8871" s="6" t="s">
        <v>55004</v>
      </c>
      <c r="C8871" s="6" t="s">
        <v>529</v>
      </c>
      <c r="D8871" s="6" t="s">
        <v>55005</v>
      </c>
      <c r="E8871" s="6" t="s">
        <v>54893</v>
      </c>
      <c r="F8871" s="6" t="s">
        <v>371</v>
      </c>
      <c r="G8871" s="6" t="s">
        <v>55006</v>
      </c>
      <c r="H8871" s="7" t="s">
        <v>31</v>
      </c>
      <c r="I8871" s="7">
        <v>1.0</v>
      </c>
      <c r="J8871" s="7">
        <v>1.0</v>
      </c>
      <c r="K8871" s="7" t="s">
        <v>31</v>
      </c>
      <c r="L8871" s="8" t="s">
        <v>54895</v>
      </c>
      <c r="M8871" s="6" t="s">
        <v>55007</v>
      </c>
      <c r="N8871" s="6" t="s">
        <v>429</v>
      </c>
      <c r="O8871" s="8" t="s">
        <v>430</v>
      </c>
      <c r="P8871" s="6" t="s">
        <v>54896</v>
      </c>
      <c r="Q8871" s="6" t="s">
        <v>54897</v>
      </c>
      <c r="R8871" s="6" t="s">
        <v>31</v>
      </c>
      <c r="S8871" s="8" t="s">
        <v>54898</v>
      </c>
      <c r="T8871" s="6" t="s">
        <v>433</v>
      </c>
      <c r="U8871" s="8" t="s">
        <v>31</v>
      </c>
      <c r="V8871" s="6" t="s">
        <v>55008</v>
      </c>
      <c r="W8871" s="6" t="s">
        <v>54893</v>
      </c>
      <c r="X8871" s="9" t="str">
        <f>HYPERLINK("https://my.pitchbook.com?p=127502-56P","View People Online")</f>
        <v>View People Online</v>
      </c>
    </row>
    <row r="8872">
      <c r="A8872" s="2" t="s">
        <v>55009</v>
      </c>
      <c r="B8872" s="2" t="s">
        <v>55010</v>
      </c>
      <c r="C8872" s="2" t="s">
        <v>55011</v>
      </c>
      <c r="D8872" s="2" t="s">
        <v>55012</v>
      </c>
      <c r="E8872" s="2" t="s">
        <v>54893</v>
      </c>
      <c r="F8872" s="2" t="s">
        <v>371</v>
      </c>
      <c r="G8872" s="2" t="s">
        <v>55013</v>
      </c>
      <c r="H8872" s="3" t="s">
        <v>31</v>
      </c>
      <c r="I8872" s="3">
        <v>1.0</v>
      </c>
      <c r="J8872" s="3">
        <v>1.0</v>
      </c>
      <c r="K8872" s="3" t="s">
        <v>31</v>
      </c>
      <c r="L8872" s="4" t="s">
        <v>54895</v>
      </c>
      <c r="M8872" s="2" t="s">
        <v>55014</v>
      </c>
      <c r="N8872" s="2" t="s">
        <v>429</v>
      </c>
      <c r="O8872" s="4" t="s">
        <v>430</v>
      </c>
      <c r="P8872" s="2" t="s">
        <v>54896</v>
      </c>
      <c r="Q8872" s="2" t="s">
        <v>54897</v>
      </c>
      <c r="R8872" s="2" t="s">
        <v>31</v>
      </c>
      <c r="S8872" s="4" t="s">
        <v>54898</v>
      </c>
      <c r="T8872" s="2" t="s">
        <v>433</v>
      </c>
      <c r="U8872" s="4" t="s">
        <v>31</v>
      </c>
      <c r="V8872" s="2" t="s">
        <v>55015</v>
      </c>
      <c r="W8872" s="2" t="s">
        <v>54893</v>
      </c>
      <c r="X8872" s="5" t="str">
        <f>HYPERLINK("https://my.pitchbook.com?p=286584-58P","View People Online")</f>
        <v>View People Online</v>
      </c>
    </row>
    <row r="8873">
      <c r="A8873" s="14" t="s">
        <v>55016</v>
      </c>
      <c r="B8873" s="14" t="s">
        <v>55017</v>
      </c>
      <c r="C8873" s="14" t="s">
        <v>55018</v>
      </c>
      <c r="D8873" s="14" t="s">
        <v>55019</v>
      </c>
      <c r="E8873" s="14" t="s">
        <v>54893</v>
      </c>
      <c r="F8873" s="14" t="s">
        <v>470</v>
      </c>
      <c r="G8873" s="14" t="s">
        <v>55020</v>
      </c>
      <c r="H8873" s="15" t="s">
        <v>31</v>
      </c>
      <c r="I8873" s="15">
        <v>2.0</v>
      </c>
      <c r="J8873" s="15">
        <v>1.0</v>
      </c>
      <c r="K8873" s="15">
        <v>1.0</v>
      </c>
      <c r="L8873" s="16" t="s">
        <v>54895</v>
      </c>
      <c r="M8873" s="14" t="s">
        <v>55021</v>
      </c>
      <c r="N8873" s="14" t="s">
        <v>429</v>
      </c>
      <c r="O8873" s="16" t="s">
        <v>430</v>
      </c>
      <c r="P8873" s="14" t="s">
        <v>54896</v>
      </c>
      <c r="Q8873" s="14" t="s">
        <v>54897</v>
      </c>
      <c r="R8873" s="14" t="s">
        <v>31</v>
      </c>
      <c r="S8873" s="16" t="s">
        <v>54898</v>
      </c>
      <c r="T8873" s="14" t="s">
        <v>433</v>
      </c>
      <c r="U8873" s="16" t="s">
        <v>31</v>
      </c>
      <c r="V8873" s="14" t="s">
        <v>55022</v>
      </c>
      <c r="W8873" s="14" t="s">
        <v>54893</v>
      </c>
      <c r="X8873" s="17" t="str">
        <f>HYPERLINK("https://my.pitchbook.com?p=262798-48P","View People Online")</f>
        <v>View People Online</v>
      </c>
    </row>
    <row r="8874">
      <c r="A8874" s="2" t="s">
        <v>55023</v>
      </c>
      <c r="B8874" s="2" t="s">
        <v>55024</v>
      </c>
      <c r="C8874" s="2" t="s">
        <v>7584</v>
      </c>
      <c r="D8874" s="2" t="s">
        <v>28843</v>
      </c>
      <c r="E8874" s="2" t="s">
        <v>54893</v>
      </c>
      <c r="F8874" s="2" t="s">
        <v>2379</v>
      </c>
      <c r="G8874" s="2" t="s">
        <v>55025</v>
      </c>
      <c r="H8874" s="3">
        <v>1.0</v>
      </c>
      <c r="I8874" s="3">
        <v>1.0</v>
      </c>
      <c r="J8874" s="3">
        <v>1.0</v>
      </c>
      <c r="K8874" s="3" t="s">
        <v>31</v>
      </c>
      <c r="L8874" s="4" t="s">
        <v>54895</v>
      </c>
      <c r="M8874" s="2" t="s">
        <v>31</v>
      </c>
      <c r="N8874" s="2" t="s">
        <v>429</v>
      </c>
      <c r="O8874" s="4" t="s">
        <v>430</v>
      </c>
      <c r="P8874" s="2" t="s">
        <v>54896</v>
      </c>
      <c r="Q8874" s="2" t="s">
        <v>54897</v>
      </c>
      <c r="R8874" s="2" t="s">
        <v>31</v>
      </c>
      <c r="S8874" s="4" t="s">
        <v>54898</v>
      </c>
      <c r="T8874" s="2" t="s">
        <v>433</v>
      </c>
      <c r="U8874" s="4" t="s">
        <v>31</v>
      </c>
      <c r="V8874" s="2" t="s">
        <v>2379</v>
      </c>
      <c r="W8874" s="2" t="s">
        <v>54893</v>
      </c>
      <c r="X8874" s="5" t="str">
        <f>HYPERLINK("https://my.pitchbook.com?p=134469-10P","View People Online")</f>
        <v>View People Online</v>
      </c>
    </row>
    <row r="8875">
      <c r="A8875" s="6" t="s">
        <v>55026</v>
      </c>
      <c r="B8875" s="6" t="s">
        <v>55027</v>
      </c>
      <c r="C8875" s="6" t="s">
        <v>167</v>
      </c>
      <c r="D8875" s="6" t="s">
        <v>55028</v>
      </c>
      <c r="E8875" s="6" t="s">
        <v>54893</v>
      </c>
      <c r="F8875" s="6" t="s">
        <v>78</v>
      </c>
      <c r="G8875" s="6" t="s">
        <v>55029</v>
      </c>
      <c r="H8875" s="7" t="s">
        <v>31</v>
      </c>
      <c r="I8875" s="7">
        <v>1.0</v>
      </c>
      <c r="J8875" s="7">
        <v>1.0</v>
      </c>
      <c r="K8875" s="7" t="s">
        <v>31</v>
      </c>
      <c r="L8875" s="8" t="s">
        <v>54895</v>
      </c>
      <c r="M8875" s="6" t="s">
        <v>55030</v>
      </c>
      <c r="N8875" s="6" t="s">
        <v>429</v>
      </c>
      <c r="O8875" s="8" t="s">
        <v>430</v>
      </c>
      <c r="P8875" s="6" t="s">
        <v>54896</v>
      </c>
      <c r="Q8875" s="6" t="s">
        <v>54897</v>
      </c>
      <c r="R8875" s="6" t="s">
        <v>31</v>
      </c>
      <c r="S8875" s="8" t="s">
        <v>54898</v>
      </c>
      <c r="T8875" s="6" t="s">
        <v>433</v>
      </c>
      <c r="U8875" s="8" t="s">
        <v>31</v>
      </c>
      <c r="V8875" s="6" t="s">
        <v>55031</v>
      </c>
      <c r="W8875" s="6" t="s">
        <v>54893</v>
      </c>
      <c r="X8875" s="9" t="str">
        <f>HYPERLINK("https://my.pitchbook.com?p=449931-61P","View People Online")</f>
        <v>View People Online</v>
      </c>
    </row>
    <row r="8876">
      <c r="A8876" s="2" t="s">
        <v>55032</v>
      </c>
      <c r="B8876" s="2" t="s">
        <v>55033</v>
      </c>
      <c r="C8876" s="2" t="s">
        <v>167</v>
      </c>
      <c r="D8876" s="2" t="s">
        <v>52480</v>
      </c>
      <c r="E8876" s="2" t="s">
        <v>54893</v>
      </c>
      <c r="F8876" s="2" t="s">
        <v>470</v>
      </c>
      <c r="G8876" s="2" t="s">
        <v>55034</v>
      </c>
      <c r="H8876" s="3" t="s">
        <v>31</v>
      </c>
      <c r="I8876" s="3">
        <v>3.0</v>
      </c>
      <c r="J8876" s="3">
        <v>2.0</v>
      </c>
      <c r="K8876" s="3">
        <v>1.0</v>
      </c>
      <c r="L8876" s="4" t="s">
        <v>54895</v>
      </c>
      <c r="M8876" s="2" t="s">
        <v>55035</v>
      </c>
      <c r="N8876" s="2" t="s">
        <v>429</v>
      </c>
      <c r="O8876" s="4" t="s">
        <v>430</v>
      </c>
      <c r="P8876" s="2" t="s">
        <v>54896</v>
      </c>
      <c r="Q8876" s="2" t="s">
        <v>54897</v>
      </c>
      <c r="R8876" s="2" t="s">
        <v>31</v>
      </c>
      <c r="S8876" s="4" t="s">
        <v>54898</v>
      </c>
      <c r="T8876" s="2" t="s">
        <v>433</v>
      </c>
      <c r="U8876" s="4" t="s">
        <v>31</v>
      </c>
      <c r="V8876" s="2" t="s">
        <v>55036</v>
      </c>
      <c r="W8876" s="2" t="s">
        <v>54893</v>
      </c>
      <c r="X8876" s="5" t="str">
        <f>HYPERLINK("https://my.pitchbook.com?p=296777-53P","View People Online")</f>
        <v>View People Online</v>
      </c>
    </row>
    <row r="8877">
      <c r="A8877" s="6" t="s">
        <v>55037</v>
      </c>
      <c r="B8877" s="6" t="s">
        <v>55038</v>
      </c>
      <c r="C8877" s="6" t="s">
        <v>3286</v>
      </c>
      <c r="D8877" s="6" t="s">
        <v>44546</v>
      </c>
      <c r="E8877" s="6" t="s">
        <v>54893</v>
      </c>
      <c r="F8877" s="6" t="s">
        <v>548</v>
      </c>
      <c r="G8877" s="6" t="s">
        <v>55039</v>
      </c>
      <c r="H8877" s="7" t="s">
        <v>31</v>
      </c>
      <c r="I8877" s="7">
        <v>2.0</v>
      </c>
      <c r="J8877" s="7">
        <v>1.0</v>
      </c>
      <c r="K8877" s="7">
        <v>1.0</v>
      </c>
      <c r="L8877" s="8" t="s">
        <v>54895</v>
      </c>
      <c r="M8877" s="6" t="s">
        <v>55040</v>
      </c>
      <c r="N8877" s="6" t="s">
        <v>429</v>
      </c>
      <c r="O8877" s="8" t="s">
        <v>430</v>
      </c>
      <c r="P8877" s="6" t="s">
        <v>54896</v>
      </c>
      <c r="Q8877" s="6" t="s">
        <v>54897</v>
      </c>
      <c r="R8877" s="6" t="s">
        <v>31</v>
      </c>
      <c r="S8877" s="8" t="s">
        <v>54898</v>
      </c>
      <c r="T8877" s="6" t="s">
        <v>433</v>
      </c>
      <c r="U8877" s="8" t="s">
        <v>31</v>
      </c>
      <c r="V8877" s="6" t="s">
        <v>55041</v>
      </c>
      <c r="W8877" s="6" t="s">
        <v>54893</v>
      </c>
      <c r="X8877" s="9" t="str">
        <f>HYPERLINK("https://my.pitchbook.com?p=122472-55P","View People Online")</f>
        <v>View People Online</v>
      </c>
    </row>
    <row r="8878">
      <c r="A8878" s="2" t="s">
        <v>55042</v>
      </c>
      <c r="B8878" s="2" t="s">
        <v>55043</v>
      </c>
      <c r="C8878" s="2" t="s">
        <v>9789</v>
      </c>
      <c r="D8878" s="2" t="s">
        <v>55044</v>
      </c>
      <c r="E8878" s="2" t="s">
        <v>54893</v>
      </c>
      <c r="F8878" s="2" t="s">
        <v>470</v>
      </c>
      <c r="G8878" s="2" t="s">
        <v>55045</v>
      </c>
      <c r="H8878" s="3" t="s">
        <v>31</v>
      </c>
      <c r="I8878" s="3">
        <v>4.0</v>
      </c>
      <c r="J8878" s="3">
        <v>2.0</v>
      </c>
      <c r="K8878" s="3">
        <v>2.0</v>
      </c>
      <c r="L8878" s="4" t="s">
        <v>54895</v>
      </c>
      <c r="M8878" s="2" t="s">
        <v>55046</v>
      </c>
      <c r="N8878" s="2" t="s">
        <v>429</v>
      </c>
      <c r="O8878" s="4" t="s">
        <v>430</v>
      </c>
      <c r="P8878" s="2" t="s">
        <v>54896</v>
      </c>
      <c r="Q8878" s="2" t="s">
        <v>54897</v>
      </c>
      <c r="R8878" s="2" t="s">
        <v>31</v>
      </c>
      <c r="S8878" s="4" t="s">
        <v>54898</v>
      </c>
      <c r="T8878" s="2" t="s">
        <v>433</v>
      </c>
      <c r="U8878" s="4" t="s">
        <v>31</v>
      </c>
      <c r="V8878" s="2" t="s">
        <v>55047</v>
      </c>
      <c r="W8878" s="2" t="s">
        <v>54893</v>
      </c>
      <c r="X8878" s="5" t="str">
        <f>HYPERLINK("https://my.pitchbook.com?p=287293-78P","View People Online")</f>
        <v>View People Online</v>
      </c>
    </row>
    <row r="8879">
      <c r="A8879" s="6" t="s">
        <v>55048</v>
      </c>
      <c r="B8879" s="6" t="s">
        <v>55049</v>
      </c>
      <c r="C8879" s="6" t="s">
        <v>55050</v>
      </c>
      <c r="D8879" s="6" t="s">
        <v>55051</v>
      </c>
      <c r="E8879" s="6" t="s">
        <v>54893</v>
      </c>
      <c r="F8879" s="6" t="s">
        <v>2379</v>
      </c>
      <c r="G8879" s="6" t="s">
        <v>55052</v>
      </c>
      <c r="H8879" s="7">
        <v>1.0</v>
      </c>
      <c r="I8879" s="7">
        <v>1.0</v>
      </c>
      <c r="J8879" s="7">
        <v>1.0</v>
      </c>
      <c r="K8879" s="7" t="s">
        <v>31</v>
      </c>
      <c r="L8879" s="8" t="s">
        <v>54895</v>
      </c>
      <c r="M8879" s="6" t="s">
        <v>55053</v>
      </c>
      <c r="N8879" s="6" t="s">
        <v>429</v>
      </c>
      <c r="O8879" s="8" t="s">
        <v>430</v>
      </c>
      <c r="P8879" s="6" t="s">
        <v>54896</v>
      </c>
      <c r="Q8879" s="6" t="s">
        <v>54897</v>
      </c>
      <c r="R8879" s="6" t="s">
        <v>31</v>
      </c>
      <c r="S8879" s="8" t="s">
        <v>54898</v>
      </c>
      <c r="T8879" s="6" t="s">
        <v>433</v>
      </c>
      <c r="U8879" s="8" t="s">
        <v>31</v>
      </c>
      <c r="V8879" s="6" t="s">
        <v>55054</v>
      </c>
      <c r="W8879" s="6" t="s">
        <v>54893</v>
      </c>
      <c r="X8879" s="9" t="str">
        <f>HYPERLINK("https://my.pitchbook.com?p=231833-89P","View People Online")</f>
        <v>View People Online</v>
      </c>
    </row>
    <row r="8880">
      <c r="A8880" s="10" t="s">
        <v>55055</v>
      </c>
      <c r="B8880" s="10" t="s">
        <v>55056</v>
      </c>
      <c r="C8880" s="10" t="s">
        <v>1824</v>
      </c>
      <c r="D8880" s="10" t="s">
        <v>55057</v>
      </c>
      <c r="E8880" s="10" t="s">
        <v>54893</v>
      </c>
      <c r="F8880" s="10" t="s">
        <v>1801</v>
      </c>
      <c r="G8880" s="10" t="s">
        <v>55058</v>
      </c>
      <c r="H8880" s="11" t="s">
        <v>31</v>
      </c>
      <c r="I8880" s="11">
        <v>1.0</v>
      </c>
      <c r="J8880" s="11">
        <v>1.0</v>
      </c>
      <c r="K8880" s="11" t="s">
        <v>31</v>
      </c>
      <c r="L8880" s="12" t="s">
        <v>54895</v>
      </c>
      <c r="M8880" s="10" t="s">
        <v>55059</v>
      </c>
      <c r="N8880" s="10" t="s">
        <v>429</v>
      </c>
      <c r="O8880" s="12" t="s">
        <v>430</v>
      </c>
      <c r="P8880" s="10" t="s">
        <v>54896</v>
      </c>
      <c r="Q8880" s="10" t="s">
        <v>54897</v>
      </c>
      <c r="R8880" s="10" t="s">
        <v>31</v>
      </c>
      <c r="S8880" s="12" t="s">
        <v>54898</v>
      </c>
      <c r="T8880" s="10" t="s">
        <v>433</v>
      </c>
      <c r="U8880" s="12" t="s">
        <v>31</v>
      </c>
      <c r="V8880" s="10" t="s">
        <v>55060</v>
      </c>
      <c r="W8880" s="10" t="s">
        <v>54893</v>
      </c>
      <c r="X8880" s="13" t="str">
        <f>HYPERLINK("https://my.pitchbook.com?p=142298-38P","View People Online")</f>
        <v>View People Online</v>
      </c>
    </row>
    <row r="8881">
      <c r="A8881" s="14" t="s">
        <v>55061</v>
      </c>
      <c r="B8881" s="14" t="s">
        <v>55062</v>
      </c>
      <c r="C8881" s="14" t="s">
        <v>55063</v>
      </c>
      <c r="D8881" s="14" t="s">
        <v>55064</v>
      </c>
      <c r="E8881" s="14" t="s">
        <v>54893</v>
      </c>
      <c r="F8881" s="14" t="s">
        <v>5515</v>
      </c>
      <c r="G8881" s="14" t="s">
        <v>55065</v>
      </c>
      <c r="H8881" s="15">
        <v>1.0</v>
      </c>
      <c r="I8881" s="15">
        <v>1.0</v>
      </c>
      <c r="J8881" s="15">
        <v>1.0</v>
      </c>
      <c r="K8881" s="15" t="s">
        <v>31</v>
      </c>
      <c r="L8881" s="16" t="s">
        <v>54895</v>
      </c>
      <c r="M8881" s="14" t="s">
        <v>31</v>
      </c>
      <c r="N8881" s="14" t="s">
        <v>429</v>
      </c>
      <c r="O8881" s="16" t="s">
        <v>430</v>
      </c>
      <c r="P8881" s="14" t="s">
        <v>54896</v>
      </c>
      <c r="Q8881" s="14" t="s">
        <v>54897</v>
      </c>
      <c r="R8881" s="14" t="s">
        <v>31</v>
      </c>
      <c r="S8881" s="16" t="s">
        <v>54898</v>
      </c>
      <c r="T8881" s="14" t="s">
        <v>433</v>
      </c>
      <c r="U8881" s="16" t="s">
        <v>31</v>
      </c>
      <c r="V8881" s="14" t="s">
        <v>55066</v>
      </c>
      <c r="W8881" s="14" t="s">
        <v>54893</v>
      </c>
      <c r="X8881" s="17" t="str">
        <f>HYPERLINK("https://my.pitchbook.com?p=200889-46P","View People Online")</f>
        <v>View People Online</v>
      </c>
    </row>
    <row r="8882">
      <c r="A8882" s="2" t="s">
        <v>55067</v>
      </c>
      <c r="B8882" s="2" t="s">
        <v>55068</v>
      </c>
      <c r="C8882" s="2" t="s">
        <v>12402</v>
      </c>
      <c r="D8882" s="2" t="s">
        <v>55069</v>
      </c>
      <c r="E8882" s="2" t="s">
        <v>54893</v>
      </c>
      <c r="F8882" s="2" t="s">
        <v>548</v>
      </c>
      <c r="G8882" s="2" t="s">
        <v>55070</v>
      </c>
      <c r="H8882" s="3" t="s">
        <v>31</v>
      </c>
      <c r="I8882" s="3">
        <v>1.0</v>
      </c>
      <c r="J8882" s="3">
        <v>1.0</v>
      </c>
      <c r="K8882" s="3" t="s">
        <v>31</v>
      </c>
      <c r="L8882" s="4" t="s">
        <v>54895</v>
      </c>
      <c r="M8882" s="2" t="s">
        <v>55071</v>
      </c>
      <c r="N8882" s="2" t="s">
        <v>429</v>
      </c>
      <c r="O8882" s="4" t="s">
        <v>430</v>
      </c>
      <c r="P8882" s="2" t="s">
        <v>54896</v>
      </c>
      <c r="Q8882" s="2" t="s">
        <v>54897</v>
      </c>
      <c r="R8882" s="2" t="s">
        <v>31</v>
      </c>
      <c r="S8882" s="4" t="s">
        <v>54898</v>
      </c>
      <c r="T8882" s="2" t="s">
        <v>433</v>
      </c>
      <c r="U8882" s="4" t="s">
        <v>31</v>
      </c>
      <c r="V8882" s="2" t="s">
        <v>55072</v>
      </c>
      <c r="W8882" s="2" t="s">
        <v>54893</v>
      </c>
      <c r="X8882" s="5" t="str">
        <f>HYPERLINK("https://my.pitchbook.com?p=226139-05P","View People Online")</f>
        <v>View People Online</v>
      </c>
    </row>
    <row r="8883">
      <c r="A8883" s="6" t="s">
        <v>55073</v>
      </c>
      <c r="B8883" s="6" t="s">
        <v>55074</v>
      </c>
      <c r="C8883" s="6" t="s">
        <v>55075</v>
      </c>
      <c r="D8883" s="6" t="s">
        <v>55076</v>
      </c>
      <c r="E8883" s="6" t="s">
        <v>54893</v>
      </c>
      <c r="F8883" s="6" t="s">
        <v>7624</v>
      </c>
      <c r="G8883" s="6" t="s">
        <v>55077</v>
      </c>
      <c r="H8883" s="7" t="s">
        <v>31</v>
      </c>
      <c r="I8883" s="7">
        <v>1.0</v>
      </c>
      <c r="J8883" s="7">
        <v>1.0</v>
      </c>
      <c r="K8883" s="7" t="s">
        <v>31</v>
      </c>
      <c r="L8883" s="8" t="s">
        <v>54895</v>
      </c>
      <c r="M8883" s="6" t="s">
        <v>55078</v>
      </c>
      <c r="N8883" s="6" t="s">
        <v>429</v>
      </c>
      <c r="O8883" s="8" t="s">
        <v>430</v>
      </c>
      <c r="P8883" s="6" t="s">
        <v>54896</v>
      </c>
      <c r="Q8883" s="6" t="s">
        <v>54897</v>
      </c>
      <c r="R8883" s="6" t="s">
        <v>31</v>
      </c>
      <c r="S8883" s="8" t="s">
        <v>54898</v>
      </c>
      <c r="T8883" s="6" t="s">
        <v>433</v>
      </c>
      <c r="U8883" s="8" t="s">
        <v>31</v>
      </c>
      <c r="V8883" s="6" t="s">
        <v>55079</v>
      </c>
      <c r="W8883" s="6" t="s">
        <v>54893</v>
      </c>
      <c r="X8883" s="9" t="str">
        <f>HYPERLINK("https://my.pitchbook.com?p=127503-91P","View People Online")</f>
        <v>View People Online</v>
      </c>
    </row>
    <row r="8884">
      <c r="A8884" s="10" t="s">
        <v>55080</v>
      </c>
      <c r="B8884" s="10" t="s">
        <v>55081</v>
      </c>
      <c r="C8884" s="10" t="s">
        <v>35179</v>
      </c>
      <c r="D8884" s="10" t="s">
        <v>55082</v>
      </c>
      <c r="E8884" s="10" t="s">
        <v>54893</v>
      </c>
      <c r="F8884" s="10" t="s">
        <v>270</v>
      </c>
      <c r="G8884" s="10" t="s">
        <v>55083</v>
      </c>
      <c r="H8884" s="11" t="s">
        <v>31</v>
      </c>
      <c r="I8884" s="11">
        <v>1.0</v>
      </c>
      <c r="J8884" s="11">
        <v>1.0</v>
      </c>
      <c r="K8884" s="11" t="s">
        <v>31</v>
      </c>
      <c r="L8884" s="12" t="s">
        <v>54895</v>
      </c>
      <c r="M8884" s="10" t="s">
        <v>55084</v>
      </c>
      <c r="N8884" s="10" t="s">
        <v>429</v>
      </c>
      <c r="O8884" s="12" t="s">
        <v>430</v>
      </c>
      <c r="P8884" s="10" t="s">
        <v>54896</v>
      </c>
      <c r="Q8884" s="10" t="s">
        <v>54897</v>
      </c>
      <c r="R8884" s="10" t="s">
        <v>31</v>
      </c>
      <c r="S8884" s="12" t="s">
        <v>54898</v>
      </c>
      <c r="T8884" s="10" t="s">
        <v>433</v>
      </c>
      <c r="U8884" s="12" t="s">
        <v>31</v>
      </c>
      <c r="V8884" s="10" t="s">
        <v>55085</v>
      </c>
      <c r="W8884" s="10" t="s">
        <v>54893</v>
      </c>
      <c r="X8884" s="13" t="str">
        <f>HYPERLINK("https://my.pitchbook.com?p=257613-40P","View People Online")</f>
        <v>View People Online</v>
      </c>
    </row>
    <row r="8885">
      <c r="A8885" s="14" t="s">
        <v>55086</v>
      </c>
      <c r="B8885" s="14" t="s">
        <v>55087</v>
      </c>
      <c r="C8885" s="14" t="s">
        <v>55088</v>
      </c>
      <c r="D8885" s="14" t="s">
        <v>55089</v>
      </c>
      <c r="E8885" s="14" t="s">
        <v>54893</v>
      </c>
      <c r="F8885" s="14" t="s">
        <v>667</v>
      </c>
      <c r="G8885" s="14" t="s">
        <v>55090</v>
      </c>
      <c r="H8885" s="15" t="s">
        <v>31</v>
      </c>
      <c r="I8885" s="15">
        <v>3.0</v>
      </c>
      <c r="J8885" s="15">
        <v>1.0</v>
      </c>
      <c r="K8885" s="15">
        <v>2.0</v>
      </c>
      <c r="L8885" s="16" t="s">
        <v>54895</v>
      </c>
      <c r="M8885" s="14" t="s">
        <v>55091</v>
      </c>
      <c r="N8885" s="14" t="s">
        <v>429</v>
      </c>
      <c r="O8885" s="16" t="s">
        <v>430</v>
      </c>
      <c r="P8885" s="14" t="s">
        <v>54896</v>
      </c>
      <c r="Q8885" s="14" t="s">
        <v>54897</v>
      </c>
      <c r="R8885" s="14" t="s">
        <v>31</v>
      </c>
      <c r="S8885" s="16" t="s">
        <v>54898</v>
      </c>
      <c r="T8885" s="14" t="s">
        <v>433</v>
      </c>
      <c r="U8885" s="16" t="s">
        <v>31</v>
      </c>
      <c r="V8885" s="14" t="s">
        <v>55092</v>
      </c>
      <c r="W8885" s="14" t="s">
        <v>54893</v>
      </c>
      <c r="X8885" s="17" t="str">
        <f>HYPERLINK("https://my.pitchbook.com?p=383035-96P","View People Online")</f>
        <v>View People Online</v>
      </c>
    </row>
    <row r="8886">
      <c r="A8886" s="10" t="s">
        <v>55093</v>
      </c>
      <c r="B8886" s="10" t="s">
        <v>55094</v>
      </c>
      <c r="C8886" s="10" t="s">
        <v>25787</v>
      </c>
      <c r="D8886" s="10" t="s">
        <v>12088</v>
      </c>
      <c r="E8886" s="10" t="s">
        <v>55095</v>
      </c>
      <c r="F8886" s="10" t="s">
        <v>114</v>
      </c>
      <c r="G8886" s="10" t="s">
        <v>55096</v>
      </c>
      <c r="H8886" s="11">
        <v>2.0</v>
      </c>
      <c r="I8886" s="11">
        <v>23.0</v>
      </c>
      <c r="J8886" s="11">
        <v>2.0</v>
      </c>
      <c r="K8886" s="11">
        <v>18.0</v>
      </c>
      <c r="L8886" s="12" t="s">
        <v>55097</v>
      </c>
      <c r="M8886" s="10" t="s">
        <v>31</v>
      </c>
      <c r="N8886" s="10" t="s">
        <v>75</v>
      </c>
      <c r="O8886" s="12" t="s">
        <v>76</v>
      </c>
      <c r="P8886" s="10" t="s">
        <v>55098</v>
      </c>
      <c r="Q8886" s="10" t="s">
        <v>23552</v>
      </c>
      <c r="R8886" s="10" t="s">
        <v>75</v>
      </c>
      <c r="S8886" s="12" t="s">
        <v>1896</v>
      </c>
      <c r="T8886" s="10" t="s">
        <v>66</v>
      </c>
      <c r="U8886" s="12" t="s">
        <v>31</v>
      </c>
      <c r="V8886" s="10" t="s">
        <v>57</v>
      </c>
      <c r="W8886" s="10" t="s">
        <v>55099</v>
      </c>
      <c r="X8886" s="13" t="str">
        <f>HYPERLINK("https://my.pitchbook.com?p=36370-00P","View People Online")</f>
        <v>View People Online</v>
      </c>
    </row>
    <row r="8887">
      <c r="A8887" s="6" t="s">
        <v>55100</v>
      </c>
      <c r="B8887" s="6" t="s">
        <v>55101</v>
      </c>
      <c r="C8887" s="6" t="s">
        <v>1449</v>
      </c>
      <c r="D8887" s="6" t="s">
        <v>55102</v>
      </c>
      <c r="E8887" s="6" t="s">
        <v>55095</v>
      </c>
      <c r="F8887" s="6" t="s">
        <v>1106</v>
      </c>
      <c r="G8887" s="6" t="s">
        <v>55103</v>
      </c>
      <c r="H8887" s="7">
        <v>1.0</v>
      </c>
      <c r="I8887" s="7">
        <v>16.0</v>
      </c>
      <c r="J8887" s="7">
        <v>1.0</v>
      </c>
      <c r="K8887" s="7">
        <v>5.0</v>
      </c>
      <c r="L8887" s="8" t="s">
        <v>55104</v>
      </c>
      <c r="M8887" s="6" t="s">
        <v>55105</v>
      </c>
      <c r="N8887" s="6" t="s">
        <v>155</v>
      </c>
      <c r="O8887" s="8" t="s">
        <v>156</v>
      </c>
      <c r="P8887" s="6" t="s">
        <v>31398</v>
      </c>
      <c r="Q8887" s="6" t="s">
        <v>55106</v>
      </c>
      <c r="R8887" s="6" t="s">
        <v>64</v>
      </c>
      <c r="S8887" s="8" t="s">
        <v>1549</v>
      </c>
      <c r="T8887" s="6" t="s">
        <v>66</v>
      </c>
      <c r="U8887" s="8" t="s">
        <v>31</v>
      </c>
      <c r="V8887" s="6" t="s">
        <v>1114</v>
      </c>
      <c r="W8887" s="6" t="s">
        <v>55095</v>
      </c>
      <c r="X8887" s="9" t="str">
        <f>HYPERLINK("https://my.pitchbook.com?p=13933-81P","View People Online")</f>
        <v>View People Online</v>
      </c>
    </row>
    <row r="8888">
      <c r="A8888" s="2" t="s">
        <v>55107</v>
      </c>
      <c r="B8888" s="2" t="s">
        <v>55108</v>
      </c>
      <c r="C8888" s="2" t="s">
        <v>1343</v>
      </c>
      <c r="D8888" s="2" t="s">
        <v>55109</v>
      </c>
      <c r="E8888" s="2" t="s">
        <v>55095</v>
      </c>
      <c r="F8888" s="2" t="s">
        <v>114</v>
      </c>
      <c r="G8888" s="2" t="s">
        <v>55110</v>
      </c>
      <c r="H8888" s="3">
        <v>1.0</v>
      </c>
      <c r="I8888" s="3">
        <v>2.0</v>
      </c>
      <c r="J8888" s="3">
        <v>1.0</v>
      </c>
      <c r="K8888" s="3" t="s">
        <v>31</v>
      </c>
      <c r="L8888" s="4" t="s">
        <v>55111</v>
      </c>
      <c r="M8888" s="2" t="s">
        <v>31</v>
      </c>
      <c r="N8888" s="2" t="s">
        <v>39870</v>
      </c>
      <c r="O8888" s="4" t="s">
        <v>39871</v>
      </c>
      <c r="P8888" s="2" t="s">
        <v>55112</v>
      </c>
      <c r="Q8888" s="2" t="s">
        <v>13284</v>
      </c>
      <c r="R8888" s="2" t="s">
        <v>64</v>
      </c>
      <c r="S8888" s="4" t="s">
        <v>43175</v>
      </c>
      <c r="T8888" s="2" t="s">
        <v>66</v>
      </c>
      <c r="U8888" s="4" t="s">
        <v>31</v>
      </c>
      <c r="V8888" s="2" t="s">
        <v>2379</v>
      </c>
      <c r="W8888" s="2" t="s">
        <v>55113</v>
      </c>
      <c r="X8888" s="5" t="str">
        <f>HYPERLINK("https://my.pitchbook.com?p=135621-46P","View People Online")</f>
        <v>View People Online</v>
      </c>
    </row>
    <row r="8889">
      <c r="A8889" s="6" t="s">
        <v>55114</v>
      </c>
      <c r="B8889" s="6" t="s">
        <v>55115</v>
      </c>
      <c r="C8889" s="6" t="s">
        <v>4009</v>
      </c>
      <c r="D8889" s="6" t="s">
        <v>55116</v>
      </c>
      <c r="E8889" s="6" t="s">
        <v>55095</v>
      </c>
      <c r="F8889" s="6" t="s">
        <v>1106</v>
      </c>
      <c r="G8889" s="6" t="s">
        <v>55117</v>
      </c>
      <c r="H8889" s="7">
        <v>1.0</v>
      </c>
      <c r="I8889" s="7">
        <v>49.0</v>
      </c>
      <c r="J8889" s="7">
        <v>4.0</v>
      </c>
      <c r="K8889" s="7">
        <v>31.0</v>
      </c>
      <c r="L8889" s="8" t="s">
        <v>55104</v>
      </c>
      <c r="M8889" s="6" t="s">
        <v>55118</v>
      </c>
      <c r="N8889" s="6" t="s">
        <v>155</v>
      </c>
      <c r="O8889" s="8" t="s">
        <v>156</v>
      </c>
      <c r="P8889" s="6" t="s">
        <v>31398</v>
      </c>
      <c r="Q8889" s="6" t="s">
        <v>55106</v>
      </c>
      <c r="R8889" s="6" t="s">
        <v>64</v>
      </c>
      <c r="S8889" s="8" t="s">
        <v>1549</v>
      </c>
      <c r="T8889" s="6" t="s">
        <v>66</v>
      </c>
      <c r="U8889" s="8" t="s">
        <v>31</v>
      </c>
      <c r="V8889" s="6" t="s">
        <v>1114</v>
      </c>
      <c r="W8889" s="6" t="s">
        <v>55095</v>
      </c>
      <c r="X8889" s="9" t="str">
        <f>HYPERLINK("https://my.pitchbook.com?p=13933-54P","View People Online")</f>
        <v>View People Online</v>
      </c>
    </row>
    <row r="8890">
      <c r="A8890" s="2" t="s">
        <v>55119</v>
      </c>
      <c r="B8890" s="2" t="s">
        <v>55120</v>
      </c>
      <c r="C8890" s="2" t="s">
        <v>536</v>
      </c>
      <c r="D8890" s="2" t="s">
        <v>55121</v>
      </c>
      <c r="E8890" s="2" t="s">
        <v>55095</v>
      </c>
      <c r="F8890" s="2" t="s">
        <v>502</v>
      </c>
      <c r="G8890" s="2" t="s">
        <v>55122</v>
      </c>
      <c r="H8890" s="3" t="s">
        <v>31</v>
      </c>
      <c r="I8890" s="3">
        <v>4.0</v>
      </c>
      <c r="J8890" s="3">
        <v>1.0</v>
      </c>
      <c r="K8890" s="3" t="s">
        <v>31</v>
      </c>
      <c r="L8890" s="4" t="s">
        <v>55104</v>
      </c>
      <c r="M8890" s="2" t="s">
        <v>55123</v>
      </c>
      <c r="N8890" s="2" t="s">
        <v>155</v>
      </c>
      <c r="O8890" s="4" t="s">
        <v>156</v>
      </c>
      <c r="P8890" s="2" t="s">
        <v>31398</v>
      </c>
      <c r="Q8890" s="2" t="s">
        <v>55106</v>
      </c>
      <c r="R8890" s="2" t="s">
        <v>64</v>
      </c>
      <c r="S8890" s="4" t="s">
        <v>1549</v>
      </c>
      <c r="T8890" s="2" t="s">
        <v>66</v>
      </c>
      <c r="U8890" s="4" t="s">
        <v>31</v>
      </c>
      <c r="V8890" s="2" t="s">
        <v>502</v>
      </c>
      <c r="W8890" s="2" t="s">
        <v>55095</v>
      </c>
      <c r="X8890" s="5" t="str">
        <f>HYPERLINK("https://my.pitchbook.com?p=13014-55P","View People Online")</f>
        <v>View People Online</v>
      </c>
    </row>
    <row r="8891">
      <c r="A8891" s="6" t="s">
        <v>55124</v>
      </c>
      <c r="B8891" s="6" t="s">
        <v>55125</v>
      </c>
      <c r="C8891" s="6" t="s">
        <v>3716</v>
      </c>
      <c r="D8891" s="6" t="s">
        <v>55126</v>
      </c>
      <c r="E8891" s="6" t="s">
        <v>55095</v>
      </c>
      <c r="F8891" s="6" t="s">
        <v>270</v>
      </c>
      <c r="G8891" s="6" t="s">
        <v>55127</v>
      </c>
      <c r="H8891" s="7">
        <v>1.0</v>
      </c>
      <c r="I8891" s="7">
        <v>30.0</v>
      </c>
      <c r="J8891" s="7">
        <v>2.0</v>
      </c>
      <c r="K8891" s="7">
        <v>13.0</v>
      </c>
      <c r="L8891" s="8" t="s">
        <v>55128</v>
      </c>
      <c r="M8891" s="6" t="s">
        <v>55129</v>
      </c>
      <c r="N8891" s="6" t="s">
        <v>49415</v>
      </c>
      <c r="O8891" s="8" t="s">
        <v>49416</v>
      </c>
      <c r="P8891" s="6" t="s">
        <v>49417</v>
      </c>
      <c r="Q8891" s="6" t="s">
        <v>31</v>
      </c>
      <c r="R8891" s="6" t="s">
        <v>64</v>
      </c>
      <c r="S8891" s="8" t="s">
        <v>49418</v>
      </c>
      <c r="T8891" s="6" t="s">
        <v>66</v>
      </c>
      <c r="U8891" s="8" t="s">
        <v>31</v>
      </c>
      <c r="V8891" s="6" t="s">
        <v>1172</v>
      </c>
      <c r="W8891" s="6" t="s">
        <v>49419</v>
      </c>
      <c r="X8891" s="9" t="str">
        <f>HYPERLINK("https://my.pitchbook.com?p=36997-48P","View People Online")</f>
        <v>View People Online</v>
      </c>
    </row>
    <row r="8892">
      <c r="A8892" s="2" t="s">
        <v>55130</v>
      </c>
      <c r="B8892" s="2" t="s">
        <v>55131</v>
      </c>
      <c r="C8892" s="2" t="s">
        <v>22105</v>
      </c>
      <c r="D8892" s="2" t="s">
        <v>15398</v>
      </c>
      <c r="E8892" s="2" t="s">
        <v>55095</v>
      </c>
      <c r="F8892" s="2" t="s">
        <v>371</v>
      </c>
      <c r="G8892" s="2" t="s">
        <v>55132</v>
      </c>
      <c r="H8892" s="3" t="s">
        <v>31</v>
      </c>
      <c r="I8892" s="3">
        <v>1.0</v>
      </c>
      <c r="J8892" s="3">
        <v>1.0</v>
      </c>
      <c r="K8892" s="3" t="s">
        <v>31</v>
      </c>
      <c r="L8892" s="4" t="s">
        <v>55104</v>
      </c>
      <c r="M8892" s="2" t="s">
        <v>55133</v>
      </c>
      <c r="N8892" s="2" t="s">
        <v>155</v>
      </c>
      <c r="O8892" s="4" t="s">
        <v>156</v>
      </c>
      <c r="P8892" s="2" t="s">
        <v>31398</v>
      </c>
      <c r="Q8892" s="2" t="s">
        <v>55106</v>
      </c>
      <c r="R8892" s="2" t="s">
        <v>64</v>
      </c>
      <c r="S8892" s="4" t="s">
        <v>1549</v>
      </c>
      <c r="T8892" s="2" t="s">
        <v>66</v>
      </c>
      <c r="U8892" s="4" t="s">
        <v>31</v>
      </c>
      <c r="V8892" s="2" t="s">
        <v>371</v>
      </c>
      <c r="W8892" s="2" t="s">
        <v>55095</v>
      </c>
      <c r="X8892" s="5" t="str">
        <f>HYPERLINK("https://my.pitchbook.com?p=290543-77P","View People Online")</f>
        <v>View People Online</v>
      </c>
    </row>
    <row r="8893">
      <c r="A8893" s="6" t="s">
        <v>55134</v>
      </c>
      <c r="B8893" s="6" t="s">
        <v>55135</v>
      </c>
      <c r="C8893" s="6" t="s">
        <v>55136</v>
      </c>
      <c r="D8893" s="6" t="s">
        <v>55137</v>
      </c>
      <c r="E8893" s="6" t="s">
        <v>49265</v>
      </c>
      <c r="F8893" s="6" t="s">
        <v>52620</v>
      </c>
      <c r="G8893" s="6" t="s">
        <v>55138</v>
      </c>
      <c r="H8893" s="7" t="s">
        <v>31</v>
      </c>
      <c r="I8893" s="7">
        <v>1.0</v>
      </c>
      <c r="J8893" s="7">
        <v>1.0</v>
      </c>
      <c r="K8893" s="7" t="s">
        <v>31</v>
      </c>
      <c r="L8893" s="8" t="s">
        <v>55139</v>
      </c>
      <c r="M8893" s="6" t="s">
        <v>55140</v>
      </c>
      <c r="N8893" s="6" t="s">
        <v>155</v>
      </c>
      <c r="O8893" s="8" t="s">
        <v>156</v>
      </c>
      <c r="P8893" s="6" t="s">
        <v>49262</v>
      </c>
      <c r="Q8893" s="6" t="s">
        <v>49263</v>
      </c>
      <c r="R8893" s="6" t="s">
        <v>64</v>
      </c>
      <c r="S8893" s="8" t="s">
        <v>3487</v>
      </c>
      <c r="T8893" s="6" t="s">
        <v>66</v>
      </c>
      <c r="U8893" s="8" t="s">
        <v>49264</v>
      </c>
      <c r="V8893" s="6" t="s">
        <v>55141</v>
      </c>
      <c r="W8893" s="6" t="s">
        <v>49265</v>
      </c>
      <c r="X8893" s="9" t="str">
        <f>HYPERLINK("https://my.pitchbook.com?p=314363-71P","View People Online")</f>
        <v>View People Online</v>
      </c>
    </row>
    <row r="8894">
      <c r="A8894" s="2" t="s">
        <v>55142</v>
      </c>
      <c r="B8894" s="2" t="s">
        <v>55143</v>
      </c>
      <c r="C8894" s="2" t="s">
        <v>8348</v>
      </c>
      <c r="D8894" s="2" t="s">
        <v>55144</v>
      </c>
      <c r="E8894" s="2" t="s">
        <v>49265</v>
      </c>
      <c r="F8894" s="2" t="s">
        <v>270</v>
      </c>
      <c r="G8894" s="2" t="s">
        <v>55145</v>
      </c>
      <c r="H8894" s="3" t="s">
        <v>31</v>
      </c>
      <c r="I8894" s="3">
        <v>1.0</v>
      </c>
      <c r="J8894" s="3">
        <v>1.0</v>
      </c>
      <c r="K8894" s="3" t="s">
        <v>31</v>
      </c>
      <c r="L8894" s="4" t="s">
        <v>55139</v>
      </c>
      <c r="M8894" s="2" t="s">
        <v>55146</v>
      </c>
      <c r="N8894" s="2" t="s">
        <v>155</v>
      </c>
      <c r="O8894" s="4" t="s">
        <v>156</v>
      </c>
      <c r="P8894" s="2" t="s">
        <v>49262</v>
      </c>
      <c r="Q8894" s="2" t="s">
        <v>49263</v>
      </c>
      <c r="R8894" s="2" t="s">
        <v>64</v>
      </c>
      <c r="S8894" s="4" t="s">
        <v>3487</v>
      </c>
      <c r="T8894" s="2" t="s">
        <v>66</v>
      </c>
      <c r="U8894" s="4" t="s">
        <v>49264</v>
      </c>
      <c r="V8894" s="2" t="s">
        <v>55147</v>
      </c>
      <c r="W8894" s="2" t="s">
        <v>49265</v>
      </c>
      <c r="X8894" s="5" t="str">
        <f>HYPERLINK("https://my.pitchbook.com?p=367981-93P","View People Online")</f>
        <v>View People Online</v>
      </c>
    </row>
    <row r="8895">
      <c r="A8895" s="14" t="s">
        <v>55148</v>
      </c>
      <c r="B8895" s="14" t="s">
        <v>55149</v>
      </c>
      <c r="C8895" s="14" t="s">
        <v>1410</v>
      </c>
      <c r="D8895" s="14" t="s">
        <v>55150</v>
      </c>
      <c r="E8895" s="14" t="s">
        <v>49265</v>
      </c>
      <c r="F8895" s="14" t="s">
        <v>371</v>
      </c>
      <c r="G8895" s="14" t="s">
        <v>55151</v>
      </c>
      <c r="H8895" s="15" t="s">
        <v>31</v>
      </c>
      <c r="I8895" s="15">
        <v>1.0</v>
      </c>
      <c r="J8895" s="15">
        <v>1.0</v>
      </c>
      <c r="K8895" s="15" t="s">
        <v>31</v>
      </c>
      <c r="L8895" s="16" t="s">
        <v>55139</v>
      </c>
      <c r="M8895" s="14" t="s">
        <v>55152</v>
      </c>
      <c r="N8895" s="14" t="s">
        <v>155</v>
      </c>
      <c r="O8895" s="16" t="s">
        <v>156</v>
      </c>
      <c r="P8895" s="14" t="s">
        <v>49262</v>
      </c>
      <c r="Q8895" s="14" t="s">
        <v>49263</v>
      </c>
      <c r="R8895" s="14" t="s">
        <v>64</v>
      </c>
      <c r="S8895" s="16" t="s">
        <v>3487</v>
      </c>
      <c r="T8895" s="14" t="s">
        <v>66</v>
      </c>
      <c r="U8895" s="16" t="s">
        <v>49264</v>
      </c>
      <c r="V8895" s="14" t="s">
        <v>55153</v>
      </c>
      <c r="W8895" s="14" t="s">
        <v>49265</v>
      </c>
      <c r="X8895" s="17" t="str">
        <f>HYPERLINK("https://my.pitchbook.com?p=47663-38P","View People Online")</f>
        <v>View People Online</v>
      </c>
    </row>
    <row r="8896">
      <c r="A8896" s="2" t="s">
        <v>55154</v>
      </c>
      <c r="B8896" s="2" t="s">
        <v>55155</v>
      </c>
      <c r="C8896" s="2" t="s">
        <v>622</v>
      </c>
      <c r="D8896" s="2" t="s">
        <v>55156</v>
      </c>
      <c r="E8896" s="2" t="s">
        <v>49265</v>
      </c>
      <c r="F8896" s="2" t="s">
        <v>270</v>
      </c>
      <c r="G8896" s="2" t="s">
        <v>55157</v>
      </c>
      <c r="H8896" s="3" t="s">
        <v>31</v>
      </c>
      <c r="I8896" s="3">
        <v>1.0</v>
      </c>
      <c r="J8896" s="3">
        <v>1.0</v>
      </c>
      <c r="K8896" s="3" t="s">
        <v>31</v>
      </c>
      <c r="L8896" s="4" t="s">
        <v>55139</v>
      </c>
      <c r="M8896" s="2" t="s">
        <v>55158</v>
      </c>
      <c r="N8896" s="2" t="s">
        <v>155</v>
      </c>
      <c r="O8896" s="4" t="s">
        <v>156</v>
      </c>
      <c r="P8896" s="2" t="s">
        <v>49262</v>
      </c>
      <c r="Q8896" s="2" t="s">
        <v>49263</v>
      </c>
      <c r="R8896" s="2" t="s">
        <v>64</v>
      </c>
      <c r="S8896" s="4" t="s">
        <v>3487</v>
      </c>
      <c r="T8896" s="2" t="s">
        <v>66</v>
      </c>
      <c r="U8896" s="4" t="s">
        <v>49264</v>
      </c>
      <c r="V8896" s="2" t="s">
        <v>55159</v>
      </c>
      <c r="W8896" s="2" t="s">
        <v>49265</v>
      </c>
      <c r="X8896" s="5" t="str">
        <f>HYPERLINK("https://my.pitchbook.com?p=391103-29P","View People Online")</f>
        <v>View People Online</v>
      </c>
    </row>
    <row r="8897">
      <c r="A8897" s="6" t="s">
        <v>55160</v>
      </c>
      <c r="B8897" s="6" t="s">
        <v>55161</v>
      </c>
      <c r="C8897" s="6" t="s">
        <v>4798</v>
      </c>
      <c r="D8897" s="6" t="s">
        <v>55162</v>
      </c>
      <c r="E8897" s="6" t="s">
        <v>49265</v>
      </c>
      <c r="F8897" s="6" t="s">
        <v>52620</v>
      </c>
      <c r="G8897" s="6" t="s">
        <v>55163</v>
      </c>
      <c r="H8897" s="7" t="s">
        <v>31</v>
      </c>
      <c r="I8897" s="7">
        <v>2.0</v>
      </c>
      <c r="J8897" s="7">
        <v>1.0</v>
      </c>
      <c r="K8897" s="7">
        <v>1.0</v>
      </c>
      <c r="L8897" s="8" t="s">
        <v>55139</v>
      </c>
      <c r="M8897" s="6" t="s">
        <v>55164</v>
      </c>
      <c r="N8897" s="6" t="s">
        <v>155</v>
      </c>
      <c r="O8897" s="8" t="s">
        <v>156</v>
      </c>
      <c r="P8897" s="6" t="s">
        <v>49262</v>
      </c>
      <c r="Q8897" s="6" t="s">
        <v>49263</v>
      </c>
      <c r="R8897" s="6" t="s">
        <v>64</v>
      </c>
      <c r="S8897" s="8" t="s">
        <v>3487</v>
      </c>
      <c r="T8897" s="6" t="s">
        <v>66</v>
      </c>
      <c r="U8897" s="8" t="s">
        <v>49264</v>
      </c>
      <c r="V8897" s="6" t="s">
        <v>55165</v>
      </c>
      <c r="W8897" s="6" t="s">
        <v>49265</v>
      </c>
      <c r="X8897" s="9" t="str">
        <f>HYPERLINK("https://my.pitchbook.com?p=450715-33P","View People Online")</f>
        <v>View People Online</v>
      </c>
    </row>
    <row r="8898">
      <c r="A8898" s="10" t="s">
        <v>55166</v>
      </c>
      <c r="B8898" s="10" t="s">
        <v>55167</v>
      </c>
      <c r="C8898" s="10" t="s">
        <v>1117</v>
      </c>
      <c r="D8898" s="10" t="s">
        <v>55168</v>
      </c>
      <c r="E8898" s="10" t="s">
        <v>49265</v>
      </c>
      <c r="F8898" s="10" t="s">
        <v>55169</v>
      </c>
      <c r="G8898" s="10" t="s">
        <v>55170</v>
      </c>
      <c r="H8898" s="11" t="s">
        <v>31</v>
      </c>
      <c r="I8898" s="11">
        <v>1.0</v>
      </c>
      <c r="J8898" s="11">
        <v>1.0</v>
      </c>
      <c r="K8898" s="11" t="s">
        <v>31</v>
      </c>
      <c r="L8898" s="12" t="s">
        <v>55171</v>
      </c>
      <c r="M8898" s="10" t="s">
        <v>55172</v>
      </c>
      <c r="N8898" s="10" t="s">
        <v>155</v>
      </c>
      <c r="O8898" s="12" t="s">
        <v>156</v>
      </c>
      <c r="P8898" s="10" t="s">
        <v>49262</v>
      </c>
      <c r="Q8898" s="10" t="s">
        <v>49263</v>
      </c>
      <c r="R8898" s="10" t="s">
        <v>64</v>
      </c>
      <c r="S8898" s="12" t="s">
        <v>3487</v>
      </c>
      <c r="T8898" s="10" t="s">
        <v>66</v>
      </c>
      <c r="U8898" s="12" t="s">
        <v>49264</v>
      </c>
      <c r="V8898" s="10" t="s">
        <v>55173</v>
      </c>
      <c r="W8898" s="10" t="s">
        <v>49265</v>
      </c>
      <c r="X8898" s="13" t="str">
        <f>HYPERLINK("https://my.pitchbook.com?p=68226-31P","View People Online")</f>
        <v>View People Online</v>
      </c>
    </row>
    <row r="8899">
      <c r="A8899" s="6" t="s">
        <v>55174</v>
      </c>
      <c r="B8899" s="6" t="s">
        <v>55175</v>
      </c>
      <c r="C8899" s="6" t="s">
        <v>54901</v>
      </c>
      <c r="D8899" s="6" t="s">
        <v>20388</v>
      </c>
      <c r="E8899" s="6" t="s">
        <v>49265</v>
      </c>
      <c r="F8899" s="6" t="s">
        <v>270</v>
      </c>
      <c r="G8899" s="6" t="s">
        <v>55176</v>
      </c>
      <c r="H8899" s="7" t="s">
        <v>31</v>
      </c>
      <c r="I8899" s="7">
        <v>1.0</v>
      </c>
      <c r="J8899" s="7">
        <v>1.0</v>
      </c>
      <c r="K8899" s="7" t="s">
        <v>31</v>
      </c>
      <c r="L8899" s="8" t="s">
        <v>55139</v>
      </c>
      <c r="M8899" s="6" t="s">
        <v>55177</v>
      </c>
      <c r="N8899" s="6" t="s">
        <v>155</v>
      </c>
      <c r="O8899" s="8" t="s">
        <v>156</v>
      </c>
      <c r="P8899" s="6" t="s">
        <v>49262</v>
      </c>
      <c r="Q8899" s="6" t="s">
        <v>49263</v>
      </c>
      <c r="R8899" s="6" t="s">
        <v>64</v>
      </c>
      <c r="S8899" s="8" t="s">
        <v>3487</v>
      </c>
      <c r="T8899" s="6" t="s">
        <v>66</v>
      </c>
      <c r="U8899" s="8" t="s">
        <v>49264</v>
      </c>
      <c r="V8899" s="6" t="s">
        <v>55178</v>
      </c>
      <c r="W8899" s="6" t="s">
        <v>49265</v>
      </c>
      <c r="X8899" s="9" t="str">
        <f>HYPERLINK("https://my.pitchbook.com?p=367981-21P","View People Online")</f>
        <v>View People Online</v>
      </c>
    </row>
    <row r="8900">
      <c r="A8900" s="2" t="s">
        <v>55179</v>
      </c>
      <c r="B8900" s="2" t="s">
        <v>55180</v>
      </c>
      <c r="C8900" s="2" t="s">
        <v>28302</v>
      </c>
      <c r="D8900" s="2" t="s">
        <v>55181</v>
      </c>
      <c r="E8900" s="2" t="s">
        <v>49265</v>
      </c>
      <c r="F8900" s="2" t="s">
        <v>55182</v>
      </c>
      <c r="G8900" s="2" t="s">
        <v>55183</v>
      </c>
      <c r="H8900" s="3" t="s">
        <v>31</v>
      </c>
      <c r="I8900" s="3">
        <v>1.0</v>
      </c>
      <c r="J8900" s="3">
        <v>1.0</v>
      </c>
      <c r="K8900" s="3" t="s">
        <v>31</v>
      </c>
      <c r="L8900" s="4" t="s">
        <v>55139</v>
      </c>
      <c r="M8900" s="2" t="s">
        <v>55184</v>
      </c>
      <c r="N8900" s="2" t="s">
        <v>155</v>
      </c>
      <c r="O8900" s="4" t="s">
        <v>156</v>
      </c>
      <c r="P8900" s="2" t="s">
        <v>49262</v>
      </c>
      <c r="Q8900" s="2" t="s">
        <v>49263</v>
      </c>
      <c r="R8900" s="2" t="s">
        <v>64</v>
      </c>
      <c r="S8900" s="4" t="s">
        <v>3487</v>
      </c>
      <c r="T8900" s="2" t="s">
        <v>66</v>
      </c>
      <c r="U8900" s="4" t="s">
        <v>49264</v>
      </c>
      <c r="V8900" s="2" t="s">
        <v>55182</v>
      </c>
      <c r="W8900" s="2" t="s">
        <v>49265</v>
      </c>
      <c r="X8900" s="5" t="str">
        <f>HYPERLINK("https://my.pitchbook.com?p=175487-59P","View People Online")</f>
        <v>View People Online</v>
      </c>
    </row>
    <row r="8901">
      <c r="A8901" s="6" t="s">
        <v>55185</v>
      </c>
      <c r="B8901" s="6" t="s">
        <v>55186</v>
      </c>
      <c r="C8901" s="6" t="s">
        <v>55187</v>
      </c>
      <c r="D8901" s="6" t="s">
        <v>17334</v>
      </c>
      <c r="E8901" s="6" t="s">
        <v>49265</v>
      </c>
      <c r="F8901" s="6" t="s">
        <v>4527</v>
      </c>
      <c r="G8901" s="6" t="s">
        <v>55188</v>
      </c>
      <c r="H8901" s="7">
        <v>3.0</v>
      </c>
      <c r="I8901" s="7">
        <v>4.0</v>
      </c>
      <c r="J8901" s="7">
        <v>1.0</v>
      </c>
      <c r="K8901" s="7">
        <v>1.0</v>
      </c>
      <c r="L8901" s="8" t="s">
        <v>55189</v>
      </c>
      <c r="M8901" s="6" t="s">
        <v>31</v>
      </c>
      <c r="N8901" s="6" t="s">
        <v>1203</v>
      </c>
      <c r="O8901" s="8" t="s">
        <v>1204</v>
      </c>
      <c r="P8901" s="6" t="s">
        <v>55190</v>
      </c>
      <c r="Q8901" s="6" t="s">
        <v>55191</v>
      </c>
      <c r="R8901" s="6" t="s">
        <v>1207</v>
      </c>
      <c r="S8901" s="8" t="s">
        <v>55192</v>
      </c>
      <c r="T8901" s="6" t="s">
        <v>1209</v>
      </c>
      <c r="U8901" s="8" t="s">
        <v>55193</v>
      </c>
      <c r="V8901" s="6" t="s">
        <v>2379</v>
      </c>
      <c r="W8901" s="6" t="s">
        <v>55194</v>
      </c>
      <c r="X8901" s="9" t="str">
        <f>HYPERLINK("https://my.pitchbook.com?p=60915-25P","View People Online")</f>
        <v>View People Online</v>
      </c>
    </row>
    <row r="8902">
      <c r="A8902" s="10" t="s">
        <v>55195</v>
      </c>
      <c r="B8902" s="10" t="s">
        <v>55196</v>
      </c>
      <c r="C8902" s="10" t="s">
        <v>2688</v>
      </c>
      <c r="D8902" s="10" t="s">
        <v>55197</v>
      </c>
      <c r="E8902" s="10" t="s">
        <v>49265</v>
      </c>
      <c r="F8902" s="10" t="s">
        <v>1801</v>
      </c>
      <c r="G8902" s="10" t="s">
        <v>55198</v>
      </c>
      <c r="H8902" s="11" t="s">
        <v>31</v>
      </c>
      <c r="I8902" s="11">
        <v>1.0</v>
      </c>
      <c r="J8902" s="11">
        <v>1.0</v>
      </c>
      <c r="K8902" s="11" t="s">
        <v>31</v>
      </c>
      <c r="L8902" s="12" t="s">
        <v>55139</v>
      </c>
      <c r="M8902" s="10" t="s">
        <v>55199</v>
      </c>
      <c r="N8902" s="10" t="s">
        <v>155</v>
      </c>
      <c r="O8902" s="12" t="s">
        <v>156</v>
      </c>
      <c r="P8902" s="10" t="s">
        <v>49262</v>
      </c>
      <c r="Q8902" s="10" t="s">
        <v>49263</v>
      </c>
      <c r="R8902" s="10" t="s">
        <v>64</v>
      </c>
      <c r="S8902" s="12" t="s">
        <v>3487</v>
      </c>
      <c r="T8902" s="10" t="s">
        <v>66</v>
      </c>
      <c r="U8902" s="12" t="s">
        <v>49264</v>
      </c>
      <c r="V8902" s="10" t="s">
        <v>55200</v>
      </c>
      <c r="W8902" s="10" t="s">
        <v>49265</v>
      </c>
      <c r="X8902" s="13" t="str">
        <f>HYPERLINK("https://my.pitchbook.com?p=367999-57P","View People Online")</f>
        <v>View People Online</v>
      </c>
    </row>
    <row r="8903">
      <c r="A8903" s="6" t="s">
        <v>55201</v>
      </c>
      <c r="B8903" s="6" t="s">
        <v>55202</v>
      </c>
      <c r="C8903" s="6" t="s">
        <v>7116</v>
      </c>
      <c r="D8903" s="6" t="s">
        <v>55</v>
      </c>
      <c r="E8903" s="6" t="s">
        <v>49265</v>
      </c>
      <c r="F8903" s="6" t="s">
        <v>55203</v>
      </c>
      <c r="G8903" s="6" t="s">
        <v>55204</v>
      </c>
      <c r="H8903" s="7" t="s">
        <v>31</v>
      </c>
      <c r="I8903" s="7">
        <v>7.0</v>
      </c>
      <c r="J8903" s="7">
        <v>1.0</v>
      </c>
      <c r="K8903" s="7">
        <v>4.0</v>
      </c>
      <c r="L8903" s="8" t="s">
        <v>55139</v>
      </c>
      <c r="M8903" s="6" t="s">
        <v>55205</v>
      </c>
      <c r="N8903" s="6" t="s">
        <v>155</v>
      </c>
      <c r="O8903" s="8" t="s">
        <v>156</v>
      </c>
      <c r="P8903" s="6" t="s">
        <v>49262</v>
      </c>
      <c r="Q8903" s="6" t="s">
        <v>49263</v>
      </c>
      <c r="R8903" s="6" t="s">
        <v>64</v>
      </c>
      <c r="S8903" s="8" t="s">
        <v>3487</v>
      </c>
      <c r="T8903" s="6" t="s">
        <v>66</v>
      </c>
      <c r="U8903" s="8" t="s">
        <v>49264</v>
      </c>
      <c r="V8903" s="6" t="s">
        <v>55206</v>
      </c>
      <c r="W8903" s="6" t="s">
        <v>49265</v>
      </c>
      <c r="X8903" s="9" t="str">
        <f>HYPERLINK("https://my.pitchbook.com?p=223560-10P","View People Online")</f>
        <v>View People Online</v>
      </c>
    </row>
    <row r="8904">
      <c r="A8904" s="10" t="s">
        <v>55207</v>
      </c>
      <c r="B8904" s="10" t="s">
        <v>55208</v>
      </c>
      <c r="C8904" s="10" t="s">
        <v>4851</v>
      </c>
      <c r="D8904" s="10" t="s">
        <v>55209</v>
      </c>
      <c r="E8904" s="10" t="s">
        <v>49265</v>
      </c>
      <c r="F8904" s="10" t="s">
        <v>270</v>
      </c>
      <c r="G8904" s="10" t="s">
        <v>55210</v>
      </c>
      <c r="H8904" s="11" t="s">
        <v>31</v>
      </c>
      <c r="I8904" s="11">
        <v>1.0</v>
      </c>
      <c r="J8904" s="11">
        <v>1.0</v>
      </c>
      <c r="K8904" s="11" t="s">
        <v>31</v>
      </c>
      <c r="L8904" s="12" t="s">
        <v>55139</v>
      </c>
      <c r="M8904" s="10" t="s">
        <v>55211</v>
      </c>
      <c r="N8904" s="10" t="s">
        <v>155</v>
      </c>
      <c r="O8904" s="12" t="s">
        <v>156</v>
      </c>
      <c r="P8904" s="10" t="s">
        <v>49262</v>
      </c>
      <c r="Q8904" s="10" t="s">
        <v>49263</v>
      </c>
      <c r="R8904" s="10" t="s">
        <v>64</v>
      </c>
      <c r="S8904" s="12" t="s">
        <v>3487</v>
      </c>
      <c r="T8904" s="10" t="s">
        <v>66</v>
      </c>
      <c r="U8904" s="12" t="s">
        <v>49264</v>
      </c>
      <c r="V8904" s="10" t="s">
        <v>7633</v>
      </c>
      <c r="W8904" s="10" t="s">
        <v>49265</v>
      </c>
      <c r="X8904" s="13" t="str">
        <f>HYPERLINK("https://my.pitchbook.com?p=384766-93P","View People Online")</f>
        <v>View People Online</v>
      </c>
    </row>
    <row r="8905">
      <c r="A8905" s="6" t="s">
        <v>55212</v>
      </c>
      <c r="B8905" s="6" t="s">
        <v>55213</v>
      </c>
      <c r="C8905" s="6" t="s">
        <v>8535</v>
      </c>
      <c r="D8905" s="6" t="s">
        <v>4098</v>
      </c>
      <c r="E8905" s="6" t="s">
        <v>49265</v>
      </c>
      <c r="F8905" s="6" t="s">
        <v>3600</v>
      </c>
      <c r="G8905" s="6" t="s">
        <v>55214</v>
      </c>
      <c r="H8905" s="7" t="s">
        <v>31</v>
      </c>
      <c r="I8905" s="7">
        <v>1.0</v>
      </c>
      <c r="J8905" s="7">
        <v>1.0</v>
      </c>
      <c r="K8905" s="7" t="s">
        <v>31</v>
      </c>
      <c r="L8905" s="8" t="s">
        <v>55139</v>
      </c>
      <c r="M8905" s="6" t="s">
        <v>55215</v>
      </c>
      <c r="N8905" s="6" t="s">
        <v>155</v>
      </c>
      <c r="O8905" s="8" t="s">
        <v>156</v>
      </c>
      <c r="P8905" s="6" t="s">
        <v>49262</v>
      </c>
      <c r="Q8905" s="6" t="s">
        <v>49263</v>
      </c>
      <c r="R8905" s="6" t="s">
        <v>64</v>
      </c>
      <c r="S8905" s="8" t="s">
        <v>3487</v>
      </c>
      <c r="T8905" s="6" t="s">
        <v>66</v>
      </c>
      <c r="U8905" s="8" t="s">
        <v>49264</v>
      </c>
      <c r="V8905" s="6" t="s">
        <v>55216</v>
      </c>
      <c r="W8905" s="6" t="s">
        <v>49265</v>
      </c>
      <c r="X8905" s="9" t="str">
        <f>HYPERLINK("https://my.pitchbook.com?p=72029-53P","View People Online")</f>
        <v>View People Online</v>
      </c>
    </row>
    <row r="8906">
      <c r="A8906" s="2" t="s">
        <v>55217</v>
      </c>
      <c r="B8906" s="2" t="s">
        <v>55218</v>
      </c>
      <c r="C8906" s="2" t="s">
        <v>4169</v>
      </c>
      <c r="D8906" s="2" t="s">
        <v>55219</v>
      </c>
      <c r="E8906" s="2" t="s">
        <v>49265</v>
      </c>
      <c r="F8906" s="2" t="s">
        <v>4192</v>
      </c>
      <c r="G8906" s="2" t="s">
        <v>55220</v>
      </c>
      <c r="H8906" s="3" t="s">
        <v>31</v>
      </c>
      <c r="I8906" s="3">
        <v>1.0</v>
      </c>
      <c r="J8906" s="3">
        <v>1.0</v>
      </c>
      <c r="K8906" s="3" t="s">
        <v>31</v>
      </c>
      <c r="L8906" s="4" t="s">
        <v>55139</v>
      </c>
      <c r="M8906" s="2" t="s">
        <v>55221</v>
      </c>
      <c r="N8906" s="2" t="s">
        <v>155</v>
      </c>
      <c r="O8906" s="4" t="s">
        <v>156</v>
      </c>
      <c r="P8906" s="2" t="s">
        <v>49262</v>
      </c>
      <c r="Q8906" s="2" t="s">
        <v>49263</v>
      </c>
      <c r="R8906" s="2" t="s">
        <v>64</v>
      </c>
      <c r="S8906" s="4" t="s">
        <v>3487</v>
      </c>
      <c r="T8906" s="2" t="s">
        <v>66</v>
      </c>
      <c r="U8906" s="4" t="s">
        <v>49264</v>
      </c>
      <c r="V8906" s="2" t="s">
        <v>55222</v>
      </c>
      <c r="W8906" s="2" t="s">
        <v>49265</v>
      </c>
      <c r="X8906" s="5" t="str">
        <f>HYPERLINK("https://my.pitchbook.com?p=367996-42P","View People Online")</f>
        <v>View People Online</v>
      </c>
    </row>
    <row r="8907">
      <c r="A8907" s="14" t="s">
        <v>55223</v>
      </c>
      <c r="B8907" s="14" t="s">
        <v>55224</v>
      </c>
      <c r="C8907" s="14" t="s">
        <v>24222</v>
      </c>
      <c r="D8907" s="14" t="s">
        <v>55225</v>
      </c>
      <c r="E8907" s="14" t="s">
        <v>49265</v>
      </c>
      <c r="F8907" s="14" t="s">
        <v>371</v>
      </c>
      <c r="G8907" s="14" t="s">
        <v>55226</v>
      </c>
      <c r="H8907" s="15" t="s">
        <v>31</v>
      </c>
      <c r="I8907" s="15">
        <v>1.0</v>
      </c>
      <c r="J8907" s="15">
        <v>1.0</v>
      </c>
      <c r="K8907" s="15" t="s">
        <v>31</v>
      </c>
      <c r="L8907" s="16" t="s">
        <v>55227</v>
      </c>
      <c r="M8907" s="14" t="s">
        <v>55228</v>
      </c>
      <c r="N8907" s="14" t="s">
        <v>7690</v>
      </c>
      <c r="O8907" s="16" t="s">
        <v>7691</v>
      </c>
      <c r="P8907" s="14" t="s">
        <v>31</v>
      </c>
      <c r="Q8907" s="14" t="s">
        <v>31</v>
      </c>
      <c r="R8907" s="14" t="s">
        <v>7693</v>
      </c>
      <c r="S8907" s="16" t="s">
        <v>31</v>
      </c>
      <c r="T8907" s="14" t="s">
        <v>66</v>
      </c>
      <c r="U8907" s="16" t="s">
        <v>31</v>
      </c>
      <c r="V8907" s="14" t="s">
        <v>55229</v>
      </c>
      <c r="W8907" s="14" t="s">
        <v>49265</v>
      </c>
      <c r="X8907" s="17" t="str">
        <f>HYPERLINK("https://my.pitchbook.com?p=126489-79P","View People Online")</f>
        <v>View People Online</v>
      </c>
    </row>
    <row r="8908">
      <c r="A8908" s="2" t="s">
        <v>55230</v>
      </c>
      <c r="B8908" s="2" t="s">
        <v>55231</v>
      </c>
      <c r="C8908" s="2" t="s">
        <v>731</v>
      </c>
      <c r="D8908" s="2" t="s">
        <v>55232</v>
      </c>
      <c r="E8908" s="2" t="s">
        <v>49265</v>
      </c>
      <c r="F8908" s="2" t="s">
        <v>3600</v>
      </c>
      <c r="G8908" s="2" t="s">
        <v>55233</v>
      </c>
      <c r="H8908" s="3" t="s">
        <v>31</v>
      </c>
      <c r="I8908" s="3">
        <v>1.0</v>
      </c>
      <c r="J8908" s="3">
        <v>1.0</v>
      </c>
      <c r="K8908" s="3" t="s">
        <v>31</v>
      </c>
      <c r="L8908" s="4" t="s">
        <v>55227</v>
      </c>
      <c r="M8908" s="2" t="s">
        <v>55234</v>
      </c>
      <c r="N8908" s="2" t="s">
        <v>155</v>
      </c>
      <c r="O8908" s="4" t="s">
        <v>156</v>
      </c>
      <c r="P8908" s="2" t="s">
        <v>49262</v>
      </c>
      <c r="Q8908" s="2" t="s">
        <v>49263</v>
      </c>
      <c r="R8908" s="2" t="s">
        <v>64</v>
      </c>
      <c r="S8908" s="4" t="s">
        <v>3487</v>
      </c>
      <c r="T8908" s="2" t="s">
        <v>66</v>
      </c>
      <c r="U8908" s="4" t="s">
        <v>49264</v>
      </c>
      <c r="V8908" s="2" t="s">
        <v>55235</v>
      </c>
      <c r="W8908" s="2" t="s">
        <v>49265</v>
      </c>
      <c r="X8908" s="5" t="str">
        <f>HYPERLINK("https://my.pitchbook.com?p=160327-99P","View People Online")</f>
        <v>View People Online</v>
      </c>
    </row>
    <row r="8909">
      <c r="A8909" s="14" t="s">
        <v>55236</v>
      </c>
      <c r="B8909" s="14" t="s">
        <v>55237</v>
      </c>
      <c r="C8909" s="14" t="s">
        <v>285</v>
      </c>
      <c r="D8909" s="14" t="s">
        <v>55238</v>
      </c>
      <c r="E8909" s="14" t="s">
        <v>49265</v>
      </c>
      <c r="F8909" s="14" t="s">
        <v>371</v>
      </c>
      <c r="G8909" s="14" t="s">
        <v>55239</v>
      </c>
      <c r="H8909" s="15" t="s">
        <v>31</v>
      </c>
      <c r="I8909" s="15">
        <v>1.0</v>
      </c>
      <c r="J8909" s="15">
        <v>1.0</v>
      </c>
      <c r="K8909" s="15" t="s">
        <v>31</v>
      </c>
      <c r="L8909" s="16" t="s">
        <v>55139</v>
      </c>
      <c r="M8909" s="14" t="s">
        <v>55240</v>
      </c>
      <c r="N8909" s="14" t="s">
        <v>155</v>
      </c>
      <c r="O8909" s="16" t="s">
        <v>156</v>
      </c>
      <c r="P8909" s="14" t="s">
        <v>49262</v>
      </c>
      <c r="Q8909" s="14" t="s">
        <v>49263</v>
      </c>
      <c r="R8909" s="14" t="s">
        <v>64</v>
      </c>
      <c r="S8909" s="16" t="s">
        <v>3487</v>
      </c>
      <c r="T8909" s="14" t="s">
        <v>66</v>
      </c>
      <c r="U8909" s="16" t="s">
        <v>49264</v>
      </c>
      <c r="V8909" s="14" t="s">
        <v>55241</v>
      </c>
      <c r="W8909" s="14" t="s">
        <v>49265</v>
      </c>
      <c r="X8909" s="17" t="str">
        <f>HYPERLINK("https://my.pitchbook.com?p=432278-56P","View People Online")</f>
        <v>View People Online</v>
      </c>
    </row>
    <row r="8910">
      <c r="A8910" s="10" t="s">
        <v>55242</v>
      </c>
      <c r="B8910" s="10" t="s">
        <v>55243</v>
      </c>
      <c r="C8910" s="10" t="s">
        <v>285</v>
      </c>
      <c r="D8910" s="10" t="s">
        <v>55244</v>
      </c>
      <c r="E8910" s="10" t="s">
        <v>49265</v>
      </c>
      <c r="F8910" s="10" t="s">
        <v>270</v>
      </c>
      <c r="G8910" s="10" t="s">
        <v>55245</v>
      </c>
      <c r="H8910" s="11" t="s">
        <v>31</v>
      </c>
      <c r="I8910" s="11">
        <v>1.0</v>
      </c>
      <c r="J8910" s="11">
        <v>1.0</v>
      </c>
      <c r="K8910" s="11" t="s">
        <v>31</v>
      </c>
      <c r="L8910" s="12" t="s">
        <v>55227</v>
      </c>
      <c r="M8910" s="10" t="s">
        <v>55246</v>
      </c>
      <c r="N8910" s="10" t="s">
        <v>155</v>
      </c>
      <c r="O8910" s="12" t="s">
        <v>156</v>
      </c>
      <c r="P8910" s="10" t="s">
        <v>49262</v>
      </c>
      <c r="Q8910" s="10" t="s">
        <v>49263</v>
      </c>
      <c r="R8910" s="10" t="s">
        <v>64</v>
      </c>
      <c r="S8910" s="12" t="s">
        <v>3487</v>
      </c>
      <c r="T8910" s="10" t="s">
        <v>66</v>
      </c>
      <c r="U8910" s="12" t="s">
        <v>49264</v>
      </c>
      <c r="V8910" s="10" t="s">
        <v>55247</v>
      </c>
      <c r="W8910" s="10" t="s">
        <v>49265</v>
      </c>
      <c r="X8910" s="13" t="str">
        <f>HYPERLINK("https://my.pitchbook.com?p=160325-74P","View People Online")</f>
        <v>View People Online</v>
      </c>
    </row>
    <row r="8911">
      <c r="A8911" s="6" t="s">
        <v>55248</v>
      </c>
      <c r="B8911" s="6" t="s">
        <v>55249</v>
      </c>
      <c r="C8911" s="6" t="s">
        <v>35468</v>
      </c>
      <c r="D8911" s="6" t="s">
        <v>55250</v>
      </c>
      <c r="E8911" s="6" t="s">
        <v>49265</v>
      </c>
      <c r="F8911" s="6" t="s">
        <v>1801</v>
      </c>
      <c r="G8911" s="6" t="s">
        <v>55251</v>
      </c>
      <c r="H8911" s="7" t="s">
        <v>31</v>
      </c>
      <c r="I8911" s="7">
        <v>1.0</v>
      </c>
      <c r="J8911" s="7">
        <v>1.0</v>
      </c>
      <c r="K8911" s="7" t="s">
        <v>31</v>
      </c>
      <c r="L8911" s="8" t="s">
        <v>55139</v>
      </c>
      <c r="M8911" s="6" t="s">
        <v>55252</v>
      </c>
      <c r="N8911" s="6" t="s">
        <v>155</v>
      </c>
      <c r="O8911" s="8" t="s">
        <v>156</v>
      </c>
      <c r="P8911" s="6" t="s">
        <v>49262</v>
      </c>
      <c r="Q8911" s="6" t="s">
        <v>49263</v>
      </c>
      <c r="R8911" s="6" t="s">
        <v>64</v>
      </c>
      <c r="S8911" s="8" t="s">
        <v>3487</v>
      </c>
      <c r="T8911" s="6" t="s">
        <v>66</v>
      </c>
      <c r="U8911" s="8" t="s">
        <v>49264</v>
      </c>
      <c r="V8911" s="6" t="s">
        <v>55253</v>
      </c>
      <c r="W8911" s="6" t="s">
        <v>49265</v>
      </c>
      <c r="X8911" s="9" t="str">
        <f>HYPERLINK("https://my.pitchbook.com?p=239976-46P","View People Online")</f>
        <v>View People Online</v>
      </c>
    </row>
    <row r="8912">
      <c r="A8912" s="10" t="s">
        <v>55254</v>
      </c>
      <c r="B8912" s="10" t="s">
        <v>55255</v>
      </c>
      <c r="C8912" s="10" t="s">
        <v>4943</v>
      </c>
      <c r="D8912" s="10" t="s">
        <v>13272</v>
      </c>
      <c r="E8912" s="10" t="s">
        <v>49265</v>
      </c>
      <c r="F8912" s="10" t="s">
        <v>312</v>
      </c>
      <c r="G8912" s="10" t="s">
        <v>55256</v>
      </c>
      <c r="H8912" s="11">
        <v>1.0</v>
      </c>
      <c r="I8912" s="11">
        <v>2.0</v>
      </c>
      <c r="J8912" s="11">
        <v>1.0</v>
      </c>
      <c r="K8912" s="11" t="s">
        <v>31</v>
      </c>
      <c r="L8912" s="12" t="s">
        <v>31</v>
      </c>
      <c r="M8912" s="10" t="s">
        <v>55257</v>
      </c>
      <c r="N8912" s="10" t="s">
        <v>7690</v>
      </c>
      <c r="O8912" s="12" t="s">
        <v>7691</v>
      </c>
      <c r="P8912" s="10" t="s">
        <v>31</v>
      </c>
      <c r="Q8912" s="10" t="s">
        <v>31</v>
      </c>
      <c r="R8912" s="10" t="s">
        <v>7693</v>
      </c>
      <c r="S8912" s="12" t="s">
        <v>31</v>
      </c>
      <c r="T8912" s="10" t="s">
        <v>66</v>
      </c>
      <c r="U8912" s="12" t="s">
        <v>31</v>
      </c>
      <c r="V8912" s="10" t="s">
        <v>55258</v>
      </c>
      <c r="W8912" s="10" t="s">
        <v>49265</v>
      </c>
      <c r="X8912" s="13" t="str">
        <f>HYPERLINK("https://my.pitchbook.com?p=129852-46P","View People Online")</f>
        <v>View People Online</v>
      </c>
    </row>
    <row r="8913">
      <c r="A8913" s="14" t="s">
        <v>55259</v>
      </c>
      <c r="B8913" s="14" t="s">
        <v>55260</v>
      </c>
      <c r="C8913" s="14" t="s">
        <v>4943</v>
      </c>
      <c r="D8913" s="14" t="s">
        <v>55261</v>
      </c>
      <c r="E8913" s="14" t="s">
        <v>49265</v>
      </c>
      <c r="F8913" s="14" t="s">
        <v>548</v>
      </c>
      <c r="G8913" s="14" t="s">
        <v>55262</v>
      </c>
      <c r="H8913" s="15" t="s">
        <v>31</v>
      </c>
      <c r="I8913" s="15">
        <v>1.0</v>
      </c>
      <c r="J8913" s="15">
        <v>1.0</v>
      </c>
      <c r="K8913" s="15" t="s">
        <v>31</v>
      </c>
      <c r="L8913" s="16" t="s">
        <v>31</v>
      </c>
      <c r="M8913" s="14" t="s">
        <v>55263</v>
      </c>
      <c r="N8913" s="14" t="s">
        <v>7690</v>
      </c>
      <c r="O8913" s="16" t="s">
        <v>7691</v>
      </c>
      <c r="P8913" s="14" t="s">
        <v>31</v>
      </c>
      <c r="Q8913" s="14" t="s">
        <v>31</v>
      </c>
      <c r="R8913" s="14" t="s">
        <v>7693</v>
      </c>
      <c r="S8913" s="16" t="s">
        <v>31</v>
      </c>
      <c r="T8913" s="14" t="s">
        <v>66</v>
      </c>
      <c r="U8913" s="16" t="s">
        <v>31</v>
      </c>
      <c r="V8913" s="14" t="s">
        <v>55264</v>
      </c>
      <c r="W8913" s="14" t="s">
        <v>49265</v>
      </c>
      <c r="X8913" s="17" t="str">
        <f>HYPERLINK("https://my.pitchbook.com?p=74243-80P","View People Online")</f>
        <v>View People Online</v>
      </c>
    </row>
    <row r="8914">
      <c r="A8914" s="10" t="s">
        <v>55265</v>
      </c>
      <c r="B8914" s="10" t="s">
        <v>55266</v>
      </c>
      <c r="C8914" s="10" t="s">
        <v>55267</v>
      </c>
      <c r="D8914" s="10" t="s">
        <v>55268</v>
      </c>
      <c r="E8914" s="10" t="s">
        <v>49265</v>
      </c>
      <c r="F8914" s="10" t="s">
        <v>270</v>
      </c>
      <c r="G8914" s="10" t="s">
        <v>55269</v>
      </c>
      <c r="H8914" s="11" t="s">
        <v>31</v>
      </c>
      <c r="I8914" s="11">
        <v>1.0</v>
      </c>
      <c r="J8914" s="11">
        <v>1.0</v>
      </c>
      <c r="K8914" s="11" t="s">
        <v>31</v>
      </c>
      <c r="L8914" s="12" t="s">
        <v>55139</v>
      </c>
      <c r="M8914" s="10" t="s">
        <v>55270</v>
      </c>
      <c r="N8914" s="10" t="s">
        <v>155</v>
      </c>
      <c r="O8914" s="12" t="s">
        <v>156</v>
      </c>
      <c r="P8914" s="10" t="s">
        <v>49262</v>
      </c>
      <c r="Q8914" s="10" t="s">
        <v>49263</v>
      </c>
      <c r="R8914" s="10" t="s">
        <v>64</v>
      </c>
      <c r="S8914" s="12" t="s">
        <v>3487</v>
      </c>
      <c r="T8914" s="10" t="s">
        <v>66</v>
      </c>
      <c r="U8914" s="12" t="s">
        <v>49264</v>
      </c>
      <c r="V8914" s="10" t="s">
        <v>55271</v>
      </c>
      <c r="W8914" s="10" t="s">
        <v>49265</v>
      </c>
      <c r="X8914" s="13" t="str">
        <f>HYPERLINK("https://my.pitchbook.com?p=234530-02P","View People Online")</f>
        <v>View People Online</v>
      </c>
    </row>
    <row r="8915">
      <c r="A8915" s="14" t="s">
        <v>55272</v>
      </c>
      <c r="B8915" s="14" t="s">
        <v>55273</v>
      </c>
      <c r="C8915" s="14" t="s">
        <v>7978</v>
      </c>
      <c r="D8915" s="14" t="s">
        <v>55274</v>
      </c>
      <c r="E8915" s="14" t="s">
        <v>49265</v>
      </c>
      <c r="F8915" s="14" t="s">
        <v>270</v>
      </c>
      <c r="G8915" s="14" t="s">
        <v>55275</v>
      </c>
      <c r="H8915" s="15" t="s">
        <v>31</v>
      </c>
      <c r="I8915" s="15">
        <v>1.0</v>
      </c>
      <c r="J8915" s="15">
        <v>1.0</v>
      </c>
      <c r="K8915" s="15" t="s">
        <v>31</v>
      </c>
      <c r="L8915" s="16" t="s">
        <v>31</v>
      </c>
      <c r="M8915" s="14" t="s">
        <v>55276</v>
      </c>
      <c r="N8915" s="14" t="s">
        <v>7690</v>
      </c>
      <c r="O8915" s="16" t="s">
        <v>7691</v>
      </c>
      <c r="P8915" s="14" t="s">
        <v>31</v>
      </c>
      <c r="Q8915" s="14" t="s">
        <v>31</v>
      </c>
      <c r="R8915" s="14" t="s">
        <v>7693</v>
      </c>
      <c r="S8915" s="16" t="s">
        <v>31</v>
      </c>
      <c r="T8915" s="14" t="s">
        <v>66</v>
      </c>
      <c r="U8915" s="16" t="s">
        <v>31</v>
      </c>
      <c r="V8915" s="14" t="s">
        <v>55277</v>
      </c>
      <c r="W8915" s="14" t="s">
        <v>49265</v>
      </c>
      <c r="X8915" s="17" t="str">
        <f>HYPERLINK("https://my.pitchbook.com?p=40346-47P","View People Online")</f>
        <v>View People Online</v>
      </c>
    </row>
    <row r="8916">
      <c r="A8916" s="10" t="s">
        <v>55278</v>
      </c>
      <c r="B8916" s="10" t="s">
        <v>55279</v>
      </c>
      <c r="C8916" s="10" t="s">
        <v>7978</v>
      </c>
      <c r="D8916" s="10" t="s">
        <v>55280</v>
      </c>
      <c r="E8916" s="10" t="s">
        <v>49265</v>
      </c>
      <c r="F8916" s="10" t="s">
        <v>12225</v>
      </c>
      <c r="G8916" s="10" t="s">
        <v>55281</v>
      </c>
      <c r="H8916" s="11">
        <v>1.0</v>
      </c>
      <c r="I8916" s="11">
        <v>4.0</v>
      </c>
      <c r="J8916" s="11">
        <v>1.0</v>
      </c>
      <c r="K8916" s="11">
        <v>1.0</v>
      </c>
      <c r="L8916" s="12" t="s">
        <v>55139</v>
      </c>
      <c r="M8916" s="10" t="s">
        <v>31</v>
      </c>
      <c r="N8916" s="10" t="s">
        <v>155</v>
      </c>
      <c r="O8916" s="12" t="s">
        <v>156</v>
      </c>
      <c r="P8916" s="10" t="s">
        <v>49262</v>
      </c>
      <c r="Q8916" s="10" t="s">
        <v>49263</v>
      </c>
      <c r="R8916" s="10" t="s">
        <v>64</v>
      </c>
      <c r="S8916" s="12" t="s">
        <v>3487</v>
      </c>
      <c r="T8916" s="10" t="s">
        <v>66</v>
      </c>
      <c r="U8916" s="12" t="s">
        <v>49264</v>
      </c>
      <c r="V8916" s="10" t="s">
        <v>3930</v>
      </c>
      <c r="W8916" s="10" t="s">
        <v>49265</v>
      </c>
      <c r="X8916" s="13" t="str">
        <f>HYPERLINK("https://my.pitchbook.com?p=88584-40P","View People Online")</f>
        <v>View People Online</v>
      </c>
    </row>
    <row r="8917">
      <c r="A8917" s="14" t="s">
        <v>55282</v>
      </c>
      <c r="B8917" s="14" t="s">
        <v>55283</v>
      </c>
      <c r="C8917" s="14" t="s">
        <v>1449</v>
      </c>
      <c r="D8917" s="14" t="s">
        <v>55284</v>
      </c>
      <c r="E8917" s="14" t="s">
        <v>49265</v>
      </c>
      <c r="F8917" s="14" t="s">
        <v>9653</v>
      </c>
      <c r="G8917" s="14" t="s">
        <v>55285</v>
      </c>
      <c r="H8917" s="15">
        <v>1.0</v>
      </c>
      <c r="I8917" s="15">
        <v>6.0</v>
      </c>
      <c r="J8917" s="15">
        <v>1.0</v>
      </c>
      <c r="K8917" s="15">
        <v>2.0</v>
      </c>
      <c r="L8917" s="16" t="s">
        <v>55139</v>
      </c>
      <c r="M8917" s="14" t="s">
        <v>55286</v>
      </c>
      <c r="N8917" s="14" t="s">
        <v>155</v>
      </c>
      <c r="O8917" s="16" t="s">
        <v>156</v>
      </c>
      <c r="P8917" s="14" t="s">
        <v>49262</v>
      </c>
      <c r="Q8917" s="14" t="s">
        <v>49263</v>
      </c>
      <c r="R8917" s="14" t="s">
        <v>64</v>
      </c>
      <c r="S8917" s="16" t="s">
        <v>3487</v>
      </c>
      <c r="T8917" s="14" t="s">
        <v>66</v>
      </c>
      <c r="U8917" s="16" t="s">
        <v>49264</v>
      </c>
      <c r="V8917" s="14" t="s">
        <v>55287</v>
      </c>
      <c r="W8917" s="14" t="s">
        <v>49265</v>
      </c>
      <c r="X8917" s="17" t="str">
        <f>HYPERLINK("https://my.pitchbook.com?p=69160-51P","View People Online")</f>
        <v>View People Online</v>
      </c>
    </row>
    <row r="8918">
      <c r="A8918" s="10" t="s">
        <v>55288</v>
      </c>
      <c r="B8918" s="10" t="s">
        <v>55289</v>
      </c>
      <c r="C8918" s="10" t="s">
        <v>24684</v>
      </c>
      <c r="D8918" s="10" t="s">
        <v>9348</v>
      </c>
      <c r="E8918" s="10" t="s">
        <v>49265</v>
      </c>
      <c r="F8918" s="10" t="s">
        <v>1801</v>
      </c>
      <c r="G8918" s="10" t="s">
        <v>55290</v>
      </c>
      <c r="H8918" s="11" t="s">
        <v>31</v>
      </c>
      <c r="I8918" s="11">
        <v>1.0</v>
      </c>
      <c r="J8918" s="11">
        <v>1.0</v>
      </c>
      <c r="K8918" s="11" t="s">
        <v>31</v>
      </c>
      <c r="L8918" s="12" t="s">
        <v>55139</v>
      </c>
      <c r="M8918" s="10" t="s">
        <v>55291</v>
      </c>
      <c r="N8918" s="10" t="s">
        <v>155</v>
      </c>
      <c r="O8918" s="12" t="s">
        <v>156</v>
      </c>
      <c r="P8918" s="10" t="s">
        <v>49262</v>
      </c>
      <c r="Q8918" s="10" t="s">
        <v>49263</v>
      </c>
      <c r="R8918" s="10" t="s">
        <v>64</v>
      </c>
      <c r="S8918" s="12" t="s">
        <v>3487</v>
      </c>
      <c r="T8918" s="10" t="s">
        <v>66</v>
      </c>
      <c r="U8918" s="12" t="s">
        <v>49264</v>
      </c>
      <c r="V8918" s="10" t="s">
        <v>55292</v>
      </c>
      <c r="W8918" s="10" t="s">
        <v>49265</v>
      </c>
      <c r="X8918" s="13" t="str">
        <f>HYPERLINK("https://my.pitchbook.com?p=74317-51P","View People Online")</f>
        <v>View People Online</v>
      </c>
    </row>
    <row r="8919">
      <c r="A8919" s="14" t="s">
        <v>55293</v>
      </c>
      <c r="B8919" s="14" t="s">
        <v>55294</v>
      </c>
      <c r="C8919" s="14" t="s">
        <v>1998</v>
      </c>
      <c r="D8919" s="14" t="s">
        <v>55295</v>
      </c>
      <c r="E8919" s="14" t="s">
        <v>49265</v>
      </c>
      <c r="F8919" s="14" t="s">
        <v>3740</v>
      </c>
      <c r="G8919" s="14" t="s">
        <v>55296</v>
      </c>
      <c r="H8919" s="15" t="s">
        <v>31</v>
      </c>
      <c r="I8919" s="15">
        <v>1.0</v>
      </c>
      <c r="J8919" s="15">
        <v>1.0</v>
      </c>
      <c r="K8919" s="15" t="s">
        <v>31</v>
      </c>
      <c r="L8919" s="16" t="s">
        <v>31</v>
      </c>
      <c r="M8919" s="14" t="s">
        <v>55297</v>
      </c>
      <c r="N8919" s="14" t="s">
        <v>55298</v>
      </c>
      <c r="O8919" s="16" t="s">
        <v>55299</v>
      </c>
      <c r="P8919" s="14" t="s">
        <v>31</v>
      </c>
      <c r="Q8919" s="14" t="s">
        <v>31</v>
      </c>
      <c r="R8919" s="14" t="s">
        <v>1277</v>
      </c>
      <c r="S8919" s="16" t="s">
        <v>31</v>
      </c>
      <c r="T8919" s="14" t="s">
        <v>66</v>
      </c>
      <c r="U8919" s="16" t="s">
        <v>31</v>
      </c>
      <c r="V8919" s="14" t="s">
        <v>55300</v>
      </c>
      <c r="W8919" s="14" t="s">
        <v>49265</v>
      </c>
      <c r="X8919" s="17" t="str">
        <f>HYPERLINK("https://my.pitchbook.com?p=155546-02P","View People Online")</f>
        <v>View People Online</v>
      </c>
    </row>
    <row r="8920">
      <c r="A8920" s="2" t="s">
        <v>55301</v>
      </c>
      <c r="B8920" s="2" t="s">
        <v>55302</v>
      </c>
      <c r="C8920" s="2" t="s">
        <v>55303</v>
      </c>
      <c r="D8920" s="2" t="s">
        <v>55304</v>
      </c>
      <c r="E8920" s="2" t="s">
        <v>49265</v>
      </c>
      <c r="F8920" s="2" t="s">
        <v>5341</v>
      </c>
      <c r="G8920" s="2" t="s">
        <v>55305</v>
      </c>
      <c r="H8920" s="3" t="s">
        <v>31</v>
      </c>
      <c r="I8920" s="3">
        <v>1.0</v>
      </c>
      <c r="J8920" s="3">
        <v>1.0</v>
      </c>
      <c r="K8920" s="3" t="s">
        <v>31</v>
      </c>
      <c r="L8920" s="4" t="s">
        <v>31</v>
      </c>
      <c r="M8920" s="2" t="s">
        <v>55306</v>
      </c>
      <c r="N8920" s="2" t="s">
        <v>10290</v>
      </c>
      <c r="O8920" s="4" t="s">
        <v>10291</v>
      </c>
      <c r="P8920" s="2" t="s">
        <v>31</v>
      </c>
      <c r="Q8920" s="2" t="s">
        <v>31</v>
      </c>
      <c r="R8920" s="2" t="s">
        <v>31</v>
      </c>
      <c r="S8920" s="4" t="s">
        <v>31</v>
      </c>
      <c r="T8920" s="2" t="s">
        <v>10295</v>
      </c>
      <c r="U8920" s="4" t="s">
        <v>31</v>
      </c>
      <c r="V8920" s="2" t="s">
        <v>55307</v>
      </c>
      <c r="W8920" s="2" t="s">
        <v>49265</v>
      </c>
      <c r="X8920" s="5" t="str">
        <f>HYPERLINK("https://my.pitchbook.com?p=367175-26P","View People Online")</f>
        <v>View People Online</v>
      </c>
    </row>
    <row r="8921">
      <c r="A8921" s="14" t="s">
        <v>55308</v>
      </c>
      <c r="B8921" s="14" t="s">
        <v>55309</v>
      </c>
      <c r="C8921" s="14" t="s">
        <v>55310</v>
      </c>
      <c r="D8921" s="14" t="s">
        <v>1866</v>
      </c>
      <c r="E8921" s="14" t="s">
        <v>49265</v>
      </c>
      <c r="F8921" s="14" t="s">
        <v>548</v>
      </c>
      <c r="G8921" s="14" t="s">
        <v>55311</v>
      </c>
      <c r="H8921" s="15" t="s">
        <v>31</v>
      </c>
      <c r="I8921" s="15">
        <v>1.0</v>
      </c>
      <c r="J8921" s="15">
        <v>1.0</v>
      </c>
      <c r="K8921" s="15" t="s">
        <v>31</v>
      </c>
      <c r="L8921" s="16" t="s">
        <v>55139</v>
      </c>
      <c r="M8921" s="14" t="s">
        <v>55312</v>
      </c>
      <c r="N8921" s="14" t="s">
        <v>155</v>
      </c>
      <c r="O8921" s="16" t="s">
        <v>156</v>
      </c>
      <c r="P8921" s="14" t="s">
        <v>49262</v>
      </c>
      <c r="Q8921" s="14" t="s">
        <v>49263</v>
      </c>
      <c r="R8921" s="14" t="s">
        <v>64</v>
      </c>
      <c r="S8921" s="16" t="s">
        <v>3487</v>
      </c>
      <c r="T8921" s="14" t="s">
        <v>66</v>
      </c>
      <c r="U8921" s="16" t="s">
        <v>49264</v>
      </c>
      <c r="V8921" s="14" t="s">
        <v>55313</v>
      </c>
      <c r="W8921" s="14" t="s">
        <v>49265</v>
      </c>
      <c r="X8921" s="17" t="str">
        <f>HYPERLINK("https://my.pitchbook.com?p=141206-14P","View People Online")</f>
        <v>View People Online</v>
      </c>
    </row>
    <row r="8922">
      <c r="A8922" s="10" t="s">
        <v>55314</v>
      </c>
      <c r="B8922" s="10" t="s">
        <v>55315</v>
      </c>
      <c r="C8922" s="10" t="s">
        <v>3811</v>
      </c>
      <c r="D8922" s="10" t="s">
        <v>55316</v>
      </c>
      <c r="E8922" s="10" t="s">
        <v>49265</v>
      </c>
      <c r="F8922" s="10" t="s">
        <v>371</v>
      </c>
      <c r="G8922" s="10" t="s">
        <v>55317</v>
      </c>
      <c r="H8922" s="11" t="s">
        <v>31</v>
      </c>
      <c r="I8922" s="11">
        <v>1.0</v>
      </c>
      <c r="J8922" s="11">
        <v>1.0</v>
      </c>
      <c r="K8922" s="11" t="s">
        <v>31</v>
      </c>
      <c r="L8922" s="12" t="s">
        <v>55139</v>
      </c>
      <c r="M8922" s="10" t="s">
        <v>55318</v>
      </c>
      <c r="N8922" s="10" t="s">
        <v>155</v>
      </c>
      <c r="O8922" s="12" t="s">
        <v>156</v>
      </c>
      <c r="P8922" s="10" t="s">
        <v>49262</v>
      </c>
      <c r="Q8922" s="10" t="s">
        <v>49263</v>
      </c>
      <c r="R8922" s="10" t="s">
        <v>64</v>
      </c>
      <c r="S8922" s="12" t="s">
        <v>3487</v>
      </c>
      <c r="T8922" s="10" t="s">
        <v>66</v>
      </c>
      <c r="U8922" s="12" t="s">
        <v>49264</v>
      </c>
      <c r="V8922" s="10" t="s">
        <v>55319</v>
      </c>
      <c r="W8922" s="10" t="s">
        <v>49265</v>
      </c>
      <c r="X8922" s="13" t="str">
        <f>HYPERLINK("https://my.pitchbook.com?p=79235-92P","View People Online")</f>
        <v>View People Online</v>
      </c>
    </row>
    <row r="8923">
      <c r="A8923" s="14" t="s">
        <v>55320</v>
      </c>
      <c r="B8923" s="14" t="s">
        <v>55321</v>
      </c>
      <c r="C8923" s="14" t="s">
        <v>2109</v>
      </c>
      <c r="D8923" s="14" t="s">
        <v>32119</v>
      </c>
      <c r="E8923" s="14" t="s">
        <v>49265</v>
      </c>
      <c r="F8923" s="14" t="s">
        <v>1801</v>
      </c>
      <c r="G8923" s="14" t="s">
        <v>55322</v>
      </c>
      <c r="H8923" s="15" t="s">
        <v>31</v>
      </c>
      <c r="I8923" s="15">
        <v>1.0</v>
      </c>
      <c r="J8923" s="15">
        <v>1.0</v>
      </c>
      <c r="K8923" s="15" t="s">
        <v>31</v>
      </c>
      <c r="L8923" s="16" t="s">
        <v>31</v>
      </c>
      <c r="M8923" s="14" t="s">
        <v>55323</v>
      </c>
      <c r="N8923" s="14" t="s">
        <v>7690</v>
      </c>
      <c r="O8923" s="16" t="s">
        <v>7691</v>
      </c>
      <c r="P8923" s="14" t="s">
        <v>31</v>
      </c>
      <c r="Q8923" s="14" t="s">
        <v>31</v>
      </c>
      <c r="R8923" s="14" t="s">
        <v>7693</v>
      </c>
      <c r="S8923" s="16" t="s">
        <v>31</v>
      </c>
      <c r="T8923" s="14" t="s">
        <v>66</v>
      </c>
      <c r="U8923" s="16" t="s">
        <v>31</v>
      </c>
      <c r="V8923" s="14" t="s">
        <v>55324</v>
      </c>
      <c r="W8923" s="14" t="s">
        <v>49265</v>
      </c>
      <c r="X8923" s="17" t="str">
        <f>HYPERLINK("https://my.pitchbook.com?p=367969-60P","View People Online")</f>
        <v>View People Online</v>
      </c>
    </row>
    <row r="8924">
      <c r="A8924" s="10" t="s">
        <v>55325</v>
      </c>
      <c r="B8924" s="10" t="s">
        <v>55326</v>
      </c>
      <c r="C8924" s="10" t="s">
        <v>823</v>
      </c>
      <c r="D8924" s="10" t="s">
        <v>55327</v>
      </c>
      <c r="E8924" s="10" t="s">
        <v>49265</v>
      </c>
      <c r="F8924" s="10" t="s">
        <v>548</v>
      </c>
      <c r="G8924" s="10" t="s">
        <v>55328</v>
      </c>
      <c r="H8924" s="11" t="s">
        <v>31</v>
      </c>
      <c r="I8924" s="11">
        <v>1.0</v>
      </c>
      <c r="J8924" s="11">
        <v>1.0</v>
      </c>
      <c r="K8924" s="11" t="s">
        <v>31</v>
      </c>
      <c r="L8924" s="12" t="s">
        <v>55139</v>
      </c>
      <c r="M8924" s="10" t="s">
        <v>55329</v>
      </c>
      <c r="N8924" s="10" t="s">
        <v>155</v>
      </c>
      <c r="O8924" s="12" t="s">
        <v>156</v>
      </c>
      <c r="P8924" s="10" t="s">
        <v>49262</v>
      </c>
      <c r="Q8924" s="10" t="s">
        <v>49263</v>
      </c>
      <c r="R8924" s="10" t="s">
        <v>64</v>
      </c>
      <c r="S8924" s="12" t="s">
        <v>3487</v>
      </c>
      <c r="T8924" s="10" t="s">
        <v>66</v>
      </c>
      <c r="U8924" s="12" t="s">
        <v>49264</v>
      </c>
      <c r="V8924" s="10" t="s">
        <v>55330</v>
      </c>
      <c r="W8924" s="10" t="s">
        <v>49265</v>
      </c>
      <c r="X8924" s="13" t="str">
        <f>HYPERLINK("https://my.pitchbook.com?p=367999-21P","View People Online")</f>
        <v>View People Online</v>
      </c>
    </row>
    <row r="8925">
      <c r="A8925" s="6" t="s">
        <v>55331</v>
      </c>
      <c r="B8925" s="6" t="s">
        <v>55332</v>
      </c>
      <c r="C8925" s="6" t="s">
        <v>3529</v>
      </c>
      <c r="D8925" s="6" t="s">
        <v>55333</v>
      </c>
      <c r="E8925" s="6" t="s">
        <v>49265</v>
      </c>
      <c r="F8925" s="6" t="s">
        <v>312</v>
      </c>
      <c r="G8925" s="6" t="s">
        <v>55334</v>
      </c>
      <c r="H8925" s="7" t="s">
        <v>31</v>
      </c>
      <c r="I8925" s="7">
        <v>1.0</v>
      </c>
      <c r="J8925" s="7">
        <v>1.0</v>
      </c>
      <c r="K8925" s="7" t="s">
        <v>31</v>
      </c>
      <c r="L8925" s="8" t="s">
        <v>55139</v>
      </c>
      <c r="M8925" s="6" t="s">
        <v>55335</v>
      </c>
      <c r="N8925" s="6" t="s">
        <v>155</v>
      </c>
      <c r="O8925" s="8" t="s">
        <v>156</v>
      </c>
      <c r="P8925" s="6" t="s">
        <v>49262</v>
      </c>
      <c r="Q8925" s="6" t="s">
        <v>49263</v>
      </c>
      <c r="R8925" s="6" t="s">
        <v>64</v>
      </c>
      <c r="S8925" s="8" t="s">
        <v>3487</v>
      </c>
      <c r="T8925" s="6" t="s">
        <v>66</v>
      </c>
      <c r="U8925" s="8" t="s">
        <v>49264</v>
      </c>
      <c r="V8925" s="6" t="s">
        <v>55336</v>
      </c>
      <c r="W8925" s="6" t="s">
        <v>49265</v>
      </c>
      <c r="X8925" s="9" t="str">
        <f>HYPERLINK("https://my.pitchbook.com?p=80289-91P","View People Online")</f>
        <v>View People Online</v>
      </c>
    </row>
    <row r="8926">
      <c r="A8926" s="2" t="s">
        <v>55337</v>
      </c>
      <c r="B8926" s="2" t="s">
        <v>55338</v>
      </c>
      <c r="C8926" s="2" t="s">
        <v>55339</v>
      </c>
      <c r="D8926" s="2" t="s">
        <v>55340</v>
      </c>
      <c r="E8926" s="2" t="s">
        <v>49265</v>
      </c>
      <c r="F8926" s="2" t="s">
        <v>312</v>
      </c>
      <c r="G8926" s="2" t="s">
        <v>55341</v>
      </c>
      <c r="H8926" s="3" t="s">
        <v>31</v>
      </c>
      <c r="I8926" s="3">
        <v>3.0</v>
      </c>
      <c r="J8926" s="3">
        <v>2.0</v>
      </c>
      <c r="K8926" s="3">
        <v>1.0</v>
      </c>
      <c r="L8926" s="4" t="s">
        <v>31</v>
      </c>
      <c r="M8926" s="2" t="s">
        <v>55342</v>
      </c>
      <c r="N8926" s="2" t="s">
        <v>7690</v>
      </c>
      <c r="O8926" s="4" t="s">
        <v>7691</v>
      </c>
      <c r="P8926" s="2" t="s">
        <v>31</v>
      </c>
      <c r="Q8926" s="2" t="s">
        <v>31</v>
      </c>
      <c r="R8926" s="2" t="s">
        <v>7693</v>
      </c>
      <c r="S8926" s="4" t="s">
        <v>31</v>
      </c>
      <c r="T8926" s="2" t="s">
        <v>66</v>
      </c>
      <c r="U8926" s="4" t="s">
        <v>31</v>
      </c>
      <c r="V8926" s="2" t="s">
        <v>55343</v>
      </c>
      <c r="W8926" s="2" t="s">
        <v>49265</v>
      </c>
      <c r="X8926" s="5" t="str">
        <f>HYPERLINK("https://my.pitchbook.com?p=122825-98P","View People Online")</f>
        <v>View People Online</v>
      </c>
    </row>
    <row r="8927">
      <c r="A8927" s="14" t="s">
        <v>55344</v>
      </c>
      <c r="B8927" s="14" t="s">
        <v>55345</v>
      </c>
      <c r="C8927" s="14" t="s">
        <v>3670</v>
      </c>
      <c r="D8927" s="14" t="s">
        <v>55346</v>
      </c>
      <c r="E8927" s="14" t="s">
        <v>49265</v>
      </c>
      <c r="F8927" s="14" t="s">
        <v>4600</v>
      </c>
      <c r="G8927" s="14" t="s">
        <v>55347</v>
      </c>
      <c r="H8927" s="15" t="s">
        <v>31</v>
      </c>
      <c r="I8927" s="15">
        <v>1.0</v>
      </c>
      <c r="J8927" s="15">
        <v>1.0</v>
      </c>
      <c r="K8927" s="15" t="s">
        <v>31</v>
      </c>
      <c r="L8927" s="16" t="s">
        <v>55139</v>
      </c>
      <c r="M8927" s="14" t="s">
        <v>55348</v>
      </c>
      <c r="N8927" s="14" t="s">
        <v>155</v>
      </c>
      <c r="O8927" s="16" t="s">
        <v>156</v>
      </c>
      <c r="P8927" s="14" t="s">
        <v>49262</v>
      </c>
      <c r="Q8927" s="14" t="s">
        <v>49263</v>
      </c>
      <c r="R8927" s="14" t="s">
        <v>64</v>
      </c>
      <c r="S8927" s="16" t="s">
        <v>3487</v>
      </c>
      <c r="T8927" s="14" t="s">
        <v>66</v>
      </c>
      <c r="U8927" s="16" t="s">
        <v>49264</v>
      </c>
      <c r="V8927" s="14" t="s">
        <v>55349</v>
      </c>
      <c r="W8927" s="14" t="s">
        <v>49265</v>
      </c>
      <c r="X8927" s="17" t="str">
        <f>HYPERLINK("https://my.pitchbook.com?p=64153-18P","View People Online")</f>
        <v>View People Online</v>
      </c>
    </row>
    <row r="8928">
      <c r="A8928" s="10" t="s">
        <v>55350</v>
      </c>
      <c r="B8928" s="10" t="s">
        <v>55351</v>
      </c>
      <c r="C8928" s="10" t="s">
        <v>3670</v>
      </c>
      <c r="D8928" s="10" t="s">
        <v>15869</v>
      </c>
      <c r="E8928" s="10" t="s">
        <v>49265</v>
      </c>
      <c r="F8928" s="10" t="s">
        <v>270</v>
      </c>
      <c r="G8928" s="10" t="s">
        <v>55352</v>
      </c>
      <c r="H8928" s="11" t="s">
        <v>31</v>
      </c>
      <c r="I8928" s="11">
        <v>1.0</v>
      </c>
      <c r="J8928" s="11">
        <v>1.0</v>
      </c>
      <c r="K8928" s="11" t="s">
        <v>31</v>
      </c>
      <c r="L8928" s="12" t="s">
        <v>55139</v>
      </c>
      <c r="M8928" s="10" t="s">
        <v>55353</v>
      </c>
      <c r="N8928" s="10" t="s">
        <v>155</v>
      </c>
      <c r="O8928" s="12" t="s">
        <v>156</v>
      </c>
      <c r="P8928" s="10" t="s">
        <v>49262</v>
      </c>
      <c r="Q8928" s="10" t="s">
        <v>49263</v>
      </c>
      <c r="R8928" s="10" t="s">
        <v>64</v>
      </c>
      <c r="S8928" s="12" t="s">
        <v>3487</v>
      </c>
      <c r="T8928" s="10" t="s">
        <v>66</v>
      </c>
      <c r="U8928" s="12" t="s">
        <v>49264</v>
      </c>
      <c r="V8928" s="10" t="s">
        <v>55354</v>
      </c>
      <c r="W8928" s="10" t="s">
        <v>49265</v>
      </c>
      <c r="X8928" s="13" t="str">
        <f>HYPERLINK("https://my.pitchbook.com?p=366776-74P","View People Online")</f>
        <v>View People Online</v>
      </c>
    </row>
    <row r="8929">
      <c r="A8929" s="14" t="s">
        <v>55355</v>
      </c>
      <c r="B8929" s="14" t="s">
        <v>55356</v>
      </c>
      <c r="C8929" s="14" t="s">
        <v>6414</v>
      </c>
      <c r="D8929" s="14" t="s">
        <v>29593</v>
      </c>
      <c r="E8929" s="14" t="s">
        <v>49265</v>
      </c>
      <c r="F8929" s="14" t="s">
        <v>583</v>
      </c>
      <c r="G8929" s="14" t="s">
        <v>55357</v>
      </c>
      <c r="H8929" s="15" t="s">
        <v>31</v>
      </c>
      <c r="I8929" s="15">
        <v>1.0</v>
      </c>
      <c r="J8929" s="15">
        <v>1.0</v>
      </c>
      <c r="K8929" s="15" t="s">
        <v>31</v>
      </c>
      <c r="L8929" s="16" t="s">
        <v>55139</v>
      </c>
      <c r="M8929" s="14" t="s">
        <v>55358</v>
      </c>
      <c r="N8929" s="14" t="s">
        <v>155</v>
      </c>
      <c r="O8929" s="16" t="s">
        <v>156</v>
      </c>
      <c r="P8929" s="14" t="s">
        <v>49262</v>
      </c>
      <c r="Q8929" s="14" t="s">
        <v>49263</v>
      </c>
      <c r="R8929" s="14" t="s">
        <v>64</v>
      </c>
      <c r="S8929" s="16" t="s">
        <v>3487</v>
      </c>
      <c r="T8929" s="14" t="s">
        <v>66</v>
      </c>
      <c r="U8929" s="16" t="s">
        <v>49264</v>
      </c>
      <c r="V8929" s="14" t="s">
        <v>55359</v>
      </c>
      <c r="W8929" s="14" t="s">
        <v>49265</v>
      </c>
      <c r="X8929" s="17" t="str">
        <f>HYPERLINK("https://my.pitchbook.com?p=359167-15P","View People Online")</f>
        <v>View People Online</v>
      </c>
    </row>
    <row r="8930">
      <c r="A8930" s="10" t="s">
        <v>55360</v>
      </c>
      <c r="B8930" s="10" t="s">
        <v>55361</v>
      </c>
      <c r="C8930" s="10" t="s">
        <v>1343</v>
      </c>
      <c r="D8930" s="10" t="s">
        <v>55362</v>
      </c>
      <c r="E8930" s="10" t="s">
        <v>49265</v>
      </c>
      <c r="F8930" s="10" t="s">
        <v>49367</v>
      </c>
      <c r="G8930" s="10" t="s">
        <v>55363</v>
      </c>
      <c r="H8930" s="11">
        <v>1.0</v>
      </c>
      <c r="I8930" s="11">
        <v>30.0</v>
      </c>
      <c r="J8930" s="11">
        <v>2.0</v>
      </c>
      <c r="K8930" s="11">
        <v>24.0</v>
      </c>
      <c r="L8930" s="12" t="s">
        <v>55364</v>
      </c>
      <c r="M8930" s="10" t="s">
        <v>31</v>
      </c>
      <c r="N8930" s="10" t="s">
        <v>155</v>
      </c>
      <c r="O8930" s="12" t="s">
        <v>156</v>
      </c>
      <c r="P8930" s="10" t="s">
        <v>28581</v>
      </c>
      <c r="Q8930" s="10" t="s">
        <v>2839</v>
      </c>
      <c r="R8930" s="10" t="s">
        <v>64</v>
      </c>
      <c r="S8930" s="12" t="s">
        <v>3487</v>
      </c>
      <c r="T8930" s="10" t="s">
        <v>66</v>
      </c>
      <c r="U8930" s="12" t="s">
        <v>31</v>
      </c>
      <c r="V8930" s="10" t="s">
        <v>583</v>
      </c>
      <c r="W8930" s="10" t="s">
        <v>55365</v>
      </c>
      <c r="X8930" s="13" t="str">
        <f>HYPERLINK("https://my.pitchbook.com?p=80032-78P","View People Online")</f>
        <v>View People Online</v>
      </c>
    </row>
    <row r="8931">
      <c r="A8931" s="6" t="s">
        <v>55366</v>
      </c>
      <c r="B8931" s="6" t="s">
        <v>55367</v>
      </c>
      <c r="C8931" s="6" t="s">
        <v>3052</v>
      </c>
      <c r="D8931" s="6" t="s">
        <v>55368</v>
      </c>
      <c r="E8931" s="6" t="s">
        <v>49265</v>
      </c>
      <c r="F8931" s="6" t="s">
        <v>270</v>
      </c>
      <c r="G8931" s="6" t="s">
        <v>55369</v>
      </c>
      <c r="H8931" s="7" t="s">
        <v>31</v>
      </c>
      <c r="I8931" s="7">
        <v>1.0</v>
      </c>
      <c r="J8931" s="7">
        <v>1.0</v>
      </c>
      <c r="K8931" s="7" t="s">
        <v>31</v>
      </c>
      <c r="L8931" s="8" t="s">
        <v>55227</v>
      </c>
      <c r="M8931" s="6" t="s">
        <v>55370</v>
      </c>
      <c r="N8931" s="6" t="s">
        <v>155</v>
      </c>
      <c r="O8931" s="8" t="s">
        <v>156</v>
      </c>
      <c r="P8931" s="6" t="s">
        <v>49262</v>
      </c>
      <c r="Q8931" s="6" t="s">
        <v>49263</v>
      </c>
      <c r="R8931" s="6" t="s">
        <v>64</v>
      </c>
      <c r="S8931" s="8" t="s">
        <v>3487</v>
      </c>
      <c r="T8931" s="6" t="s">
        <v>66</v>
      </c>
      <c r="U8931" s="8" t="s">
        <v>49264</v>
      </c>
      <c r="V8931" s="6" t="s">
        <v>55371</v>
      </c>
      <c r="W8931" s="6" t="s">
        <v>49265</v>
      </c>
      <c r="X8931" s="9" t="str">
        <f>HYPERLINK("https://my.pitchbook.com?p=160328-26P","View People Online")</f>
        <v>View People Online</v>
      </c>
    </row>
    <row r="8932">
      <c r="A8932" s="10" t="s">
        <v>55372</v>
      </c>
      <c r="B8932" s="10" t="s">
        <v>55373</v>
      </c>
      <c r="C8932" s="10" t="s">
        <v>3058</v>
      </c>
      <c r="D8932" s="10" t="s">
        <v>55374</v>
      </c>
      <c r="E8932" s="10" t="s">
        <v>49265</v>
      </c>
      <c r="F8932" s="10" t="s">
        <v>45372</v>
      </c>
      <c r="G8932" s="10" t="s">
        <v>55375</v>
      </c>
      <c r="H8932" s="11" t="s">
        <v>31</v>
      </c>
      <c r="I8932" s="11">
        <v>1.0</v>
      </c>
      <c r="J8932" s="11">
        <v>1.0</v>
      </c>
      <c r="K8932" s="11" t="s">
        <v>31</v>
      </c>
      <c r="L8932" s="12" t="s">
        <v>55139</v>
      </c>
      <c r="M8932" s="10" t="s">
        <v>55376</v>
      </c>
      <c r="N8932" s="10" t="s">
        <v>155</v>
      </c>
      <c r="O8932" s="12" t="s">
        <v>156</v>
      </c>
      <c r="P8932" s="10" t="s">
        <v>49262</v>
      </c>
      <c r="Q8932" s="10" t="s">
        <v>49263</v>
      </c>
      <c r="R8932" s="10" t="s">
        <v>64</v>
      </c>
      <c r="S8932" s="12" t="s">
        <v>3487</v>
      </c>
      <c r="T8932" s="10" t="s">
        <v>66</v>
      </c>
      <c r="U8932" s="12" t="s">
        <v>49264</v>
      </c>
      <c r="V8932" s="10" t="s">
        <v>45372</v>
      </c>
      <c r="W8932" s="10" t="s">
        <v>49265</v>
      </c>
      <c r="X8932" s="13" t="str">
        <f>HYPERLINK("https://my.pitchbook.com?p=313292-89P","View People Online")</f>
        <v>View People Online</v>
      </c>
    </row>
    <row r="8933">
      <c r="A8933" s="14" t="s">
        <v>55377</v>
      </c>
      <c r="B8933" s="14" t="s">
        <v>55378</v>
      </c>
      <c r="C8933" s="14" t="s">
        <v>55379</v>
      </c>
      <c r="D8933" s="14" t="s">
        <v>13808</v>
      </c>
      <c r="E8933" s="14" t="s">
        <v>49265</v>
      </c>
      <c r="F8933" s="14" t="s">
        <v>3600</v>
      </c>
      <c r="G8933" s="14" t="s">
        <v>55380</v>
      </c>
      <c r="H8933" s="15" t="s">
        <v>31</v>
      </c>
      <c r="I8933" s="15">
        <v>1.0</v>
      </c>
      <c r="J8933" s="15">
        <v>1.0</v>
      </c>
      <c r="K8933" s="15" t="s">
        <v>31</v>
      </c>
      <c r="L8933" s="16" t="s">
        <v>55139</v>
      </c>
      <c r="M8933" s="14" t="s">
        <v>55381</v>
      </c>
      <c r="N8933" s="14" t="s">
        <v>155</v>
      </c>
      <c r="O8933" s="16" t="s">
        <v>156</v>
      </c>
      <c r="P8933" s="14" t="s">
        <v>49262</v>
      </c>
      <c r="Q8933" s="14" t="s">
        <v>49263</v>
      </c>
      <c r="R8933" s="14" t="s">
        <v>64</v>
      </c>
      <c r="S8933" s="16" t="s">
        <v>3487</v>
      </c>
      <c r="T8933" s="14" t="s">
        <v>66</v>
      </c>
      <c r="U8933" s="16" t="s">
        <v>49264</v>
      </c>
      <c r="V8933" s="14" t="s">
        <v>55382</v>
      </c>
      <c r="W8933" s="14" t="s">
        <v>49265</v>
      </c>
      <c r="X8933" s="17" t="str">
        <f>HYPERLINK("https://my.pitchbook.com?p=97100-11P","View People Online")</f>
        <v>View People Online</v>
      </c>
    </row>
    <row r="8934">
      <c r="A8934" s="2" t="s">
        <v>55383</v>
      </c>
      <c r="B8934" s="2" t="s">
        <v>55384</v>
      </c>
      <c r="C8934" s="2" t="s">
        <v>1630</v>
      </c>
      <c r="D8934" s="2" t="s">
        <v>4526</v>
      </c>
      <c r="E8934" s="2" t="s">
        <v>49265</v>
      </c>
      <c r="F8934" s="2" t="s">
        <v>371</v>
      </c>
      <c r="G8934" s="2" t="s">
        <v>55385</v>
      </c>
      <c r="H8934" s="3" t="s">
        <v>31</v>
      </c>
      <c r="I8934" s="3">
        <v>1.0</v>
      </c>
      <c r="J8934" s="3">
        <v>1.0</v>
      </c>
      <c r="K8934" s="3" t="s">
        <v>31</v>
      </c>
      <c r="L8934" s="4" t="s">
        <v>55139</v>
      </c>
      <c r="M8934" s="2" t="s">
        <v>55386</v>
      </c>
      <c r="N8934" s="2" t="s">
        <v>155</v>
      </c>
      <c r="O8934" s="4" t="s">
        <v>156</v>
      </c>
      <c r="P8934" s="2" t="s">
        <v>49262</v>
      </c>
      <c r="Q8934" s="2" t="s">
        <v>49263</v>
      </c>
      <c r="R8934" s="2" t="s">
        <v>64</v>
      </c>
      <c r="S8934" s="4" t="s">
        <v>3487</v>
      </c>
      <c r="T8934" s="2" t="s">
        <v>66</v>
      </c>
      <c r="U8934" s="4" t="s">
        <v>49264</v>
      </c>
      <c r="V8934" s="2" t="s">
        <v>55387</v>
      </c>
      <c r="W8934" s="2" t="s">
        <v>49265</v>
      </c>
      <c r="X8934" s="5" t="str">
        <f>HYPERLINK("https://my.pitchbook.com?p=88982-20P","View People Online")</f>
        <v>View People Online</v>
      </c>
    </row>
    <row r="8935">
      <c r="A8935" s="6" t="s">
        <v>55388</v>
      </c>
      <c r="B8935" s="6" t="s">
        <v>55389</v>
      </c>
      <c r="C8935" s="6" t="s">
        <v>28407</v>
      </c>
      <c r="D8935" s="6" t="s">
        <v>55390</v>
      </c>
      <c r="E8935" s="6" t="s">
        <v>49265</v>
      </c>
      <c r="F8935" s="6" t="s">
        <v>3740</v>
      </c>
      <c r="G8935" s="6" t="s">
        <v>55391</v>
      </c>
      <c r="H8935" s="7" t="s">
        <v>31</v>
      </c>
      <c r="I8935" s="7">
        <v>3.0</v>
      </c>
      <c r="J8935" s="7">
        <v>1.0</v>
      </c>
      <c r="K8935" s="7">
        <v>1.0</v>
      </c>
      <c r="L8935" s="8" t="s">
        <v>55139</v>
      </c>
      <c r="M8935" s="6" t="s">
        <v>55392</v>
      </c>
      <c r="N8935" s="6" t="s">
        <v>155</v>
      </c>
      <c r="O8935" s="8" t="s">
        <v>156</v>
      </c>
      <c r="P8935" s="6" t="s">
        <v>49262</v>
      </c>
      <c r="Q8935" s="6" t="s">
        <v>49263</v>
      </c>
      <c r="R8935" s="6" t="s">
        <v>64</v>
      </c>
      <c r="S8935" s="8" t="s">
        <v>3487</v>
      </c>
      <c r="T8935" s="6" t="s">
        <v>66</v>
      </c>
      <c r="U8935" s="8" t="s">
        <v>49264</v>
      </c>
      <c r="V8935" s="6" t="s">
        <v>55393</v>
      </c>
      <c r="W8935" s="6" t="s">
        <v>49265</v>
      </c>
      <c r="X8935" s="9" t="str">
        <f>HYPERLINK("https://my.pitchbook.com?p=111810-16P","View People Online")</f>
        <v>View People Online</v>
      </c>
    </row>
    <row r="8936">
      <c r="A8936" s="10" t="s">
        <v>55394</v>
      </c>
      <c r="B8936" s="10" t="s">
        <v>55395</v>
      </c>
      <c r="C8936" s="10" t="s">
        <v>6856</v>
      </c>
      <c r="D8936" s="10" t="s">
        <v>4526</v>
      </c>
      <c r="E8936" s="10" t="s">
        <v>49265</v>
      </c>
      <c r="F8936" s="10" t="s">
        <v>55396</v>
      </c>
      <c r="G8936" s="10" t="s">
        <v>55397</v>
      </c>
      <c r="H8936" s="11" t="s">
        <v>31</v>
      </c>
      <c r="I8936" s="11">
        <v>1.0</v>
      </c>
      <c r="J8936" s="11">
        <v>1.0</v>
      </c>
      <c r="K8936" s="11" t="s">
        <v>31</v>
      </c>
      <c r="L8936" s="12" t="s">
        <v>55139</v>
      </c>
      <c r="M8936" s="10" t="s">
        <v>55398</v>
      </c>
      <c r="N8936" s="10" t="s">
        <v>155</v>
      </c>
      <c r="O8936" s="12" t="s">
        <v>156</v>
      </c>
      <c r="P8936" s="10" t="s">
        <v>49262</v>
      </c>
      <c r="Q8936" s="10" t="s">
        <v>49263</v>
      </c>
      <c r="R8936" s="10" t="s">
        <v>64</v>
      </c>
      <c r="S8936" s="12" t="s">
        <v>3487</v>
      </c>
      <c r="T8936" s="10" t="s">
        <v>66</v>
      </c>
      <c r="U8936" s="12" t="s">
        <v>49264</v>
      </c>
      <c r="V8936" s="10" t="s">
        <v>55399</v>
      </c>
      <c r="W8936" s="10" t="s">
        <v>49265</v>
      </c>
      <c r="X8936" s="13" t="str">
        <f>HYPERLINK("https://my.pitchbook.com?p=141901-21P","View People Online")</f>
        <v>View People Online</v>
      </c>
    </row>
    <row r="8937">
      <c r="A8937" s="6" t="s">
        <v>55400</v>
      </c>
      <c r="B8937" s="6" t="s">
        <v>55401</v>
      </c>
      <c r="C8937" s="6" t="s">
        <v>40583</v>
      </c>
      <c r="D8937" s="6" t="s">
        <v>55402</v>
      </c>
      <c r="E8937" s="6" t="s">
        <v>49265</v>
      </c>
      <c r="F8937" s="6" t="s">
        <v>10522</v>
      </c>
      <c r="G8937" s="6" t="s">
        <v>55403</v>
      </c>
      <c r="H8937" s="7" t="s">
        <v>31</v>
      </c>
      <c r="I8937" s="7">
        <v>2.0</v>
      </c>
      <c r="J8937" s="7">
        <v>2.0</v>
      </c>
      <c r="K8937" s="7" t="s">
        <v>31</v>
      </c>
      <c r="L8937" s="8" t="s">
        <v>55404</v>
      </c>
      <c r="M8937" s="6" t="s">
        <v>55405</v>
      </c>
      <c r="N8937" s="6" t="s">
        <v>55406</v>
      </c>
      <c r="O8937" s="8" t="s">
        <v>55407</v>
      </c>
      <c r="P8937" s="6" t="s">
        <v>55408</v>
      </c>
      <c r="Q8937" s="6" t="s">
        <v>55409</v>
      </c>
      <c r="R8937" s="6" t="s">
        <v>64</v>
      </c>
      <c r="S8937" s="8" t="s">
        <v>55410</v>
      </c>
      <c r="T8937" s="6" t="s">
        <v>66</v>
      </c>
      <c r="U8937" s="8" t="s">
        <v>31</v>
      </c>
      <c r="V8937" s="6" t="s">
        <v>583</v>
      </c>
      <c r="W8937" s="6" t="s">
        <v>55411</v>
      </c>
      <c r="X8937" s="9" t="str">
        <f>HYPERLINK("https://my.pitchbook.com?p=90023-05P","View People Online")</f>
        <v>View People Online</v>
      </c>
    </row>
    <row r="8938">
      <c r="A8938" s="10" t="s">
        <v>55412</v>
      </c>
      <c r="B8938" s="10" t="s">
        <v>55413</v>
      </c>
      <c r="C8938" s="10" t="s">
        <v>55414</v>
      </c>
      <c r="D8938" s="10" t="s">
        <v>55415</v>
      </c>
      <c r="E8938" s="10" t="s">
        <v>49265</v>
      </c>
      <c r="F8938" s="10" t="s">
        <v>3600</v>
      </c>
      <c r="G8938" s="10" t="s">
        <v>55416</v>
      </c>
      <c r="H8938" s="11" t="s">
        <v>31</v>
      </c>
      <c r="I8938" s="11">
        <v>1.0</v>
      </c>
      <c r="J8938" s="11">
        <v>1.0</v>
      </c>
      <c r="K8938" s="11" t="s">
        <v>31</v>
      </c>
      <c r="L8938" s="12" t="s">
        <v>55139</v>
      </c>
      <c r="M8938" s="10" t="s">
        <v>55417</v>
      </c>
      <c r="N8938" s="10" t="s">
        <v>155</v>
      </c>
      <c r="O8938" s="12" t="s">
        <v>156</v>
      </c>
      <c r="P8938" s="10" t="s">
        <v>49262</v>
      </c>
      <c r="Q8938" s="10" t="s">
        <v>49263</v>
      </c>
      <c r="R8938" s="10" t="s">
        <v>64</v>
      </c>
      <c r="S8938" s="12" t="s">
        <v>3487</v>
      </c>
      <c r="T8938" s="10" t="s">
        <v>66</v>
      </c>
      <c r="U8938" s="12" t="s">
        <v>49264</v>
      </c>
      <c r="V8938" s="10" t="s">
        <v>55418</v>
      </c>
      <c r="W8938" s="10" t="s">
        <v>49265</v>
      </c>
      <c r="X8938" s="13" t="str">
        <f>HYPERLINK("https://my.pitchbook.com?p=111822-85P","View People Online")</f>
        <v>View People Online</v>
      </c>
    </row>
    <row r="8939">
      <c r="A8939" s="6" t="s">
        <v>55419</v>
      </c>
      <c r="B8939" s="6" t="s">
        <v>55420</v>
      </c>
      <c r="C8939" s="6" t="s">
        <v>2596</v>
      </c>
      <c r="D8939" s="6" t="s">
        <v>11725</v>
      </c>
      <c r="E8939" s="6" t="s">
        <v>49265</v>
      </c>
      <c r="F8939" s="6" t="s">
        <v>1801</v>
      </c>
      <c r="G8939" s="6" t="s">
        <v>55421</v>
      </c>
      <c r="H8939" s="7" t="s">
        <v>31</v>
      </c>
      <c r="I8939" s="7">
        <v>1.0</v>
      </c>
      <c r="J8939" s="7">
        <v>1.0</v>
      </c>
      <c r="K8939" s="7" t="s">
        <v>31</v>
      </c>
      <c r="L8939" s="8" t="s">
        <v>31</v>
      </c>
      <c r="M8939" s="6" t="s">
        <v>55422</v>
      </c>
      <c r="N8939" s="6" t="s">
        <v>7690</v>
      </c>
      <c r="O8939" s="8" t="s">
        <v>7691</v>
      </c>
      <c r="P8939" s="6" t="s">
        <v>31</v>
      </c>
      <c r="Q8939" s="6" t="s">
        <v>31</v>
      </c>
      <c r="R8939" s="6" t="s">
        <v>7693</v>
      </c>
      <c r="S8939" s="8" t="s">
        <v>31</v>
      </c>
      <c r="T8939" s="6" t="s">
        <v>66</v>
      </c>
      <c r="U8939" s="8" t="s">
        <v>31</v>
      </c>
      <c r="V8939" s="6" t="s">
        <v>55423</v>
      </c>
      <c r="W8939" s="6" t="s">
        <v>49265</v>
      </c>
      <c r="X8939" s="9" t="str">
        <f>HYPERLINK("https://my.pitchbook.com?p=47596-96P","View People Online")</f>
        <v>View People Online</v>
      </c>
    </row>
    <row r="8940">
      <c r="A8940" s="2" t="s">
        <v>55424</v>
      </c>
      <c r="B8940" s="2" t="s">
        <v>55425</v>
      </c>
      <c r="C8940" s="2" t="s">
        <v>24951</v>
      </c>
      <c r="D8940" s="2" t="s">
        <v>18117</v>
      </c>
      <c r="E8940" s="2" t="s">
        <v>49265</v>
      </c>
      <c r="F8940" s="2" t="s">
        <v>270</v>
      </c>
      <c r="G8940" s="2" t="s">
        <v>55426</v>
      </c>
      <c r="H8940" s="3" t="s">
        <v>31</v>
      </c>
      <c r="I8940" s="3">
        <v>1.0</v>
      </c>
      <c r="J8940" s="3">
        <v>1.0</v>
      </c>
      <c r="K8940" s="3" t="s">
        <v>31</v>
      </c>
      <c r="L8940" s="4" t="s">
        <v>55139</v>
      </c>
      <c r="M8940" s="2" t="s">
        <v>55427</v>
      </c>
      <c r="N8940" s="2" t="s">
        <v>155</v>
      </c>
      <c r="O8940" s="4" t="s">
        <v>156</v>
      </c>
      <c r="P8940" s="2" t="s">
        <v>49262</v>
      </c>
      <c r="Q8940" s="2" t="s">
        <v>49263</v>
      </c>
      <c r="R8940" s="2" t="s">
        <v>64</v>
      </c>
      <c r="S8940" s="4" t="s">
        <v>3487</v>
      </c>
      <c r="T8940" s="2" t="s">
        <v>66</v>
      </c>
      <c r="U8940" s="4" t="s">
        <v>49264</v>
      </c>
      <c r="V8940" s="2" t="s">
        <v>55428</v>
      </c>
      <c r="W8940" s="2" t="s">
        <v>49265</v>
      </c>
      <c r="X8940" s="5" t="str">
        <f>HYPERLINK("https://my.pitchbook.com?p=367982-38P","View People Online")</f>
        <v>View People Online</v>
      </c>
    </row>
    <row r="8941">
      <c r="A8941" s="6" t="s">
        <v>55429</v>
      </c>
      <c r="B8941" s="6" t="s">
        <v>55430</v>
      </c>
      <c r="C8941" s="6" t="s">
        <v>1502</v>
      </c>
      <c r="D8941" s="6" t="s">
        <v>48585</v>
      </c>
      <c r="E8941" s="6" t="s">
        <v>49265</v>
      </c>
      <c r="F8941" s="6" t="s">
        <v>4527</v>
      </c>
      <c r="G8941" s="6" t="s">
        <v>55431</v>
      </c>
      <c r="H8941" s="7">
        <v>5.0</v>
      </c>
      <c r="I8941" s="7">
        <v>255.0</v>
      </c>
      <c r="J8941" s="7">
        <v>4.0</v>
      </c>
      <c r="K8941" s="7">
        <v>242.0</v>
      </c>
      <c r="L8941" s="8" t="s">
        <v>55139</v>
      </c>
      <c r="M8941" s="6" t="s">
        <v>55432</v>
      </c>
      <c r="N8941" s="6" t="s">
        <v>155</v>
      </c>
      <c r="O8941" s="8" t="s">
        <v>156</v>
      </c>
      <c r="P8941" s="6" t="s">
        <v>49262</v>
      </c>
      <c r="Q8941" s="6" t="s">
        <v>49263</v>
      </c>
      <c r="R8941" s="6" t="s">
        <v>64</v>
      </c>
      <c r="S8941" s="8" t="s">
        <v>3487</v>
      </c>
      <c r="T8941" s="6" t="s">
        <v>66</v>
      </c>
      <c r="U8941" s="8" t="s">
        <v>49264</v>
      </c>
      <c r="V8941" s="6" t="s">
        <v>55433</v>
      </c>
      <c r="W8941" s="6" t="s">
        <v>49265</v>
      </c>
      <c r="X8941" s="9" t="str">
        <f>HYPERLINK("https://my.pitchbook.com?p=36340-66P","View People Online")</f>
        <v>View People Online</v>
      </c>
    </row>
    <row r="8942">
      <c r="A8942" s="10" t="s">
        <v>55434</v>
      </c>
      <c r="B8942" s="10" t="s">
        <v>55435</v>
      </c>
      <c r="C8942" s="10" t="s">
        <v>1765</v>
      </c>
      <c r="D8942" s="10" t="s">
        <v>34065</v>
      </c>
      <c r="E8942" s="10" t="s">
        <v>49265</v>
      </c>
      <c r="F8942" s="10" t="s">
        <v>3740</v>
      </c>
      <c r="G8942" s="10" t="s">
        <v>55436</v>
      </c>
      <c r="H8942" s="11" t="s">
        <v>31</v>
      </c>
      <c r="I8942" s="11">
        <v>1.0</v>
      </c>
      <c r="J8942" s="11">
        <v>1.0</v>
      </c>
      <c r="K8942" s="11" t="s">
        <v>31</v>
      </c>
      <c r="L8942" s="12" t="s">
        <v>55227</v>
      </c>
      <c r="M8942" s="10" t="s">
        <v>55437</v>
      </c>
      <c r="N8942" s="10" t="s">
        <v>155</v>
      </c>
      <c r="O8942" s="12" t="s">
        <v>156</v>
      </c>
      <c r="P8942" s="10" t="s">
        <v>49262</v>
      </c>
      <c r="Q8942" s="10" t="s">
        <v>49263</v>
      </c>
      <c r="R8942" s="10" t="s">
        <v>64</v>
      </c>
      <c r="S8942" s="12" t="s">
        <v>3487</v>
      </c>
      <c r="T8942" s="10" t="s">
        <v>66</v>
      </c>
      <c r="U8942" s="12" t="s">
        <v>49264</v>
      </c>
      <c r="V8942" s="10" t="s">
        <v>55438</v>
      </c>
      <c r="W8942" s="10" t="s">
        <v>49265</v>
      </c>
      <c r="X8942" s="13" t="str">
        <f>HYPERLINK("https://my.pitchbook.com?p=82073-53P","View People Online")</f>
        <v>View People Online</v>
      </c>
    </row>
    <row r="8943">
      <c r="A8943" s="6" t="s">
        <v>49256</v>
      </c>
      <c r="B8943" s="6" t="s">
        <v>49257</v>
      </c>
      <c r="C8943" s="6" t="s">
        <v>2288</v>
      </c>
      <c r="D8943" s="6" t="s">
        <v>49258</v>
      </c>
      <c r="E8943" s="6" t="s">
        <v>49265</v>
      </c>
      <c r="F8943" s="6" t="s">
        <v>502</v>
      </c>
      <c r="G8943" s="6" t="s">
        <v>49259</v>
      </c>
      <c r="H8943" s="7">
        <v>4.0</v>
      </c>
      <c r="I8943" s="7">
        <v>7.0</v>
      </c>
      <c r="J8943" s="7">
        <v>2.0</v>
      </c>
      <c r="K8943" s="7" t="s">
        <v>31</v>
      </c>
      <c r="L8943" s="8" t="s">
        <v>49260</v>
      </c>
      <c r="M8943" s="6" t="s">
        <v>49261</v>
      </c>
      <c r="N8943" s="6" t="s">
        <v>155</v>
      </c>
      <c r="O8943" s="8" t="s">
        <v>156</v>
      </c>
      <c r="P8943" s="6" t="s">
        <v>49262</v>
      </c>
      <c r="Q8943" s="6" t="s">
        <v>49263</v>
      </c>
      <c r="R8943" s="6" t="s">
        <v>64</v>
      </c>
      <c r="S8943" s="8" t="s">
        <v>3487</v>
      </c>
      <c r="T8943" s="6" t="s">
        <v>66</v>
      </c>
      <c r="U8943" s="8" t="s">
        <v>49264</v>
      </c>
      <c r="V8943" s="6" t="s">
        <v>81</v>
      </c>
      <c r="W8943" s="6" t="s">
        <v>49265</v>
      </c>
      <c r="X8943" s="9" t="str">
        <f>HYPERLINK("https://my.pitchbook.com?p=31276-72P","View People Online")</f>
        <v>View People Online</v>
      </c>
    </row>
    <row r="8944">
      <c r="A8944" s="10" t="s">
        <v>55439</v>
      </c>
      <c r="B8944" s="10" t="s">
        <v>55440</v>
      </c>
      <c r="C8944" s="10" t="s">
        <v>55441</v>
      </c>
      <c r="D8944" s="10" t="s">
        <v>27533</v>
      </c>
      <c r="E8944" s="10" t="s">
        <v>49265</v>
      </c>
      <c r="F8944" s="10" t="s">
        <v>270</v>
      </c>
      <c r="G8944" s="10" t="s">
        <v>55442</v>
      </c>
      <c r="H8944" s="11" t="s">
        <v>31</v>
      </c>
      <c r="I8944" s="11">
        <v>1.0</v>
      </c>
      <c r="J8944" s="11">
        <v>1.0</v>
      </c>
      <c r="K8944" s="11" t="s">
        <v>31</v>
      </c>
      <c r="L8944" s="12" t="s">
        <v>55443</v>
      </c>
      <c r="M8944" s="10" t="s">
        <v>55444</v>
      </c>
      <c r="N8944" s="10" t="s">
        <v>155</v>
      </c>
      <c r="O8944" s="12" t="s">
        <v>156</v>
      </c>
      <c r="P8944" s="10" t="s">
        <v>49262</v>
      </c>
      <c r="Q8944" s="10" t="s">
        <v>49263</v>
      </c>
      <c r="R8944" s="10" t="s">
        <v>64</v>
      </c>
      <c r="S8944" s="12" t="s">
        <v>3487</v>
      </c>
      <c r="T8944" s="10" t="s">
        <v>66</v>
      </c>
      <c r="U8944" s="12" t="s">
        <v>49264</v>
      </c>
      <c r="V8944" s="10" t="s">
        <v>55445</v>
      </c>
      <c r="W8944" s="10" t="s">
        <v>49265</v>
      </c>
      <c r="X8944" s="13" t="str">
        <f>HYPERLINK("https://my.pitchbook.com?p=105154-21P","View People Online")</f>
        <v>View People Online</v>
      </c>
    </row>
    <row r="8945">
      <c r="A8945" s="6" t="s">
        <v>55446</v>
      </c>
      <c r="B8945" s="6" t="s">
        <v>55447</v>
      </c>
      <c r="C8945" s="6" t="s">
        <v>126</v>
      </c>
      <c r="D8945" s="6" t="s">
        <v>55448</v>
      </c>
      <c r="E8945" s="6" t="s">
        <v>49265</v>
      </c>
      <c r="F8945" s="6" t="s">
        <v>3600</v>
      </c>
      <c r="G8945" s="6" t="s">
        <v>55449</v>
      </c>
      <c r="H8945" s="7" t="s">
        <v>31</v>
      </c>
      <c r="I8945" s="7">
        <v>1.0</v>
      </c>
      <c r="J8945" s="7">
        <v>1.0</v>
      </c>
      <c r="K8945" s="7" t="s">
        <v>31</v>
      </c>
      <c r="L8945" s="8" t="s">
        <v>55139</v>
      </c>
      <c r="M8945" s="6" t="s">
        <v>55450</v>
      </c>
      <c r="N8945" s="6" t="s">
        <v>155</v>
      </c>
      <c r="O8945" s="8" t="s">
        <v>156</v>
      </c>
      <c r="P8945" s="6" t="s">
        <v>49262</v>
      </c>
      <c r="Q8945" s="6" t="s">
        <v>49263</v>
      </c>
      <c r="R8945" s="6" t="s">
        <v>64</v>
      </c>
      <c r="S8945" s="8" t="s">
        <v>3487</v>
      </c>
      <c r="T8945" s="6" t="s">
        <v>66</v>
      </c>
      <c r="U8945" s="8" t="s">
        <v>49264</v>
      </c>
      <c r="V8945" s="6" t="s">
        <v>6202</v>
      </c>
      <c r="W8945" s="6" t="s">
        <v>49265</v>
      </c>
      <c r="X8945" s="9" t="str">
        <f>HYPERLINK("https://my.pitchbook.com?p=141320-53P","View People Online")</f>
        <v>View People Online</v>
      </c>
    </row>
    <row r="8946">
      <c r="A8946" s="10" t="s">
        <v>55451</v>
      </c>
      <c r="B8946" s="10" t="s">
        <v>55452</v>
      </c>
      <c r="C8946" s="10" t="s">
        <v>3202</v>
      </c>
      <c r="D8946" s="10" t="s">
        <v>55453</v>
      </c>
      <c r="E8946" s="10" t="s">
        <v>49265</v>
      </c>
      <c r="F8946" s="10" t="s">
        <v>270</v>
      </c>
      <c r="G8946" s="10" t="s">
        <v>55454</v>
      </c>
      <c r="H8946" s="11" t="s">
        <v>31</v>
      </c>
      <c r="I8946" s="11">
        <v>1.0</v>
      </c>
      <c r="J8946" s="11">
        <v>1.0</v>
      </c>
      <c r="K8946" s="11" t="s">
        <v>31</v>
      </c>
      <c r="L8946" s="12" t="s">
        <v>55139</v>
      </c>
      <c r="M8946" s="10" t="s">
        <v>55455</v>
      </c>
      <c r="N8946" s="10" t="s">
        <v>155</v>
      </c>
      <c r="O8946" s="12" t="s">
        <v>156</v>
      </c>
      <c r="P8946" s="10" t="s">
        <v>49262</v>
      </c>
      <c r="Q8946" s="10" t="s">
        <v>49263</v>
      </c>
      <c r="R8946" s="10" t="s">
        <v>64</v>
      </c>
      <c r="S8946" s="12" t="s">
        <v>3487</v>
      </c>
      <c r="T8946" s="10" t="s">
        <v>66</v>
      </c>
      <c r="U8946" s="12" t="s">
        <v>49264</v>
      </c>
      <c r="V8946" s="10" t="s">
        <v>55456</v>
      </c>
      <c r="W8946" s="10" t="s">
        <v>49265</v>
      </c>
      <c r="X8946" s="13" t="str">
        <f>HYPERLINK("https://my.pitchbook.com?p=205206-76P","View People Online")</f>
        <v>View People Online</v>
      </c>
    </row>
    <row r="8947">
      <c r="A8947" s="14" t="s">
        <v>55457</v>
      </c>
      <c r="B8947" s="14" t="s">
        <v>55458</v>
      </c>
      <c r="C8947" s="14" t="s">
        <v>12013</v>
      </c>
      <c r="D8947" s="14" t="s">
        <v>55459</v>
      </c>
      <c r="E8947" s="14" t="s">
        <v>49265</v>
      </c>
      <c r="F8947" s="14" t="s">
        <v>55460</v>
      </c>
      <c r="G8947" s="14" t="s">
        <v>55461</v>
      </c>
      <c r="H8947" s="15" t="s">
        <v>31</v>
      </c>
      <c r="I8947" s="15">
        <v>3.0</v>
      </c>
      <c r="J8947" s="15">
        <v>1.0</v>
      </c>
      <c r="K8947" s="15">
        <v>1.0</v>
      </c>
      <c r="L8947" s="16" t="s">
        <v>55139</v>
      </c>
      <c r="M8947" s="14" t="s">
        <v>55462</v>
      </c>
      <c r="N8947" s="14" t="s">
        <v>155</v>
      </c>
      <c r="O8947" s="16" t="s">
        <v>156</v>
      </c>
      <c r="P8947" s="14" t="s">
        <v>49262</v>
      </c>
      <c r="Q8947" s="14" t="s">
        <v>49263</v>
      </c>
      <c r="R8947" s="14" t="s">
        <v>64</v>
      </c>
      <c r="S8947" s="16" t="s">
        <v>3487</v>
      </c>
      <c r="T8947" s="14" t="s">
        <v>66</v>
      </c>
      <c r="U8947" s="16" t="s">
        <v>49264</v>
      </c>
      <c r="V8947" s="14" t="s">
        <v>55460</v>
      </c>
      <c r="W8947" s="14" t="s">
        <v>49265</v>
      </c>
      <c r="X8947" s="17" t="str">
        <f>HYPERLINK("https://my.pitchbook.com?p=294069-52P","View People Online")</f>
        <v>View People Online</v>
      </c>
    </row>
    <row r="8948">
      <c r="A8948" s="2" t="s">
        <v>55463</v>
      </c>
      <c r="B8948" s="2" t="s">
        <v>55464</v>
      </c>
      <c r="C8948" s="2" t="s">
        <v>47337</v>
      </c>
      <c r="D8948" s="2" t="s">
        <v>607</v>
      </c>
      <c r="E8948" s="2" t="s">
        <v>49265</v>
      </c>
      <c r="F8948" s="2" t="s">
        <v>548</v>
      </c>
      <c r="G8948" s="2" t="s">
        <v>55465</v>
      </c>
      <c r="H8948" s="3" t="s">
        <v>31</v>
      </c>
      <c r="I8948" s="3">
        <v>1.0</v>
      </c>
      <c r="J8948" s="3">
        <v>1.0</v>
      </c>
      <c r="K8948" s="3" t="s">
        <v>31</v>
      </c>
      <c r="L8948" s="4" t="s">
        <v>55139</v>
      </c>
      <c r="M8948" s="2" t="s">
        <v>55466</v>
      </c>
      <c r="N8948" s="2" t="s">
        <v>155</v>
      </c>
      <c r="O8948" s="4" t="s">
        <v>156</v>
      </c>
      <c r="P8948" s="2" t="s">
        <v>49262</v>
      </c>
      <c r="Q8948" s="2" t="s">
        <v>49263</v>
      </c>
      <c r="R8948" s="2" t="s">
        <v>64</v>
      </c>
      <c r="S8948" s="4" t="s">
        <v>3487</v>
      </c>
      <c r="T8948" s="2" t="s">
        <v>66</v>
      </c>
      <c r="U8948" s="4" t="s">
        <v>49264</v>
      </c>
      <c r="V8948" s="2" t="s">
        <v>55467</v>
      </c>
      <c r="W8948" s="2" t="s">
        <v>49265</v>
      </c>
      <c r="X8948" s="5" t="str">
        <f>HYPERLINK("https://my.pitchbook.com?p=89021-53P","View People Online")</f>
        <v>View People Online</v>
      </c>
    </row>
    <row r="8949">
      <c r="A8949" s="14" t="s">
        <v>55468</v>
      </c>
      <c r="B8949" s="14" t="s">
        <v>55469</v>
      </c>
      <c r="C8949" s="14" t="s">
        <v>3228</v>
      </c>
      <c r="D8949" s="14" t="s">
        <v>5608</v>
      </c>
      <c r="E8949" s="14" t="s">
        <v>49265</v>
      </c>
      <c r="F8949" s="14" t="s">
        <v>12225</v>
      </c>
      <c r="G8949" s="14" t="s">
        <v>55470</v>
      </c>
      <c r="H8949" s="15">
        <v>1.0</v>
      </c>
      <c r="I8949" s="15">
        <v>6.0</v>
      </c>
      <c r="J8949" s="15">
        <v>1.0</v>
      </c>
      <c r="K8949" s="15">
        <v>4.0</v>
      </c>
      <c r="L8949" s="16" t="s">
        <v>55139</v>
      </c>
      <c r="M8949" s="14" t="s">
        <v>55471</v>
      </c>
      <c r="N8949" s="14" t="s">
        <v>155</v>
      </c>
      <c r="O8949" s="16" t="s">
        <v>156</v>
      </c>
      <c r="P8949" s="14" t="s">
        <v>49262</v>
      </c>
      <c r="Q8949" s="14" t="s">
        <v>49263</v>
      </c>
      <c r="R8949" s="14" t="s">
        <v>64</v>
      </c>
      <c r="S8949" s="16" t="s">
        <v>3487</v>
      </c>
      <c r="T8949" s="14" t="s">
        <v>66</v>
      </c>
      <c r="U8949" s="16" t="s">
        <v>49264</v>
      </c>
      <c r="V8949" s="14" t="s">
        <v>55472</v>
      </c>
      <c r="W8949" s="14" t="s">
        <v>49265</v>
      </c>
      <c r="X8949" s="17" t="str">
        <f>HYPERLINK("https://my.pitchbook.com?p=61824-70P","View People Online")</f>
        <v>View People Online</v>
      </c>
    </row>
    <row r="8950">
      <c r="A8950" s="10" t="s">
        <v>55473</v>
      </c>
      <c r="B8950" s="10" t="s">
        <v>55474</v>
      </c>
      <c r="C8950" s="10" t="s">
        <v>167</v>
      </c>
      <c r="D8950" s="10" t="s">
        <v>1672</v>
      </c>
      <c r="E8950" s="10" t="s">
        <v>49265</v>
      </c>
      <c r="F8950" s="10" t="s">
        <v>312</v>
      </c>
      <c r="G8950" s="10" t="s">
        <v>55475</v>
      </c>
      <c r="H8950" s="11" t="s">
        <v>31</v>
      </c>
      <c r="I8950" s="11">
        <v>1.0</v>
      </c>
      <c r="J8950" s="11">
        <v>1.0</v>
      </c>
      <c r="K8950" s="11" t="s">
        <v>31</v>
      </c>
      <c r="L8950" s="12" t="s">
        <v>55227</v>
      </c>
      <c r="M8950" s="10" t="s">
        <v>55476</v>
      </c>
      <c r="N8950" s="10" t="s">
        <v>155</v>
      </c>
      <c r="O8950" s="12" t="s">
        <v>156</v>
      </c>
      <c r="P8950" s="10" t="s">
        <v>49262</v>
      </c>
      <c r="Q8950" s="10" t="s">
        <v>49263</v>
      </c>
      <c r="R8950" s="10" t="s">
        <v>64</v>
      </c>
      <c r="S8950" s="12" t="s">
        <v>3487</v>
      </c>
      <c r="T8950" s="10" t="s">
        <v>66</v>
      </c>
      <c r="U8950" s="12" t="s">
        <v>49264</v>
      </c>
      <c r="V8950" s="10" t="s">
        <v>55477</v>
      </c>
      <c r="W8950" s="10" t="s">
        <v>49265</v>
      </c>
      <c r="X8950" s="13" t="str">
        <f>HYPERLINK("https://my.pitchbook.com?p=160330-24P","View People Online")</f>
        <v>View People Online</v>
      </c>
    </row>
    <row r="8951">
      <c r="A8951" s="6" t="s">
        <v>55478</v>
      </c>
      <c r="B8951" s="6" t="s">
        <v>55479</v>
      </c>
      <c r="C8951" s="6" t="s">
        <v>2388</v>
      </c>
      <c r="D8951" s="6" t="s">
        <v>7009</v>
      </c>
      <c r="E8951" s="6" t="s">
        <v>49265</v>
      </c>
      <c r="F8951" s="6" t="s">
        <v>312</v>
      </c>
      <c r="G8951" s="6" t="s">
        <v>55480</v>
      </c>
      <c r="H8951" s="7">
        <v>1.0</v>
      </c>
      <c r="I8951" s="7">
        <v>2.0</v>
      </c>
      <c r="J8951" s="7">
        <v>1.0</v>
      </c>
      <c r="K8951" s="7" t="s">
        <v>31</v>
      </c>
      <c r="L8951" s="8" t="s">
        <v>55139</v>
      </c>
      <c r="M8951" s="6" t="s">
        <v>55481</v>
      </c>
      <c r="N8951" s="6" t="s">
        <v>155</v>
      </c>
      <c r="O8951" s="8" t="s">
        <v>156</v>
      </c>
      <c r="P8951" s="6" t="s">
        <v>49262</v>
      </c>
      <c r="Q8951" s="6" t="s">
        <v>49263</v>
      </c>
      <c r="R8951" s="6" t="s">
        <v>64</v>
      </c>
      <c r="S8951" s="8" t="s">
        <v>3487</v>
      </c>
      <c r="T8951" s="6" t="s">
        <v>66</v>
      </c>
      <c r="U8951" s="8" t="s">
        <v>49264</v>
      </c>
      <c r="V8951" s="6" t="s">
        <v>55482</v>
      </c>
      <c r="W8951" s="6" t="s">
        <v>49265</v>
      </c>
      <c r="X8951" s="9" t="str">
        <f>HYPERLINK("https://my.pitchbook.com?p=292299-22P","View People Online")</f>
        <v>View People Online</v>
      </c>
    </row>
    <row r="8952">
      <c r="A8952" s="2" t="s">
        <v>55483</v>
      </c>
      <c r="B8952" s="2" t="s">
        <v>55484</v>
      </c>
      <c r="C8952" s="2" t="s">
        <v>20908</v>
      </c>
      <c r="D8952" s="2" t="s">
        <v>55485</v>
      </c>
      <c r="E8952" s="2" t="s">
        <v>49265</v>
      </c>
      <c r="F8952" s="2" t="s">
        <v>318</v>
      </c>
      <c r="G8952" s="2" t="s">
        <v>55486</v>
      </c>
      <c r="H8952" s="3" t="s">
        <v>31</v>
      </c>
      <c r="I8952" s="3">
        <v>1.0</v>
      </c>
      <c r="J8952" s="3">
        <v>1.0</v>
      </c>
      <c r="K8952" s="3" t="s">
        <v>31</v>
      </c>
      <c r="L8952" s="4" t="s">
        <v>55139</v>
      </c>
      <c r="M8952" s="2" t="s">
        <v>55487</v>
      </c>
      <c r="N8952" s="2" t="s">
        <v>155</v>
      </c>
      <c r="O8952" s="4" t="s">
        <v>156</v>
      </c>
      <c r="P8952" s="2" t="s">
        <v>49262</v>
      </c>
      <c r="Q8952" s="2" t="s">
        <v>49263</v>
      </c>
      <c r="R8952" s="2" t="s">
        <v>64</v>
      </c>
      <c r="S8952" s="4" t="s">
        <v>3487</v>
      </c>
      <c r="T8952" s="2" t="s">
        <v>66</v>
      </c>
      <c r="U8952" s="4" t="s">
        <v>49264</v>
      </c>
      <c r="V8952" s="2" t="s">
        <v>55488</v>
      </c>
      <c r="W8952" s="2" t="s">
        <v>49265</v>
      </c>
      <c r="X8952" s="5" t="str">
        <f>HYPERLINK("https://my.pitchbook.com?p=367983-73P","View People Online")</f>
        <v>View People Online</v>
      </c>
    </row>
    <row r="8953">
      <c r="A8953" s="6" t="s">
        <v>55489</v>
      </c>
      <c r="B8953" s="6" t="s">
        <v>55490</v>
      </c>
      <c r="C8953" s="6" t="s">
        <v>12177</v>
      </c>
      <c r="D8953" s="6" t="s">
        <v>52662</v>
      </c>
      <c r="E8953" s="6" t="s">
        <v>49265</v>
      </c>
      <c r="F8953" s="6" t="s">
        <v>548</v>
      </c>
      <c r="G8953" s="6" t="s">
        <v>55491</v>
      </c>
      <c r="H8953" s="7" t="s">
        <v>31</v>
      </c>
      <c r="I8953" s="7">
        <v>1.0</v>
      </c>
      <c r="J8953" s="7">
        <v>1.0</v>
      </c>
      <c r="K8953" s="7" t="s">
        <v>31</v>
      </c>
      <c r="L8953" s="8" t="s">
        <v>55139</v>
      </c>
      <c r="M8953" s="6" t="s">
        <v>55492</v>
      </c>
      <c r="N8953" s="6" t="s">
        <v>155</v>
      </c>
      <c r="O8953" s="8" t="s">
        <v>156</v>
      </c>
      <c r="P8953" s="6" t="s">
        <v>49262</v>
      </c>
      <c r="Q8953" s="6" t="s">
        <v>49263</v>
      </c>
      <c r="R8953" s="6" t="s">
        <v>64</v>
      </c>
      <c r="S8953" s="8" t="s">
        <v>3487</v>
      </c>
      <c r="T8953" s="6" t="s">
        <v>66</v>
      </c>
      <c r="U8953" s="8" t="s">
        <v>49264</v>
      </c>
      <c r="V8953" s="6" t="s">
        <v>55493</v>
      </c>
      <c r="W8953" s="6" t="s">
        <v>49265</v>
      </c>
      <c r="X8953" s="9" t="str">
        <f>HYPERLINK("https://my.pitchbook.com?p=62087-59P","View People Online")</f>
        <v>View People Online</v>
      </c>
    </row>
    <row r="8954">
      <c r="A8954" s="10" t="s">
        <v>55494</v>
      </c>
      <c r="B8954" s="10" t="s">
        <v>55495</v>
      </c>
      <c r="C8954" s="10" t="s">
        <v>41964</v>
      </c>
      <c r="D8954" s="10" t="s">
        <v>25990</v>
      </c>
      <c r="E8954" s="10" t="s">
        <v>49265</v>
      </c>
      <c r="F8954" s="10" t="s">
        <v>1801</v>
      </c>
      <c r="G8954" s="10" t="s">
        <v>55496</v>
      </c>
      <c r="H8954" s="11" t="s">
        <v>31</v>
      </c>
      <c r="I8954" s="11">
        <v>1.0</v>
      </c>
      <c r="J8954" s="11">
        <v>1.0</v>
      </c>
      <c r="K8954" s="11" t="s">
        <v>31</v>
      </c>
      <c r="L8954" s="12" t="s">
        <v>55497</v>
      </c>
      <c r="M8954" s="10" t="s">
        <v>55498</v>
      </c>
      <c r="N8954" s="10" t="s">
        <v>155</v>
      </c>
      <c r="O8954" s="12" t="s">
        <v>156</v>
      </c>
      <c r="P8954" s="10" t="s">
        <v>49262</v>
      </c>
      <c r="Q8954" s="10" t="s">
        <v>49263</v>
      </c>
      <c r="R8954" s="10" t="s">
        <v>64</v>
      </c>
      <c r="S8954" s="12" t="s">
        <v>3487</v>
      </c>
      <c r="T8954" s="10" t="s">
        <v>66</v>
      </c>
      <c r="U8954" s="12" t="s">
        <v>49264</v>
      </c>
      <c r="V8954" s="10" t="s">
        <v>55499</v>
      </c>
      <c r="W8954" s="10" t="s">
        <v>49265</v>
      </c>
      <c r="X8954" s="13" t="str">
        <f>HYPERLINK("https://my.pitchbook.com?p=367979-59P","View People Online")</f>
        <v>View People Online</v>
      </c>
    </row>
    <row r="8955">
      <c r="A8955" s="6" t="s">
        <v>55500</v>
      </c>
      <c r="B8955" s="6" t="s">
        <v>55501</v>
      </c>
      <c r="C8955" s="6" t="s">
        <v>536</v>
      </c>
      <c r="D8955" s="6" t="s">
        <v>55502</v>
      </c>
      <c r="E8955" s="6" t="s">
        <v>49265</v>
      </c>
      <c r="F8955" s="6" t="s">
        <v>52620</v>
      </c>
      <c r="G8955" s="6" t="s">
        <v>55503</v>
      </c>
      <c r="H8955" s="7" t="s">
        <v>31</v>
      </c>
      <c r="I8955" s="7">
        <v>1.0</v>
      </c>
      <c r="J8955" s="7">
        <v>1.0</v>
      </c>
      <c r="K8955" s="7" t="s">
        <v>31</v>
      </c>
      <c r="L8955" s="8" t="s">
        <v>55364</v>
      </c>
      <c r="M8955" s="6" t="s">
        <v>55504</v>
      </c>
      <c r="N8955" s="6" t="s">
        <v>155</v>
      </c>
      <c r="O8955" s="8" t="s">
        <v>156</v>
      </c>
      <c r="P8955" s="6" t="s">
        <v>49262</v>
      </c>
      <c r="Q8955" s="6" t="s">
        <v>49263</v>
      </c>
      <c r="R8955" s="6" t="s">
        <v>64</v>
      </c>
      <c r="S8955" s="8" t="s">
        <v>3487</v>
      </c>
      <c r="T8955" s="6" t="s">
        <v>66</v>
      </c>
      <c r="U8955" s="8" t="s">
        <v>49264</v>
      </c>
      <c r="V8955" s="6" t="s">
        <v>55505</v>
      </c>
      <c r="W8955" s="6" t="s">
        <v>49265</v>
      </c>
      <c r="X8955" s="9" t="str">
        <f>HYPERLINK("https://my.pitchbook.com?p=298238-86P","View People Online")</f>
        <v>View People Online</v>
      </c>
    </row>
    <row r="8956">
      <c r="A8956" s="10" t="s">
        <v>55506</v>
      </c>
      <c r="B8956" s="10" t="s">
        <v>55507</v>
      </c>
      <c r="C8956" s="10" t="s">
        <v>536</v>
      </c>
      <c r="D8956" s="10" t="s">
        <v>3089</v>
      </c>
      <c r="E8956" s="10" t="s">
        <v>49265</v>
      </c>
      <c r="F8956" s="10" t="s">
        <v>1283</v>
      </c>
      <c r="G8956" s="10" t="s">
        <v>55508</v>
      </c>
      <c r="H8956" s="11">
        <v>1.0</v>
      </c>
      <c r="I8956" s="11">
        <v>27.0</v>
      </c>
      <c r="J8956" s="11">
        <v>2.0</v>
      </c>
      <c r="K8956" s="11">
        <v>22.0</v>
      </c>
      <c r="L8956" s="12" t="s">
        <v>55139</v>
      </c>
      <c r="M8956" s="10" t="s">
        <v>55509</v>
      </c>
      <c r="N8956" s="10" t="s">
        <v>155</v>
      </c>
      <c r="O8956" s="12" t="s">
        <v>156</v>
      </c>
      <c r="P8956" s="10" t="s">
        <v>49262</v>
      </c>
      <c r="Q8956" s="10" t="s">
        <v>49263</v>
      </c>
      <c r="R8956" s="10" t="s">
        <v>64</v>
      </c>
      <c r="S8956" s="12" t="s">
        <v>3487</v>
      </c>
      <c r="T8956" s="10" t="s">
        <v>66</v>
      </c>
      <c r="U8956" s="12" t="s">
        <v>49264</v>
      </c>
      <c r="V8956" s="10" t="s">
        <v>55510</v>
      </c>
      <c r="W8956" s="10" t="s">
        <v>49265</v>
      </c>
      <c r="X8956" s="13" t="str">
        <f>HYPERLINK("https://my.pitchbook.com?p=89024-59P","View People Online")</f>
        <v>View People Online</v>
      </c>
    </row>
    <row r="8957">
      <c r="A8957" s="6" t="s">
        <v>55511</v>
      </c>
      <c r="B8957" s="6" t="s">
        <v>55512</v>
      </c>
      <c r="C8957" s="6" t="s">
        <v>3370</v>
      </c>
      <c r="D8957" s="6" t="s">
        <v>1277</v>
      </c>
      <c r="E8957" s="6" t="s">
        <v>49265</v>
      </c>
      <c r="F8957" s="6" t="s">
        <v>1544</v>
      </c>
      <c r="G8957" s="6" t="s">
        <v>55513</v>
      </c>
      <c r="H8957" s="7">
        <v>6.0</v>
      </c>
      <c r="I8957" s="7">
        <v>10.0</v>
      </c>
      <c r="J8957" s="7">
        <v>1.0</v>
      </c>
      <c r="K8957" s="7">
        <v>1.0</v>
      </c>
      <c r="L8957" s="8" t="s">
        <v>55514</v>
      </c>
      <c r="M8957" s="6" t="s">
        <v>55515</v>
      </c>
      <c r="N8957" s="6" t="s">
        <v>155</v>
      </c>
      <c r="O8957" s="8" t="s">
        <v>156</v>
      </c>
      <c r="P8957" s="6" t="s">
        <v>49262</v>
      </c>
      <c r="Q8957" s="6" t="s">
        <v>49263</v>
      </c>
      <c r="R8957" s="6" t="s">
        <v>64</v>
      </c>
      <c r="S8957" s="8" t="s">
        <v>3487</v>
      </c>
      <c r="T8957" s="6" t="s">
        <v>66</v>
      </c>
      <c r="U8957" s="8" t="s">
        <v>49264</v>
      </c>
      <c r="V8957" s="6" t="s">
        <v>2379</v>
      </c>
      <c r="W8957" s="6" t="s">
        <v>49265</v>
      </c>
      <c r="X8957" s="9" t="str">
        <f>HYPERLINK("https://my.pitchbook.com?p=36373-15P","View People Online")</f>
        <v>View People Online</v>
      </c>
    </row>
    <row r="8958">
      <c r="A8958" s="2" t="s">
        <v>55516</v>
      </c>
      <c r="B8958" s="2" t="s">
        <v>55517</v>
      </c>
      <c r="C8958" s="2" t="s">
        <v>55518</v>
      </c>
      <c r="D8958" s="2" t="s">
        <v>55519</v>
      </c>
      <c r="E8958" s="2" t="s">
        <v>49265</v>
      </c>
      <c r="F8958" s="2" t="s">
        <v>13066</v>
      </c>
      <c r="G8958" s="2" t="s">
        <v>55520</v>
      </c>
      <c r="H8958" s="3" t="s">
        <v>31</v>
      </c>
      <c r="I8958" s="3">
        <v>1.0</v>
      </c>
      <c r="J8958" s="3">
        <v>1.0</v>
      </c>
      <c r="K8958" s="3" t="s">
        <v>31</v>
      </c>
      <c r="L8958" s="4" t="s">
        <v>55139</v>
      </c>
      <c r="M8958" s="2" t="s">
        <v>55521</v>
      </c>
      <c r="N8958" s="2" t="s">
        <v>155</v>
      </c>
      <c r="O8958" s="4" t="s">
        <v>156</v>
      </c>
      <c r="P8958" s="2" t="s">
        <v>49262</v>
      </c>
      <c r="Q8958" s="2" t="s">
        <v>49263</v>
      </c>
      <c r="R8958" s="2" t="s">
        <v>64</v>
      </c>
      <c r="S8958" s="4" t="s">
        <v>3487</v>
      </c>
      <c r="T8958" s="2" t="s">
        <v>66</v>
      </c>
      <c r="U8958" s="4" t="s">
        <v>49264</v>
      </c>
      <c r="V8958" s="2" t="s">
        <v>55522</v>
      </c>
      <c r="W8958" s="2" t="s">
        <v>49265</v>
      </c>
      <c r="X8958" s="5" t="str">
        <f>HYPERLINK("https://my.pitchbook.com?p=356203-18P","View People Online")</f>
        <v>View People Online</v>
      </c>
    </row>
    <row r="8959">
      <c r="A8959" s="14" t="s">
        <v>55523</v>
      </c>
      <c r="B8959" s="14" t="s">
        <v>55524</v>
      </c>
      <c r="C8959" s="14" t="s">
        <v>1376</v>
      </c>
      <c r="D8959" s="14" t="s">
        <v>14888</v>
      </c>
      <c r="E8959" s="14" t="s">
        <v>49265</v>
      </c>
      <c r="F8959" s="14" t="s">
        <v>2532</v>
      </c>
      <c r="G8959" s="14" t="s">
        <v>55525</v>
      </c>
      <c r="H8959" s="15" t="s">
        <v>31</v>
      </c>
      <c r="I8959" s="15">
        <v>1.0</v>
      </c>
      <c r="J8959" s="15">
        <v>1.0</v>
      </c>
      <c r="K8959" s="15" t="s">
        <v>31</v>
      </c>
      <c r="L8959" s="16" t="s">
        <v>55139</v>
      </c>
      <c r="M8959" s="14" t="s">
        <v>55526</v>
      </c>
      <c r="N8959" s="14" t="s">
        <v>155</v>
      </c>
      <c r="O8959" s="16" t="s">
        <v>156</v>
      </c>
      <c r="P8959" s="14" t="s">
        <v>49262</v>
      </c>
      <c r="Q8959" s="14" t="s">
        <v>49263</v>
      </c>
      <c r="R8959" s="14" t="s">
        <v>64</v>
      </c>
      <c r="S8959" s="16" t="s">
        <v>3487</v>
      </c>
      <c r="T8959" s="14" t="s">
        <v>66</v>
      </c>
      <c r="U8959" s="16" t="s">
        <v>49264</v>
      </c>
      <c r="V8959" s="14" t="s">
        <v>55527</v>
      </c>
      <c r="W8959" s="14" t="s">
        <v>49265</v>
      </c>
      <c r="X8959" s="17" t="str">
        <f>HYPERLINK("https://my.pitchbook.com?p=110727-01P","View People Online")</f>
        <v>View People Online</v>
      </c>
    </row>
    <row r="8960">
      <c r="A8960" s="2" t="s">
        <v>55528</v>
      </c>
      <c r="B8960" s="2" t="s">
        <v>55529</v>
      </c>
      <c r="C8960" s="2" t="s">
        <v>3716</v>
      </c>
      <c r="D8960" s="2" t="s">
        <v>55530</v>
      </c>
      <c r="E8960" s="2" t="s">
        <v>49265</v>
      </c>
      <c r="F8960" s="2" t="s">
        <v>3740</v>
      </c>
      <c r="G8960" s="2" t="s">
        <v>55531</v>
      </c>
      <c r="H8960" s="3" t="s">
        <v>31</v>
      </c>
      <c r="I8960" s="3">
        <v>2.0</v>
      </c>
      <c r="J8960" s="3">
        <v>1.0</v>
      </c>
      <c r="K8960" s="3" t="s">
        <v>31</v>
      </c>
      <c r="L8960" s="4" t="s">
        <v>55139</v>
      </c>
      <c r="M8960" s="2" t="s">
        <v>55532</v>
      </c>
      <c r="N8960" s="2" t="s">
        <v>155</v>
      </c>
      <c r="O8960" s="4" t="s">
        <v>156</v>
      </c>
      <c r="P8960" s="2" t="s">
        <v>49262</v>
      </c>
      <c r="Q8960" s="2" t="s">
        <v>49263</v>
      </c>
      <c r="R8960" s="2" t="s">
        <v>64</v>
      </c>
      <c r="S8960" s="4" t="s">
        <v>3487</v>
      </c>
      <c r="T8960" s="2" t="s">
        <v>66</v>
      </c>
      <c r="U8960" s="4" t="s">
        <v>49264</v>
      </c>
      <c r="V8960" s="2" t="s">
        <v>55533</v>
      </c>
      <c r="W8960" s="2" t="s">
        <v>49265</v>
      </c>
      <c r="X8960" s="5" t="str">
        <f>HYPERLINK("https://my.pitchbook.com?p=123100-93P","View People Online")</f>
        <v>View People Online</v>
      </c>
    </row>
    <row r="8961">
      <c r="A8961" s="14" t="s">
        <v>55534</v>
      </c>
      <c r="B8961" s="14" t="s">
        <v>55535</v>
      </c>
      <c r="C8961" s="14" t="s">
        <v>3716</v>
      </c>
      <c r="D8961" s="14" t="s">
        <v>11992</v>
      </c>
      <c r="E8961" s="14" t="s">
        <v>49265</v>
      </c>
      <c r="F8961" s="14" t="s">
        <v>270</v>
      </c>
      <c r="G8961" s="14" t="s">
        <v>55536</v>
      </c>
      <c r="H8961" s="15" t="s">
        <v>31</v>
      </c>
      <c r="I8961" s="15">
        <v>1.0</v>
      </c>
      <c r="J8961" s="15">
        <v>1.0</v>
      </c>
      <c r="K8961" s="15" t="s">
        <v>31</v>
      </c>
      <c r="L8961" s="16" t="s">
        <v>55537</v>
      </c>
      <c r="M8961" s="14" t="s">
        <v>55538</v>
      </c>
      <c r="N8961" s="14" t="s">
        <v>155</v>
      </c>
      <c r="O8961" s="16" t="s">
        <v>156</v>
      </c>
      <c r="P8961" s="14" t="s">
        <v>49262</v>
      </c>
      <c r="Q8961" s="14" t="s">
        <v>49263</v>
      </c>
      <c r="R8961" s="14" t="s">
        <v>64</v>
      </c>
      <c r="S8961" s="16" t="s">
        <v>3487</v>
      </c>
      <c r="T8961" s="14" t="s">
        <v>66</v>
      </c>
      <c r="U8961" s="16" t="s">
        <v>49264</v>
      </c>
      <c r="V8961" s="14" t="s">
        <v>55539</v>
      </c>
      <c r="W8961" s="14" t="s">
        <v>49265</v>
      </c>
      <c r="X8961" s="17" t="str">
        <f>HYPERLINK("https://my.pitchbook.com?p=98818-93P","View People Online")</f>
        <v>View People Online</v>
      </c>
    </row>
    <row r="8962">
      <c r="A8962" s="10" t="s">
        <v>55540</v>
      </c>
      <c r="B8962" s="10" t="s">
        <v>55541</v>
      </c>
      <c r="C8962" s="10" t="s">
        <v>21845</v>
      </c>
      <c r="D8962" s="10" t="s">
        <v>55542</v>
      </c>
      <c r="E8962" s="10" t="s">
        <v>49265</v>
      </c>
      <c r="F8962" s="10" t="s">
        <v>7608</v>
      </c>
      <c r="G8962" s="10" t="s">
        <v>55543</v>
      </c>
      <c r="H8962" s="11" t="s">
        <v>31</v>
      </c>
      <c r="I8962" s="11">
        <v>6.0</v>
      </c>
      <c r="J8962" s="11">
        <v>1.0</v>
      </c>
      <c r="K8962" s="11">
        <v>3.0</v>
      </c>
      <c r="L8962" s="12" t="s">
        <v>55544</v>
      </c>
      <c r="M8962" s="10" t="s">
        <v>55545</v>
      </c>
      <c r="N8962" s="10" t="s">
        <v>155</v>
      </c>
      <c r="O8962" s="12" t="s">
        <v>156</v>
      </c>
      <c r="P8962" s="10" t="s">
        <v>49262</v>
      </c>
      <c r="Q8962" s="10" t="s">
        <v>49263</v>
      </c>
      <c r="R8962" s="10" t="s">
        <v>64</v>
      </c>
      <c r="S8962" s="12" t="s">
        <v>3487</v>
      </c>
      <c r="T8962" s="10" t="s">
        <v>66</v>
      </c>
      <c r="U8962" s="12" t="s">
        <v>49264</v>
      </c>
      <c r="V8962" s="10" t="s">
        <v>55546</v>
      </c>
      <c r="W8962" s="10" t="s">
        <v>49265</v>
      </c>
      <c r="X8962" s="13" t="str">
        <f>HYPERLINK("https://my.pitchbook.com?p=186047-29P","View People Online")</f>
        <v>View People Online</v>
      </c>
    </row>
    <row r="8963">
      <c r="A8963" s="14" t="s">
        <v>55547</v>
      </c>
      <c r="B8963" s="14" t="s">
        <v>55548</v>
      </c>
      <c r="C8963" s="14" t="s">
        <v>55549</v>
      </c>
      <c r="D8963" s="14" t="s">
        <v>55550</v>
      </c>
      <c r="E8963" s="14" t="s">
        <v>49265</v>
      </c>
      <c r="F8963" s="14" t="s">
        <v>270</v>
      </c>
      <c r="G8963" s="14" t="s">
        <v>55551</v>
      </c>
      <c r="H8963" s="15">
        <v>1.0</v>
      </c>
      <c r="I8963" s="15">
        <v>2.0</v>
      </c>
      <c r="J8963" s="15">
        <v>1.0</v>
      </c>
      <c r="K8963" s="15" t="s">
        <v>31</v>
      </c>
      <c r="L8963" s="16" t="s">
        <v>55139</v>
      </c>
      <c r="M8963" s="14" t="s">
        <v>55552</v>
      </c>
      <c r="N8963" s="14" t="s">
        <v>155</v>
      </c>
      <c r="O8963" s="16" t="s">
        <v>156</v>
      </c>
      <c r="P8963" s="14" t="s">
        <v>49262</v>
      </c>
      <c r="Q8963" s="14" t="s">
        <v>49263</v>
      </c>
      <c r="R8963" s="14" t="s">
        <v>64</v>
      </c>
      <c r="S8963" s="16" t="s">
        <v>3487</v>
      </c>
      <c r="T8963" s="14" t="s">
        <v>66</v>
      </c>
      <c r="U8963" s="16" t="s">
        <v>49264</v>
      </c>
      <c r="V8963" s="14" t="s">
        <v>55553</v>
      </c>
      <c r="W8963" s="14" t="s">
        <v>49265</v>
      </c>
      <c r="X8963" s="17" t="str">
        <f>HYPERLINK("https://my.pitchbook.com?p=217607-95P","View People Online")</f>
        <v>View People Online</v>
      </c>
    </row>
    <row r="8964">
      <c r="A8964" s="2" t="s">
        <v>55554</v>
      </c>
      <c r="B8964" s="2" t="s">
        <v>55555</v>
      </c>
      <c r="C8964" s="2" t="s">
        <v>4673</v>
      </c>
      <c r="D8964" s="2" t="s">
        <v>45051</v>
      </c>
      <c r="E8964" s="2" t="s">
        <v>49265</v>
      </c>
      <c r="F8964" s="2" t="s">
        <v>3740</v>
      </c>
      <c r="G8964" s="2" t="s">
        <v>55556</v>
      </c>
      <c r="H8964" s="3" t="s">
        <v>31</v>
      </c>
      <c r="I8964" s="3">
        <v>1.0</v>
      </c>
      <c r="J8964" s="3">
        <v>1.0</v>
      </c>
      <c r="K8964" s="3" t="s">
        <v>31</v>
      </c>
      <c r="L8964" s="4" t="s">
        <v>55227</v>
      </c>
      <c r="M8964" s="2" t="s">
        <v>55557</v>
      </c>
      <c r="N8964" s="2" t="s">
        <v>7690</v>
      </c>
      <c r="O8964" s="4" t="s">
        <v>7691</v>
      </c>
      <c r="P8964" s="2" t="s">
        <v>31</v>
      </c>
      <c r="Q8964" s="2" t="s">
        <v>31</v>
      </c>
      <c r="R8964" s="2" t="s">
        <v>7693</v>
      </c>
      <c r="S8964" s="4" t="s">
        <v>31</v>
      </c>
      <c r="T8964" s="2" t="s">
        <v>66</v>
      </c>
      <c r="U8964" s="4" t="s">
        <v>31</v>
      </c>
      <c r="V8964" s="2" t="s">
        <v>55558</v>
      </c>
      <c r="W8964" s="2" t="s">
        <v>49265</v>
      </c>
      <c r="X8964" s="5" t="str">
        <f>HYPERLINK("https://my.pitchbook.com?p=126486-01P","View People Online")</f>
        <v>View People Online</v>
      </c>
    </row>
    <row r="8965">
      <c r="A8965" s="14" t="s">
        <v>55559</v>
      </c>
      <c r="B8965" s="14" t="s">
        <v>55560</v>
      </c>
      <c r="C8965" s="14" t="s">
        <v>28721</v>
      </c>
      <c r="D8965" s="14" t="s">
        <v>27348</v>
      </c>
      <c r="E8965" s="14" t="s">
        <v>49265</v>
      </c>
      <c r="F8965" s="14" t="s">
        <v>39646</v>
      </c>
      <c r="G8965" s="14" t="s">
        <v>55561</v>
      </c>
      <c r="H8965" s="15">
        <v>1.0</v>
      </c>
      <c r="I8965" s="15">
        <v>2.0</v>
      </c>
      <c r="J8965" s="15">
        <v>1.0</v>
      </c>
      <c r="K8965" s="15" t="s">
        <v>31</v>
      </c>
      <c r="L8965" s="16" t="s">
        <v>55139</v>
      </c>
      <c r="M8965" s="14" t="s">
        <v>55562</v>
      </c>
      <c r="N8965" s="14" t="s">
        <v>155</v>
      </c>
      <c r="O8965" s="16" t="s">
        <v>156</v>
      </c>
      <c r="P8965" s="14" t="s">
        <v>49262</v>
      </c>
      <c r="Q8965" s="14" t="s">
        <v>49263</v>
      </c>
      <c r="R8965" s="14" t="s">
        <v>64</v>
      </c>
      <c r="S8965" s="16" t="s">
        <v>3487</v>
      </c>
      <c r="T8965" s="14" t="s">
        <v>66</v>
      </c>
      <c r="U8965" s="16" t="s">
        <v>49264</v>
      </c>
      <c r="V8965" s="14" t="s">
        <v>39646</v>
      </c>
      <c r="W8965" s="14" t="s">
        <v>49265</v>
      </c>
      <c r="X8965" s="17" t="str">
        <f>HYPERLINK("https://my.pitchbook.com?p=262790-20P","View People Online")</f>
        <v>View People Online</v>
      </c>
    </row>
    <row r="8966">
      <c r="A8966" s="2" t="s">
        <v>55563</v>
      </c>
      <c r="B8966" s="2" t="s">
        <v>55564</v>
      </c>
      <c r="C8966" s="2" t="s">
        <v>55565</v>
      </c>
      <c r="D8966" s="2" t="s">
        <v>55566</v>
      </c>
      <c r="E8966" s="2" t="s">
        <v>49265</v>
      </c>
      <c r="F8966" s="2" t="s">
        <v>371</v>
      </c>
      <c r="G8966" s="2" t="s">
        <v>55567</v>
      </c>
      <c r="H8966" s="3" t="s">
        <v>31</v>
      </c>
      <c r="I8966" s="3">
        <v>1.0</v>
      </c>
      <c r="J8966" s="3">
        <v>1.0</v>
      </c>
      <c r="K8966" s="3" t="s">
        <v>31</v>
      </c>
      <c r="L8966" s="4" t="s">
        <v>55139</v>
      </c>
      <c r="M8966" s="2" t="s">
        <v>55568</v>
      </c>
      <c r="N8966" s="2" t="s">
        <v>155</v>
      </c>
      <c r="O8966" s="4" t="s">
        <v>156</v>
      </c>
      <c r="P8966" s="2" t="s">
        <v>49262</v>
      </c>
      <c r="Q8966" s="2" t="s">
        <v>49263</v>
      </c>
      <c r="R8966" s="2" t="s">
        <v>64</v>
      </c>
      <c r="S8966" s="4" t="s">
        <v>3487</v>
      </c>
      <c r="T8966" s="2" t="s">
        <v>66</v>
      </c>
      <c r="U8966" s="4" t="s">
        <v>49264</v>
      </c>
      <c r="V8966" s="2" t="s">
        <v>55569</v>
      </c>
      <c r="W8966" s="2" t="s">
        <v>49265</v>
      </c>
      <c r="X8966" s="5" t="str">
        <f>HYPERLINK("https://my.pitchbook.com?p=275354-83P","View People Online")</f>
        <v>View People Online</v>
      </c>
    </row>
    <row r="8967">
      <c r="A8967" s="14" t="s">
        <v>55570</v>
      </c>
      <c r="B8967" s="14" t="s">
        <v>55571</v>
      </c>
      <c r="C8967" s="14" t="s">
        <v>25331</v>
      </c>
      <c r="D8967" s="14" t="s">
        <v>55572</v>
      </c>
      <c r="E8967" s="14" t="s">
        <v>49265</v>
      </c>
      <c r="F8967" s="14" t="s">
        <v>7608</v>
      </c>
      <c r="G8967" s="14" t="s">
        <v>55573</v>
      </c>
      <c r="H8967" s="15">
        <v>1.0</v>
      </c>
      <c r="I8967" s="15">
        <v>5.0</v>
      </c>
      <c r="J8967" s="15">
        <v>2.0</v>
      </c>
      <c r="K8967" s="15">
        <v>1.0</v>
      </c>
      <c r="L8967" s="16" t="s">
        <v>55139</v>
      </c>
      <c r="M8967" s="14" t="s">
        <v>55574</v>
      </c>
      <c r="N8967" s="14" t="s">
        <v>155</v>
      </c>
      <c r="O8967" s="16" t="s">
        <v>156</v>
      </c>
      <c r="P8967" s="14" t="s">
        <v>49262</v>
      </c>
      <c r="Q8967" s="14" t="s">
        <v>49263</v>
      </c>
      <c r="R8967" s="14" t="s">
        <v>64</v>
      </c>
      <c r="S8967" s="16" t="s">
        <v>3487</v>
      </c>
      <c r="T8967" s="14" t="s">
        <v>66</v>
      </c>
      <c r="U8967" s="16" t="s">
        <v>49264</v>
      </c>
      <c r="V8967" s="14" t="s">
        <v>55575</v>
      </c>
      <c r="W8967" s="14" t="s">
        <v>49265</v>
      </c>
      <c r="X8967" s="17" t="str">
        <f>HYPERLINK("https://my.pitchbook.com?p=74250-46P","View People Online")</f>
        <v>View People Online</v>
      </c>
    </row>
    <row r="8968">
      <c r="A8968" s="2" t="s">
        <v>55576</v>
      </c>
      <c r="B8968" s="2" t="s">
        <v>55577</v>
      </c>
      <c r="C8968" s="2" t="s">
        <v>14256</v>
      </c>
      <c r="D8968" s="2" t="s">
        <v>55578</v>
      </c>
      <c r="E8968" s="2" t="s">
        <v>49265</v>
      </c>
      <c r="F8968" s="2" t="s">
        <v>371</v>
      </c>
      <c r="G8968" s="2" t="s">
        <v>55579</v>
      </c>
      <c r="H8968" s="3" t="s">
        <v>31</v>
      </c>
      <c r="I8968" s="3">
        <v>1.0</v>
      </c>
      <c r="J8968" s="3">
        <v>1.0</v>
      </c>
      <c r="K8968" s="3" t="s">
        <v>31</v>
      </c>
      <c r="L8968" s="4" t="s">
        <v>55139</v>
      </c>
      <c r="M8968" s="2" t="s">
        <v>55580</v>
      </c>
      <c r="N8968" s="2" t="s">
        <v>155</v>
      </c>
      <c r="O8968" s="4" t="s">
        <v>156</v>
      </c>
      <c r="P8968" s="2" t="s">
        <v>49262</v>
      </c>
      <c r="Q8968" s="2" t="s">
        <v>49263</v>
      </c>
      <c r="R8968" s="2" t="s">
        <v>64</v>
      </c>
      <c r="S8968" s="4" t="s">
        <v>3487</v>
      </c>
      <c r="T8968" s="2" t="s">
        <v>66</v>
      </c>
      <c r="U8968" s="4" t="s">
        <v>49264</v>
      </c>
      <c r="V8968" s="2" t="s">
        <v>55581</v>
      </c>
      <c r="W8968" s="2" t="s">
        <v>49265</v>
      </c>
      <c r="X8968" s="5" t="str">
        <f>HYPERLINK("https://my.pitchbook.com?p=234527-68P","View People Online")</f>
        <v>View People Online</v>
      </c>
    </row>
    <row r="8969">
      <c r="A8969" s="6" t="s">
        <v>55582</v>
      </c>
      <c r="B8969" s="6" t="s">
        <v>55583</v>
      </c>
      <c r="C8969" s="6" t="s">
        <v>2483</v>
      </c>
      <c r="D8969" s="6" t="s">
        <v>21335</v>
      </c>
      <c r="E8969" s="6" t="s">
        <v>49265</v>
      </c>
      <c r="F8969" s="6" t="s">
        <v>318</v>
      </c>
      <c r="G8969" s="6" t="s">
        <v>55584</v>
      </c>
      <c r="H8969" s="7" t="s">
        <v>31</v>
      </c>
      <c r="I8969" s="7">
        <v>1.0</v>
      </c>
      <c r="J8969" s="7">
        <v>1.0</v>
      </c>
      <c r="K8969" s="7" t="s">
        <v>31</v>
      </c>
      <c r="L8969" s="8" t="s">
        <v>55139</v>
      </c>
      <c r="M8969" s="6" t="s">
        <v>55585</v>
      </c>
      <c r="N8969" s="6" t="s">
        <v>155</v>
      </c>
      <c r="O8969" s="8" t="s">
        <v>156</v>
      </c>
      <c r="P8969" s="6" t="s">
        <v>49262</v>
      </c>
      <c r="Q8969" s="6" t="s">
        <v>49263</v>
      </c>
      <c r="R8969" s="6" t="s">
        <v>64</v>
      </c>
      <c r="S8969" s="8" t="s">
        <v>3487</v>
      </c>
      <c r="T8969" s="6" t="s">
        <v>66</v>
      </c>
      <c r="U8969" s="8" t="s">
        <v>49264</v>
      </c>
      <c r="V8969" s="6" t="s">
        <v>55586</v>
      </c>
      <c r="W8969" s="6" t="s">
        <v>49265</v>
      </c>
      <c r="X8969" s="9" t="str">
        <f>HYPERLINK("https://my.pitchbook.com?p=82132-21P","View People Online")</f>
        <v>View People Online</v>
      </c>
    </row>
    <row r="8970">
      <c r="A8970" s="2" t="s">
        <v>55587</v>
      </c>
      <c r="B8970" s="2" t="s">
        <v>55588</v>
      </c>
      <c r="C8970" s="2" t="s">
        <v>55589</v>
      </c>
      <c r="D8970" s="2" t="s">
        <v>52713</v>
      </c>
      <c r="E8970" s="2" t="s">
        <v>49265</v>
      </c>
      <c r="F8970" s="2" t="s">
        <v>270</v>
      </c>
      <c r="G8970" s="2" t="s">
        <v>55590</v>
      </c>
      <c r="H8970" s="3" t="s">
        <v>31</v>
      </c>
      <c r="I8970" s="3">
        <v>1.0</v>
      </c>
      <c r="J8970" s="3">
        <v>1.0</v>
      </c>
      <c r="K8970" s="3" t="s">
        <v>31</v>
      </c>
      <c r="L8970" s="4" t="s">
        <v>55139</v>
      </c>
      <c r="M8970" s="2" t="s">
        <v>55591</v>
      </c>
      <c r="N8970" s="2" t="s">
        <v>155</v>
      </c>
      <c r="O8970" s="4" t="s">
        <v>156</v>
      </c>
      <c r="P8970" s="2" t="s">
        <v>49262</v>
      </c>
      <c r="Q8970" s="2" t="s">
        <v>49263</v>
      </c>
      <c r="R8970" s="2" t="s">
        <v>64</v>
      </c>
      <c r="S8970" s="4" t="s">
        <v>3487</v>
      </c>
      <c r="T8970" s="2" t="s">
        <v>66</v>
      </c>
      <c r="U8970" s="4" t="s">
        <v>49264</v>
      </c>
      <c r="V8970" s="2" t="s">
        <v>55592</v>
      </c>
      <c r="W8970" s="2" t="s">
        <v>49265</v>
      </c>
      <c r="X8970" s="5" t="str">
        <f>HYPERLINK("https://my.pitchbook.com?p=53780-77P","View People Online")</f>
        <v>View People Online</v>
      </c>
    </row>
    <row r="8971">
      <c r="A8971" s="14" t="s">
        <v>55593</v>
      </c>
      <c r="B8971" s="14" t="s">
        <v>55594</v>
      </c>
      <c r="C8971" s="14" t="s">
        <v>24384</v>
      </c>
      <c r="D8971" s="14" t="s">
        <v>55595</v>
      </c>
      <c r="E8971" s="14" t="s">
        <v>49265</v>
      </c>
      <c r="F8971" s="14" t="s">
        <v>5341</v>
      </c>
      <c r="G8971" s="14" t="s">
        <v>55596</v>
      </c>
      <c r="H8971" s="15">
        <v>1.0</v>
      </c>
      <c r="I8971" s="15">
        <v>2.0</v>
      </c>
      <c r="J8971" s="15">
        <v>1.0</v>
      </c>
      <c r="K8971" s="15" t="s">
        <v>31</v>
      </c>
      <c r="L8971" s="16" t="s">
        <v>55139</v>
      </c>
      <c r="M8971" s="14" t="s">
        <v>55597</v>
      </c>
      <c r="N8971" s="14" t="s">
        <v>155</v>
      </c>
      <c r="O8971" s="16" t="s">
        <v>156</v>
      </c>
      <c r="P8971" s="14" t="s">
        <v>49262</v>
      </c>
      <c r="Q8971" s="14" t="s">
        <v>49263</v>
      </c>
      <c r="R8971" s="14" t="s">
        <v>64</v>
      </c>
      <c r="S8971" s="16" t="s">
        <v>3487</v>
      </c>
      <c r="T8971" s="14" t="s">
        <v>66</v>
      </c>
      <c r="U8971" s="16" t="s">
        <v>49264</v>
      </c>
      <c r="V8971" s="14" t="s">
        <v>55598</v>
      </c>
      <c r="W8971" s="14" t="s">
        <v>49265</v>
      </c>
      <c r="X8971" s="17" t="str">
        <f>HYPERLINK("https://my.pitchbook.com?p=254224-45P","View People Online")</f>
        <v>View People Online</v>
      </c>
    </row>
    <row r="8972">
      <c r="A8972" s="2" t="s">
        <v>55599</v>
      </c>
      <c r="B8972" s="2" t="s">
        <v>55600</v>
      </c>
      <c r="C8972" s="2" t="s">
        <v>37113</v>
      </c>
      <c r="D8972" s="2" t="s">
        <v>666</v>
      </c>
      <c r="E8972" s="2" t="s">
        <v>55601</v>
      </c>
      <c r="F8972" s="2" t="s">
        <v>802</v>
      </c>
      <c r="G8972" s="2" t="s">
        <v>55602</v>
      </c>
      <c r="H8972" s="3" t="s">
        <v>31</v>
      </c>
      <c r="I8972" s="3">
        <v>1.0</v>
      </c>
      <c r="J8972" s="3">
        <v>1.0</v>
      </c>
      <c r="K8972" s="3" t="s">
        <v>31</v>
      </c>
      <c r="L8972" s="4" t="s">
        <v>55603</v>
      </c>
      <c r="M8972" s="2" t="s">
        <v>55604</v>
      </c>
      <c r="N8972" s="2" t="s">
        <v>55605</v>
      </c>
      <c r="O8972" s="4" t="s">
        <v>55606</v>
      </c>
      <c r="P8972" s="2" t="s">
        <v>55607</v>
      </c>
      <c r="Q8972" s="2" t="s">
        <v>31</v>
      </c>
      <c r="R8972" s="2" t="s">
        <v>55608</v>
      </c>
      <c r="S8972" s="4" t="s">
        <v>55609</v>
      </c>
      <c r="T8972" s="2" t="s">
        <v>66</v>
      </c>
      <c r="U8972" s="4" t="s">
        <v>31</v>
      </c>
      <c r="V8972" s="2" t="s">
        <v>802</v>
      </c>
      <c r="W8972" s="2" t="s">
        <v>55601</v>
      </c>
      <c r="X8972" s="5" t="str">
        <f>HYPERLINK("https://my.pitchbook.com?p=147053-17P","View People Online")</f>
        <v>View People Online</v>
      </c>
    </row>
    <row r="8973">
      <c r="A8973" s="14" t="s">
        <v>55610</v>
      </c>
      <c r="B8973" s="14" t="s">
        <v>55611</v>
      </c>
      <c r="C8973" s="14" t="s">
        <v>1449</v>
      </c>
      <c r="D8973" s="14" t="s">
        <v>127</v>
      </c>
      <c r="E8973" s="14" t="s">
        <v>55601</v>
      </c>
      <c r="F8973" s="14" t="s">
        <v>9112</v>
      </c>
      <c r="G8973" s="14" t="s">
        <v>55612</v>
      </c>
      <c r="H8973" s="15" t="s">
        <v>31</v>
      </c>
      <c r="I8973" s="15">
        <v>1.0</v>
      </c>
      <c r="J8973" s="15">
        <v>1.0</v>
      </c>
      <c r="K8973" s="15" t="s">
        <v>31</v>
      </c>
      <c r="L8973" s="16" t="s">
        <v>55603</v>
      </c>
      <c r="M8973" s="14" t="s">
        <v>55613</v>
      </c>
      <c r="N8973" s="14" t="s">
        <v>55605</v>
      </c>
      <c r="O8973" s="16" t="s">
        <v>55606</v>
      </c>
      <c r="P8973" s="14" t="s">
        <v>55607</v>
      </c>
      <c r="Q8973" s="14" t="s">
        <v>31</v>
      </c>
      <c r="R8973" s="14" t="s">
        <v>55608</v>
      </c>
      <c r="S8973" s="16" t="s">
        <v>55609</v>
      </c>
      <c r="T8973" s="14" t="s">
        <v>66</v>
      </c>
      <c r="U8973" s="16" t="s">
        <v>31</v>
      </c>
      <c r="V8973" s="14" t="s">
        <v>55614</v>
      </c>
      <c r="W8973" s="14" t="s">
        <v>55601</v>
      </c>
      <c r="X8973" s="17" t="str">
        <f>HYPERLINK("https://my.pitchbook.com?p=287027-74P","View People Online")</f>
        <v>View People Online</v>
      </c>
    </row>
    <row r="8974">
      <c r="A8974" s="2" t="s">
        <v>55615</v>
      </c>
      <c r="B8974" s="2" t="s">
        <v>55616</v>
      </c>
      <c r="C8974" s="2" t="s">
        <v>823</v>
      </c>
      <c r="D8974" s="2" t="s">
        <v>55617</v>
      </c>
      <c r="E8974" s="2" t="s">
        <v>55601</v>
      </c>
      <c r="F8974" s="2" t="s">
        <v>548</v>
      </c>
      <c r="G8974" s="2" t="s">
        <v>55618</v>
      </c>
      <c r="H8974" s="3" t="s">
        <v>31</v>
      </c>
      <c r="I8974" s="3">
        <v>1.0</v>
      </c>
      <c r="J8974" s="3">
        <v>1.0</v>
      </c>
      <c r="K8974" s="3" t="s">
        <v>31</v>
      </c>
      <c r="L8974" s="4" t="s">
        <v>55603</v>
      </c>
      <c r="M8974" s="2" t="s">
        <v>55619</v>
      </c>
      <c r="N8974" s="2" t="s">
        <v>55605</v>
      </c>
      <c r="O8974" s="4" t="s">
        <v>55606</v>
      </c>
      <c r="P8974" s="2" t="s">
        <v>55607</v>
      </c>
      <c r="Q8974" s="2" t="s">
        <v>31</v>
      </c>
      <c r="R8974" s="2" t="s">
        <v>55608</v>
      </c>
      <c r="S8974" s="4" t="s">
        <v>55609</v>
      </c>
      <c r="T8974" s="2" t="s">
        <v>66</v>
      </c>
      <c r="U8974" s="4" t="s">
        <v>31</v>
      </c>
      <c r="V8974" s="2" t="s">
        <v>55620</v>
      </c>
      <c r="W8974" s="2" t="s">
        <v>55601</v>
      </c>
      <c r="X8974" s="5" t="str">
        <f>HYPERLINK("https://my.pitchbook.com?p=246981-16P","View People Online")</f>
        <v>View People Online</v>
      </c>
    </row>
    <row r="8975">
      <c r="A8975" s="14" t="s">
        <v>55621</v>
      </c>
      <c r="B8975" s="14" t="s">
        <v>55622</v>
      </c>
      <c r="C8975" s="14" t="s">
        <v>1343</v>
      </c>
      <c r="D8975" s="14" t="s">
        <v>55623</v>
      </c>
      <c r="E8975" s="14" t="s">
        <v>55601</v>
      </c>
      <c r="F8975" s="14" t="s">
        <v>55624</v>
      </c>
      <c r="G8975" s="14" t="s">
        <v>55625</v>
      </c>
      <c r="H8975" s="15" t="s">
        <v>31</v>
      </c>
      <c r="I8975" s="15">
        <v>1.0</v>
      </c>
      <c r="J8975" s="15">
        <v>1.0</v>
      </c>
      <c r="K8975" s="15" t="s">
        <v>31</v>
      </c>
      <c r="L8975" s="16" t="s">
        <v>55603</v>
      </c>
      <c r="M8975" s="14" t="s">
        <v>55626</v>
      </c>
      <c r="N8975" s="14" t="s">
        <v>55605</v>
      </c>
      <c r="O8975" s="16" t="s">
        <v>55606</v>
      </c>
      <c r="P8975" s="14" t="s">
        <v>55607</v>
      </c>
      <c r="Q8975" s="14" t="s">
        <v>31</v>
      </c>
      <c r="R8975" s="14" t="s">
        <v>55608</v>
      </c>
      <c r="S8975" s="16" t="s">
        <v>55609</v>
      </c>
      <c r="T8975" s="14" t="s">
        <v>66</v>
      </c>
      <c r="U8975" s="16" t="s">
        <v>31</v>
      </c>
      <c r="V8975" s="14" t="s">
        <v>55627</v>
      </c>
      <c r="W8975" s="14" t="s">
        <v>55601</v>
      </c>
      <c r="X8975" s="17" t="str">
        <f>HYPERLINK("https://my.pitchbook.com?p=284842-36P","View People Online")</f>
        <v>View People Online</v>
      </c>
    </row>
    <row r="8976">
      <c r="A8976" s="10" t="s">
        <v>55628</v>
      </c>
      <c r="B8976" s="10" t="s">
        <v>55629</v>
      </c>
      <c r="C8976" s="10" t="s">
        <v>19321</v>
      </c>
      <c r="D8976" s="10" t="s">
        <v>3935</v>
      </c>
      <c r="E8976" s="10" t="s">
        <v>55601</v>
      </c>
      <c r="F8976" s="10" t="s">
        <v>270</v>
      </c>
      <c r="G8976" s="10" t="s">
        <v>55630</v>
      </c>
      <c r="H8976" s="11" t="s">
        <v>31</v>
      </c>
      <c r="I8976" s="11">
        <v>1.0</v>
      </c>
      <c r="J8976" s="11">
        <v>1.0</v>
      </c>
      <c r="K8976" s="11" t="s">
        <v>31</v>
      </c>
      <c r="L8976" s="12" t="s">
        <v>55603</v>
      </c>
      <c r="M8976" s="10" t="s">
        <v>55631</v>
      </c>
      <c r="N8976" s="10" t="s">
        <v>55605</v>
      </c>
      <c r="O8976" s="12" t="s">
        <v>55606</v>
      </c>
      <c r="P8976" s="10" t="s">
        <v>55607</v>
      </c>
      <c r="Q8976" s="10" t="s">
        <v>31</v>
      </c>
      <c r="R8976" s="10" t="s">
        <v>55608</v>
      </c>
      <c r="S8976" s="12" t="s">
        <v>55609</v>
      </c>
      <c r="T8976" s="10" t="s">
        <v>66</v>
      </c>
      <c r="U8976" s="12" t="s">
        <v>31</v>
      </c>
      <c r="V8976" s="10" t="s">
        <v>55632</v>
      </c>
      <c r="W8976" s="10" t="s">
        <v>55601</v>
      </c>
      <c r="X8976" s="13" t="str">
        <f>HYPERLINK("https://my.pitchbook.com?p=147049-48P","View People Online")</f>
        <v>View People Online</v>
      </c>
    </row>
    <row r="8977">
      <c r="A8977" s="6" t="s">
        <v>55633</v>
      </c>
      <c r="B8977" s="6" t="s">
        <v>55634</v>
      </c>
      <c r="C8977" s="6" t="s">
        <v>3846</v>
      </c>
      <c r="D8977" s="6" t="s">
        <v>55635</v>
      </c>
      <c r="E8977" s="6" t="s">
        <v>55601</v>
      </c>
      <c r="F8977" s="6" t="s">
        <v>1801</v>
      </c>
      <c r="G8977" s="6" t="s">
        <v>55636</v>
      </c>
      <c r="H8977" s="7" t="s">
        <v>31</v>
      </c>
      <c r="I8977" s="7">
        <v>1.0</v>
      </c>
      <c r="J8977" s="7">
        <v>1.0</v>
      </c>
      <c r="K8977" s="7" t="s">
        <v>31</v>
      </c>
      <c r="L8977" s="8" t="s">
        <v>55603</v>
      </c>
      <c r="M8977" s="6" t="s">
        <v>55637</v>
      </c>
      <c r="N8977" s="6" t="s">
        <v>55605</v>
      </c>
      <c r="O8977" s="8" t="s">
        <v>55606</v>
      </c>
      <c r="P8977" s="6" t="s">
        <v>55607</v>
      </c>
      <c r="Q8977" s="6" t="s">
        <v>31</v>
      </c>
      <c r="R8977" s="6" t="s">
        <v>55608</v>
      </c>
      <c r="S8977" s="8" t="s">
        <v>55609</v>
      </c>
      <c r="T8977" s="6" t="s">
        <v>66</v>
      </c>
      <c r="U8977" s="8" t="s">
        <v>31</v>
      </c>
      <c r="V8977" s="6" t="s">
        <v>55638</v>
      </c>
      <c r="W8977" s="6" t="s">
        <v>55601</v>
      </c>
      <c r="X8977" s="9" t="str">
        <f>HYPERLINK("https://my.pitchbook.com?p=175819-69P","View People Online")</f>
        <v>View People Online</v>
      </c>
    </row>
    <row r="8978">
      <c r="A8978" s="2" t="s">
        <v>55639</v>
      </c>
      <c r="B8978" s="2" t="s">
        <v>55640</v>
      </c>
      <c r="C8978" s="2" t="s">
        <v>12457</v>
      </c>
      <c r="D8978" s="2" t="s">
        <v>55641</v>
      </c>
      <c r="E8978" s="2" t="s">
        <v>55601</v>
      </c>
      <c r="F8978" s="2" t="s">
        <v>5787</v>
      </c>
      <c r="G8978" s="2" t="s">
        <v>55642</v>
      </c>
      <c r="H8978" s="3" t="s">
        <v>31</v>
      </c>
      <c r="I8978" s="3">
        <v>1.0</v>
      </c>
      <c r="J8978" s="3">
        <v>1.0</v>
      </c>
      <c r="K8978" s="3" t="s">
        <v>31</v>
      </c>
      <c r="L8978" s="4" t="s">
        <v>55603</v>
      </c>
      <c r="M8978" s="2" t="s">
        <v>31</v>
      </c>
      <c r="N8978" s="2" t="s">
        <v>55605</v>
      </c>
      <c r="O8978" s="4" t="s">
        <v>55606</v>
      </c>
      <c r="P8978" s="2" t="s">
        <v>55607</v>
      </c>
      <c r="Q8978" s="2" t="s">
        <v>31</v>
      </c>
      <c r="R8978" s="2" t="s">
        <v>55608</v>
      </c>
      <c r="S8978" s="4" t="s">
        <v>55609</v>
      </c>
      <c r="T8978" s="2" t="s">
        <v>66</v>
      </c>
      <c r="U8978" s="4" t="s">
        <v>31</v>
      </c>
      <c r="V8978" s="2" t="s">
        <v>55643</v>
      </c>
      <c r="W8978" s="2" t="s">
        <v>55601</v>
      </c>
      <c r="X8978" s="5" t="str">
        <f>HYPERLINK("https://my.pitchbook.com?p=175820-14P","View People Online")</f>
        <v>View People Online</v>
      </c>
    </row>
    <row r="8979">
      <c r="A8979" s="6" t="s">
        <v>55644</v>
      </c>
      <c r="B8979" s="6" t="s">
        <v>55645</v>
      </c>
      <c r="C8979" s="6" t="s">
        <v>1697</v>
      </c>
      <c r="D8979" s="6" t="s">
        <v>16113</v>
      </c>
      <c r="E8979" s="6" t="s">
        <v>55601</v>
      </c>
      <c r="F8979" s="6" t="s">
        <v>55646</v>
      </c>
      <c r="G8979" s="6" t="s">
        <v>55647</v>
      </c>
      <c r="H8979" s="7" t="s">
        <v>31</v>
      </c>
      <c r="I8979" s="7">
        <v>1.0</v>
      </c>
      <c r="J8979" s="7">
        <v>1.0</v>
      </c>
      <c r="K8979" s="7" t="s">
        <v>31</v>
      </c>
      <c r="L8979" s="8" t="s">
        <v>55603</v>
      </c>
      <c r="M8979" s="6" t="s">
        <v>55648</v>
      </c>
      <c r="N8979" s="6" t="s">
        <v>55605</v>
      </c>
      <c r="O8979" s="8" t="s">
        <v>55606</v>
      </c>
      <c r="P8979" s="6" t="s">
        <v>55607</v>
      </c>
      <c r="Q8979" s="6" t="s">
        <v>31</v>
      </c>
      <c r="R8979" s="6" t="s">
        <v>55608</v>
      </c>
      <c r="S8979" s="8" t="s">
        <v>55609</v>
      </c>
      <c r="T8979" s="6" t="s">
        <v>66</v>
      </c>
      <c r="U8979" s="8" t="s">
        <v>31</v>
      </c>
      <c r="V8979" s="6" t="s">
        <v>55649</v>
      </c>
      <c r="W8979" s="6" t="s">
        <v>55601</v>
      </c>
      <c r="X8979" s="9" t="str">
        <f>HYPERLINK("https://my.pitchbook.com?p=195576-13P","View People Online")</f>
        <v>View People Online</v>
      </c>
    </row>
    <row r="8980">
      <c r="A8980" s="10" t="s">
        <v>55650</v>
      </c>
      <c r="B8980" s="10" t="s">
        <v>55651</v>
      </c>
      <c r="C8980" s="10" t="s">
        <v>55652</v>
      </c>
      <c r="D8980" s="10" t="s">
        <v>9309</v>
      </c>
      <c r="E8980" s="10" t="s">
        <v>55653</v>
      </c>
      <c r="F8980" s="10" t="s">
        <v>201</v>
      </c>
      <c r="G8980" s="10" t="s">
        <v>55654</v>
      </c>
      <c r="H8980" s="11" t="s">
        <v>31</v>
      </c>
      <c r="I8980" s="11">
        <v>1.0</v>
      </c>
      <c r="J8980" s="11">
        <v>1.0</v>
      </c>
      <c r="K8980" s="11" t="s">
        <v>31</v>
      </c>
      <c r="L8980" s="12" t="s">
        <v>55655</v>
      </c>
      <c r="M8980" s="10" t="s">
        <v>55656</v>
      </c>
      <c r="N8980" s="10" t="s">
        <v>612</v>
      </c>
      <c r="O8980" s="12" t="s">
        <v>613</v>
      </c>
      <c r="P8980" s="10" t="s">
        <v>55657</v>
      </c>
      <c r="Q8980" s="10" t="s">
        <v>1457</v>
      </c>
      <c r="R8980" s="10" t="s">
        <v>616</v>
      </c>
      <c r="S8980" s="12" t="s">
        <v>617</v>
      </c>
      <c r="T8980" s="10" t="s">
        <v>66</v>
      </c>
      <c r="U8980" s="12" t="s">
        <v>31</v>
      </c>
      <c r="V8980" s="10" t="s">
        <v>201</v>
      </c>
      <c r="W8980" s="10" t="s">
        <v>55653</v>
      </c>
      <c r="X8980" s="13" t="str">
        <f>HYPERLINK("https://my.pitchbook.com?p=285412-42P","View People Online")</f>
        <v>View People Online</v>
      </c>
    </row>
    <row r="8981">
      <c r="A8981" s="14" t="s">
        <v>55658</v>
      </c>
      <c r="B8981" s="14" t="s">
        <v>55659</v>
      </c>
      <c r="C8981" s="14" t="s">
        <v>622</v>
      </c>
      <c r="D8981" s="14" t="s">
        <v>55660</v>
      </c>
      <c r="E8981" s="14" t="s">
        <v>55653</v>
      </c>
      <c r="F8981" s="14" t="s">
        <v>10573</v>
      </c>
      <c r="G8981" s="14" t="s">
        <v>55661</v>
      </c>
      <c r="H8981" s="15" t="s">
        <v>31</v>
      </c>
      <c r="I8981" s="15">
        <v>1.0</v>
      </c>
      <c r="J8981" s="15">
        <v>1.0</v>
      </c>
      <c r="K8981" s="15" t="s">
        <v>31</v>
      </c>
      <c r="L8981" s="16" t="s">
        <v>55655</v>
      </c>
      <c r="M8981" s="14" t="s">
        <v>55662</v>
      </c>
      <c r="N8981" s="14" t="s">
        <v>612</v>
      </c>
      <c r="O8981" s="16" t="s">
        <v>613</v>
      </c>
      <c r="P8981" s="14" t="s">
        <v>55657</v>
      </c>
      <c r="Q8981" s="14" t="s">
        <v>1457</v>
      </c>
      <c r="R8981" s="14" t="s">
        <v>616</v>
      </c>
      <c r="S8981" s="16" t="s">
        <v>617</v>
      </c>
      <c r="T8981" s="14" t="s">
        <v>66</v>
      </c>
      <c r="U8981" s="16" t="s">
        <v>31</v>
      </c>
      <c r="V8981" s="14" t="s">
        <v>55663</v>
      </c>
      <c r="W8981" s="14" t="s">
        <v>55653</v>
      </c>
      <c r="X8981" s="17" t="str">
        <f>HYPERLINK("https://my.pitchbook.com?p=358945-93P","View People Online")</f>
        <v>View People Online</v>
      </c>
    </row>
    <row r="8982">
      <c r="A8982" s="2" t="s">
        <v>55664</v>
      </c>
      <c r="B8982" s="2" t="s">
        <v>55665</v>
      </c>
      <c r="C8982" s="2" t="s">
        <v>13929</v>
      </c>
      <c r="D8982" s="2" t="s">
        <v>55666</v>
      </c>
      <c r="E8982" s="2" t="s">
        <v>55653</v>
      </c>
      <c r="F8982" s="2" t="s">
        <v>270</v>
      </c>
      <c r="G8982" s="2" t="s">
        <v>55667</v>
      </c>
      <c r="H8982" s="3" t="s">
        <v>31</v>
      </c>
      <c r="I8982" s="3">
        <v>1.0</v>
      </c>
      <c r="J8982" s="3">
        <v>1.0</v>
      </c>
      <c r="K8982" s="3" t="s">
        <v>31</v>
      </c>
      <c r="L8982" s="4" t="s">
        <v>55655</v>
      </c>
      <c r="M8982" s="2" t="s">
        <v>55668</v>
      </c>
      <c r="N8982" s="2" t="s">
        <v>612</v>
      </c>
      <c r="O8982" s="4" t="s">
        <v>613</v>
      </c>
      <c r="P8982" s="2" t="s">
        <v>55657</v>
      </c>
      <c r="Q8982" s="2" t="s">
        <v>1457</v>
      </c>
      <c r="R8982" s="2" t="s">
        <v>616</v>
      </c>
      <c r="S8982" s="4" t="s">
        <v>617</v>
      </c>
      <c r="T8982" s="2" t="s">
        <v>66</v>
      </c>
      <c r="U8982" s="4" t="s">
        <v>31</v>
      </c>
      <c r="V8982" s="2" t="s">
        <v>55669</v>
      </c>
      <c r="W8982" s="2" t="s">
        <v>55653</v>
      </c>
      <c r="X8982" s="5" t="str">
        <f>HYPERLINK("https://my.pitchbook.com?p=358926-22P","View People Online")</f>
        <v>View People Online</v>
      </c>
    </row>
    <row r="8983">
      <c r="A8983" s="6" t="s">
        <v>55670</v>
      </c>
      <c r="B8983" s="6" t="s">
        <v>55671</v>
      </c>
      <c r="C8983" s="6" t="s">
        <v>1117</v>
      </c>
      <c r="D8983" s="6" t="s">
        <v>55672</v>
      </c>
      <c r="E8983" s="6" t="s">
        <v>55653</v>
      </c>
      <c r="F8983" s="6" t="s">
        <v>371</v>
      </c>
      <c r="G8983" s="6" t="s">
        <v>55673</v>
      </c>
      <c r="H8983" s="7" t="s">
        <v>31</v>
      </c>
      <c r="I8983" s="7">
        <v>2.0</v>
      </c>
      <c r="J8983" s="7">
        <v>1.0</v>
      </c>
      <c r="K8983" s="7" t="s">
        <v>31</v>
      </c>
      <c r="L8983" s="8" t="s">
        <v>55655</v>
      </c>
      <c r="M8983" s="6" t="s">
        <v>55674</v>
      </c>
      <c r="N8983" s="6" t="s">
        <v>612</v>
      </c>
      <c r="O8983" s="8" t="s">
        <v>613</v>
      </c>
      <c r="P8983" s="6" t="s">
        <v>55657</v>
      </c>
      <c r="Q8983" s="6" t="s">
        <v>1457</v>
      </c>
      <c r="R8983" s="6" t="s">
        <v>616</v>
      </c>
      <c r="S8983" s="8" t="s">
        <v>617</v>
      </c>
      <c r="T8983" s="6" t="s">
        <v>66</v>
      </c>
      <c r="U8983" s="8" t="s">
        <v>31</v>
      </c>
      <c r="V8983" s="6" t="s">
        <v>371</v>
      </c>
      <c r="W8983" s="6" t="s">
        <v>55653</v>
      </c>
      <c r="X8983" s="9" t="str">
        <f>HYPERLINK("https://my.pitchbook.com?p=273033-46P","View People Online")</f>
        <v>View People Online</v>
      </c>
    </row>
    <row r="8984">
      <c r="A8984" s="10" t="s">
        <v>55675</v>
      </c>
      <c r="B8984" s="10" t="s">
        <v>55676</v>
      </c>
      <c r="C8984" s="10" t="s">
        <v>1117</v>
      </c>
      <c r="D8984" s="10" t="s">
        <v>55677</v>
      </c>
      <c r="E8984" s="10" t="s">
        <v>55653</v>
      </c>
      <c r="F8984" s="10" t="s">
        <v>1283</v>
      </c>
      <c r="G8984" s="10" t="s">
        <v>55678</v>
      </c>
      <c r="H8984" s="11" t="s">
        <v>31</v>
      </c>
      <c r="I8984" s="11">
        <v>1.0</v>
      </c>
      <c r="J8984" s="11">
        <v>1.0</v>
      </c>
      <c r="K8984" s="11" t="s">
        <v>31</v>
      </c>
      <c r="L8984" s="12" t="s">
        <v>55679</v>
      </c>
      <c r="M8984" s="10" t="s">
        <v>55680</v>
      </c>
      <c r="N8984" s="10" t="s">
        <v>612</v>
      </c>
      <c r="O8984" s="12" t="s">
        <v>613</v>
      </c>
      <c r="P8984" s="10" t="s">
        <v>55657</v>
      </c>
      <c r="Q8984" s="10" t="s">
        <v>1457</v>
      </c>
      <c r="R8984" s="10" t="s">
        <v>616</v>
      </c>
      <c r="S8984" s="12" t="s">
        <v>617</v>
      </c>
      <c r="T8984" s="10" t="s">
        <v>66</v>
      </c>
      <c r="U8984" s="12" t="s">
        <v>31</v>
      </c>
      <c r="V8984" s="10" t="s">
        <v>55681</v>
      </c>
      <c r="W8984" s="10" t="s">
        <v>55653</v>
      </c>
      <c r="X8984" s="13" t="str">
        <f>HYPERLINK("https://my.pitchbook.com?p=127026-46P","View People Online")</f>
        <v>View People Online</v>
      </c>
    </row>
    <row r="8985">
      <c r="A8985" s="14" t="s">
        <v>55682</v>
      </c>
      <c r="B8985" s="14" t="s">
        <v>55683</v>
      </c>
      <c r="C8985" s="14" t="s">
        <v>24470</v>
      </c>
      <c r="D8985" s="14" t="s">
        <v>48408</v>
      </c>
      <c r="E8985" s="14" t="s">
        <v>55653</v>
      </c>
      <c r="F8985" s="14" t="s">
        <v>548</v>
      </c>
      <c r="G8985" s="14" t="s">
        <v>55684</v>
      </c>
      <c r="H8985" s="15" t="s">
        <v>31</v>
      </c>
      <c r="I8985" s="15">
        <v>1.0</v>
      </c>
      <c r="J8985" s="15">
        <v>1.0</v>
      </c>
      <c r="K8985" s="15" t="s">
        <v>31</v>
      </c>
      <c r="L8985" s="16" t="s">
        <v>55655</v>
      </c>
      <c r="M8985" s="14" t="s">
        <v>55685</v>
      </c>
      <c r="N8985" s="14" t="s">
        <v>612</v>
      </c>
      <c r="O8985" s="16" t="s">
        <v>613</v>
      </c>
      <c r="P8985" s="14" t="s">
        <v>55657</v>
      </c>
      <c r="Q8985" s="14" t="s">
        <v>1457</v>
      </c>
      <c r="R8985" s="14" t="s">
        <v>616</v>
      </c>
      <c r="S8985" s="16" t="s">
        <v>617</v>
      </c>
      <c r="T8985" s="14" t="s">
        <v>66</v>
      </c>
      <c r="U8985" s="16" t="s">
        <v>31</v>
      </c>
      <c r="V8985" s="14" t="s">
        <v>55686</v>
      </c>
      <c r="W8985" s="14" t="s">
        <v>55653</v>
      </c>
      <c r="X8985" s="17" t="str">
        <f>HYPERLINK("https://my.pitchbook.com?p=136961-56P","View People Online")</f>
        <v>View People Online</v>
      </c>
    </row>
    <row r="8986">
      <c r="A8986" s="10" t="s">
        <v>55687</v>
      </c>
      <c r="B8986" s="10" t="s">
        <v>55688</v>
      </c>
      <c r="C8986" s="10" t="s">
        <v>29741</v>
      </c>
      <c r="D8986" s="10" t="s">
        <v>1645</v>
      </c>
      <c r="E8986" s="10" t="s">
        <v>55653</v>
      </c>
      <c r="F8986" s="10" t="s">
        <v>57</v>
      </c>
      <c r="G8986" s="10" t="s">
        <v>55689</v>
      </c>
      <c r="H8986" s="11" t="s">
        <v>31</v>
      </c>
      <c r="I8986" s="11">
        <v>3.0</v>
      </c>
      <c r="J8986" s="11">
        <v>1.0</v>
      </c>
      <c r="K8986" s="11" t="s">
        <v>31</v>
      </c>
      <c r="L8986" s="12" t="s">
        <v>55655</v>
      </c>
      <c r="M8986" s="10" t="s">
        <v>55690</v>
      </c>
      <c r="N8986" s="10" t="s">
        <v>612</v>
      </c>
      <c r="O8986" s="12" t="s">
        <v>613</v>
      </c>
      <c r="P8986" s="10" t="s">
        <v>55657</v>
      </c>
      <c r="Q8986" s="10" t="s">
        <v>1457</v>
      </c>
      <c r="R8986" s="10" t="s">
        <v>616</v>
      </c>
      <c r="S8986" s="12" t="s">
        <v>617</v>
      </c>
      <c r="T8986" s="10" t="s">
        <v>66</v>
      </c>
      <c r="U8986" s="12" t="s">
        <v>31</v>
      </c>
      <c r="V8986" s="10" t="s">
        <v>57</v>
      </c>
      <c r="W8986" s="10" t="s">
        <v>55653</v>
      </c>
      <c r="X8986" s="13" t="str">
        <f>HYPERLINK("https://my.pitchbook.com?p=60518-80P","View People Online")</f>
        <v>View People Online</v>
      </c>
    </row>
    <row r="8987">
      <c r="A8987" s="6" t="s">
        <v>55691</v>
      </c>
      <c r="B8987" s="6" t="s">
        <v>55692</v>
      </c>
      <c r="C8987" s="6" t="s">
        <v>7252</v>
      </c>
      <c r="D8987" s="6" t="s">
        <v>55693</v>
      </c>
      <c r="E8987" s="6" t="s">
        <v>55653</v>
      </c>
      <c r="F8987" s="6" t="s">
        <v>26897</v>
      </c>
      <c r="G8987" s="6" t="s">
        <v>55694</v>
      </c>
      <c r="H8987" s="7" t="s">
        <v>31</v>
      </c>
      <c r="I8987" s="7">
        <v>1.0</v>
      </c>
      <c r="J8987" s="7">
        <v>1.0</v>
      </c>
      <c r="K8987" s="7" t="s">
        <v>31</v>
      </c>
      <c r="L8987" s="8" t="s">
        <v>55655</v>
      </c>
      <c r="M8987" s="6" t="s">
        <v>55695</v>
      </c>
      <c r="N8987" s="6" t="s">
        <v>612</v>
      </c>
      <c r="O8987" s="8" t="s">
        <v>613</v>
      </c>
      <c r="P8987" s="6" t="s">
        <v>55657</v>
      </c>
      <c r="Q8987" s="6" t="s">
        <v>1457</v>
      </c>
      <c r="R8987" s="6" t="s">
        <v>616</v>
      </c>
      <c r="S8987" s="8" t="s">
        <v>617</v>
      </c>
      <c r="T8987" s="6" t="s">
        <v>66</v>
      </c>
      <c r="U8987" s="8" t="s">
        <v>31</v>
      </c>
      <c r="V8987" s="6" t="s">
        <v>55696</v>
      </c>
      <c r="W8987" s="6" t="s">
        <v>55653</v>
      </c>
      <c r="X8987" s="9" t="str">
        <f>HYPERLINK("https://my.pitchbook.com?p=272825-29P","View People Online")</f>
        <v>View People Online</v>
      </c>
    </row>
    <row r="8988">
      <c r="A8988" s="2" t="s">
        <v>55697</v>
      </c>
      <c r="B8988" s="2" t="s">
        <v>55698</v>
      </c>
      <c r="C8988" s="2" t="s">
        <v>4161</v>
      </c>
      <c r="D8988" s="2" t="s">
        <v>55699</v>
      </c>
      <c r="E8988" s="2" t="s">
        <v>55653</v>
      </c>
      <c r="F8988" s="2" t="s">
        <v>548</v>
      </c>
      <c r="G8988" s="2" t="s">
        <v>55700</v>
      </c>
      <c r="H8988" s="3" t="s">
        <v>31</v>
      </c>
      <c r="I8988" s="3">
        <v>1.0</v>
      </c>
      <c r="J8988" s="3">
        <v>1.0</v>
      </c>
      <c r="K8988" s="3" t="s">
        <v>31</v>
      </c>
      <c r="L8988" s="4" t="s">
        <v>55655</v>
      </c>
      <c r="M8988" s="2" t="s">
        <v>55701</v>
      </c>
      <c r="N8988" s="2" t="s">
        <v>612</v>
      </c>
      <c r="O8988" s="4" t="s">
        <v>613</v>
      </c>
      <c r="P8988" s="2" t="s">
        <v>55657</v>
      </c>
      <c r="Q8988" s="2" t="s">
        <v>1457</v>
      </c>
      <c r="R8988" s="2" t="s">
        <v>616</v>
      </c>
      <c r="S8988" s="4" t="s">
        <v>617</v>
      </c>
      <c r="T8988" s="2" t="s">
        <v>66</v>
      </c>
      <c r="U8988" s="4" t="s">
        <v>31</v>
      </c>
      <c r="V8988" s="2" t="s">
        <v>55702</v>
      </c>
      <c r="W8988" s="2" t="s">
        <v>55653</v>
      </c>
      <c r="X8988" s="5" t="str">
        <f>HYPERLINK("https://my.pitchbook.com?p=136939-33P","View People Online")</f>
        <v>View People Online</v>
      </c>
    </row>
    <row r="8989">
      <c r="A8989" s="6" t="s">
        <v>55703</v>
      </c>
      <c r="B8989" s="6" t="s">
        <v>55704</v>
      </c>
      <c r="C8989" s="6" t="s">
        <v>4851</v>
      </c>
      <c r="D8989" s="6" t="s">
        <v>55705</v>
      </c>
      <c r="E8989" s="6" t="s">
        <v>55653</v>
      </c>
      <c r="F8989" s="6" t="s">
        <v>548</v>
      </c>
      <c r="G8989" s="6" t="s">
        <v>55706</v>
      </c>
      <c r="H8989" s="7" t="s">
        <v>31</v>
      </c>
      <c r="I8989" s="7">
        <v>1.0</v>
      </c>
      <c r="J8989" s="7">
        <v>1.0</v>
      </c>
      <c r="K8989" s="7" t="s">
        <v>31</v>
      </c>
      <c r="L8989" s="8" t="s">
        <v>55655</v>
      </c>
      <c r="M8989" s="6" t="s">
        <v>55707</v>
      </c>
      <c r="N8989" s="6" t="s">
        <v>612</v>
      </c>
      <c r="O8989" s="8" t="s">
        <v>613</v>
      </c>
      <c r="P8989" s="6" t="s">
        <v>55657</v>
      </c>
      <c r="Q8989" s="6" t="s">
        <v>1457</v>
      </c>
      <c r="R8989" s="6" t="s">
        <v>616</v>
      </c>
      <c r="S8989" s="8" t="s">
        <v>617</v>
      </c>
      <c r="T8989" s="6" t="s">
        <v>66</v>
      </c>
      <c r="U8989" s="8" t="s">
        <v>31</v>
      </c>
      <c r="V8989" s="6" t="s">
        <v>55708</v>
      </c>
      <c r="W8989" s="6" t="s">
        <v>55653</v>
      </c>
      <c r="X8989" s="9" t="str">
        <f>HYPERLINK("https://my.pitchbook.com?p=127031-41P","View People Online")</f>
        <v>View People Online</v>
      </c>
    </row>
    <row r="8990">
      <c r="A8990" s="10" t="s">
        <v>55709</v>
      </c>
      <c r="B8990" s="10" t="s">
        <v>55710</v>
      </c>
      <c r="C8990" s="10" t="s">
        <v>1929</v>
      </c>
      <c r="D8990" s="10" t="s">
        <v>5870</v>
      </c>
      <c r="E8990" s="10" t="s">
        <v>55653</v>
      </c>
      <c r="F8990" s="10" t="s">
        <v>10762</v>
      </c>
      <c r="G8990" s="10" t="s">
        <v>55711</v>
      </c>
      <c r="H8990" s="11" t="s">
        <v>31</v>
      </c>
      <c r="I8990" s="11">
        <v>1.0</v>
      </c>
      <c r="J8990" s="11">
        <v>1.0</v>
      </c>
      <c r="K8990" s="11" t="s">
        <v>31</v>
      </c>
      <c r="L8990" s="12" t="s">
        <v>55655</v>
      </c>
      <c r="M8990" s="10" t="s">
        <v>55712</v>
      </c>
      <c r="N8990" s="10" t="s">
        <v>612</v>
      </c>
      <c r="O8990" s="12" t="s">
        <v>613</v>
      </c>
      <c r="P8990" s="10" t="s">
        <v>55657</v>
      </c>
      <c r="Q8990" s="10" t="s">
        <v>1457</v>
      </c>
      <c r="R8990" s="10" t="s">
        <v>616</v>
      </c>
      <c r="S8990" s="12" t="s">
        <v>617</v>
      </c>
      <c r="T8990" s="10" t="s">
        <v>66</v>
      </c>
      <c r="U8990" s="12" t="s">
        <v>31</v>
      </c>
      <c r="V8990" s="10" t="s">
        <v>55713</v>
      </c>
      <c r="W8990" s="10" t="s">
        <v>55653</v>
      </c>
      <c r="X8990" s="13" t="str">
        <f>HYPERLINK("https://my.pitchbook.com?p=60507-01P","View People Online")</f>
        <v>View People Online</v>
      </c>
    </row>
    <row r="8991">
      <c r="A8991" s="6" t="s">
        <v>55714</v>
      </c>
      <c r="B8991" s="6" t="s">
        <v>55715</v>
      </c>
      <c r="C8991" s="6" t="s">
        <v>1929</v>
      </c>
      <c r="D8991" s="6" t="s">
        <v>55716</v>
      </c>
      <c r="E8991" s="6" t="s">
        <v>55653</v>
      </c>
      <c r="F8991" s="6" t="s">
        <v>667</v>
      </c>
      <c r="G8991" s="6" t="s">
        <v>55717</v>
      </c>
      <c r="H8991" s="7" t="s">
        <v>31</v>
      </c>
      <c r="I8991" s="7">
        <v>1.0</v>
      </c>
      <c r="J8991" s="7">
        <v>1.0</v>
      </c>
      <c r="K8991" s="7" t="s">
        <v>31</v>
      </c>
      <c r="L8991" s="8" t="s">
        <v>55655</v>
      </c>
      <c r="M8991" s="6" t="s">
        <v>55718</v>
      </c>
      <c r="N8991" s="6" t="s">
        <v>612</v>
      </c>
      <c r="O8991" s="8" t="s">
        <v>613</v>
      </c>
      <c r="P8991" s="6" t="s">
        <v>55657</v>
      </c>
      <c r="Q8991" s="6" t="s">
        <v>1457</v>
      </c>
      <c r="R8991" s="6" t="s">
        <v>616</v>
      </c>
      <c r="S8991" s="8" t="s">
        <v>617</v>
      </c>
      <c r="T8991" s="6" t="s">
        <v>66</v>
      </c>
      <c r="U8991" s="8" t="s">
        <v>31</v>
      </c>
      <c r="V8991" s="6" t="s">
        <v>55719</v>
      </c>
      <c r="W8991" s="6" t="s">
        <v>55653</v>
      </c>
      <c r="X8991" s="9" t="str">
        <f>HYPERLINK("https://my.pitchbook.com?p=136946-62P","View People Online")</f>
        <v>View People Online</v>
      </c>
    </row>
    <row r="8992">
      <c r="A8992" s="2" t="s">
        <v>55720</v>
      </c>
      <c r="B8992" s="2" t="s">
        <v>55721</v>
      </c>
      <c r="C8992" s="2" t="s">
        <v>1929</v>
      </c>
      <c r="D8992" s="2" t="s">
        <v>45222</v>
      </c>
      <c r="E8992" s="2" t="s">
        <v>55653</v>
      </c>
      <c r="F8992" s="2" t="s">
        <v>667</v>
      </c>
      <c r="G8992" s="2" t="s">
        <v>55722</v>
      </c>
      <c r="H8992" s="3" t="s">
        <v>31</v>
      </c>
      <c r="I8992" s="3">
        <v>1.0</v>
      </c>
      <c r="J8992" s="3">
        <v>1.0</v>
      </c>
      <c r="K8992" s="3" t="s">
        <v>31</v>
      </c>
      <c r="L8992" s="4" t="s">
        <v>55655</v>
      </c>
      <c r="M8992" s="2" t="s">
        <v>55723</v>
      </c>
      <c r="N8992" s="2" t="s">
        <v>612</v>
      </c>
      <c r="O8992" s="4" t="s">
        <v>613</v>
      </c>
      <c r="P8992" s="2" t="s">
        <v>55657</v>
      </c>
      <c r="Q8992" s="2" t="s">
        <v>1457</v>
      </c>
      <c r="R8992" s="2" t="s">
        <v>616</v>
      </c>
      <c r="S8992" s="4" t="s">
        <v>617</v>
      </c>
      <c r="T8992" s="2" t="s">
        <v>66</v>
      </c>
      <c r="U8992" s="4" t="s">
        <v>31</v>
      </c>
      <c r="V8992" s="2" t="s">
        <v>55719</v>
      </c>
      <c r="W8992" s="2" t="s">
        <v>55653</v>
      </c>
      <c r="X8992" s="5" t="str">
        <f>HYPERLINK("https://my.pitchbook.com?p=60519-25P","View People Online")</f>
        <v>View People Online</v>
      </c>
    </row>
    <row r="8993">
      <c r="A8993" s="6" t="s">
        <v>55724</v>
      </c>
      <c r="B8993" s="6" t="s">
        <v>55725</v>
      </c>
      <c r="C8993" s="6" t="s">
        <v>55726</v>
      </c>
      <c r="D8993" s="6" t="s">
        <v>4586</v>
      </c>
      <c r="E8993" s="6" t="s">
        <v>55653</v>
      </c>
      <c r="F8993" s="6" t="s">
        <v>201</v>
      </c>
      <c r="G8993" s="6" t="s">
        <v>55727</v>
      </c>
      <c r="H8993" s="7" t="s">
        <v>31</v>
      </c>
      <c r="I8993" s="7">
        <v>1.0</v>
      </c>
      <c r="J8993" s="7">
        <v>1.0</v>
      </c>
      <c r="K8993" s="7" t="s">
        <v>31</v>
      </c>
      <c r="L8993" s="8" t="s">
        <v>55655</v>
      </c>
      <c r="M8993" s="6" t="s">
        <v>55728</v>
      </c>
      <c r="N8993" s="6" t="s">
        <v>612</v>
      </c>
      <c r="O8993" s="8" t="s">
        <v>613</v>
      </c>
      <c r="P8993" s="6" t="s">
        <v>55657</v>
      </c>
      <c r="Q8993" s="6" t="s">
        <v>1457</v>
      </c>
      <c r="R8993" s="6" t="s">
        <v>616</v>
      </c>
      <c r="S8993" s="8" t="s">
        <v>617</v>
      </c>
      <c r="T8993" s="6" t="s">
        <v>66</v>
      </c>
      <c r="U8993" s="8" t="s">
        <v>31</v>
      </c>
      <c r="V8993" s="6" t="s">
        <v>55729</v>
      </c>
      <c r="W8993" s="6" t="s">
        <v>55653</v>
      </c>
      <c r="X8993" s="9" t="str">
        <f>HYPERLINK("https://my.pitchbook.com?p=429516-46P","View People Online")</f>
        <v>View People Online</v>
      </c>
    </row>
    <row r="8994">
      <c r="A8994" s="10" t="s">
        <v>55730</v>
      </c>
      <c r="B8994" s="10" t="s">
        <v>55731</v>
      </c>
      <c r="C8994" s="10" t="s">
        <v>4911</v>
      </c>
      <c r="D8994" s="10" t="s">
        <v>6375</v>
      </c>
      <c r="E8994" s="10" t="s">
        <v>55653</v>
      </c>
      <c r="F8994" s="10" t="s">
        <v>667</v>
      </c>
      <c r="G8994" s="10" t="s">
        <v>55732</v>
      </c>
      <c r="H8994" s="11" t="s">
        <v>31</v>
      </c>
      <c r="I8994" s="11">
        <v>1.0</v>
      </c>
      <c r="J8994" s="11">
        <v>1.0</v>
      </c>
      <c r="K8994" s="11" t="s">
        <v>31</v>
      </c>
      <c r="L8994" s="12" t="s">
        <v>55655</v>
      </c>
      <c r="M8994" s="10" t="s">
        <v>55733</v>
      </c>
      <c r="N8994" s="10" t="s">
        <v>612</v>
      </c>
      <c r="O8994" s="12" t="s">
        <v>613</v>
      </c>
      <c r="P8994" s="10" t="s">
        <v>55657</v>
      </c>
      <c r="Q8994" s="10" t="s">
        <v>1457</v>
      </c>
      <c r="R8994" s="10" t="s">
        <v>616</v>
      </c>
      <c r="S8994" s="12" t="s">
        <v>617</v>
      </c>
      <c r="T8994" s="10" t="s">
        <v>66</v>
      </c>
      <c r="U8994" s="12" t="s">
        <v>31</v>
      </c>
      <c r="V8994" s="10" t="s">
        <v>55719</v>
      </c>
      <c r="W8994" s="10" t="s">
        <v>55653</v>
      </c>
      <c r="X8994" s="13" t="str">
        <f>HYPERLINK("https://my.pitchbook.com?p=273033-82P","View People Online")</f>
        <v>View People Online</v>
      </c>
    </row>
    <row r="8995">
      <c r="A8995" s="6" t="s">
        <v>55734</v>
      </c>
      <c r="B8995" s="6" t="s">
        <v>55735</v>
      </c>
      <c r="C8995" s="6" t="s">
        <v>285</v>
      </c>
      <c r="D8995" s="6" t="s">
        <v>55736</v>
      </c>
      <c r="E8995" s="6" t="s">
        <v>55653</v>
      </c>
      <c r="F8995" s="6" t="s">
        <v>318</v>
      </c>
      <c r="G8995" s="6" t="s">
        <v>55737</v>
      </c>
      <c r="H8995" s="7" t="s">
        <v>31</v>
      </c>
      <c r="I8995" s="7">
        <v>4.0</v>
      </c>
      <c r="J8995" s="7">
        <v>1.0</v>
      </c>
      <c r="K8995" s="7">
        <v>2.0</v>
      </c>
      <c r="L8995" s="8" t="s">
        <v>55655</v>
      </c>
      <c r="M8995" s="6" t="s">
        <v>55738</v>
      </c>
      <c r="N8995" s="6" t="s">
        <v>612</v>
      </c>
      <c r="O8995" s="8" t="s">
        <v>613</v>
      </c>
      <c r="P8995" s="6" t="s">
        <v>55657</v>
      </c>
      <c r="Q8995" s="6" t="s">
        <v>1457</v>
      </c>
      <c r="R8995" s="6" t="s">
        <v>616</v>
      </c>
      <c r="S8995" s="8" t="s">
        <v>617</v>
      </c>
      <c r="T8995" s="6" t="s">
        <v>66</v>
      </c>
      <c r="U8995" s="8" t="s">
        <v>31</v>
      </c>
      <c r="V8995" s="6" t="s">
        <v>318</v>
      </c>
      <c r="W8995" s="6" t="s">
        <v>55653</v>
      </c>
      <c r="X8995" s="9" t="str">
        <f>HYPERLINK("https://my.pitchbook.com?p=213427-54P","View People Online")</f>
        <v>View People Online</v>
      </c>
    </row>
    <row r="8996">
      <c r="A8996" s="2" t="s">
        <v>55739</v>
      </c>
      <c r="B8996" s="2" t="s">
        <v>55740</v>
      </c>
      <c r="C8996" s="2" t="s">
        <v>285</v>
      </c>
      <c r="D8996" s="2" t="s">
        <v>25277</v>
      </c>
      <c r="E8996" s="2" t="s">
        <v>55653</v>
      </c>
      <c r="F8996" s="2" t="s">
        <v>270</v>
      </c>
      <c r="G8996" s="2" t="s">
        <v>55741</v>
      </c>
      <c r="H8996" s="3" t="s">
        <v>31</v>
      </c>
      <c r="I8996" s="3">
        <v>1.0</v>
      </c>
      <c r="J8996" s="3">
        <v>1.0</v>
      </c>
      <c r="K8996" s="3" t="s">
        <v>31</v>
      </c>
      <c r="L8996" s="4" t="s">
        <v>55655</v>
      </c>
      <c r="M8996" s="2" t="s">
        <v>55742</v>
      </c>
      <c r="N8996" s="2" t="s">
        <v>612</v>
      </c>
      <c r="O8996" s="4" t="s">
        <v>613</v>
      </c>
      <c r="P8996" s="2" t="s">
        <v>55657</v>
      </c>
      <c r="Q8996" s="2" t="s">
        <v>1457</v>
      </c>
      <c r="R8996" s="2" t="s">
        <v>616</v>
      </c>
      <c r="S8996" s="4" t="s">
        <v>617</v>
      </c>
      <c r="T8996" s="2" t="s">
        <v>66</v>
      </c>
      <c r="U8996" s="4" t="s">
        <v>31</v>
      </c>
      <c r="V8996" s="2" t="s">
        <v>55743</v>
      </c>
      <c r="W8996" s="2" t="s">
        <v>55653</v>
      </c>
      <c r="X8996" s="5" t="str">
        <f>HYPERLINK("https://my.pitchbook.com?p=273060-64P","View People Online")</f>
        <v>View People Online</v>
      </c>
    </row>
    <row r="8997">
      <c r="A8997" s="14" t="s">
        <v>55744</v>
      </c>
      <c r="B8997" s="14" t="s">
        <v>55745</v>
      </c>
      <c r="C8997" s="14" t="s">
        <v>15368</v>
      </c>
      <c r="D8997" s="14" t="s">
        <v>29593</v>
      </c>
      <c r="E8997" s="14" t="s">
        <v>55653</v>
      </c>
      <c r="F8997" s="14" t="s">
        <v>318</v>
      </c>
      <c r="G8997" s="14" t="s">
        <v>55746</v>
      </c>
      <c r="H8997" s="15" t="s">
        <v>31</v>
      </c>
      <c r="I8997" s="15">
        <v>1.0</v>
      </c>
      <c r="J8997" s="15">
        <v>1.0</v>
      </c>
      <c r="K8997" s="15" t="s">
        <v>31</v>
      </c>
      <c r="L8997" s="16" t="s">
        <v>55655</v>
      </c>
      <c r="M8997" s="14" t="s">
        <v>55747</v>
      </c>
      <c r="N8997" s="14" t="s">
        <v>612</v>
      </c>
      <c r="O8997" s="16" t="s">
        <v>613</v>
      </c>
      <c r="P8997" s="14" t="s">
        <v>55657</v>
      </c>
      <c r="Q8997" s="14" t="s">
        <v>1457</v>
      </c>
      <c r="R8997" s="14" t="s">
        <v>616</v>
      </c>
      <c r="S8997" s="16" t="s">
        <v>617</v>
      </c>
      <c r="T8997" s="14" t="s">
        <v>66</v>
      </c>
      <c r="U8997" s="16" t="s">
        <v>31</v>
      </c>
      <c r="V8997" s="14" t="s">
        <v>318</v>
      </c>
      <c r="W8997" s="14" t="s">
        <v>55653</v>
      </c>
      <c r="X8997" s="17" t="str">
        <f>HYPERLINK("https://my.pitchbook.com?p=254612-98P","View People Online")</f>
        <v>View People Online</v>
      </c>
    </row>
    <row r="8998">
      <c r="A8998" s="2" t="s">
        <v>55748</v>
      </c>
      <c r="B8998" s="2" t="s">
        <v>55749</v>
      </c>
      <c r="C8998" s="2" t="s">
        <v>3625</v>
      </c>
      <c r="D8998" s="2" t="s">
        <v>31088</v>
      </c>
      <c r="E8998" s="2" t="s">
        <v>55653</v>
      </c>
      <c r="F8998" s="2" t="s">
        <v>55750</v>
      </c>
      <c r="G8998" s="2" t="s">
        <v>55751</v>
      </c>
      <c r="H8998" s="3" t="s">
        <v>31</v>
      </c>
      <c r="I8998" s="3">
        <v>1.0</v>
      </c>
      <c r="J8998" s="3">
        <v>1.0</v>
      </c>
      <c r="K8998" s="3" t="s">
        <v>31</v>
      </c>
      <c r="L8998" s="4" t="s">
        <v>55655</v>
      </c>
      <c r="M8998" s="2" t="s">
        <v>55752</v>
      </c>
      <c r="N8998" s="2" t="s">
        <v>612</v>
      </c>
      <c r="O8998" s="4" t="s">
        <v>613</v>
      </c>
      <c r="P8998" s="2" t="s">
        <v>55657</v>
      </c>
      <c r="Q8998" s="2" t="s">
        <v>1457</v>
      </c>
      <c r="R8998" s="2" t="s">
        <v>616</v>
      </c>
      <c r="S8998" s="4" t="s">
        <v>617</v>
      </c>
      <c r="T8998" s="2" t="s">
        <v>66</v>
      </c>
      <c r="U8998" s="4" t="s">
        <v>31</v>
      </c>
      <c r="V8998" s="2" t="s">
        <v>55753</v>
      </c>
      <c r="W8998" s="2" t="s">
        <v>55653</v>
      </c>
      <c r="X8998" s="5" t="str">
        <f>HYPERLINK("https://my.pitchbook.com?p=136934-20P","View People Online")</f>
        <v>View People Online</v>
      </c>
    </row>
    <row r="8999">
      <c r="A8999" s="14" t="s">
        <v>55754</v>
      </c>
      <c r="B8999" s="14" t="s">
        <v>55755</v>
      </c>
      <c r="C8999" s="14" t="s">
        <v>69</v>
      </c>
      <c r="D8999" s="14" t="s">
        <v>55756</v>
      </c>
      <c r="E8999" s="14" t="s">
        <v>55653</v>
      </c>
      <c r="F8999" s="14" t="s">
        <v>55757</v>
      </c>
      <c r="G8999" s="14" t="s">
        <v>55758</v>
      </c>
      <c r="H8999" s="15" t="s">
        <v>31</v>
      </c>
      <c r="I8999" s="15">
        <v>1.0</v>
      </c>
      <c r="J8999" s="15">
        <v>1.0</v>
      </c>
      <c r="K8999" s="15" t="s">
        <v>31</v>
      </c>
      <c r="L8999" s="16" t="s">
        <v>55655</v>
      </c>
      <c r="M8999" s="14" t="s">
        <v>55759</v>
      </c>
      <c r="N8999" s="14" t="s">
        <v>612</v>
      </c>
      <c r="O8999" s="16" t="s">
        <v>613</v>
      </c>
      <c r="P8999" s="14" t="s">
        <v>55657</v>
      </c>
      <c r="Q8999" s="14" t="s">
        <v>1457</v>
      </c>
      <c r="R8999" s="14" t="s">
        <v>616</v>
      </c>
      <c r="S8999" s="16" t="s">
        <v>617</v>
      </c>
      <c r="T8999" s="14" t="s">
        <v>66</v>
      </c>
      <c r="U8999" s="16" t="s">
        <v>31</v>
      </c>
      <c r="V8999" s="14" t="s">
        <v>55760</v>
      </c>
      <c r="W8999" s="14" t="s">
        <v>55653</v>
      </c>
      <c r="X8999" s="17" t="str">
        <f>HYPERLINK("https://my.pitchbook.com?p=429528-16P","View People Online")</f>
        <v>View People Online</v>
      </c>
    </row>
    <row r="9000">
      <c r="A9000" s="10" t="s">
        <v>55761</v>
      </c>
      <c r="B9000" s="10" t="s">
        <v>55762</v>
      </c>
      <c r="C9000" s="10" t="s">
        <v>84</v>
      </c>
      <c r="D9000" s="10" t="s">
        <v>55763</v>
      </c>
      <c r="E9000" s="10" t="s">
        <v>55653</v>
      </c>
      <c r="F9000" s="10" t="s">
        <v>55757</v>
      </c>
      <c r="G9000" s="10" t="s">
        <v>55764</v>
      </c>
      <c r="H9000" s="11" t="s">
        <v>31</v>
      </c>
      <c r="I9000" s="11">
        <v>1.0</v>
      </c>
      <c r="J9000" s="11">
        <v>1.0</v>
      </c>
      <c r="K9000" s="11" t="s">
        <v>31</v>
      </c>
      <c r="L9000" s="12" t="s">
        <v>55655</v>
      </c>
      <c r="M9000" s="10" t="s">
        <v>55765</v>
      </c>
      <c r="N9000" s="10" t="s">
        <v>612</v>
      </c>
      <c r="O9000" s="12" t="s">
        <v>613</v>
      </c>
      <c r="P9000" s="10" t="s">
        <v>55657</v>
      </c>
      <c r="Q9000" s="10" t="s">
        <v>1457</v>
      </c>
      <c r="R9000" s="10" t="s">
        <v>616</v>
      </c>
      <c r="S9000" s="12" t="s">
        <v>617</v>
      </c>
      <c r="T9000" s="10" t="s">
        <v>66</v>
      </c>
      <c r="U9000" s="12" t="s">
        <v>31</v>
      </c>
      <c r="V9000" s="10" t="s">
        <v>55766</v>
      </c>
      <c r="W9000" s="10" t="s">
        <v>55653</v>
      </c>
      <c r="X9000" s="13" t="str">
        <f>HYPERLINK("https://my.pitchbook.com?p=60519-07P","View People Online")</f>
        <v>View People Online</v>
      </c>
    </row>
    <row r="9001">
      <c r="A9001" s="14" t="s">
        <v>55767</v>
      </c>
      <c r="B9001" s="14" t="s">
        <v>55768</v>
      </c>
      <c r="C9001" s="14" t="s">
        <v>1449</v>
      </c>
      <c r="D9001" s="14" t="s">
        <v>55769</v>
      </c>
      <c r="E9001" s="14" t="s">
        <v>55653</v>
      </c>
      <c r="F9001" s="14" t="s">
        <v>10762</v>
      </c>
      <c r="G9001" s="14" t="s">
        <v>55770</v>
      </c>
      <c r="H9001" s="15" t="s">
        <v>31</v>
      </c>
      <c r="I9001" s="15">
        <v>1.0</v>
      </c>
      <c r="J9001" s="15">
        <v>1.0</v>
      </c>
      <c r="K9001" s="15" t="s">
        <v>31</v>
      </c>
      <c r="L9001" s="16" t="s">
        <v>55655</v>
      </c>
      <c r="M9001" s="14" t="s">
        <v>55771</v>
      </c>
      <c r="N9001" s="14" t="s">
        <v>612</v>
      </c>
      <c r="O9001" s="16" t="s">
        <v>613</v>
      </c>
      <c r="P9001" s="14" t="s">
        <v>55657</v>
      </c>
      <c r="Q9001" s="14" t="s">
        <v>1457</v>
      </c>
      <c r="R9001" s="14" t="s">
        <v>616</v>
      </c>
      <c r="S9001" s="16" t="s">
        <v>617</v>
      </c>
      <c r="T9001" s="14" t="s">
        <v>66</v>
      </c>
      <c r="U9001" s="16" t="s">
        <v>31</v>
      </c>
      <c r="V9001" s="14" t="s">
        <v>55772</v>
      </c>
      <c r="W9001" s="14" t="s">
        <v>55653</v>
      </c>
      <c r="X9001" s="17" t="str">
        <f>HYPERLINK("https://my.pitchbook.com?p=60503-14P","View People Online")</f>
        <v>View People Online</v>
      </c>
    </row>
    <row r="9002">
      <c r="A9002" s="2" t="s">
        <v>55773</v>
      </c>
      <c r="B9002" s="2" t="s">
        <v>55774</v>
      </c>
      <c r="C9002" s="2" t="s">
        <v>16058</v>
      </c>
      <c r="D9002" s="2" t="s">
        <v>55775</v>
      </c>
      <c r="E9002" s="2" t="s">
        <v>55653</v>
      </c>
      <c r="F9002" s="2" t="s">
        <v>26897</v>
      </c>
      <c r="G9002" s="2" t="s">
        <v>55776</v>
      </c>
      <c r="H9002" s="3" t="s">
        <v>31</v>
      </c>
      <c r="I9002" s="3">
        <v>1.0</v>
      </c>
      <c r="J9002" s="3">
        <v>1.0</v>
      </c>
      <c r="K9002" s="3" t="s">
        <v>31</v>
      </c>
      <c r="L9002" s="4" t="s">
        <v>55655</v>
      </c>
      <c r="M9002" s="2" t="s">
        <v>55777</v>
      </c>
      <c r="N9002" s="2" t="s">
        <v>612</v>
      </c>
      <c r="O9002" s="4" t="s">
        <v>613</v>
      </c>
      <c r="P9002" s="2" t="s">
        <v>55657</v>
      </c>
      <c r="Q9002" s="2" t="s">
        <v>1457</v>
      </c>
      <c r="R9002" s="2" t="s">
        <v>616</v>
      </c>
      <c r="S9002" s="4" t="s">
        <v>617</v>
      </c>
      <c r="T9002" s="2" t="s">
        <v>66</v>
      </c>
      <c r="U9002" s="4" t="s">
        <v>31</v>
      </c>
      <c r="V9002" s="2" t="s">
        <v>55696</v>
      </c>
      <c r="W9002" s="2" t="s">
        <v>55653</v>
      </c>
      <c r="X9002" s="5" t="str">
        <f>HYPERLINK("https://my.pitchbook.com?p=429520-42P","View People Online")</f>
        <v>View People Online</v>
      </c>
    </row>
    <row r="9003">
      <c r="A9003" s="6" t="s">
        <v>55778</v>
      </c>
      <c r="B9003" s="6" t="s">
        <v>55779</v>
      </c>
      <c r="C9003" s="6" t="s">
        <v>16879</v>
      </c>
      <c r="D9003" s="6" t="s">
        <v>55780</v>
      </c>
      <c r="E9003" s="6" t="s">
        <v>55653</v>
      </c>
      <c r="F9003" s="6" t="s">
        <v>55757</v>
      </c>
      <c r="G9003" s="6" t="s">
        <v>55781</v>
      </c>
      <c r="H9003" s="7" t="s">
        <v>31</v>
      </c>
      <c r="I9003" s="7">
        <v>1.0</v>
      </c>
      <c r="J9003" s="7">
        <v>1.0</v>
      </c>
      <c r="K9003" s="7" t="s">
        <v>31</v>
      </c>
      <c r="L9003" s="8" t="s">
        <v>55655</v>
      </c>
      <c r="M9003" s="6" t="s">
        <v>55782</v>
      </c>
      <c r="N9003" s="6" t="s">
        <v>612</v>
      </c>
      <c r="O9003" s="8" t="s">
        <v>613</v>
      </c>
      <c r="P9003" s="6" t="s">
        <v>55657</v>
      </c>
      <c r="Q9003" s="6" t="s">
        <v>1457</v>
      </c>
      <c r="R9003" s="6" t="s">
        <v>616</v>
      </c>
      <c r="S9003" s="8" t="s">
        <v>617</v>
      </c>
      <c r="T9003" s="6" t="s">
        <v>66</v>
      </c>
      <c r="U9003" s="8" t="s">
        <v>31</v>
      </c>
      <c r="V9003" s="6" t="s">
        <v>55766</v>
      </c>
      <c r="W9003" s="6" t="s">
        <v>55653</v>
      </c>
      <c r="X9003" s="9" t="str">
        <f>HYPERLINK("https://my.pitchbook.com?p=60504-67P","View People Online")</f>
        <v>View People Online</v>
      </c>
    </row>
    <row r="9004">
      <c r="A9004" s="2" t="s">
        <v>55783</v>
      </c>
      <c r="B9004" s="2" t="s">
        <v>55784</v>
      </c>
      <c r="C9004" s="2" t="s">
        <v>55785</v>
      </c>
      <c r="D9004" s="2" t="s">
        <v>3186</v>
      </c>
      <c r="E9004" s="2" t="s">
        <v>55653</v>
      </c>
      <c r="F9004" s="2" t="s">
        <v>667</v>
      </c>
      <c r="G9004" s="2" t="s">
        <v>55786</v>
      </c>
      <c r="H9004" s="3" t="s">
        <v>31</v>
      </c>
      <c r="I9004" s="3">
        <v>1.0</v>
      </c>
      <c r="J9004" s="3">
        <v>1.0</v>
      </c>
      <c r="K9004" s="3" t="s">
        <v>31</v>
      </c>
      <c r="L9004" s="4" t="s">
        <v>55655</v>
      </c>
      <c r="M9004" s="2" t="s">
        <v>55787</v>
      </c>
      <c r="N9004" s="2" t="s">
        <v>612</v>
      </c>
      <c r="O9004" s="4" t="s">
        <v>613</v>
      </c>
      <c r="P9004" s="2" t="s">
        <v>55657</v>
      </c>
      <c r="Q9004" s="2" t="s">
        <v>1457</v>
      </c>
      <c r="R9004" s="2" t="s">
        <v>616</v>
      </c>
      <c r="S9004" s="4" t="s">
        <v>617</v>
      </c>
      <c r="T9004" s="2" t="s">
        <v>66</v>
      </c>
      <c r="U9004" s="4" t="s">
        <v>31</v>
      </c>
      <c r="V9004" s="2" t="s">
        <v>55788</v>
      </c>
      <c r="W9004" s="2" t="s">
        <v>55653</v>
      </c>
      <c r="X9004" s="5" t="str">
        <f>HYPERLINK("https://my.pitchbook.com?p=273052-45P","View People Online")</f>
        <v>View People Online</v>
      </c>
    </row>
    <row r="9005">
      <c r="A9005" s="6" t="s">
        <v>55789</v>
      </c>
      <c r="B9005" s="6" t="s">
        <v>55790</v>
      </c>
      <c r="C9005" s="6" t="s">
        <v>323</v>
      </c>
      <c r="D9005" s="6" t="s">
        <v>5772</v>
      </c>
      <c r="E9005" s="6" t="s">
        <v>55653</v>
      </c>
      <c r="F9005" s="6" t="s">
        <v>896</v>
      </c>
      <c r="G9005" s="6" t="s">
        <v>55791</v>
      </c>
      <c r="H9005" s="7" t="s">
        <v>31</v>
      </c>
      <c r="I9005" s="7">
        <v>1.0</v>
      </c>
      <c r="J9005" s="7">
        <v>1.0</v>
      </c>
      <c r="K9005" s="7" t="s">
        <v>31</v>
      </c>
      <c r="L9005" s="8" t="s">
        <v>55792</v>
      </c>
      <c r="M9005" s="6" t="s">
        <v>55793</v>
      </c>
      <c r="N9005" s="6" t="s">
        <v>243</v>
      </c>
      <c r="O9005" s="8" t="s">
        <v>244</v>
      </c>
      <c r="P9005" s="6" t="s">
        <v>55794</v>
      </c>
      <c r="Q9005" s="6" t="s">
        <v>55795</v>
      </c>
      <c r="R9005" s="6" t="s">
        <v>247</v>
      </c>
      <c r="S9005" s="8" t="s">
        <v>55796</v>
      </c>
      <c r="T9005" s="6" t="s">
        <v>249</v>
      </c>
      <c r="U9005" s="8" t="s">
        <v>31</v>
      </c>
      <c r="V9005" s="6" t="s">
        <v>25796</v>
      </c>
      <c r="W9005" s="6" t="s">
        <v>55653</v>
      </c>
      <c r="X9005" s="9" t="str">
        <f>HYPERLINK("https://my.pitchbook.com?p=60504-22P","View People Online")</f>
        <v>View People Online</v>
      </c>
    </row>
    <row r="9006">
      <c r="A9006" s="10" t="s">
        <v>55797</v>
      </c>
      <c r="B9006" s="10" t="s">
        <v>55798</v>
      </c>
      <c r="C9006" s="10" t="s">
        <v>323</v>
      </c>
      <c r="D9006" s="10" t="s">
        <v>55799</v>
      </c>
      <c r="E9006" s="10" t="s">
        <v>55653</v>
      </c>
      <c r="F9006" s="10" t="s">
        <v>825</v>
      </c>
      <c r="G9006" s="10" t="s">
        <v>55800</v>
      </c>
      <c r="H9006" s="11" t="s">
        <v>31</v>
      </c>
      <c r="I9006" s="11">
        <v>1.0</v>
      </c>
      <c r="J9006" s="11">
        <v>1.0</v>
      </c>
      <c r="K9006" s="11" t="s">
        <v>31</v>
      </c>
      <c r="L9006" s="12" t="s">
        <v>55655</v>
      </c>
      <c r="M9006" s="10" t="s">
        <v>55801</v>
      </c>
      <c r="N9006" s="10" t="s">
        <v>612</v>
      </c>
      <c r="O9006" s="12" t="s">
        <v>613</v>
      </c>
      <c r="P9006" s="10" t="s">
        <v>55657</v>
      </c>
      <c r="Q9006" s="10" t="s">
        <v>1457</v>
      </c>
      <c r="R9006" s="10" t="s">
        <v>616</v>
      </c>
      <c r="S9006" s="12" t="s">
        <v>617</v>
      </c>
      <c r="T9006" s="10" t="s">
        <v>66</v>
      </c>
      <c r="U9006" s="12" t="s">
        <v>31</v>
      </c>
      <c r="V9006" s="10" t="s">
        <v>55802</v>
      </c>
      <c r="W9006" s="10" t="s">
        <v>55653</v>
      </c>
      <c r="X9006" s="13" t="str">
        <f>HYPERLINK("https://my.pitchbook.com?p=136952-92P","View People Online")</f>
        <v>View People Online</v>
      </c>
    </row>
    <row r="9007">
      <c r="A9007" s="14" t="s">
        <v>55803</v>
      </c>
      <c r="B9007" s="14" t="s">
        <v>55804</v>
      </c>
      <c r="C9007" s="14" t="s">
        <v>4306</v>
      </c>
      <c r="D9007" s="14" t="s">
        <v>55805</v>
      </c>
      <c r="E9007" s="14" t="s">
        <v>55653</v>
      </c>
      <c r="F9007" s="14" t="s">
        <v>2652</v>
      </c>
      <c r="G9007" s="14" t="s">
        <v>55806</v>
      </c>
      <c r="H9007" s="15" t="s">
        <v>31</v>
      </c>
      <c r="I9007" s="15">
        <v>6.0</v>
      </c>
      <c r="J9007" s="15">
        <v>1.0</v>
      </c>
      <c r="K9007" s="15" t="s">
        <v>31</v>
      </c>
      <c r="L9007" s="16" t="s">
        <v>55655</v>
      </c>
      <c r="M9007" s="14" t="s">
        <v>55807</v>
      </c>
      <c r="N9007" s="14" t="s">
        <v>612</v>
      </c>
      <c r="O9007" s="16" t="s">
        <v>613</v>
      </c>
      <c r="P9007" s="14" t="s">
        <v>55657</v>
      </c>
      <c r="Q9007" s="14" t="s">
        <v>1457</v>
      </c>
      <c r="R9007" s="14" t="s">
        <v>616</v>
      </c>
      <c r="S9007" s="16" t="s">
        <v>617</v>
      </c>
      <c r="T9007" s="14" t="s">
        <v>66</v>
      </c>
      <c r="U9007" s="16" t="s">
        <v>31</v>
      </c>
      <c r="V9007" s="14" t="s">
        <v>55808</v>
      </c>
      <c r="W9007" s="14" t="s">
        <v>55653</v>
      </c>
      <c r="X9007" s="17" t="str">
        <f>HYPERLINK("https://my.pitchbook.com?p=38642-05P","View People Online")</f>
        <v>View People Online</v>
      </c>
    </row>
    <row r="9008">
      <c r="A9008" s="2" t="s">
        <v>55809</v>
      </c>
      <c r="B9008" s="2" t="s">
        <v>55810</v>
      </c>
      <c r="C9008" s="2" t="s">
        <v>1323</v>
      </c>
      <c r="D9008" s="2" t="s">
        <v>55811</v>
      </c>
      <c r="E9008" s="2" t="s">
        <v>55653</v>
      </c>
      <c r="F9008" s="2" t="s">
        <v>41270</v>
      </c>
      <c r="G9008" s="2" t="s">
        <v>55812</v>
      </c>
      <c r="H9008" s="3" t="s">
        <v>31</v>
      </c>
      <c r="I9008" s="3">
        <v>4.0</v>
      </c>
      <c r="J9008" s="3">
        <v>1.0</v>
      </c>
      <c r="K9008" s="3">
        <v>2.0</v>
      </c>
      <c r="L9008" s="4" t="s">
        <v>55655</v>
      </c>
      <c r="M9008" s="2" t="s">
        <v>55813</v>
      </c>
      <c r="N9008" s="2" t="s">
        <v>612</v>
      </c>
      <c r="O9008" s="4" t="s">
        <v>613</v>
      </c>
      <c r="P9008" s="2" t="s">
        <v>55657</v>
      </c>
      <c r="Q9008" s="2" t="s">
        <v>1457</v>
      </c>
      <c r="R9008" s="2" t="s">
        <v>616</v>
      </c>
      <c r="S9008" s="4" t="s">
        <v>617</v>
      </c>
      <c r="T9008" s="2" t="s">
        <v>66</v>
      </c>
      <c r="U9008" s="4" t="s">
        <v>31</v>
      </c>
      <c r="V9008" s="2" t="s">
        <v>55814</v>
      </c>
      <c r="W9008" s="2" t="s">
        <v>55653</v>
      </c>
      <c r="X9008" s="5" t="str">
        <f>HYPERLINK("https://my.pitchbook.com?p=60508-36P","View People Online")</f>
        <v>View People Online</v>
      </c>
    </row>
    <row r="9009">
      <c r="A9009" s="6" t="s">
        <v>55815</v>
      </c>
      <c r="B9009" s="6" t="s">
        <v>55816</v>
      </c>
      <c r="C9009" s="6" t="s">
        <v>55817</v>
      </c>
      <c r="D9009" s="6" t="s">
        <v>55818</v>
      </c>
      <c r="E9009" s="6" t="s">
        <v>55653</v>
      </c>
      <c r="F9009" s="6" t="s">
        <v>201</v>
      </c>
      <c r="G9009" s="6" t="s">
        <v>55819</v>
      </c>
      <c r="H9009" s="7" t="s">
        <v>31</v>
      </c>
      <c r="I9009" s="7">
        <v>1.0</v>
      </c>
      <c r="J9009" s="7">
        <v>1.0</v>
      </c>
      <c r="K9009" s="7" t="s">
        <v>31</v>
      </c>
      <c r="L9009" s="8" t="s">
        <v>55655</v>
      </c>
      <c r="M9009" s="6" t="s">
        <v>55820</v>
      </c>
      <c r="N9009" s="6" t="s">
        <v>612</v>
      </c>
      <c r="O9009" s="8" t="s">
        <v>613</v>
      </c>
      <c r="P9009" s="6" t="s">
        <v>55657</v>
      </c>
      <c r="Q9009" s="6" t="s">
        <v>1457</v>
      </c>
      <c r="R9009" s="6" t="s">
        <v>616</v>
      </c>
      <c r="S9009" s="8" t="s">
        <v>617</v>
      </c>
      <c r="T9009" s="6" t="s">
        <v>66</v>
      </c>
      <c r="U9009" s="8" t="s">
        <v>31</v>
      </c>
      <c r="V9009" s="6" t="s">
        <v>55729</v>
      </c>
      <c r="W9009" s="6" t="s">
        <v>55653</v>
      </c>
      <c r="X9009" s="9" t="str">
        <f>HYPERLINK("https://my.pitchbook.com?p=273032-92P","View People Online")</f>
        <v>View People Online</v>
      </c>
    </row>
    <row r="9010">
      <c r="A9010" s="10" t="s">
        <v>55821</v>
      </c>
      <c r="B9010" s="10" t="s">
        <v>55822</v>
      </c>
      <c r="C9010" s="10" t="s">
        <v>30618</v>
      </c>
      <c r="D9010" s="10" t="s">
        <v>55823</v>
      </c>
      <c r="E9010" s="10" t="s">
        <v>55653</v>
      </c>
      <c r="F9010" s="10" t="s">
        <v>201</v>
      </c>
      <c r="G9010" s="10" t="s">
        <v>55824</v>
      </c>
      <c r="H9010" s="11" t="s">
        <v>31</v>
      </c>
      <c r="I9010" s="11">
        <v>1.0</v>
      </c>
      <c r="J9010" s="11">
        <v>1.0</v>
      </c>
      <c r="K9010" s="11" t="s">
        <v>31</v>
      </c>
      <c r="L9010" s="12" t="s">
        <v>55655</v>
      </c>
      <c r="M9010" s="10" t="s">
        <v>55825</v>
      </c>
      <c r="N9010" s="10" t="s">
        <v>612</v>
      </c>
      <c r="O9010" s="12" t="s">
        <v>613</v>
      </c>
      <c r="P9010" s="10" t="s">
        <v>55657</v>
      </c>
      <c r="Q9010" s="10" t="s">
        <v>1457</v>
      </c>
      <c r="R9010" s="10" t="s">
        <v>616</v>
      </c>
      <c r="S9010" s="12" t="s">
        <v>617</v>
      </c>
      <c r="T9010" s="10" t="s">
        <v>66</v>
      </c>
      <c r="U9010" s="12" t="s">
        <v>31</v>
      </c>
      <c r="V9010" s="10" t="s">
        <v>55729</v>
      </c>
      <c r="W9010" s="10" t="s">
        <v>55653</v>
      </c>
      <c r="X9010" s="13" t="str">
        <f>HYPERLINK("https://my.pitchbook.com?p=429523-03P","View People Online")</f>
        <v>View People Online</v>
      </c>
    </row>
    <row r="9011">
      <c r="A9011" s="6" t="s">
        <v>55826</v>
      </c>
      <c r="B9011" s="6" t="s">
        <v>55827</v>
      </c>
      <c r="C9011" s="6" t="s">
        <v>3521</v>
      </c>
      <c r="D9011" s="6" t="s">
        <v>9386</v>
      </c>
      <c r="E9011" s="6" t="s">
        <v>55653</v>
      </c>
      <c r="F9011" s="6" t="s">
        <v>1283</v>
      </c>
      <c r="G9011" s="6" t="s">
        <v>55828</v>
      </c>
      <c r="H9011" s="7" t="s">
        <v>31</v>
      </c>
      <c r="I9011" s="7">
        <v>1.0</v>
      </c>
      <c r="J9011" s="7">
        <v>1.0</v>
      </c>
      <c r="K9011" s="7" t="s">
        <v>31</v>
      </c>
      <c r="L9011" s="8" t="s">
        <v>55655</v>
      </c>
      <c r="M9011" s="6" t="s">
        <v>55829</v>
      </c>
      <c r="N9011" s="6" t="s">
        <v>243</v>
      </c>
      <c r="O9011" s="8" t="s">
        <v>244</v>
      </c>
      <c r="P9011" s="6" t="s">
        <v>55794</v>
      </c>
      <c r="Q9011" s="6" t="s">
        <v>55795</v>
      </c>
      <c r="R9011" s="6" t="s">
        <v>247</v>
      </c>
      <c r="S9011" s="8" t="s">
        <v>55796</v>
      </c>
      <c r="T9011" s="6" t="s">
        <v>249</v>
      </c>
      <c r="U9011" s="8" t="s">
        <v>31</v>
      </c>
      <c r="V9011" s="6" t="s">
        <v>1283</v>
      </c>
      <c r="W9011" s="6" t="s">
        <v>55653</v>
      </c>
      <c r="X9011" s="9" t="str">
        <f>HYPERLINK("https://my.pitchbook.com?p=273051-19P","View People Online")</f>
        <v>View People Online</v>
      </c>
    </row>
    <row r="9012">
      <c r="A9012" s="10" t="s">
        <v>55830</v>
      </c>
      <c r="B9012" s="10" t="s">
        <v>55831</v>
      </c>
      <c r="C9012" s="10" t="s">
        <v>3521</v>
      </c>
      <c r="D9012" s="10" t="s">
        <v>55832</v>
      </c>
      <c r="E9012" s="10" t="s">
        <v>55653</v>
      </c>
      <c r="F9012" s="10" t="s">
        <v>39065</v>
      </c>
      <c r="G9012" s="10" t="s">
        <v>55833</v>
      </c>
      <c r="H9012" s="11">
        <v>2.0</v>
      </c>
      <c r="I9012" s="11">
        <v>19.0</v>
      </c>
      <c r="J9012" s="11">
        <v>1.0</v>
      </c>
      <c r="K9012" s="11">
        <v>12.0</v>
      </c>
      <c r="L9012" s="12" t="s">
        <v>55834</v>
      </c>
      <c r="M9012" s="10" t="s">
        <v>55835</v>
      </c>
      <c r="N9012" s="10" t="s">
        <v>612</v>
      </c>
      <c r="O9012" s="12" t="s">
        <v>613</v>
      </c>
      <c r="P9012" s="10" t="s">
        <v>55657</v>
      </c>
      <c r="Q9012" s="10" t="s">
        <v>1457</v>
      </c>
      <c r="R9012" s="10" t="s">
        <v>616</v>
      </c>
      <c r="S9012" s="12" t="s">
        <v>617</v>
      </c>
      <c r="T9012" s="10" t="s">
        <v>66</v>
      </c>
      <c r="U9012" s="12" t="s">
        <v>31</v>
      </c>
      <c r="V9012" s="10" t="s">
        <v>55836</v>
      </c>
      <c r="W9012" s="10" t="s">
        <v>55653</v>
      </c>
      <c r="X9012" s="13" t="str">
        <f>HYPERLINK("https://my.pitchbook.com?p=38964-07P","View People Online")</f>
        <v>View People Online</v>
      </c>
    </row>
    <row r="9013">
      <c r="A9013" s="14" t="s">
        <v>55837</v>
      </c>
      <c r="B9013" s="14" t="s">
        <v>55838</v>
      </c>
      <c r="C9013" s="14" t="s">
        <v>4358</v>
      </c>
      <c r="D9013" s="14" t="s">
        <v>30427</v>
      </c>
      <c r="E9013" s="14" t="s">
        <v>55653</v>
      </c>
      <c r="F9013" s="14" t="s">
        <v>548</v>
      </c>
      <c r="G9013" s="14" t="s">
        <v>55839</v>
      </c>
      <c r="H9013" s="15" t="s">
        <v>31</v>
      </c>
      <c r="I9013" s="15">
        <v>1.0</v>
      </c>
      <c r="J9013" s="15">
        <v>1.0</v>
      </c>
      <c r="K9013" s="15" t="s">
        <v>31</v>
      </c>
      <c r="L9013" s="16" t="s">
        <v>55655</v>
      </c>
      <c r="M9013" s="14" t="s">
        <v>55840</v>
      </c>
      <c r="N9013" s="14" t="s">
        <v>612</v>
      </c>
      <c r="O9013" s="16" t="s">
        <v>613</v>
      </c>
      <c r="P9013" s="14" t="s">
        <v>55657</v>
      </c>
      <c r="Q9013" s="14" t="s">
        <v>1457</v>
      </c>
      <c r="R9013" s="14" t="s">
        <v>616</v>
      </c>
      <c r="S9013" s="16" t="s">
        <v>617</v>
      </c>
      <c r="T9013" s="14" t="s">
        <v>66</v>
      </c>
      <c r="U9013" s="16" t="s">
        <v>31</v>
      </c>
      <c r="V9013" s="14" t="s">
        <v>55841</v>
      </c>
      <c r="W9013" s="14" t="s">
        <v>55653</v>
      </c>
      <c r="X9013" s="17" t="str">
        <f>HYPERLINK("https://my.pitchbook.com?p=273052-09P","View People Online")</f>
        <v>View People Online</v>
      </c>
    </row>
    <row r="9014">
      <c r="A9014" s="10" t="s">
        <v>55842</v>
      </c>
      <c r="B9014" s="10" t="s">
        <v>55843</v>
      </c>
      <c r="C9014" s="10" t="s">
        <v>343</v>
      </c>
      <c r="D9014" s="10" t="s">
        <v>28011</v>
      </c>
      <c r="E9014" s="10" t="s">
        <v>55653</v>
      </c>
      <c r="F9014" s="10" t="s">
        <v>825</v>
      </c>
      <c r="G9014" s="10" t="s">
        <v>55844</v>
      </c>
      <c r="H9014" s="11" t="s">
        <v>31</v>
      </c>
      <c r="I9014" s="11">
        <v>1.0</v>
      </c>
      <c r="J9014" s="11">
        <v>1.0</v>
      </c>
      <c r="K9014" s="11" t="s">
        <v>31</v>
      </c>
      <c r="L9014" s="12" t="s">
        <v>55655</v>
      </c>
      <c r="M9014" s="10" t="s">
        <v>55845</v>
      </c>
      <c r="N9014" s="10" t="s">
        <v>612</v>
      </c>
      <c r="O9014" s="12" t="s">
        <v>613</v>
      </c>
      <c r="P9014" s="10" t="s">
        <v>55657</v>
      </c>
      <c r="Q9014" s="10" t="s">
        <v>1457</v>
      </c>
      <c r="R9014" s="10" t="s">
        <v>616</v>
      </c>
      <c r="S9014" s="12" t="s">
        <v>617</v>
      </c>
      <c r="T9014" s="10" t="s">
        <v>66</v>
      </c>
      <c r="U9014" s="12" t="s">
        <v>31</v>
      </c>
      <c r="V9014" s="10" t="s">
        <v>55846</v>
      </c>
      <c r="W9014" s="10" t="s">
        <v>55653</v>
      </c>
      <c r="X9014" s="13" t="str">
        <f>HYPERLINK("https://my.pitchbook.com?p=136951-21P","View People Online")</f>
        <v>View People Online</v>
      </c>
    </row>
    <row r="9015">
      <c r="A9015" s="6" t="s">
        <v>55847</v>
      </c>
      <c r="B9015" s="6" t="s">
        <v>55848</v>
      </c>
      <c r="C9015" s="6" t="s">
        <v>26193</v>
      </c>
      <c r="D9015" s="6" t="s">
        <v>38685</v>
      </c>
      <c r="E9015" s="6" t="s">
        <v>55653</v>
      </c>
      <c r="F9015" s="6" t="s">
        <v>318</v>
      </c>
      <c r="G9015" s="6" t="s">
        <v>55849</v>
      </c>
      <c r="H9015" s="7" t="s">
        <v>31</v>
      </c>
      <c r="I9015" s="7">
        <v>2.0</v>
      </c>
      <c r="J9015" s="7">
        <v>1.0</v>
      </c>
      <c r="K9015" s="7">
        <v>1.0</v>
      </c>
      <c r="L9015" s="8" t="s">
        <v>55655</v>
      </c>
      <c r="M9015" s="6" t="s">
        <v>55850</v>
      </c>
      <c r="N9015" s="6" t="s">
        <v>612</v>
      </c>
      <c r="O9015" s="8" t="s">
        <v>613</v>
      </c>
      <c r="P9015" s="6" t="s">
        <v>55657</v>
      </c>
      <c r="Q9015" s="6" t="s">
        <v>1457</v>
      </c>
      <c r="R9015" s="6" t="s">
        <v>616</v>
      </c>
      <c r="S9015" s="8" t="s">
        <v>617</v>
      </c>
      <c r="T9015" s="6" t="s">
        <v>66</v>
      </c>
      <c r="U9015" s="8" t="s">
        <v>31</v>
      </c>
      <c r="V9015" s="6" t="s">
        <v>318</v>
      </c>
      <c r="W9015" s="6" t="s">
        <v>55653</v>
      </c>
      <c r="X9015" s="9" t="str">
        <f>HYPERLINK("https://my.pitchbook.com?p=99651-25P","View People Online")</f>
        <v>View People Online</v>
      </c>
    </row>
    <row r="9016">
      <c r="A9016" s="2" t="s">
        <v>55851</v>
      </c>
      <c r="B9016" s="2" t="s">
        <v>55852</v>
      </c>
      <c r="C9016" s="2" t="s">
        <v>3658</v>
      </c>
      <c r="D9016" s="2" t="s">
        <v>55853</v>
      </c>
      <c r="E9016" s="2" t="s">
        <v>55653</v>
      </c>
      <c r="F9016" s="2" t="s">
        <v>1801</v>
      </c>
      <c r="G9016" s="2" t="s">
        <v>55854</v>
      </c>
      <c r="H9016" s="3" t="s">
        <v>31</v>
      </c>
      <c r="I9016" s="3">
        <v>1.0</v>
      </c>
      <c r="J9016" s="3">
        <v>1.0</v>
      </c>
      <c r="K9016" s="3" t="s">
        <v>31</v>
      </c>
      <c r="L9016" s="4" t="s">
        <v>55655</v>
      </c>
      <c r="M9016" s="2" t="s">
        <v>55855</v>
      </c>
      <c r="N9016" s="2" t="s">
        <v>612</v>
      </c>
      <c r="O9016" s="4" t="s">
        <v>613</v>
      </c>
      <c r="P9016" s="2" t="s">
        <v>55657</v>
      </c>
      <c r="Q9016" s="2" t="s">
        <v>1457</v>
      </c>
      <c r="R9016" s="2" t="s">
        <v>616</v>
      </c>
      <c r="S9016" s="4" t="s">
        <v>617</v>
      </c>
      <c r="T9016" s="2" t="s">
        <v>66</v>
      </c>
      <c r="U9016" s="4" t="s">
        <v>31</v>
      </c>
      <c r="V9016" s="2" t="s">
        <v>55856</v>
      </c>
      <c r="W9016" s="2" t="s">
        <v>55653</v>
      </c>
      <c r="X9016" s="5" t="str">
        <f>HYPERLINK("https://my.pitchbook.com?p=263121-31P","View People Online")</f>
        <v>View People Online</v>
      </c>
    </row>
    <row r="9017">
      <c r="A9017" s="14" t="s">
        <v>55857</v>
      </c>
      <c r="B9017" s="14" t="s">
        <v>55858</v>
      </c>
      <c r="C9017" s="14" t="s">
        <v>3529</v>
      </c>
      <c r="D9017" s="14" t="s">
        <v>55859</v>
      </c>
      <c r="E9017" s="14" t="s">
        <v>55653</v>
      </c>
      <c r="F9017" s="14" t="s">
        <v>55757</v>
      </c>
      <c r="G9017" s="14" t="s">
        <v>55860</v>
      </c>
      <c r="H9017" s="15" t="s">
        <v>31</v>
      </c>
      <c r="I9017" s="15">
        <v>1.0</v>
      </c>
      <c r="J9017" s="15">
        <v>1.0</v>
      </c>
      <c r="K9017" s="15" t="s">
        <v>31</v>
      </c>
      <c r="L9017" s="16" t="s">
        <v>55655</v>
      </c>
      <c r="M9017" s="14" t="s">
        <v>55861</v>
      </c>
      <c r="N9017" s="14" t="s">
        <v>612</v>
      </c>
      <c r="O9017" s="16" t="s">
        <v>613</v>
      </c>
      <c r="P9017" s="14" t="s">
        <v>55657</v>
      </c>
      <c r="Q9017" s="14" t="s">
        <v>1457</v>
      </c>
      <c r="R9017" s="14" t="s">
        <v>616</v>
      </c>
      <c r="S9017" s="16" t="s">
        <v>617</v>
      </c>
      <c r="T9017" s="14" t="s">
        <v>66</v>
      </c>
      <c r="U9017" s="16" t="s">
        <v>31</v>
      </c>
      <c r="V9017" s="14" t="s">
        <v>55862</v>
      </c>
      <c r="W9017" s="14" t="s">
        <v>55653</v>
      </c>
      <c r="X9017" s="17" t="str">
        <f>HYPERLINK("https://my.pitchbook.com?p=60517-27P","View People Online")</f>
        <v>View People Online</v>
      </c>
    </row>
    <row r="9018">
      <c r="A9018" s="10" t="s">
        <v>55863</v>
      </c>
      <c r="B9018" s="10" t="s">
        <v>55864</v>
      </c>
      <c r="C9018" s="10" t="s">
        <v>3670</v>
      </c>
      <c r="D9018" s="10" t="s">
        <v>55865</v>
      </c>
      <c r="E9018" s="10" t="s">
        <v>55653</v>
      </c>
      <c r="F9018" s="10" t="s">
        <v>825</v>
      </c>
      <c r="G9018" s="10" t="s">
        <v>55866</v>
      </c>
      <c r="H9018" s="11" t="s">
        <v>31</v>
      </c>
      <c r="I9018" s="11">
        <v>1.0</v>
      </c>
      <c r="J9018" s="11">
        <v>1.0</v>
      </c>
      <c r="K9018" s="11" t="s">
        <v>31</v>
      </c>
      <c r="L9018" s="12" t="s">
        <v>55655</v>
      </c>
      <c r="M9018" s="10" t="s">
        <v>55867</v>
      </c>
      <c r="N9018" s="10" t="s">
        <v>612</v>
      </c>
      <c r="O9018" s="12" t="s">
        <v>613</v>
      </c>
      <c r="P9018" s="10" t="s">
        <v>55657</v>
      </c>
      <c r="Q9018" s="10" t="s">
        <v>1457</v>
      </c>
      <c r="R9018" s="10" t="s">
        <v>616</v>
      </c>
      <c r="S9018" s="12" t="s">
        <v>617</v>
      </c>
      <c r="T9018" s="10" t="s">
        <v>66</v>
      </c>
      <c r="U9018" s="12" t="s">
        <v>31</v>
      </c>
      <c r="V9018" s="10" t="s">
        <v>55868</v>
      </c>
      <c r="W9018" s="10" t="s">
        <v>55653</v>
      </c>
      <c r="X9018" s="13" t="str">
        <f>HYPERLINK("https://my.pitchbook.com?p=136961-02P","View People Online")</f>
        <v>View People Online</v>
      </c>
    </row>
    <row r="9019">
      <c r="A9019" s="14" t="s">
        <v>55869</v>
      </c>
      <c r="B9019" s="14" t="s">
        <v>55870</v>
      </c>
      <c r="C9019" s="14" t="s">
        <v>4404</v>
      </c>
      <c r="D9019" s="14" t="s">
        <v>5772</v>
      </c>
      <c r="E9019" s="14" t="s">
        <v>55653</v>
      </c>
      <c r="F9019" s="14" t="s">
        <v>1801</v>
      </c>
      <c r="G9019" s="14" t="s">
        <v>55871</v>
      </c>
      <c r="H9019" s="15" t="s">
        <v>31</v>
      </c>
      <c r="I9019" s="15">
        <v>1.0</v>
      </c>
      <c r="J9019" s="15">
        <v>1.0</v>
      </c>
      <c r="K9019" s="15" t="s">
        <v>31</v>
      </c>
      <c r="L9019" s="16" t="s">
        <v>55655</v>
      </c>
      <c r="M9019" s="14" t="s">
        <v>55872</v>
      </c>
      <c r="N9019" s="14" t="s">
        <v>612</v>
      </c>
      <c r="O9019" s="16" t="s">
        <v>613</v>
      </c>
      <c r="P9019" s="14" t="s">
        <v>55657</v>
      </c>
      <c r="Q9019" s="14" t="s">
        <v>1457</v>
      </c>
      <c r="R9019" s="14" t="s">
        <v>616</v>
      </c>
      <c r="S9019" s="16" t="s">
        <v>617</v>
      </c>
      <c r="T9019" s="14" t="s">
        <v>66</v>
      </c>
      <c r="U9019" s="16" t="s">
        <v>31</v>
      </c>
      <c r="V9019" s="14" t="s">
        <v>55873</v>
      </c>
      <c r="W9019" s="14" t="s">
        <v>55653</v>
      </c>
      <c r="X9019" s="17" t="str">
        <f>HYPERLINK("https://my.pitchbook.com?p=136956-07P","View People Online")</f>
        <v>View People Online</v>
      </c>
    </row>
    <row r="9020">
      <c r="A9020" s="10" t="s">
        <v>55874</v>
      </c>
      <c r="B9020" s="10" t="s">
        <v>55875</v>
      </c>
      <c r="C9020" s="10" t="s">
        <v>4404</v>
      </c>
      <c r="D9020" s="10" t="s">
        <v>25078</v>
      </c>
      <c r="E9020" s="10" t="s">
        <v>55653</v>
      </c>
      <c r="F9020" s="10" t="s">
        <v>26897</v>
      </c>
      <c r="G9020" s="10" t="s">
        <v>55876</v>
      </c>
      <c r="H9020" s="11" t="s">
        <v>31</v>
      </c>
      <c r="I9020" s="11">
        <v>1.0</v>
      </c>
      <c r="J9020" s="11">
        <v>1.0</v>
      </c>
      <c r="K9020" s="11" t="s">
        <v>31</v>
      </c>
      <c r="L9020" s="12" t="s">
        <v>55655</v>
      </c>
      <c r="M9020" s="10" t="s">
        <v>55877</v>
      </c>
      <c r="N9020" s="10" t="s">
        <v>612</v>
      </c>
      <c r="O9020" s="12" t="s">
        <v>613</v>
      </c>
      <c r="P9020" s="10" t="s">
        <v>55657</v>
      </c>
      <c r="Q9020" s="10" t="s">
        <v>1457</v>
      </c>
      <c r="R9020" s="10" t="s">
        <v>616</v>
      </c>
      <c r="S9020" s="12" t="s">
        <v>617</v>
      </c>
      <c r="T9020" s="10" t="s">
        <v>66</v>
      </c>
      <c r="U9020" s="12" t="s">
        <v>31</v>
      </c>
      <c r="V9020" s="10" t="s">
        <v>55696</v>
      </c>
      <c r="W9020" s="10" t="s">
        <v>55653</v>
      </c>
      <c r="X9020" s="13" t="str">
        <f>HYPERLINK("https://my.pitchbook.com?p=60513-22P","View People Online")</f>
        <v>View People Online</v>
      </c>
    </row>
    <row r="9021">
      <c r="A9021" s="6" t="s">
        <v>55878</v>
      </c>
      <c r="B9021" s="6" t="s">
        <v>55879</v>
      </c>
      <c r="C9021" s="6" t="s">
        <v>55880</v>
      </c>
      <c r="D9021" s="6" t="s">
        <v>3729</v>
      </c>
      <c r="E9021" s="6" t="s">
        <v>55653</v>
      </c>
      <c r="F9021" s="6" t="s">
        <v>31388</v>
      </c>
      <c r="G9021" s="6" t="s">
        <v>55881</v>
      </c>
      <c r="H9021" s="7" t="s">
        <v>31</v>
      </c>
      <c r="I9021" s="7">
        <v>1.0</v>
      </c>
      <c r="J9021" s="7">
        <v>1.0</v>
      </c>
      <c r="K9021" s="7" t="s">
        <v>31</v>
      </c>
      <c r="L9021" s="8" t="s">
        <v>55655</v>
      </c>
      <c r="M9021" s="6" t="s">
        <v>55882</v>
      </c>
      <c r="N9021" s="6" t="s">
        <v>612</v>
      </c>
      <c r="O9021" s="8" t="s">
        <v>613</v>
      </c>
      <c r="P9021" s="6" t="s">
        <v>55657</v>
      </c>
      <c r="Q9021" s="6" t="s">
        <v>1457</v>
      </c>
      <c r="R9021" s="6" t="s">
        <v>616</v>
      </c>
      <c r="S9021" s="8" t="s">
        <v>617</v>
      </c>
      <c r="T9021" s="6" t="s">
        <v>66</v>
      </c>
      <c r="U9021" s="8" t="s">
        <v>31</v>
      </c>
      <c r="V9021" s="6" t="s">
        <v>55883</v>
      </c>
      <c r="W9021" s="6" t="s">
        <v>55653</v>
      </c>
      <c r="X9021" s="9" t="str">
        <f>HYPERLINK("https://my.pitchbook.com?p=429541-03P","View People Online")</f>
        <v>View People Online</v>
      </c>
    </row>
    <row r="9022">
      <c r="A9022" s="2" t="s">
        <v>55884</v>
      </c>
      <c r="B9022" s="2" t="s">
        <v>55885</v>
      </c>
      <c r="C9022" s="2" t="s">
        <v>5071</v>
      </c>
      <c r="D9022" s="2" t="s">
        <v>55886</v>
      </c>
      <c r="E9022" s="2" t="s">
        <v>55653</v>
      </c>
      <c r="F9022" s="2" t="s">
        <v>667</v>
      </c>
      <c r="G9022" s="2" t="s">
        <v>55887</v>
      </c>
      <c r="H9022" s="3" t="s">
        <v>31</v>
      </c>
      <c r="I9022" s="3">
        <v>1.0</v>
      </c>
      <c r="J9022" s="3">
        <v>1.0</v>
      </c>
      <c r="K9022" s="3" t="s">
        <v>31</v>
      </c>
      <c r="L9022" s="4" t="s">
        <v>55655</v>
      </c>
      <c r="M9022" s="2" t="s">
        <v>55888</v>
      </c>
      <c r="N9022" s="2" t="s">
        <v>612</v>
      </c>
      <c r="O9022" s="4" t="s">
        <v>613</v>
      </c>
      <c r="P9022" s="2" t="s">
        <v>55657</v>
      </c>
      <c r="Q9022" s="2" t="s">
        <v>1457</v>
      </c>
      <c r="R9022" s="2" t="s">
        <v>616</v>
      </c>
      <c r="S9022" s="4" t="s">
        <v>617</v>
      </c>
      <c r="T9022" s="2" t="s">
        <v>66</v>
      </c>
      <c r="U9022" s="4" t="s">
        <v>31</v>
      </c>
      <c r="V9022" s="2" t="s">
        <v>55889</v>
      </c>
      <c r="W9022" s="2" t="s">
        <v>55653</v>
      </c>
      <c r="X9022" s="5" t="str">
        <f>HYPERLINK("https://my.pitchbook.com?p=136942-48P","View People Online")</f>
        <v>View People Online</v>
      </c>
    </row>
    <row r="9023">
      <c r="A9023" s="6" t="s">
        <v>55890</v>
      </c>
      <c r="B9023" s="6" t="s">
        <v>55891</v>
      </c>
      <c r="C9023" s="6" t="s">
        <v>26242</v>
      </c>
      <c r="D9023" s="6" t="s">
        <v>45849</v>
      </c>
      <c r="E9023" s="6" t="s">
        <v>55653</v>
      </c>
      <c r="F9023" s="6" t="s">
        <v>8217</v>
      </c>
      <c r="G9023" s="6" t="s">
        <v>55892</v>
      </c>
      <c r="H9023" s="7" t="s">
        <v>31</v>
      </c>
      <c r="I9023" s="7">
        <v>1.0</v>
      </c>
      <c r="J9023" s="7">
        <v>1.0</v>
      </c>
      <c r="K9023" s="7" t="s">
        <v>31</v>
      </c>
      <c r="L9023" s="8" t="s">
        <v>55655</v>
      </c>
      <c r="M9023" s="6" t="s">
        <v>55893</v>
      </c>
      <c r="N9023" s="6" t="s">
        <v>612</v>
      </c>
      <c r="O9023" s="8" t="s">
        <v>613</v>
      </c>
      <c r="P9023" s="6" t="s">
        <v>55657</v>
      </c>
      <c r="Q9023" s="6" t="s">
        <v>1457</v>
      </c>
      <c r="R9023" s="6" t="s">
        <v>616</v>
      </c>
      <c r="S9023" s="8" t="s">
        <v>617</v>
      </c>
      <c r="T9023" s="6" t="s">
        <v>66</v>
      </c>
      <c r="U9023" s="8" t="s">
        <v>31</v>
      </c>
      <c r="V9023" s="6" t="s">
        <v>8217</v>
      </c>
      <c r="W9023" s="6" t="s">
        <v>55653</v>
      </c>
      <c r="X9023" s="9" t="str">
        <f>HYPERLINK("https://my.pitchbook.com?p=263120-14P","View People Online")</f>
        <v>View People Online</v>
      </c>
    </row>
    <row r="9024">
      <c r="A9024" s="10" t="s">
        <v>55894</v>
      </c>
      <c r="B9024" s="10" t="s">
        <v>55895</v>
      </c>
      <c r="C9024" s="10" t="s">
        <v>1356</v>
      </c>
      <c r="D9024" s="10" t="s">
        <v>25123</v>
      </c>
      <c r="E9024" s="10" t="s">
        <v>55653</v>
      </c>
      <c r="F9024" s="10" t="s">
        <v>3710</v>
      </c>
      <c r="G9024" s="10" t="s">
        <v>55896</v>
      </c>
      <c r="H9024" s="11" t="s">
        <v>31</v>
      </c>
      <c r="I9024" s="11">
        <v>9.0</v>
      </c>
      <c r="J9024" s="11">
        <v>1.0</v>
      </c>
      <c r="K9024" s="11" t="s">
        <v>31</v>
      </c>
      <c r="L9024" s="12" t="s">
        <v>55655</v>
      </c>
      <c r="M9024" s="10" t="s">
        <v>55897</v>
      </c>
      <c r="N9024" s="10" t="s">
        <v>612</v>
      </c>
      <c r="O9024" s="12" t="s">
        <v>613</v>
      </c>
      <c r="P9024" s="10" t="s">
        <v>55657</v>
      </c>
      <c r="Q9024" s="10" t="s">
        <v>1457</v>
      </c>
      <c r="R9024" s="10" t="s">
        <v>616</v>
      </c>
      <c r="S9024" s="12" t="s">
        <v>617</v>
      </c>
      <c r="T9024" s="10" t="s">
        <v>66</v>
      </c>
      <c r="U9024" s="12" t="s">
        <v>31</v>
      </c>
      <c r="V9024" s="10" t="s">
        <v>3710</v>
      </c>
      <c r="W9024" s="10" t="s">
        <v>55653</v>
      </c>
      <c r="X9024" s="13" t="str">
        <f>HYPERLINK("https://my.pitchbook.com?p=127029-52P","View People Online")</f>
        <v>View People Online</v>
      </c>
    </row>
    <row r="9025">
      <c r="A9025" s="14" t="s">
        <v>55898</v>
      </c>
      <c r="B9025" s="14" t="s">
        <v>55899</v>
      </c>
      <c r="C9025" s="14" t="s">
        <v>10233</v>
      </c>
      <c r="D9025" s="14" t="s">
        <v>5386</v>
      </c>
      <c r="E9025" s="14" t="s">
        <v>55653</v>
      </c>
      <c r="F9025" s="14" t="s">
        <v>3600</v>
      </c>
      <c r="G9025" s="14" t="s">
        <v>55900</v>
      </c>
      <c r="H9025" s="15" t="s">
        <v>31</v>
      </c>
      <c r="I9025" s="15">
        <v>1.0</v>
      </c>
      <c r="J9025" s="15">
        <v>1.0</v>
      </c>
      <c r="K9025" s="15" t="s">
        <v>31</v>
      </c>
      <c r="L9025" s="16" t="s">
        <v>55655</v>
      </c>
      <c r="M9025" s="14" t="s">
        <v>55901</v>
      </c>
      <c r="N9025" s="14" t="s">
        <v>612</v>
      </c>
      <c r="O9025" s="16" t="s">
        <v>613</v>
      </c>
      <c r="P9025" s="14" t="s">
        <v>55657</v>
      </c>
      <c r="Q9025" s="14" t="s">
        <v>1457</v>
      </c>
      <c r="R9025" s="14" t="s">
        <v>616</v>
      </c>
      <c r="S9025" s="16" t="s">
        <v>617</v>
      </c>
      <c r="T9025" s="14" t="s">
        <v>66</v>
      </c>
      <c r="U9025" s="16" t="s">
        <v>31</v>
      </c>
      <c r="V9025" s="14" t="s">
        <v>55902</v>
      </c>
      <c r="W9025" s="14" t="s">
        <v>55653</v>
      </c>
      <c r="X9025" s="17" t="str">
        <f>HYPERLINK("https://my.pitchbook.com?p=136960-30P","View People Online")</f>
        <v>View People Online</v>
      </c>
    </row>
    <row r="9026">
      <c r="A9026" s="2" t="s">
        <v>55903</v>
      </c>
      <c r="B9026" s="2" t="s">
        <v>55904</v>
      </c>
      <c r="C9026" s="2" t="s">
        <v>18382</v>
      </c>
      <c r="D9026" s="2" t="s">
        <v>18138</v>
      </c>
      <c r="E9026" s="2" t="s">
        <v>55653</v>
      </c>
      <c r="F9026" s="2" t="s">
        <v>1801</v>
      </c>
      <c r="G9026" s="2" t="s">
        <v>55905</v>
      </c>
      <c r="H9026" s="3" t="s">
        <v>31</v>
      </c>
      <c r="I9026" s="3">
        <v>1.0</v>
      </c>
      <c r="J9026" s="3">
        <v>1.0</v>
      </c>
      <c r="K9026" s="3" t="s">
        <v>31</v>
      </c>
      <c r="L9026" s="4" t="s">
        <v>55655</v>
      </c>
      <c r="M9026" s="2" t="s">
        <v>55906</v>
      </c>
      <c r="N9026" s="2" t="s">
        <v>612</v>
      </c>
      <c r="O9026" s="4" t="s">
        <v>613</v>
      </c>
      <c r="P9026" s="2" t="s">
        <v>55657</v>
      </c>
      <c r="Q9026" s="2" t="s">
        <v>1457</v>
      </c>
      <c r="R9026" s="2" t="s">
        <v>616</v>
      </c>
      <c r="S9026" s="4" t="s">
        <v>617</v>
      </c>
      <c r="T9026" s="2" t="s">
        <v>66</v>
      </c>
      <c r="U9026" s="4" t="s">
        <v>31</v>
      </c>
      <c r="V9026" s="2" t="s">
        <v>55907</v>
      </c>
      <c r="W9026" s="2" t="s">
        <v>55653</v>
      </c>
      <c r="X9026" s="5" t="str">
        <f>HYPERLINK("https://my.pitchbook.com?p=136957-87P","View People Online")</f>
        <v>View People Online</v>
      </c>
    </row>
    <row r="9027">
      <c r="A9027" s="6" t="s">
        <v>55908</v>
      </c>
      <c r="B9027" s="6" t="s">
        <v>55909</v>
      </c>
      <c r="C9027" s="6" t="s">
        <v>28147</v>
      </c>
      <c r="D9027" s="6" t="s">
        <v>55910</v>
      </c>
      <c r="E9027" s="6" t="s">
        <v>55653</v>
      </c>
      <c r="F9027" s="6" t="s">
        <v>548</v>
      </c>
      <c r="G9027" s="6" t="s">
        <v>55911</v>
      </c>
      <c r="H9027" s="7" t="s">
        <v>31</v>
      </c>
      <c r="I9027" s="7">
        <v>1.0</v>
      </c>
      <c r="J9027" s="7">
        <v>1.0</v>
      </c>
      <c r="K9027" s="7" t="s">
        <v>31</v>
      </c>
      <c r="L9027" s="8" t="s">
        <v>55655</v>
      </c>
      <c r="M9027" s="6" t="s">
        <v>55912</v>
      </c>
      <c r="N9027" s="6" t="s">
        <v>612</v>
      </c>
      <c r="O9027" s="8" t="s">
        <v>613</v>
      </c>
      <c r="P9027" s="6" t="s">
        <v>55657</v>
      </c>
      <c r="Q9027" s="6" t="s">
        <v>1457</v>
      </c>
      <c r="R9027" s="6" t="s">
        <v>616</v>
      </c>
      <c r="S9027" s="8" t="s">
        <v>617</v>
      </c>
      <c r="T9027" s="6" t="s">
        <v>66</v>
      </c>
      <c r="U9027" s="8" t="s">
        <v>31</v>
      </c>
      <c r="V9027" s="6" t="s">
        <v>55913</v>
      </c>
      <c r="W9027" s="6" t="s">
        <v>55653</v>
      </c>
      <c r="X9027" s="9" t="str">
        <f>HYPERLINK("https://my.pitchbook.com?p=273056-77P","View People Online")</f>
        <v>View People Online</v>
      </c>
    </row>
    <row r="9028">
      <c r="A9028" s="2" t="s">
        <v>55914</v>
      </c>
      <c r="B9028" s="2" t="s">
        <v>55915</v>
      </c>
      <c r="C9028" s="2" t="s">
        <v>5092</v>
      </c>
      <c r="D9028" s="2" t="s">
        <v>55916</v>
      </c>
      <c r="E9028" s="2" t="s">
        <v>55653</v>
      </c>
      <c r="F9028" s="2" t="s">
        <v>548</v>
      </c>
      <c r="G9028" s="2" t="s">
        <v>55917</v>
      </c>
      <c r="H9028" s="3" t="s">
        <v>31</v>
      </c>
      <c r="I9028" s="3">
        <v>1.0</v>
      </c>
      <c r="J9028" s="3">
        <v>1.0</v>
      </c>
      <c r="K9028" s="3" t="s">
        <v>31</v>
      </c>
      <c r="L9028" s="4" t="s">
        <v>55655</v>
      </c>
      <c r="M9028" s="2" t="s">
        <v>55918</v>
      </c>
      <c r="N9028" s="2" t="s">
        <v>612</v>
      </c>
      <c r="O9028" s="4" t="s">
        <v>613</v>
      </c>
      <c r="P9028" s="2" t="s">
        <v>55657</v>
      </c>
      <c r="Q9028" s="2" t="s">
        <v>1457</v>
      </c>
      <c r="R9028" s="2" t="s">
        <v>616</v>
      </c>
      <c r="S9028" s="4" t="s">
        <v>617</v>
      </c>
      <c r="T9028" s="2" t="s">
        <v>66</v>
      </c>
      <c r="U9028" s="4" t="s">
        <v>31</v>
      </c>
      <c r="V9028" s="2" t="s">
        <v>55919</v>
      </c>
      <c r="W9028" s="2" t="s">
        <v>55653</v>
      </c>
      <c r="X9028" s="5" t="str">
        <f>HYPERLINK("https://my.pitchbook.com?p=136957-42P","View People Online")</f>
        <v>View People Online</v>
      </c>
    </row>
    <row r="9029">
      <c r="A9029" s="6" t="s">
        <v>55920</v>
      </c>
      <c r="B9029" s="6" t="s">
        <v>55921</v>
      </c>
      <c r="C9029" s="6" t="s">
        <v>5985</v>
      </c>
      <c r="D9029" s="6" t="s">
        <v>55922</v>
      </c>
      <c r="E9029" s="6" t="s">
        <v>55653</v>
      </c>
      <c r="F9029" s="6" t="s">
        <v>26897</v>
      </c>
      <c r="G9029" s="6" t="s">
        <v>55923</v>
      </c>
      <c r="H9029" s="7" t="s">
        <v>31</v>
      </c>
      <c r="I9029" s="7">
        <v>1.0</v>
      </c>
      <c r="J9029" s="7">
        <v>1.0</v>
      </c>
      <c r="K9029" s="7" t="s">
        <v>31</v>
      </c>
      <c r="L9029" s="8" t="s">
        <v>55655</v>
      </c>
      <c r="M9029" s="6" t="s">
        <v>55924</v>
      </c>
      <c r="N9029" s="6" t="s">
        <v>612</v>
      </c>
      <c r="O9029" s="8" t="s">
        <v>613</v>
      </c>
      <c r="P9029" s="6" t="s">
        <v>55657</v>
      </c>
      <c r="Q9029" s="6" t="s">
        <v>1457</v>
      </c>
      <c r="R9029" s="6" t="s">
        <v>616</v>
      </c>
      <c r="S9029" s="8" t="s">
        <v>617</v>
      </c>
      <c r="T9029" s="6" t="s">
        <v>66</v>
      </c>
      <c r="U9029" s="8" t="s">
        <v>31</v>
      </c>
      <c r="V9029" s="6" t="s">
        <v>55696</v>
      </c>
      <c r="W9029" s="6" t="s">
        <v>55653</v>
      </c>
      <c r="X9029" s="9" t="str">
        <f>HYPERLINK("https://my.pitchbook.com?p=429539-14P","View People Online")</f>
        <v>View People Online</v>
      </c>
    </row>
    <row r="9030">
      <c r="A9030" s="2" t="s">
        <v>55925</v>
      </c>
      <c r="B9030" s="2" t="s">
        <v>55926</v>
      </c>
      <c r="C9030" s="2" t="s">
        <v>1489</v>
      </c>
      <c r="D9030" s="2" t="s">
        <v>10412</v>
      </c>
      <c r="E9030" s="2" t="s">
        <v>55653</v>
      </c>
      <c r="F9030" s="2" t="s">
        <v>3600</v>
      </c>
      <c r="G9030" s="2" t="s">
        <v>55927</v>
      </c>
      <c r="H9030" s="3" t="s">
        <v>31</v>
      </c>
      <c r="I9030" s="3">
        <v>1.0</v>
      </c>
      <c r="J9030" s="3">
        <v>1.0</v>
      </c>
      <c r="K9030" s="3" t="s">
        <v>31</v>
      </c>
      <c r="L9030" s="4" t="s">
        <v>55655</v>
      </c>
      <c r="M9030" s="2" t="s">
        <v>55928</v>
      </c>
      <c r="N9030" s="2" t="s">
        <v>612</v>
      </c>
      <c r="O9030" s="4" t="s">
        <v>613</v>
      </c>
      <c r="P9030" s="2" t="s">
        <v>55657</v>
      </c>
      <c r="Q9030" s="2" t="s">
        <v>1457</v>
      </c>
      <c r="R9030" s="2" t="s">
        <v>616</v>
      </c>
      <c r="S9030" s="4" t="s">
        <v>617</v>
      </c>
      <c r="T9030" s="2" t="s">
        <v>66</v>
      </c>
      <c r="U9030" s="4" t="s">
        <v>31</v>
      </c>
      <c r="V9030" s="2" t="s">
        <v>55902</v>
      </c>
      <c r="W9030" s="2" t="s">
        <v>55653</v>
      </c>
      <c r="X9030" s="5" t="str">
        <f>HYPERLINK("https://my.pitchbook.com?p=136962-19P","View People Online")</f>
        <v>View People Online</v>
      </c>
    </row>
    <row r="9031">
      <c r="A9031" s="14" t="s">
        <v>55929</v>
      </c>
      <c r="B9031" s="14" t="s">
        <v>55930</v>
      </c>
      <c r="C9031" s="14" t="s">
        <v>55931</v>
      </c>
      <c r="D9031" s="14" t="s">
        <v>2451</v>
      </c>
      <c r="E9031" s="14" t="s">
        <v>55653</v>
      </c>
      <c r="F9031" s="14" t="s">
        <v>221</v>
      </c>
      <c r="G9031" s="14" t="s">
        <v>55932</v>
      </c>
      <c r="H9031" s="15" t="s">
        <v>31</v>
      </c>
      <c r="I9031" s="15">
        <v>1.0</v>
      </c>
      <c r="J9031" s="15">
        <v>1.0</v>
      </c>
      <c r="K9031" s="15" t="s">
        <v>31</v>
      </c>
      <c r="L9031" s="16" t="s">
        <v>55655</v>
      </c>
      <c r="M9031" s="14" t="s">
        <v>55933</v>
      </c>
      <c r="N9031" s="14" t="s">
        <v>612</v>
      </c>
      <c r="O9031" s="16" t="s">
        <v>613</v>
      </c>
      <c r="P9031" s="14" t="s">
        <v>55657</v>
      </c>
      <c r="Q9031" s="14" t="s">
        <v>1457</v>
      </c>
      <c r="R9031" s="14" t="s">
        <v>616</v>
      </c>
      <c r="S9031" s="16" t="s">
        <v>617</v>
      </c>
      <c r="T9031" s="14" t="s">
        <v>66</v>
      </c>
      <c r="U9031" s="16" t="s">
        <v>31</v>
      </c>
      <c r="V9031" s="14" t="s">
        <v>221</v>
      </c>
      <c r="W9031" s="14" t="s">
        <v>55653</v>
      </c>
      <c r="X9031" s="17" t="str">
        <f>HYPERLINK("https://my.pitchbook.com?p=302790-43P","View People Online")</f>
        <v>View People Online</v>
      </c>
    </row>
    <row r="9032">
      <c r="A9032" s="10" t="s">
        <v>55934</v>
      </c>
      <c r="B9032" s="10" t="s">
        <v>55935</v>
      </c>
      <c r="C9032" s="10" t="s">
        <v>6900</v>
      </c>
      <c r="D9032" s="10" t="s">
        <v>50882</v>
      </c>
      <c r="E9032" s="10" t="s">
        <v>55653</v>
      </c>
      <c r="F9032" s="10" t="s">
        <v>29</v>
      </c>
      <c r="G9032" s="10" t="s">
        <v>55936</v>
      </c>
      <c r="H9032" s="11" t="s">
        <v>31</v>
      </c>
      <c r="I9032" s="11">
        <v>2.0</v>
      </c>
      <c r="J9032" s="11">
        <v>1.0</v>
      </c>
      <c r="K9032" s="11" t="s">
        <v>31</v>
      </c>
      <c r="L9032" s="12" t="s">
        <v>55655</v>
      </c>
      <c r="M9032" s="10" t="s">
        <v>55937</v>
      </c>
      <c r="N9032" s="10" t="s">
        <v>155</v>
      </c>
      <c r="O9032" s="12" t="s">
        <v>156</v>
      </c>
      <c r="P9032" s="10" t="s">
        <v>2402</v>
      </c>
      <c r="Q9032" s="10" t="s">
        <v>23552</v>
      </c>
      <c r="R9032" s="10" t="s">
        <v>64</v>
      </c>
      <c r="S9032" s="12" t="s">
        <v>1339</v>
      </c>
      <c r="T9032" s="10" t="s">
        <v>66</v>
      </c>
      <c r="U9032" s="12" t="s">
        <v>31</v>
      </c>
      <c r="V9032" s="10" t="s">
        <v>29</v>
      </c>
      <c r="W9032" s="10" t="s">
        <v>55653</v>
      </c>
      <c r="X9032" s="13" t="str">
        <f>HYPERLINK("https://my.pitchbook.com?p=99643-60P","View People Online")</f>
        <v>View People Online</v>
      </c>
    </row>
    <row r="9033">
      <c r="A9033" s="6" t="s">
        <v>55938</v>
      </c>
      <c r="B9033" s="6" t="s">
        <v>55939</v>
      </c>
      <c r="C9033" s="6" t="s">
        <v>4560</v>
      </c>
      <c r="D9033" s="6" t="s">
        <v>11211</v>
      </c>
      <c r="E9033" s="6" t="s">
        <v>55653</v>
      </c>
      <c r="F9033" s="6" t="s">
        <v>201</v>
      </c>
      <c r="G9033" s="6" t="s">
        <v>55940</v>
      </c>
      <c r="H9033" s="7" t="s">
        <v>31</v>
      </c>
      <c r="I9033" s="7">
        <v>1.0</v>
      </c>
      <c r="J9033" s="7">
        <v>1.0</v>
      </c>
      <c r="K9033" s="7" t="s">
        <v>31</v>
      </c>
      <c r="L9033" s="8" t="s">
        <v>55655</v>
      </c>
      <c r="M9033" s="6" t="s">
        <v>55941</v>
      </c>
      <c r="N9033" s="6" t="s">
        <v>612</v>
      </c>
      <c r="O9033" s="8" t="s">
        <v>613</v>
      </c>
      <c r="P9033" s="6" t="s">
        <v>55657</v>
      </c>
      <c r="Q9033" s="6" t="s">
        <v>1457</v>
      </c>
      <c r="R9033" s="6" t="s">
        <v>616</v>
      </c>
      <c r="S9033" s="8" t="s">
        <v>617</v>
      </c>
      <c r="T9033" s="6" t="s">
        <v>66</v>
      </c>
      <c r="U9033" s="8" t="s">
        <v>31</v>
      </c>
      <c r="V9033" s="6" t="s">
        <v>55942</v>
      </c>
      <c r="W9033" s="6" t="s">
        <v>55653</v>
      </c>
      <c r="X9033" s="9" t="str">
        <f>HYPERLINK("https://my.pitchbook.com?p=429543-91P","View People Online")</f>
        <v>View People Online</v>
      </c>
    </row>
    <row r="9034">
      <c r="A9034" s="10" t="s">
        <v>55943</v>
      </c>
      <c r="B9034" s="10" t="s">
        <v>55944</v>
      </c>
      <c r="C9034" s="10" t="s">
        <v>2283</v>
      </c>
      <c r="D9034" s="10" t="s">
        <v>55945</v>
      </c>
      <c r="E9034" s="10" t="s">
        <v>55653</v>
      </c>
      <c r="F9034" s="10" t="s">
        <v>270</v>
      </c>
      <c r="G9034" s="10" t="s">
        <v>55946</v>
      </c>
      <c r="H9034" s="11" t="s">
        <v>31</v>
      </c>
      <c r="I9034" s="11">
        <v>1.0</v>
      </c>
      <c r="J9034" s="11">
        <v>1.0</v>
      </c>
      <c r="K9034" s="11" t="s">
        <v>31</v>
      </c>
      <c r="L9034" s="12" t="s">
        <v>55655</v>
      </c>
      <c r="M9034" s="10" t="s">
        <v>55947</v>
      </c>
      <c r="N9034" s="10" t="s">
        <v>612</v>
      </c>
      <c r="O9034" s="12" t="s">
        <v>613</v>
      </c>
      <c r="P9034" s="10" t="s">
        <v>55657</v>
      </c>
      <c r="Q9034" s="10" t="s">
        <v>1457</v>
      </c>
      <c r="R9034" s="10" t="s">
        <v>616</v>
      </c>
      <c r="S9034" s="12" t="s">
        <v>617</v>
      </c>
      <c r="T9034" s="10" t="s">
        <v>66</v>
      </c>
      <c r="U9034" s="12" t="s">
        <v>31</v>
      </c>
      <c r="V9034" s="10" t="s">
        <v>55948</v>
      </c>
      <c r="W9034" s="10" t="s">
        <v>55653</v>
      </c>
      <c r="X9034" s="13" t="str">
        <f>HYPERLINK("https://my.pitchbook.com?p=273057-22P","View People Online")</f>
        <v>View People Online</v>
      </c>
    </row>
    <row r="9035">
      <c r="A9035" s="14" t="s">
        <v>55949</v>
      </c>
      <c r="B9035" s="14" t="s">
        <v>55950</v>
      </c>
      <c r="C9035" s="14" t="s">
        <v>26427</v>
      </c>
      <c r="D9035" s="14" t="s">
        <v>55951</v>
      </c>
      <c r="E9035" s="14" t="s">
        <v>55653</v>
      </c>
      <c r="F9035" s="14" t="s">
        <v>29</v>
      </c>
      <c r="G9035" s="14" t="s">
        <v>55952</v>
      </c>
      <c r="H9035" s="15" t="s">
        <v>31</v>
      </c>
      <c r="I9035" s="15">
        <v>2.0</v>
      </c>
      <c r="J9035" s="15">
        <v>1.0</v>
      </c>
      <c r="K9035" s="15" t="s">
        <v>31</v>
      </c>
      <c r="L9035" s="16" t="s">
        <v>55655</v>
      </c>
      <c r="M9035" s="14" t="s">
        <v>55953</v>
      </c>
      <c r="N9035" s="14" t="s">
        <v>75</v>
      </c>
      <c r="O9035" s="16" t="s">
        <v>76</v>
      </c>
      <c r="P9035" s="14" t="s">
        <v>55954</v>
      </c>
      <c r="Q9035" s="14" t="s">
        <v>2839</v>
      </c>
      <c r="R9035" s="14" t="s">
        <v>75</v>
      </c>
      <c r="S9035" s="16" t="s">
        <v>27197</v>
      </c>
      <c r="T9035" s="14" t="s">
        <v>66</v>
      </c>
      <c r="U9035" s="16" t="s">
        <v>31</v>
      </c>
      <c r="V9035" s="14" t="s">
        <v>29</v>
      </c>
      <c r="W9035" s="14" t="s">
        <v>55653</v>
      </c>
      <c r="X9035" s="17" t="str">
        <f>HYPERLINK("https://my.pitchbook.com?p=358933-24P","View People Online")</f>
        <v>View People Online</v>
      </c>
    </row>
    <row r="9036">
      <c r="A9036" s="10" t="s">
        <v>55955</v>
      </c>
      <c r="B9036" s="10" t="s">
        <v>55956</v>
      </c>
      <c r="C9036" s="10" t="s">
        <v>2288</v>
      </c>
      <c r="D9036" s="10" t="s">
        <v>23529</v>
      </c>
      <c r="E9036" s="10" t="s">
        <v>55653</v>
      </c>
      <c r="F9036" s="10" t="s">
        <v>114</v>
      </c>
      <c r="G9036" s="10" t="s">
        <v>55957</v>
      </c>
      <c r="H9036" s="11" t="s">
        <v>31</v>
      </c>
      <c r="I9036" s="11">
        <v>2.0</v>
      </c>
      <c r="J9036" s="11">
        <v>1.0</v>
      </c>
      <c r="K9036" s="11">
        <v>1.0</v>
      </c>
      <c r="L9036" s="12" t="s">
        <v>55655</v>
      </c>
      <c r="M9036" s="10" t="s">
        <v>55958</v>
      </c>
      <c r="N9036" s="10" t="s">
        <v>612</v>
      </c>
      <c r="O9036" s="12" t="s">
        <v>613</v>
      </c>
      <c r="P9036" s="10" t="s">
        <v>55657</v>
      </c>
      <c r="Q9036" s="10" t="s">
        <v>1457</v>
      </c>
      <c r="R9036" s="10" t="s">
        <v>616</v>
      </c>
      <c r="S9036" s="12" t="s">
        <v>617</v>
      </c>
      <c r="T9036" s="10" t="s">
        <v>66</v>
      </c>
      <c r="U9036" s="12" t="s">
        <v>31</v>
      </c>
      <c r="V9036" s="10" t="s">
        <v>114</v>
      </c>
      <c r="W9036" s="10" t="s">
        <v>55653</v>
      </c>
      <c r="X9036" s="13" t="str">
        <f>HYPERLINK("https://my.pitchbook.com?p=273046-24P","View People Online")</f>
        <v>View People Online</v>
      </c>
    </row>
    <row r="9037">
      <c r="A9037" s="14" t="s">
        <v>55959</v>
      </c>
      <c r="B9037" s="14" t="s">
        <v>55960</v>
      </c>
      <c r="C9037" s="14" t="s">
        <v>2288</v>
      </c>
      <c r="D9037" s="14" t="s">
        <v>55961</v>
      </c>
      <c r="E9037" s="14" t="s">
        <v>55653</v>
      </c>
      <c r="F9037" s="14" t="s">
        <v>270</v>
      </c>
      <c r="G9037" s="14" t="s">
        <v>55962</v>
      </c>
      <c r="H9037" s="15" t="s">
        <v>31</v>
      </c>
      <c r="I9037" s="15">
        <v>1.0</v>
      </c>
      <c r="J9037" s="15">
        <v>1.0</v>
      </c>
      <c r="K9037" s="15" t="s">
        <v>31</v>
      </c>
      <c r="L9037" s="16" t="s">
        <v>55655</v>
      </c>
      <c r="M9037" s="14" t="s">
        <v>55963</v>
      </c>
      <c r="N9037" s="14" t="s">
        <v>612</v>
      </c>
      <c r="O9037" s="16" t="s">
        <v>613</v>
      </c>
      <c r="P9037" s="14" t="s">
        <v>55657</v>
      </c>
      <c r="Q9037" s="14" t="s">
        <v>1457</v>
      </c>
      <c r="R9037" s="14" t="s">
        <v>616</v>
      </c>
      <c r="S9037" s="16" t="s">
        <v>617</v>
      </c>
      <c r="T9037" s="14" t="s">
        <v>66</v>
      </c>
      <c r="U9037" s="16" t="s">
        <v>31</v>
      </c>
      <c r="V9037" s="14" t="s">
        <v>55964</v>
      </c>
      <c r="W9037" s="14" t="s">
        <v>55653</v>
      </c>
      <c r="X9037" s="17" t="str">
        <f>HYPERLINK("https://my.pitchbook.com?p=136951-84P","View People Online")</f>
        <v>View People Online</v>
      </c>
    </row>
    <row r="9038">
      <c r="A9038" s="2" t="s">
        <v>55965</v>
      </c>
      <c r="B9038" s="2" t="s">
        <v>55966</v>
      </c>
      <c r="C9038" s="2" t="s">
        <v>32892</v>
      </c>
      <c r="D9038" s="2" t="s">
        <v>55967</v>
      </c>
      <c r="E9038" s="2" t="s">
        <v>55653</v>
      </c>
      <c r="F9038" s="2" t="s">
        <v>26897</v>
      </c>
      <c r="G9038" s="2" t="s">
        <v>55968</v>
      </c>
      <c r="H9038" s="3" t="s">
        <v>31</v>
      </c>
      <c r="I9038" s="3">
        <v>1.0</v>
      </c>
      <c r="J9038" s="3">
        <v>1.0</v>
      </c>
      <c r="K9038" s="3" t="s">
        <v>31</v>
      </c>
      <c r="L9038" s="4" t="s">
        <v>55655</v>
      </c>
      <c r="M9038" s="2" t="s">
        <v>55969</v>
      </c>
      <c r="N9038" s="2" t="s">
        <v>612</v>
      </c>
      <c r="O9038" s="4" t="s">
        <v>613</v>
      </c>
      <c r="P9038" s="2" t="s">
        <v>55657</v>
      </c>
      <c r="Q9038" s="2" t="s">
        <v>1457</v>
      </c>
      <c r="R9038" s="2" t="s">
        <v>616</v>
      </c>
      <c r="S9038" s="4" t="s">
        <v>617</v>
      </c>
      <c r="T9038" s="2" t="s">
        <v>66</v>
      </c>
      <c r="U9038" s="4" t="s">
        <v>31</v>
      </c>
      <c r="V9038" s="2" t="s">
        <v>55696</v>
      </c>
      <c r="W9038" s="2" t="s">
        <v>55653</v>
      </c>
      <c r="X9038" s="5" t="str">
        <f>HYPERLINK("https://my.pitchbook.com?p=429525-01P","View People Online")</f>
        <v>View People Online</v>
      </c>
    </row>
    <row r="9039">
      <c r="A9039" s="6" t="s">
        <v>55970</v>
      </c>
      <c r="B9039" s="6" t="s">
        <v>55971</v>
      </c>
      <c r="C9039" s="6" t="s">
        <v>160</v>
      </c>
      <c r="D9039" s="6" t="s">
        <v>55972</v>
      </c>
      <c r="E9039" s="6" t="s">
        <v>55653</v>
      </c>
      <c r="F9039" s="6" t="s">
        <v>825</v>
      </c>
      <c r="G9039" s="6" t="s">
        <v>55973</v>
      </c>
      <c r="H9039" s="7" t="s">
        <v>31</v>
      </c>
      <c r="I9039" s="7">
        <v>1.0</v>
      </c>
      <c r="J9039" s="7">
        <v>1.0</v>
      </c>
      <c r="K9039" s="7" t="s">
        <v>31</v>
      </c>
      <c r="L9039" s="8" t="s">
        <v>55655</v>
      </c>
      <c r="M9039" s="6" t="s">
        <v>55974</v>
      </c>
      <c r="N9039" s="6" t="s">
        <v>612</v>
      </c>
      <c r="O9039" s="8" t="s">
        <v>613</v>
      </c>
      <c r="P9039" s="6" t="s">
        <v>55657</v>
      </c>
      <c r="Q9039" s="6" t="s">
        <v>1457</v>
      </c>
      <c r="R9039" s="6" t="s">
        <v>616</v>
      </c>
      <c r="S9039" s="8" t="s">
        <v>617</v>
      </c>
      <c r="T9039" s="6" t="s">
        <v>66</v>
      </c>
      <c r="U9039" s="8" t="s">
        <v>31</v>
      </c>
      <c r="V9039" s="6" t="s">
        <v>55975</v>
      </c>
      <c r="W9039" s="6" t="s">
        <v>55653</v>
      </c>
      <c r="X9039" s="9" t="str">
        <f>HYPERLINK("https://my.pitchbook.com?p=136955-26P","View People Online")</f>
        <v>View People Online</v>
      </c>
    </row>
    <row r="9040">
      <c r="A9040" s="10" t="s">
        <v>55976</v>
      </c>
      <c r="B9040" s="10" t="s">
        <v>55977</v>
      </c>
      <c r="C9040" s="10" t="s">
        <v>160</v>
      </c>
      <c r="D9040" s="10" t="s">
        <v>55978</v>
      </c>
      <c r="E9040" s="10" t="s">
        <v>55653</v>
      </c>
      <c r="F9040" s="10" t="s">
        <v>201</v>
      </c>
      <c r="G9040" s="10" t="s">
        <v>55979</v>
      </c>
      <c r="H9040" s="11" t="s">
        <v>31</v>
      </c>
      <c r="I9040" s="11">
        <v>1.0</v>
      </c>
      <c r="J9040" s="11">
        <v>1.0</v>
      </c>
      <c r="K9040" s="11" t="s">
        <v>31</v>
      </c>
      <c r="L9040" s="12" t="s">
        <v>55655</v>
      </c>
      <c r="M9040" s="10" t="s">
        <v>55980</v>
      </c>
      <c r="N9040" s="10" t="s">
        <v>612</v>
      </c>
      <c r="O9040" s="12" t="s">
        <v>613</v>
      </c>
      <c r="P9040" s="10" t="s">
        <v>55657</v>
      </c>
      <c r="Q9040" s="10" t="s">
        <v>1457</v>
      </c>
      <c r="R9040" s="10" t="s">
        <v>616</v>
      </c>
      <c r="S9040" s="12" t="s">
        <v>617</v>
      </c>
      <c r="T9040" s="10" t="s">
        <v>66</v>
      </c>
      <c r="U9040" s="12" t="s">
        <v>31</v>
      </c>
      <c r="V9040" s="10" t="s">
        <v>55729</v>
      </c>
      <c r="W9040" s="10" t="s">
        <v>55653</v>
      </c>
      <c r="X9040" s="13" t="str">
        <f>HYPERLINK("https://my.pitchbook.com?p=273029-32P","View People Online")</f>
        <v>View People Online</v>
      </c>
    </row>
    <row r="9041">
      <c r="A9041" s="14" t="s">
        <v>55981</v>
      </c>
      <c r="B9041" s="14" t="s">
        <v>55982</v>
      </c>
      <c r="C9041" s="14" t="s">
        <v>160</v>
      </c>
      <c r="D9041" s="14" t="s">
        <v>55983</v>
      </c>
      <c r="E9041" s="14" t="s">
        <v>55653</v>
      </c>
      <c r="F9041" s="14" t="s">
        <v>26897</v>
      </c>
      <c r="G9041" s="14" t="s">
        <v>55984</v>
      </c>
      <c r="H9041" s="15" t="s">
        <v>31</v>
      </c>
      <c r="I9041" s="15">
        <v>1.0</v>
      </c>
      <c r="J9041" s="15">
        <v>1.0</v>
      </c>
      <c r="K9041" s="15" t="s">
        <v>31</v>
      </c>
      <c r="L9041" s="16" t="s">
        <v>55655</v>
      </c>
      <c r="M9041" s="14" t="s">
        <v>55985</v>
      </c>
      <c r="N9041" s="14" t="s">
        <v>612</v>
      </c>
      <c r="O9041" s="16" t="s">
        <v>613</v>
      </c>
      <c r="P9041" s="14" t="s">
        <v>55657</v>
      </c>
      <c r="Q9041" s="14" t="s">
        <v>1457</v>
      </c>
      <c r="R9041" s="14" t="s">
        <v>616</v>
      </c>
      <c r="S9041" s="16" t="s">
        <v>617</v>
      </c>
      <c r="T9041" s="14" t="s">
        <v>66</v>
      </c>
      <c r="U9041" s="16" t="s">
        <v>31</v>
      </c>
      <c r="V9041" s="14" t="s">
        <v>55696</v>
      </c>
      <c r="W9041" s="14" t="s">
        <v>55653</v>
      </c>
      <c r="X9041" s="17" t="str">
        <f>HYPERLINK("https://my.pitchbook.com?p=60518-17P","View People Online")</f>
        <v>View People Online</v>
      </c>
    </row>
    <row r="9042">
      <c r="A9042" s="10" t="s">
        <v>55986</v>
      </c>
      <c r="B9042" s="10" t="s">
        <v>55987</v>
      </c>
      <c r="C9042" s="10" t="s">
        <v>126</v>
      </c>
      <c r="D9042" s="10" t="s">
        <v>55988</v>
      </c>
      <c r="E9042" s="10" t="s">
        <v>55653</v>
      </c>
      <c r="F9042" s="10" t="s">
        <v>29</v>
      </c>
      <c r="G9042" s="10" t="s">
        <v>55989</v>
      </c>
      <c r="H9042" s="11">
        <v>3.0</v>
      </c>
      <c r="I9042" s="11">
        <v>8.0</v>
      </c>
      <c r="J9042" s="11">
        <v>1.0</v>
      </c>
      <c r="K9042" s="11">
        <v>4.0</v>
      </c>
      <c r="L9042" s="12" t="s">
        <v>55655</v>
      </c>
      <c r="M9042" s="10" t="s">
        <v>55990</v>
      </c>
      <c r="N9042" s="10" t="s">
        <v>612</v>
      </c>
      <c r="O9042" s="12" t="s">
        <v>613</v>
      </c>
      <c r="P9042" s="10" t="s">
        <v>55657</v>
      </c>
      <c r="Q9042" s="10" t="s">
        <v>1457</v>
      </c>
      <c r="R9042" s="10" t="s">
        <v>616</v>
      </c>
      <c r="S9042" s="12" t="s">
        <v>617</v>
      </c>
      <c r="T9042" s="10" t="s">
        <v>66</v>
      </c>
      <c r="U9042" s="12" t="s">
        <v>31</v>
      </c>
      <c r="V9042" s="10" t="s">
        <v>29</v>
      </c>
      <c r="W9042" s="10" t="s">
        <v>55653</v>
      </c>
      <c r="X9042" s="13" t="str">
        <f>HYPERLINK("https://my.pitchbook.com?p=60512-59P","View People Online")</f>
        <v>View People Online</v>
      </c>
    </row>
    <row r="9043">
      <c r="A9043" s="14" t="s">
        <v>55991</v>
      </c>
      <c r="B9043" s="14" t="s">
        <v>55992</v>
      </c>
      <c r="C9043" s="14" t="s">
        <v>126</v>
      </c>
      <c r="D9043" s="14" t="s">
        <v>55993</v>
      </c>
      <c r="E9043" s="14" t="s">
        <v>55653</v>
      </c>
      <c r="F9043" s="14" t="s">
        <v>57</v>
      </c>
      <c r="G9043" s="14" t="s">
        <v>55994</v>
      </c>
      <c r="H9043" s="15">
        <v>5.0</v>
      </c>
      <c r="I9043" s="15">
        <v>16.0</v>
      </c>
      <c r="J9043" s="15">
        <v>1.0</v>
      </c>
      <c r="K9043" s="15">
        <v>9.0</v>
      </c>
      <c r="L9043" s="16" t="s">
        <v>41386</v>
      </c>
      <c r="M9043" s="14" t="s">
        <v>55995</v>
      </c>
      <c r="N9043" s="14" t="s">
        <v>612</v>
      </c>
      <c r="O9043" s="16" t="s">
        <v>613</v>
      </c>
      <c r="P9043" s="14" t="s">
        <v>55657</v>
      </c>
      <c r="Q9043" s="14" t="s">
        <v>1457</v>
      </c>
      <c r="R9043" s="14" t="s">
        <v>616</v>
      </c>
      <c r="S9043" s="16" t="s">
        <v>617</v>
      </c>
      <c r="T9043" s="14" t="s">
        <v>66</v>
      </c>
      <c r="U9043" s="16" t="s">
        <v>31</v>
      </c>
      <c r="V9043" s="14" t="s">
        <v>57</v>
      </c>
      <c r="W9043" s="14" t="s">
        <v>55653</v>
      </c>
      <c r="X9043" s="17" t="str">
        <f>HYPERLINK("https://my.pitchbook.com?p=187775-20P","View People Online")</f>
        <v>View People Online</v>
      </c>
    </row>
    <row r="9044">
      <c r="A9044" s="2" t="s">
        <v>55996</v>
      </c>
      <c r="B9044" s="2" t="s">
        <v>55997</v>
      </c>
      <c r="C9044" s="2" t="s">
        <v>126</v>
      </c>
      <c r="D9044" s="2" t="s">
        <v>55998</v>
      </c>
      <c r="E9044" s="2" t="s">
        <v>55653</v>
      </c>
      <c r="F9044" s="2" t="s">
        <v>7055</v>
      </c>
      <c r="G9044" s="2" t="s">
        <v>55999</v>
      </c>
      <c r="H9044" s="3" t="s">
        <v>31</v>
      </c>
      <c r="I9044" s="3">
        <v>1.0</v>
      </c>
      <c r="J9044" s="3">
        <v>1.0</v>
      </c>
      <c r="K9044" s="3" t="s">
        <v>31</v>
      </c>
      <c r="L9044" s="4" t="s">
        <v>55655</v>
      </c>
      <c r="M9044" s="2" t="s">
        <v>56000</v>
      </c>
      <c r="N9044" s="2" t="s">
        <v>612</v>
      </c>
      <c r="O9044" s="4" t="s">
        <v>613</v>
      </c>
      <c r="P9044" s="2" t="s">
        <v>55657</v>
      </c>
      <c r="Q9044" s="2" t="s">
        <v>1457</v>
      </c>
      <c r="R9044" s="2" t="s">
        <v>616</v>
      </c>
      <c r="S9044" s="4" t="s">
        <v>617</v>
      </c>
      <c r="T9044" s="2" t="s">
        <v>66</v>
      </c>
      <c r="U9044" s="4" t="s">
        <v>31</v>
      </c>
      <c r="V9044" s="2" t="s">
        <v>56001</v>
      </c>
      <c r="W9044" s="2" t="s">
        <v>55653</v>
      </c>
      <c r="X9044" s="5" t="str">
        <f>HYPERLINK("https://my.pitchbook.com?p=60517-90P","View People Online")</f>
        <v>View People Online</v>
      </c>
    </row>
    <row r="9045">
      <c r="A9045" s="6" t="s">
        <v>56002</v>
      </c>
      <c r="B9045" s="6" t="s">
        <v>56003</v>
      </c>
      <c r="C9045" s="6" t="s">
        <v>126</v>
      </c>
      <c r="D9045" s="6" t="s">
        <v>56004</v>
      </c>
      <c r="E9045" s="6" t="s">
        <v>55653</v>
      </c>
      <c r="F9045" s="6" t="s">
        <v>667</v>
      </c>
      <c r="G9045" s="6" t="s">
        <v>56005</v>
      </c>
      <c r="H9045" s="7" t="s">
        <v>31</v>
      </c>
      <c r="I9045" s="7">
        <v>1.0</v>
      </c>
      <c r="J9045" s="7">
        <v>1.0</v>
      </c>
      <c r="K9045" s="7" t="s">
        <v>31</v>
      </c>
      <c r="L9045" s="8" t="s">
        <v>55655</v>
      </c>
      <c r="M9045" s="6" t="s">
        <v>56006</v>
      </c>
      <c r="N9045" s="6" t="s">
        <v>612</v>
      </c>
      <c r="O9045" s="8" t="s">
        <v>613</v>
      </c>
      <c r="P9045" s="6" t="s">
        <v>55657</v>
      </c>
      <c r="Q9045" s="6" t="s">
        <v>1457</v>
      </c>
      <c r="R9045" s="6" t="s">
        <v>616</v>
      </c>
      <c r="S9045" s="8" t="s">
        <v>617</v>
      </c>
      <c r="T9045" s="6" t="s">
        <v>66</v>
      </c>
      <c r="U9045" s="8" t="s">
        <v>31</v>
      </c>
      <c r="V9045" s="6" t="s">
        <v>56007</v>
      </c>
      <c r="W9045" s="6" t="s">
        <v>55653</v>
      </c>
      <c r="X9045" s="9" t="str">
        <f>HYPERLINK("https://my.pitchbook.com?p=429537-70P","View People Online")</f>
        <v>View People Online</v>
      </c>
    </row>
    <row r="9046">
      <c r="A9046" s="2" t="s">
        <v>56008</v>
      </c>
      <c r="B9046" s="2" t="s">
        <v>56009</v>
      </c>
      <c r="C9046" s="2" t="s">
        <v>126</v>
      </c>
      <c r="D9046" s="2" t="s">
        <v>56010</v>
      </c>
      <c r="E9046" s="2" t="s">
        <v>55653</v>
      </c>
      <c r="F9046" s="2" t="s">
        <v>10762</v>
      </c>
      <c r="G9046" s="2" t="s">
        <v>56011</v>
      </c>
      <c r="H9046" s="3" t="s">
        <v>31</v>
      </c>
      <c r="I9046" s="3">
        <v>1.0</v>
      </c>
      <c r="J9046" s="3">
        <v>1.0</v>
      </c>
      <c r="K9046" s="3" t="s">
        <v>31</v>
      </c>
      <c r="L9046" s="4" t="s">
        <v>55655</v>
      </c>
      <c r="M9046" s="2" t="s">
        <v>56012</v>
      </c>
      <c r="N9046" s="2" t="s">
        <v>612</v>
      </c>
      <c r="O9046" s="4" t="s">
        <v>613</v>
      </c>
      <c r="P9046" s="2" t="s">
        <v>55657</v>
      </c>
      <c r="Q9046" s="2" t="s">
        <v>1457</v>
      </c>
      <c r="R9046" s="2" t="s">
        <v>616</v>
      </c>
      <c r="S9046" s="4" t="s">
        <v>617</v>
      </c>
      <c r="T9046" s="2" t="s">
        <v>66</v>
      </c>
      <c r="U9046" s="4" t="s">
        <v>31</v>
      </c>
      <c r="V9046" s="2" t="s">
        <v>56013</v>
      </c>
      <c r="W9046" s="2" t="s">
        <v>55653</v>
      </c>
      <c r="X9046" s="5" t="str">
        <f>HYPERLINK("https://my.pitchbook.com?p=60507-91P","View People Online")</f>
        <v>View People Online</v>
      </c>
    </row>
    <row r="9047">
      <c r="A9047" s="6" t="s">
        <v>56014</v>
      </c>
      <c r="B9047" s="6" t="s">
        <v>56015</v>
      </c>
      <c r="C9047" s="6" t="s">
        <v>1807</v>
      </c>
      <c r="D9047" s="6" t="s">
        <v>56016</v>
      </c>
      <c r="E9047" s="6" t="s">
        <v>55653</v>
      </c>
      <c r="F9047" s="6" t="s">
        <v>270</v>
      </c>
      <c r="G9047" s="6" t="s">
        <v>56017</v>
      </c>
      <c r="H9047" s="7" t="s">
        <v>31</v>
      </c>
      <c r="I9047" s="7">
        <v>1.0</v>
      </c>
      <c r="J9047" s="7">
        <v>1.0</v>
      </c>
      <c r="K9047" s="7" t="s">
        <v>31</v>
      </c>
      <c r="L9047" s="8" t="s">
        <v>55655</v>
      </c>
      <c r="M9047" s="6" t="s">
        <v>56018</v>
      </c>
      <c r="N9047" s="6" t="s">
        <v>612</v>
      </c>
      <c r="O9047" s="8" t="s">
        <v>613</v>
      </c>
      <c r="P9047" s="6" t="s">
        <v>55657</v>
      </c>
      <c r="Q9047" s="6" t="s">
        <v>1457</v>
      </c>
      <c r="R9047" s="6" t="s">
        <v>616</v>
      </c>
      <c r="S9047" s="8" t="s">
        <v>617</v>
      </c>
      <c r="T9047" s="6" t="s">
        <v>66</v>
      </c>
      <c r="U9047" s="8" t="s">
        <v>31</v>
      </c>
      <c r="V9047" s="6" t="s">
        <v>56019</v>
      </c>
      <c r="W9047" s="6" t="s">
        <v>55653</v>
      </c>
      <c r="X9047" s="9" t="str">
        <f>HYPERLINK("https://my.pitchbook.com?p=358927-75P","View People Online")</f>
        <v>View People Online</v>
      </c>
    </row>
    <row r="9048">
      <c r="A9048" s="10" t="s">
        <v>56020</v>
      </c>
      <c r="B9048" s="10" t="s">
        <v>56021</v>
      </c>
      <c r="C9048" s="10" t="s">
        <v>23943</v>
      </c>
      <c r="D9048" s="10" t="s">
        <v>22811</v>
      </c>
      <c r="E9048" s="10" t="s">
        <v>55653</v>
      </c>
      <c r="F9048" s="10" t="s">
        <v>548</v>
      </c>
      <c r="G9048" s="10" t="s">
        <v>56022</v>
      </c>
      <c r="H9048" s="11" t="s">
        <v>31</v>
      </c>
      <c r="I9048" s="11">
        <v>1.0</v>
      </c>
      <c r="J9048" s="11">
        <v>1.0</v>
      </c>
      <c r="K9048" s="11" t="s">
        <v>31</v>
      </c>
      <c r="L9048" s="12" t="s">
        <v>55655</v>
      </c>
      <c r="M9048" s="10" t="s">
        <v>56023</v>
      </c>
      <c r="N9048" s="10" t="s">
        <v>612</v>
      </c>
      <c r="O9048" s="12" t="s">
        <v>613</v>
      </c>
      <c r="P9048" s="10" t="s">
        <v>55657</v>
      </c>
      <c r="Q9048" s="10" t="s">
        <v>1457</v>
      </c>
      <c r="R9048" s="10" t="s">
        <v>616</v>
      </c>
      <c r="S9048" s="12" t="s">
        <v>617</v>
      </c>
      <c r="T9048" s="10" t="s">
        <v>66</v>
      </c>
      <c r="U9048" s="12" t="s">
        <v>31</v>
      </c>
      <c r="V9048" s="10" t="s">
        <v>760</v>
      </c>
      <c r="W9048" s="10" t="s">
        <v>55653</v>
      </c>
      <c r="X9048" s="13" t="str">
        <f>HYPERLINK("https://my.pitchbook.com?p=272848-51P","View People Online")</f>
        <v>View People Online</v>
      </c>
    </row>
    <row r="9049">
      <c r="A9049" s="14" t="s">
        <v>56024</v>
      </c>
      <c r="B9049" s="14" t="s">
        <v>56025</v>
      </c>
      <c r="C9049" s="14" t="s">
        <v>56026</v>
      </c>
      <c r="D9049" s="14" t="s">
        <v>56027</v>
      </c>
      <c r="E9049" s="14" t="s">
        <v>55653</v>
      </c>
      <c r="F9049" s="14" t="s">
        <v>1801</v>
      </c>
      <c r="G9049" s="14" t="s">
        <v>56028</v>
      </c>
      <c r="H9049" s="15" t="s">
        <v>31</v>
      </c>
      <c r="I9049" s="15">
        <v>1.0</v>
      </c>
      <c r="J9049" s="15">
        <v>1.0</v>
      </c>
      <c r="K9049" s="15" t="s">
        <v>31</v>
      </c>
      <c r="L9049" s="16" t="s">
        <v>55655</v>
      </c>
      <c r="M9049" s="14" t="s">
        <v>56029</v>
      </c>
      <c r="N9049" s="14" t="s">
        <v>612</v>
      </c>
      <c r="O9049" s="16" t="s">
        <v>613</v>
      </c>
      <c r="P9049" s="14" t="s">
        <v>55657</v>
      </c>
      <c r="Q9049" s="14" t="s">
        <v>1457</v>
      </c>
      <c r="R9049" s="14" t="s">
        <v>616</v>
      </c>
      <c r="S9049" s="16" t="s">
        <v>617</v>
      </c>
      <c r="T9049" s="14" t="s">
        <v>66</v>
      </c>
      <c r="U9049" s="16" t="s">
        <v>31</v>
      </c>
      <c r="V9049" s="14" t="s">
        <v>56030</v>
      </c>
      <c r="W9049" s="14" t="s">
        <v>55653</v>
      </c>
      <c r="X9049" s="17" t="str">
        <f>HYPERLINK("https://my.pitchbook.com?p=136959-76P","View People Online")</f>
        <v>View People Online</v>
      </c>
    </row>
    <row r="9050">
      <c r="A9050" s="10" t="s">
        <v>56031</v>
      </c>
      <c r="B9050" s="10" t="s">
        <v>56032</v>
      </c>
      <c r="C9050" s="10" t="s">
        <v>907</v>
      </c>
      <c r="D9050" s="10" t="s">
        <v>56033</v>
      </c>
      <c r="E9050" s="10" t="s">
        <v>55653</v>
      </c>
      <c r="F9050" s="10" t="s">
        <v>318</v>
      </c>
      <c r="G9050" s="10" t="s">
        <v>56034</v>
      </c>
      <c r="H9050" s="11" t="s">
        <v>31</v>
      </c>
      <c r="I9050" s="11">
        <v>1.0</v>
      </c>
      <c r="J9050" s="11">
        <v>1.0</v>
      </c>
      <c r="K9050" s="11" t="s">
        <v>31</v>
      </c>
      <c r="L9050" s="12" t="s">
        <v>55655</v>
      </c>
      <c r="M9050" s="10" t="s">
        <v>56035</v>
      </c>
      <c r="N9050" s="10" t="s">
        <v>612</v>
      </c>
      <c r="O9050" s="12" t="s">
        <v>613</v>
      </c>
      <c r="P9050" s="10" t="s">
        <v>55657</v>
      </c>
      <c r="Q9050" s="10" t="s">
        <v>1457</v>
      </c>
      <c r="R9050" s="10" t="s">
        <v>616</v>
      </c>
      <c r="S9050" s="12" t="s">
        <v>617</v>
      </c>
      <c r="T9050" s="10" t="s">
        <v>66</v>
      </c>
      <c r="U9050" s="12" t="s">
        <v>31</v>
      </c>
      <c r="V9050" s="10" t="s">
        <v>56036</v>
      </c>
      <c r="W9050" s="10" t="s">
        <v>55653</v>
      </c>
      <c r="X9050" s="13" t="str">
        <f>HYPERLINK("https://my.pitchbook.com?p=273044-44P","View People Online")</f>
        <v>View People Online</v>
      </c>
    </row>
    <row r="9051">
      <c r="A9051" s="14" t="s">
        <v>56037</v>
      </c>
      <c r="B9051" s="14" t="s">
        <v>56038</v>
      </c>
      <c r="C9051" s="14" t="s">
        <v>26594</v>
      </c>
      <c r="D9051" s="14" t="s">
        <v>56039</v>
      </c>
      <c r="E9051" s="14" t="s">
        <v>55653</v>
      </c>
      <c r="F9051" s="14" t="s">
        <v>1801</v>
      </c>
      <c r="G9051" s="14" t="s">
        <v>56040</v>
      </c>
      <c r="H9051" s="15" t="s">
        <v>31</v>
      </c>
      <c r="I9051" s="15">
        <v>1.0</v>
      </c>
      <c r="J9051" s="15">
        <v>1.0</v>
      </c>
      <c r="K9051" s="15" t="s">
        <v>31</v>
      </c>
      <c r="L9051" s="16" t="s">
        <v>55655</v>
      </c>
      <c r="M9051" s="14" t="s">
        <v>56041</v>
      </c>
      <c r="N9051" s="14" t="s">
        <v>612</v>
      </c>
      <c r="O9051" s="16" t="s">
        <v>613</v>
      </c>
      <c r="P9051" s="14" t="s">
        <v>55657</v>
      </c>
      <c r="Q9051" s="14" t="s">
        <v>1457</v>
      </c>
      <c r="R9051" s="14" t="s">
        <v>616</v>
      </c>
      <c r="S9051" s="16" t="s">
        <v>617</v>
      </c>
      <c r="T9051" s="14" t="s">
        <v>66</v>
      </c>
      <c r="U9051" s="16" t="s">
        <v>31</v>
      </c>
      <c r="V9051" s="14" t="s">
        <v>56042</v>
      </c>
      <c r="W9051" s="14" t="s">
        <v>55653</v>
      </c>
      <c r="X9051" s="17" t="str">
        <f>HYPERLINK("https://my.pitchbook.com?p=136948-78P","View People Online")</f>
        <v>View People Online</v>
      </c>
    </row>
    <row r="9052">
      <c r="A9052" s="10" t="s">
        <v>56043</v>
      </c>
      <c r="B9052" s="10" t="s">
        <v>56044</v>
      </c>
      <c r="C9052" s="10" t="s">
        <v>3228</v>
      </c>
      <c r="D9052" s="10" t="s">
        <v>45530</v>
      </c>
      <c r="E9052" s="10" t="s">
        <v>55653</v>
      </c>
      <c r="F9052" s="10" t="s">
        <v>29</v>
      </c>
      <c r="G9052" s="10" t="s">
        <v>56045</v>
      </c>
      <c r="H9052" s="11">
        <v>4.0</v>
      </c>
      <c r="I9052" s="11">
        <v>21.0</v>
      </c>
      <c r="J9052" s="11">
        <v>1.0</v>
      </c>
      <c r="K9052" s="11">
        <v>12.0</v>
      </c>
      <c r="L9052" s="12" t="s">
        <v>55655</v>
      </c>
      <c r="M9052" s="10" t="s">
        <v>56046</v>
      </c>
      <c r="N9052" s="10" t="s">
        <v>612</v>
      </c>
      <c r="O9052" s="12" t="s">
        <v>613</v>
      </c>
      <c r="P9052" s="10" t="s">
        <v>55657</v>
      </c>
      <c r="Q9052" s="10" t="s">
        <v>1457</v>
      </c>
      <c r="R9052" s="10" t="s">
        <v>616</v>
      </c>
      <c r="S9052" s="12" t="s">
        <v>617</v>
      </c>
      <c r="T9052" s="10" t="s">
        <v>66</v>
      </c>
      <c r="U9052" s="12" t="s">
        <v>31</v>
      </c>
      <c r="V9052" s="10" t="s">
        <v>29</v>
      </c>
      <c r="W9052" s="10" t="s">
        <v>55653</v>
      </c>
      <c r="X9052" s="13" t="str">
        <f>HYPERLINK("https://my.pitchbook.com?p=118230-31P","View People Online")</f>
        <v>View People Online</v>
      </c>
    </row>
    <row r="9053">
      <c r="A9053" s="14" t="s">
        <v>56047</v>
      </c>
      <c r="B9053" s="14" t="s">
        <v>56048</v>
      </c>
      <c r="C9053" s="14" t="s">
        <v>167</v>
      </c>
      <c r="D9053" s="14" t="s">
        <v>56049</v>
      </c>
      <c r="E9053" s="14" t="s">
        <v>55653</v>
      </c>
      <c r="F9053" s="14" t="s">
        <v>201</v>
      </c>
      <c r="G9053" s="14" t="s">
        <v>56050</v>
      </c>
      <c r="H9053" s="15" t="s">
        <v>31</v>
      </c>
      <c r="I9053" s="15">
        <v>1.0</v>
      </c>
      <c r="J9053" s="15">
        <v>1.0</v>
      </c>
      <c r="K9053" s="15" t="s">
        <v>31</v>
      </c>
      <c r="L9053" s="16" t="s">
        <v>55655</v>
      </c>
      <c r="M9053" s="14" t="s">
        <v>56051</v>
      </c>
      <c r="N9053" s="14" t="s">
        <v>612</v>
      </c>
      <c r="O9053" s="16" t="s">
        <v>613</v>
      </c>
      <c r="P9053" s="14" t="s">
        <v>55657</v>
      </c>
      <c r="Q9053" s="14" t="s">
        <v>1457</v>
      </c>
      <c r="R9053" s="14" t="s">
        <v>616</v>
      </c>
      <c r="S9053" s="16" t="s">
        <v>617</v>
      </c>
      <c r="T9053" s="14" t="s">
        <v>66</v>
      </c>
      <c r="U9053" s="16" t="s">
        <v>31</v>
      </c>
      <c r="V9053" s="14" t="s">
        <v>55729</v>
      </c>
      <c r="W9053" s="14" t="s">
        <v>55653</v>
      </c>
      <c r="X9053" s="17" t="str">
        <f>HYPERLINK("https://my.pitchbook.com?p=273031-21P","View People Online")</f>
        <v>View People Online</v>
      </c>
    </row>
    <row r="9054">
      <c r="A9054" s="10" t="s">
        <v>56052</v>
      </c>
      <c r="B9054" s="10" t="s">
        <v>56053</v>
      </c>
      <c r="C9054" s="10" t="s">
        <v>3274</v>
      </c>
      <c r="D9054" s="10" t="s">
        <v>56054</v>
      </c>
      <c r="E9054" s="10" t="s">
        <v>55653</v>
      </c>
      <c r="F9054" s="10" t="s">
        <v>270</v>
      </c>
      <c r="G9054" s="10" t="s">
        <v>56055</v>
      </c>
      <c r="H9054" s="11" t="s">
        <v>31</v>
      </c>
      <c r="I9054" s="11">
        <v>1.0</v>
      </c>
      <c r="J9054" s="11">
        <v>1.0</v>
      </c>
      <c r="K9054" s="11" t="s">
        <v>31</v>
      </c>
      <c r="L9054" s="12" t="s">
        <v>55655</v>
      </c>
      <c r="M9054" s="10" t="s">
        <v>56056</v>
      </c>
      <c r="N9054" s="10" t="s">
        <v>612</v>
      </c>
      <c r="O9054" s="12" t="s">
        <v>613</v>
      </c>
      <c r="P9054" s="10" t="s">
        <v>55657</v>
      </c>
      <c r="Q9054" s="10" t="s">
        <v>1457</v>
      </c>
      <c r="R9054" s="10" t="s">
        <v>616</v>
      </c>
      <c r="S9054" s="12" t="s">
        <v>617</v>
      </c>
      <c r="T9054" s="10" t="s">
        <v>66</v>
      </c>
      <c r="U9054" s="12" t="s">
        <v>31</v>
      </c>
      <c r="V9054" s="10" t="s">
        <v>55669</v>
      </c>
      <c r="W9054" s="10" t="s">
        <v>55653</v>
      </c>
      <c r="X9054" s="13" t="str">
        <f>HYPERLINK("https://my.pitchbook.com?p=273941-56P","View People Online")</f>
        <v>View People Online</v>
      </c>
    </row>
    <row r="9055">
      <c r="A9055" s="14" t="s">
        <v>56057</v>
      </c>
      <c r="B9055" s="14" t="s">
        <v>56058</v>
      </c>
      <c r="C9055" s="14" t="s">
        <v>4015</v>
      </c>
      <c r="D9055" s="14" t="s">
        <v>56059</v>
      </c>
      <c r="E9055" s="14" t="s">
        <v>55653</v>
      </c>
      <c r="F9055" s="14" t="s">
        <v>56060</v>
      </c>
      <c r="G9055" s="14" t="s">
        <v>56061</v>
      </c>
      <c r="H9055" s="15" t="s">
        <v>31</v>
      </c>
      <c r="I9055" s="15">
        <v>1.0</v>
      </c>
      <c r="J9055" s="15">
        <v>1.0</v>
      </c>
      <c r="K9055" s="15" t="s">
        <v>31</v>
      </c>
      <c r="L9055" s="16" t="s">
        <v>55655</v>
      </c>
      <c r="M9055" s="14" t="s">
        <v>56062</v>
      </c>
      <c r="N9055" s="14" t="s">
        <v>612</v>
      </c>
      <c r="O9055" s="16" t="s">
        <v>613</v>
      </c>
      <c r="P9055" s="14" t="s">
        <v>55657</v>
      </c>
      <c r="Q9055" s="14" t="s">
        <v>1457</v>
      </c>
      <c r="R9055" s="14" t="s">
        <v>616</v>
      </c>
      <c r="S9055" s="16" t="s">
        <v>617</v>
      </c>
      <c r="T9055" s="14" t="s">
        <v>66</v>
      </c>
      <c r="U9055" s="16" t="s">
        <v>31</v>
      </c>
      <c r="V9055" s="14" t="s">
        <v>56063</v>
      </c>
      <c r="W9055" s="14" t="s">
        <v>55653</v>
      </c>
      <c r="X9055" s="17" t="str">
        <f>HYPERLINK("https://my.pitchbook.com?p=136942-03P","View People Online")</f>
        <v>View People Online</v>
      </c>
    </row>
    <row r="9056">
      <c r="A9056" s="2" t="s">
        <v>56064</v>
      </c>
      <c r="B9056" s="2" t="s">
        <v>56065</v>
      </c>
      <c r="C9056" s="2" t="s">
        <v>5264</v>
      </c>
      <c r="D9056" s="2" t="s">
        <v>56066</v>
      </c>
      <c r="E9056" s="2" t="s">
        <v>55653</v>
      </c>
      <c r="F9056" s="2" t="s">
        <v>3600</v>
      </c>
      <c r="G9056" s="2" t="s">
        <v>56067</v>
      </c>
      <c r="H9056" s="3" t="s">
        <v>31</v>
      </c>
      <c r="I9056" s="3">
        <v>1.0</v>
      </c>
      <c r="J9056" s="3">
        <v>1.0</v>
      </c>
      <c r="K9056" s="3" t="s">
        <v>31</v>
      </c>
      <c r="L9056" s="4" t="s">
        <v>55655</v>
      </c>
      <c r="M9056" s="2" t="s">
        <v>56068</v>
      </c>
      <c r="N9056" s="2" t="s">
        <v>612</v>
      </c>
      <c r="O9056" s="4" t="s">
        <v>613</v>
      </c>
      <c r="P9056" s="2" t="s">
        <v>55657</v>
      </c>
      <c r="Q9056" s="2" t="s">
        <v>1457</v>
      </c>
      <c r="R9056" s="2" t="s">
        <v>616</v>
      </c>
      <c r="S9056" s="4" t="s">
        <v>617</v>
      </c>
      <c r="T9056" s="2" t="s">
        <v>66</v>
      </c>
      <c r="U9056" s="4" t="s">
        <v>31</v>
      </c>
      <c r="V9056" s="2" t="s">
        <v>56069</v>
      </c>
      <c r="W9056" s="2" t="s">
        <v>55653</v>
      </c>
      <c r="X9056" s="5" t="str">
        <f>HYPERLINK("https://my.pitchbook.com?p=136964-26P","View People Online")</f>
        <v>View People Online</v>
      </c>
    </row>
    <row r="9057">
      <c r="A9057" s="14" t="s">
        <v>56070</v>
      </c>
      <c r="B9057" s="14" t="s">
        <v>56071</v>
      </c>
      <c r="C9057" s="14" t="s">
        <v>3716</v>
      </c>
      <c r="D9057" s="14" t="s">
        <v>56072</v>
      </c>
      <c r="E9057" s="14" t="s">
        <v>55653</v>
      </c>
      <c r="F9057" s="14" t="s">
        <v>3600</v>
      </c>
      <c r="G9057" s="14" t="s">
        <v>56073</v>
      </c>
      <c r="H9057" s="15" t="s">
        <v>31</v>
      </c>
      <c r="I9057" s="15">
        <v>1.0</v>
      </c>
      <c r="J9057" s="15">
        <v>1.0</v>
      </c>
      <c r="K9057" s="15" t="s">
        <v>31</v>
      </c>
      <c r="L9057" s="16" t="s">
        <v>55655</v>
      </c>
      <c r="M9057" s="14" t="s">
        <v>56074</v>
      </c>
      <c r="N9057" s="14" t="s">
        <v>612</v>
      </c>
      <c r="O9057" s="16" t="s">
        <v>613</v>
      </c>
      <c r="P9057" s="14" t="s">
        <v>55657</v>
      </c>
      <c r="Q9057" s="14" t="s">
        <v>1457</v>
      </c>
      <c r="R9057" s="14" t="s">
        <v>616</v>
      </c>
      <c r="S9057" s="16" t="s">
        <v>617</v>
      </c>
      <c r="T9057" s="14" t="s">
        <v>66</v>
      </c>
      <c r="U9057" s="16" t="s">
        <v>31</v>
      </c>
      <c r="V9057" s="14" t="s">
        <v>55902</v>
      </c>
      <c r="W9057" s="14" t="s">
        <v>55653</v>
      </c>
      <c r="X9057" s="17" t="str">
        <f>HYPERLINK("https://my.pitchbook.com?p=284266-27P","View People Online")</f>
        <v>View People Online</v>
      </c>
    </row>
    <row r="9058">
      <c r="A9058" s="2" t="s">
        <v>56075</v>
      </c>
      <c r="B9058" s="2" t="s">
        <v>56076</v>
      </c>
      <c r="C9058" s="2" t="s">
        <v>56077</v>
      </c>
      <c r="D9058" s="2" t="s">
        <v>11337</v>
      </c>
      <c r="E9058" s="2" t="s">
        <v>55653</v>
      </c>
      <c r="F9058" s="2" t="s">
        <v>26897</v>
      </c>
      <c r="G9058" s="2" t="s">
        <v>56078</v>
      </c>
      <c r="H9058" s="3" t="s">
        <v>31</v>
      </c>
      <c r="I9058" s="3">
        <v>1.0</v>
      </c>
      <c r="J9058" s="3">
        <v>1.0</v>
      </c>
      <c r="K9058" s="3" t="s">
        <v>31</v>
      </c>
      <c r="L9058" s="4" t="s">
        <v>55655</v>
      </c>
      <c r="M9058" s="2" t="s">
        <v>56079</v>
      </c>
      <c r="N9058" s="2" t="s">
        <v>612</v>
      </c>
      <c r="O9058" s="4" t="s">
        <v>613</v>
      </c>
      <c r="P9058" s="2" t="s">
        <v>55657</v>
      </c>
      <c r="Q9058" s="2" t="s">
        <v>1457</v>
      </c>
      <c r="R9058" s="2" t="s">
        <v>616</v>
      </c>
      <c r="S9058" s="4" t="s">
        <v>617</v>
      </c>
      <c r="T9058" s="2" t="s">
        <v>66</v>
      </c>
      <c r="U9058" s="4" t="s">
        <v>31</v>
      </c>
      <c r="V9058" s="2" t="s">
        <v>56080</v>
      </c>
      <c r="W9058" s="2" t="s">
        <v>55653</v>
      </c>
      <c r="X9058" s="5" t="str">
        <f>HYPERLINK("https://my.pitchbook.com?p=136947-43P","View People Online")</f>
        <v>View People Online</v>
      </c>
    </row>
    <row r="9059">
      <c r="A9059" s="6" t="s">
        <v>56081</v>
      </c>
      <c r="B9059" s="6" t="s">
        <v>56082</v>
      </c>
      <c r="C9059" s="6" t="s">
        <v>39107</v>
      </c>
      <c r="D9059" s="6" t="s">
        <v>56083</v>
      </c>
      <c r="E9059" s="6" t="s">
        <v>55653</v>
      </c>
      <c r="F9059" s="6" t="s">
        <v>201</v>
      </c>
      <c r="G9059" s="6" t="s">
        <v>56084</v>
      </c>
      <c r="H9059" s="7" t="s">
        <v>31</v>
      </c>
      <c r="I9059" s="7">
        <v>1.0</v>
      </c>
      <c r="J9059" s="7">
        <v>1.0</v>
      </c>
      <c r="K9059" s="7" t="s">
        <v>31</v>
      </c>
      <c r="L9059" s="8" t="s">
        <v>55655</v>
      </c>
      <c r="M9059" s="6" t="s">
        <v>56085</v>
      </c>
      <c r="N9059" s="6" t="s">
        <v>612</v>
      </c>
      <c r="O9059" s="8" t="s">
        <v>613</v>
      </c>
      <c r="P9059" s="6" t="s">
        <v>55657</v>
      </c>
      <c r="Q9059" s="6" t="s">
        <v>1457</v>
      </c>
      <c r="R9059" s="6" t="s">
        <v>616</v>
      </c>
      <c r="S9059" s="8" t="s">
        <v>617</v>
      </c>
      <c r="T9059" s="6" t="s">
        <v>66</v>
      </c>
      <c r="U9059" s="8" t="s">
        <v>31</v>
      </c>
      <c r="V9059" s="6" t="s">
        <v>56086</v>
      </c>
      <c r="W9059" s="6" t="s">
        <v>55653</v>
      </c>
      <c r="X9059" s="9" t="str">
        <f>HYPERLINK("https://my.pitchbook.com?p=263120-86P","View People Online")</f>
        <v>View People Online</v>
      </c>
    </row>
    <row r="9060">
      <c r="A9060" s="2" t="s">
        <v>56087</v>
      </c>
      <c r="B9060" s="2" t="s">
        <v>56088</v>
      </c>
      <c r="C9060" s="2" t="s">
        <v>56089</v>
      </c>
      <c r="D9060" s="2" t="s">
        <v>3637</v>
      </c>
      <c r="E9060" s="2" t="s">
        <v>55653</v>
      </c>
      <c r="F9060" s="2" t="s">
        <v>548</v>
      </c>
      <c r="G9060" s="2" t="s">
        <v>56090</v>
      </c>
      <c r="H9060" s="3" t="s">
        <v>31</v>
      </c>
      <c r="I9060" s="3">
        <v>1.0</v>
      </c>
      <c r="J9060" s="3">
        <v>1.0</v>
      </c>
      <c r="K9060" s="3" t="s">
        <v>31</v>
      </c>
      <c r="L9060" s="4" t="s">
        <v>55655</v>
      </c>
      <c r="M9060" s="2" t="s">
        <v>56091</v>
      </c>
      <c r="N9060" s="2" t="s">
        <v>612</v>
      </c>
      <c r="O9060" s="4" t="s">
        <v>613</v>
      </c>
      <c r="P9060" s="2" t="s">
        <v>55657</v>
      </c>
      <c r="Q9060" s="2" t="s">
        <v>1457</v>
      </c>
      <c r="R9060" s="2" t="s">
        <v>616</v>
      </c>
      <c r="S9060" s="4" t="s">
        <v>617</v>
      </c>
      <c r="T9060" s="2" t="s">
        <v>66</v>
      </c>
      <c r="U9060" s="4" t="s">
        <v>31</v>
      </c>
      <c r="V9060" s="2" t="s">
        <v>56092</v>
      </c>
      <c r="W9060" s="2" t="s">
        <v>55653</v>
      </c>
      <c r="X9060" s="5" t="str">
        <f>HYPERLINK("https://my.pitchbook.com?p=273059-02P","View People Online")</f>
        <v>View People Online</v>
      </c>
    </row>
    <row r="9061">
      <c r="A9061" s="14" t="s">
        <v>56093</v>
      </c>
      <c r="B9061" s="14" t="s">
        <v>56094</v>
      </c>
      <c r="C9061" s="14" t="s">
        <v>54853</v>
      </c>
      <c r="D9061" s="14" t="s">
        <v>1866</v>
      </c>
      <c r="E9061" s="14" t="s">
        <v>55653</v>
      </c>
      <c r="F9061" s="14" t="s">
        <v>221</v>
      </c>
      <c r="G9061" s="14" t="s">
        <v>56095</v>
      </c>
      <c r="H9061" s="15" t="s">
        <v>31</v>
      </c>
      <c r="I9061" s="15">
        <v>1.0</v>
      </c>
      <c r="J9061" s="15">
        <v>1.0</v>
      </c>
      <c r="K9061" s="15" t="s">
        <v>31</v>
      </c>
      <c r="L9061" s="16" t="s">
        <v>55655</v>
      </c>
      <c r="M9061" s="14" t="s">
        <v>56096</v>
      </c>
      <c r="N9061" s="14" t="s">
        <v>612</v>
      </c>
      <c r="O9061" s="16" t="s">
        <v>613</v>
      </c>
      <c r="P9061" s="14" t="s">
        <v>55657</v>
      </c>
      <c r="Q9061" s="14" t="s">
        <v>1457</v>
      </c>
      <c r="R9061" s="14" t="s">
        <v>616</v>
      </c>
      <c r="S9061" s="16" t="s">
        <v>617</v>
      </c>
      <c r="T9061" s="14" t="s">
        <v>66</v>
      </c>
      <c r="U9061" s="16" t="s">
        <v>31</v>
      </c>
      <c r="V9061" s="14" t="s">
        <v>221</v>
      </c>
      <c r="W9061" s="14" t="s">
        <v>55653</v>
      </c>
      <c r="X9061" s="17" t="str">
        <f>HYPERLINK("https://my.pitchbook.com?p=223442-11P","View People Online")</f>
        <v>View People Online</v>
      </c>
    </row>
    <row r="9062">
      <c r="A9062" s="10" t="s">
        <v>56097</v>
      </c>
      <c r="B9062" s="10" t="s">
        <v>56098</v>
      </c>
      <c r="C9062" s="10" t="s">
        <v>3722</v>
      </c>
      <c r="D9062" s="10" t="s">
        <v>56099</v>
      </c>
      <c r="E9062" s="10" t="s">
        <v>55653</v>
      </c>
      <c r="F9062" s="10" t="s">
        <v>1283</v>
      </c>
      <c r="G9062" s="10" t="s">
        <v>56100</v>
      </c>
      <c r="H9062" s="11" t="s">
        <v>31</v>
      </c>
      <c r="I9062" s="11">
        <v>1.0</v>
      </c>
      <c r="J9062" s="11">
        <v>1.0</v>
      </c>
      <c r="K9062" s="11" t="s">
        <v>31</v>
      </c>
      <c r="L9062" s="12" t="s">
        <v>55655</v>
      </c>
      <c r="M9062" s="10" t="s">
        <v>56101</v>
      </c>
      <c r="N9062" s="10" t="s">
        <v>612</v>
      </c>
      <c r="O9062" s="12" t="s">
        <v>613</v>
      </c>
      <c r="P9062" s="10" t="s">
        <v>55657</v>
      </c>
      <c r="Q9062" s="10" t="s">
        <v>1457</v>
      </c>
      <c r="R9062" s="10" t="s">
        <v>616</v>
      </c>
      <c r="S9062" s="12" t="s">
        <v>617</v>
      </c>
      <c r="T9062" s="10" t="s">
        <v>66</v>
      </c>
      <c r="U9062" s="12" t="s">
        <v>31</v>
      </c>
      <c r="V9062" s="10" t="s">
        <v>55681</v>
      </c>
      <c r="W9062" s="10" t="s">
        <v>55653</v>
      </c>
      <c r="X9062" s="13" t="str">
        <f>HYPERLINK("https://my.pitchbook.com?p=127027-36P","View People Online")</f>
        <v>View People Online</v>
      </c>
    </row>
    <row r="9063">
      <c r="A9063" s="14" t="s">
        <v>56102</v>
      </c>
      <c r="B9063" s="14" t="s">
        <v>56103</v>
      </c>
      <c r="C9063" s="14" t="s">
        <v>3722</v>
      </c>
      <c r="D9063" s="14" t="s">
        <v>12548</v>
      </c>
      <c r="E9063" s="14" t="s">
        <v>55653</v>
      </c>
      <c r="F9063" s="14" t="s">
        <v>57</v>
      </c>
      <c r="G9063" s="14" t="s">
        <v>56104</v>
      </c>
      <c r="H9063" s="15">
        <v>1.0</v>
      </c>
      <c r="I9063" s="15">
        <v>13.0</v>
      </c>
      <c r="J9063" s="15">
        <v>1.0</v>
      </c>
      <c r="K9063" s="15">
        <v>8.0</v>
      </c>
      <c r="L9063" s="16" t="s">
        <v>55655</v>
      </c>
      <c r="M9063" s="14" t="s">
        <v>56105</v>
      </c>
      <c r="N9063" s="14" t="s">
        <v>612</v>
      </c>
      <c r="O9063" s="16" t="s">
        <v>613</v>
      </c>
      <c r="P9063" s="14" t="s">
        <v>55657</v>
      </c>
      <c r="Q9063" s="14" t="s">
        <v>1457</v>
      </c>
      <c r="R9063" s="14" t="s">
        <v>616</v>
      </c>
      <c r="S9063" s="16" t="s">
        <v>617</v>
      </c>
      <c r="T9063" s="14" t="s">
        <v>66</v>
      </c>
      <c r="U9063" s="16" t="s">
        <v>31</v>
      </c>
      <c r="V9063" s="14" t="s">
        <v>2379</v>
      </c>
      <c r="W9063" s="14" t="s">
        <v>56106</v>
      </c>
      <c r="X9063" s="17" t="str">
        <f>HYPERLINK("https://my.pitchbook.com?p=190284-40P","View People Online")</f>
        <v>View People Online</v>
      </c>
    </row>
    <row r="9064">
      <c r="A9064" s="2" t="s">
        <v>56107</v>
      </c>
      <c r="B9064" s="2" t="s">
        <v>56108</v>
      </c>
      <c r="C9064" s="2" t="s">
        <v>42624</v>
      </c>
      <c r="D9064" s="2" t="s">
        <v>56109</v>
      </c>
      <c r="E9064" s="2" t="s">
        <v>55653</v>
      </c>
      <c r="F9064" s="2" t="s">
        <v>53716</v>
      </c>
      <c r="G9064" s="2" t="s">
        <v>56110</v>
      </c>
      <c r="H9064" s="3" t="s">
        <v>31</v>
      </c>
      <c r="I9064" s="3">
        <v>1.0</v>
      </c>
      <c r="J9064" s="3">
        <v>1.0</v>
      </c>
      <c r="K9064" s="3" t="s">
        <v>31</v>
      </c>
      <c r="L9064" s="4" t="s">
        <v>55655</v>
      </c>
      <c r="M9064" s="2" t="s">
        <v>56111</v>
      </c>
      <c r="N9064" s="2" t="s">
        <v>612</v>
      </c>
      <c r="O9064" s="4" t="s">
        <v>613</v>
      </c>
      <c r="P9064" s="2" t="s">
        <v>55657</v>
      </c>
      <c r="Q9064" s="2" t="s">
        <v>1457</v>
      </c>
      <c r="R9064" s="2" t="s">
        <v>616</v>
      </c>
      <c r="S9064" s="4" t="s">
        <v>617</v>
      </c>
      <c r="T9064" s="2" t="s">
        <v>66</v>
      </c>
      <c r="U9064" s="4" t="s">
        <v>31</v>
      </c>
      <c r="V9064" s="2" t="s">
        <v>56112</v>
      </c>
      <c r="W9064" s="2" t="s">
        <v>55653</v>
      </c>
      <c r="X9064" s="5" t="str">
        <f>HYPERLINK("https://my.pitchbook.com?p=60506-74P","View People Online")</f>
        <v>View People Online</v>
      </c>
    </row>
    <row r="9065">
      <c r="A9065" s="6" t="s">
        <v>56113</v>
      </c>
      <c r="B9065" s="6" t="s">
        <v>56114</v>
      </c>
      <c r="C9065" s="6" t="s">
        <v>56115</v>
      </c>
      <c r="D9065" s="6" t="s">
        <v>1267</v>
      </c>
      <c r="E9065" s="6" t="s">
        <v>55653</v>
      </c>
      <c r="F9065" s="6" t="s">
        <v>56116</v>
      </c>
      <c r="G9065" s="6" t="s">
        <v>56117</v>
      </c>
      <c r="H9065" s="7" t="s">
        <v>31</v>
      </c>
      <c r="I9065" s="7">
        <v>1.0</v>
      </c>
      <c r="J9065" s="7">
        <v>1.0</v>
      </c>
      <c r="K9065" s="7" t="s">
        <v>31</v>
      </c>
      <c r="L9065" s="8" t="s">
        <v>55655</v>
      </c>
      <c r="M9065" s="6" t="s">
        <v>56118</v>
      </c>
      <c r="N9065" s="6" t="s">
        <v>612</v>
      </c>
      <c r="O9065" s="8" t="s">
        <v>613</v>
      </c>
      <c r="P9065" s="6" t="s">
        <v>55657</v>
      </c>
      <c r="Q9065" s="6" t="s">
        <v>1457</v>
      </c>
      <c r="R9065" s="6" t="s">
        <v>616</v>
      </c>
      <c r="S9065" s="8" t="s">
        <v>617</v>
      </c>
      <c r="T9065" s="6" t="s">
        <v>66</v>
      </c>
      <c r="U9065" s="8" t="s">
        <v>31</v>
      </c>
      <c r="V9065" s="6" t="s">
        <v>56119</v>
      </c>
      <c r="W9065" s="6" t="s">
        <v>55653</v>
      </c>
      <c r="X9065" s="9" t="str">
        <f>HYPERLINK("https://my.pitchbook.com?p=250756-84P","View People Online")</f>
        <v>View People Online</v>
      </c>
    </row>
    <row r="9066">
      <c r="A9066" s="2" t="s">
        <v>56120</v>
      </c>
      <c r="B9066" s="2" t="s">
        <v>56121</v>
      </c>
      <c r="C9066" s="2" t="s">
        <v>56122</v>
      </c>
      <c r="D9066" s="2" t="s">
        <v>56123</v>
      </c>
      <c r="E9066" s="2" t="s">
        <v>55653</v>
      </c>
      <c r="F9066" s="2" t="s">
        <v>55757</v>
      </c>
      <c r="G9066" s="2" t="s">
        <v>56124</v>
      </c>
      <c r="H9066" s="3" t="s">
        <v>31</v>
      </c>
      <c r="I9066" s="3">
        <v>1.0</v>
      </c>
      <c r="J9066" s="3">
        <v>1.0</v>
      </c>
      <c r="K9066" s="3" t="s">
        <v>31</v>
      </c>
      <c r="L9066" s="4" t="s">
        <v>55655</v>
      </c>
      <c r="M9066" s="2" t="s">
        <v>56125</v>
      </c>
      <c r="N9066" s="2" t="s">
        <v>612</v>
      </c>
      <c r="O9066" s="4" t="s">
        <v>613</v>
      </c>
      <c r="P9066" s="2" t="s">
        <v>55657</v>
      </c>
      <c r="Q9066" s="2" t="s">
        <v>1457</v>
      </c>
      <c r="R9066" s="2" t="s">
        <v>616</v>
      </c>
      <c r="S9066" s="4" t="s">
        <v>617</v>
      </c>
      <c r="T9066" s="2" t="s">
        <v>66</v>
      </c>
      <c r="U9066" s="4" t="s">
        <v>31</v>
      </c>
      <c r="V9066" s="2" t="s">
        <v>55760</v>
      </c>
      <c r="W9066" s="2" t="s">
        <v>55653</v>
      </c>
      <c r="X9066" s="5" t="str">
        <f>HYPERLINK("https://my.pitchbook.com?p=99640-90P","View People Online")</f>
        <v>View People Online</v>
      </c>
    </row>
    <row r="9067">
      <c r="A9067" s="6" t="s">
        <v>56126</v>
      </c>
      <c r="B9067" s="6" t="s">
        <v>56127</v>
      </c>
      <c r="C9067" s="6" t="s">
        <v>562</v>
      </c>
      <c r="D9067" s="6" t="s">
        <v>6734</v>
      </c>
      <c r="E9067" s="6" t="s">
        <v>55653</v>
      </c>
      <c r="F9067" s="6" t="s">
        <v>667</v>
      </c>
      <c r="G9067" s="6" t="s">
        <v>56128</v>
      </c>
      <c r="H9067" s="7" t="s">
        <v>31</v>
      </c>
      <c r="I9067" s="7">
        <v>1.0</v>
      </c>
      <c r="J9067" s="7">
        <v>1.0</v>
      </c>
      <c r="K9067" s="7" t="s">
        <v>31</v>
      </c>
      <c r="L9067" s="8" t="s">
        <v>55655</v>
      </c>
      <c r="M9067" s="6" t="s">
        <v>56129</v>
      </c>
      <c r="N9067" s="6" t="s">
        <v>612</v>
      </c>
      <c r="O9067" s="8" t="s">
        <v>613</v>
      </c>
      <c r="P9067" s="6" t="s">
        <v>55657</v>
      </c>
      <c r="Q9067" s="6" t="s">
        <v>1457</v>
      </c>
      <c r="R9067" s="6" t="s">
        <v>616</v>
      </c>
      <c r="S9067" s="8" t="s">
        <v>617</v>
      </c>
      <c r="T9067" s="6" t="s">
        <v>66</v>
      </c>
      <c r="U9067" s="8" t="s">
        <v>31</v>
      </c>
      <c r="V9067" s="6" t="s">
        <v>55719</v>
      </c>
      <c r="W9067" s="6" t="s">
        <v>55653</v>
      </c>
      <c r="X9067" s="9" t="str">
        <f>HYPERLINK("https://my.pitchbook.com?p=99653-41P","View People Online")</f>
        <v>View People Online</v>
      </c>
    </row>
    <row r="9068">
      <c r="A9068" s="10" t="s">
        <v>56130</v>
      </c>
      <c r="B9068" s="10" t="s">
        <v>56131</v>
      </c>
      <c r="C9068" s="10" t="s">
        <v>562</v>
      </c>
      <c r="D9068" s="10" t="s">
        <v>56132</v>
      </c>
      <c r="E9068" s="10" t="s">
        <v>55653</v>
      </c>
      <c r="F9068" s="10" t="s">
        <v>53716</v>
      </c>
      <c r="G9068" s="10" t="s">
        <v>56133</v>
      </c>
      <c r="H9068" s="11" t="s">
        <v>31</v>
      </c>
      <c r="I9068" s="11">
        <v>1.0</v>
      </c>
      <c r="J9068" s="11">
        <v>1.0</v>
      </c>
      <c r="K9068" s="11" t="s">
        <v>31</v>
      </c>
      <c r="L9068" s="12" t="s">
        <v>55655</v>
      </c>
      <c r="M9068" s="10" t="s">
        <v>56134</v>
      </c>
      <c r="N9068" s="10" t="s">
        <v>612</v>
      </c>
      <c r="O9068" s="12" t="s">
        <v>613</v>
      </c>
      <c r="P9068" s="10" t="s">
        <v>55657</v>
      </c>
      <c r="Q9068" s="10" t="s">
        <v>1457</v>
      </c>
      <c r="R9068" s="10" t="s">
        <v>616</v>
      </c>
      <c r="S9068" s="12" t="s">
        <v>617</v>
      </c>
      <c r="T9068" s="10" t="s">
        <v>66</v>
      </c>
      <c r="U9068" s="12" t="s">
        <v>31</v>
      </c>
      <c r="V9068" s="10" t="s">
        <v>56112</v>
      </c>
      <c r="W9068" s="10" t="s">
        <v>55653</v>
      </c>
      <c r="X9068" s="13" t="str">
        <f>HYPERLINK("https://my.pitchbook.com?p=60506-20P","View People Online")</f>
        <v>View People Online</v>
      </c>
    </row>
    <row r="9069">
      <c r="A9069" s="14" t="s">
        <v>56135</v>
      </c>
      <c r="B9069" s="14" t="s">
        <v>56136</v>
      </c>
      <c r="C9069" s="14" t="s">
        <v>5574</v>
      </c>
      <c r="D9069" s="14" t="s">
        <v>28011</v>
      </c>
      <c r="E9069" s="14" t="s">
        <v>55653</v>
      </c>
      <c r="F9069" s="14" t="s">
        <v>1801</v>
      </c>
      <c r="G9069" s="14" t="s">
        <v>56137</v>
      </c>
      <c r="H9069" s="15" t="s">
        <v>31</v>
      </c>
      <c r="I9069" s="15">
        <v>1.0</v>
      </c>
      <c r="J9069" s="15">
        <v>1.0</v>
      </c>
      <c r="K9069" s="15" t="s">
        <v>31</v>
      </c>
      <c r="L9069" s="16" t="s">
        <v>55655</v>
      </c>
      <c r="M9069" s="14" t="s">
        <v>56138</v>
      </c>
      <c r="N9069" s="14" t="s">
        <v>612</v>
      </c>
      <c r="O9069" s="16" t="s">
        <v>613</v>
      </c>
      <c r="P9069" s="14" t="s">
        <v>55657</v>
      </c>
      <c r="Q9069" s="14" t="s">
        <v>1457</v>
      </c>
      <c r="R9069" s="14" t="s">
        <v>616</v>
      </c>
      <c r="S9069" s="16" t="s">
        <v>617</v>
      </c>
      <c r="T9069" s="14" t="s">
        <v>66</v>
      </c>
      <c r="U9069" s="16" t="s">
        <v>31</v>
      </c>
      <c r="V9069" s="14" t="s">
        <v>56139</v>
      </c>
      <c r="W9069" s="14" t="s">
        <v>55653</v>
      </c>
      <c r="X9069" s="17" t="str">
        <f>HYPERLINK("https://my.pitchbook.com?p=263118-88P","View People Online")</f>
        <v>View People Online</v>
      </c>
    </row>
    <row r="9070">
      <c r="A9070" s="2" t="s">
        <v>56140</v>
      </c>
      <c r="B9070" s="2" t="s">
        <v>56141</v>
      </c>
      <c r="C9070" s="2" t="s">
        <v>4717</v>
      </c>
      <c r="D9070" s="2" t="s">
        <v>227</v>
      </c>
      <c r="E9070" s="2" t="s">
        <v>55653</v>
      </c>
      <c r="F9070" s="2" t="s">
        <v>53716</v>
      </c>
      <c r="G9070" s="2" t="s">
        <v>56142</v>
      </c>
      <c r="H9070" s="3" t="s">
        <v>31</v>
      </c>
      <c r="I9070" s="3">
        <v>1.0</v>
      </c>
      <c r="J9070" s="3">
        <v>1.0</v>
      </c>
      <c r="K9070" s="3" t="s">
        <v>31</v>
      </c>
      <c r="L9070" s="4" t="s">
        <v>55655</v>
      </c>
      <c r="M9070" s="2" t="s">
        <v>56143</v>
      </c>
      <c r="N9070" s="2" t="s">
        <v>612</v>
      </c>
      <c r="O9070" s="4" t="s">
        <v>613</v>
      </c>
      <c r="P9070" s="2" t="s">
        <v>55657</v>
      </c>
      <c r="Q9070" s="2" t="s">
        <v>1457</v>
      </c>
      <c r="R9070" s="2" t="s">
        <v>616</v>
      </c>
      <c r="S9070" s="4" t="s">
        <v>617</v>
      </c>
      <c r="T9070" s="2" t="s">
        <v>66</v>
      </c>
      <c r="U9070" s="4" t="s">
        <v>31</v>
      </c>
      <c r="V9070" s="2" t="s">
        <v>56112</v>
      </c>
      <c r="W9070" s="2" t="s">
        <v>55653</v>
      </c>
      <c r="X9070" s="5" t="str">
        <f>HYPERLINK("https://my.pitchbook.com?p=60517-99P","View People Online")</f>
        <v>View People Online</v>
      </c>
    </row>
    <row r="9071">
      <c r="A9071" s="6" t="s">
        <v>56144</v>
      </c>
      <c r="B9071" s="6" t="s">
        <v>56145</v>
      </c>
      <c r="C9071" s="6" t="s">
        <v>56146</v>
      </c>
      <c r="D9071" s="6" t="s">
        <v>56147</v>
      </c>
      <c r="E9071" s="6" t="s">
        <v>55653</v>
      </c>
      <c r="F9071" s="6" t="s">
        <v>43923</v>
      </c>
      <c r="G9071" s="6" t="s">
        <v>56148</v>
      </c>
      <c r="H9071" s="7" t="s">
        <v>31</v>
      </c>
      <c r="I9071" s="7">
        <v>1.0</v>
      </c>
      <c r="J9071" s="7">
        <v>1.0</v>
      </c>
      <c r="K9071" s="7" t="s">
        <v>31</v>
      </c>
      <c r="L9071" s="8" t="s">
        <v>55655</v>
      </c>
      <c r="M9071" s="6" t="s">
        <v>56149</v>
      </c>
      <c r="N9071" s="6" t="s">
        <v>612</v>
      </c>
      <c r="O9071" s="8" t="s">
        <v>613</v>
      </c>
      <c r="P9071" s="6" t="s">
        <v>55657</v>
      </c>
      <c r="Q9071" s="6" t="s">
        <v>1457</v>
      </c>
      <c r="R9071" s="6" t="s">
        <v>616</v>
      </c>
      <c r="S9071" s="8" t="s">
        <v>617</v>
      </c>
      <c r="T9071" s="6" t="s">
        <v>66</v>
      </c>
      <c r="U9071" s="8" t="s">
        <v>31</v>
      </c>
      <c r="V9071" s="6" t="s">
        <v>56150</v>
      </c>
      <c r="W9071" s="6" t="s">
        <v>55653</v>
      </c>
      <c r="X9071" s="9" t="str">
        <f>HYPERLINK("https://my.pitchbook.com?p=261804-88P","View People Online")</f>
        <v>View People Online</v>
      </c>
    </row>
    <row r="9072">
      <c r="A9072" s="2" t="s">
        <v>56151</v>
      </c>
      <c r="B9072" s="2" t="s">
        <v>56152</v>
      </c>
      <c r="C9072" s="2" t="s">
        <v>56153</v>
      </c>
      <c r="D9072" s="2" t="s">
        <v>6341</v>
      </c>
      <c r="E9072" s="2" t="s">
        <v>55653</v>
      </c>
      <c r="F9072" s="2" t="s">
        <v>201</v>
      </c>
      <c r="G9072" s="2" t="s">
        <v>56154</v>
      </c>
      <c r="H9072" s="3" t="s">
        <v>31</v>
      </c>
      <c r="I9072" s="3">
        <v>1.0</v>
      </c>
      <c r="J9072" s="3">
        <v>1.0</v>
      </c>
      <c r="K9072" s="3" t="s">
        <v>31</v>
      </c>
      <c r="L9072" s="4" t="s">
        <v>55655</v>
      </c>
      <c r="M9072" s="2" t="s">
        <v>56155</v>
      </c>
      <c r="N9072" s="2" t="s">
        <v>612</v>
      </c>
      <c r="O9072" s="4" t="s">
        <v>613</v>
      </c>
      <c r="P9072" s="2" t="s">
        <v>55657</v>
      </c>
      <c r="Q9072" s="2" t="s">
        <v>1457</v>
      </c>
      <c r="R9072" s="2" t="s">
        <v>616</v>
      </c>
      <c r="S9072" s="4" t="s">
        <v>617</v>
      </c>
      <c r="T9072" s="2" t="s">
        <v>66</v>
      </c>
      <c r="U9072" s="4" t="s">
        <v>31</v>
      </c>
      <c r="V9072" s="2" t="s">
        <v>55729</v>
      </c>
      <c r="W9072" s="2" t="s">
        <v>55653</v>
      </c>
      <c r="X9072" s="5" t="str">
        <f>HYPERLINK("https://my.pitchbook.com?p=429514-39P","View People Online")</f>
        <v>View People Online</v>
      </c>
    </row>
    <row r="9073">
      <c r="A9073" s="6" t="s">
        <v>56156</v>
      </c>
      <c r="B9073" s="6" t="s">
        <v>56157</v>
      </c>
      <c r="C9073" s="6" t="s">
        <v>186</v>
      </c>
      <c r="D9073" s="6" t="s">
        <v>666</v>
      </c>
      <c r="E9073" s="6" t="s">
        <v>56158</v>
      </c>
      <c r="F9073" s="6" t="s">
        <v>221</v>
      </c>
      <c r="G9073" s="6" t="s">
        <v>56159</v>
      </c>
      <c r="H9073" s="7" t="s">
        <v>31</v>
      </c>
      <c r="I9073" s="7">
        <v>2.0</v>
      </c>
      <c r="J9073" s="7">
        <v>1.0</v>
      </c>
      <c r="K9073" s="7">
        <v>1.0</v>
      </c>
      <c r="L9073" s="8" t="s">
        <v>56160</v>
      </c>
      <c r="M9073" s="6" t="s">
        <v>31</v>
      </c>
      <c r="N9073" s="6" t="s">
        <v>6960</v>
      </c>
      <c r="O9073" s="8" t="s">
        <v>6961</v>
      </c>
      <c r="P9073" s="6" t="s">
        <v>56161</v>
      </c>
      <c r="Q9073" s="6" t="s">
        <v>56162</v>
      </c>
      <c r="R9073" s="6" t="s">
        <v>31</v>
      </c>
      <c r="S9073" s="8" t="s">
        <v>56163</v>
      </c>
      <c r="T9073" s="6" t="s">
        <v>6962</v>
      </c>
      <c r="U9073" s="8" t="s">
        <v>31</v>
      </c>
      <c r="V9073" s="6" t="s">
        <v>56164</v>
      </c>
      <c r="W9073" s="6" t="s">
        <v>56158</v>
      </c>
      <c r="X9073" s="9" t="str">
        <f>HYPERLINK("https://my.pitchbook.com?p=422245-36P","View People Online")</f>
        <v>View People Online</v>
      </c>
    </row>
    <row r="9074">
      <c r="A9074" s="10" t="s">
        <v>56165</v>
      </c>
      <c r="B9074" s="10" t="s">
        <v>56166</v>
      </c>
      <c r="C9074" s="10" t="s">
        <v>2688</v>
      </c>
      <c r="D9074" s="10" t="s">
        <v>3775</v>
      </c>
      <c r="E9074" s="10" t="s">
        <v>56158</v>
      </c>
      <c r="F9074" s="10" t="s">
        <v>201</v>
      </c>
      <c r="G9074" s="10" t="s">
        <v>56167</v>
      </c>
      <c r="H9074" s="11" t="s">
        <v>31</v>
      </c>
      <c r="I9074" s="11">
        <v>1.0</v>
      </c>
      <c r="J9074" s="11">
        <v>1.0</v>
      </c>
      <c r="K9074" s="11" t="s">
        <v>31</v>
      </c>
      <c r="L9074" s="12" t="s">
        <v>56160</v>
      </c>
      <c r="M9074" s="10" t="s">
        <v>31</v>
      </c>
      <c r="N9074" s="10" t="s">
        <v>6960</v>
      </c>
      <c r="O9074" s="12" t="s">
        <v>6961</v>
      </c>
      <c r="P9074" s="10" t="s">
        <v>56161</v>
      </c>
      <c r="Q9074" s="10" t="s">
        <v>56162</v>
      </c>
      <c r="R9074" s="10" t="s">
        <v>31</v>
      </c>
      <c r="S9074" s="12" t="s">
        <v>56163</v>
      </c>
      <c r="T9074" s="10" t="s">
        <v>6962</v>
      </c>
      <c r="U9074" s="12" t="s">
        <v>31</v>
      </c>
      <c r="V9074" s="10" t="s">
        <v>56168</v>
      </c>
      <c r="W9074" s="10" t="s">
        <v>56158</v>
      </c>
      <c r="X9074" s="13" t="str">
        <f>HYPERLINK("https://my.pitchbook.com?p=230116-33P","View People Online")</f>
        <v>View People Online</v>
      </c>
    </row>
    <row r="9075">
      <c r="A9075" s="6" t="s">
        <v>56169</v>
      </c>
      <c r="B9075" s="6" t="s">
        <v>56170</v>
      </c>
      <c r="C9075" s="6" t="s">
        <v>54</v>
      </c>
      <c r="D9075" s="6" t="s">
        <v>5431</v>
      </c>
      <c r="E9075" s="6" t="s">
        <v>56158</v>
      </c>
      <c r="F9075" s="6" t="s">
        <v>114</v>
      </c>
      <c r="G9075" s="6" t="s">
        <v>56171</v>
      </c>
      <c r="H9075" s="7">
        <v>3.0</v>
      </c>
      <c r="I9075" s="7">
        <v>29.0</v>
      </c>
      <c r="J9075" s="7">
        <v>4.0</v>
      </c>
      <c r="K9075" s="7">
        <v>17.0</v>
      </c>
      <c r="L9075" s="8" t="s">
        <v>31</v>
      </c>
      <c r="M9075" s="6" t="s">
        <v>31</v>
      </c>
      <c r="N9075" s="6" t="s">
        <v>10290</v>
      </c>
      <c r="O9075" s="8" t="s">
        <v>10291</v>
      </c>
      <c r="P9075" s="6" t="s">
        <v>56172</v>
      </c>
      <c r="Q9075" s="6" t="s">
        <v>31</v>
      </c>
      <c r="R9075" s="6" t="s">
        <v>56173</v>
      </c>
      <c r="S9075" s="8" t="s">
        <v>56174</v>
      </c>
      <c r="T9075" s="6" t="s">
        <v>10295</v>
      </c>
      <c r="U9075" s="8" t="s">
        <v>31</v>
      </c>
      <c r="V9075" s="6" t="s">
        <v>29</v>
      </c>
      <c r="W9075" s="6" t="s">
        <v>56175</v>
      </c>
      <c r="X9075" s="9" t="str">
        <f>HYPERLINK("https://my.pitchbook.com?p=47044-99P","View People Online")</f>
        <v>View People Online</v>
      </c>
    </row>
    <row r="9076">
      <c r="A9076" s="10" t="s">
        <v>56176</v>
      </c>
      <c r="B9076" s="10" t="s">
        <v>56177</v>
      </c>
      <c r="C9076" s="10" t="s">
        <v>3597</v>
      </c>
      <c r="D9076" s="10" t="s">
        <v>837</v>
      </c>
      <c r="E9076" s="10" t="s">
        <v>56158</v>
      </c>
      <c r="F9076" s="10" t="s">
        <v>29</v>
      </c>
      <c r="G9076" s="10" t="s">
        <v>56178</v>
      </c>
      <c r="H9076" s="11">
        <v>3.0</v>
      </c>
      <c r="I9076" s="11">
        <v>15.0</v>
      </c>
      <c r="J9076" s="11">
        <v>1.0</v>
      </c>
      <c r="K9076" s="11">
        <v>9.0</v>
      </c>
      <c r="L9076" s="12" t="s">
        <v>56179</v>
      </c>
      <c r="M9076" s="10" t="s">
        <v>31</v>
      </c>
      <c r="N9076" s="10" t="s">
        <v>6960</v>
      </c>
      <c r="O9076" s="12" t="s">
        <v>6961</v>
      </c>
      <c r="P9076" s="10" t="s">
        <v>56161</v>
      </c>
      <c r="Q9076" s="10" t="s">
        <v>56162</v>
      </c>
      <c r="R9076" s="10" t="s">
        <v>31</v>
      </c>
      <c r="S9076" s="12" t="s">
        <v>56163</v>
      </c>
      <c r="T9076" s="10" t="s">
        <v>6962</v>
      </c>
      <c r="U9076" s="12" t="s">
        <v>31</v>
      </c>
      <c r="V9076" s="10" t="s">
        <v>56180</v>
      </c>
      <c r="W9076" s="10" t="s">
        <v>56158</v>
      </c>
      <c r="X9076" s="13" t="str">
        <f>HYPERLINK("https://my.pitchbook.com?p=98163-82P","View People Online")</f>
        <v>View People Online</v>
      </c>
    </row>
    <row r="9077">
      <c r="A9077" s="6" t="s">
        <v>56181</v>
      </c>
      <c r="B9077" s="6" t="s">
        <v>56182</v>
      </c>
      <c r="C9077" s="6" t="s">
        <v>69</v>
      </c>
      <c r="D9077" s="6" t="s">
        <v>5179</v>
      </c>
      <c r="E9077" s="6" t="s">
        <v>56158</v>
      </c>
      <c r="F9077" s="6" t="s">
        <v>81</v>
      </c>
      <c r="G9077" s="6" t="s">
        <v>56183</v>
      </c>
      <c r="H9077" s="7">
        <v>7.0</v>
      </c>
      <c r="I9077" s="7">
        <v>37.0</v>
      </c>
      <c r="J9077" s="7" t="s">
        <v>31</v>
      </c>
      <c r="K9077" s="7">
        <v>23.0</v>
      </c>
      <c r="L9077" s="8" t="s">
        <v>56160</v>
      </c>
      <c r="M9077" s="6" t="s">
        <v>31</v>
      </c>
      <c r="N9077" s="6" t="s">
        <v>6960</v>
      </c>
      <c r="O9077" s="8" t="s">
        <v>6961</v>
      </c>
      <c r="P9077" s="6" t="s">
        <v>56161</v>
      </c>
      <c r="Q9077" s="6" t="s">
        <v>56162</v>
      </c>
      <c r="R9077" s="6" t="s">
        <v>31</v>
      </c>
      <c r="S9077" s="8" t="s">
        <v>56163</v>
      </c>
      <c r="T9077" s="6" t="s">
        <v>6962</v>
      </c>
      <c r="U9077" s="8" t="s">
        <v>31</v>
      </c>
      <c r="V9077" s="6" t="s">
        <v>81</v>
      </c>
      <c r="W9077" s="6" t="s">
        <v>56158</v>
      </c>
      <c r="X9077" s="9" t="str">
        <f>HYPERLINK("https://my.pitchbook.com?p=98161-48P","View People Online")</f>
        <v>View People Online</v>
      </c>
    </row>
    <row r="9078">
      <c r="A9078" s="2" t="s">
        <v>56184</v>
      </c>
      <c r="B9078" s="2" t="s">
        <v>56185</v>
      </c>
      <c r="C9078" s="2" t="s">
        <v>56186</v>
      </c>
      <c r="D9078" s="2" t="s">
        <v>1073</v>
      </c>
      <c r="E9078" s="2" t="s">
        <v>56158</v>
      </c>
      <c r="F9078" s="2" t="s">
        <v>548</v>
      </c>
      <c r="G9078" s="2" t="s">
        <v>56187</v>
      </c>
      <c r="H9078" s="3" t="s">
        <v>31</v>
      </c>
      <c r="I9078" s="3">
        <v>1.0</v>
      </c>
      <c r="J9078" s="3">
        <v>1.0</v>
      </c>
      <c r="K9078" s="3" t="s">
        <v>31</v>
      </c>
      <c r="L9078" s="4" t="s">
        <v>56160</v>
      </c>
      <c r="M9078" s="2" t="s">
        <v>31</v>
      </c>
      <c r="N9078" s="2" t="s">
        <v>6960</v>
      </c>
      <c r="O9078" s="4" t="s">
        <v>6961</v>
      </c>
      <c r="P9078" s="2" t="s">
        <v>56161</v>
      </c>
      <c r="Q9078" s="2" t="s">
        <v>56162</v>
      </c>
      <c r="R9078" s="2" t="s">
        <v>31</v>
      </c>
      <c r="S9078" s="4" t="s">
        <v>56163</v>
      </c>
      <c r="T9078" s="2" t="s">
        <v>6962</v>
      </c>
      <c r="U9078" s="4" t="s">
        <v>31</v>
      </c>
      <c r="V9078" s="2" t="s">
        <v>548</v>
      </c>
      <c r="W9078" s="2" t="s">
        <v>56158</v>
      </c>
      <c r="X9078" s="5" t="str">
        <f>HYPERLINK("https://my.pitchbook.com?p=230139-82P","View People Online")</f>
        <v>View People Online</v>
      </c>
    </row>
    <row r="9079">
      <c r="A9079" s="14" t="s">
        <v>56188</v>
      </c>
      <c r="B9079" s="14" t="s">
        <v>56189</v>
      </c>
      <c r="C9079" s="14" t="s">
        <v>56190</v>
      </c>
      <c r="D9079" s="14" t="s">
        <v>5832</v>
      </c>
      <c r="E9079" s="14" t="s">
        <v>56158</v>
      </c>
      <c r="F9079" s="14" t="s">
        <v>114</v>
      </c>
      <c r="G9079" s="14" t="s">
        <v>56191</v>
      </c>
      <c r="H9079" s="15" t="s">
        <v>31</v>
      </c>
      <c r="I9079" s="15">
        <v>1.0</v>
      </c>
      <c r="J9079" s="15">
        <v>1.0</v>
      </c>
      <c r="K9079" s="15" t="s">
        <v>31</v>
      </c>
      <c r="L9079" s="16" t="s">
        <v>56160</v>
      </c>
      <c r="M9079" s="14" t="s">
        <v>31</v>
      </c>
      <c r="N9079" s="14" t="s">
        <v>6960</v>
      </c>
      <c r="O9079" s="16" t="s">
        <v>6961</v>
      </c>
      <c r="P9079" s="14" t="s">
        <v>56161</v>
      </c>
      <c r="Q9079" s="14" t="s">
        <v>56162</v>
      </c>
      <c r="R9079" s="14" t="s">
        <v>31</v>
      </c>
      <c r="S9079" s="16" t="s">
        <v>56163</v>
      </c>
      <c r="T9079" s="14" t="s">
        <v>6962</v>
      </c>
      <c r="U9079" s="16" t="s">
        <v>31</v>
      </c>
      <c r="V9079" s="14" t="s">
        <v>114</v>
      </c>
      <c r="W9079" s="14" t="s">
        <v>56158</v>
      </c>
      <c r="X9079" s="17" t="str">
        <f>HYPERLINK("https://my.pitchbook.com?p=36037-45P","View People Online")</f>
        <v>View People Online</v>
      </c>
    </row>
    <row r="9080">
      <c r="A9080" s="10" t="s">
        <v>56192</v>
      </c>
      <c r="B9080" s="10" t="s">
        <v>56193</v>
      </c>
      <c r="C9080" s="10" t="s">
        <v>11210</v>
      </c>
      <c r="D9080" s="10" t="s">
        <v>9822</v>
      </c>
      <c r="E9080" s="10" t="s">
        <v>56158</v>
      </c>
      <c r="F9080" s="10" t="s">
        <v>1134</v>
      </c>
      <c r="G9080" s="10" t="s">
        <v>56194</v>
      </c>
      <c r="H9080" s="11" t="s">
        <v>31</v>
      </c>
      <c r="I9080" s="11">
        <v>1.0</v>
      </c>
      <c r="J9080" s="11">
        <v>1.0</v>
      </c>
      <c r="K9080" s="11" t="s">
        <v>31</v>
      </c>
      <c r="L9080" s="12" t="s">
        <v>56160</v>
      </c>
      <c r="M9080" s="10" t="s">
        <v>31</v>
      </c>
      <c r="N9080" s="10" t="s">
        <v>6960</v>
      </c>
      <c r="O9080" s="12" t="s">
        <v>6961</v>
      </c>
      <c r="P9080" s="10" t="s">
        <v>56161</v>
      </c>
      <c r="Q9080" s="10" t="s">
        <v>56162</v>
      </c>
      <c r="R9080" s="10" t="s">
        <v>31</v>
      </c>
      <c r="S9080" s="12" t="s">
        <v>56163</v>
      </c>
      <c r="T9080" s="10" t="s">
        <v>6962</v>
      </c>
      <c r="U9080" s="12" t="s">
        <v>31</v>
      </c>
      <c r="V9080" s="10" t="s">
        <v>56195</v>
      </c>
      <c r="W9080" s="10" t="s">
        <v>56158</v>
      </c>
      <c r="X9080" s="13" t="str">
        <f>HYPERLINK("https://my.pitchbook.com?p=422248-33P","View People Online")</f>
        <v>View People Online</v>
      </c>
    </row>
    <row r="9081">
      <c r="A9081" s="6" t="s">
        <v>56196</v>
      </c>
      <c r="B9081" s="6" t="s">
        <v>56197</v>
      </c>
      <c r="C9081" s="6" t="s">
        <v>56198</v>
      </c>
      <c r="D9081" s="6" t="s">
        <v>55817</v>
      </c>
      <c r="E9081" s="6" t="s">
        <v>56158</v>
      </c>
      <c r="F9081" s="6" t="s">
        <v>221</v>
      </c>
      <c r="G9081" s="6" t="s">
        <v>56199</v>
      </c>
      <c r="H9081" s="7" t="s">
        <v>31</v>
      </c>
      <c r="I9081" s="7">
        <v>1.0</v>
      </c>
      <c r="J9081" s="7">
        <v>1.0</v>
      </c>
      <c r="K9081" s="7" t="s">
        <v>31</v>
      </c>
      <c r="L9081" s="8" t="s">
        <v>56160</v>
      </c>
      <c r="M9081" s="6" t="s">
        <v>31</v>
      </c>
      <c r="N9081" s="6" t="s">
        <v>6960</v>
      </c>
      <c r="O9081" s="8" t="s">
        <v>6961</v>
      </c>
      <c r="P9081" s="6" t="s">
        <v>56161</v>
      </c>
      <c r="Q9081" s="6" t="s">
        <v>56162</v>
      </c>
      <c r="R9081" s="6" t="s">
        <v>31</v>
      </c>
      <c r="S9081" s="8" t="s">
        <v>56163</v>
      </c>
      <c r="T9081" s="6" t="s">
        <v>6962</v>
      </c>
      <c r="U9081" s="8" t="s">
        <v>31</v>
      </c>
      <c r="V9081" s="6" t="s">
        <v>56164</v>
      </c>
      <c r="W9081" s="6" t="s">
        <v>56158</v>
      </c>
      <c r="X9081" s="9" t="str">
        <f>HYPERLINK("https://my.pitchbook.com?p=422249-41P","View People Online")</f>
        <v>View People Online</v>
      </c>
    </row>
    <row r="9082">
      <c r="A9082" s="10" t="s">
        <v>56200</v>
      </c>
      <c r="B9082" s="10" t="s">
        <v>56201</v>
      </c>
      <c r="C9082" s="10" t="s">
        <v>27053</v>
      </c>
      <c r="D9082" s="10" t="s">
        <v>1723</v>
      </c>
      <c r="E9082" s="10" t="s">
        <v>56158</v>
      </c>
      <c r="F9082" s="10" t="s">
        <v>38644</v>
      </c>
      <c r="G9082" s="10" t="s">
        <v>56202</v>
      </c>
      <c r="H9082" s="11" t="s">
        <v>31</v>
      </c>
      <c r="I9082" s="11">
        <v>6.0</v>
      </c>
      <c r="J9082" s="11">
        <v>1.0</v>
      </c>
      <c r="K9082" s="11">
        <v>4.0</v>
      </c>
      <c r="L9082" s="12" t="s">
        <v>56160</v>
      </c>
      <c r="M9082" s="10" t="s">
        <v>31</v>
      </c>
      <c r="N9082" s="10" t="s">
        <v>6960</v>
      </c>
      <c r="O9082" s="12" t="s">
        <v>6961</v>
      </c>
      <c r="P9082" s="10" t="s">
        <v>56161</v>
      </c>
      <c r="Q9082" s="10" t="s">
        <v>56162</v>
      </c>
      <c r="R9082" s="10" t="s">
        <v>31</v>
      </c>
      <c r="S9082" s="12" t="s">
        <v>56163</v>
      </c>
      <c r="T9082" s="10" t="s">
        <v>6962</v>
      </c>
      <c r="U9082" s="12" t="s">
        <v>31</v>
      </c>
      <c r="V9082" s="10" t="s">
        <v>56203</v>
      </c>
      <c r="W9082" s="10" t="s">
        <v>56158</v>
      </c>
      <c r="X9082" s="13" t="str">
        <f>HYPERLINK("https://my.pitchbook.com?p=98170-21P","View People Online")</f>
        <v>View People Online</v>
      </c>
    </row>
    <row r="9083">
      <c r="A9083" s="6" t="s">
        <v>56204</v>
      </c>
      <c r="B9083" s="6" t="s">
        <v>56205</v>
      </c>
      <c r="C9083" s="6" t="s">
        <v>56206</v>
      </c>
      <c r="D9083" s="6" t="s">
        <v>666</v>
      </c>
      <c r="E9083" s="6" t="s">
        <v>56158</v>
      </c>
      <c r="F9083" s="6" t="s">
        <v>3523</v>
      </c>
      <c r="G9083" s="6" t="s">
        <v>56207</v>
      </c>
      <c r="H9083" s="7">
        <v>6.0</v>
      </c>
      <c r="I9083" s="7">
        <v>36.0</v>
      </c>
      <c r="J9083" s="7">
        <v>1.0</v>
      </c>
      <c r="K9083" s="7">
        <v>27.0</v>
      </c>
      <c r="L9083" s="8" t="s">
        <v>56160</v>
      </c>
      <c r="M9083" s="6" t="s">
        <v>31</v>
      </c>
      <c r="N9083" s="6" t="s">
        <v>6960</v>
      </c>
      <c r="O9083" s="8" t="s">
        <v>6961</v>
      </c>
      <c r="P9083" s="6" t="s">
        <v>56161</v>
      </c>
      <c r="Q9083" s="6" t="s">
        <v>56162</v>
      </c>
      <c r="R9083" s="6" t="s">
        <v>31</v>
      </c>
      <c r="S9083" s="8" t="s">
        <v>56163</v>
      </c>
      <c r="T9083" s="6" t="s">
        <v>6962</v>
      </c>
      <c r="U9083" s="8" t="s">
        <v>31</v>
      </c>
      <c r="V9083" s="6" t="s">
        <v>17571</v>
      </c>
      <c r="W9083" s="6" t="s">
        <v>56158</v>
      </c>
      <c r="X9083" s="9" t="str">
        <f>HYPERLINK("https://my.pitchbook.com?p=155911-24P","View People Online")</f>
        <v>View People Online</v>
      </c>
    </row>
    <row r="9084">
      <c r="A9084" s="2" t="s">
        <v>56208</v>
      </c>
      <c r="B9084" s="2" t="s">
        <v>56209</v>
      </c>
      <c r="C9084" s="2" t="s">
        <v>55817</v>
      </c>
      <c r="D9084" s="2" t="s">
        <v>1073</v>
      </c>
      <c r="E9084" s="2" t="s">
        <v>56158</v>
      </c>
      <c r="F9084" s="2" t="s">
        <v>221</v>
      </c>
      <c r="G9084" s="2" t="s">
        <v>56210</v>
      </c>
      <c r="H9084" s="3" t="s">
        <v>31</v>
      </c>
      <c r="I9084" s="3">
        <v>1.0</v>
      </c>
      <c r="J9084" s="3">
        <v>1.0</v>
      </c>
      <c r="K9084" s="3" t="s">
        <v>31</v>
      </c>
      <c r="L9084" s="4" t="s">
        <v>31</v>
      </c>
      <c r="M9084" s="2" t="s">
        <v>31</v>
      </c>
      <c r="N9084" s="2" t="s">
        <v>31</v>
      </c>
      <c r="O9084" s="4" t="s">
        <v>3339</v>
      </c>
      <c r="P9084" s="2" t="s">
        <v>31</v>
      </c>
      <c r="Q9084" s="2" t="s">
        <v>31</v>
      </c>
      <c r="R9084" s="2" t="s">
        <v>31</v>
      </c>
      <c r="S9084" s="4" t="s">
        <v>31</v>
      </c>
      <c r="T9084" s="2" t="s">
        <v>3339</v>
      </c>
      <c r="U9084" s="4" t="s">
        <v>31</v>
      </c>
      <c r="V9084" s="2" t="s">
        <v>56211</v>
      </c>
      <c r="W9084" s="2" t="s">
        <v>56158</v>
      </c>
      <c r="X9084" s="5" t="str">
        <f>HYPERLINK("https://my.pitchbook.com?p=316408-69P","View People Online")</f>
        <v>View People Online</v>
      </c>
    </row>
    <row r="9085">
      <c r="A9085" s="6" t="s">
        <v>56212</v>
      </c>
      <c r="B9085" s="6" t="s">
        <v>56213</v>
      </c>
      <c r="C9085" s="6" t="s">
        <v>6030</v>
      </c>
      <c r="D9085" s="6" t="s">
        <v>55818</v>
      </c>
      <c r="E9085" s="6" t="s">
        <v>56158</v>
      </c>
      <c r="F9085" s="6" t="s">
        <v>371</v>
      </c>
      <c r="G9085" s="6" t="s">
        <v>56214</v>
      </c>
      <c r="H9085" s="7" t="s">
        <v>31</v>
      </c>
      <c r="I9085" s="7">
        <v>1.0</v>
      </c>
      <c r="J9085" s="7">
        <v>1.0</v>
      </c>
      <c r="K9085" s="7" t="s">
        <v>31</v>
      </c>
      <c r="L9085" s="8" t="s">
        <v>56160</v>
      </c>
      <c r="M9085" s="6" t="s">
        <v>31</v>
      </c>
      <c r="N9085" s="6" t="s">
        <v>6960</v>
      </c>
      <c r="O9085" s="8" t="s">
        <v>6961</v>
      </c>
      <c r="P9085" s="6" t="s">
        <v>56161</v>
      </c>
      <c r="Q9085" s="6" t="s">
        <v>56162</v>
      </c>
      <c r="R9085" s="6" t="s">
        <v>31</v>
      </c>
      <c r="S9085" s="8" t="s">
        <v>56163</v>
      </c>
      <c r="T9085" s="6" t="s">
        <v>6962</v>
      </c>
      <c r="U9085" s="8" t="s">
        <v>31</v>
      </c>
      <c r="V9085" s="6" t="s">
        <v>56215</v>
      </c>
      <c r="W9085" s="6" t="s">
        <v>56158</v>
      </c>
      <c r="X9085" s="9" t="str">
        <f>HYPERLINK("https://my.pitchbook.com?p=230139-10P","View People Online")</f>
        <v>View People Online</v>
      </c>
    </row>
    <row r="9086">
      <c r="A9086" s="10" t="s">
        <v>56216</v>
      </c>
      <c r="B9086" s="10" t="s">
        <v>56217</v>
      </c>
      <c r="C9086" s="10" t="s">
        <v>3529</v>
      </c>
      <c r="D9086" s="10" t="s">
        <v>11930</v>
      </c>
      <c r="E9086" s="10" t="s">
        <v>56158</v>
      </c>
      <c r="F9086" s="10" t="s">
        <v>1134</v>
      </c>
      <c r="G9086" s="10" t="s">
        <v>56218</v>
      </c>
      <c r="H9086" s="11" t="s">
        <v>31</v>
      </c>
      <c r="I9086" s="11">
        <v>2.0</v>
      </c>
      <c r="J9086" s="11">
        <v>1.0</v>
      </c>
      <c r="K9086" s="11">
        <v>1.0</v>
      </c>
      <c r="L9086" s="12" t="s">
        <v>56160</v>
      </c>
      <c r="M9086" s="10" t="s">
        <v>31</v>
      </c>
      <c r="N9086" s="10" t="s">
        <v>6960</v>
      </c>
      <c r="O9086" s="12" t="s">
        <v>6961</v>
      </c>
      <c r="P9086" s="10" t="s">
        <v>56161</v>
      </c>
      <c r="Q9086" s="10" t="s">
        <v>56162</v>
      </c>
      <c r="R9086" s="10" t="s">
        <v>31</v>
      </c>
      <c r="S9086" s="12" t="s">
        <v>56163</v>
      </c>
      <c r="T9086" s="10" t="s">
        <v>6962</v>
      </c>
      <c r="U9086" s="12" t="s">
        <v>31</v>
      </c>
      <c r="V9086" s="10" t="s">
        <v>56219</v>
      </c>
      <c r="W9086" s="10" t="s">
        <v>56158</v>
      </c>
      <c r="X9086" s="13" t="str">
        <f>HYPERLINK("https://my.pitchbook.com?p=123050-08P","View People Online")</f>
        <v>View People Online</v>
      </c>
    </row>
    <row r="9087">
      <c r="A9087" s="6" t="s">
        <v>56220</v>
      </c>
      <c r="B9087" s="6" t="s">
        <v>56221</v>
      </c>
      <c r="C9087" s="6" t="s">
        <v>56222</v>
      </c>
      <c r="D9087" s="6" t="s">
        <v>2155</v>
      </c>
      <c r="E9087" s="6" t="s">
        <v>56158</v>
      </c>
      <c r="F9087" s="6" t="s">
        <v>29</v>
      </c>
      <c r="G9087" s="6" t="s">
        <v>56223</v>
      </c>
      <c r="H9087" s="7">
        <v>1.0</v>
      </c>
      <c r="I9087" s="7">
        <v>7.0</v>
      </c>
      <c r="J9087" s="7">
        <v>1.0</v>
      </c>
      <c r="K9087" s="7">
        <v>4.0</v>
      </c>
      <c r="L9087" s="8" t="s">
        <v>56160</v>
      </c>
      <c r="M9087" s="6" t="s">
        <v>31</v>
      </c>
      <c r="N9087" s="6" t="s">
        <v>6960</v>
      </c>
      <c r="O9087" s="8" t="s">
        <v>6961</v>
      </c>
      <c r="P9087" s="6" t="s">
        <v>56161</v>
      </c>
      <c r="Q9087" s="6" t="s">
        <v>56162</v>
      </c>
      <c r="R9087" s="6" t="s">
        <v>31</v>
      </c>
      <c r="S9087" s="8" t="s">
        <v>56163</v>
      </c>
      <c r="T9087" s="6" t="s">
        <v>6962</v>
      </c>
      <c r="U9087" s="8" t="s">
        <v>31</v>
      </c>
      <c r="V9087" s="6" t="s">
        <v>56180</v>
      </c>
      <c r="W9087" s="6" t="s">
        <v>56158</v>
      </c>
      <c r="X9087" s="9" t="str">
        <f>HYPERLINK("https://my.pitchbook.com?p=98170-84P","View People Online")</f>
        <v>View People Online</v>
      </c>
    </row>
    <row r="9088">
      <c r="A9088" s="10" t="s">
        <v>56224</v>
      </c>
      <c r="B9088" s="10" t="s">
        <v>56225</v>
      </c>
      <c r="C9088" s="10" t="s">
        <v>350</v>
      </c>
      <c r="D9088" s="10" t="s">
        <v>12918</v>
      </c>
      <c r="E9088" s="10" t="s">
        <v>56158</v>
      </c>
      <c r="F9088" s="10" t="s">
        <v>221</v>
      </c>
      <c r="G9088" s="10" t="s">
        <v>56226</v>
      </c>
      <c r="H9088" s="11" t="s">
        <v>31</v>
      </c>
      <c r="I9088" s="11">
        <v>1.0</v>
      </c>
      <c r="J9088" s="11">
        <v>1.0</v>
      </c>
      <c r="K9088" s="11" t="s">
        <v>31</v>
      </c>
      <c r="L9088" s="12" t="s">
        <v>56160</v>
      </c>
      <c r="M9088" s="10" t="s">
        <v>56227</v>
      </c>
      <c r="N9088" s="10" t="s">
        <v>6960</v>
      </c>
      <c r="O9088" s="12" t="s">
        <v>6961</v>
      </c>
      <c r="P9088" s="10" t="s">
        <v>56161</v>
      </c>
      <c r="Q9088" s="10" t="s">
        <v>56162</v>
      </c>
      <c r="R9088" s="10" t="s">
        <v>31</v>
      </c>
      <c r="S9088" s="12" t="s">
        <v>56163</v>
      </c>
      <c r="T9088" s="10" t="s">
        <v>6962</v>
      </c>
      <c r="U9088" s="12" t="s">
        <v>31</v>
      </c>
      <c r="V9088" s="10" t="s">
        <v>56228</v>
      </c>
      <c r="W9088" s="10" t="s">
        <v>56158</v>
      </c>
      <c r="X9088" s="13" t="str">
        <f>HYPERLINK("https://my.pitchbook.com?p=316402-57P","View People Online")</f>
        <v>View People Online</v>
      </c>
    </row>
    <row r="9089">
      <c r="A9089" s="14" t="s">
        <v>56229</v>
      </c>
      <c r="B9089" s="14" t="s">
        <v>56230</v>
      </c>
      <c r="C9089" s="14" t="s">
        <v>56231</v>
      </c>
      <c r="D9089" s="14" t="s">
        <v>6701</v>
      </c>
      <c r="E9089" s="14" t="s">
        <v>56158</v>
      </c>
      <c r="F9089" s="14" t="s">
        <v>270</v>
      </c>
      <c r="G9089" s="14" t="s">
        <v>56232</v>
      </c>
      <c r="H9089" s="15" t="s">
        <v>31</v>
      </c>
      <c r="I9089" s="15">
        <v>2.0</v>
      </c>
      <c r="J9089" s="15">
        <v>1.0</v>
      </c>
      <c r="K9089" s="15">
        <v>1.0</v>
      </c>
      <c r="L9089" s="16" t="s">
        <v>56160</v>
      </c>
      <c r="M9089" s="14" t="s">
        <v>31</v>
      </c>
      <c r="N9089" s="14" t="s">
        <v>6960</v>
      </c>
      <c r="O9089" s="16" t="s">
        <v>6961</v>
      </c>
      <c r="P9089" s="14" t="s">
        <v>56161</v>
      </c>
      <c r="Q9089" s="14" t="s">
        <v>56162</v>
      </c>
      <c r="R9089" s="14" t="s">
        <v>31</v>
      </c>
      <c r="S9089" s="16" t="s">
        <v>56163</v>
      </c>
      <c r="T9089" s="14" t="s">
        <v>6962</v>
      </c>
      <c r="U9089" s="16" t="s">
        <v>31</v>
      </c>
      <c r="V9089" s="14" t="s">
        <v>26869</v>
      </c>
      <c r="W9089" s="14" t="s">
        <v>56158</v>
      </c>
      <c r="X9089" s="17" t="str">
        <f>HYPERLINK("https://my.pitchbook.com?p=410779-00P","View People Online")</f>
        <v>View People Online</v>
      </c>
    </row>
    <row r="9090">
      <c r="A9090" s="2" t="s">
        <v>56233</v>
      </c>
      <c r="B9090" s="2" t="s">
        <v>56234</v>
      </c>
      <c r="C9090" s="2" t="s">
        <v>26242</v>
      </c>
      <c r="D9090" s="2" t="s">
        <v>17289</v>
      </c>
      <c r="E9090" s="2" t="s">
        <v>56158</v>
      </c>
      <c r="F9090" s="2" t="s">
        <v>318</v>
      </c>
      <c r="G9090" s="2" t="s">
        <v>56235</v>
      </c>
      <c r="H9090" s="3" t="s">
        <v>31</v>
      </c>
      <c r="I9090" s="3">
        <v>1.0</v>
      </c>
      <c r="J9090" s="3">
        <v>1.0</v>
      </c>
      <c r="K9090" s="3" t="s">
        <v>31</v>
      </c>
      <c r="L9090" s="4" t="s">
        <v>56160</v>
      </c>
      <c r="M9090" s="2" t="s">
        <v>31</v>
      </c>
      <c r="N9090" s="2" t="s">
        <v>6960</v>
      </c>
      <c r="O9090" s="4" t="s">
        <v>6961</v>
      </c>
      <c r="P9090" s="2" t="s">
        <v>56161</v>
      </c>
      <c r="Q9090" s="2" t="s">
        <v>56162</v>
      </c>
      <c r="R9090" s="2" t="s">
        <v>31</v>
      </c>
      <c r="S9090" s="4" t="s">
        <v>56163</v>
      </c>
      <c r="T9090" s="2" t="s">
        <v>6962</v>
      </c>
      <c r="U9090" s="4" t="s">
        <v>31</v>
      </c>
      <c r="V9090" s="2" t="s">
        <v>56236</v>
      </c>
      <c r="W9090" s="2" t="s">
        <v>56158</v>
      </c>
      <c r="X9090" s="5" t="str">
        <f>HYPERLINK("https://my.pitchbook.com?p=269735-05P","View People Online")</f>
        <v>View People Online</v>
      </c>
    </row>
    <row r="9091">
      <c r="A9091" s="6" t="s">
        <v>56237</v>
      </c>
      <c r="B9091" s="6" t="s">
        <v>56238</v>
      </c>
      <c r="C9091" s="6" t="s">
        <v>56239</v>
      </c>
      <c r="D9091" s="6" t="s">
        <v>43245</v>
      </c>
      <c r="E9091" s="6" t="s">
        <v>56158</v>
      </c>
      <c r="F9091" s="6" t="s">
        <v>221</v>
      </c>
      <c r="G9091" s="6" t="s">
        <v>56240</v>
      </c>
      <c r="H9091" s="7" t="s">
        <v>31</v>
      </c>
      <c r="I9091" s="7">
        <v>1.0</v>
      </c>
      <c r="J9091" s="7">
        <v>1.0</v>
      </c>
      <c r="K9091" s="7" t="s">
        <v>31</v>
      </c>
      <c r="L9091" s="8" t="s">
        <v>56160</v>
      </c>
      <c r="M9091" s="6" t="s">
        <v>31</v>
      </c>
      <c r="N9091" s="6" t="s">
        <v>6960</v>
      </c>
      <c r="O9091" s="8" t="s">
        <v>6961</v>
      </c>
      <c r="P9091" s="6" t="s">
        <v>56161</v>
      </c>
      <c r="Q9091" s="6" t="s">
        <v>56162</v>
      </c>
      <c r="R9091" s="6" t="s">
        <v>31</v>
      </c>
      <c r="S9091" s="8" t="s">
        <v>56163</v>
      </c>
      <c r="T9091" s="6" t="s">
        <v>6962</v>
      </c>
      <c r="U9091" s="8" t="s">
        <v>31</v>
      </c>
      <c r="V9091" s="6" t="s">
        <v>56241</v>
      </c>
      <c r="W9091" s="6" t="s">
        <v>56158</v>
      </c>
      <c r="X9091" s="9" t="str">
        <f>HYPERLINK("https://my.pitchbook.com?p=454182-76P","View People Online")</f>
        <v>View People Online</v>
      </c>
    </row>
    <row r="9092">
      <c r="A9092" s="2" t="s">
        <v>56242</v>
      </c>
      <c r="B9092" s="2" t="s">
        <v>56243</v>
      </c>
      <c r="C9092" s="2" t="s">
        <v>56244</v>
      </c>
      <c r="D9092" s="2" t="s">
        <v>666</v>
      </c>
      <c r="E9092" s="2" t="s">
        <v>56158</v>
      </c>
      <c r="F9092" s="2" t="s">
        <v>25083</v>
      </c>
      <c r="G9092" s="2" t="s">
        <v>56245</v>
      </c>
      <c r="H9092" s="3">
        <v>4.0</v>
      </c>
      <c r="I9092" s="3">
        <v>47.0</v>
      </c>
      <c r="J9092" s="3">
        <v>1.0</v>
      </c>
      <c r="K9092" s="3">
        <v>33.0</v>
      </c>
      <c r="L9092" s="4" t="s">
        <v>56160</v>
      </c>
      <c r="M9092" s="2" t="s">
        <v>56246</v>
      </c>
      <c r="N9092" s="2" t="s">
        <v>6960</v>
      </c>
      <c r="O9092" s="4" t="s">
        <v>6961</v>
      </c>
      <c r="P9092" s="2" t="s">
        <v>56161</v>
      </c>
      <c r="Q9092" s="2" t="s">
        <v>56162</v>
      </c>
      <c r="R9092" s="2" t="s">
        <v>31</v>
      </c>
      <c r="S9092" s="4" t="s">
        <v>56163</v>
      </c>
      <c r="T9092" s="2" t="s">
        <v>6962</v>
      </c>
      <c r="U9092" s="4" t="s">
        <v>31</v>
      </c>
      <c r="V9092" s="2" t="s">
        <v>56247</v>
      </c>
      <c r="W9092" s="2" t="s">
        <v>56158</v>
      </c>
      <c r="X9092" s="5" t="str">
        <f>HYPERLINK("https://my.pitchbook.com?p=104858-20P","View People Online")</f>
        <v>View People Online</v>
      </c>
    </row>
    <row r="9093">
      <c r="A9093" s="14" t="s">
        <v>56248</v>
      </c>
      <c r="B9093" s="14" t="s">
        <v>56249</v>
      </c>
      <c r="C9093" s="14" t="s">
        <v>56250</v>
      </c>
      <c r="D9093" s="14" t="s">
        <v>666</v>
      </c>
      <c r="E9093" s="14" t="s">
        <v>56158</v>
      </c>
      <c r="F9093" s="14" t="s">
        <v>548</v>
      </c>
      <c r="G9093" s="14" t="s">
        <v>56251</v>
      </c>
      <c r="H9093" s="15" t="s">
        <v>31</v>
      </c>
      <c r="I9093" s="15">
        <v>2.0</v>
      </c>
      <c r="J9093" s="15">
        <v>1.0</v>
      </c>
      <c r="K9093" s="15">
        <v>1.0</v>
      </c>
      <c r="L9093" s="16" t="s">
        <v>56160</v>
      </c>
      <c r="M9093" s="14" t="s">
        <v>31</v>
      </c>
      <c r="N9093" s="14" t="s">
        <v>6960</v>
      </c>
      <c r="O9093" s="16" t="s">
        <v>6961</v>
      </c>
      <c r="P9093" s="14" t="s">
        <v>56161</v>
      </c>
      <c r="Q9093" s="14" t="s">
        <v>56162</v>
      </c>
      <c r="R9093" s="14" t="s">
        <v>31</v>
      </c>
      <c r="S9093" s="16" t="s">
        <v>56163</v>
      </c>
      <c r="T9093" s="14" t="s">
        <v>6962</v>
      </c>
      <c r="U9093" s="16" t="s">
        <v>31</v>
      </c>
      <c r="V9093" s="14" t="s">
        <v>548</v>
      </c>
      <c r="W9093" s="14" t="s">
        <v>56158</v>
      </c>
      <c r="X9093" s="17" t="str">
        <f>HYPERLINK("https://my.pitchbook.com?p=316421-29P","View People Online")</f>
        <v>View People Online</v>
      </c>
    </row>
    <row r="9094">
      <c r="A9094" s="10" t="s">
        <v>56252</v>
      </c>
      <c r="B9094" s="10" t="s">
        <v>56253</v>
      </c>
      <c r="C9094" s="10" t="s">
        <v>4009</v>
      </c>
      <c r="D9094" s="10" t="s">
        <v>32991</v>
      </c>
      <c r="E9094" s="10" t="s">
        <v>56158</v>
      </c>
      <c r="F9094" s="10" t="s">
        <v>318</v>
      </c>
      <c r="G9094" s="10" t="s">
        <v>56254</v>
      </c>
      <c r="H9094" s="11">
        <v>1.0</v>
      </c>
      <c r="I9094" s="11">
        <v>2.0</v>
      </c>
      <c r="J9094" s="11">
        <v>1.0</v>
      </c>
      <c r="K9094" s="11" t="s">
        <v>31</v>
      </c>
      <c r="L9094" s="12" t="s">
        <v>56160</v>
      </c>
      <c r="M9094" s="10" t="s">
        <v>31</v>
      </c>
      <c r="N9094" s="10" t="s">
        <v>6960</v>
      </c>
      <c r="O9094" s="12" t="s">
        <v>6961</v>
      </c>
      <c r="P9094" s="10" t="s">
        <v>56161</v>
      </c>
      <c r="Q9094" s="10" t="s">
        <v>56162</v>
      </c>
      <c r="R9094" s="10" t="s">
        <v>31</v>
      </c>
      <c r="S9094" s="12" t="s">
        <v>56163</v>
      </c>
      <c r="T9094" s="10" t="s">
        <v>6962</v>
      </c>
      <c r="U9094" s="12" t="s">
        <v>31</v>
      </c>
      <c r="V9094" s="10" t="s">
        <v>56255</v>
      </c>
      <c r="W9094" s="10" t="s">
        <v>56158</v>
      </c>
      <c r="X9094" s="13" t="str">
        <f>HYPERLINK("https://my.pitchbook.com?p=247892-41P","View People Online")</f>
        <v>View People Online</v>
      </c>
    </row>
    <row r="9095">
      <c r="A9095" s="6" t="s">
        <v>56256</v>
      </c>
      <c r="B9095" s="6" t="s">
        <v>56257</v>
      </c>
      <c r="C9095" s="6" t="s">
        <v>6453</v>
      </c>
      <c r="D9095" s="6" t="s">
        <v>3643</v>
      </c>
      <c r="E9095" s="6" t="s">
        <v>56158</v>
      </c>
      <c r="F9095" s="6" t="s">
        <v>371</v>
      </c>
      <c r="G9095" s="6" t="s">
        <v>56258</v>
      </c>
      <c r="H9095" s="7" t="s">
        <v>31</v>
      </c>
      <c r="I9095" s="7">
        <v>1.0</v>
      </c>
      <c r="J9095" s="7">
        <v>1.0</v>
      </c>
      <c r="K9095" s="7" t="s">
        <v>31</v>
      </c>
      <c r="L9095" s="8" t="s">
        <v>56160</v>
      </c>
      <c r="M9095" s="6" t="s">
        <v>31</v>
      </c>
      <c r="N9095" s="6" t="s">
        <v>6960</v>
      </c>
      <c r="O9095" s="8" t="s">
        <v>6961</v>
      </c>
      <c r="P9095" s="6" t="s">
        <v>56161</v>
      </c>
      <c r="Q9095" s="6" t="s">
        <v>56162</v>
      </c>
      <c r="R9095" s="6" t="s">
        <v>31</v>
      </c>
      <c r="S9095" s="8" t="s">
        <v>56163</v>
      </c>
      <c r="T9095" s="6" t="s">
        <v>6962</v>
      </c>
      <c r="U9095" s="8" t="s">
        <v>31</v>
      </c>
      <c r="V9095" s="6" t="s">
        <v>56259</v>
      </c>
      <c r="W9095" s="6" t="s">
        <v>56158</v>
      </c>
      <c r="X9095" s="9" t="str">
        <f>HYPERLINK("https://my.pitchbook.com?p=422246-62P","View People Online")</f>
        <v>View People Online</v>
      </c>
    </row>
    <row r="9096">
      <c r="A9096" s="2" t="s">
        <v>56260</v>
      </c>
      <c r="B9096" s="2" t="s">
        <v>56261</v>
      </c>
      <c r="C9096" s="2" t="s">
        <v>56262</v>
      </c>
      <c r="D9096" s="2" t="s">
        <v>6701</v>
      </c>
      <c r="E9096" s="2" t="s">
        <v>56158</v>
      </c>
      <c r="F9096" s="2" t="s">
        <v>201</v>
      </c>
      <c r="G9096" s="2" t="s">
        <v>56263</v>
      </c>
      <c r="H9096" s="3" t="s">
        <v>31</v>
      </c>
      <c r="I9096" s="3">
        <v>1.0</v>
      </c>
      <c r="J9096" s="3">
        <v>1.0</v>
      </c>
      <c r="K9096" s="3" t="s">
        <v>31</v>
      </c>
      <c r="L9096" s="4" t="s">
        <v>56160</v>
      </c>
      <c r="M9096" s="2" t="s">
        <v>31</v>
      </c>
      <c r="N9096" s="2" t="s">
        <v>6960</v>
      </c>
      <c r="O9096" s="4" t="s">
        <v>6961</v>
      </c>
      <c r="P9096" s="2" t="s">
        <v>56161</v>
      </c>
      <c r="Q9096" s="2" t="s">
        <v>56162</v>
      </c>
      <c r="R9096" s="2" t="s">
        <v>31</v>
      </c>
      <c r="S9096" s="4" t="s">
        <v>56163</v>
      </c>
      <c r="T9096" s="2" t="s">
        <v>6962</v>
      </c>
      <c r="U9096" s="4" t="s">
        <v>31</v>
      </c>
      <c r="V9096" s="2" t="s">
        <v>56264</v>
      </c>
      <c r="W9096" s="2" t="s">
        <v>56158</v>
      </c>
      <c r="X9096" s="5" t="str">
        <f>HYPERLINK("https://my.pitchbook.com?p=422246-17P","View People Online")</f>
        <v>View People Online</v>
      </c>
    </row>
    <row r="9097">
      <c r="A9097" s="6" t="s">
        <v>56265</v>
      </c>
      <c r="B9097" s="6" t="s">
        <v>56266</v>
      </c>
      <c r="C9097" s="6" t="s">
        <v>395</v>
      </c>
      <c r="D9097" s="6" t="s">
        <v>17850</v>
      </c>
      <c r="E9097" s="6" t="s">
        <v>56158</v>
      </c>
      <c r="F9097" s="6" t="s">
        <v>371</v>
      </c>
      <c r="G9097" s="6" t="s">
        <v>56267</v>
      </c>
      <c r="H9097" s="7" t="s">
        <v>31</v>
      </c>
      <c r="I9097" s="7">
        <v>1.0</v>
      </c>
      <c r="J9097" s="7">
        <v>1.0</v>
      </c>
      <c r="K9097" s="7" t="s">
        <v>31</v>
      </c>
      <c r="L9097" s="8" t="s">
        <v>56160</v>
      </c>
      <c r="M9097" s="6" t="s">
        <v>31</v>
      </c>
      <c r="N9097" s="6" t="s">
        <v>6960</v>
      </c>
      <c r="O9097" s="8" t="s">
        <v>6961</v>
      </c>
      <c r="P9097" s="6" t="s">
        <v>56161</v>
      </c>
      <c r="Q9097" s="6" t="s">
        <v>56162</v>
      </c>
      <c r="R9097" s="6" t="s">
        <v>31</v>
      </c>
      <c r="S9097" s="8" t="s">
        <v>56163</v>
      </c>
      <c r="T9097" s="6" t="s">
        <v>6962</v>
      </c>
      <c r="U9097" s="8" t="s">
        <v>31</v>
      </c>
      <c r="V9097" s="6" t="s">
        <v>56259</v>
      </c>
      <c r="W9097" s="6" t="s">
        <v>56158</v>
      </c>
      <c r="X9097" s="9" t="str">
        <f>HYPERLINK("https://my.pitchbook.com?p=316398-70P","View People Online")</f>
        <v>View People Online</v>
      </c>
    </row>
    <row r="9098">
      <c r="A9098" s="2" t="s">
        <v>56268</v>
      </c>
      <c r="B9098" s="2" t="s">
        <v>56269</v>
      </c>
      <c r="C9098" s="2" t="s">
        <v>20889</v>
      </c>
      <c r="D9098" s="2" t="s">
        <v>3775</v>
      </c>
      <c r="E9098" s="2" t="s">
        <v>56158</v>
      </c>
      <c r="F9098" s="2" t="s">
        <v>318</v>
      </c>
      <c r="G9098" s="2" t="s">
        <v>56270</v>
      </c>
      <c r="H9098" s="3" t="s">
        <v>31</v>
      </c>
      <c r="I9098" s="3">
        <v>2.0</v>
      </c>
      <c r="J9098" s="3">
        <v>1.0</v>
      </c>
      <c r="K9098" s="3">
        <v>1.0</v>
      </c>
      <c r="L9098" s="4" t="s">
        <v>31</v>
      </c>
      <c r="M9098" s="2" t="s">
        <v>31</v>
      </c>
      <c r="N9098" s="2" t="s">
        <v>31</v>
      </c>
      <c r="O9098" s="4" t="s">
        <v>3339</v>
      </c>
      <c r="P9098" s="2" t="s">
        <v>31</v>
      </c>
      <c r="Q9098" s="2" t="s">
        <v>31</v>
      </c>
      <c r="R9098" s="2" t="s">
        <v>31</v>
      </c>
      <c r="S9098" s="4" t="s">
        <v>31</v>
      </c>
      <c r="T9098" s="2" t="s">
        <v>3339</v>
      </c>
      <c r="U9098" s="4" t="s">
        <v>31</v>
      </c>
      <c r="V9098" s="2" t="s">
        <v>318</v>
      </c>
      <c r="W9098" s="2" t="s">
        <v>56158</v>
      </c>
      <c r="X9098" s="5" t="str">
        <f>HYPERLINK("https://my.pitchbook.com?p=89908-12P","View People Online")</f>
        <v>View People Online</v>
      </c>
    </row>
    <row r="9099">
      <c r="A9099" s="14" t="s">
        <v>56271</v>
      </c>
      <c r="B9099" s="14" t="s">
        <v>56272</v>
      </c>
      <c r="C9099" s="14" t="s">
        <v>6855</v>
      </c>
      <c r="D9099" s="14" t="s">
        <v>666</v>
      </c>
      <c r="E9099" s="14" t="s">
        <v>56158</v>
      </c>
      <c r="F9099" s="14" t="s">
        <v>81</v>
      </c>
      <c r="G9099" s="14" t="s">
        <v>56273</v>
      </c>
      <c r="H9099" s="15">
        <v>1.0</v>
      </c>
      <c r="I9099" s="15">
        <v>7.0</v>
      </c>
      <c r="J9099" s="15" t="s">
        <v>31</v>
      </c>
      <c r="K9099" s="15">
        <v>3.0</v>
      </c>
      <c r="L9099" s="16" t="s">
        <v>56274</v>
      </c>
      <c r="M9099" s="14" t="s">
        <v>31</v>
      </c>
      <c r="N9099" s="14" t="s">
        <v>1716</v>
      </c>
      <c r="O9099" s="16" t="s">
        <v>1717</v>
      </c>
      <c r="P9099" s="14" t="s">
        <v>56275</v>
      </c>
      <c r="Q9099" s="14" t="s">
        <v>31</v>
      </c>
      <c r="R9099" s="14" t="s">
        <v>64</v>
      </c>
      <c r="S9099" s="16" t="s">
        <v>1720</v>
      </c>
      <c r="T9099" s="14" t="s">
        <v>66</v>
      </c>
      <c r="U9099" s="16" t="s">
        <v>31</v>
      </c>
      <c r="V9099" s="14" t="s">
        <v>2379</v>
      </c>
      <c r="W9099" s="14" t="s">
        <v>56276</v>
      </c>
      <c r="X9099" s="17" t="str">
        <f>HYPERLINK("https://my.pitchbook.com?p=203879-35P","View People Online")</f>
        <v>View People Online</v>
      </c>
    </row>
    <row r="9100">
      <c r="A9100" s="2" t="s">
        <v>56277</v>
      </c>
      <c r="B9100" s="2" t="s">
        <v>56278</v>
      </c>
      <c r="C9100" s="2" t="s">
        <v>56279</v>
      </c>
      <c r="D9100" s="2" t="s">
        <v>666</v>
      </c>
      <c r="E9100" s="2" t="s">
        <v>56158</v>
      </c>
      <c r="F9100" s="2" t="s">
        <v>56280</v>
      </c>
      <c r="G9100" s="2" t="s">
        <v>56281</v>
      </c>
      <c r="H9100" s="3" t="s">
        <v>31</v>
      </c>
      <c r="I9100" s="3">
        <v>1.0</v>
      </c>
      <c r="J9100" s="3">
        <v>1.0</v>
      </c>
      <c r="K9100" s="3" t="s">
        <v>31</v>
      </c>
      <c r="L9100" s="4" t="s">
        <v>56160</v>
      </c>
      <c r="M9100" s="2" t="s">
        <v>56282</v>
      </c>
      <c r="N9100" s="2" t="s">
        <v>6960</v>
      </c>
      <c r="O9100" s="4" t="s">
        <v>6961</v>
      </c>
      <c r="P9100" s="2" t="s">
        <v>56161</v>
      </c>
      <c r="Q9100" s="2" t="s">
        <v>56162</v>
      </c>
      <c r="R9100" s="2" t="s">
        <v>31</v>
      </c>
      <c r="S9100" s="4" t="s">
        <v>56163</v>
      </c>
      <c r="T9100" s="2" t="s">
        <v>6962</v>
      </c>
      <c r="U9100" s="4" t="s">
        <v>31</v>
      </c>
      <c r="V9100" s="2" t="s">
        <v>56283</v>
      </c>
      <c r="W9100" s="2" t="s">
        <v>56158</v>
      </c>
      <c r="X9100" s="5" t="str">
        <f>HYPERLINK("https://my.pitchbook.com?p=230109-94P","View People Online")</f>
        <v>View People Online</v>
      </c>
    </row>
    <row r="9101">
      <c r="A9101" s="6" t="s">
        <v>56284</v>
      </c>
      <c r="B9101" s="6" t="s">
        <v>56285</v>
      </c>
      <c r="C9101" s="6" t="s">
        <v>56286</v>
      </c>
      <c r="D9101" s="6" t="s">
        <v>666</v>
      </c>
      <c r="E9101" s="6" t="s">
        <v>56158</v>
      </c>
      <c r="F9101" s="6" t="s">
        <v>371</v>
      </c>
      <c r="G9101" s="6" t="s">
        <v>56287</v>
      </c>
      <c r="H9101" s="7" t="s">
        <v>31</v>
      </c>
      <c r="I9101" s="7">
        <v>1.0</v>
      </c>
      <c r="J9101" s="7">
        <v>1.0</v>
      </c>
      <c r="K9101" s="7" t="s">
        <v>31</v>
      </c>
      <c r="L9101" s="8" t="s">
        <v>56160</v>
      </c>
      <c r="M9101" s="6" t="s">
        <v>31</v>
      </c>
      <c r="N9101" s="6" t="s">
        <v>6960</v>
      </c>
      <c r="O9101" s="8" t="s">
        <v>6961</v>
      </c>
      <c r="P9101" s="6" t="s">
        <v>56161</v>
      </c>
      <c r="Q9101" s="6" t="s">
        <v>56162</v>
      </c>
      <c r="R9101" s="6" t="s">
        <v>31</v>
      </c>
      <c r="S9101" s="8" t="s">
        <v>56163</v>
      </c>
      <c r="T9101" s="6" t="s">
        <v>6962</v>
      </c>
      <c r="U9101" s="8" t="s">
        <v>31</v>
      </c>
      <c r="V9101" s="6" t="s">
        <v>371</v>
      </c>
      <c r="W9101" s="6" t="s">
        <v>56158</v>
      </c>
      <c r="X9101" s="9" t="str">
        <f>HYPERLINK("https://my.pitchbook.com?p=194934-52P","View People Online")</f>
        <v>View People Online</v>
      </c>
    </row>
    <row r="9102">
      <c r="A9102" s="2" t="s">
        <v>56288</v>
      </c>
      <c r="B9102" s="2" t="s">
        <v>56289</v>
      </c>
      <c r="C9102" s="2" t="s">
        <v>56290</v>
      </c>
      <c r="D9102" s="2" t="s">
        <v>15716</v>
      </c>
      <c r="E9102" s="2" t="s">
        <v>56158</v>
      </c>
      <c r="F9102" s="2" t="s">
        <v>221</v>
      </c>
      <c r="G9102" s="2" t="s">
        <v>56291</v>
      </c>
      <c r="H9102" s="3" t="s">
        <v>31</v>
      </c>
      <c r="I9102" s="3">
        <v>1.0</v>
      </c>
      <c r="J9102" s="3">
        <v>1.0</v>
      </c>
      <c r="K9102" s="3" t="s">
        <v>31</v>
      </c>
      <c r="L9102" s="4" t="s">
        <v>31</v>
      </c>
      <c r="M9102" s="2" t="s">
        <v>31</v>
      </c>
      <c r="N9102" s="2" t="s">
        <v>31</v>
      </c>
      <c r="O9102" s="4" t="s">
        <v>3339</v>
      </c>
      <c r="P9102" s="2" t="s">
        <v>31</v>
      </c>
      <c r="Q9102" s="2" t="s">
        <v>31</v>
      </c>
      <c r="R9102" s="2" t="s">
        <v>31</v>
      </c>
      <c r="S9102" s="4" t="s">
        <v>31</v>
      </c>
      <c r="T9102" s="2" t="s">
        <v>3339</v>
      </c>
      <c r="U9102" s="4" t="s">
        <v>31</v>
      </c>
      <c r="V9102" s="2" t="s">
        <v>56211</v>
      </c>
      <c r="W9102" s="2" t="s">
        <v>56158</v>
      </c>
      <c r="X9102" s="5" t="str">
        <f>HYPERLINK("https://my.pitchbook.com?p=316403-56P","View People Online")</f>
        <v>View People Online</v>
      </c>
    </row>
    <row r="9103">
      <c r="A9103" s="6" t="s">
        <v>56292</v>
      </c>
      <c r="B9103" s="6" t="s">
        <v>56293</v>
      </c>
      <c r="C9103" s="6" t="s">
        <v>1072</v>
      </c>
      <c r="D9103" s="6" t="s">
        <v>56294</v>
      </c>
      <c r="E9103" s="6" t="s">
        <v>56158</v>
      </c>
      <c r="F9103" s="6" t="s">
        <v>81</v>
      </c>
      <c r="G9103" s="6" t="s">
        <v>56295</v>
      </c>
      <c r="H9103" s="7" t="s">
        <v>31</v>
      </c>
      <c r="I9103" s="7">
        <v>3.0</v>
      </c>
      <c r="J9103" s="7" t="s">
        <v>31</v>
      </c>
      <c r="K9103" s="7">
        <v>1.0</v>
      </c>
      <c r="L9103" s="8" t="s">
        <v>56160</v>
      </c>
      <c r="M9103" s="6" t="s">
        <v>31</v>
      </c>
      <c r="N9103" s="6" t="s">
        <v>6960</v>
      </c>
      <c r="O9103" s="8" t="s">
        <v>6961</v>
      </c>
      <c r="P9103" s="6" t="s">
        <v>56161</v>
      </c>
      <c r="Q9103" s="6" t="s">
        <v>56162</v>
      </c>
      <c r="R9103" s="6" t="s">
        <v>31</v>
      </c>
      <c r="S9103" s="8" t="s">
        <v>56163</v>
      </c>
      <c r="T9103" s="6" t="s">
        <v>6962</v>
      </c>
      <c r="U9103" s="8" t="s">
        <v>31</v>
      </c>
      <c r="V9103" s="6" t="s">
        <v>81</v>
      </c>
      <c r="W9103" s="6" t="s">
        <v>56158</v>
      </c>
      <c r="X9103" s="9" t="str">
        <f>HYPERLINK("https://my.pitchbook.com?p=76002-40P","View People Online")</f>
        <v>View People Online</v>
      </c>
    </row>
    <row r="9104">
      <c r="A9104" s="2" t="s">
        <v>56296</v>
      </c>
      <c r="B9104" s="2" t="s">
        <v>56297</v>
      </c>
      <c r="C9104" s="2" t="s">
        <v>56298</v>
      </c>
      <c r="D9104" s="2" t="s">
        <v>23171</v>
      </c>
      <c r="E9104" s="2" t="s">
        <v>56158</v>
      </c>
      <c r="F9104" s="2" t="s">
        <v>371</v>
      </c>
      <c r="G9104" s="2" t="s">
        <v>56299</v>
      </c>
      <c r="H9104" s="3" t="s">
        <v>31</v>
      </c>
      <c r="I9104" s="3">
        <v>1.0</v>
      </c>
      <c r="J9104" s="3">
        <v>1.0</v>
      </c>
      <c r="K9104" s="3" t="s">
        <v>31</v>
      </c>
      <c r="L9104" s="4" t="s">
        <v>56160</v>
      </c>
      <c r="M9104" s="2" t="s">
        <v>31</v>
      </c>
      <c r="N9104" s="2" t="s">
        <v>6960</v>
      </c>
      <c r="O9104" s="4" t="s">
        <v>6961</v>
      </c>
      <c r="P9104" s="2" t="s">
        <v>56161</v>
      </c>
      <c r="Q9104" s="2" t="s">
        <v>56162</v>
      </c>
      <c r="R9104" s="2" t="s">
        <v>31</v>
      </c>
      <c r="S9104" s="4" t="s">
        <v>56163</v>
      </c>
      <c r="T9104" s="2" t="s">
        <v>6962</v>
      </c>
      <c r="U9104" s="4" t="s">
        <v>31</v>
      </c>
      <c r="V9104" s="2" t="s">
        <v>371</v>
      </c>
      <c r="W9104" s="2" t="s">
        <v>56158</v>
      </c>
      <c r="X9104" s="5" t="str">
        <f>HYPERLINK("https://my.pitchbook.com?p=230138-02P","View People Online")</f>
        <v>View People Online</v>
      </c>
    </row>
    <row r="9105">
      <c r="A9105" s="6" t="s">
        <v>56300</v>
      </c>
      <c r="B9105" s="6" t="s">
        <v>56301</v>
      </c>
      <c r="C9105" s="6" t="s">
        <v>3354</v>
      </c>
      <c r="D9105" s="6" t="s">
        <v>21687</v>
      </c>
      <c r="E9105" s="6" t="s">
        <v>56158</v>
      </c>
      <c r="F9105" s="6" t="s">
        <v>318</v>
      </c>
      <c r="G9105" s="6" t="s">
        <v>56302</v>
      </c>
      <c r="H9105" s="7" t="s">
        <v>31</v>
      </c>
      <c r="I9105" s="7">
        <v>1.0</v>
      </c>
      <c r="J9105" s="7">
        <v>1.0</v>
      </c>
      <c r="K9105" s="7" t="s">
        <v>31</v>
      </c>
      <c r="L9105" s="8" t="s">
        <v>56160</v>
      </c>
      <c r="M9105" s="6" t="s">
        <v>31</v>
      </c>
      <c r="N9105" s="6" t="s">
        <v>6960</v>
      </c>
      <c r="O9105" s="8" t="s">
        <v>6961</v>
      </c>
      <c r="P9105" s="6" t="s">
        <v>56161</v>
      </c>
      <c r="Q9105" s="6" t="s">
        <v>56162</v>
      </c>
      <c r="R9105" s="6" t="s">
        <v>31</v>
      </c>
      <c r="S9105" s="8" t="s">
        <v>56163</v>
      </c>
      <c r="T9105" s="6" t="s">
        <v>6962</v>
      </c>
      <c r="U9105" s="8" t="s">
        <v>31</v>
      </c>
      <c r="V9105" s="6" t="s">
        <v>56236</v>
      </c>
      <c r="W9105" s="6" t="s">
        <v>56158</v>
      </c>
      <c r="X9105" s="9" t="str">
        <f>HYPERLINK("https://my.pitchbook.com?p=293310-55P","View People Online")</f>
        <v>View People Online</v>
      </c>
    </row>
    <row r="9106">
      <c r="A9106" s="10" t="s">
        <v>56303</v>
      </c>
      <c r="B9106" s="10" t="s">
        <v>56304</v>
      </c>
      <c r="C9106" s="10" t="s">
        <v>56305</v>
      </c>
      <c r="D9106" s="10" t="s">
        <v>1073</v>
      </c>
      <c r="E9106" s="10" t="s">
        <v>56158</v>
      </c>
      <c r="F9106" s="10" t="s">
        <v>371</v>
      </c>
      <c r="G9106" s="10" t="s">
        <v>56306</v>
      </c>
      <c r="H9106" s="11" t="s">
        <v>31</v>
      </c>
      <c r="I9106" s="11">
        <v>1.0</v>
      </c>
      <c r="J9106" s="11">
        <v>1.0</v>
      </c>
      <c r="K9106" s="11" t="s">
        <v>31</v>
      </c>
      <c r="L9106" s="12" t="s">
        <v>56160</v>
      </c>
      <c r="M9106" s="10" t="s">
        <v>56307</v>
      </c>
      <c r="N9106" s="10" t="s">
        <v>6960</v>
      </c>
      <c r="O9106" s="12" t="s">
        <v>6961</v>
      </c>
      <c r="P9106" s="10" t="s">
        <v>56161</v>
      </c>
      <c r="Q9106" s="10" t="s">
        <v>56162</v>
      </c>
      <c r="R9106" s="10" t="s">
        <v>31</v>
      </c>
      <c r="S9106" s="12" t="s">
        <v>56163</v>
      </c>
      <c r="T9106" s="10" t="s">
        <v>6962</v>
      </c>
      <c r="U9106" s="12" t="s">
        <v>31</v>
      </c>
      <c r="V9106" s="10" t="s">
        <v>56215</v>
      </c>
      <c r="W9106" s="10" t="s">
        <v>56158</v>
      </c>
      <c r="X9106" s="13" t="str">
        <f>HYPERLINK("https://my.pitchbook.com?p=230115-52P","View People Online")</f>
        <v>View People Online</v>
      </c>
    </row>
    <row r="9107">
      <c r="A9107" s="14" t="s">
        <v>56308</v>
      </c>
      <c r="B9107" s="14" t="s">
        <v>56309</v>
      </c>
      <c r="C9107" s="14" t="s">
        <v>536</v>
      </c>
      <c r="D9107" s="14" t="s">
        <v>36185</v>
      </c>
      <c r="E9107" s="14" t="s">
        <v>56310</v>
      </c>
      <c r="F9107" s="14" t="s">
        <v>548</v>
      </c>
      <c r="G9107" s="14" t="s">
        <v>56311</v>
      </c>
      <c r="H9107" s="15" t="s">
        <v>31</v>
      </c>
      <c r="I9107" s="15">
        <v>3.0</v>
      </c>
      <c r="J9107" s="15">
        <v>2.0</v>
      </c>
      <c r="K9107" s="15">
        <v>1.0</v>
      </c>
      <c r="L9107" s="16" t="s">
        <v>56312</v>
      </c>
      <c r="M9107" s="14" t="s">
        <v>56313</v>
      </c>
      <c r="N9107" s="14" t="s">
        <v>6669</v>
      </c>
      <c r="O9107" s="16" t="s">
        <v>6670</v>
      </c>
      <c r="P9107" s="14" t="s">
        <v>31</v>
      </c>
      <c r="Q9107" s="14" t="s">
        <v>31</v>
      </c>
      <c r="R9107" s="14" t="s">
        <v>1185</v>
      </c>
      <c r="S9107" s="16" t="s">
        <v>31</v>
      </c>
      <c r="T9107" s="14" t="s">
        <v>66</v>
      </c>
      <c r="U9107" s="16" t="s">
        <v>31</v>
      </c>
      <c r="V9107" s="14" t="s">
        <v>3455</v>
      </c>
      <c r="W9107" s="14" t="s">
        <v>56310</v>
      </c>
      <c r="X9107" s="17" t="str">
        <f>HYPERLINK("https://my.pitchbook.com?p=244417-69P","View People Online")</f>
        <v>View People Online</v>
      </c>
    </row>
    <row r="9108">
      <c r="A9108" s="2" t="s">
        <v>56314</v>
      </c>
      <c r="B9108" s="2" t="s">
        <v>56315</v>
      </c>
      <c r="C9108" s="2" t="s">
        <v>568</v>
      </c>
      <c r="D9108" s="2" t="s">
        <v>32918</v>
      </c>
      <c r="E9108" s="2" t="s">
        <v>56316</v>
      </c>
      <c r="F9108" s="2" t="s">
        <v>371</v>
      </c>
      <c r="G9108" s="2" t="s">
        <v>56317</v>
      </c>
      <c r="H9108" s="3">
        <v>1.0</v>
      </c>
      <c r="I9108" s="3">
        <v>3.0</v>
      </c>
      <c r="J9108" s="3">
        <v>1.0</v>
      </c>
      <c r="K9108" s="3">
        <v>1.0</v>
      </c>
      <c r="L9108" s="4" t="s">
        <v>56318</v>
      </c>
      <c r="M9108" s="2" t="s">
        <v>56319</v>
      </c>
      <c r="N9108" s="2" t="s">
        <v>6475</v>
      </c>
      <c r="O9108" s="4" t="s">
        <v>6476</v>
      </c>
      <c r="P9108" s="2" t="s">
        <v>56320</v>
      </c>
      <c r="Q9108" s="2" t="s">
        <v>31</v>
      </c>
      <c r="R9108" s="2" t="s">
        <v>6479</v>
      </c>
      <c r="S9108" s="4" t="s">
        <v>56321</v>
      </c>
      <c r="T9108" s="2" t="s">
        <v>249</v>
      </c>
      <c r="U9108" s="4" t="s">
        <v>56322</v>
      </c>
      <c r="V9108" s="2" t="s">
        <v>371</v>
      </c>
      <c r="W9108" s="2" t="s">
        <v>56316</v>
      </c>
      <c r="X9108" s="5" t="str">
        <f>HYPERLINK("https://my.pitchbook.com?p=325858-60P","View People Online")</f>
        <v>View People Online</v>
      </c>
    </row>
    <row r="9109">
      <c r="A9109" s="6" t="s">
        <v>56323</v>
      </c>
      <c r="B9109" s="6" t="s">
        <v>56324</v>
      </c>
      <c r="C9109" s="6" t="s">
        <v>13913</v>
      </c>
      <c r="D9109" s="6" t="s">
        <v>18864</v>
      </c>
      <c r="E9109" s="6" t="s">
        <v>56316</v>
      </c>
      <c r="F9109" s="6" t="s">
        <v>6567</v>
      </c>
      <c r="G9109" s="6" t="s">
        <v>56325</v>
      </c>
      <c r="H9109" s="7" t="s">
        <v>31</v>
      </c>
      <c r="I9109" s="7">
        <v>1.0</v>
      </c>
      <c r="J9109" s="7">
        <v>1.0</v>
      </c>
      <c r="K9109" s="7" t="s">
        <v>31</v>
      </c>
      <c r="L9109" s="8" t="s">
        <v>56326</v>
      </c>
      <c r="M9109" s="6" t="s">
        <v>56327</v>
      </c>
      <c r="N9109" s="6" t="s">
        <v>1416</v>
      </c>
      <c r="O9109" s="8" t="s">
        <v>1417</v>
      </c>
      <c r="P9109" s="6" t="s">
        <v>56328</v>
      </c>
      <c r="Q9109" s="6" t="s">
        <v>56329</v>
      </c>
      <c r="R9109" s="6" t="s">
        <v>1420</v>
      </c>
      <c r="S9109" s="8" t="s">
        <v>6302</v>
      </c>
      <c r="T9109" s="6" t="s">
        <v>66</v>
      </c>
      <c r="U9109" s="8" t="s">
        <v>56330</v>
      </c>
      <c r="V9109" s="6" t="s">
        <v>6567</v>
      </c>
      <c r="W9109" s="6" t="s">
        <v>56316</v>
      </c>
      <c r="X9109" s="9" t="str">
        <f>HYPERLINK("https://my.pitchbook.com?p=387777-25P","View People Online")</f>
        <v>View People Online</v>
      </c>
    </row>
    <row r="9110">
      <c r="A9110" s="10" t="s">
        <v>56331</v>
      </c>
      <c r="B9110" s="10" t="s">
        <v>56332</v>
      </c>
      <c r="C9110" s="10" t="s">
        <v>33498</v>
      </c>
      <c r="D9110" s="10" t="s">
        <v>43170</v>
      </c>
      <c r="E9110" s="10" t="s">
        <v>56316</v>
      </c>
      <c r="F9110" s="10" t="s">
        <v>667</v>
      </c>
      <c r="G9110" s="10" t="s">
        <v>56333</v>
      </c>
      <c r="H9110" s="11" t="s">
        <v>31</v>
      </c>
      <c r="I9110" s="11">
        <v>1.0</v>
      </c>
      <c r="J9110" s="11">
        <v>1.0</v>
      </c>
      <c r="K9110" s="11" t="s">
        <v>31</v>
      </c>
      <c r="L9110" s="12" t="s">
        <v>56326</v>
      </c>
      <c r="M9110" s="10" t="s">
        <v>56334</v>
      </c>
      <c r="N9110" s="10" t="s">
        <v>1416</v>
      </c>
      <c r="O9110" s="12" t="s">
        <v>1417</v>
      </c>
      <c r="P9110" s="10" t="s">
        <v>56328</v>
      </c>
      <c r="Q9110" s="10" t="s">
        <v>56329</v>
      </c>
      <c r="R9110" s="10" t="s">
        <v>1420</v>
      </c>
      <c r="S9110" s="12" t="s">
        <v>6302</v>
      </c>
      <c r="T9110" s="10" t="s">
        <v>66</v>
      </c>
      <c r="U9110" s="12" t="s">
        <v>56330</v>
      </c>
      <c r="V9110" s="10" t="s">
        <v>667</v>
      </c>
      <c r="W9110" s="10" t="s">
        <v>56316</v>
      </c>
      <c r="X9110" s="13" t="str">
        <f>HYPERLINK("https://my.pitchbook.com?p=441633-97P","View People Online")</f>
        <v>View People Online</v>
      </c>
    </row>
    <row r="9111">
      <c r="A9111" s="6" t="s">
        <v>56335</v>
      </c>
      <c r="B9111" s="6" t="s">
        <v>56336</v>
      </c>
      <c r="C9111" s="6" t="s">
        <v>1117</v>
      </c>
      <c r="D9111" s="6" t="s">
        <v>56337</v>
      </c>
      <c r="E9111" s="6" t="s">
        <v>56316</v>
      </c>
      <c r="F9111" s="6" t="s">
        <v>57</v>
      </c>
      <c r="G9111" s="6" t="s">
        <v>56338</v>
      </c>
      <c r="H9111" s="7">
        <v>3.0</v>
      </c>
      <c r="I9111" s="7">
        <v>50.0</v>
      </c>
      <c r="J9111" s="7">
        <v>2.0</v>
      </c>
      <c r="K9111" s="7">
        <v>41.0</v>
      </c>
      <c r="L9111" s="8" t="s">
        <v>56326</v>
      </c>
      <c r="M9111" s="6" t="s">
        <v>56339</v>
      </c>
      <c r="N9111" s="6" t="s">
        <v>1416</v>
      </c>
      <c r="O9111" s="8" t="s">
        <v>1417</v>
      </c>
      <c r="P9111" s="6" t="s">
        <v>56328</v>
      </c>
      <c r="Q9111" s="6" t="s">
        <v>56329</v>
      </c>
      <c r="R9111" s="6" t="s">
        <v>1420</v>
      </c>
      <c r="S9111" s="8" t="s">
        <v>6302</v>
      </c>
      <c r="T9111" s="6" t="s">
        <v>66</v>
      </c>
      <c r="U9111" s="8" t="s">
        <v>56330</v>
      </c>
      <c r="V9111" s="6" t="s">
        <v>57</v>
      </c>
      <c r="W9111" s="6" t="s">
        <v>56316</v>
      </c>
      <c r="X9111" s="9" t="str">
        <f>HYPERLINK("https://my.pitchbook.com?p=15610-51P","View People Online")</f>
        <v>View People Online</v>
      </c>
    </row>
    <row r="9112">
      <c r="A9112" s="2" t="s">
        <v>56340</v>
      </c>
      <c r="B9112" s="2" t="s">
        <v>56341</v>
      </c>
      <c r="C9112" s="2" t="s">
        <v>1103</v>
      </c>
      <c r="D9112" s="2" t="s">
        <v>25591</v>
      </c>
      <c r="E9112" s="2" t="s">
        <v>56316</v>
      </c>
      <c r="F9112" s="2" t="s">
        <v>29</v>
      </c>
      <c r="G9112" s="2" t="s">
        <v>56342</v>
      </c>
      <c r="H9112" s="3" t="s">
        <v>31</v>
      </c>
      <c r="I9112" s="3">
        <v>5.0</v>
      </c>
      <c r="J9112" s="3">
        <v>1.0</v>
      </c>
      <c r="K9112" s="3">
        <v>1.0</v>
      </c>
      <c r="L9112" s="4" t="s">
        <v>56326</v>
      </c>
      <c r="M9112" s="2" t="s">
        <v>56343</v>
      </c>
      <c r="N9112" s="2" t="s">
        <v>1416</v>
      </c>
      <c r="O9112" s="4" t="s">
        <v>1417</v>
      </c>
      <c r="P9112" s="2" t="s">
        <v>56328</v>
      </c>
      <c r="Q9112" s="2" t="s">
        <v>56329</v>
      </c>
      <c r="R9112" s="2" t="s">
        <v>1420</v>
      </c>
      <c r="S9112" s="4" t="s">
        <v>6302</v>
      </c>
      <c r="T9112" s="2" t="s">
        <v>66</v>
      </c>
      <c r="U9112" s="4" t="s">
        <v>56330</v>
      </c>
      <c r="V9112" s="2" t="s">
        <v>29</v>
      </c>
      <c r="W9112" s="2" t="s">
        <v>56316</v>
      </c>
      <c r="X9112" s="5" t="str">
        <f>HYPERLINK("https://my.pitchbook.com?p=15611-23P","View People Online")</f>
        <v>View People Online</v>
      </c>
    </row>
    <row r="9113">
      <c r="A9113" s="14" t="s">
        <v>56344</v>
      </c>
      <c r="B9113" s="14" t="s">
        <v>56345</v>
      </c>
      <c r="C9113" s="14" t="s">
        <v>56346</v>
      </c>
      <c r="D9113" s="14" t="s">
        <v>35562</v>
      </c>
      <c r="E9113" s="14" t="s">
        <v>56316</v>
      </c>
      <c r="F9113" s="14" t="s">
        <v>201</v>
      </c>
      <c r="G9113" s="14" t="s">
        <v>56347</v>
      </c>
      <c r="H9113" s="15" t="s">
        <v>31</v>
      </c>
      <c r="I9113" s="15">
        <v>1.0</v>
      </c>
      <c r="J9113" s="15">
        <v>1.0</v>
      </c>
      <c r="K9113" s="15" t="s">
        <v>31</v>
      </c>
      <c r="L9113" s="16" t="s">
        <v>56326</v>
      </c>
      <c r="M9113" s="14" t="s">
        <v>56348</v>
      </c>
      <c r="N9113" s="14" t="s">
        <v>1416</v>
      </c>
      <c r="O9113" s="16" t="s">
        <v>1417</v>
      </c>
      <c r="P9113" s="14" t="s">
        <v>56328</v>
      </c>
      <c r="Q9113" s="14" t="s">
        <v>56329</v>
      </c>
      <c r="R9113" s="14" t="s">
        <v>1420</v>
      </c>
      <c r="S9113" s="16" t="s">
        <v>6302</v>
      </c>
      <c r="T9113" s="14" t="s">
        <v>66</v>
      </c>
      <c r="U9113" s="16" t="s">
        <v>56330</v>
      </c>
      <c r="V9113" s="14" t="s">
        <v>201</v>
      </c>
      <c r="W9113" s="14" t="s">
        <v>56316</v>
      </c>
      <c r="X9113" s="17" t="str">
        <f>HYPERLINK("https://my.pitchbook.com?p=424193-14P","View People Online")</f>
        <v>View People Online</v>
      </c>
    </row>
    <row r="9114">
      <c r="A9114" s="2" t="s">
        <v>56349</v>
      </c>
      <c r="B9114" s="2" t="s">
        <v>56350</v>
      </c>
      <c r="C9114" s="2" t="s">
        <v>10401</v>
      </c>
      <c r="D9114" s="2" t="s">
        <v>56351</v>
      </c>
      <c r="E9114" s="2" t="s">
        <v>56316</v>
      </c>
      <c r="F9114" s="2" t="s">
        <v>201</v>
      </c>
      <c r="G9114" s="2" t="s">
        <v>56352</v>
      </c>
      <c r="H9114" s="3" t="s">
        <v>31</v>
      </c>
      <c r="I9114" s="3">
        <v>1.0</v>
      </c>
      <c r="J9114" s="3">
        <v>1.0</v>
      </c>
      <c r="K9114" s="3" t="s">
        <v>31</v>
      </c>
      <c r="L9114" s="4" t="s">
        <v>56326</v>
      </c>
      <c r="M9114" s="2" t="s">
        <v>56353</v>
      </c>
      <c r="N9114" s="2" t="s">
        <v>1416</v>
      </c>
      <c r="O9114" s="4" t="s">
        <v>1417</v>
      </c>
      <c r="P9114" s="2" t="s">
        <v>56328</v>
      </c>
      <c r="Q9114" s="2" t="s">
        <v>56329</v>
      </c>
      <c r="R9114" s="2" t="s">
        <v>1420</v>
      </c>
      <c r="S9114" s="4" t="s">
        <v>6302</v>
      </c>
      <c r="T9114" s="2" t="s">
        <v>66</v>
      </c>
      <c r="U9114" s="4" t="s">
        <v>56330</v>
      </c>
      <c r="V9114" s="2" t="s">
        <v>201</v>
      </c>
      <c r="W9114" s="2" t="s">
        <v>56316</v>
      </c>
      <c r="X9114" s="5" t="str">
        <f>HYPERLINK("https://my.pitchbook.com?p=325859-14P","View People Online")</f>
        <v>View People Online</v>
      </c>
    </row>
    <row r="9115">
      <c r="A9115" s="14" t="s">
        <v>56354</v>
      </c>
      <c r="B9115" s="14" t="s">
        <v>56355</v>
      </c>
      <c r="C9115" s="14" t="s">
        <v>56356</v>
      </c>
      <c r="D9115" s="14" t="s">
        <v>46827</v>
      </c>
      <c r="E9115" s="14" t="s">
        <v>56316</v>
      </c>
      <c r="F9115" s="14" t="s">
        <v>548</v>
      </c>
      <c r="G9115" s="14" t="s">
        <v>56357</v>
      </c>
      <c r="H9115" s="15" t="s">
        <v>31</v>
      </c>
      <c r="I9115" s="15">
        <v>1.0</v>
      </c>
      <c r="J9115" s="15">
        <v>1.0</v>
      </c>
      <c r="K9115" s="15" t="s">
        <v>31</v>
      </c>
      <c r="L9115" s="16" t="s">
        <v>56326</v>
      </c>
      <c r="M9115" s="14" t="s">
        <v>56358</v>
      </c>
      <c r="N9115" s="14" t="s">
        <v>1416</v>
      </c>
      <c r="O9115" s="16" t="s">
        <v>1417</v>
      </c>
      <c r="P9115" s="14" t="s">
        <v>56328</v>
      </c>
      <c r="Q9115" s="14" t="s">
        <v>56329</v>
      </c>
      <c r="R9115" s="14" t="s">
        <v>1420</v>
      </c>
      <c r="S9115" s="16" t="s">
        <v>6302</v>
      </c>
      <c r="T9115" s="14" t="s">
        <v>66</v>
      </c>
      <c r="U9115" s="16" t="s">
        <v>56330</v>
      </c>
      <c r="V9115" s="14" t="s">
        <v>1654</v>
      </c>
      <c r="W9115" s="14" t="s">
        <v>56316</v>
      </c>
      <c r="X9115" s="17" t="str">
        <f>HYPERLINK("https://my.pitchbook.com?p=82588-87P","View People Online")</f>
        <v>View People Online</v>
      </c>
    </row>
    <row r="9116">
      <c r="A9116" s="10" t="s">
        <v>56359</v>
      </c>
      <c r="B9116" s="10" t="s">
        <v>56360</v>
      </c>
      <c r="C9116" s="10" t="s">
        <v>4248</v>
      </c>
      <c r="D9116" s="10" t="s">
        <v>32545</v>
      </c>
      <c r="E9116" s="10" t="s">
        <v>56316</v>
      </c>
      <c r="F9116" s="10" t="s">
        <v>29</v>
      </c>
      <c r="G9116" s="10" t="s">
        <v>56361</v>
      </c>
      <c r="H9116" s="11">
        <v>4.0</v>
      </c>
      <c r="I9116" s="11">
        <v>19.0</v>
      </c>
      <c r="J9116" s="11">
        <v>1.0</v>
      </c>
      <c r="K9116" s="11">
        <v>14.0</v>
      </c>
      <c r="L9116" s="12" t="s">
        <v>56362</v>
      </c>
      <c r="M9116" s="10" t="s">
        <v>56363</v>
      </c>
      <c r="N9116" s="10" t="s">
        <v>6475</v>
      </c>
      <c r="O9116" s="12" t="s">
        <v>6476</v>
      </c>
      <c r="P9116" s="10" t="s">
        <v>56320</v>
      </c>
      <c r="Q9116" s="10" t="s">
        <v>31</v>
      </c>
      <c r="R9116" s="10" t="s">
        <v>6479</v>
      </c>
      <c r="S9116" s="12" t="s">
        <v>56321</v>
      </c>
      <c r="T9116" s="10" t="s">
        <v>249</v>
      </c>
      <c r="U9116" s="12" t="s">
        <v>56322</v>
      </c>
      <c r="V9116" s="10" t="s">
        <v>29</v>
      </c>
      <c r="W9116" s="10" t="s">
        <v>56316</v>
      </c>
      <c r="X9116" s="13" t="str">
        <f>HYPERLINK("https://my.pitchbook.com?p=17834-86P","View People Online")</f>
        <v>View People Online</v>
      </c>
    </row>
    <row r="9117">
      <c r="A9117" s="14" t="s">
        <v>56364</v>
      </c>
      <c r="B9117" s="14" t="s">
        <v>56365</v>
      </c>
      <c r="C9117" s="14" t="s">
        <v>69</v>
      </c>
      <c r="D9117" s="14" t="s">
        <v>13115</v>
      </c>
      <c r="E9117" s="14" t="s">
        <v>56316</v>
      </c>
      <c r="F9117" s="14" t="s">
        <v>1283</v>
      </c>
      <c r="G9117" s="14" t="s">
        <v>56366</v>
      </c>
      <c r="H9117" s="15">
        <v>2.0</v>
      </c>
      <c r="I9117" s="15">
        <v>8.0</v>
      </c>
      <c r="J9117" s="15">
        <v>1.0</v>
      </c>
      <c r="K9117" s="15">
        <v>5.0</v>
      </c>
      <c r="L9117" s="16" t="s">
        <v>56326</v>
      </c>
      <c r="M9117" s="14" t="s">
        <v>56367</v>
      </c>
      <c r="N9117" s="14" t="s">
        <v>1416</v>
      </c>
      <c r="O9117" s="16" t="s">
        <v>1417</v>
      </c>
      <c r="P9117" s="14" t="s">
        <v>56328</v>
      </c>
      <c r="Q9117" s="14" t="s">
        <v>56329</v>
      </c>
      <c r="R9117" s="14" t="s">
        <v>1420</v>
      </c>
      <c r="S9117" s="16" t="s">
        <v>6302</v>
      </c>
      <c r="T9117" s="14" t="s">
        <v>66</v>
      </c>
      <c r="U9117" s="16" t="s">
        <v>56330</v>
      </c>
      <c r="V9117" s="14" t="s">
        <v>1283</v>
      </c>
      <c r="W9117" s="14" t="s">
        <v>56316</v>
      </c>
      <c r="X9117" s="17" t="str">
        <f>HYPERLINK("https://my.pitchbook.com?p=204672-70P","View People Online")</f>
        <v>View People Online</v>
      </c>
    </row>
    <row r="9118">
      <c r="A9118" s="10" t="s">
        <v>56368</v>
      </c>
      <c r="B9118" s="10" t="s">
        <v>56369</v>
      </c>
      <c r="C9118" s="10" t="s">
        <v>1449</v>
      </c>
      <c r="D9118" s="10" t="s">
        <v>38943</v>
      </c>
      <c r="E9118" s="10" t="s">
        <v>56316</v>
      </c>
      <c r="F9118" s="10" t="s">
        <v>29</v>
      </c>
      <c r="G9118" s="10" t="s">
        <v>56370</v>
      </c>
      <c r="H9118" s="11">
        <v>3.0</v>
      </c>
      <c r="I9118" s="11">
        <v>24.0</v>
      </c>
      <c r="J9118" s="11">
        <v>1.0</v>
      </c>
      <c r="K9118" s="11">
        <v>16.0</v>
      </c>
      <c r="L9118" s="12" t="s">
        <v>56326</v>
      </c>
      <c r="M9118" s="10" t="s">
        <v>56371</v>
      </c>
      <c r="N9118" s="10" t="s">
        <v>1416</v>
      </c>
      <c r="O9118" s="12" t="s">
        <v>1417</v>
      </c>
      <c r="P9118" s="10" t="s">
        <v>56328</v>
      </c>
      <c r="Q9118" s="10" t="s">
        <v>56329</v>
      </c>
      <c r="R9118" s="10" t="s">
        <v>1420</v>
      </c>
      <c r="S9118" s="12" t="s">
        <v>6302</v>
      </c>
      <c r="T9118" s="10" t="s">
        <v>66</v>
      </c>
      <c r="U9118" s="12" t="s">
        <v>56330</v>
      </c>
      <c r="V9118" s="10" t="s">
        <v>29</v>
      </c>
      <c r="W9118" s="10" t="s">
        <v>56316</v>
      </c>
      <c r="X9118" s="13" t="str">
        <f>HYPERLINK("https://my.pitchbook.com?p=15611-32P","View People Online")</f>
        <v>View People Online</v>
      </c>
    </row>
    <row r="9119">
      <c r="A9119" s="6" t="s">
        <v>56372</v>
      </c>
      <c r="B9119" s="6" t="s">
        <v>56373</v>
      </c>
      <c r="C9119" s="6" t="s">
        <v>56374</v>
      </c>
      <c r="D9119" s="6" t="s">
        <v>56375</v>
      </c>
      <c r="E9119" s="6" t="s">
        <v>56316</v>
      </c>
      <c r="F9119" s="6" t="s">
        <v>1283</v>
      </c>
      <c r="G9119" s="6" t="s">
        <v>56376</v>
      </c>
      <c r="H9119" s="7">
        <v>1.0</v>
      </c>
      <c r="I9119" s="7">
        <v>6.0</v>
      </c>
      <c r="J9119" s="7">
        <v>1.0</v>
      </c>
      <c r="K9119" s="7">
        <v>4.0</v>
      </c>
      <c r="L9119" s="8" t="s">
        <v>56326</v>
      </c>
      <c r="M9119" s="6" t="s">
        <v>56377</v>
      </c>
      <c r="N9119" s="6" t="s">
        <v>1416</v>
      </c>
      <c r="O9119" s="8" t="s">
        <v>1417</v>
      </c>
      <c r="P9119" s="6" t="s">
        <v>56328</v>
      </c>
      <c r="Q9119" s="6" t="s">
        <v>56329</v>
      </c>
      <c r="R9119" s="6" t="s">
        <v>1420</v>
      </c>
      <c r="S9119" s="8" t="s">
        <v>6302</v>
      </c>
      <c r="T9119" s="6" t="s">
        <v>66</v>
      </c>
      <c r="U9119" s="8" t="s">
        <v>56330</v>
      </c>
      <c r="V9119" s="6" t="s">
        <v>1283</v>
      </c>
      <c r="W9119" s="6" t="s">
        <v>56316</v>
      </c>
      <c r="X9119" s="9" t="str">
        <f>HYPERLINK("https://my.pitchbook.com?p=204672-61P","View People Online")</f>
        <v>View People Online</v>
      </c>
    </row>
    <row r="9120">
      <c r="A9120" s="10" t="s">
        <v>56378</v>
      </c>
      <c r="B9120" s="10" t="s">
        <v>56379</v>
      </c>
      <c r="C9120" s="10" t="s">
        <v>56380</v>
      </c>
      <c r="D9120" s="10" t="s">
        <v>56381</v>
      </c>
      <c r="E9120" s="10" t="s">
        <v>56316</v>
      </c>
      <c r="F9120" s="10" t="s">
        <v>120</v>
      </c>
      <c r="G9120" s="10" t="s">
        <v>56382</v>
      </c>
      <c r="H9120" s="11">
        <v>3.0</v>
      </c>
      <c r="I9120" s="11">
        <v>5.0</v>
      </c>
      <c r="J9120" s="11">
        <v>1.0</v>
      </c>
      <c r="K9120" s="11">
        <v>1.0</v>
      </c>
      <c r="L9120" s="12" t="s">
        <v>56326</v>
      </c>
      <c r="M9120" s="10" t="s">
        <v>56383</v>
      </c>
      <c r="N9120" s="10" t="s">
        <v>1416</v>
      </c>
      <c r="O9120" s="12" t="s">
        <v>1417</v>
      </c>
      <c r="P9120" s="10" t="s">
        <v>56328</v>
      </c>
      <c r="Q9120" s="10" t="s">
        <v>56329</v>
      </c>
      <c r="R9120" s="10" t="s">
        <v>1420</v>
      </c>
      <c r="S9120" s="12" t="s">
        <v>6302</v>
      </c>
      <c r="T9120" s="10" t="s">
        <v>66</v>
      </c>
      <c r="U9120" s="12" t="s">
        <v>56330</v>
      </c>
      <c r="V9120" s="10" t="s">
        <v>120</v>
      </c>
      <c r="W9120" s="10" t="s">
        <v>56316</v>
      </c>
      <c r="X9120" s="13" t="str">
        <f>HYPERLINK("https://my.pitchbook.com?p=35792-92P","View People Online")</f>
        <v>View People Online</v>
      </c>
    </row>
    <row r="9121">
      <c r="A9121" s="6" t="s">
        <v>56384</v>
      </c>
      <c r="B9121" s="6" t="s">
        <v>32306</v>
      </c>
      <c r="C9121" s="6" t="s">
        <v>4320</v>
      </c>
      <c r="D9121" s="6" t="s">
        <v>6030</v>
      </c>
      <c r="E9121" s="6" t="s">
        <v>56316</v>
      </c>
      <c r="F9121" s="6" t="s">
        <v>1283</v>
      </c>
      <c r="G9121" s="6" t="s">
        <v>56385</v>
      </c>
      <c r="H9121" s="7">
        <v>3.0</v>
      </c>
      <c r="I9121" s="7">
        <v>14.0</v>
      </c>
      <c r="J9121" s="7">
        <v>2.0</v>
      </c>
      <c r="K9121" s="7">
        <v>10.0</v>
      </c>
      <c r="L9121" s="8" t="s">
        <v>56326</v>
      </c>
      <c r="M9121" s="6" t="s">
        <v>56386</v>
      </c>
      <c r="N9121" s="6" t="s">
        <v>1416</v>
      </c>
      <c r="O9121" s="8" t="s">
        <v>1417</v>
      </c>
      <c r="P9121" s="6" t="s">
        <v>56328</v>
      </c>
      <c r="Q9121" s="6" t="s">
        <v>56329</v>
      </c>
      <c r="R9121" s="6" t="s">
        <v>1420</v>
      </c>
      <c r="S9121" s="8" t="s">
        <v>6302</v>
      </c>
      <c r="T9121" s="6" t="s">
        <v>66</v>
      </c>
      <c r="U9121" s="8" t="s">
        <v>56330</v>
      </c>
      <c r="V9121" s="6" t="s">
        <v>1283</v>
      </c>
      <c r="W9121" s="6" t="s">
        <v>56316</v>
      </c>
      <c r="X9121" s="9" t="str">
        <f>HYPERLINK("https://my.pitchbook.com?p=85970-80P","View People Online")</f>
        <v>View People Online</v>
      </c>
    </row>
    <row r="9122">
      <c r="A9122" s="10" t="s">
        <v>56387</v>
      </c>
      <c r="B9122" s="10" t="s">
        <v>56388</v>
      </c>
      <c r="C9122" s="10" t="s">
        <v>33059</v>
      </c>
      <c r="D9122" s="10" t="s">
        <v>11612</v>
      </c>
      <c r="E9122" s="10" t="s">
        <v>56316</v>
      </c>
      <c r="F9122" s="10" t="s">
        <v>201</v>
      </c>
      <c r="G9122" s="10" t="s">
        <v>56389</v>
      </c>
      <c r="H9122" s="11" t="s">
        <v>31</v>
      </c>
      <c r="I9122" s="11">
        <v>1.0</v>
      </c>
      <c r="J9122" s="11">
        <v>1.0</v>
      </c>
      <c r="K9122" s="11" t="s">
        <v>31</v>
      </c>
      <c r="L9122" s="12" t="s">
        <v>56326</v>
      </c>
      <c r="M9122" s="10" t="s">
        <v>56390</v>
      </c>
      <c r="N9122" s="10" t="s">
        <v>1416</v>
      </c>
      <c r="O9122" s="12" t="s">
        <v>1417</v>
      </c>
      <c r="P9122" s="10" t="s">
        <v>56328</v>
      </c>
      <c r="Q9122" s="10" t="s">
        <v>56329</v>
      </c>
      <c r="R9122" s="10" t="s">
        <v>1420</v>
      </c>
      <c r="S9122" s="12" t="s">
        <v>6302</v>
      </c>
      <c r="T9122" s="10" t="s">
        <v>66</v>
      </c>
      <c r="U9122" s="12" t="s">
        <v>56330</v>
      </c>
      <c r="V9122" s="10" t="s">
        <v>201</v>
      </c>
      <c r="W9122" s="10" t="s">
        <v>56316</v>
      </c>
      <c r="X9122" s="13" t="str">
        <f>HYPERLINK("https://my.pitchbook.com?p=217289-89P","View People Online")</f>
        <v>View People Online</v>
      </c>
    </row>
    <row r="9123">
      <c r="A9123" s="14" t="s">
        <v>56391</v>
      </c>
      <c r="B9123" s="14" t="s">
        <v>56392</v>
      </c>
      <c r="C9123" s="14" t="s">
        <v>56393</v>
      </c>
      <c r="D9123" s="14" t="s">
        <v>56394</v>
      </c>
      <c r="E9123" s="14" t="s">
        <v>56316</v>
      </c>
      <c r="F9123" s="14" t="s">
        <v>3523</v>
      </c>
      <c r="G9123" s="14" t="s">
        <v>56395</v>
      </c>
      <c r="H9123" s="15">
        <v>9.0</v>
      </c>
      <c r="I9123" s="15">
        <v>26.0</v>
      </c>
      <c r="J9123" s="15">
        <v>2.0</v>
      </c>
      <c r="K9123" s="15">
        <v>14.0</v>
      </c>
      <c r="L9123" s="16" t="s">
        <v>56326</v>
      </c>
      <c r="M9123" s="14" t="s">
        <v>56396</v>
      </c>
      <c r="N9123" s="14" t="s">
        <v>1416</v>
      </c>
      <c r="O9123" s="16" t="s">
        <v>1417</v>
      </c>
      <c r="P9123" s="14" t="s">
        <v>56328</v>
      </c>
      <c r="Q9123" s="14" t="s">
        <v>56329</v>
      </c>
      <c r="R9123" s="14" t="s">
        <v>1420</v>
      </c>
      <c r="S9123" s="16" t="s">
        <v>6302</v>
      </c>
      <c r="T9123" s="14" t="s">
        <v>66</v>
      </c>
      <c r="U9123" s="16" t="s">
        <v>56330</v>
      </c>
      <c r="V9123" s="14" t="s">
        <v>56397</v>
      </c>
      <c r="W9123" s="14" t="s">
        <v>56316</v>
      </c>
      <c r="X9123" s="17" t="str">
        <f>HYPERLINK("https://my.pitchbook.com?p=35973-55P","View People Online")</f>
        <v>View People Online</v>
      </c>
    </row>
    <row r="9124">
      <c r="A9124" s="10" t="s">
        <v>56398</v>
      </c>
      <c r="B9124" s="10" t="s">
        <v>56399</v>
      </c>
      <c r="C9124" s="10" t="s">
        <v>7304</v>
      </c>
      <c r="D9124" s="10" t="s">
        <v>56400</v>
      </c>
      <c r="E9124" s="10" t="s">
        <v>56316</v>
      </c>
      <c r="F9124" s="10" t="s">
        <v>1283</v>
      </c>
      <c r="G9124" s="10" t="s">
        <v>56401</v>
      </c>
      <c r="H9124" s="11">
        <v>1.0</v>
      </c>
      <c r="I9124" s="11">
        <v>2.0</v>
      </c>
      <c r="J9124" s="11">
        <v>1.0</v>
      </c>
      <c r="K9124" s="11" t="s">
        <v>31</v>
      </c>
      <c r="L9124" s="12" t="s">
        <v>31</v>
      </c>
      <c r="M9124" s="10" t="s">
        <v>56402</v>
      </c>
      <c r="N9124" s="10" t="s">
        <v>45658</v>
      </c>
      <c r="O9124" s="12" t="s">
        <v>45659</v>
      </c>
      <c r="P9124" s="10" t="s">
        <v>31</v>
      </c>
      <c r="Q9124" s="10" t="s">
        <v>31</v>
      </c>
      <c r="R9124" s="10" t="s">
        <v>45662</v>
      </c>
      <c r="S9124" s="12" t="s">
        <v>31</v>
      </c>
      <c r="T9124" s="10" t="s">
        <v>5484</v>
      </c>
      <c r="U9124" s="12" t="s">
        <v>31</v>
      </c>
      <c r="V9124" s="10" t="s">
        <v>1283</v>
      </c>
      <c r="W9124" s="10" t="s">
        <v>56316</v>
      </c>
      <c r="X9124" s="13" t="str">
        <f>HYPERLINK("https://my.pitchbook.com?p=149823-01P","View People Online")</f>
        <v>View People Online</v>
      </c>
    </row>
    <row r="9125">
      <c r="A9125" s="6" t="s">
        <v>56403</v>
      </c>
      <c r="B9125" s="6" t="s">
        <v>56404</v>
      </c>
      <c r="C9125" s="6" t="s">
        <v>56405</v>
      </c>
      <c r="D9125" s="6" t="s">
        <v>56406</v>
      </c>
      <c r="E9125" s="6" t="s">
        <v>56316</v>
      </c>
      <c r="F9125" s="6" t="s">
        <v>189</v>
      </c>
      <c r="G9125" s="6" t="s">
        <v>56407</v>
      </c>
      <c r="H9125" s="7" t="s">
        <v>31</v>
      </c>
      <c r="I9125" s="7">
        <v>12.0</v>
      </c>
      <c r="J9125" s="7">
        <v>1.0</v>
      </c>
      <c r="K9125" s="7">
        <v>8.0</v>
      </c>
      <c r="L9125" s="8" t="s">
        <v>56326</v>
      </c>
      <c r="M9125" s="6" t="s">
        <v>56408</v>
      </c>
      <c r="N9125" s="6" t="s">
        <v>1416</v>
      </c>
      <c r="O9125" s="8" t="s">
        <v>1417</v>
      </c>
      <c r="P9125" s="6" t="s">
        <v>56328</v>
      </c>
      <c r="Q9125" s="6" t="s">
        <v>56329</v>
      </c>
      <c r="R9125" s="6" t="s">
        <v>1420</v>
      </c>
      <c r="S9125" s="8" t="s">
        <v>6302</v>
      </c>
      <c r="T9125" s="6" t="s">
        <v>66</v>
      </c>
      <c r="U9125" s="8" t="s">
        <v>56330</v>
      </c>
      <c r="V9125" s="6" t="s">
        <v>189</v>
      </c>
      <c r="W9125" s="6" t="s">
        <v>56316</v>
      </c>
      <c r="X9125" s="9" t="str">
        <f>HYPERLINK("https://my.pitchbook.com?p=15610-42P","View People Online")</f>
        <v>View People Online</v>
      </c>
    </row>
    <row r="9126">
      <c r="A9126" s="2" t="s">
        <v>56409</v>
      </c>
      <c r="B9126" s="2" t="s">
        <v>56410</v>
      </c>
      <c r="C9126" s="2" t="s">
        <v>934</v>
      </c>
      <c r="D9126" s="2" t="s">
        <v>56059</v>
      </c>
      <c r="E9126" s="2" t="s">
        <v>56316</v>
      </c>
      <c r="F9126" s="2" t="s">
        <v>221</v>
      </c>
      <c r="G9126" s="2" t="s">
        <v>56411</v>
      </c>
      <c r="H9126" s="3" t="s">
        <v>31</v>
      </c>
      <c r="I9126" s="3">
        <v>1.0</v>
      </c>
      <c r="J9126" s="3">
        <v>1.0</v>
      </c>
      <c r="K9126" s="3" t="s">
        <v>31</v>
      </c>
      <c r="L9126" s="4" t="s">
        <v>56326</v>
      </c>
      <c r="M9126" s="2" t="s">
        <v>56412</v>
      </c>
      <c r="N9126" s="2" t="s">
        <v>1416</v>
      </c>
      <c r="O9126" s="4" t="s">
        <v>1417</v>
      </c>
      <c r="P9126" s="2" t="s">
        <v>56328</v>
      </c>
      <c r="Q9126" s="2" t="s">
        <v>56329</v>
      </c>
      <c r="R9126" s="2" t="s">
        <v>1420</v>
      </c>
      <c r="S9126" s="4" t="s">
        <v>6302</v>
      </c>
      <c r="T9126" s="2" t="s">
        <v>66</v>
      </c>
      <c r="U9126" s="4" t="s">
        <v>56330</v>
      </c>
      <c r="V9126" s="2" t="s">
        <v>221</v>
      </c>
      <c r="W9126" s="2" t="s">
        <v>56316</v>
      </c>
      <c r="X9126" s="5" t="str">
        <f>HYPERLINK("https://my.pitchbook.com?p=375063-49P","View People Online")</f>
        <v>View People Online</v>
      </c>
    </row>
    <row r="9127">
      <c r="A9127" s="14" t="s">
        <v>56413</v>
      </c>
      <c r="B9127" s="14" t="s">
        <v>56414</v>
      </c>
      <c r="C9127" s="14" t="s">
        <v>2388</v>
      </c>
      <c r="D9127" s="14" t="s">
        <v>2456</v>
      </c>
      <c r="E9127" s="14" t="s">
        <v>56316</v>
      </c>
      <c r="F9127" s="14" t="s">
        <v>120</v>
      </c>
      <c r="G9127" s="14" t="s">
        <v>56415</v>
      </c>
      <c r="H9127" s="15">
        <v>1.0</v>
      </c>
      <c r="I9127" s="15">
        <v>6.0</v>
      </c>
      <c r="J9127" s="15">
        <v>1.0</v>
      </c>
      <c r="K9127" s="15">
        <v>4.0</v>
      </c>
      <c r="L9127" s="16" t="s">
        <v>56416</v>
      </c>
      <c r="M9127" s="14" t="s">
        <v>31</v>
      </c>
      <c r="N9127" s="14" t="s">
        <v>56417</v>
      </c>
      <c r="O9127" s="16" t="s">
        <v>56418</v>
      </c>
      <c r="P9127" s="14" t="s">
        <v>56419</v>
      </c>
      <c r="Q9127" s="14" t="s">
        <v>56420</v>
      </c>
      <c r="R9127" s="14" t="s">
        <v>6479</v>
      </c>
      <c r="S9127" s="16" t="s">
        <v>56421</v>
      </c>
      <c r="T9127" s="14" t="s">
        <v>249</v>
      </c>
      <c r="U9127" s="16" t="s">
        <v>56422</v>
      </c>
      <c r="V9127" s="14" t="s">
        <v>470</v>
      </c>
      <c r="W9127" s="14" t="s">
        <v>56423</v>
      </c>
      <c r="X9127" s="17" t="str">
        <f>HYPERLINK("https://my.pitchbook.com?p=20347-30P","View People Online")</f>
        <v>View People Online</v>
      </c>
    </row>
    <row r="9128">
      <c r="A9128" s="10" t="s">
        <v>56424</v>
      </c>
      <c r="B9128" s="10" t="s">
        <v>56425</v>
      </c>
      <c r="C9128" s="10" t="s">
        <v>6855</v>
      </c>
      <c r="D9128" s="10" t="s">
        <v>16912</v>
      </c>
      <c r="E9128" s="10" t="s">
        <v>56316</v>
      </c>
      <c r="F9128" s="10" t="s">
        <v>57</v>
      </c>
      <c r="G9128" s="10" t="s">
        <v>56426</v>
      </c>
      <c r="H9128" s="11">
        <v>2.0</v>
      </c>
      <c r="I9128" s="11">
        <v>17.0</v>
      </c>
      <c r="J9128" s="11">
        <v>1.0</v>
      </c>
      <c r="K9128" s="11">
        <v>14.0</v>
      </c>
      <c r="L9128" s="12" t="s">
        <v>56326</v>
      </c>
      <c r="M9128" s="10" t="s">
        <v>56427</v>
      </c>
      <c r="N9128" s="10" t="s">
        <v>1416</v>
      </c>
      <c r="O9128" s="12" t="s">
        <v>1417</v>
      </c>
      <c r="P9128" s="10" t="s">
        <v>56328</v>
      </c>
      <c r="Q9128" s="10" t="s">
        <v>56329</v>
      </c>
      <c r="R9128" s="10" t="s">
        <v>1420</v>
      </c>
      <c r="S9128" s="12" t="s">
        <v>6302</v>
      </c>
      <c r="T9128" s="10" t="s">
        <v>66</v>
      </c>
      <c r="U9128" s="12" t="s">
        <v>56330</v>
      </c>
      <c r="V9128" s="10" t="s">
        <v>57</v>
      </c>
      <c r="W9128" s="10" t="s">
        <v>56316</v>
      </c>
      <c r="X9128" s="13" t="str">
        <f>HYPERLINK("https://my.pitchbook.com?p=165039-67P","View People Online")</f>
        <v>View People Online</v>
      </c>
    </row>
    <row r="9129">
      <c r="A9129" s="6" t="s">
        <v>56428</v>
      </c>
      <c r="B9129" s="6" t="s">
        <v>56429</v>
      </c>
      <c r="C9129" s="6" t="s">
        <v>56430</v>
      </c>
      <c r="D9129" s="6" t="s">
        <v>13108</v>
      </c>
      <c r="E9129" s="6" t="s">
        <v>56431</v>
      </c>
      <c r="F9129" s="6" t="s">
        <v>270</v>
      </c>
      <c r="G9129" s="6" t="s">
        <v>56432</v>
      </c>
      <c r="H9129" s="7" t="s">
        <v>31</v>
      </c>
      <c r="I9129" s="7">
        <v>2.0</v>
      </c>
      <c r="J9129" s="7">
        <v>1.0</v>
      </c>
      <c r="K9129" s="7">
        <v>1.0</v>
      </c>
      <c r="L9129" s="8" t="s">
        <v>31</v>
      </c>
      <c r="M9129" s="6" t="s">
        <v>56433</v>
      </c>
      <c r="N9129" s="6" t="s">
        <v>56434</v>
      </c>
      <c r="O9129" s="8" t="s">
        <v>56435</v>
      </c>
      <c r="P9129" s="6" t="s">
        <v>56436</v>
      </c>
      <c r="Q9129" s="6" t="s">
        <v>31</v>
      </c>
      <c r="R9129" s="6" t="s">
        <v>31</v>
      </c>
      <c r="S9129" s="8" t="s">
        <v>56437</v>
      </c>
      <c r="T9129" s="6" t="s">
        <v>433</v>
      </c>
      <c r="U9129" s="8" t="s">
        <v>31</v>
      </c>
      <c r="V9129" s="6" t="s">
        <v>56438</v>
      </c>
      <c r="W9129" s="6" t="s">
        <v>56431</v>
      </c>
      <c r="X9129" s="9" t="str">
        <f>HYPERLINK("https://my.pitchbook.com?p=89032-60P","View People Online")</f>
        <v>View People Online</v>
      </c>
    </row>
    <row r="9130">
      <c r="A9130" s="10" t="s">
        <v>56439</v>
      </c>
      <c r="B9130" s="10" t="s">
        <v>56440</v>
      </c>
      <c r="C9130" s="10" t="s">
        <v>2040</v>
      </c>
      <c r="D9130" s="10" t="s">
        <v>56441</v>
      </c>
      <c r="E9130" s="10" t="s">
        <v>56431</v>
      </c>
      <c r="F9130" s="10" t="s">
        <v>548</v>
      </c>
      <c r="G9130" s="10" t="s">
        <v>56442</v>
      </c>
      <c r="H9130" s="11" t="s">
        <v>31</v>
      </c>
      <c r="I9130" s="11">
        <v>1.0</v>
      </c>
      <c r="J9130" s="11">
        <v>1.0</v>
      </c>
      <c r="K9130" s="11" t="s">
        <v>31</v>
      </c>
      <c r="L9130" s="12" t="s">
        <v>31</v>
      </c>
      <c r="M9130" s="10" t="s">
        <v>56443</v>
      </c>
      <c r="N9130" s="10" t="s">
        <v>56434</v>
      </c>
      <c r="O9130" s="12" t="s">
        <v>56435</v>
      </c>
      <c r="P9130" s="10" t="s">
        <v>56436</v>
      </c>
      <c r="Q9130" s="10" t="s">
        <v>31</v>
      </c>
      <c r="R9130" s="10" t="s">
        <v>31</v>
      </c>
      <c r="S9130" s="12" t="s">
        <v>56437</v>
      </c>
      <c r="T9130" s="10" t="s">
        <v>433</v>
      </c>
      <c r="U9130" s="12" t="s">
        <v>31</v>
      </c>
      <c r="V9130" s="10" t="s">
        <v>56444</v>
      </c>
      <c r="W9130" s="10" t="s">
        <v>56431</v>
      </c>
      <c r="X9130" s="13" t="str">
        <f>HYPERLINK("https://my.pitchbook.com?p=140977-36P","View People Online")</f>
        <v>View People Online</v>
      </c>
    </row>
    <row r="9131">
      <c r="A9131" s="14" t="s">
        <v>56445</v>
      </c>
      <c r="B9131" s="14" t="s">
        <v>56446</v>
      </c>
      <c r="C9131" s="14" t="s">
        <v>56447</v>
      </c>
      <c r="D9131" s="14" t="s">
        <v>56448</v>
      </c>
      <c r="E9131" s="14" t="s">
        <v>56431</v>
      </c>
      <c r="F9131" s="14" t="s">
        <v>371</v>
      </c>
      <c r="G9131" s="14" t="s">
        <v>56449</v>
      </c>
      <c r="H9131" s="15" t="s">
        <v>31</v>
      </c>
      <c r="I9131" s="15">
        <v>1.0</v>
      </c>
      <c r="J9131" s="15">
        <v>1.0</v>
      </c>
      <c r="K9131" s="15" t="s">
        <v>31</v>
      </c>
      <c r="L9131" s="16" t="s">
        <v>31</v>
      </c>
      <c r="M9131" s="14" t="s">
        <v>56450</v>
      </c>
      <c r="N9131" s="14" t="s">
        <v>56434</v>
      </c>
      <c r="O9131" s="16" t="s">
        <v>56435</v>
      </c>
      <c r="P9131" s="14" t="s">
        <v>56436</v>
      </c>
      <c r="Q9131" s="14" t="s">
        <v>31</v>
      </c>
      <c r="R9131" s="14" t="s">
        <v>31</v>
      </c>
      <c r="S9131" s="16" t="s">
        <v>56437</v>
      </c>
      <c r="T9131" s="14" t="s">
        <v>433</v>
      </c>
      <c r="U9131" s="16" t="s">
        <v>31</v>
      </c>
      <c r="V9131" s="14" t="s">
        <v>56451</v>
      </c>
      <c r="W9131" s="14" t="s">
        <v>56431</v>
      </c>
      <c r="X9131" s="17" t="str">
        <f>HYPERLINK("https://my.pitchbook.com?p=374487-94P","View People Online")</f>
        <v>View People Online</v>
      </c>
    </row>
    <row r="9132">
      <c r="A9132" s="2" t="s">
        <v>56452</v>
      </c>
      <c r="B9132" s="2" t="s">
        <v>56453</v>
      </c>
      <c r="C9132" s="2" t="s">
        <v>233</v>
      </c>
      <c r="D9132" s="2" t="s">
        <v>56454</v>
      </c>
      <c r="E9132" s="2" t="s">
        <v>56431</v>
      </c>
      <c r="F9132" s="2" t="s">
        <v>312</v>
      </c>
      <c r="G9132" s="2" t="s">
        <v>56455</v>
      </c>
      <c r="H9132" s="3" t="s">
        <v>31</v>
      </c>
      <c r="I9132" s="3">
        <v>2.0</v>
      </c>
      <c r="J9132" s="3">
        <v>1.0</v>
      </c>
      <c r="K9132" s="3">
        <v>1.0</v>
      </c>
      <c r="L9132" s="4" t="s">
        <v>31</v>
      </c>
      <c r="M9132" s="2" t="s">
        <v>56456</v>
      </c>
      <c r="N9132" s="2" t="s">
        <v>56434</v>
      </c>
      <c r="O9132" s="4" t="s">
        <v>56435</v>
      </c>
      <c r="P9132" s="2" t="s">
        <v>56436</v>
      </c>
      <c r="Q9132" s="2" t="s">
        <v>31</v>
      </c>
      <c r="R9132" s="2" t="s">
        <v>31</v>
      </c>
      <c r="S9132" s="4" t="s">
        <v>56437</v>
      </c>
      <c r="T9132" s="2" t="s">
        <v>433</v>
      </c>
      <c r="U9132" s="4" t="s">
        <v>31</v>
      </c>
      <c r="V9132" s="2" t="s">
        <v>56457</v>
      </c>
      <c r="W9132" s="2" t="s">
        <v>56431</v>
      </c>
      <c r="X9132" s="5" t="str">
        <f>HYPERLINK("https://my.pitchbook.com?p=303436-63P","View People Online")</f>
        <v>View People Online</v>
      </c>
    </row>
    <row r="9133">
      <c r="A9133" s="14" t="s">
        <v>56458</v>
      </c>
      <c r="B9133" s="14" t="s">
        <v>56459</v>
      </c>
      <c r="C9133" s="14" t="s">
        <v>25533</v>
      </c>
      <c r="D9133" s="14" t="s">
        <v>3677</v>
      </c>
      <c r="E9133" s="14" t="s">
        <v>56431</v>
      </c>
      <c r="F9133" s="14" t="s">
        <v>28089</v>
      </c>
      <c r="G9133" s="14" t="s">
        <v>56460</v>
      </c>
      <c r="H9133" s="15" t="s">
        <v>31</v>
      </c>
      <c r="I9133" s="15">
        <v>1.0</v>
      </c>
      <c r="J9133" s="15">
        <v>1.0</v>
      </c>
      <c r="K9133" s="15" t="s">
        <v>31</v>
      </c>
      <c r="L9133" s="16" t="s">
        <v>31</v>
      </c>
      <c r="M9133" s="14" t="s">
        <v>56461</v>
      </c>
      <c r="N9133" s="14" t="s">
        <v>56434</v>
      </c>
      <c r="O9133" s="16" t="s">
        <v>56435</v>
      </c>
      <c r="P9133" s="14" t="s">
        <v>56436</v>
      </c>
      <c r="Q9133" s="14" t="s">
        <v>31</v>
      </c>
      <c r="R9133" s="14" t="s">
        <v>31</v>
      </c>
      <c r="S9133" s="16" t="s">
        <v>56437</v>
      </c>
      <c r="T9133" s="14" t="s">
        <v>433</v>
      </c>
      <c r="U9133" s="16" t="s">
        <v>31</v>
      </c>
      <c r="V9133" s="14" t="s">
        <v>53806</v>
      </c>
      <c r="W9133" s="14" t="s">
        <v>56431</v>
      </c>
      <c r="X9133" s="17" t="str">
        <f>HYPERLINK("https://my.pitchbook.com?p=29624-86P","View People Online")</f>
        <v>View People Online</v>
      </c>
    </row>
    <row r="9134">
      <c r="A9134" s="2" t="s">
        <v>56462</v>
      </c>
      <c r="B9134" s="2" t="s">
        <v>56463</v>
      </c>
      <c r="C9134" s="2" t="s">
        <v>4798</v>
      </c>
      <c r="D9134" s="2" t="s">
        <v>22921</v>
      </c>
      <c r="E9134" s="2" t="s">
        <v>56431</v>
      </c>
      <c r="F9134" s="2" t="s">
        <v>4800</v>
      </c>
      <c r="G9134" s="2" t="s">
        <v>56464</v>
      </c>
      <c r="H9134" s="3" t="s">
        <v>31</v>
      </c>
      <c r="I9134" s="3">
        <v>1.0</v>
      </c>
      <c r="J9134" s="3">
        <v>1.0</v>
      </c>
      <c r="K9134" s="3" t="s">
        <v>31</v>
      </c>
      <c r="L9134" s="4" t="s">
        <v>56465</v>
      </c>
      <c r="M9134" s="2" t="s">
        <v>56466</v>
      </c>
      <c r="N9134" s="2" t="s">
        <v>56434</v>
      </c>
      <c r="O9134" s="4" t="s">
        <v>56435</v>
      </c>
      <c r="P9134" s="2" t="s">
        <v>56436</v>
      </c>
      <c r="Q9134" s="2" t="s">
        <v>31</v>
      </c>
      <c r="R9134" s="2" t="s">
        <v>31</v>
      </c>
      <c r="S9134" s="4" t="s">
        <v>56437</v>
      </c>
      <c r="T9134" s="2" t="s">
        <v>433</v>
      </c>
      <c r="U9134" s="4" t="s">
        <v>31</v>
      </c>
      <c r="V9134" s="2" t="s">
        <v>56467</v>
      </c>
      <c r="W9134" s="2" t="s">
        <v>56431</v>
      </c>
      <c r="X9134" s="5" t="str">
        <f>HYPERLINK("https://my.pitchbook.com?p=262562-77P","View People Online")</f>
        <v>View People Online</v>
      </c>
    </row>
    <row r="9135">
      <c r="A9135" s="6" t="s">
        <v>56468</v>
      </c>
      <c r="B9135" s="6" t="s">
        <v>56469</v>
      </c>
      <c r="C9135" s="6" t="s">
        <v>1541</v>
      </c>
      <c r="D9135" s="6" t="s">
        <v>56470</v>
      </c>
      <c r="E9135" s="6" t="s">
        <v>56431</v>
      </c>
      <c r="F9135" s="6" t="s">
        <v>548</v>
      </c>
      <c r="G9135" s="6" t="s">
        <v>56471</v>
      </c>
      <c r="H9135" s="7" t="s">
        <v>31</v>
      </c>
      <c r="I9135" s="7">
        <v>1.0</v>
      </c>
      <c r="J9135" s="7">
        <v>1.0</v>
      </c>
      <c r="K9135" s="7" t="s">
        <v>31</v>
      </c>
      <c r="L9135" s="8" t="s">
        <v>31</v>
      </c>
      <c r="M9135" s="6" t="s">
        <v>56472</v>
      </c>
      <c r="N9135" s="6" t="s">
        <v>56434</v>
      </c>
      <c r="O9135" s="8" t="s">
        <v>56435</v>
      </c>
      <c r="P9135" s="6" t="s">
        <v>56436</v>
      </c>
      <c r="Q9135" s="6" t="s">
        <v>31</v>
      </c>
      <c r="R9135" s="6" t="s">
        <v>31</v>
      </c>
      <c r="S9135" s="8" t="s">
        <v>56437</v>
      </c>
      <c r="T9135" s="6" t="s">
        <v>433</v>
      </c>
      <c r="U9135" s="8" t="s">
        <v>31</v>
      </c>
      <c r="V9135" s="6" t="s">
        <v>56473</v>
      </c>
      <c r="W9135" s="6" t="s">
        <v>56431</v>
      </c>
      <c r="X9135" s="9" t="str">
        <f>HYPERLINK("https://my.pitchbook.com?p=89044-75P","View People Online")</f>
        <v>View People Online</v>
      </c>
    </row>
    <row r="9136">
      <c r="A9136" s="2" t="s">
        <v>56474</v>
      </c>
      <c r="B9136" s="2" t="s">
        <v>56475</v>
      </c>
      <c r="C9136" s="2" t="s">
        <v>6584</v>
      </c>
      <c r="D9136" s="2" t="s">
        <v>56476</v>
      </c>
      <c r="E9136" s="2" t="s">
        <v>56431</v>
      </c>
      <c r="F9136" s="2" t="s">
        <v>4868</v>
      </c>
      <c r="G9136" s="2" t="s">
        <v>56477</v>
      </c>
      <c r="H9136" s="3" t="s">
        <v>31</v>
      </c>
      <c r="I9136" s="3">
        <v>1.0</v>
      </c>
      <c r="J9136" s="3">
        <v>1.0</v>
      </c>
      <c r="K9136" s="3" t="s">
        <v>31</v>
      </c>
      <c r="L9136" s="4" t="s">
        <v>31</v>
      </c>
      <c r="M9136" s="2" t="s">
        <v>56478</v>
      </c>
      <c r="N9136" s="2" t="s">
        <v>56434</v>
      </c>
      <c r="O9136" s="4" t="s">
        <v>56435</v>
      </c>
      <c r="P9136" s="2" t="s">
        <v>56436</v>
      </c>
      <c r="Q9136" s="2" t="s">
        <v>31</v>
      </c>
      <c r="R9136" s="2" t="s">
        <v>31</v>
      </c>
      <c r="S9136" s="4" t="s">
        <v>56437</v>
      </c>
      <c r="T9136" s="2" t="s">
        <v>433</v>
      </c>
      <c r="U9136" s="4" t="s">
        <v>31</v>
      </c>
      <c r="V9136" s="2" t="s">
        <v>56479</v>
      </c>
      <c r="W9136" s="2" t="s">
        <v>56431</v>
      </c>
      <c r="X9136" s="5" t="str">
        <f>HYPERLINK("https://my.pitchbook.com?p=262563-85P","View People Online")</f>
        <v>View People Online</v>
      </c>
    </row>
    <row r="9137">
      <c r="A9137" s="6" t="s">
        <v>56480</v>
      </c>
      <c r="B9137" s="6" t="s">
        <v>56481</v>
      </c>
      <c r="C9137" s="6" t="s">
        <v>56482</v>
      </c>
      <c r="D9137" s="6" t="s">
        <v>56483</v>
      </c>
      <c r="E9137" s="6" t="s">
        <v>56431</v>
      </c>
      <c r="F9137" s="6" t="s">
        <v>583</v>
      </c>
      <c r="G9137" s="6" t="s">
        <v>56484</v>
      </c>
      <c r="H9137" s="7" t="s">
        <v>31</v>
      </c>
      <c r="I9137" s="7">
        <v>3.0</v>
      </c>
      <c r="J9137" s="7">
        <v>1.0</v>
      </c>
      <c r="K9137" s="7">
        <v>1.0</v>
      </c>
      <c r="L9137" s="8" t="s">
        <v>31</v>
      </c>
      <c r="M9137" s="6" t="s">
        <v>56485</v>
      </c>
      <c r="N9137" s="6" t="s">
        <v>56434</v>
      </c>
      <c r="O9137" s="8" t="s">
        <v>56435</v>
      </c>
      <c r="P9137" s="6" t="s">
        <v>56436</v>
      </c>
      <c r="Q9137" s="6" t="s">
        <v>31</v>
      </c>
      <c r="R9137" s="6" t="s">
        <v>31</v>
      </c>
      <c r="S9137" s="8" t="s">
        <v>56437</v>
      </c>
      <c r="T9137" s="6" t="s">
        <v>433</v>
      </c>
      <c r="U9137" s="8" t="s">
        <v>31</v>
      </c>
      <c r="V9137" s="6" t="s">
        <v>56486</v>
      </c>
      <c r="W9137" s="6" t="s">
        <v>56431</v>
      </c>
      <c r="X9137" s="9" t="str">
        <f>HYPERLINK("https://my.pitchbook.com?p=277567-30P","View People Online")</f>
        <v>View People Online</v>
      </c>
    </row>
    <row r="9138">
      <c r="A9138" s="10" t="s">
        <v>56487</v>
      </c>
      <c r="B9138" s="10" t="s">
        <v>56488</v>
      </c>
      <c r="C9138" s="10" t="s">
        <v>27913</v>
      </c>
      <c r="D9138" s="10" t="s">
        <v>56489</v>
      </c>
      <c r="E9138" s="10" t="s">
        <v>56431</v>
      </c>
      <c r="F9138" s="10" t="s">
        <v>5086</v>
      </c>
      <c r="G9138" s="10" t="s">
        <v>56490</v>
      </c>
      <c r="H9138" s="11" t="s">
        <v>31</v>
      </c>
      <c r="I9138" s="11">
        <v>2.0</v>
      </c>
      <c r="J9138" s="11">
        <v>1.0</v>
      </c>
      <c r="K9138" s="11">
        <v>1.0</v>
      </c>
      <c r="L9138" s="12" t="s">
        <v>31</v>
      </c>
      <c r="M9138" s="10" t="s">
        <v>56491</v>
      </c>
      <c r="N9138" s="10" t="s">
        <v>56434</v>
      </c>
      <c r="O9138" s="12" t="s">
        <v>56435</v>
      </c>
      <c r="P9138" s="10" t="s">
        <v>56436</v>
      </c>
      <c r="Q9138" s="10" t="s">
        <v>31</v>
      </c>
      <c r="R9138" s="10" t="s">
        <v>31</v>
      </c>
      <c r="S9138" s="12" t="s">
        <v>56437</v>
      </c>
      <c r="T9138" s="10" t="s">
        <v>433</v>
      </c>
      <c r="U9138" s="12" t="s">
        <v>31</v>
      </c>
      <c r="V9138" s="10" t="s">
        <v>56492</v>
      </c>
      <c r="W9138" s="10" t="s">
        <v>56431</v>
      </c>
      <c r="X9138" s="13" t="str">
        <f>HYPERLINK("https://my.pitchbook.com?p=389042-92P","View People Online")</f>
        <v>View People Online</v>
      </c>
    </row>
    <row r="9139">
      <c r="A9139" s="14" t="s">
        <v>56493</v>
      </c>
      <c r="B9139" s="14" t="s">
        <v>56494</v>
      </c>
      <c r="C9139" s="14" t="s">
        <v>54937</v>
      </c>
      <c r="D9139" s="14" t="s">
        <v>56495</v>
      </c>
      <c r="E9139" s="14" t="s">
        <v>56431</v>
      </c>
      <c r="F9139" s="14" t="s">
        <v>548</v>
      </c>
      <c r="G9139" s="14" t="s">
        <v>56496</v>
      </c>
      <c r="H9139" s="15" t="s">
        <v>31</v>
      </c>
      <c r="I9139" s="15">
        <v>2.0</v>
      </c>
      <c r="J9139" s="15">
        <v>1.0</v>
      </c>
      <c r="K9139" s="15">
        <v>1.0</v>
      </c>
      <c r="L9139" s="16" t="s">
        <v>31</v>
      </c>
      <c r="M9139" s="14" t="s">
        <v>56497</v>
      </c>
      <c r="N9139" s="14" t="s">
        <v>56434</v>
      </c>
      <c r="O9139" s="16" t="s">
        <v>56435</v>
      </c>
      <c r="P9139" s="14" t="s">
        <v>56436</v>
      </c>
      <c r="Q9139" s="14" t="s">
        <v>31</v>
      </c>
      <c r="R9139" s="14" t="s">
        <v>31</v>
      </c>
      <c r="S9139" s="16" t="s">
        <v>56437</v>
      </c>
      <c r="T9139" s="14" t="s">
        <v>433</v>
      </c>
      <c r="U9139" s="16" t="s">
        <v>31</v>
      </c>
      <c r="V9139" s="14" t="s">
        <v>56498</v>
      </c>
      <c r="W9139" s="14" t="s">
        <v>56431</v>
      </c>
      <c r="X9139" s="17" t="str">
        <f>HYPERLINK("https://my.pitchbook.com?p=306166-24P","View People Online")</f>
        <v>View People Online</v>
      </c>
    </row>
    <row r="9140">
      <c r="A9140" s="10" t="s">
        <v>56499</v>
      </c>
      <c r="B9140" s="10" t="s">
        <v>56500</v>
      </c>
      <c r="C9140" s="10" t="s">
        <v>54937</v>
      </c>
      <c r="D9140" s="10" t="s">
        <v>56501</v>
      </c>
      <c r="E9140" s="10" t="s">
        <v>56431</v>
      </c>
      <c r="F9140" s="10" t="s">
        <v>548</v>
      </c>
      <c r="G9140" s="10" t="s">
        <v>56502</v>
      </c>
      <c r="H9140" s="11" t="s">
        <v>31</v>
      </c>
      <c r="I9140" s="11">
        <v>1.0</v>
      </c>
      <c r="J9140" s="11">
        <v>1.0</v>
      </c>
      <c r="K9140" s="11" t="s">
        <v>31</v>
      </c>
      <c r="L9140" s="12" t="s">
        <v>31</v>
      </c>
      <c r="M9140" s="10" t="s">
        <v>56503</v>
      </c>
      <c r="N9140" s="10" t="s">
        <v>56434</v>
      </c>
      <c r="O9140" s="12" t="s">
        <v>56435</v>
      </c>
      <c r="P9140" s="10" t="s">
        <v>56436</v>
      </c>
      <c r="Q9140" s="10" t="s">
        <v>31</v>
      </c>
      <c r="R9140" s="10" t="s">
        <v>31</v>
      </c>
      <c r="S9140" s="12" t="s">
        <v>56437</v>
      </c>
      <c r="T9140" s="10" t="s">
        <v>433</v>
      </c>
      <c r="U9140" s="12" t="s">
        <v>31</v>
      </c>
      <c r="V9140" s="10" t="s">
        <v>56504</v>
      </c>
      <c r="W9140" s="10" t="s">
        <v>56431</v>
      </c>
      <c r="X9140" s="13" t="str">
        <f>HYPERLINK("https://my.pitchbook.com?p=13896-28P","View People Online")</f>
        <v>View People Online</v>
      </c>
    </row>
    <row r="9141">
      <c r="A9141" s="14" t="s">
        <v>56505</v>
      </c>
      <c r="B9141" s="14" t="s">
        <v>56506</v>
      </c>
      <c r="C9141" s="14" t="s">
        <v>56507</v>
      </c>
      <c r="D9141" s="14" t="s">
        <v>3274</v>
      </c>
      <c r="E9141" s="14" t="s">
        <v>56431</v>
      </c>
      <c r="F9141" s="14" t="s">
        <v>28095</v>
      </c>
      <c r="G9141" s="14" t="s">
        <v>56508</v>
      </c>
      <c r="H9141" s="15" t="s">
        <v>31</v>
      </c>
      <c r="I9141" s="15">
        <v>1.0</v>
      </c>
      <c r="J9141" s="15">
        <v>1.0</v>
      </c>
      <c r="K9141" s="15" t="s">
        <v>31</v>
      </c>
      <c r="L9141" s="16" t="s">
        <v>31</v>
      </c>
      <c r="M9141" s="14" t="s">
        <v>56509</v>
      </c>
      <c r="N9141" s="14" t="s">
        <v>56434</v>
      </c>
      <c r="O9141" s="16" t="s">
        <v>56435</v>
      </c>
      <c r="P9141" s="14" t="s">
        <v>56436</v>
      </c>
      <c r="Q9141" s="14" t="s">
        <v>31</v>
      </c>
      <c r="R9141" s="14" t="s">
        <v>31</v>
      </c>
      <c r="S9141" s="16" t="s">
        <v>56437</v>
      </c>
      <c r="T9141" s="14" t="s">
        <v>433</v>
      </c>
      <c r="U9141" s="16" t="s">
        <v>31</v>
      </c>
      <c r="V9141" s="14" t="s">
        <v>56510</v>
      </c>
      <c r="W9141" s="14" t="s">
        <v>56431</v>
      </c>
      <c r="X9141" s="17" t="str">
        <f>HYPERLINK("https://my.pitchbook.com?p=329806-99P","View People Online")</f>
        <v>View People Online</v>
      </c>
    </row>
    <row r="9142">
      <c r="A9142" s="2" t="s">
        <v>56511</v>
      </c>
      <c r="B9142" s="2" t="s">
        <v>56512</v>
      </c>
      <c r="C9142" s="2" t="s">
        <v>2707</v>
      </c>
      <c r="D9142" s="2" t="s">
        <v>56513</v>
      </c>
      <c r="E9142" s="2" t="s">
        <v>56431</v>
      </c>
      <c r="F9142" s="2" t="s">
        <v>40769</v>
      </c>
      <c r="G9142" s="2" t="s">
        <v>56514</v>
      </c>
      <c r="H9142" s="3">
        <v>1.0</v>
      </c>
      <c r="I9142" s="3">
        <v>1.0</v>
      </c>
      <c r="J9142" s="3">
        <v>1.0</v>
      </c>
      <c r="K9142" s="3" t="s">
        <v>31</v>
      </c>
      <c r="L9142" s="4" t="s">
        <v>31</v>
      </c>
      <c r="M9142" s="2" t="s">
        <v>31</v>
      </c>
      <c r="N9142" s="2" t="s">
        <v>56434</v>
      </c>
      <c r="O9142" s="4" t="s">
        <v>56435</v>
      </c>
      <c r="P9142" s="2" t="s">
        <v>56436</v>
      </c>
      <c r="Q9142" s="2" t="s">
        <v>31</v>
      </c>
      <c r="R9142" s="2" t="s">
        <v>31</v>
      </c>
      <c r="S9142" s="4" t="s">
        <v>56437</v>
      </c>
      <c r="T9142" s="2" t="s">
        <v>433</v>
      </c>
      <c r="U9142" s="4" t="s">
        <v>31</v>
      </c>
      <c r="V9142" s="2" t="s">
        <v>56515</v>
      </c>
      <c r="W9142" s="2" t="s">
        <v>56431</v>
      </c>
      <c r="X9142" s="5" t="str">
        <f>HYPERLINK("https://my.pitchbook.com?p=308098-18P","View People Online")</f>
        <v>View People Online</v>
      </c>
    </row>
    <row r="9143">
      <c r="A9143" s="14" t="s">
        <v>56516</v>
      </c>
      <c r="B9143" s="14" t="s">
        <v>56517</v>
      </c>
      <c r="C9143" s="14" t="s">
        <v>56518</v>
      </c>
      <c r="D9143" s="14" t="s">
        <v>26342</v>
      </c>
      <c r="E9143" s="14" t="s">
        <v>56431</v>
      </c>
      <c r="F9143" s="14" t="s">
        <v>56519</v>
      </c>
      <c r="G9143" s="14" t="s">
        <v>56520</v>
      </c>
      <c r="H9143" s="15" t="s">
        <v>31</v>
      </c>
      <c r="I9143" s="15">
        <v>1.0</v>
      </c>
      <c r="J9143" s="15">
        <v>1.0</v>
      </c>
      <c r="K9143" s="15" t="s">
        <v>31</v>
      </c>
      <c r="L9143" s="16" t="s">
        <v>31</v>
      </c>
      <c r="M9143" s="14" t="s">
        <v>56521</v>
      </c>
      <c r="N9143" s="14" t="s">
        <v>56434</v>
      </c>
      <c r="O9143" s="16" t="s">
        <v>56435</v>
      </c>
      <c r="P9143" s="14" t="s">
        <v>56436</v>
      </c>
      <c r="Q9143" s="14" t="s">
        <v>31</v>
      </c>
      <c r="R9143" s="14" t="s">
        <v>31</v>
      </c>
      <c r="S9143" s="16" t="s">
        <v>56437</v>
      </c>
      <c r="T9143" s="14" t="s">
        <v>433</v>
      </c>
      <c r="U9143" s="16" t="s">
        <v>31</v>
      </c>
      <c r="V9143" s="14" t="s">
        <v>56522</v>
      </c>
      <c r="W9143" s="14" t="s">
        <v>56431</v>
      </c>
      <c r="X9143" s="17" t="str">
        <f>HYPERLINK("https://my.pitchbook.com?p=238944-61P","View People Online")</f>
        <v>View People Online</v>
      </c>
    </row>
    <row r="9144">
      <c r="A9144" s="10" t="s">
        <v>56523</v>
      </c>
      <c r="B9144" s="10" t="s">
        <v>56524</v>
      </c>
      <c r="C9144" s="10" t="s">
        <v>263</v>
      </c>
      <c r="D9144" s="10" t="s">
        <v>56525</v>
      </c>
      <c r="E9144" s="10" t="s">
        <v>56431</v>
      </c>
      <c r="F9144" s="10" t="s">
        <v>312</v>
      </c>
      <c r="G9144" s="10" t="s">
        <v>56526</v>
      </c>
      <c r="H9144" s="11" t="s">
        <v>31</v>
      </c>
      <c r="I9144" s="11">
        <v>1.0</v>
      </c>
      <c r="J9144" s="11">
        <v>1.0</v>
      </c>
      <c r="K9144" s="11" t="s">
        <v>31</v>
      </c>
      <c r="L9144" s="12" t="s">
        <v>56527</v>
      </c>
      <c r="M9144" s="10" t="s">
        <v>56528</v>
      </c>
      <c r="N9144" s="10" t="s">
        <v>56434</v>
      </c>
      <c r="O9144" s="12" t="s">
        <v>56435</v>
      </c>
      <c r="P9144" s="10" t="s">
        <v>56436</v>
      </c>
      <c r="Q9144" s="10" t="s">
        <v>31</v>
      </c>
      <c r="R9144" s="10" t="s">
        <v>31</v>
      </c>
      <c r="S9144" s="12" t="s">
        <v>56437</v>
      </c>
      <c r="T9144" s="10" t="s">
        <v>433</v>
      </c>
      <c r="U9144" s="12" t="s">
        <v>31</v>
      </c>
      <c r="V9144" s="10" t="s">
        <v>56529</v>
      </c>
      <c r="W9144" s="10" t="s">
        <v>56431</v>
      </c>
      <c r="X9144" s="13" t="str">
        <f>HYPERLINK("https://my.pitchbook.com?p=143735-68P","View People Online")</f>
        <v>View People Online</v>
      </c>
    </row>
    <row r="9145">
      <c r="A9145" s="14" t="s">
        <v>56530</v>
      </c>
      <c r="B9145" s="14" t="s">
        <v>56531</v>
      </c>
      <c r="C9145" s="14" t="s">
        <v>15326</v>
      </c>
      <c r="D9145" s="14" t="s">
        <v>56532</v>
      </c>
      <c r="E9145" s="14" t="s">
        <v>56431</v>
      </c>
      <c r="F9145" s="14" t="s">
        <v>7426</v>
      </c>
      <c r="G9145" s="14" t="s">
        <v>56533</v>
      </c>
      <c r="H9145" s="15" t="s">
        <v>31</v>
      </c>
      <c r="I9145" s="15">
        <v>1.0</v>
      </c>
      <c r="J9145" s="15">
        <v>1.0</v>
      </c>
      <c r="K9145" s="15" t="s">
        <v>31</v>
      </c>
      <c r="L9145" s="16" t="s">
        <v>31</v>
      </c>
      <c r="M9145" s="14" t="s">
        <v>56534</v>
      </c>
      <c r="N9145" s="14" t="s">
        <v>56434</v>
      </c>
      <c r="O9145" s="16" t="s">
        <v>56435</v>
      </c>
      <c r="P9145" s="14" t="s">
        <v>56436</v>
      </c>
      <c r="Q9145" s="14" t="s">
        <v>31</v>
      </c>
      <c r="R9145" s="14" t="s">
        <v>31</v>
      </c>
      <c r="S9145" s="16" t="s">
        <v>56437</v>
      </c>
      <c r="T9145" s="14" t="s">
        <v>433</v>
      </c>
      <c r="U9145" s="16" t="s">
        <v>31</v>
      </c>
      <c r="V9145" s="14" t="s">
        <v>56535</v>
      </c>
      <c r="W9145" s="14" t="s">
        <v>56431</v>
      </c>
      <c r="X9145" s="17" t="str">
        <f>HYPERLINK("https://my.pitchbook.com?p=156286-36P","View People Online")</f>
        <v>View People Online</v>
      </c>
    </row>
    <row r="9146">
      <c r="A9146" s="10" t="s">
        <v>56536</v>
      </c>
      <c r="B9146" s="10" t="s">
        <v>56537</v>
      </c>
      <c r="C9146" s="10" t="s">
        <v>15326</v>
      </c>
      <c r="D9146" s="10" t="s">
        <v>56538</v>
      </c>
      <c r="E9146" s="10" t="s">
        <v>56431</v>
      </c>
      <c r="F9146" s="10" t="s">
        <v>583</v>
      </c>
      <c r="G9146" s="10" t="s">
        <v>56539</v>
      </c>
      <c r="H9146" s="11" t="s">
        <v>31</v>
      </c>
      <c r="I9146" s="11">
        <v>2.0</v>
      </c>
      <c r="J9146" s="11">
        <v>1.0</v>
      </c>
      <c r="K9146" s="11">
        <v>1.0</v>
      </c>
      <c r="L9146" s="12" t="s">
        <v>31</v>
      </c>
      <c r="M9146" s="10" t="s">
        <v>56540</v>
      </c>
      <c r="N9146" s="10" t="s">
        <v>56434</v>
      </c>
      <c r="O9146" s="12" t="s">
        <v>56435</v>
      </c>
      <c r="P9146" s="10" t="s">
        <v>56436</v>
      </c>
      <c r="Q9146" s="10" t="s">
        <v>31</v>
      </c>
      <c r="R9146" s="10" t="s">
        <v>31</v>
      </c>
      <c r="S9146" s="12" t="s">
        <v>56437</v>
      </c>
      <c r="T9146" s="10" t="s">
        <v>433</v>
      </c>
      <c r="U9146" s="12" t="s">
        <v>31</v>
      </c>
      <c r="V9146" s="10" t="s">
        <v>56541</v>
      </c>
      <c r="W9146" s="10" t="s">
        <v>56431</v>
      </c>
      <c r="X9146" s="13" t="str">
        <f>HYPERLINK("https://my.pitchbook.com?p=296999-47P","View People Online")</f>
        <v>View People Online</v>
      </c>
    </row>
    <row r="9147">
      <c r="A9147" s="14" t="s">
        <v>56542</v>
      </c>
      <c r="B9147" s="14" t="s">
        <v>56543</v>
      </c>
      <c r="C9147" s="14" t="s">
        <v>15326</v>
      </c>
      <c r="D9147" s="14" t="s">
        <v>56544</v>
      </c>
      <c r="E9147" s="14" t="s">
        <v>56431</v>
      </c>
      <c r="F9147" s="14" t="s">
        <v>548</v>
      </c>
      <c r="G9147" s="14" t="s">
        <v>56545</v>
      </c>
      <c r="H9147" s="15">
        <v>1.0</v>
      </c>
      <c r="I9147" s="15">
        <v>4.0</v>
      </c>
      <c r="J9147" s="15">
        <v>1.0</v>
      </c>
      <c r="K9147" s="15">
        <v>1.0</v>
      </c>
      <c r="L9147" s="16" t="s">
        <v>31</v>
      </c>
      <c r="M9147" s="14" t="s">
        <v>56546</v>
      </c>
      <c r="N9147" s="14" t="s">
        <v>56434</v>
      </c>
      <c r="O9147" s="16" t="s">
        <v>56435</v>
      </c>
      <c r="P9147" s="14" t="s">
        <v>56436</v>
      </c>
      <c r="Q9147" s="14" t="s">
        <v>31</v>
      </c>
      <c r="R9147" s="14" t="s">
        <v>31</v>
      </c>
      <c r="S9147" s="16" t="s">
        <v>56437</v>
      </c>
      <c r="T9147" s="14" t="s">
        <v>433</v>
      </c>
      <c r="U9147" s="16" t="s">
        <v>31</v>
      </c>
      <c r="V9147" s="14" t="s">
        <v>56547</v>
      </c>
      <c r="W9147" s="14" t="s">
        <v>56431</v>
      </c>
      <c r="X9147" s="17" t="str">
        <f>HYPERLINK("https://my.pitchbook.com?p=318199-87P","View People Online")</f>
        <v>View People Online</v>
      </c>
    </row>
    <row r="9148">
      <c r="A9148" s="2" t="s">
        <v>56548</v>
      </c>
      <c r="B9148" s="2" t="s">
        <v>56549</v>
      </c>
      <c r="C9148" s="2" t="s">
        <v>69</v>
      </c>
      <c r="D9148" s="2" t="s">
        <v>56550</v>
      </c>
      <c r="E9148" s="2" t="s">
        <v>56431</v>
      </c>
      <c r="F9148" s="2" t="s">
        <v>221</v>
      </c>
      <c r="G9148" s="2" t="s">
        <v>56551</v>
      </c>
      <c r="H9148" s="3" t="s">
        <v>31</v>
      </c>
      <c r="I9148" s="3">
        <v>1.0</v>
      </c>
      <c r="J9148" s="3">
        <v>1.0</v>
      </c>
      <c r="K9148" s="3" t="s">
        <v>31</v>
      </c>
      <c r="L9148" s="4" t="s">
        <v>31</v>
      </c>
      <c r="M9148" s="2" t="s">
        <v>56552</v>
      </c>
      <c r="N9148" s="2" t="s">
        <v>56434</v>
      </c>
      <c r="O9148" s="4" t="s">
        <v>56435</v>
      </c>
      <c r="P9148" s="2" t="s">
        <v>56436</v>
      </c>
      <c r="Q9148" s="2" t="s">
        <v>31</v>
      </c>
      <c r="R9148" s="2" t="s">
        <v>31</v>
      </c>
      <c r="S9148" s="4" t="s">
        <v>56437</v>
      </c>
      <c r="T9148" s="2" t="s">
        <v>433</v>
      </c>
      <c r="U9148" s="4" t="s">
        <v>31</v>
      </c>
      <c r="V9148" s="2" t="s">
        <v>56553</v>
      </c>
      <c r="W9148" s="2" t="s">
        <v>56431</v>
      </c>
      <c r="X9148" s="5" t="str">
        <f>HYPERLINK("https://my.pitchbook.com?p=348006-16P","View People Online")</f>
        <v>View People Online</v>
      </c>
    </row>
    <row r="9149">
      <c r="A9149" s="14" t="s">
        <v>56554</v>
      </c>
      <c r="B9149" s="14" t="s">
        <v>56555</v>
      </c>
      <c r="C9149" s="14" t="s">
        <v>34251</v>
      </c>
      <c r="D9149" s="14" t="s">
        <v>56556</v>
      </c>
      <c r="E9149" s="14" t="s">
        <v>56431</v>
      </c>
      <c r="F9149" s="14" t="s">
        <v>548</v>
      </c>
      <c r="G9149" s="14" t="s">
        <v>56557</v>
      </c>
      <c r="H9149" s="15" t="s">
        <v>31</v>
      </c>
      <c r="I9149" s="15">
        <v>1.0</v>
      </c>
      <c r="J9149" s="15">
        <v>1.0</v>
      </c>
      <c r="K9149" s="15" t="s">
        <v>31</v>
      </c>
      <c r="L9149" s="16" t="s">
        <v>31</v>
      </c>
      <c r="M9149" s="14" t="s">
        <v>56558</v>
      </c>
      <c r="N9149" s="14" t="s">
        <v>56434</v>
      </c>
      <c r="O9149" s="16" t="s">
        <v>56435</v>
      </c>
      <c r="P9149" s="14" t="s">
        <v>56436</v>
      </c>
      <c r="Q9149" s="14" t="s">
        <v>31</v>
      </c>
      <c r="R9149" s="14" t="s">
        <v>31</v>
      </c>
      <c r="S9149" s="16" t="s">
        <v>56437</v>
      </c>
      <c r="T9149" s="14" t="s">
        <v>433</v>
      </c>
      <c r="U9149" s="16" t="s">
        <v>31</v>
      </c>
      <c r="V9149" s="14" t="s">
        <v>56559</v>
      </c>
      <c r="W9149" s="14" t="s">
        <v>56431</v>
      </c>
      <c r="X9149" s="17" t="str">
        <f>HYPERLINK("https://my.pitchbook.com?p=111921-85P","View People Online")</f>
        <v>View People Online</v>
      </c>
    </row>
    <row r="9150">
      <c r="A9150" s="10" t="s">
        <v>56560</v>
      </c>
      <c r="B9150" s="10" t="s">
        <v>56561</v>
      </c>
      <c r="C9150" s="10" t="s">
        <v>316</v>
      </c>
      <c r="D9150" s="10" t="s">
        <v>56562</v>
      </c>
      <c r="E9150" s="10" t="s">
        <v>56431</v>
      </c>
      <c r="F9150" s="10" t="s">
        <v>270</v>
      </c>
      <c r="G9150" s="10" t="s">
        <v>56563</v>
      </c>
      <c r="H9150" s="11" t="s">
        <v>31</v>
      </c>
      <c r="I9150" s="11">
        <v>1.0</v>
      </c>
      <c r="J9150" s="11">
        <v>1.0</v>
      </c>
      <c r="K9150" s="11" t="s">
        <v>31</v>
      </c>
      <c r="L9150" s="12" t="s">
        <v>31</v>
      </c>
      <c r="M9150" s="10" t="s">
        <v>56564</v>
      </c>
      <c r="N9150" s="10" t="s">
        <v>56434</v>
      </c>
      <c r="O9150" s="12" t="s">
        <v>56435</v>
      </c>
      <c r="P9150" s="10" t="s">
        <v>56436</v>
      </c>
      <c r="Q9150" s="10" t="s">
        <v>31</v>
      </c>
      <c r="R9150" s="10" t="s">
        <v>31</v>
      </c>
      <c r="S9150" s="12" t="s">
        <v>56437</v>
      </c>
      <c r="T9150" s="10" t="s">
        <v>433</v>
      </c>
      <c r="U9150" s="12" t="s">
        <v>31</v>
      </c>
      <c r="V9150" s="10" t="s">
        <v>56565</v>
      </c>
      <c r="W9150" s="10" t="s">
        <v>56431</v>
      </c>
      <c r="X9150" s="13" t="str">
        <f>HYPERLINK("https://my.pitchbook.com?p=86839-39P","View People Online")</f>
        <v>View People Online</v>
      </c>
    </row>
    <row r="9151">
      <c r="A9151" s="6" t="s">
        <v>56566</v>
      </c>
      <c r="B9151" s="6" t="s">
        <v>56567</v>
      </c>
      <c r="C9151" s="6" t="s">
        <v>1998</v>
      </c>
      <c r="D9151" s="6" t="s">
        <v>56568</v>
      </c>
      <c r="E9151" s="6" t="s">
        <v>56431</v>
      </c>
      <c r="F9151" s="6" t="s">
        <v>8021</v>
      </c>
      <c r="G9151" s="6" t="s">
        <v>56569</v>
      </c>
      <c r="H9151" s="7" t="s">
        <v>31</v>
      </c>
      <c r="I9151" s="7">
        <v>2.0</v>
      </c>
      <c r="J9151" s="7">
        <v>1.0</v>
      </c>
      <c r="K9151" s="7" t="s">
        <v>31</v>
      </c>
      <c r="L9151" s="8" t="s">
        <v>56570</v>
      </c>
      <c r="M9151" s="6" t="s">
        <v>56571</v>
      </c>
      <c r="N9151" s="6" t="s">
        <v>75</v>
      </c>
      <c r="O9151" s="8" t="s">
        <v>76</v>
      </c>
      <c r="P9151" s="6" t="s">
        <v>56572</v>
      </c>
      <c r="Q9151" s="6" t="s">
        <v>56573</v>
      </c>
      <c r="R9151" s="6" t="s">
        <v>75</v>
      </c>
      <c r="S9151" s="8" t="s">
        <v>3929</v>
      </c>
      <c r="T9151" s="6" t="s">
        <v>66</v>
      </c>
      <c r="U9151" s="8" t="s">
        <v>56574</v>
      </c>
      <c r="V9151" s="6" t="s">
        <v>2379</v>
      </c>
      <c r="W9151" s="6" t="s">
        <v>56575</v>
      </c>
      <c r="X9151" s="9" t="str">
        <f>HYPERLINK("https://my.pitchbook.com?p=87778-09P","View People Online")</f>
        <v>View People Online</v>
      </c>
    </row>
    <row r="9152">
      <c r="A9152" s="10" t="s">
        <v>56576</v>
      </c>
      <c r="B9152" s="10" t="s">
        <v>56577</v>
      </c>
      <c r="C9152" s="10" t="s">
        <v>323</v>
      </c>
      <c r="D9152" s="10" t="s">
        <v>51461</v>
      </c>
      <c r="E9152" s="10" t="s">
        <v>56431</v>
      </c>
      <c r="F9152" s="10" t="s">
        <v>548</v>
      </c>
      <c r="G9152" s="10" t="s">
        <v>56578</v>
      </c>
      <c r="H9152" s="11" t="s">
        <v>31</v>
      </c>
      <c r="I9152" s="11">
        <v>1.0</v>
      </c>
      <c r="J9152" s="11">
        <v>1.0</v>
      </c>
      <c r="K9152" s="11" t="s">
        <v>31</v>
      </c>
      <c r="L9152" s="12" t="s">
        <v>31</v>
      </c>
      <c r="M9152" s="10" t="s">
        <v>56579</v>
      </c>
      <c r="N9152" s="10" t="s">
        <v>56434</v>
      </c>
      <c r="O9152" s="12" t="s">
        <v>56435</v>
      </c>
      <c r="P9152" s="10" t="s">
        <v>56436</v>
      </c>
      <c r="Q9152" s="10" t="s">
        <v>31</v>
      </c>
      <c r="R9152" s="10" t="s">
        <v>31</v>
      </c>
      <c r="S9152" s="12" t="s">
        <v>56437</v>
      </c>
      <c r="T9152" s="10" t="s">
        <v>433</v>
      </c>
      <c r="U9152" s="12" t="s">
        <v>31</v>
      </c>
      <c r="V9152" s="10" t="s">
        <v>56580</v>
      </c>
      <c r="W9152" s="10" t="s">
        <v>56431</v>
      </c>
      <c r="X9152" s="13" t="str">
        <f>HYPERLINK("https://my.pitchbook.com?p=89047-45P","View People Online")</f>
        <v>View People Online</v>
      </c>
    </row>
    <row r="9153">
      <c r="A9153" s="14" t="s">
        <v>56581</v>
      </c>
      <c r="B9153" s="14" t="s">
        <v>56582</v>
      </c>
      <c r="C9153" s="14" t="s">
        <v>23765</v>
      </c>
      <c r="D9153" s="14" t="s">
        <v>56583</v>
      </c>
      <c r="E9153" s="14" t="s">
        <v>56431</v>
      </c>
      <c r="F9153" s="14" t="s">
        <v>270</v>
      </c>
      <c r="G9153" s="14" t="s">
        <v>56584</v>
      </c>
      <c r="H9153" s="15">
        <v>1.0</v>
      </c>
      <c r="I9153" s="15">
        <v>2.0</v>
      </c>
      <c r="J9153" s="15">
        <v>1.0</v>
      </c>
      <c r="K9153" s="15" t="s">
        <v>31</v>
      </c>
      <c r="L9153" s="16" t="s">
        <v>31</v>
      </c>
      <c r="M9153" s="14" t="s">
        <v>56585</v>
      </c>
      <c r="N9153" s="14" t="s">
        <v>56434</v>
      </c>
      <c r="O9153" s="16" t="s">
        <v>56435</v>
      </c>
      <c r="P9153" s="14" t="s">
        <v>56436</v>
      </c>
      <c r="Q9153" s="14" t="s">
        <v>31</v>
      </c>
      <c r="R9153" s="14" t="s">
        <v>31</v>
      </c>
      <c r="S9153" s="16" t="s">
        <v>56437</v>
      </c>
      <c r="T9153" s="14" t="s">
        <v>433</v>
      </c>
      <c r="U9153" s="16" t="s">
        <v>31</v>
      </c>
      <c r="V9153" s="14" t="s">
        <v>7535</v>
      </c>
      <c r="W9153" s="14" t="s">
        <v>56431</v>
      </c>
      <c r="X9153" s="17" t="str">
        <f>HYPERLINK("https://my.pitchbook.com?p=327421-72P","View People Online")</f>
        <v>View People Online</v>
      </c>
    </row>
    <row r="9154">
      <c r="A9154" s="2" t="s">
        <v>56586</v>
      </c>
      <c r="B9154" s="2" t="s">
        <v>56587</v>
      </c>
      <c r="C9154" s="2" t="s">
        <v>2788</v>
      </c>
      <c r="D9154" s="2" t="s">
        <v>56588</v>
      </c>
      <c r="E9154" s="2" t="s">
        <v>56431</v>
      </c>
      <c r="F9154" s="2" t="s">
        <v>312</v>
      </c>
      <c r="G9154" s="2" t="s">
        <v>56589</v>
      </c>
      <c r="H9154" s="3" t="s">
        <v>31</v>
      </c>
      <c r="I9154" s="3">
        <v>2.0</v>
      </c>
      <c r="J9154" s="3">
        <v>1.0</v>
      </c>
      <c r="K9154" s="3">
        <v>1.0</v>
      </c>
      <c r="L9154" s="4" t="s">
        <v>31</v>
      </c>
      <c r="M9154" s="2" t="s">
        <v>56590</v>
      </c>
      <c r="N9154" s="2" t="s">
        <v>56591</v>
      </c>
      <c r="O9154" s="4" t="s">
        <v>56592</v>
      </c>
      <c r="P9154" s="2" t="s">
        <v>31</v>
      </c>
      <c r="Q9154" s="2" t="s">
        <v>31</v>
      </c>
      <c r="R9154" s="2" t="s">
        <v>31</v>
      </c>
      <c r="S9154" s="4" t="s">
        <v>31</v>
      </c>
      <c r="T9154" s="2" t="s">
        <v>10295</v>
      </c>
      <c r="U9154" s="4" t="s">
        <v>31</v>
      </c>
      <c r="V9154" s="2" t="s">
        <v>56593</v>
      </c>
      <c r="W9154" s="2" t="s">
        <v>56431</v>
      </c>
      <c r="X9154" s="5" t="str">
        <f>HYPERLINK("https://my.pitchbook.com?p=166329-28P","View People Online")</f>
        <v>View People Online</v>
      </c>
    </row>
    <row r="9155">
      <c r="A9155" s="14" t="s">
        <v>56594</v>
      </c>
      <c r="B9155" s="14" t="s">
        <v>56595</v>
      </c>
      <c r="C9155" s="14" t="s">
        <v>56596</v>
      </c>
      <c r="D9155" s="14" t="s">
        <v>56597</v>
      </c>
      <c r="E9155" s="14" t="s">
        <v>56431</v>
      </c>
      <c r="F9155" s="14" t="s">
        <v>371</v>
      </c>
      <c r="G9155" s="14" t="s">
        <v>56598</v>
      </c>
      <c r="H9155" s="15" t="s">
        <v>31</v>
      </c>
      <c r="I9155" s="15">
        <v>1.0</v>
      </c>
      <c r="J9155" s="15">
        <v>1.0</v>
      </c>
      <c r="K9155" s="15" t="s">
        <v>31</v>
      </c>
      <c r="L9155" s="16" t="s">
        <v>31</v>
      </c>
      <c r="M9155" s="14" t="s">
        <v>56599</v>
      </c>
      <c r="N9155" s="14" t="s">
        <v>56434</v>
      </c>
      <c r="O9155" s="16" t="s">
        <v>56435</v>
      </c>
      <c r="P9155" s="14" t="s">
        <v>56436</v>
      </c>
      <c r="Q9155" s="14" t="s">
        <v>31</v>
      </c>
      <c r="R9155" s="14" t="s">
        <v>31</v>
      </c>
      <c r="S9155" s="16" t="s">
        <v>56437</v>
      </c>
      <c r="T9155" s="14" t="s">
        <v>433</v>
      </c>
      <c r="U9155" s="16" t="s">
        <v>31</v>
      </c>
      <c r="V9155" s="14" t="s">
        <v>56600</v>
      </c>
      <c r="W9155" s="14" t="s">
        <v>56431</v>
      </c>
      <c r="X9155" s="17" t="str">
        <f>HYPERLINK("https://my.pitchbook.com?p=111906-37P","View People Online")</f>
        <v>View People Online</v>
      </c>
    </row>
    <row r="9156">
      <c r="A9156" s="10" t="s">
        <v>56601</v>
      </c>
      <c r="B9156" s="10" t="s">
        <v>56602</v>
      </c>
      <c r="C9156" s="10" t="s">
        <v>30592</v>
      </c>
      <c r="D9156" s="10" t="s">
        <v>56603</v>
      </c>
      <c r="E9156" s="10" t="s">
        <v>56431</v>
      </c>
      <c r="F9156" s="10" t="s">
        <v>5365</v>
      </c>
      <c r="G9156" s="10" t="s">
        <v>56604</v>
      </c>
      <c r="H9156" s="11" t="s">
        <v>31</v>
      </c>
      <c r="I9156" s="11">
        <v>13.0</v>
      </c>
      <c r="J9156" s="11">
        <v>1.0</v>
      </c>
      <c r="K9156" s="11">
        <v>10.0</v>
      </c>
      <c r="L9156" s="12" t="s">
        <v>31</v>
      </c>
      <c r="M9156" s="10" t="s">
        <v>31</v>
      </c>
      <c r="N9156" s="10" t="s">
        <v>56434</v>
      </c>
      <c r="O9156" s="12" t="s">
        <v>56435</v>
      </c>
      <c r="P9156" s="10" t="s">
        <v>56436</v>
      </c>
      <c r="Q9156" s="10" t="s">
        <v>31</v>
      </c>
      <c r="R9156" s="10" t="s">
        <v>31</v>
      </c>
      <c r="S9156" s="12" t="s">
        <v>56437</v>
      </c>
      <c r="T9156" s="10" t="s">
        <v>433</v>
      </c>
      <c r="U9156" s="12" t="s">
        <v>31</v>
      </c>
      <c r="V9156" s="10" t="s">
        <v>56605</v>
      </c>
      <c r="W9156" s="10" t="s">
        <v>56431</v>
      </c>
      <c r="X9156" s="13" t="str">
        <f>HYPERLINK("https://my.pitchbook.com?p=128102-23P","View People Online")</f>
        <v>View People Online</v>
      </c>
    </row>
    <row r="9157">
      <c r="A9157" s="14" t="s">
        <v>56606</v>
      </c>
      <c r="B9157" s="14" t="s">
        <v>56607</v>
      </c>
      <c r="C9157" s="14" t="s">
        <v>56608</v>
      </c>
      <c r="D9157" s="14" t="s">
        <v>56609</v>
      </c>
      <c r="E9157" s="14" t="s">
        <v>56431</v>
      </c>
      <c r="F9157" s="14" t="s">
        <v>371</v>
      </c>
      <c r="G9157" s="14" t="s">
        <v>56610</v>
      </c>
      <c r="H9157" s="15">
        <v>1.0</v>
      </c>
      <c r="I9157" s="15">
        <v>5.0</v>
      </c>
      <c r="J9157" s="15">
        <v>2.0</v>
      </c>
      <c r="K9157" s="15">
        <v>2.0</v>
      </c>
      <c r="L9157" s="16" t="s">
        <v>31</v>
      </c>
      <c r="M9157" s="14" t="s">
        <v>56611</v>
      </c>
      <c r="N9157" s="14" t="s">
        <v>56434</v>
      </c>
      <c r="O9157" s="16" t="s">
        <v>56435</v>
      </c>
      <c r="P9157" s="14" t="s">
        <v>56436</v>
      </c>
      <c r="Q9157" s="14" t="s">
        <v>31</v>
      </c>
      <c r="R9157" s="14" t="s">
        <v>31</v>
      </c>
      <c r="S9157" s="16" t="s">
        <v>56437</v>
      </c>
      <c r="T9157" s="14" t="s">
        <v>433</v>
      </c>
      <c r="U9157" s="16" t="s">
        <v>31</v>
      </c>
      <c r="V9157" s="14" t="s">
        <v>56612</v>
      </c>
      <c r="W9157" s="14" t="s">
        <v>56431</v>
      </c>
      <c r="X9157" s="17" t="str">
        <f>HYPERLINK("https://my.pitchbook.com?p=283620-07P","View People Online")</f>
        <v>View People Online</v>
      </c>
    </row>
    <row r="9158">
      <c r="A9158" s="2" t="s">
        <v>56613</v>
      </c>
      <c r="B9158" s="2" t="s">
        <v>56614</v>
      </c>
      <c r="C9158" s="2" t="s">
        <v>11376</v>
      </c>
      <c r="D9158" s="2" t="s">
        <v>56615</v>
      </c>
      <c r="E9158" s="2" t="s">
        <v>56431</v>
      </c>
      <c r="F9158" s="2" t="s">
        <v>312</v>
      </c>
      <c r="G9158" s="2" t="s">
        <v>56616</v>
      </c>
      <c r="H9158" s="3" t="s">
        <v>31</v>
      </c>
      <c r="I9158" s="3">
        <v>1.0</v>
      </c>
      <c r="J9158" s="3">
        <v>1.0</v>
      </c>
      <c r="K9158" s="3" t="s">
        <v>31</v>
      </c>
      <c r="L9158" s="4" t="s">
        <v>31</v>
      </c>
      <c r="M9158" s="2" t="s">
        <v>56617</v>
      </c>
      <c r="N9158" s="2" t="s">
        <v>56434</v>
      </c>
      <c r="O9158" s="4" t="s">
        <v>56435</v>
      </c>
      <c r="P9158" s="2" t="s">
        <v>56436</v>
      </c>
      <c r="Q9158" s="2" t="s">
        <v>31</v>
      </c>
      <c r="R9158" s="2" t="s">
        <v>31</v>
      </c>
      <c r="S9158" s="4" t="s">
        <v>56437</v>
      </c>
      <c r="T9158" s="2" t="s">
        <v>433</v>
      </c>
      <c r="U9158" s="4" t="s">
        <v>31</v>
      </c>
      <c r="V9158" s="2" t="s">
        <v>56618</v>
      </c>
      <c r="W9158" s="2" t="s">
        <v>56431</v>
      </c>
      <c r="X9158" s="5" t="str">
        <f>HYPERLINK("https://my.pitchbook.com?p=111904-57P","View People Online")</f>
        <v>View People Online</v>
      </c>
    </row>
    <row r="9159">
      <c r="A9159" s="6" t="s">
        <v>56619</v>
      </c>
      <c r="B9159" s="6" t="s">
        <v>56620</v>
      </c>
      <c r="C9159" s="6" t="s">
        <v>56621</v>
      </c>
      <c r="D9159" s="6" t="s">
        <v>56622</v>
      </c>
      <c r="E9159" s="6" t="s">
        <v>56431</v>
      </c>
      <c r="F9159" s="6" t="s">
        <v>7608</v>
      </c>
      <c r="G9159" s="6" t="s">
        <v>56623</v>
      </c>
      <c r="H9159" s="7" t="s">
        <v>31</v>
      </c>
      <c r="I9159" s="7">
        <v>1.0</v>
      </c>
      <c r="J9159" s="7">
        <v>1.0</v>
      </c>
      <c r="K9159" s="7" t="s">
        <v>31</v>
      </c>
      <c r="L9159" s="8" t="s">
        <v>56624</v>
      </c>
      <c r="M9159" s="6" t="s">
        <v>56625</v>
      </c>
      <c r="N9159" s="6" t="s">
        <v>56434</v>
      </c>
      <c r="O9159" s="8" t="s">
        <v>56435</v>
      </c>
      <c r="P9159" s="6" t="s">
        <v>56436</v>
      </c>
      <c r="Q9159" s="6" t="s">
        <v>31</v>
      </c>
      <c r="R9159" s="6" t="s">
        <v>31</v>
      </c>
      <c r="S9159" s="8" t="s">
        <v>56437</v>
      </c>
      <c r="T9159" s="6" t="s">
        <v>433</v>
      </c>
      <c r="U9159" s="8" t="s">
        <v>31</v>
      </c>
      <c r="V9159" s="6" t="s">
        <v>56626</v>
      </c>
      <c r="W9159" s="6" t="s">
        <v>56431</v>
      </c>
      <c r="X9159" s="9" t="str">
        <f>HYPERLINK("https://my.pitchbook.com?p=298764-37P","View People Online")</f>
        <v>View People Online</v>
      </c>
    </row>
    <row r="9160">
      <c r="A9160" s="10" t="s">
        <v>56627</v>
      </c>
      <c r="B9160" s="10" t="s">
        <v>56628</v>
      </c>
      <c r="C9160" s="10" t="s">
        <v>4345</v>
      </c>
      <c r="D9160" s="10" t="s">
        <v>56629</v>
      </c>
      <c r="E9160" s="10" t="s">
        <v>56431</v>
      </c>
      <c r="F9160" s="10" t="s">
        <v>5206</v>
      </c>
      <c r="G9160" s="10" t="s">
        <v>56630</v>
      </c>
      <c r="H9160" s="11" t="s">
        <v>31</v>
      </c>
      <c r="I9160" s="11">
        <v>2.0</v>
      </c>
      <c r="J9160" s="11">
        <v>1.0</v>
      </c>
      <c r="K9160" s="11">
        <v>1.0</v>
      </c>
      <c r="L9160" s="12" t="s">
        <v>56631</v>
      </c>
      <c r="M9160" s="10" t="s">
        <v>56632</v>
      </c>
      <c r="N9160" s="10" t="s">
        <v>56591</v>
      </c>
      <c r="O9160" s="12" t="s">
        <v>56592</v>
      </c>
      <c r="P9160" s="10" t="s">
        <v>31</v>
      </c>
      <c r="Q9160" s="10" t="s">
        <v>31</v>
      </c>
      <c r="R9160" s="10" t="s">
        <v>31</v>
      </c>
      <c r="S9160" s="12" t="s">
        <v>31</v>
      </c>
      <c r="T9160" s="10" t="s">
        <v>10295</v>
      </c>
      <c r="U9160" s="12" t="s">
        <v>31</v>
      </c>
      <c r="V9160" s="10" t="s">
        <v>56633</v>
      </c>
      <c r="W9160" s="10" t="s">
        <v>56431</v>
      </c>
      <c r="X9160" s="13" t="str">
        <f>HYPERLINK("https://my.pitchbook.com?p=153973-00P","View People Online")</f>
        <v>View People Online</v>
      </c>
    </row>
    <row r="9161">
      <c r="A9161" s="14" t="s">
        <v>56634</v>
      </c>
      <c r="B9161" s="14" t="s">
        <v>56635</v>
      </c>
      <c r="C9161" s="14" t="s">
        <v>56636</v>
      </c>
      <c r="D9161" s="14" t="s">
        <v>56637</v>
      </c>
      <c r="E9161" s="14" t="s">
        <v>56431</v>
      </c>
      <c r="F9161" s="14" t="s">
        <v>56638</v>
      </c>
      <c r="G9161" s="14" t="s">
        <v>56639</v>
      </c>
      <c r="H9161" s="15" t="s">
        <v>31</v>
      </c>
      <c r="I9161" s="15">
        <v>1.0</v>
      </c>
      <c r="J9161" s="15">
        <v>1.0</v>
      </c>
      <c r="K9161" s="15" t="s">
        <v>31</v>
      </c>
      <c r="L9161" s="16" t="s">
        <v>31</v>
      </c>
      <c r="M9161" s="14" t="s">
        <v>56640</v>
      </c>
      <c r="N9161" s="14" t="s">
        <v>56434</v>
      </c>
      <c r="O9161" s="16" t="s">
        <v>56435</v>
      </c>
      <c r="P9161" s="14" t="s">
        <v>56436</v>
      </c>
      <c r="Q9161" s="14" t="s">
        <v>31</v>
      </c>
      <c r="R9161" s="14" t="s">
        <v>31</v>
      </c>
      <c r="S9161" s="16" t="s">
        <v>56437</v>
      </c>
      <c r="T9161" s="14" t="s">
        <v>433</v>
      </c>
      <c r="U9161" s="16" t="s">
        <v>31</v>
      </c>
      <c r="V9161" s="14" t="s">
        <v>56641</v>
      </c>
      <c r="W9161" s="14" t="s">
        <v>56431</v>
      </c>
      <c r="X9161" s="17" t="str">
        <f>HYPERLINK("https://my.pitchbook.com?p=46171-18P","View People Online")</f>
        <v>View People Online</v>
      </c>
    </row>
    <row r="9162">
      <c r="A9162" s="10" t="s">
        <v>56642</v>
      </c>
      <c r="B9162" s="10" t="s">
        <v>56643</v>
      </c>
      <c r="C9162" s="10" t="s">
        <v>4351</v>
      </c>
      <c r="D9162" s="10" t="s">
        <v>56644</v>
      </c>
      <c r="E9162" s="10" t="s">
        <v>56431</v>
      </c>
      <c r="F9162" s="10" t="s">
        <v>5418</v>
      </c>
      <c r="G9162" s="10" t="s">
        <v>56645</v>
      </c>
      <c r="H9162" s="11">
        <v>1.0</v>
      </c>
      <c r="I9162" s="11">
        <v>3.0</v>
      </c>
      <c r="J9162" s="11">
        <v>1.0</v>
      </c>
      <c r="K9162" s="11">
        <v>1.0</v>
      </c>
      <c r="L9162" s="12" t="s">
        <v>31</v>
      </c>
      <c r="M9162" s="10" t="s">
        <v>56646</v>
      </c>
      <c r="N9162" s="10" t="s">
        <v>56434</v>
      </c>
      <c r="O9162" s="12" t="s">
        <v>56435</v>
      </c>
      <c r="P9162" s="10" t="s">
        <v>56436</v>
      </c>
      <c r="Q9162" s="10" t="s">
        <v>31</v>
      </c>
      <c r="R9162" s="10" t="s">
        <v>31</v>
      </c>
      <c r="S9162" s="12" t="s">
        <v>56437</v>
      </c>
      <c r="T9162" s="10" t="s">
        <v>433</v>
      </c>
      <c r="U9162" s="12" t="s">
        <v>31</v>
      </c>
      <c r="V9162" s="10" t="s">
        <v>56647</v>
      </c>
      <c r="W9162" s="10" t="s">
        <v>56431</v>
      </c>
      <c r="X9162" s="13" t="str">
        <f>HYPERLINK("https://my.pitchbook.com?p=238944-43P","View People Online")</f>
        <v>View People Online</v>
      </c>
    </row>
    <row r="9163">
      <c r="A9163" s="6" t="s">
        <v>56648</v>
      </c>
      <c r="B9163" s="6" t="s">
        <v>56649</v>
      </c>
      <c r="C9163" s="6" t="s">
        <v>12867</v>
      </c>
      <c r="D9163" s="6" t="s">
        <v>56650</v>
      </c>
      <c r="E9163" s="6" t="s">
        <v>56431</v>
      </c>
      <c r="F9163" s="6" t="s">
        <v>825</v>
      </c>
      <c r="G9163" s="6" t="s">
        <v>56651</v>
      </c>
      <c r="H9163" s="7" t="s">
        <v>31</v>
      </c>
      <c r="I9163" s="7">
        <v>1.0</v>
      </c>
      <c r="J9163" s="7">
        <v>1.0</v>
      </c>
      <c r="K9163" s="7" t="s">
        <v>31</v>
      </c>
      <c r="L9163" s="8" t="s">
        <v>31</v>
      </c>
      <c r="M9163" s="6" t="s">
        <v>56652</v>
      </c>
      <c r="N9163" s="6" t="s">
        <v>56434</v>
      </c>
      <c r="O9163" s="8" t="s">
        <v>56435</v>
      </c>
      <c r="P9163" s="6" t="s">
        <v>56436</v>
      </c>
      <c r="Q9163" s="6" t="s">
        <v>31</v>
      </c>
      <c r="R9163" s="6" t="s">
        <v>31</v>
      </c>
      <c r="S9163" s="8" t="s">
        <v>56437</v>
      </c>
      <c r="T9163" s="6" t="s">
        <v>433</v>
      </c>
      <c r="U9163" s="8" t="s">
        <v>31</v>
      </c>
      <c r="V9163" s="6" t="s">
        <v>56653</v>
      </c>
      <c r="W9163" s="6" t="s">
        <v>56431</v>
      </c>
      <c r="X9163" s="9" t="str">
        <f>HYPERLINK("https://my.pitchbook.com?p=347800-15P","View People Online")</f>
        <v>View People Online</v>
      </c>
    </row>
    <row r="9164">
      <c r="A9164" s="2" t="s">
        <v>56654</v>
      </c>
      <c r="B9164" s="2" t="s">
        <v>56655</v>
      </c>
      <c r="C9164" s="2" t="s">
        <v>56656</v>
      </c>
      <c r="D9164" s="2" t="s">
        <v>56657</v>
      </c>
      <c r="E9164" s="2" t="s">
        <v>56431</v>
      </c>
      <c r="F9164" s="2" t="s">
        <v>312</v>
      </c>
      <c r="G9164" s="2" t="s">
        <v>56658</v>
      </c>
      <c r="H9164" s="3" t="s">
        <v>31</v>
      </c>
      <c r="I9164" s="3">
        <v>1.0</v>
      </c>
      <c r="J9164" s="3">
        <v>1.0</v>
      </c>
      <c r="K9164" s="3" t="s">
        <v>31</v>
      </c>
      <c r="L9164" s="4" t="s">
        <v>31</v>
      </c>
      <c r="M9164" s="2" t="s">
        <v>56659</v>
      </c>
      <c r="N9164" s="2" t="s">
        <v>56434</v>
      </c>
      <c r="O9164" s="4" t="s">
        <v>56435</v>
      </c>
      <c r="P9164" s="2" t="s">
        <v>56436</v>
      </c>
      <c r="Q9164" s="2" t="s">
        <v>31</v>
      </c>
      <c r="R9164" s="2" t="s">
        <v>31</v>
      </c>
      <c r="S9164" s="4" t="s">
        <v>56437</v>
      </c>
      <c r="T9164" s="2" t="s">
        <v>433</v>
      </c>
      <c r="U9164" s="4" t="s">
        <v>31</v>
      </c>
      <c r="V9164" s="2" t="s">
        <v>56660</v>
      </c>
      <c r="W9164" s="2" t="s">
        <v>56431</v>
      </c>
      <c r="X9164" s="5" t="str">
        <f>HYPERLINK("https://my.pitchbook.com?p=229041-64P","View People Online")</f>
        <v>View People Online</v>
      </c>
    </row>
    <row r="9165">
      <c r="A9165" s="14" t="s">
        <v>56661</v>
      </c>
      <c r="B9165" s="14" t="s">
        <v>56662</v>
      </c>
      <c r="C9165" s="14" t="s">
        <v>56663</v>
      </c>
      <c r="D9165" s="14" t="s">
        <v>56664</v>
      </c>
      <c r="E9165" s="14" t="s">
        <v>56431</v>
      </c>
      <c r="F9165" s="14" t="s">
        <v>583</v>
      </c>
      <c r="G9165" s="14" t="s">
        <v>56665</v>
      </c>
      <c r="H9165" s="15" t="s">
        <v>31</v>
      </c>
      <c r="I9165" s="15">
        <v>2.0</v>
      </c>
      <c r="J9165" s="15">
        <v>1.0</v>
      </c>
      <c r="K9165" s="15">
        <v>1.0</v>
      </c>
      <c r="L9165" s="16" t="s">
        <v>31</v>
      </c>
      <c r="M9165" s="14" t="s">
        <v>56666</v>
      </c>
      <c r="N9165" s="14" t="s">
        <v>56434</v>
      </c>
      <c r="O9165" s="16" t="s">
        <v>56435</v>
      </c>
      <c r="P9165" s="14" t="s">
        <v>56436</v>
      </c>
      <c r="Q9165" s="14" t="s">
        <v>31</v>
      </c>
      <c r="R9165" s="14" t="s">
        <v>31</v>
      </c>
      <c r="S9165" s="16" t="s">
        <v>56437</v>
      </c>
      <c r="T9165" s="14" t="s">
        <v>433</v>
      </c>
      <c r="U9165" s="16" t="s">
        <v>31</v>
      </c>
      <c r="V9165" s="14" t="s">
        <v>56667</v>
      </c>
      <c r="W9165" s="14" t="s">
        <v>56431</v>
      </c>
      <c r="X9165" s="17" t="str">
        <f>HYPERLINK("https://my.pitchbook.com?p=181545-31P","View People Online")</f>
        <v>View People Online</v>
      </c>
    </row>
    <row r="9166">
      <c r="A9166" s="10" t="s">
        <v>56668</v>
      </c>
      <c r="B9166" s="10" t="s">
        <v>56669</v>
      </c>
      <c r="C9166" s="10" t="s">
        <v>3030</v>
      </c>
      <c r="D9166" s="10" t="s">
        <v>56670</v>
      </c>
      <c r="E9166" s="10" t="s">
        <v>56431</v>
      </c>
      <c r="F9166" s="10" t="s">
        <v>371</v>
      </c>
      <c r="G9166" s="10" t="s">
        <v>56671</v>
      </c>
      <c r="H9166" s="11" t="s">
        <v>31</v>
      </c>
      <c r="I9166" s="11">
        <v>2.0</v>
      </c>
      <c r="J9166" s="11">
        <v>1.0</v>
      </c>
      <c r="K9166" s="11">
        <v>1.0</v>
      </c>
      <c r="L9166" s="12" t="s">
        <v>31</v>
      </c>
      <c r="M9166" s="10" t="s">
        <v>56672</v>
      </c>
      <c r="N9166" s="10" t="s">
        <v>56434</v>
      </c>
      <c r="O9166" s="12" t="s">
        <v>56435</v>
      </c>
      <c r="P9166" s="10" t="s">
        <v>56436</v>
      </c>
      <c r="Q9166" s="10" t="s">
        <v>31</v>
      </c>
      <c r="R9166" s="10" t="s">
        <v>31</v>
      </c>
      <c r="S9166" s="12" t="s">
        <v>56437</v>
      </c>
      <c r="T9166" s="10" t="s">
        <v>433</v>
      </c>
      <c r="U9166" s="12" t="s">
        <v>31</v>
      </c>
      <c r="V9166" s="10" t="s">
        <v>56673</v>
      </c>
      <c r="W9166" s="10" t="s">
        <v>56431</v>
      </c>
      <c r="X9166" s="13" t="str">
        <f>HYPERLINK("https://my.pitchbook.com?p=212580-73P","View People Online")</f>
        <v>View People Online</v>
      </c>
    </row>
    <row r="9167">
      <c r="A9167" s="14" t="s">
        <v>56674</v>
      </c>
      <c r="B9167" s="14" t="s">
        <v>56675</v>
      </c>
      <c r="C9167" s="14" t="s">
        <v>27706</v>
      </c>
      <c r="D9167" s="14" t="s">
        <v>30534</v>
      </c>
      <c r="E9167" s="14" t="s">
        <v>56431</v>
      </c>
      <c r="F9167" s="14" t="s">
        <v>1086</v>
      </c>
      <c r="G9167" s="14" t="s">
        <v>56676</v>
      </c>
      <c r="H9167" s="15" t="s">
        <v>31</v>
      </c>
      <c r="I9167" s="15">
        <v>1.0</v>
      </c>
      <c r="J9167" s="15">
        <v>1.0</v>
      </c>
      <c r="K9167" s="15" t="s">
        <v>31</v>
      </c>
      <c r="L9167" s="16" t="s">
        <v>31</v>
      </c>
      <c r="M9167" s="14" t="s">
        <v>56677</v>
      </c>
      <c r="N9167" s="14" t="s">
        <v>56434</v>
      </c>
      <c r="O9167" s="16" t="s">
        <v>56435</v>
      </c>
      <c r="P9167" s="14" t="s">
        <v>56436</v>
      </c>
      <c r="Q9167" s="14" t="s">
        <v>31</v>
      </c>
      <c r="R9167" s="14" t="s">
        <v>31</v>
      </c>
      <c r="S9167" s="16" t="s">
        <v>56437</v>
      </c>
      <c r="T9167" s="14" t="s">
        <v>433</v>
      </c>
      <c r="U9167" s="16" t="s">
        <v>31</v>
      </c>
      <c r="V9167" s="14" t="s">
        <v>56678</v>
      </c>
      <c r="W9167" s="14" t="s">
        <v>56431</v>
      </c>
      <c r="X9167" s="17" t="str">
        <f>HYPERLINK("https://my.pitchbook.com?p=136270-09P","View People Online")</f>
        <v>View People Online</v>
      </c>
    </row>
    <row r="9168">
      <c r="A9168" s="10" t="s">
        <v>56679</v>
      </c>
      <c r="B9168" s="10" t="s">
        <v>56680</v>
      </c>
      <c r="C9168" s="10" t="s">
        <v>1489</v>
      </c>
      <c r="D9168" s="10" t="s">
        <v>1147</v>
      </c>
      <c r="E9168" s="10" t="s">
        <v>56431</v>
      </c>
      <c r="F9168" s="10" t="s">
        <v>312</v>
      </c>
      <c r="G9168" s="10" t="s">
        <v>56681</v>
      </c>
      <c r="H9168" s="11" t="s">
        <v>31</v>
      </c>
      <c r="I9168" s="11">
        <v>2.0</v>
      </c>
      <c r="J9168" s="11">
        <v>1.0</v>
      </c>
      <c r="K9168" s="11">
        <v>1.0</v>
      </c>
      <c r="L9168" s="12" t="s">
        <v>31</v>
      </c>
      <c r="M9168" s="10" t="s">
        <v>56682</v>
      </c>
      <c r="N9168" s="10" t="s">
        <v>56434</v>
      </c>
      <c r="O9168" s="12" t="s">
        <v>56435</v>
      </c>
      <c r="P9168" s="10" t="s">
        <v>56436</v>
      </c>
      <c r="Q9168" s="10" t="s">
        <v>31</v>
      </c>
      <c r="R9168" s="10" t="s">
        <v>31</v>
      </c>
      <c r="S9168" s="12" t="s">
        <v>56437</v>
      </c>
      <c r="T9168" s="10" t="s">
        <v>433</v>
      </c>
      <c r="U9168" s="12" t="s">
        <v>31</v>
      </c>
      <c r="V9168" s="10" t="s">
        <v>56683</v>
      </c>
      <c r="W9168" s="10" t="s">
        <v>56431</v>
      </c>
      <c r="X9168" s="13" t="str">
        <f>HYPERLINK("https://my.pitchbook.com?p=69449-05P","View People Online")</f>
        <v>View People Online</v>
      </c>
    </row>
    <row r="9169">
      <c r="A9169" s="6" t="s">
        <v>56684</v>
      </c>
      <c r="B9169" s="6" t="s">
        <v>56685</v>
      </c>
      <c r="C9169" s="6" t="s">
        <v>56686</v>
      </c>
      <c r="D9169" s="6" t="s">
        <v>56687</v>
      </c>
      <c r="E9169" s="6" t="s">
        <v>56431</v>
      </c>
      <c r="F9169" s="6" t="s">
        <v>3665</v>
      </c>
      <c r="G9169" s="6" t="s">
        <v>56688</v>
      </c>
      <c r="H9169" s="7" t="s">
        <v>31</v>
      </c>
      <c r="I9169" s="7">
        <v>1.0</v>
      </c>
      <c r="J9169" s="7">
        <v>1.0</v>
      </c>
      <c r="K9169" s="7" t="s">
        <v>31</v>
      </c>
      <c r="L9169" s="8" t="s">
        <v>31</v>
      </c>
      <c r="M9169" s="6" t="s">
        <v>56689</v>
      </c>
      <c r="N9169" s="6" t="s">
        <v>56434</v>
      </c>
      <c r="O9169" s="8" t="s">
        <v>56435</v>
      </c>
      <c r="P9169" s="6" t="s">
        <v>56436</v>
      </c>
      <c r="Q9169" s="6" t="s">
        <v>31</v>
      </c>
      <c r="R9169" s="6" t="s">
        <v>31</v>
      </c>
      <c r="S9169" s="8" t="s">
        <v>56437</v>
      </c>
      <c r="T9169" s="6" t="s">
        <v>433</v>
      </c>
      <c r="U9169" s="8" t="s">
        <v>31</v>
      </c>
      <c r="V9169" s="6" t="s">
        <v>56690</v>
      </c>
      <c r="W9169" s="6" t="s">
        <v>56431</v>
      </c>
      <c r="X9169" s="9" t="str">
        <f>HYPERLINK("https://my.pitchbook.com?p=244864-27P","View People Online")</f>
        <v>View People Online</v>
      </c>
    </row>
    <row r="9170">
      <c r="A9170" s="10" t="s">
        <v>56691</v>
      </c>
      <c r="B9170" s="10" t="s">
        <v>56692</v>
      </c>
      <c r="C9170" s="10" t="s">
        <v>25006</v>
      </c>
      <c r="D9170" s="10" t="s">
        <v>1849</v>
      </c>
      <c r="E9170" s="10" t="s">
        <v>56431</v>
      </c>
      <c r="F9170" s="10" t="s">
        <v>3600</v>
      </c>
      <c r="G9170" s="10" t="s">
        <v>56693</v>
      </c>
      <c r="H9170" s="11" t="s">
        <v>31</v>
      </c>
      <c r="I9170" s="11">
        <v>1.0</v>
      </c>
      <c r="J9170" s="11">
        <v>1.0</v>
      </c>
      <c r="K9170" s="11" t="s">
        <v>31</v>
      </c>
      <c r="L9170" s="12" t="s">
        <v>31</v>
      </c>
      <c r="M9170" s="10" t="s">
        <v>56694</v>
      </c>
      <c r="N9170" s="10" t="s">
        <v>56434</v>
      </c>
      <c r="O9170" s="12" t="s">
        <v>56435</v>
      </c>
      <c r="P9170" s="10" t="s">
        <v>56436</v>
      </c>
      <c r="Q9170" s="10" t="s">
        <v>31</v>
      </c>
      <c r="R9170" s="10" t="s">
        <v>31</v>
      </c>
      <c r="S9170" s="12" t="s">
        <v>56437</v>
      </c>
      <c r="T9170" s="10" t="s">
        <v>433</v>
      </c>
      <c r="U9170" s="12" t="s">
        <v>31</v>
      </c>
      <c r="V9170" s="10" t="s">
        <v>56695</v>
      </c>
      <c r="W9170" s="10" t="s">
        <v>56431</v>
      </c>
      <c r="X9170" s="13" t="str">
        <f>HYPERLINK("https://my.pitchbook.com?p=111921-13P","View People Online")</f>
        <v>View People Online</v>
      </c>
    </row>
    <row r="9171">
      <c r="A9171" s="14" t="s">
        <v>56696</v>
      </c>
      <c r="B9171" s="14" t="s">
        <v>56697</v>
      </c>
      <c r="C9171" s="14" t="s">
        <v>4021</v>
      </c>
      <c r="D9171" s="14" t="s">
        <v>56698</v>
      </c>
      <c r="E9171" s="14" t="s">
        <v>56431</v>
      </c>
      <c r="F9171" s="14" t="s">
        <v>270</v>
      </c>
      <c r="G9171" s="14" t="s">
        <v>56699</v>
      </c>
      <c r="H9171" s="15" t="s">
        <v>31</v>
      </c>
      <c r="I9171" s="15">
        <v>1.0</v>
      </c>
      <c r="J9171" s="15">
        <v>1.0</v>
      </c>
      <c r="K9171" s="15" t="s">
        <v>31</v>
      </c>
      <c r="L9171" s="16" t="s">
        <v>31</v>
      </c>
      <c r="M9171" s="14" t="s">
        <v>56700</v>
      </c>
      <c r="N9171" s="14" t="s">
        <v>56434</v>
      </c>
      <c r="O9171" s="16" t="s">
        <v>56435</v>
      </c>
      <c r="P9171" s="14" t="s">
        <v>56436</v>
      </c>
      <c r="Q9171" s="14" t="s">
        <v>31</v>
      </c>
      <c r="R9171" s="14" t="s">
        <v>31</v>
      </c>
      <c r="S9171" s="16" t="s">
        <v>56437</v>
      </c>
      <c r="T9171" s="14" t="s">
        <v>433</v>
      </c>
      <c r="U9171" s="16" t="s">
        <v>31</v>
      </c>
      <c r="V9171" s="14" t="s">
        <v>56701</v>
      </c>
      <c r="W9171" s="14" t="s">
        <v>56431</v>
      </c>
      <c r="X9171" s="17" t="str">
        <f>HYPERLINK("https://my.pitchbook.com?p=89072-38P","View People Online")</f>
        <v>View People Online</v>
      </c>
    </row>
    <row r="9172">
      <c r="A9172" s="10" t="s">
        <v>56702</v>
      </c>
      <c r="B9172" s="10" t="s">
        <v>56703</v>
      </c>
      <c r="C9172" s="10" t="s">
        <v>4021</v>
      </c>
      <c r="D9172" s="10" t="s">
        <v>56704</v>
      </c>
      <c r="E9172" s="10" t="s">
        <v>56431</v>
      </c>
      <c r="F9172" s="10" t="s">
        <v>371</v>
      </c>
      <c r="G9172" s="10" t="s">
        <v>56705</v>
      </c>
      <c r="H9172" s="11" t="s">
        <v>31</v>
      </c>
      <c r="I9172" s="11">
        <v>2.0</v>
      </c>
      <c r="J9172" s="11">
        <v>2.0</v>
      </c>
      <c r="K9172" s="11" t="s">
        <v>31</v>
      </c>
      <c r="L9172" s="12" t="s">
        <v>31</v>
      </c>
      <c r="M9172" s="10" t="s">
        <v>56706</v>
      </c>
      <c r="N9172" s="10" t="s">
        <v>56434</v>
      </c>
      <c r="O9172" s="12" t="s">
        <v>56435</v>
      </c>
      <c r="P9172" s="10" t="s">
        <v>56436</v>
      </c>
      <c r="Q9172" s="10" t="s">
        <v>31</v>
      </c>
      <c r="R9172" s="10" t="s">
        <v>31</v>
      </c>
      <c r="S9172" s="12" t="s">
        <v>56437</v>
      </c>
      <c r="T9172" s="10" t="s">
        <v>433</v>
      </c>
      <c r="U9172" s="12" t="s">
        <v>31</v>
      </c>
      <c r="V9172" s="10" t="s">
        <v>56707</v>
      </c>
      <c r="W9172" s="10" t="s">
        <v>56431</v>
      </c>
      <c r="X9172" s="13" t="str">
        <f>HYPERLINK("https://my.pitchbook.com?p=111892-96P","View People Online")</f>
        <v>View People Online</v>
      </c>
    </row>
    <row r="9173">
      <c r="A9173" s="14" t="s">
        <v>56708</v>
      </c>
      <c r="B9173" s="14" t="s">
        <v>56709</v>
      </c>
      <c r="C9173" s="14" t="s">
        <v>19268</v>
      </c>
      <c r="D9173" s="14" t="s">
        <v>56710</v>
      </c>
      <c r="E9173" s="14" t="s">
        <v>56431</v>
      </c>
      <c r="F9173" s="14" t="s">
        <v>548</v>
      </c>
      <c r="G9173" s="14" t="s">
        <v>56711</v>
      </c>
      <c r="H9173" s="15" t="s">
        <v>31</v>
      </c>
      <c r="I9173" s="15">
        <v>1.0</v>
      </c>
      <c r="J9173" s="15">
        <v>1.0</v>
      </c>
      <c r="K9173" s="15" t="s">
        <v>31</v>
      </c>
      <c r="L9173" s="16" t="s">
        <v>31</v>
      </c>
      <c r="M9173" s="14" t="s">
        <v>56712</v>
      </c>
      <c r="N9173" s="14" t="s">
        <v>56434</v>
      </c>
      <c r="O9173" s="16" t="s">
        <v>56435</v>
      </c>
      <c r="P9173" s="14" t="s">
        <v>56436</v>
      </c>
      <c r="Q9173" s="14" t="s">
        <v>31</v>
      </c>
      <c r="R9173" s="14" t="s">
        <v>31</v>
      </c>
      <c r="S9173" s="16" t="s">
        <v>56437</v>
      </c>
      <c r="T9173" s="14" t="s">
        <v>433</v>
      </c>
      <c r="U9173" s="16" t="s">
        <v>31</v>
      </c>
      <c r="V9173" s="14" t="s">
        <v>56713</v>
      </c>
      <c r="W9173" s="14" t="s">
        <v>56431</v>
      </c>
      <c r="X9173" s="17" t="str">
        <f>HYPERLINK("https://my.pitchbook.com?p=347858-38P","View People Online")</f>
        <v>View People Online</v>
      </c>
    </row>
    <row r="9174">
      <c r="A9174" s="2" t="s">
        <v>56714</v>
      </c>
      <c r="B9174" s="2" t="s">
        <v>56715</v>
      </c>
      <c r="C9174" s="2" t="s">
        <v>56716</v>
      </c>
      <c r="D9174" s="2" t="s">
        <v>16184</v>
      </c>
      <c r="E9174" s="2" t="s">
        <v>56431</v>
      </c>
      <c r="F9174" s="2" t="s">
        <v>1801</v>
      </c>
      <c r="G9174" s="2" t="s">
        <v>56717</v>
      </c>
      <c r="H9174" s="3" t="s">
        <v>31</v>
      </c>
      <c r="I9174" s="3">
        <v>1.0</v>
      </c>
      <c r="J9174" s="3">
        <v>1.0</v>
      </c>
      <c r="K9174" s="3" t="s">
        <v>31</v>
      </c>
      <c r="L9174" s="4" t="s">
        <v>31</v>
      </c>
      <c r="M9174" s="2" t="s">
        <v>56718</v>
      </c>
      <c r="N9174" s="2" t="s">
        <v>56434</v>
      </c>
      <c r="O9174" s="4" t="s">
        <v>56435</v>
      </c>
      <c r="P9174" s="2" t="s">
        <v>56436</v>
      </c>
      <c r="Q9174" s="2" t="s">
        <v>31</v>
      </c>
      <c r="R9174" s="2" t="s">
        <v>31</v>
      </c>
      <c r="S9174" s="4" t="s">
        <v>56437</v>
      </c>
      <c r="T9174" s="2" t="s">
        <v>433</v>
      </c>
      <c r="U9174" s="4" t="s">
        <v>31</v>
      </c>
      <c r="V9174" s="2" t="s">
        <v>56719</v>
      </c>
      <c r="W9174" s="2" t="s">
        <v>56431</v>
      </c>
      <c r="X9174" s="5" t="str">
        <f>HYPERLINK("https://my.pitchbook.com?p=331608-25P","View People Online")</f>
        <v>View People Online</v>
      </c>
    </row>
    <row r="9175">
      <c r="A9175" s="14" t="s">
        <v>56720</v>
      </c>
      <c r="B9175" s="14" t="s">
        <v>56721</v>
      </c>
      <c r="C9175" s="14" t="s">
        <v>126</v>
      </c>
      <c r="D9175" s="14" t="s">
        <v>56722</v>
      </c>
      <c r="E9175" s="14" t="s">
        <v>56431</v>
      </c>
      <c r="F9175" s="14" t="s">
        <v>371</v>
      </c>
      <c r="G9175" s="14" t="s">
        <v>56723</v>
      </c>
      <c r="H9175" s="15" t="s">
        <v>31</v>
      </c>
      <c r="I9175" s="15">
        <v>1.0</v>
      </c>
      <c r="J9175" s="15">
        <v>1.0</v>
      </c>
      <c r="K9175" s="15" t="s">
        <v>31</v>
      </c>
      <c r="L9175" s="16" t="s">
        <v>31</v>
      </c>
      <c r="M9175" s="14" t="s">
        <v>56724</v>
      </c>
      <c r="N9175" s="14" t="s">
        <v>56434</v>
      </c>
      <c r="O9175" s="16" t="s">
        <v>56435</v>
      </c>
      <c r="P9175" s="14" t="s">
        <v>56436</v>
      </c>
      <c r="Q9175" s="14" t="s">
        <v>31</v>
      </c>
      <c r="R9175" s="14" t="s">
        <v>31</v>
      </c>
      <c r="S9175" s="16" t="s">
        <v>56437</v>
      </c>
      <c r="T9175" s="14" t="s">
        <v>433</v>
      </c>
      <c r="U9175" s="16" t="s">
        <v>31</v>
      </c>
      <c r="V9175" s="14" t="s">
        <v>3808</v>
      </c>
      <c r="W9175" s="14" t="s">
        <v>56431</v>
      </c>
      <c r="X9175" s="17" t="str">
        <f>HYPERLINK("https://my.pitchbook.com?p=111905-02P","View People Online")</f>
        <v>View People Online</v>
      </c>
    </row>
    <row r="9176">
      <c r="A9176" s="10" t="s">
        <v>56725</v>
      </c>
      <c r="B9176" s="10" t="s">
        <v>56726</v>
      </c>
      <c r="C9176" s="10" t="s">
        <v>26981</v>
      </c>
      <c r="D9176" s="10" t="s">
        <v>56727</v>
      </c>
      <c r="E9176" s="10" t="s">
        <v>56431</v>
      </c>
      <c r="F9176" s="10" t="s">
        <v>371</v>
      </c>
      <c r="G9176" s="10" t="s">
        <v>56728</v>
      </c>
      <c r="H9176" s="11" t="s">
        <v>31</v>
      </c>
      <c r="I9176" s="11">
        <v>4.0</v>
      </c>
      <c r="J9176" s="11">
        <v>1.0</v>
      </c>
      <c r="K9176" s="11">
        <v>2.0</v>
      </c>
      <c r="L9176" s="12" t="s">
        <v>31</v>
      </c>
      <c r="M9176" s="10" t="s">
        <v>56729</v>
      </c>
      <c r="N9176" s="10" t="s">
        <v>56434</v>
      </c>
      <c r="O9176" s="12" t="s">
        <v>56435</v>
      </c>
      <c r="P9176" s="10" t="s">
        <v>56436</v>
      </c>
      <c r="Q9176" s="10" t="s">
        <v>31</v>
      </c>
      <c r="R9176" s="10" t="s">
        <v>31</v>
      </c>
      <c r="S9176" s="12" t="s">
        <v>56437</v>
      </c>
      <c r="T9176" s="10" t="s">
        <v>433</v>
      </c>
      <c r="U9176" s="12" t="s">
        <v>31</v>
      </c>
      <c r="V9176" s="10" t="s">
        <v>56730</v>
      </c>
      <c r="W9176" s="10" t="s">
        <v>56431</v>
      </c>
      <c r="X9176" s="13" t="str">
        <f>HYPERLINK("https://my.pitchbook.com?p=240910-93P","View People Online")</f>
        <v>View People Online</v>
      </c>
    </row>
    <row r="9177">
      <c r="A9177" s="14" t="s">
        <v>56731</v>
      </c>
      <c r="B9177" s="14" t="s">
        <v>56732</v>
      </c>
      <c r="C9177" s="14" t="s">
        <v>56733</v>
      </c>
      <c r="D9177" s="14" t="s">
        <v>56734</v>
      </c>
      <c r="E9177" s="14" t="s">
        <v>56431</v>
      </c>
      <c r="F9177" s="14" t="s">
        <v>270</v>
      </c>
      <c r="G9177" s="14" t="s">
        <v>56735</v>
      </c>
      <c r="H9177" s="15">
        <v>2.0</v>
      </c>
      <c r="I9177" s="15">
        <v>7.0</v>
      </c>
      <c r="J9177" s="15">
        <v>1.0</v>
      </c>
      <c r="K9177" s="15">
        <v>4.0</v>
      </c>
      <c r="L9177" s="16" t="s">
        <v>31</v>
      </c>
      <c r="M9177" s="14" t="s">
        <v>56736</v>
      </c>
      <c r="N9177" s="14" t="s">
        <v>56434</v>
      </c>
      <c r="O9177" s="16" t="s">
        <v>56435</v>
      </c>
      <c r="P9177" s="14" t="s">
        <v>56436</v>
      </c>
      <c r="Q9177" s="14" t="s">
        <v>31</v>
      </c>
      <c r="R9177" s="14" t="s">
        <v>31</v>
      </c>
      <c r="S9177" s="16" t="s">
        <v>56437</v>
      </c>
      <c r="T9177" s="14" t="s">
        <v>433</v>
      </c>
      <c r="U9177" s="16" t="s">
        <v>31</v>
      </c>
      <c r="V9177" s="14" t="s">
        <v>56737</v>
      </c>
      <c r="W9177" s="14" t="s">
        <v>56431</v>
      </c>
      <c r="X9177" s="17" t="str">
        <f>HYPERLINK("https://my.pitchbook.com?p=250777-27P","View People Online")</f>
        <v>View People Online</v>
      </c>
    </row>
    <row r="9178">
      <c r="A9178" s="2" t="s">
        <v>56738</v>
      </c>
      <c r="B9178" s="2" t="s">
        <v>56739</v>
      </c>
      <c r="C9178" s="2" t="s">
        <v>20212</v>
      </c>
      <c r="D9178" s="2" t="s">
        <v>56740</v>
      </c>
      <c r="E9178" s="2" t="s">
        <v>56431</v>
      </c>
      <c r="F9178" s="2" t="s">
        <v>4997</v>
      </c>
      <c r="G9178" s="2" t="s">
        <v>56741</v>
      </c>
      <c r="H9178" s="3" t="s">
        <v>31</v>
      </c>
      <c r="I9178" s="3">
        <v>1.0</v>
      </c>
      <c r="J9178" s="3">
        <v>1.0</v>
      </c>
      <c r="K9178" s="3" t="s">
        <v>31</v>
      </c>
      <c r="L9178" s="4" t="s">
        <v>31</v>
      </c>
      <c r="M9178" s="2" t="s">
        <v>56742</v>
      </c>
      <c r="N9178" s="2" t="s">
        <v>56434</v>
      </c>
      <c r="O9178" s="4" t="s">
        <v>56435</v>
      </c>
      <c r="P9178" s="2" t="s">
        <v>56436</v>
      </c>
      <c r="Q9178" s="2" t="s">
        <v>31</v>
      </c>
      <c r="R9178" s="2" t="s">
        <v>31</v>
      </c>
      <c r="S9178" s="4" t="s">
        <v>56437</v>
      </c>
      <c r="T9178" s="2" t="s">
        <v>433</v>
      </c>
      <c r="U9178" s="4" t="s">
        <v>31</v>
      </c>
      <c r="V9178" s="2" t="s">
        <v>56743</v>
      </c>
      <c r="W9178" s="2" t="s">
        <v>56431</v>
      </c>
      <c r="X9178" s="5" t="str">
        <f>HYPERLINK("https://my.pitchbook.com?p=111989-26P","View People Online")</f>
        <v>View People Online</v>
      </c>
    </row>
    <row r="9179">
      <c r="A9179" s="14" t="s">
        <v>56744</v>
      </c>
      <c r="B9179" s="14" t="s">
        <v>56745</v>
      </c>
      <c r="C9179" s="14" t="s">
        <v>3215</v>
      </c>
      <c r="D9179" s="14" t="s">
        <v>56746</v>
      </c>
      <c r="E9179" s="14" t="s">
        <v>56431</v>
      </c>
      <c r="F9179" s="14" t="s">
        <v>5568</v>
      </c>
      <c r="G9179" s="14" t="s">
        <v>56747</v>
      </c>
      <c r="H9179" s="15" t="s">
        <v>31</v>
      </c>
      <c r="I9179" s="15">
        <v>1.0</v>
      </c>
      <c r="J9179" s="15">
        <v>1.0</v>
      </c>
      <c r="K9179" s="15" t="s">
        <v>31</v>
      </c>
      <c r="L9179" s="16" t="s">
        <v>31</v>
      </c>
      <c r="M9179" s="14" t="s">
        <v>56748</v>
      </c>
      <c r="N9179" s="14" t="s">
        <v>56434</v>
      </c>
      <c r="O9179" s="16" t="s">
        <v>56435</v>
      </c>
      <c r="P9179" s="14" t="s">
        <v>56436</v>
      </c>
      <c r="Q9179" s="14" t="s">
        <v>31</v>
      </c>
      <c r="R9179" s="14" t="s">
        <v>31</v>
      </c>
      <c r="S9179" s="16" t="s">
        <v>56437</v>
      </c>
      <c r="T9179" s="14" t="s">
        <v>433</v>
      </c>
      <c r="U9179" s="16" t="s">
        <v>31</v>
      </c>
      <c r="V9179" s="14" t="s">
        <v>56749</v>
      </c>
      <c r="W9179" s="14" t="s">
        <v>56431</v>
      </c>
      <c r="X9179" s="17" t="str">
        <f>HYPERLINK("https://my.pitchbook.com?p=111883-15P","View People Online")</f>
        <v>View People Online</v>
      </c>
    </row>
    <row r="9180">
      <c r="A9180" s="10" t="s">
        <v>56750</v>
      </c>
      <c r="B9180" s="10" t="s">
        <v>56751</v>
      </c>
      <c r="C9180" s="10" t="s">
        <v>382</v>
      </c>
      <c r="D9180" s="10" t="s">
        <v>56752</v>
      </c>
      <c r="E9180" s="10" t="s">
        <v>56431</v>
      </c>
      <c r="F9180" s="10" t="s">
        <v>3710</v>
      </c>
      <c r="G9180" s="10" t="s">
        <v>56753</v>
      </c>
      <c r="H9180" s="11" t="s">
        <v>31</v>
      </c>
      <c r="I9180" s="11">
        <v>1.0</v>
      </c>
      <c r="J9180" s="11">
        <v>1.0</v>
      </c>
      <c r="K9180" s="11" t="s">
        <v>31</v>
      </c>
      <c r="L9180" s="12" t="s">
        <v>31</v>
      </c>
      <c r="M9180" s="10" t="s">
        <v>56754</v>
      </c>
      <c r="N9180" s="10" t="s">
        <v>56434</v>
      </c>
      <c r="O9180" s="12" t="s">
        <v>56435</v>
      </c>
      <c r="P9180" s="10" t="s">
        <v>56436</v>
      </c>
      <c r="Q9180" s="10" t="s">
        <v>31</v>
      </c>
      <c r="R9180" s="10" t="s">
        <v>31</v>
      </c>
      <c r="S9180" s="12" t="s">
        <v>56437</v>
      </c>
      <c r="T9180" s="10" t="s">
        <v>433</v>
      </c>
      <c r="U9180" s="12" t="s">
        <v>31</v>
      </c>
      <c r="V9180" s="10" t="s">
        <v>56755</v>
      </c>
      <c r="W9180" s="10" t="s">
        <v>56431</v>
      </c>
      <c r="X9180" s="13" t="str">
        <f>HYPERLINK("https://my.pitchbook.com?p=111920-50P","View People Online")</f>
        <v>View People Online</v>
      </c>
    </row>
    <row r="9181">
      <c r="A9181" s="14" t="s">
        <v>56756</v>
      </c>
      <c r="B9181" s="14" t="s">
        <v>56757</v>
      </c>
      <c r="C9181" s="14" t="s">
        <v>3233</v>
      </c>
      <c r="D9181" s="14" t="s">
        <v>7661</v>
      </c>
      <c r="E9181" s="14" t="s">
        <v>56431</v>
      </c>
      <c r="F9181" s="14" t="s">
        <v>8950</v>
      </c>
      <c r="G9181" s="14" t="s">
        <v>56758</v>
      </c>
      <c r="H9181" s="15" t="s">
        <v>31</v>
      </c>
      <c r="I9181" s="15">
        <v>4.0</v>
      </c>
      <c r="J9181" s="15">
        <v>1.0</v>
      </c>
      <c r="K9181" s="15">
        <v>3.0</v>
      </c>
      <c r="L9181" s="16" t="s">
        <v>31</v>
      </c>
      <c r="M9181" s="14" t="s">
        <v>56759</v>
      </c>
      <c r="N9181" s="14" t="s">
        <v>56434</v>
      </c>
      <c r="O9181" s="16" t="s">
        <v>56435</v>
      </c>
      <c r="P9181" s="14" t="s">
        <v>56436</v>
      </c>
      <c r="Q9181" s="14" t="s">
        <v>31</v>
      </c>
      <c r="R9181" s="14" t="s">
        <v>31</v>
      </c>
      <c r="S9181" s="16" t="s">
        <v>56437</v>
      </c>
      <c r="T9181" s="14" t="s">
        <v>433</v>
      </c>
      <c r="U9181" s="16" t="s">
        <v>31</v>
      </c>
      <c r="V9181" s="14" t="s">
        <v>32530</v>
      </c>
      <c r="W9181" s="14" t="s">
        <v>56431</v>
      </c>
      <c r="X9181" s="17" t="str">
        <f>HYPERLINK("https://my.pitchbook.com?p=111884-23P","View People Online")</f>
        <v>View People Online</v>
      </c>
    </row>
    <row r="9182">
      <c r="A9182" s="2" t="s">
        <v>56760</v>
      </c>
      <c r="B9182" s="2" t="s">
        <v>56761</v>
      </c>
      <c r="C9182" s="2" t="s">
        <v>2388</v>
      </c>
      <c r="D9182" s="2" t="s">
        <v>56762</v>
      </c>
      <c r="E9182" s="2" t="s">
        <v>56431</v>
      </c>
      <c r="F9182" s="2" t="s">
        <v>7608</v>
      </c>
      <c r="G9182" s="2" t="s">
        <v>56763</v>
      </c>
      <c r="H9182" s="3" t="s">
        <v>31</v>
      </c>
      <c r="I9182" s="3">
        <v>1.0</v>
      </c>
      <c r="J9182" s="3">
        <v>1.0</v>
      </c>
      <c r="K9182" s="3" t="s">
        <v>31</v>
      </c>
      <c r="L9182" s="4" t="s">
        <v>31</v>
      </c>
      <c r="M9182" s="2" t="s">
        <v>56764</v>
      </c>
      <c r="N9182" s="2" t="s">
        <v>56434</v>
      </c>
      <c r="O9182" s="4" t="s">
        <v>56435</v>
      </c>
      <c r="P9182" s="2" t="s">
        <v>56436</v>
      </c>
      <c r="Q9182" s="2" t="s">
        <v>31</v>
      </c>
      <c r="R9182" s="2" t="s">
        <v>31</v>
      </c>
      <c r="S9182" s="4" t="s">
        <v>56437</v>
      </c>
      <c r="T9182" s="2" t="s">
        <v>433</v>
      </c>
      <c r="U9182" s="4" t="s">
        <v>31</v>
      </c>
      <c r="V9182" s="2" t="s">
        <v>56765</v>
      </c>
      <c r="W9182" s="2" t="s">
        <v>56431</v>
      </c>
      <c r="X9182" s="5" t="str">
        <f>HYPERLINK("https://my.pitchbook.com?p=238944-79P","View People Online")</f>
        <v>View People Online</v>
      </c>
    </row>
    <row r="9183">
      <c r="A9183" s="6" t="s">
        <v>56766</v>
      </c>
      <c r="B9183" s="6" t="s">
        <v>56767</v>
      </c>
      <c r="C9183" s="6" t="s">
        <v>3274</v>
      </c>
      <c r="D9183" s="6" t="s">
        <v>56768</v>
      </c>
      <c r="E9183" s="6" t="s">
        <v>56431</v>
      </c>
      <c r="F9183" s="6" t="s">
        <v>270</v>
      </c>
      <c r="G9183" s="6" t="s">
        <v>56769</v>
      </c>
      <c r="H9183" s="7" t="s">
        <v>31</v>
      </c>
      <c r="I9183" s="7">
        <v>1.0</v>
      </c>
      <c r="J9183" s="7">
        <v>1.0</v>
      </c>
      <c r="K9183" s="7" t="s">
        <v>31</v>
      </c>
      <c r="L9183" s="8" t="s">
        <v>31</v>
      </c>
      <c r="M9183" s="6" t="s">
        <v>56770</v>
      </c>
      <c r="N9183" s="6" t="s">
        <v>56434</v>
      </c>
      <c r="O9183" s="8" t="s">
        <v>56435</v>
      </c>
      <c r="P9183" s="6" t="s">
        <v>56436</v>
      </c>
      <c r="Q9183" s="6" t="s">
        <v>31</v>
      </c>
      <c r="R9183" s="6" t="s">
        <v>31</v>
      </c>
      <c r="S9183" s="8" t="s">
        <v>56437</v>
      </c>
      <c r="T9183" s="6" t="s">
        <v>433</v>
      </c>
      <c r="U9183" s="8" t="s">
        <v>31</v>
      </c>
      <c r="V9183" s="6" t="s">
        <v>36881</v>
      </c>
      <c r="W9183" s="6" t="s">
        <v>56431</v>
      </c>
      <c r="X9183" s="9" t="str">
        <f>HYPERLINK("https://my.pitchbook.com?p=283077-01P","View People Online")</f>
        <v>View People Online</v>
      </c>
    </row>
    <row r="9184">
      <c r="A9184" s="2" t="s">
        <v>56771</v>
      </c>
      <c r="B9184" s="2" t="s">
        <v>56772</v>
      </c>
      <c r="C9184" s="2" t="s">
        <v>541</v>
      </c>
      <c r="D9184" s="2" t="s">
        <v>56773</v>
      </c>
      <c r="E9184" s="2" t="s">
        <v>56431</v>
      </c>
      <c r="F9184" s="2" t="s">
        <v>371</v>
      </c>
      <c r="G9184" s="2" t="s">
        <v>56774</v>
      </c>
      <c r="H9184" s="3" t="s">
        <v>31</v>
      </c>
      <c r="I9184" s="3">
        <v>2.0</v>
      </c>
      <c r="J9184" s="3">
        <v>2.0</v>
      </c>
      <c r="K9184" s="3" t="s">
        <v>31</v>
      </c>
      <c r="L9184" s="4" t="s">
        <v>56775</v>
      </c>
      <c r="M9184" s="2" t="s">
        <v>56776</v>
      </c>
      <c r="N9184" s="2" t="s">
        <v>56777</v>
      </c>
      <c r="O9184" s="4" t="s">
        <v>56778</v>
      </c>
      <c r="P9184" s="2" t="s">
        <v>56779</v>
      </c>
      <c r="Q9184" s="2" t="s">
        <v>31</v>
      </c>
      <c r="R9184" s="2" t="s">
        <v>31</v>
      </c>
      <c r="S9184" s="4" t="s">
        <v>56780</v>
      </c>
      <c r="T9184" s="2" t="s">
        <v>433</v>
      </c>
      <c r="U9184" s="4" t="s">
        <v>31</v>
      </c>
      <c r="V9184" s="2" t="s">
        <v>56781</v>
      </c>
      <c r="W9184" s="2" t="s">
        <v>56782</v>
      </c>
      <c r="X9184" s="5" t="str">
        <f>HYPERLINK("https://my.pitchbook.com?p=388157-68P","View People Online")</f>
        <v>View People Online</v>
      </c>
    </row>
    <row r="9185">
      <c r="A9185" s="6" t="s">
        <v>56783</v>
      </c>
      <c r="B9185" s="6" t="s">
        <v>56784</v>
      </c>
      <c r="C9185" s="6" t="s">
        <v>1677</v>
      </c>
      <c r="D9185" s="6" t="s">
        <v>56785</v>
      </c>
      <c r="E9185" s="6" t="s">
        <v>56431</v>
      </c>
      <c r="F9185" s="6" t="s">
        <v>7624</v>
      </c>
      <c r="G9185" s="6" t="s">
        <v>56786</v>
      </c>
      <c r="H9185" s="7" t="s">
        <v>31</v>
      </c>
      <c r="I9185" s="7">
        <v>1.0</v>
      </c>
      <c r="J9185" s="7">
        <v>1.0</v>
      </c>
      <c r="K9185" s="7" t="s">
        <v>31</v>
      </c>
      <c r="L9185" s="8" t="s">
        <v>31</v>
      </c>
      <c r="M9185" s="6" t="s">
        <v>56787</v>
      </c>
      <c r="N9185" s="6" t="s">
        <v>56434</v>
      </c>
      <c r="O9185" s="8" t="s">
        <v>56435</v>
      </c>
      <c r="P9185" s="6" t="s">
        <v>56436</v>
      </c>
      <c r="Q9185" s="6" t="s">
        <v>31</v>
      </c>
      <c r="R9185" s="6" t="s">
        <v>31</v>
      </c>
      <c r="S9185" s="8" t="s">
        <v>56437</v>
      </c>
      <c r="T9185" s="6" t="s">
        <v>433</v>
      </c>
      <c r="U9185" s="8" t="s">
        <v>31</v>
      </c>
      <c r="V9185" s="6" t="s">
        <v>56788</v>
      </c>
      <c r="W9185" s="6" t="s">
        <v>56431</v>
      </c>
      <c r="X9185" s="9" t="str">
        <f>HYPERLINK("https://my.pitchbook.com?p=89056-09P","View People Online")</f>
        <v>View People Online</v>
      </c>
    </row>
    <row r="9186">
      <c r="A9186" s="2" t="s">
        <v>56789</v>
      </c>
      <c r="B9186" s="2" t="s">
        <v>56790</v>
      </c>
      <c r="C9186" s="2" t="s">
        <v>219</v>
      </c>
      <c r="D9186" s="2" t="s">
        <v>56791</v>
      </c>
      <c r="E9186" s="2" t="s">
        <v>56431</v>
      </c>
      <c r="F9186" s="2" t="s">
        <v>8217</v>
      </c>
      <c r="G9186" s="2" t="s">
        <v>56792</v>
      </c>
      <c r="H9186" s="3" t="s">
        <v>31</v>
      </c>
      <c r="I9186" s="3">
        <v>1.0</v>
      </c>
      <c r="J9186" s="3">
        <v>1.0</v>
      </c>
      <c r="K9186" s="3" t="s">
        <v>31</v>
      </c>
      <c r="L9186" s="4" t="s">
        <v>31</v>
      </c>
      <c r="M9186" s="2" t="s">
        <v>56793</v>
      </c>
      <c r="N9186" s="2" t="s">
        <v>56434</v>
      </c>
      <c r="O9186" s="4" t="s">
        <v>56435</v>
      </c>
      <c r="P9186" s="2" t="s">
        <v>56436</v>
      </c>
      <c r="Q9186" s="2" t="s">
        <v>31</v>
      </c>
      <c r="R9186" s="2" t="s">
        <v>31</v>
      </c>
      <c r="S9186" s="4" t="s">
        <v>56437</v>
      </c>
      <c r="T9186" s="2" t="s">
        <v>433</v>
      </c>
      <c r="U9186" s="4" t="s">
        <v>31</v>
      </c>
      <c r="V9186" s="2" t="s">
        <v>8217</v>
      </c>
      <c r="W9186" s="2" t="s">
        <v>56431</v>
      </c>
      <c r="X9186" s="5" t="str">
        <f>HYPERLINK("https://my.pitchbook.com?p=238909-96P","View People Online")</f>
        <v>View People Online</v>
      </c>
    </row>
    <row r="9187">
      <c r="A9187" s="6" t="s">
        <v>56794</v>
      </c>
      <c r="B9187" s="6" t="s">
        <v>56795</v>
      </c>
      <c r="C9187" s="6" t="s">
        <v>3716</v>
      </c>
      <c r="D9187" s="6" t="s">
        <v>55859</v>
      </c>
      <c r="E9187" s="6" t="s">
        <v>56431</v>
      </c>
      <c r="F9187" s="6" t="s">
        <v>3678</v>
      </c>
      <c r="G9187" s="6" t="s">
        <v>56796</v>
      </c>
      <c r="H9187" s="7" t="s">
        <v>31</v>
      </c>
      <c r="I9187" s="7">
        <v>2.0</v>
      </c>
      <c r="J9187" s="7">
        <v>1.0</v>
      </c>
      <c r="K9187" s="7">
        <v>1.0</v>
      </c>
      <c r="L9187" s="8" t="s">
        <v>31</v>
      </c>
      <c r="M9187" s="6" t="s">
        <v>56797</v>
      </c>
      <c r="N9187" s="6" t="s">
        <v>56434</v>
      </c>
      <c r="O9187" s="8" t="s">
        <v>56435</v>
      </c>
      <c r="P9187" s="6" t="s">
        <v>56436</v>
      </c>
      <c r="Q9187" s="6" t="s">
        <v>31</v>
      </c>
      <c r="R9187" s="6" t="s">
        <v>31</v>
      </c>
      <c r="S9187" s="8" t="s">
        <v>56437</v>
      </c>
      <c r="T9187" s="6" t="s">
        <v>433</v>
      </c>
      <c r="U9187" s="8" t="s">
        <v>31</v>
      </c>
      <c r="V9187" s="6" t="s">
        <v>56798</v>
      </c>
      <c r="W9187" s="6" t="s">
        <v>56431</v>
      </c>
      <c r="X9187" s="9" t="str">
        <f>HYPERLINK("https://my.pitchbook.com?p=157661-83P","View People Online")</f>
        <v>View People Online</v>
      </c>
    </row>
    <row r="9188">
      <c r="A9188" s="2" t="s">
        <v>56799</v>
      </c>
      <c r="B9188" s="2" t="s">
        <v>56800</v>
      </c>
      <c r="C9188" s="2" t="s">
        <v>56801</v>
      </c>
      <c r="D9188" s="2" t="s">
        <v>25667</v>
      </c>
      <c r="E9188" s="2" t="s">
        <v>56431</v>
      </c>
      <c r="F9188" s="2" t="s">
        <v>5234</v>
      </c>
      <c r="G9188" s="2" t="s">
        <v>56802</v>
      </c>
      <c r="H9188" s="3" t="s">
        <v>31</v>
      </c>
      <c r="I9188" s="3">
        <v>1.0</v>
      </c>
      <c r="J9188" s="3">
        <v>1.0</v>
      </c>
      <c r="K9188" s="3" t="s">
        <v>31</v>
      </c>
      <c r="L9188" s="4" t="s">
        <v>31</v>
      </c>
      <c r="M9188" s="2" t="s">
        <v>56803</v>
      </c>
      <c r="N9188" s="2" t="s">
        <v>56434</v>
      </c>
      <c r="O9188" s="4" t="s">
        <v>56435</v>
      </c>
      <c r="P9188" s="2" t="s">
        <v>56436</v>
      </c>
      <c r="Q9188" s="2" t="s">
        <v>31</v>
      </c>
      <c r="R9188" s="2" t="s">
        <v>31</v>
      </c>
      <c r="S9188" s="4" t="s">
        <v>56437</v>
      </c>
      <c r="T9188" s="2" t="s">
        <v>433</v>
      </c>
      <c r="U9188" s="4" t="s">
        <v>31</v>
      </c>
      <c r="V9188" s="2" t="s">
        <v>56804</v>
      </c>
      <c r="W9188" s="2" t="s">
        <v>56431</v>
      </c>
      <c r="X9188" s="5" t="str">
        <f>HYPERLINK("https://my.pitchbook.com?p=182918-80P","View People Online")</f>
        <v>View People Online</v>
      </c>
    </row>
    <row r="9189">
      <c r="A9189" s="14" t="s">
        <v>56805</v>
      </c>
      <c r="B9189" s="14" t="s">
        <v>56806</v>
      </c>
      <c r="C9189" s="14" t="s">
        <v>56807</v>
      </c>
      <c r="D9189" s="14" t="s">
        <v>56808</v>
      </c>
      <c r="E9189" s="14" t="s">
        <v>56431</v>
      </c>
      <c r="F9189" s="14" t="s">
        <v>312</v>
      </c>
      <c r="G9189" s="14" t="s">
        <v>56809</v>
      </c>
      <c r="H9189" s="15" t="s">
        <v>31</v>
      </c>
      <c r="I9189" s="15">
        <v>1.0</v>
      </c>
      <c r="J9189" s="15">
        <v>1.0</v>
      </c>
      <c r="K9189" s="15" t="s">
        <v>31</v>
      </c>
      <c r="L9189" s="16" t="s">
        <v>31</v>
      </c>
      <c r="M9189" s="14" t="s">
        <v>56810</v>
      </c>
      <c r="N9189" s="14" t="s">
        <v>56434</v>
      </c>
      <c r="O9189" s="16" t="s">
        <v>56435</v>
      </c>
      <c r="P9189" s="14" t="s">
        <v>56436</v>
      </c>
      <c r="Q9189" s="14" t="s">
        <v>31</v>
      </c>
      <c r="R9189" s="14" t="s">
        <v>31</v>
      </c>
      <c r="S9189" s="16" t="s">
        <v>56437</v>
      </c>
      <c r="T9189" s="14" t="s">
        <v>433</v>
      </c>
      <c r="U9189" s="16" t="s">
        <v>31</v>
      </c>
      <c r="V9189" s="14" t="s">
        <v>56811</v>
      </c>
      <c r="W9189" s="14" t="s">
        <v>56431</v>
      </c>
      <c r="X9189" s="17" t="str">
        <f>HYPERLINK("https://my.pitchbook.com?p=244160-92P","View People Online")</f>
        <v>View People Online</v>
      </c>
    </row>
    <row r="9190">
      <c r="A9190" s="2" t="s">
        <v>56812</v>
      </c>
      <c r="B9190" s="2" t="s">
        <v>56813</v>
      </c>
      <c r="C9190" s="2" t="s">
        <v>1824</v>
      </c>
      <c r="D9190" s="2" t="s">
        <v>56814</v>
      </c>
      <c r="E9190" s="2" t="s">
        <v>56431</v>
      </c>
      <c r="F9190" s="2" t="s">
        <v>583</v>
      </c>
      <c r="G9190" s="2" t="s">
        <v>56815</v>
      </c>
      <c r="H9190" s="3" t="s">
        <v>31</v>
      </c>
      <c r="I9190" s="3">
        <v>1.0</v>
      </c>
      <c r="J9190" s="3">
        <v>1.0</v>
      </c>
      <c r="K9190" s="3" t="s">
        <v>31</v>
      </c>
      <c r="L9190" s="4" t="s">
        <v>31</v>
      </c>
      <c r="M9190" s="2" t="s">
        <v>56816</v>
      </c>
      <c r="N9190" s="2" t="s">
        <v>56434</v>
      </c>
      <c r="O9190" s="4" t="s">
        <v>56435</v>
      </c>
      <c r="P9190" s="2" t="s">
        <v>56436</v>
      </c>
      <c r="Q9190" s="2" t="s">
        <v>31</v>
      </c>
      <c r="R9190" s="2" t="s">
        <v>31</v>
      </c>
      <c r="S9190" s="4" t="s">
        <v>56437</v>
      </c>
      <c r="T9190" s="2" t="s">
        <v>433</v>
      </c>
      <c r="U9190" s="4" t="s">
        <v>31</v>
      </c>
      <c r="V9190" s="2" t="s">
        <v>56817</v>
      </c>
      <c r="W9190" s="2" t="s">
        <v>56431</v>
      </c>
      <c r="X9190" s="5" t="str">
        <f>HYPERLINK("https://my.pitchbook.com?p=228337-12P","View People Online")</f>
        <v>View People Online</v>
      </c>
    </row>
    <row r="9191">
      <c r="A9191" s="6" t="s">
        <v>56818</v>
      </c>
      <c r="B9191" s="6" t="s">
        <v>56819</v>
      </c>
      <c r="C9191" s="6" t="s">
        <v>6199</v>
      </c>
      <c r="D9191" s="6" t="s">
        <v>10551</v>
      </c>
      <c r="E9191" s="6" t="s">
        <v>56431</v>
      </c>
      <c r="F9191" s="6" t="s">
        <v>583</v>
      </c>
      <c r="G9191" s="6" t="s">
        <v>56820</v>
      </c>
      <c r="H9191" s="7" t="s">
        <v>31</v>
      </c>
      <c r="I9191" s="7">
        <v>6.0</v>
      </c>
      <c r="J9191" s="7">
        <v>1.0</v>
      </c>
      <c r="K9191" s="7">
        <v>5.0</v>
      </c>
      <c r="L9191" s="8" t="s">
        <v>31</v>
      </c>
      <c r="M9191" s="6" t="s">
        <v>56821</v>
      </c>
      <c r="N9191" s="6" t="s">
        <v>56434</v>
      </c>
      <c r="O9191" s="8" t="s">
        <v>56435</v>
      </c>
      <c r="P9191" s="6" t="s">
        <v>56436</v>
      </c>
      <c r="Q9191" s="6" t="s">
        <v>31</v>
      </c>
      <c r="R9191" s="6" t="s">
        <v>31</v>
      </c>
      <c r="S9191" s="8" t="s">
        <v>56437</v>
      </c>
      <c r="T9191" s="6" t="s">
        <v>433</v>
      </c>
      <c r="U9191" s="8" t="s">
        <v>31</v>
      </c>
      <c r="V9191" s="6" t="s">
        <v>56822</v>
      </c>
      <c r="W9191" s="6" t="s">
        <v>56431</v>
      </c>
      <c r="X9191" s="9" t="str">
        <f>HYPERLINK("https://my.pitchbook.com?p=12058-21P","View People Online")</f>
        <v>View People Online</v>
      </c>
    </row>
    <row r="9192">
      <c r="A9192" s="2" t="s">
        <v>56823</v>
      </c>
      <c r="B9192" s="2" t="s">
        <v>56824</v>
      </c>
      <c r="C9192" s="2" t="s">
        <v>12431</v>
      </c>
      <c r="D9192" s="2" t="s">
        <v>56825</v>
      </c>
      <c r="E9192" s="2" t="s">
        <v>56431</v>
      </c>
      <c r="F9192" s="2" t="s">
        <v>29711</v>
      </c>
      <c r="G9192" s="2" t="s">
        <v>56826</v>
      </c>
      <c r="H9192" s="3" t="s">
        <v>31</v>
      </c>
      <c r="I9192" s="3">
        <v>2.0</v>
      </c>
      <c r="J9192" s="3">
        <v>2.0</v>
      </c>
      <c r="K9192" s="3" t="s">
        <v>31</v>
      </c>
      <c r="L9192" s="4" t="s">
        <v>31</v>
      </c>
      <c r="M9192" s="2" t="s">
        <v>31</v>
      </c>
      <c r="N9192" s="2" t="s">
        <v>56434</v>
      </c>
      <c r="O9192" s="4" t="s">
        <v>56435</v>
      </c>
      <c r="P9192" s="2" t="s">
        <v>56436</v>
      </c>
      <c r="Q9192" s="2" t="s">
        <v>31</v>
      </c>
      <c r="R9192" s="2" t="s">
        <v>31</v>
      </c>
      <c r="S9192" s="4" t="s">
        <v>56437</v>
      </c>
      <c r="T9192" s="2" t="s">
        <v>433</v>
      </c>
      <c r="U9192" s="4" t="s">
        <v>31</v>
      </c>
      <c r="V9192" s="2" t="s">
        <v>56827</v>
      </c>
      <c r="W9192" s="2" t="s">
        <v>56431</v>
      </c>
      <c r="X9192" s="5" t="str">
        <f>HYPERLINK("https://my.pitchbook.com?p=124618-33P","View People Online")</f>
        <v>View People Online</v>
      </c>
    </row>
    <row r="9193">
      <c r="A9193" s="6" t="s">
        <v>56828</v>
      </c>
      <c r="B9193" s="6" t="s">
        <v>56829</v>
      </c>
      <c r="C9193" s="6" t="s">
        <v>12431</v>
      </c>
      <c r="D9193" s="6" t="s">
        <v>56830</v>
      </c>
      <c r="E9193" s="6" t="s">
        <v>56431</v>
      </c>
      <c r="F9193" s="6" t="s">
        <v>270</v>
      </c>
      <c r="G9193" s="6" t="s">
        <v>56831</v>
      </c>
      <c r="H9193" s="7" t="s">
        <v>31</v>
      </c>
      <c r="I9193" s="7">
        <v>1.0</v>
      </c>
      <c r="J9193" s="7">
        <v>1.0</v>
      </c>
      <c r="K9193" s="7" t="s">
        <v>31</v>
      </c>
      <c r="L9193" s="8" t="s">
        <v>31</v>
      </c>
      <c r="M9193" s="6" t="s">
        <v>56832</v>
      </c>
      <c r="N9193" s="6" t="s">
        <v>56434</v>
      </c>
      <c r="O9193" s="8" t="s">
        <v>56435</v>
      </c>
      <c r="P9193" s="6" t="s">
        <v>56436</v>
      </c>
      <c r="Q9193" s="6" t="s">
        <v>31</v>
      </c>
      <c r="R9193" s="6" t="s">
        <v>31</v>
      </c>
      <c r="S9193" s="8" t="s">
        <v>56437</v>
      </c>
      <c r="T9193" s="6" t="s">
        <v>433</v>
      </c>
      <c r="U9193" s="8" t="s">
        <v>31</v>
      </c>
      <c r="V9193" s="6" t="s">
        <v>56833</v>
      </c>
      <c r="W9193" s="6" t="s">
        <v>56431</v>
      </c>
      <c r="X9193" s="9" t="str">
        <f>HYPERLINK("https://my.pitchbook.com?p=89071-30P","View People Online")</f>
        <v>View People Online</v>
      </c>
    </row>
    <row r="9194">
      <c r="A9194" s="2" t="s">
        <v>56834</v>
      </c>
      <c r="B9194" s="2" t="s">
        <v>56835</v>
      </c>
      <c r="C9194" s="2" t="s">
        <v>30040</v>
      </c>
      <c r="D9194" s="2" t="s">
        <v>56836</v>
      </c>
      <c r="E9194" s="2" t="s">
        <v>56431</v>
      </c>
      <c r="F9194" s="2" t="s">
        <v>548</v>
      </c>
      <c r="G9194" s="2" t="s">
        <v>56837</v>
      </c>
      <c r="H9194" s="3" t="s">
        <v>31</v>
      </c>
      <c r="I9194" s="3">
        <v>1.0</v>
      </c>
      <c r="J9194" s="3">
        <v>1.0</v>
      </c>
      <c r="K9194" s="3" t="s">
        <v>31</v>
      </c>
      <c r="L9194" s="4" t="s">
        <v>31</v>
      </c>
      <c r="M9194" s="2" t="s">
        <v>56838</v>
      </c>
      <c r="N9194" s="2" t="s">
        <v>56434</v>
      </c>
      <c r="O9194" s="4" t="s">
        <v>56435</v>
      </c>
      <c r="P9194" s="2" t="s">
        <v>56436</v>
      </c>
      <c r="Q9194" s="2" t="s">
        <v>31</v>
      </c>
      <c r="R9194" s="2" t="s">
        <v>31</v>
      </c>
      <c r="S9194" s="4" t="s">
        <v>56437</v>
      </c>
      <c r="T9194" s="2" t="s">
        <v>433</v>
      </c>
      <c r="U9194" s="4" t="s">
        <v>31</v>
      </c>
      <c r="V9194" s="2" t="s">
        <v>56839</v>
      </c>
      <c r="W9194" s="2" t="s">
        <v>56431</v>
      </c>
      <c r="X9194" s="5" t="str">
        <f>HYPERLINK("https://my.pitchbook.com?p=111916-18P","View People Online")</f>
        <v>View People Online</v>
      </c>
    </row>
    <row r="9195">
      <c r="A9195" s="14" t="s">
        <v>56840</v>
      </c>
      <c r="B9195" s="14" t="s">
        <v>56841</v>
      </c>
      <c r="C9195" s="14" t="s">
        <v>22863</v>
      </c>
      <c r="D9195" s="14" t="s">
        <v>4586</v>
      </c>
      <c r="E9195" s="14" t="s">
        <v>56431</v>
      </c>
      <c r="F9195" s="14" t="s">
        <v>43</v>
      </c>
      <c r="G9195" s="14" t="s">
        <v>56842</v>
      </c>
      <c r="H9195" s="15">
        <v>2.0</v>
      </c>
      <c r="I9195" s="15">
        <v>23.0</v>
      </c>
      <c r="J9195" s="15">
        <v>2.0</v>
      </c>
      <c r="K9195" s="15">
        <v>14.0</v>
      </c>
      <c r="L9195" s="16" t="s">
        <v>31</v>
      </c>
      <c r="M9195" s="14" t="s">
        <v>56843</v>
      </c>
      <c r="N9195" s="14" t="s">
        <v>775</v>
      </c>
      <c r="O9195" s="16" t="s">
        <v>776</v>
      </c>
      <c r="P9195" s="14" t="s">
        <v>31</v>
      </c>
      <c r="Q9195" s="14" t="s">
        <v>31</v>
      </c>
      <c r="R9195" s="14" t="s">
        <v>64</v>
      </c>
      <c r="S9195" s="16" t="s">
        <v>31</v>
      </c>
      <c r="T9195" s="14" t="s">
        <v>66</v>
      </c>
      <c r="U9195" s="16" t="s">
        <v>31</v>
      </c>
      <c r="V9195" s="14" t="s">
        <v>56844</v>
      </c>
      <c r="W9195" s="14" t="s">
        <v>56431</v>
      </c>
      <c r="X9195" s="17" t="str">
        <f>HYPERLINK("https://my.pitchbook.com?p=87847-93P","View People Online")</f>
        <v>View People Online</v>
      </c>
    </row>
    <row r="9196">
      <c r="A9196" s="2" t="s">
        <v>56845</v>
      </c>
      <c r="B9196" s="2" t="s">
        <v>56846</v>
      </c>
      <c r="C9196" s="2" t="s">
        <v>622</v>
      </c>
      <c r="D9196" s="2" t="s">
        <v>56847</v>
      </c>
      <c r="E9196" s="2" t="s">
        <v>56848</v>
      </c>
      <c r="F9196" s="2" t="s">
        <v>318</v>
      </c>
      <c r="G9196" s="2" t="s">
        <v>56849</v>
      </c>
      <c r="H9196" s="3">
        <v>4.0</v>
      </c>
      <c r="I9196" s="3">
        <v>11.0</v>
      </c>
      <c r="J9196" s="3">
        <v>1.0</v>
      </c>
      <c r="K9196" s="3">
        <v>6.0</v>
      </c>
      <c r="L9196" s="4" t="s">
        <v>56850</v>
      </c>
      <c r="M9196" s="2" t="s">
        <v>56851</v>
      </c>
      <c r="N9196" s="2" t="s">
        <v>1181</v>
      </c>
      <c r="O9196" s="4" t="s">
        <v>1182</v>
      </c>
      <c r="P9196" s="2" t="s">
        <v>56852</v>
      </c>
      <c r="Q9196" s="2" t="s">
        <v>56853</v>
      </c>
      <c r="R9196" s="2" t="s">
        <v>1185</v>
      </c>
      <c r="S9196" s="4" t="s">
        <v>1383</v>
      </c>
      <c r="T9196" s="2" t="s">
        <v>66</v>
      </c>
      <c r="U9196" s="4" t="s">
        <v>56854</v>
      </c>
      <c r="V9196" s="2" t="s">
        <v>318</v>
      </c>
      <c r="W9196" s="2" t="s">
        <v>56848</v>
      </c>
      <c r="X9196" s="5" t="str">
        <f>HYPERLINK("https://my.pitchbook.com?p=185414-41P","View People Online")</f>
        <v>View People Online</v>
      </c>
    </row>
    <row r="9197">
      <c r="A9197" s="14" t="s">
        <v>56855</v>
      </c>
      <c r="B9197" s="14" t="s">
        <v>56856</v>
      </c>
      <c r="C9197" s="14" t="s">
        <v>10780</v>
      </c>
      <c r="D9197" s="14" t="s">
        <v>56857</v>
      </c>
      <c r="E9197" s="14" t="s">
        <v>56848</v>
      </c>
      <c r="F9197" s="14" t="s">
        <v>1283</v>
      </c>
      <c r="G9197" s="14" t="s">
        <v>56858</v>
      </c>
      <c r="H9197" s="15" t="s">
        <v>31</v>
      </c>
      <c r="I9197" s="15">
        <v>1.0</v>
      </c>
      <c r="J9197" s="15">
        <v>1.0</v>
      </c>
      <c r="K9197" s="15" t="s">
        <v>31</v>
      </c>
      <c r="L9197" s="16" t="s">
        <v>56850</v>
      </c>
      <c r="M9197" s="14" t="s">
        <v>56859</v>
      </c>
      <c r="N9197" s="14" t="s">
        <v>1181</v>
      </c>
      <c r="O9197" s="16" t="s">
        <v>1182</v>
      </c>
      <c r="P9197" s="14" t="s">
        <v>56852</v>
      </c>
      <c r="Q9197" s="14" t="s">
        <v>56853</v>
      </c>
      <c r="R9197" s="14" t="s">
        <v>1185</v>
      </c>
      <c r="S9197" s="16" t="s">
        <v>1383</v>
      </c>
      <c r="T9197" s="14" t="s">
        <v>66</v>
      </c>
      <c r="U9197" s="16" t="s">
        <v>56854</v>
      </c>
      <c r="V9197" s="14" t="s">
        <v>1283</v>
      </c>
      <c r="W9197" s="14" t="s">
        <v>56848</v>
      </c>
      <c r="X9197" s="17" t="str">
        <f>HYPERLINK("https://my.pitchbook.com?p=91285-48P","View People Online")</f>
        <v>View People Online</v>
      </c>
    </row>
    <row r="9198">
      <c r="A9198" s="10" t="s">
        <v>56860</v>
      </c>
      <c r="B9198" s="10" t="s">
        <v>56861</v>
      </c>
      <c r="C9198" s="10" t="s">
        <v>1929</v>
      </c>
      <c r="D9198" s="10" t="s">
        <v>56862</v>
      </c>
      <c r="E9198" s="10" t="s">
        <v>56848</v>
      </c>
      <c r="F9198" s="10" t="s">
        <v>6567</v>
      </c>
      <c r="G9198" s="10" t="s">
        <v>56863</v>
      </c>
      <c r="H9198" s="11" t="s">
        <v>31</v>
      </c>
      <c r="I9198" s="11">
        <v>1.0</v>
      </c>
      <c r="J9198" s="11">
        <v>1.0</v>
      </c>
      <c r="K9198" s="11" t="s">
        <v>31</v>
      </c>
      <c r="L9198" s="12" t="s">
        <v>56850</v>
      </c>
      <c r="M9198" s="10" t="s">
        <v>56864</v>
      </c>
      <c r="N9198" s="10" t="s">
        <v>1181</v>
      </c>
      <c r="O9198" s="12" t="s">
        <v>1182</v>
      </c>
      <c r="P9198" s="10" t="s">
        <v>56852</v>
      </c>
      <c r="Q9198" s="10" t="s">
        <v>56853</v>
      </c>
      <c r="R9198" s="10" t="s">
        <v>1185</v>
      </c>
      <c r="S9198" s="12" t="s">
        <v>1383</v>
      </c>
      <c r="T9198" s="10" t="s">
        <v>66</v>
      </c>
      <c r="U9198" s="12" t="s">
        <v>56854</v>
      </c>
      <c r="V9198" s="10" t="s">
        <v>6567</v>
      </c>
      <c r="W9198" s="10" t="s">
        <v>56848</v>
      </c>
      <c r="X9198" s="13" t="str">
        <f>HYPERLINK("https://my.pitchbook.com?p=134697-34P","View People Online")</f>
        <v>View People Online</v>
      </c>
    </row>
    <row r="9199">
      <c r="A9199" s="6" t="s">
        <v>56865</v>
      </c>
      <c r="B9199" s="6" t="s">
        <v>56866</v>
      </c>
      <c r="C9199" s="6" t="s">
        <v>4210</v>
      </c>
      <c r="D9199" s="6" t="s">
        <v>19677</v>
      </c>
      <c r="E9199" s="6" t="s">
        <v>56848</v>
      </c>
      <c r="F9199" s="6" t="s">
        <v>221</v>
      </c>
      <c r="G9199" s="6" t="s">
        <v>56867</v>
      </c>
      <c r="H9199" s="7" t="s">
        <v>31</v>
      </c>
      <c r="I9199" s="7">
        <v>1.0</v>
      </c>
      <c r="J9199" s="7">
        <v>1.0</v>
      </c>
      <c r="K9199" s="7" t="s">
        <v>31</v>
      </c>
      <c r="L9199" s="8" t="s">
        <v>56850</v>
      </c>
      <c r="M9199" s="6" t="s">
        <v>56868</v>
      </c>
      <c r="N9199" s="6" t="s">
        <v>1181</v>
      </c>
      <c r="O9199" s="8" t="s">
        <v>1182</v>
      </c>
      <c r="P9199" s="6" t="s">
        <v>56852</v>
      </c>
      <c r="Q9199" s="6" t="s">
        <v>56853</v>
      </c>
      <c r="R9199" s="6" t="s">
        <v>1185</v>
      </c>
      <c r="S9199" s="8" t="s">
        <v>1383</v>
      </c>
      <c r="T9199" s="6" t="s">
        <v>66</v>
      </c>
      <c r="U9199" s="8" t="s">
        <v>56854</v>
      </c>
      <c r="V9199" s="6" t="s">
        <v>221</v>
      </c>
      <c r="W9199" s="6" t="s">
        <v>56848</v>
      </c>
      <c r="X9199" s="9" t="str">
        <f>HYPERLINK("https://my.pitchbook.com?p=451711-90P","View People Online")</f>
        <v>View People Online</v>
      </c>
    </row>
    <row r="9200">
      <c r="A9200" s="10" t="s">
        <v>56869</v>
      </c>
      <c r="B9200" s="10" t="s">
        <v>56870</v>
      </c>
      <c r="C9200" s="10" t="s">
        <v>8016</v>
      </c>
      <c r="D9200" s="10" t="s">
        <v>56871</v>
      </c>
      <c r="E9200" s="10" t="s">
        <v>56848</v>
      </c>
      <c r="F9200" s="10" t="s">
        <v>667</v>
      </c>
      <c r="G9200" s="10" t="s">
        <v>56872</v>
      </c>
      <c r="H9200" s="11" t="s">
        <v>31</v>
      </c>
      <c r="I9200" s="11">
        <v>1.0</v>
      </c>
      <c r="J9200" s="11">
        <v>1.0</v>
      </c>
      <c r="K9200" s="11" t="s">
        <v>31</v>
      </c>
      <c r="L9200" s="12" t="s">
        <v>56850</v>
      </c>
      <c r="M9200" s="10" t="s">
        <v>56873</v>
      </c>
      <c r="N9200" s="10" t="s">
        <v>1181</v>
      </c>
      <c r="O9200" s="12" t="s">
        <v>1182</v>
      </c>
      <c r="P9200" s="10" t="s">
        <v>56852</v>
      </c>
      <c r="Q9200" s="10" t="s">
        <v>56853</v>
      </c>
      <c r="R9200" s="10" t="s">
        <v>1185</v>
      </c>
      <c r="S9200" s="12" t="s">
        <v>1383</v>
      </c>
      <c r="T9200" s="10" t="s">
        <v>66</v>
      </c>
      <c r="U9200" s="12" t="s">
        <v>56854</v>
      </c>
      <c r="V9200" s="10" t="s">
        <v>667</v>
      </c>
      <c r="W9200" s="10" t="s">
        <v>56848</v>
      </c>
      <c r="X9200" s="13" t="str">
        <f>HYPERLINK("https://my.pitchbook.com?p=451714-78P","View People Online")</f>
        <v>View People Online</v>
      </c>
    </row>
    <row r="9201">
      <c r="A9201" s="6" t="s">
        <v>56874</v>
      </c>
      <c r="B9201" s="6" t="s">
        <v>56875</v>
      </c>
      <c r="C9201" s="6" t="s">
        <v>1616</v>
      </c>
      <c r="D9201" s="6" t="s">
        <v>25356</v>
      </c>
      <c r="E9201" s="6" t="s">
        <v>56848</v>
      </c>
      <c r="F9201" s="6" t="s">
        <v>502</v>
      </c>
      <c r="G9201" s="6" t="s">
        <v>56876</v>
      </c>
      <c r="H9201" s="7" t="s">
        <v>31</v>
      </c>
      <c r="I9201" s="7">
        <v>1.0</v>
      </c>
      <c r="J9201" s="7">
        <v>1.0</v>
      </c>
      <c r="K9201" s="7" t="s">
        <v>31</v>
      </c>
      <c r="L9201" s="8" t="s">
        <v>56850</v>
      </c>
      <c r="M9201" s="6" t="s">
        <v>56877</v>
      </c>
      <c r="N9201" s="6" t="s">
        <v>1181</v>
      </c>
      <c r="O9201" s="8" t="s">
        <v>1182</v>
      </c>
      <c r="P9201" s="6" t="s">
        <v>56852</v>
      </c>
      <c r="Q9201" s="6" t="s">
        <v>56853</v>
      </c>
      <c r="R9201" s="6" t="s">
        <v>1185</v>
      </c>
      <c r="S9201" s="8" t="s">
        <v>1383</v>
      </c>
      <c r="T9201" s="6" t="s">
        <v>66</v>
      </c>
      <c r="U9201" s="8" t="s">
        <v>56854</v>
      </c>
      <c r="V9201" s="6" t="s">
        <v>502</v>
      </c>
      <c r="W9201" s="6" t="s">
        <v>56848</v>
      </c>
      <c r="X9201" s="9" t="str">
        <f>HYPERLINK("https://my.pitchbook.com?p=72452-80P","View People Online")</f>
        <v>View People Online</v>
      </c>
    </row>
    <row r="9202">
      <c r="A9202" s="10" t="s">
        <v>56878</v>
      </c>
      <c r="B9202" s="10" t="s">
        <v>56879</v>
      </c>
      <c r="C9202" s="10" t="s">
        <v>3828</v>
      </c>
      <c r="D9202" s="10" t="s">
        <v>56880</v>
      </c>
      <c r="E9202" s="10" t="s">
        <v>56848</v>
      </c>
      <c r="F9202" s="10" t="s">
        <v>713</v>
      </c>
      <c r="G9202" s="10" t="s">
        <v>56881</v>
      </c>
      <c r="H9202" s="11" t="s">
        <v>31</v>
      </c>
      <c r="I9202" s="11">
        <v>1.0</v>
      </c>
      <c r="J9202" s="11">
        <v>1.0</v>
      </c>
      <c r="K9202" s="11" t="s">
        <v>31</v>
      </c>
      <c r="L9202" s="12" t="s">
        <v>56850</v>
      </c>
      <c r="M9202" s="10" t="s">
        <v>56882</v>
      </c>
      <c r="N9202" s="10" t="s">
        <v>1181</v>
      </c>
      <c r="O9202" s="12" t="s">
        <v>1182</v>
      </c>
      <c r="P9202" s="10" t="s">
        <v>56852</v>
      </c>
      <c r="Q9202" s="10" t="s">
        <v>56853</v>
      </c>
      <c r="R9202" s="10" t="s">
        <v>1185</v>
      </c>
      <c r="S9202" s="12" t="s">
        <v>1383</v>
      </c>
      <c r="T9202" s="10" t="s">
        <v>66</v>
      </c>
      <c r="U9202" s="12" t="s">
        <v>56854</v>
      </c>
      <c r="V9202" s="10" t="s">
        <v>713</v>
      </c>
      <c r="W9202" s="10" t="s">
        <v>56848</v>
      </c>
      <c r="X9202" s="13" t="str">
        <f>HYPERLINK("https://my.pitchbook.com?p=283000-33P","View People Online")</f>
        <v>View People Online</v>
      </c>
    </row>
    <row r="9203">
      <c r="A9203" s="6" t="s">
        <v>56883</v>
      </c>
      <c r="B9203" s="6" t="s">
        <v>56884</v>
      </c>
      <c r="C9203" s="6" t="s">
        <v>24603</v>
      </c>
      <c r="D9203" s="6" t="s">
        <v>56885</v>
      </c>
      <c r="E9203" s="6" t="s">
        <v>56848</v>
      </c>
      <c r="F9203" s="6" t="s">
        <v>201</v>
      </c>
      <c r="G9203" s="6" t="s">
        <v>56886</v>
      </c>
      <c r="H9203" s="7" t="s">
        <v>31</v>
      </c>
      <c r="I9203" s="7">
        <v>1.0</v>
      </c>
      <c r="J9203" s="7">
        <v>1.0</v>
      </c>
      <c r="K9203" s="7" t="s">
        <v>31</v>
      </c>
      <c r="L9203" s="8" t="s">
        <v>56850</v>
      </c>
      <c r="M9203" s="6" t="s">
        <v>56887</v>
      </c>
      <c r="N9203" s="6" t="s">
        <v>1181</v>
      </c>
      <c r="O9203" s="8" t="s">
        <v>1182</v>
      </c>
      <c r="P9203" s="6" t="s">
        <v>56852</v>
      </c>
      <c r="Q9203" s="6" t="s">
        <v>56853</v>
      </c>
      <c r="R9203" s="6" t="s">
        <v>1185</v>
      </c>
      <c r="S9203" s="8" t="s">
        <v>1383</v>
      </c>
      <c r="T9203" s="6" t="s">
        <v>66</v>
      </c>
      <c r="U9203" s="8" t="s">
        <v>56854</v>
      </c>
      <c r="V9203" s="6" t="s">
        <v>201</v>
      </c>
      <c r="W9203" s="6" t="s">
        <v>56848</v>
      </c>
      <c r="X9203" s="9" t="str">
        <f>HYPERLINK("https://my.pitchbook.com?p=451714-15P","View People Online")</f>
        <v>View People Online</v>
      </c>
    </row>
    <row r="9204">
      <c r="A9204" s="10" t="s">
        <v>56888</v>
      </c>
      <c r="B9204" s="10" t="s">
        <v>56889</v>
      </c>
      <c r="C9204" s="10" t="s">
        <v>56890</v>
      </c>
      <c r="D9204" s="10" t="s">
        <v>56891</v>
      </c>
      <c r="E9204" s="10" t="s">
        <v>56848</v>
      </c>
      <c r="F9204" s="10" t="s">
        <v>1283</v>
      </c>
      <c r="G9204" s="10" t="s">
        <v>56892</v>
      </c>
      <c r="H9204" s="11">
        <v>5.0</v>
      </c>
      <c r="I9204" s="11">
        <v>15.0</v>
      </c>
      <c r="J9204" s="11">
        <v>1.0</v>
      </c>
      <c r="K9204" s="11">
        <v>9.0</v>
      </c>
      <c r="L9204" s="12" t="s">
        <v>56893</v>
      </c>
      <c r="M9204" s="10" t="s">
        <v>56894</v>
      </c>
      <c r="N9204" s="10" t="s">
        <v>1181</v>
      </c>
      <c r="O9204" s="12" t="s">
        <v>1182</v>
      </c>
      <c r="P9204" s="10" t="s">
        <v>56852</v>
      </c>
      <c r="Q9204" s="10" t="s">
        <v>56853</v>
      </c>
      <c r="R9204" s="10" t="s">
        <v>1185</v>
      </c>
      <c r="S9204" s="12" t="s">
        <v>1383</v>
      </c>
      <c r="T9204" s="10" t="s">
        <v>66</v>
      </c>
      <c r="U9204" s="12" t="s">
        <v>56854</v>
      </c>
      <c r="V9204" s="10" t="s">
        <v>1283</v>
      </c>
      <c r="W9204" s="10" t="s">
        <v>56848</v>
      </c>
      <c r="X9204" s="13" t="str">
        <f>HYPERLINK("https://my.pitchbook.com?p=127097-83P","View People Online")</f>
        <v>View People Online</v>
      </c>
    </row>
    <row r="9205">
      <c r="A9205" s="14" t="s">
        <v>56895</v>
      </c>
      <c r="B9205" s="14" t="s">
        <v>56896</v>
      </c>
      <c r="C9205" s="14" t="s">
        <v>2388</v>
      </c>
      <c r="D9205" s="14" t="s">
        <v>56897</v>
      </c>
      <c r="E9205" s="14" t="s">
        <v>56848</v>
      </c>
      <c r="F9205" s="14" t="s">
        <v>24979</v>
      </c>
      <c r="G9205" s="14" t="s">
        <v>56898</v>
      </c>
      <c r="H9205" s="15">
        <v>3.0</v>
      </c>
      <c r="I9205" s="15">
        <v>10.0</v>
      </c>
      <c r="J9205" s="15">
        <v>1.0</v>
      </c>
      <c r="K9205" s="15">
        <v>6.0</v>
      </c>
      <c r="L9205" s="16" t="s">
        <v>56899</v>
      </c>
      <c r="M9205" s="14" t="s">
        <v>56900</v>
      </c>
      <c r="N9205" s="14" t="s">
        <v>1181</v>
      </c>
      <c r="O9205" s="16" t="s">
        <v>1182</v>
      </c>
      <c r="P9205" s="14" t="s">
        <v>56852</v>
      </c>
      <c r="Q9205" s="14" t="s">
        <v>56853</v>
      </c>
      <c r="R9205" s="14" t="s">
        <v>1185</v>
      </c>
      <c r="S9205" s="16" t="s">
        <v>1383</v>
      </c>
      <c r="T9205" s="14" t="s">
        <v>66</v>
      </c>
      <c r="U9205" s="16" t="s">
        <v>56854</v>
      </c>
      <c r="V9205" s="14" t="s">
        <v>51128</v>
      </c>
      <c r="W9205" s="14" t="s">
        <v>56848</v>
      </c>
      <c r="X9205" s="17" t="str">
        <f>HYPERLINK("https://my.pitchbook.com?p=32405-41P","View People Online")</f>
        <v>View People Online</v>
      </c>
    </row>
    <row r="9206">
      <c r="A9206" s="10" t="s">
        <v>56901</v>
      </c>
      <c r="B9206" s="10" t="s">
        <v>56902</v>
      </c>
      <c r="C9206" s="10" t="s">
        <v>6199</v>
      </c>
      <c r="D9206" s="10" t="s">
        <v>56903</v>
      </c>
      <c r="E9206" s="10" t="s">
        <v>56848</v>
      </c>
      <c r="F9206" s="10" t="s">
        <v>57</v>
      </c>
      <c r="G9206" s="10" t="s">
        <v>56904</v>
      </c>
      <c r="H9206" s="11">
        <v>1.0</v>
      </c>
      <c r="I9206" s="11">
        <v>3.0</v>
      </c>
      <c r="J9206" s="11">
        <v>1.0</v>
      </c>
      <c r="K9206" s="11">
        <v>1.0</v>
      </c>
      <c r="L9206" s="12" t="s">
        <v>56850</v>
      </c>
      <c r="M9206" s="10" t="s">
        <v>56905</v>
      </c>
      <c r="N9206" s="10" t="s">
        <v>1181</v>
      </c>
      <c r="O9206" s="12" t="s">
        <v>1182</v>
      </c>
      <c r="P9206" s="10" t="s">
        <v>56852</v>
      </c>
      <c r="Q9206" s="10" t="s">
        <v>56853</v>
      </c>
      <c r="R9206" s="10" t="s">
        <v>1185</v>
      </c>
      <c r="S9206" s="12" t="s">
        <v>1383</v>
      </c>
      <c r="T9206" s="10" t="s">
        <v>66</v>
      </c>
      <c r="U9206" s="12" t="s">
        <v>56854</v>
      </c>
      <c r="V9206" s="10" t="s">
        <v>57</v>
      </c>
      <c r="W9206" s="10" t="s">
        <v>56848</v>
      </c>
      <c r="X9206" s="13" t="str">
        <f>HYPERLINK("https://my.pitchbook.com?p=13896-82P","View People Online")</f>
        <v>View People Online</v>
      </c>
    </row>
    <row r="9207">
      <c r="A9207" s="14" t="s">
        <v>56906</v>
      </c>
      <c r="B9207" s="14" t="s">
        <v>56907</v>
      </c>
      <c r="C9207" s="14" t="s">
        <v>12457</v>
      </c>
      <c r="D9207" s="14" t="s">
        <v>56908</v>
      </c>
      <c r="E9207" s="14" t="s">
        <v>56848</v>
      </c>
      <c r="F9207" s="14" t="s">
        <v>25083</v>
      </c>
      <c r="G9207" s="14" t="s">
        <v>56909</v>
      </c>
      <c r="H9207" s="15">
        <v>5.0</v>
      </c>
      <c r="I9207" s="15">
        <v>18.0</v>
      </c>
      <c r="J9207" s="15">
        <v>1.0</v>
      </c>
      <c r="K9207" s="15">
        <v>12.0</v>
      </c>
      <c r="L9207" s="16" t="s">
        <v>56850</v>
      </c>
      <c r="M9207" s="14" t="s">
        <v>56910</v>
      </c>
      <c r="N9207" s="14" t="s">
        <v>1181</v>
      </c>
      <c r="O9207" s="16" t="s">
        <v>1182</v>
      </c>
      <c r="P9207" s="14" t="s">
        <v>56852</v>
      </c>
      <c r="Q9207" s="14" t="s">
        <v>56853</v>
      </c>
      <c r="R9207" s="14" t="s">
        <v>1185</v>
      </c>
      <c r="S9207" s="16" t="s">
        <v>1383</v>
      </c>
      <c r="T9207" s="14" t="s">
        <v>66</v>
      </c>
      <c r="U9207" s="16" t="s">
        <v>56854</v>
      </c>
      <c r="V9207" s="14" t="s">
        <v>25083</v>
      </c>
      <c r="W9207" s="14" t="s">
        <v>56848</v>
      </c>
      <c r="X9207" s="17" t="str">
        <f>HYPERLINK("https://my.pitchbook.com?p=36935-65P","View People Online")</f>
        <v>View People Online</v>
      </c>
    </row>
    <row r="9208">
      <c r="A9208" s="2" t="s">
        <v>56911</v>
      </c>
      <c r="B9208" s="2" t="s">
        <v>56912</v>
      </c>
      <c r="C9208" s="2" t="s">
        <v>7207</v>
      </c>
      <c r="D9208" s="2" t="s">
        <v>4015</v>
      </c>
      <c r="E9208" s="2" t="s">
        <v>56848</v>
      </c>
      <c r="F9208" s="2" t="s">
        <v>1234</v>
      </c>
      <c r="G9208" s="2" t="s">
        <v>56913</v>
      </c>
      <c r="H9208" s="3">
        <v>1.0</v>
      </c>
      <c r="I9208" s="3">
        <v>1.0</v>
      </c>
      <c r="J9208" s="3">
        <v>1.0</v>
      </c>
      <c r="K9208" s="3" t="s">
        <v>31</v>
      </c>
      <c r="L9208" s="4" t="s">
        <v>56850</v>
      </c>
      <c r="M9208" s="2" t="s">
        <v>56914</v>
      </c>
      <c r="N9208" s="2" t="s">
        <v>1181</v>
      </c>
      <c r="O9208" s="4" t="s">
        <v>1182</v>
      </c>
      <c r="P9208" s="2" t="s">
        <v>56852</v>
      </c>
      <c r="Q9208" s="2" t="s">
        <v>56853</v>
      </c>
      <c r="R9208" s="2" t="s">
        <v>1185</v>
      </c>
      <c r="S9208" s="4" t="s">
        <v>1383</v>
      </c>
      <c r="T9208" s="2" t="s">
        <v>66</v>
      </c>
      <c r="U9208" s="4" t="s">
        <v>56854</v>
      </c>
      <c r="V9208" s="2" t="s">
        <v>12675</v>
      </c>
      <c r="W9208" s="2" t="s">
        <v>56848</v>
      </c>
      <c r="X9208" s="5" t="str">
        <f>HYPERLINK("https://my.pitchbook.com?p=13896-91P","View People Online")</f>
        <v>View People Online</v>
      </c>
    </row>
    <row r="9209">
      <c r="A9209" s="14" t="s">
        <v>56915</v>
      </c>
      <c r="B9209" s="14" t="s">
        <v>56916</v>
      </c>
      <c r="C9209" s="14" t="s">
        <v>3359</v>
      </c>
      <c r="D9209" s="14" t="s">
        <v>2951</v>
      </c>
      <c r="E9209" s="14" t="s">
        <v>56917</v>
      </c>
      <c r="F9209" s="14" t="s">
        <v>114</v>
      </c>
      <c r="G9209" s="14" t="s">
        <v>56918</v>
      </c>
      <c r="H9209" s="15">
        <v>1.0</v>
      </c>
      <c r="I9209" s="15">
        <v>3.0</v>
      </c>
      <c r="J9209" s="15">
        <v>2.0</v>
      </c>
      <c r="K9209" s="15" t="s">
        <v>31</v>
      </c>
      <c r="L9209" s="16" t="s">
        <v>31</v>
      </c>
      <c r="M9209" s="14" t="s">
        <v>31</v>
      </c>
      <c r="N9209" s="14" t="s">
        <v>13768</v>
      </c>
      <c r="O9209" s="16" t="s">
        <v>13769</v>
      </c>
      <c r="P9209" s="14" t="s">
        <v>31</v>
      </c>
      <c r="Q9209" s="14" t="s">
        <v>31</v>
      </c>
      <c r="R9209" s="14" t="s">
        <v>31</v>
      </c>
      <c r="S9209" s="16" t="s">
        <v>31</v>
      </c>
      <c r="T9209" s="14" t="s">
        <v>13773</v>
      </c>
      <c r="U9209" s="16" t="s">
        <v>31</v>
      </c>
      <c r="V9209" s="14" t="s">
        <v>152</v>
      </c>
      <c r="W9209" s="14" t="s">
        <v>56919</v>
      </c>
      <c r="X9209" s="17" t="str">
        <f>HYPERLINK("https://my.pitchbook.com?p=329925-52P","View People Online")</f>
        <v>View People Online</v>
      </c>
    </row>
    <row r="9210">
      <c r="A9210" s="10" t="s">
        <v>56920</v>
      </c>
      <c r="B9210" s="10" t="s">
        <v>56921</v>
      </c>
      <c r="C9210" s="10" t="s">
        <v>41160</v>
      </c>
      <c r="D9210" s="10" t="s">
        <v>56922</v>
      </c>
      <c r="E9210" s="10" t="s">
        <v>56917</v>
      </c>
      <c r="F9210" s="10" t="s">
        <v>86</v>
      </c>
      <c r="G9210" s="10" t="s">
        <v>56923</v>
      </c>
      <c r="H9210" s="11" t="s">
        <v>31</v>
      </c>
      <c r="I9210" s="11">
        <v>5.0</v>
      </c>
      <c r="J9210" s="11">
        <v>1.0</v>
      </c>
      <c r="K9210" s="11">
        <v>4.0</v>
      </c>
      <c r="L9210" s="12" t="s">
        <v>56924</v>
      </c>
      <c r="M9210" s="10" t="s">
        <v>56925</v>
      </c>
      <c r="N9210" s="10" t="s">
        <v>75</v>
      </c>
      <c r="O9210" s="12" t="s">
        <v>76</v>
      </c>
      <c r="P9210" s="10" t="s">
        <v>56926</v>
      </c>
      <c r="Q9210" s="10" t="s">
        <v>31</v>
      </c>
      <c r="R9210" s="10" t="s">
        <v>75</v>
      </c>
      <c r="S9210" s="12" t="s">
        <v>56927</v>
      </c>
      <c r="T9210" s="10" t="s">
        <v>66</v>
      </c>
      <c r="U9210" s="12" t="s">
        <v>31</v>
      </c>
      <c r="V9210" s="10" t="s">
        <v>86</v>
      </c>
      <c r="W9210" s="10" t="s">
        <v>56917</v>
      </c>
      <c r="X9210" s="13" t="str">
        <f>HYPERLINK("https://my.pitchbook.com?p=248777-38P","View People Online")</f>
        <v>View People Online</v>
      </c>
    </row>
    <row r="9211">
      <c r="A9211" s="6" t="s">
        <v>56928</v>
      </c>
      <c r="B9211" s="6" t="s">
        <v>56929</v>
      </c>
      <c r="C9211" s="6" t="s">
        <v>4679</v>
      </c>
      <c r="D9211" s="6" t="s">
        <v>5198</v>
      </c>
      <c r="E9211" s="6" t="s">
        <v>56917</v>
      </c>
      <c r="F9211" s="6" t="s">
        <v>114</v>
      </c>
      <c r="G9211" s="6" t="s">
        <v>56930</v>
      </c>
      <c r="H9211" s="7" t="s">
        <v>31</v>
      </c>
      <c r="I9211" s="7">
        <v>2.0</v>
      </c>
      <c r="J9211" s="7">
        <v>2.0</v>
      </c>
      <c r="K9211" s="7" t="s">
        <v>31</v>
      </c>
      <c r="L9211" s="8" t="s">
        <v>31</v>
      </c>
      <c r="M9211" s="6" t="s">
        <v>31</v>
      </c>
      <c r="N9211" s="6" t="s">
        <v>1416</v>
      </c>
      <c r="O9211" s="8" t="s">
        <v>1417</v>
      </c>
      <c r="P9211" s="6" t="s">
        <v>31</v>
      </c>
      <c r="Q9211" s="6" t="s">
        <v>31</v>
      </c>
      <c r="R9211" s="6" t="s">
        <v>1420</v>
      </c>
      <c r="S9211" s="8" t="s">
        <v>31</v>
      </c>
      <c r="T9211" s="6" t="s">
        <v>66</v>
      </c>
      <c r="U9211" s="8" t="s">
        <v>31</v>
      </c>
      <c r="V9211" s="6" t="s">
        <v>114</v>
      </c>
      <c r="W9211" s="6" t="s">
        <v>56931</v>
      </c>
      <c r="X9211" s="9" t="str">
        <f>HYPERLINK("https://my.pitchbook.com?p=325537-03P","View People Online")</f>
        <v>View People Online</v>
      </c>
    </row>
    <row r="9212">
      <c r="A9212" s="10" t="s">
        <v>56932</v>
      </c>
      <c r="B9212" s="10" t="s">
        <v>56933</v>
      </c>
      <c r="C9212" s="10" t="s">
        <v>69</v>
      </c>
      <c r="D9212" s="10" t="s">
        <v>56934</v>
      </c>
      <c r="E9212" s="10" t="s">
        <v>56935</v>
      </c>
      <c r="F9212" s="10" t="s">
        <v>318</v>
      </c>
      <c r="G9212" s="10" t="s">
        <v>56936</v>
      </c>
      <c r="H9212" s="11">
        <v>1.0</v>
      </c>
      <c r="I9212" s="11">
        <v>19.0</v>
      </c>
      <c r="J9212" s="11">
        <v>1.0</v>
      </c>
      <c r="K9212" s="11">
        <v>17.0</v>
      </c>
      <c r="L9212" s="12" t="s">
        <v>56937</v>
      </c>
      <c r="M9212" s="10" t="s">
        <v>56938</v>
      </c>
      <c r="N9212" s="10" t="s">
        <v>15014</v>
      </c>
      <c r="O9212" s="12" t="s">
        <v>15015</v>
      </c>
      <c r="P9212" s="10" t="s">
        <v>56939</v>
      </c>
      <c r="Q9212" s="10" t="s">
        <v>31</v>
      </c>
      <c r="R9212" s="10" t="s">
        <v>31</v>
      </c>
      <c r="S9212" s="12" t="s">
        <v>56940</v>
      </c>
      <c r="T9212" s="10" t="s">
        <v>15018</v>
      </c>
      <c r="U9212" s="12" t="s">
        <v>56941</v>
      </c>
      <c r="V9212" s="10" t="s">
        <v>318</v>
      </c>
      <c r="W9212" s="10" t="s">
        <v>56935</v>
      </c>
      <c r="X9212" s="13" t="str">
        <f>HYPERLINK("https://my.pitchbook.com?p=197490-88P","View People Online")</f>
        <v>View People Online</v>
      </c>
    </row>
    <row r="9213">
      <c r="A9213" s="6" t="s">
        <v>56942</v>
      </c>
      <c r="B9213" s="6" t="s">
        <v>56943</v>
      </c>
      <c r="C9213" s="6" t="s">
        <v>56608</v>
      </c>
      <c r="D9213" s="6" t="s">
        <v>56944</v>
      </c>
      <c r="E9213" s="6" t="s">
        <v>56935</v>
      </c>
      <c r="F9213" s="6" t="s">
        <v>318</v>
      </c>
      <c r="G9213" s="6" t="s">
        <v>56945</v>
      </c>
      <c r="H9213" s="7" t="s">
        <v>31</v>
      </c>
      <c r="I9213" s="7">
        <v>1.0</v>
      </c>
      <c r="J9213" s="7">
        <v>1.0</v>
      </c>
      <c r="K9213" s="7" t="s">
        <v>31</v>
      </c>
      <c r="L9213" s="8" t="s">
        <v>56937</v>
      </c>
      <c r="M9213" s="6" t="s">
        <v>31</v>
      </c>
      <c r="N9213" s="6" t="s">
        <v>15014</v>
      </c>
      <c r="O9213" s="8" t="s">
        <v>15015</v>
      </c>
      <c r="P9213" s="6" t="s">
        <v>56939</v>
      </c>
      <c r="Q9213" s="6" t="s">
        <v>31</v>
      </c>
      <c r="R9213" s="6" t="s">
        <v>31</v>
      </c>
      <c r="S9213" s="8" t="s">
        <v>56940</v>
      </c>
      <c r="T9213" s="6" t="s">
        <v>15018</v>
      </c>
      <c r="U9213" s="8" t="s">
        <v>56941</v>
      </c>
      <c r="V9213" s="6" t="s">
        <v>318</v>
      </c>
      <c r="W9213" s="6" t="s">
        <v>56935</v>
      </c>
      <c r="X9213" s="9" t="str">
        <f>HYPERLINK("https://my.pitchbook.com?p=255052-54P","View People Online")</f>
        <v>View People Online</v>
      </c>
    </row>
    <row r="9214">
      <c r="A9214" s="10" t="s">
        <v>56946</v>
      </c>
      <c r="B9214" s="10" t="s">
        <v>56947</v>
      </c>
      <c r="C9214" s="10" t="s">
        <v>17219</v>
      </c>
      <c r="D9214" s="10" t="s">
        <v>14561</v>
      </c>
      <c r="E9214" s="10" t="s">
        <v>56935</v>
      </c>
      <c r="F9214" s="10" t="s">
        <v>470</v>
      </c>
      <c r="G9214" s="10" t="s">
        <v>56948</v>
      </c>
      <c r="H9214" s="11">
        <v>1.0</v>
      </c>
      <c r="I9214" s="11">
        <v>11.0</v>
      </c>
      <c r="J9214" s="11">
        <v>1.0</v>
      </c>
      <c r="K9214" s="11">
        <v>9.0</v>
      </c>
      <c r="L9214" s="12" t="s">
        <v>56937</v>
      </c>
      <c r="M9214" s="10" t="s">
        <v>56949</v>
      </c>
      <c r="N9214" s="10" t="s">
        <v>15014</v>
      </c>
      <c r="O9214" s="12" t="s">
        <v>15015</v>
      </c>
      <c r="P9214" s="10" t="s">
        <v>56939</v>
      </c>
      <c r="Q9214" s="10" t="s">
        <v>31</v>
      </c>
      <c r="R9214" s="10" t="s">
        <v>31</v>
      </c>
      <c r="S9214" s="12" t="s">
        <v>56940</v>
      </c>
      <c r="T9214" s="10" t="s">
        <v>15018</v>
      </c>
      <c r="U9214" s="12" t="s">
        <v>56941</v>
      </c>
      <c r="V9214" s="10" t="s">
        <v>470</v>
      </c>
      <c r="W9214" s="10" t="s">
        <v>56935</v>
      </c>
      <c r="X9214" s="13" t="str">
        <f>HYPERLINK("https://my.pitchbook.com?p=91600-30P","View People Online")</f>
        <v>View People Online</v>
      </c>
    </row>
    <row r="9215">
      <c r="A9215" s="14" t="s">
        <v>56950</v>
      </c>
      <c r="B9215" s="14" t="s">
        <v>56951</v>
      </c>
      <c r="C9215" s="14" t="s">
        <v>53961</v>
      </c>
      <c r="D9215" s="14" t="s">
        <v>56952</v>
      </c>
      <c r="E9215" s="14" t="s">
        <v>56935</v>
      </c>
      <c r="F9215" s="14" t="s">
        <v>270</v>
      </c>
      <c r="G9215" s="14" t="s">
        <v>56953</v>
      </c>
      <c r="H9215" s="15" t="s">
        <v>31</v>
      </c>
      <c r="I9215" s="15">
        <v>3.0</v>
      </c>
      <c r="J9215" s="15">
        <v>1.0</v>
      </c>
      <c r="K9215" s="15">
        <v>1.0</v>
      </c>
      <c r="L9215" s="16" t="s">
        <v>56937</v>
      </c>
      <c r="M9215" s="14" t="s">
        <v>56954</v>
      </c>
      <c r="N9215" s="14" t="s">
        <v>15014</v>
      </c>
      <c r="O9215" s="16" t="s">
        <v>15015</v>
      </c>
      <c r="P9215" s="14" t="s">
        <v>56939</v>
      </c>
      <c r="Q9215" s="14" t="s">
        <v>31</v>
      </c>
      <c r="R9215" s="14" t="s">
        <v>31</v>
      </c>
      <c r="S9215" s="16" t="s">
        <v>56940</v>
      </c>
      <c r="T9215" s="14" t="s">
        <v>15018</v>
      </c>
      <c r="U9215" s="16" t="s">
        <v>56941</v>
      </c>
      <c r="V9215" s="14" t="s">
        <v>440</v>
      </c>
      <c r="W9215" s="14" t="s">
        <v>56935</v>
      </c>
      <c r="X9215" s="17" t="str">
        <f>HYPERLINK("https://my.pitchbook.com?p=275225-14P","View People Online")</f>
        <v>View People Online</v>
      </c>
    </row>
    <row r="9216">
      <c r="A9216" s="2" t="s">
        <v>56955</v>
      </c>
      <c r="B9216" s="2" t="s">
        <v>56956</v>
      </c>
      <c r="C9216" s="2" t="s">
        <v>2221</v>
      </c>
      <c r="D9216" s="2" t="s">
        <v>56957</v>
      </c>
      <c r="E9216" s="2" t="s">
        <v>56935</v>
      </c>
      <c r="F9216" s="2" t="s">
        <v>270</v>
      </c>
      <c r="G9216" s="2" t="s">
        <v>56958</v>
      </c>
      <c r="H9216" s="3" t="s">
        <v>31</v>
      </c>
      <c r="I9216" s="3">
        <v>1.0</v>
      </c>
      <c r="J9216" s="3">
        <v>1.0</v>
      </c>
      <c r="K9216" s="3" t="s">
        <v>31</v>
      </c>
      <c r="L9216" s="4" t="s">
        <v>56959</v>
      </c>
      <c r="M9216" s="2" t="s">
        <v>56960</v>
      </c>
      <c r="N9216" s="2" t="s">
        <v>15014</v>
      </c>
      <c r="O9216" s="4" t="s">
        <v>15015</v>
      </c>
      <c r="P9216" s="2" t="s">
        <v>56939</v>
      </c>
      <c r="Q9216" s="2" t="s">
        <v>31</v>
      </c>
      <c r="R9216" s="2" t="s">
        <v>31</v>
      </c>
      <c r="S9216" s="4" t="s">
        <v>56940</v>
      </c>
      <c r="T9216" s="2" t="s">
        <v>15018</v>
      </c>
      <c r="U9216" s="4" t="s">
        <v>56941</v>
      </c>
      <c r="V9216" s="2" t="s">
        <v>440</v>
      </c>
      <c r="W9216" s="2" t="s">
        <v>56935</v>
      </c>
      <c r="X9216" s="5" t="str">
        <f>HYPERLINK("https://my.pitchbook.com?p=414263-62P","View People Online")</f>
        <v>View People Online</v>
      </c>
    </row>
    <row r="9217">
      <c r="A9217" s="6" t="s">
        <v>56961</v>
      </c>
      <c r="B9217" s="6" t="s">
        <v>56962</v>
      </c>
      <c r="C9217" s="6" t="s">
        <v>56963</v>
      </c>
      <c r="D9217" s="6" t="s">
        <v>56964</v>
      </c>
      <c r="E9217" s="6" t="s">
        <v>56935</v>
      </c>
      <c r="F9217" s="6" t="s">
        <v>270</v>
      </c>
      <c r="G9217" s="6" t="s">
        <v>56965</v>
      </c>
      <c r="H9217" s="7" t="s">
        <v>31</v>
      </c>
      <c r="I9217" s="7">
        <v>1.0</v>
      </c>
      <c r="J9217" s="7">
        <v>1.0</v>
      </c>
      <c r="K9217" s="7" t="s">
        <v>31</v>
      </c>
      <c r="L9217" s="8" t="s">
        <v>56937</v>
      </c>
      <c r="M9217" s="6" t="s">
        <v>56966</v>
      </c>
      <c r="N9217" s="6" t="s">
        <v>15014</v>
      </c>
      <c r="O9217" s="8" t="s">
        <v>15015</v>
      </c>
      <c r="P9217" s="6" t="s">
        <v>56939</v>
      </c>
      <c r="Q9217" s="6" t="s">
        <v>31</v>
      </c>
      <c r="R9217" s="6" t="s">
        <v>31</v>
      </c>
      <c r="S9217" s="8" t="s">
        <v>56940</v>
      </c>
      <c r="T9217" s="6" t="s">
        <v>15018</v>
      </c>
      <c r="U9217" s="8" t="s">
        <v>56941</v>
      </c>
      <c r="V9217" s="6" t="s">
        <v>440</v>
      </c>
      <c r="W9217" s="6" t="s">
        <v>56935</v>
      </c>
      <c r="X9217" s="9" t="str">
        <f>HYPERLINK("https://my.pitchbook.com?p=414266-23P","View People Online")</f>
        <v>View People Online</v>
      </c>
    </row>
    <row r="9218">
      <c r="A9218" s="10" t="s">
        <v>56967</v>
      </c>
      <c r="B9218" s="10" t="s">
        <v>56968</v>
      </c>
      <c r="C9218" s="10" t="s">
        <v>19921</v>
      </c>
      <c r="D9218" s="10" t="s">
        <v>56969</v>
      </c>
      <c r="E9218" s="10" t="s">
        <v>56935</v>
      </c>
      <c r="F9218" s="10" t="s">
        <v>896</v>
      </c>
      <c r="G9218" s="10" t="s">
        <v>56970</v>
      </c>
      <c r="H9218" s="11" t="s">
        <v>31</v>
      </c>
      <c r="I9218" s="11">
        <v>1.0</v>
      </c>
      <c r="J9218" s="11">
        <v>1.0</v>
      </c>
      <c r="K9218" s="11" t="s">
        <v>31</v>
      </c>
      <c r="L9218" s="12" t="s">
        <v>56937</v>
      </c>
      <c r="M9218" s="10" t="s">
        <v>56971</v>
      </c>
      <c r="N9218" s="10" t="s">
        <v>15014</v>
      </c>
      <c r="O9218" s="12" t="s">
        <v>15015</v>
      </c>
      <c r="P9218" s="10" t="s">
        <v>56939</v>
      </c>
      <c r="Q9218" s="10" t="s">
        <v>31</v>
      </c>
      <c r="R9218" s="10" t="s">
        <v>31</v>
      </c>
      <c r="S9218" s="12" t="s">
        <v>56940</v>
      </c>
      <c r="T9218" s="10" t="s">
        <v>15018</v>
      </c>
      <c r="U9218" s="12" t="s">
        <v>56941</v>
      </c>
      <c r="V9218" s="10" t="s">
        <v>56972</v>
      </c>
      <c r="W9218" s="10" t="s">
        <v>56935</v>
      </c>
      <c r="X9218" s="13" t="str">
        <f>HYPERLINK("https://my.pitchbook.com?p=382505-50P","View People Online")</f>
        <v>View People Online</v>
      </c>
    </row>
    <row r="9219">
      <c r="A9219" s="14" t="s">
        <v>56973</v>
      </c>
      <c r="B9219" s="14" t="s">
        <v>56974</v>
      </c>
      <c r="C9219" s="14" t="s">
        <v>1449</v>
      </c>
      <c r="D9219" s="14" t="s">
        <v>11075</v>
      </c>
      <c r="E9219" s="14" t="s">
        <v>56975</v>
      </c>
      <c r="F9219" s="14" t="s">
        <v>29</v>
      </c>
      <c r="G9219" s="14" t="s">
        <v>56976</v>
      </c>
      <c r="H9219" s="15" t="s">
        <v>31</v>
      </c>
      <c r="I9219" s="15">
        <v>1.0</v>
      </c>
      <c r="J9219" s="15">
        <v>1.0</v>
      </c>
      <c r="K9219" s="15" t="s">
        <v>31</v>
      </c>
      <c r="L9219" s="16" t="s">
        <v>31</v>
      </c>
      <c r="M9219" s="14" t="s">
        <v>56977</v>
      </c>
      <c r="N9219" s="14" t="s">
        <v>2301</v>
      </c>
      <c r="O9219" s="16" t="s">
        <v>56978</v>
      </c>
      <c r="P9219" s="14" t="s">
        <v>56979</v>
      </c>
      <c r="Q9219" s="14" t="s">
        <v>31</v>
      </c>
      <c r="R9219" s="14" t="s">
        <v>7693</v>
      </c>
      <c r="S9219" s="16" t="s">
        <v>56980</v>
      </c>
      <c r="T9219" s="14" t="s">
        <v>66</v>
      </c>
      <c r="U9219" s="16" t="s">
        <v>31</v>
      </c>
      <c r="V9219" s="14" t="s">
        <v>29</v>
      </c>
      <c r="W9219" s="14" t="s">
        <v>56975</v>
      </c>
      <c r="X9219" s="17" t="str">
        <f>HYPERLINK("https://my.pitchbook.com?p=370600-75P","View People Online")</f>
        <v>View People Online</v>
      </c>
    </row>
    <row r="9220">
      <c r="A9220" s="2" t="s">
        <v>56981</v>
      </c>
      <c r="B9220" s="2" t="s">
        <v>56982</v>
      </c>
      <c r="C9220" s="2" t="s">
        <v>26193</v>
      </c>
      <c r="D9220" s="2" t="s">
        <v>56983</v>
      </c>
      <c r="E9220" s="2" t="s">
        <v>56975</v>
      </c>
      <c r="F9220" s="2" t="s">
        <v>43</v>
      </c>
      <c r="G9220" s="2" t="s">
        <v>56984</v>
      </c>
      <c r="H9220" s="3" t="s">
        <v>31</v>
      </c>
      <c r="I9220" s="3">
        <v>6.0</v>
      </c>
      <c r="J9220" s="3">
        <v>2.0</v>
      </c>
      <c r="K9220" s="3">
        <v>2.0</v>
      </c>
      <c r="L9220" s="4" t="s">
        <v>31</v>
      </c>
      <c r="M9220" s="2" t="s">
        <v>56985</v>
      </c>
      <c r="N9220" s="2" t="s">
        <v>2301</v>
      </c>
      <c r="O9220" s="4" t="s">
        <v>56978</v>
      </c>
      <c r="P9220" s="2" t="s">
        <v>56979</v>
      </c>
      <c r="Q9220" s="2" t="s">
        <v>31</v>
      </c>
      <c r="R9220" s="2" t="s">
        <v>7693</v>
      </c>
      <c r="S9220" s="4" t="s">
        <v>56980</v>
      </c>
      <c r="T9220" s="2" t="s">
        <v>66</v>
      </c>
      <c r="U9220" s="4" t="s">
        <v>31</v>
      </c>
      <c r="V9220" s="2" t="s">
        <v>56986</v>
      </c>
      <c r="W9220" s="2" t="s">
        <v>56975</v>
      </c>
      <c r="X9220" s="5" t="str">
        <f>HYPERLINK("https://my.pitchbook.com?p=74205-10P","View People Online")</f>
        <v>View People Online</v>
      </c>
    </row>
    <row r="9221">
      <c r="A9221" s="14" t="s">
        <v>56987</v>
      </c>
      <c r="B9221" s="14" t="s">
        <v>56988</v>
      </c>
      <c r="C9221" s="14" t="s">
        <v>2388</v>
      </c>
      <c r="D9221" s="14" t="s">
        <v>56989</v>
      </c>
      <c r="E9221" s="14" t="s">
        <v>56975</v>
      </c>
      <c r="F9221" s="14" t="s">
        <v>29</v>
      </c>
      <c r="G9221" s="14" t="s">
        <v>56990</v>
      </c>
      <c r="H9221" s="15" t="s">
        <v>31</v>
      </c>
      <c r="I9221" s="15">
        <v>1.0</v>
      </c>
      <c r="J9221" s="15">
        <v>1.0</v>
      </c>
      <c r="K9221" s="15" t="s">
        <v>31</v>
      </c>
      <c r="L9221" s="16" t="s">
        <v>31</v>
      </c>
      <c r="M9221" s="14" t="s">
        <v>56991</v>
      </c>
      <c r="N9221" s="14" t="s">
        <v>2301</v>
      </c>
      <c r="O9221" s="16" t="s">
        <v>56978</v>
      </c>
      <c r="P9221" s="14" t="s">
        <v>56979</v>
      </c>
      <c r="Q9221" s="14" t="s">
        <v>31</v>
      </c>
      <c r="R9221" s="14" t="s">
        <v>7693</v>
      </c>
      <c r="S9221" s="16" t="s">
        <v>56980</v>
      </c>
      <c r="T9221" s="14" t="s">
        <v>66</v>
      </c>
      <c r="U9221" s="16" t="s">
        <v>31</v>
      </c>
      <c r="V9221" s="14" t="s">
        <v>29</v>
      </c>
      <c r="W9221" s="14" t="s">
        <v>56975</v>
      </c>
      <c r="X9221" s="17" t="str">
        <f>HYPERLINK("https://my.pitchbook.com?p=150736-60P","View People Online")</f>
        <v>View People Online</v>
      </c>
    </row>
    <row r="9222">
      <c r="A9222" s="2" t="s">
        <v>56992</v>
      </c>
      <c r="B9222" s="2" t="s">
        <v>56993</v>
      </c>
      <c r="C9222" s="2" t="s">
        <v>562</v>
      </c>
      <c r="D9222" s="2" t="s">
        <v>1994</v>
      </c>
      <c r="E9222" s="2" t="s">
        <v>56975</v>
      </c>
      <c r="F9222" s="2" t="s">
        <v>502</v>
      </c>
      <c r="G9222" s="2" t="s">
        <v>56994</v>
      </c>
      <c r="H9222" s="3" t="s">
        <v>31</v>
      </c>
      <c r="I9222" s="3">
        <v>2.0</v>
      </c>
      <c r="J9222" s="3">
        <v>2.0</v>
      </c>
      <c r="K9222" s="3" t="s">
        <v>31</v>
      </c>
      <c r="L9222" s="4" t="s">
        <v>56995</v>
      </c>
      <c r="M9222" s="2" t="s">
        <v>56996</v>
      </c>
      <c r="N9222" s="2" t="s">
        <v>2301</v>
      </c>
      <c r="O9222" s="4" t="s">
        <v>56978</v>
      </c>
      <c r="P9222" s="2" t="s">
        <v>56979</v>
      </c>
      <c r="Q9222" s="2" t="s">
        <v>31</v>
      </c>
      <c r="R9222" s="2" t="s">
        <v>7693</v>
      </c>
      <c r="S9222" s="4" t="s">
        <v>56980</v>
      </c>
      <c r="T9222" s="2" t="s">
        <v>66</v>
      </c>
      <c r="U9222" s="4" t="s">
        <v>31</v>
      </c>
      <c r="V9222" s="2" t="s">
        <v>502</v>
      </c>
      <c r="W9222" s="2" t="s">
        <v>56975</v>
      </c>
      <c r="X9222" s="5" t="str">
        <f>HYPERLINK("https://my.pitchbook.com?p=14540-68P","View People Online")</f>
        <v>View People Online</v>
      </c>
    </row>
    <row r="9223">
      <c r="A9223" s="6" t="s">
        <v>56997</v>
      </c>
      <c r="B9223" s="6" t="s">
        <v>56998</v>
      </c>
      <c r="C9223" s="6" t="s">
        <v>56999</v>
      </c>
      <c r="D9223" s="6" t="s">
        <v>57000</v>
      </c>
      <c r="E9223" s="6" t="s">
        <v>56975</v>
      </c>
      <c r="F9223" s="6" t="s">
        <v>1167</v>
      </c>
      <c r="G9223" s="6" t="s">
        <v>57001</v>
      </c>
      <c r="H9223" s="7" t="s">
        <v>31</v>
      </c>
      <c r="I9223" s="7">
        <v>26.0</v>
      </c>
      <c r="J9223" s="7">
        <v>2.0</v>
      </c>
      <c r="K9223" s="7">
        <v>20.0</v>
      </c>
      <c r="L9223" s="8" t="s">
        <v>31</v>
      </c>
      <c r="M9223" s="6" t="s">
        <v>57002</v>
      </c>
      <c r="N9223" s="6" t="s">
        <v>2301</v>
      </c>
      <c r="O9223" s="8" t="s">
        <v>56978</v>
      </c>
      <c r="P9223" s="6" t="s">
        <v>56979</v>
      </c>
      <c r="Q9223" s="6" t="s">
        <v>31</v>
      </c>
      <c r="R9223" s="6" t="s">
        <v>7693</v>
      </c>
      <c r="S9223" s="8" t="s">
        <v>56980</v>
      </c>
      <c r="T9223" s="6" t="s">
        <v>66</v>
      </c>
      <c r="U9223" s="8" t="s">
        <v>31</v>
      </c>
      <c r="V9223" s="6" t="s">
        <v>558</v>
      </c>
      <c r="W9223" s="6" t="s">
        <v>56975</v>
      </c>
      <c r="X9223" s="9" t="str">
        <f>HYPERLINK("https://my.pitchbook.com?p=37033-03P","View People Online")</f>
        <v>View People Online</v>
      </c>
    </row>
    <row r="9224">
      <c r="A9224" s="10" t="s">
        <v>57003</v>
      </c>
      <c r="B9224" s="10" t="s">
        <v>57004</v>
      </c>
      <c r="C9224" s="10" t="s">
        <v>57005</v>
      </c>
      <c r="D9224" s="10" t="s">
        <v>57006</v>
      </c>
      <c r="E9224" s="10" t="s">
        <v>47269</v>
      </c>
      <c r="F9224" s="10" t="s">
        <v>81</v>
      </c>
      <c r="G9224" s="10" t="s">
        <v>57007</v>
      </c>
      <c r="H9224" s="11" t="s">
        <v>31</v>
      </c>
      <c r="I9224" s="11">
        <v>1.0</v>
      </c>
      <c r="J9224" s="11" t="s">
        <v>31</v>
      </c>
      <c r="K9224" s="11" t="s">
        <v>31</v>
      </c>
      <c r="L9224" s="12" t="s">
        <v>31</v>
      </c>
      <c r="M9224" s="10" t="s">
        <v>31</v>
      </c>
      <c r="N9224" s="10" t="s">
        <v>57008</v>
      </c>
      <c r="O9224" s="12" t="s">
        <v>57009</v>
      </c>
      <c r="P9224" s="10" t="s">
        <v>57010</v>
      </c>
      <c r="Q9224" s="10" t="s">
        <v>57011</v>
      </c>
      <c r="R9224" s="10" t="s">
        <v>93</v>
      </c>
      <c r="S9224" s="12" t="s">
        <v>57012</v>
      </c>
      <c r="T9224" s="10" t="s">
        <v>66</v>
      </c>
      <c r="U9224" s="12" t="s">
        <v>31</v>
      </c>
      <c r="V9224" s="10" t="s">
        <v>32910</v>
      </c>
      <c r="W9224" s="10" t="s">
        <v>47269</v>
      </c>
      <c r="X9224" s="13" t="str">
        <f>HYPERLINK("https://my.pitchbook.com?p=441688-42P","View People Online")</f>
        <v>View People Online</v>
      </c>
    </row>
    <row r="9225">
      <c r="A9225" s="14" t="s">
        <v>57013</v>
      </c>
      <c r="B9225" s="14" t="s">
        <v>57014</v>
      </c>
      <c r="C9225" s="14" t="s">
        <v>1929</v>
      </c>
      <c r="D9225" s="14" t="s">
        <v>1849</v>
      </c>
      <c r="E9225" s="14" t="s">
        <v>47269</v>
      </c>
      <c r="F9225" s="14" t="s">
        <v>1283</v>
      </c>
      <c r="G9225" s="14" t="s">
        <v>57015</v>
      </c>
      <c r="H9225" s="15" t="s">
        <v>31</v>
      </c>
      <c r="I9225" s="15">
        <v>148.0</v>
      </c>
      <c r="J9225" s="15">
        <v>2.0</v>
      </c>
      <c r="K9225" s="15">
        <v>145.0</v>
      </c>
      <c r="L9225" s="16" t="s">
        <v>57016</v>
      </c>
      <c r="M9225" s="14" t="s">
        <v>57017</v>
      </c>
      <c r="N9225" s="14" t="s">
        <v>7690</v>
      </c>
      <c r="O9225" s="16" t="s">
        <v>7691</v>
      </c>
      <c r="P9225" s="14" t="s">
        <v>57018</v>
      </c>
      <c r="Q9225" s="14" t="s">
        <v>57019</v>
      </c>
      <c r="R9225" s="14" t="s">
        <v>7693</v>
      </c>
      <c r="S9225" s="16" t="s">
        <v>13636</v>
      </c>
      <c r="T9225" s="14" t="s">
        <v>66</v>
      </c>
      <c r="U9225" s="16" t="s">
        <v>57020</v>
      </c>
      <c r="V9225" s="14" t="s">
        <v>29</v>
      </c>
      <c r="W9225" s="14" t="s">
        <v>57021</v>
      </c>
      <c r="X9225" s="17" t="str">
        <f>HYPERLINK("https://my.pitchbook.com?p=69993-10P","View People Online")</f>
        <v>View People Online</v>
      </c>
    </row>
    <row r="9226">
      <c r="A9226" s="10" t="s">
        <v>57022</v>
      </c>
      <c r="B9226" s="10" t="s">
        <v>57023</v>
      </c>
      <c r="C9226" s="10" t="s">
        <v>3953</v>
      </c>
      <c r="D9226" s="10" t="s">
        <v>57024</v>
      </c>
      <c r="E9226" s="10" t="s">
        <v>47269</v>
      </c>
      <c r="F9226" s="10" t="s">
        <v>1283</v>
      </c>
      <c r="G9226" s="10" t="s">
        <v>57025</v>
      </c>
      <c r="H9226" s="11">
        <v>1.0</v>
      </c>
      <c r="I9226" s="11">
        <v>280.0</v>
      </c>
      <c r="J9226" s="11">
        <v>2.0</v>
      </c>
      <c r="K9226" s="11">
        <v>275.0</v>
      </c>
      <c r="L9226" s="12" t="s">
        <v>57026</v>
      </c>
      <c r="M9226" s="10" t="s">
        <v>57027</v>
      </c>
      <c r="N9226" s="10" t="s">
        <v>7690</v>
      </c>
      <c r="O9226" s="12" t="s">
        <v>7691</v>
      </c>
      <c r="P9226" s="10" t="s">
        <v>57028</v>
      </c>
      <c r="Q9226" s="10" t="s">
        <v>43712</v>
      </c>
      <c r="R9226" s="10" t="s">
        <v>7693</v>
      </c>
      <c r="S9226" s="12" t="s">
        <v>57029</v>
      </c>
      <c r="T9226" s="10" t="s">
        <v>66</v>
      </c>
      <c r="U9226" s="12" t="s">
        <v>57030</v>
      </c>
      <c r="V9226" s="10" t="s">
        <v>57031</v>
      </c>
      <c r="W9226" s="10" t="s">
        <v>57032</v>
      </c>
      <c r="X9226" s="13" t="str">
        <f>HYPERLINK("https://my.pitchbook.com?p=38070-82P","View People Online")</f>
        <v>View People Online</v>
      </c>
    </row>
    <row r="9227">
      <c r="A9227" s="6" t="s">
        <v>47265</v>
      </c>
      <c r="B9227" s="6" t="s">
        <v>47266</v>
      </c>
      <c r="C9227" s="6" t="s">
        <v>11210</v>
      </c>
      <c r="D9227" s="6" t="s">
        <v>3935</v>
      </c>
      <c r="E9227" s="6" t="s">
        <v>47269</v>
      </c>
      <c r="F9227" s="6" t="s">
        <v>270</v>
      </c>
      <c r="G9227" s="6" t="s">
        <v>47267</v>
      </c>
      <c r="H9227" s="7">
        <v>1.0</v>
      </c>
      <c r="I9227" s="7">
        <v>12.0</v>
      </c>
      <c r="J9227" s="7">
        <v>1.0</v>
      </c>
      <c r="K9227" s="7">
        <v>5.0</v>
      </c>
      <c r="L9227" s="8" t="s">
        <v>47203</v>
      </c>
      <c r="M9227" s="6" t="s">
        <v>47268</v>
      </c>
      <c r="N9227" s="6" t="s">
        <v>665</v>
      </c>
      <c r="O9227" s="8" t="s">
        <v>3857</v>
      </c>
      <c r="P9227" s="6" t="s">
        <v>31</v>
      </c>
      <c r="Q9227" s="6" t="s">
        <v>31</v>
      </c>
      <c r="R9227" s="6" t="s">
        <v>1420</v>
      </c>
      <c r="S9227" s="8" t="s">
        <v>31</v>
      </c>
      <c r="T9227" s="6" t="s">
        <v>66</v>
      </c>
      <c r="U9227" s="8" t="s">
        <v>31</v>
      </c>
      <c r="V9227" s="6" t="s">
        <v>270</v>
      </c>
      <c r="W9227" s="6" t="s">
        <v>47269</v>
      </c>
      <c r="X9227" s="9" t="str">
        <f>HYPERLINK("https://my.pitchbook.com?p=43176-88P","View People Online")</f>
        <v>View People Online</v>
      </c>
    </row>
    <row r="9228">
      <c r="A9228" s="10" t="s">
        <v>57033</v>
      </c>
      <c r="B9228" s="10" t="s">
        <v>57034</v>
      </c>
      <c r="C9228" s="10" t="s">
        <v>57035</v>
      </c>
      <c r="D9228" s="10" t="s">
        <v>4505</v>
      </c>
      <c r="E9228" s="10" t="s">
        <v>47269</v>
      </c>
      <c r="F9228" s="10" t="s">
        <v>1283</v>
      </c>
      <c r="G9228" s="10" t="s">
        <v>57036</v>
      </c>
      <c r="H9228" s="11" t="s">
        <v>31</v>
      </c>
      <c r="I9228" s="11">
        <v>13.0</v>
      </c>
      <c r="J9228" s="11">
        <v>2.0</v>
      </c>
      <c r="K9228" s="11">
        <v>11.0</v>
      </c>
      <c r="L9228" s="12" t="s">
        <v>31</v>
      </c>
      <c r="M9228" s="10" t="s">
        <v>57037</v>
      </c>
      <c r="N9228" s="10" t="s">
        <v>4232</v>
      </c>
      <c r="O9228" s="12" t="s">
        <v>4233</v>
      </c>
      <c r="P9228" s="10" t="s">
        <v>31</v>
      </c>
      <c r="Q9228" s="10" t="s">
        <v>31</v>
      </c>
      <c r="R9228" s="10" t="s">
        <v>4236</v>
      </c>
      <c r="S9228" s="12" t="s">
        <v>31</v>
      </c>
      <c r="T9228" s="10" t="s">
        <v>66</v>
      </c>
      <c r="U9228" s="12" t="s">
        <v>31</v>
      </c>
      <c r="V9228" s="10" t="s">
        <v>1283</v>
      </c>
      <c r="W9228" s="10" t="s">
        <v>47269</v>
      </c>
      <c r="X9228" s="13" t="str">
        <f>HYPERLINK("https://my.pitchbook.com?p=257732-56P","View People Online")</f>
        <v>View People Online</v>
      </c>
    </row>
    <row r="9229">
      <c r="A9229" s="14" t="s">
        <v>57038</v>
      </c>
      <c r="B9229" s="14" t="s">
        <v>57039</v>
      </c>
      <c r="C9229" s="14" t="s">
        <v>17908</v>
      </c>
      <c r="D9229" s="14" t="s">
        <v>338</v>
      </c>
      <c r="E9229" s="14" t="s">
        <v>47269</v>
      </c>
      <c r="F9229" s="14" t="s">
        <v>1106</v>
      </c>
      <c r="G9229" s="14" t="s">
        <v>57040</v>
      </c>
      <c r="H9229" s="15" t="s">
        <v>31</v>
      </c>
      <c r="I9229" s="15">
        <v>6.0</v>
      </c>
      <c r="J9229" s="15">
        <v>2.0</v>
      </c>
      <c r="K9229" s="15">
        <v>3.0</v>
      </c>
      <c r="L9229" s="16" t="s">
        <v>31</v>
      </c>
      <c r="M9229" s="14" t="s">
        <v>57041</v>
      </c>
      <c r="N9229" s="14" t="s">
        <v>57008</v>
      </c>
      <c r="O9229" s="16" t="s">
        <v>57009</v>
      </c>
      <c r="P9229" s="14" t="s">
        <v>57010</v>
      </c>
      <c r="Q9229" s="14" t="s">
        <v>57011</v>
      </c>
      <c r="R9229" s="14" t="s">
        <v>93</v>
      </c>
      <c r="S9229" s="16" t="s">
        <v>57012</v>
      </c>
      <c r="T9229" s="14" t="s">
        <v>66</v>
      </c>
      <c r="U9229" s="16" t="s">
        <v>31</v>
      </c>
      <c r="V9229" s="14" t="s">
        <v>1114</v>
      </c>
      <c r="W9229" s="14" t="s">
        <v>47269</v>
      </c>
      <c r="X9229" s="17" t="str">
        <f>HYPERLINK("https://my.pitchbook.com?p=63453-61P","View People Online")</f>
        <v>View People Online</v>
      </c>
    </row>
    <row r="9230">
      <c r="A9230" s="2" t="s">
        <v>57042</v>
      </c>
      <c r="B9230" s="2" t="s">
        <v>57043</v>
      </c>
      <c r="C9230" s="2" t="s">
        <v>24993</v>
      </c>
      <c r="D9230" s="2" t="s">
        <v>57044</v>
      </c>
      <c r="E9230" s="2" t="s">
        <v>47269</v>
      </c>
      <c r="F9230" s="2" t="s">
        <v>1283</v>
      </c>
      <c r="G9230" s="2" t="s">
        <v>57045</v>
      </c>
      <c r="H9230" s="3" t="s">
        <v>31</v>
      </c>
      <c r="I9230" s="3">
        <v>3.0</v>
      </c>
      <c r="J9230" s="3">
        <v>2.0</v>
      </c>
      <c r="K9230" s="3" t="s">
        <v>31</v>
      </c>
      <c r="L9230" s="4" t="s">
        <v>57046</v>
      </c>
      <c r="M9230" s="2" t="s">
        <v>57047</v>
      </c>
      <c r="N9230" s="2" t="s">
        <v>665</v>
      </c>
      <c r="O9230" s="4" t="s">
        <v>3857</v>
      </c>
      <c r="P9230" s="2" t="s">
        <v>57048</v>
      </c>
      <c r="Q9230" s="2" t="s">
        <v>57049</v>
      </c>
      <c r="R9230" s="2" t="s">
        <v>1420</v>
      </c>
      <c r="S9230" s="4" t="s">
        <v>3860</v>
      </c>
      <c r="T9230" s="2" t="s">
        <v>66</v>
      </c>
      <c r="U9230" s="4" t="s">
        <v>57050</v>
      </c>
      <c r="V9230" s="2" t="s">
        <v>29</v>
      </c>
      <c r="W9230" s="2" t="s">
        <v>57051</v>
      </c>
      <c r="X9230" s="5" t="str">
        <f>HYPERLINK("https://my.pitchbook.com?p=33335-74P","View People Online")</f>
        <v>View People Online</v>
      </c>
    </row>
    <row r="9231">
      <c r="A9231" s="14" t="s">
        <v>57052</v>
      </c>
      <c r="B9231" s="14" t="s">
        <v>57053</v>
      </c>
      <c r="C9231" s="14" t="s">
        <v>12056</v>
      </c>
      <c r="D9231" s="14" t="s">
        <v>57054</v>
      </c>
      <c r="E9231" s="14" t="s">
        <v>47269</v>
      </c>
      <c r="F9231" s="14" t="s">
        <v>152</v>
      </c>
      <c r="G9231" s="14" t="s">
        <v>57055</v>
      </c>
      <c r="H9231" s="15" t="s">
        <v>31</v>
      </c>
      <c r="I9231" s="15">
        <v>30.0</v>
      </c>
      <c r="J9231" s="15">
        <v>2.0</v>
      </c>
      <c r="K9231" s="15">
        <v>25.0</v>
      </c>
      <c r="L9231" s="16" t="s">
        <v>31</v>
      </c>
      <c r="M9231" s="14" t="s">
        <v>57056</v>
      </c>
      <c r="N9231" s="14" t="s">
        <v>57008</v>
      </c>
      <c r="O9231" s="16" t="s">
        <v>57009</v>
      </c>
      <c r="P9231" s="14" t="s">
        <v>57010</v>
      </c>
      <c r="Q9231" s="14" t="s">
        <v>57011</v>
      </c>
      <c r="R9231" s="14" t="s">
        <v>93</v>
      </c>
      <c r="S9231" s="16" t="s">
        <v>57012</v>
      </c>
      <c r="T9231" s="14" t="s">
        <v>66</v>
      </c>
      <c r="U9231" s="16" t="s">
        <v>57057</v>
      </c>
      <c r="V9231" s="14" t="s">
        <v>157</v>
      </c>
      <c r="W9231" s="14" t="s">
        <v>47269</v>
      </c>
      <c r="X9231" s="17" t="str">
        <f>HYPERLINK("https://my.pitchbook.com?p=29876-68P","View People Online")</f>
        <v>View People Online</v>
      </c>
    </row>
    <row r="9232">
      <c r="A9232" s="2" t="s">
        <v>57058</v>
      </c>
      <c r="B9232" s="2" t="s">
        <v>57059</v>
      </c>
      <c r="C9232" s="2" t="s">
        <v>167</v>
      </c>
      <c r="D9232" s="2" t="s">
        <v>57060</v>
      </c>
      <c r="E9232" s="2" t="s">
        <v>47269</v>
      </c>
      <c r="F9232" s="2" t="s">
        <v>1283</v>
      </c>
      <c r="G9232" s="2" t="s">
        <v>57061</v>
      </c>
      <c r="H9232" s="3" t="s">
        <v>31</v>
      </c>
      <c r="I9232" s="3">
        <v>1.0</v>
      </c>
      <c r="J9232" s="3">
        <v>1.0</v>
      </c>
      <c r="K9232" s="3" t="s">
        <v>31</v>
      </c>
      <c r="L9232" s="4" t="s">
        <v>57062</v>
      </c>
      <c r="M9232" s="2" t="s">
        <v>57063</v>
      </c>
      <c r="N9232" s="2" t="s">
        <v>4232</v>
      </c>
      <c r="O9232" s="4" t="s">
        <v>4233</v>
      </c>
      <c r="P9232" s="2" t="s">
        <v>31</v>
      </c>
      <c r="Q9232" s="2" t="s">
        <v>31</v>
      </c>
      <c r="R9232" s="2" t="s">
        <v>4236</v>
      </c>
      <c r="S9232" s="4" t="s">
        <v>31</v>
      </c>
      <c r="T9232" s="2" t="s">
        <v>66</v>
      </c>
      <c r="U9232" s="4" t="s">
        <v>31</v>
      </c>
      <c r="V9232" s="2" t="s">
        <v>1283</v>
      </c>
      <c r="W9232" s="2" t="s">
        <v>47269</v>
      </c>
      <c r="X9232" s="5" t="str">
        <f>HYPERLINK("https://my.pitchbook.com?p=117797-14P","View People Online")</f>
        <v>View People Online</v>
      </c>
    </row>
    <row r="9233">
      <c r="A9233" s="14" t="s">
        <v>57064</v>
      </c>
      <c r="B9233" s="14" t="s">
        <v>57065</v>
      </c>
      <c r="C9233" s="14" t="s">
        <v>5219</v>
      </c>
      <c r="D9233" s="14" t="s">
        <v>57066</v>
      </c>
      <c r="E9233" s="14" t="s">
        <v>47269</v>
      </c>
      <c r="F9233" s="14" t="s">
        <v>1283</v>
      </c>
      <c r="G9233" s="14" t="s">
        <v>57067</v>
      </c>
      <c r="H9233" s="15" t="s">
        <v>31</v>
      </c>
      <c r="I9233" s="15">
        <v>4.0</v>
      </c>
      <c r="J9233" s="15">
        <v>2.0</v>
      </c>
      <c r="K9233" s="15">
        <v>1.0</v>
      </c>
      <c r="L9233" s="16" t="s">
        <v>57068</v>
      </c>
      <c r="M9233" s="14" t="s">
        <v>57069</v>
      </c>
      <c r="N9233" s="14" t="s">
        <v>7957</v>
      </c>
      <c r="O9233" s="16" t="s">
        <v>7958</v>
      </c>
      <c r="P9233" s="14" t="s">
        <v>57070</v>
      </c>
      <c r="Q9233" s="14" t="s">
        <v>43145</v>
      </c>
      <c r="R9233" s="14" t="s">
        <v>7004</v>
      </c>
      <c r="S9233" s="16" t="s">
        <v>57071</v>
      </c>
      <c r="T9233" s="14" t="s">
        <v>66</v>
      </c>
      <c r="U9233" s="16" t="s">
        <v>31</v>
      </c>
      <c r="V9233" s="14" t="s">
        <v>57072</v>
      </c>
      <c r="W9233" s="14" t="s">
        <v>57073</v>
      </c>
      <c r="X9233" s="17" t="str">
        <f>HYPERLINK("https://my.pitchbook.com?p=38146-87P","View People Online")</f>
        <v>View People Online</v>
      </c>
    </row>
    <row r="9234">
      <c r="A9234" s="10" t="s">
        <v>57074</v>
      </c>
      <c r="B9234" s="10" t="s">
        <v>57075</v>
      </c>
      <c r="C9234" s="10" t="s">
        <v>21656</v>
      </c>
      <c r="D9234" s="10" t="s">
        <v>57076</v>
      </c>
      <c r="E9234" s="10" t="s">
        <v>47269</v>
      </c>
      <c r="F9234" s="10" t="s">
        <v>270</v>
      </c>
      <c r="G9234" s="10" t="s">
        <v>57077</v>
      </c>
      <c r="H9234" s="11" t="s">
        <v>31</v>
      </c>
      <c r="I9234" s="11">
        <v>2.0</v>
      </c>
      <c r="J9234" s="11">
        <v>2.0</v>
      </c>
      <c r="K9234" s="11" t="s">
        <v>31</v>
      </c>
      <c r="L9234" s="12" t="s">
        <v>31</v>
      </c>
      <c r="M9234" s="10" t="s">
        <v>57078</v>
      </c>
      <c r="N9234" s="10" t="s">
        <v>57008</v>
      </c>
      <c r="O9234" s="12" t="s">
        <v>57009</v>
      </c>
      <c r="P9234" s="10" t="s">
        <v>57010</v>
      </c>
      <c r="Q9234" s="10" t="s">
        <v>57011</v>
      </c>
      <c r="R9234" s="10" t="s">
        <v>93</v>
      </c>
      <c r="S9234" s="12" t="s">
        <v>57012</v>
      </c>
      <c r="T9234" s="10" t="s">
        <v>66</v>
      </c>
      <c r="U9234" s="12" t="s">
        <v>31</v>
      </c>
      <c r="V9234" s="10" t="s">
        <v>57079</v>
      </c>
      <c r="W9234" s="10" t="s">
        <v>47269</v>
      </c>
      <c r="X9234" s="13" t="str">
        <f>HYPERLINK("https://my.pitchbook.com?p=404753-68P","View People Online")</f>
        <v>View People Online</v>
      </c>
    </row>
    <row r="9235">
      <c r="A9235" s="14" t="s">
        <v>57080</v>
      </c>
      <c r="B9235" s="14" t="s">
        <v>57081</v>
      </c>
      <c r="C9235" s="14" t="s">
        <v>12386</v>
      </c>
      <c r="D9235" s="14" t="s">
        <v>57082</v>
      </c>
      <c r="E9235" s="14" t="s">
        <v>47269</v>
      </c>
      <c r="F9235" s="14" t="s">
        <v>1283</v>
      </c>
      <c r="G9235" s="14" t="s">
        <v>57083</v>
      </c>
      <c r="H9235" s="15" t="s">
        <v>31</v>
      </c>
      <c r="I9235" s="15">
        <v>3.0</v>
      </c>
      <c r="J9235" s="15">
        <v>2.0</v>
      </c>
      <c r="K9235" s="15" t="s">
        <v>31</v>
      </c>
      <c r="L9235" s="16" t="s">
        <v>57084</v>
      </c>
      <c r="M9235" s="14" t="s">
        <v>57085</v>
      </c>
      <c r="N9235" s="14" t="s">
        <v>1181</v>
      </c>
      <c r="O9235" s="16" t="s">
        <v>1182</v>
      </c>
      <c r="P9235" s="14" t="s">
        <v>3014</v>
      </c>
      <c r="Q9235" s="14" t="s">
        <v>3015</v>
      </c>
      <c r="R9235" s="14" t="s">
        <v>1185</v>
      </c>
      <c r="S9235" s="16" t="s">
        <v>1186</v>
      </c>
      <c r="T9235" s="14" t="s">
        <v>66</v>
      </c>
      <c r="U9235" s="16" t="s">
        <v>31</v>
      </c>
      <c r="V9235" s="14" t="s">
        <v>57086</v>
      </c>
      <c r="W9235" s="14" t="s">
        <v>57087</v>
      </c>
      <c r="X9235" s="17" t="str">
        <f>HYPERLINK("https://my.pitchbook.com?p=98242-39P","View People Online")</f>
        <v>View People Online</v>
      </c>
    </row>
    <row r="9236">
      <c r="A9236" s="10" t="s">
        <v>57088</v>
      </c>
      <c r="B9236" s="10" t="s">
        <v>57089</v>
      </c>
      <c r="C9236" s="10" t="s">
        <v>285</v>
      </c>
      <c r="D9236" s="10" t="s">
        <v>6030</v>
      </c>
      <c r="E9236" s="10" t="s">
        <v>57090</v>
      </c>
      <c r="F9236" s="10" t="s">
        <v>583</v>
      </c>
      <c r="G9236" s="10" t="s">
        <v>57091</v>
      </c>
      <c r="H9236" s="11" t="s">
        <v>31</v>
      </c>
      <c r="I9236" s="11">
        <v>1.0</v>
      </c>
      <c r="J9236" s="11">
        <v>1.0</v>
      </c>
      <c r="K9236" s="11" t="s">
        <v>31</v>
      </c>
      <c r="L9236" s="12" t="s">
        <v>31</v>
      </c>
      <c r="M9236" s="10" t="s">
        <v>57092</v>
      </c>
      <c r="N9236" s="10" t="s">
        <v>155</v>
      </c>
      <c r="O9236" s="12" t="s">
        <v>156</v>
      </c>
      <c r="P9236" s="10" t="s">
        <v>57093</v>
      </c>
      <c r="Q9236" s="10" t="s">
        <v>57094</v>
      </c>
      <c r="R9236" s="10" t="s">
        <v>64</v>
      </c>
      <c r="S9236" s="12" t="s">
        <v>24247</v>
      </c>
      <c r="T9236" s="10" t="s">
        <v>66</v>
      </c>
      <c r="U9236" s="12" t="s">
        <v>31</v>
      </c>
      <c r="V9236" s="10" t="s">
        <v>583</v>
      </c>
      <c r="W9236" s="10" t="s">
        <v>57090</v>
      </c>
      <c r="X9236" s="13" t="str">
        <f>HYPERLINK("https://my.pitchbook.com?p=256115-71P","View People Online")</f>
        <v>View People Online</v>
      </c>
    </row>
    <row r="9237">
      <c r="A9237" s="6" t="s">
        <v>57095</v>
      </c>
      <c r="B9237" s="6" t="s">
        <v>57096</v>
      </c>
      <c r="C9237" s="6" t="s">
        <v>57097</v>
      </c>
      <c r="D9237" s="6" t="s">
        <v>57098</v>
      </c>
      <c r="E9237" s="6" t="s">
        <v>57090</v>
      </c>
      <c r="F9237" s="6" t="s">
        <v>48509</v>
      </c>
      <c r="G9237" s="6" t="s">
        <v>57099</v>
      </c>
      <c r="H9237" s="7" t="s">
        <v>31</v>
      </c>
      <c r="I9237" s="7">
        <v>1.0</v>
      </c>
      <c r="J9237" s="7">
        <v>1.0</v>
      </c>
      <c r="K9237" s="7" t="s">
        <v>31</v>
      </c>
      <c r="L9237" s="8" t="s">
        <v>31</v>
      </c>
      <c r="M9237" s="6" t="s">
        <v>57100</v>
      </c>
      <c r="N9237" s="6" t="s">
        <v>155</v>
      </c>
      <c r="O9237" s="8" t="s">
        <v>156</v>
      </c>
      <c r="P9237" s="6" t="s">
        <v>57093</v>
      </c>
      <c r="Q9237" s="6" t="s">
        <v>57094</v>
      </c>
      <c r="R9237" s="6" t="s">
        <v>64</v>
      </c>
      <c r="S9237" s="8" t="s">
        <v>24247</v>
      </c>
      <c r="T9237" s="6" t="s">
        <v>66</v>
      </c>
      <c r="U9237" s="8" t="s">
        <v>31</v>
      </c>
      <c r="V9237" s="6" t="s">
        <v>57101</v>
      </c>
      <c r="W9237" s="6" t="s">
        <v>57090</v>
      </c>
      <c r="X9237" s="9" t="str">
        <f>HYPERLINK("https://my.pitchbook.com?p=255839-14P","View People Online")</f>
        <v>View People Online</v>
      </c>
    </row>
    <row r="9238">
      <c r="A9238" s="10" t="s">
        <v>57102</v>
      </c>
      <c r="B9238" s="10" t="s">
        <v>57103</v>
      </c>
      <c r="C9238" s="10" t="s">
        <v>18201</v>
      </c>
      <c r="D9238" s="10" t="s">
        <v>57104</v>
      </c>
      <c r="E9238" s="10" t="s">
        <v>57090</v>
      </c>
      <c r="F9238" s="10" t="s">
        <v>44294</v>
      </c>
      <c r="G9238" s="10" t="s">
        <v>57105</v>
      </c>
      <c r="H9238" s="11" t="s">
        <v>31</v>
      </c>
      <c r="I9238" s="11">
        <v>1.0</v>
      </c>
      <c r="J9238" s="11">
        <v>1.0</v>
      </c>
      <c r="K9238" s="11" t="s">
        <v>31</v>
      </c>
      <c r="L9238" s="12" t="s">
        <v>31</v>
      </c>
      <c r="M9238" s="10" t="s">
        <v>57106</v>
      </c>
      <c r="N9238" s="10" t="s">
        <v>155</v>
      </c>
      <c r="O9238" s="12" t="s">
        <v>156</v>
      </c>
      <c r="P9238" s="10" t="s">
        <v>57093</v>
      </c>
      <c r="Q9238" s="10" t="s">
        <v>57094</v>
      </c>
      <c r="R9238" s="10" t="s">
        <v>64</v>
      </c>
      <c r="S9238" s="12" t="s">
        <v>24247</v>
      </c>
      <c r="T9238" s="10" t="s">
        <v>66</v>
      </c>
      <c r="U9238" s="12" t="s">
        <v>31</v>
      </c>
      <c r="V9238" s="10" t="s">
        <v>57107</v>
      </c>
      <c r="W9238" s="10" t="s">
        <v>57090</v>
      </c>
      <c r="X9238" s="13" t="str">
        <f>HYPERLINK("https://my.pitchbook.com?p=37196-92P","View People Online")</f>
        <v>View People Online</v>
      </c>
    </row>
    <row r="9239">
      <c r="A9239" s="6" t="s">
        <v>57108</v>
      </c>
      <c r="B9239" s="6" t="s">
        <v>57109</v>
      </c>
      <c r="C9239" s="6" t="s">
        <v>126</v>
      </c>
      <c r="D9239" s="6" t="s">
        <v>6030</v>
      </c>
      <c r="E9239" s="6" t="s">
        <v>57090</v>
      </c>
      <c r="F9239" s="6" t="s">
        <v>152</v>
      </c>
      <c r="G9239" s="6" t="s">
        <v>57110</v>
      </c>
      <c r="H9239" s="7" t="s">
        <v>31</v>
      </c>
      <c r="I9239" s="7">
        <v>1.0</v>
      </c>
      <c r="J9239" s="7">
        <v>1.0</v>
      </c>
      <c r="K9239" s="7" t="s">
        <v>31</v>
      </c>
      <c r="L9239" s="8" t="s">
        <v>31</v>
      </c>
      <c r="M9239" s="6" t="s">
        <v>57111</v>
      </c>
      <c r="N9239" s="6" t="s">
        <v>155</v>
      </c>
      <c r="O9239" s="8" t="s">
        <v>156</v>
      </c>
      <c r="P9239" s="6" t="s">
        <v>57093</v>
      </c>
      <c r="Q9239" s="6" t="s">
        <v>57094</v>
      </c>
      <c r="R9239" s="6" t="s">
        <v>64</v>
      </c>
      <c r="S9239" s="8" t="s">
        <v>24247</v>
      </c>
      <c r="T9239" s="6" t="s">
        <v>66</v>
      </c>
      <c r="U9239" s="8" t="s">
        <v>31</v>
      </c>
      <c r="V9239" s="6" t="s">
        <v>152</v>
      </c>
      <c r="W9239" s="6" t="s">
        <v>57090</v>
      </c>
      <c r="X9239" s="9" t="str">
        <f>HYPERLINK("https://my.pitchbook.com?p=255838-78P","View People Online")</f>
        <v>View People Online</v>
      </c>
    </row>
    <row r="9240">
      <c r="A9240" s="2" t="s">
        <v>57112</v>
      </c>
      <c r="B9240" s="2" t="s">
        <v>57113</v>
      </c>
      <c r="C9240" s="2" t="s">
        <v>4169</v>
      </c>
      <c r="D9240" s="2" t="s">
        <v>57114</v>
      </c>
      <c r="E9240" s="2" t="s">
        <v>57115</v>
      </c>
      <c r="F9240" s="2" t="s">
        <v>81</v>
      </c>
      <c r="G9240" s="2" t="s">
        <v>57116</v>
      </c>
      <c r="H9240" s="3" t="s">
        <v>31</v>
      </c>
      <c r="I9240" s="3">
        <v>4.0</v>
      </c>
      <c r="J9240" s="3">
        <v>1.0</v>
      </c>
      <c r="K9240" s="3">
        <v>2.0</v>
      </c>
      <c r="L9240" s="4" t="s">
        <v>57117</v>
      </c>
      <c r="M9240" s="2" t="s">
        <v>57118</v>
      </c>
      <c r="N9240" s="2" t="s">
        <v>155</v>
      </c>
      <c r="O9240" s="4" t="s">
        <v>156</v>
      </c>
      <c r="P9240" s="2" t="s">
        <v>57119</v>
      </c>
      <c r="Q9240" s="2" t="s">
        <v>57120</v>
      </c>
      <c r="R9240" s="2" t="s">
        <v>64</v>
      </c>
      <c r="S9240" s="4" t="s">
        <v>1339</v>
      </c>
      <c r="T9240" s="2" t="s">
        <v>66</v>
      </c>
      <c r="U9240" s="4" t="s">
        <v>31</v>
      </c>
      <c r="V9240" s="2" t="s">
        <v>57121</v>
      </c>
      <c r="W9240" s="2" t="s">
        <v>57122</v>
      </c>
      <c r="X9240" s="5" t="str">
        <f>HYPERLINK("https://my.pitchbook.com?p=215172-28P","View People Online")</f>
        <v>View People Online</v>
      </c>
    </row>
    <row r="9241">
      <c r="A9241" s="14" t="s">
        <v>57123</v>
      </c>
      <c r="B9241" s="14" t="s">
        <v>57124</v>
      </c>
      <c r="C9241" s="14" t="s">
        <v>3625</v>
      </c>
      <c r="D9241" s="14" t="s">
        <v>1994</v>
      </c>
      <c r="E9241" s="14" t="s">
        <v>57115</v>
      </c>
      <c r="F9241" s="14" t="s">
        <v>114</v>
      </c>
      <c r="G9241" s="14" t="s">
        <v>57125</v>
      </c>
      <c r="H9241" s="15">
        <v>2.0</v>
      </c>
      <c r="I9241" s="15">
        <v>3.0</v>
      </c>
      <c r="J9241" s="15">
        <v>1.0</v>
      </c>
      <c r="K9241" s="15" t="s">
        <v>31</v>
      </c>
      <c r="L9241" s="16" t="s">
        <v>57126</v>
      </c>
      <c r="M9241" s="14" t="s">
        <v>31</v>
      </c>
      <c r="N9241" s="14" t="s">
        <v>7690</v>
      </c>
      <c r="O9241" s="16" t="s">
        <v>7691</v>
      </c>
      <c r="P9241" s="14" t="s">
        <v>57127</v>
      </c>
      <c r="Q9241" s="14" t="s">
        <v>57128</v>
      </c>
      <c r="R9241" s="14" t="s">
        <v>7693</v>
      </c>
      <c r="S9241" s="16" t="s">
        <v>57129</v>
      </c>
      <c r="T9241" s="14" t="s">
        <v>66</v>
      </c>
      <c r="U9241" s="16" t="s">
        <v>31</v>
      </c>
      <c r="V9241" s="14" t="s">
        <v>114</v>
      </c>
      <c r="W9241" s="14" t="s">
        <v>57115</v>
      </c>
      <c r="X9241" s="17" t="str">
        <f>HYPERLINK("https://my.pitchbook.com?p=261119-44P","View People Online")</f>
        <v>View People Online</v>
      </c>
    </row>
    <row r="9242">
      <c r="A9242" s="10" t="s">
        <v>57130</v>
      </c>
      <c r="B9242" s="10" t="s">
        <v>57131</v>
      </c>
      <c r="C9242" s="10" t="s">
        <v>160</v>
      </c>
      <c r="D9242" s="10" t="s">
        <v>57132</v>
      </c>
      <c r="E9242" s="10" t="s">
        <v>57115</v>
      </c>
      <c r="F9242" s="10" t="s">
        <v>29871</v>
      </c>
      <c r="G9242" s="10" t="s">
        <v>57133</v>
      </c>
      <c r="H9242" s="11">
        <v>1.0</v>
      </c>
      <c r="I9242" s="11">
        <v>8.0</v>
      </c>
      <c r="J9242" s="11">
        <v>1.0</v>
      </c>
      <c r="K9242" s="11">
        <v>3.0</v>
      </c>
      <c r="L9242" s="12" t="s">
        <v>57134</v>
      </c>
      <c r="M9242" s="10" t="s">
        <v>57135</v>
      </c>
      <c r="N9242" s="10" t="s">
        <v>7690</v>
      </c>
      <c r="O9242" s="12" t="s">
        <v>7691</v>
      </c>
      <c r="P9242" s="10" t="s">
        <v>57127</v>
      </c>
      <c r="Q9242" s="10" t="s">
        <v>57128</v>
      </c>
      <c r="R9242" s="10" t="s">
        <v>7693</v>
      </c>
      <c r="S9242" s="12" t="s">
        <v>57129</v>
      </c>
      <c r="T9242" s="10" t="s">
        <v>66</v>
      </c>
      <c r="U9242" s="12" t="s">
        <v>31</v>
      </c>
      <c r="V9242" s="10" t="s">
        <v>29871</v>
      </c>
      <c r="W9242" s="10" t="s">
        <v>57115</v>
      </c>
      <c r="X9242" s="13" t="str">
        <f>HYPERLINK("https://my.pitchbook.com?p=208850-68P","View People Online")</f>
        <v>View People Online</v>
      </c>
    </row>
    <row r="9243">
      <c r="A9243" s="14" t="s">
        <v>57136</v>
      </c>
      <c r="B9243" s="14" t="s">
        <v>57137</v>
      </c>
      <c r="C9243" s="14" t="s">
        <v>132</v>
      </c>
      <c r="D9243" s="14" t="s">
        <v>28682</v>
      </c>
      <c r="E9243" s="14" t="s">
        <v>57115</v>
      </c>
      <c r="F9243" s="14" t="s">
        <v>43</v>
      </c>
      <c r="G9243" s="14" t="s">
        <v>57138</v>
      </c>
      <c r="H9243" s="15">
        <v>2.0</v>
      </c>
      <c r="I9243" s="15">
        <v>9.0</v>
      </c>
      <c r="J9243" s="15">
        <v>1.0</v>
      </c>
      <c r="K9243" s="15">
        <v>4.0</v>
      </c>
      <c r="L9243" s="16" t="s">
        <v>57134</v>
      </c>
      <c r="M9243" s="14" t="s">
        <v>57139</v>
      </c>
      <c r="N9243" s="14" t="s">
        <v>7690</v>
      </c>
      <c r="O9243" s="16" t="s">
        <v>7691</v>
      </c>
      <c r="P9243" s="14" t="s">
        <v>57127</v>
      </c>
      <c r="Q9243" s="14" t="s">
        <v>57128</v>
      </c>
      <c r="R9243" s="14" t="s">
        <v>7693</v>
      </c>
      <c r="S9243" s="16" t="s">
        <v>57129</v>
      </c>
      <c r="T9243" s="14" t="s">
        <v>66</v>
      </c>
      <c r="U9243" s="16" t="s">
        <v>31</v>
      </c>
      <c r="V9243" s="14" t="s">
        <v>43</v>
      </c>
      <c r="W9243" s="14" t="s">
        <v>57115</v>
      </c>
      <c r="X9243" s="17" t="str">
        <f>HYPERLINK("https://my.pitchbook.com?p=208845-55P","View People Online")</f>
        <v>View People Online</v>
      </c>
    </row>
    <row r="9244">
      <c r="A9244" s="10" t="s">
        <v>57140</v>
      </c>
      <c r="B9244" s="10" t="s">
        <v>57141</v>
      </c>
      <c r="C9244" s="10" t="s">
        <v>934</v>
      </c>
      <c r="D9244" s="10" t="s">
        <v>3114</v>
      </c>
      <c r="E9244" s="10" t="s">
        <v>57115</v>
      </c>
      <c r="F9244" s="10" t="s">
        <v>114</v>
      </c>
      <c r="G9244" s="10" t="s">
        <v>57142</v>
      </c>
      <c r="H9244" s="11">
        <v>1.0</v>
      </c>
      <c r="I9244" s="11">
        <v>3.0</v>
      </c>
      <c r="J9244" s="11">
        <v>2.0</v>
      </c>
      <c r="K9244" s="11">
        <v>1.0</v>
      </c>
      <c r="L9244" s="12" t="s">
        <v>57143</v>
      </c>
      <c r="M9244" s="10" t="s">
        <v>57144</v>
      </c>
      <c r="N9244" s="10" t="s">
        <v>57145</v>
      </c>
      <c r="O9244" s="12" t="s">
        <v>57146</v>
      </c>
      <c r="P9244" s="10" t="s">
        <v>57147</v>
      </c>
      <c r="Q9244" s="10" t="s">
        <v>12923</v>
      </c>
      <c r="R9244" s="10" t="s">
        <v>7693</v>
      </c>
      <c r="S9244" s="12" t="s">
        <v>57148</v>
      </c>
      <c r="T9244" s="10" t="s">
        <v>66</v>
      </c>
      <c r="U9244" s="12" t="s">
        <v>31</v>
      </c>
      <c r="V9244" s="10" t="s">
        <v>6811</v>
      </c>
      <c r="W9244" s="10" t="s">
        <v>57149</v>
      </c>
      <c r="X9244" s="13" t="str">
        <f>HYPERLINK("https://my.pitchbook.com?p=113483-80P","View People Online")</f>
        <v>View People Online</v>
      </c>
    </row>
    <row r="9245">
      <c r="A9245" s="14" t="s">
        <v>57150</v>
      </c>
      <c r="B9245" s="14" t="s">
        <v>57151</v>
      </c>
      <c r="C9245" s="14" t="s">
        <v>57152</v>
      </c>
      <c r="D9245" s="14" t="s">
        <v>27348</v>
      </c>
      <c r="E9245" s="14" t="s">
        <v>57115</v>
      </c>
      <c r="F9245" s="14" t="s">
        <v>86</v>
      </c>
      <c r="G9245" s="14" t="s">
        <v>57153</v>
      </c>
      <c r="H9245" s="15">
        <v>4.0</v>
      </c>
      <c r="I9245" s="15">
        <v>24.0</v>
      </c>
      <c r="J9245" s="15">
        <v>1.0</v>
      </c>
      <c r="K9245" s="15">
        <v>14.0</v>
      </c>
      <c r="L9245" s="16" t="s">
        <v>57134</v>
      </c>
      <c r="M9245" s="14" t="s">
        <v>57154</v>
      </c>
      <c r="N9245" s="14" t="s">
        <v>7690</v>
      </c>
      <c r="O9245" s="16" t="s">
        <v>7691</v>
      </c>
      <c r="P9245" s="14" t="s">
        <v>57127</v>
      </c>
      <c r="Q9245" s="14" t="s">
        <v>57128</v>
      </c>
      <c r="R9245" s="14" t="s">
        <v>7693</v>
      </c>
      <c r="S9245" s="16" t="s">
        <v>57129</v>
      </c>
      <c r="T9245" s="14" t="s">
        <v>66</v>
      </c>
      <c r="U9245" s="16" t="s">
        <v>31</v>
      </c>
      <c r="V9245" s="14" t="s">
        <v>86</v>
      </c>
      <c r="W9245" s="14" t="s">
        <v>57115</v>
      </c>
      <c r="X9245" s="17" t="str">
        <f>HYPERLINK("https://my.pitchbook.com?p=86989-60P","View People Online")</f>
        <v>View People Online</v>
      </c>
    </row>
    <row r="9246">
      <c r="A9246" s="10" t="s">
        <v>57155</v>
      </c>
      <c r="B9246" s="10" t="s">
        <v>57156</v>
      </c>
      <c r="C9246" s="10" t="s">
        <v>57157</v>
      </c>
      <c r="D9246" s="10" t="s">
        <v>57158</v>
      </c>
      <c r="E9246" s="10" t="s">
        <v>47611</v>
      </c>
      <c r="F9246" s="10" t="s">
        <v>1801</v>
      </c>
      <c r="G9246" s="10" t="s">
        <v>57159</v>
      </c>
      <c r="H9246" s="11" t="s">
        <v>31</v>
      </c>
      <c r="I9246" s="11">
        <v>1.0</v>
      </c>
      <c r="J9246" s="11">
        <v>1.0</v>
      </c>
      <c r="K9246" s="11" t="s">
        <v>31</v>
      </c>
      <c r="L9246" s="12" t="s">
        <v>57160</v>
      </c>
      <c r="M9246" s="10" t="s">
        <v>57161</v>
      </c>
      <c r="N9246" s="10" t="s">
        <v>57162</v>
      </c>
      <c r="O9246" s="12" t="s">
        <v>57163</v>
      </c>
      <c r="P9246" s="10" t="s">
        <v>57164</v>
      </c>
      <c r="Q9246" s="10" t="s">
        <v>31</v>
      </c>
      <c r="R9246" s="10" t="s">
        <v>31</v>
      </c>
      <c r="S9246" s="12" t="s">
        <v>57165</v>
      </c>
      <c r="T9246" s="10" t="s">
        <v>796</v>
      </c>
      <c r="U9246" s="12" t="s">
        <v>31</v>
      </c>
      <c r="V9246" s="10" t="s">
        <v>57166</v>
      </c>
      <c r="W9246" s="10" t="s">
        <v>47611</v>
      </c>
      <c r="X9246" s="13" t="str">
        <f>HYPERLINK("https://my.pitchbook.com?p=275686-03P","View People Online")</f>
        <v>View People Online</v>
      </c>
    </row>
    <row r="9247">
      <c r="A9247" s="6" t="s">
        <v>57167</v>
      </c>
      <c r="B9247" s="6" t="s">
        <v>57168</v>
      </c>
      <c r="C9247" s="6" t="s">
        <v>8155</v>
      </c>
      <c r="D9247" s="6" t="s">
        <v>57169</v>
      </c>
      <c r="E9247" s="6" t="s">
        <v>47611</v>
      </c>
      <c r="F9247" s="6" t="s">
        <v>371</v>
      </c>
      <c r="G9247" s="6" t="s">
        <v>57170</v>
      </c>
      <c r="H9247" s="7" t="s">
        <v>31</v>
      </c>
      <c r="I9247" s="7">
        <v>1.0</v>
      </c>
      <c r="J9247" s="7">
        <v>1.0</v>
      </c>
      <c r="K9247" s="7" t="s">
        <v>31</v>
      </c>
      <c r="L9247" s="8" t="s">
        <v>57160</v>
      </c>
      <c r="M9247" s="6" t="s">
        <v>57171</v>
      </c>
      <c r="N9247" s="6" t="s">
        <v>57162</v>
      </c>
      <c r="O9247" s="8" t="s">
        <v>57163</v>
      </c>
      <c r="P9247" s="6" t="s">
        <v>57164</v>
      </c>
      <c r="Q9247" s="6" t="s">
        <v>31</v>
      </c>
      <c r="R9247" s="6" t="s">
        <v>31</v>
      </c>
      <c r="S9247" s="8" t="s">
        <v>57165</v>
      </c>
      <c r="T9247" s="6" t="s">
        <v>796</v>
      </c>
      <c r="U9247" s="8" t="s">
        <v>31</v>
      </c>
      <c r="V9247" s="6" t="s">
        <v>57172</v>
      </c>
      <c r="W9247" s="6" t="s">
        <v>47611</v>
      </c>
      <c r="X9247" s="9" t="str">
        <f>HYPERLINK("https://my.pitchbook.com?p=275685-40P","View People Online")</f>
        <v>View People Online</v>
      </c>
    </row>
    <row r="9248">
      <c r="A9248" s="2" t="s">
        <v>57173</v>
      </c>
      <c r="B9248" s="2" t="s">
        <v>57174</v>
      </c>
      <c r="C9248" s="2" t="s">
        <v>1117</v>
      </c>
      <c r="D9248" s="2" t="s">
        <v>39474</v>
      </c>
      <c r="E9248" s="2" t="s">
        <v>47611</v>
      </c>
      <c r="F9248" s="2" t="s">
        <v>32829</v>
      </c>
      <c r="G9248" s="2" t="s">
        <v>57175</v>
      </c>
      <c r="H9248" s="3">
        <v>1.0</v>
      </c>
      <c r="I9248" s="3">
        <v>2.0</v>
      </c>
      <c r="J9248" s="3">
        <v>1.0</v>
      </c>
      <c r="K9248" s="3">
        <v>1.0</v>
      </c>
      <c r="L9248" s="4" t="s">
        <v>57176</v>
      </c>
      <c r="M9248" s="2" t="s">
        <v>31</v>
      </c>
      <c r="N9248" s="2" t="s">
        <v>243</v>
      </c>
      <c r="O9248" s="4" t="s">
        <v>244</v>
      </c>
      <c r="P9248" s="2" t="s">
        <v>57177</v>
      </c>
      <c r="Q9248" s="2" t="s">
        <v>31</v>
      </c>
      <c r="R9248" s="2" t="s">
        <v>247</v>
      </c>
      <c r="S9248" s="4" t="s">
        <v>57178</v>
      </c>
      <c r="T9248" s="2" t="s">
        <v>249</v>
      </c>
      <c r="U9248" s="4" t="s">
        <v>31</v>
      </c>
      <c r="V9248" s="2" t="s">
        <v>1252</v>
      </c>
      <c r="W9248" s="2" t="s">
        <v>57179</v>
      </c>
      <c r="X9248" s="5" t="str">
        <f>HYPERLINK("https://my.pitchbook.com?p=76232-80P","View People Online")</f>
        <v>View People Online</v>
      </c>
    </row>
    <row r="9249">
      <c r="A9249" s="14" t="s">
        <v>57180</v>
      </c>
      <c r="B9249" s="14" t="s">
        <v>57181</v>
      </c>
      <c r="C9249" s="14" t="s">
        <v>23660</v>
      </c>
      <c r="D9249" s="14" t="s">
        <v>57182</v>
      </c>
      <c r="E9249" s="14" t="s">
        <v>47611</v>
      </c>
      <c r="F9249" s="14" t="s">
        <v>44736</v>
      </c>
      <c r="G9249" s="14" t="s">
        <v>57183</v>
      </c>
      <c r="H9249" s="15" t="s">
        <v>31</v>
      </c>
      <c r="I9249" s="15">
        <v>1.0</v>
      </c>
      <c r="J9249" s="15">
        <v>1.0</v>
      </c>
      <c r="K9249" s="15" t="s">
        <v>31</v>
      </c>
      <c r="L9249" s="16" t="s">
        <v>57160</v>
      </c>
      <c r="M9249" s="14" t="s">
        <v>57184</v>
      </c>
      <c r="N9249" s="14" t="s">
        <v>57162</v>
      </c>
      <c r="O9249" s="16" t="s">
        <v>57163</v>
      </c>
      <c r="P9249" s="14" t="s">
        <v>57164</v>
      </c>
      <c r="Q9249" s="14" t="s">
        <v>31</v>
      </c>
      <c r="R9249" s="14" t="s">
        <v>31</v>
      </c>
      <c r="S9249" s="16" t="s">
        <v>57165</v>
      </c>
      <c r="T9249" s="14" t="s">
        <v>796</v>
      </c>
      <c r="U9249" s="16" t="s">
        <v>31</v>
      </c>
      <c r="V9249" s="14" t="s">
        <v>57185</v>
      </c>
      <c r="W9249" s="14" t="s">
        <v>47611</v>
      </c>
      <c r="X9249" s="17" t="str">
        <f>HYPERLINK("https://my.pitchbook.com?p=90983-44P","View People Online")</f>
        <v>View People Online</v>
      </c>
    </row>
    <row r="9250">
      <c r="A9250" s="2" t="s">
        <v>57186</v>
      </c>
      <c r="B9250" s="2" t="s">
        <v>57187</v>
      </c>
      <c r="C9250" s="2" t="s">
        <v>5205</v>
      </c>
      <c r="D9250" s="2" t="s">
        <v>57188</v>
      </c>
      <c r="E9250" s="2" t="s">
        <v>47611</v>
      </c>
      <c r="F9250" s="2" t="s">
        <v>312</v>
      </c>
      <c r="G9250" s="2" t="s">
        <v>57189</v>
      </c>
      <c r="H9250" s="3" t="s">
        <v>31</v>
      </c>
      <c r="I9250" s="3">
        <v>1.0</v>
      </c>
      <c r="J9250" s="3">
        <v>1.0</v>
      </c>
      <c r="K9250" s="3" t="s">
        <v>31</v>
      </c>
      <c r="L9250" s="4" t="s">
        <v>57160</v>
      </c>
      <c r="M9250" s="2" t="s">
        <v>57190</v>
      </c>
      <c r="N9250" s="2" t="s">
        <v>57162</v>
      </c>
      <c r="O9250" s="4" t="s">
        <v>57163</v>
      </c>
      <c r="P9250" s="2" t="s">
        <v>57164</v>
      </c>
      <c r="Q9250" s="2" t="s">
        <v>31</v>
      </c>
      <c r="R9250" s="2" t="s">
        <v>31</v>
      </c>
      <c r="S9250" s="4" t="s">
        <v>57165</v>
      </c>
      <c r="T9250" s="2" t="s">
        <v>796</v>
      </c>
      <c r="U9250" s="4" t="s">
        <v>31</v>
      </c>
      <c r="V9250" s="2" t="s">
        <v>57191</v>
      </c>
      <c r="W9250" s="2" t="s">
        <v>47611</v>
      </c>
      <c r="X9250" s="5" t="str">
        <f>HYPERLINK("https://my.pitchbook.com?p=141489-19P","View People Online")</f>
        <v>View People Online</v>
      </c>
    </row>
    <row r="9251">
      <c r="A9251" s="14" t="s">
        <v>57192</v>
      </c>
      <c r="B9251" s="14" t="s">
        <v>57193</v>
      </c>
      <c r="C9251" s="14" t="s">
        <v>57194</v>
      </c>
      <c r="D9251" s="14" t="s">
        <v>16836</v>
      </c>
      <c r="E9251" s="14" t="s">
        <v>47611</v>
      </c>
      <c r="F9251" s="14" t="s">
        <v>502</v>
      </c>
      <c r="G9251" s="14" t="s">
        <v>57195</v>
      </c>
      <c r="H9251" s="15" t="s">
        <v>31</v>
      </c>
      <c r="I9251" s="15">
        <v>1.0</v>
      </c>
      <c r="J9251" s="15">
        <v>1.0</v>
      </c>
      <c r="K9251" s="15" t="s">
        <v>31</v>
      </c>
      <c r="L9251" s="16" t="s">
        <v>57160</v>
      </c>
      <c r="M9251" s="14" t="s">
        <v>57196</v>
      </c>
      <c r="N9251" s="14" t="s">
        <v>57162</v>
      </c>
      <c r="O9251" s="16" t="s">
        <v>57163</v>
      </c>
      <c r="P9251" s="14" t="s">
        <v>57164</v>
      </c>
      <c r="Q9251" s="14" t="s">
        <v>31</v>
      </c>
      <c r="R9251" s="14" t="s">
        <v>31</v>
      </c>
      <c r="S9251" s="16" t="s">
        <v>57165</v>
      </c>
      <c r="T9251" s="14" t="s">
        <v>796</v>
      </c>
      <c r="U9251" s="16" t="s">
        <v>31</v>
      </c>
      <c r="V9251" s="14" t="s">
        <v>57197</v>
      </c>
      <c r="W9251" s="14" t="s">
        <v>47611</v>
      </c>
      <c r="X9251" s="17" t="str">
        <f>HYPERLINK("https://my.pitchbook.com?p=90969-04P","View People Online")</f>
        <v>View People Online</v>
      </c>
    </row>
    <row r="9252">
      <c r="A9252" s="10" t="s">
        <v>57198</v>
      </c>
      <c r="B9252" s="10" t="s">
        <v>57199</v>
      </c>
      <c r="C9252" s="10" t="s">
        <v>4858</v>
      </c>
      <c r="D9252" s="10" t="s">
        <v>57200</v>
      </c>
      <c r="E9252" s="10" t="s">
        <v>47611</v>
      </c>
      <c r="F9252" s="10" t="s">
        <v>270</v>
      </c>
      <c r="G9252" s="10" t="s">
        <v>57201</v>
      </c>
      <c r="H9252" s="11" t="s">
        <v>31</v>
      </c>
      <c r="I9252" s="11">
        <v>1.0</v>
      </c>
      <c r="J9252" s="11">
        <v>1.0</v>
      </c>
      <c r="K9252" s="11" t="s">
        <v>31</v>
      </c>
      <c r="L9252" s="12" t="s">
        <v>57160</v>
      </c>
      <c r="M9252" s="10" t="s">
        <v>57202</v>
      </c>
      <c r="N9252" s="10" t="s">
        <v>57162</v>
      </c>
      <c r="O9252" s="12" t="s">
        <v>57163</v>
      </c>
      <c r="P9252" s="10" t="s">
        <v>57164</v>
      </c>
      <c r="Q9252" s="10" t="s">
        <v>31</v>
      </c>
      <c r="R9252" s="10" t="s">
        <v>31</v>
      </c>
      <c r="S9252" s="12" t="s">
        <v>57165</v>
      </c>
      <c r="T9252" s="10" t="s">
        <v>796</v>
      </c>
      <c r="U9252" s="12" t="s">
        <v>31</v>
      </c>
      <c r="V9252" s="10" t="s">
        <v>57203</v>
      </c>
      <c r="W9252" s="10" t="s">
        <v>47611</v>
      </c>
      <c r="X9252" s="13" t="str">
        <f>HYPERLINK("https://my.pitchbook.com?p=90962-56P","View People Online")</f>
        <v>View People Online</v>
      </c>
    </row>
    <row r="9253">
      <c r="A9253" s="14" t="s">
        <v>57204</v>
      </c>
      <c r="B9253" s="14" t="s">
        <v>57205</v>
      </c>
      <c r="C9253" s="14" t="s">
        <v>57206</v>
      </c>
      <c r="D9253" s="14" t="s">
        <v>57207</v>
      </c>
      <c r="E9253" s="14" t="s">
        <v>47611</v>
      </c>
      <c r="F9253" s="14" t="s">
        <v>548</v>
      </c>
      <c r="G9253" s="14" t="s">
        <v>57208</v>
      </c>
      <c r="H9253" s="15" t="s">
        <v>31</v>
      </c>
      <c r="I9253" s="15">
        <v>1.0</v>
      </c>
      <c r="J9253" s="15">
        <v>1.0</v>
      </c>
      <c r="K9253" s="15" t="s">
        <v>31</v>
      </c>
      <c r="L9253" s="16" t="s">
        <v>57160</v>
      </c>
      <c r="M9253" s="14" t="s">
        <v>57209</v>
      </c>
      <c r="N9253" s="14" t="s">
        <v>57162</v>
      </c>
      <c r="O9253" s="16" t="s">
        <v>57163</v>
      </c>
      <c r="P9253" s="14" t="s">
        <v>57164</v>
      </c>
      <c r="Q9253" s="14" t="s">
        <v>31</v>
      </c>
      <c r="R9253" s="14" t="s">
        <v>31</v>
      </c>
      <c r="S9253" s="16" t="s">
        <v>57165</v>
      </c>
      <c r="T9253" s="14" t="s">
        <v>796</v>
      </c>
      <c r="U9253" s="16" t="s">
        <v>31</v>
      </c>
      <c r="V9253" s="14" t="s">
        <v>57210</v>
      </c>
      <c r="W9253" s="14" t="s">
        <v>47611</v>
      </c>
      <c r="X9253" s="17" t="str">
        <f>HYPERLINK("https://my.pitchbook.com?p=90977-05P","View People Online")</f>
        <v>View People Online</v>
      </c>
    </row>
    <row r="9254">
      <c r="A9254" s="10" t="s">
        <v>57211</v>
      </c>
      <c r="B9254" s="10" t="s">
        <v>57212</v>
      </c>
      <c r="C9254" s="10" t="s">
        <v>57213</v>
      </c>
      <c r="D9254" s="10" t="s">
        <v>57214</v>
      </c>
      <c r="E9254" s="10" t="s">
        <v>47611</v>
      </c>
      <c r="F9254" s="10" t="s">
        <v>9653</v>
      </c>
      <c r="G9254" s="10" t="s">
        <v>57215</v>
      </c>
      <c r="H9254" s="11" t="s">
        <v>31</v>
      </c>
      <c r="I9254" s="11">
        <v>2.0</v>
      </c>
      <c r="J9254" s="11">
        <v>1.0</v>
      </c>
      <c r="K9254" s="11">
        <v>1.0</v>
      </c>
      <c r="L9254" s="12" t="s">
        <v>57176</v>
      </c>
      <c r="M9254" s="10" t="s">
        <v>31</v>
      </c>
      <c r="N9254" s="10" t="s">
        <v>243</v>
      </c>
      <c r="O9254" s="12" t="s">
        <v>244</v>
      </c>
      <c r="P9254" s="10" t="s">
        <v>57177</v>
      </c>
      <c r="Q9254" s="10" t="s">
        <v>31</v>
      </c>
      <c r="R9254" s="10" t="s">
        <v>247</v>
      </c>
      <c r="S9254" s="12" t="s">
        <v>57178</v>
      </c>
      <c r="T9254" s="10" t="s">
        <v>249</v>
      </c>
      <c r="U9254" s="12" t="s">
        <v>31</v>
      </c>
      <c r="V9254" s="10" t="s">
        <v>57216</v>
      </c>
      <c r="W9254" s="10" t="s">
        <v>47611</v>
      </c>
      <c r="X9254" s="13" t="str">
        <f>HYPERLINK("https://my.pitchbook.com?p=442643-77P","View People Online")</f>
        <v>View People Online</v>
      </c>
    </row>
    <row r="9255">
      <c r="A9255" s="14" t="s">
        <v>57217</v>
      </c>
      <c r="B9255" s="14" t="s">
        <v>57218</v>
      </c>
      <c r="C9255" s="14" t="s">
        <v>285</v>
      </c>
      <c r="D9255" s="14" t="s">
        <v>30892</v>
      </c>
      <c r="E9255" s="14" t="s">
        <v>47611</v>
      </c>
      <c r="F9255" s="14" t="s">
        <v>825</v>
      </c>
      <c r="G9255" s="14" t="s">
        <v>57219</v>
      </c>
      <c r="H9255" s="15" t="s">
        <v>31</v>
      </c>
      <c r="I9255" s="15">
        <v>1.0</v>
      </c>
      <c r="J9255" s="15">
        <v>1.0</v>
      </c>
      <c r="K9255" s="15" t="s">
        <v>31</v>
      </c>
      <c r="L9255" s="16" t="s">
        <v>57176</v>
      </c>
      <c r="M9255" s="14" t="s">
        <v>57220</v>
      </c>
      <c r="N9255" s="14" t="s">
        <v>243</v>
      </c>
      <c r="O9255" s="16" t="s">
        <v>244</v>
      </c>
      <c r="P9255" s="14" t="s">
        <v>57177</v>
      </c>
      <c r="Q9255" s="14" t="s">
        <v>31</v>
      </c>
      <c r="R9255" s="14" t="s">
        <v>247</v>
      </c>
      <c r="S9255" s="16" t="s">
        <v>57178</v>
      </c>
      <c r="T9255" s="14" t="s">
        <v>249</v>
      </c>
      <c r="U9255" s="16" t="s">
        <v>31</v>
      </c>
      <c r="V9255" s="14" t="s">
        <v>57221</v>
      </c>
      <c r="W9255" s="14" t="s">
        <v>47611</v>
      </c>
      <c r="X9255" s="17" t="str">
        <f>HYPERLINK("https://my.pitchbook.com?p=449694-91P","View People Online")</f>
        <v>View People Online</v>
      </c>
    </row>
    <row r="9256">
      <c r="A9256" s="10" t="s">
        <v>57222</v>
      </c>
      <c r="B9256" s="10" t="s">
        <v>57223</v>
      </c>
      <c r="C9256" s="10" t="s">
        <v>84</v>
      </c>
      <c r="D9256" s="10" t="s">
        <v>4526</v>
      </c>
      <c r="E9256" s="10" t="s">
        <v>47611</v>
      </c>
      <c r="F9256" s="10" t="s">
        <v>270</v>
      </c>
      <c r="G9256" s="10" t="s">
        <v>57224</v>
      </c>
      <c r="H9256" s="11" t="s">
        <v>31</v>
      </c>
      <c r="I9256" s="11">
        <v>1.0</v>
      </c>
      <c r="J9256" s="11">
        <v>1.0</v>
      </c>
      <c r="K9256" s="11" t="s">
        <v>31</v>
      </c>
      <c r="L9256" s="12" t="s">
        <v>57160</v>
      </c>
      <c r="M9256" s="10" t="s">
        <v>57225</v>
      </c>
      <c r="N9256" s="10" t="s">
        <v>57162</v>
      </c>
      <c r="O9256" s="12" t="s">
        <v>57163</v>
      </c>
      <c r="P9256" s="10" t="s">
        <v>57164</v>
      </c>
      <c r="Q9256" s="10" t="s">
        <v>31</v>
      </c>
      <c r="R9256" s="10" t="s">
        <v>31</v>
      </c>
      <c r="S9256" s="12" t="s">
        <v>57165</v>
      </c>
      <c r="T9256" s="10" t="s">
        <v>796</v>
      </c>
      <c r="U9256" s="12" t="s">
        <v>31</v>
      </c>
      <c r="V9256" s="10" t="s">
        <v>57226</v>
      </c>
      <c r="W9256" s="10" t="s">
        <v>47611</v>
      </c>
      <c r="X9256" s="13" t="str">
        <f>HYPERLINK("https://my.pitchbook.com?p=275686-66P","View People Online")</f>
        <v>View People Online</v>
      </c>
    </row>
    <row r="9257">
      <c r="A9257" s="6" t="s">
        <v>57227</v>
      </c>
      <c r="B9257" s="6" t="s">
        <v>57228</v>
      </c>
      <c r="C9257" s="6" t="s">
        <v>7978</v>
      </c>
      <c r="D9257" s="6" t="s">
        <v>1147</v>
      </c>
      <c r="E9257" s="6" t="s">
        <v>47611</v>
      </c>
      <c r="F9257" s="6" t="s">
        <v>1801</v>
      </c>
      <c r="G9257" s="6" t="s">
        <v>57229</v>
      </c>
      <c r="H9257" s="7" t="s">
        <v>31</v>
      </c>
      <c r="I9257" s="7">
        <v>1.0</v>
      </c>
      <c r="J9257" s="7">
        <v>1.0</v>
      </c>
      <c r="K9257" s="7" t="s">
        <v>31</v>
      </c>
      <c r="L9257" s="8" t="s">
        <v>57176</v>
      </c>
      <c r="M9257" s="6" t="s">
        <v>57230</v>
      </c>
      <c r="N9257" s="6" t="s">
        <v>243</v>
      </c>
      <c r="O9257" s="8" t="s">
        <v>244</v>
      </c>
      <c r="P9257" s="6" t="s">
        <v>57177</v>
      </c>
      <c r="Q9257" s="6" t="s">
        <v>31</v>
      </c>
      <c r="R9257" s="6" t="s">
        <v>247</v>
      </c>
      <c r="S9257" s="8" t="s">
        <v>57178</v>
      </c>
      <c r="T9257" s="6" t="s">
        <v>249</v>
      </c>
      <c r="U9257" s="8" t="s">
        <v>31</v>
      </c>
      <c r="V9257" s="6" t="s">
        <v>57231</v>
      </c>
      <c r="W9257" s="6" t="s">
        <v>47611</v>
      </c>
      <c r="X9257" s="9" t="str">
        <f>HYPERLINK("https://my.pitchbook.com?p=433242-82P","View People Online")</f>
        <v>View People Online</v>
      </c>
    </row>
    <row r="9258">
      <c r="A9258" s="10" t="s">
        <v>57232</v>
      </c>
      <c r="B9258" s="10" t="s">
        <v>57233</v>
      </c>
      <c r="C9258" s="10" t="s">
        <v>1449</v>
      </c>
      <c r="D9258" s="10" t="s">
        <v>57234</v>
      </c>
      <c r="E9258" s="10" t="s">
        <v>47611</v>
      </c>
      <c r="F9258" s="10" t="s">
        <v>1801</v>
      </c>
      <c r="G9258" s="10" t="s">
        <v>57235</v>
      </c>
      <c r="H9258" s="11" t="s">
        <v>31</v>
      </c>
      <c r="I9258" s="11">
        <v>1.0</v>
      </c>
      <c r="J9258" s="11">
        <v>1.0</v>
      </c>
      <c r="K9258" s="11" t="s">
        <v>31</v>
      </c>
      <c r="L9258" s="12" t="s">
        <v>31</v>
      </c>
      <c r="M9258" s="10" t="s">
        <v>57236</v>
      </c>
      <c r="N9258" s="10" t="s">
        <v>15993</v>
      </c>
      <c r="O9258" s="12" t="s">
        <v>15994</v>
      </c>
      <c r="P9258" s="10" t="s">
        <v>31</v>
      </c>
      <c r="Q9258" s="10" t="s">
        <v>31</v>
      </c>
      <c r="R9258" s="10" t="s">
        <v>15997</v>
      </c>
      <c r="S9258" s="12" t="s">
        <v>31</v>
      </c>
      <c r="T9258" s="10" t="s">
        <v>1019</v>
      </c>
      <c r="U9258" s="12" t="s">
        <v>31</v>
      </c>
      <c r="V9258" s="10" t="s">
        <v>57237</v>
      </c>
      <c r="W9258" s="10" t="s">
        <v>47611</v>
      </c>
      <c r="X9258" s="13" t="str">
        <f>HYPERLINK("https://my.pitchbook.com?p=178347-61P","View People Online")</f>
        <v>View People Online</v>
      </c>
    </row>
    <row r="9259">
      <c r="A9259" s="14" t="s">
        <v>57238</v>
      </c>
      <c r="B9259" s="14" t="s">
        <v>57239</v>
      </c>
      <c r="C9259" s="14" t="s">
        <v>1449</v>
      </c>
      <c r="D9259" s="14" t="s">
        <v>57240</v>
      </c>
      <c r="E9259" s="14" t="s">
        <v>47611</v>
      </c>
      <c r="F9259" s="14" t="s">
        <v>1801</v>
      </c>
      <c r="G9259" s="14" t="s">
        <v>57241</v>
      </c>
      <c r="H9259" s="15" t="s">
        <v>31</v>
      </c>
      <c r="I9259" s="15">
        <v>3.0</v>
      </c>
      <c r="J9259" s="15">
        <v>1.0</v>
      </c>
      <c r="K9259" s="15">
        <v>2.0</v>
      </c>
      <c r="L9259" s="16" t="s">
        <v>57160</v>
      </c>
      <c r="M9259" s="14" t="s">
        <v>57242</v>
      </c>
      <c r="N9259" s="14" t="s">
        <v>57162</v>
      </c>
      <c r="O9259" s="16" t="s">
        <v>57163</v>
      </c>
      <c r="P9259" s="14" t="s">
        <v>57164</v>
      </c>
      <c r="Q9259" s="14" t="s">
        <v>31</v>
      </c>
      <c r="R9259" s="14" t="s">
        <v>31</v>
      </c>
      <c r="S9259" s="16" t="s">
        <v>57165</v>
      </c>
      <c r="T9259" s="14" t="s">
        <v>796</v>
      </c>
      <c r="U9259" s="16" t="s">
        <v>31</v>
      </c>
      <c r="V9259" s="14" t="s">
        <v>57243</v>
      </c>
      <c r="W9259" s="14" t="s">
        <v>47611</v>
      </c>
      <c r="X9259" s="17" t="str">
        <f>HYPERLINK("https://my.pitchbook.com?p=34511-68P","View People Online")</f>
        <v>View People Online</v>
      </c>
    </row>
    <row r="9260">
      <c r="A9260" s="2" t="s">
        <v>57244</v>
      </c>
      <c r="B9260" s="2" t="s">
        <v>57245</v>
      </c>
      <c r="C9260" s="2" t="s">
        <v>1449</v>
      </c>
      <c r="D9260" s="2" t="s">
        <v>57246</v>
      </c>
      <c r="E9260" s="2" t="s">
        <v>47611</v>
      </c>
      <c r="F9260" s="2" t="s">
        <v>3600</v>
      </c>
      <c r="G9260" s="2" t="s">
        <v>57247</v>
      </c>
      <c r="H9260" s="3" t="s">
        <v>31</v>
      </c>
      <c r="I9260" s="3">
        <v>1.0</v>
      </c>
      <c r="J9260" s="3">
        <v>1.0</v>
      </c>
      <c r="K9260" s="3" t="s">
        <v>31</v>
      </c>
      <c r="L9260" s="4" t="s">
        <v>57160</v>
      </c>
      <c r="M9260" s="2" t="s">
        <v>57248</v>
      </c>
      <c r="N9260" s="2" t="s">
        <v>57162</v>
      </c>
      <c r="O9260" s="4" t="s">
        <v>57163</v>
      </c>
      <c r="P9260" s="2" t="s">
        <v>57164</v>
      </c>
      <c r="Q9260" s="2" t="s">
        <v>31</v>
      </c>
      <c r="R9260" s="2" t="s">
        <v>31</v>
      </c>
      <c r="S9260" s="4" t="s">
        <v>57165</v>
      </c>
      <c r="T9260" s="2" t="s">
        <v>796</v>
      </c>
      <c r="U9260" s="4" t="s">
        <v>31</v>
      </c>
      <c r="V9260" s="2" t="s">
        <v>57249</v>
      </c>
      <c r="W9260" s="2" t="s">
        <v>47611</v>
      </c>
      <c r="X9260" s="5" t="str">
        <f>HYPERLINK("https://my.pitchbook.com?p=91026-55P","View People Online")</f>
        <v>View People Online</v>
      </c>
    </row>
    <row r="9261">
      <c r="A9261" s="6" t="s">
        <v>57250</v>
      </c>
      <c r="B9261" s="6" t="s">
        <v>57251</v>
      </c>
      <c r="C9261" s="6" t="s">
        <v>57252</v>
      </c>
      <c r="D9261" s="6" t="s">
        <v>57253</v>
      </c>
      <c r="E9261" s="6" t="s">
        <v>47611</v>
      </c>
      <c r="F9261" s="6" t="s">
        <v>825</v>
      </c>
      <c r="G9261" s="6" t="s">
        <v>57254</v>
      </c>
      <c r="H9261" s="7" t="s">
        <v>31</v>
      </c>
      <c r="I9261" s="7">
        <v>1.0</v>
      </c>
      <c r="J9261" s="7">
        <v>1.0</v>
      </c>
      <c r="K9261" s="7" t="s">
        <v>31</v>
      </c>
      <c r="L9261" s="8" t="s">
        <v>31</v>
      </c>
      <c r="M9261" s="6" t="s">
        <v>57255</v>
      </c>
      <c r="N9261" s="6" t="s">
        <v>15993</v>
      </c>
      <c r="O9261" s="8" t="s">
        <v>15994</v>
      </c>
      <c r="P9261" s="6" t="s">
        <v>31</v>
      </c>
      <c r="Q9261" s="6" t="s">
        <v>31</v>
      </c>
      <c r="R9261" s="6" t="s">
        <v>15997</v>
      </c>
      <c r="S9261" s="8" t="s">
        <v>31</v>
      </c>
      <c r="T9261" s="6" t="s">
        <v>1019</v>
      </c>
      <c r="U9261" s="8" t="s">
        <v>31</v>
      </c>
      <c r="V9261" s="6" t="s">
        <v>57256</v>
      </c>
      <c r="W9261" s="6" t="s">
        <v>47611</v>
      </c>
      <c r="X9261" s="9" t="str">
        <f>HYPERLINK("https://my.pitchbook.com?p=178357-69P","View People Online")</f>
        <v>View People Online</v>
      </c>
    </row>
    <row r="9262">
      <c r="A9262" s="10" t="s">
        <v>57257</v>
      </c>
      <c r="B9262" s="10" t="s">
        <v>57258</v>
      </c>
      <c r="C9262" s="10" t="s">
        <v>57259</v>
      </c>
      <c r="D9262" s="10" t="s">
        <v>4819</v>
      </c>
      <c r="E9262" s="10" t="s">
        <v>47611</v>
      </c>
      <c r="F9262" s="10" t="s">
        <v>825</v>
      </c>
      <c r="G9262" s="10" t="s">
        <v>57260</v>
      </c>
      <c r="H9262" s="11">
        <v>1.0</v>
      </c>
      <c r="I9262" s="11">
        <v>3.0</v>
      </c>
      <c r="J9262" s="11">
        <v>1.0</v>
      </c>
      <c r="K9262" s="11">
        <v>1.0</v>
      </c>
      <c r="L9262" s="12" t="s">
        <v>57176</v>
      </c>
      <c r="M9262" s="10" t="s">
        <v>57261</v>
      </c>
      <c r="N9262" s="10" t="s">
        <v>243</v>
      </c>
      <c r="O9262" s="12" t="s">
        <v>244</v>
      </c>
      <c r="P9262" s="10" t="s">
        <v>57177</v>
      </c>
      <c r="Q9262" s="10" t="s">
        <v>31</v>
      </c>
      <c r="R9262" s="10" t="s">
        <v>247</v>
      </c>
      <c r="S9262" s="12" t="s">
        <v>57178</v>
      </c>
      <c r="T9262" s="10" t="s">
        <v>249</v>
      </c>
      <c r="U9262" s="12" t="s">
        <v>31</v>
      </c>
      <c r="V9262" s="10" t="s">
        <v>57262</v>
      </c>
      <c r="W9262" s="10" t="s">
        <v>47611</v>
      </c>
      <c r="X9262" s="13" t="str">
        <f>HYPERLINK("https://my.pitchbook.com?p=321605-02P","View People Online")</f>
        <v>View People Online</v>
      </c>
    </row>
    <row r="9263">
      <c r="A9263" s="6" t="s">
        <v>57263</v>
      </c>
      <c r="B9263" s="6" t="s">
        <v>57264</v>
      </c>
      <c r="C9263" s="6" t="s">
        <v>16084</v>
      </c>
      <c r="D9263" s="6" t="s">
        <v>57265</v>
      </c>
      <c r="E9263" s="6" t="s">
        <v>47611</v>
      </c>
      <c r="F9263" s="6" t="s">
        <v>4600</v>
      </c>
      <c r="G9263" s="6" t="s">
        <v>57266</v>
      </c>
      <c r="H9263" s="7" t="s">
        <v>31</v>
      </c>
      <c r="I9263" s="7">
        <v>1.0</v>
      </c>
      <c r="J9263" s="7">
        <v>1.0</v>
      </c>
      <c r="K9263" s="7" t="s">
        <v>31</v>
      </c>
      <c r="L9263" s="8" t="s">
        <v>57160</v>
      </c>
      <c r="M9263" s="6" t="s">
        <v>57267</v>
      </c>
      <c r="N9263" s="6" t="s">
        <v>57162</v>
      </c>
      <c r="O9263" s="8" t="s">
        <v>57163</v>
      </c>
      <c r="P9263" s="6" t="s">
        <v>57164</v>
      </c>
      <c r="Q9263" s="6" t="s">
        <v>31</v>
      </c>
      <c r="R9263" s="6" t="s">
        <v>31</v>
      </c>
      <c r="S9263" s="8" t="s">
        <v>57165</v>
      </c>
      <c r="T9263" s="6" t="s">
        <v>796</v>
      </c>
      <c r="U9263" s="8" t="s">
        <v>31</v>
      </c>
      <c r="V9263" s="6" t="s">
        <v>57268</v>
      </c>
      <c r="W9263" s="6" t="s">
        <v>47611</v>
      </c>
      <c r="X9263" s="9" t="str">
        <f>HYPERLINK("https://my.pitchbook.com?p=275685-22P","View People Online")</f>
        <v>View People Online</v>
      </c>
    </row>
    <row r="9264">
      <c r="A9264" s="2" t="s">
        <v>57269</v>
      </c>
      <c r="B9264" s="2" t="s">
        <v>57270</v>
      </c>
      <c r="C9264" s="2" t="s">
        <v>57271</v>
      </c>
      <c r="D9264" s="2" t="s">
        <v>57272</v>
      </c>
      <c r="E9264" s="2" t="s">
        <v>47611</v>
      </c>
      <c r="F9264" s="2" t="s">
        <v>270</v>
      </c>
      <c r="G9264" s="2" t="s">
        <v>57273</v>
      </c>
      <c r="H9264" s="3" t="s">
        <v>31</v>
      </c>
      <c r="I9264" s="3">
        <v>1.0</v>
      </c>
      <c r="J9264" s="3">
        <v>1.0</v>
      </c>
      <c r="K9264" s="3" t="s">
        <v>31</v>
      </c>
      <c r="L9264" s="4" t="s">
        <v>57160</v>
      </c>
      <c r="M9264" s="2" t="s">
        <v>57274</v>
      </c>
      <c r="N9264" s="2" t="s">
        <v>57162</v>
      </c>
      <c r="O9264" s="4" t="s">
        <v>57163</v>
      </c>
      <c r="P9264" s="2" t="s">
        <v>57164</v>
      </c>
      <c r="Q9264" s="2" t="s">
        <v>31</v>
      </c>
      <c r="R9264" s="2" t="s">
        <v>31</v>
      </c>
      <c r="S9264" s="4" t="s">
        <v>57165</v>
      </c>
      <c r="T9264" s="2" t="s">
        <v>796</v>
      </c>
      <c r="U9264" s="4" t="s">
        <v>31</v>
      </c>
      <c r="V9264" s="2" t="s">
        <v>57275</v>
      </c>
      <c r="W9264" s="2" t="s">
        <v>47611</v>
      </c>
      <c r="X9264" s="5" t="str">
        <f>HYPERLINK("https://my.pitchbook.com?p=90972-73P","View People Online")</f>
        <v>View People Online</v>
      </c>
    </row>
    <row r="9265">
      <c r="A9265" s="6" t="s">
        <v>57276</v>
      </c>
      <c r="B9265" s="6" t="s">
        <v>57277</v>
      </c>
      <c r="C9265" s="6" t="s">
        <v>27163</v>
      </c>
      <c r="D9265" s="6" t="s">
        <v>29822</v>
      </c>
      <c r="E9265" s="6" t="s">
        <v>47611</v>
      </c>
      <c r="F9265" s="6" t="s">
        <v>825</v>
      </c>
      <c r="G9265" s="6" t="s">
        <v>57278</v>
      </c>
      <c r="H9265" s="7" t="s">
        <v>31</v>
      </c>
      <c r="I9265" s="7">
        <v>1.0</v>
      </c>
      <c r="J9265" s="7">
        <v>1.0</v>
      </c>
      <c r="K9265" s="7" t="s">
        <v>31</v>
      </c>
      <c r="L9265" s="8" t="s">
        <v>57160</v>
      </c>
      <c r="M9265" s="6" t="s">
        <v>57279</v>
      </c>
      <c r="N9265" s="6" t="s">
        <v>57162</v>
      </c>
      <c r="O9265" s="8" t="s">
        <v>57163</v>
      </c>
      <c r="P9265" s="6" t="s">
        <v>57164</v>
      </c>
      <c r="Q9265" s="6" t="s">
        <v>31</v>
      </c>
      <c r="R9265" s="6" t="s">
        <v>31</v>
      </c>
      <c r="S9265" s="8" t="s">
        <v>57165</v>
      </c>
      <c r="T9265" s="6" t="s">
        <v>796</v>
      </c>
      <c r="U9265" s="8" t="s">
        <v>31</v>
      </c>
      <c r="V9265" s="6" t="s">
        <v>57280</v>
      </c>
      <c r="W9265" s="6" t="s">
        <v>47611</v>
      </c>
      <c r="X9265" s="9" t="str">
        <f>HYPERLINK("https://my.pitchbook.com?p=245492-56P","View People Online")</f>
        <v>View People Online</v>
      </c>
    </row>
    <row r="9266">
      <c r="A9266" s="10" t="s">
        <v>57281</v>
      </c>
      <c r="B9266" s="10" t="s">
        <v>57282</v>
      </c>
      <c r="C9266" s="10" t="s">
        <v>1323</v>
      </c>
      <c r="D9266" s="10" t="s">
        <v>57283</v>
      </c>
      <c r="E9266" s="10" t="s">
        <v>47611</v>
      </c>
      <c r="F9266" s="10" t="s">
        <v>3740</v>
      </c>
      <c r="G9266" s="10" t="s">
        <v>57284</v>
      </c>
      <c r="H9266" s="11" t="s">
        <v>31</v>
      </c>
      <c r="I9266" s="11">
        <v>1.0</v>
      </c>
      <c r="J9266" s="11">
        <v>1.0</v>
      </c>
      <c r="K9266" s="11" t="s">
        <v>31</v>
      </c>
      <c r="L9266" s="12" t="s">
        <v>57160</v>
      </c>
      <c r="M9266" s="10" t="s">
        <v>57285</v>
      </c>
      <c r="N9266" s="10" t="s">
        <v>57162</v>
      </c>
      <c r="O9266" s="12" t="s">
        <v>57163</v>
      </c>
      <c r="P9266" s="10" t="s">
        <v>57164</v>
      </c>
      <c r="Q9266" s="10" t="s">
        <v>31</v>
      </c>
      <c r="R9266" s="10" t="s">
        <v>31</v>
      </c>
      <c r="S9266" s="12" t="s">
        <v>57165</v>
      </c>
      <c r="T9266" s="10" t="s">
        <v>796</v>
      </c>
      <c r="U9266" s="12" t="s">
        <v>31</v>
      </c>
      <c r="V9266" s="10" t="s">
        <v>57286</v>
      </c>
      <c r="W9266" s="10" t="s">
        <v>47611</v>
      </c>
      <c r="X9266" s="13" t="str">
        <f>HYPERLINK("https://my.pitchbook.com?p=90957-34P","View People Online")</f>
        <v>View People Online</v>
      </c>
    </row>
    <row r="9267">
      <c r="A9267" s="6" t="s">
        <v>57287</v>
      </c>
      <c r="B9267" s="6" t="s">
        <v>57288</v>
      </c>
      <c r="C9267" s="6" t="s">
        <v>11444</v>
      </c>
      <c r="D9267" s="6" t="s">
        <v>5692</v>
      </c>
      <c r="E9267" s="6" t="s">
        <v>47611</v>
      </c>
      <c r="F9267" s="6" t="s">
        <v>548</v>
      </c>
      <c r="G9267" s="6" t="s">
        <v>57289</v>
      </c>
      <c r="H9267" s="7" t="s">
        <v>31</v>
      </c>
      <c r="I9267" s="7">
        <v>1.0</v>
      </c>
      <c r="J9267" s="7">
        <v>1.0</v>
      </c>
      <c r="K9267" s="7" t="s">
        <v>31</v>
      </c>
      <c r="L9267" s="8" t="s">
        <v>57160</v>
      </c>
      <c r="M9267" s="6" t="s">
        <v>57290</v>
      </c>
      <c r="N9267" s="6" t="s">
        <v>57162</v>
      </c>
      <c r="O9267" s="8" t="s">
        <v>57163</v>
      </c>
      <c r="P9267" s="6" t="s">
        <v>57164</v>
      </c>
      <c r="Q9267" s="6" t="s">
        <v>31</v>
      </c>
      <c r="R9267" s="6" t="s">
        <v>31</v>
      </c>
      <c r="S9267" s="8" t="s">
        <v>57165</v>
      </c>
      <c r="T9267" s="6" t="s">
        <v>796</v>
      </c>
      <c r="U9267" s="8" t="s">
        <v>31</v>
      </c>
      <c r="V9267" s="6" t="s">
        <v>57291</v>
      </c>
      <c r="W9267" s="6" t="s">
        <v>47611</v>
      </c>
      <c r="X9267" s="9" t="str">
        <f>HYPERLINK("https://my.pitchbook.com?p=90973-90P","View People Online")</f>
        <v>View People Online</v>
      </c>
    </row>
    <row r="9268">
      <c r="A9268" s="10" t="s">
        <v>57292</v>
      </c>
      <c r="B9268" s="10" t="s">
        <v>57293</v>
      </c>
      <c r="C9268" s="10" t="s">
        <v>57294</v>
      </c>
      <c r="D9268" s="10" t="s">
        <v>57295</v>
      </c>
      <c r="E9268" s="10" t="s">
        <v>47611</v>
      </c>
      <c r="F9268" s="10" t="s">
        <v>7624</v>
      </c>
      <c r="G9268" s="10" t="s">
        <v>57296</v>
      </c>
      <c r="H9268" s="11" t="s">
        <v>31</v>
      </c>
      <c r="I9268" s="11">
        <v>2.0</v>
      </c>
      <c r="J9268" s="11">
        <v>1.0</v>
      </c>
      <c r="K9268" s="11">
        <v>1.0</v>
      </c>
      <c r="L9268" s="12" t="s">
        <v>57176</v>
      </c>
      <c r="M9268" s="10" t="s">
        <v>57297</v>
      </c>
      <c r="N9268" s="10" t="s">
        <v>243</v>
      </c>
      <c r="O9268" s="12" t="s">
        <v>244</v>
      </c>
      <c r="P9268" s="10" t="s">
        <v>57177</v>
      </c>
      <c r="Q9268" s="10" t="s">
        <v>31</v>
      </c>
      <c r="R9268" s="10" t="s">
        <v>247</v>
      </c>
      <c r="S9268" s="12" t="s">
        <v>57178</v>
      </c>
      <c r="T9268" s="10" t="s">
        <v>249</v>
      </c>
      <c r="U9268" s="12" t="s">
        <v>31</v>
      </c>
      <c r="V9268" s="10" t="s">
        <v>57298</v>
      </c>
      <c r="W9268" s="10" t="s">
        <v>47611</v>
      </c>
      <c r="X9268" s="13" t="str">
        <f>HYPERLINK("https://my.pitchbook.com?p=308023-93P","View People Online")</f>
        <v>View People Online</v>
      </c>
    </row>
    <row r="9269">
      <c r="A9269" s="14" t="s">
        <v>57299</v>
      </c>
      <c r="B9269" s="14" t="s">
        <v>57300</v>
      </c>
      <c r="C9269" s="14" t="s">
        <v>57301</v>
      </c>
      <c r="D9269" s="14" t="s">
        <v>57302</v>
      </c>
      <c r="E9269" s="14" t="s">
        <v>47611</v>
      </c>
      <c r="F9269" s="14" t="s">
        <v>1801</v>
      </c>
      <c r="G9269" s="14" t="s">
        <v>57303</v>
      </c>
      <c r="H9269" s="15" t="s">
        <v>31</v>
      </c>
      <c r="I9269" s="15">
        <v>1.0</v>
      </c>
      <c r="J9269" s="15">
        <v>1.0</v>
      </c>
      <c r="K9269" s="15" t="s">
        <v>31</v>
      </c>
      <c r="L9269" s="16" t="s">
        <v>57176</v>
      </c>
      <c r="M9269" s="14" t="s">
        <v>57304</v>
      </c>
      <c r="N9269" s="14" t="s">
        <v>243</v>
      </c>
      <c r="O9269" s="16" t="s">
        <v>244</v>
      </c>
      <c r="P9269" s="14" t="s">
        <v>57177</v>
      </c>
      <c r="Q9269" s="14" t="s">
        <v>31</v>
      </c>
      <c r="R9269" s="14" t="s">
        <v>247</v>
      </c>
      <c r="S9269" s="16" t="s">
        <v>57178</v>
      </c>
      <c r="T9269" s="14" t="s">
        <v>249</v>
      </c>
      <c r="U9269" s="16" t="s">
        <v>31</v>
      </c>
      <c r="V9269" s="14" t="s">
        <v>57305</v>
      </c>
      <c r="W9269" s="14" t="s">
        <v>47611</v>
      </c>
      <c r="X9269" s="17" t="str">
        <f>HYPERLINK("https://my.pitchbook.com?p=339400-63P","View People Online")</f>
        <v>View People Online</v>
      </c>
    </row>
    <row r="9270">
      <c r="A9270" s="2" t="s">
        <v>57306</v>
      </c>
      <c r="B9270" s="2" t="s">
        <v>57307</v>
      </c>
      <c r="C9270" s="2" t="s">
        <v>3529</v>
      </c>
      <c r="D9270" s="2" t="s">
        <v>5692</v>
      </c>
      <c r="E9270" s="2" t="s">
        <v>47611</v>
      </c>
      <c r="F9270" s="2" t="s">
        <v>3740</v>
      </c>
      <c r="G9270" s="2" t="s">
        <v>57308</v>
      </c>
      <c r="H9270" s="3" t="s">
        <v>31</v>
      </c>
      <c r="I9270" s="3">
        <v>4.0</v>
      </c>
      <c r="J9270" s="3">
        <v>2.0</v>
      </c>
      <c r="K9270" s="3">
        <v>2.0</v>
      </c>
      <c r="L9270" s="4" t="s">
        <v>57309</v>
      </c>
      <c r="M9270" s="2" t="s">
        <v>31</v>
      </c>
      <c r="N9270" s="2" t="s">
        <v>3753</v>
      </c>
      <c r="O9270" s="4" t="s">
        <v>3754</v>
      </c>
      <c r="P9270" s="2" t="s">
        <v>57310</v>
      </c>
      <c r="Q9270" s="2" t="s">
        <v>31</v>
      </c>
      <c r="R9270" s="2" t="s">
        <v>31</v>
      </c>
      <c r="S9270" s="4" t="s">
        <v>38514</v>
      </c>
      <c r="T9270" s="2" t="s">
        <v>3339</v>
      </c>
      <c r="U9270" s="4" t="s">
        <v>57311</v>
      </c>
      <c r="V9270" s="2" t="s">
        <v>34077</v>
      </c>
      <c r="W9270" s="2" t="s">
        <v>57312</v>
      </c>
      <c r="X9270" s="5" t="str">
        <f>HYPERLINK("https://my.pitchbook.com?p=310775-50P","View People Online")</f>
        <v>View People Online</v>
      </c>
    </row>
    <row r="9271">
      <c r="A9271" s="6" t="s">
        <v>57313</v>
      </c>
      <c r="B9271" s="6" t="s">
        <v>57314</v>
      </c>
      <c r="C9271" s="6" t="s">
        <v>26</v>
      </c>
      <c r="D9271" s="6" t="s">
        <v>57315</v>
      </c>
      <c r="E9271" s="6" t="s">
        <v>47611</v>
      </c>
      <c r="F9271" s="6" t="s">
        <v>802</v>
      </c>
      <c r="G9271" s="6" t="s">
        <v>57316</v>
      </c>
      <c r="H9271" s="7" t="s">
        <v>31</v>
      </c>
      <c r="I9271" s="7">
        <v>1.0</v>
      </c>
      <c r="J9271" s="7">
        <v>1.0</v>
      </c>
      <c r="K9271" s="7" t="s">
        <v>31</v>
      </c>
      <c r="L9271" s="8" t="s">
        <v>57176</v>
      </c>
      <c r="M9271" s="6" t="s">
        <v>57317</v>
      </c>
      <c r="N9271" s="6" t="s">
        <v>243</v>
      </c>
      <c r="O9271" s="8" t="s">
        <v>244</v>
      </c>
      <c r="P9271" s="6" t="s">
        <v>57177</v>
      </c>
      <c r="Q9271" s="6" t="s">
        <v>31</v>
      </c>
      <c r="R9271" s="6" t="s">
        <v>247</v>
      </c>
      <c r="S9271" s="8" t="s">
        <v>57178</v>
      </c>
      <c r="T9271" s="6" t="s">
        <v>249</v>
      </c>
      <c r="U9271" s="8" t="s">
        <v>31</v>
      </c>
      <c r="V9271" s="6" t="s">
        <v>57318</v>
      </c>
      <c r="W9271" s="6" t="s">
        <v>47611</v>
      </c>
      <c r="X9271" s="9" t="str">
        <f>HYPERLINK("https://my.pitchbook.com?p=145350-01P","View People Online")</f>
        <v>View People Online</v>
      </c>
    </row>
    <row r="9272">
      <c r="A9272" s="10" t="s">
        <v>57319</v>
      </c>
      <c r="B9272" s="10" t="s">
        <v>57320</v>
      </c>
      <c r="C9272" s="10" t="s">
        <v>1356</v>
      </c>
      <c r="D9272" s="10" t="s">
        <v>57321</v>
      </c>
      <c r="E9272" s="10" t="s">
        <v>47611</v>
      </c>
      <c r="F9272" s="10" t="s">
        <v>7624</v>
      </c>
      <c r="G9272" s="10" t="s">
        <v>57322</v>
      </c>
      <c r="H9272" s="11" t="s">
        <v>31</v>
      </c>
      <c r="I9272" s="11">
        <v>1.0</v>
      </c>
      <c r="J9272" s="11">
        <v>1.0</v>
      </c>
      <c r="K9272" s="11" t="s">
        <v>31</v>
      </c>
      <c r="L9272" s="12" t="s">
        <v>57176</v>
      </c>
      <c r="M9272" s="10" t="s">
        <v>57323</v>
      </c>
      <c r="N9272" s="10" t="s">
        <v>243</v>
      </c>
      <c r="O9272" s="12" t="s">
        <v>244</v>
      </c>
      <c r="P9272" s="10" t="s">
        <v>57177</v>
      </c>
      <c r="Q9272" s="10" t="s">
        <v>31</v>
      </c>
      <c r="R9272" s="10" t="s">
        <v>247</v>
      </c>
      <c r="S9272" s="12" t="s">
        <v>57178</v>
      </c>
      <c r="T9272" s="10" t="s">
        <v>249</v>
      </c>
      <c r="U9272" s="12" t="s">
        <v>31</v>
      </c>
      <c r="V9272" s="10" t="s">
        <v>57324</v>
      </c>
      <c r="W9272" s="10" t="s">
        <v>47611</v>
      </c>
      <c r="X9272" s="13" t="str">
        <f>HYPERLINK("https://my.pitchbook.com?p=320349-25P","View People Online")</f>
        <v>View People Online</v>
      </c>
    </row>
    <row r="9273">
      <c r="A9273" s="14" t="s">
        <v>57325</v>
      </c>
      <c r="B9273" s="14" t="s">
        <v>57326</v>
      </c>
      <c r="C9273" s="14" t="s">
        <v>3082</v>
      </c>
      <c r="D9273" s="14" t="s">
        <v>4191</v>
      </c>
      <c r="E9273" s="14" t="s">
        <v>47611</v>
      </c>
      <c r="F9273" s="14" t="s">
        <v>270</v>
      </c>
      <c r="G9273" s="14" t="s">
        <v>57327</v>
      </c>
      <c r="H9273" s="15" t="s">
        <v>31</v>
      </c>
      <c r="I9273" s="15">
        <v>1.0</v>
      </c>
      <c r="J9273" s="15">
        <v>1.0</v>
      </c>
      <c r="K9273" s="15" t="s">
        <v>31</v>
      </c>
      <c r="L9273" s="16" t="s">
        <v>57176</v>
      </c>
      <c r="M9273" s="14" t="s">
        <v>57328</v>
      </c>
      <c r="N9273" s="14" t="s">
        <v>243</v>
      </c>
      <c r="O9273" s="16" t="s">
        <v>244</v>
      </c>
      <c r="P9273" s="14" t="s">
        <v>57177</v>
      </c>
      <c r="Q9273" s="14" t="s">
        <v>31</v>
      </c>
      <c r="R9273" s="14" t="s">
        <v>247</v>
      </c>
      <c r="S9273" s="16" t="s">
        <v>57178</v>
      </c>
      <c r="T9273" s="14" t="s">
        <v>249</v>
      </c>
      <c r="U9273" s="16" t="s">
        <v>31</v>
      </c>
      <c r="V9273" s="14" t="s">
        <v>57329</v>
      </c>
      <c r="W9273" s="14" t="s">
        <v>47611</v>
      </c>
      <c r="X9273" s="17" t="str">
        <f>HYPERLINK("https://my.pitchbook.com?p=157493-98P","View People Online")</f>
        <v>View People Online</v>
      </c>
    </row>
    <row r="9274">
      <c r="A9274" s="10" t="s">
        <v>57330</v>
      </c>
      <c r="B9274" s="10" t="s">
        <v>57331</v>
      </c>
      <c r="C9274" s="10" t="s">
        <v>5092</v>
      </c>
      <c r="D9274" s="10" t="s">
        <v>57332</v>
      </c>
      <c r="E9274" s="10" t="s">
        <v>47611</v>
      </c>
      <c r="F9274" s="10" t="s">
        <v>371</v>
      </c>
      <c r="G9274" s="10" t="s">
        <v>57333</v>
      </c>
      <c r="H9274" s="11" t="s">
        <v>31</v>
      </c>
      <c r="I9274" s="11">
        <v>1.0</v>
      </c>
      <c r="J9274" s="11">
        <v>1.0</v>
      </c>
      <c r="K9274" s="11" t="s">
        <v>31</v>
      </c>
      <c r="L9274" s="12" t="s">
        <v>57160</v>
      </c>
      <c r="M9274" s="10" t="s">
        <v>57334</v>
      </c>
      <c r="N9274" s="10" t="s">
        <v>57162</v>
      </c>
      <c r="O9274" s="12" t="s">
        <v>57163</v>
      </c>
      <c r="P9274" s="10" t="s">
        <v>57164</v>
      </c>
      <c r="Q9274" s="10" t="s">
        <v>31</v>
      </c>
      <c r="R9274" s="10" t="s">
        <v>31</v>
      </c>
      <c r="S9274" s="12" t="s">
        <v>57165</v>
      </c>
      <c r="T9274" s="10" t="s">
        <v>796</v>
      </c>
      <c r="U9274" s="12" t="s">
        <v>31</v>
      </c>
      <c r="V9274" s="10" t="s">
        <v>57335</v>
      </c>
      <c r="W9274" s="10" t="s">
        <v>47611</v>
      </c>
      <c r="X9274" s="13" t="str">
        <f>HYPERLINK("https://my.pitchbook.com?p=90975-34P","View People Online")</f>
        <v>View People Online</v>
      </c>
    </row>
    <row r="9275">
      <c r="A9275" s="14" t="s">
        <v>57336</v>
      </c>
      <c r="B9275" s="14" t="s">
        <v>57337</v>
      </c>
      <c r="C9275" s="14" t="s">
        <v>5985</v>
      </c>
      <c r="D9275" s="14" t="s">
        <v>57338</v>
      </c>
      <c r="E9275" s="14" t="s">
        <v>47611</v>
      </c>
      <c r="F9275" s="14" t="s">
        <v>270</v>
      </c>
      <c r="G9275" s="14" t="s">
        <v>57339</v>
      </c>
      <c r="H9275" s="15" t="s">
        <v>31</v>
      </c>
      <c r="I9275" s="15">
        <v>1.0</v>
      </c>
      <c r="J9275" s="15">
        <v>1.0</v>
      </c>
      <c r="K9275" s="15" t="s">
        <v>31</v>
      </c>
      <c r="L9275" s="16" t="s">
        <v>57340</v>
      </c>
      <c r="M9275" s="14" t="s">
        <v>57341</v>
      </c>
      <c r="N9275" s="14" t="s">
        <v>1416</v>
      </c>
      <c r="O9275" s="16" t="s">
        <v>1417</v>
      </c>
      <c r="P9275" s="14" t="s">
        <v>57342</v>
      </c>
      <c r="Q9275" s="14" t="s">
        <v>31</v>
      </c>
      <c r="R9275" s="14" t="s">
        <v>1420</v>
      </c>
      <c r="S9275" s="16" t="s">
        <v>6302</v>
      </c>
      <c r="T9275" s="14" t="s">
        <v>66</v>
      </c>
      <c r="U9275" s="16" t="s">
        <v>31</v>
      </c>
      <c r="V9275" s="14" t="s">
        <v>57268</v>
      </c>
      <c r="W9275" s="14" t="s">
        <v>47611</v>
      </c>
      <c r="X9275" s="17" t="str">
        <f>HYPERLINK("https://my.pitchbook.com?p=297620-38P","View People Online")</f>
        <v>View People Online</v>
      </c>
    </row>
    <row r="9276">
      <c r="A9276" s="10" t="s">
        <v>57343</v>
      </c>
      <c r="B9276" s="10" t="s">
        <v>57344</v>
      </c>
      <c r="C9276" s="10" t="s">
        <v>1489</v>
      </c>
      <c r="D9276" s="10" t="s">
        <v>57345</v>
      </c>
      <c r="E9276" s="10" t="s">
        <v>47611</v>
      </c>
      <c r="F9276" s="10" t="s">
        <v>1801</v>
      </c>
      <c r="G9276" s="10" t="s">
        <v>57346</v>
      </c>
      <c r="H9276" s="11" t="s">
        <v>31</v>
      </c>
      <c r="I9276" s="11">
        <v>1.0</v>
      </c>
      <c r="J9276" s="11">
        <v>1.0</v>
      </c>
      <c r="K9276" s="11" t="s">
        <v>31</v>
      </c>
      <c r="L9276" s="12" t="s">
        <v>57160</v>
      </c>
      <c r="M9276" s="10" t="s">
        <v>57347</v>
      </c>
      <c r="N9276" s="10" t="s">
        <v>57162</v>
      </c>
      <c r="O9276" s="12" t="s">
        <v>57163</v>
      </c>
      <c r="P9276" s="10" t="s">
        <v>57164</v>
      </c>
      <c r="Q9276" s="10" t="s">
        <v>31</v>
      </c>
      <c r="R9276" s="10" t="s">
        <v>31</v>
      </c>
      <c r="S9276" s="12" t="s">
        <v>57165</v>
      </c>
      <c r="T9276" s="10" t="s">
        <v>796</v>
      </c>
      <c r="U9276" s="12" t="s">
        <v>31</v>
      </c>
      <c r="V9276" s="10" t="s">
        <v>57348</v>
      </c>
      <c r="W9276" s="10" t="s">
        <v>47611</v>
      </c>
      <c r="X9276" s="13" t="str">
        <f>HYPERLINK("https://my.pitchbook.com?p=159582-97P","View People Online")</f>
        <v>View People Online</v>
      </c>
    </row>
    <row r="9277">
      <c r="A9277" s="6" t="s">
        <v>57349</v>
      </c>
      <c r="B9277" s="6" t="s">
        <v>57350</v>
      </c>
      <c r="C9277" s="6" t="s">
        <v>54157</v>
      </c>
      <c r="D9277" s="6" t="s">
        <v>57351</v>
      </c>
      <c r="E9277" s="6" t="s">
        <v>47611</v>
      </c>
      <c r="F9277" s="6" t="s">
        <v>1801</v>
      </c>
      <c r="G9277" s="6" t="s">
        <v>57352</v>
      </c>
      <c r="H9277" s="7" t="s">
        <v>31</v>
      </c>
      <c r="I9277" s="7">
        <v>1.0</v>
      </c>
      <c r="J9277" s="7">
        <v>1.0</v>
      </c>
      <c r="K9277" s="7" t="s">
        <v>31</v>
      </c>
      <c r="L9277" s="8" t="s">
        <v>57160</v>
      </c>
      <c r="M9277" s="6" t="s">
        <v>57353</v>
      </c>
      <c r="N9277" s="6" t="s">
        <v>57162</v>
      </c>
      <c r="O9277" s="8" t="s">
        <v>57163</v>
      </c>
      <c r="P9277" s="6" t="s">
        <v>57164</v>
      </c>
      <c r="Q9277" s="6" t="s">
        <v>31</v>
      </c>
      <c r="R9277" s="6" t="s">
        <v>31</v>
      </c>
      <c r="S9277" s="8" t="s">
        <v>57165</v>
      </c>
      <c r="T9277" s="6" t="s">
        <v>796</v>
      </c>
      <c r="U9277" s="8" t="s">
        <v>31</v>
      </c>
      <c r="V9277" s="6" t="s">
        <v>57354</v>
      </c>
      <c r="W9277" s="6" t="s">
        <v>47611</v>
      </c>
      <c r="X9277" s="9" t="str">
        <f>HYPERLINK("https://my.pitchbook.com?p=74963-62P","View People Online")</f>
        <v>View People Online</v>
      </c>
    </row>
    <row r="9278">
      <c r="A9278" s="2" t="s">
        <v>57355</v>
      </c>
      <c r="B9278" s="2" t="s">
        <v>57356</v>
      </c>
      <c r="C9278" s="2" t="s">
        <v>3723</v>
      </c>
      <c r="D9278" s="2" t="s">
        <v>57357</v>
      </c>
      <c r="E9278" s="2" t="s">
        <v>47611</v>
      </c>
      <c r="F9278" s="2" t="s">
        <v>270</v>
      </c>
      <c r="G9278" s="2" t="s">
        <v>57358</v>
      </c>
      <c r="H9278" s="3" t="s">
        <v>31</v>
      </c>
      <c r="I9278" s="3">
        <v>1.0</v>
      </c>
      <c r="J9278" s="3">
        <v>1.0</v>
      </c>
      <c r="K9278" s="3" t="s">
        <v>31</v>
      </c>
      <c r="L9278" s="4" t="s">
        <v>57160</v>
      </c>
      <c r="M9278" s="2" t="s">
        <v>57359</v>
      </c>
      <c r="N9278" s="2" t="s">
        <v>57162</v>
      </c>
      <c r="O9278" s="4" t="s">
        <v>57163</v>
      </c>
      <c r="P9278" s="2" t="s">
        <v>57164</v>
      </c>
      <c r="Q9278" s="2" t="s">
        <v>31</v>
      </c>
      <c r="R9278" s="2" t="s">
        <v>31</v>
      </c>
      <c r="S9278" s="4" t="s">
        <v>57165</v>
      </c>
      <c r="T9278" s="2" t="s">
        <v>796</v>
      </c>
      <c r="U9278" s="4" t="s">
        <v>31</v>
      </c>
      <c r="V9278" s="2" t="s">
        <v>57360</v>
      </c>
      <c r="W9278" s="2" t="s">
        <v>47611</v>
      </c>
      <c r="X9278" s="5" t="str">
        <f>HYPERLINK("https://my.pitchbook.com?p=90961-21P","View People Online")</f>
        <v>View People Online</v>
      </c>
    </row>
    <row r="9279">
      <c r="A9279" s="6" t="s">
        <v>57361</v>
      </c>
      <c r="B9279" s="6" t="s">
        <v>57362</v>
      </c>
      <c r="C9279" s="6" t="s">
        <v>57363</v>
      </c>
      <c r="D9279" s="6" t="s">
        <v>23884</v>
      </c>
      <c r="E9279" s="6" t="s">
        <v>47611</v>
      </c>
      <c r="F9279" s="6" t="s">
        <v>667</v>
      </c>
      <c r="G9279" s="6" t="s">
        <v>57364</v>
      </c>
      <c r="H9279" s="7" t="s">
        <v>31</v>
      </c>
      <c r="I9279" s="7">
        <v>1.0</v>
      </c>
      <c r="J9279" s="7">
        <v>1.0</v>
      </c>
      <c r="K9279" s="7" t="s">
        <v>31</v>
      </c>
      <c r="L9279" s="8" t="s">
        <v>57176</v>
      </c>
      <c r="M9279" s="6" t="s">
        <v>57365</v>
      </c>
      <c r="N9279" s="6" t="s">
        <v>243</v>
      </c>
      <c r="O9279" s="8" t="s">
        <v>244</v>
      </c>
      <c r="P9279" s="6" t="s">
        <v>57177</v>
      </c>
      <c r="Q9279" s="6" t="s">
        <v>31</v>
      </c>
      <c r="R9279" s="6" t="s">
        <v>247</v>
      </c>
      <c r="S9279" s="8" t="s">
        <v>57178</v>
      </c>
      <c r="T9279" s="6" t="s">
        <v>249</v>
      </c>
      <c r="U9279" s="8" t="s">
        <v>31</v>
      </c>
      <c r="V9279" s="6" t="s">
        <v>57366</v>
      </c>
      <c r="W9279" s="6" t="s">
        <v>47611</v>
      </c>
      <c r="X9279" s="9" t="str">
        <f>HYPERLINK("https://my.pitchbook.com?p=318866-86P","View People Online")</f>
        <v>View People Online</v>
      </c>
    </row>
    <row r="9280">
      <c r="A9280" s="2" t="s">
        <v>57367</v>
      </c>
      <c r="B9280" s="2" t="s">
        <v>57368</v>
      </c>
      <c r="C9280" s="2" t="s">
        <v>57369</v>
      </c>
      <c r="D9280" s="2" t="s">
        <v>57370</v>
      </c>
      <c r="E9280" s="2" t="s">
        <v>47611</v>
      </c>
      <c r="F9280" s="2" t="s">
        <v>3710</v>
      </c>
      <c r="G9280" s="2" t="s">
        <v>57371</v>
      </c>
      <c r="H9280" s="3" t="s">
        <v>31</v>
      </c>
      <c r="I9280" s="3">
        <v>1.0</v>
      </c>
      <c r="J9280" s="3">
        <v>1.0</v>
      </c>
      <c r="K9280" s="3" t="s">
        <v>31</v>
      </c>
      <c r="L9280" s="4" t="s">
        <v>31</v>
      </c>
      <c r="M9280" s="2" t="s">
        <v>57372</v>
      </c>
      <c r="N9280" s="2" t="s">
        <v>4756</v>
      </c>
      <c r="O9280" s="4" t="s">
        <v>4757</v>
      </c>
      <c r="P9280" s="2" t="s">
        <v>31</v>
      </c>
      <c r="Q9280" s="2" t="s">
        <v>31</v>
      </c>
      <c r="R9280" s="2" t="s">
        <v>31</v>
      </c>
      <c r="S9280" s="4" t="s">
        <v>31</v>
      </c>
      <c r="T9280" s="2" t="s">
        <v>796</v>
      </c>
      <c r="U9280" s="4" t="s">
        <v>31</v>
      </c>
      <c r="V9280" s="2" t="s">
        <v>57373</v>
      </c>
      <c r="W9280" s="2" t="s">
        <v>47611</v>
      </c>
      <c r="X9280" s="5" t="str">
        <f>HYPERLINK("https://my.pitchbook.com?p=127296-64P","View People Online")</f>
        <v>View People Online</v>
      </c>
    </row>
    <row r="9281">
      <c r="A9281" s="14" t="s">
        <v>57374</v>
      </c>
      <c r="B9281" s="14" t="s">
        <v>57375</v>
      </c>
      <c r="C9281" s="14" t="s">
        <v>57376</v>
      </c>
      <c r="D9281" s="14" t="s">
        <v>57377</v>
      </c>
      <c r="E9281" s="14" t="s">
        <v>47611</v>
      </c>
      <c r="F9281" s="14" t="s">
        <v>270</v>
      </c>
      <c r="G9281" s="14" t="s">
        <v>57378</v>
      </c>
      <c r="H9281" s="15" t="s">
        <v>31</v>
      </c>
      <c r="I9281" s="15">
        <v>1.0</v>
      </c>
      <c r="J9281" s="15">
        <v>1.0</v>
      </c>
      <c r="K9281" s="15" t="s">
        <v>31</v>
      </c>
      <c r="L9281" s="16" t="s">
        <v>57160</v>
      </c>
      <c r="M9281" s="14" t="s">
        <v>57379</v>
      </c>
      <c r="N9281" s="14" t="s">
        <v>57162</v>
      </c>
      <c r="O9281" s="16" t="s">
        <v>57163</v>
      </c>
      <c r="P9281" s="14" t="s">
        <v>57164</v>
      </c>
      <c r="Q9281" s="14" t="s">
        <v>31</v>
      </c>
      <c r="R9281" s="14" t="s">
        <v>31</v>
      </c>
      <c r="S9281" s="16" t="s">
        <v>57165</v>
      </c>
      <c r="T9281" s="14" t="s">
        <v>796</v>
      </c>
      <c r="U9281" s="16" t="s">
        <v>31</v>
      </c>
      <c r="V9281" s="14" t="s">
        <v>57380</v>
      </c>
      <c r="W9281" s="14" t="s">
        <v>47611</v>
      </c>
      <c r="X9281" s="17" t="str">
        <f>HYPERLINK("https://my.pitchbook.com?p=90962-38P","View People Online")</f>
        <v>View People Online</v>
      </c>
    </row>
    <row r="9282">
      <c r="A9282" s="10" t="s">
        <v>57381</v>
      </c>
      <c r="B9282" s="10" t="s">
        <v>57382</v>
      </c>
      <c r="C9282" s="10" t="s">
        <v>19041</v>
      </c>
      <c r="D9282" s="10" t="s">
        <v>57383</v>
      </c>
      <c r="E9282" s="10" t="s">
        <v>47611</v>
      </c>
      <c r="F9282" s="10" t="s">
        <v>548</v>
      </c>
      <c r="G9282" s="10" t="s">
        <v>57384</v>
      </c>
      <c r="H9282" s="11" t="s">
        <v>31</v>
      </c>
      <c r="I9282" s="11">
        <v>1.0</v>
      </c>
      <c r="J9282" s="11">
        <v>1.0</v>
      </c>
      <c r="K9282" s="11" t="s">
        <v>31</v>
      </c>
      <c r="L9282" s="12" t="s">
        <v>57176</v>
      </c>
      <c r="M9282" s="10" t="s">
        <v>57385</v>
      </c>
      <c r="N9282" s="10" t="s">
        <v>243</v>
      </c>
      <c r="O9282" s="12" t="s">
        <v>244</v>
      </c>
      <c r="P9282" s="10" t="s">
        <v>57177</v>
      </c>
      <c r="Q9282" s="10" t="s">
        <v>31</v>
      </c>
      <c r="R9282" s="10" t="s">
        <v>247</v>
      </c>
      <c r="S9282" s="12" t="s">
        <v>57178</v>
      </c>
      <c r="T9282" s="10" t="s">
        <v>249</v>
      </c>
      <c r="U9282" s="12" t="s">
        <v>31</v>
      </c>
      <c r="V9282" s="10" t="s">
        <v>57386</v>
      </c>
      <c r="W9282" s="10" t="s">
        <v>47611</v>
      </c>
      <c r="X9282" s="13" t="str">
        <f>HYPERLINK("https://my.pitchbook.com?p=297618-40P","View People Online")</f>
        <v>View People Online</v>
      </c>
    </row>
    <row r="9283">
      <c r="A9283" s="6" t="s">
        <v>57387</v>
      </c>
      <c r="B9283" s="6" t="s">
        <v>57388</v>
      </c>
      <c r="C9283" s="6" t="s">
        <v>18372</v>
      </c>
      <c r="D9283" s="6" t="s">
        <v>57389</v>
      </c>
      <c r="E9283" s="6" t="s">
        <v>47611</v>
      </c>
      <c r="F9283" s="6" t="s">
        <v>312</v>
      </c>
      <c r="G9283" s="6" t="s">
        <v>57390</v>
      </c>
      <c r="H9283" s="7" t="s">
        <v>31</v>
      </c>
      <c r="I9283" s="7">
        <v>1.0</v>
      </c>
      <c r="J9283" s="7">
        <v>1.0</v>
      </c>
      <c r="K9283" s="7" t="s">
        <v>31</v>
      </c>
      <c r="L9283" s="8" t="s">
        <v>57160</v>
      </c>
      <c r="M9283" s="6" t="s">
        <v>57391</v>
      </c>
      <c r="N9283" s="6" t="s">
        <v>57162</v>
      </c>
      <c r="O9283" s="8" t="s">
        <v>57163</v>
      </c>
      <c r="P9283" s="6" t="s">
        <v>57164</v>
      </c>
      <c r="Q9283" s="6" t="s">
        <v>31</v>
      </c>
      <c r="R9283" s="6" t="s">
        <v>31</v>
      </c>
      <c r="S9283" s="8" t="s">
        <v>57165</v>
      </c>
      <c r="T9283" s="6" t="s">
        <v>796</v>
      </c>
      <c r="U9283" s="8" t="s">
        <v>31</v>
      </c>
      <c r="V9283" s="6" t="s">
        <v>57392</v>
      </c>
      <c r="W9283" s="6" t="s">
        <v>47611</v>
      </c>
      <c r="X9283" s="9" t="str">
        <f>HYPERLINK("https://my.pitchbook.com?p=275684-59P","View People Online")</f>
        <v>View People Online</v>
      </c>
    </row>
    <row r="9284">
      <c r="A9284" s="2" t="s">
        <v>57393</v>
      </c>
      <c r="B9284" s="2" t="s">
        <v>57394</v>
      </c>
      <c r="C9284" s="2" t="s">
        <v>19321</v>
      </c>
      <c r="D9284" s="2" t="s">
        <v>57395</v>
      </c>
      <c r="E9284" s="2" t="s">
        <v>47611</v>
      </c>
      <c r="F9284" s="2" t="s">
        <v>270</v>
      </c>
      <c r="G9284" s="2" t="s">
        <v>57396</v>
      </c>
      <c r="H9284" s="3" t="s">
        <v>31</v>
      </c>
      <c r="I9284" s="3">
        <v>1.0</v>
      </c>
      <c r="J9284" s="3">
        <v>1.0</v>
      </c>
      <c r="K9284" s="3" t="s">
        <v>31</v>
      </c>
      <c r="L9284" s="4" t="s">
        <v>57176</v>
      </c>
      <c r="M9284" s="2" t="s">
        <v>57397</v>
      </c>
      <c r="N9284" s="2" t="s">
        <v>243</v>
      </c>
      <c r="O9284" s="4" t="s">
        <v>244</v>
      </c>
      <c r="P9284" s="2" t="s">
        <v>57177</v>
      </c>
      <c r="Q9284" s="2" t="s">
        <v>31</v>
      </c>
      <c r="R9284" s="2" t="s">
        <v>247</v>
      </c>
      <c r="S9284" s="4" t="s">
        <v>57178</v>
      </c>
      <c r="T9284" s="2" t="s">
        <v>249</v>
      </c>
      <c r="U9284" s="4" t="s">
        <v>31</v>
      </c>
      <c r="V9284" s="2" t="s">
        <v>57398</v>
      </c>
      <c r="W9284" s="2" t="s">
        <v>47611</v>
      </c>
      <c r="X9284" s="5" t="str">
        <f>HYPERLINK("https://my.pitchbook.com?p=381642-40P","View People Online")</f>
        <v>View People Online</v>
      </c>
    </row>
    <row r="9285">
      <c r="A9285" s="14" t="s">
        <v>57399</v>
      </c>
      <c r="B9285" s="14" t="s">
        <v>57400</v>
      </c>
      <c r="C9285" s="14" t="s">
        <v>2288</v>
      </c>
      <c r="D9285" s="14" t="s">
        <v>57401</v>
      </c>
      <c r="E9285" s="14" t="s">
        <v>47611</v>
      </c>
      <c r="F9285" s="14" t="s">
        <v>548</v>
      </c>
      <c r="G9285" s="14" t="s">
        <v>57402</v>
      </c>
      <c r="H9285" s="15" t="s">
        <v>31</v>
      </c>
      <c r="I9285" s="15">
        <v>1.0</v>
      </c>
      <c r="J9285" s="15">
        <v>1.0</v>
      </c>
      <c r="K9285" s="15" t="s">
        <v>31</v>
      </c>
      <c r="L9285" s="16" t="s">
        <v>57176</v>
      </c>
      <c r="M9285" s="14" t="s">
        <v>57403</v>
      </c>
      <c r="N9285" s="14" t="s">
        <v>243</v>
      </c>
      <c r="O9285" s="16" t="s">
        <v>244</v>
      </c>
      <c r="P9285" s="14" t="s">
        <v>57177</v>
      </c>
      <c r="Q9285" s="14" t="s">
        <v>31</v>
      </c>
      <c r="R9285" s="14" t="s">
        <v>247</v>
      </c>
      <c r="S9285" s="16" t="s">
        <v>57178</v>
      </c>
      <c r="T9285" s="14" t="s">
        <v>249</v>
      </c>
      <c r="U9285" s="16" t="s">
        <v>31</v>
      </c>
      <c r="V9285" s="14" t="s">
        <v>57404</v>
      </c>
      <c r="W9285" s="14" t="s">
        <v>47611</v>
      </c>
      <c r="X9285" s="17" t="str">
        <f>HYPERLINK("https://my.pitchbook.com?p=318934-63P","View People Online")</f>
        <v>View People Online</v>
      </c>
    </row>
    <row r="9286">
      <c r="A9286" s="10" t="s">
        <v>57405</v>
      </c>
      <c r="B9286" s="10" t="s">
        <v>57406</v>
      </c>
      <c r="C9286" s="10" t="s">
        <v>57407</v>
      </c>
      <c r="D9286" s="10" t="s">
        <v>57408</v>
      </c>
      <c r="E9286" s="10" t="s">
        <v>47611</v>
      </c>
      <c r="F9286" s="10" t="s">
        <v>371</v>
      </c>
      <c r="G9286" s="10" t="s">
        <v>57409</v>
      </c>
      <c r="H9286" s="11" t="s">
        <v>31</v>
      </c>
      <c r="I9286" s="11">
        <v>1.0</v>
      </c>
      <c r="J9286" s="11">
        <v>1.0</v>
      </c>
      <c r="K9286" s="11" t="s">
        <v>31</v>
      </c>
      <c r="L9286" s="12" t="s">
        <v>57160</v>
      </c>
      <c r="M9286" s="10" t="s">
        <v>57410</v>
      </c>
      <c r="N9286" s="10" t="s">
        <v>57162</v>
      </c>
      <c r="O9286" s="12" t="s">
        <v>57163</v>
      </c>
      <c r="P9286" s="10" t="s">
        <v>57164</v>
      </c>
      <c r="Q9286" s="10" t="s">
        <v>31</v>
      </c>
      <c r="R9286" s="10" t="s">
        <v>31</v>
      </c>
      <c r="S9286" s="12" t="s">
        <v>57165</v>
      </c>
      <c r="T9286" s="10" t="s">
        <v>796</v>
      </c>
      <c r="U9286" s="12" t="s">
        <v>31</v>
      </c>
      <c r="V9286" s="10" t="s">
        <v>57411</v>
      </c>
      <c r="W9286" s="10" t="s">
        <v>47611</v>
      </c>
      <c r="X9286" s="13" t="str">
        <f>HYPERLINK("https://my.pitchbook.com?p=90982-54P","View People Online")</f>
        <v>View People Online</v>
      </c>
    </row>
    <row r="9287">
      <c r="A9287" s="6" t="s">
        <v>57412</v>
      </c>
      <c r="B9287" s="6" t="s">
        <v>57413</v>
      </c>
      <c r="C9287" s="6" t="s">
        <v>126</v>
      </c>
      <c r="D9287" s="6" t="s">
        <v>14561</v>
      </c>
      <c r="E9287" s="6" t="s">
        <v>47611</v>
      </c>
      <c r="F9287" s="6" t="s">
        <v>26897</v>
      </c>
      <c r="G9287" s="6" t="s">
        <v>57414</v>
      </c>
      <c r="H9287" s="7" t="s">
        <v>31</v>
      </c>
      <c r="I9287" s="7">
        <v>1.0</v>
      </c>
      <c r="J9287" s="7">
        <v>1.0</v>
      </c>
      <c r="K9287" s="7" t="s">
        <v>31</v>
      </c>
      <c r="L9287" s="8" t="s">
        <v>57176</v>
      </c>
      <c r="M9287" s="6" t="s">
        <v>57415</v>
      </c>
      <c r="N9287" s="6" t="s">
        <v>243</v>
      </c>
      <c r="O9287" s="8" t="s">
        <v>244</v>
      </c>
      <c r="P9287" s="6" t="s">
        <v>57177</v>
      </c>
      <c r="Q9287" s="6" t="s">
        <v>31</v>
      </c>
      <c r="R9287" s="6" t="s">
        <v>247</v>
      </c>
      <c r="S9287" s="8" t="s">
        <v>57178</v>
      </c>
      <c r="T9287" s="6" t="s">
        <v>249</v>
      </c>
      <c r="U9287" s="8" t="s">
        <v>31</v>
      </c>
      <c r="V9287" s="6" t="s">
        <v>57416</v>
      </c>
      <c r="W9287" s="6" t="s">
        <v>47611</v>
      </c>
      <c r="X9287" s="9" t="str">
        <f>HYPERLINK("https://my.pitchbook.com?p=381642-85P","View People Online")</f>
        <v>View People Online</v>
      </c>
    </row>
    <row r="9288">
      <c r="A9288" s="10" t="s">
        <v>57417</v>
      </c>
      <c r="B9288" s="10" t="s">
        <v>57418</v>
      </c>
      <c r="C9288" s="10" t="s">
        <v>57419</v>
      </c>
      <c r="D9288" s="10" t="s">
        <v>57420</v>
      </c>
      <c r="E9288" s="10" t="s">
        <v>47611</v>
      </c>
      <c r="F9288" s="10" t="s">
        <v>371</v>
      </c>
      <c r="G9288" s="10" t="s">
        <v>57421</v>
      </c>
      <c r="H9288" s="11" t="s">
        <v>31</v>
      </c>
      <c r="I9288" s="11">
        <v>1.0</v>
      </c>
      <c r="J9288" s="11">
        <v>1.0</v>
      </c>
      <c r="K9288" s="11" t="s">
        <v>31</v>
      </c>
      <c r="L9288" s="12" t="s">
        <v>57176</v>
      </c>
      <c r="M9288" s="10" t="s">
        <v>57422</v>
      </c>
      <c r="N9288" s="10" t="s">
        <v>243</v>
      </c>
      <c r="O9288" s="12" t="s">
        <v>244</v>
      </c>
      <c r="P9288" s="10" t="s">
        <v>57177</v>
      </c>
      <c r="Q9288" s="10" t="s">
        <v>31</v>
      </c>
      <c r="R9288" s="10" t="s">
        <v>247</v>
      </c>
      <c r="S9288" s="12" t="s">
        <v>57178</v>
      </c>
      <c r="T9288" s="10" t="s">
        <v>249</v>
      </c>
      <c r="U9288" s="12" t="s">
        <v>31</v>
      </c>
      <c r="V9288" s="10" t="s">
        <v>57423</v>
      </c>
      <c r="W9288" s="10" t="s">
        <v>47611</v>
      </c>
      <c r="X9288" s="13" t="str">
        <f>HYPERLINK("https://my.pitchbook.com?p=297617-05P","View People Online")</f>
        <v>View People Online</v>
      </c>
    </row>
    <row r="9289">
      <c r="A9289" s="6" t="s">
        <v>57424</v>
      </c>
      <c r="B9289" s="6" t="s">
        <v>57425</v>
      </c>
      <c r="C9289" s="6" t="s">
        <v>20072</v>
      </c>
      <c r="D9289" s="6" t="s">
        <v>42253</v>
      </c>
      <c r="E9289" s="6" t="s">
        <v>47611</v>
      </c>
      <c r="F9289" s="6" t="s">
        <v>3740</v>
      </c>
      <c r="G9289" s="6" t="s">
        <v>57426</v>
      </c>
      <c r="H9289" s="7" t="s">
        <v>31</v>
      </c>
      <c r="I9289" s="7">
        <v>1.0</v>
      </c>
      <c r="J9289" s="7">
        <v>1.0</v>
      </c>
      <c r="K9289" s="7" t="s">
        <v>31</v>
      </c>
      <c r="L9289" s="8" t="s">
        <v>57176</v>
      </c>
      <c r="M9289" s="6" t="s">
        <v>57427</v>
      </c>
      <c r="N9289" s="6" t="s">
        <v>243</v>
      </c>
      <c r="O9289" s="8" t="s">
        <v>244</v>
      </c>
      <c r="P9289" s="6" t="s">
        <v>57177</v>
      </c>
      <c r="Q9289" s="6" t="s">
        <v>31</v>
      </c>
      <c r="R9289" s="6" t="s">
        <v>247</v>
      </c>
      <c r="S9289" s="8" t="s">
        <v>57178</v>
      </c>
      <c r="T9289" s="6" t="s">
        <v>249</v>
      </c>
      <c r="U9289" s="8" t="s">
        <v>31</v>
      </c>
      <c r="V9289" s="6" t="s">
        <v>57428</v>
      </c>
      <c r="W9289" s="6" t="s">
        <v>47611</v>
      </c>
      <c r="X9289" s="9" t="str">
        <f>HYPERLINK("https://my.pitchbook.com?p=381643-21P","View People Online")</f>
        <v>View People Online</v>
      </c>
    </row>
    <row r="9290">
      <c r="A9290" s="2" t="s">
        <v>57429</v>
      </c>
      <c r="B9290" s="2" t="s">
        <v>57430</v>
      </c>
      <c r="C9290" s="2" t="s">
        <v>26641</v>
      </c>
      <c r="D9290" s="2" t="s">
        <v>53028</v>
      </c>
      <c r="E9290" s="2" t="s">
        <v>47611</v>
      </c>
      <c r="F9290" s="2" t="s">
        <v>270</v>
      </c>
      <c r="G9290" s="2" t="s">
        <v>57431</v>
      </c>
      <c r="H9290" s="3" t="s">
        <v>31</v>
      </c>
      <c r="I9290" s="3">
        <v>1.0</v>
      </c>
      <c r="J9290" s="3">
        <v>1.0</v>
      </c>
      <c r="K9290" s="3" t="s">
        <v>31</v>
      </c>
      <c r="L9290" s="4" t="s">
        <v>57176</v>
      </c>
      <c r="M9290" s="2" t="s">
        <v>57432</v>
      </c>
      <c r="N9290" s="2" t="s">
        <v>243</v>
      </c>
      <c r="O9290" s="4" t="s">
        <v>244</v>
      </c>
      <c r="P9290" s="2" t="s">
        <v>57177</v>
      </c>
      <c r="Q9290" s="2" t="s">
        <v>31</v>
      </c>
      <c r="R9290" s="2" t="s">
        <v>247</v>
      </c>
      <c r="S9290" s="4" t="s">
        <v>57178</v>
      </c>
      <c r="T9290" s="2" t="s">
        <v>249</v>
      </c>
      <c r="U9290" s="4" t="s">
        <v>31</v>
      </c>
      <c r="V9290" s="2" t="s">
        <v>57433</v>
      </c>
      <c r="W9290" s="2" t="s">
        <v>47611</v>
      </c>
      <c r="X9290" s="5" t="str">
        <f>HYPERLINK("https://my.pitchbook.com?p=381644-02P","View People Online")</f>
        <v>View People Online</v>
      </c>
    </row>
    <row r="9291">
      <c r="A9291" s="14" t="s">
        <v>57434</v>
      </c>
      <c r="B9291" s="14" t="s">
        <v>57435</v>
      </c>
      <c r="C9291" s="14" t="s">
        <v>57436</v>
      </c>
      <c r="D9291" s="14" t="s">
        <v>57437</v>
      </c>
      <c r="E9291" s="14" t="s">
        <v>47611</v>
      </c>
      <c r="F9291" s="14" t="s">
        <v>1801</v>
      </c>
      <c r="G9291" s="14" t="s">
        <v>57438</v>
      </c>
      <c r="H9291" s="15" t="s">
        <v>31</v>
      </c>
      <c r="I9291" s="15">
        <v>1.0</v>
      </c>
      <c r="J9291" s="15">
        <v>1.0</v>
      </c>
      <c r="K9291" s="15" t="s">
        <v>31</v>
      </c>
      <c r="L9291" s="16" t="s">
        <v>57160</v>
      </c>
      <c r="M9291" s="14" t="s">
        <v>57439</v>
      </c>
      <c r="N9291" s="14" t="s">
        <v>57162</v>
      </c>
      <c r="O9291" s="16" t="s">
        <v>57163</v>
      </c>
      <c r="P9291" s="14" t="s">
        <v>57164</v>
      </c>
      <c r="Q9291" s="14" t="s">
        <v>31</v>
      </c>
      <c r="R9291" s="14" t="s">
        <v>31</v>
      </c>
      <c r="S9291" s="16" t="s">
        <v>57165</v>
      </c>
      <c r="T9291" s="14" t="s">
        <v>796</v>
      </c>
      <c r="U9291" s="16" t="s">
        <v>31</v>
      </c>
      <c r="V9291" s="14" t="s">
        <v>57440</v>
      </c>
      <c r="W9291" s="14" t="s">
        <v>47611</v>
      </c>
      <c r="X9291" s="17" t="str">
        <f>HYPERLINK("https://my.pitchbook.com?p=90959-68P","View People Online")</f>
        <v>View People Online</v>
      </c>
    </row>
    <row r="9292">
      <c r="A9292" s="10" t="s">
        <v>57441</v>
      </c>
      <c r="B9292" s="10" t="s">
        <v>57442</v>
      </c>
      <c r="C9292" s="10" t="s">
        <v>20404</v>
      </c>
      <c r="D9292" s="10" t="s">
        <v>57443</v>
      </c>
      <c r="E9292" s="10" t="s">
        <v>47611</v>
      </c>
      <c r="F9292" s="10" t="s">
        <v>1801</v>
      </c>
      <c r="G9292" s="10" t="s">
        <v>57444</v>
      </c>
      <c r="H9292" s="11" t="s">
        <v>31</v>
      </c>
      <c r="I9292" s="11">
        <v>1.0</v>
      </c>
      <c r="J9292" s="11">
        <v>1.0</v>
      </c>
      <c r="K9292" s="11" t="s">
        <v>31</v>
      </c>
      <c r="L9292" s="12" t="s">
        <v>57160</v>
      </c>
      <c r="M9292" s="10" t="s">
        <v>57445</v>
      </c>
      <c r="N9292" s="10" t="s">
        <v>57162</v>
      </c>
      <c r="O9292" s="12" t="s">
        <v>57163</v>
      </c>
      <c r="P9292" s="10" t="s">
        <v>57164</v>
      </c>
      <c r="Q9292" s="10" t="s">
        <v>31</v>
      </c>
      <c r="R9292" s="10" t="s">
        <v>31</v>
      </c>
      <c r="S9292" s="12" t="s">
        <v>57165</v>
      </c>
      <c r="T9292" s="10" t="s">
        <v>796</v>
      </c>
      <c r="U9292" s="12" t="s">
        <v>31</v>
      </c>
      <c r="V9292" s="10" t="s">
        <v>57446</v>
      </c>
      <c r="W9292" s="10" t="s">
        <v>47611</v>
      </c>
      <c r="X9292" s="13" t="str">
        <f>HYPERLINK("https://my.pitchbook.com?p=90973-18P","View People Online")</f>
        <v>View People Online</v>
      </c>
    </row>
    <row r="9293">
      <c r="A9293" s="6" t="s">
        <v>57447</v>
      </c>
      <c r="B9293" s="6" t="s">
        <v>57448</v>
      </c>
      <c r="C9293" s="6" t="s">
        <v>57449</v>
      </c>
      <c r="D9293" s="6" t="s">
        <v>57450</v>
      </c>
      <c r="E9293" s="6" t="s">
        <v>47611</v>
      </c>
      <c r="F9293" s="6" t="s">
        <v>583</v>
      </c>
      <c r="G9293" s="6" t="s">
        <v>57451</v>
      </c>
      <c r="H9293" s="7" t="s">
        <v>31</v>
      </c>
      <c r="I9293" s="7">
        <v>2.0</v>
      </c>
      <c r="J9293" s="7">
        <v>1.0</v>
      </c>
      <c r="K9293" s="7">
        <v>1.0</v>
      </c>
      <c r="L9293" s="8" t="s">
        <v>57160</v>
      </c>
      <c r="M9293" s="6" t="s">
        <v>57452</v>
      </c>
      <c r="N9293" s="6" t="s">
        <v>57162</v>
      </c>
      <c r="O9293" s="8" t="s">
        <v>57163</v>
      </c>
      <c r="P9293" s="6" t="s">
        <v>57164</v>
      </c>
      <c r="Q9293" s="6" t="s">
        <v>31</v>
      </c>
      <c r="R9293" s="6" t="s">
        <v>31</v>
      </c>
      <c r="S9293" s="8" t="s">
        <v>57165</v>
      </c>
      <c r="T9293" s="6" t="s">
        <v>796</v>
      </c>
      <c r="U9293" s="8" t="s">
        <v>31</v>
      </c>
      <c r="V9293" s="6" t="s">
        <v>57453</v>
      </c>
      <c r="W9293" s="6" t="s">
        <v>47611</v>
      </c>
      <c r="X9293" s="9" t="str">
        <f>HYPERLINK("https://my.pitchbook.com?p=328546-63P","View People Online")</f>
        <v>View People Online</v>
      </c>
    </row>
    <row r="9294">
      <c r="A9294" s="10" t="s">
        <v>57454</v>
      </c>
      <c r="B9294" s="10" t="s">
        <v>57455</v>
      </c>
      <c r="C9294" s="10" t="s">
        <v>57456</v>
      </c>
      <c r="D9294" s="10" t="s">
        <v>15426</v>
      </c>
      <c r="E9294" s="10" t="s">
        <v>47611</v>
      </c>
      <c r="F9294" s="10" t="s">
        <v>371</v>
      </c>
      <c r="G9294" s="10" t="s">
        <v>57457</v>
      </c>
      <c r="H9294" s="11" t="s">
        <v>31</v>
      </c>
      <c r="I9294" s="11">
        <v>1.0</v>
      </c>
      <c r="J9294" s="11">
        <v>1.0</v>
      </c>
      <c r="K9294" s="11" t="s">
        <v>31</v>
      </c>
      <c r="L9294" s="12" t="s">
        <v>57176</v>
      </c>
      <c r="M9294" s="10" t="s">
        <v>57458</v>
      </c>
      <c r="N9294" s="10" t="s">
        <v>243</v>
      </c>
      <c r="O9294" s="12" t="s">
        <v>244</v>
      </c>
      <c r="P9294" s="10" t="s">
        <v>57177</v>
      </c>
      <c r="Q9294" s="10" t="s">
        <v>31</v>
      </c>
      <c r="R9294" s="10" t="s">
        <v>247</v>
      </c>
      <c r="S9294" s="12" t="s">
        <v>57178</v>
      </c>
      <c r="T9294" s="10" t="s">
        <v>249</v>
      </c>
      <c r="U9294" s="12" t="s">
        <v>31</v>
      </c>
      <c r="V9294" s="10" t="s">
        <v>57459</v>
      </c>
      <c r="W9294" s="10" t="s">
        <v>47611</v>
      </c>
      <c r="X9294" s="13" t="str">
        <f>HYPERLINK("https://my.pitchbook.com?p=442876-87P","View People Online")</f>
        <v>View People Online</v>
      </c>
    </row>
    <row r="9295">
      <c r="A9295" s="6" t="s">
        <v>57460</v>
      </c>
      <c r="B9295" s="6" t="s">
        <v>57461</v>
      </c>
      <c r="C9295" s="6" t="s">
        <v>941</v>
      </c>
      <c r="D9295" s="6" t="s">
        <v>57462</v>
      </c>
      <c r="E9295" s="6" t="s">
        <v>47611</v>
      </c>
      <c r="F9295" s="6" t="s">
        <v>4600</v>
      </c>
      <c r="G9295" s="6" t="s">
        <v>57463</v>
      </c>
      <c r="H9295" s="7" t="s">
        <v>31</v>
      </c>
      <c r="I9295" s="7">
        <v>1.0</v>
      </c>
      <c r="J9295" s="7">
        <v>1.0</v>
      </c>
      <c r="K9295" s="7" t="s">
        <v>31</v>
      </c>
      <c r="L9295" s="8" t="s">
        <v>57176</v>
      </c>
      <c r="M9295" s="6" t="s">
        <v>57464</v>
      </c>
      <c r="N9295" s="6" t="s">
        <v>243</v>
      </c>
      <c r="O9295" s="8" t="s">
        <v>244</v>
      </c>
      <c r="P9295" s="6" t="s">
        <v>57177</v>
      </c>
      <c r="Q9295" s="6" t="s">
        <v>31</v>
      </c>
      <c r="R9295" s="6" t="s">
        <v>247</v>
      </c>
      <c r="S9295" s="8" t="s">
        <v>57178</v>
      </c>
      <c r="T9295" s="6" t="s">
        <v>249</v>
      </c>
      <c r="U9295" s="8" t="s">
        <v>31</v>
      </c>
      <c r="V9295" s="6" t="s">
        <v>57465</v>
      </c>
      <c r="W9295" s="6" t="s">
        <v>47611</v>
      </c>
      <c r="X9295" s="9" t="str">
        <f>HYPERLINK("https://my.pitchbook.com?p=381641-50P","View People Online")</f>
        <v>View People Online</v>
      </c>
    </row>
    <row r="9296">
      <c r="A9296" s="10" t="s">
        <v>57466</v>
      </c>
      <c r="B9296" s="10" t="s">
        <v>57467</v>
      </c>
      <c r="C9296" s="10" t="s">
        <v>2388</v>
      </c>
      <c r="D9296" s="10" t="s">
        <v>24129</v>
      </c>
      <c r="E9296" s="10" t="s">
        <v>47611</v>
      </c>
      <c r="F9296" s="10" t="s">
        <v>583</v>
      </c>
      <c r="G9296" s="10" t="s">
        <v>57468</v>
      </c>
      <c r="H9296" s="11" t="s">
        <v>31</v>
      </c>
      <c r="I9296" s="11">
        <v>2.0</v>
      </c>
      <c r="J9296" s="11">
        <v>1.0</v>
      </c>
      <c r="K9296" s="11">
        <v>1.0</v>
      </c>
      <c r="L9296" s="12" t="s">
        <v>57176</v>
      </c>
      <c r="M9296" s="10" t="s">
        <v>31</v>
      </c>
      <c r="N9296" s="10" t="s">
        <v>243</v>
      </c>
      <c r="O9296" s="12" t="s">
        <v>244</v>
      </c>
      <c r="P9296" s="10" t="s">
        <v>57177</v>
      </c>
      <c r="Q9296" s="10" t="s">
        <v>31</v>
      </c>
      <c r="R9296" s="10" t="s">
        <v>247</v>
      </c>
      <c r="S9296" s="12" t="s">
        <v>57178</v>
      </c>
      <c r="T9296" s="10" t="s">
        <v>249</v>
      </c>
      <c r="U9296" s="12" t="s">
        <v>31</v>
      </c>
      <c r="V9296" s="10" t="s">
        <v>583</v>
      </c>
      <c r="W9296" s="10" t="s">
        <v>47611</v>
      </c>
      <c r="X9296" s="13" t="str">
        <f>HYPERLINK("https://my.pitchbook.com?p=448622-29P","View People Online")</f>
        <v>View People Online</v>
      </c>
    </row>
    <row r="9297">
      <c r="A9297" s="14" t="s">
        <v>57469</v>
      </c>
      <c r="B9297" s="14" t="s">
        <v>57470</v>
      </c>
      <c r="C9297" s="14" t="s">
        <v>57471</v>
      </c>
      <c r="D9297" s="14" t="s">
        <v>57472</v>
      </c>
      <c r="E9297" s="14" t="s">
        <v>47611</v>
      </c>
      <c r="F9297" s="14" t="s">
        <v>10173</v>
      </c>
      <c r="G9297" s="14" t="s">
        <v>57473</v>
      </c>
      <c r="H9297" s="15" t="s">
        <v>31</v>
      </c>
      <c r="I9297" s="15">
        <v>1.0</v>
      </c>
      <c r="J9297" s="15">
        <v>1.0</v>
      </c>
      <c r="K9297" s="15" t="s">
        <v>31</v>
      </c>
      <c r="L9297" s="16" t="s">
        <v>57176</v>
      </c>
      <c r="M9297" s="14" t="s">
        <v>57474</v>
      </c>
      <c r="N9297" s="14" t="s">
        <v>243</v>
      </c>
      <c r="O9297" s="16" t="s">
        <v>244</v>
      </c>
      <c r="P9297" s="14" t="s">
        <v>57177</v>
      </c>
      <c r="Q9297" s="14" t="s">
        <v>31</v>
      </c>
      <c r="R9297" s="14" t="s">
        <v>247</v>
      </c>
      <c r="S9297" s="16" t="s">
        <v>57178</v>
      </c>
      <c r="T9297" s="14" t="s">
        <v>249</v>
      </c>
      <c r="U9297" s="16" t="s">
        <v>31</v>
      </c>
      <c r="V9297" s="14" t="s">
        <v>57475</v>
      </c>
      <c r="W9297" s="14" t="s">
        <v>47611</v>
      </c>
      <c r="X9297" s="17" t="str">
        <f>HYPERLINK("https://my.pitchbook.com?p=442875-34P","View People Online")</f>
        <v>View People Online</v>
      </c>
    </row>
    <row r="9298">
      <c r="A9298" s="2" t="s">
        <v>57476</v>
      </c>
      <c r="B9298" s="2" t="s">
        <v>57477</v>
      </c>
      <c r="C9298" s="2" t="s">
        <v>27896</v>
      </c>
      <c r="D9298" s="2" t="s">
        <v>57478</v>
      </c>
      <c r="E9298" s="2" t="s">
        <v>47611</v>
      </c>
      <c r="F9298" s="2" t="s">
        <v>270</v>
      </c>
      <c r="G9298" s="2" t="s">
        <v>57479</v>
      </c>
      <c r="H9298" s="3" t="s">
        <v>31</v>
      </c>
      <c r="I9298" s="3">
        <v>1.0</v>
      </c>
      <c r="J9298" s="3">
        <v>1.0</v>
      </c>
      <c r="K9298" s="3" t="s">
        <v>31</v>
      </c>
      <c r="L9298" s="4" t="s">
        <v>57176</v>
      </c>
      <c r="M9298" s="2" t="s">
        <v>57480</v>
      </c>
      <c r="N9298" s="2" t="s">
        <v>243</v>
      </c>
      <c r="O9298" s="4" t="s">
        <v>244</v>
      </c>
      <c r="P9298" s="2" t="s">
        <v>57177</v>
      </c>
      <c r="Q9298" s="2" t="s">
        <v>31</v>
      </c>
      <c r="R9298" s="2" t="s">
        <v>247</v>
      </c>
      <c r="S9298" s="4" t="s">
        <v>57178</v>
      </c>
      <c r="T9298" s="2" t="s">
        <v>249</v>
      </c>
      <c r="U9298" s="4" t="s">
        <v>31</v>
      </c>
      <c r="V9298" s="2" t="s">
        <v>57481</v>
      </c>
      <c r="W9298" s="2" t="s">
        <v>47611</v>
      </c>
      <c r="X9298" s="5" t="str">
        <f>HYPERLINK("https://my.pitchbook.com?p=318880-63P","View People Online")</f>
        <v>View People Online</v>
      </c>
    </row>
    <row r="9299">
      <c r="A9299" s="6" t="s">
        <v>57482</v>
      </c>
      <c r="B9299" s="6" t="s">
        <v>57483</v>
      </c>
      <c r="C9299" s="6" t="s">
        <v>3875</v>
      </c>
      <c r="D9299" s="6" t="s">
        <v>3275</v>
      </c>
      <c r="E9299" s="6" t="s">
        <v>47611</v>
      </c>
      <c r="F9299" s="6" t="s">
        <v>221</v>
      </c>
      <c r="G9299" s="6" t="s">
        <v>57484</v>
      </c>
      <c r="H9299" s="7" t="s">
        <v>31</v>
      </c>
      <c r="I9299" s="7">
        <v>1.0</v>
      </c>
      <c r="J9299" s="7">
        <v>1.0</v>
      </c>
      <c r="K9299" s="7" t="s">
        <v>31</v>
      </c>
      <c r="L9299" s="8" t="s">
        <v>57176</v>
      </c>
      <c r="M9299" s="6" t="s">
        <v>57485</v>
      </c>
      <c r="N9299" s="6" t="s">
        <v>243</v>
      </c>
      <c r="O9299" s="8" t="s">
        <v>244</v>
      </c>
      <c r="P9299" s="6" t="s">
        <v>57177</v>
      </c>
      <c r="Q9299" s="6" t="s">
        <v>31</v>
      </c>
      <c r="R9299" s="6" t="s">
        <v>247</v>
      </c>
      <c r="S9299" s="8" t="s">
        <v>57178</v>
      </c>
      <c r="T9299" s="6" t="s">
        <v>249</v>
      </c>
      <c r="U9299" s="8" t="s">
        <v>31</v>
      </c>
      <c r="V9299" s="6" t="s">
        <v>57486</v>
      </c>
      <c r="W9299" s="6" t="s">
        <v>47611</v>
      </c>
      <c r="X9299" s="9" t="str">
        <f>HYPERLINK("https://my.pitchbook.com?p=381644-65P","View People Online")</f>
        <v>View People Online</v>
      </c>
    </row>
    <row r="9300">
      <c r="A9300" s="2" t="s">
        <v>57487</v>
      </c>
      <c r="B9300" s="2" t="s">
        <v>57488</v>
      </c>
      <c r="C9300" s="2" t="s">
        <v>3875</v>
      </c>
      <c r="D9300" s="2" t="s">
        <v>57489</v>
      </c>
      <c r="E9300" s="2" t="s">
        <v>47611</v>
      </c>
      <c r="F9300" s="2" t="s">
        <v>56519</v>
      </c>
      <c r="G9300" s="2" t="s">
        <v>57490</v>
      </c>
      <c r="H9300" s="3" t="s">
        <v>31</v>
      </c>
      <c r="I9300" s="3">
        <v>1.0</v>
      </c>
      <c r="J9300" s="3">
        <v>1.0</v>
      </c>
      <c r="K9300" s="3" t="s">
        <v>31</v>
      </c>
      <c r="L9300" s="4" t="s">
        <v>57176</v>
      </c>
      <c r="M9300" s="2" t="s">
        <v>57491</v>
      </c>
      <c r="N9300" s="2" t="s">
        <v>243</v>
      </c>
      <c r="O9300" s="4" t="s">
        <v>244</v>
      </c>
      <c r="P9300" s="2" t="s">
        <v>57177</v>
      </c>
      <c r="Q9300" s="2" t="s">
        <v>31</v>
      </c>
      <c r="R9300" s="2" t="s">
        <v>247</v>
      </c>
      <c r="S9300" s="4" t="s">
        <v>57178</v>
      </c>
      <c r="T9300" s="2" t="s">
        <v>249</v>
      </c>
      <c r="U9300" s="4" t="s">
        <v>31</v>
      </c>
      <c r="V9300" s="2" t="s">
        <v>57492</v>
      </c>
      <c r="W9300" s="2" t="s">
        <v>47611</v>
      </c>
      <c r="X9300" s="5" t="str">
        <f>HYPERLINK("https://my.pitchbook.com?p=390668-32P","View People Online")</f>
        <v>View People Online</v>
      </c>
    </row>
    <row r="9301">
      <c r="A9301" s="14" t="s">
        <v>57493</v>
      </c>
      <c r="B9301" s="14" t="s">
        <v>57494</v>
      </c>
      <c r="C9301" s="14" t="s">
        <v>21378</v>
      </c>
      <c r="D9301" s="14" t="s">
        <v>57495</v>
      </c>
      <c r="E9301" s="14" t="s">
        <v>47611</v>
      </c>
      <c r="F9301" s="14" t="s">
        <v>270</v>
      </c>
      <c r="G9301" s="14" t="s">
        <v>57496</v>
      </c>
      <c r="H9301" s="15" t="s">
        <v>31</v>
      </c>
      <c r="I9301" s="15">
        <v>1.0</v>
      </c>
      <c r="J9301" s="15">
        <v>1.0</v>
      </c>
      <c r="K9301" s="15" t="s">
        <v>31</v>
      </c>
      <c r="L9301" s="16" t="s">
        <v>57176</v>
      </c>
      <c r="M9301" s="14" t="s">
        <v>57497</v>
      </c>
      <c r="N9301" s="14" t="s">
        <v>243</v>
      </c>
      <c r="O9301" s="16" t="s">
        <v>244</v>
      </c>
      <c r="P9301" s="14" t="s">
        <v>57177</v>
      </c>
      <c r="Q9301" s="14" t="s">
        <v>31</v>
      </c>
      <c r="R9301" s="14" t="s">
        <v>247</v>
      </c>
      <c r="S9301" s="16" t="s">
        <v>57178</v>
      </c>
      <c r="T9301" s="14" t="s">
        <v>249</v>
      </c>
      <c r="U9301" s="16" t="s">
        <v>31</v>
      </c>
      <c r="V9301" s="14" t="s">
        <v>57498</v>
      </c>
      <c r="W9301" s="14" t="s">
        <v>47611</v>
      </c>
      <c r="X9301" s="17" t="str">
        <f>HYPERLINK("https://my.pitchbook.com?p=318871-54P","View People Online")</f>
        <v>View People Online</v>
      </c>
    </row>
    <row r="9302">
      <c r="A9302" s="10" t="s">
        <v>57499</v>
      </c>
      <c r="B9302" s="10" t="s">
        <v>57500</v>
      </c>
      <c r="C9302" s="10" t="s">
        <v>57501</v>
      </c>
      <c r="D9302" s="10" t="s">
        <v>33273</v>
      </c>
      <c r="E9302" s="10" t="s">
        <v>47611</v>
      </c>
      <c r="F9302" s="10" t="s">
        <v>825</v>
      </c>
      <c r="G9302" s="10" t="s">
        <v>57502</v>
      </c>
      <c r="H9302" s="11" t="s">
        <v>31</v>
      </c>
      <c r="I9302" s="11">
        <v>1.0</v>
      </c>
      <c r="J9302" s="11">
        <v>1.0</v>
      </c>
      <c r="K9302" s="11" t="s">
        <v>31</v>
      </c>
      <c r="L9302" s="12" t="s">
        <v>57176</v>
      </c>
      <c r="M9302" s="10" t="s">
        <v>57503</v>
      </c>
      <c r="N9302" s="10" t="s">
        <v>243</v>
      </c>
      <c r="O9302" s="12" t="s">
        <v>244</v>
      </c>
      <c r="P9302" s="10" t="s">
        <v>57177</v>
      </c>
      <c r="Q9302" s="10" t="s">
        <v>31</v>
      </c>
      <c r="R9302" s="10" t="s">
        <v>247</v>
      </c>
      <c r="S9302" s="12" t="s">
        <v>57178</v>
      </c>
      <c r="T9302" s="10" t="s">
        <v>249</v>
      </c>
      <c r="U9302" s="12" t="s">
        <v>31</v>
      </c>
      <c r="V9302" s="10" t="s">
        <v>57504</v>
      </c>
      <c r="W9302" s="10" t="s">
        <v>47611</v>
      </c>
      <c r="X9302" s="13" t="str">
        <f>HYPERLINK("https://my.pitchbook.com?p=90958-15P","View People Online")</f>
        <v>View People Online</v>
      </c>
    </row>
    <row r="9303">
      <c r="A9303" s="6" t="s">
        <v>57505</v>
      </c>
      <c r="B9303" s="6" t="s">
        <v>57506</v>
      </c>
      <c r="C9303" s="6" t="s">
        <v>57507</v>
      </c>
      <c r="D9303" s="6" t="s">
        <v>57508</v>
      </c>
      <c r="E9303" s="6" t="s">
        <v>47611</v>
      </c>
      <c r="F9303" s="6" t="s">
        <v>2731</v>
      </c>
      <c r="G9303" s="6" t="s">
        <v>57509</v>
      </c>
      <c r="H9303" s="7" t="s">
        <v>31</v>
      </c>
      <c r="I9303" s="7">
        <v>1.0</v>
      </c>
      <c r="J9303" s="7">
        <v>1.0</v>
      </c>
      <c r="K9303" s="7" t="s">
        <v>31</v>
      </c>
      <c r="L9303" s="8" t="s">
        <v>57176</v>
      </c>
      <c r="M9303" s="6" t="s">
        <v>57510</v>
      </c>
      <c r="N9303" s="6" t="s">
        <v>243</v>
      </c>
      <c r="O9303" s="8" t="s">
        <v>244</v>
      </c>
      <c r="P9303" s="6" t="s">
        <v>57177</v>
      </c>
      <c r="Q9303" s="6" t="s">
        <v>31</v>
      </c>
      <c r="R9303" s="6" t="s">
        <v>247</v>
      </c>
      <c r="S9303" s="8" t="s">
        <v>57178</v>
      </c>
      <c r="T9303" s="6" t="s">
        <v>249</v>
      </c>
      <c r="U9303" s="8" t="s">
        <v>31</v>
      </c>
      <c r="V9303" s="6" t="s">
        <v>57511</v>
      </c>
      <c r="W9303" s="6" t="s">
        <v>47611</v>
      </c>
      <c r="X9303" s="9" t="str">
        <f>HYPERLINK("https://my.pitchbook.com?p=318876-49P","View People Online")</f>
        <v>View People Online</v>
      </c>
    </row>
    <row r="9304">
      <c r="A9304" s="2" t="s">
        <v>57512</v>
      </c>
      <c r="B9304" s="2" t="s">
        <v>57513</v>
      </c>
      <c r="C9304" s="2" t="s">
        <v>57514</v>
      </c>
      <c r="D9304" s="2" t="s">
        <v>57515</v>
      </c>
      <c r="E9304" s="2" t="s">
        <v>47611</v>
      </c>
      <c r="F9304" s="2" t="s">
        <v>2731</v>
      </c>
      <c r="G9304" s="2" t="s">
        <v>57516</v>
      </c>
      <c r="H9304" s="3" t="s">
        <v>31</v>
      </c>
      <c r="I9304" s="3">
        <v>1.0</v>
      </c>
      <c r="J9304" s="3">
        <v>1.0</v>
      </c>
      <c r="K9304" s="3" t="s">
        <v>31</v>
      </c>
      <c r="L9304" s="4" t="s">
        <v>57176</v>
      </c>
      <c r="M9304" s="2" t="s">
        <v>57517</v>
      </c>
      <c r="N9304" s="2" t="s">
        <v>243</v>
      </c>
      <c r="O9304" s="4" t="s">
        <v>244</v>
      </c>
      <c r="P9304" s="2" t="s">
        <v>57177</v>
      </c>
      <c r="Q9304" s="2" t="s">
        <v>31</v>
      </c>
      <c r="R9304" s="2" t="s">
        <v>247</v>
      </c>
      <c r="S9304" s="4" t="s">
        <v>57178</v>
      </c>
      <c r="T9304" s="2" t="s">
        <v>249</v>
      </c>
      <c r="U9304" s="4" t="s">
        <v>31</v>
      </c>
      <c r="V9304" s="2" t="s">
        <v>57518</v>
      </c>
      <c r="W9304" s="2" t="s">
        <v>47611</v>
      </c>
      <c r="X9304" s="5" t="str">
        <f>HYPERLINK("https://my.pitchbook.com?p=318878-92P","View People Online")</f>
        <v>View People Online</v>
      </c>
    </row>
    <row r="9305">
      <c r="A9305" s="14" t="s">
        <v>57519</v>
      </c>
      <c r="B9305" s="14" t="s">
        <v>57520</v>
      </c>
      <c r="C9305" s="14" t="s">
        <v>9626</v>
      </c>
      <c r="D9305" s="14" t="s">
        <v>57521</v>
      </c>
      <c r="E9305" s="14" t="s">
        <v>47611</v>
      </c>
      <c r="F9305" s="14" t="s">
        <v>5515</v>
      </c>
      <c r="G9305" s="14" t="s">
        <v>57522</v>
      </c>
      <c r="H9305" s="15">
        <v>3.0</v>
      </c>
      <c r="I9305" s="15">
        <v>4.0</v>
      </c>
      <c r="J9305" s="15">
        <v>4.0</v>
      </c>
      <c r="K9305" s="15" t="s">
        <v>31</v>
      </c>
      <c r="L9305" s="16" t="s">
        <v>57523</v>
      </c>
      <c r="M9305" s="14" t="s">
        <v>57524</v>
      </c>
      <c r="N9305" s="14" t="s">
        <v>243</v>
      </c>
      <c r="O9305" s="16" t="s">
        <v>244</v>
      </c>
      <c r="P9305" s="14" t="s">
        <v>57177</v>
      </c>
      <c r="Q9305" s="14" t="s">
        <v>31</v>
      </c>
      <c r="R9305" s="14" t="s">
        <v>247</v>
      </c>
      <c r="S9305" s="16" t="s">
        <v>57178</v>
      </c>
      <c r="T9305" s="14" t="s">
        <v>249</v>
      </c>
      <c r="U9305" s="16" t="s">
        <v>31</v>
      </c>
      <c r="V9305" s="14" t="s">
        <v>57525</v>
      </c>
      <c r="W9305" s="14" t="s">
        <v>47611</v>
      </c>
      <c r="X9305" s="17" t="str">
        <f>HYPERLINK("https://my.pitchbook.com?p=296863-66P","View People Online")</f>
        <v>View People Online</v>
      </c>
    </row>
    <row r="9306">
      <c r="A9306" s="2" t="s">
        <v>57526</v>
      </c>
      <c r="B9306" s="2" t="s">
        <v>57527</v>
      </c>
      <c r="C9306" s="2" t="s">
        <v>4679</v>
      </c>
      <c r="D9306" s="2" t="s">
        <v>57528</v>
      </c>
      <c r="E9306" s="2" t="s">
        <v>47611</v>
      </c>
      <c r="F9306" s="2" t="s">
        <v>1801</v>
      </c>
      <c r="G9306" s="2" t="s">
        <v>57529</v>
      </c>
      <c r="H9306" s="3" t="s">
        <v>31</v>
      </c>
      <c r="I9306" s="3">
        <v>1.0</v>
      </c>
      <c r="J9306" s="3">
        <v>1.0</v>
      </c>
      <c r="K9306" s="3" t="s">
        <v>31</v>
      </c>
      <c r="L9306" s="4" t="s">
        <v>57176</v>
      </c>
      <c r="M9306" s="2" t="s">
        <v>57530</v>
      </c>
      <c r="N9306" s="2" t="s">
        <v>243</v>
      </c>
      <c r="O9306" s="4" t="s">
        <v>244</v>
      </c>
      <c r="P9306" s="2" t="s">
        <v>57177</v>
      </c>
      <c r="Q9306" s="2" t="s">
        <v>31</v>
      </c>
      <c r="R9306" s="2" t="s">
        <v>247</v>
      </c>
      <c r="S9306" s="4" t="s">
        <v>57178</v>
      </c>
      <c r="T9306" s="2" t="s">
        <v>249</v>
      </c>
      <c r="U9306" s="4" t="s">
        <v>31</v>
      </c>
      <c r="V9306" s="2" t="s">
        <v>57531</v>
      </c>
      <c r="W9306" s="2" t="s">
        <v>47611</v>
      </c>
      <c r="X9306" s="5" t="str">
        <f>HYPERLINK("https://my.pitchbook.com?p=343641-70P","View People Online")</f>
        <v>View People Online</v>
      </c>
    </row>
    <row r="9307">
      <c r="A9307" s="14" t="s">
        <v>57532</v>
      </c>
      <c r="B9307" s="14" t="s">
        <v>57533</v>
      </c>
      <c r="C9307" s="14" t="s">
        <v>4679</v>
      </c>
      <c r="D9307" s="14" t="s">
        <v>57534</v>
      </c>
      <c r="E9307" s="14" t="s">
        <v>47611</v>
      </c>
      <c r="F9307" s="14" t="s">
        <v>1801</v>
      </c>
      <c r="G9307" s="14" t="s">
        <v>57535</v>
      </c>
      <c r="H9307" s="15" t="s">
        <v>31</v>
      </c>
      <c r="I9307" s="15">
        <v>1.0</v>
      </c>
      <c r="J9307" s="15">
        <v>1.0</v>
      </c>
      <c r="K9307" s="15" t="s">
        <v>31</v>
      </c>
      <c r="L9307" s="16" t="s">
        <v>57160</v>
      </c>
      <c r="M9307" s="14" t="s">
        <v>57536</v>
      </c>
      <c r="N9307" s="14" t="s">
        <v>57162</v>
      </c>
      <c r="O9307" s="16" t="s">
        <v>57163</v>
      </c>
      <c r="P9307" s="14" t="s">
        <v>57164</v>
      </c>
      <c r="Q9307" s="14" t="s">
        <v>31</v>
      </c>
      <c r="R9307" s="14" t="s">
        <v>31</v>
      </c>
      <c r="S9307" s="16" t="s">
        <v>57165</v>
      </c>
      <c r="T9307" s="14" t="s">
        <v>796</v>
      </c>
      <c r="U9307" s="16" t="s">
        <v>31</v>
      </c>
      <c r="V9307" s="14" t="s">
        <v>57537</v>
      </c>
      <c r="W9307" s="14" t="s">
        <v>47611</v>
      </c>
      <c r="X9307" s="17" t="str">
        <f>HYPERLINK("https://my.pitchbook.com?p=90981-19P","View People Online")</f>
        <v>View People Online</v>
      </c>
    </row>
    <row r="9308">
      <c r="A9308" s="10" t="s">
        <v>57538</v>
      </c>
      <c r="B9308" s="10" t="s">
        <v>57539</v>
      </c>
      <c r="C9308" s="10" t="s">
        <v>34632</v>
      </c>
      <c r="D9308" s="10" t="s">
        <v>32101</v>
      </c>
      <c r="E9308" s="10" t="s">
        <v>47611</v>
      </c>
      <c r="F9308" s="10" t="s">
        <v>1801</v>
      </c>
      <c r="G9308" s="10" t="s">
        <v>57540</v>
      </c>
      <c r="H9308" s="11" t="s">
        <v>31</v>
      </c>
      <c r="I9308" s="11">
        <v>1.0</v>
      </c>
      <c r="J9308" s="11">
        <v>1.0</v>
      </c>
      <c r="K9308" s="11" t="s">
        <v>31</v>
      </c>
      <c r="L9308" s="12" t="s">
        <v>57160</v>
      </c>
      <c r="M9308" s="10" t="s">
        <v>57541</v>
      </c>
      <c r="N9308" s="10" t="s">
        <v>57162</v>
      </c>
      <c r="O9308" s="12" t="s">
        <v>57163</v>
      </c>
      <c r="P9308" s="10" t="s">
        <v>57164</v>
      </c>
      <c r="Q9308" s="10" t="s">
        <v>31</v>
      </c>
      <c r="R9308" s="10" t="s">
        <v>31</v>
      </c>
      <c r="S9308" s="12" t="s">
        <v>57165</v>
      </c>
      <c r="T9308" s="10" t="s">
        <v>796</v>
      </c>
      <c r="U9308" s="12" t="s">
        <v>31</v>
      </c>
      <c r="V9308" s="10" t="s">
        <v>57542</v>
      </c>
      <c r="W9308" s="10" t="s">
        <v>47611</v>
      </c>
      <c r="X9308" s="13" t="str">
        <f>HYPERLINK("https://my.pitchbook.com?p=90978-13P","View People Online")</f>
        <v>View People Online</v>
      </c>
    </row>
    <row r="9309">
      <c r="A9309" s="14" t="s">
        <v>57543</v>
      </c>
      <c r="B9309" s="14" t="s">
        <v>57544</v>
      </c>
      <c r="C9309" s="14" t="s">
        <v>24067</v>
      </c>
      <c r="D9309" s="14" t="s">
        <v>57545</v>
      </c>
      <c r="E9309" s="14" t="s">
        <v>47611</v>
      </c>
      <c r="F9309" s="14" t="s">
        <v>825</v>
      </c>
      <c r="G9309" s="14" t="s">
        <v>57546</v>
      </c>
      <c r="H9309" s="15" t="s">
        <v>31</v>
      </c>
      <c r="I9309" s="15">
        <v>1.0</v>
      </c>
      <c r="J9309" s="15">
        <v>1.0</v>
      </c>
      <c r="K9309" s="15" t="s">
        <v>31</v>
      </c>
      <c r="L9309" s="16" t="s">
        <v>57160</v>
      </c>
      <c r="M9309" s="14" t="s">
        <v>57547</v>
      </c>
      <c r="N9309" s="14" t="s">
        <v>57162</v>
      </c>
      <c r="O9309" s="16" t="s">
        <v>57163</v>
      </c>
      <c r="P9309" s="14" t="s">
        <v>57164</v>
      </c>
      <c r="Q9309" s="14" t="s">
        <v>31</v>
      </c>
      <c r="R9309" s="14" t="s">
        <v>31</v>
      </c>
      <c r="S9309" s="16" t="s">
        <v>57165</v>
      </c>
      <c r="T9309" s="14" t="s">
        <v>796</v>
      </c>
      <c r="U9309" s="16" t="s">
        <v>31</v>
      </c>
      <c r="V9309" s="14" t="s">
        <v>57548</v>
      </c>
      <c r="W9309" s="14" t="s">
        <v>47611</v>
      </c>
      <c r="X9309" s="17" t="str">
        <f>HYPERLINK("https://my.pitchbook.com?p=203549-50P","View People Online")</f>
        <v>View People Online</v>
      </c>
    </row>
    <row r="9310">
      <c r="A9310" s="2" t="s">
        <v>57549</v>
      </c>
      <c r="B9310" s="2" t="s">
        <v>57550</v>
      </c>
      <c r="C9310" s="2" t="s">
        <v>562</v>
      </c>
      <c r="D9310" s="2" t="s">
        <v>28539</v>
      </c>
      <c r="E9310" s="2" t="s">
        <v>47611</v>
      </c>
      <c r="F9310" s="2" t="s">
        <v>312</v>
      </c>
      <c r="G9310" s="2" t="s">
        <v>57551</v>
      </c>
      <c r="H9310" s="3" t="s">
        <v>31</v>
      </c>
      <c r="I9310" s="3">
        <v>3.0</v>
      </c>
      <c r="J9310" s="3">
        <v>2.0</v>
      </c>
      <c r="K9310" s="3">
        <v>1.0</v>
      </c>
      <c r="L9310" s="4" t="s">
        <v>57176</v>
      </c>
      <c r="M9310" s="2" t="s">
        <v>57552</v>
      </c>
      <c r="N9310" s="2" t="s">
        <v>243</v>
      </c>
      <c r="O9310" s="4" t="s">
        <v>244</v>
      </c>
      <c r="P9310" s="2" t="s">
        <v>57177</v>
      </c>
      <c r="Q9310" s="2" t="s">
        <v>31</v>
      </c>
      <c r="R9310" s="2" t="s">
        <v>247</v>
      </c>
      <c r="S9310" s="4" t="s">
        <v>57178</v>
      </c>
      <c r="T9310" s="2" t="s">
        <v>249</v>
      </c>
      <c r="U9310" s="4" t="s">
        <v>31</v>
      </c>
      <c r="V9310" s="2" t="s">
        <v>57553</v>
      </c>
      <c r="W9310" s="2" t="s">
        <v>47611</v>
      </c>
      <c r="X9310" s="5" t="str">
        <f>HYPERLINK("https://my.pitchbook.com?p=351855-82P","View People Online")</f>
        <v>View People Online</v>
      </c>
    </row>
    <row r="9311">
      <c r="A9311" s="6" t="s">
        <v>57554</v>
      </c>
      <c r="B9311" s="6" t="s">
        <v>57555</v>
      </c>
      <c r="C9311" s="6" t="s">
        <v>12490</v>
      </c>
      <c r="D9311" s="6" t="s">
        <v>57556</v>
      </c>
      <c r="E9311" s="6" t="s">
        <v>47611</v>
      </c>
      <c r="F9311" s="6" t="s">
        <v>7624</v>
      </c>
      <c r="G9311" s="6" t="s">
        <v>57557</v>
      </c>
      <c r="H9311" s="7" t="s">
        <v>31</v>
      </c>
      <c r="I9311" s="7">
        <v>1.0</v>
      </c>
      <c r="J9311" s="7">
        <v>1.0</v>
      </c>
      <c r="K9311" s="7" t="s">
        <v>31</v>
      </c>
      <c r="L9311" s="8" t="s">
        <v>57176</v>
      </c>
      <c r="M9311" s="6" t="s">
        <v>57558</v>
      </c>
      <c r="N9311" s="6" t="s">
        <v>243</v>
      </c>
      <c r="O9311" s="8" t="s">
        <v>244</v>
      </c>
      <c r="P9311" s="6" t="s">
        <v>57177</v>
      </c>
      <c r="Q9311" s="6" t="s">
        <v>31</v>
      </c>
      <c r="R9311" s="6" t="s">
        <v>247</v>
      </c>
      <c r="S9311" s="8" t="s">
        <v>57178</v>
      </c>
      <c r="T9311" s="6" t="s">
        <v>249</v>
      </c>
      <c r="U9311" s="8" t="s">
        <v>31</v>
      </c>
      <c r="V9311" s="6" t="s">
        <v>57559</v>
      </c>
      <c r="W9311" s="6" t="s">
        <v>47611</v>
      </c>
      <c r="X9311" s="9" t="str">
        <f>HYPERLINK("https://my.pitchbook.com?p=318862-09P","View People Online")</f>
        <v>View People Online</v>
      </c>
    </row>
    <row r="9312">
      <c r="A9312" s="10" t="s">
        <v>57560</v>
      </c>
      <c r="B9312" s="10" t="s">
        <v>57561</v>
      </c>
      <c r="C9312" s="10" t="s">
        <v>1830</v>
      </c>
      <c r="D9312" s="10" t="s">
        <v>57562</v>
      </c>
      <c r="E9312" s="10" t="s">
        <v>47611</v>
      </c>
      <c r="F9312" s="10" t="s">
        <v>371</v>
      </c>
      <c r="G9312" s="10" t="s">
        <v>57563</v>
      </c>
      <c r="H9312" s="11" t="s">
        <v>31</v>
      </c>
      <c r="I9312" s="11">
        <v>1.0</v>
      </c>
      <c r="J9312" s="11">
        <v>1.0</v>
      </c>
      <c r="K9312" s="11" t="s">
        <v>31</v>
      </c>
      <c r="L9312" s="12" t="s">
        <v>57176</v>
      </c>
      <c r="M9312" s="10" t="s">
        <v>57564</v>
      </c>
      <c r="N9312" s="10" t="s">
        <v>243</v>
      </c>
      <c r="O9312" s="12" t="s">
        <v>244</v>
      </c>
      <c r="P9312" s="10" t="s">
        <v>57177</v>
      </c>
      <c r="Q9312" s="10" t="s">
        <v>31</v>
      </c>
      <c r="R9312" s="10" t="s">
        <v>247</v>
      </c>
      <c r="S9312" s="12" t="s">
        <v>57178</v>
      </c>
      <c r="T9312" s="10" t="s">
        <v>249</v>
      </c>
      <c r="U9312" s="12" t="s">
        <v>31</v>
      </c>
      <c r="V9312" s="10" t="s">
        <v>57565</v>
      </c>
      <c r="W9312" s="10" t="s">
        <v>47611</v>
      </c>
      <c r="X9312" s="13" t="str">
        <f>HYPERLINK("https://my.pitchbook.com?p=297619-57P","View People Online")</f>
        <v>View People Online</v>
      </c>
    </row>
    <row r="9313">
      <c r="A9313" s="6" t="s">
        <v>57566</v>
      </c>
      <c r="B9313" s="6" t="s">
        <v>57567</v>
      </c>
      <c r="C9313" s="6" t="s">
        <v>57568</v>
      </c>
      <c r="D9313" s="6" t="s">
        <v>57569</v>
      </c>
      <c r="E9313" s="6" t="s">
        <v>47611</v>
      </c>
      <c r="F9313" s="6" t="s">
        <v>270</v>
      </c>
      <c r="G9313" s="6" t="s">
        <v>57570</v>
      </c>
      <c r="H9313" s="7" t="s">
        <v>31</v>
      </c>
      <c r="I9313" s="7">
        <v>1.0</v>
      </c>
      <c r="J9313" s="7">
        <v>1.0</v>
      </c>
      <c r="K9313" s="7" t="s">
        <v>31</v>
      </c>
      <c r="L9313" s="8" t="s">
        <v>57160</v>
      </c>
      <c r="M9313" s="6" t="s">
        <v>57571</v>
      </c>
      <c r="N9313" s="6" t="s">
        <v>57162</v>
      </c>
      <c r="O9313" s="8" t="s">
        <v>57163</v>
      </c>
      <c r="P9313" s="6" t="s">
        <v>57164</v>
      </c>
      <c r="Q9313" s="6" t="s">
        <v>31</v>
      </c>
      <c r="R9313" s="6" t="s">
        <v>31</v>
      </c>
      <c r="S9313" s="8" t="s">
        <v>57165</v>
      </c>
      <c r="T9313" s="6" t="s">
        <v>796</v>
      </c>
      <c r="U9313" s="8" t="s">
        <v>31</v>
      </c>
      <c r="V9313" s="6" t="s">
        <v>5541</v>
      </c>
      <c r="W9313" s="6" t="s">
        <v>47611</v>
      </c>
      <c r="X9313" s="9" t="str">
        <f>HYPERLINK("https://my.pitchbook.com?p=275687-02P","View People Online")</f>
        <v>View People Online</v>
      </c>
    </row>
    <row r="9314">
      <c r="A9314" s="10" t="s">
        <v>57572</v>
      </c>
      <c r="B9314" s="10" t="s">
        <v>57573</v>
      </c>
      <c r="C9314" s="10" t="s">
        <v>22793</v>
      </c>
      <c r="D9314" s="10" t="s">
        <v>57574</v>
      </c>
      <c r="E9314" s="10" t="s">
        <v>47611</v>
      </c>
      <c r="F9314" s="10" t="s">
        <v>1801</v>
      </c>
      <c r="G9314" s="10" t="s">
        <v>57575</v>
      </c>
      <c r="H9314" s="11" t="s">
        <v>31</v>
      </c>
      <c r="I9314" s="11">
        <v>1.0</v>
      </c>
      <c r="J9314" s="11">
        <v>1.0</v>
      </c>
      <c r="K9314" s="11" t="s">
        <v>31</v>
      </c>
      <c r="L9314" s="12" t="s">
        <v>57176</v>
      </c>
      <c r="M9314" s="10" t="s">
        <v>57576</v>
      </c>
      <c r="N9314" s="10" t="s">
        <v>243</v>
      </c>
      <c r="O9314" s="12" t="s">
        <v>244</v>
      </c>
      <c r="P9314" s="10" t="s">
        <v>57177</v>
      </c>
      <c r="Q9314" s="10" t="s">
        <v>31</v>
      </c>
      <c r="R9314" s="10" t="s">
        <v>247</v>
      </c>
      <c r="S9314" s="12" t="s">
        <v>57178</v>
      </c>
      <c r="T9314" s="10" t="s">
        <v>249</v>
      </c>
      <c r="U9314" s="12" t="s">
        <v>31</v>
      </c>
      <c r="V9314" s="10" t="s">
        <v>57577</v>
      </c>
      <c r="W9314" s="10" t="s">
        <v>47611</v>
      </c>
      <c r="X9314" s="13" t="str">
        <f>HYPERLINK("https://my.pitchbook.com?p=349475-14P","View People Online")</f>
        <v>View People Online</v>
      </c>
    </row>
    <row r="9315">
      <c r="A9315" s="6" t="s">
        <v>57578</v>
      </c>
      <c r="B9315" s="6" t="s">
        <v>57579</v>
      </c>
      <c r="C9315" s="6" t="s">
        <v>57580</v>
      </c>
      <c r="D9315" s="6" t="s">
        <v>57581</v>
      </c>
      <c r="E9315" s="6" t="s">
        <v>47611</v>
      </c>
      <c r="F9315" s="6" t="s">
        <v>1249</v>
      </c>
      <c r="G9315" s="6" t="s">
        <v>57582</v>
      </c>
      <c r="H9315" s="7">
        <v>1.0</v>
      </c>
      <c r="I9315" s="7">
        <v>6.0</v>
      </c>
      <c r="J9315" s="7">
        <v>1.0</v>
      </c>
      <c r="K9315" s="7">
        <v>5.0</v>
      </c>
      <c r="L9315" s="8" t="s">
        <v>57160</v>
      </c>
      <c r="M9315" s="6" t="s">
        <v>57583</v>
      </c>
      <c r="N9315" s="6" t="s">
        <v>57162</v>
      </c>
      <c r="O9315" s="8" t="s">
        <v>57163</v>
      </c>
      <c r="P9315" s="6" t="s">
        <v>57164</v>
      </c>
      <c r="Q9315" s="6" t="s">
        <v>31</v>
      </c>
      <c r="R9315" s="6" t="s">
        <v>31</v>
      </c>
      <c r="S9315" s="8" t="s">
        <v>57165</v>
      </c>
      <c r="T9315" s="6" t="s">
        <v>796</v>
      </c>
      <c r="U9315" s="8" t="s">
        <v>31</v>
      </c>
      <c r="V9315" s="6" t="s">
        <v>57584</v>
      </c>
      <c r="W9315" s="6" t="s">
        <v>47611</v>
      </c>
      <c r="X9315" s="9" t="str">
        <f>HYPERLINK("https://my.pitchbook.com?p=285376-06P","View People Online")</f>
        <v>View People Online</v>
      </c>
    </row>
    <row r="9316">
      <c r="A9316" s="2" t="s">
        <v>57585</v>
      </c>
      <c r="B9316" s="2" t="s">
        <v>57586</v>
      </c>
      <c r="C9316" s="2" t="s">
        <v>57587</v>
      </c>
      <c r="D9316" s="2" t="s">
        <v>57588</v>
      </c>
      <c r="E9316" s="2" t="s">
        <v>47611</v>
      </c>
      <c r="F9316" s="2" t="s">
        <v>5787</v>
      </c>
      <c r="G9316" s="2" t="s">
        <v>57589</v>
      </c>
      <c r="H9316" s="3" t="s">
        <v>31</v>
      </c>
      <c r="I9316" s="3">
        <v>5.0</v>
      </c>
      <c r="J9316" s="3">
        <v>2.0</v>
      </c>
      <c r="K9316" s="3">
        <v>3.0</v>
      </c>
      <c r="L9316" s="4" t="s">
        <v>57176</v>
      </c>
      <c r="M9316" s="2" t="s">
        <v>57590</v>
      </c>
      <c r="N9316" s="2" t="s">
        <v>243</v>
      </c>
      <c r="O9316" s="4" t="s">
        <v>244</v>
      </c>
      <c r="P9316" s="2" t="s">
        <v>57177</v>
      </c>
      <c r="Q9316" s="2" t="s">
        <v>31</v>
      </c>
      <c r="R9316" s="2" t="s">
        <v>247</v>
      </c>
      <c r="S9316" s="4" t="s">
        <v>57178</v>
      </c>
      <c r="T9316" s="2" t="s">
        <v>249</v>
      </c>
      <c r="U9316" s="4" t="s">
        <v>31</v>
      </c>
      <c r="V9316" s="2" t="s">
        <v>57591</v>
      </c>
      <c r="W9316" s="2" t="s">
        <v>47611</v>
      </c>
      <c r="X9316" s="5" t="str">
        <f>HYPERLINK("https://my.pitchbook.com?p=297319-15P","View People Online")</f>
        <v>View People Online</v>
      </c>
    </row>
    <row r="9317">
      <c r="A9317" s="6" t="s">
        <v>57592</v>
      </c>
      <c r="B9317" s="6" t="s">
        <v>57593</v>
      </c>
      <c r="C9317" s="6" t="s">
        <v>57594</v>
      </c>
      <c r="D9317" s="6" t="s">
        <v>57595</v>
      </c>
      <c r="E9317" s="6" t="s">
        <v>47611</v>
      </c>
      <c r="F9317" s="6" t="s">
        <v>548</v>
      </c>
      <c r="G9317" s="6" t="s">
        <v>57596</v>
      </c>
      <c r="H9317" s="7" t="s">
        <v>31</v>
      </c>
      <c r="I9317" s="7">
        <v>2.0</v>
      </c>
      <c r="J9317" s="7">
        <v>1.0</v>
      </c>
      <c r="K9317" s="7">
        <v>1.0</v>
      </c>
      <c r="L9317" s="8" t="s">
        <v>57176</v>
      </c>
      <c r="M9317" s="6" t="s">
        <v>57597</v>
      </c>
      <c r="N9317" s="6" t="s">
        <v>243</v>
      </c>
      <c r="O9317" s="8" t="s">
        <v>244</v>
      </c>
      <c r="P9317" s="6" t="s">
        <v>57177</v>
      </c>
      <c r="Q9317" s="6" t="s">
        <v>31</v>
      </c>
      <c r="R9317" s="6" t="s">
        <v>247</v>
      </c>
      <c r="S9317" s="8" t="s">
        <v>57178</v>
      </c>
      <c r="T9317" s="6" t="s">
        <v>249</v>
      </c>
      <c r="U9317" s="8" t="s">
        <v>31</v>
      </c>
      <c r="V9317" s="6" t="s">
        <v>57598</v>
      </c>
      <c r="W9317" s="6" t="s">
        <v>47611</v>
      </c>
      <c r="X9317" s="9" t="str">
        <f>HYPERLINK("https://my.pitchbook.com?p=422484-94P","View People Online")</f>
        <v>View People Online</v>
      </c>
    </row>
    <row r="9318">
      <c r="A9318" s="10" t="s">
        <v>57599</v>
      </c>
      <c r="B9318" s="10" t="s">
        <v>57600</v>
      </c>
      <c r="C9318" s="10" t="s">
        <v>57601</v>
      </c>
      <c r="D9318" s="10" t="s">
        <v>3775</v>
      </c>
      <c r="E9318" s="10" t="s">
        <v>57602</v>
      </c>
      <c r="F9318" s="10" t="s">
        <v>371</v>
      </c>
      <c r="G9318" s="10" t="s">
        <v>57603</v>
      </c>
      <c r="H9318" s="11" t="s">
        <v>31</v>
      </c>
      <c r="I9318" s="11">
        <v>2.0</v>
      </c>
      <c r="J9318" s="11">
        <v>1.0</v>
      </c>
      <c r="K9318" s="11">
        <v>1.0</v>
      </c>
      <c r="L9318" s="12" t="s">
        <v>57604</v>
      </c>
      <c r="M9318" s="10" t="s">
        <v>57605</v>
      </c>
      <c r="N9318" s="10" t="s">
        <v>40487</v>
      </c>
      <c r="O9318" s="12" t="s">
        <v>40488</v>
      </c>
      <c r="P9318" s="10" t="s">
        <v>57606</v>
      </c>
      <c r="Q9318" s="10" t="s">
        <v>57607</v>
      </c>
      <c r="R9318" s="10" t="s">
        <v>31</v>
      </c>
      <c r="S9318" s="12" t="s">
        <v>57608</v>
      </c>
      <c r="T9318" s="10" t="s">
        <v>3339</v>
      </c>
      <c r="U9318" s="12" t="s">
        <v>57609</v>
      </c>
      <c r="V9318" s="10" t="s">
        <v>371</v>
      </c>
      <c r="W9318" s="10" t="s">
        <v>57602</v>
      </c>
      <c r="X9318" s="13" t="str">
        <f>HYPERLINK("https://my.pitchbook.com?p=203893-30P","View People Online")</f>
        <v>View People Online</v>
      </c>
    </row>
    <row r="9319">
      <c r="A9319" s="6" t="s">
        <v>57610</v>
      </c>
      <c r="B9319" s="6" t="s">
        <v>57611</v>
      </c>
      <c r="C9319" s="6" t="s">
        <v>11930</v>
      </c>
      <c r="D9319" s="6" t="s">
        <v>57612</v>
      </c>
      <c r="E9319" s="6" t="s">
        <v>57602</v>
      </c>
      <c r="F9319" s="6" t="s">
        <v>583</v>
      </c>
      <c r="G9319" s="6" t="s">
        <v>57613</v>
      </c>
      <c r="H9319" s="7" t="s">
        <v>31</v>
      </c>
      <c r="I9319" s="7">
        <v>2.0</v>
      </c>
      <c r="J9319" s="7">
        <v>1.0</v>
      </c>
      <c r="K9319" s="7">
        <v>1.0</v>
      </c>
      <c r="L9319" s="8" t="s">
        <v>57604</v>
      </c>
      <c r="M9319" s="6" t="s">
        <v>57614</v>
      </c>
      <c r="N9319" s="6" t="s">
        <v>40487</v>
      </c>
      <c r="O9319" s="8" t="s">
        <v>40488</v>
      </c>
      <c r="P9319" s="6" t="s">
        <v>57606</v>
      </c>
      <c r="Q9319" s="6" t="s">
        <v>57607</v>
      </c>
      <c r="R9319" s="6" t="s">
        <v>31</v>
      </c>
      <c r="S9319" s="8" t="s">
        <v>57608</v>
      </c>
      <c r="T9319" s="6" t="s">
        <v>3339</v>
      </c>
      <c r="U9319" s="8" t="s">
        <v>57609</v>
      </c>
      <c r="V9319" s="6" t="s">
        <v>583</v>
      </c>
      <c r="W9319" s="6" t="s">
        <v>57602</v>
      </c>
      <c r="X9319" s="9" t="str">
        <f>HYPERLINK("https://my.pitchbook.com?p=248075-02P","View People Online")</f>
        <v>View People Online</v>
      </c>
    </row>
    <row r="9320">
      <c r="A9320" s="10" t="s">
        <v>57615</v>
      </c>
      <c r="B9320" s="10" t="s">
        <v>57616</v>
      </c>
      <c r="C9320" s="10" t="s">
        <v>57617</v>
      </c>
      <c r="D9320" s="10" t="s">
        <v>57618</v>
      </c>
      <c r="E9320" s="10" t="s">
        <v>57602</v>
      </c>
      <c r="F9320" s="10" t="s">
        <v>548</v>
      </c>
      <c r="G9320" s="10" t="s">
        <v>57619</v>
      </c>
      <c r="H9320" s="11" t="s">
        <v>31</v>
      </c>
      <c r="I9320" s="11">
        <v>1.0</v>
      </c>
      <c r="J9320" s="11">
        <v>1.0</v>
      </c>
      <c r="K9320" s="11" t="s">
        <v>31</v>
      </c>
      <c r="L9320" s="12" t="s">
        <v>57604</v>
      </c>
      <c r="M9320" s="10" t="s">
        <v>31</v>
      </c>
      <c r="N9320" s="10" t="s">
        <v>40487</v>
      </c>
      <c r="O9320" s="12" t="s">
        <v>40488</v>
      </c>
      <c r="P9320" s="10" t="s">
        <v>57606</v>
      </c>
      <c r="Q9320" s="10" t="s">
        <v>57607</v>
      </c>
      <c r="R9320" s="10" t="s">
        <v>31</v>
      </c>
      <c r="S9320" s="12" t="s">
        <v>57608</v>
      </c>
      <c r="T9320" s="10" t="s">
        <v>3339</v>
      </c>
      <c r="U9320" s="12" t="s">
        <v>57609</v>
      </c>
      <c r="V9320" s="10" t="s">
        <v>57620</v>
      </c>
      <c r="W9320" s="10" t="s">
        <v>57602</v>
      </c>
      <c r="X9320" s="13" t="str">
        <f>HYPERLINK("https://my.pitchbook.com?p=334511-92P","View People Online")</f>
        <v>View People Online</v>
      </c>
    </row>
    <row r="9321">
      <c r="A9321" s="14" t="s">
        <v>57621</v>
      </c>
      <c r="B9321" s="14" t="s">
        <v>57622</v>
      </c>
      <c r="C9321" s="14" t="s">
        <v>6531</v>
      </c>
      <c r="D9321" s="14" t="s">
        <v>3671</v>
      </c>
      <c r="E9321" s="14" t="s">
        <v>57602</v>
      </c>
      <c r="F9321" s="14" t="s">
        <v>7624</v>
      </c>
      <c r="G9321" s="14" t="s">
        <v>57623</v>
      </c>
      <c r="H9321" s="15" t="s">
        <v>31</v>
      </c>
      <c r="I9321" s="15">
        <v>3.0</v>
      </c>
      <c r="J9321" s="15">
        <v>2.0</v>
      </c>
      <c r="K9321" s="15">
        <v>1.0</v>
      </c>
      <c r="L9321" s="16" t="s">
        <v>57604</v>
      </c>
      <c r="M9321" s="14" t="s">
        <v>57624</v>
      </c>
      <c r="N9321" s="14" t="s">
        <v>40487</v>
      </c>
      <c r="O9321" s="16" t="s">
        <v>40488</v>
      </c>
      <c r="P9321" s="14" t="s">
        <v>57606</v>
      </c>
      <c r="Q9321" s="14" t="s">
        <v>57607</v>
      </c>
      <c r="R9321" s="14" t="s">
        <v>31</v>
      </c>
      <c r="S9321" s="16" t="s">
        <v>57608</v>
      </c>
      <c r="T9321" s="14" t="s">
        <v>3339</v>
      </c>
      <c r="U9321" s="16" t="s">
        <v>57609</v>
      </c>
      <c r="V9321" s="14" t="s">
        <v>46472</v>
      </c>
      <c r="W9321" s="14" t="s">
        <v>57602</v>
      </c>
      <c r="X9321" s="17" t="str">
        <f>HYPERLINK("https://my.pitchbook.com?p=101842-03P","View People Online")</f>
        <v>View People Online</v>
      </c>
    </row>
    <row r="9322">
      <c r="A9322" s="10" t="s">
        <v>57625</v>
      </c>
      <c r="B9322" s="10" t="s">
        <v>57626</v>
      </c>
      <c r="C9322" s="10" t="s">
        <v>57627</v>
      </c>
      <c r="D9322" s="10" t="s">
        <v>15716</v>
      </c>
      <c r="E9322" s="10" t="s">
        <v>57602</v>
      </c>
      <c r="F9322" s="10" t="s">
        <v>667</v>
      </c>
      <c r="G9322" s="10" t="s">
        <v>57628</v>
      </c>
      <c r="H9322" s="11" t="s">
        <v>31</v>
      </c>
      <c r="I9322" s="11">
        <v>1.0</v>
      </c>
      <c r="J9322" s="11">
        <v>1.0</v>
      </c>
      <c r="K9322" s="11" t="s">
        <v>31</v>
      </c>
      <c r="L9322" s="12" t="s">
        <v>57629</v>
      </c>
      <c r="M9322" s="10" t="s">
        <v>57630</v>
      </c>
      <c r="N9322" s="10" t="s">
        <v>40487</v>
      </c>
      <c r="O9322" s="12" t="s">
        <v>40488</v>
      </c>
      <c r="P9322" s="10" t="s">
        <v>57606</v>
      </c>
      <c r="Q9322" s="10" t="s">
        <v>57607</v>
      </c>
      <c r="R9322" s="10" t="s">
        <v>31</v>
      </c>
      <c r="S9322" s="12" t="s">
        <v>57608</v>
      </c>
      <c r="T9322" s="10" t="s">
        <v>3339</v>
      </c>
      <c r="U9322" s="12" t="s">
        <v>57609</v>
      </c>
      <c r="V9322" s="10" t="s">
        <v>667</v>
      </c>
      <c r="W9322" s="10" t="s">
        <v>57602</v>
      </c>
      <c r="X9322" s="13" t="str">
        <f>HYPERLINK("https://my.pitchbook.com?p=334509-22P","View People Online")</f>
        <v>View People Online</v>
      </c>
    </row>
    <row r="9323">
      <c r="A9323" s="14" t="s">
        <v>57631</v>
      </c>
      <c r="B9323" s="14" t="s">
        <v>57632</v>
      </c>
      <c r="C9323" s="14" t="s">
        <v>57627</v>
      </c>
      <c r="D9323" s="14" t="s">
        <v>3671</v>
      </c>
      <c r="E9323" s="14" t="s">
        <v>57602</v>
      </c>
      <c r="F9323" s="14" t="s">
        <v>371</v>
      </c>
      <c r="G9323" s="14" t="s">
        <v>57633</v>
      </c>
      <c r="H9323" s="15" t="s">
        <v>31</v>
      </c>
      <c r="I9323" s="15">
        <v>1.0</v>
      </c>
      <c r="J9323" s="15">
        <v>1.0</v>
      </c>
      <c r="K9323" s="15" t="s">
        <v>31</v>
      </c>
      <c r="L9323" s="16" t="s">
        <v>57604</v>
      </c>
      <c r="M9323" s="14" t="s">
        <v>57634</v>
      </c>
      <c r="N9323" s="14" t="s">
        <v>40487</v>
      </c>
      <c r="O9323" s="16" t="s">
        <v>40488</v>
      </c>
      <c r="P9323" s="14" t="s">
        <v>57606</v>
      </c>
      <c r="Q9323" s="14" t="s">
        <v>57607</v>
      </c>
      <c r="R9323" s="14" t="s">
        <v>31</v>
      </c>
      <c r="S9323" s="16" t="s">
        <v>57608</v>
      </c>
      <c r="T9323" s="14" t="s">
        <v>3339</v>
      </c>
      <c r="U9323" s="16" t="s">
        <v>57609</v>
      </c>
      <c r="V9323" s="14" t="s">
        <v>371</v>
      </c>
      <c r="W9323" s="14" t="s">
        <v>57602</v>
      </c>
      <c r="X9323" s="17" t="str">
        <f>HYPERLINK("https://my.pitchbook.com?p=248074-03P","View People Online")</f>
        <v>View People Online</v>
      </c>
    </row>
    <row r="9324">
      <c r="A9324" s="2" t="s">
        <v>57635</v>
      </c>
      <c r="B9324" s="2" t="s">
        <v>57636</v>
      </c>
      <c r="C9324" s="2" t="s">
        <v>18283</v>
      </c>
      <c r="D9324" s="2" t="s">
        <v>3677</v>
      </c>
      <c r="E9324" s="2" t="s">
        <v>57602</v>
      </c>
      <c r="F9324" s="2" t="s">
        <v>713</v>
      </c>
      <c r="G9324" s="2" t="s">
        <v>57637</v>
      </c>
      <c r="H9324" s="3" t="s">
        <v>31</v>
      </c>
      <c r="I9324" s="3">
        <v>4.0</v>
      </c>
      <c r="J9324" s="3">
        <v>1.0</v>
      </c>
      <c r="K9324" s="3">
        <v>2.0</v>
      </c>
      <c r="L9324" s="4" t="s">
        <v>57604</v>
      </c>
      <c r="M9324" s="2" t="s">
        <v>57638</v>
      </c>
      <c r="N9324" s="2" t="s">
        <v>40487</v>
      </c>
      <c r="O9324" s="4" t="s">
        <v>40488</v>
      </c>
      <c r="P9324" s="2" t="s">
        <v>57606</v>
      </c>
      <c r="Q9324" s="2" t="s">
        <v>57607</v>
      </c>
      <c r="R9324" s="2" t="s">
        <v>31</v>
      </c>
      <c r="S9324" s="4" t="s">
        <v>57608</v>
      </c>
      <c r="T9324" s="2" t="s">
        <v>3339</v>
      </c>
      <c r="U9324" s="4" t="s">
        <v>57609</v>
      </c>
      <c r="V9324" s="2" t="s">
        <v>713</v>
      </c>
      <c r="W9324" s="2" t="s">
        <v>57602</v>
      </c>
      <c r="X9324" s="5" t="str">
        <f>HYPERLINK("https://my.pitchbook.com?p=203977-36P","View People Online")</f>
        <v>View People Online</v>
      </c>
    </row>
    <row r="9325">
      <c r="A9325" s="14" t="s">
        <v>57639</v>
      </c>
      <c r="B9325" s="14" t="s">
        <v>57640</v>
      </c>
      <c r="C9325" s="14" t="s">
        <v>57641</v>
      </c>
      <c r="D9325" s="14" t="s">
        <v>16220</v>
      </c>
      <c r="E9325" s="14" t="s">
        <v>57602</v>
      </c>
      <c r="F9325" s="14" t="s">
        <v>371</v>
      </c>
      <c r="G9325" s="14" t="s">
        <v>57642</v>
      </c>
      <c r="H9325" s="15" t="s">
        <v>31</v>
      </c>
      <c r="I9325" s="15">
        <v>2.0</v>
      </c>
      <c r="J9325" s="15">
        <v>1.0</v>
      </c>
      <c r="K9325" s="15">
        <v>1.0</v>
      </c>
      <c r="L9325" s="16" t="s">
        <v>57604</v>
      </c>
      <c r="M9325" s="14" t="s">
        <v>57643</v>
      </c>
      <c r="N9325" s="14" t="s">
        <v>40487</v>
      </c>
      <c r="O9325" s="16" t="s">
        <v>40488</v>
      </c>
      <c r="P9325" s="14" t="s">
        <v>57606</v>
      </c>
      <c r="Q9325" s="14" t="s">
        <v>57607</v>
      </c>
      <c r="R9325" s="14" t="s">
        <v>31</v>
      </c>
      <c r="S9325" s="16" t="s">
        <v>57608</v>
      </c>
      <c r="T9325" s="14" t="s">
        <v>3339</v>
      </c>
      <c r="U9325" s="16" t="s">
        <v>57609</v>
      </c>
      <c r="V9325" s="14" t="s">
        <v>371</v>
      </c>
      <c r="W9325" s="14" t="s">
        <v>57602</v>
      </c>
      <c r="X9325" s="17" t="str">
        <f>HYPERLINK("https://my.pitchbook.com?p=203894-02P","View People Online")</f>
        <v>View People Online</v>
      </c>
    </row>
    <row r="9326">
      <c r="A9326" s="10" t="s">
        <v>57644</v>
      </c>
      <c r="B9326" s="10" t="s">
        <v>57645</v>
      </c>
      <c r="C9326" s="10" t="s">
        <v>23170</v>
      </c>
      <c r="D9326" s="10" t="s">
        <v>3677</v>
      </c>
      <c r="E9326" s="10" t="s">
        <v>57602</v>
      </c>
      <c r="F9326" s="10" t="s">
        <v>7624</v>
      </c>
      <c r="G9326" s="10" t="s">
        <v>57646</v>
      </c>
      <c r="H9326" s="11" t="s">
        <v>31</v>
      </c>
      <c r="I9326" s="11">
        <v>11.0</v>
      </c>
      <c r="J9326" s="11">
        <v>1.0</v>
      </c>
      <c r="K9326" s="11">
        <v>7.0</v>
      </c>
      <c r="L9326" s="12" t="s">
        <v>57604</v>
      </c>
      <c r="M9326" s="10" t="s">
        <v>57647</v>
      </c>
      <c r="N9326" s="10" t="s">
        <v>40487</v>
      </c>
      <c r="O9326" s="12" t="s">
        <v>40488</v>
      </c>
      <c r="P9326" s="10" t="s">
        <v>57606</v>
      </c>
      <c r="Q9326" s="10" t="s">
        <v>57607</v>
      </c>
      <c r="R9326" s="10" t="s">
        <v>31</v>
      </c>
      <c r="S9326" s="12" t="s">
        <v>57608</v>
      </c>
      <c r="T9326" s="10" t="s">
        <v>3339</v>
      </c>
      <c r="U9326" s="12" t="s">
        <v>57609</v>
      </c>
      <c r="V9326" s="10" t="s">
        <v>7624</v>
      </c>
      <c r="W9326" s="10" t="s">
        <v>57602</v>
      </c>
      <c r="X9326" s="13" t="str">
        <f>HYPERLINK("https://my.pitchbook.com?p=184505-86P","View People Online")</f>
        <v>View People Online</v>
      </c>
    </row>
    <row r="9327">
      <c r="A9327" s="6" t="s">
        <v>57648</v>
      </c>
      <c r="B9327" s="6" t="s">
        <v>57649</v>
      </c>
      <c r="C9327" s="6" t="s">
        <v>57650</v>
      </c>
      <c r="D9327" s="6" t="s">
        <v>1073</v>
      </c>
      <c r="E9327" s="6" t="s">
        <v>57602</v>
      </c>
      <c r="F9327" s="6" t="s">
        <v>270</v>
      </c>
      <c r="G9327" s="6" t="s">
        <v>57651</v>
      </c>
      <c r="H9327" s="7">
        <v>1.0</v>
      </c>
      <c r="I9327" s="7">
        <v>2.0</v>
      </c>
      <c r="J9327" s="7">
        <v>2.0</v>
      </c>
      <c r="K9327" s="7" t="s">
        <v>31</v>
      </c>
      <c r="L9327" s="8" t="s">
        <v>57652</v>
      </c>
      <c r="M9327" s="6" t="s">
        <v>57653</v>
      </c>
      <c r="N9327" s="6" t="s">
        <v>3753</v>
      </c>
      <c r="O9327" s="8" t="s">
        <v>3754</v>
      </c>
      <c r="P9327" s="6" t="s">
        <v>57654</v>
      </c>
      <c r="Q9327" s="6" t="s">
        <v>57655</v>
      </c>
      <c r="R9327" s="6" t="s">
        <v>31</v>
      </c>
      <c r="S9327" s="8" t="s">
        <v>31</v>
      </c>
      <c r="T9327" s="6" t="s">
        <v>3339</v>
      </c>
      <c r="U9327" s="8" t="s">
        <v>31</v>
      </c>
      <c r="V9327" s="6" t="s">
        <v>57656</v>
      </c>
      <c r="W9327" s="6" t="s">
        <v>57657</v>
      </c>
      <c r="X9327" s="9" t="str">
        <f>HYPERLINK("https://my.pitchbook.com?p=221122-54P","View People Online")</f>
        <v>View People Online</v>
      </c>
    </row>
    <row r="9328">
      <c r="A9328" s="10" t="s">
        <v>57658</v>
      </c>
      <c r="B9328" s="10" t="s">
        <v>57659</v>
      </c>
      <c r="C9328" s="10" t="s">
        <v>907</v>
      </c>
      <c r="D9328" s="10" t="s">
        <v>57660</v>
      </c>
      <c r="E9328" s="10" t="s">
        <v>57661</v>
      </c>
      <c r="F9328" s="10" t="s">
        <v>57</v>
      </c>
      <c r="G9328" s="10" t="s">
        <v>57662</v>
      </c>
      <c r="H9328" s="11">
        <v>2.0</v>
      </c>
      <c r="I9328" s="11">
        <v>5.0</v>
      </c>
      <c r="J9328" s="11">
        <v>1.0</v>
      </c>
      <c r="K9328" s="11">
        <v>2.0</v>
      </c>
      <c r="L9328" s="12" t="s">
        <v>57663</v>
      </c>
      <c r="M9328" s="10" t="s">
        <v>57664</v>
      </c>
      <c r="N9328" s="10" t="s">
        <v>601</v>
      </c>
      <c r="O9328" s="12" t="s">
        <v>602</v>
      </c>
      <c r="P9328" s="10" t="s">
        <v>57665</v>
      </c>
      <c r="Q9328" s="10" t="s">
        <v>31</v>
      </c>
      <c r="R9328" s="10" t="s">
        <v>31</v>
      </c>
      <c r="S9328" s="12" t="s">
        <v>57666</v>
      </c>
      <c r="T9328" s="10" t="s">
        <v>603</v>
      </c>
      <c r="U9328" s="12" t="s">
        <v>31</v>
      </c>
      <c r="V9328" s="10" t="s">
        <v>57</v>
      </c>
      <c r="W9328" s="10" t="s">
        <v>57661</v>
      </c>
      <c r="X9328" s="13" t="str">
        <f>HYPERLINK("https://my.pitchbook.com?p=214937-11P","View People Online")</f>
        <v>View People Online</v>
      </c>
    </row>
    <row r="9329">
      <c r="A9329" s="6" t="s">
        <v>57667</v>
      </c>
      <c r="B9329" s="6" t="s">
        <v>57668</v>
      </c>
      <c r="C9329" s="6" t="s">
        <v>57669</v>
      </c>
      <c r="D9329" s="6" t="s">
        <v>57670</v>
      </c>
      <c r="E9329" s="6" t="s">
        <v>57661</v>
      </c>
      <c r="F9329" s="6" t="s">
        <v>270</v>
      </c>
      <c r="G9329" s="6" t="s">
        <v>57671</v>
      </c>
      <c r="H9329" s="7" t="s">
        <v>31</v>
      </c>
      <c r="I9329" s="7">
        <v>1.0</v>
      </c>
      <c r="J9329" s="7">
        <v>1.0</v>
      </c>
      <c r="K9329" s="7" t="s">
        <v>31</v>
      </c>
      <c r="L9329" s="8" t="s">
        <v>31</v>
      </c>
      <c r="M9329" s="6" t="s">
        <v>31</v>
      </c>
      <c r="N9329" s="6" t="s">
        <v>601</v>
      </c>
      <c r="O9329" s="8" t="s">
        <v>602</v>
      </c>
      <c r="P9329" s="6" t="s">
        <v>57665</v>
      </c>
      <c r="Q9329" s="6" t="s">
        <v>31</v>
      </c>
      <c r="R9329" s="6" t="s">
        <v>31</v>
      </c>
      <c r="S9329" s="8" t="s">
        <v>57666</v>
      </c>
      <c r="T9329" s="6" t="s">
        <v>603</v>
      </c>
      <c r="U9329" s="8" t="s">
        <v>31</v>
      </c>
      <c r="V9329" s="6" t="s">
        <v>57672</v>
      </c>
      <c r="W9329" s="6" t="s">
        <v>57661</v>
      </c>
      <c r="X9329" s="9" t="str">
        <f>HYPERLINK("https://my.pitchbook.com?p=214938-19P","View People Online")</f>
        <v>View People Online</v>
      </c>
    </row>
    <row r="9330">
      <c r="A9330" s="10" t="s">
        <v>57673</v>
      </c>
      <c r="B9330" s="10" t="s">
        <v>57674</v>
      </c>
      <c r="C9330" s="10" t="s">
        <v>3670</v>
      </c>
      <c r="D9330" s="10" t="s">
        <v>57675</v>
      </c>
      <c r="E9330" s="10" t="s">
        <v>57676</v>
      </c>
      <c r="F9330" s="10" t="s">
        <v>470</v>
      </c>
      <c r="G9330" s="10" t="s">
        <v>57677</v>
      </c>
      <c r="H9330" s="11" t="s">
        <v>31</v>
      </c>
      <c r="I9330" s="11">
        <v>1.0</v>
      </c>
      <c r="J9330" s="11">
        <v>1.0</v>
      </c>
      <c r="K9330" s="11" t="s">
        <v>31</v>
      </c>
      <c r="L9330" s="12" t="s">
        <v>57678</v>
      </c>
      <c r="M9330" s="10" t="s">
        <v>57679</v>
      </c>
      <c r="N9330" s="10" t="s">
        <v>49485</v>
      </c>
      <c r="O9330" s="12" t="s">
        <v>49486</v>
      </c>
      <c r="P9330" s="10" t="s">
        <v>57680</v>
      </c>
      <c r="Q9330" s="10" t="s">
        <v>31</v>
      </c>
      <c r="R9330" s="10" t="s">
        <v>7693</v>
      </c>
      <c r="S9330" s="12" t="s">
        <v>49488</v>
      </c>
      <c r="T9330" s="10" t="s">
        <v>66</v>
      </c>
      <c r="U9330" s="12" t="s">
        <v>57681</v>
      </c>
      <c r="V9330" s="10" t="s">
        <v>470</v>
      </c>
      <c r="W9330" s="10" t="s">
        <v>57676</v>
      </c>
      <c r="X9330" s="13" t="str">
        <f>HYPERLINK("https://my.pitchbook.com?p=404703-19P","View People Online")</f>
        <v>View People Online</v>
      </c>
    </row>
    <row r="9331">
      <c r="A9331" s="6" t="s">
        <v>57682</v>
      </c>
      <c r="B9331" s="6" t="s">
        <v>57683</v>
      </c>
      <c r="C9331" s="6" t="s">
        <v>2572</v>
      </c>
      <c r="D9331" s="6" t="s">
        <v>31789</v>
      </c>
      <c r="E9331" s="6" t="s">
        <v>57684</v>
      </c>
      <c r="F9331" s="6" t="s">
        <v>312</v>
      </c>
      <c r="G9331" s="6" t="s">
        <v>57685</v>
      </c>
      <c r="H9331" s="7" t="s">
        <v>31</v>
      </c>
      <c r="I9331" s="7">
        <v>1.0</v>
      </c>
      <c r="J9331" s="7">
        <v>1.0</v>
      </c>
      <c r="K9331" s="7" t="s">
        <v>31</v>
      </c>
      <c r="L9331" s="8" t="s">
        <v>57686</v>
      </c>
      <c r="M9331" s="6" t="s">
        <v>57687</v>
      </c>
      <c r="N9331" s="6" t="s">
        <v>39870</v>
      </c>
      <c r="O9331" s="8" t="s">
        <v>39871</v>
      </c>
      <c r="P9331" s="6" t="s">
        <v>57688</v>
      </c>
      <c r="Q9331" s="6" t="s">
        <v>34561</v>
      </c>
      <c r="R9331" s="6" t="s">
        <v>64</v>
      </c>
      <c r="S9331" s="8" t="s">
        <v>43175</v>
      </c>
      <c r="T9331" s="6" t="s">
        <v>66</v>
      </c>
      <c r="U9331" s="8" t="s">
        <v>31</v>
      </c>
      <c r="V9331" s="6" t="s">
        <v>312</v>
      </c>
      <c r="W9331" s="6" t="s">
        <v>57684</v>
      </c>
      <c r="X9331" s="9" t="str">
        <f>HYPERLINK("https://my.pitchbook.com?p=399380-05P","View People Online")</f>
        <v>View People Online</v>
      </c>
    </row>
    <row r="9332">
      <c r="A9332" s="10" t="s">
        <v>57689</v>
      </c>
      <c r="B9332" s="10" t="s">
        <v>57690</v>
      </c>
      <c r="C9332" s="10" t="s">
        <v>568</v>
      </c>
      <c r="D9332" s="10" t="s">
        <v>57691</v>
      </c>
      <c r="E9332" s="10" t="s">
        <v>57684</v>
      </c>
      <c r="F9332" s="10" t="s">
        <v>5065</v>
      </c>
      <c r="G9332" s="10" t="s">
        <v>57692</v>
      </c>
      <c r="H9332" s="11" t="s">
        <v>31</v>
      </c>
      <c r="I9332" s="11">
        <v>1.0</v>
      </c>
      <c r="J9332" s="11">
        <v>1.0</v>
      </c>
      <c r="K9332" s="11" t="s">
        <v>31</v>
      </c>
      <c r="L9332" s="12" t="s">
        <v>57693</v>
      </c>
      <c r="M9332" s="10" t="s">
        <v>57694</v>
      </c>
      <c r="N9332" s="10" t="s">
        <v>39870</v>
      </c>
      <c r="O9332" s="12" t="s">
        <v>39871</v>
      </c>
      <c r="P9332" s="10" t="s">
        <v>57688</v>
      </c>
      <c r="Q9332" s="10" t="s">
        <v>34561</v>
      </c>
      <c r="R9332" s="10" t="s">
        <v>64</v>
      </c>
      <c r="S9332" s="12" t="s">
        <v>43175</v>
      </c>
      <c r="T9332" s="10" t="s">
        <v>66</v>
      </c>
      <c r="U9332" s="12" t="s">
        <v>31</v>
      </c>
      <c r="V9332" s="10" t="s">
        <v>57695</v>
      </c>
      <c r="W9332" s="10" t="s">
        <v>57684</v>
      </c>
      <c r="X9332" s="13" t="str">
        <f>HYPERLINK("https://my.pitchbook.com?p=42436-54P","View People Online")</f>
        <v>View People Online</v>
      </c>
    </row>
    <row r="9333">
      <c r="A9333" s="14" t="s">
        <v>57696</v>
      </c>
      <c r="B9333" s="14" t="s">
        <v>57697</v>
      </c>
      <c r="C9333" s="14" t="s">
        <v>10710</v>
      </c>
      <c r="D9333" s="14" t="s">
        <v>32559</v>
      </c>
      <c r="E9333" s="14" t="s">
        <v>57684</v>
      </c>
      <c r="F9333" s="14" t="s">
        <v>270</v>
      </c>
      <c r="G9333" s="14" t="s">
        <v>57698</v>
      </c>
      <c r="H9333" s="15" t="s">
        <v>31</v>
      </c>
      <c r="I9333" s="15">
        <v>1.0</v>
      </c>
      <c r="J9333" s="15">
        <v>1.0</v>
      </c>
      <c r="K9333" s="15" t="s">
        <v>31</v>
      </c>
      <c r="L9333" s="16" t="s">
        <v>57686</v>
      </c>
      <c r="M9333" s="14" t="s">
        <v>57699</v>
      </c>
      <c r="N9333" s="14" t="s">
        <v>39870</v>
      </c>
      <c r="O9333" s="16" t="s">
        <v>39871</v>
      </c>
      <c r="P9333" s="14" t="s">
        <v>57688</v>
      </c>
      <c r="Q9333" s="14" t="s">
        <v>34561</v>
      </c>
      <c r="R9333" s="14" t="s">
        <v>64</v>
      </c>
      <c r="S9333" s="16" t="s">
        <v>43175</v>
      </c>
      <c r="T9333" s="14" t="s">
        <v>66</v>
      </c>
      <c r="U9333" s="16" t="s">
        <v>31</v>
      </c>
      <c r="V9333" s="14" t="s">
        <v>57700</v>
      </c>
      <c r="W9333" s="14" t="s">
        <v>57684</v>
      </c>
      <c r="X9333" s="17" t="str">
        <f>HYPERLINK("https://my.pitchbook.com?p=360024-04P","View People Online")</f>
        <v>View People Online</v>
      </c>
    </row>
    <row r="9334">
      <c r="A9334" s="10" t="s">
        <v>57701</v>
      </c>
      <c r="B9334" s="10" t="s">
        <v>57702</v>
      </c>
      <c r="C9334" s="10" t="s">
        <v>10383</v>
      </c>
      <c r="D9334" s="10" t="s">
        <v>57703</v>
      </c>
      <c r="E9334" s="10" t="s">
        <v>57684</v>
      </c>
      <c r="F9334" s="10" t="s">
        <v>1283</v>
      </c>
      <c r="G9334" s="10" t="s">
        <v>57704</v>
      </c>
      <c r="H9334" s="11" t="s">
        <v>31</v>
      </c>
      <c r="I9334" s="11">
        <v>1.0</v>
      </c>
      <c r="J9334" s="11">
        <v>1.0</v>
      </c>
      <c r="K9334" s="11" t="s">
        <v>31</v>
      </c>
      <c r="L9334" s="12" t="s">
        <v>57686</v>
      </c>
      <c r="M9334" s="10" t="s">
        <v>57705</v>
      </c>
      <c r="N9334" s="10" t="s">
        <v>39870</v>
      </c>
      <c r="O9334" s="12" t="s">
        <v>39871</v>
      </c>
      <c r="P9334" s="10" t="s">
        <v>57688</v>
      </c>
      <c r="Q9334" s="10" t="s">
        <v>34561</v>
      </c>
      <c r="R9334" s="10" t="s">
        <v>64</v>
      </c>
      <c r="S9334" s="12" t="s">
        <v>43175</v>
      </c>
      <c r="T9334" s="10" t="s">
        <v>66</v>
      </c>
      <c r="U9334" s="12" t="s">
        <v>31</v>
      </c>
      <c r="V9334" s="10" t="s">
        <v>57706</v>
      </c>
      <c r="W9334" s="10" t="s">
        <v>57684</v>
      </c>
      <c r="X9334" s="13" t="str">
        <f>HYPERLINK("https://my.pitchbook.com?p=366737-32P","View People Online")</f>
        <v>View People Online</v>
      </c>
    </row>
    <row r="9335">
      <c r="A9335" s="6" t="s">
        <v>57707</v>
      </c>
      <c r="B9335" s="6" t="s">
        <v>57708</v>
      </c>
      <c r="C9335" s="6" t="s">
        <v>1103</v>
      </c>
      <c r="D9335" s="6" t="s">
        <v>27382</v>
      </c>
      <c r="E9335" s="6" t="s">
        <v>57684</v>
      </c>
      <c r="F9335" s="6" t="s">
        <v>5065</v>
      </c>
      <c r="G9335" s="6" t="s">
        <v>57709</v>
      </c>
      <c r="H9335" s="7" t="s">
        <v>31</v>
      </c>
      <c r="I9335" s="7">
        <v>2.0</v>
      </c>
      <c r="J9335" s="7">
        <v>1.0</v>
      </c>
      <c r="K9335" s="7">
        <v>1.0</v>
      </c>
      <c r="L9335" s="8" t="s">
        <v>57686</v>
      </c>
      <c r="M9335" s="6" t="s">
        <v>57710</v>
      </c>
      <c r="N9335" s="6" t="s">
        <v>39870</v>
      </c>
      <c r="O9335" s="8" t="s">
        <v>39871</v>
      </c>
      <c r="P9335" s="6" t="s">
        <v>57688</v>
      </c>
      <c r="Q9335" s="6" t="s">
        <v>34561</v>
      </c>
      <c r="R9335" s="6" t="s">
        <v>64</v>
      </c>
      <c r="S9335" s="8" t="s">
        <v>43175</v>
      </c>
      <c r="T9335" s="6" t="s">
        <v>66</v>
      </c>
      <c r="U9335" s="8" t="s">
        <v>31</v>
      </c>
      <c r="V9335" s="6" t="s">
        <v>57711</v>
      </c>
      <c r="W9335" s="6" t="s">
        <v>57684</v>
      </c>
      <c r="X9335" s="9" t="str">
        <f>HYPERLINK("https://my.pitchbook.com?p=415070-65P","View People Online")</f>
        <v>View People Online</v>
      </c>
    </row>
    <row r="9336">
      <c r="A9336" s="10" t="s">
        <v>57712</v>
      </c>
      <c r="B9336" s="10" t="s">
        <v>57713</v>
      </c>
      <c r="C9336" s="10" t="s">
        <v>57714</v>
      </c>
      <c r="D9336" s="10" t="s">
        <v>57715</v>
      </c>
      <c r="E9336" s="10" t="s">
        <v>57684</v>
      </c>
      <c r="F9336" s="10" t="s">
        <v>312</v>
      </c>
      <c r="G9336" s="10" t="s">
        <v>57716</v>
      </c>
      <c r="H9336" s="11" t="s">
        <v>31</v>
      </c>
      <c r="I9336" s="11">
        <v>1.0</v>
      </c>
      <c r="J9336" s="11">
        <v>1.0</v>
      </c>
      <c r="K9336" s="11" t="s">
        <v>31</v>
      </c>
      <c r="L9336" s="12" t="s">
        <v>57686</v>
      </c>
      <c r="M9336" s="10" t="s">
        <v>57717</v>
      </c>
      <c r="N9336" s="10" t="s">
        <v>39870</v>
      </c>
      <c r="O9336" s="12" t="s">
        <v>39871</v>
      </c>
      <c r="P9336" s="10" t="s">
        <v>57688</v>
      </c>
      <c r="Q9336" s="10" t="s">
        <v>34561</v>
      </c>
      <c r="R9336" s="10" t="s">
        <v>64</v>
      </c>
      <c r="S9336" s="12" t="s">
        <v>43175</v>
      </c>
      <c r="T9336" s="10" t="s">
        <v>66</v>
      </c>
      <c r="U9336" s="12" t="s">
        <v>31</v>
      </c>
      <c r="V9336" s="10" t="s">
        <v>57718</v>
      </c>
      <c r="W9336" s="10" t="s">
        <v>57684</v>
      </c>
      <c r="X9336" s="13" t="str">
        <f>HYPERLINK("https://my.pitchbook.com?p=367343-56P","View People Online")</f>
        <v>View People Online</v>
      </c>
    </row>
    <row r="9337">
      <c r="A9337" s="14" t="s">
        <v>57719</v>
      </c>
      <c r="B9337" s="14" t="s">
        <v>57720</v>
      </c>
      <c r="C9337" s="14" t="s">
        <v>7252</v>
      </c>
      <c r="D9337" s="14" t="s">
        <v>57721</v>
      </c>
      <c r="E9337" s="14" t="s">
        <v>57684</v>
      </c>
      <c r="F9337" s="14" t="s">
        <v>371</v>
      </c>
      <c r="G9337" s="14" t="s">
        <v>57722</v>
      </c>
      <c r="H9337" s="15" t="s">
        <v>31</v>
      </c>
      <c r="I9337" s="15">
        <v>1.0</v>
      </c>
      <c r="J9337" s="15">
        <v>1.0</v>
      </c>
      <c r="K9337" s="15" t="s">
        <v>31</v>
      </c>
      <c r="L9337" s="16" t="s">
        <v>57686</v>
      </c>
      <c r="M9337" s="14" t="s">
        <v>57723</v>
      </c>
      <c r="N9337" s="14" t="s">
        <v>39870</v>
      </c>
      <c r="O9337" s="16" t="s">
        <v>39871</v>
      </c>
      <c r="P9337" s="14" t="s">
        <v>57688</v>
      </c>
      <c r="Q9337" s="14" t="s">
        <v>34561</v>
      </c>
      <c r="R9337" s="14" t="s">
        <v>64</v>
      </c>
      <c r="S9337" s="16" t="s">
        <v>43175</v>
      </c>
      <c r="T9337" s="14" t="s">
        <v>66</v>
      </c>
      <c r="U9337" s="16" t="s">
        <v>31</v>
      </c>
      <c r="V9337" s="14" t="s">
        <v>57724</v>
      </c>
      <c r="W9337" s="14" t="s">
        <v>57684</v>
      </c>
      <c r="X9337" s="17" t="str">
        <f>HYPERLINK("https://my.pitchbook.com?p=367140-97P","View People Online")</f>
        <v>View People Online</v>
      </c>
    </row>
    <row r="9338">
      <c r="A9338" s="2" t="s">
        <v>57725</v>
      </c>
      <c r="B9338" s="2" t="s">
        <v>57726</v>
      </c>
      <c r="C9338" s="2" t="s">
        <v>7116</v>
      </c>
      <c r="D9338" s="2" t="s">
        <v>57727</v>
      </c>
      <c r="E9338" s="2" t="s">
        <v>57684</v>
      </c>
      <c r="F9338" s="2" t="s">
        <v>548</v>
      </c>
      <c r="G9338" s="2" t="s">
        <v>57728</v>
      </c>
      <c r="H9338" s="3" t="s">
        <v>31</v>
      </c>
      <c r="I9338" s="3">
        <v>1.0</v>
      </c>
      <c r="J9338" s="3">
        <v>1.0</v>
      </c>
      <c r="K9338" s="3" t="s">
        <v>31</v>
      </c>
      <c r="L9338" s="4" t="s">
        <v>57686</v>
      </c>
      <c r="M9338" s="2" t="s">
        <v>57729</v>
      </c>
      <c r="N9338" s="2" t="s">
        <v>39870</v>
      </c>
      <c r="O9338" s="4" t="s">
        <v>39871</v>
      </c>
      <c r="P9338" s="2" t="s">
        <v>57688</v>
      </c>
      <c r="Q9338" s="2" t="s">
        <v>34561</v>
      </c>
      <c r="R9338" s="2" t="s">
        <v>64</v>
      </c>
      <c r="S9338" s="4" t="s">
        <v>43175</v>
      </c>
      <c r="T9338" s="2" t="s">
        <v>66</v>
      </c>
      <c r="U9338" s="4" t="s">
        <v>31</v>
      </c>
      <c r="V9338" s="2" t="s">
        <v>57730</v>
      </c>
      <c r="W9338" s="2" t="s">
        <v>57684</v>
      </c>
      <c r="X9338" s="5" t="str">
        <f>HYPERLINK("https://my.pitchbook.com?p=367225-39P","View People Online")</f>
        <v>View People Online</v>
      </c>
    </row>
    <row r="9339">
      <c r="A9339" s="14" t="s">
        <v>57731</v>
      </c>
      <c r="B9339" s="14" t="s">
        <v>57732</v>
      </c>
      <c r="C9339" s="14" t="s">
        <v>3779</v>
      </c>
      <c r="D9339" s="14" t="s">
        <v>9204</v>
      </c>
      <c r="E9339" s="14" t="s">
        <v>57684</v>
      </c>
      <c r="F9339" s="14" t="s">
        <v>312</v>
      </c>
      <c r="G9339" s="14" t="s">
        <v>57733</v>
      </c>
      <c r="H9339" s="15" t="s">
        <v>31</v>
      </c>
      <c r="I9339" s="15">
        <v>1.0</v>
      </c>
      <c r="J9339" s="15">
        <v>1.0</v>
      </c>
      <c r="K9339" s="15" t="s">
        <v>31</v>
      </c>
      <c r="L9339" s="16" t="s">
        <v>57686</v>
      </c>
      <c r="M9339" s="14" t="s">
        <v>57734</v>
      </c>
      <c r="N9339" s="14" t="s">
        <v>39870</v>
      </c>
      <c r="O9339" s="16" t="s">
        <v>39871</v>
      </c>
      <c r="P9339" s="14" t="s">
        <v>57688</v>
      </c>
      <c r="Q9339" s="14" t="s">
        <v>34561</v>
      </c>
      <c r="R9339" s="14" t="s">
        <v>64</v>
      </c>
      <c r="S9339" s="16" t="s">
        <v>43175</v>
      </c>
      <c r="T9339" s="14" t="s">
        <v>66</v>
      </c>
      <c r="U9339" s="16" t="s">
        <v>31</v>
      </c>
      <c r="V9339" s="14" t="s">
        <v>312</v>
      </c>
      <c r="W9339" s="14" t="s">
        <v>57684</v>
      </c>
      <c r="X9339" s="17" t="str">
        <f>HYPERLINK("https://my.pitchbook.com?p=366397-21P","View People Online")</f>
        <v>View People Online</v>
      </c>
    </row>
    <row r="9340">
      <c r="A9340" s="10" t="s">
        <v>57735</v>
      </c>
      <c r="B9340" s="10" t="s">
        <v>57736</v>
      </c>
      <c r="C9340" s="10" t="s">
        <v>1929</v>
      </c>
      <c r="D9340" s="10" t="s">
        <v>57737</v>
      </c>
      <c r="E9340" s="10" t="s">
        <v>57684</v>
      </c>
      <c r="F9340" s="10" t="s">
        <v>1801</v>
      </c>
      <c r="G9340" s="10" t="s">
        <v>57738</v>
      </c>
      <c r="H9340" s="11" t="s">
        <v>31</v>
      </c>
      <c r="I9340" s="11">
        <v>5.0</v>
      </c>
      <c r="J9340" s="11">
        <v>1.0</v>
      </c>
      <c r="K9340" s="11">
        <v>4.0</v>
      </c>
      <c r="L9340" s="12" t="s">
        <v>57686</v>
      </c>
      <c r="M9340" s="10" t="s">
        <v>57739</v>
      </c>
      <c r="N9340" s="10" t="s">
        <v>39870</v>
      </c>
      <c r="O9340" s="12" t="s">
        <v>39871</v>
      </c>
      <c r="P9340" s="10" t="s">
        <v>57688</v>
      </c>
      <c r="Q9340" s="10" t="s">
        <v>34561</v>
      </c>
      <c r="R9340" s="10" t="s">
        <v>64</v>
      </c>
      <c r="S9340" s="12" t="s">
        <v>43175</v>
      </c>
      <c r="T9340" s="10" t="s">
        <v>66</v>
      </c>
      <c r="U9340" s="12" t="s">
        <v>31</v>
      </c>
      <c r="V9340" s="10" t="s">
        <v>57740</v>
      </c>
      <c r="W9340" s="10" t="s">
        <v>57684</v>
      </c>
      <c r="X9340" s="13" t="str">
        <f>HYPERLINK("https://my.pitchbook.com?p=357435-46P","View People Online")</f>
        <v>View People Online</v>
      </c>
    </row>
    <row r="9341">
      <c r="A9341" s="6" t="s">
        <v>57741</v>
      </c>
      <c r="B9341" s="6" t="s">
        <v>57742</v>
      </c>
      <c r="C9341" s="6" t="s">
        <v>57743</v>
      </c>
      <c r="D9341" s="6" t="s">
        <v>57744</v>
      </c>
      <c r="E9341" s="6" t="s">
        <v>57684</v>
      </c>
      <c r="F9341" s="6" t="s">
        <v>548</v>
      </c>
      <c r="G9341" s="6" t="s">
        <v>57745</v>
      </c>
      <c r="H9341" s="7" t="s">
        <v>31</v>
      </c>
      <c r="I9341" s="7">
        <v>1.0</v>
      </c>
      <c r="J9341" s="7">
        <v>1.0</v>
      </c>
      <c r="K9341" s="7" t="s">
        <v>31</v>
      </c>
      <c r="L9341" s="8" t="s">
        <v>57686</v>
      </c>
      <c r="M9341" s="6" t="s">
        <v>57746</v>
      </c>
      <c r="N9341" s="6" t="s">
        <v>39870</v>
      </c>
      <c r="O9341" s="8" t="s">
        <v>39871</v>
      </c>
      <c r="P9341" s="6" t="s">
        <v>57688</v>
      </c>
      <c r="Q9341" s="6" t="s">
        <v>34561</v>
      </c>
      <c r="R9341" s="6" t="s">
        <v>64</v>
      </c>
      <c r="S9341" s="8" t="s">
        <v>43175</v>
      </c>
      <c r="T9341" s="6" t="s">
        <v>66</v>
      </c>
      <c r="U9341" s="8" t="s">
        <v>31</v>
      </c>
      <c r="V9341" s="6" t="s">
        <v>548</v>
      </c>
      <c r="W9341" s="6" t="s">
        <v>57684</v>
      </c>
      <c r="X9341" s="9" t="str">
        <f>HYPERLINK("https://my.pitchbook.com?p=384079-60P","View People Online")</f>
        <v>View People Online</v>
      </c>
    </row>
    <row r="9342">
      <c r="A9342" s="10" t="s">
        <v>57747</v>
      </c>
      <c r="B9342" s="10" t="s">
        <v>57748</v>
      </c>
      <c r="C9342" s="10" t="s">
        <v>711</v>
      </c>
      <c r="D9342" s="10" t="s">
        <v>57749</v>
      </c>
      <c r="E9342" s="10" t="s">
        <v>57684</v>
      </c>
      <c r="F9342" s="10" t="s">
        <v>825</v>
      </c>
      <c r="G9342" s="10" t="s">
        <v>57750</v>
      </c>
      <c r="H9342" s="11" t="s">
        <v>31</v>
      </c>
      <c r="I9342" s="11">
        <v>2.0</v>
      </c>
      <c r="J9342" s="11">
        <v>2.0</v>
      </c>
      <c r="K9342" s="11" t="s">
        <v>31</v>
      </c>
      <c r="L9342" s="12" t="s">
        <v>57751</v>
      </c>
      <c r="M9342" s="10" t="s">
        <v>57752</v>
      </c>
      <c r="N9342" s="10" t="s">
        <v>39870</v>
      </c>
      <c r="O9342" s="12" t="s">
        <v>39871</v>
      </c>
      <c r="P9342" s="10" t="s">
        <v>57688</v>
      </c>
      <c r="Q9342" s="10" t="s">
        <v>34561</v>
      </c>
      <c r="R9342" s="10" t="s">
        <v>64</v>
      </c>
      <c r="S9342" s="12" t="s">
        <v>43175</v>
      </c>
      <c r="T9342" s="10" t="s">
        <v>66</v>
      </c>
      <c r="U9342" s="12" t="s">
        <v>31</v>
      </c>
      <c r="V9342" s="10" t="s">
        <v>57753</v>
      </c>
      <c r="W9342" s="10" t="s">
        <v>57684</v>
      </c>
      <c r="X9342" s="13" t="str">
        <f>HYPERLINK("https://my.pitchbook.com?p=39368-08P","View People Online")</f>
        <v>View People Online</v>
      </c>
    </row>
    <row r="9343">
      <c r="A9343" s="14" t="s">
        <v>57754</v>
      </c>
      <c r="B9343" s="14" t="s">
        <v>57755</v>
      </c>
      <c r="C9343" s="14" t="s">
        <v>285</v>
      </c>
      <c r="D9343" s="14" t="s">
        <v>34691</v>
      </c>
      <c r="E9343" s="14" t="s">
        <v>57684</v>
      </c>
      <c r="F9343" s="14" t="s">
        <v>2652</v>
      </c>
      <c r="G9343" s="14" t="s">
        <v>57756</v>
      </c>
      <c r="H9343" s="15" t="s">
        <v>31</v>
      </c>
      <c r="I9343" s="15">
        <v>1.0</v>
      </c>
      <c r="J9343" s="15">
        <v>1.0</v>
      </c>
      <c r="K9343" s="15" t="s">
        <v>31</v>
      </c>
      <c r="L9343" s="16" t="s">
        <v>57686</v>
      </c>
      <c r="M9343" s="14" t="s">
        <v>57757</v>
      </c>
      <c r="N9343" s="14" t="s">
        <v>39870</v>
      </c>
      <c r="O9343" s="16" t="s">
        <v>39871</v>
      </c>
      <c r="P9343" s="14" t="s">
        <v>57688</v>
      </c>
      <c r="Q9343" s="14" t="s">
        <v>34561</v>
      </c>
      <c r="R9343" s="14" t="s">
        <v>64</v>
      </c>
      <c r="S9343" s="16" t="s">
        <v>43175</v>
      </c>
      <c r="T9343" s="14" t="s">
        <v>66</v>
      </c>
      <c r="U9343" s="16" t="s">
        <v>31</v>
      </c>
      <c r="V9343" s="14" t="s">
        <v>57758</v>
      </c>
      <c r="W9343" s="14" t="s">
        <v>57684</v>
      </c>
      <c r="X9343" s="17" t="str">
        <f>HYPERLINK("https://my.pitchbook.com?p=356336-38P","View People Online")</f>
        <v>View People Online</v>
      </c>
    </row>
    <row r="9344">
      <c r="A9344" s="2" t="s">
        <v>57759</v>
      </c>
      <c r="B9344" s="2" t="s">
        <v>57760</v>
      </c>
      <c r="C9344" s="2" t="s">
        <v>3597</v>
      </c>
      <c r="D9344" s="2" t="s">
        <v>57761</v>
      </c>
      <c r="E9344" s="2" t="s">
        <v>57684</v>
      </c>
      <c r="F9344" s="2" t="s">
        <v>1801</v>
      </c>
      <c r="G9344" s="2" t="s">
        <v>57762</v>
      </c>
      <c r="H9344" s="3" t="s">
        <v>31</v>
      </c>
      <c r="I9344" s="3">
        <v>2.0</v>
      </c>
      <c r="J9344" s="3">
        <v>2.0</v>
      </c>
      <c r="K9344" s="3" t="s">
        <v>31</v>
      </c>
      <c r="L9344" s="4" t="s">
        <v>57686</v>
      </c>
      <c r="M9344" s="2" t="s">
        <v>57763</v>
      </c>
      <c r="N9344" s="2" t="s">
        <v>39870</v>
      </c>
      <c r="O9344" s="4" t="s">
        <v>39871</v>
      </c>
      <c r="P9344" s="2" t="s">
        <v>57688</v>
      </c>
      <c r="Q9344" s="2" t="s">
        <v>34561</v>
      </c>
      <c r="R9344" s="2" t="s">
        <v>64</v>
      </c>
      <c r="S9344" s="4" t="s">
        <v>43175</v>
      </c>
      <c r="T9344" s="2" t="s">
        <v>66</v>
      </c>
      <c r="U9344" s="4" t="s">
        <v>31</v>
      </c>
      <c r="V9344" s="2" t="s">
        <v>57764</v>
      </c>
      <c r="W9344" s="2" t="s">
        <v>57684</v>
      </c>
      <c r="X9344" s="5" t="str">
        <f>HYPERLINK("https://my.pitchbook.com?p=38992-60P","View People Online")</f>
        <v>View People Online</v>
      </c>
    </row>
    <row r="9345">
      <c r="A9345" s="6" t="s">
        <v>57765</v>
      </c>
      <c r="B9345" s="6" t="s">
        <v>57766</v>
      </c>
      <c r="C9345" s="6" t="s">
        <v>4943</v>
      </c>
      <c r="D9345" s="6" t="s">
        <v>57767</v>
      </c>
      <c r="E9345" s="6" t="s">
        <v>57684</v>
      </c>
      <c r="F9345" s="6" t="s">
        <v>270</v>
      </c>
      <c r="G9345" s="6" t="s">
        <v>57768</v>
      </c>
      <c r="H9345" s="7" t="s">
        <v>31</v>
      </c>
      <c r="I9345" s="7">
        <v>4.0</v>
      </c>
      <c r="J9345" s="7">
        <v>2.0</v>
      </c>
      <c r="K9345" s="7">
        <v>2.0</v>
      </c>
      <c r="L9345" s="8" t="s">
        <v>57769</v>
      </c>
      <c r="M9345" s="6" t="s">
        <v>57770</v>
      </c>
      <c r="N9345" s="6" t="s">
        <v>39870</v>
      </c>
      <c r="O9345" s="8" t="s">
        <v>39871</v>
      </c>
      <c r="P9345" s="6" t="s">
        <v>57688</v>
      </c>
      <c r="Q9345" s="6" t="s">
        <v>34561</v>
      </c>
      <c r="R9345" s="6" t="s">
        <v>64</v>
      </c>
      <c r="S9345" s="8" t="s">
        <v>43175</v>
      </c>
      <c r="T9345" s="6" t="s">
        <v>66</v>
      </c>
      <c r="U9345" s="8" t="s">
        <v>31</v>
      </c>
      <c r="V9345" s="6" t="s">
        <v>57771</v>
      </c>
      <c r="W9345" s="6" t="s">
        <v>57684</v>
      </c>
      <c r="X9345" s="9" t="str">
        <f>HYPERLINK("https://my.pitchbook.com?p=104250-43P","View People Online")</f>
        <v>View People Online</v>
      </c>
    </row>
    <row r="9346">
      <c r="A9346" s="2" t="s">
        <v>57772</v>
      </c>
      <c r="B9346" s="2" t="s">
        <v>57773</v>
      </c>
      <c r="C9346" s="2" t="s">
        <v>4299</v>
      </c>
      <c r="D9346" s="2" t="s">
        <v>57774</v>
      </c>
      <c r="E9346" s="2" t="s">
        <v>57684</v>
      </c>
      <c r="F9346" s="2" t="s">
        <v>548</v>
      </c>
      <c r="G9346" s="2" t="s">
        <v>57775</v>
      </c>
      <c r="H9346" s="3" t="s">
        <v>31</v>
      </c>
      <c r="I9346" s="3">
        <v>1.0</v>
      </c>
      <c r="J9346" s="3">
        <v>1.0</v>
      </c>
      <c r="K9346" s="3" t="s">
        <v>31</v>
      </c>
      <c r="L9346" s="4" t="s">
        <v>57686</v>
      </c>
      <c r="M9346" s="2" t="s">
        <v>57776</v>
      </c>
      <c r="N9346" s="2" t="s">
        <v>39870</v>
      </c>
      <c r="O9346" s="4" t="s">
        <v>39871</v>
      </c>
      <c r="P9346" s="2" t="s">
        <v>57688</v>
      </c>
      <c r="Q9346" s="2" t="s">
        <v>34561</v>
      </c>
      <c r="R9346" s="2" t="s">
        <v>64</v>
      </c>
      <c r="S9346" s="4" t="s">
        <v>43175</v>
      </c>
      <c r="T9346" s="2" t="s">
        <v>66</v>
      </c>
      <c r="U9346" s="4" t="s">
        <v>31</v>
      </c>
      <c r="V9346" s="2" t="s">
        <v>57777</v>
      </c>
      <c r="W9346" s="2" t="s">
        <v>57684</v>
      </c>
      <c r="X9346" s="5" t="str">
        <f>HYPERLINK("https://my.pitchbook.com?p=367226-20P","View People Online")</f>
        <v>View People Online</v>
      </c>
    </row>
    <row r="9347">
      <c r="A9347" s="6" t="s">
        <v>57778</v>
      </c>
      <c r="B9347" s="6" t="s">
        <v>57779</v>
      </c>
      <c r="C9347" s="6" t="s">
        <v>9911</v>
      </c>
      <c r="D9347" s="6" t="s">
        <v>28504</v>
      </c>
      <c r="E9347" s="6" t="s">
        <v>57684</v>
      </c>
      <c r="F9347" s="6" t="s">
        <v>1283</v>
      </c>
      <c r="G9347" s="6" t="s">
        <v>57780</v>
      </c>
      <c r="H9347" s="7" t="s">
        <v>31</v>
      </c>
      <c r="I9347" s="7">
        <v>2.0</v>
      </c>
      <c r="J9347" s="7">
        <v>2.0</v>
      </c>
      <c r="K9347" s="7" t="s">
        <v>31</v>
      </c>
      <c r="L9347" s="8" t="s">
        <v>57781</v>
      </c>
      <c r="M9347" s="6" t="s">
        <v>57782</v>
      </c>
      <c r="N9347" s="6" t="s">
        <v>39870</v>
      </c>
      <c r="O9347" s="8" t="s">
        <v>39871</v>
      </c>
      <c r="P9347" s="6" t="s">
        <v>57688</v>
      </c>
      <c r="Q9347" s="6" t="s">
        <v>34561</v>
      </c>
      <c r="R9347" s="6" t="s">
        <v>64</v>
      </c>
      <c r="S9347" s="8" t="s">
        <v>43175</v>
      </c>
      <c r="T9347" s="6" t="s">
        <v>66</v>
      </c>
      <c r="U9347" s="8" t="s">
        <v>31</v>
      </c>
      <c r="V9347" s="6" t="s">
        <v>1283</v>
      </c>
      <c r="W9347" s="6" t="s">
        <v>57684</v>
      </c>
      <c r="X9347" s="9" t="str">
        <f>HYPERLINK("https://my.pitchbook.com?p=42438-16P","View People Online")</f>
        <v>View People Online</v>
      </c>
    </row>
    <row r="9348">
      <c r="A9348" s="10" t="s">
        <v>57783</v>
      </c>
      <c r="B9348" s="10" t="s">
        <v>57784</v>
      </c>
      <c r="C9348" s="10" t="s">
        <v>2093</v>
      </c>
      <c r="D9348" s="10" t="s">
        <v>57785</v>
      </c>
      <c r="E9348" s="10" t="s">
        <v>57684</v>
      </c>
      <c r="F9348" s="10" t="s">
        <v>470</v>
      </c>
      <c r="G9348" s="10" t="s">
        <v>57786</v>
      </c>
      <c r="H9348" s="11" t="s">
        <v>31</v>
      </c>
      <c r="I9348" s="11">
        <v>1.0</v>
      </c>
      <c r="J9348" s="11">
        <v>1.0</v>
      </c>
      <c r="K9348" s="11" t="s">
        <v>31</v>
      </c>
      <c r="L9348" s="12" t="s">
        <v>57686</v>
      </c>
      <c r="M9348" s="10" t="s">
        <v>31</v>
      </c>
      <c r="N9348" s="10" t="s">
        <v>39870</v>
      </c>
      <c r="O9348" s="12" t="s">
        <v>39871</v>
      </c>
      <c r="P9348" s="10" t="s">
        <v>57688</v>
      </c>
      <c r="Q9348" s="10" t="s">
        <v>34561</v>
      </c>
      <c r="R9348" s="10" t="s">
        <v>64</v>
      </c>
      <c r="S9348" s="12" t="s">
        <v>43175</v>
      </c>
      <c r="T9348" s="10" t="s">
        <v>66</v>
      </c>
      <c r="U9348" s="12" t="s">
        <v>31</v>
      </c>
      <c r="V9348" s="10" t="s">
        <v>470</v>
      </c>
      <c r="W9348" s="10" t="s">
        <v>57684</v>
      </c>
      <c r="X9348" s="13" t="str">
        <f>HYPERLINK("https://my.pitchbook.com?p=453821-23P","View People Online")</f>
        <v>View People Online</v>
      </c>
    </row>
    <row r="9349">
      <c r="A9349" s="14" t="s">
        <v>57787</v>
      </c>
      <c r="B9349" s="14" t="s">
        <v>57788</v>
      </c>
      <c r="C9349" s="14" t="s">
        <v>57789</v>
      </c>
      <c r="D9349" s="14" t="s">
        <v>113</v>
      </c>
      <c r="E9349" s="14" t="s">
        <v>57684</v>
      </c>
      <c r="F9349" s="14" t="s">
        <v>1283</v>
      </c>
      <c r="G9349" s="14" t="s">
        <v>57790</v>
      </c>
      <c r="H9349" s="15" t="s">
        <v>31</v>
      </c>
      <c r="I9349" s="15">
        <v>1.0</v>
      </c>
      <c r="J9349" s="15">
        <v>1.0</v>
      </c>
      <c r="K9349" s="15" t="s">
        <v>31</v>
      </c>
      <c r="L9349" s="16" t="s">
        <v>57686</v>
      </c>
      <c r="M9349" s="14" t="s">
        <v>57791</v>
      </c>
      <c r="N9349" s="14" t="s">
        <v>39870</v>
      </c>
      <c r="O9349" s="16" t="s">
        <v>39871</v>
      </c>
      <c r="P9349" s="14" t="s">
        <v>57688</v>
      </c>
      <c r="Q9349" s="14" t="s">
        <v>34561</v>
      </c>
      <c r="R9349" s="14" t="s">
        <v>64</v>
      </c>
      <c r="S9349" s="16" t="s">
        <v>43175</v>
      </c>
      <c r="T9349" s="14" t="s">
        <v>66</v>
      </c>
      <c r="U9349" s="16" t="s">
        <v>31</v>
      </c>
      <c r="V9349" s="14" t="s">
        <v>57792</v>
      </c>
      <c r="W9349" s="14" t="s">
        <v>57684</v>
      </c>
      <c r="X9349" s="17" t="str">
        <f>HYPERLINK("https://my.pitchbook.com?p=383973-49P","View People Online")</f>
        <v>View People Online</v>
      </c>
    </row>
    <row r="9350">
      <c r="A9350" s="2" t="s">
        <v>57793</v>
      </c>
      <c r="B9350" s="2" t="s">
        <v>57794</v>
      </c>
      <c r="C9350" s="2" t="s">
        <v>8956</v>
      </c>
      <c r="D9350" s="2" t="s">
        <v>22105</v>
      </c>
      <c r="E9350" s="2" t="s">
        <v>57684</v>
      </c>
      <c r="F9350" s="2" t="s">
        <v>825</v>
      </c>
      <c r="G9350" s="2" t="s">
        <v>57795</v>
      </c>
      <c r="H9350" s="3" t="s">
        <v>31</v>
      </c>
      <c r="I9350" s="3">
        <v>1.0</v>
      </c>
      <c r="J9350" s="3">
        <v>1.0</v>
      </c>
      <c r="K9350" s="3" t="s">
        <v>31</v>
      </c>
      <c r="L9350" s="4" t="s">
        <v>57686</v>
      </c>
      <c r="M9350" s="2" t="s">
        <v>57796</v>
      </c>
      <c r="N9350" s="2" t="s">
        <v>39870</v>
      </c>
      <c r="O9350" s="4" t="s">
        <v>39871</v>
      </c>
      <c r="P9350" s="2" t="s">
        <v>57688</v>
      </c>
      <c r="Q9350" s="2" t="s">
        <v>34561</v>
      </c>
      <c r="R9350" s="2" t="s">
        <v>64</v>
      </c>
      <c r="S9350" s="4" t="s">
        <v>43175</v>
      </c>
      <c r="T9350" s="2" t="s">
        <v>66</v>
      </c>
      <c r="U9350" s="4" t="s">
        <v>31</v>
      </c>
      <c r="V9350" s="2" t="s">
        <v>57797</v>
      </c>
      <c r="W9350" s="2" t="s">
        <v>57684</v>
      </c>
      <c r="X9350" s="5" t="str">
        <f>HYPERLINK("https://my.pitchbook.com?p=367450-75P","View People Online")</f>
        <v>View People Online</v>
      </c>
    </row>
    <row r="9351">
      <c r="A9351" s="14" t="s">
        <v>57798</v>
      </c>
      <c r="B9351" s="14" t="s">
        <v>57799</v>
      </c>
      <c r="C9351" s="14" t="s">
        <v>26193</v>
      </c>
      <c r="D9351" s="14" t="s">
        <v>43165</v>
      </c>
      <c r="E9351" s="14" t="s">
        <v>57684</v>
      </c>
      <c r="F9351" s="14" t="s">
        <v>548</v>
      </c>
      <c r="G9351" s="14" t="s">
        <v>57800</v>
      </c>
      <c r="H9351" s="15" t="s">
        <v>31</v>
      </c>
      <c r="I9351" s="15">
        <v>2.0</v>
      </c>
      <c r="J9351" s="15">
        <v>1.0</v>
      </c>
      <c r="K9351" s="15">
        <v>1.0</v>
      </c>
      <c r="L9351" s="16" t="s">
        <v>57686</v>
      </c>
      <c r="M9351" s="14" t="s">
        <v>57801</v>
      </c>
      <c r="N9351" s="14" t="s">
        <v>39870</v>
      </c>
      <c r="O9351" s="16" t="s">
        <v>39871</v>
      </c>
      <c r="P9351" s="14" t="s">
        <v>57688</v>
      </c>
      <c r="Q9351" s="14" t="s">
        <v>34561</v>
      </c>
      <c r="R9351" s="14" t="s">
        <v>64</v>
      </c>
      <c r="S9351" s="16" t="s">
        <v>43175</v>
      </c>
      <c r="T9351" s="14" t="s">
        <v>66</v>
      </c>
      <c r="U9351" s="16" t="s">
        <v>31</v>
      </c>
      <c r="V9351" s="14" t="s">
        <v>57802</v>
      </c>
      <c r="W9351" s="14" t="s">
        <v>57684</v>
      </c>
      <c r="X9351" s="17" t="str">
        <f>HYPERLINK("https://my.pitchbook.com?p=360025-75P","View People Online")</f>
        <v>View People Online</v>
      </c>
    </row>
    <row r="9352">
      <c r="A9352" s="10" t="s">
        <v>57803</v>
      </c>
      <c r="B9352" s="10" t="s">
        <v>57804</v>
      </c>
      <c r="C9352" s="10" t="s">
        <v>823</v>
      </c>
      <c r="D9352" s="10" t="s">
        <v>4465</v>
      </c>
      <c r="E9352" s="10" t="s">
        <v>57684</v>
      </c>
      <c r="F9352" s="10" t="s">
        <v>1283</v>
      </c>
      <c r="G9352" s="10" t="s">
        <v>57805</v>
      </c>
      <c r="H9352" s="11" t="s">
        <v>31</v>
      </c>
      <c r="I9352" s="11">
        <v>2.0</v>
      </c>
      <c r="J9352" s="11">
        <v>1.0</v>
      </c>
      <c r="K9352" s="11">
        <v>1.0</v>
      </c>
      <c r="L9352" s="12" t="s">
        <v>57686</v>
      </c>
      <c r="M9352" s="10" t="s">
        <v>57806</v>
      </c>
      <c r="N9352" s="10" t="s">
        <v>39870</v>
      </c>
      <c r="O9352" s="12" t="s">
        <v>39871</v>
      </c>
      <c r="P9352" s="10" t="s">
        <v>57688</v>
      </c>
      <c r="Q9352" s="10" t="s">
        <v>34561</v>
      </c>
      <c r="R9352" s="10" t="s">
        <v>64</v>
      </c>
      <c r="S9352" s="12" t="s">
        <v>43175</v>
      </c>
      <c r="T9352" s="10" t="s">
        <v>66</v>
      </c>
      <c r="U9352" s="12" t="s">
        <v>31</v>
      </c>
      <c r="V9352" s="10" t="s">
        <v>57807</v>
      </c>
      <c r="W9352" s="10" t="s">
        <v>57684</v>
      </c>
      <c r="X9352" s="13" t="str">
        <f>HYPERLINK("https://my.pitchbook.com?p=403257-43P","View People Online")</f>
        <v>View People Online</v>
      </c>
    </row>
    <row r="9353">
      <c r="A9353" s="6" t="s">
        <v>57808</v>
      </c>
      <c r="B9353" s="6" t="s">
        <v>57809</v>
      </c>
      <c r="C9353" s="6" t="s">
        <v>2149</v>
      </c>
      <c r="D9353" s="6" t="s">
        <v>3716</v>
      </c>
      <c r="E9353" s="6" t="s">
        <v>57684</v>
      </c>
      <c r="F9353" s="6" t="s">
        <v>318</v>
      </c>
      <c r="G9353" s="6" t="s">
        <v>57810</v>
      </c>
      <c r="H9353" s="7" t="s">
        <v>31</v>
      </c>
      <c r="I9353" s="7">
        <v>1.0</v>
      </c>
      <c r="J9353" s="7">
        <v>1.0</v>
      </c>
      <c r="K9353" s="7" t="s">
        <v>31</v>
      </c>
      <c r="L9353" s="8" t="s">
        <v>57686</v>
      </c>
      <c r="M9353" s="6" t="s">
        <v>57811</v>
      </c>
      <c r="N9353" s="6" t="s">
        <v>39870</v>
      </c>
      <c r="O9353" s="8" t="s">
        <v>39871</v>
      </c>
      <c r="P9353" s="6" t="s">
        <v>57688</v>
      </c>
      <c r="Q9353" s="6" t="s">
        <v>34561</v>
      </c>
      <c r="R9353" s="6" t="s">
        <v>64</v>
      </c>
      <c r="S9353" s="8" t="s">
        <v>43175</v>
      </c>
      <c r="T9353" s="6" t="s">
        <v>66</v>
      </c>
      <c r="U9353" s="8" t="s">
        <v>31</v>
      </c>
      <c r="V9353" s="6" t="s">
        <v>57812</v>
      </c>
      <c r="W9353" s="6" t="s">
        <v>57684</v>
      </c>
      <c r="X9353" s="9" t="str">
        <f>HYPERLINK("https://my.pitchbook.com?p=367214-86P","View People Online")</f>
        <v>View People Online</v>
      </c>
    </row>
    <row r="9354">
      <c r="A9354" s="2" t="s">
        <v>57813</v>
      </c>
      <c r="B9354" s="2" t="s">
        <v>57814</v>
      </c>
      <c r="C9354" s="2" t="s">
        <v>1343</v>
      </c>
      <c r="D9354" s="2" t="s">
        <v>57815</v>
      </c>
      <c r="E9354" s="2" t="s">
        <v>57684</v>
      </c>
      <c r="F9354" s="2" t="s">
        <v>1283</v>
      </c>
      <c r="G9354" s="2" t="s">
        <v>57816</v>
      </c>
      <c r="H9354" s="3" t="s">
        <v>31</v>
      </c>
      <c r="I9354" s="3">
        <v>2.0</v>
      </c>
      <c r="J9354" s="3">
        <v>1.0</v>
      </c>
      <c r="K9354" s="3">
        <v>1.0</v>
      </c>
      <c r="L9354" s="4" t="s">
        <v>57686</v>
      </c>
      <c r="M9354" s="2" t="s">
        <v>57817</v>
      </c>
      <c r="N9354" s="2" t="s">
        <v>39870</v>
      </c>
      <c r="O9354" s="4" t="s">
        <v>39871</v>
      </c>
      <c r="P9354" s="2" t="s">
        <v>57688</v>
      </c>
      <c r="Q9354" s="2" t="s">
        <v>34561</v>
      </c>
      <c r="R9354" s="2" t="s">
        <v>64</v>
      </c>
      <c r="S9354" s="4" t="s">
        <v>43175</v>
      </c>
      <c r="T9354" s="2" t="s">
        <v>66</v>
      </c>
      <c r="U9354" s="4" t="s">
        <v>31</v>
      </c>
      <c r="V9354" s="2" t="s">
        <v>1283</v>
      </c>
      <c r="W9354" s="2" t="s">
        <v>57684</v>
      </c>
      <c r="X9354" s="5" t="str">
        <f>HYPERLINK("https://my.pitchbook.com?p=419705-65P","View People Online")</f>
        <v>View People Online</v>
      </c>
    </row>
    <row r="9355">
      <c r="A9355" s="6" t="s">
        <v>57818</v>
      </c>
      <c r="B9355" s="6" t="s">
        <v>57819</v>
      </c>
      <c r="C9355" s="6" t="s">
        <v>57820</v>
      </c>
      <c r="D9355" s="6" t="s">
        <v>57821</v>
      </c>
      <c r="E9355" s="6" t="s">
        <v>57684</v>
      </c>
      <c r="F9355" s="6" t="s">
        <v>1283</v>
      </c>
      <c r="G9355" s="6" t="s">
        <v>57822</v>
      </c>
      <c r="H9355" s="7" t="s">
        <v>31</v>
      </c>
      <c r="I9355" s="7">
        <v>2.0</v>
      </c>
      <c r="J9355" s="7">
        <v>2.0</v>
      </c>
      <c r="K9355" s="7" t="s">
        <v>31</v>
      </c>
      <c r="L9355" s="8" t="s">
        <v>57823</v>
      </c>
      <c r="M9355" s="6" t="s">
        <v>57824</v>
      </c>
      <c r="N9355" s="6" t="s">
        <v>14203</v>
      </c>
      <c r="O9355" s="8" t="s">
        <v>14204</v>
      </c>
      <c r="P9355" s="6" t="s">
        <v>57825</v>
      </c>
      <c r="Q9355" s="6" t="s">
        <v>11087</v>
      </c>
      <c r="R9355" s="6" t="s">
        <v>1420</v>
      </c>
      <c r="S9355" s="8" t="s">
        <v>14207</v>
      </c>
      <c r="T9355" s="6" t="s">
        <v>66</v>
      </c>
      <c r="U9355" s="8" t="s">
        <v>31</v>
      </c>
      <c r="V9355" s="6" t="s">
        <v>1283</v>
      </c>
      <c r="W9355" s="6" t="s">
        <v>57826</v>
      </c>
      <c r="X9355" s="9" t="str">
        <f>HYPERLINK("https://my.pitchbook.com?p=356277-16P","View People Online")</f>
        <v>View People Online</v>
      </c>
    </row>
    <row r="9356">
      <c r="A9356" s="2" t="s">
        <v>57827</v>
      </c>
      <c r="B9356" s="2" t="s">
        <v>57828</v>
      </c>
      <c r="C9356" s="2" t="s">
        <v>213</v>
      </c>
      <c r="D9356" s="2" t="s">
        <v>57829</v>
      </c>
      <c r="E9356" s="2" t="s">
        <v>57684</v>
      </c>
      <c r="F9356" s="2" t="s">
        <v>1283</v>
      </c>
      <c r="G9356" s="2" t="s">
        <v>57830</v>
      </c>
      <c r="H9356" s="3" t="s">
        <v>31</v>
      </c>
      <c r="I9356" s="3">
        <v>2.0</v>
      </c>
      <c r="J9356" s="3">
        <v>2.0</v>
      </c>
      <c r="K9356" s="3" t="s">
        <v>31</v>
      </c>
      <c r="L9356" s="4" t="s">
        <v>57831</v>
      </c>
      <c r="M9356" s="2" t="s">
        <v>57832</v>
      </c>
      <c r="N9356" s="2" t="s">
        <v>39870</v>
      </c>
      <c r="O9356" s="4" t="s">
        <v>39871</v>
      </c>
      <c r="P9356" s="2" t="s">
        <v>57833</v>
      </c>
      <c r="Q9356" s="2" t="s">
        <v>31</v>
      </c>
      <c r="R9356" s="2" t="s">
        <v>64</v>
      </c>
      <c r="S9356" s="4" t="s">
        <v>43175</v>
      </c>
      <c r="T9356" s="2" t="s">
        <v>66</v>
      </c>
      <c r="U9356" s="4" t="s">
        <v>31</v>
      </c>
      <c r="V9356" s="2" t="s">
        <v>57834</v>
      </c>
      <c r="W9356" s="2" t="s">
        <v>57826</v>
      </c>
      <c r="X9356" s="5" t="str">
        <f>HYPERLINK("https://my.pitchbook.com?p=28192-60P","View People Online")</f>
        <v>View People Online</v>
      </c>
    </row>
    <row r="9357">
      <c r="A9357" s="6" t="s">
        <v>57835</v>
      </c>
      <c r="B9357" s="6" t="s">
        <v>57836</v>
      </c>
      <c r="C9357" s="6" t="s">
        <v>5092</v>
      </c>
      <c r="D9357" s="6" t="s">
        <v>57837</v>
      </c>
      <c r="E9357" s="6" t="s">
        <v>57684</v>
      </c>
      <c r="F9357" s="6" t="s">
        <v>48473</v>
      </c>
      <c r="G9357" s="6" t="s">
        <v>57838</v>
      </c>
      <c r="H9357" s="7" t="s">
        <v>31</v>
      </c>
      <c r="I9357" s="7">
        <v>1.0</v>
      </c>
      <c r="J9357" s="7">
        <v>1.0</v>
      </c>
      <c r="K9357" s="7" t="s">
        <v>31</v>
      </c>
      <c r="L9357" s="8" t="s">
        <v>57686</v>
      </c>
      <c r="M9357" s="6" t="s">
        <v>57839</v>
      </c>
      <c r="N9357" s="6" t="s">
        <v>39870</v>
      </c>
      <c r="O9357" s="8" t="s">
        <v>39871</v>
      </c>
      <c r="P9357" s="6" t="s">
        <v>57688</v>
      </c>
      <c r="Q9357" s="6" t="s">
        <v>34561</v>
      </c>
      <c r="R9357" s="6" t="s">
        <v>64</v>
      </c>
      <c r="S9357" s="8" t="s">
        <v>43175</v>
      </c>
      <c r="T9357" s="6" t="s">
        <v>66</v>
      </c>
      <c r="U9357" s="8" t="s">
        <v>31</v>
      </c>
      <c r="V9357" s="6" t="s">
        <v>57840</v>
      </c>
      <c r="W9357" s="6" t="s">
        <v>57684</v>
      </c>
      <c r="X9357" s="9" t="str">
        <f>HYPERLINK("https://my.pitchbook.com?p=367357-69P","View People Online")</f>
        <v>View People Online</v>
      </c>
    </row>
    <row r="9358">
      <c r="A9358" s="2" t="s">
        <v>57841</v>
      </c>
      <c r="B9358" s="2" t="s">
        <v>57842</v>
      </c>
      <c r="C9358" s="2" t="s">
        <v>3089</v>
      </c>
      <c r="D9358" s="2" t="s">
        <v>7849</v>
      </c>
      <c r="E9358" s="2" t="s">
        <v>57684</v>
      </c>
      <c r="F9358" s="2" t="s">
        <v>825</v>
      </c>
      <c r="G9358" s="2" t="s">
        <v>57843</v>
      </c>
      <c r="H9358" s="3" t="s">
        <v>31</v>
      </c>
      <c r="I9358" s="3">
        <v>2.0</v>
      </c>
      <c r="J9358" s="3">
        <v>1.0</v>
      </c>
      <c r="K9358" s="3">
        <v>1.0</v>
      </c>
      <c r="L9358" s="4" t="s">
        <v>57844</v>
      </c>
      <c r="M9358" s="2" t="s">
        <v>57845</v>
      </c>
      <c r="N9358" s="2" t="s">
        <v>39870</v>
      </c>
      <c r="O9358" s="4" t="s">
        <v>39871</v>
      </c>
      <c r="P9358" s="2" t="s">
        <v>57688</v>
      </c>
      <c r="Q9358" s="2" t="s">
        <v>34561</v>
      </c>
      <c r="R9358" s="2" t="s">
        <v>64</v>
      </c>
      <c r="S9358" s="4" t="s">
        <v>43175</v>
      </c>
      <c r="T9358" s="2" t="s">
        <v>66</v>
      </c>
      <c r="U9358" s="4" t="s">
        <v>31</v>
      </c>
      <c r="V9358" s="2" t="s">
        <v>57846</v>
      </c>
      <c r="W9358" s="2" t="s">
        <v>57684</v>
      </c>
      <c r="X9358" s="5" t="str">
        <f>HYPERLINK("https://my.pitchbook.com?p=14365-99P","View People Online")</f>
        <v>View People Online</v>
      </c>
    </row>
    <row r="9359">
      <c r="A9359" s="6" t="s">
        <v>57847</v>
      </c>
      <c r="B9359" s="6" t="s">
        <v>57848</v>
      </c>
      <c r="C9359" s="6" t="s">
        <v>57849</v>
      </c>
      <c r="D9359" s="6" t="s">
        <v>57850</v>
      </c>
      <c r="E9359" s="6" t="s">
        <v>57684</v>
      </c>
      <c r="F9359" s="6" t="s">
        <v>371</v>
      </c>
      <c r="G9359" s="6" t="s">
        <v>57851</v>
      </c>
      <c r="H9359" s="7" t="s">
        <v>31</v>
      </c>
      <c r="I9359" s="7">
        <v>1.0</v>
      </c>
      <c r="J9359" s="7">
        <v>1.0</v>
      </c>
      <c r="K9359" s="7" t="s">
        <v>31</v>
      </c>
      <c r="L9359" s="8" t="s">
        <v>57686</v>
      </c>
      <c r="M9359" s="6" t="s">
        <v>57852</v>
      </c>
      <c r="N9359" s="6" t="s">
        <v>39870</v>
      </c>
      <c r="O9359" s="8" t="s">
        <v>39871</v>
      </c>
      <c r="P9359" s="6" t="s">
        <v>57688</v>
      </c>
      <c r="Q9359" s="6" t="s">
        <v>34561</v>
      </c>
      <c r="R9359" s="6" t="s">
        <v>64</v>
      </c>
      <c r="S9359" s="8" t="s">
        <v>43175</v>
      </c>
      <c r="T9359" s="6" t="s">
        <v>66</v>
      </c>
      <c r="U9359" s="8" t="s">
        <v>31</v>
      </c>
      <c r="V9359" s="6" t="s">
        <v>371</v>
      </c>
      <c r="W9359" s="6" t="s">
        <v>57684</v>
      </c>
      <c r="X9359" s="9" t="str">
        <f>HYPERLINK("https://my.pitchbook.com?p=236672-92P","View People Online")</f>
        <v>View People Online</v>
      </c>
    </row>
    <row r="9360">
      <c r="A9360" s="2" t="s">
        <v>57853</v>
      </c>
      <c r="B9360" s="2" t="s">
        <v>57854</v>
      </c>
      <c r="C9360" s="2" t="s">
        <v>2221</v>
      </c>
      <c r="D9360" s="2" t="s">
        <v>57855</v>
      </c>
      <c r="E9360" s="2" t="s">
        <v>57684</v>
      </c>
      <c r="F9360" s="2" t="s">
        <v>548</v>
      </c>
      <c r="G9360" s="2" t="s">
        <v>57856</v>
      </c>
      <c r="H9360" s="3" t="s">
        <v>31</v>
      </c>
      <c r="I9360" s="3">
        <v>1.0</v>
      </c>
      <c r="J9360" s="3">
        <v>1.0</v>
      </c>
      <c r="K9360" s="3" t="s">
        <v>31</v>
      </c>
      <c r="L9360" s="4" t="s">
        <v>57686</v>
      </c>
      <c r="M9360" s="2" t="s">
        <v>57857</v>
      </c>
      <c r="N9360" s="2" t="s">
        <v>39870</v>
      </c>
      <c r="O9360" s="4" t="s">
        <v>39871</v>
      </c>
      <c r="P9360" s="2" t="s">
        <v>57688</v>
      </c>
      <c r="Q9360" s="2" t="s">
        <v>34561</v>
      </c>
      <c r="R9360" s="2" t="s">
        <v>64</v>
      </c>
      <c r="S9360" s="4" t="s">
        <v>43175</v>
      </c>
      <c r="T9360" s="2" t="s">
        <v>66</v>
      </c>
      <c r="U9360" s="4" t="s">
        <v>31</v>
      </c>
      <c r="V9360" s="2" t="s">
        <v>57858</v>
      </c>
      <c r="W9360" s="2" t="s">
        <v>57684</v>
      </c>
      <c r="X9360" s="5" t="str">
        <f>HYPERLINK("https://my.pitchbook.com?p=366875-11P","View People Online")</f>
        <v>View People Online</v>
      </c>
    </row>
    <row r="9361">
      <c r="A9361" s="14" t="s">
        <v>57859</v>
      </c>
      <c r="B9361" s="14" t="s">
        <v>57860</v>
      </c>
      <c r="C9361" s="14" t="s">
        <v>5113</v>
      </c>
      <c r="D9361" s="14" t="s">
        <v>57861</v>
      </c>
      <c r="E9361" s="14" t="s">
        <v>57684</v>
      </c>
      <c r="F9361" s="14" t="s">
        <v>548</v>
      </c>
      <c r="G9361" s="14" t="s">
        <v>57862</v>
      </c>
      <c r="H9361" s="15" t="s">
        <v>31</v>
      </c>
      <c r="I9361" s="15">
        <v>1.0</v>
      </c>
      <c r="J9361" s="15">
        <v>1.0</v>
      </c>
      <c r="K9361" s="15" t="s">
        <v>31</v>
      </c>
      <c r="L9361" s="16" t="s">
        <v>57686</v>
      </c>
      <c r="M9361" s="14" t="s">
        <v>57863</v>
      </c>
      <c r="N9361" s="14" t="s">
        <v>39870</v>
      </c>
      <c r="O9361" s="16" t="s">
        <v>39871</v>
      </c>
      <c r="P9361" s="14" t="s">
        <v>57688</v>
      </c>
      <c r="Q9361" s="14" t="s">
        <v>34561</v>
      </c>
      <c r="R9361" s="14" t="s">
        <v>64</v>
      </c>
      <c r="S9361" s="16" t="s">
        <v>43175</v>
      </c>
      <c r="T9361" s="14" t="s">
        <v>66</v>
      </c>
      <c r="U9361" s="16" t="s">
        <v>31</v>
      </c>
      <c r="V9361" s="14" t="s">
        <v>57864</v>
      </c>
      <c r="W9361" s="14" t="s">
        <v>57684</v>
      </c>
      <c r="X9361" s="17" t="str">
        <f>HYPERLINK("https://my.pitchbook.com?p=30745-45P","View People Online")</f>
        <v>View People Online</v>
      </c>
    </row>
    <row r="9362">
      <c r="A9362" s="2" t="s">
        <v>57865</v>
      </c>
      <c r="B9362" s="2" t="s">
        <v>57866</v>
      </c>
      <c r="C9362" s="2" t="s">
        <v>1502</v>
      </c>
      <c r="D9362" s="2" t="s">
        <v>57867</v>
      </c>
      <c r="E9362" s="2" t="s">
        <v>57684</v>
      </c>
      <c r="F9362" s="2" t="s">
        <v>1283</v>
      </c>
      <c r="G9362" s="2" t="s">
        <v>57868</v>
      </c>
      <c r="H9362" s="3" t="s">
        <v>31</v>
      </c>
      <c r="I9362" s="3">
        <v>3.0</v>
      </c>
      <c r="J9362" s="3">
        <v>2.0</v>
      </c>
      <c r="K9362" s="3">
        <v>1.0</v>
      </c>
      <c r="L9362" s="4" t="s">
        <v>57869</v>
      </c>
      <c r="M9362" s="2" t="s">
        <v>57870</v>
      </c>
      <c r="N9362" s="2" t="s">
        <v>4232</v>
      </c>
      <c r="O9362" s="4" t="s">
        <v>4233</v>
      </c>
      <c r="P9362" s="2" t="s">
        <v>57871</v>
      </c>
      <c r="Q9362" s="2" t="s">
        <v>3859</v>
      </c>
      <c r="R9362" s="2" t="s">
        <v>4236</v>
      </c>
      <c r="S9362" s="4" t="s">
        <v>11182</v>
      </c>
      <c r="T9362" s="2" t="s">
        <v>66</v>
      </c>
      <c r="U9362" s="4" t="s">
        <v>57872</v>
      </c>
      <c r="V9362" s="2" t="s">
        <v>1283</v>
      </c>
      <c r="W9362" s="2" t="s">
        <v>57826</v>
      </c>
      <c r="X9362" s="5" t="str">
        <f>HYPERLINK("https://my.pitchbook.com?p=157451-05P","View People Online")</f>
        <v>View People Online</v>
      </c>
    </row>
    <row r="9363">
      <c r="A9363" s="14" t="s">
        <v>57873</v>
      </c>
      <c r="B9363" s="14" t="s">
        <v>45182</v>
      </c>
      <c r="C9363" s="14" t="s">
        <v>2288</v>
      </c>
      <c r="D9363" s="14" t="s">
        <v>18117</v>
      </c>
      <c r="E9363" s="14" t="s">
        <v>57684</v>
      </c>
      <c r="F9363" s="14" t="s">
        <v>312</v>
      </c>
      <c r="G9363" s="14" t="s">
        <v>57874</v>
      </c>
      <c r="H9363" s="15" t="s">
        <v>31</v>
      </c>
      <c r="I9363" s="15">
        <v>1.0</v>
      </c>
      <c r="J9363" s="15">
        <v>1.0</v>
      </c>
      <c r="K9363" s="15" t="s">
        <v>31</v>
      </c>
      <c r="L9363" s="16" t="s">
        <v>57686</v>
      </c>
      <c r="M9363" s="14" t="s">
        <v>57875</v>
      </c>
      <c r="N9363" s="14" t="s">
        <v>39870</v>
      </c>
      <c r="O9363" s="16" t="s">
        <v>39871</v>
      </c>
      <c r="P9363" s="14" t="s">
        <v>57688</v>
      </c>
      <c r="Q9363" s="14" t="s">
        <v>34561</v>
      </c>
      <c r="R9363" s="14" t="s">
        <v>64</v>
      </c>
      <c r="S9363" s="16" t="s">
        <v>43175</v>
      </c>
      <c r="T9363" s="14" t="s">
        <v>66</v>
      </c>
      <c r="U9363" s="16" t="s">
        <v>31</v>
      </c>
      <c r="V9363" s="14" t="s">
        <v>312</v>
      </c>
      <c r="W9363" s="14" t="s">
        <v>57684</v>
      </c>
      <c r="X9363" s="17" t="str">
        <f>HYPERLINK("https://my.pitchbook.com?p=366475-51P","View People Online")</f>
        <v>View People Online</v>
      </c>
    </row>
    <row r="9364">
      <c r="A9364" s="10" t="s">
        <v>57876</v>
      </c>
      <c r="B9364" s="10" t="s">
        <v>57877</v>
      </c>
      <c r="C9364" s="10" t="s">
        <v>3554</v>
      </c>
      <c r="D9364" s="10" t="s">
        <v>57878</v>
      </c>
      <c r="E9364" s="10" t="s">
        <v>57684</v>
      </c>
      <c r="F9364" s="10" t="s">
        <v>371</v>
      </c>
      <c r="G9364" s="10" t="s">
        <v>57879</v>
      </c>
      <c r="H9364" s="11" t="s">
        <v>31</v>
      </c>
      <c r="I9364" s="11">
        <v>1.0</v>
      </c>
      <c r="J9364" s="11">
        <v>1.0</v>
      </c>
      <c r="K9364" s="11" t="s">
        <v>31</v>
      </c>
      <c r="L9364" s="12" t="s">
        <v>57686</v>
      </c>
      <c r="M9364" s="10" t="s">
        <v>57880</v>
      </c>
      <c r="N9364" s="10" t="s">
        <v>39870</v>
      </c>
      <c r="O9364" s="12" t="s">
        <v>39871</v>
      </c>
      <c r="P9364" s="10" t="s">
        <v>57688</v>
      </c>
      <c r="Q9364" s="10" t="s">
        <v>34561</v>
      </c>
      <c r="R9364" s="10" t="s">
        <v>64</v>
      </c>
      <c r="S9364" s="12" t="s">
        <v>43175</v>
      </c>
      <c r="T9364" s="10" t="s">
        <v>66</v>
      </c>
      <c r="U9364" s="12" t="s">
        <v>31</v>
      </c>
      <c r="V9364" s="10" t="s">
        <v>57881</v>
      </c>
      <c r="W9364" s="10" t="s">
        <v>57684</v>
      </c>
      <c r="X9364" s="13" t="str">
        <f>HYPERLINK("https://my.pitchbook.com?p=367229-98P","View People Online")</f>
        <v>View People Online</v>
      </c>
    </row>
    <row r="9365">
      <c r="A9365" s="6" t="s">
        <v>57882</v>
      </c>
      <c r="B9365" s="6" t="s">
        <v>57883</v>
      </c>
      <c r="C9365" s="6" t="s">
        <v>160</v>
      </c>
      <c r="D9365" s="6" t="s">
        <v>4544</v>
      </c>
      <c r="E9365" s="6" t="s">
        <v>57684</v>
      </c>
      <c r="F9365" s="6" t="s">
        <v>1283</v>
      </c>
      <c r="G9365" s="6" t="s">
        <v>57884</v>
      </c>
      <c r="H9365" s="7" t="s">
        <v>31</v>
      </c>
      <c r="I9365" s="7">
        <v>1.0</v>
      </c>
      <c r="J9365" s="7">
        <v>1.0</v>
      </c>
      <c r="K9365" s="7" t="s">
        <v>31</v>
      </c>
      <c r="L9365" s="8" t="s">
        <v>57686</v>
      </c>
      <c r="M9365" s="6" t="s">
        <v>57885</v>
      </c>
      <c r="N9365" s="6" t="s">
        <v>39870</v>
      </c>
      <c r="O9365" s="8" t="s">
        <v>39871</v>
      </c>
      <c r="P9365" s="6" t="s">
        <v>57688</v>
      </c>
      <c r="Q9365" s="6" t="s">
        <v>34561</v>
      </c>
      <c r="R9365" s="6" t="s">
        <v>64</v>
      </c>
      <c r="S9365" s="8" t="s">
        <v>43175</v>
      </c>
      <c r="T9365" s="6" t="s">
        <v>66</v>
      </c>
      <c r="U9365" s="8" t="s">
        <v>31</v>
      </c>
      <c r="V9365" s="6" t="s">
        <v>57886</v>
      </c>
      <c r="W9365" s="6" t="s">
        <v>57684</v>
      </c>
      <c r="X9365" s="9" t="str">
        <f>HYPERLINK("https://my.pitchbook.com?p=367118-29P","View People Online")</f>
        <v>View People Online</v>
      </c>
    </row>
    <row r="9366">
      <c r="A9366" s="10" t="s">
        <v>57887</v>
      </c>
      <c r="B9366" s="10" t="s">
        <v>57888</v>
      </c>
      <c r="C9366" s="10" t="s">
        <v>32063</v>
      </c>
      <c r="D9366" s="10" t="s">
        <v>57889</v>
      </c>
      <c r="E9366" s="10" t="s">
        <v>57684</v>
      </c>
      <c r="F9366" s="10" t="s">
        <v>1801</v>
      </c>
      <c r="G9366" s="10" t="s">
        <v>57890</v>
      </c>
      <c r="H9366" s="11" t="s">
        <v>31</v>
      </c>
      <c r="I9366" s="11">
        <v>2.0</v>
      </c>
      <c r="J9366" s="11">
        <v>2.0</v>
      </c>
      <c r="K9366" s="11" t="s">
        <v>31</v>
      </c>
      <c r="L9366" s="12" t="s">
        <v>57686</v>
      </c>
      <c r="M9366" s="10" t="s">
        <v>57891</v>
      </c>
      <c r="N9366" s="10" t="s">
        <v>39870</v>
      </c>
      <c r="O9366" s="12" t="s">
        <v>39871</v>
      </c>
      <c r="P9366" s="10" t="s">
        <v>57688</v>
      </c>
      <c r="Q9366" s="10" t="s">
        <v>34561</v>
      </c>
      <c r="R9366" s="10" t="s">
        <v>64</v>
      </c>
      <c r="S9366" s="12" t="s">
        <v>43175</v>
      </c>
      <c r="T9366" s="10" t="s">
        <v>66</v>
      </c>
      <c r="U9366" s="12" t="s">
        <v>31</v>
      </c>
      <c r="V9366" s="10" t="s">
        <v>57892</v>
      </c>
      <c r="W9366" s="10" t="s">
        <v>57684</v>
      </c>
      <c r="X9366" s="13" t="str">
        <f>HYPERLINK("https://my.pitchbook.com?p=238492-81P","View People Online")</f>
        <v>View People Online</v>
      </c>
    </row>
    <row r="9367">
      <c r="A9367" s="6" t="s">
        <v>57893</v>
      </c>
      <c r="B9367" s="6" t="s">
        <v>57894</v>
      </c>
      <c r="C9367" s="6" t="s">
        <v>7089</v>
      </c>
      <c r="D9367" s="6" t="s">
        <v>57895</v>
      </c>
      <c r="E9367" s="6" t="s">
        <v>57684</v>
      </c>
      <c r="F9367" s="6" t="s">
        <v>1283</v>
      </c>
      <c r="G9367" s="6" t="s">
        <v>57896</v>
      </c>
      <c r="H9367" s="7" t="s">
        <v>31</v>
      </c>
      <c r="I9367" s="7">
        <v>2.0</v>
      </c>
      <c r="J9367" s="7">
        <v>2.0</v>
      </c>
      <c r="K9367" s="7" t="s">
        <v>31</v>
      </c>
      <c r="L9367" s="8" t="s">
        <v>57831</v>
      </c>
      <c r="M9367" s="6" t="s">
        <v>57897</v>
      </c>
      <c r="N9367" s="6" t="s">
        <v>39870</v>
      </c>
      <c r="O9367" s="8" t="s">
        <v>39871</v>
      </c>
      <c r="P9367" s="6" t="s">
        <v>57833</v>
      </c>
      <c r="Q9367" s="6" t="s">
        <v>31</v>
      </c>
      <c r="R9367" s="6" t="s">
        <v>64</v>
      </c>
      <c r="S9367" s="8" t="s">
        <v>43175</v>
      </c>
      <c r="T9367" s="6" t="s">
        <v>66</v>
      </c>
      <c r="U9367" s="8" t="s">
        <v>31</v>
      </c>
      <c r="V9367" s="6" t="s">
        <v>57898</v>
      </c>
      <c r="W9367" s="6" t="s">
        <v>57826</v>
      </c>
      <c r="X9367" s="9" t="str">
        <f>HYPERLINK("https://my.pitchbook.com?p=178401-97P","View People Online")</f>
        <v>View People Online</v>
      </c>
    </row>
    <row r="9368">
      <c r="A9368" s="2" t="s">
        <v>57899</v>
      </c>
      <c r="B9368" s="2" t="s">
        <v>57900</v>
      </c>
      <c r="C9368" s="2" t="s">
        <v>20381</v>
      </c>
      <c r="D9368" s="2" t="s">
        <v>57901</v>
      </c>
      <c r="E9368" s="2" t="s">
        <v>57684</v>
      </c>
      <c r="F9368" s="2" t="s">
        <v>312</v>
      </c>
      <c r="G9368" s="2" t="s">
        <v>57902</v>
      </c>
      <c r="H9368" s="3" t="s">
        <v>31</v>
      </c>
      <c r="I9368" s="3">
        <v>1.0</v>
      </c>
      <c r="J9368" s="3">
        <v>1.0</v>
      </c>
      <c r="K9368" s="3" t="s">
        <v>31</v>
      </c>
      <c r="L9368" s="4" t="s">
        <v>57686</v>
      </c>
      <c r="M9368" s="2" t="s">
        <v>57903</v>
      </c>
      <c r="N9368" s="2" t="s">
        <v>39870</v>
      </c>
      <c r="O9368" s="4" t="s">
        <v>39871</v>
      </c>
      <c r="P9368" s="2" t="s">
        <v>57688</v>
      </c>
      <c r="Q9368" s="2" t="s">
        <v>34561</v>
      </c>
      <c r="R9368" s="2" t="s">
        <v>64</v>
      </c>
      <c r="S9368" s="4" t="s">
        <v>43175</v>
      </c>
      <c r="T9368" s="2" t="s">
        <v>66</v>
      </c>
      <c r="U9368" s="4" t="s">
        <v>31</v>
      </c>
      <c r="V9368" s="2" t="s">
        <v>57904</v>
      </c>
      <c r="W9368" s="2" t="s">
        <v>57684</v>
      </c>
      <c r="X9368" s="5" t="str">
        <f>HYPERLINK("https://my.pitchbook.com?p=366746-32P","View People Online")</f>
        <v>View People Online</v>
      </c>
    </row>
    <row r="9369">
      <c r="A9369" s="14" t="s">
        <v>57905</v>
      </c>
      <c r="B9369" s="14" t="s">
        <v>57906</v>
      </c>
      <c r="C9369" s="14" t="s">
        <v>2388</v>
      </c>
      <c r="D9369" s="14" t="s">
        <v>53605</v>
      </c>
      <c r="E9369" s="14" t="s">
        <v>57684</v>
      </c>
      <c r="F9369" s="14" t="s">
        <v>1283</v>
      </c>
      <c r="G9369" s="14" t="s">
        <v>57907</v>
      </c>
      <c r="H9369" s="15" t="s">
        <v>31</v>
      </c>
      <c r="I9369" s="15">
        <v>2.0</v>
      </c>
      <c r="J9369" s="15">
        <v>2.0</v>
      </c>
      <c r="K9369" s="15" t="s">
        <v>31</v>
      </c>
      <c r="L9369" s="16" t="s">
        <v>57908</v>
      </c>
      <c r="M9369" s="14" t="s">
        <v>57909</v>
      </c>
      <c r="N9369" s="14" t="s">
        <v>39870</v>
      </c>
      <c r="O9369" s="16" t="s">
        <v>39871</v>
      </c>
      <c r="P9369" s="14" t="s">
        <v>57688</v>
      </c>
      <c r="Q9369" s="14" t="s">
        <v>34561</v>
      </c>
      <c r="R9369" s="14" t="s">
        <v>64</v>
      </c>
      <c r="S9369" s="16" t="s">
        <v>43175</v>
      </c>
      <c r="T9369" s="14" t="s">
        <v>66</v>
      </c>
      <c r="U9369" s="16" t="s">
        <v>31</v>
      </c>
      <c r="V9369" s="14" t="s">
        <v>57910</v>
      </c>
      <c r="W9369" s="14" t="s">
        <v>57684</v>
      </c>
      <c r="X9369" s="17" t="str">
        <f>HYPERLINK("https://my.pitchbook.com?p=148826-71P","View People Online")</f>
        <v>View People Online</v>
      </c>
    </row>
    <row r="9370">
      <c r="A9370" s="10" t="s">
        <v>57911</v>
      </c>
      <c r="B9370" s="10" t="s">
        <v>57912</v>
      </c>
      <c r="C9370" s="10" t="s">
        <v>57913</v>
      </c>
      <c r="D9370" s="10" t="s">
        <v>57914</v>
      </c>
      <c r="E9370" s="10" t="s">
        <v>57684</v>
      </c>
      <c r="F9370" s="10" t="s">
        <v>371</v>
      </c>
      <c r="G9370" s="10" t="s">
        <v>57915</v>
      </c>
      <c r="H9370" s="11" t="s">
        <v>31</v>
      </c>
      <c r="I9370" s="11">
        <v>1.0</v>
      </c>
      <c r="J9370" s="11">
        <v>1.0</v>
      </c>
      <c r="K9370" s="11" t="s">
        <v>31</v>
      </c>
      <c r="L9370" s="12" t="s">
        <v>57686</v>
      </c>
      <c r="M9370" s="10" t="s">
        <v>57916</v>
      </c>
      <c r="N9370" s="10" t="s">
        <v>39870</v>
      </c>
      <c r="O9370" s="12" t="s">
        <v>39871</v>
      </c>
      <c r="P9370" s="10" t="s">
        <v>57688</v>
      </c>
      <c r="Q9370" s="10" t="s">
        <v>34561</v>
      </c>
      <c r="R9370" s="10" t="s">
        <v>64</v>
      </c>
      <c r="S9370" s="12" t="s">
        <v>43175</v>
      </c>
      <c r="T9370" s="10" t="s">
        <v>66</v>
      </c>
      <c r="U9370" s="12" t="s">
        <v>31</v>
      </c>
      <c r="V9370" s="10" t="s">
        <v>57917</v>
      </c>
      <c r="W9370" s="10" t="s">
        <v>57684</v>
      </c>
      <c r="X9370" s="13" t="str">
        <f>HYPERLINK("https://my.pitchbook.com?p=366958-99P","View People Online")</f>
        <v>View People Online</v>
      </c>
    </row>
    <row r="9371">
      <c r="A9371" s="14" t="s">
        <v>57918</v>
      </c>
      <c r="B9371" s="14" t="s">
        <v>57919</v>
      </c>
      <c r="C9371" s="14" t="s">
        <v>536</v>
      </c>
      <c r="D9371" s="14" t="s">
        <v>57920</v>
      </c>
      <c r="E9371" s="14" t="s">
        <v>57684</v>
      </c>
      <c r="F9371" s="14" t="s">
        <v>1801</v>
      </c>
      <c r="G9371" s="14" t="s">
        <v>57921</v>
      </c>
      <c r="H9371" s="15" t="s">
        <v>31</v>
      </c>
      <c r="I9371" s="15">
        <v>2.0</v>
      </c>
      <c r="J9371" s="15">
        <v>1.0</v>
      </c>
      <c r="K9371" s="15">
        <v>1.0</v>
      </c>
      <c r="L9371" s="16" t="s">
        <v>57686</v>
      </c>
      <c r="M9371" s="14" t="s">
        <v>57922</v>
      </c>
      <c r="N9371" s="14" t="s">
        <v>39870</v>
      </c>
      <c r="O9371" s="16" t="s">
        <v>39871</v>
      </c>
      <c r="P9371" s="14" t="s">
        <v>57688</v>
      </c>
      <c r="Q9371" s="14" t="s">
        <v>34561</v>
      </c>
      <c r="R9371" s="14" t="s">
        <v>64</v>
      </c>
      <c r="S9371" s="16" t="s">
        <v>43175</v>
      </c>
      <c r="T9371" s="14" t="s">
        <v>66</v>
      </c>
      <c r="U9371" s="16" t="s">
        <v>31</v>
      </c>
      <c r="V9371" s="14" t="s">
        <v>57923</v>
      </c>
      <c r="W9371" s="14" t="s">
        <v>57684</v>
      </c>
      <c r="X9371" s="17" t="str">
        <f>HYPERLINK("https://my.pitchbook.com?p=398956-96P","View People Online")</f>
        <v>View People Online</v>
      </c>
    </row>
    <row r="9372">
      <c r="A9372" s="10" t="s">
        <v>57924</v>
      </c>
      <c r="B9372" s="10" t="s">
        <v>57925</v>
      </c>
      <c r="C9372" s="10" t="s">
        <v>21463</v>
      </c>
      <c r="D9372" s="10" t="s">
        <v>57926</v>
      </c>
      <c r="E9372" s="10" t="s">
        <v>57684</v>
      </c>
      <c r="F9372" s="10" t="s">
        <v>825</v>
      </c>
      <c r="G9372" s="10" t="s">
        <v>57927</v>
      </c>
      <c r="H9372" s="11" t="s">
        <v>31</v>
      </c>
      <c r="I9372" s="11">
        <v>1.0</v>
      </c>
      <c r="J9372" s="11">
        <v>1.0</v>
      </c>
      <c r="K9372" s="11" t="s">
        <v>31</v>
      </c>
      <c r="L9372" s="12" t="s">
        <v>57686</v>
      </c>
      <c r="M9372" s="10" t="s">
        <v>57928</v>
      </c>
      <c r="N9372" s="10" t="s">
        <v>39870</v>
      </c>
      <c r="O9372" s="12" t="s">
        <v>39871</v>
      </c>
      <c r="P9372" s="10" t="s">
        <v>57688</v>
      </c>
      <c r="Q9372" s="10" t="s">
        <v>34561</v>
      </c>
      <c r="R9372" s="10" t="s">
        <v>64</v>
      </c>
      <c r="S9372" s="12" t="s">
        <v>43175</v>
      </c>
      <c r="T9372" s="10" t="s">
        <v>66</v>
      </c>
      <c r="U9372" s="12" t="s">
        <v>31</v>
      </c>
      <c r="V9372" s="10" t="s">
        <v>57929</v>
      </c>
      <c r="W9372" s="10" t="s">
        <v>57684</v>
      </c>
      <c r="X9372" s="13" t="str">
        <f>HYPERLINK("https://my.pitchbook.com?p=366772-24P","View People Online")</f>
        <v>View People Online</v>
      </c>
    </row>
    <row r="9373">
      <c r="A9373" s="6" t="s">
        <v>57930</v>
      </c>
      <c r="B9373" s="6" t="s">
        <v>57931</v>
      </c>
      <c r="C9373" s="6" t="s">
        <v>180</v>
      </c>
      <c r="D9373" s="6" t="s">
        <v>57932</v>
      </c>
      <c r="E9373" s="6" t="s">
        <v>57684</v>
      </c>
      <c r="F9373" s="6" t="s">
        <v>1801</v>
      </c>
      <c r="G9373" s="6" t="s">
        <v>57933</v>
      </c>
      <c r="H9373" s="7" t="s">
        <v>31</v>
      </c>
      <c r="I9373" s="7">
        <v>1.0</v>
      </c>
      <c r="J9373" s="7">
        <v>1.0</v>
      </c>
      <c r="K9373" s="7" t="s">
        <v>31</v>
      </c>
      <c r="L9373" s="8" t="s">
        <v>57686</v>
      </c>
      <c r="M9373" s="6" t="s">
        <v>57934</v>
      </c>
      <c r="N9373" s="6" t="s">
        <v>39870</v>
      </c>
      <c r="O9373" s="8" t="s">
        <v>39871</v>
      </c>
      <c r="P9373" s="6" t="s">
        <v>57688</v>
      </c>
      <c r="Q9373" s="6" t="s">
        <v>34561</v>
      </c>
      <c r="R9373" s="6" t="s">
        <v>64</v>
      </c>
      <c r="S9373" s="8" t="s">
        <v>43175</v>
      </c>
      <c r="T9373" s="6" t="s">
        <v>66</v>
      </c>
      <c r="U9373" s="8" t="s">
        <v>31</v>
      </c>
      <c r="V9373" s="6" t="s">
        <v>57935</v>
      </c>
      <c r="W9373" s="6" t="s">
        <v>57684</v>
      </c>
      <c r="X9373" s="9" t="str">
        <f>HYPERLINK("https://my.pitchbook.com?p=367363-72P","View People Online")</f>
        <v>View People Online</v>
      </c>
    </row>
    <row r="9374">
      <c r="A9374" s="10" t="s">
        <v>57936</v>
      </c>
      <c r="B9374" s="10" t="s">
        <v>57937</v>
      </c>
      <c r="C9374" s="10" t="s">
        <v>5264</v>
      </c>
      <c r="D9374" s="10" t="s">
        <v>57938</v>
      </c>
      <c r="E9374" s="10" t="s">
        <v>57684</v>
      </c>
      <c r="F9374" s="10" t="s">
        <v>1283</v>
      </c>
      <c r="G9374" s="10" t="s">
        <v>57939</v>
      </c>
      <c r="H9374" s="11" t="s">
        <v>31</v>
      </c>
      <c r="I9374" s="11">
        <v>2.0</v>
      </c>
      <c r="J9374" s="11">
        <v>2.0</v>
      </c>
      <c r="K9374" s="11" t="s">
        <v>31</v>
      </c>
      <c r="L9374" s="12" t="s">
        <v>57823</v>
      </c>
      <c r="M9374" s="10" t="s">
        <v>57940</v>
      </c>
      <c r="N9374" s="10" t="s">
        <v>14203</v>
      </c>
      <c r="O9374" s="12" t="s">
        <v>14204</v>
      </c>
      <c r="P9374" s="10" t="s">
        <v>57825</v>
      </c>
      <c r="Q9374" s="10" t="s">
        <v>11087</v>
      </c>
      <c r="R9374" s="10" t="s">
        <v>1420</v>
      </c>
      <c r="S9374" s="12" t="s">
        <v>14207</v>
      </c>
      <c r="T9374" s="10" t="s">
        <v>66</v>
      </c>
      <c r="U9374" s="12" t="s">
        <v>31</v>
      </c>
      <c r="V9374" s="10" t="s">
        <v>1283</v>
      </c>
      <c r="W9374" s="10" t="s">
        <v>57826</v>
      </c>
      <c r="X9374" s="13" t="str">
        <f>HYPERLINK("https://my.pitchbook.com?p=115001-83P","View People Online")</f>
        <v>View People Online</v>
      </c>
    </row>
    <row r="9375">
      <c r="A9375" s="14" t="s">
        <v>57941</v>
      </c>
      <c r="B9375" s="14" t="s">
        <v>57942</v>
      </c>
      <c r="C9375" s="14" t="s">
        <v>3716</v>
      </c>
      <c r="D9375" s="14" t="s">
        <v>26168</v>
      </c>
      <c r="E9375" s="14" t="s">
        <v>57684</v>
      </c>
      <c r="F9375" s="14" t="s">
        <v>1283</v>
      </c>
      <c r="G9375" s="14" t="s">
        <v>57943</v>
      </c>
      <c r="H9375" s="15" t="s">
        <v>31</v>
      </c>
      <c r="I9375" s="15">
        <v>6.0</v>
      </c>
      <c r="J9375" s="15">
        <v>2.0</v>
      </c>
      <c r="K9375" s="15">
        <v>4.0</v>
      </c>
      <c r="L9375" s="16" t="s">
        <v>57944</v>
      </c>
      <c r="M9375" s="14" t="s">
        <v>57945</v>
      </c>
      <c r="N9375" s="14" t="s">
        <v>39870</v>
      </c>
      <c r="O9375" s="16" t="s">
        <v>39871</v>
      </c>
      <c r="P9375" s="14" t="s">
        <v>57688</v>
      </c>
      <c r="Q9375" s="14" t="s">
        <v>34561</v>
      </c>
      <c r="R9375" s="14" t="s">
        <v>64</v>
      </c>
      <c r="S9375" s="16" t="s">
        <v>43175</v>
      </c>
      <c r="T9375" s="14" t="s">
        <v>66</v>
      </c>
      <c r="U9375" s="16" t="s">
        <v>31</v>
      </c>
      <c r="V9375" s="14" t="s">
        <v>57946</v>
      </c>
      <c r="W9375" s="14" t="s">
        <v>57684</v>
      </c>
      <c r="X9375" s="17" t="str">
        <f>HYPERLINK("https://my.pitchbook.com?p=152459-38P","View People Online")</f>
        <v>View People Online</v>
      </c>
    </row>
    <row r="9376">
      <c r="A9376" s="2" t="s">
        <v>57947</v>
      </c>
      <c r="B9376" s="2" t="s">
        <v>57948</v>
      </c>
      <c r="C9376" s="2" t="s">
        <v>57949</v>
      </c>
      <c r="D9376" s="2" t="s">
        <v>57950</v>
      </c>
      <c r="E9376" s="2" t="s">
        <v>57684</v>
      </c>
      <c r="F9376" s="2" t="s">
        <v>371</v>
      </c>
      <c r="G9376" s="2" t="s">
        <v>57951</v>
      </c>
      <c r="H9376" s="3" t="s">
        <v>31</v>
      </c>
      <c r="I9376" s="3">
        <v>1.0</v>
      </c>
      <c r="J9376" s="3">
        <v>1.0</v>
      </c>
      <c r="K9376" s="3" t="s">
        <v>31</v>
      </c>
      <c r="L9376" s="4" t="s">
        <v>57686</v>
      </c>
      <c r="M9376" s="2" t="s">
        <v>57952</v>
      </c>
      <c r="N9376" s="2" t="s">
        <v>39870</v>
      </c>
      <c r="O9376" s="4" t="s">
        <v>39871</v>
      </c>
      <c r="P9376" s="2" t="s">
        <v>57688</v>
      </c>
      <c r="Q9376" s="2" t="s">
        <v>34561</v>
      </c>
      <c r="R9376" s="2" t="s">
        <v>64</v>
      </c>
      <c r="S9376" s="4" t="s">
        <v>43175</v>
      </c>
      <c r="T9376" s="2" t="s">
        <v>66</v>
      </c>
      <c r="U9376" s="4" t="s">
        <v>31</v>
      </c>
      <c r="V9376" s="2" t="s">
        <v>57953</v>
      </c>
      <c r="W9376" s="2" t="s">
        <v>57684</v>
      </c>
      <c r="X9376" s="5" t="str">
        <f>HYPERLINK("https://my.pitchbook.com?p=384804-01P","View People Online")</f>
        <v>View People Online</v>
      </c>
    </row>
    <row r="9377">
      <c r="A9377" s="6" t="s">
        <v>57954</v>
      </c>
      <c r="B9377" s="6" t="s">
        <v>57955</v>
      </c>
      <c r="C9377" s="6" t="s">
        <v>1411</v>
      </c>
      <c r="D9377" s="6" t="s">
        <v>57956</v>
      </c>
      <c r="E9377" s="6" t="s">
        <v>57684</v>
      </c>
      <c r="F9377" s="6" t="s">
        <v>1283</v>
      </c>
      <c r="G9377" s="6" t="s">
        <v>57957</v>
      </c>
      <c r="H9377" s="7" t="s">
        <v>31</v>
      </c>
      <c r="I9377" s="7">
        <v>3.0</v>
      </c>
      <c r="J9377" s="7">
        <v>2.0</v>
      </c>
      <c r="K9377" s="7">
        <v>1.0</v>
      </c>
      <c r="L9377" s="8" t="s">
        <v>57958</v>
      </c>
      <c r="M9377" s="6" t="s">
        <v>57959</v>
      </c>
      <c r="N9377" s="6" t="s">
        <v>75</v>
      </c>
      <c r="O9377" s="8" t="s">
        <v>76</v>
      </c>
      <c r="P9377" s="6" t="s">
        <v>57960</v>
      </c>
      <c r="Q9377" s="6" t="s">
        <v>6831</v>
      </c>
      <c r="R9377" s="6" t="s">
        <v>75</v>
      </c>
      <c r="S9377" s="8" t="s">
        <v>2167</v>
      </c>
      <c r="T9377" s="6" t="s">
        <v>66</v>
      </c>
      <c r="U9377" s="8" t="s">
        <v>31</v>
      </c>
      <c r="V9377" s="6" t="s">
        <v>57961</v>
      </c>
      <c r="W9377" s="6" t="s">
        <v>57826</v>
      </c>
      <c r="X9377" s="9" t="str">
        <f>HYPERLINK("https://my.pitchbook.com?p=336610-27P","View People Online")</f>
        <v>View People Online</v>
      </c>
    </row>
    <row r="9378">
      <c r="A9378" s="2" t="s">
        <v>57962</v>
      </c>
      <c r="B9378" s="2" t="s">
        <v>57963</v>
      </c>
      <c r="C9378" s="2" t="s">
        <v>1066</v>
      </c>
      <c r="D9378" s="2" t="s">
        <v>32145</v>
      </c>
      <c r="E9378" s="2" t="s">
        <v>57684</v>
      </c>
      <c r="F9378" s="2" t="s">
        <v>371</v>
      </c>
      <c r="G9378" s="2" t="s">
        <v>57964</v>
      </c>
      <c r="H9378" s="3" t="s">
        <v>31</v>
      </c>
      <c r="I9378" s="3">
        <v>1.0</v>
      </c>
      <c r="J9378" s="3">
        <v>1.0</v>
      </c>
      <c r="K9378" s="3" t="s">
        <v>31</v>
      </c>
      <c r="L9378" s="4" t="s">
        <v>57686</v>
      </c>
      <c r="M9378" s="2" t="s">
        <v>57965</v>
      </c>
      <c r="N9378" s="2" t="s">
        <v>39870</v>
      </c>
      <c r="O9378" s="4" t="s">
        <v>39871</v>
      </c>
      <c r="P9378" s="2" t="s">
        <v>57688</v>
      </c>
      <c r="Q9378" s="2" t="s">
        <v>34561</v>
      </c>
      <c r="R9378" s="2" t="s">
        <v>64</v>
      </c>
      <c r="S9378" s="4" t="s">
        <v>43175</v>
      </c>
      <c r="T9378" s="2" t="s">
        <v>66</v>
      </c>
      <c r="U9378" s="4" t="s">
        <v>31</v>
      </c>
      <c r="V9378" s="2" t="s">
        <v>371</v>
      </c>
      <c r="W9378" s="2" t="s">
        <v>57684</v>
      </c>
      <c r="X9378" s="5" t="str">
        <f>HYPERLINK("https://my.pitchbook.com?p=399380-23P","View People Online")</f>
        <v>View People Online</v>
      </c>
    </row>
    <row r="9379">
      <c r="A9379" s="6" t="s">
        <v>57966</v>
      </c>
      <c r="B9379" s="6" t="s">
        <v>57967</v>
      </c>
      <c r="C9379" s="6" t="s">
        <v>57968</v>
      </c>
      <c r="D9379" s="6" t="s">
        <v>57969</v>
      </c>
      <c r="E9379" s="6" t="s">
        <v>57684</v>
      </c>
      <c r="F9379" s="6" t="s">
        <v>1283</v>
      </c>
      <c r="G9379" s="6" t="s">
        <v>57970</v>
      </c>
      <c r="H9379" s="7" t="s">
        <v>31</v>
      </c>
      <c r="I9379" s="7">
        <v>2.0</v>
      </c>
      <c r="J9379" s="7">
        <v>2.0</v>
      </c>
      <c r="K9379" s="7" t="s">
        <v>31</v>
      </c>
      <c r="L9379" s="8" t="s">
        <v>57686</v>
      </c>
      <c r="M9379" s="6" t="s">
        <v>31</v>
      </c>
      <c r="N9379" s="6" t="s">
        <v>39870</v>
      </c>
      <c r="O9379" s="8" t="s">
        <v>39871</v>
      </c>
      <c r="P9379" s="6" t="s">
        <v>57688</v>
      </c>
      <c r="Q9379" s="6" t="s">
        <v>34561</v>
      </c>
      <c r="R9379" s="6" t="s">
        <v>64</v>
      </c>
      <c r="S9379" s="8" t="s">
        <v>43175</v>
      </c>
      <c r="T9379" s="6" t="s">
        <v>66</v>
      </c>
      <c r="U9379" s="8" t="s">
        <v>31</v>
      </c>
      <c r="V9379" s="6" t="s">
        <v>1283</v>
      </c>
      <c r="W9379" s="6" t="s">
        <v>57684</v>
      </c>
      <c r="X9379" s="9" t="str">
        <f>HYPERLINK("https://my.pitchbook.com?p=167288-23P","View People Online")</f>
        <v>View People Online</v>
      </c>
    </row>
    <row r="9380">
      <c r="A9380" s="2" t="s">
        <v>57971</v>
      </c>
      <c r="B9380" s="2" t="s">
        <v>57972</v>
      </c>
      <c r="C9380" s="2" t="s">
        <v>57973</v>
      </c>
      <c r="D9380" s="2" t="s">
        <v>57974</v>
      </c>
      <c r="E9380" s="2" t="s">
        <v>57684</v>
      </c>
      <c r="F9380" s="2" t="s">
        <v>548</v>
      </c>
      <c r="G9380" s="2" t="s">
        <v>31</v>
      </c>
      <c r="H9380" s="3" t="s">
        <v>31</v>
      </c>
      <c r="I9380" s="3">
        <v>1.0</v>
      </c>
      <c r="J9380" s="3">
        <v>1.0</v>
      </c>
      <c r="K9380" s="3" t="s">
        <v>31</v>
      </c>
      <c r="L9380" s="4" t="s">
        <v>57686</v>
      </c>
      <c r="M9380" s="2" t="s">
        <v>57975</v>
      </c>
      <c r="N9380" s="2" t="s">
        <v>39870</v>
      </c>
      <c r="O9380" s="4" t="s">
        <v>39871</v>
      </c>
      <c r="P9380" s="2" t="s">
        <v>57688</v>
      </c>
      <c r="Q9380" s="2" t="s">
        <v>34561</v>
      </c>
      <c r="R9380" s="2" t="s">
        <v>64</v>
      </c>
      <c r="S9380" s="4" t="s">
        <v>43175</v>
      </c>
      <c r="T9380" s="2" t="s">
        <v>66</v>
      </c>
      <c r="U9380" s="4" t="s">
        <v>31</v>
      </c>
      <c r="V9380" s="2" t="s">
        <v>57976</v>
      </c>
      <c r="W9380" s="2" t="s">
        <v>57684</v>
      </c>
      <c r="X9380" s="5" t="str">
        <f>HYPERLINK("https://my.pitchbook.com?p=371128-78P","View People Online")</f>
        <v>View People Online</v>
      </c>
    </row>
    <row r="9381">
      <c r="A9381" s="14" t="s">
        <v>57977</v>
      </c>
      <c r="B9381" s="14" t="s">
        <v>57978</v>
      </c>
      <c r="C9381" s="14" t="s">
        <v>1410</v>
      </c>
      <c r="D9381" s="14" t="s">
        <v>1799</v>
      </c>
      <c r="E9381" s="14" t="s">
        <v>57979</v>
      </c>
      <c r="F9381" s="14" t="s">
        <v>1283</v>
      </c>
      <c r="G9381" s="14" t="s">
        <v>57980</v>
      </c>
      <c r="H9381" s="15">
        <v>5.0</v>
      </c>
      <c r="I9381" s="15">
        <v>25.0</v>
      </c>
      <c r="J9381" s="15">
        <v>1.0</v>
      </c>
      <c r="K9381" s="15">
        <v>14.0</v>
      </c>
      <c r="L9381" s="16" t="s">
        <v>31</v>
      </c>
      <c r="M9381" s="14" t="s">
        <v>57981</v>
      </c>
      <c r="N9381" s="14" t="s">
        <v>155</v>
      </c>
      <c r="O9381" s="16" t="s">
        <v>156</v>
      </c>
      <c r="P9381" s="14" t="s">
        <v>57982</v>
      </c>
      <c r="Q9381" s="14" t="s">
        <v>57983</v>
      </c>
      <c r="R9381" s="14" t="s">
        <v>64</v>
      </c>
      <c r="S9381" s="16" t="s">
        <v>24247</v>
      </c>
      <c r="T9381" s="14" t="s">
        <v>66</v>
      </c>
      <c r="U9381" s="16" t="s">
        <v>31</v>
      </c>
      <c r="V9381" s="14" t="s">
        <v>1283</v>
      </c>
      <c r="W9381" s="14" t="s">
        <v>57979</v>
      </c>
      <c r="X9381" s="17" t="str">
        <f>HYPERLINK("https://my.pitchbook.com?p=15616-63P","View People Online")</f>
        <v>View People Online</v>
      </c>
    </row>
    <row r="9382">
      <c r="A9382" s="2" t="s">
        <v>57984</v>
      </c>
      <c r="B9382" s="2" t="s">
        <v>57985</v>
      </c>
      <c r="C9382" s="2" t="s">
        <v>1541</v>
      </c>
      <c r="D9382" s="2" t="s">
        <v>57986</v>
      </c>
      <c r="E9382" s="2" t="s">
        <v>57979</v>
      </c>
      <c r="F9382" s="2" t="s">
        <v>221</v>
      </c>
      <c r="G9382" s="2" t="s">
        <v>57987</v>
      </c>
      <c r="H9382" s="3" t="s">
        <v>31</v>
      </c>
      <c r="I9382" s="3">
        <v>1.0</v>
      </c>
      <c r="J9382" s="3">
        <v>1.0</v>
      </c>
      <c r="K9382" s="3" t="s">
        <v>31</v>
      </c>
      <c r="L9382" s="4" t="s">
        <v>57988</v>
      </c>
      <c r="M9382" s="2" t="s">
        <v>57989</v>
      </c>
      <c r="N9382" s="2" t="s">
        <v>75</v>
      </c>
      <c r="O9382" s="4" t="s">
        <v>76</v>
      </c>
      <c r="P9382" s="2" t="s">
        <v>57990</v>
      </c>
      <c r="Q9382" s="2" t="s">
        <v>57991</v>
      </c>
      <c r="R9382" s="2" t="s">
        <v>75</v>
      </c>
      <c r="S9382" s="4" t="s">
        <v>57992</v>
      </c>
      <c r="T9382" s="2" t="s">
        <v>66</v>
      </c>
      <c r="U9382" s="4" t="s">
        <v>31</v>
      </c>
      <c r="V9382" s="2" t="s">
        <v>57993</v>
      </c>
      <c r="W9382" s="2" t="s">
        <v>57979</v>
      </c>
      <c r="X9382" s="5" t="str">
        <f>HYPERLINK("https://my.pitchbook.com?p=322957-45P","View People Online")</f>
        <v>View People Online</v>
      </c>
    </row>
    <row r="9383">
      <c r="A9383" s="14" t="s">
        <v>57994</v>
      </c>
      <c r="B9383" s="14" t="s">
        <v>57995</v>
      </c>
      <c r="C9383" s="14" t="s">
        <v>57996</v>
      </c>
      <c r="D9383" s="14" t="s">
        <v>27855</v>
      </c>
      <c r="E9383" s="14" t="s">
        <v>57979</v>
      </c>
      <c r="F9383" s="14" t="s">
        <v>1283</v>
      </c>
      <c r="G9383" s="14" t="s">
        <v>57997</v>
      </c>
      <c r="H9383" s="15">
        <v>6.0</v>
      </c>
      <c r="I9383" s="15">
        <v>37.0</v>
      </c>
      <c r="J9383" s="15">
        <v>1.0</v>
      </c>
      <c r="K9383" s="15">
        <v>26.0</v>
      </c>
      <c r="L9383" s="16" t="s">
        <v>57988</v>
      </c>
      <c r="M9383" s="14" t="s">
        <v>57998</v>
      </c>
      <c r="N9383" s="14" t="s">
        <v>75</v>
      </c>
      <c r="O9383" s="16" t="s">
        <v>76</v>
      </c>
      <c r="P9383" s="14" t="s">
        <v>57990</v>
      </c>
      <c r="Q9383" s="14" t="s">
        <v>57991</v>
      </c>
      <c r="R9383" s="14" t="s">
        <v>75</v>
      </c>
      <c r="S9383" s="16" t="s">
        <v>57992</v>
      </c>
      <c r="T9383" s="14" t="s">
        <v>66</v>
      </c>
      <c r="U9383" s="16" t="s">
        <v>31</v>
      </c>
      <c r="V9383" s="14" t="s">
        <v>1283</v>
      </c>
      <c r="W9383" s="14" t="s">
        <v>57979</v>
      </c>
      <c r="X9383" s="17" t="str">
        <f>HYPERLINK("https://my.pitchbook.com?p=15617-08P","View People Online")</f>
        <v>View People Online</v>
      </c>
    </row>
    <row r="9384">
      <c r="A9384" s="2" t="s">
        <v>57999</v>
      </c>
      <c r="B9384" s="2" t="s">
        <v>58000</v>
      </c>
      <c r="C9384" s="2" t="s">
        <v>4241</v>
      </c>
      <c r="D9384" s="2" t="s">
        <v>12615</v>
      </c>
      <c r="E9384" s="2" t="s">
        <v>57979</v>
      </c>
      <c r="F9384" s="2" t="s">
        <v>1283</v>
      </c>
      <c r="G9384" s="2" t="s">
        <v>58001</v>
      </c>
      <c r="H9384" s="3">
        <v>6.0</v>
      </c>
      <c r="I9384" s="3">
        <v>40.0</v>
      </c>
      <c r="J9384" s="3">
        <v>1.0</v>
      </c>
      <c r="K9384" s="3">
        <v>29.0</v>
      </c>
      <c r="L9384" s="4" t="s">
        <v>58002</v>
      </c>
      <c r="M9384" s="2" t="s">
        <v>58003</v>
      </c>
      <c r="N9384" s="2" t="s">
        <v>28682</v>
      </c>
      <c r="O9384" s="4" t="s">
        <v>51954</v>
      </c>
      <c r="P9384" s="2" t="s">
        <v>58004</v>
      </c>
      <c r="Q9384" s="2" t="s">
        <v>6943</v>
      </c>
      <c r="R9384" s="2" t="s">
        <v>37751</v>
      </c>
      <c r="S9384" s="4" t="s">
        <v>58005</v>
      </c>
      <c r="T9384" s="2" t="s">
        <v>66</v>
      </c>
      <c r="U9384" s="4" t="s">
        <v>58006</v>
      </c>
      <c r="V9384" s="2" t="s">
        <v>1283</v>
      </c>
      <c r="W9384" s="2" t="s">
        <v>57979</v>
      </c>
      <c r="X9384" s="5" t="str">
        <f>HYPERLINK("https://my.pitchbook.com?p=36642-52P","View People Online")</f>
        <v>View People Online</v>
      </c>
    </row>
    <row r="9385">
      <c r="A9385" s="14" t="s">
        <v>58007</v>
      </c>
      <c r="B9385" s="14" t="s">
        <v>58008</v>
      </c>
      <c r="C9385" s="14" t="s">
        <v>69</v>
      </c>
      <c r="D9385" s="14" t="s">
        <v>58009</v>
      </c>
      <c r="E9385" s="14" t="s">
        <v>57979</v>
      </c>
      <c r="F9385" s="14" t="s">
        <v>1283</v>
      </c>
      <c r="G9385" s="14" t="s">
        <v>58010</v>
      </c>
      <c r="H9385" s="15">
        <v>3.0</v>
      </c>
      <c r="I9385" s="15">
        <v>11.0</v>
      </c>
      <c r="J9385" s="15">
        <v>2.0</v>
      </c>
      <c r="K9385" s="15">
        <v>5.0</v>
      </c>
      <c r="L9385" s="16" t="s">
        <v>31</v>
      </c>
      <c r="M9385" s="14" t="s">
        <v>58011</v>
      </c>
      <c r="N9385" s="14" t="s">
        <v>155</v>
      </c>
      <c r="O9385" s="16" t="s">
        <v>156</v>
      </c>
      <c r="P9385" s="14" t="s">
        <v>57982</v>
      </c>
      <c r="Q9385" s="14" t="s">
        <v>57983</v>
      </c>
      <c r="R9385" s="14" t="s">
        <v>64</v>
      </c>
      <c r="S9385" s="16" t="s">
        <v>24247</v>
      </c>
      <c r="T9385" s="14" t="s">
        <v>66</v>
      </c>
      <c r="U9385" s="16" t="s">
        <v>31</v>
      </c>
      <c r="V9385" s="14" t="s">
        <v>1283</v>
      </c>
      <c r="W9385" s="14" t="s">
        <v>57979</v>
      </c>
      <c r="X9385" s="17" t="str">
        <f>HYPERLINK("https://my.pitchbook.com?p=55998-82P","View People Online")</f>
        <v>View People Online</v>
      </c>
    </row>
    <row r="9386">
      <c r="A9386" s="2" t="s">
        <v>58012</v>
      </c>
      <c r="B9386" s="2" t="s">
        <v>58013</v>
      </c>
      <c r="C9386" s="2" t="s">
        <v>1449</v>
      </c>
      <c r="D9386" s="2" t="s">
        <v>58014</v>
      </c>
      <c r="E9386" s="2" t="s">
        <v>57979</v>
      </c>
      <c r="F9386" s="2" t="s">
        <v>1283</v>
      </c>
      <c r="G9386" s="2" t="s">
        <v>58015</v>
      </c>
      <c r="H9386" s="3">
        <v>5.0</v>
      </c>
      <c r="I9386" s="3">
        <v>31.0</v>
      </c>
      <c r="J9386" s="3">
        <v>1.0</v>
      </c>
      <c r="K9386" s="3">
        <v>20.0</v>
      </c>
      <c r="L9386" s="4" t="s">
        <v>58016</v>
      </c>
      <c r="M9386" s="2" t="s">
        <v>31</v>
      </c>
      <c r="N9386" s="2" t="s">
        <v>1442</v>
      </c>
      <c r="O9386" s="4" t="s">
        <v>1443</v>
      </c>
      <c r="P9386" s="2" t="s">
        <v>31</v>
      </c>
      <c r="Q9386" s="2" t="s">
        <v>31</v>
      </c>
      <c r="R9386" s="2" t="s">
        <v>1277</v>
      </c>
      <c r="S9386" s="4" t="s">
        <v>31</v>
      </c>
      <c r="T9386" s="2" t="s">
        <v>66</v>
      </c>
      <c r="U9386" s="4" t="s">
        <v>31</v>
      </c>
      <c r="V9386" s="2" t="s">
        <v>1283</v>
      </c>
      <c r="W9386" s="2" t="s">
        <v>57979</v>
      </c>
      <c r="X9386" s="5" t="str">
        <f>HYPERLINK("https://my.pitchbook.com?p=15616-54P","View People Online")</f>
        <v>View People Online</v>
      </c>
    </row>
    <row r="9387">
      <c r="A9387" s="14" t="s">
        <v>58017</v>
      </c>
      <c r="B9387" s="14" t="s">
        <v>58018</v>
      </c>
      <c r="C9387" s="14" t="s">
        <v>1449</v>
      </c>
      <c r="D9387" s="14" t="s">
        <v>58019</v>
      </c>
      <c r="E9387" s="14" t="s">
        <v>57979</v>
      </c>
      <c r="F9387" s="14" t="s">
        <v>1106</v>
      </c>
      <c r="G9387" s="14" t="s">
        <v>58020</v>
      </c>
      <c r="H9387" s="15">
        <v>3.0</v>
      </c>
      <c r="I9387" s="15">
        <v>40.0</v>
      </c>
      <c r="J9387" s="15">
        <v>1.0</v>
      </c>
      <c r="K9387" s="15">
        <v>30.0</v>
      </c>
      <c r="L9387" s="16" t="s">
        <v>58021</v>
      </c>
      <c r="M9387" s="14" t="s">
        <v>58022</v>
      </c>
      <c r="N9387" s="14" t="s">
        <v>28682</v>
      </c>
      <c r="O9387" s="16" t="s">
        <v>51954</v>
      </c>
      <c r="P9387" s="14" t="s">
        <v>58004</v>
      </c>
      <c r="Q9387" s="14" t="s">
        <v>6943</v>
      </c>
      <c r="R9387" s="14" t="s">
        <v>37751</v>
      </c>
      <c r="S9387" s="16" t="s">
        <v>58005</v>
      </c>
      <c r="T9387" s="14" t="s">
        <v>66</v>
      </c>
      <c r="U9387" s="16" t="s">
        <v>58006</v>
      </c>
      <c r="V9387" s="14" t="s">
        <v>1114</v>
      </c>
      <c r="W9387" s="14" t="s">
        <v>57979</v>
      </c>
      <c r="X9387" s="17" t="str">
        <f>HYPERLINK("https://my.pitchbook.com?p=15616-72P","View People Online")</f>
        <v>View People Online</v>
      </c>
    </row>
    <row r="9388">
      <c r="A9388" s="10" t="s">
        <v>58023</v>
      </c>
      <c r="B9388" s="10" t="s">
        <v>46867</v>
      </c>
      <c r="C9388" s="10" t="s">
        <v>1998</v>
      </c>
      <c r="D9388" s="10" t="s">
        <v>9782</v>
      </c>
      <c r="E9388" s="10" t="s">
        <v>57979</v>
      </c>
      <c r="F9388" s="10" t="s">
        <v>26897</v>
      </c>
      <c r="G9388" s="10" t="s">
        <v>58024</v>
      </c>
      <c r="H9388" s="11" t="s">
        <v>31</v>
      </c>
      <c r="I9388" s="11">
        <v>1.0</v>
      </c>
      <c r="J9388" s="11">
        <v>1.0</v>
      </c>
      <c r="K9388" s="11" t="s">
        <v>31</v>
      </c>
      <c r="L9388" s="12" t="s">
        <v>57988</v>
      </c>
      <c r="M9388" s="10" t="s">
        <v>58025</v>
      </c>
      <c r="N9388" s="10" t="s">
        <v>75</v>
      </c>
      <c r="O9388" s="12" t="s">
        <v>76</v>
      </c>
      <c r="P9388" s="10" t="s">
        <v>57990</v>
      </c>
      <c r="Q9388" s="10" t="s">
        <v>57991</v>
      </c>
      <c r="R9388" s="10" t="s">
        <v>75</v>
      </c>
      <c r="S9388" s="12" t="s">
        <v>57992</v>
      </c>
      <c r="T9388" s="10" t="s">
        <v>66</v>
      </c>
      <c r="U9388" s="12" t="s">
        <v>31</v>
      </c>
      <c r="V9388" s="10" t="s">
        <v>26897</v>
      </c>
      <c r="W9388" s="10" t="s">
        <v>57979</v>
      </c>
      <c r="X9388" s="13" t="str">
        <f>HYPERLINK("https://my.pitchbook.com?p=380570-41P","View People Online")</f>
        <v>View People Online</v>
      </c>
    </row>
    <row r="9389">
      <c r="A9389" s="6" t="s">
        <v>58026</v>
      </c>
      <c r="B9389" s="6" t="s">
        <v>58027</v>
      </c>
      <c r="C9389" s="6" t="s">
        <v>8956</v>
      </c>
      <c r="D9389" s="6" t="s">
        <v>58028</v>
      </c>
      <c r="E9389" s="6" t="s">
        <v>57979</v>
      </c>
      <c r="F9389" s="6" t="s">
        <v>29</v>
      </c>
      <c r="G9389" s="6" t="s">
        <v>58029</v>
      </c>
      <c r="H9389" s="7" t="s">
        <v>31</v>
      </c>
      <c r="I9389" s="7">
        <v>2.0</v>
      </c>
      <c r="J9389" s="7">
        <v>1.0</v>
      </c>
      <c r="K9389" s="7">
        <v>1.0</v>
      </c>
      <c r="L9389" s="8" t="s">
        <v>58030</v>
      </c>
      <c r="M9389" s="6" t="s">
        <v>58031</v>
      </c>
      <c r="N9389" s="6" t="s">
        <v>28682</v>
      </c>
      <c r="O9389" s="8" t="s">
        <v>51954</v>
      </c>
      <c r="P9389" s="6" t="s">
        <v>58004</v>
      </c>
      <c r="Q9389" s="6" t="s">
        <v>6943</v>
      </c>
      <c r="R9389" s="6" t="s">
        <v>37751</v>
      </c>
      <c r="S9389" s="8" t="s">
        <v>58005</v>
      </c>
      <c r="T9389" s="6" t="s">
        <v>66</v>
      </c>
      <c r="U9389" s="8" t="s">
        <v>58006</v>
      </c>
      <c r="V9389" s="6" t="s">
        <v>29</v>
      </c>
      <c r="W9389" s="6" t="s">
        <v>57979</v>
      </c>
      <c r="X9389" s="9" t="str">
        <f>HYPERLINK("https://my.pitchbook.com?p=174682-81P","View People Online")</f>
        <v>View People Online</v>
      </c>
    </row>
    <row r="9390">
      <c r="A9390" s="2" t="s">
        <v>58032</v>
      </c>
      <c r="B9390" s="2" t="s">
        <v>58033</v>
      </c>
      <c r="C9390" s="2" t="s">
        <v>58034</v>
      </c>
      <c r="D9390" s="2" t="s">
        <v>58035</v>
      </c>
      <c r="E9390" s="2" t="s">
        <v>57979</v>
      </c>
      <c r="F9390" s="2" t="s">
        <v>201</v>
      </c>
      <c r="G9390" s="2" t="s">
        <v>58036</v>
      </c>
      <c r="H9390" s="3" t="s">
        <v>31</v>
      </c>
      <c r="I9390" s="3">
        <v>2.0</v>
      </c>
      <c r="J9390" s="3">
        <v>1.0</v>
      </c>
      <c r="K9390" s="3" t="s">
        <v>31</v>
      </c>
      <c r="L9390" s="4" t="s">
        <v>58002</v>
      </c>
      <c r="M9390" s="2" t="s">
        <v>58037</v>
      </c>
      <c r="N9390" s="2" t="s">
        <v>28682</v>
      </c>
      <c r="O9390" s="4" t="s">
        <v>51954</v>
      </c>
      <c r="P9390" s="2" t="s">
        <v>58004</v>
      </c>
      <c r="Q9390" s="2" t="s">
        <v>6943</v>
      </c>
      <c r="R9390" s="2" t="s">
        <v>37751</v>
      </c>
      <c r="S9390" s="4" t="s">
        <v>58005</v>
      </c>
      <c r="T9390" s="2" t="s">
        <v>66</v>
      </c>
      <c r="U9390" s="4" t="s">
        <v>58006</v>
      </c>
      <c r="V9390" s="2" t="s">
        <v>201</v>
      </c>
      <c r="W9390" s="2" t="s">
        <v>57979</v>
      </c>
      <c r="X9390" s="5" t="str">
        <f>HYPERLINK("https://my.pitchbook.com?p=323002-90P","View People Online")</f>
        <v>View People Online</v>
      </c>
    </row>
    <row r="9391">
      <c r="A9391" s="6" t="s">
        <v>58038</v>
      </c>
      <c r="B9391" s="6" t="s">
        <v>58039</v>
      </c>
      <c r="C9391" s="6" t="s">
        <v>213</v>
      </c>
      <c r="D9391" s="6" t="s">
        <v>58040</v>
      </c>
      <c r="E9391" s="6" t="s">
        <v>57979</v>
      </c>
      <c r="F9391" s="6" t="s">
        <v>37635</v>
      </c>
      <c r="G9391" s="6" t="s">
        <v>58041</v>
      </c>
      <c r="H9391" s="7" t="s">
        <v>31</v>
      </c>
      <c r="I9391" s="7">
        <v>3.0</v>
      </c>
      <c r="J9391" s="7">
        <v>2.0</v>
      </c>
      <c r="K9391" s="7" t="s">
        <v>31</v>
      </c>
      <c r="L9391" s="8" t="s">
        <v>58042</v>
      </c>
      <c r="M9391" s="6" t="s">
        <v>58043</v>
      </c>
      <c r="N9391" s="6" t="s">
        <v>42138</v>
      </c>
      <c r="O9391" s="8" t="s">
        <v>42139</v>
      </c>
      <c r="P9391" s="6" t="s">
        <v>58044</v>
      </c>
      <c r="Q9391" s="6" t="s">
        <v>58045</v>
      </c>
      <c r="R9391" s="6" t="s">
        <v>37751</v>
      </c>
      <c r="S9391" s="8" t="s">
        <v>58046</v>
      </c>
      <c r="T9391" s="6" t="s">
        <v>66</v>
      </c>
      <c r="U9391" s="8" t="s">
        <v>31</v>
      </c>
      <c r="V9391" s="6" t="s">
        <v>502</v>
      </c>
      <c r="W9391" s="6" t="s">
        <v>58047</v>
      </c>
      <c r="X9391" s="9" t="str">
        <f>HYPERLINK("https://my.pitchbook.com?p=16602-67P","View People Online")</f>
        <v>View People Online</v>
      </c>
    </row>
    <row r="9392">
      <c r="A9392" s="2" t="s">
        <v>58048</v>
      </c>
      <c r="B9392" s="2" t="s">
        <v>58049</v>
      </c>
      <c r="C9392" s="2" t="s">
        <v>18528</v>
      </c>
      <c r="D9392" s="2" t="s">
        <v>58050</v>
      </c>
      <c r="E9392" s="2" t="s">
        <v>57979</v>
      </c>
      <c r="F9392" s="2" t="s">
        <v>548</v>
      </c>
      <c r="G9392" s="2" t="s">
        <v>58051</v>
      </c>
      <c r="H9392" s="3" t="s">
        <v>31</v>
      </c>
      <c r="I9392" s="3">
        <v>1.0</v>
      </c>
      <c r="J9392" s="3">
        <v>1.0</v>
      </c>
      <c r="K9392" s="3" t="s">
        <v>31</v>
      </c>
      <c r="L9392" s="4" t="s">
        <v>57988</v>
      </c>
      <c r="M9392" s="2" t="s">
        <v>58052</v>
      </c>
      <c r="N9392" s="2" t="s">
        <v>75</v>
      </c>
      <c r="O9392" s="4" t="s">
        <v>76</v>
      </c>
      <c r="P9392" s="2" t="s">
        <v>57990</v>
      </c>
      <c r="Q9392" s="2" t="s">
        <v>57991</v>
      </c>
      <c r="R9392" s="2" t="s">
        <v>75</v>
      </c>
      <c r="S9392" s="4" t="s">
        <v>57992</v>
      </c>
      <c r="T9392" s="2" t="s">
        <v>66</v>
      </c>
      <c r="U9392" s="4" t="s">
        <v>31</v>
      </c>
      <c r="V9392" s="2" t="s">
        <v>52306</v>
      </c>
      <c r="W9392" s="2" t="s">
        <v>57979</v>
      </c>
      <c r="X9392" s="5" t="str">
        <f>HYPERLINK("https://my.pitchbook.com?p=380568-88P","View People Online")</f>
        <v>View People Online</v>
      </c>
    </row>
    <row r="9393">
      <c r="A9393" s="14" t="s">
        <v>58053</v>
      </c>
      <c r="B9393" s="14" t="s">
        <v>58054</v>
      </c>
      <c r="C9393" s="14" t="s">
        <v>4544</v>
      </c>
      <c r="D9393" s="14" t="s">
        <v>58055</v>
      </c>
      <c r="E9393" s="14" t="s">
        <v>57979</v>
      </c>
      <c r="F9393" s="14" t="s">
        <v>29</v>
      </c>
      <c r="G9393" s="14" t="s">
        <v>58056</v>
      </c>
      <c r="H9393" s="15" t="s">
        <v>31</v>
      </c>
      <c r="I9393" s="15">
        <v>2.0</v>
      </c>
      <c r="J9393" s="15">
        <v>1.0</v>
      </c>
      <c r="K9393" s="15">
        <v>1.0</v>
      </c>
      <c r="L9393" s="16" t="s">
        <v>58057</v>
      </c>
      <c r="M9393" s="14" t="s">
        <v>58058</v>
      </c>
      <c r="N9393" s="14" t="s">
        <v>75</v>
      </c>
      <c r="O9393" s="16" t="s">
        <v>76</v>
      </c>
      <c r="P9393" s="14" t="s">
        <v>57990</v>
      </c>
      <c r="Q9393" s="14" t="s">
        <v>57991</v>
      </c>
      <c r="R9393" s="14" t="s">
        <v>75</v>
      </c>
      <c r="S9393" s="16" t="s">
        <v>57992</v>
      </c>
      <c r="T9393" s="14" t="s">
        <v>66</v>
      </c>
      <c r="U9393" s="16" t="s">
        <v>31</v>
      </c>
      <c r="V9393" s="14" t="s">
        <v>29</v>
      </c>
      <c r="W9393" s="14" t="s">
        <v>57979</v>
      </c>
      <c r="X9393" s="17" t="str">
        <f>HYPERLINK("https://my.pitchbook.com?p=50959-18P","View People Online")</f>
        <v>View People Online</v>
      </c>
    </row>
    <row r="9394">
      <c r="A9394" s="10" t="s">
        <v>58059</v>
      </c>
      <c r="B9394" s="10" t="s">
        <v>58060</v>
      </c>
      <c r="C9394" s="10" t="s">
        <v>395</v>
      </c>
      <c r="D9394" s="10" t="s">
        <v>58061</v>
      </c>
      <c r="E9394" s="10" t="s">
        <v>57979</v>
      </c>
      <c r="F9394" s="10" t="s">
        <v>1234</v>
      </c>
      <c r="G9394" s="10" t="s">
        <v>58062</v>
      </c>
      <c r="H9394" s="11">
        <v>3.0</v>
      </c>
      <c r="I9394" s="11">
        <v>5.0</v>
      </c>
      <c r="J9394" s="11">
        <v>1.0</v>
      </c>
      <c r="K9394" s="11" t="s">
        <v>31</v>
      </c>
      <c r="L9394" s="12" t="s">
        <v>58063</v>
      </c>
      <c r="M9394" s="10" t="s">
        <v>58064</v>
      </c>
      <c r="N9394" s="10" t="s">
        <v>75</v>
      </c>
      <c r="O9394" s="12" t="s">
        <v>76</v>
      </c>
      <c r="P9394" s="10" t="s">
        <v>57990</v>
      </c>
      <c r="Q9394" s="10" t="s">
        <v>57991</v>
      </c>
      <c r="R9394" s="10" t="s">
        <v>75</v>
      </c>
      <c r="S9394" s="12" t="s">
        <v>57992</v>
      </c>
      <c r="T9394" s="10" t="s">
        <v>66</v>
      </c>
      <c r="U9394" s="12" t="s">
        <v>31</v>
      </c>
      <c r="V9394" s="10" t="s">
        <v>58065</v>
      </c>
      <c r="W9394" s="10" t="s">
        <v>57979</v>
      </c>
      <c r="X9394" s="13" t="str">
        <f>HYPERLINK("https://my.pitchbook.com?p=15616-45P","View People Online")</f>
        <v>View People Online</v>
      </c>
    </row>
    <row r="9395">
      <c r="A9395" s="6" t="s">
        <v>58066</v>
      </c>
      <c r="B9395" s="6" t="s">
        <v>58067</v>
      </c>
      <c r="C9395" s="6" t="s">
        <v>323</v>
      </c>
      <c r="D9395" s="6" t="s">
        <v>58068</v>
      </c>
      <c r="E9395" s="6" t="s">
        <v>58069</v>
      </c>
      <c r="F9395" s="6" t="s">
        <v>86</v>
      </c>
      <c r="G9395" s="6" t="s">
        <v>58070</v>
      </c>
      <c r="H9395" s="7" t="s">
        <v>31</v>
      </c>
      <c r="I9395" s="7">
        <v>17.0</v>
      </c>
      <c r="J9395" s="7">
        <v>1.0</v>
      </c>
      <c r="K9395" s="7">
        <v>11.0</v>
      </c>
      <c r="L9395" s="8" t="s">
        <v>58071</v>
      </c>
      <c r="M9395" s="6" t="s">
        <v>58072</v>
      </c>
      <c r="N9395" s="6" t="s">
        <v>58073</v>
      </c>
      <c r="O9395" s="8" t="s">
        <v>58074</v>
      </c>
      <c r="P9395" s="6" t="s">
        <v>58075</v>
      </c>
      <c r="Q9395" s="6" t="s">
        <v>58076</v>
      </c>
      <c r="R9395" s="6" t="s">
        <v>396</v>
      </c>
      <c r="S9395" s="8" t="s">
        <v>58077</v>
      </c>
      <c r="T9395" s="6" t="s">
        <v>66</v>
      </c>
      <c r="U9395" s="8" t="s">
        <v>31</v>
      </c>
      <c r="V9395" s="6" t="s">
        <v>86</v>
      </c>
      <c r="W9395" s="6" t="s">
        <v>58069</v>
      </c>
      <c r="X9395" s="9" t="str">
        <f>HYPERLINK("https://my.pitchbook.com?p=41098-96P","View People Online")</f>
        <v>View People Online</v>
      </c>
    </row>
    <row r="9396">
      <c r="A9396" s="10" t="s">
        <v>58078</v>
      </c>
      <c r="B9396" s="10" t="s">
        <v>58079</v>
      </c>
      <c r="C9396" s="10" t="s">
        <v>934</v>
      </c>
      <c r="D9396" s="10" t="s">
        <v>58080</v>
      </c>
      <c r="E9396" s="10" t="s">
        <v>58069</v>
      </c>
      <c r="F9396" s="10" t="s">
        <v>43</v>
      </c>
      <c r="G9396" s="10" t="s">
        <v>58081</v>
      </c>
      <c r="H9396" s="11" t="s">
        <v>31</v>
      </c>
      <c r="I9396" s="11">
        <v>11.0</v>
      </c>
      <c r="J9396" s="11">
        <v>1.0</v>
      </c>
      <c r="K9396" s="11">
        <v>3.0</v>
      </c>
      <c r="L9396" s="12" t="s">
        <v>58082</v>
      </c>
      <c r="M9396" s="10" t="s">
        <v>58083</v>
      </c>
      <c r="N9396" s="10" t="s">
        <v>58073</v>
      </c>
      <c r="O9396" s="12" t="s">
        <v>58074</v>
      </c>
      <c r="P9396" s="10" t="s">
        <v>58075</v>
      </c>
      <c r="Q9396" s="10" t="s">
        <v>58076</v>
      </c>
      <c r="R9396" s="10" t="s">
        <v>396</v>
      </c>
      <c r="S9396" s="12" t="s">
        <v>58077</v>
      </c>
      <c r="T9396" s="10" t="s">
        <v>66</v>
      </c>
      <c r="U9396" s="12" t="s">
        <v>31</v>
      </c>
      <c r="V9396" s="10" t="s">
        <v>43</v>
      </c>
      <c r="W9396" s="10" t="s">
        <v>58069</v>
      </c>
      <c r="X9396" s="13" t="str">
        <f>HYPERLINK("https://my.pitchbook.com?p=43417-09P","View People Online")</f>
        <v>View People Online</v>
      </c>
    </row>
    <row r="9397">
      <c r="A9397" s="14" t="s">
        <v>58084</v>
      </c>
      <c r="B9397" s="14" t="s">
        <v>58085</v>
      </c>
      <c r="C9397" s="14" t="s">
        <v>6913</v>
      </c>
      <c r="D9397" s="14" t="s">
        <v>9204</v>
      </c>
      <c r="E9397" s="14" t="s">
        <v>58086</v>
      </c>
      <c r="F9397" s="14" t="s">
        <v>81</v>
      </c>
      <c r="G9397" s="14" t="s">
        <v>58087</v>
      </c>
      <c r="H9397" s="15" t="s">
        <v>31</v>
      </c>
      <c r="I9397" s="15">
        <v>1.0</v>
      </c>
      <c r="J9397" s="15" t="s">
        <v>31</v>
      </c>
      <c r="K9397" s="15" t="s">
        <v>31</v>
      </c>
      <c r="L9397" s="16" t="s">
        <v>58088</v>
      </c>
      <c r="M9397" s="14" t="s">
        <v>31</v>
      </c>
      <c r="N9397" s="14" t="s">
        <v>58089</v>
      </c>
      <c r="O9397" s="16" t="s">
        <v>58090</v>
      </c>
      <c r="P9397" s="14" t="s">
        <v>58091</v>
      </c>
      <c r="Q9397" s="14" t="s">
        <v>52076</v>
      </c>
      <c r="R9397" s="14" t="s">
        <v>15676</v>
      </c>
      <c r="S9397" s="16" t="s">
        <v>58092</v>
      </c>
      <c r="T9397" s="14" t="s">
        <v>66</v>
      </c>
      <c r="U9397" s="16" t="s">
        <v>31</v>
      </c>
      <c r="V9397" s="14" t="s">
        <v>58093</v>
      </c>
      <c r="W9397" s="14" t="s">
        <v>58086</v>
      </c>
      <c r="X9397" s="17" t="str">
        <f>HYPERLINK("https://my.pitchbook.com?p=433904-86P","View People Online")</f>
        <v>View People Online</v>
      </c>
    </row>
    <row r="9398">
      <c r="A9398" s="10" t="s">
        <v>58094</v>
      </c>
      <c r="B9398" s="10" t="s">
        <v>58095</v>
      </c>
      <c r="C9398" s="10" t="s">
        <v>17908</v>
      </c>
      <c r="D9398" s="10" t="s">
        <v>58096</v>
      </c>
      <c r="E9398" s="10" t="s">
        <v>58086</v>
      </c>
      <c r="F9398" s="10" t="s">
        <v>548</v>
      </c>
      <c r="G9398" s="10" t="s">
        <v>58097</v>
      </c>
      <c r="H9398" s="11" t="s">
        <v>31</v>
      </c>
      <c r="I9398" s="11">
        <v>1.0</v>
      </c>
      <c r="J9398" s="11">
        <v>1.0</v>
      </c>
      <c r="K9398" s="11" t="s">
        <v>31</v>
      </c>
      <c r="L9398" s="12" t="s">
        <v>58088</v>
      </c>
      <c r="M9398" s="10" t="s">
        <v>58098</v>
      </c>
      <c r="N9398" s="10" t="s">
        <v>58089</v>
      </c>
      <c r="O9398" s="12" t="s">
        <v>58090</v>
      </c>
      <c r="P9398" s="10" t="s">
        <v>58091</v>
      </c>
      <c r="Q9398" s="10" t="s">
        <v>52076</v>
      </c>
      <c r="R9398" s="10" t="s">
        <v>15676</v>
      </c>
      <c r="S9398" s="12" t="s">
        <v>58092</v>
      </c>
      <c r="T9398" s="10" t="s">
        <v>66</v>
      </c>
      <c r="U9398" s="12" t="s">
        <v>31</v>
      </c>
      <c r="V9398" s="10" t="s">
        <v>713</v>
      </c>
      <c r="W9398" s="10" t="s">
        <v>58086</v>
      </c>
      <c r="X9398" s="13" t="str">
        <f>HYPERLINK("https://my.pitchbook.com?p=363586-87P","View People Online")</f>
        <v>View People Online</v>
      </c>
    </row>
    <row r="9399">
      <c r="A9399" s="6" t="s">
        <v>58099</v>
      </c>
      <c r="B9399" s="6" t="s">
        <v>58100</v>
      </c>
      <c r="C9399" s="6" t="s">
        <v>39113</v>
      </c>
      <c r="D9399" s="6" t="s">
        <v>31351</v>
      </c>
      <c r="E9399" s="6" t="s">
        <v>58086</v>
      </c>
      <c r="F9399" s="6" t="s">
        <v>152</v>
      </c>
      <c r="G9399" s="6" t="s">
        <v>58101</v>
      </c>
      <c r="H9399" s="7" t="s">
        <v>31</v>
      </c>
      <c r="I9399" s="7">
        <v>1.0</v>
      </c>
      <c r="J9399" s="7">
        <v>1.0</v>
      </c>
      <c r="K9399" s="7" t="s">
        <v>31</v>
      </c>
      <c r="L9399" s="8" t="s">
        <v>58088</v>
      </c>
      <c r="M9399" s="6" t="s">
        <v>58102</v>
      </c>
      <c r="N9399" s="6" t="s">
        <v>58089</v>
      </c>
      <c r="O9399" s="8" t="s">
        <v>58090</v>
      </c>
      <c r="P9399" s="6" t="s">
        <v>58091</v>
      </c>
      <c r="Q9399" s="6" t="s">
        <v>52076</v>
      </c>
      <c r="R9399" s="6" t="s">
        <v>15676</v>
      </c>
      <c r="S9399" s="8" t="s">
        <v>58092</v>
      </c>
      <c r="T9399" s="6" t="s">
        <v>66</v>
      </c>
      <c r="U9399" s="8" t="s">
        <v>31</v>
      </c>
      <c r="V9399" s="6" t="s">
        <v>152</v>
      </c>
      <c r="W9399" s="6" t="s">
        <v>58086</v>
      </c>
      <c r="X9399" s="9" t="str">
        <f>HYPERLINK("https://my.pitchbook.com?p=363604-69P","View People Online")</f>
        <v>View People Online</v>
      </c>
    </row>
    <row r="9400">
      <c r="A9400" s="2" t="s">
        <v>58103</v>
      </c>
      <c r="B9400" s="2" t="s">
        <v>58104</v>
      </c>
      <c r="C9400" s="2" t="s">
        <v>54</v>
      </c>
      <c r="D9400" s="2" t="s">
        <v>58105</v>
      </c>
      <c r="E9400" s="2" t="s">
        <v>58106</v>
      </c>
      <c r="F9400" s="2" t="s">
        <v>43</v>
      </c>
      <c r="G9400" s="2" t="s">
        <v>58107</v>
      </c>
      <c r="H9400" s="3" t="s">
        <v>31</v>
      </c>
      <c r="I9400" s="3">
        <v>3.0</v>
      </c>
      <c r="J9400" s="3">
        <v>1.0</v>
      </c>
      <c r="K9400" s="3">
        <v>1.0</v>
      </c>
      <c r="L9400" s="4" t="s">
        <v>58108</v>
      </c>
      <c r="M9400" s="2" t="s">
        <v>58109</v>
      </c>
      <c r="N9400" s="2" t="s">
        <v>40105</v>
      </c>
      <c r="O9400" s="4" t="s">
        <v>40106</v>
      </c>
      <c r="P9400" s="2" t="s">
        <v>31</v>
      </c>
      <c r="Q9400" s="2" t="s">
        <v>31</v>
      </c>
      <c r="R9400" s="2" t="s">
        <v>1185</v>
      </c>
      <c r="S9400" s="4" t="s">
        <v>40108</v>
      </c>
      <c r="T9400" s="2" t="s">
        <v>66</v>
      </c>
      <c r="U9400" s="4" t="s">
        <v>31</v>
      </c>
      <c r="V9400" s="2" t="s">
        <v>43</v>
      </c>
      <c r="W9400" s="2" t="s">
        <v>58106</v>
      </c>
      <c r="X9400" s="5" t="str">
        <f>HYPERLINK("https://my.pitchbook.com?p=251325-28P","View People Online")</f>
        <v>View People Online</v>
      </c>
    </row>
    <row r="9401">
      <c r="A9401" s="14" t="s">
        <v>58110</v>
      </c>
      <c r="B9401" s="14" t="s">
        <v>58111</v>
      </c>
      <c r="C9401" s="14" t="s">
        <v>58112</v>
      </c>
      <c r="D9401" s="14" t="s">
        <v>3972</v>
      </c>
      <c r="E9401" s="14" t="s">
        <v>58106</v>
      </c>
      <c r="F9401" s="14" t="s">
        <v>43</v>
      </c>
      <c r="G9401" s="14" t="s">
        <v>58113</v>
      </c>
      <c r="H9401" s="15">
        <v>1.0</v>
      </c>
      <c r="I9401" s="15">
        <v>12.0</v>
      </c>
      <c r="J9401" s="15">
        <v>1.0</v>
      </c>
      <c r="K9401" s="15">
        <v>6.0</v>
      </c>
      <c r="L9401" s="16" t="s">
        <v>58114</v>
      </c>
      <c r="M9401" s="14" t="s">
        <v>58115</v>
      </c>
      <c r="N9401" s="14" t="s">
        <v>40105</v>
      </c>
      <c r="O9401" s="16" t="s">
        <v>40106</v>
      </c>
      <c r="P9401" s="14" t="s">
        <v>31</v>
      </c>
      <c r="Q9401" s="14" t="s">
        <v>31</v>
      </c>
      <c r="R9401" s="14" t="s">
        <v>1185</v>
      </c>
      <c r="S9401" s="16" t="s">
        <v>40108</v>
      </c>
      <c r="T9401" s="14" t="s">
        <v>66</v>
      </c>
      <c r="U9401" s="16" t="s">
        <v>31</v>
      </c>
      <c r="V9401" s="14" t="s">
        <v>43</v>
      </c>
      <c r="W9401" s="14" t="s">
        <v>58106</v>
      </c>
      <c r="X9401" s="17" t="str">
        <f>HYPERLINK("https://my.pitchbook.com?p=46164-79P","View People Online")</f>
        <v>View People Online</v>
      </c>
    </row>
    <row r="9402">
      <c r="A9402" s="2" t="s">
        <v>58116</v>
      </c>
      <c r="B9402" s="2" t="s">
        <v>58117</v>
      </c>
      <c r="C9402" s="2" t="s">
        <v>58118</v>
      </c>
      <c r="D9402" s="2" t="s">
        <v>58119</v>
      </c>
      <c r="E9402" s="2" t="s">
        <v>58120</v>
      </c>
      <c r="F9402" s="2" t="s">
        <v>674</v>
      </c>
      <c r="G9402" s="2" t="s">
        <v>58121</v>
      </c>
      <c r="H9402" s="3" t="s">
        <v>31</v>
      </c>
      <c r="I9402" s="3">
        <v>7.0</v>
      </c>
      <c r="J9402" s="3">
        <v>1.0</v>
      </c>
      <c r="K9402" s="3">
        <v>5.0</v>
      </c>
      <c r="L9402" s="4" t="s">
        <v>31</v>
      </c>
      <c r="M9402" s="2" t="s">
        <v>58122</v>
      </c>
      <c r="N9402" s="2" t="s">
        <v>155</v>
      </c>
      <c r="O9402" s="4" t="s">
        <v>156</v>
      </c>
      <c r="P9402" s="2" t="s">
        <v>58123</v>
      </c>
      <c r="Q9402" s="2" t="s">
        <v>58124</v>
      </c>
      <c r="R9402" s="2" t="s">
        <v>64</v>
      </c>
      <c r="S9402" s="4" t="s">
        <v>7780</v>
      </c>
      <c r="T9402" s="2" t="s">
        <v>66</v>
      </c>
      <c r="U9402" s="4" t="s">
        <v>31</v>
      </c>
      <c r="V9402" s="2" t="s">
        <v>674</v>
      </c>
      <c r="W9402" s="2" t="s">
        <v>58120</v>
      </c>
      <c r="X9402" s="5" t="str">
        <f>HYPERLINK("https://my.pitchbook.com?p=13972-42P","View People Online")</f>
        <v>View People Online</v>
      </c>
    </row>
    <row r="9403">
      <c r="A9403" s="6" t="s">
        <v>58125</v>
      </c>
      <c r="B9403" s="6" t="s">
        <v>58126</v>
      </c>
      <c r="C9403" s="6" t="s">
        <v>4345</v>
      </c>
      <c r="D9403" s="6" t="s">
        <v>58127</v>
      </c>
      <c r="E9403" s="6" t="s">
        <v>58128</v>
      </c>
      <c r="F9403" s="6" t="s">
        <v>548</v>
      </c>
      <c r="G9403" s="6" t="s">
        <v>58129</v>
      </c>
      <c r="H9403" s="7" t="s">
        <v>31</v>
      </c>
      <c r="I9403" s="7">
        <v>2.0</v>
      </c>
      <c r="J9403" s="7">
        <v>1.0</v>
      </c>
      <c r="K9403" s="7">
        <v>1.0</v>
      </c>
      <c r="L9403" s="8" t="s">
        <v>58130</v>
      </c>
      <c r="M9403" s="6" t="s">
        <v>58131</v>
      </c>
      <c r="N9403" s="6" t="s">
        <v>31</v>
      </c>
      <c r="O9403" s="8" t="s">
        <v>31</v>
      </c>
      <c r="P9403" s="6" t="s">
        <v>31</v>
      </c>
      <c r="Q9403" s="6" t="s">
        <v>31</v>
      </c>
      <c r="R9403" s="6" t="s">
        <v>31</v>
      </c>
      <c r="S9403" s="8" t="s">
        <v>31</v>
      </c>
      <c r="T9403" s="6" t="s">
        <v>66</v>
      </c>
      <c r="U9403" s="8" t="s">
        <v>31</v>
      </c>
      <c r="V9403" s="6" t="s">
        <v>58132</v>
      </c>
      <c r="W9403" s="6" t="s">
        <v>58128</v>
      </c>
      <c r="X9403" s="9" t="str">
        <f>HYPERLINK("https://my.pitchbook.com?p=308837-44P","View People Online")</f>
        <v>View People Online</v>
      </c>
    </row>
    <row r="9404">
      <c r="A9404" s="2" t="s">
        <v>58133</v>
      </c>
      <c r="B9404" s="2" t="s">
        <v>58134</v>
      </c>
      <c r="C9404" s="2" t="s">
        <v>972</v>
      </c>
      <c r="D9404" s="2" t="s">
        <v>58135</v>
      </c>
      <c r="E9404" s="2" t="s">
        <v>58128</v>
      </c>
      <c r="F9404" s="2" t="s">
        <v>270</v>
      </c>
      <c r="G9404" s="2" t="s">
        <v>58136</v>
      </c>
      <c r="H9404" s="3" t="s">
        <v>31</v>
      </c>
      <c r="I9404" s="3">
        <v>2.0</v>
      </c>
      <c r="J9404" s="3">
        <v>1.0</v>
      </c>
      <c r="K9404" s="3">
        <v>1.0</v>
      </c>
      <c r="L9404" s="4" t="s">
        <v>58130</v>
      </c>
      <c r="M9404" s="2" t="s">
        <v>31</v>
      </c>
      <c r="N9404" s="2" t="s">
        <v>31</v>
      </c>
      <c r="O9404" s="4" t="s">
        <v>31</v>
      </c>
      <c r="P9404" s="2" t="s">
        <v>31</v>
      </c>
      <c r="Q9404" s="2" t="s">
        <v>31</v>
      </c>
      <c r="R9404" s="2" t="s">
        <v>31</v>
      </c>
      <c r="S9404" s="4" t="s">
        <v>31</v>
      </c>
      <c r="T9404" s="2" t="s">
        <v>66</v>
      </c>
      <c r="U9404" s="4" t="s">
        <v>31</v>
      </c>
      <c r="V9404" s="2" t="s">
        <v>43686</v>
      </c>
      <c r="W9404" s="2" t="s">
        <v>58128</v>
      </c>
      <c r="X9404" s="5" t="str">
        <f>HYPERLINK("https://my.pitchbook.com?p=431195-23P","View People Online")</f>
        <v>View People Online</v>
      </c>
    </row>
    <row r="9405">
      <c r="A9405" s="14" t="s">
        <v>58137</v>
      </c>
      <c r="B9405" s="14" t="s">
        <v>58138</v>
      </c>
      <c r="C9405" s="14" t="s">
        <v>2572</v>
      </c>
      <c r="D9405" s="14" t="s">
        <v>5692</v>
      </c>
      <c r="E9405" s="14" t="s">
        <v>58139</v>
      </c>
      <c r="F9405" s="14" t="s">
        <v>548</v>
      </c>
      <c r="G9405" s="14" t="s">
        <v>58140</v>
      </c>
      <c r="H9405" s="15">
        <v>1.0</v>
      </c>
      <c r="I9405" s="15">
        <v>5.0</v>
      </c>
      <c r="J9405" s="15">
        <v>1.0</v>
      </c>
      <c r="K9405" s="15">
        <v>2.0</v>
      </c>
      <c r="L9405" s="16" t="s">
        <v>58141</v>
      </c>
      <c r="M9405" s="14" t="s">
        <v>58142</v>
      </c>
      <c r="N9405" s="14" t="s">
        <v>243</v>
      </c>
      <c r="O9405" s="16" t="s">
        <v>244</v>
      </c>
      <c r="P9405" s="14" t="s">
        <v>58143</v>
      </c>
      <c r="Q9405" s="14" t="s">
        <v>31</v>
      </c>
      <c r="R9405" s="14" t="s">
        <v>247</v>
      </c>
      <c r="S9405" s="16" t="s">
        <v>58144</v>
      </c>
      <c r="T9405" s="14" t="s">
        <v>249</v>
      </c>
      <c r="U9405" s="16" t="s">
        <v>31</v>
      </c>
      <c r="V9405" s="14" t="s">
        <v>548</v>
      </c>
      <c r="W9405" s="14" t="s">
        <v>58139</v>
      </c>
      <c r="X9405" s="17" t="str">
        <f>HYPERLINK("https://my.pitchbook.com?p=204822-28P","View People Online")</f>
        <v>View People Online</v>
      </c>
    </row>
    <row r="9406">
      <c r="A9406" s="2" t="s">
        <v>58145</v>
      </c>
      <c r="B9406" s="2" t="s">
        <v>58146</v>
      </c>
      <c r="C9406" s="2" t="s">
        <v>186</v>
      </c>
      <c r="D9406" s="2" t="s">
        <v>17604</v>
      </c>
      <c r="E9406" s="2" t="s">
        <v>58139</v>
      </c>
      <c r="F9406" s="2" t="s">
        <v>470</v>
      </c>
      <c r="G9406" s="2" t="s">
        <v>58147</v>
      </c>
      <c r="H9406" s="3">
        <v>2.0</v>
      </c>
      <c r="I9406" s="3">
        <v>11.0</v>
      </c>
      <c r="J9406" s="3">
        <v>2.0</v>
      </c>
      <c r="K9406" s="3">
        <v>6.0</v>
      </c>
      <c r="L9406" s="4" t="s">
        <v>58148</v>
      </c>
      <c r="M9406" s="2" t="s">
        <v>58149</v>
      </c>
      <c r="N9406" s="2" t="s">
        <v>1005</v>
      </c>
      <c r="O9406" s="4" t="s">
        <v>1006</v>
      </c>
      <c r="P9406" s="2" t="s">
        <v>58150</v>
      </c>
      <c r="Q9406" s="2" t="s">
        <v>58151</v>
      </c>
      <c r="R9406" s="2" t="s">
        <v>31</v>
      </c>
      <c r="S9406" s="4" t="s">
        <v>58152</v>
      </c>
      <c r="T9406" s="2" t="s">
        <v>1010</v>
      </c>
      <c r="U9406" s="4" t="s">
        <v>31</v>
      </c>
      <c r="V9406" s="2" t="s">
        <v>58153</v>
      </c>
      <c r="W9406" s="2" t="s">
        <v>58154</v>
      </c>
      <c r="X9406" s="5" t="str">
        <f>HYPERLINK("https://my.pitchbook.com?p=185454-73P","View People Online")</f>
        <v>View People Online</v>
      </c>
    </row>
    <row r="9407">
      <c r="A9407" s="6" t="s">
        <v>58155</v>
      </c>
      <c r="B9407" s="6" t="s">
        <v>58156</v>
      </c>
      <c r="C9407" s="6" t="s">
        <v>4798</v>
      </c>
      <c r="D9407" s="6" t="s">
        <v>58157</v>
      </c>
      <c r="E9407" s="6" t="s">
        <v>58139</v>
      </c>
      <c r="F9407" s="6" t="s">
        <v>548</v>
      </c>
      <c r="G9407" s="6" t="s">
        <v>58158</v>
      </c>
      <c r="H9407" s="7">
        <v>2.0</v>
      </c>
      <c r="I9407" s="7">
        <v>3.0</v>
      </c>
      <c r="J9407" s="7">
        <v>1.0</v>
      </c>
      <c r="K9407" s="7" t="s">
        <v>31</v>
      </c>
      <c r="L9407" s="8" t="s">
        <v>58141</v>
      </c>
      <c r="M9407" s="6" t="s">
        <v>58159</v>
      </c>
      <c r="N9407" s="6" t="s">
        <v>243</v>
      </c>
      <c r="O9407" s="8" t="s">
        <v>244</v>
      </c>
      <c r="P9407" s="6" t="s">
        <v>58143</v>
      </c>
      <c r="Q9407" s="6" t="s">
        <v>31</v>
      </c>
      <c r="R9407" s="6" t="s">
        <v>247</v>
      </c>
      <c r="S9407" s="8" t="s">
        <v>58144</v>
      </c>
      <c r="T9407" s="6" t="s">
        <v>249</v>
      </c>
      <c r="U9407" s="8" t="s">
        <v>31</v>
      </c>
      <c r="V9407" s="6" t="s">
        <v>58160</v>
      </c>
      <c r="W9407" s="6" t="s">
        <v>58139</v>
      </c>
      <c r="X9407" s="9" t="str">
        <f>HYPERLINK("https://my.pitchbook.com?p=66490-93P","View People Online")</f>
        <v>View People Online</v>
      </c>
    </row>
    <row r="9408">
      <c r="A9408" s="10" t="s">
        <v>58161</v>
      </c>
      <c r="B9408" s="10" t="s">
        <v>58162</v>
      </c>
      <c r="C9408" s="10" t="s">
        <v>1117</v>
      </c>
      <c r="D9408" s="10" t="s">
        <v>58163</v>
      </c>
      <c r="E9408" s="10" t="s">
        <v>58139</v>
      </c>
      <c r="F9408" s="10" t="s">
        <v>29</v>
      </c>
      <c r="G9408" s="10" t="s">
        <v>58164</v>
      </c>
      <c r="H9408" s="11">
        <v>2.0</v>
      </c>
      <c r="I9408" s="11">
        <v>9.0</v>
      </c>
      <c r="J9408" s="11">
        <v>1.0</v>
      </c>
      <c r="K9408" s="11">
        <v>3.0</v>
      </c>
      <c r="L9408" s="12" t="s">
        <v>58165</v>
      </c>
      <c r="M9408" s="10" t="s">
        <v>58166</v>
      </c>
      <c r="N9408" s="10" t="s">
        <v>1292</v>
      </c>
      <c r="O9408" s="12" t="s">
        <v>1293</v>
      </c>
      <c r="P9408" s="10" t="s">
        <v>58167</v>
      </c>
      <c r="Q9408" s="10" t="s">
        <v>31</v>
      </c>
      <c r="R9408" s="10" t="s">
        <v>64</v>
      </c>
      <c r="S9408" s="12" t="s">
        <v>1296</v>
      </c>
      <c r="T9408" s="10" t="s">
        <v>66</v>
      </c>
      <c r="U9408" s="12" t="s">
        <v>31</v>
      </c>
      <c r="V9408" s="10" t="s">
        <v>58168</v>
      </c>
      <c r="W9408" s="10" t="s">
        <v>58139</v>
      </c>
      <c r="X9408" s="13" t="str">
        <f>HYPERLINK("https://my.pitchbook.com?p=280583-47P","View People Online")</f>
        <v>View People Online</v>
      </c>
    </row>
    <row r="9409">
      <c r="A9409" s="14" t="s">
        <v>58169</v>
      </c>
      <c r="B9409" s="14" t="s">
        <v>58170</v>
      </c>
      <c r="C9409" s="14" t="s">
        <v>5721</v>
      </c>
      <c r="D9409" s="14" t="s">
        <v>55818</v>
      </c>
      <c r="E9409" s="14" t="s">
        <v>58139</v>
      </c>
      <c r="F9409" s="14" t="s">
        <v>29</v>
      </c>
      <c r="G9409" s="14" t="s">
        <v>58171</v>
      </c>
      <c r="H9409" s="15">
        <v>3.0</v>
      </c>
      <c r="I9409" s="15">
        <v>9.0</v>
      </c>
      <c r="J9409" s="15">
        <v>1.0</v>
      </c>
      <c r="K9409" s="15">
        <v>3.0</v>
      </c>
      <c r="L9409" s="16" t="s">
        <v>58172</v>
      </c>
      <c r="M9409" s="14" t="s">
        <v>58173</v>
      </c>
      <c r="N9409" s="14" t="s">
        <v>1292</v>
      </c>
      <c r="O9409" s="16" t="s">
        <v>1293</v>
      </c>
      <c r="P9409" s="14" t="s">
        <v>58167</v>
      </c>
      <c r="Q9409" s="14" t="s">
        <v>31</v>
      </c>
      <c r="R9409" s="14" t="s">
        <v>64</v>
      </c>
      <c r="S9409" s="16" t="s">
        <v>1296</v>
      </c>
      <c r="T9409" s="14" t="s">
        <v>66</v>
      </c>
      <c r="U9409" s="16" t="s">
        <v>31</v>
      </c>
      <c r="V9409" s="14" t="s">
        <v>58168</v>
      </c>
      <c r="W9409" s="14" t="s">
        <v>58139</v>
      </c>
      <c r="X9409" s="17" t="str">
        <f>HYPERLINK("https://my.pitchbook.com?p=119810-89P","View People Online")</f>
        <v>View People Online</v>
      </c>
    </row>
    <row r="9410">
      <c r="A9410" s="2" t="s">
        <v>58174</v>
      </c>
      <c r="B9410" s="2" t="s">
        <v>58175</v>
      </c>
      <c r="C9410" s="2" t="s">
        <v>14460</v>
      </c>
      <c r="D9410" s="2" t="s">
        <v>3671</v>
      </c>
      <c r="E9410" s="2" t="s">
        <v>58139</v>
      </c>
      <c r="F9410" s="2" t="s">
        <v>29</v>
      </c>
      <c r="G9410" s="2" t="s">
        <v>58176</v>
      </c>
      <c r="H9410" s="3" t="s">
        <v>31</v>
      </c>
      <c r="I9410" s="3">
        <v>5.0</v>
      </c>
      <c r="J9410" s="3">
        <v>1.0</v>
      </c>
      <c r="K9410" s="3">
        <v>3.0</v>
      </c>
      <c r="L9410" s="4" t="s">
        <v>31</v>
      </c>
      <c r="M9410" s="2" t="s">
        <v>58177</v>
      </c>
      <c r="N9410" s="2" t="s">
        <v>3334</v>
      </c>
      <c r="O9410" s="4" t="s">
        <v>3335</v>
      </c>
      <c r="P9410" s="2" t="s">
        <v>58178</v>
      </c>
      <c r="Q9410" s="2" t="s">
        <v>58179</v>
      </c>
      <c r="R9410" s="2" t="s">
        <v>31</v>
      </c>
      <c r="S9410" s="4" t="s">
        <v>42276</v>
      </c>
      <c r="T9410" s="2" t="s">
        <v>3339</v>
      </c>
      <c r="U9410" s="4" t="s">
        <v>31</v>
      </c>
      <c r="V9410" s="2" t="s">
        <v>29</v>
      </c>
      <c r="W9410" s="2" t="s">
        <v>58139</v>
      </c>
      <c r="X9410" s="5" t="str">
        <f>HYPERLINK("https://my.pitchbook.com?p=163300-24P","View People Online")</f>
        <v>View People Online</v>
      </c>
    </row>
    <row r="9411">
      <c r="A9411" s="14" t="s">
        <v>58180</v>
      </c>
      <c r="B9411" s="14" t="s">
        <v>58181</v>
      </c>
      <c r="C9411" s="14" t="s">
        <v>24222</v>
      </c>
      <c r="D9411" s="14" t="s">
        <v>58182</v>
      </c>
      <c r="E9411" s="14" t="s">
        <v>58139</v>
      </c>
      <c r="F9411" s="14" t="s">
        <v>57</v>
      </c>
      <c r="G9411" s="14" t="s">
        <v>58183</v>
      </c>
      <c r="H9411" s="15">
        <v>1.0</v>
      </c>
      <c r="I9411" s="15">
        <v>16.0</v>
      </c>
      <c r="J9411" s="15">
        <v>1.0</v>
      </c>
      <c r="K9411" s="15">
        <v>9.0</v>
      </c>
      <c r="L9411" s="16" t="s">
        <v>58184</v>
      </c>
      <c r="M9411" s="14" t="s">
        <v>58185</v>
      </c>
      <c r="N9411" s="14" t="s">
        <v>1292</v>
      </c>
      <c r="O9411" s="16" t="s">
        <v>1293</v>
      </c>
      <c r="P9411" s="14" t="s">
        <v>58167</v>
      </c>
      <c r="Q9411" s="14" t="s">
        <v>31</v>
      </c>
      <c r="R9411" s="14" t="s">
        <v>64</v>
      </c>
      <c r="S9411" s="16" t="s">
        <v>1296</v>
      </c>
      <c r="T9411" s="14" t="s">
        <v>66</v>
      </c>
      <c r="U9411" s="16" t="s">
        <v>31</v>
      </c>
      <c r="V9411" s="14" t="s">
        <v>58186</v>
      </c>
      <c r="W9411" s="14" t="s">
        <v>58139</v>
      </c>
      <c r="X9411" s="17" t="str">
        <f>HYPERLINK("https://my.pitchbook.com?p=15472-27P","View People Online")</f>
        <v>View People Online</v>
      </c>
    </row>
    <row r="9412">
      <c r="A9412" s="10" t="s">
        <v>58187</v>
      </c>
      <c r="B9412" s="10" t="s">
        <v>58188</v>
      </c>
      <c r="C9412" s="10" t="s">
        <v>724</v>
      </c>
      <c r="D9412" s="10" t="s">
        <v>4314</v>
      </c>
      <c r="E9412" s="10" t="s">
        <v>58139</v>
      </c>
      <c r="F9412" s="10" t="s">
        <v>29</v>
      </c>
      <c r="G9412" s="10" t="s">
        <v>58189</v>
      </c>
      <c r="H9412" s="11" t="s">
        <v>31</v>
      </c>
      <c r="I9412" s="11">
        <v>1.0</v>
      </c>
      <c r="J9412" s="11">
        <v>1.0</v>
      </c>
      <c r="K9412" s="11" t="s">
        <v>31</v>
      </c>
      <c r="L9412" s="12" t="s">
        <v>31</v>
      </c>
      <c r="M9412" s="10" t="s">
        <v>58190</v>
      </c>
      <c r="N9412" s="10" t="s">
        <v>3603</v>
      </c>
      <c r="O9412" s="12" t="s">
        <v>3604</v>
      </c>
      <c r="P9412" s="10" t="s">
        <v>58191</v>
      </c>
      <c r="Q9412" s="10" t="s">
        <v>58192</v>
      </c>
      <c r="R9412" s="10" t="s">
        <v>31</v>
      </c>
      <c r="S9412" s="12" t="s">
        <v>31</v>
      </c>
      <c r="T9412" s="10" t="s">
        <v>3603</v>
      </c>
      <c r="U9412" s="12" t="s">
        <v>31</v>
      </c>
      <c r="V9412" s="10" t="s">
        <v>58193</v>
      </c>
      <c r="W9412" s="10" t="s">
        <v>58139</v>
      </c>
      <c r="X9412" s="13" t="str">
        <f>HYPERLINK("https://my.pitchbook.com?p=301260-25P","View People Online")</f>
        <v>View People Online</v>
      </c>
    </row>
    <row r="9413">
      <c r="A9413" s="6" t="s">
        <v>58194</v>
      </c>
      <c r="B9413" s="6" t="s">
        <v>58195</v>
      </c>
      <c r="C9413" s="6" t="s">
        <v>1437</v>
      </c>
      <c r="D9413" s="6" t="s">
        <v>666</v>
      </c>
      <c r="E9413" s="6" t="s">
        <v>58139</v>
      </c>
      <c r="F9413" s="6" t="s">
        <v>29</v>
      </c>
      <c r="G9413" s="6" t="s">
        <v>58196</v>
      </c>
      <c r="H9413" s="7">
        <v>2.0</v>
      </c>
      <c r="I9413" s="7">
        <v>9.0</v>
      </c>
      <c r="J9413" s="7">
        <v>2.0</v>
      </c>
      <c r="K9413" s="7">
        <v>4.0</v>
      </c>
      <c r="L9413" s="8" t="s">
        <v>31</v>
      </c>
      <c r="M9413" s="6" t="s">
        <v>58197</v>
      </c>
      <c r="N9413" s="6" t="s">
        <v>1034</v>
      </c>
      <c r="O9413" s="8" t="s">
        <v>1035</v>
      </c>
      <c r="P9413" s="6" t="s">
        <v>58198</v>
      </c>
      <c r="Q9413" s="6" t="s">
        <v>58199</v>
      </c>
      <c r="R9413" s="6" t="s">
        <v>31</v>
      </c>
      <c r="S9413" s="8" t="s">
        <v>44201</v>
      </c>
      <c r="T9413" s="6" t="s">
        <v>1034</v>
      </c>
      <c r="U9413" s="8" t="s">
        <v>31</v>
      </c>
      <c r="V9413" s="6" t="s">
        <v>58193</v>
      </c>
      <c r="W9413" s="6" t="s">
        <v>58139</v>
      </c>
      <c r="X9413" s="9" t="str">
        <f>HYPERLINK("https://my.pitchbook.com?p=258946-48P","View People Online")</f>
        <v>View People Online</v>
      </c>
    </row>
    <row r="9414">
      <c r="A9414" s="10" t="s">
        <v>58200</v>
      </c>
      <c r="B9414" s="10" t="s">
        <v>58201</v>
      </c>
      <c r="C9414" s="10" t="s">
        <v>11152</v>
      </c>
      <c r="D9414" s="10" t="s">
        <v>1723</v>
      </c>
      <c r="E9414" s="10" t="s">
        <v>58139</v>
      </c>
      <c r="F9414" s="10" t="s">
        <v>3288</v>
      </c>
      <c r="G9414" s="10" t="s">
        <v>58202</v>
      </c>
      <c r="H9414" s="11" t="s">
        <v>31</v>
      </c>
      <c r="I9414" s="11">
        <v>4.0</v>
      </c>
      <c r="J9414" s="11">
        <v>1.0</v>
      </c>
      <c r="K9414" s="11">
        <v>2.0</v>
      </c>
      <c r="L9414" s="12" t="s">
        <v>31</v>
      </c>
      <c r="M9414" s="10" t="s">
        <v>58203</v>
      </c>
      <c r="N9414" s="10" t="s">
        <v>3603</v>
      </c>
      <c r="O9414" s="12" t="s">
        <v>3604</v>
      </c>
      <c r="P9414" s="10" t="s">
        <v>58191</v>
      </c>
      <c r="Q9414" s="10" t="s">
        <v>58192</v>
      </c>
      <c r="R9414" s="10" t="s">
        <v>31</v>
      </c>
      <c r="S9414" s="12" t="s">
        <v>31</v>
      </c>
      <c r="T9414" s="10" t="s">
        <v>3603</v>
      </c>
      <c r="U9414" s="12" t="s">
        <v>31</v>
      </c>
      <c r="V9414" s="10" t="s">
        <v>58204</v>
      </c>
      <c r="W9414" s="10" t="s">
        <v>58139</v>
      </c>
      <c r="X9414" s="13" t="str">
        <f>HYPERLINK("https://my.pitchbook.com?p=283063-60P","View People Online")</f>
        <v>View People Online</v>
      </c>
    </row>
    <row r="9415">
      <c r="A9415" s="14" t="s">
        <v>58205</v>
      </c>
      <c r="B9415" s="14" t="s">
        <v>58206</v>
      </c>
      <c r="C9415" s="14" t="s">
        <v>323</v>
      </c>
      <c r="D9415" s="14" t="s">
        <v>4314</v>
      </c>
      <c r="E9415" s="14" t="s">
        <v>58139</v>
      </c>
      <c r="F9415" s="14" t="s">
        <v>57</v>
      </c>
      <c r="G9415" s="14" t="s">
        <v>58207</v>
      </c>
      <c r="H9415" s="15" t="s">
        <v>31</v>
      </c>
      <c r="I9415" s="15">
        <v>13.0</v>
      </c>
      <c r="J9415" s="15">
        <v>2.0</v>
      </c>
      <c r="K9415" s="15">
        <v>7.0</v>
      </c>
      <c r="L9415" s="16" t="s">
        <v>58141</v>
      </c>
      <c r="M9415" s="14" t="s">
        <v>58208</v>
      </c>
      <c r="N9415" s="14" t="s">
        <v>243</v>
      </c>
      <c r="O9415" s="16" t="s">
        <v>244</v>
      </c>
      <c r="P9415" s="14" t="s">
        <v>58143</v>
      </c>
      <c r="Q9415" s="14" t="s">
        <v>31</v>
      </c>
      <c r="R9415" s="14" t="s">
        <v>247</v>
      </c>
      <c r="S9415" s="16" t="s">
        <v>58144</v>
      </c>
      <c r="T9415" s="14" t="s">
        <v>249</v>
      </c>
      <c r="U9415" s="16" t="s">
        <v>31</v>
      </c>
      <c r="V9415" s="14" t="s">
        <v>57</v>
      </c>
      <c r="W9415" s="14" t="s">
        <v>58139</v>
      </c>
      <c r="X9415" s="17" t="str">
        <f>HYPERLINK("https://my.pitchbook.com?p=203992-57P","View People Online")</f>
        <v>View People Online</v>
      </c>
    </row>
    <row r="9416">
      <c r="A9416" s="10" t="s">
        <v>58209</v>
      </c>
      <c r="B9416" s="10" t="s">
        <v>58210</v>
      </c>
      <c r="C9416" s="10" t="s">
        <v>16358</v>
      </c>
      <c r="D9416" s="10" t="s">
        <v>58211</v>
      </c>
      <c r="E9416" s="10" t="s">
        <v>58139</v>
      </c>
      <c r="F9416" s="10" t="s">
        <v>2731</v>
      </c>
      <c r="G9416" s="10" t="s">
        <v>58212</v>
      </c>
      <c r="H9416" s="11" t="s">
        <v>31</v>
      </c>
      <c r="I9416" s="11">
        <v>4.0</v>
      </c>
      <c r="J9416" s="11">
        <v>1.0</v>
      </c>
      <c r="K9416" s="11">
        <v>1.0</v>
      </c>
      <c r="L9416" s="12" t="s">
        <v>58213</v>
      </c>
      <c r="M9416" s="10" t="s">
        <v>58214</v>
      </c>
      <c r="N9416" s="10" t="s">
        <v>601</v>
      </c>
      <c r="O9416" s="12" t="s">
        <v>602</v>
      </c>
      <c r="P9416" s="10" t="s">
        <v>58215</v>
      </c>
      <c r="Q9416" s="10" t="s">
        <v>58216</v>
      </c>
      <c r="R9416" s="10" t="s">
        <v>31</v>
      </c>
      <c r="S9416" s="12" t="s">
        <v>31</v>
      </c>
      <c r="T9416" s="10" t="s">
        <v>603</v>
      </c>
      <c r="U9416" s="12" t="s">
        <v>58217</v>
      </c>
      <c r="V9416" s="10" t="s">
        <v>58218</v>
      </c>
      <c r="W9416" s="10" t="s">
        <v>58219</v>
      </c>
      <c r="X9416" s="13" t="str">
        <f>HYPERLINK("https://my.pitchbook.com?p=203995-36P","View People Online")</f>
        <v>View People Online</v>
      </c>
    </row>
    <row r="9417">
      <c r="A9417" s="6" t="s">
        <v>58220</v>
      </c>
      <c r="B9417" s="6" t="s">
        <v>58221</v>
      </c>
      <c r="C9417" s="6" t="s">
        <v>3811</v>
      </c>
      <c r="D9417" s="6" t="s">
        <v>58222</v>
      </c>
      <c r="E9417" s="6" t="s">
        <v>58139</v>
      </c>
      <c r="F9417" s="6" t="s">
        <v>57</v>
      </c>
      <c r="G9417" s="6" t="s">
        <v>58223</v>
      </c>
      <c r="H9417" s="7" t="s">
        <v>31</v>
      </c>
      <c r="I9417" s="7">
        <v>13.0</v>
      </c>
      <c r="J9417" s="7">
        <v>1.0</v>
      </c>
      <c r="K9417" s="7">
        <v>9.0</v>
      </c>
      <c r="L9417" s="8" t="s">
        <v>31</v>
      </c>
      <c r="M9417" s="6" t="s">
        <v>58224</v>
      </c>
      <c r="N9417" s="6" t="s">
        <v>3603</v>
      </c>
      <c r="O9417" s="8" t="s">
        <v>3604</v>
      </c>
      <c r="P9417" s="6" t="s">
        <v>58191</v>
      </c>
      <c r="Q9417" s="6" t="s">
        <v>58192</v>
      </c>
      <c r="R9417" s="6" t="s">
        <v>31</v>
      </c>
      <c r="S9417" s="8" t="s">
        <v>31</v>
      </c>
      <c r="T9417" s="6" t="s">
        <v>3603</v>
      </c>
      <c r="U9417" s="8" t="s">
        <v>31</v>
      </c>
      <c r="V9417" s="6" t="s">
        <v>58225</v>
      </c>
      <c r="W9417" s="6" t="s">
        <v>58139</v>
      </c>
      <c r="X9417" s="9" t="str">
        <f>HYPERLINK("https://my.pitchbook.com?p=203993-11P","View People Online")</f>
        <v>View People Online</v>
      </c>
    </row>
    <row r="9418">
      <c r="A9418" s="10" t="s">
        <v>58226</v>
      </c>
      <c r="B9418" s="10" t="s">
        <v>58227</v>
      </c>
      <c r="C9418" s="10" t="s">
        <v>32188</v>
      </c>
      <c r="D9418" s="10" t="s">
        <v>58228</v>
      </c>
      <c r="E9418" s="10" t="s">
        <v>58139</v>
      </c>
      <c r="F9418" s="10" t="s">
        <v>548</v>
      </c>
      <c r="G9418" s="10" t="s">
        <v>58229</v>
      </c>
      <c r="H9418" s="11">
        <v>1.0</v>
      </c>
      <c r="I9418" s="11">
        <v>3.0</v>
      </c>
      <c r="J9418" s="11">
        <v>2.0</v>
      </c>
      <c r="K9418" s="11" t="s">
        <v>31</v>
      </c>
      <c r="L9418" s="12" t="s">
        <v>58148</v>
      </c>
      <c r="M9418" s="10" t="s">
        <v>31</v>
      </c>
      <c r="N9418" s="10" t="s">
        <v>1005</v>
      </c>
      <c r="O9418" s="12" t="s">
        <v>1006</v>
      </c>
      <c r="P9418" s="10" t="s">
        <v>58150</v>
      </c>
      <c r="Q9418" s="10" t="s">
        <v>58151</v>
      </c>
      <c r="R9418" s="10" t="s">
        <v>31</v>
      </c>
      <c r="S9418" s="12" t="s">
        <v>58152</v>
      </c>
      <c r="T9418" s="10" t="s">
        <v>1010</v>
      </c>
      <c r="U9418" s="12" t="s">
        <v>31</v>
      </c>
      <c r="V9418" s="10" t="s">
        <v>548</v>
      </c>
      <c r="W9418" s="10" t="s">
        <v>58154</v>
      </c>
      <c r="X9418" s="13" t="str">
        <f>HYPERLINK("https://my.pitchbook.com?p=409352-68P","View People Online")</f>
        <v>View People Online</v>
      </c>
    </row>
    <row r="9419">
      <c r="A9419" s="6" t="s">
        <v>58230</v>
      </c>
      <c r="B9419" s="6" t="s">
        <v>58231</v>
      </c>
      <c r="C9419" s="6" t="s">
        <v>58232</v>
      </c>
      <c r="D9419" s="6" t="s">
        <v>21699</v>
      </c>
      <c r="E9419" s="6" t="s">
        <v>58139</v>
      </c>
      <c r="F9419" s="6" t="s">
        <v>29</v>
      </c>
      <c r="G9419" s="6" t="s">
        <v>58233</v>
      </c>
      <c r="H9419" s="7">
        <v>2.0</v>
      </c>
      <c r="I9419" s="7">
        <v>3.0</v>
      </c>
      <c r="J9419" s="7">
        <v>1.0</v>
      </c>
      <c r="K9419" s="7" t="s">
        <v>31</v>
      </c>
      <c r="L9419" s="8" t="s">
        <v>58141</v>
      </c>
      <c r="M9419" s="6" t="s">
        <v>58234</v>
      </c>
      <c r="N9419" s="6" t="s">
        <v>243</v>
      </c>
      <c r="O9419" s="8" t="s">
        <v>244</v>
      </c>
      <c r="P9419" s="6" t="s">
        <v>58143</v>
      </c>
      <c r="Q9419" s="6" t="s">
        <v>31</v>
      </c>
      <c r="R9419" s="6" t="s">
        <v>247</v>
      </c>
      <c r="S9419" s="8" t="s">
        <v>58144</v>
      </c>
      <c r="T9419" s="6" t="s">
        <v>249</v>
      </c>
      <c r="U9419" s="8" t="s">
        <v>31</v>
      </c>
      <c r="V9419" s="6" t="s">
        <v>58235</v>
      </c>
      <c r="W9419" s="6" t="s">
        <v>58139</v>
      </c>
      <c r="X9419" s="9" t="str">
        <f>HYPERLINK("https://my.pitchbook.com?p=370425-16P","View People Online")</f>
        <v>View People Online</v>
      </c>
    </row>
    <row r="9420">
      <c r="A9420" s="2" t="s">
        <v>58236</v>
      </c>
      <c r="B9420" s="2" t="s">
        <v>58237</v>
      </c>
      <c r="C9420" s="2" t="s">
        <v>17438</v>
      </c>
      <c r="D9420" s="2" t="s">
        <v>45840</v>
      </c>
      <c r="E9420" s="2" t="s">
        <v>58139</v>
      </c>
      <c r="F9420" s="2" t="s">
        <v>548</v>
      </c>
      <c r="G9420" s="2" t="s">
        <v>58238</v>
      </c>
      <c r="H9420" s="3">
        <v>1.0</v>
      </c>
      <c r="I9420" s="3">
        <v>3.0</v>
      </c>
      <c r="J9420" s="3">
        <v>2.0</v>
      </c>
      <c r="K9420" s="3" t="s">
        <v>31</v>
      </c>
      <c r="L9420" s="4" t="s">
        <v>58165</v>
      </c>
      <c r="M9420" s="2" t="s">
        <v>58239</v>
      </c>
      <c r="N9420" s="2" t="s">
        <v>155</v>
      </c>
      <c r="O9420" s="4" t="s">
        <v>156</v>
      </c>
      <c r="P9420" s="2" t="s">
        <v>58167</v>
      </c>
      <c r="Q9420" s="2" t="s">
        <v>1292</v>
      </c>
      <c r="R9420" s="2" t="s">
        <v>64</v>
      </c>
      <c r="S9420" s="4" t="s">
        <v>1296</v>
      </c>
      <c r="T9420" s="2" t="s">
        <v>66</v>
      </c>
      <c r="U9420" s="4" t="s">
        <v>31</v>
      </c>
      <c r="V9420" s="2" t="s">
        <v>58160</v>
      </c>
      <c r="W9420" s="2" t="s">
        <v>58139</v>
      </c>
      <c r="X9420" s="5" t="str">
        <f>HYPERLINK("https://my.pitchbook.com?p=432718-57P","View People Online")</f>
        <v>View People Online</v>
      </c>
    </row>
    <row r="9421">
      <c r="A9421" s="14" t="s">
        <v>58240</v>
      </c>
      <c r="B9421" s="14" t="s">
        <v>58241</v>
      </c>
      <c r="C9421" s="14" t="s">
        <v>3529</v>
      </c>
      <c r="D9421" s="14" t="s">
        <v>21687</v>
      </c>
      <c r="E9421" s="14" t="s">
        <v>58139</v>
      </c>
      <c r="F9421" s="14" t="s">
        <v>548</v>
      </c>
      <c r="G9421" s="14" t="s">
        <v>58242</v>
      </c>
      <c r="H9421" s="15">
        <v>1.0</v>
      </c>
      <c r="I9421" s="15">
        <v>4.0</v>
      </c>
      <c r="J9421" s="15">
        <v>1.0</v>
      </c>
      <c r="K9421" s="15">
        <v>1.0</v>
      </c>
      <c r="L9421" s="16" t="s">
        <v>31</v>
      </c>
      <c r="M9421" s="14" t="s">
        <v>58243</v>
      </c>
      <c r="N9421" s="14" t="s">
        <v>1034</v>
      </c>
      <c r="O9421" s="16" t="s">
        <v>1035</v>
      </c>
      <c r="P9421" s="14" t="s">
        <v>58198</v>
      </c>
      <c r="Q9421" s="14" t="s">
        <v>58199</v>
      </c>
      <c r="R9421" s="14" t="s">
        <v>31</v>
      </c>
      <c r="S9421" s="16" t="s">
        <v>44201</v>
      </c>
      <c r="T9421" s="14" t="s">
        <v>1034</v>
      </c>
      <c r="U9421" s="16" t="s">
        <v>31</v>
      </c>
      <c r="V9421" s="14" t="s">
        <v>58244</v>
      </c>
      <c r="W9421" s="14" t="s">
        <v>58139</v>
      </c>
      <c r="X9421" s="17" t="str">
        <f>HYPERLINK("https://my.pitchbook.com?p=188344-00P","View People Online")</f>
        <v>View People Online</v>
      </c>
    </row>
    <row r="9422">
      <c r="A9422" s="2" t="s">
        <v>58245</v>
      </c>
      <c r="B9422" s="2" t="s">
        <v>58246</v>
      </c>
      <c r="C9422" s="2" t="s">
        <v>2964</v>
      </c>
      <c r="D9422" s="2" t="s">
        <v>58247</v>
      </c>
      <c r="E9422" s="2" t="s">
        <v>58139</v>
      </c>
      <c r="F9422" s="2" t="s">
        <v>120</v>
      </c>
      <c r="G9422" s="2" t="s">
        <v>58248</v>
      </c>
      <c r="H9422" s="3">
        <v>2.0</v>
      </c>
      <c r="I9422" s="3">
        <v>10.0</v>
      </c>
      <c r="J9422" s="3">
        <v>1.0</v>
      </c>
      <c r="K9422" s="3">
        <v>2.0</v>
      </c>
      <c r="L9422" s="4" t="s">
        <v>58249</v>
      </c>
      <c r="M9422" s="2" t="s">
        <v>31</v>
      </c>
      <c r="N9422" s="2" t="s">
        <v>58250</v>
      </c>
      <c r="O9422" s="4" t="s">
        <v>58251</v>
      </c>
      <c r="P9422" s="2" t="s">
        <v>58252</v>
      </c>
      <c r="Q9422" s="2" t="s">
        <v>31962</v>
      </c>
      <c r="R9422" s="2" t="s">
        <v>396</v>
      </c>
      <c r="S9422" s="4" t="s">
        <v>58253</v>
      </c>
      <c r="T9422" s="2" t="s">
        <v>66</v>
      </c>
      <c r="U9422" s="4" t="s">
        <v>31</v>
      </c>
      <c r="V9422" s="2" t="s">
        <v>34115</v>
      </c>
      <c r="W9422" s="2" t="s">
        <v>58254</v>
      </c>
      <c r="X9422" s="5" t="str">
        <f>HYPERLINK("https://my.pitchbook.com?p=212317-75P","View People Online")</f>
        <v>View People Online</v>
      </c>
    </row>
    <row r="9423">
      <c r="A9423" s="6" t="s">
        <v>58255</v>
      </c>
      <c r="B9423" s="6" t="s">
        <v>58256</v>
      </c>
      <c r="C9423" s="6" t="s">
        <v>1343</v>
      </c>
      <c r="D9423" s="6" t="s">
        <v>45530</v>
      </c>
      <c r="E9423" s="6" t="s">
        <v>58139</v>
      </c>
      <c r="F9423" s="6" t="s">
        <v>548</v>
      </c>
      <c r="G9423" s="6" t="s">
        <v>58257</v>
      </c>
      <c r="H9423" s="7">
        <v>2.0</v>
      </c>
      <c r="I9423" s="7">
        <v>6.0</v>
      </c>
      <c r="J9423" s="7">
        <v>1.0</v>
      </c>
      <c r="K9423" s="7">
        <v>2.0</v>
      </c>
      <c r="L9423" s="8" t="s">
        <v>58258</v>
      </c>
      <c r="M9423" s="6" t="s">
        <v>58259</v>
      </c>
      <c r="N9423" s="6" t="s">
        <v>243</v>
      </c>
      <c r="O9423" s="8" t="s">
        <v>244</v>
      </c>
      <c r="P9423" s="6" t="s">
        <v>58143</v>
      </c>
      <c r="Q9423" s="6" t="s">
        <v>31</v>
      </c>
      <c r="R9423" s="6" t="s">
        <v>247</v>
      </c>
      <c r="S9423" s="8" t="s">
        <v>58144</v>
      </c>
      <c r="T9423" s="6" t="s">
        <v>249</v>
      </c>
      <c r="U9423" s="8" t="s">
        <v>31</v>
      </c>
      <c r="V9423" s="6" t="s">
        <v>58260</v>
      </c>
      <c r="W9423" s="6" t="s">
        <v>58139</v>
      </c>
      <c r="X9423" s="9" t="str">
        <f>HYPERLINK("https://my.pitchbook.com?p=202556-71P","View People Online")</f>
        <v>View People Online</v>
      </c>
    </row>
    <row r="9424">
      <c r="A9424" s="10" t="s">
        <v>58261</v>
      </c>
      <c r="B9424" s="10" t="s">
        <v>58262</v>
      </c>
      <c r="C9424" s="10" t="s">
        <v>1343</v>
      </c>
      <c r="D9424" s="10" t="s">
        <v>58263</v>
      </c>
      <c r="E9424" s="10" t="s">
        <v>58139</v>
      </c>
      <c r="F9424" s="10" t="s">
        <v>29</v>
      </c>
      <c r="G9424" s="10" t="s">
        <v>58264</v>
      </c>
      <c r="H9424" s="11" t="s">
        <v>31</v>
      </c>
      <c r="I9424" s="11">
        <v>1.0</v>
      </c>
      <c r="J9424" s="11">
        <v>1.0</v>
      </c>
      <c r="K9424" s="11" t="s">
        <v>31</v>
      </c>
      <c r="L9424" s="12" t="s">
        <v>58141</v>
      </c>
      <c r="M9424" s="10" t="s">
        <v>58265</v>
      </c>
      <c r="N9424" s="10" t="s">
        <v>243</v>
      </c>
      <c r="O9424" s="12" t="s">
        <v>244</v>
      </c>
      <c r="P9424" s="10" t="s">
        <v>58143</v>
      </c>
      <c r="Q9424" s="10" t="s">
        <v>31</v>
      </c>
      <c r="R9424" s="10" t="s">
        <v>247</v>
      </c>
      <c r="S9424" s="12" t="s">
        <v>58144</v>
      </c>
      <c r="T9424" s="10" t="s">
        <v>249</v>
      </c>
      <c r="U9424" s="12" t="s">
        <v>31</v>
      </c>
      <c r="V9424" s="10" t="s">
        <v>58235</v>
      </c>
      <c r="W9424" s="10" t="s">
        <v>58139</v>
      </c>
      <c r="X9424" s="13" t="str">
        <f>HYPERLINK("https://my.pitchbook.com?p=301261-69P","View People Online")</f>
        <v>View People Online</v>
      </c>
    </row>
    <row r="9425">
      <c r="A9425" s="6" t="s">
        <v>58266</v>
      </c>
      <c r="B9425" s="6" t="s">
        <v>58267</v>
      </c>
      <c r="C9425" s="6" t="s">
        <v>58268</v>
      </c>
      <c r="D9425" s="6" t="s">
        <v>58269</v>
      </c>
      <c r="E9425" s="6" t="s">
        <v>58139</v>
      </c>
      <c r="F9425" s="6" t="s">
        <v>29</v>
      </c>
      <c r="G9425" s="6" t="s">
        <v>58270</v>
      </c>
      <c r="H9425" s="7">
        <v>1.0</v>
      </c>
      <c r="I9425" s="7">
        <v>8.0</v>
      </c>
      <c r="J9425" s="7">
        <v>2.0</v>
      </c>
      <c r="K9425" s="7">
        <v>3.0</v>
      </c>
      <c r="L9425" s="8" t="s">
        <v>58271</v>
      </c>
      <c r="M9425" s="6" t="s">
        <v>58272</v>
      </c>
      <c r="N9425" s="6" t="s">
        <v>1292</v>
      </c>
      <c r="O9425" s="8" t="s">
        <v>1293</v>
      </c>
      <c r="P9425" s="6" t="s">
        <v>58167</v>
      </c>
      <c r="Q9425" s="6" t="s">
        <v>31</v>
      </c>
      <c r="R9425" s="6" t="s">
        <v>64</v>
      </c>
      <c r="S9425" s="8" t="s">
        <v>1296</v>
      </c>
      <c r="T9425" s="6" t="s">
        <v>66</v>
      </c>
      <c r="U9425" s="8" t="s">
        <v>31</v>
      </c>
      <c r="V9425" s="6" t="s">
        <v>58168</v>
      </c>
      <c r="W9425" s="6" t="s">
        <v>58139</v>
      </c>
      <c r="X9425" s="9" t="str">
        <f>HYPERLINK("https://my.pitchbook.com?p=31299-58P","View People Online")</f>
        <v>View People Online</v>
      </c>
    </row>
    <row r="9426">
      <c r="A9426" s="2" t="s">
        <v>58273</v>
      </c>
      <c r="B9426" s="2" t="s">
        <v>58274</v>
      </c>
      <c r="C9426" s="2" t="s">
        <v>4009</v>
      </c>
      <c r="D9426" s="2" t="s">
        <v>36581</v>
      </c>
      <c r="E9426" s="2" t="s">
        <v>58139</v>
      </c>
      <c r="F9426" s="2" t="s">
        <v>29</v>
      </c>
      <c r="G9426" s="2" t="s">
        <v>58275</v>
      </c>
      <c r="H9426" s="3" t="s">
        <v>31</v>
      </c>
      <c r="I9426" s="3">
        <v>1.0</v>
      </c>
      <c r="J9426" s="3">
        <v>1.0</v>
      </c>
      <c r="K9426" s="3" t="s">
        <v>31</v>
      </c>
      <c r="L9426" s="4" t="s">
        <v>31</v>
      </c>
      <c r="M9426" s="2" t="s">
        <v>58276</v>
      </c>
      <c r="N9426" s="2" t="s">
        <v>3334</v>
      </c>
      <c r="O9426" s="4" t="s">
        <v>3335</v>
      </c>
      <c r="P9426" s="2" t="s">
        <v>58178</v>
      </c>
      <c r="Q9426" s="2" t="s">
        <v>58179</v>
      </c>
      <c r="R9426" s="2" t="s">
        <v>31</v>
      </c>
      <c r="S9426" s="4" t="s">
        <v>42276</v>
      </c>
      <c r="T9426" s="2" t="s">
        <v>3339</v>
      </c>
      <c r="U9426" s="4" t="s">
        <v>31</v>
      </c>
      <c r="V9426" s="2" t="s">
        <v>58193</v>
      </c>
      <c r="W9426" s="2" t="s">
        <v>58139</v>
      </c>
      <c r="X9426" s="5" t="str">
        <f>HYPERLINK("https://my.pitchbook.com?p=418906-63P","View People Online")</f>
        <v>View People Online</v>
      </c>
    </row>
    <row r="9427">
      <c r="A9427" s="14" t="s">
        <v>58277</v>
      </c>
      <c r="B9427" s="14" t="s">
        <v>58278</v>
      </c>
      <c r="C9427" s="14" t="s">
        <v>18553</v>
      </c>
      <c r="D9427" s="14" t="s">
        <v>58279</v>
      </c>
      <c r="E9427" s="14" t="s">
        <v>58139</v>
      </c>
      <c r="F9427" s="14" t="s">
        <v>57</v>
      </c>
      <c r="G9427" s="14" t="s">
        <v>58280</v>
      </c>
      <c r="H9427" s="15" t="s">
        <v>31</v>
      </c>
      <c r="I9427" s="15">
        <v>18.0</v>
      </c>
      <c r="J9427" s="15">
        <v>2.0</v>
      </c>
      <c r="K9427" s="15">
        <v>12.0</v>
      </c>
      <c r="L9427" s="16" t="s">
        <v>58281</v>
      </c>
      <c r="M9427" s="14" t="s">
        <v>58282</v>
      </c>
      <c r="N9427" s="14" t="s">
        <v>1005</v>
      </c>
      <c r="O9427" s="16" t="s">
        <v>1006</v>
      </c>
      <c r="P9427" s="14" t="s">
        <v>58283</v>
      </c>
      <c r="Q9427" s="14" t="s">
        <v>58284</v>
      </c>
      <c r="R9427" s="14" t="s">
        <v>31</v>
      </c>
      <c r="S9427" s="16" t="s">
        <v>58152</v>
      </c>
      <c r="T9427" s="14" t="s">
        <v>1010</v>
      </c>
      <c r="U9427" s="16" t="s">
        <v>31</v>
      </c>
      <c r="V9427" s="14" t="s">
        <v>58285</v>
      </c>
      <c r="W9427" s="14" t="s">
        <v>58139</v>
      </c>
      <c r="X9427" s="17" t="str">
        <f>HYPERLINK("https://my.pitchbook.com?p=203996-53P","View People Online")</f>
        <v>View People Online</v>
      </c>
    </row>
    <row r="9428">
      <c r="A9428" s="2" t="s">
        <v>58286</v>
      </c>
      <c r="B9428" s="2" t="s">
        <v>58287</v>
      </c>
      <c r="C9428" s="2" t="s">
        <v>4457</v>
      </c>
      <c r="D9428" s="2" t="s">
        <v>29087</v>
      </c>
      <c r="E9428" s="2" t="s">
        <v>58139</v>
      </c>
      <c r="F9428" s="2" t="s">
        <v>270</v>
      </c>
      <c r="G9428" s="2" t="s">
        <v>58288</v>
      </c>
      <c r="H9428" s="3" t="s">
        <v>31</v>
      </c>
      <c r="I9428" s="3">
        <v>2.0</v>
      </c>
      <c r="J9428" s="3">
        <v>2.0</v>
      </c>
      <c r="K9428" s="3" t="s">
        <v>31</v>
      </c>
      <c r="L9428" s="4" t="s">
        <v>31</v>
      </c>
      <c r="M9428" s="2" t="s">
        <v>31</v>
      </c>
      <c r="N9428" s="2" t="s">
        <v>1781</v>
      </c>
      <c r="O9428" s="4" t="s">
        <v>1782</v>
      </c>
      <c r="P9428" s="2" t="s">
        <v>31</v>
      </c>
      <c r="Q9428" s="2" t="s">
        <v>31</v>
      </c>
      <c r="R9428" s="2" t="s">
        <v>1785</v>
      </c>
      <c r="S9428" s="4" t="s">
        <v>31</v>
      </c>
      <c r="T9428" s="2" t="s">
        <v>1019</v>
      </c>
      <c r="U9428" s="4" t="s">
        <v>31</v>
      </c>
      <c r="V9428" s="2" t="s">
        <v>58289</v>
      </c>
      <c r="W9428" s="2" t="s">
        <v>58290</v>
      </c>
      <c r="X9428" s="5" t="str">
        <f>HYPERLINK("https://my.pitchbook.com?p=255810-43P","View People Online")</f>
        <v>View People Online</v>
      </c>
    </row>
    <row r="9429">
      <c r="A9429" s="6" t="s">
        <v>58291</v>
      </c>
      <c r="B9429" s="6" t="s">
        <v>58292</v>
      </c>
      <c r="C9429" s="6" t="s">
        <v>2288</v>
      </c>
      <c r="D9429" s="6" t="s">
        <v>58293</v>
      </c>
      <c r="E9429" s="6" t="s">
        <v>58139</v>
      </c>
      <c r="F9429" s="6" t="s">
        <v>3288</v>
      </c>
      <c r="G9429" s="6" t="s">
        <v>58294</v>
      </c>
      <c r="H9429" s="7" t="s">
        <v>31</v>
      </c>
      <c r="I9429" s="7">
        <v>1.0</v>
      </c>
      <c r="J9429" s="7">
        <v>1.0</v>
      </c>
      <c r="K9429" s="7" t="s">
        <v>31</v>
      </c>
      <c r="L9429" s="8" t="s">
        <v>58141</v>
      </c>
      <c r="M9429" s="6" t="s">
        <v>58295</v>
      </c>
      <c r="N9429" s="6" t="s">
        <v>243</v>
      </c>
      <c r="O9429" s="8" t="s">
        <v>244</v>
      </c>
      <c r="P9429" s="6" t="s">
        <v>58143</v>
      </c>
      <c r="Q9429" s="6" t="s">
        <v>31</v>
      </c>
      <c r="R9429" s="6" t="s">
        <v>247</v>
      </c>
      <c r="S9429" s="8" t="s">
        <v>58144</v>
      </c>
      <c r="T9429" s="6" t="s">
        <v>249</v>
      </c>
      <c r="U9429" s="8" t="s">
        <v>31</v>
      </c>
      <c r="V9429" s="6" t="s">
        <v>58296</v>
      </c>
      <c r="W9429" s="6" t="s">
        <v>58139</v>
      </c>
      <c r="X9429" s="9" t="str">
        <f>HYPERLINK("https://my.pitchbook.com?p=234228-34P","View People Online")</f>
        <v>View People Online</v>
      </c>
    </row>
    <row r="9430">
      <c r="A9430" s="2" t="s">
        <v>58297</v>
      </c>
      <c r="B9430" s="2" t="s">
        <v>58298</v>
      </c>
      <c r="C9430" s="2" t="s">
        <v>2288</v>
      </c>
      <c r="D9430" s="2" t="s">
        <v>39799</v>
      </c>
      <c r="E9430" s="2" t="s">
        <v>58139</v>
      </c>
      <c r="F9430" s="2" t="s">
        <v>58299</v>
      </c>
      <c r="G9430" s="2" t="s">
        <v>58300</v>
      </c>
      <c r="H9430" s="3" t="s">
        <v>31</v>
      </c>
      <c r="I9430" s="3">
        <v>1.0</v>
      </c>
      <c r="J9430" s="3">
        <v>1.0</v>
      </c>
      <c r="K9430" s="3" t="s">
        <v>31</v>
      </c>
      <c r="L9430" s="4" t="s">
        <v>58141</v>
      </c>
      <c r="M9430" s="2" t="s">
        <v>58301</v>
      </c>
      <c r="N9430" s="2" t="s">
        <v>243</v>
      </c>
      <c r="O9430" s="4" t="s">
        <v>244</v>
      </c>
      <c r="P9430" s="2" t="s">
        <v>58143</v>
      </c>
      <c r="Q9430" s="2" t="s">
        <v>31</v>
      </c>
      <c r="R9430" s="2" t="s">
        <v>247</v>
      </c>
      <c r="S9430" s="4" t="s">
        <v>58144</v>
      </c>
      <c r="T9430" s="2" t="s">
        <v>249</v>
      </c>
      <c r="U9430" s="4" t="s">
        <v>31</v>
      </c>
      <c r="V9430" s="2" t="s">
        <v>58302</v>
      </c>
      <c r="W9430" s="2" t="s">
        <v>58139</v>
      </c>
      <c r="X9430" s="5" t="str">
        <f>HYPERLINK("https://my.pitchbook.com?p=418905-46P","View People Online")</f>
        <v>View People Online</v>
      </c>
    </row>
    <row r="9431">
      <c r="A9431" s="14" t="s">
        <v>58303</v>
      </c>
      <c r="B9431" s="14" t="s">
        <v>58304</v>
      </c>
      <c r="C9431" s="14" t="s">
        <v>58305</v>
      </c>
      <c r="D9431" s="14" t="s">
        <v>50325</v>
      </c>
      <c r="E9431" s="14" t="s">
        <v>58139</v>
      </c>
      <c r="F9431" s="14" t="s">
        <v>152</v>
      </c>
      <c r="G9431" s="14" t="s">
        <v>58306</v>
      </c>
      <c r="H9431" s="15">
        <v>4.0</v>
      </c>
      <c r="I9431" s="15">
        <v>48.0</v>
      </c>
      <c r="J9431" s="15">
        <v>3.0</v>
      </c>
      <c r="K9431" s="15">
        <v>36.0</v>
      </c>
      <c r="L9431" s="16" t="s">
        <v>58148</v>
      </c>
      <c r="M9431" s="14" t="s">
        <v>58307</v>
      </c>
      <c r="N9431" s="14" t="s">
        <v>1005</v>
      </c>
      <c r="O9431" s="16" t="s">
        <v>1006</v>
      </c>
      <c r="P9431" s="14" t="s">
        <v>58150</v>
      </c>
      <c r="Q9431" s="14" t="s">
        <v>58151</v>
      </c>
      <c r="R9431" s="14" t="s">
        <v>31</v>
      </c>
      <c r="S9431" s="16" t="s">
        <v>58152</v>
      </c>
      <c r="T9431" s="14" t="s">
        <v>1010</v>
      </c>
      <c r="U9431" s="16" t="s">
        <v>31</v>
      </c>
      <c r="V9431" s="14" t="s">
        <v>6811</v>
      </c>
      <c r="W9431" s="14" t="s">
        <v>58154</v>
      </c>
      <c r="X9431" s="17" t="str">
        <f>HYPERLINK("https://my.pitchbook.com?p=44182-45P","View People Online")</f>
        <v>View People Online</v>
      </c>
    </row>
    <row r="9432">
      <c r="A9432" s="2" t="s">
        <v>58308</v>
      </c>
      <c r="B9432" s="2" t="s">
        <v>58309</v>
      </c>
      <c r="C9432" s="2" t="s">
        <v>369</v>
      </c>
      <c r="D9432" s="2" t="s">
        <v>58310</v>
      </c>
      <c r="E9432" s="2" t="s">
        <v>58139</v>
      </c>
      <c r="F9432" s="2" t="s">
        <v>29</v>
      </c>
      <c r="G9432" s="2" t="s">
        <v>58311</v>
      </c>
      <c r="H9432" s="3">
        <v>4.0</v>
      </c>
      <c r="I9432" s="3">
        <v>13.0</v>
      </c>
      <c r="J9432" s="3">
        <v>1.0</v>
      </c>
      <c r="K9432" s="3">
        <v>6.0</v>
      </c>
      <c r="L9432" s="4" t="s">
        <v>58141</v>
      </c>
      <c r="M9432" s="2" t="s">
        <v>58312</v>
      </c>
      <c r="N9432" s="2" t="s">
        <v>243</v>
      </c>
      <c r="O9432" s="4" t="s">
        <v>244</v>
      </c>
      <c r="P9432" s="2" t="s">
        <v>58143</v>
      </c>
      <c r="Q9432" s="2" t="s">
        <v>31</v>
      </c>
      <c r="R9432" s="2" t="s">
        <v>247</v>
      </c>
      <c r="S9432" s="4" t="s">
        <v>58144</v>
      </c>
      <c r="T9432" s="2" t="s">
        <v>249</v>
      </c>
      <c r="U9432" s="4" t="s">
        <v>31</v>
      </c>
      <c r="V9432" s="2" t="s">
        <v>58313</v>
      </c>
      <c r="W9432" s="2" t="s">
        <v>58139</v>
      </c>
      <c r="X9432" s="5" t="str">
        <f>HYPERLINK("https://my.pitchbook.com?p=243181-27P","View People Online")</f>
        <v>View People Online</v>
      </c>
    </row>
    <row r="9433">
      <c r="A9433" s="14" t="s">
        <v>58314</v>
      </c>
      <c r="B9433" s="14" t="s">
        <v>58315</v>
      </c>
      <c r="C9433" s="14" t="s">
        <v>1807</v>
      </c>
      <c r="D9433" s="14" t="s">
        <v>23171</v>
      </c>
      <c r="E9433" s="14" t="s">
        <v>58139</v>
      </c>
      <c r="F9433" s="14" t="s">
        <v>29</v>
      </c>
      <c r="G9433" s="14" t="s">
        <v>58316</v>
      </c>
      <c r="H9433" s="15" t="s">
        <v>31</v>
      </c>
      <c r="I9433" s="15">
        <v>1.0</v>
      </c>
      <c r="J9433" s="15">
        <v>1.0</v>
      </c>
      <c r="K9433" s="15" t="s">
        <v>31</v>
      </c>
      <c r="L9433" s="16" t="s">
        <v>31</v>
      </c>
      <c r="M9433" s="14" t="s">
        <v>58317</v>
      </c>
      <c r="N9433" s="14" t="s">
        <v>3334</v>
      </c>
      <c r="O9433" s="16" t="s">
        <v>3335</v>
      </c>
      <c r="P9433" s="14" t="s">
        <v>58178</v>
      </c>
      <c r="Q9433" s="14" t="s">
        <v>58179</v>
      </c>
      <c r="R9433" s="14" t="s">
        <v>31</v>
      </c>
      <c r="S9433" s="16" t="s">
        <v>42276</v>
      </c>
      <c r="T9433" s="14" t="s">
        <v>3339</v>
      </c>
      <c r="U9433" s="16" t="s">
        <v>31</v>
      </c>
      <c r="V9433" s="14" t="s">
        <v>58193</v>
      </c>
      <c r="W9433" s="14" t="s">
        <v>58139</v>
      </c>
      <c r="X9433" s="17" t="str">
        <f>HYPERLINK("https://my.pitchbook.com?p=418895-11P","View People Online")</f>
        <v>View People Online</v>
      </c>
    </row>
    <row r="9434">
      <c r="A9434" s="2" t="s">
        <v>58318</v>
      </c>
      <c r="B9434" s="2" t="s">
        <v>58319</v>
      </c>
      <c r="C9434" s="2" t="s">
        <v>58320</v>
      </c>
      <c r="D9434" s="2" t="s">
        <v>58321</v>
      </c>
      <c r="E9434" s="2" t="s">
        <v>58139</v>
      </c>
      <c r="F9434" s="2" t="s">
        <v>548</v>
      </c>
      <c r="G9434" s="2" t="s">
        <v>58322</v>
      </c>
      <c r="H9434" s="3">
        <v>5.0</v>
      </c>
      <c r="I9434" s="3">
        <v>16.0</v>
      </c>
      <c r="J9434" s="3">
        <v>2.0</v>
      </c>
      <c r="K9434" s="3">
        <v>5.0</v>
      </c>
      <c r="L9434" s="4" t="s">
        <v>58141</v>
      </c>
      <c r="M9434" s="2" t="s">
        <v>58323</v>
      </c>
      <c r="N9434" s="2" t="s">
        <v>243</v>
      </c>
      <c r="O9434" s="4" t="s">
        <v>244</v>
      </c>
      <c r="P9434" s="2" t="s">
        <v>58143</v>
      </c>
      <c r="Q9434" s="2" t="s">
        <v>31</v>
      </c>
      <c r="R9434" s="2" t="s">
        <v>247</v>
      </c>
      <c r="S9434" s="4" t="s">
        <v>58144</v>
      </c>
      <c r="T9434" s="2" t="s">
        <v>249</v>
      </c>
      <c r="U9434" s="4" t="s">
        <v>31</v>
      </c>
      <c r="V9434" s="2" t="s">
        <v>58260</v>
      </c>
      <c r="W9434" s="2" t="s">
        <v>58139</v>
      </c>
      <c r="X9434" s="5" t="str">
        <f>HYPERLINK("https://my.pitchbook.com?p=208875-07P","View People Online")</f>
        <v>View People Online</v>
      </c>
    </row>
    <row r="9435">
      <c r="A9435" s="14" t="s">
        <v>58324</v>
      </c>
      <c r="B9435" s="14" t="s">
        <v>58325</v>
      </c>
      <c r="C9435" s="14" t="s">
        <v>58326</v>
      </c>
      <c r="D9435" s="14" t="s">
        <v>21379</v>
      </c>
      <c r="E9435" s="14" t="s">
        <v>58139</v>
      </c>
      <c r="F9435" s="14" t="s">
        <v>548</v>
      </c>
      <c r="G9435" s="14" t="s">
        <v>58327</v>
      </c>
      <c r="H9435" s="15">
        <v>2.0</v>
      </c>
      <c r="I9435" s="15">
        <v>9.0</v>
      </c>
      <c r="J9435" s="15">
        <v>1.0</v>
      </c>
      <c r="K9435" s="15">
        <v>5.0</v>
      </c>
      <c r="L9435" s="16" t="s">
        <v>58141</v>
      </c>
      <c r="M9435" s="14" t="s">
        <v>58328</v>
      </c>
      <c r="N9435" s="14" t="s">
        <v>243</v>
      </c>
      <c r="O9435" s="16" t="s">
        <v>244</v>
      </c>
      <c r="P9435" s="14" t="s">
        <v>58143</v>
      </c>
      <c r="Q9435" s="14" t="s">
        <v>31</v>
      </c>
      <c r="R9435" s="14" t="s">
        <v>247</v>
      </c>
      <c r="S9435" s="16" t="s">
        <v>58144</v>
      </c>
      <c r="T9435" s="14" t="s">
        <v>249</v>
      </c>
      <c r="U9435" s="16" t="s">
        <v>31</v>
      </c>
      <c r="V9435" s="14" t="s">
        <v>58244</v>
      </c>
      <c r="W9435" s="14" t="s">
        <v>58139</v>
      </c>
      <c r="X9435" s="17" t="str">
        <f>HYPERLINK("https://my.pitchbook.com?p=312057-82P","View People Online")</f>
        <v>View People Online</v>
      </c>
    </row>
    <row r="9436">
      <c r="A9436" s="2" t="s">
        <v>58329</v>
      </c>
      <c r="B9436" s="2" t="s">
        <v>58330</v>
      </c>
      <c r="C9436" s="2" t="s">
        <v>58331</v>
      </c>
      <c r="D9436" s="2" t="s">
        <v>58332</v>
      </c>
      <c r="E9436" s="2" t="s">
        <v>58139</v>
      </c>
      <c r="F9436" s="2" t="s">
        <v>4286</v>
      </c>
      <c r="G9436" s="2" t="s">
        <v>58333</v>
      </c>
      <c r="H9436" s="3">
        <v>3.0</v>
      </c>
      <c r="I9436" s="3">
        <v>7.0</v>
      </c>
      <c r="J9436" s="3">
        <v>2.0</v>
      </c>
      <c r="K9436" s="3">
        <v>2.0</v>
      </c>
      <c r="L9436" s="4" t="s">
        <v>58165</v>
      </c>
      <c r="M9436" s="2" t="s">
        <v>58334</v>
      </c>
      <c r="N9436" s="2" t="s">
        <v>1292</v>
      </c>
      <c r="O9436" s="4" t="s">
        <v>1293</v>
      </c>
      <c r="P9436" s="2" t="s">
        <v>58167</v>
      </c>
      <c r="Q9436" s="2" t="s">
        <v>31</v>
      </c>
      <c r="R9436" s="2" t="s">
        <v>64</v>
      </c>
      <c r="S9436" s="4" t="s">
        <v>1296</v>
      </c>
      <c r="T9436" s="2" t="s">
        <v>66</v>
      </c>
      <c r="U9436" s="4" t="s">
        <v>31</v>
      </c>
      <c r="V9436" s="2" t="s">
        <v>54714</v>
      </c>
      <c r="W9436" s="2" t="s">
        <v>58139</v>
      </c>
      <c r="X9436" s="5" t="str">
        <f>HYPERLINK("https://my.pitchbook.com?p=203997-07P","View People Online")</f>
        <v>View People Online</v>
      </c>
    </row>
    <row r="9437">
      <c r="A9437" s="14" t="s">
        <v>58335</v>
      </c>
      <c r="B9437" s="14" t="s">
        <v>58336</v>
      </c>
      <c r="C9437" s="14" t="s">
        <v>2388</v>
      </c>
      <c r="D9437" s="14" t="s">
        <v>21687</v>
      </c>
      <c r="E9437" s="14" t="s">
        <v>58139</v>
      </c>
      <c r="F9437" s="14" t="s">
        <v>2422</v>
      </c>
      <c r="G9437" s="14" t="s">
        <v>58337</v>
      </c>
      <c r="H9437" s="15">
        <v>1.0</v>
      </c>
      <c r="I9437" s="15">
        <v>2.0</v>
      </c>
      <c r="J9437" s="15">
        <v>1.0</v>
      </c>
      <c r="K9437" s="15" t="s">
        <v>31</v>
      </c>
      <c r="L9437" s="16" t="s">
        <v>58281</v>
      </c>
      <c r="M9437" s="14" t="s">
        <v>58338</v>
      </c>
      <c r="N9437" s="14" t="s">
        <v>1005</v>
      </c>
      <c r="O9437" s="16" t="s">
        <v>1006</v>
      </c>
      <c r="P9437" s="14" t="s">
        <v>58283</v>
      </c>
      <c r="Q9437" s="14" t="s">
        <v>58284</v>
      </c>
      <c r="R9437" s="14" t="s">
        <v>31</v>
      </c>
      <c r="S9437" s="16" t="s">
        <v>58152</v>
      </c>
      <c r="T9437" s="14" t="s">
        <v>1010</v>
      </c>
      <c r="U9437" s="16" t="s">
        <v>31</v>
      </c>
      <c r="V9437" s="14" t="s">
        <v>58339</v>
      </c>
      <c r="W9437" s="14" t="s">
        <v>58139</v>
      </c>
      <c r="X9437" s="17" t="str">
        <f>HYPERLINK("https://my.pitchbook.com?p=280086-40P","View People Online")</f>
        <v>View People Online</v>
      </c>
    </row>
    <row r="9438">
      <c r="A9438" s="2" t="s">
        <v>58340</v>
      </c>
      <c r="B9438" s="2" t="s">
        <v>58341</v>
      </c>
      <c r="C9438" s="2" t="s">
        <v>21011</v>
      </c>
      <c r="D9438" s="2" t="s">
        <v>20388</v>
      </c>
      <c r="E9438" s="2" t="s">
        <v>58139</v>
      </c>
      <c r="F9438" s="2" t="s">
        <v>2731</v>
      </c>
      <c r="G9438" s="2" t="s">
        <v>58342</v>
      </c>
      <c r="H9438" s="3" t="s">
        <v>31</v>
      </c>
      <c r="I9438" s="3">
        <v>14.0</v>
      </c>
      <c r="J9438" s="3" t="s">
        <v>31</v>
      </c>
      <c r="K9438" s="3">
        <v>9.0</v>
      </c>
      <c r="L9438" s="4" t="s">
        <v>58141</v>
      </c>
      <c r="M9438" s="2" t="s">
        <v>58343</v>
      </c>
      <c r="N9438" s="2" t="s">
        <v>243</v>
      </c>
      <c r="O9438" s="4" t="s">
        <v>244</v>
      </c>
      <c r="P9438" s="2" t="s">
        <v>58143</v>
      </c>
      <c r="Q9438" s="2" t="s">
        <v>31</v>
      </c>
      <c r="R9438" s="2" t="s">
        <v>247</v>
      </c>
      <c r="S9438" s="4" t="s">
        <v>58144</v>
      </c>
      <c r="T9438" s="2" t="s">
        <v>249</v>
      </c>
      <c r="U9438" s="4" t="s">
        <v>31</v>
      </c>
      <c r="V9438" s="2" t="s">
        <v>6811</v>
      </c>
      <c r="W9438" s="2" t="s">
        <v>58344</v>
      </c>
      <c r="X9438" s="5" t="str">
        <f>HYPERLINK("https://my.pitchbook.com?p=147605-86P","View People Online")</f>
        <v>View People Online</v>
      </c>
    </row>
    <row r="9439">
      <c r="A9439" s="6" t="s">
        <v>58345</v>
      </c>
      <c r="B9439" s="6" t="s">
        <v>58346</v>
      </c>
      <c r="C9439" s="6" t="s">
        <v>173</v>
      </c>
      <c r="D9439" s="6" t="s">
        <v>58347</v>
      </c>
      <c r="E9439" s="6" t="s">
        <v>58139</v>
      </c>
      <c r="F9439" s="6" t="s">
        <v>120</v>
      </c>
      <c r="G9439" s="6" t="s">
        <v>58348</v>
      </c>
      <c r="H9439" s="7">
        <v>2.0</v>
      </c>
      <c r="I9439" s="7">
        <v>12.0</v>
      </c>
      <c r="J9439" s="7">
        <v>1.0</v>
      </c>
      <c r="K9439" s="7">
        <v>6.0</v>
      </c>
      <c r="L9439" s="8" t="s">
        <v>58141</v>
      </c>
      <c r="M9439" s="6" t="s">
        <v>58349</v>
      </c>
      <c r="N9439" s="6" t="s">
        <v>243</v>
      </c>
      <c r="O9439" s="8" t="s">
        <v>244</v>
      </c>
      <c r="P9439" s="6" t="s">
        <v>58143</v>
      </c>
      <c r="Q9439" s="6" t="s">
        <v>31</v>
      </c>
      <c r="R9439" s="6" t="s">
        <v>247</v>
      </c>
      <c r="S9439" s="8" t="s">
        <v>58144</v>
      </c>
      <c r="T9439" s="6" t="s">
        <v>249</v>
      </c>
      <c r="U9439" s="8" t="s">
        <v>31</v>
      </c>
      <c r="V9439" s="6" t="s">
        <v>120</v>
      </c>
      <c r="W9439" s="6" t="s">
        <v>58139</v>
      </c>
      <c r="X9439" s="9" t="str">
        <f>HYPERLINK("https://my.pitchbook.com?p=212323-69P","View People Online")</f>
        <v>View People Online</v>
      </c>
    </row>
    <row r="9440">
      <c r="A9440" s="2" t="s">
        <v>58350</v>
      </c>
      <c r="B9440" s="2" t="s">
        <v>58351</v>
      </c>
      <c r="C9440" s="2" t="s">
        <v>536</v>
      </c>
      <c r="D9440" s="2" t="s">
        <v>18045</v>
      </c>
      <c r="E9440" s="2" t="s">
        <v>58139</v>
      </c>
      <c r="F9440" s="2" t="s">
        <v>29</v>
      </c>
      <c r="G9440" s="2" t="s">
        <v>58352</v>
      </c>
      <c r="H9440" s="3">
        <v>4.0</v>
      </c>
      <c r="I9440" s="3">
        <v>9.0</v>
      </c>
      <c r="J9440" s="3">
        <v>1.0</v>
      </c>
      <c r="K9440" s="3">
        <v>3.0</v>
      </c>
      <c r="L9440" s="4" t="s">
        <v>31</v>
      </c>
      <c r="M9440" s="2" t="s">
        <v>58353</v>
      </c>
      <c r="N9440" s="2" t="s">
        <v>75</v>
      </c>
      <c r="O9440" s="4" t="s">
        <v>76</v>
      </c>
      <c r="P9440" s="2" t="s">
        <v>2617</v>
      </c>
      <c r="Q9440" s="2" t="s">
        <v>23552</v>
      </c>
      <c r="R9440" s="2" t="s">
        <v>75</v>
      </c>
      <c r="S9440" s="4" t="s">
        <v>1432</v>
      </c>
      <c r="T9440" s="2" t="s">
        <v>66</v>
      </c>
      <c r="U9440" s="4" t="s">
        <v>31</v>
      </c>
      <c r="V9440" s="2" t="s">
        <v>58168</v>
      </c>
      <c r="W9440" s="2" t="s">
        <v>58139</v>
      </c>
      <c r="X9440" s="5" t="str">
        <f>HYPERLINK("https://my.pitchbook.com?p=208998-37P","View People Online")</f>
        <v>View People Online</v>
      </c>
    </row>
    <row r="9441">
      <c r="A9441" s="6" t="s">
        <v>58354</v>
      </c>
      <c r="B9441" s="6" t="s">
        <v>58355</v>
      </c>
      <c r="C9441" s="6" t="s">
        <v>12257</v>
      </c>
      <c r="D9441" s="6" t="s">
        <v>21711</v>
      </c>
      <c r="E9441" s="6" t="s">
        <v>58139</v>
      </c>
      <c r="F9441" s="6" t="s">
        <v>2731</v>
      </c>
      <c r="G9441" s="6" t="s">
        <v>58356</v>
      </c>
      <c r="H9441" s="7">
        <v>3.0</v>
      </c>
      <c r="I9441" s="7">
        <v>41.0</v>
      </c>
      <c r="J9441" s="7">
        <v>1.0</v>
      </c>
      <c r="K9441" s="7">
        <v>29.0</v>
      </c>
      <c r="L9441" s="8" t="s">
        <v>58148</v>
      </c>
      <c r="M9441" s="6" t="s">
        <v>31</v>
      </c>
      <c r="N9441" s="6" t="s">
        <v>1005</v>
      </c>
      <c r="O9441" s="8" t="s">
        <v>1006</v>
      </c>
      <c r="P9441" s="6" t="s">
        <v>58150</v>
      </c>
      <c r="Q9441" s="6" t="s">
        <v>58151</v>
      </c>
      <c r="R9441" s="6" t="s">
        <v>31</v>
      </c>
      <c r="S9441" s="8" t="s">
        <v>58152</v>
      </c>
      <c r="T9441" s="6" t="s">
        <v>1010</v>
      </c>
      <c r="U9441" s="8" t="s">
        <v>31</v>
      </c>
      <c r="V9441" s="6" t="s">
        <v>2379</v>
      </c>
      <c r="W9441" s="6" t="s">
        <v>58357</v>
      </c>
      <c r="X9441" s="9" t="str">
        <f>HYPERLINK("https://my.pitchbook.com?p=13989-70P","View People Online")</f>
        <v>View People Online</v>
      </c>
    </row>
    <row r="9442">
      <c r="A9442" s="2" t="s">
        <v>58358</v>
      </c>
      <c r="B9442" s="2" t="s">
        <v>58359</v>
      </c>
      <c r="C9442" s="2" t="s">
        <v>4015</v>
      </c>
      <c r="D9442" s="2" t="s">
        <v>823</v>
      </c>
      <c r="E9442" s="2" t="s">
        <v>58139</v>
      </c>
      <c r="F9442" s="2" t="s">
        <v>548</v>
      </c>
      <c r="G9442" s="2" t="s">
        <v>58360</v>
      </c>
      <c r="H9442" s="3" t="s">
        <v>31</v>
      </c>
      <c r="I9442" s="3">
        <v>1.0</v>
      </c>
      <c r="J9442" s="3">
        <v>1.0</v>
      </c>
      <c r="K9442" s="3" t="s">
        <v>31</v>
      </c>
      <c r="L9442" s="4" t="s">
        <v>58165</v>
      </c>
      <c r="M9442" s="2" t="s">
        <v>58361</v>
      </c>
      <c r="N9442" s="2" t="s">
        <v>1292</v>
      </c>
      <c r="O9442" s="4" t="s">
        <v>1293</v>
      </c>
      <c r="P9442" s="2" t="s">
        <v>58167</v>
      </c>
      <c r="Q9442" s="2" t="s">
        <v>31</v>
      </c>
      <c r="R9442" s="2" t="s">
        <v>64</v>
      </c>
      <c r="S9442" s="4" t="s">
        <v>1296</v>
      </c>
      <c r="T9442" s="2" t="s">
        <v>66</v>
      </c>
      <c r="U9442" s="4" t="s">
        <v>31</v>
      </c>
      <c r="V9442" s="2" t="s">
        <v>58362</v>
      </c>
      <c r="W9442" s="2" t="s">
        <v>58139</v>
      </c>
      <c r="X9442" s="5" t="str">
        <f>HYPERLINK("https://my.pitchbook.com?p=121046-05P","View People Online")</f>
        <v>View People Online</v>
      </c>
    </row>
    <row r="9443">
      <c r="A9443" s="6" t="s">
        <v>58363</v>
      </c>
      <c r="B9443" s="6" t="s">
        <v>58364</v>
      </c>
      <c r="C9443" s="6" t="s">
        <v>4015</v>
      </c>
      <c r="D9443" s="6" t="s">
        <v>4465</v>
      </c>
      <c r="E9443" s="6" t="s">
        <v>58139</v>
      </c>
      <c r="F9443" s="6" t="s">
        <v>548</v>
      </c>
      <c r="G9443" s="6" t="s">
        <v>58365</v>
      </c>
      <c r="H9443" s="7" t="s">
        <v>31</v>
      </c>
      <c r="I9443" s="7">
        <v>1.0</v>
      </c>
      <c r="J9443" s="7">
        <v>1.0</v>
      </c>
      <c r="K9443" s="7" t="s">
        <v>31</v>
      </c>
      <c r="L9443" s="8" t="s">
        <v>58366</v>
      </c>
      <c r="M9443" s="6" t="s">
        <v>58367</v>
      </c>
      <c r="N9443" s="6" t="s">
        <v>1292</v>
      </c>
      <c r="O9443" s="8" t="s">
        <v>1293</v>
      </c>
      <c r="P9443" s="6" t="s">
        <v>58167</v>
      </c>
      <c r="Q9443" s="6" t="s">
        <v>31</v>
      </c>
      <c r="R9443" s="6" t="s">
        <v>64</v>
      </c>
      <c r="S9443" s="8" t="s">
        <v>1296</v>
      </c>
      <c r="T9443" s="6" t="s">
        <v>66</v>
      </c>
      <c r="U9443" s="8" t="s">
        <v>31</v>
      </c>
      <c r="V9443" s="6" t="s">
        <v>548</v>
      </c>
      <c r="W9443" s="6" t="s">
        <v>58139</v>
      </c>
      <c r="X9443" s="9" t="str">
        <f>HYPERLINK("https://my.pitchbook.com?p=197401-42P","View People Online")</f>
        <v>View People Online</v>
      </c>
    </row>
    <row r="9444">
      <c r="A9444" s="10" t="s">
        <v>58368</v>
      </c>
      <c r="B9444" s="10" t="s">
        <v>58369</v>
      </c>
      <c r="C9444" s="10" t="s">
        <v>21487</v>
      </c>
      <c r="D9444" s="10" t="s">
        <v>58370</v>
      </c>
      <c r="E9444" s="10" t="s">
        <v>58139</v>
      </c>
      <c r="F9444" s="10" t="s">
        <v>2731</v>
      </c>
      <c r="G9444" s="10" t="s">
        <v>58371</v>
      </c>
      <c r="H9444" s="11">
        <v>1.0</v>
      </c>
      <c r="I9444" s="11">
        <v>5.0</v>
      </c>
      <c r="J9444" s="11">
        <v>2.0</v>
      </c>
      <c r="K9444" s="11" t="s">
        <v>31</v>
      </c>
      <c r="L9444" s="12" t="s">
        <v>58372</v>
      </c>
      <c r="M9444" s="10" t="s">
        <v>58373</v>
      </c>
      <c r="N9444" s="10" t="s">
        <v>601</v>
      </c>
      <c r="O9444" s="12" t="s">
        <v>602</v>
      </c>
      <c r="P9444" s="10" t="s">
        <v>58215</v>
      </c>
      <c r="Q9444" s="10" t="s">
        <v>58216</v>
      </c>
      <c r="R9444" s="10" t="s">
        <v>31</v>
      </c>
      <c r="S9444" s="12" t="s">
        <v>31</v>
      </c>
      <c r="T9444" s="10" t="s">
        <v>603</v>
      </c>
      <c r="U9444" s="12" t="s">
        <v>58217</v>
      </c>
      <c r="V9444" s="10" t="s">
        <v>58374</v>
      </c>
      <c r="W9444" s="10" t="s">
        <v>58219</v>
      </c>
      <c r="X9444" s="13" t="str">
        <f>HYPERLINK("https://my.pitchbook.com?p=203999-77P","View People Online")</f>
        <v>View People Online</v>
      </c>
    </row>
    <row r="9445">
      <c r="A9445" s="6" t="s">
        <v>58375</v>
      </c>
      <c r="B9445" s="6" t="s">
        <v>58376</v>
      </c>
      <c r="C9445" s="6" t="s">
        <v>42134</v>
      </c>
      <c r="D9445" s="6" t="s">
        <v>20388</v>
      </c>
      <c r="E9445" s="6" t="s">
        <v>58139</v>
      </c>
      <c r="F9445" s="6" t="s">
        <v>29</v>
      </c>
      <c r="G9445" s="6" t="s">
        <v>58377</v>
      </c>
      <c r="H9445" s="7">
        <v>3.0</v>
      </c>
      <c r="I9445" s="7">
        <v>12.0</v>
      </c>
      <c r="J9445" s="7">
        <v>1.0</v>
      </c>
      <c r="K9445" s="7">
        <v>6.0</v>
      </c>
      <c r="L9445" s="8" t="s">
        <v>31</v>
      </c>
      <c r="M9445" s="6" t="s">
        <v>58378</v>
      </c>
      <c r="N9445" s="6" t="s">
        <v>1203</v>
      </c>
      <c r="O9445" s="8" t="s">
        <v>1204</v>
      </c>
      <c r="P9445" s="6" t="s">
        <v>58379</v>
      </c>
      <c r="Q9445" s="6" t="s">
        <v>58380</v>
      </c>
      <c r="R9445" s="6" t="s">
        <v>1207</v>
      </c>
      <c r="S9445" s="8" t="s">
        <v>38465</v>
      </c>
      <c r="T9445" s="6" t="s">
        <v>1209</v>
      </c>
      <c r="U9445" s="8" t="s">
        <v>31</v>
      </c>
      <c r="V9445" s="6" t="s">
        <v>58193</v>
      </c>
      <c r="W9445" s="6" t="s">
        <v>58139</v>
      </c>
      <c r="X9445" s="9" t="str">
        <f>HYPERLINK("https://my.pitchbook.com?p=236849-59P","View People Online")</f>
        <v>View People Online</v>
      </c>
    </row>
    <row r="9446">
      <c r="A9446" s="2" t="s">
        <v>58381</v>
      </c>
      <c r="B9446" s="2" t="s">
        <v>58382</v>
      </c>
      <c r="C9446" s="2" t="s">
        <v>5271</v>
      </c>
      <c r="D9446" s="2" t="s">
        <v>58383</v>
      </c>
      <c r="E9446" s="2" t="s">
        <v>58139</v>
      </c>
      <c r="F9446" s="2" t="s">
        <v>29</v>
      </c>
      <c r="G9446" s="2" t="s">
        <v>58384</v>
      </c>
      <c r="H9446" s="3">
        <v>3.0</v>
      </c>
      <c r="I9446" s="3">
        <v>10.0</v>
      </c>
      <c r="J9446" s="3">
        <v>1.0</v>
      </c>
      <c r="K9446" s="3">
        <v>4.0</v>
      </c>
      <c r="L9446" s="4" t="s">
        <v>58165</v>
      </c>
      <c r="M9446" s="2" t="s">
        <v>31</v>
      </c>
      <c r="N9446" s="2" t="s">
        <v>1292</v>
      </c>
      <c r="O9446" s="4" t="s">
        <v>1293</v>
      </c>
      <c r="P9446" s="2" t="s">
        <v>58167</v>
      </c>
      <c r="Q9446" s="2" t="s">
        <v>31</v>
      </c>
      <c r="R9446" s="2" t="s">
        <v>64</v>
      </c>
      <c r="S9446" s="4" t="s">
        <v>1296</v>
      </c>
      <c r="T9446" s="2" t="s">
        <v>66</v>
      </c>
      <c r="U9446" s="4" t="s">
        <v>31</v>
      </c>
      <c r="V9446" s="2" t="s">
        <v>58168</v>
      </c>
      <c r="W9446" s="2" t="s">
        <v>58139</v>
      </c>
      <c r="X9446" s="5" t="str">
        <f>HYPERLINK("https://my.pitchbook.com?p=253842-31P","View People Online")</f>
        <v>View People Online</v>
      </c>
    </row>
    <row r="9447">
      <c r="A9447" s="6" t="s">
        <v>58385</v>
      </c>
      <c r="B9447" s="6" t="s">
        <v>58386</v>
      </c>
      <c r="C9447" s="6" t="s">
        <v>58387</v>
      </c>
      <c r="D9447" s="6" t="s">
        <v>3775</v>
      </c>
      <c r="E9447" s="6" t="s">
        <v>58139</v>
      </c>
      <c r="F9447" s="6" t="s">
        <v>29</v>
      </c>
      <c r="G9447" s="6" t="s">
        <v>58388</v>
      </c>
      <c r="H9447" s="7">
        <v>1.0</v>
      </c>
      <c r="I9447" s="7">
        <v>3.0</v>
      </c>
      <c r="J9447" s="7">
        <v>1.0</v>
      </c>
      <c r="K9447" s="7">
        <v>1.0</v>
      </c>
      <c r="L9447" s="8" t="s">
        <v>31</v>
      </c>
      <c r="M9447" s="6" t="s">
        <v>58389</v>
      </c>
      <c r="N9447" s="6" t="s">
        <v>3334</v>
      </c>
      <c r="O9447" s="8" t="s">
        <v>3335</v>
      </c>
      <c r="P9447" s="6" t="s">
        <v>58178</v>
      </c>
      <c r="Q9447" s="6" t="s">
        <v>58179</v>
      </c>
      <c r="R9447" s="6" t="s">
        <v>31</v>
      </c>
      <c r="S9447" s="8" t="s">
        <v>42276</v>
      </c>
      <c r="T9447" s="6" t="s">
        <v>3339</v>
      </c>
      <c r="U9447" s="8" t="s">
        <v>31</v>
      </c>
      <c r="V9447" s="6" t="s">
        <v>58193</v>
      </c>
      <c r="W9447" s="6" t="s">
        <v>58139</v>
      </c>
      <c r="X9447" s="9" t="str">
        <f>HYPERLINK("https://my.pitchbook.com?p=301264-21P","View People Online")</f>
        <v>View People Online</v>
      </c>
    </row>
    <row r="9448">
      <c r="A9448" s="2" t="s">
        <v>58390</v>
      </c>
      <c r="B9448" s="2" t="s">
        <v>58391</v>
      </c>
      <c r="C9448" s="2" t="s">
        <v>58392</v>
      </c>
      <c r="D9448" s="2" t="s">
        <v>58393</v>
      </c>
      <c r="E9448" s="2" t="s">
        <v>58139</v>
      </c>
      <c r="F9448" s="2" t="s">
        <v>29</v>
      </c>
      <c r="G9448" s="2" t="s">
        <v>58394</v>
      </c>
      <c r="H9448" s="3" t="s">
        <v>31</v>
      </c>
      <c r="I9448" s="3">
        <v>1.0</v>
      </c>
      <c r="J9448" s="3">
        <v>1.0</v>
      </c>
      <c r="K9448" s="3" t="s">
        <v>31</v>
      </c>
      <c r="L9448" s="4" t="s">
        <v>58141</v>
      </c>
      <c r="M9448" s="2" t="s">
        <v>58395</v>
      </c>
      <c r="N9448" s="2" t="s">
        <v>243</v>
      </c>
      <c r="O9448" s="4" t="s">
        <v>244</v>
      </c>
      <c r="P9448" s="2" t="s">
        <v>58143</v>
      </c>
      <c r="Q9448" s="2" t="s">
        <v>31</v>
      </c>
      <c r="R9448" s="2" t="s">
        <v>247</v>
      </c>
      <c r="S9448" s="4" t="s">
        <v>58144</v>
      </c>
      <c r="T9448" s="2" t="s">
        <v>249</v>
      </c>
      <c r="U9448" s="4" t="s">
        <v>31</v>
      </c>
      <c r="V9448" s="2" t="s">
        <v>58235</v>
      </c>
      <c r="W9448" s="2" t="s">
        <v>58139</v>
      </c>
      <c r="X9448" s="5" t="str">
        <f>HYPERLINK("https://my.pitchbook.com?p=301265-29P","View People Online")</f>
        <v>View People Online</v>
      </c>
    </row>
    <row r="9449">
      <c r="A9449" s="6" t="s">
        <v>58396</v>
      </c>
      <c r="B9449" s="6" t="s">
        <v>58397</v>
      </c>
      <c r="C9449" s="6" t="s">
        <v>4656</v>
      </c>
      <c r="D9449" s="6" t="s">
        <v>58398</v>
      </c>
      <c r="E9449" s="6" t="s">
        <v>58139</v>
      </c>
      <c r="F9449" s="6" t="s">
        <v>1134</v>
      </c>
      <c r="G9449" s="6" t="s">
        <v>58399</v>
      </c>
      <c r="H9449" s="7" t="s">
        <v>31</v>
      </c>
      <c r="I9449" s="7">
        <v>1.0</v>
      </c>
      <c r="J9449" s="7">
        <v>1.0</v>
      </c>
      <c r="K9449" s="7" t="s">
        <v>31</v>
      </c>
      <c r="L9449" s="8" t="s">
        <v>58141</v>
      </c>
      <c r="M9449" s="6" t="s">
        <v>58400</v>
      </c>
      <c r="N9449" s="6" t="s">
        <v>243</v>
      </c>
      <c r="O9449" s="8" t="s">
        <v>244</v>
      </c>
      <c r="P9449" s="6" t="s">
        <v>58143</v>
      </c>
      <c r="Q9449" s="6" t="s">
        <v>31</v>
      </c>
      <c r="R9449" s="6" t="s">
        <v>247</v>
      </c>
      <c r="S9449" s="8" t="s">
        <v>58144</v>
      </c>
      <c r="T9449" s="6" t="s">
        <v>249</v>
      </c>
      <c r="U9449" s="8" t="s">
        <v>31</v>
      </c>
      <c r="V9449" s="6" t="s">
        <v>58401</v>
      </c>
      <c r="W9449" s="6" t="s">
        <v>58139</v>
      </c>
      <c r="X9449" s="9" t="str">
        <f>HYPERLINK("https://my.pitchbook.com?p=203999-95P","View People Online")</f>
        <v>View People Online</v>
      </c>
    </row>
    <row r="9450">
      <c r="A9450" s="2" t="s">
        <v>58402</v>
      </c>
      <c r="B9450" s="2" t="s">
        <v>58403</v>
      </c>
      <c r="C9450" s="2" t="s">
        <v>8268</v>
      </c>
      <c r="D9450" s="2" t="s">
        <v>58404</v>
      </c>
      <c r="E9450" s="2" t="s">
        <v>58139</v>
      </c>
      <c r="F9450" s="2" t="s">
        <v>548</v>
      </c>
      <c r="G9450" s="2" t="s">
        <v>58405</v>
      </c>
      <c r="H9450" s="3">
        <v>1.0</v>
      </c>
      <c r="I9450" s="3">
        <v>3.0</v>
      </c>
      <c r="J9450" s="3">
        <v>1.0</v>
      </c>
      <c r="K9450" s="3">
        <v>1.0</v>
      </c>
      <c r="L9450" s="4" t="s">
        <v>58141</v>
      </c>
      <c r="M9450" s="2" t="s">
        <v>58406</v>
      </c>
      <c r="N9450" s="2" t="s">
        <v>243</v>
      </c>
      <c r="O9450" s="4" t="s">
        <v>244</v>
      </c>
      <c r="P9450" s="2" t="s">
        <v>58143</v>
      </c>
      <c r="Q9450" s="2" t="s">
        <v>31</v>
      </c>
      <c r="R9450" s="2" t="s">
        <v>247</v>
      </c>
      <c r="S9450" s="4" t="s">
        <v>58144</v>
      </c>
      <c r="T9450" s="2" t="s">
        <v>249</v>
      </c>
      <c r="U9450" s="4" t="s">
        <v>31</v>
      </c>
      <c r="V9450" s="2" t="s">
        <v>548</v>
      </c>
      <c r="W9450" s="2" t="s">
        <v>58139</v>
      </c>
      <c r="X9450" s="5" t="str">
        <f>HYPERLINK("https://my.pitchbook.com?p=188584-66P","View People Online")</f>
        <v>View People Online</v>
      </c>
    </row>
    <row r="9451">
      <c r="A9451" s="6" t="s">
        <v>58407</v>
      </c>
      <c r="B9451" s="6" t="s">
        <v>58408</v>
      </c>
      <c r="C9451" s="6" t="s">
        <v>58409</v>
      </c>
      <c r="D9451" s="6" t="s">
        <v>58410</v>
      </c>
      <c r="E9451" s="6" t="s">
        <v>58139</v>
      </c>
      <c r="F9451" s="6" t="s">
        <v>3288</v>
      </c>
      <c r="G9451" s="6" t="s">
        <v>58411</v>
      </c>
      <c r="H9451" s="7">
        <v>8.0</v>
      </c>
      <c r="I9451" s="7">
        <v>40.0</v>
      </c>
      <c r="J9451" s="7">
        <v>1.0</v>
      </c>
      <c r="K9451" s="7">
        <v>23.0</v>
      </c>
      <c r="L9451" s="8" t="s">
        <v>31</v>
      </c>
      <c r="M9451" s="6" t="s">
        <v>58412</v>
      </c>
      <c r="N9451" s="6" t="s">
        <v>1203</v>
      </c>
      <c r="O9451" s="8" t="s">
        <v>1204</v>
      </c>
      <c r="P9451" s="6" t="s">
        <v>58379</v>
      </c>
      <c r="Q9451" s="6" t="s">
        <v>58380</v>
      </c>
      <c r="R9451" s="6" t="s">
        <v>1207</v>
      </c>
      <c r="S9451" s="8" t="s">
        <v>38465</v>
      </c>
      <c r="T9451" s="6" t="s">
        <v>1209</v>
      </c>
      <c r="U9451" s="8" t="s">
        <v>31</v>
      </c>
      <c r="V9451" s="6" t="s">
        <v>58413</v>
      </c>
      <c r="W9451" s="6" t="s">
        <v>58139</v>
      </c>
      <c r="X9451" s="9" t="str">
        <f>HYPERLINK("https://my.pitchbook.com?p=38235-07P","View People Online")</f>
        <v>View People Online</v>
      </c>
    </row>
    <row r="9452">
      <c r="A9452" s="2" t="s">
        <v>58414</v>
      </c>
      <c r="B9452" s="2" t="s">
        <v>58415</v>
      </c>
      <c r="C9452" s="2" t="s">
        <v>58416</v>
      </c>
      <c r="D9452" s="2" t="s">
        <v>58417</v>
      </c>
      <c r="E9452" s="2" t="s">
        <v>58139</v>
      </c>
      <c r="F9452" s="2" t="s">
        <v>371</v>
      </c>
      <c r="G9452" s="2" t="s">
        <v>58418</v>
      </c>
      <c r="H9452" s="3" t="s">
        <v>31</v>
      </c>
      <c r="I9452" s="3">
        <v>1.0</v>
      </c>
      <c r="J9452" s="3">
        <v>1.0</v>
      </c>
      <c r="K9452" s="3" t="s">
        <v>31</v>
      </c>
      <c r="L9452" s="4" t="s">
        <v>58141</v>
      </c>
      <c r="M9452" s="2" t="s">
        <v>58419</v>
      </c>
      <c r="N9452" s="2" t="s">
        <v>243</v>
      </c>
      <c r="O9452" s="4" t="s">
        <v>244</v>
      </c>
      <c r="P9452" s="2" t="s">
        <v>58143</v>
      </c>
      <c r="Q9452" s="2" t="s">
        <v>31</v>
      </c>
      <c r="R9452" s="2" t="s">
        <v>247</v>
      </c>
      <c r="S9452" s="4" t="s">
        <v>58144</v>
      </c>
      <c r="T9452" s="2" t="s">
        <v>249</v>
      </c>
      <c r="U9452" s="4" t="s">
        <v>31</v>
      </c>
      <c r="V9452" s="2" t="s">
        <v>371</v>
      </c>
      <c r="W9452" s="2" t="s">
        <v>58139</v>
      </c>
      <c r="X9452" s="5" t="str">
        <f>HYPERLINK("https://my.pitchbook.com?p=366817-51P","View People Online")</f>
        <v>View People Online</v>
      </c>
    </row>
    <row r="9453">
      <c r="A9453" s="6" t="s">
        <v>58420</v>
      </c>
      <c r="B9453" s="6" t="s">
        <v>58421</v>
      </c>
      <c r="C9453" s="6" t="s">
        <v>2483</v>
      </c>
      <c r="D9453" s="6" t="s">
        <v>2582</v>
      </c>
      <c r="E9453" s="6" t="s">
        <v>58139</v>
      </c>
      <c r="F9453" s="6" t="s">
        <v>548</v>
      </c>
      <c r="G9453" s="6" t="s">
        <v>58422</v>
      </c>
      <c r="H9453" s="7" t="s">
        <v>31</v>
      </c>
      <c r="I9453" s="7">
        <v>1.0</v>
      </c>
      <c r="J9453" s="7">
        <v>1.0</v>
      </c>
      <c r="K9453" s="7" t="s">
        <v>31</v>
      </c>
      <c r="L9453" s="8" t="s">
        <v>58141</v>
      </c>
      <c r="M9453" s="6" t="s">
        <v>58423</v>
      </c>
      <c r="N9453" s="6" t="s">
        <v>243</v>
      </c>
      <c r="O9453" s="8" t="s">
        <v>244</v>
      </c>
      <c r="P9453" s="6" t="s">
        <v>58143</v>
      </c>
      <c r="Q9453" s="6" t="s">
        <v>31</v>
      </c>
      <c r="R9453" s="6" t="s">
        <v>247</v>
      </c>
      <c r="S9453" s="8" t="s">
        <v>58144</v>
      </c>
      <c r="T9453" s="6" t="s">
        <v>249</v>
      </c>
      <c r="U9453" s="8" t="s">
        <v>31</v>
      </c>
      <c r="V9453" s="6" t="s">
        <v>58260</v>
      </c>
      <c r="W9453" s="6" t="s">
        <v>58139</v>
      </c>
      <c r="X9453" s="9" t="str">
        <f>HYPERLINK("https://my.pitchbook.com?p=418893-76P","View People Online")</f>
        <v>View People Online</v>
      </c>
    </row>
    <row r="9454">
      <c r="A9454" s="10" t="s">
        <v>58424</v>
      </c>
      <c r="B9454" s="10" t="s">
        <v>58425</v>
      </c>
      <c r="C9454" s="10" t="s">
        <v>22901</v>
      </c>
      <c r="D9454" s="10" t="s">
        <v>389</v>
      </c>
      <c r="E9454" s="10" t="s">
        <v>58139</v>
      </c>
      <c r="F9454" s="10" t="s">
        <v>57</v>
      </c>
      <c r="G9454" s="10" t="s">
        <v>58426</v>
      </c>
      <c r="H9454" s="11">
        <v>7.0</v>
      </c>
      <c r="I9454" s="11">
        <v>21.0</v>
      </c>
      <c r="J9454" s="11">
        <v>1.0</v>
      </c>
      <c r="K9454" s="11">
        <v>9.0</v>
      </c>
      <c r="L9454" s="12" t="s">
        <v>58165</v>
      </c>
      <c r="M9454" s="10" t="s">
        <v>58427</v>
      </c>
      <c r="N9454" s="10" t="s">
        <v>1292</v>
      </c>
      <c r="O9454" s="12" t="s">
        <v>1293</v>
      </c>
      <c r="P9454" s="10" t="s">
        <v>58167</v>
      </c>
      <c r="Q9454" s="10" t="s">
        <v>31</v>
      </c>
      <c r="R9454" s="10" t="s">
        <v>64</v>
      </c>
      <c r="S9454" s="12" t="s">
        <v>1296</v>
      </c>
      <c r="T9454" s="10" t="s">
        <v>66</v>
      </c>
      <c r="U9454" s="12" t="s">
        <v>31</v>
      </c>
      <c r="V9454" s="10" t="s">
        <v>58186</v>
      </c>
      <c r="W9454" s="10" t="s">
        <v>58139</v>
      </c>
      <c r="X9454" s="13" t="str">
        <f>HYPERLINK("https://my.pitchbook.com?p=204001-21P","View People Online")</f>
        <v>View People Online</v>
      </c>
    </row>
    <row r="9455">
      <c r="A9455" s="14" t="s">
        <v>58428</v>
      </c>
      <c r="B9455" s="14" t="s">
        <v>58429</v>
      </c>
      <c r="C9455" s="14" t="s">
        <v>58430</v>
      </c>
      <c r="D9455" s="14" t="s">
        <v>784</v>
      </c>
      <c r="E9455" s="14" t="s">
        <v>58139</v>
      </c>
      <c r="F9455" s="14" t="s">
        <v>548</v>
      </c>
      <c r="G9455" s="14" t="s">
        <v>58431</v>
      </c>
      <c r="H9455" s="15" t="s">
        <v>31</v>
      </c>
      <c r="I9455" s="15">
        <v>1.0</v>
      </c>
      <c r="J9455" s="15">
        <v>1.0</v>
      </c>
      <c r="K9455" s="15" t="s">
        <v>31</v>
      </c>
      <c r="L9455" s="16" t="s">
        <v>31</v>
      </c>
      <c r="M9455" s="14" t="s">
        <v>58432</v>
      </c>
      <c r="N9455" s="14" t="s">
        <v>1034</v>
      </c>
      <c r="O9455" s="16" t="s">
        <v>1035</v>
      </c>
      <c r="P9455" s="14" t="s">
        <v>58198</v>
      </c>
      <c r="Q9455" s="14" t="s">
        <v>58199</v>
      </c>
      <c r="R9455" s="14" t="s">
        <v>31</v>
      </c>
      <c r="S9455" s="16" t="s">
        <v>44201</v>
      </c>
      <c r="T9455" s="14" t="s">
        <v>1034</v>
      </c>
      <c r="U9455" s="16" t="s">
        <v>31</v>
      </c>
      <c r="V9455" s="14" t="s">
        <v>58433</v>
      </c>
      <c r="W9455" s="14" t="s">
        <v>58139</v>
      </c>
      <c r="X9455" s="17" t="str">
        <f>HYPERLINK("https://my.pitchbook.com?p=441718-30P","View People Online")</f>
        <v>View People Online</v>
      </c>
    </row>
    <row r="9456">
      <c r="A9456" s="10" t="s">
        <v>58434</v>
      </c>
      <c r="B9456" s="10" t="s">
        <v>58435</v>
      </c>
      <c r="C9456" s="10" t="s">
        <v>49846</v>
      </c>
      <c r="D9456" s="10" t="s">
        <v>58436</v>
      </c>
      <c r="E9456" s="10" t="s">
        <v>58139</v>
      </c>
      <c r="F9456" s="10" t="s">
        <v>3966</v>
      </c>
      <c r="G9456" s="10" t="s">
        <v>58437</v>
      </c>
      <c r="H9456" s="11" t="s">
        <v>31</v>
      </c>
      <c r="I9456" s="11">
        <v>1.0</v>
      </c>
      <c r="J9456" s="11">
        <v>1.0</v>
      </c>
      <c r="K9456" s="11" t="s">
        <v>31</v>
      </c>
      <c r="L9456" s="12" t="s">
        <v>58141</v>
      </c>
      <c r="M9456" s="10" t="s">
        <v>58438</v>
      </c>
      <c r="N9456" s="10" t="s">
        <v>243</v>
      </c>
      <c r="O9456" s="12" t="s">
        <v>244</v>
      </c>
      <c r="P9456" s="10" t="s">
        <v>58143</v>
      </c>
      <c r="Q9456" s="10" t="s">
        <v>31</v>
      </c>
      <c r="R9456" s="10" t="s">
        <v>247</v>
      </c>
      <c r="S9456" s="12" t="s">
        <v>58144</v>
      </c>
      <c r="T9456" s="10" t="s">
        <v>249</v>
      </c>
      <c r="U9456" s="12" t="s">
        <v>31</v>
      </c>
      <c r="V9456" s="10" t="s">
        <v>3969</v>
      </c>
      <c r="W9456" s="10" t="s">
        <v>58139</v>
      </c>
      <c r="X9456" s="13" t="str">
        <f>HYPERLINK("https://my.pitchbook.com?p=349047-73P","View People Online")</f>
        <v>View People Online</v>
      </c>
    </row>
    <row r="9457">
      <c r="A9457" s="14" t="s">
        <v>58439</v>
      </c>
      <c r="B9457" s="14" t="s">
        <v>58440</v>
      </c>
      <c r="C9457" s="14" t="s">
        <v>58441</v>
      </c>
      <c r="D9457" s="14" t="s">
        <v>58442</v>
      </c>
      <c r="E9457" s="14" t="s">
        <v>58139</v>
      </c>
      <c r="F9457" s="14" t="s">
        <v>1134</v>
      </c>
      <c r="G9457" s="14" t="s">
        <v>58443</v>
      </c>
      <c r="H9457" s="15" t="s">
        <v>31</v>
      </c>
      <c r="I9457" s="15">
        <v>1.0</v>
      </c>
      <c r="J9457" s="15">
        <v>1.0</v>
      </c>
      <c r="K9457" s="15" t="s">
        <v>31</v>
      </c>
      <c r="L9457" s="16" t="s">
        <v>31</v>
      </c>
      <c r="M9457" s="14" t="s">
        <v>58444</v>
      </c>
      <c r="N9457" s="14" t="s">
        <v>637</v>
      </c>
      <c r="O9457" s="16" t="s">
        <v>638</v>
      </c>
      <c r="P9457" s="14" t="s">
        <v>58445</v>
      </c>
      <c r="Q9457" s="14" t="s">
        <v>58446</v>
      </c>
      <c r="R9457" s="14" t="s">
        <v>31</v>
      </c>
      <c r="S9457" s="16" t="s">
        <v>31</v>
      </c>
      <c r="T9457" s="14" t="s">
        <v>639</v>
      </c>
      <c r="U9457" s="16" t="s">
        <v>31</v>
      </c>
      <c r="V9457" s="14" t="s">
        <v>58447</v>
      </c>
      <c r="W9457" s="14" t="s">
        <v>58139</v>
      </c>
      <c r="X9457" s="17" t="str">
        <f>HYPERLINK("https://my.pitchbook.com?p=234235-00P","View People Online")</f>
        <v>View People Online</v>
      </c>
    </row>
    <row r="9458">
      <c r="A9458" s="10" t="s">
        <v>58448</v>
      </c>
      <c r="B9458" s="10" t="s">
        <v>58449</v>
      </c>
      <c r="C9458" s="10" t="s">
        <v>13523</v>
      </c>
      <c r="D9458" s="10" t="s">
        <v>58450</v>
      </c>
      <c r="E9458" s="10" t="s">
        <v>58451</v>
      </c>
      <c r="F9458" s="10" t="s">
        <v>270</v>
      </c>
      <c r="G9458" s="10" t="s">
        <v>58452</v>
      </c>
      <c r="H9458" s="11" t="s">
        <v>31</v>
      </c>
      <c r="I9458" s="11">
        <v>1.0</v>
      </c>
      <c r="J9458" s="11">
        <v>1.0</v>
      </c>
      <c r="K9458" s="11" t="s">
        <v>31</v>
      </c>
      <c r="L9458" s="12" t="s">
        <v>58453</v>
      </c>
      <c r="M9458" s="10" t="s">
        <v>58454</v>
      </c>
      <c r="N9458" s="10" t="s">
        <v>1416</v>
      </c>
      <c r="O9458" s="12" t="s">
        <v>1417</v>
      </c>
      <c r="P9458" s="10" t="s">
        <v>58455</v>
      </c>
      <c r="Q9458" s="10" t="s">
        <v>6841</v>
      </c>
      <c r="R9458" s="10" t="s">
        <v>1420</v>
      </c>
      <c r="S9458" s="12" t="s">
        <v>58456</v>
      </c>
      <c r="T9458" s="10" t="s">
        <v>66</v>
      </c>
      <c r="U9458" s="12" t="s">
        <v>31</v>
      </c>
      <c r="V9458" s="10" t="s">
        <v>58457</v>
      </c>
      <c r="W9458" s="10" t="s">
        <v>58451</v>
      </c>
      <c r="X9458" s="13" t="str">
        <f>HYPERLINK("https://my.pitchbook.com?p=352354-42P","View People Online")</f>
        <v>View People Online</v>
      </c>
    </row>
    <row r="9459">
      <c r="A9459" s="6" t="s">
        <v>58458</v>
      </c>
      <c r="B9459" s="6" t="s">
        <v>58459</v>
      </c>
      <c r="C9459" s="6" t="s">
        <v>1541</v>
      </c>
      <c r="D9459" s="6" t="s">
        <v>58460</v>
      </c>
      <c r="E9459" s="6" t="s">
        <v>58451</v>
      </c>
      <c r="F9459" s="6" t="s">
        <v>502</v>
      </c>
      <c r="G9459" s="6" t="s">
        <v>58461</v>
      </c>
      <c r="H9459" s="7" t="s">
        <v>31</v>
      </c>
      <c r="I9459" s="7">
        <v>1.0</v>
      </c>
      <c r="J9459" s="7">
        <v>1.0</v>
      </c>
      <c r="K9459" s="7" t="s">
        <v>31</v>
      </c>
      <c r="L9459" s="8" t="s">
        <v>58453</v>
      </c>
      <c r="M9459" s="6" t="s">
        <v>31</v>
      </c>
      <c r="N9459" s="6" t="s">
        <v>1416</v>
      </c>
      <c r="O9459" s="8" t="s">
        <v>1417</v>
      </c>
      <c r="P9459" s="6" t="s">
        <v>58455</v>
      </c>
      <c r="Q9459" s="6" t="s">
        <v>6841</v>
      </c>
      <c r="R9459" s="6" t="s">
        <v>1420</v>
      </c>
      <c r="S9459" s="8" t="s">
        <v>58456</v>
      </c>
      <c r="T9459" s="6" t="s">
        <v>66</v>
      </c>
      <c r="U9459" s="8" t="s">
        <v>31</v>
      </c>
      <c r="V9459" s="6" t="s">
        <v>502</v>
      </c>
      <c r="W9459" s="6" t="s">
        <v>58451</v>
      </c>
      <c r="X9459" s="9" t="str">
        <f>HYPERLINK("https://my.pitchbook.com?p=313142-95P","View People Online")</f>
        <v>View People Online</v>
      </c>
    </row>
    <row r="9460">
      <c r="A9460" s="10" t="s">
        <v>58462</v>
      </c>
      <c r="B9460" s="10" t="s">
        <v>58463</v>
      </c>
      <c r="C9460" s="10" t="s">
        <v>285</v>
      </c>
      <c r="D9460" s="10" t="s">
        <v>6913</v>
      </c>
      <c r="E9460" s="10" t="s">
        <v>58451</v>
      </c>
      <c r="F9460" s="10" t="s">
        <v>1459</v>
      </c>
      <c r="G9460" s="10" t="s">
        <v>58464</v>
      </c>
      <c r="H9460" s="11" t="s">
        <v>31</v>
      </c>
      <c r="I9460" s="11">
        <v>24.0</v>
      </c>
      <c r="J9460" s="11">
        <v>2.0</v>
      </c>
      <c r="K9460" s="11">
        <v>21.0</v>
      </c>
      <c r="L9460" s="12" t="s">
        <v>58453</v>
      </c>
      <c r="M9460" s="10" t="s">
        <v>58465</v>
      </c>
      <c r="N9460" s="10" t="s">
        <v>1416</v>
      </c>
      <c r="O9460" s="12" t="s">
        <v>1417</v>
      </c>
      <c r="P9460" s="10" t="s">
        <v>58455</v>
      </c>
      <c r="Q9460" s="10" t="s">
        <v>6841</v>
      </c>
      <c r="R9460" s="10" t="s">
        <v>1420</v>
      </c>
      <c r="S9460" s="12" t="s">
        <v>58456</v>
      </c>
      <c r="T9460" s="10" t="s">
        <v>66</v>
      </c>
      <c r="U9460" s="12" t="s">
        <v>31</v>
      </c>
      <c r="V9460" s="10" t="s">
        <v>58466</v>
      </c>
      <c r="W9460" s="10" t="s">
        <v>58451</v>
      </c>
      <c r="X9460" s="13" t="str">
        <f>HYPERLINK("https://my.pitchbook.com?p=311571-46P","View People Online")</f>
        <v>View People Online</v>
      </c>
    </row>
    <row r="9461">
      <c r="A9461" s="6" t="s">
        <v>58467</v>
      </c>
      <c r="B9461" s="6" t="s">
        <v>58468</v>
      </c>
      <c r="C9461" s="6" t="s">
        <v>1982</v>
      </c>
      <c r="D9461" s="6" t="s">
        <v>58469</v>
      </c>
      <c r="E9461" s="6" t="s">
        <v>58451</v>
      </c>
      <c r="F9461" s="6" t="s">
        <v>25143</v>
      </c>
      <c r="G9461" s="6" t="s">
        <v>58470</v>
      </c>
      <c r="H9461" s="7">
        <v>1.0</v>
      </c>
      <c r="I9461" s="7">
        <v>2.0</v>
      </c>
      <c r="J9461" s="7">
        <v>1.0</v>
      </c>
      <c r="K9461" s="7" t="s">
        <v>31</v>
      </c>
      <c r="L9461" s="8" t="s">
        <v>58453</v>
      </c>
      <c r="M9461" s="6" t="s">
        <v>58471</v>
      </c>
      <c r="N9461" s="6" t="s">
        <v>1416</v>
      </c>
      <c r="O9461" s="8" t="s">
        <v>1417</v>
      </c>
      <c r="P9461" s="6" t="s">
        <v>58455</v>
      </c>
      <c r="Q9461" s="6" t="s">
        <v>6841</v>
      </c>
      <c r="R9461" s="6" t="s">
        <v>1420</v>
      </c>
      <c r="S9461" s="8" t="s">
        <v>58456</v>
      </c>
      <c r="T9461" s="6" t="s">
        <v>66</v>
      </c>
      <c r="U9461" s="8" t="s">
        <v>31</v>
      </c>
      <c r="V9461" s="6" t="s">
        <v>25143</v>
      </c>
      <c r="W9461" s="6" t="s">
        <v>58451</v>
      </c>
      <c r="X9461" s="9" t="str">
        <f>HYPERLINK("https://my.pitchbook.com?p=178007-41P","View People Online")</f>
        <v>View People Online</v>
      </c>
    </row>
    <row r="9462">
      <c r="A9462" s="10" t="s">
        <v>58472</v>
      </c>
      <c r="B9462" s="10" t="s">
        <v>58473</v>
      </c>
      <c r="C9462" s="10" t="s">
        <v>11231</v>
      </c>
      <c r="D9462" s="10" t="s">
        <v>58474</v>
      </c>
      <c r="E9462" s="10" t="s">
        <v>58451</v>
      </c>
      <c r="F9462" s="10" t="s">
        <v>4406</v>
      </c>
      <c r="G9462" s="10" t="s">
        <v>58475</v>
      </c>
      <c r="H9462" s="11" t="s">
        <v>31</v>
      </c>
      <c r="I9462" s="11">
        <v>1.0</v>
      </c>
      <c r="J9462" s="11">
        <v>1.0</v>
      </c>
      <c r="K9462" s="11" t="s">
        <v>31</v>
      </c>
      <c r="L9462" s="12" t="s">
        <v>58453</v>
      </c>
      <c r="M9462" s="10" t="s">
        <v>58476</v>
      </c>
      <c r="N9462" s="10" t="s">
        <v>1416</v>
      </c>
      <c r="O9462" s="12" t="s">
        <v>1417</v>
      </c>
      <c r="P9462" s="10" t="s">
        <v>58455</v>
      </c>
      <c r="Q9462" s="10" t="s">
        <v>6841</v>
      </c>
      <c r="R9462" s="10" t="s">
        <v>1420</v>
      </c>
      <c r="S9462" s="12" t="s">
        <v>58456</v>
      </c>
      <c r="T9462" s="10" t="s">
        <v>66</v>
      </c>
      <c r="U9462" s="12" t="s">
        <v>31</v>
      </c>
      <c r="V9462" s="10" t="s">
        <v>4406</v>
      </c>
      <c r="W9462" s="10" t="s">
        <v>58451</v>
      </c>
      <c r="X9462" s="13" t="str">
        <f>HYPERLINK("https://my.pitchbook.com?p=351896-23P","View People Online")</f>
        <v>View People Online</v>
      </c>
    </row>
    <row r="9463">
      <c r="A9463" s="6" t="s">
        <v>58477</v>
      </c>
      <c r="B9463" s="6" t="s">
        <v>58478</v>
      </c>
      <c r="C9463" s="6" t="s">
        <v>2992</v>
      </c>
      <c r="D9463" s="6" t="s">
        <v>6333</v>
      </c>
      <c r="E9463" s="6" t="s">
        <v>58451</v>
      </c>
      <c r="F9463" s="6" t="s">
        <v>5234</v>
      </c>
      <c r="G9463" s="6" t="s">
        <v>58479</v>
      </c>
      <c r="H9463" s="7" t="s">
        <v>31</v>
      </c>
      <c r="I9463" s="7">
        <v>1.0</v>
      </c>
      <c r="J9463" s="7">
        <v>1.0</v>
      </c>
      <c r="K9463" s="7" t="s">
        <v>31</v>
      </c>
      <c r="L9463" s="8" t="s">
        <v>58453</v>
      </c>
      <c r="M9463" s="6" t="s">
        <v>58480</v>
      </c>
      <c r="N9463" s="6" t="s">
        <v>1416</v>
      </c>
      <c r="O9463" s="8" t="s">
        <v>1417</v>
      </c>
      <c r="P9463" s="6" t="s">
        <v>58455</v>
      </c>
      <c r="Q9463" s="6" t="s">
        <v>6841</v>
      </c>
      <c r="R9463" s="6" t="s">
        <v>1420</v>
      </c>
      <c r="S9463" s="8" t="s">
        <v>58456</v>
      </c>
      <c r="T9463" s="6" t="s">
        <v>66</v>
      </c>
      <c r="U9463" s="8" t="s">
        <v>31</v>
      </c>
      <c r="V9463" s="6" t="s">
        <v>5234</v>
      </c>
      <c r="W9463" s="6" t="s">
        <v>58451</v>
      </c>
      <c r="X9463" s="9" t="str">
        <f>HYPERLINK("https://my.pitchbook.com?p=313143-31P","View People Online")</f>
        <v>View People Online</v>
      </c>
    </row>
    <row r="9464">
      <c r="A9464" s="10" t="s">
        <v>58481</v>
      </c>
      <c r="B9464" s="10" t="s">
        <v>58482</v>
      </c>
      <c r="C9464" s="10" t="s">
        <v>58483</v>
      </c>
      <c r="D9464" s="10" t="s">
        <v>23784</v>
      </c>
      <c r="E9464" s="10" t="s">
        <v>58484</v>
      </c>
      <c r="F9464" s="10" t="s">
        <v>27013</v>
      </c>
      <c r="G9464" s="10" t="s">
        <v>58485</v>
      </c>
      <c r="H9464" s="11">
        <v>2.0</v>
      </c>
      <c r="I9464" s="11">
        <v>7.0</v>
      </c>
      <c r="J9464" s="11">
        <v>1.0</v>
      </c>
      <c r="K9464" s="11">
        <v>4.0</v>
      </c>
      <c r="L9464" s="12" t="s">
        <v>58486</v>
      </c>
      <c r="M9464" s="10" t="s">
        <v>58487</v>
      </c>
      <c r="N9464" s="10" t="s">
        <v>7750</v>
      </c>
      <c r="O9464" s="12" t="s">
        <v>7751</v>
      </c>
      <c r="P9464" s="10" t="s">
        <v>58488</v>
      </c>
      <c r="Q9464" s="10" t="s">
        <v>58489</v>
      </c>
      <c r="R9464" s="10" t="s">
        <v>64</v>
      </c>
      <c r="S9464" s="12" t="s">
        <v>58490</v>
      </c>
      <c r="T9464" s="10" t="s">
        <v>66</v>
      </c>
      <c r="U9464" s="12" t="s">
        <v>58491</v>
      </c>
      <c r="V9464" s="10" t="s">
        <v>27013</v>
      </c>
      <c r="W9464" s="10" t="s">
        <v>58484</v>
      </c>
      <c r="X9464" s="13" t="str">
        <f>HYPERLINK("https://my.pitchbook.com?p=47703-79P","View People Online")</f>
        <v>View People Online</v>
      </c>
    </row>
    <row r="9465">
      <c r="A9465" s="6" t="s">
        <v>58492</v>
      </c>
      <c r="B9465" s="6" t="s">
        <v>58493</v>
      </c>
      <c r="C9465" s="6" t="s">
        <v>1410</v>
      </c>
      <c r="D9465" s="6" t="s">
        <v>739</v>
      </c>
      <c r="E9465" s="6" t="s">
        <v>58494</v>
      </c>
      <c r="F9465" s="6" t="s">
        <v>270</v>
      </c>
      <c r="G9465" s="6" t="s">
        <v>58495</v>
      </c>
      <c r="H9465" s="7" t="s">
        <v>31</v>
      </c>
      <c r="I9465" s="7">
        <v>8.0</v>
      </c>
      <c r="J9465" s="7">
        <v>1.0</v>
      </c>
      <c r="K9465" s="7">
        <v>4.0</v>
      </c>
      <c r="L9465" s="8" t="s">
        <v>58496</v>
      </c>
      <c r="M9465" s="6" t="s">
        <v>58497</v>
      </c>
      <c r="N9465" s="6" t="s">
        <v>40282</v>
      </c>
      <c r="O9465" s="8" t="s">
        <v>40283</v>
      </c>
      <c r="P9465" s="6" t="s">
        <v>41811</v>
      </c>
      <c r="Q9465" s="6" t="s">
        <v>58498</v>
      </c>
      <c r="R9465" s="6" t="s">
        <v>40282</v>
      </c>
      <c r="S9465" s="8" t="s">
        <v>58499</v>
      </c>
      <c r="T9465" s="6" t="s">
        <v>3194</v>
      </c>
      <c r="U9465" s="8" t="s">
        <v>31</v>
      </c>
      <c r="V9465" s="6" t="s">
        <v>58500</v>
      </c>
      <c r="W9465" s="6" t="s">
        <v>58494</v>
      </c>
      <c r="X9465" s="9" t="str">
        <f>HYPERLINK("https://my.pitchbook.com?p=47723-95P","View People Online")</f>
        <v>View People Online</v>
      </c>
    </row>
    <row r="9466">
      <c r="A9466" s="10" t="s">
        <v>58501</v>
      </c>
      <c r="B9466" s="10" t="s">
        <v>58502</v>
      </c>
      <c r="C9466" s="10" t="s">
        <v>1117</v>
      </c>
      <c r="D9466" s="10" t="s">
        <v>58503</v>
      </c>
      <c r="E9466" s="10" t="s">
        <v>58494</v>
      </c>
      <c r="F9466" s="10" t="s">
        <v>29</v>
      </c>
      <c r="G9466" s="10" t="s">
        <v>58504</v>
      </c>
      <c r="H9466" s="11" t="s">
        <v>31</v>
      </c>
      <c r="I9466" s="11">
        <v>2.0</v>
      </c>
      <c r="J9466" s="11">
        <v>2.0</v>
      </c>
      <c r="K9466" s="11" t="s">
        <v>31</v>
      </c>
      <c r="L9466" s="12" t="s">
        <v>31</v>
      </c>
      <c r="M9466" s="10" t="s">
        <v>58505</v>
      </c>
      <c r="N9466" s="10" t="s">
        <v>205</v>
      </c>
      <c r="O9466" s="12" t="s">
        <v>206</v>
      </c>
      <c r="P9466" s="10" t="s">
        <v>58506</v>
      </c>
      <c r="Q9466" s="10" t="s">
        <v>1457</v>
      </c>
      <c r="R9466" s="10" t="s">
        <v>209</v>
      </c>
      <c r="S9466" s="12" t="s">
        <v>52393</v>
      </c>
      <c r="T9466" s="10" t="s">
        <v>66</v>
      </c>
      <c r="U9466" s="12" t="s">
        <v>31</v>
      </c>
      <c r="V9466" s="10" t="s">
        <v>29</v>
      </c>
      <c r="W9466" s="10" t="s">
        <v>58494</v>
      </c>
      <c r="X9466" s="13" t="str">
        <f>HYPERLINK("https://my.pitchbook.com?p=351256-15P","View People Online")</f>
        <v>View People Online</v>
      </c>
    </row>
    <row r="9467">
      <c r="A9467" s="14" t="s">
        <v>58507</v>
      </c>
      <c r="B9467" s="14" t="s">
        <v>58508</v>
      </c>
      <c r="C9467" s="14" t="s">
        <v>23605</v>
      </c>
      <c r="D9467" s="14" t="s">
        <v>2432</v>
      </c>
      <c r="E9467" s="14" t="s">
        <v>58494</v>
      </c>
      <c r="F9467" s="14" t="s">
        <v>81</v>
      </c>
      <c r="G9467" s="14" t="s">
        <v>58509</v>
      </c>
      <c r="H9467" s="15">
        <v>6.0</v>
      </c>
      <c r="I9467" s="15">
        <v>175.0</v>
      </c>
      <c r="J9467" s="15">
        <v>2.0</v>
      </c>
      <c r="K9467" s="15">
        <v>155.0</v>
      </c>
      <c r="L9467" s="16" t="s">
        <v>58510</v>
      </c>
      <c r="M9467" s="14" t="s">
        <v>58511</v>
      </c>
      <c r="N9467" s="14" t="s">
        <v>1292</v>
      </c>
      <c r="O9467" s="16" t="s">
        <v>1293</v>
      </c>
      <c r="P9467" s="14" t="s">
        <v>58512</v>
      </c>
      <c r="Q9467" s="14" t="s">
        <v>31</v>
      </c>
      <c r="R9467" s="14" t="s">
        <v>64</v>
      </c>
      <c r="S9467" s="16" t="s">
        <v>1296</v>
      </c>
      <c r="T9467" s="14" t="s">
        <v>66</v>
      </c>
      <c r="U9467" s="16" t="s">
        <v>58513</v>
      </c>
      <c r="V9467" s="14" t="s">
        <v>29</v>
      </c>
      <c r="W9467" s="14" t="s">
        <v>58514</v>
      </c>
      <c r="X9467" s="17" t="str">
        <f>HYPERLINK("https://my.pitchbook.com?p=59565-70P","View People Online")</f>
        <v>View People Online</v>
      </c>
    </row>
    <row r="9468">
      <c r="A9468" s="10" t="s">
        <v>58515</v>
      </c>
      <c r="B9468" s="10" t="s">
        <v>58516</v>
      </c>
      <c r="C9468" s="10" t="s">
        <v>54</v>
      </c>
      <c r="D9468" s="10" t="s">
        <v>58517</v>
      </c>
      <c r="E9468" s="10" t="s">
        <v>58494</v>
      </c>
      <c r="F9468" s="10" t="s">
        <v>4256</v>
      </c>
      <c r="G9468" s="10" t="s">
        <v>58518</v>
      </c>
      <c r="H9468" s="11" t="s">
        <v>31</v>
      </c>
      <c r="I9468" s="11">
        <v>6.0</v>
      </c>
      <c r="J9468" s="11">
        <v>1.0</v>
      </c>
      <c r="K9468" s="11">
        <v>2.0</v>
      </c>
      <c r="L9468" s="12" t="s">
        <v>31</v>
      </c>
      <c r="M9468" s="10" t="s">
        <v>58519</v>
      </c>
      <c r="N9468" s="10" t="s">
        <v>75</v>
      </c>
      <c r="O9468" s="12" t="s">
        <v>76</v>
      </c>
      <c r="P9468" s="10" t="s">
        <v>58520</v>
      </c>
      <c r="Q9468" s="10" t="s">
        <v>2340</v>
      </c>
      <c r="R9468" s="10" t="s">
        <v>75</v>
      </c>
      <c r="S9468" s="12" t="s">
        <v>27197</v>
      </c>
      <c r="T9468" s="10" t="s">
        <v>66</v>
      </c>
      <c r="U9468" s="12" t="s">
        <v>31</v>
      </c>
      <c r="V9468" s="10" t="s">
        <v>4256</v>
      </c>
      <c r="W9468" s="10" t="s">
        <v>58494</v>
      </c>
      <c r="X9468" s="13" t="str">
        <f>HYPERLINK("https://my.pitchbook.com?p=57985-75P","View People Online")</f>
        <v>View People Online</v>
      </c>
    </row>
    <row r="9469">
      <c r="A9469" s="14" t="s">
        <v>58521</v>
      </c>
      <c r="B9469" s="14" t="s">
        <v>58522</v>
      </c>
      <c r="C9469" s="14" t="s">
        <v>1929</v>
      </c>
      <c r="D9469" s="14" t="s">
        <v>10412</v>
      </c>
      <c r="E9469" s="14" t="s">
        <v>58494</v>
      </c>
      <c r="F9469" s="14" t="s">
        <v>548</v>
      </c>
      <c r="G9469" s="14" t="s">
        <v>58523</v>
      </c>
      <c r="H9469" s="15" t="s">
        <v>31</v>
      </c>
      <c r="I9469" s="15">
        <v>3.0</v>
      </c>
      <c r="J9469" s="15">
        <v>1.0</v>
      </c>
      <c r="K9469" s="15">
        <v>2.0</v>
      </c>
      <c r="L9469" s="16" t="s">
        <v>58524</v>
      </c>
      <c r="M9469" s="14" t="s">
        <v>58525</v>
      </c>
      <c r="N9469" s="14" t="s">
        <v>40282</v>
      </c>
      <c r="O9469" s="16" t="s">
        <v>40283</v>
      </c>
      <c r="P9469" s="14" t="s">
        <v>41811</v>
      </c>
      <c r="Q9469" s="14" t="s">
        <v>58498</v>
      </c>
      <c r="R9469" s="14" t="s">
        <v>40282</v>
      </c>
      <c r="S9469" s="16" t="s">
        <v>58499</v>
      </c>
      <c r="T9469" s="14" t="s">
        <v>3194</v>
      </c>
      <c r="U9469" s="16" t="s">
        <v>31</v>
      </c>
      <c r="V9469" s="14" t="s">
        <v>834</v>
      </c>
      <c r="W9469" s="14" t="s">
        <v>58494</v>
      </c>
      <c r="X9469" s="17" t="str">
        <f>HYPERLINK("https://my.pitchbook.com?p=59566-51P","View People Online")</f>
        <v>View People Online</v>
      </c>
    </row>
    <row r="9470">
      <c r="A9470" s="2" t="s">
        <v>58526</v>
      </c>
      <c r="B9470" s="2" t="s">
        <v>58527</v>
      </c>
      <c r="C9470" s="2" t="s">
        <v>58528</v>
      </c>
      <c r="D9470" s="2" t="s">
        <v>58529</v>
      </c>
      <c r="E9470" s="2" t="s">
        <v>58494</v>
      </c>
      <c r="F9470" s="2" t="s">
        <v>695</v>
      </c>
      <c r="G9470" s="2" t="s">
        <v>58530</v>
      </c>
      <c r="H9470" s="3" t="s">
        <v>31</v>
      </c>
      <c r="I9470" s="3">
        <v>1.0</v>
      </c>
      <c r="J9470" s="3">
        <v>1.0</v>
      </c>
      <c r="K9470" s="3" t="s">
        <v>31</v>
      </c>
      <c r="L9470" s="4" t="s">
        <v>31</v>
      </c>
      <c r="M9470" s="2" t="s">
        <v>31</v>
      </c>
      <c r="N9470" s="2" t="s">
        <v>205</v>
      </c>
      <c r="O9470" s="4" t="s">
        <v>206</v>
      </c>
      <c r="P9470" s="2" t="s">
        <v>58506</v>
      </c>
      <c r="Q9470" s="2" t="s">
        <v>1457</v>
      </c>
      <c r="R9470" s="2" t="s">
        <v>209</v>
      </c>
      <c r="S9470" s="4" t="s">
        <v>52393</v>
      </c>
      <c r="T9470" s="2" t="s">
        <v>66</v>
      </c>
      <c r="U9470" s="4" t="s">
        <v>31</v>
      </c>
      <c r="V9470" s="2" t="s">
        <v>695</v>
      </c>
      <c r="W9470" s="2" t="s">
        <v>58494</v>
      </c>
      <c r="X9470" s="5" t="str">
        <f>HYPERLINK("https://my.pitchbook.com?p=351253-99P","View People Online")</f>
        <v>View People Online</v>
      </c>
    </row>
    <row r="9471">
      <c r="A9471" s="14" t="s">
        <v>58531</v>
      </c>
      <c r="B9471" s="14" t="s">
        <v>58532</v>
      </c>
      <c r="C9471" s="14" t="s">
        <v>58533</v>
      </c>
      <c r="D9471" s="14" t="s">
        <v>58534</v>
      </c>
      <c r="E9471" s="14" t="s">
        <v>58494</v>
      </c>
      <c r="F9471" s="14" t="s">
        <v>43</v>
      </c>
      <c r="G9471" s="14" t="s">
        <v>58535</v>
      </c>
      <c r="H9471" s="15">
        <v>5.0</v>
      </c>
      <c r="I9471" s="15">
        <v>258.0</v>
      </c>
      <c r="J9471" s="15">
        <v>3.0</v>
      </c>
      <c r="K9471" s="15">
        <v>239.0</v>
      </c>
      <c r="L9471" s="16" t="s">
        <v>31</v>
      </c>
      <c r="M9471" s="14" t="s">
        <v>58536</v>
      </c>
      <c r="N9471" s="14" t="s">
        <v>40487</v>
      </c>
      <c r="O9471" s="16" t="s">
        <v>40488</v>
      </c>
      <c r="P9471" s="14" t="s">
        <v>58537</v>
      </c>
      <c r="Q9471" s="14" t="s">
        <v>58538</v>
      </c>
      <c r="R9471" s="14" t="s">
        <v>31</v>
      </c>
      <c r="S9471" s="16" t="s">
        <v>58539</v>
      </c>
      <c r="T9471" s="14" t="s">
        <v>3339</v>
      </c>
      <c r="U9471" s="16" t="s">
        <v>31</v>
      </c>
      <c r="V9471" s="14" t="s">
        <v>1106</v>
      </c>
      <c r="W9471" s="14" t="s">
        <v>58540</v>
      </c>
      <c r="X9471" s="17" t="str">
        <f>HYPERLINK("https://my.pitchbook.com?p=40070-35P","View People Online")</f>
        <v>View People Online</v>
      </c>
    </row>
    <row r="9472">
      <c r="A9472" s="2" t="s">
        <v>58541</v>
      </c>
      <c r="B9472" s="2" t="s">
        <v>58542</v>
      </c>
      <c r="C9472" s="2" t="s">
        <v>7464</v>
      </c>
      <c r="D9472" s="2" t="s">
        <v>20446</v>
      </c>
      <c r="E9472" s="2" t="s">
        <v>58494</v>
      </c>
      <c r="F9472" s="2" t="s">
        <v>43</v>
      </c>
      <c r="G9472" s="2" t="s">
        <v>58543</v>
      </c>
      <c r="H9472" s="3" t="s">
        <v>31</v>
      </c>
      <c r="I9472" s="3">
        <v>1.0</v>
      </c>
      <c r="J9472" s="3">
        <v>1.0</v>
      </c>
      <c r="K9472" s="3" t="s">
        <v>31</v>
      </c>
      <c r="L9472" s="4" t="s">
        <v>31</v>
      </c>
      <c r="M9472" s="2" t="s">
        <v>31</v>
      </c>
      <c r="N9472" s="2" t="s">
        <v>205</v>
      </c>
      <c r="O9472" s="4" t="s">
        <v>206</v>
      </c>
      <c r="P9472" s="2" t="s">
        <v>58506</v>
      </c>
      <c r="Q9472" s="2" t="s">
        <v>1457</v>
      </c>
      <c r="R9472" s="2" t="s">
        <v>209</v>
      </c>
      <c r="S9472" s="4" t="s">
        <v>52393</v>
      </c>
      <c r="T9472" s="2" t="s">
        <v>66</v>
      </c>
      <c r="U9472" s="4" t="s">
        <v>31</v>
      </c>
      <c r="V9472" s="2" t="s">
        <v>43</v>
      </c>
      <c r="W9472" s="2" t="s">
        <v>58494</v>
      </c>
      <c r="X9472" s="5" t="str">
        <f>HYPERLINK("https://my.pitchbook.com?p=122848-93P","View People Online")</f>
        <v>View People Online</v>
      </c>
    </row>
    <row r="9473">
      <c r="A9473" s="14" t="s">
        <v>58544</v>
      </c>
      <c r="B9473" s="14" t="s">
        <v>58545</v>
      </c>
      <c r="C9473" s="14" t="s">
        <v>5495</v>
      </c>
      <c r="D9473" s="14" t="s">
        <v>10124</v>
      </c>
      <c r="E9473" s="14" t="s">
        <v>58494</v>
      </c>
      <c r="F9473" s="14" t="s">
        <v>43</v>
      </c>
      <c r="G9473" s="14" t="s">
        <v>58546</v>
      </c>
      <c r="H9473" s="15">
        <v>8.0</v>
      </c>
      <c r="I9473" s="15">
        <v>280.0</v>
      </c>
      <c r="J9473" s="15">
        <v>2.0</v>
      </c>
      <c r="K9473" s="15">
        <v>259.0</v>
      </c>
      <c r="L9473" s="16" t="s">
        <v>31</v>
      </c>
      <c r="M9473" s="14" t="s">
        <v>58547</v>
      </c>
      <c r="N9473" s="14" t="s">
        <v>36917</v>
      </c>
      <c r="O9473" s="16" t="s">
        <v>58548</v>
      </c>
      <c r="P9473" s="14" t="s">
        <v>58549</v>
      </c>
      <c r="Q9473" s="14" t="s">
        <v>31</v>
      </c>
      <c r="R9473" s="14" t="s">
        <v>209</v>
      </c>
      <c r="S9473" s="16" t="s">
        <v>58550</v>
      </c>
      <c r="T9473" s="14" t="s">
        <v>66</v>
      </c>
      <c r="U9473" s="16" t="s">
        <v>31</v>
      </c>
      <c r="V9473" s="14" t="s">
        <v>43</v>
      </c>
      <c r="W9473" s="14" t="s">
        <v>58494</v>
      </c>
      <c r="X9473" s="17" t="str">
        <f>HYPERLINK("https://my.pitchbook.com?p=81082-36P","View People Online")</f>
        <v>View People Online</v>
      </c>
    </row>
    <row r="9474">
      <c r="A9474" s="2" t="s">
        <v>58551</v>
      </c>
      <c r="B9474" s="2" t="s">
        <v>58552</v>
      </c>
      <c r="C9474" s="2" t="s">
        <v>7304</v>
      </c>
      <c r="D9474" s="2" t="s">
        <v>58553</v>
      </c>
      <c r="E9474" s="2" t="s">
        <v>58494</v>
      </c>
      <c r="F9474" s="2" t="s">
        <v>221</v>
      </c>
      <c r="G9474" s="2" t="s">
        <v>58554</v>
      </c>
      <c r="H9474" s="3" t="s">
        <v>31</v>
      </c>
      <c r="I9474" s="3">
        <v>1.0</v>
      </c>
      <c r="J9474" s="3">
        <v>1.0</v>
      </c>
      <c r="K9474" s="3" t="s">
        <v>31</v>
      </c>
      <c r="L9474" s="4" t="s">
        <v>58524</v>
      </c>
      <c r="M9474" s="2" t="s">
        <v>58555</v>
      </c>
      <c r="N9474" s="2" t="s">
        <v>40282</v>
      </c>
      <c r="O9474" s="4" t="s">
        <v>40283</v>
      </c>
      <c r="P9474" s="2" t="s">
        <v>41811</v>
      </c>
      <c r="Q9474" s="2" t="s">
        <v>58498</v>
      </c>
      <c r="R9474" s="2" t="s">
        <v>40282</v>
      </c>
      <c r="S9474" s="4" t="s">
        <v>58499</v>
      </c>
      <c r="T9474" s="2" t="s">
        <v>3194</v>
      </c>
      <c r="U9474" s="4" t="s">
        <v>31</v>
      </c>
      <c r="V9474" s="2" t="s">
        <v>221</v>
      </c>
      <c r="W9474" s="2" t="s">
        <v>58494</v>
      </c>
      <c r="X9474" s="5" t="str">
        <f>HYPERLINK("https://my.pitchbook.com?p=307800-82P","View People Online")</f>
        <v>View People Online</v>
      </c>
    </row>
    <row r="9475">
      <c r="A9475" s="14" t="s">
        <v>58556</v>
      </c>
      <c r="B9475" s="14" t="s">
        <v>58557</v>
      </c>
      <c r="C9475" s="14" t="s">
        <v>56027</v>
      </c>
      <c r="D9475" s="14" t="s">
        <v>58558</v>
      </c>
      <c r="E9475" s="14" t="s">
        <v>58494</v>
      </c>
      <c r="F9475" s="14" t="s">
        <v>29</v>
      </c>
      <c r="G9475" s="14" t="s">
        <v>58559</v>
      </c>
      <c r="H9475" s="15" t="s">
        <v>31</v>
      </c>
      <c r="I9475" s="15">
        <v>2.0</v>
      </c>
      <c r="J9475" s="15">
        <v>2.0</v>
      </c>
      <c r="K9475" s="15" t="s">
        <v>31</v>
      </c>
      <c r="L9475" s="16" t="s">
        <v>31</v>
      </c>
      <c r="M9475" s="14" t="s">
        <v>58560</v>
      </c>
      <c r="N9475" s="14" t="s">
        <v>36917</v>
      </c>
      <c r="O9475" s="16" t="s">
        <v>58548</v>
      </c>
      <c r="P9475" s="14" t="s">
        <v>58549</v>
      </c>
      <c r="Q9475" s="14" t="s">
        <v>31</v>
      </c>
      <c r="R9475" s="14" t="s">
        <v>209</v>
      </c>
      <c r="S9475" s="16" t="s">
        <v>58550</v>
      </c>
      <c r="T9475" s="14" t="s">
        <v>66</v>
      </c>
      <c r="U9475" s="16" t="s">
        <v>31</v>
      </c>
      <c r="V9475" s="14" t="s">
        <v>29</v>
      </c>
      <c r="W9475" s="14" t="s">
        <v>58494</v>
      </c>
      <c r="X9475" s="17" t="str">
        <f>HYPERLINK("https://my.pitchbook.com?p=209021-68P","View People Online")</f>
        <v>View People Online</v>
      </c>
    </row>
    <row r="9476">
      <c r="A9476" s="2" t="s">
        <v>58561</v>
      </c>
      <c r="B9476" s="2" t="s">
        <v>58562</v>
      </c>
      <c r="C9476" s="2" t="s">
        <v>3052</v>
      </c>
      <c r="D9476" s="2" t="s">
        <v>58563</v>
      </c>
      <c r="E9476" s="2" t="s">
        <v>58494</v>
      </c>
      <c r="F9476" s="2" t="s">
        <v>1801</v>
      </c>
      <c r="G9476" s="2" t="s">
        <v>58564</v>
      </c>
      <c r="H9476" s="3" t="s">
        <v>31</v>
      </c>
      <c r="I9476" s="3">
        <v>1.0</v>
      </c>
      <c r="J9476" s="3">
        <v>1.0</v>
      </c>
      <c r="K9476" s="3" t="s">
        <v>31</v>
      </c>
      <c r="L9476" s="4" t="s">
        <v>31</v>
      </c>
      <c r="M9476" s="2" t="s">
        <v>58565</v>
      </c>
      <c r="N9476" s="2" t="s">
        <v>205</v>
      </c>
      <c r="O9476" s="4" t="s">
        <v>206</v>
      </c>
      <c r="P9476" s="2" t="s">
        <v>58506</v>
      </c>
      <c r="Q9476" s="2" t="s">
        <v>1457</v>
      </c>
      <c r="R9476" s="2" t="s">
        <v>209</v>
      </c>
      <c r="S9476" s="4" t="s">
        <v>52393</v>
      </c>
      <c r="T9476" s="2" t="s">
        <v>66</v>
      </c>
      <c r="U9476" s="4" t="s">
        <v>31</v>
      </c>
      <c r="V9476" s="2" t="s">
        <v>58566</v>
      </c>
      <c r="W9476" s="2" t="s">
        <v>58494</v>
      </c>
      <c r="X9476" s="5" t="str">
        <f>HYPERLINK("https://my.pitchbook.com?p=114485-77P","View People Online")</f>
        <v>View People Online</v>
      </c>
    </row>
    <row r="9477">
      <c r="A9477" s="6" t="s">
        <v>58567</v>
      </c>
      <c r="B9477" s="6" t="s">
        <v>58568</v>
      </c>
      <c r="C9477" s="6" t="s">
        <v>5092</v>
      </c>
      <c r="D9477" s="6" t="s">
        <v>5140</v>
      </c>
      <c r="E9477" s="6" t="s">
        <v>58494</v>
      </c>
      <c r="F9477" s="6" t="s">
        <v>43</v>
      </c>
      <c r="G9477" s="6" t="s">
        <v>58569</v>
      </c>
      <c r="H9477" s="7" t="s">
        <v>31</v>
      </c>
      <c r="I9477" s="7">
        <v>1.0</v>
      </c>
      <c r="J9477" s="7">
        <v>1.0</v>
      </c>
      <c r="K9477" s="7" t="s">
        <v>31</v>
      </c>
      <c r="L9477" s="8" t="s">
        <v>31</v>
      </c>
      <c r="M9477" s="6" t="s">
        <v>58570</v>
      </c>
      <c r="N9477" s="6" t="s">
        <v>36917</v>
      </c>
      <c r="O9477" s="8" t="s">
        <v>58548</v>
      </c>
      <c r="P9477" s="6" t="s">
        <v>58549</v>
      </c>
      <c r="Q9477" s="6" t="s">
        <v>31</v>
      </c>
      <c r="R9477" s="6" t="s">
        <v>209</v>
      </c>
      <c r="S9477" s="8" t="s">
        <v>58550</v>
      </c>
      <c r="T9477" s="6" t="s">
        <v>66</v>
      </c>
      <c r="U9477" s="8" t="s">
        <v>31</v>
      </c>
      <c r="V9477" s="6" t="s">
        <v>43</v>
      </c>
      <c r="W9477" s="6" t="s">
        <v>58494</v>
      </c>
      <c r="X9477" s="9" t="str">
        <f>HYPERLINK("https://my.pitchbook.com?p=441765-28P","View People Online")</f>
        <v>View People Online</v>
      </c>
    </row>
    <row r="9478">
      <c r="A9478" s="2" t="s">
        <v>58571</v>
      </c>
      <c r="B9478" s="2" t="s">
        <v>58572</v>
      </c>
      <c r="C9478" s="2" t="s">
        <v>5985</v>
      </c>
      <c r="D9478" s="2" t="s">
        <v>58019</v>
      </c>
      <c r="E9478" s="2" t="s">
        <v>58494</v>
      </c>
      <c r="F9478" s="2" t="s">
        <v>13240</v>
      </c>
      <c r="G9478" s="2" t="s">
        <v>58573</v>
      </c>
      <c r="H9478" s="3" t="s">
        <v>31</v>
      </c>
      <c r="I9478" s="3">
        <v>1.0</v>
      </c>
      <c r="J9478" s="3">
        <v>1.0</v>
      </c>
      <c r="K9478" s="3" t="s">
        <v>31</v>
      </c>
      <c r="L9478" s="4" t="s">
        <v>58524</v>
      </c>
      <c r="M9478" s="2" t="s">
        <v>58574</v>
      </c>
      <c r="N9478" s="2" t="s">
        <v>40282</v>
      </c>
      <c r="O9478" s="4" t="s">
        <v>40283</v>
      </c>
      <c r="P9478" s="2" t="s">
        <v>41811</v>
      </c>
      <c r="Q9478" s="2" t="s">
        <v>58498</v>
      </c>
      <c r="R9478" s="2" t="s">
        <v>40282</v>
      </c>
      <c r="S9478" s="4" t="s">
        <v>58499</v>
      </c>
      <c r="T9478" s="2" t="s">
        <v>3194</v>
      </c>
      <c r="U9478" s="4" t="s">
        <v>31</v>
      </c>
      <c r="V9478" s="2" t="s">
        <v>31</v>
      </c>
      <c r="W9478" s="2" t="s">
        <v>58575</v>
      </c>
      <c r="X9478" s="5" t="str">
        <f>HYPERLINK("https://my.pitchbook.com?p=59570-83P","View People Online")</f>
        <v>View People Online</v>
      </c>
    </row>
    <row r="9479">
      <c r="A9479" s="14" t="s">
        <v>58576</v>
      </c>
      <c r="B9479" s="14" t="s">
        <v>58577</v>
      </c>
      <c r="C9479" s="14" t="s">
        <v>2283</v>
      </c>
      <c r="D9479" s="14" t="s">
        <v>5779</v>
      </c>
      <c r="E9479" s="14" t="s">
        <v>58494</v>
      </c>
      <c r="F9479" s="14" t="s">
        <v>4256</v>
      </c>
      <c r="G9479" s="14" t="s">
        <v>58578</v>
      </c>
      <c r="H9479" s="15" t="s">
        <v>31</v>
      </c>
      <c r="I9479" s="15">
        <v>1.0</v>
      </c>
      <c r="J9479" s="15">
        <v>1.0</v>
      </c>
      <c r="K9479" s="15" t="s">
        <v>31</v>
      </c>
      <c r="L9479" s="16" t="s">
        <v>58524</v>
      </c>
      <c r="M9479" s="14" t="s">
        <v>58579</v>
      </c>
      <c r="N9479" s="14" t="s">
        <v>40282</v>
      </c>
      <c r="O9479" s="16" t="s">
        <v>40283</v>
      </c>
      <c r="P9479" s="14" t="s">
        <v>41811</v>
      </c>
      <c r="Q9479" s="14" t="s">
        <v>58498</v>
      </c>
      <c r="R9479" s="14" t="s">
        <v>40282</v>
      </c>
      <c r="S9479" s="16" t="s">
        <v>58499</v>
      </c>
      <c r="T9479" s="14" t="s">
        <v>3194</v>
      </c>
      <c r="U9479" s="16" t="s">
        <v>31</v>
      </c>
      <c r="V9479" s="14" t="s">
        <v>58580</v>
      </c>
      <c r="W9479" s="14" t="s">
        <v>58494</v>
      </c>
      <c r="X9479" s="17" t="str">
        <f>HYPERLINK("https://my.pitchbook.com?p=132106-69P","View People Online")</f>
        <v>View People Online</v>
      </c>
    </row>
    <row r="9480">
      <c r="A9480" s="10" t="s">
        <v>58581</v>
      </c>
      <c r="B9480" s="10" t="s">
        <v>58582</v>
      </c>
      <c r="C9480" s="10" t="s">
        <v>3846</v>
      </c>
      <c r="D9480" s="10" t="s">
        <v>58583</v>
      </c>
      <c r="E9480" s="10" t="s">
        <v>58494</v>
      </c>
      <c r="F9480" s="10" t="s">
        <v>6567</v>
      </c>
      <c r="G9480" s="10" t="s">
        <v>58584</v>
      </c>
      <c r="H9480" s="11" t="s">
        <v>31</v>
      </c>
      <c r="I9480" s="11">
        <v>2.0</v>
      </c>
      <c r="J9480" s="11">
        <v>2.0</v>
      </c>
      <c r="K9480" s="11" t="s">
        <v>31</v>
      </c>
      <c r="L9480" s="12" t="s">
        <v>58524</v>
      </c>
      <c r="M9480" s="10" t="s">
        <v>58585</v>
      </c>
      <c r="N9480" s="10" t="s">
        <v>40282</v>
      </c>
      <c r="O9480" s="12" t="s">
        <v>40283</v>
      </c>
      <c r="P9480" s="10" t="s">
        <v>41811</v>
      </c>
      <c r="Q9480" s="10" t="s">
        <v>58498</v>
      </c>
      <c r="R9480" s="10" t="s">
        <v>40282</v>
      </c>
      <c r="S9480" s="12" t="s">
        <v>58499</v>
      </c>
      <c r="T9480" s="10" t="s">
        <v>3194</v>
      </c>
      <c r="U9480" s="12" t="s">
        <v>31</v>
      </c>
      <c r="V9480" s="10" t="s">
        <v>58586</v>
      </c>
      <c r="W9480" s="10" t="s">
        <v>58494</v>
      </c>
      <c r="X9480" s="13" t="str">
        <f>HYPERLINK("https://my.pitchbook.com?p=47722-06P","View People Online")</f>
        <v>View People Online</v>
      </c>
    </row>
    <row r="9481">
      <c r="A9481" s="6" t="s">
        <v>58587</v>
      </c>
      <c r="B9481" s="6" t="s">
        <v>58588</v>
      </c>
      <c r="C9481" s="6" t="s">
        <v>54083</v>
      </c>
      <c r="D9481" s="6" t="s">
        <v>58589</v>
      </c>
      <c r="E9481" s="6" t="s">
        <v>58494</v>
      </c>
      <c r="F9481" s="6" t="s">
        <v>667</v>
      </c>
      <c r="G9481" s="6" t="s">
        <v>58590</v>
      </c>
      <c r="H9481" s="7" t="s">
        <v>31</v>
      </c>
      <c r="I9481" s="7">
        <v>1.0</v>
      </c>
      <c r="J9481" s="7">
        <v>1.0</v>
      </c>
      <c r="K9481" s="7" t="s">
        <v>31</v>
      </c>
      <c r="L9481" s="8" t="s">
        <v>58524</v>
      </c>
      <c r="M9481" s="6" t="s">
        <v>58591</v>
      </c>
      <c r="N9481" s="6" t="s">
        <v>40282</v>
      </c>
      <c r="O9481" s="8" t="s">
        <v>40283</v>
      </c>
      <c r="P9481" s="6" t="s">
        <v>41811</v>
      </c>
      <c r="Q9481" s="6" t="s">
        <v>58498</v>
      </c>
      <c r="R9481" s="6" t="s">
        <v>40282</v>
      </c>
      <c r="S9481" s="8" t="s">
        <v>58499</v>
      </c>
      <c r="T9481" s="6" t="s">
        <v>3194</v>
      </c>
      <c r="U9481" s="8" t="s">
        <v>31</v>
      </c>
      <c r="V9481" s="6" t="s">
        <v>58592</v>
      </c>
      <c r="W9481" s="6" t="s">
        <v>58494</v>
      </c>
      <c r="X9481" s="9" t="str">
        <f>HYPERLINK("https://my.pitchbook.com?p=241645-33P","View People Online")</f>
        <v>View People Online</v>
      </c>
    </row>
    <row r="9482">
      <c r="A9482" s="10" t="s">
        <v>58593</v>
      </c>
      <c r="B9482" s="10" t="s">
        <v>58594</v>
      </c>
      <c r="C9482" s="10" t="s">
        <v>19778</v>
      </c>
      <c r="D9482" s="10" t="s">
        <v>7090</v>
      </c>
      <c r="E9482" s="10" t="s">
        <v>58494</v>
      </c>
      <c r="F9482" s="10" t="s">
        <v>221</v>
      </c>
      <c r="G9482" s="10" t="s">
        <v>58595</v>
      </c>
      <c r="H9482" s="11" t="s">
        <v>31</v>
      </c>
      <c r="I9482" s="11">
        <v>1.0</v>
      </c>
      <c r="J9482" s="11">
        <v>1.0</v>
      </c>
      <c r="K9482" s="11" t="s">
        <v>31</v>
      </c>
      <c r="L9482" s="12" t="s">
        <v>58524</v>
      </c>
      <c r="M9482" s="10" t="s">
        <v>58596</v>
      </c>
      <c r="N9482" s="10" t="s">
        <v>40282</v>
      </c>
      <c r="O9482" s="12" t="s">
        <v>40283</v>
      </c>
      <c r="P9482" s="10" t="s">
        <v>41811</v>
      </c>
      <c r="Q9482" s="10" t="s">
        <v>58498</v>
      </c>
      <c r="R9482" s="10" t="s">
        <v>40282</v>
      </c>
      <c r="S9482" s="12" t="s">
        <v>58499</v>
      </c>
      <c r="T9482" s="10" t="s">
        <v>3194</v>
      </c>
      <c r="U9482" s="12" t="s">
        <v>31</v>
      </c>
      <c r="V9482" s="10" t="s">
        <v>47828</v>
      </c>
      <c r="W9482" s="10" t="s">
        <v>58494</v>
      </c>
      <c r="X9482" s="13" t="str">
        <f>HYPERLINK("https://my.pitchbook.com?p=441767-62P","View People Online")</f>
        <v>View People Online</v>
      </c>
    </row>
    <row r="9483">
      <c r="A9483" s="14" t="s">
        <v>58597</v>
      </c>
      <c r="B9483" s="14" t="s">
        <v>58598</v>
      </c>
      <c r="C9483" s="14" t="s">
        <v>1914</v>
      </c>
      <c r="D9483" s="14" t="s">
        <v>21699</v>
      </c>
      <c r="E9483" s="14" t="s">
        <v>58494</v>
      </c>
      <c r="F9483" s="14" t="s">
        <v>43</v>
      </c>
      <c r="G9483" s="14" t="s">
        <v>58599</v>
      </c>
      <c r="H9483" s="15">
        <v>2.0</v>
      </c>
      <c r="I9483" s="15">
        <v>29.0</v>
      </c>
      <c r="J9483" s="15">
        <v>2.0</v>
      </c>
      <c r="K9483" s="15">
        <v>20.0</v>
      </c>
      <c r="L9483" s="16" t="s">
        <v>31</v>
      </c>
      <c r="M9483" s="14" t="s">
        <v>58600</v>
      </c>
      <c r="N9483" s="14" t="s">
        <v>155</v>
      </c>
      <c r="O9483" s="16" t="s">
        <v>156</v>
      </c>
      <c r="P9483" s="14" t="s">
        <v>58601</v>
      </c>
      <c r="Q9483" s="14" t="s">
        <v>58602</v>
      </c>
      <c r="R9483" s="14" t="s">
        <v>64</v>
      </c>
      <c r="S9483" s="16" t="s">
        <v>7810</v>
      </c>
      <c r="T9483" s="14" t="s">
        <v>66</v>
      </c>
      <c r="U9483" s="16" t="s">
        <v>31</v>
      </c>
      <c r="V9483" s="14" t="s">
        <v>43</v>
      </c>
      <c r="W9483" s="14" t="s">
        <v>58494</v>
      </c>
      <c r="X9483" s="17" t="str">
        <f>HYPERLINK("https://my.pitchbook.com?p=50365-09P","View People Online")</f>
        <v>View People Online</v>
      </c>
    </row>
    <row r="9484">
      <c r="A9484" s="10" t="s">
        <v>58603</v>
      </c>
      <c r="B9484" s="10" t="s">
        <v>58604</v>
      </c>
      <c r="C9484" s="10" t="s">
        <v>58605</v>
      </c>
      <c r="D9484" s="10" t="s">
        <v>831</v>
      </c>
      <c r="E9484" s="10" t="s">
        <v>58494</v>
      </c>
      <c r="F9484" s="10" t="s">
        <v>43</v>
      </c>
      <c r="G9484" s="10" t="s">
        <v>58606</v>
      </c>
      <c r="H9484" s="11" t="s">
        <v>31</v>
      </c>
      <c r="I9484" s="11">
        <v>5.0</v>
      </c>
      <c r="J9484" s="11">
        <v>2.0</v>
      </c>
      <c r="K9484" s="11">
        <v>2.0</v>
      </c>
      <c r="L9484" s="12" t="s">
        <v>31</v>
      </c>
      <c r="M9484" s="10" t="s">
        <v>58607</v>
      </c>
      <c r="N9484" s="10" t="s">
        <v>155</v>
      </c>
      <c r="O9484" s="12" t="s">
        <v>156</v>
      </c>
      <c r="P9484" s="10" t="s">
        <v>58601</v>
      </c>
      <c r="Q9484" s="10" t="s">
        <v>58602</v>
      </c>
      <c r="R9484" s="10" t="s">
        <v>64</v>
      </c>
      <c r="S9484" s="12" t="s">
        <v>7810</v>
      </c>
      <c r="T9484" s="10" t="s">
        <v>66</v>
      </c>
      <c r="U9484" s="12" t="s">
        <v>31</v>
      </c>
      <c r="V9484" s="10" t="s">
        <v>43</v>
      </c>
      <c r="W9484" s="10" t="s">
        <v>58494</v>
      </c>
      <c r="X9484" s="13" t="str">
        <f>HYPERLINK("https://my.pitchbook.com?p=235517-68P","View People Online")</f>
        <v>View People Online</v>
      </c>
    </row>
    <row r="9485">
      <c r="A9485" s="6" t="s">
        <v>58608</v>
      </c>
      <c r="B9485" s="6" t="s">
        <v>58609</v>
      </c>
      <c r="C9485" s="6" t="s">
        <v>58610</v>
      </c>
      <c r="D9485" s="6" t="s">
        <v>41922</v>
      </c>
      <c r="E9485" s="6" t="s">
        <v>58494</v>
      </c>
      <c r="F9485" s="6" t="s">
        <v>43</v>
      </c>
      <c r="G9485" s="6" t="s">
        <v>58611</v>
      </c>
      <c r="H9485" s="7">
        <v>2.0</v>
      </c>
      <c r="I9485" s="7">
        <v>224.0</v>
      </c>
      <c r="J9485" s="7">
        <v>2.0</v>
      </c>
      <c r="K9485" s="7">
        <v>211.0</v>
      </c>
      <c r="L9485" s="8" t="s">
        <v>31</v>
      </c>
      <c r="M9485" s="6" t="s">
        <v>58612</v>
      </c>
      <c r="N9485" s="6" t="s">
        <v>155</v>
      </c>
      <c r="O9485" s="8" t="s">
        <v>156</v>
      </c>
      <c r="P9485" s="6" t="s">
        <v>58613</v>
      </c>
      <c r="Q9485" s="6" t="s">
        <v>31</v>
      </c>
      <c r="R9485" s="6" t="s">
        <v>64</v>
      </c>
      <c r="S9485" s="8" t="s">
        <v>7780</v>
      </c>
      <c r="T9485" s="6" t="s">
        <v>66</v>
      </c>
      <c r="U9485" s="8" t="s">
        <v>31</v>
      </c>
      <c r="V9485" s="6" t="s">
        <v>58614</v>
      </c>
      <c r="W9485" s="6" t="s">
        <v>58615</v>
      </c>
      <c r="X9485" s="9" t="str">
        <f>HYPERLINK("https://my.pitchbook.com?p=217014-94P","View People Online")</f>
        <v>View People Online</v>
      </c>
    </row>
    <row r="9486">
      <c r="A9486" s="2" t="s">
        <v>58616</v>
      </c>
      <c r="B9486" s="2" t="s">
        <v>58617</v>
      </c>
      <c r="C9486" s="2" t="s">
        <v>58618</v>
      </c>
      <c r="D9486" s="2" t="s">
        <v>58619</v>
      </c>
      <c r="E9486" s="2" t="s">
        <v>58494</v>
      </c>
      <c r="F9486" s="2" t="s">
        <v>29</v>
      </c>
      <c r="G9486" s="2" t="s">
        <v>58620</v>
      </c>
      <c r="H9486" s="3" t="s">
        <v>31</v>
      </c>
      <c r="I9486" s="3">
        <v>2.0</v>
      </c>
      <c r="J9486" s="3">
        <v>2.0</v>
      </c>
      <c r="K9486" s="3" t="s">
        <v>31</v>
      </c>
      <c r="L9486" s="4" t="s">
        <v>31</v>
      </c>
      <c r="M9486" s="2" t="s">
        <v>31</v>
      </c>
      <c r="N9486" s="2" t="s">
        <v>75</v>
      </c>
      <c r="O9486" s="4" t="s">
        <v>76</v>
      </c>
      <c r="P9486" s="2" t="s">
        <v>58520</v>
      </c>
      <c r="Q9486" s="2" t="s">
        <v>2340</v>
      </c>
      <c r="R9486" s="2" t="s">
        <v>75</v>
      </c>
      <c r="S9486" s="4" t="s">
        <v>27197</v>
      </c>
      <c r="T9486" s="2" t="s">
        <v>66</v>
      </c>
      <c r="U9486" s="4" t="s">
        <v>31</v>
      </c>
      <c r="V9486" s="2" t="s">
        <v>29</v>
      </c>
      <c r="W9486" s="2" t="s">
        <v>58494</v>
      </c>
      <c r="X9486" s="5" t="str">
        <f>HYPERLINK("https://my.pitchbook.com?p=306599-68P","View People Online")</f>
        <v>View People Online</v>
      </c>
    </row>
    <row r="9487">
      <c r="A9487" s="14" t="s">
        <v>58621</v>
      </c>
      <c r="B9487" s="14" t="s">
        <v>58622</v>
      </c>
      <c r="C9487" s="14" t="s">
        <v>6855</v>
      </c>
      <c r="D9487" s="14" t="s">
        <v>3186</v>
      </c>
      <c r="E9487" s="14" t="s">
        <v>58494</v>
      </c>
      <c r="F9487" s="14" t="s">
        <v>25581</v>
      </c>
      <c r="G9487" s="14" t="s">
        <v>58623</v>
      </c>
      <c r="H9487" s="15">
        <v>3.0</v>
      </c>
      <c r="I9487" s="15">
        <v>107.0</v>
      </c>
      <c r="J9487" s="15">
        <v>3.0</v>
      </c>
      <c r="K9487" s="15">
        <v>91.0</v>
      </c>
      <c r="L9487" s="16" t="s">
        <v>31</v>
      </c>
      <c r="M9487" s="14" t="s">
        <v>58624</v>
      </c>
      <c r="N9487" s="14" t="s">
        <v>205</v>
      </c>
      <c r="O9487" s="16" t="s">
        <v>206</v>
      </c>
      <c r="P9487" s="14" t="s">
        <v>58506</v>
      </c>
      <c r="Q9487" s="14" t="s">
        <v>1457</v>
      </c>
      <c r="R9487" s="14" t="s">
        <v>209</v>
      </c>
      <c r="S9487" s="16" t="s">
        <v>52393</v>
      </c>
      <c r="T9487" s="14" t="s">
        <v>66</v>
      </c>
      <c r="U9487" s="16" t="s">
        <v>31</v>
      </c>
      <c r="V9487" s="14" t="s">
        <v>25581</v>
      </c>
      <c r="W9487" s="14" t="s">
        <v>58494</v>
      </c>
      <c r="X9487" s="17" t="str">
        <f>HYPERLINK("https://my.pitchbook.com?p=39039-58P","View People Online")</f>
        <v>View People Online</v>
      </c>
    </row>
    <row r="9488">
      <c r="A9488" s="10" t="s">
        <v>58625</v>
      </c>
      <c r="B9488" s="10" t="s">
        <v>58626</v>
      </c>
      <c r="C9488" s="10" t="s">
        <v>34330</v>
      </c>
      <c r="D9488" s="10" t="s">
        <v>58627</v>
      </c>
      <c r="E9488" s="10" t="s">
        <v>58494</v>
      </c>
      <c r="F9488" s="10" t="s">
        <v>29</v>
      </c>
      <c r="G9488" s="10" t="s">
        <v>58628</v>
      </c>
      <c r="H9488" s="11" t="s">
        <v>31</v>
      </c>
      <c r="I9488" s="11">
        <v>1.0</v>
      </c>
      <c r="J9488" s="11">
        <v>1.0</v>
      </c>
      <c r="K9488" s="11" t="s">
        <v>31</v>
      </c>
      <c r="L9488" s="12" t="s">
        <v>31</v>
      </c>
      <c r="M9488" s="10" t="s">
        <v>58629</v>
      </c>
      <c r="N9488" s="10" t="s">
        <v>205</v>
      </c>
      <c r="O9488" s="12" t="s">
        <v>206</v>
      </c>
      <c r="P9488" s="10" t="s">
        <v>58506</v>
      </c>
      <c r="Q9488" s="10" t="s">
        <v>1457</v>
      </c>
      <c r="R9488" s="10" t="s">
        <v>209</v>
      </c>
      <c r="S9488" s="12" t="s">
        <v>52393</v>
      </c>
      <c r="T9488" s="10" t="s">
        <v>66</v>
      </c>
      <c r="U9488" s="12" t="s">
        <v>31</v>
      </c>
      <c r="V9488" s="10" t="s">
        <v>58630</v>
      </c>
      <c r="W9488" s="10" t="s">
        <v>58494</v>
      </c>
      <c r="X9488" s="13" t="str">
        <f>HYPERLINK("https://my.pitchbook.com?p=166254-76P","View People Online")</f>
        <v>View People Online</v>
      </c>
    </row>
    <row r="9489">
      <c r="A9489" s="14" t="s">
        <v>58631</v>
      </c>
      <c r="B9489" s="14" t="s">
        <v>58632</v>
      </c>
      <c r="C9489" s="14" t="s">
        <v>58633</v>
      </c>
      <c r="D9489" s="14" t="s">
        <v>10412</v>
      </c>
      <c r="E9489" s="14" t="s">
        <v>58494</v>
      </c>
      <c r="F9489" s="14" t="s">
        <v>3710</v>
      </c>
      <c r="G9489" s="14" t="s">
        <v>58634</v>
      </c>
      <c r="H9489" s="15" t="s">
        <v>31</v>
      </c>
      <c r="I9489" s="15">
        <v>1.0</v>
      </c>
      <c r="J9489" s="15">
        <v>1.0</v>
      </c>
      <c r="K9489" s="15" t="s">
        <v>31</v>
      </c>
      <c r="L9489" s="16" t="s">
        <v>58524</v>
      </c>
      <c r="M9489" s="14" t="s">
        <v>58635</v>
      </c>
      <c r="N9489" s="14" t="s">
        <v>40282</v>
      </c>
      <c r="O9489" s="16" t="s">
        <v>40283</v>
      </c>
      <c r="P9489" s="14" t="s">
        <v>41811</v>
      </c>
      <c r="Q9489" s="14" t="s">
        <v>58498</v>
      </c>
      <c r="R9489" s="14" t="s">
        <v>40282</v>
      </c>
      <c r="S9489" s="16" t="s">
        <v>58499</v>
      </c>
      <c r="T9489" s="14" t="s">
        <v>3194</v>
      </c>
      <c r="U9489" s="16" t="s">
        <v>31</v>
      </c>
      <c r="V9489" s="14" t="s">
        <v>3710</v>
      </c>
      <c r="W9489" s="14" t="s">
        <v>58494</v>
      </c>
      <c r="X9489" s="17" t="str">
        <f>HYPERLINK("https://my.pitchbook.com?p=152291-89P","View People Online")</f>
        <v>View People Online</v>
      </c>
    </row>
    <row r="9490">
      <c r="A9490" s="2" t="s">
        <v>58636</v>
      </c>
      <c r="B9490" s="2" t="s">
        <v>58637</v>
      </c>
      <c r="C9490" s="2" t="s">
        <v>3722</v>
      </c>
      <c r="D9490" s="2" t="s">
        <v>27012</v>
      </c>
      <c r="E9490" s="2" t="s">
        <v>58494</v>
      </c>
      <c r="F9490" s="2" t="s">
        <v>43</v>
      </c>
      <c r="G9490" s="2" t="s">
        <v>58638</v>
      </c>
      <c r="H9490" s="3">
        <v>1.0</v>
      </c>
      <c r="I9490" s="3">
        <v>118.0</v>
      </c>
      <c r="J9490" s="3">
        <v>2.0</v>
      </c>
      <c r="K9490" s="3">
        <v>109.0</v>
      </c>
      <c r="L9490" s="4" t="s">
        <v>31</v>
      </c>
      <c r="M9490" s="2" t="s">
        <v>58639</v>
      </c>
      <c r="N9490" s="2" t="s">
        <v>75</v>
      </c>
      <c r="O9490" s="4" t="s">
        <v>76</v>
      </c>
      <c r="P9490" s="2" t="s">
        <v>58640</v>
      </c>
      <c r="Q9490" s="2" t="s">
        <v>31</v>
      </c>
      <c r="R9490" s="2" t="s">
        <v>75</v>
      </c>
      <c r="S9490" s="4" t="s">
        <v>58641</v>
      </c>
      <c r="T9490" s="2" t="s">
        <v>66</v>
      </c>
      <c r="U9490" s="4" t="s">
        <v>31</v>
      </c>
      <c r="V9490" s="2" t="s">
        <v>58614</v>
      </c>
      <c r="W9490" s="2" t="s">
        <v>58615</v>
      </c>
      <c r="X9490" s="5" t="str">
        <f>HYPERLINK("https://my.pitchbook.com?p=172614-07P","View People Online")</f>
        <v>View People Online</v>
      </c>
    </row>
    <row r="9491">
      <c r="A9491" s="6" t="s">
        <v>58642</v>
      </c>
      <c r="B9491" s="6" t="s">
        <v>58643</v>
      </c>
      <c r="C9491" s="6" t="s">
        <v>3722</v>
      </c>
      <c r="D9491" s="6" t="s">
        <v>58644</v>
      </c>
      <c r="E9491" s="6" t="s">
        <v>58494</v>
      </c>
      <c r="F9491" s="6" t="s">
        <v>3979</v>
      </c>
      <c r="G9491" s="6" t="s">
        <v>58645</v>
      </c>
      <c r="H9491" s="7" t="s">
        <v>31</v>
      </c>
      <c r="I9491" s="7">
        <v>2.0</v>
      </c>
      <c r="J9491" s="7">
        <v>1.0</v>
      </c>
      <c r="K9491" s="7" t="s">
        <v>31</v>
      </c>
      <c r="L9491" s="8" t="s">
        <v>58524</v>
      </c>
      <c r="M9491" s="6" t="s">
        <v>58646</v>
      </c>
      <c r="N9491" s="6" t="s">
        <v>40282</v>
      </c>
      <c r="O9491" s="8" t="s">
        <v>40283</v>
      </c>
      <c r="P9491" s="6" t="s">
        <v>41811</v>
      </c>
      <c r="Q9491" s="6" t="s">
        <v>58498</v>
      </c>
      <c r="R9491" s="6" t="s">
        <v>40282</v>
      </c>
      <c r="S9491" s="8" t="s">
        <v>58499</v>
      </c>
      <c r="T9491" s="6" t="s">
        <v>3194</v>
      </c>
      <c r="U9491" s="8" t="s">
        <v>31</v>
      </c>
      <c r="V9491" s="6" t="s">
        <v>3979</v>
      </c>
      <c r="W9491" s="6" t="s">
        <v>58494</v>
      </c>
      <c r="X9491" s="9" t="str">
        <f>HYPERLINK("https://my.pitchbook.com?p=59566-42P","View People Online")</f>
        <v>View People Online</v>
      </c>
    </row>
    <row r="9492">
      <c r="A9492" s="10" t="s">
        <v>58647</v>
      </c>
      <c r="B9492" s="10" t="s">
        <v>58648</v>
      </c>
      <c r="C9492" s="10" t="s">
        <v>1683</v>
      </c>
      <c r="D9492" s="10" t="s">
        <v>58649</v>
      </c>
      <c r="E9492" s="10" t="s">
        <v>58494</v>
      </c>
      <c r="F9492" s="10" t="s">
        <v>29</v>
      </c>
      <c r="G9492" s="10" t="s">
        <v>58650</v>
      </c>
      <c r="H9492" s="11">
        <v>1.0</v>
      </c>
      <c r="I9492" s="11">
        <v>3.0</v>
      </c>
      <c r="J9492" s="11">
        <v>2.0</v>
      </c>
      <c r="K9492" s="11" t="s">
        <v>31</v>
      </c>
      <c r="L9492" s="12" t="s">
        <v>31</v>
      </c>
      <c r="M9492" s="10" t="s">
        <v>58651</v>
      </c>
      <c r="N9492" s="10" t="s">
        <v>205</v>
      </c>
      <c r="O9492" s="12" t="s">
        <v>206</v>
      </c>
      <c r="P9492" s="10" t="s">
        <v>58506</v>
      </c>
      <c r="Q9492" s="10" t="s">
        <v>1457</v>
      </c>
      <c r="R9492" s="10" t="s">
        <v>209</v>
      </c>
      <c r="S9492" s="12" t="s">
        <v>52393</v>
      </c>
      <c r="T9492" s="10" t="s">
        <v>66</v>
      </c>
      <c r="U9492" s="12" t="s">
        <v>31</v>
      </c>
      <c r="V9492" s="10" t="s">
        <v>29</v>
      </c>
      <c r="W9492" s="10" t="s">
        <v>58494</v>
      </c>
      <c r="X9492" s="13" t="str">
        <f>HYPERLINK("https://my.pitchbook.com?p=138955-15P","View People Online")</f>
        <v>View People Online</v>
      </c>
    </row>
    <row r="9493">
      <c r="A9493" s="6" t="s">
        <v>58652</v>
      </c>
      <c r="B9493" s="6" t="s">
        <v>58653</v>
      </c>
      <c r="C9493" s="6" t="s">
        <v>58654</v>
      </c>
      <c r="D9493" s="6" t="s">
        <v>58655</v>
      </c>
      <c r="E9493" s="6" t="s">
        <v>58494</v>
      </c>
      <c r="F9493" s="6" t="s">
        <v>318</v>
      </c>
      <c r="G9493" s="6" t="s">
        <v>58656</v>
      </c>
      <c r="H9493" s="7" t="s">
        <v>31</v>
      </c>
      <c r="I9493" s="7">
        <v>4.0</v>
      </c>
      <c r="J9493" s="7">
        <v>2.0</v>
      </c>
      <c r="K9493" s="7">
        <v>2.0</v>
      </c>
      <c r="L9493" s="8" t="s">
        <v>58657</v>
      </c>
      <c r="M9493" s="6" t="s">
        <v>58658</v>
      </c>
      <c r="N9493" s="6" t="s">
        <v>205</v>
      </c>
      <c r="O9493" s="8" t="s">
        <v>206</v>
      </c>
      <c r="P9493" s="6" t="s">
        <v>58506</v>
      </c>
      <c r="Q9493" s="6" t="s">
        <v>1457</v>
      </c>
      <c r="R9493" s="6" t="s">
        <v>209</v>
      </c>
      <c r="S9493" s="8" t="s">
        <v>52393</v>
      </c>
      <c r="T9493" s="6" t="s">
        <v>66</v>
      </c>
      <c r="U9493" s="8" t="s">
        <v>31</v>
      </c>
      <c r="V9493" s="6" t="s">
        <v>318</v>
      </c>
      <c r="W9493" s="6" t="s">
        <v>58494</v>
      </c>
      <c r="X9493" s="9" t="str">
        <f>HYPERLINK("https://my.pitchbook.com?p=306601-12P","View People Online")</f>
        <v>View People Online</v>
      </c>
    </row>
    <row r="9494">
      <c r="A9494" s="10" t="s">
        <v>58659</v>
      </c>
      <c r="B9494" s="10" t="s">
        <v>58660</v>
      </c>
      <c r="C9494" s="10" t="s">
        <v>1697</v>
      </c>
      <c r="D9494" s="10" t="s">
        <v>58661</v>
      </c>
      <c r="E9494" s="10" t="s">
        <v>58494</v>
      </c>
      <c r="F9494" s="10" t="s">
        <v>114</v>
      </c>
      <c r="G9494" s="10" t="s">
        <v>58662</v>
      </c>
      <c r="H9494" s="11">
        <v>11.0</v>
      </c>
      <c r="I9494" s="11">
        <v>499.0</v>
      </c>
      <c r="J9494" s="11">
        <v>4.0</v>
      </c>
      <c r="K9494" s="11">
        <v>464.0</v>
      </c>
      <c r="L9494" s="12" t="s">
        <v>31</v>
      </c>
      <c r="M9494" s="10" t="s">
        <v>58663</v>
      </c>
      <c r="N9494" s="10" t="s">
        <v>637</v>
      </c>
      <c r="O9494" s="12" t="s">
        <v>638</v>
      </c>
      <c r="P9494" s="10" t="s">
        <v>31</v>
      </c>
      <c r="Q9494" s="10" t="s">
        <v>31</v>
      </c>
      <c r="R9494" s="10" t="s">
        <v>31</v>
      </c>
      <c r="S9494" s="12" t="s">
        <v>31</v>
      </c>
      <c r="T9494" s="10" t="s">
        <v>639</v>
      </c>
      <c r="U9494" s="12" t="s">
        <v>31</v>
      </c>
      <c r="V9494" s="10" t="s">
        <v>58664</v>
      </c>
      <c r="W9494" s="10" t="s">
        <v>58665</v>
      </c>
      <c r="X9494" s="13" t="str">
        <f>HYPERLINK("https://my.pitchbook.com?p=43419-16P","View People Online")</f>
        <v>View People Online</v>
      </c>
    </row>
    <row r="9495">
      <c r="A9495" s="6" t="s">
        <v>58666</v>
      </c>
      <c r="B9495" s="6" t="s">
        <v>58667</v>
      </c>
      <c r="C9495" s="6" t="s">
        <v>1697</v>
      </c>
      <c r="D9495" s="6" t="s">
        <v>33622</v>
      </c>
      <c r="E9495" s="6" t="s">
        <v>58494</v>
      </c>
      <c r="F9495" s="6" t="s">
        <v>3710</v>
      </c>
      <c r="G9495" s="6" t="s">
        <v>58668</v>
      </c>
      <c r="H9495" s="7" t="s">
        <v>31</v>
      </c>
      <c r="I9495" s="7">
        <v>1.0</v>
      </c>
      <c r="J9495" s="7">
        <v>1.0</v>
      </c>
      <c r="K9495" s="7" t="s">
        <v>31</v>
      </c>
      <c r="L9495" s="8" t="s">
        <v>31</v>
      </c>
      <c r="M9495" s="6" t="s">
        <v>58669</v>
      </c>
      <c r="N9495" s="6" t="s">
        <v>155</v>
      </c>
      <c r="O9495" s="8" t="s">
        <v>156</v>
      </c>
      <c r="P9495" s="6" t="s">
        <v>58601</v>
      </c>
      <c r="Q9495" s="6" t="s">
        <v>58602</v>
      </c>
      <c r="R9495" s="6" t="s">
        <v>64</v>
      </c>
      <c r="S9495" s="8" t="s">
        <v>7810</v>
      </c>
      <c r="T9495" s="6" t="s">
        <v>66</v>
      </c>
      <c r="U9495" s="8" t="s">
        <v>31</v>
      </c>
      <c r="V9495" s="6" t="s">
        <v>58670</v>
      </c>
      <c r="W9495" s="6" t="s">
        <v>58494</v>
      </c>
      <c r="X9495" s="9" t="str">
        <f>HYPERLINK("https://my.pitchbook.com?p=79510-87P","View People Online")</f>
        <v>View People Online</v>
      </c>
    </row>
    <row r="9496">
      <c r="A9496" s="10" t="s">
        <v>58671</v>
      </c>
      <c r="B9496" s="10" t="s">
        <v>58672</v>
      </c>
      <c r="C9496" s="10" t="s">
        <v>58673</v>
      </c>
      <c r="D9496" s="10" t="s">
        <v>31207</v>
      </c>
      <c r="E9496" s="10" t="s">
        <v>58494</v>
      </c>
      <c r="F9496" s="10" t="s">
        <v>270</v>
      </c>
      <c r="G9496" s="10" t="s">
        <v>58674</v>
      </c>
      <c r="H9496" s="11" t="s">
        <v>31</v>
      </c>
      <c r="I9496" s="11">
        <v>1.0</v>
      </c>
      <c r="J9496" s="11">
        <v>1.0</v>
      </c>
      <c r="K9496" s="11" t="s">
        <v>31</v>
      </c>
      <c r="L9496" s="12" t="s">
        <v>8143</v>
      </c>
      <c r="M9496" s="10" t="s">
        <v>58675</v>
      </c>
      <c r="N9496" s="10" t="s">
        <v>205</v>
      </c>
      <c r="O9496" s="12" t="s">
        <v>206</v>
      </c>
      <c r="P9496" s="10" t="s">
        <v>58506</v>
      </c>
      <c r="Q9496" s="10" t="s">
        <v>1457</v>
      </c>
      <c r="R9496" s="10" t="s">
        <v>209</v>
      </c>
      <c r="S9496" s="12" t="s">
        <v>52393</v>
      </c>
      <c r="T9496" s="10" t="s">
        <v>66</v>
      </c>
      <c r="U9496" s="12" t="s">
        <v>31</v>
      </c>
      <c r="V9496" s="10" t="s">
        <v>58676</v>
      </c>
      <c r="W9496" s="10" t="s">
        <v>58494</v>
      </c>
      <c r="X9496" s="13" t="str">
        <f>HYPERLINK("https://my.pitchbook.com?p=266856-58P","View People Online")</f>
        <v>View People Online</v>
      </c>
    </row>
    <row r="9497">
      <c r="A9497" s="6" t="s">
        <v>58677</v>
      </c>
      <c r="B9497" s="6" t="s">
        <v>58678</v>
      </c>
      <c r="C9497" s="6" t="s">
        <v>10710</v>
      </c>
      <c r="D9497" s="6" t="s">
        <v>58679</v>
      </c>
      <c r="E9497" s="6" t="s">
        <v>58680</v>
      </c>
      <c r="F9497" s="6" t="s">
        <v>270</v>
      </c>
      <c r="G9497" s="6" t="s">
        <v>58681</v>
      </c>
      <c r="H9497" s="7">
        <v>7.0</v>
      </c>
      <c r="I9497" s="7">
        <v>365.0</v>
      </c>
      <c r="J9497" s="7">
        <v>6.0</v>
      </c>
      <c r="K9497" s="7">
        <v>317.0</v>
      </c>
      <c r="L9497" s="8" t="s">
        <v>58682</v>
      </c>
      <c r="M9497" s="6" t="s">
        <v>58683</v>
      </c>
      <c r="N9497" s="6" t="s">
        <v>58684</v>
      </c>
      <c r="O9497" s="8" t="s">
        <v>58685</v>
      </c>
      <c r="P9497" s="6" t="s">
        <v>58686</v>
      </c>
      <c r="Q9497" s="6" t="s">
        <v>58687</v>
      </c>
      <c r="R9497" s="6" t="s">
        <v>396</v>
      </c>
      <c r="S9497" s="8" t="s">
        <v>58688</v>
      </c>
      <c r="T9497" s="6" t="s">
        <v>66</v>
      </c>
      <c r="U9497" s="8" t="s">
        <v>31</v>
      </c>
      <c r="V9497" s="6" t="s">
        <v>86</v>
      </c>
      <c r="W9497" s="6" t="s">
        <v>58689</v>
      </c>
      <c r="X9497" s="9" t="str">
        <f>HYPERLINK("https://my.pitchbook.com?p=40292-38P","View People Online")</f>
        <v>View People Online</v>
      </c>
    </row>
    <row r="9498">
      <c r="A9498" s="2" t="s">
        <v>58690</v>
      </c>
      <c r="B9498" s="2" t="s">
        <v>58691</v>
      </c>
      <c r="C9498" s="2" t="s">
        <v>1437</v>
      </c>
      <c r="D9498" s="2" t="s">
        <v>4937</v>
      </c>
      <c r="E9498" s="2" t="s">
        <v>58680</v>
      </c>
      <c r="F9498" s="2" t="s">
        <v>270</v>
      </c>
      <c r="G9498" s="2" t="s">
        <v>58692</v>
      </c>
      <c r="H9498" s="3" t="s">
        <v>31</v>
      </c>
      <c r="I9498" s="3">
        <v>1.0</v>
      </c>
      <c r="J9498" s="3">
        <v>1.0</v>
      </c>
      <c r="K9498" s="3" t="s">
        <v>31</v>
      </c>
      <c r="L9498" s="4" t="s">
        <v>58693</v>
      </c>
      <c r="M9498" s="2" t="s">
        <v>31</v>
      </c>
      <c r="N9498" s="2" t="s">
        <v>75</v>
      </c>
      <c r="O9498" s="4" t="s">
        <v>76</v>
      </c>
      <c r="P9498" s="2" t="s">
        <v>31</v>
      </c>
      <c r="Q9498" s="2" t="s">
        <v>31</v>
      </c>
      <c r="R9498" s="2" t="s">
        <v>75</v>
      </c>
      <c r="S9498" s="4" t="s">
        <v>31</v>
      </c>
      <c r="T9498" s="2" t="s">
        <v>66</v>
      </c>
      <c r="U9498" s="4" t="s">
        <v>31</v>
      </c>
      <c r="V9498" s="2" t="s">
        <v>440</v>
      </c>
      <c r="W9498" s="2" t="s">
        <v>58680</v>
      </c>
      <c r="X9498" s="5" t="str">
        <f>HYPERLINK("https://my.pitchbook.com?p=353042-65P","View People Online")</f>
        <v>View People Online</v>
      </c>
    </row>
    <row r="9499">
      <c r="A9499" s="14" t="s">
        <v>58694</v>
      </c>
      <c r="B9499" s="14" t="s">
        <v>58695</v>
      </c>
      <c r="C9499" s="14" t="s">
        <v>69</v>
      </c>
      <c r="D9499" s="14" t="s">
        <v>58696</v>
      </c>
      <c r="E9499" s="14" t="s">
        <v>58680</v>
      </c>
      <c r="F9499" s="14" t="s">
        <v>58697</v>
      </c>
      <c r="G9499" s="14" t="s">
        <v>58698</v>
      </c>
      <c r="H9499" s="15" t="s">
        <v>31</v>
      </c>
      <c r="I9499" s="15">
        <v>2.0</v>
      </c>
      <c r="J9499" s="15">
        <v>1.0</v>
      </c>
      <c r="K9499" s="15">
        <v>1.0</v>
      </c>
      <c r="L9499" s="16" t="s">
        <v>58693</v>
      </c>
      <c r="M9499" s="14" t="s">
        <v>58699</v>
      </c>
      <c r="N9499" s="14" t="s">
        <v>75</v>
      </c>
      <c r="O9499" s="16" t="s">
        <v>76</v>
      </c>
      <c r="P9499" s="14" t="s">
        <v>31</v>
      </c>
      <c r="Q9499" s="14" t="s">
        <v>31</v>
      </c>
      <c r="R9499" s="14" t="s">
        <v>75</v>
      </c>
      <c r="S9499" s="16" t="s">
        <v>31</v>
      </c>
      <c r="T9499" s="14" t="s">
        <v>66</v>
      </c>
      <c r="U9499" s="16" t="s">
        <v>31</v>
      </c>
      <c r="V9499" s="14" t="s">
        <v>58700</v>
      </c>
      <c r="W9499" s="14" t="s">
        <v>58680</v>
      </c>
      <c r="X9499" s="17" t="str">
        <f>HYPERLINK("https://my.pitchbook.com?p=87401-53P","View People Online")</f>
        <v>View People Online</v>
      </c>
    </row>
    <row r="9500">
      <c r="A9500" s="2" t="s">
        <v>58701</v>
      </c>
      <c r="B9500" s="2" t="s">
        <v>58702</v>
      </c>
      <c r="C9500" s="2" t="s">
        <v>1502</v>
      </c>
      <c r="D9500" s="2" t="s">
        <v>58703</v>
      </c>
      <c r="E9500" s="2" t="s">
        <v>58680</v>
      </c>
      <c r="F9500" s="2" t="s">
        <v>270</v>
      </c>
      <c r="G9500" s="2" t="s">
        <v>58704</v>
      </c>
      <c r="H9500" s="3">
        <v>13.0</v>
      </c>
      <c r="I9500" s="3">
        <v>208.0</v>
      </c>
      <c r="J9500" s="3">
        <v>5.0</v>
      </c>
      <c r="K9500" s="3">
        <v>152.0</v>
      </c>
      <c r="L9500" s="4" t="s">
        <v>33233</v>
      </c>
      <c r="M9500" s="2" t="s">
        <v>58705</v>
      </c>
      <c r="N9500" s="2" t="s">
        <v>1292</v>
      </c>
      <c r="O9500" s="4" t="s">
        <v>1293</v>
      </c>
      <c r="P9500" s="2" t="s">
        <v>33235</v>
      </c>
      <c r="Q9500" s="2" t="s">
        <v>6591</v>
      </c>
      <c r="R9500" s="2" t="s">
        <v>64</v>
      </c>
      <c r="S9500" s="4" t="s">
        <v>1296</v>
      </c>
      <c r="T9500" s="2" t="s">
        <v>66</v>
      </c>
      <c r="U9500" s="4" t="s">
        <v>33236</v>
      </c>
      <c r="V9500" s="2" t="s">
        <v>58706</v>
      </c>
      <c r="W9500" s="2" t="s">
        <v>33237</v>
      </c>
      <c r="X9500" s="5" t="str">
        <f>HYPERLINK("https://my.pitchbook.com?p=32755-60P","View People Online")</f>
        <v>View People Online</v>
      </c>
    </row>
    <row r="9501">
      <c r="A9501" s="6" t="s">
        <v>58707</v>
      </c>
      <c r="B9501" s="6" t="s">
        <v>58708</v>
      </c>
      <c r="C9501" s="6" t="s">
        <v>9675</v>
      </c>
      <c r="D9501" s="6" t="s">
        <v>58709</v>
      </c>
      <c r="E9501" s="6" t="s">
        <v>58680</v>
      </c>
      <c r="F9501" s="6" t="s">
        <v>270</v>
      </c>
      <c r="G9501" s="6" t="s">
        <v>58710</v>
      </c>
      <c r="H9501" s="7">
        <v>1.0</v>
      </c>
      <c r="I9501" s="7">
        <v>42.0</v>
      </c>
      <c r="J9501" s="7">
        <v>2.0</v>
      </c>
      <c r="K9501" s="7">
        <v>37.0</v>
      </c>
      <c r="L9501" s="8" t="s">
        <v>58711</v>
      </c>
      <c r="M9501" s="6" t="s">
        <v>31</v>
      </c>
      <c r="N9501" s="6" t="s">
        <v>155</v>
      </c>
      <c r="O9501" s="8" t="s">
        <v>156</v>
      </c>
      <c r="P9501" s="6" t="s">
        <v>58712</v>
      </c>
      <c r="Q9501" s="6" t="s">
        <v>31</v>
      </c>
      <c r="R9501" s="6" t="s">
        <v>64</v>
      </c>
      <c r="S9501" s="8" t="s">
        <v>3487</v>
      </c>
      <c r="T9501" s="6" t="s">
        <v>66</v>
      </c>
      <c r="U9501" s="8" t="s">
        <v>31</v>
      </c>
      <c r="V9501" s="6" t="s">
        <v>157</v>
      </c>
      <c r="W9501" s="6" t="s">
        <v>58713</v>
      </c>
      <c r="X9501" s="9" t="str">
        <f>HYPERLINK("https://my.pitchbook.com?p=36939-34P","View People Online")</f>
        <v>View People Online</v>
      </c>
    </row>
    <row r="9502">
      <c r="A9502" s="10" t="s">
        <v>58714</v>
      </c>
      <c r="B9502" s="10" t="s">
        <v>58715</v>
      </c>
      <c r="C9502" s="10" t="s">
        <v>58716</v>
      </c>
      <c r="D9502" s="10" t="s">
        <v>58717</v>
      </c>
      <c r="E9502" s="10" t="s">
        <v>58680</v>
      </c>
      <c r="F9502" s="10" t="s">
        <v>86</v>
      </c>
      <c r="G9502" s="10" t="s">
        <v>58718</v>
      </c>
      <c r="H9502" s="11" t="s">
        <v>31</v>
      </c>
      <c r="I9502" s="11">
        <v>1.0</v>
      </c>
      <c r="J9502" s="11">
        <v>1.0</v>
      </c>
      <c r="K9502" s="11" t="s">
        <v>31</v>
      </c>
      <c r="L9502" s="12" t="s">
        <v>58719</v>
      </c>
      <c r="M9502" s="10" t="s">
        <v>58720</v>
      </c>
      <c r="N9502" s="10" t="s">
        <v>75</v>
      </c>
      <c r="O9502" s="12" t="s">
        <v>76</v>
      </c>
      <c r="P9502" s="10" t="s">
        <v>31</v>
      </c>
      <c r="Q9502" s="10" t="s">
        <v>31</v>
      </c>
      <c r="R9502" s="10" t="s">
        <v>75</v>
      </c>
      <c r="S9502" s="12" t="s">
        <v>31</v>
      </c>
      <c r="T9502" s="10" t="s">
        <v>66</v>
      </c>
      <c r="U9502" s="12" t="s">
        <v>31</v>
      </c>
      <c r="V9502" s="10" t="s">
        <v>95</v>
      </c>
      <c r="W9502" s="10" t="s">
        <v>58680</v>
      </c>
      <c r="X9502" s="13" t="str">
        <f>HYPERLINK("https://my.pitchbook.com?p=134538-13P","View People Online")</f>
        <v>View People Online</v>
      </c>
    </row>
    <row r="9503">
      <c r="A9503" s="14" t="s">
        <v>58721</v>
      </c>
      <c r="B9503" s="14" t="s">
        <v>58722</v>
      </c>
      <c r="C9503" s="14" t="s">
        <v>186</v>
      </c>
      <c r="D9503" s="14" t="s">
        <v>831</v>
      </c>
      <c r="E9503" s="14" t="s">
        <v>58723</v>
      </c>
      <c r="F9503" s="14" t="s">
        <v>114</v>
      </c>
      <c r="G9503" s="14" t="s">
        <v>58724</v>
      </c>
      <c r="H9503" s="15" t="s">
        <v>31</v>
      </c>
      <c r="I9503" s="15">
        <v>4.0</v>
      </c>
      <c r="J9503" s="15">
        <v>2.0</v>
      </c>
      <c r="K9503" s="15">
        <v>1.0</v>
      </c>
      <c r="L9503" s="16" t="s">
        <v>58725</v>
      </c>
      <c r="M9503" s="14" t="s">
        <v>58726</v>
      </c>
      <c r="N9503" s="14" t="s">
        <v>986</v>
      </c>
      <c r="O9503" s="16" t="s">
        <v>987</v>
      </c>
      <c r="P9503" s="14" t="s">
        <v>58727</v>
      </c>
      <c r="Q9503" s="14" t="s">
        <v>6872</v>
      </c>
      <c r="R9503" s="14" t="s">
        <v>64</v>
      </c>
      <c r="S9503" s="16" t="s">
        <v>58728</v>
      </c>
      <c r="T9503" s="14" t="s">
        <v>66</v>
      </c>
      <c r="U9503" s="16" t="s">
        <v>31</v>
      </c>
      <c r="V9503" s="14" t="s">
        <v>58729</v>
      </c>
      <c r="W9503" s="14" t="s">
        <v>58730</v>
      </c>
      <c r="X9503" s="17" t="str">
        <f>HYPERLINK("https://my.pitchbook.com?p=159008-23P","View People Online")</f>
        <v>View People Online</v>
      </c>
    </row>
    <row r="9504">
      <c r="A9504" s="10" t="s">
        <v>58731</v>
      </c>
      <c r="B9504" s="10" t="s">
        <v>58732</v>
      </c>
      <c r="C9504" s="10" t="s">
        <v>237</v>
      </c>
      <c r="D9504" s="10" t="s">
        <v>58733</v>
      </c>
      <c r="E9504" s="10" t="s">
        <v>58723</v>
      </c>
      <c r="F9504" s="10" t="s">
        <v>114</v>
      </c>
      <c r="G9504" s="10" t="s">
        <v>58734</v>
      </c>
      <c r="H9504" s="11">
        <v>1.0</v>
      </c>
      <c r="I9504" s="11">
        <v>6.0</v>
      </c>
      <c r="J9504" s="11">
        <v>2.0</v>
      </c>
      <c r="K9504" s="11">
        <v>3.0</v>
      </c>
      <c r="L9504" s="12" t="s">
        <v>31</v>
      </c>
      <c r="M9504" s="10" t="s">
        <v>58735</v>
      </c>
      <c r="N9504" s="10" t="s">
        <v>155</v>
      </c>
      <c r="O9504" s="12" t="s">
        <v>156</v>
      </c>
      <c r="P9504" s="10" t="s">
        <v>58736</v>
      </c>
      <c r="Q9504" s="10" t="s">
        <v>31</v>
      </c>
      <c r="R9504" s="10" t="s">
        <v>64</v>
      </c>
      <c r="S9504" s="12" t="s">
        <v>24337</v>
      </c>
      <c r="T9504" s="10" t="s">
        <v>66</v>
      </c>
      <c r="U9504" s="12" t="s">
        <v>31</v>
      </c>
      <c r="V9504" s="10" t="s">
        <v>1384</v>
      </c>
      <c r="W9504" s="10" t="s">
        <v>58737</v>
      </c>
      <c r="X9504" s="13" t="str">
        <f>HYPERLINK("https://my.pitchbook.com?p=54429-49P","View People Online")</f>
        <v>View People Online</v>
      </c>
    </row>
    <row r="9505">
      <c r="A9505" s="14" t="s">
        <v>58738</v>
      </c>
      <c r="B9505" s="14" t="s">
        <v>58739</v>
      </c>
      <c r="C9505" s="14" t="s">
        <v>58740</v>
      </c>
      <c r="D9505" s="14" t="s">
        <v>58741</v>
      </c>
      <c r="E9505" s="14" t="s">
        <v>58723</v>
      </c>
      <c r="F9505" s="14" t="s">
        <v>81</v>
      </c>
      <c r="G9505" s="14" t="s">
        <v>58742</v>
      </c>
      <c r="H9505" s="15">
        <v>4.0</v>
      </c>
      <c r="I9505" s="15">
        <v>31.0</v>
      </c>
      <c r="J9505" s="15">
        <v>1.0</v>
      </c>
      <c r="K9505" s="15">
        <v>25.0</v>
      </c>
      <c r="L9505" s="16" t="s">
        <v>58743</v>
      </c>
      <c r="M9505" s="14" t="s">
        <v>58744</v>
      </c>
      <c r="N9505" s="14" t="s">
        <v>775</v>
      </c>
      <c r="O9505" s="16" t="s">
        <v>776</v>
      </c>
      <c r="P9505" s="14" t="s">
        <v>58745</v>
      </c>
      <c r="Q9505" s="14" t="s">
        <v>52076</v>
      </c>
      <c r="R9505" s="14" t="s">
        <v>64</v>
      </c>
      <c r="S9505" s="16" t="s">
        <v>5635</v>
      </c>
      <c r="T9505" s="14" t="s">
        <v>66</v>
      </c>
      <c r="U9505" s="16" t="s">
        <v>31</v>
      </c>
      <c r="V9505" s="14" t="s">
        <v>1384</v>
      </c>
      <c r="W9505" s="14" t="s">
        <v>58746</v>
      </c>
      <c r="X9505" s="17" t="str">
        <f>HYPERLINK("https://my.pitchbook.com?p=44244-01P","View People Online")</f>
        <v>View People Online</v>
      </c>
    </row>
    <row r="9506">
      <c r="A9506" s="10" t="s">
        <v>58747</v>
      </c>
      <c r="B9506" s="10" t="s">
        <v>58748</v>
      </c>
      <c r="C9506" s="10" t="s">
        <v>31099</v>
      </c>
      <c r="D9506" s="10" t="s">
        <v>58749</v>
      </c>
      <c r="E9506" s="10" t="s">
        <v>58723</v>
      </c>
      <c r="F9506" s="10" t="s">
        <v>81</v>
      </c>
      <c r="G9506" s="10" t="s">
        <v>58750</v>
      </c>
      <c r="H9506" s="11">
        <v>2.0</v>
      </c>
      <c r="I9506" s="11">
        <v>4.0</v>
      </c>
      <c r="J9506" s="11">
        <v>1.0</v>
      </c>
      <c r="K9506" s="11" t="s">
        <v>31</v>
      </c>
      <c r="L9506" s="12" t="s">
        <v>58751</v>
      </c>
      <c r="M9506" s="10" t="s">
        <v>31</v>
      </c>
      <c r="N9506" s="10" t="s">
        <v>1170</v>
      </c>
      <c r="O9506" s="12" t="s">
        <v>1171</v>
      </c>
      <c r="P9506" s="10" t="s">
        <v>58752</v>
      </c>
      <c r="Q9506" s="10" t="s">
        <v>1419</v>
      </c>
      <c r="R9506" s="10" t="s">
        <v>64</v>
      </c>
      <c r="S9506" s="12" t="s">
        <v>44101</v>
      </c>
      <c r="T9506" s="10" t="s">
        <v>66</v>
      </c>
      <c r="U9506" s="12" t="s">
        <v>58753</v>
      </c>
      <c r="V9506" s="10" t="s">
        <v>7404</v>
      </c>
      <c r="W9506" s="10" t="s">
        <v>58754</v>
      </c>
      <c r="X9506" s="13" t="str">
        <f>HYPERLINK("https://my.pitchbook.com?p=65117-80P","View People Online")</f>
        <v>View People Online</v>
      </c>
    </row>
    <row r="9507">
      <c r="A9507" s="6" t="s">
        <v>58755</v>
      </c>
      <c r="B9507" s="6" t="s">
        <v>58756</v>
      </c>
      <c r="C9507" s="6" t="s">
        <v>5205</v>
      </c>
      <c r="D9507" s="6" t="s">
        <v>58222</v>
      </c>
      <c r="E9507" s="6" t="s">
        <v>58723</v>
      </c>
      <c r="F9507" s="6" t="s">
        <v>189</v>
      </c>
      <c r="G9507" s="6" t="s">
        <v>58757</v>
      </c>
      <c r="H9507" s="7" t="s">
        <v>31</v>
      </c>
      <c r="I9507" s="7">
        <v>22.0</v>
      </c>
      <c r="J9507" s="7">
        <v>1.0</v>
      </c>
      <c r="K9507" s="7">
        <v>19.0</v>
      </c>
      <c r="L9507" s="8" t="s">
        <v>58758</v>
      </c>
      <c r="M9507" s="6" t="s">
        <v>58759</v>
      </c>
      <c r="N9507" s="6" t="s">
        <v>775</v>
      </c>
      <c r="O9507" s="8" t="s">
        <v>776</v>
      </c>
      <c r="P9507" s="6" t="s">
        <v>58760</v>
      </c>
      <c r="Q9507" s="6" t="s">
        <v>31</v>
      </c>
      <c r="R9507" s="6" t="s">
        <v>64</v>
      </c>
      <c r="S9507" s="8" t="s">
        <v>40089</v>
      </c>
      <c r="T9507" s="6" t="s">
        <v>66</v>
      </c>
      <c r="U9507" s="8" t="s">
        <v>31</v>
      </c>
      <c r="V9507" s="6" t="s">
        <v>196</v>
      </c>
      <c r="W9507" s="6" t="s">
        <v>58723</v>
      </c>
      <c r="X9507" s="9" t="str">
        <f>HYPERLINK("https://my.pitchbook.com?p=44389-72P","View People Online")</f>
        <v>View People Online</v>
      </c>
    </row>
    <row r="9508">
      <c r="A9508" s="10" t="s">
        <v>58761</v>
      </c>
      <c r="B9508" s="10" t="s">
        <v>58762</v>
      </c>
      <c r="C9508" s="10" t="s">
        <v>10008</v>
      </c>
      <c r="D9508" s="10" t="s">
        <v>58763</v>
      </c>
      <c r="E9508" s="10" t="s">
        <v>58723</v>
      </c>
      <c r="F9508" s="10" t="s">
        <v>81</v>
      </c>
      <c r="G9508" s="10" t="s">
        <v>58764</v>
      </c>
      <c r="H9508" s="11" t="s">
        <v>31</v>
      </c>
      <c r="I9508" s="11">
        <v>1.0</v>
      </c>
      <c r="J9508" s="11" t="s">
        <v>31</v>
      </c>
      <c r="K9508" s="11" t="s">
        <v>31</v>
      </c>
      <c r="L9508" s="12" t="s">
        <v>58765</v>
      </c>
      <c r="M9508" s="10" t="s">
        <v>31</v>
      </c>
      <c r="N9508" s="10" t="s">
        <v>775</v>
      </c>
      <c r="O9508" s="12" t="s">
        <v>776</v>
      </c>
      <c r="P9508" s="10" t="s">
        <v>58760</v>
      </c>
      <c r="Q9508" s="10" t="s">
        <v>31</v>
      </c>
      <c r="R9508" s="10" t="s">
        <v>64</v>
      </c>
      <c r="S9508" s="12" t="s">
        <v>40089</v>
      </c>
      <c r="T9508" s="10" t="s">
        <v>66</v>
      </c>
      <c r="U9508" s="12" t="s">
        <v>31</v>
      </c>
      <c r="V9508" s="10" t="s">
        <v>58766</v>
      </c>
      <c r="W9508" s="10" t="s">
        <v>58723</v>
      </c>
      <c r="X9508" s="13" t="str">
        <f>HYPERLINK("https://my.pitchbook.com?p=277127-74P","View People Online")</f>
        <v>View People Online</v>
      </c>
    </row>
    <row r="9509">
      <c r="A9509" s="6" t="s">
        <v>58767</v>
      </c>
      <c r="B9509" s="6" t="s">
        <v>58768</v>
      </c>
      <c r="C9509" s="6" t="s">
        <v>1929</v>
      </c>
      <c r="D9509" s="6" t="s">
        <v>58769</v>
      </c>
      <c r="E9509" s="6" t="s">
        <v>58723</v>
      </c>
      <c r="F9509" s="6" t="s">
        <v>81</v>
      </c>
      <c r="G9509" s="6" t="s">
        <v>58770</v>
      </c>
      <c r="H9509" s="7" t="s">
        <v>31</v>
      </c>
      <c r="I9509" s="7">
        <v>2.0</v>
      </c>
      <c r="J9509" s="7" t="s">
        <v>31</v>
      </c>
      <c r="K9509" s="7" t="s">
        <v>31</v>
      </c>
      <c r="L9509" s="8" t="s">
        <v>31</v>
      </c>
      <c r="M9509" s="6" t="s">
        <v>31</v>
      </c>
      <c r="N9509" s="6" t="s">
        <v>6960</v>
      </c>
      <c r="O9509" s="8" t="s">
        <v>6961</v>
      </c>
      <c r="P9509" s="6" t="s">
        <v>58771</v>
      </c>
      <c r="Q9509" s="6" t="s">
        <v>58772</v>
      </c>
      <c r="R9509" s="6" t="s">
        <v>31</v>
      </c>
      <c r="S9509" s="8" t="s">
        <v>58773</v>
      </c>
      <c r="T9509" s="6" t="s">
        <v>6962</v>
      </c>
      <c r="U9509" s="8" t="s">
        <v>31</v>
      </c>
      <c r="V9509" s="6" t="s">
        <v>58774</v>
      </c>
      <c r="W9509" s="6" t="s">
        <v>58723</v>
      </c>
      <c r="X9509" s="9" t="str">
        <f>HYPERLINK("https://my.pitchbook.com?p=59634-01P","View People Online")</f>
        <v>View People Online</v>
      </c>
    </row>
    <row r="9510">
      <c r="A9510" s="10" t="s">
        <v>58775</v>
      </c>
      <c r="B9510" s="10" t="s">
        <v>58776</v>
      </c>
      <c r="C9510" s="10" t="s">
        <v>1929</v>
      </c>
      <c r="D9510" s="10" t="s">
        <v>5179</v>
      </c>
      <c r="E9510" s="10" t="s">
        <v>58723</v>
      </c>
      <c r="F9510" s="10" t="s">
        <v>114</v>
      </c>
      <c r="G9510" s="10" t="s">
        <v>58777</v>
      </c>
      <c r="H9510" s="11" t="s">
        <v>31</v>
      </c>
      <c r="I9510" s="11">
        <v>2.0</v>
      </c>
      <c r="J9510" s="11">
        <v>1.0</v>
      </c>
      <c r="K9510" s="11" t="s">
        <v>31</v>
      </c>
      <c r="L9510" s="12" t="s">
        <v>31</v>
      </c>
      <c r="M9510" s="10" t="s">
        <v>58778</v>
      </c>
      <c r="N9510" s="10" t="s">
        <v>775</v>
      </c>
      <c r="O9510" s="12" t="s">
        <v>776</v>
      </c>
      <c r="P9510" s="10" t="s">
        <v>58760</v>
      </c>
      <c r="Q9510" s="10" t="s">
        <v>31</v>
      </c>
      <c r="R9510" s="10" t="s">
        <v>64</v>
      </c>
      <c r="S9510" s="12" t="s">
        <v>40089</v>
      </c>
      <c r="T9510" s="10" t="s">
        <v>66</v>
      </c>
      <c r="U9510" s="12" t="s">
        <v>31</v>
      </c>
      <c r="V9510" s="10" t="s">
        <v>114</v>
      </c>
      <c r="W9510" s="10" t="s">
        <v>58723</v>
      </c>
      <c r="X9510" s="13" t="str">
        <f>HYPERLINK("https://my.pitchbook.com?p=230964-40P","View People Online")</f>
        <v>View People Online</v>
      </c>
    </row>
    <row r="9511">
      <c r="A9511" s="6" t="s">
        <v>58779</v>
      </c>
      <c r="B9511" s="6" t="s">
        <v>58780</v>
      </c>
      <c r="C9511" s="6" t="s">
        <v>58781</v>
      </c>
      <c r="D9511" s="6" t="s">
        <v>21687</v>
      </c>
      <c r="E9511" s="6" t="s">
        <v>58723</v>
      </c>
      <c r="F9511" s="6" t="s">
        <v>114</v>
      </c>
      <c r="G9511" s="6" t="s">
        <v>58782</v>
      </c>
      <c r="H9511" s="7" t="s">
        <v>31</v>
      </c>
      <c r="I9511" s="7">
        <v>1.0</v>
      </c>
      <c r="J9511" s="7">
        <v>1.0</v>
      </c>
      <c r="K9511" s="7" t="s">
        <v>31</v>
      </c>
      <c r="L9511" s="8" t="s">
        <v>31</v>
      </c>
      <c r="M9511" s="6" t="s">
        <v>31</v>
      </c>
      <c r="N9511" s="6" t="s">
        <v>6960</v>
      </c>
      <c r="O9511" s="8" t="s">
        <v>6961</v>
      </c>
      <c r="P9511" s="6" t="s">
        <v>58771</v>
      </c>
      <c r="Q9511" s="6" t="s">
        <v>58772</v>
      </c>
      <c r="R9511" s="6" t="s">
        <v>31</v>
      </c>
      <c r="S9511" s="8" t="s">
        <v>58773</v>
      </c>
      <c r="T9511" s="6" t="s">
        <v>6962</v>
      </c>
      <c r="U9511" s="8" t="s">
        <v>31</v>
      </c>
      <c r="V9511" s="6" t="s">
        <v>114</v>
      </c>
      <c r="W9511" s="6" t="s">
        <v>58723</v>
      </c>
      <c r="X9511" s="9" t="str">
        <f>HYPERLINK("https://my.pitchbook.com?p=277126-66P","View People Online")</f>
        <v>View People Online</v>
      </c>
    </row>
    <row r="9512">
      <c r="A9512" s="2" t="s">
        <v>29541</v>
      </c>
      <c r="B9512" s="2" t="s">
        <v>29542</v>
      </c>
      <c r="C9512" s="2" t="s">
        <v>1426</v>
      </c>
      <c r="D9512" s="2" t="s">
        <v>6341</v>
      </c>
      <c r="E9512" s="2" t="s">
        <v>58723</v>
      </c>
      <c r="F9512" s="2" t="s">
        <v>114</v>
      </c>
      <c r="G9512" s="2" t="s">
        <v>29543</v>
      </c>
      <c r="H9512" s="3">
        <v>2.0</v>
      </c>
      <c r="I9512" s="3">
        <v>8.0</v>
      </c>
      <c r="J9512" s="3">
        <v>2.0</v>
      </c>
      <c r="K9512" s="3" t="s">
        <v>31</v>
      </c>
      <c r="L9512" s="4" t="s">
        <v>29544</v>
      </c>
      <c r="M9512" s="2" t="s">
        <v>29545</v>
      </c>
      <c r="N9512" s="2" t="s">
        <v>155</v>
      </c>
      <c r="O9512" s="4" t="s">
        <v>156</v>
      </c>
      <c r="P9512" s="2" t="s">
        <v>29546</v>
      </c>
      <c r="Q9512" s="2" t="s">
        <v>31</v>
      </c>
      <c r="R9512" s="2" t="s">
        <v>64</v>
      </c>
      <c r="S9512" s="4" t="s">
        <v>3487</v>
      </c>
      <c r="T9512" s="2" t="s">
        <v>66</v>
      </c>
      <c r="U9512" s="4" t="s">
        <v>31</v>
      </c>
      <c r="V9512" s="2" t="s">
        <v>71</v>
      </c>
      <c r="W9512" s="2" t="s">
        <v>29547</v>
      </c>
      <c r="X9512" s="5" t="str">
        <f>HYPERLINK("https://my.pitchbook.com?p=44622-55P","View People Online")</f>
        <v>View People Online</v>
      </c>
    </row>
    <row r="9513">
      <c r="A9513" s="6" t="s">
        <v>58783</v>
      </c>
      <c r="B9513" s="6" t="s">
        <v>58784</v>
      </c>
      <c r="C9513" s="6" t="s">
        <v>58785</v>
      </c>
      <c r="D9513" s="6" t="s">
        <v>831</v>
      </c>
      <c r="E9513" s="6" t="s">
        <v>58723</v>
      </c>
      <c r="F9513" s="6" t="s">
        <v>81</v>
      </c>
      <c r="G9513" s="6" t="s">
        <v>58786</v>
      </c>
      <c r="H9513" s="7" t="s">
        <v>31</v>
      </c>
      <c r="I9513" s="7">
        <v>1.0</v>
      </c>
      <c r="J9513" s="7" t="s">
        <v>31</v>
      </c>
      <c r="K9513" s="7" t="s">
        <v>31</v>
      </c>
      <c r="L9513" s="8" t="s">
        <v>31</v>
      </c>
      <c r="M9513" s="6" t="s">
        <v>31</v>
      </c>
      <c r="N9513" s="6" t="s">
        <v>1034</v>
      </c>
      <c r="O9513" s="8" t="s">
        <v>1035</v>
      </c>
      <c r="P9513" s="6" t="s">
        <v>31</v>
      </c>
      <c r="Q9513" s="6" t="s">
        <v>31</v>
      </c>
      <c r="R9513" s="6" t="s">
        <v>31</v>
      </c>
      <c r="S9513" s="8" t="s">
        <v>31</v>
      </c>
      <c r="T9513" s="6" t="s">
        <v>1034</v>
      </c>
      <c r="U9513" s="8" t="s">
        <v>31</v>
      </c>
      <c r="V9513" s="6" t="s">
        <v>81</v>
      </c>
      <c r="W9513" s="6" t="s">
        <v>58723</v>
      </c>
      <c r="X9513" s="9" t="str">
        <f>HYPERLINK("https://my.pitchbook.com?p=162365-77P","View People Online")</f>
        <v>View People Online</v>
      </c>
    </row>
    <row r="9514">
      <c r="A9514" s="10" t="s">
        <v>58787</v>
      </c>
      <c r="B9514" s="10" t="s">
        <v>58788</v>
      </c>
      <c r="C9514" s="10" t="s">
        <v>69</v>
      </c>
      <c r="D9514" s="10" t="s">
        <v>2469</v>
      </c>
      <c r="E9514" s="10" t="s">
        <v>58723</v>
      </c>
      <c r="F9514" s="10" t="s">
        <v>114</v>
      </c>
      <c r="G9514" s="10" t="s">
        <v>58789</v>
      </c>
      <c r="H9514" s="11" t="s">
        <v>31</v>
      </c>
      <c r="I9514" s="11">
        <v>2.0</v>
      </c>
      <c r="J9514" s="11">
        <v>1.0</v>
      </c>
      <c r="K9514" s="11">
        <v>1.0</v>
      </c>
      <c r="L9514" s="12" t="s">
        <v>31</v>
      </c>
      <c r="M9514" s="10" t="s">
        <v>31</v>
      </c>
      <c r="N9514" s="10" t="s">
        <v>775</v>
      </c>
      <c r="O9514" s="12" t="s">
        <v>776</v>
      </c>
      <c r="P9514" s="10" t="s">
        <v>58760</v>
      </c>
      <c r="Q9514" s="10" t="s">
        <v>31</v>
      </c>
      <c r="R9514" s="10" t="s">
        <v>64</v>
      </c>
      <c r="S9514" s="12" t="s">
        <v>40089</v>
      </c>
      <c r="T9514" s="10" t="s">
        <v>66</v>
      </c>
      <c r="U9514" s="12" t="s">
        <v>31</v>
      </c>
      <c r="V9514" s="10" t="s">
        <v>58790</v>
      </c>
      <c r="W9514" s="10" t="s">
        <v>58723</v>
      </c>
      <c r="X9514" s="13" t="str">
        <f>HYPERLINK("https://my.pitchbook.com?p=378372-16P","View People Online")</f>
        <v>View People Online</v>
      </c>
    </row>
    <row r="9515">
      <c r="A9515" s="14" t="s">
        <v>58791</v>
      </c>
      <c r="B9515" s="14" t="s">
        <v>58792</v>
      </c>
      <c r="C9515" s="14" t="s">
        <v>1449</v>
      </c>
      <c r="D9515" s="14" t="s">
        <v>666</v>
      </c>
      <c r="E9515" s="14" t="s">
        <v>58723</v>
      </c>
      <c r="F9515" s="14" t="s">
        <v>81</v>
      </c>
      <c r="G9515" s="14" t="s">
        <v>58793</v>
      </c>
      <c r="H9515" s="15" t="s">
        <v>31</v>
      </c>
      <c r="I9515" s="15">
        <v>80.0</v>
      </c>
      <c r="J9515" s="15" t="s">
        <v>31</v>
      </c>
      <c r="K9515" s="15">
        <v>65.0</v>
      </c>
      <c r="L9515" s="16" t="s">
        <v>31</v>
      </c>
      <c r="M9515" s="14" t="s">
        <v>31</v>
      </c>
      <c r="N9515" s="14" t="s">
        <v>2478</v>
      </c>
      <c r="O9515" s="16" t="s">
        <v>7332</v>
      </c>
      <c r="P9515" s="14" t="s">
        <v>58794</v>
      </c>
      <c r="Q9515" s="14" t="s">
        <v>31</v>
      </c>
      <c r="R9515" s="14" t="s">
        <v>7335</v>
      </c>
      <c r="S9515" s="16" t="s">
        <v>7336</v>
      </c>
      <c r="T9515" s="14" t="s">
        <v>5484</v>
      </c>
      <c r="U9515" s="16" t="s">
        <v>31</v>
      </c>
      <c r="V9515" s="14" t="s">
        <v>81</v>
      </c>
      <c r="W9515" s="14" t="s">
        <v>58795</v>
      </c>
      <c r="X9515" s="17" t="str">
        <f>HYPERLINK("https://my.pitchbook.com?p=38095-21P","View People Online")</f>
        <v>View People Online</v>
      </c>
    </row>
    <row r="9516">
      <c r="A9516" s="10" t="s">
        <v>58796</v>
      </c>
      <c r="B9516" s="10" t="s">
        <v>58797</v>
      </c>
      <c r="C9516" s="10" t="s">
        <v>10193</v>
      </c>
      <c r="D9516" s="10" t="s">
        <v>6974</v>
      </c>
      <c r="E9516" s="10" t="s">
        <v>58723</v>
      </c>
      <c r="F9516" s="10" t="s">
        <v>57</v>
      </c>
      <c r="G9516" s="10" t="s">
        <v>58798</v>
      </c>
      <c r="H9516" s="11" t="s">
        <v>31</v>
      </c>
      <c r="I9516" s="11">
        <v>8.0</v>
      </c>
      <c r="J9516" s="11">
        <v>1.0</v>
      </c>
      <c r="K9516" s="11">
        <v>5.0</v>
      </c>
      <c r="L9516" s="12" t="s">
        <v>58799</v>
      </c>
      <c r="M9516" s="10" t="s">
        <v>58800</v>
      </c>
      <c r="N9516" s="10" t="s">
        <v>3533</v>
      </c>
      <c r="O9516" s="12" t="s">
        <v>3534</v>
      </c>
      <c r="P9516" s="10" t="s">
        <v>58801</v>
      </c>
      <c r="Q9516" s="10" t="s">
        <v>58802</v>
      </c>
      <c r="R9516" s="10" t="s">
        <v>31</v>
      </c>
      <c r="S9516" s="12" t="s">
        <v>31</v>
      </c>
      <c r="T9516" s="10" t="s">
        <v>3538</v>
      </c>
      <c r="U9516" s="12" t="s">
        <v>31</v>
      </c>
      <c r="V9516" s="10" t="s">
        <v>57</v>
      </c>
      <c r="W9516" s="10" t="s">
        <v>58723</v>
      </c>
      <c r="X9516" s="13" t="str">
        <f>HYPERLINK("https://my.pitchbook.com?p=159622-57P","View People Online")</f>
        <v>View People Online</v>
      </c>
    </row>
    <row r="9517">
      <c r="A9517" s="14" t="s">
        <v>58803</v>
      </c>
      <c r="B9517" s="14" t="s">
        <v>58804</v>
      </c>
      <c r="C9517" s="14" t="s">
        <v>323</v>
      </c>
      <c r="D9517" s="14" t="s">
        <v>49831</v>
      </c>
      <c r="E9517" s="14" t="s">
        <v>58723</v>
      </c>
      <c r="F9517" s="14" t="s">
        <v>81</v>
      </c>
      <c r="G9517" s="14" t="s">
        <v>58805</v>
      </c>
      <c r="H9517" s="15">
        <v>1.0</v>
      </c>
      <c r="I9517" s="15">
        <v>7.0</v>
      </c>
      <c r="J9517" s="15">
        <v>3.0</v>
      </c>
      <c r="K9517" s="15" t="s">
        <v>31</v>
      </c>
      <c r="L9517" s="16" t="s">
        <v>58806</v>
      </c>
      <c r="M9517" s="14" t="s">
        <v>58807</v>
      </c>
      <c r="N9517" s="14" t="s">
        <v>155</v>
      </c>
      <c r="O9517" s="16" t="s">
        <v>156</v>
      </c>
      <c r="P9517" s="14" t="s">
        <v>2402</v>
      </c>
      <c r="Q9517" s="14" t="s">
        <v>2403</v>
      </c>
      <c r="R9517" s="14" t="s">
        <v>64</v>
      </c>
      <c r="S9517" s="16" t="s">
        <v>1339</v>
      </c>
      <c r="T9517" s="14" t="s">
        <v>66</v>
      </c>
      <c r="U9517" s="16" t="s">
        <v>31</v>
      </c>
      <c r="V9517" s="14" t="s">
        <v>1384</v>
      </c>
      <c r="W9517" s="14" t="s">
        <v>58808</v>
      </c>
      <c r="X9517" s="17" t="str">
        <f>HYPERLINK("https://my.pitchbook.com?p=28551-52P","View People Online")</f>
        <v>View People Online</v>
      </c>
    </row>
    <row r="9518">
      <c r="A9518" s="10" t="s">
        <v>58809</v>
      </c>
      <c r="B9518" s="10" t="s">
        <v>58810</v>
      </c>
      <c r="C9518" s="10" t="s">
        <v>2032</v>
      </c>
      <c r="D9518" s="10" t="s">
        <v>666</v>
      </c>
      <c r="E9518" s="10" t="s">
        <v>58723</v>
      </c>
      <c r="F9518" s="10" t="s">
        <v>81</v>
      </c>
      <c r="G9518" s="10" t="s">
        <v>58811</v>
      </c>
      <c r="H9518" s="11" t="s">
        <v>31</v>
      </c>
      <c r="I9518" s="11">
        <v>1.0</v>
      </c>
      <c r="J9518" s="11" t="s">
        <v>31</v>
      </c>
      <c r="K9518" s="11" t="s">
        <v>31</v>
      </c>
      <c r="L9518" s="12" t="s">
        <v>31</v>
      </c>
      <c r="M9518" s="10" t="s">
        <v>31</v>
      </c>
      <c r="N9518" s="10" t="s">
        <v>775</v>
      </c>
      <c r="O9518" s="12" t="s">
        <v>776</v>
      </c>
      <c r="P9518" s="10" t="s">
        <v>58760</v>
      </c>
      <c r="Q9518" s="10" t="s">
        <v>31</v>
      </c>
      <c r="R9518" s="10" t="s">
        <v>64</v>
      </c>
      <c r="S9518" s="12" t="s">
        <v>40089</v>
      </c>
      <c r="T9518" s="10" t="s">
        <v>66</v>
      </c>
      <c r="U9518" s="12" t="s">
        <v>31</v>
      </c>
      <c r="V9518" s="10" t="s">
        <v>81</v>
      </c>
      <c r="W9518" s="10" t="s">
        <v>58723</v>
      </c>
      <c r="X9518" s="13" t="str">
        <f>HYPERLINK("https://my.pitchbook.com?p=277136-29P","View People Online")</f>
        <v>View People Online</v>
      </c>
    </row>
    <row r="9519">
      <c r="A9519" s="6" t="s">
        <v>58812</v>
      </c>
      <c r="B9519" s="6" t="s">
        <v>58813</v>
      </c>
      <c r="C9519" s="6" t="s">
        <v>1323</v>
      </c>
      <c r="D9519" s="6" t="s">
        <v>58814</v>
      </c>
      <c r="E9519" s="6" t="s">
        <v>58723</v>
      </c>
      <c r="F9519" s="6" t="s">
        <v>189</v>
      </c>
      <c r="G9519" s="6" t="s">
        <v>58815</v>
      </c>
      <c r="H9519" s="7" t="s">
        <v>31</v>
      </c>
      <c r="I9519" s="7">
        <v>31.0</v>
      </c>
      <c r="J9519" s="7">
        <v>1.0</v>
      </c>
      <c r="K9519" s="7">
        <v>25.0</v>
      </c>
      <c r="L9519" s="8" t="s">
        <v>31</v>
      </c>
      <c r="M9519" s="6" t="s">
        <v>58816</v>
      </c>
      <c r="N9519" s="6" t="s">
        <v>243</v>
      </c>
      <c r="O9519" s="8" t="s">
        <v>244</v>
      </c>
      <c r="P9519" s="6" t="s">
        <v>31</v>
      </c>
      <c r="Q9519" s="6" t="s">
        <v>31</v>
      </c>
      <c r="R9519" s="6" t="s">
        <v>247</v>
      </c>
      <c r="S9519" s="8" t="s">
        <v>31</v>
      </c>
      <c r="T9519" s="6" t="s">
        <v>249</v>
      </c>
      <c r="U9519" s="8" t="s">
        <v>31</v>
      </c>
      <c r="V9519" s="6" t="s">
        <v>196</v>
      </c>
      <c r="W9519" s="6" t="s">
        <v>58723</v>
      </c>
      <c r="X9519" s="9" t="str">
        <f>HYPERLINK("https://my.pitchbook.com?p=42662-17P","View People Online")</f>
        <v>View People Online</v>
      </c>
    </row>
    <row r="9520">
      <c r="A9520" s="10" t="s">
        <v>58817</v>
      </c>
      <c r="B9520" s="10" t="s">
        <v>58818</v>
      </c>
      <c r="C9520" s="10" t="s">
        <v>3811</v>
      </c>
      <c r="D9520" s="10" t="s">
        <v>58819</v>
      </c>
      <c r="E9520" s="10" t="s">
        <v>58723</v>
      </c>
      <c r="F9520" s="10" t="s">
        <v>81</v>
      </c>
      <c r="G9520" s="10" t="s">
        <v>58820</v>
      </c>
      <c r="H9520" s="11" t="s">
        <v>31</v>
      </c>
      <c r="I9520" s="11">
        <v>31.0</v>
      </c>
      <c r="J9520" s="11">
        <v>1.0</v>
      </c>
      <c r="K9520" s="11">
        <v>27.0</v>
      </c>
      <c r="L9520" s="12" t="s">
        <v>58821</v>
      </c>
      <c r="M9520" s="10" t="s">
        <v>58822</v>
      </c>
      <c r="N9520" s="10" t="s">
        <v>155</v>
      </c>
      <c r="O9520" s="12" t="s">
        <v>156</v>
      </c>
      <c r="P9520" s="10" t="s">
        <v>24335</v>
      </c>
      <c r="Q9520" s="10" t="s">
        <v>58823</v>
      </c>
      <c r="R9520" s="10" t="s">
        <v>64</v>
      </c>
      <c r="S9520" s="12" t="s">
        <v>24337</v>
      </c>
      <c r="T9520" s="10" t="s">
        <v>66</v>
      </c>
      <c r="U9520" s="12" t="s">
        <v>31</v>
      </c>
      <c r="V9520" s="10" t="s">
        <v>558</v>
      </c>
      <c r="W9520" s="10" t="s">
        <v>58824</v>
      </c>
      <c r="X9520" s="13" t="str">
        <f>HYPERLINK("https://my.pitchbook.com?p=60649-12P","View People Online")</f>
        <v>View People Online</v>
      </c>
    </row>
    <row r="9521">
      <c r="A9521" s="14" t="s">
        <v>58825</v>
      </c>
      <c r="B9521" s="14" t="s">
        <v>58826</v>
      </c>
      <c r="C9521" s="14" t="s">
        <v>58827</v>
      </c>
      <c r="D9521" s="14" t="s">
        <v>666</v>
      </c>
      <c r="E9521" s="14" t="s">
        <v>58723</v>
      </c>
      <c r="F9521" s="14" t="s">
        <v>189</v>
      </c>
      <c r="G9521" s="14" t="s">
        <v>58828</v>
      </c>
      <c r="H9521" s="15">
        <v>2.0</v>
      </c>
      <c r="I9521" s="15">
        <v>11.0</v>
      </c>
      <c r="J9521" s="15">
        <v>3.0</v>
      </c>
      <c r="K9521" s="15">
        <v>7.0</v>
      </c>
      <c r="L9521" s="16" t="s">
        <v>58829</v>
      </c>
      <c r="M9521" s="14" t="s">
        <v>58830</v>
      </c>
      <c r="N9521" s="14" t="s">
        <v>6960</v>
      </c>
      <c r="O9521" s="16" t="s">
        <v>6961</v>
      </c>
      <c r="P9521" s="14" t="s">
        <v>58831</v>
      </c>
      <c r="Q9521" s="14" t="s">
        <v>58832</v>
      </c>
      <c r="R9521" s="14" t="s">
        <v>31</v>
      </c>
      <c r="S9521" s="16" t="s">
        <v>58833</v>
      </c>
      <c r="T9521" s="14" t="s">
        <v>6962</v>
      </c>
      <c r="U9521" s="16" t="s">
        <v>31</v>
      </c>
      <c r="V9521" s="14" t="s">
        <v>55433</v>
      </c>
      <c r="W9521" s="14" t="s">
        <v>58834</v>
      </c>
      <c r="X9521" s="17" t="str">
        <f>HYPERLINK("https://my.pitchbook.com?p=55344-43P","View People Online")</f>
        <v>View People Online</v>
      </c>
    </row>
    <row r="9522">
      <c r="A9522" s="10" t="s">
        <v>58835</v>
      </c>
      <c r="B9522" s="10" t="s">
        <v>58836</v>
      </c>
      <c r="C9522" s="10" t="s">
        <v>58837</v>
      </c>
      <c r="D9522" s="10" t="s">
        <v>666</v>
      </c>
      <c r="E9522" s="10" t="s">
        <v>58723</v>
      </c>
      <c r="F9522" s="10" t="s">
        <v>548</v>
      </c>
      <c r="G9522" s="10" t="s">
        <v>58838</v>
      </c>
      <c r="H9522" s="11" t="s">
        <v>31</v>
      </c>
      <c r="I9522" s="11">
        <v>1.0</v>
      </c>
      <c r="J9522" s="11">
        <v>1.0</v>
      </c>
      <c r="K9522" s="11" t="s">
        <v>31</v>
      </c>
      <c r="L9522" s="12" t="s">
        <v>31</v>
      </c>
      <c r="M9522" s="10" t="s">
        <v>58839</v>
      </c>
      <c r="N9522" s="10" t="s">
        <v>6960</v>
      </c>
      <c r="O9522" s="12" t="s">
        <v>6961</v>
      </c>
      <c r="P9522" s="10" t="s">
        <v>58771</v>
      </c>
      <c r="Q9522" s="10" t="s">
        <v>58772</v>
      </c>
      <c r="R9522" s="10" t="s">
        <v>31</v>
      </c>
      <c r="S9522" s="12" t="s">
        <v>58773</v>
      </c>
      <c r="T9522" s="10" t="s">
        <v>6962</v>
      </c>
      <c r="U9522" s="12" t="s">
        <v>31</v>
      </c>
      <c r="V9522" s="10" t="s">
        <v>10019</v>
      </c>
      <c r="W9522" s="10" t="s">
        <v>58723</v>
      </c>
      <c r="X9522" s="13" t="str">
        <f>HYPERLINK("https://my.pitchbook.com?p=259513-93P","View People Online")</f>
        <v>View People Online</v>
      </c>
    </row>
    <row r="9523">
      <c r="A9523" s="14" t="s">
        <v>58840</v>
      </c>
      <c r="B9523" s="14" t="s">
        <v>58841</v>
      </c>
      <c r="C9523" s="14" t="s">
        <v>3611</v>
      </c>
      <c r="D9523" s="14" t="s">
        <v>2469</v>
      </c>
      <c r="E9523" s="14" t="s">
        <v>58723</v>
      </c>
      <c r="F9523" s="14" t="s">
        <v>3645</v>
      </c>
      <c r="G9523" s="14" t="s">
        <v>58842</v>
      </c>
      <c r="H9523" s="15" t="s">
        <v>31</v>
      </c>
      <c r="I9523" s="15">
        <v>9.0</v>
      </c>
      <c r="J9523" s="15">
        <v>1.0</v>
      </c>
      <c r="K9523" s="15">
        <v>6.0</v>
      </c>
      <c r="L9523" s="16" t="s">
        <v>31</v>
      </c>
      <c r="M9523" s="14" t="s">
        <v>58843</v>
      </c>
      <c r="N9523" s="14" t="s">
        <v>6960</v>
      </c>
      <c r="O9523" s="16" t="s">
        <v>6961</v>
      </c>
      <c r="P9523" s="14" t="s">
        <v>58771</v>
      </c>
      <c r="Q9523" s="14" t="s">
        <v>58772</v>
      </c>
      <c r="R9523" s="14" t="s">
        <v>31</v>
      </c>
      <c r="S9523" s="16" t="s">
        <v>58773</v>
      </c>
      <c r="T9523" s="14" t="s">
        <v>6962</v>
      </c>
      <c r="U9523" s="16" t="s">
        <v>31</v>
      </c>
      <c r="V9523" s="14" t="s">
        <v>58844</v>
      </c>
      <c r="W9523" s="14" t="s">
        <v>58723</v>
      </c>
      <c r="X9523" s="17" t="str">
        <f>HYPERLINK("https://my.pitchbook.com?p=159557-05P","View People Online")</f>
        <v>View People Online</v>
      </c>
    </row>
    <row r="9524">
      <c r="A9524" s="2" t="s">
        <v>58845</v>
      </c>
      <c r="B9524" s="2" t="s">
        <v>58846</v>
      </c>
      <c r="C9524" s="2" t="s">
        <v>11444</v>
      </c>
      <c r="D9524" s="2" t="s">
        <v>58847</v>
      </c>
      <c r="E9524" s="2" t="s">
        <v>58723</v>
      </c>
      <c r="F9524" s="2" t="s">
        <v>674</v>
      </c>
      <c r="G9524" s="2" t="s">
        <v>58848</v>
      </c>
      <c r="H9524" s="3" t="s">
        <v>31</v>
      </c>
      <c r="I9524" s="3">
        <v>2.0</v>
      </c>
      <c r="J9524" s="3">
        <v>2.0</v>
      </c>
      <c r="K9524" s="3" t="s">
        <v>31</v>
      </c>
      <c r="L9524" s="4" t="s">
        <v>31</v>
      </c>
      <c r="M9524" s="2" t="s">
        <v>31</v>
      </c>
      <c r="N9524" s="2" t="s">
        <v>637</v>
      </c>
      <c r="O9524" s="4" t="s">
        <v>638</v>
      </c>
      <c r="P9524" s="2" t="s">
        <v>31</v>
      </c>
      <c r="Q9524" s="2" t="s">
        <v>31</v>
      </c>
      <c r="R9524" s="2" t="s">
        <v>31</v>
      </c>
      <c r="S9524" s="4" t="s">
        <v>31</v>
      </c>
      <c r="T9524" s="2" t="s">
        <v>639</v>
      </c>
      <c r="U9524" s="4" t="s">
        <v>31</v>
      </c>
      <c r="V9524" s="2" t="s">
        <v>1172</v>
      </c>
      <c r="W9524" s="2" t="s">
        <v>58849</v>
      </c>
      <c r="X9524" s="5" t="str">
        <f>HYPERLINK("https://my.pitchbook.com?p=396154-18P","View People Online")</f>
        <v>View People Online</v>
      </c>
    </row>
    <row r="9525">
      <c r="A9525" s="6" t="s">
        <v>58850</v>
      </c>
      <c r="B9525" s="6" t="s">
        <v>58851</v>
      </c>
      <c r="C9525" s="6" t="s">
        <v>58852</v>
      </c>
      <c r="D9525" s="6" t="s">
        <v>24167</v>
      </c>
      <c r="E9525" s="6" t="s">
        <v>58723</v>
      </c>
      <c r="F9525" s="6" t="s">
        <v>114</v>
      </c>
      <c r="G9525" s="6" t="s">
        <v>58853</v>
      </c>
      <c r="H9525" s="7">
        <v>2.0</v>
      </c>
      <c r="I9525" s="7">
        <v>18.0</v>
      </c>
      <c r="J9525" s="7">
        <v>11.0</v>
      </c>
      <c r="K9525" s="7">
        <v>4.0</v>
      </c>
      <c r="L9525" s="8" t="s">
        <v>31</v>
      </c>
      <c r="M9525" s="6" t="s">
        <v>58854</v>
      </c>
      <c r="N9525" s="6" t="s">
        <v>3603</v>
      </c>
      <c r="O9525" s="8" t="s">
        <v>3604</v>
      </c>
      <c r="P9525" s="6" t="s">
        <v>58855</v>
      </c>
      <c r="Q9525" s="6" t="s">
        <v>58856</v>
      </c>
      <c r="R9525" s="6" t="s">
        <v>31</v>
      </c>
      <c r="S9525" s="8" t="s">
        <v>31</v>
      </c>
      <c r="T9525" s="6" t="s">
        <v>3603</v>
      </c>
      <c r="U9525" s="8" t="s">
        <v>31</v>
      </c>
      <c r="V9525" s="6" t="s">
        <v>114</v>
      </c>
      <c r="W9525" s="6" t="s">
        <v>58857</v>
      </c>
      <c r="X9525" s="9" t="str">
        <f>HYPERLINK("https://my.pitchbook.com?p=202578-76P","View People Online")</f>
        <v>View People Online</v>
      </c>
    </row>
    <row r="9526">
      <c r="A9526" s="10" t="s">
        <v>58858</v>
      </c>
      <c r="B9526" s="10" t="s">
        <v>58859</v>
      </c>
      <c r="C9526" s="10" t="s">
        <v>823</v>
      </c>
      <c r="D9526" s="10" t="s">
        <v>58860</v>
      </c>
      <c r="E9526" s="10" t="s">
        <v>58723</v>
      </c>
      <c r="F9526" s="10" t="s">
        <v>81</v>
      </c>
      <c r="G9526" s="10" t="s">
        <v>58861</v>
      </c>
      <c r="H9526" s="11">
        <v>3.0</v>
      </c>
      <c r="I9526" s="11">
        <v>26.0</v>
      </c>
      <c r="J9526" s="11">
        <v>5.0</v>
      </c>
      <c r="K9526" s="11">
        <v>13.0</v>
      </c>
      <c r="L9526" s="12" t="s">
        <v>58862</v>
      </c>
      <c r="M9526" s="10" t="s">
        <v>58863</v>
      </c>
      <c r="N9526" s="10" t="s">
        <v>7121</v>
      </c>
      <c r="O9526" s="12" t="s">
        <v>7122</v>
      </c>
      <c r="P9526" s="10" t="s">
        <v>58864</v>
      </c>
      <c r="Q9526" s="10" t="s">
        <v>1719</v>
      </c>
      <c r="R9526" s="10" t="s">
        <v>5348</v>
      </c>
      <c r="S9526" s="12" t="s">
        <v>58865</v>
      </c>
      <c r="T9526" s="10" t="s">
        <v>66</v>
      </c>
      <c r="U9526" s="12" t="s">
        <v>31</v>
      </c>
      <c r="V9526" s="10" t="s">
        <v>58866</v>
      </c>
      <c r="W9526" s="10" t="s">
        <v>58867</v>
      </c>
      <c r="X9526" s="13" t="str">
        <f>HYPERLINK("https://my.pitchbook.com?p=41623-93P","View People Online")</f>
        <v>View People Online</v>
      </c>
    </row>
    <row r="9527">
      <c r="A9527" s="14" t="s">
        <v>58868</v>
      </c>
      <c r="B9527" s="14" t="s">
        <v>58869</v>
      </c>
      <c r="C9527" s="14" t="s">
        <v>3977</v>
      </c>
      <c r="D9527" s="14" t="s">
        <v>17468</v>
      </c>
      <c r="E9527" s="14" t="s">
        <v>58723</v>
      </c>
      <c r="F9527" s="14" t="s">
        <v>189</v>
      </c>
      <c r="G9527" s="14" t="s">
        <v>58870</v>
      </c>
      <c r="H9527" s="15" t="s">
        <v>31</v>
      </c>
      <c r="I9527" s="15">
        <v>1.0</v>
      </c>
      <c r="J9527" s="15">
        <v>1.0</v>
      </c>
      <c r="K9527" s="15" t="s">
        <v>31</v>
      </c>
      <c r="L9527" s="16" t="s">
        <v>31</v>
      </c>
      <c r="M9527" s="14" t="s">
        <v>58871</v>
      </c>
      <c r="N9527" s="14" t="s">
        <v>1034</v>
      </c>
      <c r="O9527" s="16" t="s">
        <v>1035</v>
      </c>
      <c r="P9527" s="14" t="s">
        <v>31</v>
      </c>
      <c r="Q9527" s="14" t="s">
        <v>31</v>
      </c>
      <c r="R9527" s="14" t="s">
        <v>31</v>
      </c>
      <c r="S9527" s="16" t="s">
        <v>31</v>
      </c>
      <c r="T9527" s="14" t="s">
        <v>1034</v>
      </c>
      <c r="U9527" s="16" t="s">
        <v>31</v>
      </c>
      <c r="V9527" s="14" t="s">
        <v>196</v>
      </c>
      <c r="W9527" s="14" t="s">
        <v>58723</v>
      </c>
      <c r="X9527" s="17" t="str">
        <f>HYPERLINK("https://my.pitchbook.com?p=55344-52P","View People Online")</f>
        <v>View People Online</v>
      </c>
    </row>
    <row r="9528">
      <c r="A9528" s="2" t="s">
        <v>58872</v>
      </c>
      <c r="B9528" s="2" t="s">
        <v>58873</v>
      </c>
      <c r="C9528" s="2" t="s">
        <v>26</v>
      </c>
      <c r="D9528" s="2" t="s">
        <v>23171</v>
      </c>
      <c r="E9528" s="2" t="s">
        <v>58723</v>
      </c>
      <c r="F9528" s="2" t="s">
        <v>114</v>
      </c>
      <c r="G9528" s="2" t="s">
        <v>58874</v>
      </c>
      <c r="H9528" s="3" t="s">
        <v>31</v>
      </c>
      <c r="I9528" s="3">
        <v>1.0</v>
      </c>
      <c r="J9528" s="3">
        <v>1.0</v>
      </c>
      <c r="K9528" s="3" t="s">
        <v>31</v>
      </c>
      <c r="L9528" s="4" t="s">
        <v>31</v>
      </c>
      <c r="M9528" s="2" t="s">
        <v>31</v>
      </c>
      <c r="N9528" s="2" t="s">
        <v>775</v>
      </c>
      <c r="O9528" s="4" t="s">
        <v>776</v>
      </c>
      <c r="P9528" s="2" t="s">
        <v>58760</v>
      </c>
      <c r="Q9528" s="2" t="s">
        <v>31</v>
      </c>
      <c r="R9528" s="2" t="s">
        <v>64</v>
      </c>
      <c r="S9528" s="4" t="s">
        <v>40089</v>
      </c>
      <c r="T9528" s="2" t="s">
        <v>66</v>
      </c>
      <c r="U9528" s="4" t="s">
        <v>31</v>
      </c>
      <c r="V9528" s="2" t="s">
        <v>58875</v>
      </c>
      <c r="W9528" s="2" t="s">
        <v>58723</v>
      </c>
      <c r="X9528" s="5" t="str">
        <f>HYPERLINK("https://my.pitchbook.com?p=277144-03P","View People Online")</f>
        <v>View People Online</v>
      </c>
    </row>
    <row r="9529">
      <c r="A9529" s="6" t="s">
        <v>58876</v>
      </c>
      <c r="B9529" s="6" t="s">
        <v>58877</v>
      </c>
      <c r="C9529" s="6" t="s">
        <v>5071</v>
      </c>
      <c r="D9529" s="6" t="s">
        <v>58878</v>
      </c>
      <c r="E9529" s="6" t="s">
        <v>58723</v>
      </c>
      <c r="F9529" s="6" t="s">
        <v>114</v>
      </c>
      <c r="G9529" s="6" t="s">
        <v>58879</v>
      </c>
      <c r="H9529" s="7" t="s">
        <v>31</v>
      </c>
      <c r="I9529" s="7">
        <v>8.0</v>
      </c>
      <c r="J9529" s="7">
        <v>3.0</v>
      </c>
      <c r="K9529" s="7">
        <v>2.0</v>
      </c>
      <c r="L9529" s="8" t="s">
        <v>58880</v>
      </c>
      <c r="M9529" s="6" t="s">
        <v>31</v>
      </c>
      <c r="N9529" s="6" t="s">
        <v>55298</v>
      </c>
      <c r="O9529" s="8" t="s">
        <v>55299</v>
      </c>
      <c r="P9529" s="6" t="s">
        <v>58881</v>
      </c>
      <c r="Q9529" s="6" t="s">
        <v>31</v>
      </c>
      <c r="R9529" s="6" t="s">
        <v>1277</v>
      </c>
      <c r="S9529" s="8" t="s">
        <v>58882</v>
      </c>
      <c r="T9529" s="6" t="s">
        <v>66</v>
      </c>
      <c r="U9529" s="8" t="s">
        <v>31</v>
      </c>
      <c r="V9529" s="6" t="s">
        <v>29</v>
      </c>
      <c r="W9529" s="6" t="s">
        <v>58883</v>
      </c>
      <c r="X9529" s="9" t="str">
        <f>HYPERLINK("https://my.pitchbook.com?p=41016-52P","View People Online")</f>
        <v>View People Online</v>
      </c>
    </row>
    <row r="9530">
      <c r="A9530" s="2" t="s">
        <v>58884</v>
      </c>
      <c r="B9530" s="2" t="s">
        <v>58885</v>
      </c>
      <c r="C9530" s="2" t="s">
        <v>17839</v>
      </c>
      <c r="D9530" s="2" t="s">
        <v>2469</v>
      </c>
      <c r="E9530" s="2" t="s">
        <v>58723</v>
      </c>
      <c r="F9530" s="2" t="s">
        <v>189</v>
      </c>
      <c r="G9530" s="2" t="s">
        <v>58886</v>
      </c>
      <c r="H9530" s="3">
        <v>1.0</v>
      </c>
      <c r="I9530" s="3">
        <v>8.0</v>
      </c>
      <c r="J9530" s="3">
        <v>1.0</v>
      </c>
      <c r="K9530" s="3">
        <v>4.0</v>
      </c>
      <c r="L9530" s="4" t="s">
        <v>31</v>
      </c>
      <c r="M9530" s="2" t="s">
        <v>58887</v>
      </c>
      <c r="N9530" s="2" t="s">
        <v>6960</v>
      </c>
      <c r="O9530" s="4" t="s">
        <v>6961</v>
      </c>
      <c r="P9530" s="2" t="s">
        <v>58771</v>
      </c>
      <c r="Q9530" s="2" t="s">
        <v>58772</v>
      </c>
      <c r="R9530" s="2" t="s">
        <v>31</v>
      </c>
      <c r="S9530" s="4" t="s">
        <v>58773</v>
      </c>
      <c r="T9530" s="2" t="s">
        <v>6962</v>
      </c>
      <c r="U9530" s="4" t="s">
        <v>31</v>
      </c>
      <c r="V9530" s="2" t="s">
        <v>196</v>
      </c>
      <c r="W9530" s="2" t="s">
        <v>58723</v>
      </c>
      <c r="X9530" s="5" t="str">
        <f>HYPERLINK("https://my.pitchbook.com?p=55344-34P","View People Online")</f>
        <v>View People Online</v>
      </c>
    </row>
    <row r="9531">
      <c r="A9531" s="6" t="s">
        <v>58888</v>
      </c>
      <c r="B9531" s="6" t="s">
        <v>24863</v>
      </c>
      <c r="C9531" s="6" t="s">
        <v>1343</v>
      </c>
      <c r="D9531" s="6" t="s">
        <v>666</v>
      </c>
      <c r="E9531" s="6" t="s">
        <v>58723</v>
      </c>
      <c r="F9531" s="6" t="s">
        <v>81</v>
      </c>
      <c r="G9531" s="6" t="s">
        <v>58889</v>
      </c>
      <c r="H9531" s="7" t="s">
        <v>31</v>
      </c>
      <c r="I9531" s="7">
        <v>1.0</v>
      </c>
      <c r="J9531" s="7" t="s">
        <v>31</v>
      </c>
      <c r="K9531" s="7" t="s">
        <v>31</v>
      </c>
      <c r="L9531" s="8" t="s">
        <v>31</v>
      </c>
      <c r="M9531" s="6" t="s">
        <v>31</v>
      </c>
      <c r="N9531" s="6" t="s">
        <v>6960</v>
      </c>
      <c r="O9531" s="8" t="s">
        <v>6961</v>
      </c>
      <c r="P9531" s="6" t="s">
        <v>58771</v>
      </c>
      <c r="Q9531" s="6" t="s">
        <v>58772</v>
      </c>
      <c r="R9531" s="6" t="s">
        <v>31</v>
      </c>
      <c r="S9531" s="8" t="s">
        <v>58773</v>
      </c>
      <c r="T9531" s="6" t="s">
        <v>6962</v>
      </c>
      <c r="U9531" s="8" t="s">
        <v>31</v>
      </c>
      <c r="V9531" s="6" t="s">
        <v>58890</v>
      </c>
      <c r="W9531" s="6" t="s">
        <v>58723</v>
      </c>
      <c r="X9531" s="9" t="str">
        <f>HYPERLINK("https://my.pitchbook.com?p=277142-41P","View People Online")</f>
        <v>View People Online</v>
      </c>
    </row>
    <row r="9532">
      <c r="A9532" s="10" t="s">
        <v>58891</v>
      </c>
      <c r="B9532" s="10" t="s">
        <v>58892</v>
      </c>
      <c r="C9532" s="10" t="s">
        <v>1343</v>
      </c>
      <c r="D9532" s="10" t="s">
        <v>58893</v>
      </c>
      <c r="E9532" s="10" t="s">
        <v>58723</v>
      </c>
      <c r="F9532" s="10" t="s">
        <v>81</v>
      </c>
      <c r="G9532" s="10" t="s">
        <v>58894</v>
      </c>
      <c r="H9532" s="11" t="s">
        <v>31</v>
      </c>
      <c r="I9532" s="11">
        <v>12.0</v>
      </c>
      <c r="J9532" s="11">
        <v>1.0</v>
      </c>
      <c r="K9532" s="11">
        <v>10.0</v>
      </c>
      <c r="L9532" s="12" t="s">
        <v>58895</v>
      </c>
      <c r="M9532" s="10" t="s">
        <v>58896</v>
      </c>
      <c r="N9532" s="10" t="s">
        <v>6651</v>
      </c>
      <c r="O9532" s="12" t="s">
        <v>6652</v>
      </c>
      <c r="P9532" s="10" t="s">
        <v>58897</v>
      </c>
      <c r="Q9532" s="10" t="s">
        <v>31</v>
      </c>
      <c r="R9532" s="10" t="s">
        <v>64</v>
      </c>
      <c r="S9532" s="12" t="s">
        <v>6655</v>
      </c>
      <c r="T9532" s="10" t="s">
        <v>66</v>
      </c>
      <c r="U9532" s="12" t="s">
        <v>31</v>
      </c>
      <c r="V9532" s="10" t="s">
        <v>991</v>
      </c>
      <c r="W9532" s="10" t="s">
        <v>58898</v>
      </c>
      <c r="X9532" s="13" t="str">
        <f>HYPERLINK("https://my.pitchbook.com?p=15108-13P","View People Online")</f>
        <v>View People Online</v>
      </c>
    </row>
    <row r="9533">
      <c r="A9533" s="14" t="s">
        <v>58899</v>
      </c>
      <c r="B9533" s="14" t="s">
        <v>58900</v>
      </c>
      <c r="C9533" s="14" t="s">
        <v>1343</v>
      </c>
      <c r="D9533" s="14" t="s">
        <v>3972</v>
      </c>
      <c r="E9533" s="14" t="s">
        <v>58723</v>
      </c>
      <c r="F9533" s="14" t="s">
        <v>114</v>
      </c>
      <c r="G9533" s="14" t="s">
        <v>58901</v>
      </c>
      <c r="H9533" s="15">
        <v>3.0</v>
      </c>
      <c r="I9533" s="15">
        <v>9.0</v>
      </c>
      <c r="J9533" s="15">
        <v>1.0</v>
      </c>
      <c r="K9533" s="15">
        <v>4.0</v>
      </c>
      <c r="L9533" s="16" t="s">
        <v>58902</v>
      </c>
      <c r="M9533" s="14" t="s">
        <v>31</v>
      </c>
      <c r="N9533" s="14" t="s">
        <v>155</v>
      </c>
      <c r="O9533" s="16" t="s">
        <v>156</v>
      </c>
      <c r="P9533" s="14" t="s">
        <v>58903</v>
      </c>
      <c r="Q9533" s="14" t="s">
        <v>31</v>
      </c>
      <c r="R9533" s="14" t="s">
        <v>64</v>
      </c>
      <c r="S9533" s="16" t="s">
        <v>58904</v>
      </c>
      <c r="T9533" s="14" t="s">
        <v>66</v>
      </c>
      <c r="U9533" s="16" t="s">
        <v>31</v>
      </c>
      <c r="V9533" s="14" t="s">
        <v>2379</v>
      </c>
      <c r="W9533" s="14" t="s">
        <v>58905</v>
      </c>
      <c r="X9533" s="17" t="str">
        <f>HYPERLINK("https://my.pitchbook.com?p=36591-94P","View People Online")</f>
        <v>View People Online</v>
      </c>
    </row>
    <row r="9534">
      <c r="A9534" s="10" t="s">
        <v>58906</v>
      </c>
      <c r="B9534" s="10" t="s">
        <v>58907</v>
      </c>
      <c r="C9534" s="10" t="s">
        <v>10911</v>
      </c>
      <c r="D9534" s="10" t="s">
        <v>2469</v>
      </c>
      <c r="E9534" s="10" t="s">
        <v>58723</v>
      </c>
      <c r="F9534" s="10" t="s">
        <v>81</v>
      </c>
      <c r="G9534" s="10" t="s">
        <v>58908</v>
      </c>
      <c r="H9534" s="11" t="s">
        <v>31</v>
      </c>
      <c r="I9534" s="11">
        <v>2.0</v>
      </c>
      <c r="J9534" s="11">
        <v>1.0</v>
      </c>
      <c r="K9534" s="11" t="s">
        <v>31</v>
      </c>
      <c r="L9534" s="12" t="s">
        <v>58909</v>
      </c>
      <c r="M9534" s="10" t="s">
        <v>58910</v>
      </c>
      <c r="N9534" s="10" t="s">
        <v>986</v>
      </c>
      <c r="O9534" s="12" t="s">
        <v>987</v>
      </c>
      <c r="P9534" s="10" t="s">
        <v>28831</v>
      </c>
      <c r="Q9534" s="10" t="s">
        <v>31</v>
      </c>
      <c r="R9534" s="10" t="s">
        <v>64</v>
      </c>
      <c r="S9534" s="12" t="s">
        <v>28832</v>
      </c>
      <c r="T9534" s="10" t="s">
        <v>66</v>
      </c>
      <c r="U9534" s="12" t="s">
        <v>31</v>
      </c>
      <c r="V9534" s="10" t="s">
        <v>5234</v>
      </c>
      <c r="W9534" s="10" t="s">
        <v>28833</v>
      </c>
      <c r="X9534" s="13" t="str">
        <f>HYPERLINK("https://my.pitchbook.com?p=179886-70P","View People Online")</f>
        <v>View People Online</v>
      </c>
    </row>
    <row r="9535">
      <c r="A9535" s="6" t="s">
        <v>58911</v>
      </c>
      <c r="B9535" s="6" t="s">
        <v>58912</v>
      </c>
      <c r="C9535" s="6" t="s">
        <v>58913</v>
      </c>
      <c r="D9535" s="6" t="s">
        <v>17236</v>
      </c>
      <c r="E9535" s="6" t="s">
        <v>58723</v>
      </c>
      <c r="F9535" s="6" t="s">
        <v>81</v>
      </c>
      <c r="G9535" s="6" t="s">
        <v>58914</v>
      </c>
      <c r="H9535" s="7" t="s">
        <v>31</v>
      </c>
      <c r="I9535" s="7">
        <v>1.0</v>
      </c>
      <c r="J9535" s="7" t="s">
        <v>31</v>
      </c>
      <c r="K9535" s="7" t="s">
        <v>31</v>
      </c>
      <c r="L9535" s="8" t="s">
        <v>31</v>
      </c>
      <c r="M9535" s="6" t="s">
        <v>31</v>
      </c>
      <c r="N9535" s="6" t="s">
        <v>775</v>
      </c>
      <c r="O9535" s="8" t="s">
        <v>776</v>
      </c>
      <c r="P9535" s="6" t="s">
        <v>58760</v>
      </c>
      <c r="Q9535" s="6" t="s">
        <v>31</v>
      </c>
      <c r="R9535" s="6" t="s">
        <v>64</v>
      </c>
      <c r="S9535" s="8" t="s">
        <v>40089</v>
      </c>
      <c r="T9535" s="6" t="s">
        <v>66</v>
      </c>
      <c r="U9535" s="8" t="s">
        <v>31</v>
      </c>
      <c r="V9535" s="6" t="s">
        <v>81</v>
      </c>
      <c r="W9535" s="6" t="s">
        <v>58723</v>
      </c>
      <c r="X9535" s="9" t="str">
        <f>HYPERLINK("https://my.pitchbook.com?p=277134-67P","View People Online")</f>
        <v>View People Online</v>
      </c>
    </row>
    <row r="9536">
      <c r="A9536" s="10" t="s">
        <v>58915</v>
      </c>
      <c r="B9536" s="10" t="s">
        <v>58916</v>
      </c>
      <c r="C9536" s="10" t="s">
        <v>11659</v>
      </c>
      <c r="D9536" s="10" t="s">
        <v>6341</v>
      </c>
      <c r="E9536" s="10" t="s">
        <v>58723</v>
      </c>
      <c r="F9536" s="10" t="s">
        <v>114</v>
      </c>
      <c r="G9536" s="10" t="s">
        <v>58917</v>
      </c>
      <c r="H9536" s="11" t="s">
        <v>31</v>
      </c>
      <c r="I9536" s="11">
        <v>1.0</v>
      </c>
      <c r="J9536" s="11">
        <v>1.0</v>
      </c>
      <c r="K9536" s="11" t="s">
        <v>31</v>
      </c>
      <c r="L9536" s="12" t="s">
        <v>31</v>
      </c>
      <c r="M9536" s="10" t="s">
        <v>31</v>
      </c>
      <c r="N9536" s="10" t="s">
        <v>775</v>
      </c>
      <c r="O9536" s="12" t="s">
        <v>776</v>
      </c>
      <c r="P9536" s="10" t="s">
        <v>58760</v>
      </c>
      <c r="Q9536" s="10" t="s">
        <v>31</v>
      </c>
      <c r="R9536" s="10" t="s">
        <v>64</v>
      </c>
      <c r="S9536" s="12" t="s">
        <v>40089</v>
      </c>
      <c r="T9536" s="10" t="s">
        <v>66</v>
      </c>
      <c r="U9536" s="12" t="s">
        <v>31</v>
      </c>
      <c r="V9536" s="10" t="s">
        <v>58875</v>
      </c>
      <c r="W9536" s="10" t="s">
        <v>58723</v>
      </c>
      <c r="X9536" s="13" t="str">
        <f>HYPERLINK("https://my.pitchbook.com?p=351130-78P","View People Online")</f>
        <v>View People Online</v>
      </c>
    </row>
    <row r="9537">
      <c r="A9537" s="6" t="s">
        <v>58918</v>
      </c>
      <c r="B9537" s="6" t="s">
        <v>58919</v>
      </c>
      <c r="C9537" s="6" t="s">
        <v>18428</v>
      </c>
      <c r="D9537" s="6" t="s">
        <v>58920</v>
      </c>
      <c r="E9537" s="6" t="s">
        <v>58723</v>
      </c>
      <c r="F9537" s="6" t="s">
        <v>81</v>
      </c>
      <c r="G9537" s="6" t="s">
        <v>58921</v>
      </c>
      <c r="H9537" s="7">
        <v>1.0</v>
      </c>
      <c r="I9537" s="7">
        <v>2.0</v>
      </c>
      <c r="J9537" s="7" t="s">
        <v>31</v>
      </c>
      <c r="K9537" s="7" t="s">
        <v>31</v>
      </c>
      <c r="L9537" s="8" t="s">
        <v>31</v>
      </c>
      <c r="M9537" s="6" t="s">
        <v>31</v>
      </c>
      <c r="N9537" s="6" t="s">
        <v>775</v>
      </c>
      <c r="O9537" s="8" t="s">
        <v>776</v>
      </c>
      <c r="P9537" s="6" t="s">
        <v>58760</v>
      </c>
      <c r="Q9537" s="6" t="s">
        <v>31</v>
      </c>
      <c r="R9537" s="6" t="s">
        <v>64</v>
      </c>
      <c r="S9537" s="8" t="s">
        <v>40089</v>
      </c>
      <c r="T9537" s="6" t="s">
        <v>66</v>
      </c>
      <c r="U9537" s="8" t="s">
        <v>31</v>
      </c>
      <c r="V9537" s="6" t="s">
        <v>58922</v>
      </c>
      <c r="W9537" s="6" t="s">
        <v>58723</v>
      </c>
      <c r="X9537" s="9" t="str">
        <f>HYPERLINK("https://my.pitchbook.com?p=127074-97P","View People Online")</f>
        <v>View People Online</v>
      </c>
    </row>
    <row r="9538">
      <c r="A9538" s="10" t="s">
        <v>29561</v>
      </c>
      <c r="B9538" s="10" t="s">
        <v>29562</v>
      </c>
      <c r="C9538" s="10" t="s">
        <v>1489</v>
      </c>
      <c r="D9538" s="10" t="s">
        <v>11075</v>
      </c>
      <c r="E9538" s="10" t="s">
        <v>58723</v>
      </c>
      <c r="F9538" s="10" t="s">
        <v>81</v>
      </c>
      <c r="G9538" s="10" t="s">
        <v>29563</v>
      </c>
      <c r="H9538" s="11">
        <v>2.0</v>
      </c>
      <c r="I9538" s="11">
        <v>31.0</v>
      </c>
      <c r="J9538" s="11">
        <v>6.0</v>
      </c>
      <c r="K9538" s="11">
        <v>19.0</v>
      </c>
      <c r="L9538" s="12" t="s">
        <v>31</v>
      </c>
      <c r="M9538" s="10" t="s">
        <v>29564</v>
      </c>
      <c r="N9538" s="10" t="s">
        <v>1034</v>
      </c>
      <c r="O9538" s="12" t="s">
        <v>1035</v>
      </c>
      <c r="P9538" s="10" t="s">
        <v>29565</v>
      </c>
      <c r="Q9538" s="10" t="s">
        <v>29566</v>
      </c>
      <c r="R9538" s="10" t="s">
        <v>31</v>
      </c>
      <c r="S9538" s="12" t="s">
        <v>29567</v>
      </c>
      <c r="T9538" s="10" t="s">
        <v>1034</v>
      </c>
      <c r="U9538" s="12" t="s">
        <v>31</v>
      </c>
      <c r="V9538" s="10" t="s">
        <v>29568</v>
      </c>
      <c r="W9538" s="10" t="s">
        <v>29569</v>
      </c>
      <c r="X9538" s="13" t="str">
        <f>HYPERLINK("https://my.pitchbook.com?p=36399-61P","View People Online")</f>
        <v>View People Online</v>
      </c>
    </row>
    <row r="9539">
      <c r="A9539" s="6" t="s">
        <v>58923</v>
      </c>
      <c r="B9539" s="6" t="s">
        <v>58924</v>
      </c>
      <c r="C9539" s="6" t="s">
        <v>58925</v>
      </c>
      <c r="D9539" s="6" t="s">
        <v>17850</v>
      </c>
      <c r="E9539" s="6" t="s">
        <v>58723</v>
      </c>
      <c r="F9539" s="6" t="s">
        <v>58926</v>
      </c>
      <c r="G9539" s="6" t="s">
        <v>58927</v>
      </c>
      <c r="H9539" s="7">
        <v>1.0</v>
      </c>
      <c r="I9539" s="7">
        <v>3.0</v>
      </c>
      <c r="J9539" s="7">
        <v>1.0</v>
      </c>
      <c r="K9539" s="7">
        <v>2.0</v>
      </c>
      <c r="L9539" s="8" t="s">
        <v>31</v>
      </c>
      <c r="M9539" s="6" t="s">
        <v>31</v>
      </c>
      <c r="N9539" s="6" t="s">
        <v>6960</v>
      </c>
      <c r="O9539" s="8" t="s">
        <v>6961</v>
      </c>
      <c r="P9539" s="6" t="s">
        <v>58771</v>
      </c>
      <c r="Q9539" s="6" t="s">
        <v>58772</v>
      </c>
      <c r="R9539" s="6" t="s">
        <v>31</v>
      </c>
      <c r="S9539" s="8" t="s">
        <v>58773</v>
      </c>
      <c r="T9539" s="6" t="s">
        <v>6962</v>
      </c>
      <c r="U9539" s="8" t="s">
        <v>31</v>
      </c>
      <c r="V9539" s="6" t="s">
        <v>58928</v>
      </c>
      <c r="W9539" s="6" t="s">
        <v>58723</v>
      </c>
      <c r="X9539" s="9" t="str">
        <f>HYPERLINK("https://my.pitchbook.com?p=171432-28P","View People Online")</f>
        <v>View People Online</v>
      </c>
    </row>
    <row r="9540">
      <c r="A9540" s="2" t="s">
        <v>58929</v>
      </c>
      <c r="B9540" s="2" t="s">
        <v>58930</v>
      </c>
      <c r="C9540" s="2" t="s">
        <v>18773</v>
      </c>
      <c r="D9540" s="2" t="s">
        <v>16467</v>
      </c>
      <c r="E9540" s="2" t="s">
        <v>58723</v>
      </c>
      <c r="F9540" s="2" t="s">
        <v>81</v>
      </c>
      <c r="G9540" s="2" t="s">
        <v>58931</v>
      </c>
      <c r="H9540" s="3" t="s">
        <v>31</v>
      </c>
      <c r="I9540" s="3">
        <v>1.0</v>
      </c>
      <c r="J9540" s="3" t="s">
        <v>31</v>
      </c>
      <c r="K9540" s="3" t="s">
        <v>31</v>
      </c>
      <c r="L9540" s="4" t="s">
        <v>31</v>
      </c>
      <c r="M9540" s="2" t="s">
        <v>31</v>
      </c>
      <c r="N9540" s="2" t="s">
        <v>775</v>
      </c>
      <c r="O9540" s="4" t="s">
        <v>776</v>
      </c>
      <c r="P9540" s="2" t="s">
        <v>58760</v>
      </c>
      <c r="Q9540" s="2" t="s">
        <v>31</v>
      </c>
      <c r="R9540" s="2" t="s">
        <v>64</v>
      </c>
      <c r="S9540" s="4" t="s">
        <v>40089</v>
      </c>
      <c r="T9540" s="2" t="s">
        <v>66</v>
      </c>
      <c r="U9540" s="4" t="s">
        <v>31</v>
      </c>
      <c r="V9540" s="2" t="s">
        <v>81</v>
      </c>
      <c r="W9540" s="2" t="s">
        <v>58723</v>
      </c>
      <c r="X9540" s="5" t="str">
        <f>HYPERLINK("https://my.pitchbook.com?p=277125-94P","View People Online")</f>
        <v>View People Online</v>
      </c>
    </row>
    <row r="9541">
      <c r="A9541" s="14" t="s">
        <v>58932</v>
      </c>
      <c r="B9541" s="14" t="s">
        <v>58933</v>
      </c>
      <c r="C9541" s="14" t="s">
        <v>58934</v>
      </c>
      <c r="D9541" s="14" t="s">
        <v>27533</v>
      </c>
      <c r="E9541" s="14" t="s">
        <v>58723</v>
      </c>
      <c r="F9541" s="14" t="s">
        <v>81</v>
      </c>
      <c r="G9541" s="14" t="s">
        <v>58935</v>
      </c>
      <c r="H9541" s="15" t="s">
        <v>31</v>
      </c>
      <c r="I9541" s="15">
        <v>3.0</v>
      </c>
      <c r="J9541" s="15">
        <v>1.0</v>
      </c>
      <c r="K9541" s="15">
        <v>1.0</v>
      </c>
      <c r="L9541" s="16" t="s">
        <v>53066</v>
      </c>
      <c r="M9541" s="14" t="s">
        <v>58936</v>
      </c>
      <c r="N9541" s="14" t="s">
        <v>12252</v>
      </c>
      <c r="O9541" s="16" t="s">
        <v>29152</v>
      </c>
      <c r="P9541" s="14" t="s">
        <v>53067</v>
      </c>
      <c r="Q9541" s="14" t="s">
        <v>31</v>
      </c>
      <c r="R9541" s="14" t="s">
        <v>1277</v>
      </c>
      <c r="S9541" s="16" t="s">
        <v>53068</v>
      </c>
      <c r="T9541" s="14" t="s">
        <v>66</v>
      </c>
      <c r="U9541" s="16" t="s">
        <v>31</v>
      </c>
      <c r="V9541" s="14" t="s">
        <v>58937</v>
      </c>
      <c r="W9541" s="14" t="s">
        <v>58938</v>
      </c>
      <c r="X9541" s="17" t="str">
        <f>HYPERLINK("https://my.pitchbook.com?p=181627-30P","View People Online")</f>
        <v>View People Online</v>
      </c>
    </row>
    <row r="9542">
      <c r="A9542" s="10" t="s">
        <v>58939</v>
      </c>
      <c r="B9542" s="10" t="s">
        <v>58940</v>
      </c>
      <c r="C9542" s="10" t="s">
        <v>6043</v>
      </c>
      <c r="D9542" s="10" t="s">
        <v>58941</v>
      </c>
      <c r="E9542" s="10" t="s">
        <v>58723</v>
      </c>
      <c r="F9542" s="10" t="s">
        <v>29</v>
      </c>
      <c r="G9542" s="10" t="s">
        <v>58942</v>
      </c>
      <c r="H9542" s="11">
        <v>1.0</v>
      </c>
      <c r="I9542" s="11">
        <v>11.0</v>
      </c>
      <c r="J9542" s="11">
        <v>3.0</v>
      </c>
      <c r="K9542" s="11">
        <v>4.0</v>
      </c>
      <c r="L9542" s="12" t="s">
        <v>58943</v>
      </c>
      <c r="M9542" s="10" t="s">
        <v>58944</v>
      </c>
      <c r="N9542" s="10" t="s">
        <v>2478</v>
      </c>
      <c r="O9542" s="12" t="s">
        <v>7332</v>
      </c>
      <c r="P9542" s="10" t="s">
        <v>58945</v>
      </c>
      <c r="Q9542" s="10" t="s">
        <v>58946</v>
      </c>
      <c r="R9542" s="10" t="s">
        <v>7335</v>
      </c>
      <c r="S9542" s="12" t="s">
        <v>7336</v>
      </c>
      <c r="T9542" s="10" t="s">
        <v>5484</v>
      </c>
      <c r="U9542" s="12" t="s">
        <v>31</v>
      </c>
      <c r="V9542" s="10" t="s">
        <v>548</v>
      </c>
      <c r="W9542" s="10" t="s">
        <v>58947</v>
      </c>
      <c r="X9542" s="13" t="str">
        <f>HYPERLINK("https://my.pitchbook.com?p=187308-91P","View People Online")</f>
        <v>View People Online</v>
      </c>
    </row>
    <row r="9543">
      <c r="A9543" s="14" t="s">
        <v>36237</v>
      </c>
      <c r="B9543" s="14" t="s">
        <v>36238</v>
      </c>
      <c r="C9543" s="14" t="s">
        <v>2288</v>
      </c>
      <c r="D9543" s="14" t="s">
        <v>36239</v>
      </c>
      <c r="E9543" s="14" t="s">
        <v>58723</v>
      </c>
      <c r="F9543" s="14" t="s">
        <v>81</v>
      </c>
      <c r="G9543" s="14" t="s">
        <v>36240</v>
      </c>
      <c r="H9543" s="15">
        <v>3.0</v>
      </c>
      <c r="I9543" s="15">
        <v>557.0</v>
      </c>
      <c r="J9543" s="15">
        <v>11.0</v>
      </c>
      <c r="K9543" s="15">
        <v>533.0</v>
      </c>
      <c r="L9543" s="16" t="s">
        <v>36233</v>
      </c>
      <c r="M9543" s="14" t="s">
        <v>36241</v>
      </c>
      <c r="N9543" s="14" t="s">
        <v>155</v>
      </c>
      <c r="O9543" s="16" t="s">
        <v>156</v>
      </c>
      <c r="P9543" s="14" t="s">
        <v>6578</v>
      </c>
      <c r="Q9543" s="14" t="s">
        <v>36235</v>
      </c>
      <c r="R9543" s="14" t="s">
        <v>64</v>
      </c>
      <c r="S9543" s="16" t="s">
        <v>6580</v>
      </c>
      <c r="T9543" s="14" t="s">
        <v>66</v>
      </c>
      <c r="U9543" s="16" t="s">
        <v>36236</v>
      </c>
      <c r="V9543" s="14" t="s">
        <v>157</v>
      </c>
      <c r="W9543" s="14" t="s">
        <v>36231</v>
      </c>
      <c r="X9543" s="17" t="str">
        <f>HYPERLINK("https://my.pitchbook.com?p=43563-97P","View People Online")</f>
        <v>View People Online</v>
      </c>
    </row>
    <row r="9544">
      <c r="A9544" s="2" t="s">
        <v>58948</v>
      </c>
      <c r="B9544" s="2" t="s">
        <v>58949</v>
      </c>
      <c r="C9544" s="2" t="s">
        <v>1645</v>
      </c>
      <c r="D9544" s="2" t="s">
        <v>58950</v>
      </c>
      <c r="E9544" s="2" t="s">
        <v>58723</v>
      </c>
      <c r="F9544" s="2" t="s">
        <v>81</v>
      </c>
      <c r="G9544" s="2" t="s">
        <v>58951</v>
      </c>
      <c r="H9544" s="3" t="s">
        <v>31</v>
      </c>
      <c r="I9544" s="3">
        <v>10.0</v>
      </c>
      <c r="J9544" s="3">
        <v>1.0</v>
      </c>
      <c r="K9544" s="3">
        <v>8.0</v>
      </c>
      <c r="L9544" s="4" t="s">
        <v>31</v>
      </c>
      <c r="M9544" s="2" t="s">
        <v>58952</v>
      </c>
      <c r="N9544" s="2" t="s">
        <v>58953</v>
      </c>
      <c r="O9544" s="4" t="s">
        <v>58954</v>
      </c>
      <c r="P9544" s="2" t="s">
        <v>58955</v>
      </c>
      <c r="Q9544" s="2" t="s">
        <v>58956</v>
      </c>
      <c r="R9544" s="2" t="s">
        <v>31</v>
      </c>
      <c r="S9544" s="4" t="s">
        <v>58957</v>
      </c>
      <c r="T9544" s="2" t="s">
        <v>13361</v>
      </c>
      <c r="U9544" s="4" t="s">
        <v>31</v>
      </c>
      <c r="V9544" s="2" t="s">
        <v>558</v>
      </c>
      <c r="W9544" s="2" t="s">
        <v>58958</v>
      </c>
      <c r="X9544" s="5" t="str">
        <f>HYPERLINK("https://my.pitchbook.com?p=123235-12P","View People Online")</f>
        <v>View People Online</v>
      </c>
    </row>
    <row r="9545">
      <c r="A9545" s="6" t="s">
        <v>58959</v>
      </c>
      <c r="B9545" s="6" t="s">
        <v>58960</v>
      </c>
      <c r="C9545" s="6" t="s">
        <v>19715</v>
      </c>
      <c r="D9545" s="6" t="s">
        <v>58961</v>
      </c>
      <c r="E9545" s="6" t="s">
        <v>58723</v>
      </c>
      <c r="F9545" s="6" t="s">
        <v>81</v>
      </c>
      <c r="G9545" s="6" t="s">
        <v>58962</v>
      </c>
      <c r="H9545" s="7">
        <v>1.0</v>
      </c>
      <c r="I9545" s="7">
        <v>43.0</v>
      </c>
      <c r="J9545" s="7">
        <v>1.0</v>
      </c>
      <c r="K9545" s="7">
        <v>31.0</v>
      </c>
      <c r="L9545" s="8" t="s">
        <v>58963</v>
      </c>
      <c r="M9545" s="6" t="s">
        <v>58964</v>
      </c>
      <c r="N9545" s="6" t="s">
        <v>39912</v>
      </c>
      <c r="O9545" s="8" t="s">
        <v>39913</v>
      </c>
      <c r="P9545" s="6" t="s">
        <v>58965</v>
      </c>
      <c r="Q9545" s="6" t="s">
        <v>58966</v>
      </c>
      <c r="R9545" s="6" t="s">
        <v>64</v>
      </c>
      <c r="S9545" s="8" t="s">
        <v>39915</v>
      </c>
      <c r="T9545" s="6" t="s">
        <v>66</v>
      </c>
      <c r="U9545" s="8" t="s">
        <v>58967</v>
      </c>
      <c r="V9545" s="6" t="s">
        <v>58968</v>
      </c>
      <c r="W9545" s="6" t="s">
        <v>58969</v>
      </c>
      <c r="X9545" s="9" t="str">
        <f>HYPERLINK("https://my.pitchbook.com?p=14192-29P","View People Online")</f>
        <v>View People Online</v>
      </c>
    </row>
    <row r="9546">
      <c r="A9546" s="10" t="s">
        <v>58970</v>
      </c>
      <c r="B9546" s="10" t="s">
        <v>58971</v>
      </c>
      <c r="C9546" s="10" t="s">
        <v>19778</v>
      </c>
      <c r="D9546" s="10" t="s">
        <v>30845</v>
      </c>
      <c r="E9546" s="10" t="s">
        <v>58723</v>
      </c>
      <c r="F9546" s="10" t="s">
        <v>81</v>
      </c>
      <c r="G9546" s="10" t="s">
        <v>58972</v>
      </c>
      <c r="H9546" s="11">
        <v>3.0</v>
      </c>
      <c r="I9546" s="11">
        <v>7.0</v>
      </c>
      <c r="J9546" s="11" t="s">
        <v>31</v>
      </c>
      <c r="K9546" s="11">
        <v>1.0</v>
      </c>
      <c r="L9546" s="12" t="s">
        <v>58973</v>
      </c>
      <c r="M9546" s="10" t="s">
        <v>31</v>
      </c>
      <c r="N9546" s="10" t="s">
        <v>58974</v>
      </c>
      <c r="O9546" s="12" t="s">
        <v>58975</v>
      </c>
      <c r="P9546" s="10" t="s">
        <v>58976</v>
      </c>
      <c r="Q9546" s="10" t="s">
        <v>31</v>
      </c>
      <c r="R9546" s="10" t="s">
        <v>209</v>
      </c>
      <c r="S9546" s="12" t="s">
        <v>58977</v>
      </c>
      <c r="T9546" s="10" t="s">
        <v>66</v>
      </c>
      <c r="U9546" s="12" t="s">
        <v>31</v>
      </c>
      <c r="V9546" s="10" t="s">
        <v>58978</v>
      </c>
      <c r="W9546" s="10" t="s">
        <v>58979</v>
      </c>
      <c r="X9546" s="13" t="str">
        <f>HYPERLINK("https://my.pitchbook.com?p=67529-80P","View People Online")</f>
        <v>View People Online</v>
      </c>
    </row>
    <row r="9547">
      <c r="A9547" s="14" t="s">
        <v>7013</v>
      </c>
      <c r="B9547" s="14" t="s">
        <v>7014</v>
      </c>
      <c r="C9547" s="14" t="s">
        <v>126</v>
      </c>
      <c r="D9547" s="14" t="s">
        <v>7015</v>
      </c>
      <c r="E9547" s="14" t="s">
        <v>58723</v>
      </c>
      <c r="F9547" s="14" t="s">
        <v>81</v>
      </c>
      <c r="G9547" s="14" t="s">
        <v>7016</v>
      </c>
      <c r="H9547" s="15">
        <v>1.0</v>
      </c>
      <c r="I9547" s="15">
        <v>4.0</v>
      </c>
      <c r="J9547" s="15">
        <v>2.0</v>
      </c>
      <c r="K9547" s="15" t="s">
        <v>31</v>
      </c>
      <c r="L9547" s="16" t="s">
        <v>7017</v>
      </c>
      <c r="M9547" s="14" t="s">
        <v>7018</v>
      </c>
      <c r="N9547" s="14" t="s">
        <v>7001</v>
      </c>
      <c r="O9547" s="16" t="s">
        <v>7002</v>
      </c>
      <c r="P9547" s="14" t="s">
        <v>7003</v>
      </c>
      <c r="Q9547" s="14" t="s">
        <v>31</v>
      </c>
      <c r="R9547" s="14" t="s">
        <v>7004</v>
      </c>
      <c r="S9547" s="16" t="s">
        <v>7005</v>
      </c>
      <c r="T9547" s="14" t="s">
        <v>66</v>
      </c>
      <c r="U9547" s="16" t="s">
        <v>31</v>
      </c>
      <c r="V9547" s="14" t="s">
        <v>1612</v>
      </c>
      <c r="W9547" s="14" t="s">
        <v>6996</v>
      </c>
      <c r="X9547" s="17" t="str">
        <f>HYPERLINK("https://my.pitchbook.com?p=128242-45P","View People Online")</f>
        <v>View People Online</v>
      </c>
    </row>
    <row r="9548">
      <c r="A9548" s="2" t="s">
        <v>58980</v>
      </c>
      <c r="B9548" s="2" t="s">
        <v>58981</v>
      </c>
      <c r="C9548" s="2" t="s">
        <v>126</v>
      </c>
      <c r="D9548" s="2" t="s">
        <v>58982</v>
      </c>
      <c r="E9548" s="2" t="s">
        <v>58723</v>
      </c>
      <c r="F9548" s="2" t="s">
        <v>81</v>
      </c>
      <c r="G9548" s="2" t="s">
        <v>58983</v>
      </c>
      <c r="H9548" s="3">
        <v>1.0</v>
      </c>
      <c r="I9548" s="3">
        <v>2.0</v>
      </c>
      <c r="J9548" s="3" t="s">
        <v>31</v>
      </c>
      <c r="K9548" s="3" t="s">
        <v>31</v>
      </c>
      <c r="L9548" s="4" t="s">
        <v>58984</v>
      </c>
      <c r="M9548" s="2" t="s">
        <v>31</v>
      </c>
      <c r="N9548" s="2" t="s">
        <v>1181</v>
      </c>
      <c r="O9548" s="4" t="s">
        <v>1182</v>
      </c>
      <c r="P9548" s="2" t="s">
        <v>58985</v>
      </c>
      <c r="Q9548" s="2" t="s">
        <v>31</v>
      </c>
      <c r="R9548" s="2" t="s">
        <v>1185</v>
      </c>
      <c r="S9548" s="4" t="s">
        <v>23348</v>
      </c>
      <c r="T9548" s="2" t="s">
        <v>66</v>
      </c>
      <c r="U9548" s="4" t="s">
        <v>31</v>
      </c>
      <c r="V9548" s="2" t="s">
        <v>52143</v>
      </c>
      <c r="W9548" s="2" t="s">
        <v>58986</v>
      </c>
      <c r="X9548" s="5" t="str">
        <f>HYPERLINK("https://my.pitchbook.com?p=159500-80P","View People Online")</f>
        <v>View People Online</v>
      </c>
    </row>
    <row r="9549">
      <c r="A9549" s="14" t="s">
        <v>58987</v>
      </c>
      <c r="B9549" s="14" t="s">
        <v>58988</v>
      </c>
      <c r="C9549" s="14" t="s">
        <v>1807</v>
      </c>
      <c r="D9549" s="14" t="s">
        <v>20063</v>
      </c>
      <c r="E9549" s="14" t="s">
        <v>58723</v>
      </c>
      <c r="F9549" s="14" t="s">
        <v>81</v>
      </c>
      <c r="G9549" s="14" t="s">
        <v>58989</v>
      </c>
      <c r="H9549" s="15" t="s">
        <v>31</v>
      </c>
      <c r="I9549" s="15">
        <v>3.0</v>
      </c>
      <c r="J9549" s="15" t="s">
        <v>31</v>
      </c>
      <c r="K9549" s="15" t="s">
        <v>31</v>
      </c>
      <c r="L9549" s="16" t="s">
        <v>31</v>
      </c>
      <c r="M9549" s="14" t="s">
        <v>31</v>
      </c>
      <c r="N9549" s="14" t="s">
        <v>775</v>
      </c>
      <c r="O9549" s="16" t="s">
        <v>776</v>
      </c>
      <c r="P9549" s="14" t="s">
        <v>58760</v>
      </c>
      <c r="Q9549" s="14" t="s">
        <v>31</v>
      </c>
      <c r="R9549" s="14" t="s">
        <v>64</v>
      </c>
      <c r="S9549" s="16" t="s">
        <v>40089</v>
      </c>
      <c r="T9549" s="14" t="s">
        <v>66</v>
      </c>
      <c r="U9549" s="16" t="s">
        <v>31</v>
      </c>
      <c r="V9549" s="14" t="s">
        <v>58990</v>
      </c>
      <c r="W9549" s="14" t="s">
        <v>58723</v>
      </c>
      <c r="X9549" s="17" t="str">
        <f>HYPERLINK("https://my.pitchbook.com?p=213516-55P","View People Online")</f>
        <v>View People Online</v>
      </c>
    </row>
    <row r="9550">
      <c r="A9550" s="10" t="s">
        <v>58991</v>
      </c>
      <c r="B9550" s="10" t="s">
        <v>58992</v>
      </c>
      <c r="C9550" s="10" t="s">
        <v>1807</v>
      </c>
      <c r="D9550" s="10" t="s">
        <v>58993</v>
      </c>
      <c r="E9550" s="10" t="s">
        <v>58723</v>
      </c>
      <c r="F9550" s="10" t="s">
        <v>81</v>
      </c>
      <c r="G9550" s="10" t="s">
        <v>58994</v>
      </c>
      <c r="H9550" s="11">
        <v>1.0</v>
      </c>
      <c r="I9550" s="11">
        <v>3.0</v>
      </c>
      <c r="J9550" s="11">
        <v>1.0</v>
      </c>
      <c r="K9550" s="11" t="s">
        <v>31</v>
      </c>
      <c r="L9550" s="12" t="s">
        <v>58995</v>
      </c>
      <c r="M9550" s="10" t="s">
        <v>58996</v>
      </c>
      <c r="N9550" s="10" t="s">
        <v>10983</v>
      </c>
      <c r="O9550" s="12" t="s">
        <v>37748</v>
      </c>
      <c r="P9550" s="10" t="s">
        <v>58997</v>
      </c>
      <c r="Q9550" s="10" t="s">
        <v>58998</v>
      </c>
      <c r="R9550" s="10" t="s">
        <v>37751</v>
      </c>
      <c r="S9550" s="12" t="s">
        <v>37752</v>
      </c>
      <c r="T9550" s="10" t="s">
        <v>66</v>
      </c>
      <c r="U9550" s="12" t="s">
        <v>31</v>
      </c>
      <c r="V9550" s="10" t="s">
        <v>58999</v>
      </c>
      <c r="W9550" s="10" t="s">
        <v>59000</v>
      </c>
      <c r="X9550" s="13" t="str">
        <f>HYPERLINK("https://my.pitchbook.com?p=277150-06P","View People Online")</f>
        <v>View People Online</v>
      </c>
    </row>
    <row r="9551">
      <c r="A9551" s="6" t="s">
        <v>59001</v>
      </c>
      <c r="B9551" s="6" t="s">
        <v>59002</v>
      </c>
      <c r="C9551" s="6" t="s">
        <v>59003</v>
      </c>
      <c r="D9551" s="6" t="s">
        <v>59004</v>
      </c>
      <c r="E9551" s="6" t="s">
        <v>58723</v>
      </c>
      <c r="F9551" s="6" t="s">
        <v>81</v>
      </c>
      <c r="G9551" s="6" t="s">
        <v>59005</v>
      </c>
      <c r="H9551" s="7" t="s">
        <v>31</v>
      </c>
      <c r="I9551" s="7">
        <v>1.0</v>
      </c>
      <c r="J9551" s="7" t="s">
        <v>31</v>
      </c>
      <c r="K9551" s="7" t="s">
        <v>31</v>
      </c>
      <c r="L9551" s="8" t="s">
        <v>31</v>
      </c>
      <c r="M9551" s="6" t="s">
        <v>31</v>
      </c>
      <c r="N9551" s="6" t="s">
        <v>775</v>
      </c>
      <c r="O9551" s="8" t="s">
        <v>776</v>
      </c>
      <c r="P9551" s="6" t="s">
        <v>58760</v>
      </c>
      <c r="Q9551" s="6" t="s">
        <v>31</v>
      </c>
      <c r="R9551" s="6" t="s">
        <v>64</v>
      </c>
      <c r="S9551" s="8" t="s">
        <v>40089</v>
      </c>
      <c r="T9551" s="6" t="s">
        <v>66</v>
      </c>
      <c r="U9551" s="8" t="s">
        <v>31</v>
      </c>
      <c r="V9551" s="6" t="s">
        <v>59006</v>
      </c>
      <c r="W9551" s="6" t="s">
        <v>58723</v>
      </c>
      <c r="X9551" s="9" t="str">
        <f>HYPERLINK("https://my.pitchbook.com?p=102907-90P","View People Online")</f>
        <v>View People Online</v>
      </c>
    </row>
    <row r="9552">
      <c r="A9552" s="2" t="s">
        <v>59007</v>
      </c>
      <c r="B9552" s="2" t="s">
        <v>59008</v>
      </c>
      <c r="C9552" s="2" t="s">
        <v>907</v>
      </c>
      <c r="D9552" s="2" t="s">
        <v>59009</v>
      </c>
      <c r="E9552" s="2" t="s">
        <v>58723</v>
      </c>
      <c r="F9552" s="2" t="s">
        <v>81</v>
      </c>
      <c r="G9552" s="2" t="s">
        <v>59010</v>
      </c>
      <c r="H9552" s="3">
        <v>9.0</v>
      </c>
      <c r="I9552" s="3">
        <v>48.0</v>
      </c>
      <c r="J9552" s="3">
        <v>4.0</v>
      </c>
      <c r="K9552" s="3">
        <v>28.0</v>
      </c>
      <c r="L9552" s="4" t="s">
        <v>59011</v>
      </c>
      <c r="M9552" s="2" t="s">
        <v>59012</v>
      </c>
      <c r="N9552" s="2" t="s">
        <v>155</v>
      </c>
      <c r="O9552" s="4" t="s">
        <v>156</v>
      </c>
      <c r="P9552" s="2" t="s">
        <v>6578</v>
      </c>
      <c r="Q9552" s="2" t="s">
        <v>59013</v>
      </c>
      <c r="R9552" s="2" t="s">
        <v>64</v>
      </c>
      <c r="S9552" s="4" t="s">
        <v>2463</v>
      </c>
      <c r="T9552" s="2" t="s">
        <v>66</v>
      </c>
      <c r="U9552" s="4" t="s">
        <v>31</v>
      </c>
      <c r="V9552" s="2" t="s">
        <v>674</v>
      </c>
      <c r="W9552" s="2" t="s">
        <v>59014</v>
      </c>
      <c r="X9552" s="5" t="str">
        <f>HYPERLINK("https://my.pitchbook.com?p=30485-17P","View People Online")</f>
        <v>View People Online</v>
      </c>
    </row>
    <row r="9553">
      <c r="A9553" s="14" t="s">
        <v>59015</v>
      </c>
      <c r="B9553" s="14" t="s">
        <v>59016</v>
      </c>
      <c r="C9553" s="14" t="s">
        <v>3215</v>
      </c>
      <c r="D9553" s="14" t="s">
        <v>59017</v>
      </c>
      <c r="E9553" s="14" t="s">
        <v>58723</v>
      </c>
      <c r="F9553" s="14" t="s">
        <v>81</v>
      </c>
      <c r="G9553" s="14" t="s">
        <v>59018</v>
      </c>
      <c r="H9553" s="15">
        <v>1.0</v>
      </c>
      <c r="I9553" s="15">
        <v>3.0</v>
      </c>
      <c r="J9553" s="15">
        <v>2.0</v>
      </c>
      <c r="K9553" s="15" t="s">
        <v>31</v>
      </c>
      <c r="L9553" s="16" t="s">
        <v>59019</v>
      </c>
      <c r="M9553" s="14" t="s">
        <v>59020</v>
      </c>
      <c r="N9553" s="14" t="s">
        <v>1442</v>
      </c>
      <c r="O9553" s="16" t="s">
        <v>1443</v>
      </c>
      <c r="P9553" s="14" t="s">
        <v>59021</v>
      </c>
      <c r="Q9553" s="14" t="s">
        <v>31</v>
      </c>
      <c r="R9553" s="14" t="s">
        <v>1277</v>
      </c>
      <c r="S9553" s="16" t="s">
        <v>59022</v>
      </c>
      <c r="T9553" s="14" t="s">
        <v>66</v>
      </c>
      <c r="U9553" s="16" t="s">
        <v>31</v>
      </c>
      <c r="V9553" s="14" t="s">
        <v>59023</v>
      </c>
      <c r="W9553" s="14" t="s">
        <v>59024</v>
      </c>
      <c r="X9553" s="17" t="str">
        <f>HYPERLINK("https://my.pitchbook.com?p=46999-00P","View People Online")</f>
        <v>View People Online</v>
      </c>
    </row>
    <row r="9554">
      <c r="A9554" s="10" t="s">
        <v>59025</v>
      </c>
      <c r="B9554" s="10" t="s">
        <v>59026</v>
      </c>
      <c r="C9554" s="10" t="s">
        <v>2388</v>
      </c>
      <c r="D9554" s="10" t="s">
        <v>1723</v>
      </c>
      <c r="E9554" s="10" t="s">
        <v>58723</v>
      </c>
      <c r="F9554" s="10" t="s">
        <v>6793</v>
      </c>
      <c r="G9554" s="10" t="s">
        <v>59027</v>
      </c>
      <c r="H9554" s="11" t="s">
        <v>31</v>
      </c>
      <c r="I9554" s="11">
        <v>2.0</v>
      </c>
      <c r="J9554" s="11">
        <v>1.0</v>
      </c>
      <c r="K9554" s="11" t="s">
        <v>31</v>
      </c>
      <c r="L9554" s="12" t="s">
        <v>59028</v>
      </c>
      <c r="M9554" s="10" t="s">
        <v>59029</v>
      </c>
      <c r="N9554" s="10" t="s">
        <v>6960</v>
      </c>
      <c r="O9554" s="12" t="s">
        <v>6961</v>
      </c>
      <c r="P9554" s="10" t="s">
        <v>59030</v>
      </c>
      <c r="Q9554" s="10" t="s">
        <v>59031</v>
      </c>
      <c r="R9554" s="10" t="s">
        <v>31</v>
      </c>
      <c r="S9554" s="12" t="s">
        <v>59032</v>
      </c>
      <c r="T9554" s="10" t="s">
        <v>6962</v>
      </c>
      <c r="U9554" s="12" t="s">
        <v>59033</v>
      </c>
      <c r="V9554" s="10" t="s">
        <v>28216</v>
      </c>
      <c r="W9554" s="10" t="s">
        <v>59034</v>
      </c>
      <c r="X9554" s="13" t="str">
        <f>HYPERLINK("https://my.pitchbook.com?p=60647-05P","View People Online")</f>
        <v>View People Online</v>
      </c>
    </row>
    <row r="9555">
      <c r="A9555" s="6" t="s">
        <v>59035</v>
      </c>
      <c r="B9555" s="6" t="s">
        <v>59036</v>
      </c>
      <c r="C9555" s="6" t="s">
        <v>5219</v>
      </c>
      <c r="D9555" s="6" t="s">
        <v>59037</v>
      </c>
      <c r="E9555" s="6" t="s">
        <v>58723</v>
      </c>
      <c r="F9555" s="6" t="s">
        <v>81</v>
      </c>
      <c r="G9555" s="6" t="s">
        <v>59038</v>
      </c>
      <c r="H9555" s="7" t="s">
        <v>31</v>
      </c>
      <c r="I9555" s="7">
        <v>1.0</v>
      </c>
      <c r="J9555" s="7" t="s">
        <v>31</v>
      </c>
      <c r="K9555" s="7" t="s">
        <v>31</v>
      </c>
      <c r="L9555" s="8" t="s">
        <v>31</v>
      </c>
      <c r="M9555" s="6" t="s">
        <v>31</v>
      </c>
      <c r="N9555" s="6" t="s">
        <v>775</v>
      </c>
      <c r="O9555" s="8" t="s">
        <v>776</v>
      </c>
      <c r="P9555" s="6" t="s">
        <v>58760</v>
      </c>
      <c r="Q9555" s="6" t="s">
        <v>31</v>
      </c>
      <c r="R9555" s="6" t="s">
        <v>64</v>
      </c>
      <c r="S9555" s="8" t="s">
        <v>40089</v>
      </c>
      <c r="T9555" s="6" t="s">
        <v>66</v>
      </c>
      <c r="U9555" s="8" t="s">
        <v>31</v>
      </c>
      <c r="V9555" s="6" t="s">
        <v>81</v>
      </c>
      <c r="W9555" s="6" t="s">
        <v>58723</v>
      </c>
      <c r="X9555" s="9" t="str">
        <f>HYPERLINK("https://my.pitchbook.com?p=396151-30P","View People Online")</f>
        <v>View People Online</v>
      </c>
    </row>
    <row r="9556">
      <c r="A9556" s="10" t="s">
        <v>59039</v>
      </c>
      <c r="B9556" s="10" t="s">
        <v>59040</v>
      </c>
      <c r="C9556" s="10" t="s">
        <v>12189</v>
      </c>
      <c r="D9556" s="10" t="s">
        <v>59041</v>
      </c>
      <c r="E9556" s="10" t="s">
        <v>58723</v>
      </c>
      <c r="F9556" s="10" t="s">
        <v>81</v>
      </c>
      <c r="G9556" s="10" t="s">
        <v>59042</v>
      </c>
      <c r="H9556" s="11">
        <v>3.0</v>
      </c>
      <c r="I9556" s="11">
        <v>4.0</v>
      </c>
      <c r="J9556" s="11">
        <v>1.0</v>
      </c>
      <c r="K9556" s="11" t="s">
        <v>31</v>
      </c>
      <c r="L9556" s="12" t="s">
        <v>59043</v>
      </c>
      <c r="M9556" s="10" t="s">
        <v>59044</v>
      </c>
      <c r="N9556" s="10" t="s">
        <v>986</v>
      </c>
      <c r="O9556" s="12" t="s">
        <v>987</v>
      </c>
      <c r="P9556" s="10" t="s">
        <v>59045</v>
      </c>
      <c r="Q9556" s="10" t="s">
        <v>31</v>
      </c>
      <c r="R9556" s="10" t="s">
        <v>64</v>
      </c>
      <c r="S9556" s="12" t="s">
        <v>59046</v>
      </c>
      <c r="T9556" s="10" t="s">
        <v>66</v>
      </c>
      <c r="U9556" s="12" t="s">
        <v>31</v>
      </c>
      <c r="V9556" s="10" t="s">
        <v>59047</v>
      </c>
      <c r="W9556" s="10" t="s">
        <v>59048</v>
      </c>
      <c r="X9556" s="13" t="str">
        <f>HYPERLINK("https://my.pitchbook.com?p=44612-47P","View People Online")</f>
        <v>View People Online</v>
      </c>
    </row>
    <row r="9557">
      <c r="A9557" s="14" t="s">
        <v>59049</v>
      </c>
      <c r="B9557" s="14" t="s">
        <v>59050</v>
      </c>
      <c r="C9557" s="14" t="s">
        <v>536</v>
      </c>
      <c r="D9557" s="14" t="s">
        <v>59051</v>
      </c>
      <c r="E9557" s="14" t="s">
        <v>58723</v>
      </c>
      <c r="F9557" s="14" t="s">
        <v>114</v>
      </c>
      <c r="G9557" s="14" t="s">
        <v>59052</v>
      </c>
      <c r="H9557" s="15" t="s">
        <v>31</v>
      </c>
      <c r="I9557" s="15">
        <v>3.0</v>
      </c>
      <c r="J9557" s="15">
        <v>3.0</v>
      </c>
      <c r="K9557" s="15" t="s">
        <v>31</v>
      </c>
      <c r="L9557" s="16" t="s">
        <v>31</v>
      </c>
      <c r="M9557" s="14" t="s">
        <v>31</v>
      </c>
      <c r="N9557" s="14" t="s">
        <v>59053</v>
      </c>
      <c r="O9557" s="16" t="s">
        <v>59054</v>
      </c>
      <c r="P9557" s="14" t="s">
        <v>59055</v>
      </c>
      <c r="Q9557" s="14" t="s">
        <v>1280</v>
      </c>
      <c r="R9557" s="14" t="s">
        <v>64</v>
      </c>
      <c r="S9557" s="16" t="s">
        <v>59056</v>
      </c>
      <c r="T9557" s="14" t="s">
        <v>66</v>
      </c>
      <c r="U9557" s="16" t="s">
        <v>31</v>
      </c>
      <c r="V9557" s="14" t="s">
        <v>991</v>
      </c>
      <c r="W9557" s="14" t="s">
        <v>59057</v>
      </c>
      <c r="X9557" s="17" t="str">
        <f>HYPERLINK("https://my.pitchbook.com?p=35911-18P","View People Online")</f>
        <v>View People Online</v>
      </c>
    </row>
    <row r="9558">
      <c r="A9558" s="10" t="s">
        <v>59058</v>
      </c>
      <c r="B9558" s="10" t="s">
        <v>59059</v>
      </c>
      <c r="C9558" s="10" t="s">
        <v>3370</v>
      </c>
      <c r="D9558" s="10" t="s">
        <v>28163</v>
      </c>
      <c r="E9558" s="10" t="s">
        <v>58723</v>
      </c>
      <c r="F9558" s="10" t="s">
        <v>114</v>
      </c>
      <c r="G9558" s="10" t="s">
        <v>59060</v>
      </c>
      <c r="H9558" s="11" t="s">
        <v>31</v>
      </c>
      <c r="I9558" s="11">
        <v>1.0</v>
      </c>
      <c r="J9558" s="11">
        <v>1.0</v>
      </c>
      <c r="K9558" s="11" t="s">
        <v>31</v>
      </c>
      <c r="L9558" s="12" t="s">
        <v>31</v>
      </c>
      <c r="M9558" s="10" t="s">
        <v>31</v>
      </c>
      <c r="N9558" s="10" t="s">
        <v>775</v>
      </c>
      <c r="O9558" s="12" t="s">
        <v>776</v>
      </c>
      <c r="P9558" s="10" t="s">
        <v>58760</v>
      </c>
      <c r="Q9558" s="10" t="s">
        <v>31</v>
      </c>
      <c r="R9558" s="10" t="s">
        <v>64</v>
      </c>
      <c r="S9558" s="12" t="s">
        <v>40089</v>
      </c>
      <c r="T9558" s="10" t="s">
        <v>66</v>
      </c>
      <c r="U9558" s="12" t="s">
        <v>31</v>
      </c>
      <c r="V9558" s="10" t="s">
        <v>114</v>
      </c>
      <c r="W9558" s="10" t="s">
        <v>58723</v>
      </c>
      <c r="X9558" s="13" t="str">
        <f>HYPERLINK("https://my.pitchbook.com?p=42237-91P","View People Online")</f>
        <v>View People Online</v>
      </c>
    </row>
    <row r="9559">
      <c r="A9559" s="14" t="s">
        <v>59061</v>
      </c>
      <c r="B9559" s="14" t="s">
        <v>59062</v>
      </c>
      <c r="C9559" s="14" t="s">
        <v>33860</v>
      </c>
      <c r="D9559" s="14" t="s">
        <v>59063</v>
      </c>
      <c r="E9559" s="14" t="s">
        <v>58723</v>
      </c>
      <c r="F9559" s="14" t="s">
        <v>114</v>
      </c>
      <c r="G9559" s="14" t="s">
        <v>59064</v>
      </c>
      <c r="H9559" s="15">
        <v>1.0</v>
      </c>
      <c r="I9559" s="15">
        <v>4.0</v>
      </c>
      <c r="J9559" s="15">
        <v>3.0</v>
      </c>
      <c r="K9559" s="15" t="s">
        <v>31</v>
      </c>
      <c r="L9559" s="16" t="s">
        <v>59065</v>
      </c>
      <c r="M9559" s="14" t="s">
        <v>59066</v>
      </c>
      <c r="N9559" s="14" t="s">
        <v>2320</v>
      </c>
      <c r="O9559" s="16" t="s">
        <v>2321</v>
      </c>
      <c r="P9559" s="14" t="s">
        <v>59067</v>
      </c>
      <c r="Q9559" s="14" t="s">
        <v>31</v>
      </c>
      <c r="R9559" s="14" t="s">
        <v>31</v>
      </c>
      <c r="S9559" s="16" t="s">
        <v>59068</v>
      </c>
      <c r="T9559" s="14" t="s">
        <v>2055</v>
      </c>
      <c r="U9559" s="16" t="s">
        <v>31</v>
      </c>
      <c r="V9559" s="14" t="s">
        <v>2199</v>
      </c>
      <c r="W9559" s="14" t="s">
        <v>59069</v>
      </c>
      <c r="X9559" s="17" t="str">
        <f>HYPERLINK("https://my.pitchbook.com?p=175921-75P","View People Online")</f>
        <v>View People Online</v>
      </c>
    </row>
    <row r="9560">
      <c r="A9560" s="2" t="s">
        <v>59070</v>
      </c>
      <c r="B9560" s="2" t="s">
        <v>59071</v>
      </c>
      <c r="C9560" s="2" t="s">
        <v>59072</v>
      </c>
      <c r="D9560" s="2" t="s">
        <v>59073</v>
      </c>
      <c r="E9560" s="2" t="s">
        <v>58723</v>
      </c>
      <c r="F9560" s="2" t="s">
        <v>270</v>
      </c>
      <c r="G9560" s="2" t="s">
        <v>59074</v>
      </c>
      <c r="H9560" s="3" t="s">
        <v>31</v>
      </c>
      <c r="I9560" s="3">
        <v>4.0</v>
      </c>
      <c r="J9560" s="3">
        <v>2.0</v>
      </c>
      <c r="K9560" s="3" t="s">
        <v>31</v>
      </c>
      <c r="L9560" s="4" t="s">
        <v>59075</v>
      </c>
      <c r="M9560" s="2" t="s">
        <v>59076</v>
      </c>
      <c r="N9560" s="2" t="s">
        <v>75</v>
      </c>
      <c r="O9560" s="4" t="s">
        <v>76</v>
      </c>
      <c r="P9560" s="2" t="s">
        <v>59077</v>
      </c>
      <c r="Q9560" s="2" t="s">
        <v>56573</v>
      </c>
      <c r="R9560" s="2" t="s">
        <v>75</v>
      </c>
      <c r="S9560" s="4" t="s">
        <v>4581</v>
      </c>
      <c r="T9560" s="2" t="s">
        <v>66</v>
      </c>
      <c r="U9560" s="4" t="s">
        <v>31</v>
      </c>
      <c r="V9560" s="2" t="s">
        <v>59078</v>
      </c>
      <c r="W9560" s="2" t="s">
        <v>59079</v>
      </c>
      <c r="X9560" s="5" t="str">
        <f>HYPERLINK("https://my.pitchbook.com?p=142242-04P","View People Online")</f>
        <v>View People Online</v>
      </c>
    </row>
    <row r="9561">
      <c r="A9561" s="14" t="s">
        <v>59080</v>
      </c>
      <c r="B9561" s="14" t="s">
        <v>59081</v>
      </c>
      <c r="C9561" s="14" t="s">
        <v>3716</v>
      </c>
      <c r="D9561" s="14" t="s">
        <v>59082</v>
      </c>
      <c r="E9561" s="14" t="s">
        <v>58723</v>
      </c>
      <c r="F9561" s="14" t="s">
        <v>114</v>
      </c>
      <c r="G9561" s="14" t="s">
        <v>59083</v>
      </c>
      <c r="H9561" s="15" t="s">
        <v>31</v>
      </c>
      <c r="I9561" s="15">
        <v>1.0</v>
      </c>
      <c r="J9561" s="15">
        <v>1.0</v>
      </c>
      <c r="K9561" s="15" t="s">
        <v>31</v>
      </c>
      <c r="L9561" s="16" t="s">
        <v>31</v>
      </c>
      <c r="M9561" s="14" t="s">
        <v>31</v>
      </c>
      <c r="N9561" s="14" t="s">
        <v>775</v>
      </c>
      <c r="O9561" s="16" t="s">
        <v>776</v>
      </c>
      <c r="P9561" s="14" t="s">
        <v>58760</v>
      </c>
      <c r="Q9561" s="14" t="s">
        <v>31</v>
      </c>
      <c r="R9561" s="14" t="s">
        <v>64</v>
      </c>
      <c r="S9561" s="16" t="s">
        <v>40089</v>
      </c>
      <c r="T9561" s="14" t="s">
        <v>66</v>
      </c>
      <c r="U9561" s="16" t="s">
        <v>31</v>
      </c>
      <c r="V9561" s="14" t="s">
        <v>59084</v>
      </c>
      <c r="W9561" s="14" t="s">
        <v>59085</v>
      </c>
      <c r="X9561" s="17" t="str">
        <f>HYPERLINK("https://my.pitchbook.com?p=41446-36P","View People Online")</f>
        <v>View People Online</v>
      </c>
    </row>
    <row r="9562">
      <c r="A9562" s="10" t="s">
        <v>59086</v>
      </c>
      <c r="B9562" s="10" t="s">
        <v>59087</v>
      </c>
      <c r="C9562" s="10" t="s">
        <v>59088</v>
      </c>
      <c r="D9562" s="10" t="s">
        <v>59089</v>
      </c>
      <c r="E9562" s="10" t="s">
        <v>58723</v>
      </c>
      <c r="F9562" s="10" t="s">
        <v>81</v>
      </c>
      <c r="G9562" s="10" t="s">
        <v>59090</v>
      </c>
      <c r="H9562" s="11" t="s">
        <v>31</v>
      </c>
      <c r="I9562" s="11">
        <v>1.0</v>
      </c>
      <c r="J9562" s="11" t="s">
        <v>31</v>
      </c>
      <c r="K9562" s="11" t="s">
        <v>31</v>
      </c>
      <c r="L9562" s="12" t="s">
        <v>31</v>
      </c>
      <c r="M9562" s="10" t="s">
        <v>59091</v>
      </c>
      <c r="N9562" s="10" t="s">
        <v>6960</v>
      </c>
      <c r="O9562" s="12" t="s">
        <v>6961</v>
      </c>
      <c r="P9562" s="10" t="s">
        <v>58771</v>
      </c>
      <c r="Q9562" s="10" t="s">
        <v>58772</v>
      </c>
      <c r="R9562" s="10" t="s">
        <v>31</v>
      </c>
      <c r="S9562" s="12" t="s">
        <v>58773</v>
      </c>
      <c r="T9562" s="10" t="s">
        <v>6962</v>
      </c>
      <c r="U9562" s="12" t="s">
        <v>31</v>
      </c>
      <c r="V9562" s="10" t="s">
        <v>59092</v>
      </c>
      <c r="W9562" s="10" t="s">
        <v>59093</v>
      </c>
      <c r="X9562" s="13" t="str">
        <f>HYPERLINK("https://my.pitchbook.com?p=256296-16P","View People Online")</f>
        <v>View People Online</v>
      </c>
    </row>
    <row r="9563">
      <c r="A9563" s="14" t="s">
        <v>59094</v>
      </c>
      <c r="B9563" s="14" t="s">
        <v>59095</v>
      </c>
      <c r="C9563" s="14" t="s">
        <v>59096</v>
      </c>
      <c r="D9563" s="14" t="s">
        <v>59097</v>
      </c>
      <c r="E9563" s="14" t="s">
        <v>58723</v>
      </c>
      <c r="F9563" s="14" t="s">
        <v>114</v>
      </c>
      <c r="G9563" s="14" t="s">
        <v>59098</v>
      </c>
      <c r="H9563" s="15">
        <v>2.0</v>
      </c>
      <c r="I9563" s="15">
        <v>4.0</v>
      </c>
      <c r="J9563" s="15">
        <v>1.0</v>
      </c>
      <c r="K9563" s="15" t="s">
        <v>31</v>
      </c>
      <c r="L9563" s="16" t="s">
        <v>31</v>
      </c>
      <c r="M9563" s="14" t="s">
        <v>31</v>
      </c>
      <c r="N9563" s="14" t="s">
        <v>775</v>
      </c>
      <c r="O9563" s="16" t="s">
        <v>776</v>
      </c>
      <c r="P9563" s="14" t="s">
        <v>58760</v>
      </c>
      <c r="Q9563" s="14" t="s">
        <v>31</v>
      </c>
      <c r="R9563" s="14" t="s">
        <v>64</v>
      </c>
      <c r="S9563" s="16" t="s">
        <v>40089</v>
      </c>
      <c r="T9563" s="14" t="s">
        <v>66</v>
      </c>
      <c r="U9563" s="16" t="s">
        <v>31</v>
      </c>
      <c r="V9563" s="14" t="s">
        <v>59099</v>
      </c>
      <c r="W9563" s="14" t="s">
        <v>58723</v>
      </c>
      <c r="X9563" s="17" t="str">
        <f>HYPERLINK("https://my.pitchbook.com?p=277132-15P","View People Online")</f>
        <v>View People Online</v>
      </c>
    </row>
    <row r="9564">
      <c r="A9564" s="2" t="s">
        <v>59100</v>
      </c>
      <c r="B9564" s="2" t="s">
        <v>59101</v>
      </c>
      <c r="C9564" s="2" t="s">
        <v>48981</v>
      </c>
      <c r="D9564" s="2" t="s">
        <v>10924</v>
      </c>
      <c r="E9564" s="2" t="s">
        <v>58723</v>
      </c>
      <c r="F9564" s="2" t="s">
        <v>81</v>
      </c>
      <c r="G9564" s="2" t="s">
        <v>59102</v>
      </c>
      <c r="H9564" s="3" t="s">
        <v>31</v>
      </c>
      <c r="I9564" s="3">
        <v>1.0</v>
      </c>
      <c r="J9564" s="3" t="s">
        <v>31</v>
      </c>
      <c r="K9564" s="3" t="s">
        <v>31</v>
      </c>
      <c r="L9564" s="4" t="s">
        <v>31</v>
      </c>
      <c r="M9564" s="2" t="s">
        <v>31</v>
      </c>
      <c r="N9564" s="2" t="s">
        <v>775</v>
      </c>
      <c r="O9564" s="4" t="s">
        <v>776</v>
      </c>
      <c r="P9564" s="2" t="s">
        <v>58760</v>
      </c>
      <c r="Q9564" s="2" t="s">
        <v>31</v>
      </c>
      <c r="R9564" s="2" t="s">
        <v>64</v>
      </c>
      <c r="S9564" s="4" t="s">
        <v>40089</v>
      </c>
      <c r="T9564" s="2" t="s">
        <v>66</v>
      </c>
      <c r="U9564" s="4" t="s">
        <v>31</v>
      </c>
      <c r="V9564" s="2" t="s">
        <v>81</v>
      </c>
      <c r="W9564" s="2" t="s">
        <v>58723</v>
      </c>
      <c r="X9564" s="5" t="str">
        <f>HYPERLINK("https://my.pitchbook.com?p=40282-48P","View People Online")</f>
        <v>View People Online</v>
      </c>
    </row>
    <row r="9565">
      <c r="A9565" s="6" t="s">
        <v>59103</v>
      </c>
      <c r="B9565" s="6" t="s">
        <v>59104</v>
      </c>
      <c r="C9565" s="6" t="s">
        <v>4679</v>
      </c>
      <c r="D9565" s="6" t="s">
        <v>119</v>
      </c>
      <c r="E9565" s="6" t="s">
        <v>58723</v>
      </c>
      <c r="F9565" s="6" t="s">
        <v>81</v>
      </c>
      <c r="G9565" s="6" t="s">
        <v>59105</v>
      </c>
      <c r="H9565" s="7" t="s">
        <v>31</v>
      </c>
      <c r="I9565" s="7">
        <v>1.0</v>
      </c>
      <c r="J9565" s="7" t="s">
        <v>31</v>
      </c>
      <c r="K9565" s="7" t="s">
        <v>31</v>
      </c>
      <c r="L9565" s="8" t="s">
        <v>31</v>
      </c>
      <c r="M9565" s="6" t="s">
        <v>31</v>
      </c>
      <c r="N9565" s="6" t="s">
        <v>775</v>
      </c>
      <c r="O9565" s="8" t="s">
        <v>776</v>
      </c>
      <c r="P9565" s="6" t="s">
        <v>58760</v>
      </c>
      <c r="Q9565" s="6" t="s">
        <v>31</v>
      </c>
      <c r="R9565" s="6" t="s">
        <v>64</v>
      </c>
      <c r="S9565" s="8" t="s">
        <v>40089</v>
      </c>
      <c r="T9565" s="6" t="s">
        <v>66</v>
      </c>
      <c r="U9565" s="8" t="s">
        <v>31</v>
      </c>
      <c r="V9565" s="6" t="s">
        <v>58922</v>
      </c>
      <c r="W9565" s="6" t="s">
        <v>58723</v>
      </c>
      <c r="X9565" s="9" t="str">
        <f>HYPERLINK("https://my.pitchbook.com?p=277130-35P","View People Online")</f>
        <v>View People Online</v>
      </c>
    </row>
    <row r="9566">
      <c r="A9566" s="10" t="s">
        <v>59106</v>
      </c>
      <c r="B9566" s="10" t="s">
        <v>59107</v>
      </c>
      <c r="C9566" s="10" t="s">
        <v>59108</v>
      </c>
      <c r="D9566" s="10" t="s">
        <v>2469</v>
      </c>
      <c r="E9566" s="10" t="s">
        <v>58723</v>
      </c>
      <c r="F9566" s="10" t="s">
        <v>114</v>
      </c>
      <c r="G9566" s="10" t="s">
        <v>59109</v>
      </c>
      <c r="H9566" s="11" t="s">
        <v>31</v>
      </c>
      <c r="I9566" s="11">
        <v>1.0</v>
      </c>
      <c r="J9566" s="11">
        <v>1.0</v>
      </c>
      <c r="K9566" s="11" t="s">
        <v>31</v>
      </c>
      <c r="L9566" s="12" t="s">
        <v>31</v>
      </c>
      <c r="M9566" s="10" t="s">
        <v>31</v>
      </c>
      <c r="N9566" s="10" t="s">
        <v>775</v>
      </c>
      <c r="O9566" s="12" t="s">
        <v>776</v>
      </c>
      <c r="P9566" s="10" t="s">
        <v>58760</v>
      </c>
      <c r="Q9566" s="10" t="s">
        <v>31</v>
      </c>
      <c r="R9566" s="10" t="s">
        <v>64</v>
      </c>
      <c r="S9566" s="12" t="s">
        <v>40089</v>
      </c>
      <c r="T9566" s="10" t="s">
        <v>66</v>
      </c>
      <c r="U9566" s="12" t="s">
        <v>31</v>
      </c>
      <c r="V9566" s="10" t="s">
        <v>114</v>
      </c>
      <c r="W9566" s="10" t="s">
        <v>58723</v>
      </c>
      <c r="X9566" s="13" t="str">
        <f>HYPERLINK("https://my.pitchbook.com?p=115730-11P","View People Online")</f>
        <v>View People Online</v>
      </c>
    </row>
    <row r="9567">
      <c r="A9567" s="6" t="s">
        <v>59110</v>
      </c>
      <c r="B9567" s="6" t="s">
        <v>59111</v>
      </c>
      <c r="C9567" s="6" t="s">
        <v>59112</v>
      </c>
      <c r="D9567" s="6" t="s">
        <v>59113</v>
      </c>
      <c r="E9567" s="6" t="s">
        <v>58723</v>
      </c>
      <c r="F9567" s="6" t="s">
        <v>81</v>
      </c>
      <c r="G9567" s="6" t="s">
        <v>59114</v>
      </c>
      <c r="H9567" s="7" t="s">
        <v>31</v>
      </c>
      <c r="I9567" s="7">
        <v>1.0</v>
      </c>
      <c r="J9567" s="7" t="s">
        <v>31</v>
      </c>
      <c r="K9567" s="7" t="s">
        <v>31</v>
      </c>
      <c r="L9567" s="8" t="s">
        <v>31</v>
      </c>
      <c r="M9567" s="6" t="s">
        <v>59115</v>
      </c>
      <c r="N9567" s="6" t="s">
        <v>775</v>
      </c>
      <c r="O9567" s="8" t="s">
        <v>776</v>
      </c>
      <c r="P9567" s="6" t="s">
        <v>58760</v>
      </c>
      <c r="Q9567" s="6" t="s">
        <v>31</v>
      </c>
      <c r="R9567" s="6" t="s">
        <v>64</v>
      </c>
      <c r="S9567" s="8" t="s">
        <v>40089</v>
      </c>
      <c r="T9567" s="6" t="s">
        <v>66</v>
      </c>
      <c r="U9567" s="8" t="s">
        <v>31</v>
      </c>
      <c r="V9567" s="6" t="s">
        <v>6679</v>
      </c>
      <c r="W9567" s="6" t="s">
        <v>59116</v>
      </c>
      <c r="X9567" s="9" t="str">
        <f>HYPERLINK("https://my.pitchbook.com?p=109807-57P","View People Online")</f>
        <v>View People Online</v>
      </c>
    </row>
    <row r="9568">
      <c r="A9568" s="2" t="s">
        <v>59117</v>
      </c>
      <c r="B9568" s="2" t="s">
        <v>59118</v>
      </c>
      <c r="C9568" s="2" t="s">
        <v>1830</v>
      </c>
      <c r="D9568" s="2" t="s">
        <v>12799</v>
      </c>
      <c r="E9568" s="2" t="s">
        <v>58723</v>
      </c>
      <c r="F9568" s="2" t="s">
        <v>81</v>
      </c>
      <c r="G9568" s="2" t="s">
        <v>59119</v>
      </c>
      <c r="H9568" s="3">
        <v>1.0</v>
      </c>
      <c r="I9568" s="3">
        <v>2.0</v>
      </c>
      <c r="J9568" s="3" t="s">
        <v>31</v>
      </c>
      <c r="K9568" s="3" t="s">
        <v>31</v>
      </c>
      <c r="L9568" s="4" t="s">
        <v>31</v>
      </c>
      <c r="M9568" s="2" t="s">
        <v>31</v>
      </c>
      <c r="N9568" s="2" t="s">
        <v>6960</v>
      </c>
      <c r="O9568" s="4" t="s">
        <v>6961</v>
      </c>
      <c r="P9568" s="2" t="s">
        <v>58771</v>
      </c>
      <c r="Q9568" s="2" t="s">
        <v>58772</v>
      </c>
      <c r="R9568" s="2" t="s">
        <v>31</v>
      </c>
      <c r="S9568" s="4" t="s">
        <v>58773</v>
      </c>
      <c r="T9568" s="2" t="s">
        <v>6962</v>
      </c>
      <c r="U9568" s="4" t="s">
        <v>31</v>
      </c>
      <c r="V9568" s="2" t="s">
        <v>81</v>
      </c>
      <c r="W9568" s="2" t="s">
        <v>58723</v>
      </c>
      <c r="X9568" s="5" t="str">
        <f>HYPERLINK("https://my.pitchbook.com?p=316779-13P","View People Online")</f>
        <v>View People Online</v>
      </c>
    </row>
    <row r="9569">
      <c r="A9569" s="14" t="s">
        <v>59120</v>
      </c>
      <c r="B9569" s="14" t="s">
        <v>59121</v>
      </c>
      <c r="C9569" s="14" t="s">
        <v>59122</v>
      </c>
      <c r="D9569" s="14" t="s">
        <v>59123</v>
      </c>
      <c r="E9569" s="14" t="s">
        <v>58723</v>
      </c>
      <c r="F9569" s="14" t="s">
        <v>81</v>
      </c>
      <c r="G9569" s="14" t="s">
        <v>59124</v>
      </c>
      <c r="H9569" s="15" t="s">
        <v>31</v>
      </c>
      <c r="I9569" s="15">
        <v>1.0</v>
      </c>
      <c r="J9569" s="15" t="s">
        <v>31</v>
      </c>
      <c r="K9569" s="15" t="s">
        <v>31</v>
      </c>
      <c r="L9569" s="16" t="s">
        <v>31</v>
      </c>
      <c r="M9569" s="14" t="s">
        <v>59125</v>
      </c>
      <c r="N9569" s="14" t="s">
        <v>6960</v>
      </c>
      <c r="O9569" s="16" t="s">
        <v>6961</v>
      </c>
      <c r="P9569" s="14" t="s">
        <v>58771</v>
      </c>
      <c r="Q9569" s="14" t="s">
        <v>58772</v>
      </c>
      <c r="R9569" s="14" t="s">
        <v>31</v>
      </c>
      <c r="S9569" s="16" t="s">
        <v>58773</v>
      </c>
      <c r="T9569" s="14" t="s">
        <v>6962</v>
      </c>
      <c r="U9569" s="16" t="s">
        <v>31</v>
      </c>
      <c r="V9569" s="14" t="s">
        <v>81</v>
      </c>
      <c r="W9569" s="14" t="s">
        <v>58723</v>
      </c>
      <c r="X9569" s="17" t="str">
        <f>HYPERLINK("https://my.pitchbook.com?p=238006-63P","View People Online")</f>
        <v>View People Online</v>
      </c>
    </row>
    <row r="9570">
      <c r="A9570" s="10" t="s">
        <v>59126</v>
      </c>
      <c r="B9570" s="10" t="s">
        <v>59127</v>
      </c>
      <c r="C9570" s="10" t="s">
        <v>1697</v>
      </c>
      <c r="D9570" s="10" t="s">
        <v>1043</v>
      </c>
      <c r="E9570" s="10" t="s">
        <v>58723</v>
      </c>
      <c r="F9570" s="10" t="s">
        <v>57</v>
      </c>
      <c r="G9570" s="10" t="s">
        <v>59128</v>
      </c>
      <c r="H9570" s="11" t="s">
        <v>31</v>
      </c>
      <c r="I9570" s="11">
        <v>3.0</v>
      </c>
      <c r="J9570" s="11">
        <v>1.0</v>
      </c>
      <c r="K9570" s="11">
        <v>1.0</v>
      </c>
      <c r="L9570" s="12" t="s">
        <v>31</v>
      </c>
      <c r="M9570" s="10" t="s">
        <v>59129</v>
      </c>
      <c r="N9570" s="10" t="s">
        <v>775</v>
      </c>
      <c r="O9570" s="12" t="s">
        <v>776</v>
      </c>
      <c r="P9570" s="10" t="s">
        <v>58760</v>
      </c>
      <c r="Q9570" s="10" t="s">
        <v>31</v>
      </c>
      <c r="R9570" s="10" t="s">
        <v>64</v>
      </c>
      <c r="S9570" s="12" t="s">
        <v>40089</v>
      </c>
      <c r="T9570" s="10" t="s">
        <v>66</v>
      </c>
      <c r="U9570" s="12" t="s">
        <v>31</v>
      </c>
      <c r="V9570" s="10" t="s">
        <v>59130</v>
      </c>
      <c r="W9570" s="10" t="s">
        <v>58723</v>
      </c>
      <c r="X9570" s="13" t="str">
        <f>HYPERLINK("https://my.pitchbook.com?p=154822-60P","View People Online")</f>
        <v>View People Online</v>
      </c>
    </row>
    <row r="9571">
      <c r="A9571" s="6" t="s">
        <v>59131</v>
      </c>
      <c r="B9571" s="6" t="s">
        <v>59132</v>
      </c>
      <c r="C9571" s="6" t="s">
        <v>59133</v>
      </c>
      <c r="D9571" s="6" t="s">
        <v>59134</v>
      </c>
      <c r="E9571" s="6" t="s">
        <v>58723</v>
      </c>
      <c r="F9571" s="6" t="s">
        <v>81</v>
      </c>
      <c r="G9571" s="6" t="s">
        <v>59135</v>
      </c>
      <c r="H9571" s="7" t="s">
        <v>31</v>
      </c>
      <c r="I9571" s="7">
        <v>3.0</v>
      </c>
      <c r="J9571" s="7">
        <v>1.0</v>
      </c>
      <c r="K9571" s="7" t="s">
        <v>31</v>
      </c>
      <c r="L9571" s="8" t="s">
        <v>31</v>
      </c>
      <c r="M9571" s="6" t="s">
        <v>31</v>
      </c>
      <c r="N9571" s="6" t="s">
        <v>775</v>
      </c>
      <c r="O9571" s="8" t="s">
        <v>776</v>
      </c>
      <c r="P9571" s="6" t="s">
        <v>58760</v>
      </c>
      <c r="Q9571" s="6" t="s">
        <v>31</v>
      </c>
      <c r="R9571" s="6" t="s">
        <v>64</v>
      </c>
      <c r="S9571" s="8" t="s">
        <v>40089</v>
      </c>
      <c r="T9571" s="6" t="s">
        <v>66</v>
      </c>
      <c r="U9571" s="8" t="s">
        <v>31</v>
      </c>
      <c r="V9571" s="6" t="s">
        <v>3665</v>
      </c>
      <c r="W9571" s="6" t="s">
        <v>59136</v>
      </c>
      <c r="X9571" s="9" t="str">
        <f>HYPERLINK("https://my.pitchbook.com?p=45987-49P","View People Online")</f>
        <v>View People Online</v>
      </c>
    </row>
    <row r="9572">
      <c r="A9572" s="10" t="s">
        <v>59137</v>
      </c>
      <c r="B9572" s="10" t="s">
        <v>59138</v>
      </c>
      <c r="C9572" s="10" t="s">
        <v>59139</v>
      </c>
      <c r="D9572" s="10" t="s">
        <v>32700</v>
      </c>
      <c r="E9572" s="10" t="s">
        <v>58723</v>
      </c>
      <c r="F9572" s="10" t="s">
        <v>81</v>
      </c>
      <c r="G9572" s="10" t="s">
        <v>59140</v>
      </c>
      <c r="H9572" s="11" t="s">
        <v>31</v>
      </c>
      <c r="I9572" s="11">
        <v>1.0</v>
      </c>
      <c r="J9572" s="11" t="s">
        <v>31</v>
      </c>
      <c r="K9572" s="11" t="s">
        <v>31</v>
      </c>
      <c r="L9572" s="12" t="s">
        <v>31</v>
      </c>
      <c r="M9572" s="10" t="s">
        <v>31</v>
      </c>
      <c r="N9572" s="10" t="s">
        <v>775</v>
      </c>
      <c r="O9572" s="12" t="s">
        <v>776</v>
      </c>
      <c r="P9572" s="10" t="s">
        <v>58760</v>
      </c>
      <c r="Q9572" s="10" t="s">
        <v>31</v>
      </c>
      <c r="R9572" s="10" t="s">
        <v>64</v>
      </c>
      <c r="S9572" s="12" t="s">
        <v>40089</v>
      </c>
      <c r="T9572" s="10" t="s">
        <v>66</v>
      </c>
      <c r="U9572" s="12" t="s">
        <v>31</v>
      </c>
      <c r="V9572" s="10" t="s">
        <v>81</v>
      </c>
      <c r="W9572" s="10" t="s">
        <v>58723</v>
      </c>
      <c r="X9572" s="13" t="str">
        <f>HYPERLINK("https://my.pitchbook.com?p=277090-30P","View People Online")</f>
        <v>View People Online</v>
      </c>
    </row>
    <row r="9573">
      <c r="A9573" s="6" t="s">
        <v>59141</v>
      </c>
      <c r="B9573" s="6" t="s">
        <v>59142</v>
      </c>
      <c r="C9573" s="6" t="s">
        <v>1117</v>
      </c>
      <c r="D9573" s="6" t="s">
        <v>3228</v>
      </c>
      <c r="E9573" s="6" t="s">
        <v>41345</v>
      </c>
      <c r="F9573" s="6" t="s">
        <v>43</v>
      </c>
      <c r="G9573" s="6" t="s">
        <v>59143</v>
      </c>
      <c r="H9573" s="7">
        <v>2.0</v>
      </c>
      <c r="I9573" s="7">
        <v>48.0</v>
      </c>
      <c r="J9573" s="7">
        <v>1.0</v>
      </c>
      <c r="K9573" s="7">
        <v>37.0</v>
      </c>
      <c r="L9573" s="8" t="s">
        <v>41342</v>
      </c>
      <c r="M9573" s="6" t="s">
        <v>59144</v>
      </c>
      <c r="N9573" s="6" t="s">
        <v>40619</v>
      </c>
      <c r="O9573" s="8" t="s">
        <v>40620</v>
      </c>
      <c r="P9573" s="6" t="s">
        <v>41343</v>
      </c>
      <c r="Q9573" s="6" t="s">
        <v>41344</v>
      </c>
      <c r="R9573" s="6" t="s">
        <v>64</v>
      </c>
      <c r="S9573" s="8" t="s">
        <v>40622</v>
      </c>
      <c r="T9573" s="6" t="s">
        <v>66</v>
      </c>
      <c r="U9573" s="8" t="s">
        <v>31</v>
      </c>
      <c r="V9573" s="6" t="s">
        <v>43</v>
      </c>
      <c r="W9573" s="6" t="s">
        <v>41345</v>
      </c>
      <c r="X9573" s="9" t="str">
        <f>HYPERLINK("https://my.pitchbook.com?p=33741-91P","View People Online")</f>
        <v>View People Online</v>
      </c>
    </row>
    <row r="9574">
      <c r="A9574" s="10" t="s">
        <v>59145</v>
      </c>
      <c r="B9574" s="10" t="s">
        <v>59146</v>
      </c>
      <c r="C9574" s="10" t="s">
        <v>5113</v>
      </c>
      <c r="D9574" s="10" t="s">
        <v>59147</v>
      </c>
      <c r="E9574" s="10" t="s">
        <v>41345</v>
      </c>
      <c r="F9574" s="10" t="s">
        <v>29</v>
      </c>
      <c r="G9574" s="10" t="s">
        <v>59148</v>
      </c>
      <c r="H9574" s="11" t="s">
        <v>31</v>
      </c>
      <c r="I9574" s="11">
        <v>1.0</v>
      </c>
      <c r="J9574" s="11">
        <v>1.0</v>
      </c>
      <c r="K9574" s="11" t="s">
        <v>31</v>
      </c>
      <c r="L9574" s="12" t="s">
        <v>41342</v>
      </c>
      <c r="M9574" s="10" t="s">
        <v>59149</v>
      </c>
      <c r="N9574" s="10" t="s">
        <v>40619</v>
      </c>
      <c r="O9574" s="12" t="s">
        <v>40620</v>
      </c>
      <c r="P9574" s="10" t="s">
        <v>41343</v>
      </c>
      <c r="Q9574" s="10" t="s">
        <v>41344</v>
      </c>
      <c r="R9574" s="10" t="s">
        <v>64</v>
      </c>
      <c r="S9574" s="12" t="s">
        <v>40622</v>
      </c>
      <c r="T9574" s="10" t="s">
        <v>66</v>
      </c>
      <c r="U9574" s="12" t="s">
        <v>31</v>
      </c>
      <c r="V9574" s="10" t="s">
        <v>59150</v>
      </c>
      <c r="W9574" s="10" t="s">
        <v>41345</v>
      </c>
      <c r="X9574" s="13" t="str">
        <f>HYPERLINK("https://my.pitchbook.com?p=394829-83P","View People Online")</f>
        <v>View People Online</v>
      </c>
    </row>
    <row r="9575">
      <c r="A9575" s="6" t="s">
        <v>41338</v>
      </c>
      <c r="B9575" s="6" t="s">
        <v>41339</v>
      </c>
      <c r="C9575" s="6" t="s">
        <v>1502</v>
      </c>
      <c r="D9575" s="6" t="s">
        <v>41340</v>
      </c>
      <c r="E9575" s="6" t="s">
        <v>41345</v>
      </c>
      <c r="F9575" s="6" t="s">
        <v>114</v>
      </c>
      <c r="G9575" s="6" t="s">
        <v>41341</v>
      </c>
      <c r="H9575" s="7">
        <v>5.0</v>
      </c>
      <c r="I9575" s="7">
        <v>19.0</v>
      </c>
      <c r="J9575" s="7">
        <v>1.0</v>
      </c>
      <c r="K9575" s="7">
        <v>8.0</v>
      </c>
      <c r="L9575" s="8" t="s">
        <v>41342</v>
      </c>
      <c r="M9575" s="6" t="s">
        <v>31</v>
      </c>
      <c r="N9575" s="6" t="s">
        <v>40619</v>
      </c>
      <c r="O9575" s="8" t="s">
        <v>40620</v>
      </c>
      <c r="P9575" s="6" t="s">
        <v>41343</v>
      </c>
      <c r="Q9575" s="6" t="s">
        <v>41344</v>
      </c>
      <c r="R9575" s="6" t="s">
        <v>64</v>
      </c>
      <c r="S9575" s="8" t="s">
        <v>40622</v>
      </c>
      <c r="T9575" s="6" t="s">
        <v>66</v>
      </c>
      <c r="U9575" s="8" t="s">
        <v>31</v>
      </c>
      <c r="V9575" s="6" t="s">
        <v>114</v>
      </c>
      <c r="W9575" s="6" t="s">
        <v>41345</v>
      </c>
      <c r="X9575" s="9" t="str">
        <f>HYPERLINK("https://my.pitchbook.com?p=60371-11P","View People Online")</f>
        <v>View People Online</v>
      </c>
    </row>
    <row r="9576">
      <c r="A9576" s="2" t="s">
        <v>59151</v>
      </c>
      <c r="B9576" s="2" t="s">
        <v>59152</v>
      </c>
      <c r="C9576" s="2" t="s">
        <v>3286</v>
      </c>
      <c r="D9576" s="2" t="s">
        <v>59153</v>
      </c>
      <c r="E9576" s="2" t="s">
        <v>41345</v>
      </c>
      <c r="F9576" s="2" t="s">
        <v>59154</v>
      </c>
      <c r="G9576" s="2" t="s">
        <v>59155</v>
      </c>
      <c r="H9576" s="3">
        <v>5.0</v>
      </c>
      <c r="I9576" s="3">
        <v>47.0</v>
      </c>
      <c r="J9576" s="3">
        <v>9.0</v>
      </c>
      <c r="K9576" s="3">
        <v>35.0</v>
      </c>
      <c r="L9576" s="4" t="s">
        <v>31</v>
      </c>
      <c r="M9576" s="2" t="s">
        <v>59156</v>
      </c>
      <c r="N9576" s="2" t="s">
        <v>40680</v>
      </c>
      <c r="O9576" s="4" t="s">
        <v>40681</v>
      </c>
      <c r="P9576" s="2" t="s">
        <v>31</v>
      </c>
      <c r="Q9576" s="2" t="s">
        <v>31</v>
      </c>
      <c r="R9576" s="2" t="s">
        <v>40684</v>
      </c>
      <c r="S9576" s="4" t="s">
        <v>31</v>
      </c>
      <c r="T9576" s="2" t="s">
        <v>66</v>
      </c>
      <c r="U9576" s="4" t="s">
        <v>31</v>
      </c>
      <c r="V9576" s="2" t="s">
        <v>157</v>
      </c>
      <c r="W9576" s="2" t="s">
        <v>59157</v>
      </c>
      <c r="X9576" s="5" t="str">
        <f>HYPERLINK("https://my.pitchbook.com?p=13737-88P","View People Online")</f>
        <v>View People Online</v>
      </c>
    </row>
    <row r="9577">
      <c r="A9577" s="14" t="s">
        <v>59158</v>
      </c>
      <c r="B9577" s="14" t="s">
        <v>59159</v>
      </c>
      <c r="C9577" s="14" t="s">
        <v>25521</v>
      </c>
      <c r="D9577" s="14" t="s">
        <v>59160</v>
      </c>
      <c r="E9577" s="14" t="s">
        <v>41345</v>
      </c>
      <c r="F9577" s="14" t="s">
        <v>43</v>
      </c>
      <c r="G9577" s="14" t="s">
        <v>59161</v>
      </c>
      <c r="H9577" s="15">
        <v>2.0</v>
      </c>
      <c r="I9577" s="15">
        <v>8.0</v>
      </c>
      <c r="J9577" s="15">
        <v>1.0</v>
      </c>
      <c r="K9577" s="15">
        <v>5.0</v>
      </c>
      <c r="L9577" s="16" t="s">
        <v>59162</v>
      </c>
      <c r="M9577" s="14" t="s">
        <v>59163</v>
      </c>
      <c r="N9577" s="14" t="s">
        <v>40619</v>
      </c>
      <c r="O9577" s="16" t="s">
        <v>40620</v>
      </c>
      <c r="P9577" s="14" t="s">
        <v>41343</v>
      </c>
      <c r="Q9577" s="14" t="s">
        <v>41344</v>
      </c>
      <c r="R9577" s="14" t="s">
        <v>64</v>
      </c>
      <c r="S9577" s="16" t="s">
        <v>40622</v>
      </c>
      <c r="T9577" s="14" t="s">
        <v>66</v>
      </c>
      <c r="U9577" s="16" t="s">
        <v>31</v>
      </c>
      <c r="V9577" s="14" t="s">
        <v>43</v>
      </c>
      <c r="W9577" s="14" t="s">
        <v>41345</v>
      </c>
      <c r="X9577" s="17" t="str">
        <f>HYPERLINK("https://my.pitchbook.com?p=136613-80P","View People Online")</f>
        <v>View People Online</v>
      </c>
    </row>
    <row r="9578">
      <c r="A9578" s="2" t="s">
        <v>59164</v>
      </c>
      <c r="B9578" s="2" t="s">
        <v>59165</v>
      </c>
      <c r="C9578" s="2" t="s">
        <v>59166</v>
      </c>
      <c r="D9578" s="2" t="s">
        <v>2254</v>
      </c>
      <c r="E9578" s="2" t="s">
        <v>41345</v>
      </c>
      <c r="F9578" s="2" t="s">
        <v>86</v>
      </c>
      <c r="G9578" s="2" t="s">
        <v>59167</v>
      </c>
      <c r="H9578" s="3">
        <v>6.0</v>
      </c>
      <c r="I9578" s="3">
        <v>31.0</v>
      </c>
      <c r="J9578" s="3">
        <v>1.0</v>
      </c>
      <c r="K9578" s="3">
        <v>21.0</v>
      </c>
      <c r="L9578" s="4" t="s">
        <v>41342</v>
      </c>
      <c r="M9578" s="2" t="s">
        <v>59168</v>
      </c>
      <c r="N9578" s="2" t="s">
        <v>40619</v>
      </c>
      <c r="O9578" s="4" t="s">
        <v>40620</v>
      </c>
      <c r="P9578" s="2" t="s">
        <v>41343</v>
      </c>
      <c r="Q9578" s="2" t="s">
        <v>41344</v>
      </c>
      <c r="R9578" s="2" t="s">
        <v>64</v>
      </c>
      <c r="S9578" s="4" t="s">
        <v>40622</v>
      </c>
      <c r="T9578" s="2" t="s">
        <v>66</v>
      </c>
      <c r="U9578" s="4" t="s">
        <v>31</v>
      </c>
      <c r="V9578" s="2" t="s">
        <v>95</v>
      </c>
      <c r="W9578" s="2" t="s">
        <v>41345</v>
      </c>
      <c r="X9578" s="5" t="str">
        <f>HYPERLINK("https://my.pitchbook.com?p=88798-15P","View People Online")</f>
        <v>View People Online</v>
      </c>
    </row>
    <row r="9579">
      <c r="A9579" s="6" t="s">
        <v>59169</v>
      </c>
      <c r="B9579" s="6" t="s">
        <v>59170</v>
      </c>
      <c r="C9579" s="6" t="s">
        <v>3722</v>
      </c>
      <c r="D9579" s="6" t="s">
        <v>59171</v>
      </c>
      <c r="E9579" s="6" t="s">
        <v>41345</v>
      </c>
      <c r="F9579" s="6" t="s">
        <v>318</v>
      </c>
      <c r="G9579" s="6" t="s">
        <v>59172</v>
      </c>
      <c r="H9579" s="7" t="s">
        <v>31</v>
      </c>
      <c r="I9579" s="7">
        <v>4.0</v>
      </c>
      <c r="J9579" s="7">
        <v>1.0</v>
      </c>
      <c r="K9579" s="7">
        <v>2.0</v>
      </c>
      <c r="L9579" s="8" t="s">
        <v>41342</v>
      </c>
      <c r="M9579" s="6" t="s">
        <v>59173</v>
      </c>
      <c r="N9579" s="6" t="s">
        <v>40619</v>
      </c>
      <c r="O9579" s="8" t="s">
        <v>40620</v>
      </c>
      <c r="P9579" s="6" t="s">
        <v>41343</v>
      </c>
      <c r="Q9579" s="6" t="s">
        <v>41344</v>
      </c>
      <c r="R9579" s="6" t="s">
        <v>64</v>
      </c>
      <c r="S9579" s="8" t="s">
        <v>40622</v>
      </c>
      <c r="T9579" s="6" t="s">
        <v>66</v>
      </c>
      <c r="U9579" s="8" t="s">
        <v>31</v>
      </c>
      <c r="V9579" s="6" t="s">
        <v>318</v>
      </c>
      <c r="W9579" s="6" t="s">
        <v>41345</v>
      </c>
      <c r="X9579" s="9" t="str">
        <f>HYPERLINK("https://my.pitchbook.com?p=190919-53P","View People Online")</f>
        <v>View People Online</v>
      </c>
    </row>
    <row r="9580">
      <c r="A9580" s="10" t="s">
        <v>59174</v>
      </c>
      <c r="B9580" s="10" t="s">
        <v>59175</v>
      </c>
      <c r="C9580" s="10" t="s">
        <v>7252</v>
      </c>
      <c r="D9580" s="10" t="s">
        <v>59176</v>
      </c>
      <c r="E9580" s="10" t="s">
        <v>59177</v>
      </c>
      <c r="F9580" s="10" t="s">
        <v>1283</v>
      </c>
      <c r="G9580" s="10" t="s">
        <v>59178</v>
      </c>
      <c r="H9580" s="11">
        <v>2.0</v>
      </c>
      <c r="I9580" s="11">
        <v>19.0</v>
      </c>
      <c r="J9580" s="11">
        <v>1.0</v>
      </c>
      <c r="K9580" s="11">
        <v>15.0</v>
      </c>
      <c r="L9580" s="12" t="s">
        <v>59179</v>
      </c>
      <c r="M9580" s="10" t="s">
        <v>59180</v>
      </c>
      <c r="N9580" s="10" t="s">
        <v>75</v>
      </c>
      <c r="O9580" s="12" t="s">
        <v>76</v>
      </c>
      <c r="P9580" s="10" t="s">
        <v>28795</v>
      </c>
      <c r="Q9580" s="10" t="s">
        <v>59181</v>
      </c>
      <c r="R9580" s="10" t="s">
        <v>75</v>
      </c>
      <c r="S9580" s="12" t="s">
        <v>1478</v>
      </c>
      <c r="T9580" s="10" t="s">
        <v>66</v>
      </c>
      <c r="U9580" s="12" t="s">
        <v>31</v>
      </c>
      <c r="V9580" s="10" t="s">
        <v>59182</v>
      </c>
      <c r="W9580" s="10" t="s">
        <v>59177</v>
      </c>
      <c r="X9580" s="13" t="str">
        <f>HYPERLINK("https://my.pitchbook.com?p=89743-51P","View People Online")</f>
        <v>View People Online</v>
      </c>
    </row>
    <row r="9581">
      <c r="A9581" s="6" t="s">
        <v>59183</v>
      </c>
      <c r="B9581" s="6" t="s">
        <v>59184</v>
      </c>
      <c r="C9581" s="6" t="s">
        <v>59185</v>
      </c>
      <c r="D9581" s="6" t="s">
        <v>59186</v>
      </c>
      <c r="E9581" s="6" t="s">
        <v>59177</v>
      </c>
      <c r="F9581" s="6" t="s">
        <v>7658</v>
      </c>
      <c r="G9581" s="6" t="s">
        <v>59187</v>
      </c>
      <c r="H9581" s="7" t="s">
        <v>31</v>
      </c>
      <c r="I9581" s="7">
        <v>1.0</v>
      </c>
      <c r="J9581" s="7">
        <v>1.0</v>
      </c>
      <c r="K9581" s="7" t="s">
        <v>31</v>
      </c>
      <c r="L9581" s="8" t="s">
        <v>59179</v>
      </c>
      <c r="M9581" s="6" t="s">
        <v>59188</v>
      </c>
      <c r="N9581" s="6" t="s">
        <v>75</v>
      </c>
      <c r="O9581" s="8" t="s">
        <v>76</v>
      </c>
      <c r="P9581" s="6" t="s">
        <v>28795</v>
      </c>
      <c r="Q9581" s="6" t="s">
        <v>59181</v>
      </c>
      <c r="R9581" s="6" t="s">
        <v>75</v>
      </c>
      <c r="S9581" s="8" t="s">
        <v>1478</v>
      </c>
      <c r="T9581" s="6" t="s">
        <v>66</v>
      </c>
      <c r="U9581" s="8" t="s">
        <v>31</v>
      </c>
      <c r="V9581" s="6" t="s">
        <v>59189</v>
      </c>
      <c r="W9581" s="6" t="s">
        <v>59190</v>
      </c>
      <c r="X9581" s="9" t="str">
        <f>HYPERLINK("https://my.pitchbook.com?p=216535-24P","View People Online")</f>
        <v>View People Online</v>
      </c>
    </row>
    <row r="9582">
      <c r="A9582" s="10" t="s">
        <v>59191</v>
      </c>
      <c r="B9582" s="10" t="s">
        <v>59192</v>
      </c>
      <c r="C9582" s="10" t="s">
        <v>7978</v>
      </c>
      <c r="D9582" s="10" t="s">
        <v>21894</v>
      </c>
      <c r="E9582" s="10" t="s">
        <v>59177</v>
      </c>
      <c r="F9582" s="10" t="s">
        <v>8021</v>
      </c>
      <c r="G9582" s="10" t="s">
        <v>59193</v>
      </c>
      <c r="H9582" s="11" t="s">
        <v>31</v>
      </c>
      <c r="I9582" s="11">
        <v>2.0</v>
      </c>
      <c r="J9582" s="11">
        <v>2.0</v>
      </c>
      <c r="K9582" s="11" t="s">
        <v>31</v>
      </c>
      <c r="L9582" s="12" t="s">
        <v>59194</v>
      </c>
      <c r="M9582" s="10" t="s">
        <v>59195</v>
      </c>
      <c r="N9582" s="10" t="s">
        <v>75</v>
      </c>
      <c r="O9582" s="12" t="s">
        <v>76</v>
      </c>
      <c r="P9582" s="10" t="s">
        <v>28795</v>
      </c>
      <c r="Q9582" s="10" t="s">
        <v>59181</v>
      </c>
      <c r="R9582" s="10" t="s">
        <v>75</v>
      </c>
      <c r="S9582" s="12" t="s">
        <v>1478</v>
      </c>
      <c r="T9582" s="10" t="s">
        <v>66</v>
      </c>
      <c r="U9582" s="12" t="s">
        <v>31</v>
      </c>
      <c r="V9582" s="10" t="s">
        <v>59196</v>
      </c>
      <c r="W9582" s="10" t="s">
        <v>59197</v>
      </c>
      <c r="X9582" s="13" t="str">
        <f>HYPERLINK("https://my.pitchbook.com?p=187267-87P","View People Online")</f>
        <v>View People Online</v>
      </c>
    </row>
    <row r="9583">
      <c r="A9583" s="6" t="s">
        <v>59198</v>
      </c>
      <c r="B9583" s="6" t="s">
        <v>59199</v>
      </c>
      <c r="C9583" s="6" t="s">
        <v>1449</v>
      </c>
      <c r="D9583" s="6" t="s">
        <v>59200</v>
      </c>
      <c r="E9583" s="6" t="s">
        <v>59177</v>
      </c>
      <c r="F9583" s="6" t="s">
        <v>3823</v>
      </c>
      <c r="G9583" s="6" t="s">
        <v>59201</v>
      </c>
      <c r="H9583" s="7" t="s">
        <v>31</v>
      </c>
      <c r="I9583" s="7">
        <v>6.0</v>
      </c>
      <c r="J9583" s="7">
        <v>3.0</v>
      </c>
      <c r="K9583" s="7">
        <v>3.0</v>
      </c>
      <c r="L9583" s="8" t="s">
        <v>59179</v>
      </c>
      <c r="M9583" s="6" t="s">
        <v>59202</v>
      </c>
      <c r="N9583" s="6" t="s">
        <v>75</v>
      </c>
      <c r="O9583" s="8" t="s">
        <v>76</v>
      </c>
      <c r="P9583" s="6" t="s">
        <v>28795</v>
      </c>
      <c r="Q9583" s="6" t="s">
        <v>59181</v>
      </c>
      <c r="R9583" s="6" t="s">
        <v>75</v>
      </c>
      <c r="S9583" s="8" t="s">
        <v>1478</v>
      </c>
      <c r="T9583" s="6" t="s">
        <v>66</v>
      </c>
      <c r="U9583" s="8" t="s">
        <v>31</v>
      </c>
      <c r="V9583" s="6" t="s">
        <v>25518</v>
      </c>
      <c r="W9583" s="6" t="s">
        <v>59177</v>
      </c>
      <c r="X9583" s="9" t="str">
        <f>HYPERLINK("https://my.pitchbook.com?p=150565-96P","View People Online")</f>
        <v>View People Online</v>
      </c>
    </row>
    <row r="9584">
      <c r="A9584" s="10" t="s">
        <v>59203</v>
      </c>
      <c r="B9584" s="10" t="s">
        <v>59204</v>
      </c>
      <c r="C9584" s="10" t="s">
        <v>1449</v>
      </c>
      <c r="D9584" s="10" t="s">
        <v>59205</v>
      </c>
      <c r="E9584" s="10" t="s">
        <v>59177</v>
      </c>
      <c r="F9584" s="10" t="s">
        <v>896</v>
      </c>
      <c r="G9584" s="10" t="s">
        <v>59206</v>
      </c>
      <c r="H9584" s="11" t="s">
        <v>31</v>
      </c>
      <c r="I9584" s="11">
        <v>2.0</v>
      </c>
      <c r="J9584" s="11">
        <v>2.0</v>
      </c>
      <c r="K9584" s="11" t="s">
        <v>31</v>
      </c>
      <c r="L9584" s="12" t="s">
        <v>59207</v>
      </c>
      <c r="M9584" s="10" t="s">
        <v>59208</v>
      </c>
      <c r="N9584" s="10" t="s">
        <v>75</v>
      </c>
      <c r="O9584" s="12" t="s">
        <v>76</v>
      </c>
      <c r="P9584" s="10" t="s">
        <v>28795</v>
      </c>
      <c r="Q9584" s="10" t="s">
        <v>59181</v>
      </c>
      <c r="R9584" s="10" t="s">
        <v>75</v>
      </c>
      <c r="S9584" s="12" t="s">
        <v>1478</v>
      </c>
      <c r="T9584" s="10" t="s">
        <v>66</v>
      </c>
      <c r="U9584" s="12" t="s">
        <v>31</v>
      </c>
      <c r="V9584" s="10" t="s">
        <v>896</v>
      </c>
      <c r="W9584" s="10" t="s">
        <v>59177</v>
      </c>
      <c r="X9584" s="13" t="str">
        <f>HYPERLINK("https://my.pitchbook.com?p=251340-13P","View People Online")</f>
        <v>View People Online</v>
      </c>
    </row>
    <row r="9585">
      <c r="A9585" s="6" t="s">
        <v>59209</v>
      </c>
      <c r="B9585" s="6" t="s">
        <v>59210</v>
      </c>
      <c r="C9585" s="6" t="s">
        <v>1449</v>
      </c>
      <c r="D9585" s="6" t="s">
        <v>11225</v>
      </c>
      <c r="E9585" s="6" t="s">
        <v>59177</v>
      </c>
      <c r="F9585" s="6" t="s">
        <v>4600</v>
      </c>
      <c r="G9585" s="6" t="s">
        <v>59211</v>
      </c>
      <c r="H9585" s="7">
        <v>2.0</v>
      </c>
      <c r="I9585" s="7">
        <v>6.0</v>
      </c>
      <c r="J9585" s="7">
        <v>3.0</v>
      </c>
      <c r="K9585" s="7">
        <v>1.0</v>
      </c>
      <c r="L9585" s="8" t="s">
        <v>59194</v>
      </c>
      <c r="M9585" s="6" t="s">
        <v>59212</v>
      </c>
      <c r="N9585" s="6" t="s">
        <v>75</v>
      </c>
      <c r="O9585" s="8" t="s">
        <v>76</v>
      </c>
      <c r="P9585" s="6" t="s">
        <v>28795</v>
      </c>
      <c r="Q9585" s="6" t="s">
        <v>59181</v>
      </c>
      <c r="R9585" s="6" t="s">
        <v>75</v>
      </c>
      <c r="S9585" s="8" t="s">
        <v>1478</v>
      </c>
      <c r="T9585" s="6" t="s">
        <v>66</v>
      </c>
      <c r="U9585" s="8" t="s">
        <v>31</v>
      </c>
      <c r="V9585" s="6" t="s">
        <v>10347</v>
      </c>
      <c r="W9585" s="6" t="s">
        <v>59197</v>
      </c>
      <c r="X9585" s="9" t="str">
        <f>HYPERLINK("https://my.pitchbook.com?p=150567-40P","View People Online")</f>
        <v>View People Online</v>
      </c>
    </row>
    <row r="9586">
      <c r="A9586" s="10" t="s">
        <v>59213</v>
      </c>
      <c r="B9586" s="10" t="s">
        <v>59214</v>
      </c>
      <c r="C9586" s="10" t="s">
        <v>4299</v>
      </c>
      <c r="D9586" s="10" t="s">
        <v>36208</v>
      </c>
      <c r="E9586" s="10" t="s">
        <v>59177</v>
      </c>
      <c r="F9586" s="10" t="s">
        <v>201</v>
      </c>
      <c r="G9586" s="10" t="s">
        <v>59215</v>
      </c>
      <c r="H9586" s="11" t="s">
        <v>31</v>
      </c>
      <c r="I9586" s="11">
        <v>1.0</v>
      </c>
      <c r="J9586" s="11">
        <v>1.0</v>
      </c>
      <c r="K9586" s="11" t="s">
        <v>31</v>
      </c>
      <c r="L9586" s="12" t="s">
        <v>59216</v>
      </c>
      <c r="M9586" s="10" t="s">
        <v>59217</v>
      </c>
      <c r="N9586" s="10" t="s">
        <v>75</v>
      </c>
      <c r="O9586" s="12" t="s">
        <v>76</v>
      </c>
      <c r="P9586" s="10" t="s">
        <v>28795</v>
      </c>
      <c r="Q9586" s="10" t="s">
        <v>59181</v>
      </c>
      <c r="R9586" s="10" t="s">
        <v>75</v>
      </c>
      <c r="S9586" s="12" t="s">
        <v>1478</v>
      </c>
      <c r="T9586" s="10" t="s">
        <v>66</v>
      </c>
      <c r="U9586" s="12" t="s">
        <v>31</v>
      </c>
      <c r="V9586" s="10" t="s">
        <v>59218</v>
      </c>
      <c r="W9586" s="10" t="s">
        <v>59177</v>
      </c>
      <c r="X9586" s="13" t="str">
        <f>HYPERLINK("https://my.pitchbook.com?p=210639-88P","View People Online")</f>
        <v>View People Online</v>
      </c>
    </row>
    <row r="9587">
      <c r="A9587" s="6" t="s">
        <v>59219</v>
      </c>
      <c r="B9587" s="6" t="s">
        <v>59220</v>
      </c>
      <c r="C9587" s="6" t="s">
        <v>16307</v>
      </c>
      <c r="D9587" s="6" t="s">
        <v>59221</v>
      </c>
      <c r="E9587" s="6" t="s">
        <v>59177</v>
      </c>
      <c r="F9587" s="6" t="s">
        <v>78</v>
      </c>
      <c r="G9587" s="6" t="s">
        <v>59222</v>
      </c>
      <c r="H9587" s="7" t="s">
        <v>31</v>
      </c>
      <c r="I9587" s="7">
        <v>2.0</v>
      </c>
      <c r="J9587" s="7">
        <v>2.0</v>
      </c>
      <c r="K9587" s="7" t="s">
        <v>31</v>
      </c>
      <c r="L9587" s="8" t="s">
        <v>59179</v>
      </c>
      <c r="M9587" s="6" t="s">
        <v>59223</v>
      </c>
      <c r="N9587" s="6" t="s">
        <v>75</v>
      </c>
      <c r="O9587" s="8" t="s">
        <v>76</v>
      </c>
      <c r="P9587" s="6" t="s">
        <v>28795</v>
      </c>
      <c r="Q9587" s="6" t="s">
        <v>59181</v>
      </c>
      <c r="R9587" s="6" t="s">
        <v>75</v>
      </c>
      <c r="S9587" s="8" t="s">
        <v>1478</v>
      </c>
      <c r="T9587" s="6" t="s">
        <v>66</v>
      </c>
      <c r="U9587" s="8" t="s">
        <v>31</v>
      </c>
      <c r="V9587" s="6" t="s">
        <v>78</v>
      </c>
      <c r="W9587" s="6" t="s">
        <v>59177</v>
      </c>
      <c r="X9587" s="9" t="str">
        <f>HYPERLINK("https://my.pitchbook.com?p=120095-29P","View People Online")</f>
        <v>View People Online</v>
      </c>
    </row>
    <row r="9588">
      <c r="A9588" s="2" t="s">
        <v>59224</v>
      </c>
      <c r="B9588" s="2" t="s">
        <v>59225</v>
      </c>
      <c r="C9588" s="2" t="s">
        <v>6913</v>
      </c>
      <c r="D9588" s="2" t="s">
        <v>59226</v>
      </c>
      <c r="E9588" s="2" t="s">
        <v>59177</v>
      </c>
      <c r="F9588" s="2" t="s">
        <v>38644</v>
      </c>
      <c r="G9588" s="2" t="s">
        <v>59227</v>
      </c>
      <c r="H9588" s="3" t="s">
        <v>31</v>
      </c>
      <c r="I9588" s="3">
        <v>2.0</v>
      </c>
      <c r="J9588" s="3">
        <v>2.0</v>
      </c>
      <c r="K9588" s="3" t="s">
        <v>31</v>
      </c>
      <c r="L9588" s="4" t="s">
        <v>59179</v>
      </c>
      <c r="M9588" s="2" t="s">
        <v>59228</v>
      </c>
      <c r="N9588" s="2" t="s">
        <v>75</v>
      </c>
      <c r="O9588" s="4" t="s">
        <v>76</v>
      </c>
      <c r="P9588" s="2" t="s">
        <v>28795</v>
      </c>
      <c r="Q9588" s="2" t="s">
        <v>59181</v>
      </c>
      <c r="R9588" s="2" t="s">
        <v>75</v>
      </c>
      <c r="S9588" s="4" t="s">
        <v>1478</v>
      </c>
      <c r="T9588" s="2" t="s">
        <v>66</v>
      </c>
      <c r="U9588" s="4" t="s">
        <v>31</v>
      </c>
      <c r="V9588" s="2" t="s">
        <v>38644</v>
      </c>
      <c r="W9588" s="2" t="s">
        <v>59177</v>
      </c>
      <c r="X9588" s="5" t="str">
        <f>HYPERLINK("https://my.pitchbook.com?p=120097-54P","View People Online")</f>
        <v>View People Online</v>
      </c>
    </row>
    <row r="9589">
      <c r="A9589" s="14" t="s">
        <v>59229</v>
      </c>
      <c r="B9589" s="14" t="s">
        <v>59230</v>
      </c>
      <c r="C9589" s="14" t="s">
        <v>59231</v>
      </c>
      <c r="D9589" s="14" t="s">
        <v>1317</v>
      </c>
      <c r="E9589" s="14" t="s">
        <v>59177</v>
      </c>
      <c r="F9589" s="14" t="s">
        <v>5206</v>
      </c>
      <c r="G9589" s="14" t="s">
        <v>59232</v>
      </c>
      <c r="H9589" s="15" t="s">
        <v>31</v>
      </c>
      <c r="I9589" s="15">
        <v>1.0</v>
      </c>
      <c r="J9589" s="15">
        <v>1.0</v>
      </c>
      <c r="K9589" s="15" t="s">
        <v>31</v>
      </c>
      <c r="L9589" s="16" t="s">
        <v>59179</v>
      </c>
      <c r="M9589" s="14" t="s">
        <v>59233</v>
      </c>
      <c r="N9589" s="14" t="s">
        <v>75</v>
      </c>
      <c r="O9589" s="16" t="s">
        <v>76</v>
      </c>
      <c r="P9589" s="14" t="s">
        <v>28795</v>
      </c>
      <c r="Q9589" s="14" t="s">
        <v>59181</v>
      </c>
      <c r="R9589" s="14" t="s">
        <v>75</v>
      </c>
      <c r="S9589" s="16" t="s">
        <v>1478</v>
      </c>
      <c r="T9589" s="14" t="s">
        <v>66</v>
      </c>
      <c r="U9589" s="16" t="s">
        <v>31</v>
      </c>
      <c r="V9589" s="14" t="s">
        <v>59234</v>
      </c>
      <c r="W9589" s="14" t="s">
        <v>59177</v>
      </c>
      <c r="X9589" s="17" t="str">
        <f>HYPERLINK("https://my.pitchbook.com?p=417769-39P","View People Online")</f>
        <v>View People Online</v>
      </c>
    </row>
    <row r="9590">
      <c r="A9590" s="10" t="s">
        <v>59235</v>
      </c>
      <c r="B9590" s="10" t="s">
        <v>59236</v>
      </c>
      <c r="C9590" s="10" t="s">
        <v>59237</v>
      </c>
      <c r="D9590" s="10" t="s">
        <v>59238</v>
      </c>
      <c r="E9590" s="10" t="s">
        <v>59177</v>
      </c>
      <c r="F9590" s="10" t="s">
        <v>36453</v>
      </c>
      <c r="G9590" s="10" t="s">
        <v>59239</v>
      </c>
      <c r="H9590" s="11" t="s">
        <v>31</v>
      </c>
      <c r="I9590" s="11">
        <v>1.0</v>
      </c>
      <c r="J9590" s="11">
        <v>1.0</v>
      </c>
      <c r="K9590" s="11" t="s">
        <v>31</v>
      </c>
      <c r="L9590" s="12" t="s">
        <v>59179</v>
      </c>
      <c r="M9590" s="10" t="s">
        <v>59240</v>
      </c>
      <c r="N9590" s="10" t="s">
        <v>75</v>
      </c>
      <c r="O9590" s="12" t="s">
        <v>76</v>
      </c>
      <c r="P9590" s="10" t="s">
        <v>28795</v>
      </c>
      <c r="Q9590" s="10" t="s">
        <v>59181</v>
      </c>
      <c r="R9590" s="10" t="s">
        <v>75</v>
      </c>
      <c r="S9590" s="12" t="s">
        <v>1478</v>
      </c>
      <c r="T9590" s="10" t="s">
        <v>66</v>
      </c>
      <c r="U9590" s="12" t="s">
        <v>31</v>
      </c>
      <c r="V9590" s="10" t="s">
        <v>59241</v>
      </c>
      <c r="W9590" s="10" t="s">
        <v>59177</v>
      </c>
      <c r="X9590" s="13" t="str">
        <f>HYPERLINK("https://my.pitchbook.com?p=326719-54P","View People Online")</f>
        <v>View People Online</v>
      </c>
    </row>
    <row r="9591">
      <c r="A9591" s="6" t="s">
        <v>59242</v>
      </c>
      <c r="B9591" s="6" t="s">
        <v>59243</v>
      </c>
      <c r="C9591" s="6" t="s">
        <v>5890</v>
      </c>
      <c r="D9591" s="6" t="s">
        <v>59244</v>
      </c>
      <c r="E9591" s="6" t="s">
        <v>59177</v>
      </c>
      <c r="F9591" s="6" t="s">
        <v>318</v>
      </c>
      <c r="G9591" s="6" t="s">
        <v>59245</v>
      </c>
      <c r="H9591" s="7">
        <v>2.0</v>
      </c>
      <c r="I9591" s="7">
        <v>7.0</v>
      </c>
      <c r="J9591" s="7">
        <v>1.0</v>
      </c>
      <c r="K9591" s="7">
        <v>4.0</v>
      </c>
      <c r="L9591" s="8" t="s">
        <v>59179</v>
      </c>
      <c r="M9591" s="6" t="s">
        <v>59246</v>
      </c>
      <c r="N9591" s="6" t="s">
        <v>75</v>
      </c>
      <c r="O9591" s="8" t="s">
        <v>76</v>
      </c>
      <c r="P9591" s="6" t="s">
        <v>28795</v>
      </c>
      <c r="Q9591" s="6" t="s">
        <v>59181</v>
      </c>
      <c r="R9591" s="6" t="s">
        <v>75</v>
      </c>
      <c r="S9591" s="8" t="s">
        <v>1478</v>
      </c>
      <c r="T9591" s="6" t="s">
        <v>66</v>
      </c>
      <c r="U9591" s="8" t="s">
        <v>31</v>
      </c>
      <c r="V9591" s="6" t="s">
        <v>59247</v>
      </c>
      <c r="W9591" s="6" t="s">
        <v>59177</v>
      </c>
      <c r="X9591" s="9" t="str">
        <f>HYPERLINK("https://my.pitchbook.com?p=214794-91P","View People Online")</f>
        <v>View People Online</v>
      </c>
    </row>
    <row r="9592">
      <c r="A9592" s="2" t="s">
        <v>29639</v>
      </c>
      <c r="B9592" s="2" t="s">
        <v>29640</v>
      </c>
      <c r="C9592" s="2" t="s">
        <v>19321</v>
      </c>
      <c r="D9592" s="2" t="s">
        <v>831</v>
      </c>
      <c r="E9592" s="2" t="s">
        <v>59177</v>
      </c>
      <c r="F9592" s="2" t="s">
        <v>114</v>
      </c>
      <c r="G9592" s="2" t="s">
        <v>29641</v>
      </c>
      <c r="H9592" s="3">
        <v>4.0</v>
      </c>
      <c r="I9592" s="3">
        <v>31.0</v>
      </c>
      <c r="J9592" s="3">
        <v>2.0</v>
      </c>
      <c r="K9592" s="3">
        <v>19.0</v>
      </c>
      <c r="L9592" s="4" t="s">
        <v>29596</v>
      </c>
      <c r="M9592" s="2" t="s">
        <v>31</v>
      </c>
      <c r="N9592" s="2" t="s">
        <v>155</v>
      </c>
      <c r="O9592" s="4" t="s">
        <v>156</v>
      </c>
      <c r="P9592" s="2" t="s">
        <v>29598</v>
      </c>
      <c r="Q9592" s="2" t="s">
        <v>29599</v>
      </c>
      <c r="R9592" s="2" t="s">
        <v>64</v>
      </c>
      <c r="S9592" s="4" t="s">
        <v>3487</v>
      </c>
      <c r="T9592" s="2" t="s">
        <v>66</v>
      </c>
      <c r="U9592" s="4" t="s">
        <v>31</v>
      </c>
      <c r="V9592" s="2" t="s">
        <v>114</v>
      </c>
      <c r="W9592" s="2" t="s">
        <v>29594</v>
      </c>
      <c r="X9592" s="5" t="str">
        <f>HYPERLINK("https://my.pitchbook.com?p=13661-29P","View People Online")</f>
        <v>View People Online</v>
      </c>
    </row>
    <row r="9593">
      <c r="A9593" s="14" t="s">
        <v>59248</v>
      </c>
      <c r="B9593" s="14" t="s">
        <v>59249</v>
      </c>
      <c r="C9593" s="14" t="s">
        <v>3554</v>
      </c>
      <c r="D9593" s="14" t="s">
        <v>59250</v>
      </c>
      <c r="E9593" s="14" t="s">
        <v>59177</v>
      </c>
      <c r="F9593" s="14" t="s">
        <v>548</v>
      </c>
      <c r="G9593" s="14" t="s">
        <v>59251</v>
      </c>
      <c r="H9593" s="15" t="s">
        <v>31</v>
      </c>
      <c r="I9593" s="15">
        <v>1.0</v>
      </c>
      <c r="J9593" s="15">
        <v>1.0</v>
      </c>
      <c r="K9593" s="15" t="s">
        <v>31</v>
      </c>
      <c r="L9593" s="16" t="s">
        <v>59179</v>
      </c>
      <c r="M9593" s="14" t="s">
        <v>59252</v>
      </c>
      <c r="N9593" s="14" t="s">
        <v>75</v>
      </c>
      <c r="O9593" s="16" t="s">
        <v>76</v>
      </c>
      <c r="P9593" s="14" t="s">
        <v>28795</v>
      </c>
      <c r="Q9593" s="14" t="s">
        <v>59181</v>
      </c>
      <c r="R9593" s="14" t="s">
        <v>75</v>
      </c>
      <c r="S9593" s="16" t="s">
        <v>1478</v>
      </c>
      <c r="T9593" s="14" t="s">
        <v>66</v>
      </c>
      <c r="U9593" s="16" t="s">
        <v>31</v>
      </c>
      <c r="V9593" s="14" t="s">
        <v>548</v>
      </c>
      <c r="W9593" s="14" t="s">
        <v>59177</v>
      </c>
      <c r="X9593" s="17" t="str">
        <f>HYPERLINK("https://my.pitchbook.com?p=290783-17P","View People Online")</f>
        <v>View People Online</v>
      </c>
    </row>
    <row r="9594">
      <c r="A9594" s="2" t="s">
        <v>59253</v>
      </c>
      <c r="B9594" s="2" t="s">
        <v>59254</v>
      </c>
      <c r="C9594" s="2" t="s">
        <v>126</v>
      </c>
      <c r="D9594" s="2" t="s">
        <v>59255</v>
      </c>
      <c r="E9594" s="2" t="s">
        <v>59177</v>
      </c>
      <c r="F9594" s="2" t="s">
        <v>371</v>
      </c>
      <c r="G9594" s="2" t="s">
        <v>59256</v>
      </c>
      <c r="H9594" s="3" t="s">
        <v>31</v>
      </c>
      <c r="I9594" s="3">
        <v>1.0</v>
      </c>
      <c r="J9594" s="3">
        <v>1.0</v>
      </c>
      <c r="K9594" s="3" t="s">
        <v>31</v>
      </c>
      <c r="L9594" s="4" t="s">
        <v>59179</v>
      </c>
      <c r="M9594" s="2" t="s">
        <v>59257</v>
      </c>
      <c r="N9594" s="2" t="s">
        <v>75</v>
      </c>
      <c r="O9594" s="4" t="s">
        <v>76</v>
      </c>
      <c r="P9594" s="2" t="s">
        <v>28795</v>
      </c>
      <c r="Q9594" s="2" t="s">
        <v>59181</v>
      </c>
      <c r="R9594" s="2" t="s">
        <v>75</v>
      </c>
      <c r="S9594" s="4" t="s">
        <v>1478</v>
      </c>
      <c r="T9594" s="2" t="s">
        <v>66</v>
      </c>
      <c r="U9594" s="4" t="s">
        <v>31</v>
      </c>
      <c r="V9594" s="2" t="s">
        <v>371</v>
      </c>
      <c r="W9594" s="2" t="s">
        <v>59177</v>
      </c>
      <c r="X9594" s="5" t="str">
        <f>HYPERLINK("https://my.pitchbook.com?p=389389-06P","View People Online")</f>
        <v>View People Online</v>
      </c>
    </row>
    <row r="9595">
      <c r="A9595" s="14" t="s">
        <v>59258</v>
      </c>
      <c r="B9595" s="14" t="s">
        <v>59259</v>
      </c>
      <c r="C9595" s="14" t="s">
        <v>132</v>
      </c>
      <c r="D9595" s="14" t="s">
        <v>10990</v>
      </c>
      <c r="E9595" s="14" t="s">
        <v>59177</v>
      </c>
      <c r="F9595" s="14" t="s">
        <v>667</v>
      </c>
      <c r="G9595" s="14" t="s">
        <v>59260</v>
      </c>
      <c r="H9595" s="15" t="s">
        <v>31</v>
      </c>
      <c r="I9595" s="15">
        <v>1.0</v>
      </c>
      <c r="J9595" s="15">
        <v>1.0</v>
      </c>
      <c r="K9595" s="15" t="s">
        <v>31</v>
      </c>
      <c r="L9595" s="16" t="s">
        <v>59179</v>
      </c>
      <c r="M9595" s="14" t="s">
        <v>31</v>
      </c>
      <c r="N9595" s="14" t="s">
        <v>75</v>
      </c>
      <c r="O9595" s="16" t="s">
        <v>76</v>
      </c>
      <c r="P9595" s="14" t="s">
        <v>28795</v>
      </c>
      <c r="Q9595" s="14" t="s">
        <v>59181</v>
      </c>
      <c r="R9595" s="14" t="s">
        <v>75</v>
      </c>
      <c r="S9595" s="16" t="s">
        <v>1478</v>
      </c>
      <c r="T9595" s="14" t="s">
        <v>66</v>
      </c>
      <c r="U9595" s="16" t="s">
        <v>31</v>
      </c>
      <c r="V9595" s="14" t="s">
        <v>667</v>
      </c>
      <c r="W9595" s="14" t="s">
        <v>59177</v>
      </c>
      <c r="X9595" s="17" t="str">
        <f>HYPERLINK("https://my.pitchbook.com?p=389391-31P","View People Online")</f>
        <v>View People Online</v>
      </c>
    </row>
    <row r="9596">
      <c r="A9596" s="10" t="s">
        <v>59261</v>
      </c>
      <c r="B9596" s="10" t="s">
        <v>59262</v>
      </c>
      <c r="C9596" s="10" t="s">
        <v>2388</v>
      </c>
      <c r="D9596" s="10" t="s">
        <v>59263</v>
      </c>
      <c r="E9596" s="10" t="s">
        <v>59177</v>
      </c>
      <c r="F9596" s="10" t="s">
        <v>825</v>
      </c>
      <c r="G9596" s="10" t="s">
        <v>59264</v>
      </c>
      <c r="H9596" s="11">
        <v>2.0</v>
      </c>
      <c r="I9596" s="11">
        <v>17.0</v>
      </c>
      <c r="J9596" s="11">
        <v>1.0</v>
      </c>
      <c r="K9596" s="11">
        <v>14.0</v>
      </c>
      <c r="L9596" s="12" t="s">
        <v>59265</v>
      </c>
      <c r="M9596" s="10" t="s">
        <v>59266</v>
      </c>
      <c r="N9596" s="10" t="s">
        <v>75</v>
      </c>
      <c r="O9596" s="12" t="s">
        <v>76</v>
      </c>
      <c r="P9596" s="10" t="s">
        <v>28795</v>
      </c>
      <c r="Q9596" s="10" t="s">
        <v>59181</v>
      </c>
      <c r="R9596" s="10" t="s">
        <v>75</v>
      </c>
      <c r="S9596" s="12" t="s">
        <v>1478</v>
      </c>
      <c r="T9596" s="10" t="s">
        <v>66</v>
      </c>
      <c r="U9596" s="12" t="s">
        <v>31</v>
      </c>
      <c r="V9596" s="10" t="s">
        <v>59267</v>
      </c>
      <c r="W9596" s="10" t="s">
        <v>59177</v>
      </c>
      <c r="X9596" s="13" t="str">
        <f>HYPERLINK("https://my.pitchbook.com?p=283391-02P","View People Online")</f>
        <v>View People Online</v>
      </c>
    </row>
    <row r="9597">
      <c r="A9597" s="14" t="s">
        <v>59268</v>
      </c>
      <c r="B9597" s="14" t="s">
        <v>59269</v>
      </c>
      <c r="C9597" s="14" t="s">
        <v>9546</v>
      </c>
      <c r="D9597" s="14" t="s">
        <v>3671</v>
      </c>
      <c r="E9597" s="14" t="s">
        <v>59177</v>
      </c>
      <c r="F9597" s="14" t="s">
        <v>26897</v>
      </c>
      <c r="G9597" s="14" t="s">
        <v>59270</v>
      </c>
      <c r="H9597" s="15" t="s">
        <v>31</v>
      </c>
      <c r="I9597" s="15">
        <v>1.0</v>
      </c>
      <c r="J9597" s="15">
        <v>1.0</v>
      </c>
      <c r="K9597" s="15" t="s">
        <v>31</v>
      </c>
      <c r="L9597" s="16" t="s">
        <v>59179</v>
      </c>
      <c r="M9597" s="14" t="s">
        <v>59271</v>
      </c>
      <c r="N9597" s="14" t="s">
        <v>75</v>
      </c>
      <c r="O9597" s="16" t="s">
        <v>76</v>
      </c>
      <c r="P9597" s="14" t="s">
        <v>28795</v>
      </c>
      <c r="Q9597" s="14" t="s">
        <v>59181</v>
      </c>
      <c r="R9597" s="14" t="s">
        <v>75</v>
      </c>
      <c r="S9597" s="16" t="s">
        <v>1478</v>
      </c>
      <c r="T9597" s="14" t="s">
        <v>66</v>
      </c>
      <c r="U9597" s="16" t="s">
        <v>31</v>
      </c>
      <c r="V9597" s="14" t="s">
        <v>26897</v>
      </c>
      <c r="W9597" s="14" t="s">
        <v>59177</v>
      </c>
      <c r="X9597" s="17" t="str">
        <f>HYPERLINK("https://my.pitchbook.com?p=290786-50P","View People Online")</f>
        <v>View People Online</v>
      </c>
    </row>
    <row r="9598">
      <c r="A9598" s="2" t="s">
        <v>59272</v>
      </c>
      <c r="B9598" s="2" t="s">
        <v>59273</v>
      </c>
      <c r="C9598" s="2" t="s">
        <v>3722</v>
      </c>
      <c r="D9598" s="2" t="s">
        <v>59274</v>
      </c>
      <c r="E9598" s="2" t="s">
        <v>59177</v>
      </c>
      <c r="F9598" s="2" t="s">
        <v>896</v>
      </c>
      <c r="G9598" s="2" t="s">
        <v>59275</v>
      </c>
      <c r="H9598" s="3" t="s">
        <v>31</v>
      </c>
      <c r="I9598" s="3">
        <v>1.0</v>
      </c>
      <c r="J9598" s="3">
        <v>1.0</v>
      </c>
      <c r="K9598" s="3" t="s">
        <v>31</v>
      </c>
      <c r="L9598" s="4" t="s">
        <v>59179</v>
      </c>
      <c r="M9598" s="2" t="s">
        <v>59276</v>
      </c>
      <c r="N9598" s="2" t="s">
        <v>75</v>
      </c>
      <c r="O9598" s="4" t="s">
        <v>76</v>
      </c>
      <c r="P9598" s="2" t="s">
        <v>28795</v>
      </c>
      <c r="Q9598" s="2" t="s">
        <v>59181</v>
      </c>
      <c r="R9598" s="2" t="s">
        <v>75</v>
      </c>
      <c r="S9598" s="4" t="s">
        <v>1478</v>
      </c>
      <c r="T9598" s="2" t="s">
        <v>66</v>
      </c>
      <c r="U9598" s="4" t="s">
        <v>31</v>
      </c>
      <c r="V9598" s="2" t="s">
        <v>896</v>
      </c>
      <c r="W9598" s="2" t="s">
        <v>59177</v>
      </c>
      <c r="X9598" s="5" t="str">
        <f>HYPERLINK("https://my.pitchbook.com?p=290782-45P","View People Online")</f>
        <v>View People Online</v>
      </c>
    </row>
    <row r="9599">
      <c r="A9599" s="14" t="s">
        <v>59277</v>
      </c>
      <c r="B9599" s="14" t="s">
        <v>59278</v>
      </c>
      <c r="C9599" s="14" t="s">
        <v>59279</v>
      </c>
      <c r="D9599" s="14" t="s">
        <v>27348</v>
      </c>
      <c r="E9599" s="14" t="s">
        <v>59177</v>
      </c>
      <c r="F9599" s="14" t="s">
        <v>502</v>
      </c>
      <c r="G9599" s="14" t="s">
        <v>59280</v>
      </c>
      <c r="H9599" s="15" t="s">
        <v>31</v>
      </c>
      <c r="I9599" s="15">
        <v>2.0</v>
      </c>
      <c r="J9599" s="15">
        <v>2.0</v>
      </c>
      <c r="K9599" s="15" t="s">
        <v>31</v>
      </c>
      <c r="L9599" s="16" t="s">
        <v>59194</v>
      </c>
      <c r="M9599" s="14" t="s">
        <v>59281</v>
      </c>
      <c r="N9599" s="14" t="s">
        <v>75</v>
      </c>
      <c r="O9599" s="16" t="s">
        <v>76</v>
      </c>
      <c r="P9599" s="14" t="s">
        <v>28795</v>
      </c>
      <c r="Q9599" s="14" t="s">
        <v>31</v>
      </c>
      <c r="R9599" s="14" t="s">
        <v>75</v>
      </c>
      <c r="S9599" s="16" t="s">
        <v>1478</v>
      </c>
      <c r="T9599" s="14" t="s">
        <v>66</v>
      </c>
      <c r="U9599" s="16" t="s">
        <v>31</v>
      </c>
      <c r="V9599" s="14" t="s">
        <v>502</v>
      </c>
      <c r="W9599" s="14" t="s">
        <v>59282</v>
      </c>
      <c r="X9599" s="17" t="str">
        <f>HYPERLINK("https://my.pitchbook.com?p=229082-05P","View People Online")</f>
        <v>View People Online</v>
      </c>
    </row>
    <row r="9600">
      <c r="A9600" s="2" t="s">
        <v>59283</v>
      </c>
      <c r="B9600" s="2" t="s">
        <v>59284</v>
      </c>
      <c r="C9600" s="2" t="s">
        <v>3521</v>
      </c>
      <c r="D9600" s="2" t="s">
        <v>15840</v>
      </c>
      <c r="E9600" s="2" t="s">
        <v>59285</v>
      </c>
      <c r="F9600" s="2" t="s">
        <v>583</v>
      </c>
      <c r="G9600" s="2" t="s">
        <v>59286</v>
      </c>
      <c r="H9600" s="3" t="s">
        <v>31</v>
      </c>
      <c r="I9600" s="3">
        <v>1.0</v>
      </c>
      <c r="J9600" s="3">
        <v>1.0</v>
      </c>
      <c r="K9600" s="3" t="s">
        <v>31</v>
      </c>
      <c r="L9600" s="4" t="s">
        <v>31</v>
      </c>
      <c r="M9600" s="2" t="s">
        <v>59287</v>
      </c>
      <c r="N9600" s="2" t="s">
        <v>59288</v>
      </c>
      <c r="O9600" s="4" t="s">
        <v>59289</v>
      </c>
      <c r="P9600" s="2" t="s">
        <v>59290</v>
      </c>
      <c r="Q9600" s="2" t="s">
        <v>31</v>
      </c>
      <c r="R9600" s="2" t="s">
        <v>1185</v>
      </c>
      <c r="S9600" s="4" t="s">
        <v>59291</v>
      </c>
      <c r="T9600" s="2" t="s">
        <v>66</v>
      </c>
      <c r="U9600" s="4" t="s">
        <v>31</v>
      </c>
      <c r="V9600" s="2" t="s">
        <v>583</v>
      </c>
      <c r="W9600" s="2" t="s">
        <v>59285</v>
      </c>
      <c r="X9600" s="5" t="str">
        <f>HYPERLINK("https://my.pitchbook.com?p=316073-89P","View People Online")</f>
        <v>View People Online</v>
      </c>
    </row>
    <row r="9601">
      <c r="A9601" s="6" t="s">
        <v>59292</v>
      </c>
      <c r="B9601" s="6" t="s">
        <v>59293</v>
      </c>
      <c r="C9601" s="6" t="s">
        <v>36194</v>
      </c>
      <c r="D9601" s="6" t="s">
        <v>59294</v>
      </c>
      <c r="E9601" s="6" t="s">
        <v>59285</v>
      </c>
      <c r="F9601" s="6" t="s">
        <v>1167</v>
      </c>
      <c r="G9601" s="6" t="s">
        <v>59295</v>
      </c>
      <c r="H9601" s="7" t="s">
        <v>31</v>
      </c>
      <c r="I9601" s="7">
        <v>1.0</v>
      </c>
      <c r="J9601" s="7">
        <v>1.0</v>
      </c>
      <c r="K9601" s="7" t="s">
        <v>31</v>
      </c>
      <c r="L9601" s="8" t="s">
        <v>31</v>
      </c>
      <c r="M9601" s="6" t="s">
        <v>59296</v>
      </c>
      <c r="N9601" s="6" t="s">
        <v>59288</v>
      </c>
      <c r="O9601" s="8" t="s">
        <v>59289</v>
      </c>
      <c r="P9601" s="6" t="s">
        <v>59290</v>
      </c>
      <c r="Q9601" s="6" t="s">
        <v>31</v>
      </c>
      <c r="R9601" s="6" t="s">
        <v>1185</v>
      </c>
      <c r="S9601" s="8" t="s">
        <v>59291</v>
      </c>
      <c r="T9601" s="6" t="s">
        <v>66</v>
      </c>
      <c r="U9601" s="8" t="s">
        <v>31</v>
      </c>
      <c r="V9601" s="6" t="s">
        <v>558</v>
      </c>
      <c r="W9601" s="6" t="s">
        <v>59285</v>
      </c>
      <c r="X9601" s="9" t="str">
        <f>HYPERLINK("https://my.pitchbook.com?p=303318-01P","View People Online")</f>
        <v>View People Online</v>
      </c>
    </row>
    <row r="9602">
      <c r="A9602" s="2" t="s">
        <v>59297</v>
      </c>
      <c r="B9602" s="2" t="s">
        <v>59298</v>
      </c>
      <c r="C9602" s="2" t="s">
        <v>3722</v>
      </c>
      <c r="D9602" s="2" t="s">
        <v>59299</v>
      </c>
      <c r="E9602" s="2" t="s">
        <v>59300</v>
      </c>
      <c r="F9602" s="2" t="s">
        <v>1167</v>
      </c>
      <c r="G9602" s="2" t="s">
        <v>59301</v>
      </c>
      <c r="H9602" s="3">
        <v>3.0</v>
      </c>
      <c r="I9602" s="3">
        <v>8.0</v>
      </c>
      <c r="J9602" s="3">
        <v>2.0</v>
      </c>
      <c r="K9602" s="3">
        <v>3.0</v>
      </c>
      <c r="L9602" s="4" t="s">
        <v>59302</v>
      </c>
      <c r="M9602" s="2" t="s">
        <v>59303</v>
      </c>
      <c r="N9602" s="2" t="s">
        <v>75</v>
      </c>
      <c r="O9602" s="4" t="s">
        <v>76</v>
      </c>
      <c r="P9602" s="2" t="s">
        <v>40701</v>
      </c>
      <c r="Q9602" s="2" t="s">
        <v>31</v>
      </c>
      <c r="R9602" s="2" t="s">
        <v>75</v>
      </c>
      <c r="S9602" s="4" t="s">
        <v>59304</v>
      </c>
      <c r="T9602" s="2" t="s">
        <v>66</v>
      </c>
      <c r="U9602" s="4" t="s">
        <v>59305</v>
      </c>
      <c r="V9602" s="2" t="s">
        <v>24485</v>
      </c>
      <c r="W9602" s="2" t="s">
        <v>59306</v>
      </c>
      <c r="X9602" s="5" t="str">
        <f>HYPERLINK("https://my.pitchbook.com?p=72636-13P","View People Online")</f>
        <v>View People Online</v>
      </c>
    </row>
    <row r="9603">
      <c r="A9603" s="14" t="s">
        <v>59307</v>
      </c>
      <c r="B9603" s="14" t="s">
        <v>59308</v>
      </c>
      <c r="C9603" s="14" t="s">
        <v>44941</v>
      </c>
      <c r="D9603" s="14" t="s">
        <v>59309</v>
      </c>
      <c r="E9603" s="14" t="s">
        <v>59310</v>
      </c>
      <c r="F9603" s="14" t="s">
        <v>502</v>
      </c>
      <c r="G9603" s="14" t="s">
        <v>59311</v>
      </c>
      <c r="H9603" s="15">
        <v>1.0</v>
      </c>
      <c r="I9603" s="15">
        <v>2.0</v>
      </c>
      <c r="J9603" s="15">
        <v>2.0</v>
      </c>
      <c r="K9603" s="15" t="s">
        <v>31</v>
      </c>
      <c r="L9603" s="16" t="s">
        <v>31</v>
      </c>
      <c r="M9603" s="14" t="s">
        <v>59312</v>
      </c>
      <c r="N9603" s="14" t="s">
        <v>429</v>
      </c>
      <c r="O9603" s="16" t="s">
        <v>430</v>
      </c>
      <c r="P9603" s="14" t="s">
        <v>59313</v>
      </c>
      <c r="Q9603" s="14" t="s">
        <v>31</v>
      </c>
      <c r="R9603" s="14" t="s">
        <v>31</v>
      </c>
      <c r="S9603" s="16" t="s">
        <v>10831</v>
      </c>
      <c r="T9603" s="14" t="s">
        <v>433</v>
      </c>
      <c r="U9603" s="16" t="s">
        <v>31</v>
      </c>
      <c r="V9603" s="14" t="s">
        <v>502</v>
      </c>
      <c r="W9603" s="14" t="s">
        <v>59310</v>
      </c>
      <c r="X9603" s="17" t="str">
        <f>HYPERLINK("https://my.pitchbook.com?p=40886-02P","View People Online")</f>
        <v>View People Online</v>
      </c>
    </row>
    <row r="9604">
      <c r="A9604" s="10" t="s">
        <v>59314</v>
      </c>
      <c r="B9604" s="10" t="s">
        <v>59315</v>
      </c>
      <c r="C9604" s="10" t="s">
        <v>481</v>
      </c>
      <c r="D9604" s="10" t="s">
        <v>59316</v>
      </c>
      <c r="E9604" s="10" t="s">
        <v>59310</v>
      </c>
      <c r="F9604" s="10" t="s">
        <v>1167</v>
      </c>
      <c r="G9604" s="10" t="s">
        <v>59317</v>
      </c>
      <c r="H9604" s="11" t="s">
        <v>31</v>
      </c>
      <c r="I9604" s="11">
        <v>12.0</v>
      </c>
      <c r="J9604" s="11">
        <v>2.0</v>
      </c>
      <c r="K9604" s="11">
        <v>8.0</v>
      </c>
      <c r="L9604" s="12" t="s">
        <v>59318</v>
      </c>
      <c r="M9604" s="10" t="s">
        <v>59319</v>
      </c>
      <c r="N9604" s="10" t="s">
        <v>47911</v>
      </c>
      <c r="O9604" s="12" t="s">
        <v>47912</v>
      </c>
      <c r="P9604" s="10" t="s">
        <v>59320</v>
      </c>
      <c r="Q9604" s="10" t="s">
        <v>989</v>
      </c>
      <c r="R9604" s="10" t="s">
        <v>64</v>
      </c>
      <c r="S9604" s="12" t="s">
        <v>47915</v>
      </c>
      <c r="T9604" s="10" t="s">
        <v>66</v>
      </c>
      <c r="U9604" s="12" t="s">
        <v>31</v>
      </c>
      <c r="V9604" s="10" t="s">
        <v>59321</v>
      </c>
      <c r="W9604" s="10" t="s">
        <v>59310</v>
      </c>
      <c r="X9604" s="13" t="str">
        <f>HYPERLINK("https://my.pitchbook.com?p=129957-31P","View People Online")</f>
        <v>View People Online</v>
      </c>
    </row>
    <row r="9605">
      <c r="A9605" s="6" t="s">
        <v>59322</v>
      </c>
      <c r="B9605" s="6" t="s">
        <v>59323</v>
      </c>
      <c r="C9605" s="6" t="s">
        <v>59324</v>
      </c>
      <c r="D9605" s="6" t="s">
        <v>59325</v>
      </c>
      <c r="E9605" s="6" t="s">
        <v>59310</v>
      </c>
      <c r="F9605" s="6" t="s">
        <v>1283</v>
      </c>
      <c r="G9605" s="6" t="s">
        <v>59326</v>
      </c>
      <c r="H9605" s="7" t="s">
        <v>31</v>
      </c>
      <c r="I9605" s="7">
        <v>2.0</v>
      </c>
      <c r="J9605" s="7">
        <v>2.0</v>
      </c>
      <c r="K9605" s="7" t="s">
        <v>31</v>
      </c>
      <c r="L9605" s="8" t="s">
        <v>31</v>
      </c>
      <c r="M9605" s="6" t="s">
        <v>59327</v>
      </c>
      <c r="N9605" s="6" t="s">
        <v>10290</v>
      </c>
      <c r="O9605" s="8" t="s">
        <v>10291</v>
      </c>
      <c r="P9605" s="6" t="s">
        <v>59328</v>
      </c>
      <c r="Q9605" s="6" t="s">
        <v>59329</v>
      </c>
      <c r="R9605" s="6" t="s">
        <v>31</v>
      </c>
      <c r="S9605" s="8" t="s">
        <v>59330</v>
      </c>
      <c r="T9605" s="6" t="s">
        <v>10295</v>
      </c>
      <c r="U9605" s="8" t="s">
        <v>31</v>
      </c>
      <c r="V9605" s="6" t="s">
        <v>59331</v>
      </c>
      <c r="W9605" s="6" t="s">
        <v>59310</v>
      </c>
      <c r="X9605" s="9" t="str">
        <f>HYPERLINK("https://my.pitchbook.com?p=226080-28P","View People Online")</f>
        <v>View People Online</v>
      </c>
    </row>
    <row r="9606">
      <c r="A9606" s="10" t="s">
        <v>59332</v>
      </c>
      <c r="B9606" s="10" t="s">
        <v>59333</v>
      </c>
      <c r="C9606" s="10" t="s">
        <v>59334</v>
      </c>
      <c r="D9606" s="10" t="s">
        <v>19030</v>
      </c>
      <c r="E9606" s="10" t="s">
        <v>59310</v>
      </c>
      <c r="F9606" s="10" t="s">
        <v>2652</v>
      </c>
      <c r="G9606" s="10" t="s">
        <v>59335</v>
      </c>
      <c r="H9606" s="11" t="s">
        <v>31</v>
      </c>
      <c r="I9606" s="11">
        <v>1.0</v>
      </c>
      <c r="J9606" s="11">
        <v>1.0</v>
      </c>
      <c r="K9606" s="11" t="s">
        <v>31</v>
      </c>
      <c r="L9606" s="12" t="s">
        <v>31</v>
      </c>
      <c r="M9606" s="10" t="s">
        <v>59336</v>
      </c>
      <c r="N9606" s="10" t="s">
        <v>9865</v>
      </c>
      <c r="O9606" s="12" t="s">
        <v>9866</v>
      </c>
      <c r="P9606" s="10" t="s">
        <v>59337</v>
      </c>
      <c r="Q9606" s="10" t="s">
        <v>59338</v>
      </c>
      <c r="R9606" s="10" t="s">
        <v>31</v>
      </c>
      <c r="S9606" s="12" t="s">
        <v>59339</v>
      </c>
      <c r="T9606" s="10" t="s">
        <v>38</v>
      </c>
      <c r="U9606" s="12" t="s">
        <v>31</v>
      </c>
      <c r="V9606" s="10" t="s">
        <v>59340</v>
      </c>
      <c r="W9606" s="10" t="s">
        <v>59310</v>
      </c>
      <c r="X9606" s="13" t="str">
        <f>HYPERLINK("https://my.pitchbook.com?p=226077-94P","View People Online")</f>
        <v>View People Online</v>
      </c>
    </row>
    <row r="9607">
      <c r="A9607" s="6" t="s">
        <v>59341</v>
      </c>
      <c r="B9607" s="6" t="s">
        <v>59342</v>
      </c>
      <c r="C9607" s="6" t="s">
        <v>219</v>
      </c>
      <c r="D9607" s="6" t="s">
        <v>59343</v>
      </c>
      <c r="E9607" s="6" t="s">
        <v>59310</v>
      </c>
      <c r="F9607" s="6" t="s">
        <v>189</v>
      </c>
      <c r="G9607" s="6" t="s">
        <v>59344</v>
      </c>
      <c r="H9607" s="7" t="s">
        <v>31</v>
      </c>
      <c r="I9607" s="7">
        <v>3.0</v>
      </c>
      <c r="J9607" s="7">
        <v>3.0</v>
      </c>
      <c r="K9607" s="7" t="s">
        <v>31</v>
      </c>
      <c r="L9607" s="8" t="s">
        <v>31</v>
      </c>
      <c r="M9607" s="6" t="s">
        <v>59345</v>
      </c>
      <c r="N9607" s="6" t="s">
        <v>429</v>
      </c>
      <c r="O9607" s="8" t="s">
        <v>430</v>
      </c>
      <c r="P9607" s="6" t="s">
        <v>31</v>
      </c>
      <c r="Q9607" s="6" t="s">
        <v>31</v>
      </c>
      <c r="R9607" s="6" t="s">
        <v>429</v>
      </c>
      <c r="S9607" s="8" t="s">
        <v>59346</v>
      </c>
      <c r="T9607" s="6" t="s">
        <v>433</v>
      </c>
      <c r="U9607" s="8" t="s">
        <v>31</v>
      </c>
      <c r="V9607" s="6" t="s">
        <v>43</v>
      </c>
      <c r="W9607" s="6" t="s">
        <v>59347</v>
      </c>
      <c r="X9607" s="9" t="str">
        <f>HYPERLINK("https://my.pitchbook.com?p=151064-02P","View People Online")</f>
        <v>View People Online</v>
      </c>
    </row>
    <row r="9608">
      <c r="A9608" s="10" t="s">
        <v>59348</v>
      </c>
      <c r="B9608" s="10" t="s">
        <v>59349</v>
      </c>
      <c r="C9608" s="10" t="s">
        <v>1929</v>
      </c>
      <c r="D9608" s="10" t="s">
        <v>9457</v>
      </c>
      <c r="E9608" s="10" t="s">
        <v>59350</v>
      </c>
      <c r="F9608" s="10" t="s">
        <v>470</v>
      </c>
      <c r="G9608" s="10" t="s">
        <v>59351</v>
      </c>
      <c r="H9608" s="11" t="s">
        <v>31</v>
      </c>
      <c r="I9608" s="11">
        <v>10.0</v>
      </c>
      <c r="J9608" s="11">
        <v>1.0</v>
      </c>
      <c r="K9608" s="11">
        <v>9.0</v>
      </c>
      <c r="L9608" s="12" t="s">
        <v>59352</v>
      </c>
      <c r="M9608" s="10" t="s">
        <v>59353</v>
      </c>
      <c r="N9608" s="10" t="s">
        <v>155</v>
      </c>
      <c r="O9608" s="12" t="s">
        <v>156</v>
      </c>
      <c r="P9608" s="10" t="s">
        <v>59354</v>
      </c>
      <c r="Q9608" s="10" t="s">
        <v>31367</v>
      </c>
      <c r="R9608" s="10" t="s">
        <v>64</v>
      </c>
      <c r="S9608" s="12" t="s">
        <v>1549</v>
      </c>
      <c r="T9608" s="10" t="s">
        <v>66</v>
      </c>
      <c r="U9608" s="12" t="s">
        <v>31</v>
      </c>
      <c r="V9608" s="10" t="s">
        <v>470</v>
      </c>
      <c r="W9608" s="10" t="s">
        <v>59350</v>
      </c>
      <c r="X9608" s="13" t="str">
        <f>HYPERLINK("https://my.pitchbook.com?p=362474-20P","View People Online")</f>
        <v>View People Online</v>
      </c>
    </row>
    <row r="9609">
      <c r="A9609" s="6" t="s">
        <v>59355</v>
      </c>
      <c r="B9609" s="6" t="s">
        <v>59356</v>
      </c>
      <c r="C9609" s="6" t="s">
        <v>26193</v>
      </c>
      <c r="D9609" s="6" t="s">
        <v>59357</v>
      </c>
      <c r="E9609" s="6" t="s">
        <v>59350</v>
      </c>
      <c r="F9609" s="6" t="s">
        <v>1801</v>
      </c>
      <c r="G9609" s="6" t="s">
        <v>59358</v>
      </c>
      <c r="H9609" s="7" t="s">
        <v>31</v>
      </c>
      <c r="I9609" s="7">
        <v>1.0</v>
      </c>
      <c r="J9609" s="7">
        <v>1.0</v>
      </c>
      <c r="K9609" s="7" t="s">
        <v>31</v>
      </c>
      <c r="L9609" s="8" t="s">
        <v>59352</v>
      </c>
      <c r="M9609" s="6" t="s">
        <v>59359</v>
      </c>
      <c r="N9609" s="6" t="s">
        <v>155</v>
      </c>
      <c r="O9609" s="8" t="s">
        <v>156</v>
      </c>
      <c r="P9609" s="6" t="s">
        <v>59354</v>
      </c>
      <c r="Q9609" s="6" t="s">
        <v>31367</v>
      </c>
      <c r="R9609" s="6" t="s">
        <v>64</v>
      </c>
      <c r="S9609" s="8" t="s">
        <v>1549</v>
      </c>
      <c r="T9609" s="6" t="s">
        <v>66</v>
      </c>
      <c r="U9609" s="8" t="s">
        <v>31</v>
      </c>
      <c r="V9609" s="6" t="s">
        <v>43686</v>
      </c>
      <c r="W9609" s="6" t="s">
        <v>59350</v>
      </c>
      <c r="X9609" s="9" t="str">
        <f>HYPERLINK("https://my.pitchbook.com?p=348657-58P","View People Online")</f>
        <v>View People Online</v>
      </c>
    </row>
    <row r="9610">
      <c r="A9610" s="10" t="s">
        <v>59360</v>
      </c>
      <c r="B9610" s="10" t="s">
        <v>59361</v>
      </c>
      <c r="C9610" s="10" t="s">
        <v>2329</v>
      </c>
      <c r="D9610" s="10" t="s">
        <v>59362</v>
      </c>
      <c r="E9610" s="10" t="s">
        <v>59350</v>
      </c>
      <c r="F9610" s="10" t="s">
        <v>2540</v>
      </c>
      <c r="G9610" s="10" t="s">
        <v>59363</v>
      </c>
      <c r="H9610" s="11" t="s">
        <v>31</v>
      </c>
      <c r="I9610" s="11">
        <v>1.0</v>
      </c>
      <c r="J9610" s="11">
        <v>1.0</v>
      </c>
      <c r="K9610" s="11" t="s">
        <v>31</v>
      </c>
      <c r="L9610" s="12" t="s">
        <v>59352</v>
      </c>
      <c r="M9610" s="10" t="s">
        <v>59364</v>
      </c>
      <c r="N9610" s="10" t="s">
        <v>155</v>
      </c>
      <c r="O9610" s="12" t="s">
        <v>156</v>
      </c>
      <c r="P9610" s="10" t="s">
        <v>59354</v>
      </c>
      <c r="Q9610" s="10" t="s">
        <v>31367</v>
      </c>
      <c r="R9610" s="10" t="s">
        <v>64</v>
      </c>
      <c r="S9610" s="12" t="s">
        <v>1549</v>
      </c>
      <c r="T9610" s="10" t="s">
        <v>66</v>
      </c>
      <c r="U9610" s="12" t="s">
        <v>31</v>
      </c>
      <c r="V9610" s="10" t="s">
        <v>2540</v>
      </c>
      <c r="W9610" s="10" t="s">
        <v>59350</v>
      </c>
      <c r="X9610" s="13" t="str">
        <f>HYPERLINK("https://my.pitchbook.com?p=394831-81P","View People Online")</f>
        <v>View People Online</v>
      </c>
    </row>
    <row r="9611">
      <c r="A9611" s="14" t="s">
        <v>59365</v>
      </c>
      <c r="B9611" s="14" t="s">
        <v>59366</v>
      </c>
      <c r="C9611" s="14" t="s">
        <v>59367</v>
      </c>
      <c r="D9611" s="14" t="s">
        <v>31172</v>
      </c>
      <c r="E9611" s="14" t="s">
        <v>59350</v>
      </c>
      <c r="F9611" s="14" t="s">
        <v>270</v>
      </c>
      <c r="G9611" s="14" t="s">
        <v>59368</v>
      </c>
      <c r="H9611" s="15" t="s">
        <v>31</v>
      </c>
      <c r="I9611" s="15">
        <v>1.0</v>
      </c>
      <c r="J9611" s="15">
        <v>1.0</v>
      </c>
      <c r="K9611" s="15" t="s">
        <v>31</v>
      </c>
      <c r="L9611" s="16" t="s">
        <v>59352</v>
      </c>
      <c r="M9611" s="14" t="s">
        <v>59369</v>
      </c>
      <c r="N9611" s="14" t="s">
        <v>155</v>
      </c>
      <c r="O9611" s="16" t="s">
        <v>156</v>
      </c>
      <c r="P9611" s="14" t="s">
        <v>59354</v>
      </c>
      <c r="Q9611" s="14" t="s">
        <v>31367</v>
      </c>
      <c r="R9611" s="14" t="s">
        <v>64</v>
      </c>
      <c r="S9611" s="16" t="s">
        <v>1549</v>
      </c>
      <c r="T9611" s="14" t="s">
        <v>66</v>
      </c>
      <c r="U9611" s="16" t="s">
        <v>31</v>
      </c>
      <c r="V9611" s="14" t="s">
        <v>59370</v>
      </c>
      <c r="W9611" s="14" t="s">
        <v>59350</v>
      </c>
      <c r="X9611" s="17" t="str">
        <f>HYPERLINK("https://my.pitchbook.com?p=362472-76P","View People Online")</f>
        <v>View People Online</v>
      </c>
    </row>
    <row r="9612">
      <c r="A9612" s="10" t="s">
        <v>59371</v>
      </c>
      <c r="B9612" s="10" t="s">
        <v>59372</v>
      </c>
      <c r="C9612" s="10" t="s">
        <v>10008</v>
      </c>
      <c r="D9612" s="10" t="s">
        <v>59373</v>
      </c>
      <c r="E9612" s="10" t="s">
        <v>59374</v>
      </c>
      <c r="F9612" s="10" t="s">
        <v>1106</v>
      </c>
      <c r="G9612" s="10" t="s">
        <v>59375</v>
      </c>
      <c r="H9612" s="11" t="s">
        <v>31</v>
      </c>
      <c r="I9612" s="11">
        <v>4.0</v>
      </c>
      <c r="J9612" s="11">
        <v>1.0</v>
      </c>
      <c r="K9612" s="11" t="s">
        <v>31</v>
      </c>
      <c r="L9612" s="12" t="s">
        <v>59376</v>
      </c>
      <c r="M9612" s="10" t="s">
        <v>59377</v>
      </c>
      <c r="N9612" s="10" t="s">
        <v>1181</v>
      </c>
      <c r="O9612" s="12" t="s">
        <v>1182</v>
      </c>
      <c r="P9612" s="10" t="s">
        <v>31</v>
      </c>
      <c r="Q9612" s="10" t="s">
        <v>31</v>
      </c>
      <c r="R9612" s="10" t="s">
        <v>1185</v>
      </c>
      <c r="S9612" s="12" t="s">
        <v>31</v>
      </c>
      <c r="T9612" s="10" t="s">
        <v>66</v>
      </c>
      <c r="U9612" s="12" t="s">
        <v>31</v>
      </c>
      <c r="V9612" s="10" t="s">
        <v>1114</v>
      </c>
      <c r="W9612" s="10" t="s">
        <v>59374</v>
      </c>
      <c r="X9612" s="13" t="str">
        <f>HYPERLINK("https://my.pitchbook.com?p=132113-26P","View People Online")</f>
        <v>View People Online</v>
      </c>
    </row>
    <row r="9613">
      <c r="A9613" s="6" t="s">
        <v>59378</v>
      </c>
      <c r="B9613" s="6" t="s">
        <v>59379</v>
      </c>
      <c r="C9613" s="6" t="s">
        <v>59380</v>
      </c>
      <c r="D9613" s="6" t="s">
        <v>59381</v>
      </c>
      <c r="E9613" s="6" t="s">
        <v>59382</v>
      </c>
      <c r="F9613" s="6" t="s">
        <v>32651</v>
      </c>
      <c r="G9613" s="6" t="s">
        <v>59383</v>
      </c>
      <c r="H9613" s="7" t="s">
        <v>31</v>
      </c>
      <c r="I9613" s="7">
        <v>3.0</v>
      </c>
      <c r="J9613" s="7">
        <v>2.0</v>
      </c>
      <c r="K9613" s="7" t="s">
        <v>31</v>
      </c>
      <c r="L9613" s="8" t="s">
        <v>59384</v>
      </c>
      <c r="M9613" s="6" t="s">
        <v>59385</v>
      </c>
      <c r="N9613" s="6" t="s">
        <v>46241</v>
      </c>
      <c r="O9613" s="8" t="s">
        <v>59386</v>
      </c>
      <c r="P9613" s="6" t="s">
        <v>59387</v>
      </c>
      <c r="Q9613" s="6" t="s">
        <v>31</v>
      </c>
      <c r="R9613" s="6" t="s">
        <v>10326</v>
      </c>
      <c r="S9613" s="8" t="s">
        <v>59388</v>
      </c>
      <c r="T9613" s="6" t="s">
        <v>66</v>
      </c>
      <c r="U9613" s="8" t="s">
        <v>59389</v>
      </c>
      <c r="V9613" s="6" t="s">
        <v>583</v>
      </c>
      <c r="W9613" s="6" t="s">
        <v>59390</v>
      </c>
      <c r="X9613" s="9" t="str">
        <f>HYPERLINK("https://my.pitchbook.com?p=95275-09P","View People Online")</f>
        <v>View People Online</v>
      </c>
    </row>
    <row r="9614">
      <c r="A9614" s="10" t="s">
        <v>59391</v>
      </c>
      <c r="B9614" s="10" t="s">
        <v>59392</v>
      </c>
      <c r="C9614" s="10" t="s">
        <v>59393</v>
      </c>
      <c r="D9614" s="10" t="s">
        <v>59394</v>
      </c>
      <c r="E9614" s="10" t="s">
        <v>59382</v>
      </c>
      <c r="F9614" s="10" t="s">
        <v>270</v>
      </c>
      <c r="G9614" s="10" t="s">
        <v>59395</v>
      </c>
      <c r="H9614" s="11" t="s">
        <v>31</v>
      </c>
      <c r="I9614" s="11">
        <v>1.0</v>
      </c>
      <c r="J9614" s="11">
        <v>1.0</v>
      </c>
      <c r="K9614" s="11" t="s">
        <v>31</v>
      </c>
      <c r="L9614" s="12" t="s">
        <v>59396</v>
      </c>
      <c r="M9614" s="10" t="s">
        <v>59397</v>
      </c>
      <c r="N9614" s="10" t="s">
        <v>40371</v>
      </c>
      <c r="O9614" s="12" t="s">
        <v>40372</v>
      </c>
      <c r="P9614" s="10" t="s">
        <v>59398</v>
      </c>
      <c r="Q9614" s="10" t="s">
        <v>13284</v>
      </c>
      <c r="R9614" s="10" t="s">
        <v>27830</v>
      </c>
      <c r="S9614" s="12" t="s">
        <v>59399</v>
      </c>
      <c r="T9614" s="10" t="s">
        <v>66</v>
      </c>
      <c r="U9614" s="12" t="s">
        <v>31</v>
      </c>
      <c r="V9614" s="10" t="s">
        <v>59400</v>
      </c>
      <c r="W9614" s="10" t="s">
        <v>59382</v>
      </c>
      <c r="X9614" s="13" t="str">
        <f>HYPERLINK("https://my.pitchbook.com?p=433186-75P","View People Online")</f>
        <v>View People Online</v>
      </c>
    </row>
    <row r="9615">
      <c r="A9615" s="14" t="s">
        <v>59401</v>
      </c>
      <c r="B9615" s="14" t="s">
        <v>59402</v>
      </c>
      <c r="C9615" s="14" t="s">
        <v>11210</v>
      </c>
      <c r="D9615" s="14" t="s">
        <v>3570</v>
      </c>
      <c r="E9615" s="14" t="s">
        <v>59382</v>
      </c>
      <c r="F9615" s="14" t="s">
        <v>32651</v>
      </c>
      <c r="G9615" s="14" t="s">
        <v>59403</v>
      </c>
      <c r="H9615" s="15" t="s">
        <v>31</v>
      </c>
      <c r="I9615" s="15">
        <v>1.0</v>
      </c>
      <c r="J9615" s="15">
        <v>1.0</v>
      </c>
      <c r="K9615" s="15" t="s">
        <v>31</v>
      </c>
      <c r="L9615" s="16" t="s">
        <v>59396</v>
      </c>
      <c r="M9615" s="14" t="s">
        <v>31</v>
      </c>
      <c r="N9615" s="14" t="s">
        <v>40371</v>
      </c>
      <c r="O9615" s="16" t="s">
        <v>40372</v>
      </c>
      <c r="P9615" s="14" t="s">
        <v>59398</v>
      </c>
      <c r="Q9615" s="14" t="s">
        <v>13284</v>
      </c>
      <c r="R9615" s="14" t="s">
        <v>27830</v>
      </c>
      <c r="S9615" s="16" t="s">
        <v>59399</v>
      </c>
      <c r="T9615" s="14" t="s">
        <v>66</v>
      </c>
      <c r="U9615" s="16" t="s">
        <v>31</v>
      </c>
      <c r="V9615" s="14" t="s">
        <v>32651</v>
      </c>
      <c r="W9615" s="14" t="s">
        <v>59382</v>
      </c>
      <c r="X9615" s="17" t="str">
        <f>HYPERLINK("https://my.pitchbook.com?p=174373-39P","View People Online")</f>
        <v>View People Online</v>
      </c>
    </row>
    <row r="9616">
      <c r="A9616" s="2" t="s">
        <v>59404</v>
      </c>
      <c r="B9616" s="2" t="s">
        <v>59405</v>
      </c>
      <c r="C9616" s="2" t="s">
        <v>16279</v>
      </c>
      <c r="D9616" s="2" t="s">
        <v>59406</v>
      </c>
      <c r="E9616" s="2" t="s">
        <v>59382</v>
      </c>
      <c r="F9616" s="2" t="s">
        <v>2199</v>
      </c>
      <c r="G9616" s="2" t="s">
        <v>59407</v>
      </c>
      <c r="H9616" s="3">
        <v>1.0</v>
      </c>
      <c r="I9616" s="3">
        <v>2.0</v>
      </c>
      <c r="J9616" s="3">
        <v>2.0</v>
      </c>
      <c r="K9616" s="3" t="s">
        <v>31</v>
      </c>
      <c r="L9616" s="4" t="s">
        <v>59408</v>
      </c>
      <c r="M9616" s="2" t="s">
        <v>59409</v>
      </c>
      <c r="N9616" s="2" t="s">
        <v>59410</v>
      </c>
      <c r="O9616" s="4" t="s">
        <v>59411</v>
      </c>
      <c r="P9616" s="2" t="s">
        <v>59412</v>
      </c>
      <c r="Q9616" s="2" t="s">
        <v>1280</v>
      </c>
      <c r="R9616" s="2" t="s">
        <v>75</v>
      </c>
      <c r="S9616" s="4" t="s">
        <v>59413</v>
      </c>
      <c r="T9616" s="2" t="s">
        <v>66</v>
      </c>
      <c r="U9616" s="4" t="s">
        <v>31</v>
      </c>
      <c r="V9616" s="2" t="s">
        <v>59414</v>
      </c>
      <c r="W9616" s="2" t="s">
        <v>59415</v>
      </c>
      <c r="X9616" s="5" t="str">
        <f>HYPERLINK("https://my.pitchbook.com?p=14355-37P","View People Online")</f>
        <v>View People Online</v>
      </c>
    </row>
    <row r="9617">
      <c r="A9617" s="6" t="s">
        <v>59416</v>
      </c>
      <c r="B9617" s="6" t="s">
        <v>59417</v>
      </c>
      <c r="C9617" s="6" t="s">
        <v>1146</v>
      </c>
      <c r="D9617" s="6" t="s">
        <v>59418</v>
      </c>
      <c r="E9617" s="6" t="s">
        <v>59382</v>
      </c>
      <c r="F9617" s="6" t="s">
        <v>270</v>
      </c>
      <c r="G9617" s="6" t="s">
        <v>59419</v>
      </c>
      <c r="H9617" s="7" t="s">
        <v>31</v>
      </c>
      <c r="I9617" s="7">
        <v>1.0</v>
      </c>
      <c r="J9617" s="7">
        <v>1.0</v>
      </c>
      <c r="K9617" s="7" t="s">
        <v>31</v>
      </c>
      <c r="L9617" s="8" t="s">
        <v>59396</v>
      </c>
      <c r="M9617" s="6" t="s">
        <v>59420</v>
      </c>
      <c r="N9617" s="6" t="s">
        <v>40371</v>
      </c>
      <c r="O9617" s="8" t="s">
        <v>40372</v>
      </c>
      <c r="P9617" s="6" t="s">
        <v>59398</v>
      </c>
      <c r="Q9617" s="6" t="s">
        <v>13284</v>
      </c>
      <c r="R9617" s="6" t="s">
        <v>27830</v>
      </c>
      <c r="S9617" s="8" t="s">
        <v>59399</v>
      </c>
      <c r="T9617" s="6" t="s">
        <v>66</v>
      </c>
      <c r="U9617" s="8" t="s">
        <v>31</v>
      </c>
      <c r="V9617" s="6" t="s">
        <v>59421</v>
      </c>
      <c r="W9617" s="6" t="s">
        <v>59382</v>
      </c>
      <c r="X9617" s="9" t="str">
        <f>HYPERLINK("https://my.pitchbook.com?p=433186-84P","View People Online")</f>
        <v>View People Online</v>
      </c>
    </row>
    <row r="9618">
      <c r="A9618" s="10" t="s">
        <v>59422</v>
      </c>
      <c r="B9618" s="10" t="s">
        <v>59423</v>
      </c>
      <c r="C9618" s="10" t="s">
        <v>5071</v>
      </c>
      <c r="D9618" s="10" t="s">
        <v>24859</v>
      </c>
      <c r="E9618" s="10" t="s">
        <v>59382</v>
      </c>
      <c r="F9618" s="10" t="s">
        <v>312</v>
      </c>
      <c r="G9618" s="10" t="s">
        <v>59424</v>
      </c>
      <c r="H9618" s="11" t="s">
        <v>31</v>
      </c>
      <c r="I9618" s="11">
        <v>3.0</v>
      </c>
      <c r="J9618" s="11">
        <v>1.0</v>
      </c>
      <c r="K9618" s="11">
        <v>1.0</v>
      </c>
      <c r="L9618" s="12" t="s">
        <v>59396</v>
      </c>
      <c r="M9618" s="10" t="s">
        <v>59425</v>
      </c>
      <c r="N9618" s="10" t="s">
        <v>40371</v>
      </c>
      <c r="O9618" s="12" t="s">
        <v>40372</v>
      </c>
      <c r="P9618" s="10" t="s">
        <v>59398</v>
      </c>
      <c r="Q9618" s="10" t="s">
        <v>13284</v>
      </c>
      <c r="R9618" s="10" t="s">
        <v>27830</v>
      </c>
      <c r="S9618" s="12" t="s">
        <v>59399</v>
      </c>
      <c r="T9618" s="10" t="s">
        <v>66</v>
      </c>
      <c r="U9618" s="12" t="s">
        <v>31</v>
      </c>
      <c r="V9618" s="10" t="s">
        <v>59426</v>
      </c>
      <c r="W9618" s="10" t="s">
        <v>59382</v>
      </c>
      <c r="X9618" s="13" t="str">
        <f>HYPERLINK("https://my.pitchbook.com?p=253227-70P","View People Online")</f>
        <v>View People Online</v>
      </c>
    </row>
    <row r="9619">
      <c r="A9619" s="6" t="s">
        <v>59427</v>
      </c>
      <c r="B9619" s="6" t="s">
        <v>59428</v>
      </c>
      <c r="C9619" s="6" t="s">
        <v>24951</v>
      </c>
      <c r="D9619" s="6" t="s">
        <v>19871</v>
      </c>
      <c r="E9619" s="6" t="s">
        <v>59382</v>
      </c>
      <c r="F9619" s="6" t="s">
        <v>3740</v>
      </c>
      <c r="G9619" s="6" t="s">
        <v>59429</v>
      </c>
      <c r="H9619" s="7">
        <v>3.0</v>
      </c>
      <c r="I9619" s="7">
        <v>4.0</v>
      </c>
      <c r="J9619" s="7">
        <v>1.0</v>
      </c>
      <c r="K9619" s="7" t="s">
        <v>31</v>
      </c>
      <c r="L9619" s="8" t="s">
        <v>59430</v>
      </c>
      <c r="M9619" s="6" t="s">
        <v>59431</v>
      </c>
      <c r="N9619" s="6" t="s">
        <v>40371</v>
      </c>
      <c r="O9619" s="8" t="s">
        <v>40372</v>
      </c>
      <c r="P9619" s="6" t="s">
        <v>59398</v>
      </c>
      <c r="Q9619" s="6" t="s">
        <v>13284</v>
      </c>
      <c r="R9619" s="6" t="s">
        <v>27830</v>
      </c>
      <c r="S9619" s="8" t="s">
        <v>59399</v>
      </c>
      <c r="T9619" s="6" t="s">
        <v>66</v>
      </c>
      <c r="U9619" s="8" t="s">
        <v>31</v>
      </c>
      <c r="V9619" s="6" t="s">
        <v>55438</v>
      </c>
      <c r="W9619" s="6" t="s">
        <v>59382</v>
      </c>
      <c r="X9619" s="9" t="str">
        <f>HYPERLINK("https://my.pitchbook.com?p=144484-30P","View People Online")</f>
        <v>View People Online</v>
      </c>
    </row>
    <row r="9620">
      <c r="A9620" s="10" t="s">
        <v>59432</v>
      </c>
      <c r="B9620" s="10" t="s">
        <v>59433</v>
      </c>
      <c r="C9620" s="10" t="s">
        <v>2221</v>
      </c>
      <c r="D9620" s="10" t="s">
        <v>59434</v>
      </c>
      <c r="E9620" s="10" t="s">
        <v>59382</v>
      </c>
      <c r="F9620" s="10" t="s">
        <v>371</v>
      </c>
      <c r="G9620" s="10" t="s">
        <v>59435</v>
      </c>
      <c r="H9620" s="11" t="s">
        <v>31</v>
      </c>
      <c r="I9620" s="11">
        <v>4.0</v>
      </c>
      <c r="J9620" s="11">
        <v>1.0</v>
      </c>
      <c r="K9620" s="11">
        <v>3.0</v>
      </c>
      <c r="L9620" s="12" t="s">
        <v>59436</v>
      </c>
      <c r="M9620" s="10" t="s">
        <v>59437</v>
      </c>
      <c r="N9620" s="10" t="s">
        <v>40371</v>
      </c>
      <c r="O9620" s="12" t="s">
        <v>40372</v>
      </c>
      <c r="P9620" s="10" t="s">
        <v>59398</v>
      </c>
      <c r="Q9620" s="10" t="s">
        <v>13284</v>
      </c>
      <c r="R9620" s="10" t="s">
        <v>27830</v>
      </c>
      <c r="S9620" s="12" t="s">
        <v>59399</v>
      </c>
      <c r="T9620" s="10" t="s">
        <v>66</v>
      </c>
      <c r="U9620" s="12" t="s">
        <v>31</v>
      </c>
      <c r="V9620" s="10" t="s">
        <v>59438</v>
      </c>
      <c r="W9620" s="10" t="s">
        <v>59382</v>
      </c>
      <c r="X9620" s="13" t="str">
        <f>HYPERLINK("https://my.pitchbook.com?p=291166-12P","View People Online")</f>
        <v>View People Online</v>
      </c>
    </row>
    <row r="9621">
      <c r="A9621" s="6" t="s">
        <v>59439</v>
      </c>
      <c r="B9621" s="6" t="s">
        <v>59440</v>
      </c>
      <c r="C9621" s="6" t="s">
        <v>868</v>
      </c>
      <c r="D9621" s="6" t="s">
        <v>59441</v>
      </c>
      <c r="E9621" s="6" t="s">
        <v>59382</v>
      </c>
      <c r="F9621" s="6" t="s">
        <v>312</v>
      </c>
      <c r="G9621" s="6" t="s">
        <v>59442</v>
      </c>
      <c r="H9621" s="7" t="s">
        <v>31</v>
      </c>
      <c r="I9621" s="7">
        <v>1.0</v>
      </c>
      <c r="J9621" s="7">
        <v>1.0</v>
      </c>
      <c r="K9621" s="7" t="s">
        <v>31</v>
      </c>
      <c r="L9621" s="8" t="s">
        <v>59396</v>
      </c>
      <c r="M9621" s="6" t="s">
        <v>59443</v>
      </c>
      <c r="N9621" s="6" t="s">
        <v>40371</v>
      </c>
      <c r="O9621" s="8" t="s">
        <v>40372</v>
      </c>
      <c r="P9621" s="6" t="s">
        <v>59398</v>
      </c>
      <c r="Q9621" s="6" t="s">
        <v>13284</v>
      </c>
      <c r="R9621" s="6" t="s">
        <v>27830</v>
      </c>
      <c r="S9621" s="8" t="s">
        <v>59399</v>
      </c>
      <c r="T9621" s="6" t="s">
        <v>66</v>
      </c>
      <c r="U9621" s="8" t="s">
        <v>31</v>
      </c>
      <c r="V9621" s="6" t="s">
        <v>59444</v>
      </c>
      <c r="W9621" s="6" t="s">
        <v>59382</v>
      </c>
      <c r="X9621" s="9" t="str">
        <f>HYPERLINK("https://my.pitchbook.com?p=114481-36P","View People Online")</f>
        <v>View People Online</v>
      </c>
    </row>
    <row r="9622">
      <c r="A9622" s="2" t="s">
        <v>59445</v>
      </c>
      <c r="B9622" s="2" t="s">
        <v>59446</v>
      </c>
      <c r="C9622" s="2" t="s">
        <v>59447</v>
      </c>
      <c r="D9622" s="2" t="s">
        <v>59448</v>
      </c>
      <c r="E9622" s="2" t="s">
        <v>59382</v>
      </c>
      <c r="F9622" s="2" t="s">
        <v>270</v>
      </c>
      <c r="G9622" s="2" t="s">
        <v>59449</v>
      </c>
      <c r="H9622" s="3" t="s">
        <v>31</v>
      </c>
      <c r="I9622" s="3">
        <v>1.0</v>
      </c>
      <c r="J9622" s="3">
        <v>1.0</v>
      </c>
      <c r="K9622" s="3" t="s">
        <v>31</v>
      </c>
      <c r="L9622" s="4" t="s">
        <v>59396</v>
      </c>
      <c r="M9622" s="2" t="s">
        <v>59450</v>
      </c>
      <c r="N9622" s="2" t="s">
        <v>40371</v>
      </c>
      <c r="O9622" s="4" t="s">
        <v>40372</v>
      </c>
      <c r="P9622" s="2" t="s">
        <v>59398</v>
      </c>
      <c r="Q9622" s="2" t="s">
        <v>13284</v>
      </c>
      <c r="R9622" s="2" t="s">
        <v>27830</v>
      </c>
      <c r="S9622" s="4" t="s">
        <v>59399</v>
      </c>
      <c r="T9622" s="2" t="s">
        <v>66</v>
      </c>
      <c r="U9622" s="4" t="s">
        <v>31</v>
      </c>
      <c r="V9622" s="2" t="s">
        <v>59451</v>
      </c>
      <c r="W9622" s="2" t="s">
        <v>59382</v>
      </c>
      <c r="X9622" s="5" t="str">
        <f>HYPERLINK("https://my.pitchbook.com?p=148701-43P","View People Online")</f>
        <v>View People Online</v>
      </c>
    </row>
    <row r="9623">
      <c r="A9623" s="14" t="s">
        <v>59452</v>
      </c>
      <c r="B9623" s="14" t="s">
        <v>26976</v>
      </c>
      <c r="C9623" s="14" t="s">
        <v>126</v>
      </c>
      <c r="D9623" s="14" t="s">
        <v>665</v>
      </c>
      <c r="E9623" s="14" t="s">
        <v>59382</v>
      </c>
      <c r="F9623" s="14" t="s">
        <v>5418</v>
      </c>
      <c r="G9623" s="14" t="s">
        <v>59453</v>
      </c>
      <c r="H9623" s="15" t="s">
        <v>31</v>
      </c>
      <c r="I9623" s="15">
        <v>1.0</v>
      </c>
      <c r="J9623" s="15">
        <v>1.0</v>
      </c>
      <c r="K9623" s="15" t="s">
        <v>31</v>
      </c>
      <c r="L9623" s="16" t="s">
        <v>59396</v>
      </c>
      <c r="M9623" s="14" t="s">
        <v>59454</v>
      </c>
      <c r="N9623" s="14" t="s">
        <v>40371</v>
      </c>
      <c r="O9623" s="16" t="s">
        <v>40372</v>
      </c>
      <c r="P9623" s="14" t="s">
        <v>59398</v>
      </c>
      <c r="Q9623" s="14" t="s">
        <v>13284</v>
      </c>
      <c r="R9623" s="14" t="s">
        <v>27830</v>
      </c>
      <c r="S9623" s="16" t="s">
        <v>59399</v>
      </c>
      <c r="T9623" s="14" t="s">
        <v>66</v>
      </c>
      <c r="U9623" s="16" t="s">
        <v>31</v>
      </c>
      <c r="V9623" s="14" t="s">
        <v>5418</v>
      </c>
      <c r="W9623" s="14" t="s">
        <v>59382</v>
      </c>
      <c r="X9623" s="17" t="str">
        <f>HYPERLINK("https://my.pitchbook.com?p=291467-80P","View People Online")</f>
        <v>View People Online</v>
      </c>
    </row>
    <row r="9624">
      <c r="A9624" s="2" t="s">
        <v>59455</v>
      </c>
      <c r="B9624" s="2" t="s">
        <v>59456</v>
      </c>
      <c r="C9624" s="2" t="s">
        <v>518</v>
      </c>
      <c r="D9624" s="2" t="s">
        <v>1723</v>
      </c>
      <c r="E9624" s="2" t="s">
        <v>59382</v>
      </c>
      <c r="F9624" s="2" t="s">
        <v>2156</v>
      </c>
      <c r="G9624" s="2" t="s">
        <v>59457</v>
      </c>
      <c r="H9624" s="3" t="s">
        <v>31</v>
      </c>
      <c r="I9624" s="3">
        <v>1.0</v>
      </c>
      <c r="J9624" s="3">
        <v>1.0</v>
      </c>
      <c r="K9624" s="3" t="s">
        <v>31</v>
      </c>
      <c r="L9624" s="4" t="s">
        <v>59396</v>
      </c>
      <c r="M9624" s="2" t="s">
        <v>59458</v>
      </c>
      <c r="N9624" s="2" t="s">
        <v>40371</v>
      </c>
      <c r="O9624" s="4" t="s">
        <v>40372</v>
      </c>
      <c r="P9624" s="2" t="s">
        <v>59398</v>
      </c>
      <c r="Q9624" s="2" t="s">
        <v>13284</v>
      </c>
      <c r="R9624" s="2" t="s">
        <v>27830</v>
      </c>
      <c r="S9624" s="4" t="s">
        <v>59399</v>
      </c>
      <c r="T9624" s="2" t="s">
        <v>66</v>
      </c>
      <c r="U9624" s="4" t="s">
        <v>31</v>
      </c>
      <c r="V9624" s="2" t="s">
        <v>2156</v>
      </c>
      <c r="W9624" s="2" t="s">
        <v>59382</v>
      </c>
      <c r="X9624" s="5" t="str">
        <f>HYPERLINK("https://my.pitchbook.com?p=79237-45P","View People Online")</f>
        <v>View People Online</v>
      </c>
    </row>
    <row r="9625">
      <c r="A9625" s="6" t="s">
        <v>59459</v>
      </c>
      <c r="B9625" s="6" t="s">
        <v>59460</v>
      </c>
      <c r="C9625" s="6" t="s">
        <v>1807</v>
      </c>
      <c r="D9625" s="6" t="s">
        <v>59461</v>
      </c>
      <c r="E9625" s="6" t="s">
        <v>59382</v>
      </c>
      <c r="F9625" s="6" t="s">
        <v>12616</v>
      </c>
      <c r="G9625" s="6" t="s">
        <v>59462</v>
      </c>
      <c r="H9625" s="7" t="s">
        <v>31</v>
      </c>
      <c r="I9625" s="7">
        <v>1.0</v>
      </c>
      <c r="J9625" s="7">
        <v>1.0</v>
      </c>
      <c r="K9625" s="7" t="s">
        <v>31</v>
      </c>
      <c r="L9625" s="8" t="s">
        <v>59396</v>
      </c>
      <c r="M9625" s="6" t="s">
        <v>59463</v>
      </c>
      <c r="N9625" s="6" t="s">
        <v>40371</v>
      </c>
      <c r="O9625" s="8" t="s">
        <v>40372</v>
      </c>
      <c r="P9625" s="6" t="s">
        <v>59398</v>
      </c>
      <c r="Q9625" s="6" t="s">
        <v>13284</v>
      </c>
      <c r="R9625" s="6" t="s">
        <v>27830</v>
      </c>
      <c r="S9625" s="8" t="s">
        <v>59399</v>
      </c>
      <c r="T9625" s="6" t="s">
        <v>66</v>
      </c>
      <c r="U9625" s="8" t="s">
        <v>31</v>
      </c>
      <c r="V9625" s="6" t="s">
        <v>59464</v>
      </c>
      <c r="W9625" s="6" t="s">
        <v>59382</v>
      </c>
      <c r="X9625" s="9" t="str">
        <f>HYPERLINK("https://my.pitchbook.com?p=374847-04P","View People Online")</f>
        <v>View People Online</v>
      </c>
    </row>
    <row r="9626">
      <c r="A9626" s="2" t="s">
        <v>59465</v>
      </c>
      <c r="B9626" s="2" t="s">
        <v>59466</v>
      </c>
      <c r="C9626" s="2" t="s">
        <v>59467</v>
      </c>
      <c r="D9626" s="2" t="s">
        <v>747</v>
      </c>
      <c r="E9626" s="2" t="s">
        <v>59382</v>
      </c>
      <c r="F9626" s="2" t="s">
        <v>32296</v>
      </c>
      <c r="G9626" s="2" t="s">
        <v>59468</v>
      </c>
      <c r="H9626" s="3" t="s">
        <v>31</v>
      </c>
      <c r="I9626" s="3">
        <v>1.0</v>
      </c>
      <c r="J9626" s="3">
        <v>1.0</v>
      </c>
      <c r="K9626" s="3" t="s">
        <v>31</v>
      </c>
      <c r="L9626" s="4" t="s">
        <v>59396</v>
      </c>
      <c r="M9626" s="2" t="s">
        <v>59469</v>
      </c>
      <c r="N9626" s="2" t="s">
        <v>40371</v>
      </c>
      <c r="O9626" s="4" t="s">
        <v>40372</v>
      </c>
      <c r="P9626" s="2" t="s">
        <v>59398</v>
      </c>
      <c r="Q9626" s="2" t="s">
        <v>13284</v>
      </c>
      <c r="R9626" s="2" t="s">
        <v>27830</v>
      </c>
      <c r="S9626" s="4" t="s">
        <v>59399</v>
      </c>
      <c r="T9626" s="2" t="s">
        <v>66</v>
      </c>
      <c r="U9626" s="4" t="s">
        <v>31</v>
      </c>
      <c r="V9626" s="2" t="s">
        <v>59470</v>
      </c>
      <c r="W9626" s="2" t="s">
        <v>59471</v>
      </c>
      <c r="X9626" s="5" t="str">
        <f>HYPERLINK("https://my.pitchbook.com?p=256219-75P","View People Online")</f>
        <v>View People Online</v>
      </c>
    </row>
    <row r="9627">
      <c r="A9627" s="6" t="s">
        <v>59472</v>
      </c>
      <c r="B9627" s="6" t="s">
        <v>59473</v>
      </c>
      <c r="C9627" s="6" t="s">
        <v>3722</v>
      </c>
      <c r="D9627" s="6" t="s">
        <v>59474</v>
      </c>
      <c r="E9627" s="6" t="s">
        <v>59382</v>
      </c>
      <c r="F9627" s="6" t="s">
        <v>1459</v>
      </c>
      <c r="G9627" s="6" t="s">
        <v>59475</v>
      </c>
      <c r="H9627" s="7" t="s">
        <v>31</v>
      </c>
      <c r="I9627" s="7">
        <v>1.0</v>
      </c>
      <c r="J9627" s="7">
        <v>1.0</v>
      </c>
      <c r="K9627" s="7" t="s">
        <v>31</v>
      </c>
      <c r="L9627" s="8" t="s">
        <v>59476</v>
      </c>
      <c r="M9627" s="6" t="s">
        <v>59477</v>
      </c>
      <c r="N9627" s="6" t="s">
        <v>40371</v>
      </c>
      <c r="O9627" s="8" t="s">
        <v>40372</v>
      </c>
      <c r="P9627" s="6" t="s">
        <v>59398</v>
      </c>
      <c r="Q9627" s="6" t="s">
        <v>13284</v>
      </c>
      <c r="R9627" s="6" t="s">
        <v>27830</v>
      </c>
      <c r="S9627" s="8" t="s">
        <v>59399</v>
      </c>
      <c r="T9627" s="6" t="s">
        <v>66</v>
      </c>
      <c r="U9627" s="8" t="s">
        <v>31</v>
      </c>
      <c r="V9627" s="6" t="s">
        <v>1612</v>
      </c>
      <c r="W9627" s="6" t="s">
        <v>59382</v>
      </c>
      <c r="X9627" s="9" t="str">
        <f>HYPERLINK("https://my.pitchbook.com?p=60451-84P","View People Online")</f>
        <v>View People Online</v>
      </c>
    </row>
    <row r="9628">
      <c r="A9628" s="10" t="s">
        <v>59478</v>
      </c>
      <c r="B9628" s="10" t="s">
        <v>59479</v>
      </c>
      <c r="C9628" s="10" t="s">
        <v>59480</v>
      </c>
      <c r="D9628" s="10" t="s">
        <v>59481</v>
      </c>
      <c r="E9628" s="10" t="s">
        <v>59382</v>
      </c>
      <c r="F9628" s="10" t="s">
        <v>32651</v>
      </c>
      <c r="G9628" s="10" t="s">
        <v>59482</v>
      </c>
      <c r="H9628" s="11">
        <v>1.0</v>
      </c>
      <c r="I9628" s="11">
        <v>10.0</v>
      </c>
      <c r="J9628" s="11">
        <v>2.0</v>
      </c>
      <c r="K9628" s="11">
        <v>6.0</v>
      </c>
      <c r="L9628" s="12" t="s">
        <v>59483</v>
      </c>
      <c r="M9628" s="10" t="s">
        <v>59484</v>
      </c>
      <c r="N9628" s="10" t="s">
        <v>1454</v>
      </c>
      <c r="O9628" s="12" t="s">
        <v>1455</v>
      </c>
      <c r="P9628" s="10" t="s">
        <v>59485</v>
      </c>
      <c r="Q9628" s="10" t="s">
        <v>7094</v>
      </c>
      <c r="R9628" s="10" t="s">
        <v>93</v>
      </c>
      <c r="S9628" s="12" t="s">
        <v>12924</v>
      </c>
      <c r="T9628" s="10" t="s">
        <v>66</v>
      </c>
      <c r="U9628" s="12" t="s">
        <v>31</v>
      </c>
      <c r="V9628" s="10" t="s">
        <v>3506</v>
      </c>
      <c r="W9628" s="10" t="s">
        <v>59486</v>
      </c>
      <c r="X9628" s="13" t="str">
        <f>HYPERLINK("https://my.pitchbook.com?p=49310-11P","View People Online")</f>
        <v>View People Online</v>
      </c>
    </row>
    <row r="9629">
      <c r="A9629" s="6" t="s">
        <v>59487</v>
      </c>
      <c r="B9629" s="6" t="s">
        <v>59488</v>
      </c>
      <c r="C9629" s="6" t="s">
        <v>25350</v>
      </c>
      <c r="D9629" s="6" t="s">
        <v>59489</v>
      </c>
      <c r="E9629" s="6" t="s">
        <v>59382</v>
      </c>
      <c r="F9629" s="6" t="s">
        <v>43690</v>
      </c>
      <c r="G9629" s="6" t="s">
        <v>59490</v>
      </c>
      <c r="H9629" s="7" t="s">
        <v>31</v>
      </c>
      <c r="I9629" s="7">
        <v>1.0</v>
      </c>
      <c r="J9629" s="7">
        <v>1.0</v>
      </c>
      <c r="K9629" s="7" t="s">
        <v>31</v>
      </c>
      <c r="L9629" s="8" t="s">
        <v>59396</v>
      </c>
      <c r="M9629" s="6" t="s">
        <v>59491</v>
      </c>
      <c r="N9629" s="6" t="s">
        <v>40371</v>
      </c>
      <c r="O9629" s="8" t="s">
        <v>40372</v>
      </c>
      <c r="P9629" s="6" t="s">
        <v>59398</v>
      </c>
      <c r="Q9629" s="6" t="s">
        <v>13284</v>
      </c>
      <c r="R9629" s="6" t="s">
        <v>27830</v>
      </c>
      <c r="S9629" s="8" t="s">
        <v>59399</v>
      </c>
      <c r="T9629" s="6" t="s">
        <v>66</v>
      </c>
      <c r="U9629" s="8" t="s">
        <v>31</v>
      </c>
      <c r="V9629" s="6" t="s">
        <v>43693</v>
      </c>
      <c r="W9629" s="6" t="s">
        <v>59382</v>
      </c>
      <c r="X9629" s="9" t="str">
        <f>HYPERLINK("https://my.pitchbook.com?p=290689-21P","View People Online")</f>
        <v>View People Online</v>
      </c>
    </row>
    <row r="9630">
      <c r="A9630" s="2" t="s">
        <v>59492</v>
      </c>
      <c r="B9630" s="2" t="s">
        <v>59493</v>
      </c>
      <c r="C9630" s="2" t="s">
        <v>562</v>
      </c>
      <c r="D9630" s="2" t="s">
        <v>32145</v>
      </c>
      <c r="E9630" s="2" t="s">
        <v>59382</v>
      </c>
      <c r="F9630" s="2" t="s">
        <v>583</v>
      </c>
      <c r="G9630" s="2" t="s">
        <v>59494</v>
      </c>
      <c r="H9630" s="3" t="s">
        <v>31</v>
      </c>
      <c r="I9630" s="3">
        <v>1.0</v>
      </c>
      <c r="J9630" s="3">
        <v>1.0</v>
      </c>
      <c r="K9630" s="3" t="s">
        <v>31</v>
      </c>
      <c r="L9630" s="4" t="s">
        <v>59396</v>
      </c>
      <c r="M9630" s="2" t="s">
        <v>59495</v>
      </c>
      <c r="N9630" s="2" t="s">
        <v>40371</v>
      </c>
      <c r="O9630" s="4" t="s">
        <v>40372</v>
      </c>
      <c r="P9630" s="2" t="s">
        <v>59398</v>
      </c>
      <c r="Q9630" s="2" t="s">
        <v>13284</v>
      </c>
      <c r="R9630" s="2" t="s">
        <v>27830</v>
      </c>
      <c r="S9630" s="4" t="s">
        <v>59399</v>
      </c>
      <c r="T9630" s="2" t="s">
        <v>66</v>
      </c>
      <c r="U9630" s="4" t="s">
        <v>31</v>
      </c>
      <c r="V9630" s="2" t="s">
        <v>59496</v>
      </c>
      <c r="W9630" s="2" t="s">
        <v>59382</v>
      </c>
      <c r="X9630" s="5" t="str">
        <f>HYPERLINK("https://my.pitchbook.com?p=174373-21P","View People Online")</f>
        <v>View People Online</v>
      </c>
    </row>
    <row r="9631">
      <c r="A9631" s="14" t="s">
        <v>59497</v>
      </c>
      <c r="B9631" s="14" t="s">
        <v>59498</v>
      </c>
      <c r="C9631" s="14" t="s">
        <v>1395</v>
      </c>
      <c r="D9631" s="14" t="s">
        <v>59499</v>
      </c>
      <c r="E9631" s="14" t="s">
        <v>59382</v>
      </c>
      <c r="F9631" s="14" t="s">
        <v>5365</v>
      </c>
      <c r="G9631" s="14" t="s">
        <v>59500</v>
      </c>
      <c r="H9631" s="15" t="s">
        <v>31</v>
      </c>
      <c r="I9631" s="15">
        <v>1.0</v>
      </c>
      <c r="J9631" s="15">
        <v>1.0</v>
      </c>
      <c r="K9631" s="15" t="s">
        <v>31</v>
      </c>
      <c r="L9631" s="16" t="s">
        <v>59396</v>
      </c>
      <c r="M9631" s="14" t="s">
        <v>59501</v>
      </c>
      <c r="N9631" s="14" t="s">
        <v>40371</v>
      </c>
      <c r="O9631" s="16" t="s">
        <v>40372</v>
      </c>
      <c r="P9631" s="14" t="s">
        <v>59398</v>
      </c>
      <c r="Q9631" s="14" t="s">
        <v>13284</v>
      </c>
      <c r="R9631" s="14" t="s">
        <v>27830</v>
      </c>
      <c r="S9631" s="16" t="s">
        <v>59399</v>
      </c>
      <c r="T9631" s="14" t="s">
        <v>66</v>
      </c>
      <c r="U9631" s="16" t="s">
        <v>31</v>
      </c>
      <c r="V9631" s="14" t="s">
        <v>43752</v>
      </c>
      <c r="W9631" s="14" t="s">
        <v>59382</v>
      </c>
      <c r="X9631" s="17" t="str">
        <f>HYPERLINK("https://my.pitchbook.com?p=396476-20P","View People Online")</f>
        <v>View People Online</v>
      </c>
    </row>
    <row r="9632">
      <c r="A9632" s="10" t="s">
        <v>59502</v>
      </c>
      <c r="B9632" s="10" t="s">
        <v>59503</v>
      </c>
      <c r="C9632" s="10" t="s">
        <v>59504</v>
      </c>
      <c r="D9632" s="10" t="s">
        <v>13410</v>
      </c>
      <c r="E9632" s="10" t="s">
        <v>40007</v>
      </c>
      <c r="F9632" s="10" t="s">
        <v>270</v>
      </c>
      <c r="G9632" s="10" t="s">
        <v>59505</v>
      </c>
      <c r="H9632" s="11" t="s">
        <v>31</v>
      </c>
      <c r="I9632" s="11">
        <v>1.0</v>
      </c>
      <c r="J9632" s="11">
        <v>1.0</v>
      </c>
      <c r="K9632" s="11" t="s">
        <v>31</v>
      </c>
      <c r="L9632" s="12" t="s">
        <v>40003</v>
      </c>
      <c r="M9632" s="10" t="s">
        <v>59506</v>
      </c>
      <c r="N9632" s="10" t="s">
        <v>6599</v>
      </c>
      <c r="O9632" s="12" t="s">
        <v>6600</v>
      </c>
      <c r="P9632" s="10" t="s">
        <v>40005</v>
      </c>
      <c r="Q9632" s="10" t="s">
        <v>31</v>
      </c>
      <c r="R9632" s="10" t="s">
        <v>64</v>
      </c>
      <c r="S9632" s="12" t="s">
        <v>6601</v>
      </c>
      <c r="T9632" s="10" t="s">
        <v>66</v>
      </c>
      <c r="U9632" s="12" t="s">
        <v>31</v>
      </c>
      <c r="V9632" s="10" t="s">
        <v>59507</v>
      </c>
      <c r="W9632" s="10" t="s">
        <v>40007</v>
      </c>
      <c r="X9632" s="13" t="str">
        <f>HYPERLINK("https://my.pitchbook.com?p=57960-91P","View People Online")</f>
        <v>View People Online</v>
      </c>
    </row>
    <row r="9633">
      <c r="A9633" s="6" t="s">
        <v>59508</v>
      </c>
      <c r="B9633" s="6" t="s">
        <v>59509</v>
      </c>
      <c r="C9633" s="6" t="s">
        <v>4923</v>
      </c>
      <c r="D9633" s="6" t="s">
        <v>119</v>
      </c>
      <c r="E9633" s="6" t="s">
        <v>40007</v>
      </c>
      <c r="F9633" s="6" t="s">
        <v>81</v>
      </c>
      <c r="G9633" s="6" t="s">
        <v>59510</v>
      </c>
      <c r="H9633" s="7">
        <v>3.0</v>
      </c>
      <c r="I9633" s="7">
        <v>43.0</v>
      </c>
      <c r="J9633" s="7">
        <v>3.0</v>
      </c>
      <c r="K9633" s="7">
        <v>35.0</v>
      </c>
      <c r="L9633" s="8" t="s">
        <v>40003</v>
      </c>
      <c r="M9633" s="6" t="s">
        <v>31</v>
      </c>
      <c r="N9633" s="6" t="s">
        <v>6599</v>
      </c>
      <c r="O9633" s="8" t="s">
        <v>6600</v>
      </c>
      <c r="P9633" s="6" t="s">
        <v>40005</v>
      </c>
      <c r="Q9633" s="6" t="s">
        <v>31</v>
      </c>
      <c r="R9633" s="6" t="s">
        <v>64</v>
      </c>
      <c r="S9633" s="8" t="s">
        <v>6601</v>
      </c>
      <c r="T9633" s="6" t="s">
        <v>66</v>
      </c>
      <c r="U9633" s="8" t="s">
        <v>31</v>
      </c>
      <c r="V9633" s="6" t="s">
        <v>59511</v>
      </c>
      <c r="W9633" s="6" t="s">
        <v>40007</v>
      </c>
      <c r="X9633" s="9" t="str">
        <f>HYPERLINK("https://my.pitchbook.com?p=62313-31P","View People Online")</f>
        <v>View People Online</v>
      </c>
    </row>
    <row r="9634">
      <c r="A9634" s="2" t="s">
        <v>59512</v>
      </c>
      <c r="B9634" s="2" t="s">
        <v>59513</v>
      </c>
      <c r="C9634" s="2" t="s">
        <v>27651</v>
      </c>
      <c r="D9634" s="2" t="s">
        <v>59514</v>
      </c>
      <c r="E9634" s="2" t="s">
        <v>40007</v>
      </c>
      <c r="F9634" s="2" t="s">
        <v>7415</v>
      </c>
      <c r="G9634" s="2" t="s">
        <v>59515</v>
      </c>
      <c r="H9634" s="3" t="s">
        <v>31</v>
      </c>
      <c r="I9634" s="3">
        <v>1.0</v>
      </c>
      <c r="J9634" s="3">
        <v>1.0</v>
      </c>
      <c r="K9634" s="3" t="s">
        <v>31</v>
      </c>
      <c r="L9634" s="4" t="s">
        <v>40003</v>
      </c>
      <c r="M9634" s="2" t="s">
        <v>59516</v>
      </c>
      <c r="N9634" s="2" t="s">
        <v>6599</v>
      </c>
      <c r="O9634" s="4" t="s">
        <v>6600</v>
      </c>
      <c r="P9634" s="2" t="s">
        <v>40005</v>
      </c>
      <c r="Q9634" s="2" t="s">
        <v>31</v>
      </c>
      <c r="R9634" s="2" t="s">
        <v>64</v>
      </c>
      <c r="S9634" s="4" t="s">
        <v>6601</v>
      </c>
      <c r="T9634" s="2" t="s">
        <v>66</v>
      </c>
      <c r="U9634" s="4" t="s">
        <v>31</v>
      </c>
      <c r="V9634" s="2" t="s">
        <v>7415</v>
      </c>
      <c r="W9634" s="2" t="s">
        <v>40007</v>
      </c>
      <c r="X9634" s="5" t="str">
        <f>HYPERLINK("https://my.pitchbook.com?p=362114-92P","View People Online")</f>
        <v>View People Online</v>
      </c>
    </row>
    <row r="9635">
      <c r="A9635" s="14" t="s">
        <v>59517</v>
      </c>
      <c r="B9635" s="14" t="s">
        <v>59518</v>
      </c>
      <c r="C9635" s="14" t="s">
        <v>24702</v>
      </c>
      <c r="D9635" s="14" t="s">
        <v>28751</v>
      </c>
      <c r="E9635" s="14" t="s">
        <v>40007</v>
      </c>
      <c r="F9635" s="14" t="s">
        <v>3472</v>
      </c>
      <c r="G9635" s="14" t="s">
        <v>59519</v>
      </c>
      <c r="H9635" s="15">
        <v>3.0</v>
      </c>
      <c r="I9635" s="15">
        <v>309.0</v>
      </c>
      <c r="J9635" s="15">
        <v>5.0</v>
      </c>
      <c r="K9635" s="15">
        <v>283.0</v>
      </c>
      <c r="L9635" s="16" t="s">
        <v>59520</v>
      </c>
      <c r="M9635" s="14" t="s">
        <v>59521</v>
      </c>
      <c r="N9635" s="14" t="s">
        <v>40619</v>
      </c>
      <c r="O9635" s="16" t="s">
        <v>40620</v>
      </c>
      <c r="P9635" s="14" t="s">
        <v>59522</v>
      </c>
      <c r="Q9635" s="14" t="s">
        <v>31</v>
      </c>
      <c r="R9635" s="14" t="s">
        <v>64</v>
      </c>
      <c r="S9635" s="16" t="s">
        <v>40622</v>
      </c>
      <c r="T9635" s="14" t="s">
        <v>66</v>
      </c>
      <c r="U9635" s="16" t="s">
        <v>31</v>
      </c>
      <c r="V9635" s="14" t="s">
        <v>157</v>
      </c>
      <c r="W9635" s="14" t="s">
        <v>59523</v>
      </c>
      <c r="X9635" s="17" t="str">
        <f>HYPERLINK("https://my.pitchbook.com?p=35823-25P","View People Online")</f>
        <v>View People Online</v>
      </c>
    </row>
    <row r="9636">
      <c r="A9636" s="2" t="s">
        <v>59524</v>
      </c>
      <c r="B9636" s="2" t="s">
        <v>59525</v>
      </c>
      <c r="C9636" s="2" t="s">
        <v>3670</v>
      </c>
      <c r="D9636" s="2" t="s">
        <v>59526</v>
      </c>
      <c r="E9636" s="2" t="s">
        <v>40007</v>
      </c>
      <c r="F9636" s="2" t="s">
        <v>5234</v>
      </c>
      <c r="G9636" s="2" t="s">
        <v>59527</v>
      </c>
      <c r="H9636" s="3">
        <v>1.0</v>
      </c>
      <c r="I9636" s="3">
        <v>4.0</v>
      </c>
      <c r="J9636" s="3">
        <v>1.0</v>
      </c>
      <c r="K9636" s="3">
        <v>1.0</v>
      </c>
      <c r="L9636" s="4" t="s">
        <v>40003</v>
      </c>
      <c r="M9636" s="2" t="s">
        <v>59528</v>
      </c>
      <c r="N9636" s="2" t="s">
        <v>6599</v>
      </c>
      <c r="O9636" s="4" t="s">
        <v>6600</v>
      </c>
      <c r="P9636" s="2" t="s">
        <v>40005</v>
      </c>
      <c r="Q9636" s="2" t="s">
        <v>31</v>
      </c>
      <c r="R9636" s="2" t="s">
        <v>64</v>
      </c>
      <c r="S9636" s="4" t="s">
        <v>6601</v>
      </c>
      <c r="T9636" s="2" t="s">
        <v>66</v>
      </c>
      <c r="U9636" s="4" t="s">
        <v>31</v>
      </c>
      <c r="V9636" s="2" t="s">
        <v>5234</v>
      </c>
      <c r="W9636" s="2" t="s">
        <v>40007</v>
      </c>
      <c r="X9636" s="5" t="str">
        <f>HYPERLINK("https://my.pitchbook.com?p=85353-67P","View People Online")</f>
        <v>View People Online</v>
      </c>
    </row>
    <row r="9637">
      <c r="A9637" s="6" t="s">
        <v>59529</v>
      </c>
      <c r="B9637" s="6" t="s">
        <v>36325</v>
      </c>
      <c r="C9637" s="6" t="s">
        <v>3670</v>
      </c>
      <c r="D9637" s="6" t="s">
        <v>21894</v>
      </c>
      <c r="E9637" s="6" t="s">
        <v>40007</v>
      </c>
      <c r="F9637" s="6" t="s">
        <v>270</v>
      </c>
      <c r="G9637" s="6" t="s">
        <v>59530</v>
      </c>
      <c r="H9637" s="7" t="s">
        <v>31</v>
      </c>
      <c r="I9637" s="7">
        <v>1.0</v>
      </c>
      <c r="J9637" s="7">
        <v>1.0</v>
      </c>
      <c r="K9637" s="7" t="s">
        <v>31</v>
      </c>
      <c r="L9637" s="8" t="s">
        <v>40003</v>
      </c>
      <c r="M9637" s="6" t="s">
        <v>59531</v>
      </c>
      <c r="N9637" s="6" t="s">
        <v>6599</v>
      </c>
      <c r="O9637" s="8" t="s">
        <v>6600</v>
      </c>
      <c r="P9637" s="6" t="s">
        <v>40005</v>
      </c>
      <c r="Q9637" s="6" t="s">
        <v>31</v>
      </c>
      <c r="R9637" s="6" t="s">
        <v>64</v>
      </c>
      <c r="S9637" s="8" t="s">
        <v>6601</v>
      </c>
      <c r="T9637" s="6" t="s">
        <v>66</v>
      </c>
      <c r="U9637" s="8" t="s">
        <v>31</v>
      </c>
      <c r="V9637" s="6" t="s">
        <v>59532</v>
      </c>
      <c r="W9637" s="6" t="s">
        <v>40007</v>
      </c>
      <c r="X9637" s="9" t="str">
        <f>HYPERLINK("https://my.pitchbook.com?p=81257-05P","View People Online")</f>
        <v>View People Online</v>
      </c>
    </row>
    <row r="9638">
      <c r="A9638" s="10" t="s">
        <v>59533</v>
      </c>
      <c r="B9638" s="10" t="s">
        <v>59534</v>
      </c>
      <c r="C9638" s="10" t="s">
        <v>1343</v>
      </c>
      <c r="D9638" s="10" t="s">
        <v>59535</v>
      </c>
      <c r="E9638" s="10" t="s">
        <v>40007</v>
      </c>
      <c r="F9638" s="10" t="s">
        <v>270</v>
      </c>
      <c r="G9638" s="10" t="s">
        <v>59536</v>
      </c>
      <c r="H9638" s="11" t="s">
        <v>31</v>
      </c>
      <c r="I9638" s="11">
        <v>2.0</v>
      </c>
      <c r="J9638" s="11">
        <v>1.0</v>
      </c>
      <c r="K9638" s="11">
        <v>1.0</v>
      </c>
      <c r="L9638" s="12" t="s">
        <v>59537</v>
      </c>
      <c r="M9638" s="10" t="s">
        <v>59538</v>
      </c>
      <c r="N9638" s="10" t="s">
        <v>6599</v>
      </c>
      <c r="O9638" s="12" t="s">
        <v>6600</v>
      </c>
      <c r="P9638" s="10" t="s">
        <v>40005</v>
      </c>
      <c r="Q9638" s="10" t="s">
        <v>31</v>
      </c>
      <c r="R9638" s="10" t="s">
        <v>64</v>
      </c>
      <c r="S9638" s="12" t="s">
        <v>6601</v>
      </c>
      <c r="T9638" s="10" t="s">
        <v>66</v>
      </c>
      <c r="U9638" s="12" t="s">
        <v>31</v>
      </c>
      <c r="V9638" s="10" t="s">
        <v>59539</v>
      </c>
      <c r="W9638" s="10" t="s">
        <v>40007</v>
      </c>
      <c r="X9638" s="13" t="str">
        <f>HYPERLINK("https://my.pitchbook.com?p=288957-07P","View People Online")</f>
        <v>View People Online</v>
      </c>
    </row>
    <row r="9639">
      <c r="A9639" s="6" t="s">
        <v>59540</v>
      </c>
      <c r="B9639" s="6" t="s">
        <v>59541</v>
      </c>
      <c r="C9639" s="6" t="s">
        <v>1343</v>
      </c>
      <c r="D9639" s="6" t="s">
        <v>59542</v>
      </c>
      <c r="E9639" s="6" t="s">
        <v>40007</v>
      </c>
      <c r="F9639" s="6" t="s">
        <v>3652</v>
      </c>
      <c r="G9639" s="6" t="s">
        <v>59543</v>
      </c>
      <c r="H9639" s="7">
        <v>2.0</v>
      </c>
      <c r="I9639" s="7">
        <v>37.0</v>
      </c>
      <c r="J9639" s="7">
        <v>1.0</v>
      </c>
      <c r="K9639" s="7">
        <v>34.0</v>
      </c>
      <c r="L9639" s="8" t="s">
        <v>40003</v>
      </c>
      <c r="M9639" s="6" t="s">
        <v>59544</v>
      </c>
      <c r="N9639" s="6" t="s">
        <v>6599</v>
      </c>
      <c r="O9639" s="8" t="s">
        <v>6600</v>
      </c>
      <c r="P9639" s="6" t="s">
        <v>40005</v>
      </c>
      <c r="Q9639" s="6" t="s">
        <v>31</v>
      </c>
      <c r="R9639" s="6" t="s">
        <v>64</v>
      </c>
      <c r="S9639" s="8" t="s">
        <v>6601</v>
      </c>
      <c r="T9639" s="6" t="s">
        <v>66</v>
      </c>
      <c r="U9639" s="8" t="s">
        <v>31</v>
      </c>
      <c r="V9639" s="6" t="s">
        <v>59545</v>
      </c>
      <c r="W9639" s="6" t="s">
        <v>40007</v>
      </c>
      <c r="X9639" s="9" t="str">
        <f>HYPERLINK("https://my.pitchbook.com?p=176577-58P","View People Online")</f>
        <v>View People Online</v>
      </c>
    </row>
    <row r="9640">
      <c r="A9640" s="10" t="s">
        <v>59546</v>
      </c>
      <c r="B9640" s="10" t="s">
        <v>59547</v>
      </c>
      <c r="C9640" s="10" t="s">
        <v>3040</v>
      </c>
      <c r="D9640" s="10" t="s">
        <v>59548</v>
      </c>
      <c r="E9640" s="10" t="s">
        <v>40007</v>
      </c>
      <c r="F9640" s="10" t="s">
        <v>270</v>
      </c>
      <c r="G9640" s="10" t="s">
        <v>59549</v>
      </c>
      <c r="H9640" s="11" t="s">
        <v>31</v>
      </c>
      <c r="I9640" s="11">
        <v>1.0</v>
      </c>
      <c r="J9640" s="11">
        <v>1.0</v>
      </c>
      <c r="K9640" s="11" t="s">
        <v>31</v>
      </c>
      <c r="L9640" s="12" t="s">
        <v>40003</v>
      </c>
      <c r="M9640" s="10" t="s">
        <v>59550</v>
      </c>
      <c r="N9640" s="10" t="s">
        <v>6599</v>
      </c>
      <c r="O9640" s="12" t="s">
        <v>6600</v>
      </c>
      <c r="P9640" s="10" t="s">
        <v>40005</v>
      </c>
      <c r="Q9640" s="10" t="s">
        <v>31</v>
      </c>
      <c r="R9640" s="10" t="s">
        <v>64</v>
      </c>
      <c r="S9640" s="12" t="s">
        <v>6601</v>
      </c>
      <c r="T9640" s="10" t="s">
        <v>66</v>
      </c>
      <c r="U9640" s="12" t="s">
        <v>31</v>
      </c>
      <c r="V9640" s="10" t="s">
        <v>59551</v>
      </c>
      <c r="W9640" s="10" t="s">
        <v>40007</v>
      </c>
      <c r="X9640" s="13" t="str">
        <f>HYPERLINK("https://my.pitchbook.com?p=306450-19P","View People Online")</f>
        <v>View People Online</v>
      </c>
    </row>
    <row r="9641">
      <c r="A9641" s="6" t="s">
        <v>59552</v>
      </c>
      <c r="B9641" s="6" t="s">
        <v>59553</v>
      </c>
      <c r="C9641" s="6" t="s">
        <v>16693</v>
      </c>
      <c r="D9641" s="6" t="s">
        <v>20112</v>
      </c>
      <c r="E9641" s="6" t="s">
        <v>40007</v>
      </c>
      <c r="F9641" s="6" t="s">
        <v>46103</v>
      </c>
      <c r="G9641" s="6" t="s">
        <v>59554</v>
      </c>
      <c r="H9641" s="7">
        <v>1.0</v>
      </c>
      <c r="I9641" s="7">
        <v>1.0</v>
      </c>
      <c r="J9641" s="7">
        <v>1.0</v>
      </c>
      <c r="K9641" s="7" t="s">
        <v>31</v>
      </c>
      <c r="L9641" s="8" t="s">
        <v>40003</v>
      </c>
      <c r="M9641" s="6" t="s">
        <v>59555</v>
      </c>
      <c r="N9641" s="6" t="s">
        <v>6599</v>
      </c>
      <c r="O9641" s="8" t="s">
        <v>6600</v>
      </c>
      <c r="P9641" s="6" t="s">
        <v>40005</v>
      </c>
      <c r="Q9641" s="6" t="s">
        <v>31</v>
      </c>
      <c r="R9641" s="6" t="s">
        <v>64</v>
      </c>
      <c r="S9641" s="8" t="s">
        <v>6601</v>
      </c>
      <c r="T9641" s="6" t="s">
        <v>66</v>
      </c>
      <c r="U9641" s="8" t="s">
        <v>31</v>
      </c>
      <c r="V9641" s="6" t="s">
        <v>59556</v>
      </c>
      <c r="W9641" s="6" t="s">
        <v>40007</v>
      </c>
      <c r="X9641" s="9" t="str">
        <f>HYPERLINK("https://my.pitchbook.com?p=154394-02P","View People Online")</f>
        <v>View People Online</v>
      </c>
    </row>
    <row r="9642">
      <c r="A9642" s="10" t="s">
        <v>59557</v>
      </c>
      <c r="B9642" s="10" t="s">
        <v>59558</v>
      </c>
      <c r="C9642" s="10" t="s">
        <v>11767</v>
      </c>
      <c r="D9642" s="10" t="s">
        <v>3275</v>
      </c>
      <c r="E9642" s="10" t="s">
        <v>40007</v>
      </c>
      <c r="F9642" s="10" t="s">
        <v>1234</v>
      </c>
      <c r="G9642" s="10" t="s">
        <v>59559</v>
      </c>
      <c r="H9642" s="11">
        <v>2.0</v>
      </c>
      <c r="I9642" s="11">
        <v>2.0</v>
      </c>
      <c r="J9642" s="11">
        <v>1.0</v>
      </c>
      <c r="K9642" s="11" t="s">
        <v>31</v>
      </c>
      <c r="L9642" s="12" t="s">
        <v>40003</v>
      </c>
      <c r="M9642" s="10" t="s">
        <v>31</v>
      </c>
      <c r="N9642" s="10" t="s">
        <v>6599</v>
      </c>
      <c r="O9642" s="12" t="s">
        <v>6600</v>
      </c>
      <c r="P9642" s="10" t="s">
        <v>40005</v>
      </c>
      <c r="Q9642" s="10" t="s">
        <v>31</v>
      </c>
      <c r="R9642" s="10" t="s">
        <v>64</v>
      </c>
      <c r="S9642" s="12" t="s">
        <v>6601</v>
      </c>
      <c r="T9642" s="10" t="s">
        <v>66</v>
      </c>
      <c r="U9642" s="12" t="s">
        <v>31</v>
      </c>
      <c r="V9642" s="10" t="s">
        <v>59560</v>
      </c>
      <c r="W9642" s="10" t="s">
        <v>40007</v>
      </c>
      <c r="X9642" s="13" t="str">
        <f>HYPERLINK("https://my.pitchbook.com?p=294938-02P","View People Online")</f>
        <v>View People Online</v>
      </c>
    </row>
    <row r="9643">
      <c r="A9643" s="6" t="s">
        <v>39998</v>
      </c>
      <c r="B9643" s="6" t="s">
        <v>39999</v>
      </c>
      <c r="C9643" s="6" t="s">
        <v>40000</v>
      </c>
      <c r="D9643" s="6" t="s">
        <v>40001</v>
      </c>
      <c r="E9643" s="6" t="s">
        <v>40007</v>
      </c>
      <c r="F9643" s="6" t="s">
        <v>270</v>
      </c>
      <c r="G9643" s="6" t="s">
        <v>40002</v>
      </c>
      <c r="H9643" s="7">
        <v>1.0</v>
      </c>
      <c r="I9643" s="7">
        <v>4.0</v>
      </c>
      <c r="J9643" s="7">
        <v>2.0</v>
      </c>
      <c r="K9643" s="7" t="s">
        <v>31</v>
      </c>
      <c r="L9643" s="8" t="s">
        <v>40003</v>
      </c>
      <c r="M9643" s="6" t="s">
        <v>40004</v>
      </c>
      <c r="N9643" s="6" t="s">
        <v>6599</v>
      </c>
      <c r="O9643" s="8" t="s">
        <v>6600</v>
      </c>
      <c r="P9643" s="6" t="s">
        <v>40005</v>
      </c>
      <c r="Q9643" s="6" t="s">
        <v>31</v>
      </c>
      <c r="R9643" s="6" t="s">
        <v>64</v>
      </c>
      <c r="S9643" s="8" t="s">
        <v>6601</v>
      </c>
      <c r="T9643" s="6" t="s">
        <v>66</v>
      </c>
      <c r="U9643" s="8" t="s">
        <v>31</v>
      </c>
      <c r="V9643" s="6" t="s">
        <v>40006</v>
      </c>
      <c r="W9643" s="6" t="s">
        <v>40007</v>
      </c>
      <c r="X9643" s="9" t="str">
        <f>HYPERLINK("https://my.pitchbook.com?p=38222-92P","View People Online")</f>
        <v>View People Online</v>
      </c>
    </row>
    <row r="9644">
      <c r="A9644" s="10" t="s">
        <v>59561</v>
      </c>
      <c r="B9644" s="10" t="s">
        <v>59562</v>
      </c>
      <c r="C9644" s="10" t="s">
        <v>3554</v>
      </c>
      <c r="D9644" s="10" t="s">
        <v>14761</v>
      </c>
      <c r="E9644" s="10" t="s">
        <v>40007</v>
      </c>
      <c r="F9644" s="10" t="s">
        <v>825</v>
      </c>
      <c r="G9644" s="10" t="s">
        <v>59563</v>
      </c>
      <c r="H9644" s="11" t="s">
        <v>31</v>
      </c>
      <c r="I9644" s="11">
        <v>1.0</v>
      </c>
      <c r="J9644" s="11">
        <v>1.0</v>
      </c>
      <c r="K9644" s="11" t="s">
        <v>31</v>
      </c>
      <c r="L9644" s="12" t="s">
        <v>40003</v>
      </c>
      <c r="M9644" s="10" t="s">
        <v>59564</v>
      </c>
      <c r="N9644" s="10" t="s">
        <v>6599</v>
      </c>
      <c r="O9644" s="12" t="s">
        <v>6600</v>
      </c>
      <c r="P9644" s="10" t="s">
        <v>40005</v>
      </c>
      <c r="Q9644" s="10" t="s">
        <v>31</v>
      </c>
      <c r="R9644" s="10" t="s">
        <v>64</v>
      </c>
      <c r="S9644" s="12" t="s">
        <v>6601</v>
      </c>
      <c r="T9644" s="10" t="s">
        <v>66</v>
      </c>
      <c r="U9644" s="12" t="s">
        <v>31</v>
      </c>
      <c r="V9644" s="10" t="s">
        <v>57221</v>
      </c>
      <c r="W9644" s="10" t="s">
        <v>40007</v>
      </c>
      <c r="X9644" s="13" t="str">
        <f>HYPERLINK("https://my.pitchbook.com?p=296071-21P","View People Online")</f>
        <v>View People Online</v>
      </c>
    </row>
    <row r="9645">
      <c r="A9645" s="14" t="s">
        <v>59565</v>
      </c>
      <c r="B9645" s="14" t="s">
        <v>59566</v>
      </c>
      <c r="C9645" s="14" t="s">
        <v>167</v>
      </c>
      <c r="D9645" s="14" t="s">
        <v>59542</v>
      </c>
      <c r="E9645" s="14" t="s">
        <v>40007</v>
      </c>
      <c r="F9645" s="14" t="s">
        <v>1249</v>
      </c>
      <c r="G9645" s="14" t="s">
        <v>59567</v>
      </c>
      <c r="H9645" s="15">
        <v>2.0</v>
      </c>
      <c r="I9645" s="15">
        <v>57.0</v>
      </c>
      <c r="J9645" s="15">
        <v>1.0</v>
      </c>
      <c r="K9645" s="15">
        <v>53.0</v>
      </c>
      <c r="L9645" s="16" t="s">
        <v>40003</v>
      </c>
      <c r="M9645" s="14" t="s">
        <v>59568</v>
      </c>
      <c r="N9645" s="14" t="s">
        <v>6599</v>
      </c>
      <c r="O9645" s="16" t="s">
        <v>6600</v>
      </c>
      <c r="P9645" s="14" t="s">
        <v>40005</v>
      </c>
      <c r="Q9645" s="14" t="s">
        <v>31</v>
      </c>
      <c r="R9645" s="14" t="s">
        <v>64</v>
      </c>
      <c r="S9645" s="16" t="s">
        <v>6601</v>
      </c>
      <c r="T9645" s="14" t="s">
        <v>66</v>
      </c>
      <c r="U9645" s="16" t="s">
        <v>31</v>
      </c>
      <c r="V9645" s="14" t="s">
        <v>1384</v>
      </c>
      <c r="W9645" s="14" t="s">
        <v>40007</v>
      </c>
      <c r="X9645" s="17" t="str">
        <f>HYPERLINK("https://my.pitchbook.com?p=40315-69P","View People Online")</f>
        <v>View People Online</v>
      </c>
    </row>
    <row r="9646">
      <c r="A9646" s="10" t="s">
        <v>59569</v>
      </c>
      <c r="B9646" s="10" t="s">
        <v>59570</v>
      </c>
      <c r="C9646" s="10" t="s">
        <v>388</v>
      </c>
      <c r="D9646" s="10" t="s">
        <v>44683</v>
      </c>
      <c r="E9646" s="10" t="s">
        <v>40007</v>
      </c>
      <c r="F9646" s="10" t="s">
        <v>3665</v>
      </c>
      <c r="G9646" s="10" t="s">
        <v>59571</v>
      </c>
      <c r="H9646" s="11" t="s">
        <v>31</v>
      </c>
      <c r="I9646" s="11">
        <v>1.0</v>
      </c>
      <c r="J9646" s="11">
        <v>1.0</v>
      </c>
      <c r="K9646" s="11" t="s">
        <v>31</v>
      </c>
      <c r="L9646" s="12" t="s">
        <v>40003</v>
      </c>
      <c r="M9646" s="10" t="s">
        <v>59572</v>
      </c>
      <c r="N9646" s="10" t="s">
        <v>6599</v>
      </c>
      <c r="O9646" s="12" t="s">
        <v>6600</v>
      </c>
      <c r="P9646" s="10" t="s">
        <v>40005</v>
      </c>
      <c r="Q9646" s="10" t="s">
        <v>31</v>
      </c>
      <c r="R9646" s="10" t="s">
        <v>64</v>
      </c>
      <c r="S9646" s="12" t="s">
        <v>6601</v>
      </c>
      <c r="T9646" s="10" t="s">
        <v>66</v>
      </c>
      <c r="U9646" s="12" t="s">
        <v>31</v>
      </c>
      <c r="V9646" s="10" t="s">
        <v>3665</v>
      </c>
      <c r="W9646" s="10" t="s">
        <v>40007</v>
      </c>
      <c r="X9646" s="13" t="str">
        <f>HYPERLINK("https://my.pitchbook.com?p=411358-78P","View People Online")</f>
        <v>View People Online</v>
      </c>
    </row>
    <row r="9647">
      <c r="A9647" s="14" t="s">
        <v>59573</v>
      </c>
      <c r="B9647" s="14" t="s">
        <v>59574</v>
      </c>
      <c r="C9647" s="14" t="s">
        <v>536</v>
      </c>
      <c r="D9647" s="14" t="s">
        <v>59575</v>
      </c>
      <c r="E9647" s="14" t="s">
        <v>40007</v>
      </c>
      <c r="F9647" s="14" t="s">
        <v>4406</v>
      </c>
      <c r="G9647" s="14" t="s">
        <v>59576</v>
      </c>
      <c r="H9647" s="15" t="s">
        <v>31</v>
      </c>
      <c r="I9647" s="15">
        <v>1.0</v>
      </c>
      <c r="J9647" s="15">
        <v>1.0</v>
      </c>
      <c r="K9647" s="15" t="s">
        <v>31</v>
      </c>
      <c r="L9647" s="16" t="s">
        <v>40003</v>
      </c>
      <c r="M9647" s="14" t="s">
        <v>59577</v>
      </c>
      <c r="N9647" s="14" t="s">
        <v>6599</v>
      </c>
      <c r="O9647" s="16" t="s">
        <v>6600</v>
      </c>
      <c r="P9647" s="14" t="s">
        <v>40005</v>
      </c>
      <c r="Q9647" s="14" t="s">
        <v>31</v>
      </c>
      <c r="R9647" s="14" t="s">
        <v>64</v>
      </c>
      <c r="S9647" s="16" t="s">
        <v>6601</v>
      </c>
      <c r="T9647" s="14" t="s">
        <v>66</v>
      </c>
      <c r="U9647" s="16" t="s">
        <v>31</v>
      </c>
      <c r="V9647" s="14" t="s">
        <v>4406</v>
      </c>
      <c r="W9647" s="14" t="s">
        <v>40007</v>
      </c>
      <c r="X9647" s="17" t="str">
        <f>HYPERLINK("https://my.pitchbook.com?p=386764-75P","View People Online")</f>
        <v>View People Online</v>
      </c>
    </row>
    <row r="9648">
      <c r="A9648" s="10" t="s">
        <v>59578</v>
      </c>
      <c r="B9648" s="10" t="s">
        <v>59579</v>
      </c>
      <c r="C9648" s="10" t="s">
        <v>1388</v>
      </c>
      <c r="D9648" s="10" t="s">
        <v>13065</v>
      </c>
      <c r="E9648" s="10" t="s">
        <v>40007</v>
      </c>
      <c r="F9648" s="10" t="s">
        <v>825</v>
      </c>
      <c r="G9648" s="10" t="s">
        <v>59580</v>
      </c>
      <c r="H9648" s="11" t="s">
        <v>31</v>
      </c>
      <c r="I9648" s="11">
        <v>1.0</v>
      </c>
      <c r="J9648" s="11">
        <v>1.0</v>
      </c>
      <c r="K9648" s="11" t="s">
        <v>31</v>
      </c>
      <c r="L9648" s="12" t="s">
        <v>40003</v>
      </c>
      <c r="M9648" s="10" t="s">
        <v>59581</v>
      </c>
      <c r="N9648" s="10" t="s">
        <v>6599</v>
      </c>
      <c r="O9648" s="12" t="s">
        <v>6600</v>
      </c>
      <c r="P9648" s="10" t="s">
        <v>40005</v>
      </c>
      <c r="Q9648" s="10" t="s">
        <v>31</v>
      </c>
      <c r="R9648" s="10" t="s">
        <v>64</v>
      </c>
      <c r="S9648" s="12" t="s">
        <v>6601</v>
      </c>
      <c r="T9648" s="10" t="s">
        <v>66</v>
      </c>
      <c r="U9648" s="12" t="s">
        <v>31</v>
      </c>
      <c r="V9648" s="10" t="s">
        <v>59582</v>
      </c>
      <c r="W9648" s="10" t="s">
        <v>40007</v>
      </c>
      <c r="X9648" s="13" t="str">
        <f>HYPERLINK("https://my.pitchbook.com?p=261857-62P","View People Online")</f>
        <v>View People Online</v>
      </c>
    </row>
    <row r="9649">
      <c r="A9649" s="14" t="s">
        <v>59583</v>
      </c>
      <c r="B9649" s="14" t="s">
        <v>59584</v>
      </c>
      <c r="C9649" s="14" t="s">
        <v>3716</v>
      </c>
      <c r="D9649" s="14" t="s">
        <v>59585</v>
      </c>
      <c r="E9649" s="14" t="s">
        <v>40007</v>
      </c>
      <c r="F9649" s="14" t="s">
        <v>7658</v>
      </c>
      <c r="G9649" s="14" t="s">
        <v>59586</v>
      </c>
      <c r="H9649" s="15" t="s">
        <v>31</v>
      </c>
      <c r="I9649" s="15">
        <v>1.0</v>
      </c>
      <c r="J9649" s="15">
        <v>1.0</v>
      </c>
      <c r="K9649" s="15" t="s">
        <v>31</v>
      </c>
      <c r="L9649" s="16" t="s">
        <v>40003</v>
      </c>
      <c r="M9649" s="14" t="s">
        <v>59587</v>
      </c>
      <c r="N9649" s="14" t="s">
        <v>6599</v>
      </c>
      <c r="O9649" s="16" t="s">
        <v>6600</v>
      </c>
      <c r="P9649" s="14" t="s">
        <v>40005</v>
      </c>
      <c r="Q9649" s="14" t="s">
        <v>31</v>
      </c>
      <c r="R9649" s="14" t="s">
        <v>64</v>
      </c>
      <c r="S9649" s="16" t="s">
        <v>6601</v>
      </c>
      <c r="T9649" s="14" t="s">
        <v>66</v>
      </c>
      <c r="U9649" s="16" t="s">
        <v>31</v>
      </c>
      <c r="V9649" s="14" t="s">
        <v>7658</v>
      </c>
      <c r="W9649" s="14" t="s">
        <v>40007</v>
      </c>
      <c r="X9649" s="17" t="str">
        <f>HYPERLINK("https://my.pitchbook.com?p=261857-26P","View People Online")</f>
        <v>View People Online</v>
      </c>
    </row>
    <row r="9650">
      <c r="A9650" s="10" t="s">
        <v>59588</v>
      </c>
      <c r="B9650" s="10" t="s">
        <v>59589</v>
      </c>
      <c r="C9650" s="10" t="s">
        <v>1411</v>
      </c>
      <c r="D9650" s="10" t="s">
        <v>59590</v>
      </c>
      <c r="E9650" s="10" t="s">
        <v>40007</v>
      </c>
      <c r="F9650" s="10" t="s">
        <v>270</v>
      </c>
      <c r="G9650" s="10" t="s">
        <v>59591</v>
      </c>
      <c r="H9650" s="11" t="s">
        <v>31</v>
      </c>
      <c r="I9650" s="11">
        <v>2.0</v>
      </c>
      <c r="J9650" s="11">
        <v>1.0</v>
      </c>
      <c r="K9650" s="11">
        <v>1.0</v>
      </c>
      <c r="L9650" s="12" t="s">
        <v>40003</v>
      </c>
      <c r="M9650" s="10" t="s">
        <v>59592</v>
      </c>
      <c r="N9650" s="10" t="s">
        <v>6599</v>
      </c>
      <c r="O9650" s="12" t="s">
        <v>6600</v>
      </c>
      <c r="P9650" s="10" t="s">
        <v>40005</v>
      </c>
      <c r="Q9650" s="10" t="s">
        <v>31</v>
      </c>
      <c r="R9650" s="10" t="s">
        <v>64</v>
      </c>
      <c r="S9650" s="12" t="s">
        <v>6601</v>
      </c>
      <c r="T9650" s="10" t="s">
        <v>66</v>
      </c>
      <c r="U9650" s="12" t="s">
        <v>31</v>
      </c>
      <c r="V9650" s="10" t="s">
        <v>59593</v>
      </c>
      <c r="W9650" s="10" t="s">
        <v>40007</v>
      </c>
      <c r="X9650" s="13" t="str">
        <f>HYPERLINK("https://my.pitchbook.com?p=262745-38P","View People Online")</f>
        <v>View People Online</v>
      </c>
    </row>
    <row r="9651">
      <c r="A9651" s="14" t="s">
        <v>59594</v>
      </c>
      <c r="B9651" s="14" t="s">
        <v>59595</v>
      </c>
      <c r="C9651" s="14" t="s">
        <v>1411</v>
      </c>
      <c r="D9651" s="14" t="s">
        <v>1323</v>
      </c>
      <c r="E9651" s="14" t="s">
        <v>40007</v>
      </c>
      <c r="F9651" s="14" t="s">
        <v>270</v>
      </c>
      <c r="G9651" s="14" t="s">
        <v>59596</v>
      </c>
      <c r="H9651" s="15" t="s">
        <v>31</v>
      </c>
      <c r="I9651" s="15">
        <v>1.0</v>
      </c>
      <c r="J9651" s="15">
        <v>1.0</v>
      </c>
      <c r="K9651" s="15" t="s">
        <v>31</v>
      </c>
      <c r="L9651" s="16" t="s">
        <v>59597</v>
      </c>
      <c r="M9651" s="14" t="s">
        <v>59598</v>
      </c>
      <c r="N9651" s="14" t="s">
        <v>6599</v>
      </c>
      <c r="O9651" s="16" t="s">
        <v>6600</v>
      </c>
      <c r="P9651" s="14" t="s">
        <v>40005</v>
      </c>
      <c r="Q9651" s="14" t="s">
        <v>31</v>
      </c>
      <c r="R9651" s="14" t="s">
        <v>64</v>
      </c>
      <c r="S9651" s="16" t="s">
        <v>6601</v>
      </c>
      <c r="T9651" s="14" t="s">
        <v>66</v>
      </c>
      <c r="U9651" s="16" t="s">
        <v>31</v>
      </c>
      <c r="V9651" s="14" t="s">
        <v>59599</v>
      </c>
      <c r="W9651" s="14" t="s">
        <v>40007</v>
      </c>
      <c r="X9651" s="17" t="str">
        <f>HYPERLINK("https://my.pitchbook.com?p=306464-77P","View People Online")</f>
        <v>View People Online</v>
      </c>
    </row>
    <row r="9652">
      <c r="A9652" s="2" t="s">
        <v>59600</v>
      </c>
      <c r="B9652" s="2" t="s">
        <v>59601</v>
      </c>
      <c r="C9652" s="2" t="s">
        <v>59602</v>
      </c>
      <c r="D9652" s="2" t="s">
        <v>26496</v>
      </c>
      <c r="E9652" s="2" t="s">
        <v>40007</v>
      </c>
      <c r="F9652" s="2" t="s">
        <v>502</v>
      </c>
      <c r="G9652" s="2" t="s">
        <v>59603</v>
      </c>
      <c r="H9652" s="3">
        <v>1.0</v>
      </c>
      <c r="I9652" s="3">
        <v>2.0</v>
      </c>
      <c r="J9652" s="3">
        <v>1.0</v>
      </c>
      <c r="K9652" s="3" t="s">
        <v>31</v>
      </c>
      <c r="L9652" s="4" t="s">
        <v>40003</v>
      </c>
      <c r="M9652" s="2" t="s">
        <v>59604</v>
      </c>
      <c r="N9652" s="2" t="s">
        <v>6599</v>
      </c>
      <c r="O9652" s="4" t="s">
        <v>6600</v>
      </c>
      <c r="P9652" s="2" t="s">
        <v>40005</v>
      </c>
      <c r="Q9652" s="2" t="s">
        <v>31</v>
      </c>
      <c r="R9652" s="2" t="s">
        <v>64</v>
      </c>
      <c r="S9652" s="4" t="s">
        <v>6601</v>
      </c>
      <c r="T9652" s="2" t="s">
        <v>66</v>
      </c>
      <c r="U9652" s="4" t="s">
        <v>31</v>
      </c>
      <c r="V9652" s="2" t="s">
        <v>502</v>
      </c>
      <c r="W9652" s="2" t="s">
        <v>40007</v>
      </c>
      <c r="X9652" s="5" t="str">
        <f>HYPERLINK("https://my.pitchbook.com?p=359428-42P","View People Online")</f>
        <v>View People Online</v>
      </c>
    </row>
    <row r="9653">
      <c r="A9653" s="14" t="s">
        <v>59605</v>
      </c>
      <c r="B9653" s="14" t="s">
        <v>59606</v>
      </c>
      <c r="C9653" s="14" t="s">
        <v>1697</v>
      </c>
      <c r="D9653" s="14" t="s">
        <v>59607</v>
      </c>
      <c r="E9653" s="14" t="s">
        <v>40007</v>
      </c>
      <c r="F9653" s="14" t="s">
        <v>59608</v>
      </c>
      <c r="G9653" s="14" t="s">
        <v>59609</v>
      </c>
      <c r="H9653" s="15" t="s">
        <v>31</v>
      </c>
      <c r="I9653" s="15">
        <v>1.0</v>
      </c>
      <c r="J9653" s="15">
        <v>1.0</v>
      </c>
      <c r="K9653" s="15" t="s">
        <v>31</v>
      </c>
      <c r="L9653" s="16" t="s">
        <v>40003</v>
      </c>
      <c r="M9653" s="14" t="s">
        <v>59610</v>
      </c>
      <c r="N9653" s="14" t="s">
        <v>6599</v>
      </c>
      <c r="O9653" s="16" t="s">
        <v>6600</v>
      </c>
      <c r="P9653" s="14" t="s">
        <v>40005</v>
      </c>
      <c r="Q9653" s="14" t="s">
        <v>31</v>
      </c>
      <c r="R9653" s="14" t="s">
        <v>64</v>
      </c>
      <c r="S9653" s="16" t="s">
        <v>6601</v>
      </c>
      <c r="T9653" s="14" t="s">
        <v>66</v>
      </c>
      <c r="U9653" s="16" t="s">
        <v>31</v>
      </c>
      <c r="V9653" s="14" t="s">
        <v>59611</v>
      </c>
      <c r="W9653" s="14" t="s">
        <v>40007</v>
      </c>
      <c r="X9653" s="17" t="str">
        <f>HYPERLINK("https://my.pitchbook.com?p=47363-23P","View People Online")</f>
        <v>View People Online</v>
      </c>
    </row>
    <row r="9654">
      <c r="A9654" s="10" t="s">
        <v>59612</v>
      </c>
      <c r="B9654" s="10" t="s">
        <v>59613</v>
      </c>
      <c r="C9654" s="10" t="s">
        <v>1697</v>
      </c>
      <c r="D9654" s="10" t="s">
        <v>59614</v>
      </c>
      <c r="E9654" s="10" t="s">
        <v>40007</v>
      </c>
      <c r="F9654" s="10" t="s">
        <v>583</v>
      </c>
      <c r="G9654" s="10" t="s">
        <v>59615</v>
      </c>
      <c r="H9654" s="11" t="s">
        <v>31</v>
      </c>
      <c r="I9654" s="11">
        <v>28.0</v>
      </c>
      <c r="J9654" s="11">
        <v>1.0</v>
      </c>
      <c r="K9654" s="11">
        <v>23.0</v>
      </c>
      <c r="L9654" s="12" t="s">
        <v>40003</v>
      </c>
      <c r="M9654" s="10" t="s">
        <v>59616</v>
      </c>
      <c r="N9654" s="10" t="s">
        <v>6599</v>
      </c>
      <c r="O9654" s="12" t="s">
        <v>6600</v>
      </c>
      <c r="P9654" s="10" t="s">
        <v>40005</v>
      </c>
      <c r="Q9654" s="10" t="s">
        <v>31</v>
      </c>
      <c r="R9654" s="10" t="s">
        <v>64</v>
      </c>
      <c r="S9654" s="12" t="s">
        <v>6601</v>
      </c>
      <c r="T9654" s="10" t="s">
        <v>66</v>
      </c>
      <c r="U9654" s="12" t="s">
        <v>31</v>
      </c>
      <c r="V9654" s="10" t="s">
        <v>59617</v>
      </c>
      <c r="W9654" s="10" t="s">
        <v>40007</v>
      </c>
      <c r="X9654" s="13" t="str">
        <f>HYPERLINK("https://my.pitchbook.com?p=48329-92P","View People Online")</f>
        <v>View People Online</v>
      </c>
    </row>
    <row r="9655">
      <c r="A9655" s="14" t="s">
        <v>59618</v>
      </c>
      <c r="B9655" s="14" t="s">
        <v>59619</v>
      </c>
      <c r="C9655" s="14" t="s">
        <v>59620</v>
      </c>
      <c r="D9655" s="14" t="s">
        <v>19285</v>
      </c>
      <c r="E9655" s="14" t="s">
        <v>59621</v>
      </c>
      <c r="F9655" s="14" t="s">
        <v>15816</v>
      </c>
      <c r="G9655" s="14" t="s">
        <v>59622</v>
      </c>
      <c r="H9655" s="15" t="s">
        <v>31</v>
      </c>
      <c r="I9655" s="15">
        <v>4.0</v>
      </c>
      <c r="J9655" s="15">
        <v>2.0</v>
      </c>
      <c r="K9655" s="15">
        <v>1.0</v>
      </c>
      <c r="L9655" s="16" t="s">
        <v>31</v>
      </c>
      <c r="M9655" s="14" t="s">
        <v>59623</v>
      </c>
      <c r="N9655" s="14" t="s">
        <v>1170</v>
      </c>
      <c r="O9655" s="16" t="s">
        <v>1171</v>
      </c>
      <c r="P9655" s="14" t="s">
        <v>59624</v>
      </c>
      <c r="Q9655" s="14" t="s">
        <v>59625</v>
      </c>
      <c r="R9655" s="14" t="s">
        <v>64</v>
      </c>
      <c r="S9655" s="16" t="s">
        <v>59626</v>
      </c>
      <c r="T9655" s="14" t="s">
        <v>66</v>
      </c>
      <c r="U9655" s="16" t="s">
        <v>31</v>
      </c>
      <c r="V9655" s="14" t="s">
        <v>1384</v>
      </c>
      <c r="W9655" s="14" t="s">
        <v>59627</v>
      </c>
      <c r="X9655" s="17" t="str">
        <f>HYPERLINK("https://my.pitchbook.com?p=42546-79P","View People Online")</f>
        <v>View People Online</v>
      </c>
    </row>
    <row r="9656">
      <c r="A9656" s="2" t="s">
        <v>59628</v>
      </c>
      <c r="B9656" s="2" t="s">
        <v>59629</v>
      </c>
      <c r="C9656" s="2" t="s">
        <v>20416</v>
      </c>
      <c r="D9656" s="2" t="s">
        <v>59630</v>
      </c>
      <c r="E9656" s="2" t="s">
        <v>59621</v>
      </c>
      <c r="F9656" s="2" t="s">
        <v>15816</v>
      </c>
      <c r="G9656" s="2" t="s">
        <v>59631</v>
      </c>
      <c r="H9656" s="3">
        <v>2.0</v>
      </c>
      <c r="I9656" s="3">
        <v>16.0</v>
      </c>
      <c r="J9656" s="3">
        <v>2.0</v>
      </c>
      <c r="K9656" s="3">
        <v>8.0</v>
      </c>
      <c r="L9656" s="4" t="s">
        <v>59632</v>
      </c>
      <c r="M9656" s="2" t="s">
        <v>59633</v>
      </c>
      <c r="N9656" s="2" t="s">
        <v>3766</v>
      </c>
      <c r="O9656" s="4" t="s">
        <v>3767</v>
      </c>
      <c r="P9656" s="2" t="s">
        <v>59634</v>
      </c>
      <c r="Q9656" s="2" t="s">
        <v>29971</v>
      </c>
      <c r="R9656" s="2" t="s">
        <v>64</v>
      </c>
      <c r="S9656" s="4" t="s">
        <v>7801</v>
      </c>
      <c r="T9656" s="2" t="s">
        <v>66</v>
      </c>
      <c r="U9656" s="4" t="s">
        <v>31</v>
      </c>
      <c r="V9656" s="2" t="s">
        <v>59635</v>
      </c>
      <c r="W9656" s="2" t="s">
        <v>59621</v>
      </c>
      <c r="X9656" s="5" t="str">
        <f>HYPERLINK("https://my.pitchbook.com?p=91783-72P","View People Online")</f>
        <v>View People Online</v>
      </c>
    </row>
    <row r="9657">
      <c r="A9657" s="6" t="s">
        <v>59636</v>
      </c>
      <c r="B9657" s="6" t="s">
        <v>59637</v>
      </c>
      <c r="C9657" s="6" t="s">
        <v>568</v>
      </c>
      <c r="D9657" s="6" t="s">
        <v>59638</v>
      </c>
      <c r="E9657" s="6" t="s">
        <v>59639</v>
      </c>
      <c r="F9657" s="6" t="s">
        <v>674</v>
      </c>
      <c r="G9657" s="6" t="s">
        <v>59640</v>
      </c>
      <c r="H9657" s="7">
        <v>10.0</v>
      </c>
      <c r="I9657" s="7">
        <v>37.0</v>
      </c>
      <c r="J9657" s="7">
        <v>1.0</v>
      </c>
      <c r="K9657" s="7">
        <v>23.0</v>
      </c>
      <c r="L9657" s="8" t="s">
        <v>59641</v>
      </c>
      <c r="M9657" s="6" t="s">
        <v>59642</v>
      </c>
      <c r="N9657" s="6" t="s">
        <v>11530</v>
      </c>
      <c r="O9657" s="8" t="s">
        <v>11531</v>
      </c>
      <c r="P9657" s="6" t="s">
        <v>59643</v>
      </c>
      <c r="Q9657" s="6" t="s">
        <v>31</v>
      </c>
      <c r="R9657" s="6" t="s">
        <v>64</v>
      </c>
      <c r="S9657" s="8" t="s">
        <v>59644</v>
      </c>
      <c r="T9657" s="6" t="s">
        <v>66</v>
      </c>
      <c r="U9657" s="8" t="s">
        <v>31</v>
      </c>
      <c r="V9657" s="6" t="s">
        <v>674</v>
      </c>
      <c r="W9657" s="6" t="s">
        <v>59639</v>
      </c>
      <c r="X9657" s="9" t="str">
        <f>HYPERLINK("https://my.pitchbook.com?p=101984-50P","View People Online")</f>
        <v>View People Online</v>
      </c>
    </row>
    <row r="9658">
      <c r="A9658" s="10" t="s">
        <v>59645</v>
      </c>
      <c r="B9658" s="10" t="s">
        <v>59646</v>
      </c>
      <c r="C9658" s="10" t="s">
        <v>1117</v>
      </c>
      <c r="D9658" s="10" t="s">
        <v>7805</v>
      </c>
      <c r="E9658" s="10" t="s">
        <v>59639</v>
      </c>
      <c r="F9658" s="10" t="s">
        <v>78</v>
      </c>
      <c r="G9658" s="10" t="s">
        <v>59647</v>
      </c>
      <c r="H9658" s="11" t="s">
        <v>31</v>
      </c>
      <c r="I9658" s="11">
        <v>2.0</v>
      </c>
      <c r="J9658" s="11">
        <v>2.0</v>
      </c>
      <c r="K9658" s="11" t="s">
        <v>31</v>
      </c>
      <c r="L9658" s="12" t="s">
        <v>31</v>
      </c>
      <c r="M9658" s="10" t="s">
        <v>59648</v>
      </c>
      <c r="N9658" s="10" t="s">
        <v>11530</v>
      </c>
      <c r="O9658" s="12" t="s">
        <v>11531</v>
      </c>
      <c r="P9658" s="10" t="s">
        <v>59649</v>
      </c>
      <c r="Q9658" s="10" t="s">
        <v>31</v>
      </c>
      <c r="R9658" s="10" t="s">
        <v>64</v>
      </c>
      <c r="S9658" s="12" t="s">
        <v>59644</v>
      </c>
      <c r="T9658" s="10" t="s">
        <v>66</v>
      </c>
      <c r="U9658" s="12" t="s">
        <v>31</v>
      </c>
      <c r="V9658" s="10" t="s">
        <v>78</v>
      </c>
      <c r="W9658" s="10" t="s">
        <v>59650</v>
      </c>
      <c r="X9658" s="13" t="str">
        <f>HYPERLINK("https://my.pitchbook.com?p=355268-89P","View People Online")</f>
        <v>View People Online</v>
      </c>
    </row>
    <row r="9659">
      <c r="A9659" s="14" t="s">
        <v>59651</v>
      </c>
      <c r="B9659" s="14" t="s">
        <v>59652</v>
      </c>
      <c r="C9659" s="14" t="s">
        <v>1541</v>
      </c>
      <c r="D9659" s="14" t="s">
        <v>59653</v>
      </c>
      <c r="E9659" s="14" t="s">
        <v>59639</v>
      </c>
      <c r="F9659" s="14" t="s">
        <v>29586</v>
      </c>
      <c r="G9659" s="14" t="s">
        <v>59654</v>
      </c>
      <c r="H9659" s="15">
        <v>1.0</v>
      </c>
      <c r="I9659" s="15">
        <v>2.0</v>
      </c>
      <c r="J9659" s="15">
        <v>1.0</v>
      </c>
      <c r="K9659" s="15" t="s">
        <v>31</v>
      </c>
      <c r="L9659" s="16" t="s">
        <v>59641</v>
      </c>
      <c r="M9659" s="14" t="s">
        <v>31</v>
      </c>
      <c r="N9659" s="14" t="s">
        <v>11530</v>
      </c>
      <c r="O9659" s="16" t="s">
        <v>11531</v>
      </c>
      <c r="P9659" s="14" t="s">
        <v>59643</v>
      </c>
      <c r="Q9659" s="14" t="s">
        <v>31</v>
      </c>
      <c r="R9659" s="14" t="s">
        <v>64</v>
      </c>
      <c r="S9659" s="16" t="s">
        <v>59644</v>
      </c>
      <c r="T9659" s="14" t="s">
        <v>66</v>
      </c>
      <c r="U9659" s="16" t="s">
        <v>31</v>
      </c>
      <c r="V9659" s="14" t="s">
        <v>29589</v>
      </c>
      <c r="W9659" s="14" t="s">
        <v>59639</v>
      </c>
      <c r="X9659" s="17" t="str">
        <f>HYPERLINK("https://my.pitchbook.com?p=407453-50P","View People Online")</f>
        <v>View People Online</v>
      </c>
    </row>
    <row r="9660">
      <c r="A9660" s="2" t="s">
        <v>59655</v>
      </c>
      <c r="B9660" s="2" t="s">
        <v>59656</v>
      </c>
      <c r="C9660" s="2" t="s">
        <v>263</v>
      </c>
      <c r="D9660" s="2" t="s">
        <v>59657</v>
      </c>
      <c r="E9660" s="2" t="s">
        <v>59639</v>
      </c>
      <c r="F9660" s="2" t="s">
        <v>201</v>
      </c>
      <c r="G9660" s="2" t="s">
        <v>59658</v>
      </c>
      <c r="H9660" s="3" t="s">
        <v>31</v>
      </c>
      <c r="I9660" s="3">
        <v>1.0</v>
      </c>
      <c r="J9660" s="3">
        <v>1.0</v>
      </c>
      <c r="K9660" s="3" t="s">
        <v>31</v>
      </c>
      <c r="L9660" s="4" t="s">
        <v>59641</v>
      </c>
      <c r="M9660" s="2" t="s">
        <v>59659</v>
      </c>
      <c r="N9660" s="2" t="s">
        <v>11530</v>
      </c>
      <c r="O9660" s="4" t="s">
        <v>11531</v>
      </c>
      <c r="P9660" s="2" t="s">
        <v>59643</v>
      </c>
      <c r="Q9660" s="2" t="s">
        <v>31</v>
      </c>
      <c r="R9660" s="2" t="s">
        <v>64</v>
      </c>
      <c r="S9660" s="4" t="s">
        <v>59644</v>
      </c>
      <c r="T9660" s="2" t="s">
        <v>66</v>
      </c>
      <c r="U9660" s="4" t="s">
        <v>31</v>
      </c>
      <c r="V9660" s="2" t="s">
        <v>201</v>
      </c>
      <c r="W9660" s="2" t="s">
        <v>59639</v>
      </c>
      <c r="X9660" s="5" t="str">
        <f>HYPERLINK("https://my.pitchbook.com?p=355277-80P","View People Online")</f>
        <v>View People Online</v>
      </c>
    </row>
    <row r="9661">
      <c r="A9661" s="14" t="s">
        <v>59660</v>
      </c>
      <c r="B9661" s="14" t="s">
        <v>59661</v>
      </c>
      <c r="C9661" s="14" t="s">
        <v>1449</v>
      </c>
      <c r="D9661" s="14" t="s">
        <v>935</v>
      </c>
      <c r="E9661" s="14" t="s">
        <v>59639</v>
      </c>
      <c r="F9661" s="14" t="s">
        <v>318</v>
      </c>
      <c r="G9661" s="14" t="s">
        <v>59662</v>
      </c>
      <c r="H9661" s="15" t="s">
        <v>31</v>
      </c>
      <c r="I9661" s="15">
        <v>1.0</v>
      </c>
      <c r="J9661" s="15">
        <v>1.0</v>
      </c>
      <c r="K9661" s="15" t="s">
        <v>31</v>
      </c>
      <c r="L9661" s="16" t="s">
        <v>59641</v>
      </c>
      <c r="M9661" s="14" t="s">
        <v>59663</v>
      </c>
      <c r="N9661" s="14" t="s">
        <v>11530</v>
      </c>
      <c r="O9661" s="16" t="s">
        <v>11531</v>
      </c>
      <c r="P9661" s="14" t="s">
        <v>59643</v>
      </c>
      <c r="Q9661" s="14" t="s">
        <v>31</v>
      </c>
      <c r="R9661" s="14" t="s">
        <v>64</v>
      </c>
      <c r="S9661" s="16" t="s">
        <v>59644</v>
      </c>
      <c r="T9661" s="14" t="s">
        <v>66</v>
      </c>
      <c r="U9661" s="16" t="s">
        <v>31</v>
      </c>
      <c r="V9661" s="14" t="s">
        <v>318</v>
      </c>
      <c r="W9661" s="14" t="s">
        <v>59639</v>
      </c>
      <c r="X9661" s="17" t="str">
        <f>HYPERLINK("https://my.pitchbook.com?p=446538-34P","View People Online")</f>
        <v>View People Online</v>
      </c>
    </row>
    <row r="9662">
      <c r="A9662" s="10" t="s">
        <v>59664</v>
      </c>
      <c r="B9662" s="10" t="s">
        <v>59665</v>
      </c>
      <c r="C9662" s="10" t="s">
        <v>59666</v>
      </c>
      <c r="D9662" s="10" t="s">
        <v>666</v>
      </c>
      <c r="E9662" s="10" t="s">
        <v>59639</v>
      </c>
      <c r="F9662" s="10" t="s">
        <v>318</v>
      </c>
      <c r="G9662" s="10" t="s">
        <v>59667</v>
      </c>
      <c r="H9662" s="11" t="s">
        <v>31</v>
      </c>
      <c r="I9662" s="11">
        <v>1.0</v>
      </c>
      <c r="J9662" s="11">
        <v>1.0</v>
      </c>
      <c r="K9662" s="11" t="s">
        <v>31</v>
      </c>
      <c r="L9662" s="12" t="s">
        <v>59641</v>
      </c>
      <c r="M9662" s="10" t="s">
        <v>59668</v>
      </c>
      <c r="N9662" s="10" t="s">
        <v>11530</v>
      </c>
      <c r="O9662" s="12" t="s">
        <v>11531</v>
      </c>
      <c r="P9662" s="10" t="s">
        <v>59643</v>
      </c>
      <c r="Q9662" s="10" t="s">
        <v>31</v>
      </c>
      <c r="R9662" s="10" t="s">
        <v>64</v>
      </c>
      <c r="S9662" s="12" t="s">
        <v>59644</v>
      </c>
      <c r="T9662" s="10" t="s">
        <v>66</v>
      </c>
      <c r="U9662" s="12" t="s">
        <v>31</v>
      </c>
      <c r="V9662" s="10" t="s">
        <v>59669</v>
      </c>
      <c r="W9662" s="10" t="s">
        <v>59639</v>
      </c>
      <c r="X9662" s="13" t="str">
        <f>HYPERLINK("https://my.pitchbook.com?p=122932-00P","View People Online")</f>
        <v>View People Online</v>
      </c>
    </row>
    <row r="9663">
      <c r="A9663" s="6" t="s">
        <v>59670</v>
      </c>
      <c r="B9663" s="6" t="s">
        <v>59671</v>
      </c>
      <c r="C9663" s="6" t="s">
        <v>1849</v>
      </c>
      <c r="D9663" s="6" t="s">
        <v>59672</v>
      </c>
      <c r="E9663" s="6" t="s">
        <v>59639</v>
      </c>
      <c r="F9663" s="6" t="s">
        <v>270</v>
      </c>
      <c r="G9663" s="6" t="s">
        <v>59673</v>
      </c>
      <c r="H9663" s="7" t="s">
        <v>31</v>
      </c>
      <c r="I9663" s="7">
        <v>1.0</v>
      </c>
      <c r="J9663" s="7">
        <v>1.0</v>
      </c>
      <c r="K9663" s="7" t="s">
        <v>31</v>
      </c>
      <c r="L9663" s="8" t="s">
        <v>59641</v>
      </c>
      <c r="M9663" s="6" t="s">
        <v>59674</v>
      </c>
      <c r="N9663" s="6" t="s">
        <v>11530</v>
      </c>
      <c r="O9663" s="8" t="s">
        <v>11531</v>
      </c>
      <c r="P9663" s="6" t="s">
        <v>59643</v>
      </c>
      <c r="Q9663" s="6" t="s">
        <v>31</v>
      </c>
      <c r="R9663" s="6" t="s">
        <v>64</v>
      </c>
      <c r="S9663" s="8" t="s">
        <v>59644</v>
      </c>
      <c r="T9663" s="6" t="s">
        <v>66</v>
      </c>
      <c r="U9663" s="8" t="s">
        <v>31</v>
      </c>
      <c r="V9663" s="6" t="s">
        <v>59675</v>
      </c>
      <c r="W9663" s="6" t="s">
        <v>59639</v>
      </c>
      <c r="X9663" s="9" t="str">
        <f>HYPERLINK("https://my.pitchbook.com?p=385407-73P","View People Online")</f>
        <v>View People Online</v>
      </c>
    </row>
    <row r="9664">
      <c r="A9664" s="10" t="s">
        <v>59676</v>
      </c>
      <c r="B9664" s="10" t="s">
        <v>59677</v>
      </c>
      <c r="C9664" s="10" t="s">
        <v>28617</v>
      </c>
      <c r="D9664" s="10" t="s">
        <v>7207</v>
      </c>
      <c r="E9664" s="10" t="s">
        <v>59639</v>
      </c>
      <c r="F9664" s="10" t="s">
        <v>221</v>
      </c>
      <c r="G9664" s="10" t="s">
        <v>59678</v>
      </c>
      <c r="H9664" s="11" t="s">
        <v>31</v>
      </c>
      <c r="I9664" s="11">
        <v>1.0</v>
      </c>
      <c r="J9664" s="11">
        <v>1.0</v>
      </c>
      <c r="K9664" s="11" t="s">
        <v>31</v>
      </c>
      <c r="L9664" s="12" t="s">
        <v>59641</v>
      </c>
      <c r="M9664" s="10" t="s">
        <v>59679</v>
      </c>
      <c r="N9664" s="10" t="s">
        <v>11530</v>
      </c>
      <c r="O9664" s="12" t="s">
        <v>11531</v>
      </c>
      <c r="P9664" s="10" t="s">
        <v>59643</v>
      </c>
      <c r="Q9664" s="10" t="s">
        <v>31</v>
      </c>
      <c r="R9664" s="10" t="s">
        <v>64</v>
      </c>
      <c r="S9664" s="12" t="s">
        <v>59644</v>
      </c>
      <c r="T9664" s="10" t="s">
        <v>66</v>
      </c>
      <c r="U9664" s="12" t="s">
        <v>31</v>
      </c>
      <c r="V9664" s="10" t="s">
        <v>221</v>
      </c>
      <c r="W9664" s="10" t="s">
        <v>59639</v>
      </c>
      <c r="X9664" s="13" t="str">
        <f>HYPERLINK("https://my.pitchbook.com?p=446540-68P","View People Online")</f>
        <v>View People Online</v>
      </c>
    </row>
    <row r="9665">
      <c r="A9665" s="14" t="s">
        <v>59680</v>
      </c>
      <c r="B9665" s="14" t="s">
        <v>59681</v>
      </c>
      <c r="C9665" s="14" t="s">
        <v>3082</v>
      </c>
      <c r="D9665" s="14" t="s">
        <v>59682</v>
      </c>
      <c r="E9665" s="14" t="s">
        <v>59639</v>
      </c>
      <c r="F9665" s="14" t="s">
        <v>201</v>
      </c>
      <c r="G9665" s="14" t="s">
        <v>59683</v>
      </c>
      <c r="H9665" s="15" t="s">
        <v>31</v>
      </c>
      <c r="I9665" s="15">
        <v>1.0</v>
      </c>
      <c r="J9665" s="15">
        <v>1.0</v>
      </c>
      <c r="K9665" s="15" t="s">
        <v>31</v>
      </c>
      <c r="L9665" s="16" t="s">
        <v>59641</v>
      </c>
      <c r="M9665" s="14" t="s">
        <v>59684</v>
      </c>
      <c r="N9665" s="14" t="s">
        <v>11530</v>
      </c>
      <c r="O9665" s="16" t="s">
        <v>11531</v>
      </c>
      <c r="P9665" s="14" t="s">
        <v>59643</v>
      </c>
      <c r="Q9665" s="14" t="s">
        <v>31</v>
      </c>
      <c r="R9665" s="14" t="s">
        <v>64</v>
      </c>
      <c r="S9665" s="16" t="s">
        <v>59644</v>
      </c>
      <c r="T9665" s="14" t="s">
        <v>66</v>
      </c>
      <c r="U9665" s="16" t="s">
        <v>31</v>
      </c>
      <c r="V9665" s="14" t="s">
        <v>59685</v>
      </c>
      <c r="W9665" s="14" t="s">
        <v>59639</v>
      </c>
      <c r="X9665" s="17" t="str">
        <f>HYPERLINK("https://my.pitchbook.com?p=355283-74P","View People Online")</f>
        <v>View People Online</v>
      </c>
    </row>
    <row r="9666">
      <c r="A9666" s="10" t="s">
        <v>59686</v>
      </c>
      <c r="B9666" s="10" t="s">
        <v>59687</v>
      </c>
      <c r="C9666" s="10" t="s">
        <v>18807</v>
      </c>
      <c r="D9666" s="10" t="s">
        <v>59688</v>
      </c>
      <c r="E9666" s="10" t="s">
        <v>59639</v>
      </c>
      <c r="F9666" s="10" t="s">
        <v>81</v>
      </c>
      <c r="G9666" s="10" t="s">
        <v>59689</v>
      </c>
      <c r="H9666" s="11" t="s">
        <v>31</v>
      </c>
      <c r="I9666" s="11">
        <v>1.0</v>
      </c>
      <c r="J9666" s="11" t="s">
        <v>31</v>
      </c>
      <c r="K9666" s="11" t="s">
        <v>31</v>
      </c>
      <c r="L9666" s="12" t="s">
        <v>59641</v>
      </c>
      <c r="M9666" s="10" t="s">
        <v>59690</v>
      </c>
      <c r="N9666" s="10" t="s">
        <v>11530</v>
      </c>
      <c r="O9666" s="12" t="s">
        <v>11531</v>
      </c>
      <c r="P9666" s="10" t="s">
        <v>59643</v>
      </c>
      <c r="Q9666" s="10" t="s">
        <v>31</v>
      </c>
      <c r="R9666" s="10" t="s">
        <v>64</v>
      </c>
      <c r="S9666" s="12" t="s">
        <v>59644</v>
      </c>
      <c r="T9666" s="10" t="s">
        <v>66</v>
      </c>
      <c r="U9666" s="12" t="s">
        <v>31</v>
      </c>
      <c r="V9666" s="10" t="s">
        <v>59691</v>
      </c>
      <c r="W9666" s="10" t="s">
        <v>59639</v>
      </c>
      <c r="X9666" s="13" t="str">
        <f>HYPERLINK("https://my.pitchbook.com?p=293605-66P","View People Online")</f>
        <v>View People Online</v>
      </c>
    </row>
    <row r="9667">
      <c r="A9667" s="14" t="s">
        <v>59692</v>
      </c>
      <c r="B9667" s="14" t="s">
        <v>59693</v>
      </c>
      <c r="C9667" s="14" t="s">
        <v>1645</v>
      </c>
      <c r="D9667" s="14" t="s">
        <v>59694</v>
      </c>
      <c r="E9667" s="14" t="s">
        <v>59639</v>
      </c>
      <c r="F9667" s="14" t="s">
        <v>318</v>
      </c>
      <c r="G9667" s="14" t="s">
        <v>59695</v>
      </c>
      <c r="H9667" s="15" t="s">
        <v>31</v>
      </c>
      <c r="I9667" s="15">
        <v>1.0</v>
      </c>
      <c r="J9667" s="15">
        <v>1.0</v>
      </c>
      <c r="K9667" s="15" t="s">
        <v>31</v>
      </c>
      <c r="L9667" s="16" t="s">
        <v>59641</v>
      </c>
      <c r="M9667" s="14" t="s">
        <v>59696</v>
      </c>
      <c r="N9667" s="14" t="s">
        <v>11530</v>
      </c>
      <c r="O9667" s="16" t="s">
        <v>11531</v>
      </c>
      <c r="P9667" s="14" t="s">
        <v>59643</v>
      </c>
      <c r="Q9667" s="14" t="s">
        <v>31</v>
      </c>
      <c r="R9667" s="14" t="s">
        <v>64</v>
      </c>
      <c r="S9667" s="16" t="s">
        <v>59644</v>
      </c>
      <c r="T9667" s="14" t="s">
        <v>66</v>
      </c>
      <c r="U9667" s="16" t="s">
        <v>31</v>
      </c>
      <c r="V9667" s="14" t="s">
        <v>318</v>
      </c>
      <c r="W9667" s="14" t="s">
        <v>59639</v>
      </c>
      <c r="X9667" s="17" t="str">
        <f>HYPERLINK("https://my.pitchbook.com?p=146986-39P","View People Online")</f>
        <v>View People Online</v>
      </c>
    </row>
    <row r="9668">
      <c r="A9668" s="10" t="s">
        <v>59697</v>
      </c>
      <c r="B9668" s="10" t="s">
        <v>59698</v>
      </c>
      <c r="C9668" s="10" t="s">
        <v>126</v>
      </c>
      <c r="D9668" s="10" t="s">
        <v>59699</v>
      </c>
      <c r="E9668" s="10" t="s">
        <v>59639</v>
      </c>
      <c r="F9668" s="10" t="s">
        <v>1730</v>
      </c>
      <c r="G9668" s="10" t="s">
        <v>59700</v>
      </c>
      <c r="H9668" s="11" t="s">
        <v>31</v>
      </c>
      <c r="I9668" s="11">
        <v>9.0</v>
      </c>
      <c r="J9668" s="11">
        <v>3.0</v>
      </c>
      <c r="K9668" s="11">
        <v>3.0</v>
      </c>
      <c r="L9668" s="12" t="s">
        <v>59701</v>
      </c>
      <c r="M9668" s="10" t="s">
        <v>59702</v>
      </c>
      <c r="N9668" s="10" t="s">
        <v>11530</v>
      </c>
      <c r="O9668" s="12" t="s">
        <v>11531</v>
      </c>
      <c r="P9668" s="10" t="s">
        <v>59643</v>
      </c>
      <c r="Q9668" s="10" t="s">
        <v>31</v>
      </c>
      <c r="R9668" s="10" t="s">
        <v>64</v>
      </c>
      <c r="S9668" s="12" t="s">
        <v>59644</v>
      </c>
      <c r="T9668" s="10" t="s">
        <v>66</v>
      </c>
      <c r="U9668" s="12" t="s">
        <v>31</v>
      </c>
      <c r="V9668" s="10" t="s">
        <v>59703</v>
      </c>
      <c r="W9668" s="10" t="s">
        <v>59639</v>
      </c>
      <c r="X9668" s="13" t="str">
        <f>HYPERLINK("https://my.pitchbook.com?p=74377-81P","View People Online")</f>
        <v>View People Online</v>
      </c>
    </row>
    <row r="9669">
      <c r="A9669" s="14" t="s">
        <v>59704</v>
      </c>
      <c r="B9669" s="14" t="s">
        <v>59705</v>
      </c>
      <c r="C9669" s="14" t="s">
        <v>562</v>
      </c>
      <c r="D9669" s="14" t="s">
        <v>4015</v>
      </c>
      <c r="E9669" s="14" t="s">
        <v>59639</v>
      </c>
      <c r="F9669" s="14" t="s">
        <v>2590</v>
      </c>
      <c r="G9669" s="14" t="s">
        <v>59706</v>
      </c>
      <c r="H9669" s="15">
        <v>3.0</v>
      </c>
      <c r="I9669" s="15">
        <v>23.0</v>
      </c>
      <c r="J9669" s="15">
        <v>3.0</v>
      </c>
      <c r="K9669" s="15">
        <v>14.0</v>
      </c>
      <c r="L9669" s="16" t="s">
        <v>59641</v>
      </c>
      <c r="M9669" s="14" t="s">
        <v>59707</v>
      </c>
      <c r="N9669" s="14" t="s">
        <v>11530</v>
      </c>
      <c r="O9669" s="16" t="s">
        <v>11531</v>
      </c>
      <c r="P9669" s="14" t="s">
        <v>59643</v>
      </c>
      <c r="Q9669" s="14" t="s">
        <v>31</v>
      </c>
      <c r="R9669" s="14" t="s">
        <v>64</v>
      </c>
      <c r="S9669" s="16" t="s">
        <v>59644</v>
      </c>
      <c r="T9669" s="14" t="s">
        <v>66</v>
      </c>
      <c r="U9669" s="16" t="s">
        <v>31</v>
      </c>
      <c r="V9669" s="14" t="s">
        <v>59708</v>
      </c>
      <c r="W9669" s="14" t="s">
        <v>59639</v>
      </c>
      <c r="X9669" s="17" t="str">
        <f>HYPERLINK("https://my.pitchbook.com?p=14302-72P","View People Online")</f>
        <v>View People Online</v>
      </c>
    </row>
    <row r="9670">
      <c r="A9670" s="2" t="s">
        <v>59709</v>
      </c>
      <c r="B9670" s="2" t="s">
        <v>59710</v>
      </c>
      <c r="C9670" s="2" t="s">
        <v>343</v>
      </c>
      <c r="D9670" s="2" t="s">
        <v>138</v>
      </c>
      <c r="E9670" s="2" t="s">
        <v>59711</v>
      </c>
      <c r="F9670" s="2" t="s">
        <v>29</v>
      </c>
      <c r="G9670" s="2" t="s">
        <v>59712</v>
      </c>
      <c r="H9670" s="3">
        <v>1.0</v>
      </c>
      <c r="I9670" s="3">
        <v>5.0</v>
      </c>
      <c r="J9670" s="3">
        <v>1.0</v>
      </c>
      <c r="K9670" s="3">
        <v>2.0</v>
      </c>
      <c r="L9670" s="4" t="s">
        <v>59713</v>
      </c>
      <c r="M9670" s="2" t="s">
        <v>59714</v>
      </c>
      <c r="N9670" s="2" t="s">
        <v>155</v>
      </c>
      <c r="O9670" s="4" t="s">
        <v>156</v>
      </c>
      <c r="P9670" s="2" t="s">
        <v>2402</v>
      </c>
      <c r="Q9670" s="2" t="s">
        <v>31</v>
      </c>
      <c r="R9670" s="2" t="s">
        <v>64</v>
      </c>
      <c r="S9670" s="4" t="s">
        <v>2567</v>
      </c>
      <c r="T9670" s="2" t="s">
        <v>66</v>
      </c>
      <c r="U9670" s="4" t="s">
        <v>31</v>
      </c>
      <c r="V9670" s="2" t="s">
        <v>29</v>
      </c>
      <c r="W9670" s="2" t="s">
        <v>59711</v>
      </c>
      <c r="X9670" s="5" t="str">
        <f>HYPERLINK("https://my.pitchbook.com?p=122691-16P","View People Online")</f>
        <v>View People Online</v>
      </c>
    </row>
    <row r="9671">
      <c r="A9671" s="14" t="s">
        <v>59715</v>
      </c>
      <c r="B9671" s="14" t="s">
        <v>59716</v>
      </c>
      <c r="C9671" s="14" t="s">
        <v>8112</v>
      </c>
      <c r="D9671" s="14" t="s">
        <v>59717</v>
      </c>
      <c r="E9671" s="14" t="s">
        <v>59711</v>
      </c>
      <c r="F9671" s="14" t="s">
        <v>57</v>
      </c>
      <c r="G9671" s="14" t="s">
        <v>59718</v>
      </c>
      <c r="H9671" s="15" t="s">
        <v>31</v>
      </c>
      <c r="I9671" s="15">
        <v>29.0</v>
      </c>
      <c r="J9671" s="15">
        <v>1.0</v>
      </c>
      <c r="K9671" s="15">
        <v>21.0</v>
      </c>
      <c r="L9671" s="16" t="s">
        <v>59713</v>
      </c>
      <c r="M9671" s="14" t="s">
        <v>59719</v>
      </c>
      <c r="N9671" s="14" t="s">
        <v>155</v>
      </c>
      <c r="O9671" s="16" t="s">
        <v>156</v>
      </c>
      <c r="P9671" s="14" t="s">
        <v>2402</v>
      </c>
      <c r="Q9671" s="14" t="s">
        <v>31</v>
      </c>
      <c r="R9671" s="14" t="s">
        <v>64</v>
      </c>
      <c r="S9671" s="16" t="s">
        <v>2567</v>
      </c>
      <c r="T9671" s="14" t="s">
        <v>66</v>
      </c>
      <c r="U9671" s="16" t="s">
        <v>31</v>
      </c>
      <c r="V9671" s="14" t="s">
        <v>57</v>
      </c>
      <c r="W9671" s="14" t="s">
        <v>59711</v>
      </c>
      <c r="X9671" s="17" t="str">
        <f>HYPERLINK("https://my.pitchbook.com?p=41573-44P","View People Online")</f>
        <v>View People Online</v>
      </c>
    </row>
    <row r="9672">
      <c r="A9672" s="2" t="s">
        <v>59720</v>
      </c>
      <c r="B9672" s="2" t="s">
        <v>59721</v>
      </c>
      <c r="C9672" s="2" t="s">
        <v>126</v>
      </c>
      <c r="D9672" s="2" t="s">
        <v>758</v>
      </c>
      <c r="E9672" s="2" t="s">
        <v>59711</v>
      </c>
      <c r="F9672" s="2" t="s">
        <v>86</v>
      </c>
      <c r="G9672" s="2" t="s">
        <v>59722</v>
      </c>
      <c r="H9672" s="3">
        <v>4.0</v>
      </c>
      <c r="I9672" s="3">
        <v>98.0</v>
      </c>
      <c r="J9672" s="3">
        <v>2.0</v>
      </c>
      <c r="K9672" s="3">
        <v>88.0</v>
      </c>
      <c r="L9672" s="4" t="s">
        <v>59713</v>
      </c>
      <c r="M9672" s="2" t="s">
        <v>59723</v>
      </c>
      <c r="N9672" s="2" t="s">
        <v>155</v>
      </c>
      <c r="O9672" s="4" t="s">
        <v>156</v>
      </c>
      <c r="P9672" s="2" t="s">
        <v>2402</v>
      </c>
      <c r="Q9672" s="2" t="s">
        <v>31</v>
      </c>
      <c r="R9672" s="2" t="s">
        <v>64</v>
      </c>
      <c r="S9672" s="4" t="s">
        <v>2567</v>
      </c>
      <c r="T9672" s="2" t="s">
        <v>66</v>
      </c>
      <c r="U9672" s="4" t="s">
        <v>31</v>
      </c>
      <c r="V9672" s="2" t="s">
        <v>86</v>
      </c>
      <c r="W9672" s="2" t="s">
        <v>59711</v>
      </c>
      <c r="X9672" s="5" t="str">
        <f>HYPERLINK("https://my.pitchbook.com?p=46084-78P","View People Online")</f>
        <v>View People Online</v>
      </c>
    </row>
    <row r="9673">
      <c r="A9673" s="6" t="s">
        <v>59724</v>
      </c>
      <c r="B9673" s="6" t="s">
        <v>59725</v>
      </c>
      <c r="C9673" s="6" t="s">
        <v>59726</v>
      </c>
      <c r="D9673" s="6" t="s">
        <v>14513</v>
      </c>
      <c r="E9673" s="6" t="s">
        <v>59727</v>
      </c>
      <c r="F9673" s="6" t="s">
        <v>34103</v>
      </c>
      <c r="G9673" s="6" t="s">
        <v>59728</v>
      </c>
      <c r="H9673" s="7" t="s">
        <v>31</v>
      </c>
      <c r="I9673" s="7">
        <v>1.0</v>
      </c>
      <c r="J9673" s="7">
        <v>1.0</v>
      </c>
      <c r="K9673" s="7" t="s">
        <v>31</v>
      </c>
      <c r="L9673" s="8" t="s">
        <v>59729</v>
      </c>
      <c r="M9673" s="6" t="s">
        <v>59730</v>
      </c>
      <c r="N9673" s="6" t="s">
        <v>75</v>
      </c>
      <c r="O9673" s="8" t="s">
        <v>76</v>
      </c>
      <c r="P9673" s="6" t="s">
        <v>52277</v>
      </c>
      <c r="Q9673" s="6" t="s">
        <v>31</v>
      </c>
      <c r="R9673" s="6" t="s">
        <v>75</v>
      </c>
      <c r="S9673" s="8" t="s">
        <v>59731</v>
      </c>
      <c r="T9673" s="6" t="s">
        <v>66</v>
      </c>
      <c r="U9673" s="8" t="s">
        <v>59732</v>
      </c>
      <c r="V9673" s="6" t="s">
        <v>59733</v>
      </c>
      <c r="W9673" s="6" t="s">
        <v>59727</v>
      </c>
      <c r="X9673" s="9" t="str">
        <f>HYPERLINK("https://my.pitchbook.com?p=159074-47P","View People Online")</f>
        <v>View People Online</v>
      </c>
    </row>
    <row r="9674">
      <c r="A9674" s="2" t="s">
        <v>59734</v>
      </c>
      <c r="B9674" s="2" t="s">
        <v>59735</v>
      </c>
      <c r="C9674" s="2" t="s">
        <v>59736</v>
      </c>
      <c r="D9674" s="2" t="s">
        <v>59737</v>
      </c>
      <c r="E9674" s="2" t="s">
        <v>59727</v>
      </c>
      <c r="F9674" s="2" t="s">
        <v>81</v>
      </c>
      <c r="G9674" s="2" t="s">
        <v>59738</v>
      </c>
      <c r="H9674" s="3" t="s">
        <v>31</v>
      </c>
      <c r="I9674" s="3">
        <v>2.0</v>
      </c>
      <c r="J9674" s="3" t="s">
        <v>31</v>
      </c>
      <c r="K9674" s="3">
        <v>1.0</v>
      </c>
      <c r="L9674" s="4" t="s">
        <v>59729</v>
      </c>
      <c r="M9674" s="2" t="s">
        <v>31</v>
      </c>
      <c r="N9674" s="2" t="s">
        <v>75</v>
      </c>
      <c r="O9674" s="4" t="s">
        <v>76</v>
      </c>
      <c r="P9674" s="2" t="s">
        <v>52277</v>
      </c>
      <c r="Q9674" s="2" t="s">
        <v>31</v>
      </c>
      <c r="R9674" s="2" t="s">
        <v>75</v>
      </c>
      <c r="S9674" s="4" t="s">
        <v>59731</v>
      </c>
      <c r="T9674" s="2" t="s">
        <v>66</v>
      </c>
      <c r="U9674" s="4" t="s">
        <v>59732</v>
      </c>
      <c r="V9674" s="2" t="s">
        <v>81</v>
      </c>
      <c r="W9674" s="2" t="s">
        <v>59727</v>
      </c>
      <c r="X9674" s="5" t="str">
        <f>HYPERLINK("https://my.pitchbook.com?p=195408-91P","View People Online")</f>
        <v>View People Online</v>
      </c>
    </row>
    <row r="9675">
      <c r="A9675" s="6" t="s">
        <v>59739</v>
      </c>
      <c r="B9675" s="6" t="s">
        <v>59740</v>
      </c>
      <c r="C9675" s="6" t="s">
        <v>18283</v>
      </c>
      <c r="D9675" s="6" t="s">
        <v>59741</v>
      </c>
      <c r="E9675" s="6" t="s">
        <v>59727</v>
      </c>
      <c r="F9675" s="6" t="s">
        <v>59742</v>
      </c>
      <c r="G9675" s="6" t="s">
        <v>59743</v>
      </c>
      <c r="H9675" s="7" t="s">
        <v>31</v>
      </c>
      <c r="I9675" s="7">
        <v>1.0</v>
      </c>
      <c r="J9675" s="7">
        <v>1.0</v>
      </c>
      <c r="K9675" s="7" t="s">
        <v>31</v>
      </c>
      <c r="L9675" s="8" t="s">
        <v>59729</v>
      </c>
      <c r="M9675" s="6" t="s">
        <v>59744</v>
      </c>
      <c r="N9675" s="6" t="s">
        <v>75</v>
      </c>
      <c r="O9675" s="8" t="s">
        <v>76</v>
      </c>
      <c r="P9675" s="6" t="s">
        <v>52277</v>
      </c>
      <c r="Q9675" s="6" t="s">
        <v>31</v>
      </c>
      <c r="R9675" s="6" t="s">
        <v>75</v>
      </c>
      <c r="S9675" s="8" t="s">
        <v>59731</v>
      </c>
      <c r="T9675" s="6" t="s">
        <v>66</v>
      </c>
      <c r="U9675" s="8" t="s">
        <v>59732</v>
      </c>
      <c r="V9675" s="6" t="s">
        <v>59745</v>
      </c>
      <c r="W9675" s="6" t="s">
        <v>59727</v>
      </c>
      <c r="X9675" s="9" t="str">
        <f>HYPERLINK("https://my.pitchbook.com?p=205745-41P","View People Online")</f>
        <v>View People Online</v>
      </c>
    </row>
    <row r="9676">
      <c r="A9676" s="10" t="s">
        <v>59746</v>
      </c>
      <c r="B9676" s="10" t="s">
        <v>59747</v>
      </c>
      <c r="C9676" s="10" t="s">
        <v>59748</v>
      </c>
      <c r="D9676" s="10" t="s">
        <v>59749</v>
      </c>
      <c r="E9676" s="10" t="s">
        <v>59727</v>
      </c>
      <c r="F9676" s="10" t="s">
        <v>59750</v>
      </c>
      <c r="G9676" s="10" t="s">
        <v>59751</v>
      </c>
      <c r="H9676" s="11" t="s">
        <v>31</v>
      </c>
      <c r="I9676" s="11">
        <v>4.0</v>
      </c>
      <c r="J9676" s="11">
        <v>1.0</v>
      </c>
      <c r="K9676" s="11">
        <v>3.0</v>
      </c>
      <c r="L9676" s="12" t="s">
        <v>59729</v>
      </c>
      <c r="M9676" s="10" t="s">
        <v>59752</v>
      </c>
      <c r="N9676" s="10" t="s">
        <v>75</v>
      </c>
      <c r="O9676" s="12" t="s">
        <v>76</v>
      </c>
      <c r="P9676" s="10" t="s">
        <v>52277</v>
      </c>
      <c r="Q9676" s="10" t="s">
        <v>31</v>
      </c>
      <c r="R9676" s="10" t="s">
        <v>75</v>
      </c>
      <c r="S9676" s="12" t="s">
        <v>59731</v>
      </c>
      <c r="T9676" s="10" t="s">
        <v>66</v>
      </c>
      <c r="U9676" s="12" t="s">
        <v>59732</v>
      </c>
      <c r="V9676" s="10" t="s">
        <v>59753</v>
      </c>
      <c r="W9676" s="10" t="s">
        <v>59727</v>
      </c>
      <c r="X9676" s="13" t="str">
        <f>HYPERLINK("https://my.pitchbook.com?p=169989-85P","View People Online")</f>
        <v>View People Online</v>
      </c>
    </row>
    <row r="9677">
      <c r="A9677" s="6" t="s">
        <v>59754</v>
      </c>
      <c r="B9677" s="6" t="s">
        <v>59755</v>
      </c>
      <c r="C9677" s="6" t="s">
        <v>907</v>
      </c>
      <c r="D9677" s="6" t="s">
        <v>59756</v>
      </c>
      <c r="E9677" s="6" t="s">
        <v>59727</v>
      </c>
      <c r="F9677" s="6" t="s">
        <v>1801</v>
      </c>
      <c r="G9677" s="6" t="s">
        <v>59757</v>
      </c>
      <c r="H9677" s="7" t="s">
        <v>31</v>
      </c>
      <c r="I9677" s="7">
        <v>1.0</v>
      </c>
      <c r="J9677" s="7">
        <v>1.0</v>
      </c>
      <c r="K9677" s="7" t="s">
        <v>31</v>
      </c>
      <c r="L9677" s="8" t="s">
        <v>59729</v>
      </c>
      <c r="M9677" s="6" t="s">
        <v>59758</v>
      </c>
      <c r="N9677" s="6" t="s">
        <v>75</v>
      </c>
      <c r="O9677" s="8" t="s">
        <v>76</v>
      </c>
      <c r="P9677" s="6" t="s">
        <v>52277</v>
      </c>
      <c r="Q9677" s="6" t="s">
        <v>31</v>
      </c>
      <c r="R9677" s="6" t="s">
        <v>75</v>
      </c>
      <c r="S9677" s="8" t="s">
        <v>59731</v>
      </c>
      <c r="T9677" s="6" t="s">
        <v>66</v>
      </c>
      <c r="U9677" s="8" t="s">
        <v>59732</v>
      </c>
      <c r="V9677" s="6" t="s">
        <v>59759</v>
      </c>
      <c r="W9677" s="6" t="s">
        <v>59727</v>
      </c>
      <c r="X9677" s="9" t="str">
        <f>HYPERLINK("https://my.pitchbook.com?p=80547-04P","View People Online")</f>
        <v>View People Online</v>
      </c>
    </row>
    <row r="9678">
      <c r="A9678" s="2" t="s">
        <v>59760</v>
      </c>
      <c r="B9678" s="2" t="s">
        <v>59761</v>
      </c>
      <c r="C9678" s="2" t="s">
        <v>21531</v>
      </c>
      <c r="D9678" s="2" t="s">
        <v>18658</v>
      </c>
      <c r="E9678" s="2" t="s">
        <v>59727</v>
      </c>
      <c r="F9678" s="2" t="s">
        <v>52620</v>
      </c>
      <c r="G9678" s="2" t="s">
        <v>59762</v>
      </c>
      <c r="H9678" s="3" t="s">
        <v>31</v>
      </c>
      <c r="I9678" s="3">
        <v>2.0</v>
      </c>
      <c r="J9678" s="3">
        <v>1.0</v>
      </c>
      <c r="K9678" s="3">
        <v>1.0</v>
      </c>
      <c r="L9678" s="4" t="s">
        <v>59729</v>
      </c>
      <c r="M9678" s="2" t="s">
        <v>59763</v>
      </c>
      <c r="N9678" s="2" t="s">
        <v>75</v>
      </c>
      <c r="O9678" s="4" t="s">
        <v>76</v>
      </c>
      <c r="P9678" s="2" t="s">
        <v>52277</v>
      </c>
      <c r="Q9678" s="2" t="s">
        <v>31</v>
      </c>
      <c r="R9678" s="2" t="s">
        <v>75</v>
      </c>
      <c r="S9678" s="4" t="s">
        <v>59731</v>
      </c>
      <c r="T9678" s="2" t="s">
        <v>66</v>
      </c>
      <c r="U9678" s="4" t="s">
        <v>59732</v>
      </c>
      <c r="V9678" s="2" t="s">
        <v>59764</v>
      </c>
      <c r="W9678" s="2" t="s">
        <v>59727</v>
      </c>
      <c r="X9678" s="5" t="str">
        <f>HYPERLINK("https://my.pitchbook.com?p=309323-89P","View People Online")</f>
        <v>View People Online</v>
      </c>
    </row>
    <row r="9679">
      <c r="A9679" s="6" t="s">
        <v>59765</v>
      </c>
      <c r="B9679" s="6" t="s">
        <v>59766</v>
      </c>
      <c r="C9679" s="6" t="s">
        <v>17189</v>
      </c>
      <c r="D9679" s="6" t="s">
        <v>20363</v>
      </c>
      <c r="E9679" s="6" t="s">
        <v>59727</v>
      </c>
      <c r="F9679" s="6" t="s">
        <v>2540</v>
      </c>
      <c r="G9679" s="6" t="s">
        <v>59767</v>
      </c>
      <c r="H9679" s="7" t="s">
        <v>31</v>
      </c>
      <c r="I9679" s="7">
        <v>1.0</v>
      </c>
      <c r="J9679" s="7">
        <v>1.0</v>
      </c>
      <c r="K9679" s="7" t="s">
        <v>31</v>
      </c>
      <c r="L9679" s="8" t="s">
        <v>59729</v>
      </c>
      <c r="M9679" s="6" t="s">
        <v>59768</v>
      </c>
      <c r="N9679" s="6" t="s">
        <v>75</v>
      </c>
      <c r="O9679" s="8" t="s">
        <v>76</v>
      </c>
      <c r="P9679" s="6" t="s">
        <v>52277</v>
      </c>
      <c r="Q9679" s="6" t="s">
        <v>31</v>
      </c>
      <c r="R9679" s="6" t="s">
        <v>75</v>
      </c>
      <c r="S9679" s="8" t="s">
        <v>59731</v>
      </c>
      <c r="T9679" s="6" t="s">
        <v>66</v>
      </c>
      <c r="U9679" s="8" t="s">
        <v>59732</v>
      </c>
      <c r="V9679" s="6" t="s">
        <v>4362</v>
      </c>
      <c r="W9679" s="6" t="s">
        <v>59727</v>
      </c>
      <c r="X9679" s="9" t="str">
        <f>HYPERLINK("https://my.pitchbook.com?p=185779-81P","View People Online")</f>
        <v>View People Online</v>
      </c>
    </row>
    <row r="9680">
      <c r="A9680" s="10" t="s">
        <v>59769</v>
      </c>
      <c r="B9680" s="10" t="s">
        <v>59770</v>
      </c>
      <c r="C9680" s="10" t="s">
        <v>59771</v>
      </c>
      <c r="D9680" s="10" t="s">
        <v>59772</v>
      </c>
      <c r="E9680" s="10" t="s">
        <v>59727</v>
      </c>
      <c r="F9680" s="10" t="s">
        <v>1459</v>
      </c>
      <c r="G9680" s="10" t="s">
        <v>59773</v>
      </c>
      <c r="H9680" s="11" t="s">
        <v>31</v>
      </c>
      <c r="I9680" s="11">
        <v>2.0</v>
      </c>
      <c r="J9680" s="11">
        <v>1.0</v>
      </c>
      <c r="K9680" s="11">
        <v>1.0</v>
      </c>
      <c r="L9680" s="12" t="s">
        <v>59729</v>
      </c>
      <c r="M9680" s="10" t="s">
        <v>59774</v>
      </c>
      <c r="N9680" s="10" t="s">
        <v>75</v>
      </c>
      <c r="O9680" s="12" t="s">
        <v>76</v>
      </c>
      <c r="P9680" s="10" t="s">
        <v>52277</v>
      </c>
      <c r="Q9680" s="10" t="s">
        <v>31</v>
      </c>
      <c r="R9680" s="10" t="s">
        <v>75</v>
      </c>
      <c r="S9680" s="12" t="s">
        <v>59731</v>
      </c>
      <c r="T9680" s="10" t="s">
        <v>66</v>
      </c>
      <c r="U9680" s="12" t="s">
        <v>59732</v>
      </c>
      <c r="V9680" s="10" t="s">
        <v>1612</v>
      </c>
      <c r="W9680" s="10" t="s">
        <v>59727</v>
      </c>
      <c r="X9680" s="13" t="str">
        <f>HYPERLINK("https://my.pitchbook.com?p=300156-22P","View People Online")</f>
        <v>View People Online</v>
      </c>
    </row>
    <row r="9681">
      <c r="A9681" s="14" t="s">
        <v>59775</v>
      </c>
      <c r="B9681" s="14" t="s">
        <v>59776</v>
      </c>
      <c r="C9681" s="14" t="s">
        <v>52269</v>
      </c>
      <c r="D9681" s="14" t="s">
        <v>59777</v>
      </c>
      <c r="E9681" s="14" t="s">
        <v>59727</v>
      </c>
      <c r="F9681" s="14" t="s">
        <v>52620</v>
      </c>
      <c r="G9681" s="14" t="s">
        <v>59778</v>
      </c>
      <c r="H9681" s="15" t="s">
        <v>31</v>
      </c>
      <c r="I9681" s="15">
        <v>2.0</v>
      </c>
      <c r="J9681" s="15">
        <v>1.0</v>
      </c>
      <c r="K9681" s="15">
        <v>1.0</v>
      </c>
      <c r="L9681" s="16" t="s">
        <v>59729</v>
      </c>
      <c r="M9681" s="14" t="s">
        <v>31</v>
      </c>
      <c r="N9681" s="14" t="s">
        <v>75</v>
      </c>
      <c r="O9681" s="16" t="s">
        <v>76</v>
      </c>
      <c r="P9681" s="14" t="s">
        <v>52277</v>
      </c>
      <c r="Q9681" s="14" t="s">
        <v>31</v>
      </c>
      <c r="R9681" s="14" t="s">
        <v>75</v>
      </c>
      <c r="S9681" s="16" t="s">
        <v>59731</v>
      </c>
      <c r="T9681" s="14" t="s">
        <v>66</v>
      </c>
      <c r="U9681" s="16" t="s">
        <v>59732</v>
      </c>
      <c r="V9681" s="14" t="s">
        <v>59779</v>
      </c>
      <c r="W9681" s="14" t="s">
        <v>59727</v>
      </c>
      <c r="X9681" s="17" t="str">
        <f>HYPERLINK("https://my.pitchbook.com?p=280114-75P","View People Online")</f>
        <v>View People Online</v>
      </c>
    </row>
    <row r="9682">
      <c r="A9682" s="2" t="s">
        <v>59780</v>
      </c>
      <c r="B9682" s="2" t="s">
        <v>59781</v>
      </c>
      <c r="C9682" s="2" t="s">
        <v>1697</v>
      </c>
      <c r="D9682" s="2" t="s">
        <v>59782</v>
      </c>
      <c r="E9682" s="2" t="s">
        <v>59727</v>
      </c>
      <c r="F9682" s="2" t="s">
        <v>4800</v>
      </c>
      <c r="G9682" s="2" t="s">
        <v>59783</v>
      </c>
      <c r="H9682" s="3" t="s">
        <v>31</v>
      </c>
      <c r="I9682" s="3">
        <v>1.0</v>
      </c>
      <c r="J9682" s="3">
        <v>1.0</v>
      </c>
      <c r="K9682" s="3" t="s">
        <v>31</v>
      </c>
      <c r="L9682" s="4" t="s">
        <v>59784</v>
      </c>
      <c r="M9682" s="2" t="s">
        <v>59785</v>
      </c>
      <c r="N9682" s="2" t="s">
        <v>75</v>
      </c>
      <c r="O9682" s="4" t="s">
        <v>76</v>
      </c>
      <c r="P9682" s="2" t="s">
        <v>52277</v>
      </c>
      <c r="Q9682" s="2" t="s">
        <v>31</v>
      </c>
      <c r="R9682" s="2" t="s">
        <v>75</v>
      </c>
      <c r="S9682" s="4" t="s">
        <v>59731</v>
      </c>
      <c r="T9682" s="2" t="s">
        <v>66</v>
      </c>
      <c r="U9682" s="4" t="s">
        <v>59732</v>
      </c>
      <c r="V9682" s="2" t="s">
        <v>59786</v>
      </c>
      <c r="W9682" s="2" t="s">
        <v>59727</v>
      </c>
      <c r="X9682" s="5" t="str">
        <f>HYPERLINK("https://my.pitchbook.com?p=87792-94P","View People Online")</f>
        <v>View People Online</v>
      </c>
    </row>
    <row r="9683">
      <c r="A9683" s="6" t="s">
        <v>59787</v>
      </c>
      <c r="B9683" s="6" t="s">
        <v>59788</v>
      </c>
      <c r="C9683" s="6" t="s">
        <v>4404</v>
      </c>
      <c r="D9683" s="6" t="s">
        <v>1589</v>
      </c>
      <c r="E9683" s="6" t="s">
        <v>59789</v>
      </c>
      <c r="F9683" s="6" t="s">
        <v>674</v>
      </c>
      <c r="G9683" s="6" t="s">
        <v>59790</v>
      </c>
      <c r="H9683" s="7" t="s">
        <v>31</v>
      </c>
      <c r="I9683" s="7">
        <v>6.0</v>
      </c>
      <c r="J9683" s="7">
        <v>2.0</v>
      </c>
      <c r="K9683" s="7">
        <v>3.0</v>
      </c>
      <c r="L9683" s="8" t="s">
        <v>31</v>
      </c>
      <c r="M9683" s="6" t="s">
        <v>59791</v>
      </c>
      <c r="N9683" s="6" t="s">
        <v>75</v>
      </c>
      <c r="O9683" s="8" t="s">
        <v>76</v>
      </c>
      <c r="P9683" s="6" t="s">
        <v>31</v>
      </c>
      <c r="Q9683" s="6" t="s">
        <v>31</v>
      </c>
      <c r="R9683" s="6" t="s">
        <v>75</v>
      </c>
      <c r="S9683" s="8" t="s">
        <v>31</v>
      </c>
      <c r="T9683" s="6" t="s">
        <v>66</v>
      </c>
      <c r="U9683" s="8" t="s">
        <v>31</v>
      </c>
      <c r="V9683" s="6" t="s">
        <v>157</v>
      </c>
      <c r="W9683" s="6" t="s">
        <v>59792</v>
      </c>
      <c r="X9683" s="9" t="str">
        <f>HYPERLINK("https://my.pitchbook.com?p=141922-45P","View People Online")</f>
        <v>View People Online</v>
      </c>
    </row>
    <row r="9684">
      <c r="A9684" s="10" t="s">
        <v>59793</v>
      </c>
      <c r="B9684" s="10" t="s">
        <v>59794</v>
      </c>
      <c r="C9684" s="10" t="s">
        <v>5071</v>
      </c>
      <c r="D9684" s="10" t="s">
        <v>59795</v>
      </c>
      <c r="E9684" s="10" t="s">
        <v>59789</v>
      </c>
      <c r="F9684" s="10" t="s">
        <v>57</v>
      </c>
      <c r="G9684" s="10" t="s">
        <v>59796</v>
      </c>
      <c r="H9684" s="11">
        <v>3.0</v>
      </c>
      <c r="I9684" s="11">
        <v>6.0</v>
      </c>
      <c r="J9684" s="11">
        <v>2.0</v>
      </c>
      <c r="K9684" s="11" t="s">
        <v>31</v>
      </c>
      <c r="L9684" s="12" t="s">
        <v>59797</v>
      </c>
      <c r="M9684" s="10" t="s">
        <v>59798</v>
      </c>
      <c r="N9684" s="10" t="s">
        <v>75</v>
      </c>
      <c r="O9684" s="12" t="s">
        <v>76</v>
      </c>
      <c r="P9684" s="10" t="s">
        <v>59799</v>
      </c>
      <c r="Q9684" s="10" t="s">
        <v>59329</v>
      </c>
      <c r="R9684" s="10" t="s">
        <v>75</v>
      </c>
      <c r="S9684" s="12" t="s">
        <v>13204</v>
      </c>
      <c r="T9684" s="10" t="s">
        <v>66</v>
      </c>
      <c r="U9684" s="12" t="s">
        <v>31</v>
      </c>
      <c r="V9684" s="10" t="s">
        <v>59800</v>
      </c>
      <c r="W9684" s="10" t="s">
        <v>59801</v>
      </c>
      <c r="X9684" s="13" t="str">
        <f>HYPERLINK("https://my.pitchbook.com?p=214491-16P","View People Online")</f>
        <v>View People Online</v>
      </c>
    </row>
    <row r="9685">
      <c r="A9685" s="14" t="s">
        <v>59802</v>
      </c>
      <c r="B9685" s="14" t="s">
        <v>59803</v>
      </c>
      <c r="C9685" s="14" t="s">
        <v>59804</v>
      </c>
      <c r="D9685" s="14" t="s">
        <v>59805</v>
      </c>
      <c r="E9685" s="14" t="s">
        <v>59789</v>
      </c>
      <c r="F9685" s="14" t="s">
        <v>189</v>
      </c>
      <c r="G9685" s="14" t="s">
        <v>59806</v>
      </c>
      <c r="H9685" s="15" t="s">
        <v>31</v>
      </c>
      <c r="I9685" s="15">
        <v>12.0</v>
      </c>
      <c r="J9685" s="15">
        <v>1.0</v>
      </c>
      <c r="K9685" s="15">
        <v>9.0</v>
      </c>
      <c r="L9685" s="16" t="s">
        <v>59807</v>
      </c>
      <c r="M9685" s="14" t="s">
        <v>59808</v>
      </c>
      <c r="N9685" s="14" t="s">
        <v>75</v>
      </c>
      <c r="O9685" s="16" t="s">
        <v>76</v>
      </c>
      <c r="P9685" s="14" t="s">
        <v>59809</v>
      </c>
      <c r="Q9685" s="14" t="s">
        <v>10135</v>
      </c>
      <c r="R9685" s="14" t="s">
        <v>75</v>
      </c>
      <c r="S9685" s="16" t="s">
        <v>28963</v>
      </c>
      <c r="T9685" s="14" t="s">
        <v>66</v>
      </c>
      <c r="U9685" s="16" t="s">
        <v>31</v>
      </c>
      <c r="V9685" s="14" t="s">
        <v>196</v>
      </c>
      <c r="W9685" s="14" t="s">
        <v>59789</v>
      </c>
      <c r="X9685" s="17" t="str">
        <f>HYPERLINK("https://my.pitchbook.com?p=43946-02P","View People Online")</f>
        <v>View People Online</v>
      </c>
    </row>
    <row r="9686">
      <c r="A9686" s="2" t="s">
        <v>59810</v>
      </c>
      <c r="B9686" s="2" t="s">
        <v>59811</v>
      </c>
      <c r="C9686" s="2" t="s">
        <v>4943</v>
      </c>
      <c r="D9686" s="2" t="s">
        <v>59812</v>
      </c>
      <c r="E9686" s="2" t="s">
        <v>59813</v>
      </c>
      <c r="F9686" s="2" t="s">
        <v>58664</v>
      </c>
      <c r="G9686" s="2" t="s">
        <v>59814</v>
      </c>
      <c r="H9686" s="3">
        <v>1.0</v>
      </c>
      <c r="I9686" s="3">
        <v>18.0</v>
      </c>
      <c r="J9686" s="3">
        <v>1.0</v>
      </c>
      <c r="K9686" s="3">
        <v>15.0</v>
      </c>
      <c r="L9686" s="4" t="s">
        <v>59815</v>
      </c>
      <c r="M9686" s="2" t="s">
        <v>59816</v>
      </c>
      <c r="N9686" s="2" t="s">
        <v>59817</v>
      </c>
      <c r="O9686" s="4" t="s">
        <v>59818</v>
      </c>
      <c r="P9686" s="2" t="s">
        <v>59819</v>
      </c>
      <c r="Q9686" s="2" t="s">
        <v>6654</v>
      </c>
      <c r="R9686" s="2" t="s">
        <v>13171</v>
      </c>
      <c r="S9686" s="4" t="s">
        <v>59820</v>
      </c>
      <c r="T9686" s="2" t="s">
        <v>66</v>
      </c>
      <c r="U9686" s="4" t="s">
        <v>31</v>
      </c>
      <c r="V9686" s="2" t="s">
        <v>58664</v>
      </c>
      <c r="W9686" s="2" t="s">
        <v>59813</v>
      </c>
      <c r="X9686" s="5" t="str">
        <f>HYPERLINK("https://my.pitchbook.com?p=50827-42P","View People Online")</f>
        <v>View People Online</v>
      </c>
    </row>
    <row r="9687">
      <c r="A9687" s="6" t="s">
        <v>59821</v>
      </c>
      <c r="B9687" s="6" t="s">
        <v>59822</v>
      </c>
      <c r="C9687" s="6" t="s">
        <v>1449</v>
      </c>
      <c r="D9687" s="6" t="s">
        <v>1950</v>
      </c>
      <c r="E9687" s="6" t="s">
        <v>59813</v>
      </c>
      <c r="F9687" s="6" t="s">
        <v>1283</v>
      </c>
      <c r="G9687" s="6" t="s">
        <v>59823</v>
      </c>
      <c r="H9687" s="7" t="s">
        <v>31</v>
      </c>
      <c r="I9687" s="7">
        <v>14.0</v>
      </c>
      <c r="J9687" s="7">
        <v>1.0</v>
      </c>
      <c r="K9687" s="7">
        <v>11.0</v>
      </c>
      <c r="L9687" s="8" t="s">
        <v>59824</v>
      </c>
      <c r="M9687" s="6" t="s">
        <v>59825</v>
      </c>
      <c r="N9687" s="6" t="s">
        <v>59817</v>
      </c>
      <c r="O9687" s="8" t="s">
        <v>59818</v>
      </c>
      <c r="P9687" s="6" t="s">
        <v>59819</v>
      </c>
      <c r="Q9687" s="6" t="s">
        <v>6654</v>
      </c>
      <c r="R9687" s="6" t="s">
        <v>13171</v>
      </c>
      <c r="S9687" s="8" t="s">
        <v>59820</v>
      </c>
      <c r="T9687" s="6" t="s">
        <v>66</v>
      </c>
      <c r="U9687" s="8" t="s">
        <v>31</v>
      </c>
      <c r="V9687" s="6" t="s">
        <v>58664</v>
      </c>
      <c r="W9687" s="6" t="s">
        <v>59813</v>
      </c>
      <c r="X9687" s="9" t="str">
        <f>HYPERLINK("https://my.pitchbook.com?p=48923-38P","View People Online")</f>
        <v>View People Online</v>
      </c>
    </row>
    <row r="9688">
      <c r="A9688" s="10" t="s">
        <v>59826</v>
      </c>
      <c r="B9688" s="10" t="s">
        <v>59827</v>
      </c>
      <c r="C9688" s="10" t="s">
        <v>2288</v>
      </c>
      <c r="D9688" s="10" t="s">
        <v>59828</v>
      </c>
      <c r="E9688" s="10" t="s">
        <v>59813</v>
      </c>
      <c r="F9688" s="10" t="s">
        <v>771</v>
      </c>
      <c r="G9688" s="10" t="s">
        <v>59829</v>
      </c>
      <c r="H9688" s="11" t="s">
        <v>31</v>
      </c>
      <c r="I9688" s="11">
        <v>3.0</v>
      </c>
      <c r="J9688" s="11">
        <v>1.0</v>
      </c>
      <c r="K9688" s="11">
        <v>1.0</v>
      </c>
      <c r="L9688" s="12" t="s">
        <v>31</v>
      </c>
      <c r="M9688" s="10" t="s">
        <v>31</v>
      </c>
      <c r="N9688" s="10" t="s">
        <v>59817</v>
      </c>
      <c r="O9688" s="12" t="s">
        <v>59818</v>
      </c>
      <c r="P9688" s="10" t="s">
        <v>59819</v>
      </c>
      <c r="Q9688" s="10" t="s">
        <v>6654</v>
      </c>
      <c r="R9688" s="10" t="s">
        <v>13171</v>
      </c>
      <c r="S9688" s="12" t="s">
        <v>59820</v>
      </c>
      <c r="T9688" s="10" t="s">
        <v>66</v>
      </c>
      <c r="U9688" s="12" t="s">
        <v>31</v>
      </c>
      <c r="V9688" s="10" t="s">
        <v>59830</v>
      </c>
      <c r="W9688" s="10" t="s">
        <v>59813</v>
      </c>
      <c r="X9688" s="13" t="str">
        <f>HYPERLINK("https://my.pitchbook.com?p=279233-47P","View People Online")</f>
        <v>View People Online</v>
      </c>
    </row>
    <row r="9689">
      <c r="A9689" s="14" t="s">
        <v>59831</v>
      </c>
      <c r="B9689" s="14" t="s">
        <v>59832</v>
      </c>
      <c r="C9689" s="14" t="s">
        <v>59833</v>
      </c>
      <c r="D9689" s="14" t="s">
        <v>59834</v>
      </c>
      <c r="E9689" s="14" t="s">
        <v>59813</v>
      </c>
      <c r="F9689" s="14" t="s">
        <v>81</v>
      </c>
      <c r="G9689" s="14" t="s">
        <v>59835</v>
      </c>
      <c r="H9689" s="15">
        <v>1.0</v>
      </c>
      <c r="I9689" s="15">
        <v>5.0</v>
      </c>
      <c r="J9689" s="15" t="s">
        <v>31</v>
      </c>
      <c r="K9689" s="15">
        <v>1.0</v>
      </c>
      <c r="L9689" s="16" t="s">
        <v>59836</v>
      </c>
      <c r="M9689" s="14" t="s">
        <v>31</v>
      </c>
      <c r="N9689" s="14" t="s">
        <v>17872</v>
      </c>
      <c r="O9689" s="16" t="s">
        <v>17873</v>
      </c>
      <c r="P9689" s="14" t="s">
        <v>59837</v>
      </c>
      <c r="Q9689" s="14" t="s">
        <v>31</v>
      </c>
      <c r="R9689" s="14" t="s">
        <v>31</v>
      </c>
      <c r="S9689" s="16" t="s">
        <v>59838</v>
      </c>
      <c r="T9689" s="14" t="s">
        <v>2278</v>
      </c>
      <c r="U9689" s="16" t="s">
        <v>31</v>
      </c>
      <c r="V9689" s="14" t="s">
        <v>27832</v>
      </c>
      <c r="W9689" s="14" t="s">
        <v>59839</v>
      </c>
      <c r="X9689" s="17" t="str">
        <f>HYPERLINK("https://my.pitchbook.com?p=45671-05P","View People Online")</f>
        <v>View People Online</v>
      </c>
    </row>
    <row r="9690">
      <c r="A9690" s="2" t="s">
        <v>59840</v>
      </c>
      <c r="B9690" s="2" t="s">
        <v>59841</v>
      </c>
      <c r="C9690" s="2" t="s">
        <v>2388</v>
      </c>
      <c r="D9690" s="2" t="s">
        <v>36437</v>
      </c>
      <c r="E9690" s="2" t="s">
        <v>59813</v>
      </c>
      <c r="F9690" s="2" t="s">
        <v>81</v>
      </c>
      <c r="G9690" s="2" t="s">
        <v>59842</v>
      </c>
      <c r="H9690" s="3" t="s">
        <v>31</v>
      </c>
      <c r="I9690" s="3">
        <v>1.0</v>
      </c>
      <c r="J9690" s="3" t="s">
        <v>31</v>
      </c>
      <c r="K9690" s="3" t="s">
        <v>31</v>
      </c>
      <c r="L9690" s="4" t="s">
        <v>31</v>
      </c>
      <c r="M9690" s="2" t="s">
        <v>31</v>
      </c>
      <c r="N9690" s="2" t="s">
        <v>59817</v>
      </c>
      <c r="O9690" s="4" t="s">
        <v>59818</v>
      </c>
      <c r="P9690" s="2" t="s">
        <v>59819</v>
      </c>
      <c r="Q9690" s="2" t="s">
        <v>6654</v>
      </c>
      <c r="R9690" s="2" t="s">
        <v>13171</v>
      </c>
      <c r="S9690" s="4" t="s">
        <v>59820</v>
      </c>
      <c r="T9690" s="2" t="s">
        <v>66</v>
      </c>
      <c r="U9690" s="4" t="s">
        <v>31</v>
      </c>
      <c r="V9690" s="2" t="s">
        <v>58890</v>
      </c>
      <c r="W9690" s="2" t="s">
        <v>59813</v>
      </c>
      <c r="X9690" s="5" t="str">
        <f>HYPERLINK("https://my.pitchbook.com?p=50828-05P","View People Online")</f>
        <v>View People Online</v>
      </c>
    </row>
    <row r="9691">
      <c r="A9691" s="14" t="s">
        <v>59843</v>
      </c>
      <c r="B9691" s="14" t="s">
        <v>59844</v>
      </c>
      <c r="C9691" s="14" t="s">
        <v>3716</v>
      </c>
      <c r="D9691" s="14" t="s">
        <v>1950</v>
      </c>
      <c r="E9691" s="14" t="s">
        <v>59813</v>
      </c>
      <c r="F9691" s="14" t="s">
        <v>771</v>
      </c>
      <c r="G9691" s="14" t="s">
        <v>59845</v>
      </c>
      <c r="H9691" s="15" t="s">
        <v>31</v>
      </c>
      <c r="I9691" s="15">
        <v>1.0</v>
      </c>
      <c r="J9691" s="15">
        <v>1.0</v>
      </c>
      <c r="K9691" s="15" t="s">
        <v>31</v>
      </c>
      <c r="L9691" s="16" t="s">
        <v>31</v>
      </c>
      <c r="M9691" s="14" t="s">
        <v>31</v>
      </c>
      <c r="N9691" s="14" t="s">
        <v>59817</v>
      </c>
      <c r="O9691" s="16" t="s">
        <v>59818</v>
      </c>
      <c r="P9691" s="14" t="s">
        <v>59819</v>
      </c>
      <c r="Q9691" s="14" t="s">
        <v>6654</v>
      </c>
      <c r="R9691" s="14" t="s">
        <v>13171</v>
      </c>
      <c r="S9691" s="16" t="s">
        <v>59820</v>
      </c>
      <c r="T9691" s="14" t="s">
        <v>66</v>
      </c>
      <c r="U9691" s="16" t="s">
        <v>31</v>
      </c>
      <c r="V9691" s="14" t="s">
        <v>59830</v>
      </c>
      <c r="W9691" s="14" t="s">
        <v>59813</v>
      </c>
      <c r="X9691" s="17" t="str">
        <f>HYPERLINK("https://my.pitchbook.com?p=50833-54P","View People Online")</f>
        <v>View People Online</v>
      </c>
    </row>
    <row r="9692">
      <c r="A9692" s="2" t="s">
        <v>59846</v>
      </c>
      <c r="B9692" s="2" t="s">
        <v>59847</v>
      </c>
      <c r="C9692" s="2" t="s">
        <v>7138</v>
      </c>
      <c r="D9692" s="2" t="s">
        <v>20889</v>
      </c>
      <c r="E9692" s="2" t="s">
        <v>59848</v>
      </c>
      <c r="F9692" s="2" t="s">
        <v>667</v>
      </c>
      <c r="G9692" s="2" t="s">
        <v>59849</v>
      </c>
      <c r="H9692" s="3" t="s">
        <v>31</v>
      </c>
      <c r="I9692" s="3">
        <v>1.0</v>
      </c>
      <c r="J9692" s="3">
        <v>1.0</v>
      </c>
      <c r="K9692" s="3" t="s">
        <v>31</v>
      </c>
      <c r="L9692" s="4" t="s">
        <v>59850</v>
      </c>
      <c r="M9692" s="2" t="s">
        <v>59851</v>
      </c>
      <c r="N9692" s="2" t="s">
        <v>33517</v>
      </c>
      <c r="O9692" s="4" t="s">
        <v>33518</v>
      </c>
      <c r="P9692" s="2" t="s">
        <v>59852</v>
      </c>
      <c r="Q9692" s="2" t="s">
        <v>55106</v>
      </c>
      <c r="R9692" s="2" t="s">
        <v>1018</v>
      </c>
      <c r="S9692" s="4" t="s">
        <v>59853</v>
      </c>
      <c r="T9692" s="2" t="s">
        <v>1019</v>
      </c>
      <c r="U9692" s="4" t="s">
        <v>31</v>
      </c>
      <c r="V9692" s="2" t="s">
        <v>59854</v>
      </c>
      <c r="W9692" s="2" t="s">
        <v>59848</v>
      </c>
      <c r="X9692" s="5" t="str">
        <f>HYPERLINK("https://my.pitchbook.com?p=99449-02P","View People Online")</f>
        <v>View People Online</v>
      </c>
    </row>
    <row r="9693">
      <c r="A9693" s="6" t="s">
        <v>59855</v>
      </c>
      <c r="B9693" s="6" t="s">
        <v>59856</v>
      </c>
      <c r="C9693" s="6" t="s">
        <v>36194</v>
      </c>
      <c r="D9693" s="6" t="s">
        <v>59857</v>
      </c>
      <c r="E9693" s="6" t="s">
        <v>59848</v>
      </c>
      <c r="F9693" s="6" t="s">
        <v>2422</v>
      </c>
      <c r="G9693" s="6" t="s">
        <v>59858</v>
      </c>
      <c r="H9693" s="7" t="s">
        <v>31</v>
      </c>
      <c r="I9693" s="7">
        <v>1.0</v>
      </c>
      <c r="J9693" s="7">
        <v>1.0</v>
      </c>
      <c r="K9693" s="7" t="s">
        <v>31</v>
      </c>
      <c r="L9693" s="8" t="s">
        <v>59859</v>
      </c>
      <c r="M9693" s="6" t="s">
        <v>31</v>
      </c>
      <c r="N9693" s="6" t="s">
        <v>33517</v>
      </c>
      <c r="O9693" s="8" t="s">
        <v>33518</v>
      </c>
      <c r="P9693" s="6" t="s">
        <v>59852</v>
      </c>
      <c r="Q9693" s="6" t="s">
        <v>55106</v>
      </c>
      <c r="R9693" s="6" t="s">
        <v>1018</v>
      </c>
      <c r="S9693" s="8" t="s">
        <v>59853</v>
      </c>
      <c r="T9693" s="6" t="s">
        <v>1019</v>
      </c>
      <c r="U9693" s="8" t="s">
        <v>31</v>
      </c>
      <c r="V9693" s="6" t="s">
        <v>2422</v>
      </c>
      <c r="W9693" s="6" t="s">
        <v>59848</v>
      </c>
      <c r="X9693" s="9" t="str">
        <f>HYPERLINK("https://my.pitchbook.com?p=189080-47P","View People Online")</f>
        <v>View People Online</v>
      </c>
    </row>
    <row r="9694">
      <c r="A9694" s="10" t="s">
        <v>59860</v>
      </c>
      <c r="B9694" s="10" t="s">
        <v>59861</v>
      </c>
      <c r="C9694" s="10" t="s">
        <v>30981</v>
      </c>
      <c r="D9694" s="10" t="s">
        <v>59862</v>
      </c>
      <c r="E9694" s="10" t="s">
        <v>59848</v>
      </c>
      <c r="F9694" s="10" t="s">
        <v>667</v>
      </c>
      <c r="G9694" s="10" t="s">
        <v>59863</v>
      </c>
      <c r="H9694" s="11" t="s">
        <v>31</v>
      </c>
      <c r="I9694" s="11">
        <v>1.0</v>
      </c>
      <c r="J9694" s="11">
        <v>1.0</v>
      </c>
      <c r="K9694" s="11" t="s">
        <v>31</v>
      </c>
      <c r="L9694" s="12" t="s">
        <v>59864</v>
      </c>
      <c r="M9694" s="10" t="s">
        <v>31</v>
      </c>
      <c r="N9694" s="10" t="s">
        <v>33517</v>
      </c>
      <c r="O9694" s="12" t="s">
        <v>33518</v>
      </c>
      <c r="P9694" s="10" t="s">
        <v>59852</v>
      </c>
      <c r="Q9694" s="10" t="s">
        <v>55106</v>
      </c>
      <c r="R9694" s="10" t="s">
        <v>1018</v>
      </c>
      <c r="S9694" s="12" t="s">
        <v>59853</v>
      </c>
      <c r="T9694" s="10" t="s">
        <v>1019</v>
      </c>
      <c r="U9694" s="12" t="s">
        <v>31</v>
      </c>
      <c r="V9694" s="10" t="s">
        <v>55719</v>
      </c>
      <c r="W9694" s="10" t="s">
        <v>59848</v>
      </c>
      <c r="X9694" s="13" t="str">
        <f>HYPERLINK("https://my.pitchbook.com?p=63154-18P","View People Online")</f>
        <v>View People Online</v>
      </c>
    </row>
    <row r="9695">
      <c r="A9695" s="14" t="s">
        <v>59865</v>
      </c>
      <c r="B9695" s="14" t="s">
        <v>59866</v>
      </c>
      <c r="C9695" s="14" t="s">
        <v>536</v>
      </c>
      <c r="D9695" s="14" t="s">
        <v>59867</v>
      </c>
      <c r="E9695" s="14" t="s">
        <v>59848</v>
      </c>
      <c r="F9695" s="14" t="s">
        <v>12616</v>
      </c>
      <c r="G9695" s="14" t="s">
        <v>59868</v>
      </c>
      <c r="H9695" s="15" t="s">
        <v>31</v>
      </c>
      <c r="I9695" s="15">
        <v>2.0</v>
      </c>
      <c r="J9695" s="15">
        <v>1.0</v>
      </c>
      <c r="K9695" s="15">
        <v>1.0</v>
      </c>
      <c r="L9695" s="16" t="s">
        <v>59859</v>
      </c>
      <c r="M9695" s="14" t="s">
        <v>59869</v>
      </c>
      <c r="N9695" s="14" t="s">
        <v>33517</v>
      </c>
      <c r="O9695" s="16" t="s">
        <v>33518</v>
      </c>
      <c r="P9695" s="14" t="s">
        <v>59852</v>
      </c>
      <c r="Q9695" s="14" t="s">
        <v>55106</v>
      </c>
      <c r="R9695" s="14" t="s">
        <v>1018</v>
      </c>
      <c r="S9695" s="16" t="s">
        <v>59853</v>
      </c>
      <c r="T9695" s="14" t="s">
        <v>1019</v>
      </c>
      <c r="U9695" s="16" t="s">
        <v>31</v>
      </c>
      <c r="V9695" s="14" t="s">
        <v>59870</v>
      </c>
      <c r="W9695" s="14" t="s">
        <v>59848</v>
      </c>
      <c r="X9695" s="17" t="str">
        <f>HYPERLINK("https://my.pitchbook.com?p=295099-39P","View People Online")</f>
        <v>View People Online</v>
      </c>
    </row>
    <row r="9696">
      <c r="A9696" s="2" t="s">
        <v>59871</v>
      </c>
      <c r="B9696" s="2" t="s">
        <v>59872</v>
      </c>
      <c r="C9696" s="2" t="s">
        <v>59873</v>
      </c>
      <c r="D9696" s="2" t="s">
        <v>59874</v>
      </c>
      <c r="E9696" s="2" t="s">
        <v>59848</v>
      </c>
      <c r="F9696" s="2" t="s">
        <v>371</v>
      </c>
      <c r="G9696" s="2" t="s">
        <v>59875</v>
      </c>
      <c r="H9696" s="3" t="s">
        <v>31</v>
      </c>
      <c r="I9696" s="3">
        <v>1.0</v>
      </c>
      <c r="J9696" s="3">
        <v>1.0</v>
      </c>
      <c r="K9696" s="3" t="s">
        <v>31</v>
      </c>
      <c r="L9696" s="4" t="s">
        <v>59859</v>
      </c>
      <c r="M9696" s="2" t="s">
        <v>59876</v>
      </c>
      <c r="N9696" s="2" t="s">
        <v>33517</v>
      </c>
      <c r="O9696" s="4" t="s">
        <v>33518</v>
      </c>
      <c r="P9696" s="2" t="s">
        <v>59852</v>
      </c>
      <c r="Q9696" s="2" t="s">
        <v>55106</v>
      </c>
      <c r="R9696" s="2" t="s">
        <v>1018</v>
      </c>
      <c r="S9696" s="4" t="s">
        <v>59853</v>
      </c>
      <c r="T9696" s="2" t="s">
        <v>1019</v>
      </c>
      <c r="U9696" s="4" t="s">
        <v>31</v>
      </c>
      <c r="V9696" s="2" t="s">
        <v>29657</v>
      </c>
      <c r="W9696" s="2" t="s">
        <v>59848</v>
      </c>
      <c r="X9696" s="5" t="str">
        <f>HYPERLINK("https://my.pitchbook.com?p=368992-81P","View People Online")</f>
        <v>View People Online</v>
      </c>
    </row>
    <row r="9697">
      <c r="A9697" s="6" t="s">
        <v>59877</v>
      </c>
      <c r="B9697" s="6" t="s">
        <v>59878</v>
      </c>
      <c r="C9697" s="6" t="s">
        <v>58441</v>
      </c>
      <c r="D9697" s="6" t="s">
        <v>59879</v>
      </c>
      <c r="E9697" s="6" t="s">
        <v>59848</v>
      </c>
      <c r="F9697" s="6" t="s">
        <v>78</v>
      </c>
      <c r="G9697" s="6" t="s">
        <v>59880</v>
      </c>
      <c r="H9697" s="7" t="s">
        <v>31</v>
      </c>
      <c r="I9697" s="7">
        <v>1.0</v>
      </c>
      <c r="J9697" s="7">
        <v>1.0</v>
      </c>
      <c r="K9697" s="7" t="s">
        <v>31</v>
      </c>
      <c r="L9697" s="8" t="s">
        <v>59859</v>
      </c>
      <c r="M9697" s="6" t="s">
        <v>59881</v>
      </c>
      <c r="N9697" s="6" t="s">
        <v>33517</v>
      </c>
      <c r="O9697" s="8" t="s">
        <v>33518</v>
      </c>
      <c r="P9697" s="6" t="s">
        <v>59852</v>
      </c>
      <c r="Q9697" s="6" t="s">
        <v>55106</v>
      </c>
      <c r="R9697" s="6" t="s">
        <v>1018</v>
      </c>
      <c r="S9697" s="8" t="s">
        <v>59853</v>
      </c>
      <c r="T9697" s="6" t="s">
        <v>1019</v>
      </c>
      <c r="U9697" s="8" t="s">
        <v>31</v>
      </c>
      <c r="V9697" s="6" t="s">
        <v>78</v>
      </c>
      <c r="W9697" s="6" t="s">
        <v>59848</v>
      </c>
      <c r="X9697" s="9" t="str">
        <f>HYPERLINK("https://my.pitchbook.com?p=62073-55P","View People Online")</f>
        <v>View People Online</v>
      </c>
    </row>
    <row r="9698">
      <c r="A9698" s="10" t="s">
        <v>59882</v>
      </c>
      <c r="B9698" s="10" t="s">
        <v>59883</v>
      </c>
      <c r="C9698" s="10" t="s">
        <v>57594</v>
      </c>
      <c r="D9698" s="10" t="s">
        <v>59884</v>
      </c>
      <c r="E9698" s="10" t="s">
        <v>59848</v>
      </c>
      <c r="F9698" s="10" t="s">
        <v>371</v>
      </c>
      <c r="G9698" s="10" t="s">
        <v>59885</v>
      </c>
      <c r="H9698" s="11" t="s">
        <v>31</v>
      </c>
      <c r="I9698" s="11">
        <v>5.0</v>
      </c>
      <c r="J9698" s="11">
        <v>1.0</v>
      </c>
      <c r="K9698" s="11">
        <v>4.0</v>
      </c>
      <c r="L9698" s="12" t="s">
        <v>59886</v>
      </c>
      <c r="M9698" s="10" t="s">
        <v>59887</v>
      </c>
      <c r="N9698" s="10" t="s">
        <v>33517</v>
      </c>
      <c r="O9698" s="12" t="s">
        <v>33518</v>
      </c>
      <c r="P9698" s="10" t="s">
        <v>59852</v>
      </c>
      <c r="Q9698" s="10" t="s">
        <v>55106</v>
      </c>
      <c r="R9698" s="10" t="s">
        <v>1018</v>
      </c>
      <c r="S9698" s="12" t="s">
        <v>59853</v>
      </c>
      <c r="T9698" s="10" t="s">
        <v>1019</v>
      </c>
      <c r="U9698" s="12" t="s">
        <v>31</v>
      </c>
      <c r="V9698" s="10" t="s">
        <v>59888</v>
      </c>
      <c r="W9698" s="10" t="s">
        <v>59848</v>
      </c>
      <c r="X9698" s="13" t="str">
        <f>HYPERLINK("https://my.pitchbook.com?p=170555-41P","View People Online")</f>
        <v>View People Online</v>
      </c>
    </row>
    <row r="9699">
      <c r="A9699" s="14" t="s">
        <v>59889</v>
      </c>
      <c r="B9699" s="14" t="s">
        <v>59890</v>
      </c>
      <c r="C9699" s="14" t="s">
        <v>5591</v>
      </c>
      <c r="D9699" s="14" t="s">
        <v>3203</v>
      </c>
      <c r="E9699" s="14" t="s">
        <v>59891</v>
      </c>
      <c r="F9699" s="14" t="s">
        <v>221</v>
      </c>
      <c r="G9699" s="14" t="s">
        <v>59892</v>
      </c>
      <c r="H9699" s="15" t="s">
        <v>31</v>
      </c>
      <c r="I9699" s="15">
        <v>1.0</v>
      </c>
      <c r="J9699" s="15">
        <v>1.0</v>
      </c>
      <c r="K9699" s="15" t="s">
        <v>31</v>
      </c>
      <c r="L9699" s="16" t="s">
        <v>31</v>
      </c>
      <c r="M9699" s="14" t="s">
        <v>59893</v>
      </c>
      <c r="N9699" s="14" t="s">
        <v>155</v>
      </c>
      <c r="O9699" s="16" t="s">
        <v>156</v>
      </c>
      <c r="P9699" s="14" t="s">
        <v>31</v>
      </c>
      <c r="Q9699" s="14" t="s">
        <v>31</v>
      </c>
      <c r="R9699" s="14" t="s">
        <v>64</v>
      </c>
      <c r="S9699" s="16" t="s">
        <v>31</v>
      </c>
      <c r="T9699" s="14" t="s">
        <v>66</v>
      </c>
      <c r="U9699" s="16" t="s">
        <v>31</v>
      </c>
      <c r="V9699" s="14" t="s">
        <v>957</v>
      </c>
      <c r="W9699" s="14" t="s">
        <v>59891</v>
      </c>
      <c r="X9699" s="17" t="str">
        <f>HYPERLINK("https://my.pitchbook.com?p=448028-29P","View People Online")</f>
        <v>View People Online</v>
      </c>
    </row>
    <row r="9700">
      <c r="A9700" s="2" t="s">
        <v>59894</v>
      </c>
      <c r="B9700" s="2" t="s">
        <v>59895</v>
      </c>
      <c r="C9700" s="2" t="s">
        <v>10162</v>
      </c>
      <c r="D9700" s="2" t="s">
        <v>21687</v>
      </c>
      <c r="E9700" s="2" t="s">
        <v>59891</v>
      </c>
      <c r="F9700" s="2" t="s">
        <v>470</v>
      </c>
      <c r="G9700" s="2" t="s">
        <v>59896</v>
      </c>
      <c r="H9700" s="3" t="s">
        <v>31</v>
      </c>
      <c r="I9700" s="3">
        <v>1.0</v>
      </c>
      <c r="J9700" s="3">
        <v>1.0</v>
      </c>
      <c r="K9700" s="3" t="s">
        <v>31</v>
      </c>
      <c r="L9700" s="4" t="s">
        <v>31</v>
      </c>
      <c r="M9700" s="2" t="s">
        <v>59897</v>
      </c>
      <c r="N9700" s="2" t="s">
        <v>155</v>
      </c>
      <c r="O9700" s="4" t="s">
        <v>156</v>
      </c>
      <c r="P9700" s="2" t="s">
        <v>31</v>
      </c>
      <c r="Q9700" s="2" t="s">
        <v>31</v>
      </c>
      <c r="R9700" s="2" t="s">
        <v>64</v>
      </c>
      <c r="S9700" s="4" t="s">
        <v>31</v>
      </c>
      <c r="T9700" s="2" t="s">
        <v>66</v>
      </c>
      <c r="U9700" s="4" t="s">
        <v>31</v>
      </c>
      <c r="V9700" s="2" t="s">
        <v>470</v>
      </c>
      <c r="W9700" s="2" t="s">
        <v>59891</v>
      </c>
      <c r="X9700" s="5" t="str">
        <f>HYPERLINK("https://my.pitchbook.com?p=445012-39P","View People Online")</f>
        <v>View People Online</v>
      </c>
    </row>
    <row r="9701">
      <c r="A9701" s="14" t="s">
        <v>59898</v>
      </c>
      <c r="B9701" s="14" t="s">
        <v>59899</v>
      </c>
      <c r="C9701" s="14" t="s">
        <v>160</v>
      </c>
      <c r="D9701" s="14" t="s">
        <v>59900</v>
      </c>
      <c r="E9701" s="14" t="s">
        <v>59891</v>
      </c>
      <c r="F9701" s="14" t="s">
        <v>548</v>
      </c>
      <c r="G9701" s="14" t="s">
        <v>59901</v>
      </c>
      <c r="H9701" s="15" t="s">
        <v>31</v>
      </c>
      <c r="I9701" s="15">
        <v>2.0</v>
      </c>
      <c r="J9701" s="15">
        <v>2.0</v>
      </c>
      <c r="K9701" s="15" t="s">
        <v>31</v>
      </c>
      <c r="L9701" s="16" t="s">
        <v>31</v>
      </c>
      <c r="M9701" s="14" t="s">
        <v>59902</v>
      </c>
      <c r="N9701" s="14" t="s">
        <v>155</v>
      </c>
      <c r="O9701" s="16" t="s">
        <v>156</v>
      </c>
      <c r="P9701" s="14" t="s">
        <v>31</v>
      </c>
      <c r="Q9701" s="14" t="s">
        <v>31</v>
      </c>
      <c r="R9701" s="14" t="s">
        <v>64</v>
      </c>
      <c r="S9701" s="16" t="s">
        <v>31</v>
      </c>
      <c r="T9701" s="14" t="s">
        <v>66</v>
      </c>
      <c r="U9701" s="16" t="s">
        <v>31</v>
      </c>
      <c r="V9701" s="14" t="s">
        <v>28428</v>
      </c>
      <c r="W9701" s="14" t="s">
        <v>59891</v>
      </c>
      <c r="X9701" s="17" t="str">
        <f>HYPERLINK("https://my.pitchbook.com?p=304174-90P","View People Online")</f>
        <v>View People Online</v>
      </c>
    </row>
    <row r="9702">
      <c r="A9702" s="10" t="s">
        <v>59903</v>
      </c>
      <c r="B9702" s="10" t="s">
        <v>59904</v>
      </c>
      <c r="C9702" s="10" t="s">
        <v>305</v>
      </c>
      <c r="D9702" s="10" t="s">
        <v>5779</v>
      </c>
      <c r="E9702" s="10" t="s">
        <v>59905</v>
      </c>
      <c r="F9702" s="10" t="s">
        <v>8581</v>
      </c>
      <c r="G9702" s="10" t="s">
        <v>59906</v>
      </c>
      <c r="H9702" s="11" t="s">
        <v>31</v>
      </c>
      <c r="I9702" s="11">
        <v>6.0</v>
      </c>
      <c r="J9702" s="11">
        <v>2.0</v>
      </c>
      <c r="K9702" s="11">
        <v>3.0</v>
      </c>
      <c r="L9702" s="12" t="s">
        <v>31</v>
      </c>
      <c r="M9702" s="10" t="s">
        <v>59907</v>
      </c>
      <c r="N9702" s="10" t="s">
        <v>59908</v>
      </c>
      <c r="O9702" s="12" t="s">
        <v>59909</v>
      </c>
      <c r="P9702" s="10" t="s">
        <v>59910</v>
      </c>
      <c r="Q9702" s="10" t="s">
        <v>3859</v>
      </c>
      <c r="R9702" s="10" t="s">
        <v>64</v>
      </c>
      <c r="S9702" s="12" t="s">
        <v>59911</v>
      </c>
      <c r="T9702" s="10" t="s">
        <v>66</v>
      </c>
      <c r="U9702" s="12" t="s">
        <v>31</v>
      </c>
      <c r="V9702" s="10" t="s">
        <v>59912</v>
      </c>
      <c r="W9702" s="10" t="s">
        <v>59905</v>
      </c>
      <c r="X9702" s="13" t="str">
        <f>HYPERLINK("https://my.pitchbook.com?p=313976-53P","View People Online")</f>
        <v>View People Online</v>
      </c>
    </row>
    <row r="9703">
      <c r="A9703" s="14" t="s">
        <v>59913</v>
      </c>
      <c r="B9703" s="14" t="s">
        <v>59914</v>
      </c>
      <c r="C9703" s="14" t="s">
        <v>3811</v>
      </c>
      <c r="D9703" s="14" t="s">
        <v>3354</v>
      </c>
      <c r="E9703" s="14" t="s">
        <v>59905</v>
      </c>
      <c r="F9703" s="14" t="s">
        <v>114</v>
      </c>
      <c r="G9703" s="14" t="s">
        <v>59915</v>
      </c>
      <c r="H9703" s="15">
        <v>2.0</v>
      </c>
      <c r="I9703" s="15">
        <v>21.0</v>
      </c>
      <c r="J9703" s="15">
        <v>3.0</v>
      </c>
      <c r="K9703" s="15">
        <v>10.0</v>
      </c>
      <c r="L9703" s="16" t="s">
        <v>59916</v>
      </c>
      <c r="M9703" s="14" t="s">
        <v>59917</v>
      </c>
      <c r="N9703" s="14" t="s">
        <v>155</v>
      </c>
      <c r="O9703" s="16" t="s">
        <v>156</v>
      </c>
      <c r="P9703" s="14" t="s">
        <v>59918</v>
      </c>
      <c r="Q9703" s="14" t="s">
        <v>42629</v>
      </c>
      <c r="R9703" s="14" t="s">
        <v>64</v>
      </c>
      <c r="S9703" s="16" t="s">
        <v>6601</v>
      </c>
      <c r="T9703" s="14" t="s">
        <v>66</v>
      </c>
      <c r="U9703" s="16" t="s">
        <v>31</v>
      </c>
      <c r="V9703" s="14" t="s">
        <v>1172</v>
      </c>
      <c r="W9703" s="14" t="s">
        <v>59919</v>
      </c>
      <c r="X9703" s="17" t="str">
        <f>HYPERLINK("https://my.pitchbook.com?p=13019-86P","View People Online")</f>
        <v>View People Online</v>
      </c>
    </row>
    <row r="9704">
      <c r="A9704" s="10" t="s">
        <v>59920</v>
      </c>
      <c r="B9704" s="10" t="s">
        <v>59921</v>
      </c>
      <c r="C9704" s="10" t="s">
        <v>31666</v>
      </c>
      <c r="D9704" s="10" t="s">
        <v>59922</v>
      </c>
      <c r="E9704" s="10" t="s">
        <v>59905</v>
      </c>
      <c r="F9704" s="10" t="s">
        <v>78</v>
      </c>
      <c r="G9704" s="10" t="s">
        <v>59923</v>
      </c>
      <c r="H9704" s="11" t="s">
        <v>31</v>
      </c>
      <c r="I9704" s="11">
        <v>6.0</v>
      </c>
      <c r="J9704" s="11">
        <v>2.0</v>
      </c>
      <c r="K9704" s="11">
        <v>1.0</v>
      </c>
      <c r="L9704" s="12" t="s">
        <v>31</v>
      </c>
      <c r="M9704" s="10" t="s">
        <v>59924</v>
      </c>
      <c r="N9704" s="10" t="s">
        <v>59908</v>
      </c>
      <c r="O9704" s="12" t="s">
        <v>59909</v>
      </c>
      <c r="P9704" s="10" t="s">
        <v>59910</v>
      </c>
      <c r="Q9704" s="10" t="s">
        <v>3859</v>
      </c>
      <c r="R9704" s="10" t="s">
        <v>64</v>
      </c>
      <c r="S9704" s="12" t="s">
        <v>59911</v>
      </c>
      <c r="T9704" s="10" t="s">
        <v>66</v>
      </c>
      <c r="U9704" s="12" t="s">
        <v>31</v>
      </c>
      <c r="V9704" s="10" t="s">
        <v>78</v>
      </c>
      <c r="W9704" s="10" t="s">
        <v>59905</v>
      </c>
      <c r="X9704" s="13" t="str">
        <f>HYPERLINK("https://my.pitchbook.com?p=111652-30P","View People Online")</f>
        <v>View People Online</v>
      </c>
    </row>
    <row r="9705">
      <c r="A9705" s="14" t="s">
        <v>59925</v>
      </c>
      <c r="B9705" s="14" t="s">
        <v>59926</v>
      </c>
      <c r="C9705" s="14" t="s">
        <v>1343</v>
      </c>
      <c r="D9705" s="14" t="s">
        <v>45530</v>
      </c>
      <c r="E9705" s="14" t="s">
        <v>59905</v>
      </c>
      <c r="F9705" s="14" t="s">
        <v>1283</v>
      </c>
      <c r="G9705" s="14" t="s">
        <v>59927</v>
      </c>
      <c r="H9705" s="15" t="s">
        <v>31</v>
      </c>
      <c r="I9705" s="15">
        <v>12.0</v>
      </c>
      <c r="J9705" s="15">
        <v>2.0</v>
      </c>
      <c r="K9705" s="15">
        <v>9.0</v>
      </c>
      <c r="L9705" s="16" t="s">
        <v>31</v>
      </c>
      <c r="M9705" s="14" t="s">
        <v>59928</v>
      </c>
      <c r="N9705" s="14" t="s">
        <v>59908</v>
      </c>
      <c r="O9705" s="16" t="s">
        <v>59909</v>
      </c>
      <c r="P9705" s="14" t="s">
        <v>59910</v>
      </c>
      <c r="Q9705" s="14" t="s">
        <v>3859</v>
      </c>
      <c r="R9705" s="14" t="s">
        <v>64</v>
      </c>
      <c r="S9705" s="16" t="s">
        <v>59911</v>
      </c>
      <c r="T9705" s="14" t="s">
        <v>66</v>
      </c>
      <c r="U9705" s="16" t="s">
        <v>31</v>
      </c>
      <c r="V9705" s="14" t="s">
        <v>59929</v>
      </c>
      <c r="W9705" s="14" t="s">
        <v>59905</v>
      </c>
      <c r="X9705" s="17" t="str">
        <f>HYPERLINK("https://my.pitchbook.com?p=288328-69P","View People Online")</f>
        <v>View People Online</v>
      </c>
    </row>
    <row r="9706">
      <c r="A9706" s="10" t="s">
        <v>59930</v>
      </c>
      <c r="B9706" s="10" t="s">
        <v>59931</v>
      </c>
      <c r="C9706" s="10" t="s">
        <v>1343</v>
      </c>
      <c r="D9706" s="10" t="s">
        <v>59922</v>
      </c>
      <c r="E9706" s="10" t="s">
        <v>59905</v>
      </c>
      <c r="F9706" s="10" t="s">
        <v>1167</v>
      </c>
      <c r="G9706" s="10" t="s">
        <v>59932</v>
      </c>
      <c r="H9706" s="11">
        <v>1.0</v>
      </c>
      <c r="I9706" s="11">
        <v>88.0</v>
      </c>
      <c r="J9706" s="11">
        <v>3.0</v>
      </c>
      <c r="K9706" s="11">
        <v>78.0</v>
      </c>
      <c r="L9706" s="12" t="s">
        <v>59933</v>
      </c>
      <c r="M9706" s="10" t="s">
        <v>59934</v>
      </c>
      <c r="N9706" s="10" t="s">
        <v>59908</v>
      </c>
      <c r="O9706" s="12" t="s">
        <v>59909</v>
      </c>
      <c r="P9706" s="10" t="s">
        <v>59910</v>
      </c>
      <c r="Q9706" s="10" t="s">
        <v>3859</v>
      </c>
      <c r="R9706" s="10" t="s">
        <v>64</v>
      </c>
      <c r="S9706" s="12" t="s">
        <v>59911</v>
      </c>
      <c r="T9706" s="10" t="s">
        <v>66</v>
      </c>
      <c r="U9706" s="12" t="s">
        <v>31</v>
      </c>
      <c r="V9706" s="10" t="s">
        <v>558</v>
      </c>
      <c r="W9706" s="10" t="s">
        <v>59905</v>
      </c>
      <c r="X9706" s="13" t="str">
        <f>HYPERLINK("https://my.pitchbook.com?p=67379-41P","View People Online")</f>
        <v>View People Online</v>
      </c>
    </row>
    <row r="9707">
      <c r="A9707" s="6" t="s">
        <v>59935</v>
      </c>
      <c r="B9707" s="6" t="s">
        <v>59936</v>
      </c>
      <c r="C9707" s="6" t="s">
        <v>5113</v>
      </c>
      <c r="D9707" s="6" t="s">
        <v>59937</v>
      </c>
      <c r="E9707" s="6" t="s">
        <v>59905</v>
      </c>
      <c r="F9707" s="6" t="s">
        <v>825</v>
      </c>
      <c r="G9707" s="6" t="s">
        <v>59938</v>
      </c>
      <c r="H9707" s="7" t="s">
        <v>31</v>
      </c>
      <c r="I9707" s="7">
        <v>1.0</v>
      </c>
      <c r="J9707" s="7">
        <v>1.0</v>
      </c>
      <c r="K9707" s="7" t="s">
        <v>31</v>
      </c>
      <c r="L9707" s="8" t="s">
        <v>31</v>
      </c>
      <c r="M9707" s="6" t="s">
        <v>31</v>
      </c>
      <c r="N9707" s="6" t="s">
        <v>59908</v>
      </c>
      <c r="O9707" s="8" t="s">
        <v>59909</v>
      </c>
      <c r="P9707" s="6" t="s">
        <v>59910</v>
      </c>
      <c r="Q9707" s="6" t="s">
        <v>3859</v>
      </c>
      <c r="R9707" s="6" t="s">
        <v>64</v>
      </c>
      <c r="S9707" s="8" t="s">
        <v>59911</v>
      </c>
      <c r="T9707" s="6" t="s">
        <v>66</v>
      </c>
      <c r="U9707" s="8" t="s">
        <v>31</v>
      </c>
      <c r="V9707" s="6" t="s">
        <v>59939</v>
      </c>
      <c r="W9707" s="6" t="s">
        <v>59905</v>
      </c>
      <c r="X9707" s="9" t="str">
        <f>HYPERLINK("https://my.pitchbook.com?p=443310-13P","View People Online")</f>
        <v>View People Online</v>
      </c>
    </row>
    <row r="9708">
      <c r="A9708" s="10" t="s">
        <v>59940</v>
      </c>
      <c r="B9708" s="10" t="s">
        <v>59941</v>
      </c>
      <c r="C9708" s="10" t="s">
        <v>536</v>
      </c>
      <c r="D9708" s="10" t="s">
        <v>59942</v>
      </c>
      <c r="E9708" s="10" t="s">
        <v>59943</v>
      </c>
      <c r="F9708" s="10" t="s">
        <v>23372</v>
      </c>
      <c r="G9708" s="10" t="s">
        <v>59944</v>
      </c>
      <c r="H9708" s="11">
        <v>2.0</v>
      </c>
      <c r="I9708" s="11">
        <v>6.0</v>
      </c>
      <c r="J9708" s="11">
        <v>1.0</v>
      </c>
      <c r="K9708" s="11">
        <v>4.0</v>
      </c>
      <c r="L9708" s="12" t="s">
        <v>59945</v>
      </c>
      <c r="M9708" s="10" t="s">
        <v>59946</v>
      </c>
      <c r="N9708" s="10" t="s">
        <v>59947</v>
      </c>
      <c r="O9708" s="12" t="s">
        <v>59948</v>
      </c>
      <c r="P9708" s="10" t="s">
        <v>59949</v>
      </c>
      <c r="Q9708" s="10" t="s">
        <v>31</v>
      </c>
      <c r="R9708" s="10" t="s">
        <v>1420</v>
      </c>
      <c r="S9708" s="12" t="s">
        <v>59950</v>
      </c>
      <c r="T9708" s="10" t="s">
        <v>66</v>
      </c>
      <c r="U9708" s="12" t="s">
        <v>31</v>
      </c>
      <c r="V9708" s="10" t="s">
        <v>59951</v>
      </c>
      <c r="W9708" s="10" t="s">
        <v>59943</v>
      </c>
      <c r="X9708" s="13" t="str">
        <f>HYPERLINK("https://my.pitchbook.com?p=36932-86P","View People Online")</f>
        <v>View People Online</v>
      </c>
    </row>
    <row r="9709">
      <c r="A9709" s="6" t="s">
        <v>59952</v>
      </c>
      <c r="B9709" s="6" t="s">
        <v>59953</v>
      </c>
      <c r="C9709" s="6" t="s">
        <v>22172</v>
      </c>
      <c r="D9709" s="6" t="s">
        <v>59954</v>
      </c>
      <c r="E9709" s="6" t="s">
        <v>59943</v>
      </c>
      <c r="F9709" s="6" t="s">
        <v>23372</v>
      </c>
      <c r="G9709" s="6" t="s">
        <v>59955</v>
      </c>
      <c r="H9709" s="7">
        <v>2.0</v>
      </c>
      <c r="I9709" s="7">
        <v>2.0</v>
      </c>
      <c r="J9709" s="7">
        <v>1.0</v>
      </c>
      <c r="K9709" s="7" t="s">
        <v>31</v>
      </c>
      <c r="L9709" s="8" t="s">
        <v>59945</v>
      </c>
      <c r="M9709" s="6" t="s">
        <v>31</v>
      </c>
      <c r="N9709" s="6" t="s">
        <v>59947</v>
      </c>
      <c r="O9709" s="8" t="s">
        <v>59948</v>
      </c>
      <c r="P9709" s="6" t="s">
        <v>59949</v>
      </c>
      <c r="Q9709" s="6" t="s">
        <v>31</v>
      </c>
      <c r="R9709" s="6" t="s">
        <v>1420</v>
      </c>
      <c r="S9709" s="8" t="s">
        <v>59950</v>
      </c>
      <c r="T9709" s="6" t="s">
        <v>66</v>
      </c>
      <c r="U9709" s="8" t="s">
        <v>31</v>
      </c>
      <c r="V9709" s="6" t="s">
        <v>59956</v>
      </c>
      <c r="W9709" s="6" t="s">
        <v>59943</v>
      </c>
      <c r="X9709" s="9" t="str">
        <f>HYPERLINK("https://my.pitchbook.com?p=406518-94P","View People Online")</f>
        <v>View People Online</v>
      </c>
    </row>
    <row r="9710">
      <c r="A9710" s="10" t="s">
        <v>59957</v>
      </c>
      <c r="B9710" s="10" t="s">
        <v>59958</v>
      </c>
      <c r="C9710" s="10" t="s">
        <v>1437</v>
      </c>
      <c r="D9710" s="10" t="s">
        <v>59959</v>
      </c>
      <c r="E9710" s="10" t="s">
        <v>59960</v>
      </c>
      <c r="F9710" s="10" t="s">
        <v>2540</v>
      </c>
      <c r="G9710" s="10" t="s">
        <v>59961</v>
      </c>
      <c r="H9710" s="11">
        <v>1.0</v>
      </c>
      <c r="I9710" s="11">
        <v>2.0</v>
      </c>
      <c r="J9710" s="11">
        <v>1.0</v>
      </c>
      <c r="K9710" s="11" t="s">
        <v>31</v>
      </c>
      <c r="L9710" s="12" t="s">
        <v>59962</v>
      </c>
      <c r="M9710" s="10" t="s">
        <v>59963</v>
      </c>
      <c r="N9710" s="10" t="s">
        <v>1170</v>
      </c>
      <c r="O9710" s="12" t="s">
        <v>1171</v>
      </c>
      <c r="P9710" s="10" t="s">
        <v>59964</v>
      </c>
      <c r="Q9710" s="10" t="s">
        <v>31</v>
      </c>
      <c r="R9710" s="10" t="s">
        <v>64</v>
      </c>
      <c r="S9710" s="12" t="s">
        <v>59965</v>
      </c>
      <c r="T9710" s="10" t="s">
        <v>66</v>
      </c>
      <c r="U9710" s="12" t="s">
        <v>31</v>
      </c>
      <c r="V9710" s="10" t="s">
        <v>2540</v>
      </c>
      <c r="W9710" s="10" t="s">
        <v>59960</v>
      </c>
      <c r="X9710" s="13" t="str">
        <f>HYPERLINK("https://my.pitchbook.com?p=333133-57P","View People Online")</f>
        <v>View People Online</v>
      </c>
    </row>
    <row r="9711">
      <c r="A9711" s="6" t="s">
        <v>59966</v>
      </c>
      <c r="B9711" s="6" t="s">
        <v>59967</v>
      </c>
      <c r="C9711" s="6" t="s">
        <v>3529</v>
      </c>
      <c r="D9711" s="6" t="s">
        <v>59968</v>
      </c>
      <c r="E9711" s="6" t="s">
        <v>59960</v>
      </c>
      <c r="F9711" s="6" t="s">
        <v>78</v>
      </c>
      <c r="G9711" s="6" t="s">
        <v>59969</v>
      </c>
      <c r="H9711" s="7" t="s">
        <v>31</v>
      </c>
      <c r="I9711" s="7">
        <v>1.0</v>
      </c>
      <c r="J9711" s="7">
        <v>1.0</v>
      </c>
      <c r="K9711" s="7" t="s">
        <v>31</v>
      </c>
      <c r="L9711" s="8" t="s">
        <v>59962</v>
      </c>
      <c r="M9711" s="6" t="s">
        <v>59970</v>
      </c>
      <c r="N9711" s="6" t="s">
        <v>1170</v>
      </c>
      <c r="O9711" s="8" t="s">
        <v>1171</v>
      </c>
      <c r="P9711" s="6" t="s">
        <v>59964</v>
      </c>
      <c r="Q9711" s="6" t="s">
        <v>31</v>
      </c>
      <c r="R9711" s="6" t="s">
        <v>64</v>
      </c>
      <c r="S9711" s="8" t="s">
        <v>59965</v>
      </c>
      <c r="T9711" s="6" t="s">
        <v>66</v>
      </c>
      <c r="U9711" s="8" t="s">
        <v>31</v>
      </c>
      <c r="V9711" s="6" t="s">
        <v>10197</v>
      </c>
      <c r="W9711" s="6" t="s">
        <v>59960</v>
      </c>
      <c r="X9711" s="9" t="str">
        <f>HYPERLINK("https://my.pitchbook.com?p=319652-11P","View People Online")</f>
        <v>View People Online</v>
      </c>
    </row>
    <row r="9712">
      <c r="A9712" s="10" t="s">
        <v>59971</v>
      </c>
      <c r="B9712" s="10" t="s">
        <v>59972</v>
      </c>
      <c r="C9712" s="10" t="s">
        <v>1356</v>
      </c>
      <c r="D9712" s="10" t="s">
        <v>59973</v>
      </c>
      <c r="E9712" s="10" t="s">
        <v>59960</v>
      </c>
      <c r="F9712" s="10" t="s">
        <v>4527</v>
      </c>
      <c r="G9712" s="10" t="s">
        <v>59974</v>
      </c>
      <c r="H9712" s="11">
        <v>2.0</v>
      </c>
      <c r="I9712" s="11">
        <v>6.0</v>
      </c>
      <c r="J9712" s="11">
        <v>2.0</v>
      </c>
      <c r="K9712" s="11">
        <v>2.0</v>
      </c>
      <c r="L9712" s="12" t="s">
        <v>59975</v>
      </c>
      <c r="M9712" s="10" t="s">
        <v>59976</v>
      </c>
      <c r="N9712" s="10" t="s">
        <v>33964</v>
      </c>
      <c r="O9712" s="12" t="s">
        <v>33965</v>
      </c>
      <c r="P9712" s="10" t="s">
        <v>59977</v>
      </c>
      <c r="Q9712" s="10" t="s">
        <v>2839</v>
      </c>
      <c r="R9712" s="10" t="s">
        <v>64</v>
      </c>
      <c r="S9712" s="12" t="s">
        <v>59978</v>
      </c>
      <c r="T9712" s="10" t="s">
        <v>66</v>
      </c>
      <c r="U9712" s="12" t="s">
        <v>31</v>
      </c>
      <c r="V9712" s="10" t="s">
        <v>1384</v>
      </c>
      <c r="W9712" s="10" t="s">
        <v>59960</v>
      </c>
      <c r="X9712" s="13" t="str">
        <f>HYPERLINK("https://my.pitchbook.com?p=57466-72P","View People Online")</f>
        <v>View People Online</v>
      </c>
    </row>
    <row r="9713">
      <c r="A9713" s="14" t="s">
        <v>59979</v>
      </c>
      <c r="B9713" s="14" t="s">
        <v>59980</v>
      </c>
      <c r="C9713" s="14" t="s">
        <v>20056</v>
      </c>
      <c r="D9713" s="14" t="s">
        <v>59981</v>
      </c>
      <c r="E9713" s="14" t="s">
        <v>59960</v>
      </c>
      <c r="F9713" s="14" t="s">
        <v>3645</v>
      </c>
      <c r="G9713" s="14" t="s">
        <v>59982</v>
      </c>
      <c r="H9713" s="15" t="s">
        <v>31</v>
      </c>
      <c r="I9713" s="15">
        <v>1.0</v>
      </c>
      <c r="J9713" s="15">
        <v>1.0</v>
      </c>
      <c r="K9713" s="15" t="s">
        <v>31</v>
      </c>
      <c r="L9713" s="16" t="s">
        <v>59962</v>
      </c>
      <c r="M9713" s="14" t="s">
        <v>59983</v>
      </c>
      <c r="N9713" s="14" t="s">
        <v>1170</v>
      </c>
      <c r="O9713" s="16" t="s">
        <v>1171</v>
      </c>
      <c r="P9713" s="14" t="s">
        <v>59964</v>
      </c>
      <c r="Q9713" s="14" t="s">
        <v>31</v>
      </c>
      <c r="R9713" s="14" t="s">
        <v>64</v>
      </c>
      <c r="S9713" s="16" t="s">
        <v>59965</v>
      </c>
      <c r="T9713" s="14" t="s">
        <v>66</v>
      </c>
      <c r="U9713" s="16" t="s">
        <v>31</v>
      </c>
      <c r="V9713" s="14" t="s">
        <v>502</v>
      </c>
      <c r="W9713" s="14" t="s">
        <v>59960</v>
      </c>
      <c r="X9713" s="17" t="str">
        <f>HYPERLINK("https://my.pitchbook.com?p=68361-94P","View People Online")</f>
        <v>View People Online</v>
      </c>
    </row>
    <row r="9714">
      <c r="A9714" s="10" t="s">
        <v>59984</v>
      </c>
      <c r="B9714" s="10" t="s">
        <v>59985</v>
      </c>
      <c r="C9714" s="10" t="s">
        <v>20223</v>
      </c>
      <c r="D9714" s="10" t="s">
        <v>59986</v>
      </c>
      <c r="E9714" s="10" t="s">
        <v>59960</v>
      </c>
      <c r="F9714" s="10" t="s">
        <v>12225</v>
      </c>
      <c r="G9714" s="10" t="s">
        <v>59987</v>
      </c>
      <c r="H9714" s="11">
        <v>1.0</v>
      </c>
      <c r="I9714" s="11">
        <v>4.0</v>
      </c>
      <c r="J9714" s="11">
        <v>2.0</v>
      </c>
      <c r="K9714" s="11">
        <v>1.0</v>
      </c>
      <c r="L9714" s="12" t="s">
        <v>59975</v>
      </c>
      <c r="M9714" s="10" t="s">
        <v>59988</v>
      </c>
      <c r="N9714" s="10" t="s">
        <v>33964</v>
      </c>
      <c r="O9714" s="12" t="s">
        <v>33965</v>
      </c>
      <c r="P9714" s="10" t="s">
        <v>59977</v>
      </c>
      <c r="Q9714" s="10" t="s">
        <v>2839</v>
      </c>
      <c r="R9714" s="10" t="s">
        <v>64</v>
      </c>
      <c r="S9714" s="12" t="s">
        <v>59978</v>
      </c>
      <c r="T9714" s="10" t="s">
        <v>66</v>
      </c>
      <c r="U9714" s="12" t="s">
        <v>31</v>
      </c>
      <c r="V9714" s="10" t="s">
        <v>59989</v>
      </c>
      <c r="W9714" s="10" t="s">
        <v>59960</v>
      </c>
      <c r="X9714" s="13" t="str">
        <f>HYPERLINK("https://my.pitchbook.com?p=57466-81P","View People Online")</f>
        <v>View People Online</v>
      </c>
    </row>
    <row r="9715">
      <c r="A9715" s="14" t="s">
        <v>59990</v>
      </c>
      <c r="B9715" s="14" t="s">
        <v>59991</v>
      </c>
      <c r="C9715" s="14" t="s">
        <v>907</v>
      </c>
      <c r="D9715" s="14" t="s">
        <v>59992</v>
      </c>
      <c r="E9715" s="14" t="s">
        <v>59960</v>
      </c>
      <c r="F9715" s="14" t="s">
        <v>548</v>
      </c>
      <c r="G9715" s="14" t="s">
        <v>59993</v>
      </c>
      <c r="H9715" s="15" t="s">
        <v>31</v>
      </c>
      <c r="I9715" s="15">
        <v>1.0</v>
      </c>
      <c r="J9715" s="15">
        <v>1.0</v>
      </c>
      <c r="K9715" s="15" t="s">
        <v>31</v>
      </c>
      <c r="L9715" s="16" t="s">
        <v>59975</v>
      </c>
      <c r="M9715" s="14" t="s">
        <v>59994</v>
      </c>
      <c r="N9715" s="14" t="s">
        <v>33964</v>
      </c>
      <c r="O9715" s="16" t="s">
        <v>33965</v>
      </c>
      <c r="P9715" s="14" t="s">
        <v>59977</v>
      </c>
      <c r="Q9715" s="14" t="s">
        <v>2839</v>
      </c>
      <c r="R9715" s="14" t="s">
        <v>64</v>
      </c>
      <c r="S9715" s="16" t="s">
        <v>59978</v>
      </c>
      <c r="T9715" s="14" t="s">
        <v>66</v>
      </c>
      <c r="U9715" s="16" t="s">
        <v>31</v>
      </c>
      <c r="V9715" s="14" t="s">
        <v>59995</v>
      </c>
      <c r="W9715" s="14" t="s">
        <v>59960</v>
      </c>
      <c r="X9715" s="17" t="str">
        <f>HYPERLINK("https://my.pitchbook.com?p=80380-00P","View People Online")</f>
        <v>View People Online</v>
      </c>
    </row>
    <row r="9716">
      <c r="A9716" s="2" t="s">
        <v>59996</v>
      </c>
      <c r="B9716" s="2" t="s">
        <v>59997</v>
      </c>
      <c r="C9716" s="2" t="s">
        <v>3215</v>
      </c>
      <c r="D9716" s="2" t="s">
        <v>59998</v>
      </c>
      <c r="E9716" s="2" t="s">
        <v>59960</v>
      </c>
      <c r="F9716" s="2" t="s">
        <v>12225</v>
      </c>
      <c r="G9716" s="2" t="s">
        <v>59999</v>
      </c>
      <c r="H9716" s="3">
        <v>1.0</v>
      </c>
      <c r="I9716" s="3">
        <v>5.0</v>
      </c>
      <c r="J9716" s="3">
        <v>2.0</v>
      </c>
      <c r="K9716" s="3">
        <v>1.0</v>
      </c>
      <c r="L9716" s="4" t="s">
        <v>59975</v>
      </c>
      <c r="M9716" s="2" t="s">
        <v>60000</v>
      </c>
      <c r="N9716" s="2" t="s">
        <v>33964</v>
      </c>
      <c r="O9716" s="4" t="s">
        <v>33965</v>
      </c>
      <c r="P9716" s="2" t="s">
        <v>59977</v>
      </c>
      <c r="Q9716" s="2" t="s">
        <v>2839</v>
      </c>
      <c r="R9716" s="2" t="s">
        <v>64</v>
      </c>
      <c r="S9716" s="4" t="s">
        <v>59978</v>
      </c>
      <c r="T9716" s="2" t="s">
        <v>66</v>
      </c>
      <c r="U9716" s="4" t="s">
        <v>31</v>
      </c>
      <c r="V9716" s="2" t="s">
        <v>36315</v>
      </c>
      <c r="W9716" s="2" t="s">
        <v>59960</v>
      </c>
      <c r="X9716" s="5" t="str">
        <f>HYPERLINK("https://my.pitchbook.com?p=57466-45P","View People Online")</f>
        <v>View People Online</v>
      </c>
    </row>
    <row r="9717">
      <c r="A9717" s="14" t="s">
        <v>60001</v>
      </c>
      <c r="B9717" s="14" t="s">
        <v>60002</v>
      </c>
      <c r="C9717" s="14" t="s">
        <v>2412</v>
      </c>
      <c r="D9717" s="14" t="s">
        <v>60003</v>
      </c>
      <c r="E9717" s="14" t="s">
        <v>59960</v>
      </c>
      <c r="F9717" s="14" t="s">
        <v>5065</v>
      </c>
      <c r="G9717" s="14" t="s">
        <v>60004</v>
      </c>
      <c r="H9717" s="15" t="s">
        <v>31</v>
      </c>
      <c r="I9717" s="15">
        <v>1.0</v>
      </c>
      <c r="J9717" s="15">
        <v>1.0</v>
      </c>
      <c r="K9717" s="15" t="s">
        <v>31</v>
      </c>
      <c r="L9717" s="16" t="s">
        <v>59962</v>
      </c>
      <c r="M9717" s="14" t="s">
        <v>60005</v>
      </c>
      <c r="N9717" s="14" t="s">
        <v>1170</v>
      </c>
      <c r="O9717" s="16" t="s">
        <v>1171</v>
      </c>
      <c r="P9717" s="14" t="s">
        <v>59964</v>
      </c>
      <c r="Q9717" s="14" t="s">
        <v>31</v>
      </c>
      <c r="R9717" s="14" t="s">
        <v>64</v>
      </c>
      <c r="S9717" s="16" t="s">
        <v>59965</v>
      </c>
      <c r="T9717" s="14" t="s">
        <v>66</v>
      </c>
      <c r="U9717" s="16" t="s">
        <v>31</v>
      </c>
      <c r="V9717" s="14" t="s">
        <v>60006</v>
      </c>
      <c r="W9717" s="14" t="s">
        <v>59960</v>
      </c>
      <c r="X9717" s="17" t="str">
        <f>HYPERLINK("https://my.pitchbook.com?p=376286-32P","View People Online")</f>
        <v>View People Online</v>
      </c>
    </row>
    <row r="9718">
      <c r="A9718" s="2" t="s">
        <v>60007</v>
      </c>
      <c r="B9718" s="2" t="s">
        <v>60008</v>
      </c>
      <c r="C9718" s="2" t="s">
        <v>13792</v>
      </c>
      <c r="D9718" s="2" t="s">
        <v>60009</v>
      </c>
      <c r="E9718" s="2" t="s">
        <v>60010</v>
      </c>
      <c r="F9718" s="2" t="s">
        <v>825</v>
      </c>
      <c r="G9718" s="2" t="s">
        <v>60011</v>
      </c>
      <c r="H9718" s="3" t="s">
        <v>31</v>
      </c>
      <c r="I9718" s="3">
        <v>1.0</v>
      </c>
      <c r="J9718" s="3">
        <v>1.0</v>
      </c>
      <c r="K9718" s="3" t="s">
        <v>31</v>
      </c>
      <c r="L9718" s="4" t="s">
        <v>60012</v>
      </c>
      <c r="M9718" s="2" t="s">
        <v>60013</v>
      </c>
      <c r="N9718" s="2" t="s">
        <v>13041</v>
      </c>
      <c r="O9718" s="4" t="s">
        <v>13042</v>
      </c>
      <c r="P9718" s="2" t="s">
        <v>60014</v>
      </c>
      <c r="Q9718" s="2" t="s">
        <v>31</v>
      </c>
      <c r="R9718" s="2" t="s">
        <v>10326</v>
      </c>
      <c r="S9718" s="4" t="s">
        <v>13044</v>
      </c>
      <c r="T9718" s="2" t="s">
        <v>66</v>
      </c>
      <c r="U9718" s="4" t="s">
        <v>31</v>
      </c>
      <c r="V9718" s="2" t="s">
        <v>60015</v>
      </c>
      <c r="W9718" s="2" t="s">
        <v>60010</v>
      </c>
      <c r="X9718" s="5" t="str">
        <f>HYPERLINK("https://my.pitchbook.com?p=82067-77P","View People Online")</f>
        <v>View People Online</v>
      </c>
    </row>
    <row r="9719">
      <c r="A9719" s="14" t="s">
        <v>60016</v>
      </c>
      <c r="B9719" s="14" t="s">
        <v>60017</v>
      </c>
      <c r="C9719" s="14" t="s">
        <v>1117</v>
      </c>
      <c r="D9719" s="14" t="s">
        <v>60018</v>
      </c>
      <c r="E9719" s="14" t="s">
        <v>60010</v>
      </c>
      <c r="F9719" s="14" t="s">
        <v>28089</v>
      </c>
      <c r="G9719" s="14" t="s">
        <v>60019</v>
      </c>
      <c r="H9719" s="15" t="s">
        <v>31</v>
      </c>
      <c r="I9719" s="15">
        <v>1.0</v>
      </c>
      <c r="J9719" s="15">
        <v>1.0</v>
      </c>
      <c r="K9719" s="15" t="s">
        <v>31</v>
      </c>
      <c r="L9719" s="16" t="s">
        <v>60012</v>
      </c>
      <c r="M9719" s="14" t="s">
        <v>60020</v>
      </c>
      <c r="N9719" s="14" t="s">
        <v>13041</v>
      </c>
      <c r="O9719" s="16" t="s">
        <v>13042</v>
      </c>
      <c r="P9719" s="14" t="s">
        <v>60014</v>
      </c>
      <c r="Q9719" s="14" t="s">
        <v>31</v>
      </c>
      <c r="R9719" s="14" t="s">
        <v>10326</v>
      </c>
      <c r="S9719" s="16" t="s">
        <v>13044</v>
      </c>
      <c r="T9719" s="14" t="s">
        <v>66</v>
      </c>
      <c r="U9719" s="16" t="s">
        <v>31</v>
      </c>
      <c r="V9719" s="14" t="s">
        <v>60021</v>
      </c>
      <c r="W9719" s="14" t="s">
        <v>60010</v>
      </c>
      <c r="X9719" s="17" t="str">
        <f>HYPERLINK("https://my.pitchbook.com?p=127426-42P","View People Online")</f>
        <v>View People Online</v>
      </c>
    </row>
    <row r="9720">
      <c r="A9720" s="10" t="s">
        <v>60022</v>
      </c>
      <c r="B9720" s="10" t="s">
        <v>60023</v>
      </c>
      <c r="C9720" s="10" t="s">
        <v>1117</v>
      </c>
      <c r="D9720" s="10" t="s">
        <v>60024</v>
      </c>
      <c r="E9720" s="10" t="s">
        <v>60010</v>
      </c>
      <c r="F9720" s="10" t="s">
        <v>270</v>
      </c>
      <c r="G9720" s="10" t="s">
        <v>60025</v>
      </c>
      <c r="H9720" s="11" t="s">
        <v>31</v>
      </c>
      <c r="I9720" s="11">
        <v>1.0</v>
      </c>
      <c r="J9720" s="11">
        <v>1.0</v>
      </c>
      <c r="K9720" s="11" t="s">
        <v>31</v>
      </c>
      <c r="L9720" s="12" t="s">
        <v>60026</v>
      </c>
      <c r="M9720" s="10" t="s">
        <v>60027</v>
      </c>
      <c r="N9720" s="10" t="s">
        <v>243</v>
      </c>
      <c r="O9720" s="12" t="s">
        <v>244</v>
      </c>
      <c r="P9720" s="10" t="s">
        <v>60028</v>
      </c>
      <c r="Q9720" s="10" t="s">
        <v>60029</v>
      </c>
      <c r="R9720" s="10" t="s">
        <v>247</v>
      </c>
      <c r="S9720" s="12" t="s">
        <v>60030</v>
      </c>
      <c r="T9720" s="10" t="s">
        <v>249</v>
      </c>
      <c r="U9720" s="12" t="s">
        <v>31</v>
      </c>
      <c r="V9720" s="10" t="s">
        <v>55669</v>
      </c>
      <c r="W9720" s="10" t="s">
        <v>60010</v>
      </c>
      <c r="X9720" s="13" t="str">
        <f>HYPERLINK("https://my.pitchbook.com?p=132900-04P","View People Online")</f>
        <v>View People Online</v>
      </c>
    </row>
    <row r="9721">
      <c r="A9721" s="6" t="s">
        <v>60031</v>
      </c>
      <c r="B9721" s="6" t="s">
        <v>60032</v>
      </c>
      <c r="C9721" s="6" t="s">
        <v>1117</v>
      </c>
      <c r="D9721" s="6" t="s">
        <v>60033</v>
      </c>
      <c r="E9721" s="6" t="s">
        <v>60010</v>
      </c>
      <c r="F9721" s="6" t="s">
        <v>896</v>
      </c>
      <c r="G9721" s="6" t="s">
        <v>60034</v>
      </c>
      <c r="H9721" s="7" t="s">
        <v>31</v>
      </c>
      <c r="I9721" s="7">
        <v>1.0</v>
      </c>
      <c r="J9721" s="7">
        <v>1.0</v>
      </c>
      <c r="K9721" s="7" t="s">
        <v>31</v>
      </c>
      <c r="L9721" s="8" t="s">
        <v>60026</v>
      </c>
      <c r="M9721" s="6" t="s">
        <v>60035</v>
      </c>
      <c r="N9721" s="6" t="s">
        <v>243</v>
      </c>
      <c r="O9721" s="8" t="s">
        <v>244</v>
      </c>
      <c r="P9721" s="6" t="s">
        <v>60028</v>
      </c>
      <c r="Q9721" s="6" t="s">
        <v>60029</v>
      </c>
      <c r="R9721" s="6" t="s">
        <v>247</v>
      </c>
      <c r="S9721" s="8" t="s">
        <v>60030</v>
      </c>
      <c r="T9721" s="6" t="s">
        <v>249</v>
      </c>
      <c r="U9721" s="8" t="s">
        <v>31</v>
      </c>
      <c r="V9721" s="6" t="s">
        <v>60036</v>
      </c>
      <c r="W9721" s="6" t="s">
        <v>60010</v>
      </c>
      <c r="X9721" s="9" t="str">
        <f>HYPERLINK("https://my.pitchbook.com?p=163929-79P","View People Online")</f>
        <v>View People Online</v>
      </c>
    </row>
    <row r="9722">
      <c r="A9722" s="2" t="s">
        <v>60037</v>
      </c>
      <c r="B9722" s="2" t="s">
        <v>60038</v>
      </c>
      <c r="C9722" s="2" t="s">
        <v>1541</v>
      </c>
      <c r="D9722" s="2" t="s">
        <v>60039</v>
      </c>
      <c r="E9722" s="2" t="s">
        <v>60010</v>
      </c>
      <c r="F9722" s="2" t="s">
        <v>53716</v>
      </c>
      <c r="G9722" s="2" t="s">
        <v>60040</v>
      </c>
      <c r="H9722" s="3" t="s">
        <v>31</v>
      </c>
      <c r="I9722" s="3">
        <v>5.0</v>
      </c>
      <c r="J9722" s="3">
        <v>1.0</v>
      </c>
      <c r="K9722" s="3">
        <v>4.0</v>
      </c>
      <c r="L9722" s="4" t="s">
        <v>60041</v>
      </c>
      <c r="M9722" s="2" t="s">
        <v>60042</v>
      </c>
      <c r="N9722" s="2" t="s">
        <v>13041</v>
      </c>
      <c r="O9722" s="4" t="s">
        <v>13042</v>
      </c>
      <c r="P9722" s="2" t="s">
        <v>60014</v>
      </c>
      <c r="Q9722" s="2" t="s">
        <v>31</v>
      </c>
      <c r="R9722" s="2" t="s">
        <v>10326</v>
      </c>
      <c r="S9722" s="4" t="s">
        <v>13044</v>
      </c>
      <c r="T9722" s="2" t="s">
        <v>66</v>
      </c>
      <c r="U9722" s="4" t="s">
        <v>31</v>
      </c>
      <c r="V9722" s="2" t="s">
        <v>60043</v>
      </c>
      <c r="W9722" s="2" t="s">
        <v>60010</v>
      </c>
      <c r="X9722" s="5" t="str">
        <f>HYPERLINK("https://my.pitchbook.com?p=68963-50P","View People Online")</f>
        <v>View People Online</v>
      </c>
    </row>
    <row r="9723">
      <c r="A9723" s="14" t="s">
        <v>60044</v>
      </c>
      <c r="B9723" s="14" t="s">
        <v>60045</v>
      </c>
      <c r="C9723" s="14" t="s">
        <v>1103</v>
      </c>
      <c r="D9723" s="14" t="s">
        <v>1073</v>
      </c>
      <c r="E9723" s="14" t="s">
        <v>60010</v>
      </c>
      <c r="F9723" s="14" t="s">
        <v>896</v>
      </c>
      <c r="G9723" s="14" t="s">
        <v>60046</v>
      </c>
      <c r="H9723" s="15" t="s">
        <v>31</v>
      </c>
      <c r="I9723" s="15">
        <v>3.0</v>
      </c>
      <c r="J9723" s="15">
        <v>1.0</v>
      </c>
      <c r="K9723" s="15">
        <v>2.0</v>
      </c>
      <c r="L9723" s="16" t="s">
        <v>60012</v>
      </c>
      <c r="M9723" s="14" t="s">
        <v>60047</v>
      </c>
      <c r="N9723" s="14" t="s">
        <v>13041</v>
      </c>
      <c r="O9723" s="16" t="s">
        <v>13042</v>
      </c>
      <c r="P9723" s="14" t="s">
        <v>60014</v>
      </c>
      <c r="Q9723" s="14" t="s">
        <v>31</v>
      </c>
      <c r="R9723" s="14" t="s">
        <v>10326</v>
      </c>
      <c r="S9723" s="16" t="s">
        <v>13044</v>
      </c>
      <c r="T9723" s="14" t="s">
        <v>66</v>
      </c>
      <c r="U9723" s="16" t="s">
        <v>31</v>
      </c>
      <c r="V9723" s="14" t="s">
        <v>695</v>
      </c>
      <c r="W9723" s="14" t="s">
        <v>60010</v>
      </c>
      <c r="X9723" s="17" t="str">
        <f>HYPERLINK("https://my.pitchbook.com?p=385416-91P","View People Online")</f>
        <v>View People Online</v>
      </c>
    </row>
    <row r="9724">
      <c r="A9724" s="10" t="s">
        <v>60048</v>
      </c>
      <c r="B9724" s="10" t="s">
        <v>60049</v>
      </c>
      <c r="C9724" s="10" t="s">
        <v>60050</v>
      </c>
      <c r="D9724" s="10" t="s">
        <v>60051</v>
      </c>
      <c r="E9724" s="10" t="s">
        <v>60010</v>
      </c>
      <c r="F9724" s="10" t="s">
        <v>896</v>
      </c>
      <c r="G9724" s="10" t="s">
        <v>60052</v>
      </c>
      <c r="H9724" s="11" t="s">
        <v>31</v>
      </c>
      <c r="I9724" s="11">
        <v>1.0</v>
      </c>
      <c r="J9724" s="11">
        <v>1.0</v>
      </c>
      <c r="K9724" s="11" t="s">
        <v>31</v>
      </c>
      <c r="L9724" s="12" t="s">
        <v>60053</v>
      </c>
      <c r="M9724" s="10" t="s">
        <v>60054</v>
      </c>
      <c r="N9724" s="10" t="s">
        <v>1005</v>
      </c>
      <c r="O9724" s="12" t="s">
        <v>1006</v>
      </c>
      <c r="P9724" s="10" t="s">
        <v>60055</v>
      </c>
      <c r="Q9724" s="10" t="s">
        <v>60056</v>
      </c>
      <c r="R9724" s="10" t="s">
        <v>31</v>
      </c>
      <c r="S9724" s="12" t="s">
        <v>60057</v>
      </c>
      <c r="T9724" s="10" t="s">
        <v>1010</v>
      </c>
      <c r="U9724" s="12" t="s">
        <v>31</v>
      </c>
      <c r="V9724" s="10" t="s">
        <v>60058</v>
      </c>
      <c r="W9724" s="10" t="s">
        <v>60010</v>
      </c>
      <c r="X9724" s="13" t="str">
        <f>HYPERLINK("https://my.pitchbook.com?p=195094-27P","View People Online")</f>
        <v>View People Online</v>
      </c>
    </row>
    <row r="9725">
      <c r="A9725" s="14" t="s">
        <v>60059</v>
      </c>
      <c r="B9725" s="14" t="s">
        <v>60060</v>
      </c>
      <c r="C9725" s="14" t="s">
        <v>8483</v>
      </c>
      <c r="D9725" s="14" t="s">
        <v>44804</v>
      </c>
      <c r="E9725" s="14" t="s">
        <v>60010</v>
      </c>
      <c r="F9725" s="14" t="s">
        <v>5086</v>
      </c>
      <c r="G9725" s="14" t="s">
        <v>60061</v>
      </c>
      <c r="H9725" s="15" t="s">
        <v>31</v>
      </c>
      <c r="I9725" s="15">
        <v>1.0</v>
      </c>
      <c r="J9725" s="15">
        <v>1.0</v>
      </c>
      <c r="K9725" s="15" t="s">
        <v>31</v>
      </c>
      <c r="L9725" s="16" t="s">
        <v>60062</v>
      </c>
      <c r="M9725" s="14" t="s">
        <v>60063</v>
      </c>
      <c r="N9725" s="14" t="s">
        <v>794</v>
      </c>
      <c r="O9725" s="16" t="s">
        <v>795</v>
      </c>
      <c r="P9725" s="14" t="s">
        <v>60064</v>
      </c>
      <c r="Q9725" s="14" t="s">
        <v>60065</v>
      </c>
      <c r="R9725" s="14" t="s">
        <v>31</v>
      </c>
      <c r="S9725" s="16" t="s">
        <v>60066</v>
      </c>
      <c r="T9725" s="14" t="s">
        <v>796</v>
      </c>
      <c r="U9725" s="16" t="s">
        <v>31</v>
      </c>
      <c r="V9725" s="14" t="s">
        <v>5086</v>
      </c>
      <c r="W9725" s="14" t="s">
        <v>60010</v>
      </c>
      <c r="X9725" s="17" t="str">
        <f>HYPERLINK("https://my.pitchbook.com?p=53874-10P","View People Online")</f>
        <v>View People Online</v>
      </c>
    </row>
    <row r="9726">
      <c r="A9726" s="10" t="s">
        <v>60067</v>
      </c>
      <c r="B9726" s="10" t="s">
        <v>60068</v>
      </c>
      <c r="C9726" s="10" t="s">
        <v>60069</v>
      </c>
      <c r="D9726" s="10" t="s">
        <v>60070</v>
      </c>
      <c r="E9726" s="10" t="s">
        <v>60010</v>
      </c>
      <c r="F9726" s="10" t="s">
        <v>825</v>
      </c>
      <c r="G9726" s="10" t="s">
        <v>31</v>
      </c>
      <c r="H9726" s="11" t="s">
        <v>31</v>
      </c>
      <c r="I9726" s="11">
        <v>1.0</v>
      </c>
      <c r="J9726" s="11">
        <v>1.0</v>
      </c>
      <c r="K9726" s="11" t="s">
        <v>31</v>
      </c>
      <c r="L9726" s="12" t="s">
        <v>60012</v>
      </c>
      <c r="M9726" s="10" t="s">
        <v>60071</v>
      </c>
      <c r="N9726" s="10" t="s">
        <v>13041</v>
      </c>
      <c r="O9726" s="12" t="s">
        <v>13042</v>
      </c>
      <c r="P9726" s="10" t="s">
        <v>60014</v>
      </c>
      <c r="Q9726" s="10" t="s">
        <v>31</v>
      </c>
      <c r="R9726" s="10" t="s">
        <v>10326</v>
      </c>
      <c r="S9726" s="12" t="s">
        <v>13044</v>
      </c>
      <c r="T9726" s="10" t="s">
        <v>66</v>
      </c>
      <c r="U9726" s="12" t="s">
        <v>31</v>
      </c>
      <c r="V9726" s="10" t="s">
        <v>825</v>
      </c>
      <c r="W9726" s="10" t="s">
        <v>60010</v>
      </c>
      <c r="X9726" s="13" t="str">
        <f>HYPERLINK("https://my.pitchbook.com?p=424490-05P","View People Online")</f>
        <v>View People Online</v>
      </c>
    </row>
    <row r="9727">
      <c r="A9727" s="14" t="s">
        <v>60072</v>
      </c>
      <c r="B9727" s="14" t="s">
        <v>60073</v>
      </c>
      <c r="C9727" s="14" t="s">
        <v>7252</v>
      </c>
      <c r="D9727" s="14" t="s">
        <v>60074</v>
      </c>
      <c r="E9727" s="14" t="s">
        <v>60010</v>
      </c>
      <c r="F9727" s="14" t="s">
        <v>825</v>
      </c>
      <c r="G9727" s="14" t="s">
        <v>60075</v>
      </c>
      <c r="H9727" s="15" t="s">
        <v>31</v>
      </c>
      <c r="I9727" s="15">
        <v>1.0</v>
      </c>
      <c r="J9727" s="15">
        <v>1.0</v>
      </c>
      <c r="K9727" s="15" t="s">
        <v>31</v>
      </c>
      <c r="L9727" s="16" t="s">
        <v>60012</v>
      </c>
      <c r="M9727" s="14" t="s">
        <v>60076</v>
      </c>
      <c r="N9727" s="14" t="s">
        <v>13041</v>
      </c>
      <c r="O9727" s="16" t="s">
        <v>13042</v>
      </c>
      <c r="P9727" s="14" t="s">
        <v>60014</v>
      </c>
      <c r="Q9727" s="14" t="s">
        <v>31</v>
      </c>
      <c r="R9727" s="14" t="s">
        <v>10326</v>
      </c>
      <c r="S9727" s="16" t="s">
        <v>13044</v>
      </c>
      <c r="T9727" s="14" t="s">
        <v>66</v>
      </c>
      <c r="U9727" s="16" t="s">
        <v>31</v>
      </c>
      <c r="V9727" s="14" t="s">
        <v>60077</v>
      </c>
      <c r="W9727" s="14" t="s">
        <v>60010</v>
      </c>
      <c r="X9727" s="17" t="str">
        <f>HYPERLINK("https://my.pitchbook.com?p=417885-04P","View People Online")</f>
        <v>View People Online</v>
      </c>
    </row>
    <row r="9728">
      <c r="A9728" s="2" t="s">
        <v>60078</v>
      </c>
      <c r="B9728" s="2" t="s">
        <v>60079</v>
      </c>
      <c r="C9728" s="2" t="s">
        <v>10008</v>
      </c>
      <c r="D9728" s="2" t="s">
        <v>4255</v>
      </c>
      <c r="E9728" s="2" t="s">
        <v>60010</v>
      </c>
      <c r="F9728" s="2" t="s">
        <v>371</v>
      </c>
      <c r="G9728" s="2" t="s">
        <v>60080</v>
      </c>
      <c r="H9728" s="3" t="s">
        <v>31</v>
      </c>
      <c r="I9728" s="3">
        <v>1.0</v>
      </c>
      <c r="J9728" s="3">
        <v>1.0</v>
      </c>
      <c r="K9728" s="3" t="s">
        <v>31</v>
      </c>
      <c r="L9728" s="4" t="s">
        <v>60012</v>
      </c>
      <c r="M9728" s="2" t="s">
        <v>60081</v>
      </c>
      <c r="N9728" s="2" t="s">
        <v>13041</v>
      </c>
      <c r="O9728" s="4" t="s">
        <v>13042</v>
      </c>
      <c r="P9728" s="2" t="s">
        <v>60014</v>
      </c>
      <c r="Q9728" s="2" t="s">
        <v>31</v>
      </c>
      <c r="R9728" s="2" t="s">
        <v>10326</v>
      </c>
      <c r="S9728" s="4" t="s">
        <v>13044</v>
      </c>
      <c r="T9728" s="2" t="s">
        <v>66</v>
      </c>
      <c r="U9728" s="4" t="s">
        <v>31</v>
      </c>
      <c r="V9728" s="2" t="s">
        <v>371</v>
      </c>
      <c r="W9728" s="2" t="s">
        <v>60010</v>
      </c>
      <c r="X9728" s="5" t="str">
        <f>HYPERLINK("https://my.pitchbook.com?p=68969-71P","View People Online")</f>
        <v>View People Online</v>
      </c>
    </row>
    <row r="9729">
      <c r="A9729" s="6" t="s">
        <v>60082</v>
      </c>
      <c r="B9729" s="6" t="s">
        <v>60083</v>
      </c>
      <c r="C9729" s="6" t="s">
        <v>8095</v>
      </c>
      <c r="D9729" s="6" t="s">
        <v>8062</v>
      </c>
      <c r="E9729" s="6" t="s">
        <v>60010</v>
      </c>
      <c r="F9729" s="6" t="s">
        <v>825</v>
      </c>
      <c r="G9729" s="6" t="s">
        <v>60084</v>
      </c>
      <c r="H9729" s="7" t="s">
        <v>31</v>
      </c>
      <c r="I9729" s="7">
        <v>1.0</v>
      </c>
      <c r="J9729" s="7">
        <v>1.0</v>
      </c>
      <c r="K9729" s="7" t="s">
        <v>31</v>
      </c>
      <c r="L9729" s="8" t="s">
        <v>60012</v>
      </c>
      <c r="M9729" s="6" t="s">
        <v>60085</v>
      </c>
      <c r="N9729" s="6" t="s">
        <v>13041</v>
      </c>
      <c r="O9729" s="8" t="s">
        <v>13042</v>
      </c>
      <c r="P9729" s="6" t="s">
        <v>60014</v>
      </c>
      <c r="Q9729" s="6" t="s">
        <v>31</v>
      </c>
      <c r="R9729" s="6" t="s">
        <v>10326</v>
      </c>
      <c r="S9729" s="8" t="s">
        <v>13044</v>
      </c>
      <c r="T9729" s="6" t="s">
        <v>66</v>
      </c>
      <c r="U9729" s="8" t="s">
        <v>31</v>
      </c>
      <c r="V9729" s="6" t="s">
        <v>60086</v>
      </c>
      <c r="W9729" s="6" t="s">
        <v>60010</v>
      </c>
      <c r="X9729" s="9" t="str">
        <f>HYPERLINK("https://my.pitchbook.com?p=424484-74P","View People Online")</f>
        <v>View People Online</v>
      </c>
    </row>
    <row r="9730">
      <c r="A9730" s="10" t="s">
        <v>60087</v>
      </c>
      <c r="B9730" s="10" t="s">
        <v>60088</v>
      </c>
      <c r="C9730" s="10" t="s">
        <v>30376</v>
      </c>
      <c r="D9730" s="10" t="s">
        <v>60089</v>
      </c>
      <c r="E9730" s="10" t="s">
        <v>60010</v>
      </c>
      <c r="F9730" s="10" t="s">
        <v>825</v>
      </c>
      <c r="G9730" s="10" t="s">
        <v>60090</v>
      </c>
      <c r="H9730" s="11" t="s">
        <v>31</v>
      </c>
      <c r="I9730" s="11">
        <v>1.0</v>
      </c>
      <c r="J9730" s="11">
        <v>1.0</v>
      </c>
      <c r="K9730" s="11" t="s">
        <v>31</v>
      </c>
      <c r="L9730" s="12" t="s">
        <v>60091</v>
      </c>
      <c r="M9730" s="10" t="s">
        <v>60092</v>
      </c>
      <c r="N9730" s="10" t="s">
        <v>13041</v>
      </c>
      <c r="O9730" s="12" t="s">
        <v>13042</v>
      </c>
      <c r="P9730" s="10" t="s">
        <v>60014</v>
      </c>
      <c r="Q9730" s="10" t="s">
        <v>31</v>
      </c>
      <c r="R9730" s="10" t="s">
        <v>10326</v>
      </c>
      <c r="S9730" s="12" t="s">
        <v>13044</v>
      </c>
      <c r="T9730" s="10" t="s">
        <v>66</v>
      </c>
      <c r="U9730" s="12" t="s">
        <v>31</v>
      </c>
      <c r="V9730" s="10" t="s">
        <v>60093</v>
      </c>
      <c r="W9730" s="10" t="s">
        <v>60010</v>
      </c>
      <c r="X9730" s="13" t="str">
        <f>HYPERLINK("https://my.pitchbook.com?p=114058-72P","View People Online")</f>
        <v>View People Online</v>
      </c>
    </row>
    <row r="9731">
      <c r="A9731" s="14" t="s">
        <v>60094</v>
      </c>
      <c r="B9731" s="14" t="s">
        <v>60095</v>
      </c>
      <c r="C9731" s="14" t="s">
        <v>1437</v>
      </c>
      <c r="D9731" s="14" t="s">
        <v>60096</v>
      </c>
      <c r="E9731" s="14" t="s">
        <v>60010</v>
      </c>
      <c r="F9731" s="14" t="s">
        <v>60097</v>
      </c>
      <c r="G9731" s="14" t="s">
        <v>60098</v>
      </c>
      <c r="H9731" s="15" t="s">
        <v>31</v>
      </c>
      <c r="I9731" s="15">
        <v>1.0</v>
      </c>
      <c r="J9731" s="15">
        <v>1.0</v>
      </c>
      <c r="K9731" s="15" t="s">
        <v>31</v>
      </c>
      <c r="L9731" s="16" t="s">
        <v>60012</v>
      </c>
      <c r="M9731" s="14" t="s">
        <v>31</v>
      </c>
      <c r="N9731" s="14" t="s">
        <v>13041</v>
      </c>
      <c r="O9731" s="16" t="s">
        <v>13042</v>
      </c>
      <c r="P9731" s="14" t="s">
        <v>60014</v>
      </c>
      <c r="Q9731" s="14" t="s">
        <v>31</v>
      </c>
      <c r="R9731" s="14" t="s">
        <v>10326</v>
      </c>
      <c r="S9731" s="16" t="s">
        <v>13044</v>
      </c>
      <c r="T9731" s="14" t="s">
        <v>66</v>
      </c>
      <c r="U9731" s="16" t="s">
        <v>31</v>
      </c>
      <c r="V9731" s="14" t="s">
        <v>60099</v>
      </c>
      <c r="W9731" s="14" t="s">
        <v>60010</v>
      </c>
      <c r="X9731" s="17" t="str">
        <f>HYPERLINK("https://my.pitchbook.com?p=351034-93P","View People Online")</f>
        <v>View People Online</v>
      </c>
    </row>
    <row r="9732">
      <c r="A9732" s="10" t="s">
        <v>60100</v>
      </c>
      <c r="B9732" s="10" t="s">
        <v>11008</v>
      </c>
      <c r="C9732" s="10" t="s">
        <v>285</v>
      </c>
      <c r="D9732" s="10" t="s">
        <v>1147</v>
      </c>
      <c r="E9732" s="10" t="s">
        <v>60010</v>
      </c>
      <c r="F9732" s="10" t="s">
        <v>44294</v>
      </c>
      <c r="G9732" s="10" t="s">
        <v>60101</v>
      </c>
      <c r="H9732" s="11" t="s">
        <v>31</v>
      </c>
      <c r="I9732" s="11">
        <v>1.0</v>
      </c>
      <c r="J9732" s="11">
        <v>1.0</v>
      </c>
      <c r="K9732" s="11" t="s">
        <v>31</v>
      </c>
      <c r="L9732" s="12" t="s">
        <v>60012</v>
      </c>
      <c r="M9732" s="10" t="s">
        <v>60102</v>
      </c>
      <c r="N9732" s="10" t="s">
        <v>13041</v>
      </c>
      <c r="O9732" s="12" t="s">
        <v>13042</v>
      </c>
      <c r="P9732" s="10" t="s">
        <v>60014</v>
      </c>
      <c r="Q9732" s="10" t="s">
        <v>31</v>
      </c>
      <c r="R9732" s="10" t="s">
        <v>10326</v>
      </c>
      <c r="S9732" s="12" t="s">
        <v>13044</v>
      </c>
      <c r="T9732" s="10" t="s">
        <v>66</v>
      </c>
      <c r="U9732" s="12" t="s">
        <v>31</v>
      </c>
      <c r="V9732" s="10" t="s">
        <v>60103</v>
      </c>
      <c r="W9732" s="10" t="s">
        <v>60010</v>
      </c>
      <c r="X9732" s="13" t="str">
        <f>HYPERLINK("https://my.pitchbook.com?p=198734-86P","View People Online")</f>
        <v>View People Online</v>
      </c>
    </row>
    <row r="9733">
      <c r="A9733" s="6" t="s">
        <v>60104</v>
      </c>
      <c r="B9733" s="6" t="s">
        <v>60105</v>
      </c>
      <c r="C9733" s="6" t="s">
        <v>11111</v>
      </c>
      <c r="D9733" s="6" t="s">
        <v>8466</v>
      </c>
      <c r="E9733" s="6" t="s">
        <v>60010</v>
      </c>
      <c r="F9733" s="6" t="s">
        <v>825</v>
      </c>
      <c r="G9733" s="6" t="s">
        <v>60106</v>
      </c>
      <c r="H9733" s="7" t="s">
        <v>31</v>
      </c>
      <c r="I9733" s="7">
        <v>1.0</v>
      </c>
      <c r="J9733" s="7">
        <v>1.0</v>
      </c>
      <c r="K9733" s="7" t="s">
        <v>31</v>
      </c>
      <c r="L9733" s="8" t="s">
        <v>60107</v>
      </c>
      <c r="M9733" s="6" t="s">
        <v>60108</v>
      </c>
      <c r="N9733" s="6" t="s">
        <v>2478</v>
      </c>
      <c r="O9733" s="8" t="s">
        <v>7332</v>
      </c>
      <c r="P9733" s="6" t="s">
        <v>60109</v>
      </c>
      <c r="Q9733" s="6" t="s">
        <v>30190</v>
      </c>
      <c r="R9733" s="6" t="s">
        <v>7335</v>
      </c>
      <c r="S9733" s="8" t="s">
        <v>7336</v>
      </c>
      <c r="T9733" s="6" t="s">
        <v>5484</v>
      </c>
      <c r="U9733" s="8" t="s">
        <v>31</v>
      </c>
      <c r="V9733" s="6" t="s">
        <v>60110</v>
      </c>
      <c r="W9733" s="6" t="s">
        <v>60010</v>
      </c>
      <c r="X9733" s="9" t="str">
        <f>HYPERLINK("https://my.pitchbook.com?p=242777-71P","View People Online")</f>
        <v>View People Online</v>
      </c>
    </row>
    <row r="9734">
      <c r="A9734" s="2" t="s">
        <v>60111</v>
      </c>
      <c r="B9734" s="2" t="s">
        <v>60112</v>
      </c>
      <c r="C9734" s="2" t="s">
        <v>1449</v>
      </c>
      <c r="D9734" s="2" t="s">
        <v>60113</v>
      </c>
      <c r="E9734" s="2" t="s">
        <v>60010</v>
      </c>
      <c r="F9734" s="2" t="s">
        <v>4951</v>
      </c>
      <c r="G9734" s="2" t="s">
        <v>60114</v>
      </c>
      <c r="H9734" s="3" t="s">
        <v>31</v>
      </c>
      <c r="I9734" s="3">
        <v>1.0</v>
      </c>
      <c r="J9734" s="3">
        <v>1.0</v>
      </c>
      <c r="K9734" s="3" t="s">
        <v>31</v>
      </c>
      <c r="L9734" s="4" t="s">
        <v>60115</v>
      </c>
      <c r="M9734" s="2" t="s">
        <v>60116</v>
      </c>
      <c r="N9734" s="2" t="s">
        <v>13041</v>
      </c>
      <c r="O9734" s="4" t="s">
        <v>13042</v>
      </c>
      <c r="P9734" s="2" t="s">
        <v>60014</v>
      </c>
      <c r="Q9734" s="2" t="s">
        <v>31</v>
      </c>
      <c r="R9734" s="2" t="s">
        <v>10326</v>
      </c>
      <c r="S9734" s="4" t="s">
        <v>13044</v>
      </c>
      <c r="T9734" s="2" t="s">
        <v>66</v>
      </c>
      <c r="U9734" s="4" t="s">
        <v>31</v>
      </c>
      <c r="V9734" s="2" t="s">
        <v>60117</v>
      </c>
      <c r="W9734" s="2" t="s">
        <v>60010</v>
      </c>
      <c r="X9734" s="5" t="str">
        <f>HYPERLINK("https://my.pitchbook.com?p=68962-78P","View People Online")</f>
        <v>View People Online</v>
      </c>
    </row>
    <row r="9735">
      <c r="A9735" s="14" t="s">
        <v>60118</v>
      </c>
      <c r="B9735" s="14" t="s">
        <v>60119</v>
      </c>
      <c r="C9735" s="14" t="s">
        <v>1449</v>
      </c>
      <c r="D9735" s="14" t="s">
        <v>60120</v>
      </c>
      <c r="E9735" s="14" t="s">
        <v>60010</v>
      </c>
      <c r="F9735" s="14" t="s">
        <v>825</v>
      </c>
      <c r="G9735" s="14" t="s">
        <v>60121</v>
      </c>
      <c r="H9735" s="15">
        <v>1.0</v>
      </c>
      <c r="I9735" s="15">
        <v>3.0</v>
      </c>
      <c r="J9735" s="15">
        <v>1.0</v>
      </c>
      <c r="K9735" s="15">
        <v>1.0</v>
      </c>
      <c r="L9735" s="16" t="s">
        <v>60012</v>
      </c>
      <c r="M9735" s="14" t="s">
        <v>60122</v>
      </c>
      <c r="N9735" s="14" t="s">
        <v>13041</v>
      </c>
      <c r="O9735" s="16" t="s">
        <v>13042</v>
      </c>
      <c r="P9735" s="14" t="s">
        <v>60014</v>
      </c>
      <c r="Q9735" s="14" t="s">
        <v>31</v>
      </c>
      <c r="R9735" s="14" t="s">
        <v>10326</v>
      </c>
      <c r="S9735" s="16" t="s">
        <v>13044</v>
      </c>
      <c r="T9735" s="14" t="s">
        <v>66</v>
      </c>
      <c r="U9735" s="16" t="s">
        <v>31</v>
      </c>
      <c r="V9735" s="14" t="s">
        <v>60123</v>
      </c>
      <c r="W9735" s="14" t="s">
        <v>60010</v>
      </c>
      <c r="X9735" s="17" t="str">
        <f>HYPERLINK("https://my.pitchbook.com?p=80149-06P","View People Online")</f>
        <v>View People Online</v>
      </c>
    </row>
    <row r="9736">
      <c r="A9736" s="10" t="s">
        <v>60124</v>
      </c>
      <c r="B9736" s="10" t="s">
        <v>60125</v>
      </c>
      <c r="C9736" s="10" t="s">
        <v>1449</v>
      </c>
      <c r="D9736" s="10" t="s">
        <v>60126</v>
      </c>
      <c r="E9736" s="10" t="s">
        <v>60010</v>
      </c>
      <c r="F9736" s="10" t="s">
        <v>5393</v>
      </c>
      <c r="G9736" s="10" t="s">
        <v>60127</v>
      </c>
      <c r="H9736" s="11" t="s">
        <v>31</v>
      </c>
      <c r="I9736" s="11">
        <v>1.0</v>
      </c>
      <c r="J9736" s="11">
        <v>1.0</v>
      </c>
      <c r="K9736" s="11" t="s">
        <v>31</v>
      </c>
      <c r="L9736" s="12" t="s">
        <v>60012</v>
      </c>
      <c r="M9736" s="10" t="s">
        <v>60128</v>
      </c>
      <c r="N9736" s="10" t="s">
        <v>13041</v>
      </c>
      <c r="O9736" s="12" t="s">
        <v>13042</v>
      </c>
      <c r="P9736" s="10" t="s">
        <v>60014</v>
      </c>
      <c r="Q9736" s="10" t="s">
        <v>31</v>
      </c>
      <c r="R9736" s="10" t="s">
        <v>10326</v>
      </c>
      <c r="S9736" s="12" t="s">
        <v>13044</v>
      </c>
      <c r="T9736" s="10" t="s">
        <v>66</v>
      </c>
      <c r="U9736" s="12" t="s">
        <v>31</v>
      </c>
      <c r="V9736" s="10" t="s">
        <v>5453</v>
      </c>
      <c r="W9736" s="10" t="s">
        <v>60010</v>
      </c>
      <c r="X9736" s="13" t="str">
        <f>HYPERLINK("https://my.pitchbook.com?p=68971-60P","View People Online")</f>
        <v>View People Online</v>
      </c>
    </row>
    <row r="9737">
      <c r="A9737" s="6" t="s">
        <v>60129</v>
      </c>
      <c r="B9737" s="6" t="s">
        <v>60130</v>
      </c>
      <c r="C9737" s="6" t="s">
        <v>1449</v>
      </c>
      <c r="D9737" s="6" t="s">
        <v>60131</v>
      </c>
      <c r="E9737" s="6" t="s">
        <v>60010</v>
      </c>
      <c r="F9737" s="6" t="s">
        <v>270</v>
      </c>
      <c r="G9737" s="6" t="s">
        <v>60132</v>
      </c>
      <c r="H9737" s="7" t="s">
        <v>31</v>
      </c>
      <c r="I9737" s="7">
        <v>1.0</v>
      </c>
      <c r="J9737" s="7">
        <v>1.0</v>
      </c>
      <c r="K9737" s="7" t="s">
        <v>31</v>
      </c>
      <c r="L9737" s="8" t="s">
        <v>60133</v>
      </c>
      <c r="M9737" s="6" t="s">
        <v>60134</v>
      </c>
      <c r="N9737" s="6" t="s">
        <v>2478</v>
      </c>
      <c r="O9737" s="8" t="s">
        <v>7332</v>
      </c>
      <c r="P9737" s="6" t="s">
        <v>60109</v>
      </c>
      <c r="Q9737" s="6" t="s">
        <v>30190</v>
      </c>
      <c r="R9737" s="6" t="s">
        <v>7335</v>
      </c>
      <c r="S9737" s="8" t="s">
        <v>7336</v>
      </c>
      <c r="T9737" s="6" t="s">
        <v>5484</v>
      </c>
      <c r="U9737" s="8" t="s">
        <v>31</v>
      </c>
      <c r="V9737" s="6" t="s">
        <v>60135</v>
      </c>
      <c r="W9737" s="6" t="s">
        <v>60010</v>
      </c>
      <c r="X9737" s="9" t="str">
        <f>HYPERLINK("https://my.pitchbook.com?p=65239-75P","View People Online")</f>
        <v>View People Online</v>
      </c>
    </row>
    <row r="9738">
      <c r="A9738" s="10" t="s">
        <v>60136</v>
      </c>
      <c r="B9738" s="10" t="s">
        <v>60137</v>
      </c>
      <c r="C9738" s="10" t="s">
        <v>1449</v>
      </c>
      <c r="D9738" s="10" t="s">
        <v>60138</v>
      </c>
      <c r="E9738" s="10" t="s">
        <v>60010</v>
      </c>
      <c r="F9738" s="10" t="s">
        <v>7305</v>
      </c>
      <c r="G9738" s="10" t="s">
        <v>60139</v>
      </c>
      <c r="H9738" s="11" t="s">
        <v>31</v>
      </c>
      <c r="I9738" s="11">
        <v>1.0</v>
      </c>
      <c r="J9738" s="11">
        <v>1.0</v>
      </c>
      <c r="K9738" s="11" t="s">
        <v>31</v>
      </c>
      <c r="L9738" s="12" t="s">
        <v>60012</v>
      </c>
      <c r="M9738" s="10" t="s">
        <v>60140</v>
      </c>
      <c r="N9738" s="10" t="s">
        <v>13041</v>
      </c>
      <c r="O9738" s="12" t="s">
        <v>13042</v>
      </c>
      <c r="P9738" s="10" t="s">
        <v>60014</v>
      </c>
      <c r="Q9738" s="10" t="s">
        <v>31</v>
      </c>
      <c r="R9738" s="10" t="s">
        <v>10326</v>
      </c>
      <c r="S9738" s="12" t="s">
        <v>13044</v>
      </c>
      <c r="T9738" s="10" t="s">
        <v>66</v>
      </c>
      <c r="U9738" s="12" t="s">
        <v>31</v>
      </c>
      <c r="V9738" s="10" t="s">
        <v>60141</v>
      </c>
      <c r="W9738" s="10" t="s">
        <v>60010</v>
      </c>
      <c r="X9738" s="13" t="str">
        <f>HYPERLINK("https://my.pitchbook.com?p=160195-15P","View People Online")</f>
        <v>View People Online</v>
      </c>
    </row>
    <row r="9739">
      <c r="A9739" s="6" t="s">
        <v>60142</v>
      </c>
      <c r="B9739" s="6" t="s">
        <v>60143</v>
      </c>
      <c r="C9739" s="6" t="s">
        <v>1449</v>
      </c>
      <c r="D9739" s="6" t="s">
        <v>60144</v>
      </c>
      <c r="E9739" s="6" t="s">
        <v>60010</v>
      </c>
      <c r="F9739" s="6" t="s">
        <v>5979</v>
      </c>
      <c r="G9739" s="6" t="s">
        <v>60145</v>
      </c>
      <c r="H9739" s="7" t="s">
        <v>31</v>
      </c>
      <c r="I9739" s="7">
        <v>2.0</v>
      </c>
      <c r="J9739" s="7">
        <v>2.0</v>
      </c>
      <c r="K9739" s="7" t="s">
        <v>31</v>
      </c>
      <c r="L9739" s="8" t="s">
        <v>60012</v>
      </c>
      <c r="M9739" s="6" t="s">
        <v>60146</v>
      </c>
      <c r="N9739" s="6" t="s">
        <v>13041</v>
      </c>
      <c r="O9739" s="8" t="s">
        <v>13042</v>
      </c>
      <c r="P9739" s="6" t="s">
        <v>60014</v>
      </c>
      <c r="Q9739" s="6" t="s">
        <v>31</v>
      </c>
      <c r="R9739" s="6" t="s">
        <v>10326</v>
      </c>
      <c r="S9739" s="8" t="s">
        <v>13044</v>
      </c>
      <c r="T9739" s="6" t="s">
        <v>66</v>
      </c>
      <c r="U9739" s="8" t="s">
        <v>31</v>
      </c>
      <c r="V9739" s="6" t="s">
        <v>60147</v>
      </c>
      <c r="W9739" s="6" t="s">
        <v>60010</v>
      </c>
      <c r="X9739" s="9" t="str">
        <f>HYPERLINK("https://my.pitchbook.com?p=225813-70P","View People Online")</f>
        <v>View People Online</v>
      </c>
    </row>
    <row r="9740">
      <c r="A9740" s="2" t="s">
        <v>60148</v>
      </c>
      <c r="B9740" s="2" t="s">
        <v>60149</v>
      </c>
      <c r="C9740" s="2" t="s">
        <v>5778</v>
      </c>
      <c r="D9740" s="2" t="s">
        <v>60150</v>
      </c>
      <c r="E9740" s="2" t="s">
        <v>60010</v>
      </c>
      <c r="F9740" s="2" t="s">
        <v>1215</v>
      </c>
      <c r="G9740" s="2" t="s">
        <v>60151</v>
      </c>
      <c r="H9740" s="3" t="s">
        <v>31</v>
      </c>
      <c r="I9740" s="3">
        <v>1.0</v>
      </c>
      <c r="J9740" s="3">
        <v>1.0</v>
      </c>
      <c r="K9740" s="3" t="s">
        <v>31</v>
      </c>
      <c r="L9740" s="4" t="s">
        <v>60012</v>
      </c>
      <c r="M9740" s="2" t="s">
        <v>60152</v>
      </c>
      <c r="N9740" s="2" t="s">
        <v>13041</v>
      </c>
      <c r="O9740" s="4" t="s">
        <v>13042</v>
      </c>
      <c r="P9740" s="2" t="s">
        <v>60014</v>
      </c>
      <c r="Q9740" s="2" t="s">
        <v>31</v>
      </c>
      <c r="R9740" s="2" t="s">
        <v>10326</v>
      </c>
      <c r="S9740" s="4" t="s">
        <v>13044</v>
      </c>
      <c r="T9740" s="2" t="s">
        <v>66</v>
      </c>
      <c r="U9740" s="4" t="s">
        <v>31</v>
      </c>
      <c r="V9740" s="2" t="s">
        <v>60153</v>
      </c>
      <c r="W9740" s="2" t="s">
        <v>60010</v>
      </c>
      <c r="X9740" s="5" t="str">
        <f>HYPERLINK("https://my.pitchbook.com?p=350951-77P","View People Online")</f>
        <v>View People Online</v>
      </c>
    </row>
    <row r="9741">
      <c r="A9741" s="14" t="s">
        <v>60154</v>
      </c>
      <c r="B9741" s="14" t="s">
        <v>60155</v>
      </c>
      <c r="C9741" s="14" t="s">
        <v>1993</v>
      </c>
      <c r="D9741" s="14" t="s">
        <v>60156</v>
      </c>
      <c r="E9741" s="14" t="s">
        <v>60010</v>
      </c>
      <c r="F9741" s="14" t="s">
        <v>1215</v>
      </c>
      <c r="G9741" s="14" t="s">
        <v>60157</v>
      </c>
      <c r="H9741" s="15" t="s">
        <v>31</v>
      </c>
      <c r="I9741" s="15">
        <v>1.0</v>
      </c>
      <c r="J9741" s="15">
        <v>1.0</v>
      </c>
      <c r="K9741" s="15" t="s">
        <v>31</v>
      </c>
      <c r="L9741" s="16" t="s">
        <v>60062</v>
      </c>
      <c r="M9741" s="14" t="s">
        <v>60158</v>
      </c>
      <c r="N9741" s="14" t="s">
        <v>794</v>
      </c>
      <c r="O9741" s="16" t="s">
        <v>795</v>
      </c>
      <c r="P9741" s="14" t="s">
        <v>60064</v>
      </c>
      <c r="Q9741" s="14" t="s">
        <v>60065</v>
      </c>
      <c r="R9741" s="14" t="s">
        <v>31</v>
      </c>
      <c r="S9741" s="16" t="s">
        <v>60066</v>
      </c>
      <c r="T9741" s="14" t="s">
        <v>796</v>
      </c>
      <c r="U9741" s="16" t="s">
        <v>31</v>
      </c>
      <c r="V9741" s="14" t="s">
        <v>60159</v>
      </c>
      <c r="W9741" s="14" t="s">
        <v>60010</v>
      </c>
      <c r="X9741" s="17" t="str">
        <f>HYPERLINK("https://my.pitchbook.com?p=100230-22P","View People Online")</f>
        <v>View People Online</v>
      </c>
    </row>
    <row r="9742">
      <c r="A9742" s="10" t="s">
        <v>60160</v>
      </c>
      <c r="B9742" s="10" t="s">
        <v>60161</v>
      </c>
      <c r="C9742" s="10" t="s">
        <v>60162</v>
      </c>
      <c r="D9742" s="10" t="s">
        <v>60163</v>
      </c>
      <c r="E9742" s="10" t="s">
        <v>60010</v>
      </c>
      <c r="F9742" s="10" t="s">
        <v>825</v>
      </c>
      <c r="G9742" s="10" t="s">
        <v>60164</v>
      </c>
      <c r="H9742" s="11" t="s">
        <v>31</v>
      </c>
      <c r="I9742" s="11">
        <v>1.0</v>
      </c>
      <c r="J9742" s="11">
        <v>1.0</v>
      </c>
      <c r="K9742" s="11" t="s">
        <v>31</v>
      </c>
      <c r="L9742" s="12" t="s">
        <v>60012</v>
      </c>
      <c r="M9742" s="10" t="s">
        <v>60165</v>
      </c>
      <c r="N9742" s="10" t="s">
        <v>13041</v>
      </c>
      <c r="O9742" s="12" t="s">
        <v>13042</v>
      </c>
      <c r="P9742" s="10" t="s">
        <v>60014</v>
      </c>
      <c r="Q9742" s="10" t="s">
        <v>31</v>
      </c>
      <c r="R9742" s="10" t="s">
        <v>10326</v>
      </c>
      <c r="S9742" s="12" t="s">
        <v>13044</v>
      </c>
      <c r="T9742" s="10" t="s">
        <v>66</v>
      </c>
      <c r="U9742" s="12" t="s">
        <v>31</v>
      </c>
      <c r="V9742" s="10" t="s">
        <v>60166</v>
      </c>
      <c r="W9742" s="10" t="s">
        <v>60010</v>
      </c>
      <c r="X9742" s="13" t="str">
        <f>HYPERLINK("https://my.pitchbook.com?p=82195-75P","View People Online")</f>
        <v>View People Online</v>
      </c>
    </row>
    <row r="9743">
      <c r="A9743" s="14" t="s">
        <v>60167</v>
      </c>
      <c r="B9743" s="14" t="s">
        <v>60168</v>
      </c>
      <c r="C9743" s="14" t="s">
        <v>139</v>
      </c>
      <c r="D9743" s="14" t="s">
        <v>1950</v>
      </c>
      <c r="E9743" s="14" t="s">
        <v>60010</v>
      </c>
      <c r="F9743" s="14" t="s">
        <v>1215</v>
      </c>
      <c r="G9743" s="14" t="s">
        <v>60169</v>
      </c>
      <c r="H9743" s="15" t="s">
        <v>31</v>
      </c>
      <c r="I9743" s="15">
        <v>1.0</v>
      </c>
      <c r="J9743" s="15">
        <v>1.0</v>
      </c>
      <c r="K9743" s="15" t="s">
        <v>31</v>
      </c>
      <c r="L9743" s="16" t="s">
        <v>60012</v>
      </c>
      <c r="M9743" s="14" t="s">
        <v>60170</v>
      </c>
      <c r="N9743" s="14" t="s">
        <v>13041</v>
      </c>
      <c r="O9743" s="16" t="s">
        <v>13042</v>
      </c>
      <c r="P9743" s="14" t="s">
        <v>60014</v>
      </c>
      <c r="Q9743" s="14" t="s">
        <v>31</v>
      </c>
      <c r="R9743" s="14" t="s">
        <v>10326</v>
      </c>
      <c r="S9743" s="16" t="s">
        <v>13044</v>
      </c>
      <c r="T9743" s="14" t="s">
        <v>66</v>
      </c>
      <c r="U9743" s="16" t="s">
        <v>31</v>
      </c>
      <c r="V9743" s="14" t="s">
        <v>60171</v>
      </c>
      <c r="W9743" s="14" t="s">
        <v>60010</v>
      </c>
      <c r="X9743" s="17" t="str">
        <f>HYPERLINK("https://my.pitchbook.com?p=169913-71P","View People Online")</f>
        <v>View People Online</v>
      </c>
    </row>
    <row r="9744">
      <c r="A9744" s="2" t="s">
        <v>60172</v>
      </c>
      <c r="B9744" s="2" t="s">
        <v>60173</v>
      </c>
      <c r="C9744" s="2" t="s">
        <v>24684</v>
      </c>
      <c r="D9744" s="2" t="s">
        <v>55116</v>
      </c>
      <c r="E9744" s="2" t="s">
        <v>60010</v>
      </c>
      <c r="F9744" s="2" t="s">
        <v>270</v>
      </c>
      <c r="G9744" s="2" t="s">
        <v>60174</v>
      </c>
      <c r="H9744" s="3" t="s">
        <v>31</v>
      </c>
      <c r="I9744" s="3">
        <v>2.0</v>
      </c>
      <c r="J9744" s="3">
        <v>1.0</v>
      </c>
      <c r="K9744" s="3">
        <v>1.0</v>
      </c>
      <c r="L9744" s="4" t="s">
        <v>60012</v>
      </c>
      <c r="M9744" s="2" t="s">
        <v>60175</v>
      </c>
      <c r="N9744" s="2" t="s">
        <v>13041</v>
      </c>
      <c r="O9744" s="4" t="s">
        <v>13042</v>
      </c>
      <c r="P9744" s="2" t="s">
        <v>60014</v>
      </c>
      <c r="Q9744" s="2" t="s">
        <v>31</v>
      </c>
      <c r="R9744" s="2" t="s">
        <v>10326</v>
      </c>
      <c r="S9744" s="4" t="s">
        <v>13044</v>
      </c>
      <c r="T9744" s="2" t="s">
        <v>66</v>
      </c>
      <c r="U9744" s="4" t="s">
        <v>31</v>
      </c>
      <c r="V9744" s="2" t="s">
        <v>270</v>
      </c>
      <c r="W9744" s="2" t="s">
        <v>60010</v>
      </c>
      <c r="X9744" s="5" t="str">
        <f>HYPERLINK("https://my.pitchbook.com?p=68959-00P","View People Online")</f>
        <v>View People Online</v>
      </c>
    </row>
    <row r="9745">
      <c r="A9745" s="6" t="s">
        <v>60176</v>
      </c>
      <c r="B9745" s="6" t="s">
        <v>60177</v>
      </c>
      <c r="C9745" s="6" t="s">
        <v>3499</v>
      </c>
      <c r="D9745" s="6" t="s">
        <v>60178</v>
      </c>
      <c r="E9745" s="6" t="s">
        <v>60010</v>
      </c>
      <c r="F9745" s="6" t="s">
        <v>825</v>
      </c>
      <c r="G9745" s="6" t="s">
        <v>60179</v>
      </c>
      <c r="H9745" s="7" t="s">
        <v>31</v>
      </c>
      <c r="I9745" s="7">
        <v>1.0</v>
      </c>
      <c r="J9745" s="7">
        <v>1.0</v>
      </c>
      <c r="K9745" s="7" t="s">
        <v>31</v>
      </c>
      <c r="L9745" s="8" t="s">
        <v>60026</v>
      </c>
      <c r="M9745" s="6" t="s">
        <v>60180</v>
      </c>
      <c r="N9745" s="6" t="s">
        <v>243</v>
      </c>
      <c r="O9745" s="8" t="s">
        <v>244</v>
      </c>
      <c r="P9745" s="6" t="s">
        <v>60028</v>
      </c>
      <c r="Q9745" s="6" t="s">
        <v>60029</v>
      </c>
      <c r="R9745" s="6" t="s">
        <v>247</v>
      </c>
      <c r="S9745" s="8" t="s">
        <v>60030</v>
      </c>
      <c r="T9745" s="6" t="s">
        <v>249</v>
      </c>
      <c r="U9745" s="8" t="s">
        <v>31</v>
      </c>
      <c r="V9745" s="6" t="s">
        <v>60181</v>
      </c>
      <c r="W9745" s="6" t="s">
        <v>60010</v>
      </c>
      <c r="X9745" s="9" t="str">
        <f>HYPERLINK("https://my.pitchbook.com?p=166441-87P","View People Online")</f>
        <v>View People Online</v>
      </c>
    </row>
    <row r="9746">
      <c r="A9746" s="10" t="s">
        <v>60182</v>
      </c>
      <c r="B9746" s="10" t="s">
        <v>60183</v>
      </c>
      <c r="C9746" s="10" t="s">
        <v>31660</v>
      </c>
      <c r="D9746" s="10" t="s">
        <v>21388</v>
      </c>
      <c r="E9746" s="10" t="s">
        <v>60010</v>
      </c>
      <c r="F9746" s="10" t="s">
        <v>825</v>
      </c>
      <c r="G9746" s="10" t="s">
        <v>60184</v>
      </c>
      <c r="H9746" s="11" t="s">
        <v>31</v>
      </c>
      <c r="I9746" s="11">
        <v>2.0</v>
      </c>
      <c r="J9746" s="11">
        <v>1.0</v>
      </c>
      <c r="K9746" s="11">
        <v>1.0</v>
      </c>
      <c r="L9746" s="12" t="s">
        <v>60185</v>
      </c>
      <c r="M9746" s="10" t="s">
        <v>60186</v>
      </c>
      <c r="N9746" s="10" t="s">
        <v>75</v>
      </c>
      <c r="O9746" s="12" t="s">
        <v>76</v>
      </c>
      <c r="P9746" s="10" t="s">
        <v>60187</v>
      </c>
      <c r="Q9746" s="10" t="s">
        <v>6831</v>
      </c>
      <c r="R9746" s="10" t="s">
        <v>75</v>
      </c>
      <c r="S9746" s="12" t="s">
        <v>28963</v>
      </c>
      <c r="T9746" s="10" t="s">
        <v>66</v>
      </c>
      <c r="U9746" s="12" t="s">
        <v>31</v>
      </c>
      <c r="V9746" s="10" t="s">
        <v>60188</v>
      </c>
      <c r="W9746" s="10" t="s">
        <v>60010</v>
      </c>
      <c r="X9746" s="13" t="str">
        <f>HYPERLINK("https://my.pitchbook.com?p=237802-96P","View People Online")</f>
        <v>View People Online</v>
      </c>
    </row>
    <row r="9747">
      <c r="A9747" s="6" t="s">
        <v>60189</v>
      </c>
      <c r="B9747" s="6" t="s">
        <v>60190</v>
      </c>
      <c r="C9747" s="6" t="s">
        <v>60191</v>
      </c>
      <c r="D9747" s="6" t="s">
        <v>8016</v>
      </c>
      <c r="E9747" s="6" t="s">
        <v>60010</v>
      </c>
      <c r="F9747" s="6" t="s">
        <v>825</v>
      </c>
      <c r="G9747" s="6" t="s">
        <v>60192</v>
      </c>
      <c r="H9747" s="7" t="s">
        <v>31</v>
      </c>
      <c r="I9747" s="7">
        <v>1.0</v>
      </c>
      <c r="J9747" s="7">
        <v>1.0</v>
      </c>
      <c r="K9747" s="7" t="s">
        <v>31</v>
      </c>
      <c r="L9747" s="8" t="s">
        <v>60053</v>
      </c>
      <c r="M9747" s="6" t="s">
        <v>60193</v>
      </c>
      <c r="N9747" s="6" t="s">
        <v>1005</v>
      </c>
      <c r="O9747" s="8" t="s">
        <v>1006</v>
      </c>
      <c r="P9747" s="6" t="s">
        <v>60055</v>
      </c>
      <c r="Q9747" s="6" t="s">
        <v>60056</v>
      </c>
      <c r="R9747" s="6" t="s">
        <v>31</v>
      </c>
      <c r="S9747" s="8" t="s">
        <v>60057</v>
      </c>
      <c r="T9747" s="6" t="s">
        <v>1010</v>
      </c>
      <c r="U9747" s="8" t="s">
        <v>31</v>
      </c>
      <c r="V9747" s="6" t="s">
        <v>60194</v>
      </c>
      <c r="W9747" s="6" t="s">
        <v>60010</v>
      </c>
      <c r="X9747" s="9" t="str">
        <f>HYPERLINK("https://my.pitchbook.com?p=116143-93P","View People Online")</f>
        <v>View People Online</v>
      </c>
    </row>
    <row r="9748">
      <c r="A9748" s="10" t="s">
        <v>60195</v>
      </c>
      <c r="B9748" s="10" t="s">
        <v>60196</v>
      </c>
      <c r="C9748" s="10" t="s">
        <v>323</v>
      </c>
      <c r="D9748" s="10" t="s">
        <v>60197</v>
      </c>
      <c r="E9748" s="10" t="s">
        <v>60010</v>
      </c>
      <c r="F9748" s="10" t="s">
        <v>49367</v>
      </c>
      <c r="G9748" s="10" t="s">
        <v>60198</v>
      </c>
      <c r="H9748" s="11" t="s">
        <v>31</v>
      </c>
      <c r="I9748" s="11">
        <v>1.0</v>
      </c>
      <c r="J9748" s="11">
        <v>1.0</v>
      </c>
      <c r="K9748" s="11" t="s">
        <v>31</v>
      </c>
      <c r="L9748" s="12" t="s">
        <v>60012</v>
      </c>
      <c r="M9748" s="10" t="s">
        <v>60199</v>
      </c>
      <c r="N9748" s="10" t="s">
        <v>13041</v>
      </c>
      <c r="O9748" s="12" t="s">
        <v>13042</v>
      </c>
      <c r="P9748" s="10" t="s">
        <v>60014</v>
      </c>
      <c r="Q9748" s="10" t="s">
        <v>31</v>
      </c>
      <c r="R9748" s="10" t="s">
        <v>10326</v>
      </c>
      <c r="S9748" s="12" t="s">
        <v>13044</v>
      </c>
      <c r="T9748" s="10" t="s">
        <v>66</v>
      </c>
      <c r="U9748" s="12" t="s">
        <v>31</v>
      </c>
      <c r="V9748" s="10" t="s">
        <v>60200</v>
      </c>
      <c r="W9748" s="10" t="s">
        <v>60010</v>
      </c>
      <c r="X9748" s="13" t="str">
        <f>HYPERLINK("https://my.pitchbook.com?p=100050-40P","View People Online")</f>
        <v>View People Online</v>
      </c>
    </row>
    <row r="9749">
      <c r="A9749" s="6" t="s">
        <v>60201</v>
      </c>
      <c r="B9749" s="6" t="s">
        <v>60202</v>
      </c>
      <c r="C9749" s="6" t="s">
        <v>2871</v>
      </c>
      <c r="D9749" s="6" t="s">
        <v>3598</v>
      </c>
      <c r="E9749" s="6" t="s">
        <v>60010</v>
      </c>
      <c r="F9749" s="6" t="s">
        <v>825</v>
      </c>
      <c r="G9749" s="6" t="s">
        <v>60203</v>
      </c>
      <c r="H9749" s="7" t="s">
        <v>31</v>
      </c>
      <c r="I9749" s="7">
        <v>1.0</v>
      </c>
      <c r="J9749" s="7">
        <v>1.0</v>
      </c>
      <c r="K9749" s="7" t="s">
        <v>31</v>
      </c>
      <c r="L9749" s="8" t="s">
        <v>60012</v>
      </c>
      <c r="M9749" s="6" t="s">
        <v>60204</v>
      </c>
      <c r="N9749" s="6" t="s">
        <v>13041</v>
      </c>
      <c r="O9749" s="8" t="s">
        <v>13042</v>
      </c>
      <c r="P9749" s="6" t="s">
        <v>60014</v>
      </c>
      <c r="Q9749" s="6" t="s">
        <v>31</v>
      </c>
      <c r="R9749" s="6" t="s">
        <v>10326</v>
      </c>
      <c r="S9749" s="8" t="s">
        <v>13044</v>
      </c>
      <c r="T9749" s="6" t="s">
        <v>66</v>
      </c>
      <c r="U9749" s="8" t="s">
        <v>31</v>
      </c>
      <c r="V9749" s="6" t="s">
        <v>60205</v>
      </c>
      <c r="W9749" s="6" t="s">
        <v>60010</v>
      </c>
      <c r="X9749" s="9" t="str">
        <f>HYPERLINK("https://my.pitchbook.com?p=321399-19P","View People Online")</f>
        <v>View People Online</v>
      </c>
    </row>
    <row r="9750">
      <c r="A9750" s="10" t="s">
        <v>60206</v>
      </c>
      <c r="B9750" s="10" t="s">
        <v>60207</v>
      </c>
      <c r="C9750" s="10" t="s">
        <v>26110</v>
      </c>
      <c r="D9750" s="10" t="s">
        <v>666</v>
      </c>
      <c r="E9750" s="10" t="s">
        <v>60010</v>
      </c>
      <c r="F9750" s="10" t="s">
        <v>825</v>
      </c>
      <c r="G9750" s="10" t="s">
        <v>60208</v>
      </c>
      <c r="H9750" s="11" t="s">
        <v>31</v>
      </c>
      <c r="I9750" s="11">
        <v>1.0</v>
      </c>
      <c r="J9750" s="11">
        <v>1.0</v>
      </c>
      <c r="K9750" s="11" t="s">
        <v>31</v>
      </c>
      <c r="L9750" s="12" t="s">
        <v>60012</v>
      </c>
      <c r="M9750" s="10" t="s">
        <v>60209</v>
      </c>
      <c r="N9750" s="10" t="s">
        <v>13041</v>
      </c>
      <c r="O9750" s="12" t="s">
        <v>13042</v>
      </c>
      <c r="P9750" s="10" t="s">
        <v>60014</v>
      </c>
      <c r="Q9750" s="10" t="s">
        <v>31</v>
      </c>
      <c r="R9750" s="10" t="s">
        <v>10326</v>
      </c>
      <c r="S9750" s="12" t="s">
        <v>13044</v>
      </c>
      <c r="T9750" s="10" t="s">
        <v>66</v>
      </c>
      <c r="U9750" s="12" t="s">
        <v>31</v>
      </c>
      <c r="V9750" s="10" t="s">
        <v>60210</v>
      </c>
      <c r="W9750" s="10" t="s">
        <v>60010</v>
      </c>
      <c r="X9750" s="13" t="str">
        <f>HYPERLINK("https://my.pitchbook.com?p=308858-68P","View People Online")</f>
        <v>View People Online</v>
      </c>
    </row>
    <row r="9751">
      <c r="A9751" s="6" t="s">
        <v>60211</v>
      </c>
      <c r="B9751" s="6" t="s">
        <v>60212</v>
      </c>
      <c r="C9751" s="6" t="s">
        <v>60213</v>
      </c>
      <c r="D9751" s="6" t="s">
        <v>26935</v>
      </c>
      <c r="E9751" s="6" t="s">
        <v>60010</v>
      </c>
      <c r="F9751" s="6" t="s">
        <v>896</v>
      </c>
      <c r="G9751" s="6" t="s">
        <v>60214</v>
      </c>
      <c r="H9751" s="7" t="s">
        <v>31</v>
      </c>
      <c r="I9751" s="7">
        <v>1.0</v>
      </c>
      <c r="J9751" s="7">
        <v>1.0</v>
      </c>
      <c r="K9751" s="7" t="s">
        <v>31</v>
      </c>
      <c r="L9751" s="8" t="s">
        <v>60215</v>
      </c>
      <c r="M9751" s="6" t="s">
        <v>60216</v>
      </c>
      <c r="N9751" s="6" t="s">
        <v>3603</v>
      </c>
      <c r="O9751" s="8" t="s">
        <v>3604</v>
      </c>
      <c r="P9751" s="6" t="s">
        <v>60217</v>
      </c>
      <c r="Q9751" s="6" t="s">
        <v>60218</v>
      </c>
      <c r="R9751" s="6" t="s">
        <v>31</v>
      </c>
      <c r="S9751" s="8" t="s">
        <v>31</v>
      </c>
      <c r="T9751" s="6" t="s">
        <v>3603</v>
      </c>
      <c r="U9751" s="8" t="s">
        <v>31</v>
      </c>
      <c r="V9751" s="6" t="s">
        <v>60219</v>
      </c>
      <c r="W9751" s="6" t="s">
        <v>60010</v>
      </c>
      <c r="X9751" s="9" t="str">
        <f>HYPERLINK("https://my.pitchbook.com?p=89878-15P","View People Online")</f>
        <v>View People Online</v>
      </c>
    </row>
    <row r="9752">
      <c r="A9752" s="10" t="s">
        <v>60220</v>
      </c>
      <c r="B9752" s="10" t="s">
        <v>60221</v>
      </c>
      <c r="C9752" s="10" t="s">
        <v>17438</v>
      </c>
      <c r="D9752" s="10" t="s">
        <v>60222</v>
      </c>
      <c r="E9752" s="10" t="s">
        <v>60010</v>
      </c>
      <c r="F9752" s="10" t="s">
        <v>667</v>
      </c>
      <c r="G9752" s="10" t="s">
        <v>60223</v>
      </c>
      <c r="H9752" s="11" t="s">
        <v>31</v>
      </c>
      <c r="I9752" s="11">
        <v>1.0</v>
      </c>
      <c r="J9752" s="11">
        <v>1.0</v>
      </c>
      <c r="K9752" s="11" t="s">
        <v>31</v>
      </c>
      <c r="L9752" s="12" t="s">
        <v>60012</v>
      </c>
      <c r="M9752" s="10" t="s">
        <v>60224</v>
      </c>
      <c r="N9752" s="10" t="s">
        <v>13041</v>
      </c>
      <c r="O9752" s="12" t="s">
        <v>13042</v>
      </c>
      <c r="P9752" s="10" t="s">
        <v>60014</v>
      </c>
      <c r="Q9752" s="10" t="s">
        <v>31</v>
      </c>
      <c r="R9752" s="10" t="s">
        <v>10326</v>
      </c>
      <c r="S9752" s="12" t="s">
        <v>13044</v>
      </c>
      <c r="T9752" s="10" t="s">
        <v>66</v>
      </c>
      <c r="U9752" s="12" t="s">
        <v>31</v>
      </c>
      <c r="V9752" s="10" t="s">
        <v>60225</v>
      </c>
      <c r="W9752" s="10" t="s">
        <v>60010</v>
      </c>
      <c r="X9752" s="13" t="str">
        <f>HYPERLINK("https://my.pitchbook.com?p=371109-97P","View People Online")</f>
        <v>View People Online</v>
      </c>
    </row>
    <row r="9753">
      <c r="A9753" s="14" t="s">
        <v>60226</v>
      </c>
      <c r="B9753" s="14" t="s">
        <v>60227</v>
      </c>
      <c r="C9753" s="14" t="s">
        <v>3529</v>
      </c>
      <c r="D9753" s="14" t="s">
        <v>5978</v>
      </c>
      <c r="E9753" s="14" t="s">
        <v>60010</v>
      </c>
      <c r="F9753" s="14" t="s">
        <v>896</v>
      </c>
      <c r="G9753" s="14" t="s">
        <v>60228</v>
      </c>
      <c r="H9753" s="15" t="s">
        <v>31</v>
      </c>
      <c r="I9753" s="15">
        <v>2.0</v>
      </c>
      <c r="J9753" s="15">
        <v>1.0</v>
      </c>
      <c r="K9753" s="15">
        <v>1.0</v>
      </c>
      <c r="L9753" s="16" t="s">
        <v>60012</v>
      </c>
      <c r="M9753" s="14" t="s">
        <v>60229</v>
      </c>
      <c r="N9753" s="14" t="s">
        <v>13041</v>
      </c>
      <c r="O9753" s="16" t="s">
        <v>13042</v>
      </c>
      <c r="P9753" s="14" t="s">
        <v>60014</v>
      </c>
      <c r="Q9753" s="14" t="s">
        <v>31</v>
      </c>
      <c r="R9753" s="14" t="s">
        <v>10326</v>
      </c>
      <c r="S9753" s="16" t="s">
        <v>13044</v>
      </c>
      <c r="T9753" s="14" t="s">
        <v>66</v>
      </c>
      <c r="U9753" s="16" t="s">
        <v>31</v>
      </c>
      <c r="V9753" s="14" t="s">
        <v>896</v>
      </c>
      <c r="W9753" s="14" t="s">
        <v>60010</v>
      </c>
      <c r="X9753" s="17" t="str">
        <f>HYPERLINK("https://my.pitchbook.com?p=257792-41P","View People Online")</f>
        <v>View People Online</v>
      </c>
    </row>
    <row r="9754">
      <c r="A9754" s="10" t="s">
        <v>60230</v>
      </c>
      <c r="B9754" s="10" t="s">
        <v>60231</v>
      </c>
      <c r="C9754" s="10" t="s">
        <v>3529</v>
      </c>
      <c r="D9754" s="10" t="s">
        <v>60232</v>
      </c>
      <c r="E9754" s="10" t="s">
        <v>60010</v>
      </c>
      <c r="F9754" s="10" t="s">
        <v>1801</v>
      </c>
      <c r="G9754" s="10" t="s">
        <v>60233</v>
      </c>
      <c r="H9754" s="11" t="s">
        <v>31</v>
      </c>
      <c r="I9754" s="11">
        <v>1.0</v>
      </c>
      <c r="J9754" s="11">
        <v>1.0</v>
      </c>
      <c r="K9754" s="11" t="s">
        <v>31</v>
      </c>
      <c r="L9754" s="12" t="s">
        <v>60234</v>
      </c>
      <c r="M9754" s="10" t="s">
        <v>60235</v>
      </c>
      <c r="N9754" s="10" t="s">
        <v>13041</v>
      </c>
      <c r="O9754" s="12" t="s">
        <v>13042</v>
      </c>
      <c r="P9754" s="10" t="s">
        <v>60014</v>
      </c>
      <c r="Q9754" s="10" t="s">
        <v>31</v>
      </c>
      <c r="R9754" s="10" t="s">
        <v>10326</v>
      </c>
      <c r="S9754" s="12" t="s">
        <v>13044</v>
      </c>
      <c r="T9754" s="10" t="s">
        <v>66</v>
      </c>
      <c r="U9754" s="12" t="s">
        <v>31</v>
      </c>
      <c r="V9754" s="10" t="s">
        <v>896</v>
      </c>
      <c r="W9754" s="10" t="s">
        <v>60010</v>
      </c>
      <c r="X9754" s="13" t="str">
        <f>HYPERLINK("https://my.pitchbook.com?p=103433-77P","View People Online")</f>
        <v>View People Online</v>
      </c>
    </row>
    <row r="9755">
      <c r="A9755" s="14" t="s">
        <v>60236</v>
      </c>
      <c r="B9755" s="14" t="s">
        <v>60237</v>
      </c>
      <c r="C9755" s="14" t="s">
        <v>4404</v>
      </c>
      <c r="D9755" s="14" t="s">
        <v>60238</v>
      </c>
      <c r="E9755" s="14" t="s">
        <v>60010</v>
      </c>
      <c r="F9755" s="14" t="s">
        <v>7902</v>
      </c>
      <c r="G9755" s="14" t="s">
        <v>60239</v>
      </c>
      <c r="H9755" s="15" t="s">
        <v>31</v>
      </c>
      <c r="I9755" s="15">
        <v>1.0</v>
      </c>
      <c r="J9755" s="15">
        <v>1.0</v>
      </c>
      <c r="K9755" s="15" t="s">
        <v>31</v>
      </c>
      <c r="L9755" s="16" t="s">
        <v>60012</v>
      </c>
      <c r="M9755" s="14" t="s">
        <v>60240</v>
      </c>
      <c r="N9755" s="14" t="s">
        <v>13041</v>
      </c>
      <c r="O9755" s="16" t="s">
        <v>13042</v>
      </c>
      <c r="P9755" s="14" t="s">
        <v>60014</v>
      </c>
      <c r="Q9755" s="14" t="s">
        <v>31</v>
      </c>
      <c r="R9755" s="14" t="s">
        <v>10326</v>
      </c>
      <c r="S9755" s="16" t="s">
        <v>13044</v>
      </c>
      <c r="T9755" s="14" t="s">
        <v>66</v>
      </c>
      <c r="U9755" s="16" t="s">
        <v>31</v>
      </c>
      <c r="V9755" s="14" t="s">
        <v>60241</v>
      </c>
      <c r="W9755" s="14" t="s">
        <v>60010</v>
      </c>
      <c r="X9755" s="17" t="str">
        <f>HYPERLINK("https://my.pitchbook.com?p=270836-38P","View People Online")</f>
        <v>View People Online</v>
      </c>
    </row>
    <row r="9756">
      <c r="A9756" s="10" t="s">
        <v>60242</v>
      </c>
      <c r="B9756" s="10" t="s">
        <v>60243</v>
      </c>
      <c r="C9756" s="10" t="s">
        <v>4404</v>
      </c>
      <c r="D9756" s="10" t="s">
        <v>60244</v>
      </c>
      <c r="E9756" s="10" t="s">
        <v>60010</v>
      </c>
      <c r="F9756" s="10" t="s">
        <v>371</v>
      </c>
      <c r="G9756" s="10" t="s">
        <v>60245</v>
      </c>
      <c r="H9756" s="11" t="s">
        <v>31</v>
      </c>
      <c r="I9756" s="11">
        <v>1.0</v>
      </c>
      <c r="J9756" s="11">
        <v>1.0</v>
      </c>
      <c r="K9756" s="11" t="s">
        <v>31</v>
      </c>
      <c r="L9756" s="12" t="s">
        <v>60246</v>
      </c>
      <c r="M9756" s="10" t="s">
        <v>60247</v>
      </c>
      <c r="N9756" s="10" t="s">
        <v>13041</v>
      </c>
      <c r="O9756" s="12" t="s">
        <v>13042</v>
      </c>
      <c r="P9756" s="10" t="s">
        <v>60014</v>
      </c>
      <c r="Q9756" s="10" t="s">
        <v>31</v>
      </c>
      <c r="R9756" s="10" t="s">
        <v>10326</v>
      </c>
      <c r="S9756" s="12" t="s">
        <v>13044</v>
      </c>
      <c r="T9756" s="10" t="s">
        <v>66</v>
      </c>
      <c r="U9756" s="12" t="s">
        <v>31</v>
      </c>
      <c r="V9756" s="10" t="s">
        <v>371</v>
      </c>
      <c r="W9756" s="10" t="s">
        <v>60010</v>
      </c>
      <c r="X9756" s="13" t="str">
        <f>HYPERLINK("https://my.pitchbook.com?p=16777-09P","View People Online")</f>
        <v>View People Online</v>
      </c>
    </row>
    <row r="9757">
      <c r="A9757" s="14" t="s">
        <v>60248</v>
      </c>
      <c r="B9757" s="14" t="s">
        <v>60249</v>
      </c>
      <c r="C9757" s="14" t="s">
        <v>5071</v>
      </c>
      <c r="D9757" s="14" t="s">
        <v>60250</v>
      </c>
      <c r="E9757" s="14" t="s">
        <v>60010</v>
      </c>
      <c r="F9757" s="14" t="s">
        <v>7930</v>
      </c>
      <c r="G9757" s="14" t="s">
        <v>60251</v>
      </c>
      <c r="H9757" s="15" t="s">
        <v>31</v>
      </c>
      <c r="I9757" s="15">
        <v>1.0</v>
      </c>
      <c r="J9757" s="15">
        <v>1.0</v>
      </c>
      <c r="K9757" s="15" t="s">
        <v>31</v>
      </c>
      <c r="L9757" s="16" t="s">
        <v>60012</v>
      </c>
      <c r="M9757" s="14" t="s">
        <v>60252</v>
      </c>
      <c r="N9757" s="14" t="s">
        <v>13041</v>
      </c>
      <c r="O9757" s="16" t="s">
        <v>13042</v>
      </c>
      <c r="P9757" s="14" t="s">
        <v>60014</v>
      </c>
      <c r="Q9757" s="14" t="s">
        <v>31</v>
      </c>
      <c r="R9757" s="14" t="s">
        <v>10326</v>
      </c>
      <c r="S9757" s="16" t="s">
        <v>13044</v>
      </c>
      <c r="T9757" s="14" t="s">
        <v>66</v>
      </c>
      <c r="U9757" s="16" t="s">
        <v>31</v>
      </c>
      <c r="V9757" s="14" t="s">
        <v>5287</v>
      </c>
      <c r="W9757" s="14" t="s">
        <v>60010</v>
      </c>
      <c r="X9757" s="17" t="str">
        <f>HYPERLINK("https://my.pitchbook.com?p=225591-67P","View People Online")</f>
        <v>View People Online</v>
      </c>
    </row>
    <row r="9758">
      <c r="A9758" s="2" t="s">
        <v>60253</v>
      </c>
      <c r="B9758" s="2" t="s">
        <v>60254</v>
      </c>
      <c r="C9758" s="2" t="s">
        <v>47032</v>
      </c>
      <c r="D9758" s="2" t="s">
        <v>35281</v>
      </c>
      <c r="E9758" s="2" t="s">
        <v>60010</v>
      </c>
      <c r="F9758" s="2" t="s">
        <v>5393</v>
      </c>
      <c r="G9758" s="2" t="s">
        <v>60255</v>
      </c>
      <c r="H9758" s="3" t="s">
        <v>31</v>
      </c>
      <c r="I9758" s="3">
        <v>1.0</v>
      </c>
      <c r="J9758" s="3">
        <v>1.0</v>
      </c>
      <c r="K9758" s="3" t="s">
        <v>31</v>
      </c>
      <c r="L9758" s="4" t="s">
        <v>60256</v>
      </c>
      <c r="M9758" s="2" t="s">
        <v>60257</v>
      </c>
      <c r="N9758" s="2" t="s">
        <v>13041</v>
      </c>
      <c r="O9758" s="4" t="s">
        <v>13042</v>
      </c>
      <c r="P9758" s="2" t="s">
        <v>60014</v>
      </c>
      <c r="Q9758" s="2" t="s">
        <v>31</v>
      </c>
      <c r="R9758" s="2" t="s">
        <v>10326</v>
      </c>
      <c r="S9758" s="4" t="s">
        <v>13044</v>
      </c>
      <c r="T9758" s="2" t="s">
        <v>66</v>
      </c>
      <c r="U9758" s="4" t="s">
        <v>31</v>
      </c>
      <c r="V9758" s="2" t="s">
        <v>5453</v>
      </c>
      <c r="W9758" s="2" t="s">
        <v>60010</v>
      </c>
      <c r="X9758" s="5" t="str">
        <f>HYPERLINK("https://my.pitchbook.com?p=96276-25P","View People Online")</f>
        <v>View People Online</v>
      </c>
    </row>
    <row r="9759">
      <c r="A9759" s="6" t="s">
        <v>60258</v>
      </c>
      <c r="B9759" s="6" t="s">
        <v>60259</v>
      </c>
      <c r="C9759" s="6" t="s">
        <v>1343</v>
      </c>
      <c r="D9759" s="6" t="s">
        <v>8466</v>
      </c>
      <c r="E9759" s="6" t="s">
        <v>60010</v>
      </c>
      <c r="F9759" s="6" t="s">
        <v>667</v>
      </c>
      <c r="G9759" s="6" t="s">
        <v>60260</v>
      </c>
      <c r="H9759" s="7" t="s">
        <v>31</v>
      </c>
      <c r="I9759" s="7">
        <v>2.0</v>
      </c>
      <c r="J9759" s="7">
        <v>1.0</v>
      </c>
      <c r="K9759" s="7">
        <v>1.0</v>
      </c>
      <c r="L9759" s="8" t="s">
        <v>60261</v>
      </c>
      <c r="M9759" s="6" t="s">
        <v>60262</v>
      </c>
      <c r="N9759" s="6" t="s">
        <v>13041</v>
      </c>
      <c r="O9759" s="8" t="s">
        <v>13042</v>
      </c>
      <c r="P9759" s="6" t="s">
        <v>60014</v>
      </c>
      <c r="Q9759" s="6" t="s">
        <v>31</v>
      </c>
      <c r="R9759" s="6" t="s">
        <v>10326</v>
      </c>
      <c r="S9759" s="8" t="s">
        <v>13044</v>
      </c>
      <c r="T9759" s="6" t="s">
        <v>66</v>
      </c>
      <c r="U9759" s="8" t="s">
        <v>31</v>
      </c>
      <c r="V9759" s="6" t="s">
        <v>695</v>
      </c>
      <c r="W9759" s="6" t="s">
        <v>60010</v>
      </c>
      <c r="X9759" s="9" t="str">
        <f>HYPERLINK("https://my.pitchbook.com?p=287205-40P","View People Online")</f>
        <v>View People Online</v>
      </c>
    </row>
    <row r="9760">
      <c r="A9760" s="10" t="s">
        <v>60263</v>
      </c>
      <c r="B9760" s="10" t="s">
        <v>60264</v>
      </c>
      <c r="C9760" s="10" t="s">
        <v>1343</v>
      </c>
      <c r="D9760" s="10" t="s">
        <v>38235</v>
      </c>
      <c r="E9760" s="10" t="s">
        <v>60010</v>
      </c>
      <c r="F9760" s="10" t="s">
        <v>896</v>
      </c>
      <c r="G9760" s="10" t="s">
        <v>60265</v>
      </c>
      <c r="H9760" s="11" t="s">
        <v>31</v>
      </c>
      <c r="I9760" s="11">
        <v>2.0</v>
      </c>
      <c r="J9760" s="11">
        <v>1.0</v>
      </c>
      <c r="K9760" s="11">
        <v>1.0</v>
      </c>
      <c r="L9760" s="12" t="s">
        <v>60012</v>
      </c>
      <c r="M9760" s="10" t="s">
        <v>60266</v>
      </c>
      <c r="N9760" s="10" t="s">
        <v>13041</v>
      </c>
      <c r="O9760" s="12" t="s">
        <v>13042</v>
      </c>
      <c r="P9760" s="10" t="s">
        <v>60014</v>
      </c>
      <c r="Q9760" s="10" t="s">
        <v>31</v>
      </c>
      <c r="R9760" s="10" t="s">
        <v>10326</v>
      </c>
      <c r="S9760" s="12" t="s">
        <v>13044</v>
      </c>
      <c r="T9760" s="10" t="s">
        <v>66</v>
      </c>
      <c r="U9760" s="12" t="s">
        <v>31</v>
      </c>
      <c r="V9760" s="10" t="s">
        <v>60267</v>
      </c>
      <c r="W9760" s="10" t="s">
        <v>60010</v>
      </c>
      <c r="X9760" s="13" t="str">
        <f>HYPERLINK("https://my.pitchbook.com?p=276143-59P","View People Online")</f>
        <v>View People Online</v>
      </c>
    </row>
    <row r="9761">
      <c r="A9761" s="14" t="s">
        <v>60268</v>
      </c>
      <c r="B9761" s="14" t="s">
        <v>60269</v>
      </c>
      <c r="C9761" s="14" t="s">
        <v>1343</v>
      </c>
      <c r="D9761" s="14" t="s">
        <v>60270</v>
      </c>
      <c r="E9761" s="14" t="s">
        <v>60010</v>
      </c>
      <c r="F9761" s="14" t="s">
        <v>825</v>
      </c>
      <c r="G9761" s="14" t="s">
        <v>60271</v>
      </c>
      <c r="H9761" s="15" t="s">
        <v>31</v>
      </c>
      <c r="I9761" s="15">
        <v>1.0</v>
      </c>
      <c r="J9761" s="15">
        <v>1.0</v>
      </c>
      <c r="K9761" s="15" t="s">
        <v>31</v>
      </c>
      <c r="L9761" s="16" t="s">
        <v>60012</v>
      </c>
      <c r="M9761" s="14" t="s">
        <v>60272</v>
      </c>
      <c r="N9761" s="14" t="s">
        <v>13041</v>
      </c>
      <c r="O9761" s="16" t="s">
        <v>13042</v>
      </c>
      <c r="P9761" s="14" t="s">
        <v>60014</v>
      </c>
      <c r="Q9761" s="14" t="s">
        <v>31</v>
      </c>
      <c r="R9761" s="14" t="s">
        <v>10326</v>
      </c>
      <c r="S9761" s="16" t="s">
        <v>13044</v>
      </c>
      <c r="T9761" s="14" t="s">
        <v>66</v>
      </c>
      <c r="U9761" s="16" t="s">
        <v>31</v>
      </c>
      <c r="V9761" s="14" t="s">
        <v>60273</v>
      </c>
      <c r="W9761" s="14" t="s">
        <v>60010</v>
      </c>
      <c r="X9761" s="17" t="str">
        <f>HYPERLINK("https://my.pitchbook.com?p=87302-80P","View People Online")</f>
        <v>View People Online</v>
      </c>
    </row>
    <row r="9762">
      <c r="A9762" s="10" t="s">
        <v>60274</v>
      </c>
      <c r="B9762" s="10" t="s">
        <v>60275</v>
      </c>
      <c r="C9762" s="10" t="s">
        <v>843</v>
      </c>
      <c r="D9762" s="10" t="s">
        <v>60276</v>
      </c>
      <c r="E9762" s="10" t="s">
        <v>60010</v>
      </c>
      <c r="F9762" s="10" t="s">
        <v>825</v>
      </c>
      <c r="G9762" s="10" t="s">
        <v>60277</v>
      </c>
      <c r="H9762" s="11" t="s">
        <v>31</v>
      </c>
      <c r="I9762" s="11">
        <v>1.0</v>
      </c>
      <c r="J9762" s="11">
        <v>1.0</v>
      </c>
      <c r="K9762" s="11" t="s">
        <v>31</v>
      </c>
      <c r="L9762" s="12" t="s">
        <v>60012</v>
      </c>
      <c r="M9762" s="10" t="s">
        <v>60278</v>
      </c>
      <c r="N9762" s="10" t="s">
        <v>13041</v>
      </c>
      <c r="O9762" s="12" t="s">
        <v>13042</v>
      </c>
      <c r="P9762" s="10" t="s">
        <v>60014</v>
      </c>
      <c r="Q9762" s="10" t="s">
        <v>31</v>
      </c>
      <c r="R9762" s="10" t="s">
        <v>10326</v>
      </c>
      <c r="S9762" s="12" t="s">
        <v>13044</v>
      </c>
      <c r="T9762" s="10" t="s">
        <v>66</v>
      </c>
      <c r="U9762" s="12" t="s">
        <v>31</v>
      </c>
      <c r="V9762" s="10" t="s">
        <v>60279</v>
      </c>
      <c r="W9762" s="10" t="s">
        <v>60010</v>
      </c>
      <c r="X9762" s="13" t="str">
        <f>HYPERLINK("https://my.pitchbook.com?p=160775-11P","View People Online")</f>
        <v>View People Online</v>
      </c>
    </row>
    <row r="9763">
      <c r="A9763" s="6" t="s">
        <v>60280</v>
      </c>
      <c r="B9763" s="6" t="s">
        <v>60281</v>
      </c>
      <c r="C9763" s="6" t="s">
        <v>3040</v>
      </c>
      <c r="D9763" s="6" t="s">
        <v>60282</v>
      </c>
      <c r="E9763" s="6" t="s">
        <v>60010</v>
      </c>
      <c r="F9763" s="6" t="s">
        <v>5393</v>
      </c>
      <c r="G9763" s="6" t="s">
        <v>60283</v>
      </c>
      <c r="H9763" s="7" t="s">
        <v>31</v>
      </c>
      <c r="I9763" s="7">
        <v>5.0</v>
      </c>
      <c r="J9763" s="7">
        <v>1.0</v>
      </c>
      <c r="K9763" s="7">
        <v>4.0</v>
      </c>
      <c r="L9763" s="8" t="s">
        <v>60012</v>
      </c>
      <c r="M9763" s="6" t="s">
        <v>60284</v>
      </c>
      <c r="N9763" s="6" t="s">
        <v>13041</v>
      </c>
      <c r="O9763" s="8" t="s">
        <v>13042</v>
      </c>
      <c r="P9763" s="6" t="s">
        <v>60014</v>
      </c>
      <c r="Q9763" s="6" t="s">
        <v>31</v>
      </c>
      <c r="R9763" s="6" t="s">
        <v>10326</v>
      </c>
      <c r="S9763" s="8" t="s">
        <v>13044</v>
      </c>
      <c r="T9763" s="6" t="s">
        <v>66</v>
      </c>
      <c r="U9763" s="8" t="s">
        <v>31</v>
      </c>
      <c r="V9763" s="6" t="s">
        <v>5453</v>
      </c>
      <c r="W9763" s="6" t="s">
        <v>60010</v>
      </c>
      <c r="X9763" s="9" t="str">
        <f>HYPERLINK("https://my.pitchbook.com?p=68970-79P","View People Online")</f>
        <v>View People Online</v>
      </c>
    </row>
    <row r="9764">
      <c r="A9764" s="10" t="s">
        <v>60285</v>
      </c>
      <c r="B9764" s="10" t="s">
        <v>60286</v>
      </c>
      <c r="C9764" s="10" t="s">
        <v>18127</v>
      </c>
      <c r="D9764" s="10" t="s">
        <v>28047</v>
      </c>
      <c r="E9764" s="10" t="s">
        <v>60010</v>
      </c>
      <c r="F9764" s="10" t="s">
        <v>5086</v>
      </c>
      <c r="G9764" s="10" t="s">
        <v>60287</v>
      </c>
      <c r="H9764" s="11" t="s">
        <v>31</v>
      </c>
      <c r="I9764" s="11">
        <v>1.0</v>
      </c>
      <c r="J9764" s="11">
        <v>1.0</v>
      </c>
      <c r="K9764" s="11" t="s">
        <v>31</v>
      </c>
      <c r="L9764" s="12" t="s">
        <v>60012</v>
      </c>
      <c r="M9764" s="10" t="s">
        <v>60288</v>
      </c>
      <c r="N9764" s="10" t="s">
        <v>13041</v>
      </c>
      <c r="O9764" s="12" t="s">
        <v>13042</v>
      </c>
      <c r="P9764" s="10" t="s">
        <v>60014</v>
      </c>
      <c r="Q9764" s="10" t="s">
        <v>31</v>
      </c>
      <c r="R9764" s="10" t="s">
        <v>10326</v>
      </c>
      <c r="S9764" s="12" t="s">
        <v>13044</v>
      </c>
      <c r="T9764" s="10" t="s">
        <v>66</v>
      </c>
      <c r="U9764" s="12" t="s">
        <v>31</v>
      </c>
      <c r="V9764" s="10" t="s">
        <v>60289</v>
      </c>
      <c r="W9764" s="10" t="s">
        <v>60010</v>
      </c>
      <c r="X9764" s="13" t="str">
        <f>HYPERLINK("https://my.pitchbook.com?p=270836-47P","View People Online")</f>
        <v>View People Online</v>
      </c>
    </row>
    <row r="9765">
      <c r="A9765" s="14" t="s">
        <v>60290</v>
      </c>
      <c r="B9765" s="14" t="s">
        <v>60291</v>
      </c>
      <c r="C9765" s="14" t="s">
        <v>18127</v>
      </c>
      <c r="D9765" s="14" t="s">
        <v>22105</v>
      </c>
      <c r="E9765" s="14" t="s">
        <v>60010</v>
      </c>
      <c r="F9765" s="14" t="s">
        <v>896</v>
      </c>
      <c r="G9765" s="14" t="s">
        <v>60292</v>
      </c>
      <c r="H9765" s="15" t="s">
        <v>31</v>
      </c>
      <c r="I9765" s="15">
        <v>3.0</v>
      </c>
      <c r="J9765" s="15">
        <v>1.0</v>
      </c>
      <c r="K9765" s="15">
        <v>2.0</v>
      </c>
      <c r="L9765" s="16" t="s">
        <v>60012</v>
      </c>
      <c r="M9765" s="14" t="s">
        <v>60293</v>
      </c>
      <c r="N9765" s="14" t="s">
        <v>13041</v>
      </c>
      <c r="O9765" s="16" t="s">
        <v>13042</v>
      </c>
      <c r="P9765" s="14" t="s">
        <v>60014</v>
      </c>
      <c r="Q9765" s="14" t="s">
        <v>31</v>
      </c>
      <c r="R9765" s="14" t="s">
        <v>10326</v>
      </c>
      <c r="S9765" s="16" t="s">
        <v>13044</v>
      </c>
      <c r="T9765" s="14" t="s">
        <v>66</v>
      </c>
      <c r="U9765" s="16" t="s">
        <v>31</v>
      </c>
      <c r="V9765" s="14" t="s">
        <v>60294</v>
      </c>
      <c r="W9765" s="14" t="s">
        <v>60010</v>
      </c>
      <c r="X9765" s="17" t="str">
        <f>HYPERLINK("https://my.pitchbook.com?p=167840-38P","View People Online")</f>
        <v>View People Online</v>
      </c>
    </row>
    <row r="9766">
      <c r="A9766" s="10" t="s">
        <v>60295</v>
      </c>
      <c r="B9766" s="10" t="s">
        <v>60296</v>
      </c>
      <c r="C9766" s="10" t="s">
        <v>3082</v>
      </c>
      <c r="D9766" s="10" t="s">
        <v>13503</v>
      </c>
      <c r="E9766" s="10" t="s">
        <v>60010</v>
      </c>
      <c r="F9766" s="10" t="s">
        <v>60297</v>
      </c>
      <c r="G9766" s="10" t="s">
        <v>60298</v>
      </c>
      <c r="H9766" s="11" t="s">
        <v>31</v>
      </c>
      <c r="I9766" s="11">
        <v>1.0</v>
      </c>
      <c r="J9766" s="11">
        <v>1.0</v>
      </c>
      <c r="K9766" s="11" t="s">
        <v>31</v>
      </c>
      <c r="L9766" s="12" t="s">
        <v>60012</v>
      </c>
      <c r="M9766" s="10" t="s">
        <v>60299</v>
      </c>
      <c r="N9766" s="10" t="s">
        <v>13041</v>
      </c>
      <c r="O9766" s="12" t="s">
        <v>13042</v>
      </c>
      <c r="P9766" s="10" t="s">
        <v>60014</v>
      </c>
      <c r="Q9766" s="10" t="s">
        <v>31</v>
      </c>
      <c r="R9766" s="10" t="s">
        <v>10326</v>
      </c>
      <c r="S9766" s="12" t="s">
        <v>13044</v>
      </c>
      <c r="T9766" s="10" t="s">
        <v>66</v>
      </c>
      <c r="U9766" s="12" t="s">
        <v>31</v>
      </c>
      <c r="V9766" s="10" t="s">
        <v>60300</v>
      </c>
      <c r="W9766" s="10" t="s">
        <v>60010</v>
      </c>
      <c r="X9766" s="13" t="str">
        <f>HYPERLINK("https://my.pitchbook.com?p=160198-93P","View People Online")</f>
        <v>View People Online</v>
      </c>
    </row>
    <row r="9767">
      <c r="A9767" s="6" t="s">
        <v>60301</v>
      </c>
      <c r="B9767" s="6" t="s">
        <v>60302</v>
      </c>
      <c r="C9767" s="6" t="s">
        <v>3082</v>
      </c>
      <c r="D9767" s="6" t="s">
        <v>4346</v>
      </c>
      <c r="E9767" s="6" t="s">
        <v>60010</v>
      </c>
      <c r="F9767" s="6" t="s">
        <v>896</v>
      </c>
      <c r="G9767" s="6" t="s">
        <v>60303</v>
      </c>
      <c r="H9767" s="7" t="s">
        <v>31</v>
      </c>
      <c r="I9767" s="7">
        <v>1.0</v>
      </c>
      <c r="J9767" s="7">
        <v>1.0</v>
      </c>
      <c r="K9767" s="7" t="s">
        <v>31</v>
      </c>
      <c r="L9767" s="8" t="s">
        <v>60012</v>
      </c>
      <c r="M9767" s="6" t="s">
        <v>60304</v>
      </c>
      <c r="N9767" s="6" t="s">
        <v>13041</v>
      </c>
      <c r="O9767" s="8" t="s">
        <v>13042</v>
      </c>
      <c r="P9767" s="6" t="s">
        <v>60014</v>
      </c>
      <c r="Q9767" s="6" t="s">
        <v>31</v>
      </c>
      <c r="R9767" s="6" t="s">
        <v>10326</v>
      </c>
      <c r="S9767" s="8" t="s">
        <v>13044</v>
      </c>
      <c r="T9767" s="6" t="s">
        <v>66</v>
      </c>
      <c r="U9767" s="8" t="s">
        <v>31</v>
      </c>
      <c r="V9767" s="6" t="s">
        <v>60305</v>
      </c>
      <c r="W9767" s="6" t="s">
        <v>60010</v>
      </c>
      <c r="X9767" s="9" t="str">
        <f>HYPERLINK("https://my.pitchbook.com?p=89877-97P","View People Online")</f>
        <v>View People Online</v>
      </c>
    </row>
    <row r="9768">
      <c r="A9768" s="2" t="s">
        <v>60306</v>
      </c>
      <c r="B9768" s="2" t="s">
        <v>60307</v>
      </c>
      <c r="C9768" s="2" t="s">
        <v>7538</v>
      </c>
      <c r="D9768" s="2" t="s">
        <v>32404</v>
      </c>
      <c r="E9768" s="2" t="s">
        <v>60010</v>
      </c>
      <c r="F9768" s="2" t="s">
        <v>371</v>
      </c>
      <c r="G9768" s="2" t="s">
        <v>60308</v>
      </c>
      <c r="H9768" s="3" t="s">
        <v>31</v>
      </c>
      <c r="I9768" s="3">
        <v>1.0</v>
      </c>
      <c r="J9768" s="3">
        <v>1.0</v>
      </c>
      <c r="K9768" s="3" t="s">
        <v>31</v>
      </c>
      <c r="L9768" s="4" t="s">
        <v>60309</v>
      </c>
      <c r="M9768" s="2" t="s">
        <v>31</v>
      </c>
      <c r="N9768" s="2" t="s">
        <v>13041</v>
      </c>
      <c r="O9768" s="4" t="s">
        <v>13042</v>
      </c>
      <c r="P9768" s="2" t="s">
        <v>60014</v>
      </c>
      <c r="Q9768" s="2" t="s">
        <v>31</v>
      </c>
      <c r="R9768" s="2" t="s">
        <v>10326</v>
      </c>
      <c r="S9768" s="4" t="s">
        <v>13044</v>
      </c>
      <c r="T9768" s="2" t="s">
        <v>66</v>
      </c>
      <c r="U9768" s="4" t="s">
        <v>31</v>
      </c>
      <c r="V9768" s="2" t="s">
        <v>60310</v>
      </c>
      <c r="W9768" s="2" t="s">
        <v>60010</v>
      </c>
      <c r="X9768" s="5" t="str">
        <f>HYPERLINK("https://my.pitchbook.com?p=68968-54P","View People Online")</f>
        <v>View People Online</v>
      </c>
    </row>
    <row r="9769">
      <c r="A9769" s="14" t="s">
        <v>60311</v>
      </c>
      <c r="B9769" s="14" t="s">
        <v>60312</v>
      </c>
      <c r="C9769" s="14" t="s">
        <v>5099</v>
      </c>
      <c r="D9769" s="14" t="s">
        <v>119</v>
      </c>
      <c r="E9769" s="14" t="s">
        <v>60010</v>
      </c>
      <c r="F9769" s="14" t="s">
        <v>78</v>
      </c>
      <c r="G9769" s="14" t="s">
        <v>60313</v>
      </c>
      <c r="H9769" s="15">
        <v>1.0</v>
      </c>
      <c r="I9769" s="15">
        <v>2.0</v>
      </c>
      <c r="J9769" s="15">
        <v>1.0</v>
      </c>
      <c r="K9769" s="15" t="s">
        <v>31</v>
      </c>
      <c r="L9769" s="16" t="s">
        <v>60314</v>
      </c>
      <c r="M9769" s="14" t="s">
        <v>60315</v>
      </c>
      <c r="N9769" s="14" t="s">
        <v>40371</v>
      </c>
      <c r="O9769" s="16" t="s">
        <v>40372</v>
      </c>
      <c r="P9769" s="14" t="s">
        <v>60316</v>
      </c>
      <c r="Q9769" s="14" t="s">
        <v>31</v>
      </c>
      <c r="R9769" s="14" t="s">
        <v>27830</v>
      </c>
      <c r="S9769" s="16" t="s">
        <v>60317</v>
      </c>
      <c r="T9769" s="14" t="s">
        <v>66</v>
      </c>
      <c r="U9769" s="16" t="s">
        <v>31</v>
      </c>
      <c r="V9769" s="14" t="s">
        <v>60318</v>
      </c>
      <c r="W9769" s="14" t="s">
        <v>60319</v>
      </c>
      <c r="X9769" s="17" t="str">
        <f>HYPERLINK("https://my.pitchbook.com?p=160298-20P","View People Online")</f>
        <v>View People Online</v>
      </c>
    </row>
    <row r="9770">
      <c r="A9770" s="2" t="s">
        <v>60320</v>
      </c>
      <c r="B9770" s="2" t="s">
        <v>60321</v>
      </c>
      <c r="C9770" s="2" t="s">
        <v>18807</v>
      </c>
      <c r="D9770" s="2" t="s">
        <v>25232</v>
      </c>
      <c r="E9770" s="2" t="s">
        <v>60010</v>
      </c>
      <c r="F9770" s="2" t="s">
        <v>825</v>
      </c>
      <c r="G9770" s="2" t="s">
        <v>60322</v>
      </c>
      <c r="H9770" s="3" t="s">
        <v>31</v>
      </c>
      <c r="I9770" s="3">
        <v>1.0</v>
      </c>
      <c r="J9770" s="3">
        <v>1.0</v>
      </c>
      <c r="K9770" s="3" t="s">
        <v>31</v>
      </c>
      <c r="L9770" s="4" t="s">
        <v>60012</v>
      </c>
      <c r="M9770" s="2" t="s">
        <v>60323</v>
      </c>
      <c r="N9770" s="2" t="s">
        <v>13041</v>
      </c>
      <c r="O9770" s="4" t="s">
        <v>13042</v>
      </c>
      <c r="P9770" s="2" t="s">
        <v>60014</v>
      </c>
      <c r="Q9770" s="2" t="s">
        <v>31</v>
      </c>
      <c r="R9770" s="2" t="s">
        <v>10326</v>
      </c>
      <c r="S9770" s="4" t="s">
        <v>13044</v>
      </c>
      <c r="T9770" s="2" t="s">
        <v>66</v>
      </c>
      <c r="U9770" s="4" t="s">
        <v>31</v>
      </c>
      <c r="V9770" s="2" t="s">
        <v>60324</v>
      </c>
      <c r="W9770" s="2" t="s">
        <v>60010</v>
      </c>
      <c r="X9770" s="5" t="str">
        <f>HYPERLINK("https://my.pitchbook.com?p=307957-69P","View People Online")</f>
        <v>View People Online</v>
      </c>
    </row>
    <row r="9771">
      <c r="A9771" s="6" t="s">
        <v>60325</v>
      </c>
      <c r="B9771" s="6" t="s">
        <v>60326</v>
      </c>
      <c r="C9771" s="6" t="s">
        <v>2283</v>
      </c>
      <c r="D9771" s="6" t="s">
        <v>4299</v>
      </c>
      <c r="E9771" s="6" t="s">
        <v>60010</v>
      </c>
      <c r="F9771" s="6" t="s">
        <v>548</v>
      </c>
      <c r="G9771" s="6" t="s">
        <v>60327</v>
      </c>
      <c r="H9771" s="7" t="s">
        <v>31</v>
      </c>
      <c r="I9771" s="7">
        <v>1.0</v>
      </c>
      <c r="J9771" s="7">
        <v>1.0</v>
      </c>
      <c r="K9771" s="7" t="s">
        <v>31</v>
      </c>
      <c r="L9771" s="8" t="s">
        <v>60026</v>
      </c>
      <c r="M9771" s="6" t="s">
        <v>31</v>
      </c>
      <c r="N9771" s="6" t="s">
        <v>243</v>
      </c>
      <c r="O9771" s="8" t="s">
        <v>244</v>
      </c>
      <c r="P9771" s="6" t="s">
        <v>60028</v>
      </c>
      <c r="Q9771" s="6" t="s">
        <v>60029</v>
      </c>
      <c r="R9771" s="6" t="s">
        <v>247</v>
      </c>
      <c r="S9771" s="8" t="s">
        <v>60030</v>
      </c>
      <c r="T9771" s="6" t="s">
        <v>249</v>
      </c>
      <c r="U9771" s="8" t="s">
        <v>31</v>
      </c>
      <c r="V9771" s="6" t="s">
        <v>60328</v>
      </c>
      <c r="W9771" s="6" t="s">
        <v>60010</v>
      </c>
      <c r="X9771" s="9" t="str">
        <f>HYPERLINK("https://my.pitchbook.com?p=169913-17P","View People Online")</f>
        <v>View People Online</v>
      </c>
    </row>
    <row r="9772">
      <c r="A9772" s="2" t="s">
        <v>60329</v>
      </c>
      <c r="B9772" s="2" t="s">
        <v>60330</v>
      </c>
      <c r="C9772" s="2" t="s">
        <v>2288</v>
      </c>
      <c r="D9772" s="2" t="s">
        <v>4680</v>
      </c>
      <c r="E9772" s="2" t="s">
        <v>60010</v>
      </c>
      <c r="F9772" s="2" t="s">
        <v>1801</v>
      </c>
      <c r="G9772" s="2" t="s">
        <v>60331</v>
      </c>
      <c r="H9772" s="3" t="s">
        <v>31</v>
      </c>
      <c r="I9772" s="3">
        <v>1.0</v>
      </c>
      <c r="J9772" s="3">
        <v>1.0</v>
      </c>
      <c r="K9772" s="3" t="s">
        <v>31</v>
      </c>
      <c r="L9772" s="4" t="s">
        <v>60026</v>
      </c>
      <c r="M9772" s="2" t="s">
        <v>60332</v>
      </c>
      <c r="N9772" s="2" t="s">
        <v>243</v>
      </c>
      <c r="O9772" s="4" t="s">
        <v>244</v>
      </c>
      <c r="P9772" s="2" t="s">
        <v>60028</v>
      </c>
      <c r="Q9772" s="2" t="s">
        <v>60029</v>
      </c>
      <c r="R9772" s="2" t="s">
        <v>247</v>
      </c>
      <c r="S9772" s="4" t="s">
        <v>60030</v>
      </c>
      <c r="T9772" s="2" t="s">
        <v>249</v>
      </c>
      <c r="U9772" s="4" t="s">
        <v>31</v>
      </c>
      <c r="V9772" s="2" t="s">
        <v>60333</v>
      </c>
      <c r="W9772" s="2" t="s">
        <v>60010</v>
      </c>
      <c r="X9772" s="5" t="str">
        <f>HYPERLINK("https://my.pitchbook.com?p=118746-10P","View People Online")</f>
        <v>View People Online</v>
      </c>
    </row>
    <row r="9773">
      <c r="A9773" s="14" t="s">
        <v>60334</v>
      </c>
      <c r="B9773" s="14" t="s">
        <v>60335</v>
      </c>
      <c r="C9773" s="14" t="s">
        <v>3554</v>
      </c>
      <c r="D9773" s="14" t="s">
        <v>11957</v>
      </c>
      <c r="E9773" s="14" t="s">
        <v>60010</v>
      </c>
      <c r="F9773" s="14" t="s">
        <v>825</v>
      </c>
      <c r="G9773" s="14" t="s">
        <v>60336</v>
      </c>
      <c r="H9773" s="15" t="s">
        <v>31</v>
      </c>
      <c r="I9773" s="15">
        <v>1.0</v>
      </c>
      <c r="J9773" s="15">
        <v>1.0</v>
      </c>
      <c r="K9773" s="15" t="s">
        <v>31</v>
      </c>
      <c r="L9773" s="16" t="s">
        <v>60012</v>
      </c>
      <c r="M9773" s="14" t="s">
        <v>60337</v>
      </c>
      <c r="N9773" s="14" t="s">
        <v>13041</v>
      </c>
      <c r="O9773" s="16" t="s">
        <v>13042</v>
      </c>
      <c r="P9773" s="14" t="s">
        <v>60014</v>
      </c>
      <c r="Q9773" s="14" t="s">
        <v>31</v>
      </c>
      <c r="R9773" s="14" t="s">
        <v>10326</v>
      </c>
      <c r="S9773" s="16" t="s">
        <v>13044</v>
      </c>
      <c r="T9773" s="14" t="s">
        <v>66</v>
      </c>
      <c r="U9773" s="16" t="s">
        <v>31</v>
      </c>
      <c r="V9773" s="14" t="s">
        <v>60338</v>
      </c>
      <c r="W9773" s="14" t="s">
        <v>60010</v>
      </c>
      <c r="X9773" s="17" t="str">
        <f>HYPERLINK("https://my.pitchbook.com?p=452864-08P","View People Online")</f>
        <v>View People Online</v>
      </c>
    </row>
    <row r="9774">
      <c r="A9774" s="10" t="s">
        <v>60339</v>
      </c>
      <c r="B9774" s="10" t="s">
        <v>60340</v>
      </c>
      <c r="C9774" s="10" t="s">
        <v>160</v>
      </c>
      <c r="D9774" s="10" t="s">
        <v>60341</v>
      </c>
      <c r="E9774" s="10" t="s">
        <v>60010</v>
      </c>
      <c r="F9774" s="10" t="s">
        <v>667</v>
      </c>
      <c r="G9774" s="10" t="s">
        <v>60342</v>
      </c>
      <c r="H9774" s="11" t="s">
        <v>31</v>
      </c>
      <c r="I9774" s="11">
        <v>1.0</v>
      </c>
      <c r="J9774" s="11">
        <v>1.0</v>
      </c>
      <c r="K9774" s="11" t="s">
        <v>31</v>
      </c>
      <c r="L9774" s="12" t="s">
        <v>60012</v>
      </c>
      <c r="M9774" s="10" t="s">
        <v>60343</v>
      </c>
      <c r="N9774" s="10" t="s">
        <v>13041</v>
      </c>
      <c r="O9774" s="12" t="s">
        <v>13042</v>
      </c>
      <c r="P9774" s="10" t="s">
        <v>60014</v>
      </c>
      <c r="Q9774" s="10" t="s">
        <v>31</v>
      </c>
      <c r="R9774" s="10" t="s">
        <v>10326</v>
      </c>
      <c r="S9774" s="12" t="s">
        <v>13044</v>
      </c>
      <c r="T9774" s="10" t="s">
        <v>66</v>
      </c>
      <c r="U9774" s="12" t="s">
        <v>31</v>
      </c>
      <c r="V9774" s="10" t="s">
        <v>695</v>
      </c>
      <c r="W9774" s="10" t="s">
        <v>60010</v>
      </c>
      <c r="X9774" s="13" t="str">
        <f>HYPERLINK("https://my.pitchbook.com?p=84421-09P","View People Online")</f>
        <v>View People Online</v>
      </c>
    </row>
    <row r="9775">
      <c r="A9775" s="6" t="s">
        <v>60344</v>
      </c>
      <c r="B9775" s="6" t="s">
        <v>60345</v>
      </c>
      <c r="C9775" s="6" t="s">
        <v>160</v>
      </c>
      <c r="D9775" s="6" t="s">
        <v>25277</v>
      </c>
      <c r="E9775" s="6" t="s">
        <v>60010</v>
      </c>
      <c r="F9775" s="6" t="s">
        <v>825</v>
      </c>
      <c r="G9775" s="6" t="s">
        <v>60346</v>
      </c>
      <c r="H9775" s="7" t="s">
        <v>31</v>
      </c>
      <c r="I9775" s="7">
        <v>1.0</v>
      </c>
      <c r="J9775" s="7">
        <v>1.0</v>
      </c>
      <c r="K9775" s="7" t="s">
        <v>31</v>
      </c>
      <c r="L9775" s="8" t="s">
        <v>60347</v>
      </c>
      <c r="M9775" s="6" t="s">
        <v>60348</v>
      </c>
      <c r="N9775" s="6" t="s">
        <v>243</v>
      </c>
      <c r="O9775" s="8" t="s">
        <v>244</v>
      </c>
      <c r="P9775" s="6" t="s">
        <v>60028</v>
      </c>
      <c r="Q9775" s="6" t="s">
        <v>60029</v>
      </c>
      <c r="R9775" s="6" t="s">
        <v>247</v>
      </c>
      <c r="S9775" s="8" t="s">
        <v>60030</v>
      </c>
      <c r="T9775" s="6" t="s">
        <v>249</v>
      </c>
      <c r="U9775" s="8" t="s">
        <v>31</v>
      </c>
      <c r="V9775" s="6" t="s">
        <v>60349</v>
      </c>
      <c r="W9775" s="6" t="s">
        <v>60010</v>
      </c>
      <c r="X9775" s="9" t="str">
        <f>HYPERLINK("https://my.pitchbook.com?p=140607-73P","View People Online")</f>
        <v>View People Online</v>
      </c>
    </row>
    <row r="9776">
      <c r="A9776" s="10" t="s">
        <v>60350</v>
      </c>
      <c r="B9776" s="10" t="s">
        <v>60351</v>
      </c>
      <c r="C9776" s="10" t="s">
        <v>11929</v>
      </c>
      <c r="D9776" s="10" t="s">
        <v>8429</v>
      </c>
      <c r="E9776" s="10" t="s">
        <v>60010</v>
      </c>
      <c r="F9776" s="10" t="s">
        <v>825</v>
      </c>
      <c r="G9776" s="10" t="s">
        <v>60352</v>
      </c>
      <c r="H9776" s="11" t="s">
        <v>31</v>
      </c>
      <c r="I9776" s="11">
        <v>1.0</v>
      </c>
      <c r="J9776" s="11">
        <v>1.0</v>
      </c>
      <c r="K9776" s="11" t="s">
        <v>31</v>
      </c>
      <c r="L9776" s="12" t="s">
        <v>60353</v>
      </c>
      <c r="M9776" s="10" t="s">
        <v>60354</v>
      </c>
      <c r="N9776" s="10" t="s">
        <v>60355</v>
      </c>
      <c r="O9776" s="12" t="s">
        <v>60356</v>
      </c>
      <c r="P9776" s="10" t="s">
        <v>60357</v>
      </c>
      <c r="Q9776" s="10" t="s">
        <v>31</v>
      </c>
      <c r="R9776" s="10" t="s">
        <v>10326</v>
      </c>
      <c r="S9776" s="12" t="s">
        <v>60358</v>
      </c>
      <c r="T9776" s="10" t="s">
        <v>66</v>
      </c>
      <c r="U9776" s="12" t="s">
        <v>31</v>
      </c>
      <c r="V9776" s="10" t="s">
        <v>60359</v>
      </c>
      <c r="W9776" s="10" t="s">
        <v>60010</v>
      </c>
      <c r="X9776" s="13" t="str">
        <f>HYPERLINK("https://my.pitchbook.com?p=68975-74P","View People Online")</f>
        <v>View People Online</v>
      </c>
    </row>
    <row r="9777">
      <c r="A9777" s="6" t="s">
        <v>60360</v>
      </c>
      <c r="B9777" s="6" t="s">
        <v>60361</v>
      </c>
      <c r="C9777" s="6" t="s">
        <v>126</v>
      </c>
      <c r="D9777" s="6" t="s">
        <v>60362</v>
      </c>
      <c r="E9777" s="6" t="s">
        <v>60010</v>
      </c>
      <c r="F9777" s="6" t="s">
        <v>825</v>
      </c>
      <c r="G9777" s="6" t="s">
        <v>60363</v>
      </c>
      <c r="H9777" s="7" t="s">
        <v>31</v>
      </c>
      <c r="I9777" s="7">
        <v>1.0</v>
      </c>
      <c r="J9777" s="7">
        <v>1.0</v>
      </c>
      <c r="K9777" s="7" t="s">
        <v>31</v>
      </c>
      <c r="L9777" s="8" t="s">
        <v>60012</v>
      </c>
      <c r="M9777" s="6" t="s">
        <v>60364</v>
      </c>
      <c r="N9777" s="6" t="s">
        <v>13041</v>
      </c>
      <c r="O9777" s="8" t="s">
        <v>13042</v>
      </c>
      <c r="P9777" s="6" t="s">
        <v>60014</v>
      </c>
      <c r="Q9777" s="6" t="s">
        <v>31</v>
      </c>
      <c r="R9777" s="6" t="s">
        <v>10326</v>
      </c>
      <c r="S9777" s="8" t="s">
        <v>13044</v>
      </c>
      <c r="T9777" s="6" t="s">
        <v>66</v>
      </c>
      <c r="U9777" s="8" t="s">
        <v>31</v>
      </c>
      <c r="V9777" s="6" t="s">
        <v>60365</v>
      </c>
      <c r="W9777" s="6" t="s">
        <v>60010</v>
      </c>
      <c r="X9777" s="9" t="str">
        <f>HYPERLINK("https://my.pitchbook.com?p=332250-49P","View People Online")</f>
        <v>View People Online</v>
      </c>
    </row>
    <row r="9778">
      <c r="A9778" s="10" t="s">
        <v>60366</v>
      </c>
      <c r="B9778" s="10" t="s">
        <v>60367</v>
      </c>
      <c r="C9778" s="10" t="s">
        <v>126</v>
      </c>
      <c r="D9778" s="10" t="s">
        <v>18117</v>
      </c>
      <c r="E9778" s="10" t="s">
        <v>60010</v>
      </c>
      <c r="F9778" s="10" t="s">
        <v>825</v>
      </c>
      <c r="G9778" s="10" t="s">
        <v>60368</v>
      </c>
      <c r="H9778" s="11" t="s">
        <v>31</v>
      </c>
      <c r="I9778" s="11">
        <v>1.0</v>
      </c>
      <c r="J9778" s="11">
        <v>1.0</v>
      </c>
      <c r="K9778" s="11" t="s">
        <v>31</v>
      </c>
      <c r="L9778" s="12" t="s">
        <v>60012</v>
      </c>
      <c r="M9778" s="10" t="s">
        <v>60369</v>
      </c>
      <c r="N9778" s="10" t="s">
        <v>13041</v>
      </c>
      <c r="O9778" s="12" t="s">
        <v>13042</v>
      </c>
      <c r="P9778" s="10" t="s">
        <v>60014</v>
      </c>
      <c r="Q9778" s="10" t="s">
        <v>31</v>
      </c>
      <c r="R9778" s="10" t="s">
        <v>10326</v>
      </c>
      <c r="S9778" s="12" t="s">
        <v>13044</v>
      </c>
      <c r="T9778" s="10" t="s">
        <v>66</v>
      </c>
      <c r="U9778" s="12" t="s">
        <v>31</v>
      </c>
      <c r="V9778" s="10" t="s">
        <v>60370</v>
      </c>
      <c r="W9778" s="10" t="s">
        <v>60010</v>
      </c>
      <c r="X9778" s="13" t="str">
        <f>HYPERLINK("https://my.pitchbook.com?p=57229-30P","View People Online")</f>
        <v>View People Online</v>
      </c>
    </row>
    <row r="9779">
      <c r="A9779" s="14" t="s">
        <v>60371</v>
      </c>
      <c r="B9779" s="14" t="s">
        <v>60372</v>
      </c>
      <c r="C9779" s="14" t="s">
        <v>132</v>
      </c>
      <c r="D9779" s="14" t="s">
        <v>45770</v>
      </c>
      <c r="E9779" s="14" t="s">
        <v>60010</v>
      </c>
      <c r="F9779" s="14" t="s">
        <v>825</v>
      </c>
      <c r="G9779" s="14" t="s">
        <v>60373</v>
      </c>
      <c r="H9779" s="15" t="s">
        <v>31</v>
      </c>
      <c r="I9779" s="15">
        <v>1.0</v>
      </c>
      <c r="J9779" s="15">
        <v>1.0</v>
      </c>
      <c r="K9779" s="15" t="s">
        <v>31</v>
      </c>
      <c r="L9779" s="16" t="s">
        <v>60062</v>
      </c>
      <c r="M9779" s="14" t="s">
        <v>60374</v>
      </c>
      <c r="N9779" s="14" t="s">
        <v>794</v>
      </c>
      <c r="O9779" s="16" t="s">
        <v>795</v>
      </c>
      <c r="P9779" s="14" t="s">
        <v>60064</v>
      </c>
      <c r="Q9779" s="14" t="s">
        <v>60065</v>
      </c>
      <c r="R9779" s="14" t="s">
        <v>31</v>
      </c>
      <c r="S9779" s="16" t="s">
        <v>60066</v>
      </c>
      <c r="T9779" s="14" t="s">
        <v>796</v>
      </c>
      <c r="U9779" s="16" t="s">
        <v>31</v>
      </c>
      <c r="V9779" s="14" t="s">
        <v>60375</v>
      </c>
      <c r="W9779" s="14" t="s">
        <v>60010</v>
      </c>
      <c r="X9779" s="17" t="str">
        <f>HYPERLINK("https://my.pitchbook.com?p=55551-61P","View People Online")</f>
        <v>View People Online</v>
      </c>
    </row>
    <row r="9780">
      <c r="A9780" s="2" t="s">
        <v>60376</v>
      </c>
      <c r="B9780" s="2" t="s">
        <v>60377</v>
      </c>
      <c r="C9780" s="2" t="s">
        <v>132</v>
      </c>
      <c r="D9780" s="2" t="s">
        <v>60378</v>
      </c>
      <c r="E9780" s="2" t="s">
        <v>60010</v>
      </c>
      <c r="F9780" s="2" t="s">
        <v>825</v>
      </c>
      <c r="G9780" s="2" t="s">
        <v>60379</v>
      </c>
      <c r="H9780" s="3" t="s">
        <v>31</v>
      </c>
      <c r="I9780" s="3">
        <v>1.0</v>
      </c>
      <c r="J9780" s="3">
        <v>1.0</v>
      </c>
      <c r="K9780" s="3" t="s">
        <v>31</v>
      </c>
      <c r="L9780" s="4" t="s">
        <v>60012</v>
      </c>
      <c r="M9780" s="2" t="s">
        <v>60380</v>
      </c>
      <c r="N9780" s="2" t="s">
        <v>13041</v>
      </c>
      <c r="O9780" s="4" t="s">
        <v>13042</v>
      </c>
      <c r="P9780" s="2" t="s">
        <v>60014</v>
      </c>
      <c r="Q9780" s="2" t="s">
        <v>31</v>
      </c>
      <c r="R9780" s="2" t="s">
        <v>10326</v>
      </c>
      <c r="S9780" s="4" t="s">
        <v>13044</v>
      </c>
      <c r="T9780" s="2" t="s">
        <v>66</v>
      </c>
      <c r="U9780" s="4" t="s">
        <v>31</v>
      </c>
      <c r="V9780" s="2" t="s">
        <v>60381</v>
      </c>
      <c r="W9780" s="2" t="s">
        <v>60010</v>
      </c>
      <c r="X9780" s="5" t="str">
        <f>HYPERLINK("https://my.pitchbook.com?p=321870-61P","View People Online")</f>
        <v>View People Online</v>
      </c>
    </row>
    <row r="9781">
      <c r="A9781" s="14" t="s">
        <v>60382</v>
      </c>
      <c r="B9781" s="14" t="s">
        <v>60383</v>
      </c>
      <c r="C9781" s="14" t="s">
        <v>20452</v>
      </c>
      <c r="D9781" s="14" t="s">
        <v>60384</v>
      </c>
      <c r="E9781" s="14" t="s">
        <v>60010</v>
      </c>
      <c r="F9781" s="14" t="s">
        <v>825</v>
      </c>
      <c r="G9781" s="14" t="s">
        <v>60385</v>
      </c>
      <c r="H9781" s="15" t="s">
        <v>31</v>
      </c>
      <c r="I9781" s="15">
        <v>1.0</v>
      </c>
      <c r="J9781" s="15">
        <v>1.0</v>
      </c>
      <c r="K9781" s="15" t="s">
        <v>31</v>
      </c>
      <c r="L9781" s="16" t="s">
        <v>60386</v>
      </c>
      <c r="M9781" s="14" t="s">
        <v>60387</v>
      </c>
      <c r="N9781" s="14" t="s">
        <v>2754</v>
      </c>
      <c r="O9781" s="16" t="s">
        <v>2755</v>
      </c>
      <c r="P9781" s="14" t="s">
        <v>60388</v>
      </c>
      <c r="Q9781" s="14" t="s">
        <v>31</v>
      </c>
      <c r="R9781" s="14" t="s">
        <v>31</v>
      </c>
      <c r="S9781" s="16" t="s">
        <v>60389</v>
      </c>
      <c r="T9781" s="14" t="s">
        <v>38</v>
      </c>
      <c r="U9781" s="16" t="s">
        <v>31</v>
      </c>
      <c r="V9781" s="14" t="s">
        <v>60390</v>
      </c>
      <c r="W9781" s="14" t="s">
        <v>60010</v>
      </c>
      <c r="X9781" s="17" t="str">
        <f>HYPERLINK("https://my.pitchbook.com?p=376401-52P","View People Online")</f>
        <v>View People Online</v>
      </c>
    </row>
    <row r="9782">
      <c r="A9782" s="2" t="s">
        <v>60391</v>
      </c>
      <c r="B9782" s="2" t="s">
        <v>60392</v>
      </c>
      <c r="C9782" s="2" t="s">
        <v>3221</v>
      </c>
      <c r="D9782" s="2" t="s">
        <v>1571</v>
      </c>
      <c r="E9782" s="2" t="s">
        <v>60010</v>
      </c>
      <c r="F9782" s="2" t="s">
        <v>46103</v>
      </c>
      <c r="G9782" s="2" t="s">
        <v>60393</v>
      </c>
      <c r="H9782" s="3">
        <v>1.0</v>
      </c>
      <c r="I9782" s="3">
        <v>2.0</v>
      </c>
      <c r="J9782" s="3">
        <v>2.0</v>
      </c>
      <c r="K9782" s="3" t="s">
        <v>31</v>
      </c>
      <c r="L9782" s="4" t="s">
        <v>60394</v>
      </c>
      <c r="M9782" s="2" t="s">
        <v>60395</v>
      </c>
      <c r="N9782" s="2" t="s">
        <v>60396</v>
      </c>
      <c r="O9782" s="4" t="s">
        <v>60397</v>
      </c>
      <c r="P9782" s="2" t="s">
        <v>60398</v>
      </c>
      <c r="Q9782" s="2" t="s">
        <v>31</v>
      </c>
      <c r="R9782" s="2" t="s">
        <v>93</v>
      </c>
      <c r="S9782" s="4" t="s">
        <v>60399</v>
      </c>
      <c r="T9782" s="2" t="s">
        <v>66</v>
      </c>
      <c r="U9782" s="4" t="s">
        <v>31</v>
      </c>
      <c r="V9782" s="2" t="s">
        <v>60400</v>
      </c>
      <c r="W9782" s="2" t="s">
        <v>60010</v>
      </c>
      <c r="X9782" s="5" t="str">
        <f>HYPERLINK("https://my.pitchbook.com?p=160402-06P","View People Online")</f>
        <v>View People Online</v>
      </c>
    </row>
    <row r="9783">
      <c r="A9783" s="14" t="s">
        <v>60401</v>
      </c>
      <c r="B9783" s="14" t="s">
        <v>60402</v>
      </c>
      <c r="C9783" s="14" t="s">
        <v>934</v>
      </c>
      <c r="D9783" s="14" t="s">
        <v>60403</v>
      </c>
      <c r="E9783" s="14" t="s">
        <v>60010</v>
      </c>
      <c r="F9783" s="14" t="s">
        <v>371</v>
      </c>
      <c r="G9783" s="14" t="s">
        <v>60404</v>
      </c>
      <c r="H9783" s="15" t="s">
        <v>31</v>
      </c>
      <c r="I9783" s="15">
        <v>1.0</v>
      </c>
      <c r="J9783" s="15">
        <v>1.0</v>
      </c>
      <c r="K9783" s="15" t="s">
        <v>31</v>
      </c>
      <c r="L9783" s="16" t="s">
        <v>60012</v>
      </c>
      <c r="M9783" s="14" t="s">
        <v>60405</v>
      </c>
      <c r="N9783" s="14" t="s">
        <v>13041</v>
      </c>
      <c r="O9783" s="16" t="s">
        <v>13042</v>
      </c>
      <c r="P9783" s="14" t="s">
        <v>60014</v>
      </c>
      <c r="Q9783" s="14" t="s">
        <v>31</v>
      </c>
      <c r="R9783" s="14" t="s">
        <v>10326</v>
      </c>
      <c r="S9783" s="16" t="s">
        <v>13044</v>
      </c>
      <c r="T9783" s="14" t="s">
        <v>66</v>
      </c>
      <c r="U9783" s="16" t="s">
        <v>31</v>
      </c>
      <c r="V9783" s="14" t="s">
        <v>60406</v>
      </c>
      <c r="W9783" s="14" t="s">
        <v>60010</v>
      </c>
      <c r="X9783" s="17" t="str">
        <f>HYPERLINK("https://my.pitchbook.com?p=68968-00P","View People Online")</f>
        <v>View People Online</v>
      </c>
    </row>
    <row r="9784">
      <c r="A9784" s="10" t="s">
        <v>60407</v>
      </c>
      <c r="B9784" s="10" t="s">
        <v>60408</v>
      </c>
      <c r="C9784" s="10" t="s">
        <v>2388</v>
      </c>
      <c r="D9784" s="10" t="s">
        <v>665</v>
      </c>
      <c r="E9784" s="10" t="s">
        <v>60010</v>
      </c>
      <c r="F9784" s="10" t="s">
        <v>825</v>
      </c>
      <c r="G9784" s="10" t="s">
        <v>60409</v>
      </c>
      <c r="H9784" s="11" t="s">
        <v>31</v>
      </c>
      <c r="I9784" s="11">
        <v>1.0</v>
      </c>
      <c r="J9784" s="11">
        <v>1.0</v>
      </c>
      <c r="K9784" s="11" t="s">
        <v>31</v>
      </c>
      <c r="L9784" s="12" t="s">
        <v>60012</v>
      </c>
      <c r="M9784" s="10" t="s">
        <v>60410</v>
      </c>
      <c r="N9784" s="10" t="s">
        <v>13041</v>
      </c>
      <c r="O9784" s="12" t="s">
        <v>13042</v>
      </c>
      <c r="P9784" s="10" t="s">
        <v>60014</v>
      </c>
      <c r="Q9784" s="10" t="s">
        <v>31</v>
      </c>
      <c r="R9784" s="10" t="s">
        <v>10326</v>
      </c>
      <c r="S9784" s="12" t="s">
        <v>13044</v>
      </c>
      <c r="T9784" s="10" t="s">
        <v>66</v>
      </c>
      <c r="U9784" s="12" t="s">
        <v>31</v>
      </c>
      <c r="V9784" s="10" t="s">
        <v>60411</v>
      </c>
      <c r="W9784" s="10" t="s">
        <v>60010</v>
      </c>
      <c r="X9784" s="13" t="str">
        <f>HYPERLINK("https://my.pitchbook.com?p=166010-41P","View People Online")</f>
        <v>View People Online</v>
      </c>
    </row>
    <row r="9785">
      <c r="A9785" s="14" t="s">
        <v>60412</v>
      </c>
      <c r="B9785" s="14" t="s">
        <v>60413</v>
      </c>
      <c r="C9785" s="14" t="s">
        <v>3274</v>
      </c>
      <c r="D9785" s="14" t="s">
        <v>37722</v>
      </c>
      <c r="E9785" s="14" t="s">
        <v>60010</v>
      </c>
      <c r="F9785" s="14" t="s">
        <v>695</v>
      </c>
      <c r="G9785" s="14" t="s">
        <v>60414</v>
      </c>
      <c r="H9785" s="15" t="s">
        <v>31</v>
      </c>
      <c r="I9785" s="15">
        <v>1.0</v>
      </c>
      <c r="J9785" s="15">
        <v>1.0</v>
      </c>
      <c r="K9785" s="15" t="s">
        <v>31</v>
      </c>
      <c r="L9785" s="16" t="s">
        <v>60012</v>
      </c>
      <c r="M9785" s="14" t="s">
        <v>60415</v>
      </c>
      <c r="N9785" s="14" t="s">
        <v>13041</v>
      </c>
      <c r="O9785" s="16" t="s">
        <v>13042</v>
      </c>
      <c r="P9785" s="14" t="s">
        <v>60014</v>
      </c>
      <c r="Q9785" s="14" t="s">
        <v>31</v>
      </c>
      <c r="R9785" s="14" t="s">
        <v>10326</v>
      </c>
      <c r="S9785" s="16" t="s">
        <v>13044</v>
      </c>
      <c r="T9785" s="14" t="s">
        <v>66</v>
      </c>
      <c r="U9785" s="16" t="s">
        <v>31</v>
      </c>
      <c r="V9785" s="14" t="s">
        <v>60416</v>
      </c>
      <c r="W9785" s="14" t="s">
        <v>60010</v>
      </c>
      <c r="X9785" s="17" t="str">
        <f>HYPERLINK("https://my.pitchbook.com?p=223555-15P","View People Online")</f>
        <v>View People Online</v>
      </c>
    </row>
    <row r="9786">
      <c r="A9786" s="10" t="s">
        <v>60417</v>
      </c>
      <c r="B9786" s="10" t="s">
        <v>60418</v>
      </c>
      <c r="C9786" s="10" t="s">
        <v>60419</v>
      </c>
      <c r="D9786" s="10" t="s">
        <v>60420</v>
      </c>
      <c r="E9786" s="10" t="s">
        <v>60010</v>
      </c>
      <c r="F9786" s="10" t="s">
        <v>60421</v>
      </c>
      <c r="G9786" s="10" t="s">
        <v>60422</v>
      </c>
      <c r="H9786" s="11" t="s">
        <v>31</v>
      </c>
      <c r="I9786" s="11">
        <v>1.0</v>
      </c>
      <c r="J9786" s="11">
        <v>1.0</v>
      </c>
      <c r="K9786" s="11" t="s">
        <v>31</v>
      </c>
      <c r="L9786" s="12" t="s">
        <v>60012</v>
      </c>
      <c r="M9786" s="10" t="s">
        <v>60423</v>
      </c>
      <c r="N9786" s="10" t="s">
        <v>13041</v>
      </c>
      <c r="O9786" s="12" t="s">
        <v>13042</v>
      </c>
      <c r="P9786" s="10" t="s">
        <v>60014</v>
      </c>
      <c r="Q9786" s="10" t="s">
        <v>31</v>
      </c>
      <c r="R9786" s="10" t="s">
        <v>10326</v>
      </c>
      <c r="S9786" s="12" t="s">
        <v>13044</v>
      </c>
      <c r="T9786" s="10" t="s">
        <v>66</v>
      </c>
      <c r="U9786" s="12" t="s">
        <v>31</v>
      </c>
      <c r="V9786" s="10" t="s">
        <v>60424</v>
      </c>
      <c r="W9786" s="10" t="s">
        <v>60010</v>
      </c>
      <c r="X9786" s="13" t="str">
        <f>HYPERLINK("https://my.pitchbook.com?p=89878-24P","View People Online")</f>
        <v>View People Online</v>
      </c>
    </row>
    <row r="9787">
      <c r="A9787" s="14" t="s">
        <v>60425</v>
      </c>
      <c r="B9787" s="14" t="s">
        <v>60426</v>
      </c>
      <c r="C9787" s="14" t="s">
        <v>20936</v>
      </c>
      <c r="D9787" s="14" t="s">
        <v>60427</v>
      </c>
      <c r="E9787" s="14" t="s">
        <v>60010</v>
      </c>
      <c r="F9787" s="14" t="s">
        <v>60428</v>
      </c>
      <c r="G9787" s="14" t="s">
        <v>60429</v>
      </c>
      <c r="H9787" s="15" t="s">
        <v>31</v>
      </c>
      <c r="I9787" s="15">
        <v>1.0</v>
      </c>
      <c r="J9787" s="15">
        <v>1.0</v>
      </c>
      <c r="K9787" s="15" t="s">
        <v>31</v>
      </c>
      <c r="L9787" s="16" t="s">
        <v>60026</v>
      </c>
      <c r="M9787" s="14" t="s">
        <v>60430</v>
      </c>
      <c r="N9787" s="14" t="s">
        <v>243</v>
      </c>
      <c r="O9787" s="16" t="s">
        <v>244</v>
      </c>
      <c r="P9787" s="14" t="s">
        <v>60028</v>
      </c>
      <c r="Q9787" s="14" t="s">
        <v>60029</v>
      </c>
      <c r="R9787" s="14" t="s">
        <v>247</v>
      </c>
      <c r="S9787" s="16" t="s">
        <v>60030</v>
      </c>
      <c r="T9787" s="14" t="s">
        <v>249</v>
      </c>
      <c r="U9787" s="16" t="s">
        <v>31</v>
      </c>
      <c r="V9787" s="14" t="s">
        <v>60431</v>
      </c>
      <c r="W9787" s="14" t="s">
        <v>60010</v>
      </c>
      <c r="X9787" s="17" t="str">
        <f>HYPERLINK("https://my.pitchbook.com?p=170467-30P","View People Online")</f>
        <v>View People Online</v>
      </c>
    </row>
    <row r="9788">
      <c r="A9788" s="2" t="s">
        <v>60432</v>
      </c>
      <c r="B9788" s="2" t="s">
        <v>60433</v>
      </c>
      <c r="C9788" s="2" t="s">
        <v>3875</v>
      </c>
      <c r="D9788" s="2" t="s">
        <v>60434</v>
      </c>
      <c r="E9788" s="2" t="s">
        <v>60010</v>
      </c>
      <c r="F9788" s="2" t="s">
        <v>4997</v>
      </c>
      <c r="G9788" s="2" t="s">
        <v>60435</v>
      </c>
      <c r="H9788" s="3" t="s">
        <v>31</v>
      </c>
      <c r="I9788" s="3">
        <v>1.0</v>
      </c>
      <c r="J9788" s="3">
        <v>1.0</v>
      </c>
      <c r="K9788" s="3" t="s">
        <v>31</v>
      </c>
      <c r="L9788" s="4" t="s">
        <v>60436</v>
      </c>
      <c r="M9788" s="2" t="s">
        <v>60437</v>
      </c>
      <c r="N9788" s="2" t="s">
        <v>13041</v>
      </c>
      <c r="O9788" s="4" t="s">
        <v>13042</v>
      </c>
      <c r="P9788" s="2" t="s">
        <v>60014</v>
      </c>
      <c r="Q9788" s="2" t="s">
        <v>31</v>
      </c>
      <c r="R9788" s="2" t="s">
        <v>10326</v>
      </c>
      <c r="S9788" s="4" t="s">
        <v>13044</v>
      </c>
      <c r="T9788" s="2" t="s">
        <v>66</v>
      </c>
      <c r="U9788" s="4" t="s">
        <v>31</v>
      </c>
      <c r="V9788" s="2" t="s">
        <v>60438</v>
      </c>
      <c r="W9788" s="2" t="s">
        <v>60010</v>
      </c>
      <c r="X9788" s="5" t="str">
        <f>HYPERLINK("https://my.pitchbook.com?p=182820-61P","View People Online")</f>
        <v>View People Online</v>
      </c>
    </row>
    <row r="9789">
      <c r="A9789" s="14" t="s">
        <v>60439</v>
      </c>
      <c r="B9789" s="14" t="s">
        <v>60440</v>
      </c>
      <c r="C9789" s="14" t="s">
        <v>60441</v>
      </c>
      <c r="D9789" s="14" t="s">
        <v>37722</v>
      </c>
      <c r="E9789" s="14" t="s">
        <v>60010</v>
      </c>
      <c r="F9789" s="14" t="s">
        <v>3665</v>
      </c>
      <c r="G9789" s="14" t="s">
        <v>60442</v>
      </c>
      <c r="H9789" s="15" t="s">
        <v>31</v>
      </c>
      <c r="I9789" s="15">
        <v>1.0</v>
      </c>
      <c r="J9789" s="15">
        <v>1.0</v>
      </c>
      <c r="K9789" s="15" t="s">
        <v>31</v>
      </c>
      <c r="L9789" s="16" t="s">
        <v>60012</v>
      </c>
      <c r="M9789" s="14" t="s">
        <v>60443</v>
      </c>
      <c r="N9789" s="14" t="s">
        <v>13041</v>
      </c>
      <c r="O9789" s="16" t="s">
        <v>13042</v>
      </c>
      <c r="P9789" s="14" t="s">
        <v>60014</v>
      </c>
      <c r="Q9789" s="14" t="s">
        <v>31</v>
      </c>
      <c r="R9789" s="14" t="s">
        <v>10326</v>
      </c>
      <c r="S9789" s="16" t="s">
        <v>13044</v>
      </c>
      <c r="T9789" s="14" t="s">
        <v>66</v>
      </c>
      <c r="U9789" s="16" t="s">
        <v>31</v>
      </c>
      <c r="V9789" s="14" t="s">
        <v>3665</v>
      </c>
      <c r="W9789" s="14" t="s">
        <v>60010</v>
      </c>
      <c r="X9789" s="17" t="str">
        <f>HYPERLINK("https://my.pitchbook.com?p=288211-96P","View People Online")</f>
        <v>View People Online</v>
      </c>
    </row>
    <row r="9790">
      <c r="A9790" s="10" t="s">
        <v>60444</v>
      </c>
      <c r="B9790" s="10" t="s">
        <v>60445</v>
      </c>
      <c r="C9790" s="10" t="s">
        <v>60446</v>
      </c>
      <c r="D9790" s="10" t="s">
        <v>60447</v>
      </c>
      <c r="E9790" s="10" t="s">
        <v>60010</v>
      </c>
      <c r="F9790" s="10" t="s">
        <v>44294</v>
      </c>
      <c r="G9790" s="10" t="s">
        <v>60448</v>
      </c>
      <c r="H9790" s="11" t="s">
        <v>31</v>
      </c>
      <c r="I9790" s="11">
        <v>1.0</v>
      </c>
      <c r="J9790" s="11">
        <v>1.0</v>
      </c>
      <c r="K9790" s="11" t="s">
        <v>31</v>
      </c>
      <c r="L9790" s="12" t="s">
        <v>60449</v>
      </c>
      <c r="M9790" s="10" t="s">
        <v>60450</v>
      </c>
      <c r="N9790" s="10" t="s">
        <v>2478</v>
      </c>
      <c r="O9790" s="12" t="s">
        <v>7332</v>
      </c>
      <c r="P9790" s="10" t="s">
        <v>60109</v>
      </c>
      <c r="Q9790" s="10" t="s">
        <v>30190</v>
      </c>
      <c r="R9790" s="10" t="s">
        <v>7335</v>
      </c>
      <c r="S9790" s="12" t="s">
        <v>7336</v>
      </c>
      <c r="T9790" s="10" t="s">
        <v>5484</v>
      </c>
      <c r="U9790" s="12" t="s">
        <v>31</v>
      </c>
      <c r="V9790" s="10" t="s">
        <v>60451</v>
      </c>
      <c r="W9790" s="10" t="s">
        <v>60010</v>
      </c>
      <c r="X9790" s="13" t="str">
        <f>HYPERLINK("https://my.pitchbook.com?p=175467-34P","View People Online")</f>
        <v>View People Online</v>
      </c>
    </row>
    <row r="9791">
      <c r="A9791" s="6" t="s">
        <v>60452</v>
      </c>
      <c r="B9791" s="6" t="s">
        <v>60453</v>
      </c>
      <c r="C9791" s="6" t="s">
        <v>395</v>
      </c>
      <c r="D9791" s="6" t="s">
        <v>60454</v>
      </c>
      <c r="E9791" s="6" t="s">
        <v>60010</v>
      </c>
      <c r="F9791" s="6" t="s">
        <v>371</v>
      </c>
      <c r="G9791" s="6" t="s">
        <v>60455</v>
      </c>
      <c r="H9791" s="7" t="s">
        <v>31</v>
      </c>
      <c r="I9791" s="7">
        <v>1.0</v>
      </c>
      <c r="J9791" s="7">
        <v>1.0</v>
      </c>
      <c r="K9791" s="7" t="s">
        <v>31</v>
      </c>
      <c r="L9791" s="8" t="s">
        <v>60012</v>
      </c>
      <c r="M9791" s="6" t="s">
        <v>60456</v>
      </c>
      <c r="N9791" s="6" t="s">
        <v>13041</v>
      </c>
      <c r="O9791" s="8" t="s">
        <v>13042</v>
      </c>
      <c r="P9791" s="6" t="s">
        <v>60014</v>
      </c>
      <c r="Q9791" s="6" t="s">
        <v>31</v>
      </c>
      <c r="R9791" s="6" t="s">
        <v>10326</v>
      </c>
      <c r="S9791" s="8" t="s">
        <v>13044</v>
      </c>
      <c r="T9791" s="6" t="s">
        <v>66</v>
      </c>
      <c r="U9791" s="8" t="s">
        <v>31</v>
      </c>
      <c r="V9791" s="6" t="s">
        <v>371</v>
      </c>
      <c r="W9791" s="6" t="s">
        <v>60010</v>
      </c>
      <c r="X9791" s="9" t="str">
        <f>HYPERLINK("https://my.pitchbook.com?p=68965-30P","View People Online")</f>
        <v>View People Online</v>
      </c>
    </row>
    <row r="9792">
      <c r="A9792" s="10" t="s">
        <v>60457</v>
      </c>
      <c r="B9792" s="10" t="s">
        <v>60458</v>
      </c>
      <c r="C9792" s="10" t="s">
        <v>8042</v>
      </c>
      <c r="D9792" s="10" t="s">
        <v>33080</v>
      </c>
      <c r="E9792" s="10" t="s">
        <v>60010</v>
      </c>
      <c r="F9792" s="10" t="s">
        <v>896</v>
      </c>
      <c r="G9792" s="10" t="s">
        <v>60459</v>
      </c>
      <c r="H9792" s="11" t="s">
        <v>31</v>
      </c>
      <c r="I9792" s="11">
        <v>1.0</v>
      </c>
      <c r="J9792" s="11">
        <v>1.0</v>
      </c>
      <c r="K9792" s="11" t="s">
        <v>31</v>
      </c>
      <c r="L9792" s="12" t="s">
        <v>60012</v>
      </c>
      <c r="M9792" s="10" t="s">
        <v>60460</v>
      </c>
      <c r="N9792" s="10" t="s">
        <v>13041</v>
      </c>
      <c r="O9792" s="12" t="s">
        <v>13042</v>
      </c>
      <c r="P9792" s="10" t="s">
        <v>60014</v>
      </c>
      <c r="Q9792" s="10" t="s">
        <v>31</v>
      </c>
      <c r="R9792" s="10" t="s">
        <v>10326</v>
      </c>
      <c r="S9792" s="12" t="s">
        <v>13044</v>
      </c>
      <c r="T9792" s="10" t="s">
        <v>66</v>
      </c>
      <c r="U9792" s="12" t="s">
        <v>31</v>
      </c>
      <c r="V9792" s="10" t="s">
        <v>896</v>
      </c>
      <c r="W9792" s="10" t="s">
        <v>60010</v>
      </c>
      <c r="X9792" s="13" t="str">
        <f>HYPERLINK("https://my.pitchbook.com?p=181464-76P","View People Online")</f>
        <v>View People Online</v>
      </c>
    </row>
    <row r="9793">
      <c r="A9793" s="6" t="s">
        <v>60461</v>
      </c>
      <c r="B9793" s="6" t="s">
        <v>60462</v>
      </c>
      <c r="C9793" s="6" t="s">
        <v>8042</v>
      </c>
      <c r="D9793" s="6" t="s">
        <v>5364</v>
      </c>
      <c r="E9793" s="6" t="s">
        <v>60010</v>
      </c>
      <c r="F9793" s="6" t="s">
        <v>4997</v>
      </c>
      <c r="G9793" s="6" t="s">
        <v>60463</v>
      </c>
      <c r="H9793" s="7" t="s">
        <v>31</v>
      </c>
      <c r="I9793" s="7">
        <v>1.0</v>
      </c>
      <c r="J9793" s="7">
        <v>1.0</v>
      </c>
      <c r="K9793" s="7" t="s">
        <v>31</v>
      </c>
      <c r="L9793" s="8" t="s">
        <v>60012</v>
      </c>
      <c r="M9793" s="6" t="s">
        <v>60464</v>
      </c>
      <c r="N9793" s="6" t="s">
        <v>13041</v>
      </c>
      <c r="O9793" s="8" t="s">
        <v>13042</v>
      </c>
      <c r="P9793" s="6" t="s">
        <v>60014</v>
      </c>
      <c r="Q9793" s="6" t="s">
        <v>31</v>
      </c>
      <c r="R9793" s="6" t="s">
        <v>10326</v>
      </c>
      <c r="S9793" s="8" t="s">
        <v>13044</v>
      </c>
      <c r="T9793" s="6" t="s">
        <v>66</v>
      </c>
      <c r="U9793" s="8" t="s">
        <v>31</v>
      </c>
      <c r="V9793" s="6" t="s">
        <v>60465</v>
      </c>
      <c r="W9793" s="6" t="s">
        <v>60010</v>
      </c>
      <c r="X9793" s="9" t="str">
        <f>HYPERLINK("https://my.pitchbook.com?p=89877-61P","View People Online")</f>
        <v>View People Online</v>
      </c>
    </row>
    <row r="9794">
      <c r="A9794" s="2" t="s">
        <v>60466</v>
      </c>
      <c r="B9794" s="2" t="s">
        <v>60467</v>
      </c>
      <c r="C9794" s="2" t="s">
        <v>972</v>
      </c>
      <c r="D9794" s="2" t="s">
        <v>60468</v>
      </c>
      <c r="E9794" s="2" t="s">
        <v>60010</v>
      </c>
      <c r="F9794" s="2" t="s">
        <v>371</v>
      </c>
      <c r="G9794" s="2" t="s">
        <v>60469</v>
      </c>
      <c r="H9794" s="3" t="s">
        <v>31</v>
      </c>
      <c r="I9794" s="3">
        <v>1.0</v>
      </c>
      <c r="J9794" s="3">
        <v>1.0</v>
      </c>
      <c r="K9794" s="3" t="s">
        <v>31</v>
      </c>
      <c r="L9794" s="4" t="s">
        <v>60012</v>
      </c>
      <c r="M9794" s="2" t="s">
        <v>60470</v>
      </c>
      <c r="N9794" s="2" t="s">
        <v>13041</v>
      </c>
      <c r="O9794" s="4" t="s">
        <v>13042</v>
      </c>
      <c r="P9794" s="2" t="s">
        <v>60014</v>
      </c>
      <c r="Q9794" s="2" t="s">
        <v>31</v>
      </c>
      <c r="R9794" s="2" t="s">
        <v>10326</v>
      </c>
      <c r="S9794" s="4" t="s">
        <v>13044</v>
      </c>
      <c r="T9794" s="2" t="s">
        <v>66</v>
      </c>
      <c r="U9794" s="4" t="s">
        <v>31</v>
      </c>
      <c r="V9794" s="2" t="s">
        <v>60471</v>
      </c>
      <c r="W9794" s="2" t="s">
        <v>60010</v>
      </c>
      <c r="X9794" s="5" t="str">
        <f>HYPERLINK("https://my.pitchbook.com?p=68972-77P","View People Online")</f>
        <v>View People Online</v>
      </c>
    </row>
    <row r="9795">
      <c r="A9795" s="6" t="s">
        <v>60472</v>
      </c>
      <c r="B9795" s="6" t="s">
        <v>60473</v>
      </c>
      <c r="C9795" s="6" t="s">
        <v>536</v>
      </c>
      <c r="D9795" s="6" t="s">
        <v>60474</v>
      </c>
      <c r="E9795" s="6" t="s">
        <v>60010</v>
      </c>
      <c r="F9795" s="6" t="s">
        <v>4527</v>
      </c>
      <c r="G9795" s="6" t="s">
        <v>60475</v>
      </c>
      <c r="H9795" s="7">
        <v>1.0</v>
      </c>
      <c r="I9795" s="7">
        <v>2.0</v>
      </c>
      <c r="J9795" s="7">
        <v>1.0</v>
      </c>
      <c r="K9795" s="7">
        <v>1.0</v>
      </c>
      <c r="L9795" s="8" t="s">
        <v>60012</v>
      </c>
      <c r="M9795" s="6" t="s">
        <v>60476</v>
      </c>
      <c r="N9795" s="6" t="s">
        <v>13041</v>
      </c>
      <c r="O9795" s="8" t="s">
        <v>13042</v>
      </c>
      <c r="P9795" s="6" t="s">
        <v>60014</v>
      </c>
      <c r="Q9795" s="6" t="s">
        <v>31</v>
      </c>
      <c r="R9795" s="6" t="s">
        <v>10326</v>
      </c>
      <c r="S9795" s="8" t="s">
        <v>13044</v>
      </c>
      <c r="T9795" s="6" t="s">
        <v>66</v>
      </c>
      <c r="U9795" s="8" t="s">
        <v>31</v>
      </c>
      <c r="V9795" s="6" t="s">
        <v>60477</v>
      </c>
      <c r="W9795" s="6" t="s">
        <v>60010</v>
      </c>
      <c r="X9795" s="9" t="str">
        <f>HYPERLINK("https://my.pitchbook.com?p=160191-91P","View People Online")</f>
        <v>View People Online</v>
      </c>
    </row>
    <row r="9796">
      <c r="A9796" s="2" t="s">
        <v>60478</v>
      </c>
      <c r="B9796" s="2" t="s">
        <v>60479</v>
      </c>
      <c r="C9796" s="2" t="s">
        <v>4015</v>
      </c>
      <c r="D9796" s="2" t="s">
        <v>60480</v>
      </c>
      <c r="E9796" s="2" t="s">
        <v>60010</v>
      </c>
      <c r="F9796" s="2" t="s">
        <v>60421</v>
      </c>
      <c r="G9796" s="2" t="s">
        <v>60481</v>
      </c>
      <c r="H9796" s="3" t="s">
        <v>31</v>
      </c>
      <c r="I9796" s="3">
        <v>1.0</v>
      </c>
      <c r="J9796" s="3">
        <v>1.0</v>
      </c>
      <c r="K9796" s="3" t="s">
        <v>31</v>
      </c>
      <c r="L9796" s="4" t="s">
        <v>60012</v>
      </c>
      <c r="M9796" s="2" t="s">
        <v>60482</v>
      </c>
      <c r="N9796" s="2" t="s">
        <v>13041</v>
      </c>
      <c r="O9796" s="4" t="s">
        <v>13042</v>
      </c>
      <c r="P9796" s="2" t="s">
        <v>60014</v>
      </c>
      <c r="Q9796" s="2" t="s">
        <v>31</v>
      </c>
      <c r="R9796" s="2" t="s">
        <v>10326</v>
      </c>
      <c r="S9796" s="4" t="s">
        <v>13044</v>
      </c>
      <c r="T9796" s="2" t="s">
        <v>66</v>
      </c>
      <c r="U9796" s="4" t="s">
        <v>31</v>
      </c>
      <c r="V9796" s="2" t="s">
        <v>60424</v>
      </c>
      <c r="W9796" s="2" t="s">
        <v>60010</v>
      </c>
      <c r="X9796" s="5" t="str">
        <f>HYPERLINK("https://my.pitchbook.com?p=89877-88P","View People Online")</f>
        <v>View People Online</v>
      </c>
    </row>
    <row r="9797">
      <c r="A9797" s="6" t="s">
        <v>60483</v>
      </c>
      <c r="B9797" s="6" t="s">
        <v>60484</v>
      </c>
      <c r="C9797" s="6" t="s">
        <v>60485</v>
      </c>
      <c r="D9797" s="6" t="s">
        <v>2155</v>
      </c>
      <c r="E9797" s="6" t="s">
        <v>60010</v>
      </c>
      <c r="F9797" s="6" t="s">
        <v>825</v>
      </c>
      <c r="G9797" s="6" t="s">
        <v>60486</v>
      </c>
      <c r="H9797" s="7" t="s">
        <v>31</v>
      </c>
      <c r="I9797" s="7">
        <v>1.0</v>
      </c>
      <c r="J9797" s="7">
        <v>1.0</v>
      </c>
      <c r="K9797" s="7" t="s">
        <v>31</v>
      </c>
      <c r="L9797" s="8" t="s">
        <v>60012</v>
      </c>
      <c r="M9797" s="6" t="s">
        <v>60487</v>
      </c>
      <c r="N9797" s="6" t="s">
        <v>13041</v>
      </c>
      <c r="O9797" s="8" t="s">
        <v>13042</v>
      </c>
      <c r="P9797" s="6" t="s">
        <v>60014</v>
      </c>
      <c r="Q9797" s="6" t="s">
        <v>31</v>
      </c>
      <c r="R9797" s="6" t="s">
        <v>10326</v>
      </c>
      <c r="S9797" s="8" t="s">
        <v>13044</v>
      </c>
      <c r="T9797" s="6" t="s">
        <v>66</v>
      </c>
      <c r="U9797" s="8" t="s">
        <v>31</v>
      </c>
      <c r="V9797" s="6" t="s">
        <v>60488</v>
      </c>
      <c r="W9797" s="6" t="s">
        <v>60010</v>
      </c>
      <c r="X9797" s="9" t="str">
        <f>HYPERLINK("https://my.pitchbook.com?p=321398-38P","View People Online")</f>
        <v>View People Online</v>
      </c>
    </row>
    <row r="9798">
      <c r="A9798" s="2" t="s">
        <v>60489</v>
      </c>
      <c r="B9798" s="2" t="s">
        <v>60490</v>
      </c>
      <c r="C9798" s="2" t="s">
        <v>3716</v>
      </c>
      <c r="D9798" s="2" t="s">
        <v>20866</v>
      </c>
      <c r="E9798" s="2" t="s">
        <v>60010</v>
      </c>
      <c r="F9798" s="2" t="s">
        <v>896</v>
      </c>
      <c r="G9798" s="2" t="s">
        <v>60491</v>
      </c>
      <c r="H9798" s="3" t="s">
        <v>31</v>
      </c>
      <c r="I9798" s="3">
        <v>1.0</v>
      </c>
      <c r="J9798" s="3">
        <v>1.0</v>
      </c>
      <c r="K9798" s="3" t="s">
        <v>31</v>
      </c>
      <c r="L9798" s="4" t="s">
        <v>60492</v>
      </c>
      <c r="M9798" s="2" t="s">
        <v>60493</v>
      </c>
      <c r="N9798" s="2" t="s">
        <v>13041</v>
      </c>
      <c r="O9798" s="4" t="s">
        <v>13042</v>
      </c>
      <c r="P9798" s="2" t="s">
        <v>60014</v>
      </c>
      <c r="Q9798" s="2" t="s">
        <v>31</v>
      </c>
      <c r="R9798" s="2" t="s">
        <v>10326</v>
      </c>
      <c r="S9798" s="4" t="s">
        <v>13044</v>
      </c>
      <c r="T9798" s="2" t="s">
        <v>66</v>
      </c>
      <c r="U9798" s="4" t="s">
        <v>31</v>
      </c>
      <c r="V9798" s="2" t="s">
        <v>60494</v>
      </c>
      <c r="W9798" s="2" t="s">
        <v>60010</v>
      </c>
      <c r="X9798" s="5" t="str">
        <f>HYPERLINK("https://my.pitchbook.com?p=157335-76P","View People Online")</f>
        <v>View People Online</v>
      </c>
    </row>
    <row r="9799">
      <c r="A9799" s="14" t="s">
        <v>60495</v>
      </c>
      <c r="B9799" s="14" t="s">
        <v>60496</v>
      </c>
      <c r="C9799" s="14" t="s">
        <v>3716</v>
      </c>
      <c r="D9799" s="14" t="s">
        <v>22551</v>
      </c>
      <c r="E9799" s="14" t="s">
        <v>60010</v>
      </c>
      <c r="F9799" s="14" t="s">
        <v>825</v>
      </c>
      <c r="G9799" s="14" t="s">
        <v>60497</v>
      </c>
      <c r="H9799" s="15" t="s">
        <v>31</v>
      </c>
      <c r="I9799" s="15">
        <v>1.0</v>
      </c>
      <c r="J9799" s="15">
        <v>1.0</v>
      </c>
      <c r="K9799" s="15" t="s">
        <v>31</v>
      </c>
      <c r="L9799" s="16" t="s">
        <v>60498</v>
      </c>
      <c r="M9799" s="14" t="s">
        <v>60499</v>
      </c>
      <c r="N9799" s="14" t="s">
        <v>1034</v>
      </c>
      <c r="O9799" s="16" t="s">
        <v>1035</v>
      </c>
      <c r="P9799" s="14" t="s">
        <v>60500</v>
      </c>
      <c r="Q9799" s="14" t="s">
        <v>60501</v>
      </c>
      <c r="R9799" s="14" t="s">
        <v>31</v>
      </c>
      <c r="S9799" s="16" t="s">
        <v>60502</v>
      </c>
      <c r="T9799" s="14" t="s">
        <v>1034</v>
      </c>
      <c r="U9799" s="16" t="s">
        <v>31</v>
      </c>
      <c r="V9799" s="14" t="s">
        <v>60503</v>
      </c>
      <c r="W9799" s="14" t="s">
        <v>60010</v>
      </c>
      <c r="X9799" s="17" t="str">
        <f>HYPERLINK("https://my.pitchbook.com?p=72580-78P","View People Online")</f>
        <v>View People Online</v>
      </c>
    </row>
    <row r="9800">
      <c r="A9800" s="2" t="s">
        <v>60504</v>
      </c>
      <c r="B9800" s="2" t="s">
        <v>60505</v>
      </c>
      <c r="C9800" s="2" t="s">
        <v>21656</v>
      </c>
      <c r="D9800" s="2" t="s">
        <v>55327</v>
      </c>
      <c r="E9800" s="2" t="s">
        <v>60010</v>
      </c>
      <c r="F9800" s="2" t="s">
        <v>5086</v>
      </c>
      <c r="G9800" s="2" t="s">
        <v>60506</v>
      </c>
      <c r="H9800" s="3" t="s">
        <v>31</v>
      </c>
      <c r="I9800" s="3">
        <v>1.0</v>
      </c>
      <c r="J9800" s="3">
        <v>1.0</v>
      </c>
      <c r="K9800" s="3" t="s">
        <v>31</v>
      </c>
      <c r="L9800" s="4" t="s">
        <v>60012</v>
      </c>
      <c r="M9800" s="2" t="s">
        <v>60507</v>
      </c>
      <c r="N9800" s="2" t="s">
        <v>13041</v>
      </c>
      <c r="O9800" s="4" t="s">
        <v>13042</v>
      </c>
      <c r="P9800" s="2" t="s">
        <v>60014</v>
      </c>
      <c r="Q9800" s="2" t="s">
        <v>31</v>
      </c>
      <c r="R9800" s="2" t="s">
        <v>10326</v>
      </c>
      <c r="S9800" s="4" t="s">
        <v>13044</v>
      </c>
      <c r="T9800" s="2" t="s">
        <v>66</v>
      </c>
      <c r="U9800" s="4" t="s">
        <v>31</v>
      </c>
      <c r="V9800" s="2" t="s">
        <v>5086</v>
      </c>
      <c r="W9800" s="2" t="s">
        <v>60010</v>
      </c>
      <c r="X9800" s="5" t="str">
        <f>HYPERLINK("https://my.pitchbook.com?p=166011-67P","View People Online")</f>
        <v>View People Online</v>
      </c>
    </row>
    <row r="9801">
      <c r="A9801" s="14" t="s">
        <v>60508</v>
      </c>
      <c r="B9801" s="14" t="s">
        <v>60509</v>
      </c>
      <c r="C9801" s="14" t="s">
        <v>1042</v>
      </c>
      <c r="D9801" s="14" t="s">
        <v>32055</v>
      </c>
      <c r="E9801" s="14" t="s">
        <v>60010</v>
      </c>
      <c r="F9801" s="14" t="s">
        <v>60510</v>
      </c>
      <c r="G9801" s="14" t="s">
        <v>60511</v>
      </c>
      <c r="H9801" s="15" t="s">
        <v>31</v>
      </c>
      <c r="I9801" s="15">
        <v>1.0</v>
      </c>
      <c r="J9801" s="15">
        <v>1.0</v>
      </c>
      <c r="K9801" s="15" t="s">
        <v>31</v>
      </c>
      <c r="L9801" s="16" t="s">
        <v>60026</v>
      </c>
      <c r="M9801" s="14" t="s">
        <v>60512</v>
      </c>
      <c r="N9801" s="14" t="s">
        <v>243</v>
      </c>
      <c r="O9801" s="16" t="s">
        <v>244</v>
      </c>
      <c r="P9801" s="14" t="s">
        <v>60028</v>
      </c>
      <c r="Q9801" s="14" t="s">
        <v>60029</v>
      </c>
      <c r="R9801" s="14" t="s">
        <v>247</v>
      </c>
      <c r="S9801" s="16" t="s">
        <v>60030</v>
      </c>
      <c r="T9801" s="14" t="s">
        <v>249</v>
      </c>
      <c r="U9801" s="16" t="s">
        <v>31</v>
      </c>
      <c r="V9801" s="14" t="s">
        <v>60513</v>
      </c>
      <c r="W9801" s="14" t="s">
        <v>60010</v>
      </c>
      <c r="X9801" s="17" t="str">
        <f>HYPERLINK("https://my.pitchbook.com?p=127611-37P","View People Online")</f>
        <v>View People Online</v>
      </c>
    </row>
    <row r="9802">
      <c r="A9802" s="2" t="s">
        <v>60514</v>
      </c>
      <c r="B9802" s="2" t="s">
        <v>60515</v>
      </c>
      <c r="C9802" s="2" t="s">
        <v>1411</v>
      </c>
      <c r="D9802" s="2" t="s">
        <v>60516</v>
      </c>
      <c r="E9802" s="2" t="s">
        <v>60010</v>
      </c>
      <c r="F9802" s="2" t="s">
        <v>667</v>
      </c>
      <c r="G9802" s="2" t="s">
        <v>60517</v>
      </c>
      <c r="H9802" s="3" t="s">
        <v>31</v>
      </c>
      <c r="I9802" s="3">
        <v>1.0</v>
      </c>
      <c r="J9802" s="3">
        <v>1.0</v>
      </c>
      <c r="K9802" s="3" t="s">
        <v>31</v>
      </c>
      <c r="L9802" s="4" t="s">
        <v>60518</v>
      </c>
      <c r="M9802" s="2" t="s">
        <v>60519</v>
      </c>
      <c r="N9802" s="2" t="s">
        <v>13041</v>
      </c>
      <c r="O9802" s="4" t="s">
        <v>13042</v>
      </c>
      <c r="P9802" s="2" t="s">
        <v>60014</v>
      </c>
      <c r="Q9802" s="2" t="s">
        <v>31</v>
      </c>
      <c r="R9802" s="2" t="s">
        <v>10326</v>
      </c>
      <c r="S9802" s="4" t="s">
        <v>13044</v>
      </c>
      <c r="T9802" s="2" t="s">
        <v>66</v>
      </c>
      <c r="U9802" s="4" t="s">
        <v>31</v>
      </c>
      <c r="V9802" s="2" t="s">
        <v>60520</v>
      </c>
      <c r="W9802" s="2" t="s">
        <v>60010</v>
      </c>
      <c r="X9802" s="5" t="str">
        <f>HYPERLINK("https://my.pitchbook.com?p=291471-67P","View People Online")</f>
        <v>View People Online</v>
      </c>
    </row>
    <row r="9803">
      <c r="A9803" s="14" t="s">
        <v>60521</v>
      </c>
      <c r="B9803" s="14" t="s">
        <v>60522</v>
      </c>
      <c r="C9803" s="14" t="s">
        <v>60523</v>
      </c>
      <c r="D9803" s="14" t="s">
        <v>1085</v>
      </c>
      <c r="E9803" s="14" t="s">
        <v>60010</v>
      </c>
      <c r="F9803" s="14" t="s">
        <v>371</v>
      </c>
      <c r="G9803" s="14" t="s">
        <v>60524</v>
      </c>
      <c r="H9803" s="15" t="s">
        <v>31</v>
      </c>
      <c r="I9803" s="15">
        <v>1.0</v>
      </c>
      <c r="J9803" s="15">
        <v>1.0</v>
      </c>
      <c r="K9803" s="15" t="s">
        <v>31</v>
      </c>
      <c r="L9803" s="16" t="s">
        <v>60012</v>
      </c>
      <c r="M9803" s="14" t="s">
        <v>60525</v>
      </c>
      <c r="N9803" s="14" t="s">
        <v>13041</v>
      </c>
      <c r="O9803" s="16" t="s">
        <v>13042</v>
      </c>
      <c r="P9803" s="14" t="s">
        <v>60014</v>
      </c>
      <c r="Q9803" s="14" t="s">
        <v>31</v>
      </c>
      <c r="R9803" s="14" t="s">
        <v>10326</v>
      </c>
      <c r="S9803" s="16" t="s">
        <v>13044</v>
      </c>
      <c r="T9803" s="14" t="s">
        <v>66</v>
      </c>
      <c r="U9803" s="16" t="s">
        <v>31</v>
      </c>
      <c r="V9803" s="14" t="s">
        <v>371</v>
      </c>
      <c r="W9803" s="14" t="s">
        <v>60010</v>
      </c>
      <c r="X9803" s="17" t="str">
        <f>HYPERLINK("https://my.pitchbook.com?p=253180-45P","View People Online")</f>
        <v>View People Online</v>
      </c>
    </row>
    <row r="9804">
      <c r="A9804" s="10" t="s">
        <v>60526</v>
      </c>
      <c r="B9804" s="10" t="s">
        <v>60527</v>
      </c>
      <c r="C9804" s="10" t="s">
        <v>12386</v>
      </c>
      <c r="D9804" s="10" t="s">
        <v>60528</v>
      </c>
      <c r="E9804" s="10" t="s">
        <v>60010</v>
      </c>
      <c r="F9804" s="10" t="s">
        <v>10023</v>
      </c>
      <c r="G9804" s="10" t="s">
        <v>60529</v>
      </c>
      <c r="H9804" s="11" t="s">
        <v>31</v>
      </c>
      <c r="I9804" s="11">
        <v>1.0</v>
      </c>
      <c r="J9804" s="11">
        <v>1.0</v>
      </c>
      <c r="K9804" s="11" t="s">
        <v>31</v>
      </c>
      <c r="L9804" s="12" t="s">
        <v>60012</v>
      </c>
      <c r="M9804" s="10" t="s">
        <v>60530</v>
      </c>
      <c r="N9804" s="10" t="s">
        <v>13041</v>
      </c>
      <c r="O9804" s="12" t="s">
        <v>13042</v>
      </c>
      <c r="P9804" s="10" t="s">
        <v>60014</v>
      </c>
      <c r="Q9804" s="10" t="s">
        <v>31</v>
      </c>
      <c r="R9804" s="10" t="s">
        <v>10326</v>
      </c>
      <c r="S9804" s="12" t="s">
        <v>13044</v>
      </c>
      <c r="T9804" s="10" t="s">
        <v>66</v>
      </c>
      <c r="U9804" s="12" t="s">
        <v>31</v>
      </c>
      <c r="V9804" s="10" t="s">
        <v>60531</v>
      </c>
      <c r="W9804" s="10" t="s">
        <v>60010</v>
      </c>
      <c r="X9804" s="13" t="str">
        <f>HYPERLINK("https://my.pitchbook.com?p=181464-13P","View People Online")</f>
        <v>View People Online</v>
      </c>
    </row>
    <row r="9805">
      <c r="A9805" s="6" t="s">
        <v>60532</v>
      </c>
      <c r="B9805" s="6" t="s">
        <v>60533</v>
      </c>
      <c r="C9805" s="6" t="s">
        <v>60534</v>
      </c>
      <c r="D9805" s="6" t="s">
        <v>6030</v>
      </c>
      <c r="E9805" s="6" t="s">
        <v>60010</v>
      </c>
      <c r="F9805" s="6" t="s">
        <v>5086</v>
      </c>
      <c r="G9805" s="6" t="s">
        <v>60535</v>
      </c>
      <c r="H9805" s="7" t="s">
        <v>31</v>
      </c>
      <c r="I9805" s="7">
        <v>1.0</v>
      </c>
      <c r="J9805" s="7">
        <v>1.0</v>
      </c>
      <c r="K9805" s="7" t="s">
        <v>31</v>
      </c>
      <c r="L9805" s="8" t="s">
        <v>60012</v>
      </c>
      <c r="M9805" s="6" t="s">
        <v>60536</v>
      </c>
      <c r="N9805" s="6" t="s">
        <v>13041</v>
      </c>
      <c r="O9805" s="8" t="s">
        <v>13042</v>
      </c>
      <c r="P9805" s="6" t="s">
        <v>60014</v>
      </c>
      <c r="Q9805" s="6" t="s">
        <v>31</v>
      </c>
      <c r="R9805" s="6" t="s">
        <v>10326</v>
      </c>
      <c r="S9805" s="8" t="s">
        <v>13044</v>
      </c>
      <c r="T9805" s="6" t="s">
        <v>66</v>
      </c>
      <c r="U9805" s="8" t="s">
        <v>31</v>
      </c>
      <c r="V9805" s="6" t="s">
        <v>5086</v>
      </c>
      <c r="W9805" s="6" t="s">
        <v>60010</v>
      </c>
      <c r="X9805" s="9" t="str">
        <f>HYPERLINK("https://my.pitchbook.com?p=263915-20P","View People Online")</f>
        <v>View People Online</v>
      </c>
    </row>
    <row r="9806">
      <c r="A9806" s="2" t="s">
        <v>60537</v>
      </c>
      <c r="B9806" s="2" t="s">
        <v>60538</v>
      </c>
      <c r="C9806" s="2" t="s">
        <v>6199</v>
      </c>
      <c r="D9806" s="2" t="s">
        <v>60539</v>
      </c>
      <c r="E9806" s="2" t="s">
        <v>60010</v>
      </c>
      <c r="F9806" s="2" t="s">
        <v>825</v>
      </c>
      <c r="G9806" s="2" t="s">
        <v>60540</v>
      </c>
      <c r="H9806" s="3" t="s">
        <v>31</v>
      </c>
      <c r="I9806" s="3">
        <v>1.0</v>
      </c>
      <c r="J9806" s="3">
        <v>1.0</v>
      </c>
      <c r="K9806" s="3" t="s">
        <v>31</v>
      </c>
      <c r="L9806" s="4" t="s">
        <v>60012</v>
      </c>
      <c r="M9806" s="2" t="s">
        <v>60541</v>
      </c>
      <c r="N9806" s="2" t="s">
        <v>13041</v>
      </c>
      <c r="O9806" s="4" t="s">
        <v>13042</v>
      </c>
      <c r="P9806" s="2" t="s">
        <v>60014</v>
      </c>
      <c r="Q9806" s="2" t="s">
        <v>31</v>
      </c>
      <c r="R9806" s="2" t="s">
        <v>10326</v>
      </c>
      <c r="S9806" s="4" t="s">
        <v>13044</v>
      </c>
      <c r="T9806" s="2" t="s">
        <v>66</v>
      </c>
      <c r="U9806" s="4" t="s">
        <v>31</v>
      </c>
      <c r="V9806" s="2" t="s">
        <v>60542</v>
      </c>
      <c r="W9806" s="2" t="s">
        <v>60010</v>
      </c>
      <c r="X9806" s="5" t="str">
        <f>HYPERLINK("https://my.pitchbook.com?p=404451-01P","View People Online")</f>
        <v>View People Online</v>
      </c>
    </row>
    <row r="9807">
      <c r="A9807" s="6" t="s">
        <v>60543</v>
      </c>
      <c r="B9807" s="6" t="s">
        <v>60544</v>
      </c>
      <c r="C9807" s="6" t="s">
        <v>25350</v>
      </c>
      <c r="D9807" s="6" t="s">
        <v>12822</v>
      </c>
      <c r="E9807" s="6" t="s">
        <v>60010</v>
      </c>
      <c r="F9807" s="6" t="s">
        <v>371</v>
      </c>
      <c r="G9807" s="6" t="s">
        <v>60545</v>
      </c>
      <c r="H9807" s="7" t="s">
        <v>31</v>
      </c>
      <c r="I9807" s="7">
        <v>1.0</v>
      </c>
      <c r="J9807" s="7">
        <v>1.0</v>
      </c>
      <c r="K9807" s="7" t="s">
        <v>31</v>
      </c>
      <c r="L9807" s="8" t="s">
        <v>60012</v>
      </c>
      <c r="M9807" s="6" t="s">
        <v>60546</v>
      </c>
      <c r="N9807" s="6" t="s">
        <v>13041</v>
      </c>
      <c r="O9807" s="8" t="s">
        <v>13042</v>
      </c>
      <c r="P9807" s="6" t="s">
        <v>60014</v>
      </c>
      <c r="Q9807" s="6" t="s">
        <v>31</v>
      </c>
      <c r="R9807" s="6" t="s">
        <v>10326</v>
      </c>
      <c r="S9807" s="8" t="s">
        <v>13044</v>
      </c>
      <c r="T9807" s="6" t="s">
        <v>66</v>
      </c>
      <c r="U9807" s="8" t="s">
        <v>31</v>
      </c>
      <c r="V9807" s="6" t="s">
        <v>371</v>
      </c>
      <c r="W9807" s="6" t="s">
        <v>60010</v>
      </c>
      <c r="X9807" s="9" t="str">
        <f>HYPERLINK("https://my.pitchbook.com?p=68964-40P","View People Online")</f>
        <v>View People Online</v>
      </c>
    </row>
    <row r="9808">
      <c r="A9808" s="2" t="s">
        <v>60547</v>
      </c>
      <c r="B9808" s="2" t="s">
        <v>60548</v>
      </c>
      <c r="C9808" s="2" t="s">
        <v>562</v>
      </c>
      <c r="D9808" s="2" t="s">
        <v>60549</v>
      </c>
      <c r="E9808" s="2" t="s">
        <v>60010</v>
      </c>
      <c r="F9808" s="2" t="s">
        <v>825</v>
      </c>
      <c r="G9808" s="2" t="s">
        <v>60550</v>
      </c>
      <c r="H9808" s="3" t="s">
        <v>31</v>
      </c>
      <c r="I9808" s="3">
        <v>1.0</v>
      </c>
      <c r="J9808" s="3">
        <v>1.0</v>
      </c>
      <c r="K9808" s="3" t="s">
        <v>31</v>
      </c>
      <c r="L9808" s="4" t="s">
        <v>60551</v>
      </c>
      <c r="M9808" s="2" t="s">
        <v>60552</v>
      </c>
      <c r="N9808" s="2" t="s">
        <v>3603</v>
      </c>
      <c r="O9808" s="4" t="s">
        <v>3604</v>
      </c>
      <c r="P9808" s="2" t="s">
        <v>60217</v>
      </c>
      <c r="Q9808" s="2" t="s">
        <v>60218</v>
      </c>
      <c r="R9808" s="2" t="s">
        <v>31</v>
      </c>
      <c r="S9808" s="4" t="s">
        <v>31</v>
      </c>
      <c r="T9808" s="2" t="s">
        <v>3603</v>
      </c>
      <c r="U9808" s="4" t="s">
        <v>31</v>
      </c>
      <c r="V9808" s="2" t="s">
        <v>60553</v>
      </c>
      <c r="W9808" s="2" t="s">
        <v>60010</v>
      </c>
      <c r="X9808" s="5" t="str">
        <f>HYPERLINK("https://my.pitchbook.com?p=139817-80P","View People Online")</f>
        <v>View People Online</v>
      </c>
    </row>
    <row r="9809">
      <c r="A9809" s="6" t="s">
        <v>60554</v>
      </c>
      <c r="B9809" s="6" t="s">
        <v>60555</v>
      </c>
      <c r="C9809" s="6" t="s">
        <v>562</v>
      </c>
      <c r="D9809" s="6" t="s">
        <v>9348</v>
      </c>
      <c r="E9809" s="6" t="s">
        <v>60010</v>
      </c>
      <c r="F9809" s="6" t="s">
        <v>548</v>
      </c>
      <c r="G9809" s="6" t="s">
        <v>60556</v>
      </c>
      <c r="H9809" s="7" t="s">
        <v>31</v>
      </c>
      <c r="I9809" s="7">
        <v>5.0</v>
      </c>
      <c r="J9809" s="7">
        <v>1.0</v>
      </c>
      <c r="K9809" s="7">
        <v>4.0</v>
      </c>
      <c r="L9809" s="8" t="s">
        <v>60012</v>
      </c>
      <c r="M9809" s="6" t="s">
        <v>60557</v>
      </c>
      <c r="N9809" s="6" t="s">
        <v>13041</v>
      </c>
      <c r="O9809" s="8" t="s">
        <v>13042</v>
      </c>
      <c r="P9809" s="6" t="s">
        <v>60014</v>
      </c>
      <c r="Q9809" s="6" t="s">
        <v>31</v>
      </c>
      <c r="R9809" s="6" t="s">
        <v>10326</v>
      </c>
      <c r="S9809" s="8" t="s">
        <v>13044</v>
      </c>
      <c r="T9809" s="6" t="s">
        <v>66</v>
      </c>
      <c r="U9809" s="8" t="s">
        <v>31</v>
      </c>
      <c r="V9809" s="6" t="s">
        <v>60558</v>
      </c>
      <c r="W9809" s="6" t="s">
        <v>60010</v>
      </c>
      <c r="X9809" s="9" t="str">
        <f>HYPERLINK("https://my.pitchbook.com?p=69520-06P","View People Online")</f>
        <v>View People Online</v>
      </c>
    </row>
    <row r="9810">
      <c r="A9810" s="10" t="s">
        <v>60559</v>
      </c>
      <c r="B9810" s="10" t="s">
        <v>60560</v>
      </c>
      <c r="C9810" s="10" t="s">
        <v>48</v>
      </c>
      <c r="D9810" s="10" t="s">
        <v>12470</v>
      </c>
      <c r="E9810" s="10" t="s">
        <v>60010</v>
      </c>
      <c r="F9810" s="10" t="s">
        <v>896</v>
      </c>
      <c r="G9810" s="10" t="s">
        <v>60561</v>
      </c>
      <c r="H9810" s="11" t="s">
        <v>31</v>
      </c>
      <c r="I9810" s="11">
        <v>1.0</v>
      </c>
      <c r="J9810" s="11">
        <v>1.0</v>
      </c>
      <c r="K9810" s="11" t="s">
        <v>31</v>
      </c>
      <c r="L9810" s="12" t="s">
        <v>60026</v>
      </c>
      <c r="M9810" s="10" t="s">
        <v>60562</v>
      </c>
      <c r="N9810" s="10" t="s">
        <v>243</v>
      </c>
      <c r="O9810" s="12" t="s">
        <v>244</v>
      </c>
      <c r="P9810" s="10" t="s">
        <v>60028</v>
      </c>
      <c r="Q9810" s="10" t="s">
        <v>60029</v>
      </c>
      <c r="R9810" s="10" t="s">
        <v>247</v>
      </c>
      <c r="S9810" s="12" t="s">
        <v>60030</v>
      </c>
      <c r="T9810" s="10" t="s">
        <v>249</v>
      </c>
      <c r="U9810" s="12" t="s">
        <v>31</v>
      </c>
      <c r="V9810" s="10" t="s">
        <v>896</v>
      </c>
      <c r="W9810" s="10" t="s">
        <v>60010</v>
      </c>
      <c r="X9810" s="13" t="str">
        <f>HYPERLINK("https://my.pitchbook.com?p=89877-70P","View People Online")</f>
        <v>View People Online</v>
      </c>
    </row>
    <row r="9811">
      <c r="A9811" s="14" t="s">
        <v>60563</v>
      </c>
      <c r="B9811" s="14" t="s">
        <v>60564</v>
      </c>
      <c r="C9811" s="14" t="s">
        <v>1830</v>
      </c>
      <c r="D9811" s="14" t="s">
        <v>51101</v>
      </c>
      <c r="E9811" s="14" t="s">
        <v>60010</v>
      </c>
      <c r="F9811" s="14" t="s">
        <v>371</v>
      </c>
      <c r="G9811" s="14" t="s">
        <v>60565</v>
      </c>
      <c r="H9811" s="15" t="s">
        <v>31</v>
      </c>
      <c r="I9811" s="15">
        <v>1.0</v>
      </c>
      <c r="J9811" s="15">
        <v>1.0</v>
      </c>
      <c r="K9811" s="15" t="s">
        <v>31</v>
      </c>
      <c r="L9811" s="16" t="s">
        <v>60012</v>
      </c>
      <c r="M9811" s="14" t="s">
        <v>60566</v>
      </c>
      <c r="N9811" s="14" t="s">
        <v>13041</v>
      </c>
      <c r="O9811" s="16" t="s">
        <v>13042</v>
      </c>
      <c r="P9811" s="14" t="s">
        <v>60014</v>
      </c>
      <c r="Q9811" s="14" t="s">
        <v>31</v>
      </c>
      <c r="R9811" s="14" t="s">
        <v>10326</v>
      </c>
      <c r="S9811" s="16" t="s">
        <v>13044</v>
      </c>
      <c r="T9811" s="14" t="s">
        <v>66</v>
      </c>
      <c r="U9811" s="16" t="s">
        <v>31</v>
      </c>
      <c r="V9811" s="14" t="s">
        <v>371</v>
      </c>
      <c r="W9811" s="14" t="s">
        <v>60010</v>
      </c>
      <c r="X9811" s="17" t="str">
        <f>HYPERLINK("https://my.pitchbook.com?p=68954-77P","View People Online")</f>
        <v>View People Online</v>
      </c>
    </row>
    <row r="9812">
      <c r="A9812" s="2" t="s">
        <v>60567</v>
      </c>
      <c r="B9812" s="2" t="s">
        <v>60568</v>
      </c>
      <c r="C9812" s="2" t="s">
        <v>28241</v>
      </c>
      <c r="D9812" s="2" t="s">
        <v>60569</v>
      </c>
      <c r="E9812" s="2" t="s">
        <v>60010</v>
      </c>
      <c r="F9812" s="2" t="s">
        <v>371</v>
      </c>
      <c r="G9812" s="2" t="s">
        <v>60570</v>
      </c>
      <c r="H9812" s="3" t="s">
        <v>31</v>
      </c>
      <c r="I9812" s="3">
        <v>1.0</v>
      </c>
      <c r="J9812" s="3">
        <v>1.0</v>
      </c>
      <c r="K9812" s="3" t="s">
        <v>31</v>
      </c>
      <c r="L9812" s="4" t="s">
        <v>60012</v>
      </c>
      <c r="M9812" s="2" t="s">
        <v>60571</v>
      </c>
      <c r="N9812" s="2" t="s">
        <v>13041</v>
      </c>
      <c r="O9812" s="4" t="s">
        <v>13042</v>
      </c>
      <c r="P9812" s="2" t="s">
        <v>60014</v>
      </c>
      <c r="Q9812" s="2" t="s">
        <v>31</v>
      </c>
      <c r="R9812" s="2" t="s">
        <v>10326</v>
      </c>
      <c r="S9812" s="4" t="s">
        <v>13044</v>
      </c>
      <c r="T9812" s="2" t="s">
        <v>66</v>
      </c>
      <c r="U9812" s="4" t="s">
        <v>31</v>
      </c>
      <c r="V9812" s="2" t="s">
        <v>60572</v>
      </c>
      <c r="W9812" s="2" t="s">
        <v>60010</v>
      </c>
      <c r="X9812" s="5" t="str">
        <f>HYPERLINK("https://my.pitchbook.com?p=68974-12P","View People Online")</f>
        <v>View People Online</v>
      </c>
    </row>
    <row r="9813">
      <c r="A9813" s="6" t="s">
        <v>60573</v>
      </c>
      <c r="B9813" s="6" t="s">
        <v>60574</v>
      </c>
      <c r="C9813" s="6" t="s">
        <v>60575</v>
      </c>
      <c r="D9813" s="6" t="s">
        <v>666</v>
      </c>
      <c r="E9813" s="6" t="s">
        <v>60010</v>
      </c>
      <c r="F9813" s="6" t="s">
        <v>221</v>
      </c>
      <c r="G9813" s="6" t="s">
        <v>60576</v>
      </c>
      <c r="H9813" s="7" t="s">
        <v>31</v>
      </c>
      <c r="I9813" s="7">
        <v>1.0</v>
      </c>
      <c r="J9813" s="7">
        <v>1.0</v>
      </c>
      <c r="K9813" s="7" t="s">
        <v>31</v>
      </c>
      <c r="L9813" s="8" t="s">
        <v>60012</v>
      </c>
      <c r="M9813" s="6" t="s">
        <v>60577</v>
      </c>
      <c r="N9813" s="6" t="s">
        <v>13041</v>
      </c>
      <c r="O9813" s="8" t="s">
        <v>13042</v>
      </c>
      <c r="P9813" s="6" t="s">
        <v>60014</v>
      </c>
      <c r="Q9813" s="6" t="s">
        <v>31</v>
      </c>
      <c r="R9813" s="6" t="s">
        <v>10326</v>
      </c>
      <c r="S9813" s="8" t="s">
        <v>13044</v>
      </c>
      <c r="T9813" s="6" t="s">
        <v>66</v>
      </c>
      <c r="U9813" s="8" t="s">
        <v>31</v>
      </c>
      <c r="V9813" s="6" t="s">
        <v>60578</v>
      </c>
      <c r="W9813" s="6" t="s">
        <v>60010</v>
      </c>
      <c r="X9813" s="9" t="str">
        <f>HYPERLINK("https://my.pitchbook.com?p=68963-14P","View People Online")</f>
        <v>View People Online</v>
      </c>
    </row>
    <row r="9814">
      <c r="A9814" s="2" t="s">
        <v>60579</v>
      </c>
      <c r="B9814" s="2" t="s">
        <v>60580</v>
      </c>
      <c r="C9814" s="2" t="s">
        <v>48060</v>
      </c>
      <c r="D9814" s="2" t="s">
        <v>60581</v>
      </c>
      <c r="E9814" s="2" t="s">
        <v>60010</v>
      </c>
      <c r="F9814" s="2" t="s">
        <v>825</v>
      </c>
      <c r="G9814" s="2" t="s">
        <v>60582</v>
      </c>
      <c r="H9814" s="3" t="s">
        <v>31</v>
      </c>
      <c r="I9814" s="3">
        <v>1.0</v>
      </c>
      <c r="J9814" s="3">
        <v>1.0</v>
      </c>
      <c r="K9814" s="3" t="s">
        <v>31</v>
      </c>
      <c r="L9814" s="4" t="s">
        <v>60026</v>
      </c>
      <c r="M9814" s="2" t="s">
        <v>60583</v>
      </c>
      <c r="N9814" s="2" t="s">
        <v>243</v>
      </c>
      <c r="O9814" s="4" t="s">
        <v>244</v>
      </c>
      <c r="P9814" s="2" t="s">
        <v>60028</v>
      </c>
      <c r="Q9814" s="2" t="s">
        <v>60029</v>
      </c>
      <c r="R9814" s="2" t="s">
        <v>247</v>
      </c>
      <c r="S9814" s="4" t="s">
        <v>60030</v>
      </c>
      <c r="T9814" s="2" t="s">
        <v>249</v>
      </c>
      <c r="U9814" s="4" t="s">
        <v>31</v>
      </c>
      <c r="V9814" s="2" t="s">
        <v>60584</v>
      </c>
      <c r="W9814" s="2" t="s">
        <v>60010</v>
      </c>
      <c r="X9814" s="5" t="str">
        <f>HYPERLINK("https://my.pitchbook.com?p=67135-24P","View People Online")</f>
        <v>View People Online</v>
      </c>
    </row>
    <row r="9815">
      <c r="A9815" s="14" t="s">
        <v>60585</v>
      </c>
      <c r="B9815" s="14" t="s">
        <v>60586</v>
      </c>
      <c r="C9815" s="14" t="s">
        <v>226</v>
      </c>
      <c r="D9815" s="14" t="s">
        <v>60587</v>
      </c>
      <c r="E9815" s="14" t="s">
        <v>60010</v>
      </c>
      <c r="F9815" s="14" t="s">
        <v>221</v>
      </c>
      <c r="G9815" s="14" t="s">
        <v>60588</v>
      </c>
      <c r="H9815" s="15" t="s">
        <v>31</v>
      </c>
      <c r="I9815" s="15">
        <v>1.0</v>
      </c>
      <c r="J9815" s="15">
        <v>1.0</v>
      </c>
      <c r="K9815" s="15" t="s">
        <v>31</v>
      </c>
      <c r="L9815" s="16" t="s">
        <v>60012</v>
      </c>
      <c r="M9815" s="14" t="s">
        <v>60589</v>
      </c>
      <c r="N9815" s="14" t="s">
        <v>13041</v>
      </c>
      <c r="O9815" s="16" t="s">
        <v>13042</v>
      </c>
      <c r="P9815" s="14" t="s">
        <v>60014</v>
      </c>
      <c r="Q9815" s="14" t="s">
        <v>31</v>
      </c>
      <c r="R9815" s="14" t="s">
        <v>10326</v>
      </c>
      <c r="S9815" s="16" t="s">
        <v>13044</v>
      </c>
      <c r="T9815" s="14" t="s">
        <v>66</v>
      </c>
      <c r="U9815" s="16" t="s">
        <v>31</v>
      </c>
      <c r="V9815" s="14" t="s">
        <v>60590</v>
      </c>
      <c r="W9815" s="14" t="s">
        <v>60010</v>
      </c>
      <c r="X9815" s="17" t="str">
        <f>HYPERLINK("https://my.pitchbook.com?p=426300-67P","View People Online")</f>
        <v>View People Online</v>
      </c>
    </row>
    <row r="9816">
      <c r="A9816" s="10" t="s">
        <v>60591</v>
      </c>
      <c r="B9816" s="10" t="s">
        <v>60592</v>
      </c>
      <c r="C9816" s="10" t="s">
        <v>23328</v>
      </c>
      <c r="D9816" s="10" t="s">
        <v>60593</v>
      </c>
      <c r="E9816" s="10" t="s">
        <v>60010</v>
      </c>
      <c r="F9816" s="10" t="s">
        <v>896</v>
      </c>
      <c r="G9816" s="10" t="s">
        <v>60594</v>
      </c>
      <c r="H9816" s="11">
        <v>1.0</v>
      </c>
      <c r="I9816" s="11">
        <v>6.0</v>
      </c>
      <c r="J9816" s="11">
        <v>1.0</v>
      </c>
      <c r="K9816" s="11">
        <v>4.0</v>
      </c>
      <c r="L9816" s="12" t="s">
        <v>60062</v>
      </c>
      <c r="M9816" s="10" t="s">
        <v>60595</v>
      </c>
      <c r="N9816" s="10" t="s">
        <v>794</v>
      </c>
      <c r="O9816" s="12" t="s">
        <v>795</v>
      </c>
      <c r="P9816" s="10" t="s">
        <v>60064</v>
      </c>
      <c r="Q9816" s="10" t="s">
        <v>60065</v>
      </c>
      <c r="R9816" s="10" t="s">
        <v>31</v>
      </c>
      <c r="S9816" s="12" t="s">
        <v>60066</v>
      </c>
      <c r="T9816" s="10" t="s">
        <v>796</v>
      </c>
      <c r="U9816" s="12" t="s">
        <v>31</v>
      </c>
      <c r="V9816" s="10" t="s">
        <v>896</v>
      </c>
      <c r="W9816" s="10" t="s">
        <v>60010</v>
      </c>
      <c r="X9816" s="13" t="str">
        <f>HYPERLINK("https://my.pitchbook.com?p=168472-90P","View People Online")</f>
        <v>View People Online</v>
      </c>
    </row>
    <row r="9817">
      <c r="A9817" s="6" t="s">
        <v>60596</v>
      </c>
      <c r="B9817" s="6" t="s">
        <v>60597</v>
      </c>
      <c r="C9817" s="6" t="s">
        <v>1343</v>
      </c>
      <c r="D9817" s="6" t="s">
        <v>30377</v>
      </c>
      <c r="E9817" s="6" t="s">
        <v>60598</v>
      </c>
      <c r="F9817" s="6" t="s">
        <v>270</v>
      </c>
      <c r="G9817" s="6" t="s">
        <v>60599</v>
      </c>
      <c r="H9817" s="7" t="s">
        <v>31</v>
      </c>
      <c r="I9817" s="7">
        <v>1.0</v>
      </c>
      <c r="J9817" s="7">
        <v>1.0</v>
      </c>
      <c r="K9817" s="7" t="s">
        <v>31</v>
      </c>
      <c r="L9817" s="8" t="s">
        <v>31</v>
      </c>
      <c r="M9817" s="6" t="s">
        <v>31</v>
      </c>
      <c r="N9817" s="6" t="s">
        <v>49415</v>
      </c>
      <c r="O9817" s="8" t="s">
        <v>49416</v>
      </c>
      <c r="P9817" s="6" t="s">
        <v>60600</v>
      </c>
      <c r="Q9817" s="6" t="s">
        <v>31</v>
      </c>
      <c r="R9817" s="6" t="s">
        <v>64</v>
      </c>
      <c r="S9817" s="8" t="s">
        <v>49418</v>
      </c>
      <c r="T9817" s="6" t="s">
        <v>66</v>
      </c>
      <c r="U9817" s="8" t="s">
        <v>31</v>
      </c>
      <c r="V9817" s="6" t="s">
        <v>270</v>
      </c>
      <c r="W9817" s="6" t="s">
        <v>60598</v>
      </c>
      <c r="X9817" s="9" t="str">
        <f>HYPERLINK("https://my.pitchbook.com?p=201336-40P","View People Online")</f>
        <v>View People Online</v>
      </c>
    </row>
    <row r="9818">
      <c r="A9818" s="2" t="s">
        <v>60601</v>
      </c>
      <c r="B9818" s="2" t="s">
        <v>60602</v>
      </c>
      <c r="C9818" s="2" t="s">
        <v>3852</v>
      </c>
      <c r="D9818" s="2" t="s">
        <v>19996</v>
      </c>
      <c r="E9818" s="2" t="s">
        <v>60598</v>
      </c>
      <c r="F9818" s="2" t="s">
        <v>29</v>
      </c>
      <c r="G9818" s="2" t="s">
        <v>60603</v>
      </c>
      <c r="H9818" s="3" t="s">
        <v>31</v>
      </c>
      <c r="I9818" s="3">
        <v>1.0</v>
      </c>
      <c r="J9818" s="3">
        <v>1.0</v>
      </c>
      <c r="K9818" s="3" t="s">
        <v>31</v>
      </c>
      <c r="L9818" s="4" t="s">
        <v>31</v>
      </c>
      <c r="M9818" s="2" t="s">
        <v>60604</v>
      </c>
      <c r="N9818" s="2" t="s">
        <v>49415</v>
      </c>
      <c r="O9818" s="4" t="s">
        <v>49416</v>
      </c>
      <c r="P9818" s="2" t="s">
        <v>60600</v>
      </c>
      <c r="Q9818" s="2" t="s">
        <v>31</v>
      </c>
      <c r="R9818" s="2" t="s">
        <v>64</v>
      </c>
      <c r="S9818" s="4" t="s">
        <v>49418</v>
      </c>
      <c r="T9818" s="2" t="s">
        <v>66</v>
      </c>
      <c r="U9818" s="4" t="s">
        <v>31</v>
      </c>
      <c r="V9818" s="2" t="s">
        <v>29</v>
      </c>
      <c r="W9818" s="2" t="s">
        <v>60598</v>
      </c>
      <c r="X9818" s="5" t="str">
        <f>HYPERLINK("https://my.pitchbook.com?p=130398-76P","View People Online")</f>
        <v>View People Online</v>
      </c>
    </row>
    <row r="9819">
      <c r="A9819" s="6" t="s">
        <v>60605</v>
      </c>
      <c r="B9819" s="6" t="s">
        <v>60606</v>
      </c>
      <c r="C9819" s="6" t="s">
        <v>2388</v>
      </c>
      <c r="D9819" s="6" t="s">
        <v>60607</v>
      </c>
      <c r="E9819" s="6" t="s">
        <v>60598</v>
      </c>
      <c r="F9819" s="6" t="s">
        <v>674</v>
      </c>
      <c r="G9819" s="6" t="s">
        <v>60608</v>
      </c>
      <c r="H9819" s="7">
        <v>1.0</v>
      </c>
      <c r="I9819" s="7">
        <v>4.0</v>
      </c>
      <c r="J9819" s="7">
        <v>1.0</v>
      </c>
      <c r="K9819" s="7">
        <v>2.0</v>
      </c>
      <c r="L9819" s="8" t="s">
        <v>31</v>
      </c>
      <c r="M9819" s="6" t="s">
        <v>60609</v>
      </c>
      <c r="N9819" s="6" t="s">
        <v>49415</v>
      </c>
      <c r="O9819" s="8" t="s">
        <v>49416</v>
      </c>
      <c r="P9819" s="6" t="s">
        <v>60600</v>
      </c>
      <c r="Q9819" s="6" t="s">
        <v>31</v>
      </c>
      <c r="R9819" s="6" t="s">
        <v>64</v>
      </c>
      <c r="S9819" s="8" t="s">
        <v>49418</v>
      </c>
      <c r="T9819" s="6" t="s">
        <v>66</v>
      </c>
      <c r="U9819" s="8" t="s">
        <v>31</v>
      </c>
      <c r="V9819" s="6" t="s">
        <v>674</v>
      </c>
      <c r="W9819" s="6" t="s">
        <v>60598</v>
      </c>
      <c r="X9819" s="9" t="str">
        <f>HYPERLINK("https://my.pitchbook.com?p=130397-41P","View People Online")</f>
        <v>View People Online</v>
      </c>
    </row>
    <row r="9820">
      <c r="A9820" s="2" t="s">
        <v>60610</v>
      </c>
      <c r="B9820" s="2" t="s">
        <v>60611</v>
      </c>
      <c r="C9820" s="2" t="s">
        <v>11210</v>
      </c>
      <c r="D9820" s="2" t="s">
        <v>56656</v>
      </c>
      <c r="E9820" s="2" t="s">
        <v>60612</v>
      </c>
      <c r="F9820" s="2" t="s">
        <v>189</v>
      </c>
      <c r="G9820" s="2" t="s">
        <v>60613</v>
      </c>
      <c r="H9820" s="3">
        <v>1.0</v>
      </c>
      <c r="I9820" s="3">
        <v>6.0</v>
      </c>
      <c r="J9820" s="3">
        <v>2.0</v>
      </c>
      <c r="K9820" s="3">
        <v>2.0</v>
      </c>
      <c r="L9820" s="4" t="s">
        <v>60614</v>
      </c>
      <c r="M9820" s="2" t="s">
        <v>31</v>
      </c>
      <c r="N9820" s="2" t="s">
        <v>75</v>
      </c>
      <c r="O9820" s="4" t="s">
        <v>76</v>
      </c>
      <c r="P9820" s="2" t="s">
        <v>31</v>
      </c>
      <c r="Q9820" s="2" t="s">
        <v>31</v>
      </c>
      <c r="R9820" s="2" t="s">
        <v>75</v>
      </c>
      <c r="S9820" s="4" t="s">
        <v>31</v>
      </c>
      <c r="T9820" s="2" t="s">
        <v>66</v>
      </c>
      <c r="U9820" s="4" t="s">
        <v>31</v>
      </c>
      <c r="V9820" s="2" t="s">
        <v>29</v>
      </c>
      <c r="W9820" s="2" t="s">
        <v>60615</v>
      </c>
      <c r="X9820" s="5" t="str">
        <f>HYPERLINK("https://my.pitchbook.com?p=228855-34P","View People Online")</f>
        <v>View People Online</v>
      </c>
    </row>
    <row r="9821">
      <c r="A9821" s="14" t="s">
        <v>60616</v>
      </c>
      <c r="B9821" s="14" t="s">
        <v>60617</v>
      </c>
      <c r="C9821" s="14" t="s">
        <v>126</v>
      </c>
      <c r="D9821" s="14" t="s">
        <v>3354</v>
      </c>
      <c r="E9821" s="14" t="s">
        <v>60612</v>
      </c>
      <c r="F9821" s="14" t="s">
        <v>71</v>
      </c>
      <c r="G9821" s="14" t="s">
        <v>60618</v>
      </c>
      <c r="H9821" s="15" t="s">
        <v>31</v>
      </c>
      <c r="I9821" s="15">
        <v>3.0</v>
      </c>
      <c r="J9821" s="15">
        <v>1.0</v>
      </c>
      <c r="K9821" s="15" t="s">
        <v>31</v>
      </c>
      <c r="L9821" s="16" t="s">
        <v>60614</v>
      </c>
      <c r="M9821" s="14" t="s">
        <v>60619</v>
      </c>
      <c r="N9821" s="14" t="s">
        <v>60620</v>
      </c>
      <c r="O9821" s="16" t="s">
        <v>60621</v>
      </c>
      <c r="P9821" s="14" t="s">
        <v>60622</v>
      </c>
      <c r="Q9821" s="14" t="s">
        <v>60623</v>
      </c>
      <c r="R9821" s="14" t="s">
        <v>64</v>
      </c>
      <c r="S9821" s="16" t="s">
        <v>60624</v>
      </c>
      <c r="T9821" s="14" t="s">
        <v>66</v>
      </c>
      <c r="U9821" s="16" t="s">
        <v>31</v>
      </c>
      <c r="V9821" s="14" t="s">
        <v>71</v>
      </c>
      <c r="W9821" s="14" t="s">
        <v>60612</v>
      </c>
      <c r="X9821" s="17" t="str">
        <f>HYPERLINK("https://my.pitchbook.com?p=228854-80P","View People Online")</f>
        <v>View People Online</v>
      </c>
    </row>
    <row r="9822">
      <c r="A9822" s="10" t="s">
        <v>60625</v>
      </c>
      <c r="B9822" s="10" t="s">
        <v>60626</v>
      </c>
      <c r="C9822" s="10" t="s">
        <v>37386</v>
      </c>
      <c r="D9822" s="10" t="s">
        <v>5302</v>
      </c>
      <c r="E9822" s="10" t="s">
        <v>60627</v>
      </c>
      <c r="F9822" s="10" t="s">
        <v>312</v>
      </c>
      <c r="G9822" s="10" t="s">
        <v>60628</v>
      </c>
      <c r="H9822" s="11" t="s">
        <v>31</v>
      </c>
      <c r="I9822" s="11">
        <v>1.0</v>
      </c>
      <c r="J9822" s="11">
        <v>1.0</v>
      </c>
      <c r="K9822" s="11" t="s">
        <v>31</v>
      </c>
      <c r="L9822" s="12" t="s">
        <v>31</v>
      </c>
      <c r="M9822" s="10" t="s">
        <v>60629</v>
      </c>
      <c r="N9822" s="10" t="s">
        <v>36102</v>
      </c>
      <c r="O9822" s="12" t="s">
        <v>36103</v>
      </c>
      <c r="P9822" s="10" t="s">
        <v>60630</v>
      </c>
      <c r="Q9822" s="10" t="s">
        <v>11087</v>
      </c>
      <c r="R9822" s="10" t="s">
        <v>64</v>
      </c>
      <c r="S9822" s="12" t="s">
        <v>36105</v>
      </c>
      <c r="T9822" s="10" t="s">
        <v>66</v>
      </c>
      <c r="U9822" s="12" t="s">
        <v>31</v>
      </c>
      <c r="V9822" s="10" t="s">
        <v>60631</v>
      </c>
      <c r="W9822" s="10" t="s">
        <v>60627</v>
      </c>
      <c r="X9822" s="13" t="str">
        <f>HYPERLINK("https://my.pitchbook.com?p=194243-59P","View People Online")</f>
        <v>View People Online</v>
      </c>
    </row>
    <row r="9823">
      <c r="A9823" s="6" t="s">
        <v>60632</v>
      </c>
      <c r="B9823" s="6" t="s">
        <v>60633</v>
      </c>
      <c r="C9823" s="6" t="s">
        <v>5721</v>
      </c>
      <c r="D9823" s="6" t="s">
        <v>5495</v>
      </c>
      <c r="E9823" s="6" t="s">
        <v>60627</v>
      </c>
      <c r="F9823" s="6" t="s">
        <v>6567</v>
      </c>
      <c r="G9823" s="6" t="s">
        <v>60634</v>
      </c>
      <c r="H9823" s="7" t="s">
        <v>31</v>
      </c>
      <c r="I9823" s="7">
        <v>1.0</v>
      </c>
      <c r="J9823" s="7">
        <v>1.0</v>
      </c>
      <c r="K9823" s="7" t="s">
        <v>31</v>
      </c>
      <c r="L9823" s="8" t="s">
        <v>31</v>
      </c>
      <c r="M9823" s="6" t="s">
        <v>60635</v>
      </c>
      <c r="N9823" s="6" t="s">
        <v>36102</v>
      </c>
      <c r="O9823" s="8" t="s">
        <v>36103</v>
      </c>
      <c r="P9823" s="6" t="s">
        <v>60630</v>
      </c>
      <c r="Q9823" s="6" t="s">
        <v>11087</v>
      </c>
      <c r="R9823" s="6" t="s">
        <v>64</v>
      </c>
      <c r="S9823" s="8" t="s">
        <v>36105</v>
      </c>
      <c r="T9823" s="6" t="s">
        <v>66</v>
      </c>
      <c r="U9823" s="8" t="s">
        <v>31</v>
      </c>
      <c r="V9823" s="6" t="s">
        <v>46930</v>
      </c>
      <c r="W9823" s="6" t="s">
        <v>60627</v>
      </c>
      <c r="X9823" s="9" t="str">
        <f>HYPERLINK("https://my.pitchbook.com?p=454372-66P","View People Online")</f>
        <v>View People Online</v>
      </c>
    </row>
    <row r="9824">
      <c r="A9824" s="2" t="s">
        <v>60636</v>
      </c>
      <c r="B9824" s="2" t="s">
        <v>60637</v>
      </c>
      <c r="C9824" s="2" t="s">
        <v>1449</v>
      </c>
      <c r="D9824" s="2" t="s">
        <v>13065</v>
      </c>
      <c r="E9824" s="2" t="s">
        <v>60627</v>
      </c>
      <c r="F9824" s="2" t="s">
        <v>502</v>
      </c>
      <c r="G9824" s="2" t="s">
        <v>60638</v>
      </c>
      <c r="H9824" s="3" t="s">
        <v>31</v>
      </c>
      <c r="I9824" s="3">
        <v>3.0</v>
      </c>
      <c r="J9824" s="3">
        <v>3.0</v>
      </c>
      <c r="K9824" s="3" t="s">
        <v>31</v>
      </c>
      <c r="L9824" s="4" t="s">
        <v>60639</v>
      </c>
      <c r="M9824" s="2" t="s">
        <v>60640</v>
      </c>
      <c r="N9824" s="2" t="s">
        <v>36102</v>
      </c>
      <c r="O9824" s="4" t="s">
        <v>36103</v>
      </c>
      <c r="P9824" s="2" t="s">
        <v>60630</v>
      </c>
      <c r="Q9824" s="2" t="s">
        <v>11087</v>
      </c>
      <c r="R9824" s="2" t="s">
        <v>64</v>
      </c>
      <c r="S9824" s="4" t="s">
        <v>36105</v>
      </c>
      <c r="T9824" s="2" t="s">
        <v>66</v>
      </c>
      <c r="U9824" s="4" t="s">
        <v>31</v>
      </c>
      <c r="V9824" s="2" t="s">
        <v>502</v>
      </c>
      <c r="W9824" s="2" t="s">
        <v>60627</v>
      </c>
      <c r="X9824" s="5" t="str">
        <f>HYPERLINK("https://my.pitchbook.com?p=13593-34P","View People Online")</f>
        <v>View People Online</v>
      </c>
    </row>
    <row r="9825">
      <c r="A9825" s="14" t="s">
        <v>60641</v>
      </c>
      <c r="B9825" s="14" t="s">
        <v>60642</v>
      </c>
      <c r="C9825" s="14" t="s">
        <v>11210</v>
      </c>
      <c r="D9825" s="14" t="s">
        <v>60643</v>
      </c>
      <c r="E9825" s="14" t="s">
        <v>60627</v>
      </c>
      <c r="F9825" s="14" t="s">
        <v>35462</v>
      </c>
      <c r="G9825" s="14" t="s">
        <v>60644</v>
      </c>
      <c r="H9825" s="15" t="s">
        <v>31</v>
      </c>
      <c r="I9825" s="15">
        <v>1.0</v>
      </c>
      <c r="J9825" s="15">
        <v>1.0</v>
      </c>
      <c r="K9825" s="15" t="s">
        <v>31</v>
      </c>
      <c r="L9825" s="16" t="s">
        <v>31</v>
      </c>
      <c r="M9825" s="14" t="s">
        <v>60645</v>
      </c>
      <c r="N9825" s="14" t="s">
        <v>36102</v>
      </c>
      <c r="O9825" s="16" t="s">
        <v>36103</v>
      </c>
      <c r="P9825" s="14" t="s">
        <v>60630</v>
      </c>
      <c r="Q9825" s="14" t="s">
        <v>11087</v>
      </c>
      <c r="R9825" s="14" t="s">
        <v>64</v>
      </c>
      <c r="S9825" s="16" t="s">
        <v>36105</v>
      </c>
      <c r="T9825" s="14" t="s">
        <v>66</v>
      </c>
      <c r="U9825" s="16" t="s">
        <v>31</v>
      </c>
      <c r="V9825" s="14" t="s">
        <v>60646</v>
      </c>
      <c r="W9825" s="14" t="s">
        <v>60627</v>
      </c>
      <c r="X9825" s="17" t="str">
        <f>HYPERLINK("https://my.pitchbook.com?p=91044-10P","View People Online")</f>
        <v>View People Online</v>
      </c>
    </row>
    <row r="9826">
      <c r="A9826" s="10" t="s">
        <v>60647</v>
      </c>
      <c r="B9826" s="10" t="s">
        <v>60648</v>
      </c>
      <c r="C9826" s="10" t="s">
        <v>50882</v>
      </c>
      <c r="D9826" s="10" t="s">
        <v>5302</v>
      </c>
      <c r="E9826" s="10" t="s">
        <v>60627</v>
      </c>
      <c r="F9826" s="10" t="s">
        <v>1283</v>
      </c>
      <c r="G9826" s="10" t="s">
        <v>60649</v>
      </c>
      <c r="H9826" s="11">
        <v>3.0</v>
      </c>
      <c r="I9826" s="11">
        <v>27.0</v>
      </c>
      <c r="J9826" s="11">
        <v>2.0</v>
      </c>
      <c r="K9826" s="11">
        <v>19.0</v>
      </c>
      <c r="L9826" s="12" t="s">
        <v>31</v>
      </c>
      <c r="M9826" s="10" t="s">
        <v>60650</v>
      </c>
      <c r="N9826" s="10" t="s">
        <v>36102</v>
      </c>
      <c r="O9826" s="12" t="s">
        <v>36103</v>
      </c>
      <c r="P9826" s="10" t="s">
        <v>60630</v>
      </c>
      <c r="Q9826" s="10" t="s">
        <v>11087</v>
      </c>
      <c r="R9826" s="10" t="s">
        <v>64</v>
      </c>
      <c r="S9826" s="12" t="s">
        <v>36105</v>
      </c>
      <c r="T9826" s="10" t="s">
        <v>66</v>
      </c>
      <c r="U9826" s="12" t="s">
        <v>31</v>
      </c>
      <c r="V9826" s="10" t="s">
        <v>1283</v>
      </c>
      <c r="W9826" s="10" t="s">
        <v>60627</v>
      </c>
      <c r="X9826" s="13" t="str">
        <f>HYPERLINK("https://my.pitchbook.com?p=75855-88P","View People Online")</f>
        <v>View People Online</v>
      </c>
    </row>
    <row r="9827">
      <c r="A9827" s="6" t="s">
        <v>60651</v>
      </c>
      <c r="B9827" s="6" t="s">
        <v>60652</v>
      </c>
      <c r="C9827" s="6" t="s">
        <v>42738</v>
      </c>
      <c r="D9827" s="6" t="s">
        <v>60653</v>
      </c>
      <c r="E9827" s="6" t="s">
        <v>60627</v>
      </c>
      <c r="F9827" s="6" t="s">
        <v>3665</v>
      </c>
      <c r="G9827" s="6" t="s">
        <v>60654</v>
      </c>
      <c r="H9827" s="7" t="s">
        <v>31</v>
      </c>
      <c r="I9827" s="7">
        <v>1.0</v>
      </c>
      <c r="J9827" s="7">
        <v>1.0</v>
      </c>
      <c r="K9827" s="7" t="s">
        <v>31</v>
      </c>
      <c r="L9827" s="8" t="s">
        <v>31</v>
      </c>
      <c r="M9827" s="6" t="s">
        <v>60655</v>
      </c>
      <c r="N9827" s="6" t="s">
        <v>36102</v>
      </c>
      <c r="O9827" s="8" t="s">
        <v>36103</v>
      </c>
      <c r="P9827" s="6" t="s">
        <v>60630</v>
      </c>
      <c r="Q9827" s="6" t="s">
        <v>11087</v>
      </c>
      <c r="R9827" s="6" t="s">
        <v>64</v>
      </c>
      <c r="S9827" s="8" t="s">
        <v>36105</v>
      </c>
      <c r="T9827" s="6" t="s">
        <v>66</v>
      </c>
      <c r="U9827" s="8" t="s">
        <v>31</v>
      </c>
      <c r="V9827" s="6" t="s">
        <v>3665</v>
      </c>
      <c r="W9827" s="6" t="s">
        <v>60627</v>
      </c>
      <c r="X9827" s="9" t="str">
        <f>HYPERLINK("https://my.pitchbook.com?p=146234-62P","View People Online")</f>
        <v>View People Online</v>
      </c>
    </row>
    <row r="9828">
      <c r="A9828" s="2" t="s">
        <v>60656</v>
      </c>
      <c r="B9828" s="2" t="s">
        <v>60657</v>
      </c>
      <c r="C9828" s="2" t="s">
        <v>3811</v>
      </c>
      <c r="D9828" s="2" t="s">
        <v>60658</v>
      </c>
      <c r="E9828" s="2" t="s">
        <v>60627</v>
      </c>
      <c r="F9828" s="2" t="s">
        <v>470</v>
      </c>
      <c r="G9828" s="2" t="s">
        <v>60659</v>
      </c>
      <c r="H9828" s="3" t="s">
        <v>31</v>
      </c>
      <c r="I9828" s="3">
        <v>1.0</v>
      </c>
      <c r="J9828" s="3">
        <v>1.0</v>
      </c>
      <c r="K9828" s="3" t="s">
        <v>31</v>
      </c>
      <c r="L9828" s="4" t="s">
        <v>31</v>
      </c>
      <c r="M9828" s="2" t="s">
        <v>60660</v>
      </c>
      <c r="N9828" s="2" t="s">
        <v>36102</v>
      </c>
      <c r="O9828" s="4" t="s">
        <v>36103</v>
      </c>
      <c r="P9828" s="2" t="s">
        <v>60630</v>
      </c>
      <c r="Q9828" s="2" t="s">
        <v>11087</v>
      </c>
      <c r="R9828" s="2" t="s">
        <v>64</v>
      </c>
      <c r="S9828" s="4" t="s">
        <v>36105</v>
      </c>
      <c r="T9828" s="2" t="s">
        <v>66</v>
      </c>
      <c r="U9828" s="4" t="s">
        <v>31</v>
      </c>
      <c r="V9828" s="2" t="s">
        <v>470</v>
      </c>
      <c r="W9828" s="2" t="s">
        <v>60627</v>
      </c>
      <c r="X9828" s="5" t="str">
        <f>HYPERLINK("https://my.pitchbook.com?p=91043-29P","View People Online")</f>
        <v>View People Online</v>
      </c>
    </row>
    <row r="9829">
      <c r="A9829" s="14" t="s">
        <v>60661</v>
      </c>
      <c r="B9829" s="14" t="s">
        <v>60662</v>
      </c>
      <c r="C9829" s="14" t="s">
        <v>3977</v>
      </c>
      <c r="D9829" s="14" t="s">
        <v>48361</v>
      </c>
      <c r="E9829" s="14" t="s">
        <v>60627</v>
      </c>
      <c r="F9829" s="14" t="s">
        <v>371</v>
      </c>
      <c r="G9829" s="14" t="s">
        <v>60663</v>
      </c>
      <c r="H9829" s="15" t="s">
        <v>31</v>
      </c>
      <c r="I9829" s="15">
        <v>1.0</v>
      </c>
      <c r="J9829" s="15">
        <v>1.0</v>
      </c>
      <c r="K9829" s="15" t="s">
        <v>31</v>
      </c>
      <c r="L9829" s="16" t="s">
        <v>60639</v>
      </c>
      <c r="M9829" s="14" t="s">
        <v>60664</v>
      </c>
      <c r="N9829" s="14" t="s">
        <v>36102</v>
      </c>
      <c r="O9829" s="16" t="s">
        <v>36103</v>
      </c>
      <c r="P9829" s="14" t="s">
        <v>60630</v>
      </c>
      <c r="Q9829" s="14" t="s">
        <v>11087</v>
      </c>
      <c r="R9829" s="14" t="s">
        <v>64</v>
      </c>
      <c r="S9829" s="16" t="s">
        <v>36105</v>
      </c>
      <c r="T9829" s="14" t="s">
        <v>66</v>
      </c>
      <c r="U9829" s="16" t="s">
        <v>31</v>
      </c>
      <c r="V9829" s="14" t="s">
        <v>371</v>
      </c>
      <c r="W9829" s="14" t="s">
        <v>60627</v>
      </c>
      <c r="X9829" s="17" t="str">
        <f>HYPERLINK("https://my.pitchbook.com?p=130778-83P","View People Online")</f>
        <v>View People Online</v>
      </c>
    </row>
    <row r="9830">
      <c r="A9830" s="2" t="s">
        <v>60665</v>
      </c>
      <c r="B9830" s="2" t="s">
        <v>60666</v>
      </c>
      <c r="C9830" s="2" t="s">
        <v>44464</v>
      </c>
      <c r="D9830" s="2" t="s">
        <v>4314</v>
      </c>
      <c r="E9830" s="2" t="s">
        <v>60627</v>
      </c>
      <c r="F9830" s="2" t="s">
        <v>6567</v>
      </c>
      <c r="G9830" s="2" t="s">
        <v>60667</v>
      </c>
      <c r="H9830" s="3" t="s">
        <v>31</v>
      </c>
      <c r="I9830" s="3">
        <v>1.0</v>
      </c>
      <c r="J9830" s="3">
        <v>1.0</v>
      </c>
      <c r="K9830" s="3" t="s">
        <v>31</v>
      </c>
      <c r="L9830" s="4" t="s">
        <v>31</v>
      </c>
      <c r="M9830" s="2" t="s">
        <v>60668</v>
      </c>
      <c r="N9830" s="2" t="s">
        <v>36102</v>
      </c>
      <c r="O9830" s="4" t="s">
        <v>36103</v>
      </c>
      <c r="P9830" s="2" t="s">
        <v>60630</v>
      </c>
      <c r="Q9830" s="2" t="s">
        <v>11087</v>
      </c>
      <c r="R9830" s="2" t="s">
        <v>64</v>
      </c>
      <c r="S9830" s="4" t="s">
        <v>36105</v>
      </c>
      <c r="T9830" s="2" t="s">
        <v>66</v>
      </c>
      <c r="U9830" s="4" t="s">
        <v>31</v>
      </c>
      <c r="V9830" s="2" t="s">
        <v>6567</v>
      </c>
      <c r="W9830" s="2" t="s">
        <v>60627</v>
      </c>
      <c r="X9830" s="5" t="str">
        <f>HYPERLINK("https://my.pitchbook.com?p=454374-28P","View People Online")</f>
        <v>View People Online</v>
      </c>
    </row>
    <row r="9831">
      <c r="A9831" s="14" t="s">
        <v>60669</v>
      </c>
      <c r="B9831" s="14" t="s">
        <v>60670</v>
      </c>
      <c r="C9831" s="14" t="s">
        <v>126</v>
      </c>
      <c r="D9831" s="14" t="s">
        <v>60671</v>
      </c>
      <c r="E9831" s="14" t="s">
        <v>60627</v>
      </c>
      <c r="F9831" s="14" t="s">
        <v>1283</v>
      </c>
      <c r="G9831" s="14" t="s">
        <v>60672</v>
      </c>
      <c r="H9831" s="15" t="s">
        <v>31</v>
      </c>
      <c r="I9831" s="15">
        <v>2.0</v>
      </c>
      <c r="J9831" s="15">
        <v>2.0</v>
      </c>
      <c r="K9831" s="15" t="s">
        <v>31</v>
      </c>
      <c r="L9831" s="16" t="s">
        <v>31</v>
      </c>
      <c r="M9831" s="14" t="s">
        <v>60673</v>
      </c>
      <c r="N9831" s="14" t="s">
        <v>36102</v>
      </c>
      <c r="O9831" s="16" t="s">
        <v>36103</v>
      </c>
      <c r="P9831" s="14" t="s">
        <v>60630</v>
      </c>
      <c r="Q9831" s="14" t="s">
        <v>11087</v>
      </c>
      <c r="R9831" s="14" t="s">
        <v>64</v>
      </c>
      <c r="S9831" s="16" t="s">
        <v>36105</v>
      </c>
      <c r="T9831" s="14" t="s">
        <v>66</v>
      </c>
      <c r="U9831" s="16" t="s">
        <v>31</v>
      </c>
      <c r="V9831" s="14" t="s">
        <v>1283</v>
      </c>
      <c r="W9831" s="14" t="s">
        <v>60627</v>
      </c>
      <c r="X9831" s="17" t="str">
        <f>HYPERLINK("https://my.pitchbook.com?p=436183-03P","View People Online")</f>
        <v>View People Online</v>
      </c>
    </row>
    <row r="9832">
      <c r="A9832" s="2" t="s">
        <v>60674</v>
      </c>
      <c r="B9832" s="2" t="s">
        <v>60675</v>
      </c>
      <c r="C9832" s="2" t="s">
        <v>11992</v>
      </c>
      <c r="D9832" s="2" t="s">
        <v>60676</v>
      </c>
      <c r="E9832" s="2" t="s">
        <v>60627</v>
      </c>
      <c r="F9832" s="2" t="s">
        <v>583</v>
      </c>
      <c r="G9832" s="2" t="s">
        <v>60677</v>
      </c>
      <c r="H9832" s="3">
        <v>2.0</v>
      </c>
      <c r="I9832" s="3">
        <v>4.0</v>
      </c>
      <c r="J9832" s="3">
        <v>2.0</v>
      </c>
      <c r="K9832" s="3">
        <v>1.0</v>
      </c>
      <c r="L9832" s="4" t="s">
        <v>31</v>
      </c>
      <c r="M9832" s="2" t="s">
        <v>60678</v>
      </c>
      <c r="N9832" s="2" t="s">
        <v>36102</v>
      </c>
      <c r="O9832" s="4" t="s">
        <v>36103</v>
      </c>
      <c r="P9832" s="2" t="s">
        <v>60630</v>
      </c>
      <c r="Q9832" s="2" t="s">
        <v>11087</v>
      </c>
      <c r="R9832" s="2" t="s">
        <v>64</v>
      </c>
      <c r="S9832" s="4" t="s">
        <v>36105</v>
      </c>
      <c r="T9832" s="2" t="s">
        <v>66</v>
      </c>
      <c r="U9832" s="4" t="s">
        <v>31</v>
      </c>
      <c r="V9832" s="2" t="s">
        <v>583</v>
      </c>
      <c r="W9832" s="2" t="s">
        <v>60627</v>
      </c>
      <c r="X9832" s="5" t="str">
        <f>HYPERLINK("https://my.pitchbook.com?p=28861-66P","View People Online")</f>
        <v>View People Online</v>
      </c>
    </row>
    <row r="9833">
      <c r="A9833" s="6" t="s">
        <v>60679</v>
      </c>
      <c r="B9833" s="6" t="s">
        <v>60680</v>
      </c>
      <c r="C9833" s="6" t="s">
        <v>60681</v>
      </c>
      <c r="D9833" s="6" t="s">
        <v>27348</v>
      </c>
      <c r="E9833" s="6" t="s">
        <v>60627</v>
      </c>
      <c r="F9833" s="6" t="s">
        <v>2652</v>
      </c>
      <c r="G9833" s="6" t="s">
        <v>60682</v>
      </c>
      <c r="H9833" s="7">
        <v>5.0</v>
      </c>
      <c r="I9833" s="7">
        <v>13.0</v>
      </c>
      <c r="J9833" s="7">
        <v>1.0</v>
      </c>
      <c r="K9833" s="7">
        <v>7.0</v>
      </c>
      <c r="L9833" s="8" t="s">
        <v>31</v>
      </c>
      <c r="M9833" s="6" t="s">
        <v>60683</v>
      </c>
      <c r="N9833" s="6" t="s">
        <v>36102</v>
      </c>
      <c r="O9833" s="8" t="s">
        <v>36103</v>
      </c>
      <c r="P9833" s="6" t="s">
        <v>60630</v>
      </c>
      <c r="Q9833" s="6" t="s">
        <v>11087</v>
      </c>
      <c r="R9833" s="6" t="s">
        <v>64</v>
      </c>
      <c r="S9833" s="8" t="s">
        <v>36105</v>
      </c>
      <c r="T9833" s="6" t="s">
        <v>66</v>
      </c>
      <c r="U9833" s="8" t="s">
        <v>31</v>
      </c>
      <c r="V9833" s="6" t="s">
        <v>60684</v>
      </c>
      <c r="W9833" s="6" t="s">
        <v>60627</v>
      </c>
      <c r="X9833" s="9" t="str">
        <f>HYPERLINK("https://my.pitchbook.com?p=79494-76P","View People Online")</f>
        <v>View People Online</v>
      </c>
    </row>
    <row r="9834">
      <c r="A9834" s="2" t="s">
        <v>60685</v>
      </c>
      <c r="B9834" s="2" t="s">
        <v>60686</v>
      </c>
      <c r="C9834" s="2" t="s">
        <v>60687</v>
      </c>
      <c r="D9834" s="2" t="s">
        <v>4586</v>
      </c>
      <c r="E9834" s="2" t="s">
        <v>60627</v>
      </c>
      <c r="F9834" s="2" t="s">
        <v>825</v>
      </c>
      <c r="G9834" s="2" t="s">
        <v>60688</v>
      </c>
      <c r="H9834" s="3">
        <v>1.0</v>
      </c>
      <c r="I9834" s="3">
        <v>7.0</v>
      </c>
      <c r="J9834" s="3">
        <v>1.0</v>
      </c>
      <c r="K9834" s="3">
        <v>3.0</v>
      </c>
      <c r="L9834" s="4" t="s">
        <v>31</v>
      </c>
      <c r="M9834" s="2" t="s">
        <v>60689</v>
      </c>
      <c r="N9834" s="2" t="s">
        <v>36102</v>
      </c>
      <c r="O9834" s="4" t="s">
        <v>36103</v>
      </c>
      <c r="P9834" s="2" t="s">
        <v>60630</v>
      </c>
      <c r="Q9834" s="2" t="s">
        <v>11087</v>
      </c>
      <c r="R9834" s="2" t="s">
        <v>64</v>
      </c>
      <c r="S9834" s="4" t="s">
        <v>36105</v>
      </c>
      <c r="T9834" s="2" t="s">
        <v>66</v>
      </c>
      <c r="U9834" s="4" t="s">
        <v>31</v>
      </c>
      <c r="V9834" s="2" t="s">
        <v>60690</v>
      </c>
      <c r="W9834" s="2" t="s">
        <v>60627</v>
      </c>
      <c r="X9834" s="5" t="str">
        <f>HYPERLINK("https://my.pitchbook.com?p=145767-25P","View People Online")</f>
        <v>View People Online</v>
      </c>
    </row>
    <row r="9835">
      <c r="A9835" s="14" t="s">
        <v>60691</v>
      </c>
      <c r="B9835" s="14" t="s">
        <v>60692</v>
      </c>
      <c r="C9835" s="14" t="s">
        <v>22775</v>
      </c>
      <c r="D9835" s="14" t="s">
        <v>5302</v>
      </c>
      <c r="E9835" s="14" t="s">
        <v>60627</v>
      </c>
      <c r="F9835" s="14" t="s">
        <v>2590</v>
      </c>
      <c r="G9835" s="14" t="s">
        <v>60693</v>
      </c>
      <c r="H9835" s="15">
        <v>1.0</v>
      </c>
      <c r="I9835" s="15">
        <v>1.0</v>
      </c>
      <c r="J9835" s="15">
        <v>1.0</v>
      </c>
      <c r="K9835" s="15" t="s">
        <v>31</v>
      </c>
      <c r="L9835" s="16" t="s">
        <v>31</v>
      </c>
      <c r="M9835" s="14" t="s">
        <v>60694</v>
      </c>
      <c r="N9835" s="14" t="s">
        <v>36102</v>
      </c>
      <c r="O9835" s="16" t="s">
        <v>36103</v>
      </c>
      <c r="P9835" s="14" t="s">
        <v>60630</v>
      </c>
      <c r="Q9835" s="14" t="s">
        <v>11087</v>
      </c>
      <c r="R9835" s="14" t="s">
        <v>64</v>
      </c>
      <c r="S9835" s="16" t="s">
        <v>36105</v>
      </c>
      <c r="T9835" s="14" t="s">
        <v>66</v>
      </c>
      <c r="U9835" s="16" t="s">
        <v>31</v>
      </c>
      <c r="V9835" s="14" t="s">
        <v>12675</v>
      </c>
      <c r="W9835" s="14" t="s">
        <v>60627</v>
      </c>
      <c r="X9835" s="17" t="str">
        <f>HYPERLINK("https://my.pitchbook.com?p=91042-66P","View People Online")</f>
        <v>View People Online</v>
      </c>
    </row>
    <row r="9836">
      <c r="A9836" s="2" t="s">
        <v>60695</v>
      </c>
      <c r="B9836" s="2" t="s">
        <v>60696</v>
      </c>
      <c r="C9836" s="2" t="s">
        <v>22916</v>
      </c>
      <c r="D9836" s="2" t="s">
        <v>5302</v>
      </c>
      <c r="E9836" s="2" t="s">
        <v>60627</v>
      </c>
      <c r="F9836" s="2" t="s">
        <v>1283</v>
      </c>
      <c r="G9836" s="2" t="s">
        <v>60697</v>
      </c>
      <c r="H9836" s="3" t="s">
        <v>31</v>
      </c>
      <c r="I9836" s="3">
        <v>1.0</v>
      </c>
      <c r="J9836" s="3">
        <v>1.0</v>
      </c>
      <c r="K9836" s="3" t="s">
        <v>31</v>
      </c>
      <c r="L9836" s="4" t="s">
        <v>31</v>
      </c>
      <c r="M9836" s="2" t="s">
        <v>60698</v>
      </c>
      <c r="N9836" s="2" t="s">
        <v>36102</v>
      </c>
      <c r="O9836" s="4" t="s">
        <v>36103</v>
      </c>
      <c r="P9836" s="2" t="s">
        <v>60630</v>
      </c>
      <c r="Q9836" s="2" t="s">
        <v>11087</v>
      </c>
      <c r="R9836" s="2" t="s">
        <v>64</v>
      </c>
      <c r="S9836" s="4" t="s">
        <v>36105</v>
      </c>
      <c r="T9836" s="2" t="s">
        <v>66</v>
      </c>
      <c r="U9836" s="4" t="s">
        <v>31</v>
      </c>
      <c r="V9836" s="2" t="s">
        <v>1283</v>
      </c>
      <c r="W9836" s="2" t="s">
        <v>60627</v>
      </c>
      <c r="X9836" s="5" t="str">
        <f>HYPERLINK("https://my.pitchbook.com?p=91047-25P","View People Online")</f>
        <v>View People Online</v>
      </c>
    </row>
    <row r="9837">
      <c r="A9837" s="6" t="s">
        <v>60699</v>
      </c>
      <c r="B9837" s="6" t="s">
        <v>60700</v>
      </c>
      <c r="C9837" s="6" t="s">
        <v>13546</v>
      </c>
      <c r="D9837" s="6" t="s">
        <v>60701</v>
      </c>
      <c r="E9837" s="6" t="s">
        <v>60702</v>
      </c>
      <c r="F9837" s="6" t="s">
        <v>3823</v>
      </c>
      <c r="G9837" s="6" t="s">
        <v>60703</v>
      </c>
      <c r="H9837" s="7">
        <v>1.0</v>
      </c>
      <c r="I9837" s="7">
        <v>4.0</v>
      </c>
      <c r="J9837" s="7">
        <v>2.0</v>
      </c>
      <c r="K9837" s="7">
        <v>2.0</v>
      </c>
      <c r="L9837" s="8" t="s">
        <v>31</v>
      </c>
      <c r="M9837" s="6" t="s">
        <v>60704</v>
      </c>
      <c r="N9837" s="6" t="s">
        <v>31</v>
      </c>
      <c r="O9837" s="8" t="s">
        <v>422</v>
      </c>
      <c r="P9837" s="6" t="s">
        <v>60705</v>
      </c>
      <c r="Q9837" s="6" t="s">
        <v>31</v>
      </c>
      <c r="R9837" s="6" t="s">
        <v>31</v>
      </c>
      <c r="S9837" s="8" t="s">
        <v>31</v>
      </c>
      <c r="T9837" s="6" t="s">
        <v>422</v>
      </c>
      <c r="U9837" s="8" t="s">
        <v>31</v>
      </c>
      <c r="V9837" s="6" t="s">
        <v>3823</v>
      </c>
      <c r="W9837" s="6" t="s">
        <v>60702</v>
      </c>
      <c r="X9837" s="9" t="str">
        <f>HYPERLINK("https://my.pitchbook.com?p=290648-26P","View People Online")</f>
        <v>View People Online</v>
      </c>
    </row>
    <row r="9838">
      <c r="A9838" s="2" t="s">
        <v>60706</v>
      </c>
      <c r="B9838" s="2" t="s">
        <v>60707</v>
      </c>
      <c r="C9838" s="2" t="s">
        <v>2658</v>
      </c>
      <c r="D9838" s="2" t="s">
        <v>60708</v>
      </c>
      <c r="E9838" s="2" t="s">
        <v>60702</v>
      </c>
      <c r="F9838" s="2" t="s">
        <v>695</v>
      </c>
      <c r="G9838" s="2" t="s">
        <v>60709</v>
      </c>
      <c r="H9838" s="3" t="s">
        <v>31</v>
      </c>
      <c r="I9838" s="3">
        <v>1.0</v>
      </c>
      <c r="J9838" s="3">
        <v>1.0</v>
      </c>
      <c r="K9838" s="3" t="s">
        <v>31</v>
      </c>
      <c r="L9838" s="4" t="s">
        <v>31</v>
      </c>
      <c r="M9838" s="2" t="s">
        <v>60710</v>
      </c>
      <c r="N9838" s="2" t="s">
        <v>31</v>
      </c>
      <c r="O9838" s="4" t="s">
        <v>422</v>
      </c>
      <c r="P9838" s="2" t="s">
        <v>60705</v>
      </c>
      <c r="Q9838" s="2" t="s">
        <v>31</v>
      </c>
      <c r="R9838" s="2" t="s">
        <v>31</v>
      </c>
      <c r="S9838" s="4" t="s">
        <v>31</v>
      </c>
      <c r="T9838" s="2" t="s">
        <v>422</v>
      </c>
      <c r="U9838" s="4" t="s">
        <v>31</v>
      </c>
      <c r="V9838" s="2" t="s">
        <v>5440</v>
      </c>
      <c r="W9838" s="2" t="s">
        <v>60702</v>
      </c>
      <c r="X9838" s="5" t="str">
        <f>HYPERLINK("https://my.pitchbook.com?p=442488-25P","View People Online")</f>
        <v>View People Online</v>
      </c>
    </row>
    <row r="9839">
      <c r="A9839" s="14" t="s">
        <v>60711</v>
      </c>
      <c r="B9839" s="14" t="s">
        <v>60712</v>
      </c>
      <c r="C9839" s="14" t="s">
        <v>2658</v>
      </c>
      <c r="D9839" s="14" t="s">
        <v>60713</v>
      </c>
      <c r="E9839" s="14" t="s">
        <v>60702</v>
      </c>
      <c r="F9839" s="14" t="s">
        <v>318</v>
      </c>
      <c r="G9839" s="14" t="s">
        <v>60714</v>
      </c>
      <c r="H9839" s="15" t="s">
        <v>31</v>
      </c>
      <c r="I9839" s="15">
        <v>1.0</v>
      </c>
      <c r="J9839" s="15">
        <v>1.0</v>
      </c>
      <c r="K9839" s="15" t="s">
        <v>31</v>
      </c>
      <c r="L9839" s="16" t="s">
        <v>31</v>
      </c>
      <c r="M9839" s="14" t="s">
        <v>60715</v>
      </c>
      <c r="N9839" s="14" t="s">
        <v>2913</v>
      </c>
      <c r="O9839" s="16" t="s">
        <v>2914</v>
      </c>
      <c r="P9839" s="14" t="s">
        <v>60716</v>
      </c>
      <c r="Q9839" s="14" t="s">
        <v>60717</v>
      </c>
      <c r="R9839" s="14" t="s">
        <v>31</v>
      </c>
      <c r="S9839" s="16" t="s">
        <v>31</v>
      </c>
      <c r="T9839" s="14" t="s">
        <v>2917</v>
      </c>
      <c r="U9839" s="16" t="s">
        <v>31</v>
      </c>
      <c r="V9839" s="14" t="s">
        <v>318</v>
      </c>
      <c r="W9839" s="14" t="s">
        <v>60702</v>
      </c>
      <c r="X9839" s="17" t="str">
        <f>HYPERLINK("https://my.pitchbook.com?p=290649-79P","View People Online")</f>
        <v>View People Online</v>
      </c>
    </row>
    <row r="9840">
      <c r="A9840" s="10" t="s">
        <v>60718</v>
      </c>
      <c r="B9840" s="10" t="s">
        <v>60719</v>
      </c>
      <c r="C9840" s="10" t="s">
        <v>2833</v>
      </c>
      <c r="D9840" s="10" t="s">
        <v>60720</v>
      </c>
      <c r="E9840" s="10" t="s">
        <v>60702</v>
      </c>
      <c r="F9840" s="10" t="s">
        <v>695</v>
      </c>
      <c r="G9840" s="10" t="s">
        <v>60721</v>
      </c>
      <c r="H9840" s="11" t="s">
        <v>31</v>
      </c>
      <c r="I9840" s="11">
        <v>1.0</v>
      </c>
      <c r="J9840" s="11">
        <v>1.0</v>
      </c>
      <c r="K9840" s="11" t="s">
        <v>31</v>
      </c>
      <c r="L9840" s="12" t="s">
        <v>31</v>
      </c>
      <c r="M9840" s="10" t="s">
        <v>60722</v>
      </c>
      <c r="N9840" s="10" t="s">
        <v>31</v>
      </c>
      <c r="O9840" s="12" t="s">
        <v>422</v>
      </c>
      <c r="P9840" s="10" t="s">
        <v>60705</v>
      </c>
      <c r="Q9840" s="10" t="s">
        <v>31</v>
      </c>
      <c r="R9840" s="10" t="s">
        <v>31</v>
      </c>
      <c r="S9840" s="12" t="s">
        <v>31</v>
      </c>
      <c r="T9840" s="10" t="s">
        <v>422</v>
      </c>
      <c r="U9840" s="12" t="s">
        <v>31</v>
      </c>
      <c r="V9840" s="10" t="s">
        <v>60723</v>
      </c>
      <c r="W9840" s="10" t="s">
        <v>60702</v>
      </c>
      <c r="X9840" s="13" t="str">
        <f>HYPERLINK("https://my.pitchbook.com?p=442483-57P","View People Online")</f>
        <v>View People Online</v>
      </c>
    </row>
    <row r="9841">
      <c r="A9841" s="6" t="s">
        <v>60724</v>
      </c>
      <c r="B9841" s="6" t="s">
        <v>60725</v>
      </c>
      <c r="C9841" s="6" t="s">
        <v>3058</v>
      </c>
      <c r="D9841" s="6" t="s">
        <v>60726</v>
      </c>
      <c r="E9841" s="6" t="s">
        <v>60702</v>
      </c>
      <c r="F9841" s="6" t="s">
        <v>270</v>
      </c>
      <c r="G9841" s="6" t="s">
        <v>60727</v>
      </c>
      <c r="H9841" s="7" t="s">
        <v>31</v>
      </c>
      <c r="I9841" s="7">
        <v>1.0</v>
      </c>
      <c r="J9841" s="7">
        <v>1.0</v>
      </c>
      <c r="K9841" s="7" t="s">
        <v>31</v>
      </c>
      <c r="L9841" s="8" t="s">
        <v>31</v>
      </c>
      <c r="M9841" s="6" t="s">
        <v>31</v>
      </c>
      <c r="N9841" s="6" t="s">
        <v>31</v>
      </c>
      <c r="O9841" s="8" t="s">
        <v>422</v>
      </c>
      <c r="P9841" s="6" t="s">
        <v>60705</v>
      </c>
      <c r="Q9841" s="6" t="s">
        <v>31</v>
      </c>
      <c r="R9841" s="6" t="s">
        <v>31</v>
      </c>
      <c r="S9841" s="8" t="s">
        <v>31</v>
      </c>
      <c r="T9841" s="6" t="s">
        <v>422</v>
      </c>
      <c r="U9841" s="8" t="s">
        <v>31</v>
      </c>
      <c r="V9841" s="6" t="s">
        <v>440</v>
      </c>
      <c r="W9841" s="6" t="s">
        <v>60702</v>
      </c>
      <c r="X9841" s="9" t="str">
        <f>HYPERLINK("https://my.pitchbook.com?p=442480-87P","View People Online")</f>
        <v>View People Online</v>
      </c>
    </row>
    <row r="9842">
      <c r="A9842" s="10" t="s">
        <v>60728</v>
      </c>
      <c r="B9842" s="10" t="s">
        <v>60729</v>
      </c>
      <c r="C9842" s="10" t="s">
        <v>2221</v>
      </c>
      <c r="D9842" s="10" t="s">
        <v>14905</v>
      </c>
      <c r="E9842" s="10" t="s">
        <v>60702</v>
      </c>
      <c r="F9842" s="10" t="s">
        <v>270</v>
      </c>
      <c r="G9842" s="10" t="s">
        <v>60730</v>
      </c>
      <c r="H9842" s="11" t="s">
        <v>31</v>
      </c>
      <c r="I9842" s="11">
        <v>1.0</v>
      </c>
      <c r="J9842" s="11">
        <v>1.0</v>
      </c>
      <c r="K9842" s="11" t="s">
        <v>31</v>
      </c>
      <c r="L9842" s="12" t="s">
        <v>31</v>
      </c>
      <c r="M9842" s="10" t="s">
        <v>31</v>
      </c>
      <c r="N9842" s="10" t="s">
        <v>31</v>
      </c>
      <c r="O9842" s="12" t="s">
        <v>422</v>
      </c>
      <c r="P9842" s="10" t="s">
        <v>60705</v>
      </c>
      <c r="Q9842" s="10" t="s">
        <v>31</v>
      </c>
      <c r="R9842" s="10" t="s">
        <v>31</v>
      </c>
      <c r="S9842" s="12" t="s">
        <v>31</v>
      </c>
      <c r="T9842" s="10" t="s">
        <v>422</v>
      </c>
      <c r="U9842" s="12" t="s">
        <v>31</v>
      </c>
      <c r="V9842" s="10" t="s">
        <v>440</v>
      </c>
      <c r="W9842" s="10" t="s">
        <v>60702</v>
      </c>
      <c r="X9842" s="13" t="str">
        <f>HYPERLINK("https://my.pitchbook.com?p=442473-49P","View People Online")</f>
        <v>View People Online</v>
      </c>
    </row>
    <row r="9843">
      <c r="A9843" s="14" t="s">
        <v>60731</v>
      </c>
      <c r="B9843" s="14" t="s">
        <v>60732</v>
      </c>
      <c r="C9843" s="14" t="s">
        <v>9239</v>
      </c>
      <c r="D9843" s="14" t="s">
        <v>60733</v>
      </c>
      <c r="E9843" s="14" t="s">
        <v>60702</v>
      </c>
      <c r="F9843" s="14" t="s">
        <v>3665</v>
      </c>
      <c r="G9843" s="14" t="s">
        <v>60734</v>
      </c>
      <c r="H9843" s="15" t="s">
        <v>31</v>
      </c>
      <c r="I9843" s="15">
        <v>2.0</v>
      </c>
      <c r="J9843" s="15">
        <v>2.0</v>
      </c>
      <c r="K9843" s="15" t="s">
        <v>31</v>
      </c>
      <c r="L9843" s="16" t="s">
        <v>31</v>
      </c>
      <c r="M9843" s="14" t="s">
        <v>60735</v>
      </c>
      <c r="N9843" s="14" t="s">
        <v>2913</v>
      </c>
      <c r="O9843" s="16" t="s">
        <v>2914</v>
      </c>
      <c r="P9843" s="14" t="s">
        <v>60736</v>
      </c>
      <c r="Q9843" s="14" t="s">
        <v>59329</v>
      </c>
      <c r="R9843" s="14" t="s">
        <v>31</v>
      </c>
      <c r="S9843" s="16" t="s">
        <v>60737</v>
      </c>
      <c r="T9843" s="14" t="s">
        <v>2917</v>
      </c>
      <c r="U9843" s="16" t="s">
        <v>31</v>
      </c>
      <c r="V9843" s="14" t="s">
        <v>3665</v>
      </c>
      <c r="W9843" s="14" t="s">
        <v>60738</v>
      </c>
      <c r="X9843" s="17" t="str">
        <f>HYPERLINK("https://my.pitchbook.com?p=290652-22P","View People Online")</f>
        <v>View People Online</v>
      </c>
    </row>
    <row r="9844">
      <c r="A9844" s="10" t="s">
        <v>60739</v>
      </c>
      <c r="B9844" s="10" t="s">
        <v>60740</v>
      </c>
      <c r="C9844" s="10" t="s">
        <v>60741</v>
      </c>
      <c r="D9844" s="10" t="s">
        <v>28601</v>
      </c>
      <c r="E9844" s="10" t="s">
        <v>60702</v>
      </c>
      <c r="F9844" s="10" t="s">
        <v>270</v>
      </c>
      <c r="G9844" s="10" t="s">
        <v>60742</v>
      </c>
      <c r="H9844" s="11" t="s">
        <v>31</v>
      </c>
      <c r="I9844" s="11">
        <v>1.0</v>
      </c>
      <c r="J9844" s="11">
        <v>1.0</v>
      </c>
      <c r="K9844" s="11" t="s">
        <v>31</v>
      </c>
      <c r="L9844" s="12" t="s">
        <v>31</v>
      </c>
      <c r="M9844" s="10" t="s">
        <v>31</v>
      </c>
      <c r="N9844" s="10" t="s">
        <v>2913</v>
      </c>
      <c r="O9844" s="12" t="s">
        <v>2914</v>
      </c>
      <c r="P9844" s="10" t="s">
        <v>60716</v>
      </c>
      <c r="Q9844" s="10" t="s">
        <v>60717</v>
      </c>
      <c r="R9844" s="10" t="s">
        <v>31</v>
      </c>
      <c r="S9844" s="12" t="s">
        <v>31</v>
      </c>
      <c r="T9844" s="10" t="s">
        <v>2917</v>
      </c>
      <c r="U9844" s="12" t="s">
        <v>31</v>
      </c>
      <c r="V9844" s="10" t="s">
        <v>440</v>
      </c>
      <c r="W9844" s="10" t="s">
        <v>60702</v>
      </c>
      <c r="X9844" s="13" t="str">
        <f>HYPERLINK("https://my.pitchbook.com?p=290650-33P","View People Online")</f>
        <v>View People Online</v>
      </c>
    </row>
    <row r="9845">
      <c r="A9845" s="14" t="s">
        <v>60743</v>
      </c>
      <c r="B9845" s="14" t="s">
        <v>60744</v>
      </c>
      <c r="C9845" s="14" t="s">
        <v>1117</v>
      </c>
      <c r="D9845" s="14" t="s">
        <v>60745</v>
      </c>
      <c r="E9845" s="14" t="s">
        <v>60746</v>
      </c>
      <c r="F9845" s="14" t="s">
        <v>1283</v>
      </c>
      <c r="G9845" s="14" t="s">
        <v>60747</v>
      </c>
      <c r="H9845" s="15">
        <v>1.0</v>
      </c>
      <c r="I9845" s="15">
        <v>3.0</v>
      </c>
      <c r="J9845" s="15">
        <v>2.0</v>
      </c>
      <c r="K9845" s="15">
        <v>1.0</v>
      </c>
      <c r="L9845" s="16" t="s">
        <v>60748</v>
      </c>
      <c r="M9845" s="14" t="s">
        <v>60749</v>
      </c>
      <c r="N9845" s="14" t="s">
        <v>4232</v>
      </c>
      <c r="O9845" s="16" t="s">
        <v>4233</v>
      </c>
      <c r="P9845" s="14" t="s">
        <v>60750</v>
      </c>
      <c r="Q9845" s="14" t="s">
        <v>29446</v>
      </c>
      <c r="R9845" s="14" t="s">
        <v>4236</v>
      </c>
      <c r="S9845" s="16" t="s">
        <v>11182</v>
      </c>
      <c r="T9845" s="14" t="s">
        <v>66</v>
      </c>
      <c r="U9845" s="16" t="s">
        <v>31</v>
      </c>
      <c r="V9845" s="14" t="s">
        <v>1283</v>
      </c>
      <c r="W9845" s="14" t="s">
        <v>60746</v>
      </c>
      <c r="X9845" s="17" t="str">
        <f>HYPERLINK("https://my.pitchbook.com?p=84492-10P","View People Online")</f>
        <v>View People Online</v>
      </c>
    </row>
    <row r="9846">
      <c r="A9846" s="10" t="s">
        <v>60751</v>
      </c>
      <c r="B9846" s="10" t="s">
        <v>60752</v>
      </c>
      <c r="C9846" s="10" t="s">
        <v>1117</v>
      </c>
      <c r="D9846" s="10" t="s">
        <v>60753</v>
      </c>
      <c r="E9846" s="10" t="s">
        <v>60746</v>
      </c>
      <c r="F9846" s="10" t="s">
        <v>371</v>
      </c>
      <c r="G9846" s="10" t="s">
        <v>60754</v>
      </c>
      <c r="H9846" s="11" t="s">
        <v>31</v>
      </c>
      <c r="I9846" s="11">
        <v>1.0</v>
      </c>
      <c r="J9846" s="11">
        <v>1.0</v>
      </c>
      <c r="K9846" s="11" t="s">
        <v>31</v>
      </c>
      <c r="L9846" s="12" t="s">
        <v>60755</v>
      </c>
      <c r="M9846" s="10" t="s">
        <v>60756</v>
      </c>
      <c r="N9846" s="10" t="s">
        <v>4232</v>
      </c>
      <c r="O9846" s="12" t="s">
        <v>4233</v>
      </c>
      <c r="P9846" s="10" t="s">
        <v>60750</v>
      </c>
      <c r="Q9846" s="10" t="s">
        <v>29446</v>
      </c>
      <c r="R9846" s="10" t="s">
        <v>4236</v>
      </c>
      <c r="S9846" s="12" t="s">
        <v>11182</v>
      </c>
      <c r="T9846" s="10" t="s">
        <v>66</v>
      </c>
      <c r="U9846" s="12" t="s">
        <v>31</v>
      </c>
      <c r="V9846" s="10" t="s">
        <v>60757</v>
      </c>
      <c r="W9846" s="10" t="s">
        <v>60746</v>
      </c>
      <c r="X9846" s="13" t="str">
        <f>HYPERLINK("https://my.pitchbook.com?p=105512-86P","View People Online")</f>
        <v>View People Online</v>
      </c>
    </row>
    <row r="9847">
      <c r="A9847" s="6" t="s">
        <v>60758</v>
      </c>
      <c r="B9847" s="6" t="s">
        <v>60759</v>
      </c>
      <c r="C9847" s="6" t="s">
        <v>1117</v>
      </c>
      <c r="D9847" s="6" t="s">
        <v>60760</v>
      </c>
      <c r="E9847" s="6" t="s">
        <v>60746</v>
      </c>
      <c r="F9847" s="6" t="s">
        <v>371</v>
      </c>
      <c r="G9847" s="6" t="s">
        <v>60761</v>
      </c>
      <c r="H9847" s="7" t="s">
        <v>31</v>
      </c>
      <c r="I9847" s="7">
        <v>1.0</v>
      </c>
      <c r="J9847" s="7">
        <v>1.0</v>
      </c>
      <c r="K9847" s="7" t="s">
        <v>31</v>
      </c>
      <c r="L9847" s="8" t="s">
        <v>60748</v>
      </c>
      <c r="M9847" s="6" t="s">
        <v>60762</v>
      </c>
      <c r="N9847" s="6" t="s">
        <v>4232</v>
      </c>
      <c r="O9847" s="8" t="s">
        <v>4233</v>
      </c>
      <c r="P9847" s="6" t="s">
        <v>60750</v>
      </c>
      <c r="Q9847" s="6" t="s">
        <v>29446</v>
      </c>
      <c r="R9847" s="6" t="s">
        <v>4236</v>
      </c>
      <c r="S9847" s="8" t="s">
        <v>11182</v>
      </c>
      <c r="T9847" s="6" t="s">
        <v>66</v>
      </c>
      <c r="U9847" s="8" t="s">
        <v>31</v>
      </c>
      <c r="V9847" s="6" t="s">
        <v>60763</v>
      </c>
      <c r="W9847" s="6" t="s">
        <v>60746</v>
      </c>
      <c r="X9847" s="9" t="str">
        <f>HYPERLINK("https://my.pitchbook.com?p=151915-78P","View People Online")</f>
        <v>View People Online</v>
      </c>
    </row>
    <row r="9848">
      <c r="A9848" s="10" t="s">
        <v>60764</v>
      </c>
      <c r="B9848" s="10" t="s">
        <v>60765</v>
      </c>
      <c r="C9848" s="10" t="s">
        <v>4306</v>
      </c>
      <c r="D9848" s="10" t="s">
        <v>43706</v>
      </c>
      <c r="E9848" s="10" t="s">
        <v>60746</v>
      </c>
      <c r="F9848" s="10" t="s">
        <v>548</v>
      </c>
      <c r="G9848" s="10" t="s">
        <v>60766</v>
      </c>
      <c r="H9848" s="11" t="s">
        <v>31</v>
      </c>
      <c r="I9848" s="11">
        <v>2.0</v>
      </c>
      <c r="J9848" s="11">
        <v>2.0</v>
      </c>
      <c r="K9848" s="11" t="s">
        <v>31</v>
      </c>
      <c r="L9848" s="12" t="s">
        <v>60767</v>
      </c>
      <c r="M9848" s="10" t="s">
        <v>60768</v>
      </c>
      <c r="N9848" s="10" t="s">
        <v>4232</v>
      </c>
      <c r="O9848" s="12" t="s">
        <v>4233</v>
      </c>
      <c r="P9848" s="10" t="s">
        <v>60769</v>
      </c>
      <c r="Q9848" s="10" t="s">
        <v>31</v>
      </c>
      <c r="R9848" s="10" t="s">
        <v>4236</v>
      </c>
      <c r="S9848" s="12" t="s">
        <v>47772</v>
      </c>
      <c r="T9848" s="10" t="s">
        <v>66</v>
      </c>
      <c r="U9848" s="12" t="s">
        <v>31</v>
      </c>
      <c r="V9848" s="10" t="s">
        <v>558</v>
      </c>
      <c r="W9848" s="10" t="s">
        <v>60770</v>
      </c>
      <c r="X9848" s="13" t="str">
        <f>HYPERLINK("https://my.pitchbook.com?p=311275-63P","View People Online")</f>
        <v>View People Online</v>
      </c>
    </row>
    <row r="9849">
      <c r="A9849" s="6" t="s">
        <v>60771</v>
      </c>
      <c r="B9849" s="6" t="s">
        <v>60772</v>
      </c>
      <c r="C9849" s="6" t="s">
        <v>27062</v>
      </c>
      <c r="D9849" s="6" t="s">
        <v>60773</v>
      </c>
      <c r="E9849" s="6" t="s">
        <v>60746</v>
      </c>
      <c r="F9849" s="6" t="s">
        <v>86</v>
      </c>
      <c r="G9849" s="6" t="s">
        <v>60774</v>
      </c>
      <c r="H9849" s="7" t="s">
        <v>31</v>
      </c>
      <c r="I9849" s="7">
        <v>1.0</v>
      </c>
      <c r="J9849" s="7">
        <v>1.0</v>
      </c>
      <c r="K9849" s="7" t="s">
        <v>31</v>
      </c>
      <c r="L9849" s="8" t="s">
        <v>60748</v>
      </c>
      <c r="M9849" s="6" t="s">
        <v>60775</v>
      </c>
      <c r="N9849" s="6" t="s">
        <v>4232</v>
      </c>
      <c r="O9849" s="8" t="s">
        <v>4233</v>
      </c>
      <c r="P9849" s="6" t="s">
        <v>60750</v>
      </c>
      <c r="Q9849" s="6" t="s">
        <v>29446</v>
      </c>
      <c r="R9849" s="6" t="s">
        <v>4236</v>
      </c>
      <c r="S9849" s="8" t="s">
        <v>11182</v>
      </c>
      <c r="T9849" s="6" t="s">
        <v>66</v>
      </c>
      <c r="U9849" s="8" t="s">
        <v>31</v>
      </c>
      <c r="V9849" s="6" t="s">
        <v>95</v>
      </c>
      <c r="W9849" s="6" t="s">
        <v>60746</v>
      </c>
      <c r="X9849" s="9" t="str">
        <f>HYPERLINK("https://my.pitchbook.com?p=83530-00P","View People Online")</f>
        <v>View People Online</v>
      </c>
    </row>
    <row r="9850">
      <c r="A9850" s="10" t="s">
        <v>60776</v>
      </c>
      <c r="B9850" s="10" t="s">
        <v>60777</v>
      </c>
      <c r="C9850" s="10" t="s">
        <v>58034</v>
      </c>
      <c r="D9850" s="10" t="s">
        <v>60778</v>
      </c>
      <c r="E9850" s="10" t="s">
        <v>60746</v>
      </c>
      <c r="F9850" s="10" t="s">
        <v>201</v>
      </c>
      <c r="G9850" s="10" t="s">
        <v>60779</v>
      </c>
      <c r="H9850" s="11" t="s">
        <v>31</v>
      </c>
      <c r="I9850" s="11">
        <v>1.0</v>
      </c>
      <c r="J9850" s="11">
        <v>1.0</v>
      </c>
      <c r="K9850" s="11" t="s">
        <v>31</v>
      </c>
      <c r="L9850" s="12" t="s">
        <v>60748</v>
      </c>
      <c r="M9850" s="10" t="s">
        <v>60780</v>
      </c>
      <c r="N9850" s="10" t="s">
        <v>4232</v>
      </c>
      <c r="O9850" s="12" t="s">
        <v>4233</v>
      </c>
      <c r="P9850" s="10" t="s">
        <v>60750</v>
      </c>
      <c r="Q9850" s="10" t="s">
        <v>29446</v>
      </c>
      <c r="R9850" s="10" t="s">
        <v>4236</v>
      </c>
      <c r="S9850" s="12" t="s">
        <v>11182</v>
      </c>
      <c r="T9850" s="10" t="s">
        <v>66</v>
      </c>
      <c r="U9850" s="12" t="s">
        <v>31</v>
      </c>
      <c r="V9850" s="10" t="s">
        <v>60781</v>
      </c>
      <c r="W9850" s="10" t="s">
        <v>60746</v>
      </c>
      <c r="X9850" s="13" t="str">
        <f>HYPERLINK("https://my.pitchbook.com?p=318782-71P","View People Online")</f>
        <v>View People Online</v>
      </c>
    </row>
    <row r="9851">
      <c r="A9851" s="14" t="s">
        <v>60782</v>
      </c>
      <c r="B9851" s="14" t="s">
        <v>60783</v>
      </c>
      <c r="C9851" s="14" t="s">
        <v>60784</v>
      </c>
      <c r="D9851" s="14" t="s">
        <v>60785</v>
      </c>
      <c r="E9851" s="14" t="s">
        <v>60746</v>
      </c>
      <c r="F9851" s="14" t="s">
        <v>3600</v>
      </c>
      <c r="G9851" s="14" t="s">
        <v>60786</v>
      </c>
      <c r="H9851" s="15" t="s">
        <v>31</v>
      </c>
      <c r="I9851" s="15">
        <v>1.0</v>
      </c>
      <c r="J9851" s="15">
        <v>1.0</v>
      </c>
      <c r="K9851" s="15" t="s">
        <v>31</v>
      </c>
      <c r="L9851" s="16" t="s">
        <v>60748</v>
      </c>
      <c r="M9851" s="14" t="s">
        <v>60787</v>
      </c>
      <c r="N9851" s="14" t="s">
        <v>4232</v>
      </c>
      <c r="O9851" s="16" t="s">
        <v>4233</v>
      </c>
      <c r="P9851" s="14" t="s">
        <v>60750</v>
      </c>
      <c r="Q9851" s="14" t="s">
        <v>29446</v>
      </c>
      <c r="R9851" s="14" t="s">
        <v>4236</v>
      </c>
      <c r="S9851" s="16" t="s">
        <v>11182</v>
      </c>
      <c r="T9851" s="14" t="s">
        <v>66</v>
      </c>
      <c r="U9851" s="16" t="s">
        <v>31</v>
      </c>
      <c r="V9851" s="14" t="s">
        <v>60788</v>
      </c>
      <c r="W9851" s="14" t="s">
        <v>60746</v>
      </c>
      <c r="X9851" s="17" t="str">
        <f>HYPERLINK("https://my.pitchbook.com?p=241698-25P","View People Online")</f>
        <v>View People Online</v>
      </c>
    </row>
    <row r="9852">
      <c r="A9852" s="10" t="s">
        <v>60789</v>
      </c>
      <c r="B9852" s="10" t="s">
        <v>60790</v>
      </c>
      <c r="C9852" s="10" t="s">
        <v>25350</v>
      </c>
      <c r="D9852" s="10" t="s">
        <v>60791</v>
      </c>
      <c r="E9852" s="10" t="s">
        <v>60746</v>
      </c>
      <c r="F9852" s="10" t="s">
        <v>1167</v>
      </c>
      <c r="G9852" s="10" t="s">
        <v>60792</v>
      </c>
      <c r="H9852" s="11">
        <v>3.0</v>
      </c>
      <c r="I9852" s="11">
        <v>9.0</v>
      </c>
      <c r="J9852" s="11">
        <v>2.0</v>
      </c>
      <c r="K9852" s="11">
        <v>5.0</v>
      </c>
      <c r="L9852" s="12" t="s">
        <v>60748</v>
      </c>
      <c r="M9852" s="10" t="s">
        <v>60793</v>
      </c>
      <c r="N9852" s="10" t="s">
        <v>4232</v>
      </c>
      <c r="O9852" s="12" t="s">
        <v>4233</v>
      </c>
      <c r="P9852" s="10" t="s">
        <v>60750</v>
      </c>
      <c r="Q9852" s="10" t="s">
        <v>29446</v>
      </c>
      <c r="R9852" s="10" t="s">
        <v>4236</v>
      </c>
      <c r="S9852" s="12" t="s">
        <v>11182</v>
      </c>
      <c r="T9852" s="10" t="s">
        <v>66</v>
      </c>
      <c r="U9852" s="12" t="s">
        <v>31</v>
      </c>
      <c r="V9852" s="10" t="s">
        <v>991</v>
      </c>
      <c r="W9852" s="10" t="s">
        <v>60746</v>
      </c>
      <c r="X9852" s="13" t="str">
        <f>HYPERLINK("https://my.pitchbook.com?p=83535-04P","View People Online")</f>
        <v>View People Online</v>
      </c>
    </row>
    <row r="9853">
      <c r="A9853" s="6" t="s">
        <v>60794</v>
      </c>
      <c r="B9853" s="6" t="s">
        <v>60795</v>
      </c>
      <c r="C9853" s="6" t="s">
        <v>568</v>
      </c>
      <c r="D9853" s="6" t="s">
        <v>4550</v>
      </c>
      <c r="E9853" s="6" t="s">
        <v>27079</v>
      </c>
      <c r="F9853" s="6" t="s">
        <v>916</v>
      </c>
      <c r="G9853" s="6" t="s">
        <v>60796</v>
      </c>
      <c r="H9853" s="7" t="s">
        <v>31</v>
      </c>
      <c r="I9853" s="7">
        <v>32.0</v>
      </c>
      <c r="J9853" s="7">
        <v>1.0</v>
      </c>
      <c r="K9853" s="7">
        <v>31.0</v>
      </c>
      <c r="L9853" s="8" t="s">
        <v>27075</v>
      </c>
      <c r="M9853" s="6" t="s">
        <v>60797</v>
      </c>
      <c r="N9853" s="6" t="s">
        <v>6588</v>
      </c>
      <c r="O9853" s="8" t="s">
        <v>6589</v>
      </c>
      <c r="P9853" s="6" t="s">
        <v>27076</v>
      </c>
      <c r="Q9853" s="6" t="s">
        <v>31</v>
      </c>
      <c r="R9853" s="6" t="s">
        <v>93</v>
      </c>
      <c r="S9853" s="8" t="s">
        <v>27077</v>
      </c>
      <c r="T9853" s="6" t="s">
        <v>66</v>
      </c>
      <c r="U9853" s="8" t="s">
        <v>31</v>
      </c>
      <c r="V9853" s="6" t="s">
        <v>60798</v>
      </c>
      <c r="W9853" s="6" t="s">
        <v>27079</v>
      </c>
      <c r="X9853" s="9" t="str">
        <f>HYPERLINK("https://my.pitchbook.com?p=289888-03P","View People Online")</f>
        <v>View People Online</v>
      </c>
    </row>
    <row r="9854">
      <c r="A9854" s="10" t="s">
        <v>60799</v>
      </c>
      <c r="B9854" s="10" t="s">
        <v>60800</v>
      </c>
      <c r="C9854" s="10" t="s">
        <v>13830</v>
      </c>
      <c r="D9854" s="10" t="s">
        <v>60801</v>
      </c>
      <c r="E9854" s="10" t="s">
        <v>27079</v>
      </c>
      <c r="F9854" s="10" t="s">
        <v>1283</v>
      </c>
      <c r="G9854" s="10" t="s">
        <v>60802</v>
      </c>
      <c r="H9854" s="11">
        <v>3.0</v>
      </c>
      <c r="I9854" s="11">
        <v>30.0</v>
      </c>
      <c r="J9854" s="11">
        <v>1.0</v>
      </c>
      <c r="K9854" s="11">
        <v>23.0</v>
      </c>
      <c r="L9854" s="12" t="s">
        <v>27075</v>
      </c>
      <c r="M9854" s="10" t="s">
        <v>60803</v>
      </c>
      <c r="N9854" s="10" t="s">
        <v>6588</v>
      </c>
      <c r="O9854" s="12" t="s">
        <v>6589</v>
      </c>
      <c r="P9854" s="10" t="s">
        <v>27076</v>
      </c>
      <c r="Q9854" s="10" t="s">
        <v>31</v>
      </c>
      <c r="R9854" s="10" t="s">
        <v>93</v>
      </c>
      <c r="S9854" s="12" t="s">
        <v>27077</v>
      </c>
      <c r="T9854" s="10" t="s">
        <v>66</v>
      </c>
      <c r="U9854" s="12" t="s">
        <v>31</v>
      </c>
      <c r="V9854" s="10" t="s">
        <v>1283</v>
      </c>
      <c r="W9854" s="10" t="s">
        <v>27079</v>
      </c>
      <c r="X9854" s="13" t="str">
        <f>HYPERLINK("https://my.pitchbook.com?p=60411-34P","View People Online")</f>
        <v>View People Online</v>
      </c>
    </row>
    <row r="9855">
      <c r="A9855" s="6" t="s">
        <v>60804</v>
      </c>
      <c r="B9855" s="6" t="s">
        <v>60805</v>
      </c>
      <c r="C9855" s="6" t="s">
        <v>60806</v>
      </c>
      <c r="D9855" s="6" t="s">
        <v>46083</v>
      </c>
      <c r="E9855" s="6" t="s">
        <v>27079</v>
      </c>
      <c r="F9855" s="6" t="s">
        <v>548</v>
      </c>
      <c r="G9855" s="6" t="s">
        <v>60807</v>
      </c>
      <c r="H9855" s="7" t="s">
        <v>31</v>
      </c>
      <c r="I9855" s="7">
        <v>2.0</v>
      </c>
      <c r="J9855" s="7">
        <v>1.0</v>
      </c>
      <c r="K9855" s="7">
        <v>1.0</v>
      </c>
      <c r="L9855" s="8" t="s">
        <v>31</v>
      </c>
      <c r="M9855" s="6" t="s">
        <v>60808</v>
      </c>
      <c r="N9855" s="6" t="s">
        <v>75</v>
      </c>
      <c r="O9855" s="8" t="s">
        <v>76</v>
      </c>
      <c r="P9855" s="6" t="s">
        <v>60809</v>
      </c>
      <c r="Q9855" s="6" t="s">
        <v>60810</v>
      </c>
      <c r="R9855" s="6" t="s">
        <v>75</v>
      </c>
      <c r="S9855" s="8" t="s">
        <v>60811</v>
      </c>
      <c r="T9855" s="6" t="s">
        <v>66</v>
      </c>
      <c r="U9855" s="8" t="s">
        <v>31</v>
      </c>
      <c r="V9855" s="6" t="s">
        <v>60812</v>
      </c>
      <c r="W9855" s="6" t="s">
        <v>27079</v>
      </c>
      <c r="X9855" s="9" t="str">
        <f>HYPERLINK("https://my.pitchbook.com?p=438025-15P","View People Online")</f>
        <v>View People Online</v>
      </c>
    </row>
    <row r="9856">
      <c r="A9856" s="2" t="s">
        <v>60813</v>
      </c>
      <c r="B9856" s="2" t="s">
        <v>60814</v>
      </c>
      <c r="C9856" s="2" t="s">
        <v>14165</v>
      </c>
      <c r="D9856" s="2" t="s">
        <v>60815</v>
      </c>
      <c r="E9856" s="2" t="s">
        <v>27079</v>
      </c>
      <c r="F9856" s="2" t="s">
        <v>1283</v>
      </c>
      <c r="G9856" s="2" t="s">
        <v>60816</v>
      </c>
      <c r="H9856" s="3">
        <v>1.0</v>
      </c>
      <c r="I9856" s="3">
        <v>71.0</v>
      </c>
      <c r="J9856" s="3">
        <v>4.0</v>
      </c>
      <c r="K9856" s="3">
        <v>61.0</v>
      </c>
      <c r="L9856" s="4" t="s">
        <v>31</v>
      </c>
      <c r="M9856" s="2" t="s">
        <v>31</v>
      </c>
      <c r="N9856" s="2" t="s">
        <v>75</v>
      </c>
      <c r="O9856" s="4" t="s">
        <v>76</v>
      </c>
      <c r="P9856" s="2" t="s">
        <v>60817</v>
      </c>
      <c r="Q9856" s="2" t="s">
        <v>31</v>
      </c>
      <c r="R9856" s="2" t="s">
        <v>75</v>
      </c>
      <c r="S9856" s="4" t="s">
        <v>28963</v>
      </c>
      <c r="T9856" s="2" t="s">
        <v>66</v>
      </c>
      <c r="U9856" s="4" t="s">
        <v>31</v>
      </c>
      <c r="V9856" s="2" t="s">
        <v>86</v>
      </c>
      <c r="W9856" s="2" t="s">
        <v>60818</v>
      </c>
      <c r="X9856" s="5" t="str">
        <f>HYPERLINK("https://my.pitchbook.com?p=46433-35P","View People Online")</f>
        <v>View People Online</v>
      </c>
    </row>
    <row r="9857">
      <c r="A9857" s="14" t="s">
        <v>60819</v>
      </c>
      <c r="B9857" s="14" t="s">
        <v>60820</v>
      </c>
      <c r="C9857" s="14" t="s">
        <v>1117</v>
      </c>
      <c r="D9857" s="14" t="s">
        <v>60821</v>
      </c>
      <c r="E9857" s="14" t="s">
        <v>27079</v>
      </c>
      <c r="F9857" s="14" t="s">
        <v>3823</v>
      </c>
      <c r="G9857" s="14" t="s">
        <v>60822</v>
      </c>
      <c r="H9857" s="15">
        <v>3.0</v>
      </c>
      <c r="I9857" s="15">
        <v>40.0</v>
      </c>
      <c r="J9857" s="15">
        <v>1.0</v>
      </c>
      <c r="K9857" s="15">
        <v>32.0</v>
      </c>
      <c r="L9857" s="16" t="s">
        <v>31</v>
      </c>
      <c r="M9857" s="14" t="s">
        <v>60823</v>
      </c>
      <c r="N9857" s="14" t="s">
        <v>75</v>
      </c>
      <c r="O9857" s="16" t="s">
        <v>76</v>
      </c>
      <c r="P9857" s="14" t="s">
        <v>60809</v>
      </c>
      <c r="Q9857" s="14" t="s">
        <v>60810</v>
      </c>
      <c r="R9857" s="14" t="s">
        <v>75</v>
      </c>
      <c r="S9857" s="16" t="s">
        <v>60811</v>
      </c>
      <c r="T9857" s="14" t="s">
        <v>66</v>
      </c>
      <c r="U9857" s="16" t="s">
        <v>31</v>
      </c>
      <c r="V9857" s="14" t="s">
        <v>3823</v>
      </c>
      <c r="W9857" s="14" t="s">
        <v>27079</v>
      </c>
      <c r="X9857" s="17" t="str">
        <f>HYPERLINK("https://my.pitchbook.com?p=41664-34P","View People Online")</f>
        <v>View People Online</v>
      </c>
    </row>
    <row r="9858">
      <c r="A9858" s="10" t="s">
        <v>60824</v>
      </c>
      <c r="B9858" s="10" t="s">
        <v>60825</v>
      </c>
      <c r="C9858" s="10" t="s">
        <v>60826</v>
      </c>
      <c r="D9858" s="10" t="s">
        <v>60827</v>
      </c>
      <c r="E9858" s="10" t="s">
        <v>27079</v>
      </c>
      <c r="F9858" s="10" t="s">
        <v>1283</v>
      </c>
      <c r="G9858" s="10" t="s">
        <v>60828</v>
      </c>
      <c r="H9858" s="11">
        <v>1.0</v>
      </c>
      <c r="I9858" s="11">
        <v>27.0</v>
      </c>
      <c r="J9858" s="11">
        <v>1.0</v>
      </c>
      <c r="K9858" s="11">
        <v>21.0</v>
      </c>
      <c r="L9858" s="12" t="s">
        <v>27075</v>
      </c>
      <c r="M9858" s="10" t="s">
        <v>60829</v>
      </c>
      <c r="N9858" s="10" t="s">
        <v>6588</v>
      </c>
      <c r="O9858" s="12" t="s">
        <v>6589</v>
      </c>
      <c r="P9858" s="10" t="s">
        <v>27076</v>
      </c>
      <c r="Q9858" s="10" t="s">
        <v>31</v>
      </c>
      <c r="R9858" s="10" t="s">
        <v>93</v>
      </c>
      <c r="S9858" s="12" t="s">
        <v>27077</v>
      </c>
      <c r="T9858" s="10" t="s">
        <v>66</v>
      </c>
      <c r="U9858" s="12" t="s">
        <v>31</v>
      </c>
      <c r="V9858" s="10" t="s">
        <v>60830</v>
      </c>
      <c r="W9858" s="10" t="s">
        <v>27079</v>
      </c>
      <c r="X9858" s="13" t="str">
        <f>HYPERLINK("https://my.pitchbook.com?p=190575-73P","View People Online")</f>
        <v>View People Online</v>
      </c>
    </row>
    <row r="9859">
      <c r="A9859" s="14" t="s">
        <v>60831</v>
      </c>
      <c r="B9859" s="14" t="s">
        <v>60832</v>
      </c>
      <c r="C9859" s="14" t="s">
        <v>4851</v>
      </c>
      <c r="D9859" s="14" t="s">
        <v>60833</v>
      </c>
      <c r="E9859" s="14" t="s">
        <v>27079</v>
      </c>
      <c r="F9859" s="14" t="s">
        <v>1283</v>
      </c>
      <c r="G9859" s="14" t="s">
        <v>60834</v>
      </c>
      <c r="H9859" s="15" t="s">
        <v>31</v>
      </c>
      <c r="I9859" s="15">
        <v>3.0</v>
      </c>
      <c r="J9859" s="15">
        <v>1.0</v>
      </c>
      <c r="K9859" s="15">
        <v>2.0</v>
      </c>
      <c r="L9859" s="16" t="s">
        <v>31</v>
      </c>
      <c r="M9859" s="14" t="s">
        <v>31</v>
      </c>
      <c r="N9859" s="14" t="s">
        <v>75</v>
      </c>
      <c r="O9859" s="16" t="s">
        <v>76</v>
      </c>
      <c r="P9859" s="14" t="s">
        <v>60809</v>
      </c>
      <c r="Q9859" s="14" t="s">
        <v>60810</v>
      </c>
      <c r="R9859" s="14" t="s">
        <v>75</v>
      </c>
      <c r="S9859" s="16" t="s">
        <v>60811</v>
      </c>
      <c r="T9859" s="14" t="s">
        <v>66</v>
      </c>
      <c r="U9859" s="16" t="s">
        <v>31</v>
      </c>
      <c r="V9859" s="14" t="s">
        <v>1283</v>
      </c>
      <c r="W9859" s="14" t="s">
        <v>27079</v>
      </c>
      <c r="X9859" s="17" t="str">
        <f>HYPERLINK("https://my.pitchbook.com?p=444102-22P","View People Online")</f>
        <v>View People Online</v>
      </c>
    </row>
    <row r="9860">
      <c r="A9860" s="2" t="s">
        <v>36826</v>
      </c>
      <c r="B9860" s="2" t="s">
        <v>36827</v>
      </c>
      <c r="C9860" s="2" t="s">
        <v>36828</v>
      </c>
      <c r="D9860" s="2" t="s">
        <v>36829</v>
      </c>
      <c r="E9860" s="2" t="s">
        <v>27079</v>
      </c>
      <c r="F9860" s="2" t="s">
        <v>12225</v>
      </c>
      <c r="G9860" s="2" t="s">
        <v>36831</v>
      </c>
      <c r="H9860" s="3">
        <v>16.0</v>
      </c>
      <c r="I9860" s="3">
        <v>260.0</v>
      </c>
      <c r="J9860" s="3">
        <v>4.0</v>
      </c>
      <c r="K9860" s="3">
        <v>217.0</v>
      </c>
      <c r="L9860" s="4" t="s">
        <v>36832</v>
      </c>
      <c r="M9860" s="2" t="s">
        <v>36833</v>
      </c>
      <c r="N9860" s="2" t="s">
        <v>6588</v>
      </c>
      <c r="O9860" s="4" t="s">
        <v>6589</v>
      </c>
      <c r="P9860" s="2" t="s">
        <v>27076</v>
      </c>
      <c r="Q9860" s="2" t="s">
        <v>27524</v>
      </c>
      <c r="R9860" s="2" t="s">
        <v>93</v>
      </c>
      <c r="S9860" s="4" t="s">
        <v>27077</v>
      </c>
      <c r="T9860" s="2" t="s">
        <v>66</v>
      </c>
      <c r="U9860" s="4" t="s">
        <v>36834</v>
      </c>
      <c r="V9860" s="2" t="s">
        <v>3930</v>
      </c>
      <c r="W9860" s="2" t="s">
        <v>36830</v>
      </c>
      <c r="X9860" s="5" t="str">
        <f>HYPERLINK("https://my.pitchbook.com?p=31664-26P","View People Online")</f>
        <v>View People Online</v>
      </c>
    </row>
    <row r="9861">
      <c r="A9861" s="6" t="s">
        <v>60835</v>
      </c>
      <c r="B9861" s="6" t="s">
        <v>60836</v>
      </c>
      <c r="C9861" s="6" t="s">
        <v>1929</v>
      </c>
      <c r="D9861" s="6" t="s">
        <v>5786</v>
      </c>
      <c r="E9861" s="6" t="s">
        <v>27079</v>
      </c>
      <c r="F9861" s="6" t="s">
        <v>1283</v>
      </c>
      <c r="G9861" s="6" t="s">
        <v>60837</v>
      </c>
      <c r="H9861" s="7" t="s">
        <v>31</v>
      </c>
      <c r="I9861" s="7">
        <v>7.0</v>
      </c>
      <c r="J9861" s="7">
        <v>2.0</v>
      </c>
      <c r="K9861" s="7">
        <v>5.0</v>
      </c>
      <c r="L9861" s="8" t="s">
        <v>31</v>
      </c>
      <c r="M9861" s="6" t="s">
        <v>60838</v>
      </c>
      <c r="N9861" s="6" t="s">
        <v>3190</v>
      </c>
      <c r="O9861" s="8" t="s">
        <v>3191</v>
      </c>
      <c r="P9861" s="6" t="s">
        <v>31</v>
      </c>
      <c r="Q9861" s="6" t="s">
        <v>31</v>
      </c>
      <c r="R9861" s="6" t="s">
        <v>31</v>
      </c>
      <c r="S9861" s="8" t="s">
        <v>31</v>
      </c>
      <c r="T9861" s="6" t="s">
        <v>3194</v>
      </c>
      <c r="U9861" s="8" t="s">
        <v>31</v>
      </c>
      <c r="V9861" s="6" t="s">
        <v>991</v>
      </c>
      <c r="W9861" s="6" t="s">
        <v>60839</v>
      </c>
      <c r="X9861" s="9" t="str">
        <f>HYPERLINK("https://my.pitchbook.com?p=223594-39P","View People Online")</f>
        <v>View People Online</v>
      </c>
    </row>
    <row r="9862">
      <c r="A9862" s="10" t="s">
        <v>60840</v>
      </c>
      <c r="B9862" s="10" t="s">
        <v>60841</v>
      </c>
      <c r="C9862" s="10" t="s">
        <v>52070</v>
      </c>
      <c r="D9862" s="10" t="s">
        <v>60842</v>
      </c>
      <c r="E9862" s="10" t="s">
        <v>27079</v>
      </c>
      <c r="F9862" s="10" t="s">
        <v>270</v>
      </c>
      <c r="G9862" s="10" t="s">
        <v>60843</v>
      </c>
      <c r="H9862" s="11" t="s">
        <v>31</v>
      </c>
      <c r="I9862" s="11">
        <v>3.0</v>
      </c>
      <c r="J9862" s="11">
        <v>1.0</v>
      </c>
      <c r="K9862" s="11">
        <v>2.0</v>
      </c>
      <c r="L9862" s="12" t="s">
        <v>27075</v>
      </c>
      <c r="M9862" s="10" t="s">
        <v>60844</v>
      </c>
      <c r="N9862" s="10" t="s">
        <v>6588</v>
      </c>
      <c r="O9862" s="12" t="s">
        <v>6589</v>
      </c>
      <c r="P9862" s="10" t="s">
        <v>27076</v>
      </c>
      <c r="Q9862" s="10" t="s">
        <v>31</v>
      </c>
      <c r="R9862" s="10" t="s">
        <v>93</v>
      </c>
      <c r="S9862" s="12" t="s">
        <v>27077</v>
      </c>
      <c r="T9862" s="10" t="s">
        <v>66</v>
      </c>
      <c r="U9862" s="12" t="s">
        <v>31</v>
      </c>
      <c r="V9862" s="10" t="s">
        <v>60845</v>
      </c>
      <c r="W9862" s="10" t="s">
        <v>27079</v>
      </c>
      <c r="X9862" s="13" t="str">
        <f>HYPERLINK("https://my.pitchbook.com?p=368343-01P","View People Online")</f>
        <v>View People Online</v>
      </c>
    </row>
    <row r="9863">
      <c r="A9863" s="14" t="s">
        <v>60846</v>
      </c>
      <c r="B9863" s="14" t="s">
        <v>60847</v>
      </c>
      <c r="C9863" s="14" t="s">
        <v>731</v>
      </c>
      <c r="D9863" s="14" t="s">
        <v>3643</v>
      </c>
      <c r="E9863" s="14" t="s">
        <v>27079</v>
      </c>
      <c r="F9863" s="14" t="s">
        <v>802</v>
      </c>
      <c r="G9863" s="14" t="s">
        <v>60848</v>
      </c>
      <c r="H9863" s="15" t="s">
        <v>31</v>
      </c>
      <c r="I9863" s="15">
        <v>1.0</v>
      </c>
      <c r="J9863" s="15">
        <v>1.0</v>
      </c>
      <c r="K9863" s="15" t="s">
        <v>31</v>
      </c>
      <c r="L9863" s="16" t="s">
        <v>27075</v>
      </c>
      <c r="M9863" s="14" t="s">
        <v>60849</v>
      </c>
      <c r="N9863" s="14" t="s">
        <v>6588</v>
      </c>
      <c r="O9863" s="16" t="s">
        <v>6589</v>
      </c>
      <c r="P9863" s="14" t="s">
        <v>27076</v>
      </c>
      <c r="Q9863" s="14" t="s">
        <v>31</v>
      </c>
      <c r="R9863" s="14" t="s">
        <v>93</v>
      </c>
      <c r="S9863" s="16" t="s">
        <v>27077</v>
      </c>
      <c r="T9863" s="14" t="s">
        <v>66</v>
      </c>
      <c r="U9863" s="16" t="s">
        <v>31</v>
      </c>
      <c r="V9863" s="14" t="s">
        <v>802</v>
      </c>
      <c r="W9863" s="14" t="s">
        <v>27079</v>
      </c>
      <c r="X9863" s="17" t="str">
        <f>HYPERLINK("https://my.pitchbook.com?p=328080-07P","View People Online")</f>
        <v>View People Online</v>
      </c>
    </row>
    <row r="9864">
      <c r="A9864" s="2" t="s">
        <v>60850</v>
      </c>
      <c r="B9864" s="2" t="s">
        <v>60851</v>
      </c>
      <c r="C9864" s="2" t="s">
        <v>15368</v>
      </c>
      <c r="D9864" s="2" t="s">
        <v>1147</v>
      </c>
      <c r="E9864" s="2" t="s">
        <v>27079</v>
      </c>
      <c r="F9864" s="2" t="s">
        <v>270</v>
      </c>
      <c r="G9864" s="2" t="s">
        <v>60852</v>
      </c>
      <c r="H9864" s="3">
        <v>1.0</v>
      </c>
      <c r="I9864" s="3">
        <v>13.0</v>
      </c>
      <c r="J9864" s="3">
        <v>2.0</v>
      </c>
      <c r="K9864" s="3">
        <v>11.0</v>
      </c>
      <c r="L9864" s="4" t="s">
        <v>60853</v>
      </c>
      <c r="M9864" s="2" t="s">
        <v>60854</v>
      </c>
      <c r="N9864" s="2" t="s">
        <v>7690</v>
      </c>
      <c r="O9864" s="4" t="s">
        <v>7691</v>
      </c>
      <c r="P9864" s="2" t="s">
        <v>60855</v>
      </c>
      <c r="Q9864" s="2" t="s">
        <v>60856</v>
      </c>
      <c r="R9864" s="2" t="s">
        <v>7693</v>
      </c>
      <c r="S9864" s="4" t="s">
        <v>60857</v>
      </c>
      <c r="T9864" s="2" t="s">
        <v>66</v>
      </c>
      <c r="U9864" s="4" t="s">
        <v>31</v>
      </c>
      <c r="V9864" s="2" t="s">
        <v>1384</v>
      </c>
      <c r="W9864" s="2" t="s">
        <v>60858</v>
      </c>
      <c r="X9864" s="5" t="str">
        <f>HYPERLINK("https://my.pitchbook.com?p=343719-46P","View People Online")</f>
        <v>View People Online</v>
      </c>
    </row>
    <row r="9865">
      <c r="A9865" s="14" t="s">
        <v>60859</v>
      </c>
      <c r="B9865" s="14" t="s">
        <v>60860</v>
      </c>
      <c r="C9865" s="14" t="s">
        <v>7978</v>
      </c>
      <c r="D9865" s="14" t="s">
        <v>30514</v>
      </c>
      <c r="E9865" s="14" t="s">
        <v>27079</v>
      </c>
      <c r="F9865" s="14" t="s">
        <v>1283</v>
      </c>
      <c r="G9865" s="14" t="s">
        <v>60861</v>
      </c>
      <c r="H9865" s="15" t="s">
        <v>31</v>
      </c>
      <c r="I9865" s="15">
        <v>12.0</v>
      </c>
      <c r="J9865" s="15">
        <v>1.0</v>
      </c>
      <c r="K9865" s="15">
        <v>11.0</v>
      </c>
      <c r="L9865" s="16" t="s">
        <v>31</v>
      </c>
      <c r="M9865" s="14" t="s">
        <v>60862</v>
      </c>
      <c r="N9865" s="14" t="s">
        <v>75</v>
      </c>
      <c r="O9865" s="16" t="s">
        <v>76</v>
      </c>
      <c r="P9865" s="14" t="s">
        <v>60809</v>
      </c>
      <c r="Q9865" s="14" t="s">
        <v>60810</v>
      </c>
      <c r="R9865" s="14" t="s">
        <v>75</v>
      </c>
      <c r="S9865" s="16" t="s">
        <v>60811</v>
      </c>
      <c r="T9865" s="14" t="s">
        <v>66</v>
      </c>
      <c r="U9865" s="16" t="s">
        <v>31</v>
      </c>
      <c r="V9865" s="14" t="s">
        <v>1283</v>
      </c>
      <c r="W9865" s="14" t="s">
        <v>27079</v>
      </c>
      <c r="X9865" s="17" t="str">
        <f>HYPERLINK("https://my.pitchbook.com?p=400067-02P","View People Online")</f>
        <v>View People Online</v>
      </c>
    </row>
    <row r="9866">
      <c r="A9866" s="10" t="s">
        <v>60863</v>
      </c>
      <c r="B9866" s="10" t="s">
        <v>60864</v>
      </c>
      <c r="C9866" s="10" t="s">
        <v>1449</v>
      </c>
      <c r="D9866" s="10" t="s">
        <v>1147</v>
      </c>
      <c r="E9866" s="10" t="s">
        <v>27079</v>
      </c>
      <c r="F9866" s="10" t="s">
        <v>60865</v>
      </c>
      <c r="G9866" s="10" t="s">
        <v>60866</v>
      </c>
      <c r="H9866" s="11" t="s">
        <v>31</v>
      </c>
      <c r="I9866" s="11">
        <v>34.0</v>
      </c>
      <c r="J9866" s="11">
        <v>2.0</v>
      </c>
      <c r="K9866" s="11">
        <v>27.0</v>
      </c>
      <c r="L9866" s="12" t="s">
        <v>31</v>
      </c>
      <c r="M9866" s="10" t="s">
        <v>60867</v>
      </c>
      <c r="N9866" s="10" t="s">
        <v>34</v>
      </c>
      <c r="O9866" s="12" t="s">
        <v>35</v>
      </c>
      <c r="P9866" s="10" t="s">
        <v>60868</v>
      </c>
      <c r="Q9866" s="10" t="s">
        <v>31</v>
      </c>
      <c r="R9866" s="10" t="s">
        <v>31</v>
      </c>
      <c r="S9866" s="12" t="s">
        <v>60869</v>
      </c>
      <c r="T9866" s="10" t="s">
        <v>38</v>
      </c>
      <c r="U9866" s="12" t="s">
        <v>31</v>
      </c>
      <c r="V9866" s="10" t="s">
        <v>29</v>
      </c>
      <c r="W9866" s="10" t="s">
        <v>60870</v>
      </c>
      <c r="X9866" s="13" t="str">
        <f>HYPERLINK("https://my.pitchbook.com?p=53286-31P","View People Online")</f>
        <v>View People Online</v>
      </c>
    </row>
    <row r="9867">
      <c r="A9867" s="14" t="s">
        <v>36174</v>
      </c>
      <c r="B9867" s="14" t="s">
        <v>36175</v>
      </c>
      <c r="C9867" s="14" t="s">
        <v>1449</v>
      </c>
      <c r="D9867" s="14" t="s">
        <v>200</v>
      </c>
      <c r="E9867" s="14" t="s">
        <v>27079</v>
      </c>
      <c r="F9867" s="14" t="s">
        <v>1167</v>
      </c>
      <c r="G9867" s="14" t="s">
        <v>36176</v>
      </c>
      <c r="H9867" s="15">
        <v>3.0</v>
      </c>
      <c r="I9867" s="15">
        <v>217.0</v>
      </c>
      <c r="J9867" s="15">
        <v>1.0</v>
      </c>
      <c r="K9867" s="15">
        <v>192.0</v>
      </c>
      <c r="L9867" s="16" t="s">
        <v>27075</v>
      </c>
      <c r="M9867" s="14" t="s">
        <v>36177</v>
      </c>
      <c r="N9867" s="14" t="s">
        <v>6588</v>
      </c>
      <c r="O9867" s="16" t="s">
        <v>6589</v>
      </c>
      <c r="P9867" s="14" t="s">
        <v>27076</v>
      </c>
      <c r="Q9867" s="14" t="s">
        <v>31</v>
      </c>
      <c r="R9867" s="14" t="s">
        <v>93</v>
      </c>
      <c r="S9867" s="16" t="s">
        <v>27077</v>
      </c>
      <c r="T9867" s="14" t="s">
        <v>66</v>
      </c>
      <c r="U9867" s="16" t="s">
        <v>31</v>
      </c>
      <c r="V9867" s="14" t="s">
        <v>991</v>
      </c>
      <c r="W9867" s="14" t="s">
        <v>27079</v>
      </c>
      <c r="X9867" s="17" t="str">
        <f>HYPERLINK("https://my.pitchbook.com?p=35381-26P","View People Online")</f>
        <v>View People Online</v>
      </c>
    </row>
    <row r="9868">
      <c r="A9868" s="10" t="s">
        <v>60871</v>
      </c>
      <c r="B9868" s="10" t="s">
        <v>60872</v>
      </c>
      <c r="C9868" s="10" t="s">
        <v>11152</v>
      </c>
      <c r="D9868" s="10" t="s">
        <v>60873</v>
      </c>
      <c r="E9868" s="10" t="s">
        <v>27079</v>
      </c>
      <c r="F9868" s="10" t="s">
        <v>3472</v>
      </c>
      <c r="G9868" s="10" t="s">
        <v>60874</v>
      </c>
      <c r="H9868" s="11" t="s">
        <v>31</v>
      </c>
      <c r="I9868" s="11">
        <v>4.0</v>
      </c>
      <c r="J9868" s="11" t="s">
        <v>31</v>
      </c>
      <c r="K9868" s="11">
        <v>1.0</v>
      </c>
      <c r="L9868" s="12" t="s">
        <v>60875</v>
      </c>
      <c r="M9868" s="10" t="s">
        <v>31</v>
      </c>
      <c r="N9868" s="10" t="s">
        <v>29414</v>
      </c>
      <c r="O9868" s="12" t="s">
        <v>29415</v>
      </c>
      <c r="P9868" s="10" t="s">
        <v>60876</v>
      </c>
      <c r="Q9868" s="10" t="s">
        <v>31</v>
      </c>
      <c r="R9868" s="10" t="s">
        <v>24327</v>
      </c>
      <c r="S9868" s="12" t="s">
        <v>60877</v>
      </c>
      <c r="T9868" s="10" t="s">
        <v>66</v>
      </c>
      <c r="U9868" s="12" t="s">
        <v>60878</v>
      </c>
      <c r="V9868" s="10" t="s">
        <v>60879</v>
      </c>
      <c r="W9868" s="10" t="s">
        <v>60880</v>
      </c>
      <c r="X9868" s="13" t="str">
        <f>HYPERLINK("https://my.pitchbook.com?p=159388-03P","View People Online")</f>
        <v>View People Online</v>
      </c>
    </row>
    <row r="9869">
      <c r="A9869" s="14" t="s">
        <v>60881</v>
      </c>
      <c r="B9869" s="14" t="s">
        <v>60882</v>
      </c>
      <c r="C9869" s="14" t="s">
        <v>52856</v>
      </c>
      <c r="D9869" s="14" t="s">
        <v>60883</v>
      </c>
      <c r="E9869" s="14" t="s">
        <v>27079</v>
      </c>
      <c r="F9869" s="14" t="s">
        <v>1283</v>
      </c>
      <c r="G9869" s="14" t="s">
        <v>60884</v>
      </c>
      <c r="H9869" s="15" t="s">
        <v>31</v>
      </c>
      <c r="I9869" s="15">
        <v>8.0</v>
      </c>
      <c r="J9869" s="15">
        <v>2.0</v>
      </c>
      <c r="K9869" s="15">
        <v>6.0</v>
      </c>
      <c r="L9869" s="16" t="s">
        <v>31</v>
      </c>
      <c r="M9869" s="14" t="s">
        <v>60885</v>
      </c>
      <c r="N9869" s="14" t="s">
        <v>1416</v>
      </c>
      <c r="O9869" s="16" t="s">
        <v>1417</v>
      </c>
      <c r="P9869" s="14" t="s">
        <v>47378</v>
      </c>
      <c r="Q9869" s="14" t="s">
        <v>31</v>
      </c>
      <c r="R9869" s="14" t="s">
        <v>1420</v>
      </c>
      <c r="S9869" s="16" t="s">
        <v>6302</v>
      </c>
      <c r="T9869" s="14" t="s">
        <v>66</v>
      </c>
      <c r="U9869" s="16" t="s">
        <v>31</v>
      </c>
      <c r="V9869" s="14" t="s">
        <v>29</v>
      </c>
      <c r="W9869" s="14" t="s">
        <v>60886</v>
      </c>
      <c r="X9869" s="17" t="str">
        <f>HYPERLINK("https://my.pitchbook.com?p=321262-93P","View People Online")</f>
        <v>View People Online</v>
      </c>
    </row>
    <row r="9870">
      <c r="A9870" s="2" t="s">
        <v>60887</v>
      </c>
      <c r="B9870" s="2" t="s">
        <v>60888</v>
      </c>
      <c r="C9870" s="2" t="s">
        <v>26010</v>
      </c>
      <c r="D9870" s="2" t="s">
        <v>60889</v>
      </c>
      <c r="E9870" s="2" t="s">
        <v>27079</v>
      </c>
      <c r="F9870" s="2" t="s">
        <v>270</v>
      </c>
      <c r="G9870" s="2" t="s">
        <v>60890</v>
      </c>
      <c r="H9870" s="3" t="s">
        <v>31</v>
      </c>
      <c r="I9870" s="3">
        <v>3.0</v>
      </c>
      <c r="J9870" s="3">
        <v>1.0</v>
      </c>
      <c r="K9870" s="3" t="s">
        <v>31</v>
      </c>
      <c r="L9870" s="4" t="s">
        <v>27075</v>
      </c>
      <c r="M9870" s="2" t="s">
        <v>31</v>
      </c>
      <c r="N9870" s="2" t="s">
        <v>6588</v>
      </c>
      <c r="O9870" s="4" t="s">
        <v>6589</v>
      </c>
      <c r="P9870" s="2" t="s">
        <v>27076</v>
      </c>
      <c r="Q9870" s="2" t="s">
        <v>31</v>
      </c>
      <c r="R9870" s="2" t="s">
        <v>93</v>
      </c>
      <c r="S9870" s="4" t="s">
        <v>27077</v>
      </c>
      <c r="T9870" s="2" t="s">
        <v>66</v>
      </c>
      <c r="U9870" s="4" t="s">
        <v>31</v>
      </c>
      <c r="V9870" s="2" t="s">
        <v>27009</v>
      </c>
      <c r="W9870" s="2" t="s">
        <v>27079</v>
      </c>
      <c r="X9870" s="5" t="str">
        <f>HYPERLINK("https://my.pitchbook.com?p=92924-47P","View People Online")</f>
        <v>View People Online</v>
      </c>
    </row>
    <row r="9871">
      <c r="A9871" s="6" t="s">
        <v>60891</v>
      </c>
      <c r="B9871" s="6" t="s">
        <v>60892</v>
      </c>
      <c r="C9871" s="6" t="s">
        <v>60893</v>
      </c>
      <c r="D9871" s="6" t="s">
        <v>29537</v>
      </c>
      <c r="E9871" s="6" t="s">
        <v>27079</v>
      </c>
      <c r="F9871" s="6" t="s">
        <v>270</v>
      </c>
      <c r="G9871" s="6" t="s">
        <v>60894</v>
      </c>
      <c r="H9871" s="7">
        <v>6.0</v>
      </c>
      <c r="I9871" s="7">
        <v>56.0</v>
      </c>
      <c r="J9871" s="7">
        <v>3.0</v>
      </c>
      <c r="K9871" s="7">
        <v>38.0</v>
      </c>
      <c r="L9871" s="8" t="s">
        <v>60895</v>
      </c>
      <c r="M9871" s="6" t="s">
        <v>60896</v>
      </c>
      <c r="N9871" s="6" t="s">
        <v>60897</v>
      </c>
      <c r="O9871" s="8" t="s">
        <v>60898</v>
      </c>
      <c r="P9871" s="6" t="s">
        <v>60899</v>
      </c>
      <c r="Q9871" s="6" t="s">
        <v>31</v>
      </c>
      <c r="R9871" s="6" t="s">
        <v>31</v>
      </c>
      <c r="S9871" s="8" t="s">
        <v>60900</v>
      </c>
      <c r="T9871" s="6" t="s">
        <v>60901</v>
      </c>
      <c r="U9871" s="8" t="s">
        <v>31</v>
      </c>
      <c r="V9871" s="6" t="s">
        <v>43</v>
      </c>
      <c r="W9871" s="6" t="s">
        <v>60902</v>
      </c>
      <c r="X9871" s="9" t="str">
        <f>HYPERLINK("https://my.pitchbook.com?p=119720-08P","View People Online")</f>
        <v>View People Online</v>
      </c>
    </row>
    <row r="9872">
      <c r="A9872" s="2" t="s">
        <v>60903</v>
      </c>
      <c r="B9872" s="2" t="s">
        <v>60904</v>
      </c>
      <c r="C9872" s="2" t="s">
        <v>16047</v>
      </c>
      <c r="D9872" s="2" t="s">
        <v>60905</v>
      </c>
      <c r="E9872" s="2" t="s">
        <v>27079</v>
      </c>
      <c r="F9872" s="2" t="s">
        <v>548</v>
      </c>
      <c r="G9872" s="2" t="s">
        <v>60906</v>
      </c>
      <c r="H9872" s="3" t="s">
        <v>31</v>
      </c>
      <c r="I9872" s="3">
        <v>3.0</v>
      </c>
      <c r="J9872" s="3">
        <v>2.0</v>
      </c>
      <c r="K9872" s="3">
        <v>1.0</v>
      </c>
      <c r="L9872" s="4" t="s">
        <v>31</v>
      </c>
      <c r="M9872" s="2" t="s">
        <v>60907</v>
      </c>
      <c r="N9872" s="2" t="s">
        <v>243</v>
      </c>
      <c r="O9872" s="4" t="s">
        <v>244</v>
      </c>
      <c r="P9872" s="2" t="s">
        <v>60908</v>
      </c>
      <c r="Q9872" s="2" t="s">
        <v>31</v>
      </c>
      <c r="R9872" s="2" t="s">
        <v>247</v>
      </c>
      <c r="S9872" s="4" t="s">
        <v>60909</v>
      </c>
      <c r="T9872" s="2" t="s">
        <v>249</v>
      </c>
      <c r="U9872" s="4" t="s">
        <v>31</v>
      </c>
      <c r="V9872" s="2" t="s">
        <v>157</v>
      </c>
      <c r="W9872" s="2" t="s">
        <v>60910</v>
      </c>
      <c r="X9872" s="5" t="str">
        <f>HYPERLINK("https://my.pitchbook.com?p=281517-67P","View People Online")</f>
        <v>View People Online</v>
      </c>
    </row>
    <row r="9873">
      <c r="A9873" s="6" t="s">
        <v>60911</v>
      </c>
      <c r="B9873" s="6" t="s">
        <v>60912</v>
      </c>
      <c r="C9873" s="6" t="s">
        <v>1255</v>
      </c>
      <c r="D9873" s="6" t="s">
        <v>60913</v>
      </c>
      <c r="E9873" s="6" t="s">
        <v>27079</v>
      </c>
      <c r="F9873" s="6" t="s">
        <v>3600</v>
      </c>
      <c r="G9873" s="6" t="s">
        <v>60914</v>
      </c>
      <c r="H9873" s="7" t="s">
        <v>31</v>
      </c>
      <c r="I9873" s="7">
        <v>1.0</v>
      </c>
      <c r="J9873" s="7">
        <v>1.0</v>
      </c>
      <c r="K9873" s="7" t="s">
        <v>31</v>
      </c>
      <c r="L9873" s="8" t="s">
        <v>31</v>
      </c>
      <c r="M9873" s="6" t="s">
        <v>60915</v>
      </c>
      <c r="N9873" s="6" t="s">
        <v>60916</v>
      </c>
      <c r="O9873" s="8" t="s">
        <v>60917</v>
      </c>
      <c r="P9873" s="6" t="s">
        <v>60918</v>
      </c>
      <c r="Q9873" s="6" t="s">
        <v>60919</v>
      </c>
      <c r="R9873" s="6" t="s">
        <v>31</v>
      </c>
      <c r="S9873" s="8" t="s">
        <v>31</v>
      </c>
      <c r="T9873" s="6" t="s">
        <v>13406</v>
      </c>
      <c r="U9873" s="8" t="s">
        <v>31</v>
      </c>
      <c r="V9873" s="6" t="s">
        <v>60920</v>
      </c>
      <c r="W9873" s="6" t="s">
        <v>27079</v>
      </c>
      <c r="X9873" s="9" t="str">
        <f>HYPERLINK("https://my.pitchbook.com?p=180677-17P","View People Online")</f>
        <v>View People Online</v>
      </c>
    </row>
    <row r="9874">
      <c r="A9874" s="2" t="s">
        <v>60921</v>
      </c>
      <c r="B9874" s="2" t="s">
        <v>60922</v>
      </c>
      <c r="C9874" s="2" t="s">
        <v>16307</v>
      </c>
      <c r="D9874" s="2" t="s">
        <v>60923</v>
      </c>
      <c r="E9874" s="2" t="s">
        <v>27079</v>
      </c>
      <c r="F9874" s="2" t="s">
        <v>270</v>
      </c>
      <c r="G9874" s="2" t="s">
        <v>60924</v>
      </c>
      <c r="H9874" s="3" t="s">
        <v>31</v>
      </c>
      <c r="I9874" s="3">
        <v>1.0</v>
      </c>
      <c r="J9874" s="3">
        <v>1.0</v>
      </c>
      <c r="K9874" s="3" t="s">
        <v>31</v>
      </c>
      <c r="L9874" s="4" t="s">
        <v>27075</v>
      </c>
      <c r="M9874" s="2" t="s">
        <v>60925</v>
      </c>
      <c r="N9874" s="2" t="s">
        <v>6588</v>
      </c>
      <c r="O9874" s="4" t="s">
        <v>6589</v>
      </c>
      <c r="P9874" s="2" t="s">
        <v>27076</v>
      </c>
      <c r="Q9874" s="2" t="s">
        <v>31</v>
      </c>
      <c r="R9874" s="2" t="s">
        <v>93</v>
      </c>
      <c r="S9874" s="4" t="s">
        <v>27077</v>
      </c>
      <c r="T9874" s="2" t="s">
        <v>66</v>
      </c>
      <c r="U9874" s="4" t="s">
        <v>31</v>
      </c>
      <c r="V9874" s="2" t="s">
        <v>27009</v>
      </c>
      <c r="W9874" s="2" t="s">
        <v>27079</v>
      </c>
      <c r="X9874" s="5" t="str">
        <f>HYPERLINK("https://my.pitchbook.com?p=92230-57P","View People Online")</f>
        <v>View People Online</v>
      </c>
    </row>
    <row r="9875">
      <c r="A9875" s="6" t="s">
        <v>60926</v>
      </c>
      <c r="B9875" s="6" t="s">
        <v>60927</v>
      </c>
      <c r="C9875" s="6" t="s">
        <v>60928</v>
      </c>
      <c r="D9875" s="6" t="s">
        <v>60929</v>
      </c>
      <c r="E9875" s="6" t="s">
        <v>27079</v>
      </c>
      <c r="F9875" s="6" t="s">
        <v>270</v>
      </c>
      <c r="G9875" s="6" t="s">
        <v>60930</v>
      </c>
      <c r="H9875" s="7">
        <v>1.0</v>
      </c>
      <c r="I9875" s="7">
        <v>2.0</v>
      </c>
      <c r="J9875" s="7">
        <v>2.0</v>
      </c>
      <c r="K9875" s="7" t="s">
        <v>31</v>
      </c>
      <c r="L9875" s="8" t="s">
        <v>60931</v>
      </c>
      <c r="M9875" s="6" t="s">
        <v>31</v>
      </c>
      <c r="N9875" s="6" t="s">
        <v>6588</v>
      </c>
      <c r="O9875" s="8" t="s">
        <v>6589</v>
      </c>
      <c r="P9875" s="6" t="s">
        <v>60932</v>
      </c>
      <c r="Q9875" s="6" t="s">
        <v>31</v>
      </c>
      <c r="R9875" s="6" t="s">
        <v>93</v>
      </c>
      <c r="S9875" s="8" t="s">
        <v>36224</v>
      </c>
      <c r="T9875" s="6" t="s">
        <v>66</v>
      </c>
      <c r="U9875" s="8" t="s">
        <v>31</v>
      </c>
      <c r="V9875" s="6" t="s">
        <v>1384</v>
      </c>
      <c r="W9875" s="6" t="s">
        <v>60933</v>
      </c>
      <c r="X9875" s="9" t="str">
        <f>HYPERLINK("https://my.pitchbook.com?p=89028-37P","View People Online")</f>
        <v>View People Online</v>
      </c>
    </row>
    <row r="9876">
      <c r="A9876" s="2" t="s">
        <v>60934</v>
      </c>
      <c r="B9876" s="2" t="s">
        <v>60935</v>
      </c>
      <c r="C9876" s="2" t="s">
        <v>8294</v>
      </c>
      <c r="D9876" s="2" t="s">
        <v>60936</v>
      </c>
      <c r="E9876" s="2" t="s">
        <v>27079</v>
      </c>
      <c r="F9876" s="2" t="s">
        <v>270</v>
      </c>
      <c r="G9876" s="2" t="s">
        <v>60937</v>
      </c>
      <c r="H9876" s="3" t="s">
        <v>31</v>
      </c>
      <c r="I9876" s="3">
        <v>2.0</v>
      </c>
      <c r="J9876" s="3">
        <v>1.0</v>
      </c>
      <c r="K9876" s="3">
        <v>1.0</v>
      </c>
      <c r="L9876" s="4" t="s">
        <v>60938</v>
      </c>
      <c r="M9876" s="2" t="s">
        <v>31</v>
      </c>
      <c r="N9876" s="2" t="s">
        <v>75</v>
      </c>
      <c r="O9876" s="4" t="s">
        <v>76</v>
      </c>
      <c r="P9876" s="2" t="s">
        <v>60809</v>
      </c>
      <c r="Q9876" s="2" t="s">
        <v>60810</v>
      </c>
      <c r="R9876" s="2" t="s">
        <v>75</v>
      </c>
      <c r="S9876" s="4" t="s">
        <v>60811</v>
      </c>
      <c r="T9876" s="2" t="s">
        <v>66</v>
      </c>
      <c r="U9876" s="4" t="s">
        <v>31</v>
      </c>
      <c r="V9876" s="2" t="s">
        <v>270</v>
      </c>
      <c r="W9876" s="2" t="s">
        <v>27079</v>
      </c>
      <c r="X9876" s="5" t="str">
        <f>HYPERLINK("https://my.pitchbook.com?p=209315-44P","View People Online")</f>
        <v>View People Online</v>
      </c>
    </row>
    <row r="9877">
      <c r="A9877" s="14" t="s">
        <v>60939</v>
      </c>
      <c r="B9877" s="14" t="s">
        <v>60940</v>
      </c>
      <c r="C9877" s="14" t="s">
        <v>53949</v>
      </c>
      <c r="D9877" s="14" t="s">
        <v>60941</v>
      </c>
      <c r="E9877" s="14" t="s">
        <v>27079</v>
      </c>
      <c r="F9877" s="14" t="s">
        <v>1283</v>
      </c>
      <c r="G9877" s="14" t="s">
        <v>60942</v>
      </c>
      <c r="H9877" s="15" t="s">
        <v>31</v>
      </c>
      <c r="I9877" s="15">
        <v>4.0</v>
      </c>
      <c r="J9877" s="15">
        <v>1.0</v>
      </c>
      <c r="K9877" s="15">
        <v>3.0</v>
      </c>
      <c r="L9877" s="16" t="s">
        <v>31</v>
      </c>
      <c r="M9877" s="14" t="s">
        <v>60943</v>
      </c>
      <c r="N9877" s="14" t="s">
        <v>75</v>
      </c>
      <c r="O9877" s="16" t="s">
        <v>76</v>
      </c>
      <c r="P9877" s="14" t="s">
        <v>60809</v>
      </c>
      <c r="Q9877" s="14" t="s">
        <v>60810</v>
      </c>
      <c r="R9877" s="14" t="s">
        <v>75</v>
      </c>
      <c r="S9877" s="16" t="s">
        <v>60811</v>
      </c>
      <c r="T9877" s="14" t="s">
        <v>66</v>
      </c>
      <c r="U9877" s="16" t="s">
        <v>31</v>
      </c>
      <c r="V9877" s="14" t="s">
        <v>1283</v>
      </c>
      <c r="W9877" s="14" t="s">
        <v>27079</v>
      </c>
      <c r="X9877" s="17" t="str">
        <f>HYPERLINK("https://my.pitchbook.com?p=202166-74P","View People Online")</f>
        <v>View People Online</v>
      </c>
    </row>
    <row r="9878">
      <c r="A9878" s="10" t="s">
        <v>60944</v>
      </c>
      <c r="B9878" s="10" t="s">
        <v>60945</v>
      </c>
      <c r="C9878" s="10" t="s">
        <v>16776</v>
      </c>
      <c r="D9878" s="10" t="s">
        <v>17105</v>
      </c>
      <c r="E9878" s="10" t="s">
        <v>27079</v>
      </c>
      <c r="F9878" s="10" t="s">
        <v>270</v>
      </c>
      <c r="G9878" s="10" t="s">
        <v>60946</v>
      </c>
      <c r="H9878" s="11" t="s">
        <v>31</v>
      </c>
      <c r="I9878" s="11">
        <v>2.0</v>
      </c>
      <c r="J9878" s="11">
        <v>2.0</v>
      </c>
      <c r="K9878" s="11" t="s">
        <v>31</v>
      </c>
      <c r="L9878" s="12" t="s">
        <v>60947</v>
      </c>
      <c r="M9878" s="10" t="s">
        <v>31</v>
      </c>
      <c r="N9878" s="10" t="s">
        <v>418</v>
      </c>
      <c r="O9878" s="12" t="s">
        <v>419</v>
      </c>
      <c r="P9878" s="10" t="s">
        <v>60948</v>
      </c>
      <c r="Q9878" s="10" t="s">
        <v>31</v>
      </c>
      <c r="R9878" s="10" t="s">
        <v>60949</v>
      </c>
      <c r="S9878" s="12" t="s">
        <v>60950</v>
      </c>
      <c r="T9878" s="10" t="s">
        <v>422</v>
      </c>
      <c r="U9878" s="12" t="s">
        <v>31</v>
      </c>
      <c r="V9878" s="10" t="s">
        <v>13081</v>
      </c>
      <c r="W9878" s="10" t="s">
        <v>60951</v>
      </c>
      <c r="X9878" s="13" t="str">
        <f>HYPERLINK("https://my.pitchbook.com?p=173838-97P","View People Online")</f>
        <v>View People Online</v>
      </c>
    </row>
    <row r="9879">
      <c r="A9879" s="14" t="s">
        <v>60952</v>
      </c>
      <c r="B9879" s="14" t="s">
        <v>60953</v>
      </c>
      <c r="C9879" s="14" t="s">
        <v>7304</v>
      </c>
      <c r="D9879" s="14" t="s">
        <v>60954</v>
      </c>
      <c r="E9879" s="14" t="s">
        <v>27079</v>
      </c>
      <c r="F9879" s="14" t="s">
        <v>318</v>
      </c>
      <c r="G9879" s="14" t="s">
        <v>60955</v>
      </c>
      <c r="H9879" s="15" t="s">
        <v>31</v>
      </c>
      <c r="I9879" s="15">
        <v>2.0</v>
      </c>
      <c r="J9879" s="15">
        <v>1.0</v>
      </c>
      <c r="K9879" s="15">
        <v>1.0</v>
      </c>
      <c r="L9879" s="16" t="s">
        <v>31</v>
      </c>
      <c r="M9879" s="14" t="s">
        <v>60956</v>
      </c>
      <c r="N9879" s="14" t="s">
        <v>75</v>
      </c>
      <c r="O9879" s="16" t="s">
        <v>76</v>
      </c>
      <c r="P9879" s="14" t="s">
        <v>60809</v>
      </c>
      <c r="Q9879" s="14" t="s">
        <v>60810</v>
      </c>
      <c r="R9879" s="14" t="s">
        <v>75</v>
      </c>
      <c r="S9879" s="16" t="s">
        <v>60811</v>
      </c>
      <c r="T9879" s="14" t="s">
        <v>66</v>
      </c>
      <c r="U9879" s="16" t="s">
        <v>31</v>
      </c>
      <c r="V9879" s="14" t="s">
        <v>6380</v>
      </c>
      <c r="W9879" s="14" t="s">
        <v>27079</v>
      </c>
      <c r="X9879" s="17" t="str">
        <f>HYPERLINK("https://my.pitchbook.com?p=393576-49P","View People Online")</f>
        <v>View People Online</v>
      </c>
    </row>
    <row r="9880">
      <c r="A9880" s="2" t="s">
        <v>60957</v>
      </c>
      <c r="B9880" s="2" t="s">
        <v>60958</v>
      </c>
      <c r="C9880" s="2" t="s">
        <v>3529</v>
      </c>
      <c r="D9880" s="2" t="s">
        <v>60959</v>
      </c>
      <c r="E9880" s="2" t="s">
        <v>27079</v>
      </c>
      <c r="F9880" s="2" t="s">
        <v>2731</v>
      </c>
      <c r="G9880" s="2" t="s">
        <v>60960</v>
      </c>
      <c r="H9880" s="3">
        <v>5.0</v>
      </c>
      <c r="I9880" s="3">
        <v>112.0</v>
      </c>
      <c r="J9880" s="3">
        <v>1.0</v>
      </c>
      <c r="K9880" s="3">
        <v>95.0</v>
      </c>
      <c r="L9880" s="4" t="s">
        <v>31</v>
      </c>
      <c r="M9880" s="2" t="s">
        <v>60961</v>
      </c>
      <c r="N9880" s="2" t="s">
        <v>665</v>
      </c>
      <c r="O9880" s="4" t="s">
        <v>3857</v>
      </c>
      <c r="P9880" s="2" t="s">
        <v>31</v>
      </c>
      <c r="Q9880" s="2" t="s">
        <v>31</v>
      </c>
      <c r="R9880" s="2" t="s">
        <v>1420</v>
      </c>
      <c r="S9880" s="4" t="s">
        <v>31</v>
      </c>
      <c r="T9880" s="2" t="s">
        <v>66</v>
      </c>
      <c r="U9880" s="4" t="s">
        <v>31</v>
      </c>
      <c r="V9880" s="2" t="s">
        <v>60962</v>
      </c>
      <c r="W9880" s="2" t="s">
        <v>27079</v>
      </c>
      <c r="X9880" s="5" t="str">
        <f>HYPERLINK("https://my.pitchbook.com?p=42165-64P","View People Online")</f>
        <v>View People Online</v>
      </c>
    </row>
    <row r="9881">
      <c r="A9881" s="6" t="s">
        <v>60963</v>
      </c>
      <c r="B9881" s="6" t="s">
        <v>60964</v>
      </c>
      <c r="C9881" s="6" t="s">
        <v>4404</v>
      </c>
      <c r="D9881" s="6" t="s">
        <v>18117</v>
      </c>
      <c r="E9881" s="6" t="s">
        <v>27079</v>
      </c>
      <c r="F9881" s="6" t="s">
        <v>1283</v>
      </c>
      <c r="G9881" s="6" t="s">
        <v>60965</v>
      </c>
      <c r="H9881" s="7" t="s">
        <v>31</v>
      </c>
      <c r="I9881" s="7">
        <v>4.0</v>
      </c>
      <c r="J9881" s="7">
        <v>1.0</v>
      </c>
      <c r="K9881" s="7">
        <v>3.0</v>
      </c>
      <c r="L9881" s="8" t="s">
        <v>31</v>
      </c>
      <c r="M9881" s="6" t="s">
        <v>60966</v>
      </c>
      <c r="N9881" s="6" t="s">
        <v>1181</v>
      </c>
      <c r="O9881" s="8" t="s">
        <v>1182</v>
      </c>
      <c r="P9881" s="6" t="s">
        <v>31</v>
      </c>
      <c r="Q9881" s="6" t="s">
        <v>31</v>
      </c>
      <c r="R9881" s="6" t="s">
        <v>1185</v>
      </c>
      <c r="S9881" s="8" t="s">
        <v>31</v>
      </c>
      <c r="T9881" s="6" t="s">
        <v>66</v>
      </c>
      <c r="U9881" s="8" t="s">
        <v>31</v>
      </c>
      <c r="V9881" s="6" t="s">
        <v>1283</v>
      </c>
      <c r="W9881" s="6" t="s">
        <v>27079</v>
      </c>
      <c r="X9881" s="9" t="str">
        <f>HYPERLINK("https://my.pitchbook.com?p=145719-64P","View People Online")</f>
        <v>View People Online</v>
      </c>
    </row>
    <row r="9882">
      <c r="A9882" s="10" t="s">
        <v>41105</v>
      </c>
      <c r="B9882" s="10" t="s">
        <v>41106</v>
      </c>
      <c r="C9882" s="10" t="s">
        <v>4404</v>
      </c>
      <c r="D9882" s="10" t="s">
        <v>843</v>
      </c>
      <c r="E9882" s="10" t="s">
        <v>27079</v>
      </c>
      <c r="F9882" s="10" t="s">
        <v>270</v>
      </c>
      <c r="G9882" s="10" t="s">
        <v>41107</v>
      </c>
      <c r="H9882" s="11" t="s">
        <v>31</v>
      </c>
      <c r="I9882" s="11">
        <v>16.0</v>
      </c>
      <c r="J9882" s="11">
        <v>3.0</v>
      </c>
      <c r="K9882" s="11">
        <v>9.0</v>
      </c>
      <c r="L9882" s="12" t="s">
        <v>41108</v>
      </c>
      <c r="M9882" s="10" t="s">
        <v>41109</v>
      </c>
      <c r="N9882" s="10" t="s">
        <v>1181</v>
      </c>
      <c r="O9882" s="12" t="s">
        <v>1182</v>
      </c>
      <c r="P9882" s="10" t="s">
        <v>41110</v>
      </c>
      <c r="Q9882" s="10" t="s">
        <v>31</v>
      </c>
      <c r="R9882" s="10" t="s">
        <v>1185</v>
      </c>
      <c r="S9882" s="12" t="s">
        <v>41111</v>
      </c>
      <c r="T9882" s="10" t="s">
        <v>66</v>
      </c>
      <c r="U9882" s="12" t="s">
        <v>31</v>
      </c>
      <c r="V9882" s="10" t="s">
        <v>1106</v>
      </c>
      <c r="W9882" s="10" t="s">
        <v>41112</v>
      </c>
      <c r="X9882" s="13" t="str">
        <f>HYPERLINK("https://my.pitchbook.com?p=86400-46P","View People Online")</f>
        <v>View People Online</v>
      </c>
    </row>
    <row r="9883">
      <c r="A9883" s="14" t="s">
        <v>27070</v>
      </c>
      <c r="B9883" s="14" t="s">
        <v>27071</v>
      </c>
      <c r="C9883" s="14" t="s">
        <v>350</v>
      </c>
      <c r="D9883" s="14" t="s">
        <v>27072</v>
      </c>
      <c r="E9883" s="14" t="s">
        <v>27079</v>
      </c>
      <c r="F9883" s="14" t="s">
        <v>270</v>
      </c>
      <c r="G9883" s="14" t="s">
        <v>27074</v>
      </c>
      <c r="H9883" s="15" t="s">
        <v>31</v>
      </c>
      <c r="I9883" s="15">
        <v>2.0</v>
      </c>
      <c r="J9883" s="15">
        <v>2.0</v>
      </c>
      <c r="K9883" s="15" t="s">
        <v>31</v>
      </c>
      <c r="L9883" s="16" t="s">
        <v>27075</v>
      </c>
      <c r="M9883" s="14" t="s">
        <v>31</v>
      </c>
      <c r="N9883" s="14" t="s">
        <v>6588</v>
      </c>
      <c r="O9883" s="16" t="s">
        <v>6589</v>
      </c>
      <c r="P9883" s="14" t="s">
        <v>27076</v>
      </c>
      <c r="Q9883" s="14" t="s">
        <v>31</v>
      </c>
      <c r="R9883" s="14" t="s">
        <v>93</v>
      </c>
      <c r="S9883" s="16" t="s">
        <v>27077</v>
      </c>
      <c r="T9883" s="14" t="s">
        <v>66</v>
      </c>
      <c r="U9883" s="16" t="s">
        <v>31</v>
      </c>
      <c r="V9883" s="14" t="s">
        <v>27078</v>
      </c>
      <c r="W9883" s="14" t="s">
        <v>27079</v>
      </c>
      <c r="X9883" s="17" t="str">
        <f>HYPERLINK("https://my.pitchbook.com?p=56304-73P","View People Online")</f>
        <v>View People Online</v>
      </c>
    </row>
    <row r="9884">
      <c r="A9884" s="10" t="s">
        <v>60967</v>
      </c>
      <c r="B9884" s="10" t="s">
        <v>60968</v>
      </c>
      <c r="C9884" s="10" t="s">
        <v>5071</v>
      </c>
      <c r="D9884" s="10" t="s">
        <v>60969</v>
      </c>
      <c r="E9884" s="10" t="s">
        <v>27079</v>
      </c>
      <c r="F9884" s="10" t="s">
        <v>548</v>
      </c>
      <c r="G9884" s="10" t="s">
        <v>60970</v>
      </c>
      <c r="H9884" s="11" t="s">
        <v>31</v>
      </c>
      <c r="I9884" s="11">
        <v>1.0</v>
      </c>
      <c r="J9884" s="11">
        <v>1.0</v>
      </c>
      <c r="K9884" s="11" t="s">
        <v>31</v>
      </c>
      <c r="L9884" s="12" t="s">
        <v>27075</v>
      </c>
      <c r="M9884" s="10" t="s">
        <v>60971</v>
      </c>
      <c r="N9884" s="10" t="s">
        <v>6588</v>
      </c>
      <c r="O9884" s="12" t="s">
        <v>6589</v>
      </c>
      <c r="P9884" s="10" t="s">
        <v>27076</v>
      </c>
      <c r="Q9884" s="10" t="s">
        <v>31</v>
      </c>
      <c r="R9884" s="10" t="s">
        <v>93</v>
      </c>
      <c r="S9884" s="12" t="s">
        <v>27077</v>
      </c>
      <c r="T9884" s="10" t="s">
        <v>66</v>
      </c>
      <c r="U9884" s="12" t="s">
        <v>31</v>
      </c>
      <c r="V9884" s="10" t="s">
        <v>60972</v>
      </c>
      <c r="W9884" s="10" t="s">
        <v>27079</v>
      </c>
      <c r="X9884" s="13" t="str">
        <f>HYPERLINK("https://my.pitchbook.com?p=180678-07P","View People Online")</f>
        <v>View People Online</v>
      </c>
    </row>
    <row r="9885">
      <c r="A9885" s="14" t="s">
        <v>60973</v>
      </c>
      <c r="B9885" s="14" t="s">
        <v>60974</v>
      </c>
      <c r="C9885" s="14" t="s">
        <v>1356</v>
      </c>
      <c r="D9885" s="14" t="s">
        <v>60975</v>
      </c>
      <c r="E9885" s="14" t="s">
        <v>27079</v>
      </c>
      <c r="F9885" s="14" t="s">
        <v>1283</v>
      </c>
      <c r="G9885" s="14" t="s">
        <v>60976</v>
      </c>
      <c r="H9885" s="15">
        <v>2.0</v>
      </c>
      <c r="I9885" s="15">
        <v>38.0</v>
      </c>
      <c r="J9885" s="15">
        <v>2.0</v>
      </c>
      <c r="K9885" s="15">
        <v>30.0</v>
      </c>
      <c r="L9885" s="16" t="s">
        <v>31</v>
      </c>
      <c r="M9885" s="14" t="s">
        <v>60977</v>
      </c>
      <c r="N9885" s="14" t="s">
        <v>6588</v>
      </c>
      <c r="O9885" s="16" t="s">
        <v>6589</v>
      </c>
      <c r="P9885" s="14" t="s">
        <v>31</v>
      </c>
      <c r="Q9885" s="14" t="s">
        <v>31</v>
      </c>
      <c r="R9885" s="14" t="s">
        <v>93</v>
      </c>
      <c r="S9885" s="16" t="s">
        <v>31</v>
      </c>
      <c r="T9885" s="14" t="s">
        <v>66</v>
      </c>
      <c r="U9885" s="16" t="s">
        <v>31</v>
      </c>
      <c r="V9885" s="14" t="s">
        <v>95</v>
      </c>
      <c r="W9885" s="14" t="s">
        <v>60978</v>
      </c>
      <c r="X9885" s="17" t="str">
        <f>HYPERLINK("https://my.pitchbook.com?p=263478-88P","View People Online")</f>
        <v>View People Online</v>
      </c>
    </row>
    <row r="9886">
      <c r="A9886" s="10" t="s">
        <v>60979</v>
      </c>
      <c r="B9886" s="10" t="s">
        <v>60980</v>
      </c>
      <c r="C9886" s="10" t="s">
        <v>1356</v>
      </c>
      <c r="D9886" s="10" t="s">
        <v>60981</v>
      </c>
      <c r="E9886" s="10" t="s">
        <v>27079</v>
      </c>
      <c r="F9886" s="10" t="s">
        <v>502</v>
      </c>
      <c r="G9886" s="10" t="s">
        <v>60982</v>
      </c>
      <c r="H9886" s="11" t="s">
        <v>31</v>
      </c>
      <c r="I9886" s="11">
        <v>1.0</v>
      </c>
      <c r="J9886" s="11">
        <v>1.0</v>
      </c>
      <c r="K9886" s="11" t="s">
        <v>31</v>
      </c>
      <c r="L9886" s="12" t="s">
        <v>31</v>
      </c>
      <c r="M9886" s="10" t="s">
        <v>60983</v>
      </c>
      <c r="N9886" s="10" t="s">
        <v>75</v>
      </c>
      <c r="O9886" s="12" t="s">
        <v>76</v>
      </c>
      <c r="P9886" s="10" t="s">
        <v>60809</v>
      </c>
      <c r="Q9886" s="10" t="s">
        <v>60810</v>
      </c>
      <c r="R9886" s="10" t="s">
        <v>75</v>
      </c>
      <c r="S9886" s="12" t="s">
        <v>60811</v>
      </c>
      <c r="T9886" s="10" t="s">
        <v>66</v>
      </c>
      <c r="U9886" s="12" t="s">
        <v>31</v>
      </c>
      <c r="V9886" s="10" t="s">
        <v>502</v>
      </c>
      <c r="W9886" s="10" t="s">
        <v>27079</v>
      </c>
      <c r="X9886" s="13" t="str">
        <f>HYPERLINK("https://my.pitchbook.com?p=406289-53P","View People Online")</f>
        <v>View People Online</v>
      </c>
    </row>
    <row r="9887">
      <c r="A9887" s="14" t="s">
        <v>60984</v>
      </c>
      <c r="B9887" s="14" t="s">
        <v>60985</v>
      </c>
      <c r="C9887" s="14" t="s">
        <v>5092</v>
      </c>
      <c r="D9887" s="14" t="s">
        <v>3275</v>
      </c>
      <c r="E9887" s="14" t="s">
        <v>27079</v>
      </c>
      <c r="F9887" s="14" t="s">
        <v>825</v>
      </c>
      <c r="G9887" s="14" t="s">
        <v>60986</v>
      </c>
      <c r="H9887" s="15" t="s">
        <v>31</v>
      </c>
      <c r="I9887" s="15">
        <v>4.0</v>
      </c>
      <c r="J9887" s="15">
        <v>1.0</v>
      </c>
      <c r="K9887" s="15">
        <v>3.0</v>
      </c>
      <c r="L9887" s="16" t="s">
        <v>27075</v>
      </c>
      <c r="M9887" s="14" t="s">
        <v>60987</v>
      </c>
      <c r="N9887" s="14" t="s">
        <v>6588</v>
      </c>
      <c r="O9887" s="16" t="s">
        <v>6589</v>
      </c>
      <c r="P9887" s="14" t="s">
        <v>27076</v>
      </c>
      <c r="Q9887" s="14" t="s">
        <v>31</v>
      </c>
      <c r="R9887" s="14" t="s">
        <v>93</v>
      </c>
      <c r="S9887" s="16" t="s">
        <v>27077</v>
      </c>
      <c r="T9887" s="14" t="s">
        <v>66</v>
      </c>
      <c r="U9887" s="16" t="s">
        <v>31</v>
      </c>
      <c r="V9887" s="14" t="s">
        <v>60988</v>
      </c>
      <c r="W9887" s="14" t="s">
        <v>27079</v>
      </c>
      <c r="X9887" s="17" t="str">
        <f>HYPERLINK("https://my.pitchbook.com?p=386269-48P","View People Online")</f>
        <v>View People Online</v>
      </c>
    </row>
    <row r="9888">
      <c r="A9888" s="10" t="s">
        <v>60989</v>
      </c>
      <c r="B9888" s="10" t="s">
        <v>60990</v>
      </c>
      <c r="C9888" s="10" t="s">
        <v>3089</v>
      </c>
      <c r="D9888" s="10" t="s">
        <v>60991</v>
      </c>
      <c r="E9888" s="10" t="s">
        <v>27079</v>
      </c>
      <c r="F9888" s="10" t="s">
        <v>1283</v>
      </c>
      <c r="G9888" s="10" t="s">
        <v>60992</v>
      </c>
      <c r="H9888" s="11" t="s">
        <v>31</v>
      </c>
      <c r="I9888" s="11">
        <v>50.0</v>
      </c>
      <c r="J9888" s="11">
        <v>1.0</v>
      </c>
      <c r="K9888" s="11">
        <v>47.0</v>
      </c>
      <c r="L9888" s="12" t="s">
        <v>27075</v>
      </c>
      <c r="M9888" s="10" t="s">
        <v>60993</v>
      </c>
      <c r="N9888" s="10" t="s">
        <v>6588</v>
      </c>
      <c r="O9888" s="12" t="s">
        <v>6589</v>
      </c>
      <c r="P9888" s="10" t="s">
        <v>27076</v>
      </c>
      <c r="Q9888" s="10" t="s">
        <v>31</v>
      </c>
      <c r="R9888" s="10" t="s">
        <v>93</v>
      </c>
      <c r="S9888" s="12" t="s">
        <v>27077</v>
      </c>
      <c r="T9888" s="10" t="s">
        <v>66</v>
      </c>
      <c r="U9888" s="12" t="s">
        <v>31</v>
      </c>
      <c r="V9888" s="10" t="s">
        <v>1283</v>
      </c>
      <c r="W9888" s="10" t="s">
        <v>27079</v>
      </c>
      <c r="X9888" s="13" t="str">
        <f>HYPERLINK("https://my.pitchbook.com?p=317823-67P","View People Online")</f>
        <v>View People Online</v>
      </c>
    </row>
    <row r="9889">
      <c r="A9889" s="14" t="s">
        <v>60994</v>
      </c>
      <c r="B9889" s="14" t="s">
        <v>60995</v>
      </c>
      <c r="C9889" s="14" t="s">
        <v>60996</v>
      </c>
      <c r="D9889" s="14" t="s">
        <v>60997</v>
      </c>
      <c r="E9889" s="14" t="s">
        <v>27079</v>
      </c>
      <c r="F9889" s="14" t="s">
        <v>1283</v>
      </c>
      <c r="G9889" s="14" t="s">
        <v>60998</v>
      </c>
      <c r="H9889" s="15" t="s">
        <v>31</v>
      </c>
      <c r="I9889" s="15">
        <v>31.0</v>
      </c>
      <c r="J9889" s="15">
        <v>1.0</v>
      </c>
      <c r="K9889" s="15">
        <v>27.0</v>
      </c>
      <c r="L9889" s="16" t="s">
        <v>27075</v>
      </c>
      <c r="M9889" s="14" t="s">
        <v>60999</v>
      </c>
      <c r="N9889" s="14" t="s">
        <v>6588</v>
      </c>
      <c r="O9889" s="16" t="s">
        <v>6589</v>
      </c>
      <c r="P9889" s="14" t="s">
        <v>27076</v>
      </c>
      <c r="Q9889" s="14" t="s">
        <v>31</v>
      </c>
      <c r="R9889" s="14" t="s">
        <v>93</v>
      </c>
      <c r="S9889" s="16" t="s">
        <v>27077</v>
      </c>
      <c r="T9889" s="14" t="s">
        <v>66</v>
      </c>
      <c r="U9889" s="16" t="s">
        <v>31</v>
      </c>
      <c r="V9889" s="14" t="s">
        <v>1283</v>
      </c>
      <c r="W9889" s="14" t="s">
        <v>27079</v>
      </c>
      <c r="X9889" s="17" t="str">
        <f>HYPERLINK("https://my.pitchbook.com?p=226667-17P","View People Online")</f>
        <v>View People Online</v>
      </c>
    </row>
    <row r="9890">
      <c r="A9890" s="2" t="s">
        <v>61000</v>
      </c>
      <c r="B9890" s="2" t="s">
        <v>61001</v>
      </c>
      <c r="C9890" s="2" t="s">
        <v>1489</v>
      </c>
      <c r="D9890" s="2" t="s">
        <v>3775</v>
      </c>
      <c r="E9890" s="2" t="s">
        <v>27079</v>
      </c>
      <c r="F9890" s="2" t="s">
        <v>59154</v>
      </c>
      <c r="G9890" s="2" t="s">
        <v>61002</v>
      </c>
      <c r="H9890" s="3" t="s">
        <v>31</v>
      </c>
      <c r="I9890" s="3">
        <v>4.0</v>
      </c>
      <c r="J9890" s="3">
        <v>3.0</v>
      </c>
      <c r="K9890" s="3">
        <v>1.0</v>
      </c>
      <c r="L9890" s="4" t="s">
        <v>31</v>
      </c>
      <c r="M9890" s="2" t="s">
        <v>31</v>
      </c>
      <c r="N9890" s="2" t="s">
        <v>155</v>
      </c>
      <c r="O9890" s="4" t="s">
        <v>156</v>
      </c>
      <c r="P9890" s="2" t="s">
        <v>61003</v>
      </c>
      <c r="Q9890" s="2" t="s">
        <v>61004</v>
      </c>
      <c r="R9890" s="2" t="s">
        <v>64</v>
      </c>
      <c r="S9890" s="4" t="s">
        <v>5588</v>
      </c>
      <c r="T9890" s="2" t="s">
        <v>66</v>
      </c>
      <c r="U9890" s="4" t="s">
        <v>31</v>
      </c>
      <c r="V9890" s="2" t="s">
        <v>991</v>
      </c>
      <c r="W9890" s="2" t="s">
        <v>61005</v>
      </c>
      <c r="X9890" s="5" t="str">
        <f>HYPERLINK("https://my.pitchbook.com?p=223810-39P","View People Online")</f>
        <v>View People Online</v>
      </c>
    </row>
    <row r="9891">
      <c r="A9891" s="14" t="s">
        <v>61006</v>
      </c>
      <c r="B9891" s="14" t="s">
        <v>61007</v>
      </c>
      <c r="C9891" s="14" t="s">
        <v>2288</v>
      </c>
      <c r="D9891" s="14" t="s">
        <v>61008</v>
      </c>
      <c r="E9891" s="14" t="s">
        <v>27079</v>
      </c>
      <c r="F9891" s="14" t="s">
        <v>270</v>
      </c>
      <c r="G9891" s="14" t="s">
        <v>61009</v>
      </c>
      <c r="H9891" s="15">
        <v>1.0</v>
      </c>
      <c r="I9891" s="15">
        <v>9.0</v>
      </c>
      <c r="J9891" s="15">
        <v>1.0</v>
      </c>
      <c r="K9891" s="15">
        <v>5.0</v>
      </c>
      <c r="L9891" s="16" t="s">
        <v>31</v>
      </c>
      <c r="M9891" s="14" t="s">
        <v>31</v>
      </c>
      <c r="N9891" s="14" t="s">
        <v>243</v>
      </c>
      <c r="O9891" s="16" t="s">
        <v>244</v>
      </c>
      <c r="P9891" s="14" t="s">
        <v>61010</v>
      </c>
      <c r="Q9891" s="14" t="s">
        <v>61011</v>
      </c>
      <c r="R9891" s="14" t="s">
        <v>247</v>
      </c>
      <c r="S9891" s="16" t="s">
        <v>61012</v>
      </c>
      <c r="T9891" s="14" t="s">
        <v>249</v>
      </c>
      <c r="U9891" s="16" t="s">
        <v>31</v>
      </c>
      <c r="V9891" s="14" t="s">
        <v>61013</v>
      </c>
      <c r="W9891" s="14" t="s">
        <v>27079</v>
      </c>
      <c r="X9891" s="17" t="str">
        <f>HYPERLINK("https://my.pitchbook.com?p=77596-03P","View People Online")</f>
        <v>View People Online</v>
      </c>
    </row>
    <row r="9892">
      <c r="A9892" s="2" t="s">
        <v>61014</v>
      </c>
      <c r="B9892" s="2" t="s">
        <v>61015</v>
      </c>
      <c r="C9892" s="2" t="s">
        <v>2288</v>
      </c>
      <c r="D9892" s="2" t="s">
        <v>61016</v>
      </c>
      <c r="E9892" s="2" t="s">
        <v>27079</v>
      </c>
      <c r="F9892" s="2" t="s">
        <v>81</v>
      </c>
      <c r="G9892" s="2" t="s">
        <v>61017</v>
      </c>
      <c r="H9892" s="3" t="s">
        <v>31</v>
      </c>
      <c r="I9892" s="3">
        <v>1.0</v>
      </c>
      <c r="J9892" s="3" t="s">
        <v>31</v>
      </c>
      <c r="K9892" s="3" t="s">
        <v>31</v>
      </c>
      <c r="L9892" s="4" t="s">
        <v>31</v>
      </c>
      <c r="M9892" s="2" t="s">
        <v>31</v>
      </c>
      <c r="N9892" s="2" t="s">
        <v>1181</v>
      </c>
      <c r="O9892" s="4" t="s">
        <v>1182</v>
      </c>
      <c r="P9892" s="2" t="s">
        <v>31</v>
      </c>
      <c r="Q9892" s="2" t="s">
        <v>31</v>
      </c>
      <c r="R9892" s="2" t="s">
        <v>1185</v>
      </c>
      <c r="S9892" s="4" t="s">
        <v>31</v>
      </c>
      <c r="T9892" s="2" t="s">
        <v>66</v>
      </c>
      <c r="U9892" s="4" t="s">
        <v>31</v>
      </c>
      <c r="V9892" s="2" t="s">
        <v>81</v>
      </c>
      <c r="W9892" s="2" t="s">
        <v>27079</v>
      </c>
      <c r="X9892" s="5" t="str">
        <f>HYPERLINK("https://my.pitchbook.com?p=37067-32P","View People Online")</f>
        <v>View People Online</v>
      </c>
    </row>
    <row r="9893">
      <c r="A9893" s="6" t="s">
        <v>61018</v>
      </c>
      <c r="B9893" s="6" t="s">
        <v>61019</v>
      </c>
      <c r="C9893" s="6" t="s">
        <v>1645</v>
      </c>
      <c r="D9893" s="6" t="s">
        <v>61020</v>
      </c>
      <c r="E9893" s="6" t="s">
        <v>27079</v>
      </c>
      <c r="F9893" s="6" t="s">
        <v>1283</v>
      </c>
      <c r="G9893" s="6" t="s">
        <v>61021</v>
      </c>
      <c r="H9893" s="7">
        <v>1.0</v>
      </c>
      <c r="I9893" s="7">
        <v>42.0</v>
      </c>
      <c r="J9893" s="7">
        <v>1.0</v>
      </c>
      <c r="K9893" s="7">
        <v>33.0</v>
      </c>
      <c r="L9893" s="8" t="s">
        <v>31</v>
      </c>
      <c r="M9893" s="6" t="s">
        <v>61022</v>
      </c>
      <c r="N9893" s="6" t="s">
        <v>429</v>
      </c>
      <c r="O9893" s="8" t="s">
        <v>430</v>
      </c>
      <c r="P9893" s="6" t="s">
        <v>31</v>
      </c>
      <c r="Q9893" s="6" t="s">
        <v>31</v>
      </c>
      <c r="R9893" s="6" t="s">
        <v>31</v>
      </c>
      <c r="S9893" s="8" t="s">
        <v>31</v>
      </c>
      <c r="T9893" s="6" t="s">
        <v>433</v>
      </c>
      <c r="U9893" s="8" t="s">
        <v>31</v>
      </c>
      <c r="V9893" s="6" t="s">
        <v>1283</v>
      </c>
      <c r="W9893" s="6" t="s">
        <v>27079</v>
      </c>
      <c r="X9893" s="9" t="str">
        <f>HYPERLINK("https://my.pitchbook.com?p=211918-15P","View People Online")</f>
        <v>View People Online</v>
      </c>
    </row>
    <row r="9894">
      <c r="A9894" s="2" t="s">
        <v>61023</v>
      </c>
      <c r="B9894" s="2" t="s">
        <v>61024</v>
      </c>
      <c r="C9894" s="2" t="s">
        <v>3554</v>
      </c>
      <c r="D9894" s="2" t="s">
        <v>61025</v>
      </c>
      <c r="E9894" s="2" t="s">
        <v>27079</v>
      </c>
      <c r="F9894" s="2" t="s">
        <v>1283</v>
      </c>
      <c r="G9894" s="2" t="s">
        <v>61026</v>
      </c>
      <c r="H9894" s="3">
        <v>1.0</v>
      </c>
      <c r="I9894" s="3">
        <v>80.0</v>
      </c>
      <c r="J9894" s="3">
        <v>2.0</v>
      </c>
      <c r="K9894" s="3">
        <v>70.0</v>
      </c>
      <c r="L9894" s="4" t="s">
        <v>61027</v>
      </c>
      <c r="M9894" s="2" t="s">
        <v>31</v>
      </c>
      <c r="N9894" s="2" t="s">
        <v>1170</v>
      </c>
      <c r="O9894" s="4" t="s">
        <v>1171</v>
      </c>
      <c r="P9894" s="2" t="s">
        <v>61028</v>
      </c>
      <c r="Q9894" s="2" t="s">
        <v>31</v>
      </c>
      <c r="R9894" s="2" t="s">
        <v>64</v>
      </c>
      <c r="S9894" s="4" t="s">
        <v>61029</v>
      </c>
      <c r="T9894" s="2" t="s">
        <v>66</v>
      </c>
      <c r="U9894" s="4" t="s">
        <v>31</v>
      </c>
      <c r="V9894" s="2" t="s">
        <v>61030</v>
      </c>
      <c r="W9894" s="2" t="s">
        <v>61031</v>
      </c>
      <c r="X9894" s="5" t="str">
        <f>HYPERLINK("https://my.pitchbook.com?p=76995-46P","View People Online")</f>
        <v>View People Online</v>
      </c>
    </row>
    <row r="9895">
      <c r="A9895" s="6" t="s">
        <v>61032</v>
      </c>
      <c r="B9895" s="6" t="s">
        <v>61033</v>
      </c>
      <c r="C9895" s="6" t="s">
        <v>126</v>
      </c>
      <c r="D9895" s="6" t="s">
        <v>61034</v>
      </c>
      <c r="E9895" s="6" t="s">
        <v>27079</v>
      </c>
      <c r="F9895" s="6" t="s">
        <v>825</v>
      </c>
      <c r="G9895" s="6" t="s">
        <v>61035</v>
      </c>
      <c r="H9895" s="7" t="s">
        <v>31</v>
      </c>
      <c r="I9895" s="7">
        <v>1.0</v>
      </c>
      <c r="J9895" s="7">
        <v>1.0</v>
      </c>
      <c r="K9895" s="7" t="s">
        <v>31</v>
      </c>
      <c r="L9895" s="8" t="s">
        <v>27075</v>
      </c>
      <c r="M9895" s="6" t="s">
        <v>61036</v>
      </c>
      <c r="N9895" s="6" t="s">
        <v>6588</v>
      </c>
      <c r="O9895" s="8" t="s">
        <v>6589</v>
      </c>
      <c r="P9895" s="6" t="s">
        <v>27076</v>
      </c>
      <c r="Q9895" s="6" t="s">
        <v>31</v>
      </c>
      <c r="R9895" s="6" t="s">
        <v>93</v>
      </c>
      <c r="S9895" s="8" t="s">
        <v>27077</v>
      </c>
      <c r="T9895" s="6" t="s">
        <v>66</v>
      </c>
      <c r="U9895" s="8" t="s">
        <v>31</v>
      </c>
      <c r="V9895" s="6" t="s">
        <v>61037</v>
      </c>
      <c r="W9895" s="6" t="s">
        <v>27079</v>
      </c>
      <c r="X9895" s="9" t="str">
        <f>HYPERLINK("https://my.pitchbook.com?p=159254-83P","View People Online")</f>
        <v>View People Online</v>
      </c>
    </row>
    <row r="9896">
      <c r="A9896" s="2" t="s">
        <v>61038</v>
      </c>
      <c r="B9896" s="2" t="s">
        <v>61039</v>
      </c>
      <c r="C9896" s="2" t="s">
        <v>26641</v>
      </c>
      <c r="D9896" s="2" t="s">
        <v>41630</v>
      </c>
      <c r="E9896" s="2" t="s">
        <v>27079</v>
      </c>
      <c r="F9896" s="2" t="s">
        <v>270</v>
      </c>
      <c r="G9896" s="2" t="s">
        <v>61040</v>
      </c>
      <c r="H9896" s="3" t="s">
        <v>31</v>
      </c>
      <c r="I9896" s="3">
        <v>1.0</v>
      </c>
      <c r="J9896" s="3">
        <v>1.0</v>
      </c>
      <c r="K9896" s="3" t="s">
        <v>31</v>
      </c>
      <c r="L9896" s="4" t="s">
        <v>31</v>
      </c>
      <c r="M9896" s="2" t="s">
        <v>31</v>
      </c>
      <c r="N9896" s="2" t="s">
        <v>1170</v>
      </c>
      <c r="O9896" s="4" t="s">
        <v>1171</v>
      </c>
      <c r="P9896" s="2" t="s">
        <v>61041</v>
      </c>
      <c r="Q9896" s="2" t="s">
        <v>31</v>
      </c>
      <c r="R9896" s="2" t="s">
        <v>64</v>
      </c>
      <c r="S9896" s="4" t="s">
        <v>61042</v>
      </c>
      <c r="T9896" s="2" t="s">
        <v>66</v>
      </c>
      <c r="U9896" s="4" t="s">
        <v>31</v>
      </c>
      <c r="V9896" s="2" t="s">
        <v>27009</v>
      </c>
      <c r="W9896" s="2" t="s">
        <v>27079</v>
      </c>
      <c r="X9896" s="5" t="str">
        <f>HYPERLINK("https://my.pitchbook.com?p=140801-14P","View People Online")</f>
        <v>View People Online</v>
      </c>
    </row>
    <row r="9897">
      <c r="A9897" s="14" t="s">
        <v>61043</v>
      </c>
      <c r="B9897" s="14" t="s">
        <v>61044</v>
      </c>
      <c r="C9897" s="14" t="s">
        <v>7028</v>
      </c>
      <c r="D9897" s="14" t="s">
        <v>61045</v>
      </c>
      <c r="E9897" s="14" t="s">
        <v>27079</v>
      </c>
      <c r="F9897" s="14" t="s">
        <v>1283</v>
      </c>
      <c r="G9897" s="14" t="s">
        <v>61046</v>
      </c>
      <c r="H9897" s="15">
        <v>1.0</v>
      </c>
      <c r="I9897" s="15">
        <v>74.0</v>
      </c>
      <c r="J9897" s="15">
        <v>1.0</v>
      </c>
      <c r="K9897" s="15">
        <v>67.0</v>
      </c>
      <c r="L9897" s="16" t="s">
        <v>61047</v>
      </c>
      <c r="M9897" s="14" t="s">
        <v>61048</v>
      </c>
      <c r="N9897" s="14" t="s">
        <v>75</v>
      </c>
      <c r="O9897" s="16" t="s">
        <v>76</v>
      </c>
      <c r="P9897" s="14" t="s">
        <v>60809</v>
      </c>
      <c r="Q9897" s="14" t="s">
        <v>60810</v>
      </c>
      <c r="R9897" s="14" t="s">
        <v>75</v>
      </c>
      <c r="S9897" s="16" t="s">
        <v>60811</v>
      </c>
      <c r="T9897" s="14" t="s">
        <v>66</v>
      </c>
      <c r="U9897" s="16" t="s">
        <v>31</v>
      </c>
      <c r="V9897" s="14" t="s">
        <v>1283</v>
      </c>
      <c r="W9897" s="14" t="s">
        <v>27079</v>
      </c>
      <c r="X9897" s="17" t="str">
        <f>HYPERLINK("https://my.pitchbook.com?p=221433-76P","View People Online")</f>
        <v>View People Online</v>
      </c>
    </row>
    <row r="9898">
      <c r="A9898" s="2" t="s">
        <v>61049</v>
      </c>
      <c r="B9898" s="2" t="s">
        <v>61050</v>
      </c>
      <c r="C9898" s="2" t="s">
        <v>907</v>
      </c>
      <c r="D9898" s="2" t="s">
        <v>61051</v>
      </c>
      <c r="E9898" s="2" t="s">
        <v>27079</v>
      </c>
      <c r="F9898" s="2" t="s">
        <v>1283</v>
      </c>
      <c r="G9898" s="2" t="s">
        <v>61052</v>
      </c>
      <c r="H9898" s="3" t="s">
        <v>31</v>
      </c>
      <c r="I9898" s="3">
        <v>6.0</v>
      </c>
      <c r="J9898" s="3">
        <v>1.0</v>
      </c>
      <c r="K9898" s="3">
        <v>5.0</v>
      </c>
      <c r="L9898" s="4" t="s">
        <v>31</v>
      </c>
      <c r="M9898" s="2" t="s">
        <v>61053</v>
      </c>
      <c r="N9898" s="2" t="s">
        <v>75</v>
      </c>
      <c r="O9898" s="4" t="s">
        <v>76</v>
      </c>
      <c r="P9898" s="2" t="s">
        <v>60809</v>
      </c>
      <c r="Q9898" s="2" t="s">
        <v>60810</v>
      </c>
      <c r="R9898" s="2" t="s">
        <v>75</v>
      </c>
      <c r="S9898" s="4" t="s">
        <v>60811</v>
      </c>
      <c r="T9898" s="2" t="s">
        <v>66</v>
      </c>
      <c r="U9898" s="4" t="s">
        <v>31</v>
      </c>
      <c r="V9898" s="2" t="s">
        <v>1283</v>
      </c>
      <c r="W9898" s="2" t="s">
        <v>27079</v>
      </c>
      <c r="X9898" s="5" t="str">
        <f>HYPERLINK("https://my.pitchbook.com?p=78111-37P","View People Online")</f>
        <v>View People Online</v>
      </c>
    </row>
    <row r="9899">
      <c r="A9899" s="14" t="s">
        <v>61054</v>
      </c>
      <c r="B9899" s="14" t="s">
        <v>61055</v>
      </c>
      <c r="C9899" s="14" t="s">
        <v>61056</v>
      </c>
      <c r="D9899" s="14" t="s">
        <v>61057</v>
      </c>
      <c r="E9899" s="14" t="s">
        <v>27079</v>
      </c>
      <c r="F9899" s="14" t="s">
        <v>61058</v>
      </c>
      <c r="G9899" s="14" t="s">
        <v>61059</v>
      </c>
      <c r="H9899" s="15" t="s">
        <v>31</v>
      </c>
      <c r="I9899" s="15">
        <v>3.0</v>
      </c>
      <c r="J9899" s="15">
        <v>1.0</v>
      </c>
      <c r="K9899" s="15">
        <v>2.0</v>
      </c>
      <c r="L9899" s="16" t="s">
        <v>31</v>
      </c>
      <c r="M9899" s="14" t="s">
        <v>61060</v>
      </c>
      <c r="N9899" s="14" t="s">
        <v>10290</v>
      </c>
      <c r="O9899" s="16" t="s">
        <v>10291</v>
      </c>
      <c r="P9899" s="14" t="s">
        <v>61061</v>
      </c>
      <c r="Q9899" s="14" t="s">
        <v>61062</v>
      </c>
      <c r="R9899" s="14" t="s">
        <v>31</v>
      </c>
      <c r="S9899" s="16" t="s">
        <v>31</v>
      </c>
      <c r="T9899" s="14" t="s">
        <v>10295</v>
      </c>
      <c r="U9899" s="16" t="s">
        <v>31</v>
      </c>
      <c r="V9899" s="14" t="s">
        <v>61063</v>
      </c>
      <c r="W9899" s="14" t="s">
        <v>27079</v>
      </c>
      <c r="X9899" s="17" t="str">
        <f>HYPERLINK("https://my.pitchbook.com?p=339741-55P","View People Online")</f>
        <v>View People Online</v>
      </c>
    </row>
    <row r="9900">
      <c r="A9900" s="10" t="s">
        <v>61064</v>
      </c>
      <c r="B9900" s="10" t="s">
        <v>61065</v>
      </c>
      <c r="C9900" s="10" t="s">
        <v>4590</v>
      </c>
      <c r="D9900" s="10" t="s">
        <v>5858</v>
      </c>
      <c r="E9900" s="10" t="s">
        <v>27079</v>
      </c>
      <c r="F9900" s="10" t="s">
        <v>1283</v>
      </c>
      <c r="G9900" s="10" t="s">
        <v>61066</v>
      </c>
      <c r="H9900" s="11">
        <v>2.0</v>
      </c>
      <c r="I9900" s="11">
        <v>16.0</v>
      </c>
      <c r="J9900" s="11">
        <v>2.0</v>
      </c>
      <c r="K9900" s="11">
        <v>12.0</v>
      </c>
      <c r="L9900" s="12" t="s">
        <v>31</v>
      </c>
      <c r="M9900" s="10" t="s">
        <v>61067</v>
      </c>
      <c r="N9900" s="10" t="s">
        <v>3190</v>
      </c>
      <c r="O9900" s="12" t="s">
        <v>3191</v>
      </c>
      <c r="P9900" s="10" t="s">
        <v>61068</v>
      </c>
      <c r="Q9900" s="10" t="s">
        <v>31</v>
      </c>
      <c r="R9900" s="10" t="s">
        <v>31</v>
      </c>
      <c r="S9900" s="12" t="s">
        <v>61069</v>
      </c>
      <c r="T9900" s="10" t="s">
        <v>3194</v>
      </c>
      <c r="U9900" s="12" t="s">
        <v>31</v>
      </c>
      <c r="V9900" s="10" t="s">
        <v>50077</v>
      </c>
      <c r="W9900" s="10" t="s">
        <v>61070</v>
      </c>
      <c r="X9900" s="13" t="str">
        <f>HYPERLINK("https://my.pitchbook.com?p=196726-78P","View People Online")</f>
        <v>View People Online</v>
      </c>
    </row>
    <row r="9901">
      <c r="A9901" s="6" t="s">
        <v>61071</v>
      </c>
      <c r="B9901" s="6" t="s">
        <v>61072</v>
      </c>
      <c r="C9901" s="6" t="s">
        <v>4015</v>
      </c>
      <c r="D9901" s="6" t="s">
        <v>61073</v>
      </c>
      <c r="E9901" s="6" t="s">
        <v>27079</v>
      </c>
      <c r="F9901" s="6" t="s">
        <v>270</v>
      </c>
      <c r="G9901" s="6" t="s">
        <v>61074</v>
      </c>
      <c r="H9901" s="7" t="s">
        <v>31</v>
      </c>
      <c r="I9901" s="7">
        <v>1.0</v>
      </c>
      <c r="J9901" s="7">
        <v>1.0</v>
      </c>
      <c r="K9901" s="7" t="s">
        <v>31</v>
      </c>
      <c r="L9901" s="8" t="s">
        <v>31</v>
      </c>
      <c r="M9901" s="6" t="s">
        <v>61075</v>
      </c>
      <c r="N9901" s="6" t="s">
        <v>75</v>
      </c>
      <c r="O9901" s="8" t="s">
        <v>76</v>
      </c>
      <c r="P9901" s="6" t="s">
        <v>60809</v>
      </c>
      <c r="Q9901" s="6" t="s">
        <v>60810</v>
      </c>
      <c r="R9901" s="6" t="s">
        <v>75</v>
      </c>
      <c r="S9901" s="8" t="s">
        <v>60811</v>
      </c>
      <c r="T9901" s="6" t="s">
        <v>66</v>
      </c>
      <c r="U9901" s="8" t="s">
        <v>31</v>
      </c>
      <c r="V9901" s="6" t="s">
        <v>2004</v>
      </c>
      <c r="W9901" s="6" t="s">
        <v>27079</v>
      </c>
      <c r="X9901" s="9" t="str">
        <f>HYPERLINK("https://my.pitchbook.com?p=333791-38P","View People Online")</f>
        <v>View People Online</v>
      </c>
    </row>
    <row r="9902">
      <c r="A9902" s="10" t="s">
        <v>61076</v>
      </c>
      <c r="B9902" s="10" t="s">
        <v>61077</v>
      </c>
      <c r="C9902" s="10" t="s">
        <v>21463</v>
      </c>
      <c r="D9902" s="10" t="s">
        <v>5985</v>
      </c>
      <c r="E9902" s="10" t="s">
        <v>27079</v>
      </c>
      <c r="F9902" s="10" t="s">
        <v>4406</v>
      </c>
      <c r="G9902" s="10" t="s">
        <v>61078</v>
      </c>
      <c r="H9902" s="11" t="s">
        <v>31</v>
      </c>
      <c r="I9902" s="11">
        <v>1.0</v>
      </c>
      <c r="J9902" s="11">
        <v>1.0</v>
      </c>
      <c r="K9902" s="11" t="s">
        <v>31</v>
      </c>
      <c r="L9902" s="12" t="s">
        <v>27075</v>
      </c>
      <c r="M9902" s="10" t="s">
        <v>61079</v>
      </c>
      <c r="N9902" s="10" t="s">
        <v>6588</v>
      </c>
      <c r="O9902" s="12" t="s">
        <v>6589</v>
      </c>
      <c r="P9902" s="10" t="s">
        <v>27076</v>
      </c>
      <c r="Q9902" s="10" t="s">
        <v>31</v>
      </c>
      <c r="R9902" s="10" t="s">
        <v>93</v>
      </c>
      <c r="S9902" s="12" t="s">
        <v>27077</v>
      </c>
      <c r="T9902" s="10" t="s">
        <v>66</v>
      </c>
      <c r="U9902" s="12" t="s">
        <v>31</v>
      </c>
      <c r="V9902" s="10" t="s">
        <v>4406</v>
      </c>
      <c r="W9902" s="10" t="s">
        <v>27079</v>
      </c>
      <c r="X9902" s="13" t="str">
        <f>HYPERLINK("https://my.pitchbook.com?p=127047-88P","View People Online")</f>
        <v>View People Online</v>
      </c>
    </row>
    <row r="9903">
      <c r="A9903" s="14" t="s">
        <v>61080</v>
      </c>
      <c r="B9903" s="14" t="s">
        <v>61081</v>
      </c>
      <c r="C9903" s="14" t="s">
        <v>1388</v>
      </c>
      <c r="D9903" s="14" t="s">
        <v>61082</v>
      </c>
      <c r="E9903" s="14" t="s">
        <v>27079</v>
      </c>
      <c r="F9903" s="14" t="s">
        <v>1283</v>
      </c>
      <c r="G9903" s="14" t="s">
        <v>61083</v>
      </c>
      <c r="H9903" s="15" t="s">
        <v>31</v>
      </c>
      <c r="I9903" s="15">
        <v>18.0</v>
      </c>
      <c r="J9903" s="15">
        <v>1.0</v>
      </c>
      <c r="K9903" s="15">
        <v>17.0</v>
      </c>
      <c r="L9903" s="16" t="s">
        <v>27075</v>
      </c>
      <c r="M9903" s="14" t="s">
        <v>61084</v>
      </c>
      <c r="N9903" s="14" t="s">
        <v>6588</v>
      </c>
      <c r="O9903" s="16" t="s">
        <v>6589</v>
      </c>
      <c r="P9903" s="14" t="s">
        <v>27076</v>
      </c>
      <c r="Q9903" s="14" t="s">
        <v>31</v>
      </c>
      <c r="R9903" s="14" t="s">
        <v>93</v>
      </c>
      <c r="S9903" s="16" t="s">
        <v>27077</v>
      </c>
      <c r="T9903" s="14" t="s">
        <v>66</v>
      </c>
      <c r="U9903" s="16" t="s">
        <v>31</v>
      </c>
      <c r="V9903" s="14" t="s">
        <v>1283</v>
      </c>
      <c r="W9903" s="14" t="s">
        <v>27079</v>
      </c>
      <c r="X9903" s="17" t="str">
        <f>HYPERLINK("https://my.pitchbook.com?p=176513-59P","View People Online")</f>
        <v>View People Online</v>
      </c>
    </row>
    <row r="9904">
      <c r="A9904" s="2" t="s">
        <v>61085</v>
      </c>
      <c r="B9904" s="2" t="s">
        <v>61086</v>
      </c>
      <c r="C9904" s="2" t="s">
        <v>39107</v>
      </c>
      <c r="D9904" s="2" t="s">
        <v>61087</v>
      </c>
      <c r="E9904" s="2" t="s">
        <v>27079</v>
      </c>
      <c r="F9904" s="2" t="s">
        <v>3710</v>
      </c>
      <c r="G9904" s="2" t="s">
        <v>61088</v>
      </c>
      <c r="H9904" s="3" t="s">
        <v>31</v>
      </c>
      <c r="I9904" s="3">
        <v>3.0</v>
      </c>
      <c r="J9904" s="3">
        <v>1.0</v>
      </c>
      <c r="K9904" s="3">
        <v>1.0</v>
      </c>
      <c r="L9904" s="4" t="s">
        <v>27075</v>
      </c>
      <c r="M9904" s="2" t="s">
        <v>61089</v>
      </c>
      <c r="N9904" s="2" t="s">
        <v>6588</v>
      </c>
      <c r="O9904" s="4" t="s">
        <v>6589</v>
      </c>
      <c r="P9904" s="2" t="s">
        <v>27076</v>
      </c>
      <c r="Q9904" s="2" t="s">
        <v>31</v>
      </c>
      <c r="R9904" s="2" t="s">
        <v>93</v>
      </c>
      <c r="S9904" s="4" t="s">
        <v>27077</v>
      </c>
      <c r="T9904" s="2" t="s">
        <v>66</v>
      </c>
      <c r="U9904" s="4" t="s">
        <v>31</v>
      </c>
      <c r="V9904" s="2" t="s">
        <v>39852</v>
      </c>
      <c r="W9904" s="2" t="s">
        <v>27079</v>
      </c>
      <c r="X9904" s="5" t="str">
        <f>HYPERLINK("https://my.pitchbook.com?p=143867-08P","View People Online")</f>
        <v>View People Online</v>
      </c>
    </row>
    <row r="9905">
      <c r="A9905" s="14" t="s">
        <v>61090</v>
      </c>
      <c r="B9905" s="14" t="s">
        <v>61091</v>
      </c>
      <c r="C9905" s="14" t="s">
        <v>61092</v>
      </c>
      <c r="D9905" s="14" t="s">
        <v>61093</v>
      </c>
      <c r="E9905" s="14" t="s">
        <v>27079</v>
      </c>
      <c r="F9905" s="14" t="s">
        <v>270</v>
      </c>
      <c r="G9905" s="14" t="s">
        <v>61094</v>
      </c>
      <c r="H9905" s="15">
        <v>2.0</v>
      </c>
      <c r="I9905" s="15">
        <v>3.0</v>
      </c>
      <c r="J9905" s="15">
        <v>1.0</v>
      </c>
      <c r="K9905" s="15" t="s">
        <v>31</v>
      </c>
      <c r="L9905" s="16" t="s">
        <v>61095</v>
      </c>
      <c r="M9905" s="14" t="s">
        <v>61096</v>
      </c>
      <c r="N9905" s="14" t="s">
        <v>61097</v>
      </c>
      <c r="O9905" s="16" t="s">
        <v>61098</v>
      </c>
      <c r="P9905" s="14" t="s">
        <v>61099</v>
      </c>
      <c r="Q9905" s="14" t="s">
        <v>31</v>
      </c>
      <c r="R9905" s="14" t="s">
        <v>209</v>
      </c>
      <c r="S9905" s="16" t="s">
        <v>61100</v>
      </c>
      <c r="T9905" s="14" t="s">
        <v>66</v>
      </c>
      <c r="U9905" s="16" t="s">
        <v>31</v>
      </c>
      <c r="V9905" s="14" t="s">
        <v>2379</v>
      </c>
      <c r="W9905" s="14" t="s">
        <v>61101</v>
      </c>
      <c r="X9905" s="17" t="str">
        <f>HYPERLINK("https://my.pitchbook.com?p=217388-35P","View People Online")</f>
        <v>View People Online</v>
      </c>
    </row>
    <row r="9906">
      <c r="A9906" s="10" t="s">
        <v>61102</v>
      </c>
      <c r="B9906" s="10" t="s">
        <v>61103</v>
      </c>
      <c r="C9906" s="10" t="s">
        <v>12354</v>
      </c>
      <c r="D9906" s="10" t="s">
        <v>61104</v>
      </c>
      <c r="E9906" s="10" t="s">
        <v>27079</v>
      </c>
      <c r="F9906" s="10" t="s">
        <v>270</v>
      </c>
      <c r="G9906" s="10" t="s">
        <v>61105</v>
      </c>
      <c r="H9906" s="11" t="s">
        <v>31</v>
      </c>
      <c r="I9906" s="11">
        <v>2.0</v>
      </c>
      <c r="J9906" s="11">
        <v>1.0</v>
      </c>
      <c r="K9906" s="11">
        <v>1.0</v>
      </c>
      <c r="L9906" s="12" t="s">
        <v>27075</v>
      </c>
      <c r="M9906" s="10" t="s">
        <v>61106</v>
      </c>
      <c r="N9906" s="10" t="s">
        <v>6588</v>
      </c>
      <c r="O9906" s="12" t="s">
        <v>6589</v>
      </c>
      <c r="P9906" s="10" t="s">
        <v>27076</v>
      </c>
      <c r="Q9906" s="10" t="s">
        <v>31</v>
      </c>
      <c r="R9906" s="10" t="s">
        <v>93</v>
      </c>
      <c r="S9906" s="12" t="s">
        <v>27077</v>
      </c>
      <c r="T9906" s="10" t="s">
        <v>66</v>
      </c>
      <c r="U9906" s="12" t="s">
        <v>31</v>
      </c>
      <c r="V9906" s="10" t="s">
        <v>61107</v>
      </c>
      <c r="W9906" s="10" t="s">
        <v>27079</v>
      </c>
      <c r="X9906" s="13" t="str">
        <f>HYPERLINK("https://my.pitchbook.com?p=368547-58P","View People Online")</f>
        <v>View People Online</v>
      </c>
    </row>
    <row r="9907">
      <c r="A9907" s="6" t="s">
        <v>61108</v>
      </c>
      <c r="B9907" s="6" t="s">
        <v>61109</v>
      </c>
      <c r="C9907" s="6" t="s">
        <v>42624</v>
      </c>
      <c r="D9907" s="6" t="s">
        <v>6461</v>
      </c>
      <c r="E9907" s="6" t="s">
        <v>27079</v>
      </c>
      <c r="F9907" s="6" t="s">
        <v>1283</v>
      </c>
      <c r="G9907" s="6" t="s">
        <v>61110</v>
      </c>
      <c r="H9907" s="7">
        <v>1.0</v>
      </c>
      <c r="I9907" s="7">
        <v>20.0</v>
      </c>
      <c r="J9907" s="7">
        <v>1.0</v>
      </c>
      <c r="K9907" s="7">
        <v>16.0</v>
      </c>
      <c r="L9907" s="8" t="s">
        <v>61111</v>
      </c>
      <c r="M9907" s="6" t="s">
        <v>61112</v>
      </c>
      <c r="N9907" s="6" t="s">
        <v>75</v>
      </c>
      <c r="O9907" s="8" t="s">
        <v>76</v>
      </c>
      <c r="P9907" s="6" t="s">
        <v>60809</v>
      </c>
      <c r="Q9907" s="6" t="s">
        <v>60810</v>
      </c>
      <c r="R9907" s="6" t="s">
        <v>75</v>
      </c>
      <c r="S9907" s="8" t="s">
        <v>60811</v>
      </c>
      <c r="T9907" s="6" t="s">
        <v>66</v>
      </c>
      <c r="U9907" s="8" t="s">
        <v>31</v>
      </c>
      <c r="V9907" s="6" t="s">
        <v>1283</v>
      </c>
      <c r="W9907" s="6" t="s">
        <v>27079</v>
      </c>
      <c r="X9907" s="9" t="str">
        <f>HYPERLINK("https://my.pitchbook.com?p=75607-57P","View People Online")</f>
        <v>View People Online</v>
      </c>
    </row>
    <row r="9908">
      <c r="A9908" s="10" t="s">
        <v>61113</v>
      </c>
      <c r="B9908" s="10" t="s">
        <v>61114</v>
      </c>
      <c r="C9908" s="10" t="s">
        <v>2483</v>
      </c>
      <c r="D9908" s="10" t="s">
        <v>807</v>
      </c>
      <c r="E9908" s="10" t="s">
        <v>27079</v>
      </c>
      <c r="F9908" s="10" t="s">
        <v>8581</v>
      </c>
      <c r="G9908" s="10" t="s">
        <v>61115</v>
      </c>
      <c r="H9908" s="11" t="s">
        <v>31</v>
      </c>
      <c r="I9908" s="11">
        <v>6.0</v>
      </c>
      <c r="J9908" s="11">
        <v>2.0</v>
      </c>
      <c r="K9908" s="11">
        <v>3.0</v>
      </c>
      <c r="L9908" s="12" t="s">
        <v>31</v>
      </c>
      <c r="M9908" s="10" t="s">
        <v>61116</v>
      </c>
      <c r="N9908" s="10" t="s">
        <v>75</v>
      </c>
      <c r="O9908" s="12" t="s">
        <v>76</v>
      </c>
      <c r="P9908" s="10" t="s">
        <v>60809</v>
      </c>
      <c r="Q9908" s="10" t="s">
        <v>60810</v>
      </c>
      <c r="R9908" s="10" t="s">
        <v>75</v>
      </c>
      <c r="S9908" s="12" t="s">
        <v>60811</v>
      </c>
      <c r="T9908" s="10" t="s">
        <v>66</v>
      </c>
      <c r="U9908" s="12" t="s">
        <v>31</v>
      </c>
      <c r="V9908" s="10" t="s">
        <v>61117</v>
      </c>
      <c r="W9908" s="10" t="s">
        <v>27079</v>
      </c>
      <c r="X9908" s="13" t="str">
        <f>HYPERLINK("https://my.pitchbook.com?p=208152-37P","View People Online")</f>
        <v>View People Online</v>
      </c>
    </row>
    <row r="9909">
      <c r="A9909" s="6" t="s">
        <v>61118</v>
      </c>
      <c r="B9909" s="6" t="s">
        <v>61119</v>
      </c>
      <c r="C9909" s="6" t="s">
        <v>23272</v>
      </c>
      <c r="D9909" s="6" t="s">
        <v>61120</v>
      </c>
      <c r="E9909" s="6" t="s">
        <v>27079</v>
      </c>
      <c r="F9909" s="6" t="s">
        <v>1283</v>
      </c>
      <c r="G9909" s="6" t="s">
        <v>61121</v>
      </c>
      <c r="H9909" s="7" t="s">
        <v>31</v>
      </c>
      <c r="I9909" s="7">
        <v>9.0</v>
      </c>
      <c r="J9909" s="7">
        <v>2.0</v>
      </c>
      <c r="K9909" s="7">
        <v>5.0</v>
      </c>
      <c r="L9909" s="8" t="s">
        <v>31</v>
      </c>
      <c r="M9909" s="6" t="s">
        <v>31</v>
      </c>
      <c r="N9909" s="6" t="s">
        <v>1005</v>
      </c>
      <c r="O9909" s="8" t="s">
        <v>1006</v>
      </c>
      <c r="P9909" s="6" t="s">
        <v>61122</v>
      </c>
      <c r="Q9909" s="6" t="s">
        <v>61123</v>
      </c>
      <c r="R9909" s="6" t="s">
        <v>31</v>
      </c>
      <c r="S9909" s="8" t="s">
        <v>61124</v>
      </c>
      <c r="T9909" s="6" t="s">
        <v>1010</v>
      </c>
      <c r="U9909" s="8" t="s">
        <v>31</v>
      </c>
      <c r="V9909" s="6" t="s">
        <v>61125</v>
      </c>
      <c r="W9909" s="6" t="s">
        <v>61126</v>
      </c>
      <c r="X9909" s="9" t="str">
        <f>HYPERLINK("https://my.pitchbook.com?p=211425-67P","View People Online")</f>
        <v>View People Online</v>
      </c>
    </row>
    <row r="9910">
      <c r="A9910" s="10" t="s">
        <v>61127</v>
      </c>
      <c r="B9910" s="10" t="s">
        <v>61128</v>
      </c>
      <c r="C9910" s="10" t="s">
        <v>20369</v>
      </c>
      <c r="D9910" s="10" t="s">
        <v>43671</v>
      </c>
      <c r="E9910" s="10" t="s">
        <v>61129</v>
      </c>
      <c r="F9910" s="10" t="s">
        <v>548</v>
      </c>
      <c r="G9910" s="10" t="s">
        <v>61130</v>
      </c>
      <c r="H9910" s="11" t="s">
        <v>31</v>
      </c>
      <c r="I9910" s="11">
        <v>1.0</v>
      </c>
      <c r="J9910" s="11">
        <v>1.0</v>
      </c>
      <c r="K9910" s="11" t="s">
        <v>31</v>
      </c>
      <c r="L9910" s="12" t="s">
        <v>61131</v>
      </c>
      <c r="M9910" s="10" t="s">
        <v>31</v>
      </c>
      <c r="N9910" s="10" t="s">
        <v>15993</v>
      </c>
      <c r="O9910" s="12" t="s">
        <v>15994</v>
      </c>
      <c r="P9910" s="10" t="s">
        <v>61132</v>
      </c>
      <c r="Q9910" s="10" t="s">
        <v>31</v>
      </c>
      <c r="R9910" s="10" t="s">
        <v>15997</v>
      </c>
      <c r="S9910" s="12" t="s">
        <v>61133</v>
      </c>
      <c r="T9910" s="10" t="s">
        <v>1019</v>
      </c>
      <c r="U9910" s="12" t="s">
        <v>61134</v>
      </c>
      <c r="V9910" s="10" t="s">
        <v>548</v>
      </c>
      <c r="W9910" s="10" t="s">
        <v>61129</v>
      </c>
      <c r="X9910" s="13" t="str">
        <f>HYPERLINK("https://my.pitchbook.com?p=146710-45P","View People Online")</f>
        <v>View People Online</v>
      </c>
    </row>
    <row r="9911">
      <c r="A9911" s="14" t="s">
        <v>61135</v>
      </c>
      <c r="B9911" s="14" t="s">
        <v>61136</v>
      </c>
      <c r="C9911" s="14" t="s">
        <v>1388</v>
      </c>
      <c r="D9911" s="14" t="s">
        <v>290</v>
      </c>
      <c r="E9911" s="14" t="s">
        <v>61129</v>
      </c>
      <c r="F9911" s="14" t="s">
        <v>1801</v>
      </c>
      <c r="G9911" s="14" t="s">
        <v>61137</v>
      </c>
      <c r="H9911" s="15" t="s">
        <v>31</v>
      </c>
      <c r="I9911" s="15">
        <v>1.0</v>
      </c>
      <c r="J9911" s="15">
        <v>1.0</v>
      </c>
      <c r="K9911" s="15" t="s">
        <v>31</v>
      </c>
      <c r="L9911" s="16" t="s">
        <v>61131</v>
      </c>
      <c r="M9911" s="14" t="s">
        <v>61138</v>
      </c>
      <c r="N9911" s="14" t="s">
        <v>15993</v>
      </c>
      <c r="O9911" s="16" t="s">
        <v>15994</v>
      </c>
      <c r="P9911" s="14" t="s">
        <v>61132</v>
      </c>
      <c r="Q9911" s="14" t="s">
        <v>31</v>
      </c>
      <c r="R9911" s="14" t="s">
        <v>15997</v>
      </c>
      <c r="S9911" s="16" t="s">
        <v>61133</v>
      </c>
      <c r="T9911" s="14" t="s">
        <v>1019</v>
      </c>
      <c r="U9911" s="16" t="s">
        <v>61134</v>
      </c>
      <c r="V9911" s="14" t="s">
        <v>61139</v>
      </c>
      <c r="W9911" s="14" t="s">
        <v>61129</v>
      </c>
      <c r="X9911" s="17" t="str">
        <f>HYPERLINK("https://my.pitchbook.com?p=239793-04P","View People Online")</f>
        <v>View People Online</v>
      </c>
    </row>
    <row r="9912">
      <c r="A9912" s="2" t="s">
        <v>61140</v>
      </c>
      <c r="B9912" s="2" t="s">
        <v>61141</v>
      </c>
      <c r="C9912" s="2" t="s">
        <v>61142</v>
      </c>
      <c r="D9912" s="2" t="s">
        <v>61143</v>
      </c>
      <c r="E9912" s="2" t="s">
        <v>61144</v>
      </c>
      <c r="F9912" s="2" t="s">
        <v>548</v>
      </c>
      <c r="G9912" s="2" t="s">
        <v>61145</v>
      </c>
      <c r="H9912" s="3" t="s">
        <v>31</v>
      </c>
      <c r="I9912" s="3">
        <v>1.0</v>
      </c>
      <c r="J9912" s="3">
        <v>1.0</v>
      </c>
      <c r="K9912" s="3" t="s">
        <v>31</v>
      </c>
      <c r="L9912" s="4" t="s">
        <v>61146</v>
      </c>
      <c r="M9912" s="2" t="s">
        <v>61147</v>
      </c>
      <c r="N9912" s="2" t="s">
        <v>1781</v>
      </c>
      <c r="O9912" s="4" t="s">
        <v>1782</v>
      </c>
      <c r="P9912" s="2" t="s">
        <v>61148</v>
      </c>
      <c r="Q9912" s="2" t="s">
        <v>24124</v>
      </c>
      <c r="R9912" s="2" t="s">
        <v>1785</v>
      </c>
      <c r="S9912" s="4" t="s">
        <v>61149</v>
      </c>
      <c r="T9912" s="2" t="s">
        <v>1019</v>
      </c>
      <c r="U9912" s="4" t="s">
        <v>31</v>
      </c>
      <c r="V9912" s="2" t="s">
        <v>61150</v>
      </c>
      <c r="W9912" s="2" t="s">
        <v>61144</v>
      </c>
      <c r="X9912" s="5" t="str">
        <f>HYPERLINK("https://my.pitchbook.com?p=397436-32P","View People Online")</f>
        <v>View People Online</v>
      </c>
    </row>
    <row r="9913">
      <c r="A9913" s="14" t="s">
        <v>61151</v>
      </c>
      <c r="B9913" s="14" t="s">
        <v>61152</v>
      </c>
      <c r="C9913" s="14" t="s">
        <v>31989</v>
      </c>
      <c r="D9913" s="14" t="s">
        <v>30194</v>
      </c>
      <c r="E9913" s="14" t="s">
        <v>61144</v>
      </c>
      <c r="F9913" s="14" t="s">
        <v>13073</v>
      </c>
      <c r="G9913" s="14" t="s">
        <v>61153</v>
      </c>
      <c r="H9913" s="15" t="s">
        <v>31</v>
      </c>
      <c r="I9913" s="15">
        <v>1.0</v>
      </c>
      <c r="J9913" s="15">
        <v>1.0</v>
      </c>
      <c r="K9913" s="15" t="s">
        <v>31</v>
      </c>
      <c r="L9913" s="16" t="s">
        <v>61146</v>
      </c>
      <c r="M9913" s="14" t="s">
        <v>61154</v>
      </c>
      <c r="N9913" s="14" t="s">
        <v>1781</v>
      </c>
      <c r="O9913" s="16" t="s">
        <v>1782</v>
      </c>
      <c r="P9913" s="14" t="s">
        <v>61148</v>
      </c>
      <c r="Q9913" s="14" t="s">
        <v>24124</v>
      </c>
      <c r="R9913" s="14" t="s">
        <v>1785</v>
      </c>
      <c r="S9913" s="16" t="s">
        <v>61149</v>
      </c>
      <c r="T9913" s="14" t="s">
        <v>1019</v>
      </c>
      <c r="U9913" s="16" t="s">
        <v>31</v>
      </c>
      <c r="V9913" s="14" t="s">
        <v>61155</v>
      </c>
      <c r="W9913" s="14" t="s">
        <v>61144</v>
      </c>
      <c r="X9913" s="17" t="str">
        <f>HYPERLINK("https://my.pitchbook.com?p=397438-21P","View People Online")</f>
        <v>View People Online</v>
      </c>
    </row>
    <row r="9914">
      <c r="A9914" s="2" t="s">
        <v>61156</v>
      </c>
      <c r="B9914" s="2" t="s">
        <v>61157</v>
      </c>
      <c r="C9914" s="2" t="s">
        <v>2658</v>
      </c>
      <c r="D9914" s="2" t="s">
        <v>21299</v>
      </c>
      <c r="E9914" s="2" t="s">
        <v>61144</v>
      </c>
      <c r="F9914" s="2" t="s">
        <v>7608</v>
      </c>
      <c r="G9914" s="2" t="s">
        <v>61158</v>
      </c>
      <c r="H9914" s="3" t="s">
        <v>31</v>
      </c>
      <c r="I9914" s="3">
        <v>1.0</v>
      </c>
      <c r="J9914" s="3">
        <v>1.0</v>
      </c>
      <c r="K9914" s="3" t="s">
        <v>31</v>
      </c>
      <c r="L9914" s="4" t="s">
        <v>61146</v>
      </c>
      <c r="M9914" s="2" t="s">
        <v>61159</v>
      </c>
      <c r="N9914" s="2" t="s">
        <v>1781</v>
      </c>
      <c r="O9914" s="4" t="s">
        <v>1782</v>
      </c>
      <c r="P9914" s="2" t="s">
        <v>61148</v>
      </c>
      <c r="Q9914" s="2" t="s">
        <v>24124</v>
      </c>
      <c r="R9914" s="2" t="s">
        <v>1785</v>
      </c>
      <c r="S9914" s="4" t="s">
        <v>61149</v>
      </c>
      <c r="T9914" s="2" t="s">
        <v>1019</v>
      </c>
      <c r="U9914" s="4" t="s">
        <v>31</v>
      </c>
      <c r="V9914" s="2" t="s">
        <v>61160</v>
      </c>
      <c r="W9914" s="2" t="s">
        <v>61144</v>
      </c>
      <c r="X9914" s="5" t="str">
        <f>HYPERLINK("https://my.pitchbook.com?p=265902-67P","View People Online")</f>
        <v>View People Online</v>
      </c>
    </row>
    <row r="9915">
      <c r="A9915" s="6" t="s">
        <v>61161</v>
      </c>
      <c r="B9915" s="6" t="s">
        <v>61162</v>
      </c>
      <c r="C9915" s="6" t="s">
        <v>1117</v>
      </c>
      <c r="D9915" s="6" t="s">
        <v>61163</v>
      </c>
      <c r="E9915" s="6" t="s">
        <v>61144</v>
      </c>
      <c r="F9915" s="6" t="s">
        <v>548</v>
      </c>
      <c r="G9915" s="6" t="s">
        <v>61164</v>
      </c>
      <c r="H9915" s="7" t="s">
        <v>31</v>
      </c>
      <c r="I9915" s="7">
        <v>2.0</v>
      </c>
      <c r="J9915" s="7">
        <v>1.0</v>
      </c>
      <c r="K9915" s="7">
        <v>1.0</v>
      </c>
      <c r="L9915" s="8" t="s">
        <v>61146</v>
      </c>
      <c r="M9915" s="6" t="s">
        <v>61165</v>
      </c>
      <c r="N9915" s="6" t="s">
        <v>1781</v>
      </c>
      <c r="O9915" s="8" t="s">
        <v>1782</v>
      </c>
      <c r="P9915" s="6" t="s">
        <v>61148</v>
      </c>
      <c r="Q9915" s="6" t="s">
        <v>24124</v>
      </c>
      <c r="R9915" s="6" t="s">
        <v>1785</v>
      </c>
      <c r="S9915" s="8" t="s">
        <v>61149</v>
      </c>
      <c r="T9915" s="6" t="s">
        <v>1019</v>
      </c>
      <c r="U9915" s="8" t="s">
        <v>31</v>
      </c>
      <c r="V9915" s="6" t="s">
        <v>4876</v>
      </c>
      <c r="W9915" s="6" t="s">
        <v>61144</v>
      </c>
      <c r="X9915" s="9" t="str">
        <f>HYPERLINK("https://my.pitchbook.com?p=89402-23P","View People Online")</f>
        <v>View People Online</v>
      </c>
    </row>
    <row r="9916">
      <c r="A9916" s="2" t="s">
        <v>61166</v>
      </c>
      <c r="B9916" s="2" t="s">
        <v>61167</v>
      </c>
      <c r="C9916" s="2" t="s">
        <v>29163</v>
      </c>
      <c r="D9916" s="2" t="s">
        <v>28011</v>
      </c>
      <c r="E9916" s="2" t="s">
        <v>61144</v>
      </c>
      <c r="F9916" s="2" t="s">
        <v>57</v>
      </c>
      <c r="G9916" s="2" t="s">
        <v>61168</v>
      </c>
      <c r="H9916" s="3" t="s">
        <v>31</v>
      </c>
      <c r="I9916" s="3">
        <v>11.0</v>
      </c>
      <c r="J9916" s="3">
        <v>1.0</v>
      </c>
      <c r="K9916" s="3">
        <v>8.0</v>
      </c>
      <c r="L9916" s="4" t="s">
        <v>61146</v>
      </c>
      <c r="M9916" s="2" t="s">
        <v>31</v>
      </c>
      <c r="N9916" s="2" t="s">
        <v>1781</v>
      </c>
      <c r="O9916" s="4" t="s">
        <v>1782</v>
      </c>
      <c r="P9916" s="2" t="s">
        <v>61148</v>
      </c>
      <c r="Q9916" s="2" t="s">
        <v>24124</v>
      </c>
      <c r="R9916" s="2" t="s">
        <v>1785</v>
      </c>
      <c r="S9916" s="4" t="s">
        <v>61149</v>
      </c>
      <c r="T9916" s="2" t="s">
        <v>1019</v>
      </c>
      <c r="U9916" s="4" t="s">
        <v>31</v>
      </c>
      <c r="V9916" s="2" t="s">
        <v>61169</v>
      </c>
      <c r="W9916" s="2" t="s">
        <v>61144</v>
      </c>
      <c r="X9916" s="5" t="str">
        <f>HYPERLINK("https://my.pitchbook.com?p=273477-43P","View People Online")</f>
        <v>View People Online</v>
      </c>
    </row>
    <row r="9917">
      <c r="A9917" s="14" t="s">
        <v>61170</v>
      </c>
      <c r="B9917" s="14" t="s">
        <v>61171</v>
      </c>
      <c r="C9917" s="14" t="s">
        <v>285</v>
      </c>
      <c r="D9917" s="14" t="s">
        <v>61172</v>
      </c>
      <c r="E9917" s="14" t="s">
        <v>61144</v>
      </c>
      <c r="F9917" s="14" t="s">
        <v>44820</v>
      </c>
      <c r="G9917" s="14" t="s">
        <v>61173</v>
      </c>
      <c r="H9917" s="15">
        <v>1.0</v>
      </c>
      <c r="I9917" s="15">
        <v>3.0</v>
      </c>
      <c r="J9917" s="15">
        <v>1.0</v>
      </c>
      <c r="K9917" s="15">
        <v>1.0</v>
      </c>
      <c r="L9917" s="16" t="s">
        <v>61146</v>
      </c>
      <c r="M9917" s="14" t="s">
        <v>61174</v>
      </c>
      <c r="N9917" s="14" t="s">
        <v>1781</v>
      </c>
      <c r="O9917" s="16" t="s">
        <v>1782</v>
      </c>
      <c r="P9917" s="14" t="s">
        <v>61148</v>
      </c>
      <c r="Q9917" s="14" t="s">
        <v>24124</v>
      </c>
      <c r="R9917" s="14" t="s">
        <v>1785</v>
      </c>
      <c r="S9917" s="16" t="s">
        <v>61149</v>
      </c>
      <c r="T9917" s="14" t="s">
        <v>1019</v>
      </c>
      <c r="U9917" s="16" t="s">
        <v>31</v>
      </c>
      <c r="V9917" s="14" t="s">
        <v>61175</v>
      </c>
      <c r="W9917" s="14" t="s">
        <v>61144</v>
      </c>
      <c r="X9917" s="17" t="str">
        <f>HYPERLINK("https://my.pitchbook.com?p=322523-11P","View People Online")</f>
        <v>View People Online</v>
      </c>
    </row>
    <row r="9918">
      <c r="A9918" s="10" t="s">
        <v>61176</v>
      </c>
      <c r="B9918" s="10" t="s">
        <v>61177</v>
      </c>
      <c r="C9918" s="10" t="s">
        <v>11111</v>
      </c>
      <c r="D9918" s="10" t="s">
        <v>61178</v>
      </c>
      <c r="E9918" s="10" t="s">
        <v>61144</v>
      </c>
      <c r="F9918" s="10" t="s">
        <v>1249</v>
      </c>
      <c r="G9918" s="10" t="s">
        <v>61179</v>
      </c>
      <c r="H9918" s="11">
        <v>2.0</v>
      </c>
      <c r="I9918" s="11">
        <v>16.0</v>
      </c>
      <c r="J9918" s="11">
        <v>1.0</v>
      </c>
      <c r="K9918" s="11">
        <v>14.0</v>
      </c>
      <c r="L9918" s="12" t="s">
        <v>61146</v>
      </c>
      <c r="M9918" s="10" t="s">
        <v>61180</v>
      </c>
      <c r="N9918" s="10" t="s">
        <v>1781</v>
      </c>
      <c r="O9918" s="12" t="s">
        <v>1782</v>
      </c>
      <c r="P9918" s="10" t="s">
        <v>61148</v>
      </c>
      <c r="Q9918" s="10" t="s">
        <v>24124</v>
      </c>
      <c r="R9918" s="10" t="s">
        <v>1785</v>
      </c>
      <c r="S9918" s="12" t="s">
        <v>61149</v>
      </c>
      <c r="T9918" s="10" t="s">
        <v>1019</v>
      </c>
      <c r="U9918" s="12" t="s">
        <v>31</v>
      </c>
      <c r="V9918" s="10" t="s">
        <v>61181</v>
      </c>
      <c r="W9918" s="10" t="s">
        <v>61144</v>
      </c>
      <c r="X9918" s="13" t="str">
        <f>HYPERLINK("https://my.pitchbook.com?p=58118-77P","View People Online")</f>
        <v>View People Online</v>
      </c>
    </row>
    <row r="9919">
      <c r="A9919" s="14" t="s">
        <v>61182</v>
      </c>
      <c r="B9919" s="14" t="s">
        <v>61183</v>
      </c>
      <c r="C9919" s="14" t="s">
        <v>11111</v>
      </c>
      <c r="D9919" s="14" t="s">
        <v>2561</v>
      </c>
      <c r="E9919" s="14" t="s">
        <v>61144</v>
      </c>
      <c r="F9919" s="14" t="s">
        <v>371</v>
      </c>
      <c r="G9919" s="14" t="s">
        <v>61184</v>
      </c>
      <c r="H9919" s="15" t="s">
        <v>31</v>
      </c>
      <c r="I9919" s="15">
        <v>2.0</v>
      </c>
      <c r="J9919" s="15">
        <v>1.0</v>
      </c>
      <c r="K9919" s="15">
        <v>1.0</v>
      </c>
      <c r="L9919" s="16" t="s">
        <v>61146</v>
      </c>
      <c r="M9919" s="14" t="s">
        <v>61185</v>
      </c>
      <c r="N9919" s="14" t="s">
        <v>1781</v>
      </c>
      <c r="O9919" s="16" t="s">
        <v>1782</v>
      </c>
      <c r="P9919" s="14" t="s">
        <v>61148</v>
      </c>
      <c r="Q9919" s="14" t="s">
        <v>24124</v>
      </c>
      <c r="R9919" s="14" t="s">
        <v>1785</v>
      </c>
      <c r="S9919" s="16" t="s">
        <v>61149</v>
      </c>
      <c r="T9919" s="14" t="s">
        <v>1019</v>
      </c>
      <c r="U9919" s="16" t="s">
        <v>31</v>
      </c>
      <c r="V9919" s="14" t="s">
        <v>4890</v>
      </c>
      <c r="W9919" s="14" t="s">
        <v>61144</v>
      </c>
      <c r="X9919" s="17" t="str">
        <f>HYPERLINK("https://my.pitchbook.com?p=89395-30P","View People Online")</f>
        <v>View People Online</v>
      </c>
    </row>
    <row r="9920">
      <c r="A9920" s="2" t="s">
        <v>61186</v>
      </c>
      <c r="B9920" s="2" t="s">
        <v>61187</v>
      </c>
      <c r="C9920" s="2" t="s">
        <v>3499</v>
      </c>
      <c r="D9920" s="2" t="s">
        <v>43677</v>
      </c>
      <c r="E9920" s="2" t="s">
        <v>61144</v>
      </c>
      <c r="F9920" s="2" t="s">
        <v>5418</v>
      </c>
      <c r="G9920" s="2" t="s">
        <v>61188</v>
      </c>
      <c r="H9920" s="3">
        <v>1.0</v>
      </c>
      <c r="I9920" s="3">
        <v>6.0</v>
      </c>
      <c r="J9920" s="3">
        <v>5.0</v>
      </c>
      <c r="K9920" s="3" t="s">
        <v>31</v>
      </c>
      <c r="L9920" s="4" t="s">
        <v>61146</v>
      </c>
      <c r="M9920" s="2" t="s">
        <v>61189</v>
      </c>
      <c r="N9920" s="2" t="s">
        <v>1781</v>
      </c>
      <c r="O9920" s="4" t="s">
        <v>1782</v>
      </c>
      <c r="P9920" s="2" t="s">
        <v>61148</v>
      </c>
      <c r="Q9920" s="2" t="s">
        <v>24124</v>
      </c>
      <c r="R9920" s="2" t="s">
        <v>1785</v>
      </c>
      <c r="S9920" s="4" t="s">
        <v>61149</v>
      </c>
      <c r="T9920" s="2" t="s">
        <v>1019</v>
      </c>
      <c r="U9920" s="4" t="s">
        <v>31</v>
      </c>
      <c r="V9920" s="2" t="s">
        <v>5418</v>
      </c>
      <c r="W9920" s="2" t="s">
        <v>61144</v>
      </c>
      <c r="X9920" s="5" t="str">
        <f>HYPERLINK("https://my.pitchbook.com?p=169575-04P","View People Online")</f>
        <v>View People Online</v>
      </c>
    </row>
    <row r="9921">
      <c r="A9921" s="6" t="s">
        <v>61190</v>
      </c>
      <c r="B9921" s="6" t="s">
        <v>61191</v>
      </c>
      <c r="C9921" s="6" t="s">
        <v>61192</v>
      </c>
      <c r="D9921" s="6" t="s">
        <v>10003</v>
      </c>
      <c r="E9921" s="6" t="s">
        <v>61144</v>
      </c>
      <c r="F9921" s="6" t="s">
        <v>371</v>
      </c>
      <c r="G9921" s="6" t="s">
        <v>61193</v>
      </c>
      <c r="H9921" s="7" t="s">
        <v>31</v>
      </c>
      <c r="I9921" s="7">
        <v>1.0</v>
      </c>
      <c r="J9921" s="7">
        <v>1.0</v>
      </c>
      <c r="K9921" s="7" t="s">
        <v>31</v>
      </c>
      <c r="L9921" s="8" t="s">
        <v>61146</v>
      </c>
      <c r="M9921" s="6" t="s">
        <v>61194</v>
      </c>
      <c r="N9921" s="6" t="s">
        <v>1781</v>
      </c>
      <c r="O9921" s="8" t="s">
        <v>1782</v>
      </c>
      <c r="P9921" s="6" t="s">
        <v>61148</v>
      </c>
      <c r="Q9921" s="6" t="s">
        <v>24124</v>
      </c>
      <c r="R9921" s="6" t="s">
        <v>1785</v>
      </c>
      <c r="S9921" s="8" t="s">
        <v>61149</v>
      </c>
      <c r="T9921" s="6" t="s">
        <v>1019</v>
      </c>
      <c r="U9921" s="8" t="s">
        <v>31</v>
      </c>
      <c r="V9921" s="6" t="s">
        <v>11500</v>
      </c>
      <c r="W9921" s="6" t="s">
        <v>61144</v>
      </c>
      <c r="X9921" s="9" t="str">
        <f>HYPERLINK("https://my.pitchbook.com?p=270959-59P","View People Online")</f>
        <v>View People Online</v>
      </c>
    </row>
    <row r="9922">
      <c r="A9922" s="2" t="s">
        <v>61195</v>
      </c>
      <c r="B9922" s="2" t="s">
        <v>61196</v>
      </c>
      <c r="C9922" s="2" t="s">
        <v>5003</v>
      </c>
      <c r="D9922" s="2" t="s">
        <v>61197</v>
      </c>
      <c r="E9922" s="2" t="s">
        <v>61144</v>
      </c>
      <c r="F9922" s="2" t="s">
        <v>548</v>
      </c>
      <c r="G9922" s="2" t="s">
        <v>61198</v>
      </c>
      <c r="H9922" s="3" t="s">
        <v>31</v>
      </c>
      <c r="I9922" s="3">
        <v>1.0</v>
      </c>
      <c r="J9922" s="3">
        <v>1.0</v>
      </c>
      <c r="K9922" s="3" t="s">
        <v>31</v>
      </c>
      <c r="L9922" s="4" t="s">
        <v>61146</v>
      </c>
      <c r="M9922" s="2" t="s">
        <v>61199</v>
      </c>
      <c r="N9922" s="2" t="s">
        <v>1781</v>
      </c>
      <c r="O9922" s="4" t="s">
        <v>1782</v>
      </c>
      <c r="P9922" s="2" t="s">
        <v>61148</v>
      </c>
      <c r="Q9922" s="2" t="s">
        <v>24124</v>
      </c>
      <c r="R9922" s="2" t="s">
        <v>1785</v>
      </c>
      <c r="S9922" s="4" t="s">
        <v>61149</v>
      </c>
      <c r="T9922" s="2" t="s">
        <v>1019</v>
      </c>
      <c r="U9922" s="4" t="s">
        <v>31</v>
      </c>
      <c r="V9922" s="2" t="s">
        <v>61200</v>
      </c>
      <c r="W9922" s="2" t="s">
        <v>61144</v>
      </c>
      <c r="X9922" s="5" t="str">
        <f>HYPERLINK("https://my.pitchbook.com?p=89402-32P","View People Online")</f>
        <v>View People Online</v>
      </c>
    </row>
    <row r="9923">
      <c r="A9923" s="6" t="s">
        <v>61201</v>
      </c>
      <c r="B9923" s="6" t="s">
        <v>61202</v>
      </c>
      <c r="C9923" s="6" t="s">
        <v>61203</v>
      </c>
      <c r="D9923" s="6" t="s">
        <v>61204</v>
      </c>
      <c r="E9923" s="6" t="s">
        <v>61144</v>
      </c>
      <c r="F9923" s="6" t="s">
        <v>8021</v>
      </c>
      <c r="G9923" s="6" t="s">
        <v>61205</v>
      </c>
      <c r="H9923" s="7" t="s">
        <v>31</v>
      </c>
      <c r="I9923" s="7">
        <v>1.0</v>
      </c>
      <c r="J9923" s="7">
        <v>1.0</v>
      </c>
      <c r="K9923" s="7" t="s">
        <v>31</v>
      </c>
      <c r="L9923" s="8" t="s">
        <v>61146</v>
      </c>
      <c r="M9923" s="6" t="s">
        <v>61206</v>
      </c>
      <c r="N9923" s="6" t="s">
        <v>1781</v>
      </c>
      <c r="O9923" s="8" t="s">
        <v>1782</v>
      </c>
      <c r="P9923" s="6" t="s">
        <v>61148</v>
      </c>
      <c r="Q9923" s="6" t="s">
        <v>24124</v>
      </c>
      <c r="R9923" s="6" t="s">
        <v>1785</v>
      </c>
      <c r="S9923" s="8" t="s">
        <v>61149</v>
      </c>
      <c r="T9923" s="6" t="s">
        <v>1019</v>
      </c>
      <c r="U9923" s="8" t="s">
        <v>31</v>
      </c>
      <c r="V9923" s="6" t="s">
        <v>8021</v>
      </c>
      <c r="W9923" s="6" t="s">
        <v>61144</v>
      </c>
      <c r="X9923" s="9" t="str">
        <f>HYPERLINK("https://my.pitchbook.com?p=422560-09P","View People Online")</f>
        <v>View People Online</v>
      </c>
    </row>
    <row r="9924">
      <c r="A9924" s="10" t="s">
        <v>61207</v>
      </c>
      <c r="B9924" s="10" t="s">
        <v>61208</v>
      </c>
      <c r="C9924" s="10" t="s">
        <v>3521</v>
      </c>
      <c r="D9924" s="10" t="s">
        <v>61209</v>
      </c>
      <c r="E9924" s="10" t="s">
        <v>61144</v>
      </c>
      <c r="F9924" s="10" t="s">
        <v>548</v>
      </c>
      <c r="G9924" s="10" t="s">
        <v>61210</v>
      </c>
      <c r="H9924" s="11" t="s">
        <v>31</v>
      </c>
      <c r="I9924" s="11">
        <v>1.0</v>
      </c>
      <c r="J9924" s="11">
        <v>1.0</v>
      </c>
      <c r="K9924" s="11" t="s">
        <v>31</v>
      </c>
      <c r="L9924" s="12" t="s">
        <v>61211</v>
      </c>
      <c r="M9924" s="10" t="s">
        <v>61212</v>
      </c>
      <c r="N9924" s="10" t="s">
        <v>1781</v>
      </c>
      <c r="O9924" s="12" t="s">
        <v>1782</v>
      </c>
      <c r="P9924" s="10" t="s">
        <v>61148</v>
      </c>
      <c r="Q9924" s="10" t="s">
        <v>24124</v>
      </c>
      <c r="R9924" s="10" t="s">
        <v>1785</v>
      </c>
      <c r="S9924" s="12" t="s">
        <v>61149</v>
      </c>
      <c r="T9924" s="10" t="s">
        <v>1019</v>
      </c>
      <c r="U9924" s="12" t="s">
        <v>31</v>
      </c>
      <c r="V9924" s="10" t="s">
        <v>760</v>
      </c>
      <c r="W9924" s="10" t="s">
        <v>61144</v>
      </c>
      <c r="X9924" s="13" t="str">
        <f>HYPERLINK("https://my.pitchbook.com?p=270961-03P","View People Online")</f>
        <v>View People Online</v>
      </c>
    </row>
    <row r="9925">
      <c r="A9925" s="6" t="s">
        <v>61213</v>
      </c>
      <c r="B9925" s="6" t="s">
        <v>61214</v>
      </c>
      <c r="C9925" s="6" t="s">
        <v>1031</v>
      </c>
      <c r="D9925" s="6" t="s">
        <v>61215</v>
      </c>
      <c r="E9925" s="6" t="s">
        <v>61144</v>
      </c>
      <c r="F9925" s="6" t="s">
        <v>3665</v>
      </c>
      <c r="G9925" s="6" t="s">
        <v>61216</v>
      </c>
      <c r="H9925" s="7" t="s">
        <v>31</v>
      </c>
      <c r="I9925" s="7">
        <v>2.0</v>
      </c>
      <c r="J9925" s="7">
        <v>1.0</v>
      </c>
      <c r="K9925" s="7">
        <v>1.0</v>
      </c>
      <c r="L9925" s="8" t="s">
        <v>61146</v>
      </c>
      <c r="M9925" s="6" t="s">
        <v>61217</v>
      </c>
      <c r="N9925" s="6" t="s">
        <v>1781</v>
      </c>
      <c r="O9925" s="8" t="s">
        <v>1782</v>
      </c>
      <c r="P9925" s="6" t="s">
        <v>61148</v>
      </c>
      <c r="Q9925" s="6" t="s">
        <v>24124</v>
      </c>
      <c r="R9925" s="6" t="s">
        <v>1785</v>
      </c>
      <c r="S9925" s="8" t="s">
        <v>61149</v>
      </c>
      <c r="T9925" s="6" t="s">
        <v>1019</v>
      </c>
      <c r="U9925" s="8" t="s">
        <v>31</v>
      </c>
      <c r="V9925" s="6" t="s">
        <v>61218</v>
      </c>
      <c r="W9925" s="6" t="s">
        <v>61144</v>
      </c>
      <c r="X9925" s="9" t="str">
        <f>HYPERLINK("https://my.pitchbook.com?p=113382-55P","View People Online")</f>
        <v>View People Online</v>
      </c>
    </row>
    <row r="9926">
      <c r="A9926" s="2" t="s">
        <v>61219</v>
      </c>
      <c r="B9926" s="2" t="s">
        <v>61220</v>
      </c>
      <c r="C9926" s="2" t="s">
        <v>61221</v>
      </c>
      <c r="D9926" s="2" t="s">
        <v>61222</v>
      </c>
      <c r="E9926" s="2" t="s">
        <v>61144</v>
      </c>
      <c r="F9926" s="2" t="s">
        <v>312</v>
      </c>
      <c r="G9926" s="2" t="s">
        <v>61223</v>
      </c>
      <c r="H9926" s="3" t="s">
        <v>31</v>
      </c>
      <c r="I9926" s="3">
        <v>2.0</v>
      </c>
      <c r="J9926" s="3">
        <v>1.0</v>
      </c>
      <c r="K9926" s="3">
        <v>1.0</v>
      </c>
      <c r="L9926" s="4" t="s">
        <v>61146</v>
      </c>
      <c r="M9926" s="2" t="s">
        <v>61224</v>
      </c>
      <c r="N9926" s="2" t="s">
        <v>1781</v>
      </c>
      <c r="O9926" s="4" t="s">
        <v>1782</v>
      </c>
      <c r="P9926" s="2" t="s">
        <v>61148</v>
      </c>
      <c r="Q9926" s="2" t="s">
        <v>24124</v>
      </c>
      <c r="R9926" s="2" t="s">
        <v>1785</v>
      </c>
      <c r="S9926" s="4" t="s">
        <v>61149</v>
      </c>
      <c r="T9926" s="2" t="s">
        <v>1019</v>
      </c>
      <c r="U9926" s="4" t="s">
        <v>31</v>
      </c>
      <c r="V9926" s="2" t="s">
        <v>61225</v>
      </c>
      <c r="W9926" s="2" t="s">
        <v>61144</v>
      </c>
      <c r="X9926" s="5" t="str">
        <f>HYPERLINK("https://my.pitchbook.com?p=420592-06P","View People Online")</f>
        <v>View People Online</v>
      </c>
    </row>
    <row r="9927">
      <c r="A9927" s="6" t="s">
        <v>61226</v>
      </c>
      <c r="B9927" s="6" t="s">
        <v>61227</v>
      </c>
      <c r="C9927" s="6" t="s">
        <v>1752</v>
      </c>
      <c r="D9927" s="6" t="s">
        <v>61228</v>
      </c>
      <c r="E9927" s="6" t="s">
        <v>61144</v>
      </c>
      <c r="F9927" s="6" t="s">
        <v>270</v>
      </c>
      <c r="G9927" s="6" t="s">
        <v>61229</v>
      </c>
      <c r="H9927" s="7" t="s">
        <v>31</v>
      </c>
      <c r="I9927" s="7">
        <v>1.0</v>
      </c>
      <c r="J9927" s="7">
        <v>1.0</v>
      </c>
      <c r="K9927" s="7" t="s">
        <v>31</v>
      </c>
      <c r="L9927" s="8" t="s">
        <v>61146</v>
      </c>
      <c r="M9927" s="6" t="s">
        <v>61230</v>
      </c>
      <c r="N9927" s="6" t="s">
        <v>1781</v>
      </c>
      <c r="O9927" s="8" t="s">
        <v>1782</v>
      </c>
      <c r="P9927" s="6" t="s">
        <v>61148</v>
      </c>
      <c r="Q9927" s="6" t="s">
        <v>24124</v>
      </c>
      <c r="R9927" s="6" t="s">
        <v>1785</v>
      </c>
      <c r="S9927" s="8" t="s">
        <v>61149</v>
      </c>
      <c r="T9927" s="6" t="s">
        <v>1019</v>
      </c>
      <c r="U9927" s="8" t="s">
        <v>31</v>
      </c>
      <c r="V9927" s="6" t="s">
        <v>61231</v>
      </c>
      <c r="W9927" s="6" t="s">
        <v>61144</v>
      </c>
      <c r="X9927" s="9" t="str">
        <f>HYPERLINK("https://my.pitchbook.com?p=312792-58P","View People Online")</f>
        <v>View People Online</v>
      </c>
    </row>
    <row r="9928">
      <c r="A9928" s="10" t="s">
        <v>61232</v>
      </c>
      <c r="B9928" s="10" t="s">
        <v>61233</v>
      </c>
      <c r="C9928" s="10" t="s">
        <v>61234</v>
      </c>
      <c r="D9928" s="10" t="s">
        <v>7484</v>
      </c>
      <c r="E9928" s="10" t="s">
        <v>61144</v>
      </c>
      <c r="F9928" s="10" t="s">
        <v>2731</v>
      </c>
      <c r="G9928" s="10" t="s">
        <v>61235</v>
      </c>
      <c r="H9928" s="11" t="s">
        <v>31</v>
      </c>
      <c r="I9928" s="11">
        <v>1.0</v>
      </c>
      <c r="J9928" s="11">
        <v>1.0</v>
      </c>
      <c r="K9928" s="11" t="s">
        <v>31</v>
      </c>
      <c r="L9928" s="12" t="s">
        <v>61146</v>
      </c>
      <c r="M9928" s="10" t="s">
        <v>61236</v>
      </c>
      <c r="N9928" s="10" t="s">
        <v>1781</v>
      </c>
      <c r="O9928" s="12" t="s">
        <v>1782</v>
      </c>
      <c r="P9928" s="10" t="s">
        <v>61148</v>
      </c>
      <c r="Q9928" s="10" t="s">
        <v>24124</v>
      </c>
      <c r="R9928" s="10" t="s">
        <v>1785</v>
      </c>
      <c r="S9928" s="12" t="s">
        <v>61149</v>
      </c>
      <c r="T9928" s="10" t="s">
        <v>1019</v>
      </c>
      <c r="U9928" s="12" t="s">
        <v>31</v>
      </c>
      <c r="V9928" s="10" t="s">
        <v>61237</v>
      </c>
      <c r="W9928" s="10" t="s">
        <v>61144</v>
      </c>
      <c r="X9928" s="13" t="str">
        <f>HYPERLINK("https://my.pitchbook.com?p=270960-04P","View People Online")</f>
        <v>View People Online</v>
      </c>
    </row>
    <row r="9929">
      <c r="A9929" s="6" t="s">
        <v>61238</v>
      </c>
      <c r="B9929" s="6" t="s">
        <v>61239</v>
      </c>
      <c r="C9929" s="6" t="s">
        <v>61240</v>
      </c>
      <c r="D9929" s="6" t="s">
        <v>61241</v>
      </c>
      <c r="E9929" s="6" t="s">
        <v>61144</v>
      </c>
      <c r="F9929" s="6" t="s">
        <v>1801</v>
      </c>
      <c r="G9929" s="6" t="s">
        <v>61242</v>
      </c>
      <c r="H9929" s="7" t="s">
        <v>31</v>
      </c>
      <c r="I9929" s="7">
        <v>1.0</v>
      </c>
      <c r="J9929" s="7">
        <v>1.0</v>
      </c>
      <c r="K9929" s="7" t="s">
        <v>31</v>
      </c>
      <c r="L9929" s="8" t="s">
        <v>61146</v>
      </c>
      <c r="M9929" s="6" t="s">
        <v>61243</v>
      </c>
      <c r="N9929" s="6" t="s">
        <v>1781</v>
      </c>
      <c r="O9929" s="8" t="s">
        <v>1782</v>
      </c>
      <c r="P9929" s="6" t="s">
        <v>61148</v>
      </c>
      <c r="Q9929" s="6" t="s">
        <v>24124</v>
      </c>
      <c r="R9929" s="6" t="s">
        <v>1785</v>
      </c>
      <c r="S9929" s="8" t="s">
        <v>61149</v>
      </c>
      <c r="T9929" s="6" t="s">
        <v>1019</v>
      </c>
      <c r="U9929" s="8" t="s">
        <v>31</v>
      </c>
      <c r="V9929" s="6" t="s">
        <v>61244</v>
      </c>
      <c r="W9929" s="6" t="s">
        <v>61144</v>
      </c>
      <c r="X9929" s="9" t="str">
        <f>HYPERLINK("https://my.pitchbook.com?p=366986-44P","View People Online")</f>
        <v>View People Online</v>
      </c>
    </row>
    <row r="9930">
      <c r="A9930" s="2" t="s">
        <v>61245</v>
      </c>
      <c r="B9930" s="2" t="s">
        <v>61246</v>
      </c>
      <c r="C9930" s="2" t="s">
        <v>61247</v>
      </c>
      <c r="D9930" s="2" t="s">
        <v>61248</v>
      </c>
      <c r="E9930" s="2" t="s">
        <v>61144</v>
      </c>
      <c r="F9930" s="2" t="s">
        <v>548</v>
      </c>
      <c r="G9930" s="2" t="s">
        <v>61249</v>
      </c>
      <c r="H9930" s="3" t="s">
        <v>31</v>
      </c>
      <c r="I9930" s="3">
        <v>1.0</v>
      </c>
      <c r="J9930" s="3">
        <v>1.0</v>
      </c>
      <c r="K9930" s="3" t="s">
        <v>31</v>
      </c>
      <c r="L9930" s="4" t="s">
        <v>61146</v>
      </c>
      <c r="M9930" s="2" t="s">
        <v>61250</v>
      </c>
      <c r="N9930" s="2" t="s">
        <v>1781</v>
      </c>
      <c r="O9930" s="4" t="s">
        <v>1782</v>
      </c>
      <c r="P9930" s="2" t="s">
        <v>61148</v>
      </c>
      <c r="Q9930" s="2" t="s">
        <v>24124</v>
      </c>
      <c r="R9930" s="2" t="s">
        <v>1785</v>
      </c>
      <c r="S9930" s="4" t="s">
        <v>61149</v>
      </c>
      <c r="T9930" s="2" t="s">
        <v>1019</v>
      </c>
      <c r="U9930" s="4" t="s">
        <v>31</v>
      </c>
      <c r="V9930" s="2" t="s">
        <v>61251</v>
      </c>
      <c r="W9930" s="2" t="s">
        <v>61144</v>
      </c>
      <c r="X9930" s="5" t="str">
        <f>HYPERLINK("https://my.pitchbook.com?p=450275-59P","View People Online")</f>
        <v>View People Online</v>
      </c>
    </row>
    <row r="9931">
      <c r="A9931" s="6" t="s">
        <v>61252</v>
      </c>
      <c r="B9931" s="6" t="s">
        <v>61253</v>
      </c>
      <c r="C9931" s="6" t="s">
        <v>38977</v>
      </c>
      <c r="D9931" s="6" t="s">
        <v>5286</v>
      </c>
      <c r="E9931" s="6" t="s">
        <v>61144</v>
      </c>
      <c r="F9931" s="6" t="s">
        <v>2731</v>
      </c>
      <c r="G9931" s="6" t="s">
        <v>61254</v>
      </c>
      <c r="H9931" s="7" t="s">
        <v>31</v>
      </c>
      <c r="I9931" s="7">
        <v>1.0</v>
      </c>
      <c r="J9931" s="7">
        <v>1.0</v>
      </c>
      <c r="K9931" s="7" t="s">
        <v>31</v>
      </c>
      <c r="L9931" s="8" t="s">
        <v>61146</v>
      </c>
      <c r="M9931" s="6" t="s">
        <v>61255</v>
      </c>
      <c r="N9931" s="6" t="s">
        <v>1781</v>
      </c>
      <c r="O9931" s="8" t="s">
        <v>1782</v>
      </c>
      <c r="P9931" s="6" t="s">
        <v>61148</v>
      </c>
      <c r="Q9931" s="6" t="s">
        <v>24124</v>
      </c>
      <c r="R9931" s="6" t="s">
        <v>1785</v>
      </c>
      <c r="S9931" s="8" t="s">
        <v>61149</v>
      </c>
      <c r="T9931" s="6" t="s">
        <v>1019</v>
      </c>
      <c r="U9931" s="8" t="s">
        <v>31</v>
      </c>
      <c r="V9931" s="6" t="s">
        <v>61256</v>
      </c>
      <c r="W9931" s="6" t="s">
        <v>61144</v>
      </c>
      <c r="X9931" s="9" t="str">
        <f>HYPERLINK("https://my.pitchbook.com?p=270960-49P","View People Online")</f>
        <v>View People Online</v>
      </c>
    </row>
    <row r="9932">
      <c r="A9932" s="2" t="s">
        <v>61257</v>
      </c>
      <c r="B9932" s="2" t="s">
        <v>61258</v>
      </c>
      <c r="C9932" s="2" t="s">
        <v>38977</v>
      </c>
      <c r="D9932" s="2" t="s">
        <v>61259</v>
      </c>
      <c r="E9932" s="2" t="s">
        <v>61144</v>
      </c>
      <c r="F9932" s="2" t="s">
        <v>548</v>
      </c>
      <c r="G9932" s="2" t="s">
        <v>61260</v>
      </c>
      <c r="H9932" s="3" t="s">
        <v>31</v>
      </c>
      <c r="I9932" s="3">
        <v>2.0</v>
      </c>
      <c r="J9932" s="3">
        <v>1.0</v>
      </c>
      <c r="K9932" s="3">
        <v>1.0</v>
      </c>
      <c r="L9932" s="4" t="s">
        <v>61146</v>
      </c>
      <c r="M9932" s="2" t="s">
        <v>61261</v>
      </c>
      <c r="N9932" s="2" t="s">
        <v>1781</v>
      </c>
      <c r="O9932" s="4" t="s">
        <v>1782</v>
      </c>
      <c r="P9932" s="2" t="s">
        <v>61148</v>
      </c>
      <c r="Q9932" s="2" t="s">
        <v>24124</v>
      </c>
      <c r="R9932" s="2" t="s">
        <v>1785</v>
      </c>
      <c r="S9932" s="4" t="s">
        <v>61149</v>
      </c>
      <c r="T9932" s="2" t="s">
        <v>1019</v>
      </c>
      <c r="U9932" s="4" t="s">
        <v>31</v>
      </c>
      <c r="V9932" s="2" t="s">
        <v>61262</v>
      </c>
      <c r="W9932" s="2" t="s">
        <v>61144</v>
      </c>
      <c r="X9932" s="5" t="str">
        <f>HYPERLINK("https://my.pitchbook.com?p=239311-00P","View People Online")</f>
        <v>View People Online</v>
      </c>
    </row>
    <row r="9933">
      <c r="A9933" s="14" t="s">
        <v>61263</v>
      </c>
      <c r="B9933" s="14" t="s">
        <v>61264</v>
      </c>
      <c r="C9933" s="14" t="s">
        <v>61265</v>
      </c>
      <c r="D9933" s="14" t="s">
        <v>61266</v>
      </c>
      <c r="E9933" s="14" t="s">
        <v>61144</v>
      </c>
      <c r="F9933" s="14" t="s">
        <v>270</v>
      </c>
      <c r="G9933" s="14" t="s">
        <v>61267</v>
      </c>
      <c r="H9933" s="15" t="s">
        <v>31</v>
      </c>
      <c r="I9933" s="15">
        <v>1.0</v>
      </c>
      <c r="J9933" s="15">
        <v>1.0</v>
      </c>
      <c r="K9933" s="15" t="s">
        <v>31</v>
      </c>
      <c r="L9933" s="16" t="s">
        <v>61146</v>
      </c>
      <c r="M9933" s="14" t="s">
        <v>61268</v>
      </c>
      <c r="N9933" s="14" t="s">
        <v>1781</v>
      </c>
      <c r="O9933" s="16" t="s">
        <v>1782</v>
      </c>
      <c r="P9933" s="14" t="s">
        <v>61148</v>
      </c>
      <c r="Q9933" s="14" t="s">
        <v>24124</v>
      </c>
      <c r="R9933" s="14" t="s">
        <v>1785</v>
      </c>
      <c r="S9933" s="16" t="s">
        <v>61149</v>
      </c>
      <c r="T9933" s="14" t="s">
        <v>1019</v>
      </c>
      <c r="U9933" s="16" t="s">
        <v>31</v>
      </c>
      <c r="V9933" s="14" t="s">
        <v>61269</v>
      </c>
      <c r="W9933" s="14" t="s">
        <v>61144</v>
      </c>
      <c r="X9933" s="17" t="str">
        <f>HYPERLINK("https://my.pitchbook.com?p=250310-62P","View People Online")</f>
        <v>View People Online</v>
      </c>
    </row>
    <row r="9934">
      <c r="A9934" s="10" t="s">
        <v>61270</v>
      </c>
      <c r="B9934" s="10" t="s">
        <v>61271</v>
      </c>
      <c r="C9934" s="10" t="s">
        <v>10613</v>
      </c>
      <c r="D9934" s="10" t="s">
        <v>61272</v>
      </c>
      <c r="E9934" s="10" t="s">
        <v>61144</v>
      </c>
      <c r="F9934" s="10" t="s">
        <v>61273</v>
      </c>
      <c r="G9934" s="10" t="s">
        <v>61274</v>
      </c>
      <c r="H9934" s="11">
        <v>1.0</v>
      </c>
      <c r="I9934" s="11">
        <v>3.0</v>
      </c>
      <c r="J9934" s="11">
        <v>2.0</v>
      </c>
      <c r="K9934" s="11" t="s">
        <v>31</v>
      </c>
      <c r="L9934" s="12" t="s">
        <v>61275</v>
      </c>
      <c r="M9934" s="10" t="s">
        <v>61276</v>
      </c>
      <c r="N9934" s="10" t="s">
        <v>28211</v>
      </c>
      <c r="O9934" s="12" t="s">
        <v>28212</v>
      </c>
      <c r="P9934" s="10" t="s">
        <v>61277</v>
      </c>
      <c r="Q9934" s="10" t="s">
        <v>31</v>
      </c>
      <c r="R9934" s="10" t="s">
        <v>28214</v>
      </c>
      <c r="S9934" s="12" t="s">
        <v>61278</v>
      </c>
      <c r="T9934" s="10" t="s">
        <v>66</v>
      </c>
      <c r="U9934" s="12" t="s">
        <v>31</v>
      </c>
      <c r="V9934" s="10" t="s">
        <v>61279</v>
      </c>
      <c r="W9934" s="10" t="s">
        <v>61280</v>
      </c>
      <c r="X9934" s="13" t="str">
        <f>HYPERLINK("https://my.pitchbook.com?p=103299-40P","View People Online")</f>
        <v>View People Online</v>
      </c>
    </row>
    <row r="9935">
      <c r="A9935" s="6" t="s">
        <v>61281</v>
      </c>
      <c r="B9935" s="6" t="s">
        <v>61282</v>
      </c>
      <c r="C9935" s="6" t="s">
        <v>28073</v>
      </c>
      <c r="D9935" s="6" t="s">
        <v>11666</v>
      </c>
      <c r="E9935" s="6" t="s">
        <v>61144</v>
      </c>
      <c r="F9935" s="6" t="s">
        <v>61283</v>
      </c>
      <c r="G9935" s="6" t="s">
        <v>61284</v>
      </c>
      <c r="H9935" s="7">
        <v>1.0</v>
      </c>
      <c r="I9935" s="7">
        <v>2.0</v>
      </c>
      <c r="J9935" s="7">
        <v>1.0</v>
      </c>
      <c r="K9935" s="7" t="s">
        <v>31</v>
      </c>
      <c r="L9935" s="8" t="s">
        <v>61146</v>
      </c>
      <c r="M9935" s="6" t="s">
        <v>61285</v>
      </c>
      <c r="N9935" s="6" t="s">
        <v>1781</v>
      </c>
      <c r="O9935" s="8" t="s">
        <v>1782</v>
      </c>
      <c r="P9935" s="6" t="s">
        <v>61148</v>
      </c>
      <c r="Q9935" s="6" t="s">
        <v>24124</v>
      </c>
      <c r="R9935" s="6" t="s">
        <v>1785</v>
      </c>
      <c r="S9935" s="8" t="s">
        <v>61149</v>
      </c>
      <c r="T9935" s="6" t="s">
        <v>1019</v>
      </c>
      <c r="U9935" s="8" t="s">
        <v>31</v>
      </c>
      <c r="V9935" s="6" t="s">
        <v>61286</v>
      </c>
      <c r="W9935" s="6" t="s">
        <v>61144</v>
      </c>
      <c r="X9935" s="9" t="str">
        <f>HYPERLINK("https://my.pitchbook.com?p=265902-85P","View People Online")</f>
        <v>View People Online</v>
      </c>
    </row>
    <row r="9936">
      <c r="A9936" s="10" t="s">
        <v>61287</v>
      </c>
      <c r="B9936" s="10" t="s">
        <v>61288</v>
      </c>
      <c r="C9936" s="10" t="s">
        <v>61289</v>
      </c>
      <c r="D9936" s="10" t="s">
        <v>61290</v>
      </c>
      <c r="E9936" s="10" t="s">
        <v>61144</v>
      </c>
      <c r="F9936" s="10" t="s">
        <v>3665</v>
      </c>
      <c r="G9936" s="10" t="s">
        <v>61291</v>
      </c>
      <c r="H9936" s="11" t="s">
        <v>31</v>
      </c>
      <c r="I9936" s="11">
        <v>1.0</v>
      </c>
      <c r="J9936" s="11">
        <v>1.0</v>
      </c>
      <c r="K9936" s="11" t="s">
        <v>31</v>
      </c>
      <c r="L9936" s="12" t="s">
        <v>61146</v>
      </c>
      <c r="M9936" s="10" t="s">
        <v>61292</v>
      </c>
      <c r="N9936" s="10" t="s">
        <v>1781</v>
      </c>
      <c r="O9936" s="12" t="s">
        <v>1782</v>
      </c>
      <c r="P9936" s="10" t="s">
        <v>61148</v>
      </c>
      <c r="Q9936" s="10" t="s">
        <v>24124</v>
      </c>
      <c r="R9936" s="10" t="s">
        <v>1785</v>
      </c>
      <c r="S9936" s="12" t="s">
        <v>61149</v>
      </c>
      <c r="T9936" s="10" t="s">
        <v>1019</v>
      </c>
      <c r="U9936" s="12" t="s">
        <v>31</v>
      </c>
      <c r="V9936" s="10" t="s">
        <v>3665</v>
      </c>
      <c r="W9936" s="10" t="s">
        <v>61144</v>
      </c>
      <c r="X9936" s="13" t="str">
        <f>HYPERLINK("https://my.pitchbook.com?p=422559-01P","View People Online")</f>
        <v>View People Online</v>
      </c>
    </row>
    <row r="9937">
      <c r="A9937" s="6" t="s">
        <v>61293</v>
      </c>
      <c r="B9937" s="6" t="s">
        <v>61294</v>
      </c>
      <c r="C9937" s="6" t="s">
        <v>6111</v>
      </c>
      <c r="D9937" s="6" t="s">
        <v>13942</v>
      </c>
      <c r="E9937" s="6" t="s">
        <v>61144</v>
      </c>
      <c r="F9937" s="6" t="s">
        <v>548</v>
      </c>
      <c r="G9937" s="6" t="s">
        <v>61295</v>
      </c>
      <c r="H9937" s="7" t="s">
        <v>31</v>
      </c>
      <c r="I9937" s="7">
        <v>2.0</v>
      </c>
      <c r="J9937" s="7">
        <v>2.0</v>
      </c>
      <c r="K9937" s="7" t="s">
        <v>31</v>
      </c>
      <c r="L9937" s="8" t="s">
        <v>61146</v>
      </c>
      <c r="M9937" s="6" t="s">
        <v>61296</v>
      </c>
      <c r="N9937" s="6" t="s">
        <v>1781</v>
      </c>
      <c r="O9937" s="8" t="s">
        <v>1782</v>
      </c>
      <c r="P9937" s="6" t="s">
        <v>61148</v>
      </c>
      <c r="Q9937" s="6" t="s">
        <v>24124</v>
      </c>
      <c r="R9937" s="6" t="s">
        <v>1785</v>
      </c>
      <c r="S9937" s="8" t="s">
        <v>61149</v>
      </c>
      <c r="T9937" s="6" t="s">
        <v>1019</v>
      </c>
      <c r="U9937" s="8" t="s">
        <v>31</v>
      </c>
      <c r="V9937" s="6" t="s">
        <v>61297</v>
      </c>
      <c r="W9937" s="6" t="s">
        <v>61144</v>
      </c>
      <c r="X9937" s="9" t="str">
        <f>HYPERLINK("https://my.pitchbook.com?p=295418-62P","View People Online")</f>
        <v>View People Online</v>
      </c>
    </row>
    <row r="9938">
      <c r="A9938" s="10" t="s">
        <v>61298</v>
      </c>
      <c r="B9938" s="10" t="s">
        <v>61299</v>
      </c>
      <c r="C9938" s="10" t="s">
        <v>536</v>
      </c>
      <c r="D9938" s="10" t="s">
        <v>11992</v>
      </c>
      <c r="E9938" s="10" t="s">
        <v>61144</v>
      </c>
      <c r="F9938" s="10" t="s">
        <v>825</v>
      </c>
      <c r="G9938" s="10" t="s">
        <v>61300</v>
      </c>
      <c r="H9938" s="11" t="s">
        <v>31</v>
      </c>
      <c r="I9938" s="11">
        <v>2.0</v>
      </c>
      <c r="J9938" s="11">
        <v>1.0</v>
      </c>
      <c r="K9938" s="11">
        <v>1.0</v>
      </c>
      <c r="L9938" s="12" t="s">
        <v>61301</v>
      </c>
      <c r="M9938" s="10" t="s">
        <v>61302</v>
      </c>
      <c r="N9938" s="10" t="s">
        <v>1781</v>
      </c>
      <c r="O9938" s="12" t="s">
        <v>1782</v>
      </c>
      <c r="P9938" s="10" t="s">
        <v>61148</v>
      </c>
      <c r="Q9938" s="10" t="s">
        <v>24124</v>
      </c>
      <c r="R9938" s="10" t="s">
        <v>1785</v>
      </c>
      <c r="S9938" s="12" t="s">
        <v>61149</v>
      </c>
      <c r="T9938" s="10" t="s">
        <v>1019</v>
      </c>
      <c r="U9938" s="12" t="s">
        <v>31</v>
      </c>
      <c r="V9938" s="10" t="s">
        <v>31747</v>
      </c>
      <c r="W9938" s="10" t="s">
        <v>61144</v>
      </c>
      <c r="X9938" s="13" t="str">
        <f>HYPERLINK("https://my.pitchbook.com?p=270963-10P","View People Online")</f>
        <v>View People Online</v>
      </c>
    </row>
    <row r="9939">
      <c r="A9939" s="14" t="s">
        <v>61303</v>
      </c>
      <c r="B9939" s="14" t="s">
        <v>61304</v>
      </c>
      <c r="C9939" s="14" t="s">
        <v>61305</v>
      </c>
      <c r="D9939" s="14" t="s">
        <v>59575</v>
      </c>
      <c r="E9939" s="14" t="s">
        <v>61144</v>
      </c>
      <c r="F9939" s="14" t="s">
        <v>7608</v>
      </c>
      <c r="G9939" s="14" t="s">
        <v>61306</v>
      </c>
      <c r="H9939" s="15" t="s">
        <v>31</v>
      </c>
      <c r="I9939" s="15">
        <v>1.0</v>
      </c>
      <c r="J9939" s="15">
        <v>1.0</v>
      </c>
      <c r="K9939" s="15" t="s">
        <v>31</v>
      </c>
      <c r="L9939" s="16" t="s">
        <v>61146</v>
      </c>
      <c r="M9939" s="14" t="s">
        <v>61307</v>
      </c>
      <c r="N9939" s="14" t="s">
        <v>1781</v>
      </c>
      <c r="O9939" s="16" t="s">
        <v>1782</v>
      </c>
      <c r="P9939" s="14" t="s">
        <v>61148</v>
      </c>
      <c r="Q9939" s="14" t="s">
        <v>24124</v>
      </c>
      <c r="R9939" s="14" t="s">
        <v>1785</v>
      </c>
      <c r="S9939" s="16" t="s">
        <v>61149</v>
      </c>
      <c r="T9939" s="14" t="s">
        <v>1019</v>
      </c>
      <c r="U9939" s="16" t="s">
        <v>31</v>
      </c>
      <c r="V9939" s="14" t="s">
        <v>32293</v>
      </c>
      <c r="W9939" s="14" t="s">
        <v>61144</v>
      </c>
      <c r="X9939" s="17" t="str">
        <f>HYPERLINK("https://my.pitchbook.com?p=265902-22P","View People Online")</f>
        <v>View People Online</v>
      </c>
    </row>
    <row r="9940">
      <c r="A9940" s="2" t="s">
        <v>61308</v>
      </c>
      <c r="B9940" s="2" t="s">
        <v>61309</v>
      </c>
      <c r="C9940" s="2" t="s">
        <v>48</v>
      </c>
      <c r="D9940" s="2" t="s">
        <v>61310</v>
      </c>
      <c r="E9940" s="2" t="s">
        <v>61144</v>
      </c>
      <c r="F9940" s="2" t="s">
        <v>318</v>
      </c>
      <c r="G9940" s="2" t="s">
        <v>61311</v>
      </c>
      <c r="H9940" s="3" t="s">
        <v>31</v>
      </c>
      <c r="I9940" s="3">
        <v>1.0</v>
      </c>
      <c r="J9940" s="3">
        <v>1.0</v>
      </c>
      <c r="K9940" s="3" t="s">
        <v>31</v>
      </c>
      <c r="L9940" s="4" t="s">
        <v>61146</v>
      </c>
      <c r="M9940" s="2" t="s">
        <v>61312</v>
      </c>
      <c r="N9940" s="2" t="s">
        <v>1781</v>
      </c>
      <c r="O9940" s="4" t="s">
        <v>1782</v>
      </c>
      <c r="P9940" s="2" t="s">
        <v>61148</v>
      </c>
      <c r="Q9940" s="2" t="s">
        <v>24124</v>
      </c>
      <c r="R9940" s="2" t="s">
        <v>1785</v>
      </c>
      <c r="S9940" s="4" t="s">
        <v>61149</v>
      </c>
      <c r="T9940" s="2" t="s">
        <v>1019</v>
      </c>
      <c r="U9940" s="4" t="s">
        <v>31</v>
      </c>
      <c r="V9940" s="2" t="s">
        <v>61313</v>
      </c>
      <c r="W9940" s="2" t="s">
        <v>61144</v>
      </c>
      <c r="X9940" s="5" t="str">
        <f>HYPERLINK("https://my.pitchbook.com?p=351812-53P","View People Online")</f>
        <v>View People Online</v>
      </c>
    </row>
    <row r="9941">
      <c r="A9941" s="6" t="s">
        <v>61314</v>
      </c>
      <c r="B9941" s="6" t="s">
        <v>61315</v>
      </c>
      <c r="C9941" s="6" t="s">
        <v>1072</v>
      </c>
      <c r="D9941" s="6" t="s">
        <v>61316</v>
      </c>
      <c r="E9941" s="6" t="s">
        <v>61144</v>
      </c>
      <c r="F9941" s="6" t="s">
        <v>6997</v>
      </c>
      <c r="G9941" s="6" t="s">
        <v>61317</v>
      </c>
      <c r="H9941" s="7">
        <v>1.0</v>
      </c>
      <c r="I9941" s="7">
        <v>2.0</v>
      </c>
      <c r="J9941" s="7">
        <v>1.0</v>
      </c>
      <c r="K9941" s="7" t="s">
        <v>31</v>
      </c>
      <c r="L9941" s="8" t="s">
        <v>61146</v>
      </c>
      <c r="M9941" s="6" t="s">
        <v>61318</v>
      </c>
      <c r="N9941" s="6" t="s">
        <v>1781</v>
      </c>
      <c r="O9941" s="8" t="s">
        <v>1782</v>
      </c>
      <c r="P9941" s="6" t="s">
        <v>61148</v>
      </c>
      <c r="Q9941" s="6" t="s">
        <v>24124</v>
      </c>
      <c r="R9941" s="6" t="s">
        <v>1785</v>
      </c>
      <c r="S9941" s="8" t="s">
        <v>61149</v>
      </c>
      <c r="T9941" s="6" t="s">
        <v>1019</v>
      </c>
      <c r="U9941" s="8" t="s">
        <v>31</v>
      </c>
      <c r="V9941" s="6" t="s">
        <v>35607</v>
      </c>
      <c r="W9941" s="6" t="s">
        <v>61144</v>
      </c>
      <c r="X9941" s="9" t="str">
        <f>HYPERLINK("https://my.pitchbook.com?p=218061-55P","View People Online")</f>
        <v>View People Online</v>
      </c>
    </row>
    <row r="9942">
      <c r="A9942" s="10" t="s">
        <v>61319</v>
      </c>
      <c r="B9942" s="10" t="s">
        <v>61320</v>
      </c>
      <c r="C9942" s="10" t="s">
        <v>61321</v>
      </c>
      <c r="D9942" s="10" t="s">
        <v>263</v>
      </c>
      <c r="E9942" s="10" t="s">
        <v>61144</v>
      </c>
      <c r="F9942" s="10" t="s">
        <v>1801</v>
      </c>
      <c r="G9942" s="10" t="s">
        <v>61322</v>
      </c>
      <c r="H9942" s="11" t="s">
        <v>31</v>
      </c>
      <c r="I9942" s="11">
        <v>1.0</v>
      </c>
      <c r="J9942" s="11">
        <v>1.0</v>
      </c>
      <c r="K9942" s="11" t="s">
        <v>31</v>
      </c>
      <c r="L9942" s="12" t="s">
        <v>61146</v>
      </c>
      <c r="M9942" s="10" t="s">
        <v>61323</v>
      </c>
      <c r="N9942" s="10" t="s">
        <v>1781</v>
      </c>
      <c r="O9942" s="12" t="s">
        <v>1782</v>
      </c>
      <c r="P9942" s="10" t="s">
        <v>61148</v>
      </c>
      <c r="Q9942" s="10" t="s">
        <v>24124</v>
      </c>
      <c r="R9942" s="10" t="s">
        <v>1785</v>
      </c>
      <c r="S9942" s="12" t="s">
        <v>61149</v>
      </c>
      <c r="T9942" s="10" t="s">
        <v>1019</v>
      </c>
      <c r="U9942" s="12" t="s">
        <v>31</v>
      </c>
      <c r="V9942" s="10" t="s">
        <v>61324</v>
      </c>
      <c r="W9942" s="10" t="s">
        <v>61144</v>
      </c>
      <c r="X9942" s="13" t="str">
        <f>HYPERLINK("https://my.pitchbook.com?p=89401-15P","View People Online")</f>
        <v>View People Online</v>
      </c>
    </row>
    <row r="9943">
      <c r="A9943" s="14" t="s">
        <v>61325</v>
      </c>
      <c r="B9943" s="14" t="s">
        <v>61326</v>
      </c>
      <c r="C9943" s="14" t="s">
        <v>61327</v>
      </c>
      <c r="D9943" s="14" t="s">
        <v>61328</v>
      </c>
      <c r="E9943" s="14" t="s">
        <v>61144</v>
      </c>
      <c r="F9943" s="14" t="s">
        <v>61283</v>
      </c>
      <c r="G9943" s="14" t="s">
        <v>61329</v>
      </c>
      <c r="H9943" s="15" t="s">
        <v>31</v>
      </c>
      <c r="I9943" s="15">
        <v>1.0</v>
      </c>
      <c r="J9943" s="15">
        <v>1.0</v>
      </c>
      <c r="K9943" s="15" t="s">
        <v>31</v>
      </c>
      <c r="L9943" s="16" t="s">
        <v>61146</v>
      </c>
      <c r="M9943" s="14" t="s">
        <v>61330</v>
      </c>
      <c r="N9943" s="14" t="s">
        <v>1781</v>
      </c>
      <c r="O9943" s="16" t="s">
        <v>1782</v>
      </c>
      <c r="P9943" s="14" t="s">
        <v>61148</v>
      </c>
      <c r="Q9943" s="14" t="s">
        <v>24124</v>
      </c>
      <c r="R9943" s="14" t="s">
        <v>1785</v>
      </c>
      <c r="S9943" s="16" t="s">
        <v>61149</v>
      </c>
      <c r="T9943" s="14" t="s">
        <v>1019</v>
      </c>
      <c r="U9943" s="16" t="s">
        <v>31</v>
      </c>
      <c r="V9943" s="14" t="s">
        <v>61331</v>
      </c>
      <c r="W9943" s="14" t="s">
        <v>61144</v>
      </c>
      <c r="X9943" s="17" t="str">
        <f>HYPERLINK("https://my.pitchbook.com?p=265902-58P","View People Online")</f>
        <v>View People Online</v>
      </c>
    </row>
    <row r="9944">
      <c r="A9944" s="10" t="s">
        <v>61332</v>
      </c>
      <c r="B9944" s="10" t="s">
        <v>61333</v>
      </c>
      <c r="C9944" s="10" t="s">
        <v>1449</v>
      </c>
      <c r="D9944" s="10" t="s">
        <v>61334</v>
      </c>
      <c r="E9944" s="10" t="s">
        <v>61335</v>
      </c>
      <c r="F9944" s="10" t="s">
        <v>29</v>
      </c>
      <c r="G9944" s="10" t="s">
        <v>61336</v>
      </c>
      <c r="H9944" s="11">
        <v>2.0</v>
      </c>
      <c r="I9944" s="11">
        <v>19.0</v>
      </c>
      <c r="J9944" s="11">
        <v>1.0</v>
      </c>
      <c r="K9944" s="11">
        <v>12.0</v>
      </c>
      <c r="L9944" s="12" t="s">
        <v>61337</v>
      </c>
      <c r="M9944" s="10" t="s">
        <v>61338</v>
      </c>
      <c r="N9944" s="10" t="s">
        <v>1170</v>
      </c>
      <c r="O9944" s="12" t="s">
        <v>1171</v>
      </c>
      <c r="P9944" s="10" t="s">
        <v>61339</v>
      </c>
      <c r="Q9944" s="10" t="s">
        <v>61340</v>
      </c>
      <c r="R9944" s="10" t="s">
        <v>64</v>
      </c>
      <c r="S9944" s="12" t="s">
        <v>61341</v>
      </c>
      <c r="T9944" s="10" t="s">
        <v>66</v>
      </c>
      <c r="U9944" s="12" t="s">
        <v>31</v>
      </c>
      <c r="V9944" s="10" t="s">
        <v>29</v>
      </c>
      <c r="W9944" s="10" t="s">
        <v>61335</v>
      </c>
      <c r="X9944" s="13" t="str">
        <f>HYPERLINK("https://my.pitchbook.com?p=48721-78P","View People Online")</f>
        <v>View People Online</v>
      </c>
    </row>
    <row r="9945">
      <c r="A9945" s="14" t="s">
        <v>61342</v>
      </c>
      <c r="B9945" s="14" t="s">
        <v>61343</v>
      </c>
      <c r="C9945" s="14" t="s">
        <v>323</v>
      </c>
      <c r="D9945" s="14" t="s">
        <v>61344</v>
      </c>
      <c r="E9945" s="14" t="s">
        <v>61335</v>
      </c>
      <c r="F9945" s="14" t="s">
        <v>29</v>
      </c>
      <c r="G9945" s="14" t="s">
        <v>61345</v>
      </c>
      <c r="H9945" s="15">
        <v>1.0</v>
      </c>
      <c r="I9945" s="15">
        <v>17.0</v>
      </c>
      <c r="J9945" s="15">
        <v>2.0</v>
      </c>
      <c r="K9945" s="15">
        <v>7.0</v>
      </c>
      <c r="L9945" s="16" t="s">
        <v>61337</v>
      </c>
      <c r="M9945" s="14" t="s">
        <v>61346</v>
      </c>
      <c r="N9945" s="14" t="s">
        <v>1170</v>
      </c>
      <c r="O9945" s="16" t="s">
        <v>1171</v>
      </c>
      <c r="P9945" s="14" t="s">
        <v>61339</v>
      </c>
      <c r="Q9945" s="14" t="s">
        <v>61340</v>
      </c>
      <c r="R9945" s="14" t="s">
        <v>64</v>
      </c>
      <c r="S9945" s="16" t="s">
        <v>61341</v>
      </c>
      <c r="T9945" s="14" t="s">
        <v>66</v>
      </c>
      <c r="U9945" s="16" t="s">
        <v>31</v>
      </c>
      <c r="V9945" s="14" t="s">
        <v>29</v>
      </c>
      <c r="W9945" s="14" t="s">
        <v>61335</v>
      </c>
      <c r="X9945" s="17" t="str">
        <f>HYPERLINK("https://my.pitchbook.com?p=71448-76P","View People Online")</f>
        <v>View People Online</v>
      </c>
    </row>
    <row r="9946">
      <c r="A9946" s="10" t="s">
        <v>61347</v>
      </c>
      <c r="B9946" s="10" t="s">
        <v>61348</v>
      </c>
      <c r="C9946" s="10" t="s">
        <v>61349</v>
      </c>
      <c r="D9946" s="10" t="s">
        <v>61350</v>
      </c>
      <c r="E9946" s="10" t="s">
        <v>61335</v>
      </c>
      <c r="F9946" s="10" t="s">
        <v>114</v>
      </c>
      <c r="G9946" s="10" t="s">
        <v>61351</v>
      </c>
      <c r="H9946" s="11">
        <v>1.0</v>
      </c>
      <c r="I9946" s="11">
        <v>23.0</v>
      </c>
      <c r="J9946" s="11">
        <v>4.0</v>
      </c>
      <c r="K9946" s="11">
        <v>15.0</v>
      </c>
      <c r="L9946" s="12" t="s">
        <v>61352</v>
      </c>
      <c r="M9946" s="10" t="s">
        <v>61353</v>
      </c>
      <c r="N9946" s="10" t="s">
        <v>1170</v>
      </c>
      <c r="O9946" s="12" t="s">
        <v>1171</v>
      </c>
      <c r="P9946" s="10" t="s">
        <v>61354</v>
      </c>
      <c r="Q9946" s="10" t="s">
        <v>61355</v>
      </c>
      <c r="R9946" s="10" t="s">
        <v>64</v>
      </c>
      <c r="S9946" s="12" t="s">
        <v>49506</v>
      </c>
      <c r="T9946" s="10" t="s">
        <v>66</v>
      </c>
      <c r="U9946" s="12" t="s">
        <v>31</v>
      </c>
      <c r="V9946" s="10" t="s">
        <v>36870</v>
      </c>
      <c r="W9946" s="10" t="s">
        <v>61356</v>
      </c>
      <c r="X9946" s="13" t="str">
        <f>HYPERLINK("https://my.pitchbook.com?p=43394-68P","View People Online")</f>
        <v>View People Online</v>
      </c>
    </row>
    <row r="9947">
      <c r="A9947" s="14" t="s">
        <v>61357</v>
      </c>
      <c r="B9947" s="14" t="s">
        <v>61358</v>
      </c>
      <c r="C9947" s="14" t="s">
        <v>61359</v>
      </c>
      <c r="D9947" s="14" t="s">
        <v>61350</v>
      </c>
      <c r="E9947" s="14" t="s">
        <v>61335</v>
      </c>
      <c r="F9947" s="14" t="s">
        <v>29</v>
      </c>
      <c r="G9947" s="14" t="s">
        <v>61360</v>
      </c>
      <c r="H9947" s="15">
        <v>2.0</v>
      </c>
      <c r="I9947" s="15">
        <v>50.0</v>
      </c>
      <c r="J9947" s="15">
        <v>1.0</v>
      </c>
      <c r="K9947" s="15">
        <v>42.0</v>
      </c>
      <c r="L9947" s="16" t="s">
        <v>61337</v>
      </c>
      <c r="M9947" s="14" t="s">
        <v>61361</v>
      </c>
      <c r="N9947" s="14" t="s">
        <v>1170</v>
      </c>
      <c r="O9947" s="16" t="s">
        <v>1171</v>
      </c>
      <c r="P9947" s="14" t="s">
        <v>61339</v>
      </c>
      <c r="Q9947" s="14" t="s">
        <v>61340</v>
      </c>
      <c r="R9947" s="14" t="s">
        <v>64</v>
      </c>
      <c r="S9947" s="16" t="s">
        <v>61341</v>
      </c>
      <c r="T9947" s="14" t="s">
        <v>66</v>
      </c>
      <c r="U9947" s="16" t="s">
        <v>31</v>
      </c>
      <c r="V9947" s="14" t="s">
        <v>29</v>
      </c>
      <c r="W9947" s="14" t="s">
        <v>61335</v>
      </c>
      <c r="X9947" s="17" t="str">
        <f>HYPERLINK("https://my.pitchbook.com?p=36325-90P","View People Online")</f>
        <v>View People Online</v>
      </c>
    </row>
    <row r="9948">
      <c r="A9948" s="10" t="s">
        <v>61362</v>
      </c>
      <c r="B9948" s="10" t="s">
        <v>61363</v>
      </c>
      <c r="C9948" s="10" t="s">
        <v>6414</v>
      </c>
      <c r="D9948" s="10" t="s">
        <v>61364</v>
      </c>
      <c r="E9948" s="10" t="s">
        <v>61335</v>
      </c>
      <c r="F9948" s="10" t="s">
        <v>114</v>
      </c>
      <c r="G9948" s="10" t="s">
        <v>61365</v>
      </c>
      <c r="H9948" s="11">
        <v>3.0</v>
      </c>
      <c r="I9948" s="11">
        <v>6.0</v>
      </c>
      <c r="J9948" s="11">
        <v>1.0</v>
      </c>
      <c r="K9948" s="11" t="s">
        <v>31</v>
      </c>
      <c r="L9948" s="12" t="s">
        <v>61337</v>
      </c>
      <c r="M9948" s="10" t="s">
        <v>31</v>
      </c>
      <c r="N9948" s="10" t="s">
        <v>1170</v>
      </c>
      <c r="O9948" s="12" t="s">
        <v>1171</v>
      </c>
      <c r="P9948" s="10" t="s">
        <v>61339</v>
      </c>
      <c r="Q9948" s="10" t="s">
        <v>61340</v>
      </c>
      <c r="R9948" s="10" t="s">
        <v>64</v>
      </c>
      <c r="S9948" s="12" t="s">
        <v>61341</v>
      </c>
      <c r="T9948" s="10" t="s">
        <v>66</v>
      </c>
      <c r="U9948" s="12" t="s">
        <v>31</v>
      </c>
      <c r="V9948" s="10" t="s">
        <v>114</v>
      </c>
      <c r="W9948" s="10" t="s">
        <v>61335</v>
      </c>
      <c r="X9948" s="13" t="str">
        <f>HYPERLINK("https://my.pitchbook.com?p=293707-18P","View People Online")</f>
        <v>View People Online</v>
      </c>
    </row>
    <row r="9949">
      <c r="A9949" s="6" t="s">
        <v>61366</v>
      </c>
      <c r="B9949" s="6" t="s">
        <v>61367</v>
      </c>
      <c r="C9949" s="6" t="s">
        <v>61368</v>
      </c>
      <c r="D9949" s="6" t="s">
        <v>61369</v>
      </c>
      <c r="E9949" s="6" t="s">
        <v>61335</v>
      </c>
      <c r="F9949" s="6" t="s">
        <v>29</v>
      </c>
      <c r="G9949" s="6" t="s">
        <v>61370</v>
      </c>
      <c r="H9949" s="7" t="s">
        <v>31</v>
      </c>
      <c r="I9949" s="7">
        <v>15.0</v>
      </c>
      <c r="J9949" s="7">
        <v>1.0</v>
      </c>
      <c r="K9949" s="7">
        <v>9.0</v>
      </c>
      <c r="L9949" s="8" t="s">
        <v>61337</v>
      </c>
      <c r="M9949" s="6" t="s">
        <v>61371</v>
      </c>
      <c r="N9949" s="6" t="s">
        <v>1170</v>
      </c>
      <c r="O9949" s="8" t="s">
        <v>1171</v>
      </c>
      <c r="P9949" s="6" t="s">
        <v>61339</v>
      </c>
      <c r="Q9949" s="6" t="s">
        <v>61340</v>
      </c>
      <c r="R9949" s="6" t="s">
        <v>64</v>
      </c>
      <c r="S9949" s="8" t="s">
        <v>61341</v>
      </c>
      <c r="T9949" s="6" t="s">
        <v>66</v>
      </c>
      <c r="U9949" s="8" t="s">
        <v>31</v>
      </c>
      <c r="V9949" s="6" t="s">
        <v>29</v>
      </c>
      <c r="W9949" s="6" t="s">
        <v>61335</v>
      </c>
      <c r="X9949" s="9" t="str">
        <f>HYPERLINK("https://my.pitchbook.com?p=84217-78P","View People Online")</f>
        <v>View People Online</v>
      </c>
    </row>
    <row r="9950">
      <c r="A9950" s="10" t="s">
        <v>61372</v>
      </c>
      <c r="B9950" s="10" t="s">
        <v>61373</v>
      </c>
      <c r="C9950" s="10" t="s">
        <v>382</v>
      </c>
      <c r="D9950" s="10" t="s">
        <v>61374</v>
      </c>
      <c r="E9950" s="10" t="s">
        <v>61335</v>
      </c>
      <c r="F9950" s="10" t="s">
        <v>221</v>
      </c>
      <c r="G9950" s="10" t="s">
        <v>61375</v>
      </c>
      <c r="H9950" s="11" t="s">
        <v>31</v>
      </c>
      <c r="I9950" s="11">
        <v>1.0</v>
      </c>
      <c r="J9950" s="11">
        <v>1.0</v>
      </c>
      <c r="K9950" s="11" t="s">
        <v>31</v>
      </c>
      <c r="L9950" s="12" t="s">
        <v>61337</v>
      </c>
      <c r="M9950" s="10" t="s">
        <v>61376</v>
      </c>
      <c r="N9950" s="10" t="s">
        <v>1170</v>
      </c>
      <c r="O9950" s="12" t="s">
        <v>1171</v>
      </c>
      <c r="P9950" s="10" t="s">
        <v>61339</v>
      </c>
      <c r="Q9950" s="10" t="s">
        <v>61340</v>
      </c>
      <c r="R9950" s="10" t="s">
        <v>64</v>
      </c>
      <c r="S9950" s="12" t="s">
        <v>61341</v>
      </c>
      <c r="T9950" s="10" t="s">
        <v>66</v>
      </c>
      <c r="U9950" s="12" t="s">
        <v>31</v>
      </c>
      <c r="V9950" s="10" t="s">
        <v>221</v>
      </c>
      <c r="W9950" s="10" t="s">
        <v>61335</v>
      </c>
      <c r="X9950" s="13" t="str">
        <f>HYPERLINK("https://my.pitchbook.com?p=267406-03P","View People Online")</f>
        <v>View People Online</v>
      </c>
    </row>
    <row r="9951">
      <c r="A9951" s="6" t="s">
        <v>61377</v>
      </c>
      <c r="B9951" s="6" t="s">
        <v>61378</v>
      </c>
      <c r="C9951" s="6" t="s">
        <v>12242</v>
      </c>
      <c r="D9951" s="6" t="s">
        <v>2432</v>
      </c>
      <c r="E9951" s="6" t="s">
        <v>61335</v>
      </c>
      <c r="F9951" s="6" t="s">
        <v>270</v>
      </c>
      <c r="G9951" s="6" t="s">
        <v>61379</v>
      </c>
      <c r="H9951" s="7" t="s">
        <v>31</v>
      </c>
      <c r="I9951" s="7">
        <v>2.0</v>
      </c>
      <c r="J9951" s="7">
        <v>2.0</v>
      </c>
      <c r="K9951" s="7" t="s">
        <v>31</v>
      </c>
      <c r="L9951" s="8" t="s">
        <v>61380</v>
      </c>
      <c r="M9951" s="6" t="s">
        <v>31</v>
      </c>
      <c r="N9951" s="6" t="s">
        <v>775</v>
      </c>
      <c r="O9951" s="8" t="s">
        <v>776</v>
      </c>
      <c r="P9951" s="6" t="s">
        <v>61381</v>
      </c>
      <c r="Q9951" s="6" t="s">
        <v>31</v>
      </c>
      <c r="R9951" s="6" t="s">
        <v>64</v>
      </c>
      <c r="S9951" s="8" t="s">
        <v>779</v>
      </c>
      <c r="T9951" s="6" t="s">
        <v>66</v>
      </c>
      <c r="U9951" s="8" t="s">
        <v>61382</v>
      </c>
      <c r="V9951" s="6" t="s">
        <v>1910</v>
      </c>
      <c r="W9951" s="6" t="s">
        <v>61383</v>
      </c>
      <c r="X9951" s="9" t="str">
        <f>HYPERLINK("https://my.pitchbook.com?p=283557-70P","View People Online")</f>
        <v>View People Online</v>
      </c>
    </row>
    <row r="9952">
      <c r="A9952" s="2" t="s">
        <v>61384</v>
      </c>
      <c r="B9952" s="2" t="s">
        <v>61385</v>
      </c>
      <c r="C9952" s="2" t="s">
        <v>1533</v>
      </c>
      <c r="D9952" s="2" t="s">
        <v>27439</v>
      </c>
      <c r="E9952" s="2" t="s">
        <v>61335</v>
      </c>
      <c r="F9952" s="2" t="s">
        <v>29</v>
      </c>
      <c r="G9952" s="2" t="s">
        <v>61386</v>
      </c>
      <c r="H9952" s="3">
        <v>1.0</v>
      </c>
      <c r="I9952" s="3">
        <v>3.0</v>
      </c>
      <c r="J9952" s="3">
        <v>2.0</v>
      </c>
      <c r="K9952" s="3" t="s">
        <v>31</v>
      </c>
      <c r="L9952" s="4" t="s">
        <v>31</v>
      </c>
      <c r="M9952" s="2" t="s">
        <v>61387</v>
      </c>
      <c r="N9952" s="2" t="s">
        <v>51558</v>
      </c>
      <c r="O9952" s="4" t="s">
        <v>51559</v>
      </c>
      <c r="P9952" s="2" t="s">
        <v>61388</v>
      </c>
      <c r="Q9952" s="2" t="s">
        <v>61389</v>
      </c>
      <c r="R9952" s="2" t="s">
        <v>64</v>
      </c>
      <c r="S9952" s="4" t="s">
        <v>42011</v>
      </c>
      <c r="T9952" s="2" t="s">
        <v>66</v>
      </c>
      <c r="U9952" s="4" t="s">
        <v>31</v>
      </c>
      <c r="V9952" s="2" t="s">
        <v>674</v>
      </c>
      <c r="W9952" s="2" t="s">
        <v>61390</v>
      </c>
      <c r="X9952" s="5" t="str">
        <f>HYPERLINK("https://my.pitchbook.com?p=123057-01P","View People Online")</f>
        <v>View People Online</v>
      </c>
    </row>
    <row r="9953">
      <c r="A9953" s="14" t="s">
        <v>61391</v>
      </c>
      <c r="B9953" s="14" t="s">
        <v>61392</v>
      </c>
      <c r="C9953" s="14" t="s">
        <v>42705</v>
      </c>
      <c r="D9953" s="14" t="s">
        <v>61393</v>
      </c>
      <c r="E9953" s="14" t="s">
        <v>44915</v>
      </c>
      <c r="F9953" s="14" t="s">
        <v>1249</v>
      </c>
      <c r="G9953" s="14" t="s">
        <v>61394</v>
      </c>
      <c r="H9953" s="15">
        <v>3.0</v>
      </c>
      <c r="I9953" s="15">
        <v>38.0</v>
      </c>
      <c r="J9953" s="15">
        <v>7.0</v>
      </c>
      <c r="K9953" s="15">
        <v>30.0</v>
      </c>
      <c r="L9953" s="16" t="s">
        <v>61395</v>
      </c>
      <c r="M9953" s="14" t="s">
        <v>61396</v>
      </c>
      <c r="N9953" s="14" t="s">
        <v>665</v>
      </c>
      <c r="O9953" s="16" t="s">
        <v>3857</v>
      </c>
      <c r="P9953" s="14" t="s">
        <v>61397</v>
      </c>
      <c r="Q9953" s="14" t="s">
        <v>31</v>
      </c>
      <c r="R9953" s="14" t="s">
        <v>1420</v>
      </c>
      <c r="S9953" s="16" t="s">
        <v>61398</v>
      </c>
      <c r="T9953" s="14" t="s">
        <v>66</v>
      </c>
      <c r="U9953" s="16" t="s">
        <v>31</v>
      </c>
      <c r="V9953" s="14" t="s">
        <v>36782</v>
      </c>
      <c r="W9953" s="14" t="s">
        <v>44915</v>
      </c>
      <c r="X9953" s="17" t="str">
        <f>HYPERLINK("https://my.pitchbook.com?p=35886-52P","View People Online")</f>
        <v>View People Online</v>
      </c>
    </row>
    <row r="9954">
      <c r="A9954" s="2" t="s">
        <v>61399</v>
      </c>
      <c r="B9954" s="2" t="s">
        <v>61400</v>
      </c>
      <c r="C9954" s="2" t="s">
        <v>1588</v>
      </c>
      <c r="D9954" s="2" t="s">
        <v>61401</v>
      </c>
      <c r="E9954" s="2" t="s">
        <v>44915</v>
      </c>
      <c r="F9954" s="2" t="s">
        <v>1801</v>
      </c>
      <c r="G9954" s="2" t="s">
        <v>61402</v>
      </c>
      <c r="H9954" s="3" t="s">
        <v>31</v>
      </c>
      <c r="I9954" s="3">
        <v>1.0</v>
      </c>
      <c r="J9954" s="3">
        <v>1.0</v>
      </c>
      <c r="K9954" s="3" t="s">
        <v>31</v>
      </c>
      <c r="L9954" s="4" t="s">
        <v>61395</v>
      </c>
      <c r="M9954" s="2" t="s">
        <v>61403</v>
      </c>
      <c r="N9954" s="2" t="s">
        <v>665</v>
      </c>
      <c r="O9954" s="4" t="s">
        <v>3857</v>
      </c>
      <c r="P9954" s="2" t="s">
        <v>61397</v>
      </c>
      <c r="Q9954" s="2" t="s">
        <v>31</v>
      </c>
      <c r="R9954" s="2" t="s">
        <v>1420</v>
      </c>
      <c r="S9954" s="4" t="s">
        <v>61398</v>
      </c>
      <c r="T9954" s="2" t="s">
        <v>66</v>
      </c>
      <c r="U9954" s="4" t="s">
        <v>31</v>
      </c>
      <c r="V9954" s="2" t="s">
        <v>61404</v>
      </c>
      <c r="W9954" s="2" t="s">
        <v>44915</v>
      </c>
      <c r="X9954" s="5" t="str">
        <f>HYPERLINK("https://my.pitchbook.com?p=80537-77P","View People Online")</f>
        <v>View People Online</v>
      </c>
    </row>
    <row r="9955">
      <c r="A9955" s="6" t="s">
        <v>61405</v>
      </c>
      <c r="B9955" s="6" t="s">
        <v>61406</v>
      </c>
      <c r="C9955" s="6" t="s">
        <v>61407</v>
      </c>
      <c r="D9955" s="6" t="s">
        <v>61408</v>
      </c>
      <c r="E9955" s="6" t="s">
        <v>44915</v>
      </c>
      <c r="F9955" s="6" t="s">
        <v>270</v>
      </c>
      <c r="G9955" s="6" t="s">
        <v>61409</v>
      </c>
      <c r="H9955" s="7" t="s">
        <v>31</v>
      </c>
      <c r="I9955" s="7">
        <v>1.0</v>
      </c>
      <c r="J9955" s="7">
        <v>1.0</v>
      </c>
      <c r="K9955" s="7" t="s">
        <v>31</v>
      </c>
      <c r="L9955" s="8" t="s">
        <v>61395</v>
      </c>
      <c r="M9955" s="6" t="s">
        <v>61410</v>
      </c>
      <c r="N9955" s="6" t="s">
        <v>665</v>
      </c>
      <c r="O9955" s="8" t="s">
        <v>3857</v>
      </c>
      <c r="P9955" s="6" t="s">
        <v>61397</v>
      </c>
      <c r="Q9955" s="6" t="s">
        <v>31</v>
      </c>
      <c r="R9955" s="6" t="s">
        <v>1420</v>
      </c>
      <c r="S9955" s="8" t="s">
        <v>61398</v>
      </c>
      <c r="T9955" s="6" t="s">
        <v>66</v>
      </c>
      <c r="U9955" s="8" t="s">
        <v>31</v>
      </c>
      <c r="V9955" s="6" t="s">
        <v>61411</v>
      </c>
      <c r="W9955" s="6" t="s">
        <v>44915</v>
      </c>
      <c r="X9955" s="9" t="str">
        <f>HYPERLINK("https://my.pitchbook.com?p=53953-03P","View People Online")</f>
        <v>View People Online</v>
      </c>
    </row>
    <row r="9956">
      <c r="A9956" s="10" t="s">
        <v>61412</v>
      </c>
      <c r="B9956" s="10" t="s">
        <v>61413</v>
      </c>
      <c r="C9956" s="10" t="s">
        <v>61414</v>
      </c>
      <c r="D9956" s="10" t="s">
        <v>61415</v>
      </c>
      <c r="E9956" s="10" t="s">
        <v>44915</v>
      </c>
      <c r="F9956" s="10" t="s">
        <v>270</v>
      </c>
      <c r="G9956" s="10" t="s">
        <v>61416</v>
      </c>
      <c r="H9956" s="11" t="s">
        <v>31</v>
      </c>
      <c r="I9956" s="11">
        <v>1.0</v>
      </c>
      <c r="J9956" s="11">
        <v>1.0</v>
      </c>
      <c r="K9956" s="11" t="s">
        <v>31</v>
      </c>
      <c r="L9956" s="12" t="s">
        <v>61395</v>
      </c>
      <c r="M9956" s="10" t="s">
        <v>61417</v>
      </c>
      <c r="N9956" s="10" t="s">
        <v>665</v>
      </c>
      <c r="O9956" s="12" t="s">
        <v>3857</v>
      </c>
      <c r="P9956" s="10" t="s">
        <v>61397</v>
      </c>
      <c r="Q9956" s="10" t="s">
        <v>31</v>
      </c>
      <c r="R9956" s="10" t="s">
        <v>1420</v>
      </c>
      <c r="S9956" s="12" t="s">
        <v>61398</v>
      </c>
      <c r="T9956" s="10" t="s">
        <v>66</v>
      </c>
      <c r="U9956" s="12" t="s">
        <v>31</v>
      </c>
      <c r="V9956" s="10" t="s">
        <v>61418</v>
      </c>
      <c r="W9956" s="10" t="s">
        <v>44915</v>
      </c>
      <c r="X9956" s="13" t="str">
        <f>HYPERLINK("https://my.pitchbook.com?p=295500-70P","View People Online")</f>
        <v>View People Online</v>
      </c>
    </row>
    <row r="9957">
      <c r="A9957" s="14" t="s">
        <v>61419</v>
      </c>
      <c r="B9957" s="14" t="s">
        <v>61420</v>
      </c>
      <c r="C9957" s="14" t="s">
        <v>2288</v>
      </c>
      <c r="D9957" s="14" t="s">
        <v>27677</v>
      </c>
      <c r="E9957" s="14" t="s">
        <v>44915</v>
      </c>
      <c r="F9957" s="14" t="s">
        <v>270</v>
      </c>
      <c r="G9957" s="14" t="s">
        <v>61421</v>
      </c>
      <c r="H9957" s="15" t="s">
        <v>31</v>
      </c>
      <c r="I9957" s="15">
        <v>1.0</v>
      </c>
      <c r="J9957" s="15">
        <v>1.0</v>
      </c>
      <c r="K9957" s="15" t="s">
        <v>31</v>
      </c>
      <c r="L9957" s="16" t="s">
        <v>61395</v>
      </c>
      <c r="M9957" s="14" t="s">
        <v>61422</v>
      </c>
      <c r="N9957" s="14" t="s">
        <v>665</v>
      </c>
      <c r="O9957" s="16" t="s">
        <v>3857</v>
      </c>
      <c r="P9957" s="14" t="s">
        <v>61397</v>
      </c>
      <c r="Q9957" s="14" t="s">
        <v>31</v>
      </c>
      <c r="R9957" s="14" t="s">
        <v>1420</v>
      </c>
      <c r="S9957" s="16" t="s">
        <v>61398</v>
      </c>
      <c r="T9957" s="14" t="s">
        <v>66</v>
      </c>
      <c r="U9957" s="16" t="s">
        <v>31</v>
      </c>
      <c r="V9957" s="14" t="s">
        <v>61423</v>
      </c>
      <c r="W9957" s="14" t="s">
        <v>44915</v>
      </c>
      <c r="X9957" s="17" t="str">
        <f>HYPERLINK("https://my.pitchbook.com?p=295500-25P","View People Online")</f>
        <v>View People Online</v>
      </c>
    </row>
    <row r="9958">
      <c r="A9958" s="2" t="s">
        <v>61424</v>
      </c>
      <c r="B9958" s="2" t="s">
        <v>61425</v>
      </c>
      <c r="C9958" s="2" t="s">
        <v>1645</v>
      </c>
      <c r="D9958" s="2" t="s">
        <v>61426</v>
      </c>
      <c r="E9958" s="2" t="s">
        <v>44915</v>
      </c>
      <c r="F9958" s="2" t="s">
        <v>5787</v>
      </c>
      <c r="G9958" s="2" t="s">
        <v>61427</v>
      </c>
      <c r="H9958" s="3" t="s">
        <v>31</v>
      </c>
      <c r="I9958" s="3">
        <v>1.0</v>
      </c>
      <c r="J9958" s="3">
        <v>1.0</v>
      </c>
      <c r="K9958" s="3" t="s">
        <v>31</v>
      </c>
      <c r="L9958" s="4" t="s">
        <v>61395</v>
      </c>
      <c r="M9958" s="2" t="s">
        <v>61428</v>
      </c>
      <c r="N9958" s="2" t="s">
        <v>665</v>
      </c>
      <c r="O9958" s="4" t="s">
        <v>3857</v>
      </c>
      <c r="P9958" s="2" t="s">
        <v>61397</v>
      </c>
      <c r="Q9958" s="2" t="s">
        <v>31</v>
      </c>
      <c r="R9958" s="2" t="s">
        <v>1420</v>
      </c>
      <c r="S9958" s="4" t="s">
        <v>61398</v>
      </c>
      <c r="T9958" s="2" t="s">
        <v>66</v>
      </c>
      <c r="U9958" s="4" t="s">
        <v>31</v>
      </c>
      <c r="V9958" s="2" t="s">
        <v>61429</v>
      </c>
      <c r="W9958" s="2" t="s">
        <v>44915</v>
      </c>
      <c r="X9958" s="5" t="str">
        <f>HYPERLINK("https://my.pitchbook.com?p=133062-49P","View People Online")</f>
        <v>View People Online</v>
      </c>
    </row>
    <row r="9959">
      <c r="A9959" s="14" t="s">
        <v>61430</v>
      </c>
      <c r="B9959" s="14" t="s">
        <v>61431</v>
      </c>
      <c r="C9959" s="14" t="s">
        <v>20212</v>
      </c>
      <c r="D9959" s="14" t="s">
        <v>61432</v>
      </c>
      <c r="E9959" s="14" t="s">
        <v>44915</v>
      </c>
      <c r="F9959" s="14" t="s">
        <v>270</v>
      </c>
      <c r="G9959" s="14" t="s">
        <v>61433</v>
      </c>
      <c r="H9959" s="15" t="s">
        <v>31</v>
      </c>
      <c r="I9959" s="15">
        <v>1.0</v>
      </c>
      <c r="J9959" s="15">
        <v>1.0</v>
      </c>
      <c r="K9959" s="15" t="s">
        <v>31</v>
      </c>
      <c r="L9959" s="16" t="s">
        <v>61395</v>
      </c>
      <c r="M9959" s="14" t="s">
        <v>61434</v>
      </c>
      <c r="N9959" s="14" t="s">
        <v>665</v>
      </c>
      <c r="O9959" s="16" t="s">
        <v>3857</v>
      </c>
      <c r="P9959" s="14" t="s">
        <v>61397</v>
      </c>
      <c r="Q9959" s="14" t="s">
        <v>31</v>
      </c>
      <c r="R9959" s="14" t="s">
        <v>1420</v>
      </c>
      <c r="S9959" s="16" t="s">
        <v>61398</v>
      </c>
      <c r="T9959" s="14" t="s">
        <v>66</v>
      </c>
      <c r="U9959" s="16" t="s">
        <v>31</v>
      </c>
      <c r="V9959" s="14" t="s">
        <v>61435</v>
      </c>
      <c r="W9959" s="14" t="s">
        <v>44915</v>
      </c>
      <c r="X9959" s="17" t="str">
        <f>HYPERLINK("https://my.pitchbook.com?p=82608-94P","View People Online")</f>
        <v>View People Online</v>
      </c>
    </row>
    <row r="9960">
      <c r="A9960" s="10" t="s">
        <v>61436</v>
      </c>
      <c r="B9960" s="10" t="s">
        <v>61437</v>
      </c>
      <c r="C9960" s="10" t="s">
        <v>61438</v>
      </c>
      <c r="D9960" s="10" t="s">
        <v>22902</v>
      </c>
      <c r="E9960" s="10" t="s">
        <v>44915</v>
      </c>
      <c r="F9960" s="10" t="s">
        <v>3645</v>
      </c>
      <c r="G9960" s="10" t="s">
        <v>61439</v>
      </c>
      <c r="H9960" s="11" t="s">
        <v>31</v>
      </c>
      <c r="I9960" s="11">
        <v>1.0</v>
      </c>
      <c r="J9960" s="11">
        <v>1.0</v>
      </c>
      <c r="K9960" s="11" t="s">
        <v>31</v>
      </c>
      <c r="L9960" s="12" t="s">
        <v>61395</v>
      </c>
      <c r="M9960" s="10" t="s">
        <v>61440</v>
      </c>
      <c r="N9960" s="10" t="s">
        <v>665</v>
      </c>
      <c r="O9960" s="12" t="s">
        <v>3857</v>
      </c>
      <c r="P9960" s="10" t="s">
        <v>61397</v>
      </c>
      <c r="Q9960" s="10" t="s">
        <v>31</v>
      </c>
      <c r="R9960" s="10" t="s">
        <v>1420</v>
      </c>
      <c r="S9960" s="12" t="s">
        <v>61398</v>
      </c>
      <c r="T9960" s="10" t="s">
        <v>66</v>
      </c>
      <c r="U9960" s="12" t="s">
        <v>31</v>
      </c>
      <c r="V9960" s="10" t="s">
        <v>8058</v>
      </c>
      <c r="W9960" s="10" t="s">
        <v>44915</v>
      </c>
      <c r="X9960" s="13" t="str">
        <f>HYPERLINK("https://my.pitchbook.com?p=202464-55P","View People Online")</f>
        <v>View People Online</v>
      </c>
    </row>
    <row r="9961">
      <c r="A9961" s="6" t="s">
        <v>61441</v>
      </c>
      <c r="B9961" s="6" t="s">
        <v>61442</v>
      </c>
      <c r="C9961" s="6" t="s">
        <v>226</v>
      </c>
      <c r="D9961" s="6" t="s">
        <v>61443</v>
      </c>
      <c r="E9961" s="6" t="s">
        <v>44915</v>
      </c>
      <c r="F9961" s="6" t="s">
        <v>270</v>
      </c>
      <c r="G9961" s="6" t="s">
        <v>61444</v>
      </c>
      <c r="H9961" s="7" t="s">
        <v>31</v>
      </c>
      <c r="I9961" s="7">
        <v>1.0</v>
      </c>
      <c r="J9961" s="7">
        <v>1.0</v>
      </c>
      <c r="K9961" s="7" t="s">
        <v>31</v>
      </c>
      <c r="L9961" s="8" t="s">
        <v>61445</v>
      </c>
      <c r="M9961" s="6" t="s">
        <v>61446</v>
      </c>
      <c r="N9961" s="6" t="s">
        <v>23646</v>
      </c>
      <c r="O9961" s="8" t="s">
        <v>23647</v>
      </c>
      <c r="P9961" s="6" t="s">
        <v>61447</v>
      </c>
      <c r="Q9961" s="6" t="s">
        <v>31</v>
      </c>
      <c r="R9961" s="6" t="s">
        <v>31</v>
      </c>
      <c r="S9961" s="8" t="s">
        <v>61448</v>
      </c>
      <c r="T9961" s="6" t="s">
        <v>796</v>
      </c>
      <c r="U9961" s="8" t="s">
        <v>31</v>
      </c>
      <c r="V9961" s="6" t="s">
        <v>61449</v>
      </c>
      <c r="W9961" s="6" t="s">
        <v>44915</v>
      </c>
      <c r="X9961" s="9" t="str">
        <f>HYPERLINK("https://my.pitchbook.com?p=136896-13P","View People Online")</f>
        <v>View People Online</v>
      </c>
    </row>
    <row r="9962">
      <c r="A9962" s="2" t="s">
        <v>61450</v>
      </c>
      <c r="B9962" s="2" t="s">
        <v>61451</v>
      </c>
      <c r="C9962" s="2" t="s">
        <v>20238</v>
      </c>
      <c r="D9962" s="2" t="s">
        <v>9681</v>
      </c>
      <c r="E9962" s="2" t="s">
        <v>61452</v>
      </c>
      <c r="F9962" s="2" t="s">
        <v>86</v>
      </c>
      <c r="G9962" s="2" t="s">
        <v>61453</v>
      </c>
      <c r="H9962" s="3" t="s">
        <v>31</v>
      </c>
      <c r="I9962" s="3">
        <v>6.0</v>
      </c>
      <c r="J9962" s="3">
        <v>1.0</v>
      </c>
      <c r="K9962" s="3">
        <v>4.0</v>
      </c>
      <c r="L9962" s="4" t="s">
        <v>31</v>
      </c>
      <c r="M9962" s="2" t="s">
        <v>61454</v>
      </c>
      <c r="N9962" s="2" t="s">
        <v>34</v>
      </c>
      <c r="O9962" s="4" t="s">
        <v>35</v>
      </c>
      <c r="P9962" s="2" t="s">
        <v>61455</v>
      </c>
      <c r="Q9962" s="2" t="s">
        <v>61456</v>
      </c>
      <c r="R9962" s="2" t="s">
        <v>31</v>
      </c>
      <c r="S9962" s="4" t="s">
        <v>61457</v>
      </c>
      <c r="T9962" s="2" t="s">
        <v>38</v>
      </c>
      <c r="U9962" s="4" t="s">
        <v>31</v>
      </c>
      <c r="V9962" s="2" t="s">
        <v>86</v>
      </c>
      <c r="W9962" s="2" t="s">
        <v>61452</v>
      </c>
      <c r="X9962" s="5" t="str">
        <f>HYPERLINK("https://my.pitchbook.com?p=56059-39P","View People Online")</f>
        <v>View People Online</v>
      </c>
    </row>
    <row r="9963">
      <c r="A9963" s="14" t="s">
        <v>61458</v>
      </c>
      <c r="B9963" s="14" t="s">
        <v>61459</v>
      </c>
      <c r="C9963" s="14" t="s">
        <v>649</v>
      </c>
      <c r="D9963" s="14" t="s">
        <v>61460</v>
      </c>
      <c r="E9963" s="14" t="s">
        <v>61461</v>
      </c>
      <c r="F9963" s="14" t="s">
        <v>312</v>
      </c>
      <c r="G9963" s="14" t="s">
        <v>61462</v>
      </c>
      <c r="H9963" s="15" t="s">
        <v>31</v>
      </c>
      <c r="I9963" s="15">
        <v>1.0</v>
      </c>
      <c r="J9963" s="15">
        <v>1.0</v>
      </c>
      <c r="K9963" s="15" t="s">
        <v>31</v>
      </c>
      <c r="L9963" s="16" t="s">
        <v>61463</v>
      </c>
      <c r="M9963" s="14" t="s">
        <v>61464</v>
      </c>
      <c r="N9963" s="14" t="s">
        <v>14203</v>
      </c>
      <c r="O9963" s="16" t="s">
        <v>14204</v>
      </c>
      <c r="P9963" s="14" t="s">
        <v>61465</v>
      </c>
      <c r="Q9963" s="14" t="s">
        <v>61466</v>
      </c>
      <c r="R9963" s="14" t="s">
        <v>1420</v>
      </c>
      <c r="S9963" s="16" t="s">
        <v>61467</v>
      </c>
      <c r="T9963" s="14" t="s">
        <v>66</v>
      </c>
      <c r="U9963" s="16" t="s">
        <v>31</v>
      </c>
      <c r="V9963" s="14" t="s">
        <v>3678</v>
      </c>
      <c r="W9963" s="14" t="s">
        <v>61461</v>
      </c>
      <c r="X9963" s="17" t="str">
        <f>HYPERLINK("https://my.pitchbook.com?p=256271-23P","View People Online")</f>
        <v>View People Online</v>
      </c>
    </row>
    <row r="9964">
      <c r="A9964" s="10" t="s">
        <v>61468</v>
      </c>
      <c r="B9964" s="10" t="s">
        <v>61469</v>
      </c>
      <c r="C9964" s="10" t="s">
        <v>61470</v>
      </c>
      <c r="D9964" s="10" t="s">
        <v>4611</v>
      </c>
      <c r="E9964" s="10" t="s">
        <v>61461</v>
      </c>
      <c r="F9964" s="10" t="s">
        <v>312</v>
      </c>
      <c r="G9964" s="10" t="s">
        <v>61471</v>
      </c>
      <c r="H9964" s="11" t="s">
        <v>31</v>
      </c>
      <c r="I9964" s="11">
        <v>1.0</v>
      </c>
      <c r="J9964" s="11">
        <v>1.0</v>
      </c>
      <c r="K9964" s="11" t="s">
        <v>31</v>
      </c>
      <c r="L9964" s="12" t="s">
        <v>61463</v>
      </c>
      <c r="M9964" s="10" t="s">
        <v>61472</v>
      </c>
      <c r="N9964" s="10" t="s">
        <v>14203</v>
      </c>
      <c r="O9964" s="12" t="s">
        <v>14204</v>
      </c>
      <c r="P9964" s="10" t="s">
        <v>61465</v>
      </c>
      <c r="Q9964" s="10" t="s">
        <v>61466</v>
      </c>
      <c r="R9964" s="10" t="s">
        <v>1420</v>
      </c>
      <c r="S9964" s="12" t="s">
        <v>61467</v>
      </c>
      <c r="T9964" s="10" t="s">
        <v>66</v>
      </c>
      <c r="U9964" s="12" t="s">
        <v>31</v>
      </c>
      <c r="V9964" s="10" t="s">
        <v>61473</v>
      </c>
      <c r="W9964" s="10" t="s">
        <v>61461</v>
      </c>
      <c r="X9964" s="13" t="str">
        <f>HYPERLINK("https://my.pitchbook.com?p=256274-29P","View People Online")</f>
        <v>View People Online</v>
      </c>
    </row>
    <row r="9965">
      <c r="A9965" s="14" t="s">
        <v>61474</v>
      </c>
      <c r="B9965" s="14" t="s">
        <v>61475</v>
      </c>
      <c r="C9965" s="14" t="s">
        <v>4731</v>
      </c>
      <c r="D9965" s="14" t="s">
        <v>47994</v>
      </c>
      <c r="E9965" s="14" t="s">
        <v>61461</v>
      </c>
      <c r="F9965" s="14" t="s">
        <v>548</v>
      </c>
      <c r="G9965" s="14" t="s">
        <v>61476</v>
      </c>
      <c r="H9965" s="15" t="s">
        <v>31</v>
      </c>
      <c r="I9965" s="15">
        <v>1.0</v>
      </c>
      <c r="J9965" s="15">
        <v>1.0</v>
      </c>
      <c r="K9965" s="15" t="s">
        <v>31</v>
      </c>
      <c r="L9965" s="16" t="s">
        <v>61463</v>
      </c>
      <c r="M9965" s="14" t="s">
        <v>61477</v>
      </c>
      <c r="N9965" s="14" t="s">
        <v>14203</v>
      </c>
      <c r="O9965" s="16" t="s">
        <v>14204</v>
      </c>
      <c r="P9965" s="14" t="s">
        <v>61465</v>
      </c>
      <c r="Q9965" s="14" t="s">
        <v>61466</v>
      </c>
      <c r="R9965" s="14" t="s">
        <v>1420</v>
      </c>
      <c r="S9965" s="16" t="s">
        <v>61467</v>
      </c>
      <c r="T9965" s="14" t="s">
        <v>66</v>
      </c>
      <c r="U9965" s="16" t="s">
        <v>31</v>
      </c>
      <c r="V9965" s="14" t="s">
        <v>61478</v>
      </c>
      <c r="W9965" s="14" t="s">
        <v>61461</v>
      </c>
      <c r="X9965" s="17" t="str">
        <f>HYPERLINK("https://my.pitchbook.com?p=121880-44P","View People Online")</f>
        <v>View People Online</v>
      </c>
    </row>
    <row r="9966">
      <c r="A9966" s="10" t="s">
        <v>61479</v>
      </c>
      <c r="B9966" s="10" t="s">
        <v>61480</v>
      </c>
      <c r="C9966" s="10" t="s">
        <v>61481</v>
      </c>
      <c r="D9966" s="10" t="s">
        <v>61482</v>
      </c>
      <c r="E9966" s="10" t="s">
        <v>61461</v>
      </c>
      <c r="F9966" s="10" t="s">
        <v>1801</v>
      </c>
      <c r="G9966" s="10" t="s">
        <v>61483</v>
      </c>
      <c r="H9966" s="11" t="s">
        <v>31</v>
      </c>
      <c r="I9966" s="11">
        <v>1.0</v>
      </c>
      <c r="J9966" s="11">
        <v>1.0</v>
      </c>
      <c r="K9966" s="11" t="s">
        <v>31</v>
      </c>
      <c r="L9966" s="12" t="s">
        <v>61463</v>
      </c>
      <c r="M9966" s="10" t="s">
        <v>61484</v>
      </c>
      <c r="N9966" s="10" t="s">
        <v>14203</v>
      </c>
      <c r="O9966" s="12" t="s">
        <v>14204</v>
      </c>
      <c r="P9966" s="10" t="s">
        <v>61465</v>
      </c>
      <c r="Q9966" s="10" t="s">
        <v>61466</v>
      </c>
      <c r="R9966" s="10" t="s">
        <v>1420</v>
      </c>
      <c r="S9966" s="12" t="s">
        <v>61467</v>
      </c>
      <c r="T9966" s="10" t="s">
        <v>66</v>
      </c>
      <c r="U9966" s="12" t="s">
        <v>31</v>
      </c>
      <c r="V9966" s="10" t="s">
        <v>61485</v>
      </c>
      <c r="W9966" s="10" t="s">
        <v>61461</v>
      </c>
      <c r="X9966" s="13" t="str">
        <f>HYPERLINK("https://my.pitchbook.com?p=83365-48P","View People Online")</f>
        <v>View People Online</v>
      </c>
    </row>
    <row r="9967">
      <c r="A9967" s="6" t="s">
        <v>61486</v>
      </c>
      <c r="B9967" s="6" t="s">
        <v>61487</v>
      </c>
      <c r="C9967" s="6" t="s">
        <v>8566</v>
      </c>
      <c r="D9967" s="6" t="s">
        <v>4255</v>
      </c>
      <c r="E9967" s="6" t="s">
        <v>61461</v>
      </c>
      <c r="F9967" s="6" t="s">
        <v>1801</v>
      </c>
      <c r="G9967" s="6" t="s">
        <v>61488</v>
      </c>
      <c r="H9967" s="7" t="s">
        <v>31</v>
      </c>
      <c r="I9967" s="7">
        <v>1.0</v>
      </c>
      <c r="J9967" s="7">
        <v>1.0</v>
      </c>
      <c r="K9967" s="7" t="s">
        <v>31</v>
      </c>
      <c r="L9967" s="8" t="s">
        <v>61463</v>
      </c>
      <c r="M9967" s="6" t="s">
        <v>61489</v>
      </c>
      <c r="N9967" s="6" t="s">
        <v>14203</v>
      </c>
      <c r="O9967" s="8" t="s">
        <v>14204</v>
      </c>
      <c r="P9967" s="6" t="s">
        <v>61465</v>
      </c>
      <c r="Q9967" s="6" t="s">
        <v>61466</v>
      </c>
      <c r="R9967" s="6" t="s">
        <v>1420</v>
      </c>
      <c r="S9967" s="8" t="s">
        <v>61467</v>
      </c>
      <c r="T9967" s="6" t="s">
        <v>66</v>
      </c>
      <c r="U9967" s="8" t="s">
        <v>31</v>
      </c>
      <c r="V9967" s="6" t="s">
        <v>61490</v>
      </c>
      <c r="W9967" s="6" t="s">
        <v>61461</v>
      </c>
      <c r="X9967" s="9" t="str">
        <f>HYPERLINK("https://my.pitchbook.com?p=80497-36P","View People Online")</f>
        <v>View People Online</v>
      </c>
    </row>
    <row r="9968">
      <c r="A9968" s="10" t="s">
        <v>61491</v>
      </c>
      <c r="B9968" s="10" t="s">
        <v>61492</v>
      </c>
      <c r="C9968" s="10" t="s">
        <v>731</v>
      </c>
      <c r="D9968" s="10" t="s">
        <v>61493</v>
      </c>
      <c r="E9968" s="10" t="s">
        <v>61461</v>
      </c>
      <c r="F9968" s="10" t="s">
        <v>312</v>
      </c>
      <c r="G9968" s="10" t="s">
        <v>61494</v>
      </c>
      <c r="H9968" s="11" t="s">
        <v>31</v>
      </c>
      <c r="I9968" s="11">
        <v>1.0</v>
      </c>
      <c r="J9968" s="11">
        <v>1.0</v>
      </c>
      <c r="K9968" s="11" t="s">
        <v>31</v>
      </c>
      <c r="L9968" s="12" t="s">
        <v>61463</v>
      </c>
      <c r="M9968" s="10" t="s">
        <v>61495</v>
      </c>
      <c r="N9968" s="10" t="s">
        <v>14203</v>
      </c>
      <c r="O9968" s="12" t="s">
        <v>14204</v>
      </c>
      <c r="P9968" s="10" t="s">
        <v>61465</v>
      </c>
      <c r="Q9968" s="10" t="s">
        <v>61466</v>
      </c>
      <c r="R9968" s="10" t="s">
        <v>1420</v>
      </c>
      <c r="S9968" s="12" t="s">
        <v>61467</v>
      </c>
      <c r="T9968" s="10" t="s">
        <v>66</v>
      </c>
      <c r="U9968" s="12" t="s">
        <v>31</v>
      </c>
      <c r="V9968" s="10" t="s">
        <v>312</v>
      </c>
      <c r="W9968" s="10" t="s">
        <v>61461</v>
      </c>
      <c r="X9968" s="13" t="str">
        <f>HYPERLINK("https://my.pitchbook.com?p=294384-70P","View People Online")</f>
        <v>View People Online</v>
      </c>
    </row>
    <row r="9969">
      <c r="A9969" s="14" t="s">
        <v>61496</v>
      </c>
      <c r="B9969" s="14" t="s">
        <v>61497</v>
      </c>
      <c r="C9969" s="14" t="s">
        <v>35468</v>
      </c>
      <c r="D9969" s="14" t="s">
        <v>61498</v>
      </c>
      <c r="E9969" s="14" t="s">
        <v>61461</v>
      </c>
      <c r="F9969" s="14" t="s">
        <v>5979</v>
      </c>
      <c r="G9969" s="14" t="s">
        <v>61499</v>
      </c>
      <c r="H9969" s="15" t="s">
        <v>31</v>
      </c>
      <c r="I9969" s="15">
        <v>1.0</v>
      </c>
      <c r="J9969" s="15">
        <v>1.0</v>
      </c>
      <c r="K9969" s="15" t="s">
        <v>31</v>
      </c>
      <c r="L9969" s="16" t="s">
        <v>61463</v>
      </c>
      <c r="M9969" s="14" t="s">
        <v>61500</v>
      </c>
      <c r="N9969" s="14" t="s">
        <v>14203</v>
      </c>
      <c r="O9969" s="16" t="s">
        <v>14204</v>
      </c>
      <c r="P9969" s="14" t="s">
        <v>61465</v>
      </c>
      <c r="Q9969" s="14" t="s">
        <v>61466</v>
      </c>
      <c r="R9969" s="14" t="s">
        <v>1420</v>
      </c>
      <c r="S9969" s="16" t="s">
        <v>61467</v>
      </c>
      <c r="T9969" s="14" t="s">
        <v>66</v>
      </c>
      <c r="U9969" s="16" t="s">
        <v>31</v>
      </c>
      <c r="V9969" s="14" t="s">
        <v>10271</v>
      </c>
      <c r="W9969" s="14" t="s">
        <v>61461</v>
      </c>
      <c r="X9969" s="17" t="str">
        <f>HYPERLINK("https://my.pitchbook.com?p=256273-48P","View People Online")</f>
        <v>View People Online</v>
      </c>
    </row>
    <row r="9970">
      <c r="A9970" s="10" t="s">
        <v>61501</v>
      </c>
      <c r="B9970" s="10" t="s">
        <v>61502</v>
      </c>
      <c r="C9970" s="10" t="s">
        <v>7978</v>
      </c>
      <c r="D9970" s="10" t="s">
        <v>13052</v>
      </c>
      <c r="E9970" s="10" t="s">
        <v>61461</v>
      </c>
      <c r="F9970" s="10" t="s">
        <v>1215</v>
      </c>
      <c r="G9970" s="10" t="s">
        <v>61503</v>
      </c>
      <c r="H9970" s="11" t="s">
        <v>31</v>
      </c>
      <c r="I9970" s="11">
        <v>1.0</v>
      </c>
      <c r="J9970" s="11">
        <v>1.0</v>
      </c>
      <c r="K9970" s="11" t="s">
        <v>31</v>
      </c>
      <c r="L9970" s="12" t="s">
        <v>61463</v>
      </c>
      <c r="M9970" s="10" t="s">
        <v>61504</v>
      </c>
      <c r="N9970" s="10" t="s">
        <v>14203</v>
      </c>
      <c r="O9970" s="12" t="s">
        <v>14204</v>
      </c>
      <c r="P9970" s="10" t="s">
        <v>61465</v>
      </c>
      <c r="Q9970" s="10" t="s">
        <v>61466</v>
      </c>
      <c r="R9970" s="10" t="s">
        <v>1420</v>
      </c>
      <c r="S9970" s="12" t="s">
        <v>61467</v>
      </c>
      <c r="T9970" s="10" t="s">
        <v>66</v>
      </c>
      <c r="U9970" s="12" t="s">
        <v>31</v>
      </c>
      <c r="V9970" s="10" t="s">
        <v>61505</v>
      </c>
      <c r="W9970" s="10" t="s">
        <v>61461</v>
      </c>
      <c r="X9970" s="13" t="str">
        <f>HYPERLINK("https://my.pitchbook.com?p=249973-93P","View People Online")</f>
        <v>View People Online</v>
      </c>
    </row>
    <row r="9971">
      <c r="A9971" s="14" t="s">
        <v>61506</v>
      </c>
      <c r="B9971" s="14" t="s">
        <v>61507</v>
      </c>
      <c r="C9971" s="14" t="s">
        <v>61508</v>
      </c>
      <c r="D9971" s="14" t="s">
        <v>61509</v>
      </c>
      <c r="E9971" s="14" t="s">
        <v>61461</v>
      </c>
      <c r="F9971" s="14" t="s">
        <v>312</v>
      </c>
      <c r="G9971" s="14" t="s">
        <v>61510</v>
      </c>
      <c r="H9971" s="15" t="s">
        <v>31</v>
      </c>
      <c r="I9971" s="15">
        <v>1.0</v>
      </c>
      <c r="J9971" s="15">
        <v>1.0</v>
      </c>
      <c r="K9971" s="15" t="s">
        <v>31</v>
      </c>
      <c r="L9971" s="16" t="s">
        <v>61463</v>
      </c>
      <c r="M9971" s="14" t="s">
        <v>61511</v>
      </c>
      <c r="N9971" s="14" t="s">
        <v>14203</v>
      </c>
      <c r="O9971" s="16" t="s">
        <v>14204</v>
      </c>
      <c r="P9971" s="14" t="s">
        <v>61465</v>
      </c>
      <c r="Q9971" s="14" t="s">
        <v>61466</v>
      </c>
      <c r="R9971" s="14" t="s">
        <v>1420</v>
      </c>
      <c r="S9971" s="16" t="s">
        <v>61467</v>
      </c>
      <c r="T9971" s="14" t="s">
        <v>66</v>
      </c>
      <c r="U9971" s="16" t="s">
        <v>31</v>
      </c>
      <c r="V9971" s="14" t="s">
        <v>312</v>
      </c>
      <c r="W9971" s="14" t="s">
        <v>61461</v>
      </c>
      <c r="X9971" s="17" t="str">
        <f>HYPERLINK("https://my.pitchbook.com?p=218059-57P","View People Online")</f>
        <v>View People Online</v>
      </c>
    </row>
    <row r="9972">
      <c r="A9972" s="10" t="s">
        <v>61512</v>
      </c>
      <c r="B9972" s="10" t="s">
        <v>61513</v>
      </c>
      <c r="C9972" s="10" t="s">
        <v>61514</v>
      </c>
      <c r="D9972" s="10" t="s">
        <v>24254</v>
      </c>
      <c r="E9972" s="10" t="s">
        <v>61461</v>
      </c>
      <c r="F9972" s="10" t="s">
        <v>1249</v>
      </c>
      <c r="G9972" s="10" t="s">
        <v>61515</v>
      </c>
      <c r="H9972" s="11">
        <v>1.0</v>
      </c>
      <c r="I9972" s="11">
        <v>1.0</v>
      </c>
      <c r="J9972" s="11">
        <v>1.0</v>
      </c>
      <c r="K9972" s="11" t="s">
        <v>31</v>
      </c>
      <c r="L9972" s="12" t="s">
        <v>61463</v>
      </c>
      <c r="M9972" s="10" t="s">
        <v>61516</v>
      </c>
      <c r="N9972" s="10" t="s">
        <v>14203</v>
      </c>
      <c r="O9972" s="12" t="s">
        <v>14204</v>
      </c>
      <c r="P9972" s="10" t="s">
        <v>61465</v>
      </c>
      <c r="Q9972" s="10" t="s">
        <v>61466</v>
      </c>
      <c r="R9972" s="10" t="s">
        <v>1420</v>
      </c>
      <c r="S9972" s="12" t="s">
        <v>61467</v>
      </c>
      <c r="T9972" s="10" t="s">
        <v>66</v>
      </c>
      <c r="U9972" s="12" t="s">
        <v>31</v>
      </c>
      <c r="V9972" s="10" t="s">
        <v>61517</v>
      </c>
      <c r="W9972" s="10" t="s">
        <v>61461</v>
      </c>
      <c r="X9972" s="13" t="str">
        <f>HYPERLINK("https://my.pitchbook.com?p=218059-48P","View People Online")</f>
        <v>View People Online</v>
      </c>
    </row>
    <row r="9973">
      <c r="A9973" s="6" t="s">
        <v>61518</v>
      </c>
      <c r="B9973" s="6" t="s">
        <v>61519</v>
      </c>
      <c r="C9973" s="6" t="s">
        <v>4358</v>
      </c>
      <c r="D9973" s="6" t="s">
        <v>31743</v>
      </c>
      <c r="E9973" s="6" t="s">
        <v>61461</v>
      </c>
      <c r="F9973" s="6" t="s">
        <v>28075</v>
      </c>
      <c r="G9973" s="6" t="s">
        <v>61520</v>
      </c>
      <c r="H9973" s="7" t="s">
        <v>31</v>
      </c>
      <c r="I9973" s="7">
        <v>1.0</v>
      </c>
      <c r="J9973" s="7">
        <v>1.0</v>
      </c>
      <c r="K9973" s="7" t="s">
        <v>31</v>
      </c>
      <c r="L9973" s="8" t="s">
        <v>61463</v>
      </c>
      <c r="M9973" s="6" t="s">
        <v>61521</v>
      </c>
      <c r="N9973" s="6" t="s">
        <v>14203</v>
      </c>
      <c r="O9973" s="8" t="s">
        <v>14204</v>
      </c>
      <c r="P9973" s="6" t="s">
        <v>61465</v>
      </c>
      <c r="Q9973" s="6" t="s">
        <v>61466</v>
      </c>
      <c r="R9973" s="6" t="s">
        <v>1420</v>
      </c>
      <c r="S9973" s="8" t="s">
        <v>61467</v>
      </c>
      <c r="T9973" s="6" t="s">
        <v>66</v>
      </c>
      <c r="U9973" s="8" t="s">
        <v>31</v>
      </c>
      <c r="V9973" s="6" t="s">
        <v>28078</v>
      </c>
      <c r="W9973" s="6" t="s">
        <v>61461</v>
      </c>
      <c r="X9973" s="9" t="str">
        <f>HYPERLINK("https://my.pitchbook.com?p=121879-90P","View People Online")</f>
        <v>View People Online</v>
      </c>
    </row>
    <row r="9974">
      <c r="A9974" s="10" t="s">
        <v>61522</v>
      </c>
      <c r="B9974" s="10" t="s">
        <v>61523</v>
      </c>
      <c r="C9974" s="10" t="s">
        <v>6414</v>
      </c>
      <c r="D9974" s="10" t="s">
        <v>61524</v>
      </c>
      <c r="E9974" s="10" t="s">
        <v>61461</v>
      </c>
      <c r="F9974" s="10" t="s">
        <v>5206</v>
      </c>
      <c r="G9974" s="10" t="s">
        <v>61525</v>
      </c>
      <c r="H9974" s="11" t="s">
        <v>31</v>
      </c>
      <c r="I9974" s="11">
        <v>1.0</v>
      </c>
      <c r="J9974" s="11">
        <v>1.0</v>
      </c>
      <c r="K9974" s="11" t="s">
        <v>31</v>
      </c>
      <c r="L9974" s="12" t="s">
        <v>61463</v>
      </c>
      <c r="M9974" s="10" t="s">
        <v>61526</v>
      </c>
      <c r="N9974" s="10" t="s">
        <v>14203</v>
      </c>
      <c r="O9974" s="12" t="s">
        <v>14204</v>
      </c>
      <c r="P9974" s="10" t="s">
        <v>61465</v>
      </c>
      <c r="Q9974" s="10" t="s">
        <v>61466</v>
      </c>
      <c r="R9974" s="10" t="s">
        <v>1420</v>
      </c>
      <c r="S9974" s="12" t="s">
        <v>61467</v>
      </c>
      <c r="T9974" s="10" t="s">
        <v>66</v>
      </c>
      <c r="U9974" s="12" t="s">
        <v>31</v>
      </c>
      <c r="V9974" s="10" t="s">
        <v>61527</v>
      </c>
      <c r="W9974" s="10" t="s">
        <v>61461</v>
      </c>
      <c r="X9974" s="13" t="str">
        <f>HYPERLINK("https://my.pitchbook.com?p=83365-30P","View People Online")</f>
        <v>View People Online</v>
      </c>
    </row>
    <row r="9975">
      <c r="A9975" s="6" t="s">
        <v>61528</v>
      </c>
      <c r="B9975" s="6" t="s">
        <v>61529</v>
      </c>
      <c r="C9975" s="6" t="s">
        <v>213</v>
      </c>
      <c r="D9975" s="6" t="s">
        <v>61530</v>
      </c>
      <c r="E9975" s="6" t="s">
        <v>61461</v>
      </c>
      <c r="F9975" s="6" t="s">
        <v>5287</v>
      </c>
      <c r="G9975" s="6" t="s">
        <v>61531</v>
      </c>
      <c r="H9975" s="7" t="s">
        <v>31</v>
      </c>
      <c r="I9975" s="7">
        <v>3.0</v>
      </c>
      <c r="J9975" s="7">
        <v>1.0</v>
      </c>
      <c r="K9975" s="7">
        <v>1.0</v>
      </c>
      <c r="L9975" s="8" t="s">
        <v>61463</v>
      </c>
      <c r="M9975" s="6" t="s">
        <v>61532</v>
      </c>
      <c r="N9975" s="6" t="s">
        <v>14203</v>
      </c>
      <c r="O9975" s="8" t="s">
        <v>14204</v>
      </c>
      <c r="P9975" s="6" t="s">
        <v>61465</v>
      </c>
      <c r="Q9975" s="6" t="s">
        <v>61466</v>
      </c>
      <c r="R9975" s="6" t="s">
        <v>1420</v>
      </c>
      <c r="S9975" s="8" t="s">
        <v>61467</v>
      </c>
      <c r="T9975" s="6" t="s">
        <v>66</v>
      </c>
      <c r="U9975" s="8" t="s">
        <v>31</v>
      </c>
      <c r="V9975" s="6" t="s">
        <v>7658</v>
      </c>
      <c r="W9975" s="6" t="s">
        <v>61461</v>
      </c>
      <c r="X9975" s="9" t="str">
        <f>HYPERLINK("https://my.pitchbook.com?p=261957-52P","View People Online")</f>
        <v>View People Online</v>
      </c>
    </row>
    <row r="9976">
      <c r="A9976" s="10" t="s">
        <v>61533</v>
      </c>
      <c r="B9976" s="10" t="s">
        <v>61534</v>
      </c>
      <c r="C9976" s="10" t="s">
        <v>5092</v>
      </c>
      <c r="D9976" s="10" t="s">
        <v>47406</v>
      </c>
      <c r="E9976" s="10" t="s">
        <v>61461</v>
      </c>
      <c r="F9976" s="10" t="s">
        <v>4964</v>
      </c>
      <c r="G9976" s="10" t="s">
        <v>61535</v>
      </c>
      <c r="H9976" s="11" t="s">
        <v>31</v>
      </c>
      <c r="I9976" s="11">
        <v>1.0</v>
      </c>
      <c r="J9976" s="11">
        <v>1.0</v>
      </c>
      <c r="K9976" s="11" t="s">
        <v>31</v>
      </c>
      <c r="L9976" s="12" t="s">
        <v>61463</v>
      </c>
      <c r="M9976" s="10" t="s">
        <v>61536</v>
      </c>
      <c r="N9976" s="10" t="s">
        <v>14203</v>
      </c>
      <c r="O9976" s="12" t="s">
        <v>14204</v>
      </c>
      <c r="P9976" s="10" t="s">
        <v>61465</v>
      </c>
      <c r="Q9976" s="10" t="s">
        <v>61466</v>
      </c>
      <c r="R9976" s="10" t="s">
        <v>1420</v>
      </c>
      <c r="S9976" s="12" t="s">
        <v>61467</v>
      </c>
      <c r="T9976" s="10" t="s">
        <v>66</v>
      </c>
      <c r="U9976" s="12" t="s">
        <v>31</v>
      </c>
      <c r="V9976" s="10" t="s">
        <v>61537</v>
      </c>
      <c r="W9976" s="10" t="s">
        <v>61461</v>
      </c>
      <c r="X9976" s="13" t="str">
        <f>HYPERLINK("https://my.pitchbook.com?p=456343-12P","View People Online")</f>
        <v>View People Online</v>
      </c>
    </row>
    <row r="9977">
      <c r="A9977" s="6" t="s">
        <v>61538</v>
      </c>
      <c r="B9977" s="6" t="s">
        <v>61539</v>
      </c>
      <c r="C9977" s="6" t="s">
        <v>3089</v>
      </c>
      <c r="D9977" s="6" t="s">
        <v>61540</v>
      </c>
      <c r="E9977" s="6" t="s">
        <v>61461</v>
      </c>
      <c r="F9977" s="6" t="s">
        <v>312</v>
      </c>
      <c r="G9977" s="6" t="s">
        <v>61541</v>
      </c>
      <c r="H9977" s="7" t="s">
        <v>31</v>
      </c>
      <c r="I9977" s="7">
        <v>1.0</v>
      </c>
      <c r="J9977" s="7">
        <v>1.0</v>
      </c>
      <c r="K9977" s="7" t="s">
        <v>31</v>
      </c>
      <c r="L9977" s="8" t="s">
        <v>61463</v>
      </c>
      <c r="M9977" s="6" t="s">
        <v>61542</v>
      </c>
      <c r="N9977" s="6" t="s">
        <v>14203</v>
      </c>
      <c r="O9977" s="8" t="s">
        <v>14204</v>
      </c>
      <c r="P9977" s="6" t="s">
        <v>61465</v>
      </c>
      <c r="Q9977" s="6" t="s">
        <v>61466</v>
      </c>
      <c r="R9977" s="6" t="s">
        <v>1420</v>
      </c>
      <c r="S9977" s="8" t="s">
        <v>61467</v>
      </c>
      <c r="T9977" s="6" t="s">
        <v>66</v>
      </c>
      <c r="U9977" s="8" t="s">
        <v>31</v>
      </c>
      <c r="V9977" s="6" t="s">
        <v>61543</v>
      </c>
      <c r="W9977" s="6" t="s">
        <v>61461</v>
      </c>
      <c r="X9977" s="9" t="str">
        <f>HYPERLINK("https://my.pitchbook.com?p=375472-63P","View People Online")</f>
        <v>View People Online</v>
      </c>
    </row>
    <row r="9978">
      <c r="A9978" s="2" t="s">
        <v>61544</v>
      </c>
      <c r="B9978" s="2" t="s">
        <v>61545</v>
      </c>
      <c r="C9978" s="2" t="s">
        <v>61546</v>
      </c>
      <c r="D9978" s="2" t="s">
        <v>5302</v>
      </c>
      <c r="E9978" s="2" t="s">
        <v>61461</v>
      </c>
      <c r="F9978" s="2" t="s">
        <v>7426</v>
      </c>
      <c r="G9978" s="2" t="s">
        <v>61547</v>
      </c>
      <c r="H9978" s="3" t="s">
        <v>31</v>
      </c>
      <c r="I9978" s="3">
        <v>1.0</v>
      </c>
      <c r="J9978" s="3">
        <v>1.0</v>
      </c>
      <c r="K9978" s="3" t="s">
        <v>31</v>
      </c>
      <c r="L9978" s="4" t="s">
        <v>61463</v>
      </c>
      <c r="M9978" s="2" t="s">
        <v>61548</v>
      </c>
      <c r="N9978" s="2" t="s">
        <v>14203</v>
      </c>
      <c r="O9978" s="4" t="s">
        <v>14204</v>
      </c>
      <c r="P9978" s="2" t="s">
        <v>61465</v>
      </c>
      <c r="Q9978" s="2" t="s">
        <v>61466</v>
      </c>
      <c r="R9978" s="2" t="s">
        <v>1420</v>
      </c>
      <c r="S9978" s="4" t="s">
        <v>61467</v>
      </c>
      <c r="T9978" s="2" t="s">
        <v>66</v>
      </c>
      <c r="U9978" s="4" t="s">
        <v>31</v>
      </c>
      <c r="V9978" s="2" t="s">
        <v>61549</v>
      </c>
      <c r="W9978" s="2" t="s">
        <v>61461</v>
      </c>
      <c r="X9978" s="5" t="str">
        <f>HYPERLINK("https://my.pitchbook.com?p=391921-57P","View People Online")</f>
        <v>View People Online</v>
      </c>
    </row>
    <row r="9979">
      <c r="A9979" s="6" t="s">
        <v>61550</v>
      </c>
      <c r="B9979" s="6" t="s">
        <v>61551</v>
      </c>
      <c r="C9979" s="6" t="s">
        <v>2288</v>
      </c>
      <c r="D9979" s="6" t="s">
        <v>8834</v>
      </c>
      <c r="E9979" s="6" t="s">
        <v>61461</v>
      </c>
      <c r="F9979" s="6" t="s">
        <v>312</v>
      </c>
      <c r="G9979" s="6" t="s">
        <v>61552</v>
      </c>
      <c r="H9979" s="7" t="s">
        <v>31</v>
      </c>
      <c r="I9979" s="7">
        <v>1.0</v>
      </c>
      <c r="J9979" s="7">
        <v>1.0</v>
      </c>
      <c r="K9979" s="7" t="s">
        <v>31</v>
      </c>
      <c r="L9979" s="8" t="s">
        <v>61463</v>
      </c>
      <c r="M9979" s="6" t="s">
        <v>61553</v>
      </c>
      <c r="N9979" s="6" t="s">
        <v>14203</v>
      </c>
      <c r="O9979" s="8" t="s">
        <v>14204</v>
      </c>
      <c r="P9979" s="6" t="s">
        <v>61465</v>
      </c>
      <c r="Q9979" s="6" t="s">
        <v>61466</v>
      </c>
      <c r="R9979" s="6" t="s">
        <v>1420</v>
      </c>
      <c r="S9979" s="8" t="s">
        <v>61467</v>
      </c>
      <c r="T9979" s="6" t="s">
        <v>66</v>
      </c>
      <c r="U9979" s="8" t="s">
        <v>31</v>
      </c>
      <c r="V9979" s="6" t="s">
        <v>312</v>
      </c>
      <c r="W9979" s="6" t="s">
        <v>61461</v>
      </c>
      <c r="X9979" s="9" t="str">
        <f>HYPERLINK("https://my.pitchbook.com?p=256275-28P","View People Online")</f>
        <v>View People Online</v>
      </c>
    </row>
    <row r="9980">
      <c r="A9980" s="2" t="s">
        <v>61554</v>
      </c>
      <c r="B9980" s="2" t="s">
        <v>61555</v>
      </c>
      <c r="C9980" s="2" t="s">
        <v>2288</v>
      </c>
      <c r="D9980" s="2" t="s">
        <v>9782</v>
      </c>
      <c r="E9980" s="2" t="s">
        <v>61461</v>
      </c>
      <c r="F9980" s="2" t="s">
        <v>312</v>
      </c>
      <c r="G9980" s="2" t="s">
        <v>61556</v>
      </c>
      <c r="H9980" s="3" t="s">
        <v>31</v>
      </c>
      <c r="I9980" s="3">
        <v>1.0</v>
      </c>
      <c r="J9980" s="3">
        <v>1.0</v>
      </c>
      <c r="K9980" s="3" t="s">
        <v>31</v>
      </c>
      <c r="L9980" s="4" t="s">
        <v>61463</v>
      </c>
      <c r="M9980" s="2" t="s">
        <v>61557</v>
      </c>
      <c r="N9980" s="2" t="s">
        <v>14203</v>
      </c>
      <c r="O9980" s="4" t="s">
        <v>14204</v>
      </c>
      <c r="P9980" s="2" t="s">
        <v>61465</v>
      </c>
      <c r="Q9980" s="2" t="s">
        <v>61466</v>
      </c>
      <c r="R9980" s="2" t="s">
        <v>1420</v>
      </c>
      <c r="S9980" s="4" t="s">
        <v>61467</v>
      </c>
      <c r="T9980" s="2" t="s">
        <v>66</v>
      </c>
      <c r="U9980" s="4" t="s">
        <v>31</v>
      </c>
      <c r="V9980" s="2" t="s">
        <v>312</v>
      </c>
      <c r="W9980" s="2" t="s">
        <v>61461</v>
      </c>
      <c r="X9980" s="5" t="str">
        <f>HYPERLINK("https://my.pitchbook.com?p=294383-71P","View People Online")</f>
        <v>View People Online</v>
      </c>
    </row>
    <row r="9981">
      <c r="A9981" s="6" t="s">
        <v>61558</v>
      </c>
      <c r="B9981" s="6" t="s">
        <v>61559</v>
      </c>
      <c r="C9981" s="6" t="s">
        <v>1807</v>
      </c>
      <c r="D9981" s="6" t="s">
        <v>61560</v>
      </c>
      <c r="E9981" s="6" t="s">
        <v>61461</v>
      </c>
      <c r="F9981" s="6" t="s">
        <v>1215</v>
      </c>
      <c r="G9981" s="6" t="s">
        <v>61561</v>
      </c>
      <c r="H9981" s="7" t="s">
        <v>31</v>
      </c>
      <c r="I9981" s="7">
        <v>1.0</v>
      </c>
      <c r="J9981" s="7">
        <v>1.0</v>
      </c>
      <c r="K9981" s="7" t="s">
        <v>31</v>
      </c>
      <c r="L9981" s="8" t="s">
        <v>61463</v>
      </c>
      <c r="M9981" s="6" t="s">
        <v>61562</v>
      </c>
      <c r="N9981" s="6" t="s">
        <v>14203</v>
      </c>
      <c r="O9981" s="8" t="s">
        <v>14204</v>
      </c>
      <c r="P9981" s="6" t="s">
        <v>61465</v>
      </c>
      <c r="Q9981" s="6" t="s">
        <v>61466</v>
      </c>
      <c r="R9981" s="6" t="s">
        <v>1420</v>
      </c>
      <c r="S9981" s="8" t="s">
        <v>61467</v>
      </c>
      <c r="T9981" s="6" t="s">
        <v>66</v>
      </c>
      <c r="U9981" s="8" t="s">
        <v>31</v>
      </c>
      <c r="V9981" s="6" t="s">
        <v>61505</v>
      </c>
      <c r="W9981" s="6" t="s">
        <v>61461</v>
      </c>
      <c r="X9981" s="9" t="str">
        <f>HYPERLINK("https://my.pitchbook.com?p=375474-34P","View People Online")</f>
        <v>View People Online</v>
      </c>
    </row>
    <row r="9982">
      <c r="A9982" s="10" t="s">
        <v>61563</v>
      </c>
      <c r="B9982" s="10" t="s">
        <v>61564</v>
      </c>
      <c r="C9982" s="10" t="s">
        <v>20963</v>
      </c>
      <c r="D9982" s="10" t="s">
        <v>61565</v>
      </c>
      <c r="E9982" s="10" t="s">
        <v>61461</v>
      </c>
      <c r="F9982" s="10" t="s">
        <v>4868</v>
      </c>
      <c r="G9982" s="10" t="s">
        <v>61566</v>
      </c>
      <c r="H9982" s="11" t="s">
        <v>31</v>
      </c>
      <c r="I9982" s="11">
        <v>2.0</v>
      </c>
      <c r="J9982" s="11">
        <v>2.0</v>
      </c>
      <c r="K9982" s="11" t="s">
        <v>31</v>
      </c>
      <c r="L9982" s="12" t="s">
        <v>61463</v>
      </c>
      <c r="M9982" s="10" t="s">
        <v>61567</v>
      </c>
      <c r="N9982" s="10" t="s">
        <v>14203</v>
      </c>
      <c r="O9982" s="12" t="s">
        <v>14204</v>
      </c>
      <c r="P9982" s="10" t="s">
        <v>61465</v>
      </c>
      <c r="Q9982" s="10" t="s">
        <v>61466</v>
      </c>
      <c r="R9982" s="10" t="s">
        <v>1420</v>
      </c>
      <c r="S9982" s="12" t="s">
        <v>61467</v>
      </c>
      <c r="T9982" s="10" t="s">
        <v>66</v>
      </c>
      <c r="U9982" s="12" t="s">
        <v>31</v>
      </c>
      <c r="V9982" s="10" t="s">
        <v>61568</v>
      </c>
      <c r="W9982" s="10" t="s">
        <v>61461</v>
      </c>
      <c r="X9982" s="13" t="str">
        <f>HYPERLINK("https://my.pitchbook.com?p=124555-42P","View People Online")</f>
        <v>View People Online</v>
      </c>
    </row>
    <row r="9983">
      <c r="A9983" s="14" t="s">
        <v>61569</v>
      </c>
      <c r="B9983" s="14" t="s">
        <v>61570</v>
      </c>
      <c r="C9983" s="14" t="s">
        <v>25350</v>
      </c>
      <c r="D9983" s="14" t="s">
        <v>6913</v>
      </c>
      <c r="E9983" s="14" t="s">
        <v>61461</v>
      </c>
      <c r="F9983" s="14" t="s">
        <v>548</v>
      </c>
      <c r="G9983" s="14" t="s">
        <v>61571</v>
      </c>
      <c r="H9983" s="15" t="s">
        <v>31</v>
      </c>
      <c r="I9983" s="15">
        <v>1.0</v>
      </c>
      <c r="J9983" s="15">
        <v>1.0</v>
      </c>
      <c r="K9983" s="15" t="s">
        <v>31</v>
      </c>
      <c r="L9983" s="16" t="s">
        <v>61463</v>
      </c>
      <c r="M9983" s="14" t="s">
        <v>31</v>
      </c>
      <c r="N9983" s="14" t="s">
        <v>14203</v>
      </c>
      <c r="O9983" s="16" t="s">
        <v>14204</v>
      </c>
      <c r="P9983" s="14" t="s">
        <v>61465</v>
      </c>
      <c r="Q9983" s="14" t="s">
        <v>61466</v>
      </c>
      <c r="R9983" s="14" t="s">
        <v>1420</v>
      </c>
      <c r="S9983" s="16" t="s">
        <v>61467</v>
      </c>
      <c r="T9983" s="14" t="s">
        <v>66</v>
      </c>
      <c r="U9983" s="16" t="s">
        <v>31</v>
      </c>
      <c r="V9983" s="14" t="s">
        <v>61572</v>
      </c>
      <c r="W9983" s="14" t="s">
        <v>61461</v>
      </c>
      <c r="X9983" s="17" t="str">
        <f>HYPERLINK("https://my.pitchbook.com?p=375582-07P","View People Online")</f>
        <v>View People Online</v>
      </c>
    </row>
    <row r="9984">
      <c r="A9984" s="10" t="s">
        <v>61573</v>
      </c>
      <c r="B9984" s="10" t="s">
        <v>61574</v>
      </c>
      <c r="C9984" s="10" t="s">
        <v>61575</v>
      </c>
      <c r="D9984" s="10" t="s">
        <v>12822</v>
      </c>
      <c r="E9984" s="10" t="s">
        <v>61461</v>
      </c>
      <c r="F9984" s="10" t="s">
        <v>371</v>
      </c>
      <c r="G9984" s="10" t="s">
        <v>61576</v>
      </c>
      <c r="H9984" s="11" t="s">
        <v>31</v>
      </c>
      <c r="I9984" s="11">
        <v>1.0</v>
      </c>
      <c r="J9984" s="11">
        <v>1.0</v>
      </c>
      <c r="K9984" s="11" t="s">
        <v>31</v>
      </c>
      <c r="L9984" s="12" t="s">
        <v>61463</v>
      </c>
      <c r="M9984" s="10" t="s">
        <v>61577</v>
      </c>
      <c r="N9984" s="10" t="s">
        <v>14203</v>
      </c>
      <c r="O9984" s="12" t="s">
        <v>14204</v>
      </c>
      <c r="P9984" s="10" t="s">
        <v>61465</v>
      </c>
      <c r="Q9984" s="10" t="s">
        <v>61466</v>
      </c>
      <c r="R9984" s="10" t="s">
        <v>1420</v>
      </c>
      <c r="S9984" s="12" t="s">
        <v>61467</v>
      </c>
      <c r="T9984" s="10" t="s">
        <v>66</v>
      </c>
      <c r="U9984" s="12" t="s">
        <v>31</v>
      </c>
      <c r="V9984" s="10" t="s">
        <v>61578</v>
      </c>
      <c r="W9984" s="10" t="s">
        <v>61461</v>
      </c>
      <c r="X9984" s="13" t="str">
        <f>HYPERLINK("https://my.pitchbook.com?p=276671-98P","View People Online")</f>
        <v>View People Online</v>
      </c>
    </row>
    <row r="9985">
      <c r="A9985" s="14" t="s">
        <v>61579</v>
      </c>
      <c r="B9985" s="14" t="s">
        <v>61580</v>
      </c>
      <c r="C9985" s="14" t="s">
        <v>15368</v>
      </c>
      <c r="D9985" s="14" t="s">
        <v>61581</v>
      </c>
      <c r="E9985" s="14" t="s">
        <v>61582</v>
      </c>
      <c r="F9985" s="14" t="s">
        <v>270</v>
      </c>
      <c r="G9985" s="14" t="s">
        <v>61583</v>
      </c>
      <c r="H9985" s="15" t="s">
        <v>31</v>
      </c>
      <c r="I9985" s="15">
        <v>1.0</v>
      </c>
      <c r="J9985" s="15">
        <v>1.0</v>
      </c>
      <c r="K9985" s="15" t="s">
        <v>31</v>
      </c>
      <c r="L9985" s="16" t="s">
        <v>61584</v>
      </c>
      <c r="M9985" s="14" t="s">
        <v>61585</v>
      </c>
      <c r="N9985" s="14" t="s">
        <v>665</v>
      </c>
      <c r="O9985" s="16" t="s">
        <v>3857</v>
      </c>
      <c r="P9985" s="14" t="s">
        <v>61586</v>
      </c>
      <c r="Q9985" s="14" t="s">
        <v>61587</v>
      </c>
      <c r="R9985" s="14" t="s">
        <v>1420</v>
      </c>
      <c r="S9985" s="16" t="s">
        <v>27116</v>
      </c>
      <c r="T9985" s="14" t="s">
        <v>66</v>
      </c>
      <c r="U9985" s="16" t="s">
        <v>31</v>
      </c>
      <c r="V9985" s="14" t="s">
        <v>43686</v>
      </c>
      <c r="W9985" s="14" t="s">
        <v>61582</v>
      </c>
      <c r="X9985" s="17" t="str">
        <f>HYPERLINK("https://my.pitchbook.com?p=345523-24P","View People Online")</f>
        <v>View People Online</v>
      </c>
    </row>
    <row r="9986">
      <c r="A9986" s="2" t="s">
        <v>61588</v>
      </c>
      <c r="B9986" s="2" t="s">
        <v>61589</v>
      </c>
      <c r="C9986" s="2" t="s">
        <v>61590</v>
      </c>
      <c r="D9986" s="2" t="s">
        <v>61591</v>
      </c>
      <c r="E9986" s="2" t="s">
        <v>61592</v>
      </c>
      <c r="F9986" s="2" t="s">
        <v>40769</v>
      </c>
      <c r="G9986" s="2" t="s">
        <v>61593</v>
      </c>
      <c r="H9986" s="3">
        <v>1.0</v>
      </c>
      <c r="I9986" s="3">
        <v>1.0</v>
      </c>
      <c r="J9986" s="3">
        <v>1.0</v>
      </c>
      <c r="K9986" s="3" t="s">
        <v>31</v>
      </c>
      <c r="L9986" s="4" t="s">
        <v>61594</v>
      </c>
      <c r="M9986" s="2" t="s">
        <v>61595</v>
      </c>
      <c r="N9986" s="2" t="s">
        <v>61596</v>
      </c>
      <c r="O9986" s="4" t="s">
        <v>61597</v>
      </c>
      <c r="P9986" s="2" t="s">
        <v>61598</v>
      </c>
      <c r="Q9986" s="2" t="s">
        <v>61599</v>
      </c>
      <c r="R9986" s="2" t="s">
        <v>61600</v>
      </c>
      <c r="S9986" s="4" t="s">
        <v>61601</v>
      </c>
      <c r="T9986" s="2" t="s">
        <v>61602</v>
      </c>
      <c r="U9986" s="4" t="s">
        <v>61603</v>
      </c>
      <c r="V9986" s="2" t="s">
        <v>61604</v>
      </c>
      <c r="W9986" s="2" t="s">
        <v>61592</v>
      </c>
      <c r="X9986" s="5" t="str">
        <f>HYPERLINK("https://my.pitchbook.com?p=349780-87P","View People Online")</f>
        <v>View People Online</v>
      </c>
    </row>
    <row r="9987">
      <c r="A9987" s="14" t="s">
        <v>61605</v>
      </c>
      <c r="B9987" s="14" t="s">
        <v>61606</v>
      </c>
      <c r="C9987" s="14" t="s">
        <v>61607</v>
      </c>
      <c r="D9987" s="14" t="s">
        <v>61608</v>
      </c>
      <c r="E9987" s="14" t="s">
        <v>61592</v>
      </c>
      <c r="F9987" s="14" t="s">
        <v>1249</v>
      </c>
      <c r="G9987" s="14" t="s">
        <v>61609</v>
      </c>
      <c r="H9987" s="15">
        <v>2.0</v>
      </c>
      <c r="I9987" s="15">
        <v>2.0</v>
      </c>
      <c r="J9987" s="15">
        <v>1.0</v>
      </c>
      <c r="K9987" s="15" t="s">
        <v>31</v>
      </c>
      <c r="L9987" s="16" t="s">
        <v>61594</v>
      </c>
      <c r="M9987" s="14" t="s">
        <v>31</v>
      </c>
      <c r="N9987" s="14" t="s">
        <v>61596</v>
      </c>
      <c r="O9987" s="16" t="s">
        <v>61597</v>
      </c>
      <c r="P9987" s="14" t="s">
        <v>61598</v>
      </c>
      <c r="Q9987" s="14" t="s">
        <v>61599</v>
      </c>
      <c r="R9987" s="14" t="s">
        <v>61600</v>
      </c>
      <c r="S9987" s="16" t="s">
        <v>61601</v>
      </c>
      <c r="T9987" s="14" t="s">
        <v>61602</v>
      </c>
      <c r="U9987" s="16" t="s">
        <v>61603</v>
      </c>
      <c r="V9987" s="14" t="s">
        <v>1252</v>
      </c>
      <c r="W9987" s="14" t="s">
        <v>61592</v>
      </c>
      <c r="X9987" s="17" t="str">
        <f>HYPERLINK("https://my.pitchbook.com?p=342129-79P","View People Online")</f>
        <v>View People Online</v>
      </c>
    </row>
    <row r="9988">
      <c r="A9988" s="2" t="s">
        <v>61610</v>
      </c>
      <c r="B9988" s="2" t="s">
        <v>61611</v>
      </c>
      <c r="C9988" s="2" t="s">
        <v>61612</v>
      </c>
      <c r="D9988" s="2" t="s">
        <v>61613</v>
      </c>
      <c r="E9988" s="2" t="s">
        <v>61592</v>
      </c>
      <c r="F9988" s="2" t="s">
        <v>3740</v>
      </c>
      <c r="G9988" s="2" t="s">
        <v>61614</v>
      </c>
      <c r="H9988" s="3" t="s">
        <v>31</v>
      </c>
      <c r="I9988" s="3">
        <v>1.0</v>
      </c>
      <c r="J9988" s="3">
        <v>1.0</v>
      </c>
      <c r="K9988" s="3" t="s">
        <v>31</v>
      </c>
      <c r="L9988" s="4" t="s">
        <v>61594</v>
      </c>
      <c r="M9988" s="2" t="s">
        <v>61615</v>
      </c>
      <c r="N9988" s="2" t="s">
        <v>61596</v>
      </c>
      <c r="O9988" s="4" t="s">
        <v>61597</v>
      </c>
      <c r="P9988" s="2" t="s">
        <v>61598</v>
      </c>
      <c r="Q9988" s="2" t="s">
        <v>61599</v>
      </c>
      <c r="R9988" s="2" t="s">
        <v>61600</v>
      </c>
      <c r="S9988" s="4" t="s">
        <v>61601</v>
      </c>
      <c r="T9988" s="2" t="s">
        <v>61602</v>
      </c>
      <c r="U9988" s="4" t="s">
        <v>61603</v>
      </c>
      <c r="V9988" s="2" t="s">
        <v>61616</v>
      </c>
      <c r="W9988" s="2" t="s">
        <v>61592</v>
      </c>
      <c r="X9988" s="5" t="str">
        <f>HYPERLINK("https://my.pitchbook.com?p=349778-98P","View People Online")</f>
        <v>View People Online</v>
      </c>
    </row>
    <row r="9989">
      <c r="A9989" s="6" t="s">
        <v>61617</v>
      </c>
      <c r="B9989" s="6" t="s">
        <v>61618</v>
      </c>
      <c r="C9989" s="6" t="s">
        <v>61619</v>
      </c>
      <c r="D9989" s="6" t="s">
        <v>61620</v>
      </c>
      <c r="E9989" s="6" t="s">
        <v>61592</v>
      </c>
      <c r="F9989" s="6" t="s">
        <v>1283</v>
      </c>
      <c r="G9989" s="6" t="s">
        <v>61621</v>
      </c>
      <c r="H9989" s="7" t="s">
        <v>31</v>
      </c>
      <c r="I9989" s="7">
        <v>2.0</v>
      </c>
      <c r="J9989" s="7">
        <v>1.0</v>
      </c>
      <c r="K9989" s="7">
        <v>1.0</v>
      </c>
      <c r="L9989" s="8" t="s">
        <v>61594</v>
      </c>
      <c r="M9989" s="6" t="s">
        <v>61622</v>
      </c>
      <c r="N9989" s="6" t="s">
        <v>61596</v>
      </c>
      <c r="O9989" s="8" t="s">
        <v>61597</v>
      </c>
      <c r="P9989" s="6" t="s">
        <v>61598</v>
      </c>
      <c r="Q9989" s="6" t="s">
        <v>61599</v>
      </c>
      <c r="R9989" s="6" t="s">
        <v>61600</v>
      </c>
      <c r="S9989" s="8" t="s">
        <v>61601</v>
      </c>
      <c r="T9989" s="6" t="s">
        <v>61602</v>
      </c>
      <c r="U9989" s="8" t="s">
        <v>61603</v>
      </c>
      <c r="V9989" s="6" t="s">
        <v>1283</v>
      </c>
      <c r="W9989" s="6" t="s">
        <v>61592</v>
      </c>
      <c r="X9989" s="9" t="str">
        <f>HYPERLINK("https://my.pitchbook.com?p=306932-32P","View People Online")</f>
        <v>View People Online</v>
      </c>
    </row>
    <row r="9990">
      <c r="A9990" s="2" t="s">
        <v>61623</v>
      </c>
      <c r="B9990" s="2" t="s">
        <v>61624</v>
      </c>
      <c r="C9990" s="2" t="s">
        <v>61625</v>
      </c>
      <c r="D9990" s="2" t="s">
        <v>61626</v>
      </c>
      <c r="E9990" s="2" t="s">
        <v>61592</v>
      </c>
      <c r="F9990" s="2" t="s">
        <v>42334</v>
      </c>
      <c r="G9990" s="2" t="s">
        <v>61627</v>
      </c>
      <c r="H9990" s="3">
        <v>1.0</v>
      </c>
      <c r="I9990" s="3">
        <v>1.0</v>
      </c>
      <c r="J9990" s="3">
        <v>1.0</v>
      </c>
      <c r="K9990" s="3" t="s">
        <v>31</v>
      </c>
      <c r="L9990" s="4" t="s">
        <v>61594</v>
      </c>
      <c r="M9990" s="2" t="s">
        <v>61628</v>
      </c>
      <c r="N9990" s="2" t="s">
        <v>61596</v>
      </c>
      <c r="O9990" s="4" t="s">
        <v>61597</v>
      </c>
      <c r="P9990" s="2" t="s">
        <v>61598</v>
      </c>
      <c r="Q9990" s="2" t="s">
        <v>61599</v>
      </c>
      <c r="R9990" s="2" t="s">
        <v>61600</v>
      </c>
      <c r="S9990" s="4" t="s">
        <v>61601</v>
      </c>
      <c r="T9990" s="2" t="s">
        <v>61602</v>
      </c>
      <c r="U9990" s="4" t="s">
        <v>61603</v>
      </c>
      <c r="V9990" s="2" t="s">
        <v>61629</v>
      </c>
      <c r="W9990" s="2" t="s">
        <v>61592</v>
      </c>
      <c r="X9990" s="5" t="str">
        <f>HYPERLINK("https://my.pitchbook.com?p=349779-61P","View People Online")</f>
        <v>View People Online</v>
      </c>
    </row>
    <row r="9991">
      <c r="A9991" s="14" t="s">
        <v>61630</v>
      </c>
      <c r="B9991" s="14" t="s">
        <v>61631</v>
      </c>
      <c r="C9991" s="14" t="s">
        <v>61632</v>
      </c>
      <c r="D9991" s="14" t="s">
        <v>61633</v>
      </c>
      <c r="E9991" s="14" t="s">
        <v>61592</v>
      </c>
      <c r="F9991" s="14" t="s">
        <v>1249</v>
      </c>
      <c r="G9991" s="14" t="s">
        <v>61634</v>
      </c>
      <c r="H9991" s="15">
        <v>2.0</v>
      </c>
      <c r="I9991" s="15">
        <v>2.0</v>
      </c>
      <c r="J9991" s="15">
        <v>1.0</v>
      </c>
      <c r="K9991" s="15" t="s">
        <v>31</v>
      </c>
      <c r="L9991" s="16" t="s">
        <v>61594</v>
      </c>
      <c r="M9991" s="14" t="s">
        <v>61635</v>
      </c>
      <c r="N9991" s="14" t="s">
        <v>61596</v>
      </c>
      <c r="O9991" s="16" t="s">
        <v>61597</v>
      </c>
      <c r="P9991" s="14" t="s">
        <v>61598</v>
      </c>
      <c r="Q9991" s="14" t="s">
        <v>61599</v>
      </c>
      <c r="R9991" s="14" t="s">
        <v>61600</v>
      </c>
      <c r="S9991" s="16" t="s">
        <v>61601</v>
      </c>
      <c r="T9991" s="14" t="s">
        <v>61602</v>
      </c>
      <c r="U9991" s="16" t="s">
        <v>61603</v>
      </c>
      <c r="V9991" s="14" t="s">
        <v>1252</v>
      </c>
      <c r="W9991" s="14" t="s">
        <v>61592</v>
      </c>
      <c r="X9991" s="17" t="str">
        <f>HYPERLINK("https://my.pitchbook.com?p=236049-04P","View People Online")</f>
        <v>View People Online</v>
      </c>
    </row>
    <row r="9992">
      <c r="A9992" s="2" t="s">
        <v>61636</v>
      </c>
      <c r="B9992" s="2" t="s">
        <v>61637</v>
      </c>
      <c r="C9992" s="2" t="s">
        <v>37138</v>
      </c>
      <c r="D9992" s="2" t="s">
        <v>61638</v>
      </c>
      <c r="E9992" s="2" t="s">
        <v>61639</v>
      </c>
      <c r="F9992" s="2" t="s">
        <v>502</v>
      </c>
      <c r="G9992" s="2" t="s">
        <v>61640</v>
      </c>
      <c r="H9992" s="3">
        <v>1.0</v>
      </c>
      <c r="I9992" s="3">
        <v>4.0</v>
      </c>
      <c r="J9992" s="3">
        <v>2.0</v>
      </c>
      <c r="K9992" s="3" t="s">
        <v>31</v>
      </c>
      <c r="L9992" s="4" t="s">
        <v>61641</v>
      </c>
      <c r="M9992" s="2" t="s">
        <v>61642</v>
      </c>
      <c r="N9992" s="2" t="s">
        <v>1109</v>
      </c>
      <c r="O9992" s="4" t="s">
        <v>1110</v>
      </c>
      <c r="P9992" s="2" t="s">
        <v>61643</v>
      </c>
      <c r="Q9992" s="2" t="s">
        <v>61644</v>
      </c>
      <c r="R9992" s="2" t="s">
        <v>1112</v>
      </c>
      <c r="S9992" s="4" t="s">
        <v>61645</v>
      </c>
      <c r="T9992" s="2" t="s">
        <v>66</v>
      </c>
      <c r="U9992" s="4" t="s">
        <v>61646</v>
      </c>
      <c r="V9992" s="2" t="s">
        <v>502</v>
      </c>
      <c r="W9992" s="2" t="s">
        <v>61647</v>
      </c>
      <c r="X9992" s="5" t="str">
        <f>HYPERLINK("https://my.pitchbook.com?p=65115-91P","View People Online")</f>
        <v>View People Online</v>
      </c>
    </row>
    <row r="9993">
      <c r="A9993" s="6" t="s">
        <v>61648</v>
      </c>
      <c r="B9993" s="6" t="s">
        <v>61649</v>
      </c>
      <c r="C9993" s="6" t="s">
        <v>4345</v>
      </c>
      <c r="D9993" s="6" t="s">
        <v>61650</v>
      </c>
      <c r="E9993" s="6" t="s">
        <v>61639</v>
      </c>
      <c r="F9993" s="6" t="s">
        <v>81</v>
      </c>
      <c r="G9993" s="6" t="s">
        <v>61651</v>
      </c>
      <c r="H9993" s="7" t="s">
        <v>31</v>
      </c>
      <c r="I9993" s="7">
        <v>2.0</v>
      </c>
      <c r="J9993" s="7">
        <v>1.0</v>
      </c>
      <c r="K9993" s="7" t="s">
        <v>31</v>
      </c>
      <c r="L9993" s="8" t="s">
        <v>31</v>
      </c>
      <c r="M9993" s="6" t="s">
        <v>31</v>
      </c>
      <c r="N9993" s="6" t="s">
        <v>1277</v>
      </c>
      <c r="O9993" s="8" t="s">
        <v>1278</v>
      </c>
      <c r="P9993" s="6" t="s">
        <v>31</v>
      </c>
      <c r="Q9993" s="6" t="s">
        <v>31</v>
      </c>
      <c r="R9993" s="6" t="s">
        <v>1281</v>
      </c>
      <c r="S9993" s="8" t="s">
        <v>31</v>
      </c>
      <c r="T9993" s="6" t="s">
        <v>66</v>
      </c>
      <c r="U9993" s="8" t="s">
        <v>31</v>
      </c>
      <c r="V9993" s="6" t="s">
        <v>114</v>
      </c>
      <c r="W9993" s="6" t="s">
        <v>61652</v>
      </c>
      <c r="X9993" s="9" t="str">
        <f>HYPERLINK("https://my.pitchbook.com?p=266673-07P","View People Online")</f>
        <v>View People Online</v>
      </c>
    </row>
    <row r="9994">
      <c r="A9994" s="2" t="s">
        <v>61653</v>
      </c>
      <c r="B9994" s="2" t="s">
        <v>61654</v>
      </c>
      <c r="C9994" s="2" t="s">
        <v>20078</v>
      </c>
      <c r="D9994" s="2" t="s">
        <v>61655</v>
      </c>
      <c r="E9994" s="2" t="s">
        <v>61639</v>
      </c>
      <c r="F9994" s="2" t="s">
        <v>29</v>
      </c>
      <c r="G9994" s="2" t="s">
        <v>61656</v>
      </c>
      <c r="H9994" s="3">
        <v>1.0</v>
      </c>
      <c r="I9994" s="3">
        <v>8.0</v>
      </c>
      <c r="J9994" s="3">
        <v>2.0</v>
      </c>
      <c r="K9994" s="3">
        <v>3.0</v>
      </c>
      <c r="L9994" s="4" t="s">
        <v>61657</v>
      </c>
      <c r="M9994" s="2" t="s">
        <v>61658</v>
      </c>
      <c r="N9994" s="2" t="s">
        <v>1109</v>
      </c>
      <c r="O9994" s="4" t="s">
        <v>1110</v>
      </c>
      <c r="P9994" s="2" t="s">
        <v>61659</v>
      </c>
      <c r="Q9994" s="2" t="s">
        <v>61660</v>
      </c>
      <c r="R9994" s="2" t="s">
        <v>1112</v>
      </c>
      <c r="S9994" s="4" t="s">
        <v>61661</v>
      </c>
      <c r="T9994" s="2" t="s">
        <v>66</v>
      </c>
      <c r="U9994" s="4" t="s">
        <v>31</v>
      </c>
      <c r="V9994" s="2" t="s">
        <v>61662</v>
      </c>
      <c r="W9994" s="2" t="s">
        <v>61663</v>
      </c>
      <c r="X9994" s="5" t="str">
        <f>HYPERLINK("https://my.pitchbook.com?p=46755-46P","View People Online")</f>
        <v>View People Online</v>
      </c>
    </row>
    <row r="9995">
      <c r="A9995" s="14" t="s">
        <v>61664</v>
      </c>
      <c r="B9995" s="14" t="s">
        <v>61665</v>
      </c>
      <c r="C9995" s="14" t="s">
        <v>3875</v>
      </c>
      <c r="D9995" s="14" t="s">
        <v>61666</v>
      </c>
      <c r="E9995" s="14" t="s">
        <v>61639</v>
      </c>
      <c r="F9995" s="14" t="s">
        <v>1086</v>
      </c>
      <c r="G9995" s="14" t="s">
        <v>61667</v>
      </c>
      <c r="H9995" s="15" t="s">
        <v>31</v>
      </c>
      <c r="I9995" s="15">
        <v>2.0</v>
      </c>
      <c r="J9995" s="15">
        <v>1.0</v>
      </c>
      <c r="K9995" s="15" t="s">
        <v>31</v>
      </c>
      <c r="L9995" s="16" t="s">
        <v>61657</v>
      </c>
      <c r="M9995" s="14" t="s">
        <v>61668</v>
      </c>
      <c r="N9995" s="14" t="s">
        <v>1170</v>
      </c>
      <c r="O9995" s="16" t="s">
        <v>1171</v>
      </c>
      <c r="P9995" s="14" t="s">
        <v>44041</v>
      </c>
      <c r="Q9995" s="14" t="s">
        <v>31</v>
      </c>
      <c r="R9995" s="14" t="s">
        <v>64</v>
      </c>
      <c r="S9995" s="16" t="s">
        <v>44042</v>
      </c>
      <c r="T9995" s="14" t="s">
        <v>66</v>
      </c>
      <c r="U9995" s="16" t="s">
        <v>31</v>
      </c>
      <c r="V9995" s="14" t="s">
        <v>1086</v>
      </c>
      <c r="W9995" s="14" t="s">
        <v>61639</v>
      </c>
      <c r="X9995" s="17" t="str">
        <f>HYPERLINK("https://my.pitchbook.com?p=384360-13P","View People Online")</f>
        <v>View People Online</v>
      </c>
    </row>
    <row r="9996">
      <c r="A9996" s="10" t="s">
        <v>61669</v>
      </c>
      <c r="B9996" s="10" t="s">
        <v>61670</v>
      </c>
      <c r="C9996" s="10" t="s">
        <v>34144</v>
      </c>
      <c r="D9996" s="10" t="s">
        <v>61671</v>
      </c>
      <c r="E9996" s="10" t="s">
        <v>61639</v>
      </c>
      <c r="F9996" s="10" t="s">
        <v>29</v>
      </c>
      <c r="G9996" s="10" t="s">
        <v>61672</v>
      </c>
      <c r="H9996" s="11">
        <v>2.0</v>
      </c>
      <c r="I9996" s="11">
        <v>4.0</v>
      </c>
      <c r="J9996" s="11">
        <v>1.0</v>
      </c>
      <c r="K9996" s="11" t="s">
        <v>31</v>
      </c>
      <c r="L9996" s="12" t="s">
        <v>61657</v>
      </c>
      <c r="M9996" s="10" t="s">
        <v>61673</v>
      </c>
      <c r="N9996" s="10" t="s">
        <v>1170</v>
      </c>
      <c r="O9996" s="12" t="s">
        <v>1171</v>
      </c>
      <c r="P9996" s="10" t="s">
        <v>44041</v>
      </c>
      <c r="Q9996" s="10" t="s">
        <v>31</v>
      </c>
      <c r="R9996" s="10" t="s">
        <v>64</v>
      </c>
      <c r="S9996" s="12" t="s">
        <v>44042</v>
      </c>
      <c r="T9996" s="10" t="s">
        <v>66</v>
      </c>
      <c r="U9996" s="12" t="s">
        <v>31</v>
      </c>
      <c r="V9996" s="10" t="s">
        <v>29</v>
      </c>
      <c r="W9996" s="10" t="s">
        <v>61639</v>
      </c>
      <c r="X9996" s="13" t="str">
        <f>HYPERLINK("https://my.pitchbook.com?p=158316-85P","View People Online")</f>
        <v>View People Online</v>
      </c>
    </row>
    <row r="9997">
      <c r="A9997" s="14" t="s">
        <v>61674</v>
      </c>
      <c r="B9997" s="14" t="s">
        <v>61675</v>
      </c>
      <c r="C9997" s="14" t="s">
        <v>1388</v>
      </c>
      <c r="D9997" s="14" t="s">
        <v>61676</v>
      </c>
      <c r="E9997" s="14" t="s">
        <v>61639</v>
      </c>
      <c r="F9997" s="14" t="s">
        <v>8217</v>
      </c>
      <c r="G9997" s="14" t="s">
        <v>61677</v>
      </c>
      <c r="H9997" s="15" t="s">
        <v>31</v>
      </c>
      <c r="I9997" s="15">
        <v>2.0</v>
      </c>
      <c r="J9997" s="15">
        <v>1.0</v>
      </c>
      <c r="K9997" s="15" t="s">
        <v>31</v>
      </c>
      <c r="L9997" s="16" t="s">
        <v>61657</v>
      </c>
      <c r="M9997" s="14" t="s">
        <v>61678</v>
      </c>
      <c r="N9997" s="14" t="s">
        <v>1170</v>
      </c>
      <c r="O9997" s="16" t="s">
        <v>1171</v>
      </c>
      <c r="P9997" s="14" t="s">
        <v>44041</v>
      </c>
      <c r="Q9997" s="14" t="s">
        <v>31</v>
      </c>
      <c r="R9997" s="14" t="s">
        <v>64</v>
      </c>
      <c r="S9997" s="16" t="s">
        <v>44042</v>
      </c>
      <c r="T9997" s="14" t="s">
        <v>66</v>
      </c>
      <c r="U9997" s="16" t="s">
        <v>31</v>
      </c>
      <c r="V9997" s="14" t="s">
        <v>8217</v>
      </c>
      <c r="W9997" s="14" t="s">
        <v>61639</v>
      </c>
      <c r="X9997" s="17" t="str">
        <f>HYPERLINK("https://my.pitchbook.com?p=444279-61P","View People Online")</f>
        <v>View People Online</v>
      </c>
    </row>
    <row r="9998">
      <c r="A9998" s="10" t="s">
        <v>61679</v>
      </c>
      <c r="B9998" s="10" t="s">
        <v>61680</v>
      </c>
      <c r="C9998" s="10" t="s">
        <v>38567</v>
      </c>
      <c r="D9998" s="10" t="s">
        <v>7527</v>
      </c>
      <c r="E9998" s="10" t="s">
        <v>61639</v>
      </c>
      <c r="F9998" s="10" t="s">
        <v>674</v>
      </c>
      <c r="G9998" s="10" t="s">
        <v>61681</v>
      </c>
      <c r="H9998" s="11" t="s">
        <v>31</v>
      </c>
      <c r="I9998" s="11">
        <v>4.0</v>
      </c>
      <c r="J9998" s="11">
        <v>2.0</v>
      </c>
      <c r="K9998" s="11">
        <v>1.0</v>
      </c>
      <c r="L9998" s="12" t="s">
        <v>61657</v>
      </c>
      <c r="M9998" s="10" t="s">
        <v>61682</v>
      </c>
      <c r="N9998" s="10" t="s">
        <v>1170</v>
      </c>
      <c r="O9998" s="12" t="s">
        <v>1171</v>
      </c>
      <c r="P9998" s="10" t="s">
        <v>44041</v>
      </c>
      <c r="Q9998" s="10" t="s">
        <v>31</v>
      </c>
      <c r="R9998" s="10" t="s">
        <v>64</v>
      </c>
      <c r="S9998" s="12" t="s">
        <v>44042</v>
      </c>
      <c r="T9998" s="10" t="s">
        <v>66</v>
      </c>
      <c r="U9998" s="12" t="s">
        <v>31</v>
      </c>
      <c r="V9998" s="10" t="s">
        <v>674</v>
      </c>
      <c r="W9998" s="10" t="s">
        <v>61639</v>
      </c>
      <c r="X9998" s="13" t="str">
        <f>HYPERLINK("https://my.pitchbook.com?p=158316-40P","View People Online")</f>
        <v>View People Online</v>
      </c>
    </row>
    <row r="9999">
      <c r="A9999" s="14" t="s">
        <v>61683</v>
      </c>
      <c r="B9999" s="14" t="s">
        <v>61684</v>
      </c>
      <c r="C9999" s="14" t="s">
        <v>5321</v>
      </c>
      <c r="D9999" s="14" t="s">
        <v>7527</v>
      </c>
      <c r="E9999" s="14" t="s">
        <v>61639</v>
      </c>
      <c r="F9999" s="14" t="s">
        <v>548</v>
      </c>
      <c r="G9999" s="14" t="s">
        <v>61685</v>
      </c>
      <c r="H9999" s="15" t="s">
        <v>31</v>
      </c>
      <c r="I9999" s="15">
        <v>2.0</v>
      </c>
      <c r="J9999" s="15">
        <v>1.0</v>
      </c>
      <c r="K9999" s="15" t="s">
        <v>31</v>
      </c>
      <c r="L9999" s="16" t="s">
        <v>61657</v>
      </c>
      <c r="M9999" s="14" t="s">
        <v>61686</v>
      </c>
      <c r="N9999" s="14" t="s">
        <v>1170</v>
      </c>
      <c r="O9999" s="16" t="s">
        <v>1171</v>
      </c>
      <c r="P9999" s="14" t="s">
        <v>44041</v>
      </c>
      <c r="Q9999" s="14" t="s">
        <v>31</v>
      </c>
      <c r="R9999" s="14" t="s">
        <v>64</v>
      </c>
      <c r="S9999" s="16" t="s">
        <v>44042</v>
      </c>
      <c r="T9999" s="14" t="s">
        <v>66</v>
      </c>
      <c r="U9999" s="16" t="s">
        <v>31</v>
      </c>
      <c r="V9999" s="14" t="s">
        <v>61687</v>
      </c>
      <c r="W9999" s="14" t="s">
        <v>61639</v>
      </c>
      <c r="X9999" s="17" t="str">
        <f>HYPERLINK("https://my.pitchbook.com?p=384361-57P","View People Online")</f>
        <v>View People Online</v>
      </c>
    </row>
    <row r="10000">
      <c r="A10000" s="10" t="s">
        <v>10598</v>
      </c>
      <c r="B10000" s="10" t="s">
        <v>10599</v>
      </c>
      <c r="C10000" s="10" t="s">
        <v>10600</v>
      </c>
      <c r="D10000" s="10" t="s">
        <v>10601</v>
      </c>
      <c r="E10000" s="10" t="s">
        <v>61688</v>
      </c>
      <c r="F10000" s="10" t="s">
        <v>57</v>
      </c>
      <c r="G10000" s="10" t="s">
        <v>10603</v>
      </c>
      <c r="H10000" s="11" t="s">
        <v>31</v>
      </c>
      <c r="I10000" s="11">
        <v>6.0</v>
      </c>
      <c r="J10000" s="11">
        <v>2.0</v>
      </c>
      <c r="K10000" s="11">
        <v>2.0</v>
      </c>
      <c r="L10000" s="12" t="s">
        <v>10604</v>
      </c>
      <c r="M10000" s="10" t="s">
        <v>10605</v>
      </c>
      <c r="N10000" s="10" t="s">
        <v>10606</v>
      </c>
      <c r="O10000" s="12" t="s">
        <v>10607</v>
      </c>
      <c r="P10000" s="10" t="s">
        <v>10608</v>
      </c>
      <c r="Q10000" s="10" t="s">
        <v>31</v>
      </c>
      <c r="R10000" s="10" t="s">
        <v>616</v>
      </c>
      <c r="S10000" s="12" t="s">
        <v>10609</v>
      </c>
      <c r="T10000" s="10" t="s">
        <v>66</v>
      </c>
      <c r="U10000" s="12" t="s">
        <v>31</v>
      </c>
      <c r="V10000" s="10" t="s">
        <v>1283</v>
      </c>
      <c r="W10000" s="10" t="s">
        <v>10602</v>
      </c>
      <c r="X10000" s="13" t="str">
        <f>HYPERLINK("https://my.pitchbook.com?p=271716-94P","View People Online")</f>
        <v>View People Online</v>
      </c>
    </row>
    <row r="10001">
      <c r="A10001" s="14" t="s">
        <v>61689</v>
      </c>
      <c r="B10001" s="14" t="s">
        <v>10618</v>
      </c>
      <c r="C10001" s="14" t="s">
        <v>3875</v>
      </c>
      <c r="D10001" s="14" t="s">
        <v>8429</v>
      </c>
      <c r="E10001" s="14" t="s">
        <v>61688</v>
      </c>
      <c r="F10001" s="14" t="s">
        <v>57</v>
      </c>
      <c r="G10001" s="14" t="s">
        <v>61690</v>
      </c>
      <c r="H10001" s="15" t="s">
        <v>31</v>
      </c>
      <c r="I10001" s="15">
        <v>1.0</v>
      </c>
      <c r="J10001" s="15">
        <v>1.0</v>
      </c>
      <c r="K10001" s="15" t="s">
        <v>31</v>
      </c>
      <c r="L10001" s="16" t="s">
        <v>31</v>
      </c>
      <c r="M10001" s="14" t="s">
        <v>61691</v>
      </c>
      <c r="N10001" s="14" t="s">
        <v>1109</v>
      </c>
      <c r="O10001" s="16" t="s">
        <v>1110</v>
      </c>
      <c r="P10001" s="14" t="s">
        <v>31</v>
      </c>
      <c r="Q10001" s="14" t="s">
        <v>31</v>
      </c>
      <c r="R10001" s="14" t="s">
        <v>1112</v>
      </c>
      <c r="S10001" s="16" t="s">
        <v>31</v>
      </c>
      <c r="T10001" s="14" t="s">
        <v>66</v>
      </c>
      <c r="U10001" s="16" t="s">
        <v>31</v>
      </c>
      <c r="V10001" s="14" t="s">
        <v>57</v>
      </c>
      <c r="W10001" s="14" t="s">
        <v>61688</v>
      </c>
      <c r="X10001" s="17" t="str">
        <f>HYPERLINK("https://my.pitchbook.com?p=356870-62P","View People Online")</f>
        <v>View People Online</v>
      </c>
    </row>
    <row r="10002">
      <c r="A10002" s="2" t="s">
        <v>61692</v>
      </c>
      <c r="B10002" s="2" t="s">
        <v>61693</v>
      </c>
      <c r="C10002" s="2" t="s">
        <v>61694</v>
      </c>
      <c r="D10002" s="2" t="s">
        <v>61695</v>
      </c>
      <c r="E10002" s="2" t="s">
        <v>61696</v>
      </c>
      <c r="F10002" s="2" t="s">
        <v>548</v>
      </c>
      <c r="G10002" s="2" t="s">
        <v>61697</v>
      </c>
      <c r="H10002" s="3" t="s">
        <v>31</v>
      </c>
      <c r="I10002" s="3">
        <v>2.0</v>
      </c>
      <c r="J10002" s="3">
        <v>1.0</v>
      </c>
      <c r="K10002" s="3" t="s">
        <v>31</v>
      </c>
      <c r="L10002" s="4" t="s">
        <v>61698</v>
      </c>
      <c r="M10002" s="2" t="s">
        <v>61699</v>
      </c>
      <c r="N10002" s="2" t="s">
        <v>155</v>
      </c>
      <c r="O10002" s="4" t="s">
        <v>156</v>
      </c>
      <c r="P10002" s="2" t="s">
        <v>61700</v>
      </c>
      <c r="Q10002" s="2" t="s">
        <v>31</v>
      </c>
      <c r="R10002" s="2" t="s">
        <v>64</v>
      </c>
      <c r="S10002" s="4" t="s">
        <v>24337</v>
      </c>
      <c r="T10002" s="2" t="s">
        <v>66</v>
      </c>
      <c r="U10002" s="4" t="s">
        <v>31</v>
      </c>
      <c r="V10002" s="2" t="s">
        <v>52306</v>
      </c>
      <c r="W10002" s="2" t="s">
        <v>61696</v>
      </c>
      <c r="X10002" s="5" t="str">
        <f>HYPERLINK("https://my.pitchbook.com?p=272664-64P","View People Online")</f>
        <v>View People Online</v>
      </c>
    </row>
    <row r="10003">
      <c r="A10003" s="6" t="s">
        <v>61701</v>
      </c>
      <c r="B10003" s="6" t="s">
        <v>61702</v>
      </c>
      <c r="C10003" s="6" t="s">
        <v>61703</v>
      </c>
      <c r="D10003" s="6" t="s">
        <v>51351</v>
      </c>
      <c r="E10003" s="6" t="s">
        <v>61696</v>
      </c>
      <c r="F10003" s="6" t="s">
        <v>371</v>
      </c>
      <c r="G10003" s="6" t="s">
        <v>61704</v>
      </c>
      <c r="H10003" s="7" t="s">
        <v>31</v>
      </c>
      <c r="I10003" s="7">
        <v>2.0</v>
      </c>
      <c r="J10003" s="7">
        <v>1.0</v>
      </c>
      <c r="K10003" s="7" t="s">
        <v>31</v>
      </c>
      <c r="L10003" s="8" t="s">
        <v>61705</v>
      </c>
      <c r="M10003" s="6" t="s">
        <v>31</v>
      </c>
      <c r="N10003" s="6" t="s">
        <v>155</v>
      </c>
      <c r="O10003" s="8" t="s">
        <v>156</v>
      </c>
      <c r="P10003" s="6" t="s">
        <v>61700</v>
      </c>
      <c r="Q10003" s="6" t="s">
        <v>31</v>
      </c>
      <c r="R10003" s="6" t="s">
        <v>64</v>
      </c>
      <c r="S10003" s="8" t="s">
        <v>24337</v>
      </c>
      <c r="T10003" s="6" t="s">
        <v>66</v>
      </c>
      <c r="U10003" s="8" t="s">
        <v>31</v>
      </c>
      <c r="V10003" s="6" t="s">
        <v>371</v>
      </c>
      <c r="W10003" s="6" t="s">
        <v>61696</v>
      </c>
      <c r="X10003" s="9" t="str">
        <f>HYPERLINK("https://my.pitchbook.com?p=79302-25P","View People Online")</f>
        <v>View People Online</v>
      </c>
    </row>
    <row r="10004">
      <c r="A10004" s="2" t="s">
        <v>61706</v>
      </c>
      <c r="B10004" s="2" t="s">
        <v>61707</v>
      </c>
      <c r="C10004" s="2" t="s">
        <v>10383</v>
      </c>
      <c r="D10004" s="2" t="s">
        <v>13951</v>
      </c>
      <c r="E10004" s="2" t="s">
        <v>61696</v>
      </c>
      <c r="F10004" s="2" t="s">
        <v>270</v>
      </c>
      <c r="G10004" s="2" t="s">
        <v>61708</v>
      </c>
      <c r="H10004" s="3">
        <v>1.0</v>
      </c>
      <c r="I10004" s="3">
        <v>2.0</v>
      </c>
      <c r="J10004" s="3">
        <v>1.0</v>
      </c>
      <c r="K10004" s="3" t="s">
        <v>31</v>
      </c>
      <c r="L10004" s="4" t="s">
        <v>61709</v>
      </c>
      <c r="M10004" s="2" t="s">
        <v>31</v>
      </c>
      <c r="N10004" s="2" t="s">
        <v>6669</v>
      </c>
      <c r="O10004" s="4" t="s">
        <v>6670</v>
      </c>
      <c r="P10004" s="2" t="s">
        <v>61710</v>
      </c>
      <c r="Q10004" s="2" t="s">
        <v>61711</v>
      </c>
      <c r="R10004" s="2" t="s">
        <v>1185</v>
      </c>
      <c r="S10004" s="4" t="s">
        <v>6672</v>
      </c>
      <c r="T10004" s="2" t="s">
        <v>66</v>
      </c>
      <c r="U10004" s="4" t="s">
        <v>31</v>
      </c>
      <c r="V10004" s="2" t="s">
        <v>2379</v>
      </c>
      <c r="W10004" s="2" t="s">
        <v>61712</v>
      </c>
      <c r="X10004" s="5" t="str">
        <f>HYPERLINK("https://my.pitchbook.com?p=195321-79P","View People Online")</f>
        <v>View People Online</v>
      </c>
    </row>
    <row r="10005">
      <c r="A10005" s="6" t="s">
        <v>61713</v>
      </c>
      <c r="B10005" s="6" t="s">
        <v>61714</v>
      </c>
      <c r="C10005" s="6" t="s">
        <v>1343</v>
      </c>
      <c r="D10005" s="6" t="s">
        <v>4015</v>
      </c>
      <c r="E10005" s="6" t="s">
        <v>61696</v>
      </c>
      <c r="F10005" s="6" t="s">
        <v>270</v>
      </c>
      <c r="G10005" s="6" t="s">
        <v>61715</v>
      </c>
      <c r="H10005" s="7" t="s">
        <v>31</v>
      </c>
      <c r="I10005" s="7">
        <v>1.0</v>
      </c>
      <c r="J10005" s="7">
        <v>1.0</v>
      </c>
      <c r="K10005" s="7" t="s">
        <v>31</v>
      </c>
      <c r="L10005" s="8" t="s">
        <v>61716</v>
      </c>
      <c r="M10005" s="6" t="s">
        <v>61717</v>
      </c>
      <c r="N10005" s="6" t="s">
        <v>155</v>
      </c>
      <c r="O10005" s="8" t="s">
        <v>156</v>
      </c>
      <c r="P10005" s="6" t="s">
        <v>61700</v>
      </c>
      <c r="Q10005" s="6" t="s">
        <v>31</v>
      </c>
      <c r="R10005" s="6" t="s">
        <v>64</v>
      </c>
      <c r="S10005" s="8" t="s">
        <v>24337</v>
      </c>
      <c r="T10005" s="6" t="s">
        <v>66</v>
      </c>
      <c r="U10005" s="8" t="s">
        <v>31</v>
      </c>
      <c r="V10005" s="6" t="s">
        <v>270</v>
      </c>
      <c r="W10005" s="6" t="s">
        <v>61696</v>
      </c>
      <c r="X10005" s="9" t="str">
        <f>HYPERLINK("https://my.pitchbook.com?p=195198-94P","View People Online")</f>
        <v>View People Online</v>
      </c>
    </row>
    <row r="10006">
      <c r="A10006" s="10" t="s">
        <v>61718</v>
      </c>
      <c r="B10006" s="10" t="s">
        <v>61719</v>
      </c>
      <c r="C10006" s="10" t="s">
        <v>9135</v>
      </c>
      <c r="D10006" s="10" t="s">
        <v>61720</v>
      </c>
      <c r="E10006" s="10" t="s">
        <v>61696</v>
      </c>
      <c r="F10006" s="10" t="s">
        <v>120</v>
      </c>
      <c r="G10006" s="10" t="s">
        <v>61721</v>
      </c>
      <c r="H10006" s="11" t="s">
        <v>31</v>
      </c>
      <c r="I10006" s="11">
        <v>4.0</v>
      </c>
      <c r="J10006" s="11">
        <v>2.0</v>
      </c>
      <c r="K10006" s="11">
        <v>1.0</v>
      </c>
      <c r="L10006" s="12" t="s">
        <v>61716</v>
      </c>
      <c r="M10006" s="10" t="s">
        <v>61722</v>
      </c>
      <c r="N10006" s="10" t="s">
        <v>155</v>
      </c>
      <c r="O10006" s="12" t="s">
        <v>156</v>
      </c>
      <c r="P10006" s="10" t="s">
        <v>61700</v>
      </c>
      <c r="Q10006" s="10" t="s">
        <v>31</v>
      </c>
      <c r="R10006" s="10" t="s">
        <v>64</v>
      </c>
      <c r="S10006" s="12" t="s">
        <v>24337</v>
      </c>
      <c r="T10006" s="10" t="s">
        <v>66</v>
      </c>
      <c r="U10006" s="12" t="s">
        <v>31</v>
      </c>
      <c r="V10006" s="10" t="s">
        <v>120</v>
      </c>
      <c r="W10006" s="10" t="s">
        <v>61696</v>
      </c>
      <c r="X10006" s="13" t="str">
        <f>HYPERLINK("https://my.pitchbook.com?p=269387-11P","View People Online")</f>
        <v>View People Online</v>
      </c>
    </row>
    <row r="10007">
      <c r="A10007" s="6" t="s">
        <v>61723</v>
      </c>
      <c r="B10007" s="6" t="s">
        <v>61724</v>
      </c>
      <c r="C10007" s="6" t="s">
        <v>126</v>
      </c>
      <c r="D10007" s="6" t="s">
        <v>61725</v>
      </c>
      <c r="E10007" s="6" t="s">
        <v>61696</v>
      </c>
      <c r="F10007" s="6" t="s">
        <v>674</v>
      </c>
      <c r="G10007" s="6" t="s">
        <v>61726</v>
      </c>
      <c r="H10007" s="7">
        <v>1.0</v>
      </c>
      <c r="I10007" s="7">
        <v>15.0</v>
      </c>
      <c r="J10007" s="7">
        <v>3.0</v>
      </c>
      <c r="K10007" s="7">
        <v>7.0</v>
      </c>
      <c r="L10007" s="8" t="s">
        <v>61716</v>
      </c>
      <c r="M10007" s="6" t="s">
        <v>61727</v>
      </c>
      <c r="N10007" s="6" t="s">
        <v>155</v>
      </c>
      <c r="O10007" s="8" t="s">
        <v>156</v>
      </c>
      <c r="P10007" s="6" t="s">
        <v>61700</v>
      </c>
      <c r="Q10007" s="6" t="s">
        <v>31</v>
      </c>
      <c r="R10007" s="6" t="s">
        <v>64</v>
      </c>
      <c r="S10007" s="8" t="s">
        <v>24337</v>
      </c>
      <c r="T10007" s="6" t="s">
        <v>66</v>
      </c>
      <c r="U10007" s="8" t="s">
        <v>31</v>
      </c>
      <c r="V10007" s="6" t="s">
        <v>61728</v>
      </c>
      <c r="W10007" s="6" t="s">
        <v>61696</v>
      </c>
      <c r="X10007" s="9" t="str">
        <f>HYPERLINK("https://my.pitchbook.com?p=18192-07P","View People Online")</f>
        <v>View People Online</v>
      </c>
    </row>
    <row r="10008">
      <c r="A10008" s="10" t="s">
        <v>61729</v>
      </c>
      <c r="B10008" s="10" t="s">
        <v>61730</v>
      </c>
      <c r="C10008" s="10" t="s">
        <v>562</v>
      </c>
      <c r="D10008" s="10" t="s">
        <v>61731</v>
      </c>
      <c r="E10008" s="10" t="s">
        <v>61696</v>
      </c>
      <c r="F10008" s="10" t="s">
        <v>120</v>
      </c>
      <c r="G10008" s="10" t="s">
        <v>61732</v>
      </c>
      <c r="H10008" s="11" t="s">
        <v>31</v>
      </c>
      <c r="I10008" s="11">
        <v>5.0</v>
      </c>
      <c r="J10008" s="11">
        <v>2.0</v>
      </c>
      <c r="K10008" s="11" t="s">
        <v>31</v>
      </c>
      <c r="L10008" s="12" t="s">
        <v>31</v>
      </c>
      <c r="M10008" s="10" t="s">
        <v>61733</v>
      </c>
      <c r="N10008" s="10" t="s">
        <v>24325</v>
      </c>
      <c r="O10008" s="12" t="s">
        <v>24326</v>
      </c>
      <c r="P10008" s="10" t="s">
        <v>61734</v>
      </c>
      <c r="Q10008" s="10" t="s">
        <v>31</v>
      </c>
      <c r="R10008" s="10" t="s">
        <v>24327</v>
      </c>
      <c r="S10008" s="12" t="s">
        <v>61735</v>
      </c>
      <c r="T10008" s="10" t="s">
        <v>66</v>
      </c>
      <c r="U10008" s="12" t="s">
        <v>31</v>
      </c>
      <c r="V10008" s="10" t="s">
        <v>57</v>
      </c>
      <c r="W10008" s="10" t="s">
        <v>61736</v>
      </c>
      <c r="X10008" s="13" t="str">
        <f>HYPERLINK("https://my.pitchbook.com?p=199553-41P","View People Online")</f>
        <v>View People Online</v>
      </c>
    </row>
    <row r="10009">
      <c r="A10009" s="6" t="s">
        <v>61737</v>
      </c>
      <c r="B10009" s="6" t="s">
        <v>61738</v>
      </c>
      <c r="C10009" s="6" t="s">
        <v>61739</v>
      </c>
      <c r="D10009" s="6" t="s">
        <v>13047</v>
      </c>
      <c r="E10009" s="6" t="s">
        <v>61696</v>
      </c>
      <c r="F10009" s="6" t="s">
        <v>674</v>
      </c>
      <c r="G10009" s="6" t="s">
        <v>61740</v>
      </c>
      <c r="H10009" s="7">
        <v>1.0</v>
      </c>
      <c r="I10009" s="7">
        <v>14.0</v>
      </c>
      <c r="J10009" s="7">
        <v>2.0</v>
      </c>
      <c r="K10009" s="7">
        <v>8.0</v>
      </c>
      <c r="L10009" s="8" t="s">
        <v>61716</v>
      </c>
      <c r="M10009" s="6" t="s">
        <v>61741</v>
      </c>
      <c r="N10009" s="6" t="s">
        <v>155</v>
      </c>
      <c r="O10009" s="8" t="s">
        <v>156</v>
      </c>
      <c r="P10009" s="6" t="s">
        <v>61700</v>
      </c>
      <c r="Q10009" s="6" t="s">
        <v>31</v>
      </c>
      <c r="R10009" s="6" t="s">
        <v>64</v>
      </c>
      <c r="S10009" s="8" t="s">
        <v>24337</v>
      </c>
      <c r="T10009" s="6" t="s">
        <v>66</v>
      </c>
      <c r="U10009" s="8" t="s">
        <v>31</v>
      </c>
      <c r="V10009" s="6" t="s">
        <v>61742</v>
      </c>
      <c r="W10009" s="6" t="s">
        <v>61696</v>
      </c>
      <c r="X10009" s="9" t="str">
        <f>HYPERLINK("https://my.pitchbook.com?p=160380-73P","View People Online")</f>
        <v>View People Online</v>
      </c>
    </row>
    <row r="10010">
      <c r="A10010" s="2" t="s">
        <v>61743</v>
      </c>
      <c r="B10010" s="2" t="s">
        <v>61744</v>
      </c>
      <c r="C10010" s="2" t="s">
        <v>4851</v>
      </c>
      <c r="D10010" s="2" t="s">
        <v>61745</v>
      </c>
      <c r="E10010" s="2" t="s">
        <v>61746</v>
      </c>
      <c r="F10010" s="2" t="s">
        <v>78</v>
      </c>
      <c r="G10010" s="2" t="s">
        <v>61747</v>
      </c>
      <c r="H10010" s="3" t="s">
        <v>31</v>
      </c>
      <c r="I10010" s="3">
        <v>1.0</v>
      </c>
      <c r="J10010" s="3">
        <v>1.0</v>
      </c>
      <c r="K10010" s="3" t="s">
        <v>31</v>
      </c>
      <c r="L10010" s="4" t="s">
        <v>61748</v>
      </c>
      <c r="M10010" s="2" t="s">
        <v>61749</v>
      </c>
      <c r="N10010" s="2" t="s">
        <v>1416</v>
      </c>
      <c r="O10010" s="4" t="s">
        <v>1417</v>
      </c>
      <c r="P10010" s="2" t="s">
        <v>47340</v>
      </c>
      <c r="Q10010" s="2" t="s">
        <v>61750</v>
      </c>
      <c r="R10010" s="2" t="s">
        <v>1420</v>
      </c>
      <c r="S10010" s="4" t="s">
        <v>47341</v>
      </c>
      <c r="T10010" s="2" t="s">
        <v>66</v>
      </c>
      <c r="U10010" s="4" t="s">
        <v>31</v>
      </c>
      <c r="V10010" s="2" t="s">
        <v>78</v>
      </c>
      <c r="W10010" s="2" t="s">
        <v>61746</v>
      </c>
      <c r="X10010" s="5" t="str">
        <f>HYPERLINK("https://my.pitchbook.com?p=208321-75P","View People Online")</f>
        <v>View People Online</v>
      </c>
    </row>
    <row r="10011">
      <c r="A10011" s="14" t="s">
        <v>61751</v>
      </c>
      <c r="B10011" s="14" t="s">
        <v>61752</v>
      </c>
      <c r="C10011" s="14" t="s">
        <v>4351</v>
      </c>
      <c r="D10011" s="14" t="s">
        <v>61753</v>
      </c>
      <c r="E10011" s="14" t="s">
        <v>61746</v>
      </c>
      <c r="F10011" s="14" t="s">
        <v>4600</v>
      </c>
      <c r="G10011" s="14" t="s">
        <v>61754</v>
      </c>
      <c r="H10011" s="15" t="s">
        <v>31</v>
      </c>
      <c r="I10011" s="15">
        <v>1.0</v>
      </c>
      <c r="J10011" s="15">
        <v>1.0</v>
      </c>
      <c r="K10011" s="15" t="s">
        <v>31</v>
      </c>
      <c r="L10011" s="16" t="s">
        <v>61748</v>
      </c>
      <c r="M10011" s="14" t="s">
        <v>61755</v>
      </c>
      <c r="N10011" s="14" t="s">
        <v>1416</v>
      </c>
      <c r="O10011" s="16" t="s">
        <v>1417</v>
      </c>
      <c r="P10011" s="14" t="s">
        <v>47340</v>
      </c>
      <c r="Q10011" s="14" t="s">
        <v>61750</v>
      </c>
      <c r="R10011" s="14" t="s">
        <v>1420</v>
      </c>
      <c r="S10011" s="16" t="s">
        <v>47341</v>
      </c>
      <c r="T10011" s="14" t="s">
        <v>66</v>
      </c>
      <c r="U10011" s="16" t="s">
        <v>31</v>
      </c>
      <c r="V10011" s="14" t="s">
        <v>4600</v>
      </c>
      <c r="W10011" s="14" t="s">
        <v>61746</v>
      </c>
      <c r="X10011" s="17" t="str">
        <f>HYPERLINK("https://my.pitchbook.com?p=280951-12P","View People Online")</f>
        <v>View People Online</v>
      </c>
    </row>
    <row r="10012">
      <c r="A10012" s="2" t="s">
        <v>61756</v>
      </c>
      <c r="B10012" s="2" t="s">
        <v>61757</v>
      </c>
      <c r="C10012" s="2" t="s">
        <v>1616</v>
      </c>
      <c r="D10012" s="2" t="s">
        <v>7674</v>
      </c>
      <c r="E10012" s="2" t="s">
        <v>61746</v>
      </c>
      <c r="F10012" s="2" t="s">
        <v>470</v>
      </c>
      <c r="G10012" s="2" t="s">
        <v>61758</v>
      </c>
      <c r="H10012" s="3" t="s">
        <v>31</v>
      </c>
      <c r="I10012" s="3">
        <v>3.0</v>
      </c>
      <c r="J10012" s="3">
        <v>1.0</v>
      </c>
      <c r="K10012" s="3">
        <v>2.0</v>
      </c>
      <c r="L10012" s="4" t="s">
        <v>61759</v>
      </c>
      <c r="M10012" s="2" t="s">
        <v>61760</v>
      </c>
      <c r="N10012" s="2" t="s">
        <v>1416</v>
      </c>
      <c r="O10012" s="4" t="s">
        <v>1417</v>
      </c>
      <c r="P10012" s="2" t="s">
        <v>47340</v>
      </c>
      <c r="Q10012" s="2" t="s">
        <v>61750</v>
      </c>
      <c r="R10012" s="2" t="s">
        <v>1420</v>
      </c>
      <c r="S10012" s="4" t="s">
        <v>47341</v>
      </c>
      <c r="T10012" s="2" t="s">
        <v>66</v>
      </c>
      <c r="U10012" s="4" t="s">
        <v>31</v>
      </c>
      <c r="V10012" s="2" t="s">
        <v>470</v>
      </c>
      <c r="W10012" s="2" t="s">
        <v>61746</v>
      </c>
      <c r="X10012" s="5" t="str">
        <f>HYPERLINK("https://my.pitchbook.com?p=227557-09P","View People Online")</f>
        <v>View People Online</v>
      </c>
    </row>
    <row r="10013">
      <c r="A10013" s="6" t="s">
        <v>61761</v>
      </c>
      <c r="B10013" s="6" t="s">
        <v>61762</v>
      </c>
      <c r="C10013" s="6" t="s">
        <v>27929</v>
      </c>
      <c r="D10013" s="6" t="s">
        <v>61763</v>
      </c>
      <c r="E10013" s="6" t="s">
        <v>61746</v>
      </c>
      <c r="F10013" s="6" t="s">
        <v>27013</v>
      </c>
      <c r="G10013" s="6" t="s">
        <v>61764</v>
      </c>
      <c r="H10013" s="7" t="s">
        <v>31</v>
      </c>
      <c r="I10013" s="7">
        <v>2.0</v>
      </c>
      <c r="J10013" s="7">
        <v>2.0</v>
      </c>
      <c r="K10013" s="7" t="s">
        <v>31</v>
      </c>
      <c r="L10013" s="8" t="s">
        <v>31</v>
      </c>
      <c r="M10013" s="6" t="s">
        <v>31</v>
      </c>
      <c r="N10013" s="6" t="s">
        <v>1416</v>
      </c>
      <c r="O10013" s="8" t="s">
        <v>1417</v>
      </c>
      <c r="P10013" s="6" t="s">
        <v>61765</v>
      </c>
      <c r="Q10013" s="6" t="s">
        <v>61766</v>
      </c>
      <c r="R10013" s="6" t="s">
        <v>1420</v>
      </c>
      <c r="S10013" s="8" t="s">
        <v>61767</v>
      </c>
      <c r="T10013" s="6" t="s">
        <v>66</v>
      </c>
      <c r="U10013" s="8" t="s">
        <v>31</v>
      </c>
      <c r="V10013" s="6" t="s">
        <v>2156</v>
      </c>
      <c r="W10013" s="6" t="s">
        <v>61768</v>
      </c>
      <c r="X10013" s="9" t="str">
        <f>HYPERLINK("https://my.pitchbook.com?p=206784-55P","View People Online")</f>
        <v>View People Online</v>
      </c>
    </row>
    <row r="10014">
      <c r="A10014" s="10" t="s">
        <v>61769</v>
      </c>
      <c r="B10014" s="10" t="s">
        <v>61770</v>
      </c>
      <c r="C10014" s="10" t="s">
        <v>61771</v>
      </c>
      <c r="D10014" s="10" t="s">
        <v>20866</v>
      </c>
      <c r="E10014" s="10" t="s">
        <v>61746</v>
      </c>
      <c r="F10014" s="10" t="s">
        <v>1283</v>
      </c>
      <c r="G10014" s="10" t="s">
        <v>61772</v>
      </c>
      <c r="H10014" s="11" t="s">
        <v>31</v>
      </c>
      <c r="I10014" s="11">
        <v>1.0</v>
      </c>
      <c r="J10014" s="11">
        <v>1.0</v>
      </c>
      <c r="K10014" s="11" t="s">
        <v>31</v>
      </c>
      <c r="L10014" s="12" t="s">
        <v>61748</v>
      </c>
      <c r="M10014" s="10" t="s">
        <v>31</v>
      </c>
      <c r="N10014" s="10" t="s">
        <v>1416</v>
      </c>
      <c r="O10014" s="12" t="s">
        <v>1417</v>
      </c>
      <c r="P10014" s="10" t="s">
        <v>47340</v>
      </c>
      <c r="Q10014" s="10" t="s">
        <v>61750</v>
      </c>
      <c r="R10014" s="10" t="s">
        <v>1420</v>
      </c>
      <c r="S10014" s="12" t="s">
        <v>47341</v>
      </c>
      <c r="T10014" s="10" t="s">
        <v>66</v>
      </c>
      <c r="U10014" s="12" t="s">
        <v>31</v>
      </c>
      <c r="V10014" s="10" t="s">
        <v>61773</v>
      </c>
      <c r="W10014" s="10" t="s">
        <v>61746</v>
      </c>
      <c r="X10014" s="13" t="str">
        <f>HYPERLINK("https://my.pitchbook.com?p=208321-93P","View People Online")</f>
        <v>View People Online</v>
      </c>
    </row>
    <row r="10015">
      <c r="A10015" s="14" t="s">
        <v>61774</v>
      </c>
      <c r="B10015" s="14" t="s">
        <v>61775</v>
      </c>
      <c r="C10015" s="14" t="s">
        <v>2688</v>
      </c>
      <c r="D10015" s="14" t="s">
        <v>61776</v>
      </c>
      <c r="E10015" s="14" t="s">
        <v>61777</v>
      </c>
      <c r="F10015" s="14" t="s">
        <v>1801</v>
      </c>
      <c r="G10015" s="14" t="s">
        <v>61778</v>
      </c>
      <c r="H10015" s="15" t="s">
        <v>31</v>
      </c>
      <c r="I10015" s="15">
        <v>1.0</v>
      </c>
      <c r="J10015" s="15">
        <v>1.0</v>
      </c>
      <c r="K10015" s="15" t="s">
        <v>31</v>
      </c>
      <c r="L10015" s="16" t="s">
        <v>61779</v>
      </c>
      <c r="M10015" s="14" t="s">
        <v>61780</v>
      </c>
      <c r="N10015" s="14" t="s">
        <v>1109</v>
      </c>
      <c r="O10015" s="16" t="s">
        <v>1110</v>
      </c>
      <c r="P10015" s="14" t="s">
        <v>61781</v>
      </c>
      <c r="Q10015" s="14" t="s">
        <v>6591</v>
      </c>
      <c r="R10015" s="14" t="s">
        <v>1112</v>
      </c>
      <c r="S10015" s="16" t="s">
        <v>61661</v>
      </c>
      <c r="T10015" s="14" t="s">
        <v>66</v>
      </c>
      <c r="U10015" s="16" t="s">
        <v>31</v>
      </c>
      <c r="V10015" s="14" t="s">
        <v>61782</v>
      </c>
      <c r="W10015" s="14" t="s">
        <v>61777</v>
      </c>
      <c r="X10015" s="17" t="str">
        <f>HYPERLINK("https://my.pitchbook.com?p=236996-02P","View People Online")</f>
        <v>View People Online</v>
      </c>
    </row>
    <row r="10016">
      <c r="A10016" s="2" t="s">
        <v>61783</v>
      </c>
      <c r="B10016" s="2" t="s">
        <v>61784</v>
      </c>
      <c r="C10016" s="2" t="s">
        <v>2650</v>
      </c>
      <c r="D10016" s="2" t="s">
        <v>15363</v>
      </c>
      <c r="E10016" s="2" t="s">
        <v>61785</v>
      </c>
      <c r="F10016" s="2" t="s">
        <v>470</v>
      </c>
      <c r="G10016" s="2" t="s">
        <v>61786</v>
      </c>
      <c r="H10016" s="3" t="s">
        <v>31</v>
      </c>
      <c r="I10016" s="3">
        <v>3.0</v>
      </c>
      <c r="J10016" s="3">
        <v>2.0</v>
      </c>
      <c r="K10016" s="3">
        <v>1.0</v>
      </c>
      <c r="L10016" s="4" t="s">
        <v>61787</v>
      </c>
      <c r="M10016" s="2" t="s">
        <v>61788</v>
      </c>
      <c r="N10016" s="2" t="s">
        <v>61789</v>
      </c>
      <c r="O10016" s="4" t="s">
        <v>61790</v>
      </c>
      <c r="P10016" s="2" t="s">
        <v>61791</v>
      </c>
      <c r="Q10016" s="2" t="s">
        <v>31</v>
      </c>
      <c r="R10016" s="2" t="s">
        <v>24115</v>
      </c>
      <c r="S10016" s="4" t="s">
        <v>61792</v>
      </c>
      <c r="T10016" s="2" t="s">
        <v>66</v>
      </c>
      <c r="U10016" s="4" t="s">
        <v>61793</v>
      </c>
      <c r="V10016" s="2" t="s">
        <v>61794</v>
      </c>
      <c r="W10016" s="2" t="s">
        <v>61785</v>
      </c>
      <c r="X10016" s="5" t="str">
        <f>HYPERLINK("https://my.pitchbook.com?p=317739-88P","View People Online")</f>
        <v>View People Online</v>
      </c>
    </row>
    <row r="10017">
      <c r="A10017" s="6" t="s">
        <v>61795</v>
      </c>
      <c r="B10017" s="6" t="s">
        <v>61796</v>
      </c>
      <c r="C10017" s="6" t="s">
        <v>263</v>
      </c>
      <c r="D10017" s="6" t="s">
        <v>61797</v>
      </c>
      <c r="E10017" s="6" t="s">
        <v>61785</v>
      </c>
      <c r="F10017" s="6" t="s">
        <v>3600</v>
      </c>
      <c r="G10017" s="6" t="s">
        <v>61798</v>
      </c>
      <c r="H10017" s="7" t="s">
        <v>31</v>
      </c>
      <c r="I10017" s="7">
        <v>1.0</v>
      </c>
      <c r="J10017" s="7">
        <v>1.0</v>
      </c>
      <c r="K10017" s="7" t="s">
        <v>31</v>
      </c>
      <c r="L10017" s="8" t="s">
        <v>61787</v>
      </c>
      <c r="M10017" s="6" t="s">
        <v>61799</v>
      </c>
      <c r="N10017" s="6" t="s">
        <v>61789</v>
      </c>
      <c r="O10017" s="8" t="s">
        <v>61790</v>
      </c>
      <c r="P10017" s="6" t="s">
        <v>61791</v>
      </c>
      <c r="Q10017" s="6" t="s">
        <v>31</v>
      </c>
      <c r="R10017" s="6" t="s">
        <v>24115</v>
      </c>
      <c r="S10017" s="8" t="s">
        <v>61792</v>
      </c>
      <c r="T10017" s="6" t="s">
        <v>66</v>
      </c>
      <c r="U10017" s="8" t="s">
        <v>61793</v>
      </c>
      <c r="V10017" s="6" t="s">
        <v>61800</v>
      </c>
      <c r="W10017" s="6" t="s">
        <v>61785</v>
      </c>
      <c r="X10017" s="9" t="str">
        <f>HYPERLINK("https://my.pitchbook.com?p=293129-47P","View People Online")</f>
        <v>View People Online</v>
      </c>
    </row>
    <row r="10018">
      <c r="A10018" s="10" t="s">
        <v>61801</v>
      </c>
      <c r="B10018" s="10" t="s">
        <v>61802</v>
      </c>
      <c r="C10018" s="10" t="s">
        <v>4911</v>
      </c>
      <c r="D10018" s="10" t="s">
        <v>61803</v>
      </c>
      <c r="E10018" s="10" t="s">
        <v>61785</v>
      </c>
      <c r="F10018" s="10" t="s">
        <v>5418</v>
      </c>
      <c r="G10018" s="10" t="s">
        <v>61804</v>
      </c>
      <c r="H10018" s="11">
        <v>1.0</v>
      </c>
      <c r="I10018" s="11">
        <v>3.0</v>
      </c>
      <c r="J10018" s="11">
        <v>2.0</v>
      </c>
      <c r="K10018" s="11" t="s">
        <v>31</v>
      </c>
      <c r="L10018" s="12" t="s">
        <v>61787</v>
      </c>
      <c r="M10018" s="10" t="s">
        <v>61805</v>
      </c>
      <c r="N10018" s="10" t="s">
        <v>61789</v>
      </c>
      <c r="O10018" s="12" t="s">
        <v>61790</v>
      </c>
      <c r="P10018" s="10" t="s">
        <v>61791</v>
      </c>
      <c r="Q10018" s="10" t="s">
        <v>31</v>
      </c>
      <c r="R10018" s="10" t="s">
        <v>24115</v>
      </c>
      <c r="S10018" s="12" t="s">
        <v>61792</v>
      </c>
      <c r="T10018" s="10" t="s">
        <v>66</v>
      </c>
      <c r="U10018" s="12" t="s">
        <v>61793</v>
      </c>
      <c r="V10018" s="10" t="s">
        <v>5421</v>
      </c>
      <c r="W10018" s="10" t="s">
        <v>61785</v>
      </c>
      <c r="X10018" s="13" t="str">
        <f>HYPERLINK("https://my.pitchbook.com?p=265802-95P","View People Online")</f>
        <v>View People Online</v>
      </c>
    </row>
    <row r="10019">
      <c r="A10019" s="6" t="s">
        <v>61806</v>
      </c>
      <c r="B10019" s="6" t="s">
        <v>61807</v>
      </c>
      <c r="C10019" s="6" t="s">
        <v>285</v>
      </c>
      <c r="D10019" s="6" t="s">
        <v>61808</v>
      </c>
      <c r="E10019" s="6" t="s">
        <v>61785</v>
      </c>
      <c r="F10019" s="6" t="s">
        <v>583</v>
      </c>
      <c r="G10019" s="6" t="s">
        <v>61809</v>
      </c>
      <c r="H10019" s="7" t="s">
        <v>31</v>
      </c>
      <c r="I10019" s="7">
        <v>1.0</v>
      </c>
      <c r="J10019" s="7">
        <v>1.0</v>
      </c>
      <c r="K10019" s="7" t="s">
        <v>31</v>
      </c>
      <c r="L10019" s="8" t="s">
        <v>61787</v>
      </c>
      <c r="M10019" s="6" t="s">
        <v>61810</v>
      </c>
      <c r="N10019" s="6" t="s">
        <v>61789</v>
      </c>
      <c r="O10019" s="8" t="s">
        <v>61790</v>
      </c>
      <c r="P10019" s="6" t="s">
        <v>61791</v>
      </c>
      <c r="Q10019" s="6" t="s">
        <v>31</v>
      </c>
      <c r="R10019" s="6" t="s">
        <v>24115</v>
      </c>
      <c r="S10019" s="8" t="s">
        <v>61792</v>
      </c>
      <c r="T10019" s="6" t="s">
        <v>66</v>
      </c>
      <c r="U10019" s="8" t="s">
        <v>61793</v>
      </c>
      <c r="V10019" s="6" t="s">
        <v>583</v>
      </c>
      <c r="W10019" s="6" t="s">
        <v>61785</v>
      </c>
      <c r="X10019" s="9" t="str">
        <f>HYPERLINK("https://my.pitchbook.com?p=66181-15P","View People Online")</f>
        <v>View People Online</v>
      </c>
    </row>
    <row r="10020">
      <c r="A10020" s="10" t="s">
        <v>61811</v>
      </c>
      <c r="B10020" s="10" t="s">
        <v>61812</v>
      </c>
      <c r="C10020" s="10" t="s">
        <v>285</v>
      </c>
      <c r="D10020" s="10" t="s">
        <v>61813</v>
      </c>
      <c r="E10020" s="10" t="s">
        <v>61785</v>
      </c>
      <c r="F10020" s="10" t="s">
        <v>3678</v>
      </c>
      <c r="G10020" s="10" t="s">
        <v>61814</v>
      </c>
      <c r="H10020" s="11" t="s">
        <v>31</v>
      </c>
      <c r="I10020" s="11">
        <v>2.0</v>
      </c>
      <c r="J10020" s="11">
        <v>1.0</v>
      </c>
      <c r="K10020" s="11">
        <v>1.0</v>
      </c>
      <c r="L10020" s="12" t="s">
        <v>61787</v>
      </c>
      <c r="M10020" s="10" t="s">
        <v>61815</v>
      </c>
      <c r="N10020" s="10" t="s">
        <v>61789</v>
      </c>
      <c r="O10020" s="12" t="s">
        <v>61790</v>
      </c>
      <c r="P10020" s="10" t="s">
        <v>61791</v>
      </c>
      <c r="Q10020" s="10" t="s">
        <v>31</v>
      </c>
      <c r="R10020" s="10" t="s">
        <v>24115</v>
      </c>
      <c r="S10020" s="12" t="s">
        <v>61792</v>
      </c>
      <c r="T10020" s="10" t="s">
        <v>66</v>
      </c>
      <c r="U10020" s="12" t="s">
        <v>61793</v>
      </c>
      <c r="V10020" s="10" t="s">
        <v>61816</v>
      </c>
      <c r="W10020" s="10" t="s">
        <v>61785</v>
      </c>
      <c r="X10020" s="13" t="str">
        <f>HYPERLINK("https://my.pitchbook.com?p=170743-96P","View People Online")</f>
        <v>View People Online</v>
      </c>
    </row>
    <row r="10021">
      <c r="A10021" s="14" t="s">
        <v>61817</v>
      </c>
      <c r="B10021" s="14" t="s">
        <v>61818</v>
      </c>
      <c r="C10021" s="14" t="s">
        <v>1449</v>
      </c>
      <c r="D10021" s="14" t="s">
        <v>61819</v>
      </c>
      <c r="E10021" s="14" t="s">
        <v>61785</v>
      </c>
      <c r="F10021" s="14" t="s">
        <v>270</v>
      </c>
      <c r="G10021" s="14" t="s">
        <v>61820</v>
      </c>
      <c r="H10021" s="15" t="s">
        <v>31</v>
      </c>
      <c r="I10021" s="15">
        <v>1.0</v>
      </c>
      <c r="J10021" s="15">
        <v>1.0</v>
      </c>
      <c r="K10021" s="15" t="s">
        <v>31</v>
      </c>
      <c r="L10021" s="16" t="s">
        <v>61787</v>
      </c>
      <c r="M10021" s="14" t="s">
        <v>61821</v>
      </c>
      <c r="N10021" s="14" t="s">
        <v>61789</v>
      </c>
      <c r="O10021" s="16" t="s">
        <v>61790</v>
      </c>
      <c r="P10021" s="14" t="s">
        <v>61791</v>
      </c>
      <c r="Q10021" s="14" t="s">
        <v>31</v>
      </c>
      <c r="R10021" s="14" t="s">
        <v>24115</v>
      </c>
      <c r="S10021" s="16" t="s">
        <v>61792</v>
      </c>
      <c r="T10021" s="14" t="s">
        <v>66</v>
      </c>
      <c r="U10021" s="16" t="s">
        <v>61793</v>
      </c>
      <c r="V10021" s="14" t="s">
        <v>61822</v>
      </c>
      <c r="W10021" s="14" t="s">
        <v>61785</v>
      </c>
      <c r="X10021" s="17" t="str">
        <f>HYPERLINK("https://my.pitchbook.com?p=433930-78P","View People Online")</f>
        <v>View People Online</v>
      </c>
    </row>
    <row r="10022">
      <c r="A10022" s="10" t="s">
        <v>61823</v>
      </c>
      <c r="B10022" s="10" t="s">
        <v>61824</v>
      </c>
      <c r="C10022" s="10" t="s">
        <v>1449</v>
      </c>
      <c r="D10022" s="10" t="s">
        <v>2149</v>
      </c>
      <c r="E10022" s="10" t="s">
        <v>61785</v>
      </c>
      <c r="F10022" s="10" t="s">
        <v>3600</v>
      </c>
      <c r="G10022" s="10" t="s">
        <v>61825</v>
      </c>
      <c r="H10022" s="11" t="s">
        <v>31</v>
      </c>
      <c r="I10022" s="11">
        <v>1.0</v>
      </c>
      <c r="J10022" s="11">
        <v>1.0</v>
      </c>
      <c r="K10022" s="11" t="s">
        <v>31</v>
      </c>
      <c r="L10022" s="12" t="s">
        <v>61787</v>
      </c>
      <c r="M10022" s="10" t="s">
        <v>61826</v>
      </c>
      <c r="N10022" s="10" t="s">
        <v>61789</v>
      </c>
      <c r="O10022" s="12" t="s">
        <v>61790</v>
      </c>
      <c r="P10022" s="10" t="s">
        <v>61791</v>
      </c>
      <c r="Q10022" s="10" t="s">
        <v>31</v>
      </c>
      <c r="R10022" s="10" t="s">
        <v>24115</v>
      </c>
      <c r="S10022" s="12" t="s">
        <v>61792</v>
      </c>
      <c r="T10022" s="10" t="s">
        <v>66</v>
      </c>
      <c r="U10022" s="12" t="s">
        <v>61793</v>
      </c>
      <c r="V10022" s="10" t="s">
        <v>61827</v>
      </c>
      <c r="W10022" s="10" t="s">
        <v>61785</v>
      </c>
      <c r="X10022" s="13" t="str">
        <f>HYPERLINK("https://my.pitchbook.com?p=14589-91P","View People Online")</f>
        <v>View People Online</v>
      </c>
    </row>
    <row r="10023">
      <c r="A10023" s="14" t="s">
        <v>61828</v>
      </c>
      <c r="B10023" s="14" t="s">
        <v>61829</v>
      </c>
      <c r="C10023" s="14" t="s">
        <v>1449</v>
      </c>
      <c r="D10023" s="14" t="s">
        <v>4550</v>
      </c>
      <c r="E10023" s="14" t="s">
        <v>61785</v>
      </c>
      <c r="F10023" s="14" t="s">
        <v>4964</v>
      </c>
      <c r="G10023" s="14" t="s">
        <v>61830</v>
      </c>
      <c r="H10023" s="15" t="s">
        <v>31</v>
      </c>
      <c r="I10023" s="15">
        <v>1.0</v>
      </c>
      <c r="J10023" s="15">
        <v>1.0</v>
      </c>
      <c r="K10023" s="15" t="s">
        <v>31</v>
      </c>
      <c r="L10023" s="16" t="s">
        <v>61787</v>
      </c>
      <c r="M10023" s="14" t="s">
        <v>61831</v>
      </c>
      <c r="N10023" s="14" t="s">
        <v>61789</v>
      </c>
      <c r="O10023" s="16" t="s">
        <v>61790</v>
      </c>
      <c r="P10023" s="14" t="s">
        <v>61791</v>
      </c>
      <c r="Q10023" s="14" t="s">
        <v>31</v>
      </c>
      <c r="R10023" s="14" t="s">
        <v>24115</v>
      </c>
      <c r="S10023" s="16" t="s">
        <v>61792</v>
      </c>
      <c r="T10023" s="14" t="s">
        <v>66</v>
      </c>
      <c r="U10023" s="16" t="s">
        <v>61793</v>
      </c>
      <c r="V10023" s="14" t="s">
        <v>61832</v>
      </c>
      <c r="W10023" s="14" t="s">
        <v>61785</v>
      </c>
      <c r="X10023" s="17" t="str">
        <f>HYPERLINK("https://my.pitchbook.com?p=226383-04P","View People Online")</f>
        <v>View People Online</v>
      </c>
    </row>
    <row r="10024">
      <c r="A10024" s="2" t="s">
        <v>61833</v>
      </c>
      <c r="B10024" s="2" t="s">
        <v>61834</v>
      </c>
      <c r="C10024" s="2" t="s">
        <v>26010</v>
      </c>
      <c r="D10024" s="2" t="s">
        <v>61835</v>
      </c>
      <c r="E10024" s="2" t="s">
        <v>61785</v>
      </c>
      <c r="F10024" s="2" t="s">
        <v>312</v>
      </c>
      <c r="G10024" s="2" t="s">
        <v>61836</v>
      </c>
      <c r="H10024" s="3" t="s">
        <v>31</v>
      </c>
      <c r="I10024" s="3">
        <v>1.0</v>
      </c>
      <c r="J10024" s="3">
        <v>1.0</v>
      </c>
      <c r="K10024" s="3" t="s">
        <v>31</v>
      </c>
      <c r="L10024" s="4" t="s">
        <v>61787</v>
      </c>
      <c r="M10024" s="2" t="s">
        <v>31</v>
      </c>
      <c r="N10024" s="2" t="s">
        <v>61789</v>
      </c>
      <c r="O10024" s="4" t="s">
        <v>61790</v>
      </c>
      <c r="P10024" s="2" t="s">
        <v>61791</v>
      </c>
      <c r="Q10024" s="2" t="s">
        <v>31</v>
      </c>
      <c r="R10024" s="2" t="s">
        <v>24115</v>
      </c>
      <c r="S10024" s="4" t="s">
        <v>61792</v>
      </c>
      <c r="T10024" s="2" t="s">
        <v>66</v>
      </c>
      <c r="U10024" s="4" t="s">
        <v>61793</v>
      </c>
      <c r="V10024" s="2" t="s">
        <v>312</v>
      </c>
      <c r="W10024" s="2" t="s">
        <v>61785</v>
      </c>
      <c r="X10024" s="5" t="str">
        <f>HYPERLINK("https://my.pitchbook.com?p=434334-07P","View People Online")</f>
        <v>View People Online</v>
      </c>
    </row>
    <row r="10025">
      <c r="A10025" s="14" t="s">
        <v>61837</v>
      </c>
      <c r="B10025" s="14" t="s">
        <v>61838</v>
      </c>
      <c r="C10025" s="14" t="s">
        <v>3811</v>
      </c>
      <c r="D10025" s="14" t="s">
        <v>61839</v>
      </c>
      <c r="E10025" s="14" t="s">
        <v>61785</v>
      </c>
      <c r="F10025" s="14" t="s">
        <v>3600</v>
      </c>
      <c r="G10025" s="14" t="s">
        <v>61840</v>
      </c>
      <c r="H10025" s="15" t="s">
        <v>31</v>
      </c>
      <c r="I10025" s="15">
        <v>1.0</v>
      </c>
      <c r="J10025" s="15">
        <v>1.0</v>
      </c>
      <c r="K10025" s="15" t="s">
        <v>31</v>
      </c>
      <c r="L10025" s="16" t="s">
        <v>61787</v>
      </c>
      <c r="M10025" s="14" t="s">
        <v>61841</v>
      </c>
      <c r="N10025" s="14" t="s">
        <v>61789</v>
      </c>
      <c r="O10025" s="16" t="s">
        <v>61790</v>
      </c>
      <c r="P10025" s="14" t="s">
        <v>61791</v>
      </c>
      <c r="Q10025" s="14" t="s">
        <v>31</v>
      </c>
      <c r="R10025" s="14" t="s">
        <v>24115</v>
      </c>
      <c r="S10025" s="16" t="s">
        <v>61792</v>
      </c>
      <c r="T10025" s="14" t="s">
        <v>66</v>
      </c>
      <c r="U10025" s="16" t="s">
        <v>61793</v>
      </c>
      <c r="V10025" s="14" t="s">
        <v>61842</v>
      </c>
      <c r="W10025" s="14" t="s">
        <v>61785</v>
      </c>
      <c r="X10025" s="17" t="str">
        <f>HYPERLINK("https://my.pitchbook.com?p=416377-72P","View People Online")</f>
        <v>View People Online</v>
      </c>
    </row>
    <row r="10026">
      <c r="A10026" s="10" t="s">
        <v>61843</v>
      </c>
      <c r="B10026" s="10" t="s">
        <v>61844</v>
      </c>
      <c r="C10026" s="10" t="s">
        <v>5363</v>
      </c>
      <c r="D10026" s="10" t="s">
        <v>4307</v>
      </c>
      <c r="E10026" s="10" t="s">
        <v>61785</v>
      </c>
      <c r="F10026" s="10" t="s">
        <v>371</v>
      </c>
      <c r="G10026" s="10" t="s">
        <v>61845</v>
      </c>
      <c r="H10026" s="11" t="s">
        <v>31</v>
      </c>
      <c r="I10026" s="11">
        <v>1.0</v>
      </c>
      <c r="J10026" s="11">
        <v>1.0</v>
      </c>
      <c r="K10026" s="11" t="s">
        <v>31</v>
      </c>
      <c r="L10026" s="12" t="s">
        <v>61787</v>
      </c>
      <c r="M10026" s="10" t="s">
        <v>31</v>
      </c>
      <c r="N10026" s="10" t="s">
        <v>61789</v>
      </c>
      <c r="O10026" s="12" t="s">
        <v>61790</v>
      </c>
      <c r="P10026" s="10" t="s">
        <v>61791</v>
      </c>
      <c r="Q10026" s="10" t="s">
        <v>31</v>
      </c>
      <c r="R10026" s="10" t="s">
        <v>24115</v>
      </c>
      <c r="S10026" s="12" t="s">
        <v>61792</v>
      </c>
      <c r="T10026" s="10" t="s">
        <v>66</v>
      </c>
      <c r="U10026" s="12" t="s">
        <v>61793</v>
      </c>
      <c r="V10026" s="10" t="s">
        <v>61846</v>
      </c>
      <c r="W10026" s="10" t="s">
        <v>61785</v>
      </c>
      <c r="X10026" s="13" t="str">
        <f>HYPERLINK("https://my.pitchbook.com?p=376489-27P","View People Online")</f>
        <v>View People Online</v>
      </c>
    </row>
    <row r="10027">
      <c r="A10027" s="14" t="s">
        <v>61847</v>
      </c>
      <c r="B10027" s="14" t="s">
        <v>61848</v>
      </c>
      <c r="C10027" s="14" t="s">
        <v>17950</v>
      </c>
      <c r="D10027" s="14" t="s">
        <v>61849</v>
      </c>
      <c r="E10027" s="14" t="s">
        <v>61785</v>
      </c>
      <c r="F10027" s="14" t="s">
        <v>4951</v>
      </c>
      <c r="G10027" s="14" t="s">
        <v>61850</v>
      </c>
      <c r="H10027" s="15" t="s">
        <v>31</v>
      </c>
      <c r="I10027" s="15">
        <v>1.0</v>
      </c>
      <c r="J10027" s="15">
        <v>1.0</v>
      </c>
      <c r="K10027" s="15" t="s">
        <v>31</v>
      </c>
      <c r="L10027" s="16" t="s">
        <v>61787</v>
      </c>
      <c r="M10027" s="14" t="s">
        <v>31</v>
      </c>
      <c r="N10027" s="14" t="s">
        <v>61789</v>
      </c>
      <c r="O10027" s="16" t="s">
        <v>61790</v>
      </c>
      <c r="P10027" s="14" t="s">
        <v>61791</v>
      </c>
      <c r="Q10027" s="14" t="s">
        <v>31</v>
      </c>
      <c r="R10027" s="14" t="s">
        <v>24115</v>
      </c>
      <c r="S10027" s="16" t="s">
        <v>61792</v>
      </c>
      <c r="T10027" s="14" t="s">
        <v>66</v>
      </c>
      <c r="U10027" s="16" t="s">
        <v>61793</v>
      </c>
      <c r="V10027" s="14" t="s">
        <v>61851</v>
      </c>
      <c r="W10027" s="14" t="s">
        <v>61785</v>
      </c>
      <c r="X10027" s="17" t="str">
        <f>HYPERLINK("https://my.pitchbook.com?p=74761-75P","View People Online")</f>
        <v>View People Online</v>
      </c>
    </row>
    <row r="10028">
      <c r="A10028" s="10" t="s">
        <v>61852</v>
      </c>
      <c r="B10028" s="10" t="s">
        <v>61853</v>
      </c>
      <c r="C10028" s="10" t="s">
        <v>2221</v>
      </c>
      <c r="D10028" s="10" t="s">
        <v>61854</v>
      </c>
      <c r="E10028" s="10" t="s">
        <v>61785</v>
      </c>
      <c r="F10028" s="10" t="s">
        <v>5365</v>
      </c>
      <c r="G10028" s="10" t="s">
        <v>61855</v>
      </c>
      <c r="H10028" s="11" t="s">
        <v>31</v>
      </c>
      <c r="I10028" s="11">
        <v>1.0</v>
      </c>
      <c r="J10028" s="11">
        <v>1.0</v>
      </c>
      <c r="K10028" s="11" t="s">
        <v>31</v>
      </c>
      <c r="L10028" s="12" t="s">
        <v>61787</v>
      </c>
      <c r="M10028" s="10" t="s">
        <v>61856</v>
      </c>
      <c r="N10028" s="10" t="s">
        <v>61789</v>
      </c>
      <c r="O10028" s="12" t="s">
        <v>61790</v>
      </c>
      <c r="P10028" s="10" t="s">
        <v>61791</v>
      </c>
      <c r="Q10028" s="10" t="s">
        <v>31</v>
      </c>
      <c r="R10028" s="10" t="s">
        <v>24115</v>
      </c>
      <c r="S10028" s="12" t="s">
        <v>61792</v>
      </c>
      <c r="T10028" s="10" t="s">
        <v>66</v>
      </c>
      <c r="U10028" s="12" t="s">
        <v>61793</v>
      </c>
      <c r="V10028" s="10" t="s">
        <v>35471</v>
      </c>
      <c r="W10028" s="10" t="s">
        <v>61785</v>
      </c>
      <c r="X10028" s="13" t="str">
        <f>HYPERLINK("https://my.pitchbook.com?p=226364-32P","View People Online")</f>
        <v>View People Online</v>
      </c>
    </row>
    <row r="10029">
      <c r="A10029" s="14" t="s">
        <v>61857</v>
      </c>
      <c r="B10029" s="14" t="s">
        <v>61858</v>
      </c>
      <c r="C10029" s="14" t="s">
        <v>2221</v>
      </c>
      <c r="D10029" s="14" t="s">
        <v>14888</v>
      </c>
      <c r="E10029" s="14" t="s">
        <v>61785</v>
      </c>
      <c r="F10029" s="14" t="s">
        <v>3740</v>
      </c>
      <c r="G10029" s="14" t="s">
        <v>61859</v>
      </c>
      <c r="H10029" s="15">
        <v>2.0</v>
      </c>
      <c r="I10029" s="15">
        <v>5.0</v>
      </c>
      <c r="J10029" s="15">
        <v>1.0</v>
      </c>
      <c r="K10029" s="15">
        <v>2.0</v>
      </c>
      <c r="L10029" s="16" t="s">
        <v>61787</v>
      </c>
      <c r="M10029" s="14" t="s">
        <v>61860</v>
      </c>
      <c r="N10029" s="14" t="s">
        <v>61789</v>
      </c>
      <c r="O10029" s="16" t="s">
        <v>61790</v>
      </c>
      <c r="P10029" s="14" t="s">
        <v>61791</v>
      </c>
      <c r="Q10029" s="14" t="s">
        <v>31</v>
      </c>
      <c r="R10029" s="14" t="s">
        <v>24115</v>
      </c>
      <c r="S10029" s="16" t="s">
        <v>61792</v>
      </c>
      <c r="T10029" s="14" t="s">
        <v>66</v>
      </c>
      <c r="U10029" s="16" t="s">
        <v>61793</v>
      </c>
      <c r="V10029" s="14" t="s">
        <v>34967</v>
      </c>
      <c r="W10029" s="14" t="s">
        <v>61785</v>
      </c>
      <c r="X10029" s="17" t="str">
        <f>HYPERLINK("https://my.pitchbook.com?p=65258-47P","View People Online")</f>
        <v>View People Online</v>
      </c>
    </row>
    <row r="10030">
      <c r="A10030" s="10" t="s">
        <v>61861</v>
      </c>
      <c r="B10030" s="10" t="s">
        <v>61862</v>
      </c>
      <c r="C10030" s="10" t="s">
        <v>61863</v>
      </c>
      <c r="D10030" s="10" t="s">
        <v>61864</v>
      </c>
      <c r="E10030" s="10" t="s">
        <v>61785</v>
      </c>
      <c r="F10030" s="10" t="s">
        <v>5365</v>
      </c>
      <c r="G10030" s="10" t="s">
        <v>61865</v>
      </c>
      <c r="H10030" s="11" t="s">
        <v>31</v>
      </c>
      <c r="I10030" s="11">
        <v>1.0</v>
      </c>
      <c r="J10030" s="11">
        <v>1.0</v>
      </c>
      <c r="K10030" s="11" t="s">
        <v>31</v>
      </c>
      <c r="L10030" s="12" t="s">
        <v>61787</v>
      </c>
      <c r="M10030" s="10" t="s">
        <v>61866</v>
      </c>
      <c r="N10030" s="10" t="s">
        <v>61789</v>
      </c>
      <c r="O10030" s="12" t="s">
        <v>61790</v>
      </c>
      <c r="P10030" s="10" t="s">
        <v>61791</v>
      </c>
      <c r="Q10030" s="10" t="s">
        <v>31</v>
      </c>
      <c r="R10030" s="10" t="s">
        <v>24115</v>
      </c>
      <c r="S10030" s="12" t="s">
        <v>61792</v>
      </c>
      <c r="T10030" s="10" t="s">
        <v>66</v>
      </c>
      <c r="U10030" s="12" t="s">
        <v>61793</v>
      </c>
      <c r="V10030" s="10" t="s">
        <v>27436</v>
      </c>
      <c r="W10030" s="10" t="s">
        <v>61785</v>
      </c>
      <c r="X10030" s="13" t="str">
        <f>HYPERLINK("https://my.pitchbook.com?p=407457-91P","View People Online")</f>
        <v>View People Online</v>
      </c>
    </row>
    <row r="10031">
      <c r="A10031" s="6" t="s">
        <v>61867</v>
      </c>
      <c r="B10031" s="6" t="s">
        <v>61868</v>
      </c>
      <c r="C10031" s="6" t="s">
        <v>1765</v>
      </c>
      <c r="D10031" s="6" t="s">
        <v>13176</v>
      </c>
      <c r="E10031" s="6" t="s">
        <v>61785</v>
      </c>
      <c r="F10031" s="6" t="s">
        <v>7930</v>
      </c>
      <c r="G10031" s="6" t="s">
        <v>61869</v>
      </c>
      <c r="H10031" s="7" t="s">
        <v>31</v>
      </c>
      <c r="I10031" s="7">
        <v>2.0</v>
      </c>
      <c r="J10031" s="7">
        <v>2.0</v>
      </c>
      <c r="K10031" s="7" t="s">
        <v>31</v>
      </c>
      <c r="L10031" s="8" t="s">
        <v>61787</v>
      </c>
      <c r="M10031" s="6" t="s">
        <v>61870</v>
      </c>
      <c r="N10031" s="6" t="s">
        <v>61789</v>
      </c>
      <c r="O10031" s="8" t="s">
        <v>61790</v>
      </c>
      <c r="P10031" s="6" t="s">
        <v>61791</v>
      </c>
      <c r="Q10031" s="6" t="s">
        <v>31</v>
      </c>
      <c r="R10031" s="6" t="s">
        <v>24115</v>
      </c>
      <c r="S10031" s="8" t="s">
        <v>61792</v>
      </c>
      <c r="T10031" s="6" t="s">
        <v>66</v>
      </c>
      <c r="U10031" s="8" t="s">
        <v>61793</v>
      </c>
      <c r="V10031" s="6" t="s">
        <v>7933</v>
      </c>
      <c r="W10031" s="6" t="s">
        <v>61785</v>
      </c>
      <c r="X10031" s="9" t="str">
        <f>HYPERLINK("https://my.pitchbook.com?p=342348-85P","View People Online")</f>
        <v>View People Online</v>
      </c>
    </row>
    <row r="10032">
      <c r="A10032" s="2" t="s">
        <v>61871</v>
      </c>
      <c r="B10032" s="2" t="s">
        <v>61872</v>
      </c>
      <c r="C10032" s="2" t="s">
        <v>2288</v>
      </c>
      <c r="D10032" s="2" t="s">
        <v>9675</v>
      </c>
      <c r="E10032" s="2" t="s">
        <v>61785</v>
      </c>
      <c r="F10032" s="2" t="s">
        <v>1249</v>
      </c>
      <c r="G10032" s="2" t="s">
        <v>61873</v>
      </c>
      <c r="H10032" s="3">
        <v>1.0</v>
      </c>
      <c r="I10032" s="3">
        <v>1.0</v>
      </c>
      <c r="J10032" s="3">
        <v>1.0</v>
      </c>
      <c r="K10032" s="3" t="s">
        <v>31</v>
      </c>
      <c r="L10032" s="4" t="s">
        <v>61787</v>
      </c>
      <c r="M10032" s="2" t="s">
        <v>61874</v>
      </c>
      <c r="N10032" s="2" t="s">
        <v>61789</v>
      </c>
      <c r="O10032" s="4" t="s">
        <v>61790</v>
      </c>
      <c r="P10032" s="2" t="s">
        <v>61791</v>
      </c>
      <c r="Q10032" s="2" t="s">
        <v>31</v>
      </c>
      <c r="R10032" s="2" t="s">
        <v>24115</v>
      </c>
      <c r="S10032" s="4" t="s">
        <v>61792</v>
      </c>
      <c r="T10032" s="2" t="s">
        <v>66</v>
      </c>
      <c r="U10032" s="4" t="s">
        <v>61793</v>
      </c>
      <c r="V10032" s="2" t="s">
        <v>4809</v>
      </c>
      <c r="W10032" s="2" t="s">
        <v>61785</v>
      </c>
      <c r="X10032" s="5" t="str">
        <f>HYPERLINK("https://my.pitchbook.com?p=226314-82P","View People Online")</f>
        <v>View People Online</v>
      </c>
    </row>
    <row r="10033">
      <c r="A10033" s="6" t="s">
        <v>61875</v>
      </c>
      <c r="B10033" s="6" t="s">
        <v>61876</v>
      </c>
      <c r="C10033" s="6" t="s">
        <v>39332</v>
      </c>
      <c r="D10033" s="6" t="s">
        <v>61877</v>
      </c>
      <c r="E10033" s="6" t="s">
        <v>61785</v>
      </c>
      <c r="F10033" s="6" t="s">
        <v>270</v>
      </c>
      <c r="G10033" s="6" t="s">
        <v>61878</v>
      </c>
      <c r="H10033" s="7" t="s">
        <v>31</v>
      </c>
      <c r="I10033" s="7">
        <v>1.0</v>
      </c>
      <c r="J10033" s="7">
        <v>1.0</v>
      </c>
      <c r="K10033" s="7" t="s">
        <v>31</v>
      </c>
      <c r="L10033" s="8" t="s">
        <v>61787</v>
      </c>
      <c r="M10033" s="6" t="s">
        <v>61879</v>
      </c>
      <c r="N10033" s="6" t="s">
        <v>61789</v>
      </c>
      <c r="O10033" s="8" t="s">
        <v>61790</v>
      </c>
      <c r="P10033" s="6" t="s">
        <v>61791</v>
      </c>
      <c r="Q10033" s="6" t="s">
        <v>31</v>
      </c>
      <c r="R10033" s="6" t="s">
        <v>24115</v>
      </c>
      <c r="S10033" s="8" t="s">
        <v>61792</v>
      </c>
      <c r="T10033" s="6" t="s">
        <v>66</v>
      </c>
      <c r="U10033" s="8" t="s">
        <v>61793</v>
      </c>
      <c r="V10033" s="6" t="s">
        <v>29418</v>
      </c>
      <c r="W10033" s="6" t="s">
        <v>61785</v>
      </c>
      <c r="X10033" s="9" t="str">
        <f>HYPERLINK("https://my.pitchbook.com?p=184179-43P","View People Online")</f>
        <v>View People Online</v>
      </c>
    </row>
    <row r="10034">
      <c r="A10034" s="10" t="s">
        <v>61880</v>
      </c>
      <c r="B10034" s="10" t="s">
        <v>61881</v>
      </c>
      <c r="C10034" s="10" t="s">
        <v>4033</v>
      </c>
      <c r="D10034" s="10" t="s">
        <v>9546</v>
      </c>
      <c r="E10034" s="10" t="s">
        <v>61785</v>
      </c>
      <c r="F10034" s="10" t="s">
        <v>825</v>
      </c>
      <c r="G10034" s="10" t="s">
        <v>61882</v>
      </c>
      <c r="H10034" s="11" t="s">
        <v>31</v>
      </c>
      <c r="I10034" s="11">
        <v>2.0</v>
      </c>
      <c r="J10034" s="11">
        <v>1.0</v>
      </c>
      <c r="K10034" s="11">
        <v>1.0</v>
      </c>
      <c r="L10034" s="12" t="s">
        <v>61787</v>
      </c>
      <c r="M10034" s="10" t="s">
        <v>61883</v>
      </c>
      <c r="N10034" s="10" t="s">
        <v>61789</v>
      </c>
      <c r="O10034" s="12" t="s">
        <v>61790</v>
      </c>
      <c r="P10034" s="10" t="s">
        <v>61791</v>
      </c>
      <c r="Q10034" s="10" t="s">
        <v>31</v>
      </c>
      <c r="R10034" s="10" t="s">
        <v>24115</v>
      </c>
      <c r="S10034" s="12" t="s">
        <v>61792</v>
      </c>
      <c r="T10034" s="10" t="s">
        <v>66</v>
      </c>
      <c r="U10034" s="12" t="s">
        <v>61793</v>
      </c>
      <c r="V10034" s="10" t="s">
        <v>61884</v>
      </c>
      <c r="W10034" s="10" t="s">
        <v>61785</v>
      </c>
      <c r="X10034" s="13" t="str">
        <f>HYPERLINK("https://my.pitchbook.com?p=437384-71P","View People Online")</f>
        <v>View People Online</v>
      </c>
    </row>
    <row r="10035">
      <c r="A10035" s="14" t="s">
        <v>61885</v>
      </c>
      <c r="B10035" s="14" t="s">
        <v>61886</v>
      </c>
      <c r="C10035" s="14" t="s">
        <v>20223</v>
      </c>
      <c r="D10035" s="14" t="s">
        <v>61887</v>
      </c>
      <c r="E10035" s="14" t="s">
        <v>61785</v>
      </c>
      <c r="F10035" s="14" t="s">
        <v>583</v>
      </c>
      <c r="G10035" s="14" t="s">
        <v>61888</v>
      </c>
      <c r="H10035" s="15" t="s">
        <v>31</v>
      </c>
      <c r="I10035" s="15">
        <v>1.0</v>
      </c>
      <c r="J10035" s="15">
        <v>1.0</v>
      </c>
      <c r="K10035" s="15" t="s">
        <v>31</v>
      </c>
      <c r="L10035" s="16" t="s">
        <v>61787</v>
      </c>
      <c r="M10035" s="14" t="s">
        <v>61889</v>
      </c>
      <c r="N10035" s="14" t="s">
        <v>61789</v>
      </c>
      <c r="O10035" s="16" t="s">
        <v>61790</v>
      </c>
      <c r="P10035" s="14" t="s">
        <v>61791</v>
      </c>
      <c r="Q10035" s="14" t="s">
        <v>31</v>
      </c>
      <c r="R10035" s="14" t="s">
        <v>24115</v>
      </c>
      <c r="S10035" s="16" t="s">
        <v>61792</v>
      </c>
      <c r="T10035" s="14" t="s">
        <v>66</v>
      </c>
      <c r="U10035" s="16" t="s">
        <v>61793</v>
      </c>
      <c r="V10035" s="14" t="s">
        <v>583</v>
      </c>
      <c r="W10035" s="14" t="s">
        <v>61785</v>
      </c>
      <c r="X10035" s="17" t="str">
        <f>HYPERLINK("https://my.pitchbook.com?p=293421-88P","View People Online")</f>
        <v>View People Online</v>
      </c>
    </row>
    <row r="10036">
      <c r="A10036" s="2" t="s">
        <v>61890</v>
      </c>
      <c r="B10036" s="2" t="s">
        <v>61891</v>
      </c>
      <c r="C10036" s="2" t="s">
        <v>167</v>
      </c>
      <c r="D10036" s="2" t="s">
        <v>5779</v>
      </c>
      <c r="E10036" s="2" t="s">
        <v>61785</v>
      </c>
      <c r="F10036" s="2" t="s">
        <v>3600</v>
      </c>
      <c r="G10036" s="2" t="s">
        <v>61892</v>
      </c>
      <c r="H10036" s="3" t="s">
        <v>31</v>
      </c>
      <c r="I10036" s="3">
        <v>1.0</v>
      </c>
      <c r="J10036" s="3">
        <v>1.0</v>
      </c>
      <c r="K10036" s="3" t="s">
        <v>31</v>
      </c>
      <c r="L10036" s="4" t="s">
        <v>61893</v>
      </c>
      <c r="M10036" s="2" t="s">
        <v>61894</v>
      </c>
      <c r="N10036" s="2" t="s">
        <v>61789</v>
      </c>
      <c r="O10036" s="4" t="s">
        <v>61790</v>
      </c>
      <c r="P10036" s="2" t="s">
        <v>61791</v>
      </c>
      <c r="Q10036" s="2" t="s">
        <v>31</v>
      </c>
      <c r="R10036" s="2" t="s">
        <v>24115</v>
      </c>
      <c r="S10036" s="4" t="s">
        <v>61792</v>
      </c>
      <c r="T10036" s="2" t="s">
        <v>66</v>
      </c>
      <c r="U10036" s="4" t="s">
        <v>61793</v>
      </c>
      <c r="V10036" s="2" t="s">
        <v>61895</v>
      </c>
      <c r="W10036" s="2" t="s">
        <v>61785</v>
      </c>
      <c r="X10036" s="5" t="str">
        <f>HYPERLINK("https://my.pitchbook.com?p=82663-48P","View People Online")</f>
        <v>View People Online</v>
      </c>
    </row>
    <row r="10037">
      <c r="A10037" s="14" t="s">
        <v>61896</v>
      </c>
      <c r="B10037" s="14" t="s">
        <v>61897</v>
      </c>
      <c r="C10037" s="14" t="s">
        <v>395</v>
      </c>
      <c r="D10037" s="14" t="s">
        <v>61898</v>
      </c>
      <c r="E10037" s="14" t="s">
        <v>61785</v>
      </c>
      <c r="F10037" s="14" t="s">
        <v>1283</v>
      </c>
      <c r="G10037" s="14" t="s">
        <v>61899</v>
      </c>
      <c r="H10037" s="15" t="s">
        <v>31</v>
      </c>
      <c r="I10037" s="15">
        <v>1.0</v>
      </c>
      <c r="J10037" s="15">
        <v>1.0</v>
      </c>
      <c r="K10037" s="15" t="s">
        <v>31</v>
      </c>
      <c r="L10037" s="16" t="s">
        <v>61787</v>
      </c>
      <c r="M10037" s="14" t="s">
        <v>61900</v>
      </c>
      <c r="N10037" s="14" t="s">
        <v>61789</v>
      </c>
      <c r="O10037" s="16" t="s">
        <v>61790</v>
      </c>
      <c r="P10037" s="14" t="s">
        <v>61791</v>
      </c>
      <c r="Q10037" s="14" t="s">
        <v>31</v>
      </c>
      <c r="R10037" s="14" t="s">
        <v>24115</v>
      </c>
      <c r="S10037" s="16" t="s">
        <v>61792</v>
      </c>
      <c r="T10037" s="14" t="s">
        <v>66</v>
      </c>
      <c r="U10037" s="16" t="s">
        <v>61793</v>
      </c>
      <c r="V10037" s="14" t="s">
        <v>61901</v>
      </c>
      <c r="W10037" s="14" t="s">
        <v>61785</v>
      </c>
      <c r="X10037" s="17" t="str">
        <f>HYPERLINK("https://my.pitchbook.com?p=314539-30P","View People Online")</f>
        <v>View People Online</v>
      </c>
    </row>
    <row r="10038">
      <c r="A10038" s="10" t="s">
        <v>61902</v>
      </c>
      <c r="B10038" s="10" t="s">
        <v>61903</v>
      </c>
      <c r="C10038" s="10" t="s">
        <v>61904</v>
      </c>
      <c r="D10038" s="10" t="s">
        <v>61905</v>
      </c>
      <c r="E10038" s="10" t="s">
        <v>61785</v>
      </c>
      <c r="F10038" s="10" t="s">
        <v>371</v>
      </c>
      <c r="G10038" s="10" t="s">
        <v>61906</v>
      </c>
      <c r="H10038" s="11" t="s">
        <v>31</v>
      </c>
      <c r="I10038" s="11">
        <v>1.0</v>
      </c>
      <c r="J10038" s="11">
        <v>1.0</v>
      </c>
      <c r="K10038" s="11" t="s">
        <v>31</v>
      </c>
      <c r="L10038" s="12" t="s">
        <v>61787</v>
      </c>
      <c r="M10038" s="10" t="s">
        <v>61907</v>
      </c>
      <c r="N10038" s="10" t="s">
        <v>61789</v>
      </c>
      <c r="O10038" s="12" t="s">
        <v>61790</v>
      </c>
      <c r="P10038" s="10" t="s">
        <v>61791</v>
      </c>
      <c r="Q10038" s="10" t="s">
        <v>31</v>
      </c>
      <c r="R10038" s="10" t="s">
        <v>24115</v>
      </c>
      <c r="S10038" s="12" t="s">
        <v>61792</v>
      </c>
      <c r="T10038" s="10" t="s">
        <v>66</v>
      </c>
      <c r="U10038" s="12" t="s">
        <v>61793</v>
      </c>
      <c r="V10038" s="10" t="s">
        <v>61908</v>
      </c>
      <c r="W10038" s="10" t="s">
        <v>61785</v>
      </c>
      <c r="X10038" s="13" t="str">
        <f>HYPERLINK("https://my.pitchbook.com?p=293133-70P","View People Online")</f>
        <v>View People Online</v>
      </c>
    </row>
    <row r="10039">
      <c r="A10039" s="14" t="s">
        <v>61909</v>
      </c>
      <c r="B10039" s="14" t="s">
        <v>61910</v>
      </c>
      <c r="C10039" s="14" t="s">
        <v>7372</v>
      </c>
      <c r="D10039" s="14" t="s">
        <v>995</v>
      </c>
      <c r="E10039" s="14" t="s">
        <v>61785</v>
      </c>
      <c r="F10039" s="14" t="s">
        <v>10389</v>
      </c>
      <c r="G10039" s="14" t="s">
        <v>61911</v>
      </c>
      <c r="H10039" s="15" t="s">
        <v>31</v>
      </c>
      <c r="I10039" s="15">
        <v>1.0</v>
      </c>
      <c r="J10039" s="15">
        <v>1.0</v>
      </c>
      <c r="K10039" s="15" t="s">
        <v>31</v>
      </c>
      <c r="L10039" s="16" t="s">
        <v>61787</v>
      </c>
      <c r="M10039" s="14" t="s">
        <v>31</v>
      </c>
      <c r="N10039" s="14" t="s">
        <v>61789</v>
      </c>
      <c r="O10039" s="16" t="s">
        <v>61790</v>
      </c>
      <c r="P10039" s="14" t="s">
        <v>61791</v>
      </c>
      <c r="Q10039" s="14" t="s">
        <v>31</v>
      </c>
      <c r="R10039" s="14" t="s">
        <v>24115</v>
      </c>
      <c r="S10039" s="16" t="s">
        <v>61792</v>
      </c>
      <c r="T10039" s="14" t="s">
        <v>66</v>
      </c>
      <c r="U10039" s="16" t="s">
        <v>61793</v>
      </c>
      <c r="V10039" s="14" t="s">
        <v>10389</v>
      </c>
      <c r="W10039" s="14" t="s">
        <v>61785</v>
      </c>
      <c r="X10039" s="17" t="str">
        <f>HYPERLINK("https://my.pitchbook.com?p=407458-18P","View People Online")</f>
        <v>View People Online</v>
      </c>
    </row>
    <row r="10040">
      <c r="A10040" s="10" t="s">
        <v>61912</v>
      </c>
      <c r="B10040" s="10" t="s">
        <v>61913</v>
      </c>
      <c r="C10040" s="10" t="s">
        <v>1559</v>
      </c>
      <c r="D10040" s="10" t="s">
        <v>61914</v>
      </c>
      <c r="E10040" s="10" t="s">
        <v>61915</v>
      </c>
      <c r="F10040" s="10" t="s">
        <v>548</v>
      </c>
      <c r="G10040" s="10" t="s">
        <v>61916</v>
      </c>
      <c r="H10040" s="11" t="s">
        <v>31</v>
      </c>
      <c r="I10040" s="11">
        <v>2.0</v>
      </c>
      <c r="J10040" s="11">
        <v>1.0</v>
      </c>
      <c r="K10040" s="11">
        <v>1.0</v>
      </c>
      <c r="L10040" s="12" t="s">
        <v>61917</v>
      </c>
      <c r="M10040" s="10" t="s">
        <v>61918</v>
      </c>
      <c r="N10040" s="10" t="s">
        <v>1181</v>
      </c>
      <c r="O10040" s="12" t="s">
        <v>1182</v>
      </c>
      <c r="P10040" s="10" t="s">
        <v>61919</v>
      </c>
      <c r="Q10040" s="10" t="s">
        <v>61920</v>
      </c>
      <c r="R10040" s="10" t="s">
        <v>1185</v>
      </c>
      <c r="S10040" s="12" t="s">
        <v>10902</v>
      </c>
      <c r="T10040" s="10" t="s">
        <v>66</v>
      </c>
      <c r="U10040" s="12" t="s">
        <v>31</v>
      </c>
      <c r="V10040" s="10" t="s">
        <v>61921</v>
      </c>
      <c r="W10040" s="10" t="s">
        <v>61915</v>
      </c>
      <c r="X10040" s="13" t="str">
        <f>HYPERLINK("https://my.pitchbook.com?p=422089-84P","View People Online")</f>
        <v>View People Online</v>
      </c>
    </row>
    <row r="10041">
      <c r="A10041" s="6" t="s">
        <v>61922</v>
      </c>
      <c r="B10041" s="6" t="s">
        <v>61923</v>
      </c>
      <c r="C10041" s="6" t="s">
        <v>58533</v>
      </c>
      <c r="D10041" s="6" t="s">
        <v>26843</v>
      </c>
      <c r="E10041" s="6" t="s">
        <v>61915</v>
      </c>
      <c r="F10041" s="6" t="s">
        <v>548</v>
      </c>
      <c r="G10041" s="6" t="s">
        <v>61924</v>
      </c>
      <c r="H10041" s="7">
        <v>2.0</v>
      </c>
      <c r="I10041" s="7">
        <v>5.0</v>
      </c>
      <c r="J10041" s="7">
        <v>2.0</v>
      </c>
      <c r="K10041" s="7">
        <v>2.0</v>
      </c>
      <c r="L10041" s="8" t="s">
        <v>61917</v>
      </c>
      <c r="M10041" s="6" t="s">
        <v>61925</v>
      </c>
      <c r="N10041" s="6" t="s">
        <v>1181</v>
      </c>
      <c r="O10041" s="8" t="s">
        <v>1182</v>
      </c>
      <c r="P10041" s="6" t="s">
        <v>61919</v>
      </c>
      <c r="Q10041" s="6" t="s">
        <v>61920</v>
      </c>
      <c r="R10041" s="6" t="s">
        <v>1185</v>
      </c>
      <c r="S10041" s="8" t="s">
        <v>10902</v>
      </c>
      <c r="T10041" s="6" t="s">
        <v>66</v>
      </c>
      <c r="U10041" s="8" t="s">
        <v>31</v>
      </c>
      <c r="V10041" s="6" t="s">
        <v>8067</v>
      </c>
      <c r="W10041" s="6" t="s">
        <v>61915</v>
      </c>
      <c r="X10041" s="9" t="str">
        <f>HYPERLINK("https://my.pitchbook.com?p=170861-41P","View People Online")</f>
        <v>View People Online</v>
      </c>
    </row>
    <row r="10042">
      <c r="A10042" s="2" t="s">
        <v>61926</v>
      </c>
      <c r="B10042" s="2" t="s">
        <v>61927</v>
      </c>
      <c r="C10042" s="2" t="s">
        <v>61928</v>
      </c>
      <c r="D10042" s="2" t="s">
        <v>61929</v>
      </c>
      <c r="E10042" s="2" t="s">
        <v>61915</v>
      </c>
      <c r="F10042" s="2" t="s">
        <v>152</v>
      </c>
      <c r="G10042" s="2" t="s">
        <v>61930</v>
      </c>
      <c r="H10042" s="3" t="s">
        <v>31</v>
      </c>
      <c r="I10042" s="3">
        <v>2.0</v>
      </c>
      <c r="J10042" s="3">
        <v>2.0</v>
      </c>
      <c r="K10042" s="3" t="s">
        <v>31</v>
      </c>
      <c r="L10042" s="4" t="s">
        <v>61917</v>
      </c>
      <c r="M10042" s="2" t="s">
        <v>31</v>
      </c>
      <c r="N10042" s="2" t="s">
        <v>1181</v>
      </c>
      <c r="O10042" s="4" t="s">
        <v>1182</v>
      </c>
      <c r="P10042" s="2" t="s">
        <v>61919</v>
      </c>
      <c r="Q10042" s="2" t="s">
        <v>61920</v>
      </c>
      <c r="R10042" s="2" t="s">
        <v>1185</v>
      </c>
      <c r="S10042" s="4" t="s">
        <v>10902</v>
      </c>
      <c r="T10042" s="2" t="s">
        <v>66</v>
      </c>
      <c r="U10042" s="4" t="s">
        <v>31</v>
      </c>
      <c r="V10042" s="2" t="s">
        <v>157</v>
      </c>
      <c r="W10042" s="2" t="s">
        <v>61915</v>
      </c>
      <c r="X10042" s="5" t="str">
        <f>HYPERLINK("https://my.pitchbook.com?p=139148-02P","View People Online")</f>
        <v>View People Online</v>
      </c>
    </row>
    <row r="10043">
      <c r="A10043" s="6" t="s">
        <v>61931</v>
      </c>
      <c r="B10043" s="6" t="s">
        <v>61932</v>
      </c>
      <c r="C10043" s="6" t="s">
        <v>350</v>
      </c>
      <c r="D10043" s="6" t="s">
        <v>61929</v>
      </c>
      <c r="E10043" s="6" t="s">
        <v>61915</v>
      </c>
      <c r="F10043" s="6" t="s">
        <v>54248</v>
      </c>
      <c r="G10043" s="6" t="s">
        <v>61933</v>
      </c>
      <c r="H10043" s="7">
        <v>1.0</v>
      </c>
      <c r="I10043" s="7">
        <v>4.0</v>
      </c>
      <c r="J10043" s="7">
        <v>3.0</v>
      </c>
      <c r="K10043" s="7">
        <v>1.0</v>
      </c>
      <c r="L10043" s="8" t="s">
        <v>61917</v>
      </c>
      <c r="M10043" s="6" t="s">
        <v>61934</v>
      </c>
      <c r="N10043" s="6" t="s">
        <v>1181</v>
      </c>
      <c r="O10043" s="8" t="s">
        <v>1182</v>
      </c>
      <c r="P10043" s="6" t="s">
        <v>61919</v>
      </c>
      <c r="Q10043" s="6" t="s">
        <v>61920</v>
      </c>
      <c r="R10043" s="6" t="s">
        <v>1185</v>
      </c>
      <c r="S10043" s="8" t="s">
        <v>10902</v>
      </c>
      <c r="T10043" s="6" t="s">
        <v>66</v>
      </c>
      <c r="U10043" s="8" t="s">
        <v>61935</v>
      </c>
      <c r="V10043" s="6" t="s">
        <v>61936</v>
      </c>
      <c r="W10043" s="6" t="s">
        <v>61937</v>
      </c>
      <c r="X10043" s="9" t="str">
        <f>HYPERLINK("https://my.pitchbook.com?p=52246-18P","View People Online")</f>
        <v>View People Online</v>
      </c>
    </row>
    <row r="10044">
      <c r="A10044" s="10" t="s">
        <v>61938</v>
      </c>
      <c r="B10044" s="10" t="s">
        <v>61939</v>
      </c>
      <c r="C10044" s="10" t="s">
        <v>1502</v>
      </c>
      <c r="D10044" s="10" t="s">
        <v>61940</v>
      </c>
      <c r="E10044" s="10" t="s">
        <v>61915</v>
      </c>
      <c r="F10044" s="10" t="s">
        <v>548</v>
      </c>
      <c r="G10044" s="10" t="s">
        <v>61941</v>
      </c>
      <c r="H10044" s="11">
        <v>1.0</v>
      </c>
      <c r="I10044" s="11">
        <v>4.0</v>
      </c>
      <c r="J10044" s="11">
        <v>1.0</v>
      </c>
      <c r="K10044" s="11">
        <v>2.0</v>
      </c>
      <c r="L10044" s="12" t="s">
        <v>61917</v>
      </c>
      <c r="M10044" s="10" t="s">
        <v>61942</v>
      </c>
      <c r="N10044" s="10" t="s">
        <v>1181</v>
      </c>
      <c r="O10044" s="12" t="s">
        <v>1182</v>
      </c>
      <c r="P10044" s="10" t="s">
        <v>61919</v>
      </c>
      <c r="Q10044" s="10" t="s">
        <v>61920</v>
      </c>
      <c r="R10044" s="10" t="s">
        <v>1185</v>
      </c>
      <c r="S10044" s="12" t="s">
        <v>10902</v>
      </c>
      <c r="T10044" s="10" t="s">
        <v>66</v>
      </c>
      <c r="U10044" s="12" t="s">
        <v>31</v>
      </c>
      <c r="V10044" s="10" t="s">
        <v>548</v>
      </c>
      <c r="W10044" s="10" t="s">
        <v>61915</v>
      </c>
      <c r="X10044" s="13" t="str">
        <f>HYPERLINK("https://my.pitchbook.com?p=115915-60P","View People Online")</f>
        <v>View People Online</v>
      </c>
    </row>
    <row r="10045">
      <c r="A10045" s="6" t="s">
        <v>61943</v>
      </c>
      <c r="B10045" s="6" t="s">
        <v>61944</v>
      </c>
      <c r="C10045" s="6" t="s">
        <v>61945</v>
      </c>
      <c r="D10045" s="6" t="s">
        <v>61946</v>
      </c>
      <c r="E10045" s="6" t="s">
        <v>61915</v>
      </c>
      <c r="F10045" s="6" t="s">
        <v>25008</v>
      </c>
      <c r="G10045" s="6" t="s">
        <v>61947</v>
      </c>
      <c r="H10045" s="7" t="s">
        <v>31</v>
      </c>
      <c r="I10045" s="7">
        <v>1.0</v>
      </c>
      <c r="J10045" s="7">
        <v>1.0</v>
      </c>
      <c r="K10045" s="7" t="s">
        <v>31</v>
      </c>
      <c r="L10045" s="8" t="s">
        <v>61917</v>
      </c>
      <c r="M10045" s="6" t="s">
        <v>61948</v>
      </c>
      <c r="N10045" s="6" t="s">
        <v>1181</v>
      </c>
      <c r="O10045" s="8" t="s">
        <v>1182</v>
      </c>
      <c r="P10045" s="6" t="s">
        <v>61919</v>
      </c>
      <c r="Q10045" s="6" t="s">
        <v>61920</v>
      </c>
      <c r="R10045" s="6" t="s">
        <v>1185</v>
      </c>
      <c r="S10045" s="8" t="s">
        <v>10902</v>
      </c>
      <c r="T10045" s="6" t="s">
        <v>66</v>
      </c>
      <c r="U10045" s="8" t="s">
        <v>31</v>
      </c>
      <c r="V10045" s="6" t="s">
        <v>43955</v>
      </c>
      <c r="W10045" s="6" t="s">
        <v>61915</v>
      </c>
      <c r="X10045" s="9" t="str">
        <f>HYPERLINK("https://my.pitchbook.com?p=52246-54P","View People Online")</f>
        <v>View People Online</v>
      </c>
    </row>
    <row r="10046">
      <c r="A10046" s="10" t="s">
        <v>61949</v>
      </c>
      <c r="B10046" s="10" t="s">
        <v>61950</v>
      </c>
      <c r="C10046" s="10" t="s">
        <v>61951</v>
      </c>
      <c r="D10046" s="10" t="s">
        <v>61952</v>
      </c>
      <c r="E10046" s="10" t="s">
        <v>61953</v>
      </c>
      <c r="F10046" s="10" t="s">
        <v>713</v>
      </c>
      <c r="G10046" s="10" t="s">
        <v>61954</v>
      </c>
      <c r="H10046" s="11" t="s">
        <v>31</v>
      </c>
      <c r="I10046" s="11">
        <v>1.0</v>
      </c>
      <c r="J10046" s="11">
        <v>1.0</v>
      </c>
      <c r="K10046" s="11" t="s">
        <v>31</v>
      </c>
      <c r="L10046" s="12" t="s">
        <v>61955</v>
      </c>
      <c r="M10046" s="10" t="s">
        <v>61956</v>
      </c>
      <c r="N10046" s="10" t="s">
        <v>1781</v>
      </c>
      <c r="O10046" s="12" t="s">
        <v>1782</v>
      </c>
      <c r="P10046" s="10" t="s">
        <v>61957</v>
      </c>
      <c r="Q10046" s="10" t="s">
        <v>31</v>
      </c>
      <c r="R10046" s="10" t="s">
        <v>1785</v>
      </c>
      <c r="S10046" s="12" t="s">
        <v>61958</v>
      </c>
      <c r="T10046" s="10" t="s">
        <v>1019</v>
      </c>
      <c r="U10046" s="12" t="s">
        <v>31</v>
      </c>
      <c r="V10046" s="10" t="s">
        <v>713</v>
      </c>
      <c r="W10046" s="10" t="s">
        <v>61953</v>
      </c>
      <c r="X10046" s="13" t="str">
        <f>HYPERLINK("https://my.pitchbook.com?p=325793-17P","View People Online")</f>
        <v>View People Online</v>
      </c>
    </row>
    <row r="10047">
      <c r="A10047" s="6" t="s">
        <v>61959</v>
      </c>
      <c r="B10047" s="6" t="s">
        <v>61960</v>
      </c>
      <c r="C10047" s="6" t="s">
        <v>1929</v>
      </c>
      <c r="D10047" s="6" t="s">
        <v>4550</v>
      </c>
      <c r="E10047" s="6" t="s">
        <v>61961</v>
      </c>
      <c r="F10047" s="6" t="s">
        <v>41270</v>
      </c>
      <c r="G10047" s="6" t="s">
        <v>61962</v>
      </c>
      <c r="H10047" s="7">
        <v>2.0</v>
      </c>
      <c r="I10047" s="7">
        <v>10.0</v>
      </c>
      <c r="J10047" s="7">
        <v>2.0</v>
      </c>
      <c r="K10047" s="7">
        <v>3.0</v>
      </c>
      <c r="L10047" s="8" t="s">
        <v>31</v>
      </c>
      <c r="M10047" s="6" t="s">
        <v>61963</v>
      </c>
      <c r="N10047" s="6" t="s">
        <v>75</v>
      </c>
      <c r="O10047" s="8" t="s">
        <v>76</v>
      </c>
      <c r="P10047" s="6" t="s">
        <v>61964</v>
      </c>
      <c r="Q10047" s="6" t="s">
        <v>61965</v>
      </c>
      <c r="R10047" s="6" t="s">
        <v>75</v>
      </c>
      <c r="S10047" s="8" t="s">
        <v>33985</v>
      </c>
      <c r="T10047" s="6" t="s">
        <v>66</v>
      </c>
      <c r="U10047" s="8" t="s">
        <v>31</v>
      </c>
      <c r="V10047" s="6" t="s">
        <v>61966</v>
      </c>
      <c r="W10047" s="6" t="s">
        <v>61961</v>
      </c>
      <c r="X10047" s="9" t="str">
        <f>HYPERLINK("https://my.pitchbook.com?p=203670-82P","View People Online")</f>
        <v>View People Online</v>
      </c>
    </row>
    <row r="10048">
      <c r="A10048" s="10" t="s">
        <v>61967</v>
      </c>
      <c r="B10048" s="10" t="s">
        <v>61968</v>
      </c>
      <c r="C10048" s="10" t="s">
        <v>5819</v>
      </c>
      <c r="D10048" s="10" t="s">
        <v>61969</v>
      </c>
      <c r="E10048" s="10" t="s">
        <v>61961</v>
      </c>
      <c r="F10048" s="10" t="s">
        <v>17787</v>
      </c>
      <c r="G10048" s="10" t="s">
        <v>61970</v>
      </c>
      <c r="H10048" s="11" t="s">
        <v>31</v>
      </c>
      <c r="I10048" s="11">
        <v>6.0</v>
      </c>
      <c r="J10048" s="11">
        <v>2.0</v>
      </c>
      <c r="K10048" s="11">
        <v>1.0</v>
      </c>
      <c r="L10048" s="12" t="s">
        <v>31</v>
      </c>
      <c r="M10048" s="10" t="s">
        <v>61971</v>
      </c>
      <c r="N10048" s="10" t="s">
        <v>75</v>
      </c>
      <c r="O10048" s="12" t="s">
        <v>76</v>
      </c>
      <c r="P10048" s="10" t="s">
        <v>61964</v>
      </c>
      <c r="Q10048" s="10" t="s">
        <v>61965</v>
      </c>
      <c r="R10048" s="10" t="s">
        <v>75</v>
      </c>
      <c r="S10048" s="12" t="s">
        <v>33985</v>
      </c>
      <c r="T10048" s="10" t="s">
        <v>66</v>
      </c>
      <c r="U10048" s="12" t="s">
        <v>31</v>
      </c>
      <c r="V10048" s="10" t="s">
        <v>17787</v>
      </c>
      <c r="W10048" s="10" t="s">
        <v>61961</v>
      </c>
      <c r="X10048" s="13" t="str">
        <f>HYPERLINK("https://my.pitchbook.com?p=203671-27P","View People Online")</f>
        <v>View People Online</v>
      </c>
    </row>
    <row r="10049">
      <c r="A10049" s="14" t="s">
        <v>61972</v>
      </c>
      <c r="B10049" s="14" t="s">
        <v>61973</v>
      </c>
      <c r="C10049" s="14" t="s">
        <v>934</v>
      </c>
      <c r="D10049" s="14" t="s">
        <v>61974</v>
      </c>
      <c r="E10049" s="14" t="s">
        <v>61961</v>
      </c>
      <c r="F10049" s="14" t="s">
        <v>37635</v>
      </c>
      <c r="G10049" s="14" t="s">
        <v>61975</v>
      </c>
      <c r="H10049" s="15">
        <v>1.0</v>
      </c>
      <c r="I10049" s="15">
        <v>2.0</v>
      </c>
      <c r="J10049" s="15">
        <v>2.0</v>
      </c>
      <c r="K10049" s="15" t="s">
        <v>31</v>
      </c>
      <c r="L10049" s="16" t="s">
        <v>61976</v>
      </c>
      <c r="M10049" s="14" t="s">
        <v>61977</v>
      </c>
      <c r="N10049" s="14" t="s">
        <v>61978</v>
      </c>
      <c r="O10049" s="16" t="s">
        <v>61979</v>
      </c>
      <c r="P10049" s="14" t="s">
        <v>61980</v>
      </c>
      <c r="Q10049" s="14" t="s">
        <v>31</v>
      </c>
      <c r="R10049" s="14" t="s">
        <v>396</v>
      </c>
      <c r="S10049" s="16" t="s">
        <v>61981</v>
      </c>
      <c r="T10049" s="14" t="s">
        <v>66</v>
      </c>
      <c r="U10049" s="16" t="s">
        <v>31</v>
      </c>
      <c r="V10049" s="14" t="s">
        <v>5518</v>
      </c>
      <c r="W10049" s="14" t="s">
        <v>61982</v>
      </c>
      <c r="X10049" s="17" t="str">
        <f>HYPERLINK("https://my.pitchbook.com?p=292427-74P","View People Online")</f>
        <v>View People Online</v>
      </c>
    </row>
    <row r="10050">
      <c r="A10050" s="2" t="s">
        <v>61983</v>
      </c>
      <c r="B10050" s="2" t="s">
        <v>61984</v>
      </c>
      <c r="C10050" s="2" t="s">
        <v>536</v>
      </c>
      <c r="D10050" s="2" t="s">
        <v>823</v>
      </c>
      <c r="E10050" s="2" t="s">
        <v>61961</v>
      </c>
      <c r="F10050" s="2" t="s">
        <v>81</v>
      </c>
      <c r="G10050" s="2" t="s">
        <v>61985</v>
      </c>
      <c r="H10050" s="3" t="s">
        <v>31</v>
      </c>
      <c r="I10050" s="3">
        <v>1.0</v>
      </c>
      <c r="J10050" s="3" t="s">
        <v>31</v>
      </c>
      <c r="K10050" s="3" t="s">
        <v>31</v>
      </c>
      <c r="L10050" s="4" t="s">
        <v>31</v>
      </c>
      <c r="M10050" s="2" t="s">
        <v>31</v>
      </c>
      <c r="N10050" s="2" t="s">
        <v>75</v>
      </c>
      <c r="O10050" s="4" t="s">
        <v>76</v>
      </c>
      <c r="P10050" s="2" t="s">
        <v>61964</v>
      </c>
      <c r="Q10050" s="2" t="s">
        <v>61965</v>
      </c>
      <c r="R10050" s="2" t="s">
        <v>75</v>
      </c>
      <c r="S10050" s="4" t="s">
        <v>33985</v>
      </c>
      <c r="T10050" s="2" t="s">
        <v>66</v>
      </c>
      <c r="U10050" s="4" t="s">
        <v>31</v>
      </c>
      <c r="V10050" s="2" t="s">
        <v>61986</v>
      </c>
      <c r="W10050" s="2" t="s">
        <v>61961</v>
      </c>
      <c r="X10050" s="5" t="str">
        <f>HYPERLINK("https://my.pitchbook.com?p=203880-16P","View People Online")</f>
        <v>View People Online</v>
      </c>
    </row>
    <row r="10051">
      <c r="A10051" s="6" t="s">
        <v>61987</v>
      </c>
      <c r="B10051" s="6" t="s">
        <v>61988</v>
      </c>
      <c r="C10051" s="6" t="s">
        <v>1410</v>
      </c>
      <c r="D10051" s="6" t="s">
        <v>9293</v>
      </c>
      <c r="E10051" s="6" t="s">
        <v>61989</v>
      </c>
      <c r="F10051" s="6" t="s">
        <v>2835</v>
      </c>
      <c r="G10051" s="6" t="s">
        <v>61990</v>
      </c>
      <c r="H10051" s="7" t="s">
        <v>31</v>
      </c>
      <c r="I10051" s="7">
        <v>1.0</v>
      </c>
      <c r="J10051" s="7">
        <v>1.0</v>
      </c>
      <c r="K10051" s="7" t="s">
        <v>31</v>
      </c>
      <c r="L10051" s="8" t="s">
        <v>61991</v>
      </c>
      <c r="M10051" s="6" t="s">
        <v>31</v>
      </c>
      <c r="N10051" s="6" t="s">
        <v>8049</v>
      </c>
      <c r="O10051" s="8" t="s">
        <v>61992</v>
      </c>
      <c r="P10051" s="6" t="s">
        <v>61993</v>
      </c>
      <c r="Q10051" s="6" t="s">
        <v>61994</v>
      </c>
      <c r="R10051" s="6" t="s">
        <v>3960</v>
      </c>
      <c r="S10051" s="8" t="s">
        <v>61995</v>
      </c>
      <c r="T10051" s="6" t="s">
        <v>66</v>
      </c>
      <c r="U10051" s="8" t="s">
        <v>31</v>
      </c>
      <c r="V10051" s="6" t="s">
        <v>61996</v>
      </c>
      <c r="W10051" s="6" t="s">
        <v>61989</v>
      </c>
      <c r="X10051" s="9" t="str">
        <f>HYPERLINK("https://my.pitchbook.com?p=431027-83P","View People Online")</f>
        <v>View People Online</v>
      </c>
    </row>
    <row r="10052">
      <c r="A10052" s="10" t="s">
        <v>61997</v>
      </c>
      <c r="B10052" s="10" t="s">
        <v>61998</v>
      </c>
      <c r="C10052" s="10" t="s">
        <v>4731</v>
      </c>
      <c r="D10052" s="10" t="s">
        <v>61999</v>
      </c>
      <c r="E10052" s="10" t="s">
        <v>61989</v>
      </c>
      <c r="F10052" s="10" t="s">
        <v>1459</v>
      </c>
      <c r="G10052" s="10" t="s">
        <v>62000</v>
      </c>
      <c r="H10052" s="11" t="s">
        <v>31</v>
      </c>
      <c r="I10052" s="11">
        <v>1.0</v>
      </c>
      <c r="J10052" s="11">
        <v>1.0</v>
      </c>
      <c r="K10052" s="11" t="s">
        <v>31</v>
      </c>
      <c r="L10052" s="12" t="s">
        <v>61991</v>
      </c>
      <c r="M10052" s="10" t="s">
        <v>62001</v>
      </c>
      <c r="N10052" s="10" t="s">
        <v>8049</v>
      </c>
      <c r="O10052" s="12" t="s">
        <v>61992</v>
      </c>
      <c r="P10052" s="10" t="s">
        <v>61993</v>
      </c>
      <c r="Q10052" s="10" t="s">
        <v>61994</v>
      </c>
      <c r="R10052" s="10" t="s">
        <v>3960</v>
      </c>
      <c r="S10052" s="12" t="s">
        <v>61995</v>
      </c>
      <c r="T10052" s="10" t="s">
        <v>66</v>
      </c>
      <c r="U10052" s="12" t="s">
        <v>31</v>
      </c>
      <c r="V10052" s="10" t="s">
        <v>62002</v>
      </c>
      <c r="W10052" s="10" t="s">
        <v>61989</v>
      </c>
      <c r="X10052" s="13" t="str">
        <f>HYPERLINK("https://my.pitchbook.com?p=376551-10P","View People Online")</f>
        <v>View People Online</v>
      </c>
    </row>
    <row r="10053">
      <c r="A10053" s="14" t="s">
        <v>62003</v>
      </c>
      <c r="B10053" s="14" t="s">
        <v>62004</v>
      </c>
      <c r="C10053" s="14" t="s">
        <v>654</v>
      </c>
      <c r="D10053" s="14" t="s">
        <v>62005</v>
      </c>
      <c r="E10053" s="14" t="s">
        <v>61989</v>
      </c>
      <c r="F10053" s="14" t="s">
        <v>221</v>
      </c>
      <c r="G10053" s="14" t="s">
        <v>62006</v>
      </c>
      <c r="H10053" s="15" t="s">
        <v>31</v>
      </c>
      <c r="I10053" s="15">
        <v>1.0</v>
      </c>
      <c r="J10053" s="15">
        <v>1.0</v>
      </c>
      <c r="K10053" s="15" t="s">
        <v>31</v>
      </c>
      <c r="L10053" s="16" t="s">
        <v>62007</v>
      </c>
      <c r="M10053" s="14" t="s">
        <v>62008</v>
      </c>
      <c r="N10053" s="14" t="s">
        <v>8049</v>
      </c>
      <c r="O10053" s="16" t="s">
        <v>61992</v>
      </c>
      <c r="P10053" s="14" t="s">
        <v>61993</v>
      </c>
      <c r="Q10053" s="14" t="s">
        <v>61994</v>
      </c>
      <c r="R10053" s="14" t="s">
        <v>3960</v>
      </c>
      <c r="S10053" s="16" t="s">
        <v>61995</v>
      </c>
      <c r="T10053" s="14" t="s">
        <v>66</v>
      </c>
      <c r="U10053" s="16" t="s">
        <v>31</v>
      </c>
      <c r="V10053" s="14" t="s">
        <v>62009</v>
      </c>
      <c r="W10053" s="14" t="s">
        <v>61989</v>
      </c>
      <c r="X10053" s="17" t="str">
        <f>HYPERLINK("https://my.pitchbook.com?p=227652-13P","View People Online")</f>
        <v>View People Online</v>
      </c>
    </row>
    <row r="10054">
      <c r="A10054" s="10" t="s">
        <v>62010</v>
      </c>
      <c r="B10054" s="10" t="s">
        <v>62011</v>
      </c>
      <c r="C10054" s="10" t="s">
        <v>14518</v>
      </c>
      <c r="D10054" s="10" t="s">
        <v>62012</v>
      </c>
      <c r="E10054" s="10" t="s">
        <v>61989</v>
      </c>
      <c r="F10054" s="10" t="s">
        <v>270</v>
      </c>
      <c r="G10054" s="10" t="s">
        <v>62013</v>
      </c>
      <c r="H10054" s="11" t="s">
        <v>31</v>
      </c>
      <c r="I10054" s="11">
        <v>1.0</v>
      </c>
      <c r="J10054" s="11">
        <v>1.0</v>
      </c>
      <c r="K10054" s="11" t="s">
        <v>31</v>
      </c>
      <c r="L10054" s="12" t="s">
        <v>62014</v>
      </c>
      <c r="M10054" s="10" t="s">
        <v>62015</v>
      </c>
      <c r="N10054" s="10" t="s">
        <v>8049</v>
      </c>
      <c r="O10054" s="12" t="s">
        <v>61992</v>
      </c>
      <c r="P10054" s="10" t="s">
        <v>61993</v>
      </c>
      <c r="Q10054" s="10" t="s">
        <v>61994</v>
      </c>
      <c r="R10054" s="10" t="s">
        <v>3960</v>
      </c>
      <c r="S10054" s="12" t="s">
        <v>61995</v>
      </c>
      <c r="T10054" s="10" t="s">
        <v>66</v>
      </c>
      <c r="U10054" s="12" t="s">
        <v>31</v>
      </c>
      <c r="V10054" s="10" t="s">
        <v>270</v>
      </c>
      <c r="W10054" s="10" t="s">
        <v>61989</v>
      </c>
      <c r="X10054" s="13" t="str">
        <f>HYPERLINK("https://my.pitchbook.com?p=336719-26P","View People Online")</f>
        <v>View People Online</v>
      </c>
    </row>
    <row r="10055">
      <c r="A10055" s="14" t="s">
        <v>62016</v>
      </c>
      <c r="B10055" s="14" t="s">
        <v>62017</v>
      </c>
      <c r="C10055" s="14" t="s">
        <v>1449</v>
      </c>
      <c r="D10055" s="14" t="s">
        <v>62018</v>
      </c>
      <c r="E10055" s="14" t="s">
        <v>61989</v>
      </c>
      <c r="F10055" s="14" t="s">
        <v>4868</v>
      </c>
      <c r="G10055" s="14" t="s">
        <v>62019</v>
      </c>
      <c r="H10055" s="15" t="s">
        <v>31</v>
      </c>
      <c r="I10055" s="15">
        <v>1.0</v>
      </c>
      <c r="J10055" s="15">
        <v>1.0</v>
      </c>
      <c r="K10055" s="15" t="s">
        <v>31</v>
      </c>
      <c r="L10055" s="16" t="s">
        <v>62020</v>
      </c>
      <c r="M10055" s="14" t="s">
        <v>62021</v>
      </c>
      <c r="N10055" s="14" t="s">
        <v>8049</v>
      </c>
      <c r="O10055" s="16" t="s">
        <v>61992</v>
      </c>
      <c r="P10055" s="14" t="s">
        <v>61993</v>
      </c>
      <c r="Q10055" s="14" t="s">
        <v>61994</v>
      </c>
      <c r="R10055" s="14" t="s">
        <v>3960</v>
      </c>
      <c r="S10055" s="16" t="s">
        <v>61995</v>
      </c>
      <c r="T10055" s="14" t="s">
        <v>66</v>
      </c>
      <c r="U10055" s="16" t="s">
        <v>31</v>
      </c>
      <c r="V10055" s="14" t="s">
        <v>62022</v>
      </c>
      <c r="W10055" s="14" t="s">
        <v>61989</v>
      </c>
      <c r="X10055" s="17" t="str">
        <f>HYPERLINK("https://my.pitchbook.com?p=387536-05P","View People Online")</f>
        <v>View People Online</v>
      </c>
    </row>
    <row r="10056">
      <c r="A10056" s="10" t="s">
        <v>62023</v>
      </c>
      <c r="B10056" s="10" t="s">
        <v>62024</v>
      </c>
      <c r="C10056" s="10" t="s">
        <v>4404</v>
      </c>
      <c r="D10056" s="10" t="s">
        <v>62025</v>
      </c>
      <c r="E10056" s="10" t="s">
        <v>61989</v>
      </c>
      <c r="F10056" s="10" t="s">
        <v>62026</v>
      </c>
      <c r="G10056" s="10" t="s">
        <v>62027</v>
      </c>
      <c r="H10056" s="11">
        <v>1.0</v>
      </c>
      <c r="I10056" s="11">
        <v>1.0</v>
      </c>
      <c r="J10056" s="11">
        <v>1.0</v>
      </c>
      <c r="K10056" s="11" t="s">
        <v>31</v>
      </c>
      <c r="L10056" s="12" t="s">
        <v>62028</v>
      </c>
      <c r="M10056" s="10" t="s">
        <v>62029</v>
      </c>
      <c r="N10056" s="10" t="s">
        <v>8049</v>
      </c>
      <c r="O10056" s="12" t="s">
        <v>61992</v>
      </c>
      <c r="P10056" s="10" t="s">
        <v>61993</v>
      </c>
      <c r="Q10056" s="10" t="s">
        <v>61994</v>
      </c>
      <c r="R10056" s="10" t="s">
        <v>3960</v>
      </c>
      <c r="S10056" s="12" t="s">
        <v>61995</v>
      </c>
      <c r="T10056" s="10" t="s">
        <v>66</v>
      </c>
      <c r="U10056" s="12" t="s">
        <v>31</v>
      </c>
      <c r="V10056" s="10" t="s">
        <v>62030</v>
      </c>
      <c r="W10056" s="10" t="s">
        <v>61989</v>
      </c>
      <c r="X10056" s="13" t="str">
        <f>HYPERLINK("https://my.pitchbook.com?p=387627-85P","View People Online")</f>
        <v>View People Online</v>
      </c>
    </row>
    <row r="10057">
      <c r="A10057" s="14" t="s">
        <v>62031</v>
      </c>
      <c r="B10057" s="14" t="s">
        <v>62032</v>
      </c>
      <c r="C10057" s="14" t="s">
        <v>2221</v>
      </c>
      <c r="D10057" s="14" t="s">
        <v>62033</v>
      </c>
      <c r="E10057" s="14" t="s">
        <v>61989</v>
      </c>
      <c r="F10057" s="14" t="s">
        <v>312</v>
      </c>
      <c r="G10057" s="14" t="s">
        <v>62034</v>
      </c>
      <c r="H10057" s="15" t="s">
        <v>31</v>
      </c>
      <c r="I10057" s="15">
        <v>1.0</v>
      </c>
      <c r="J10057" s="15">
        <v>1.0</v>
      </c>
      <c r="K10057" s="15" t="s">
        <v>31</v>
      </c>
      <c r="L10057" s="16" t="s">
        <v>62035</v>
      </c>
      <c r="M10057" s="14" t="s">
        <v>62036</v>
      </c>
      <c r="N10057" s="14" t="s">
        <v>8049</v>
      </c>
      <c r="O10057" s="16" t="s">
        <v>61992</v>
      </c>
      <c r="P10057" s="14" t="s">
        <v>61993</v>
      </c>
      <c r="Q10057" s="14" t="s">
        <v>61994</v>
      </c>
      <c r="R10057" s="14" t="s">
        <v>3960</v>
      </c>
      <c r="S10057" s="16" t="s">
        <v>61995</v>
      </c>
      <c r="T10057" s="14" t="s">
        <v>66</v>
      </c>
      <c r="U10057" s="16" t="s">
        <v>31</v>
      </c>
      <c r="V10057" s="14" t="s">
        <v>62037</v>
      </c>
      <c r="W10057" s="14" t="s">
        <v>61989</v>
      </c>
      <c r="X10057" s="17" t="str">
        <f>HYPERLINK("https://my.pitchbook.com?p=321382-99P","View People Online")</f>
        <v>View People Online</v>
      </c>
    </row>
    <row r="10058">
      <c r="A10058" s="2" t="s">
        <v>62038</v>
      </c>
      <c r="B10058" s="2" t="s">
        <v>62039</v>
      </c>
      <c r="C10058" s="2" t="s">
        <v>11929</v>
      </c>
      <c r="D10058" s="2" t="s">
        <v>62040</v>
      </c>
      <c r="E10058" s="2" t="s">
        <v>61989</v>
      </c>
      <c r="F10058" s="2" t="s">
        <v>62041</v>
      </c>
      <c r="G10058" s="2" t="s">
        <v>62042</v>
      </c>
      <c r="H10058" s="3" t="s">
        <v>31</v>
      </c>
      <c r="I10058" s="3">
        <v>1.0</v>
      </c>
      <c r="J10058" s="3">
        <v>1.0</v>
      </c>
      <c r="K10058" s="3" t="s">
        <v>31</v>
      </c>
      <c r="L10058" s="4" t="s">
        <v>62043</v>
      </c>
      <c r="M10058" s="2" t="s">
        <v>62044</v>
      </c>
      <c r="N10058" s="2" t="s">
        <v>8049</v>
      </c>
      <c r="O10058" s="4" t="s">
        <v>61992</v>
      </c>
      <c r="P10058" s="2" t="s">
        <v>61993</v>
      </c>
      <c r="Q10058" s="2" t="s">
        <v>61994</v>
      </c>
      <c r="R10058" s="2" t="s">
        <v>3960</v>
      </c>
      <c r="S10058" s="4" t="s">
        <v>61995</v>
      </c>
      <c r="T10058" s="2" t="s">
        <v>66</v>
      </c>
      <c r="U10058" s="4" t="s">
        <v>31</v>
      </c>
      <c r="V10058" s="2" t="s">
        <v>62045</v>
      </c>
      <c r="W10058" s="2" t="s">
        <v>61989</v>
      </c>
      <c r="X10058" s="5" t="str">
        <f>HYPERLINK("https://my.pitchbook.com?p=81448-39P","View People Online")</f>
        <v>View People Online</v>
      </c>
    </row>
    <row r="10059">
      <c r="A10059" s="14" t="s">
        <v>62046</v>
      </c>
      <c r="B10059" s="14" t="s">
        <v>62047</v>
      </c>
      <c r="C10059" s="14" t="s">
        <v>62048</v>
      </c>
      <c r="D10059" s="14" t="s">
        <v>62049</v>
      </c>
      <c r="E10059" s="14" t="s">
        <v>61989</v>
      </c>
      <c r="F10059" s="14" t="s">
        <v>1283</v>
      </c>
      <c r="G10059" s="14" t="s">
        <v>62050</v>
      </c>
      <c r="H10059" s="15" t="s">
        <v>31</v>
      </c>
      <c r="I10059" s="15">
        <v>1.0</v>
      </c>
      <c r="J10059" s="15">
        <v>1.0</v>
      </c>
      <c r="K10059" s="15" t="s">
        <v>31</v>
      </c>
      <c r="L10059" s="16" t="s">
        <v>62051</v>
      </c>
      <c r="M10059" s="14" t="s">
        <v>62052</v>
      </c>
      <c r="N10059" s="14" t="s">
        <v>8049</v>
      </c>
      <c r="O10059" s="16" t="s">
        <v>61992</v>
      </c>
      <c r="P10059" s="14" t="s">
        <v>61993</v>
      </c>
      <c r="Q10059" s="14" t="s">
        <v>61994</v>
      </c>
      <c r="R10059" s="14" t="s">
        <v>3960</v>
      </c>
      <c r="S10059" s="16" t="s">
        <v>61995</v>
      </c>
      <c r="T10059" s="14" t="s">
        <v>66</v>
      </c>
      <c r="U10059" s="16" t="s">
        <v>31</v>
      </c>
      <c r="V10059" s="14" t="s">
        <v>62053</v>
      </c>
      <c r="W10059" s="14" t="s">
        <v>61989</v>
      </c>
      <c r="X10059" s="17" t="str">
        <f>HYPERLINK("https://my.pitchbook.com?p=140128-03P","View People Online")</f>
        <v>View People Online</v>
      </c>
    </row>
    <row r="10060">
      <c r="A10060" s="2" t="s">
        <v>62054</v>
      </c>
      <c r="B10060" s="2" t="s">
        <v>62055</v>
      </c>
      <c r="C10060" s="2" t="s">
        <v>25331</v>
      </c>
      <c r="D10060" s="2" t="s">
        <v>62056</v>
      </c>
      <c r="E10060" s="2" t="s">
        <v>61989</v>
      </c>
      <c r="F10060" s="2" t="s">
        <v>3710</v>
      </c>
      <c r="G10060" s="2" t="s">
        <v>62057</v>
      </c>
      <c r="H10060" s="3" t="s">
        <v>31</v>
      </c>
      <c r="I10060" s="3">
        <v>1.0</v>
      </c>
      <c r="J10060" s="3">
        <v>1.0</v>
      </c>
      <c r="K10060" s="3" t="s">
        <v>31</v>
      </c>
      <c r="L10060" s="4" t="s">
        <v>62058</v>
      </c>
      <c r="M10060" s="2" t="s">
        <v>62059</v>
      </c>
      <c r="N10060" s="2" t="s">
        <v>8049</v>
      </c>
      <c r="O10060" s="4" t="s">
        <v>61992</v>
      </c>
      <c r="P10060" s="2" t="s">
        <v>61993</v>
      </c>
      <c r="Q10060" s="2" t="s">
        <v>61994</v>
      </c>
      <c r="R10060" s="2" t="s">
        <v>3960</v>
      </c>
      <c r="S10060" s="4" t="s">
        <v>61995</v>
      </c>
      <c r="T10060" s="2" t="s">
        <v>66</v>
      </c>
      <c r="U10060" s="4" t="s">
        <v>31</v>
      </c>
      <c r="V10060" s="2" t="s">
        <v>3710</v>
      </c>
      <c r="W10060" s="2" t="s">
        <v>61989</v>
      </c>
      <c r="X10060" s="5" t="str">
        <f>HYPERLINK("https://my.pitchbook.com?p=81449-20P","View People Online")</f>
        <v>View People Online</v>
      </c>
    </row>
    <row r="10061">
      <c r="A10061" s="14" t="s">
        <v>62060</v>
      </c>
      <c r="B10061" s="14" t="s">
        <v>62061</v>
      </c>
      <c r="C10061" s="14" t="s">
        <v>10008</v>
      </c>
      <c r="D10061" s="14" t="s">
        <v>12902</v>
      </c>
      <c r="E10061" s="14" t="s">
        <v>62062</v>
      </c>
      <c r="F10061" s="14" t="s">
        <v>114</v>
      </c>
      <c r="G10061" s="14" t="s">
        <v>62063</v>
      </c>
      <c r="H10061" s="15" t="s">
        <v>31</v>
      </c>
      <c r="I10061" s="15">
        <v>2.0</v>
      </c>
      <c r="J10061" s="15">
        <v>1.0</v>
      </c>
      <c r="K10061" s="15" t="s">
        <v>31</v>
      </c>
      <c r="L10061" s="16" t="s">
        <v>62064</v>
      </c>
      <c r="M10061" s="14" t="s">
        <v>31</v>
      </c>
      <c r="N10061" s="14" t="s">
        <v>1292</v>
      </c>
      <c r="O10061" s="16" t="s">
        <v>1293</v>
      </c>
      <c r="P10061" s="14" t="s">
        <v>62065</v>
      </c>
      <c r="Q10061" s="14" t="s">
        <v>3465</v>
      </c>
      <c r="R10061" s="14" t="s">
        <v>64</v>
      </c>
      <c r="S10061" s="16" t="s">
        <v>1296</v>
      </c>
      <c r="T10061" s="14" t="s">
        <v>66</v>
      </c>
      <c r="U10061" s="16" t="s">
        <v>31</v>
      </c>
      <c r="V10061" s="14" t="s">
        <v>114</v>
      </c>
      <c r="W10061" s="14" t="s">
        <v>62062</v>
      </c>
      <c r="X10061" s="17" t="str">
        <f>HYPERLINK("https://my.pitchbook.com?p=354174-31P","View People Online")</f>
        <v>View People Online</v>
      </c>
    </row>
    <row r="10062">
      <c r="A10062" s="2" t="s">
        <v>62066</v>
      </c>
      <c r="B10062" s="2" t="s">
        <v>62067</v>
      </c>
      <c r="C10062" s="2" t="s">
        <v>62068</v>
      </c>
      <c r="D10062" s="2" t="s">
        <v>62069</v>
      </c>
      <c r="E10062" s="2" t="s">
        <v>62062</v>
      </c>
      <c r="F10062" s="2" t="s">
        <v>825</v>
      </c>
      <c r="G10062" s="2" t="s">
        <v>62070</v>
      </c>
      <c r="H10062" s="3" t="s">
        <v>31</v>
      </c>
      <c r="I10062" s="3">
        <v>1.0</v>
      </c>
      <c r="J10062" s="3">
        <v>1.0</v>
      </c>
      <c r="K10062" s="3" t="s">
        <v>31</v>
      </c>
      <c r="L10062" s="4" t="s">
        <v>62064</v>
      </c>
      <c r="M10062" s="2" t="s">
        <v>62071</v>
      </c>
      <c r="N10062" s="2" t="s">
        <v>1292</v>
      </c>
      <c r="O10062" s="4" t="s">
        <v>1293</v>
      </c>
      <c r="P10062" s="2" t="s">
        <v>62065</v>
      </c>
      <c r="Q10062" s="2" t="s">
        <v>3465</v>
      </c>
      <c r="R10062" s="2" t="s">
        <v>64</v>
      </c>
      <c r="S10062" s="4" t="s">
        <v>1296</v>
      </c>
      <c r="T10062" s="2" t="s">
        <v>66</v>
      </c>
      <c r="U10062" s="4" t="s">
        <v>31</v>
      </c>
      <c r="V10062" s="2" t="s">
        <v>950</v>
      </c>
      <c r="W10062" s="2" t="s">
        <v>62062</v>
      </c>
      <c r="X10062" s="5" t="str">
        <f>HYPERLINK("https://my.pitchbook.com?p=392208-49P","View People Online")</f>
        <v>View People Online</v>
      </c>
    </row>
    <row r="10063">
      <c r="A10063" s="6" t="s">
        <v>62072</v>
      </c>
      <c r="B10063" s="6" t="s">
        <v>62073</v>
      </c>
      <c r="C10063" s="6" t="s">
        <v>305</v>
      </c>
      <c r="D10063" s="6" t="s">
        <v>41237</v>
      </c>
      <c r="E10063" s="6" t="s">
        <v>62062</v>
      </c>
      <c r="F10063" s="6" t="s">
        <v>57</v>
      </c>
      <c r="G10063" s="6" t="s">
        <v>62074</v>
      </c>
      <c r="H10063" s="7">
        <v>2.0</v>
      </c>
      <c r="I10063" s="7">
        <v>12.0</v>
      </c>
      <c r="J10063" s="7">
        <v>1.0</v>
      </c>
      <c r="K10063" s="7">
        <v>6.0</v>
      </c>
      <c r="L10063" s="8" t="s">
        <v>62064</v>
      </c>
      <c r="M10063" s="6" t="s">
        <v>62075</v>
      </c>
      <c r="N10063" s="6" t="s">
        <v>1292</v>
      </c>
      <c r="O10063" s="8" t="s">
        <v>1293</v>
      </c>
      <c r="P10063" s="6" t="s">
        <v>62065</v>
      </c>
      <c r="Q10063" s="6" t="s">
        <v>3465</v>
      </c>
      <c r="R10063" s="6" t="s">
        <v>64</v>
      </c>
      <c r="S10063" s="8" t="s">
        <v>1296</v>
      </c>
      <c r="T10063" s="6" t="s">
        <v>66</v>
      </c>
      <c r="U10063" s="8" t="s">
        <v>31</v>
      </c>
      <c r="V10063" s="6" t="s">
        <v>57</v>
      </c>
      <c r="W10063" s="6" t="s">
        <v>62062</v>
      </c>
      <c r="X10063" s="9" t="str">
        <f>HYPERLINK("https://my.pitchbook.com?p=198580-42P","View People Online")</f>
        <v>View People Online</v>
      </c>
    </row>
    <row r="10064">
      <c r="A10064" s="10" t="s">
        <v>62076</v>
      </c>
      <c r="B10064" s="10" t="s">
        <v>62077</v>
      </c>
      <c r="C10064" s="10" t="s">
        <v>1449</v>
      </c>
      <c r="D10064" s="10" t="s">
        <v>62078</v>
      </c>
      <c r="E10064" s="10" t="s">
        <v>62062</v>
      </c>
      <c r="F10064" s="10" t="s">
        <v>29</v>
      </c>
      <c r="G10064" s="10" t="s">
        <v>62079</v>
      </c>
      <c r="H10064" s="11" t="s">
        <v>31</v>
      </c>
      <c r="I10064" s="11">
        <v>2.0</v>
      </c>
      <c r="J10064" s="11">
        <v>1.0</v>
      </c>
      <c r="K10064" s="11" t="s">
        <v>31</v>
      </c>
      <c r="L10064" s="12" t="s">
        <v>62064</v>
      </c>
      <c r="M10064" s="10" t="s">
        <v>62080</v>
      </c>
      <c r="N10064" s="10" t="s">
        <v>1292</v>
      </c>
      <c r="O10064" s="12" t="s">
        <v>1293</v>
      </c>
      <c r="P10064" s="10" t="s">
        <v>62065</v>
      </c>
      <c r="Q10064" s="10" t="s">
        <v>3465</v>
      </c>
      <c r="R10064" s="10" t="s">
        <v>64</v>
      </c>
      <c r="S10064" s="12" t="s">
        <v>1296</v>
      </c>
      <c r="T10064" s="10" t="s">
        <v>66</v>
      </c>
      <c r="U10064" s="12" t="s">
        <v>31</v>
      </c>
      <c r="V10064" s="10" t="s">
        <v>29</v>
      </c>
      <c r="W10064" s="10" t="s">
        <v>62062</v>
      </c>
      <c r="X10064" s="13" t="str">
        <f>HYPERLINK("https://my.pitchbook.com?p=40267-36P","View People Online")</f>
        <v>View People Online</v>
      </c>
    </row>
    <row r="10065">
      <c r="A10065" s="6" t="s">
        <v>62081</v>
      </c>
      <c r="B10065" s="6" t="s">
        <v>62082</v>
      </c>
      <c r="C10065" s="6" t="s">
        <v>1255</v>
      </c>
      <c r="D10065" s="6" t="s">
        <v>62083</v>
      </c>
      <c r="E10065" s="6" t="s">
        <v>62062</v>
      </c>
      <c r="F10065" s="6" t="s">
        <v>29</v>
      </c>
      <c r="G10065" s="6" t="s">
        <v>62084</v>
      </c>
      <c r="H10065" s="7" t="s">
        <v>31</v>
      </c>
      <c r="I10065" s="7">
        <v>1.0</v>
      </c>
      <c r="J10065" s="7">
        <v>1.0</v>
      </c>
      <c r="K10065" s="7" t="s">
        <v>31</v>
      </c>
      <c r="L10065" s="8" t="s">
        <v>62064</v>
      </c>
      <c r="M10065" s="6" t="s">
        <v>62085</v>
      </c>
      <c r="N10065" s="6" t="s">
        <v>1292</v>
      </c>
      <c r="O10065" s="8" t="s">
        <v>1293</v>
      </c>
      <c r="P10065" s="6" t="s">
        <v>62065</v>
      </c>
      <c r="Q10065" s="6" t="s">
        <v>3465</v>
      </c>
      <c r="R10065" s="6" t="s">
        <v>64</v>
      </c>
      <c r="S10065" s="8" t="s">
        <v>1296</v>
      </c>
      <c r="T10065" s="6" t="s">
        <v>66</v>
      </c>
      <c r="U10065" s="8" t="s">
        <v>31</v>
      </c>
      <c r="V10065" s="6" t="s">
        <v>29</v>
      </c>
      <c r="W10065" s="6" t="s">
        <v>62062</v>
      </c>
      <c r="X10065" s="9" t="str">
        <f>HYPERLINK("https://my.pitchbook.com?p=232987-24P","View People Online")</f>
        <v>View People Online</v>
      </c>
    </row>
    <row r="10066">
      <c r="A10066" s="10" t="s">
        <v>62086</v>
      </c>
      <c r="B10066" s="10" t="s">
        <v>62087</v>
      </c>
      <c r="C10066" s="10" t="s">
        <v>5358</v>
      </c>
      <c r="D10066" s="10" t="s">
        <v>62088</v>
      </c>
      <c r="E10066" s="10" t="s">
        <v>62062</v>
      </c>
      <c r="F10066" s="10" t="s">
        <v>221</v>
      </c>
      <c r="G10066" s="10" t="s">
        <v>62089</v>
      </c>
      <c r="H10066" s="11" t="s">
        <v>31</v>
      </c>
      <c r="I10066" s="11">
        <v>1.0</v>
      </c>
      <c r="J10066" s="11">
        <v>1.0</v>
      </c>
      <c r="K10066" s="11" t="s">
        <v>31</v>
      </c>
      <c r="L10066" s="12" t="s">
        <v>62064</v>
      </c>
      <c r="M10066" s="10" t="s">
        <v>62090</v>
      </c>
      <c r="N10066" s="10" t="s">
        <v>1292</v>
      </c>
      <c r="O10066" s="12" t="s">
        <v>1293</v>
      </c>
      <c r="P10066" s="10" t="s">
        <v>62065</v>
      </c>
      <c r="Q10066" s="10" t="s">
        <v>3465</v>
      </c>
      <c r="R10066" s="10" t="s">
        <v>64</v>
      </c>
      <c r="S10066" s="12" t="s">
        <v>1296</v>
      </c>
      <c r="T10066" s="10" t="s">
        <v>66</v>
      </c>
      <c r="U10066" s="12" t="s">
        <v>31</v>
      </c>
      <c r="V10066" s="10" t="s">
        <v>201</v>
      </c>
      <c r="W10066" s="10" t="s">
        <v>62062</v>
      </c>
      <c r="X10066" s="13" t="str">
        <f>HYPERLINK("https://my.pitchbook.com?p=354175-30P","View People Online")</f>
        <v>View People Online</v>
      </c>
    </row>
    <row r="10067">
      <c r="A10067" s="14" t="s">
        <v>62091</v>
      </c>
      <c r="B10067" s="14" t="s">
        <v>62092</v>
      </c>
      <c r="C10067" s="14" t="s">
        <v>3529</v>
      </c>
      <c r="D10067" s="14" t="s">
        <v>62093</v>
      </c>
      <c r="E10067" s="14" t="s">
        <v>62062</v>
      </c>
      <c r="F10067" s="14" t="s">
        <v>29</v>
      </c>
      <c r="G10067" s="14" t="s">
        <v>62094</v>
      </c>
      <c r="H10067" s="15">
        <v>1.0</v>
      </c>
      <c r="I10067" s="15">
        <v>5.0</v>
      </c>
      <c r="J10067" s="15">
        <v>1.0</v>
      </c>
      <c r="K10067" s="15">
        <v>2.0</v>
      </c>
      <c r="L10067" s="16" t="s">
        <v>62064</v>
      </c>
      <c r="M10067" s="14" t="s">
        <v>62095</v>
      </c>
      <c r="N10067" s="14" t="s">
        <v>1292</v>
      </c>
      <c r="O10067" s="16" t="s">
        <v>1293</v>
      </c>
      <c r="P10067" s="14" t="s">
        <v>62065</v>
      </c>
      <c r="Q10067" s="14" t="s">
        <v>3465</v>
      </c>
      <c r="R10067" s="14" t="s">
        <v>64</v>
      </c>
      <c r="S10067" s="16" t="s">
        <v>1296</v>
      </c>
      <c r="T10067" s="14" t="s">
        <v>66</v>
      </c>
      <c r="U10067" s="16" t="s">
        <v>31</v>
      </c>
      <c r="V10067" s="14" t="s">
        <v>29</v>
      </c>
      <c r="W10067" s="14" t="s">
        <v>62062</v>
      </c>
      <c r="X10067" s="17" t="str">
        <f>HYPERLINK("https://my.pitchbook.com?p=43679-35P","View People Online")</f>
        <v>View People Online</v>
      </c>
    </row>
    <row r="10068">
      <c r="A10068" s="2" t="s">
        <v>62096</v>
      </c>
      <c r="B10068" s="2" t="s">
        <v>62097</v>
      </c>
      <c r="C10068" s="2" t="s">
        <v>4404</v>
      </c>
      <c r="D10068" s="2" t="s">
        <v>62098</v>
      </c>
      <c r="E10068" s="2" t="s">
        <v>62062</v>
      </c>
      <c r="F10068" s="2" t="s">
        <v>502</v>
      </c>
      <c r="G10068" s="2" t="s">
        <v>62099</v>
      </c>
      <c r="H10068" s="3" t="s">
        <v>31</v>
      </c>
      <c r="I10068" s="3">
        <v>1.0</v>
      </c>
      <c r="J10068" s="3">
        <v>1.0</v>
      </c>
      <c r="K10068" s="3" t="s">
        <v>31</v>
      </c>
      <c r="L10068" s="4" t="s">
        <v>62100</v>
      </c>
      <c r="M10068" s="2" t="s">
        <v>62101</v>
      </c>
      <c r="N10068" s="2" t="s">
        <v>1292</v>
      </c>
      <c r="O10068" s="4" t="s">
        <v>1293</v>
      </c>
      <c r="P10068" s="2" t="s">
        <v>62065</v>
      </c>
      <c r="Q10068" s="2" t="s">
        <v>3465</v>
      </c>
      <c r="R10068" s="2" t="s">
        <v>64</v>
      </c>
      <c r="S10068" s="4" t="s">
        <v>1296</v>
      </c>
      <c r="T10068" s="2" t="s">
        <v>66</v>
      </c>
      <c r="U10068" s="4" t="s">
        <v>31</v>
      </c>
      <c r="V10068" s="2" t="s">
        <v>502</v>
      </c>
      <c r="W10068" s="2" t="s">
        <v>62062</v>
      </c>
      <c r="X10068" s="5" t="str">
        <f>HYPERLINK("https://my.pitchbook.com?p=189353-53P","View People Online")</f>
        <v>View People Online</v>
      </c>
    </row>
    <row r="10069">
      <c r="A10069" s="6" t="s">
        <v>62102</v>
      </c>
      <c r="B10069" s="6" t="s">
        <v>62103</v>
      </c>
      <c r="C10069" s="6" t="s">
        <v>5985</v>
      </c>
      <c r="D10069" s="6" t="s">
        <v>17468</v>
      </c>
      <c r="E10069" s="6" t="s">
        <v>62062</v>
      </c>
      <c r="F10069" s="6" t="s">
        <v>221</v>
      </c>
      <c r="G10069" s="6" t="s">
        <v>62104</v>
      </c>
      <c r="H10069" s="7" t="s">
        <v>31</v>
      </c>
      <c r="I10069" s="7">
        <v>1.0</v>
      </c>
      <c r="J10069" s="7">
        <v>1.0</v>
      </c>
      <c r="K10069" s="7" t="s">
        <v>31</v>
      </c>
      <c r="L10069" s="8" t="s">
        <v>62105</v>
      </c>
      <c r="M10069" s="6" t="s">
        <v>62106</v>
      </c>
      <c r="N10069" s="6" t="s">
        <v>1292</v>
      </c>
      <c r="O10069" s="8" t="s">
        <v>1293</v>
      </c>
      <c r="P10069" s="6" t="s">
        <v>62065</v>
      </c>
      <c r="Q10069" s="6" t="s">
        <v>3465</v>
      </c>
      <c r="R10069" s="6" t="s">
        <v>64</v>
      </c>
      <c r="S10069" s="8" t="s">
        <v>1296</v>
      </c>
      <c r="T10069" s="6" t="s">
        <v>66</v>
      </c>
      <c r="U10069" s="8" t="s">
        <v>31</v>
      </c>
      <c r="V10069" s="6" t="s">
        <v>221</v>
      </c>
      <c r="W10069" s="6" t="s">
        <v>62062</v>
      </c>
      <c r="X10069" s="9" t="str">
        <f>HYPERLINK("https://my.pitchbook.com?p=441832-78P","View People Online")</f>
        <v>View People Online</v>
      </c>
    </row>
    <row r="10070">
      <c r="A10070" s="2" t="s">
        <v>62107</v>
      </c>
      <c r="B10070" s="2" t="s">
        <v>62108</v>
      </c>
      <c r="C10070" s="2" t="s">
        <v>3852</v>
      </c>
      <c r="D10070" s="2" t="s">
        <v>2389</v>
      </c>
      <c r="E10070" s="2" t="s">
        <v>62062</v>
      </c>
      <c r="F10070" s="2" t="s">
        <v>318</v>
      </c>
      <c r="G10070" s="2" t="s">
        <v>62109</v>
      </c>
      <c r="H10070" s="3" t="s">
        <v>31</v>
      </c>
      <c r="I10070" s="3">
        <v>1.0</v>
      </c>
      <c r="J10070" s="3">
        <v>1.0</v>
      </c>
      <c r="K10070" s="3" t="s">
        <v>31</v>
      </c>
      <c r="L10070" s="4" t="s">
        <v>62064</v>
      </c>
      <c r="M10070" s="2" t="s">
        <v>62110</v>
      </c>
      <c r="N10070" s="2" t="s">
        <v>1292</v>
      </c>
      <c r="O10070" s="4" t="s">
        <v>1293</v>
      </c>
      <c r="P10070" s="2" t="s">
        <v>62065</v>
      </c>
      <c r="Q10070" s="2" t="s">
        <v>3465</v>
      </c>
      <c r="R10070" s="2" t="s">
        <v>64</v>
      </c>
      <c r="S10070" s="4" t="s">
        <v>1296</v>
      </c>
      <c r="T10070" s="2" t="s">
        <v>66</v>
      </c>
      <c r="U10070" s="4" t="s">
        <v>31</v>
      </c>
      <c r="V10070" s="2" t="s">
        <v>318</v>
      </c>
      <c r="W10070" s="2" t="s">
        <v>62062</v>
      </c>
      <c r="X10070" s="5" t="str">
        <f>HYPERLINK("https://my.pitchbook.com?p=291732-49P","View People Online")</f>
        <v>View People Online</v>
      </c>
    </row>
    <row r="10071">
      <c r="A10071" s="14" t="s">
        <v>62111</v>
      </c>
      <c r="B10071" s="14" t="s">
        <v>62112</v>
      </c>
      <c r="C10071" s="14" t="s">
        <v>132</v>
      </c>
      <c r="D10071" s="14" t="s">
        <v>6454</v>
      </c>
      <c r="E10071" s="14" t="s">
        <v>62062</v>
      </c>
      <c r="F10071" s="14" t="s">
        <v>5141</v>
      </c>
      <c r="G10071" s="14" t="s">
        <v>62113</v>
      </c>
      <c r="H10071" s="15" t="s">
        <v>31</v>
      </c>
      <c r="I10071" s="15">
        <v>1.0</v>
      </c>
      <c r="J10071" s="15">
        <v>1.0</v>
      </c>
      <c r="K10071" s="15" t="s">
        <v>31</v>
      </c>
      <c r="L10071" s="16" t="s">
        <v>62064</v>
      </c>
      <c r="M10071" s="14" t="s">
        <v>62114</v>
      </c>
      <c r="N10071" s="14" t="s">
        <v>1292</v>
      </c>
      <c r="O10071" s="16" t="s">
        <v>1293</v>
      </c>
      <c r="P10071" s="14" t="s">
        <v>62065</v>
      </c>
      <c r="Q10071" s="14" t="s">
        <v>3465</v>
      </c>
      <c r="R10071" s="14" t="s">
        <v>64</v>
      </c>
      <c r="S10071" s="16" t="s">
        <v>1296</v>
      </c>
      <c r="T10071" s="14" t="s">
        <v>66</v>
      </c>
      <c r="U10071" s="16" t="s">
        <v>31</v>
      </c>
      <c r="V10071" s="14" t="s">
        <v>62115</v>
      </c>
      <c r="W10071" s="14" t="s">
        <v>62062</v>
      </c>
      <c r="X10071" s="17" t="str">
        <f>HYPERLINK("https://my.pitchbook.com?p=385130-35P","View People Online")</f>
        <v>View People Online</v>
      </c>
    </row>
    <row r="10072">
      <c r="A10072" s="10" t="s">
        <v>62116</v>
      </c>
      <c r="B10072" s="10" t="s">
        <v>62117</v>
      </c>
      <c r="C10072" s="10" t="s">
        <v>382</v>
      </c>
      <c r="D10072" s="10" t="s">
        <v>62118</v>
      </c>
      <c r="E10072" s="10" t="s">
        <v>62062</v>
      </c>
      <c r="F10072" s="10" t="s">
        <v>667</v>
      </c>
      <c r="G10072" s="10" t="s">
        <v>62119</v>
      </c>
      <c r="H10072" s="11" t="s">
        <v>31</v>
      </c>
      <c r="I10072" s="11">
        <v>1.0</v>
      </c>
      <c r="J10072" s="11">
        <v>1.0</v>
      </c>
      <c r="K10072" s="11" t="s">
        <v>31</v>
      </c>
      <c r="L10072" s="12" t="s">
        <v>62064</v>
      </c>
      <c r="M10072" s="10" t="s">
        <v>62120</v>
      </c>
      <c r="N10072" s="10" t="s">
        <v>1292</v>
      </c>
      <c r="O10072" s="12" t="s">
        <v>1293</v>
      </c>
      <c r="P10072" s="10" t="s">
        <v>62065</v>
      </c>
      <c r="Q10072" s="10" t="s">
        <v>3465</v>
      </c>
      <c r="R10072" s="10" t="s">
        <v>64</v>
      </c>
      <c r="S10072" s="12" t="s">
        <v>1296</v>
      </c>
      <c r="T10072" s="10" t="s">
        <v>66</v>
      </c>
      <c r="U10072" s="12" t="s">
        <v>31</v>
      </c>
      <c r="V10072" s="10" t="s">
        <v>667</v>
      </c>
      <c r="W10072" s="10" t="s">
        <v>62062</v>
      </c>
      <c r="X10072" s="13" t="str">
        <f>HYPERLINK("https://my.pitchbook.com?p=454373-56P","View People Online")</f>
        <v>View People Online</v>
      </c>
    </row>
    <row r="10073">
      <c r="A10073" s="14" t="s">
        <v>62121</v>
      </c>
      <c r="B10073" s="14" t="s">
        <v>62122</v>
      </c>
      <c r="C10073" s="14" t="s">
        <v>62123</v>
      </c>
      <c r="D10073" s="14" t="s">
        <v>62124</v>
      </c>
      <c r="E10073" s="14" t="s">
        <v>62062</v>
      </c>
      <c r="F10073" s="14" t="s">
        <v>270</v>
      </c>
      <c r="G10073" s="14" t="s">
        <v>62125</v>
      </c>
      <c r="H10073" s="15" t="s">
        <v>31</v>
      </c>
      <c r="I10073" s="15">
        <v>1.0</v>
      </c>
      <c r="J10073" s="15">
        <v>1.0</v>
      </c>
      <c r="K10073" s="15" t="s">
        <v>31</v>
      </c>
      <c r="L10073" s="16" t="s">
        <v>62064</v>
      </c>
      <c r="M10073" s="14" t="s">
        <v>62126</v>
      </c>
      <c r="N10073" s="14" t="s">
        <v>155</v>
      </c>
      <c r="O10073" s="16" t="s">
        <v>156</v>
      </c>
      <c r="P10073" s="14" t="s">
        <v>62127</v>
      </c>
      <c r="Q10073" s="14" t="s">
        <v>62128</v>
      </c>
      <c r="R10073" s="14" t="s">
        <v>64</v>
      </c>
      <c r="S10073" s="16" t="s">
        <v>3487</v>
      </c>
      <c r="T10073" s="14" t="s">
        <v>66</v>
      </c>
      <c r="U10073" s="16" t="s">
        <v>31</v>
      </c>
      <c r="V10073" s="14" t="s">
        <v>440</v>
      </c>
      <c r="W10073" s="14" t="s">
        <v>62062</v>
      </c>
      <c r="X10073" s="17" t="str">
        <f>HYPERLINK("https://my.pitchbook.com?p=441831-88P","View People Online")</f>
        <v>View People Online</v>
      </c>
    </row>
    <row r="10074">
      <c r="A10074" s="10" t="s">
        <v>62129</v>
      </c>
      <c r="B10074" s="10" t="s">
        <v>62130</v>
      </c>
      <c r="C10074" s="10" t="s">
        <v>21750</v>
      </c>
      <c r="D10074" s="10" t="s">
        <v>62131</v>
      </c>
      <c r="E10074" s="10" t="s">
        <v>62062</v>
      </c>
      <c r="F10074" s="10" t="s">
        <v>29</v>
      </c>
      <c r="G10074" s="10" t="s">
        <v>62132</v>
      </c>
      <c r="H10074" s="11" t="s">
        <v>31</v>
      </c>
      <c r="I10074" s="11">
        <v>1.0</v>
      </c>
      <c r="J10074" s="11">
        <v>1.0</v>
      </c>
      <c r="K10074" s="11" t="s">
        <v>31</v>
      </c>
      <c r="L10074" s="12" t="s">
        <v>62133</v>
      </c>
      <c r="M10074" s="10" t="s">
        <v>62134</v>
      </c>
      <c r="N10074" s="10" t="s">
        <v>1292</v>
      </c>
      <c r="O10074" s="12" t="s">
        <v>1293</v>
      </c>
      <c r="P10074" s="10" t="s">
        <v>62065</v>
      </c>
      <c r="Q10074" s="10" t="s">
        <v>3465</v>
      </c>
      <c r="R10074" s="10" t="s">
        <v>64</v>
      </c>
      <c r="S10074" s="12" t="s">
        <v>1296</v>
      </c>
      <c r="T10074" s="10" t="s">
        <v>66</v>
      </c>
      <c r="U10074" s="12" t="s">
        <v>31</v>
      </c>
      <c r="V10074" s="10" t="s">
        <v>29</v>
      </c>
      <c r="W10074" s="10" t="s">
        <v>62062</v>
      </c>
      <c r="X10074" s="13" t="str">
        <f>HYPERLINK("https://my.pitchbook.com?p=232987-51P","View People Online")</f>
        <v>View People Online</v>
      </c>
    </row>
    <row r="10075">
      <c r="A10075" s="14" t="s">
        <v>62135</v>
      </c>
      <c r="B10075" s="14" t="s">
        <v>62136</v>
      </c>
      <c r="C10075" s="14" t="s">
        <v>6199</v>
      </c>
      <c r="D10075" s="14" t="s">
        <v>62137</v>
      </c>
      <c r="E10075" s="14" t="s">
        <v>62062</v>
      </c>
      <c r="F10075" s="14" t="s">
        <v>674</v>
      </c>
      <c r="G10075" s="14" t="s">
        <v>62138</v>
      </c>
      <c r="H10075" s="15">
        <v>7.0</v>
      </c>
      <c r="I10075" s="15">
        <v>41.0</v>
      </c>
      <c r="J10075" s="15">
        <v>1.0</v>
      </c>
      <c r="K10075" s="15">
        <v>27.0</v>
      </c>
      <c r="L10075" s="16" t="s">
        <v>62064</v>
      </c>
      <c r="M10075" s="14" t="s">
        <v>62139</v>
      </c>
      <c r="N10075" s="14" t="s">
        <v>1292</v>
      </c>
      <c r="O10075" s="16" t="s">
        <v>1293</v>
      </c>
      <c r="P10075" s="14" t="s">
        <v>62065</v>
      </c>
      <c r="Q10075" s="14" t="s">
        <v>3465</v>
      </c>
      <c r="R10075" s="14" t="s">
        <v>64</v>
      </c>
      <c r="S10075" s="16" t="s">
        <v>1296</v>
      </c>
      <c r="T10075" s="14" t="s">
        <v>66</v>
      </c>
      <c r="U10075" s="16" t="s">
        <v>31</v>
      </c>
      <c r="V10075" s="14" t="s">
        <v>674</v>
      </c>
      <c r="W10075" s="14" t="s">
        <v>62062</v>
      </c>
      <c r="X10075" s="17" t="str">
        <f>HYPERLINK("https://my.pitchbook.com?p=31886-02P","View People Online")</f>
        <v>View People Online</v>
      </c>
    </row>
    <row r="10076">
      <c r="A10076" s="10" t="s">
        <v>62140</v>
      </c>
      <c r="B10076" s="10" t="s">
        <v>62141</v>
      </c>
      <c r="C10076" s="10" t="s">
        <v>1066</v>
      </c>
      <c r="D10076" s="10" t="s">
        <v>1073</v>
      </c>
      <c r="E10076" s="10" t="s">
        <v>62062</v>
      </c>
      <c r="F10076" s="10" t="s">
        <v>114</v>
      </c>
      <c r="G10076" s="10" t="s">
        <v>62142</v>
      </c>
      <c r="H10076" s="11">
        <v>1.0</v>
      </c>
      <c r="I10076" s="11">
        <v>9.0</v>
      </c>
      <c r="J10076" s="11">
        <v>2.0</v>
      </c>
      <c r="K10076" s="11">
        <v>3.0</v>
      </c>
      <c r="L10076" s="12" t="s">
        <v>62064</v>
      </c>
      <c r="M10076" s="10" t="s">
        <v>31</v>
      </c>
      <c r="N10076" s="10" t="s">
        <v>1292</v>
      </c>
      <c r="O10076" s="12" t="s">
        <v>1293</v>
      </c>
      <c r="P10076" s="10" t="s">
        <v>62065</v>
      </c>
      <c r="Q10076" s="10" t="s">
        <v>3465</v>
      </c>
      <c r="R10076" s="10" t="s">
        <v>64</v>
      </c>
      <c r="S10076" s="12" t="s">
        <v>1296</v>
      </c>
      <c r="T10076" s="10" t="s">
        <v>66</v>
      </c>
      <c r="U10076" s="12" t="s">
        <v>31</v>
      </c>
      <c r="V10076" s="10" t="s">
        <v>114</v>
      </c>
      <c r="W10076" s="10" t="s">
        <v>62062</v>
      </c>
      <c r="X10076" s="13" t="str">
        <f>HYPERLINK("https://my.pitchbook.com?p=137838-88P","View People Online")</f>
        <v>View People Online</v>
      </c>
    </row>
    <row r="10077">
      <c r="A10077" s="14" t="s">
        <v>62143</v>
      </c>
      <c r="B10077" s="14" t="s">
        <v>62144</v>
      </c>
      <c r="C10077" s="14" t="s">
        <v>62145</v>
      </c>
      <c r="D10077" s="14" t="s">
        <v>62146</v>
      </c>
      <c r="E10077" s="14" t="s">
        <v>62147</v>
      </c>
      <c r="F10077" s="14" t="s">
        <v>583</v>
      </c>
      <c r="G10077" s="14" t="s">
        <v>62148</v>
      </c>
      <c r="H10077" s="15" t="s">
        <v>31</v>
      </c>
      <c r="I10077" s="15">
        <v>10.0</v>
      </c>
      <c r="J10077" s="15">
        <v>2.0</v>
      </c>
      <c r="K10077" s="15">
        <v>7.0</v>
      </c>
      <c r="L10077" s="16" t="s">
        <v>62149</v>
      </c>
      <c r="M10077" s="14" t="s">
        <v>62150</v>
      </c>
      <c r="N10077" s="14" t="s">
        <v>1277</v>
      </c>
      <c r="O10077" s="16" t="s">
        <v>1278</v>
      </c>
      <c r="P10077" s="14" t="s">
        <v>62151</v>
      </c>
      <c r="Q10077" s="14" t="s">
        <v>31</v>
      </c>
      <c r="R10077" s="14" t="s">
        <v>1281</v>
      </c>
      <c r="S10077" s="16" t="s">
        <v>62152</v>
      </c>
      <c r="T10077" s="14" t="s">
        <v>66</v>
      </c>
      <c r="U10077" s="16" t="s">
        <v>31</v>
      </c>
      <c r="V10077" s="14" t="s">
        <v>62153</v>
      </c>
      <c r="W10077" s="14" t="s">
        <v>62154</v>
      </c>
      <c r="X10077" s="17" t="str">
        <f>HYPERLINK("https://my.pitchbook.com?p=17864-29P","View People Online")</f>
        <v>View People Online</v>
      </c>
    </row>
    <row r="10078">
      <c r="A10078" s="10" t="s">
        <v>62155</v>
      </c>
      <c r="B10078" s="10" t="s">
        <v>62156</v>
      </c>
      <c r="C10078" s="10" t="s">
        <v>4731</v>
      </c>
      <c r="D10078" s="10" t="s">
        <v>46614</v>
      </c>
      <c r="E10078" s="10" t="s">
        <v>62147</v>
      </c>
      <c r="F10078" s="10" t="s">
        <v>10566</v>
      </c>
      <c r="G10078" s="10" t="s">
        <v>62157</v>
      </c>
      <c r="H10078" s="11" t="s">
        <v>31</v>
      </c>
      <c r="I10078" s="11">
        <v>1.0</v>
      </c>
      <c r="J10078" s="11">
        <v>1.0</v>
      </c>
      <c r="K10078" s="11" t="s">
        <v>31</v>
      </c>
      <c r="L10078" s="12" t="s">
        <v>62149</v>
      </c>
      <c r="M10078" s="10" t="s">
        <v>62158</v>
      </c>
      <c r="N10078" s="10" t="s">
        <v>1277</v>
      </c>
      <c r="O10078" s="12" t="s">
        <v>1278</v>
      </c>
      <c r="P10078" s="10" t="s">
        <v>62151</v>
      </c>
      <c r="Q10078" s="10" t="s">
        <v>31</v>
      </c>
      <c r="R10078" s="10" t="s">
        <v>1281</v>
      </c>
      <c r="S10078" s="12" t="s">
        <v>62152</v>
      </c>
      <c r="T10078" s="10" t="s">
        <v>66</v>
      </c>
      <c r="U10078" s="12" t="s">
        <v>31</v>
      </c>
      <c r="V10078" s="10" t="s">
        <v>10566</v>
      </c>
      <c r="W10078" s="10" t="s">
        <v>62147</v>
      </c>
      <c r="X10078" s="13" t="str">
        <f>HYPERLINK("https://my.pitchbook.com?p=365889-97P","View People Online")</f>
        <v>View People Online</v>
      </c>
    </row>
    <row r="10079">
      <c r="A10079" s="6" t="s">
        <v>62159</v>
      </c>
      <c r="B10079" s="6" t="s">
        <v>62160</v>
      </c>
      <c r="C10079" s="6" t="s">
        <v>1541</v>
      </c>
      <c r="D10079" s="6" t="s">
        <v>62161</v>
      </c>
      <c r="E10079" s="6" t="s">
        <v>62147</v>
      </c>
      <c r="F10079" s="6" t="s">
        <v>1283</v>
      </c>
      <c r="G10079" s="6" t="s">
        <v>62162</v>
      </c>
      <c r="H10079" s="7" t="s">
        <v>31</v>
      </c>
      <c r="I10079" s="7">
        <v>1.0</v>
      </c>
      <c r="J10079" s="7">
        <v>1.0</v>
      </c>
      <c r="K10079" s="7" t="s">
        <v>31</v>
      </c>
      <c r="L10079" s="8" t="s">
        <v>62149</v>
      </c>
      <c r="M10079" s="6" t="s">
        <v>62163</v>
      </c>
      <c r="N10079" s="6" t="s">
        <v>1277</v>
      </c>
      <c r="O10079" s="8" t="s">
        <v>1278</v>
      </c>
      <c r="P10079" s="6" t="s">
        <v>62151</v>
      </c>
      <c r="Q10079" s="6" t="s">
        <v>31</v>
      </c>
      <c r="R10079" s="6" t="s">
        <v>1281</v>
      </c>
      <c r="S10079" s="8" t="s">
        <v>62152</v>
      </c>
      <c r="T10079" s="6" t="s">
        <v>66</v>
      </c>
      <c r="U10079" s="8" t="s">
        <v>31</v>
      </c>
      <c r="V10079" s="6" t="s">
        <v>62164</v>
      </c>
      <c r="W10079" s="6" t="s">
        <v>62147</v>
      </c>
      <c r="X10079" s="9" t="str">
        <f>HYPERLINK("https://my.pitchbook.com?p=370824-85P","View People Online")</f>
        <v>View People Online</v>
      </c>
    </row>
    <row r="10080">
      <c r="A10080" s="2" t="s">
        <v>62165</v>
      </c>
      <c r="B10080" s="2" t="s">
        <v>62166</v>
      </c>
      <c r="C10080" s="2" t="s">
        <v>1541</v>
      </c>
      <c r="D10080" s="2" t="s">
        <v>62167</v>
      </c>
      <c r="E10080" s="2" t="s">
        <v>62147</v>
      </c>
      <c r="F10080" s="2" t="s">
        <v>548</v>
      </c>
      <c r="G10080" s="2" t="s">
        <v>62168</v>
      </c>
      <c r="H10080" s="3" t="s">
        <v>31</v>
      </c>
      <c r="I10080" s="3">
        <v>1.0</v>
      </c>
      <c r="J10080" s="3">
        <v>1.0</v>
      </c>
      <c r="K10080" s="3" t="s">
        <v>31</v>
      </c>
      <c r="L10080" s="4" t="s">
        <v>62169</v>
      </c>
      <c r="M10080" s="2" t="s">
        <v>62170</v>
      </c>
      <c r="N10080" s="2" t="s">
        <v>1277</v>
      </c>
      <c r="O10080" s="4" t="s">
        <v>1278</v>
      </c>
      <c r="P10080" s="2" t="s">
        <v>62151</v>
      </c>
      <c r="Q10080" s="2" t="s">
        <v>31</v>
      </c>
      <c r="R10080" s="2" t="s">
        <v>1281</v>
      </c>
      <c r="S10080" s="4" t="s">
        <v>62152</v>
      </c>
      <c r="T10080" s="2" t="s">
        <v>66</v>
      </c>
      <c r="U10080" s="4" t="s">
        <v>31</v>
      </c>
      <c r="V10080" s="2" t="s">
        <v>62171</v>
      </c>
      <c r="W10080" s="2" t="s">
        <v>62147</v>
      </c>
      <c r="X10080" s="5" t="str">
        <f>HYPERLINK("https://my.pitchbook.com?p=248150-17P","View People Online")</f>
        <v>View People Online</v>
      </c>
    </row>
    <row r="10081">
      <c r="A10081" s="6" t="s">
        <v>62172</v>
      </c>
      <c r="B10081" s="6" t="s">
        <v>62173</v>
      </c>
      <c r="C10081" s="6" t="s">
        <v>62174</v>
      </c>
      <c r="D10081" s="6" t="s">
        <v>21812</v>
      </c>
      <c r="E10081" s="6" t="s">
        <v>62147</v>
      </c>
      <c r="F10081" s="6" t="s">
        <v>20655</v>
      </c>
      <c r="G10081" s="6" t="s">
        <v>62175</v>
      </c>
      <c r="H10081" s="7" t="s">
        <v>31</v>
      </c>
      <c r="I10081" s="7">
        <v>6.0</v>
      </c>
      <c r="J10081" s="7">
        <v>4.0</v>
      </c>
      <c r="K10081" s="7">
        <v>2.0</v>
      </c>
      <c r="L10081" s="8" t="s">
        <v>62176</v>
      </c>
      <c r="M10081" s="6" t="s">
        <v>62177</v>
      </c>
      <c r="N10081" s="6" t="s">
        <v>1277</v>
      </c>
      <c r="O10081" s="8" t="s">
        <v>1278</v>
      </c>
      <c r="P10081" s="6" t="s">
        <v>62151</v>
      </c>
      <c r="Q10081" s="6" t="s">
        <v>31</v>
      </c>
      <c r="R10081" s="6" t="s">
        <v>1281</v>
      </c>
      <c r="S10081" s="8" t="s">
        <v>62152</v>
      </c>
      <c r="T10081" s="6" t="s">
        <v>66</v>
      </c>
      <c r="U10081" s="8" t="s">
        <v>31</v>
      </c>
      <c r="V10081" s="6" t="s">
        <v>62178</v>
      </c>
      <c r="W10081" s="6" t="s">
        <v>62147</v>
      </c>
      <c r="X10081" s="9" t="str">
        <f>HYPERLINK("https://my.pitchbook.com?p=84143-98P","View People Online")</f>
        <v>View People Online</v>
      </c>
    </row>
    <row r="10082">
      <c r="A10082" s="10" t="s">
        <v>62179</v>
      </c>
      <c r="B10082" s="10" t="s">
        <v>62180</v>
      </c>
      <c r="C10082" s="10" t="s">
        <v>6584</v>
      </c>
      <c r="D10082" s="10" t="s">
        <v>62181</v>
      </c>
      <c r="E10082" s="10" t="s">
        <v>62147</v>
      </c>
      <c r="F10082" s="10" t="s">
        <v>6993</v>
      </c>
      <c r="G10082" s="10" t="s">
        <v>62182</v>
      </c>
      <c r="H10082" s="11" t="s">
        <v>31</v>
      </c>
      <c r="I10082" s="11">
        <v>1.0</v>
      </c>
      <c r="J10082" s="11">
        <v>1.0</v>
      </c>
      <c r="K10082" s="11" t="s">
        <v>31</v>
      </c>
      <c r="L10082" s="12" t="s">
        <v>62149</v>
      </c>
      <c r="M10082" s="10" t="s">
        <v>62183</v>
      </c>
      <c r="N10082" s="10" t="s">
        <v>1277</v>
      </c>
      <c r="O10082" s="12" t="s">
        <v>1278</v>
      </c>
      <c r="P10082" s="10" t="s">
        <v>62151</v>
      </c>
      <c r="Q10082" s="10" t="s">
        <v>31</v>
      </c>
      <c r="R10082" s="10" t="s">
        <v>1281</v>
      </c>
      <c r="S10082" s="12" t="s">
        <v>62152</v>
      </c>
      <c r="T10082" s="10" t="s">
        <v>66</v>
      </c>
      <c r="U10082" s="12" t="s">
        <v>31</v>
      </c>
      <c r="V10082" s="10" t="s">
        <v>6993</v>
      </c>
      <c r="W10082" s="10" t="s">
        <v>62147</v>
      </c>
      <c r="X10082" s="13" t="str">
        <f>HYPERLINK("https://my.pitchbook.com?p=152539-39P","View People Online")</f>
        <v>View People Online</v>
      </c>
    </row>
    <row r="10083">
      <c r="A10083" s="6" t="s">
        <v>62184</v>
      </c>
      <c r="B10083" s="6" t="s">
        <v>62185</v>
      </c>
      <c r="C10083" s="6" t="s">
        <v>62186</v>
      </c>
      <c r="D10083" s="6" t="s">
        <v>62187</v>
      </c>
      <c r="E10083" s="6" t="s">
        <v>62147</v>
      </c>
      <c r="F10083" s="6" t="s">
        <v>270</v>
      </c>
      <c r="G10083" s="6" t="s">
        <v>62188</v>
      </c>
      <c r="H10083" s="7" t="s">
        <v>31</v>
      </c>
      <c r="I10083" s="7">
        <v>1.0</v>
      </c>
      <c r="J10083" s="7">
        <v>1.0</v>
      </c>
      <c r="K10083" s="7" t="s">
        <v>31</v>
      </c>
      <c r="L10083" s="8" t="s">
        <v>62149</v>
      </c>
      <c r="M10083" s="6" t="s">
        <v>62189</v>
      </c>
      <c r="N10083" s="6" t="s">
        <v>1277</v>
      </c>
      <c r="O10083" s="8" t="s">
        <v>1278</v>
      </c>
      <c r="P10083" s="6" t="s">
        <v>62151</v>
      </c>
      <c r="Q10083" s="6" t="s">
        <v>31</v>
      </c>
      <c r="R10083" s="6" t="s">
        <v>1281</v>
      </c>
      <c r="S10083" s="8" t="s">
        <v>62152</v>
      </c>
      <c r="T10083" s="6" t="s">
        <v>66</v>
      </c>
      <c r="U10083" s="8" t="s">
        <v>31</v>
      </c>
      <c r="V10083" s="6" t="s">
        <v>62190</v>
      </c>
      <c r="W10083" s="6" t="s">
        <v>62147</v>
      </c>
      <c r="X10083" s="9" t="str">
        <f>HYPERLINK("https://my.pitchbook.com?p=285719-77P","View People Online")</f>
        <v>View People Online</v>
      </c>
    </row>
    <row r="10084">
      <c r="A10084" s="10" t="s">
        <v>62191</v>
      </c>
      <c r="B10084" s="10" t="s">
        <v>62192</v>
      </c>
      <c r="C10084" s="10" t="s">
        <v>11152</v>
      </c>
      <c r="D10084" s="10" t="s">
        <v>40026</v>
      </c>
      <c r="E10084" s="10" t="s">
        <v>62147</v>
      </c>
      <c r="F10084" s="10" t="s">
        <v>11212</v>
      </c>
      <c r="G10084" s="10" t="s">
        <v>62193</v>
      </c>
      <c r="H10084" s="11" t="s">
        <v>31</v>
      </c>
      <c r="I10084" s="11">
        <v>1.0</v>
      </c>
      <c r="J10084" s="11">
        <v>1.0</v>
      </c>
      <c r="K10084" s="11" t="s">
        <v>31</v>
      </c>
      <c r="L10084" s="12" t="s">
        <v>62149</v>
      </c>
      <c r="M10084" s="10" t="s">
        <v>31</v>
      </c>
      <c r="N10084" s="10" t="s">
        <v>1277</v>
      </c>
      <c r="O10084" s="12" t="s">
        <v>1278</v>
      </c>
      <c r="P10084" s="10" t="s">
        <v>62151</v>
      </c>
      <c r="Q10084" s="10" t="s">
        <v>31</v>
      </c>
      <c r="R10084" s="10" t="s">
        <v>1281</v>
      </c>
      <c r="S10084" s="12" t="s">
        <v>62152</v>
      </c>
      <c r="T10084" s="10" t="s">
        <v>66</v>
      </c>
      <c r="U10084" s="12" t="s">
        <v>31</v>
      </c>
      <c r="V10084" s="10" t="s">
        <v>11212</v>
      </c>
      <c r="W10084" s="10" t="s">
        <v>62147</v>
      </c>
      <c r="X10084" s="13" t="str">
        <f>HYPERLINK("https://my.pitchbook.com?p=196138-72P","View People Online")</f>
        <v>View People Online</v>
      </c>
    </row>
    <row r="10085">
      <c r="A10085" s="6" t="s">
        <v>62194</v>
      </c>
      <c r="B10085" s="6" t="s">
        <v>62195</v>
      </c>
      <c r="C10085" s="6" t="s">
        <v>62196</v>
      </c>
      <c r="D10085" s="6" t="s">
        <v>38132</v>
      </c>
      <c r="E10085" s="6" t="s">
        <v>62147</v>
      </c>
      <c r="F10085" s="6" t="s">
        <v>548</v>
      </c>
      <c r="G10085" s="6" t="s">
        <v>62197</v>
      </c>
      <c r="H10085" s="7" t="s">
        <v>31</v>
      </c>
      <c r="I10085" s="7">
        <v>1.0</v>
      </c>
      <c r="J10085" s="7">
        <v>1.0</v>
      </c>
      <c r="K10085" s="7" t="s">
        <v>31</v>
      </c>
      <c r="L10085" s="8" t="s">
        <v>62149</v>
      </c>
      <c r="M10085" s="6" t="s">
        <v>62198</v>
      </c>
      <c r="N10085" s="6" t="s">
        <v>1277</v>
      </c>
      <c r="O10085" s="8" t="s">
        <v>1278</v>
      </c>
      <c r="P10085" s="6" t="s">
        <v>62151</v>
      </c>
      <c r="Q10085" s="6" t="s">
        <v>31</v>
      </c>
      <c r="R10085" s="6" t="s">
        <v>1281</v>
      </c>
      <c r="S10085" s="8" t="s">
        <v>62152</v>
      </c>
      <c r="T10085" s="6" t="s">
        <v>66</v>
      </c>
      <c r="U10085" s="8" t="s">
        <v>31</v>
      </c>
      <c r="V10085" s="6" t="s">
        <v>62199</v>
      </c>
      <c r="W10085" s="6" t="s">
        <v>62147</v>
      </c>
      <c r="X10085" s="9" t="str">
        <f>HYPERLINK("https://my.pitchbook.com?p=137975-41P","View People Online")</f>
        <v>View People Online</v>
      </c>
    </row>
    <row r="10086">
      <c r="A10086" s="10" t="s">
        <v>62200</v>
      </c>
      <c r="B10086" s="10" t="s">
        <v>62201</v>
      </c>
      <c r="C10086" s="10" t="s">
        <v>62202</v>
      </c>
      <c r="D10086" s="10" t="s">
        <v>4377</v>
      </c>
      <c r="E10086" s="10" t="s">
        <v>62147</v>
      </c>
      <c r="F10086" s="10" t="s">
        <v>5365</v>
      </c>
      <c r="G10086" s="10" t="s">
        <v>62203</v>
      </c>
      <c r="H10086" s="11" t="s">
        <v>31</v>
      </c>
      <c r="I10086" s="11">
        <v>1.0</v>
      </c>
      <c r="J10086" s="11">
        <v>1.0</v>
      </c>
      <c r="K10086" s="11" t="s">
        <v>31</v>
      </c>
      <c r="L10086" s="12" t="s">
        <v>62149</v>
      </c>
      <c r="M10086" s="10" t="s">
        <v>62204</v>
      </c>
      <c r="N10086" s="10" t="s">
        <v>1277</v>
      </c>
      <c r="O10086" s="12" t="s">
        <v>1278</v>
      </c>
      <c r="P10086" s="10" t="s">
        <v>62151</v>
      </c>
      <c r="Q10086" s="10" t="s">
        <v>31</v>
      </c>
      <c r="R10086" s="10" t="s">
        <v>1281</v>
      </c>
      <c r="S10086" s="12" t="s">
        <v>62152</v>
      </c>
      <c r="T10086" s="10" t="s">
        <v>66</v>
      </c>
      <c r="U10086" s="12" t="s">
        <v>31</v>
      </c>
      <c r="V10086" s="10" t="s">
        <v>62205</v>
      </c>
      <c r="W10086" s="10" t="s">
        <v>62147</v>
      </c>
      <c r="X10086" s="13" t="str">
        <f>HYPERLINK("https://my.pitchbook.com?p=310227-04P","View People Online")</f>
        <v>View People Online</v>
      </c>
    </row>
    <row r="10087">
      <c r="A10087" s="6" t="s">
        <v>62206</v>
      </c>
      <c r="B10087" s="6" t="s">
        <v>62207</v>
      </c>
      <c r="C10087" s="6" t="s">
        <v>2172</v>
      </c>
      <c r="D10087" s="6" t="s">
        <v>62208</v>
      </c>
      <c r="E10087" s="6" t="s">
        <v>62147</v>
      </c>
      <c r="F10087" s="6" t="s">
        <v>28075</v>
      </c>
      <c r="G10087" s="6" t="s">
        <v>62209</v>
      </c>
      <c r="H10087" s="7" t="s">
        <v>31</v>
      </c>
      <c r="I10087" s="7">
        <v>1.0</v>
      </c>
      <c r="J10087" s="7">
        <v>1.0</v>
      </c>
      <c r="K10087" s="7" t="s">
        <v>31</v>
      </c>
      <c r="L10087" s="8" t="s">
        <v>62149</v>
      </c>
      <c r="M10087" s="6" t="s">
        <v>62210</v>
      </c>
      <c r="N10087" s="6" t="s">
        <v>1277</v>
      </c>
      <c r="O10087" s="8" t="s">
        <v>1278</v>
      </c>
      <c r="P10087" s="6" t="s">
        <v>62151</v>
      </c>
      <c r="Q10087" s="6" t="s">
        <v>31</v>
      </c>
      <c r="R10087" s="6" t="s">
        <v>1281</v>
      </c>
      <c r="S10087" s="8" t="s">
        <v>62152</v>
      </c>
      <c r="T10087" s="6" t="s">
        <v>66</v>
      </c>
      <c r="U10087" s="8" t="s">
        <v>31</v>
      </c>
      <c r="V10087" s="6" t="s">
        <v>62211</v>
      </c>
      <c r="W10087" s="6" t="s">
        <v>62147</v>
      </c>
      <c r="X10087" s="9" t="str">
        <f>HYPERLINK("https://my.pitchbook.com?p=66224-80P","View People Online")</f>
        <v>View People Online</v>
      </c>
    </row>
    <row r="10088">
      <c r="A10088" s="2" t="s">
        <v>62212</v>
      </c>
      <c r="B10088" s="2" t="s">
        <v>62213</v>
      </c>
      <c r="C10088" s="2" t="s">
        <v>2172</v>
      </c>
      <c r="D10088" s="2" t="s">
        <v>5198</v>
      </c>
      <c r="E10088" s="2" t="s">
        <v>62147</v>
      </c>
      <c r="F10088" s="2" t="s">
        <v>548</v>
      </c>
      <c r="G10088" s="2" t="s">
        <v>62214</v>
      </c>
      <c r="H10088" s="3" t="s">
        <v>31</v>
      </c>
      <c r="I10088" s="3">
        <v>1.0</v>
      </c>
      <c r="J10088" s="3">
        <v>1.0</v>
      </c>
      <c r="K10088" s="3" t="s">
        <v>31</v>
      </c>
      <c r="L10088" s="4" t="s">
        <v>62149</v>
      </c>
      <c r="M10088" s="2" t="s">
        <v>62215</v>
      </c>
      <c r="N10088" s="2" t="s">
        <v>1277</v>
      </c>
      <c r="O10088" s="4" t="s">
        <v>1278</v>
      </c>
      <c r="P10088" s="2" t="s">
        <v>62151</v>
      </c>
      <c r="Q10088" s="2" t="s">
        <v>31</v>
      </c>
      <c r="R10088" s="2" t="s">
        <v>1281</v>
      </c>
      <c r="S10088" s="4" t="s">
        <v>62152</v>
      </c>
      <c r="T10088" s="2" t="s">
        <v>66</v>
      </c>
      <c r="U10088" s="4" t="s">
        <v>31</v>
      </c>
      <c r="V10088" s="2" t="s">
        <v>62216</v>
      </c>
      <c r="W10088" s="2" t="s">
        <v>62147</v>
      </c>
      <c r="X10088" s="5" t="str">
        <f>HYPERLINK("https://my.pitchbook.com?p=198850-78P","View People Online")</f>
        <v>View People Online</v>
      </c>
    </row>
    <row r="10089">
      <c r="A10089" s="6" t="s">
        <v>62217</v>
      </c>
      <c r="B10089" s="6" t="s">
        <v>62218</v>
      </c>
      <c r="C10089" s="6" t="s">
        <v>62219</v>
      </c>
      <c r="D10089" s="6" t="s">
        <v>62220</v>
      </c>
      <c r="E10089" s="6" t="s">
        <v>62147</v>
      </c>
      <c r="F10089" s="6" t="s">
        <v>62221</v>
      </c>
      <c r="G10089" s="6" t="s">
        <v>62222</v>
      </c>
      <c r="H10089" s="7" t="s">
        <v>31</v>
      </c>
      <c r="I10089" s="7">
        <v>1.0</v>
      </c>
      <c r="J10089" s="7">
        <v>1.0</v>
      </c>
      <c r="K10089" s="7" t="s">
        <v>31</v>
      </c>
      <c r="L10089" s="8" t="s">
        <v>62149</v>
      </c>
      <c r="M10089" s="6" t="s">
        <v>62223</v>
      </c>
      <c r="N10089" s="6" t="s">
        <v>1277</v>
      </c>
      <c r="O10089" s="8" t="s">
        <v>1278</v>
      </c>
      <c r="P10089" s="6" t="s">
        <v>62151</v>
      </c>
      <c r="Q10089" s="6" t="s">
        <v>31</v>
      </c>
      <c r="R10089" s="6" t="s">
        <v>1281</v>
      </c>
      <c r="S10089" s="8" t="s">
        <v>62152</v>
      </c>
      <c r="T10089" s="6" t="s">
        <v>66</v>
      </c>
      <c r="U10089" s="8" t="s">
        <v>31</v>
      </c>
      <c r="V10089" s="6" t="s">
        <v>62224</v>
      </c>
      <c r="W10089" s="6" t="s">
        <v>62147</v>
      </c>
      <c r="X10089" s="9" t="str">
        <f>HYPERLINK("https://my.pitchbook.com?p=152538-13P","View People Online")</f>
        <v>View People Online</v>
      </c>
    </row>
    <row r="10090">
      <c r="A10090" s="10" t="s">
        <v>62225</v>
      </c>
      <c r="B10090" s="10" t="s">
        <v>62226</v>
      </c>
      <c r="C10090" s="10" t="s">
        <v>9032</v>
      </c>
      <c r="D10090" s="10" t="s">
        <v>62227</v>
      </c>
      <c r="E10090" s="10" t="s">
        <v>62147</v>
      </c>
      <c r="F10090" s="10" t="s">
        <v>548</v>
      </c>
      <c r="G10090" s="10" t="s">
        <v>62228</v>
      </c>
      <c r="H10090" s="11" t="s">
        <v>31</v>
      </c>
      <c r="I10090" s="11">
        <v>2.0</v>
      </c>
      <c r="J10090" s="11">
        <v>1.0</v>
      </c>
      <c r="K10090" s="11">
        <v>1.0</v>
      </c>
      <c r="L10090" s="12" t="s">
        <v>62149</v>
      </c>
      <c r="M10090" s="10" t="s">
        <v>62229</v>
      </c>
      <c r="N10090" s="10" t="s">
        <v>1277</v>
      </c>
      <c r="O10090" s="12" t="s">
        <v>1278</v>
      </c>
      <c r="P10090" s="10" t="s">
        <v>62151</v>
      </c>
      <c r="Q10090" s="10" t="s">
        <v>31</v>
      </c>
      <c r="R10090" s="10" t="s">
        <v>1281</v>
      </c>
      <c r="S10090" s="12" t="s">
        <v>62152</v>
      </c>
      <c r="T10090" s="10" t="s">
        <v>66</v>
      </c>
      <c r="U10090" s="12" t="s">
        <v>31</v>
      </c>
      <c r="V10090" s="10" t="s">
        <v>48965</v>
      </c>
      <c r="W10090" s="10" t="s">
        <v>62147</v>
      </c>
      <c r="X10090" s="13" t="str">
        <f>HYPERLINK("https://my.pitchbook.com?p=424813-60P","View People Online")</f>
        <v>View People Online</v>
      </c>
    </row>
    <row r="10091">
      <c r="A10091" s="6" t="s">
        <v>62230</v>
      </c>
      <c r="B10091" s="6" t="s">
        <v>62231</v>
      </c>
      <c r="C10091" s="6" t="s">
        <v>62232</v>
      </c>
      <c r="D10091" s="6" t="s">
        <v>62233</v>
      </c>
      <c r="E10091" s="6" t="s">
        <v>62147</v>
      </c>
      <c r="F10091" s="6" t="s">
        <v>371</v>
      </c>
      <c r="G10091" s="6" t="s">
        <v>62234</v>
      </c>
      <c r="H10091" s="7" t="s">
        <v>31</v>
      </c>
      <c r="I10091" s="7">
        <v>1.0</v>
      </c>
      <c r="J10091" s="7">
        <v>1.0</v>
      </c>
      <c r="K10091" s="7" t="s">
        <v>31</v>
      </c>
      <c r="L10091" s="8" t="s">
        <v>62149</v>
      </c>
      <c r="M10091" s="6" t="s">
        <v>62235</v>
      </c>
      <c r="N10091" s="6" t="s">
        <v>1277</v>
      </c>
      <c r="O10091" s="8" t="s">
        <v>1278</v>
      </c>
      <c r="P10091" s="6" t="s">
        <v>62151</v>
      </c>
      <c r="Q10091" s="6" t="s">
        <v>31</v>
      </c>
      <c r="R10091" s="6" t="s">
        <v>1281</v>
      </c>
      <c r="S10091" s="8" t="s">
        <v>62152</v>
      </c>
      <c r="T10091" s="6" t="s">
        <v>66</v>
      </c>
      <c r="U10091" s="8" t="s">
        <v>31</v>
      </c>
      <c r="V10091" s="6" t="s">
        <v>62236</v>
      </c>
      <c r="W10091" s="6" t="s">
        <v>62147</v>
      </c>
      <c r="X10091" s="9" t="str">
        <f>HYPERLINK("https://my.pitchbook.com?p=166676-77P","View People Online")</f>
        <v>View People Online</v>
      </c>
    </row>
    <row r="10092">
      <c r="A10092" s="10" t="s">
        <v>62237</v>
      </c>
      <c r="B10092" s="10" t="s">
        <v>62238</v>
      </c>
      <c r="C10092" s="10" t="s">
        <v>62239</v>
      </c>
      <c r="D10092" s="10" t="s">
        <v>3637</v>
      </c>
      <c r="E10092" s="10" t="s">
        <v>62147</v>
      </c>
      <c r="F10092" s="10" t="s">
        <v>548</v>
      </c>
      <c r="G10092" s="10" t="s">
        <v>62240</v>
      </c>
      <c r="H10092" s="11" t="s">
        <v>31</v>
      </c>
      <c r="I10092" s="11">
        <v>1.0</v>
      </c>
      <c r="J10092" s="11">
        <v>1.0</v>
      </c>
      <c r="K10092" s="11" t="s">
        <v>31</v>
      </c>
      <c r="L10092" s="12" t="s">
        <v>62149</v>
      </c>
      <c r="M10092" s="10" t="s">
        <v>62241</v>
      </c>
      <c r="N10092" s="10" t="s">
        <v>1277</v>
      </c>
      <c r="O10092" s="12" t="s">
        <v>1278</v>
      </c>
      <c r="P10092" s="10" t="s">
        <v>62151</v>
      </c>
      <c r="Q10092" s="10" t="s">
        <v>31</v>
      </c>
      <c r="R10092" s="10" t="s">
        <v>1281</v>
      </c>
      <c r="S10092" s="12" t="s">
        <v>62152</v>
      </c>
      <c r="T10092" s="10" t="s">
        <v>66</v>
      </c>
      <c r="U10092" s="12" t="s">
        <v>31</v>
      </c>
      <c r="V10092" s="10" t="s">
        <v>62242</v>
      </c>
      <c r="W10092" s="10" t="s">
        <v>62147</v>
      </c>
      <c r="X10092" s="13" t="str">
        <f>HYPERLINK("https://my.pitchbook.com?p=170291-71P","View People Online")</f>
        <v>View People Online</v>
      </c>
    </row>
    <row r="10093">
      <c r="A10093" s="6" t="s">
        <v>62243</v>
      </c>
      <c r="B10093" s="6" t="s">
        <v>62244</v>
      </c>
      <c r="C10093" s="6" t="s">
        <v>59467</v>
      </c>
      <c r="D10093" s="6" t="s">
        <v>62245</v>
      </c>
      <c r="E10093" s="6" t="s">
        <v>62147</v>
      </c>
      <c r="F10093" s="6" t="s">
        <v>270</v>
      </c>
      <c r="G10093" s="6" t="s">
        <v>62246</v>
      </c>
      <c r="H10093" s="7" t="s">
        <v>31</v>
      </c>
      <c r="I10093" s="7">
        <v>1.0</v>
      </c>
      <c r="J10093" s="7">
        <v>1.0</v>
      </c>
      <c r="K10093" s="7" t="s">
        <v>31</v>
      </c>
      <c r="L10093" s="8" t="s">
        <v>62149</v>
      </c>
      <c r="M10093" s="6" t="s">
        <v>62247</v>
      </c>
      <c r="N10093" s="6" t="s">
        <v>1277</v>
      </c>
      <c r="O10093" s="8" t="s">
        <v>1278</v>
      </c>
      <c r="P10093" s="6" t="s">
        <v>62151</v>
      </c>
      <c r="Q10093" s="6" t="s">
        <v>31</v>
      </c>
      <c r="R10093" s="6" t="s">
        <v>1281</v>
      </c>
      <c r="S10093" s="8" t="s">
        <v>62152</v>
      </c>
      <c r="T10093" s="6" t="s">
        <v>66</v>
      </c>
      <c r="U10093" s="8" t="s">
        <v>31</v>
      </c>
      <c r="V10093" s="6" t="s">
        <v>62248</v>
      </c>
      <c r="W10093" s="6" t="s">
        <v>62147</v>
      </c>
      <c r="X10093" s="9" t="str">
        <f>HYPERLINK("https://my.pitchbook.com?p=51501-88P","View People Online")</f>
        <v>View People Online</v>
      </c>
    </row>
    <row r="10094">
      <c r="A10094" s="2" t="s">
        <v>62249</v>
      </c>
      <c r="B10094" s="2" t="s">
        <v>62250</v>
      </c>
      <c r="C10094" s="2" t="s">
        <v>62251</v>
      </c>
      <c r="D10094" s="2" t="s">
        <v>62252</v>
      </c>
      <c r="E10094" s="2" t="s">
        <v>62147</v>
      </c>
      <c r="F10094" s="2" t="s">
        <v>221</v>
      </c>
      <c r="G10094" s="2" t="s">
        <v>62253</v>
      </c>
      <c r="H10094" s="3" t="s">
        <v>31</v>
      </c>
      <c r="I10094" s="3">
        <v>1.0</v>
      </c>
      <c r="J10094" s="3">
        <v>1.0</v>
      </c>
      <c r="K10094" s="3" t="s">
        <v>31</v>
      </c>
      <c r="L10094" s="4" t="s">
        <v>62149</v>
      </c>
      <c r="M10094" s="2" t="s">
        <v>62254</v>
      </c>
      <c r="N10094" s="2" t="s">
        <v>1277</v>
      </c>
      <c r="O10094" s="4" t="s">
        <v>1278</v>
      </c>
      <c r="P10094" s="2" t="s">
        <v>62151</v>
      </c>
      <c r="Q10094" s="2" t="s">
        <v>31</v>
      </c>
      <c r="R10094" s="2" t="s">
        <v>1281</v>
      </c>
      <c r="S10094" s="4" t="s">
        <v>62152</v>
      </c>
      <c r="T10094" s="2" t="s">
        <v>66</v>
      </c>
      <c r="U10094" s="4" t="s">
        <v>31</v>
      </c>
      <c r="V10094" s="2" t="s">
        <v>62255</v>
      </c>
      <c r="W10094" s="2" t="s">
        <v>62147</v>
      </c>
      <c r="X10094" s="5" t="str">
        <f>HYPERLINK("https://my.pitchbook.com?p=401557-96P","View People Online")</f>
        <v>View People Online</v>
      </c>
    </row>
    <row r="10095">
      <c r="A10095" s="6" t="s">
        <v>62256</v>
      </c>
      <c r="B10095" s="6" t="s">
        <v>62257</v>
      </c>
      <c r="C10095" s="6" t="s">
        <v>1376</v>
      </c>
      <c r="D10095" s="6" t="s">
        <v>62258</v>
      </c>
      <c r="E10095" s="6" t="s">
        <v>62147</v>
      </c>
      <c r="F10095" s="6" t="s">
        <v>371</v>
      </c>
      <c r="G10095" s="6" t="s">
        <v>62259</v>
      </c>
      <c r="H10095" s="7" t="s">
        <v>31</v>
      </c>
      <c r="I10095" s="7">
        <v>1.0</v>
      </c>
      <c r="J10095" s="7">
        <v>1.0</v>
      </c>
      <c r="K10095" s="7" t="s">
        <v>31</v>
      </c>
      <c r="L10095" s="8" t="s">
        <v>62149</v>
      </c>
      <c r="M10095" s="6" t="s">
        <v>62260</v>
      </c>
      <c r="N10095" s="6" t="s">
        <v>1277</v>
      </c>
      <c r="O10095" s="8" t="s">
        <v>1278</v>
      </c>
      <c r="P10095" s="6" t="s">
        <v>62151</v>
      </c>
      <c r="Q10095" s="6" t="s">
        <v>31</v>
      </c>
      <c r="R10095" s="6" t="s">
        <v>1281</v>
      </c>
      <c r="S10095" s="8" t="s">
        <v>62152</v>
      </c>
      <c r="T10095" s="6" t="s">
        <v>66</v>
      </c>
      <c r="U10095" s="8" t="s">
        <v>31</v>
      </c>
      <c r="V10095" s="6" t="s">
        <v>62261</v>
      </c>
      <c r="W10095" s="6" t="s">
        <v>62147</v>
      </c>
      <c r="X10095" s="9" t="str">
        <f>HYPERLINK("https://my.pitchbook.com?p=388696-15P","View People Online")</f>
        <v>View People Online</v>
      </c>
    </row>
    <row r="10096">
      <c r="A10096" s="2" t="s">
        <v>62262</v>
      </c>
      <c r="B10096" s="2" t="s">
        <v>62263</v>
      </c>
      <c r="C10096" s="2" t="s">
        <v>62264</v>
      </c>
      <c r="D10096" s="2" t="s">
        <v>3671</v>
      </c>
      <c r="E10096" s="2" t="s">
        <v>62147</v>
      </c>
      <c r="F10096" s="2" t="s">
        <v>55750</v>
      </c>
      <c r="G10096" s="2" t="s">
        <v>62265</v>
      </c>
      <c r="H10096" s="3" t="s">
        <v>31</v>
      </c>
      <c r="I10096" s="3">
        <v>1.0</v>
      </c>
      <c r="J10096" s="3">
        <v>1.0</v>
      </c>
      <c r="K10096" s="3" t="s">
        <v>31</v>
      </c>
      <c r="L10096" s="4" t="s">
        <v>62149</v>
      </c>
      <c r="M10096" s="2" t="s">
        <v>62266</v>
      </c>
      <c r="N10096" s="2" t="s">
        <v>1277</v>
      </c>
      <c r="O10096" s="4" t="s">
        <v>1278</v>
      </c>
      <c r="P10096" s="2" t="s">
        <v>62151</v>
      </c>
      <c r="Q10096" s="2" t="s">
        <v>31</v>
      </c>
      <c r="R10096" s="2" t="s">
        <v>1281</v>
      </c>
      <c r="S10096" s="4" t="s">
        <v>62152</v>
      </c>
      <c r="T10096" s="2" t="s">
        <v>66</v>
      </c>
      <c r="U10096" s="4" t="s">
        <v>31</v>
      </c>
      <c r="V10096" s="2" t="s">
        <v>55750</v>
      </c>
      <c r="W10096" s="2" t="s">
        <v>62147</v>
      </c>
      <c r="X10096" s="5" t="str">
        <f>HYPERLINK("https://my.pitchbook.com?p=79175-98P","View People Online")</f>
        <v>View People Online</v>
      </c>
    </row>
    <row r="10097">
      <c r="A10097" s="14" t="s">
        <v>62267</v>
      </c>
      <c r="B10097" s="14" t="s">
        <v>62268</v>
      </c>
      <c r="C10097" s="14" t="s">
        <v>24384</v>
      </c>
      <c r="D10097" s="14" t="s">
        <v>62269</v>
      </c>
      <c r="E10097" s="14" t="s">
        <v>62147</v>
      </c>
      <c r="F10097" s="14" t="s">
        <v>825</v>
      </c>
      <c r="G10097" s="14" t="s">
        <v>62270</v>
      </c>
      <c r="H10097" s="15" t="s">
        <v>31</v>
      </c>
      <c r="I10097" s="15">
        <v>2.0</v>
      </c>
      <c r="J10097" s="15">
        <v>2.0</v>
      </c>
      <c r="K10097" s="15" t="s">
        <v>31</v>
      </c>
      <c r="L10097" s="16" t="s">
        <v>62149</v>
      </c>
      <c r="M10097" s="14" t="s">
        <v>62271</v>
      </c>
      <c r="N10097" s="14" t="s">
        <v>1277</v>
      </c>
      <c r="O10097" s="16" t="s">
        <v>1278</v>
      </c>
      <c r="P10097" s="14" t="s">
        <v>62151</v>
      </c>
      <c r="Q10097" s="14" t="s">
        <v>31</v>
      </c>
      <c r="R10097" s="14" t="s">
        <v>1281</v>
      </c>
      <c r="S10097" s="16" t="s">
        <v>62152</v>
      </c>
      <c r="T10097" s="14" t="s">
        <v>66</v>
      </c>
      <c r="U10097" s="16" t="s">
        <v>31</v>
      </c>
      <c r="V10097" s="14" t="s">
        <v>62272</v>
      </c>
      <c r="W10097" s="14" t="s">
        <v>62147</v>
      </c>
      <c r="X10097" s="17" t="str">
        <f>HYPERLINK("https://my.pitchbook.com?p=310999-96P","View People Online")</f>
        <v>View People Online</v>
      </c>
    </row>
    <row r="10098">
      <c r="A10098" s="10" t="s">
        <v>62273</v>
      </c>
      <c r="B10098" s="10" t="s">
        <v>62274</v>
      </c>
      <c r="C10098" s="10" t="s">
        <v>186</v>
      </c>
      <c r="D10098" s="10" t="s">
        <v>62275</v>
      </c>
      <c r="E10098" s="10" t="s">
        <v>62276</v>
      </c>
      <c r="F10098" s="10" t="s">
        <v>1801</v>
      </c>
      <c r="G10098" s="10" t="s">
        <v>62277</v>
      </c>
      <c r="H10098" s="11" t="s">
        <v>31</v>
      </c>
      <c r="I10098" s="11">
        <v>1.0</v>
      </c>
      <c r="J10098" s="11">
        <v>1.0</v>
      </c>
      <c r="K10098" s="11" t="s">
        <v>31</v>
      </c>
      <c r="L10098" s="12" t="s">
        <v>31</v>
      </c>
      <c r="M10098" s="10" t="s">
        <v>62278</v>
      </c>
      <c r="N10098" s="10" t="s">
        <v>6588</v>
      </c>
      <c r="O10098" s="12" t="s">
        <v>6589</v>
      </c>
      <c r="P10098" s="10" t="s">
        <v>54252</v>
      </c>
      <c r="Q10098" s="10" t="s">
        <v>6654</v>
      </c>
      <c r="R10098" s="10" t="s">
        <v>93</v>
      </c>
      <c r="S10098" s="12" t="s">
        <v>52774</v>
      </c>
      <c r="T10098" s="10" t="s">
        <v>66</v>
      </c>
      <c r="U10098" s="12" t="s">
        <v>31</v>
      </c>
      <c r="V10098" s="10" t="s">
        <v>62279</v>
      </c>
      <c r="W10098" s="10" t="s">
        <v>62276</v>
      </c>
      <c r="X10098" s="13" t="str">
        <f>HYPERLINK("https://my.pitchbook.com?p=391435-93P","View People Online")</f>
        <v>View People Online</v>
      </c>
    </row>
    <row r="10099">
      <c r="A10099" s="14" t="s">
        <v>62280</v>
      </c>
      <c r="B10099" s="14" t="s">
        <v>62281</v>
      </c>
      <c r="C10099" s="14" t="s">
        <v>237</v>
      </c>
      <c r="D10099" s="14" t="s">
        <v>60785</v>
      </c>
      <c r="E10099" s="14" t="s">
        <v>62276</v>
      </c>
      <c r="F10099" s="14" t="s">
        <v>1801</v>
      </c>
      <c r="G10099" s="14" t="s">
        <v>62282</v>
      </c>
      <c r="H10099" s="15" t="s">
        <v>31</v>
      </c>
      <c r="I10099" s="15">
        <v>1.0</v>
      </c>
      <c r="J10099" s="15">
        <v>1.0</v>
      </c>
      <c r="K10099" s="15" t="s">
        <v>31</v>
      </c>
      <c r="L10099" s="16" t="s">
        <v>31</v>
      </c>
      <c r="M10099" s="14" t="s">
        <v>62283</v>
      </c>
      <c r="N10099" s="14" t="s">
        <v>6588</v>
      </c>
      <c r="O10099" s="16" t="s">
        <v>6589</v>
      </c>
      <c r="P10099" s="14" t="s">
        <v>54252</v>
      </c>
      <c r="Q10099" s="14" t="s">
        <v>6654</v>
      </c>
      <c r="R10099" s="14" t="s">
        <v>93</v>
      </c>
      <c r="S10099" s="16" t="s">
        <v>52774</v>
      </c>
      <c r="T10099" s="14" t="s">
        <v>66</v>
      </c>
      <c r="U10099" s="16" t="s">
        <v>31</v>
      </c>
      <c r="V10099" s="14" t="s">
        <v>62284</v>
      </c>
      <c r="W10099" s="14" t="s">
        <v>62276</v>
      </c>
      <c r="X10099" s="17" t="str">
        <f>HYPERLINK("https://my.pitchbook.com?p=391428-55P","View People Online")</f>
        <v>View People Online</v>
      </c>
    </row>
    <row r="10100">
      <c r="A10100" s="10" t="s">
        <v>62285</v>
      </c>
      <c r="B10100" s="10" t="s">
        <v>62286</v>
      </c>
      <c r="C10100" s="10" t="s">
        <v>233</v>
      </c>
      <c r="D10100" s="10" t="s">
        <v>62287</v>
      </c>
      <c r="E10100" s="10" t="s">
        <v>62276</v>
      </c>
      <c r="F10100" s="10" t="s">
        <v>1801</v>
      </c>
      <c r="G10100" s="10" t="s">
        <v>62288</v>
      </c>
      <c r="H10100" s="11" t="s">
        <v>31</v>
      </c>
      <c r="I10100" s="11">
        <v>1.0</v>
      </c>
      <c r="J10100" s="11">
        <v>1.0</v>
      </c>
      <c r="K10100" s="11" t="s">
        <v>31</v>
      </c>
      <c r="L10100" s="12" t="s">
        <v>31</v>
      </c>
      <c r="M10100" s="10" t="s">
        <v>62289</v>
      </c>
      <c r="N10100" s="10" t="s">
        <v>6588</v>
      </c>
      <c r="O10100" s="12" t="s">
        <v>6589</v>
      </c>
      <c r="P10100" s="10" t="s">
        <v>54252</v>
      </c>
      <c r="Q10100" s="10" t="s">
        <v>6654</v>
      </c>
      <c r="R10100" s="10" t="s">
        <v>93</v>
      </c>
      <c r="S10100" s="12" t="s">
        <v>52774</v>
      </c>
      <c r="T10100" s="10" t="s">
        <v>66</v>
      </c>
      <c r="U10100" s="12" t="s">
        <v>31</v>
      </c>
      <c r="V10100" s="10" t="s">
        <v>62290</v>
      </c>
      <c r="W10100" s="10" t="s">
        <v>62276</v>
      </c>
      <c r="X10100" s="13" t="str">
        <f>HYPERLINK("https://my.pitchbook.com?p=391467-88P","View People Online")</f>
        <v>View People Online</v>
      </c>
    </row>
    <row r="10101">
      <c r="A10101" s="6" t="s">
        <v>62291</v>
      </c>
      <c r="B10101" s="6" t="s">
        <v>62292</v>
      </c>
      <c r="C10101" s="6" t="s">
        <v>28958</v>
      </c>
      <c r="D10101" s="6" t="s">
        <v>62293</v>
      </c>
      <c r="E10101" s="6" t="s">
        <v>62276</v>
      </c>
      <c r="F10101" s="6" t="s">
        <v>201</v>
      </c>
      <c r="G10101" s="6" t="s">
        <v>62294</v>
      </c>
      <c r="H10101" s="7" t="s">
        <v>31</v>
      </c>
      <c r="I10101" s="7">
        <v>1.0</v>
      </c>
      <c r="J10101" s="7">
        <v>1.0</v>
      </c>
      <c r="K10101" s="7" t="s">
        <v>31</v>
      </c>
      <c r="L10101" s="8" t="s">
        <v>31</v>
      </c>
      <c r="M10101" s="6" t="s">
        <v>62295</v>
      </c>
      <c r="N10101" s="6" t="s">
        <v>6588</v>
      </c>
      <c r="O10101" s="8" t="s">
        <v>6589</v>
      </c>
      <c r="P10101" s="6" t="s">
        <v>54252</v>
      </c>
      <c r="Q10101" s="6" t="s">
        <v>6654</v>
      </c>
      <c r="R10101" s="6" t="s">
        <v>93</v>
      </c>
      <c r="S10101" s="8" t="s">
        <v>52774</v>
      </c>
      <c r="T10101" s="6" t="s">
        <v>66</v>
      </c>
      <c r="U10101" s="8" t="s">
        <v>31</v>
      </c>
      <c r="V10101" s="6" t="s">
        <v>62296</v>
      </c>
      <c r="W10101" s="6" t="s">
        <v>62276</v>
      </c>
      <c r="X10101" s="9" t="str">
        <f>HYPERLINK("https://my.pitchbook.com?p=391478-32P","View People Online")</f>
        <v>View People Online</v>
      </c>
    </row>
    <row r="10102">
      <c r="A10102" s="2" t="s">
        <v>62297</v>
      </c>
      <c r="B10102" s="2" t="s">
        <v>62298</v>
      </c>
      <c r="C10102" s="2" t="s">
        <v>4731</v>
      </c>
      <c r="D10102" s="2" t="s">
        <v>37624</v>
      </c>
      <c r="E10102" s="2" t="s">
        <v>62276</v>
      </c>
      <c r="F10102" s="2" t="s">
        <v>1801</v>
      </c>
      <c r="G10102" s="2" t="s">
        <v>62299</v>
      </c>
      <c r="H10102" s="3" t="s">
        <v>31</v>
      </c>
      <c r="I10102" s="3">
        <v>1.0</v>
      </c>
      <c r="J10102" s="3">
        <v>1.0</v>
      </c>
      <c r="K10102" s="3" t="s">
        <v>31</v>
      </c>
      <c r="L10102" s="4" t="s">
        <v>31</v>
      </c>
      <c r="M10102" s="2" t="s">
        <v>62300</v>
      </c>
      <c r="N10102" s="2" t="s">
        <v>6588</v>
      </c>
      <c r="O10102" s="4" t="s">
        <v>6589</v>
      </c>
      <c r="P10102" s="2" t="s">
        <v>54252</v>
      </c>
      <c r="Q10102" s="2" t="s">
        <v>6654</v>
      </c>
      <c r="R10102" s="2" t="s">
        <v>93</v>
      </c>
      <c r="S10102" s="4" t="s">
        <v>52774</v>
      </c>
      <c r="T10102" s="2" t="s">
        <v>66</v>
      </c>
      <c r="U10102" s="4" t="s">
        <v>31</v>
      </c>
      <c r="V10102" s="2" t="s">
        <v>62301</v>
      </c>
      <c r="W10102" s="2" t="s">
        <v>62276</v>
      </c>
      <c r="X10102" s="5" t="str">
        <f>HYPERLINK("https://my.pitchbook.com?p=391477-33P","View People Online")</f>
        <v>View People Online</v>
      </c>
    </row>
    <row r="10103">
      <c r="A10103" s="14" t="s">
        <v>62302</v>
      </c>
      <c r="B10103" s="14" t="s">
        <v>62303</v>
      </c>
      <c r="C10103" s="14" t="s">
        <v>654</v>
      </c>
      <c r="D10103" s="14" t="s">
        <v>62304</v>
      </c>
      <c r="E10103" s="14" t="s">
        <v>62276</v>
      </c>
      <c r="F10103" s="14" t="s">
        <v>1801</v>
      </c>
      <c r="G10103" s="14" t="s">
        <v>62305</v>
      </c>
      <c r="H10103" s="15" t="s">
        <v>31</v>
      </c>
      <c r="I10103" s="15">
        <v>1.0</v>
      </c>
      <c r="J10103" s="15">
        <v>1.0</v>
      </c>
      <c r="K10103" s="15" t="s">
        <v>31</v>
      </c>
      <c r="L10103" s="16" t="s">
        <v>31</v>
      </c>
      <c r="M10103" s="14" t="s">
        <v>62306</v>
      </c>
      <c r="N10103" s="14" t="s">
        <v>6588</v>
      </c>
      <c r="O10103" s="16" t="s">
        <v>6589</v>
      </c>
      <c r="P10103" s="14" t="s">
        <v>54252</v>
      </c>
      <c r="Q10103" s="14" t="s">
        <v>6654</v>
      </c>
      <c r="R10103" s="14" t="s">
        <v>93</v>
      </c>
      <c r="S10103" s="16" t="s">
        <v>52774</v>
      </c>
      <c r="T10103" s="14" t="s">
        <v>66</v>
      </c>
      <c r="U10103" s="16" t="s">
        <v>31</v>
      </c>
      <c r="V10103" s="14" t="s">
        <v>62307</v>
      </c>
      <c r="W10103" s="14" t="s">
        <v>62276</v>
      </c>
      <c r="X10103" s="17" t="str">
        <f>HYPERLINK("https://my.pitchbook.com?p=391441-33P","View People Online")</f>
        <v>View People Online</v>
      </c>
    </row>
    <row r="10104">
      <c r="A10104" s="2" t="s">
        <v>62308</v>
      </c>
      <c r="B10104" s="2" t="s">
        <v>62309</v>
      </c>
      <c r="C10104" s="2" t="s">
        <v>62310</v>
      </c>
      <c r="D10104" s="2" t="s">
        <v>18117</v>
      </c>
      <c r="E10104" s="2" t="s">
        <v>62276</v>
      </c>
      <c r="F10104" s="2" t="s">
        <v>318</v>
      </c>
      <c r="G10104" s="2" t="s">
        <v>62311</v>
      </c>
      <c r="H10104" s="3" t="s">
        <v>31</v>
      </c>
      <c r="I10104" s="3">
        <v>1.0</v>
      </c>
      <c r="J10104" s="3">
        <v>1.0</v>
      </c>
      <c r="K10104" s="3" t="s">
        <v>31</v>
      </c>
      <c r="L10104" s="4" t="s">
        <v>31</v>
      </c>
      <c r="M10104" s="2" t="s">
        <v>62312</v>
      </c>
      <c r="N10104" s="2" t="s">
        <v>6588</v>
      </c>
      <c r="O10104" s="4" t="s">
        <v>6589</v>
      </c>
      <c r="P10104" s="2" t="s">
        <v>54252</v>
      </c>
      <c r="Q10104" s="2" t="s">
        <v>6654</v>
      </c>
      <c r="R10104" s="2" t="s">
        <v>93</v>
      </c>
      <c r="S10104" s="4" t="s">
        <v>52774</v>
      </c>
      <c r="T10104" s="2" t="s">
        <v>66</v>
      </c>
      <c r="U10104" s="4" t="s">
        <v>31</v>
      </c>
      <c r="V10104" s="2" t="s">
        <v>62313</v>
      </c>
      <c r="W10104" s="2" t="s">
        <v>62276</v>
      </c>
      <c r="X10104" s="5" t="str">
        <f>HYPERLINK("https://my.pitchbook.com?p=391424-14P","View People Online")</f>
        <v>View People Online</v>
      </c>
    </row>
    <row r="10105">
      <c r="A10105" s="6" t="s">
        <v>62314</v>
      </c>
      <c r="B10105" s="6" t="s">
        <v>62315</v>
      </c>
      <c r="C10105" s="6" t="s">
        <v>1559</v>
      </c>
      <c r="D10105" s="6" t="s">
        <v>62316</v>
      </c>
      <c r="E10105" s="6" t="s">
        <v>62276</v>
      </c>
      <c r="F10105" s="6" t="s">
        <v>1801</v>
      </c>
      <c r="G10105" s="6" t="s">
        <v>62317</v>
      </c>
      <c r="H10105" s="7" t="s">
        <v>31</v>
      </c>
      <c r="I10105" s="7">
        <v>1.0</v>
      </c>
      <c r="J10105" s="7">
        <v>1.0</v>
      </c>
      <c r="K10105" s="7" t="s">
        <v>31</v>
      </c>
      <c r="L10105" s="8" t="s">
        <v>31</v>
      </c>
      <c r="M10105" s="6" t="s">
        <v>62318</v>
      </c>
      <c r="N10105" s="6" t="s">
        <v>6588</v>
      </c>
      <c r="O10105" s="8" t="s">
        <v>6589</v>
      </c>
      <c r="P10105" s="6" t="s">
        <v>54252</v>
      </c>
      <c r="Q10105" s="6" t="s">
        <v>6654</v>
      </c>
      <c r="R10105" s="6" t="s">
        <v>93</v>
      </c>
      <c r="S10105" s="8" t="s">
        <v>52774</v>
      </c>
      <c r="T10105" s="6" t="s">
        <v>66</v>
      </c>
      <c r="U10105" s="8" t="s">
        <v>31</v>
      </c>
      <c r="V10105" s="6" t="s">
        <v>62307</v>
      </c>
      <c r="W10105" s="6" t="s">
        <v>62276</v>
      </c>
      <c r="X10105" s="9" t="str">
        <f>HYPERLINK("https://my.pitchbook.com?p=391473-28P","View People Online")</f>
        <v>View People Online</v>
      </c>
    </row>
    <row r="10106">
      <c r="A10106" s="2" t="s">
        <v>62319</v>
      </c>
      <c r="B10106" s="2" t="s">
        <v>62320</v>
      </c>
      <c r="C10106" s="2" t="s">
        <v>30376</v>
      </c>
      <c r="D10106" s="2" t="s">
        <v>17473</v>
      </c>
      <c r="E10106" s="2" t="s">
        <v>62276</v>
      </c>
      <c r="F10106" s="2" t="s">
        <v>201</v>
      </c>
      <c r="G10106" s="2" t="s">
        <v>62321</v>
      </c>
      <c r="H10106" s="3" t="s">
        <v>31</v>
      </c>
      <c r="I10106" s="3">
        <v>1.0</v>
      </c>
      <c r="J10106" s="3">
        <v>1.0</v>
      </c>
      <c r="K10106" s="3" t="s">
        <v>31</v>
      </c>
      <c r="L10106" s="4" t="s">
        <v>31</v>
      </c>
      <c r="M10106" s="2" t="s">
        <v>62322</v>
      </c>
      <c r="N10106" s="2" t="s">
        <v>6588</v>
      </c>
      <c r="O10106" s="4" t="s">
        <v>6589</v>
      </c>
      <c r="P10106" s="2" t="s">
        <v>54252</v>
      </c>
      <c r="Q10106" s="2" t="s">
        <v>6654</v>
      </c>
      <c r="R10106" s="2" t="s">
        <v>93</v>
      </c>
      <c r="S10106" s="4" t="s">
        <v>52774</v>
      </c>
      <c r="T10106" s="2" t="s">
        <v>66</v>
      </c>
      <c r="U10106" s="4" t="s">
        <v>31</v>
      </c>
      <c r="V10106" s="2" t="s">
        <v>62323</v>
      </c>
      <c r="W10106" s="2" t="s">
        <v>62276</v>
      </c>
      <c r="X10106" s="5" t="str">
        <f>HYPERLINK("https://my.pitchbook.com?p=391471-39P","View People Online")</f>
        <v>View People Online</v>
      </c>
    </row>
    <row r="10107">
      <c r="A10107" s="14" t="s">
        <v>62324</v>
      </c>
      <c r="B10107" s="14" t="s">
        <v>62325</v>
      </c>
      <c r="C10107" s="14" t="s">
        <v>1197</v>
      </c>
      <c r="D10107" s="14" t="s">
        <v>18701</v>
      </c>
      <c r="E10107" s="14" t="s">
        <v>62276</v>
      </c>
      <c r="F10107" s="14" t="s">
        <v>825</v>
      </c>
      <c r="G10107" s="14" t="s">
        <v>62326</v>
      </c>
      <c r="H10107" s="15" t="s">
        <v>31</v>
      </c>
      <c r="I10107" s="15">
        <v>1.0</v>
      </c>
      <c r="J10107" s="15">
        <v>1.0</v>
      </c>
      <c r="K10107" s="15" t="s">
        <v>31</v>
      </c>
      <c r="L10107" s="16" t="s">
        <v>31</v>
      </c>
      <c r="M10107" s="14" t="s">
        <v>62327</v>
      </c>
      <c r="N10107" s="14" t="s">
        <v>6588</v>
      </c>
      <c r="O10107" s="16" t="s">
        <v>6589</v>
      </c>
      <c r="P10107" s="14" t="s">
        <v>54252</v>
      </c>
      <c r="Q10107" s="14" t="s">
        <v>6654</v>
      </c>
      <c r="R10107" s="14" t="s">
        <v>93</v>
      </c>
      <c r="S10107" s="16" t="s">
        <v>52774</v>
      </c>
      <c r="T10107" s="14" t="s">
        <v>66</v>
      </c>
      <c r="U10107" s="16" t="s">
        <v>31</v>
      </c>
      <c r="V10107" s="14" t="s">
        <v>62328</v>
      </c>
      <c r="W10107" s="14" t="s">
        <v>62276</v>
      </c>
      <c r="X10107" s="17" t="str">
        <f>HYPERLINK("https://my.pitchbook.com?p=288890-65P","View People Online")</f>
        <v>View People Online</v>
      </c>
    </row>
    <row r="10108">
      <c r="A10108" s="2" t="s">
        <v>62329</v>
      </c>
      <c r="B10108" s="2" t="s">
        <v>62330</v>
      </c>
      <c r="C10108" s="2" t="s">
        <v>62331</v>
      </c>
      <c r="D10108" s="2" t="s">
        <v>62332</v>
      </c>
      <c r="E10108" s="2" t="s">
        <v>62276</v>
      </c>
      <c r="F10108" s="2" t="s">
        <v>201</v>
      </c>
      <c r="G10108" s="2" t="s">
        <v>62333</v>
      </c>
      <c r="H10108" s="3" t="s">
        <v>31</v>
      </c>
      <c r="I10108" s="3">
        <v>1.0</v>
      </c>
      <c r="J10108" s="3">
        <v>1.0</v>
      </c>
      <c r="K10108" s="3" t="s">
        <v>31</v>
      </c>
      <c r="L10108" s="4" t="s">
        <v>31</v>
      </c>
      <c r="M10108" s="2" t="s">
        <v>62334</v>
      </c>
      <c r="N10108" s="2" t="s">
        <v>6588</v>
      </c>
      <c r="O10108" s="4" t="s">
        <v>6589</v>
      </c>
      <c r="P10108" s="2" t="s">
        <v>54252</v>
      </c>
      <c r="Q10108" s="2" t="s">
        <v>6654</v>
      </c>
      <c r="R10108" s="2" t="s">
        <v>93</v>
      </c>
      <c r="S10108" s="4" t="s">
        <v>52774</v>
      </c>
      <c r="T10108" s="2" t="s">
        <v>66</v>
      </c>
      <c r="U10108" s="4" t="s">
        <v>31</v>
      </c>
      <c r="V10108" s="2" t="s">
        <v>62335</v>
      </c>
      <c r="W10108" s="2" t="s">
        <v>62276</v>
      </c>
      <c r="X10108" s="5" t="str">
        <f>HYPERLINK("https://my.pitchbook.com?p=391472-65P","View People Online")</f>
        <v>View People Online</v>
      </c>
    </row>
    <row r="10109">
      <c r="A10109" s="6" t="s">
        <v>62336</v>
      </c>
      <c r="B10109" s="6" t="s">
        <v>62337</v>
      </c>
      <c r="C10109" s="6" t="s">
        <v>12785</v>
      </c>
      <c r="D10109" s="6" t="s">
        <v>12452</v>
      </c>
      <c r="E10109" s="6" t="s">
        <v>62276</v>
      </c>
      <c r="F10109" s="6" t="s">
        <v>825</v>
      </c>
      <c r="G10109" s="6" t="s">
        <v>62338</v>
      </c>
      <c r="H10109" s="7" t="s">
        <v>31</v>
      </c>
      <c r="I10109" s="7">
        <v>1.0</v>
      </c>
      <c r="J10109" s="7">
        <v>1.0</v>
      </c>
      <c r="K10109" s="7" t="s">
        <v>31</v>
      </c>
      <c r="L10109" s="8" t="s">
        <v>31</v>
      </c>
      <c r="M10109" s="6" t="s">
        <v>62339</v>
      </c>
      <c r="N10109" s="6" t="s">
        <v>6588</v>
      </c>
      <c r="O10109" s="8" t="s">
        <v>6589</v>
      </c>
      <c r="P10109" s="6" t="s">
        <v>54252</v>
      </c>
      <c r="Q10109" s="6" t="s">
        <v>6654</v>
      </c>
      <c r="R10109" s="6" t="s">
        <v>93</v>
      </c>
      <c r="S10109" s="8" t="s">
        <v>52774</v>
      </c>
      <c r="T10109" s="6" t="s">
        <v>66</v>
      </c>
      <c r="U10109" s="8" t="s">
        <v>31</v>
      </c>
      <c r="V10109" s="6" t="s">
        <v>7191</v>
      </c>
      <c r="W10109" s="6" t="s">
        <v>62276</v>
      </c>
      <c r="X10109" s="9" t="str">
        <f>HYPERLINK("https://my.pitchbook.com?p=391448-53P","View People Online")</f>
        <v>View People Online</v>
      </c>
    </row>
    <row r="10110">
      <c r="A10110" s="2" t="s">
        <v>62340</v>
      </c>
      <c r="B10110" s="2" t="s">
        <v>62341</v>
      </c>
      <c r="C10110" s="2" t="s">
        <v>1449</v>
      </c>
      <c r="D10110" s="2" t="s">
        <v>62342</v>
      </c>
      <c r="E10110" s="2" t="s">
        <v>62276</v>
      </c>
      <c r="F10110" s="2" t="s">
        <v>201</v>
      </c>
      <c r="G10110" s="2" t="s">
        <v>62343</v>
      </c>
      <c r="H10110" s="3" t="s">
        <v>31</v>
      </c>
      <c r="I10110" s="3">
        <v>1.0</v>
      </c>
      <c r="J10110" s="3">
        <v>1.0</v>
      </c>
      <c r="K10110" s="3" t="s">
        <v>31</v>
      </c>
      <c r="L10110" s="4" t="s">
        <v>31</v>
      </c>
      <c r="M10110" s="2" t="s">
        <v>62344</v>
      </c>
      <c r="N10110" s="2" t="s">
        <v>6588</v>
      </c>
      <c r="O10110" s="4" t="s">
        <v>6589</v>
      </c>
      <c r="P10110" s="2" t="s">
        <v>54252</v>
      </c>
      <c r="Q10110" s="2" t="s">
        <v>6654</v>
      </c>
      <c r="R10110" s="2" t="s">
        <v>93</v>
      </c>
      <c r="S10110" s="4" t="s">
        <v>52774</v>
      </c>
      <c r="T10110" s="2" t="s">
        <v>66</v>
      </c>
      <c r="U10110" s="4" t="s">
        <v>31</v>
      </c>
      <c r="V10110" s="2" t="s">
        <v>201</v>
      </c>
      <c r="W10110" s="2" t="s">
        <v>62276</v>
      </c>
      <c r="X10110" s="5" t="str">
        <f>HYPERLINK("https://my.pitchbook.com?p=391432-42P","View People Online")</f>
        <v>View People Online</v>
      </c>
    </row>
    <row r="10111">
      <c r="A10111" s="14" t="s">
        <v>62345</v>
      </c>
      <c r="B10111" s="14" t="s">
        <v>62346</v>
      </c>
      <c r="C10111" s="14" t="s">
        <v>62347</v>
      </c>
      <c r="D10111" s="14" t="s">
        <v>62348</v>
      </c>
      <c r="E10111" s="14" t="s">
        <v>62276</v>
      </c>
      <c r="F10111" s="14" t="s">
        <v>201</v>
      </c>
      <c r="G10111" s="14" t="s">
        <v>62349</v>
      </c>
      <c r="H10111" s="15" t="s">
        <v>31</v>
      </c>
      <c r="I10111" s="15">
        <v>1.0</v>
      </c>
      <c r="J10111" s="15">
        <v>1.0</v>
      </c>
      <c r="K10111" s="15" t="s">
        <v>31</v>
      </c>
      <c r="L10111" s="16" t="s">
        <v>31</v>
      </c>
      <c r="M10111" s="14" t="s">
        <v>62350</v>
      </c>
      <c r="N10111" s="14" t="s">
        <v>6588</v>
      </c>
      <c r="O10111" s="16" t="s">
        <v>6589</v>
      </c>
      <c r="P10111" s="14" t="s">
        <v>54252</v>
      </c>
      <c r="Q10111" s="14" t="s">
        <v>6654</v>
      </c>
      <c r="R10111" s="14" t="s">
        <v>93</v>
      </c>
      <c r="S10111" s="16" t="s">
        <v>52774</v>
      </c>
      <c r="T10111" s="14" t="s">
        <v>66</v>
      </c>
      <c r="U10111" s="16" t="s">
        <v>31</v>
      </c>
      <c r="V10111" s="14" t="s">
        <v>62351</v>
      </c>
      <c r="W10111" s="14" t="s">
        <v>62276</v>
      </c>
      <c r="X10111" s="17" t="str">
        <f>HYPERLINK("https://my.pitchbook.com?p=265712-23P","View People Online")</f>
        <v>View People Online</v>
      </c>
    </row>
    <row r="10112">
      <c r="A10112" s="2" t="s">
        <v>62352</v>
      </c>
      <c r="B10112" s="2" t="s">
        <v>62353</v>
      </c>
      <c r="C10112" s="2" t="s">
        <v>1255</v>
      </c>
      <c r="D10112" s="2" t="s">
        <v>62354</v>
      </c>
      <c r="E10112" s="2" t="s">
        <v>62276</v>
      </c>
      <c r="F10112" s="2" t="s">
        <v>270</v>
      </c>
      <c r="G10112" s="2" t="s">
        <v>62355</v>
      </c>
      <c r="H10112" s="3" t="s">
        <v>31</v>
      </c>
      <c r="I10112" s="3">
        <v>1.0</v>
      </c>
      <c r="J10112" s="3">
        <v>1.0</v>
      </c>
      <c r="K10112" s="3" t="s">
        <v>31</v>
      </c>
      <c r="L10112" s="4" t="s">
        <v>31</v>
      </c>
      <c r="M10112" s="2" t="s">
        <v>62356</v>
      </c>
      <c r="N10112" s="2" t="s">
        <v>6588</v>
      </c>
      <c r="O10112" s="4" t="s">
        <v>6589</v>
      </c>
      <c r="P10112" s="2" t="s">
        <v>54252</v>
      </c>
      <c r="Q10112" s="2" t="s">
        <v>6654</v>
      </c>
      <c r="R10112" s="2" t="s">
        <v>93</v>
      </c>
      <c r="S10112" s="4" t="s">
        <v>52774</v>
      </c>
      <c r="T10112" s="2" t="s">
        <v>66</v>
      </c>
      <c r="U10112" s="4" t="s">
        <v>31</v>
      </c>
      <c r="V10112" s="2" t="s">
        <v>62357</v>
      </c>
      <c r="W10112" s="2" t="s">
        <v>62276</v>
      </c>
      <c r="X10112" s="5" t="str">
        <f>HYPERLINK("https://my.pitchbook.com?p=391422-88P","View People Online")</f>
        <v>View People Online</v>
      </c>
    </row>
    <row r="10113">
      <c r="A10113" s="6" t="s">
        <v>62358</v>
      </c>
      <c r="B10113" s="6" t="s">
        <v>62359</v>
      </c>
      <c r="C10113" s="6" t="s">
        <v>1255</v>
      </c>
      <c r="D10113" s="6" t="s">
        <v>6734</v>
      </c>
      <c r="E10113" s="6" t="s">
        <v>62276</v>
      </c>
      <c r="F10113" s="6" t="s">
        <v>1801</v>
      </c>
      <c r="G10113" s="6" t="s">
        <v>62360</v>
      </c>
      <c r="H10113" s="7" t="s">
        <v>31</v>
      </c>
      <c r="I10113" s="7">
        <v>1.0</v>
      </c>
      <c r="J10113" s="7">
        <v>1.0</v>
      </c>
      <c r="K10113" s="7" t="s">
        <v>31</v>
      </c>
      <c r="L10113" s="8" t="s">
        <v>31</v>
      </c>
      <c r="M10113" s="6" t="s">
        <v>62361</v>
      </c>
      <c r="N10113" s="6" t="s">
        <v>6588</v>
      </c>
      <c r="O10113" s="8" t="s">
        <v>6589</v>
      </c>
      <c r="P10113" s="6" t="s">
        <v>54252</v>
      </c>
      <c r="Q10113" s="6" t="s">
        <v>6654</v>
      </c>
      <c r="R10113" s="6" t="s">
        <v>93</v>
      </c>
      <c r="S10113" s="8" t="s">
        <v>52774</v>
      </c>
      <c r="T10113" s="6" t="s">
        <v>66</v>
      </c>
      <c r="U10113" s="8" t="s">
        <v>31</v>
      </c>
      <c r="V10113" s="6" t="s">
        <v>62362</v>
      </c>
      <c r="W10113" s="6" t="s">
        <v>62276</v>
      </c>
      <c r="X10113" s="9" t="str">
        <f>HYPERLINK("https://my.pitchbook.com?p=391446-64P","View People Online")</f>
        <v>View People Online</v>
      </c>
    </row>
    <row r="10114">
      <c r="A10114" s="2" t="s">
        <v>62363</v>
      </c>
      <c r="B10114" s="2" t="s">
        <v>62364</v>
      </c>
      <c r="C10114" s="2" t="s">
        <v>1125</v>
      </c>
      <c r="D10114" s="2" t="s">
        <v>62365</v>
      </c>
      <c r="E10114" s="2" t="s">
        <v>62276</v>
      </c>
      <c r="F10114" s="2" t="s">
        <v>1801</v>
      </c>
      <c r="G10114" s="2" t="s">
        <v>62366</v>
      </c>
      <c r="H10114" s="3" t="s">
        <v>31</v>
      </c>
      <c r="I10114" s="3">
        <v>1.0</v>
      </c>
      <c r="J10114" s="3">
        <v>1.0</v>
      </c>
      <c r="K10114" s="3" t="s">
        <v>31</v>
      </c>
      <c r="L10114" s="4" t="s">
        <v>31</v>
      </c>
      <c r="M10114" s="2" t="s">
        <v>62367</v>
      </c>
      <c r="N10114" s="2" t="s">
        <v>6588</v>
      </c>
      <c r="O10114" s="4" t="s">
        <v>6589</v>
      </c>
      <c r="P10114" s="2" t="s">
        <v>54252</v>
      </c>
      <c r="Q10114" s="2" t="s">
        <v>6654</v>
      </c>
      <c r="R10114" s="2" t="s">
        <v>93</v>
      </c>
      <c r="S10114" s="4" t="s">
        <v>52774</v>
      </c>
      <c r="T10114" s="2" t="s">
        <v>66</v>
      </c>
      <c r="U10114" s="4" t="s">
        <v>31</v>
      </c>
      <c r="V10114" s="2" t="s">
        <v>62307</v>
      </c>
      <c r="W10114" s="2" t="s">
        <v>62276</v>
      </c>
      <c r="X10114" s="5" t="str">
        <f>HYPERLINK("https://my.pitchbook.com?p=391440-16P","View People Online")</f>
        <v>View People Online</v>
      </c>
    </row>
    <row r="10115">
      <c r="A10115" s="14" t="s">
        <v>62368</v>
      </c>
      <c r="B10115" s="14" t="s">
        <v>62369</v>
      </c>
      <c r="C10115" s="14" t="s">
        <v>7138</v>
      </c>
      <c r="D10115" s="14" t="s">
        <v>27572</v>
      </c>
      <c r="E10115" s="14" t="s">
        <v>62276</v>
      </c>
      <c r="F10115" s="14" t="s">
        <v>201</v>
      </c>
      <c r="G10115" s="14" t="s">
        <v>62370</v>
      </c>
      <c r="H10115" s="15" t="s">
        <v>31</v>
      </c>
      <c r="I10115" s="15">
        <v>1.0</v>
      </c>
      <c r="J10115" s="15">
        <v>1.0</v>
      </c>
      <c r="K10115" s="15" t="s">
        <v>31</v>
      </c>
      <c r="L10115" s="16" t="s">
        <v>31</v>
      </c>
      <c r="M10115" s="14" t="s">
        <v>62371</v>
      </c>
      <c r="N10115" s="14" t="s">
        <v>6588</v>
      </c>
      <c r="O10115" s="16" t="s">
        <v>6589</v>
      </c>
      <c r="P10115" s="14" t="s">
        <v>54252</v>
      </c>
      <c r="Q10115" s="14" t="s">
        <v>6654</v>
      </c>
      <c r="R10115" s="14" t="s">
        <v>93</v>
      </c>
      <c r="S10115" s="16" t="s">
        <v>52774</v>
      </c>
      <c r="T10115" s="14" t="s">
        <v>66</v>
      </c>
      <c r="U10115" s="16" t="s">
        <v>31</v>
      </c>
      <c r="V10115" s="14" t="s">
        <v>62372</v>
      </c>
      <c r="W10115" s="14" t="s">
        <v>62276</v>
      </c>
      <c r="X10115" s="17" t="str">
        <f>HYPERLINK("https://my.pitchbook.com?p=391475-44P","View People Online")</f>
        <v>View People Online</v>
      </c>
    </row>
    <row r="10116">
      <c r="A10116" s="2" t="s">
        <v>62373</v>
      </c>
      <c r="B10116" s="2" t="s">
        <v>62374</v>
      </c>
      <c r="C10116" s="2" t="s">
        <v>5358</v>
      </c>
      <c r="D10116" s="2" t="s">
        <v>62375</v>
      </c>
      <c r="E10116" s="2" t="s">
        <v>62276</v>
      </c>
      <c r="F10116" s="2" t="s">
        <v>1801</v>
      </c>
      <c r="G10116" s="2" t="s">
        <v>62376</v>
      </c>
      <c r="H10116" s="3" t="s">
        <v>31</v>
      </c>
      <c r="I10116" s="3">
        <v>1.0</v>
      </c>
      <c r="J10116" s="3">
        <v>1.0</v>
      </c>
      <c r="K10116" s="3" t="s">
        <v>31</v>
      </c>
      <c r="L10116" s="4" t="s">
        <v>31</v>
      </c>
      <c r="M10116" s="2" t="s">
        <v>62377</v>
      </c>
      <c r="N10116" s="2" t="s">
        <v>6588</v>
      </c>
      <c r="O10116" s="4" t="s">
        <v>6589</v>
      </c>
      <c r="P10116" s="2" t="s">
        <v>54252</v>
      </c>
      <c r="Q10116" s="2" t="s">
        <v>6654</v>
      </c>
      <c r="R10116" s="2" t="s">
        <v>93</v>
      </c>
      <c r="S10116" s="4" t="s">
        <v>52774</v>
      </c>
      <c r="T10116" s="2" t="s">
        <v>66</v>
      </c>
      <c r="U10116" s="4" t="s">
        <v>31</v>
      </c>
      <c r="V10116" s="2" t="s">
        <v>62378</v>
      </c>
      <c r="W10116" s="2" t="s">
        <v>62276</v>
      </c>
      <c r="X10116" s="5" t="str">
        <f>HYPERLINK("https://my.pitchbook.com?p=391427-38P","View People Online")</f>
        <v>View People Online</v>
      </c>
    </row>
    <row r="10117">
      <c r="A10117" s="6" t="s">
        <v>62379</v>
      </c>
      <c r="B10117" s="6" t="s">
        <v>62380</v>
      </c>
      <c r="C10117" s="6" t="s">
        <v>3058</v>
      </c>
      <c r="D10117" s="6" t="s">
        <v>62381</v>
      </c>
      <c r="E10117" s="6" t="s">
        <v>62276</v>
      </c>
      <c r="F10117" s="6" t="s">
        <v>1801</v>
      </c>
      <c r="G10117" s="6" t="s">
        <v>62382</v>
      </c>
      <c r="H10117" s="7" t="s">
        <v>31</v>
      </c>
      <c r="I10117" s="7">
        <v>1.0</v>
      </c>
      <c r="J10117" s="7">
        <v>1.0</v>
      </c>
      <c r="K10117" s="7" t="s">
        <v>31</v>
      </c>
      <c r="L10117" s="8" t="s">
        <v>31</v>
      </c>
      <c r="M10117" s="6" t="s">
        <v>62383</v>
      </c>
      <c r="N10117" s="6" t="s">
        <v>6588</v>
      </c>
      <c r="O10117" s="8" t="s">
        <v>6589</v>
      </c>
      <c r="P10117" s="6" t="s">
        <v>54252</v>
      </c>
      <c r="Q10117" s="6" t="s">
        <v>6654</v>
      </c>
      <c r="R10117" s="6" t="s">
        <v>93</v>
      </c>
      <c r="S10117" s="8" t="s">
        <v>52774</v>
      </c>
      <c r="T10117" s="6" t="s">
        <v>66</v>
      </c>
      <c r="U10117" s="8" t="s">
        <v>31</v>
      </c>
      <c r="V10117" s="6" t="s">
        <v>62384</v>
      </c>
      <c r="W10117" s="6" t="s">
        <v>62276</v>
      </c>
      <c r="X10117" s="9" t="str">
        <f>HYPERLINK("https://my.pitchbook.com?p=391425-76P","View People Online")</f>
        <v>View People Online</v>
      </c>
    </row>
    <row r="10118">
      <c r="A10118" s="10" t="s">
        <v>62385</v>
      </c>
      <c r="B10118" s="10" t="s">
        <v>62386</v>
      </c>
      <c r="C10118" s="10" t="s">
        <v>5186</v>
      </c>
      <c r="D10118" s="10" t="s">
        <v>62387</v>
      </c>
      <c r="E10118" s="10" t="s">
        <v>62276</v>
      </c>
      <c r="F10118" s="10" t="s">
        <v>1801</v>
      </c>
      <c r="G10118" s="10" t="s">
        <v>62388</v>
      </c>
      <c r="H10118" s="11" t="s">
        <v>31</v>
      </c>
      <c r="I10118" s="11">
        <v>1.0</v>
      </c>
      <c r="J10118" s="11">
        <v>1.0</v>
      </c>
      <c r="K10118" s="11" t="s">
        <v>31</v>
      </c>
      <c r="L10118" s="12" t="s">
        <v>31</v>
      </c>
      <c r="M10118" s="10" t="s">
        <v>62389</v>
      </c>
      <c r="N10118" s="10" t="s">
        <v>6588</v>
      </c>
      <c r="O10118" s="12" t="s">
        <v>6589</v>
      </c>
      <c r="P10118" s="10" t="s">
        <v>54252</v>
      </c>
      <c r="Q10118" s="10" t="s">
        <v>6654</v>
      </c>
      <c r="R10118" s="10" t="s">
        <v>93</v>
      </c>
      <c r="S10118" s="12" t="s">
        <v>52774</v>
      </c>
      <c r="T10118" s="10" t="s">
        <v>66</v>
      </c>
      <c r="U10118" s="12" t="s">
        <v>31</v>
      </c>
      <c r="V10118" s="10" t="s">
        <v>62390</v>
      </c>
      <c r="W10118" s="10" t="s">
        <v>62276</v>
      </c>
      <c r="X10118" s="13" t="str">
        <f>HYPERLINK("https://my.pitchbook.com?p=391445-29P","View People Online")</f>
        <v>View People Online</v>
      </c>
    </row>
    <row r="10119">
      <c r="A10119" s="6" t="s">
        <v>62391</v>
      </c>
      <c r="B10119" s="6" t="s">
        <v>62392</v>
      </c>
      <c r="C10119" s="6" t="s">
        <v>62393</v>
      </c>
      <c r="D10119" s="6" t="s">
        <v>62394</v>
      </c>
      <c r="E10119" s="6" t="s">
        <v>62276</v>
      </c>
      <c r="F10119" s="6" t="s">
        <v>201</v>
      </c>
      <c r="G10119" s="6" t="s">
        <v>62395</v>
      </c>
      <c r="H10119" s="7" t="s">
        <v>31</v>
      </c>
      <c r="I10119" s="7">
        <v>1.0</v>
      </c>
      <c r="J10119" s="7">
        <v>1.0</v>
      </c>
      <c r="K10119" s="7" t="s">
        <v>31</v>
      </c>
      <c r="L10119" s="8" t="s">
        <v>31</v>
      </c>
      <c r="M10119" s="6" t="s">
        <v>62396</v>
      </c>
      <c r="N10119" s="6" t="s">
        <v>6588</v>
      </c>
      <c r="O10119" s="8" t="s">
        <v>6589</v>
      </c>
      <c r="P10119" s="6" t="s">
        <v>54252</v>
      </c>
      <c r="Q10119" s="6" t="s">
        <v>6654</v>
      </c>
      <c r="R10119" s="6" t="s">
        <v>93</v>
      </c>
      <c r="S10119" s="8" t="s">
        <v>52774</v>
      </c>
      <c r="T10119" s="6" t="s">
        <v>66</v>
      </c>
      <c r="U10119" s="8" t="s">
        <v>31</v>
      </c>
      <c r="V10119" s="6" t="s">
        <v>62397</v>
      </c>
      <c r="W10119" s="6" t="s">
        <v>62276</v>
      </c>
      <c r="X10119" s="9" t="str">
        <f>HYPERLINK("https://my.pitchbook.com?p=391424-86P","View People Online")</f>
        <v>View People Online</v>
      </c>
    </row>
    <row r="10120">
      <c r="A10120" s="2" t="s">
        <v>62398</v>
      </c>
      <c r="B10120" s="2" t="s">
        <v>62399</v>
      </c>
      <c r="C10120" s="2" t="s">
        <v>62400</v>
      </c>
      <c r="D10120" s="2" t="s">
        <v>62401</v>
      </c>
      <c r="E10120" s="2" t="s">
        <v>62276</v>
      </c>
      <c r="F10120" s="2" t="s">
        <v>8217</v>
      </c>
      <c r="G10120" s="2" t="s">
        <v>62402</v>
      </c>
      <c r="H10120" s="3" t="s">
        <v>31</v>
      </c>
      <c r="I10120" s="3">
        <v>1.0</v>
      </c>
      <c r="J10120" s="3">
        <v>1.0</v>
      </c>
      <c r="K10120" s="3" t="s">
        <v>31</v>
      </c>
      <c r="L10120" s="4" t="s">
        <v>31</v>
      </c>
      <c r="M10120" s="2" t="s">
        <v>62403</v>
      </c>
      <c r="N10120" s="2" t="s">
        <v>6588</v>
      </c>
      <c r="O10120" s="4" t="s">
        <v>6589</v>
      </c>
      <c r="P10120" s="2" t="s">
        <v>54252</v>
      </c>
      <c r="Q10120" s="2" t="s">
        <v>6654</v>
      </c>
      <c r="R10120" s="2" t="s">
        <v>93</v>
      </c>
      <c r="S10120" s="4" t="s">
        <v>52774</v>
      </c>
      <c r="T10120" s="2" t="s">
        <v>66</v>
      </c>
      <c r="U10120" s="4" t="s">
        <v>31</v>
      </c>
      <c r="V10120" s="2" t="s">
        <v>8217</v>
      </c>
      <c r="W10120" s="2" t="s">
        <v>62276</v>
      </c>
      <c r="X10120" s="5" t="str">
        <f>HYPERLINK("https://my.pitchbook.com?p=391444-48P","View People Online")</f>
        <v>View People Online</v>
      </c>
    </row>
    <row r="10121">
      <c r="A10121" s="14" t="s">
        <v>62404</v>
      </c>
      <c r="B10121" s="14" t="s">
        <v>62405</v>
      </c>
      <c r="C10121" s="14" t="s">
        <v>32140</v>
      </c>
      <c r="D10121" s="14" t="s">
        <v>62406</v>
      </c>
      <c r="E10121" s="14" t="s">
        <v>62276</v>
      </c>
      <c r="F10121" s="14" t="s">
        <v>318</v>
      </c>
      <c r="G10121" s="14" t="s">
        <v>62407</v>
      </c>
      <c r="H10121" s="15" t="s">
        <v>31</v>
      </c>
      <c r="I10121" s="15">
        <v>1.0</v>
      </c>
      <c r="J10121" s="15">
        <v>1.0</v>
      </c>
      <c r="K10121" s="15" t="s">
        <v>31</v>
      </c>
      <c r="L10121" s="16" t="s">
        <v>31</v>
      </c>
      <c r="M10121" s="14" t="s">
        <v>62408</v>
      </c>
      <c r="N10121" s="14" t="s">
        <v>6588</v>
      </c>
      <c r="O10121" s="16" t="s">
        <v>6589</v>
      </c>
      <c r="P10121" s="14" t="s">
        <v>54252</v>
      </c>
      <c r="Q10121" s="14" t="s">
        <v>6654</v>
      </c>
      <c r="R10121" s="14" t="s">
        <v>93</v>
      </c>
      <c r="S10121" s="16" t="s">
        <v>52774</v>
      </c>
      <c r="T10121" s="14" t="s">
        <v>66</v>
      </c>
      <c r="U10121" s="16" t="s">
        <v>31</v>
      </c>
      <c r="V10121" s="14" t="s">
        <v>62409</v>
      </c>
      <c r="W10121" s="14" t="s">
        <v>62276</v>
      </c>
      <c r="X10121" s="17" t="str">
        <f>HYPERLINK("https://my.pitchbook.com?p=391143-79P","View People Online")</f>
        <v>View People Online</v>
      </c>
    </row>
    <row r="10122">
      <c r="A10122" s="10" t="s">
        <v>62410</v>
      </c>
      <c r="B10122" s="10" t="s">
        <v>62411</v>
      </c>
      <c r="C10122" s="10" t="s">
        <v>62412</v>
      </c>
      <c r="D10122" s="10" t="s">
        <v>62413</v>
      </c>
      <c r="E10122" s="10" t="s">
        <v>62276</v>
      </c>
      <c r="F10122" s="10" t="s">
        <v>201</v>
      </c>
      <c r="G10122" s="10" t="s">
        <v>62414</v>
      </c>
      <c r="H10122" s="11" t="s">
        <v>31</v>
      </c>
      <c r="I10122" s="11">
        <v>1.0</v>
      </c>
      <c r="J10122" s="11">
        <v>1.0</v>
      </c>
      <c r="K10122" s="11" t="s">
        <v>31</v>
      </c>
      <c r="L10122" s="12" t="s">
        <v>31</v>
      </c>
      <c r="M10122" s="10" t="s">
        <v>62415</v>
      </c>
      <c r="N10122" s="10" t="s">
        <v>6588</v>
      </c>
      <c r="O10122" s="12" t="s">
        <v>6589</v>
      </c>
      <c r="P10122" s="10" t="s">
        <v>54252</v>
      </c>
      <c r="Q10122" s="10" t="s">
        <v>6654</v>
      </c>
      <c r="R10122" s="10" t="s">
        <v>93</v>
      </c>
      <c r="S10122" s="12" t="s">
        <v>52774</v>
      </c>
      <c r="T10122" s="10" t="s">
        <v>66</v>
      </c>
      <c r="U10122" s="12" t="s">
        <v>31</v>
      </c>
      <c r="V10122" s="10" t="s">
        <v>62416</v>
      </c>
      <c r="W10122" s="10" t="s">
        <v>62276</v>
      </c>
      <c r="X10122" s="13" t="str">
        <f>HYPERLINK("https://my.pitchbook.com?p=391469-05P","View People Online")</f>
        <v>View People Online</v>
      </c>
    </row>
    <row r="10123">
      <c r="A10123" s="14" t="s">
        <v>62417</v>
      </c>
      <c r="B10123" s="14" t="s">
        <v>62418</v>
      </c>
      <c r="C10123" s="14" t="s">
        <v>20889</v>
      </c>
      <c r="D10123" s="14" t="s">
        <v>62419</v>
      </c>
      <c r="E10123" s="14" t="s">
        <v>62276</v>
      </c>
      <c r="F10123" s="14" t="s">
        <v>825</v>
      </c>
      <c r="G10123" s="14" t="s">
        <v>62420</v>
      </c>
      <c r="H10123" s="15" t="s">
        <v>31</v>
      </c>
      <c r="I10123" s="15">
        <v>1.0</v>
      </c>
      <c r="J10123" s="15">
        <v>1.0</v>
      </c>
      <c r="K10123" s="15" t="s">
        <v>31</v>
      </c>
      <c r="L10123" s="16" t="s">
        <v>31</v>
      </c>
      <c r="M10123" s="14" t="s">
        <v>62421</v>
      </c>
      <c r="N10123" s="14" t="s">
        <v>6588</v>
      </c>
      <c r="O10123" s="16" t="s">
        <v>6589</v>
      </c>
      <c r="P10123" s="14" t="s">
        <v>54252</v>
      </c>
      <c r="Q10123" s="14" t="s">
        <v>6654</v>
      </c>
      <c r="R10123" s="14" t="s">
        <v>93</v>
      </c>
      <c r="S10123" s="16" t="s">
        <v>52774</v>
      </c>
      <c r="T10123" s="14" t="s">
        <v>66</v>
      </c>
      <c r="U10123" s="16" t="s">
        <v>31</v>
      </c>
      <c r="V10123" s="14" t="s">
        <v>62422</v>
      </c>
      <c r="W10123" s="14" t="s">
        <v>62276</v>
      </c>
      <c r="X10123" s="17" t="str">
        <f>HYPERLINK("https://my.pitchbook.com?p=391080-61P","View People Online")</f>
        <v>View People Online</v>
      </c>
    </row>
    <row r="10124">
      <c r="A10124" s="2" t="s">
        <v>62423</v>
      </c>
      <c r="B10124" s="2" t="s">
        <v>62424</v>
      </c>
      <c r="C10124" s="2" t="s">
        <v>62425</v>
      </c>
      <c r="D10124" s="2" t="s">
        <v>62426</v>
      </c>
      <c r="E10124" s="2" t="s">
        <v>62276</v>
      </c>
      <c r="F10124" s="2" t="s">
        <v>1283</v>
      </c>
      <c r="G10124" s="2" t="s">
        <v>62427</v>
      </c>
      <c r="H10124" s="3" t="s">
        <v>31</v>
      </c>
      <c r="I10124" s="3">
        <v>1.0</v>
      </c>
      <c r="J10124" s="3">
        <v>1.0</v>
      </c>
      <c r="K10124" s="3" t="s">
        <v>31</v>
      </c>
      <c r="L10124" s="4" t="s">
        <v>31</v>
      </c>
      <c r="M10124" s="2" t="s">
        <v>62428</v>
      </c>
      <c r="N10124" s="2" t="s">
        <v>6588</v>
      </c>
      <c r="O10124" s="4" t="s">
        <v>6589</v>
      </c>
      <c r="P10124" s="2" t="s">
        <v>54252</v>
      </c>
      <c r="Q10124" s="2" t="s">
        <v>6654</v>
      </c>
      <c r="R10124" s="2" t="s">
        <v>93</v>
      </c>
      <c r="S10124" s="4" t="s">
        <v>52774</v>
      </c>
      <c r="T10124" s="2" t="s">
        <v>66</v>
      </c>
      <c r="U10124" s="4" t="s">
        <v>31</v>
      </c>
      <c r="V10124" s="2" t="s">
        <v>1283</v>
      </c>
      <c r="W10124" s="2" t="s">
        <v>62276</v>
      </c>
      <c r="X10124" s="5" t="str">
        <f>HYPERLINK("https://my.pitchbook.com?p=391442-50P","View People Online")</f>
        <v>View People Online</v>
      </c>
    </row>
    <row r="10125">
      <c r="A10125" s="14" t="s">
        <v>62429</v>
      </c>
      <c r="B10125" s="14" t="s">
        <v>62430</v>
      </c>
      <c r="C10125" s="14" t="s">
        <v>4015</v>
      </c>
      <c r="D10125" s="14" t="s">
        <v>62431</v>
      </c>
      <c r="E10125" s="14" t="s">
        <v>62276</v>
      </c>
      <c r="F10125" s="14" t="s">
        <v>29424</v>
      </c>
      <c r="G10125" s="14" t="s">
        <v>62432</v>
      </c>
      <c r="H10125" s="15" t="s">
        <v>31</v>
      </c>
      <c r="I10125" s="15">
        <v>2.0</v>
      </c>
      <c r="J10125" s="15">
        <v>1.0</v>
      </c>
      <c r="K10125" s="15">
        <v>1.0</v>
      </c>
      <c r="L10125" s="16" t="s">
        <v>31</v>
      </c>
      <c r="M10125" s="14" t="s">
        <v>62433</v>
      </c>
      <c r="N10125" s="14" t="s">
        <v>6588</v>
      </c>
      <c r="O10125" s="16" t="s">
        <v>6589</v>
      </c>
      <c r="P10125" s="14" t="s">
        <v>54252</v>
      </c>
      <c r="Q10125" s="14" t="s">
        <v>6654</v>
      </c>
      <c r="R10125" s="14" t="s">
        <v>93</v>
      </c>
      <c r="S10125" s="16" t="s">
        <v>52774</v>
      </c>
      <c r="T10125" s="14" t="s">
        <v>66</v>
      </c>
      <c r="U10125" s="16" t="s">
        <v>31</v>
      </c>
      <c r="V10125" s="14" t="s">
        <v>62434</v>
      </c>
      <c r="W10125" s="14" t="s">
        <v>62276</v>
      </c>
      <c r="X10125" s="17" t="str">
        <f>HYPERLINK("https://my.pitchbook.com?p=165598-93P","View People Online")</f>
        <v>View People Online</v>
      </c>
    </row>
    <row r="10126">
      <c r="A10126" s="10" t="s">
        <v>62435</v>
      </c>
      <c r="B10126" s="10" t="s">
        <v>62436</v>
      </c>
      <c r="C10126" s="10" t="s">
        <v>4015</v>
      </c>
      <c r="D10126" s="10" t="s">
        <v>62437</v>
      </c>
      <c r="E10126" s="10" t="s">
        <v>62276</v>
      </c>
      <c r="F10126" s="10" t="s">
        <v>318</v>
      </c>
      <c r="G10126" s="10" t="s">
        <v>62438</v>
      </c>
      <c r="H10126" s="11" t="s">
        <v>31</v>
      </c>
      <c r="I10126" s="11">
        <v>1.0</v>
      </c>
      <c r="J10126" s="11">
        <v>1.0</v>
      </c>
      <c r="K10126" s="11" t="s">
        <v>31</v>
      </c>
      <c r="L10126" s="12" t="s">
        <v>31</v>
      </c>
      <c r="M10126" s="10" t="s">
        <v>31</v>
      </c>
      <c r="N10126" s="10" t="s">
        <v>6588</v>
      </c>
      <c r="O10126" s="12" t="s">
        <v>6589</v>
      </c>
      <c r="P10126" s="10" t="s">
        <v>54252</v>
      </c>
      <c r="Q10126" s="10" t="s">
        <v>6654</v>
      </c>
      <c r="R10126" s="10" t="s">
        <v>93</v>
      </c>
      <c r="S10126" s="12" t="s">
        <v>52774</v>
      </c>
      <c r="T10126" s="10" t="s">
        <v>66</v>
      </c>
      <c r="U10126" s="12" t="s">
        <v>31</v>
      </c>
      <c r="V10126" s="10" t="s">
        <v>62439</v>
      </c>
      <c r="W10126" s="10" t="s">
        <v>62276</v>
      </c>
      <c r="X10126" s="13" t="str">
        <f>HYPERLINK("https://my.pitchbook.com?p=391438-90P","View People Online")</f>
        <v>View People Online</v>
      </c>
    </row>
    <row r="10127">
      <c r="A10127" s="6" t="s">
        <v>62440</v>
      </c>
      <c r="B10127" s="6" t="s">
        <v>62441</v>
      </c>
      <c r="C10127" s="6" t="s">
        <v>62442</v>
      </c>
      <c r="D10127" s="6" t="s">
        <v>62443</v>
      </c>
      <c r="E10127" s="6" t="s">
        <v>62276</v>
      </c>
      <c r="F10127" s="6" t="s">
        <v>81</v>
      </c>
      <c r="G10127" s="6" t="s">
        <v>62444</v>
      </c>
      <c r="H10127" s="7" t="s">
        <v>31</v>
      </c>
      <c r="I10127" s="7">
        <v>1.0</v>
      </c>
      <c r="J10127" s="7" t="s">
        <v>31</v>
      </c>
      <c r="K10127" s="7" t="s">
        <v>31</v>
      </c>
      <c r="L10127" s="8" t="s">
        <v>31</v>
      </c>
      <c r="M10127" s="6" t="s">
        <v>31</v>
      </c>
      <c r="N10127" s="6" t="s">
        <v>6588</v>
      </c>
      <c r="O10127" s="8" t="s">
        <v>6589</v>
      </c>
      <c r="P10127" s="6" t="s">
        <v>54252</v>
      </c>
      <c r="Q10127" s="6" t="s">
        <v>6654</v>
      </c>
      <c r="R10127" s="6" t="s">
        <v>93</v>
      </c>
      <c r="S10127" s="8" t="s">
        <v>52774</v>
      </c>
      <c r="T10127" s="6" t="s">
        <v>66</v>
      </c>
      <c r="U10127" s="8" t="s">
        <v>31</v>
      </c>
      <c r="V10127" s="6" t="s">
        <v>62445</v>
      </c>
      <c r="W10127" s="6" t="s">
        <v>62276</v>
      </c>
      <c r="X10127" s="9" t="str">
        <f>HYPERLINK("https://my.pitchbook.com?p=391420-54P","View People Online")</f>
        <v>View People Online</v>
      </c>
    </row>
    <row r="10128">
      <c r="A10128" s="10" t="s">
        <v>62446</v>
      </c>
      <c r="B10128" s="10" t="s">
        <v>62447</v>
      </c>
      <c r="C10128" s="10" t="s">
        <v>1684</v>
      </c>
      <c r="D10128" s="10" t="s">
        <v>3775</v>
      </c>
      <c r="E10128" s="10" t="s">
        <v>62276</v>
      </c>
      <c r="F10128" s="10" t="s">
        <v>201</v>
      </c>
      <c r="G10128" s="10" t="s">
        <v>62448</v>
      </c>
      <c r="H10128" s="11" t="s">
        <v>31</v>
      </c>
      <c r="I10128" s="11">
        <v>1.0</v>
      </c>
      <c r="J10128" s="11">
        <v>1.0</v>
      </c>
      <c r="K10128" s="11" t="s">
        <v>31</v>
      </c>
      <c r="L10128" s="12" t="s">
        <v>31</v>
      </c>
      <c r="M10128" s="10" t="s">
        <v>62449</v>
      </c>
      <c r="N10128" s="10" t="s">
        <v>6588</v>
      </c>
      <c r="O10128" s="12" t="s">
        <v>6589</v>
      </c>
      <c r="P10128" s="10" t="s">
        <v>54252</v>
      </c>
      <c r="Q10128" s="10" t="s">
        <v>6654</v>
      </c>
      <c r="R10128" s="10" t="s">
        <v>93</v>
      </c>
      <c r="S10128" s="12" t="s">
        <v>52774</v>
      </c>
      <c r="T10128" s="10" t="s">
        <v>66</v>
      </c>
      <c r="U10128" s="12" t="s">
        <v>31</v>
      </c>
      <c r="V10128" s="10" t="s">
        <v>62450</v>
      </c>
      <c r="W10128" s="10" t="s">
        <v>62276</v>
      </c>
      <c r="X10128" s="13" t="str">
        <f>HYPERLINK("https://my.pitchbook.com?p=391144-24P","View People Online")</f>
        <v>View People Online</v>
      </c>
    </row>
    <row r="10129">
      <c r="A10129" s="14" t="s">
        <v>62451</v>
      </c>
      <c r="B10129" s="14" t="s">
        <v>62452</v>
      </c>
      <c r="C10129" s="14" t="s">
        <v>21750</v>
      </c>
      <c r="D10129" s="14" t="s">
        <v>47320</v>
      </c>
      <c r="E10129" s="14" t="s">
        <v>62453</v>
      </c>
      <c r="F10129" s="14" t="s">
        <v>674</v>
      </c>
      <c r="G10129" s="14" t="s">
        <v>62454</v>
      </c>
      <c r="H10129" s="15">
        <v>2.0</v>
      </c>
      <c r="I10129" s="15">
        <v>47.0</v>
      </c>
      <c r="J10129" s="15">
        <v>2.0</v>
      </c>
      <c r="K10129" s="15">
        <v>35.0</v>
      </c>
      <c r="L10129" s="16" t="s">
        <v>31</v>
      </c>
      <c r="M10129" s="14" t="s">
        <v>62455</v>
      </c>
      <c r="N10129" s="14" t="s">
        <v>1170</v>
      </c>
      <c r="O10129" s="16" t="s">
        <v>1171</v>
      </c>
      <c r="P10129" s="14" t="s">
        <v>31</v>
      </c>
      <c r="Q10129" s="14" t="s">
        <v>31</v>
      </c>
      <c r="R10129" s="14" t="s">
        <v>64</v>
      </c>
      <c r="S10129" s="16" t="s">
        <v>49506</v>
      </c>
      <c r="T10129" s="14" t="s">
        <v>66</v>
      </c>
      <c r="U10129" s="16" t="s">
        <v>31</v>
      </c>
      <c r="V10129" s="14" t="s">
        <v>1172</v>
      </c>
      <c r="W10129" s="14" t="s">
        <v>62453</v>
      </c>
      <c r="X10129" s="17" t="str">
        <f>HYPERLINK("https://my.pitchbook.com?p=83318-32P","View People Online")</f>
        <v>View People Online</v>
      </c>
    </row>
    <row r="10130">
      <c r="A10130" s="10" t="s">
        <v>62456</v>
      </c>
      <c r="B10130" s="10" t="s">
        <v>62457</v>
      </c>
      <c r="C10130" s="10" t="s">
        <v>62458</v>
      </c>
      <c r="D10130" s="10" t="s">
        <v>6900</v>
      </c>
      <c r="E10130" s="10" t="s">
        <v>62453</v>
      </c>
      <c r="F10130" s="10" t="s">
        <v>29</v>
      </c>
      <c r="G10130" s="10" t="s">
        <v>62459</v>
      </c>
      <c r="H10130" s="11" t="s">
        <v>31</v>
      </c>
      <c r="I10130" s="11">
        <v>6.0</v>
      </c>
      <c r="J10130" s="11">
        <v>1.0</v>
      </c>
      <c r="K10130" s="11">
        <v>2.0</v>
      </c>
      <c r="L10130" s="12" t="s">
        <v>31</v>
      </c>
      <c r="M10130" s="10" t="s">
        <v>62460</v>
      </c>
      <c r="N10130" s="10" t="s">
        <v>155</v>
      </c>
      <c r="O10130" s="12" t="s">
        <v>156</v>
      </c>
      <c r="P10130" s="10" t="s">
        <v>31</v>
      </c>
      <c r="Q10130" s="10" t="s">
        <v>31</v>
      </c>
      <c r="R10130" s="10" t="s">
        <v>64</v>
      </c>
      <c r="S10130" s="12" t="s">
        <v>62461</v>
      </c>
      <c r="T10130" s="10" t="s">
        <v>66</v>
      </c>
      <c r="U10130" s="12" t="s">
        <v>31</v>
      </c>
      <c r="V10130" s="10" t="s">
        <v>29</v>
      </c>
      <c r="W10130" s="10" t="s">
        <v>62453</v>
      </c>
      <c r="X10130" s="13" t="str">
        <f>HYPERLINK("https://my.pitchbook.com?p=233022-07P","View People Online")</f>
        <v>View People Online</v>
      </c>
    </row>
    <row r="10131">
      <c r="A10131" s="14" t="s">
        <v>62462</v>
      </c>
      <c r="B10131" s="14" t="s">
        <v>62463</v>
      </c>
      <c r="C10131" s="14" t="s">
        <v>62464</v>
      </c>
      <c r="D10131" s="14" t="s">
        <v>50653</v>
      </c>
      <c r="E10131" s="14" t="s">
        <v>62453</v>
      </c>
      <c r="F10131" s="14" t="s">
        <v>674</v>
      </c>
      <c r="G10131" s="14" t="s">
        <v>62465</v>
      </c>
      <c r="H10131" s="15" t="s">
        <v>31</v>
      </c>
      <c r="I10131" s="15">
        <v>18.0</v>
      </c>
      <c r="J10131" s="15">
        <v>2.0</v>
      </c>
      <c r="K10131" s="15">
        <v>11.0</v>
      </c>
      <c r="L10131" s="16" t="s">
        <v>62466</v>
      </c>
      <c r="M10131" s="14" t="s">
        <v>31</v>
      </c>
      <c r="N10131" s="14" t="s">
        <v>75</v>
      </c>
      <c r="O10131" s="16" t="s">
        <v>76</v>
      </c>
      <c r="P10131" s="14" t="s">
        <v>47289</v>
      </c>
      <c r="Q10131" s="14" t="s">
        <v>31</v>
      </c>
      <c r="R10131" s="14" t="s">
        <v>75</v>
      </c>
      <c r="S10131" s="16" t="s">
        <v>24543</v>
      </c>
      <c r="T10131" s="14" t="s">
        <v>66</v>
      </c>
      <c r="U10131" s="16" t="s">
        <v>31</v>
      </c>
      <c r="V10131" s="14" t="s">
        <v>13755</v>
      </c>
      <c r="W10131" s="14" t="s">
        <v>62467</v>
      </c>
      <c r="X10131" s="17" t="str">
        <f>HYPERLINK("https://my.pitchbook.com?p=83370-70P","View People Online")</f>
        <v>View People Online</v>
      </c>
    </row>
    <row r="10132">
      <c r="A10132" s="10" t="s">
        <v>62468</v>
      </c>
      <c r="B10132" s="10" t="s">
        <v>62469</v>
      </c>
      <c r="C10132" s="10" t="s">
        <v>9828</v>
      </c>
      <c r="D10132" s="10" t="s">
        <v>62470</v>
      </c>
      <c r="E10132" s="10" t="s">
        <v>62453</v>
      </c>
      <c r="F10132" s="10" t="s">
        <v>502</v>
      </c>
      <c r="G10132" s="10" t="s">
        <v>62471</v>
      </c>
      <c r="H10132" s="11" t="s">
        <v>31</v>
      </c>
      <c r="I10132" s="11">
        <v>1.0</v>
      </c>
      <c r="J10132" s="11">
        <v>1.0</v>
      </c>
      <c r="K10132" s="11" t="s">
        <v>31</v>
      </c>
      <c r="L10132" s="12" t="s">
        <v>62466</v>
      </c>
      <c r="M10132" s="10" t="s">
        <v>62472</v>
      </c>
      <c r="N10132" s="10" t="s">
        <v>75</v>
      </c>
      <c r="O10132" s="12" t="s">
        <v>76</v>
      </c>
      <c r="P10132" s="10" t="s">
        <v>47289</v>
      </c>
      <c r="Q10132" s="10" t="s">
        <v>577</v>
      </c>
      <c r="R10132" s="10" t="s">
        <v>75</v>
      </c>
      <c r="S10132" s="12" t="s">
        <v>24543</v>
      </c>
      <c r="T10132" s="10" t="s">
        <v>66</v>
      </c>
      <c r="U10132" s="12" t="s">
        <v>31</v>
      </c>
      <c r="V10132" s="10" t="s">
        <v>502</v>
      </c>
      <c r="W10132" s="10" t="s">
        <v>62453</v>
      </c>
      <c r="X10132" s="13" t="str">
        <f>HYPERLINK("https://my.pitchbook.com?p=274531-06P","View People Online")</f>
        <v>View People Online</v>
      </c>
    </row>
    <row r="10133">
      <c r="A10133" s="14" t="s">
        <v>62473</v>
      </c>
      <c r="B10133" s="14" t="s">
        <v>62474</v>
      </c>
      <c r="C10133" s="14" t="s">
        <v>622</v>
      </c>
      <c r="D10133" s="14" t="s">
        <v>42000</v>
      </c>
      <c r="E10133" s="14" t="s">
        <v>62475</v>
      </c>
      <c r="F10133" s="14" t="s">
        <v>1801</v>
      </c>
      <c r="G10133" s="14" t="s">
        <v>62476</v>
      </c>
      <c r="H10133" s="15" t="s">
        <v>31</v>
      </c>
      <c r="I10133" s="15">
        <v>1.0</v>
      </c>
      <c r="J10133" s="15">
        <v>1.0</v>
      </c>
      <c r="K10133" s="15" t="s">
        <v>31</v>
      </c>
      <c r="L10133" s="16" t="s">
        <v>62477</v>
      </c>
      <c r="M10133" s="14" t="s">
        <v>62478</v>
      </c>
      <c r="N10133" s="14" t="s">
        <v>75</v>
      </c>
      <c r="O10133" s="16" t="s">
        <v>76</v>
      </c>
      <c r="P10133" s="14" t="s">
        <v>62479</v>
      </c>
      <c r="Q10133" s="14" t="s">
        <v>24724</v>
      </c>
      <c r="R10133" s="14" t="s">
        <v>75</v>
      </c>
      <c r="S10133" s="16" t="s">
        <v>62480</v>
      </c>
      <c r="T10133" s="14" t="s">
        <v>66</v>
      </c>
      <c r="U10133" s="16" t="s">
        <v>62481</v>
      </c>
      <c r="V10133" s="14" t="s">
        <v>9543</v>
      </c>
      <c r="W10133" s="14" t="s">
        <v>62475</v>
      </c>
      <c r="X10133" s="17" t="str">
        <f>HYPERLINK("https://my.pitchbook.com?p=240272-38P","View People Online")</f>
        <v>View People Online</v>
      </c>
    </row>
    <row r="10134">
      <c r="A10134" s="10" t="s">
        <v>62482</v>
      </c>
      <c r="B10134" s="10" t="s">
        <v>62483</v>
      </c>
      <c r="C10134" s="10" t="s">
        <v>4731</v>
      </c>
      <c r="D10134" s="10" t="s">
        <v>62484</v>
      </c>
      <c r="E10134" s="10" t="s">
        <v>62475</v>
      </c>
      <c r="F10134" s="10" t="s">
        <v>62485</v>
      </c>
      <c r="G10134" s="10" t="s">
        <v>62486</v>
      </c>
      <c r="H10134" s="11" t="s">
        <v>31</v>
      </c>
      <c r="I10134" s="11">
        <v>1.0</v>
      </c>
      <c r="J10134" s="11">
        <v>1.0</v>
      </c>
      <c r="K10134" s="11" t="s">
        <v>31</v>
      </c>
      <c r="L10134" s="12" t="s">
        <v>62487</v>
      </c>
      <c r="M10134" s="10" t="s">
        <v>62488</v>
      </c>
      <c r="N10134" s="10" t="s">
        <v>75</v>
      </c>
      <c r="O10134" s="12" t="s">
        <v>76</v>
      </c>
      <c r="P10134" s="10" t="s">
        <v>62479</v>
      </c>
      <c r="Q10134" s="10" t="s">
        <v>24724</v>
      </c>
      <c r="R10134" s="10" t="s">
        <v>75</v>
      </c>
      <c r="S10134" s="12" t="s">
        <v>62480</v>
      </c>
      <c r="T10134" s="10" t="s">
        <v>66</v>
      </c>
      <c r="U10134" s="12" t="s">
        <v>62481</v>
      </c>
      <c r="V10134" s="10" t="s">
        <v>62489</v>
      </c>
      <c r="W10134" s="10" t="s">
        <v>62475</v>
      </c>
      <c r="X10134" s="13" t="str">
        <f>HYPERLINK("https://my.pitchbook.com?p=107139-70P","View People Online")</f>
        <v>View People Online</v>
      </c>
    </row>
    <row r="10135">
      <c r="A10135" s="14" t="s">
        <v>62490</v>
      </c>
      <c r="B10135" s="14" t="s">
        <v>62491</v>
      </c>
      <c r="C10135" s="14" t="s">
        <v>1117</v>
      </c>
      <c r="D10135" s="14" t="s">
        <v>62492</v>
      </c>
      <c r="E10135" s="14" t="s">
        <v>62475</v>
      </c>
      <c r="F10135" s="14" t="s">
        <v>78</v>
      </c>
      <c r="G10135" s="14" t="s">
        <v>62493</v>
      </c>
      <c r="H10135" s="15" t="s">
        <v>31</v>
      </c>
      <c r="I10135" s="15">
        <v>1.0</v>
      </c>
      <c r="J10135" s="15">
        <v>1.0</v>
      </c>
      <c r="K10135" s="15" t="s">
        <v>31</v>
      </c>
      <c r="L10135" s="16" t="s">
        <v>62477</v>
      </c>
      <c r="M10135" s="14" t="s">
        <v>62494</v>
      </c>
      <c r="N10135" s="14" t="s">
        <v>75</v>
      </c>
      <c r="O10135" s="16" t="s">
        <v>76</v>
      </c>
      <c r="P10135" s="14" t="s">
        <v>62479</v>
      </c>
      <c r="Q10135" s="14" t="s">
        <v>24724</v>
      </c>
      <c r="R10135" s="14" t="s">
        <v>75</v>
      </c>
      <c r="S10135" s="16" t="s">
        <v>62480</v>
      </c>
      <c r="T10135" s="14" t="s">
        <v>66</v>
      </c>
      <c r="U10135" s="16" t="s">
        <v>62481</v>
      </c>
      <c r="V10135" s="14" t="s">
        <v>78</v>
      </c>
      <c r="W10135" s="14" t="s">
        <v>62475</v>
      </c>
      <c r="X10135" s="17" t="str">
        <f>HYPERLINK("https://my.pitchbook.com?p=161399-26P","View People Online")</f>
        <v>View People Online</v>
      </c>
    </row>
    <row r="10136">
      <c r="A10136" s="10" t="s">
        <v>62495</v>
      </c>
      <c r="B10136" s="10" t="s">
        <v>62496</v>
      </c>
      <c r="C10136" s="10" t="s">
        <v>6326</v>
      </c>
      <c r="D10136" s="10" t="s">
        <v>62497</v>
      </c>
      <c r="E10136" s="10" t="s">
        <v>62475</v>
      </c>
      <c r="F10136" s="10" t="s">
        <v>318</v>
      </c>
      <c r="G10136" s="10" t="s">
        <v>62498</v>
      </c>
      <c r="H10136" s="11" t="s">
        <v>31</v>
      </c>
      <c r="I10136" s="11">
        <v>2.0</v>
      </c>
      <c r="J10136" s="11">
        <v>1.0</v>
      </c>
      <c r="K10136" s="11">
        <v>1.0</v>
      </c>
      <c r="L10136" s="12" t="s">
        <v>62499</v>
      </c>
      <c r="M10136" s="10" t="s">
        <v>62500</v>
      </c>
      <c r="N10136" s="10" t="s">
        <v>75</v>
      </c>
      <c r="O10136" s="12" t="s">
        <v>76</v>
      </c>
      <c r="P10136" s="10" t="s">
        <v>62479</v>
      </c>
      <c r="Q10136" s="10" t="s">
        <v>24724</v>
      </c>
      <c r="R10136" s="10" t="s">
        <v>75</v>
      </c>
      <c r="S10136" s="12" t="s">
        <v>62480</v>
      </c>
      <c r="T10136" s="10" t="s">
        <v>66</v>
      </c>
      <c r="U10136" s="12" t="s">
        <v>62481</v>
      </c>
      <c r="V10136" s="10" t="s">
        <v>62501</v>
      </c>
      <c r="W10136" s="10" t="s">
        <v>62475</v>
      </c>
      <c r="X10136" s="13" t="str">
        <f>HYPERLINK("https://my.pitchbook.com?p=161409-16P","View People Online")</f>
        <v>View People Online</v>
      </c>
    </row>
    <row r="10137">
      <c r="A10137" s="14" t="s">
        <v>62502</v>
      </c>
      <c r="B10137" s="14" t="s">
        <v>62503</v>
      </c>
      <c r="C10137" s="14" t="s">
        <v>62504</v>
      </c>
      <c r="D10137" s="14" t="s">
        <v>62505</v>
      </c>
      <c r="E10137" s="14" t="s">
        <v>62475</v>
      </c>
      <c r="F10137" s="14" t="s">
        <v>270</v>
      </c>
      <c r="G10137" s="14" t="s">
        <v>62506</v>
      </c>
      <c r="H10137" s="15" t="s">
        <v>31</v>
      </c>
      <c r="I10137" s="15">
        <v>1.0</v>
      </c>
      <c r="J10137" s="15">
        <v>1.0</v>
      </c>
      <c r="K10137" s="15" t="s">
        <v>31</v>
      </c>
      <c r="L10137" s="16" t="s">
        <v>62507</v>
      </c>
      <c r="M10137" s="14" t="s">
        <v>62508</v>
      </c>
      <c r="N10137" s="14" t="s">
        <v>75</v>
      </c>
      <c r="O10137" s="16" t="s">
        <v>76</v>
      </c>
      <c r="P10137" s="14" t="s">
        <v>62479</v>
      </c>
      <c r="Q10137" s="14" t="s">
        <v>24724</v>
      </c>
      <c r="R10137" s="14" t="s">
        <v>75</v>
      </c>
      <c r="S10137" s="16" t="s">
        <v>62480</v>
      </c>
      <c r="T10137" s="14" t="s">
        <v>66</v>
      </c>
      <c r="U10137" s="16" t="s">
        <v>62481</v>
      </c>
      <c r="V10137" s="14" t="s">
        <v>62509</v>
      </c>
      <c r="W10137" s="14" t="s">
        <v>62475</v>
      </c>
      <c r="X10137" s="17" t="str">
        <f>HYPERLINK("https://my.pitchbook.com?p=264796-12P","View People Online")</f>
        <v>View People Online</v>
      </c>
    </row>
    <row r="10138">
      <c r="A10138" s="2" t="s">
        <v>62510</v>
      </c>
      <c r="B10138" s="2" t="s">
        <v>62511</v>
      </c>
      <c r="C10138" s="2" t="s">
        <v>350</v>
      </c>
      <c r="D10138" s="2" t="s">
        <v>53703</v>
      </c>
      <c r="E10138" s="2" t="s">
        <v>62475</v>
      </c>
      <c r="F10138" s="2" t="s">
        <v>318</v>
      </c>
      <c r="G10138" s="2" t="s">
        <v>62512</v>
      </c>
      <c r="H10138" s="3" t="s">
        <v>31</v>
      </c>
      <c r="I10138" s="3">
        <v>1.0</v>
      </c>
      <c r="J10138" s="3">
        <v>1.0</v>
      </c>
      <c r="K10138" s="3" t="s">
        <v>31</v>
      </c>
      <c r="L10138" s="4" t="s">
        <v>62513</v>
      </c>
      <c r="M10138" s="2" t="s">
        <v>62514</v>
      </c>
      <c r="N10138" s="2" t="s">
        <v>75</v>
      </c>
      <c r="O10138" s="4" t="s">
        <v>76</v>
      </c>
      <c r="P10138" s="2" t="s">
        <v>62479</v>
      </c>
      <c r="Q10138" s="2" t="s">
        <v>24724</v>
      </c>
      <c r="R10138" s="2" t="s">
        <v>75</v>
      </c>
      <c r="S10138" s="4" t="s">
        <v>62480</v>
      </c>
      <c r="T10138" s="2" t="s">
        <v>66</v>
      </c>
      <c r="U10138" s="4" t="s">
        <v>62481</v>
      </c>
      <c r="V10138" s="2" t="s">
        <v>62515</v>
      </c>
      <c r="W10138" s="2" t="s">
        <v>62475</v>
      </c>
      <c r="X10138" s="5" t="str">
        <f>HYPERLINK("https://my.pitchbook.com?p=240272-56P","View People Online")</f>
        <v>View People Online</v>
      </c>
    </row>
    <row r="10139">
      <c r="A10139" s="14" t="s">
        <v>62516</v>
      </c>
      <c r="B10139" s="14" t="s">
        <v>62517</v>
      </c>
      <c r="C10139" s="14" t="s">
        <v>5071</v>
      </c>
      <c r="D10139" s="14" t="s">
        <v>62518</v>
      </c>
      <c r="E10139" s="14" t="s">
        <v>62475</v>
      </c>
      <c r="F10139" s="14" t="s">
        <v>371</v>
      </c>
      <c r="G10139" s="14" t="s">
        <v>62519</v>
      </c>
      <c r="H10139" s="15" t="s">
        <v>31</v>
      </c>
      <c r="I10139" s="15">
        <v>1.0</v>
      </c>
      <c r="J10139" s="15">
        <v>1.0</v>
      </c>
      <c r="K10139" s="15" t="s">
        <v>31</v>
      </c>
      <c r="L10139" s="16" t="s">
        <v>62520</v>
      </c>
      <c r="M10139" s="14" t="s">
        <v>62521</v>
      </c>
      <c r="N10139" s="14" t="s">
        <v>75</v>
      </c>
      <c r="O10139" s="16" t="s">
        <v>76</v>
      </c>
      <c r="P10139" s="14" t="s">
        <v>62479</v>
      </c>
      <c r="Q10139" s="14" t="s">
        <v>24724</v>
      </c>
      <c r="R10139" s="14" t="s">
        <v>75</v>
      </c>
      <c r="S10139" s="16" t="s">
        <v>62480</v>
      </c>
      <c r="T10139" s="14" t="s">
        <v>66</v>
      </c>
      <c r="U10139" s="16" t="s">
        <v>62481</v>
      </c>
      <c r="V10139" s="14" t="s">
        <v>371</v>
      </c>
      <c r="W10139" s="14" t="s">
        <v>62475</v>
      </c>
      <c r="X10139" s="17" t="str">
        <f>HYPERLINK("https://my.pitchbook.com?p=240272-65P","View People Online")</f>
        <v>View People Online</v>
      </c>
    </row>
    <row r="10140">
      <c r="A10140" s="10" t="s">
        <v>62522</v>
      </c>
      <c r="B10140" s="10" t="s">
        <v>62523</v>
      </c>
      <c r="C10140" s="10" t="s">
        <v>3040</v>
      </c>
      <c r="D10140" s="10" t="s">
        <v>4255</v>
      </c>
      <c r="E10140" s="10" t="s">
        <v>62475</v>
      </c>
      <c r="F10140" s="10" t="s">
        <v>62501</v>
      </c>
      <c r="G10140" s="10" t="s">
        <v>62524</v>
      </c>
      <c r="H10140" s="11" t="s">
        <v>31</v>
      </c>
      <c r="I10140" s="11">
        <v>2.0</v>
      </c>
      <c r="J10140" s="11">
        <v>1.0</v>
      </c>
      <c r="K10140" s="11">
        <v>1.0</v>
      </c>
      <c r="L10140" s="12" t="s">
        <v>62477</v>
      </c>
      <c r="M10140" s="10" t="s">
        <v>62525</v>
      </c>
      <c r="N10140" s="10" t="s">
        <v>75</v>
      </c>
      <c r="O10140" s="12" t="s">
        <v>76</v>
      </c>
      <c r="P10140" s="10" t="s">
        <v>62479</v>
      </c>
      <c r="Q10140" s="10" t="s">
        <v>24724</v>
      </c>
      <c r="R10140" s="10" t="s">
        <v>75</v>
      </c>
      <c r="S10140" s="12" t="s">
        <v>62480</v>
      </c>
      <c r="T10140" s="10" t="s">
        <v>66</v>
      </c>
      <c r="U10140" s="12" t="s">
        <v>62481</v>
      </c>
      <c r="V10140" s="10" t="s">
        <v>62501</v>
      </c>
      <c r="W10140" s="10" t="s">
        <v>62475</v>
      </c>
      <c r="X10140" s="13" t="str">
        <f>HYPERLINK("https://my.pitchbook.com?p=107140-69P","View People Online")</f>
        <v>View People Online</v>
      </c>
    </row>
    <row r="10141">
      <c r="A10141" s="6" t="s">
        <v>62526</v>
      </c>
      <c r="B10141" s="6" t="s">
        <v>62527</v>
      </c>
      <c r="C10141" s="6" t="s">
        <v>126</v>
      </c>
      <c r="D10141" s="6" t="s">
        <v>62528</v>
      </c>
      <c r="E10141" s="6" t="s">
        <v>62475</v>
      </c>
      <c r="F10141" s="6" t="s">
        <v>470</v>
      </c>
      <c r="G10141" s="6" t="s">
        <v>62529</v>
      </c>
      <c r="H10141" s="7" t="s">
        <v>31</v>
      </c>
      <c r="I10141" s="7">
        <v>1.0</v>
      </c>
      <c r="J10141" s="7">
        <v>1.0</v>
      </c>
      <c r="K10141" s="7" t="s">
        <v>31</v>
      </c>
      <c r="L10141" s="8" t="s">
        <v>62477</v>
      </c>
      <c r="M10141" s="6" t="s">
        <v>62530</v>
      </c>
      <c r="N10141" s="6" t="s">
        <v>75</v>
      </c>
      <c r="O10141" s="8" t="s">
        <v>76</v>
      </c>
      <c r="P10141" s="6" t="s">
        <v>62479</v>
      </c>
      <c r="Q10141" s="6" t="s">
        <v>24724</v>
      </c>
      <c r="R10141" s="6" t="s">
        <v>75</v>
      </c>
      <c r="S10141" s="8" t="s">
        <v>62480</v>
      </c>
      <c r="T10141" s="6" t="s">
        <v>66</v>
      </c>
      <c r="U10141" s="8" t="s">
        <v>62481</v>
      </c>
      <c r="V10141" s="6" t="s">
        <v>10347</v>
      </c>
      <c r="W10141" s="6" t="s">
        <v>62475</v>
      </c>
      <c r="X10141" s="9" t="str">
        <f>HYPERLINK("https://my.pitchbook.com?p=240271-75P","View People Online")</f>
        <v>View People Online</v>
      </c>
    </row>
    <row r="10142">
      <c r="A10142" s="10" t="s">
        <v>62531</v>
      </c>
      <c r="B10142" s="10" t="s">
        <v>62532</v>
      </c>
      <c r="C10142" s="10" t="s">
        <v>2388</v>
      </c>
      <c r="D10142" s="10" t="s">
        <v>62533</v>
      </c>
      <c r="E10142" s="10" t="s">
        <v>62475</v>
      </c>
      <c r="F10142" s="10" t="s">
        <v>470</v>
      </c>
      <c r="G10142" s="10" t="s">
        <v>62534</v>
      </c>
      <c r="H10142" s="11" t="s">
        <v>31</v>
      </c>
      <c r="I10142" s="11">
        <v>1.0</v>
      </c>
      <c r="J10142" s="11">
        <v>1.0</v>
      </c>
      <c r="K10142" s="11" t="s">
        <v>31</v>
      </c>
      <c r="L10142" s="12" t="s">
        <v>62535</v>
      </c>
      <c r="M10142" s="10" t="s">
        <v>62536</v>
      </c>
      <c r="N10142" s="10" t="s">
        <v>75</v>
      </c>
      <c r="O10142" s="12" t="s">
        <v>76</v>
      </c>
      <c r="P10142" s="10" t="s">
        <v>62479</v>
      </c>
      <c r="Q10142" s="10" t="s">
        <v>24724</v>
      </c>
      <c r="R10142" s="10" t="s">
        <v>75</v>
      </c>
      <c r="S10142" s="12" t="s">
        <v>62480</v>
      </c>
      <c r="T10142" s="10" t="s">
        <v>66</v>
      </c>
      <c r="U10142" s="12" t="s">
        <v>62481</v>
      </c>
      <c r="V10142" s="10" t="s">
        <v>10347</v>
      </c>
      <c r="W10142" s="10" t="s">
        <v>62475</v>
      </c>
      <c r="X10142" s="13" t="str">
        <f>HYPERLINK("https://my.pitchbook.com?p=240271-84P","View People Online")</f>
        <v>View People Online</v>
      </c>
    </row>
    <row r="10143">
      <c r="A10143" s="14" t="s">
        <v>62537</v>
      </c>
      <c r="B10143" s="14" t="s">
        <v>62538</v>
      </c>
      <c r="C10143" s="14" t="s">
        <v>2329</v>
      </c>
      <c r="D10143" s="14" t="s">
        <v>14888</v>
      </c>
      <c r="E10143" s="14" t="s">
        <v>62475</v>
      </c>
      <c r="F10143" s="14" t="s">
        <v>7390</v>
      </c>
      <c r="G10143" s="14" t="s">
        <v>62539</v>
      </c>
      <c r="H10143" s="15" t="s">
        <v>31</v>
      </c>
      <c r="I10143" s="15">
        <v>3.0</v>
      </c>
      <c r="J10143" s="15">
        <v>1.0</v>
      </c>
      <c r="K10143" s="15">
        <v>2.0</v>
      </c>
      <c r="L10143" s="16" t="s">
        <v>62540</v>
      </c>
      <c r="M10143" s="14" t="s">
        <v>62541</v>
      </c>
      <c r="N10143" s="14" t="s">
        <v>1109</v>
      </c>
      <c r="O10143" s="16" t="s">
        <v>13169</v>
      </c>
      <c r="P10143" s="14" t="s">
        <v>62542</v>
      </c>
      <c r="Q10143" s="14" t="s">
        <v>1784</v>
      </c>
      <c r="R10143" s="14" t="s">
        <v>13171</v>
      </c>
      <c r="S10143" s="16" t="s">
        <v>13172</v>
      </c>
      <c r="T10143" s="14" t="s">
        <v>66</v>
      </c>
      <c r="U10143" s="16" t="s">
        <v>62543</v>
      </c>
      <c r="V10143" s="14" t="s">
        <v>62544</v>
      </c>
      <c r="W10143" s="14" t="s">
        <v>62475</v>
      </c>
      <c r="X10143" s="17" t="str">
        <f>HYPERLINK("https://my.pitchbook.com?p=193035-61P","View People Online")</f>
        <v>View People Online</v>
      </c>
    </row>
    <row r="10144">
      <c r="A10144" s="2" t="s">
        <v>62545</v>
      </c>
      <c r="B10144" s="2" t="s">
        <v>62546</v>
      </c>
      <c r="C10144" s="2" t="s">
        <v>62547</v>
      </c>
      <c r="D10144" s="2" t="s">
        <v>62548</v>
      </c>
      <c r="E10144" s="2" t="s">
        <v>62475</v>
      </c>
      <c r="F10144" s="2" t="s">
        <v>318</v>
      </c>
      <c r="G10144" s="2" t="s">
        <v>62549</v>
      </c>
      <c r="H10144" s="3" t="s">
        <v>31</v>
      </c>
      <c r="I10144" s="3">
        <v>1.0</v>
      </c>
      <c r="J10144" s="3">
        <v>1.0</v>
      </c>
      <c r="K10144" s="3" t="s">
        <v>31</v>
      </c>
      <c r="L10144" s="4" t="s">
        <v>62550</v>
      </c>
      <c r="M10144" s="2" t="s">
        <v>62551</v>
      </c>
      <c r="N10144" s="2" t="s">
        <v>75</v>
      </c>
      <c r="O10144" s="4" t="s">
        <v>76</v>
      </c>
      <c r="P10144" s="2" t="s">
        <v>62479</v>
      </c>
      <c r="Q10144" s="2" t="s">
        <v>24724</v>
      </c>
      <c r="R10144" s="2" t="s">
        <v>75</v>
      </c>
      <c r="S10144" s="4" t="s">
        <v>62480</v>
      </c>
      <c r="T10144" s="2" t="s">
        <v>66</v>
      </c>
      <c r="U10144" s="4" t="s">
        <v>62481</v>
      </c>
      <c r="V10144" s="2" t="s">
        <v>318</v>
      </c>
      <c r="W10144" s="2" t="s">
        <v>62475</v>
      </c>
      <c r="X10144" s="5" t="str">
        <f>HYPERLINK("https://my.pitchbook.com?p=277299-37P","View People Online")</f>
        <v>View People Online</v>
      </c>
    </row>
    <row r="10145">
      <c r="A10145" s="6" t="s">
        <v>62552</v>
      </c>
      <c r="B10145" s="6" t="s">
        <v>62553</v>
      </c>
      <c r="C10145" s="6" t="s">
        <v>12189</v>
      </c>
      <c r="D10145" s="6" t="s">
        <v>62554</v>
      </c>
      <c r="E10145" s="6" t="s">
        <v>62475</v>
      </c>
      <c r="F10145" s="6" t="s">
        <v>2199</v>
      </c>
      <c r="G10145" s="6" t="s">
        <v>62555</v>
      </c>
      <c r="H10145" s="7">
        <v>3.0</v>
      </c>
      <c r="I10145" s="7">
        <v>5.0</v>
      </c>
      <c r="J10145" s="7">
        <v>1.0</v>
      </c>
      <c r="K10145" s="7">
        <v>2.0</v>
      </c>
      <c r="L10145" s="8" t="s">
        <v>62477</v>
      </c>
      <c r="M10145" s="6" t="s">
        <v>62556</v>
      </c>
      <c r="N10145" s="6" t="s">
        <v>75</v>
      </c>
      <c r="O10145" s="8" t="s">
        <v>76</v>
      </c>
      <c r="P10145" s="6" t="s">
        <v>62479</v>
      </c>
      <c r="Q10145" s="6" t="s">
        <v>24724</v>
      </c>
      <c r="R10145" s="6" t="s">
        <v>75</v>
      </c>
      <c r="S10145" s="8" t="s">
        <v>62480</v>
      </c>
      <c r="T10145" s="6" t="s">
        <v>66</v>
      </c>
      <c r="U10145" s="8" t="s">
        <v>62481</v>
      </c>
      <c r="V10145" s="6" t="s">
        <v>62557</v>
      </c>
      <c r="W10145" s="6" t="s">
        <v>62475</v>
      </c>
      <c r="X10145" s="9" t="str">
        <f>HYPERLINK("https://my.pitchbook.com?p=180823-87P","View People Online")</f>
        <v>View People Online</v>
      </c>
    </row>
    <row r="10146">
      <c r="A10146" s="2" t="s">
        <v>62558</v>
      </c>
      <c r="B10146" s="2" t="s">
        <v>62559</v>
      </c>
      <c r="C10146" s="2" t="s">
        <v>562</v>
      </c>
      <c r="D10146" s="2" t="s">
        <v>25689</v>
      </c>
      <c r="E10146" s="2" t="s">
        <v>62475</v>
      </c>
      <c r="F10146" s="2" t="s">
        <v>318</v>
      </c>
      <c r="G10146" s="2" t="s">
        <v>62560</v>
      </c>
      <c r="H10146" s="3" t="s">
        <v>31</v>
      </c>
      <c r="I10146" s="3">
        <v>1.0</v>
      </c>
      <c r="J10146" s="3">
        <v>1.0</v>
      </c>
      <c r="K10146" s="3" t="s">
        <v>31</v>
      </c>
      <c r="L10146" s="4" t="s">
        <v>62561</v>
      </c>
      <c r="M10146" s="2" t="s">
        <v>62562</v>
      </c>
      <c r="N10146" s="2" t="s">
        <v>75</v>
      </c>
      <c r="O10146" s="4" t="s">
        <v>76</v>
      </c>
      <c r="P10146" s="2" t="s">
        <v>62479</v>
      </c>
      <c r="Q10146" s="2" t="s">
        <v>24724</v>
      </c>
      <c r="R10146" s="2" t="s">
        <v>75</v>
      </c>
      <c r="S10146" s="4" t="s">
        <v>62480</v>
      </c>
      <c r="T10146" s="2" t="s">
        <v>66</v>
      </c>
      <c r="U10146" s="4" t="s">
        <v>62481</v>
      </c>
      <c r="V10146" s="2" t="s">
        <v>62515</v>
      </c>
      <c r="W10146" s="2" t="s">
        <v>62475</v>
      </c>
      <c r="X10146" s="5" t="str">
        <f>HYPERLINK("https://my.pitchbook.com?p=264799-36P","View People Online")</f>
        <v>View People Online</v>
      </c>
    </row>
    <row r="10147">
      <c r="A10147" s="6" t="s">
        <v>62563</v>
      </c>
      <c r="B10147" s="6" t="s">
        <v>62564</v>
      </c>
      <c r="C10147" s="6" t="s">
        <v>562</v>
      </c>
      <c r="D10147" s="6" t="s">
        <v>62565</v>
      </c>
      <c r="E10147" s="6" t="s">
        <v>62475</v>
      </c>
      <c r="F10147" s="6" t="s">
        <v>62566</v>
      </c>
      <c r="G10147" s="6" t="s">
        <v>62567</v>
      </c>
      <c r="H10147" s="7">
        <v>3.0</v>
      </c>
      <c r="I10147" s="7">
        <v>15.0</v>
      </c>
      <c r="J10147" s="7">
        <v>2.0</v>
      </c>
      <c r="K10147" s="7">
        <v>10.0</v>
      </c>
      <c r="L10147" s="8" t="s">
        <v>62568</v>
      </c>
      <c r="M10147" s="6" t="s">
        <v>62569</v>
      </c>
      <c r="N10147" s="6" t="s">
        <v>75</v>
      </c>
      <c r="O10147" s="8" t="s">
        <v>76</v>
      </c>
      <c r="P10147" s="6" t="s">
        <v>62479</v>
      </c>
      <c r="Q10147" s="6" t="s">
        <v>24724</v>
      </c>
      <c r="R10147" s="6" t="s">
        <v>75</v>
      </c>
      <c r="S10147" s="8" t="s">
        <v>62480</v>
      </c>
      <c r="T10147" s="6" t="s">
        <v>66</v>
      </c>
      <c r="U10147" s="8" t="s">
        <v>62481</v>
      </c>
      <c r="V10147" s="6" t="s">
        <v>62566</v>
      </c>
      <c r="W10147" s="6" t="s">
        <v>62475</v>
      </c>
      <c r="X10147" s="9" t="str">
        <f>HYPERLINK("https://my.pitchbook.com?p=113096-98P","View People Online")</f>
        <v>View People Online</v>
      </c>
    </row>
    <row r="10148">
      <c r="A10148" s="10" t="s">
        <v>62570</v>
      </c>
      <c r="B10148" s="10" t="s">
        <v>62571</v>
      </c>
      <c r="C10148" s="10" t="s">
        <v>62572</v>
      </c>
      <c r="D10148" s="10" t="s">
        <v>62573</v>
      </c>
      <c r="E10148" s="10" t="s">
        <v>62475</v>
      </c>
      <c r="F10148" s="10" t="s">
        <v>1922</v>
      </c>
      <c r="G10148" s="10" t="s">
        <v>62574</v>
      </c>
      <c r="H10148" s="11" t="s">
        <v>31</v>
      </c>
      <c r="I10148" s="11">
        <v>1.0</v>
      </c>
      <c r="J10148" s="11">
        <v>1.0</v>
      </c>
      <c r="K10148" s="11" t="s">
        <v>31</v>
      </c>
      <c r="L10148" s="12" t="s">
        <v>62575</v>
      </c>
      <c r="M10148" s="10" t="s">
        <v>62576</v>
      </c>
      <c r="N10148" s="10" t="s">
        <v>75</v>
      </c>
      <c r="O10148" s="12" t="s">
        <v>76</v>
      </c>
      <c r="P10148" s="10" t="s">
        <v>62479</v>
      </c>
      <c r="Q10148" s="10" t="s">
        <v>24724</v>
      </c>
      <c r="R10148" s="10" t="s">
        <v>75</v>
      </c>
      <c r="S10148" s="12" t="s">
        <v>62480</v>
      </c>
      <c r="T10148" s="10" t="s">
        <v>66</v>
      </c>
      <c r="U10148" s="12" t="s">
        <v>62481</v>
      </c>
      <c r="V10148" s="10" t="s">
        <v>1922</v>
      </c>
      <c r="W10148" s="10" t="s">
        <v>62475</v>
      </c>
      <c r="X10148" s="13" t="str">
        <f>HYPERLINK("https://my.pitchbook.com?p=264801-88P","View People Online")</f>
        <v>View People Online</v>
      </c>
    </row>
    <row r="10149">
      <c r="A10149" s="14" t="s">
        <v>62577</v>
      </c>
      <c r="B10149" s="14" t="s">
        <v>62578</v>
      </c>
      <c r="C10149" s="14" t="s">
        <v>62579</v>
      </c>
      <c r="D10149" s="14" t="s">
        <v>3644</v>
      </c>
      <c r="E10149" s="14" t="s">
        <v>62475</v>
      </c>
      <c r="F10149" s="14" t="s">
        <v>5086</v>
      </c>
      <c r="G10149" s="14" t="s">
        <v>62580</v>
      </c>
      <c r="H10149" s="15" t="s">
        <v>31</v>
      </c>
      <c r="I10149" s="15">
        <v>1.0</v>
      </c>
      <c r="J10149" s="15">
        <v>1.0</v>
      </c>
      <c r="K10149" s="15" t="s">
        <v>31</v>
      </c>
      <c r="L10149" s="16" t="s">
        <v>62581</v>
      </c>
      <c r="M10149" s="14" t="s">
        <v>62582</v>
      </c>
      <c r="N10149" s="14" t="s">
        <v>75</v>
      </c>
      <c r="O10149" s="16" t="s">
        <v>76</v>
      </c>
      <c r="P10149" s="14" t="s">
        <v>62479</v>
      </c>
      <c r="Q10149" s="14" t="s">
        <v>24724</v>
      </c>
      <c r="R10149" s="14" t="s">
        <v>75</v>
      </c>
      <c r="S10149" s="16" t="s">
        <v>62480</v>
      </c>
      <c r="T10149" s="14" t="s">
        <v>66</v>
      </c>
      <c r="U10149" s="16" t="s">
        <v>62481</v>
      </c>
      <c r="V10149" s="14" t="s">
        <v>62583</v>
      </c>
      <c r="W10149" s="14" t="s">
        <v>62475</v>
      </c>
      <c r="X10149" s="17" t="str">
        <f>HYPERLINK("https://my.pitchbook.com?p=264802-87P","View People Online")</f>
        <v>View People Online</v>
      </c>
    </row>
    <row r="10150">
      <c r="A10150" s="10" t="s">
        <v>62584</v>
      </c>
      <c r="B10150" s="10" t="s">
        <v>62585</v>
      </c>
      <c r="C10150" s="10" t="s">
        <v>323</v>
      </c>
      <c r="D10150" s="10" t="s">
        <v>62586</v>
      </c>
      <c r="E10150" s="10" t="s">
        <v>62587</v>
      </c>
      <c r="F10150" s="10" t="s">
        <v>2199</v>
      </c>
      <c r="G10150" s="10" t="s">
        <v>62588</v>
      </c>
      <c r="H10150" s="11">
        <v>1.0</v>
      </c>
      <c r="I10150" s="11">
        <v>3.0</v>
      </c>
      <c r="J10150" s="11">
        <v>3.0</v>
      </c>
      <c r="K10150" s="11" t="s">
        <v>31</v>
      </c>
      <c r="L10150" s="12" t="s">
        <v>62589</v>
      </c>
      <c r="M10150" s="10" t="s">
        <v>62590</v>
      </c>
      <c r="N10150" s="10" t="s">
        <v>62591</v>
      </c>
      <c r="O10150" s="12" t="s">
        <v>62592</v>
      </c>
      <c r="P10150" s="10" t="s">
        <v>62593</v>
      </c>
      <c r="Q10150" s="10" t="s">
        <v>31</v>
      </c>
      <c r="R10150" s="10" t="s">
        <v>396</v>
      </c>
      <c r="S10150" s="12" t="s">
        <v>62594</v>
      </c>
      <c r="T10150" s="10" t="s">
        <v>66</v>
      </c>
      <c r="U10150" s="12" t="s">
        <v>31</v>
      </c>
      <c r="V10150" s="10" t="s">
        <v>558</v>
      </c>
      <c r="W10150" s="10" t="s">
        <v>62595</v>
      </c>
      <c r="X10150" s="13" t="str">
        <f>HYPERLINK("https://my.pitchbook.com?p=340359-85P","View People Online")</f>
        <v>View People Online</v>
      </c>
    </row>
    <row r="10151">
      <c r="A10151" s="14" t="s">
        <v>62596</v>
      </c>
      <c r="B10151" s="14" t="s">
        <v>62597</v>
      </c>
      <c r="C10151" s="14" t="s">
        <v>1471</v>
      </c>
      <c r="D10151" s="14" t="s">
        <v>62598</v>
      </c>
      <c r="E10151" s="14" t="s">
        <v>62587</v>
      </c>
      <c r="F10151" s="14" t="s">
        <v>78</v>
      </c>
      <c r="G10151" s="14" t="s">
        <v>62599</v>
      </c>
      <c r="H10151" s="15" t="s">
        <v>31</v>
      </c>
      <c r="I10151" s="15">
        <v>1.0</v>
      </c>
      <c r="J10151" s="15">
        <v>1.0</v>
      </c>
      <c r="K10151" s="15" t="s">
        <v>31</v>
      </c>
      <c r="L10151" s="16" t="s">
        <v>62600</v>
      </c>
      <c r="M10151" s="14" t="s">
        <v>62601</v>
      </c>
      <c r="N10151" s="14" t="s">
        <v>75</v>
      </c>
      <c r="O10151" s="16" t="s">
        <v>76</v>
      </c>
      <c r="P10151" s="14" t="s">
        <v>62602</v>
      </c>
      <c r="Q10151" s="14" t="s">
        <v>31</v>
      </c>
      <c r="R10151" s="14" t="s">
        <v>75</v>
      </c>
      <c r="S10151" s="16" t="s">
        <v>33985</v>
      </c>
      <c r="T10151" s="14" t="s">
        <v>66</v>
      </c>
      <c r="U10151" s="16" t="s">
        <v>31</v>
      </c>
      <c r="V10151" s="14" t="s">
        <v>78</v>
      </c>
      <c r="W10151" s="14" t="s">
        <v>62587</v>
      </c>
      <c r="X10151" s="17" t="str">
        <f>HYPERLINK("https://my.pitchbook.com?p=155488-87P","View People Online")</f>
        <v>View People Online</v>
      </c>
    </row>
    <row r="10152">
      <c r="A10152" s="10" t="s">
        <v>62603</v>
      </c>
      <c r="B10152" s="10" t="s">
        <v>62604</v>
      </c>
      <c r="C10152" s="10" t="s">
        <v>823</v>
      </c>
      <c r="D10152" s="10" t="s">
        <v>62605</v>
      </c>
      <c r="E10152" s="10" t="s">
        <v>62587</v>
      </c>
      <c r="F10152" s="10" t="s">
        <v>8021</v>
      </c>
      <c r="G10152" s="10" t="s">
        <v>62606</v>
      </c>
      <c r="H10152" s="11" t="s">
        <v>31</v>
      </c>
      <c r="I10152" s="11">
        <v>1.0</v>
      </c>
      <c r="J10152" s="11">
        <v>1.0</v>
      </c>
      <c r="K10152" s="11" t="s">
        <v>31</v>
      </c>
      <c r="L10152" s="12" t="s">
        <v>62600</v>
      </c>
      <c r="M10152" s="10" t="s">
        <v>62607</v>
      </c>
      <c r="N10152" s="10" t="s">
        <v>75</v>
      </c>
      <c r="O10152" s="12" t="s">
        <v>76</v>
      </c>
      <c r="P10152" s="10" t="s">
        <v>62602</v>
      </c>
      <c r="Q10152" s="10" t="s">
        <v>31</v>
      </c>
      <c r="R10152" s="10" t="s">
        <v>75</v>
      </c>
      <c r="S10152" s="12" t="s">
        <v>33985</v>
      </c>
      <c r="T10152" s="10" t="s">
        <v>66</v>
      </c>
      <c r="U10152" s="12" t="s">
        <v>31</v>
      </c>
      <c r="V10152" s="10" t="s">
        <v>8021</v>
      </c>
      <c r="W10152" s="10" t="s">
        <v>62587</v>
      </c>
      <c r="X10152" s="13" t="str">
        <f>HYPERLINK("https://my.pitchbook.com?p=285394-78P","View People Online")</f>
        <v>View People Online</v>
      </c>
    </row>
    <row r="10153">
      <c r="A10153" s="14" t="s">
        <v>62608</v>
      </c>
      <c r="B10153" s="14" t="s">
        <v>62609</v>
      </c>
      <c r="C10153" s="14" t="s">
        <v>9049</v>
      </c>
      <c r="D10153" s="14" t="s">
        <v>62610</v>
      </c>
      <c r="E10153" s="14" t="s">
        <v>62587</v>
      </c>
      <c r="F10153" s="14" t="s">
        <v>270</v>
      </c>
      <c r="G10153" s="14" t="s">
        <v>62611</v>
      </c>
      <c r="H10153" s="15" t="s">
        <v>31</v>
      </c>
      <c r="I10153" s="15">
        <v>1.0</v>
      </c>
      <c r="J10153" s="15">
        <v>1.0</v>
      </c>
      <c r="K10153" s="15" t="s">
        <v>31</v>
      </c>
      <c r="L10153" s="16" t="s">
        <v>31</v>
      </c>
      <c r="M10153" s="14" t="s">
        <v>62612</v>
      </c>
      <c r="N10153" s="14" t="s">
        <v>62613</v>
      </c>
      <c r="O10153" s="16" t="s">
        <v>62614</v>
      </c>
      <c r="P10153" s="14" t="s">
        <v>62615</v>
      </c>
      <c r="Q10153" s="14" t="s">
        <v>53491</v>
      </c>
      <c r="R10153" s="14" t="s">
        <v>64</v>
      </c>
      <c r="S10153" s="16" t="s">
        <v>62616</v>
      </c>
      <c r="T10153" s="14" t="s">
        <v>66</v>
      </c>
      <c r="U10153" s="16" t="s">
        <v>31</v>
      </c>
      <c r="V10153" s="14" t="s">
        <v>558</v>
      </c>
      <c r="W10153" s="14" t="s">
        <v>62617</v>
      </c>
      <c r="X10153" s="17" t="str">
        <f>HYPERLINK("https://my.pitchbook.com?p=72752-23P","View People Online")</f>
        <v>View People Online</v>
      </c>
    </row>
    <row r="10154">
      <c r="A10154" s="10" t="s">
        <v>62618</v>
      </c>
      <c r="B10154" s="10" t="s">
        <v>62619</v>
      </c>
      <c r="C10154" s="10" t="s">
        <v>27706</v>
      </c>
      <c r="D10154" s="10" t="s">
        <v>62620</v>
      </c>
      <c r="E10154" s="10" t="s">
        <v>62587</v>
      </c>
      <c r="F10154" s="10" t="s">
        <v>312</v>
      </c>
      <c r="G10154" s="10" t="s">
        <v>62621</v>
      </c>
      <c r="H10154" s="11" t="s">
        <v>31</v>
      </c>
      <c r="I10154" s="11">
        <v>1.0</v>
      </c>
      <c r="J10154" s="11">
        <v>1.0</v>
      </c>
      <c r="K10154" s="11" t="s">
        <v>31</v>
      </c>
      <c r="L10154" s="12" t="s">
        <v>62600</v>
      </c>
      <c r="M10154" s="10" t="s">
        <v>62622</v>
      </c>
      <c r="N10154" s="10" t="s">
        <v>75</v>
      </c>
      <c r="O10154" s="12" t="s">
        <v>76</v>
      </c>
      <c r="P10154" s="10" t="s">
        <v>62602</v>
      </c>
      <c r="Q10154" s="10" t="s">
        <v>31</v>
      </c>
      <c r="R10154" s="10" t="s">
        <v>75</v>
      </c>
      <c r="S10154" s="12" t="s">
        <v>33985</v>
      </c>
      <c r="T10154" s="10" t="s">
        <v>66</v>
      </c>
      <c r="U10154" s="12" t="s">
        <v>31</v>
      </c>
      <c r="V10154" s="10" t="s">
        <v>62623</v>
      </c>
      <c r="W10154" s="10" t="s">
        <v>62587</v>
      </c>
      <c r="X10154" s="13" t="str">
        <f>HYPERLINK("https://my.pitchbook.com?p=178798-96P","View People Online")</f>
        <v>View People Online</v>
      </c>
    </row>
    <row r="10155">
      <c r="A10155" s="6" t="s">
        <v>62624</v>
      </c>
      <c r="B10155" s="6" t="s">
        <v>62625</v>
      </c>
      <c r="C10155" s="6" t="s">
        <v>5113</v>
      </c>
      <c r="D10155" s="6" t="s">
        <v>62626</v>
      </c>
      <c r="E10155" s="6" t="s">
        <v>62587</v>
      </c>
      <c r="F10155" s="6" t="s">
        <v>4600</v>
      </c>
      <c r="G10155" s="6" t="s">
        <v>62627</v>
      </c>
      <c r="H10155" s="7" t="s">
        <v>31</v>
      </c>
      <c r="I10155" s="7">
        <v>1.0</v>
      </c>
      <c r="J10155" s="7">
        <v>1.0</v>
      </c>
      <c r="K10155" s="7" t="s">
        <v>31</v>
      </c>
      <c r="L10155" s="8" t="s">
        <v>62600</v>
      </c>
      <c r="M10155" s="6" t="s">
        <v>62628</v>
      </c>
      <c r="N10155" s="6" t="s">
        <v>75</v>
      </c>
      <c r="O10155" s="8" t="s">
        <v>76</v>
      </c>
      <c r="P10155" s="6" t="s">
        <v>62602</v>
      </c>
      <c r="Q10155" s="6" t="s">
        <v>31</v>
      </c>
      <c r="R10155" s="6" t="s">
        <v>75</v>
      </c>
      <c r="S10155" s="8" t="s">
        <v>33985</v>
      </c>
      <c r="T10155" s="6" t="s">
        <v>66</v>
      </c>
      <c r="U10155" s="8" t="s">
        <v>31</v>
      </c>
      <c r="V10155" s="6" t="s">
        <v>62629</v>
      </c>
      <c r="W10155" s="6" t="s">
        <v>62587</v>
      </c>
      <c r="X10155" s="9" t="str">
        <f>HYPERLINK("https://my.pitchbook.com?p=285394-51P","View People Online")</f>
        <v>View People Online</v>
      </c>
    </row>
    <row r="10156">
      <c r="A10156" s="2" t="s">
        <v>62630</v>
      </c>
      <c r="B10156" s="2" t="s">
        <v>62631</v>
      </c>
      <c r="C10156" s="2" t="s">
        <v>1502</v>
      </c>
      <c r="D10156" s="2" t="s">
        <v>46393</v>
      </c>
      <c r="E10156" s="2" t="s">
        <v>62587</v>
      </c>
      <c r="F10156" s="2" t="s">
        <v>5234</v>
      </c>
      <c r="G10156" s="2" t="s">
        <v>62632</v>
      </c>
      <c r="H10156" s="3" t="s">
        <v>31</v>
      </c>
      <c r="I10156" s="3">
        <v>1.0</v>
      </c>
      <c r="J10156" s="3">
        <v>1.0</v>
      </c>
      <c r="K10156" s="3" t="s">
        <v>31</v>
      </c>
      <c r="L10156" s="4" t="s">
        <v>62600</v>
      </c>
      <c r="M10156" s="2" t="s">
        <v>62633</v>
      </c>
      <c r="N10156" s="2" t="s">
        <v>75</v>
      </c>
      <c r="O10156" s="4" t="s">
        <v>76</v>
      </c>
      <c r="P10156" s="2" t="s">
        <v>62602</v>
      </c>
      <c r="Q10156" s="2" t="s">
        <v>31</v>
      </c>
      <c r="R10156" s="2" t="s">
        <v>75</v>
      </c>
      <c r="S10156" s="4" t="s">
        <v>33985</v>
      </c>
      <c r="T10156" s="2" t="s">
        <v>66</v>
      </c>
      <c r="U10156" s="4" t="s">
        <v>31</v>
      </c>
      <c r="V10156" s="2" t="s">
        <v>5234</v>
      </c>
      <c r="W10156" s="2" t="s">
        <v>62587</v>
      </c>
      <c r="X10156" s="5" t="str">
        <f>HYPERLINK("https://my.pitchbook.com?p=254097-91P","View People Online")</f>
        <v>View People Online</v>
      </c>
    </row>
    <row r="10157">
      <c r="A10157" s="6" t="s">
        <v>62634</v>
      </c>
      <c r="B10157" s="6" t="s">
        <v>62635</v>
      </c>
      <c r="C10157" s="6" t="s">
        <v>7915</v>
      </c>
      <c r="D10157" s="6" t="s">
        <v>62636</v>
      </c>
      <c r="E10157" s="6" t="s">
        <v>62587</v>
      </c>
      <c r="F10157" s="6" t="s">
        <v>1659</v>
      </c>
      <c r="G10157" s="6" t="s">
        <v>62637</v>
      </c>
      <c r="H10157" s="7" t="s">
        <v>31</v>
      </c>
      <c r="I10157" s="7">
        <v>1.0</v>
      </c>
      <c r="J10157" s="7">
        <v>1.0</v>
      </c>
      <c r="K10157" s="7" t="s">
        <v>31</v>
      </c>
      <c r="L10157" s="8" t="s">
        <v>62600</v>
      </c>
      <c r="M10157" s="6" t="s">
        <v>62638</v>
      </c>
      <c r="N10157" s="6" t="s">
        <v>75</v>
      </c>
      <c r="O10157" s="8" t="s">
        <v>76</v>
      </c>
      <c r="P10157" s="6" t="s">
        <v>62602</v>
      </c>
      <c r="Q10157" s="6" t="s">
        <v>31</v>
      </c>
      <c r="R10157" s="6" t="s">
        <v>75</v>
      </c>
      <c r="S10157" s="8" t="s">
        <v>33985</v>
      </c>
      <c r="T10157" s="6" t="s">
        <v>66</v>
      </c>
      <c r="U10157" s="8" t="s">
        <v>31</v>
      </c>
      <c r="V10157" s="6" t="s">
        <v>1659</v>
      </c>
      <c r="W10157" s="6" t="s">
        <v>62587</v>
      </c>
      <c r="X10157" s="9" t="str">
        <f>HYPERLINK("https://my.pitchbook.com?p=229875-67P","View People Online")</f>
        <v>View People Online</v>
      </c>
    </row>
    <row r="10158">
      <c r="A10158" s="10" t="s">
        <v>62639</v>
      </c>
      <c r="B10158" s="10" t="s">
        <v>62640</v>
      </c>
      <c r="C10158" s="10" t="s">
        <v>126</v>
      </c>
      <c r="D10158" s="10" t="s">
        <v>53570</v>
      </c>
      <c r="E10158" s="10" t="s">
        <v>62587</v>
      </c>
      <c r="F10158" s="10" t="s">
        <v>502</v>
      </c>
      <c r="G10158" s="10" t="s">
        <v>62641</v>
      </c>
      <c r="H10158" s="11" t="s">
        <v>31</v>
      </c>
      <c r="I10158" s="11">
        <v>1.0</v>
      </c>
      <c r="J10158" s="11">
        <v>1.0</v>
      </c>
      <c r="K10158" s="11" t="s">
        <v>31</v>
      </c>
      <c r="L10158" s="12" t="s">
        <v>62600</v>
      </c>
      <c r="M10158" s="10" t="s">
        <v>62642</v>
      </c>
      <c r="N10158" s="10" t="s">
        <v>75</v>
      </c>
      <c r="O10158" s="12" t="s">
        <v>76</v>
      </c>
      <c r="P10158" s="10" t="s">
        <v>62602</v>
      </c>
      <c r="Q10158" s="10" t="s">
        <v>31</v>
      </c>
      <c r="R10158" s="10" t="s">
        <v>75</v>
      </c>
      <c r="S10158" s="12" t="s">
        <v>33985</v>
      </c>
      <c r="T10158" s="10" t="s">
        <v>66</v>
      </c>
      <c r="U10158" s="12" t="s">
        <v>31</v>
      </c>
      <c r="V10158" s="10" t="s">
        <v>502</v>
      </c>
      <c r="W10158" s="10" t="s">
        <v>62587</v>
      </c>
      <c r="X10158" s="13" t="str">
        <f>HYPERLINK("https://my.pitchbook.com?p=285577-12P","View People Online")</f>
        <v>View People Online</v>
      </c>
    </row>
    <row r="10159">
      <c r="A10159" s="6" t="s">
        <v>62643</v>
      </c>
      <c r="B10159" s="6" t="s">
        <v>62644</v>
      </c>
      <c r="C10159" s="6" t="s">
        <v>126</v>
      </c>
      <c r="D10159" s="6" t="s">
        <v>62645</v>
      </c>
      <c r="E10159" s="6" t="s">
        <v>62587</v>
      </c>
      <c r="F10159" s="6" t="s">
        <v>2590</v>
      </c>
      <c r="G10159" s="6" t="s">
        <v>62646</v>
      </c>
      <c r="H10159" s="7">
        <v>3.0</v>
      </c>
      <c r="I10159" s="7">
        <v>3.0</v>
      </c>
      <c r="J10159" s="7">
        <v>3.0</v>
      </c>
      <c r="K10159" s="7" t="s">
        <v>31</v>
      </c>
      <c r="L10159" s="8" t="s">
        <v>62600</v>
      </c>
      <c r="M10159" s="6" t="s">
        <v>62647</v>
      </c>
      <c r="N10159" s="6" t="s">
        <v>75</v>
      </c>
      <c r="O10159" s="8" t="s">
        <v>76</v>
      </c>
      <c r="P10159" s="6" t="s">
        <v>62602</v>
      </c>
      <c r="Q10159" s="6" t="s">
        <v>31</v>
      </c>
      <c r="R10159" s="6" t="s">
        <v>75</v>
      </c>
      <c r="S10159" s="8" t="s">
        <v>33985</v>
      </c>
      <c r="T10159" s="6" t="s">
        <v>66</v>
      </c>
      <c r="U10159" s="8" t="s">
        <v>31</v>
      </c>
      <c r="V10159" s="6" t="s">
        <v>2168</v>
      </c>
      <c r="W10159" s="6" t="s">
        <v>62587</v>
      </c>
      <c r="X10159" s="9" t="str">
        <f>HYPERLINK("https://my.pitchbook.com?p=41124-88P","View People Online")</f>
        <v>View People Online</v>
      </c>
    </row>
    <row r="10160">
      <c r="A10160" s="10" t="s">
        <v>62648</v>
      </c>
      <c r="B10160" s="10" t="s">
        <v>62649</v>
      </c>
      <c r="C10160" s="10" t="s">
        <v>2388</v>
      </c>
      <c r="D10160" s="10" t="s">
        <v>8429</v>
      </c>
      <c r="E10160" s="10" t="s">
        <v>62587</v>
      </c>
      <c r="F10160" s="10" t="s">
        <v>2199</v>
      </c>
      <c r="G10160" s="10" t="s">
        <v>62650</v>
      </c>
      <c r="H10160" s="11">
        <v>1.0</v>
      </c>
      <c r="I10160" s="11">
        <v>1.0</v>
      </c>
      <c r="J10160" s="11">
        <v>1.0</v>
      </c>
      <c r="K10160" s="11" t="s">
        <v>31</v>
      </c>
      <c r="L10160" s="12" t="s">
        <v>62651</v>
      </c>
      <c r="M10160" s="10" t="s">
        <v>62652</v>
      </c>
      <c r="N10160" s="10" t="s">
        <v>155</v>
      </c>
      <c r="O10160" s="12" t="s">
        <v>156</v>
      </c>
      <c r="P10160" s="10" t="s">
        <v>31</v>
      </c>
      <c r="Q10160" s="10" t="s">
        <v>31</v>
      </c>
      <c r="R10160" s="10" t="s">
        <v>64</v>
      </c>
      <c r="S10160" s="12" t="s">
        <v>31</v>
      </c>
      <c r="T10160" s="10" t="s">
        <v>66</v>
      </c>
      <c r="U10160" s="12" t="s">
        <v>31</v>
      </c>
      <c r="V10160" s="10" t="s">
        <v>2199</v>
      </c>
      <c r="W10160" s="10" t="s">
        <v>62587</v>
      </c>
      <c r="X10160" s="13" t="str">
        <f>HYPERLINK("https://my.pitchbook.com?p=135553-06P","View People Online")</f>
        <v>View People Online</v>
      </c>
    </row>
    <row r="10161">
      <c r="A10161" s="6" t="s">
        <v>62653</v>
      </c>
      <c r="B10161" s="6" t="s">
        <v>62654</v>
      </c>
      <c r="C10161" s="6" t="s">
        <v>1066</v>
      </c>
      <c r="D10161" s="6" t="s">
        <v>29398</v>
      </c>
      <c r="E10161" s="6" t="s">
        <v>62587</v>
      </c>
      <c r="F10161" s="6" t="s">
        <v>1459</v>
      </c>
      <c r="G10161" s="6" t="s">
        <v>62655</v>
      </c>
      <c r="H10161" s="7" t="s">
        <v>31</v>
      </c>
      <c r="I10161" s="7">
        <v>1.0</v>
      </c>
      <c r="J10161" s="7">
        <v>1.0</v>
      </c>
      <c r="K10161" s="7" t="s">
        <v>31</v>
      </c>
      <c r="L10161" s="8" t="s">
        <v>62600</v>
      </c>
      <c r="M10161" s="6" t="s">
        <v>62656</v>
      </c>
      <c r="N10161" s="6" t="s">
        <v>75</v>
      </c>
      <c r="O10161" s="8" t="s">
        <v>76</v>
      </c>
      <c r="P10161" s="6" t="s">
        <v>62602</v>
      </c>
      <c r="Q10161" s="6" t="s">
        <v>31</v>
      </c>
      <c r="R10161" s="6" t="s">
        <v>75</v>
      </c>
      <c r="S10161" s="8" t="s">
        <v>33985</v>
      </c>
      <c r="T10161" s="6" t="s">
        <v>66</v>
      </c>
      <c r="U10161" s="8" t="s">
        <v>31</v>
      </c>
      <c r="V10161" s="6" t="s">
        <v>62657</v>
      </c>
      <c r="W10161" s="6" t="s">
        <v>62587</v>
      </c>
      <c r="X10161" s="9" t="str">
        <f>HYPERLINK("https://my.pitchbook.com?p=229876-57P","View People Online")</f>
        <v>View People Online</v>
      </c>
    </row>
    <row r="10162">
      <c r="A10162" s="2" t="s">
        <v>62658</v>
      </c>
      <c r="B10162" s="2" t="s">
        <v>62659</v>
      </c>
      <c r="C10162" s="2" t="s">
        <v>22754</v>
      </c>
      <c r="D10162" s="2" t="s">
        <v>16912</v>
      </c>
      <c r="E10162" s="2" t="s">
        <v>62587</v>
      </c>
      <c r="F10162" s="2" t="s">
        <v>2199</v>
      </c>
      <c r="G10162" s="2" t="s">
        <v>62660</v>
      </c>
      <c r="H10162" s="3">
        <v>1.0</v>
      </c>
      <c r="I10162" s="3">
        <v>1.0</v>
      </c>
      <c r="J10162" s="3">
        <v>1.0</v>
      </c>
      <c r="K10162" s="3" t="s">
        <v>31</v>
      </c>
      <c r="L10162" s="4" t="s">
        <v>62600</v>
      </c>
      <c r="M10162" s="2" t="s">
        <v>31</v>
      </c>
      <c r="N10162" s="2" t="s">
        <v>75</v>
      </c>
      <c r="O10162" s="4" t="s">
        <v>76</v>
      </c>
      <c r="P10162" s="2" t="s">
        <v>62602</v>
      </c>
      <c r="Q10162" s="2" t="s">
        <v>31</v>
      </c>
      <c r="R10162" s="2" t="s">
        <v>75</v>
      </c>
      <c r="S10162" s="4" t="s">
        <v>33985</v>
      </c>
      <c r="T10162" s="2" t="s">
        <v>66</v>
      </c>
      <c r="U10162" s="4" t="s">
        <v>31</v>
      </c>
      <c r="V10162" s="2" t="s">
        <v>2199</v>
      </c>
      <c r="W10162" s="2" t="s">
        <v>62587</v>
      </c>
      <c r="X10162" s="5" t="str">
        <f>HYPERLINK("https://my.pitchbook.com?p=370592-38P","View People Online")</f>
        <v>View People Online</v>
      </c>
    </row>
    <row r="10163">
      <c r="A10163" s="6" t="s">
        <v>62661</v>
      </c>
      <c r="B10163" s="6" t="s">
        <v>62662</v>
      </c>
      <c r="C10163" s="6" t="s">
        <v>6867</v>
      </c>
      <c r="D10163" s="6" t="s">
        <v>5386</v>
      </c>
      <c r="E10163" s="6" t="s">
        <v>62587</v>
      </c>
      <c r="F10163" s="6" t="s">
        <v>1801</v>
      </c>
      <c r="G10163" s="6" t="s">
        <v>62663</v>
      </c>
      <c r="H10163" s="7" t="s">
        <v>31</v>
      </c>
      <c r="I10163" s="7">
        <v>1.0</v>
      </c>
      <c r="J10163" s="7">
        <v>1.0</v>
      </c>
      <c r="K10163" s="7" t="s">
        <v>31</v>
      </c>
      <c r="L10163" s="8" t="s">
        <v>62600</v>
      </c>
      <c r="M10163" s="6" t="s">
        <v>62664</v>
      </c>
      <c r="N10163" s="6" t="s">
        <v>75</v>
      </c>
      <c r="O10163" s="8" t="s">
        <v>76</v>
      </c>
      <c r="P10163" s="6" t="s">
        <v>62602</v>
      </c>
      <c r="Q10163" s="6" t="s">
        <v>31</v>
      </c>
      <c r="R10163" s="6" t="s">
        <v>75</v>
      </c>
      <c r="S10163" s="8" t="s">
        <v>33985</v>
      </c>
      <c r="T10163" s="6" t="s">
        <v>66</v>
      </c>
      <c r="U10163" s="8" t="s">
        <v>31</v>
      </c>
      <c r="V10163" s="6" t="s">
        <v>8249</v>
      </c>
      <c r="W10163" s="6" t="s">
        <v>62587</v>
      </c>
      <c r="X10163" s="9" t="str">
        <f>HYPERLINK("https://my.pitchbook.com?p=331435-45P","View People Online")</f>
        <v>View People Online</v>
      </c>
    </row>
    <row r="10164">
      <c r="A10164" s="2" t="s">
        <v>62665</v>
      </c>
      <c r="B10164" s="2" t="s">
        <v>62666</v>
      </c>
      <c r="C10164" s="2" t="s">
        <v>12699</v>
      </c>
      <c r="D10164" s="2" t="s">
        <v>62667</v>
      </c>
      <c r="E10164" s="2" t="s">
        <v>62668</v>
      </c>
      <c r="F10164" s="2" t="s">
        <v>62669</v>
      </c>
      <c r="G10164" s="2" t="s">
        <v>62670</v>
      </c>
      <c r="H10164" s="3" t="s">
        <v>31</v>
      </c>
      <c r="I10164" s="3">
        <v>1.0</v>
      </c>
      <c r="J10164" s="3">
        <v>1.0</v>
      </c>
      <c r="K10164" s="3" t="s">
        <v>31</v>
      </c>
      <c r="L10164" s="4" t="s">
        <v>31</v>
      </c>
      <c r="M10164" s="2" t="s">
        <v>62671</v>
      </c>
      <c r="N10164" s="2" t="s">
        <v>36102</v>
      </c>
      <c r="O10164" s="4" t="s">
        <v>36103</v>
      </c>
      <c r="P10164" s="2" t="s">
        <v>62672</v>
      </c>
      <c r="Q10164" s="2" t="s">
        <v>24724</v>
      </c>
      <c r="R10164" s="2" t="s">
        <v>64</v>
      </c>
      <c r="S10164" s="4" t="s">
        <v>36105</v>
      </c>
      <c r="T10164" s="2" t="s">
        <v>66</v>
      </c>
      <c r="U10164" s="4" t="s">
        <v>31</v>
      </c>
      <c r="V10164" s="2" t="s">
        <v>62669</v>
      </c>
      <c r="W10164" s="2" t="s">
        <v>62668</v>
      </c>
      <c r="X10164" s="5" t="str">
        <f>HYPERLINK("https://my.pitchbook.com?p=332640-01P","View People Online")</f>
        <v>View People Online</v>
      </c>
    </row>
    <row r="10165">
      <c r="A10165" s="14" t="s">
        <v>62673</v>
      </c>
      <c r="B10165" s="14" t="s">
        <v>62674</v>
      </c>
      <c r="C10165" s="14" t="s">
        <v>62675</v>
      </c>
      <c r="D10165" s="14" t="s">
        <v>18083</v>
      </c>
      <c r="E10165" s="14" t="s">
        <v>62668</v>
      </c>
      <c r="F10165" s="14" t="s">
        <v>189</v>
      </c>
      <c r="G10165" s="14" t="s">
        <v>62676</v>
      </c>
      <c r="H10165" s="15" t="s">
        <v>31</v>
      </c>
      <c r="I10165" s="15">
        <v>2.0</v>
      </c>
      <c r="J10165" s="15">
        <v>1.0</v>
      </c>
      <c r="K10165" s="15">
        <v>1.0</v>
      </c>
      <c r="L10165" s="16" t="s">
        <v>31</v>
      </c>
      <c r="M10165" s="14" t="s">
        <v>62677</v>
      </c>
      <c r="N10165" s="14" t="s">
        <v>1170</v>
      </c>
      <c r="O10165" s="16" t="s">
        <v>1171</v>
      </c>
      <c r="P10165" s="14" t="s">
        <v>31</v>
      </c>
      <c r="Q10165" s="14" t="s">
        <v>31</v>
      </c>
      <c r="R10165" s="14" t="s">
        <v>64</v>
      </c>
      <c r="S10165" s="16" t="s">
        <v>31</v>
      </c>
      <c r="T10165" s="14" t="s">
        <v>66</v>
      </c>
      <c r="U10165" s="16" t="s">
        <v>31</v>
      </c>
      <c r="V10165" s="14" t="s">
        <v>196</v>
      </c>
      <c r="W10165" s="14" t="s">
        <v>62668</v>
      </c>
      <c r="X10165" s="17" t="str">
        <f>HYPERLINK("https://my.pitchbook.com?p=76721-68P","View People Online")</f>
        <v>View People Online</v>
      </c>
    </row>
    <row r="10166">
      <c r="A10166" s="10" t="s">
        <v>62678</v>
      </c>
      <c r="B10166" s="10" t="s">
        <v>62679</v>
      </c>
      <c r="C10166" s="10" t="s">
        <v>26</v>
      </c>
      <c r="D10166" s="10" t="s">
        <v>3723</v>
      </c>
      <c r="E10166" s="10" t="s">
        <v>62668</v>
      </c>
      <c r="F10166" s="10" t="s">
        <v>270</v>
      </c>
      <c r="G10166" s="10" t="s">
        <v>62680</v>
      </c>
      <c r="H10166" s="11" t="s">
        <v>31</v>
      </c>
      <c r="I10166" s="11">
        <v>1.0</v>
      </c>
      <c r="J10166" s="11">
        <v>1.0</v>
      </c>
      <c r="K10166" s="11" t="s">
        <v>31</v>
      </c>
      <c r="L10166" s="12" t="s">
        <v>31</v>
      </c>
      <c r="M10166" s="10" t="s">
        <v>31</v>
      </c>
      <c r="N10166" s="10" t="s">
        <v>1170</v>
      </c>
      <c r="O10166" s="12" t="s">
        <v>1171</v>
      </c>
      <c r="P10166" s="10" t="s">
        <v>31</v>
      </c>
      <c r="Q10166" s="10" t="s">
        <v>31</v>
      </c>
      <c r="R10166" s="10" t="s">
        <v>64</v>
      </c>
      <c r="S10166" s="12" t="s">
        <v>31</v>
      </c>
      <c r="T10166" s="10" t="s">
        <v>66</v>
      </c>
      <c r="U10166" s="12" t="s">
        <v>31</v>
      </c>
      <c r="V10166" s="10" t="s">
        <v>62681</v>
      </c>
      <c r="W10166" s="10" t="s">
        <v>62668</v>
      </c>
      <c r="X10166" s="13" t="str">
        <f>HYPERLINK("https://my.pitchbook.com?p=43709-86P","View People Online")</f>
        <v>View People Online</v>
      </c>
    </row>
    <row r="10167">
      <c r="A10167" s="14" t="s">
        <v>62682</v>
      </c>
      <c r="B10167" s="14" t="s">
        <v>62683</v>
      </c>
      <c r="C10167" s="14" t="s">
        <v>167</v>
      </c>
      <c r="D10167" s="14" t="s">
        <v>62684</v>
      </c>
      <c r="E10167" s="14" t="s">
        <v>62668</v>
      </c>
      <c r="F10167" s="14" t="s">
        <v>29</v>
      </c>
      <c r="G10167" s="14" t="s">
        <v>62685</v>
      </c>
      <c r="H10167" s="15">
        <v>4.0</v>
      </c>
      <c r="I10167" s="15">
        <v>20.0</v>
      </c>
      <c r="J10167" s="15">
        <v>1.0</v>
      </c>
      <c r="K10167" s="15">
        <v>15.0</v>
      </c>
      <c r="L10167" s="16" t="s">
        <v>31</v>
      </c>
      <c r="M10167" s="14" t="s">
        <v>62686</v>
      </c>
      <c r="N10167" s="14" t="s">
        <v>1170</v>
      </c>
      <c r="O10167" s="16" t="s">
        <v>1171</v>
      </c>
      <c r="P10167" s="14" t="s">
        <v>31</v>
      </c>
      <c r="Q10167" s="14" t="s">
        <v>31</v>
      </c>
      <c r="R10167" s="14" t="s">
        <v>64</v>
      </c>
      <c r="S10167" s="16" t="s">
        <v>31</v>
      </c>
      <c r="T10167" s="14" t="s">
        <v>66</v>
      </c>
      <c r="U10167" s="16" t="s">
        <v>31</v>
      </c>
      <c r="V10167" s="14" t="s">
        <v>29</v>
      </c>
      <c r="W10167" s="14" t="s">
        <v>62668</v>
      </c>
      <c r="X10167" s="17" t="str">
        <f>HYPERLINK("https://my.pitchbook.com?p=76725-46P","View People Online")</f>
        <v>View People Online</v>
      </c>
    </row>
    <row r="10168">
      <c r="A10168" s="10" t="s">
        <v>62687</v>
      </c>
      <c r="B10168" s="10" t="s">
        <v>62688</v>
      </c>
      <c r="C10168" s="10" t="s">
        <v>34144</v>
      </c>
      <c r="D10168" s="10" t="s">
        <v>5127</v>
      </c>
      <c r="E10168" s="10" t="s">
        <v>62668</v>
      </c>
      <c r="F10168" s="10" t="s">
        <v>29</v>
      </c>
      <c r="G10168" s="10" t="s">
        <v>62689</v>
      </c>
      <c r="H10168" s="11">
        <v>6.0</v>
      </c>
      <c r="I10168" s="11">
        <v>18.0</v>
      </c>
      <c r="J10168" s="11">
        <v>1.0</v>
      </c>
      <c r="K10168" s="11">
        <v>11.0</v>
      </c>
      <c r="L10168" s="12" t="s">
        <v>62690</v>
      </c>
      <c r="M10168" s="10" t="s">
        <v>62691</v>
      </c>
      <c r="N10168" s="10" t="s">
        <v>1170</v>
      </c>
      <c r="O10168" s="12" t="s">
        <v>1171</v>
      </c>
      <c r="P10168" s="10" t="s">
        <v>31</v>
      </c>
      <c r="Q10168" s="10" t="s">
        <v>31</v>
      </c>
      <c r="R10168" s="10" t="s">
        <v>64</v>
      </c>
      <c r="S10168" s="12" t="s">
        <v>31</v>
      </c>
      <c r="T10168" s="10" t="s">
        <v>66</v>
      </c>
      <c r="U10168" s="12" t="s">
        <v>31</v>
      </c>
      <c r="V10168" s="10" t="s">
        <v>29</v>
      </c>
      <c r="W10168" s="10" t="s">
        <v>62668</v>
      </c>
      <c r="X10168" s="13" t="str">
        <f>HYPERLINK("https://my.pitchbook.com?p=86645-35P","View People Online")</f>
        <v>View People Online</v>
      </c>
    </row>
    <row r="10169">
      <c r="A10169" s="14" t="s">
        <v>62692</v>
      </c>
      <c r="B10169" s="14" t="s">
        <v>62693</v>
      </c>
      <c r="C10169" s="14" t="s">
        <v>1683</v>
      </c>
      <c r="D10169" s="14" t="s">
        <v>62694</v>
      </c>
      <c r="E10169" s="14" t="s">
        <v>62668</v>
      </c>
      <c r="F10169" s="14" t="s">
        <v>29</v>
      </c>
      <c r="G10169" s="14" t="s">
        <v>62695</v>
      </c>
      <c r="H10169" s="15" t="s">
        <v>31</v>
      </c>
      <c r="I10169" s="15">
        <v>3.0</v>
      </c>
      <c r="J10169" s="15">
        <v>1.0</v>
      </c>
      <c r="K10169" s="15">
        <v>1.0</v>
      </c>
      <c r="L10169" s="16" t="s">
        <v>31</v>
      </c>
      <c r="M10169" s="14" t="s">
        <v>62696</v>
      </c>
      <c r="N10169" s="14" t="s">
        <v>1170</v>
      </c>
      <c r="O10169" s="16" t="s">
        <v>1171</v>
      </c>
      <c r="P10169" s="14" t="s">
        <v>31</v>
      </c>
      <c r="Q10169" s="14" t="s">
        <v>31</v>
      </c>
      <c r="R10169" s="14" t="s">
        <v>64</v>
      </c>
      <c r="S10169" s="16" t="s">
        <v>31</v>
      </c>
      <c r="T10169" s="14" t="s">
        <v>66</v>
      </c>
      <c r="U10169" s="16" t="s">
        <v>31</v>
      </c>
      <c r="V10169" s="14" t="s">
        <v>29</v>
      </c>
      <c r="W10169" s="14" t="s">
        <v>62668</v>
      </c>
      <c r="X10169" s="17" t="str">
        <f>HYPERLINK("https://my.pitchbook.com?p=78681-25P","View People Online")</f>
        <v>View People Online</v>
      </c>
    </row>
    <row r="10170">
      <c r="A10170" s="10" t="s">
        <v>62697</v>
      </c>
      <c r="B10170" s="10" t="s">
        <v>62698</v>
      </c>
      <c r="C10170" s="10" t="s">
        <v>7207</v>
      </c>
      <c r="D10170" s="10" t="s">
        <v>3275</v>
      </c>
      <c r="E10170" s="10" t="s">
        <v>62668</v>
      </c>
      <c r="F10170" s="10" t="s">
        <v>33435</v>
      </c>
      <c r="G10170" s="10" t="s">
        <v>62699</v>
      </c>
      <c r="H10170" s="11">
        <v>1.0</v>
      </c>
      <c r="I10170" s="11">
        <v>34.0</v>
      </c>
      <c r="J10170" s="11">
        <v>2.0</v>
      </c>
      <c r="K10170" s="11">
        <v>30.0</v>
      </c>
      <c r="L10170" s="12" t="s">
        <v>31</v>
      </c>
      <c r="M10170" s="10" t="s">
        <v>62700</v>
      </c>
      <c r="N10170" s="10" t="s">
        <v>36102</v>
      </c>
      <c r="O10170" s="12" t="s">
        <v>36103</v>
      </c>
      <c r="P10170" s="10" t="s">
        <v>62701</v>
      </c>
      <c r="Q10170" s="10" t="s">
        <v>31</v>
      </c>
      <c r="R10170" s="10" t="s">
        <v>64</v>
      </c>
      <c r="S10170" s="12" t="s">
        <v>36105</v>
      </c>
      <c r="T10170" s="10" t="s">
        <v>66</v>
      </c>
      <c r="U10170" s="12" t="s">
        <v>31</v>
      </c>
      <c r="V10170" s="10" t="s">
        <v>157</v>
      </c>
      <c r="W10170" s="10" t="s">
        <v>62702</v>
      </c>
      <c r="X10170" s="13" t="str">
        <f>HYPERLINK("https://my.pitchbook.com?p=47208-88P","View People Online")</f>
        <v>View People Online</v>
      </c>
    </row>
    <row r="10171">
      <c r="A10171" s="6" t="s">
        <v>62703</v>
      </c>
      <c r="B10171" s="6" t="s">
        <v>62704</v>
      </c>
      <c r="C10171" s="6" t="s">
        <v>37034</v>
      </c>
      <c r="D10171" s="6" t="s">
        <v>21055</v>
      </c>
      <c r="E10171" s="6" t="s">
        <v>62668</v>
      </c>
      <c r="F10171" s="6" t="s">
        <v>189</v>
      </c>
      <c r="G10171" s="6" t="s">
        <v>62705</v>
      </c>
      <c r="H10171" s="7">
        <v>4.0</v>
      </c>
      <c r="I10171" s="7">
        <v>21.0</v>
      </c>
      <c r="J10171" s="7">
        <v>2.0</v>
      </c>
      <c r="K10171" s="7">
        <v>12.0</v>
      </c>
      <c r="L10171" s="8" t="s">
        <v>62706</v>
      </c>
      <c r="M10171" s="6" t="s">
        <v>62707</v>
      </c>
      <c r="N10171" s="6" t="s">
        <v>1170</v>
      </c>
      <c r="O10171" s="8" t="s">
        <v>1171</v>
      </c>
      <c r="P10171" s="6" t="s">
        <v>31</v>
      </c>
      <c r="Q10171" s="6" t="s">
        <v>31</v>
      </c>
      <c r="R10171" s="6" t="s">
        <v>64</v>
      </c>
      <c r="S10171" s="8" t="s">
        <v>31</v>
      </c>
      <c r="T10171" s="6" t="s">
        <v>66</v>
      </c>
      <c r="U10171" s="8" t="s">
        <v>31</v>
      </c>
      <c r="V10171" s="6" t="s">
        <v>196</v>
      </c>
      <c r="W10171" s="6" t="s">
        <v>62668</v>
      </c>
      <c r="X10171" s="9" t="str">
        <f>HYPERLINK("https://my.pitchbook.com?p=47940-58P","View People Online")</f>
        <v>View People Online</v>
      </c>
    </row>
    <row r="10172">
      <c r="A10172" s="10" t="s">
        <v>62708</v>
      </c>
      <c r="B10172" s="10" t="s">
        <v>62709</v>
      </c>
      <c r="C10172" s="10" t="s">
        <v>4668</v>
      </c>
      <c r="D10172" s="10" t="s">
        <v>62710</v>
      </c>
      <c r="E10172" s="10" t="s">
        <v>62711</v>
      </c>
      <c r="F10172" s="10" t="s">
        <v>548</v>
      </c>
      <c r="G10172" s="10" t="s">
        <v>62712</v>
      </c>
      <c r="H10172" s="11" t="s">
        <v>31</v>
      </c>
      <c r="I10172" s="11">
        <v>1.0</v>
      </c>
      <c r="J10172" s="11">
        <v>1.0</v>
      </c>
      <c r="K10172" s="11" t="s">
        <v>31</v>
      </c>
      <c r="L10172" s="12" t="s">
        <v>62713</v>
      </c>
      <c r="M10172" s="10" t="s">
        <v>62714</v>
      </c>
      <c r="N10172" s="10" t="s">
        <v>3514</v>
      </c>
      <c r="O10172" s="12" t="s">
        <v>3515</v>
      </c>
      <c r="P10172" s="10" t="s">
        <v>62715</v>
      </c>
      <c r="Q10172" s="10" t="s">
        <v>62716</v>
      </c>
      <c r="R10172" s="10" t="s">
        <v>64</v>
      </c>
      <c r="S10172" s="12" t="s">
        <v>28708</v>
      </c>
      <c r="T10172" s="10" t="s">
        <v>66</v>
      </c>
      <c r="U10172" s="12" t="s">
        <v>31</v>
      </c>
      <c r="V10172" s="10" t="s">
        <v>548</v>
      </c>
      <c r="W10172" s="10" t="s">
        <v>62711</v>
      </c>
      <c r="X10172" s="13" t="str">
        <f>HYPERLINK("https://my.pitchbook.com?p=166417-48P","View People Online")</f>
        <v>View People Online</v>
      </c>
    </row>
    <row r="10173">
      <c r="A10173" s="6" t="s">
        <v>62717</v>
      </c>
      <c r="B10173" s="6" t="s">
        <v>62718</v>
      </c>
      <c r="C10173" s="6" t="s">
        <v>4128</v>
      </c>
      <c r="D10173" s="6" t="s">
        <v>10129</v>
      </c>
      <c r="E10173" s="6" t="s">
        <v>62719</v>
      </c>
      <c r="F10173" s="6" t="s">
        <v>35462</v>
      </c>
      <c r="G10173" s="6" t="s">
        <v>62720</v>
      </c>
      <c r="H10173" s="7" t="s">
        <v>31</v>
      </c>
      <c r="I10173" s="7">
        <v>1.0</v>
      </c>
      <c r="J10173" s="7">
        <v>1.0</v>
      </c>
      <c r="K10173" s="7" t="s">
        <v>31</v>
      </c>
      <c r="L10173" s="8" t="s">
        <v>31</v>
      </c>
      <c r="M10173" s="6" t="s">
        <v>62721</v>
      </c>
      <c r="N10173" s="6" t="s">
        <v>1348</v>
      </c>
      <c r="O10173" s="8" t="s">
        <v>1349</v>
      </c>
      <c r="P10173" s="6" t="s">
        <v>62722</v>
      </c>
      <c r="Q10173" s="6" t="s">
        <v>31</v>
      </c>
      <c r="R10173" s="6" t="s">
        <v>1018</v>
      </c>
      <c r="S10173" s="8" t="s">
        <v>62723</v>
      </c>
      <c r="T10173" s="6" t="s">
        <v>1019</v>
      </c>
      <c r="U10173" s="8" t="s">
        <v>31</v>
      </c>
      <c r="V10173" s="6" t="s">
        <v>62724</v>
      </c>
      <c r="W10173" s="6" t="s">
        <v>62719</v>
      </c>
      <c r="X10173" s="9" t="str">
        <f>HYPERLINK("https://my.pitchbook.com?p=440339-86P","View People Online")</f>
        <v>View People Online</v>
      </c>
    </row>
    <row r="10174">
      <c r="A10174" s="2" t="s">
        <v>62725</v>
      </c>
      <c r="B10174" s="2" t="s">
        <v>62726</v>
      </c>
      <c r="C10174" s="2" t="s">
        <v>16392</v>
      </c>
      <c r="D10174" s="2" t="s">
        <v>62727</v>
      </c>
      <c r="E10174" s="2" t="s">
        <v>62719</v>
      </c>
      <c r="F10174" s="2" t="s">
        <v>502</v>
      </c>
      <c r="G10174" s="2" t="s">
        <v>62728</v>
      </c>
      <c r="H10174" s="3" t="s">
        <v>31</v>
      </c>
      <c r="I10174" s="3">
        <v>1.0</v>
      </c>
      <c r="J10174" s="3">
        <v>1.0</v>
      </c>
      <c r="K10174" s="3" t="s">
        <v>31</v>
      </c>
      <c r="L10174" s="4" t="s">
        <v>31</v>
      </c>
      <c r="M10174" s="2" t="s">
        <v>62729</v>
      </c>
      <c r="N10174" s="2" t="s">
        <v>1348</v>
      </c>
      <c r="O10174" s="4" t="s">
        <v>1349</v>
      </c>
      <c r="P10174" s="2" t="s">
        <v>62722</v>
      </c>
      <c r="Q10174" s="2" t="s">
        <v>31</v>
      </c>
      <c r="R10174" s="2" t="s">
        <v>1018</v>
      </c>
      <c r="S10174" s="4" t="s">
        <v>62723</v>
      </c>
      <c r="T10174" s="2" t="s">
        <v>1019</v>
      </c>
      <c r="U10174" s="4" t="s">
        <v>31</v>
      </c>
      <c r="V10174" s="2" t="s">
        <v>62730</v>
      </c>
      <c r="W10174" s="2" t="s">
        <v>62719</v>
      </c>
      <c r="X10174" s="5" t="str">
        <f>HYPERLINK("https://my.pitchbook.com?p=423509-77P","View People Online")</f>
        <v>View People Online</v>
      </c>
    </row>
    <row r="10175">
      <c r="A10175" s="6" t="s">
        <v>62731</v>
      </c>
      <c r="B10175" s="6" t="s">
        <v>62732</v>
      </c>
      <c r="C10175" s="6" t="s">
        <v>48142</v>
      </c>
      <c r="D10175" s="6" t="s">
        <v>62733</v>
      </c>
      <c r="E10175" s="6" t="s">
        <v>62719</v>
      </c>
      <c r="F10175" s="6" t="s">
        <v>1459</v>
      </c>
      <c r="G10175" s="6" t="s">
        <v>62734</v>
      </c>
      <c r="H10175" s="7" t="s">
        <v>31</v>
      </c>
      <c r="I10175" s="7">
        <v>1.0</v>
      </c>
      <c r="J10175" s="7">
        <v>1.0</v>
      </c>
      <c r="K10175" s="7" t="s">
        <v>31</v>
      </c>
      <c r="L10175" s="8" t="s">
        <v>31</v>
      </c>
      <c r="M10175" s="6" t="s">
        <v>62735</v>
      </c>
      <c r="N10175" s="6" t="s">
        <v>1348</v>
      </c>
      <c r="O10175" s="8" t="s">
        <v>1349</v>
      </c>
      <c r="P10175" s="6" t="s">
        <v>62722</v>
      </c>
      <c r="Q10175" s="6" t="s">
        <v>31</v>
      </c>
      <c r="R10175" s="6" t="s">
        <v>1018</v>
      </c>
      <c r="S10175" s="8" t="s">
        <v>62723</v>
      </c>
      <c r="T10175" s="6" t="s">
        <v>1019</v>
      </c>
      <c r="U10175" s="8" t="s">
        <v>31</v>
      </c>
      <c r="V10175" s="6" t="s">
        <v>1612</v>
      </c>
      <c r="W10175" s="6" t="s">
        <v>62719</v>
      </c>
      <c r="X10175" s="9" t="str">
        <f>HYPERLINK("https://my.pitchbook.com?p=440332-57P","View People Online")</f>
        <v>View People Online</v>
      </c>
    </row>
    <row r="10176">
      <c r="A10176" s="10" t="s">
        <v>62736</v>
      </c>
      <c r="B10176" s="10" t="s">
        <v>62737</v>
      </c>
      <c r="C10176" s="10" t="s">
        <v>62738</v>
      </c>
      <c r="D10176" s="10" t="s">
        <v>62739</v>
      </c>
      <c r="E10176" s="10" t="s">
        <v>62719</v>
      </c>
      <c r="F10176" s="10" t="s">
        <v>6997</v>
      </c>
      <c r="G10176" s="10" t="s">
        <v>62740</v>
      </c>
      <c r="H10176" s="11" t="s">
        <v>31</v>
      </c>
      <c r="I10176" s="11">
        <v>1.0</v>
      </c>
      <c r="J10176" s="11">
        <v>1.0</v>
      </c>
      <c r="K10176" s="11" t="s">
        <v>31</v>
      </c>
      <c r="L10176" s="12" t="s">
        <v>31</v>
      </c>
      <c r="M10176" s="10" t="s">
        <v>62741</v>
      </c>
      <c r="N10176" s="10" t="s">
        <v>1348</v>
      </c>
      <c r="O10176" s="12" t="s">
        <v>1349</v>
      </c>
      <c r="P10176" s="10" t="s">
        <v>62722</v>
      </c>
      <c r="Q10176" s="10" t="s">
        <v>31</v>
      </c>
      <c r="R10176" s="10" t="s">
        <v>1018</v>
      </c>
      <c r="S10176" s="12" t="s">
        <v>62723</v>
      </c>
      <c r="T10176" s="10" t="s">
        <v>1019</v>
      </c>
      <c r="U10176" s="12" t="s">
        <v>31</v>
      </c>
      <c r="V10176" s="10" t="s">
        <v>6997</v>
      </c>
      <c r="W10176" s="10" t="s">
        <v>62719</v>
      </c>
      <c r="X10176" s="13" t="str">
        <f>HYPERLINK("https://my.pitchbook.com?p=440336-53P","View People Online")</f>
        <v>View People Online</v>
      </c>
    </row>
    <row r="10177">
      <c r="A10177" s="14" t="s">
        <v>62742</v>
      </c>
      <c r="B10177" s="14" t="s">
        <v>62743</v>
      </c>
      <c r="C10177" s="14" t="s">
        <v>26242</v>
      </c>
      <c r="D10177" s="14" t="s">
        <v>62744</v>
      </c>
      <c r="E10177" s="14" t="s">
        <v>62745</v>
      </c>
      <c r="F10177" s="14" t="s">
        <v>502</v>
      </c>
      <c r="G10177" s="14" t="s">
        <v>62746</v>
      </c>
      <c r="H10177" s="15" t="s">
        <v>31</v>
      </c>
      <c r="I10177" s="15">
        <v>3.0</v>
      </c>
      <c r="J10177" s="15">
        <v>3.0</v>
      </c>
      <c r="K10177" s="15" t="s">
        <v>31</v>
      </c>
      <c r="L10177" s="16" t="s">
        <v>62747</v>
      </c>
      <c r="M10177" s="14" t="s">
        <v>62748</v>
      </c>
      <c r="N10177" s="14" t="s">
        <v>1348</v>
      </c>
      <c r="O10177" s="16" t="s">
        <v>1349</v>
      </c>
      <c r="P10177" s="14" t="s">
        <v>62749</v>
      </c>
      <c r="Q10177" s="14" t="s">
        <v>31</v>
      </c>
      <c r="R10177" s="14" t="s">
        <v>1018</v>
      </c>
      <c r="S10177" s="16" t="s">
        <v>62750</v>
      </c>
      <c r="T10177" s="14" t="s">
        <v>1019</v>
      </c>
      <c r="U10177" s="16" t="s">
        <v>31</v>
      </c>
      <c r="V10177" s="14" t="s">
        <v>502</v>
      </c>
      <c r="W10177" s="14" t="s">
        <v>62745</v>
      </c>
      <c r="X10177" s="17" t="str">
        <f>HYPERLINK("https://my.pitchbook.com?p=117345-34P","View People Online")</f>
        <v>View People Online</v>
      </c>
    </row>
    <row r="10178">
      <c r="A10178" s="2" t="s">
        <v>62751</v>
      </c>
      <c r="B10178" s="2" t="s">
        <v>62752</v>
      </c>
      <c r="C10178" s="2" t="s">
        <v>62753</v>
      </c>
      <c r="D10178" s="2" t="s">
        <v>62754</v>
      </c>
      <c r="E10178" s="2" t="s">
        <v>62745</v>
      </c>
      <c r="F10178" s="2" t="s">
        <v>9653</v>
      </c>
      <c r="G10178" s="2" t="s">
        <v>62755</v>
      </c>
      <c r="H10178" s="3">
        <v>2.0</v>
      </c>
      <c r="I10178" s="3">
        <v>4.0</v>
      </c>
      <c r="J10178" s="3">
        <v>2.0</v>
      </c>
      <c r="K10178" s="3" t="s">
        <v>31</v>
      </c>
      <c r="L10178" s="4" t="s">
        <v>62756</v>
      </c>
      <c r="M10178" s="2" t="s">
        <v>62757</v>
      </c>
      <c r="N10178" s="2" t="s">
        <v>1348</v>
      </c>
      <c r="O10178" s="4" t="s">
        <v>1349</v>
      </c>
      <c r="P10178" s="2" t="s">
        <v>62749</v>
      </c>
      <c r="Q10178" s="2" t="s">
        <v>31</v>
      </c>
      <c r="R10178" s="2" t="s">
        <v>1018</v>
      </c>
      <c r="S10178" s="4" t="s">
        <v>62750</v>
      </c>
      <c r="T10178" s="2" t="s">
        <v>1019</v>
      </c>
      <c r="U10178" s="4" t="s">
        <v>31</v>
      </c>
      <c r="V10178" s="2" t="s">
        <v>62758</v>
      </c>
      <c r="W10178" s="2" t="s">
        <v>62759</v>
      </c>
      <c r="X10178" s="5" t="str">
        <f>HYPERLINK("https://my.pitchbook.com?p=146733-49P","View People Online")</f>
        <v>View People Online</v>
      </c>
    </row>
    <row r="10179">
      <c r="A10179" s="6" t="s">
        <v>62760</v>
      </c>
      <c r="B10179" s="6" t="s">
        <v>62761</v>
      </c>
      <c r="C10179" s="6" t="s">
        <v>62762</v>
      </c>
      <c r="D10179" s="6" t="s">
        <v>62763</v>
      </c>
      <c r="E10179" s="6" t="s">
        <v>62745</v>
      </c>
      <c r="F10179" s="6" t="s">
        <v>548</v>
      </c>
      <c r="G10179" s="6" t="s">
        <v>62764</v>
      </c>
      <c r="H10179" s="7" t="s">
        <v>31</v>
      </c>
      <c r="I10179" s="7">
        <v>2.0</v>
      </c>
      <c r="J10179" s="7">
        <v>1.0</v>
      </c>
      <c r="K10179" s="7">
        <v>1.0</v>
      </c>
      <c r="L10179" s="8" t="s">
        <v>62765</v>
      </c>
      <c r="M10179" s="6" t="s">
        <v>62766</v>
      </c>
      <c r="N10179" s="6" t="s">
        <v>1348</v>
      </c>
      <c r="O10179" s="8" t="s">
        <v>1349</v>
      </c>
      <c r="P10179" s="6" t="s">
        <v>62749</v>
      </c>
      <c r="Q10179" s="6" t="s">
        <v>31</v>
      </c>
      <c r="R10179" s="6" t="s">
        <v>1018</v>
      </c>
      <c r="S10179" s="8" t="s">
        <v>62750</v>
      </c>
      <c r="T10179" s="6" t="s">
        <v>1019</v>
      </c>
      <c r="U10179" s="8" t="s">
        <v>31</v>
      </c>
      <c r="V10179" s="6" t="s">
        <v>548</v>
      </c>
      <c r="W10179" s="6" t="s">
        <v>62745</v>
      </c>
      <c r="X10179" s="9" t="str">
        <f>HYPERLINK("https://my.pitchbook.com?p=415813-78P","View People Online")</f>
        <v>View People Online</v>
      </c>
    </row>
    <row r="10180">
      <c r="A10180" s="2" t="s">
        <v>62767</v>
      </c>
      <c r="B10180" s="2" t="s">
        <v>62768</v>
      </c>
      <c r="C10180" s="2" t="s">
        <v>24384</v>
      </c>
      <c r="D10180" s="2" t="s">
        <v>11737</v>
      </c>
      <c r="E10180" s="2" t="s">
        <v>62745</v>
      </c>
      <c r="F10180" s="2" t="s">
        <v>7268</v>
      </c>
      <c r="G10180" s="2" t="s">
        <v>62769</v>
      </c>
      <c r="H10180" s="3" t="s">
        <v>31</v>
      </c>
      <c r="I10180" s="3">
        <v>2.0</v>
      </c>
      <c r="J10180" s="3">
        <v>2.0</v>
      </c>
      <c r="K10180" s="3" t="s">
        <v>31</v>
      </c>
      <c r="L10180" s="4" t="s">
        <v>62765</v>
      </c>
      <c r="M10180" s="2" t="s">
        <v>62770</v>
      </c>
      <c r="N10180" s="2" t="s">
        <v>1348</v>
      </c>
      <c r="O10180" s="4" t="s">
        <v>1349</v>
      </c>
      <c r="P10180" s="2" t="s">
        <v>62749</v>
      </c>
      <c r="Q10180" s="2" t="s">
        <v>31</v>
      </c>
      <c r="R10180" s="2" t="s">
        <v>1018</v>
      </c>
      <c r="S10180" s="4" t="s">
        <v>62750</v>
      </c>
      <c r="T10180" s="2" t="s">
        <v>1019</v>
      </c>
      <c r="U10180" s="4" t="s">
        <v>31</v>
      </c>
      <c r="V10180" s="2" t="s">
        <v>62771</v>
      </c>
      <c r="W10180" s="2" t="s">
        <v>62745</v>
      </c>
      <c r="X10180" s="5" t="str">
        <f>HYPERLINK("https://my.pitchbook.com?p=423186-22P","View People Online")</f>
        <v>View People Online</v>
      </c>
    </row>
    <row r="10181">
      <c r="A10181" s="6" t="s">
        <v>62772</v>
      </c>
      <c r="B10181" s="6" t="s">
        <v>62773</v>
      </c>
      <c r="C10181" s="6" t="s">
        <v>62774</v>
      </c>
      <c r="D10181" s="6" t="s">
        <v>62775</v>
      </c>
      <c r="E10181" s="6" t="s">
        <v>62776</v>
      </c>
      <c r="F10181" s="6" t="s">
        <v>470</v>
      </c>
      <c r="G10181" s="6" t="s">
        <v>62777</v>
      </c>
      <c r="H10181" s="7" t="s">
        <v>31</v>
      </c>
      <c r="I10181" s="7">
        <v>2.0</v>
      </c>
      <c r="J10181" s="7">
        <v>1.0</v>
      </c>
      <c r="K10181" s="7">
        <v>1.0</v>
      </c>
      <c r="L10181" s="8" t="s">
        <v>62778</v>
      </c>
      <c r="M10181" s="6" t="s">
        <v>62779</v>
      </c>
      <c r="N10181" s="6" t="s">
        <v>15506</v>
      </c>
      <c r="O10181" s="8" t="s">
        <v>15507</v>
      </c>
      <c r="P10181" s="6" t="s">
        <v>62780</v>
      </c>
      <c r="Q10181" s="6" t="s">
        <v>62781</v>
      </c>
      <c r="R10181" s="6" t="s">
        <v>31</v>
      </c>
      <c r="S10181" s="8" t="s">
        <v>62782</v>
      </c>
      <c r="T10181" s="6" t="s">
        <v>1010</v>
      </c>
      <c r="U10181" s="8" t="s">
        <v>31</v>
      </c>
      <c r="V10181" s="6" t="s">
        <v>62783</v>
      </c>
      <c r="W10181" s="6" t="s">
        <v>62776</v>
      </c>
      <c r="X10181" s="9" t="str">
        <f>HYPERLINK("https://my.pitchbook.com?p=453831-85P","View People Online")</f>
        <v>View People Online</v>
      </c>
    </row>
    <row r="10182">
      <c r="A10182" s="2" t="s">
        <v>62784</v>
      </c>
      <c r="B10182" s="2" t="s">
        <v>62785</v>
      </c>
      <c r="C10182" s="2" t="s">
        <v>62786</v>
      </c>
      <c r="D10182" s="2" t="s">
        <v>62787</v>
      </c>
      <c r="E10182" s="2" t="s">
        <v>62776</v>
      </c>
      <c r="F10182" s="2" t="s">
        <v>583</v>
      </c>
      <c r="G10182" s="2" t="s">
        <v>62788</v>
      </c>
      <c r="H10182" s="3" t="s">
        <v>31</v>
      </c>
      <c r="I10182" s="3">
        <v>2.0</v>
      </c>
      <c r="J10182" s="3">
        <v>1.0</v>
      </c>
      <c r="K10182" s="3">
        <v>1.0</v>
      </c>
      <c r="L10182" s="4" t="s">
        <v>62778</v>
      </c>
      <c r="M10182" s="2" t="s">
        <v>31</v>
      </c>
      <c r="N10182" s="2" t="s">
        <v>15506</v>
      </c>
      <c r="O10182" s="4" t="s">
        <v>15507</v>
      </c>
      <c r="P10182" s="2" t="s">
        <v>62780</v>
      </c>
      <c r="Q10182" s="2" t="s">
        <v>62781</v>
      </c>
      <c r="R10182" s="2" t="s">
        <v>31</v>
      </c>
      <c r="S10182" s="4" t="s">
        <v>62782</v>
      </c>
      <c r="T10182" s="2" t="s">
        <v>1010</v>
      </c>
      <c r="U10182" s="4" t="s">
        <v>31</v>
      </c>
      <c r="V10182" s="2" t="s">
        <v>62789</v>
      </c>
      <c r="W10182" s="2" t="s">
        <v>62776</v>
      </c>
      <c r="X10182" s="5" t="str">
        <f>HYPERLINK("https://my.pitchbook.com?p=366601-42P","View People Online")</f>
        <v>View People Online</v>
      </c>
    </row>
    <row r="10183">
      <c r="A10183" s="6" t="s">
        <v>62790</v>
      </c>
      <c r="B10183" s="6" t="s">
        <v>62791</v>
      </c>
      <c r="C10183" s="6" t="s">
        <v>33646</v>
      </c>
      <c r="D10183" s="6" t="s">
        <v>62792</v>
      </c>
      <c r="E10183" s="6" t="s">
        <v>62776</v>
      </c>
      <c r="F10183" s="6" t="s">
        <v>5515</v>
      </c>
      <c r="G10183" s="6" t="s">
        <v>62793</v>
      </c>
      <c r="H10183" s="7">
        <v>2.0</v>
      </c>
      <c r="I10183" s="7">
        <v>3.0</v>
      </c>
      <c r="J10183" s="7">
        <v>1.0</v>
      </c>
      <c r="K10183" s="7">
        <v>1.0</v>
      </c>
      <c r="L10183" s="8" t="s">
        <v>62778</v>
      </c>
      <c r="M10183" s="6" t="s">
        <v>62794</v>
      </c>
      <c r="N10183" s="6" t="s">
        <v>15506</v>
      </c>
      <c r="O10183" s="8" t="s">
        <v>15507</v>
      </c>
      <c r="P10183" s="6" t="s">
        <v>62780</v>
      </c>
      <c r="Q10183" s="6" t="s">
        <v>62781</v>
      </c>
      <c r="R10183" s="6" t="s">
        <v>31</v>
      </c>
      <c r="S10183" s="8" t="s">
        <v>62782</v>
      </c>
      <c r="T10183" s="6" t="s">
        <v>1010</v>
      </c>
      <c r="U10183" s="8" t="s">
        <v>31</v>
      </c>
      <c r="V10183" s="6" t="s">
        <v>29953</v>
      </c>
      <c r="W10183" s="6" t="s">
        <v>62776</v>
      </c>
      <c r="X10183" s="9" t="str">
        <f>HYPERLINK("https://my.pitchbook.com?p=170866-99P","View People Online")</f>
        <v>View People Online</v>
      </c>
    </row>
    <row r="10184">
      <c r="A10184" s="10" t="s">
        <v>62795</v>
      </c>
      <c r="B10184" s="10" t="s">
        <v>62796</v>
      </c>
      <c r="C10184" s="10" t="s">
        <v>32188</v>
      </c>
      <c r="D10184" s="10" t="s">
        <v>62797</v>
      </c>
      <c r="E10184" s="10" t="s">
        <v>62776</v>
      </c>
      <c r="F10184" s="10" t="s">
        <v>62798</v>
      </c>
      <c r="G10184" s="10" t="s">
        <v>62799</v>
      </c>
      <c r="H10184" s="11" t="s">
        <v>31</v>
      </c>
      <c r="I10184" s="11">
        <v>1.0</v>
      </c>
      <c r="J10184" s="11">
        <v>1.0</v>
      </c>
      <c r="K10184" s="11" t="s">
        <v>31</v>
      </c>
      <c r="L10184" s="12" t="s">
        <v>62778</v>
      </c>
      <c r="M10184" s="10" t="s">
        <v>62800</v>
      </c>
      <c r="N10184" s="10" t="s">
        <v>15506</v>
      </c>
      <c r="O10184" s="12" t="s">
        <v>15507</v>
      </c>
      <c r="P10184" s="10" t="s">
        <v>62780</v>
      </c>
      <c r="Q10184" s="10" t="s">
        <v>62781</v>
      </c>
      <c r="R10184" s="10" t="s">
        <v>31</v>
      </c>
      <c r="S10184" s="12" t="s">
        <v>62782</v>
      </c>
      <c r="T10184" s="10" t="s">
        <v>1010</v>
      </c>
      <c r="U10184" s="12" t="s">
        <v>31</v>
      </c>
      <c r="V10184" s="10" t="s">
        <v>62801</v>
      </c>
      <c r="W10184" s="10" t="s">
        <v>62776</v>
      </c>
      <c r="X10184" s="13" t="str">
        <f>HYPERLINK("https://my.pitchbook.com?p=170867-08P","View People Online")</f>
        <v>View People Online</v>
      </c>
    </row>
    <row r="10185">
      <c r="A10185" s="6" t="s">
        <v>62802</v>
      </c>
      <c r="B10185" s="6" t="s">
        <v>62803</v>
      </c>
      <c r="C10185" s="6" t="s">
        <v>17263</v>
      </c>
      <c r="D10185" s="6" t="s">
        <v>62804</v>
      </c>
      <c r="E10185" s="6" t="s">
        <v>62776</v>
      </c>
      <c r="F10185" s="6" t="s">
        <v>1249</v>
      </c>
      <c r="G10185" s="6" t="s">
        <v>62805</v>
      </c>
      <c r="H10185" s="7">
        <v>1.0</v>
      </c>
      <c r="I10185" s="7">
        <v>7.0</v>
      </c>
      <c r="J10185" s="7">
        <v>1.0</v>
      </c>
      <c r="K10185" s="7">
        <v>6.0</v>
      </c>
      <c r="L10185" s="8" t="s">
        <v>62778</v>
      </c>
      <c r="M10185" s="6" t="s">
        <v>62806</v>
      </c>
      <c r="N10185" s="6" t="s">
        <v>15506</v>
      </c>
      <c r="O10185" s="8" t="s">
        <v>15507</v>
      </c>
      <c r="P10185" s="6" t="s">
        <v>62780</v>
      </c>
      <c r="Q10185" s="6" t="s">
        <v>62781</v>
      </c>
      <c r="R10185" s="6" t="s">
        <v>31</v>
      </c>
      <c r="S10185" s="8" t="s">
        <v>62782</v>
      </c>
      <c r="T10185" s="6" t="s">
        <v>1010</v>
      </c>
      <c r="U10185" s="8" t="s">
        <v>31</v>
      </c>
      <c r="V10185" s="6" t="s">
        <v>4809</v>
      </c>
      <c r="W10185" s="6" t="s">
        <v>62776</v>
      </c>
      <c r="X10185" s="9" t="str">
        <f>HYPERLINK("https://my.pitchbook.com?p=154724-32P","View People Online")</f>
        <v>View People Online</v>
      </c>
    </row>
    <row r="10186">
      <c r="A10186" s="2" t="s">
        <v>62807</v>
      </c>
      <c r="B10186" s="2" t="s">
        <v>62808</v>
      </c>
      <c r="C10186" s="2" t="s">
        <v>62809</v>
      </c>
      <c r="D10186" s="2" t="s">
        <v>62810</v>
      </c>
      <c r="E10186" s="2" t="s">
        <v>62776</v>
      </c>
      <c r="F10186" s="2" t="s">
        <v>1283</v>
      </c>
      <c r="G10186" s="2" t="s">
        <v>62811</v>
      </c>
      <c r="H10186" s="3" t="s">
        <v>31</v>
      </c>
      <c r="I10186" s="3">
        <v>2.0</v>
      </c>
      <c r="J10186" s="3">
        <v>1.0</v>
      </c>
      <c r="K10186" s="3">
        <v>1.0</v>
      </c>
      <c r="L10186" s="4" t="s">
        <v>62778</v>
      </c>
      <c r="M10186" s="2" t="s">
        <v>31</v>
      </c>
      <c r="N10186" s="2" t="s">
        <v>15506</v>
      </c>
      <c r="O10186" s="4" t="s">
        <v>15507</v>
      </c>
      <c r="P10186" s="2" t="s">
        <v>62780</v>
      </c>
      <c r="Q10186" s="2" t="s">
        <v>62781</v>
      </c>
      <c r="R10186" s="2" t="s">
        <v>31</v>
      </c>
      <c r="S10186" s="4" t="s">
        <v>62782</v>
      </c>
      <c r="T10186" s="2" t="s">
        <v>1010</v>
      </c>
      <c r="U10186" s="4" t="s">
        <v>31</v>
      </c>
      <c r="V10186" s="2" t="s">
        <v>1283</v>
      </c>
      <c r="W10186" s="2" t="s">
        <v>62776</v>
      </c>
      <c r="X10186" s="5" t="str">
        <f>HYPERLINK("https://my.pitchbook.com?p=448488-91P","View People Online")</f>
        <v>View People Online</v>
      </c>
    </row>
    <row r="10187">
      <c r="A10187" s="6" t="s">
        <v>62812</v>
      </c>
      <c r="B10187" s="6" t="s">
        <v>62813</v>
      </c>
      <c r="C10187" s="6" t="s">
        <v>19524</v>
      </c>
      <c r="D10187" s="6" t="s">
        <v>62814</v>
      </c>
      <c r="E10187" s="6" t="s">
        <v>62776</v>
      </c>
      <c r="F10187" s="6" t="s">
        <v>470</v>
      </c>
      <c r="G10187" s="6" t="s">
        <v>62815</v>
      </c>
      <c r="H10187" s="7" t="s">
        <v>31</v>
      </c>
      <c r="I10187" s="7">
        <v>2.0</v>
      </c>
      <c r="J10187" s="7">
        <v>1.0</v>
      </c>
      <c r="K10187" s="7">
        <v>1.0</v>
      </c>
      <c r="L10187" s="8" t="s">
        <v>62778</v>
      </c>
      <c r="M10187" s="6" t="s">
        <v>31</v>
      </c>
      <c r="N10187" s="6" t="s">
        <v>15506</v>
      </c>
      <c r="O10187" s="8" t="s">
        <v>15507</v>
      </c>
      <c r="P10187" s="6" t="s">
        <v>62780</v>
      </c>
      <c r="Q10187" s="6" t="s">
        <v>62781</v>
      </c>
      <c r="R10187" s="6" t="s">
        <v>31</v>
      </c>
      <c r="S10187" s="8" t="s">
        <v>62782</v>
      </c>
      <c r="T10187" s="6" t="s">
        <v>1010</v>
      </c>
      <c r="U10187" s="8" t="s">
        <v>31</v>
      </c>
      <c r="V10187" s="6" t="s">
        <v>62816</v>
      </c>
      <c r="W10187" s="6" t="s">
        <v>62776</v>
      </c>
      <c r="X10187" s="9" t="str">
        <f>HYPERLINK("https://my.pitchbook.com?p=230552-11P","View People Online")</f>
        <v>View People Online</v>
      </c>
    </row>
    <row r="10188">
      <c r="A10188" s="10" t="s">
        <v>62817</v>
      </c>
      <c r="B10188" s="10" t="s">
        <v>62818</v>
      </c>
      <c r="C10188" s="10" t="s">
        <v>62819</v>
      </c>
      <c r="D10188" s="10" t="s">
        <v>8084</v>
      </c>
      <c r="E10188" s="10" t="s">
        <v>62776</v>
      </c>
      <c r="F10188" s="10" t="s">
        <v>470</v>
      </c>
      <c r="G10188" s="10" t="s">
        <v>62820</v>
      </c>
      <c r="H10188" s="11" t="s">
        <v>31</v>
      </c>
      <c r="I10188" s="11">
        <v>4.0</v>
      </c>
      <c r="J10188" s="11">
        <v>1.0</v>
      </c>
      <c r="K10188" s="11">
        <v>2.0</v>
      </c>
      <c r="L10188" s="12" t="s">
        <v>62778</v>
      </c>
      <c r="M10188" s="10" t="s">
        <v>62821</v>
      </c>
      <c r="N10188" s="10" t="s">
        <v>15506</v>
      </c>
      <c r="O10188" s="12" t="s">
        <v>15507</v>
      </c>
      <c r="P10188" s="10" t="s">
        <v>62780</v>
      </c>
      <c r="Q10188" s="10" t="s">
        <v>62781</v>
      </c>
      <c r="R10188" s="10" t="s">
        <v>31</v>
      </c>
      <c r="S10188" s="12" t="s">
        <v>62782</v>
      </c>
      <c r="T10188" s="10" t="s">
        <v>1010</v>
      </c>
      <c r="U10188" s="12" t="s">
        <v>31</v>
      </c>
      <c r="V10188" s="10" t="s">
        <v>62822</v>
      </c>
      <c r="W10188" s="10" t="s">
        <v>62776</v>
      </c>
      <c r="X10188" s="13" t="str">
        <f>HYPERLINK("https://my.pitchbook.com?p=216068-95P","View People Online")</f>
        <v>View People Online</v>
      </c>
    </row>
    <row r="10189">
      <c r="A10189" s="14" t="s">
        <v>62823</v>
      </c>
      <c r="B10189" s="14" t="s">
        <v>62824</v>
      </c>
      <c r="C10189" s="14" t="s">
        <v>22263</v>
      </c>
      <c r="D10189" s="14" t="s">
        <v>24905</v>
      </c>
      <c r="E10189" s="14" t="s">
        <v>62776</v>
      </c>
      <c r="F10189" s="14" t="s">
        <v>6993</v>
      </c>
      <c r="G10189" s="14" t="s">
        <v>62825</v>
      </c>
      <c r="H10189" s="15" t="s">
        <v>31</v>
      </c>
      <c r="I10189" s="15">
        <v>2.0</v>
      </c>
      <c r="J10189" s="15">
        <v>1.0</v>
      </c>
      <c r="K10189" s="15">
        <v>1.0</v>
      </c>
      <c r="L10189" s="16" t="s">
        <v>62778</v>
      </c>
      <c r="M10189" s="14" t="s">
        <v>31</v>
      </c>
      <c r="N10189" s="14" t="s">
        <v>15506</v>
      </c>
      <c r="O10189" s="16" t="s">
        <v>15507</v>
      </c>
      <c r="P10189" s="14" t="s">
        <v>62780</v>
      </c>
      <c r="Q10189" s="14" t="s">
        <v>62781</v>
      </c>
      <c r="R10189" s="14" t="s">
        <v>31</v>
      </c>
      <c r="S10189" s="16" t="s">
        <v>62782</v>
      </c>
      <c r="T10189" s="14" t="s">
        <v>1010</v>
      </c>
      <c r="U10189" s="16" t="s">
        <v>31</v>
      </c>
      <c r="V10189" s="14" t="s">
        <v>6993</v>
      </c>
      <c r="W10189" s="14" t="s">
        <v>62776</v>
      </c>
      <c r="X10189" s="17" t="str">
        <f>HYPERLINK("https://my.pitchbook.com?p=433549-45P","View People Online")</f>
        <v>View People Online</v>
      </c>
    </row>
    <row r="10190">
      <c r="A10190" s="2" t="s">
        <v>62826</v>
      </c>
      <c r="B10190" s="2" t="s">
        <v>62827</v>
      </c>
      <c r="C10190" s="2" t="s">
        <v>62828</v>
      </c>
      <c r="D10190" s="2" t="s">
        <v>62829</v>
      </c>
      <c r="E10190" s="2" t="s">
        <v>62776</v>
      </c>
      <c r="F10190" s="2" t="s">
        <v>1249</v>
      </c>
      <c r="G10190" s="2" t="s">
        <v>62830</v>
      </c>
      <c r="H10190" s="3">
        <v>1.0</v>
      </c>
      <c r="I10190" s="3">
        <v>2.0</v>
      </c>
      <c r="J10190" s="3">
        <v>1.0</v>
      </c>
      <c r="K10190" s="3">
        <v>1.0</v>
      </c>
      <c r="L10190" s="4" t="s">
        <v>62778</v>
      </c>
      <c r="M10190" s="2" t="s">
        <v>62831</v>
      </c>
      <c r="N10190" s="2" t="s">
        <v>15506</v>
      </c>
      <c r="O10190" s="4" t="s">
        <v>15507</v>
      </c>
      <c r="P10190" s="2" t="s">
        <v>62780</v>
      </c>
      <c r="Q10190" s="2" t="s">
        <v>62781</v>
      </c>
      <c r="R10190" s="2" t="s">
        <v>31</v>
      </c>
      <c r="S10190" s="4" t="s">
        <v>62782</v>
      </c>
      <c r="T10190" s="2" t="s">
        <v>1010</v>
      </c>
      <c r="U10190" s="4" t="s">
        <v>31</v>
      </c>
      <c r="V10190" s="2" t="s">
        <v>1252</v>
      </c>
      <c r="W10190" s="2" t="s">
        <v>62776</v>
      </c>
      <c r="X10190" s="5" t="str">
        <f>HYPERLINK("https://my.pitchbook.com?p=305039-26P","View People Online")</f>
        <v>View People Online</v>
      </c>
    </row>
    <row r="10191">
      <c r="A10191" s="6" t="s">
        <v>62832</v>
      </c>
      <c r="B10191" s="6" t="s">
        <v>62833</v>
      </c>
      <c r="C10191" s="6" t="s">
        <v>62834</v>
      </c>
      <c r="D10191" s="6" t="s">
        <v>62835</v>
      </c>
      <c r="E10191" s="6" t="s">
        <v>62776</v>
      </c>
      <c r="F10191" s="6" t="s">
        <v>1249</v>
      </c>
      <c r="G10191" s="6" t="s">
        <v>62836</v>
      </c>
      <c r="H10191" s="7">
        <v>1.0</v>
      </c>
      <c r="I10191" s="7">
        <v>3.0</v>
      </c>
      <c r="J10191" s="7">
        <v>1.0</v>
      </c>
      <c r="K10191" s="7">
        <v>2.0</v>
      </c>
      <c r="L10191" s="8" t="s">
        <v>62778</v>
      </c>
      <c r="M10191" s="6" t="s">
        <v>31</v>
      </c>
      <c r="N10191" s="6" t="s">
        <v>15506</v>
      </c>
      <c r="O10191" s="8" t="s">
        <v>15507</v>
      </c>
      <c r="P10191" s="6" t="s">
        <v>62780</v>
      </c>
      <c r="Q10191" s="6" t="s">
        <v>62781</v>
      </c>
      <c r="R10191" s="6" t="s">
        <v>31</v>
      </c>
      <c r="S10191" s="8" t="s">
        <v>62782</v>
      </c>
      <c r="T10191" s="6" t="s">
        <v>1010</v>
      </c>
      <c r="U10191" s="8" t="s">
        <v>31</v>
      </c>
      <c r="V10191" s="6" t="s">
        <v>1252</v>
      </c>
      <c r="W10191" s="6" t="s">
        <v>62776</v>
      </c>
      <c r="X10191" s="9" t="str">
        <f>HYPERLINK("https://my.pitchbook.com?p=442752-04P","View People Online")</f>
        <v>View People Online</v>
      </c>
    </row>
    <row r="10192">
      <c r="A10192" s="10" t="s">
        <v>62837</v>
      </c>
      <c r="B10192" s="10" t="s">
        <v>62838</v>
      </c>
      <c r="C10192" s="10" t="s">
        <v>62839</v>
      </c>
      <c r="D10192" s="10" t="s">
        <v>62840</v>
      </c>
      <c r="E10192" s="10" t="s">
        <v>62776</v>
      </c>
      <c r="F10192" s="10" t="s">
        <v>9952</v>
      </c>
      <c r="G10192" s="10" t="s">
        <v>62841</v>
      </c>
      <c r="H10192" s="11" t="s">
        <v>31</v>
      </c>
      <c r="I10192" s="11">
        <v>1.0</v>
      </c>
      <c r="J10192" s="11">
        <v>1.0</v>
      </c>
      <c r="K10192" s="11" t="s">
        <v>31</v>
      </c>
      <c r="L10192" s="12" t="s">
        <v>62842</v>
      </c>
      <c r="M10192" s="10" t="s">
        <v>62843</v>
      </c>
      <c r="N10192" s="10" t="s">
        <v>15506</v>
      </c>
      <c r="O10192" s="12" t="s">
        <v>15507</v>
      </c>
      <c r="P10192" s="10" t="s">
        <v>62780</v>
      </c>
      <c r="Q10192" s="10" t="s">
        <v>62781</v>
      </c>
      <c r="R10192" s="10" t="s">
        <v>31</v>
      </c>
      <c r="S10192" s="12" t="s">
        <v>62782</v>
      </c>
      <c r="T10192" s="10" t="s">
        <v>1010</v>
      </c>
      <c r="U10192" s="12" t="s">
        <v>31</v>
      </c>
      <c r="V10192" s="10" t="s">
        <v>62844</v>
      </c>
      <c r="W10192" s="10" t="s">
        <v>62776</v>
      </c>
      <c r="X10192" s="13" t="str">
        <f>HYPERLINK("https://my.pitchbook.com?p=420724-27P","View People Online")</f>
        <v>View People Online</v>
      </c>
    </row>
    <row r="10193">
      <c r="A10193" s="14" t="s">
        <v>62845</v>
      </c>
      <c r="B10193" s="14" t="s">
        <v>62846</v>
      </c>
      <c r="C10193" s="14" t="s">
        <v>62839</v>
      </c>
      <c r="D10193" s="14" t="s">
        <v>62847</v>
      </c>
      <c r="E10193" s="14" t="s">
        <v>62776</v>
      </c>
      <c r="F10193" s="14" t="s">
        <v>270</v>
      </c>
      <c r="G10193" s="14" t="s">
        <v>62848</v>
      </c>
      <c r="H10193" s="15" t="s">
        <v>31</v>
      </c>
      <c r="I10193" s="15">
        <v>2.0</v>
      </c>
      <c r="J10193" s="15">
        <v>1.0</v>
      </c>
      <c r="K10193" s="15">
        <v>1.0</v>
      </c>
      <c r="L10193" s="16" t="s">
        <v>62778</v>
      </c>
      <c r="M10193" s="14" t="s">
        <v>31</v>
      </c>
      <c r="N10193" s="14" t="s">
        <v>15506</v>
      </c>
      <c r="O10193" s="16" t="s">
        <v>15507</v>
      </c>
      <c r="P10193" s="14" t="s">
        <v>62780</v>
      </c>
      <c r="Q10193" s="14" t="s">
        <v>62781</v>
      </c>
      <c r="R10193" s="14" t="s">
        <v>31</v>
      </c>
      <c r="S10193" s="16" t="s">
        <v>62782</v>
      </c>
      <c r="T10193" s="14" t="s">
        <v>1010</v>
      </c>
      <c r="U10193" s="16" t="s">
        <v>31</v>
      </c>
      <c r="V10193" s="14" t="s">
        <v>270</v>
      </c>
      <c r="W10193" s="14" t="s">
        <v>62776</v>
      </c>
      <c r="X10193" s="17" t="str">
        <f>HYPERLINK("https://my.pitchbook.com?p=407761-48P","View People Online")</f>
        <v>View People Online</v>
      </c>
    </row>
    <row r="10194">
      <c r="A10194" s="2" t="s">
        <v>62849</v>
      </c>
      <c r="B10194" s="2" t="s">
        <v>62850</v>
      </c>
      <c r="C10194" s="2" t="s">
        <v>823</v>
      </c>
      <c r="D10194" s="2" t="s">
        <v>3222</v>
      </c>
      <c r="E10194" s="2" t="s">
        <v>62851</v>
      </c>
      <c r="F10194" s="2" t="s">
        <v>29</v>
      </c>
      <c r="G10194" s="2" t="s">
        <v>62852</v>
      </c>
      <c r="H10194" s="3">
        <v>1.0</v>
      </c>
      <c r="I10194" s="3">
        <v>9.0</v>
      </c>
      <c r="J10194" s="3">
        <v>4.0</v>
      </c>
      <c r="K10194" s="3">
        <v>4.0</v>
      </c>
      <c r="L10194" s="4" t="s">
        <v>31</v>
      </c>
      <c r="M10194" s="2" t="s">
        <v>62853</v>
      </c>
      <c r="N10194" s="2" t="s">
        <v>155</v>
      </c>
      <c r="O10194" s="4" t="s">
        <v>156</v>
      </c>
      <c r="P10194" s="2" t="s">
        <v>31</v>
      </c>
      <c r="Q10194" s="2" t="s">
        <v>31</v>
      </c>
      <c r="R10194" s="2" t="s">
        <v>64</v>
      </c>
      <c r="S10194" s="4" t="s">
        <v>3560</v>
      </c>
      <c r="T10194" s="2" t="s">
        <v>66</v>
      </c>
      <c r="U10194" s="4" t="s">
        <v>31</v>
      </c>
      <c r="V10194" s="2" t="s">
        <v>29</v>
      </c>
      <c r="W10194" s="2" t="s">
        <v>62851</v>
      </c>
      <c r="X10194" s="5" t="str">
        <f>HYPERLINK("https://my.pitchbook.com?p=122957-20P","View People Online")</f>
        <v>View People Online</v>
      </c>
    </row>
    <row r="10195">
      <c r="A10195" s="6" t="s">
        <v>62854</v>
      </c>
      <c r="B10195" s="6" t="s">
        <v>62855</v>
      </c>
      <c r="C10195" s="6" t="s">
        <v>18767</v>
      </c>
      <c r="D10195" s="6" t="s">
        <v>843</v>
      </c>
      <c r="E10195" s="6" t="s">
        <v>62851</v>
      </c>
      <c r="F10195" s="6" t="s">
        <v>548</v>
      </c>
      <c r="G10195" s="6" t="s">
        <v>62856</v>
      </c>
      <c r="H10195" s="7" t="s">
        <v>31</v>
      </c>
      <c r="I10195" s="7">
        <v>2.0</v>
      </c>
      <c r="J10195" s="7">
        <v>2.0</v>
      </c>
      <c r="K10195" s="7" t="s">
        <v>31</v>
      </c>
      <c r="L10195" s="8" t="s">
        <v>62857</v>
      </c>
      <c r="M10195" s="6" t="s">
        <v>31</v>
      </c>
      <c r="N10195" s="6" t="s">
        <v>155</v>
      </c>
      <c r="O10195" s="8" t="s">
        <v>156</v>
      </c>
      <c r="P10195" s="6" t="s">
        <v>62858</v>
      </c>
      <c r="Q10195" s="6" t="s">
        <v>31</v>
      </c>
      <c r="R10195" s="6" t="s">
        <v>64</v>
      </c>
      <c r="S10195" s="8" t="s">
        <v>62859</v>
      </c>
      <c r="T10195" s="6" t="s">
        <v>66</v>
      </c>
      <c r="U10195" s="8" t="s">
        <v>31</v>
      </c>
      <c r="V10195" s="6" t="s">
        <v>558</v>
      </c>
      <c r="W10195" s="6" t="s">
        <v>62860</v>
      </c>
      <c r="X10195" s="9" t="str">
        <f>HYPERLINK("https://my.pitchbook.com?p=333001-00P","View People Online")</f>
        <v>View People Online</v>
      </c>
    </row>
    <row r="10196">
      <c r="A10196" s="10" t="s">
        <v>62861</v>
      </c>
      <c r="B10196" s="10" t="s">
        <v>62862</v>
      </c>
      <c r="C10196" s="10" t="s">
        <v>18767</v>
      </c>
      <c r="D10196" s="10" t="s">
        <v>62863</v>
      </c>
      <c r="E10196" s="10" t="s">
        <v>62851</v>
      </c>
      <c r="F10196" s="10" t="s">
        <v>548</v>
      </c>
      <c r="G10196" s="10" t="s">
        <v>62864</v>
      </c>
      <c r="H10196" s="11" t="s">
        <v>31</v>
      </c>
      <c r="I10196" s="11">
        <v>3.0</v>
      </c>
      <c r="J10196" s="11">
        <v>1.0</v>
      </c>
      <c r="K10196" s="11">
        <v>2.0</v>
      </c>
      <c r="L10196" s="12" t="s">
        <v>31</v>
      </c>
      <c r="M10196" s="10" t="s">
        <v>62865</v>
      </c>
      <c r="N10196" s="10" t="s">
        <v>155</v>
      </c>
      <c r="O10196" s="12" t="s">
        <v>156</v>
      </c>
      <c r="P10196" s="10" t="s">
        <v>31</v>
      </c>
      <c r="Q10196" s="10" t="s">
        <v>31</v>
      </c>
      <c r="R10196" s="10" t="s">
        <v>64</v>
      </c>
      <c r="S10196" s="12" t="s">
        <v>3560</v>
      </c>
      <c r="T10196" s="10" t="s">
        <v>66</v>
      </c>
      <c r="U10196" s="12" t="s">
        <v>31</v>
      </c>
      <c r="V10196" s="10" t="s">
        <v>10019</v>
      </c>
      <c r="W10196" s="10" t="s">
        <v>62851</v>
      </c>
      <c r="X10196" s="13" t="str">
        <f>HYPERLINK("https://my.pitchbook.com?p=392559-67P","View People Online")</f>
        <v>View People Online</v>
      </c>
    </row>
    <row r="10197">
      <c r="A10197" s="6" t="s">
        <v>62866</v>
      </c>
      <c r="B10197" s="6" t="s">
        <v>62867</v>
      </c>
      <c r="C10197" s="6" t="s">
        <v>186</v>
      </c>
      <c r="D10197" s="6" t="s">
        <v>3203</v>
      </c>
      <c r="E10197" s="6" t="s">
        <v>57073</v>
      </c>
      <c r="F10197" s="6" t="s">
        <v>26897</v>
      </c>
      <c r="G10197" s="6" t="s">
        <v>62868</v>
      </c>
      <c r="H10197" s="7" t="s">
        <v>31</v>
      </c>
      <c r="I10197" s="7">
        <v>1.0</v>
      </c>
      <c r="J10197" s="7">
        <v>1.0</v>
      </c>
      <c r="K10197" s="7" t="s">
        <v>31</v>
      </c>
      <c r="L10197" s="8" t="s">
        <v>57068</v>
      </c>
      <c r="M10197" s="6" t="s">
        <v>62869</v>
      </c>
      <c r="N10197" s="6" t="s">
        <v>7957</v>
      </c>
      <c r="O10197" s="8" t="s">
        <v>7958</v>
      </c>
      <c r="P10197" s="6" t="s">
        <v>57070</v>
      </c>
      <c r="Q10197" s="6" t="s">
        <v>43145</v>
      </c>
      <c r="R10197" s="6" t="s">
        <v>7004</v>
      </c>
      <c r="S10197" s="8" t="s">
        <v>57071</v>
      </c>
      <c r="T10197" s="6" t="s">
        <v>66</v>
      </c>
      <c r="U10197" s="8" t="s">
        <v>31</v>
      </c>
      <c r="V10197" s="6" t="s">
        <v>62870</v>
      </c>
      <c r="W10197" s="6" t="s">
        <v>57073</v>
      </c>
      <c r="X10197" s="9" t="str">
        <f>HYPERLINK("https://my.pitchbook.com?p=263865-70P","View People Online")</f>
        <v>View People Online</v>
      </c>
    </row>
    <row r="10198">
      <c r="A10198" s="2" t="s">
        <v>62871</v>
      </c>
      <c r="B10198" s="2" t="s">
        <v>62872</v>
      </c>
      <c r="C10198" s="2" t="s">
        <v>1117</v>
      </c>
      <c r="D10198" s="2" t="s">
        <v>62873</v>
      </c>
      <c r="E10198" s="2" t="s">
        <v>57073</v>
      </c>
      <c r="F10198" s="2" t="s">
        <v>1283</v>
      </c>
      <c r="G10198" s="2" t="s">
        <v>62874</v>
      </c>
      <c r="H10198" s="3" t="s">
        <v>31</v>
      </c>
      <c r="I10198" s="3">
        <v>2.0</v>
      </c>
      <c r="J10198" s="3">
        <v>1.0</v>
      </c>
      <c r="K10198" s="3">
        <v>1.0</v>
      </c>
      <c r="L10198" s="4" t="s">
        <v>57068</v>
      </c>
      <c r="M10198" s="2" t="s">
        <v>62875</v>
      </c>
      <c r="N10198" s="2" t="s">
        <v>7957</v>
      </c>
      <c r="O10198" s="4" t="s">
        <v>7958</v>
      </c>
      <c r="P10198" s="2" t="s">
        <v>57070</v>
      </c>
      <c r="Q10198" s="2" t="s">
        <v>43145</v>
      </c>
      <c r="R10198" s="2" t="s">
        <v>7004</v>
      </c>
      <c r="S10198" s="4" t="s">
        <v>57071</v>
      </c>
      <c r="T10198" s="2" t="s">
        <v>66</v>
      </c>
      <c r="U10198" s="4" t="s">
        <v>31</v>
      </c>
      <c r="V10198" s="2" t="s">
        <v>1283</v>
      </c>
      <c r="W10198" s="2" t="s">
        <v>57073</v>
      </c>
      <c r="X10198" s="5" t="str">
        <f>HYPERLINK("https://my.pitchbook.com?p=241846-30P","View People Online")</f>
        <v>View People Online</v>
      </c>
    </row>
    <row r="10199">
      <c r="A10199" s="14" t="s">
        <v>62876</v>
      </c>
      <c r="B10199" s="14" t="s">
        <v>62877</v>
      </c>
      <c r="C10199" s="14" t="s">
        <v>7252</v>
      </c>
      <c r="D10199" s="14" t="s">
        <v>62878</v>
      </c>
      <c r="E10199" s="14" t="s">
        <v>57073</v>
      </c>
      <c r="F10199" s="14" t="s">
        <v>825</v>
      </c>
      <c r="G10199" s="14" t="s">
        <v>62879</v>
      </c>
      <c r="H10199" s="15" t="s">
        <v>31</v>
      </c>
      <c r="I10199" s="15">
        <v>1.0</v>
      </c>
      <c r="J10199" s="15">
        <v>1.0</v>
      </c>
      <c r="K10199" s="15" t="s">
        <v>31</v>
      </c>
      <c r="L10199" s="16" t="s">
        <v>57068</v>
      </c>
      <c r="M10199" s="14" t="s">
        <v>62880</v>
      </c>
      <c r="N10199" s="14" t="s">
        <v>7957</v>
      </c>
      <c r="O10199" s="16" t="s">
        <v>7958</v>
      </c>
      <c r="P10199" s="14" t="s">
        <v>57070</v>
      </c>
      <c r="Q10199" s="14" t="s">
        <v>43145</v>
      </c>
      <c r="R10199" s="14" t="s">
        <v>7004</v>
      </c>
      <c r="S10199" s="16" t="s">
        <v>57071</v>
      </c>
      <c r="T10199" s="14" t="s">
        <v>66</v>
      </c>
      <c r="U10199" s="16" t="s">
        <v>31</v>
      </c>
      <c r="V10199" s="14" t="s">
        <v>31747</v>
      </c>
      <c r="W10199" s="14" t="s">
        <v>57073</v>
      </c>
      <c r="X10199" s="17" t="str">
        <f>HYPERLINK("https://my.pitchbook.com?p=263865-25P","View People Online")</f>
        <v>View People Online</v>
      </c>
    </row>
    <row r="10200">
      <c r="A10200" s="10" t="s">
        <v>62881</v>
      </c>
      <c r="B10200" s="10" t="s">
        <v>62882</v>
      </c>
      <c r="C10200" s="10" t="s">
        <v>10008</v>
      </c>
      <c r="D10200" s="10" t="s">
        <v>62883</v>
      </c>
      <c r="E10200" s="10" t="s">
        <v>57073</v>
      </c>
      <c r="F10200" s="10" t="s">
        <v>1283</v>
      </c>
      <c r="G10200" s="10" t="s">
        <v>62884</v>
      </c>
      <c r="H10200" s="11" t="s">
        <v>31</v>
      </c>
      <c r="I10200" s="11">
        <v>6.0</v>
      </c>
      <c r="J10200" s="11">
        <v>2.0</v>
      </c>
      <c r="K10200" s="11">
        <v>4.0</v>
      </c>
      <c r="L10200" s="12" t="s">
        <v>57068</v>
      </c>
      <c r="M10200" s="10" t="s">
        <v>31</v>
      </c>
      <c r="N10200" s="10" t="s">
        <v>7957</v>
      </c>
      <c r="O10200" s="12" t="s">
        <v>7958</v>
      </c>
      <c r="P10200" s="10" t="s">
        <v>57070</v>
      </c>
      <c r="Q10200" s="10" t="s">
        <v>43145</v>
      </c>
      <c r="R10200" s="10" t="s">
        <v>7004</v>
      </c>
      <c r="S10200" s="12" t="s">
        <v>57071</v>
      </c>
      <c r="T10200" s="10" t="s">
        <v>66</v>
      </c>
      <c r="U10200" s="12" t="s">
        <v>31</v>
      </c>
      <c r="V10200" s="10" t="s">
        <v>62885</v>
      </c>
      <c r="W10200" s="10" t="s">
        <v>57073</v>
      </c>
      <c r="X10200" s="13" t="str">
        <f>HYPERLINK("https://my.pitchbook.com?p=13982-86P","View People Online")</f>
        <v>View People Online</v>
      </c>
    </row>
    <row r="10201">
      <c r="A10201" s="6" t="s">
        <v>62886</v>
      </c>
      <c r="B10201" s="6" t="s">
        <v>62887</v>
      </c>
      <c r="C10201" s="6" t="s">
        <v>3779</v>
      </c>
      <c r="D10201" s="6" t="s">
        <v>1306</v>
      </c>
      <c r="E10201" s="6" t="s">
        <v>57073</v>
      </c>
      <c r="F10201" s="6" t="s">
        <v>548</v>
      </c>
      <c r="G10201" s="6" t="s">
        <v>62888</v>
      </c>
      <c r="H10201" s="7" t="s">
        <v>31</v>
      </c>
      <c r="I10201" s="7">
        <v>4.0</v>
      </c>
      <c r="J10201" s="7">
        <v>1.0</v>
      </c>
      <c r="K10201" s="7">
        <v>3.0</v>
      </c>
      <c r="L10201" s="8" t="s">
        <v>57068</v>
      </c>
      <c r="M10201" s="6" t="s">
        <v>31</v>
      </c>
      <c r="N10201" s="6" t="s">
        <v>7957</v>
      </c>
      <c r="O10201" s="8" t="s">
        <v>7958</v>
      </c>
      <c r="P10201" s="6" t="s">
        <v>57070</v>
      </c>
      <c r="Q10201" s="6" t="s">
        <v>43145</v>
      </c>
      <c r="R10201" s="6" t="s">
        <v>7004</v>
      </c>
      <c r="S10201" s="8" t="s">
        <v>57071</v>
      </c>
      <c r="T10201" s="6" t="s">
        <v>66</v>
      </c>
      <c r="U10201" s="8" t="s">
        <v>31</v>
      </c>
      <c r="V10201" s="6" t="s">
        <v>62889</v>
      </c>
      <c r="W10201" s="6" t="s">
        <v>57073</v>
      </c>
      <c r="X10201" s="9" t="str">
        <f>HYPERLINK("https://my.pitchbook.com?p=304239-97P","View People Online")</f>
        <v>View People Online</v>
      </c>
    </row>
    <row r="10202">
      <c r="A10202" s="10" t="s">
        <v>62890</v>
      </c>
      <c r="B10202" s="10" t="s">
        <v>62891</v>
      </c>
      <c r="C10202" s="10" t="s">
        <v>30669</v>
      </c>
      <c r="D10202" s="10" t="s">
        <v>62892</v>
      </c>
      <c r="E10202" s="10" t="s">
        <v>57073</v>
      </c>
      <c r="F10202" s="10" t="s">
        <v>26897</v>
      </c>
      <c r="G10202" s="10" t="s">
        <v>62893</v>
      </c>
      <c r="H10202" s="11" t="s">
        <v>31</v>
      </c>
      <c r="I10202" s="11">
        <v>1.0</v>
      </c>
      <c r="J10202" s="11">
        <v>1.0</v>
      </c>
      <c r="K10202" s="11" t="s">
        <v>31</v>
      </c>
      <c r="L10202" s="12" t="s">
        <v>57068</v>
      </c>
      <c r="M10202" s="10" t="s">
        <v>62894</v>
      </c>
      <c r="N10202" s="10" t="s">
        <v>7957</v>
      </c>
      <c r="O10202" s="12" t="s">
        <v>7958</v>
      </c>
      <c r="P10202" s="10" t="s">
        <v>57070</v>
      </c>
      <c r="Q10202" s="10" t="s">
        <v>43145</v>
      </c>
      <c r="R10202" s="10" t="s">
        <v>7004</v>
      </c>
      <c r="S10202" s="12" t="s">
        <v>57071</v>
      </c>
      <c r="T10202" s="10" t="s">
        <v>66</v>
      </c>
      <c r="U10202" s="12" t="s">
        <v>31</v>
      </c>
      <c r="V10202" s="10" t="s">
        <v>62895</v>
      </c>
      <c r="W10202" s="10" t="s">
        <v>57073</v>
      </c>
      <c r="X10202" s="13" t="str">
        <f>HYPERLINK("https://my.pitchbook.com?p=205440-31P","View People Online")</f>
        <v>View People Online</v>
      </c>
    </row>
    <row r="10203">
      <c r="A10203" s="14" t="s">
        <v>62896</v>
      </c>
      <c r="B10203" s="14" t="s">
        <v>62897</v>
      </c>
      <c r="C10203" s="14" t="s">
        <v>285</v>
      </c>
      <c r="D10203" s="14" t="s">
        <v>62898</v>
      </c>
      <c r="E10203" s="14" t="s">
        <v>57073</v>
      </c>
      <c r="F10203" s="14" t="s">
        <v>6993</v>
      </c>
      <c r="G10203" s="14" t="s">
        <v>62899</v>
      </c>
      <c r="H10203" s="15" t="s">
        <v>31</v>
      </c>
      <c r="I10203" s="15">
        <v>2.0</v>
      </c>
      <c r="J10203" s="15">
        <v>1.0</v>
      </c>
      <c r="K10203" s="15">
        <v>1.0</v>
      </c>
      <c r="L10203" s="16" t="s">
        <v>57068</v>
      </c>
      <c r="M10203" s="14" t="s">
        <v>62900</v>
      </c>
      <c r="N10203" s="14" t="s">
        <v>7957</v>
      </c>
      <c r="O10203" s="16" t="s">
        <v>7958</v>
      </c>
      <c r="P10203" s="14" t="s">
        <v>57070</v>
      </c>
      <c r="Q10203" s="14" t="s">
        <v>43145</v>
      </c>
      <c r="R10203" s="14" t="s">
        <v>7004</v>
      </c>
      <c r="S10203" s="16" t="s">
        <v>57071</v>
      </c>
      <c r="T10203" s="14" t="s">
        <v>66</v>
      </c>
      <c r="U10203" s="16" t="s">
        <v>31</v>
      </c>
      <c r="V10203" s="14" t="s">
        <v>62901</v>
      </c>
      <c r="W10203" s="14" t="s">
        <v>57073</v>
      </c>
      <c r="X10203" s="17" t="str">
        <f>HYPERLINK("https://my.pitchbook.com?p=35188-03P","View People Online")</f>
        <v>View People Online</v>
      </c>
    </row>
    <row r="10204">
      <c r="A10204" s="10" t="s">
        <v>62902</v>
      </c>
      <c r="B10204" s="10" t="s">
        <v>62903</v>
      </c>
      <c r="C10204" s="10" t="s">
        <v>15454</v>
      </c>
      <c r="D10204" s="10" t="s">
        <v>62904</v>
      </c>
      <c r="E10204" s="10" t="s">
        <v>57073</v>
      </c>
      <c r="F10204" s="10" t="s">
        <v>548</v>
      </c>
      <c r="G10204" s="10" t="s">
        <v>62905</v>
      </c>
      <c r="H10204" s="11" t="s">
        <v>31</v>
      </c>
      <c r="I10204" s="11">
        <v>1.0</v>
      </c>
      <c r="J10204" s="11">
        <v>1.0</v>
      </c>
      <c r="K10204" s="11" t="s">
        <v>31</v>
      </c>
      <c r="L10204" s="12" t="s">
        <v>57068</v>
      </c>
      <c r="M10204" s="10" t="s">
        <v>62906</v>
      </c>
      <c r="N10204" s="10" t="s">
        <v>7957</v>
      </c>
      <c r="O10204" s="12" t="s">
        <v>7958</v>
      </c>
      <c r="P10204" s="10" t="s">
        <v>57070</v>
      </c>
      <c r="Q10204" s="10" t="s">
        <v>43145</v>
      </c>
      <c r="R10204" s="10" t="s">
        <v>7004</v>
      </c>
      <c r="S10204" s="12" t="s">
        <v>57071</v>
      </c>
      <c r="T10204" s="10" t="s">
        <v>66</v>
      </c>
      <c r="U10204" s="12" t="s">
        <v>31</v>
      </c>
      <c r="V10204" s="10" t="s">
        <v>2113</v>
      </c>
      <c r="W10204" s="10" t="s">
        <v>57073</v>
      </c>
      <c r="X10204" s="13" t="str">
        <f>HYPERLINK("https://my.pitchbook.com?p=205439-32P","View People Online")</f>
        <v>View People Online</v>
      </c>
    </row>
    <row r="10205">
      <c r="A10205" s="14" t="s">
        <v>62907</v>
      </c>
      <c r="B10205" s="14" t="s">
        <v>62908</v>
      </c>
      <c r="C10205" s="14" t="s">
        <v>1982</v>
      </c>
      <c r="D10205" s="14" t="s">
        <v>24539</v>
      </c>
      <c r="E10205" s="14" t="s">
        <v>57073</v>
      </c>
      <c r="F10205" s="14" t="s">
        <v>1283</v>
      </c>
      <c r="G10205" s="14" t="s">
        <v>62909</v>
      </c>
      <c r="H10205" s="15" t="s">
        <v>31</v>
      </c>
      <c r="I10205" s="15">
        <v>5.0</v>
      </c>
      <c r="J10205" s="15">
        <v>1.0</v>
      </c>
      <c r="K10205" s="15">
        <v>4.0</v>
      </c>
      <c r="L10205" s="16" t="s">
        <v>62910</v>
      </c>
      <c r="M10205" s="14" t="s">
        <v>62911</v>
      </c>
      <c r="N10205" s="14" t="s">
        <v>7957</v>
      </c>
      <c r="O10205" s="16" t="s">
        <v>7958</v>
      </c>
      <c r="P10205" s="14" t="s">
        <v>57070</v>
      </c>
      <c r="Q10205" s="14" t="s">
        <v>43145</v>
      </c>
      <c r="R10205" s="14" t="s">
        <v>7004</v>
      </c>
      <c r="S10205" s="16" t="s">
        <v>57071</v>
      </c>
      <c r="T10205" s="14" t="s">
        <v>66</v>
      </c>
      <c r="U10205" s="16" t="s">
        <v>31</v>
      </c>
      <c r="V10205" s="14" t="s">
        <v>1283</v>
      </c>
      <c r="W10205" s="14" t="s">
        <v>57073</v>
      </c>
      <c r="X10205" s="17" t="str">
        <f>HYPERLINK("https://my.pitchbook.com?p=98190-37P","View People Online")</f>
        <v>View People Online</v>
      </c>
    </row>
    <row r="10206">
      <c r="A10206" s="2" t="s">
        <v>62912</v>
      </c>
      <c r="B10206" s="2" t="s">
        <v>62913</v>
      </c>
      <c r="C10206" s="2" t="s">
        <v>9911</v>
      </c>
      <c r="D10206" s="2" t="s">
        <v>62914</v>
      </c>
      <c r="E10206" s="2" t="s">
        <v>57073</v>
      </c>
      <c r="F10206" s="2" t="s">
        <v>78</v>
      </c>
      <c r="G10206" s="2" t="s">
        <v>62915</v>
      </c>
      <c r="H10206" s="3">
        <v>1.0</v>
      </c>
      <c r="I10206" s="3">
        <v>6.0</v>
      </c>
      <c r="J10206" s="3">
        <v>1.0</v>
      </c>
      <c r="K10206" s="3">
        <v>1.0</v>
      </c>
      <c r="L10206" s="4" t="s">
        <v>57068</v>
      </c>
      <c r="M10206" s="2" t="s">
        <v>62916</v>
      </c>
      <c r="N10206" s="2" t="s">
        <v>7957</v>
      </c>
      <c r="O10206" s="4" t="s">
        <v>7958</v>
      </c>
      <c r="P10206" s="2" t="s">
        <v>57070</v>
      </c>
      <c r="Q10206" s="2" t="s">
        <v>43145</v>
      </c>
      <c r="R10206" s="2" t="s">
        <v>7004</v>
      </c>
      <c r="S10206" s="4" t="s">
        <v>57071</v>
      </c>
      <c r="T10206" s="2" t="s">
        <v>66</v>
      </c>
      <c r="U10206" s="4" t="s">
        <v>31</v>
      </c>
      <c r="V10206" s="2" t="s">
        <v>10197</v>
      </c>
      <c r="W10206" s="2" t="s">
        <v>57073</v>
      </c>
      <c r="X10206" s="5" t="str">
        <f>HYPERLINK("https://my.pitchbook.com?p=43207-30P","View People Online")</f>
        <v>View People Online</v>
      </c>
    </row>
    <row r="10207">
      <c r="A10207" s="14" t="s">
        <v>62917</v>
      </c>
      <c r="B10207" s="14" t="s">
        <v>62918</v>
      </c>
      <c r="C10207" s="14" t="s">
        <v>17275</v>
      </c>
      <c r="D10207" s="14" t="s">
        <v>62919</v>
      </c>
      <c r="E10207" s="14" t="s">
        <v>57073</v>
      </c>
      <c r="F10207" s="14" t="s">
        <v>1283</v>
      </c>
      <c r="G10207" s="14" t="s">
        <v>62920</v>
      </c>
      <c r="H10207" s="15" t="s">
        <v>31</v>
      </c>
      <c r="I10207" s="15">
        <v>6.0</v>
      </c>
      <c r="J10207" s="15">
        <v>1.0</v>
      </c>
      <c r="K10207" s="15">
        <v>5.0</v>
      </c>
      <c r="L10207" s="16" t="s">
        <v>57068</v>
      </c>
      <c r="M10207" s="14" t="s">
        <v>62921</v>
      </c>
      <c r="N10207" s="14" t="s">
        <v>7957</v>
      </c>
      <c r="O10207" s="16" t="s">
        <v>7958</v>
      </c>
      <c r="P10207" s="14" t="s">
        <v>57070</v>
      </c>
      <c r="Q10207" s="14" t="s">
        <v>43145</v>
      </c>
      <c r="R10207" s="14" t="s">
        <v>7004</v>
      </c>
      <c r="S10207" s="16" t="s">
        <v>57071</v>
      </c>
      <c r="T10207" s="14" t="s">
        <v>66</v>
      </c>
      <c r="U10207" s="16" t="s">
        <v>31</v>
      </c>
      <c r="V10207" s="14" t="s">
        <v>62922</v>
      </c>
      <c r="W10207" s="14" t="s">
        <v>57073</v>
      </c>
      <c r="X10207" s="17" t="str">
        <f>HYPERLINK("https://my.pitchbook.com?p=249724-45P","View People Online")</f>
        <v>View People Online</v>
      </c>
    </row>
    <row r="10208">
      <c r="A10208" s="10" t="s">
        <v>62923</v>
      </c>
      <c r="B10208" s="10" t="s">
        <v>62924</v>
      </c>
      <c r="C10208" s="10" t="s">
        <v>4358</v>
      </c>
      <c r="D10208" s="10" t="s">
        <v>31088</v>
      </c>
      <c r="E10208" s="10" t="s">
        <v>57073</v>
      </c>
      <c r="F10208" s="10" t="s">
        <v>548</v>
      </c>
      <c r="G10208" s="10" t="s">
        <v>62925</v>
      </c>
      <c r="H10208" s="11" t="s">
        <v>31</v>
      </c>
      <c r="I10208" s="11">
        <v>5.0</v>
      </c>
      <c r="J10208" s="11">
        <v>1.0</v>
      </c>
      <c r="K10208" s="11">
        <v>4.0</v>
      </c>
      <c r="L10208" s="12" t="s">
        <v>57068</v>
      </c>
      <c r="M10208" s="10" t="s">
        <v>62926</v>
      </c>
      <c r="N10208" s="10" t="s">
        <v>7957</v>
      </c>
      <c r="O10208" s="12" t="s">
        <v>7958</v>
      </c>
      <c r="P10208" s="10" t="s">
        <v>57070</v>
      </c>
      <c r="Q10208" s="10" t="s">
        <v>43145</v>
      </c>
      <c r="R10208" s="10" t="s">
        <v>7004</v>
      </c>
      <c r="S10208" s="12" t="s">
        <v>57071</v>
      </c>
      <c r="T10208" s="10" t="s">
        <v>66</v>
      </c>
      <c r="U10208" s="12" t="s">
        <v>31</v>
      </c>
      <c r="V10208" s="10" t="s">
        <v>62927</v>
      </c>
      <c r="W10208" s="10" t="s">
        <v>57073</v>
      </c>
      <c r="X10208" s="13" t="str">
        <f>HYPERLINK("https://my.pitchbook.com?p=417198-97P","View People Online")</f>
        <v>View People Online</v>
      </c>
    </row>
    <row r="10209">
      <c r="A10209" s="14" t="s">
        <v>62928</v>
      </c>
      <c r="B10209" s="14" t="s">
        <v>62929</v>
      </c>
      <c r="C10209" s="14" t="s">
        <v>3529</v>
      </c>
      <c r="D10209" s="14" t="s">
        <v>62930</v>
      </c>
      <c r="E10209" s="14" t="s">
        <v>57073</v>
      </c>
      <c r="F10209" s="14" t="s">
        <v>5206</v>
      </c>
      <c r="G10209" s="14" t="s">
        <v>62931</v>
      </c>
      <c r="H10209" s="15" t="s">
        <v>31</v>
      </c>
      <c r="I10209" s="15">
        <v>4.0</v>
      </c>
      <c r="J10209" s="15">
        <v>1.0</v>
      </c>
      <c r="K10209" s="15" t="s">
        <v>31</v>
      </c>
      <c r="L10209" s="16" t="s">
        <v>57068</v>
      </c>
      <c r="M10209" s="14" t="s">
        <v>62932</v>
      </c>
      <c r="N10209" s="14" t="s">
        <v>7957</v>
      </c>
      <c r="O10209" s="16" t="s">
        <v>7958</v>
      </c>
      <c r="P10209" s="14" t="s">
        <v>57070</v>
      </c>
      <c r="Q10209" s="14" t="s">
        <v>43145</v>
      </c>
      <c r="R10209" s="14" t="s">
        <v>7004</v>
      </c>
      <c r="S10209" s="16" t="s">
        <v>57071</v>
      </c>
      <c r="T10209" s="14" t="s">
        <v>66</v>
      </c>
      <c r="U10209" s="16" t="s">
        <v>31</v>
      </c>
      <c r="V10209" s="14" t="s">
        <v>62933</v>
      </c>
      <c r="W10209" s="14" t="s">
        <v>57073</v>
      </c>
      <c r="X10209" s="17" t="str">
        <f>HYPERLINK("https://my.pitchbook.com?p=45054-64P","View People Online")</f>
        <v>View People Online</v>
      </c>
    </row>
    <row r="10210">
      <c r="A10210" s="2" t="s">
        <v>62934</v>
      </c>
      <c r="B10210" s="2" t="s">
        <v>62935</v>
      </c>
      <c r="C10210" s="2" t="s">
        <v>3529</v>
      </c>
      <c r="D10210" s="2" t="s">
        <v>62936</v>
      </c>
      <c r="E10210" s="2" t="s">
        <v>57073</v>
      </c>
      <c r="F10210" s="2" t="s">
        <v>667</v>
      </c>
      <c r="G10210" s="2" t="s">
        <v>62937</v>
      </c>
      <c r="H10210" s="3" t="s">
        <v>31</v>
      </c>
      <c r="I10210" s="3">
        <v>1.0</v>
      </c>
      <c r="J10210" s="3">
        <v>1.0</v>
      </c>
      <c r="K10210" s="3" t="s">
        <v>31</v>
      </c>
      <c r="L10210" s="4" t="s">
        <v>57068</v>
      </c>
      <c r="M10210" s="2" t="s">
        <v>31</v>
      </c>
      <c r="N10210" s="2" t="s">
        <v>7957</v>
      </c>
      <c r="O10210" s="4" t="s">
        <v>7958</v>
      </c>
      <c r="P10210" s="2" t="s">
        <v>57070</v>
      </c>
      <c r="Q10210" s="2" t="s">
        <v>43145</v>
      </c>
      <c r="R10210" s="2" t="s">
        <v>7004</v>
      </c>
      <c r="S10210" s="4" t="s">
        <v>57071</v>
      </c>
      <c r="T10210" s="2" t="s">
        <v>66</v>
      </c>
      <c r="U10210" s="4" t="s">
        <v>31</v>
      </c>
      <c r="V10210" s="2" t="s">
        <v>62938</v>
      </c>
      <c r="W10210" s="2" t="s">
        <v>57073</v>
      </c>
      <c r="X10210" s="5" t="str">
        <f>HYPERLINK("https://my.pitchbook.com?p=247935-43P","View People Online")</f>
        <v>View People Online</v>
      </c>
    </row>
    <row r="10211">
      <c r="A10211" s="14" t="s">
        <v>62939</v>
      </c>
      <c r="B10211" s="14" t="s">
        <v>62940</v>
      </c>
      <c r="C10211" s="14" t="s">
        <v>350</v>
      </c>
      <c r="D10211" s="14" t="s">
        <v>45551</v>
      </c>
      <c r="E10211" s="14" t="s">
        <v>57073</v>
      </c>
      <c r="F10211" s="14" t="s">
        <v>1283</v>
      </c>
      <c r="G10211" s="14" t="s">
        <v>62941</v>
      </c>
      <c r="H10211" s="15" t="s">
        <v>31</v>
      </c>
      <c r="I10211" s="15">
        <v>1.0</v>
      </c>
      <c r="J10211" s="15">
        <v>1.0</v>
      </c>
      <c r="K10211" s="15" t="s">
        <v>31</v>
      </c>
      <c r="L10211" s="16" t="s">
        <v>57068</v>
      </c>
      <c r="M10211" s="14" t="s">
        <v>62942</v>
      </c>
      <c r="N10211" s="14" t="s">
        <v>7957</v>
      </c>
      <c r="O10211" s="16" t="s">
        <v>7958</v>
      </c>
      <c r="P10211" s="14" t="s">
        <v>57070</v>
      </c>
      <c r="Q10211" s="14" t="s">
        <v>43145</v>
      </c>
      <c r="R10211" s="14" t="s">
        <v>7004</v>
      </c>
      <c r="S10211" s="16" t="s">
        <v>57071</v>
      </c>
      <c r="T10211" s="14" t="s">
        <v>66</v>
      </c>
      <c r="U10211" s="16" t="s">
        <v>31</v>
      </c>
      <c r="V10211" s="14" t="s">
        <v>24866</v>
      </c>
      <c r="W10211" s="14" t="s">
        <v>57073</v>
      </c>
      <c r="X10211" s="17" t="str">
        <f>HYPERLINK("https://my.pitchbook.com?p=343323-82P","View People Online")</f>
        <v>View People Online</v>
      </c>
    </row>
    <row r="10212">
      <c r="A10212" s="10" t="s">
        <v>62943</v>
      </c>
      <c r="B10212" s="10" t="s">
        <v>62944</v>
      </c>
      <c r="C10212" s="10" t="s">
        <v>1343</v>
      </c>
      <c r="D10212" s="10" t="s">
        <v>43897</v>
      </c>
      <c r="E10212" s="10" t="s">
        <v>57073</v>
      </c>
      <c r="F10212" s="10" t="s">
        <v>1283</v>
      </c>
      <c r="G10212" s="10" t="s">
        <v>62945</v>
      </c>
      <c r="H10212" s="11" t="s">
        <v>31</v>
      </c>
      <c r="I10212" s="11">
        <v>1.0</v>
      </c>
      <c r="J10212" s="11">
        <v>1.0</v>
      </c>
      <c r="K10212" s="11" t="s">
        <v>31</v>
      </c>
      <c r="L10212" s="12" t="s">
        <v>31</v>
      </c>
      <c r="M10212" s="10" t="s">
        <v>62946</v>
      </c>
      <c r="N10212" s="10" t="s">
        <v>1181</v>
      </c>
      <c r="O10212" s="12" t="s">
        <v>1182</v>
      </c>
      <c r="P10212" s="10" t="s">
        <v>31</v>
      </c>
      <c r="Q10212" s="10" t="s">
        <v>31</v>
      </c>
      <c r="R10212" s="10" t="s">
        <v>1185</v>
      </c>
      <c r="S10212" s="12" t="s">
        <v>31</v>
      </c>
      <c r="T10212" s="10" t="s">
        <v>66</v>
      </c>
      <c r="U10212" s="12" t="s">
        <v>31</v>
      </c>
      <c r="V10212" s="10" t="s">
        <v>62947</v>
      </c>
      <c r="W10212" s="10" t="s">
        <v>57073</v>
      </c>
      <c r="X10212" s="13" t="str">
        <f>HYPERLINK("https://my.pitchbook.com?p=436988-08P","View People Online")</f>
        <v>View People Online</v>
      </c>
    </row>
    <row r="10213">
      <c r="A10213" s="14" t="s">
        <v>62948</v>
      </c>
      <c r="B10213" s="14" t="s">
        <v>62949</v>
      </c>
      <c r="C10213" s="14" t="s">
        <v>1356</v>
      </c>
      <c r="D10213" s="14" t="s">
        <v>57315</v>
      </c>
      <c r="E10213" s="14" t="s">
        <v>57073</v>
      </c>
      <c r="F10213" s="14" t="s">
        <v>1283</v>
      </c>
      <c r="G10213" s="14" t="s">
        <v>62950</v>
      </c>
      <c r="H10213" s="15" t="s">
        <v>31</v>
      </c>
      <c r="I10213" s="15">
        <v>1.0</v>
      </c>
      <c r="J10213" s="15">
        <v>1.0</v>
      </c>
      <c r="K10213" s="15" t="s">
        <v>31</v>
      </c>
      <c r="L10213" s="16" t="s">
        <v>57068</v>
      </c>
      <c r="M10213" s="14" t="s">
        <v>62951</v>
      </c>
      <c r="N10213" s="14" t="s">
        <v>7957</v>
      </c>
      <c r="O10213" s="16" t="s">
        <v>7958</v>
      </c>
      <c r="P10213" s="14" t="s">
        <v>57070</v>
      </c>
      <c r="Q10213" s="14" t="s">
        <v>43145</v>
      </c>
      <c r="R10213" s="14" t="s">
        <v>7004</v>
      </c>
      <c r="S10213" s="16" t="s">
        <v>57071</v>
      </c>
      <c r="T10213" s="14" t="s">
        <v>66</v>
      </c>
      <c r="U10213" s="16" t="s">
        <v>31</v>
      </c>
      <c r="V10213" s="14" t="s">
        <v>24866</v>
      </c>
      <c r="W10213" s="14" t="s">
        <v>57073</v>
      </c>
      <c r="X10213" s="17" t="str">
        <f>HYPERLINK("https://my.pitchbook.com?p=150662-62P","View People Online")</f>
        <v>View People Online</v>
      </c>
    </row>
    <row r="10214">
      <c r="A10214" s="10" t="s">
        <v>62952</v>
      </c>
      <c r="B10214" s="10" t="s">
        <v>62953</v>
      </c>
      <c r="C10214" s="10" t="s">
        <v>1356</v>
      </c>
      <c r="D10214" s="10" t="s">
        <v>62954</v>
      </c>
      <c r="E10214" s="10" t="s">
        <v>57073</v>
      </c>
      <c r="F10214" s="10" t="s">
        <v>548</v>
      </c>
      <c r="G10214" s="10" t="s">
        <v>62955</v>
      </c>
      <c r="H10214" s="11" t="s">
        <v>31</v>
      </c>
      <c r="I10214" s="11">
        <v>1.0</v>
      </c>
      <c r="J10214" s="11">
        <v>1.0</v>
      </c>
      <c r="K10214" s="11" t="s">
        <v>31</v>
      </c>
      <c r="L10214" s="12" t="s">
        <v>57068</v>
      </c>
      <c r="M10214" s="10" t="s">
        <v>62956</v>
      </c>
      <c r="N10214" s="10" t="s">
        <v>7957</v>
      </c>
      <c r="O10214" s="12" t="s">
        <v>7958</v>
      </c>
      <c r="P10214" s="10" t="s">
        <v>57070</v>
      </c>
      <c r="Q10214" s="10" t="s">
        <v>43145</v>
      </c>
      <c r="R10214" s="10" t="s">
        <v>7004</v>
      </c>
      <c r="S10214" s="12" t="s">
        <v>57071</v>
      </c>
      <c r="T10214" s="10" t="s">
        <v>66</v>
      </c>
      <c r="U10214" s="12" t="s">
        <v>31</v>
      </c>
      <c r="V10214" s="10" t="s">
        <v>62957</v>
      </c>
      <c r="W10214" s="10" t="s">
        <v>57073</v>
      </c>
      <c r="X10214" s="13" t="str">
        <f>HYPERLINK("https://my.pitchbook.com?p=205434-37P","View People Online")</f>
        <v>View People Online</v>
      </c>
    </row>
    <row r="10215">
      <c r="A10215" s="14" t="s">
        <v>62958</v>
      </c>
      <c r="B10215" s="14" t="s">
        <v>62959</v>
      </c>
      <c r="C10215" s="14" t="s">
        <v>2172</v>
      </c>
      <c r="D10215" s="14" t="s">
        <v>62960</v>
      </c>
      <c r="E10215" s="14" t="s">
        <v>57073</v>
      </c>
      <c r="F10215" s="14" t="s">
        <v>6993</v>
      </c>
      <c r="G10215" s="14" t="s">
        <v>62961</v>
      </c>
      <c r="H10215" s="15" t="s">
        <v>31</v>
      </c>
      <c r="I10215" s="15">
        <v>1.0</v>
      </c>
      <c r="J10215" s="15">
        <v>1.0</v>
      </c>
      <c r="K10215" s="15" t="s">
        <v>31</v>
      </c>
      <c r="L10215" s="16" t="s">
        <v>62962</v>
      </c>
      <c r="M10215" s="14" t="s">
        <v>62963</v>
      </c>
      <c r="N10215" s="14" t="s">
        <v>7957</v>
      </c>
      <c r="O10215" s="16" t="s">
        <v>7958</v>
      </c>
      <c r="P10215" s="14" t="s">
        <v>57070</v>
      </c>
      <c r="Q10215" s="14" t="s">
        <v>43145</v>
      </c>
      <c r="R10215" s="14" t="s">
        <v>7004</v>
      </c>
      <c r="S10215" s="16" t="s">
        <v>57071</v>
      </c>
      <c r="T10215" s="14" t="s">
        <v>66</v>
      </c>
      <c r="U10215" s="16" t="s">
        <v>31</v>
      </c>
      <c r="V10215" s="14" t="s">
        <v>62964</v>
      </c>
      <c r="W10215" s="14" t="s">
        <v>57073</v>
      </c>
      <c r="X10215" s="17" t="str">
        <f>HYPERLINK("https://my.pitchbook.com?p=18188-92P","View People Online")</f>
        <v>View People Online</v>
      </c>
    </row>
    <row r="10216">
      <c r="A10216" s="10" t="s">
        <v>62965</v>
      </c>
      <c r="B10216" s="10" t="s">
        <v>62966</v>
      </c>
      <c r="C10216" s="10" t="s">
        <v>18127</v>
      </c>
      <c r="D10216" s="10" t="s">
        <v>21393</v>
      </c>
      <c r="E10216" s="10" t="s">
        <v>57073</v>
      </c>
      <c r="F10216" s="10" t="s">
        <v>1283</v>
      </c>
      <c r="G10216" s="10" t="s">
        <v>62967</v>
      </c>
      <c r="H10216" s="11" t="s">
        <v>31</v>
      </c>
      <c r="I10216" s="11">
        <v>1.0</v>
      </c>
      <c r="J10216" s="11">
        <v>1.0</v>
      </c>
      <c r="K10216" s="11" t="s">
        <v>31</v>
      </c>
      <c r="L10216" s="12" t="s">
        <v>57068</v>
      </c>
      <c r="M10216" s="10" t="s">
        <v>62968</v>
      </c>
      <c r="N10216" s="10" t="s">
        <v>7957</v>
      </c>
      <c r="O10216" s="12" t="s">
        <v>7958</v>
      </c>
      <c r="P10216" s="10" t="s">
        <v>57070</v>
      </c>
      <c r="Q10216" s="10" t="s">
        <v>43145</v>
      </c>
      <c r="R10216" s="10" t="s">
        <v>7004</v>
      </c>
      <c r="S10216" s="12" t="s">
        <v>57071</v>
      </c>
      <c r="T10216" s="10" t="s">
        <v>66</v>
      </c>
      <c r="U10216" s="12" t="s">
        <v>31</v>
      </c>
      <c r="V10216" s="10" t="s">
        <v>1283</v>
      </c>
      <c r="W10216" s="10" t="s">
        <v>57073</v>
      </c>
      <c r="X10216" s="13" t="str">
        <f>HYPERLINK("https://my.pitchbook.com?p=432092-26P","View People Online")</f>
        <v>View People Online</v>
      </c>
    </row>
    <row r="10217">
      <c r="A10217" s="14" t="s">
        <v>62969</v>
      </c>
      <c r="B10217" s="14" t="s">
        <v>62970</v>
      </c>
      <c r="C10217" s="14" t="s">
        <v>1489</v>
      </c>
      <c r="D10217" s="14" t="s">
        <v>62971</v>
      </c>
      <c r="E10217" s="14" t="s">
        <v>57073</v>
      </c>
      <c r="F10217" s="14" t="s">
        <v>1283</v>
      </c>
      <c r="G10217" s="14" t="s">
        <v>62972</v>
      </c>
      <c r="H10217" s="15" t="s">
        <v>31</v>
      </c>
      <c r="I10217" s="15">
        <v>1.0</v>
      </c>
      <c r="J10217" s="15">
        <v>1.0</v>
      </c>
      <c r="K10217" s="15" t="s">
        <v>31</v>
      </c>
      <c r="L10217" s="16" t="s">
        <v>31</v>
      </c>
      <c r="M10217" s="14" t="s">
        <v>62973</v>
      </c>
      <c r="N10217" s="14" t="s">
        <v>155</v>
      </c>
      <c r="O10217" s="16" t="s">
        <v>156</v>
      </c>
      <c r="P10217" s="14" t="s">
        <v>31</v>
      </c>
      <c r="Q10217" s="14" t="s">
        <v>31</v>
      </c>
      <c r="R10217" s="14" t="s">
        <v>64</v>
      </c>
      <c r="S10217" s="16" t="s">
        <v>31</v>
      </c>
      <c r="T10217" s="14" t="s">
        <v>66</v>
      </c>
      <c r="U10217" s="16" t="s">
        <v>31</v>
      </c>
      <c r="V10217" s="14" t="s">
        <v>62974</v>
      </c>
      <c r="W10217" s="14" t="s">
        <v>57073</v>
      </c>
      <c r="X10217" s="17" t="str">
        <f>HYPERLINK("https://my.pitchbook.com?p=186880-15P","View People Online")</f>
        <v>View People Online</v>
      </c>
    </row>
    <row r="10218">
      <c r="A10218" s="10" t="s">
        <v>62975</v>
      </c>
      <c r="B10218" s="10" t="s">
        <v>62976</v>
      </c>
      <c r="C10218" s="10" t="s">
        <v>2596</v>
      </c>
      <c r="D10218" s="10" t="s">
        <v>1147</v>
      </c>
      <c r="E10218" s="10" t="s">
        <v>57073</v>
      </c>
      <c r="F10218" s="10" t="s">
        <v>1249</v>
      </c>
      <c r="G10218" s="10" t="s">
        <v>62977</v>
      </c>
      <c r="H10218" s="11">
        <v>1.0</v>
      </c>
      <c r="I10218" s="11">
        <v>31.0</v>
      </c>
      <c r="J10218" s="11">
        <v>1.0</v>
      </c>
      <c r="K10218" s="11">
        <v>27.0</v>
      </c>
      <c r="L10218" s="12" t="s">
        <v>57068</v>
      </c>
      <c r="M10218" s="10" t="s">
        <v>62978</v>
      </c>
      <c r="N10218" s="10" t="s">
        <v>7957</v>
      </c>
      <c r="O10218" s="12" t="s">
        <v>7958</v>
      </c>
      <c r="P10218" s="10" t="s">
        <v>57070</v>
      </c>
      <c r="Q10218" s="10" t="s">
        <v>43145</v>
      </c>
      <c r="R10218" s="10" t="s">
        <v>7004</v>
      </c>
      <c r="S10218" s="12" t="s">
        <v>57071</v>
      </c>
      <c r="T10218" s="10" t="s">
        <v>66</v>
      </c>
      <c r="U10218" s="12" t="s">
        <v>31</v>
      </c>
      <c r="V10218" s="10" t="s">
        <v>1252</v>
      </c>
      <c r="W10218" s="10" t="s">
        <v>57073</v>
      </c>
      <c r="X10218" s="13" t="str">
        <f>HYPERLINK("https://my.pitchbook.com?p=135289-45P","View People Online")</f>
        <v>View People Online</v>
      </c>
    </row>
    <row r="10219">
      <c r="A10219" s="14" t="s">
        <v>62979</v>
      </c>
      <c r="B10219" s="14" t="s">
        <v>62980</v>
      </c>
      <c r="C10219" s="14" t="s">
        <v>18807</v>
      </c>
      <c r="D10219" s="14" t="s">
        <v>62981</v>
      </c>
      <c r="E10219" s="14" t="s">
        <v>57073</v>
      </c>
      <c r="F10219" s="14" t="s">
        <v>1283</v>
      </c>
      <c r="G10219" s="14" t="s">
        <v>62982</v>
      </c>
      <c r="H10219" s="15" t="s">
        <v>31</v>
      </c>
      <c r="I10219" s="15">
        <v>3.0</v>
      </c>
      <c r="J10219" s="15">
        <v>1.0</v>
      </c>
      <c r="K10219" s="15">
        <v>2.0</v>
      </c>
      <c r="L10219" s="16" t="s">
        <v>57068</v>
      </c>
      <c r="M10219" s="14" t="s">
        <v>62983</v>
      </c>
      <c r="N10219" s="14" t="s">
        <v>7957</v>
      </c>
      <c r="O10219" s="16" t="s">
        <v>7958</v>
      </c>
      <c r="P10219" s="14" t="s">
        <v>57070</v>
      </c>
      <c r="Q10219" s="14" t="s">
        <v>43145</v>
      </c>
      <c r="R10219" s="14" t="s">
        <v>7004</v>
      </c>
      <c r="S10219" s="16" t="s">
        <v>57071</v>
      </c>
      <c r="T10219" s="14" t="s">
        <v>66</v>
      </c>
      <c r="U10219" s="16" t="s">
        <v>31</v>
      </c>
      <c r="V10219" s="14" t="s">
        <v>62984</v>
      </c>
      <c r="W10219" s="14" t="s">
        <v>57073</v>
      </c>
      <c r="X10219" s="17" t="str">
        <f>HYPERLINK("https://my.pitchbook.com?p=137504-08P","View People Online")</f>
        <v>View People Online</v>
      </c>
    </row>
    <row r="10220">
      <c r="A10220" s="10" t="s">
        <v>62985</v>
      </c>
      <c r="B10220" s="10" t="s">
        <v>62986</v>
      </c>
      <c r="C10220" s="10" t="s">
        <v>5186</v>
      </c>
      <c r="D10220" s="10" t="s">
        <v>9348</v>
      </c>
      <c r="E10220" s="10" t="s">
        <v>57073</v>
      </c>
      <c r="F10220" s="10" t="s">
        <v>4600</v>
      </c>
      <c r="G10220" s="10" t="s">
        <v>62987</v>
      </c>
      <c r="H10220" s="11" t="s">
        <v>31</v>
      </c>
      <c r="I10220" s="11">
        <v>1.0</v>
      </c>
      <c r="J10220" s="11">
        <v>1.0</v>
      </c>
      <c r="K10220" s="11" t="s">
        <v>31</v>
      </c>
      <c r="L10220" s="12" t="s">
        <v>57068</v>
      </c>
      <c r="M10220" s="10" t="s">
        <v>62988</v>
      </c>
      <c r="N10220" s="10" t="s">
        <v>7957</v>
      </c>
      <c r="O10220" s="12" t="s">
        <v>7958</v>
      </c>
      <c r="P10220" s="10" t="s">
        <v>57070</v>
      </c>
      <c r="Q10220" s="10" t="s">
        <v>43145</v>
      </c>
      <c r="R10220" s="10" t="s">
        <v>7004</v>
      </c>
      <c r="S10220" s="12" t="s">
        <v>57071</v>
      </c>
      <c r="T10220" s="10" t="s">
        <v>66</v>
      </c>
      <c r="U10220" s="12" t="s">
        <v>31</v>
      </c>
      <c r="V10220" s="10" t="s">
        <v>62989</v>
      </c>
      <c r="W10220" s="10" t="s">
        <v>57073</v>
      </c>
      <c r="X10220" s="13" t="str">
        <f>HYPERLINK("https://my.pitchbook.com?p=197287-39P","View People Online")</f>
        <v>View People Online</v>
      </c>
    </row>
    <row r="10221">
      <c r="A10221" s="6" t="s">
        <v>62990</v>
      </c>
      <c r="B10221" s="6" t="s">
        <v>62991</v>
      </c>
      <c r="C10221" s="6" t="s">
        <v>62992</v>
      </c>
      <c r="D10221" s="6" t="s">
        <v>12684</v>
      </c>
      <c r="E10221" s="6" t="s">
        <v>57073</v>
      </c>
      <c r="F10221" s="6" t="s">
        <v>548</v>
      </c>
      <c r="G10221" s="6" t="s">
        <v>62993</v>
      </c>
      <c r="H10221" s="7" t="s">
        <v>31</v>
      </c>
      <c r="I10221" s="7">
        <v>1.0</v>
      </c>
      <c r="J10221" s="7">
        <v>1.0</v>
      </c>
      <c r="K10221" s="7" t="s">
        <v>31</v>
      </c>
      <c r="L10221" s="8" t="s">
        <v>57068</v>
      </c>
      <c r="M10221" s="6" t="s">
        <v>62994</v>
      </c>
      <c r="N10221" s="6" t="s">
        <v>7957</v>
      </c>
      <c r="O10221" s="8" t="s">
        <v>7958</v>
      </c>
      <c r="P10221" s="6" t="s">
        <v>57070</v>
      </c>
      <c r="Q10221" s="6" t="s">
        <v>43145</v>
      </c>
      <c r="R10221" s="6" t="s">
        <v>7004</v>
      </c>
      <c r="S10221" s="8" t="s">
        <v>57071</v>
      </c>
      <c r="T10221" s="6" t="s">
        <v>66</v>
      </c>
      <c r="U10221" s="8" t="s">
        <v>31</v>
      </c>
      <c r="V10221" s="6" t="s">
        <v>62995</v>
      </c>
      <c r="W10221" s="6" t="s">
        <v>57073</v>
      </c>
      <c r="X10221" s="9" t="str">
        <f>HYPERLINK("https://my.pitchbook.com?p=247936-69P","View People Online")</f>
        <v>View People Online</v>
      </c>
    </row>
    <row r="10222">
      <c r="A10222" s="10" t="s">
        <v>62996</v>
      </c>
      <c r="B10222" s="10" t="s">
        <v>62997</v>
      </c>
      <c r="C10222" s="10" t="s">
        <v>11929</v>
      </c>
      <c r="D10222" s="10" t="s">
        <v>119</v>
      </c>
      <c r="E10222" s="10" t="s">
        <v>57073</v>
      </c>
      <c r="F10222" s="10" t="s">
        <v>8217</v>
      </c>
      <c r="G10222" s="10" t="s">
        <v>62998</v>
      </c>
      <c r="H10222" s="11" t="s">
        <v>31</v>
      </c>
      <c r="I10222" s="11">
        <v>1.0</v>
      </c>
      <c r="J10222" s="11">
        <v>1.0</v>
      </c>
      <c r="K10222" s="11" t="s">
        <v>31</v>
      </c>
      <c r="L10222" s="12" t="s">
        <v>57068</v>
      </c>
      <c r="M10222" s="10" t="s">
        <v>62999</v>
      </c>
      <c r="N10222" s="10" t="s">
        <v>7957</v>
      </c>
      <c r="O10222" s="12" t="s">
        <v>7958</v>
      </c>
      <c r="P10222" s="10" t="s">
        <v>57070</v>
      </c>
      <c r="Q10222" s="10" t="s">
        <v>43145</v>
      </c>
      <c r="R10222" s="10" t="s">
        <v>7004</v>
      </c>
      <c r="S10222" s="12" t="s">
        <v>57071</v>
      </c>
      <c r="T10222" s="10" t="s">
        <v>66</v>
      </c>
      <c r="U10222" s="12" t="s">
        <v>31</v>
      </c>
      <c r="V10222" s="10" t="s">
        <v>63000</v>
      </c>
      <c r="W10222" s="10" t="s">
        <v>57073</v>
      </c>
      <c r="X10222" s="13" t="str">
        <f>HYPERLINK("https://my.pitchbook.com?p=263864-98P","View People Online")</f>
        <v>View People Online</v>
      </c>
    </row>
    <row r="10223">
      <c r="A10223" s="14" t="s">
        <v>63001</v>
      </c>
      <c r="B10223" s="14" t="s">
        <v>63002</v>
      </c>
      <c r="C10223" s="14" t="s">
        <v>126</v>
      </c>
      <c r="D10223" s="14" t="s">
        <v>450</v>
      </c>
      <c r="E10223" s="14" t="s">
        <v>57073</v>
      </c>
      <c r="F10223" s="14" t="s">
        <v>3645</v>
      </c>
      <c r="G10223" s="14" t="s">
        <v>63003</v>
      </c>
      <c r="H10223" s="15" t="s">
        <v>31</v>
      </c>
      <c r="I10223" s="15">
        <v>1.0</v>
      </c>
      <c r="J10223" s="15">
        <v>1.0</v>
      </c>
      <c r="K10223" s="15" t="s">
        <v>31</v>
      </c>
      <c r="L10223" s="16" t="s">
        <v>57068</v>
      </c>
      <c r="M10223" s="14" t="s">
        <v>63004</v>
      </c>
      <c r="N10223" s="14" t="s">
        <v>7957</v>
      </c>
      <c r="O10223" s="16" t="s">
        <v>7958</v>
      </c>
      <c r="P10223" s="14" t="s">
        <v>57070</v>
      </c>
      <c r="Q10223" s="14" t="s">
        <v>43145</v>
      </c>
      <c r="R10223" s="14" t="s">
        <v>7004</v>
      </c>
      <c r="S10223" s="16" t="s">
        <v>57071</v>
      </c>
      <c r="T10223" s="14" t="s">
        <v>66</v>
      </c>
      <c r="U10223" s="16" t="s">
        <v>31</v>
      </c>
      <c r="V10223" s="14" t="s">
        <v>63005</v>
      </c>
      <c r="W10223" s="14" t="s">
        <v>57073</v>
      </c>
      <c r="X10223" s="17" t="str">
        <f>HYPERLINK("https://my.pitchbook.com?p=190739-17P","View People Online")</f>
        <v>View People Online</v>
      </c>
    </row>
    <row r="10224">
      <c r="A10224" s="2" t="s">
        <v>63006</v>
      </c>
      <c r="B10224" s="2" t="s">
        <v>63007</v>
      </c>
      <c r="C10224" s="2" t="s">
        <v>529</v>
      </c>
      <c r="D10224" s="2" t="s">
        <v>63008</v>
      </c>
      <c r="E10224" s="2" t="s">
        <v>57073</v>
      </c>
      <c r="F10224" s="2" t="s">
        <v>1283</v>
      </c>
      <c r="G10224" s="2" t="s">
        <v>63009</v>
      </c>
      <c r="H10224" s="3" t="s">
        <v>31</v>
      </c>
      <c r="I10224" s="3">
        <v>1.0</v>
      </c>
      <c r="J10224" s="3">
        <v>1.0</v>
      </c>
      <c r="K10224" s="3" t="s">
        <v>31</v>
      </c>
      <c r="L10224" s="4" t="s">
        <v>57068</v>
      </c>
      <c r="M10224" s="2" t="s">
        <v>63010</v>
      </c>
      <c r="N10224" s="2" t="s">
        <v>7957</v>
      </c>
      <c r="O10224" s="4" t="s">
        <v>7958</v>
      </c>
      <c r="P10224" s="2" t="s">
        <v>57070</v>
      </c>
      <c r="Q10224" s="2" t="s">
        <v>43145</v>
      </c>
      <c r="R10224" s="2" t="s">
        <v>7004</v>
      </c>
      <c r="S10224" s="4" t="s">
        <v>57071</v>
      </c>
      <c r="T10224" s="2" t="s">
        <v>66</v>
      </c>
      <c r="U10224" s="4" t="s">
        <v>31</v>
      </c>
      <c r="V10224" s="2" t="s">
        <v>63011</v>
      </c>
      <c r="W10224" s="2" t="s">
        <v>57073</v>
      </c>
      <c r="X10224" s="5" t="str">
        <f>HYPERLINK("https://my.pitchbook.com?p=205434-01P","View People Online")</f>
        <v>View People Online</v>
      </c>
    </row>
    <row r="10225">
      <c r="A10225" s="6" t="s">
        <v>57064</v>
      </c>
      <c r="B10225" s="6" t="s">
        <v>57065</v>
      </c>
      <c r="C10225" s="6" t="s">
        <v>5219</v>
      </c>
      <c r="D10225" s="6" t="s">
        <v>57066</v>
      </c>
      <c r="E10225" s="6" t="s">
        <v>57073</v>
      </c>
      <c r="F10225" s="6" t="s">
        <v>6993</v>
      </c>
      <c r="G10225" s="6" t="s">
        <v>57067</v>
      </c>
      <c r="H10225" s="7" t="s">
        <v>31</v>
      </c>
      <c r="I10225" s="7">
        <v>4.0</v>
      </c>
      <c r="J10225" s="7">
        <v>2.0</v>
      </c>
      <c r="K10225" s="7">
        <v>1.0</v>
      </c>
      <c r="L10225" s="8" t="s">
        <v>57068</v>
      </c>
      <c r="M10225" s="6" t="s">
        <v>57069</v>
      </c>
      <c r="N10225" s="6" t="s">
        <v>7957</v>
      </c>
      <c r="O10225" s="8" t="s">
        <v>7958</v>
      </c>
      <c r="P10225" s="6" t="s">
        <v>57070</v>
      </c>
      <c r="Q10225" s="6" t="s">
        <v>43145</v>
      </c>
      <c r="R10225" s="6" t="s">
        <v>7004</v>
      </c>
      <c r="S10225" s="8" t="s">
        <v>57071</v>
      </c>
      <c r="T10225" s="6" t="s">
        <v>66</v>
      </c>
      <c r="U10225" s="8" t="s">
        <v>31</v>
      </c>
      <c r="V10225" s="6" t="s">
        <v>57072</v>
      </c>
      <c r="W10225" s="6" t="s">
        <v>57073</v>
      </c>
      <c r="X10225" s="9" t="str">
        <f>HYPERLINK("https://my.pitchbook.com?p=38146-87P","View People Online")</f>
        <v>View People Online</v>
      </c>
    </row>
    <row r="10226">
      <c r="A10226" s="10" t="s">
        <v>63012</v>
      </c>
      <c r="B10226" s="10" t="s">
        <v>63013</v>
      </c>
      <c r="C10226" s="10" t="s">
        <v>395</v>
      </c>
      <c r="D10226" s="10" t="s">
        <v>28047</v>
      </c>
      <c r="E10226" s="10" t="s">
        <v>57073</v>
      </c>
      <c r="F10226" s="10" t="s">
        <v>3600</v>
      </c>
      <c r="G10226" s="10" t="s">
        <v>63014</v>
      </c>
      <c r="H10226" s="11" t="s">
        <v>31</v>
      </c>
      <c r="I10226" s="11">
        <v>4.0</v>
      </c>
      <c r="J10226" s="11">
        <v>1.0</v>
      </c>
      <c r="K10226" s="11" t="s">
        <v>31</v>
      </c>
      <c r="L10226" s="12" t="s">
        <v>57068</v>
      </c>
      <c r="M10226" s="10" t="s">
        <v>63015</v>
      </c>
      <c r="N10226" s="10" t="s">
        <v>7957</v>
      </c>
      <c r="O10226" s="12" t="s">
        <v>7958</v>
      </c>
      <c r="P10226" s="10" t="s">
        <v>57070</v>
      </c>
      <c r="Q10226" s="10" t="s">
        <v>43145</v>
      </c>
      <c r="R10226" s="10" t="s">
        <v>7004</v>
      </c>
      <c r="S10226" s="12" t="s">
        <v>57071</v>
      </c>
      <c r="T10226" s="10" t="s">
        <v>66</v>
      </c>
      <c r="U10226" s="12" t="s">
        <v>31</v>
      </c>
      <c r="V10226" s="10" t="s">
        <v>63016</v>
      </c>
      <c r="W10226" s="10" t="s">
        <v>57073</v>
      </c>
      <c r="X10226" s="13" t="str">
        <f>HYPERLINK("https://my.pitchbook.com?p=138972-79P","View People Online")</f>
        <v>View People Online</v>
      </c>
    </row>
    <row r="10227">
      <c r="A10227" s="6" t="s">
        <v>63017</v>
      </c>
      <c r="B10227" s="6" t="s">
        <v>63018</v>
      </c>
      <c r="C10227" s="6" t="s">
        <v>536</v>
      </c>
      <c r="D10227" s="6" t="s">
        <v>31716</v>
      </c>
      <c r="E10227" s="6" t="s">
        <v>57073</v>
      </c>
      <c r="F10227" s="6" t="s">
        <v>6993</v>
      </c>
      <c r="G10227" s="6" t="s">
        <v>63019</v>
      </c>
      <c r="H10227" s="7" t="s">
        <v>31</v>
      </c>
      <c r="I10227" s="7">
        <v>11.0</v>
      </c>
      <c r="J10227" s="7">
        <v>1.0</v>
      </c>
      <c r="K10227" s="7">
        <v>10.0</v>
      </c>
      <c r="L10227" s="8" t="s">
        <v>57068</v>
      </c>
      <c r="M10227" s="6" t="s">
        <v>63020</v>
      </c>
      <c r="N10227" s="6" t="s">
        <v>7957</v>
      </c>
      <c r="O10227" s="8" t="s">
        <v>7958</v>
      </c>
      <c r="P10227" s="6" t="s">
        <v>57070</v>
      </c>
      <c r="Q10227" s="6" t="s">
        <v>43145</v>
      </c>
      <c r="R10227" s="6" t="s">
        <v>7004</v>
      </c>
      <c r="S10227" s="8" t="s">
        <v>57071</v>
      </c>
      <c r="T10227" s="6" t="s">
        <v>66</v>
      </c>
      <c r="U10227" s="8" t="s">
        <v>31</v>
      </c>
      <c r="V10227" s="6" t="s">
        <v>63021</v>
      </c>
      <c r="W10227" s="6" t="s">
        <v>57073</v>
      </c>
      <c r="X10227" s="9" t="str">
        <f>HYPERLINK("https://my.pitchbook.com?p=230859-82P","View People Online")</f>
        <v>View People Online</v>
      </c>
    </row>
    <row r="10228">
      <c r="A10228" s="10" t="s">
        <v>63022</v>
      </c>
      <c r="B10228" s="10" t="s">
        <v>63023</v>
      </c>
      <c r="C10228" s="10" t="s">
        <v>4611</v>
      </c>
      <c r="D10228" s="10" t="s">
        <v>63024</v>
      </c>
      <c r="E10228" s="10" t="s">
        <v>57073</v>
      </c>
      <c r="F10228" s="10" t="s">
        <v>270</v>
      </c>
      <c r="G10228" s="10" t="s">
        <v>63025</v>
      </c>
      <c r="H10228" s="11" t="s">
        <v>31</v>
      </c>
      <c r="I10228" s="11">
        <v>21.0</v>
      </c>
      <c r="J10228" s="11">
        <v>1.0</v>
      </c>
      <c r="K10228" s="11">
        <v>20.0</v>
      </c>
      <c r="L10228" s="12" t="s">
        <v>57068</v>
      </c>
      <c r="M10228" s="10" t="s">
        <v>63026</v>
      </c>
      <c r="N10228" s="10" t="s">
        <v>7957</v>
      </c>
      <c r="O10228" s="12" t="s">
        <v>7958</v>
      </c>
      <c r="P10228" s="10" t="s">
        <v>57070</v>
      </c>
      <c r="Q10228" s="10" t="s">
        <v>43145</v>
      </c>
      <c r="R10228" s="10" t="s">
        <v>7004</v>
      </c>
      <c r="S10228" s="12" t="s">
        <v>57071</v>
      </c>
      <c r="T10228" s="10" t="s">
        <v>66</v>
      </c>
      <c r="U10228" s="12" t="s">
        <v>31</v>
      </c>
      <c r="V10228" s="10" t="s">
        <v>63027</v>
      </c>
      <c r="W10228" s="10" t="s">
        <v>57073</v>
      </c>
      <c r="X10228" s="13" t="str">
        <f>HYPERLINK("https://my.pitchbook.com?p=38753-29P","View People Online")</f>
        <v>View People Online</v>
      </c>
    </row>
    <row r="10229">
      <c r="A10229" s="6" t="s">
        <v>63028</v>
      </c>
      <c r="B10229" s="6" t="s">
        <v>63029</v>
      </c>
      <c r="C10229" s="6" t="s">
        <v>4015</v>
      </c>
      <c r="D10229" s="6" t="s">
        <v>63030</v>
      </c>
      <c r="E10229" s="6" t="s">
        <v>57073</v>
      </c>
      <c r="F10229" s="6" t="s">
        <v>1283</v>
      </c>
      <c r="G10229" s="6" t="s">
        <v>63031</v>
      </c>
      <c r="H10229" s="7" t="s">
        <v>31</v>
      </c>
      <c r="I10229" s="7">
        <v>4.0</v>
      </c>
      <c r="J10229" s="7">
        <v>1.0</v>
      </c>
      <c r="K10229" s="7">
        <v>3.0</v>
      </c>
      <c r="L10229" s="8" t="s">
        <v>57068</v>
      </c>
      <c r="M10229" s="6" t="s">
        <v>63032</v>
      </c>
      <c r="N10229" s="6" t="s">
        <v>7957</v>
      </c>
      <c r="O10229" s="8" t="s">
        <v>7958</v>
      </c>
      <c r="P10229" s="6" t="s">
        <v>57070</v>
      </c>
      <c r="Q10229" s="6" t="s">
        <v>43145</v>
      </c>
      <c r="R10229" s="6" t="s">
        <v>7004</v>
      </c>
      <c r="S10229" s="8" t="s">
        <v>57071</v>
      </c>
      <c r="T10229" s="6" t="s">
        <v>66</v>
      </c>
      <c r="U10229" s="8" t="s">
        <v>31</v>
      </c>
      <c r="V10229" s="6" t="s">
        <v>63033</v>
      </c>
      <c r="W10229" s="6" t="s">
        <v>57073</v>
      </c>
      <c r="X10229" s="9" t="str">
        <f>HYPERLINK("https://my.pitchbook.com?p=39988-72P","View People Online")</f>
        <v>View People Online</v>
      </c>
    </row>
    <row r="10230">
      <c r="A10230" s="2" t="s">
        <v>63034</v>
      </c>
      <c r="B10230" s="2" t="s">
        <v>63035</v>
      </c>
      <c r="C10230" s="2" t="s">
        <v>4015</v>
      </c>
      <c r="D10230" s="2" t="s">
        <v>33792</v>
      </c>
      <c r="E10230" s="2" t="s">
        <v>57073</v>
      </c>
      <c r="F10230" s="2" t="s">
        <v>6993</v>
      </c>
      <c r="G10230" s="2" t="s">
        <v>63036</v>
      </c>
      <c r="H10230" s="3" t="s">
        <v>31</v>
      </c>
      <c r="I10230" s="3">
        <v>9.0</v>
      </c>
      <c r="J10230" s="3">
        <v>1.0</v>
      </c>
      <c r="K10230" s="3">
        <v>8.0</v>
      </c>
      <c r="L10230" s="4" t="s">
        <v>57068</v>
      </c>
      <c r="M10230" s="2" t="s">
        <v>63037</v>
      </c>
      <c r="N10230" s="2" t="s">
        <v>7957</v>
      </c>
      <c r="O10230" s="4" t="s">
        <v>7958</v>
      </c>
      <c r="P10230" s="2" t="s">
        <v>57070</v>
      </c>
      <c r="Q10230" s="2" t="s">
        <v>43145</v>
      </c>
      <c r="R10230" s="2" t="s">
        <v>7004</v>
      </c>
      <c r="S10230" s="4" t="s">
        <v>57071</v>
      </c>
      <c r="T10230" s="2" t="s">
        <v>66</v>
      </c>
      <c r="U10230" s="4" t="s">
        <v>31</v>
      </c>
      <c r="V10230" s="2" t="s">
        <v>63038</v>
      </c>
      <c r="W10230" s="2" t="s">
        <v>57073</v>
      </c>
      <c r="X10230" s="5" t="str">
        <f>HYPERLINK("https://my.pitchbook.com?p=197286-40P","View People Online")</f>
        <v>View People Online</v>
      </c>
    </row>
    <row r="10231">
      <c r="A10231" s="6" t="s">
        <v>63039</v>
      </c>
      <c r="B10231" s="6" t="s">
        <v>63040</v>
      </c>
      <c r="C10231" s="6" t="s">
        <v>4015</v>
      </c>
      <c r="D10231" s="6" t="s">
        <v>14888</v>
      </c>
      <c r="E10231" s="6" t="s">
        <v>57073</v>
      </c>
      <c r="F10231" s="6" t="s">
        <v>1283</v>
      </c>
      <c r="G10231" s="6" t="s">
        <v>63041</v>
      </c>
      <c r="H10231" s="7" t="s">
        <v>31</v>
      </c>
      <c r="I10231" s="7">
        <v>5.0</v>
      </c>
      <c r="J10231" s="7">
        <v>1.0</v>
      </c>
      <c r="K10231" s="7">
        <v>4.0</v>
      </c>
      <c r="L10231" s="8" t="s">
        <v>31</v>
      </c>
      <c r="M10231" s="6" t="s">
        <v>63042</v>
      </c>
      <c r="N10231" s="6" t="s">
        <v>665</v>
      </c>
      <c r="O10231" s="8" t="s">
        <v>3857</v>
      </c>
      <c r="P10231" s="6" t="s">
        <v>31</v>
      </c>
      <c r="Q10231" s="6" t="s">
        <v>31</v>
      </c>
      <c r="R10231" s="6" t="s">
        <v>1420</v>
      </c>
      <c r="S10231" s="8" t="s">
        <v>31</v>
      </c>
      <c r="T10231" s="6" t="s">
        <v>66</v>
      </c>
      <c r="U10231" s="8" t="s">
        <v>31</v>
      </c>
      <c r="V10231" s="6" t="s">
        <v>62974</v>
      </c>
      <c r="W10231" s="6" t="s">
        <v>57073</v>
      </c>
      <c r="X10231" s="9" t="str">
        <f>HYPERLINK("https://my.pitchbook.com?p=302021-56P","View People Online")</f>
        <v>View People Online</v>
      </c>
    </row>
    <row r="10232">
      <c r="A10232" s="2" t="s">
        <v>63043</v>
      </c>
      <c r="B10232" s="2" t="s">
        <v>63044</v>
      </c>
      <c r="C10232" s="2" t="s">
        <v>1388</v>
      </c>
      <c r="D10232" s="2" t="s">
        <v>25637</v>
      </c>
      <c r="E10232" s="2" t="s">
        <v>57073</v>
      </c>
      <c r="F10232" s="2" t="s">
        <v>5979</v>
      </c>
      <c r="G10232" s="2" t="s">
        <v>63045</v>
      </c>
      <c r="H10232" s="3" t="s">
        <v>31</v>
      </c>
      <c r="I10232" s="3">
        <v>1.0</v>
      </c>
      <c r="J10232" s="3">
        <v>1.0</v>
      </c>
      <c r="K10232" s="3" t="s">
        <v>31</v>
      </c>
      <c r="L10232" s="4" t="s">
        <v>57068</v>
      </c>
      <c r="M10232" s="2" t="s">
        <v>63046</v>
      </c>
      <c r="N10232" s="2" t="s">
        <v>7957</v>
      </c>
      <c r="O10232" s="4" t="s">
        <v>7958</v>
      </c>
      <c r="P10232" s="2" t="s">
        <v>57070</v>
      </c>
      <c r="Q10232" s="2" t="s">
        <v>43145</v>
      </c>
      <c r="R10232" s="2" t="s">
        <v>7004</v>
      </c>
      <c r="S10232" s="4" t="s">
        <v>57071</v>
      </c>
      <c r="T10232" s="2" t="s">
        <v>66</v>
      </c>
      <c r="U10232" s="4" t="s">
        <v>31</v>
      </c>
      <c r="V10232" s="2" t="s">
        <v>10271</v>
      </c>
      <c r="W10232" s="2" t="s">
        <v>57073</v>
      </c>
      <c r="X10232" s="5" t="str">
        <f>HYPERLINK("https://my.pitchbook.com?p=247937-14P","View People Online")</f>
        <v>View People Online</v>
      </c>
    </row>
    <row r="10233">
      <c r="A10233" s="6" t="s">
        <v>63047</v>
      </c>
      <c r="B10233" s="6" t="s">
        <v>63048</v>
      </c>
      <c r="C10233" s="6" t="s">
        <v>22105</v>
      </c>
      <c r="D10233" s="6" t="s">
        <v>63049</v>
      </c>
      <c r="E10233" s="6" t="s">
        <v>57073</v>
      </c>
      <c r="F10233" s="6" t="s">
        <v>548</v>
      </c>
      <c r="G10233" s="6" t="s">
        <v>63050</v>
      </c>
      <c r="H10233" s="7" t="s">
        <v>31</v>
      </c>
      <c r="I10233" s="7">
        <v>1.0</v>
      </c>
      <c r="J10233" s="7">
        <v>1.0</v>
      </c>
      <c r="K10233" s="7" t="s">
        <v>31</v>
      </c>
      <c r="L10233" s="8" t="s">
        <v>57068</v>
      </c>
      <c r="M10233" s="6" t="s">
        <v>63051</v>
      </c>
      <c r="N10233" s="6" t="s">
        <v>7957</v>
      </c>
      <c r="O10233" s="8" t="s">
        <v>7958</v>
      </c>
      <c r="P10233" s="6" t="s">
        <v>57070</v>
      </c>
      <c r="Q10233" s="6" t="s">
        <v>43145</v>
      </c>
      <c r="R10233" s="6" t="s">
        <v>7004</v>
      </c>
      <c r="S10233" s="8" t="s">
        <v>57071</v>
      </c>
      <c r="T10233" s="6" t="s">
        <v>66</v>
      </c>
      <c r="U10233" s="8" t="s">
        <v>31</v>
      </c>
      <c r="V10233" s="6" t="s">
        <v>62995</v>
      </c>
      <c r="W10233" s="6" t="s">
        <v>57073</v>
      </c>
      <c r="X10233" s="9" t="str">
        <f>HYPERLINK("https://my.pitchbook.com?p=247932-46P","View People Online")</f>
        <v>View People Online</v>
      </c>
    </row>
    <row r="10234">
      <c r="A10234" s="10" t="s">
        <v>63052</v>
      </c>
      <c r="B10234" s="10" t="s">
        <v>63053</v>
      </c>
      <c r="C10234" s="10" t="s">
        <v>4679</v>
      </c>
      <c r="D10234" s="10" t="s">
        <v>63054</v>
      </c>
      <c r="E10234" s="10" t="s">
        <v>57073</v>
      </c>
      <c r="F10234" s="10" t="s">
        <v>1283</v>
      </c>
      <c r="G10234" s="10" t="s">
        <v>63055</v>
      </c>
      <c r="H10234" s="11" t="s">
        <v>31</v>
      </c>
      <c r="I10234" s="11">
        <v>3.0</v>
      </c>
      <c r="J10234" s="11">
        <v>1.0</v>
      </c>
      <c r="K10234" s="11">
        <v>2.0</v>
      </c>
      <c r="L10234" s="12" t="s">
        <v>57068</v>
      </c>
      <c r="M10234" s="10" t="s">
        <v>63056</v>
      </c>
      <c r="N10234" s="10" t="s">
        <v>7957</v>
      </c>
      <c r="O10234" s="12" t="s">
        <v>7958</v>
      </c>
      <c r="P10234" s="10" t="s">
        <v>57070</v>
      </c>
      <c r="Q10234" s="10" t="s">
        <v>43145</v>
      </c>
      <c r="R10234" s="10" t="s">
        <v>7004</v>
      </c>
      <c r="S10234" s="12" t="s">
        <v>57071</v>
      </c>
      <c r="T10234" s="10" t="s">
        <v>66</v>
      </c>
      <c r="U10234" s="12" t="s">
        <v>31</v>
      </c>
      <c r="V10234" s="10" t="s">
        <v>63057</v>
      </c>
      <c r="W10234" s="10" t="s">
        <v>57073</v>
      </c>
      <c r="X10234" s="13" t="str">
        <f>HYPERLINK("https://my.pitchbook.com?p=93783-34P","View People Online")</f>
        <v>View People Online</v>
      </c>
    </row>
    <row r="10235">
      <c r="A10235" s="14" t="s">
        <v>63058</v>
      </c>
      <c r="B10235" s="14" t="s">
        <v>63059</v>
      </c>
      <c r="C10235" s="14" t="s">
        <v>63060</v>
      </c>
      <c r="D10235" s="14" t="s">
        <v>9008</v>
      </c>
      <c r="E10235" s="14" t="s">
        <v>57073</v>
      </c>
      <c r="F10235" s="14" t="s">
        <v>221</v>
      </c>
      <c r="G10235" s="14" t="s">
        <v>63061</v>
      </c>
      <c r="H10235" s="15" t="s">
        <v>31</v>
      </c>
      <c r="I10235" s="15">
        <v>4.0</v>
      </c>
      <c r="J10235" s="15">
        <v>1.0</v>
      </c>
      <c r="K10235" s="15" t="s">
        <v>31</v>
      </c>
      <c r="L10235" s="16" t="s">
        <v>57068</v>
      </c>
      <c r="M10235" s="14" t="s">
        <v>63062</v>
      </c>
      <c r="N10235" s="14" t="s">
        <v>7957</v>
      </c>
      <c r="O10235" s="16" t="s">
        <v>7958</v>
      </c>
      <c r="P10235" s="14" t="s">
        <v>57070</v>
      </c>
      <c r="Q10235" s="14" t="s">
        <v>43145</v>
      </c>
      <c r="R10235" s="14" t="s">
        <v>7004</v>
      </c>
      <c r="S10235" s="16" t="s">
        <v>57071</v>
      </c>
      <c r="T10235" s="14" t="s">
        <v>66</v>
      </c>
      <c r="U10235" s="16" t="s">
        <v>31</v>
      </c>
      <c r="V10235" s="14" t="s">
        <v>63063</v>
      </c>
      <c r="W10235" s="14" t="s">
        <v>57073</v>
      </c>
      <c r="X10235" s="17" t="str">
        <f>HYPERLINK("https://my.pitchbook.com?p=135289-63P","View People Online")</f>
        <v>View People Online</v>
      </c>
    </row>
    <row r="10236">
      <c r="A10236" s="10" t="s">
        <v>63064</v>
      </c>
      <c r="B10236" s="10" t="s">
        <v>63065</v>
      </c>
      <c r="C10236" s="10" t="s">
        <v>63066</v>
      </c>
      <c r="D10236" s="10" t="s">
        <v>14513</v>
      </c>
      <c r="E10236" s="10" t="s">
        <v>57073</v>
      </c>
      <c r="F10236" s="10" t="s">
        <v>1283</v>
      </c>
      <c r="G10236" s="10" t="s">
        <v>63067</v>
      </c>
      <c r="H10236" s="11" t="s">
        <v>31</v>
      </c>
      <c r="I10236" s="11">
        <v>6.0</v>
      </c>
      <c r="J10236" s="11">
        <v>1.0</v>
      </c>
      <c r="K10236" s="11">
        <v>1.0</v>
      </c>
      <c r="L10236" s="12" t="s">
        <v>57068</v>
      </c>
      <c r="M10236" s="10" t="s">
        <v>63068</v>
      </c>
      <c r="N10236" s="10" t="s">
        <v>7957</v>
      </c>
      <c r="O10236" s="12" t="s">
        <v>7958</v>
      </c>
      <c r="P10236" s="10" t="s">
        <v>57070</v>
      </c>
      <c r="Q10236" s="10" t="s">
        <v>43145</v>
      </c>
      <c r="R10236" s="10" t="s">
        <v>7004</v>
      </c>
      <c r="S10236" s="12" t="s">
        <v>57071</v>
      </c>
      <c r="T10236" s="10" t="s">
        <v>66</v>
      </c>
      <c r="U10236" s="12" t="s">
        <v>31</v>
      </c>
      <c r="V10236" s="10" t="s">
        <v>61773</v>
      </c>
      <c r="W10236" s="10" t="s">
        <v>57073</v>
      </c>
      <c r="X10236" s="13" t="str">
        <f>HYPERLINK("https://my.pitchbook.com?p=129414-61P","View People Online")</f>
        <v>View People Online</v>
      </c>
    </row>
    <row r="10237">
      <c r="A10237" s="14" t="s">
        <v>63069</v>
      </c>
      <c r="B10237" s="14" t="s">
        <v>63070</v>
      </c>
      <c r="C10237" s="14" t="s">
        <v>25787</v>
      </c>
      <c r="D10237" s="14" t="s">
        <v>63071</v>
      </c>
      <c r="E10237" s="14" t="s">
        <v>63072</v>
      </c>
      <c r="F10237" s="14" t="s">
        <v>78</v>
      </c>
      <c r="G10237" s="14" t="s">
        <v>63073</v>
      </c>
      <c r="H10237" s="15" t="s">
        <v>31</v>
      </c>
      <c r="I10237" s="15">
        <v>1.0</v>
      </c>
      <c r="J10237" s="15">
        <v>1.0</v>
      </c>
      <c r="K10237" s="15" t="s">
        <v>31</v>
      </c>
      <c r="L10237" s="16" t="s">
        <v>63074</v>
      </c>
      <c r="M10237" s="14" t="s">
        <v>63075</v>
      </c>
      <c r="N10237" s="14" t="s">
        <v>1170</v>
      </c>
      <c r="O10237" s="16" t="s">
        <v>1171</v>
      </c>
      <c r="P10237" s="14" t="s">
        <v>63076</v>
      </c>
      <c r="Q10237" s="14" t="s">
        <v>31</v>
      </c>
      <c r="R10237" s="14" t="s">
        <v>64</v>
      </c>
      <c r="S10237" s="16" t="s">
        <v>59626</v>
      </c>
      <c r="T10237" s="14" t="s">
        <v>66</v>
      </c>
      <c r="U10237" s="16" t="s">
        <v>31</v>
      </c>
      <c r="V10237" s="14" t="s">
        <v>78</v>
      </c>
      <c r="W10237" s="14" t="s">
        <v>63072</v>
      </c>
      <c r="X10237" s="17" t="str">
        <f>HYPERLINK("https://my.pitchbook.com?p=429350-05P","View People Online")</f>
        <v>View People Online</v>
      </c>
    </row>
    <row r="10238">
      <c r="A10238" s="2" t="s">
        <v>63077</v>
      </c>
      <c r="B10238" s="2" t="s">
        <v>63078</v>
      </c>
      <c r="C10238" s="2" t="s">
        <v>7978</v>
      </c>
      <c r="D10238" s="2" t="s">
        <v>18864</v>
      </c>
      <c r="E10238" s="2" t="s">
        <v>63072</v>
      </c>
      <c r="F10238" s="2" t="s">
        <v>825</v>
      </c>
      <c r="G10238" s="2" t="s">
        <v>63079</v>
      </c>
      <c r="H10238" s="3">
        <v>9.0</v>
      </c>
      <c r="I10238" s="3">
        <v>17.0</v>
      </c>
      <c r="J10238" s="3">
        <v>3.0</v>
      </c>
      <c r="K10238" s="3">
        <v>6.0</v>
      </c>
      <c r="L10238" s="4" t="s">
        <v>31</v>
      </c>
      <c r="M10238" s="2" t="s">
        <v>63080</v>
      </c>
      <c r="N10238" s="2" t="s">
        <v>1170</v>
      </c>
      <c r="O10238" s="4" t="s">
        <v>1171</v>
      </c>
      <c r="P10238" s="2" t="s">
        <v>63081</v>
      </c>
      <c r="Q10238" s="2" t="s">
        <v>31</v>
      </c>
      <c r="R10238" s="2" t="s">
        <v>64</v>
      </c>
      <c r="S10238" s="4" t="s">
        <v>63082</v>
      </c>
      <c r="T10238" s="2" t="s">
        <v>66</v>
      </c>
      <c r="U10238" s="4" t="s">
        <v>31</v>
      </c>
      <c r="V10238" s="2" t="s">
        <v>51128</v>
      </c>
      <c r="W10238" s="2" t="s">
        <v>63083</v>
      </c>
      <c r="X10238" s="5" t="str">
        <f>HYPERLINK("https://my.pitchbook.com?p=291382-03P","View People Online")</f>
        <v>View People Online</v>
      </c>
    </row>
    <row r="10239">
      <c r="A10239" s="6" t="s">
        <v>63084</v>
      </c>
      <c r="B10239" s="6" t="s">
        <v>63085</v>
      </c>
      <c r="C10239" s="6" t="s">
        <v>63086</v>
      </c>
      <c r="D10239" s="6" t="s">
        <v>63087</v>
      </c>
      <c r="E10239" s="6" t="s">
        <v>63072</v>
      </c>
      <c r="F10239" s="6" t="s">
        <v>43</v>
      </c>
      <c r="G10239" s="6" t="s">
        <v>63088</v>
      </c>
      <c r="H10239" s="7">
        <v>2.0</v>
      </c>
      <c r="I10239" s="7">
        <v>8.0</v>
      </c>
      <c r="J10239" s="7">
        <v>2.0</v>
      </c>
      <c r="K10239" s="7">
        <v>2.0</v>
      </c>
      <c r="L10239" s="8" t="s">
        <v>63074</v>
      </c>
      <c r="M10239" s="6" t="s">
        <v>63089</v>
      </c>
      <c r="N10239" s="6" t="s">
        <v>1170</v>
      </c>
      <c r="O10239" s="8" t="s">
        <v>1171</v>
      </c>
      <c r="P10239" s="6" t="s">
        <v>63076</v>
      </c>
      <c r="Q10239" s="6" t="s">
        <v>31</v>
      </c>
      <c r="R10239" s="6" t="s">
        <v>64</v>
      </c>
      <c r="S10239" s="8" t="s">
        <v>59626</v>
      </c>
      <c r="T10239" s="6" t="s">
        <v>66</v>
      </c>
      <c r="U10239" s="8" t="s">
        <v>31</v>
      </c>
      <c r="V10239" s="6" t="s">
        <v>43</v>
      </c>
      <c r="W10239" s="6" t="s">
        <v>63072</v>
      </c>
      <c r="X10239" s="9" t="str">
        <f>HYPERLINK("https://my.pitchbook.com?p=240857-83P","View People Online")</f>
        <v>View People Online</v>
      </c>
    </row>
    <row r="10240">
      <c r="A10240" s="10" t="s">
        <v>63090</v>
      </c>
      <c r="B10240" s="10" t="s">
        <v>63091</v>
      </c>
      <c r="C10240" s="10" t="s">
        <v>63092</v>
      </c>
      <c r="D10240" s="10" t="s">
        <v>63093</v>
      </c>
      <c r="E10240" s="10" t="s">
        <v>63072</v>
      </c>
      <c r="F10240" s="10" t="s">
        <v>548</v>
      </c>
      <c r="G10240" s="10" t="s">
        <v>63094</v>
      </c>
      <c r="H10240" s="11" t="s">
        <v>31</v>
      </c>
      <c r="I10240" s="11">
        <v>1.0</v>
      </c>
      <c r="J10240" s="11">
        <v>1.0</v>
      </c>
      <c r="K10240" s="11" t="s">
        <v>31</v>
      </c>
      <c r="L10240" s="12" t="s">
        <v>63074</v>
      </c>
      <c r="M10240" s="10" t="s">
        <v>63095</v>
      </c>
      <c r="N10240" s="10" t="s">
        <v>1170</v>
      </c>
      <c r="O10240" s="12" t="s">
        <v>1171</v>
      </c>
      <c r="P10240" s="10" t="s">
        <v>63076</v>
      </c>
      <c r="Q10240" s="10" t="s">
        <v>31</v>
      </c>
      <c r="R10240" s="10" t="s">
        <v>64</v>
      </c>
      <c r="S10240" s="12" t="s">
        <v>59626</v>
      </c>
      <c r="T10240" s="10" t="s">
        <v>66</v>
      </c>
      <c r="U10240" s="12" t="s">
        <v>31</v>
      </c>
      <c r="V10240" s="10" t="s">
        <v>63096</v>
      </c>
      <c r="W10240" s="10" t="s">
        <v>63072</v>
      </c>
      <c r="X10240" s="13" t="str">
        <f>HYPERLINK("https://my.pitchbook.com?p=429507-55P","View People Online")</f>
        <v>View People Online</v>
      </c>
    </row>
    <row r="10241">
      <c r="A10241" s="6" t="s">
        <v>50111</v>
      </c>
      <c r="B10241" s="6" t="s">
        <v>50112</v>
      </c>
      <c r="C10241" s="6" t="s">
        <v>11652</v>
      </c>
      <c r="D10241" s="6" t="s">
        <v>50113</v>
      </c>
      <c r="E10241" s="6" t="s">
        <v>63072</v>
      </c>
      <c r="F10241" s="6" t="s">
        <v>3823</v>
      </c>
      <c r="G10241" s="6" t="s">
        <v>50114</v>
      </c>
      <c r="H10241" s="7" t="s">
        <v>31</v>
      </c>
      <c r="I10241" s="7">
        <v>5.0</v>
      </c>
      <c r="J10241" s="7">
        <v>2.0</v>
      </c>
      <c r="K10241" s="7">
        <v>2.0</v>
      </c>
      <c r="L10241" s="8" t="s">
        <v>50067</v>
      </c>
      <c r="M10241" s="6" t="s">
        <v>50115</v>
      </c>
      <c r="N10241" s="6" t="s">
        <v>15475</v>
      </c>
      <c r="O10241" s="8" t="s">
        <v>15476</v>
      </c>
      <c r="P10241" s="6" t="s">
        <v>50069</v>
      </c>
      <c r="Q10241" s="6" t="s">
        <v>31</v>
      </c>
      <c r="R10241" s="6" t="s">
        <v>31</v>
      </c>
      <c r="S10241" s="8" t="s">
        <v>15478</v>
      </c>
      <c r="T10241" s="6" t="s">
        <v>3104</v>
      </c>
      <c r="U10241" s="8" t="s">
        <v>31</v>
      </c>
      <c r="V10241" s="6" t="s">
        <v>3823</v>
      </c>
      <c r="W10241" s="6" t="s">
        <v>50065</v>
      </c>
      <c r="X10241" s="9" t="str">
        <f>HYPERLINK("https://my.pitchbook.com?p=182802-88P","View People Online")</f>
        <v>View People Online</v>
      </c>
    </row>
    <row r="10242">
      <c r="A10242" s="10" t="s">
        <v>63097</v>
      </c>
      <c r="B10242" s="10" t="s">
        <v>63098</v>
      </c>
      <c r="C10242" s="10" t="s">
        <v>126</v>
      </c>
      <c r="D10242" s="10" t="s">
        <v>63099</v>
      </c>
      <c r="E10242" s="10" t="s">
        <v>63072</v>
      </c>
      <c r="F10242" s="10" t="s">
        <v>29</v>
      </c>
      <c r="G10242" s="10" t="s">
        <v>63100</v>
      </c>
      <c r="H10242" s="11" t="s">
        <v>31</v>
      </c>
      <c r="I10242" s="11">
        <v>1.0</v>
      </c>
      <c r="J10242" s="11">
        <v>1.0</v>
      </c>
      <c r="K10242" s="11" t="s">
        <v>31</v>
      </c>
      <c r="L10242" s="12" t="s">
        <v>63074</v>
      </c>
      <c r="M10242" s="10" t="s">
        <v>63101</v>
      </c>
      <c r="N10242" s="10" t="s">
        <v>1170</v>
      </c>
      <c r="O10242" s="12" t="s">
        <v>1171</v>
      </c>
      <c r="P10242" s="10" t="s">
        <v>63076</v>
      </c>
      <c r="Q10242" s="10" t="s">
        <v>31</v>
      </c>
      <c r="R10242" s="10" t="s">
        <v>64</v>
      </c>
      <c r="S10242" s="12" t="s">
        <v>59626</v>
      </c>
      <c r="T10242" s="10" t="s">
        <v>66</v>
      </c>
      <c r="U10242" s="12" t="s">
        <v>31</v>
      </c>
      <c r="V10242" s="10" t="s">
        <v>29</v>
      </c>
      <c r="W10242" s="10" t="s">
        <v>63072</v>
      </c>
      <c r="X10242" s="13" t="str">
        <f>HYPERLINK("https://my.pitchbook.com?p=402438-16P","View People Online")</f>
        <v>View People Online</v>
      </c>
    </row>
    <row r="10243">
      <c r="A10243" s="14" t="s">
        <v>63102</v>
      </c>
      <c r="B10243" s="14" t="s">
        <v>63103</v>
      </c>
      <c r="C10243" s="14" t="s">
        <v>2329</v>
      </c>
      <c r="D10243" s="14" t="s">
        <v>63104</v>
      </c>
      <c r="E10243" s="14" t="s">
        <v>63072</v>
      </c>
      <c r="F10243" s="14" t="s">
        <v>733</v>
      </c>
      <c r="G10243" s="14" t="s">
        <v>63105</v>
      </c>
      <c r="H10243" s="15">
        <v>9.0</v>
      </c>
      <c r="I10243" s="15">
        <v>32.0</v>
      </c>
      <c r="J10243" s="15">
        <v>2.0</v>
      </c>
      <c r="K10243" s="15">
        <v>20.0</v>
      </c>
      <c r="L10243" s="16" t="s">
        <v>63074</v>
      </c>
      <c r="M10243" s="14" t="s">
        <v>63106</v>
      </c>
      <c r="N10243" s="14" t="s">
        <v>1170</v>
      </c>
      <c r="O10243" s="16" t="s">
        <v>1171</v>
      </c>
      <c r="P10243" s="14" t="s">
        <v>63076</v>
      </c>
      <c r="Q10243" s="14" t="s">
        <v>31</v>
      </c>
      <c r="R10243" s="14" t="s">
        <v>64</v>
      </c>
      <c r="S10243" s="16" t="s">
        <v>59626</v>
      </c>
      <c r="T10243" s="14" t="s">
        <v>66</v>
      </c>
      <c r="U10243" s="16" t="s">
        <v>31</v>
      </c>
      <c r="V10243" s="14" t="s">
        <v>736</v>
      </c>
      <c r="W10243" s="14" t="s">
        <v>63072</v>
      </c>
      <c r="X10243" s="17" t="str">
        <f>HYPERLINK("https://my.pitchbook.com?p=193484-26P","View People Online")</f>
        <v>View People Online</v>
      </c>
    </row>
    <row r="10244">
      <c r="A10244" s="2" t="s">
        <v>63107</v>
      </c>
      <c r="B10244" s="2" t="s">
        <v>63108</v>
      </c>
      <c r="C10244" s="2" t="s">
        <v>388</v>
      </c>
      <c r="D10244" s="2" t="s">
        <v>63109</v>
      </c>
      <c r="E10244" s="2" t="s">
        <v>63072</v>
      </c>
      <c r="F10244" s="2" t="s">
        <v>3710</v>
      </c>
      <c r="G10244" s="2" t="s">
        <v>63110</v>
      </c>
      <c r="H10244" s="3" t="s">
        <v>31</v>
      </c>
      <c r="I10244" s="3">
        <v>4.0</v>
      </c>
      <c r="J10244" s="3">
        <v>1.0</v>
      </c>
      <c r="K10244" s="3">
        <v>3.0</v>
      </c>
      <c r="L10244" s="4" t="s">
        <v>63074</v>
      </c>
      <c r="M10244" s="2" t="s">
        <v>63111</v>
      </c>
      <c r="N10244" s="2" t="s">
        <v>1170</v>
      </c>
      <c r="O10244" s="4" t="s">
        <v>1171</v>
      </c>
      <c r="P10244" s="2" t="s">
        <v>63076</v>
      </c>
      <c r="Q10244" s="2" t="s">
        <v>31</v>
      </c>
      <c r="R10244" s="2" t="s">
        <v>64</v>
      </c>
      <c r="S10244" s="4" t="s">
        <v>59626</v>
      </c>
      <c r="T10244" s="2" t="s">
        <v>66</v>
      </c>
      <c r="U10244" s="4" t="s">
        <v>31</v>
      </c>
      <c r="V10244" s="2" t="s">
        <v>3710</v>
      </c>
      <c r="W10244" s="2" t="s">
        <v>63072</v>
      </c>
      <c r="X10244" s="5" t="str">
        <f>HYPERLINK("https://my.pitchbook.com?p=244696-24P","View People Online")</f>
        <v>View People Online</v>
      </c>
    </row>
    <row r="10245">
      <c r="A10245" s="6" t="s">
        <v>63112</v>
      </c>
      <c r="B10245" s="6" t="s">
        <v>63113</v>
      </c>
      <c r="C10245" s="6" t="s">
        <v>63114</v>
      </c>
      <c r="D10245" s="6" t="s">
        <v>2451</v>
      </c>
      <c r="E10245" s="6" t="s">
        <v>63072</v>
      </c>
      <c r="F10245" s="6" t="s">
        <v>29</v>
      </c>
      <c r="G10245" s="6" t="s">
        <v>63115</v>
      </c>
      <c r="H10245" s="7">
        <v>4.0</v>
      </c>
      <c r="I10245" s="7">
        <v>7.0</v>
      </c>
      <c r="J10245" s="7">
        <v>2.0</v>
      </c>
      <c r="K10245" s="7">
        <v>1.0</v>
      </c>
      <c r="L10245" s="8" t="s">
        <v>63074</v>
      </c>
      <c r="M10245" s="6" t="s">
        <v>63116</v>
      </c>
      <c r="N10245" s="6" t="s">
        <v>1170</v>
      </c>
      <c r="O10245" s="8" t="s">
        <v>1171</v>
      </c>
      <c r="P10245" s="6" t="s">
        <v>63076</v>
      </c>
      <c r="Q10245" s="6" t="s">
        <v>31</v>
      </c>
      <c r="R10245" s="6" t="s">
        <v>64</v>
      </c>
      <c r="S10245" s="8" t="s">
        <v>59626</v>
      </c>
      <c r="T10245" s="6" t="s">
        <v>66</v>
      </c>
      <c r="U10245" s="8" t="s">
        <v>31</v>
      </c>
      <c r="V10245" s="6" t="s">
        <v>29</v>
      </c>
      <c r="W10245" s="6" t="s">
        <v>63072</v>
      </c>
      <c r="X10245" s="9" t="str">
        <f>HYPERLINK("https://my.pitchbook.com?p=402439-42P","View People Online")</f>
        <v>View People Online</v>
      </c>
    </row>
    <row r="10246">
      <c r="A10246" s="10" t="s">
        <v>63117</v>
      </c>
      <c r="B10246" s="10" t="s">
        <v>63118</v>
      </c>
      <c r="C10246" s="10" t="s">
        <v>12457</v>
      </c>
      <c r="D10246" s="10" t="s">
        <v>63119</v>
      </c>
      <c r="E10246" s="10" t="s">
        <v>63072</v>
      </c>
      <c r="F10246" s="10" t="s">
        <v>502</v>
      </c>
      <c r="G10246" s="10" t="s">
        <v>63120</v>
      </c>
      <c r="H10246" s="11" t="s">
        <v>31</v>
      </c>
      <c r="I10246" s="11">
        <v>3.0</v>
      </c>
      <c r="J10246" s="11">
        <v>1.0</v>
      </c>
      <c r="K10246" s="11">
        <v>1.0</v>
      </c>
      <c r="L10246" s="12" t="s">
        <v>63074</v>
      </c>
      <c r="M10246" s="10" t="s">
        <v>63121</v>
      </c>
      <c r="N10246" s="10" t="s">
        <v>1170</v>
      </c>
      <c r="O10246" s="12" t="s">
        <v>1171</v>
      </c>
      <c r="P10246" s="10" t="s">
        <v>63076</v>
      </c>
      <c r="Q10246" s="10" t="s">
        <v>31</v>
      </c>
      <c r="R10246" s="10" t="s">
        <v>64</v>
      </c>
      <c r="S10246" s="12" t="s">
        <v>59626</v>
      </c>
      <c r="T10246" s="10" t="s">
        <v>66</v>
      </c>
      <c r="U10246" s="12" t="s">
        <v>31</v>
      </c>
      <c r="V10246" s="10" t="s">
        <v>502</v>
      </c>
      <c r="W10246" s="10" t="s">
        <v>63072</v>
      </c>
      <c r="X10246" s="13" t="str">
        <f>HYPERLINK("https://my.pitchbook.com?p=248769-73P","View People Online")</f>
        <v>View People Online</v>
      </c>
    </row>
    <row r="10247">
      <c r="A10247" s="14" t="s">
        <v>63122</v>
      </c>
      <c r="B10247" s="14" t="s">
        <v>63123</v>
      </c>
      <c r="C10247" s="14" t="s">
        <v>568</v>
      </c>
      <c r="D10247" s="14" t="s">
        <v>63124</v>
      </c>
      <c r="E10247" s="14" t="s">
        <v>63125</v>
      </c>
      <c r="F10247" s="14" t="s">
        <v>29</v>
      </c>
      <c r="G10247" s="14" t="s">
        <v>63126</v>
      </c>
      <c r="H10247" s="15">
        <v>9.0</v>
      </c>
      <c r="I10247" s="15">
        <v>69.0</v>
      </c>
      <c r="J10247" s="15">
        <v>1.0</v>
      </c>
      <c r="K10247" s="15">
        <v>48.0</v>
      </c>
      <c r="L10247" s="16" t="s">
        <v>52452</v>
      </c>
      <c r="M10247" s="14" t="s">
        <v>63127</v>
      </c>
      <c r="N10247" s="14" t="s">
        <v>155</v>
      </c>
      <c r="O10247" s="16" t="s">
        <v>156</v>
      </c>
      <c r="P10247" s="14" t="s">
        <v>63128</v>
      </c>
      <c r="Q10247" s="14" t="s">
        <v>6654</v>
      </c>
      <c r="R10247" s="14" t="s">
        <v>64</v>
      </c>
      <c r="S10247" s="16" t="s">
        <v>7810</v>
      </c>
      <c r="T10247" s="14" t="s">
        <v>66</v>
      </c>
      <c r="U10247" s="16" t="s">
        <v>31</v>
      </c>
      <c r="V10247" s="14" t="s">
        <v>29</v>
      </c>
      <c r="W10247" s="14" t="s">
        <v>63125</v>
      </c>
      <c r="X10247" s="17" t="str">
        <f>HYPERLINK("https://my.pitchbook.com?p=38692-54P","View People Online")</f>
        <v>View People Online</v>
      </c>
    </row>
    <row r="10248">
      <c r="A10248" s="10" t="s">
        <v>63129</v>
      </c>
      <c r="B10248" s="10" t="s">
        <v>63130</v>
      </c>
      <c r="C10248" s="10" t="s">
        <v>4128</v>
      </c>
      <c r="D10248" s="10" t="s">
        <v>9222</v>
      </c>
      <c r="E10248" s="10" t="s">
        <v>63125</v>
      </c>
      <c r="F10248" s="10" t="s">
        <v>371</v>
      </c>
      <c r="G10248" s="10" t="s">
        <v>63131</v>
      </c>
      <c r="H10248" s="11" t="s">
        <v>31</v>
      </c>
      <c r="I10248" s="11">
        <v>1.0</v>
      </c>
      <c r="J10248" s="11">
        <v>1.0</v>
      </c>
      <c r="K10248" s="11" t="s">
        <v>31</v>
      </c>
      <c r="L10248" s="12" t="s">
        <v>52452</v>
      </c>
      <c r="M10248" s="10" t="s">
        <v>63132</v>
      </c>
      <c r="N10248" s="10" t="s">
        <v>155</v>
      </c>
      <c r="O10248" s="12" t="s">
        <v>156</v>
      </c>
      <c r="P10248" s="10" t="s">
        <v>63128</v>
      </c>
      <c r="Q10248" s="10" t="s">
        <v>6654</v>
      </c>
      <c r="R10248" s="10" t="s">
        <v>64</v>
      </c>
      <c r="S10248" s="12" t="s">
        <v>7810</v>
      </c>
      <c r="T10248" s="10" t="s">
        <v>66</v>
      </c>
      <c r="U10248" s="12" t="s">
        <v>31</v>
      </c>
      <c r="V10248" s="10" t="s">
        <v>3808</v>
      </c>
      <c r="W10248" s="10" t="s">
        <v>63125</v>
      </c>
      <c r="X10248" s="13" t="str">
        <f>HYPERLINK("https://my.pitchbook.com?p=150762-97P","View People Online")</f>
        <v>View People Online</v>
      </c>
    </row>
    <row r="10249">
      <c r="A10249" s="6" t="s">
        <v>63133</v>
      </c>
      <c r="B10249" s="6" t="s">
        <v>63134</v>
      </c>
      <c r="C10249" s="6" t="s">
        <v>4731</v>
      </c>
      <c r="D10249" s="6" t="s">
        <v>63135</v>
      </c>
      <c r="E10249" s="6" t="s">
        <v>63125</v>
      </c>
      <c r="F10249" s="6" t="s">
        <v>29</v>
      </c>
      <c r="G10249" s="6" t="s">
        <v>63136</v>
      </c>
      <c r="H10249" s="7">
        <v>2.0</v>
      </c>
      <c r="I10249" s="7">
        <v>21.0</v>
      </c>
      <c r="J10249" s="7">
        <v>2.0</v>
      </c>
      <c r="K10249" s="7">
        <v>10.0</v>
      </c>
      <c r="L10249" s="8" t="s">
        <v>52452</v>
      </c>
      <c r="M10249" s="6" t="s">
        <v>63137</v>
      </c>
      <c r="N10249" s="6" t="s">
        <v>775</v>
      </c>
      <c r="O10249" s="8" t="s">
        <v>776</v>
      </c>
      <c r="P10249" s="6" t="s">
        <v>51258</v>
      </c>
      <c r="Q10249" s="6" t="s">
        <v>1280</v>
      </c>
      <c r="R10249" s="6" t="s">
        <v>64</v>
      </c>
      <c r="S10249" s="8" t="s">
        <v>779</v>
      </c>
      <c r="T10249" s="6" t="s">
        <v>66</v>
      </c>
      <c r="U10249" s="8" t="s">
        <v>31</v>
      </c>
      <c r="V10249" s="6" t="s">
        <v>2379</v>
      </c>
      <c r="W10249" s="6" t="s">
        <v>63138</v>
      </c>
      <c r="X10249" s="9" t="str">
        <f>HYPERLINK("https://my.pitchbook.com?p=17879-14P","View People Online")</f>
        <v>View People Online</v>
      </c>
    </row>
    <row r="10250">
      <c r="A10250" s="2" t="s">
        <v>63139</v>
      </c>
      <c r="B10250" s="2" t="s">
        <v>63140</v>
      </c>
      <c r="C10250" s="2" t="s">
        <v>4731</v>
      </c>
      <c r="D10250" s="2" t="s">
        <v>63141</v>
      </c>
      <c r="E10250" s="2" t="s">
        <v>63125</v>
      </c>
      <c r="F10250" s="2" t="s">
        <v>8217</v>
      </c>
      <c r="G10250" s="2" t="s">
        <v>63142</v>
      </c>
      <c r="H10250" s="3" t="s">
        <v>31</v>
      </c>
      <c r="I10250" s="3">
        <v>1.0</v>
      </c>
      <c r="J10250" s="3">
        <v>1.0</v>
      </c>
      <c r="K10250" s="3" t="s">
        <v>31</v>
      </c>
      <c r="L10250" s="4" t="s">
        <v>52452</v>
      </c>
      <c r="M10250" s="2" t="s">
        <v>63143</v>
      </c>
      <c r="N10250" s="2" t="s">
        <v>775</v>
      </c>
      <c r="O10250" s="4" t="s">
        <v>776</v>
      </c>
      <c r="P10250" s="2" t="s">
        <v>51258</v>
      </c>
      <c r="Q10250" s="2" t="s">
        <v>1280</v>
      </c>
      <c r="R10250" s="2" t="s">
        <v>64</v>
      </c>
      <c r="S10250" s="4" t="s">
        <v>779</v>
      </c>
      <c r="T10250" s="2" t="s">
        <v>66</v>
      </c>
      <c r="U10250" s="4" t="s">
        <v>31</v>
      </c>
      <c r="V10250" s="2" t="s">
        <v>8217</v>
      </c>
      <c r="W10250" s="2" t="s">
        <v>63125</v>
      </c>
      <c r="X10250" s="5" t="str">
        <f>HYPERLINK("https://my.pitchbook.com?p=150765-94P","View People Online")</f>
        <v>View People Online</v>
      </c>
    </row>
    <row r="10251">
      <c r="A10251" s="6" t="s">
        <v>63144</v>
      </c>
      <c r="B10251" s="6" t="s">
        <v>63145</v>
      </c>
      <c r="C10251" s="6" t="s">
        <v>10383</v>
      </c>
      <c r="D10251" s="6" t="s">
        <v>5431</v>
      </c>
      <c r="E10251" s="6" t="s">
        <v>63125</v>
      </c>
      <c r="F10251" s="6" t="s">
        <v>29</v>
      </c>
      <c r="G10251" s="6" t="s">
        <v>63146</v>
      </c>
      <c r="H10251" s="7" t="s">
        <v>31</v>
      </c>
      <c r="I10251" s="7">
        <v>5.0</v>
      </c>
      <c r="J10251" s="7">
        <v>2.0</v>
      </c>
      <c r="K10251" s="7">
        <v>2.0</v>
      </c>
      <c r="L10251" s="8" t="s">
        <v>52452</v>
      </c>
      <c r="M10251" s="6" t="s">
        <v>63147</v>
      </c>
      <c r="N10251" s="6" t="s">
        <v>155</v>
      </c>
      <c r="O10251" s="8" t="s">
        <v>156</v>
      </c>
      <c r="P10251" s="6" t="s">
        <v>63128</v>
      </c>
      <c r="Q10251" s="6" t="s">
        <v>6654</v>
      </c>
      <c r="R10251" s="6" t="s">
        <v>64</v>
      </c>
      <c r="S10251" s="8" t="s">
        <v>7810</v>
      </c>
      <c r="T10251" s="6" t="s">
        <v>66</v>
      </c>
      <c r="U10251" s="8" t="s">
        <v>31</v>
      </c>
      <c r="V10251" s="6" t="s">
        <v>29</v>
      </c>
      <c r="W10251" s="6" t="s">
        <v>63125</v>
      </c>
      <c r="X10251" s="9" t="str">
        <f>HYPERLINK("https://my.pitchbook.com?p=117054-82P","View People Online")</f>
        <v>View People Online</v>
      </c>
    </row>
    <row r="10252">
      <c r="A10252" s="2" t="s">
        <v>63148</v>
      </c>
      <c r="B10252" s="2" t="s">
        <v>63149</v>
      </c>
      <c r="C10252" s="2" t="s">
        <v>1103</v>
      </c>
      <c r="D10252" s="2" t="s">
        <v>30892</v>
      </c>
      <c r="E10252" s="2" t="s">
        <v>63125</v>
      </c>
      <c r="F10252" s="2" t="s">
        <v>29</v>
      </c>
      <c r="G10252" s="2" t="s">
        <v>63150</v>
      </c>
      <c r="H10252" s="3">
        <v>6.0</v>
      </c>
      <c r="I10252" s="3">
        <v>61.0</v>
      </c>
      <c r="J10252" s="3">
        <v>1.0</v>
      </c>
      <c r="K10252" s="3">
        <v>46.0</v>
      </c>
      <c r="L10252" s="4" t="s">
        <v>52452</v>
      </c>
      <c r="M10252" s="2" t="s">
        <v>63151</v>
      </c>
      <c r="N10252" s="2" t="s">
        <v>155</v>
      </c>
      <c r="O10252" s="4" t="s">
        <v>156</v>
      </c>
      <c r="P10252" s="2" t="s">
        <v>63128</v>
      </c>
      <c r="Q10252" s="2" t="s">
        <v>6654</v>
      </c>
      <c r="R10252" s="2" t="s">
        <v>64</v>
      </c>
      <c r="S10252" s="4" t="s">
        <v>7810</v>
      </c>
      <c r="T10252" s="2" t="s">
        <v>66</v>
      </c>
      <c r="U10252" s="4" t="s">
        <v>31</v>
      </c>
      <c r="V10252" s="2" t="s">
        <v>29</v>
      </c>
      <c r="W10252" s="2" t="s">
        <v>63125</v>
      </c>
      <c r="X10252" s="5" t="str">
        <f>HYPERLINK("https://my.pitchbook.com?p=36326-35P","View People Online")</f>
        <v>View People Online</v>
      </c>
    </row>
    <row r="10253">
      <c r="A10253" s="14" t="s">
        <v>63152</v>
      </c>
      <c r="B10253" s="14" t="s">
        <v>63153</v>
      </c>
      <c r="C10253" s="14" t="s">
        <v>14893</v>
      </c>
      <c r="D10253" s="14" t="s">
        <v>63154</v>
      </c>
      <c r="E10253" s="14" t="s">
        <v>63125</v>
      </c>
      <c r="F10253" s="14" t="s">
        <v>825</v>
      </c>
      <c r="G10253" s="14" t="s">
        <v>63155</v>
      </c>
      <c r="H10253" s="15" t="s">
        <v>31</v>
      </c>
      <c r="I10253" s="15">
        <v>1.0</v>
      </c>
      <c r="J10253" s="15">
        <v>1.0</v>
      </c>
      <c r="K10253" s="15" t="s">
        <v>31</v>
      </c>
      <c r="L10253" s="16" t="s">
        <v>52452</v>
      </c>
      <c r="M10253" s="14" t="s">
        <v>63156</v>
      </c>
      <c r="N10253" s="14" t="s">
        <v>775</v>
      </c>
      <c r="O10253" s="16" t="s">
        <v>776</v>
      </c>
      <c r="P10253" s="14" t="s">
        <v>51258</v>
      </c>
      <c r="Q10253" s="14" t="s">
        <v>1280</v>
      </c>
      <c r="R10253" s="14" t="s">
        <v>64</v>
      </c>
      <c r="S10253" s="16" t="s">
        <v>779</v>
      </c>
      <c r="T10253" s="14" t="s">
        <v>66</v>
      </c>
      <c r="U10253" s="16" t="s">
        <v>31</v>
      </c>
      <c r="V10253" s="14" t="s">
        <v>63157</v>
      </c>
      <c r="W10253" s="14" t="s">
        <v>63125</v>
      </c>
      <c r="X10253" s="17" t="str">
        <f>HYPERLINK("https://my.pitchbook.com?p=124321-96P","View People Online")</f>
        <v>View People Online</v>
      </c>
    </row>
    <row r="10254">
      <c r="A10254" s="2" t="s">
        <v>63158</v>
      </c>
      <c r="B10254" s="2" t="s">
        <v>63159</v>
      </c>
      <c r="C10254" s="2" t="s">
        <v>1559</v>
      </c>
      <c r="D10254" s="2" t="s">
        <v>63160</v>
      </c>
      <c r="E10254" s="2" t="s">
        <v>63125</v>
      </c>
      <c r="F10254" s="2" t="s">
        <v>221</v>
      </c>
      <c r="G10254" s="2" t="s">
        <v>63161</v>
      </c>
      <c r="H10254" s="3" t="s">
        <v>31</v>
      </c>
      <c r="I10254" s="3">
        <v>1.0</v>
      </c>
      <c r="J10254" s="3">
        <v>1.0</v>
      </c>
      <c r="K10254" s="3" t="s">
        <v>31</v>
      </c>
      <c r="L10254" s="4" t="s">
        <v>52452</v>
      </c>
      <c r="M10254" s="2" t="s">
        <v>63162</v>
      </c>
      <c r="N10254" s="2" t="s">
        <v>775</v>
      </c>
      <c r="O10254" s="4" t="s">
        <v>776</v>
      </c>
      <c r="P10254" s="2" t="s">
        <v>51258</v>
      </c>
      <c r="Q10254" s="2" t="s">
        <v>1280</v>
      </c>
      <c r="R10254" s="2" t="s">
        <v>64</v>
      </c>
      <c r="S10254" s="4" t="s">
        <v>779</v>
      </c>
      <c r="T10254" s="2" t="s">
        <v>66</v>
      </c>
      <c r="U10254" s="4" t="s">
        <v>31</v>
      </c>
      <c r="V10254" s="2" t="s">
        <v>221</v>
      </c>
      <c r="W10254" s="2" t="s">
        <v>63125</v>
      </c>
      <c r="X10254" s="5" t="str">
        <f>HYPERLINK("https://my.pitchbook.com?p=355433-14P","View People Online")</f>
        <v>View People Online</v>
      </c>
    </row>
    <row r="10255">
      <c r="A10255" s="14" t="s">
        <v>63163</v>
      </c>
      <c r="B10255" s="14" t="s">
        <v>63164</v>
      </c>
      <c r="C10255" s="14" t="s">
        <v>63165</v>
      </c>
      <c r="D10255" s="14" t="s">
        <v>63166</v>
      </c>
      <c r="E10255" s="14" t="s">
        <v>63125</v>
      </c>
      <c r="F10255" s="14" t="s">
        <v>54475</v>
      </c>
      <c r="G10255" s="14" t="s">
        <v>63167</v>
      </c>
      <c r="H10255" s="15">
        <v>1.0</v>
      </c>
      <c r="I10255" s="15">
        <v>12.0</v>
      </c>
      <c r="J10255" s="15">
        <v>1.0</v>
      </c>
      <c r="K10255" s="15">
        <v>7.0</v>
      </c>
      <c r="L10255" s="16" t="s">
        <v>52452</v>
      </c>
      <c r="M10255" s="14" t="s">
        <v>63168</v>
      </c>
      <c r="N10255" s="14" t="s">
        <v>775</v>
      </c>
      <c r="O10255" s="16" t="s">
        <v>776</v>
      </c>
      <c r="P10255" s="14" t="s">
        <v>51258</v>
      </c>
      <c r="Q10255" s="14" t="s">
        <v>1280</v>
      </c>
      <c r="R10255" s="14" t="s">
        <v>64</v>
      </c>
      <c r="S10255" s="16" t="s">
        <v>779</v>
      </c>
      <c r="T10255" s="14" t="s">
        <v>66</v>
      </c>
      <c r="U10255" s="16" t="s">
        <v>31</v>
      </c>
      <c r="V10255" s="14" t="s">
        <v>63169</v>
      </c>
      <c r="W10255" s="14" t="s">
        <v>63125</v>
      </c>
      <c r="X10255" s="17" t="str">
        <f>HYPERLINK("https://my.pitchbook.com?p=38692-99P","View People Online")</f>
        <v>View People Online</v>
      </c>
    </row>
    <row r="10256">
      <c r="A10256" s="10" t="s">
        <v>63170</v>
      </c>
      <c r="B10256" s="10" t="s">
        <v>63171</v>
      </c>
      <c r="C10256" s="10" t="s">
        <v>3610</v>
      </c>
      <c r="D10256" s="10" t="s">
        <v>63172</v>
      </c>
      <c r="E10256" s="10" t="s">
        <v>63125</v>
      </c>
      <c r="F10256" s="10" t="s">
        <v>270</v>
      </c>
      <c r="G10256" s="10" t="s">
        <v>63173</v>
      </c>
      <c r="H10256" s="11">
        <v>1.0</v>
      </c>
      <c r="I10256" s="11">
        <v>3.0</v>
      </c>
      <c r="J10256" s="11">
        <v>3.0</v>
      </c>
      <c r="K10256" s="11" t="s">
        <v>31</v>
      </c>
      <c r="L10256" s="12" t="s">
        <v>63174</v>
      </c>
      <c r="M10256" s="10" t="s">
        <v>63175</v>
      </c>
      <c r="N10256" s="10" t="s">
        <v>63176</v>
      </c>
      <c r="O10256" s="12" t="s">
        <v>63177</v>
      </c>
      <c r="P10256" s="10" t="s">
        <v>63178</v>
      </c>
      <c r="Q10256" s="10" t="s">
        <v>31</v>
      </c>
      <c r="R10256" s="10" t="s">
        <v>18816</v>
      </c>
      <c r="S10256" s="12" t="s">
        <v>63179</v>
      </c>
      <c r="T10256" s="10" t="s">
        <v>66</v>
      </c>
      <c r="U10256" s="12" t="s">
        <v>31</v>
      </c>
      <c r="V10256" s="10" t="s">
        <v>12675</v>
      </c>
      <c r="W10256" s="10" t="s">
        <v>63180</v>
      </c>
      <c r="X10256" s="13" t="str">
        <f>HYPERLINK("https://my.pitchbook.com?p=110437-75P","View People Online")</f>
        <v>View People Online</v>
      </c>
    </row>
    <row r="10257">
      <c r="A10257" s="14" t="s">
        <v>63181</v>
      </c>
      <c r="B10257" s="14" t="s">
        <v>63182</v>
      </c>
      <c r="C10257" s="14" t="s">
        <v>1449</v>
      </c>
      <c r="D10257" s="14" t="s">
        <v>63183</v>
      </c>
      <c r="E10257" s="14" t="s">
        <v>63125</v>
      </c>
      <c r="F10257" s="14" t="s">
        <v>114</v>
      </c>
      <c r="G10257" s="14" t="s">
        <v>63184</v>
      </c>
      <c r="H10257" s="15" t="s">
        <v>31</v>
      </c>
      <c r="I10257" s="15">
        <v>36.0</v>
      </c>
      <c r="J10257" s="15">
        <v>2.0</v>
      </c>
      <c r="K10257" s="15">
        <v>30.0</v>
      </c>
      <c r="L10257" s="16" t="s">
        <v>63185</v>
      </c>
      <c r="M10257" s="14" t="s">
        <v>63186</v>
      </c>
      <c r="N10257" s="14" t="s">
        <v>1181</v>
      </c>
      <c r="O10257" s="16" t="s">
        <v>1182</v>
      </c>
      <c r="P10257" s="14" t="s">
        <v>53248</v>
      </c>
      <c r="Q10257" s="14" t="s">
        <v>63187</v>
      </c>
      <c r="R10257" s="14" t="s">
        <v>1185</v>
      </c>
      <c r="S10257" s="16" t="s">
        <v>10902</v>
      </c>
      <c r="T10257" s="14" t="s">
        <v>66</v>
      </c>
      <c r="U10257" s="16" t="s">
        <v>31</v>
      </c>
      <c r="V10257" s="14" t="s">
        <v>991</v>
      </c>
      <c r="W10257" s="14" t="s">
        <v>63188</v>
      </c>
      <c r="X10257" s="17" t="str">
        <f>HYPERLINK("https://my.pitchbook.com?p=37205-29P","View People Online")</f>
        <v>View People Online</v>
      </c>
    </row>
    <row r="10258">
      <c r="A10258" s="10" t="s">
        <v>63189</v>
      </c>
      <c r="B10258" s="10" t="s">
        <v>63190</v>
      </c>
      <c r="C10258" s="10" t="s">
        <v>1255</v>
      </c>
      <c r="D10258" s="10" t="s">
        <v>63191</v>
      </c>
      <c r="E10258" s="10" t="s">
        <v>63125</v>
      </c>
      <c r="F10258" s="10" t="s">
        <v>8217</v>
      </c>
      <c r="G10258" s="10" t="s">
        <v>63192</v>
      </c>
      <c r="H10258" s="11" t="s">
        <v>31</v>
      </c>
      <c r="I10258" s="11">
        <v>1.0</v>
      </c>
      <c r="J10258" s="11">
        <v>1.0</v>
      </c>
      <c r="K10258" s="11" t="s">
        <v>31</v>
      </c>
      <c r="L10258" s="12" t="s">
        <v>52452</v>
      </c>
      <c r="M10258" s="10" t="s">
        <v>63193</v>
      </c>
      <c r="N10258" s="10" t="s">
        <v>155</v>
      </c>
      <c r="O10258" s="12" t="s">
        <v>156</v>
      </c>
      <c r="P10258" s="10" t="s">
        <v>63128</v>
      </c>
      <c r="Q10258" s="10" t="s">
        <v>6654</v>
      </c>
      <c r="R10258" s="10" t="s">
        <v>64</v>
      </c>
      <c r="S10258" s="12" t="s">
        <v>7810</v>
      </c>
      <c r="T10258" s="10" t="s">
        <v>66</v>
      </c>
      <c r="U10258" s="12" t="s">
        <v>31</v>
      </c>
      <c r="V10258" s="10" t="s">
        <v>8217</v>
      </c>
      <c r="W10258" s="10" t="s">
        <v>63125</v>
      </c>
      <c r="X10258" s="13" t="str">
        <f>HYPERLINK("https://my.pitchbook.com?p=150763-42P","View People Online")</f>
        <v>View People Online</v>
      </c>
    </row>
    <row r="10259">
      <c r="A10259" s="14" t="s">
        <v>63194</v>
      </c>
      <c r="B10259" s="14" t="s">
        <v>63195</v>
      </c>
      <c r="C10259" s="14" t="s">
        <v>13148</v>
      </c>
      <c r="D10259" s="14" t="s">
        <v>63196</v>
      </c>
      <c r="E10259" s="14" t="s">
        <v>63125</v>
      </c>
      <c r="F10259" s="14" t="s">
        <v>29</v>
      </c>
      <c r="G10259" s="14" t="s">
        <v>63197</v>
      </c>
      <c r="H10259" s="15">
        <v>1.0</v>
      </c>
      <c r="I10259" s="15">
        <v>4.0</v>
      </c>
      <c r="J10259" s="15">
        <v>1.0</v>
      </c>
      <c r="K10259" s="15">
        <v>2.0</v>
      </c>
      <c r="L10259" s="16" t="s">
        <v>63198</v>
      </c>
      <c r="M10259" s="14" t="s">
        <v>63199</v>
      </c>
      <c r="N10259" s="14" t="s">
        <v>775</v>
      </c>
      <c r="O10259" s="16" t="s">
        <v>776</v>
      </c>
      <c r="P10259" s="14" t="s">
        <v>51258</v>
      </c>
      <c r="Q10259" s="14" t="s">
        <v>1280</v>
      </c>
      <c r="R10259" s="14" t="s">
        <v>64</v>
      </c>
      <c r="S10259" s="16" t="s">
        <v>779</v>
      </c>
      <c r="T10259" s="14" t="s">
        <v>66</v>
      </c>
      <c r="U10259" s="16" t="s">
        <v>31</v>
      </c>
      <c r="V10259" s="14" t="s">
        <v>29</v>
      </c>
      <c r="W10259" s="14" t="s">
        <v>63125</v>
      </c>
      <c r="X10259" s="17" t="str">
        <f>HYPERLINK("https://my.pitchbook.com?p=36543-07P","View People Online")</f>
        <v>View People Online</v>
      </c>
    </row>
    <row r="10260">
      <c r="A10260" s="2" t="s">
        <v>63200</v>
      </c>
      <c r="B10260" s="2" t="s">
        <v>63201</v>
      </c>
      <c r="C10260" s="2" t="s">
        <v>31666</v>
      </c>
      <c r="D10260" s="2" t="s">
        <v>5178</v>
      </c>
      <c r="E10260" s="2" t="s">
        <v>63125</v>
      </c>
      <c r="F10260" s="2" t="s">
        <v>114</v>
      </c>
      <c r="G10260" s="2" t="s">
        <v>63202</v>
      </c>
      <c r="H10260" s="3" t="s">
        <v>31</v>
      </c>
      <c r="I10260" s="3">
        <v>13.0</v>
      </c>
      <c r="J10260" s="3">
        <v>2.0</v>
      </c>
      <c r="K10260" s="3">
        <v>10.0</v>
      </c>
      <c r="L10260" s="4" t="s">
        <v>31</v>
      </c>
      <c r="M10260" s="2" t="s">
        <v>63203</v>
      </c>
      <c r="N10260" s="2" t="s">
        <v>155</v>
      </c>
      <c r="O10260" s="4" t="s">
        <v>156</v>
      </c>
      <c r="P10260" s="2" t="s">
        <v>31</v>
      </c>
      <c r="Q10260" s="2" t="s">
        <v>31</v>
      </c>
      <c r="R10260" s="2" t="s">
        <v>64</v>
      </c>
      <c r="S10260" s="4" t="s">
        <v>31</v>
      </c>
      <c r="T10260" s="2" t="s">
        <v>66</v>
      </c>
      <c r="U10260" s="4" t="s">
        <v>31</v>
      </c>
      <c r="V10260" s="2" t="s">
        <v>1172</v>
      </c>
      <c r="W10260" s="2" t="s">
        <v>63204</v>
      </c>
      <c r="X10260" s="5" t="str">
        <f>HYPERLINK("https://my.pitchbook.com?p=68661-01P","View People Online")</f>
        <v>View People Online</v>
      </c>
    </row>
    <row r="10261">
      <c r="A10261" s="14" t="s">
        <v>63205</v>
      </c>
      <c r="B10261" s="14" t="s">
        <v>63206</v>
      </c>
      <c r="C10261" s="14" t="s">
        <v>823</v>
      </c>
      <c r="D10261" s="14" t="s">
        <v>9675</v>
      </c>
      <c r="E10261" s="14" t="s">
        <v>63125</v>
      </c>
      <c r="F10261" s="14" t="s">
        <v>3144</v>
      </c>
      <c r="G10261" s="14" t="s">
        <v>63207</v>
      </c>
      <c r="H10261" s="15" t="s">
        <v>31</v>
      </c>
      <c r="I10261" s="15">
        <v>4.0</v>
      </c>
      <c r="J10261" s="15">
        <v>1.0</v>
      </c>
      <c r="K10261" s="15" t="s">
        <v>31</v>
      </c>
      <c r="L10261" s="16" t="s">
        <v>52452</v>
      </c>
      <c r="M10261" s="14" t="s">
        <v>63208</v>
      </c>
      <c r="N10261" s="14" t="s">
        <v>155</v>
      </c>
      <c r="O10261" s="16" t="s">
        <v>156</v>
      </c>
      <c r="P10261" s="14" t="s">
        <v>63128</v>
      </c>
      <c r="Q10261" s="14" t="s">
        <v>6654</v>
      </c>
      <c r="R10261" s="14" t="s">
        <v>64</v>
      </c>
      <c r="S10261" s="16" t="s">
        <v>7810</v>
      </c>
      <c r="T10261" s="14" t="s">
        <v>66</v>
      </c>
      <c r="U10261" s="16" t="s">
        <v>31</v>
      </c>
      <c r="V10261" s="14" t="s">
        <v>3144</v>
      </c>
      <c r="W10261" s="14" t="s">
        <v>63125</v>
      </c>
      <c r="X10261" s="17" t="str">
        <f>HYPERLINK("https://my.pitchbook.com?p=41448-34P","View People Online")</f>
        <v>View People Online</v>
      </c>
    </row>
    <row r="10262">
      <c r="A10262" s="10" t="s">
        <v>63209</v>
      </c>
      <c r="B10262" s="10" t="s">
        <v>63210</v>
      </c>
      <c r="C10262" s="10" t="s">
        <v>3984</v>
      </c>
      <c r="D10262" s="10" t="s">
        <v>63211</v>
      </c>
      <c r="E10262" s="10" t="s">
        <v>63125</v>
      </c>
      <c r="F10262" s="10" t="s">
        <v>1134</v>
      </c>
      <c r="G10262" s="10" t="s">
        <v>63212</v>
      </c>
      <c r="H10262" s="11" t="s">
        <v>31</v>
      </c>
      <c r="I10262" s="11">
        <v>6.0</v>
      </c>
      <c r="J10262" s="11">
        <v>2.0</v>
      </c>
      <c r="K10262" s="11">
        <v>2.0</v>
      </c>
      <c r="L10262" s="12" t="s">
        <v>52452</v>
      </c>
      <c r="M10262" s="10" t="s">
        <v>63213</v>
      </c>
      <c r="N10262" s="10" t="s">
        <v>775</v>
      </c>
      <c r="O10262" s="12" t="s">
        <v>776</v>
      </c>
      <c r="P10262" s="10" t="s">
        <v>51258</v>
      </c>
      <c r="Q10262" s="10" t="s">
        <v>1280</v>
      </c>
      <c r="R10262" s="10" t="s">
        <v>64</v>
      </c>
      <c r="S10262" s="12" t="s">
        <v>779</v>
      </c>
      <c r="T10262" s="10" t="s">
        <v>66</v>
      </c>
      <c r="U10262" s="12" t="s">
        <v>31</v>
      </c>
      <c r="V10262" s="10" t="s">
        <v>63214</v>
      </c>
      <c r="W10262" s="10" t="s">
        <v>63125</v>
      </c>
      <c r="X10262" s="13" t="str">
        <f>HYPERLINK("https://my.pitchbook.com?p=38840-23P","View People Online")</f>
        <v>View People Online</v>
      </c>
    </row>
    <row r="10263">
      <c r="A10263" s="14" t="s">
        <v>63215</v>
      </c>
      <c r="B10263" s="14" t="s">
        <v>63216</v>
      </c>
      <c r="C10263" s="14" t="s">
        <v>1356</v>
      </c>
      <c r="D10263" s="14" t="s">
        <v>44927</v>
      </c>
      <c r="E10263" s="14" t="s">
        <v>63125</v>
      </c>
      <c r="F10263" s="14" t="s">
        <v>152</v>
      </c>
      <c r="G10263" s="14" t="s">
        <v>63217</v>
      </c>
      <c r="H10263" s="15">
        <v>10.0</v>
      </c>
      <c r="I10263" s="15">
        <v>146.0</v>
      </c>
      <c r="J10263" s="15">
        <v>1.0</v>
      </c>
      <c r="K10263" s="15">
        <v>118.0</v>
      </c>
      <c r="L10263" s="16" t="s">
        <v>52452</v>
      </c>
      <c r="M10263" s="14" t="s">
        <v>63218</v>
      </c>
      <c r="N10263" s="14" t="s">
        <v>775</v>
      </c>
      <c r="O10263" s="16" t="s">
        <v>776</v>
      </c>
      <c r="P10263" s="14" t="s">
        <v>51258</v>
      </c>
      <c r="Q10263" s="14" t="s">
        <v>1280</v>
      </c>
      <c r="R10263" s="14" t="s">
        <v>64</v>
      </c>
      <c r="S10263" s="16" t="s">
        <v>779</v>
      </c>
      <c r="T10263" s="14" t="s">
        <v>66</v>
      </c>
      <c r="U10263" s="16" t="s">
        <v>31</v>
      </c>
      <c r="V10263" s="14" t="s">
        <v>157</v>
      </c>
      <c r="W10263" s="14" t="s">
        <v>63125</v>
      </c>
      <c r="X10263" s="17" t="str">
        <f>HYPERLINK("https://my.pitchbook.com?p=14104-72P","View People Online")</f>
        <v>View People Online</v>
      </c>
    </row>
    <row r="10264">
      <c r="A10264" s="2" t="s">
        <v>63219</v>
      </c>
      <c r="B10264" s="2" t="s">
        <v>63220</v>
      </c>
      <c r="C10264" s="2" t="s">
        <v>10911</v>
      </c>
      <c r="D10264" s="2" t="s">
        <v>63221</v>
      </c>
      <c r="E10264" s="2" t="s">
        <v>63125</v>
      </c>
      <c r="F10264" s="2" t="s">
        <v>8217</v>
      </c>
      <c r="G10264" s="2" t="s">
        <v>63222</v>
      </c>
      <c r="H10264" s="3" t="s">
        <v>31</v>
      </c>
      <c r="I10264" s="3">
        <v>1.0</v>
      </c>
      <c r="J10264" s="3">
        <v>1.0</v>
      </c>
      <c r="K10264" s="3" t="s">
        <v>31</v>
      </c>
      <c r="L10264" s="4" t="s">
        <v>52452</v>
      </c>
      <c r="M10264" s="2" t="s">
        <v>63223</v>
      </c>
      <c r="N10264" s="2" t="s">
        <v>775</v>
      </c>
      <c r="O10264" s="4" t="s">
        <v>776</v>
      </c>
      <c r="P10264" s="2" t="s">
        <v>51258</v>
      </c>
      <c r="Q10264" s="2" t="s">
        <v>1280</v>
      </c>
      <c r="R10264" s="2" t="s">
        <v>64</v>
      </c>
      <c r="S10264" s="4" t="s">
        <v>779</v>
      </c>
      <c r="T10264" s="2" t="s">
        <v>66</v>
      </c>
      <c r="U10264" s="4" t="s">
        <v>31</v>
      </c>
      <c r="V10264" s="2" t="s">
        <v>8217</v>
      </c>
      <c r="W10264" s="2" t="s">
        <v>63125</v>
      </c>
      <c r="X10264" s="5" t="str">
        <f>HYPERLINK("https://my.pitchbook.com?p=160118-56P","View People Online")</f>
        <v>View People Online</v>
      </c>
    </row>
    <row r="10265">
      <c r="A10265" s="6" t="s">
        <v>63224</v>
      </c>
      <c r="B10265" s="6" t="s">
        <v>63225</v>
      </c>
      <c r="C10265" s="6" t="s">
        <v>1489</v>
      </c>
      <c r="D10265" s="6" t="s">
        <v>1703</v>
      </c>
      <c r="E10265" s="6" t="s">
        <v>63125</v>
      </c>
      <c r="F10265" s="6" t="s">
        <v>29</v>
      </c>
      <c r="G10265" s="6" t="s">
        <v>63226</v>
      </c>
      <c r="H10265" s="7">
        <v>2.0</v>
      </c>
      <c r="I10265" s="7">
        <v>89.0</v>
      </c>
      <c r="J10265" s="7">
        <v>6.0</v>
      </c>
      <c r="K10265" s="7">
        <v>75.0</v>
      </c>
      <c r="L10265" s="8" t="s">
        <v>31</v>
      </c>
      <c r="M10265" s="6" t="s">
        <v>63227</v>
      </c>
      <c r="N10265" s="6" t="s">
        <v>155</v>
      </c>
      <c r="O10265" s="8" t="s">
        <v>156</v>
      </c>
      <c r="P10265" s="6" t="s">
        <v>63228</v>
      </c>
      <c r="Q10265" s="6" t="s">
        <v>63229</v>
      </c>
      <c r="R10265" s="6" t="s">
        <v>64</v>
      </c>
      <c r="S10265" s="8" t="s">
        <v>63230</v>
      </c>
      <c r="T10265" s="6" t="s">
        <v>66</v>
      </c>
      <c r="U10265" s="8" t="s">
        <v>31</v>
      </c>
      <c r="V10265" s="6" t="s">
        <v>157</v>
      </c>
      <c r="W10265" s="6" t="s">
        <v>63231</v>
      </c>
      <c r="X10265" s="9" t="str">
        <f>HYPERLINK("https://my.pitchbook.com?p=39557-08P","View People Online")</f>
        <v>View People Online</v>
      </c>
    </row>
    <row r="10266">
      <c r="A10266" s="2" t="s">
        <v>63232</v>
      </c>
      <c r="B10266" s="2" t="s">
        <v>63233</v>
      </c>
      <c r="C10266" s="2" t="s">
        <v>18773</v>
      </c>
      <c r="D10266" s="2" t="s">
        <v>34837</v>
      </c>
      <c r="E10266" s="2" t="s">
        <v>63125</v>
      </c>
      <c r="F10266" s="2" t="s">
        <v>81</v>
      </c>
      <c r="G10266" s="2" t="s">
        <v>63234</v>
      </c>
      <c r="H10266" s="3" t="s">
        <v>31</v>
      </c>
      <c r="I10266" s="3">
        <v>7.0</v>
      </c>
      <c r="J10266" s="3">
        <v>2.0</v>
      </c>
      <c r="K10266" s="3">
        <v>3.0</v>
      </c>
      <c r="L10266" s="4" t="s">
        <v>31</v>
      </c>
      <c r="M10266" s="2" t="s">
        <v>63235</v>
      </c>
      <c r="N10266" s="2" t="s">
        <v>1608</v>
      </c>
      <c r="O10266" s="4" t="s">
        <v>1609</v>
      </c>
      <c r="P10266" s="2" t="s">
        <v>63236</v>
      </c>
      <c r="Q10266" s="2" t="s">
        <v>31</v>
      </c>
      <c r="R10266" s="2" t="s">
        <v>64</v>
      </c>
      <c r="S10266" s="4" t="s">
        <v>63237</v>
      </c>
      <c r="T10266" s="2" t="s">
        <v>66</v>
      </c>
      <c r="U10266" s="4" t="s">
        <v>31</v>
      </c>
      <c r="V10266" s="2" t="s">
        <v>558</v>
      </c>
      <c r="W10266" s="2" t="s">
        <v>63238</v>
      </c>
      <c r="X10266" s="5" t="str">
        <f>HYPERLINK("https://my.pitchbook.com?p=76816-63P","View People Online")</f>
        <v>View People Online</v>
      </c>
    </row>
    <row r="10267">
      <c r="A10267" s="6" t="s">
        <v>63239</v>
      </c>
      <c r="B10267" s="6" t="s">
        <v>63240</v>
      </c>
      <c r="C10267" s="6" t="s">
        <v>2221</v>
      </c>
      <c r="D10267" s="6" t="s">
        <v>63241</v>
      </c>
      <c r="E10267" s="6" t="s">
        <v>63125</v>
      </c>
      <c r="F10267" s="6" t="s">
        <v>548</v>
      </c>
      <c r="G10267" s="6" t="s">
        <v>63242</v>
      </c>
      <c r="H10267" s="7" t="s">
        <v>31</v>
      </c>
      <c r="I10267" s="7">
        <v>1.0</v>
      </c>
      <c r="J10267" s="7">
        <v>1.0</v>
      </c>
      <c r="K10267" s="7" t="s">
        <v>31</v>
      </c>
      <c r="L10267" s="8" t="s">
        <v>52452</v>
      </c>
      <c r="M10267" s="6" t="s">
        <v>63243</v>
      </c>
      <c r="N10267" s="6" t="s">
        <v>775</v>
      </c>
      <c r="O10267" s="8" t="s">
        <v>776</v>
      </c>
      <c r="P10267" s="6" t="s">
        <v>51258</v>
      </c>
      <c r="Q10267" s="6" t="s">
        <v>1280</v>
      </c>
      <c r="R10267" s="6" t="s">
        <v>64</v>
      </c>
      <c r="S10267" s="8" t="s">
        <v>779</v>
      </c>
      <c r="T10267" s="6" t="s">
        <v>66</v>
      </c>
      <c r="U10267" s="8" t="s">
        <v>31</v>
      </c>
      <c r="V10267" s="6" t="s">
        <v>63244</v>
      </c>
      <c r="W10267" s="6" t="s">
        <v>63125</v>
      </c>
      <c r="X10267" s="9" t="str">
        <f>HYPERLINK("https://my.pitchbook.com?p=213797-17P","View People Online")</f>
        <v>View People Online</v>
      </c>
    </row>
    <row r="10268">
      <c r="A10268" s="2" t="s">
        <v>63245</v>
      </c>
      <c r="B10268" s="2" t="s">
        <v>63246</v>
      </c>
      <c r="C10268" s="2" t="s">
        <v>18807</v>
      </c>
      <c r="D10268" s="2" t="s">
        <v>63247</v>
      </c>
      <c r="E10268" s="2" t="s">
        <v>63125</v>
      </c>
      <c r="F10268" s="2" t="s">
        <v>1801</v>
      </c>
      <c r="G10268" s="2" t="s">
        <v>63248</v>
      </c>
      <c r="H10268" s="3" t="s">
        <v>31</v>
      </c>
      <c r="I10268" s="3">
        <v>1.0</v>
      </c>
      <c r="J10268" s="3">
        <v>1.0</v>
      </c>
      <c r="K10268" s="3" t="s">
        <v>31</v>
      </c>
      <c r="L10268" s="4" t="s">
        <v>52452</v>
      </c>
      <c r="M10268" s="2" t="s">
        <v>63249</v>
      </c>
      <c r="N10268" s="2" t="s">
        <v>775</v>
      </c>
      <c r="O10268" s="4" t="s">
        <v>776</v>
      </c>
      <c r="P10268" s="2" t="s">
        <v>51258</v>
      </c>
      <c r="Q10268" s="2" t="s">
        <v>1280</v>
      </c>
      <c r="R10268" s="2" t="s">
        <v>64</v>
      </c>
      <c r="S10268" s="4" t="s">
        <v>779</v>
      </c>
      <c r="T10268" s="2" t="s">
        <v>66</v>
      </c>
      <c r="U10268" s="4" t="s">
        <v>31</v>
      </c>
      <c r="V10268" s="2" t="s">
        <v>63250</v>
      </c>
      <c r="W10268" s="2" t="s">
        <v>63125</v>
      </c>
      <c r="X10268" s="5" t="str">
        <f>HYPERLINK("https://my.pitchbook.com?p=210716-56P","View People Online")</f>
        <v>View People Online</v>
      </c>
    </row>
    <row r="10269">
      <c r="A10269" s="14" t="s">
        <v>63251</v>
      </c>
      <c r="B10269" s="14" t="s">
        <v>63252</v>
      </c>
      <c r="C10269" s="14" t="s">
        <v>18870</v>
      </c>
      <c r="D10269" s="14" t="s">
        <v>63253</v>
      </c>
      <c r="E10269" s="14" t="s">
        <v>63125</v>
      </c>
      <c r="F10269" s="14" t="s">
        <v>6567</v>
      </c>
      <c r="G10269" s="14" t="s">
        <v>63254</v>
      </c>
      <c r="H10269" s="15" t="s">
        <v>31</v>
      </c>
      <c r="I10269" s="15">
        <v>1.0</v>
      </c>
      <c r="J10269" s="15">
        <v>1.0</v>
      </c>
      <c r="K10269" s="15" t="s">
        <v>31</v>
      </c>
      <c r="L10269" s="16" t="s">
        <v>52452</v>
      </c>
      <c r="M10269" s="14" t="s">
        <v>63255</v>
      </c>
      <c r="N10269" s="14" t="s">
        <v>775</v>
      </c>
      <c r="O10269" s="16" t="s">
        <v>776</v>
      </c>
      <c r="P10269" s="14" t="s">
        <v>51258</v>
      </c>
      <c r="Q10269" s="14" t="s">
        <v>1280</v>
      </c>
      <c r="R10269" s="14" t="s">
        <v>64</v>
      </c>
      <c r="S10269" s="16" t="s">
        <v>779</v>
      </c>
      <c r="T10269" s="14" t="s">
        <v>66</v>
      </c>
      <c r="U10269" s="16" t="s">
        <v>31</v>
      </c>
      <c r="V10269" s="14" t="s">
        <v>6567</v>
      </c>
      <c r="W10269" s="14" t="s">
        <v>63125</v>
      </c>
      <c r="X10269" s="17" t="str">
        <f>HYPERLINK("https://my.pitchbook.com?p=160117-66P","View People Online")</f>
        <v>View People Online</v>
      </c>
    </row>
    <row r="10270">
      <c r="A10270" s="10" t="s">
        <v>63256</v>
      </c>
      <c r="B10270" s="10" t="s">
        <v>63257</v>
      </c>
      <c r="C10270" s="10" t="s">
        <v>63258</v>
      </c>
      <c r="D10270" s="10" t="s">
        <v>63259</v>
      </c>
      <c r="E10270" s="10" t="s">
        <v>63125</v>
      </c>
      <c r="F10270" s="10" t="s">
        <v>371</v>
      </c>
      <c r="G10270" s="10" t="s">
        <v>63260</v>
      </c>
      <c r="H10270" s="11" t="s">
        <v>31</v>
      </c>
      <c r="I10270" s="11">
        <v>1.0</v>
      </c>
      <c r="J10270" s="11">
        <v>1.0</v>
      </c>
      <c r="K10270" s="11" t="s">
        <v>31</v>
      </c>
      <c r="L10270" s="12" t="s">
        <v>52452</v>
      </c>
      <c r="M10270" s="10" t="s">
        <v>63261</v>
      </c>
      <c r="N10270" s="10" t="s">
        <v>775</v>
      </c>
      <c r="O10270" s="12" t="s">
        <v>776</v>
      </c>
      <c r="P10270" s="10" t="s">
        <v>51258</v>
      </c>
      <c r="Q10270" s="10" t="s">
        <v>1280</v>
      </c>
      <c r="R10270" s="10" t="s">
        <v>64</v>
      </c>
      <c r="S10270" s="12" t="s">
        <v>779</v>
      </c>
      <c r="T10270" s="10" t="s">
        <v>66</v>
      </c>
      <c r="U10270" s="12" t="s">
        <v>31</v>
      </c>
      <c r="V10270" s="10" t="s">
        <v>63262</v>
      </c>
      <c r="W10270" s="10" t="s">
        <v>63125</v>
      </c>
      <c r="X10270" s="13" t="str">
        <f>HYPERLINK("https://my.pitchbook.com?p=213795-46P","View People Online")</f>
        <v>View People Online</v>
      </c>
    </row>
    <row r="10271">
      <c r="A10271" s="14" t="s">
        <v>63263</v>
      </c>
      <c r="B10271" s="14" t="s">
        <v>63264</v>
      </c>
      <c r="C10271" s="14" t="s">
        <v>126</v>
      </c>
      <c r="D10271" s="14" t="s">
        <v>63265</v>
      </c>
      <c r="E10271" s="14" t="s">
        <v>63125</v>
      </c>
      <c r="F10271" s="14" t="s">
        <v>29</v>
      </c>
      <c r="G10271" s="14" t="s">
        <v>63266</v>
      </c>
      <c r="H10271" s="15" t="s">
        <v>31</v>
      </c>
      <c r="I10271" s="15">
        <v>10.0</v>
      </c>
      <c r="J10271" s="15">
        <v>1.0</v>
      </c>
      <c r="K10271" s="15">
        <v>8.0</v>
      </c>
      <c r="L10271" s="16" t="s">
        <v>52452</v>
      </c>
      <c r="M10271" s="14" t="s">
        <v>31</v>
      </c>
      <c r="N10271" s="14" t="s">
        <v>775</v>
      </c>
      <c r="O10271" s="16" t="s">
        <v>776</v>
      </c>
      <c r="P10271" s="14" t="s">
        <v>51258</v>
      </c>
      <c r="Q10271" s="14" t="s">
        <v>1280</v>
      </c>
      <c r="R10271" s="14" t="s">
        <v>64</v>
      </c>
      <c r="S10271" s="16" t="s">
        <v>779</v>
      </c>
      <c r="T10271" s="14" t="s">
        <v>66</v>
      </c>
      <c r="U10271" s="16" t="s">
        <v>31</v>
      </c>
      <c r="V10271" s="14" t="s">
        <v>270</v>
      </c>
      <c r="W10271" s="14" t="s">
        <v>63267</v>
      </c>
      <c r="X10271" s="17" t="str">
        <f>HYPERLINK("https://my.pitchbook.com?p=249533-11P","View People Online")</f>
        <v>View People Online</v>
      </c>
    </row>
    <row r="10272">
      <c r="A10272" s="2" t="s">
        <v>63268</v>
      </c>
      <c r="B10272" s="2" t="s">
        <v>63269</v>
      </c>
      <c r="C10272" s="2" t="s">
        <v>63270</v>
      </c>
      <c r="D10272" s="2" t="s">
        <v>63271</v>
      </c>
      <c r="E10272" s="2" t="s">
        <v>63125</v>
      </c>
      <c r="F10272" s="2" t="s">
        <v>221</v>
      </c>
      <c r="G10272" s="2" t="s">
        <v>63272</v>
      </c>
      <c r="H10272" s="3" t="s">
        <v>31</v>
      </c>
      <c r="I10272" s="3">
        <v>1.0</v>
      </c>
      <c r="J10272" s="3">
        <v>1.0</v>
      </c>
      <c r="K10272" s="3" t="s">
        <v>31</v>
      </c>
      <c r="L10272" s="4" t="s">
        <v>52452</v>
      </c>
      <c r="M10272" s="2" t="s">
        <v>63273</v>
      </c>
      <c r="N10272" s="2" t="s">
        <v>155</v>
      </c>
      <c r="O10272" s="4" t="s">
        <v>156</v>
      </c>
      <c r="P10272" s="2" t="s">
        <v>63128</v>
      </c>
      <c r="Q10272" s="2" t="s">
        <v>6654</v>
      </c>
      <c r="R10272" s="2" t="s">
        <v>64</v>
      </c>
      <c r="S10272" s="4" t="s">
        <v>7810</v>
      </c>
      <c r="T10272" s="2" t="s">
        <v>66</v>
      </c>
      <c r="U10272" s="4" t="s">
        <v>31</v>
      </c>
      <c r="V10272" s="2" t="s">
        <v>221</v>
      </c>
      <c r="W10272" s="2" t="s">
        <v>63125</v>
      </c>
      <c r="X10272" s="5" t="str">
        <f>HYPERLINK("https://my.pitchbook.com?p=429670-54P","View People Online")</f>
        <v>View People Online</v>
      </c>
    </row>
    <row r="10273">
      <c r="A10273" s="6" t="s">
        <v>63274</v>
      </c>
      <c r="B10273" s="6" t="s">
        <v>63275</v>
      </c>
      <c r="C10273" s="6" t="s">
        <v>20189</v>
      </c>
      <c r="D10273" s="6" t="s">
        <v>6461</v>
      </c>
      <c r="E10273" s="6" t="s">
        <v>63125</v>
      </c>
      <c r="F10273" s="6" t="s">
        <v>318</v>
      </c>
      <c r="G10273" s="6" t="s">
        <v>63276</v>
      </c>
      <c r="H10273" s="7">
        <v>3.0</v>
      </c>
      <c r="I10273" s="7">
        <v>11.0</v>
      </c>
      <c r="J10273" s="7">
        <v>1.0</v>
      </c>
      <c r="K10273" s="7">
        <v>4.0</v>
      </c>
      <c r="L10273" s="8" t="s">
        <v>52452</v>
      </c>
      <c r="M10273" s="6" t="s">
        <v>63277</v>
      </c>
      <c r="N10273" s="6" t="s">
        <v>155</v>
      </c>
      <c r="O10273" s="8" t="s">
        <v>156</v>
      </c>
      <c r="P10273" s="6" t="s">
        <v>63128</v>
      </c>
      <c r="Q10273" s="6" t="s">
        <v>6654</v>
      </c>
      <c r="R10273" s="6" t="s">
        <v>64</v>
      </c>
      <c r="S10273" s="8" t="s">
        <v>7810</v>
      </c>
      <c r="T10273" s="6" t="s">
        <v>66</v>
      </c>
      <c r="U10273" s="8" t="s">
        <v>31</v>
      </c>
      <c r="V10273" s="6" t="s">
        <v>318</v>
      </c>
      <c r="W10273" s="6" t="s">
        <v>63125</v>
      </c>
      <c r="X10273" s="9" t="str">
        <f>HYPERLINK("https://my.pitchbook.com?p=186080-23P","View People Online")</f>
        <v>View People Online</v>
      </c>
    </row>
    <row r="10274">
      <c r="A10274" s="2" t="s">
        <v>63278</v>
      </c>
      <c r="B10274" s="2" t="s">
        <v>63279</v>
      </c>
      <c r="C10274" s="2" t="s">
        <v>20212</v>
      </c>
      <c r="D10274" s="2" t="s">
        <v>63280</v>
      </c>
      <c r="E10274" s="2" t="s">
        <v>63125</v>
      </c>
      <c r="F10274" s="2" t="s">
        <v>1086</v>
      </c>
      <c r="G10274" s="2" t="s">
        <v>63281</v>
      </c>
      <c r="H10274" s="3" t="s">
        <v>31</v>
      </c>
      <c r="I10274" s="3">
        <v>1.0</v>
      </c>
      <c r="J10274" s="3">
        <v>1.0</v>
      </c>
      <c r="K10274" s="3" t="s">
        <v>31</v>
      </c>
      <c r="L10274" s="4" t="s">
        <v>52452</v>
      </c>
      <c r="M10274" s="2" t="s">
        <v>63282</v>
      </c>
      <c r="N10274" s="2" t="s">
        <v>775</v>
      </c>
      <c r="O10274" s="4" t="s">
        <v>776</v>
      </c>
      <c r="P10274" s="2" t="s">
        <v>51258</v>
      </c>
      <c r="Q10274" s="2" t="s">
        <v>1280</v>
      </c>
      <c r="R10274" s="2" t="s">
        <v>64</v>
      </c>
      <c r="S10274" s="4" t="s">
        <v>779</v>
      </c>
      <c r="T10274" s="2" t="s">
        <v>66</v>
      </c>
      <c r="U10274" s="4" t="s">
        <v>31</v>
      </c>
      <c r="V10274" s="2" t="s">
        <v>12351</v>
      </c>
      <c r="W10274" s="2" t="s">
        <v>63125</v>
      </c>
      <c r="X10274" s="5" t="str">
        <f>HYPERLINK("https://my.pitchbook.com?p=90986-77P","View People Online")</f>
        <v>View People Online</v>
      </c>
    </row>
    <row r="10275">
      <c r="A10275" s="6" t="s">
        <v>63283</v>
      </c>
      <c r="B10275" s="6" t="s">
        <v>63284</v>
      </c>
      <c r="C10275" s="6" t="s">
        <v>63285</v>
      </c>
      <c r="D10275" s="6" t="s">
        <v>6510</v>
      </c>
      <c r="E10275" s="6" t="s">
        <v>63125</v>
      </c>
      <c r="F10275" s="6" t="s">
        <v>29</v>
      </c>
      <c r="G10275" s="6" t="s">
        <v>63286</v>
      </c>
      <c r="H10275" s="7">
        <v>2.0</v>
      </c>
      <c r="I10275" s="7">
        <v>29.0</v>
      </c>
      <c r="J10275" s="7">
        <v>1.0</v>
      </c>
      <c r="K10275" s="7">
        <v>21.0</v>
      </c>
      <c r="L10275" s="8" t="s">
        <v>63287</v>
      </c>
      <c r="M10275" s="6" t="s">
        <v>31</v>
      </c>
      <c r="N10275" s="6" t="s">
        <v>155</v>
      </c>
      <c r="O10275" s="8" t="s">
        <v>156</v>
      </c>
      <c r="P10275" s="6" t="s">
        <v>63288</v>
      </c>
      <c r="Q10275" s="6" t="s">
        <v>33967</v>
      </c>
      <c r="R10275" s="6" t="s">
        <v>64</v>
      </c>
      <c r="S10275" s="8" t="s">
        <v>2463</v>
      </c>
      <c r="T10275" s="6" t="s">
        <v>66</v>
      </c>
      <c r="U10275" s="8" t="s">
        <v>31</v>
      </c>
      <c r="V10275" s="6" t="s">
        <v>2379</v>
      </c>
      <c r="W10275" s="6" t="s">
        <v>63289</v>
      </c>
      <c r="X10275" s="9" t="str">
        <f>HYPERLINK("https://my.pitchbook.com?p=38021-23P","View People Online")</f>
        <v>View People Online</v>
      </c>
    </row>
    <row r="10276">
      <c r="A10276" s="2" t="s">
        <v>63290</v>
      </c>
      <c r="B10276" s="2" t="s">
        <v>63291</v>
      </c>
      <c r="C10276" s="2" t="s">
        <v>3274</v>
      </c>
      <c r="D10276" s="2" t="s">
        <v>5772</v>
      </c>
      <c r="E10276" s="2" t="s">
        <v>63125</v>
      </c>
      <c r="F10276" s="2" t="s">
        <v>189</v>
      </c>
      <c r="G10276" s="2" t="s">
        <v>63292</v>
      </c>
      <c r="H10276" s="3">
        <v>7.0</v>
      </c>
      <c r="I10276" s="3">
        <v>92.0</v>
      </c>
      <c r="J10276" s="3">
        <v>1.0</v>
      </c>
      <c r="K10276" s="3">
        <v>69.0</v>
      </c>
      <c r="L10276" s="4" t="s">
        <v>52452</v>
      </c>
      <c r="M10276" s="2" t="s">
        <v>63293</v>
      </c>
      <c r="N10276" s="2" t="s">
        <v>155</v>
      </c>
      <c r="O10276" s="4" t="s">
        <v>156</v>
      </c>
      <c r="P10276" s="2" t="s">
        <v>63128</v>
      </c>
      <c r="Q10276" s="2" t="s">
        <v>6654</v>
      </c>
      <c r="R10276" s="2" t="s">
        <v>64</v>
      </c>
      <c r="S10276" s="4" t="s">
        <v>7810</v>
      </c>
      <c r="T10276" s="2" t="s">
        <v>66</v>
      </c>
      <c r="U10276" s="4" t="s">
        <v>31</v>
      </c>
      <c r="V10276" s="2" t="s">
        <v>196</v>
      </c>
      <c r="W10276" s="2" t="s">
        <v>63125</v>
      </c>
      <c r="X10276" s="5" t="str">
        <f>HYPERLINK("https://my.pitchbook.com?p=14104-81P","View People Online")</f>
        <v>View People Online</v>
      </c>
    </row>
    <row r="10277">
      <c r="A10277" s="6" t="s">
        <v>63294</v>
      </c>
      <c r="B10277" s="6" t="s">
        <v>63295</v>
      </c>
      <c r="C10277" s="6" t="s">
        <v>27896</v>
      </c>
      <c r="D10277" s="6" t="s">
        <v>5574</v>
      </c>
      <c r="E10277" s="6" t="s">
        <v>63125</v>
      </c>
      <c r="F10277" s="6" t="s">
        <v>371</v>
      </c>
      <c r="G10277" s="6" t="s">
        <v>63296</v>
      </c>
      <c r="H10277" s="7">
        <v>1.0</v>
      </c>
      <c r="I10277" s="7">
        <v>11.0</v>
      </c>
      <c r="J10277" s="7">
        <v>1.0</v>
      </c>
      <c r="K10277" s="7">
        <v>6.0</v>
      </c>
      <c r="L10277" s="8" t="s">
        <v>52452</v>
      </c>
      <c r="M10277" s="6" t="s">
        <v>63297</v>
      </c>
      <c r="N10277" s="6" t="s">
        <v>775</v>
      </c>
      <c r="O10277" s="8" t="s">
        <v>776</v>
      </c>
      <c r="P10277" s="6" t="s">
        <v>51258</v>
      </c>
      <c r="Q10277" s="6" t="s">
        <v>1280</v>
      </c>
      <c r="R10277" s="6" t="s">
        <v>64</v>
      </c>
      <c r="S10277" s="8" t="s">
        <v>779</v>
      </c>
      <c r="T10277" s="6" t="s">
        <v>66</v>
      </c>
      <c r="U10277" s="8" t="s">
        <v>31</v>
      </c>
      <c r="V10277" s="6" t="s">
        <v>371</v>
      </c>
      <c r="W10277" s="6" t="s">
        <v>63125</v>
      </c>
      <c r="X10277" s="9" t="str">
        <f>HYPERLINK("https://my.pitchbook.com?p=150766-21P","View People Online")</f>
        <v>View People Online</v>
      </c>
    </row>
    <row r="10278">
      <c r="A10278" s="10" t="s">
        <v>63298</v>
      </c>
      <c r="B10278" s="10" t="s">
        <v>63299</v>
      </c>
      <c r="C10278" s="10" t="s">
        <v>12170</v>
      </c>
      <c r="D10278" s="10" t="s">
        <v>4799</v>
      </c>
      <c r="E10278" s="10" t="s">
        <v>63125</v>
      </c>
      <c r="F10278" s="10" t="s">
        <v>29</v>
      </c>
      <c r="G10278" s="10" t="s">
        <v>63300</v>
      </c>
      <c r="H10278" s="11">
        <v>12.0</v>
      </c>
      <c r="I10278" s="11">
        <v>124.0</v>
      </c>
      <c r="J10278" s="11">
        <v>1.0</v>
      </c>
      <c r="K10278" s="11">
        <v>99.0</v>
      </c>
      <c r="L10278" s="12" t="s">
        <v>63301</v>
      </c>
      <c r="M10278" s="10" t="s">
        <v>63302</v>
      </c>
      <c r="N10278" s="10" t="s">
        <v>775</v>
      </c>
      <c r="O10278" s="12" t="s">
        <v>776</v>
      </c>
      <c r="P10278" s="10" t="s">
        <v>51258</v>
      </c>
      <c r="Q10278" s="10" t="s">
        <v>1280</v>
      </c>
      <c r="R10278" s="10" t="s">
        <v>64</v>
      </c>
      <c r="S10278" s="12" t="s">
        <v>779</v>
      </c>
      <c r="T10278" s="10" t="s">
        <v>66</v>
      </c>
      <c r="U10278" s="12" t="s">
        <v>31</v>
      </c>
      <c r="V10278" s="10" t="s">
        <v>29</v>
      </c>
      <c r="W10278" s="10" t="s">
        <v>63125</v>
      </c>
      <c r="X10278" s="13" t="str">
        <f>HYPERLINK("https://my.pitchbook.com?p=35614-63P","View People Online")</f>
        <v>View People Online</v>
      </c>
    </row>
    <row r="10279">
      <c r="A10279" s="14" t="s">
        <v>63303</v>
      </c>
      <c r="B10279" s="14" t="s">
        <v>63304</v>
      </c>
      <c r="C10279" s="14" t="s">
        <v>21304</v>
      </c>
      <c r="D10279" s="14" t="s">
        <v>6461</v>
      </c>
      <c r="E10279" s="14" t="s">
        <v>63125</v>
      </c>
      <c r="F10279" s="14" t="s">
        <v>29</v>
      </c>
      <c r="G10279" s="14" t="s">
        <v>63305</v>
      </c>
      <c r="H10279" s="15">
        <v>11.0</v>
      </c>
      <c r="I10279" s="15">
        <v>56.0</v>
      </c>
      <c r="J10279" s="15">
        <v>1.0</v>
      </c>
      <c r="K10279" s="15">
        <v>35.0</v>
      </c>
      <c r="L10279" s="16" t="s">
        <v>52452</v>
      </c>
      <c r="M10279" s="14" t="s">
        <v>63306</v>
      </c>
      <c r="N10279" s="14" t="s">
        <v>155</v>
      </c>
      <c r="O10279" s="16" t="s">
        <v>156</v>
      </c>
      <c r="P10279" s="14" t="s">
        <v>63128</v>
      </c>
      <c r="Q10279" s="14" t="s">
        <v>6654</v>
      </c>
      <c r="R10279" s="14" t="s">
        <v>64</v>
      </c>
      <c r="S10279" s="16" t="s">
        <v>7810</v>
      </c>
      <c r="T10279" s="14" t="s">
        <v>66</v>
      </c>
      <c r="U10279" s="16" t="s">
        <v>31</v>
      </c>
      <c r="V10279" s="14" t="s">
        <v>29</v>
      </c>
      <c r="W10279" s="14" t="s">
        <v>63125</v>
      </c>
      <c r="X10279" s="17" t="str">
        <f>HYPERLINK("https://my.pitchbook.com?p=13660-66P","View People Online")</f>
        <v>View People Online</v>
      </c>
    </row>
    <row r="10280">
      <c r="A10280" s="2" t="s">
        <v>63307</v>
      </c>
      <c r="B10280" s="2" t="s">
        <v>63308</v>
      </c>
      <c r="C10280" s="2" t="s">
        <v>63309</v>
      </c>
      <c r="D10280" s="2" t="s">
        <v>63310</v>
      </c>
      <c r="E10280" s="2" t="s">
        <v>63125</v>
      </c>
      <c r="F10280" s="2" t="s">
        <v>221</v>
      </c>
      <c r="G10280" s="2" t="s">
        <v>63311</v>
      </c>
      <c r="H10280" s="3" t="s">
        <v>31</v>
      </c>
      <c r="I10280" s="3">
        <v>1.0</v>
      </c>
      <c r="J10280" s="3">
        <v>1.0</v>
      </c>
      <c r="K10280" s="3" t="s">
        <v>31</v>
      </c>
      <c r="L10280" s="4" t="s">
        <v>52452</v>
      </c>
      <c r="M10280" s="2" t="s">
        <v>63312</v>
      </c>
      <c r="N10280" s="2" t="s">
        <v>155</v>
      </c>
      <c r="O10280" s="4" t="s">
        <v>156</v>
      </c>
      <c r="P10280" s="2" t="s">
        <v>63128</v>
      </c>
      <c r="Q10280" s="2" t="s">
        <v>6654</v>
      </c>
      <c r="R10280" s="2" t="s">
        <v>64</v>
      </c>
      <c r="S10280" s="4" t="s">
        <v>7810</v>
      </c>
      <c r="T10280" s="2" t="s">
        <v>66</v>
      </c>
      <c r="U10280" s="4" t="s">
        <v>31</v>
      </c>
      <c r="V10280" s="2" t="s">
        <v>221</v>
      </c>
      <c r="W10280" s="2" t="s">
        <v>63125</v>
      </c>
      <c r="X10280" s="5" t="str">
        <f>HYPERLINK("https://my.pitchbook.com?p=429669-55P","View People Online")</f>
        <v>View People Online</v>
      </c>
    </row>
    <row r="10281">
      <c r="A10281" s="14" t="s">
        <v>63313</v>
      </c>
      <c r="B10281" s="14" t="s">
        <v>63314</v>
      </c>
      <c r="C10281" s="14" t="s">
        <v>4673</v>
      </c>
      <c r="D10281" s="14" t="s">
        <v>63315</v>
      </c>
      <c r="E10281" s="14" t="s">
        <v>63125</v>
      </c>
      <c r="F10281" s="14" t="s">
        <v>1624</v>
      </c>
      <c r="G10281" s="14" t="s">
        <v>63316</v>
      </c>
      <c r="H10281" s="15" t="s">
        <v>31</v>
      </c>
      <c r="I10281" s="15">
        <v>1.0</v>
      </c>
      <c r="J10281" s="15">
        <v>1.0</v>
      </c>
      <c r="K10281" s="15" t="s">
        <v>31</v>
      </c>
      <c r="L10281" s="16" t="s">
        <v>52452</v>
      </c>
      <c r="M10281" s="14" t="s">
        <v>63317</v>
      </c>
      <c r="N10281" s="14" t="s">
        <v>775</v>
      </c>
      <c r="O10281" s="16" t="s">
        <v>776</v>
      </c>
      <c r="P10281" s="14" t="s">
        <v>51258</v>
      </c>
      <c r="Q10281" s="14" t="s">
        <v>1280</v>
      </c>
      <c r="R10281" s="14" t="s">
        <v>64</v>
      </c>
      <c r="S10281" s="16" t="s">
        <v>779</v>
      </c>
      <c r="T10281" s="14" t="s">
        <v>66</v>
      </c>
      <c r="U10281" s="16" t="s">
        <v>31</v>
      </c>
      <c r="V10281" s="14" t="s">
        <v>63318</v>
      </c>
      <c r="W10281" s="14" t="s">
        <v>63125</v>
      </c>
      <c r="X10281" s="17" t="str">
        <f>HYPERLINK("https://my.pitchbook.com?p=160118-83P","View People Online")</f>
        <v>View People Online</v>
      </c>
    </row>
    <row r="10282">
      <c r="A10282" s="2" t="s">
        <v>63319</v>
      </c>
      <c r="B10282" s="2" t="s">
        <v>63320</v>
      </c>
      <c r="C10282" s="2" t="s">
        <v>35251</v>
      </c>
      <c r="D10282" s="2" t="s">
        <v>6447</v>
      </c>
      <c r="E10282" s="2" t="s">
        <v>63125</v>
      </c>
      <c r="F10282" s="2" t="s">
        <v>29</v>
      </c>
      <c r="G10282" s="2" t="s">
        <v>63321</v>
      </c>
      <c r="H10282" s="3">
        <v>5.0</v>
      </c>
      <c r="I10282" s="3">
        <v>49.0</v>
      </c>
      <c r="J10282" s="3">
        <v>3.0</v>
      </c>
      <c r="K10282" s="3">
        <v>30.0</v>
      </c>
      <c r="L10282" s="4" t="s">
        <v>52452</v>
      </c>
      <c r="M10282" s="2" t="s">
        <v>63322</v>
      </c>
      <c r="N10282" s="2" t="s">
        <v>155</v>
      </c>
      <c r="O10282" s="4" t="s">
        <v>156</v>
      </c>
      <c r="P10282" s="2" t="s">
        <v>63128</v>
      </c>
      <c r="Q10282" s="2" t="s">
        <v>6654</v>
      </c>
      <c r="R10282" s="2" t="s">
        <v>64</v>
      </c>
      <c r="S10282" s="4" t="s">
        <v>7810</v>
      </c>
      <c r="T10282" s="2" t="s">
        <v>66</v>
      </c>
      <c r="U10282" s="4" t="s">
        <v>31</v>
      </c>
      <c r="V10282" s="2" t="s">
        <v>29</v>
      </c>
      <c r="W10282" s="2" t="s">
        <v>63125</v>
      </c>
      <c r="X10282" s="5" t="str">
        <f>HYPERLINK("https://my.pitchbook.com?p=14104-54P","View People Online")</f>
        <v>View People Online</v>
      </c>
    </row>
    <row r="10283">
      <c r="A10283" s="6" t="s">
        <v>63323</v>
      </c>
      <c r="B10283" s="6" t="s">
        <v>63324</v>
      </c>
      <c r="C10283" s="6" t="s">
        <v>9972</v>
      </c>
      <c r="D10283" s="6" t="s">
        <v>63325</v>
      </c>
      <c r="E10283" s="6" t="s">
        <v>63125</v>
      </c>
      <c r="F10283" s="6" t="s">
        <v>502</v>
      </c>
      <c r="G10283" s="6" t="s">
        <v>63326</v>
      </c>
      <c r="H10283" s="7" t="s">
        <v>31</v>
      </c>
      <c r="I10283" s="7">
        <v>1.0</v>
      </c>
      <c r="J10283" s="7">
        <v>1.0</v>
      </c>
      <c r="K10283" s="7" t="s">
        <v>31</v>
      </c>
      <c r="L10283" s="8" t="s">
        <v>52452</v>
      </c>
      <c r="M10283" s="6" t="s">
        <v>63327</v>
      </c>
      <c r="N10283" s="6" t="s">
        <v>155</v>
      </c>
      <c r="O10283" s="8" t="s">
        <v>156</v>
      </c>
      <c r="P10283" s="6" t="s">
        <v>63128</v>
      </c>
      <c r="Q10283" s="6" t="s">
        <v>6654</v>
      </c>
      <c r="R10283" s="6" t="s">
        <v>64</v>
      </c>
      <c r="S10283" s="8" t="s">
        <v>7810</v>
      </c>
      <c r="T10283" s="6" t="s">
        <v>66</v>
      </c>
      <c r="U10283" s="8" t="s">
        <v>31</v>
      </c>
      <c r="V10283" s="6" t="s">
        <v>502</v>
      </c>
      <c r="W10283" s="6" t="s">
        <v>63125</v>
      </c>
      <c r="X10283" s="9" t="str">
        <f>HYPERLINK("https://my.pitchbook.com?p=41054-05P","View People Online")</f>
        <v>View People Online</v>
      </c>
    </row>
    <row r="10284">
      <c r="A10284" s="10" t="s">
        <v>63328</v>
      </c>
      <c r="B10284" s="10" t="s">
        <v>63329</v>
      </c>
      <c r="C10284" s="10" t="s">
        <v>13523</v>
      </c>
      <c r="D10284" s="10" t="s">
        <v>63330</v>
      </c>
      <c r="E10284" s="10" t="s">
        <v>63331</v>
      </c>
      <c r="F10284" s="10" t="s">
        <v>5206</v>
      </c>
      <c r="G10284" s="10" t="s">
        <v>63332</v>
      </c>
      <c r="H10284" s="11" t="s">
        <v>31</v>
      </c>
      <c r="I10284" s="11">
        <v>1.0</v>
      </c>
      <c r="J10284" s="11">
        <v>1.0</v>
      </c>
      <c r="K10284" s="11" t="s">
        <v>31</v>
      </c>
      <c r="L10284" s="12" t="s">
        <v>63333</v>
      </c>
      <c r="M10284" s="10" t="s">
        <v>63334</v>
      </c>
      <c r="N10284" s="10" t="s">
        <v>63335</v>
      </c>
      <c r="O10284" s="12" t="s">
        <v>63336</v>
      </c>
      <c r="P10284" s="10" t="s">
        <v>63337</v>
      </c>
      <c r="Q10284" s="10" t="s">
        <v>31</v>
      </c>
      <c r="R10284" s="10" t="s">
        <v>1185</v>
      </c>
      <c r="S10284" s="12" t="s">
        <v>63338</v>
      </c>
      <c r="T10284" s="10" t="s">
        <v>66</v>
      </c>
      <c r="U10284" s="12" t="s">
        <v>63339</v>
      </c>
      <c r="V10284" s="10" t="s">
        <v>63340</v>
      </c>
      <c r="W10284" s="10" t="s">
        <v>63331</v>
      </c>
      <c r="X10284" s="13" t="str">
        <f>HYPERLINK("https://my.pitchbook.com?p=96120-82P","View People Online")</f>
        <v>View People Online</v>
      </c>
    </row>
    <row r="10285">
      <c r="A10285" s="6" t="s">
        <v>63341</v>
      </c>
      <c r="B10285" s="6" t="s">
        <v>63342</v>
      </c>
      <c r="C10285" s="6" t="s">
        <v>33508</v>
      </c>
      <c r="D10285" s="6" t="s">
        <v>63343</v>
      </c>
      <c r="E10285" s="6" t="s">
        <v>63331</v>
      </c>
      <c r="F10285" s="6" t="s">
        <v>270</v>
      </c>
      <c r="G10285" s="6" t="s">
        <v>63344</v>
      </c>
      <c r="H10285" s="7" t="s">
        <v>31</v>
      </c>
      <c r="I10285" s="7">
        <v>1.0</v>
      </c>
      <c r="J10285" s="7">
        <v>1.0</v>
      </c>
      <c r="K10285" s="7" t="s">
        <v>31</v>
      </c>
      <c r="L10285" s="8" t="s">
        <v>63345</v>
      </c>
      <c r="M10285" s="6" t="s">
        <v>63346</v>
      </c>
      <c r="N10285" s="6" t="s">
        <v>63335</v>
      </c>
      <c r="O10285" s="8" t="s">
        <v>63336</v>
      </c>
      <c r="P10285" s="6" t="s">
        <v>63337</v>
      </c>
      <c r="Q10285" s="6" t="s">
        <v>31</v>
      </c>
      <c r="R10285" s="6" t="s">
        <v>1185</v>
      </c>
      <c r="S10285" s="8" t="s">
        <v>63338</v>
      </c>
      <c r="T10285" s="6" t="s">
        <v>66</v>
      </c>
      <c r="U10285" s="8" t="s">
        <v>63339</v>
      </c>
      <c r="V10285" s="6" t="s">
        <v>63347</v>
      </c>
      <c r="W10285" s="6" t="s">
        <v>63331</v>
      </c>
      <c r="X10285" s="9" t="str">
        <f>HYPERLINK("https://my.pitchbook.com?p=340036-12P","View People Online")</f>
        <v>View People Online</v>
      </c>
    </row>
    <row r="10286">
      <c r="A10286" s="10" t="s">
        <v>63348</v>
      </c>
      <c r="B10286" s="10" t="s">
        <v>63349</v>
      </c>
      <c r="C10286" s="10" t="s">
        <v>10383</v>
      </c>
      <c r="D10286" s="10" t="s">
        <v>53473</v>
      </c>
      <c r="E10286" s="10" t="s">
        <v>63331</v>
      </c>
      <c r="F10286" s="10" t="s">
        <v>270</v>
      </c>
      <c r="G10286" s="10" t="s">
        <v>63350</v>
      </c>
      <c r="H10286" s="11" t="s">
        <v>31</v>
      </c>
      <c r="I10286" s="11">
        <v>1.0</v>
      </c>
      <c r="J10286" s="11">
        <v>1.0</v>
      </c>
      <c r="K10286" s="11" t="s">
        <v>31</v>
      </c>
      <c r="L10286" s="12" t="s">
        <v>63351</v>
      </c>
      <c r="M10286" s="10" t="s">
        <v>63352</v>
      </c>
      <c r="N10286" s="10" t="s">
        <v>63335</v>
      </c>
      <c r="O10286" s="12" t="s">
        <v>63336</v>
      </c>
      <c r="P10286" s="10" t="s">
        <v>63337</v>
      </c>
      <c r="Q10286" s="10" t="s">
        <v>31</v>
      </c>
      <c r="R10286" s="10" t="s">
        <v>1185</v>
      </c>
      <c r="S10286" s="12" t="s">
        <v>63338</v>
      </c>
      <c r="T10286" s="10" t="s">
        <v>66</v>
      </c>
      <c r="U10286" s="12" t="s">
        <v>63339</v>
      </c>
      <c r="V10286" s="10" t="s">
        <v>63353</v>
      </c>
      <c r="W10286" s="10" t="s">
        <v>63331</v>
      </c>
      <c r="X10286" s="13" t="str">
        <f>HYPERLINK("https://my.pitchbook.com?p=306518-59P","View People Online")</f>
        <v>View People Online</v>
      </c>
    </row>
    <row r="10287">
      <c r="A10287" s="14" t="s">
        <v>63354</v>
      </c>
      <c r="B10287" s="14" t="s">
        <v>63355</v>
      </c>
      <c r="C10287" s="14" t="s">
        <v>1103</v>
      </c>
      <c r="D10287" s="14" t="s">
        <v>63356</v>
      </c>
      <c r="E10287" s="14" t="s">
        <v>63331</v>
      </c>
      <c r="F10287" s="14" t="s">
        <v>270</v>
      </c>
      <c r="G10287" s="14" t="s">
        <v>63357</v>
      </c>
      <c r="H10287" s="15" t="s">
        <v>31</v>
      </c>
      <c r="I10287" s="15">
        <v>1.0</v>
      </c>
      <c r="J10287" s="15">
        <v>1.0</v>
      </c>
      <c r="K10287" s="15" t="s">
        <v>31</v>
      </c>
      <c r="L10287" s="16" t="s">
        <v>63351</v>
      </c>
      <c r="M10287" s="14" t="s">
        <v>63358</v>
      </c>
      <c r="N10287" s="14" t="s">
        <v>63335</v>
      </c>
      <c r="O10287" s="16" t="s">
        <v>63336</v>
      </c>
      <c r="P10287" s="14" t="s">
        <v>63337</v>
      </c>
      <c r="Q10287" s="14" t="s">
        <v>31</v>
      </c>
      <c r="R10287" s="14" t="s">
        <v>1185</v>
      </c>
      <c r="S10287" s="16" t="s">
        <v>63338</v>
      </c>
      <c r="T10287" s="14" t="s">
        <v>66</v>
      </c>
      <c r="U10287" s="16" t="s">
        <v>63339</v>
      </c>
      <c r="V10287" s="14" t="s">
        <v>63359</v>
      </c>
      <c r="W10287" s="14" t="s">
        <v>63331</v>
      </c>
      <c r="X10287" s="17" t="str">
        <f>HYPERLINK("https://my.pitchbook.com?p=101291-23P","View People Online")</f>
        <v>View People Online</v>
      </c>
    </row>
    <row r="10288">
      <c r="A10288" s="10" t="s">
        <v>63360</v>
      </c>
      <c r="B10288" s="10" t="s">
        <v>63361</v>
      </c>
      <c r="C10288" s="10" t="s">
        <v>27913</v>
      </c>
      <c r="D10288" s="10" t="s">
        <v>11159</v>
      </c>
      <c r="E10288" s="10" t="s">
        <v>63331</v>
      </c>
      <c r="F10288" s="10" t="s">
        <v>371</v>
      </c>
      <c r="G10288" s="10" t="s">
        <v>63362</v>
      </c>
      <c r="H10288" s="11" t="s">
        <v>31</v>
      </c>
      <c r="I10288" s="11">
        <v>1.0</v>
      </c>
      <c r="J10288" s="11">
        <v>1.0</v>
      </c>
      <c r="K10288" s="11" t="s">
        <v>31</v>
      </c>
      <c r="L10288" s="12" t="s">
        <v>63351</v>
      </c>
      <c r="M10288" s="10" t="s">
        <v>63363</v>
      </c>
      <c r="N10288" s="10" t="s">
        <v>63335</v>
      </c>
      <c r="O10288" s="12" t="s">
        <v>63336</v>
      </c>
      <c r="P10288" s="10" t="s">
        <v>63337</v>
      </c>
      <c r="Q10288" s="10" t="s">
        <v>31</v>
      </c>
      <c r="R10288" s="10" t="s">
        <v>1185</v>
      </c>
      <c r="S10288" s="12" t="s">
        <v>63338</v>
      </c>
      <c r="T10288" s="10" t="s">
        <v>66</v>
      </c>
      <c r="U10288" s="12" t="s">
        <v>63339</v>
      </c>
      <c r="V10288" s="10" t="s">
        <v>63364</v>
      </c>
      <c r="W10288" s="10" t="s">
        <v>63331</v>
      </c>
      <c r="X10288" s="13" t="str">
        <f>HYPERLINK("https://my.pitchbook.com?p=203826-07P","View People Online")</f>
        <v>View People Online</v>
      </c>
    </row>
    <row r="10289">
      <c r="A10289" s="6" t="s">
        <v>63365</v>
      </c>
      <c r="B10289" s="6" t="s">
        <v>63366</v>
      </c>
      <c r="C10289" s="6" t="s">
        <v>28334</v>
      </c>
      <c r="D10289" s="6" t="s">
        <v>63367</v>
      </c>
      <c r="E10289" s="6" t="s">
        <v>63331</v>
      </c>
      <c r="F10289" s="6" t="s">
        <v>270</v>
      </c>
      <c r="G10289" s="6" t="s">
        <v>63368</v>
      </c>
      <c r="H10289" s="7" t="s">
        <v>31</v>
      </c>
      <c r="I10289" s="7">
        <v>1.0</v>
      </c>
      <c r="J10289" s="7">
        <v>1.0</v>
      </c>
      <c r="K10289" s="7" t="s">
        <v>31</v>
      </c>
      <c r="L10289" s="8" t="s">
        <v>63369</v>
      </c>
      <c r="M10289" s="6" t="s">
        <v>63370</v>
      </c>
      <c r="N10289" s="6" t="s">
        <v>63335</v>
      </c>
      <c r="O10289" s="8" t="s">
        <v>63336</v>
      </c>
      <c r="P10289" s="6" t="s">
        <v>63337</v>
      </c>
      <c r="Q10289" s="6" t="s">
        <v>31</v>
      </c>
      <c r="R10289" s="6" t="s">
        <v>1185</v>
      </c>
      <c r="S10289" s="8" t="s">
        <v>63338</v>
      </c>
      <c r="T10289" s="6" t="s">
        <v>66</v>
      </c>
      <c r="U10289" s="8" t="s">
        <v>63339</v>
      </c>
      <c r="V10289" s="6" t="s">
        <v>63371</v>
      </c>
      <c r="W10289" s="6" t="s">
        <v>63331</v>
      </c>
      <c r="X10289" s="9" t="str">
        <f>HYPERLINK("https://my.pitchbook.com?p=306518-23P","View People Online")</f>
        <v>View People Online</v>
      </c>
    </row>
    <row r="10290">
      <c r="A10290" s="10" t="s">
        <v>63372</v>
      </c>
      <c r="B10290" s="10" t="s">
        <v>63373</v>
      </c>
      <c r="C10290" s="10" t="s">
        <v>1982</v>
      </c>
      <c r="D10290" s="10" t="s">
        <v>3275</v>
      </c>
      <c r="E10290" s="10" t="s">
        <v>63331</v>
      </c>
      <c r="F10290" s="10" t="s">
        <v>3823</v>
      </c>
      <c r="G10290" s="10" t="s">
        <v>63374</v>
      </c>
      <c r="H10290" s="11" t="s">
        <v>31</v>
      </c>
      <c r="I10290" s="11">
        <v>1.0</v>
      </c>
      <c r="J10290" s="11">
        <v>1.0</v>
      </c>
      <c r="K10290" s="11" t="s">
        <v>31</v>
      </c>
      <c r="L10290" s="12" t="s">
        <v>63351</v>
      </c>
      <c r="M10290" s="10" t="s">
        <v>63375</v>
      </c>
      <c r="N10290" s="10" t="s">
        <v>63335</v>
      </c>
      <c r="O10290" s="12" t="s">
        <v>63336</v>
      </c>
      <c r="P10290" s="10" t="s">
        <v>63337</v>
      </c>
      <c r="Q10290" s="10" t="s">
        <v>31</v>
      </c>
      <c r="R10290" s="10" t="s">
        <v>1185</v>
      </c>
      <c r="S10290" s="12" t="s">
        <v>63338</v>
      </c>
      <c r="T10290" s="10" t="s">
        <v>66</v>
      </c>
      <c r="U10290" s="12" t="s">
        <v>63339</v>
      </c>
      <c r="V10290" s="10" t="s">
        <v>3823</v>
      </c>
      <c r="W10290" s="10" t="s">
        <v>63331</v>
      </c>
      <c r="X10290" s="13" t="str">
        <f>HYPERLINK("https://my.pitchbook.com?p=261381-79P","View People Online")</f>
        <v>View People Online</v>
      </c>
    </row>
    <row r="10291">
      <c r="A10291" s="14" t="s">
        <v>63376</v>
      </c>
      <c r="B10291" s="14" t="s">
        <v>63377</v>
      </c>
      <c r="C10291" s="14" t="s">
        <v>1449</v>
      </c>
      <c r="D10291" s="14" t="s">
        <v>29382</v>
      </c>
      <c r="E10291" s="14" t="s">
        <v>63331</v>
      </c>
      <c r="F10291" s="14" t="s">
        <v>548</v>
      </c>
      <c r="G10291" s="14" t="s">
        <v>63378</v>
      </c>
      <c r="H10291" s="15" t="s">
        <v>31</v>
      </c>
      <c r="I10291" s="15">
        <v>1.0</v>
      </c>
      <c r="J10291" s="15">
        <v>1.0</v>
      </c>
      <c r="K10291" s="15" t="s">
        <v>31</v>
      </c>
      <c r="L10291" s="16" t="s">
        <v>63351</v>
      </c>
      <c r="M10291" s="14" t="s">
        <v>63379</v>
      </c>
      <c r="N10291" s="14" t="s">
        <v>63335</v>
      </c>
      <c r="O10291" s="16" t="s">
        <v>63336</v>
      </c>
      <c r="P10291" s="14" t="s">
        <v>63337</v>
      </c>
      <c r="Q10291" s="14" t="s">
        <v>31</v>
      </c>
      <c r="R10291" s="14" t="s">
        <v>1185</v>
      </c>
      <c r="S10291" s="16" t="s">
        <v>63338</v>
      </c>
      <c r="T10291" s="14" t="s">
        <v>66</v>
      </c>
      <c r="U10291" s="16" t="s">
        <v>63339</v>
      </c>
      <c r="V10291" s="14" t="s">
        <v>63380</v>
      </c>
      <c r="W10291" s="14" t="s">
        <v>63331</v>
      </c>
      <c r="X10291" s="17" t="str">
        <f>HYPERLINK("https://my.pitchbook.com?p=14480-65P","View People Online")</f>
        <v>View People Online</v>
      </c>
    </row>
    <row r="10292">
      <c r="A10292" s="10" t="s">
        <v>63381</v>
      </c>
      <c r="B10292" s="10" t="s">
        <v>63382</v>
      </c>
      <c r="C10292" s="10" t="s">
        <v>63383</v>
      </c>
      <c r="D10292" s="10" t="s">
        <v>63384</v>
      </c>
      <c r="E10292" s="10" t="s">
        <v>63331</v>
      </c>
      <c r="F10292" s="10" t="s">
        <v>201</v>
      </c>
      <c r="G10292" s="10" t="s">
        <v>63385</v>
      </c>
      <c r="H10292" s="11" t="s">
        <v>31</v>
      </c>
      <c r="I10292" s="11">
        <v>1.0</v>
      </c>
      <c r="J10292" s="11">
        <v>1.0</v>
      </c>
      <c r="K10292" s="11" t="s">
        <v>31</v>
      </c>
      <c r="L10292" s="12" t="s">
        <v>63386</v>
      </c>
      <c r="M10292" s="10" t="s">
        <v>31</v>
      </c>
      <c r="N10292" s="10" t="s">
        <v>63335</v>
      </c>
      <c r="O10292" s="12" t="s">
        <v>63336</v>
      </c>
      <c r="P10292" s="10" t="s">
        <v>63337</v>
      </c>
      <c r="Q10292" s="10" t="s">
        <v>31</v>
      </c>
      <c r="R10292" s="10" t="s">
        <v>1185</v>
      </c>
      <c r="S10292" s="12" t="s">
        <v>63338</v>
      </c>
      <c r="T10292" s="10" t="s">
        <v>66</v>
      </c>
      <c r="U10292" s="12" t="s">
        <v>63339</v>
      </c>
      <c r="V10292" s="10" t="s">
        <v>63387</v>
      </c>
      <c r="W10292" s="10" t="s">
        <v>63331</v>
      </c>
      <c r="X10292" s="13" t="str">
        <f>HYPERLINK("https://my.pitchbook.com?p=386335-90P","View People Online")</f>
        <v>View People Online</v>
      </c>
    </row>
    <row r="10293">
      <c r="A10293" s="6" t="s">
        <v>63388</v>
      </c>
      <c r="B10293" s="6" t="s">
        <v>63389</v>
      </c>
      <c r="C10293" s="6" t="s">
        <v>823</v>
      </c>
      <c r="D10293" s="6" t="s">
        <v>32797</v>
      </c>
      <c r="E10293" s="6" t="s">
        <v>63331</v>
      </c>
      <c r="F10293" s="6" t="s">
        <v>28075</v>
      </c>
      <c r="G10293" s="6" t="s">
        <v>63390</v>
      </c>
      <c r="H10293" s="7" t="s">
        <v>31</v>
      </c>
      <c r="I10293" s="7">
        <v>1.0</v>
      </c>
      <c r="J10293" s="7">
        <v>1.0</v>
      </c>
      <c r="K10293" s="7" t="s">
        <v>31</v>
      </c>
      <c r="L10293" s="8" t="s">
        <v>63351</v>
      </c>
      <c r="M10293" s="6" t="s">
        <v>63391</v>
      </c>
      <c r="N10293" s="6" t="s">
        <v>63335</v>
      </c>
      <c r="O10293" s="8" t="s">
        <v>63336</v>
      </c>
      <c r="P10293" s="6" t="s">
        <v>63337</v>
      </c>
      <c r="Q10293" s="6" t="s">
        <v>31</v>
      </c>
      <c r="R10293" s="6" t="s">
        <v>1185</v>
      </c>
      <c r="S10293" s="8" t="s">
        <v>63338</v>
      </c>
      <c r="T10293" s="6" t="s">
        <v>66</v>
      </c>
      <c r="U10293" s="8" t="s">
        <v>63339</v>
      </c>
      <c r="V10293" s="6" t="s">
        <v>63392</v>
      </c>
      <c r="W10293" s="6" t="s">
        <v>63331</v>
      </c>
      <c r="X10293" s="9" t="str">
        <f>HYPERLINK("https://my.pitchbook.com?p=236094-85P","View People Online")</f>
        <v>View People Online</v>
      </c>
    </row>
    <row r="10294">
      <c r="A10294" s="2" t="s">
        <v>63393</v>
      </c>
      <c r="B10294" s="2" t="s">
        <v>63394</v>
      </c>
      <c r="C10294" s="2" t="s">
        <v>63395</v>
      </c>
      <c r="D10294" s="2" t="s">
        <v>63396</v>
      </c>
      <c r="E10294" s="2" t="s">
        <v>63331</v>
      </c>
      <c r="F10294" s="2" t="s">
        <v>548</v>
      </c>
      <c r="G10294" s="2" t="s">
        <v>63397</v>
      </c>
      <c r="H10294" s="3" t="s">
        <v>31</v>
      </c>
      <c r="I10294" s="3">
        <v>1.0</v>
      </c>
      <c r="J10294" s="3">
        <v>1.0</v>
      </c>
      <c r="K10294" s="3" t="s">
        <v>31</v>
      </c>
      <c r="L10294" s="4" t="s">
        <v>63398</v>
      </c>
      <c r="M10294" s="2" t="s">
        <v>63399</v>
      </c>
      <c r="N10294" s="2" t="s">
        <v>63335</v>
      </c>
      <c r="O10294" s="4" t="s">
        <v>63336</v>
      </c>
      <c r="P10294" s="2" t="s">
        <v>63337</v>
      </c>
      <c r="Q10294" s="2" t="s">
        <v>31</v>
      </c>
      <c r="R10294" s="2" t="s">
        <v>1185</v>
      </c>
      <c r="S10294" s="4" t="s">
        <v>63338</v>
      </c>
      <c r="T10294" s="2" t="s">
        <v>66</v>
      </c>
      <c r="U10294" s="4" t="s">
        <v>63339</v>
      </c>
      <c r="V10294" s="2" t="s">
        <v>63400</v>
      </c>
      <c r="W10294" s="2" t="s">
        <v>63331</v>
      </c>
      <c r="X10294" s="5" t="str">
        <f>HYPERLINK("https://my.pitchbook.com?p=87279-13P","View People Online")</f>
        <v>View People Online</v>
      </c>
    </row>
    <row r="10295">
      <c r="A10295" s="6" t="s">
        <v>63401</v>
      </c>
      <c r="B10295" s="6" t="s">
        <v>63402</v>
      </c>
      <c r="C10295" s="6" t="s">
        <v>19410</v>
      </c>
      <c r="D10295" s="6" t="s">
        <v>63403</v>
      </c>
      <c r="E10295" s="6" t="s">
        <v>63331</v>
      </c>
      <c r="F10295" s="6" t="s">
        <v>270</v>
      </c>
      <c r="G10295" s="6" t="s">
        <v>63404</v>
      </c>
      <c r="H10295" s="7" t="s">
        <v>31</v>
      </c>
      <c r="I10295" s="7">
        <v>1.0</v>
      </c>
      <c r="J10295" s="7">
        <v>1.0</v>
      </c>
      <c r="K10295" s="7" t="s">
        <v>31</v>
      </c>
      <c r="L10295" s="8" t="s">
        <v>63405</v>
      </c>
      <c r="M10295" s="6" t="s">
        <v>63406</v>
      </c>
      <c r="N10295" s="6" t="s">
        <v>63335</v>
      </c>
      <c r="O10295" s="8" t="s">
        <v>63336</v>
      </c>
      <c r="P10295" s="6" t="s">
        <v>63337</v>
      </c>
      <c r="Q10295" s="6" t="s">
        <v>31</v>
      </c>
      <c r="R10295" s="6" t="s">
        <v>1185</v>
      </c>
      <c r="S10295" s="8" t="s">
        <v>63338</v>
      </c>
      <c r="T10295" s="6" t="s">
        <v>66</v>
      </c>
      <c r="U10295" s="8" t="s">
        <v>63339</v>
      </c>
      <c r="V10295" s="6" t="s">
        <v>63407</v>
      </c>
      <c r="W10295" s="6" t="s">
        <v>63331</v>
      </c>
      <c r="X10295" s="9" t="str">
        <f>HYPERLINK("https://my.pitchbook.com?p=306518-77P","View People Online")</f>
        <v>View People Online</v>
      </c>
    </row>
    <row r="10296">
      <c r="A10296" s="10" t="s">
        <v>63408</v>
      </c>
      <c r="B10296" s="10" t="s">
        <v>63409</v>
      </c>
      <c r="C10296" s="10" t="s">
        <v>126</v>
      </c>
      <c r="D10296" s="10" t="s">
        <v>6913</v>
      </c>
      <c r="E10296" s="10" t="s">
        <v>63331</v>
      </c>
      <c r="F10296" s="10" t="s">
        <v>3740</v>
      </c>
      <c r="G10296" s="10" t="s">
        <v>63410</v>
      </c>
      <c r="H10296" s="11" t="s">
        <v>31</v>
      </c>
      <c r="I10296" s="11">
        <v>1.0</v>
      </c>
      <c r="J10296" s="11">
        <v>1.0</v>
      </c>
      <c r="K10296" s="11" t="s">
        <v>31</v>
      </c>
      <c r="L10296" s="12" t="s">
        <v>63411</v>
      </c>
      <c r="M10296" s="10" t="s">
        <v>63412</v>
      </c>
      <c r="N10296" s="10" t="s">
        <v>63335</v>
      </c>
      <c r="O10296" s="12" t="s">
        <v>63336</v>
      </c>
      <c r="P10296" s="10" t="s">
        <v>63337</v>
      </c>
      <c r="Q10296" s="10" t="s">
        <v>31</v>
      </c>
      <c r="R10296" s="10" t="s">
        <v>1185</v>
      </c>
      <c r="S10296" s="12" t="s">
        <v>63338</v>
      </c>
      <c r="T10296" s="10" t="s">
        <v>66</v>
      </c>
      <c r="U10296" s="12" t="s">
        <v>63339</v>
      </c>
      <c r="V10296" s="10" t="s">
        <v>3740</v>
      </c>
      <c r="W10296" s="10" t="s">
        <v>63331</v>
      </c>
      <c r="X10296" s="13" t="str">
        <f>HYPERLINK("https://my.pitchbook.com?p=50026-24P","View People Online")</f>
        <v>View People Online</v>
      </c>
    </row>
    <row r="10297">
      <c r="A10297" s="6" t="s">
        <v>63413</v>
      </c>
      <c r="B10297" s="6" t="s">
        <v>63414</v>
      </c>
      <c r="C10297" s="6" t="s">
        <v>126</v>
      </c>
      <c r="D10297" s="6" t="s">
        <v>63415</v>
      </c>
      <c r="E10297" s="6" t="s">
        <v>63331</v>
      </c>
      <c r="F10297" s="6" t="s">
        <v>371</v>
      </c>
      <c r="G10297" s="6" t="s">
        <v>63416</v>
      </c>
      <c r="H10297" s="7" t="s">
        <v>31</v>
      </c>
      <c r="I10297" s="7">
        <v>1.0</v>
      </c>
      <c r="J10297" s="7">
        <v>1.0</v>
      </c>
      <c r="K10297" s="7" t="s">
        <v>31</v>
      </c>
      <c r="L10297" s="8" t="s">
        <v>63351</v>
      </c>
      <c r="M10297" s="6" t="s">
        <v>63417</v>
      </c>
      <c r="N10297" s="6" t="s">
        <v>63335</v>
      </c>
      <c r="O10297" s="8" t="s">
        <v>63336</v>
      </c>
      <c r="P10297" s="6" t="s">
        <v>63337</v>
      </c>
      <c r="Q10297" s="6" t="s">
        <v>31</v>
      </c>
      <c r="R10297" s="6" t="s">
        <v>1185</v>
      </c>
      <c r="S10297" s="8" t="s">
        <v>63338</v>
      </c>
      <c r="T10297" s="6" t="s">
        <v>66</v>
      </c>
      <c r="U10297" s="8" t="s">
        <v>63339</v>
      </c>
      <c r="V10297" s="6" t="s">
        <v>63418</v>
      </c>
      <c r="W10297" s="6" t="s">
        <v>63331</v>
      </c>
      <c r="X10297" s="9" t="str">
        <f>HYPERLINK("https://my.pitchbook.com?p=203826-16P","View People Online")</f>
        <v>View People Online</v>
      </c>
    </row>
    <row r="10298">
      <c r="A10298" s="2" t="s">
        <v>63419</v>
      </c>
      <c r="B10298" s="2" t="s">
        <v>63420</v>
      </c>
      <c r="C10298" s="2" t="s">
        <v>382</v>
      </c>
      <c r="D10298" s="2" t="s">
        <v>1950</v>
      </c>
      <c r="E10298" s="2" t="s">
        <v>63331</v>
      </c>
      <c r="F10298" s="2" t="s">
        <v>270</v>
      </c>
      <c r="G10298" s="2" t="s">
        <v>63421</v>
      </c>
      <c r="H10298" s="3" t="s">
        <v>31</v>
      </c>
      <c r="I10298" s="3">
        <v>1.0</v>
      </c>
      <c r="J10298" s="3">
        <v>1.0</v>
      </c>
      <c r="K10298" s="3" t="s">
        <v>31</v>
      </c>
      <c r="L10298" s="4" t="s">
        <v>63422</v>
      </c>
      <c r="M10298" s="2" t="s">
        <v>63423</v>
      </c>
      <c r="N10298" s="2" t="s">
        <v>63335</v>
      </c>
      <c r="O10298" s="4" t="s">
        <v>63336</v>
      </c>
      <c r="P10298" s="2" t="s">
        <v>63337</v>
      </c>
      <c r="Q10298" s="2" t="s">
        <v>31</v>
      </c>
      <c r="R10298" s="2" t="s">
        <v>1185</v>
      </c>
      <c r="S10298" s="4" t="s">
        <v>63338</v>
      </c>
      <c r="T10298" s="2" t="s">
        <v>66</v>
      </c>
      <c r="U10298" s="4" t="s">
        <v>63339</v>
      </c>
      <c r="V10298" s="2" t="s">
        <v>63424</v>
      </c>
      <c r="W10298" s="2" t="s">
        <v>63331</v>
      </c>
      <c r="X10298" s="5" t="str">
        <f>HYPERLINK("https://my.pitchbook.com?p=386335-09P","View People Online")</f>
        <v>View People Online</v>
      </c>
    </row>
    <row r="10299">
      <c r="A10299" s="6" t="s">
        <v>63425</v>
      </c>
      <c r="B10299" s="6" t="s">
        <v>63426</v>
      </c>
      <c r="C10299" s="6" t="s">
        <v>25521</v>
      </c>
      <c r="D10299" s="6" t="s">
        <v>63427</v>
      </c>
      <c r="E10299" s="6" t="s">
        <v>63331</v>
      </c>
      <c r="F10299" s="6" t="s">
        <v>548</v>
      </c>
      <c r="G10299" s="6" t="s">
        <v>63428</v>
      </c>
      <c r="H10299" s="7" t="s">
        <v>31</v>
      </c>
      <c r="I10299" s="7">
        <v>1.0</v>
      </c>
      <c r="J10299" s="7">
        <v>1.0</v>
      </c>
      <c r="K10299" s="7" t="s">
        <v>31</v>
      </c>
      <c r="L10299" s="8" t="s">
        <v>63351</v>
      </c>
      <c r="M10299" s="6" t="s">
        <v>63429</v>
      </c>
      <c r="N10299" s="6" t="s">
        <v>63335</v>
      </c>
      <c r="O10299" s="8" t="s">
        <v>63336</v>
      </c>
      <c r="P10299" s="6" t="s">
        <v>63337</v>
      </c>
      <c r="Q10299" s="6" t="s">
        <v>31</v>
      </c>
      <c r="R10299" s="6" t="s">
        <v>1185</v>
      </c>
      <c r="S10299" s="8" t="s">
        <v>63338</v>
      </c>
      <c r="T10299" s="6" t="s">
        <v>66</v>
      </c>
      <c r="U10299" s="8" t="s">
        <v>63339</v>
      </c>
      <c r="V10299" s="6" t="s">
        <v>28428</v>
      </c>
      <c r="W10299" s="6" t="s">
        <v>63331</v>
      </c>
      <c r="X10299" s="9" t="str">
        <f>HYPERLINK("https://my.pitchbook.com?p=94341-97P","View People Online")</f>
        <v>View People Online</v>
      </c>
    </row>
    <row r="10300">
      <c r="A10300" s="2" t="s">
        <v>63430</v>
      </c>
      <c r="B10300" s="2" t="s">
        <v>63431</v>
      </c>
      <c r="C10300" s="2" t="s">
        <v>568</v>
      </c>
      <c r="D10300" s="2" t="s">
        <v>63432</v>
      </c>
      <c r="E10300" s="2" t="s">
        <v>41100</v>
      </c>
      <c r="F10300" s="2" t="s">
        <v>502</v>
      </c>
      <c r="G10300" s="2" t="s">
        <v>63433</v>
      </c>
      <c r="H10300" s="3" t="s">
        <v>31</v>
      </c>
      <c r="I10300" s="3">
        <v>1.0</v>
      </c>
      <c r="J10300" s="3">
        <v>1.0</v>
      </c>
      <c r="K10300" s="3" t="s">
        <v>31</v>
      </c>
      <c r="L10300" s="4" t="s">
        <v>41098</v>
      </c>
      <c r="M10300" s="2" t="s">
        <v>63434</v>
      </c>
      <c r="N10300" s="2" t="s">
        <v>6599</v>
      </c>
      <c r="O10300" s="4" t="s">
        <v>6600</v>
      </c>
      <c r="P10300" s="2" t="s">
        <v>41099</v>
      </c>
      <c r="Q10300" s="2" t="s">
        <v>31</v>
      </c>
      <c r="R10300" s="2" t="s">
        <v>64</v>
      </c>
      <c r="S10300" s="4" t="s">
        <v>6601</v>
      </c>
      <c r="T10300" s="2" t="s">
        <v>66</v>
      </c>
      <c r="U10300" s="4" t="s">
        <v>31</v>
      </c>
      <c r="V10300" s="2" t="s">
        <v>25161</v>
      </c>
      <c r="W10300" s="2" t="s">
        <v>41100</v>
      </c>
      <c r="X10300" s="5" t="str">
        <f>HYPERLINK("https://my.pitchbook.com?p=211392-73P","View People Online")</f>
        <v>View People Online</v>
      </c>
    </row>
    <row r="10301">
      <c r="A10301" s="14" t="s">
        <v>63435</v>
      </c>
      <c r="B10301" s="14" t="s">
        <v>63436</v>
      </c>
      <c r="C10301" s="14" t="s">
        <v>5721</v>
      </c>
      <c r="D10301" s="14" t="s">
        <v>63437</v>
      </c>
      <c r="E10301" s="14" t="s">
        <v>41100</v>
      </c>
      <c r="F10301" s="14" t="s">
        <v>27433</v>
      </c>
      <c r="G10301" s="14" t="s">
        <v>63438</v>
      </c>
      <c r="H10301" s="15" t="s">
        <v>31</v>
      </c>
      <c r="I10301" s="15">
        <v>1.0</v>
      </c>
      <c r="J10301" s="15">
        <v>1.0</v>
      </c>
      <c r="K10301" s="15" t="s">
        <v>31</v>
      </c>
      <c r="L10301" s="16" t="s">
        <v>41098</v>
      </c>
      <c r="M10301" s="14" t="s">
        <v>63439</v>
      </c>
      <c r="N10301" s="14" t="s">
        <v>6599</v>
      </c>
      <c r="O10301" s="16" t="s">
        <v>6600</v>
      </c>
      <c r="P10301" s="14" t="s">
        <v>41099</v>
      </c>
      <c r="Q10301" s="14" t="s">
        <v>31</v>
      </c>
      <c r="R10301" s="14" t="s">
        <v>64</v>
      </c>
      <c r="S10301" s="16" t="s">
        <v>6601</v>
      </c>
      <c r="T10301" s="14" t="s">
        <v>66</v>
      </c>
      <c r="U10301" s="16" t="s">
        <v>31</v>
      </c>
      <c r="V10301" s="14" t="s">
        <v>63440</v>
      </c>
      <c r="W10301" s="14" t="s">
        <v>41100</v>
      </c>
      <c r="X10301" s="17" t="str">
        <f>HYPERLINK("https://my.pitchbook.com?p=302646-16P","View People Online")</f>
        <v>View People Online</v>
      </c>
    </row>
    <row r="10302">
      <c r="A10302" s="2" t="s">
        <v>63441</v>
      </c>
      <c r="B10302" s="2" t="s">
        <v>63442</v>
      </c>
      <c r="C10302" s="2" t="s">
        <v>1437</v>
      </c>
      <c r="D10302" s="2" t="s">
        <v>63443</v>
      </c>
      <c r="E10302" s="2" t="s">
        <v>41100</v>
      </c>
      <c r="F10302" s="2" t="s">
        <v>1801</v>
      </c>
      <c r="G10302" s="2" t="s">
        <v>63444</v>
      </c>
      <c r="H10302" s="3" t="s">
        <v>31</v>
      </c>
      <c r="I10302" s="3">
        <v>1.0</v>
      </c>
      <c r="J10302" s="3">
        <v>1.0</v>
      </c>
      <c r="K10302" s="3" t="s">
        <v>31</v>
      </c>
      <c r="L10302" s="4" t="s">
        <v>41098</v>
      </c>
      <c r="M10302" s="2" t="s">
        <v>63445</v>
      </c>
      <c r="N10302" s="2" t="s">
        <v>6599</v>
      </c>
      <c r="O10302" s="4" t="s">
        <v>6600</v>
      </c>
      <c r="P10302" s="2" t="s">
        <v>41099</v>
      </c>
      <c r="Q10302" s="2" t="s">
        <v>31</v>
      </c>
      <c r="R10302" s="2" t="s">
        <v>64</v>
      </c>
      <c r="S10302" s="4" t="s">
        <v>6601</v>
      </c>
      <c r="T10302" s="2" t="s">
        <v>66</v>
      </c>
      <c r="U10302" s="4" t="s">
        <v>31</v>
      </c>
      <c r="V10302" s="2" t="s">
        <v>63446</v>
      </c>
      <c r="W10302" s="2" t="s">
        <v>41100</v>
      </c>
      <c r="X10302" s="5" t="str">
        <f>HYPERLINK("https://my.pitchbook.com?p=380563-57P","View People Online")</f>
        <v>View People Online</v>
      </c>
    </row>
    <row r="10303">
      <c r="A10303" s="14" t="s">
        <v>63447</v>
      </c>
      <c r="B10303" s="14" t="s">
        <v>63448</v>
      </c>
      <c r="C10303" s="14" t="s">
        <v>69</v>
      </c>
      <c r="D10303" s="14" t="s">
        <v>63449</v>
      </c>
      <c r="E10303" s="14" t="s">
        <v>41100</v>
      </c>
      <c r="F10303" s="14" t="s">
        <v>3600</v>
      </c>
      <c r="G10303" s="14" t="s">
        <v>63450</v>
      </c>
      <c r="H10303" s="15" t="s">
        <v>31</v>
      </c>
      <c r="I10303" s="15">
        <v>3.0</v>
      </c>
      <c r="J10303" s="15">
        <v>1.0</v>
      </c>
      <c r="K10303" s="15">
        <v>1.0</v>
      </c>
      <c r="L10303" s="16" t="s">
        <v>41098</v>
      </c>
      <c r="M10303" s="14" t="s">
        <v>31</v>
      </c>
      <c r="N10303" s="14" t="s">
        <v>6599</v>
      </c>
      <c r="O10303" s="16" t="s">
        <v>6600</v>
      </c>
      <c r="P10303" s="14" t="s">
        <v>41099</v>
      </c>
      <c r="Q10303" s="14" t="s">
        <v>31</v>
      </c>
      <c r="R10303" s="14" t="s">
        <v>64</v>
      </c>
      <c r="S10303" s="16" t="s">
        <v>6601</v>
      </c>
      <c r="T10303" s="14" t="s">
        <v>66</v>
      </c>
      <c r="U10303" s="16" t="s">
        <v>31</v>
      </c>
      <c r="V10303" s="14" t="s">
        <v>63451</v>
      </c>
      <c r="W10303" s="14" t="s">
        <v>41100</v>
      </c>
      <c r="X10303" s="17" t="str">
        <f>HYPERLINK("https://my.pitchbook.com?p=94950-19P","View People Online")</f>
        <v>View People Online</v>
      </c>
    </row>
    <row r="10304">
      <c r="A10304" s="2" t="s">
        <v>63452</v>
      </c>
      <c r="B10304" s="2" t="s">
        <v>63453</v>
      </c>
      <c r="C10304" s="2" t="s">
        <v>11152</v>
      </c>
      <c r="D10304" s="2" t="s">
        <v>6893</v>
      </c>
      <c r="E10304" s="2" t="s">
        <v>41100</v>
      </c>
      <c r="F10304" s="2" t="s">
        <v>29113</v>
      </c>
      <c r="G10304" s="2" t="s">
        <v>63454</v>
      </c>
      <c r="H10304" s="3" t="s">
        <v>31</v>
      </c>
      <c r="I10304" s="3">
        <v>1.0</v>
      </c>
      <c r="J10304" s="3">
        <v>1.0</v>
      </c>
      <c r="K10304" s="3" t="s">
        <v>31</v>
      </c>
      <c r="L10304" s="4" t="s">
        <v>63455</v>
      </c>
      <c r="M10304" s="2" t="s">
        <v>63456</v>
      </c>
      <c r="N10304" s="2" t="s">
        <v>6599</v>
      </c>
      <c r="O10304" s="4" t="s">
        <v>6600</v>
      </c>
      <c r="P10304" s="2" t="s">
        <v>41099</v>
      </c>
      <c r="Q10304" s="2" t="s">
        <v>31</v>
      </c>
      <c r="R10304" s="2" t="s">
        <v>64</v>
      </c>
      <c r="S10304" s="4" t="s">
        <v>6601</v>
      </c>
      <c r="T10304" s="2" t="s">
        <v>66</v>
      </c>
      <c r="U10304" s="4" t="s">
        <v>31</v>
      </c>
      <c r="V10304" s="2" t="s">
        <v>61279</v>
      </c>
      <c r="W10304" s="2" t="s">
        <v>41100</v>
      </c>
      <c r="X10304" s="5" t="str">
        <f>HYPERLINK("https://my.pitchbook.com?p=276872-23P","View People Online")</f>
        <v>View People Online</v>
      </c>
    </row>
    <row r="10305">
      <c r="A10305" s="6" t="s">
        <v>63457</v>
      </c>
      <c r="B10305" s="6" t="s">
        <v>63458</v>
      </c>
      <c r="C10305" s="6" t="s">
        <v>1255</v>
      </c>
      <c r="D10305" s="6" t="s">
        <v>63459</v>
      </c>
      <c r="E10305" s="6" t="s">
        <v>41100</v>
      </c>
      <c r="F10305" s="6" t="s">
        <v>4527</v>
      </c>
      <c r="G10305" s="6" t="s">
        <v>63460</v>
      </c>
      <c r="H10305" s="7">
        <v>4.0</v>
      </c>
      <c r="I10305" s="7">
        <v>14.0</v>
      </c>
      <c r="J10305" s="7">
        <v>2.0</v>
      </c>
      <c r="K10305" s="7">
        <v>9.0</v>
      </c>
      <c r="L10305" s="8" t="s">
        <v>41098</v>
      </c>
      <c r="M10305" s="6" t="s">
        <v>63461</v>
      </c>
      <c r="N10305" s="6" t="s">
        <v>6599</v>
      </c>
      <c r="O10305" s="8" t="s">
        <v>6600</v>
      </c>
      <c r="P10305" s="6" t="s">
        <v>41099</v>
      </c>
      <c r="Q10305" s="6" t="s">
        <v>31</v>
      </c>
      <c r="R10305" s="6" t="s">
        <v>64</v>
      </c>
      <c r="S10305" s="8" t="s">
        <v>6601</v>
      </c>
      <c r="T10305" s="6" t="s">
        <v>66</v>
      </c>
      <c r="U10305" s="8" t="s">
        <v>31</v>
      </c>
      <c r="V10305" s="6" t="s">
        <v>1384</v>
      </c>
      <c r="W10305" s="6" t="s">
        <v>41100</v>
      </c>
      <c r="X10305" s="9" t="str">
        <f>HYPERLINK("https://my.pitchbook.com?p=55719-01P","View People Online")</f>
        <v>View People Online</v>
      </c>
    </row>
    <row r="10306">
      <c r="A10306" s="10" t="s">
        <v>63462</v>
      </c>
      <c r="B10306" s="10" t="s">
        <v>63463</v>
      </c>
      <c r="C10306" s="10" t="s">
        <v>126</v>
      </c>
      <c r="D10306" s="10" t="s">
        <v>63464</v>
      </c>
      <c r="E10306" s="10" t="s">
        <v>41100</v>
      </c>
      <c r="F10306" s="10" t="s">
        <v>8021</v>
      </c>
      <c r="G10306" s="10" t="s">
        <v>63465</v>
      </c>
      <c r="H10306" s="11" t="s">
        <v>31</v>
      </c>
      <c r="I10306" s="11">
        <v>1.0</v>
      </c>
      <c r="J10306" s="11">
        <v>1.0</v>
      </c>
      <c r="K10306" s="11" t="s">
        <v>31</v>
      </c>
      <c r="L10306" s="12" t="s">
        <v>41098</v>
      </c>
      <c r="M10306" s="10" t="s">
        <v>63466</v>
      </c>
      <c r="N10306" s="10" t="s">
        <v>6599</v>
      </c>
      <c r="O10306" s="12" t="s">
        <v>6600</v>
      </c>
      <c r="P10306" s="10" t="s">
        <v>41099</v>
      </c>
      <c r="Q10306" s="10" t="s">
        <v>31</v>
      </c>
      <c r="R10306" s="10" t="s">
        <v>64</v>
      </c>
      <c r="S10306" s="12" t="s">
        <v>6601</v>
      </c>
      <c r="T10306" s="10" t="s">
        <v>66</v>
      </c>
      <c r="U10306" s="12" t="s">
        <v>31</v>
      </c>
      <c r="V10306" s="10" t="s">
        <v>8021</v>
      </c>
      <c r="W10306" s="10" t="s">
        <v>41100</v>
      </c>
      <c r="X10306" s="13" t="str">
        <f>HYPERLINK("https://my.pitchbook.com?p=112631-41P","View People Online")</f>
        <v>View People Online</v>
      </c>
    </row>
    <row r="10307">
      <c r="A10307" s="6" t="s">
        <v>63467</v>
      </c>
      <c r="B10307" s="6" t="s">
        <v>63468</v>
      </c>
      <c r="C10307" s="6" t="s">
        <v>167</v>
      </c>
      <c r="D10307" s="6" t="s">
        <v>4680</v>
      </c>
      <c r="E10307" s="6" t="s">
        <v>41100</v>
      </c>
      <c r="F10307" s="6" t="s">
        <v>25501</v>
      </c>
      <c r="G10307" s="6" t="s">
        <v>63469</v>
      </c>
      <c r="H10307" s="7">
        <v>1.0</v>
      </c>
      <c r="I10307" s="7">
        <v>2.0</v>
      </c>
      <c r="J10307" s="7">
        <v>1.0</v>
      </c>
      <c r="K10307" s="7" t="s">
        <v>31</v>
      </c>
      <c r="L10307" s="8" t="s">
        <v>41098</v>
      </c>
      <c r="M10307" s="6" t="s">
        <v>63470</v>
      </c>
      <c r="N10307" s="6" t="s">
        <v>6599</v>
      </c>
      <c r="O10307" s="8" t="s">
        <v>6600</v>
      </c>
      <c r="P10307" s="6" t="s">
        <v>41099</v>
      </c>
      <c r="Q10307" s="6" t="s">
        <v>31</v>
      </c>
      <c r="R10307" s="6" t="s">
        <v>64</v>
      </c>
      <c r="S10307" s="8" t="s">
        <v>6601</v>
      </c>
      <c r="T10307" s="6" t="s">
        <v>66</v>
      </c>
      <c r="U10307" s="8" t="s">
        <v>31</v>
      </c>
      <c r="V10307" s="6" t="s">
        <v>63471</v>
      </c>
      <c r="W10307" s="6" t="s">
        <v>41100</v>
      </c>
      <c r="X10307" s="9" t="str">
        <f>HYPERLINK("https://my.pitchbook.com?p=54527-59P","View People Online")</f>
        <v>View People Online</v>
      </c>
    </row>
    <row r="10308">
      <c r="A10308" s="2" t="s">
        <v>63472</v>
      </c>
      <c r="B10308" s="2" t="s">
        <v>63473</v>
      </c>
      <c r="C10308" s="2" t="s">
        <v>934</v>
      </c>
      <c r="D10308" s="2" t="s">
        <v>63474</v>
      </c>
      <c r="E10308" s="2" t="s">
        <v>41100</v>
      </c>
      <c r="F10308" s="2" t="s">
        <v>548</v>
      </c>
      <c r="G10308" s="2" t="s">
        <v>63475</v>
      </c>
      <c r="H10308" s="3" t="s">
        <v>31</v>
      </c>
      <c r="I10308" s="3">
        <v>1.0</v>
      </c>
      <c r="J10308" s="3">
        <v>1.0</v>
      </c>
      <c r="K10308" s="3" t="s">
        <v>31</v>
      </c>
      <c r="L10308" s="4" t="s">
        <v>41098</v>
      </c>
      <c r="M10308" s="2" t="s">
        <v>63476</v>
      </c>
      <c r="N10308" s="2" t="s">
        <v>6599</v>
      </c>
      <c r="O10308" s="4" t="s">
        <v>6600</v>
      </c>
      <c r="P10308" s="2" t="s">
        <v>41099</v>
      </c>
      <c r="Q10308" s="2" t="s">
        <v>31</v>
      </c>
      <c r="R10308" s="2" t="s">
        <v>64</v>
      </c>
      <c r="S10308" s="4" t="s">
        <v>6601</v>
      </c>
      <c r="T10308" s="2" t="s">
        <v>66</v>
      </c>
      <c r="U10308" s="4" t="s">
        <v>31</v>
      </c>
      <c r="V10308" s="2" t="s">
        <v>9351</v>
      </c>
      <c r="W10308" s="2" t="s">
        <v>41100</v>
      </c>
      <c r="X10308" s="5" t="str">
        <f>HYPERLINK("https://my.pitchbook.com?p=340843-42P","View People Online")</f>
        <v>View People Online</v>
      </c>
    </row>
    <row r="10309">
      <c r="A10309" s="14" t="s">
        <v>63477</v>
      </c>
      <c r="B10309" s="14" t="s">
        <v>63478</v>
      </c>
      <c r="C10309" s="14" t="s">
        <v>40890</v>
      </c>
      <c r="D10309" s="14" t="s">
        <v>7805</v>
      </c>
      <c r="E10309" s="14" t="s">
        <v>41100</v>
      </c>
      <c r="F10309" s="14" t="s">
        <v>312</v>
      </c>
      <c r="G10309" s="14" t="s">
        <v>63479</v>
      </c>
      <c r="H10309" s="15" t="s">
        <v>31</v>
      </c>
      <c r="I10309" s="15">
        <v>1.0</v>
      </c>
      <c r="J10309" s="15">
        <v>1.0</v>
      </c>
      <c r="K10309" s="15" t="s">
        <v>31</v>
      </c>
      <c r="L10309" s="16" t="s">
        <v>41098</v>
      </c>
      <c r="M10309" s="14" t="s">
        <v>63480</v>
      </c>
      <c r="N10309" s="14" t="s">
        <v>6599</v>
      </c>
      <c r="O10309" s="16" t="s">
        <v>6600</v>
      </c>
      <c r="P10309" s="14" t="s">
        <v>41099</v>
      </c>
      <c r="Q10309" s="14" t="s">
        <v>31</v>
      </c>
      <c r="R10309" s="14" t="s">
        <v>64</v>
      </c>
      <c r="S10309" s="16" t="s">
        <v>6601</v>
      </c>
      <c r="T10309" s="14" t="s">
        <v>66</v>
      </c>
      <c r="U10309" s="16" t="s">
        <v>31</v>
      </c>
      <c r="V10309" s="14" t="s">
        <v>312</v>
      </c>
      <c r="W10309" s="14" t="s">
        <v>41100</v>
      </c>
      <c r="X10309" s="17" t="str">
        <f>HYPERLINK("https://my.pitchbook.com?p=172648-09P","View People Online")</f>
        <v>View People Online</v>
      </c>
    </row>
    <row r="10310">
      <c r="A10310" s="2" t="s">
        <v>63481</v>
      </c>
      <c r="B10310" s="2" t="s">
        <v>21254</v>
      </c>
      <c r="C10310" s="2" t="s">
        <v>536</v>
      </c>
      <c r="D10310" s="2" t="s">
        <v>5327</v>
      </c>
      <c r="E10310" s="2" t="s">
        <v>41100</v>
      </c>
      <c r="F10310" s="2" t="s">
        <v>5287</v>
      </c>
      <c r="G10310" s="2" t="s">
        <v>63482</v>
      </c>
      <c r="H10310" s="3" t="s">
        <v>31</v>
      </c>
      <c r="I10310" s="3">
        <v>1.0</v>
      </c>
      <c r="J10310" s="3">
        <v>1.0</v>
      </c>
      <c r="K10310" s="3" t="s">
        <v>31</v>
      </c>
      <c r="L10310" s="4" t="s">
        <v>41098</v>
      </c>
      <c r="M10310" s="2" t="s">
        <v>63483</v>
      </c>
      <c r="N10310" s="2" t="s">
        <v>6599</v>
      </c>
      <c r="O10310" s="4" t="s">
        <v>6600</v>
      </c>
      <c r="P10310" s="2" t="s">
        <v>41099</v>
      </c>
      <c r="Q10310" s="2" t="s">
        <v>31</v>
      </c>
      <c r="R10310" s="2" t="s">
        <v>64</v>
      </c>
      <c r="S10310" s="4" t="s">
        <v>6601</v>
      </c>
      <c r="T10310" s="2" t="s">
        <v>66</v>
      </c>
      <c r="U10310" s="4" t="s">
        <v>31</v>
      </c>
      <c r="V10310" s="2" t="s">
        <v>35451</v>
      </c>
      <c r="W10310" s="2" t="s">
        <v>41100</v>
      </c>
      <c r="X10310" s="5" t="str">
        <f>HYPERLINK("https://my.pitchbook.com?p=153049-51P","View People Online")</f>
        <v>View People Online</v>
      </c>
    </row>
    <row r="10311">
      <c r="A10311" s="14" t="s">
        <v>63484</v>
      </c>
      <c r="B10311" s="14" t="s">
        <v>63485</v>
      </c>
      <c r="C10311" s="14" t="s">
        <v>63486</v>
      </c>
      <c r="D10311" s="14" t="s">
        <v>4314</v>
      </c>
      <c r="E10311" s="14" t="s">
        <v>41100</v>
      </c>
      <c r="F10311" s="14" t="s">
        <v>3665</v>
      </c>
      <c r="G10311" s="14" t="s">
        <v>63487</v>
      </c>
      <c r="H10311" s="15" t="s">
        <v>31</v>
      </c>
      <c r="I10311" s="15">
        <v>1.0</v>
      </c>
      <c r="J10311" s="15">
        <v>1.0</v>
      </c>
      <c r="K10311" s="15" t="s">
        <v>31</v>
      </c>
      <c r="L10311" s="16" t="s">
        <v>41098</v>
      </c>
      <c r="M10311" s="14" t="s">
        <v>63488</v>
      </c>
      <c r="N10311" s="14" t="s">
        <v>6599</v>
      </c>
      <c r="O10311" s="16" t="s">
        <v>6600</v>
      </c>
      <c r="P10311" s="14" t="s">
        <v>41099</v>
      </c>
      <c r="Q10311" s="14" t="s">
        <v>31</v>
      </c>
      <c r="R10311" s="14" t="s">
        <v>64</v>
      </c>
      <c r="S10311" s="16" t="s">
        <v>6601</v>
      </c>
      <c r="T10311" s="14" t="s">
        <v>66</v>
      </c>
      <c r="U10311" s="16" t="s">
        <v>31</v>
      </c>
      <c r="V10311" s="14" t="s">
        <v>3665</v>
      </c>
      <c r="W10311" s="14" t="s">
        <v>41100</v>
      </c>
      <c r="X10311" s="17" t="str">
        <f>HYPERLINK("https://my.pitchbook.com?p=257626-90P","View People Online")</f>
        <v>View People Online</v>
      </c>
    </row>
    <row r="10312">
      <c r="A10312" s="2" t="s">
        <v>63489</v>
      </c>
      <c r="B10312" s="2" t="s">
        <v>63490</v>
      </c>
      <c r="C10312" s="2" t="s">
        <v>1697</v>
      </c>
      <c r="D10312" s="2" t="s">
        <v>63491</v>
      </c>
      <c r="E10312" s="2" t="s">
        <v>41100</v>
      </c>
      <c r="F10312" s="2" t="s">
        <v>12225</v>
      </c>
      <c r="G10312" s="2" t="s">
        <v>63492</v>
      </c>
      <c r="H10312" s="3">
        <v>1.0</v>
      </c>
      <c r="I10312" s="3">
        <v>2.0</v>
      </c>
      <c r="J10312" s="3">
        <v>2.0</v>
      </c>
      <c r="K10312" s="3" t="s">
        <v>31</v>
      </c>
      <c r="L10312" s="4" t="s">
        <v>41098</v>
      </c>
      <c r="M10312" s="2" t="s">
        <v>63493</v>
      </c>
      <c r="N10312" s="2" t="s">
        <v>6599</v>
      </c>
      <c r="O10312" s="4" t="s">
        <v>6600</v>
      </c>
      <c r="P10312" s="2" t="s">
        <v>41099</v>
      </c>
      <c r="Q10312" s="2" t="s">
        <v>31</v>
      </c>
      <c r="R10312" s="2" t="s">
        <v>64</v>
      </c>
      <c r="S10312" s="4" t="s">
        <v>6601</v>
      </c>
      <c r="T10312" s="2" t="s">
        <v>66</v>
      </c>
      <c r="U10312" s="4" t="s">
        <v>31</v>
      </c>
      <c r="V10312" s="2" t="s">
        <v>36315</v>
      </c>
      <c r="W10312" s="2" t="s">
        <v>41100</v>
      </c>
      <c r="X10312" s="5" t="str">
        <f>HYPERLINK("https://my.pitchbook.com?p=55719-10P","View People Online")</f>
        <v>View People Online</v>
      </c>
    </row>
    <row r="10313">
      <c r="A10313" s="6" t="s">
        <v>63494</v>
      </c>
      <c r="B10313" s="6" t="s">
        <v>63495</v>
      </c>
      <c r="C10313" s="6" t="s">
        <v>3530</v>
      </c>
      <c r="D10313" s="6" t="s">
        <v>16220</v>
      </c>
      <c r="E10313" s="6" t="s">
        <v>63496</v>
      </c>
      <c r="F10313" s="6" t="s">
        <v>29</v>
      </c>
      <c r="G10313" s="6" t="s">
        <v>63497</v>
      </c>
      <c r="H10313" s="7" t="s">
        <v>31</v>
      </c>
      <c r="I10313" s="7">
        <v>5.0</v>
      </c>
      <c r="J10313" s="7">
        <v>1.0</v>
      </c>
      <c r="K10313" s="7" t="s">
        <v>31</v>
      </c>
      <c r="L10313" s="8" t="s">
        <v>63498</v>
      </c>
      <c r="M10313" s="6" t="s">
        <v>63499</v>
      </c>
      <c r="N10313" s="6" t="s">
        <v>36542</v>
      </c>
      <c r="O10313" s="8" t="s">
        <v>36543</v>
      </c>
      <c r="P10313" s="6" t="s">
        <v>63500</v>
      </c>
      <c r="Q10313" s="6" t="s">
        <v>63501</v>
      </c>
      <c r="R10313" s="6" t="s">
        <v>64</v>
      </c>
      <c r="S10313" s="8" t="s">
        <v>36545</v>
      </c>
      <c r="T10313" s="6" t="s">
        <v>66</v>
      </c>
      <c r="U10313" s="8" t="s">
        <v>31</v>
      </c>
      <c r="V10313" s="6" t="s">
        <v>29</v>
      </c>
      <c r="W10313" s="6" t="s">
        <v>63496</v>
      </c>
      <c r="X10313" s="9" t="str">
        <f>HYPERLINK("https://my.pitchbook.com?p=150698-89P","View People Online")</f>
        <v>View People Online</v>
      </c>
    </row>
    <row r="10314">
      <c r="A10314" s="2" t="s">
        <v>63502</v>
      </c>
      <c r="B10314" s="2" t="s">
        <v>63503</v>
      </c>
      <c r="C10314" s="2" t="s">
        <v>126</v>
      </c>
      <c r="D10314" s="2" t="s">
        <v>63504</v>
      </c>
      <c r="E10314" s="2" t="s">
        <v>63496</v>
      </c>
      <c r="F10314" s="2" t="s">
        <v>114</v>
      </c>
      <c r="G10314" s="2" t="s">
        <v>63505</v>
      </c>
      <c r="H10314" s="3">
        <v>2.0</v>
      </c>
      <c r="I10314" s="3">
        <v>4.0</v>
      </c>
      <c r="J10314" s="3">
        <v>2.0</v>
      </c>
      <c r="K10314" s="3" t="s">
        <v>31</v>
      </c>
      <c r="L10314" s="4" t="s">
        <v>63506</v>
      </c>
      <c r="M10314" s="2" t="s">
        <v>31</v>
      </c>
      <c r="N10314" s="2" t="s">
        <v>36542</v>
      </c>
      <c r="O10314" s="4" t="s">
        <v>36543</v>
      </c>
      <c r="P10314" s="2" t="s">
        <v>63500</v>
      </c>
      <c r="Q10314" s="2" t="s">
        <v>63501</v>
      </c>
      <c r="R10314" s="2" t="s">
        <v>64</v>
      </c>
      <c r="S10314" s="4" t="s">
        <v>36545</v>
      </c>
      <c r="T10314" s="2" t="s">
        <v>66</v>
      </c>
      <c r="U10314" s="4" t="s">
        <v>31</v>
      </c>
      <c r="V10314" s="2" t="s">
        <v>114</v>
      </c>
      <c r="W10314" s="2" t="s">
        <v>63496</v>
      </c>
      <c r="X10314" s="5" t="str">
        <f>HYPERLINK("https://my.pitchbook.com?p=150699-25P","View People Online")</f>
        <v>View People Online</v>
      </c>
    </row>
    <row r="10315">
      <c r="A10315" s="14" t="s">
        <v>63507</v>
      </c>
      <c r="B10315" s="14" t="s">
        <v>63508</v>
      </c>
      <c r="C10315" s="14" t="s">
        <v>7698</v>
      </c>
      <c r="D10315" s="14" t="s">
        <v>63509</v>
      </c>
      <c r="E10315" s="14" t="s">
        <v>63496</v>
      </c>
      <c r="F10315" s="14" t="s">
        <v>81</v>
      </c>
      <c r="G10315" s="14" t="s">
        <v>63510</v>
      </c>
      <c r="H10315" s="15">
        <v>5.0</v>
      </c>
      <c r="I10315" s="15">
        <v>9.0</v>
      </c>
      <c r="J10315" s="15">
        <v>2.0</v>
      </c>
      <c r="K10315" s="15">
        <v>1.0</v>
      </c>
      <c r="L10315" s="16" t="s">
        <v>63511</v>
      </c>
      <c r="M10315" s="14" t="s">
        <v>31</v>
      </c>
      <c r="N10315" s="14" t="s">
        <v>52419</v>
      </c>
      <c r="O10315" s="16" t="s">
        <v>52420</v>
      </c>
      <c r="P10315" s="14" t="s">
        <v>63512</v>
      </c>
      <c r="Q10315" s="14" t="s">
        <v>31</v>
      </c>
      <c r="R10315" s="14" t="s">
        <v>616</v>
      </c>
      <c r="S10315" s="16" t="s">
        <v>63513</v>
      </c>
      <c r="T10315" s="14" t="s">
        <v>66</v>
      </c>
      <c r="U10315" s="16" t="s">
        <v>31</v>
      </c>
      <c r="V10315" s="14" t="s">
        <v>2379</v>
      </c>
      <c r="W10315" s="14" t="s">
        <v>31327</v>
      </c>
      <c r="X10315" s="17" t="str">
        <f>HYPERLINK("https://my.pitchbook.com?p=41737-15P","View People Online")</f>
        <v>View People Online</v>
      </c>
    </row>
    <row r="10316">
      <c r="A10316" s="2" t="s">
        <v>63514</v>
      </c>
      <c r="B10316" s="2" t="s">
        <v>63515</v>
      </c>
      <c r="C10316" s="2" t="s">
        <v>1072</v>
      </c>
      <c r="D10316" s="2" t="s">
        <v>33314</v>
      </c>
      <c r="E10316" s="2" t="s">
        <v>63496</v>
      </c>
      <c r="F10316" s="2" t="s">
        <v>29</v>
      </c>
      <c r="G10316" s="2" t="s">
        <v>63516</v>
      </c>
      <c r="H10316" s="3">
        <v>1.0</v>
      </c>
      <c r="I10316" s="3">
        <v>13.0</v>
      </c>
      <c r="J10316" s="3">
        <v>1.0</v>
      </c>
      <c r="K10316" s="3">
        <v>5.0</v>
      </c>
      <c r="L10316" s="4" t="s">
        <v>63506</v>
      </c>
      <c r="M10316" s="2" t="s">
        <v>63517</v>
      </c>
      <c r="N10316" s="2" t="s">
        <v>36542</v>
      </c>
      <c r="O10316" s="4" t="s">
        <v>36543</v>
      </c>
      <c r="P10316" s="2" t="s">
        <v>63500</v>
      </c>
      <c r="Q10316" s="2" t="s">
        <v>63501</v>
      </c>
      <c r="R10316" s="2" t="s">
        <v>64</v>
      </c>
      <c r="S10316" s="4" t="s">
        <v>36545</v>
      </c>
      <c r="T10316" s="2" t="s">
        <v>66</v>
      </c>
      <c r="U10316" s="4" t="s">
        <v>31</v>
      </c>
      <c r="V10316" s="2" t="s">
        <v>29</v>
      </c>
      <c r="W10316" s="2" t="s">
        <v>63496</v>
      </c>
      <c r="X10316" s="5" t="str">
        <f>HYPERLINK("https://my.pitchbook.com?p=67376-26P","View People Online")</f>
        <v>View People Online</v>
      </c>
    </row>
    <row r="10317">
      <c r="A10317" s="14" t="s">
        <v>63518</v>
      </c>
      <c r="B10317" s="14" t="s">
        <v>63519</v>
      </c>
      <c r="C10317" s="14" t="s">
        <v>63520</v>
      </c>
      <c r="D10317" s="14" t="s">
        <v>9847</v>
      </c>
      <c r="E10317" s="14" t="s">
        <v>63496</v>
      </c>
      <c r="F10317" s="14" t="s">
        <v>674</v>
      </c>
      <c r="G10317" s="14" t="s">
        <v>63521</v>
      </c>
      <c r="H10317" s="15">
        <v>6.0</v>
      </c>
      <c r="I10317" s="15">
        <v>21.0</v>
      </c>
      <c r="J10317" s="15">
        <v>1.0</v>
      </c>
      <c r="K10317" s="15">
        <v>10.0</v>
      </c>
      <c r="L10317" s="16" t="s">
        <v>63506</v>
      </c>
      <c r="M10317" s="14" t="s">
        <v>63522</v>
      </c>
      <c r="N10317" s="14" t="s">
        <v>36542</v>
      </c>
      <c r="O10317" s="16" t="s">
        <v>36543</v>
      </c>
      <c r="P10317" s="14" t="s">
        <v>63500</v>
      </c>
      <c r="Q10317" s="14" t="s">
        <v>63501</v>
      </c>
      <c r="R10317" s="14" t="s">
        <v>64</v>
      </c>
      <c r="S10317" s="16" t="s">
        <v>36545</v>
      </c>
      <c r="T10317" s="14" t="s">
        <v>66</v>
      </c>
      <c r="U10317" s="16" t="s">
        <v>31</v>
      </c>
      <c r="V10317" s="14" t="s">
        <v>674</v>
      </c>
      <c r="W10317" s="14" t="s">
        <v>63496</v>
      </c>
      <c r="X10317" s="17" t="str">
        <f>HYPERLINK("https://my.pitchbook.com?p=141098-14P","View People Online")</f>
        <v>View People Online</v>
      </c>
    </row>
    <row r="10318">
      <c r="A10318" s="10" t="s">
        <v>63523</v>
      </c>
      <c r="B10318" s="10" t="s">
        <v>63524</v>
      </c>
      <c r="C10318" s="10" t="s">
        <v>2620</v>
      </c>
      <c r="D10318" s="10" t="s">
        <v>63525</v>
      </c>
      <c r="E10318" s="10" t="s">
        <v>63526</v>
      </c>
      <c r="F10318" s="10" t="s">
        <v>548</v>
      </c>
      <c r="G10318" s="10" t="s">
        <v>63527</v>
      </c>
      <c r="H10318" s="11" t="s">
        <v>31</v>
      </c>
      <c r="I10318" s="11">
        <v>8.0</v>
      </c>
      <c r="J10318" s="11">
        <v>1.0</v>
      </c>
      <c r="K10318" s="11">
        <v>7.0</v>
      </c>
      <c r="L10318" s="12" t="s">
        <v>63528</v>
      </c>
      <c r="M10318" s="10" t="s">
        <v>63529</v>
      </c>
      <c r="N10318" s="10" t="s">
        <v>28460</v>
      </c>
      <c r="O10318" s="12" t="s">
        <v>28461</v>
      </c>
      <c r="P10318" s="10" t="s">
        <v>63530</v>
      </c>
      <c r="Q10318" s="10" t="s">
        <v>31</v>
      </c>
      <c r="R10318" s="10" t="s">
        <v>616</v>
      </c>
      <c r="S10318" s="12" t="s">
        <v>28462</v>
      </c>
      <c r="T10318" s="10" t="s">
        <v>66</v>
      </c>
      <c r="U10318" s="12" t="s">
        <v>63531</v>
      </c>
      <c r="V10318" s="10" t="s">
        <v>63532</v>
      </c>
      <c r="W10318" s="10" t="s">
        <v>63526</v>
      </c>
      <c r="X10318" s="13" t="str">
        <f>HYPERLINK("https://my.pitchbook.com?p=264017-62P","View People Online")</f>
        <v>View People Online</v>
      </c>
    </row>
    <row r="10319">
      <c r="A10319" s="6" t="s">
        <v>63533</v>
      </c>
      <c r="B10319" s="6" t="s">
        <v>63534</v>
      </c>
      <c r="C10319" s="6" t="s">
        <v>7252</v>
      </c>
      <c r="D10319" s="6" t="s">
        <v>63535</v>
      </c>
      <c r="E10319" s="6" t="s">
        <v>63526</v>
      </c>
      <c r="F10319" s="6" t="s">
        <v>548</v>
      </c>
      <c r="G10319" s="6" t="s">
        <v>63536</v>
      </c>
      <c r="H10319" s="7" t="s">
        <v>31</v>
      </c>
      <c r="I10319" s="7">
        <v>18.0</v>
      </c>
      <c r="J10319" s="7">
        <v>1.0</v>
      </c>
      <c r="K10319" s="7">
        <v>17.0</v>
      </c>
      <c r="L10319" s="8" t="s">
        <v>63537</v>
      </c>
      <c r="M10319" s="6" t="s">
        <v>63538</v>
      </c>
      <c r="N10319" s="6" t="s">
        <v>28460</v>
      </c>
      <c r="O10319" s="8" t="s">
        <v>28461</v>
      </c>
      <c r="P10319" s="6" t="s">
        <v>63530</v>
      </c>
      <c r="Q10319" s="6" t="s">
        <v>31</v>
      </c>
      <c r="R10319" s="6" t="s">
        <v>616</v>
      </c>
      <c r="S10319" s="8" t="s">
        <v>28462</v>
      </c>
      <c r="T10319" s="6" t="s">
        <v>66</v>
      </c>
      <c r="U10319" s="8" t="s">
        <v>63531</v>
      </c>
      <c r="V10319" s="6" t="s">
        <v>63539</v>
      </c>
      <c r="W10319" s="6" t="s">
        <v>63526</v>
      </c>
      <c r="X10319" s="9" t="str">
        <f>HYPERLINK("https://my.pitchbook.com?p=171299-44P","View People Online")</f>
        <v>View People Online</v>
      </c>
    </row>
    <row r="10320">
      <c r="A10320" s="2" t="s">
        <v>63540</v>
      </c>
      <c r="B10320" s="2" t="s">
        <v>63541</v>
      </c>
      <c r="C10320" s="2" t="s">
        <v>24684</v>
      </c>
      <c r="D10320" s="2" t="s">
        <v>63542</v>
      </c>
      <c r="E10320" s="2" t="s">
        <v>63526</v>
      </c>
      <c r="F10320" s="2" t="s">
        <v>63543</v>
      </c>
      <c r="G10320" s="2" t="s">
        <v>63544</v>
      </c>
      <c r="H10320" s="3" t="s">
        <v>31</v>
      </c>
      <c r="I10320" s="3">
        <v>3.0</v>
      </c>
      <c r="J10320" s="3">
        <v>1.0</v>
      </c>
      <c r="K10320" s="3">
        <v>2.0</v>
      </c>
      <c r="L10320" s="4" t="s">
        <v>63537</v>
      </c>
      <c r="M10320" s="2" t="s">
        <v>63545</v>
      </c>
      <c r="N10320" s="2" t="s">
        <v>28460</v>
      </c>
      <c r="O10320" s="4" t="s">
        <v>28461</v>
      </c>
      <c r="P10320" s="2" t="s">
        <v>63530</v>
      </c>
      <c r="Q10320" s="2" t="s">
        <v>31</v>
      </c>
      <c r="R10320" s="2" t="s">
        <v>616</v>
      </c>
      <c r="S10320" s="4" t="s">
        <v>28462</v>
      </c>
      <c r="T10320" s="2" t="s">
        <v>66</v>
      </c>
      <c r="U10320" s="4" t="s">
        <v>63531</v>
      </c>
      <c r="V10320" s="2" t="s">
        <v>63546</v>
      </c>
      <c r="W10320" s="2" t="s">
        <v>63526</v>
      </c>
      <c r="X10320" s="5" t="str">
        <f>HYPERLINK("https://my.pitchbook.com?p=170873-11P","View People Online")</f>
        <v>View People Online</v>
      </c>
    </row>
    <row r="10321">
      <c r="A10321" s="14" t="s">
        <v>63547</v>
      </c>
      <c r="B10321" s="14" t="s">
        <v>63548</v>
      </c>
      <c r="C10321" s="14" t="s">
        <v>11204</v>
      </c>
      <c r="D10321" s="14" t="s">
        <v>63549</v>
      </c>
      <c r="E10321" s="14" t="s">
        <v>63526</v>
      </c>
      <c r="F10321" s="14" t="s">
        <v>548</v>
      </c>
      <c r="G10321" s="14" t="s">
        <v>63550</v>
      </c>
      <c r="H10321" s="15" t="s">
        <v>31</v>
      </c>
      <c r="I10321" s="15">
        <v>16.0</v>
      </c>
      <c r="J10321" s="15">
        <v>1.0</v>
      </c>
      <c r="K10321" s="15">
        <v>15.0</v>
      </c>
      <c r="L10321" s="16" t="s">
        <v>63537</v>
      </c>
      <c r="M10321" s="14" t="s">
        <v>63551</v>
      </c>
      <c r="N10321" s="14" t="s">
        <v>28460</v>
      </c>
      <c r="O10321" s="16" t="s">
        <v>28461</v>
      </c>
      <c r="P10321" s="14" t="s">
        <v>63530</v>
      </c>
      <c r="Q10321" s="14" t="s">
        <v>31</v>
      </c>
      <c r="R10321" s="14" t="s">
        <v>616</v>
      </c>
      <c r="S10321" s="16" t="s">
        <v>28462</v>
      </c>
      <c r="T10321" s="14" t="s">
        <v>66</v>
      </c>
      <c r="U10321" s="16" t="s">
        <v>63531</v>
      </c>
      <c r="V10321" s="14" t="s">
        <v>63552</v>
      </c>
      <c r="W10321" s="14" t="s">
        <v>63526</v>
      </c>
      <c r="X10321" s="17" t="str">
        <f>HYPERLINK("https://my.pitchbook.com?p=264026-44P","View People Online")</f>
        <v>View People Online</v>
      </c>
    </row>
    <row r="10322">
      <c r="A10322" s="2" t="s">
        <v>63553</v>
      </c>
      <c r="B10322" s="2" t="s">
        <v>63554</v>
      </c>
      <c r="C10322" s="2" t="s">
        <v>63555</v>
      </c>
      <c r="D10322" s="2" t="s">
        <v>63556</v>
      </c>
      <c r="E10322" s="2" t="s">
        <v>63526</v>
      </c>
      <c r="F10322" s="2" t="s">
        <v>548</v>
      </c>
      <c r="G10322" s="2" t="s">
        <v>31</v>
      </c>
      <c r="H10322" s="3" t="s">
        <v>31</v>
      </c>
      <c r="I10322" s="3">
        <v>3.0</v>
      </c>
      <c r="J10322" s="3">
        <v>1.0</v>
      </c>
      <c r="K10322" s="3">
        <v>2.0</v>
      </c>
      <c r="L10322" s="4" t="s">
        <v>63537</v>
      </c>
      <c r="M10322" s="2" t="s">
        <v>31</v>
      </c>
      <c r="N10322" s="2" t="s">
        <v>28460</v>
      </c>
      <c r="O10322" s="4" t="s">
        <v>28461</v>
      </c>
      <c r="P10322" s="2" t="s">
        <v>63530</v>
      </c>
      <c r="Q10322" s="2" t="s">
        <v>31</v>
      </c>
      <c r="R10322" s="2" t="s">
        <v>616</v>
      </c>
      <c r="S10322" s="4" t="s">
        <v>28462</v>
      </c>
      <c r="T10322" s="2" t="s">
        <v>66</v>
      </c>
      <c r="U10322" s="4" t="s">
        <v>63531</v>
      </c>
      <c r="V10322" s="2" t="s">
        <v>10019</v>
      </c>
      <c r="W10322" s="2" t="s">
        <v>63526</v>
      </c>
      <c r="X10322" s="5" t="str">
        <f>HYPERLINK("https://my.pitchbook.com?p=402426-37P","View People Online")</f>
        <v>View People Online</v>
      </c>
    </row>
    <row r="10323">
      <c r="A10323" s="14" t="s">
        <v>63557</v>
      </c>
      <c r="B10323" s="14" t="s">
        <v>63558</v>
      </c>
      <c r="C10323" s="14" t="s">
        <v>1998</v>
      </c>
      <c r="D10323" s="14" t="s">
        <v>63556</v>
      </c>
      <c r="E10323" s="14" t="s">
        <v>63526</v>
      </c>
      <c r="F10323" s="14" t="s">
        <v>270</v>
      </c>
      <c r="G10323" s="14" t="s">
        <v>63559</v>
      </c>
      <c r="H10323" s="15" t="s">
        <v>31</v>
      </c>
      <c r="I10323" s="15">
        <v>8.0</v>
      </c>
      <c r="J10323" s="15">
        <v>1.0</v>
      </c>
      <c r="K10323" s="15">
        <v>7.0</v>
      </c>
      <c r="L10323" s="16" t="s">
        <v>63537</v>
      </c>
      <c r="M10323" s="14" t="s">
        <v>63560</v>
      </c>
      <c r="N10323" s="14" t="s">
        <v>28460</v>
      </c>
      <c r="O10323" s="16" t="s">
        <v>28461</v>
      </c>
      <c r="P10323" s="14" t="s">
        <v>63530</v>
      </c>
      <c r="Q10323" s="14" t="s">
        <v>31</v>
      </c>
      <c r="R10323" s="14" t="s">
        <v>616</v>
      </c>
      <c r="S10323" s="16" t="s">
        <v>28462</v>
      </c>
      <c r="T10323" s="14" t="s">
        <v>66</v>
      </c>
      <c r="U10323" s="16" t="s">
        <v>63531</v>
      </c>
      <c r="V10323" s="14" t="s">
        <v>10019</v>
      </c>
      <c r="W10323" s="14" t="s">
        <v>63526</v>
      </c>
      <c r="X10323" s="17" t="str">
        <f>HYPERLINK("https://my.pitchbook.com?p=342598-42P","View People Online")</f>
        <v>View People Online</v>
      </c>
    </row>
    <row r="10324">
      <c r="A10324" s="10" t="s">
        <v>63561</v>
      </c>
      <c r="B10324" s="10" t="s">
        <v>63562</v>
      </c>
      <c r="C10324" s="10" t="s">
        <v>8106</v>
      </c>
      <c r="D10324" s="10" t="s">
        <v>63563</v>
      </c>
      <c r="E10324" s="10" t="s">
        <v>63526</v>
      </c>
      <c r="F10324" s="10" t="s">
        <v>548</v>
      </c>
      <c r="G10324" s="10" t="s">
        <v>63564</v>
      </c>
      <c r="H10324" s="11" t="s">
        <v>31</v>
      </c>
      <c r="I10324" s="11">
        <v>19.0</v>
      </c>
      <c r="J10324" s="11">
        <v>1.0</v>
      </c>
      <c r="K10324" s="11">
        <v>18.0</v>
      </c>
      <c r="L10324" s="12" t="s">
        <v>63537</v>
      </c>
      <c r="M10324" s="10" t="s">
        <v>63565</v>
      </c>
      <c r="N10324" s="10" t="s">
        <v>28460</v>
      </c>
      <c r="O10324" s="12" t="s">
        <v>28461</v>
      </c>
      <c r="P10324" s="10" t="s">
        <v>63530</v>
      </c>
      <c r="Q10324" s="10" t="s">
        <v>31</v>
      </c>
      <c r="R10324" s="10" t="s">
        <v>616</v>
      </c>
      <c r="S10324" s="12" t="s">
        <v>28462</v>
      </c>
      <c r="T10324" s="10" t="s">
        <v>66</v>
      </c>
      <c r="U10324" s="12" t="s">
        <v>63531</v>
      </c>
      <c r="V10324" s="10" t="s">
        <v>63532</v>
      </c>
      <c r="W10324" s="10" t="s">
        <v>63526</v>
      </c>
      <c r="X10324" s="13" t="str">
        <f>HYPERLINK("https://my.pitchbook.com?p=273033-37P","View People Online")</f>
        <v>View People Online</v>
      </c>
    </row>
    <row r="10325">
      <c r="A10325" s="14" t="s">
        <v>63566</v>
      </c>
      <c r="B10325" s="14" t="s">
        <v>63567</v>
      </c>
      <c r="C10325" s="14" t="s">
        <v>16295</v>
      </c>
      <c r="D10325" s="14" t="s">
        <v>63568</v>
      </c>
      <c r="E10325" s="14" t="s">
        <v>63526</v>
      </c>
      <c r="F10325" s="14" t="s">
        <v>2366</v>
      </c>
      <c r="G10325" s="14" t="s">
        <v>63569</v>
      </c>
      <c r="H10325" s="15" t="s">
        <v>31</v>
      </c>
      <c r="I10325" s="15">
        <v>8.0</v>
      </c>
      <c r="J10325" s="15">
        <v>1.0</v>
      </c>
      <c r="K10325" s="15">
        <v>7.0</v>
      </c>
      <c r="L10325" s="16" t="s">
        <v>63537</v>
      </c>
      <c r="M10325" s="14" t="s">
        <v>63570</v>
      </c>
      <c r="N10325" s="14" t="s">
        <v>28460</v>
      </c>
      <c r="O10325" s="16" t="s">
        <v>28461</v>
      </c>
      <c r="P10325" s="14" t="s">
        <v>63530</v>
      </c>
      <c r="Q10325" s="14" t="s">
        <v>31</v>
      </c>
      <c r="R10325" s="14" t="s">
        <v>616</v>
      </c>
      <c r="S10325" s="16" t="s">
        <v>28462</v>
      </c>
      <c r="T10325" s="14" t="s">
        <v>66</v>
      </c>
      <c r="U10325" s="16" t="s">
        <v>63531</v>
      </c>
      <c r="V10325" s="14" t="s">
        <v>63571</v>
      </c>
      <c r="W10325" s="14" t="s">
        <v>63526</v>
      </c>
      <c r="X10325" s="17" t="str">
        <f>HYPERLINK("https://my.pitchbook.com?p=369450-37P","View People Online")</f>
        <v>View People Online</v>
      </c>
    </row>
    <row r="10326">
      <c r="A10326" s="10" t="s">
        <v>63572</v>
      </c>
      <c r="B10326" s="10" t="s">
        <v>63573</v>
      </c>
      <c r="C10326" s="10" t="s">
        <v>807</v>
      </c>
      <c r="D10326" s="10" t="s">
        <v>40502</v>
      </c>
      <c r="E10326" s="10" t="s">
        <v>63526</v>
      </c>
      <c r="F10326" s="10" t="s">
        <v>270</v>
      </c>
      <c r="G10326" s="10" t="s">
        <v>63574</v>
      </c>
      <c r="H10326" s="11" t="s">
        <v>31</v>
      </c>
      <c r="I10326" s="11">
        <v>1.0</v>
      </c>
      <c r="J10326" s="11">
        <v>1.0</v>
      </c>
      <c r="K10326" s="11" t="s">
        <v>31</v>
      </c>
      <c r="L10326" s="12" t="s">
        <v>63537</v>
      </c>
      <c r="M10326" s="10" t="s">
        <v>63575</v>
      </c>
      <c r="N10326" s="10" t="s">
        <v>28460</v>
      </c>
      <c r="O10326" s="12" t="s">
        <v>28461</v>
      </c>
      <c r="P10326" s="10" t="s">
        <v>63530</v>
      </c>
      <c r="Q10326" s="10" t="s">
        <v>31</v>
      </c>
      <c r="R10326" s="10" t="s">
        <v>616</v>
      </c>
      <c r="S10326" s="12" t="s">
        <v>28462</v>
      </c>
      <c r="T10326" s="10" t="s">
        <v>66</v>
      </c>
      <c r="U10326" s="12" t="s">
        <v>63531</v>
      </c>
      <c r="V10326" s="10" t="s">
        <v>63576</v>
      </c>
      <c r="W10326" s="10" t="s">
        <v>63526</v>
      </c>
      <c r="X10326" s="13" t="str">
        <f>HYPERLINK("https://my.pitchbook.com?p=222284-17P","View People Online")</f>
        <v>View People Online</v>
      </c>
    </row>
    <row r="10327">
      <c r="A10327" s="6" t="s">
        <v>63577</v>
      </c>
      <c r="B10327" s="6" t="s">
        <v>63578</v>
      </c>
      <c r="C10327" s="6" t="s">
        <v>63579</v>
      </c>
      <c r="D10327" s="6" t="s">
        <v>63580</v>
      </c>
      <c r="E10327" s="6" t="s">
        <v>63526</v>
      </c>
      <c r="F10327" s="6" t="s">
        <v>2366</v>
      </c>
      <c r="G10327" s="6" t="s">
        <v>63581</v>
      </c>
      <c r="H10327" s="7" t="s">
        <v>31</v>
      </c>
      <c r="I10327" s="7">
        <v>5.0</v>
      </c>
      <c r="J10327" s="7">
        <v>1.0</v>
      </c>
      <c r="K10327" s="7">
        <v>4.0</v>
      </c>
      <c r="L10327" s="8" t="s">
        <v>63537</v>
      </c>
      <c r="M10327" s="6" t="s">
        <v>63582</v>
      </c>
      <c r="N10327" s="6" t="s">
        <v>28460</v>
      </c>
      <c r="O10327" s="8" t="s">
        <v>28461</v>
      </c>
      <c r="P10327" s="6" t="s">
        <v>63530</v>
      </c>
      <c r="Q10327" s="6" t="s">
        <v>31</v>
      </c>
      <c r="R10327" s="6" t="s">
        <v>616</v>
      </c>
      <c r="S10327" s="8" t="s">
        <v>28462</v>
      </c>
      <c r="T10327" s="6" t="s">
        <v>66</v>
      </c>
      <c r="U10327" s="8" t="s">
        <v>63531</v>
      </c>
      <c r="V10327" s="6" t="s">
        <v>63583</v>
      </c>
      <c r="W10327" s="6" t="s">
        <v>63526</v>
      </c>
      <c r="X10327" s="9" t="str">
        <f>HYPERLINK("https://my.pitchbook.com?p=169852-51P","View People Online")</f>
        <v>View People Online</v>
      </c>
    </row>
    <row r="10328">
      <c r="A10328" s="2" t="s">
        <v>63584</v>
      </c>
      <c r="B10328" s="2" t="s">
        <v>58126</v>
      </c>
      <c r="C10328" s="2" t="s">
        <v>4345</v>
      </c>
      <c r="D10328" s="2" t="s">
        <v>58127</v>
      </c>
      <c r="E10328" s="2" t="s">
        <v>63526</v>
      </c>
      <c r="F10328" s="2" t="s">
        <v>548</v>
      </c>
      <c r="G10328" s="2" t="s">
        <v>63585</v>
      </c>
      <c r="H10328" s="3" t="s">
        <v>31</v>
      </c>
      <c r="I10328" s="3">
        <v>22.0</v>
      </c>
      <c r="J10328" s="3">
        <v>1.0</v>
      </c>
      <c r="K10328" s="3">
        <v>21.0</v>
      </c>
      <c r="L10328" s="4" t="s">
        <v>63586</v>
      </c>
      <c r="M10328" s="2" t="s">
        <v>63587</v>
      </c>
      <c r="N10328" s="2" t="s">
        <v>28460</v>
      </c>
      <c r="O10328" s="4" t="s">
        <v>28461</v>
      </c>
      <c r="P10328" s="2" t="s">
        <v>63530</v>
      </c>
      <c r="Q10328" s="2" t="s">
        <v>31</v>
      </c>
      <c r="R10328" s="2" t="s">
        <v>616</v>
      </c>
      <c r="S10328" s="4" t="s">
        <v>28462</v>
      </c>
      <c r="T10328" s="2" t="s">
        <v>66</v>
      </c>
      <c r="U10328" s="4" t="s">
        <v>63531</v>
      </c>
      <c r="V10328" s="2" t="s">
        <v>63588</v>
      </c>
      <c r="W10328" s="2" t="s">
        <v>63526</v>
      </c>
      <c r="X10328" s="5" t="str">
        <f>HYPERLINK("https://my.pitchbook.com?p=171297-10P","View People Online")</f>
        <v>View People Online</v>
      </c>
    </row>
    <row r="10329">
      <c r="A10329" s="6" t="s">
        <v>63589</v>
      </c>
      <c r="B10329" s="6" t="s">
        <v>63590</v>
      </c>
      <c r="C10329" s="6" t="s">
        <v>63591</v>
      </c>
      <c r="D10329" s="6" t="s">
        <v>63592</v>
      </c>
      <c r="E10329" s="6" t="s">
        <v>63526</v>
      </c>
      <c r="F10329" s="6" t="s">
        <v>63593</v>
      </c>
      <c r="G10329" s="6" t="s">
        <v>63594</v>
      </c>
      <c r="H10329" s="7" t="s">
        <v>31</v>
      </c>
      <c r="I10329" s="7">
        <v>1.0</v>
      </c>
      <c r="J10329" s="7">
        <v>1.0</v>
      </c>
      <c r="K10329" s="7" t="s">
        <v>31</v>
      </c>
      <c r="L10329" s="8" t="s">
        <v>63537</v>
      </c>
      <c r="M10329" s="6" t="s">
        <v>63595</v>
      </c>
      <c r="N10329" s="6" t="s">
        <v>28460</v>
      </c>
      <c r="O10329" s="8" t="s">
        <v>28461</v>
      </c>
      <c r="P10329" s="6" t="s">
        <v>63530</v>
      </c>
      <c r="Q10329" s="6" t="s">
        <v>31</v>
      </c>
      <c r="R10329" s="6" t="s">
        <v>616</v>
      </c>
      <c r="S10329" s="8" t="s">
        <v>28462</v>
      </c>
      <c r="T10329" s="6" t="s">
        <v>66</v>
      </c>
      <c r="U10329" s="8" t="s">
        <v>63531</v>
      </c>
      <c r="V10329" s="6" t="s">
        <v>63596</v>
      </c>
      <c r="W10329" s="6" t="s">
        <v>63526</v>
      </c>
      <c r="X10329" s="9" t="str">
        <f>HYPERLINK("https://my.pitchbook.com?p=371560-87P","View People Online")</f>
        <v>View People Online</v>
      </c>
    </row>
    <row r="10330">
      <c r="A10330" s="10" t="s">
        <v>63597</v>
      </c>
      <c r="B10330" s="10" t="s">
        <v>63598</v>
      </c>
      <c r="C10330" s="10" t="s">
        <v>17803</v>
      </c>
      <c r="D10330" s="10" t="s">
        <v>63599</v>
      </c>
      <c r="E10330" s="10" t="s">
        <v>63526</v>
      </c>
      <c r="F10330" s="10" t="s">
        <v>548</v>
      </c>
      <c r="G10330" s="10" t="s">
        <v>63600</v>
      </c>
      <c r="H10330" s="11" t="s">
        <v>31</v>
      </c>
      <c r="I10330" s="11">
        <v>6.0</v>
      </c>
      <c r="J10330" s="11">
        <v>1.0</v>
      </c>
      <c r="K10330" s="11">
        <v>5.0</v>
      </c>
      <c r="L10330" s="12" t="s">
        <v>63537</v>
      </c>
      <c r="M10330" s="10" t="s">
        <v>63601</v>
      </c>
      <c r="N10330" s="10" t="s">
        <v>28460</v>
      </c>
      <c r="O10330" s="12" t="s">
        <v>28461</v>
      </c>
      <c r="P10330" s="10" t="s">
        <v>63530</v>
      </c>
      <c r="Q10330" s="10" t="s">
        <v>31</v>
      </c>
      <c r="R10330" s="10" t="s">
        <v>616</v>
      </c>
      <c r="S10330" s="12" t="s">
        <v>28462</v>
      </c>
      <c r="T10330" s="10" t="s">
        <v>66</v>
      </c>
      <c r="U10330" s="12" t="s">
        <v>63531</v>
      </c>
      <c r="V10330" s="10" t="s">
        <v>10019</v>
      </c>
      <c r="W10330" s="10" t="s">
        <v>63526</v>
      </c>
      <c r="X10330" s="13" t="str">
        <f>HYPERLINK("https://my.pitchbook.com?p=165469-69P","View People Online")</f>
        <v>View People Online</v>
      </c>
    </row>
    <row r="10331">
      <c r="A10331" s="6" t="s">
        <v>63602</v>
      </c>
      <c r="B10331" s="6" t="s">
        <v>63603</v>
      </c>
      <c r="C10331" s="6" t="s">
        <v>3058</v>
      </c>
      <c r="D10331" s="6" t="s">
        <v>46393</v>
      </c>
      <c r="E10331" s="6" t="s">
        <v>63526</v>
      </c>
      <c r="F10331" s="6" t="s">
        <v>548</v>
      </c>
      <c r="G10331" s="6" t="s">
        <v>63604</v>
      </c>
      <c r="H10331" s="7" t="s">
        <v>31</v>
      </c>
      <c r="I10331" s="7">
        <v>4.0</v>
      </c>
      <c r="J10331" s="7">
        <v>1.0</v>
      </c>
      <c r="K10331" s="7">
        <v>3.0</v>
      </c>
      <c r="L10331" s="8" t="s">
        <v>63537</v>
      </c>
      <c r="M10331" s="6" t="s">
        <v>63605</v>
      </c>
      <c r="N10331" s="6" t="s">
        <v>28460</v>
      </c>
      <c r="O10331" s="8" t="s">
        <v>28461</v>
      </c>
      <c r="P10331" s="6" t="s">
        <v>63530</v>
      </c>
      <c r="Q10331" s="6" t="s">
        <v>31</v>
      </c>
      <c r="R10331" s="6" t="s">
        <v>616</v>
      </c>
      <c r="S10331" s="8" t="s">
        <v>28462</v>
      </c>
      <c r="T10331" s="6" t="s">
        <v>66</v>
      </c>
      <c r="U10331" s="8" t="s">
        <v>63531</v>
      </c>
      <c r="V10331" s="6" t="s">
        <v>10019</v>
      </c>
      <c r="W10331" s="6" t="s">
        <v>63526</v>
      </c>
      <c r="X10331" s="9" t="str">
        <f>HYPERLINK("https://my.pitchbook.com?p=376920-19P","View People Online")</f>
        <v>View People Online</v>
      </c>
    </row>
    <row r="10332">
      <c r="A10332" s="2" t="s">
        <v>63606</v>
      </c>
      <c r="B10332" s="2" t="s">
        <v>63607</v>
      </c>
      <c r="C10332" s="2" t="s">
        <v>3082</v>
      </c>
      <c r="D10332" s="2" t="s">
        <v>63608</v>
      </c>
      <c r="E10332" s="2" t="s">
        <v>63526</v>
      </c>
      <c r="F10332" s="2" t="s">
        <v>81</v>
      </c>
      <c r="G10332" s="2" t="s">
        <v>63609</v>
      </c>
      <c r="H10332" s="3">
        <v>1.0</v>
      </c>
      <c r="I10332" s="3">
        <v>3.0</v>
      </c>
      <c r="J10332" s="3">
        <v>2.0</v>
      </c>
      <c r="K10332" s="3" t="s">
        <v>31</v>
      </c>
      <c r="L10332" s="4" t="s">
        <v>63610</v>
      </c>
      <c r="M10332" s="2" t="s">
        <v>63611</v>
      </c>
      <c r="N10332" s="2" t="s">
        <v>75</v>
      </c>
      <c r="O10332" s="4" t="s">
        <v>76</v>
      </c>
      <c r="P10332" s="2" t="s">
        <v>53444</v>
      </c>
      <c r="Q10332" s="2" t="s">
        <v>2340</v>
      </c>
      <c r="R10332" s="2" t="s">
        <v>75</v>
      </c>
      <c r="S10332" s="4" t="s">
        <v>1432</v>
      </c>
      <c r="T10332" s="2" t="s">
        <v>66</v>
      </c>
      <c r="U10332" s="4" t="s">
        <v>31</v>
      </c>
      <c r="V10332" s="2" t="s">
        <v>63612</v>
      </c>
      <c r="W10332" s="2" t="s">
        <v>63613</v>
      </c>
      <c r="X10332" s="5" t="str">
        <f>HYPERLINK("https://my.pitchbook.com?p=199625-77P","View People Online")</f>
        <v>View People Online</v>
      </c>
    </row>
    <row r="10333">
      <c r="A10333" s="6" t="s">
        <v>63614</v>
      </c>
      <c r="B10333" s="6" t="s">
        <v>63615</v>
      </c>
      <c r="C10333" s="6" t="s">
        <v>18382</v>
      </c>
      <c r="D10333" s="6" t="s">
        <v>63616</v>
      </c>
      <c r="E10333" s="6" t="s">
        <v>63526</v>
      </c>
      <c r="F10333" s="6" t="s">
        <v>78</v>
      </c>
      <c r="G10333" s="6" t="s">
        <v>63617</v>
      </c>
      <c r="H10333" s="7" t="s">
        <v>31</v>
      </c>
      <c r="I10333" s="7">
        <v>1.0</v>
      </c>
      <c r="J10333" s="7">
        <v>1.0</v>
      </c>
      <c r="K10333" s="7" t="s">
        <v>31</v>
      </c>
      <c r="L10333" s="8" t="s">
        <v>63537</v>
      </c>
      <c r="M10333" s="6" t="s">
        <v>63618</v>
      </c>
      <c r="N10333" s="6" t="s">
        <v>28460</v>
      </c>
      <c r="O10333" s="8" t="s">
        <v>28461</v>
      </c>
      <c r="P10333" s="6" t="s">
        <v>63530</v>
      </c>
      <c r="Q10333" s="6" t="s">
        <v>31</v>
      </c>
      <c r="R10333" s="6" t="s">
        <v>616</v>
      </c>
      <c r="S10333" s="8" t="s">
        <v>28462</v>
      </c>
      <c r="T10333" s="6" t="s">
        <v>66</v>
      </c>
      <c r="U10333" s="8" t="s">
        <v>63531</v>
      </c>
      <c r="V10333" s="6" t="s">
        <v>78</v>
      </c>
      <c r="W10333" s="6" t="s">
        <v>63526</v>
      </c>
      <c r="X10333" s="9" t="str">
        <f>HYPERLINK("https://my.pitchbook.com?p=294908-05P","View People Online")</f>
        <v>View People Online</v>
      </c>
    </row>
    <row r="10334">
      <c r="A10334" s="2" t="s">
        <v>63619</v>
      </c>
      <c r="B10334" s="2" t="s">
        <v>63620</v>
      </c>
      <c r="C10334" s="2" t="s">
        <v>5985</v>
      </c>
      <c r="D10334" s="2" t="s">
        <v>63621</v>
      </c>
      <c r="E10334" s="2" t="s">
        <v>63526</v>
      </c>
      <c r="F10334" s="2" t="s">
        <v>270</v>
      </c>
      <c r="G10334" s="2" t="s">
        <v>63622</v>
      </c>
      <c r="H10334" s="3" t="s">
        <v>31</v>
      </c>
      <c r="I10334" s="3">
        <v>2.0</v>
      </c>
      <c r="J10334" s="3">
        <v>1.0</v>
      </c>
      <c r="K10334" s="3">
        <v>1.0</v>
      </c>
      <c r="L10334" s="4" t="s">
        <v>63623</v>
      </c>
      <c r="M10334" s="2" t="s">
        <v>63624</v>
      </c>
      <c r="N10334" s="2" t="s">
        <v>28460</v>
      </c>
      <c r="O10334" s="4" t="s">
        <v>28461</v>
      </c>
      <c r="P10334" s="2" t="s">
        <v>63530</v>
      </c>
      <c r="Q10334" s="2" t="s">
        <v>31</v>
      </c>
      <c r="R10334" s="2" t="s">
        <v>616</v>
      </c>
      <c r="S10334" s="4" t="s">
        <v>28462</v>
      </c>
      <c r="T10334" s="2" t="s">
        <v>66</v>
      </c>
      <c r="U10334" s="4" t="s">
        <v>63531</v>
      </c>
      <c r="V10334" s="2" t="s">
        <v>63625</v>
      </c>
      <c r="W10334" s="2" t="s">
        <v>63526</v>
      </c>
      <c r="X10334" s="5" t="str">
        <f>HYPERLINK("https://my.pitchbook.com?p=169277-95P","View People Online")</f>
        <v>View People Online</v>
      </c>
    </row>
    <row r="10335">
      <c r="A10335" s="14" t="s">
        <v>63626</v>
      </c>
      <c r="B10335" s="14" t="s">
        <v>63627</v>
      </c>
      <c r="C10335" s="14" t="s">
        <v>5186</v>
      </c>
      <c r="D10335" s="14" t="s">
        <v>63628</v>
      </c>
      <c r="E10335" s="14" t="s">
        <v>63526</v>
      </c>
      <c r="F10335" s="14" t="s">
        <v>548</v>
      </c>
      <c r="G10335" s="14" t="s">
        <v>63629</v>
      </c>
      <c r="H10335" s="15" t="s">
        <v>31</v>
      </c>
      <c r="I10335" s="15">
        <v>4.0</v>
      </c>
      <c r="J10335" s="15">
        <v>2.0</v>
      </c>
      <c r="K10335" s="15">
        <v>2.0</v>
      </c>
      <c r="L10335" s="16" t="s">
        <v>31</v>
      </c>
      <c r="M10335" s="14" t="s">
        <v>31</v>
      </c>
      <c r="N10335" s="14" t="s">
        <v>31</v>
      </c>
      <c r="O10335" s="16" t="s">
        <v>63630</v>
      </c>
      <c r="P10335" s="14" t="s">
        <v>63631</v>
      </c>
      <c r="Q10335" s="14" t="s">
        <v>30051</v>
      </c>
      <c r="R10335" s="14" t="s">
        <v>75</v>
      </c>
      <c r="S10335" s="16" t="s">
        <v>63632</v>
      </c>
      <c r="T10335" s="14" t="s">
        <v>66</v>
      </c>
      <c r="U10335" s="16" t="s">
        <v>31</v>
      </c>
      <c r="V10335" s="14" t="s">
        <v>63633</v>
      </c>
      <c r="W10335" s="14" t="s">
        <v>63634</v>
      </c>
      <c r="X10335" s="17" t="str">
        <f>HYPERLINK("https://my.pitchbook.com?p=152320-42P","View People Online")</f>
        <v>View People Online</v>
      </c>
    </row>
    <row r="10336">
      <c r="A10336" s="10" t="s">
        <v>63635</v>
      </c>
      <c r="B10336" s="10" t="s">
        <v>63636</v>
      </c>
      <c r="C10336" s="10" t="s">
        <v>38996</v>
      </c>
      <c r="D10336" s="10" t="s">
        <v>63637</v>
      </c>
      <c r="E10336" s="10" t="s">
        <v>63526</v>
      </c>
      <c r="F10336" s="10" t="s">
        <v>548</v>
      </c>
      <c r="G10336" s="10" t="s">
        <v>63638</v>
      </c>
      <c r="H10336" s="11" t="s">
        <v>31</v>
      </c>
      <c r="I10336" s="11">
        <v>10.0</v>
      </c>
      <c r="J10336" s="11">
        <v>1.0</v>
      </c>
      <c r="K10336" s="11">
        <v>9.0</v>
      </c>
      <c r="L10336" s="12" t="s">
        <v>63639</v>
      </c>
      <c r="M10336" s="10" t="s">
        <v>63640</v>
      </c>
      <c r="N10336" s="10" t="s">
        <v>28460</v>
      </c>
      <c r="O10336" s="12" t="s">
        <v>28461</v>
      </c>
      <c r="P10336" s="10" t="s">
        <v>63530</v>
      </c>
      <c r="Q10336" s="10" t="s">
        <v>31</v>
      </c>
      <c r="R10336" s="10" t="s">
        <v>616</v>
      </c>
      <c r="S10336" s="12" t="s">
        <v>28462</v>
      </c>
      <c r="T10336" s="10" t="s">
        <v>66</v>
      </c>
      <c r="U10336" s="12" t="s">
        <v>63531</v>
      </c>
      <c r="V10336" s="10" t="s">
        <v>10019</v>
      </c>
      <c r="W10336" s="10" t="s">
        <v>63526</v>
      </c>
      <c r="X10336" s="13" t="str">
        <f>HYPERLINK("https://my.pitchbook.com?p=371649-79P","View People Online")</f>
        <v>View People Online</v>
      </c>
    </row>
    <row r="10337">
      <c r="A10337" s="6" t="s">
        <v>63641</v>
      </c>
      <c r="B10337" s="6" t="s">
        <v>63642</v>
      </c>
      <c r="C10337" s="6" t="s">
        <v>19806</v>
      </c>
      <c r="D10337" s="6" t="s">
        <v>63643</v>
      </c>
      <c r="E10337" s="6" t="s">
        <v>63526</v>
      </c>
      <c r="F10337" s="6" t="s">
        <v>270</v>
      </c>
      <c r="G10337" s="6" t="s">
        <v>63644</v>
      </c>
      <c r="H10337" s="7" t="s">
        <v>31</v>
      </c>
      <c r="I10337" s="7">
        <v>1.0</v>
      </c>
      <c r="J10337" s="7">
        <v>1.0</v>
      </c>
      <c r="K10337" s="7" t="s">
        <v>31</v>
      </c>
      <c r="L10337" s="8" t="s">
        <v>63537</v>
      </c>
      <c r="M10337" s="6" t="s">
        <v>63645</v>
      </c>
      <c r="N10337" s="6" t="s">
        <v>28460</v>
      </c>
      <c r="O10337" s="8" t="s">
        <v>28461</v>
      </c>
      <c r="P10337" s="6" t="s">
        <v>63530</v>
      </c>
      <c r="Q10337" s="6" t="s">
        <v>31</v>
      </c>
      <c r="R10337" s="6" t="s">
        <v>616</v>
      </c>
      <c r="S10337" s="8" t="s">
        <v>28462</v>
      </c>
      <c r="T10337" s="6" t="s">
        <v>66</v>
      </c>
      <c r="U10337" s="8" t="s">
        <v>63531</v>
      </c>
      <c r="V10337" s="6" t="s">
        <v>63646</v>
      </c>
      <c r="W10337" s="6" t="s">
        <v>63526</v>
      </c>
      <c r="X10337" s="9" t="str">
        <f>HYPERLINK("https://my.pitchbook.com?p=426990-25P","View People Online")</f>
        <v>View People Online</v>
      </c>
    </row>
    <row r="10338">
      <c r="A10338" s="10" t="s">
        <v>63647</v>
      </c>
      <c r="B10338" s="10" t="s">
        <v>63648</v>
      </c>
      <c r="C10338" s="10" t="s">
        <v>63649</v>
      </c>
      <c r="D10338" s="10" t="s">
        <v>63650</v>
      </c>
      <c r="E10338" s="10" t="s">
        <v>63526</v>
      </c>
      <c r="F10338" s="10" t="s">
        <v>548</v>
      </c>
      <c r="G10338" s="10" t="s">
        <v>63651</v>
      </c>
      <c r="H10338" s="11" t="s">
        <v>31</v>
      </c>
      <c r="I10338" s="11">
        <v>9.0</v>
      </c>
      <c r="J10338" s="11">
        <v>1.0</v>
      </c>
      <c r="K10338" s="11">
        <v>8.0</v>
      </c>
      <c r="L10338" s="12" t="s">
        <v>63537</v>
      </c>
      <c r="M10338" s="10" t="s">
        <v>63652</v>
      </c>
      <c r="N10338" s="10" t="s">
        <v>28460</v>
      </c>
      <c r="O10338" s="12" t="s">
        <v>28461</v>
      </c>
      <c r="P10338" s="10" t="s">
        <v>63530</v>
      </c>
      <c r="Q10338" s="10" t="s">
        <v>31</v>
      </c>
      <c r="R10338" s="10" t="s">
        <v>616</v>
      </c>
      <c r="S10338" s="12" t="s">
        <v>28462</v>
      </c>
      <c r="T10338" s="10" t="s">
        <v>66</v>
      </c>
      <c r="U10338" s="12" t="s">
        <v>63531</v>
      </c>
      <c r="V10338" s="10" t="s">
        <v>10019</v>
      </c>
      <c r="W10338" s="10" t="s">
        <v>63526</v>
      </c>
      <c r="X10338" s="13" t="str">
        <f>HYPERLINK("https://my.pitchbook.com?p=371675-89P","View People Online")</f>
        <v>View People Online</v>
      </c>
    </row>
    <row r="10339">
      <c r="A10339" s="14" t="s">
        <v>63653</v>
      </c>
      <c r="B10339" s="14" t="s">
        <v>63654</v>
      </c>
      <c r="C10339" s="14" t="s">
        <v>2388</v>
      </c>
      <c r="D10339" s="14" t="s">
        <v>63655</v>
      </c>
      <c r="E10339" s="14" t="s">
        <v>63526</v>
      </c>
      <c r="F10339" s="14" t="s">
        <v>548</v>
      </c>
      <c r="G10339" s="14" t="s">
        <v>63656</v>
      </c>
      <c r="H10339" s="15" t="s">
        <v>31</v>
      </c>
      <c r="I10339" s="15">
        <v>11.0</v>
      </c>
      <c r="J10339" s="15">
        <v>1.0</v>
      </c>
      <c r="K10339" s="15">
        <v>10.0</v>
      </c>
      <c r="L10339" s="16" t="s">
        <v>63657</v>
      </c>
      <c r="M10339" s="14" t="s">
        <v>63658</v>
      </c>
      <c r="N10339" s="14" t="s">
        <v>28460</v>
      </c>
      <c r="O10339" s="16" t="s">
        <v>28461</v>
      </c>
      <c r="P10339" s="14" t="s">
        <v>63530</v>
      </c>
      <c r="Q10339" s="14" t="s">
        <v>31</v>
      </c>
      <c r="R10339" s="14" t="s">
        <v>616</v>
      </c>
      <c r="S10339" s="16" t="s">
        <v>28462</v>
      </c>
      <c r="T10339" s="14" t="s">
        <v>66</v>
      </c>
      <c r="U10339" s="16" t="s">
        <v>63531</v>
      </c>
      <c r="V10339" s="14" t="s">
        <v>10019</v>
      </c>
      <c r="W10339" s="14" t="s">
        <v>63526</v>
      </c>
      <c r="X10339" s="17" t="str">
        <f>HYPERLINK("https://my.pitchbook.com?p=158421-88P","View People Online")</f>
        <v>View People Online</v>
      </c>
    </row>
    <row r="10340">
      <c r="A10340" s="2" t="s">
        <v>63659</v>
      </c>
      <c r="B10340" s="2" t="s">
        <v>63660</v>
      </c>
      <c r="C10340" s="2" t="s">
        <v>1677</v>
      </c>
      <c r="D10340" s="2" t="s">
        <v>3458</v>
      </c>
      <c r="E10340" s="2" t="s">
        <v>63526</v>
      </c>
      <c r="F10340" s="2" t="s">
        <v>548</v>
      </c>
      <c r="G10340" s="2" t="s">
        <v>63661</v>
      </c>
      <c r="H10340" s="3" t="s">
        <v>31</v>
      </c>
      <c r="I10340" s="3">
        <v>21.0</v>
      </c>
      <c r="J10340" s="3">
        <v>1.0</v>
      </c>
      <c r="K10340" s="3">
        <v>20.0</v>
      </c>
      <c r="L10340" s="4" t="s">
        <v>63537</v>
      </c>
      <c r="M10340" s="2" t="s">
        <v>63662</v>
      </c>
      <c r="N10340" s="2" t="s">
        <v>28460</v>
      </c>
      <c r="O10340" s="4" t="s">
        <v>28461</v>
      </c>
      <c r="P10340" s="2" t="s">
        <v>63530</v>
      </c>
      <c r="Q10340" s="2" t="s">
        <v>31</v>
      </c>
      <c r="R10340" s="2" t="s">
        <v>616</v>
      </c>
      <c r="S10340" s="4" t="s">
        <v>28462</v>
      </c>
      <c r="T10340" s="2" t="s">
        <v>66</v>
      </c>
      <c r="U10340" s="4" t="s">
        <v>63531</v>
      </c>
      <c r="V10340" s="2" t="s">
        <v>63532</v>
      </c>
      <c r="W10340" s="2" t="s">
        <v>63526</v>
      </c>
      <c r="X10340" s="5" t="str">
        <f>HYPERLINK("https://my.pitchbook.com?p=171299-89P","View People Online")</f>
        <v>View People Online</v>
      </c>
    </row>
    <row r="10341">
      <c r="A10341" s="6" t="s">
        <v>63663</v>
      </c>
      <c r="B10341" s="6" t="s">
        <v>63664</v>
      </c>
      <c r="C10341" s="6" t="s">
        <v>2426</v>
      </c>
      <c r="D10341" s="6" t="s">
        <v>63665</v>
      </c>
      <c r="E10341" s="6" t="s">
        <v>63526</v>
      </c>
      <c r="F10341" s="6" t="s">
        <v>548</v>
      </c>
      <c r="G10341" s="6" t="s">
        <v>63666</v>
      </c>
      <c r="H10341" s="7" t="s">
        <v>31</v>
      </c>
      <c r="I10341" s="7">
        <v>8.0</v>
      </c>
      <c r="J10341" s="7">
        <v>2.0</v>
      </c>
      <c r="K10341" s="7">
        <v>6.0</v>
      </c>
      <c r="L10341" s="8" t="s">
        <v>63537</v>
      </c>
      <c r="M10341" s="6" t="s">
        <v>63667</v>
      </c>
      <c r="N10341" s="6" t="s">
        <v>28460</v>
      </c>
      <c r="O10341" s="8" t="s">
        <v>28461</v>
      </c>
      <c r="P10341" s="6" t="s">
        <v>63530</v>
      </c>
      <c r="Q10341" s="6" t="s">
        <v>31</v>
      </c>
      <c r="R10341" s="6" t="s">
        <v>616</v>
      </c>
      <c r="S10341" s="8" t="s">
        <v>28462</v>
      </c>
      <c r="T10341" s="6" t="s">
        <v>66</v>
      </c>
      <c r="U10341" s="8" t="s">
        <v>63668</v>
      </c>
      <c r="V10341" s="6" t="s">
        <v>10019</v>
      </c>
      <c r="W10341" s="6" t="s">
        <v>63669</v>
      </c>
      <c r="X10341" s="9" t="str">
        <f>HYPERLINK("https://my.pitchbook.com?p=171296-38P","View People Online")</f>
        <v>View People Online</v>
      </c>
    </row>
    <row r="10342">
      <c r="A10342" s="2" t="s">
        <v>63670</v>
      </c>
      <c r="B10342" s="2" t="s">
        <v>63671</v>
      </c>
      <c r="C10342" s="2" t="s">
        <v>22376</v>
      </c>
      <c r="D10342" s="2" t="s">
        <v>63672</v>
      </c>
      <c r="E10342" s="2" t="s">
        <v>63526</v>
      </c>
      <c r="F10342" s="2" t="s">
        <v>78</v>
      </c>
      <c r="G10342" s="2" t="s">
        <v>63673</v>
      </c>
      <c r="H10342" s="3" t="s">
        <v>31</v>
      </c>
      <c r="I10342" s="3">
        <v>1.0</v>
      </c>
      <c r="J10342" s="3">
        <v>1.0</v>
      </c>
      <c r="K10342" s="3" t="s">
        <v>31</v>
      </c>
      <c r="L10342" s="4" t="s">
        <v>63674</v>
      </c>
      <c r="M10342" s="2" t="s">
        <v>63675</v>
      </c>
      <c r="N10342" s="2" t="s">
        <v>28460</v>
      </c>
      <c r="O10342" s="4" t="s">
        <v>28461</v>
      </c>
      <c r="P10342" s="2" t="s">
        <v>63530</v>
      </c>
      <c r="Q10342" s="2" t="s">
        <v>31</v>
      </c>
      <c r="R10342" s="2" t="s">
        <v>616</v>
      </c>
      <c r="S10342" s="4" t="s">
        <v>28462</v>
      </c>
      <c r="T10342" s="2" t="s">
        <v>66</v>
      </c>
      <c r="U10342" s="4" t="s">
        <v>63676</v>
      </c>
      <c r="V10342" s="2" t="s">
        <v>63677</v>
      </c>
      <c r="W10342" s="2" t="s">
        <v>63526</v>
      </c>
      <c r="X10342" s="5" t="str">
        <f>HYPERLINK("https://my.pitchbook.com?p=206969-05P","View People Online")</f>
        <v>View People Online</v>
      </c>
    </row>
    <row r="10343">
      <c r="A10343" s="6" t="s">
        <v>63678</v>
      </c>
      <c r="B10343" s="6" t="s">
        <v>63679</v>
      </c>
      <c r="C10343" s="6" t="s">
        <v>25350</v>
      </c>
      <c r="D10343" s="6" t="s">
        <v>63680</v>
      </c>
      <c r="E10343" s="6" t="s">
        <v>63526</v>
      </c>
      <c r="F10343" s="6" t="s">
        <v>56060</v>
      </c>
      <c r="G10343" s="6" t="s">
        <v>63681</v>
      </c>
      <c r="H10343" s="7" t="s">
        <v>31</v>
      </c>
      <c r="I10343" s="7">
        <v>1.0</v>
      </c>
      <c r="J10343" s="7">
        <v>1.0</v>
      </c>
      <c r="K10343" s="7" t="s">
        <v>31</v>
      </c>
      <c r="L10343" s="8" t="s">
        <v>63537</v>
      </c>
      <c r="M10343" s="6" t="s">
        <v>63682</v>
      </c>
      <c r="N10343" s="6" t="s">
        <v>28460</v>
      </c>
      <c r="O10343" s="8" t="s">
        <v>28461</v>
      </c>
      <c r="P10343" s="6" t="s">
        <v>63530</v>
      </c>
      <c r="Q10343" s="6" t="s">
        <v>31</v>
      </c>
      <c r="R10343" s="6" t="s">
        <v>616</v>
      </c>
      <c r="S10343" s="8" t="s">
        <v>28462</v>
      </c>
      <c r="T10343" s="6" t="s">
        <v>66</v>
      </c>
      <c r="U10343" s="8" t="s">
        <v>63531</v>
      </c>
      <c r="V10343" s="6" t="s">
        <v>56060</v>
      </c>
      <c r="W10343" s="6" t="s">
        <v>63526</v>
      </c>
      <c r="X10343" s="9" t="str">
        <f>HYPERLINK("https://my.pitchbook.com?p=379336-87P","View People Online")</f>
        <v>View People Online</v>
      </c>
    </row>
    <row r="10344">
      <c r="A10344" s="2" t="s">
        <v>63683</v>
      </c>
      <c r="B10344" s="2" t="s">
        <v>63684</v>
      </c>
      <c r="C10344" s="2" t="s">
        <v>7207</v>
      </c>
      <c r="D10344" s="2" t="s">
        <v>666</v>
      </c>
      <c r="E10344" s="2" t="s">
        <v>63526</v>
      </c>
      <c r="F10344" s="2" t="s">
        <v>270</v>
      </c>
      <c r="G10344" s="2" t="s">
        <v>63685</v>
      </c>
      <c r="H10344" s="3" t="s">
        <v>31</v>
      </c>
      <c r="I10344" s="3">
        <v>7.0</v>
      </c>
      <c r="J10344" s="3">
        <v>1.0</v>
      </c>
      <c r="K10344" s="3">
        <v>6.0</v>
      </c>
      <c r="L10344" s="4" t="s">
        <v>63537</v>
      </c>
      <c r="M10344" s="2" t="s">
        <v>63686</v>
      </c>
      <c r="N10344" s="2" t="s">
        <v>28460</v>
      </c>
      <c r="O10344" s="4" t="s">
        <v>28461</v>
      </c>
      <c r="P10344" s="2" t="s">
        <v>63530</v>
      </c>
      <c r="Q10344" s="2" t="s">
        <v>31</v>
      </c>
      <c r="R10344" s="2" t="s">
        <v>616</v>
      </c>
      <c r="S10344" s="4" t="s">
        <v>28462</v>
      </c>
      <c r="T10344" s="2" t="s">
        <v>66</v>
      </c>
      <c r="U10344" s="4" t="s">
        <v>63531</v>
      </c>
      <c r="V10344" s="2" t="s">
        <v>10019</v>
      </c>
      <c r="W10344" s="2" t="s">
        <v>63526</v>
      </c>
      <c r="X10344" s="5" t="str">
        <f>HYPERLINK("https://my.pitchbook.com?p=371778-13P","View People Online")</f>
        <v>View People Online</v>
      </c>
    </row>
    <row r="10345">
      <c r="A10345" s="6" t="s">
        <v>63687</v>
      </c>
      <c r="B10345" s="6" t="s">
        <v>63688</v>
      </c>
      <c r="C10345" s="6" t="s">
        <v>4128</v>
      </c>
      <c r="D10345" s="6" t="s">
        <v>52195</v>
      </c>
      <c r="E10345" s="6" t="s">
        <v>63689</v>
      </c>
      <c r="F10345" s="6" t="s">
        <v>270</v>
      </c>
      <c r="G10345" s="6" t="s">
        <v>63690</v>
      </c>
      <c r="H10345" s="7" t="s">
        <v>31</v>
      </c>
      <c r="I10345" s="7">
        <v>1.0</v>
      </c>
      <c r="J10345" s="7">
        <v>1.0</v>
      </c>
      <c r="K10345" s="7" t="s">
        <v>31</v>
      </c>
      <c r="L10345" s="8" t="s">
        <v>63691</v>
      </c>
      <c r="M10345" s="6" t="s">
        <v>63692</v>
      </c>
      <c r="N10345" s="6" t="s">
        <v>1277</v>
      </c>
      <c r="O10345" s="8" t="s">
        <v>1278</v>
      </c>
      <c r="P10345" s="6" t="s">
        <v>63693</v>
      </c>
      <c r="Q10345" s="6" t="s">
        <v>31</v>
      </c>
      <c r="R10345" s="6" t="s">
        <v>1281</v>
      </c>
      <c r="S10345" s="8" t="s">
        <v>37039</v>
      </c>
      <c r="T10345" s="6" t="s">
        <v>66</v>
      </c>
      <c r="U10345" s="8" t="s">
        <v>31</v>
      </c>
      <c r="V10345" s="6" t="s">
        <v>63694</v>
      </c>
      <c r="W10345" s="6" t="s">
        <v>63689</v>
      </c>
      <c r="X10345" s="9" t="str">
        <f>HYPERLINK("https://my.pitchbook.com?p=259204-24P","View People Online")</f>
        <v>View People Online</v>
      </c>
    </row>
    <row r="10346">
      <c r="A10346" s="10" t="s">
        <v>63695</v>
      </c>
      <c r="B10346" s="10" t="s">
        <v>63696</v>
      </c>
      <c r="C10346" s="10" t="s">
        <v>63697</v>
      </c>
      <c r="D10346" s="10" t="s">
        <v>57521</v>
      </c>
      <c r="E10346" s="10" t="s">
        <v>63689</v>
      </c>
      <c r="F10346" s="10" t="s">
        <v>3600</v>
      </c>
      <c r="G10346" s="10" t="s">
        <v>63698</v>
      </c>
      <c r="H10346" s="11" t="s">
        <v>31</v>
      </c>
      <c r="I10346" s="11">
        <v>1.0</v>
      </c>
      <c r="J10346" s="11">
        <v>1.0</v>
      </c>
      <c r="K10346" s="11" t="s">
        <v>31</v>
      </c>
      <c r="L10346" s="12" t="s">
        <v>63691</v>
      </c>
      <c r="M10346" s="10" t="s">
        <v>63699</v>
      </c>
      <c r="N10346" s="10" t="s">
        <v>1277</v>
      </c>
      <c r="O10346" s="12" t="s">
        <v>1278</v>
      </c>
      <c r="P10346" s="10" t="s">
        <v>63693</v>
      </c>
      <c r="Q10346" s="10" t="s">
        <v>31</v>
      </c>
      <c r="R10346" s="10" t="s">
        <v>1281</v>
      </c>
      <c r="S10346" s="12" t="s">
        <v>37039</v>
      </c>
      <c r="T10346" s="10" t="s">
        <v>66</v>
      </c>
      <c r="U10346" s="12" t="s">
        <v>31</v>
      </c>
      <c r="V10346" s="10" t="s">
        <v>63700</v>
      </c>
      <c r="W10346" s="10" t="s">
        <v>63689</v>
      </c>
      <c r="X10346" s="13" t="str">
        <f>HYPERLINK("https://my.pitchbook.com?p=227866-33P","View People Online")</f>
        <v>View People Online</v>
      </c>
    </row>
    <row r="10347">
      <c r="A10347" s="6" t="s">
        <v>63701</v>
      </c>
      <c r="B10347" s="6" t="s">
        <v>63702</v>
      </c>
      <c r="C10347" s="6" t="s">
        <v>1449</v>
      </c>
      <c r="D10347" s="6" t="s">
        <v>63703</v>
      </c>
      <c r="E10347" s="6" t="s">
        <v>63689</v>
      </c>
      <c r="F10347" s="6" t="s">
        <v>548</v>
      </c>
      <c r="G10347" s="6" t="s">
        <v>63704</v>
      </c>
      <c r="H10347" s="7" t="s">
        <v>31</v>
      </c>
      <c r="I10347" s="7">
        <v>2.0</v>
      </c>
      <c r="J10347" s="7">
        <v>2.0</v>
      </c>
      <c r="K10347" s="7" t="s">
        <v>31</v>
      </c>
      <c r="L10347" s="8" t="s">
        <v>63691</v>
      </c>
      <c r="M10347" s="6" t="s">
        <v>63705</v>
      </c>
      <c r="N10347" s="6" t="s">
        <v>1277</v>
      </c>
      <c r="O10347" s="8" t="s">
        <v>1278</v>
      </c>
      <c r="P10347" s="6" t="s">
        <v>63693</v>
      </c>
      <c r="Q10347" s="6" t="s">
        <v>31</v>
      </c>
      <c r="R10347" s="6" t="s">
        <v>1281</v>
      </c>
      <c r="S10347" s="8" t="s">
        <v>37039</v>
      </c>
      <c r="T10347" s="6" t="s">
        <v>66</v>
      </c>
      <c r="U10347" s="8" t="s">
        <v>31</v>
      </c>
      <c r="V10347" s="6" t="s">
        <v>63706</v>
      </c>
      <c r="W10347" s="6" t="s">
        <v>63689</v>
      </c>
      <c r="X10347" s="9" t="str">
        <f>HYPERLINK("https://my.pitchbook.com?p=228008-62P","View People Online")</f>
        <v>View People Online</v>
      </c>
    </row>
    <row r="10348">
      <c r="A10348" s="2" t="s">
        <v>63707</v>
      </c>
      <c r="B10348" s="2" t="s">
        <v>63708</v>
      </c>
      <c r="C10348" s="2" t="s">
        <v>26104</v>
      </c>
      <c r="D10348" s="2" t="s">
        <v>63709</v>
      </c>
      <c r="E10348" s="2" t="s">
        <v>63689</v>
      </c>
      <c r="F10348" s="2" t="s">
        <v>270</v>
      </c>
      <c r="G10348" s="2" t="s">
        <v>63710</v>
      </c>
      <c r="H10348" s="3" t="s">
        <v>31</v>
      </c>
      <c r="I10348" s="3">
        <v>1.0</v>
      </c>
      <c r="J10348" s="3">
        <v>1.0</v>
      </c>
      <c r="K10348" s="3" t="s">
        <v>31</v>
      </c>
      <c r="L10348" s="4" t="s">
        <v>63691</v>
      </c>
      <c r="M10348" s="2" t="s">
        <v>63711</v>
      </c>
      <c r="N10348" s="2" t="s">
        <v>1277</v>
      </c>
      <c r="O10348" s="4" t="s">
        <v>1278</v>
      </c>
      <c r="P10348" s="2" t="s">
        <v>63693</v>
      </c>
      <c r="Q10348" s="2" t="s">
        <v>31</v>
      </c>
      <c r="R10348" s="2" t="s">
        <v>1281</v>
      </c>
      <c r="S10348" s="4" t="s">
        <v>37039</v>
      </c>
      <c r="T10348" s="2" t="s">
        <v>66</v>
      </c>
      <c r="U10348" s="4" t="s">
        <v>31</v>
      </c>
      <c r="V10348" s="2" t="s">
        <v>63712</v>
      </c>
      <c r="W10348" s="2" t="s">
        <v>63689</v>
      </c>
      <c r="X10348" s="5" t="str">
        <f>HYPERLINK("https://my.pitchbook.com?p=227928-61P","View People Online")</f>
        <v>View People Online</v>
      </c>
    </row>
    <row r="10349">
      <c r="A10349" s="14" t="s">
        <v>63713</v>
      </c>
      <c r="B10349" s="14" t="s">
        <v>63714</v>
      </c>
      <c r="C10349" s="14" t="s">
        <v>350</v>
      </c>
      <c r="D10349" s="14" t="s">
        <v>63715</v>
      </c>
      <c r="E10349" s="14" t="s">
        <v>63689</v>
      </c>
      <c r="F10349" s="14" t="s">
        <v>78</v>
      </c>
      <c r="G10349" s="14" t="s">
        <v>63716</v>
      </c>
      <c r="H10349" s="15" t="s">
        <v>31</v>
      </c>
      <c r="I10349" s="15">
        <v>1.0</v>
      </c>
      <c r="J10349" s="15">
        <v>1.0</v>
      </c>
      <c r="K10349" s="15" t="s">
        <v>31</v>
      </c>
      <c r="L10349" s="16" t="s">
        <v>63691</v>
      </c>
      <c r="M10349" s="14" t="s">
        <v>63717</v>
      </c>
      <c r="N10349" s="14" t="s">
        <v>1277</v>
      </c>
      <c r="O10349" s="16" t="s">
        <v>1278</v>
      </c>
      <c r="P10349" s="14" t="s">
        <v>63693</v>
      </c>
      <c r="Q10349" s="14" t="s">
        <v>31</v>
      </c>
      <c r="R10349" s="14" t="s">
        <v>1281</v>
      </c>
      <c r="S10349" s="16" t="s">
        <v>37039</v>
      </c>
      <c r="T10349" s="14" t="s">
        <v>66</v>
      </c>
      <c r="U10349" s="16" t="s">
        <v>31</v>
      </c>
      <c r="V10349" s="14" t="s">
        <v>78</v>
      </c>
      <c r="W10349" s="14" t="s">
        <v>63689</v>
      </c>
      <c r="X10349" s="17" t="str">
        <f>HYPERLINK("https://my.pitchbook.com?p=439594-75P","View People Online")</f>
        <v>View People Online</v>
      </c>
    </row>
    <row r="10350">
      <c r="A10350" s="2" t="s">
        <v>63718</v>
      </c>
      <c r="B10350" s="2" t="s">
        <v>63719</v>
      </c>
      <c r="C10350" s="2" t="s">
        <v>4009</v>
      </c>
      <c r="D10350" s="2" t="s">
        <v>6030</v>
      </c>
      <c r="E10350" s="2" t="s">
        <v>63689</v>
      </c>
      <c r="F10350" s="2" t="s">
        <v>502</v>
      </c>
      <c r="G10350" s="2" t="s">
        <v>63720</v>
      </c>
      <c r="H10350" s="3" t="s">
        <v>31</v>
      </c>
      <c r="I10350" s="3">
        <v>1.0</v>
      </c>
      <c r="J10350" s="3">
        <v>1.0</v>
      </c>
      <c r="K10350" s="3" t="s">
        <v>31</v>
      </c>
      <c r="L10350" s="4" t="s">
        <v>63691</v>
      </c>
      <c r="M10350" s="2" t="s">
        <v>63721</v>
      </c>
      <c r="N10350" s="2" t="s">
        <v>1277</v>
      </c>
      <c r="O10350" s="4" t="s">
        <v>1278</v>
      </c>
      <c r="P10350" s="2" t="s">
        <v>63693</v>
      </c>
      <c r="Q10350" s="2" t="s">
        <v>31</v>
      </c>
      <c r="R10350" s="2" t="s">
        <v>1281</v>
      </c>
      <c r="S10350" s="4" t="s">
        <v>37039</v>
      </c>
      <c r="T10350" s="2" t="s">
        <v>66</v>
      </c>
      <c r="U10350" s="4" t="s">
        <v>31</v>
      </c>
      <c r="V10350" s="2" t="s">
        <v>502</v>
      </c>
      <c r="W10350" s="2" t="s">
        <v>63689</v>
      </c>
      <c r="X10350" s="5" t="str">
        <f>HYPERLINK("https://my.pitchbook.com?p=439595-11P","View People Online")</f>
        <v>View People Online</v>
      </c>
    </row>
    <row r="10351">
      <c r="A10351" s="14" t="s">
        <v>63722</v>
      </c>
      <c r="B10351" s="14" t="s">
        <v>63723</v>
      </c>
      <c r="C10351" s="14" t="s">
        <v>1765</v>
      </c>
      <c r="D10351" s="14" t="s">
        <v>4692</v>
      </c>
      <c r="E10351" s="14" t="s">
        <v>63689</v>
      </c>
      <c r="F10351" s="14" t="s">
        <v>3710</v>
      </c>
      <c r="G10351" s="14" t="s">
        <v>63724</v>
      </c>
      <c r="H10351" s="15" t="s">
        <v>31</v>
      </c>
      <c r="I10351" s="15">
        <v>1.0</v>
      </c>
      <c r="J10351" s="15">
        <v>1.0</v>
      </c>
      <c r="K10351" s="15" t="s">
        <v>31</v>
      </c>
      <c r="L10351" s="16" t="s">
        <v>63691</v>
      </c>
      <c r="M10351" s="14" t="s">
        <v>63725</v>
      </c>
      <c r="N10351" s="14" t="s">
        <v>1277</v>
      </c>
      <c r="O10351" s="16" t="s">
        <v>1278</v>
      </c>
      <c r="P10351" s="14" t="s">
        <v>63693</v>
      </c>
      <c r="Q10351" s="14" t="s">
        <v>31</v>
      </c>
      <c r="R10351" s="14" t="s">
        <v>1281</v>
      </c>
      <c r="S10351" s="16" t="s">
        <v>37039</v>
      </c>
      <c r="T10351" s="14" t="s">
        <v>66</v>
      </c>
      <c r="U10351" s="16" t="s">
        <v>31</v>
      </c>
      <c r="V10351" s="14" t="s">
        <v>3710</v>
      </c>
      <c r="W10351" s="14" t="s">
        <v>63689</v>
      </c>
      <c r="X10351" s="17" t="str">
        <f>HYPERLINK("https://my.pitchbook.com?p=356089-24P","View People Online")</f>
        <v>View People Online</v>
      </c>
    </row>
    <row r="10352">
      <c r="A10352" s="2" t="s">
        <v>63726</v>
      </c>
      <c r="B10352" s="2" t="s">
        <v>63727</v>
      </c>
      <c r="C10352" s="2" t="s">
        <v>3554</v>
      </c>
      <c r="D10352" s="2" t="s">
        <v>63728</v>
      </c>
      <c r="E10352" s="2" t="s">
        <v>63689</v>
      </c>
      <c r="F10352" s="2" t="s">
        <v>548</v>
      </c>
      <c r="G10352" s="2" t="s">
        <v>63729</v>
      </c>
      <c r="H10352" s="3" t="s">
        <v>31</v>
      </c>
      <c r="I10352" s="3">
        <v>1.0</v>
      </c>
      <c r="J10352" s="3">
        <v>1.0</v>
      </c>
      <c r="K10352" s="3" t="s">
        <v>31</v>
      </c>
      <c r="L10352" s="4" t="s">
        <v>63691</v>
      </c>
      <c r="M10352" s="2" t="s">
        <v>63730</v>
      </c>
      <c r="N10352" s="2" t="s">
        <v>1277</v>
      </c>
      <c r="O10352" s="4" t="s">
        <v>1278</v>
      </c>
      <c r="P10352" s="2" t="s">
        <v>63693</v>
      </c>
      <c r="Q10352" s="2" t="s">
        <v>31</v>
      </c>
      <c r="R10352" s="2" t="s">
        <v>1281</v>
      </c>
      <c r="S10352" s="4" t="s">
        <v>37039</v>
      </c>
      <c r="T10352" s="2" t="s">
        <v>66</v>
      </c>
      <c r="U10352" s="4" t="s">
        <v>31</v>
      </c>
      <c r="V10352" s="2" t="s">
        <v>63731</v>
      </c>
      <c r="W10352" s="2" t="s">
        <v>63689</v>
      </c>
      <c r="X10352" s="5" t="str">
        <f>HYPERLINK("https://my.pitchbook.com?p=227986-03P","View People Online")</f>
        <v>View People Online</v>
      </c>
    </row>
    <row r="10353">
      <c r="A10353" s="14" t="s">
        <v>63732</v>
      </c>
      <c r="B10353" s="14" t="s">
        <v>63733</v>
      </c>
      <c r="C10353" s="14" t="s">
        <v>126</v>
      </c>
      <c r="D10353" s="14" t="s">
        <v>12231</v>
      </c>
      <c r="E10353" s="14" t="s">
        <v>63689</v>
      </c>
      <c r="F10353" s="14" t="s">
        <v>270</v>
      </c>
      <c r="G10353" s="14" t="s">
        <v>63734</v>
      </c>
      <c r="H10353" s="15" t="s">
        <v>31</v>
      </c>
      <c r="I10353" s="15">
        <v>1.0</v>
      </c>
      <c r="J10353" s="15">
        <v>1.0</v>
      </c>
      <c r="K10353" s="15" t="s">
        <v>31</v>
      </c>
      <c r="L10353" s="16" t="s">
        <v>63691</v>
      </c>
      <c r="M10353" s="14" t="s">
        <v>63735</v>
      </c>
      <c r="N10353" s="14" t="s">
        <v>1277</v>
      </c>
      <c r="O10353" s="16" t="s">
        <v>1278</v>
      </c>
      <c r="P10353" s="14" t="s">
        <v>63693</v>
      </c>
      <c r="Q10353" s="14" t="s">
        <v>31</v>
      </c>
      <c r="R10353" s="14" t="s">
        <v>1281</v>
      </c>
      <c r="S10353" s="16" t="s">
        <v>37039</v>
      </c>
      <c r="T10353" s="14" t="s">
        <v>66</v>
      </c>
      <c r="U10353" s="16" t="s">
        <v>31</v>
      </c>
      <c r="V10353" s="14" t="s">
        <v>63736</v>
      </c>
      <c r="W10353" s="14" t="s">
        <v>63689</v>
      </c>
      <c r="X10353" s="17" t="str">
        <f>HYPERLINK("https://my.pitchbook.com?p=238567-33P","View People Online")</f>
        <v>View People Online</v>
      </c>
    </row>
    <row r="10354">
      <c r="A10354" s="10" t="s">
        <v>63737</v>
      </c>
      <c r="B10354" s="10" t="s">
        <v>63738</v>
      </c>
      <c r="C10354" s="10" t="s">
        <v>62753</v>
      </c>
      <c r="D10354" s="10" t="s">
        <v>63739</v>
      </c>
      <c r="E10354" s="10" t="s">
        <v>63689</v>
      </c>
      <c r="F10354" s="10" t="s">
        <v>8021</v>
      </c>
      <c r="G10354" s="10" t="s">
        <v>31</v>
      </c>
      <c r="H10354" s="11" t="s">
        <v>31</v>
      </c>
      <c r="I10354" s="11">
        <v>2.0</v>
      </c>
      <c r="J10354" s="11">
        <v>1.0</v>
      </c>
      <c r="K10354" s="11">
        <v>1.0</v>
      </c>
      <c r="L10354" s="12" t="s">
        <v>63691</v>
      </c>
      <c r="M10354" s="10" t="s">
        <v>63740</v>
      </c>
      <c r="N10354" s="10" t="s">
        <v>1277</v>
      </c>
      <c r="O10354" s="12" t="s">
        <v>1278</v>
      </c>
      <c r="P10354" s="10" t="s">
        <v>63693</v>
      </c>
      <c r="Q10354" s="10" t="s">
        <v>31</v>
      </c>
      <c r="R10354" s="10" t="s">
        <v>1281</v>
      </c>
      <c r="S10354" s="12" t="s">
        <v>37039</v>
      </c>
      <c r="T10354" s="10" t="s">
        <v>66</v>
      </c>
      <c r="U10354" s="12" t="s">
        <v>31</v>
      </c>
      <c r="V10354" s="10" t="s">
        <v>8021</v>
      </c>
      <c r="W10354" s="10" t="s">
        <v>63689</v>
      </c>
      <c r="X10354" s="13" t="str">
        <f>HYPERLINK("https://my.pitchbook.com?p=432072-82P","View People Online")</f>
        <v>View People Online</v>
      </c>
    </row>
    <row r="10355">
      <c r="A10355" s="14" t="s">
        <v>63741</v>
      </c>
      <c r="B10355" s="14" t="s">
        <v>63742</v>
      </c>
      <c r="C10355" s="14" t="s">
        <v>63743</v>
      </c>
      <c r="D10355" s="14" t="s">
        <v>63744</v>
      </c>
      <c r="E10355" s="14" t="s">
        <v>63689</v>
      </c>
      <c r="F10355" s="14" t="s">
        <v>13073</v>
      </c>
      <c r="G10355" s="14" t="s">
        <v>63745</v>
      </c>
      <c r="H10355" s="15" t="s">
        <v>31</v>
      </c>
      <c r="I10355" s="15">
        <v>1.0</v>
      </c>
      <c r="J10355" s="15">
        <v>1.0</v>
      </c>
      <c r="K10355" s="15" t="s">
        <v>31</v>
      </c>
      <c r="L10355" s="16" t="s">
        <v>63691</v>
      </c>
      <c r="M10355" s="14" t="s">
        <v>63746</v>
      </c>
      <c r="N10355" s="14" t="s">
        <v>1277</v>
      </c>
      <c r="O10355" s="16" t="s">
        <v>1278</v>
      </c>
      <c r="P10355" s="14" t="s">
        <v>63693</v>
      </c>
      <c r="Q10355" s="14" t="s">
        <v>31</v>
      </c>
      <c r="R10355" s="14" t="s">
        <v>1281</v>
      </c>
      <c r="S10355" s="16" t="s">
        <v>37039</v>
      </c>
      <c r="T10355" s="14" t="s">
        <v>66</v>
      </c>
      <c r="U10355" s="16" t="s">
        <v>31</v>
      </c>
      <c r="V10355" s="14" t="s">
        <v>13073</v>
      </c>
      <c r="W10355" s="14" t="s">
        <v>63689</v>
      </c>
      <c r="X10355" s="17" t="str">
        <f>HYPERLINK("https://my.pitchbook.com?p=397774-81P","View People Online")</f>
        <v>View People Online</v>
      </c>
    </row>
    <row r="10356">
      <c r="A10356" s="2" t="s">
        <v>63747</v>
      </c>
      <c r="B10356" s="2" t="s">
        <v>63748</v>
      </c>
      <c r="C10356" s="2" t="s">
        <v>2388</v>
      </c>
      <c r="D10356" s="2" t="s">
        <v>63749</v>
      </c>
      <c r="E10356" s="2" t="s">
        <v>63689</v>
      </c>
      <c r="F10356" s="2" t="s">
        <v>270</v>
      </c>
      <c r="G10356" s="2" t="s">
        <v>63750</v>
      </c>
      <c r="H10356" s="3" t="s">
        <v>31</v>
      </c>
      <c r="I10356" s="3">
        <v>2.0</v>
      </c>
      <c r="J10356" s="3">
        <v>1.0</v>
      </c>
      <c r="K10356" s="3">
        <v>1.0</v>
      </c>
      <c r="L10356" s="4" t="s">
        <v>63691</v>
      </c>
      <c r="M10356" s="2" t="s">
        <v>63751</v>
      </c>
      <c r="N10356" s="2" t="s">
        <v>1277</v>
      </c>
      <c r="O10356" s="4" t="s">
        <v>1278</v>
      </c>
      <c r="P10356" s="2" t="s">
        <v>63693</v>
      </c>
      <c r="Q10356" s="2" t="s">
        <v>31</v>
      </c>
      <c r="R10356" s="2" t="s">
        <v>1281</v>
      </c>
      <c r="S10356" s="4" t="s">
        <v>37039</v>
      </c>
      <c r="T10356" s="2" t="s">
        <v>66</v>
      </c>
      <c r="U10356" s="4" t="s">
        <v>31</v>
      </c>
      <c r="V10356" s="2" t="s">
        <v>63752</v>
      </c>
      <c r="W10356" s="2" t="s">
        <v>63689</v>
      </c>
      <c r="X10356" s="5" t="str">
        <f>HYPERLINK("https://my.pitchbook.com?p=141002-02P","View People Online")</f>
        <v>View People Online</v>
      </c>
    </row>
    <row r="10357">
      <c r="A10357" s="6" t="s">
        <v>63753</v>
      </c>
      <c r="B10357" s="6" t="s">
        <v>63754</v>
      </c>
      <c r="C10357" s="6" t="s">
        <v>53818</v>
      </c>
      <c r="D10357" s="6" t="s">
        <v>11992</v>
      </c>
      <c r="E10357" s="6" t="s">
        <v>63689</v>
      </c>
      <c r="F10357" s="6" t="s">
        <v>502</v>
      </c>
      <c r="G10357" s="6" t="s">
        <v>63755</v>
      </c>
      <c r="H10357" s="7" t="s">
        <v>31</v>
      </c>
      <c r="I10357" s="7">
        <v>1.0</v>
      </c>
      <c r="J10357" s="7">
        <v>1.0</v>
      </c>
      <c r="K10357" s="7" t="s">
        <v>31</v>
      </c>
      <c r="L10357" s="8" t="s">
        <v>63691</v>
      </c>
      <c r="M10357" s="6" t="s">
        <v>63756</v>
      </c>
      <c r="N10357" s="6" t="s">
        <v>1277</v>
      </c>
      <c r="O10357" s="8" t="s">
        <v>1278</v>
      </c>
      <c r="P10357" s="6" t="s">
        <v>63693</v>
      </c>
      <c r="Q10357" s="6" t="s">
        <v>31</v>
      </c>
      <c r="R10357" s="6" t="s">
        <v>1281</v>
      </c>
      <c r="S10357" s="8" t="s">
        <v>37039</v>
      </c>
      <c r="T10357" s="6" t="s">
        <v>66</v>
      </c>
      <c r="U10357" s="8" t="s">
        <v>31</v>
      </c>
      <c r="V10357" s="6" t="s">
        <v>502</v>
      </c>
      <c r="W10357" s="6" t="s">
        <v>63689</v>
      </c>
      <c r="X10357" s="9" t="str">
        <f>HYPERLINK("https://my.pitchbook.com?p=159235-12P","View People Online")</f>
        <v>View People Online</v>
      </c>
    </row>
    <row r="10358">
      <c r="A10358" s="2" t="s">
        <v>63757</v>
      </c>
      <c r="B10358" s="2" t="s">
        <v>63758</v>
      </c>
      <c r="C10358" s="2" t="s">
        <v>5264</v>
      </c>
      <c r="D10358" s="2" t="s">
        <v>63759</v>
      </c>
      <c r="E10358" s="2" t="s">
        <v>63689</v>
      </c>
      <c r="F10358" s="2" t="s">
        <v>35805</v>
      </c>
      <c r="G10358" s="2" t="s">
        <v>63760</v>
      </c>
      <c r="H10358" s="3" t="s">
        <v>31</v>
      </c>
      <c r="I10358" s="3">
        <v>1.0</v>
      </c>
      <c r="J10358" s="3">
        <v>1.0</v>
      </c>
      <c r="K10358" s="3" t="s">
        <v>31</v>
      </c>
      <c r="L10358" s="4" t="s">
        <v>63691</v>
      </c>
      <c r="M10358" s="2" t="s">
        <v>63761</v>
      </c>
      <c r="N10358" s="2" t="s">
        <v>1277</v>
      </c>
      <c r="O10358" s="4" t="s">
        <v>1278</v>
      </c>
      <c r="P10358" s="2" t="s">
        <v>63693</v>
      </c>
      <c r="Q10358" s="2" t="s">
        <v>31</v>
      </c>
      <c r="R10358" s="2" t="s">
        <v>1281</v>
      </c>
      <c r="S10358" s="4" t="s">
        <v>37039</v>
      </c>
      <c r="T10358" s="2" t="s">
        <v>66</v>
      </c>
      <c r="U10358" s="4" t="s">
        <v>31</v>
      </c>
      <c r="V10358" s="2" t="s">
        <v>35805</v>
      </c>
      <c r="W10358" s="2" t="s">
        <v>63689</v>
      </c>
      <c r="X10358" s="5" t="str">
        <f>HYPERLINK("https://my.pitchbook.com?p=333841-06P","View People Online")</f>
        <v>View People Online</v>
      </c>
    </row>
    <row r="10359">
      <c r="A10359" s="14" t="s">
        <v>63762</v>
      </c>
      <c r="B10359" s="14" t="s">
        <v>63763</v>
      </c>
      <c r="C10359" s="14" t="s">
        <v>63764</v>
      </c>
      <c r="D10359" s="14" t="s">
        <v>63765</v>
      </c>
      <c r="E10359" s="14" t="s">
        <v>63689</v>
      </c>
      <c r="F10359" s="14" t="s">
        <v>2731</v>
      </c>
      <c r="G10359" s="14" t="s">
        <v>63766</v>
      </c>
      <c r="H10359" s="15" t="s">
        <v>31</v>
      </c>
      <c r="I10359" s="15">
        <v>1.0</v>
      </c>
      <c r="J10359" s="15" t="s">
        <v>31</v>
      </c>
      <c r="K10359" s="15" t="s">
        <v>31</v>
      </c>
      <c r="L10359" s="16" t="s">
        <v>63691</v>
      </c>
      <c r="M10359" s="14" t="s">
        <v>31</v>
      </c>
      <c r="N10359" s="14" t="s">
        <v>1277</v>
      </c>
      <c r="O10359" s="16" t="s">
        <v>1278</v>
      </c>
      <c r="P10359" s="14" t="s">
        <v>63693</v>
      </c>
      <c r="Q10359" s="14" t="s">
        <v>31</v>
      </c>
      <c r="R10359" s="14" t="s">
        <v>1281</v>
      </c>
      <c r="S10359" s="16" t="s">
        <v>37039</v>
      </c>
      <c r="T10359" s="14" t="s">
        <v>66</v>
      </c>
      <c r="U10359" s="16" t="s">
        <v>31</v>
      </c>
      <c r="V10359" s="14" t="s">
        <v>63767</v>
      </c>
      <c r="W10359" s="14" t="s">
        <v>63689</v>
      </c>
      <c r="X10359" s="17" t="str">
        <f>HYPERLINK("https://my.pitchbook.com?p=227856-79P","View People Online")</f>
        <v>View People Online</v>
      </c>
    </row>
    <row r="10360">
      <c r="A10360" s="2" t="s">
        <v>63768</v>
      </c>
      <c r="B10360" s="2" t="s">
        <v>63769</v>
      </c>
      <c r="C10360" s="2" t="s">
        <v>1449</v>
      </c>
      <c r="D10360" s="2" t="s">
        <v>63770</v>
      </c>
      <c r="E10360" s="2" t="s">
        <v>63771</v>
      </c>
      <c r="F10360" s="2" t="s">
        <v>2835</v>
      </c>
      <c r="G10360" s="2" t="s">
        <v>63772</v>
      </c>
      <c r="H10360" s="3" t="s">
        <v>31</v>
      </c>
      <c r="I10360" s="3">
        <v>3.0</v>
      </c>
      <c r="J10360" s="3">
        <v>1.0</v>
      </c>
      <c r="K10360" s="3">
        <v>2.0</v>
      </c>
      <c r="L10360" s="4" t="s">
        <v>63773</v>
      </c>
      <c r="M10360" s="2" t="s">
        <v>63774</v>
      </c>
      <c r="N10360" s="2" t="s">
        <v>1277</v>
      </c>
      <c r="O10360" s="4" t="s">
        <v>1278</v>
      </c>
      <c r="P10360" s="2" t="s">
        <v>63775</v>
      </c>
      <c r="Q10360" s="2" t="s">
        <v>31</v>
      </c>
      <c r="R10360" s="2" t="s">
        <v>1281</v>
      </c>
      <c r="S10360" s="4" t="s">
        <v>63776</v>
      </c>
      <c r="T10360" s="2" t="s">
        <v>66</v>
      </c>
      <c r="U10360" s="4" t="s">
        <v>63777</v>
      </c>
      <c r="V10360" s="2" t="s">
        <v>63778</v>
      </c>
      <c r="W10360" s="2" t="s">
        <v>63771</v>
      </c>
      <c r="X10360" s="5" t="str">
        <f>HYPERLINK("https://my.pitchbook.com?p=310933-27P","View People Online")</f>
        <v>View People Online</v>
      </c>
    </row>
    <row r="10361">
      <c r="A10361" s="6" t="s">
        <v>63779</v>
      </c>
      <c r="B10361" s="6" t="s">
        <v>63780</v>
      </c>
      <c r="C10361" s="6" t="s">
        <v>28751</v>
      </c>
      <c r="D10361" s="6" t="s">
        <v>63781</v>
      </c>
      <c r="E10361" s="6" t="s">
        <v>63771</v>
      </c>
      <c r="F10361" s="6" t="s">
        <v>270</v>
      </c>
      <c r="G10361" s="6" t="s">
        <v>31</v>
      </c>
      <c r="H10361" s="7" t="s">
        <v>31</v>
      </c>
      <c r="I10361" s="7">
        <v>2.0</v>
      </c>
      <c r="J10361" s="7">
        <v>1.0</v>
      </c>
      <c r="K10361" s="7">
        <v>1.0</v>
      </c>
      <c r="L10361" s="8" t="s">
        <v>63773</v>
      </c>
      <c r="M10361" s="6" t="s">
        <v>63782</v>
      </c>
      <c r="N10361" s="6" t="s">
        <v>1277</v>
      </c>
      <c r="O10361" s="8" t="s">
        <v>1278</v>
      </c>
      <c r="P10361" s="6" t="s">
        <v>63775</v>
      </c>
      <c r="Q10361" s="6" t="s">
        <v>31</v>
      </c>
      <c r="R10361" s="6" t="s">
        <v>1281</v>
      </c>
      <c r="S10361" s="8" t="s">
        <v>63776</v>
      </c>
      <c r="T10361" s="6" t="s">
        <v>66</v>
      </c>
      <c r="U10361" s="8" t="s">
        <v>63777</v>
      </c>
      <c r="V10361" s="6" t="s">
        <v>63783</v>
      </c>
      <c r="W10361" s="6" t="s">
        <v>63771</v>
      </c>
      <c r="X10361" s="9" t="str">
        <f>HYPERLINK("https://my.pitchbook.com?p=452730-61P","View People Online")</f>
        <v>View People Online</v>
      </c>
    </row>
    <row r="10362">
      <c r="A10362" s="10" t="s">
        <v>63784</v>
      </c>
      <c r="B10362" s="10" t="s">
        <v>63785</v>
      </c>
      <c r="C10362" s="10" t="s">
        <v>63786</v>
      </c>
      <c r="D10362" s="10" t="s">
        <v>831</v>
      </c>
      <c r="E10362" s="10" t="s">
        <v>63771</v>
      </c>
      <c r="F10362" s="10" t="s">
        <v>1801</v>
      </c>
      <c r="G10362" s="10" t="s">
        <v>63787</v>
      </c>
      <c r="H10362" s="11" t="s">
        <v>31</v>
      </c>
      <c r="I10362" s="11">
        <v>1.0</v>
      </c>
      <c r="J10362" s="11">
        <v>1.0</v>
      </c>
      <c r="K10362" s="11" t="s">
        <v>31</v>
      </c>
      <c r="L10362" s="12" t="s">
        <v>63773</v>
      </c>
      <c r="M10362" s="10" t="s">
        <v>63788</v>
      </c>
      <c r="N10362" s="10" t="s">
        <v>1277</v>
      </c>
      <c r="O10362" s="12" t="s">
        <v>1278</v>
      </c>
      <c r="P10362" s="10" t="s">
        <v>63775</v>
      </c>
      <c r="Q10362" s="10" t="s">
        <v>31</v>
      </c>
      <c r="R10362" s="10" t="s">
        <v>1281</v>
      </c>
      <c r="S10362" s="12" t="s">
        <v>63776</v>
      </c>
      <c r="T10362" s="10" t="s">
        <v>66</v>
      </c>
      <c r="U10362" s="12" t="s">
        <v>63777</v>
      </c>
      <c r="V10362" s="10" t="s">
        <v>63789</v>
      </c>
      <c r="W10362" s="10" t="s">
        <v>63771</v>
      </c>
      <c r="X10362" s="13" t="str">
        <f>HYPERLINK("https://my.pitchbook.com?p=146523-61P","View People Online")</f>
        <v>View People Online</v>
      </c>
    </row>
    <row r="10363">
      <c r="A10363" s="14" t="s">
        <v>63790</v>
      </c>
      <c r="B10363" s="14" t="s">
        <v>63791</v>
      </c>
      <c r="C10363" s="14" t="s">
        <v>3670</v>
      </c>
      <c r="D10363" s="14" t="s">
        <v>63792</v>
      </c>
      <c r="E10363" s="14" t="s">
        <v>63771</v>
      </c>
      <c r="F10363" s="14" t="s">
        <v>318</v>
      </c>
      <c r="G10363" s="14" t="s">
        <v>63793</v>
      </c>
      <c r="H10363" s="15" t="s">
        <v>31</v>
      </c>
      <c r="I10363" s="15">
        <v>2.0</v>
      </c>
      <c r="J10363" s="15">
        <v>1.0</v>
      </c>
      <c r="K10363" s="15">
        <v>1.0</v>
      </c>
      <c r="L10363" s="16" t="s">
        <v>63773</v>
      </c>
      <c r="M10363" s="14" t="s">
        <v>63794</v>
      </c>
      <c r="N10363" s="14" t="s">
        <v>1277</v>
      </c>
      <c r="O10363" s="16" t="s">
        <v>1278</v>
      </c>
      <c r="P10363" s="14" t="s">
        <v>63775</v>
      </c>
      <c r="Q10363" s="14" t="s">
        <v>31</v>
      </c>
      <c r="R10363" s="14" t="s">
        <v>1281</v>
      </c>
      <c r="S10363" s="16" t="s">
        <v>63776</v>
      </c>
      <c r="T10363" s="14" t="s">
        <v>66</v>
      </c>
      <c r="U10363" s="16" t="s">
        <v>63777</v>
      </c>
      <c r="V10363" s="14" t="s">
        <v>63795</v>
      </c>
      <c r="W10363" s="14" t="s">
        <v>63771</v>
      </c>
      <c r="X10363" s="17" t="str">
        <f>HYPERLINK("https://my.pitchbook.com?p=408161-26P","View People Online")</f>
        <v>View People Online</v>
      </c>
    </row>
    <row r="10364">
      <c r="A10364" s="2" t="s">
        <v>63796</v>
      </c>
      <c r="B10364" s="2" t="s">
        <v>63797</v>
      </c>
      <c r="C10364" s="2" t="s">
        <v>4404</v>
      </c>
      <c r="D10364" s="2" t="s">
        <v>63798</v>
      </c>
      <c r="E10364" s="2" t="s">
        <v>63771</v>
      </c>
      <c r="F10364" s="2" t="s">
        <v>2835</v>
      </c>
      <c r="G10364" s="2" t="s">
        <v>63799</v>
      </c>
      <c r="H10364" s="3" t="s">
        <v>31</v>
      </c>
      <c r="I10364" s="3">
        <v>17.0</v>
      </c>
      <c r="J10364" s="3">
        <v>1.0</v>
      </c>
      <c r="K10364" s="3">
        <v>16.0</v>
      </c>
      <c r="L10364" s="4" t="s">
        <v>63800</v>
      </c>
      <c r="M10364" s="2" t="s">
        <v>31</v>
      </c>
      <c r="N10364" s="2" t="s">
        <v>1277</v>
      </c>
      <c r="O10364" s="4" t="s">
        <v>1278</v>
      </c>
      <c r="P10364" s="2" t="s">
        <v>63775</v>
      </c>
      <c r="Q10364" s="2" t="s">
        <v>31</v>
      </c>
      <c r="R10364" s="2" t="s">
        <v>1281</v>
      </c>
      <c r="S10364" s="4" t="s">
        <v>63776</v>
      </c>
      <c r="T10364" s="2" t="s">
        <v>66</v>
      </c>
      <c r="U10364" s="4" t="s">
        <v>63777</v>
      </c>
      <c r="V10364" s="2" t="s">
        <v>2835</v>
      </c>
      <c r="W10364" s="2" t="s">
        <v>63771</v>
      </c>
      <c r="X10364" s="5" t="str">
        <f>HYPERLINK("https://my.pitchbook.com?p=59311-99P","View People Online")</f>
        <v>View People Online</v>
      </c>
    </row>
    <row r="10365">
      <c r="A10365" s="14" t="s">
        <v>63801</v>
      </c>
      <c r="B10365" s="14" t="s">
        <v>63802</v>
      </c>
      <c r="C10365" s="14" t="s">
        <v>3846</v>
      </c>
      <c r="D10365" s="14" t="s">
        <v>63803</v>
      </c>
      <c r="E10365" s="14" t="s">
        <v>63771</v>
      </c>
      <c r="F10365" s="14" t="s">
        <v>270</v>
      </c>
      <c r="G10365" s="14" t="s">
        <v>63804</v>
      </c>
      <c r="H10365" s="15" t="s">
        <v>31</v>
      </c>
      <c r="I10365" s="15">
        <v>1.0</v>
      </c>
      <c r="J10365" s="15">
        <v>1.0</v>
      </c>
      <c r="K10365" s="15" t="s">
        <v>31</v>
      </c>
      <c r="L10365" s="16" t="s">
        <v>63773</v>
      </c>
      <c r="M10365" s="14" t="s">
        <v>63805</v>
      </c>
      <c r="N10365" s="14" t="s">
        <v>1277</v>
      </c>
      <c r="O10365" s="16" t="s">
        <v>1278</v>
      </c>
      <c r="P10365" s="14" t="s">
        <v>63775</v>
      </c>
      <c r="Q10365" s="14" t="s">
        <v>31</v>
      </c>
      <c r="R10365" s="14" t="s">
        <v>1281</v>
      </c>
      <c r="S10365" s="16" t="s">
        <v>63776</v>
      </c>
      <c r="T10365" s="14" t="s">
        <v>66</v>
      </c>
      <c r="U10365" s="16" t="s">
        <v>63777</v>
      </c>
      <c r="V10365" s="14" t="s">
        <v>63806</v>
      </c>
      <c r="W10365" s="14" t="s">
        <v>63771</v>
      </c>
      <c r="X10365" s="17" t="str">
        <f>HYPERLINK("https://my.pitchbook.com?p=227883-88P","View People Online")</f>
        <v>View People Online</v>
      </c>
    </row>
    <row r="10366">
      <c r="A10366" s="10" t="s">
        <v>63807</v>
      </c>
      <c r="B10366" s="10" t="s">
        <v>63808</v>
      </c>
      <c r="C10366" s="10" t="s">
        <v>11929</v>
      </c>
      <c r="D10366" s="10" t="s">
        <v>3275</v>
      </c>
      <c r="E10366" s="10" t="s">
        <v>63771</v>
      </c>
      <c r="F10366" s="10" t="s">
        <v>6552</v>
      </c>
      <c r="G10366" s="10" t="s">
        <v>63809</v>
      </c>
      <c r="H10366" s="11" t="s">
        <v>31</v>
      </c>
      <c r="I10366" s="11">
        <v>3.0</v>
      </c>
      <c r="J10366" s="11">
        <v>1.0</v>
      </c>
      <c r="K10366" s="11">
        <v>2.0</v>
      </c>
      <c r="L10366" s="12" t="s">
        <v>63773</v>
      </c>
      <c r="M10366" s="10" t="s">
        <v>63810</v>
      </c>
      <c r="N10366" s="10" t="s">
        <v>1277</v>
      </c>
      <c r="O10366" s="12" t="s">
        <v>1278</v>
      </c>
      <c r="P10366" s="10" t="s">
        <v>63775</v>
      </c>
      <c r="Q10366" s="10" t="s">
        <v>31</v>
      </c>
      <c r="R10366" s="10" t="s">
        <v>1281</v>
      </c>
      <c r="S10366" s="12" t="s">
        <v>63776</v>
      </c>
      <c r="T10366" s="10" t="s">
        <v>66</v>
      </c>
      <c r="U10366" s="12" t="s">
        <v>63777</v>
      </c>
      <c r="V10366" s="10" t="s">
        <v>25748</v>
      </c>
      <c r="W10366" s="10" t="s">
        <v>63771</v>
      </c>
      <c r="X10366" s="13" t="str">
        <f>HYPERLINK("https://my.pitchbook.com?p=38641-96P","View People Online")</f>
        <v>View People Online</v>
      </c>
    </row>
    <row r="10367">
      <c r="A10367" s="14" t="s">
        <v>63811</v>
      </c>
      <c r="B10367" s="14" t="s">
        <v>63812</v>
      </c>
      <c r="C10367" s="14" t="s">
        <v>928</v>
      </c>
      <c r="D10367" s="14" t="s">
        <v>5140</v>
      </c>
      <c r="E10367" s="14" t="s">
        <v>63771</v>
      </c>
      <c r="F10367" s="14" t="s">
        <v>5206</v>
      </c>
      <c r="G10367" s="14" t="s">
        <v>63813</v>
      </c>
      <c r="H10367" s="15" t="s">
        <v>31</v>
      </c>
      <c r="I10367" s="15">
        <v>1.0</v>
      </c>
      <c r="J10367" s="15">
        <v>1.0</v>
      </c>
      <c r="K10367" s="15" t="s">
        <v>31</v>
      </c>
      <c r="L10367" s="16" t="s">
        <v>63773</v>
      </c>
      <c r="M10367" s="14" t="s">
        <v>63814</v>
      </c>
      <c r="N10367" s="14" t="s">
        <v>1277</v>
      </c>
      <c r="O10367" s="16" t="s">
        <v>1278</v>
      </c>
      <c r="P10367" s="14" t="s">
        <v>63775</v>
      </c>
      <c r="Q10367" s="14" t="s">
        <v>31</v>
      </c>
      <c r="R10367" s="14" t="s">
        <v>1281</v>
      </c>
      <c r="S10367" s="16" t="s">
        <v>63776</v>
      </c>
      <c r="T10367" s="14" t="s">
        <v>66</v>
      </c>
      <c r="U10367" s="16" t="s">
        <v>63777</v>
      </c>
      <c r="V10367" s="14" t="s">
        <v>63815</v>
      </c>
      <c r="W10367" s="14" t="s">
        <v>63771</v>
      </c>
      <c r="X10367" s="17" t="str">
        <f>HYPERLINK("https://my.pitchbook.com?p=136777-51P","View People Online")</f>
        <v>View People Online</v>
      </c>
    </row>
    <row r="10368">
      <c r="A10368" s="2" t="s">
        <v>63816</v>
      </c>
      <c r="B10368" s="2" t="s">
        <v>63817</v>
      </c>
      <c r="C10368" s="2" t="s">
        <v>2388</v>
      </c>
      <c r="D10368" s="2" t="s">
        <v>7936</v>
      </c>
      <c r="E10368" s="2" t="s">
        <v>63771</v>
      </c>
      <c r="F10368" s="2" t="s">
        <v>5787</v>
      </c>
      <c r="G10368" s="2" t="s">
        <v>63818</v>
      </c>
      <c r="H10368" s="3" t="s">
        <v>31</v>
      </c>
      <c r="I10368" s="3">
        <v>1.0</v>
      </c>
      <c r="J10368" s="3">
        <v>1.0</v>
      </c>
      <c r="K10368" s="3" t="s">
        <v>31</v>
      </c>
      <c r="L10368" s="4" t="s">
        <v>63773</v>
      </c>
      <c r="M10368" s="2" t="s">
        <v>63819</v>
      </c>
      <c r="N10368" s="2" t="s">
        <v>1277</v>
      </c>
      <c r="O10368" s="4" t="s">
        <v>1278</v>
      </c>
      <c r="P10368" s="2" t="s">
        <v>63775</v>
      </c>
      <c r="Q10368" s="2" t="s">
        <v>31</v>
      </c>
      <c r="R10368" s="2" t="s">
        <v>1281</v>
      </c>
      <c r="S10368" s="4" t="s">
        <v>63776</v>
      </c>
      <c r="T10368" s="2" t="s">
        <v>66</v>
      </c>
      <c r="U10368" s="4" t="s">
        <v>63777</v>
      </c>
      <c r="V10368" s="2" t="s">
        <v>63820</v>
      </c>
      <c r="W10368" s="2" t="s">
        <v>63771</v>
      </c>
      <c r="X10368" s="5" t="str">
        <f>HYPERLINK("https://my.pitchbook.com?p=266987-80P","View People Online")</f>
        <v>View People Online</v>
      </c>
    </row>
    <row r="10369">
      <c r="A10369" s="14" t="s">
        <v>63821</v>
      </c>
      <c r="B10369" s="14" t="s">
        <v>63822</v>
      </c>
      <c r="C10369" s="14" t="s">
        <v>63823</v>
      </c>
      <c r="D10369" s="14" t="s">
        <v>38685</v>
      </c>
      <c r="E10369" s="14" t="s">
        <v>63771</v>
      </c>
      <c r="F10369" s="14" t="s">
        <v>1801</v>
      </c>
      <c r="G10369" s="14" t="s">
        <v>63824</v>
      </c>
      <c r="H10369" s="15" t="s">
        <v>31</v>
      </c>
      <c r="I10369" s="15">
        <v>2.0</v>
      </c>
      <c r="J10369" s="15">
        <v>1.0</v>
      </c>
      <c r="K10369" s="15">
        <v>1.0</v>
      </c>
      <c r="L10369" s="16" t="s">
        <v>63773</v>
      </c>
      <c r="M10369" s="14" t="s">
        <v>63825</v>
      </c>
      <c r="N10369" s="14" t="s">
        <v>1277</v>
      </c>
      <c r="O10369" s="16" t="s">
        <v>1278</v>
      </c>
      <c r="P10369" s="14" t="s">
        <v>63775</v>
      </c>
      <c r="Q10369" s="14" t="s">
        <v>31</v>
      </c>
      <c r="R10369" s="14" t="s">
        <v>1281</v>
      </c>
      <c r="S10369" s="16" t="s">
        <v>63776</v>
      </c>
      <c r="T10369" s="14" t="s">
        <v>66</v>
      </c>
      <c r="U10369" s="16" t="s">
        <v>63777</v>
      </c>
      <c r="V10369" s="14" t="s">
        <v>63826</v>
      </c>
      <c r="W10369" s="14" t="s">
        <v>63771</v>
      </c>
      <c r="X10369" s="17" t="str">
        <f>HYPERLINK("https://my.pitchbook.com?p=315233-11P","View People Online")</f>
        <v>View People Online</v>
      </c>
    </row>
    <row r="10370">
      <c r="A10370" s="2" t="s">
        <v>63827</v>
      </c>
      <c r="B10370" s="2" t="s">
        <v>63828</v>
      </c>
      <c r="C10370" s="2" t="s">
        <v>2650</v>
      </c>
      <c r="D10370" s="2" t="s">
        <v>63829</v>
      </c>
      <c r="E10370" s="2" t="s">
        <v>63830</v>
      </c>
      <c r="F10370" s="2" t="s">
        <v>81</v>
      </c>
      <c r="G10370" s="2" t="s">
        <v>63831</v>
      </c>
      <c r="H10370" s="3" t="s">
        <v>31</v>
      </c>
      <c r="I10370" s="3">
        <v>2.0</v>
      </c>
      <c r="J10370" s="3">
        <v>1.0</v>
      </c>
      <c r="K10370" s="3" t="s">
        <v>31</v>
      </c>
      <c r="L10370" s="4" t="s">
        <v>31</v>
      </c>
      <c r="M10370" s="2" t="s">
        <v>63832</v>
      </c>
      <c r="N10370" s="2" t="s">
        <v>155</v>
      </c>
      <c r="O10370" s="4" t="s">
        <v>156</v>
      </c>
      <c r="P10370" s="2" t="s">
        <v>31</v>
      </c>
      <c r="Q10370" s="2" t="s">
        <v>31</v>
      </c>
      <c r="R10370" s="2" t="s">
        <v>64</v>
      </c>
      <c r="S10370" s="4" t="s">
        <v>31</v>
      </c>
      <c r="T10370" s="2" t="s">
        <v>66</v>
      </c>
      <c r="U10370" s="4" t="s">
        <v>31</v>
      </c>
      <c r="V10370" s="2" t="s">
        <v>1172</v>
      </c>
      <c r="W10370" s="2" t="s">
        <v>63833</v>
      </c>
      <c r="X10370" s="5" t="str">
        <f>HYPERLINK("https://my.pitchbook.com?p=214444-99P","View People Online")</f>
        <v>View People Online</v>
      </c>
    </row>
    <row r="10371">
      <c r="A10371" s="14" t="s">
        <v>63834</v>
      </c>
      <c r="B10371" s="14" t="s">
        <v>63835</v>
      </c>
      <c r="C10371" s="14" t="s">
        <v>42624</v>
      </c>
      <c r="D10371" s="14" t="s">
        <v>63836</v>
      </c>
      <c r="E10371" s="14" t="s">
        <v>63830</v>
      </c>
      <c r="F10371" s="14" t="s">
        <v>51617</v>
      </c>
      <c r="G10371" s="14" t="s">
        <v>63837</v>
      </c>
      <c r="H10371" s="15">
        <v>11.0</v>
      </c>
      <c r="I10371" s="15">
        <v>43.0</v>
      </c>
      <c r="J10371" s="15">
        <v>1.0</v>
      </c>
      <c r="K10371" s="15">
        <v>26.0</v>
      </c>
      <c r="L10371" s="16" t="s">
        <v>58071</v>
      </c>
      <c r="M10371" s="14" t="s">
        <v>63838</v>
      </c>
      <c r="N10371" s="14" t="s">
        <v>775</v>
      </c>
      <c r="O10371" s="16" t="s">
        <v>776</v>
      </c>
      <c r="P10371" s="14" t="s">
        <v>63839</v>
      </c>
      <c r="Q10371" s="14" t="s">
        <v>31</v>
      </c>
      <c r="R10371" s="14" t="s">
        <v>64</v>
      </c>
      <c r="S10371" s="16" t="s">
        <v>779</v>
      </c>
      <c r="T10371" s="14" t="s">
        <v>66</v>
      </c>
      <c r="U10371" s="16" t="s">
        <v>31</v>
      </c>
      <c r="V10371" s="14" t="s">
        <v>63840</v>
      </c>
      <c r="W10371" s="14" t="s">
        <v>63830</v>
      </c>
      <c r="X10371" s="17" t="str">
        <f>HYPERLINK("https://my.pitchbook.com?p=35634-43P","View People Online")</f>
        <v>View People Online</v>
      </c>
    </row>
    <row r="10372">
      <c r="A10372" s="2" t="s">
        <v>63841</v>
      </c>
      <c r="B10372" s="2" t="s">
        <v>63842</v>
      </c>
      <c r="C10372" s="2" t="s">
        <v>3779</v>
      </c>
      <c r="D10372" s="2" t="s">
        <v>61057</v>
      </c>
      <c r="E10372" s="2" t="s">
        <v>63843</v>
      </c>
      <c r="F10372" s="2" t="s">
        <v>78</v>
      </c>
      <c r="G10372" s="2" t="s">
        <v>63844</v>
      </c>
      <c r="H10372" s="3">
        <v>1.0</v>
      </c>
      <c r="I10372" s="3">
        <v>2.0</v>
      </c>
      <c r="J10372" s="3">
        <v>1.0</v>
      </c>
      <c r="K10372" s="3" t="s">
        <v>31</v>
      </c>
      <c r="L10372" s="4" t="s">
        <v>63845</v>
      </c>
      <c r="M10372" s="2" t="s">
        <v>63846</v>
      </c>
      <c r="N10372" s="2" t="s">
        <v>31420</v>
      </c>
      <c r="O10372" s="4" t="s">
        <v>31421</v>
      </c>
      <c r="P10372" s="2" t="s">
        <v>63847</v>
      </c>
      <c r="Q10372" s="2" t="s">
        <v>31</v>
      </c>
      <c r="R10372" s="2" t="s">
        <v>64</v>
      </c>
      <c r="S10372" s="4" t="s">
        <v>63848</v>
      </c>
      <c r="T10372" s="2" t="s">
        <v>66</v>
      </c>
      <c r="U10372" s="4" t="s">
        <v>31</v>
      </c>
      <c r="V10372" s="2" t="s">
        <v>78</v>
      </c>
      <c r="W10372" s="2" t="s">
        <v>63843</v>
      </c>
      <c r="X10372" s="5" t="str">
        <f>HYPERLINK("https://my.pitchbook.com?p=303902-74P","View People Online")</f>
        <v>View People Online</v>
      </c>
    </row>
    <row r="10373">
      <c r="A10373" s="14" t="s">
        <v>63849</v>
      </c>
      <c r="B10373" s="14" t="s">
        <v>63850</v>
      </c>
      <c r="C10373" s="14" t="s">
        <v>63851</v>
      </c>
      <c r="D10373" s="14" t="s">
        <v>63852</v>
      </c>
      <c r="E10373" s="14" t="s">
        <v>63843</v>
      </c>
      <c r="F10373" s="14" t="s">
        <v>35359</v>
      </c>
      <c r="G10373" s="14" t="s">
        <v>63853</v>
      </c>
      <c r="H10373" s="15" t="s">
        <v>31</v>
      </c>
      <c r="I10373" s="15">
        <v>1.0</v>
      </c>
      <c r="J10373" s="15">
        <v>1.0</v>
      </c>
      <c r="K10373" s="15" t="s">
        <v>31</v>
      </c>
      <c r="L10373" s="16" t="s">
        <v>63845</v>
      </c>
      <c r="M10373" s="14" t="s">
        <v>63854</v>
      </c>
      <c r="N10373" s="14" t="s">
        <v>31420</v>
      </c>
      <c r="O10373" s="16" t="s">
        <v>31421</v>
      </c>
      <c r="P10373" s="14" t="s">
        <v>63847</v>
      </c>
      <c r="Q10373" s="14" t="s">
        <v>31</v>
      </c>
      <c r="R10373" s="14" t="s">
        <v>64</v>
      </c>
      <c r="S10373" s="16" t="s">
        <v>63848</v>
      </c>
      <c r="T10373" s="14" t="s">
        <v>66</v>
      </c>
      <c r="U10373" s="16" t="s">
        <v>31</v>
      </c>
      <c r="V10373" s="14" t="s">
        <v>63855</v>
      </c>
      <c r="W10373" s="14" t="s">
        <v>63843</v>
      </c>
      <c r="X10373" s="17" t="str">
        <f>HYPERLINK("https://my.pitchbook.com?p=444534-49P","View People Online")</f>
        <v>View People Online</v>
      </c>
    </row>
    <row r="10374">
      <c r="A10374" s="10" t="s">
        <v>63856</v>
      </c>
      <c r="B10374" s="10" t="s">
        <v>63857</v>
      </c>
      <c r="C10374" s="10" t="s">
        <v>1437</v>
      </c>
      <c r="D10374" s="10" t="s">
        <v>63858</v>
      </c>
      <c r="E10374" s="10" t="s">
        <v>63843</v>
      </c>
      <c r="F10374" s="10" t="s">
        <v>270</v>
      </c>
      <c r="G10374" s="10" t="s">
        <v>63859</v>
      </c>
      <c r="H10374" s="11">
        <v>1.0</v>
      </c>
      <c r="I10374" s="11">
        <v>2.0</v>
      </c>
      <c r="J10374" s="11">
        <v>1.0</v>
      </c>
      <c r="K10374" s="11" t="s">
        <v>31</v>
      </c>
      <c r="L10374" s="12" t="s">
        <v>63845</v>
      </c>
      <c r="M10374" s="10" t="s">
        <v>63860</v>
      </c>
      <c r="N10374" s="10" t="s">
        <v>31420</v>
      </c>
      <c r="O10374" s="12" t="s">
        <v>31421</v>
      </c>
      <c r="P10374" s="10" t="s">
        <v>63847</v>
      </c>
      <c r="Q10374" s="10" t="s">
        <v>31</v>
      </c>
      <c r="R10374" s="10" t="s">
        <v>64</v>
      </c>
      <c r="S10374" s="12" t="s">
        <v>63848</v>
      </c>
      <c r="T10374" s="10" t="s">
        <v>66</v>
      </c>
      <c r="U10374" s="12" t="s">
        <v>31</v>
      </c>
      <c r="V10374" s="10" t="s">
        <v>63861</v>
      </c>
      <c r="W10374" s="10" t="s">
        <v>63843</v>
      </c>
      <c r="X10374" s="13" t="str">
        <f>HYPERLINK("https://my.pitchbook.com?p=55419-76P","View People Online")</f>
        <v>View People Online</v>
      </c>
    </row>
    <row r="10375">
      <c r="A10375" s="6" t="s">
        <v>63862</v>
      </c>
      <c r="B10375" s="6" t="s">
        <v>63863</v>
      </c>
      <c r="C10375" s="6" t="s">
        <v>36436</v>
      </c>
      <c r="D10375" s="6" t="s">
        <v>63864</v>
      </c>
      <c r="E10375" s="6" t="s">
        <v>63843</v>
      </c>
      <c r="F10375" s="6" t="s">
        <v>270</v>
      </c>
      <c r="G10375" s="6" t="s">
        <v>63865</v>
      </c>
      <c r="H10375" s="7" t="s">
        <v>31</v>
      </c>
      <c r="I10375" s="7">
        <v>1.0</v>
      </c>
      <c r="J10375" s="7">
        <v>1.0</v>
      </c>
      <c r="K10375" s="7" t="s">
        <v>31</v>
      </c>
      <c r="L10375" s="8" t="s">
        <v>63845</v>
      </c>
      <c r="M10375" s="6" t="s">
        <v>63866</v>
      </c>
      <c r="N10375" s="6" t="s">
        <v>31420</v>
      </c>
      <c r="O10375" s="8" t="s">
        <v>31421</v>
      </c>
      <c r="P10375" s="6" t="s">
        <v>63847</v>
      </c>
      <c r="Q10375" s="6" t="s">
        <v>31</v>
      </c>
      <c r="R10375" s="6" t="s">
        <v>64</v>
      </c>
      <c r="S10375" s="8" t="s">
        <v>63848</v>
      </c>
      <c r="T10375" s="6" t="s">
        <v>66</v>
      </c>
      <c r="U10375" s="8" t="s">
        <v>31</v>
      </c>
      <c r="V10375" s="6" t="s">
        <v>270</v>
      </c>
      <c r="W10375" s="6" t="s">
        <v>63843</v>
      </c>
      <c r="X10375" s="9" t="str">
        <f>HYPERLINK("https://my.pitchbook.com?p=444537-73P","View People Online")</f>
        <v>View People Online</v>
      </c>
    </row>
    <row r="10376">
      <c r="A10376" s="2" t="s">
        <v>63867</v>
      </c>
      <c r="B10376" s="2" t="s">
        <v>63868</v>
      </c>
      <c r="C10376" s="2" t="s">
        <v>3953</v>
      </c>
      <c r="D10376" s="2" t="s">
        <v>63869</v>
      </c>
      <c r="E10376" s="2" t="s">
        <v>63843</v>
      </c>
      <c r="F10376" s="2" t="s">
        <v>2156</v>
      </c>
      <c r="G10376" s="2" t="s">
        <v>63870</v>
      </c>
      <c r="H10376" s="3" t="s">
        <v>31</v>
      </c>
      <c r="I10376" s="3">
        <v>1.0</v>
      </c>
      <c r="J10376" s="3">
        <v>1.0</v>
      </c>
      <c r="K10376" s="3" t="s">
        <v>31</v>
      </c>
      <c r="L10376" s="4" t="s">
        <v>63845</v>
      </c>
      <c r="M10376" s="2" t="s">
        <v>63871</v>
      </c>
      <c r="N10376" s="2" t="s">
        <v>31420</v>
      </c>
      <c r="O10376" s="4" t="s">
        <v>31421</v>
      </c>
      <c r="P10376" s="2" t="s">
        <v>63847</v>
      </c>
      <c r="Q10376" s="2" t="s">
        <v>31</v>
      </c>
      <c r="R10376" s="2" t="s">
        <v>64</v>
      </c>
      <c r="S10376" s="4" t="s">
        <v>63848</v>
      </c>
      <c r="T10376" s="2" t="s">
        <v>66</v>
      </c>
      <c r="U10376" s="4" t="s">
        <v>31</v>
      </c>
      <c r="V10376" s="2" t="s">
        <v>2156</v>
      </c>
      <c r="W10376" s="2" t="s">
        <v>63843</v>
      </c>
      <c r="X10376" s="5" t="str">
        <f>HYPERLINK("https://my.pitchbook.com?p=444539-71P","View People Online")</f>
        <v>View People Online</v>
      </c>
    </row>
    <row r="10377">
      <c r="A10377" s="14" t="s">
        <v>63872</v>
      </c>
      <c r="B10377" s="14" t="s">
        <v>63873</v>
      </c>
      <c r="C10377" s="14" t="s">
        <v>5495</v>
      </c>
      <c r="D10377" s="14" t="s">
        <v>290</v>
      </c>
      <c r="E10377" s="14" t="s">
        <v>63843</v>
      </c>
      <c r="F10377" s="14" t="s">
        <v>270</v>
      </c>
      <c r="G10377" s="14" t="s">
        <v>63874</v>
      </c>
      <c r="H10377" s="15" t="s">
        <v>31</v>
      </c>
      <c r="I10377" s="15">
        <v>1.0</v>
      </c>
      <c r="J10377" s="15">
        <v>1.0</v>
      </c>
      <c r="K10377" s="15" t="s">
        <v>31</v>
      </c>
      <c r="L10377" s="16" t="s">
        <v>63845</v>
      </c>
      <c r="M10377" s="14" t="s">
        <v>63875</v>
      </c>
      <c r="N10377" s="14" t="s">
        <v>31420</v>
      </c>
      <c r="O10377" s="16" t="s">
        <v>31421</v>
      </c>
      <c r="P10377" s="14" t="s">
        <v>63847</v>
      </c>
      <c r="Q10377" s="14" t="s">
        <v>31</v>
      </c>
      <c r="R10377" s="14" t="s">
        <v>64</v>
      </c>
      <c r="S10377" s="16" t="s">
        <v>63848</v>
      </c>
      <c r="T10377" s="14" t="s">
        <v>66</v>
      </c>
      <c r="U10377" s="16" t="s">
        <v>31</v>
      </c>
      <c r="V10377" s="14" t="s">
        <v>63876</v>
      </c>
      <c r="W10377" s="14" t="s">
        <v>63843</v>
      </c>
      <c r="X10377" s="17" t="str">
        <f>HYPERLINK("https://my.pitchbook.com?p=444541-96P","View People Online")</f>
        <v>View People Online</v>
      </c>
    </row>
    <row r="10378">
      <c r="A10378" s="2" t="s">
        <v>63877</v>
      </c>
      <c r="B10378" s="2" t="s">
        <v>63878</v>
      </c>
      <c r="C10378" s="2" t="s">
        <v>4033</v>
      </c>
      <c r="D10378" s="2" t="s">
        <v>63879</v>
      </c>
      <c r="E10378" s="2" t="s">
        <v>63843</v>
      </c>
      <c r="F10378" s="2" t="s">
        <v>78</v>
      </c>
      <c r="G10378" s="2" t="s">
        <v>63880</v>
      </c>
      <c r="H10378" s="3" t="s">
        <v>31</v>
      </c>
      <c r="I10378" s="3">
        <v>1.0</v>
      </c>
      <c r="J10378" s="3">
        <v>1.0</v>
      </c>
      <c r="K10378" s="3" t="s">
        <v>31</v>
      </c>
      <c r="L10378" s="4" t="s">
        <v>63845</v>
      </c>
      <c r="M10378" s="2" t="s">
        <v>63881</v>
      </c>
      <c r="N10378" s="2" t="s">
        <v>31420</v>
      </c>
      <c r="O10378" s="4" t="s">
        <v>31421</v>
      </c>
      <c r="P10378" s="2" t="s">
        <v>63847</v>
      </c>
      <c r="Q10378" s="2" t="s">
        <v>31</v>
      </c>
      <c r="R10378" s="2" t="s">
        <v>64</v>
      </c>
      <c r="S10378" s="4" t="s">
        <v>63848</v>
      </c>
      <c r="T10378" s="2" t="s">
        <v>66</v>
      </c>
      <c r="U10378" s="4" t="s">
        <v>31</v>
      </c>
      <c r="V10378" s="2" t="s">
        <v>63882</v>
      </c>
      <c r="W10378" s="2" t="s">
        <v>63843</v>
      </c>
      <c r="X10378" s="5" t="str">
        <f>HYPERLINK("https://my.pitchbook.com?p=444545-47P","View People Online")</f>
        <v>View People Online</v>
      </c>
    </row>
    <row r="10379">
      <c r="A10379" s="6" t="s">
        <v>63883</v>
      </c>
      <c r="B10379" s="6" t="s">
        <v>63884</v>
      </c>
      <c r="C10379" s="6" t="s">
        <v>63885</v>
      </c>
      <c r="D10379" s="6" t="s">
        <v>63886</v>
      </c>
      <c r="E10379" s="6" t="s">
        <v>63843</v>
      </c>
      <c r="F10379" s="6" t="s">
        <v>35359</v>
      </c>
      <c r="G10379" s="6" t="s">
        <v>63887</v>
      </c>
      <c r="H10379" s="7" t="s">
        <v>31</v>
      </c>
      <c r="I10379" s="7">
        <v>1.0</v>
      </c>
      <c r="J10379" s="7">
        <v>1.0</v>
      </c>
      <c r="K10379" s="7" t="s">
        <v>31</v>
      </c>
      <c r="L10379" s="8" t="s">
        <v>63845</v>
      </c>
      <c r="M10379" s="6" t="s">
        <v>63888</v>
      </c>
      <c r="N10379" s="6" t="s">
        <v>31420</v>
      </c>
      <c r="O10379" s="8" t="s">
        <v>31421</v>
      </c>
      <c r="P10379" s="6" t="s">
        <v>63847</v>
      </c>
      <c r="Q10379" s="6" t="s">
        <v>31</v>
      </c>
      <c r="R10379" s="6" t="s">
        <v>64</v>
      </c>
      <c r="S10379" s="8" t="s">
        <v>63848</v>
      </c>
      <c r="T10379" s="6" t="s">
        <v>66</v>
      </c>
      <c r="U10379" s="8" t="s">
        <v>31</v>
      </c>
      <c r="V10379" s="6" t="s">
        <v>63889</v>
      </c>
      <c r="W10379" s="6" t="s">
        <v>63843</v>
      </c>
      <c r="X10379" s="9" t="str">
        <f>HYPERLINK("https://my.pitchbook.com?p=444547-27P","View People Online")</f>
        <v>View People Online</v>
      </c>
    </row>
    <row r="10380">
      <c r="A10380" s="2" t="s">
        <v>63890</v>
      </c>
      <c r="B10380" s="2" t="s">
        <v>63891</v>
      </c>
      <c r="C10380" s="2" t="s">
        <v>63892</v>
      </c>
      <c r="D10380" s="2" t="s">
        <v>63893</v>
      </c>
      <c r="E10380" s="2" t="s">
        <v>63843</v>
      </c>
      <c r="F10380" s="2" t="s">
        <v>470</v>
      </c>
      <c r="G10380" s="2" t="s">
        <v>63894</v>
      </c>
      <c r="H10380" s="3" t="s">
        <v>31</v>
      </c>
      <c r="I10380" s="3">
        <v>1.0</v>
      </c>
      <c r="J10380" s="3">
        <v>1.0</v>
      </c>
      <c r="K10380" s="3" t="s">
        <v>31</v>
      </c>
      <c r="L10380" s="4" t="s">
        <v>63845</v>
      </c>
      <c r="M10380" s="2" t="s">
        <v>63895</v>
      </c>
      <c r="N10380" s="2" t="s">
        <v>31420</v>
      </c>
      <c r="O10380" s="4" t="s">
        <v>31421</v>
      </c>
      <c r="P10380" s="2" t="s">
        <v>63847</v>
      </c>
      <c r="Q10380" s="2" t="s">
        <v>31</v>
      </c>
      <c r="R10380" s="2" t="s">
        <v>64</v>
      </c>
      <c r="S10380" s="4" t="s">
        <v>63848</v>
      </c>
      <c r="T10380" s="2" t="s">
        <v>66</v>
      </c>
      <c r="U10380" s="4" t="s">
        <v>31</v>
      </c>
      <c r="V10380" s="2" t="s">
        <v>470</v>
      </c>
      <c r="W10380" s="2" t="s">
        <v>63843</v>
      </c>
      <c r="X10380" s="5" t="str">
        <f>HYPERLINK("https://my.pitchbook.com?p=439537-87P","View People Online")</f>
        <v>View People Online</v>
      </c>
    </row>
    <row r="10381">
      <c r="A10381" s="14" t="s">
        <v>63896</v>
      </c>
      <c r="B10381" s="14" t="s">
        <v>63897</v>
      </c>
      <c r="C10381" s="14" t="s">
        <v>26</v>
      </c>
      <c r="D10381" s="14" t="s">
        <v>63898</v>
      </c>
      <c r="E10381" s="14" t="s">
        <v>63899</v>
      </c>
      <c r="F10381" s="14" t="s">
        <v>5418</v>
      </c>
      <c r="G10381" s="14" t="s">
        <v>63900</v>
      </c>
      <c r="H10381" s="15" t="s">
        <v>31</v>
      </c>
      <c r="I10381" s="15">
        <v>1.0</v>
      </c>
      <c r="J10381" s="15">
        <v>1.0</v>
      </c>
      <c r="K10381" s="15" t="s">
        <v>31</v>
      </c>
      <c r="L10381" s="16" t="s">
        <v>63901</v>
      </c>
      <c r="M10381" s="14" t="s">
        <v>63902</v>
      </c>
      <c r="N10381" s="14" t="s">
        <v>63903</v>
      </c>
      <c r="O10381" s="16" t="s">
        <v>63904</v>
      </c>
      <c r="P10381" s="14" t="s">
        <v>63905</v>
      </c>
      <c r="Q10381" s="14" t="s">
        <v>63906</v>
      </c>
      <c r="R10381" s="14" t="s">
        <v>3960</v>
      </c>
      <c r="S10381" s="16" t="s">
        <v>61995</v>
      </c>
      <c r="T10381" s="14" t="s">
        <v>66</v>
      </c>
      <c r="U10381" s="16" t="s">
        <v>31</v>
      </c>
      <c r="V10381" s="14" t="s">
        <v>63907</v>
      </c>
      <c r="W10381" s="14" t="s">
        <v>63899</v>
      </c>
      <c r="X10381" s="17" t="str">
        <f>HYPERLINK("https://my.pitchbook.com?p=397718-65P","View People Online")</f>
        <v>View People Online</v>
      </c>
    </row>
    <row r="10382">
      <c r="A10382" s="2" t="s">
        <v>63908</v>
      </c>
      <c r="B10382" s="2" t="s">
        <v>63909</v>
      </c>
      <c r="C10382" s="2" t="s">
        <v>3040</v>
      </c>
      <c r="D10382" s="2" t="s">
        <v>14888</v>
      </c>
      <c r="E10382" s="2" t="s">
        <v>63899</v>
      </c>
      <c r="F10382" s="2" t="s">
        <v>63910</v>
      </c>
      <c r="G10382" s="2" t="s">
        <v>63911</v>
      </c>
      <c r="H10382" s="3" t="s">
        <v>31</v>
      </c>
      <c r="I10382" s="3">
        <v>1.0</v>
      </c>
      <c r="J10382" s="3">
        <v>1.0</v>
      </c>
      <c r="K10382" s="3" t="s">
        <v>31</v>
      </c>
      <c r="L10382" s="4" t="s">
        <v>63912</v>
      </c>
      <c r="M10382" s="2" t="s">
        <v>63913</v>
      </c>
      <c r="N10382" s="2" t="s">
        <v>63903</v>
      </c>
      <c r="O10382" s="4" t="s">
        <v>63904</v>
      </c>
      <c r="P10382" s="2" t="s">
        <v>63905</v>
      </c>
      <c r="Q10382" s="2" t="s">
        <v>63906</v>
      </c>
      <c r="R10382" s="2" t="s">
        <v>3960</v>
      </c>
      <c r="S10382" s="4" t="s">
        <v>61995</v>
      </c>
      <c r="T10382" s="2" t="s">
        <v>66</v>
      </c>
      <c r="U10382" s="4" t="s">
        <v>31</v>
      </c>
      <c r="V10382" s="2" t="s">
        <v>63914</v>
      </c>
      <c r="W10382" s="2" t="s">
        <v>63899</v>
      </c>
      <c r="X10382" s="5" t="str">
        <f>HYPERLINK("https://my.pitchbook.com?p=397718-74P","View People Online")</f>
        <v>View People Online</v>
      </c>
    </row>
    <row r="10383">
      <c r="A10383" s="14" t="s">
        <v>63915</v>
      </c>
      <c r="B10383" s="14" t="s">
        <v>63916</v>
      </c>
      <c r="C10383" s="14" t="s">
        <v>63917</v>
      </c>
      <c r="D10383" s="14" t="s">
        <v>1147</v>
      </c>
      <c r="E10383" s="14" t="s">
        <v>63899</v>
      </c>
      <c r="F10383" s="14" t="s">
        <v>28095</v>
      </c>
      <c r="G10383" s="14" t="s">
        <v>63918</v>
      </c>
      <c r="H10383" s="15" t="s">
        <v>31</v>
      </c>
      <c r="I10383" s="15">
        <v>1.0</v>
      </c>
      <c r="J10383" s="15">
        <v>1.0</v>
      </c>
      <c r="K10383" s="15" t="s">
        <v>31</v>
      </c>
      <c r="L10383" s="16" t="s">
        <v>63919</v>
      </c>
      <c r="M10383" s="14" t="s">
        <v>63920</v>
      </c>
      <c r="N10383" s="14" t="s">
        <v>63903</v>
      </c>
      <c r="O10383" s="16" t="s">
        <v>63904</v>
      </c>
      <c r="P10383" s="14" t="s">
        <v>63905</v>
      </c>
      <c r="Q10383" s="14" t="s">
        <v>63906</v>
      </c>
      <c r="R10383" s="14" t="s">
        <v>3960</v>
      </c>
      <c r="S10383" s="16" t="s">
        <v>61995</v>
      </c>
      <c r="T10383" s="14" t="s">
        <v>66</v>
      </c>
      <c r="U10383" s="16" t="s">
        <v>31</v>
      </c>
      <c r="V10383" s="14" t="s">
        <v>28098</v>
      </c>
      <c r="W10383" s="14" t="s">
        <v>63899</v>
      </c>
      <c r="X10383" s="17" t="str">
        <f>HYPERLINK("https://my.pitchbook.com?p=413206-93P","View People Online")</f>
        <v>View People Online</v>
      </c>
    </row>
    <row r="10384">
      <c r="A10384" s="2" t="s">
        <v>63921</v>
      </c>
      <c r="B10384" s="2" t="s">
        <v>63922</v>
      </c>
      <c r="C10384" s="2" t="s">
        <v>63923</v>
      </c>
      <c r="D10384" s="2" t="s">
        <v>63924</v>
      </c>
      <c r="E10384" s="2" t="s">
        <v>63899</v>
      </c>
      <c r="F10384" s="2" t="s">
        <v>583</v>
      </c>
      <c r="G10384" s="2" t="s">
        <v>63925</v>
      </c>
      <c r="H10384" s="3" t="s">
        <v>31</v>
      </c>
      <c r="I10384" s="3">
        <v>2.0</v>
      </c>
      <c r="J10384" s="3">
        <v>1.0</v>
      </c>
      <c r="K10384" s="3">
        <v>1.0</v>
      </c>
      <c r="L10384" s="4" t="s">
        <v>63919</v>
      </c>
      <c r="M10384" s="2" t="s">
        <v>63926</v>
      </c>
      <c r="N10384" s="2" t="s">
        <v>63903</v>
      </c>
      <c r="O10384" s="4" t="s">
        <v>63904</v>
      </c>
      <c r="P10384" s="2" t="s">
        <v>63905</v>
      </c>
      <c r="Q10384" s="2" t="s">
        <v>63906</v>
      </c>
      <c r="R10384" s="2" t="s">
        <v>3960</v>
      </c>
      <c r="S10384" s="4" t="s">
        <v>61995</v>
      </c>
      <c r="T10384" s="2" t="s">
        <v>66</v>
      </c>
      <c r="U10384" s="4" t="s">
        <v>31</v>
      </c>
      <c r="V10384" s="2" t="s">
        <v>583</v>
      </c>
      <c r="W10384" s="2" t="s">
        <v>63899</v>
      </c>
      <c r="X10384" s="5" t="str">
        <f>HYPERLINK("https://my.pitchbook.com?p=177657-67P","View People Online")</f>
        <v>View People Online</v>
      </c>
    </row>
    <row r="10385">
      <c r="A10385" s="14" t="s">
        <v>63927</v>
      </c>
      <c r="B10385" s="14" t="s">
        <v>63928</v>
      </c>
      <c r="C10385" s="14" t="s">
        <v>3716</v>
      </c>
      <c r="D10385" s="14" t="s">
        <v>25533</v>
      </c>
      <c r="E10385" s="14" t="s">
        <v>63899</v>
      </c>
      <c r="F10385" s="14" t="s">
        <v>35359</v>
      </c>
      <c r="G10385" s="14" t="s">
        <v>63929</v>
      </c>
      <c r="H10385" s="15" t="s">
        <v>31</v>
      </c>
      <c r="I10385" s="15">
        <v>1.0</v>
      </c>
      <c r="J10385" s="15">
        <v>1.0</v>
      </c>
      <c r="K10385" s="15" t="s">
        <v>31</v>
      </c>
      <c r="L10385" s="16" t="s">
        <v>63919</v>
      </c>
      <c r="M10385" s="14" t="s">
        <v>63930</v>
      </c>
      <c r="N10385" s="14" t="s">
        <v>63903</v>
      </c>
      <c r="O10385" s="16" t="s">
        <v>63904</v>
      </c>
      <c r="P10385" s="14" t="s">
        <v>63905</v>
      </c>
      <c r="Q10385" s="14" t="s">
        <v>63906</v>
      </c>
      <c r="R10385" s="14" t="s">
        <v>3960</v>
      </c>
      <c r="S10385" s="16" t="s">
        <v>61995</v>
      </c>
      <c r="T10385" s="14" t="s">
        <v>66</v>
      </c>
      <c r="U10385" s="16" t="s">
        <v>31</v>
      </c>
      <c r="V10385" s="14" t="s">
        <v>35359</v>
      </c>
      <c r="W10385" s="14" t="s">
        <v>63899</v>
      </c>
      <c r="X10385" s="17" t="str">
        <f>HYPERLINK("https://my.pitchbook.com?p=391825-18P","View People Online")</f>
        <v>View People Online</v>
      </c>
    </row>
    <row r="10386">
      <c r="A10386" s="10" t="s">
        <v>63931</v>
      </c>
      <c r="B10386" s="10" t="s">
        <v>63932</v>
      </c>
      <c r="C10386" s="10" t="s">
        <v>63933</v>
      </c>
      <c r="D10386" s="10" t="s">
        <v>63934</v>
      </c>
      <c r="E10386" s="10" t="s">
        <v>63935</v>
      </c>
      <c r="F10386" s="10" t="s">
        <v>1167</v>
      </c>
      <c r="G10386" s="10" t="s">
        <v>63936</v>
      </c>
      <c r="H10386" s="11" t="s">
        <v>31</v>
      </c>
      <c r="I10386" s="11">
        <v>1.0</v>
      </c>
      <c r="J10386" s="11">
        <v>1.0</v>
      </c>
      <c r="K10386" s="11" t="s">
        <v>31</v>
      </c>
      <c r="L10386" s="12" t="s">
        <v>31</v>
      </c>
      <c r="M10386" s="10" t="s">
        <v>63937</v>
      </c>
      <c r="N10386" s="10" t="s">
        <v>1348</v>
      </c>
      <c r="O10386" s="12" t="s">
        <v>1349</v>
      </c>
      <c r="P10386" s="10" t="s">
        <v>63938</v>
      </c>
      <c r="Q10386" s="10" t="s">
        <v>31</v>
      </c>
      <c r="R10386" s="10" t="s">
        <v>1018</v>
      </c>
      <c r="S10386" s="12" t="s">
        <v>63939</v>
      </c>
      <c r="T10386" s="10" t="s">
        <v>1019</v>
      </c>
      <c r="U10386" s="12" t="s">
        <v>63940</v>
      </c>
      <c r="V10386" s="10" t="s">
        <v>991</v>
      </c>
      <c r="W10386" s="10" t="s">
        <v>63935</v>
      </c>
      <c r="X10386" s="13" t="str">
        <f>HYPERLINK("https://my.pitchbook.com?p=166478-59P","View People Online")</f>
        <v>View People Online</v>
      </c>
    </row>
    <row r="10387">
      <c r="A10387" s="14" t="s">
        <v>63941</v>
      </c>
      <c r="B10387" s="14" t="s">
        <v>63942</v>
      </c>
      <c r="C10387" s="14" t="s">
        <v>4911</v>
      </c>
      <c r="D10387" s="14" t="s">
        <v>1645</v>
      </c>
      <c r="E10387" s="14" t="s">
        <v>63935</v>
      </c>
      <c r="F10387" s="14" t="s">
        <v>49932</v>
      </c>
      <c r="G10387" s="14" t="s">
        <v>63943</v>
      </c>
      <c r="H10387" s="15" t="s">
        <v>31</v>
      </c>
      <c r="I10387" s="15">
        <v>1.0</v>
      </c>
      <c r="J10387" s="15">
        <v>1.0</v>
      </c>
      <c r="K10387" s="15" t="s">
        <v>31</v>
      </c>
      <c r="L10387" s="16" t="s">
        <v>31</v>
      </c>
      <c r="M10387" s="14" t="s">
        <v>63944</v>
      </c>
      <c r="N10387" s="14" t="s">
        <v>1348</v>
      </c>
      <c r="O10387" s="16" t="s">
        <v>1349</v>
      </c>
      <c r="P10387" s="14" t="s">
        <v>63938</v>
      </c>
      <c r="Q10387" s="14" t="s">
        <v>31</v>
      </c>
      <c r="R10387" s="14" t="s">
        <v>1018</v>
      </c>
      <c r="S10387" s="16" t="s">
        <v>63939</v>
      </c>
      <c r="T10387" s="14" t="s">
        <v>1019</v>
      </c>
      <c r="U10387" s="16" t="s">
        <v>63940</v>
      </c>
      <c r="V10387" s="14" t="s">
        <v>63945</v>
      </c>
      <c r="W10387" s="14" t="s">
        <v>63935</v>
      </c>
      <c r="X10387" s="17" t="str">
        <f>HYPERLINK("https://my.pitchbook.com?p=166479-67P","View People Online")</f>
        <v>View People Online</v>
      </c>
    </row>
    <row r="10388">
      <c r="A10388" s="2" t="s">
        <v>63946</v>
      </c>
      <c r="B10388" s="2" t="s">
        <v>63947</v>
      </c>
      <c r="C10388" s="2" t="s">
        <v>1255</v>
      </c>
      <c r="D10388" s="2" t="s">
        <v>6064</v>
      </c>
      <c r="E10388" s="2" t="s">
        <v>63948</v>
      </c>
      <c r="F10388" s="2" t="s">
        <v>63949</v>
      </c>
      <c r="G10388" s="2" t="s">
        <v>63950</v>
      </c>
      <c r="H10388" s="3" t="s">
        <v>31</v>
      </c>
      <c r="I10388" s="3">
        <v>1.0</v>
      </c>
      <c r="J10388" s="3">
        <v>1.0</v>
      </c>
      <c r="K10388" s="3" t="s">
        <v>31</v>
      </c>
      <c r="L10388" s="4" t="s">
        <v>63951</v>
      </c>
      <c r="M10388" s="2" t="s">
        <v>63952</v>
      </c>
      <c r="N10388" s="2" t="s">
        <v>1170</v>
      </c>
      <c r="O10388" s="4" t="s">
        <v>1171</v>
      </c>
      <c r="P10388" s="2" t="s">
        <v>63953</v>
      </c>
      <c r="Q10388" s="2" t="s">
        <v>31</v>
      </c>
      <c r="R10388" s="2" t="s">
        <v>64</v>
      </c>
      <c r="S10388" s="4" t="s">
        <v>63954</v>
      </c>
      <c r="T10388" s="2" t="s">
        <v>66</v>
      </c>
      <c r="U10388" s="4" t="s">
        <v>31</v>
      </c>
      <c r="V10388" s="2" t="s">
        <v>63955</v>
      </c>
      <c r="W10388" s="2" t="s">
        <v>63948</v>
      </c>
      <c r="X10388" s="5" t="str">
        <f>HYPERLINK("https://my.pitchbook.com?p=454417-12P","View People Online")</f>
        <v>View People Online</v>
      </c>
    </row>
    <row r="10389">
      <c r="A10389" s="14" t="s">
        <v>63956</v>
      </c>
      <c r="B10389" s="14" t="s">
        <v>63957</v>
      </c>
      <c r="C10389" s="14" t="s">
        <v>3040</v>
      </c>
      <c r="D10389" s="14" t="s">
        <v>8429</v>
      </c>
      <c r="E10389" s="14" t="s">
        <v>63948</v>
      </c>
      <c r="F10389" s="14" t="s">
        <v>674</v>
      </c>
      <c r="G10389" s="14" t="s">
        <v>63958</v>
      </c>
      <c r="H10389" s="15" t="s">
        <v>31</v>
      </c>
      <c r="I10389" s="15">
        <v>2.0</v>
      </c>
      <c r="J10389" s="15">
        <v>1.0</v>
      </c>
      <c r="K10389" s="15" t="s">
        <v>31</v>
      </c>
      <c r="L10389" s="16" t="s">
        <v>63951</v>
      </c>
      <c r="M10389" s="14" t="s">
        <v>63959</v>
      </c>
      <c r="N10389" s="14" t="s">
        <v>1170</v>
      </c>
      <c r="O10389" s="16" t="s">
        <v>1171</v>
      </c>
      <c r="P10389" s="14" t="s">
        <v>63953</v>
      </c>
      <c r="Q10389" s="14" t="s">
        <v>31</v>
      </c>
      <c r="R10389" s="14" t="s">
        <v>64</v>
      </c>
      <c r="S10389" s="16" t="s">
        <v>63954</v>
      </c>
      <c r="T10389" s="14" t="s">
        <v>66</v>
      </c>
      <c r="U10389" s="16" t="s">
        <v>31</v>
      </c>
      <c r="V10389" s="14" t="s">
        <v>674</v>
      </c>
      <c r="W10389" s="14" t="s">
        <v>63948</v>
      </c>
      <c r="X10389" s="17" t="str">
        <f>HYPERLINK("https://my.pitchbook.com?p=270507-79P","View People Online")</f>
        <v>View People Online</v>
      </c>
    </row>
    <row r="10390">
      <c r="A10390" s="10" t="s">
        <v>63960</v>
      </c>
      <c r="B10390" s="10" t="s">
        <v>63961</v>
      </c>
      <c r="C10390" s="10" t="s">
        <v>63962</v>
      </c>
      <c r="D10390" s="10" t="s">
        <v>63963</v>
      </c>
      <c r="E10390" s="10" t="s">
        <v>63948</v>
      </c>
      <c r="F10390" s="10" t="s">
        <v>695</v>
      </c>
      <c r="G10390" s="10" t="s">
        <v>63964</v>
      </c>
      <c r="H10390" s="11" t="s">
        <v>31</v>
      </c>
      <c r="I10390" s="11">
        <v>1.0</v>
      </c>
      <c r="J10390" s="11">
        <v>1.0</v>
      </c>
      <c r="K10390" s="11" t="s">
        <v>31</v>
      </c>
      <c r="L10390" s="12" t="s">
        <v>63951</v>
      </c>
      <c r="M10390" s="10" t="s">
        <v>63965</v>
      </c>
      <c r="N10390" s="10" t="s">
        <v>1170</v>
      </c>
      <c r="O10390" s="12" t="s">
        <v>1171</v>
      </c>
      <c r="P10390" s="10" t="s">
        <v>63953</v>
      </c>
      <c r="Q10390" s="10" t="s">
        <v>31</v>
      </c>
      <c r="R10390" s="10" t="s">
        <v>64</v>
      </c>
      <c r="S10390" s="12" t="s">
        <v>63954</v>
      </c>
      <c r="T10390" s="10" t="s">
        <v>66</v>
      </c>
      <c r="U10390" s="12" t="s">
        <v>31</v>
      </c>
      <c r="V10390" s="10" t="s">
        <v>63966</v>
      </c>
      <c r="W10390" s="10" t="s">
        <v>63948</v>
      </c>
      <c r="X10390" s="13" t="str">
        <f>HYPERLINK("https://my.pitchbook.com?p=454421-08P","View People Online")</f>
        <v>View People Online</v>
      </c>
    </row>
    <row r="10391">
      <c r="A10391" s="6" t="s">
        <v>63967</v>
      </c>
      <c r="B10391" s="6" t="s">
        <v>63968</v>
      </c>
      <c r="C10391" s="6" t="s">
        <v>934</v>
      </c>
      <c r="D10391" s="6" t="s">
        <v>3716</v>
      </c>
      <c r="E10391" s="6" t="s">
        <v>63948</v>
      </c>
      <c r="F10391" s="6" t="s">
        <v>502</v>
      </c>
      <c r="G10391" s="6" t="s">
        <v>63969</v>
      </c>
      <c r="H10391" s="7" t="s">
        <v>31</v>
      </c>
      <c r="I10391" s="7">
        <v>1.0</v>
      </c>
      <c r="J10391" s="7">
        <v>1.0</v>
      </c>
      <c r="K10391" s="7" t="s">
        <v>31</v>
      </c>
      <c r="L10391" s="8" t="s">
        <v>63951</v>
      </c>
      <c r="M10391" s="6" t="s">
        <v>63970</v>
      </c>
      <c r="N10391" s="6" t="s">
        <v>1170</v>
      </c>
      <c r="O10391" s="8" t="s">
        <v>1171</v>
      </c>
      <c r="P10391" s="6" t="s">
        <v>63953</v>
      </c>
      <c r="Q10391" s="6" t="s">
        <v>31</v>
      </c>
      <c r="R10391" s="6" t="s">
        <v>64</v>
      </c>
      <c r="S10391" s="8" t="s">
        <v>63954</v>
      </c>
      <c r="T10391" s="6" t="s">
        <v>66</v>
      </c>
      <c r="U10391" s="8" t="s">
        <v>31</v>
      </c>
      <c r="V10391" s="6" t="s">
        <v>502</v>
      </c>
      <c r="W10391" s="6" t="s">
        <v>63948</v>
      </c>
      <c r="X10391" s="9" t="str">
        <f>HYPERLINK("https://my.pitchbook.com?p=406484-38P","View People Online")</f>
        <v>View People Online</v>
      </c>
    </row>
    <row r="10392">
      <c r="A10392" s="2" t="s">
        <v>63971</v>
      </c>
      <c r="B10392" s="2" t="s">
        <v>63972</v>
      </c>
      <c r="C10392" s="2" t="s">
        <v>28751</v>
      </c>
      <c r="D10392" s="2" t="s">
        <v>15546</v>
      </c>
      <c r="E10392" s="2" t="s">
        <v>63973</v>
      </c>
      <c r="F10392" s="2" t="s">
        <v>713</v>
      </c>
      <c r="G10392" s="2" t="s">
        <v>63974</v>
      </c>
      <c r="H10392" s="3" t="s">
        <v>31</v>
      </c>
      <c r="I10392" s="3">
        <v>27.0</v>
      </c>
      <c r="J10392" s="3">
        <v>1.0</v>
      </c>
      <c r="K10392" s="3">
        <v>26.0</v>
      </c>
      <c r="L10392" s="4" t="s">
        <v>31</v>
      </c>
      <c r="M10392" s="2" t="s">
        <v>63975</v>
      </c>
      <c r="N10392" s="2" t="s">
        <v>15014</v>
      </c>
      <c r="O10392" s="4" t="s">
        <v>15015</v>
      </c>
      <c r="P10392" s="2" t="s">
        <v>63976</v>
      </c>
      <c r="Q10392" s="2" t="s">
        <v>31</v>
      </c>
      <c r="R10392" s="2" t="s">
        <v>31</v>
      </c>
      <c r="S10392" s="4" t="s">
        <v>63977</v>
      </c>
      <c r="T10392" s="2" t="s">
        <v>15018</v>
      </c>
      <c r="U10392" s="4" t="s">
        <v>31</v>
      </c>
      <c r="V10392" s="2" t="s">
        <v>713</v>
      </c>
      <c r="W10392" s="2" t="s">
        <v>63973</v>
      </c>
      <c r="X10392" s="5" t="str">
        <f>HYPERLINK("https://my.pitchbook.com?p=389101-78P","View People Online")</f>
        <v>View People Online</v>
      </c>
    </row>
    <row r="10393">
      <c r="A10393" s="6" t="s">
        <v>63978</v>
      </c>
      <c r="B10393" s="6" t="s">
        <v>63979</v>
      </c>
      <c r="C10393" s="6" t="s">
        <v>19404</v>
      </c>
      <c r="D10393" s="6" t="s">
        <v>22414</v>
      </c>
      <c r="E10393" s="6" t="s">
        <v>63973</v>
      </c>
      <c r="F10393" s="6" t="s">
        <v>270</v>
      </c>
      <c r="G10393" s="6" t="s">
        <v>63980</v>
      </c>
      <c r="H10393" s="7" t="s">
        <v>31</v>
      </c>
      <c r="I10393" s="7">
        <v>4.0</v>
      </c>
      <c r="J10393" s="7">
        <v>1.0</v>
      </c>
      <c r="K10393" s="7">
        <v>3.0</v>
      </c>
      <c r="L10393" s="8" t="s">
        <v>31</v>
      </c>
      <c r="M10393" s="6" t="s">
        <v>31</v>
      </c>
      <c r="N10393" s="6" t="s">
        <v>15014</v>
      </c>
      <c r="O10393" s="8" t="s">
        <v>15015</v>
      </c>
      <c r="P10393" s="6" t="s">
        <v>63976</v>
      </c>
      <c r="Q10393" s="6" t="s">
        <v>31</v>
      </c>
      <c r="R10393" s="6" t="s">
        <v>31</v>
      </c>
      <c r="S10393" s="8" t="s">
        <v>63977</v>
      </c>
      <c r="T10393" s="6" t="s">
        <v>15018</v>
      </c>
      <c r="U10393" s="8" t="s">
        <v>31</v>
      </c>
      <c r="V10393" s="6" t="s">
        <v>270</v>
      </c>
      <c r="W10393" s="6" t="s">
        <v>63973</v>
      </c>
      <c r="X10393" s="9" t="str">
        <f>HYPERLINK("https://my.pitchbook.com?p=439182-64P","View People Online")</f>
        <v>View People Online</v>
      </c>
    </row>
    <row r="10394">
      <c r="A10394" s="2" t="s">
        <v>63981</v>
      </c>
      <c r="B10394" s="2" t="s">
        <v>63982</v>
      </c>
      <c r="C10394" s="2" t="s">
        <v>19404</v>
      </c>
      <c r="D10394" s="2" t="s">
        <v>63983</v>
      </c>
      <c r="E10394" s="2" t="s">
        <v>63973</v>
      </c>
      <c r="F10394" s="2" t="s">
        <v>270</v>
      </c>
      <c r="G10394" s="2" t="s">
        <v>63984</v>
      </c>
      <c r="H10394" s="3" t="s">
        <v>31</v>
      </c>
      <c r="I10394" s="3">
        <v>1.0</v>
      </c>
      <c r="J10394" s="3">
        <v>1.0</v>
      </c>
      <c r="K10394" s="3" t="s">
        <v>31</v>
      </c>
      <c r="L10394" s="4" t="s">
        <v>63985</v>
      </c>
      <c r="M10394" s="2" t="s">
        <v>63986</v>
      </c>
      <c r="N10394" s="2" t="s">
        <v>15014</v>
      </c>
      <c r="O10394" s="4" t="s">
        <v>15015</v>
      </c>
      <c r="P10394" s="2" t="s">
        <v>63976</v>
      </c>
      <c r="Q10394" s="2" t="s">
        <v>31</v>
      </c>
      <c r="R10394" s="2" t="s">
        <v>31</v>
      </c>
      <c r="S10394" s="4" t="s">
        <v>63977</v>
      </c>
      <c r="T10394" s="2" t="s">
        <v>15018</v>
      </c>
      <c r="U10394" s="4" t="s">
        <v>31</v>
      </c>
      <c r="V10394" s="2" t="s">
        <v>63987</v>
      </c>
      <c r="W10394" s="2" t="s">
        <v>63973</v>
      </c>
      <c r="X10394" s="5" t="str">
        <f>HYPERLINK("https://my.pitchbook.com?p=177750-82P","View People Online")</f>
        <v>View People Online</v>
      </c>
    </row>
    <row r="10395">
      <c r="A10395" s="14" t="s">
        <v>63988</v>
      </c>
      <c r="B10395" s="14" t="s">
        <v>63989</v>
      </c>
      <c r="C10395" s="14" t="s">
        <v>3040</v>
      </c>
      <c r="D10395" s="14" t="s">
        <v>63990</v>
      </c>
      <c r="E10395" s="14" t="s">
        <v>63991</v>
      </c>
      <c r="F10395" s="14" t="s">
        <v>548</v>
      </c>
      <c r="G10395" s="14" t="s">
        <v>63992</v>
      </c>
      <c r="H10395" s="15" t="s">
        <v>31</v>
      </c>
      <c r="I10395" s="15">
        <v>1.0</v>
      </c>
      <c r="J10395" s="15">
        <v>1.0</v>
      </c>
      <c r="K10395" s="15" t="s">
        <v>31</v>
      </c>
      <c r="L10395" s="16" t="s">
        <v>63993</v>
      </c>
      <c r="M10395" s="14" t="s">
        <v>63994</v>
      </c>
      <c r="N10395" s="14" t="s">
        <v>63995</v>
      </c>
      <c r="O10395" s="16" t="s">
        <v>63996</v>
      </c>
      <c r="P10395" s="14" t="s">
        <v>63997</v>
      </c>
      <c r="Q10395" s="14" t="s">
        <v>63998</v>
      </c>
      <c r="R10395" s="14" t="s">
        <v>1420</v>
      </c>
      <c r="S10395" s="16" t="s">
        <v>63999</v>
      </c>
      <c r="T10395" s="14" t="s">
        <v>66</v>
      </c>
      <c r="U10395" s="16" t="s">
        <v>31</v>
      </c>
      <c r="V10395" s="14" t="s">
        <v>64000</v>
      </c>
      <c r="W10395" s="14" t="s">
        <v>63991</v>
      </c>
      <c r="X10395" s="17" t="str">
        <f>HYPERLINK("https://my.pitchbook.com?p=354607-12P","View People Online")</f>
        <v>View People Online</v>
      </c>
    </row>
    <row r="10396">
      <c r="A10396" s="2" t="s">
        <v>64001</v>
      </c>
      <c r="B10396" s="2" t="s">
        <v>64002</v>
      </c>
      <c r="C10396" s="2" t="s">
        <v>3040</v>
      </c>
      <c r="D10396" s="2" t="s">
        <v>64003</v>
      </c>
      <c r="E10396" s="2" t="s">
        <v>63991</v>
      </c>
      <c r="F10396" s="2" t="s">
        <v>270</v>
      </c>
      <c r="G10396" s="2" t="s">
        <v>64004</v>
      </c>
      <c r="H10396" s="3" t="s">
        <v>31</v>
      </c>
      <c r="I10396" s="3">
        <v>1.0</v>
      </c>
      <c r="J10396" s="3">
        <v>1.0</v>
      </c>
      <c r="K10396" s="3" t="s">
        <v>31</v>
      </c>
      <c r="L10396" s="4" t="s">
        <v>31</v>
      </c>
      <c r="M10396" s="2" t="s">
        <v>31</v>
      </c>
      <c r="N10396" s="2" t="s">
        <v>63995</v>
      </c>
      <c r="O10396" s="4" t="s">
        <v>63996</v>
      </c>
      <c r="P10396" s="2" t="s">
        <v>63997</v>
      </c>
      <c r="Q10396" s="2" t="s">
        <v>63998</v>
      </c>
      <c r="R10396" s="2" t="s">
        <v>1420</v>
      </c>
      <c r="S10396" s="4" t="s">
        <v>63999</v>
      </c>
      <c r="T10396" s="2" t="s">
        <v>66</v>
      </c>
      <c r="U10396" s="4" t="s">
        <v>31</v>
      </c>
      <c r="V10396" s="2" t="s">
        <v>64005</v>
      </c>
      <c r="W10396" s="2" t="s">
        <v>63991</v>
      </c>
      <c r="X10396" s="5" t="str">
        <f>HYPERLINK("https://my.pitchbook.com?p=38606-32P","View People Online")</f>
        <v>View People Online</v>
      </c>
    </row>
    <row r="10397">
      <c r="A10397" s="14" t="s">
        <v>64006</v>
      </c>
      <c r="B10397" s="14" t="s">
        <v>64007</v>
      </c>
      <c r="C10397" s="14" t="s">
        <v>2221</v>
      </c>
      <c r="D10397" s="14" t="s">
        <v>64008</v>
      </c>
      <c r="E10397" s="14" t="s">
        <v>63991</v>
      </c>
      <c r="F10397" s="14" t="s">
        <v>270</v>
      </c>
      <c r="G10397" s="14" t="s">
        <v>64009</v>
      </c>
      <c r="H10397" s="15" t="s">
        <v>31</v>
      </c>
      <c r="I10397" s="15">
        <v>1.0</v>
      </c>
      <c r="J10397" s="15">
        <v>1.0</v>
      </c>
      <c r="K10397" s="15" t="s">
        <v>31</v>
      </c>
      <c r="L10397" s="16" t="s">
        <v>31</v>
      </c>
      <c r="M10397" s="14" t="s">
        <v>31</v>
      </c>
      <c r="N10397" s="14" t="s">
        <v>63995</v>
      </c>
      <c r="O10397" s="16" t="s">
        <v>63996</v>
      </c>
      <c r="P10397" s="14" t="s">
        <v>63997</v>
      </c>
      <c r="Q10397" s="14" t="s">
        <v>63998</v>
      </c>
      <c r="R10397" s="14" t="s">
        <v>1420</v>
      </c>
      <c r="S10397" s="16" t="s">
        <v>63999</v>
      </c>
      <c r="T10397" s="14" t="s">
        <v>66</v>
      </c>
      <c r="U10397" s="16" t="s">
        <v>31</v>
      </c>
      <c r="V10397" s="14" t="s">
        <v>64010</v>
      </c>
      <c r="W10397" s="14" t="s">
        <v>63991</v>
      </c>
      <c r="X10397" s="17" t="str">
        <f>HYPERLINK("https://my.pitchbook.com?p=332511-04P","View People Online")</f>
        <v>View People Online</v>
      </c>
    </row>
    <row r="10398">
      <c r="A10398" s="10" t="s">
        <v>64011</v>
      </c>
      <c r="B10398" s="10" t="s">
        <v>64012</v>
      </c>
      <c r="C10398" s="10" t="s">
        <v>14893</v>
      </c>
      <c r="D10398" s="10" t="s">
        <v>64013</v>
      </c>
      <c r="E10398" s="10" t="s">
        <v>64014</v>
      </c>
      <c r="F10398" s="10" t="s">
        <v>2835</v>
      </c>
      <c r="G10398" s="10" t="s">
        <v>64015</v>
      </c>
      <c r="H10398" s="11" t="s">
        <v>31</v>
      </c>
      <c r="I10398" s="11">
        <v>1.0</v>
      </c>
      <c r="J10398" s="11">
        <v>1.0</v>
      </c>
      <c r="K10398" s="11" t="s">
        <v>31</v>
      </c>
      <c r="L10398" s="12" t="s">
        <v>64016</v>
      </c>
      <c r="M10398" s="10" t="s">
        <v>31</v>
      </c>
      <c r="N10398" s="10" t="s">
        <v>1277</v>
      </c>
      <c r="O10398" s="12" t="s">
        <v>1278</v>
      </c>
      <c r="P10398" s="10" t="s">
        <v>64017</v>
      </c>
      <c r="Q10398" s="10" t="s">
        <v>31</v>
      </c>
      <c r="R10398" s="10" t="s">
        <v>1281</v>
      </c>
      <c r="S10398" s="12" t="s">
        <v>64018</v>
      </c>
      <c r="T10398" s="10" t="s">
        <v>66</v>
      </c>
      <c r="U10398" s="12" t="s">
        <v>31</v>
      </c>
      <c r="V10398" s="10" t="s">
        <v>2835</v>
      </c>
      <c r="W10398" s="10" t="s">
        <v>64014</v>
      </c>
      <c r="X10398" s="13" t="str">
        <f>HYPERLINK("https://my.pitchbook.com?p=438518-89P","View People Online")</f>
        <v>View People Online</v>
      </c>
    </row>
    <row r="10399">
      <c r="A10399" s="14" t="s">
        <v>64019</v>
      </c>
      <c r="B10399" s="14" t="s">
        <v>64020</v>
      </c>
      <c r="C10399" s="14" t="s">
        <v>64021</v>
      </c>
      <c r="D10399" s="14" t="s">
        <v>18117</v>
      </c>
      <c r="E10399" s="14" t="s">
        <v>64014</v>
      </c>
      <c r="F10399" s="14" t="s">
        <v>713</v>
      </c>
      <c r="G10399" s="14" t="s">
        <v>64022</v>
      </c>
      <c r="H10399" s="15" t="s">
        <v>31</v>
      </c>
      <c r="I10399" s="15">
        <v>1.0</v>
      </c>
      <c r="J10399" s="15">
        <v>1.0</v>
      </c>
      <c r="K10399" s="15" t="s">
        <v>31</v>
      </c>
      <c r="L10399" s="16" t="s">
        <v>64016</v>
      </c>
      <c r="M10399" s="14" t="s">
        <v>64023</v>
      </c>
      <c r="N10399" s="14" t="s">
        <v>1277</v>
      </c>
      <c r="O10399" s="16" t="s">
        <v>1278</v>
      </c>
      <c r="P10399" s="14" t="s">
        <v>64017</v>
      </c>
      <c r="Q10399" s="14" t="s">
        <v>31</v>
      </c>
      <c r="R10399" s="14" t="s">
        <v>1281</v>
      </c>
      <c r="S10399" s="16" t="s">
        <v>64018</v>
      </c>
      <c r="T10399" s="14" t="s">
        <v>66</v>
      </c>
      <c r="U10399" s="16" t="s">
        <v>31</v>
      </c>
      <c r="V10399" s="14" t="s">
        <v>64024</v>
      </c>
      <c r="W10399" s="14" t="s">
        <v>64014</v>
      </c>
      <c r="X10399" s="17" t="str">
        <f>HYPERLINK("https://my.pitchbook.com?p=339273-73P","View People Online")</f>
        <v>View People Online</v>
      </c>
    </row>
    <row r="10400">
      <c r="A10400" s="10" t="s">
        <v>64025</v>
      </c>
      <c r="B10400" s="10" t="s">
        <v>64026</v>
      </c>
      <c r="C10400" s="10" t="s">
        <v>360</v>
      </c>
      <c r="D10400" s="10" t="s">
        <v>64027</v>
      </c>
      <c r="E10400" s="10" t="s">
        <v>64014</v>
      </c>
      <c r="F10400" s="10" t="s">
        <v>502</v>
      </c>
      <c r="G10400" s="10" t="s">
        <v>64028</v>
      </c>
      <c r="H10400" s="11" t="s">
        <v>31</v>
      </c>
      <c r="I10400" s="11">
        <v>1.0</v>
      </c>
      <c r="J10400" s="11">
        <v>1.0</v>
      </c>
      <c r="K10400" s="11" t="s">
        <v>31</v>
      </c>
      <c r="L10400" s="12" t="s">
        <v>64016</v>
      </c>
      <c r="M10400" s="10" t="s">
        <v>64029</v>
      </c>
      <c r="N10400" s="10" t="s">
        <v>1277</v>
      </c>
      <c r="O10400" s="12" t="s">
        <v>1278</v>
      </c>
      <c r="P10400" s="10" t="s">
        <v>64017</v>
      </c>
      <c r="Q10400" s="10" t="s">
        <v>31</v>
      </c>
      <c r="R10400" s="10" t="s">
        <v>1281</v>
      </c>
      <c r="S10400" s="12" t="s">
        <v>64018</v>
      </c>
      <c r="T10400" s="10" t="s">
        <v>66</v>
      </c>
      <c r="U10400" s="12" t="s">
        <v>31</v>
      </c>
      <c r="V10400" s="10" t="s">
        <v>64030</v>
      </c>
      <c r="W10400" s="10" t="s">
        <v>64014</v>
      </c>
      <c r="X10400" s="13" t="str">
        <f>HYPERLINK("https://my.pitchbook.com?p=191207-35P","View People Online")</f>
        <v>View People Online</v>
      </c>
    </row>
    <row r="10401">
      <c r="A10401" s="6" t="s">
        <v>64031</v>
      </c>
      <c r="B10401" s="6" t="s">
        <v>64032</v>
      </c>
      <c r="C10401" s="6" t="s">
        <v>518</v>
      </c>
      <c r="D10401" s="6" t="s">
        <v>64033</v>
      </c>
      <c r="E10401" s="6" t="s">
        <v>64014</v>
      </c>
      <c r="F10401" s="6" t="s">
        <v>548</v>
      </c>
      <c r="G10401" s="6" t="s">
        <v>64034</v>
      </c>
      <c r="H10401" s="7" t="s">
        <v>31</v>
      </c>
      <c r="I10401" s="7">
        <v>2.0</v>
      </c>
      <c r="J10401" s="7">
        <v>1.0</v>
      </c>
      <c r="K10401" s="7">
        <v>1.0</v>
      </c>
      <c r="L10401" s="8" t="s">
        <v>64016</v>
      </c>
      <c r="M10401" s="6" t="s">
        <v>64035</v>
      </c>
      <c r="N10401" s="6" t="s">
        <v>1277</v>
      </c>
      <c r="O10401" s="8" t="s">
        <v>1278</v>
      </c>
      <c r="P10401" s="6" t="s">
        <v>64017</v>
      </c>
      <c r="Q10401" s="6" t="s">
        <v>31</v>
      </c>
      <c r="R10401" s="6" t="s">
        <v>1281</v>
      </c>
      <c r="S10401" s="8" t="s">
        <v>64018</v>
      </c>
      <c r="T10401" s="6" t="s">
        <v>66</v>
      </c>
      <c r="U10401" s="8" t="s">
        <v>31</v>
      </c>
      <c r="V10401" s="6" t="s">
        <v>64036</v>
      </c>
      <c r="W10401" s="6" t="s">
        <v>64014</v>
      </c>
      <c r="X10401" s="9" t="str">
        <f>HYPERLINK("https://my.pitchbook.com?p=418958-38P","View People Online")</f>
        <v>View People Online</v>
      </c>
    </row>
    <row r="10402">
      <c r="A10402" s="2" t="s">
        <v>64037</v>
      </c>
      <c r="B10402" s="2" t="s">
        <v>64038</v>
      </c>
      <c r="C10402" s="2" t="s">
        <v>4717</v>
      </c>
      <c r="D10402" s="2" t="s">
        <v>64039</v>
      </c>
      <c r="E10402" s="2" t="s">
        <v>64014</v>
      </c>
      <c r="F10402" s="2" t="s">
        <v>270</v>
      </c>
      <c r="G10402" s="2" t="s">
        <v>64040</v>
      </c>
      <c r="H10402" s="3" t="s">
        <v>31</v>
      </c>
      <c r="I10402" s="3">
        <v>1.0</v>
      </c>
      <c r="J10402" s="3">
        <v>1.0</v>
      </c>
      <c r="K10402" s="3" t="s">
        <v>31</v>
      </c>
      <c r="L10402" s="4" t="s">
        <v>64016</v>
      </c>
      <c r="M10402" s="2" t="s">
        <v>64041</v>
      </c>
      <c r="N10402" s="2" t="s">
        <v>1277</v>
      </c>
      <c r="O10402" s="4" t="s">
        <v>1278</v>
      </c>
      <c r="P10402" s="2" t="s">
        <v>64017</v>
      </c>
      <c r="Q10402" s="2" t="s">
        <v>31</v>
      </c>
      <c r="R10402" s="2" t="s">
        <v>1281</v>
      </c>
      <c r="S10402" s="4" t="s">
        <v>64018</v>
      </c>
      <c r="T10402" s="2" t="s">
        <v>66</v>
      </c>
      <c r="U10402" s="4" t="s">
        <v>31</v>
      </c>
      <c r="V10402" s="2" t="s">
        <v>64042</v>
      </c>
      <c r="W10402" s="2" t="s">
        <v>64014</v>
      </c>
      <c r="X10402" s="5" t="str">
        <f>HYPERLINK("https://my.pitchbook.com?p=330752-08P","View People Online")</f>
        <v>View People Online</v>
      </c>
    </row>
    <row r="10403">
      <c r="A10403" s="14" t="s">
        <v>64043</v>
      </c>
      <c r="B10403" s="14" t="s">
        <v>64044</v>
      </c>
      <c r="C10403" s="14" t="s">
        <v>64045</v>
      </c>
      <c r="D10403" s="14" t="s">
        <v>64046</v>
      </c>
      <c r="E10403" s="14" t="s">
        <v>64047</v>
      </c>
      <c r="F10403" s="14" t="s">
        <v>270</v>
      </c>
      <c r="G10403" s="14" t="s">
        <v>64048</v>
      </c>
      <c r="H10403" s="15" t="s">
        <v>31</v>
      </c>
      <c r="I10403" s="15">
        <v>1.0</v>
      </c>
      <c r="J10403" s="15">
        <v>1.0</v>
      </c>
      <c r="K10403" s="15" t="s">
        <v>31</v>
      </c>
      <c r="L10403" s="16" t="s">
        <v>31</v>
      </c>
      <c r="M10403" s="14" t="s">
        <v>64049</v>
      </c>
      <c r="N10403" s="14" t="s">
        <v>1277</v>
      </c>
      <c r="O10403" s="16" t="s">
        <v>1278</v>
      </c>
      <c r="P10403" s="14" t="s">
        <v>64050</v>
      </c>
      <c r="Q10403" s="14" t="s">
        <v>31</v>
      </c>
      <c r="R10403" s="14" t="s">
        <v>1281</v>
      </c>
      <c r="S10403" s="16" t="s">
        <v>64051</v>
      </c>
      <c r="T10403" s="14" t="s">
        <v>66</v>
      </c>
      <c r="U10403" s="16" t="s">
        <v>31</v>
      </c>
      <c r="V10403" s="14" t="s">
        <v>64052</v>
      </c>
      <c r="W10403" s="14" t="s">
        <v>64047</v>
      </c>
      <c r="X10403" s="17" t="str">
        <f>HYPERLINK("https://my.pitchbook.com?p=342803-80P","View People Online")</f>
        <v>View People Online</v>
      </c>
    </row>
    <row r="10404">
      <c r="A10404" s="2" t="s">
        <v>64053</v>
      </c>
      <c r="B10404" s="2" t="s">
        <v>64054</v>
      </c>
      <c r="C10404" s="2" t="s">
        <v>1343</v>
      </c>
      <c r="D10404" s="2" t="s">
        <v>64055</v>
      </c>
      <c r="E10404" s="2" t="s">
        <v>64047</v>
      </c>
      <c r="F10404" s="2" t="s">
        <v>78</v>
      </c>
      <c r="G10404" s="2" t="s">
        <v>64056</v>
      </c>
      <c r="H10404" s="3" t="s">
        <v>31</v>
      </c>
      <c r="I10404" s="3">
        <v>1.0</v>
      </c>
      <c r="J10404" s="3">
        <v>1.0</v>
      </c>
      <c r="K10404" s="3" t="s">
        <v>31</v>
      </c>
      <c r="L10404" s="4" t="s">
        <v>31</v>
      </c>
      <c r="M10404" s="2" t="s">
        <v>64057</v>
      </c>
      <c r="N10404" s="2" t="s">
        <v>1277</v>
      </c>
      <c r="O10404" s="4" t="s">
        <v>1278</v>
      </c>
      <c r="P10404" s="2" t="s">
        <v>64050</v>
      </c>
      <c r="Q10404" s="2" t="s">
        <v>31</v>
      </c>
      <c r="R10404" s="2" t="s">
        <v>1281</v>
      </c>
      <c r="S10404" s="4" t="s">
        <v>64051</v>
      </c>
      <c r="T10404" s="2" t="s">
        <v>66</v>
      </c>
      <c r="U10404" s="4" t="s">
        <v>31</v>
      </c>
      <c r="V10404" s="2" t="s">
        <v>64058</v>
      </c>
      <c r="W10404" s="2" t="s">
        <v>64047</v>
      </c>
      <c r="X10404" s="5" t="str">
        <f>HYPERLINK("https://my.pitchbook.com?p=400641-04P","View People Online")</f>
        <v>View People Online</v>
      </c>
    </row>
    <row r="10405">
      <c r="A10405" s="6" t="s">
        <v>64059</v>
      </c>
      <c r="B10405" s="6" t="s">
        <v>64060</v>
      </c>
      <c r="C10405" s="6" t="s">
        <v>64061</v>
      </c>
      <c r="D10405" s="6" t="s">
        <v>64062</v>
      </c>
      <c r="E10405" s="6" t="s">
        <v>64047</v>
      </c>
      <c r="F10405" s="6" t="s">
        <v>3823</v>
      </c>
      <c r="G10405" s="6" t="s">
        <v>64063</v>
      </c>
      <c r="H10405" s="7" t="s">
        <v>31</v>
      </c>
      <c r="I10405" s="7">
        <v>1.0</v>
      </c>
      <c r="J10405" s="7">
        <v>1.0</v>
      </c>
      <c r="K10405" s="7" t="s">
        <v>31</v>
      </c>
      <c r="L10405" s="8" t="s">
        <v>31</v>
      </c>
      <c r="M10405" s="6" t="s">
        <v>64064</v>
      </c>
      <c r="N10405" s="6" t="s">
        <v>1277</v>
      </c>
      <c r="O10405" s="8" t="s">
        <v>1278</v>
      </c>
      <c r="P10405" s="6" t="s">
        <v>64050</v>
      </c>
      <c r="Q10405" s="6" t="s">
        <v>31</v>
      </c>
      <c r="R10405" s="6" t="s">
        <v>1281</v>
      </c>
      <c r="S10405" s="8" t="s">
        <v>64051</v>
      </c>
      <c r="T10405" s="6" t="s">
        <v>66</v>
      </c>
      <c r="U10405" s="8" t="s">
        <v>31</v>
      </c>
      <c r="V10405" s="6" t="s">
        <v>64065</v>
      </c>
      <c r="W10405" s="6" t="s">
        <v>64047</v>
      </c>
      <c r="X10405" s="9" t="str">
        <f>HYPERLINK("https://my.pitchbook.com?p=211195-36P","View People Online")</f>
        <v>View People Online</v>
      </c>
    </row>
    <row r="10406">
      <c r="A10406" s="2" t="s">
        <v>64066</v>
      </c>
      <c r="B10406" s="2" t="s">
        <v>64067</v>
      </c>
      <c r="C10406" s="2" t="s">
        <v>4590</v>
      </c>
      <c r="D10406" s="2" t="s">
        <v>64068</v>
      </c>
      <c r="E10406" s="2" t="s">
        <v>64047</v>
      </c>
      <c r="F10406" s="2" t="s">
        <v>2835</v>
      </c>
      <c r="G10406" s="2" t="s">
        <v>64069</v>
      </c>
      <c r="H10406" s="3" t="s">
        <v>31</v>
      </c>
      <c r="I10406" s="3">
        <v>1.0</v>
      </c>
      <c r="J10406" s="3">
        <v>1.0</v>
      </c>
      <c r="K10406" s="3" t="s">
        <v>31</v>
      </c>
      <c r="L10406" s="4" t="s">
        <v>31</v>
      </c>
      <c r="M10406" s="2" t="s">
        <v>64070</v>
      </c>
      <c r="N10406" s="2" t="s">
        <v>1277</v>
      </c>
      <c r="O10406" s="4" t="s">
        <v>1278</v>
      </c>
      <c r="P10406" s="2" t="s">
        <v>64050</v>
      </c>
      <c r="Q10406" s="2" t="s">
        <v>31</v>
      </c>
      <c r="R10406" s="2" t="s">
        <v>1281</v>
      </c>
      <c r="S10406" s="4" t="s">
        <v>64051</v>
      </c>
      <c r="T10406" s="2" t="s">
        <v>66</v>
      </c>
      <c r="U10406" s="4" t="s">
        <v>31</v>
      </c>
      <c r="V10406" s="2" t="s">
        <v>2835</v>
      </c>
      <c r="W10406" s="2" t="s">
        <v>64047</v>
      </c>
      <c r="X10406" s="5" t="str">
        <f>HYPERLINK("https://my.pitchbook.com?p=444683-89P","View People Online")</f>
        <v>View People Online</v>
      </c>
    </row>
    <row r="10407">
      <c r="A10407" s="6" t="s">
        <v>64071</v>
      </c>
      <c r="B10407" s="6" t="s">
        <v>64072</v>
      </c>
      <c r="C10407" s="6" t="s">
        <v>64073</v>
      </c>
      <c r="D10407" s="6" t="s">
        <v>64074</v>
      </c>
      <c r="E10407" s="6" t="s">
        <v>64075</v>
      </c>
      <c r="F10407" s="6" t="s">
        <v>1167</v>
      </c>
      <c r="G10407" s="6" t="s">
        <v>64076</v>
      </c>
      <c r="H10407" s="7" t="s">
        <v>31</v>
      </c>
      <c r="I10407" s="7">
        <v>3.0</v>
      </c>
      <c r="J10407" s="7">
        <v>1.0</v>
      </c>
      <c r="K10407" s="7">
        <v>2.0</v>
      </c>
      <c r="L10407" s="8" t="s">
        <v>31</v>
      </c>
      <c r="M10407" s="6" t="s">
        <v>64077</v>
      </c>
      <c r="N10407" s="6" t="s">
        <v>1005</v>
      </c>
      <c r="O10407" s="8" t="s">
        <v>1006</v>
      </c>
      <c r="P10407" s="6" t="s">
        <v>64078</v>
      </c>
      <c r="Q10407" s="6" t="s">
        <v>64079</v>
      </c>
      <c r="R10407" s="6" t="s">
        <v>64080</v>
      </c>
      <c r="S10407" s="8" t="s">
        <v>64081</v>
      </c>
      <c r="T10407" s="6" t="s">
        <v>1010</v>
      </c>
      <c r="U10407" s="8" t="s">
        <v>31</v>
      </c>
      <c r="V10407" s="6" t="s">
        <v>558</v>
      </c>
      <c r="W10407" s="6" t="s">
        <v>64075</v>
      </c>
      <c r="X10407" s="9" t="str">
        <f>HYPERLINK("https://my.pitchbook.com?p=268448-59P","View People Online")</f>
        <v>View People Online</v>
      </c>
    </row>
    <row r="10408">
      <c r="A10408" s="2" t="s">
        <v>64082</v>
      </c>
      <c r="B10408" s="2" t="s">
        <v>64083</v>
      </c>
      <c r="C10408" s="2" t="s">
        <v>1103</v>
      </c>
      <c r="D10408" s="2" t="s">
        <v>64084</v>
      </c>
      <c r="E10408" s="2" t="s">
        <v>64085</v>
      </c>
      <c r="F10408" s="2" t="s">
        <v>270</v>
      </c>
      <c r="G10408" s="2" t="s">
        <v>64086</v>
      </c>
      <c r="H10408" s="3" t="s">
        <v>31</v>
      </c>
      <c r="I10408" s="3">
        <v>1.0</v>
      </c>
      <c r="J10408" s="3">
        <v>1.0</v>
      </c>
      <c r="K10408" s="3" t="s">
        <v>31</v>
      </c>
      <c r="L10408" s="4" t="s">
        <v>64087</v>
      </c>
      <c r="M10408" s="2" t="s">
        <v>64088</v>
      </c>
      <c r="N10408" s="2" t="s">
        <v>32861</v>
      </c>
      <c r="O10408" s="4" t="s">
        <v>32862</v>
      </c>
      <c r="P10408" s="2" t="s">
        <v>64089</v>
      </c>
      <c r="Q10408" s="2" t="s">
        <v>31</v>
      </c>
      <c r="R10408" s="2" t="s">
        <v>15997</v>
      </c>
      <c r="S10408" s="4" t="s">
        <v>64090</v>
      </c>
      <c r="T10408" s="2" t="s">
        <v>1019</v>
      </c>
      <c r="U10408" s="4" t="s">
        <v>31</v>
      </c>
      <c r="V10408" s="2" t="s">
        <v>64091</v>
      </c>
      <c r="W10408" s="2" t="s">
        <v>64085</v>
      </c>
      <c r="X10408" s="5" t="str">
        <f>HYPERLINK("https://my.pitchbook.com?p=197202-79P","View People Online")</f>
        <v>View People Online</v>
      </c>
    </row>
    <row r="10409">
      <c r="A10409" s="14" t="s">
        <v>64092</v>
      </c>
      <c r="B10409" s="14" t="s">
        <v>64093</v>
      </c>
      <c r="C10409" s="14" t="s">
        <v>7116</v>
      </c>
      <c r="D10409" s="14" t="s">
        <v>64094</v>
      </c>
      <c r="E10409" s="14" t="s">
        <v>64085</v>
      </c>
      <c r="F10409" s="14" t="s">
        <v>9653</v>
      </c>
      <c r="G10409" s="14" t="s">
        <v>64095</v>
      </c>
      <c r="H10409" s="15" t="s">
        <v>31</v>
      </c>
      <c r="I10409" s="15">
        <v>2.0</v>
      </c>
      <c r="J10409" s="15">
        <v>2.0</v>
      </c>
      <c r="K10409" s="15" t="s">
        <v>31</v>
      </c>
      <c r="L10409" s="16" t="s">
        <v>64096</v>
      </c>
      <c r="M10409" s="14" t="s">
        <v>64097</v>
      </c>
      <c r="N10409" s="14" t="s">
        <v>32861</v>
      </c>
      <c r="O10409" s="16" t="s">
        <v>32862</v>
      </c>
      <c r="P10409" s="14" t="s">
        <v>64089</v>
      </c>
      <c r="Q10409" s="14" t="s">
        <v>31</v>
      </c>
      <c r="R10409" s="14" t="s">
        <v>15997</v>
      </c>
      <c r="S10409" s="16" t="s">
        <v>64090</v>
      </c>
      <c r="T10409" s="14" t="s">
        <v>1019</v>
      </c>
      <c r="U10409" s="16" t="s">
        <v>31</v>
      </c>
      <c r="V10409" s="14" t="s">
        <v>64098</v>
      </c>
      <c r="W10409" s="14" t="s">
        <v>64085</v>
      </c>
      <c r="X10409" s="17" t="str">
        <f>HYPERLINK("https://my.pitchbook.com?p=247423-06P","View People Online")</f>
        <v>View People Online</v>
      </c>
    </row>
    <row r="10410">
      <c r="A10410" s="10" t="s">
        <v>64099</v>
      </c>
      <c r="B10410" s="10" t="s">
        <v>64100</v>
      </c>
      <c r="C10410" s="10" t="s">
        <v>4851</v>
      </c>
      <c r="D10410" s="10" t="s">
        <v>64101</v>
      </c>
      <c r="E10410" s="10" t="s">
        <v>64085</v>
      </c>
      <c r="F10410" s="10" t="s">
        <v>221</v>
      </c>
      <c r="G10410" s="10" t="s">
        <v>64102</v>
      </c>
      <c r="H10410" s="11" t="s">
        <v>31</v>
      </c>
      <c r="I10410" s="11">
        <v>1.0</v>
      </c>
      <c r="J10410" s="11">
        <v>1.0</v>
      </c>
      <c r="K10410" s="11" t="s">
        <v>31</v>
      </c>
      <c r="L10410" s="12" t="s">
        <v>64096</v>
      </c>
      <c r="M10410" s="10" t="s">
        <v>64103</v>
      </c>
      <c r="N10410" s="10" t="s">
        <v>32861</v>
      </c>
      <c r="O10410" s="12" t="s">
        <v>32862</v>
      </c>
      <c r="P10410" s="10" t="s">
        <v>64089</v>
      </c>
      <c r="Q10410" s="10" t="s">
        <v>31</v>
      </c>
      <c r="R10410" s="10" t="s">
        <v>15997</v>
      </c>
      <c r="S10410" s="12" t="s">
        <v>64090</v>
      </c>
      <c r="T10410" s="10" t="s">
        <v>1019</v>
      </c>
      <c r="U10410" s="12" t="s">
        <v>31</v>
      </c>
      <c r="V10410" s="10" t="s">
        <v>64104</v>
      </c>
      <c r="W10410" s="10" t="s">
        <v>64085</v>
      </c>
      <c r="X10410" s="13" t="str">
        <f>HYPERLINK("https://my.pitchbook.com?p=45920-08P","View People Online")</f>
        <v>View People Online</v>
      </c>
    </row>
    <row r="10411">
      <c r="A10411" s="6" t="s">
        <v>64105</v>
      </c>
      <c r="B10411" s="6" t="s">
        <v>64106</v>
      </c>
      <c r="C10411" s="6" t="s">
        <v>2039</v>
      </c>
      <c r="D10411" s="6" t="s">
        <v>408</v>
      </c>
      <c r="E10411" s="6" t="s">
        <v>64085</v>
      </c>
      <c r="F10411" s="6" t="s">
        <v>270</v>
      </c>
      <c r="G10411" s="6" t="s">
        <v>64107</v>
      </c>
      <c r="H10411" s="7" t="s">
        <v>31</v>
      </c>
      <c r="I10411" s="7">
        <v>1.0</v>
      </c>
      <c r="J10411" s="7">
        <v>1.0</v>
      </c>
      <c r="K10411" s="7" t="s">
        <v>31</v>
      </c>
      <c r="L10411" s="8" t="s">
        <v>64096</v>
      </c>
      <c r="M10411" s="6" t="s">
        <v>64108</v>
      </c>
      <c r="N10411" s="6" t="s">
        <v>32861</v>
      </c>
      <c r="O10411" s="8" t="s">
        <v>32862</v>
      </c>
      <c r="P10411" s="6" t="s">
        <v>64089</v>
      </c>
      <c r="Q10411" s="6" t="s">
        <v>31</v>
      </c>
      <c r="R10411" s="6" t="s">
        <v>15997</v>
      </c>
      <c r="S10411" s="8" t="s">
        <v>64090</v>
      </c>
      <c r="T10411" s="6" t="s">
        <v>1019</v>
      </c>
      <c r="U10411" s="8" t="s">
        <v>31</v>
      </c>
      <c r="V10411" s="6" t="s">
        <v>270</v>
      </c>
      <c r="W10411" s="6" t="s">
        <v>64085</v>
      </c>
      <c r="X10411" s="9" t="str">
        <f>HYPERLINK("https://my.pitchbook.com?p=309228-76P","View People Online")</f>
        <v>View People Online</v>
      </c>
    </row>
    <row r="10412">
      <c r="A10412" s="10" t="s">
        <v>64109</v>
      </c>
      <c r="B10412" s="10" t="s">
        <v>64110</v>
      </c>
      <c r="C10412" s="10" t="s">
        <v>64111</v>
      </c>
      <c r="D10412" s="10" t="s">
        <v>16489</v>
      </c>
      <c r="E10412" s="10" t="s">
        <v>64085</v>
      </c>
      <c r="F10412" s="10" t="s">
        <v>548</v>
      </c>
      <c r="G10412" s="10" t="s">
        <v>64112</v>
      </c>
      <c r="H10412" s="11" t="s">
        <v>31</v>
      </c>
      <c r="I10412" s="11">
        <v>1.0</v>
      </c>
      <c r="J10412" s="11">
        <v>1.0</v>
      </c>
      <c r="K10412" s="11" t="s">
        <v>31</v>
      </c>
      <c r="L10412" s="12" t="s">
        <v>64113</v>
      </c>
      <c r="M10412" s="10" t="s">
        <v>64114</v>
      </c>
      <c r="N10412" s="10" t="s">
        <v>32861</v>
      </c>
      <c r="O10412" s="12" t="s">
        <v>32862</v>
      </c>
      <c r="P10412" s="10" t="s">
        <v>64089</v>
      </c>
      <c r="Q10412" s="10" t="s">
        <v>31</v>
      </c>
      <c r="R10412" s="10" t="s">
        <v>15997</v>
      </c>
      <c r="S10412" s="12" t="s">
        <v>64090</v>
      </c>
      <c r="T10412" s="10" t="s">
        <v>1019</v>
      </c>
      <c r="U10412" s="12" t="s">
        <v>31</v>
      </c>
      <c r="V10412" s="10" t="s">
        <v>64115</v>
      </c>
      <c r="W10412" s="10" t="s">
        <v>64085</v>
      </c>
      <c r="X10412" s="13" t="str">
        <f>HYPERLINK("https://my.pitchbook.com?p=151067-62P","View People Online")</f>
        <v>View People Online</v>
      </c>
    </row>
    <row r="10413">
      <c r="A10413" s="6" t="s">
        <v>64116</v>
      </c>
      <c r="B10413" s="6" t="s">
        <v>64117</v>
      </c>
      <c r="C10413" s="6" t="s">
        <v>1356</v>
      </c>
      <c r="D10413" s="6" t="s">
        <v>64118</v>
      </c>
      <c r="E10413" s="6" t="s">
        <v>64085</v>
      </c>
      <c r="F10413" s="6" t="s">
        <v>270</v>
      </c>
      <c r="G10413" s="6" t="s">
        <v>64119</v>
      </c>
      <c r="H10413" s="7">
        <v>1.0</v>
      </c>
      <c r="I10413" s="7">
        <v>2.0</v>
      </c>
      <c r="J10413" s="7">
        <v>1.0</v>
      </c>
      <c r="K10413" s="7" t="s">
        <v>31</v>
      </c>
      <c r="L10413" s="8" t="s">
        <v>64120</v>
      </c>
      <c r="M10413" s="6" t="s">
        <v>64121</v>
      </c>
      <c r="N10413" s="6" t="s">
        <v>32861</v>
      </c>
      <c r="O10413" s="8" t="s">
        <v>32862</v>
      </c>
      <c r="P10413" s="6" t="s">
        <v>64089</v>
      </c>
      <c r="Q10413" s="6" t="s">
        <v>31</v>
      </c>
      <c r="R10413" s="6" t="s">
        <v>15997</v>
      </c>
      <c r="S10413" s="8" t="s">
        <v>64090</v>
      </c>
      <c r="T10413" s="6" t="s">
        <v>1019</v>
      </c>
      <c r="U10413" s="8" t="s">
        <v>31</v>
      </c>
      <c r="V10413" s="6" t="s">
        <v>7025</v>
      </c>
      <c r="W10413" s="6" t="s">
        <v>64085</v>
      </c>
      <c r="X10413" s="9" t="str">
        <f>HYPERLINK("https://my.pitchbook.com?p=299394-73P","View People Online")</f>
        <v>View People Online</v>
      </c>
    </row>
    <row r="10414">
      <c r="A10414" s="10" t="s">
        <v>64122</v>
      </c>
      <c r="B10414" s="10" t="s">
        <v>64123</v>
      </c>
      <c r="C10414" s="10" t="s">
        <v>3040</v>
      </c>
      <c r="D10414" s="10" t="s">
        <v>64124</v>
      </c>
      <c r="E10414" s="10" t="s">
        <v>64085</v>
      </c>
      <c r="F10414" s="10" t="s">
        <v>270</v>
      </c>
      <c r="G10414" s="10" t="s">
        <v>64125</v>
      </c>
      <c r="H10414" s="11">
        <v>1.0</v>
      </c>
      <c r="I10414" s="11">
        <v>2.0</v>
      </c>
      <c r="J10414" s="11">
        <v>1.0</v>
      </c>
      <c r="K10414" s="11" t="s">
        <v>31</v>
      </c>
      <c r="L10414" s="12" t="s">
        <v>64126</v>
      </c>
      <c r="M10414" s="10" t="s">
        <v>64127</v>
      </c>
      <c r="N10414" s="10" t="s">
        <v>32861</v>
      </c>
      <c r="O10414" s="12" t="s">
        <v>32862</v>
      </c>
      <c r="P10414" s="10" t="s">
        <v>64089</v>
      </c>
      <c r="Q10414" s="10" t="s">
        <v>31</v>
      </c>
      <c r="R10414" s="10" t="s">
        <v>15997</v>
      </c>
      <c r="S10414" s="12" t="s">
        <v>64090</v>
      </c>
      <c r="T10414" s="10" t="s">
        <v>1019</v>
      </c>
      <c r="U10414" s="12" t="s">
        <v>31</v>
      </c>
      <c r="V10414" s="10" t="s">
        <v>7025</v>
      </c>
      <c r="W10414" s="10" t="s">
        <v>64085</v>
      </c>
      <c r="X10414" s="13" t="str">
        <f>HYPERLINK("https://my.pitchbook.com?p=158538-61P","View People Online")</f>
        <v>View People Online</v>
      </c>
    </row>
    <row r="10415">
      <c r="A10415" s="14" t="s">
        <v>64128</v>
      </c>
      <c r="B10415" s="14" t="s">
        <v>64129</v>
      </c>
      <c r="C10415" s="14" t="s">
        <v>2288</v>
      </c>
      <c r="D10415" s="14" t="s">
        <v>64130</v>
      </c>
      <c r="E10415" s="14" t="s">
        <v>64085</v>
      </c>
      <c r="F10415" s="14" t="s">
        <v>270</v>
      </c>
      <c r="G10415" s="14" t="s">
        <v>64131</v>
      </c>
      <c r="H10415" s="15">
        <v>1.0</v>
      </c>
      <c r="I10415" s="15">
        <v>3.0</v>
      </c>
      <c r="J10415" s="15">
        <v>1.0</v>
      </c>
      <c r="K10415" s="15">
        <v>1.0</v>
      </c>
      <c r="L10415" s="16" t="s">
        <v>64132</v>
      </c>
      <c r="M10415" s="14" t="s">
        <v>64133</v>
      </c>
      <c r="N10415" s="14" t="s">
        <v>32861</v>
      </c>
      <c r="O10415" s="16" t="s">
        <v>32862</v>
      </c>
      <c r="P10415" s="14" t="s">
        <v>64089</v>
      </c>
      <c r="Q10415" s="14" t="s">
        <v>31</v>
      </c>
      <c r="R10415" s="14" t="s">
        <v>15997</v>
      </c>
      <c r="S10415" s="16" t="s">
        <v>64090</v>
      </c>
      <c r="T10415" s="14" t="s">
        <v>1019</v>
      </c>
      <c r="U10415" s="16" t="s">
        <v>31</v>
      </c>
      <c r="V10415" s="14" t="s">
        <v>7025</v>
      </c>
      <c r="W10415" s="14" t="s">
        <v>64085</v>
      </c>
      <c r="X10415" s="17" t="str">
        <f>HYPERLINK("https://my.pitchbook.com?p=231979-69P","View People Online")</f>
        <v>View People Online</v>
      </c>
    </row>
    <row r="10416">
      <c r="A10416" s="2" t="s">
        <v>64134</v>
      </c>
      <c r="B10416" s="2" t="s">
        <v>64135</v>
      </c>
      <c r="C10416" s="2" t="s">
        <v>20194</v>
      </c>
      <c r="D10416" s="2" t="s">
        <v>64136</v>
      </c>
      <c r="E10416" s="2" t="s">
        <v>64085</v>
      </c>
      <c r="F10416" s="2" t="s">
        <v>270</v>
      </c>
      <c r="G10416" s="2" t="s">
        <v>31</v>
      </c>
      <c r="H10416" s="3" t="s">
        <v>31</v>
      </c>
      <c r="I10416" s="3">
        <v>2.0</v>
      </c>
      <c r="J10416" s="3">
        <v>1.0</v>
      </c>
      <c r="K10416" s="3">
        <v>1.0</v>
      </c>
      <c r="L10416" s="4" t="s">
        <v>64096</v>
      </c>
      <c r="M10416" s="2" t="s">
        <v>64137</v>
      </c>
      <c r="N10416" s="2" t="s">
        <v>32861</v>
      </c>
      <c r="O10416" s="4" t="s">
        <v>32862</v>
      </c>
      <c r="P10416" s="2" t="s">
        <v>64089</v>
      </c>
      <c r="Q10416" s="2" t="s">
        <v>31</v>
      </c>
      <c r="R10416" s="2" t="s">
        <v>15997</v>
      </c>
      <c r="S10416" s="4" t="s">
        <v>64090</v>
      </c>
      <c r="T10416" s="2" t="s">
        <v>1019</v>
      </c>
      <c r="U10416" s="4" t="s">
        <v>31</v>
      </c>
      <c r="V10416" s="2" t="s">
        <v>64138</v>
      </c>
      <c r="W10416" s="2" t="s">
        <v>64085</v>
      </c>
      <c r="X10416" s="5" t="str">
        <f>HYPERLINK("https://my.pitchbook.com?p=371298-16P","View People Online")</f>
        <v>View People Online</v>
      </c>
    </row>
    <row r="10417">
      <c r="A10417" s="14" t="s">
        <v>64139</v>
      </c>
      <c r="B10417" s="14" t="s">
        <v>64140</v>
      </c>
      <c r="C10417" s="14" t="s">
        <v>4679</v>
      </c>
      <c r="D10417" s="14" t="s">
        <v>64141</v>
      </c>
      <c r="E10417" s="14" t="s">
        <v>64085</v>
      </c>
      <c r="F10417" s="14" t="s">
        <v>36142</v>
      </c>
      <c r="G10417" s="14" t="s">
        <v>64142</v>
      </c>
      <c r="H10417" s="15" t="s">
        <v>31</v>
      </c>
      <c r="I10417" s="15">
        <v>1.0</v>
      </c>
      <c r="J10417" s="15">
        <v>1.0</v>
      </c>
      <c r="K10417" s="15" t="s">
        <v>31</v>
      </c>
      <c r="L10417" s="16" t="s">
        <v>64096</v>
      </c>
      <c r="M10417" s="14" t="s">
        <v>64143</v>
      </c>
      <c r="N10417" s="14" t="s">
        <v>32861</v>
      </c>
      <c r="O10417" s="16" t="s">
        <v>32862</v>
      </c>
      <c r="P10417" s="14" t="s">
        <v>64089</v>
      </c>
      <c r="Q10417" s="14" t="s">
        <v>31</v>
      </c>
      <c r="R10417" s="14" t="s">
        <v>15997</v>
      </c>
      <c r="S10417" s="16" t="s">
        <v>64090</v>
      </c>
      <c r="T10417" s="14" t="s">
        <v>1019</v>
      </c>
      <c r="U10417" s="16" t="s">
        <v>31</v>
      </c>
      <c r="V10417" s="14" t="s">
        <v>64144</v>
      </c>
      <c r="W10417" s="14" t="s">
        <v>64085</v>
      </c>
      <c r="X10417" s="17" t="str">
        <f>HYPERLINK("https://my.pitchbook.com?p=247423-87P","View People Online")</f>
        <v>View People Online</v>
      </c>
    </row>
    <row r="10418">
      <c r="A10418" s="10" t="s">
        <v>64145</v>
      </c>
      <c r="B10418" s="10" t="s">
        <v>64146</v>
      </c>
      <c r="C10418" s="10" t="s">
        <v>1533</v>
      </c>
      <c r="D10418" s="10" t="s">
        <v>64147</v>
      </c>
      <c r="E10418" s="10" t="s">
        <v>64085</v>
      </c>
      <c r="F10418" s="10" t="s">
        <v>371</v>
      </c>
      <c r="G10418" s="10" t="s">
        <v>64148</v>
      </c>
      <c r="H10418" s="11">
        <v>1.0</v>
      </c>
      <c r="I10418" s="11">
        <v>3.0</v>
      </c>
      <c r="J10418" s="11">
        <v>2.0</v>
      </c>
      <c r="K10418" s="11" t="s">
        <v>31</v>
      </c>
      <c r="L10418" s="12" t="s">
        <v>64096</v>
      </c>
      <c r="M10418" s="10" t="s">
        <v>64149</v>
      </c>
      <c r="N10418" s="10" t="s">
        <v>32861</v>
      </c>
      <c r="O10418" s="12" t="s">
        <v>32862</v>
      </c>
      <c r="P10418" s="10" t="s">
        <v>64089</v>
      </c>
      <c r="Q10418" s="10" t="s">
        <v>31</v>
      </c>
      <c r="R10418" s="10" t="s">
        <v>15997</v>
      </c>
      <c r="S10418" s="12" t="s">
        <v>64090</v>
      </c>
      <c r="T10418" s="10" t="s">
        <v>1019</v>
      </c>
      <c r="U10418" s="12" t="s">
        <v>31</v>
      </c>
      <c r="V10418" s="10" t="s">
        <v>64150</v>
      </c>
      <c r="W10418" s="10" t="s">
        <v>64085</v>
      </c>
      <c r="X10418" s="13" t="str">
        <f>HYPERLINK("https://my.pitchbook.com?p=248767-39P","View People Online")</f>
        <v>View People Online</v>
      </c>
    </row>
    <row r="10419">
      <c r="A10419" s="14" t="s">
        <v>64151</v>
      </c>
      <c r="B10419" s="14" t="s">
        <v>64152</v>
      </c>
      <c r="C10419" s="14" t="s">
        <v>64153</v>
      </c>
      <c r="D10419" s="14" t="s">
        <v>4718</v>
      </c>
      <c r="E10419" s="14" t="s">
        <v>64085</v>
      </c>
      <c r="F10419" s="14" t="s">
        <v>371</v>
      </c>
      <c r="G10419" s="14" t="s">
        <v>64154</v>
      </c>
      <c r="H10419" s="15" t="s">
        <v>31</v>
      </c>
      <c r="I10419" s="15">
        <v>2.0</v>
      </c>
      <c r="J10419" s="15">
        <v>2.0</v>
      </c>
      <c r="K10419" s="15" t="s">
        <v>31</v>
      </c>
      <c r="L10419" s="16" t="s">
        <v>64096</v>
      </c>
      <c r="M10419" s="14" t="s">
        <v>64155</v>
      </c>
      <c r="N10419" s="14" t="s">
        <v>32861</v>
      </c>
      <c r="O10419" s="16" t="s">
        <v>32862</v>
      </c>
      <c r="P10419" s="14" t="s">
        <v>64089</v>
      </c>
      <c r="Q10419" s="14" t="s">
        <v>31</v>
      </c>
      <c r="R10419" s="14" t="s">
        <v>15997</v>
      </c>
      <c r="S10419" s="16" t="s">
        <v>64090</v>
      </c>
      <c r="T10419" s="14" t="s">
        <v>1019</v>
      </c>
      <c r="U10419" s="16" t="s">
        <v>31</v>
      </c>
      <c r="V10419" s="14" t="s">
        <v>64156</v>
      </c>
      <c r="W10419" s="14" t="s">
        <v>64085</v>
      </c>
      <c r="X10419" s="17" t="str">
        <f>HYPERLINK("https://my.pitchbook.com?p=148268-62P","View People Online")</f>
        <v>View People Online</v>
      </c>
    </row>
    <row r="10420">
      <c r="A10420" s="2" t="s">
        <v>64157</v>
      </c>
      <c r="B10420" s="2" t="s">
        <v>64158</v>
      </c>
      <c r="C10420" s="2" t="s">
        <v>64159</v>
      </c>
      <c r="D10420" s="2" t="s">
        <v>3644</v>
      </c>
      <c r="E10420" s="2" t="s">
        <v>64085</v>
      </c>
      <c r="F10420" s="2" t="s">
        <v>270</v>
      </c>
      <c r="G10420" s="2" t="s">
        <v>64160</v>
      </c>
      <c r="H10420" s="3" t="s">
        <v>31</v>
      </c>
      <c r="I10420" s="3">
        <v>1.0</v>
      </c>
      <c r="J10420" s="3">
        <v>1.0</v>
      </c>
      <c r="K10420" s="3" t="s">
        <v>31</v>
      </c>
      <c r="L10420" s="4" t="s">
        <v>64161</v>
      </c>
      <c r="M10420" s="2" t="s">
        <v>64162</v>
      </c>
      <c r="N10420" s="2" t="s">
        <v>32861</v>
      </c>
      <c r="O10420" s="4" t="s">
        <v>32862</v>
      </c>
      <c r="P10420" s="2" t="s">
        <v>64089</v>
      </c>
      <c r="Q10420" s="2" t="s">
        <v>31</v>
      </c>
      <c r="R10420" s="2" t="s">
        <v>15997</v>
      </c>
      <c r="S10420" s="4" t="s">
        <v>64090</v>
      </c>
      <c r="T10420" s="2" t="s">
        <v>1019</v>
      </c>
      <c r="U10420" s="4" t="s">
        <v>31</v>
      </c>
      <c r="V10420" s="2" t="s">
        <v>64163</v>
      </c>
      <c r="W10420" s="2" t="s">
        <v>64085</v>
      </c>
      <c r="X10420" s="5" t="str">
        <f>HYPERLINK("https://my.pitchbook.com?p=145741-87P","View People Online")</f>
        <v>View People Online</v>
      </c>
    </row>
    <row r="10421">
      <c r="A10421" s="6" t="s">
        <v>64164</v>
      </c>
      <c r="B10421" s="6" t="s">
        <v>64165</v>
      </c>
      <c r="C10421" s="6" t="s">
        <v>285</v>
      </c>
      <c r="D10421" s="6" t="s">
        <v>20388</v>
      </c>
      <c r="E10421" s="6" t="s">
        <v>64166</v>
      </c>
      <c r="F10421" s="6" t="s">
        <v>7948</v>
      </c>
      <c r="G10421" s="6" t="s">
        <v>64167</v>
      </c>
      <c r="H10421" s="7" t="s">
        <v>31</v>
      </c>
      <c r="I10421" s="7">
        <v>1.0</v>
      </c>
      <c r="J10421" s="7">
        <v>1.0</v>
      </c>
      <c r="K10421" s="7" t="s">
        <v>31</v>
      </c>
      <c r="L10421" s="8" t="s">
        <v>64168</v>
      </c>
      <c r="M10421" s="6" t="s">
        <v>64169</v>
      </c>
      <c r="N10421" s="6" t="s">
        <v>64170</v>
      </c>
      <c r="O10421" s="8" t="s">
        <v>64171</v>
      </c>
      <c r="P10421" s="6" t="s">
        <v>64172</v>
      </c>
      <c r="Q10421" s="6" t="s">
        <v>31</v>
      </c>
      <c r="R10421" s="6" t="s">
        <v>1185</v>
      </c>
      <c r="S10421" s="8" t="s">
        <v>64173</v>
      </c>
      <c r="T10421" s="6" t="s">
        <v>66</v>
      </c>
      <c r="U10421" s="8" t="s">
        <v>31</v>
      </c>
      <c r="V10421" s="6" t="s">
        <v>64174</v>
      </c>
      <c r="W10421" s="6" t="s">
        <v>64166</v>
      </c>
      <c r="X10421" s="9" t="str">
        <f>HYPERLINK("https://my.pitchbook.com?p=369330-94P","View People Online")</f>
        <v>View People Online</v>
      </c>
    </row>
    <row r="10422">
      <c r="A10422" s="10" t="s">
        <v>64175</v>
      </c>
      <c r="B10422" s="10" t="s">
        <v>64176</v>
      </c>
      <c r="C10422" s="10" t="s">
        <v>64177</v>
      </c>
      <c r="D10422" s="10" t="s">
        <v>64178</v>
      </c>
      <c r="E10422" s="10" t="s">
        <v>64166</v>
      </c>
      <c r="F10422" s="10" t="s">
        <v>713</v>
      </c>
      <c r="G10422" s="10" t="s">
        <v>31</v>
      </c>
      <c r="H10422" s="11" t="s">
        <v>31</v>
      </c>
      <c r="I10422" s="11">
        <v>1.0</v>
      </c>
      <c r="J10422" s="11">
        <v>1.0</v>
      </c>
      <c r="K10422" s="11" t="s">
        <v>31</v>
      </c>
      <c r="L10422" s="12" t="s">
        <v>64168</v>
      </c>
      <c r="M10422" s="10" t="s">
        <v>64179</v>
      </c>
      <c r="N10422" s="10" t="s">
        <v>64170</v>
      </c>
      <c r="O10422" s="12" t="s">
        <v>64171</v>
      </c>
      <c r="P10422" s="10" t="s">
        <v>64172</v>
      </c>
      <c r="Q10422" s="10" t="s">
        <v>31</v>
      </c>
      <c r="R10422" s="10" t="s">
        <v>1185</v>
      </c>
      <c r="S10422" s="12" t="s">
        <v>64173</v>
      </c>
      <c r="T10422" s="10" t="s">
        <v>66</v>
      </c>
      <c r="U10422" s="12" t="s">
        <v>31</v>
      </c>
      <c r="V10422" s="10" t="s">
        <v>64180</v>
      </c>
      <c r="W10422" s="10" t="s">
        <v>64166</v>
      </c>
      <c r="X10422" s="13" t="str">
        <f>HYPERLINK("https://my.pitchbook.com?p=376848-01P","View People Online")</f>
        <v>View People Online</v>
      </c>
    </row>
    <row r="10423">
      <c r="A10423" s="14" t="s">
        <v>64181</v>
      </c>
      <c r="B10423" s="14" t="s">
        <v>64182</v>
      </c>
      <c r="C10423" s="14" t="s">
        <v>64183</v>
      </c>
      <c r="D10423" s="14" t="s">
        <v>64184</v>
      </c>
      <c r="E10423" s="14" t="s">
        <v>64166</v>
      </c>
      <c r="F10423" s="14" t="s">
        <v>56519</v>
      </c>
      <c r="G10423" s="14" t="s">
        <v>64185</v>
      </c>
      <c r="H10423" s="15" t="s">
        <v>31</v>
      </c>
      <c r="I10423" s="15">
        <v>1.0</v>
      </c>
      <c r="J10423" s="15">
        <v>1.0</v>
      </c>
      <c r="K10423" s="15" t="s">
        <v>31</v>
      </c>
      <c r="L10423" s="16" t="s">
        <v>64168</v>
      </c>
      <c r="M10423" s="14" t="s">
        <v>64186</v>
      </c>
      <c r="N10423" s="14" t="s">
        <v>64170</v>
      </c>
      <c r="O10423" s="16" t="s">
        <v>64171</v>
      </c>
      <c r="P10423" s="14" t="s">
        <v>64172</v>
      </c>
      <c r="Q10423" s="14" t="s">
        <v>31</v>
      </c>
      <c r="R10423" s="14" t="s">
        <v>1185</v>
      </c>
      <c r="S10423" s="16" t="s">
        <v>64173</v>
      </c>
      <c r="T10423" s="14" t="s">
        <v>66</v>
      </c>
      <c r="U10423" s="16" t="s">
        <v>31</v>
      </c>
      <c r="V10423" s="14" t="s">
        <v>64187</v>
      </c>
      <c r="W10423" s="14" t="s">
        <v>64166</v>
      </c>
      <c r="X10423" s="17" t="str">
        <f>HYPERLINK("https://my.pitchbook.com?p=392738-50P","View People Online")</f>
        <v>View People Online</v>
      </c>
    </row>
    <row r="10424">
      <c r="A10424" s="10" t="s">
        <v>64188</v>
      </c>
      <c r="B10424" s="10" t="s">
        <v>64189</v>
      </c>
      <c r="C10424" s="10" t="s">
        <v>64190</v>
      </c>
      <c r="D10424" s="10" t="s">
        <v>64191</v>
      </c>
      <c r="E10424" s="10" t="s">
        <v>64166</v>
      </c>
      <c r="F10424" s="10" t="s">
        <v>270</v>
      </c>
      <c r="G10424" s="10" t="s">
        <v>64192</v>
      </c>
      <c r="H10424" s="11" t="s">
        <v>31</v>
      </c>
      <c r="I10424" s="11">
        <v>1.0</v>
      </c>
      <c r="J10424" s="11">
        <v>1.0</v>
      </c>
      <c r="K10424" s="11" t="s">
        <v>31</v>
      </c>
      <c r="L10424" s="12" t="s">
        <v>64168</v>
      </c>
      <c r="M10424" s="10" t="s">
        <v>64193</v>
      </c>
      <c r="N10424" s="10" t="s">
        <v>64170</v>
      </c>
      <c r="O10424" s="12" t="s">
        <v>64171</v>
      </c>
      <c r="P10424" s="10" t="s">
        <v>64172</v>
      </c>
      <c r="Q10424" s="10" t="s">
        <v>31</v>
      </c>
      <c r="R10424" s="10" t="s">
        <v>1185</v>
      </c>
      <c r="S10424" s="12" t="s">
        <v>64173</v>
      </c>
      <c r="T10424" s="10" t="s">
        <v>66</v>
      </c>
      <c r="U10424" s="12" t="s">
        <v>31</v>
      </c>
      <c r="V10424" s="10" t="s">
        <v>270</v>
      </c>
      <c r="W10424" s="10" t="s">
        <v>64166</v>
      </c>
      <c r="X10424" s="13" t="str">
        <f>HYPERLINK("https://my.pitchbook.com?p=406564-75P","View People Online")</f>
        <v>View People Online</v>
      </c>
    </row>
    <row r="10425">
      <c r="A10425" s="14" t="s">
        <v>64194</v>
      </c>
      <c r="B10425" s="14" t="s">
        <v>64195</v>
      </c>
      <c r="C10425" s="14" t="s">
        <v>4404</v>
      </c>
      <c r="D10425" s="14" t="s">
        <v>11337</v>
      </c>
      <c r="E10425" s="14" t="s">
        <v>64196</v>
      </c>
      <c r="F10425" s="14" t="s">
        <v>548</v>
      </c>
      <c r="G10425" s="14" t="s">
        <v>64197</v>
      </c>
      <c r="H10425" s="15" t="s">
        <v>31</v>
      </c>
      <c r="I10425" s="15">
        <v>1.0</v>
      </c>
      <c r="J10425" s="15">
        <v>1.0</v>
      </c>
      <c r="K10425" s="15" t="s">
        <v>31</v>
      </c>
      <c r="L10425" s="16" t="s">
        <v>64198</v>
      </c>
      <c r="M10425" s="14" t="s">
        <v>64199</v>
      </c>
      <c r="N10425" s="14" t="s">
        <v>1348</v>
      </c>
      <c r="O10425" s="16" t="s">
        <v>1349</v>
      </c>
      <c r="P10425" s="14" t="s">
        <v>64200</v>
      </c>
      <c r="Q10425" s="14" t="s">
        <v>31</v>
      </c>
      <c r="R10425" s="14" t="s">
        <v>1018</v>
      </c>
      <c r="S10425" s="16" t="s">
        <v>64201</v>
      </c>
      <c r="T10425" s="14" t="s">
        <v>1019</v>
      </c>
      <c r="U10425" s="16" t="s">
        <v>31</v>
      </c>
      <c r="V10425" s="14" t="s">
        <v>64202</v>
      </c>
      <c r="W10425" s="14" t="s">
        <v>64196</v>
      </c>
      <c r="X10425" s="17" t="str">
        <f>HYPERLINK("https://my.pitchbook.com?p=216514-18P","View People Online")</f>
        <v>View People Online</v>
      </c>
    </row>
    <row r="10426">
      <c r="A10426" s="2" t="s">
        <v>64203</v>
      </c>
      <c r="B10426" s="2" t="s">
        <v>64204</v>
      </c>
      <c r="C10426" s="2" t="s">
        <v>18876</v>
      </c>
      <c r="D10426" s="2" t="s">
        <v>227</v>
      </c>
      <c r="E10426" s="2" t="s">
        <v>64196</v>
      </c>
      <c r="F10426" s="2" t="s">
        <v>371</v>
      </c>
      <c r="G10426" s="2" t="s">
        <v>64205</v>
      </c>
      <c r="H10426" s="3" t="s">
        <v>31</v>
      </c>
      <c r="I10426" s="3">
        <v>1.0</v>
      </c>
      <c r="J10426" s="3">
        <v>1.0</v>
      </c>
      <c r="K10426" s="3" t="s">
        <v>31</v>
      </c>
      <c r="L10426" s="4" t="s">
        <v>64206</v>
      </c>
      <c r="M10426" s="2" t="s">
        <v>64207</v>
      </c>
      <c r="N10426" s="2" t="s">
        <v>1348</v>
      </c>
      <c r="O10426" s="4" t="s">
        <v>1349</v>
      </c>
      <c r="P10426" s="2" t="s">
        <v>64200</v>
      </c>
      <c r="Q10426" s="2" t="s">
        <v>31</v>
      </c>
      <c r="R10426" s="2" t="s">
        <v>1018</v>
      </c>
      <c r="S10426" s="4" t="s">
        <v>64201</v>
      </c>
      <c r="T10426" s="2" t="s">
        <v>1019</v>
      </c>
      <c r="U10426" s="4" t="s">
        <v>31</v>
      </c>
      <c r="V10426" s="2" t="s">
        <v>371</v>
      </c>
      <c r="W10426" s="2" t="s">
        <v>64196</v>
      </c>
      <c r="X10426" s="5" t="str">
        <f>HYPERLINK("https://my.pitchbook.com?p=403122-79P","View People Online")</f>
        <v>View People Online</v>
      </c>
    </row>
    <row r="10427">
      <c r="A10427" s="14" t="s">
        <v>64208</v>
      </c>
      <c r="B10427" s="14" t="s">
        <v>64209</v>
      </c>
      <c r="C10427" s="14" t="s">
        <v>19778</v>
      </c>
      <c r="D10427" s="14" t="s">
        <v>64210</v>
      </c>
      <c r="E10427" s="14" t="s">
        <v>64196</v>
      </c>
      <c r="F10427" s="14" t="s">
        <v>583</v>
      </c>
      <c r="G10427" s="14" t="s">
        <v>64211</v>
      </c>
      <c r="H10427" s="15" t="s">
        <v>31</v>
      </c>
      <c r="I10427" s="15">
        <v>1.0</v>
      </c>
      <c r="J10427" s="15">
        <v>1.0</v>
      </c>
      <c r="K10427" s="15" t="s">
        <v>31</v>
      </c>
      <c r="L10427" s="16" t="s">
        <v>64206</v>
      </c>
      <c r="M10427" s="14" t="s">
        <v>64212</v>
      </c>
      <c r="N10427" s="14" t="s">
        <v>1348</v>
      </c>
      <c r="O10427" s="16" t="s">
        <v>1349</v>
      </c>
      <c r="P10427" s="14" t="s">
        <v>64200</v>
      </c>
      <c r="Q10427" s="14" t="s">
        <v>31</v>
      </c>
      <c r="R10427" s="14" t="s">
        <v>1018</v>
      </c>
      <c r="S10427" s="16" t="s">
        <v>64201</v>
      </c>
      <c r="T10427" s="14" t="s">
        <v>1019</v>
      </c>
      <c r="U10427" s="16" t="s">
        <v>31</v>
      </c>
      <c r="V10427" s="14" t="s">
        <v>583</v>
      </c>
      <c r="W10427" s="14" t="s">
        <v>64196</v>
      </c>
      <c r="X10427" s="17" t="str">
        <f>HYPERLINK("https://my.pitchbook.com?p=440984-53P","View People Online")</f>
        <v>View People Online</v>
      </c>
    </row>
    <row r="10428">
      <c r="A10428" s="2" t="s">
        <v>64213</v>
      </c>
      <c r="B10428" s="2" t="s">
        <v>64214</v>
      </c>
      <c r="C10428" s="2" t="s">
        <v>2572</v>
      </c>
      <c r="D10428" s="2" t="s">
        <v>53128</v>
      </c>
      <c r="E10428" s="2" t="s">
        <v>64215</v>
      </c>
      <c r="F10428" s="2" t="s">
        <v>502</v>
      </c>
      <c r="G10428" s="2" t="s">
        <v>64216</v>
      </c>
      <c r="H10428" s="3">
        <v>1.0</v>
      </c>
      <c r="I10428" s="3">
        <v>4.0</v>
      </c>
      <c r="J10428" s="3">
        <v>1.0</v>
      </c>
      <c r="K10428" s="3">
        <v>1.0</v>
      </c>
      <c r="L10428" s="4" t="s">
        <v>64217</v>
      </c>
      <c r="M10428" s="2" t="s">
        <v>64218</v>
      </c>
      <c r="N10428" s="2" t="s">
        <v>6588</v>
      </c>
      <c r="O10428" s="4" t="s">
        <v>6589</v>
      </c>
      <c r="P10428" s="2" t="s">
        <v>64219</v>
      </c>
      <c r="Q10428" s="2" t="s">
        <v>989</v>
      </c>
      <c r="R10428" s="2" t="s">
        <v>93</v>
      </c>
      <c r="S10428" s="4" t="s">
        <v>64220</v>
      </c>
      <c r="T10428" s="2" t="s">
        <v>66</v>
      </c>
      <c r="U10428" s="4" t="s">
        <v>31</v>
      </c>
      <c r="V10428" s="2" t="s">
        <v>502</v>
      </c>
      <c r="W10428" s="2" t="s">
        <v>64215</v>
      </c>
      <c r="X10428" s="5" t="str">
        <f>HYPERLINK("https://my.pitchbook.com?p=239348-89P","View People Online")</f>
        <v>View People Online</v>
      </c>
    </row>
    <row r="10429">
      <c r="A10429" s="14" t="s">
        <v>64221</v>
      </c>
      <c r="B10429" s="14" t="s">
        <v>64222</v>
      </c>
      <c r="C10429" s="14" t="s">
        <v>1449</v>
      </c>
      <c r="D10429" s="14" t="s">
        <v>64223</v>
      </c>
      <c r="E10429" s="14" t="s">
        <v>64215</v>
      </c>
      <c r="F10429" s="14" t="s">
        <v>1730</v>
      </c>
      <c r="G10429" s="14" t="s">
        <v>64224</v>
      </c>
      <c r="H10429" s="15">
        <v>2.0</v>
      </c>
      <c r="I10429" s="15">
        <v>5.0</v>
      </c>
      <c r="J10429" s="15">
        <v>2.0</v>
      </c>
      <c r="K10429" s="15">
        <v>1.0</v>
      </c>
      <c r="L10429" s="16" t="s">
        <v>64217</v>
      </c>
      <c r="M10429" s="14" t="s">
        <v>64225</v>
      </c>
      <c r="N10429" s="14" t="s">
        <v>6588</v>
      </c>
      <c r="O10429" s="16" t="s">
        <v>6589</v>
      </c>
      <c r="P10429" s="14" t="s">
        <v>64219</v>
      </c>
      <c r="Q10429" s="14" t="s">
        <v>989</v>
      </c>
      <c r="R10429" s="14" t="s">
        <v>93</v>
      </c>
      <c r="S10429" s="16" t="s">
        <v>64220</v>
      </c>
      <c r="T10429" s="14" t="s">
        <v>66</v>
      </c>
      <c r="U10429" s="16" t="s">
        <v>31</v>
      </c>
      <c r="V10429" s="14" t="s">
        <v>64226</v>
      </c>
      <c r="W10429" s="14" t="s">
        <v>64215</v>
      </c>
      <c r="X10429" s="17" t="str">
        <f>HYPERLINK("https://my.pitchbook.com?p=147879-73P","View People Online")</f>
        <v>View People Online</v>
      </c>
    </row>
    <row r="10430">
      <c r="A10430" s="2" t="s">
        <v>64227</v>
      </c>
      <c r="B10430" s="2" t="s">
        <v>64228</v>
      </c>
      <c r="C10430" s="2" t="s">
        <v>18127</v>
      </c>
      <c r="D10430" s="2" t="s">
        <v>64229</v>
      </c>
      <c r="E10430" s="2" t="s">
        <v>64215</v>
      </c>
      <c r="F10430" s="2" t="s">
        <v>64230</v>
      </c>
      <c r="G10430" s="2" t="s">
        <v>64231</v>
      </c>
      <c r="H10430" s="3" t="s">
        <v>31</v>
      </c>
      <c r="I10430" s="3">
        <v>2.0</v>
      </c>
      <c r="J10430" s="3">
        <v>1.0</v>
      </c>
      <c r="K10430" s="3" t="s">
        <v>31</v>
      </c>
      <c r="L10430" s="4" t="s">
        <v>64217</v>
      </c>
      <c r="M10430" s="2" t="s">
        <v>64232</v>
      </c>
      <c r="N10430" s="2" t="s">
        <v>6588</v>
      </c>
      <c r="O10430" s="4" t="s">
        <v>6589</v>
      </c>
      <c r="P10430" s="2" t="s">
        <v>64219</v>
      </c>
      <c r="Q10430" s="2" t="s">
        <v>989</v>
      </c>
      <c r="R10430" s="2" t="s">
        <v>93</v>
      </c>
      <c r="S10430" s="4" t="s">
        <v>64220</v>
      </c>
      <c r="T10430" s="2" t="s">
        <v>66</v>
      </c>
      <c r="U10430" s="4" t="s">
        <v>31</v>
      </c>
      <c r="V10430" s="2" t="s">
        <v>64233</v>
      </c>
      <c r="W10430" s="2" t="s">
        <v>64215</v>
      </c>
      <c r="X10430" s="5" t="str">
        <f>HYPERLINK("https://my.pitchbook.com?p=291969-55P","View People Online")</f>
        <v>View People Online</v>
      </c>
    </row>
    <row r="10431">
      <c r="A10431" s="14" t="s">
        <v>64234</v>
      </c>
      <c r="B10431" s="14" t="s">
        <v>64235</v>
      </c>
      <c r="C10431" s="14" t="s">
        <v>126</v>
      </c>
      <c r="D10431" s="14" t="s">
        <v>64236</v>
      </c>
      <c r="E10431" s="14" t="s">
        <v>64215</v>
      </c>
      <c r="F10431" s="14" t="s">
        <v>29</v>
      </c>
      <c r="G10431" s="14" t="s">
        <v>64237</v>
      </c>
      <c r="H10431" s="15">
        <v>1.0</v>
      </c>
      <c r="I10431" s="15">
        <v>10.0</v>
      </c>
      <c r="J10431" s="15">
        <v>4.0</v>
      </c>
      <c r="K10431" s="15">
        <v>1.0</v>
      </c>
      <c r="L10431" s="16" t="s">
        <v>64238</v>
      </c>
      <c r="M10431" s="14" t="s">
        <v>64239</v>
      </c>
      <c r="N10431" s="14" t="s">
        <v>775</v>
      </c>
      <c r="O10431" s="16" t="s">
        <v>776</v>
      </c>
      <c r="P10431" s="14" t="s">
        <v>64240</v>
      </c>
      <c r="Q10431" s="14" t="s">
        <v>31</v>
      </c>
      <c r="R10431" s="14" t="s">
        <v>64</v>
      </c>
      <c r="S10431" s="16" t="s">
        <v>779</v>
      </c>
      <c r="T10431" s="14" t="s">
        <v>66</v>
      </c>
      <c r="U10431" s="16" t="s">
        <v>31</v>
      </c>
      <c r="V10431" s="14" t="s">
        <v>1172</v>
      </c>
      <c r="W10431" s="14" t="s">
        <v>64241</v>
      </c>
      <c r="X10431" s="17" t="str">
        <f>HYPERLINK("https://my.pitchbook.com?p=212414-23P","View People Online")</f>
        <v>View People Online</v>
      </c>
    </row>
    <row r="10432">
      <c r="A10432" s="2" t="s">
        <v>64242</v>
      </c>
      <c r="B10432" s="2" t="s">
        <v>64243</v>
      </c>
      <c r="C10432" s="2" t="s">
        <v>2388</v>
      </c>
      <c r="D10432" s="2" t="s">
        <v>64244</v>
      </c>
      <c r="E10432" s="2" t="s">
        <v>64215</v>
      </c>
      <c r="F10432" s="2" t="s">
        <v>29</v>
      </c>
      <c r="G10432" s="2" t="s">
        <v>64245</v>
      </c>
      <c r="H10432" s="3" t="s">
        <v>31</v>
      </c>
      <c r="I10432" s="3">
        <v>2.0</v>
      </c>
      <c r="J10432" s="3">
        <v>1.0</v>
      </c>
      <c r="K10432" s="3" t="s">
        <v>31</v>
      </c>
      <c r="L10432" s="4" t="s">
        <v>64217</v>
      </c>
      <c r="M10432" s="2" t="s">
        <v>64246</v>
      </c>
      <c r="N10432" s="2" t="s">
        <v>6588</v>
      </c>
      <c r="O10432" s="4" t="s">
        <v>6589</v>
      </c>
      <c r="P10432" s="2" t="s">
        <v>64219</v>
      </c>
      <c r="Q10432" s="2" t="s">
        <v>989</v>
      </c>
      <c r="R10432" s="2" t="s">
        <v>93</v>
      </c>
      <c r="S10432" s="4" t="s">
        <v>64220</v>
      </c>
      <c r="T10432" s="2" t="s">
        <v>66</v>
      </c>
      <c r="U10432" s="4" t="s">
        <v>31</v>
      </c>
      <c r="V10432" s="2" t="s">
        <v>64247</v>
      </c>
      <c r="W10432" s="2" t="s">
        <v>64215</v>
      </c>
      <c r="X10432" s="5" t="str">
        <f>HYPERLINK("https://my.pitchbook.com?p=291969-91P","View People Online")</f>
        <v>View People Online</v>
      </c>
    </row>
    <row r="10433">
      <c r="A10433" s="14" t="s">
        <v>64248</v>
      </c>
      <c r="B10433" s="14" t="s">
        <v>64249</v>
      </c>
      <c r="C10433" s="14" t="s">
        <v>30040</v>
      </c>
      <c r="D10433" s="14" t="s">
        <v>27682</v>
      </c>
      <c r="E10433" s="14" t="s">
        <v>64215</v>
      </c>
      <c r="F10433" s="14" t="s">
        <v>674</v>
      </c>
      <c r="G10433" s="14" t="s">
        <v>64250</v>
      </c>
      <c r="H10433" s="15">
        <v>6.0</v>
      </c>
      <c r="I10433" s="15">
        <v>56.0</v>
      </c>
      <c r="J10433" s="15">
        <v>2.0</v>
      </c>
      <c r="K10433" s="15">
        <v>43.0</v>
      </c>
      <c r="L10433" s="16" t="s">
        <v>64217</v>
      </c>
      <c r="M10433" s="14" t="s">
        <v>64251</v>
      </c>
      <c r="N10433" s="14" t="s">
        <v>6588</v>
      </c>
      <c r="O10433" s="16" t="s">
        <v>6589</v>
      </c>
      <c r="P10433" s="14" t="s">
        <v>64219</v>
      </c>
      <c r="Q10433" s="14" t="s">
        <v>989</v>
      </c>
      <c r="R10433" s="14" t="s">
        <v>93</v>
      </c>
      <c r="S10433" s="16" t="s">
        <v>64220</v>
      </c>
      <c r="T10433" s="14" t="s">
        <v>66</v>
      </c>
      <c r="U10433" s="16" t="s">
        <v>31</v>
      </c>
      <c r="V10433" s="14" t="s">
        <v>1172</v>
      </c>
      <c r="W10433" s="14" t="s">
        <v>64215</v>
      </c>
      <c r="X10433" s="17" t="str">
        <f>HYPERLINK("https://my.pitchbook.com?p=94004-02P","View People Online")</f>
        <v>View People Online</v>
      </c>
    </row>
    <row r="10434">
      <c r="A10434" s="10" t="s">
        <v>64252</v>
      </c>
      <c r="B10434" s="10" t="s">
        <v>64253</v>
      </c>
      <c r="C10434" s="10" t="s">
        <v>7673</v>
      </c>
      <c r="D10434" s="10" t="s">
        <v>6734</v>
      </c>
      <c r="E10434" s="10" t="s">
        <v>64215</v>
      </c>
      <c r="F10434" s="10" t="s">
        <v>38644</v>
      </c>
      <c r="G10434" s="10" t="s">
        <v>64254</v>
      </c>
      <c r="H10434" s="11" t="s">
        <v>31</v>
      </c>
      <c r="I10434" s="11">
        <v>3.0</v>
      </c>
      <c r="J10434" s="11">
        <v>2.0</v>
      </c>
      <c r="K10434" s="11" t="s">
        <v>31</v>
      </c>
      <c r="L10434" s="12" t="s">
        <v>64217</v>
      </c>
      <c r="M10434" s="10" t="s">
        <v>64255</v>
      </c>
      <c r="N10434" s="10" t="s">
        <v>6588</v>
      </c>
      <c r="O10434" s="12" t="s">
        <v>6589</v>
      </c>
      <c r="P10434" s="10" t="s">
        <v>64219</v>
      </c>
      <c r="Q10434" s="10" t="s">
        <v>989</v>
      </c>
      <c r="R10434" s="10" t="s">
        <v>93</v>
      </c>
      <c r="S10434" s="12" t="s">
        <v>64220</v>
      </c>
      <c r="T10434" s="10" t="s">
        <v>66</v>
      </c>
      <c r="U10434" s="12" t="s">
        <v>64256</v>
      </c>
      <c r="V10434" s="10" t="s">
        <v>38650</v>
      </c>
      <c r="W10434" s="10" t="s">
        <v>64215</v>
      </c>
      <c r="X10434" s="13" t="str">
        <f>HYPERLINK("https://my.pitchbook.com?p=32136-67P","View People Online")</f>
        <v>View People Online</v>
      </c>
    </row>
    <row r="10435">
      <c r="A10435" s="6" t="s">
        <v>64257</v>
      </c>
      <c r="B10435" s="6" t="s">
        <v>64258</v>
      </c>
      <c r="C10435" s="6" t="s">
        <v>64259</v>
      </c>
      <c r="D10435" s="6" t="s">
        <v>29087</v>
      </c>
      <c r="E10435" s="6" t="s">
        <v>64260</v>
      </c>
      <c r="F10435" s="6" t="s">
        <v>548</v>
      </c>
      <c r="G10435" s="6" t="s">
        <v>31</v>
      </c>
      <c r="H10435" s="7" t="s">
        <v>31</v>
      </c>
      <c r="I10435" s="7">
        <v>5.0</v>
      </c>
      <c r="J10435" s="7">
        <v>1.0</v>
      </c>
      <c r="K10435" s="7">
        <v>4.0</v>
      </c>
      <c r="L10435" s="8" t="s">
        <v>31</v>
      </c>
      <c r="M10435" s="6" t="s">
        <v>31</v>
      </c>
      <c r="N10435" s="6" t="s">
        <v>75</v>
      </c>
      <c r="O10435" s="8" t="s">
        <v>76</v>
      </c>
      <c r="P10435" s="6" t="s">
        <v>31</v>
      </c>
      <c r="Q10435" s="6" t="s">
        <v>31</v>
      </c>
      <c r="R10435" s="6" t="s">
        <v>75</v>
      </c>
      <c r="S10435" s="8" t="s">
        <v>31</v>
      </c>
      <c r="T10435" s="6" t="s">
        <v>66</v>
      </c>
      <c r="U10435" s="8" t="s">
        <v>31</v>
      </c>
      <c r="V10435" s="6" t="s">
        <v>548</v>
      </c>
      <c r="W10435" s="6" t="s">
        <v>64260</v>
      </c>
      <c r="X10435" s="9" t="str">
        <f>HYPERLINK("https://my.pitchbook.com?p=455523-31P","View People Online")</f>
        <v>View People Online</v>
      </c>
    </row>
    <row r="10436">
      <c r="A10436" s="10" t="s">
        <v>64261</v>
      </c>
      <c r="B10436" s="10" t="s">
        <v>64262</v>
      </c>
      <c r="C10436" s="10" t="s">
        <v>1437</v>
      </c>
      <c r="D10436" s="10" t="s">
        <v>9457</v>
      </c>
      <c r="E10436" s="10" t="s">
        <v>64260</v>
      </c>
      <c r="F10436" s="10" t="s">
        <v>713</v>
      </c>
      <c r="G10436" s="10" t="s">
        <v>31</v>
      </c>
      <c r="H10436" s="11" t="s">
        <v>31</v>
      </c>
      <c r="I10436" s="11">
        <v>5.0</v>
      </c>
      <c r="J10436" s="11">
        <v>1.0</v>
      </c>
      <c r="K10436" s="11">
        <v>4.0</v>
      </c>
      <c r="L10436" s="12" t="s">
        <v>31</v>
      </c>
      <c r="M10436" s="10" t="s">
        <v>31</v>
      </c>
      <c r="N10436" s="10" t="s">
        <v>75</v>
      </c>
      <c r="O10436" s="12" t="s">
        <v>76</v>
      </c>
      <c r="P10436" s="10" t="s">
        <v>31</v>
      </c>
      <c r="Q10436" s="10" t="s">
        <v>31</v>
      </c>
      <c r="R10436" s="10" t="s">
        <v>75</v>
      </c>
      <c r="S10436" s="12" t="s">
        <v>31</v>
      </c>
      <c r="T10436" s="10" t="s">
        <v>66</v>
      </c>
      <c r="U10436" s="12" t="s">
        <v>31</v>
      </c>
      <c r="V10436" s="10" t="s">
        <v>713</v>
      </c>
      <c r="W10436" s="10" t="s">
        <v>64260</v>
      </c>
      <c r="X10436" s="13" t="str">
        <f>HYPERLINK("https://my.pitchbook.com?p=406541-89P","View People Online")</f>
        <v>View People Online</v>
      </c>
    </row>
    <row r="10437">
      <c r="A10437" s="6" t="s">
        <v>64263</v>
      </c>
      <c r="B10437" s="6" t="s">
        <v>64264</v>
      </c>
      <c r="C10437" s="6" t="s">
        <v>63165</v>
      </c>
      <c r="D10437" s="6" t="s">
        <v>64265</v>
      </c>
      <c r="E10437" s="6" t="s">
        <v>64266</v>
      </c>
      <c r="F10437" s="6" t="s">
        <v>29</v>
      </c>
      <c r="G10437" s="6" t="s">
        <v>64267</v>
      </c>
      <c r="H10437" s="7" t="s">
        <v>31</v>
      </c>
      <c r="I10437" s="7">
        <v>1.0</v>
      </c>
      <c r="J10437" s="7">
        <v>1.0</v>
      </c>
      <c r="K10437" s="7" t="s">
        <v>31</v>
      </c>
      <c r="L10437" s="8" t="s">
        <v>31</v>
      </c>
      <c r="M10437" s="6" t="s">
        <v>64268</v>
      </c>
      <c r="N10437" s="6" t="s">
        <v>4756</v>
      </c>
      <c r="O10437" s="8" t="s">
        <v>4757</v>
      </c>
      <c r="P10437" s="6" t="s">
        <v>64269</v>
      </c>
      <c r="Q10437" s="6" t="s">
        <v>31</v>
      </c>
      <c r="R10437" s="6" t="s">
        <v>31</v>
      </c>
      <c r="S10437" s="8" t="s">
        <v>64270</v>
      </c>
      <c r="T10437" s="6" t="s">
        <v>796</v>
      </c>
      <c r="U10437" s="8" t="s">
        <v>31</v>
      </c>
      <c r="V10437" s="6" t="s">
        <v>64271</v>
      </c>
      <c r="W10437" s="6" t="s">
        <v>64266</v>
      </c>
      <c r="X10437" s="9" t="str">
        <f>HYPERLINK("https://my.pitchbook.com?p=272110-06P","View People Online")</f>
        <v>View People Online</v>
      </c>
    </row>
    <row r="10438">
      <c r="A10438" s="2" t="s">
        <v>64272</v>
      </c>
      <c r="B10438" s="2" t="s">
        <v>64273</v>
      </c>
      <c r="C10438" s="2" t="s">
        <v>23747</v>
      </c>
      <c r="D10438" s="2" t="s">
        <v>64274</v>
      </c>
      <c r="E10438" s="2" t="s">
        <v>64266</v>
      </c>
      <c r="F10438" s="2" t="s">
        <v>81</v>
      </c>
      <c r="G10438" s="2" t="s">
        <v>64275</v>
      </c>
      <c r="H10438" s="3" t="s">
        <v>31</v>
      </c>
      <c r="I10438" s="3">
        <v>1.0</v>
      </c>
      <c r="J10438" s="3" t="s">
        <v>31</v>
      </c>
      <c r="K10438" s="3" t="s">
        <v>31</v>
      </c>
      <c r="L10438" s="4" t="s">
        <v>31</v>
      </c>
      <c r="M10438" s="2" t="s">
        <v>31</v>
      </c>
      <c r="N10438" s="2" t="s">
        <v>57162</v>
      </c>
      <c r="O10438" s="4" t="s">
        <v>57163</v>
      </c>
      <c r="P10438" s="2" t="s">
        <v>64276</v>
      </c>
      <c r="Q10438" s="2" t="s">
        <v>31</v>
      </c>
      <c r="R10438" s="2" t="s">
        <v>31</v>
      </c>
      <c r="S10438" s="4" t="s">
        <v>64277</v>
      </c>
      <c r="T10438" s="2" t="s">
        <v>796</v>
      </c>
      <c r="U10438" s="4" t="s">
        <v>31</v>
      </c>
      <c r="V10438" s="2" t="s">
        <v>81</v>
      </c>
      <c r="W10438" s="2" t="s">
        <v>64266</v>
      </c>
      <c r="X10438" s="5" t="str">
        <f>HYPERLINK("https://my.pitchbook.com?p=243180-64P","View People Online")</f>
        <v>View People Online</v>
      </c>
    </row>
    <row r="10439">
      <c r="A10439" s="14" t="s">
        <v>64278</v>
      </c>
      <c r="B10439" s="14" t="s">
        <v>64279</v>
      </c>
      <c r="C10439" s="14" t="s">
        <v>6383</v>
      </c>
      <c r="D10439" s="14" t="s">
        <v>64280</v>
      </c>
      <c r="E10439" s="14" t="s">
        <v>64266</v>
      </c>
      <c r="F10439" s="14" t="s">
        <v>674</v>
      </c>
      <c r="G10439" s="14" t="s">
        <v>64281</v>
      </c>
      <c r="H10439" s="15" t="s">
        <v>31</v>
      </c>
      <c r="I10439" s="15">
        <v>2.0</v>
      </c>
      <c r="J10439" s="15">
        <v>1.0</v>
      </c>
      <c r="K10439" s="15">
        <v>1.0</v>
      </c>
      <c r="L10439" s="16" t="s">
        <v>31</v>
      </c>
      <c r="M10439" s="14" t="s">
        <v>64282</v>
      </c>
      <c r="N10439" s="14" t="s">
        <v>26958</v>
      </c>
      <c r="O10439" s="16" t="s">
        <v>33336</v>
      </c>
      <c r="P10439" s="14" t="s">
        <v>64283</v>
      </c>
      <c r="Q10439" s="14" t="s">
        <v>31</v>
      </c>
      <c r="R10439" s="14" t="s">
        <v>31</v>
      </c>
      <c r="S10439" s="16" t="s">
        <v>64284</v>
      </c>
      <c r="T10439" s="14" t="s">
        <v>33339</v>
      </c>
      <c r="U10439" s="16" t="s">
        <v>31</v>
      </c>
      <c r="V10439" s="14" t="s">
        <v>674</v>
      </c>
      <c r="W10439" s="14" t="s">
        <v>64266</v>
      </c>
      <c r="X10439" s="17" t="str">
        <f>HYPERLINK("https://my.pitchbook.com?p=224761-60P","View People Online")</f>
        <v>View People Online</v>
      </c>
    </row>
    <row r="10440">
      <c r="A10440" s="10" t="s">
        <v>64285</v>
      </c>
      <c r="B10440" s="10" t="s">
        <v>64286</v>
      </c>
      <c r="C10440" s="10" t="s">
        <v>64287</v>
      </c>
      <c r="D10440" s="10" t="s">
        <v>64288</v>
      </c>
      <c r="E10440" s="10" t="s">
        <v>64266</v>
      </c>
      <c r="F10440" s="10" t="s">
        <v>29</v>
      </c>
      <c r="G10440" s="10" t="s">
        <v>64289</v>
      </c>
      <c r="H10440" s="11" t="s">
        <v>31</v>
      </c>
      <c r="I10440" s="11">
        <v>1.0</v>
      </c>
      <c r="J10440" s="11">
        <v>1.0</v>
      </c>
      <c r="K10440" s="11" t="s">
        <v>31</v>
      </c>
      <c r="L10440" s="12" t="s">
        <v>64290</v>
      </c>
      <c r="M10440" s="10" t="s">
        <v>64291</v>
      </c>
      <c r="N10440" s="10" t="s">
        <v>26958</v>
      </c>
      <c r="O10440" s="12" t="s">
        <v>33336</v>
      </c>
      <c r="P10440" s="10" t="s">
        <v>64283</v>
      </c>
      <c r="Q10440" s="10" t="s">
        <v>31</v>
      </c>
      <c r="R10440" s="10" t="s">
        <v>31</v>
      </c>
      <c r="S10440" s="12" t="s">
        <v>64284</v>
      </c>
      <c r="T10440" s="10" t="s">
        <v>33339</v>
      </c>
      <c r="U10440" s="12" t="s">
        <v>31</v>
      </c>
      <c r="V10440" s="10" t="s">
        <v>29</v>
      </c>
      <c r="W10440" s="10" t="s">
        <v>64266</v>
      </c>
      <c r="X10440" s="13" t="str">
        <f>HYPERLINK("https://my.pitchbook.com?p=152146-54P","View People Online")</f>
        <v>View People Online</v>
      </c>
    </row>
    <row r="10441">
      <c r="A10441" s="6" t="s">
        <v>64292</v>
      </c>
      <c r="B10441" s="6" t="s">
        <v>64293</v>
      </c>
      <c r="C10441" s="6" t="s">
        <v>32552</v>
      </c>
      <c r="D10441" s="6" t="s">
        <v>64294</v>
      </c>
      <c r="E10441" s="6" t="s">
        <v>64266</v>
      </c>
      <c r="F10441" s="6" t="s">
        <v>114</v>
      </c>
      <c r="G10441" s="6" t="s">
        <v>64295</v>
      </c>
      <c r="H10441" s="7" t="s">
        <v>31</v>
      </c>
      <c r="I10441" s="7">
        <v>1.0</v>
      </c>
      <c r="J10441" s="7">
        <v>1.0</v>
      </c>
      <c r="K10441" s="7" t="s">
        <v>31</v>
      </c>
      <c r="L10441" s="8" t="s">
        <v>31</v>
      </c>
      <c r="M10441" s="6" t="s">
        <v>31</v>
      </c>
      <c r="N10441" s="6" t="s">
        <v>26958</v>
      </c>
      <c r="O10441" s="8" t="s">
        <v>33336</v>
      </c>
      <c r="P10441" s="6" t="s">
        <v>64283</v>
      </c>
      <c r="Q10441" s="6" t="s">
        <v>31</v>
      </c>
      <c r="R10441" s="6" t="s">
        <v>31</v>
      </c>
      <c r="S10441" s="8" t="s">
        <v>64284</v>
      </c>
      <c r="T10441" s="6" t="s">
        <v>33339</v>
      </c>
      <c r="U10441" s="8" t="s">
        <v>31</v>
      </c>
      <c r="V10441" s="6" t="s">
        <v>114</v>
      </c>
      <c r="W10441" s="6" t="s">
        <v>64266</v>
      </c>
      <c r="X10441" s="9" t="str">
        <f>HYPERLINK("https://my.pitchbook.com?p=301795-03P","View People Online")</f>
        <v>View People Online</v>
      </c>
    </row>
    <row r="10442">
      <c r="A10442" s="2" t="s">
        <v>64296</v>
      </c>
      <c r="B10442" s="2" t="s">
        <v>64297</v>
      </c>
      <c r="C10442" s="2" t="s">
        <v>64298</v>
      </c>
      <c r="D10442" s="2" t="s">
        <v>64299</v>
      </c>
      <c r="E10442" s="2" t="s">
        <v>64266</v>
      </c>
      <c r="F10442" s="2" t="s">
        <v>29</v>
      </c>
      <c r="G10442" s="2" t="s">
        <v>64300</v>
      </c>
      <c r="H10442" s="3">
        <v>1.0</v>
      </c>
      <c r="I10442" s="3">
        <v>6.0</v>
      </c>
      <c r="J10442" s="3">
        <v>1.0</v>
      </c>
      <c r="K10442" s="3">
        <v>3.0</v>
      </c>
      <c r="L10442" s="4" t="s">
        <v>64301</v>
      </c>
      <c r="M10442" s="2" t="s">
        <v>64302</v>
      </c>
      <c r="N10442" s="2" t="s">
        <v>4756</v>
      </c>
      <c r="O10442" s="4" t="s">
        <v>4757</v>
      </c>
      <c r="P10442" s="2" t="s">
        <v>64269</v>
      </c>
      <c r="Q10442" s="2" t="s">
        <v>31</v>
      </c>
      <c r="R10442" s="2" t="s">
        <v>31</v>
      </c>
      <c r="S10442" s="4" t="s">
        <v>64270</v>
      </c>
      <c r="T10442" s="2" t="s">
        <v>796</v>
      </c>
      <c r="U10442" s="4" t="s">
        <v>31</v>
      </c>
      <c r="V10442" s="2" t="s">
        <v>29</v>
      </c>
      <c r="W10442" s="2" t="s">
        <v>64266</v>
      </c>
      <c r="X10442" s="5" t="str">
        <f>HYPERLINK("https://my.pitchbook.com?p=96949-18P","View People Online")</f>
        <v>View People Online</v>
      </c>
    </row>
    <row r="10443">
      <c r="A10443" s="6" t="s">
        <v>64303</v>
      </c>
      <c r="B10443" s="6" t="s">
        <v>64304</v>
      </c>
      <c r="C10443" s="6" t="s">
        <v>26427</v>
      </c>
      <c r="D10443" s="6" t="s">
        <v>64305</v>
      </c>
      <c r="E10443" s="6" t="s">
        <v>64266</v>
      </c>
      <c r="F10443" s="6" t="s">
        <v>81</v>
      </c>
      <c r="G10443" s="6" t="s">
        <v>64306</v>
      </c>
      <c r="H10443" s="7">
        <v>1.0</v>
      </c>
      <c r="I10443" s="7">
        <v>3.0</v>
      </c>
      <c r="J10443" s="7">
        <v>1.0</v>
      </c>
      <c r="K10443" s="7" t="s">
        <v>31</v>
      </c>
      <c r="L10443" s="8" t="s">
        <v>31</v>
      </c>
      <c r="M10443" s="6" t="s">
        <v>64307</v>
      </c>
      <c r="N10443" s="6" t="s">
        <v>429</v>
      </c>
      <c r="O10443" s="8" t="s">
        <v>430</v>
      </c>
      <c r="P10443" s="6" t="s">
        <v>64308</v>
      </c>
      <c r="Q10443" s="6" t="s">
        <v>31</v>
      </c>
      <c r="R10443" s="6" t="s">
        <v>31</v>
      </c>
      <c r="S10443" s="8" t="s">
        <v>64309</v>
      </c>
      <c r="T10443" s="6" t="s">
        <v>433</v>
      </c>
      <c r="U10443" s="8" t="s">
        <v>31</v>
      </c>
      <c r="V10443" s="6" t="s">
        <v>51052</v>
      </c>
      <c r="W10443" s="6" t="s">
        <v>64310</v>
      </c>
      <c r="X10443" s="9" t="str">
        <f>HYPERLINK("https://my.pitchbook.com?p=243179-83P","View People Online")</f>
        <v>View People Online</v>
      </c>
    </row>
    <row r="10444">
      <c r="A10444" s="10" t="s">
        <v>64311</v>
      </c>
      <c r="B10444" s="10" t="s">
        <v>64312</v>
      </c>
      <c r="C10444" s="10" t="s">
        <v>20141</v>
      </c>
      <c r="D10444" s="10" t="s">
        <v>64313</v>
      </c>
      <c r="E10444" s="10" t="s">
        <v>64266</v>
      </c>
      <c r="F10444" s="10" t="s">
        <v>825</v>
      </c>
      <c r="G10444" s="10" t="s">
        <v>64314</v>
      </c>
      <c r="H10444" s="11" t="s">
        <v>31</v>
      </c>
      <c r="I10444" s="11">
        <v>1.0</v>
      </c>
      <c r="J10444" s="11">
        <v>1.0</v>
      </c>
      <c r="K10444" s="11" t="s">
        <v>31</v>
      </c>
      <c r="L10444" s="12" t="s">
        <v>64315</v>
      </c>
      <c r="M10444" s="10" t="s">
        <v>64316</v>
      </c>
      <c r="N10444" s="10" t="s">
        <v>26958</v>
      </c>
      <c r="O10444" s="12" t="s">
        <v>33336</v>
      </c>
      <c r="P10444" s="10" t="s">
        <v>64283</v>
      </c>
      <c r="Q10444" s="10" t="s">
        <v>31</v>
      </c>
      <c r="R10444" s="10" t="s">
        <v>31</v>
      </c>
      <c r="S10444" s="12" t="s">
        <v>64284</v>
      </c>
      <c r="T10444" s="10" t="s">
        <v>33339</v>
      </c>
      <c r="U10444" s="12" t="s">
        <v>31</v>
      </c>
      <c r="V10444" s="10" t="s">
        <v>64317</v>
      </c>
      <c r="W10444" s="10" t="s">
        <v>64266</v>
      </c>
      <c r="X10444" s="13" t="str">
        <f>HYPERLINK("https://my.pitchbook.com?p=272109-88P","View People Online")</f>
        <v>View People Online</v>
      </c>
    </row>
    <row r="10445">
      <c r="A10445" s="14" t="s">
        <v>64318</v>
      </c>
      <c r="B10445" s="14" t="s">
        <v>64319</v>
      </c>
      <c r="C10445" s="14" t="s">
        <v>64320</v>
      </c>
      <c r="D10445" s="14" t="s">
        <v>64321</v>
      </c>
      <c r="E10445" s="14" t="s">
        <v>64266</v>
      </c>
      <c r="F10445" s="14" t="s">
        <v>81</v>
      </c>
      <c r="G10445" s="14" t="s">
        <v>64322</v>
      </c>
      <c r="H10445" s="15" t="s">
        <v>31</v>
      </c>
      <c r="I10445" s="15">
        <v>1.0</v>
      </c>
      <c r="J10445" s="15" t="s">
        <v>31</v>
      </c>
      <c r="K10445" s="15" t="s">
        <v>31</v>
      </c>
      <c r="L10445" s="16" t="s">
        <v>31</v>
      </c>
      <c r="M10445" s="14" t="s">
        <v>31</v>
      </c>
      <c r="N10445" s="14" t="s">
        <v>57162</v>
      </c>
      <c r="O10445" s="16" t="s">
        <v>57163</v>
      </c>
      <c r="P10445" s="14" t="s">
        <v>64276</v>
      </c>
      <c r="Q10445" s="14" t="s">
        <v>31</v>
      </c>
      <c r="R10445" s="14" t="s">
        <v>31</v>
      </c>
      <c r="S10445" s="16" t="s">
        <v>64277</v>
      </c>
      <c r="T10445" s="14" t="s">
        <v>796</v>
      </c>
      <c r="U10445" s="16" t="s">
        <v>31</v>
      </c>
      <c r="V10445" s="14" t="s">
        <v>81</v>
      </c>
      <c r="W10445" s="14" t="s">
        <v>64266</v>
      </c>
      <c r="X10445" s="17" t="str">
        <f>HYPERLINK("https://my.pitchbook.com?p=243181-45P","View People Online")</f>
        <v>View People Online</v>
      </c>
    </row>
    <row r="10446">
      <c r="A10446" s="2" t="s">
        <v>64323</v>
      </c>
      <c r="B10446" s="2" t="s">
        <v>64324</v>
      </c>
      <c r="C10446" s="2" t="s">
        <v>12189</v>
      </c>
      <c r="D10446" s="2" t="s">
        <v>64325</v>
      </c>
      <c r="E10446" s="2" t="s">
        <v>64266</v>
      </c>
      <c r="F10446" s="2" t="s">
        <v>81</v>
      </c>
      <c r="G10446" s="2" t="s">
        <v>64326</v>
      </c>
      <c r="H10446" s="3" t="s">
        <v>31</v>
      </c>
      <c r="I10446" s="3">
        <v>1.0</v>
      </c>
      <c r="J10446" s="3" t="s">
        <v>31</v>
      </c>
      <c r="K10446" s="3" t="s">
        <v>31</v>
      </c>
      <c r="L10446" s="4" t="s">
        <v>31</v>
      </c>
      <c r="M10446" s="2" t="s">
        <v>31</v>
      </c>
      <c r="N10446" s="2" t="s">
        <v>57162</v>
      </c>
      <c r="O10446" s="4" t="s">
        <v>57163</v>
      </c>
      <c r="P10446" s="2" t="s">
        <v>64276</v>
      </c>
      <c r="Q10446" s="2" t="s">
        <v>31</v>
      </c>
      <c r="R10446" s="2" t="s">
        <v>31</v>
      </c>
      <c r="S10446" s="4" t="s">
        <v>64277</v>
      </c>
      <c r="T10446" s="2" t="s">
        <v>796</v>
      </c>
      <c r="U10446" s="4" t="s">
        <v>31</v>
      </c>
      <c r="V10446" s="2" t="s">
        <v>81</v>
      </c>
      <c r="W10446" s="2" t="s">
        <v>64266</v>
      </c>
      <c r="X10446" s="5" t="str">
        <f>HYPERLINK("https://my.pitchbook.com?p=243184-24P","View People Online")</f>
        <v>View People Online</v>
      </c>
    </row>
    <row r="10447">
      <c r="A10447" s="6" t="s">
        <v>64327</v>
      </c>
      <c r="B10447" s="6" t="s">
        <v>64328</v>
      </c>
      <c r="C10447" s="6" t="s">
        <v>64329</v>
      </c>
      <c r="D10447" s="6" t="s">
        <v>64330</v>
      </c>
      <c r="E10447" s="6" t="s">
        <v>64266</v>
      </c>
      <c r="F10447" s="6" t="s">
        <v>221</v>
      </c>
      <c r="G10447" s="6" t="s">
        <v>64331</v>
      </c>
      <c r="H10447" s="7" t="s">
        <v>31</v>
      </c>
      <c r="I10447" s="7">
        <v>1.0</v>
      </c>
      <c r="J10447" s="7">
        <v>1.0</v>
      </c>
      <c r="K10447" s="7" t="s">
        <v>31</v>
      </c>
      <c r="L10447" s="8" t="s">
        <v>64332</v>
      </c>
      <c r="M10447" s="6" t="s">
        <v>64333</v>
      </c>
      <c r="N10447" s="6" t="s">
        <v>26958</v>
      </c>
      <c r="O10447" s="8" t="s">
        <v>33336</v>
      </c>
      <c r="P10447" s="6" t="s">
        <v>64283</v>
      </c>
      <c r="Q10447" s="6" t="s">
        <v>31</v>
      </c>
      <c r="R10447" s="6" t="s">
        <v>31</v>
      </c>
      <c r="S10447" s="8" t="s">
        <v>64284</v>
      </c>
      <c r="T10447" s="6" t="s">
        <v>33339</v>
      </c>
      <c r="U10447" s="8" t="s">
        <v>31</v>
      </c>
      <c r="V10447" s="6" t="s">
        <v>64334</v>
      </c>
      <c r="W10447" s="6" t="s">
        <v>64266</v>
      </c>
      <c r="X10447" s="9" t="str">
        <f>HYPERLINK("https://my.pitchbook.com?p=224762-05P","View People Online")</f>
        <v>View People Online</v>
      </c>
    </row>
    <row r="10448">
      <c r="A10448" s="10" t="s">
        <v>64335</v>
      </c>
      <c r="B10448" s="10" t="s">
        <v>64336</v>
      </c>
      <c r="C10448" s="10" t="s">
        <v>425</v>
      </c>
      <c r="D10448" s="10" t="s">
        <v>64337</v>
      </c>
      <c r="E10448" s="10" t="s">
        <v>64338</v>
      </c>
      <c r="F10448" s="10" t="s">
        <v>3740</v>
      </c>
      <c r="G10448" s="10" t="s">
        <v>64339</v>
      </c>
      <c r="H10448" s="11" t="s">
        <v>31</v>
      </c>
      <c r="I10448" s="11">
        <v>2.0</v>
      </c>
      <c r="J10448" s="11">
        <v>1.0</v>
      </c>
      <c r="K10448" s="11">
        <v>1.0</v>
      </c>
      <c r="L10448" s="12" t="s">
        <v>64340</v>
      </c>
      <c r="M10448" s="10" t="s">
        <v>64341</v>
      </c>
      <c r="N10448" s="10" t="s">
        <v>14052</v>
      </c>
      <c r="O10448" s="12" t="s">
        <v>14053</v>
      </c>
      <c r="P10448" s="10" t="s">
        <v>64342</v>
      </c>
      <c r="Q10448" s="10" t="s">
        <v>64343</v>
      </c>
      <c r="R10448" s="10" t="s">
        <v>31</v>
      </c>
      <c r="S10448" s="12" t="s">
        <v>64344</v>
      </c>
      <c r="T10448" s="10" t="s">
        <v>13773</v>
      </c>
      <c r="U10448" s="12" t="s">
        <v>31</v>
      </c>
      <c r="V10448" s="10" t="s">
        <v>64345</v>
      </c>
      <c r="W10448" s="10" t="s">
        <v>64338</v>
      </c>
      <c r="X10448" s="13" t="str">
        <f>HYPERLINK("https://my.pitchbook.com?p=144499-51P","View People Online")</f>
        <v>View People Online</v>
      </c>
    </row>
    <row r="10449">
      <c r="A10449" s="14" t="s">
        <v>64346</v>
      </c>
      <c r="B10449" s="14" t="s">
        <v>64347</v>
      </c>
      <c r="C10449" s="14" t="s">
        <v>64348</v>
      </c>
      <c r="D10449" s="14" t="s">
        <v>64349</v>
      </c>
      <c r="E10449" s="14" t="s">
        <v>64338</v>
      </c>
      <c r="F10449" s="14" t="s">
        <v>3740</v>
      </c>
      <c r="G10449" s="14" t="s">
        <v>64350</v>
      </c>
      <c r="H10449" s="15" t="s">
        <v>31</v>
      </c>
      <c r="I10449" s="15">
        <v>1.0</v>
      </c>
      <c r="J10449" s="15">
        <v>1.0</v>
      </c>
      <c r="K10449" s="15" t="s">
        <v>31</v>
      </c>
      <c r="L10449" s="16" t="s">
        <v>64340</v>
      </c>
      <c r="M10449" s="14" t="s">
        <v>64351</v>
      </c>
      <c r="N10449" s="14" t="s">
        <v>14052</v>
      </c>
      <c r="O10449" s="16" t="s">
        <v>14053</v>
      </c>
      <c r="P10449" s="14" t="s">
        <v>64342</v>
      </c>
      <c r="Q10449" s="14" t="s">
        <v>64343</v>
      </c>
      <c r="R10449" s="14" t="s">
        <v>31</v>
      </c>
      <c r="S10449" s="16" t="s">
        <v>64344</v>
      </c>
      <c r="T10449" s="14" t="s">
        <v>13773</v>
      </c>
      <c r="U10449" s="16" t="s">
        <v>31</v>
      </c>
      <c r="V10449" s="14" t="s">
        <v>64352</v>
      </c>
      <c r="W10449" s="14" t="s">
        <v>64338</v>
      </c>
      <c r="X10449" s="17" t="str">
        <f>HYPERLINK("https://my.pitchbook.com?p=235346-59P","View People Online")</f>
        <v>View People Online</v>
      </c>
    </row>
    <row r="10450">
      <c r="A10450" s="10" t="s">
        <v>64353</v>
      </c>
      <c r="B10450" s="10" t="s">
        <v>64354</v>
      </c>
      <c r="C10450" s="10" t="s">
        <v>64355</v>
      </c>
      <c r="D10450" s="10" t="s">
        <v>64356</v>
      </c>
      <c r="E10450" s="10" t="s">
        <v>64338</v>
      </c>
      <c r="F10450" s="10" t="s">
        <v>4406</v>
      </c>
      <c r="G10450" s="10" t="s">
        <v>64357</v>
      </c>
      <c r="H10450" s="11" t="s">
        <v>31</v>
      </c>
      <c r="I10450" s="11">
        <v>1.0</v>
      </c>
      <c r="J10450" s="11">
        <v>1.0</v>
      </c>
      <c r="K10450" s="11" t="s">
        <v>31</v>
      </c>
      <c r="L10450" s="12" t="s">
        <v>64340</v>
      </c>
      <c r="M10450" s="10" t="s">
        <v>64358</v>
      </c>
      <c r="N10450" s="10" t="s">
        <v>14052</v>
      </c>
      <c r="O10450" s="12" t="s">
        <v>14053</v>
      </c>
      <c r="P10450" s="10" t="s">
        <v>64342</v>
      </c>
      <c r="Q10450" s="10" t="s">
        <v>64343</v>
      </c>
      <c r="R10450" s="10" t="s">
        <v>31</v>
      </c>
      <c r="S10450" s="12" t="s">
        <v>64344</v>
      </c>
      <c r="T10450" s="10" t="s">
        <v>13773</v>
      </c>
      <c r="U10450" s="12" t="s">
        <v>31</v>
      </c>
      <c r="V10450" s="10" t="s">
        <v>4406</v>
      </c>
      <c r="W10450" s="10" t="s">
        <v>64338</v>
      </c>
      <c r="X10450" s="13" t="str">
        <f>HYPERLINK("https://my.pitchbook.com?p=424322-02P","View People Online")</f>
        <v>View People Online</v>
      </c>
    </row>
    <row r="10451">
      <c r="A10451" s="14" t="s">
        <v>64359</v>
      </c>
      <c r="B10451" s="14" t="s">
        <v>64360</v>
      </c>
      <c r="C10451" s="14" t="s">
        <v>5785</v>
      </c>
      <c r="D10451" s="14" t="s">
        <v>64361</v>
      </c>
      <c r="E10451" s="14" t="s">
        <v>64338</v>
      </c>
      <c r="F10451" s="14" t="s">
        <v>9167</v>
      </c>
      <c r="G10451" s="14" t="s">
        <v>64362</v>
      </c>
      <c r="H10451" s="15" t="s">
        <v>31</v>
      </c>
      <c r="I10451" s="15">
        <v>1.0</v>
      </c>
      <c r="J10451" s="15">
        <v>1.0</v>
      </c>
      <c r="K10451" s="15" t="s">
        <v>31</v>
      </c>
      <c r="L10451" s="16" t="s">
        <v>64340</v>
      </c>
      <c r="M10451" s="14" t="s">
        <v>64363</v>
      </c>
      <c r="N10451" s="14" t="s">
        <v>14052</v>
      </c>
      <c r="O10451" s="16" t="s">
        <v>14053</v>
      </c>
      <c r="P10451" s="14" t="s">
        <v>64342</v>
      </c>
      <c r="Q10451" s="14" t="s">
        <v>64343</v>
      </c>
      <c r="R10451" s="14" t="s">
        <v>31</v>
      </c>
      <c r="S10451" s="16" t="s">
        <v>64344</v>
      </c>
      <c r="T10451" s="14" t="s">
        <v>13773</v>
      </c>
      <c r="U10451" s="16" t="s">
        <v>31</v>
      </c>
      <c r="V10451" s="14" t="s">
        <v>9167</v>
      </c>
      <c r="W10451" s="14" t="s">
        <v>64338</v>
      </c>
      <c r="X10451" s="17" t="str">
        <f>HYPERLINK("https://my.pitchbook.com?p=236070-55P","View People Online")</f>
        <v>View People Online</v>
      </c>
    </row>
    <row r="10452">
      <c r="A10452" s="2" t="s">
        <v>64364</v>
      </c>
      <c r="B10452" s="2" t="s">
        <v>64365</v>
      </c>
      <c r="C10452" s="2" t="s">
        <v>1255</v>
      </c>
      <c r="D10452" s="2" t="s">
        <v>47033</v>
      </c>
      <c r="E10452" s="2" t="s">
        <v>64338</v>
      </c>
      <c r="F10452" s="2" t="s">
        <v>270</v>
      </c>
      <c r="G10452" s="2" t="s">
        <v>64366</v>
      </c>
      <c r="H10452" s="3" t="s">
        <v>31</v>
      </c>
      <c r="I10452" s="3">
        <v>2.0</v>
      </c>
      <c r="J10452" s="3">
        <v>2.0</v>
      </c>
      <c r="K10452" s="3" t="s">
        <v>31</v>
      </c>
      <c r="L10452" s="4" t="s">
        <v>64340</v>
      </c>
      <c r="M10452" s="2" t="s">
        <v>64367</v>
      </c>
      <c r="N10452" s="2" t="s">
        <v>14052</v>
      </c>
      <c r="O10452" s="4" t="s">
        <v>14053</v>
      </c>
      <c r="P10452" s="2" t="s">
        <v>64342</v>
      </c>
      <c r="Q10452" s="2" t="s">
        <v>64343</v>
      </c>
      <c r="R10452" s="2" t="s">
        <v>31</v>
      </c>
      <c r="S10452" s="4" t="s">
        <v>64344</v>
      </c>
      <c r="T10452" s="2" t="s">
        <v>13773</v>
      </c>
      <c r="U10452" s="4" t="s">
        <v>31</v>
      </c>
      <c r="V10452" s="2" t="s">
        <v>64368</v>
      </c>
      <c r="W10452" s="2" t="s">
        <v>64338</v>
      </c>
      <c r="X10452" s="5" t="str">
        <f>HYPERLINK("https://my.pitchbook.com?p=402712-03P","View People Online")</f>
        <v>View People Online</v>
      </c>
    </row>
    <row r="10453">
      <c r="A10453" s="14" t="s">
        <v>64369</v>
      </c>
      <c r="B10453" s="14" t="s">
        <v>64370</v>
      </c>
      <c r="C10453" s="14" t="s">
        <v>2093</v>
      </c>
      <c r="D10453" s="14" t="s">
        <v>64371</v>
      </c>
      <c r="E10453" s="14" t="s">
        <v>64338</v>
      </c>
      <c r="F10453" s="14" t="s">
        <v>470</v>
      </c>
      <c r="G10453" s="14" t="s">
        <v>64372</v>
      </c>
      <c r="H10453" s="15">
        <v>1.0</v>
      </c>
      <c r="I10453" s="15">
        <v>2.0</v>
      </c>
      <c r="J10453" s="15">
        <v>1.0</v>
      </c>
      <c r="K10453" s="15" t="s">
        <v>31</v>
      </c>
      <c r="L10453" s="16" t="s">
        <v>64340</v>
      </c>
      <c r="M10453" s="14" t="s">
        <v>64373</v>
      </c>
      <c r="N10453" s="14" t="s">
        <v>14052</v>
      </c>
      <c r="O10453" s="16" t="s">
        <v>14053</v>
      </c>
      <c r="P10453" s="14" t="s">
        <v>64342</v>
      </c>
      <c r="Q10453" s="14" t="s">
        <v>64343</v>
      </c>
      <c r="R10453" s="14" t="s">
        <v>31</v>
      </c>
      <c r="S10453" s="16" t="s">
        <v>64344</v>
      </c>
      <c r="T10453" s="14" t="s">
        <v>13773</v>
      </c>
      <c r="U10453" s="16" t="s">
        <v>31</v>
      </c>
      <c r="V10453" s="14" t="s">
        <v>64374</v>
      </c>
      <c r="W10453" s="14" t="s">
        <v>64338</v>
      </c>
      <c r="X10453" s="17" t="str">
        <f>HYPERLINK("https://my.pitchbook.com?p=215466-94P","View People Online")</f>
        <v>View People Online</v>
      </c>
    </row>
    <row r="10454">
      <c r="A10454" s="2" t="s">
        <v>64375</v>
      </c>
      <c r="B10454" s="2" t="s">
        <v>64376</v>
      </c>
      <c r="C10454" s="2" t="s">
        <v>64377</v>
      </c>
      <c r="D10454" s="2" t="s">
        <v>64378</v>
      </c>
      <c r="E10454" s="2" t="s">
        <v>64338</v>
      </c>
      <c r="F10454" s="2" t="s">
        <v>548</v>
      </c>
      <c r="G10454" s="2" t="s">
        <v>64379</v>
      </c>
      <c r="H10454" s="3" t="s">
        <v>31</v>
      </c>
      <c r="I10454" s="3">
        <v>1.0</v>
      </c>
      <c r="J10454" s="3">
        <v>1.0</v>
      </c>
      <c r="K10454" s="3" t="s">
        <v>31</v>
      </c>
      <c r="L10454" s="4" t="s">
        <v>64340</v>
      </c>
      <c r="M10454" s="2" t="s">
        <v>64380</v>
      </c>
      <c r="N10454" s="2" t="s">
        <v>14052</v>
      </c>
      <c r="O10454" s="4" t="s">
        <v>14053</v>
      </c>
      <c r="P10454" s="2" t="s">
        <v>64342</v>
      </c>
      <c r="Q10454" s="2" t="s">
        <v>64343</v>
      </c>
      <c r="R10454" s="2" t="s">
        <v>31</v>
      </c>
      <c r="S10454" s="4" t="s">
        <v>64344</v>
      </c>
      <c r="T10454" s="2" t="s">
        <v>13773</v>
      </c>
      <c r="U10454" s="4" t="s">
        <v>31</v>
      </c>
      <c r="V10454" s="2" t="s">
        <v>64381</v>
      </c>
      <c r="W10454" s="2" t="s">
        <v>64338</v>
      </c>
      <c r="X10454" s="5" t="str">
        <f>HYPERLINK("https://my.pitchbook.com?p=62798-68P","View People Online")</f>
        <v>View People Online</v>
      </c>
    </row>
    <row r="10455">
      <c r="A10455" s="14" t="s">
        <v>64382</v>
      </c>
      <c r="B10455" s="14" t="s">
        <v>64383</v>
      </c>
      <c r="C10455" s="14" t="s">
        <v>3030</v>
      </c>
      <c r="D10455" s="14" t="s">
        <v>24780</v>
      </c>
      <c r="E10455" s="14" t="s">
        <v>64338</v>
      </c>
      <c r="F10455" s="14" t="s">
        <v>35805</v>
      </c>
      <c r="G10455" s="14" t="s">
        <v>64384</v>
      </c>
      <c r="H10455" s="15" t="s">
        <v>31</v>
      </c>
      <c r="I10455" s="15">
        <v>1.0</v>
      </c>
      <c r="J10455" s="15">
        <v>1.0</v>
      </c>
      <c r="K10455" s="15" t="s">
        <v>31</v>
      </c>
      <c r="L10455" s="16" t="s">
        <v>64340</v>
      </c>
      <c r="M10455" s="14" t="s">
        <v>31</v>
      </c>
      <c r="N10455" s="14" t="s">
        <v>14052</v>
      </c>
      <c r="O10455" s="16" t="s">
        <v>14053</v>
      </c>
      <c r="P10455" s="14" t="s">
        <v>64342</v>
      </c>
      <c r="Q10455" s="14" t="s">
        <v>64343</v>
      </c>
      <c r="R10455" s="14" t="s">
        <v>31</v>
      </c>
      <c r="S10455" s="16" t="s">
        <v>64344</v>
      </c>
      <c r="T10455" s="14" t="s">
        <v>13773</v>
      </c>
      <c r="U10455" s="16" t="s">
        <v>31</v>
      </c>
      <c r="V10455" s="14" t="s">
        <v>35805</v>
      </c>
      <c r="W10455" s="14" t="s">
        <v>64338</v>
      </c>
      <c r="X10455" s="17" t="str">
        <f>HYPERLINK("https://my.pitchbook.com?p=62798-95P","View People Online")</f>
        <v>View People Online</v>
      </c>
    </row>
    <row r="10456">
      <c r="A10456" s="10" t="s">
        <v>64385</v>
      </c>
      <c r="B10456" s="10" t="s">
        <v>64386</v>
      </c>
      <c r="C10456" s="10" t="s">
        <v>6753</v>
      </c>
      <c r="D10456" s="10" t="s">
        <v>64387</v>
      </c>
      <c r="E10456" s="10" t="s">
        <v>64338</v>
      </c>
      <c r="F10456" s="10" t="s">
        <v>7624</v>
      </c>
      <c r="G10456" s="10" t="s">
        <v>64388</v>
      </c>
      <c r="H10456" s="11" t="s">
        <v>31</v>
      </c>
      <c r="I10456" s="11">
        <v>1.0</v>
      </c>
      <c r="J10456" s="11">
        <v>1.0</v>
      </c>
      <c r="K10456" s="11" t="s">
        <v>31</v>
      </c>
      <c r="L10456" s="12" t="s">
        <v>64340</v>
      </c>
      <c r="M10456" s="10" t="s">
        <v>64389</v>
      </c>
      <c r="N10456" s="10" t="s">
        <v>14052</v>
      </c>
      <c r="O10456" s="12" t="s">
        <v>14053</v>
      </c>
      <c r="P10456" s="10" t="s">
        <v>64342</v>
      </c>
      <c r="Q10456" s="10" t="s">
        <v>64343</v>
      </c>
      <c r="R10456" s="10" t="s">
        <v>31</v>
      </c>
      <c r="S10456" s="12" t="s">
        <v>64344</v>
      </c>
      <c r="T10456" s="10" t="s">
        <v>13773</v>
      </c>
      <c r="U10456" s="12" t="s">
        <v>31</v>
      </c>
      <c r="V10456" s="10" t="s">
        <v>50540</v>
      </c>
      <c r="W10456" s="10" t="s">
        <v>64338</v>
      </c>
      <c r="X10456" s="13" t="str">
        <f>HYPERLINK("https://my.pitchbook.com?p=279631-18P","View People Online")</f>
        <v>View People Online</v>
      </c>
    </row>
    <row r="10457">
      <c r="A10457" s="14" t="s">
        <v>64390</v>
      </c>
      <c r="B10457" s="14" t="s">
        <v>64391</v>
      </c>
      <c r="C10457" s="14" t="s">
        <v>64392</v>
      </c>
      <c r="D10457" s="14" t="s">
        <v>64393</v>
      </c>
      <c r="E10457" s="14" t="s">
        <v>64338</v>
      </c>
      <c r="F10457" s="14" t="s">
        <v>3740</v>
      </c>
      <c r="G10457" s="14" t="s">
        <v>64394</v>
      </c>
      <c r="H10457" s="15" t="s">
        <v>31</v>
      </c>
      <c r="I10457" s="15">
        <v>1.0</v>
      </c>
      <c r="J10457" s="15">
        <v>1.0</v>
      </c>
      <c r="K10457" s="15" t="s">
        <v>31</v>
      </c>
      <c r="L10457" s="16" t="s">
        <v>64340</v>
      </c>
      <c r="M10457" s="14" t="s">
        <v>31</v>
      </c>
      <c r="N10457" s="14" t="s">
        <v>14052</v>
      </c>
      <c r="O10457" s="16" t="s">
        <v>14053</v>
      </c>
      <c r="P10457" s="14" t="s">
        <v>64342</v>
      </c>
      <c r="Q10457" s="14" t="s">
        <v>64343</v>
      </c>
      <c r="R10457" s="14" t="s">
        <v>31</v>
      </c>
      <c r="S10457" s="16" t="s">
        <v>64344</v>
      </c>
      <c r="T10457" s="14" t="s">
        <v>13773</v>
      </c>
      <c r="U10457" s="16" t="s">
        <v>31</v>
      </c>
      <c r="V10457" s="14" t="s">
        <v>3740</v>
      </c>
      <c r="W10457" s="14" t="s">
        <v>64338</v>
      </c>
      <c r="X10457" s="17" t="str">
        <f>HYPERLINK("https://my.pitchbook.com?p=180906-67P","View People Online")</f>
        <v>View People Online</v>
      </c>
    </row>
    <row r="10458">
      <c r="A10458" s="2" t="s">
        <v>64395</v>
      </c>
      <c r="B10458" s="2" t="s">
        <v>64396</v>
      </c>
      <c r="C10458" s="2" t="s">
        <v>941</v>
      </c>
      <c r="D10458" s="2" t="s">
        <v>42032</v>
      </c>
      <c r="E10458" s="2" t="s">
        <v>64338</v>
      </c>
      <c r="F10458" s="2" t="s">
        <v>1801</v>
      </c>
      <c r="G10458" s="2" t="s">
        <v>64397</v>
      </c>
      <c r="H10458" s="3" t="s">
        <v>31</v>
      </c>
      <c r="I10458" s="3">
        <v>1.0</v>
      </c>
      <c r="J10458" s="3">
        <v>1.0</v>
      </c>
      <c r="K10458" s="3" t="s">
        <v>31</v>
      </c>
      <c r="L10458" s="4" t="s">
        <v>64340</v>
      </c>
      <c r="M10458" s="2" t="s">
        <v>64398</v>
      </c>
      <c r="N10458" s="2" t="s">
        <v>14052</v>
      </c>
      <c r="O10458" s="4" t="s">
        <v>14053</v>
      </c>
      <c r="P10458" s="2" t="s">
        <v>64342</v>
      </c>
      <c r="Q10458" s="2" t="s">
        <v>64343</v>
      </c>
      <c r="R10458" s="2" t="s">
        <v>31</v>
      </c>
      <c r="S10458" s="4" t="s">
        <v>64344</v>
      </c>
      <c r="T10458" s="2" t="s">
        <v>13773</v>
      </c>
      <c r="U10458" s="4" t="s">
        <v>31</v>
      </c>
      <c r="V10458" s="2" t="s">
        <v>64399</v>
      </c>
      <c r="W10458" s="2" t="s">
        <v>64338</v>
      </c>
      <c r="X10458" s="5" t="str">
        <f>HYPERLINK("https://my.pitchbook.com?p=279632-44P","View People Online")</f>
        <v>View People Online</v>
      </c>
    </row>
    <row r="10459">
      <c r="A10459" s="6" t="s">
        <v>64400</v>
      </c>
      <c r="B10459" s="6" t="s">
        <v>64401</v>
      </c>
      <c r="C10459" s="6" t="s">
        <v>12451</v>
      </c>
      <c r="D10459" s="6" t="s">
        <v>64402</v>
      </c>
      <c r="E10459" s="6" t="s">
        <v>64338</v>
      </c>
      <c r="F10459" s="6" t="s">
        <v>7624</v>
      </c>
      <c r="G10459" s="6" t="s">
        <v>64403</v>
      </c>
      <c r="H10459" s="7" t="s">
        <v>31</v>
      </c>
      <c r="I10459" s="7">
        <v>1.0</v>
      </c>
      <c r="J10459" s="7">
        <v>1.0</v>
      </c>
      <c r="K10459" s="7" t="s">
        <v>31</v>
      </c>
      <c r="L10459" s="8" t="s">
        <v>64340</v>
      </c>
      <c r="M10459" s="6" t="s">
        <v>64404</v>
      </c>
      <c r="N10459" s="6" t="s">
        <v>14052</v>
      </c>
      <c r="O10459" s="8" t="s">
        <v>14053</v>
      </c>
      <c r="P10459" s="6" t="s">
        <v>64342</v>
      </c>
      <c r="Q10459" s="6" t="s">
        <v>64343</v>
      </c>
      <c r="R10459" s="6" t="s">
        <v>31</v>
      </c>
      <c r="S10459" s="8" t="s">
        <v>64344</v>
      </c>
      <c r="T10459" s="6" t="s">
        <v>13773</v>
      </c>
      <c r="U10459" s="8" t="s">
        <v>31</v>
      </c>
      <c r="V10459" s="6" t="s">
        <v>64405</v>
      </c>
      <c r="W10459" s="6" t="s">
        <v>64338</v>
      </c>
      <c r="X10459" s="9" t="str">
        <f>HYPERLINK("https://my.pitchbook.com?p=229386-25P","View People Online")</f>
        <v>View People Online</v>
      </c>
    </row>
    <row r="10460">
      <c r="A10460" s="10" t="s">
        <v>64406</v>
      </c>
      <c r="B10460" s="10" t="s">
        <v>64407</v>
      </c>
      <c r="C10460" s="10" t="s">
        <v>1146</v>
      </c>
      <c r="D10460" s="10" t="s">
        <v>11737</v>
      </c>
      <c r="E10460" s="10" t="s">
        <v>64408</v>
      </c>
      <c r="F10460" s="10" t="s">
        <v>152</v>
      </c>
      <c r="G10460" s="10" t="s">
        <v>64409</v>
      </c>
      <c r="H10460" s="11" t="s">
        <v>31</v>
      </c>
      <c r="I10460" s="11">
        <v>3.0</v>
      </c>
      <c r="J10460" s="11">
        <v>3.0</v>
      </c>
      <c r="K10460" s="11" t="s">
        <v>31</v>
      </c>
      <c r="L10460" s="12" t="s">
        <v>64410</v>
      </c>
      <c r="M10460" s="10" t="s">
        <v>64411</v>
      </c>
      <c r="N10460" s="10" t="s">
        <v>15993</v>
      </c>
      <c r="O10460" s="12" t="s">
        <v>15994</v>
      </c>
      <c r="P10460" s="10" t="s">
        <v>64412</v>
      </c>
      <c r="Q10460" s="10" t="s">
        <v>64413</v>
      </c>
      <c r="R10460" s="10" t="s">
        <v>15997</v>
      </c>
      <c r="S10460" s="12" t="s">
        <v>64414</v>
      </c>
      <c r="T10460" s="10" t="s">
        <v>1019</v>
      </c>
      <c r="U10460" s="12" t="s">
        <v>31</v>
      </c>
      <c r="V10460" s="10" t="s">
        <v>157</v>
      </c>
      <c r="W10460" s="10" t="s">
        <v>64408</v>
      </c>
      <c r="X10460" s="13" t="str">
        <f>HYPERLINK("https://my.pitchbook.com?p=165874-69P","View People Online")</f>
        <v>View People Online</v>
      </c>
    </row>
    <row r="10461">
      <c r="A10461" s="6" t="s">
        <v>64415</v>
      </c>
      <c r="B10461" s="6" t="s">
        <v>64416</v>
      </c>
      <c r="C10461" s="6" t="s">
        <v>64417</v>
      </c>
      <c r="D10461" s="6" t="s">
        <v>14888</v>
      </c>
      <c r="E10461" s="6" t="s">
        <v>64408</v>
      </c>
      <c r="F10461" s="6" t="s">
        <v>1167</v>
      </c>
      <c r="G10461" s="6" t="s">
        <v>64418</v>
      </c>
      <c r="H10461" s="7">
        <v>1.0</v>
      </c>
      <c r="I10461" s="7">
        <v>14.0</v>
      </c>
      <c r="J10461" s="7">
        <v>2.0</v>
      </c>
      <c r="K10461" s="7">
        <v>8.0</v>
      </c>
      <c r="L10461" s="8" t="s">
        <v>64410</v>
      </c>
      <c r="M10461" s="6" t="s">
        <v>64419</v>
      </c>
      <c r="N10461" s="6" t="s">
        <v>15993</v>
      </c>
      <c r="O10461" s="8" t="s">
        <v>15994</v>
      </c>
      <c r="P10461" s="6" t="s">
        <v>64412</v>
      </c>
      <c r="Q10461" s="6" t="s">
        <v>64413</v>
      </c>
      <c r="R10461" s="6" t="s">
        <v>15997</v>
      </c>
      <c r="S10461" s="8" t="s">
        <v>64414</v>
      </c>
      <c r="T10461" s="6" t="s">
        <v>1019</v>
      </c>
      <c r="U10461" s="8" t="s">
        <v>31</v>
      </c>
      <c r="V10461" s="6" t="s">
        <v>27888</v>
      </c>
      <c r="W10461" s="6" t="s">
        <v>64408</v>
      </c>
      <c r="X10461" s="9" t="str">
        <f>HYPERLINK("https://my.pitchbook.com?p=115814-89P","View People Online")</f>
        <v>View People Online</v>
      </c>
    </row>
    <row r="10462">
      <c r="A10462" s="2" t="s">
        <v>64420</v>
      </c>
      <c r="B10462" s="2" t="s">
        <v>64421</v>
      </c>
      <c r="C10462" s="2" t="s">
        <v>10255</v>
      </c>
      <c r="D10462" s="2" t="s">
        <v>1147</v>
      </c>
      <c r="E10462" s="2" t="s">
        <v>64408</v>
      </c>
      <c r="F10462" s="2" t="s">
        <v>152</v>
      </c>
      <c r="G10462" s="2" t="s">
        <v>64422</v>
      </c>
      <c r="H10462" s="3" t="s">
        <v>31</v>
      </c>
      <c r="I10462" s="3">
        <v>5.0</v>
      </c>
      <c r="J10462" s="3">
        <v>2.0</v>
      </c>
      <c r="K10462" s="3">
        <v>3.0</v>
      </c>
      <c r="L10462" s="4" t="s">
        <v>64410</v>
      </c>
      <c r="M10462" s="2" t="s">
        <v>64423</v>
      </c>
      <c r="N10462" s="2" t="s">
        <v>15993</v>
      </c>
      <c r="O10462" s="4" t="s">
        <v>15994</v>
      </c>
      <c r="P10462" s="2" t="s">
        <v>64412</v>
      </c>
      <c r="Q10462" s="2" t="s">
        <v>64413</v>
      </c>
      <c r="R10462" s="2" t="s">
        <v>15997</v>
      </c>
      <c r="S10462" s="4" t="s">
        <v>64414</v>
      </c>
      <c r="T10462" s="2" t="s">
        <v>1019</v>
      </c>
      <c r="U10462" s="4" t="s">
        <v>31</v>
      </c>
      <c r="V10462" s="2" t="s">
        <v>157</v>
      </c>
      <c r="W10462" s="2" t="s">
        <v>64408</v>
      </c>
      <c r="X10462" s="5" t="str">
        <f>HYPERLINK("https://my.pitchbook.com?p=188127-55P","View People Online")</f>
        <v>View People Online</v>
      </c>
    </row>
    <row r="10463">
      <c r="A10463" s="6" t="s">
        <v>64424</v>
      </c>
      <c r="B10463" s="6" t="s">
        <v>64425</v>
      </c>
      <c r="C10463" s="6" t="s">
        <v>3716</v>
      </c>
      <c r="D10463" s="6" t="s">
        <v>64426</v>
      </c>
      <c r="E10463" s="6" t="s">
        <v>64408</v>
      </c>
      <c r="F10463" s="6" t="s">
        <v>29</v>
      </c>
      <c r="G10463" s="6" t="s">
        <v>64427</v>
      </c>
      <c r="H10463" s="7" t="s">
        <v>31</v>
      </c>
      <c r="I10463" s="7">
        <v>3.0</v>
      </c>
      <c r="J10463" s="7">
        <v>1.0</v>
      </c>
      <c r="K10463" s="7">
        <v>1.0</v>
      </c>
      <c r="L10463" s="8" t="s">
        <v>64410</v>
      </c>
      <c r="M10463" s="6" t="s">
        <v>31</v>
      </c>
      <c r="N10463" s="6" t="s">
        <v>15993</v>
      </c>
      <c r="O10463" s="8" t="s">
        <v>15994</v>
      </c>
      <c r="P10463" s="6" t="s">
        <v>64412</v>
      </c>
      <c r="Q10463" s="6" t="s">
        <v>64413</v>
      </c>
      <c r="R10463" s="6" t="s">
        <v>15997</v>
      </c>
      <c r="S10463" s="8" t="s">
        <v>64414</v>
      </c>
      <c r="T10463" s="6" t="s">
        <v>1019</v>
      </c>
      <c r="U10463" s="8" t="s">
        <v>31</v>
      </c>
      <c r="V10463" s="6" t="s">
        <v>29</v>
      </c>
      <c r="W10463" s="6" t="s">
        <v>64408</v>
      </c>
      <c r="X10463" s="9" t="str">
        <f>HYPERLINK("https://my.pitchbook.com?p=364527-46P","View People Online")</f>
        <v>View People Online</v>
      </c>
    </row>
    <row r="10464">
      <c r="A10464" s="10" t="s">
        <v>64428</v>
      </c>
      <c r="B10464" s="10" t="s">
        <v>64429</v>
      </c>
      <c r="C10464" s="10" t="s">
        <v>64430</v>
      </c>
      <c r="D10464" s="10" t="s">
        <v>64431</v>
      </c>
      <c r="E10464" s="10" t="s">
        <v>64432</v>
      </c>
      <c r="F10464" s="10" t="s">
        <v>189</v>
      </c>
      <c r="G10464" s="10" t="s">
        <v>64433</v>
      </c>
      <c r="H10464" s="11" t="s">
        <v>31</v>
      </c>
      <c r="I10464" s="11">
        <v>1.0</v>
      </c>
      <c r="J10464" s="11">
        <v>1.0</v>
      </c>
      <c r="K10464" s="11" t="s">
        <v>31</v>
      </c>
      <c r="L10464" s="12" t="s">
        <v>64434</v>
      </c>
      <c r="M10464" s="10" t="s">
        <v>64435</v>
      </c>
      <c r="N10464" s="10" t="s">
        <v>75</v>
      </c>
      <c r="O10464" s="12" t="s">
        <v>76</v>
      </c>
      <c r="P10464" s="10" t="s">
        <v>31</v>
      </c>
      <c r="Q10464" s="10" t="s">
        <v>31</v>
      </c>
      <c r="R10464" s="10" t="s">
        <v>75</v>
      </c>
      <c r="S10464" s="12" t="s">
        <v>31</v>
      </c>
      <c r="T10464" s="10" t="s">
        <v>66</v>
      </c>
      <c r="U10464" s="12" t="s">
        <v>31</v>
      </c>
      <c r="V10464" s="10" t="s">
        <v>196</v>
      </c>
      <c r="W10464" s="10" t="s">
        <v>64432</v>
      </c>
      <c r="X10464" s="13" t="str">
        <f>HYPERLINK("https://my.pitchbook.com?p=260878-51P","View People Online")</f>
        <v>View People Online</v>
      </c>
    </row>
    <row r="10465">
      <c r="A10465" s="6" t="s">
        <v>64436</v>
      </c>
      <c r="B10465" s="6" t="s">
        <v>64437</v>
      </c>
      <c r="C10465" s="6" t="s">
        <v>1449</v>
      </c>
      <c r="D10465" s="6" t="s">
        <v>64438</v>
      </c>
      <c r="E10465" s="6" t="s">
        <v>64432</v>
      </c>
      <c r="F10465" s="6" t="s">
        <v>189</v>
      </c>
      <c r="G10465" s="6" t="s">
        <v>64439</v>
      </c>
      <c r="H10465" s="7" t="s">
        <v>31</v>
      </c>
      <c r="I10465" s="7">
        <v>6.0</v>
      </c>
      <c r="J10465" s="7">
        <v>1.0</v>
      </c>
      <c r="K10465" s="7">
        <v>5.0</v>
      </c>
      <c r="L10465" s="8" t="s">
        <v>64440</v>
      </c>
      <c r="M10465" s="6" t="s">
        <v>64441</v>
      </c>
      <c r="N10465" s="6" t="s">
        <v>25715</v>
      </c>
      <c r="O10465" s="8" t="s">
        <v>25716</v>
      </c>
      <c r="P10465" s="6" t="s">
        <v>64442</v>
      </c>
      <c r="Q10465" s="6" t="s">
        <v>64443</v>
      </c>
      <c r="R10465" s="6" t="s">
        <v>3960</v>
      </c>
      <c r="S10465" s="8" t="s">
        <v>64444</v>
      </c>
      <c r="T10465" s="6" t="s">
        <v>66</v>
      </c>
      <c r="U10465" s="8" t="s">
        <v>31</v>
      </c>
      <c r="V10465" s="6" t="s">
        <v>196</v>
      </c>
      <c r="W10465" s="6" t="s">
        <v>64432</v>
      </c>
      <c r="X10465" s="9" t="str">
        <f>HYPERLINK("https://my.pitchbook.com?p=260878-78P","View People Online")</f>
        <v>View People Online</v>
      </c>
    </row>
    <row r="10466">
      <c r="A10466" s="10" t="s">
        <v>64445</v>
      </c>
      <c r="B10466" s="10" t="s">
        <v>64446</v>
      </c>
      <c r="C10466" s="10" t="s">
        <v>64447</v>
      </c>
      <c r="D10466" s="10" t="s">
        <v>64448</v>
      </c>
      <c r="E10466" s="10" t="s">
        <v>64449</v>
      </c>
      <c r="F10466" s="10" t="s">
        <v>371</v>
      </c>
      <c r="G10466" s="10" t="s">
        <v>64450</v>
      </c>
      <c r="H10466" s="11" t="s">
        <v>31</v>
      </c>
      <c r="I10466" s="11">
        <v>1.0</v>
      </c>
      <c r="J10466" s="11">
        <v>1.0</v>
      </c>
      <c r="K10466" s="11" t="s">
        <v>31</v>
      </c>
      <c r="L10466" s="12" t="s">
        <v>64451</v>
      </c>
      <c r="M10466" s="10" t="s">
        <v>64452</v>
      </c>
      <c r="N10466" s="10" t="s">
        <v>4232</v>
      </c>
      <c r="O10466" s="12" t="s">
        <v>4233</v>
      </c>
      <c r="P10466" s="10" t="s">
        <v>64453</v>
      </c>
      <c r="Q10466" s="10" t="s">
        <v>33967</v>
      </c>
      <c r="R10466" s="10" t="s">
        <v>4236</v>
      </c>
      <c r="S10466" s="12" t="s">
        <v>13212</v>
      </c>
      <c r="T10466" s="10" t="s">
        <v>66</v>
      </c>
      <c r="U10466" s="12" t="s">
        <v>64454</v>
      </c>
      <c r="V10466" s="10" t="s">
        <v>64455</v>
      </c>
      <c r="W10466" s="10" t="s">
        <v>64449</v>
      </c>
      <c r="X10466" s="13" t="str">
        <f>HYPERLINK("https://my.pitchbook.com?p=435486-25P","View People Online")</f>
        <v>View People Online</v>
      </c>
    </row>
    <row r="10467">
      <c r="A10467" s="6" t="s">
        <v>64456</v>
      </c>
      <c r="B10467" s="6" t="s">
        <v>64457</v>
      </c>
      <c r="C10467" s="6" t="s">
        <v>64458</v>
      </c>
      <c r="D10467" s="6" t="s">
        <v>64459</v>
      </c>
      <c r="E10467" s="6" t="s">
        <v>64449</v>
      </c>
      <c r="F10467" s="6" t="s">
        <v>318</v>
      </c>
      <c r="G10467" s="6" t="s">
        <v>64460</v>
      </c>
      <c r="H10467" s="7">
        <v>2.0</v>
      </c>
      <c r="I10467" s="7">
        <v>5.0</v>
      </c>
      <c r="J10467" s="7">
        <v>1.0</v>
      </c>
      <c r="K10467" s="7">
        <v>1.0</v>
      </c>
      <c r="L10467" s="8" t="s">
        <v>64451</v>
      </c>
      <c r="M10467" s="6" t="s">
        <v>64461</v>
      </c>
      <c r="N10467" s="6" t="s">
        <v>4232</v>
      </c>
      <c r="O10467" s="8" t="s">
        <v>4233</v>
      </c>
      <c r="P10467" s="6" t="s">
        <v>64453</v>
      </c>
      <c r="Q10467" s="6" t="s">
        <v>33967</v>
      </c>
      <c r="R10467" s="6" t="s">
        <v>4236</v>
      </c>
      <c r="S10467" s="8" t="s">
        <v>13212</v>
      </c>
      <c r="T10467" s="6" t="s">
        <v>66</v>
      </c>
      <c r="U10467" s="8" t="s">
        <v>64454</v>
      </c>
      <c r="V10467" s="6" t="s">
        <v>318</v>
      </c>
      <c r="W10467" s="6" t="s">
        <v>64449</v>
      </c>
      <c r="X10467" s="9" t="str">
        <f>HYPERLINK("https://my.pitchbook.com?p=261450-01P","View People Online")</f>
        <v>View People Online</v>
      </c>
    </row>
    <row r="10468">
      <c r="A10468" s="10" t="s">
        <v>64462</v>
      </c>
      <c r="B10468" s="10" t="s">
        <v>64463</v>
      </c>
      <c r="C10468" s="10" t="s">
        <v>7413</v>
      </c>
      <c r="D10468" s="10" t="s">
        <v>5603</v>
      </c>
      <c r="E10468" s="10" t="s">
        <v>64449</v>
      </c>
      <c r="F10468" s="10" t="s">
        <v>371</v>
      </c>
      <c r="G10468" s="10" t="s">
        <v>64464</v>
      </c>
      <c r="H10468" s="11" t="s">
        <v>31</v>
      </c>
      <c r="I10468" s="11">
        <v>1.0</v>
      </c>
      <c r="J10468" s="11">
        <v>1.0</v>
      </c>
      <c r="K10468" s="11" t="s">
        <v>31</v>
      </c>
      <c r="L10468" s="12" t="s">
        <v>64451</v>
      </c>
      <c r="M10468" s="10" t="s">
        <v>64465</v>
      </c>
      <c r="N10468" s="10" t="s">
        <v>4232</v>
      </c>
      <c r="O10468" s="12" t="s">
        <v>4233</v>
      </c>
      <c r="P10468" s="10" t="s">
        <v>64453</v>
      </c>
      <c r="Q10468" s="10" t="s">
        <v>33967</v>
      </c>
      <c r="R10468" s="10" t="s">
        <v>4236</v>
      </c>
      <c r="S10468" s="12" t="s">
        <v>13212</v>
      </c>
      <c r="T10468" s="10" t="s">
        <v>66</v>
      </c>
      <c r="U10468" s="12" t="s">
        <v>64454</v>
      </c>
      <c r="V10468" s="10" t="s">
        <v>64466</v>
      </c>
      <c r="W10468" s="10" t="s">
        <v>64449</v>
      </c>
      <c r="X10468" s="13" t="str">
        <f>HYPERLINK("https://my.pitchbook.com?p=435490-30P","View People Online")</f>
        <v>View People Online</v>
      </c>
    </row>
    <row r="10469">
      <c r="A10469" s="14" t="s">
        <v>64467</v>
      </c>
      <c r="B10469" s="14" t="s">
        <v>64468</v>
      </c>
      <c r="C10469" s="14" t="s">
        <v>1541</v>
      </c>
      <c r="D10469" s="14" t="s">
        <v>64469</v>
      </c>
      <c r="E10469" s="14" t="s">
        <v>64449</v>
      </c>
      <c r="F10469" s="14" t="s">
        <v>371</v>
      </c>
      <c r="G10469" s="14" t="s">
        <v>64470</v>
      </c>
      <c r="H10469" s="15" t="s">
        <v>31</v>
      </c>
      <c r="I10469" s="15">
        <v>1.0</v>
      </c>
      <c r="J10469" s="15">
        <v>1.0</v>
      </c>
      <c r="K10469" s="15" t="s">
        <v>31</v>
      </c>
      <c r="L10469" s="16" t="s">
        <v>64451</v>
      </c>
      <c r="M10469" s="14" t="s">
        <v>64471</v>
      </c>
      <c r="N10469" s="14" t="s">
        <v>4232</v>
      </c>
      <c r="O10469" s="16" t="s">
        <v>4233</v>
      </c>
      <c r="P10469" s="14" t="s">
        <v>64453</v>
      </c>
      <c r="Q10469" s="14" t="s">
        <v>33967</v>
      </c>
      <c r="R10469" s="14" t="s">
        <v>4236</v>
      </c>
      <c r="S10469" s="16" t="s">
        <v>13212</v>
      </c>
      <c r="T10469" s="14" t="s">
        <v>66</v>
      </c>
      <c r="U10469" s="16" t="s">
        <v>64454</v>
      </c>
      <c r="V10469" s="14" t="s">
        <v>371</v>
      </c>
      <c r="W10469" s="14" t="s">
        <v>64449</v>
      </c>
      <c r="X10469" s="17" t="str">
        <f>HYPERLINK("https://my.pitchbook.com?p=377834-77P","View People Online")</f>
        <v>View People Online</v>
      </c>
    </row>
    <row r="10470">
      <c r="A10470" s="2" t="s">
        <v>64472</v>
      </c>
      <c r="B10470" s="2" t="s">
        <v>64473</v>
      </c>
      <c r="C10470" s="2" t="s">
        <v>10162</v>
      </c>
      <c r="D10470" s="2" t="s">
        <v>7286</v>
      </c>
      <c r="E10470" s="2" t="s">
        <v>64449</v>
      </c>
      <c r="F10470" s="2" t="s">
        <v>502</v>
      </c>
      <c r="G10470" s="2" t="s">
        <v>64474</v>
      </c>
      <c r="H10470" s="3" t="s">
        <v>31</v>
      </c>
      <c r="I10470" s="3">
        <v>9.0</v>
      </c>
      <c r="J10470" s="3">
        <v>1.0</v>
      </c>
      <c r="K10470" s="3" t="s">
        <v>31</v>
      </c>
      <c r="L10470" s="4" t="s">
        <v>64451</v>
      </c>
      <c r="M10470" s="2" t="s">
        <v>64475</v>
      </c>
      <c r="N10470" s="2" t="s">
        <v>4232</v>
      </c>
      <c r="O10470" s="4" t="s">
        <v>4233</v>
      </c>
      <c r="P10470" s="2" t="s">
        <v>64453</v>
      </c>
      <c r="Q10470" s="2" t="s">
        <v>33967</v>
      </c>
      <c r="R10470" s="2" t="s">
        <v>4236</v>
      </c>
      <c r="S10470" s="4" t="s">
        <v>13212</v>
      </c>
      <c r="T10470" s="2" t="s">
        <v>66</v>
      </c>
      <c r="U10470" s="4" t="s">
        <v>64454</v>
      </c>
      <c r="V10470" s="2" t="s">
        <v>502</v>
      </c>
      <c r="W10470" s="2" t="s">
        <v>64449</v>
      </c>
      <c r="X10470" s="5" t="str">
        <f>HYPERLINK("https://my.pitchbook.com?p=216115-12P","View People Online")</f>
        <v>View People Online</v>
      </c>
    </row>
    <row r="10471">
      <c r="A10471" s="6" t="s">
        <v>64476</v>
      </c>
      <c r="B10471" s="6" t="s">
        <v>64477</v>
      </c>
      <c r="C10471" s="6" t="s">
        <v>64478</v>
      </c>
      <c r="D10471" s="6" t="s">
        <v>64479</v>
      </c>
      <c r="E10471" s="6" t="s">
        <v>64449</v>
      </c>
      <c r="F10471" s="6" t="s">
        <v>120</v>
      </c>
      <c r="G10471" s="6" t="s">
        <v>64480</v>
      </c>
      <c r="H10471" s="7">
        <v>3.0</v>
      </c>
      <c r="I10471" s="7">
        <v>6.0</v>
      </c>
      <c r="J10471" s="7">
        <v>1.0</v>
      </c>
      <c r="K10471" s="7">
        <v>2.0</v>
      </c>
      <c r="L10471" s="8" t="s">
        <v>64451</v>
      </c>
      <c r="M10471" s="6" t="s">
        <v>64481</v>
      </c>
      <c r="N10471" s="6" t="s">
        <v>4232</v>
      </c>
      <c r="O10471" s="8" t="s">
        <v>4233</v>
      </c>
      <c r="P10471" s="6" t="s">
        <v>64453</v>
      </c>
      <c r="Q10471" s="6" t="s">
        <v>33967</v>
      </c>
      <c r="R10471" s="6" t="s">
        <v>4236</v>
      </c>
      <c r="S10471" s="8" t="s">
        <v>13212</v>
      </c>
      <c r="T10471" s="6" t="s">
        <v>66</v>
      </c>
      <c r="U10471" s="8" t="s">
        <v>64454</v>
      </c>
      <c r="V10471" s="6" t="s">
        <v>120</v>
      </c>
      <c r="W10471" s="6" t="s">
        <v>64449</v>
      </c>
      <c r="X10471" s="9" t="str">
        <f>HYPERLINK("https://my.pitchbook.com?p=223996-69P","View People Online")</f>
        <v>View People Online</v>
      </c>
    </row>
    <row r="10472">
      <c r="A10472" s="10" t="s">
        <v>64482</v>
      </c>
      <c r="B10472" s="10" t="s">
        <v>64483</v>
      </c>
      <c r="C10472" s="10" t="s">
        <v>10780</v>
      </c>
      <c r="D10472" s="10" t="s">
        <v>64484</v>
      </c>
      <c r="E10472" s="10" t="s">
        <v>64449</v>
      </c>
      <c r="F10472" s="10" t="s">
        <v>41270</v>
      </c>
      <c r="G10472" s="10" t="s">
        <v>64485</v>
      </c>
      <c r="H10472" s="11">
        <v>11.0</v>
      </c>
      <c r="I10472" s="11">
        <v>82.0</v>
      </c>
      <c r="J10472" s="11">
        <v>1.0</v>
      </c>
      <c r="K10472" s="11">
        <v>46.0</v>
      </c>
      <c r="L10472" s="12" t="s">
        <v>64451</v>
      </c>
      <c r="M10472" s="10" t="s">
        <v>64486</v>
      </c>
      <c r="N10472" s="10" t="s">
        <v>4232</v>
      </c>
      <c r="O10472" s="12" t="s">
        <v>4233</v>
      </c>
      <c r="P10472" s="10" t="s">
        <v>64453</v>
      </c>
      <c r="Q10472" s="10" t="s">
        <v>33967</v>
      </c>
      <c r="R10472" s="10" t="s">
        <v>4236</v>
      </c>
      <c r="S10472" s="12" t="s">
        <v>13212</v>
      </c>
      <c r="T10472" s="10" t="s">
        <v>66</v>
      </c>
      <c r="U10472" s="12" t="s">
        <v>64454</v>
      </c>
      <c r="V10472" s="10" t="s">
        <v>61966</v>
      </c>
      <c r="W10472" s="10" t="s">
        <v>64449</v>
      </c>
      <c r="X10472" s="13" t="str">
        <f>HYPERLINK("https://my.pitchbook.com?p=14126-23P","View People Online")</f>
        <v>View People Online</v>
      </c>
    </row>
    <row r="10473">
      <c r="A10473" s="6" t="s">
        <v>64487</v>
      </c>
      <c r="B10473" s="6" t="s">
        <v>64488</v>
      </c>
      <c r="C10473" s="6" t="s">
        <v>64489</v>
      </c>
      <c r="D10473" s="6" t="s">
        <v>5302</v>
      </c>
      <c r="E10473" s="6" t="s">
        <v>64449</v>
      </c>
      <c r="F10473" s="6" t="s">
        <v>667</v>
      </c>
      <c r="G10473" s="6" t="s">
        <v>64490</v>
      </c>
      <c r="H10473" s="7" t="s">
        <v>31</v>
      </c>
      <c r="I10473" s="7">
        <v>1.0</v>
      </c>
      <c r="J10473" s="7">
        <v>1.0</v>
      </c>
      <c r="K10473" s="7" t="s">
        <v>31</v>
      </c>
      <c r="L10473" s="8" t="s">
        <v>64491</v>
      </c>
      <c r="M10473" s="6" t="s">
        <v>64492</v>
      </c>
      <c r="N10473" s="6" t="s">
        <v>4232</v>
      </c>
      <c r="O10473" s="8" t="s">
        <v>4233</v>
      </c>
      <c r="P10473" s="6" t="s">
        <v>64453</v>
      </c>
      <c r="Q10473" s="6" t="s">
        <v>33967</v>
      </c>
      <c r="R10473" s="6" t="s">
        <v>4236</v>
      </c>
      <c r="S10473" s="8" t="s">
        <v>13212</v>
      </c>
      <c r="T10473" s="6" t="s">
        <v>66</v>
      </c>
      <c r="U10473" s="8" t="s">
        <v>64454</v>
      </c>
      <c r="V10473" s="6" t="s">
        <v>64493</v>
      </c>
      <c r="W10473" s="6" t="s">
        <v>64449</v>
      </c>
      <c r="X10473" s="9" t="str">
        <f>HYPERLINK("https://my.pitchbook.com?p=351181-72P","View People Online")</f>
        <v>View People Online</v>
      </c>
    </row>
    <row r="10474">
      <c r="A10474" s="10" t="s">
        <v>64494</v>
      </c>
      <c r="B10474" s="10" t="s">
        <v>64495</v>
      </c>
      <c r="C10474" s="10" t="s">
        <v>51311</v>
      </c>
      <c r="D10474" s="10" t="s">
        <v>64496</v>
      </c>
      <c r="E10474" s="10" t="s">
        <v>64449</v>
      </c>
      <c r="F10474" s="10" t="s">
        <v>270</v>
      </c>
      <c r="G10474" s="10" t="s">
        <v>64497</v>
      </c>
      <c r="H10474" s="11" t="s">
        <v>31</v>
      </c>
      <c r="I10474" s="11">
        <v>1.0</v>
      </c>
      <c r="J10474" s="11">
        <v>1.0</v>
      </c>
      <c r="K10474" s="11" t="s">
        <v>31</v>
      </c>
      <c r="L10474" s="12" t="s">
        <v>64451</v>
      </c>
      <c r="M10474" s="10" t="s">
        <v>64498</v>
      </c>
      <c r="N10474" s="10" t="s">
        <v>4232</v>
      </c>
      <c r="O10474" s="12" t="s">
        <v>4233</v>
      </c>
      <c r="P10474" s="10" t="s">
        <v>64453</v>
      </c>
      <c r="Q10474" s="10" t="s">
        <v>33967</v>
      </c>
      <c r="R10474" s="10" t="s">
        <v>4236</v>
      </c>
      <c r="S10474" s="12" t="s">
        <v>13212</v>
      </c>
      <c r="T10474" s="10" t="s">
        <v>66</v>
      </c>
      <c r="U10474" s="12" t="s">
        <v>64454</v>
      </c>
      <c r="V10474" s="10" t="s">
        <v>440</v>
      </c>
      <c r="W10474" s="10" t="s">
        <v>64449</v>
      </c>
      <c r="X10474" s="13" t="str">
        <f>HYPERLINK("https://my.pitchbook.com?p=351180-46P","View People Online")</f>
        <v>View People Online</v>
      </c>
    </row>
    <row r="10475">
      <c r="A10475" s="6" t="s">
        <v>64499</v>
      </c>
      <c r="B10475" s="6" t="s">
        <v>64500</v>
      </c>
      <c r="C10475" s="6" t="s">
        <v>31661</v>
      </c>
      <c r="D10475" s="6" t="s">
        <v>59688</v>
      </c>
      <c r="E10475" s="6" t="s">
        <v>64449</v>
      </c>
      <c r="F10475" s="6" t="s">
        <v>201</v>
      </c>
      <c r="G10475" s="6" t="s">
        <v>64501</v>
      </c>
      <c r="H10475" s="7" t="s">
        <v>31</v>
      </c>
      <c r="I10475" s="7">
        <v>1.0</v>
      </c>
      <c r="J10475" s="7">
        <v>1.0</v>
      </c>
      <c r="K10475" s="7" t="s">
        <v>31</v>
      </c>
      <c r="L10475" s="8" t="s">
        <v>64451</v>
      </c>
      <c r="M10475" s="6" t="s">
        <v>64502</v>
      </c>
      <c r="N10475" s="6" t="s">
        <v>4232</v>
      </c>
      <c r="O10475" s="8" t="s">
        <v>4233</v>
      </c>
      <c r="P10475" s="6" t="s">
        <v>64453</v>
      </c>
      <c r="Q10475" s="6" t="s">
        <v>33967</v>
      </c>
      <c r="R10475" s="6" t="s">
        <v>4236</v>
      </c>
      <c r="S10475" s="8" t="s">
        <v>13212</v>
      </c>
      <c r="T10475" s="6" t="s">
        <v>66</v>
      </c>
      <c r="U10475" s="8" t="s">
        <v>64454</v>
      </c>
      <c r="V10475" s="6" t="s">
        <v>64503</v>
      </c>
      <c r="W10475" s="6" t="s">
        <v>64449</v>
      </c>
      <c r="X10475" s="9" t="str">
        <f>HYPERLINK("https://my.pitchbook.com?p=435491-02P","View People Online")</f>
        <v>View People Online</v>
      </c>
    </row>
    <row r="10476">
      <c r="A10476" s="10" t="s">
        <v>64504</v>
      </c>
      <c r="B10476" s="10" t="s">
        <v>64505</v>
      </c>
      <c r="C10476" s="10" t="s">
        <v>8535</v>
      </c>
      <c r="D10476" s="10" t="s">
        <v>64506</v>
      </c>
      <c r="E10476" s="10" t="s">
        <v>64449</v>
      </c>
      <c r="F10476" s="10" t="s">
        <v>29</v>
      </c>
      <c r="G10476" s="10" t="s">
        <v>64507</v>
      </c>
      <c r="H10476" s="11" t="s">
        <v>31</v>
      </c>
      <c r="I10476" s="11">
        <v>3.0</v>
      </c>
      <c r="J10476" s="11">
        <v>1.0</v>
      </c>
      <c r="K10476" s="11">
        <v>1.0</v>
      </c>
      <c r="L10476" s="12" t="s">
        <v>64451</v>
      </c>
      <c r="M10476" s="10" t="s">
        <v>64508</v>
      </c>
      <c r="N10476" s="10" t="s">
        <v>4232</v>
      </c>
      <c r="O10476" s="12" t="s">
        <v>4233</v>
      </c>
      <c r="P10476" s="10" t="s">
        <v>64453</v>
      </c>
      <c r="Q10476" s="10" t="s">
        <v>33967</v>
      </c>
      <c r="R10476" s="10" t="s">
        <v>4236</v>
      </c>
      <c r="S10476" s="12" t="s">
        <v>13212</v>
      </c>
      <c r="T10476" s="10" t="s">
        <v>66</v>
      </c>
      <c r="U10476" s="12" t="s">
        <v>64454</v>
      </c>
      <c r="V10476" s="10" t="s">
        <v>29</v>
      </c>
      <c r="W10476" s="10" t="s">
        <v>64449</v>
      </c>
      <c r="X10476" s="13" t="str">
        <f>HYPERLINK("https://my.pitchbook.com?p=15979-06P","View People Online")</f>
        <v>View People Online</v>
      </c>
    </row>
    <row r="10477">
      <c r="A10477" s="6" t="s">
        <v>64509</v>
      </c>
      <c r="B10477" s="6" t="s">
        <v>64510</v>
      </c>
      <c r="C10477" s="6" t="s">
        <v>6326</v>
      </c>
      <c r="D10477" s="6" t="s">
        <v>1343</v>
      </c>
      <c r="E10477" s="6" t="s">
        <v>64449</v>
      </c>
      <c r="F10477" s="6" t="s">
        <v>3600</v>
      </c>
      <c r="G10477" s="6" t="s">
        <v>64511</v>
      </c>
      <c r="H10477" s="7" t="s">
        <v>31</v>
      </c>
      <c r="I10477" s="7">
        <v>2.0</v>
      </c>
      <c r="J10477" s="7">
        <v>1.0</v>
      </c>
      <c r="K10477" s="7">
        <v>1.0</v>
      </c>
      <c r="L10477" s="8" t="s">
        <v>64451</v>
      </c>
      <c r="M10477" s="6" t="s">
        <v>64512</v>
      </c>
      <c r="N10477" s="6" t="s">
        <v>4232</v>
      </c>
      <c r="O10477" s="8" t="s">
        <v>4233</v>
      </c>
      <c r="P10477" s="6" t="s">
        <v>64453</v>
      </c>
      <c r="Q10477" s="6" t="s">
        <v>33967</v>
      </c>
      <c r="R10477" s="6" t="s">
        <v>4236</v>
      </c>
      <c r="S10477" s="8" t="s">
        <v>13212</v>
      </c>
      <c r="T10477" s="6" t="s">
        <v>66</v>
      </c>
      <c r="U10477" s="8" t="s">
        <v>64454</v>
      </c>
      <c r="V10477" s="6" t="s">
        <v>64513</v>
      </c>
      <c r="W10477" s="6" t="s">
        <v>64449</v>
      </c>
      <c r="X10477" s="9" t="str">
        <f>HYPERLINK("https://my.pitchbook.com?p=15979-96P","View People Online")</f>
        <v>View People Online</v>
      </c>
    </row>
    <row r="10478">
      <c r="A10478" s="10" t="s">
        <v>64514</v>
      </c>
      <c r="B10478" s="10" t="s">
        <v>64515</v>
      </c>
      <c r="C10478" s="10" t="s">
        <v>2713</v>
      </c>
      <c r="D10478" s="10" t="s">
        <v>2801</v>
      </c>
      <c r="E10478" s="10" t="s">
        <v>64449</v>
      </c>
      <c r="F10478" s="10" t="s">
        <v>548</v>
      </c>
      <c r="G10478" s="10" t="s">
        <v>64516</v>
      </c>
      <c r="H10478" s="11" t="s">
        <v>31</v>
      </c>
      <c r="I10478" s="11">
        <v>1.0</v>
      </c>
      <c r="J10478" s="11">
        <v>1.0</v>
      </c>
      <c r="K10478" s="11" t="s">
        <v>31</v>
      </c>
      <c r="L10478" s="12" t="s">
        <v>64451</v>
      </c>
      <c r="M10478" s="10" t="s">
        <v>64517</v>
      </c>
      <c r="N10478" s="10" t="s">
        <v>4232</v>
      </c>
      <c r="O10478" s="12" t="s">
        <v>4233</v>
      </c>
      <c r="P10478" s="10" t="s">
        <v>64453</v>
      </c>
      <c r="Q10478" s="10" t="s">
        <v>33967</v>
      </c>
      <c r="R10478" s="10" t="s">
        <v>4236</v>
      </c>
      <c r="S10478" s="12" t="s">
        <v>13212</v>
      </c>
      <c r="T10478" s="10" t="s">
        <v>66</v>
      </c>
      <c r="U10478" s="12" t="s">
        <v>64454</v>
      </c>
      <c r="V10478" s="10" t="s">
        <v>548</v>
      </c>
      <c r="W10478" s="10" t="s">
        <v>64449</v>
      </c>
      <c r="X10478" s="13" t="str">
        <f>HYPERLINK("https://my.pitchbook.com?p=435492-46P","View People Online")</f>
        <v>View People Online</v>
      </c>
    </row>
    <row r="10479">
      <c r="A10479" s="6" t="s">
        <v>64518</v>
      </c>
      <c r="B10479" s="6" t="s">
        <v>64519</v>
      </c>
      <c r="C10479" s="6" t="s">
        <v>52070</v>
      </c>
      <c r="D10479" s="6" t="s">
        <v>39932</v>
      </c>
      <c r="E10479" s="6" t="s">
        <v>64449</v>
      </c>
      <c r="F10479" s="6" t="s">
        <v>201</v>
      </c>
      <c r="G10479" s="6" t="s">
        <v>64520</v>
      </c>
      <c r="H10479" s="7" t="s">
        <v>31</v>
      </c>
      <c r="I10479" s="7">
        <v>1.0</v>
      </c>
      <c r="J10479" s="7">
        <v>1.0</v>
      </c>
      <c r="K10479" s="7" t="s">
        <v>31</v>
      </c>
      <c r="L10479" s="8" t="s">
        <v>64451</v>
      </c>
      <c r="M10479" s="6" t="s">
        <v>64521</v>
      </c>
      <c r="N10479" s="6" t="s">
        <v>4232</v>
      </c>
      <c r="O10479" s="8" t="s">
        <v>4233</v>
      </c>
      <c r="P10479" s="6" t="s">
        <v>64453</v>
      </c>
      <c r="Q10479" s="6" t="s">
        <v>33967</v>
      </c>
      <c r="R10479" s="6" t="s">
        <v>4236</v>
      </c>
      <c r="S10479" s="8" t="s">
        <v>13212</v>
      </c>
      <c r="T10479" s="6" t="s">
        <v>66</v>
      </c>
      <c r="U10479" s="8" t="s">
        <v>64454</v>
      </c>
      <c r="V10479" s="6" t="s">
        <v>64503</v>
      </c>
      <c r="W10479" s="6" t="s">
        <v>64449</v>
      </c>
      <c r="X10479" s="9" t="str">
        <f>HYPERLINK("https://my.pitchbook.com?p=435493-63P","View People Online")</f>
        <v>View People Online</v>
      </c>
    </row>
    <row r="10480">
      <c r="A10480" s="10" t="s">
        <v>64522</v>
      </c>
      <c r="B10480" s="10" t="s">
        <v>64523</v>
      </c>
      <c r="C10480" s="10" t="s">
        <v>29195</v>
      </c>
      <c r="D10480" s="10" t="s">
        <v>64524</v>
      </c>
      <c r="E10480" s="10" t="s">
        <v>64449</v>
      </c>
      <c r="F10480" s="10" t="s">
        <v>3600</v>
      </c>
      <c r="G10480" s="10" t="s">
        <v>64525</v>
      </c>
      <c r="H10480" s="11" t="s">
        <v>31</v>
      </c>
      <c r="I10480" s="11">
        <v>1.0</v>
      </c>
      <c r="J10480" s="11">
        <v>1.0</v>
      </c>
      <c r="K10480" s="11" t="s">
        <v>31</v>
      </c>
      <c r="L10480" s="12" t="s">
        <v>64451</v>
      </c>
      <c r="M10480" s="10" t="s">
        <v>64526</v>
      </c>
      <c r="N10480" s="10" t="s">
        <v>4232</v>
      </c>
      <c r="O10480" s="12" t="s">
        <v>4233</v>
      </c>
      <c r="P10480" s="10" t="s">
        <v>64453</v>
      </c>
      <c r="Q10480" s="10" t="s">
        <v>33967</v>
      </c>
      <c r="R10480" s="10" t="s">
        <v>4236</v>
      </c>
      <c r="S10480" s="12" t="s">
        <v>13212</v>
      </c>
      <c r="T10480" s="10" t="s">
        <v>66</v>
      </c>
      <c r="U10480" s="12" t="s">
        <v>64454</v>
      </c>
      <c r="V10480" s="10" t="s">
        <v>64527</v>
      </c>
      <c r="W10480" s="10" t="s">
        <v>64449</v>
      </c>
      <c r="X10480" s="13" t="str">
        <f>HYPERLINK("https://my.pitchbook.com?p=216118-00P","View People Online")</f>
        <v>View People Online</v>
      </c>
    </row>
    <row r="10481">
      <c r="A10481" s="6" t="s">
        <v>64528</v>
      </c>
      <c r="B10481" s="6" t="s">
        <v>64529</v>
      </c>
      <c r="C10481" s="6" t="s">
        <v>33567</v>
      </c>
      <c r="D10481" s="6" t="s">
        <v>5155</v>
      </c>
      <c r="E10481" s="6" t="s">
        <v>64449</v>
      </c>
      <c r="F10481" s="6" t="s">
        <v>9167</v>
      </c>
      <c r="G10481" s="6" t="s">
        <v>64530</v>
      </c>
      <c r="H10481" s="7" t="s">
        <v>31</v>
      </c>
      <c r="I10481" s="7">
        <v>1.0</v>
      </c>
      <c r="J10481" s="7">
        <v>1.0</v>
      </c>
      <c r="K10481" s="7" t="s">
        <v>31</v>
      </c>
      <c r="L10481" s="8" t="s">
        <v>64451</v>
      </c>
      <c r="M10481" s="6" t="s">
        <v>64531</v>
      </c>
      <c r="N10481" s="6" t="s">
        <v>4232</v>
      </c>
      <c r="O10481" s="8" t="s">
        <v>4233</v>
      </c>
      <c r="P10481" s="6" t="s">
        <v>64453</v>
      </c>
      <c r="Q10481" s="6" t="s">
        <v>33967</v>
      </c>
      <c r="R10481" s="6" t="s">
        <v>4236</v>
      </c>
      <c r="S10481" s="8" t="s">
        <v>13212</v>
      </c>
      <c r="T10481" s="6" t="s">
        <v>66</v>
      </c>
      <c r="U10481" s="8" t="s">
        <v>64454</v>
      </c>
      <c r="V10481" s="6" t="s">
        <v>9167</v>
      </c>
      <c r="W10481" s="6" t="s">
        <v>64449</v>
      </c>
      <c r="X10481" s="9" t="str">
        <f>HYPERLINK("https://my.pitchbook.com?p=343296-28P","View People Online")</f>
        <v>View People Online</v>
      </c>
    </row>
    <row r="10482">
      <c r="A10482" s="2" t="s">
        <v>64532</v>
      </c>
      <c r="B10482" s="2" t="s">
        <v>64533</v>
      </c>
      <c r="C10482" s="2" t="s">
        <v>64534</v>
      </c>
      <c r="D10482" s="2" t="s">
        <v>5959</v>
      </c>
      <c r="E10482" s="2" t="s">
        <v>64449</v>
      </c>
      <c r="F10482" s="2" t="s">
        <v>318</v>
      </c>
      <c r="G10482" s="2" t="s">
        <v>64535</v>
      </c>
      <c r="H10482" s="3" t="s">
        <v>31</v>
      </c>
      <c r="I10482" s="3">
        <v>1.0</v>
      </c>
      <c r="J10482" s="3">
        <v>1.0</v>
      </c>
      <c r="K10482" s="3" t="s">
        <v>31</v>
      </c>
      <c r="L10482" s="4" t="s">
        <v>64451</v>
      </c>
      <c r="M10482" s="2" t="s">
        <v>64536</v>
      </c>
      <c r="N10482" s="2" t="s">
        <v>4232</v>
      </c>
      <c r="O10482" s="4" t="s">
        <v>4233</v>
      </c>
      <c r="P10482" s="2" t="s">
        <v>64453</v>
      </c>
      <c r="Q10482" s="2" t="s">
        <v>33967</v>
      </c>
      <c r="R10482" s="2" t="s">
        <v>4236</v>
      </c>
      <c r="S10482" s="4" t="s">
        <v>13212</v>
      </c>
      <c r="T10482" s="2" t="s">
        <v>66</v>
      </c>
      <c r="U10482" s="4" t="s">
        <v>64454</v>
      </c>
      <c r="V10482" s="2" t="s">
        <v>318</v>
      </c>
      <c r="W10482" s="2" t="s">
        <v>64449</v>
      </c>
      <c r="X10482" s="5" t="str">
        <f>HYPERLINK("https://my.pitchbook.com?p=264073-87P","View People Online")</f>
        <v>View People Online</v>
      </c>
    </row>
    <row r="10483">
      <c r="A10483" s="6" t="s">
        <v>64537</v>
      </c>
      <c r="B10483" s="6" t="s">
        <v>64538</v>
      </c>
      <c r="C10483" s="6" t="s">
        <v>263</v>
      </c>
      <c r="D10483" s="6" t="s">
        <v>18999</v>
      </c>
      <c r="E10483" s="6" t="s">
        <v>64449</v>
      </c>
      <c r="F10483" s="6" t="s">
        <v>201</v>
      </c>
      <c r="G10483" s="6" t="s">
        <v>64539</v>
      </c>
      <c r="H10483" s="7" t="s">
        <v>31</v>
      </c>
      <c r="I10483" s="7">
        <v>1.0</v>
      </c>
      <c r="J10483" s="7">
        <v>1.0</v>
      </c>
      <c r="K10483" s="7" t="s">
        <v>31</v>
      </c>
      <c r="L10483" s="8" t="s">
        <v>64451</v>
      </c>
      <c r="M10483" s="6" t="s">
        <v>64540</v>
      </c>
      <c r="N10483" s="6" t="s">
        <v>4232</v>
      </c>
      <c r="O10483" s="8" t="s">
        <v>4233</v>
      </c>
      <c r="P10483" s="6" t="s">
        <v>64453</v>
      </c>
      <c r="Q10483" s="6" t="s">
        <v>33967</v>
      </c>
      <c r="R10483" s="6" t="s">
        <v>4236</v>
      </c>
      <c r="S10483" s="8" t="s">
        <v>13212</v>
      </c>
      <c r="T10483" s="6" t="s">
        <v>66</v>
      </c>
      <c r="U10483" s="8" t="s">
        <v>64454</v>
      </c>
      <c r="V10483" s="6" t="s">
        <v>64541</v>
      </c>
      <c r="W10483" s="6" t="s">
        <v>64449</v>
      </c>
      <c r="X10483" s="9" t="str">
        <f>HYPERLINK("https://my.pitchbook.com?p=435494-62P","View People Online")</f>
        <v>View People Online</v>
      </c>
    </row>
    <row r="10484">
      <c r="A10484" s="2" t="s">
        <v>64542</v>
      </c>
      <c r="B10484" s="2" t="s">
        <v>64543</v>
      </c>
      <c r="C10484" s="2" t="s">
        <v>285</v>
      </c>
      <c r="D10484" s="2" t="s">
        <v>64544</v>
      </c>
      <c r="E10484" s="2" t="s">
        <v>64449</v>
      </c>
      <c r="F10484" s="2" t="s">
        <v>3600</v>
      </c>
      <c r="G10484" s="2" t="s">
        <v>64545</v>
      </c>
      <c r="H10484" s="3" t="s">
        <v>31</v>
      </c>
      <c r="I10484" s="3">
        <v>1.0</v>
      </c>
      <c r="J10484" s="3">
        <v>1.0</v>
      </c>
      <c r="K10484" s="3" t="s">
        <v>31</v>
      </c>
      <c r="L10484" s="4" t="s">
        <v>64451</v>
      </c>
      <c r="M10484" s="2" t="s">
        <v>64546</v>
      </c>
      <c r="N10484" s="2" t="s">
        <v>4232</v>
      </c>
      <c r="O10484" s="4" t="s">
        <v>4233</v>
      </c>
      <c r="P10484" s="2" t="s">
        <v>64453</v>
      </c>
      <c r="Q10484" s="2" t="s">
        <v>33967</v>
      </c>
      <c r="R10484" s="2" t="s">
        <v>4236</v>
      </c>
      <c r="S10484" s="4" t="s">
        <v>13212</v>
      </c>
      <c r="T10484" s="2" t="s">
        <v>66</v>
      </c>
      <c r="U10484" s="4" t="s">
        <v>64454</v>
      </c>
      <c r="V10484" s="2" t="s">
        <v>3600</v>
      </c>
      <c r="W10484" s="2" t="s">
        <v>64449</v>
      </c>
      <c r="X10484" s="5" t="str">
        <f>HYPERLINK("https://my.pitchbook.com?p=435496-78P","View People Online")</f>
        <v>View People Online</v>
      </c>
    </row>
    <row r="10485">
      <c r="A10485" s="6" t="s">
        <v>64547</v>
      </c>
      <c r="B10485" s="6" t="s">
        <v>10411</v>
      </c>
      <c r="C10485" s="6" t="s">
        <v>285</v>
      </c>
      <c r="D10485" s="6" t="s">
        <v>10412</v>
      </c>
      <c r="E10485" s="6" t="s">
        <v>64449</v>
      </c>
      <c r="F10485" s="6" t="s">
        <v>29</v>
      </c>
      <c r="G10485" s="6" t="s">
        <v>64548</v>
      </c>
      <c r="H10485" s="7" t="s">
        <v>31</v>
      </c>
      <c r="I10485" s="7">
        <v>1.0</v>
      </c>
      <c r="J10485" s="7">
        <v>1.0</v>
      </c>
      <c r="K10485" s="7" t="s">
        <v>31</v>
      </c>
      <c r="L10485" s="8" t="s">
        <v>64549</v>
      </c>
      <c r="M10485" s="6" t="s">
        <v>64550</v>
      </c>
      <c r="N10485" s="6" t="s">
        <v>4232</v>
      </c>
      <c r="O10485" s="8" t="s">
        <v>4233</v>
      </c>
      <c r="P10485" s="6" t="s">
        <v>64453</v>
      </c>
      <c r="Q10485" s="6" t="s">
        <v>33967</v>
      </c>
      <c r="R10485" s="6" t="s">
        <v>4236</v>
      </c>
      <c r="S10485" s="8" t="s">
        <v>13212</v>
      </c>
      <c r="T10485" s="6" t="s">
        <v>66</v>
      </c>
      <c r="U10485" s="8" t="s">
        <v>64454</v>
      </c>
      <c r="V10485" s="6" t="s">
        <v>29</v>
      </c>
      <c r="W10485" s="6" t="s">
        <v>64449</v>
      </c>
      <c r="X10485" s="9" t="str">
        <f>HYPERLINK("https://my.pitchbook.com?p=39916-27P","View People Online")</f>
        <v>View People Online</v>
      </c>
    </row>
    <row r="10486">
      <c r="A10486" s="10" t="s">
        <v>64551</v>
      </c>
      <c r="B10486" s="10" t="s">
        <v>64552</v>
      </c>
      <c r="C10486" s="10" t="s">
        <v>3597</v>
      </c>
      <c r="D10486" s="10" t="s">
        <v>6893</v>
      </c>
      <c r="E10486" s="10" t="s">
        <v>64449</v>
      </c>
      <c r="F10486" s="10" t="s">
        <v>3710</v>
      </c>
      <c r="G10486" s="10" t="s">
        <v>64553</v>
      </c>
      <c r="H10486" s="11" t="s">
        <v>31</v>
      </c>
      <c r="I10486" s="11">
        <v>1.0</v>
      </c>
      <c r="J10486" s="11">
        <v>1.0</v>
      </c>
      <c r="K10486" s="11" t="s">
        <v>31</v>
      </c>
      <c r="L10486" s="12" t="s">
        <v>64451</v>
      </c>
      <c r="M10486" s="10" t="s">
        <v>64554</v>
      </c>
      <c r="N10486" s="10" t="s">
        <v>4232</v>
      </c>
      <c r="O10486" s="12" t="s">
        <v>4233</v>
      </c>
      <c r="P10486" s="10" t="s">
        <v>64453</v>
      </c>
      <c r="Q10486" s="10" t="s">
        <v>33967</v>
      </c>
      <c r="R10486" s="10" t="s">
        <v>4236</v>
      </c>
      <c r="S10486" s="12" t="s">
        <v>13212</v>
      </c>
      <c r="T10486" s="10" t="s">
        <v>66</v>
      </c>
      <c r="U10486" s="12" t="s">
        <v>64454</v>
      </c>
      <c r="V10486" s="10" t="s">
        <v>39852</v>
      </c>
      <c r="W10486" s="10" t="s">
        <v>64449</v>
      </c>
      <c r="X10486" s="13" t="str">
        <f>HYPERLINK("https://my.pitchbook.com?p=435501-46P","View People Online")</f>
        <v>View People Online</v>
      </c>
    </row>
    <row r="10487">
      <c r="A10487" s="6" t="s">
        <v>64555</v>
      </c>
      <c r="B10487" s="6" t="s">
        <v>64556</v>
      </c>
      <c r="C10487" s="6" t="s">
        <v>4923</v>
      </c>
      <c r="D10487" s="6" t="s">
        <v>64557</v>
      </c>
      <c r="E10487" s="6" t="s">
        <v>64449</v>
      </c>
      <c r="F10487" s="6" t="s">
        <v>6567</v>
      </c>
      <c r="G10487" s="6" t="s">
        <v>64558</v>
      </c>
      <c r="H10487" s="7" t="s">
        <v>31</v>
      </c>
      <c r="I10487" s="7">
        <v>1.0</v>
      </c>
      <c r="J10487" s="7">
        <v>1.0</v>
      </c>
      <c r="K10487" s="7" t="s">
        <v>31</v>
      </c>
      <c r="L10487" s="8" t="s">
        <v>64451</v>
      </c>
      <c r="M10487" s="6" t="s">
        <v>64559</v>
      </c>
      <c r="N10487" s="6" t="s">
        <v>4232</v>
      </c>
      <c r="O10487" s="8" t="s">
        <v>4233</v>
      </c>
      <c r="P10487" s="6" t="s">
        <v>64453</v>
      </c>
      <c r="Q10487" s="6" t="s">
        <v>33967</v>
      </c>
      <c r="R10487" s="6" t="s">
        <v>4236</v>
      </c>
      <c r="S10487" s="8" t="s">
        <v>13212</v>
      </c>
      <c r="T10487" s="6" t="s">
        <v>66</v>
      </c>
      <c r="U10487" s="8" t="s">
        <v>64454</v>
      </c>
      <c r="V10487" s="6" t="s">
        <v>46930</v>
      </c>
      <c r="W10487" s="6" t="s">
        <v>64449</v>
      </c>
      <c r="X10487" s="9" t="str">
        <f>HYPERLINK("https://my.pitchbook.com?p=435502-18P","View People Online")</f>
        <v>View People Online</v>
      </c>
    </row>
    <row r="10488">
      <c r="A10488" s="2" t="s">
        <v>64560</v>
      </c>
      <c r="B10488" s="2" t="s">
        <v>64561</v>
      </c>
      <c r="C10488" s="2" t="s">
        <v>64562</v>
      </c>
      <c r="D10488" s="2" t="s">
        <v>17924</v>
      </c>
      <c r="E10488" s="2" t="s">
        <v>64449</v>
      </c>
      <c r="F10488" s="2" t="s">
        <v>2731</v>
      </c>
      <c r="G10488" s="2" t="s">
        <v>64563</v>
      </c>
      <c r="H10488" s="3">
        <v>3.0</v>
      </c>
      <c r="I10488" s="3">
        <v>12.0</v>
      </c>
      <c r="J10488" s="3" t="s">
        <v>31</v>
      </c>
      <c r="K10488" s="3">
        <v>4.0</v>
      </c>
      <c r="L10488" s="4" t="s">
        <v>64451</v>
      </c>
      <c r="M10488" s="2" t="s">
        <v>64564</v>
      </c>
      <c r="N10488" s="2" t="s">
        <v>4232</v>
      </c>
      <c r="O10488" s="4" t="s">
        <v>4233</v>
      </c>
      <c r="P10488" s="2" t="s">
        <v>64453</v>
      </c>
      <c r="Q10488" s="2" t="s">
        <v>33967</v>
      </c>
      <c r="R10488" s="2" t="s">
        <v>4236</v>
      </c>
      <c r="S10488" s="4" t="s">
        <v>13212</v>
      </c>
      <c r="T10488" s="2" t="s">
        <v>66</v>
      </c>
      <c r="U10488" s="4" t="s">
        <v>64454</v>
      </c>
      <c r="V10488" s="2" t="s">
        <v>2731</v>
      </c>
      <c r="W10488" s="2" t="s">
        <v>64449</v>
      </c>
      <c r="X10488" s="5" t="str">
        <f>HYPERLINK("https://my.pitchbook.com?p=207145-09P","View People Online")</f>
        <v>View People Online</v>
      </c>
    </row>
    <row r="10489">
      <c r="A10489" s="6" t="s">
        <v>64565</v>
      </c>
      <c r="B10489" s="6" t="s">
        <v>64566</v>
      </c>
      <c r="C10489" s="6" t="s">
        <v>69</v>
      </c>
      <c r="D10489" s="6" t="s">
        <v>64567</v>
      </c>
      <c r="E10489" s="6" t="s">
        <v>64449</v>
      </c>
      <c r="F10489" s="6" t="s">
        <v>1283</v>
      </c>
      <c r="G10489" s="6" t="s">
        <v>64568</v>
      </c>
      <c r="H10489" s="7" t="s">
        <v>31</v>
      </c>
      <c r="I10489" s="7">
        <v>1.0</v>
      </c>
      <c r="J10489" s="7">
        <v>1.0</v>
      </c>
      <c r="K10489" s="7" t="s">
        <v>31</v>
      </c>
      <c r="L10489" s="8" t="s">
        <v>31</v>
      </c>
      <c r="M10489" s="6" t="s">
        <v>64569</v>
      </c>
      <c r="N10489" s="6" t="s">
        <v>75</v>
      </c>
      <c r="O10489" s="8" t="s">
        <v>76</v>
      </c>
      <c r="P10489" s="6" t="s">
        <v>64570</v>
      </c>
      <c r="Q10489" s="6" t="s">
        <v>2839</v>
      </c>
      <c r="R10489" s="6" t="s">
        <v>75</v>
      </c>
      <c r="S10489" s="8" t="s">
        <v>1896</v>
      </c>
      <c r="T10489" s="6" t="s">
        <v>66</v>
      </c>
      <c r="U10489" s="8" t="s">
        <v>31</v>
      </c>
      <c r="V10489" s="6" t="s">
        <v>3406</v>
      </c>
      <c r="W10489" s="6" t="s">
        <v>64449</v>
      </c>
      <c r="X10489" s="9" t="str">
        <f>HYPERLINK("https://my.pitchbook.com?p=430795-00P","View People Online")</f>
        <v>View People Online</v>
      </c>
    </row>
    <row r="10490">
      <c r="A10490" s="10" t="s">
        <v>64571</v>
      </c>
      <c r="B10490" s="10" t="s">
        <v>64572</v>
      </c>
      <c r="C10490" s="10" t="s">
        <v>1449</v>
      </c>
      <c r="D10490" s="10" t="s">
        <v>64573</v>
      </c>
      <c r="E10490" s="10" t="s">
        <v>64449</v>
      </c>
      <c r="F10490" s="10" t="s">
        <v>548</v>
      </c>
      <c r="G10490" s="10" t="s">
        <v>64574</v>
      </c>
      <c r="H10490" s="11" t="s">
        <v>31</v>
      </c>
      <c r="I10490" s="11">
        <v>2.0</v>
      </c>
      <c r="J10490" s="11">
        <v>2.0</v>
      </c>
      <c r="K10490" s="11" t="s">
        <v>31</v>
      </c>
      <c r="L10490" s="12" t="s">
        <v>64575</v>
      </c>
      <c r="M10490" s="10" t="s">
        <v>64576</v>
      </c>
      <c r="N10490" s="10" t="s">
        <v>2599</v>
      </c>
      <c r="O10490" s="12" t="s">
        <v>2600</v>
      </c>
      <c r="P10490" s="10" t="s">
        <v>64577</v>
      </c>
      <c r="Q10490" s="10" t="s">
        <v>64578</v>
      </c>
      <c r="R10490" s="10" t="s">
        <v>396</v>
      </c>
      <c r="S10490" s="12" t="s">
        <v>64579</v>
      </c>
      <c r="T10490" s="10" t="s">
        <v>66</v>
      </c>
      <c r="U10490" s="12" t="s">
        <v>31</v>
      </c>
      <c r="V10490" s="10" t="s">
        <v>502</v>
      </c>
      <c r="W10490" s="10" t="s">
        <v>64580</v>
      </c>
      <c r="X10490" s="13" t="str">
        <f>HYPERLINK("https://my.pitchbook.com?p=296846-29P","View People Online")</f>
        <v>View People Online</v>
      </c>
    </row>
    <row r="10491">
      <c r="A10491" s="6" t="s">
        <v>64581</v>
      </c>
      <c r="B10491" s="6" t="s">
        <v>64582</v>
      </c>
      <c r="C10491" s="6" t="s">
        <v>1449</v>
      </c>
      <c r="D10491" s="6" t="s">
        <v>64583</v>
      </c>
      <c r="E10491" s="6" t="s">
        <v>64449</v>
      </c>
      <c r="F10491" s="6" t="s">
        <v>120</v>
      </c>
      <c r="G10491" s="6" t="s">
        <v>64584</v>
      </c>
      <c r="H10491" s="7" t="s">
        <v>31</v>
      </c>
      <c r="I10491" s="7">
        <v>1.0</v>
      </c>
      <c r="J10491" s="7">
        <v>1.0</v>
      </c>
      <c r="K10491" s="7" t="s">
        <v>31</v>
      </c>
      <c r="L10491" s="8" t="s">
        <v>64451</v>
      </c>
      <c r="M10491" s="6" t="s">
        <v>64585</v>
      </c>
      <c r="N10491" s="6" t="s">
        <v>4232</v>
      </c>
      <c r="O10491" s="8" t="s">
        <v>4233</v>
      </c>
      <c r="P10491" s="6" t="s">
        <v>64453</v>
      </c>
      <c r="Q10491" s="6" t="s">
        <v>33967</v>
      </c>
      <c r="R10491" s="6" t="s">
        <v>4236</v>
      </c>
      <c r="S10491" s="8" t="s">
        <v>13212</v>
      </c>
      <c r="T10491" s="6" t="s">
        <v>66</v>
      </c>
      <c r="U10491" s="8" t="s">
        <v>64454</v>
      </c>
      <c r="V10491" s="6" t="s">
        <v>64586</v>
      </c>
      <c r="W10491" s="6" t="s">
        <v>64449</v>
      </c>
      <c r="X10491" s="9" t="str">
        <f>HYPERLINK("https://my.pitchbook.com?p=15979-33P","View People Online")</f>
        <v>View People Online</v>
      </c>
    </row>
    <row r="10492">
      <c r="A10492" s="2" t="s">
        <v>64587</v>
      </c>
      <c r="B10492" s="2" t="s">
        <v>64588</v>
      </c>
      <c r="C10492" s="2" t="s">
        <v>4299</v>
      </c>
      <c r="D10492" s="2" t="s">
        <v>64589</v>
      </c>
      <c r="E10492" s="2" t="s">
        <v>64449</v>
      </c>
      <c r="F10492" s="2" t="s">
        <v>201</v>
      </c>
      <c r="G10492" s="2" t="s">
        <v>64590</v>
      </c>
      <c r="H10492" s="3" t="s">
        <v>31</v>
      </c>
      <c r="I10492" s="3">
        <v>1.0</v>
      </c>
      <c r="J10492" s="3">
        <v>1.0</v>
      </c>
      <c r="K10492" s="3" t="s">
        <v>31</v>
      </c>
      <c r="L10492" s="4" t="s">
        <v>64451</v>
      </c>
      <c r="M10492" s="2" t="s">
        <v>64591</v>
      </c>
      <c r="N10492" s="2" t="s">
        <v>4232</v>
      </c>
      <c r="O10492" s="4" t="s">
        <v>4233</v>
      </c>
      <c r="P10492" s="2" t="s">
        <v>64453</v>
      </c>
      <c r="Q10492" s="2" t="s">
        <v>33967</v>
      </c>
      <c r="R10492" s="2" t="s">
        <v>4236</v>
      </c>
      <c r="S10492" s="4" t="s">
        <v>13212</v>
      </c>
      <c r="T10492" s="2" t="s">
        <v>66</v>
      </c>
      <c r="U10492" s="4" t="s">
        <v>64454</v>
      </c>
      <c r="V10492" s="2" t="s">
        <v>201</v>
      </c>
      <c r="W10492" s="2" t="s">
        <v>64449</v>
      </c>
      <c r="X10492" s="5" t="str">
        <f>HYPERLINK("https://my.pitchbook.com?p=351178-48P","View People Online")</f>
        <v>View People Online</v>
      </c>
    </row>
    <row r="10493">
      <c r="A10493" s="14" t="s">
        <v>64592</v>
      </c>
      <c r="B10493" s="14" t="s">
        <v>64593</v>
      </c>
      <c r="C10493" s="14" t="s">
        <v>64594</v>
      </c>
      <c r="D10493" s="14" t="s">
        <v>64595</v>
      </c>
      <c r="E10493" s="14" t="s">
        <v>64449</v>
      </c>
      <c r="F10493" s="14" t="s">
        <v>64596</v>
      </c>
      <c r="G10493" s="14" t="s">
        <v>64597</v>
      </c>
      <c r="H10493" s="15" t="s">
        <v>31</v>
      </c>
      <c r="I10493" s="15">
        <v>1.0</v>
      </c>
      <c r="J10493" s="15">
        <v>1.0</v>
      </c>
      <c r="K10493" s="15" t="s">
        <v>31</v>
      </c>
      <c r="L10493" s="16" t="s">
        <v>64598</v>
      </c>
      <c r="M10493" s="14" t="s">
        <v>64599</v>
      </c>
      <c r="N10493" s="14" t="s">
        <v>75</v>
      </c>
      <c r="O10493" s="16" t="s">
        <v>76</v>
      </c>
      <c r="P10493" s="14" t="s">
        <v>64570</v>
      </c>
      <c r="Q10493" s="14" t="s">
        <v>2839</v>
      </c>
      <c r="R10493" s="14" t="s">
        <v>75</v>
      </c>
      <c r="S10493" s="16" t="s">
        <v>1896</v>
      </c>
      <c r="T10493" s="14" t="s">
        <v>66</v>
      </c>
      <c r="U10493" s="16" t="s">
        <v>31</v>
      </c>
      <c r="V10493" s="14" t="s">
        <v>57366</v>
      </c>
      <c r="W10493" s="14" t="s">
        <v>64449</v>
      </c>
      <c r="X10493" s="17" t="str">
        <f>HYPERLINK("https://my.pitchbook.com?p=321327-01P","View People Online")</f>
        <v>View People Online</v>
      </c>
    </row>
    <row r="10494">
      <c r="A10494" s="2" t="s">
        <v>64600</v>
      </c>
      <c r="B10494" s="2" t="s">
        <v>64601</v>
      </c>
      <c r="C10494" s="2" t="s">
        <v>26038</v>
      </c>
      <c r="D10494" s="2" t="s">
        <v>35927</v>
      </c>
      <c r="E10494" s="2" t="s">
        <v>64449</v>
      </c>
      <c r="F10494" s="2" t="s">
        <v>667</v>
      </c>
      <c r="G10494" s="2" t="s">
        <v>64602</v>
      </c>
      <c r="H10494" s="3" t="s">
        <v>31</v>
      </c>
      <c r="I10494" s="3">
        <v>1.0</v>
      </c>
      <c r="J10494" s="3">
        <v>1.0</v>
      </c>
      <c r="K10494" s="3" t="s">
        <v>31</v>
      </c>
      <c r="L10494" s="4" t="s">
        <v>64451</v>
      </c>
      <c r="M10494" s="2" t="s">
        <v>64603</v>
      </c>
      <c r="N10494" s="2" t="s">
        <v>4232</v>
      </c>
      <c r="O10494" s="4" t="s">
        <v>4233</v>
      </c>
      <c r="P10494" s="2" t="s">
        <v>64453</v>
      </c>
      <c r="Q10494" s="2" t="s">
        <v>33967</v>
      </c>
      <c r="R10494" s="2" t="s">
        <v>4236</v>
      </c>
      <c r="S10494" s="4" t="s">
        <v>13212</v>
      </c>
      <c r="T10494" s="2" t="s">
        <v>66</v>
      </c>
      <c r="U10494" s="4" t="s">
        <v>64454</v>
      </c>
      <c r="V10494" s="2" t="s">
        <v>667</v>
      </c>
      <c r="W10494" s="2" t="s">
        <v>64449</v>
      </c>
      <c r="X10494" s="5" t="str">
        <f>HYPERLINK("https://my.pitchbook.com?p=435518-20P","View People Online")</f>
        <v>View People Online</v>
      </c>
    </row>
    <row r="10495">
      <c r="A10495" s="6" t="s">
        <v>64604</v>
      </c>
      <c r="B10495" s="6" t="s">
        <v>64605</v>
      </c>
      <c r="C10495" s="6" t="s">
        <v>323</v>
      </c>
      <c r="D10495" s="6" t="s">
        <v>64606</v>
      </c>
      <c r="E10495" s="6" t="s">
        <v>64449</v>
      </c>
      <c r="F10495" s="6" t="s">
        <v>371</v>
      </c>
      <c r="G10495" s="6" t="s">
        <v>64607</v>
      </c>
      <c r="H10495" s="7" t="s">
        <v>31</v>
      </c>
      <c r="I10495" s="7">
        <v>1.0</v>
      </c>
      <c r="J10495" s="7">
        <v>1.0</v>
      </c>
      <c r="K10495" s="7" t="s">
        <v>31</v>
      </c>
      <c r="L10495" s="8" t="s">
        <v>31</v>
      </c>
      <c r="M10495" s="6" t="s">
        <v>64608</v>
      </c>
      <c r="N10495" s="6" t="s">
        <v>75</v>
      </c>
      <c r="O10495" s="8" t="s">
        <v>76</v>
      </c>
      <c r="P10495" s="6" t="s">
        <v>64570</v>
      </c>
      <c r="Q10495" s="6" t="s">
        <v>2839</v>
      </c>
      <c r="R10495" s="6" t="s">
        <v>75</v>
      </c>
      <c r="S10495" s="8" t="s">
        <v>1896</v>
      </c>
      <c r="T10495" s="6" t="s">
        <v>66</v>
      </c>
      <c r="U10495" s="8" t="s">
        <v>31</v>
      </c>
      <c r="V10495" s="6" t="s">
        <v>371</v>
      </c>
      <c r="W10495" s="6" t="s">
        <v>64449</v>
      </c>
      <c r="X10495" s="9" t="str">
        <f>HYPERLINK("https://my.pitchbook.com?p=430832-71P","View People Online")</f>
        <v>View People Online</v>
      </c>
    </row>
    <row r="10496">
      <c r="A10496" s="2" t="s">
        <v>64609</v>
      </c>
      <c r="B10496" s="2" t="s">
        <v>64610</v>
      </c>
      <c r="C10496" s="2" t="s">
        <v>8106</v>
      </c>
      <c r="D10496" s="2" t="s">
        <v>64611</v>
      </c>
      <c r="E10496" s="2" t="s">
        <v>64449</v>
      </c>
      <c r="F10496" s="2" t="s">
        <v>3600</v>
      </c>
      <c r="G10496" s="2" t="s">
        <v>64612</v>
      </c>
      <c r="H10496" s="3" t="s">
        <v>31</v>
      </c>
      <c r="I10496" s="3">
        <v>1.0</v>
      </c>
      <c r="J10496" s="3">
        <v>1.0</v>
      </c>
      <c r="K10496" s="3" t="s">
        <v>31</v>
      </c>
      <c r="L10496" s="4" t="s">
        <v>64451</v>
      </c>
      <c r="M10496" s="2" t="s">
        <v>64613</v>
      </c>
      <c r="N10496" s="2" t="s">
        <v>4232</v>
      </c>
      <c r="O10496" s="4" t="s">
        <v>4233</v>
      </c>
      <c r="P10496" s="2" t="s">
        <v>64453</v>
      </c>
      <c r="Q10496" s="2" t="s">
        <v>33967</v>
      </c>
      <c r="R10496" s="2" t="s">
        <v>4236</v>
      </c>
      <c r="S10496" s="4" t="s">
        <v>13212</v>
      </c>
      <c r="T10496" s="2" t="s">
        <v>66</v>
      </c>
      <c r="U10496" s="4" t="s">
        <v>64454</v>
      </c>
      <c r="V10496" s="2" t="s">
        <v>3600</v>
      </c>
      <c r="W10496" s="2" t="s">
        <v>64449</v>
      </c>
      <c r="X10496" s="5" t="str">
        <f>HYPERLINK("https://my.pitchbook.com?p=174001-42P","View People Online")</f>
        <v>View People Online</v>
      </c>
    </row>
    <row r="10497">
      <c r="A10497" s="6" t="s">
        <v>64614</v>
      </c>
      <c r="B10497" s="6" t="s">
        <v>64615</v>
      </c>
      <c r="C10497" s="6" t="s">
        <v>16307</v>
      </c>
      <c r="D10497" s="6" t="s">
        <v>1154</v>
      </c>
      <c r="E10497" s="6" t="s">
        <v>64449</v>
      </c>
      <c r="F10497" s="6" t="s">
        <v>667</v>
      </c>
      <c r="G10497" s="6" t="s">
        <v>64616</v>
      </c>
      <c r="H10497" s="7" t="s">
        <v>31</v>
      </c>
      <c r="I10497" s="7">
        <v>1.0</v>
      </c>
      <c r="J10497" s="7">
        <v>1.0</v>
      </c>
      <c r="K10497" s="7" t="s">
        <v>31</v>
      </c>
      <c r="L10497" s="8" t="s">
        <v>64451</v>
      </c>
      <c r="M10497" s="6" t="s">
        <v>64617</v>
      </c>
      <c r="N10497" s="6" t="s">
        <v>4232</v>
      </c>
      <c r="O10497" s="8" t="s">
        <v>4233</v>
      </c>
      <c r="P10497" s="6" t="s">
        <v>64453</v>
      </c>
      <c r="Q10497" s="6" t="s">
        <v>33967</v>
      </c>
      <c r="R10497" s="6" t="s">
        <v>4236</v>
      </c>
      <c r="S10497" s="8" t="s">
        <v>13212</v>
      </c>
      <c r="T10497" s="6" t="s">
        <v>66</v>
      </c>
      <c r="U10497" s="8" t="s">
        <v>64454</v>
      </c>
      <c r="V10497" s="6" t="s">
        <v>667</v>
      </c>
      <c r="W10497" s="6" t="s">
        <v>64449</v>
      </c>
      <c r="X10497" s="9" t="str">
        <f>HYPERLINK("https://my.pitchbook.com?p=449002-00P","View People Online")</f>
        <v>View People Online</v>
      </c>
    </row>
    <row r="10498">
      <c r="A10498" s="10" t="s">
        <v>64618</v>
      </c>
      <c r="B10498" s="10" t="s">
        <v>64619</v>
      </c>
      <c r="C10498" s="10" t="s">
        <v>1588</v>
      </c>
      <c r="D10498" s="10" t="s">
        <v>64620</v>
      </c>
      <c r="E10498" s="10" t="s">
        <v>64449</v>
      </c>
      <c r="F10498" s="10" t="s">
        <v>318</v>
      </c>
      <c r="G10498" s="10" t="s">
        <v>64621</v>
      </c>
      <c r="H10498" s="11" t="s">
        <v>31</v>
      </c>
      <c r="I10498" s="11">
        <v>8.0</v>
      </c>
      <c r="J10498" s="11">
        <v>1.0</v>
      </c>
      <c r="K10498" s="11">
        <v>5.0</v>
      </c>
      <c r="L10498" s="12" t="s">
        <v>64451</v>
      </c>
      <c r="M10498" s="10" t="s">
        <v>31</v>
      </c>
      <c r="N10498" s="10" t="s">
        <v>4232</v>
      </c>
      <c r="O10498" s="12" t="s">
        <v>4233</v>
      </c>
      <c r="P10498" s="10" t="s">
        <v>64453</v>
      </c>
      <c r="Q10498" s="10" t="s">
        <v>33967</v>
      </c>
      <c r="R10498" s="10" t="s">
        <v>4236</v>
      </c>
      <c r="S10498" s="12" t="s">
        <v>13212</v>
      </c>
      <c r="T10498" s="10" t="s">
        <v>66</v>
      </c>
      <c r="U10498" s="12" t="s">
        <v>64454</v>
      </c>
      <c r="V10498" s="10" t="s">
        <v>31266</v>
      </c>
      <c r="W10498" s="10" t="s">
        <v>64449</v>
      </c>
      <c r="X10498" s="13" t="str">
        <f>HYPERLINK("https://my.pitchbook.com?p=65483-29P","View People Online")</f>
        <v>View People Online</v>
      </c>
    </row>
    <row r="10499">
      <c r="A10499" s="6" t="s">
        <v>64622</v>
      </c>
      <c r="B10499" s="6" t="s">
        <v>64623</v>
      </c>
      <c r="C10499" s="6" t="s">
        <v>1323</v>
      </c>
      <c r="D10499" s="6" t="s">
        <v>57743</v>
      </c>
      <c r="E10499" s="6" t="s">
        <v>64449</v>
      </c>
      <c r="F10499" s="6" t="s">
        <v>270</v>
      </c>
      <c r="G10499" s="6" t="s">
        <v>64624</v>
      </c>
      <c r="H10499" s="7" t="s">
        <v>31</v>
      </c>
      <c r="I10499" s="7">
        <v>8.0</v>
      </c>
      <c r="J10499" s="7">
        <v>2.0</v>
      </c>
      <c r="K10499" s="7">
        <v>5.0</v>
      </c>
      <c r="L10499" s="8" t="s">
        <v>64625</v>
      </c>
      <c r="M10499" s="6" t="s">
        <v>64626</v>
      </c>
      <c r="N10499" s="6" t="s">
        <v>64627</v>
      </c>
      <c r="O10499" s="8" t="s">
        <v>64628</v>
      </c>
      <c r="P10499" s="6" t="s">
        <v>64629</v>
      </c>
      <c r="Q10499" s="6" t="s">
        <v>7094</v>
      </c>
      <c r="R10499" s="6" t="s">
        <v>7693</v>
      </c>
      <c r="S10499" s="8" t="s">
        <v>64630</v>
      </c>
      <c r="T10499" s="6" t="s">
        <v>66</v>
      </c>
      <c r="U10499" s="8" t="s">
        <v>64631</v>
      </c>
      <c r="V10499" s="6" t="s">
        <v>64632</v>
      </c>
      <c r="W10499" s="6" t="s">
        <v>5887</v>
      </c>
      <c r="X10499" s="9" t="str">
        <f>HYPERLINK("https://my.pitchbook.com?p=39461-23P","View People Online")</f>
        <v>View People Online</v>
      </c>
    </row>
    <row r="10500">
      <c r="A10500" s="10" t="s">
        <v>64633</v>
      </c>
      <c r="B10500" s="10" t="s">
        <v>64634</v>
      </c>
      <c r="C10500" s="10" t="s">
        <v>11400</v>
      </c>
      <c r="D10500" s="10" t="s">
        <v>64635</v>
      </c>
      <c r="E10500" s="10" t="s">
        <v>64449</v>
      </c>
      <c r="F10500" s="10" t="s">
        <v>221</v>
      </c>
      <c r="G10500" s="10" t="s">
        <v>64636</v>
      </c>
      <c r="H10500" s="11" t="s">
        <v>31</v>
      </c>
      <c r="I10500" s="11">
        <v>1.0</v>
      </c>
      <c r="J10500" s="11">
        <v>1.0</v>
      </c>
      <c r="K10500" s="11" t="s">
        <v>31</v>
      </c>
      <c r="L10500" s="12" t="s">
        <v>64451</v>
      </c>
      <c r="M10500" s="10" t="s">
        <v>64637</v>
      </c>
      <c r="N10500" s="10" t="s">
        <v>4232</v>
      </c>
      <c r="O10500" s="12" t="s">
        <v>4233</v>
      </c>
      <c r="P10500" s="10" t="s">
        <v>64453</v>
      </c>
      <c r="Q10500" s="10" t="s">
        <v>33967</v>
      </c>
      <c r="R10500" s="10" t="s">
        <v>4236</v>
      </c>
      <c r="S10500" s="12" t="s">
        <v>13212</v>
      </c>
      <c r="T10500" s="10" t="s">
        <v>66</v>
      </c>
      <c r="U10500" s="12" t="s">
        <v>64454</v>
      </c>
      <c r="V10500" s="10" t="s">
        <v>64638</v>
      </c>
      <c r="W10500" s="10" t="s">
        <v>64449</v>
      </c>
      <c r="X10500" s="13" t="str">
        <f>HYPERLINK("https://my.pitchbook.com?p=435519-64P","View People Online")</f>
        <v>View People Online</v>
      </c>
    </row>
    <row r="10501">
      <c r="A10501" s="14" t="s">
        <v>64639</v>
      </c>
      <c r="B10501" s="14" t="s">
        <v>64640</v>
      </c>
      <c r="C10501" s="14" t="s">
        <v>3521</v>
      </c>
      <c r="D10501" s="14" t="s">
        <v>30327</v>
      </c>
      <c r="E10501" s="14" t="s">
        <v>64449</v>
      </c>
      <c r="F10501" s="14" t="s">
        <v>371</v>
      </c>
      <c r="G10501" s="14" t="s">
        <v>64641</v>
      </c>
      <c r="H10501" s="15" t="s">
        <v>31</v>
      </c>
      <c r="I10501" s="15">
        <v>1.0</v>
      </c>
      <c r="J10501" s="15">
        <v>1.0</v>
      </c>
      <c r="K10501" s="15" t="s">
        <v>31</v>
      </c>
      <c r="L10501" s="16" t="s">
        <v>64451</v>
      </c>
      <c r="M10501" s="14" t="s">
        <v>64642</v>
      </c>
      <c r="N10501" s="14" t="s">
        <v>4232</v>
      </c>
      <c r="O10501" s="16" t="s">
        <v>4233</v>
      </c>
      <c r="P10501" s="14" t="s">
        <v>64453</v>
      </c>
      <c r="Q10501" s="14" t="s">
        <v>33967</v>
      </c>
      <c r="R10501" s="14" t="s">
        <v>4236</v>
      </c>
      <c r="S10501" s="16" t="s">
        <v>13212</v>
      </c>
      <c r="T10501" s="14" t="s">
        <v>66</v>
      </c>
      <c r="U10501" s="16" t="s">
        <v>64454</v>
      </c>
      <c r="V10501" s="14" t="s">
        <v>371</v>
      </c>
      <c r="W10501" s="14" t="s">
        <v>64449</v>
      </c>
      <c r="X10501" s="17" t="str">
        <f>HYPERLINK("https://my.pitchbook.com?p=435521-89P","View People Online")</f>
        <v>View People Online</v>
      </c>
    </row>
    <row r="10502">
      <c r="A10502" s="10" t="s">
        <v>64643</v>
      </c>
      <c r="B10502" s="10" t="s">
        <v>64644</v>
      </c>
      <c r="C10502" s="10" t="s">
        <v>3521</v>
      </c>
      <c r="D10502" s="10" t="s">
        <v>64645</v>
      </c>
      <c r="E10502" s="10" t="s">
        <v>64449</v>
      </c>
      <c r="F10502" s="10" t="s">
        <v>201</v>
      </c>
      <c r="G10502" s="10" t="s">
        <v>64646</v>
      </c>
      <c r="H10502" s="11" t="s">
        <v>31</v>
      </c>
      <c r="I10502" s="11">
        <v>1.0</v>
      </c>
      <c r="J10502" s="11">
        <v>1.0</v>
      </c>
      <c r="K10502" s="11" t="s">
        <v>31</v>
      </c>
      <c r="L10502" s="12" t="s">
        <v>64451</v>
      </c>
      <c r="M10502" s="10" t="s">
        <v>64647</v>
      </c>
      <c r="N10502" s="10" t="s">
        <v>4232</v>
      </c>
      <c r="O10502" s="12" t="s">
        <v>4233</v>
      </c>
      <c r="P10502" s="10" t="s">
        <v>64453</v>
      </c>
      <c r="Q10502" s="10" t="s">
        <v>33967</v>
      </c>
      <c r="R10502" s="10" t="s">
        <v>4236</v>
      </c>
      <c r="S10502" s="12" t="s">
        <v>13212</v>
      </c>
      <c r="T10502" s="10" t="s">
        <v>66</v>
      </c>
      <c r="U10502" s="12" t="s">
        <v>64454</v>
      </c>
      <c r="V10502" s="10" t="s">
        <v>64503</v>
      </c>
      <c r="W10502" s="10" t="s">
        <v>64449</v>
      </c>
      <c r="X10502" s="13" t="str">
        <f>HYPERLINK("https://my.pitchbook.com?p=435520-81P","View People Online")</f>
        <v>View People Online</v>
      </c>
    </row>
    <row r="10503">
      <c r="A10503" s="14" t="s">
        <v>64648</v>
      </c>
      <c r="B10503" s="14" t="s">
        <v>64649</v>
      </c>
      <c r="C10503" s="14" t="s">
        <v>343</v>
      </c>
      <c r="D10503" s="14" t="s">
        <v>24508</v>
      </c>
      <c r="E10503" s="14" t="s">
        <v>64449</v>
      </c>
      <c r="F10503" s="14" t="s">
        <v>371</v>
      </c>
      <c r="G10503" s="14" t="s">
        <v>64650</v>
      </c>
      <c r="H10503" s="15" t="s">
        <v>31</v>
      </c>
      <c r="I10503" s="15">
        <v>1.0</v>
      </c>
      <c r="J10503" s="15">
        <v>1.0</v>
      </c>
      <c r="K10503" s="15" t="s">
        <v>31</v>
      </c>
      <c r="L10503" s="16" t="s">
        <v>64451</v>
      </c>
      <c r="M10503" s="14" t="s">
        <v>64651</v>
      </c>
      <c r="N10503" s="14" t="s">
        <v>4232</v>
      </c>
      <c r="O10503" s="16" t="s">
        <v>4233</v>
      </c>
      <c r="P10503" s="14" t="s">
        <v>64453</v>
      </c>
      <c r="Q10503" s="14" t="s">
        <v>33967</v>
      </c>
      <c r="R10503" s="14" t="s">
        <v>4236</v>
      </c>
      <c r="S10503" s="16" t="s">
        <v>13212</v>
      </c>
      <c r="T10503" s="14" t="s">
        <v>66</v>
      </c>
      <c r="U10503" s="16" t="s">
        <v>64454</v>
      </c>
      <c r="V10503" s="14" t="s">
        <v>41060</v>
      </c>
      <c r="W10503" s="14" t="s">
        <v>64449</v>
      </c>
      <c r="X10503" s="17" t="str">
        <f>HYPERLINK("https://my.pitchbook.com?p=188055-55P","View People Online")</f>
        <v>View People Online</v>
      </c>
    </row>
    <row r="10504">
      <c r="A10504" s="10" t="s">
        <v>64652</v>
      </c>
      <c r="B10504" s="10" t="s">
        <v>64653</v>
      </c>
      <c r="C10504" s="10" t="s">
        <v>26193</v>
      </c>
      <c r="D10504" s="10" t="s">
        <v>64654</v>
      </c>
      <c r="E10504" s="10" t="s">
        <v>64449</v>
      </c>
      <c r="F10504" s="10" t="s">
        <v>548</v>
      </c>
      <c r="G10504" s="10" t="s">
        <v>64655</v>
      </c>
      <c r="H10504" s="11" t="s">
        <v>31</v>
      </c>
      <c r="I10504" s="11">
        <v>1.0</v>
      </c>
      <c r="J10504" s="11">
        <v>1.0</v>
      </c>
      <c r="K10504" s="11" t="s">
        <v>31</v>
      </c>
      <c r="L10504" s="12" t="s">
        <v>64451</v>
      </c>
      <c r="M10504" s="10" t="s">
        <v>64656</v>
      </c>
      <c r="N10504" s="10" t="s">
        <v>4232</v>
      </c>
      <c r="O10504" s="12" t="s">
        <v>4233</v>
      </c>
      <c r="P10504" s="10" t="s">
        <v>64453</v>
      </c>
      <c r="Q10504" s="10" t="s">
        <v>33967</v>
      </c>
      <c r="R10504" s="10" t="s">
        <v>4236</v>
      </c>
      <c r="S10504" s="12" t="s">
        <v>13212</v>
      </c>
      <c r="T10504" s="10" t="s">
        <v>66</v>
      </c>
      <c r="U10504" s="12" t="s">
        <v>64454</v>
      </c>
      <c r="V10504" s="10" t="s">
        <v>548</v>
      </c>
      <c r="W10504" s="10" t="s">
        <v>64449</v>
      </c>
      <c r="X10504" s="13" t="str">
        <f>HYPERLINK("https://my.pitchbook.com?p=435522-61P","View People Online")</f>
        <v>View People Online</v>
      </c>
    </row>
    <row r="10505">
      <c r="A10505" s="6" t="s">
        <v>64657</v>
      </c>
      <c r="B10505" s="6" t="s">
        <v>64658</v>
      </c>
      <c r="C10505" s="6" t="s">
        <v>5358</v>
      </c>
      <c r="D10505" s="6" t="s">
        <v>16032</v>
      </c>
      <c r="E10505" s="6" t="s">
        <v>64449</v>
      </c>
      <c r="F10505" s="6" t="s">
        <v>3710</v>
      </c>
      <c r="G10505" s="6" t="s">
        <v>64659</v>
      </c>
      <c r="H10505" s="7" t="s">
        <v>31</v>
      </c>
      <c r="I10505" s="7">
        <v>1.0</v>
      </c>
      <c r="J10505" s="7">
        <v>1.0</v>
      </c>
      <c r="K10505" s="7" t="s">
        <v>31</v>
      </c>
      <c r="L10505" s="8" t="s">
        <v>64451</v>
      </c>
      <c r="M10505" s="6" t="s">
        <v>64660</v>
      </c>
      <c r="N10505" s="6" t="s">
        <v>4232</v>
      </c>
      <c r="O10505" s="8" t="s">
        <v>4233</v>
      </c>
      <c r="P10505" s="6" t="s">
        <v>64453</v>
      </c>
      <c r="Q10505" s="6" t="s">
        <v>33967</v>
      </c>
      <c r="R10505" s="6" t="s">
        <v>4236</v>
      </c>
      <c r="S10505" s="8" t="s">
        <v>13212</v>
      </c>
      <c r="T10505" s="6" t="s">
        <v>66</v>
      </c>
      <c r="U10505" s="8" t="s">
        <v>64454</v>
      </c>
      <c r="V10505" s="6" t="s">
        <v>3710</v>
      </c>
      <c r="W10505" s="6" t="s">
        <v>64449</v>
      </c>
      <c r="X10505" s="9" t="str">
        <f>HYPERLINK("https://my.pitchbook.com?p=263877-04P","View People Online")</f>
        <v>View People Online</v>
      </c>
    </row>
    <row r="10506">
      <c r="A10506" s="2" t="s">
        <v>64661</v>
      </c>
      <c r="B10506" s="2" t="s">
        <v>64662</v>
      </c>
      <c r="C10506" s="2" t="s">
        <v>24317</v>
      </c>
      <c r="D10506" s="2" t="s">
        <v>24482</v>
      </c>
      <c r="E10506" s="2" t="s">
        <v>64449</v>
      </c>
      <c r="F10506" s="2" t="s">
        <v>318</v>
      </c>
      <c r="G10506" s="2" t="s">
        <v>64663</v>
      </c>
      <c r="H10506" s="3" t="s">
        <v>31</v>
      </c>
      <c r="I10506" s="3">
        <v>1.0</v>
      </c>
      <c r="J10506" s="3">
        <v>1.0</v>
      </c>
      <c r="K10506" s="3" t="s">
        <v>31</v>
      </c>
      <c r="L10506" s="4" t="s">
        <v>64664</v>
      </c>
      <c r="M10506" s="2" t="s">
        <v>64665</v>
      </c>
      <c r="N10506" s="2" t="s">
        <v>4232</v>
      </c>
      <c r="O10506" s="4" t="s">
        <v>4233</v>
      </c>
      <c r="P10506" s="2" t="s">
        <v>64453</v>
      </c>
      <c r="Q10506" s="2" t="s">
        <v>33967</v>
      </c>
      <c r="R10506" s="2" t="s">
        <v>4236</v>
      </c>
      <c r="S10506" s="4" t="s">
        <v>13212</v>
      </c>
      <c r="T10506" s="2" t="s">
        <v>66</v>
      </c>
      <c r="U10506" s="4" t="s">
        <v>64454</v>
      </c>
      <c r="V10506" s="2" t="s">
        <v>28895</v>
      </c>
      <c r="W10506" s="2" t="s">
        <v>64449</v>
      </c>
      <c r="X10506" s="5" t="str">
        <f>HYPERLINK("https://my.pitchbook.com?p=98857-90P","View People Online")</f>
        <v>View People Online</v>
      </c>
    </row>
    <row r="10507">
      <c r="A10507" s="14" t="s">
        <v>64666</v>
      </c>
      <c r="B10507" s="14" t="s">
        <v>64667</v>
      </c>
      <c r="C10507" s="14" t="s">
        <v>3529</v>
      </c>
      <c r="D10507" s="14" t="s">
        <v>54101</v>
      </c>
      <c r="E10507" s="14" t="s">
        <v>64449</v>
      </c>
      <c r="F10507" s="14" t="s">
        <v>120</v>
      </c>
      <c r="G10507" s="14" t="s">
        <v>64668</v>
      </c>
      <c r="H10507" s="15" t="s">
        <v>31</v>
      </c>
      <c r="I10507" s="15">
        <v>1.0</v>
      </c>
      <c r="J10507" s="15">
        <v>1.0</v>
      </c>
      <c r="K10507" s="15" t="s">
        <v>31</v>
      </c>
      <c r="L10507" s="16" t="s">
        <v>64451</v>
      </c>
      <c r="M10507" s="14" t="s">
        <v>64669</v>
      </c>
      <c r="N10507" s="14" t="s">
        <v>4232</v>
      </c>
      <c r="O10507" s="16" t="s">
        <v>4233</v>
      </c>
      <c r="P10507" s="14" t="s">
        <v>64453</v>
      </c>
      <c r="Q10507" s="14" t="s">
        <v>33967</v>
      </c>
      <c r="R10507" s="14" t="s">
        <v>4236</v>
      </c>
      <c r="S10507" s="16" t="s">
        <v>13212</v>
      </c>
      <c r="T10507" s="14" t="s">
        <v>66</v>
      </c>
      <c r="U10507" s="16" t="s">
        <v>64454</v>
      </c>
      <c r="V10507" s="14" t="s">
        <v>120</v>
      </c>
      <c r="W10507" s="14" t="s">
        <v>64449</v>
      </c>
      <c r="X10507" s="17" t="str">
        <f>HYPERLINK("https://my.pitchbook.com?p=105731-38P","View People Online")</f>
        <v>View People Online</v>
      </c>
    </row>
    <row r="10508">
      <c r="A10508" s="10" t="s">
        <v>64670</v>
      </c>
      <c r="B10508" s="10" t="s">
        <v>64671</v>
      </c>
      <c r="C10508" s="10" t="s">
        <v>30073</v>
      </c>
      <c r="D10508" s="10" t="s">
        <v>18012</v>
      </c>
      <c r="E10508" s="10" t="s">
        <v>64449</v>
      </c>
      <c r="F10508" s="10" t="s">
        <v>221</v>
      </c>
      <c r="G10508" s="10" t="s">
        <v>64672</v>
      </c>
      <c r="H10508" s="11" t="s">
        <v>31</v>
      </c>
      <c r="I10508" s="11">
        <v>1.0</v>
      </c>
      <c r="J10508" s="11">
        <v>1.0</v>
      </c>
      <c r="K10508" s="11" t="s">
        <v>31</v>
      </c>
      <c r="L10508" s="12" t="s">
        <v>64451</v>
      </c>
      <c r="M10508" s="10" t="s">
        <v>64673</v>
      </c>
      <c r="N10508" s="10" t="s">
        <v>4232</v>
      </c>
      <c r="O10508" s="12" t="s">
        <v>4233</v>
      </c>
      <c r="P10508" s="10" t="s">
        <v>64453</v>
      </c>
      <c r="Q10508" s="10" t="s">
        <v>33967</v>
      </c>
      <c r="R10508" s="10" t="s">
        <v>4236</v>
      </c>
      <c r="S10508" s="12" t="s">
        <v>13212</v>
      </c>
      <c r="T10508" s="10" t="s">
        <v>66</v>
      </c>
      <c r="U10508" s="12" t="s">
        <v>64454</v>
      </c>
      <c r="V10508" s="10" t="s">
        <v>64674</v>
      </c>
      <c r="W10508" s="10" t="s">
        <v>64449</v>
      </c>
      <c r="X10508" s="13" t="str">
        <f>HYPERLINK("https://my.pitchbook.com?p=435529-90P","View People Online")</f>
        <v>View People Online</v>
      </c>
    </row>
    <row r="10509">
      <c r="A10509" s="6" t="s">
        <v>64675</v>
      </c>
      <c r="B10509" s="6" t="s">
        <v>64676</v>
      </c>
      <c r="C10509" s="6" t="s">
        <v>5071</v>
      </c>
      <c r="D10509" s="6" t="s">
        <v>64677</v>
      </c>
      <c r="E10509" s="6" t="s">
        <v>64449</v>
      </c>
      <c r="F10509" s="6" t="s">
        <v>371</v>
      </c>
      <c r="G10509" s="6" t="s">
        <v>64678</v>
      </c>
      <c r="H10509" s="7" t="s">
        <v>31</v>
      </c>
      <c r="I10509" s="7">
        <v>1.0</v>
      </c>
      <c r="J10509" s="7">
        <v>1.0</v>
      </c>
      <c r="K10509" s="7" t="s">
        <v>31</v>
      </c>
      <c r="L10509" s="8" t="s">
        <v>64451</v>
      </c>
      <c r="M10509" s="6" t="s">
        <v>64679</v>
      </c>
      <c r="N10509" s="6" t="s">
        <v>4232</v>
      </c>
      <c r="O10509" s="8" t="s">
        <v>4233</v>
      </c>
      <c r="P10509" s="6" t="s">
        <v>64453</v>
      </c>
      <c r="Q10509" s="6" t="s">
        <v>33967</v>
      </c>
      <c r="R10509" s="6" t="s">
        <v>4236</v>
      </c>
      <c r="S10509" s="8" t="s">
        <v>13212</v>
      </c>
      <c r="T10509" s="6" t="s">
        <v>66</v>
      </c>
      <c r="U10509" s="8" t="s">
        <v>64454</v>
      </c>
      <c r="V10509" s="6" t="s">
        <v>371</v>
      </c>
      <c r="W10509" s="6" t="s">
        <v>64449</v>
      </c>
      <c r="X10509" s="9" t="str">
        <f>HYPERLINK("https://my.pitchbook.com?p=435531-97P","View People Online")</f>
        <v>View People Online</v>
      </c>
    </row>
    <row r="10510">
      <c r="A10510" s="2" t="s">
        <v>64680</v>
      </c>
      <c r="B10510" s="2" t="s">
        <v>64681</v>
      </c>
      <c r="C10510" s="2" t="s">
        <v>17879</v>
      </c>
      <c r="D10510" s="2" t="s">
        <v>64682</v>
      </c>
      <c r="E10510" s="2" t="s">
        <v>64449</v>
      </c>
      <c r="F10510" s="2" t="s">
        <v>221</v>
      </c>
      <c r="G10510" s="2" t="s">
        <v>64683</v>
      </c>
      <c r="H10510" s="3" t="s">
        <v>31</v>
      </c>
      <c r="I10510" s="3">
        <v>1.0</v>
      </c>
      <c r="J10510" s="3">
        <v>1.0</v>
      </c>
      <c r="K10510" s="3" t="s">
        <v>31</v>
      </c>
      <c r="L10510" s="4" t="s">
        <v>64451</v>
      </c>
      <c r="M10510" s="2" t="s">
        <v>64684</v>
      </c>
      <c r="N10510" s="2" t="s">
        <v>4232</v>
      </c>
      <c r="O10510" s="4" t="s">
        <v>4233</v>
      </c>
      <c r="P10510" s="2" t="s">
        <v>64453</v>
      </c>
      <c r="Q10510" s="2" t="s">
        <v>33967</v>
      </c>
      <c r="R10510" s="2" t="s">
        <v>4236</v>
      </c>
      <c r="S10510" s="4" t="s">
        <v>13212</v>
      </c>
      <c r="T10510" s="2" t="s">
        <v>66</v>
      </c>
      <c r="U10510" s="4" t="s">
        <v>64454</v>
      </c>
      <c r="V10510" s="2" t="s">
        <v>221</v>
      </c>
      <c r="W10510" s="2" t="s">
        <v>64449</v>
      </c>
      <c r="X10510" s="5" t="str">
        <f>HYPERLINK("https://my.pitchbook.com?p=435543-76P","View People Online")</f>
        <v>View People Online</v>
      </c>
    </row>
    <row r="10511">
      <c r="A10511" s="14" t="s">
        <v>64685</v>
      </c>
      <c r="B10511" s="14" t="s">
        <v>64686</v>
      </c>
      <c r="C10511" s="14" t="s">
        <v>1343</v>
      </c>
      <c r="D10511" s="14" t="s">
        <v>25637</v>
      </c>
      <c r="E10511" s="14" t="s">
        <v>64449</v>
      </c>
      <c r="F10511" s="14" t="s">
        <v>371</v>
      </c>
      <c r="G10511" s="14" t="s">
        <v>64687</v>
      </c>
      <c r="H10511" s="15" t="s">
        <v>31</v>
      </c>
      <c r="I10511" s="15">
        <v>2.0</v>
      </c>
      <c r="J10511" s="15">
        <v>1.0</v>
      </c>
      <c r="K10511" s="15" t="s">
        <v>31</v>
      </c>
      <c r="L10511" s="16" t="s">
        <v>64451</v>
      </c>
      <c r="M10511" s="14" t="s">
        <v>64688</v>
      </c>
      <c r="N10511" s="14" t="s">
        <v>4232</v>
      </c>
      <c r="O10511" s="16" t="s">
        <v>4233</v>
      </c>
      <c r="P10511" s="14" t="s">
        <v>64453</v>
      </c>
      <c r="Q10511" s="14" t="s">
        <v>33967</v>
      </c>
      <c r="R10511" s="14" t="s">
        <v>4236</v>
      </c>
      <c r="S10511" s="16" t="s">
        <v>13212</v>
      </c>
      <c r="T10511" s="14" t="s">
        <v>66</v>
      </c>
      <c r="U10511" s="16" t="s">
        <v>64454</v>
      </c>
      <c r="V10511" s="14" t="s">
        <v>371</v>
      </c>
      <c r="W10511" s="14" t="s">
        <v>64449</v>
      </c>
      <c r="X10511" s="17" t="str">
        <f>HYPERLINK("https://my.pitchbook.com?p=435544-48P","View People Online")</f>
        <v>View People Online</v>
      </c>
    </row>
    <row r="10512">
      <c r="A10512" s="10" t="s">
        <v>64689</v>
      </c>
      <c r="B10512" s="10" t="s">
        <v>64690</v>
      </c>
      <c r="C10512" s="10" t="s">
        <v>1616</v>
      </c>
      <c r="D10512" s="10" t="s">
        <v>64691</v>
      </c>
      <c r="E10512" s="10" t="s">
        <v>64449</v>
      </c>
      <c r="F10512" s="10" t="s">
        <v>371</v>
      </c>
      <c r="G10512" s="10" t="s">
        <v>64692</v>
      </c>
      <c r="H10512" s="11" t="s">
        <v>31</v>
      </c>
      <c r="I10512" s="11">
        <v>1.0</v>
      </c>
      <c r="J10512" s="11">
        <v>1.0</v>
      </c>
      <c r="K10512" s="11" t="s">
        <v>31</v>
      </c>
      <c r="L10512" s="12" t="s">
        <v>64451</v>
      </c>
      <c r="M10512" s="10" t="s">
        <v>64693</v>
      </c>
      <c r="N10512" s="10" t="s">
        <v>4232</v>
      </c>
      <c r="O10512" s="12" t="s">
        <v>4233</v>
      </c>
      <c r="P10512" s="10" t="s">
        <v>64453</v>
      </c>
      <c r="Q10512" s="10" t="s">
        <v>33967</v>
      </c>
      <c r="R10512" s="10" t="s">
        <v>4236</v>
      </c>
      <c r="S10512" s="12" t="s">
        <v>13212</v>
      </c>
      <c r="T10512" s="10" t="s">
        <v>66</v>
      </c>
      <c r="U10512" s="12" t="s">
        <v>64454</v>
      </c>
      <c r="V10512" s="10" t="s">
        <v>371</v>
      </c>
      <c r="W10512" s="10" t="s">
        <v>64449</v>
      </c>
      <c r="X10512" s="13" t="str">
        <f>HYPERLINK("https://my.pitchbook.com?p=265887-28P","View People Online")</f>
        <v>View People Online</v>
      </c>
    </row>
    <row r="10513">
      <c r="A10513" s="14" t="s">
        <v>64694</v>
      </c>
      <c r="B10513" s="14" t="s">
        <v>64695</v>
      </c>
      <c r="C10513" s="14" t="s">
        <v>30711</v>
      </c>
      <c r="D10513" s="14" t="s">
        <v>64696</v>
      </c>
      <c r="E10513" s="14" t="s">
        <v>64449</v>
      </c>
      <c r="F10513" s="14" t="s">
        <v>318</v>
      </c>
      <c r="G10513" s="14" t="s">
        <v>64697</v>
      </c>
      <c r="H10513" s="15" t="s">
        <v>31</v>
      </c>
      <c r="I10513" s="15">
        <v>1.0</v>
      </c>
      <c r="J10513" s="15">
        <v>1.0</v>
      </c>
      <c r="K10513" s="15" t="s">
        <v>31</v>
      </c>
      <c r="L10513" s="16" t="s">
        <v>64451</v>
      </c>
      <c r="M10513" s="14" t="s">
        <v>64698</v>
      </c>
      <c r="N10513" s="14" t="s">
        <v>75</v>
      </c>
      <c r="O10513" s="16" t="s">
        <v>76</v>
      </c>
      <c r="P10513" s="14" t="s">
        <v>64570</v>
      </c>
      <c r="Q10513" s="14" t="s">
        <v>2839</v>
      </c>
      <c r="R10513" s="14" t="s">
        <v>75</v>
      </c>
      <c r="S10513" s="16" t="s">
        <v>1896</v>
      </c>
      <c r="T10513" s="14" t="s">
        <v>66</v>
      </c>
      <c r="U10513" s="16" t="s">
        <v>31</v>
      </c>
      <c r="V10513" s="14" t="s">
        <v>318</v>
      </c>
      <c r="W10513" s="14" t="s">
        <v>64449</v>
      </c>
      <c r="X10513" s="17" t="str">
        <f>HYPERLINK("https://my.pitchbook.com?p=377829-64P","View People Online")</f>
        <v>View People Online</v>
      </c>
    </row>
    <row r="10514">
      <c r="A10514" s="2" t="s">
        <v>64699</v>
      </c>
      <c r="B10514" s="2" t="s">
        <v>64700</v>
      </c>
      <c r="C10514" s="2" t="s">
        <v>1356</v>
      </c>
      <c r="D10514" s="2" t="s">
        <v>64701</v>
      </c>
      <c r="E10514" s="2" t="s">
        <v>64449</v>
      </c>
      <c r="F10514" s="2" t="s">
        <v>64702</v>
      </c>
      <c r="G10514" s="2" t="s">
        <v>64703</v>
      </c>
      <c r="H10514" s="3">
        <v>15.0</v>
      </c>
      <c r="I10514" s="3">
        <v>92.0</v>
      </c>
      <c r="J10514" s="3">
        <v>1.0</v>
      </c>
      <c r="K10514" s="3">
        <v>55.0</v>
      </c>
      <c r="L10514" s="4" t="s">
        <v>64704</v>
      </c>
      <c r="M10514" s="2" t="s">
        <v>64705</v>
      </c>
      <c r="N10514" s="2" t="s">
        <v>4232</v>
      </c>
      <c r="O10514" s="4" t="s">
        <v>4233</v>
      </c>
      <c r="P10514" s="2" t="s">
        <v>64453</v>
      </c>
      <c r="Q10514" s="2" t="s">
        <v>33967</v>
      </c>
      <c r="R10514" s="2" t="s">
        <v>4236</v>
      </c>
      <c r="S10514" s="4" t="s">
        <v>13212</v>
      </c>
      <c r="T10514" s="2" t="s">
        <v>66</v>
      </c>
      <c r="U10514" s="4" t="s">
        <v>64454</v>
      </c>
      <c r="V10514" s="2" t="s">
        <v>64706</v>
      </c>
      <c r="W10514" s="2" t="s">
        <v>64449</v>
      </c>
      <c r="X10514" s="5" t="str">
        <f>HYPERLINK("https://my.pitchbook.com?p=12405-61P","View People Online")</f>
        <v>View People Online</v>
      </c>
    </row>
    <row r="10515">
      <c r="A10515" s="14" t="s">
        <v>64707</v>
      </c>
      <c r="B10515" s="14" t="s">
        <v>64708</v>
      </c>
      <c r="C10515" s="14" t="s">
        <v>3040</v>
      </c>
      <c r="D10515" s="14" t="s">
        <v>64709</v>
      </c>
      <c r="E10515" s="14" t="s">
        <v>64449</v>
      </c>
      <c r="F10515" s="14" t="s">
        <v>1283</v>
      </c>
      <c r="G10515" s="14" t="s">
        <v>64710</v>
      </c>
      <c r="H10515" s="15" t="s">
        <v>31</v>
      </c>
      <c r="I10515" s="15">
        <v>1.0</v>
      </c>
      <c r="J10515" s="15">
        <v>1.0</v>
      </c>
      <c r="K10515" s="15" t="s">
        <v>31</v>
      </c>
      <c r="L10515" s="16" t="s">
        <v>64451</v>
      </c>
      <c r="M10515" s="14" t="s">
        <v>64711</v>
      </c>
      <c r="N10515" s="14" t="s">
        <v>4232</v>
      </c>
      <c r="O10515" s="16" t="s">
        <v>4233</v>
      </c>
      <c r="P10515" s="14" t="s">
        <v>64453</v>
      </c>
      <c r="Q10515" s="14" t="s">
        <v>33967</v>
      </c>
      <c r="R10515" s="14" t="s">
        <v>4236</v>
      </c>
      <c r="S10515" s="16" t="s">
        <v>13212</v>
      </c>
      <c r="T10515" s="14" t="s">
        <v>66</v>
      </c>
      <c r="U10515" s="16" t="s">
        <v>64454</v>
      </c>
      <c r="V10515" s="14" t="s">
        <v>1283</v>
      </c>
      <c r="W10515" s="14" t="s">
        <v>64449</v>
      </c>
      <c r="X10515" s="17" t="str">
        <f>HYPERLINK("https://my.pitchbook.com?p=14709-79P","View People Online")</f>
        <v>View People Online</v>
      </c>
    </row>
    <row r="10516">
      <c r="A10516" s="10" t="s">
        <v>64712</v>
      </c>
      <c r="B10516" s="10" t="s">
        <v>64713</v>
      </c>
      <c r="C10516" s="10" t="s">
        <v>3058</v>
      </c>
      <c r="D10516" s="10" t="s">
        <v>64714</v>
      </c>
      <c r="E10516" s="10" t="s">
        <v>64449</v>
      </c>
      <c r="F10516" s="10" t="s">
        <v>64702</v>
      </c>
      <c r="G10516" s="10" t="s">
        <v>64715</v>
      </c>
      <c r="H10516" s="11">
        <v>5.0</v>
      </c>
      <c r="I10516" s="11">
        <v>27.0</v>
      </c>
      <c r="J10516" s="11">
        <v>1.0</v>
      </c>
      <c r="K10516" s="11">
        <v>6.0</v>
      </c>
      <c r="L10516" s="12" t="s">
        <v>64716</v>
      </c>
      <c r="M10516" s="10" t="s">
        <v>64717</v>
      </c>
      <c r="N10516" s="10" t="s">
        <v>4232</v>
      </c>
      <c r="O10516" s="12" t="s">
        <v>4233</v>
      </c>
      <c r="P10516" s="10" t="s">
        <v>64453</v>
      </c>
      <c r="Q10516" s="10" t="s">
        <v>33967</v>
      </c>
      <c r="R10516" s="10" t="s">
        <v>4236</v>
      </c>
      <c r="S10516" s="12" t="s">
        <v>13212</v>
      </c>
      <c r="T10516" s="10" t="s">
        <v>66</v>
      </c>
      <c r="U10516" s="12" t="s">
        <v>64454</v>
      </c>
      <c r="V10516" s="10" t="s">
        <v>64718</v>
      </c>
      <c r="W10516" s="10" t="s">
        <v>64449</v>
      </c>
      <c r="X10516" s="13" t="str">
        <f>HYPERLINK("https://my.pitchbook.com?p=35127-10P","View People Online")</f>
        <v>View People Online</v>
      </c>
    </row>
    <row r="10517">
      <c r="A10517" s="6" t="s">
        <v>64719</v>
      </c>
      <c r="B10517" s="6" t="s">
        <v>64720</v>
      </c>
      <c r="C10517" s="6" t="s">
        <v>213</v>
      </c>
      <c r="D10517" s="6" t="s">
        <v>21711</v>
      </c>
      <c r="E10517" s="6" t="s">
        <v>64449</v>
      </c>
      <c r="F10517" s="6" t="s">
        <v>1283</v>
      </c>
      <c r="G10517" s="6" t="s">
        <v>64721</v>
      </c>
      <c r="H10517" s="7" t="s">
        <v>31</v>
      </c>
      <c r="I10517" s="7">
        <v>1.0</v>
      </c>
      <c r="J10517" s="7">
        <v>1.0</v>
      </c>
      <c r="K10517" s="7" t="s">
        <v>31</v>
      </c>
      <c r="L10517" s="8" t="s">
        <v>64451</v>
      </c>
      <c r="M10517" s="6" t="s">
        <v>64722</v>
      </c>
      <c r="N10517" s="6" t="s">
        <v>4232</v>
      </c>
      <c r="O10517" s="8" t="s">
        <v>4233</v>
      </c>
      <c r="P10517" s="6" t="s">
        <v>64453</v>
      </c>
      <c r="Q10517" s="6" t="s">
        <v>33967</v>
      </c>
      <c r="R10517" s="6" t="s">
        <v>4236</v>
      </c>
      <c r="S10517" s="8" t="s">
        <v>13212</v>
      </c>
      <c r="T10517" s="6" t="s">
        <v>66</v>
      </c>
      <c r="U10517" s="8" t="s">
        <v>64454</v>
      </c>
      <c r="V10517" s="6" t="s">
        <v>1283</v>
      </c>
      <c r="W10517" s="6" t="s">
        <v>64449</v>
      </c>
      <c r="X10517" s="9" t="str">
        <f>HYPERLINK("https://my.pitchbook.com?p=15441-94P","View People Online")</f>
        <v>View People Online</v>
      </c>
    </row>
    <row r="10518">
      <c r="A10518" s="10" t="s">
        <v>64723</v>
      </c>
      <c r="B10518" s="10" t="s">
        <v>64724</v>
      </c>
      <c r="C10518" s="10" t="s">
        <v>64725</v>
      </c>
      <c r="D10518" s="10" t="s">
        <v>64726</v>
      </c>
      <c r="E10518" s="10" t="s">
        <v>64449</v>
      </c>
      <c r="F10518" s="10" t="s">
        <v>3600</v>
      </c>
      <c r="G10518" s="10" t="s">
        <v>64727</v>
      </c>
      <c r="H10518" s="11" t="s">
        <v>31</v>
      </c>
      <c r="I10518" s="11">
        <v>1.0</v>
      </c>
      <c r="J10518" s="11">
        <v>1.0</v>
      </c>
      <c r="K10518" s="11" t="s">
        <v>31</v>
      </c>
      <c r="L10518" s="12" t="s">
        <v>64451</v>
      </c>
      <c r="M10518" s="10" t="s">
        <v>64728</v>
      </c>
      <c r="N10518" s="10" t="s">
        <v>4232</v>
      </c>
      <c r="O10518" s="12" t="s">
        <v>4233</v>
      </c>
      <c r="P10518" s="10" t="s">
        <v>64453</v>
      </c>
      <c r="Q10518" s="10" t="s">
        <v>33967</v>
      </c>
      <c r="R10518" s="10" t="s">
        <v>4236</v>
      </c>
      <c r="S10518" s="12" t="s">
        <v>13212</v>
      </c>
      <c r="T10518" s="10" t="s">
        <v>66</v>
      </c>
      <c r="U10518" s="12" t="s">
        <v>64454</v>
      </c>
      <c r="V10518" s="10" t="s">
        <v>3600</v>
      </c>
      <c r="W10518" s="10" t="s">
        <v>64449</v>
      </c>
      <c r="X10518" s="13" t="str">
        <f>HYPERLINK("https://my.pitchbook.com?p=435545-47P","View People Online")</f>
        <v>View People Online</v>
      </c>
    </row>
    <row r="10519">
      <c r="A10519" s="14" t="s">
        <v>64729</v>
      </c>
      <c r="B10519" s="14" t="s">
        <v>64730</v>
      </c>
      <c r="C10519" s="14" t="s">
        <v>64731</v>
      </c>
      <c r="D10519" s="14" t="s">
        <v>64732</v>
      </c>
      <c r="E10519" s="14" t="s">
        <v>64449</v>
      </c>
      <c r="F10519" s="14" t="s">
        <v>8217</v>
      </c>
      <c r="G10519" s="14" t="s">
        <v>64733</v>
      </c>
      <c r="H10519" s="15" t="s">
        <v>31</v>
      </c>
      <c r="I10519" s="15">
        <v>1.0</v>
      </c>
      <c r="J10519" s="15">
        <v>1.0</v>
      </c>
      <c r="K10519" s="15" t="s">
        <v>31</v>
      </c>
      <c r="L10519" s="16" t="s">
        <v>64451</v>
      </c>
      <c r="M10519" s="14" t="s">
        <v>31</v>
      </c>
      <c r="N10519" s="14" t="s">
        <v>4232</v>
      </c>
      <c r="O10519" s="16" t="s">
        <v>4233</v>
      </c>
      <c r="P10519" s="14" t="s">
        <v>64453</v>
      </c>
      <c r="Q10519" s="14" t="s">
        <v>33967</v>
      </c>
      <c r="R10519" s="14" t="s">
        <v>4236</v>
      </c>
      <c r="S10519" s="16" t="s">
        <v>13212</v>
      </c>
      <c r="T10519" s="14" t="s">
        <v>66</v>
      </c>
      <c r="U10519" s="16" t="s">
        <v>64454</v>
      </c>
      <c r="V10519" s="14" t="s">
        <v>64734</v>
      </c>
      <c r="W10519" s="14" t="s">
        <v>64449</v>
      </c>
      <c r="X10519" s="17" t="str">
        <f>HYPERLINK("https://my.pitchbook.com?p=435547-18P","View People Online")</f>
        <v>View People Online</v>
      </c>
    </row>
    <row r="10520">
      <c r="A10520" s="10" t="s">
        <v>64735</v>
      </c>
      <c r="B10520" s="10" t="s">
        <v>64736</v>
      </c>
      <c r="C10520" s="10" t="s">
        <v>1489</v>
      </c>
      <c r="D10520" s="10" t="s">
        <v>64737</v>
      </c>
      <c r="E10520" s="10" t="s">
        <v>64449</v>
      </c>
      <c r="F10520" s="10" t="s">
        <v>667</v>
      </c>
      <c r="G10520" s="10" t="s">
        <v>64738</v>
      </c>
      <c r="H10520" s="11" t="s">
        <v>31</v>
      </c>
      <c r="I10520" s="11">
        <v>1.0</v>
      </c>
      <c r="J10520" s="11">
        <v>1.0</v>
      </c>
      <c r="K10520" s="11" t="s">
        <v>31</v>
      </c>
      <c r="L10520" s="12" t="s">
        <v>64451</v>
      </c>
      <c r="M10520" s="10" t="s">
        <v>64739</v>
      </c>
      <c r="N10520" s="10" t="s">
        <v>4232</v>
      </c>
      <c r="O10520" s="12" t="s">
        <v>4233</v>
      </c>
      <c r="P10520" s="10" t="s">
        <v>64453</v>
      </c>
      <c r="Q10520" s="10" t="s">
        <v>33967</v>
      </c>
      <c r="R10520" s="10" t="s">
        <v>4236</v>
      </c>
      <c r="S10520" s="12" t="s">
        <v>13212</v>
      </c>
      <c r="T10520" s="10" t="s">
        <v>66</v>
      </c>
      <c r="U10520" s="12" t="s">
        <v>64454</v>
      </c>
      <c r="V10520" s="10" t="s">
        <v>64740</v>
      </c>
      <c r="W10520" s="10" t="s">
        <v>64449</v>
      </c>
      <c r="X10520" s="13" t="str">
        <f>HYPERLINK("https://my.pitchbook.com?p=435548-62P","View People Online")</f>
        <v>View People Online</v>
      </c>
    </row>
    <row r="10521">
      <c r="A10521" s="14" t="s">
        <v>64741</v>
      </c>
      <c r="B10521" s="14" t="s">
        <v>64742</v>
      </c>
      <c r="C10521" s="14" t="s">
        <v>4444</v>
      </c>
      <c r="D10521" s="14" t="s">
        <v>64743</v>
      </c>
      <c r="E10521" s="14" t="s">
        <v>64449</v>
      </c>
      <c r="F10521" s="14" t="s">
        <v>201</v>
      </c>
      <c r="G10521" s="14" t="s">
        <v>64744</v>
      </c>
      <c r="H10521" s="15" t="s">
        <v>31</v>
      </c>
      <c r="I10521" s="15">
        <v>1.0</v>
      </c>
      <c r="J10521" s="15">
        <v>1.0</v>
      </c>
      <c r="K10521" s="15" t="s">
        <v>31</v>
      </c>
      <c r="L10521" s="16" t="s">
        <v>64451</v>
      </c>
      <c r="M10521" s="14" t="s">
        <v>64745</v>
      </c>
      <c r="N10521" s="14" t="s">
        <v>4232</v>
      </c>
      <c r="O10521" s="16" t="s">
        <v>4233</v>
      </c>
      <c r="P10521" s="14" t="s">
        <v>64453</v>
      </c>
      <c r="Q10521" s="14" t="s">
        <v>33967</v>
      </c>
      <c r="R10521" s="14" t="s">
        <v>4236</v>
      </c>
      <c r="S10521" s="16" t="s">
        <v>13212</v>
      </c>
      <c r="T10521" s="14" t="s">
        <v>66</v>
      </c>
      <c r="U10521" s="16" t="s">
        <v>64454</v>
      </c>
      <c r="V10521" s="14" t="s">
        <v>64503</v>
      </c>
      <c r="W10521" s="14" t="s">
        <v>64449</v>
      </c>
      <c r="X10521" s="17" t="str">
        <f>HYPERLINK("https://my.pitchbook.com?p=435549-61P","View People Online")</f>
        <v>View People Online</v>
      </c>
    </row>
    <row r="10522">
      <c r="A10522" s="2" t="s">
        <v>64746</v>
      </c>
      <c r="B10522" s="2" t="s">
        <v>64747</v>
      </c>
      <c r="C10522" s="2" t="s">
        <v>2221</v>
      </c>
      <c r="D10522" s="2" t="s">
        <v>27914</v>
      </c>
      <c r="E10522" s="2" t="s">
        <v>64449</v>
      </c>
      <c r="F10522" s="2" t="s">
        <v>548</v>
      </c>
      <c r="G10522" s="2" t="s">
        <v>64748</v>
      </c>
      <c r="H10522" s="3" t="s">
        <v>31</v>
      </c>
      <c r="I10522" s="3">
        <v>1.0</v>
      </c>
      <c r="J10522" s="3">
        <v>1.0</v>
      </c>
      <c r="K10522" s="3" t="s">
        <v>31</v>
      </c>
      <c r="L10522" s="4" t="s">
        <v>64451</v>
      </c>
      <c r="M10522" s="2" t="s">
        <v>64749</v>
      </c>
      <c r="N10522" s="2" t="s">
        <v>4232</v>
      </c>
      <c r="O10522" s="4" t="s">
        <v>4233</v>
      </c>
      <c r="P10522" s="2" t="s">
        <v>64453</v>
      </c>
      <c r="Q10522" s="2" t="s">
        <v>33967</v>
      </c>
      <c r="R10522" s="2" t="s">
        <v>4236</v>
      </c>
      <c r="S10522" s="4" t="s">
        <v>13212</v>
      </c>
      <c r="T10522" s="2" t="s">
        <v>66</v>
      </c>
      <c r="U10522" s="4" t="s">
        <v>64454</v>
      </c>
      <c r="V10522" s="2" t="s">
        <v>64750</v>
      </c>
      <c r="W10522" s="2" t="s">
        <v>64449</v>
      </c>
      <c r="X10522" s="5" t="str">
        <f>HYPERLINK("https://my.pitchbook.com?p=435550-96P","View People Online")</f>
        <v>View People Online</v>
      </c>
    </row>
    <row r="10523">
      <c r="A10523" s="6" t="s">
        <v>64751</v>
      </c>
      <c r="B10523" s="6" t="s">
        <v>64752</v>
      </c>
      <c r="C10523" s="6" t="s">
        <v>5186</v>
      </c>
      <c r="D10523" s="6" t="s">
        <v>64753</v>
      </c>
      <c r="E10523" s="6" t="s">
        <v>64449</v>
      </c>
      <c r="F10523" s="6" t="s">
        <v>371</v>
      </c>
      <c r="G10523" s="6" t="s">
        <v>64754</v>
      </c>
      <c r="H10523" s="7" t="s">
        <v>31</v>
      </c>
      <c r="I10523" s="7">
        <v>1.0</v>
      </c>
      <c r="J10523" s="7">
        <v>1.0</v>
      </c>
      <c r="K10523" s="7" t="s">
        <v>31</v>
      </c>
      <c r="L10523" s="8" t="s">
        <v>31</v>
      </c>
      <c r="M10523" s="6" t="s">
        <v>64755</v>
      </c>
      <c r="N10523" s="6" t="s">
        <v>1442</v>
      </c>
      <c r="O10523" s="8" t="s">
        <v>1443</v>
      </c>
      <c r="P10523" s="6" t="s">
        <v>64756</v>
      </c>
      <c r="Q10523" s="6" t="s">
        <v>64757</v>
      </c>
      <c r="R10523" s="6" t="s">
        <v>1277</v>
      </c>
      <c r="S10523" s="8" t="s">
        <v>30123</v>
      </c>
      <c r="T10523" s="6" t="s">
        <v>66</v>
      </c>
      <c r="U10523" s="8" t="s">
        <v>31</v>
      </c>
      <c r="V10523" s="6" t="s">
        <v>371</v>
      </c>
      <c r="W10523" s="6" t="s">
        <v>64449</v>
      </c>
      <c r="X10523" s="9" t="str">
        <f>HYPERLINK("https://my.pitchbook.com?p=435552-22P","View People Online")</f>
        <v>View People Online</v>
      </c>
    </row>
    <row r="10524">
      <c r="A10524" s="10" t="s">
        <v>64758</v>
      </c>
      <c r="B10524" s="10" t="s">
        <v>64759</v>
      </c>
      <c r="C10524" s="10" t="s">
        <v>3126</v>
      </c>
      <c r="D10524" s="10" t="s">
        <v>64760</v>
      </c>
      <c r="E10524" s="10" t="s">
        <v>64449</v>
      </c>
      <c r="F10524" s="10" t="s">
        <v>221</v>
      </c>
      <c r="G10524" s="10" t="s">
        <v>64761</v>
      </c>
      <c r="H10524" s="11" t="s">
        <v>31</v>
      </c>
      <c r="I10524" s="11">
        <v>1.0</v>
      </c>
      <c r="J10524" s="11">
        <v>1.0</v>
      </c>
      <c r="K10524" s="11" t="s">
        <v>31</v>
      </c>
      <c r="L10524" s="12" t="s">
        <v>31</v>
      </c>
      <c r="M10524" s="10" t="s">
        <v>64762</v>
      </c>
      <c r="N10524" s="10" t="s">
        <v>75</v>
      </c>
      <c r="O10524" s="12" t="s">
        <v>76</v>
      </c>
      <c r="P10524" s="10" t="s">
        <v>64570</v>
      </c>
      <c r="Q10524" s="10" t="s">
        <v>2839</v>
      </c>
      <c r="R10524" s="10" t="s">
        <v>75</v>
      </c>
      <c r="S10524" s="12" t="s">
        <v>1896</v>
      </c>
      <c r="T10524" s="10" t="s">
        <v>66</v>
      </c>
      <c r="U10524" s="12" t="s">
        <v>31</v>
      </c>
      <c r="V10524" s="10" t="s">
        <v>221</v>
      </c>
      <c r="W10524" s="10" t="s">
        <v>64449</v>
      </c>
      <c r="X10524" s="13" t="str">
        <f>HYPERLINK("https://my.pitchbook.com?p=430863-85P","View People Online")</f>
        <v>View People Online</v>
      </c>
    </row>
    <row r="10525">
      <c r="A10525" s="14" t="s">
        <v>64763</v>
      </c>
      <c r="B10525" s="14" t="s">
        <v>64764</v>
      </c>
      <c r="C10525" s="14" t="s">
        <v>64765</v>
      </c>
      <c r="D10525" s="14" t="s">
        <v>119</v>
      </c>
      <c r="E10525" s="14" t="s">
        <v>64449</v>
      </c>
      <c r="F10525" s="14" t="s">
        <v>221</v>
      </c>
      <c r="G10525" s="14" t="s">
        <v>64766</v>
      </c>
      <c r="H10525" s="15" t="s">
        <v>31</v>
      </c>
      <c r="I10525" s="15">
        <v>1.0</v>
      </c>
      <c r="J10525" s="15">
        <v>1.0</v>
      </c>
      <c r="K10525" s="15" t="s">
        <v>31</v>
      </c>
      <c r="L10525" s="16" t="s">
        <v>64451</v>
      </c>
      <c r="M10525" s="14" t="s">
        <v>64767</v>
      </c>
      <c r="N10525" s="14" t="s">
        <v>4232</v>
      </c>
      <c r="O10525" s="16" t="s">
        <v>4233</v>
      </c>
      <c r="P10525" s="14" t="s">
        <v>64453</v>
      </c>
      <c r="Q10525" s="14" t="s">
        <v>33967</v>
      </c>
      <c r="R10525" s="14" t="s">
        <v>4236</v>
      </c>
      <c r="S10525" s="16" t="s">
        <v>13212</v>
      </c>
      <c r="T10525" s="14" t="s">
        <v>66</v>
      </c>
      <c r="U10525" s="16" t="s">
        <v>64454</v>
      </c>
      <c r="V10525" s="14" t="s">
        <v>221</v>
      </c>
      <c r="W10525" s="14" t="s">
        <v>64449</v>
      </c>
      <c r="X10525" s="17" t="str">
        <f>HYPERLINK("https://my.pitchbook.com?p=435553-48P","View People Online")</f>
        <v>View People Online</v>
      </c>
    </row>
    <row r="10526">
      <c r="A10526" s="2" t="s">
        <v>64768</v>
      </c>
      <c r="B10526" s="2" t="s">
        <v>64769</v>
      </c>
      <c r="C10526" s="2" t="s">
        <v>16889</v>
      </c>
      <c r="D10526" s="2" t="s">
        <v>64770</v>
      </c>
      <c r="E10526" s="2" t="s">
        <v>64449</v>
      </c>
      <c r="F10526" s="2" t="s">
        <v>371</v>
      </c>
      <c r="G10526" s="2" t="s">
        <v>64771</v>
      </c>
      <c r="H10526" s="3" t="s">
        <v>31</v>
      </c>
      <c r="I10526" s="3">
        <v>1.0</v>
      </c>
      <c r="J10526" s="3">
        <v>1.0</v>
      </c>
      <c r="K10526" s="3" t="s">
        <v>31</v>
      </c>
      <c r="L10526" s="4" t="s">
        <v>31</v>
      </c>
      <c r="M10526" s="2" t="s">
        <v>64772</v>
      </c>
      <c r="N10526" s="2" t="s">
        <v>1442</v>
      </c>
      <c r="O10526" s="4" t="s">
        <v>1443</v>
      </c>
      <c r="P10526" s="2" t="s">
        <v>64756</v>
      </c>
      <c r="Q10526" s="2" t="s">
        <v>64757</v>
      </c>
      <c r="R10526" s="2" t="s">
        <v>1277</v>
      </c>
      <c r="S10526" s="4" t="s">
        <v>30123</v>
      </c>
      <c r="T10526" s="2" t="s">
        <v>66</v>
      </c>
      <c r="U10526" s="4" t="s">
        <v>31</v>
      </c>
      <c r="V10526" s="2" t="s">
        <v>371</v>
      </c>
      <c r="W10526" s="2" t="s">
        <v>64449</v>
      </c>
      <c r="X10526" s="5" t="str">
        <f>HYPERLINK("https://my.pitchbook.com?p=377835-76P","View People Online")</f>
        <v>View People Online</v>
      </c>
    </row>
    <row r="10527">
      <c r="A10527" s="14" t="s">
        <v>64773</v>
      </c>
      <c r="B10527" s="14" t="s">
        <v>64774</v>
      </c>
      <c r="C10527" s="14" t="s">
        <v>3132</v>
      </c>
      <c r="D10527" s="14" t="s">
        <v>64775</v>
      </c>
      <c r="E10527" s="14" t="s">
        <v>64449</v>
      </c>
      <c r="F10527" s="14" t="s">
        <v>318</v>
      </c>
      <c r="G10527" s="14" t="s">
        <v>64776</v>
      </c>
      <c r="H10527" s="15" t="s">
        <v>31</v>
      </c>
      <c r="I10527" s="15">
        <v>1.0</v>
      </c>
      <c r="J10527" s="15">
        <v>1.0</v>
      </c>
      <c r="K10527" s="15" t="s">
        <v>31</v>
      </c>
      <c r="L10527" s="16" t="s">
        <v>64451</v>
      </c>
      <c r="M10527" s="14" t="s">
        <v>31</v>
      </c>
      <c r="N10527" s="14" t="s">
        <v>4232</v>
      </c>
      <c r="O10527" s="16" t="s">
        <v>4233</v>
      </c>
      <c r="P10527" s="14" t="s">
        <v>64453</v>
      </c>
      <c r="Q10527" s="14" t="s">
        <v>33967</v>
      </c>
      <c r="R10527" s="14" t="s">
        <v>4236</v>
      </c>
      <c r="S10527" s="16" t="s">
        <v>13212</v>
      </c>
      <c r="T10527" s="14" t="s">
        <v>66</v>
      </c>
      <c r="U10527" s="16" t="s">
        <v>64454</v>
      </c>
      <c r="V10527" s="14" t="s">
        <v>318</v>
      </c>
      <c r="W10527" s="14" t="s">
        <v>64449</v>
      </c>
      <c r="X10527" s="17" t="str">
        <f>HYPERLINK("https://my.pitchbook.com?p=190568-53P","View People Online")</f>
        <v>View People Online</v>
      </c>
    </row>
    <row r="10528">
      <c r="A10528" s="10" t="s">
        <v>64777</v>
      </c>
      <c r="B10528" s="10" t="s">
        <v>64778</v>
      </c>
      <c r="C10528" s="10" t="s">
        <v>2283</v>
      </c>
      <c r="D10528" s="10" t="s">
        <v>2094</v>
      </c>
      <c r="E10528" s="10" t="s">
        <v>64449</v>
      </c>
      <c r="F10528" s="10" t="s">
        <v>270</v>
      </c>
      <c r="G10528" s="10" t="s">
        <v>64779</v>
      </c>
      <c r="H10528" s="11" t="s">
        <v>31</v>
      </c>
      <c r="I10528" s="11">
        <v>1.0</v>
      </c>
      <c r="J10528" s="11">
        <v>1.0</v>
      </c>
      <c r="K10528" s="11" t="s">
        <v>31</v>
      </c>
      <c r="L10528" s="12" t="s">
        <v>64451</v>
      </c>
      <c r="M10528" s="10" t="s">
        <v>64780</v>
      </c>
      <c r="N10528" s="10" t="s">
        <v>4232</v>
      </c>
      <c r="O10528" s="12" t="s">
        <v>4233</v>
      </c>
      <c r="P10528" s="10" t="s">
        <v>64453</v>
      </c>
      <c r="Q10528" s="10" t="s">
        <v>33967</v>
      </c>
      <c r="R10528" s="10" t="s">
        <v>4236</v>
      </c>
      <c r="S10528" s="12" t="s">
        <v>13212</v>
      </c>
      <c r="T10528" s="10" t="s">
        <v>66</v>
      </c>
      <c r="U10528" s="12" t="s">
        <v>64454</v>
      </c>
      <c r="V10528" s="10" t="s">
        <v>64781</v>
      </c>
      <c r="W10528" s="10" t="s">
        <v>64449</v>
      </c>
      <c r="X10528" s="13" t="str">
        <f>HYPERLINK("https://my.pitchbook.com?p=435566-62P","View People Online")</f>
        <v>View People Online</v>
      </c>
    </row>
    <row r="10529">
      <c r="A10529" s="6" t="s">
        <v>64782</v>
      </c>
      <c r="B10529" s="6" t="s">
        <v>64783</v>
      </c>
      <c r="C10529" s="6" t="s">
        <v>2288</v>
      </c>
      <c r="D10529" s="6" t="s">
        <v>64784</v>
      </c>
      <c r="E10529" s="6" t="s">
        <v>64449</v>
      </c>
      <c r="F10529" s="6" t="s">
        <v>3600</v>
      </c>
      <c r="G10529" s="6" t="s">
        <v>64785</v>
      </c>
      <c r="H10529" s="7" t="s">
        <v>31</v>
      </c>
      <c r="I10529" s="7">
        <v>1.0</v>
      </c>
      <c r="J10529" s="7">
        <v>1.0</v>
      </c>
      <c r="K10529" s="7" t="s">
        <v>31</v>
      </c>
      <c r="L10529" s="8" t="s">
        <v>64786</v>
      </c>
      <c r="M10529" s="6" t="s">
        <v>64787</v>
      </c>
      <c r="N10529" s="6" t="s">
        <v>4232</v>
      </c>
      <c r="O10529" s="8" t="s">
        <v>4233</v>
      </c>
      <c r="P10529" s="6" t="s">
        <v>64453</v>
      </c>
      <c r="Q10529" s="6" t="s">
        <v>33967</v>
      </c>
      <c r="R10529" s="6" t="s">
        <v>4236</v>
      </c>
      <c r="S10529" s="8" t="s">
        <v>13212</v>
      </c>
      <c r="T10529" s="6" t="s">
        <v>66</v>
      </c>
      <c r="U10529" s="8" t="s">
        <v>64454</v>
      </c>
      <c r="V10529" s="6" t="s">
        <v>64513</v>
      </c>
      <c r="W10529" s="6" t="s">
        <v>64449</v>
      </c>
      <c r="X10529" s="9" t="str">
        <f>HYPERLINK("https://my.pitchbook.com?p=15980-23P","View People Online")</f>
        <v>View People Online</v>
      </c>
    </row>
    <row r="10530">
      <c r="A10530" s="2" t="s">
        <v>64788</v>
      </c>
      <c r="B10530" s="2" t="s">
        <v>64789</v>
      </c>
      <c r="C10530" s="2" t="s">
        <v>1645</v>
      </c>
      <c r="D10530" s="2" t="s">
        <v>10911</v>
      </c>
      <c r="E10530" s="2" t="s">
        <v>64449</v>
      </c>
      <c r="F10530" s="2" t="s">
        <v>201</v>
      </c>
      <c r="G10530" s="2" t="s">
        <v>64790</v>
      </c>
      <c r="H10530" s="3" t="s">
        <v>31</v>
      </c>
      <c r="I10530" s="3">
        <v>1.0</v>
      </c>
      <c r="J10530" s="3">
        <v>1.0</v>
      </c>
      <c r="K10530" s="3" t="s">
        <v>31</v>
      </c>
      <c r="L10530" s="4" t="s">
        <v>64451</v>
      </c>
      <c r="M10530" s="2" t="s">
        <v>64791</v>
      </c>
      <c r="N10530" s="2" t="s">
        <v>4232</v>
      </c>
      <c r="O10530" s="4" t="s">
        <v>4233</v>
      </c>
      <c r="P10530" s="2" t="s">
        <v>64453</v>
      </c>
      <c r="Q10530" s="2" t="s">
        <v>33967</v>
      </c>
      <c r="R10530" s="2" t="s">
        <v>4236</v>
      </c>
      <c r="S10530" s="4" t="s">
        <v>13212</v>
      </c>
      <c r="T10530" s="2" t="s">
        <v>66</v>
      </c>
      <c r="U10530" s="4" t="s">
        <v>64454</v>
      </c>
      <c r="V10530" s="2" t="s">
        <v>201</v>
      </c>
      <c r="W10530" s="2" t="s">
        <v>64449</v>
      </c>
      <c r="X10530" s="5" t="str">
        <f>HYPERLINK("https://my.pitchbook.com?p=430836-76P","View People Online")</f>
        <v>View People Online</v>
      </c>
    </row>
    <row r="10531">
      <c r="A10531" s="6" t="s">
        <v>64792</v>
      </c>
      <c r="B10531" s="6" t="s">
        <v>64793</v>
      </c>
      <c r="C10531" s="6" t="s">
        <v>160</v>
      </c>
      <c r="D10531" s="6" t="s">
        <v>64794</v>
      </c>
      <c r="E10531" s="6" t="s">
        <v>64449</v>
      </c>
      <c r="F10531" s="6" t="s">
        <v>201</v>
      </c>
      <c r="G10531" s="6" t="s">
        <v>64795</v>
      </c>
      <c r="H10531" s="7" t="s">
        <v>31</v>
      </c>
      <c r="I10531" s="7">
        <v>1.0</v>
      </c>
      <c r="J10531" s="7">
        <v>1.0</v>
      </c>
      <c r="K10531" s="7" t="s">
        <v>31</v>
      </c>
      <c r="L10531" s="8" t="s">
        <v>64451</v>
      </c>
      <c r="M10531" s="6" t="s">
        <v>64796</v>
      </c>
      <c r="N10531" s="6" t="s">
        <v>4232</v>
      </c>
      <c r="O10531" s="8" t="s">
        <v>4233</v>
      </c>
      <c r="P10531" s="6" t="s">
        <v>64453</v>
      </c>
      <c r="Q10531" s="6" t="s">
        <v>33967</v>
      </c>
      <c r="R10531" s="6" t="s">
        <v>4236</v>
      </c>
      <c r="S10531" s="8" t="s">
        <v>13212</v>
      </c>
      <c r="T10531" s="6" t="s">
        <v>66</v>
      </c>
      <c r="U10531" s="8" t="s">
        <v>64454</v>
      </c>
      <c r="V10531" s="6" t="s">
        <v>64797</v>
      </c>
      <c r="W10531" s="6" t="s">
        <v>64449</v>
      </c>
      <c r="X10531" s="9" t="str">
        <f>HYPERLINK("https://my.pitchbook.com?p=435567-61P","View People Online")</f>
        <v>View People Online</v>
      </c>
    </row>
    <row r="10532">
      <c r="A10532" s="2" t="s">
        <v>64798</v>
      </c>
      <c r="B10532" s="2" t="s">
        <v>64799</v>
      </c>
      <c r="C10532" s="2" t="s">
        <v>369</v>
      </c>
      <c r="D10532" s="2" t="s">
        <v>3280</v>
      </c>
      <c r="E10532" s="2" t="s">
        <v>64449</v>
      </c>
      <c r="F10532" s="2" t="s">
        <v>221</v>
      </c>
      <c r="G10532" s="2" t="s">
        <v>64800</v>
      </c>
      <c r="H10532" s="3" t="s">
        <v>31</v>
      </c>
      <c r="I10532" s="3">
        <v>1.0</v>
      </c>
      <c r="J10532" s="3">
        <v>1.0</v>
      </c>
      <c r="K10532" s="3" t="s">
        <v>31</v>
      </c>
      <c r="L10532" s="4" t="s">
        <v>64451</v>
      </c>
      <c r="M10532" s="2" t="s">
        <v>64801</v>
      </c>
      <c r="N10532" s="2" t="s">
        <v>4232</v>
      </c>
      <c r="O10532" s="4" t="s">
        <v>4233</v>
      </c>
      <c r="P10532" s="2" t="s">
        <v>64453</v>
      </c>
      <c r="Q10532" s="2" t="s">
        <v>33967</v>
      </c>
      <c r="R10532" s="2" t="s">
        <v>4236</v>
      </c>
      <c r="S10532" s="4" t="s">
        <v>13212</v>
      </c>
      <c r="T10532" s="2" t="s">
        <v>66</v>
      </c>
      <c r="U10532" s="4" t="s">
        <v>64454</v>
      </c>
      <c r="V10532" s="2" t="s">
        <v>221</v>
      </c>
      <c r="W10532" s="2" t="s">
        <v>64449</v>
      </c>
      <c r="X10532" s="5" t="str">
        <f>HYPERLINK("https://my.pitchbook.com?p=275940-10P","View People Online")</f>
        <v>View People Online</v>
      </c>
    </row>
    <row r="10533">
      <c r="A10533" s="14" t="s">
        <v>64802</v>
      </c>
      <c r="B10533" s="14" t="s">
        <v>64803</v>
      </c>
      <c r="C10533" s="14" t="s">
        <v>3852</v>
      </c>
      <c r="D10533" s="14" t="s">
        <v>2702</v>
      </c>
      <c r="E10533" s="14" t="s">
        <v>64449</v>
      </c>
      <c r="F10533" s="14" t="s">
        <v>3600</v>
      </c>
      <c r="G10533" s="14" t="s">
        <v>64804</v>
      </c>
      <c r="H10533" s="15" t="s">
        <v>31</v>
      </c>
      <c r="I10533" s="15">
        <v>1.0</v>
      </c>
      <c r="J10533" s="15">
        <v>1.0</v>
      </c>
      <c r="K10533" s="15" t="s">
        <v>31</v>
      </c>
      <c r="L10533" s="16" t="s">
        <v>64451</v>
      </c>
      <c r="M10533" s="14" t="s">
        <v>64805</v>
      </c>
      <c r="N10533" s="14" t="s">
        <v>4232</v>
      </c>
      <c r="O10533" s="16" t="s">
        <v>4233</v>
      </c>
      <c r="P10533" s="14" t="s">
        <v>64453</v>
      </c>
      <c r="Q10533" s="14" t="s">
        <v>33967</v>
      </c>
      <c r="R10533" s="14" t="s">
        <v>4236</v>
      </c>
      <c r="S10533" s="16" t="s">
        <v>13212</v>
      </c>
      <c r="T10533" s="14" t="s">
        <v>66</v>
      </c>
      <c r="U10533" s="16" t="s">
        <v>64454</v>
      </c>
      <c r="V10533" s="14" t="s">
        <v>3600</v>
      </c>
      <c r="W10533" s="14" t="s">
        <v>64449</v>
      </c>
      <c r="X10533" s="17" t="str">
        <f>HYPERLINK("https://my.pitchbook.com?p=435568-69P","View People Online")</f>
        <v>View People Online</v>
      </c>
    </row>
    <row r="10534">
      <c r="A10534" s="2" t="s">
        <v>64806</v>
      </c>
      <c r="B10534" s="2" t="s">
        <v>64807</v>
      </c>
      <c r="C10534" s="2" t="s">
        <v>126</v>
      </c>
      <c r="D10534" s="2" t="s">
        <v>10527</v>
      </c>
      <c r="E10534" s="2" t="s">
        <v>64449</v>
      </c>
      <c r="F10534" s="2" t="s">
        <v>3600</v>
      </c>
      <c r="G10534" s="2" t="s">
        <v>64808</v>
      </c>
      <c r="H10534" s="3" t="s">
        <v>31</v>
      </c>
      <c r="I10534" s="3">
        <v>1.0</v>
      </c>
      <c r="J10534" s="3">
        <v>1.0</v>
      </c>
      <c r="K10534" s="3" t="s">
        <v>31</v>
      </c>
      <c r="L10534" s="4" t="s">
        <v>64451</v>
      </c>
      <c r="M10534" s="2" t="s">
        <v>64809</v>
      </c>
      <c r="N10534" s="2" t="s">
        <v>4232</v>
      </c>
      <c r="O10534" s="4" t="s">
        <v>4233</v>
      </c>
      <c r="P10534" s="2" t="s">
        <v>64453</v>
      </c>
      <c r="Q10534" s="2" t="s">
        <v>33967</v>
      </c>
      <c r="R10534" s="2" t="s">
        <v>4236</v>
      </c>
      <c r="S10534" s="4" t="s">
        <v>13212</v>
      </c>
      <c r="T10534" s="2" t="s">
        <v>66</v>
      </c>
      <c r="U10534" s="4" t="s">
        <v>64454</v>
      </c>
      <c r="V10534" s="2" t="s">
        <v>3600</v>
      </c>
      <c r="W10534" s="2" t="s">
        <v>64449</v>
      </c>
      <c r="X10534" s="5" t="str">
        <f>HYPERLINK("https://my.pitchbook.com?p=435569-41P","View People Online")</f>
        <v>View People Online</v>
      </c>
    </row>
    <row r="10535">
      <c r="A10535" s="6" t="s">
        <v>64810</v>
      </c>
      <c r="B10535" s="6" t="s">
        <v>64811</v>
      </c>
      <c r="C10535" s="6" t="s">
        <v>64812</v>
      </c>
      <c r="D10535" s="6" t="s">
        <v>64813</v>
      </c>
      <c r="E10535" s="6" t="s">
        <v>64449</v>
      </c>
      <c r="F10535" s="6" t="s">
        <v>371</v>
      </c>
      <c r="G10535" s="6" t="s">
        <v>64814</v>
      </c>
      <c r="H10535" s="7" t="s">
        <v>31</v>
      </c>
      <c r="I10535" s="7">
        <v>1.0</v>
      </c>
      <c r="J10535" s="7">
        <v>1.0</v>
      </c>
      <c r="K10535" s="7" t="s">
        <v>31</v>
      </c>
      <c r="L10535" s="8" t="s">
        <v>64451</v>
      </c>
      <c r="M10535" s="6" t="s">
        <v>64815</v>
      </c>
      <c r="N10535" s="6" t="s">
        <v>4232</v>
      </c>
      <c r="O10535" s="8" t="s">
        <v>4233</v>
      </c>
      <c r="P10535" s="6" t="s">
        <v>64453</v>
      </c>
      <c r="Q10535" s="6" t="s">
        <v>33967</v>
      </c>
      <c r="R10535" s="6" t="s">
        <v>4236</v>
      </c>
      <c r="S10535" s="8" t="s">
        <v>13212</v>
      </c>
      <c r="T10535" s="6" t="s">
        <v>66</v>
      </c>
      <c r="U10535" s="8" t="s">
        <v>64454</v>
      </c>
      <c r="V10535" s="6" t="s">
        <v>371</v>
      </c>
      <c r="W10535" s="6" t="s">
        <v>64449</v>
      </c>
      <c r="X10535" s="9" t="str">
        <f>HYPERLINK("https://my.pitchbook.com?p=435570-58P","View People Online")</f>
        <v>View People Online</v>
      </c>
    </row>
    <row r="10536">
      <c r="A10536" s="2" t="s">
        <v>64816</v>
      </c>
      <c r="B10536" s="2" t="s">
        <v>64817</v>
      </c>
      <c r="C10536" s="2" t="s">
        <v>3215</v>
      </c>
      <c r="D10536" s="2" t="s">
        <v>25744</v>
      </c>
      <c r="E10536" s="2" t="s">
        <v>64449</v>
      </c>
      <c r="F10536" s="2" t="s">
        <v>3600</v>
      </c>
      <c r="G10536" s="2" t="s">
        <v>64818</v>
      </c>
      <c r="H10536" s="3" t="s">
        <v>31</v>
      </c>
      <c r="I10536" s="3">
        <v>1.0</v>
      </c>
      <c r="J10536" s="3">
        <v>1.0</v>
      </c>
      <c r="K10536" s="3" t="s">
        <v>31</v>
      </c>
      <c r="L10536" s="4" t="s">
        <v>64451</v>
      </c>
      <c r="M10536" s="2" t="s">
        <v>64819</v>
      </c>
      <c r="N10536" s="2" t="s">
        <v>4232</v>
      </c>
      <c r="O10536" s="4" t="s">
        <v>4233</v>
      </c>
      <c r="P10536" s="2" t="s">
        <v>64453</v>
      </c>
      <c r="Q10536" s="2" t="s">
        <v>33967</v>
      </c>
      <c r="R10536" s="2" t="s">
        <v>4236</v>
      </c>
      <c r="S10536" s="4" t="s">
        <v>13212</v>
      </c>
      <c r="T10536" s="2" t="s">
        <v>66</v>
      </c>
      <c r="U10536" s="4" t="s">
        <v>64454</v>
      </c>
      <c r="V10536" s="2" t="s">
        <v>3600</v>
      </c>
      <c r="W10536" s="2" t="s">
        <v>64449</v>
      </c>
      <c r="X10536" s="5" t="str">
        <f>HYPERLINK("https://my.pitchbook.com?p=435572-74P","View People Online")</f>
        <v>View People Online</v>
      </c>
    </row>
    <row r="10537">
      <c r="A10537" s="14" t="s">
        <v>64820</v>
      </c>
      <c r="B10537" s="14" t="s">
        <v>64821</v>
      </c>
      <c r="C10537" s="14" t="s">
        <v>6111</v>
      </c>
      <c r="D10537" s="14" t="s">
        <v>64822</v>
      </c>
      <c r="E10537" s="14" t="s">
        <v>64449</v>
      </c>
      <c r="F10537" s="14" t="s">
        <v>201</v>
      </c>
      <c r="G10537" s="14" t="s">
        <v>64823</v>
      </c>
      <c r="H10537" s="15" t="s">
        <v>31</v>
      </c>
      <c r="I10537" s="15">
        <v>1.0</v>
      </c>
      <c r="J10537" s="15">
        <v>1.0</v>
      </c>
      <c r="K10537" s="15" t="s">
        <v>31</v>
      </c>
      <c r="L10537" s="16" t="s">
        <v>64451</v>
      </c>
      <c r="M10537" s="14" t="s">
        <v>64824</v>
      </c>
      <c r="N10537" s="14" t="s">
        <v>4232</v>
      </c>
      <c r="O10537" s="16" t="s">
        <v>4233</v>
      </c>
      <c r="P10537" s="14" t="s">
        <v>64453</v>
      </c>
      <c r="Q10537" s="14" t="s">
        <v>33967</v>
      </c>
      <c r="R10537" s="14" t="s">
        <v>4236</v>
      </c>
      <c r="S10537" s="16" t="s">
        <v>13212</v>
      </c>
      <c r="T10537" s="14" t="s">
        <v>66</v>
      </c>
      <c r="U10537" s="16" t="s">
        <v>64454</v>
      </c>
      <c r="V10537" s="14" t="s">
        <v>64541</v>
      </c>
      <c r="W10537" s="14" t="s">
        <v>64449</v>
      </c>
      <c r="X10537" s="17" t="str">
        <f>HYPERLINK("https://my.pitchbook.com?p=435574-18P","View People Online")</f>
        <v>View People Online</v>
      </c>
    </row>
    <row r="10538">
      <c r="A10538" s="2" t="s">
        <v>64825</v>
      </c>
      <c r="B10538" s="2" t="s">
        <v>64826</v>
      </c>
      <c r="C10538" s="2" t="s">
        <v>64827</v>
      </c>
      <c r="D10538" s="2" t="s">
        <v>64828</v>
      </c>
      <c r="E10538" s="2" t="s">
        <v>64449</v>
      </c>
      <c r="F10538" s="2" t="s">
        <v>221</v>
      </c>
      <c r="G10538" s="2" t="s">
        <v>64829</v>
      </c>
      <c r="H10538" s="3" t="s">
        <v>31</v>
      </c>
      <c r="I10538" s="3">
        <v>1.0</v>
      </c>
      <c r="J10538" s="3">
        <v>1.0</v>
      </c>
      <c r="K10538" s="3" t="s">
        <v>31</v>
      </c>
      <c r="L10538" s="4" t="s">
        <v>31</v>
      </c>
      <c r="M10538" s="2" t="s">
        <v>64830</v>
      </c>
      <c r="N10538" s="2" t="s">
        <v>75</v>
      </c>
      <c r="O10538" s="4" t="s">
        <v>76</v>
      </c>
      <c r="P10538" s="2" t="s">
        <v>64570</v>
      </c>
      <c r="Q10538" s="2" t="s">
        <v>2839</v>
      </c>
      <c r="R10538" s="2" t="s">
        <v>75</v>
      </c>
      <c r="S10538" s="4" t="s">
        <v>1896</v>
      </c>
      <c r="T10538" s="2" t="s">
        <v>66</v>
      </c>
      <c r="U10538" s="4" t="s">
        <v>31</v>
      </c>
      <c r="V10538" s="2" t="s">
        <v>221</v>
      </c>
      <c r="W10538" s="2" t="s">
        <v>64449</v>
      </c>
      <c r="X10538" s="5" t="str">
        <f>HYPERLINK("https://my.pitchbook.com?p=326509-93P","View People Online")</f>
        <v>View People Online</v>
      </c>
    </row>
    <row r="10539">
      <c r="A10539" s="6" t="s">
        <v>64831</v>
      </c>
      <c r="B10539" s="6" t="s">
        <v>64832</v>
      </c>
      <c r="C10539" s="6" t="s">
        <v>64833</v>
      </c>
      <c r="D10539" s="6" t="s">
        <v>64834</v>
      </c>
      <c r="E10539" s="6" t="s">
        <v>64449</v>
      </c>
      <c r="F10539" s="6" t="s">
        <v>201</v>
      </c>
      <c r="G10539" s="6" t="s">
        <v>64835</v>
      </c>
      <c r="H10539" s="7" t="s">
        <v>31</v>
      </c>
      <c r="I10539" s="7">
        <v>1.0</v>
      </c>
      <c r="J10539" s="7">
        <v>1.0</v>
      </c>
      <c r="K10539" s="7" t="s">
        <v>31</v>
      </c>
      <c r="L10539" s="8" t="s">
        <v>64451</v>
      </c>
      <c r="M10539" s="6" t="s">
        <v>64836</v>
      </c>
      <c r="N10539" s="6" t="s">
        <v>4232</v>
      </c>
      <c r="O10539" s="8" t="s">
        <v>4233</v>
      </c>
      <c r="P10539" s="6" t="s">
        <v>64453</v>
      </c>
      <c r="Q10539" s="6" t="s">
        <v>33967</v>
      </c>
      <c r="R10539" s="6" t="s">
        <v>4236</v>
      </c>
      <c r="S10539" s="8" t="s">
        <v>13212</v>
      </c>
      <c r="T10539" s="6" t="s">
        <v>66</v>
      </c>
      <c r="U10539" s="8" t="s">
        <v>64454</v>
      </c>
      <c r="V10539" s="6" t="s">
        <v>64837</v>
      </c>
      <c r="W10539" s="6" t="s">
        <v>64449</v>
      </c>
      <c r="X10539" s="9" t="str">
        <f>HYPERLINK("https://my.pitchbook.com?p=435575-62P","View People Online")</f>
        <v>View People Online</v>
      </c>
    </row>
    <row r="10540">
      <c r="A10540" s="10" t="s">
        <v>64838</v>
      </c>
      <c r="B10540" s="10" t="s">
        <v>64839</v>
      </c>
      <c r="C10540" s="10" t="s">
        <v>2388</v>
      </c>
      <c r="D10540" s="10" t="s">
        <v>64840</v>
      </c>
      <c r="E10540" s="10" t="s">
        <v>64449</v>
      </c>
      <c r="F10540" s="10" t="s">
        <v>201</v>
      </c>
      <c r="G10540" s="10" t="s">
        <v>64841</v>
      </c>
      <c r="H10540" s="11" t="s">
        <v>31</v>
      </c>
      <c r="I10540" s="11">
        <v>1.0</v>
      </c>
      <c r="J10540" s="11">
        <v>1.0</v>
      </c>
      <c r="K10540" s="11" t="s">
        <v>31</v>
      </c>
      <c r="L10540" s="12" t="s">
        <v>64842</v>
      </c>
      <c r="M10540" s="10" t="s">
        <v>64843</v>
      </c>
      <c r="N10540" s="10" t="s">
        <v>4232</v>
      </c>
      <c r="O10540" s="12" t="s">
        <v>4233</v>
      </c>
      <c r="P10540" s="10" t="s">
        <v>64453</v>
      </c>
      <c r="Q10540" s="10" t="s">
        <v>33967</v>
      </c>
      <c r="R10540" s="10" t="s">
        <v>4236</v>
      </c>
      <c r="S10540" s="12" t="s">
        <v>13212</v>
      </c>
      <c r="T10540" s="10" t="s">
        <v>66</v>
      </c>
      <c r="U10540" s="12" t="s">
        <v>64454</v>
      </c>
      <c r="V10540" s="10" t="s">
        <v>201</v>
      </c>
      <c r="W10540" s="10" t="s">
        <v>64449</v>
      </c>
      <c r="X10540" s="13" t="str">
        <f>HYPERLINK("https://my.pitchbook.com?p=234865-00P","View People Online")</f>
        <v>View People Online</v>
      </c>
    </row>
    <row r="10541">
      <c r="A10541" s="14" t="s">
        <v>64844</v>
      </c>
      <c r="B10541" s="14" t="s">
        <v>64845</v>
      </c>
      <c r="C10541" s="14" t="s">
        <v>541</v>
      </c>
      <c r="D10541" s="14" t="s">
        <v>64846</v>
      </c>
      <c r="E10541" s="14" t="s">
        <v>64449</v>
      </c>
      <c r="F10541" s="14" t="s">
        <v>120</v>
      </c>
      <c r="G10541" s="14" t="s">
        <v>64847</v>
      </c>
      <c r="H10541" s="15" t="s">
        <v>31</v>
      </c>
      <c r="I10541" s="15">
        <v>1.0</v>
      </c>
      <c r="J10541" s="15">
        <v>1.0</v>
      </c>
      <c r="K10541" s="15" t="s">
        <v>31</v>
      </c>
      <c r="L10541" s="16" t="s">
        <v>64451</v>
      </c>
      <c r="M10541" s="14" t="s">
        <v>64848</v>
      </c>
      <c r="N10541" s="14" t="s">
        <v>4232</v>
      </c>
      <c r="O10541" s="16" t="s">
        <v>4233</v>
      </c>
      <c r="P10541" s="14" t="s">
        <v>64453</v>
      </c>
      <c r="Q10541" s="14" t="s">
        <v>33967</v>
      </c>
      <c r="R10541" s="14" t="s">
        <v>4236</v>
      </c>
      <c r="S10541" s="16" t="s">
        <v>13212</v>
      </c>
      <c r="T10541" s="14" t="s">
        <v>66</v>
      </c>
      <c r="U10541" s="16" t="s">
        <v>64454</v>
      </c>
      <c r="V10541" s="14" t="s">
        <v>120</v>
      </c>
      <c r="W10541" s="14" t="s">
        <v>64449</v>
      </c>
      <c r="X10541" s="17" t="str">
        <f>HYPERLINK("https://my.pitchbook.com?p=144239-32P","View People Online")</f>
        <v>View People Online</v>
      </c>
    </row>
    <row r="10542">
      <c r="A10542" s="10" t="s">
        <v>64849</v>
      </c>
      <c r="B10542" s="10" t="s">
        <v>64850</v>
      </c>
      <c r="C10542" s="10" t="s">
        <v>3875</v>
      </c>
      <c r="D10542" s="10" t="s">
        <v>64851</v>
      </c>
      <c r="E10542" s="10" t="s">
        <v>64449</v>
      </c>
      <c r="F10542" s="10" t="s">
        <v>221</v>
      </c>
      <c r="G10542" s="10" t="s">
        <v>64852</v>
      </c>
      <c r="H10542" s="11" t="s">
        <v>31</v>
      </c>
      <c r="I10542" s="11">
        <v>1.0</v>
      </c>
      <c r="J10542" s="11">
        <v>1.0</v>
      </c>
      <c r="K10542" s="11" t="s">
        <v>31</v>
      </c>
      <c r="L10542" s="12" t="s">
        <v>64451</v>
      </c>
      <c r="M10542" s="10" t="s">
        <v>64853</v>
      </c>
      <c r="N10542" s="10" t="s">
        <v>4232</v>
      </c>
      <c r="O10542" s="12" t="s">
        <v>4233</v>
      </c>
      <c r="P10542" s="10" t="s">
        <v>64453</v>
      </c>
      <c r="Q10542" s="10" t="s">
        <v>33967</v>
      </c>
      <c r="R10542" s="10" t="s">
        <v>4236</v>
      </c>
      <c r="S10542" s="12" t="s">
        <v>13212</v>
      </c>
      <c r="T10542" s="10" t="s">
        <v>66</v>
      </c>
      <c r="U10542" s="12" t="s">
        <v>64454</v>
      </c>
      <c r="V10542" s="10" t="s">
        <v>221</v>
      </c>
      <c r="W10542" s="10" t="s">
        <v>64449</v>
      </c>
      <c r="X10542" s="13" t="str">
        <f>HYPERLINK("https://my.pitchbook.com?p=435577-24P","View People Online")</f>
        <v>View People Online</v>
      </c>
    </row>
    <row r="10543">
      <c r="A10543" s="6" t="s">
        <v>64854</v>
      </c>
      <c r="B10543" s="6" t="s">
        <v>64855</v>
      </c>
      <c r="C10543" s="6" t="s">
        <v>2412</v>
      </c>
      <c r="D10543" s="6" t="s">
        <v>5820</v>
      </c>
      <c r="E10543" s="6" t="s">
        <v>64449</v>
      </c>
      <c r="F10543" s="6" t="s">
        <v>35080</v>
      </c>
      <c r="G10543" s="6" t="s">
        <v>64856</v>
      </c>
      <c r="H10543" s="7" t="s">
        <v>31</v>
      </c>
      <c r="I10543" s="7">
        <v>1.0</v>
      </c>
      <c r="J10543" s="7">
        <v>1.0</v>
      </c>
      <c r="K10543" s="7" t="s">
        <v>31</v>
      </c>
      <c r="L10543" s="8" t="s">
        <v>64451</v>
      </c>
      <c r="M10543" s="6" t="s">
        <v>64857</v>
      </c>
      <c r="N10543" s="6" t="s">
        <v>4232</v>
      </c>
      <c r="O10543" s="8" t="s">
        <v>4233</v>
      </c>
      <c r="P10543" s="6" t="s">
        <v>64453</v>
      </c>
      <c r="Q10543" s="6" t="s">
        <v>33967</v>
      </c>
      <c r="R10543" s="6" t="s">
        <v>4236</v>
      </c>
      <c r="S10543" s="8" t="s">
        <v>13212</v>
      </c>
      <c r="T10543" s="6" t="s">
        <v>66</v>
      </c>
      <c r="U10543" s="8" t="s">
        <v>64454</v>
      </c>
      <c r="V10543" s="6" t="s">
        <v>35080</v>
      </c>
      <c r="W10543" s="6" t="s">
        <v>64449</v>
      </c>
      <c r="X10543" s="9" t="str">
        <f>HYPERLINK("https://my.pitchbook.com?p=436403-08P","View People Online")</f>
        <v>View People Online</v>
      </c>
    </row>
    <row r="10544">
      <c r="A10544" s="10" t="s">
        <v>64858</v>
      </c>
      <c r="B10544" s="10" t="s">
        <v>64859</v>
      </c>
      <c r="C10544" s="10" t="s">
        <v>536</v>
      </c>
      <c r="D10544" s="10" t="s">
        <v>21274</v>
      </c>
      <c r="E10544" s="10" t="s">
        <v>64449</v>
      </c>
      <c r="F10544" s="10" t="s">
        <v>667</v>
      </c>
      <c r="G10544" s="10" t="s">
        <v>64860</v>
      </c>
      <c r="H10544" s="11" t="s">
        <v>31</v>
      </c>
      <c r="I10544" s="11">
        <v>1.0</v>
      </c>
      <c r="J10544" s="11">
        <v>1.0</v>
      </c>
      <c r="K10544" s="11" t="s">
        <v>31</v>
      </c>
      <c r="L10544" s="12" t="s">
        <v>64451</v>
      </c>
      <c r="M10544" s="10" t="s">
        <v>64861</v>
      </c>
      <c r="N10544" s="10" t="s">
        <v>4232</v>
      </c>
      <c r="O10544" s="12" t="s">
        <v>4233</v>
      </c>
      <c r="P10544" s="10" t="s">
        <v>64453</v>
      </c>
      <c r="Q10544" s="10" t="s">
        <v>33967</v>
      </c>
      <c r="R10544" s="10" t="s">
        <v>4236</v>
      </c>
      <c r="S10544" s="12" t="s">
        <v>13212</v>
      </c>
      <c r="T10544" s="10" t="s">
        <v>66</v>
      </c>
      <c r="U10544" s="12" t="s">
        <v>64454</v>
      </c>
      <c r="V10544" s="10" t="s">
        <v>64862</v>
      </c>
      <c r="W10544" s="10" t="s">
        <v>64449</v>
      </c>
      <c r="X10544" s="13" t="str">
        <f>HYPERLINK("https://my.pitchbook.com?p=430843-69P","View People Online")</f>
        <v>View People Online</v>
      </c>
    </row>
    <row r="10545">
      <c r="A10545" s="6" t="s">
        <v>64863</v>
      </c>
      <c r="B10545" s="6" t="s">
        <v>64864</v>
      </c>
      <c r="C10545" s="6" t="s">
        <v>9546</v>
      </c>
      <c r="D10545" s="6" t="s">
        <v>64865</v>
      </c>
      <c r="E10545" s="6" t="s">
        <v>64449</v>
      </c>
      <c r="F10545" s="6" t="s">
        <v>318</v>
      </c>
      <c r="G10545" s="6" t="s">
        <v>64866</v>
      </c>
      <c r="H10545" s="7" t="s">
        <v>31</v>
      </c>
      <c r="I10545" s="7">
        <v>1.0</v>
      </c>
      <c r="J10545" s="7">
        <v>1.0</v>
      </c>
      <c r="K10545" s="7" t="s">
        <v>31</v>
      </c>
      <c r="L10545" s="8" t="s">
        <v>64451</v>
      </c>
      <c r="M10545" s="6" t="s">
        <v>64867</v>
      </c>
      <c r="N10545" s="6" t="s">
        <v>4232</v>
      </c>
      <c r="O10545" s="8" t="s">
        <v>4233</v>
      </c>
      <c r="P10545" s="6" t="s">
        <v>64453</v>
      </c>
      <c r="Q10545" s="6" t="s">
        <v>33967</v>
      </c>
      <c r="R10545" s="6" t="s">
        <v>4236</v>
      </c>
      <c r="S10545" s="8" t="s">
        <v>13212</v>
      </c>
      <c r="T10545" s="6" t="s">
        <v>66</v>
      </c>
      <c r="U10545" s="8" t="s">
        <v>64454</v>
      </c>
      <c r="V10545" s="6" t="s">
        <v>64868</v>
      </c>
      <c r="W10545" s="6" t="s">
        <v>64449</v>
      </c>
      <c r="X10545" s="9" t="str">
        <f>HYPERLINK("https://my.pitchbook.com?p=210767-23P","View People Online")</f>
        <v>View People Online</v>
      </c>
    </row>
    <row r="10546">
      <c r="A10546" s="10" t="s">
        <v>64869</v>
      </c>
      <c r="B10546" s="10" t="s">
        <v>64870</v>
      </c>
      <c r="C10546" s="10" t="s">
        <v>64871</v>
      </c>
      <c r="D10546" s="10" t="s">
        <v>119</v>
      </c>
      <c r="E10546" s="10" t="s">
        <v>64449</v>
      </c>
      <c r="F10546" s="10" t="s">
        <v>221</v>
      </c>
      <c r="G10546" s="10" t="s">
        <v>64872</v>
      </c>
      <c r="H10546" s="11" t="s">
        <v>31</v>
      </c>
      <c r="I10546" s="11">
        <v>1.0</v>
      </c>
      <c r="J10546" s="11">
        <v>1.0</v>
      </c>
      <c r="K10546" s="11" t="s">
        <v>31</v>
      </c>
      <c r="L10546" s="12" t="s">
        <v>64451</v>
      </c>
      <c r="M10546" s="10" t="s">
        <v>64873</v>
      </c>
      <c r="N10546" s="10" t="s">
        <v>4232</v>
      </c>
      <c r="O10546" s="12" t="s">
        <v>4233</v>
      </c>
      <c r="P10546" s="10" t="s">
        <v>64453</v>
      </c>
      <c r="Q10546" s="10" t="s">
        <v>33967</v>
      </c>
      <c r="R10546" s="10" t="s">
        <v>4236</v>
      </c>
      <c r="S10546" s="12" t="s">
        <v>13212</v>
      </c>
      <c r="T10546" s="10" t="s">
        <v>66</v>
      </c>
      <c r="U10546" s="12" t="s">
        <v>64454</v>
      </c>
      <c r="V10546" s="10" t="s">
        <v>221</v>
      </c>
      <c r="W10546" s="10" t="s">
        <v>64449</v>
      </c>
      <c r="X10546" s="13" t="str">
        <f>HYPERLINK("https://my.pitchbook.com?p=342226-54P","View People Online")</f>
        <v>View People Online</v>
      </c>
    </row>
    <row r="10547">
      <c r="A10547" s="6" t="s">
        <v>64874</v>
      </c>
      <c r="B10547" s="6" t="s">
        <v>64875</v>
      </c>
      <c r="C10547" s="6" t="s">
        <v>39107</v>
      </c>
      <c r="D10547" s="6" t="s">
        <v>5657</v>
      </c>
      <c r="E10547" s="6" t="s">
        <v>64449</v>
      </c>
      <c r="F10547" s="6" t="s">
        <v>548</v>
      </c>
      <c r="G10547" s="6" t="s">
        <v>64876</v>
      </c>
      <c r="H10547" s="7" t="s">
        <v>31</v>
      </c>
      <c r="I10547" s="7">
        <v>1.0</v>
      </c>
      <c r="J10547" s="7">
        <v>1.0</v>
      </c>
      <c r="K10547" s="7" t="s">
        <v>31</v>
      </c>
      <c r="L10547" s="8" t="s">
        <v>64451</v>
      </c>
      <c r="M10547" s="6" t="s">
        <v>64877</v>
      </c>
      <c r="N10547" s="6" t="s">
        <v>4232</v>
      </c>
      <c r="O10547" s="8" t="s">
        <v>4233</v>
      </c>
      <c r="P10547" s="6" t="s">
        <v>64453</v>
      </c>
      <c r="Q10547" s="6" t="s">
        <v>33967</v>
      </c>
      <c r="R10547" s="6" t="s">
        <v>4236</v>
      </c>
      <c r="S10547" s="8" t="s">
        <v>13212</v>
      </c>
      <c r="T10547" s="6" t="s">
        <v>66</v>
      </c>
      <c r="U10547" s="8" t="s">
        <v>64454</v>
      </c>
      <c r="V10547" s="6" t="s">
        <v>64878</v>
      </c>
      <c r="W10547" s="6" t="s">
        <v>64449</v>
      </c>
      <c r="X10547" s="9" t="str">
        <f>HYPERLINK("https://my.pitchbook.com?p=435579-67P","View People Online")</f>
        <v>View People Online</v>
      </c>
    </row>
    <row r="10548">
      <c r="A10548" s="10" t="s">
        <v>64879</v>
      </c>
      <c r="B10548" s="10" t="s">
        <v>64880</v>
      </c>
      <c r="C10548" s="10" t="s">
        <v>3722</v>
      </c>
      <c r="D10548" s="10" t="s">
        <v>41320</v>
      </c>
      <c r="E10548" s="10" t="s">
        <v>64449</v>
      </c>
      <c r="F10548" s="10" t="s">
        <v>13066</v>
      </c>
      <c r="G10548" s="10" t="s">
        <v>64881</v>
      </c>
      <c r="H10548" s="11" t="s">
        <v>31</v>
      </c>
      <c r="I10548" s="11">
        <v>9.0</v>
      </c>
      <c r="J10548" s="11">
        <v>1.0</v>
      </c>
      <c r="K10548" s="11" t="s">
        <v>31</v>
      </c>
      <c r="L10548" s="12" t="s">
        <v>64451</v>
      </c>
      <c r="M10548" s="10" t="s">
        <v>64882</v>
      </c>
      <c r="N10548" s="10" t="s">
        <v>4232</v>
      </c>
      <c r="O10548" s="12" t="s">
        <v>4233</v>
      </c>
      <c r="P10548" s="10" t="s">
        <v>64453</v>
      </c>
      <c r="Q10548" s="10" t="s">
        <v>33967</v>
      </c>
      <c r="R10548" s="10" t="s">
        <v>4236</v>
      </c>
      <c r="S10548" s="12" t="s">
        <v>13212</v>
      </c>
      <c r="T10548" s="10" t="s">
        <v>66</v>
      </c>
      <c r="U10548" s="12" t="s">
        <v>64454</v>
      </c>
      <c r="V10548" s="10" t="s">
        <v>13066</v>
      </c>
      <c r="W10548" s="10" t="s">
        <v>64449</v>
      </c>
      <c r="X10548" s="13" t="str">
        <f>HYPERLINK("https://my.pitchbook.com?p=26538-40P","View People Online")</f>
        <v>View People Online</v>
      </c>
    </row>
    <row r="10549">
      <c r="A10549" s="6" t="s">
        <v>64883</v>
      </c>
      <c r="B10549" s="6" t="s">
        <v>64884</v>
      </c>
      <c r="C10549" s="6" t="s">
        <v>4679</v>
      </c>
      <c r="D10549" s="6" t="s">
        <v>64885</v>
      </c>
      <c r="E10549" s="6" t="s">
        <v>64449</v>
      </c>
      <c r="F10549" s="6" t="s">
        <v>221</v>
      </c>
      <c r="G10549" s="6" t="s">
        <v>64886</v>
      </c>
      <c r="H10549" s="7" t="s">
        <v>31</v>
      </c>
      <c r="I10549" s="7">
        <v>1.0</v>
      </c>
      <c r="J10549" s="7">
        <v>1.0</v>
      </c>
      <c r="K10549" s="7" t="s">
        <v>31</v>
      </c>
      <c r="L10549" s="8" t="s">
        <v>64451</v>
      </c>
      <c r="M10549" s="6" t="s">
        <v>64887</v>
      </c>
      <c r="N10549" s="6" t="s">
        <v>4232</v>
      </c>
      <c r="O10549" s="8" t="s">
        <v>4233</v>
      </c>
      <c r="P10549" s="6" t="s">
        <v>64453</v>
      </c>
      <c r="Q10549" s="6" t="s">
        <v>33967</v>
      </c>
      <c r="R10549" s="6" t="s">
        <v>4236</v>
      </c>
      <c r="S10549" s="8" t="s">
        <v>13212</v>
      </c>
      <c r="T10549" s="6" t="s">
        <v>66</v>
      </c>
      <c r="U10549" s="8" t="s">
        <v>64454</v>
      </c>
      <c r="V10549" s="6" t="s">
        <v>221</v>
      </c>
      <c r="W10549" s="6" t="s">
        <v>64449</v>
      </c>
      <c r="X10549" s="9" t="str">
        <f>HYPERLINK("https://my.pitchbook.com?p=435580-48P","View People Online")</f>
        <v>View People Online</v>
      </c>
    </row>
    <row r="10550">
      <c r="A10550" s="10" t="s">
        <v>64888</v>
      </c>
      <c r="B10550" s="10" t="s">
        <v>64889</v>
      </c>
      <c r="C10550" s="10" t="s">
        <v>2478</v>
      </c>
      <c r="D10550" s="10" t="s">
        <v>25901</v>
      </c>
      <c r="E10550" s="10" t="s">
        <v>64449</v>
      </c>
      <c r="F10550" s="10" t="s">
        <v>201</v>
      </c>
      <c r="G10550" s="10" t="s">
        <v>64890</v>
      </c>
      <c r="H10550" s="11" t="s">
        <v>31</v>
      </c>
      <c r="I10550" s="11">
        <v>1.0</v>
      </c>
      <c r="J10550" s="11">
        <v>1.0</v>
      </c>
      <c r="K10550" s="11" t="s">
        <v>31</v>
      </c>
      <c r="L10550" s="12" t="s">
        <v>64451</v>
      </c>
      <c r="M10550" s="10" t="s">
        <v>64891</v>
      </c>
      <c r="N10550" s="10" t="s">
        <v>4232</v>
      </c>
      <c r="O10550" s="12" t="s">
        <v>4233</v>
      </c>
      <c r="P10550" s="10" t="s">
        <v>64453</v>
      </c>
      <c r="Q10550" s="10" t="s">
        <v>33967</v>
      </c>
      <c r="R10550" s="10" t="s">
        <v>4236</v>
      </c>
      <c r="S10550" s="12" t="s">
        <v>13212</v>
      </c>
      <c r="T10550" s="10" t="s">
        <v>66</v>
      </c>
      <c r="U10550" s="12" t="s">
        <v>64454</v>
      </c>
      <c r="V10550" s="10" t="s">
        <v>64503</v>
      </c>
      <c r="W10550" s="10" t="s">
        <v>64449</v>
      </c>
      <c r="X10550" s="13" t="str">
        <f>HYPERLINK("https://my.pitchbook.com?p=435581-11P","View People Online")</f>
        <v>View People Online</v>
      </c>
    </row>
    <row r="10551">
      <c r="A10551" s="6" t="s">
        <v>64892</v>
      </c>
      <c r="B10551" s="6" t="s">
        <v>64893</v>
      </c>
      <c r="C10551" s="6" t="s">
        <v>64894</v>
      </c>
      <c r="D10551" s="6" t="s">
        <v>64895</v>
      </c>
      <c r="E10551" s="6" t="s">
        <v>64449</v>
      </c>
      <c r="F10551" s="6" t="s">
        <v>8217</v>
      </c>
      <c r="G10551" s="6" t="s">
        <v>64896</v>
      </c>
      <c r="H10551" s="7" t="s">
        <v>31</v>
      </c>
      <c r="I10551" s="7">
        <v>1.0</v>
      </c>
      <c r="J10551" s="7">
        <v>1.0</v>
      </c>
      <c r="K10551" s="7" t="s">
        <v>31</v>
      </c>
      <c r="L10551" s="8" t="s">
        <v>64451</v>
      </c>
      <c r="M10551" s="6" t="s">
        <v>64897</v>
      </c>
      <c r="N10551" s="6" t="s">
        <v>4232</v>
      </c>
      <c r="O10551" s="8" t="s">
        <v>4233</v>
      </c>
      <c r="P10551" s="6" t="s">
        <v>64453</v>
      </c>
      <c r="Q10551" s="6" t="s">
        <v>33967</v>
      </c>
      <c r="R10551" s="6" t="s">
        <v>4236</v>
      </c>
      <c r="S10551" s="8" t="s">
        <v>13212</v>
      </c>
      <c r="T10551" s="6" t="s">
        <v>66</v>
      </c>
      <c r="U10551" s="8" t="s">
        <v>64454</v>
      </c>
      <c r="V10551" s="6" t="s">
        <v>8217</v>
      </c>
      <c r="W10551" s="6" t="s">
        <v>64449</v>
      </c>
      <c r="X10551" s="9" t="str">
        <f>HYPERLINK("https://my.pitchbook.com?p=46390-33P","View People Online")</f>
        <v>View People Online</v>
      </c>
    </row>
    <row r="10552">
      <c r="A10552" s="2" t="s">
        <v>64898</v>
      </c>
      <c r="B10552" s="2" t="s">
        <v>64899</v>
      </c>
      <c r="C10552" s="2" t="s">
        <v>562</v>
      </c>
      <c r="D10552" s="2" t="s">
        <v>64900</v>
      </c>
      <c r="E10552" s="2" t="s">
        <v>64449</v>
      </c>
      <c r="F10552" s="2" t="s">
        <v>6567</v>
      </c>
      <c r="G10552" s="2" t="s">
        <v>64901</v>
      </c>
      <c r="H10552" s="3" t="s">
        <v>31</v>
      </c>
      <c r="I10552" s="3">
        <v>1.0</v>
      </c>
      <c r="J10552" s="3">
        <v>1.0</v>
      </c>
      <c r="K10552" s="3" t="s">
        <v>31</v>
      </c>
      <c r="L10552" s="4" t="s">
        <v>64451</v>
      </c>
      <c r="M10552" s="2" t="s">
        <v>64902</v>
      </c>
      <c r="N10552" s="2" t="s">
        <v>4232</v>
      </c>
      <c r="O10552" s="4" t="s">
        <v>4233</v>
      </c>
      <c r="P10552" s="2" t="s">
        <v>64453</v>
      </c>
      <c r="Q10552" s="2" t="s">
        <v>33967</v>
      </c>
      <c r="R10552" s="2" t="s">
        <v>4236</v>
      </c>
      <c r="S10552" s="4" t="s">
        <v>13212</v>
      </c>
      <c r="T10552" s="2" t="s">
        <v>66</v>
      </c>
      <c r="U10552" s="4" t="s">
        <v>64454</v>
      </c>
      <c r="V10552" s="2" t="s">
        <v>46930</v>
      </c>
      <c r="W10552" s="2" t="s">
        <v>64449</v>
      </c>
      <c r="X10552" s="5" t="str">
        <f>HYPERLINK("https://my.pitchbook.com?p=435582-37P","View People Online")</f>
        <v>View People Online</v>
      </c>
    </row>
    <row r="10553">
      <c r="A10553" s="14" t="s">
        <v>64903</v>
      </c>
      <c r="B10553" s="14" t="s">
        <v>64904</v>
      </c>
      <c r="C10553" s="14" t="s">
        <v>1066</v>
      </c>
      <c r="D10553" s="14" t="s">
        <v>29618</v>
      </c>
      <c r="E10553" s="14" t="s">
        <v>64449</v>
      </c>
      <c r="F10553" s="14" t="s">
        <v>120</v>
      </c>
      <c r="G10553" s="14" t="s">
        <v>64905</v>
      </c>
      <c r="H10553" s="15">
        <v>1.0</v>
      </c>
      <c r="I10553" s="15">
        <v>11.0</v>
      </c>
      <c r="J10553" s="15">
        <v>1.0</v>
      </c>
      <c r="K10553" s="15">
        <v>3.0</v>
      </c>
      <c r="L10553" s="16" t="s">
        <v>64451</v>
      </c>
      <c r="M10553" s="14" t="s">
        <v>64906</v>
      </c>
      <c r="N10553" s="14" t="s">
        <v>4232</v>
      </c>
      <c r="O10553" s="16" t="s">
        <v>4233</v>
      </c>
      <c r="P10553" s="14" t="s">
        <v>64453</v>
      </c>
      <c r="Q10553" s="14" t="s">
        <v>33967</v>
      </c>
      <c r="R10553" s="14" t="s">
        <v>4236</v>
      </c>
      <c r="S10553" s="16" t="s">
        <v>13212</v>
      </c>
      <c r="T10553" s="14" t="s">
        <v>66</v>
      </c>
      <c r="U10553" s="16" t="s">
        <v>64454</v>
      </c>
      <c r="V10553" s="14" t="s">
        <v>120</v>
      </c>
      <c r="W10553" s="14" t="s">
        <v>64449</v>
      </c>
      <c r="X10553" s="17" t="str">
        <f>HYPERLINK("https://my.pitchbook.com?p=14126-50P","View People Online")</f>
        <v>View People Online</v>
      </c>
    </row>
    <row r="10554">
      <c r="A10554" s="10" t="s">
        <v>64907</v>
      </c>
      <c r="B10554" s="10" t="s">
        <v>64908</v>
      </c>
      <c r="C10554" s="10" t="s">
        <v>1830</v>
      </c>
      <c r="D10554" s="10" t="s">
        <v>64909</v>
      </c>
      <c r="E10554" s="10" t="s">
        <v>64449</v>
      </c>
      <c r="F10554" s="10" t="s">
        <v>1283</v>
      </c>
      <c r="G10554" s="10" t="s">
        <v>64910</v>
      </c>
      <c r="H10554" s="11" t="s">
        <v>31</v>
      </c>
      <c r="I10554" s="11">
        <v>1.0</v>
      </c>
      <c r="J10554" s="11">
        <v>1.0</v>
      </c>
      <c r="K10554" s="11" t="s">
        <v>31</v>
      </c>
      <c r="L10554" s="12" t="s">
        <v>64911</v>
      </c>
      <c r="M10554" s="10" t="s">
        <v>64912</v>
      </c>
      <c r="N10554" s="10" t="s">
        <v>4232</v>
      </c>
      <c r="O10554" s="12" t="s">
        <v>4233</v>
      </c>
      <c r="P10554" s="10" t="s">
        <v>64453</v>
      </c>
      <c r="Q10554" s="10" t="s">
        <v>33967</v>
      </c>
      <c r="R10554" s="10" t="s">
        <v>4236</v>
      </c>
      <c r="S10554" s="12" t="s">
        <v>13212</v>
      </c>
      <c r="T10554" s="10" t="s">
        <v>66</v>
      </c>
      <c r="U10554" s="12" t="s">
        <v>64454</v>
      </c>
      <c r="V10554" s="10" t="s">
        <v>3406</v>
      </c>
      <c r="W10554" s="10" t="s">
        <v>64449</v>
      </c>
      <c r="X10554" s="13" t="str">
        <f>HYPERLINK("https://my.pitchbook.com?p=291590-74P","View People Online")</f>
        <v>View People Online</v>
      </c>
    </row>
    <row r="10555">
      <c r="A10555" s="14" t="s">
        <v>64913</v>
      </c>
      <c r="B10555" s="14" t="s">
        <v>64914</v>
      </c>
      <c r="C10555" s="14" t="s">
        <v>616</v>
      </c>
      <c r="D10555" s="14" t="s">
        <v>64915</v>
      </c>
      <c r="E10555" s="14" t="s">
        <v>64449</v>
      </c>
      <c r="F10555" s="14" t="s">
        <v>270</v>
      </c>
      <c r="G10555" s="14" t="s">
        <v>64916</v>
      </c>
      <c r="H10555" s="15" t="s">
        <v>31</v>
      </c>
      <c r="I10555" s="15">
        <v>1.0</v>
      </c>
      <c r="J10555" s="15">
        <v>1.0</v>
      </c>
      <c r="K10555" s="15" t="s">
        <v>31</v>
      </c>
      <c r="L10555" s="16" t="s">
        <v>64451</v>
      </c>
      <c r="M10555" s="14" t="s">
        <v>64917</v>
      </c>
      <c r="N10555" s="14" t="s">
        <v>4232</v>
      </c>
      <c r="O10555" s="16" t="s">
        <v>4233</v>
      </c>
      <c r="P10555" s="14" t="s">
        <v>64453</v>
      </c>
      <c r="Q10555" s="14" t="s">
        <v>33967</v>
      </c>
      <c r="R10555" s="14" t="s">
        <v>4236</v>
      </c>
      <c r="S10555" s="16" t="s">
        <v>13212</v>
      </c>
      <c r="T10555" s="14" t="s">
        <v>66</v>
      </c>
      <c r="U10555" s="16" t="s">
        <v>64454</v>
      </c>
      <c r="V10555" s="14" t="s">
        <v>64918</v>
      </c>
      <c r="W10555" s="14" t="s">
        <v>64449</v>
      </c>
      <c r="X10555" s="17" t="str">
        <f>HYPERLINK("https://my.pitchbook.com?p=435583-63P","View People Online")</f>
        <v>View People Online</v>
      </c>
    </row>
    <row r="10556">
      <c r="A10556" s="10" t="s">
        <v>64919</v>
      </c>
      <c r="B10556" s="10" t="s">
        <v>64920</v>
      </c>
      <c r="C10556" s="10" t="s">
        <v>22976</v>
      </c>
      <c r="D10556" s="10" t="s">
        <v>64921</v>
      </c>
      <c r="E10556" s="10" t="s">
        <v>64449</v>
      </c>
      <c r="F10556" s="10" t="s">
        <v>4592</v>
      </c>
      <c r="G10556" s="10" t="s">
        <v>64922</v>
      </c>
      <c r="H10556" s="11">
        <v>7.0</v>
      </c>
      <c r="I10556" s="11">
        <v>21.0</v>
      </c>
      <c r="J10556" s="11">
        <v>1.0</v>
      </c>
      <c r="K10556" s="11">
        <v>7.0</v>
      </c>
      <c r="L10556" s="12" t="s">
        <v>64451</v>
      </c>
      <c r="M10556" s="10" t="s">
        <v>64923</v>
      </c>
      <c r="N10556" s="10" t="s">
        <v>4232</v>
      </c>
      <c r="O10556" s="12" t="s">
        <v>4233</v>
      </c>
      <c r="P10556" s="10" t="s">
        <v>64453</v>
      </c>
      <c r="Q10556" s="10" t="s">
        <v>33967</v>
      </c>
      <c r="R10556" s="10" t="s">
        <v>4236</v>
      </c>
      <c r="S10556" s="12" t="s">
        <v>13212</v>
      </c>
      <c r="T10556" s="10" t="s">
        <v>66</v>
      </c>
      <c r="U10556" s="12" t="s">
        <v>64454</v>
      </c>
      <c r="V10556" s="10" t="s">
        <v>54757</v>
      </c>
      <c r="W10556" s="10" t="s">
        <v>64449</v>
      </c>
      <c r="X10556" s="13" t="str">
        <f>HYPERLINK("https://my.pitchbook.com?p=33109-93P","View People Online")</f>
        <v>View People Online</v>
      </c>
    </row>
    <row r="10557">
      <c r="A10557" s="6" t="s">
        <v>64924</v>
      </c>
      <c r="B10557" s="6" t="s">
        <v>64925</v>
      </c>
      <c r="C10557" s="6" t="s">
        <v>1697</v>
      </c>
      <c r="D10557" s="6" t="s">
        <v>8535</v>
      </c>
      <c r="E10557" s="6" t="s">
        <v>64449</v>
      </c>
      <c r="F10557" s="6" t="s">
        <v>221</v>
      </c>
      <c r="G10557" s="6" t="s">
        <v>64926</v>
      </c>
      <c r="H10557" s="7" t="s">
        <v>31</v>
      </c>
      <c r="I10557" s="7">
        <v>1.0</v>
      </c>
      <c r="J10557" s="7">
        <v>1.0</v>
      </c>
      <c r="K10557" s="7" t="s">
        <v>31</v>
      </c>
      <c r="L10557" s="8" t="s">
        <v>64451</v>
      </c>
      <c r="M10557" s="6" t="s">
        <v>64927</v>
      </c>
      <c r="N10557" s="6" t="s">
        <v>4232</v>
      </c>
      <c r="O10557" s="8" t="s">
        <v>4233</v>
      </c>
      <c r="P10557" s="6" t="s">
        <v>64453</v>
      </c>
      <c r="Q10557" s="6" t="s">
        <v>33967</v>
      </c>
      <c r="R10557" s="6" t="s">
        <v>4236</v>
      </c>
      <c r="S10557" s="8" t="s">
        <v>13212</v>
      </c>
      <c r="T10557" s="6" t="s">
        <v>66</v>
      </c>
      <c r="U10557" s="8" t="s">
        <v>64454</v>
      </c>
      <c r="V10557" s="6" t="s">
        <v>221</v>
      </c>
      <c r="W10557" s="6" t="s">
        <v>64449</v>
      </c>
      <c r="X10557" s="9" t="str">
        <f>HYPERLINK("https://my.pitchbook.com?p=351181-09P","View People Online")</f>
        <v>View People Online</v>
      </c>
    </row>
    <row r="10558">
      <c r="A10558" s="2" t="s">
        <v>64928</v>
      </c>
      <c r="B10558" s="2" t="s">
        <v>64929</v>
      </c>
      <c r="C10558" s="2" t="s">
        <v>12548</v>
      </c>
      <c r="D10558" s="2" t="s">
        <v>64930</v>
      </c>
      <c r="E10558" s="2" t="s">
        <v>64449</v>
      </c>
      <c r="F10558" s="2" t="s">
        <v>667</v>
      </c>
      <c r="G10558" s="2" t="s">
        <v>64931</v>
      </c>
      <c r="H10558" s="3" t="s">
        <v>31</v>
      </c>
      <c r="I10558" s="3">
        <v>1.0</v>
      </c>
      <c r="J10558" s="3">
        <v>1.0</v>
      </c>
      <c r="K10558" s="3" t="s">
        <v>31</v>
      </c>
      <c r="L10558" s="4" t="s">
        <v>31</v>
      </c>
      <c r="M10558" s="2" t="s">
        <v>64932</v>
      </c>
      <c r="N10558" s="2" t="s">
        <v>75</v>
      </c>
      <c r="O10558" s="4" t="s">
        <v>76</v>
      </c>
      <c r="P10558" s="2" t="s">
        <v>64570</v>
      </c>
      <c r="Q10558" s="2" t="s">
        <v>2839</v>
      </c>
      <c r="R10558" s="2" t="s">
        <v>75</v>
      </c>
      <c r="S10558" s="4" t="s">
        <v>1896</v>
      </c>
      <c r="T10558" s="2" t="s">
        <v>66</v>
      </c>
      <c r="U10558" s="4" t="s">
        <v>31</v>
      </c>
      <c r="V10558" s="2" t="s">
        <v>667</v>
      </c>
      <c r="W10558" s="2" t="s">
        <v>64449</v>
      </c>
      <c r="X10558" s="5" t="str">
        <f>HYPERLINK("https://my.pitchbook.com?p=377832-52P","View People Online")</f>
        <v>View People Online</v>
      </c>
    </row>
    <row r="10559">
      <c r="A10559" s="6" t="s">
        <v>64933</v>
      </c>
      <c r="B10559" s="6" t="s">
        <v>64934</v>
      </c>
      <c r="C10559" s="6" t="s">
        <v>14165</v>
      </c>
      <c r="D10559" s="6" t="s">
        <v>64935</v>
      </c>
      <c r="E10559" s="6" t="s">
        <v>64936</v>
      </c>
      <c r="F10559" s="6" t="s">
        <v>78</v>
      </c>
      <c r="G10559" s="6" t="s">
        <v>64937</v>
      </c>
      <c r="H10559" s="7" t="s">
        <v>31</v>
      </c>
      <c r="I10559" s="7">
        <v>2.0</v>
      </c>
      <c r="J10559" s="7">
        <v>1.0</v>
      </c>
      <c r="K10559" s="7" t="s">
        <v>31</v>
      </c>
      <c r="L10559" s="8" t="s">
        <v>64938</v>
      </c>
      <c r="M10559" s="6" t="s">
        <v>64939</v>
      </c>
      <c r="N10559" s="6" t="s">
        <v>1170</v>
      </c>
      <c r="O10559" s="8" t="s">
        <v>1171</v>
      </c>
      <c r="P10559" s="6" t="s">
        <v>18588</v>
      </c>
      <c r="Q10559" s="6" t="s">
        <v>64940</v>
      </c>
      <c r="R10559" s="6" t="s">
        <v>64</v>
      </c>
      <c r="S10559" s="8" t="s">
        <v>13957</v>
      </c>
      <c r="T10559" s="6" t="s">
        <v>66</v>
      </c>
      <c r="U10559" s="8" t="s">
        <v>31</v>
      </c>
      <c r="V10559" s="6" t="s">
        <v>78</v>
      </c>
      <c r="W10559" s="6" t="s">
        <v>64936</v>
      </c>
      <c r="X10559" s="9" t="str">
        <f>HYPERLINK("https://my.pitchbook.com?p=311208-13P","View People Online")</f>
        <v>View People Online</v>
      </c>
    </row>
    <row r="10560">
      <c r="A10560" s="10" t="s">
        <v>64941</v>
      </c>
      <c r="B10560" s="10" t="s">
        <v>64942</v>
      </c>
      <c r="C10560" s="10" t="s">
        <v>2688</v>
      </c>
      <c r="D10560" s="10" t="s">
        <v>64943</v>
      </c>
      <c r="E10560" s="10" t="s">
        <v>64936</v>
      </c>
      <c r="F10560" s="10" t="s">
        <v>29</v>
      </c>
      <c r="G10560" s="10" t="s">
        <v>64944</v>
      </c>
      <c r="H10560" s="11">
        <v>1.0</v>
      </c>
      <c r="I10560" s="11">
        <v>3.0</v>
      </c>
      <c r="J10560" s="11">
        <v>1.0</v>
      </c>
      <c r="K10560" s="11" t="s">
        <v>31</v>
      </c>
      <c r="L10560" s="12" t="s">
        <v>64945</v>
      </c>
      <c r="M10560" s="10" t="s">
        <v>64946</v>
      </c>
      <c r="N10560" s="10" t="s">
        <v>75</v>
      </c>
      <c r="O10560" s="12" t="s">
        <v>76</v>
      </c>
      <c r="P10560" s="10" t="s">
        <v>31</v>
      </c>
      <c r="Q10560" s="10" t="s">
        <v>31</v>
      </c>
      <c r="R10560" s="10" t="s">
        <v>75</v>
      </c>
      <c r="S10560" s="12" t="s">
        <v>31</v>
      </c>
      <c r="T10560" s="10" t="s">
        <v>66</v>
      </c>
      <c r="U10560" s="12" t="s">
        <v>31</v>
      </c>
      <c r="V10560" s="10" t="s">
        <v>29</v>
      </c>
      <c r="W10560" s="10" t="s">
        <v>64936</v>
      </c>
      <c r="X10560" s="13" t="str">
        <f>HYPERLINK("https://my.pitchbook.com?p=216746-29P","View People Online")</f>
        <v>View People Online</v>
      </c>
    </row>
    <row r="10561">
      <c r="A10561" s="14" t="s">
        <v>64947</v>
      </c>
      <c r="B10561" s="14" t="s">
        <v>64948</v>
      </c>
      <c r="C10561" s="14" t="s">
        <v>19268</v>
      </c>
      <c r="D10561" s="14" t="s">
        <v>5198</v>
      </c>
      <c r="E10561" s="14" t="s">
        <v>64936</v>
      </c>
      <c r="F10561" s="14" t="s">
        <v>674</v>
      </c>
      <c r="G10561" s="14" t="s">
        <v>64949</v>
      </c>
      <c r="H10561" s="15" t="s">
        <v>31</v>
      </c>
      <c r="I10561" s="15">
        <v>6.0</v>
      </c>
      <c r="J10561" s="15">
        <v>1.0</v>
      </c>
      <c r="K10561" s="15">
        <v>2.0</v>
      </c>
      <c r="L10561" s="16" t="s">
        <v>64950</v>
      </c>
      <c r="M10561" s="14" t="s">
        <v>64951</v>
      </c>
      <c r="N10561" s="14" t="s">
        <v>1170</v>
      </c>
      <c r="O10561" s="16" t="s">
        <v>1171</v>
      </c>
      <c r="P10561" s="14" t="s">
        <v>18588</v>
      </c>
      <c r="Q10561" s="14" t="s">
        <v>64940</v>
      </c>
      <c r="R10561" s="14" t="s">
        <v>64</v>
      </c>
      <c r="S10561" s="16" t="s">
        <v>13957</v>
      </c>
      <c r="T10561" s="14" t="s">
        <v>66</v>
      </c>
      <c r="U10561" s="16" t="s">
        <v>31</v>
      </c>
      <c r="V10561" s="14" t="s">
        <v>674</v>
      </c>
      <c r="W10561" s="14" t="s">
        <v>64936</v>
      </c>
      <c r="X10561" s="17" t="str">
        <f>HYPERLINK("https://my.pitchbook.com?p=83435-05P","View People Online")</f>
        <v>View People Online</v>
      </c>
    </row>
    <row r="10562">
      <c r="A10562" s="2" t="s">
        <v>64952</v>
      </c>
      <c r="B10562" s="2" t="s">
        <v>64953</v>
      </c>
      <c r="C10562" s="2" t="s">
        <v>11919</v>
      </c>
      <c r="D10562" s="2" t="s">
        <v>64954</v>
      </c>
      <c r="E10562" s="2" t="s">
        <v>64936</v>
      </c>
      <c r="F10562" s="2" t="s">
        <v>221</v>
      </c>
      <c r="G10562" s="2" t="s">
        <v>64955</v>
      </c>
      <c r="H10562" s="3" t="s">
        <v>31</v>
      </c>
      <c r="I10562" s="3">
        <v>2.0</v>
      </c>
      <c r="J10562" s="3">
        <v>1.0</v>
      </c>
      <c r="K10562" s="3" t="s">
        <v>31</v>
      </c>
      <c r="L10562" s="4" t="s">
        <v>64956</v>
      </c>
      <c r="M10562" s="2" t="s">
        <v>64957</v>
      </c>
      <c r="N10562" s="2" t="s">
        <v>1170</v>
      </c>
      <c r="O10562" s="4" t="s">
        <v>1171</v>
      </c>
      <c r="P10562" s="2" t="s">
        <v>18588</v>
      </c>
      <c r="Q10562" s="2" t="s">
        <v>64940</v>
      </c>
      <c r="R10562" s="2" t="s">
        <v>64</v>
      </c>
      <c r="S10562" s="4" t="s">
        <v>13957</v>
      </c>
      <c r="T10562" s="2" t="s">
        <v>66</v>
      </c>
      <c r="U10562" s="4" t="s">
        <v>31</v>
      </c>
      <c r="V10562" s="2" t="s">
        <v>221</v>
      </c>
      <c r="W10562" s="2" t="s">
        <v>64936</v>
      </c>
      <c r="X10562" s="5" t="str">
        <f>HYPERLINK("https://my.pitchbook.com?p=297690-13P","View People Online")</f>
        <v>View People Online</v>
      </c>
    </row>
    <row r="10563">
      <c r="A10563" s="14" t="s">
        <v>64958</v>
      </c>
      <c r="B10563" s="14" t="s">
        <v>64959</v>
      </c>
      <c r="C10563" s="14" t="s">
        <v>34541</v>
      </c>
      <c r="D10563" s="14" t="s">
        <v>14244</v>
      </c>
      <c r="E10563" s="14" t="s">
        <v>64936</v>
      </c>
      <c r="F10563" s="14" t="s">
        <v>318</v>
      </c>
      <c r="G10563" s="14" t="s">
        <v>64960</v>
      </c>
      <c r="H10563" s="15" t="s">
        <v>31</v>
      </c>
      <c r="I10563" s="15">
        <v>2.0</v>
      </c>
      <c r="J10563" s="15">
        <v>1.0</v>
      </c>
      <c r="K10563" s="15" t="s">
        <v>31</v>
      </c>
      <c r="L10563" s="16" t="s">
        <v>64961</v>
      </c>
      <c r="M10563" s="14" t="s">
        <v>64962</v>
      </c>
      <c r="N10563" s="14" t="s">
        <v>1170</v>
      </c>
      <c r="O10563" s="16" t="s">
        <v>1171</v>
      </c>
      <c r="P10563" s="14" t="s">
        <v>18588</v>
      </c>
      <c r="Q10563" s="14" t="s">
        <v>64940</v>
      </c>
      <c r="R10563" s="14" t="s">
        <v>64</v>
      </c>
      <c r="S10563" s="16" t="s">
        <v>13957</v>
      </c>
      <c r="T10563" s="14" t="s">
        <v>66</v>
      </c>
      <c r="U10563" s="16" t="s">
        <v>31</v>
      </c>
      <c r="V10563" s="14" t="s">
        <v>318</v>
      </c>
      <c r="W10563" s="14" t="s">
        <v>64936</v>
      </c>
      <c r="X10563" s="17" t="str">
        <f>HYPERLINK("https://my.pitchbook.com?p=275999-77P","View People Online")</f>
        <v>View People Online</v>
      </c>
    </row>
    <row r="10564">
      <c r="A10564" s="10" t="s">
        <v>64963</v>
      </c>
      <c r="B10564" s="10" t="s">
        <v>64964</v>
      </c>
      <c r="C10564" s="10" t="s">
        <v>3427</v>
      </c>
      <c r="D10564" s="10" t="s">
        <v>64965</v>
      </c>
      <c r="E10564" s="10" t="s">
        <v>64936</v>
      </c>
      <c r="F10564" s="10" t="s">
        <v>29</v>
      </c>
      <c r="G10564" s="10" t="s">
        <v>64966</v>
      </c>
      <c r="H10564" s="11" t="s">
        <v>31</v>
      </c>
      <c r="I10564" s="11">
        <v>2.0</v>
      </c>
      <c r="J10564" s="11">
        <v>1.0</v>
      </c>
      <c r="K10564" s="11" t="s">
        <v>31</v>
      </c>
      <c r="L10564" s="12" t="s">
        <v>64967</v>
      </c>
      <c r="M10564" s="10" t="s">
        <v>64968</v>
      </c>
      <c r="N10564" s="10" t="s">
        <v>1170</v>
      </c>
      <c r="O10564" s="12" t="s">
        <v>1171</v>
      </c>
      <c r="P10564" s="10" t="s">
        <v>18588</v>
      </c>
      <c r="Q10564" s="10" t="s">
        <v>64940</v>
      </c>
      <c r="R10564" s="10" t="s">
        <v>64</v>
      </c>
      <c r="S10564" s="12" t="s">
        <v>13957</v>
      </c>
      <c r="T10564" s="10" t="s">
        <v>66</v>
      </c>
      <c r="U10564" s="12" t="s">
        <v>31</v>
      </c>
      <c r="V10564" s="10" t="s">
        <v>1433</v>
      </c>
      <c r="W10564" s="10" t="s">
        <v>64936</v>
      </c>
      <c r="X10564" s="13" t="str">
        <f>HYPERLINK("https://my.pitchbook.com?p=211952-08P","View People Online")</f>
        <v>View People Online</v>
      </c>
    </row>
    <row r="10565">
      <c r="A10565" s="6" t="s">
        <v>64969</v>
      </c>
      <c r="B10565" s="6" t="s">
        <v>64970</v>
      </c>
      <c r="C10565" s="6" t="s">
        <v>64971</v>
      </c>
      <c r="D10565" s="6" t="s">
        <v>3228</v>
      </c>
      <c r="E10565" s="6" t="s">
        <v>64972</v>
      </c>
      <c r="F10565" s="6" t="s">
        <v>152</v>
      </c>
      <c r="G10565" s="6" t="s">
        <v>64973</v>
      </c>
      <c r="H10565" s="7" t="s">
        <v>31</v>
      </c>
      <c r="I10565" s="7">
        <v>2.0</v>
      </c>
      <c r="J10565" s="7">
        <v>1.0</v>
      </c>
      <c r="K10565" s="7" t="s">
        <v>31</v>
      </c>
      <c r="L10565" s="8" t="s">
        <v>64974</v>
      </c>
      <c r="M10565" s="6" t="s">
        <v>64975</v>
      </c>
      <c r="N10565" s="6" t="s">
        <v>1348</v>
      </c>
      <c r="O10565" s="8" t="s">
        <v>1349</v>
      </c>
      <c r="P10565" s="6" t="s">
        <v>31</v>
      </c>
      <c r="Q10565" s="6" t="s">
        <v>31</v>
      </c>
      <c r="R10565" s="6" t="s">
        <v>1018</v>
      </c>
      <c r="S10565" s="8" t="s">
        <v>31</v>
      </c>
      <c r="T10565" s="6" t="s">
        <v>1019</v>
      </c>
      <c r="U10565" s="8" t="s">
        <v>31</v>
      </c>
      <c r="V10565" s="6" t="s">
        <v>64976</v>
      </c>
      <c r="W10565" s="6" t="s">
        <v>64972</v>
      </c>
      <c r="X10565" s="9" t="str">
        <f>HYPERLINK("https://my.pitchbook.com?p=323244-10P","View People Online")</f>
        <v>View People Online</v>
      </c>
    </row>
    <row r="10566">
      <c r="A10566" s="10" t="s">
        <v>64977</v>
      </c>
      <c r="B10566" s="10" t="s">
        <v>64978</v>
      </c>
      <c r="C10566" s="10" t="s">
        <v>62753</v>
      </c>
      <c r="D10566" s="10" t="s">
        <v>64979</v>
      </c>
      <c r="E10566" s="10" t="s">
        <v>64972</v>
      </c>
      <c r="F10566" s="10" t="s">
        <v>152</v>
      </c>
      <c r="G10566" s="10" t="s">
        <v>64980</v>
      </c>
      <c r="H10566" s="11" t="s">
        <v>31</v>
      </c>
      <c r="I10566" s="11">
        <v>2.0</v>
      </c>
      <c r="J10566" s="11">
        <v>1.0</v>
      </c>
      <c r="K10566" s="11" t="s">
        <v>31</v>
      </c>
      <c r="L10566" s="12" t="s">
        <v>64974</v>
      </c>
      <c r="M10566" s="10" t="s">
        <v>64981</v>
      </c>
      <c r="N10566" s="10" t="s">
        <v>1348</v>
      </c>
      <c r="O10566" s="12" t="s">
        <v>1349</v>
      </c>
      <c r="P10566" s="10" t="s">
        <v>31</v>
      </c>
      <c r="Q10566" s="10" t="s">
        <v>31</v>
      </c>
      <c r="R10566" s="10" t="s">
        <v>1018</v>
      </c>
      <c r="S10566" s="12" t="s">
        <v>31</v>
      </c>
      <c r="T10566" s="10" t="s">
        <v>1019</v>
      </c>
      <c r="U10566" s="12" t="s">
        <v>31</v>
      </c>
      <c r="V10566" s="10" t="s">
        <v>64976</v>
      </c>
      <c r="W10566" s="10" t="s">
        <v>64972</v>
      </c>
      <c r="X10566" s="13" t="str">
        <f>HYPERLINK("https://my.pitchbook.com?p=323243-38P","View People Online")</f>
        <v>View People Online</v>
      </c>
    </row>
    <row r="10567">
      <c r="A10567" s="14" t="s">
        <v>64982</v>
      </c>
      <c r="B10567" s="14" t="s">
        <v>64983</v>
      </c>
      <c r="C10567" s="14" t="s">
        <v>28319</v>
      </c>
      <c r="D10567" s="14" t="s">
        <v>9386</v>
      </c>
      <c r="E10567" s="14" t="s">
        <v>64984</v>
      </c>
      <c r="F10567" s="14" t="s">
        <v>270</v>
      </c>
      <c r="G10567" s="14" t="s">
        <v>64985</v>
      </c>
      <c r="H10567" s="15" t="s">
        <v>31</v>
      </c>
      <c r="I10567" s="15">
        <v>2.0</v>
      </c>
      <c r="J10567" s="15">
        <v>1.0</v>
      </c>
      <c r="K10567" s="15">
        <v>1.0</v>
      </c>
      <c r="L10567" s="16" t="s">
        <v>37151</v>
      </c>
      <c r="M10567" s="14" t="s">
        <v>64986</v>
      </c>
      <c r="N10567" s="14" t="s">
        <v>24775</v>
      </c>
      <c r="O10567" s="16" t="s">
        <v>64987</v>
      </c>
      <c r="P10567" s="14" t="s">
        <v>64988</v>
      </c>
      <c r="Q10567" s="14" t="s">
        <v>31</v>
      </c>
      <c r="R10567" s="14" t="s">
        <v>1185</v>
      </c>
      <c r="S10567" s="16" t="s">
        <v>64989</v>
      </c>
      <c r="T10567" s="14" t="s">
        <v>66</v>
      </c>
      <c r="U10567" s="16" t="s">
        <v>64990</v>
      </c>
      <c r="V10567" s="14" t="s">
        <v>64991</v>
      </c>
      <c r="W10567" s="14" t="s">
        <v>64984</v>
      </c>
      <c r="X10567" s="17" t="str">
        <f>HYPERLINK("https://my.pitchbook.com?p=356836-69P","View People Online")</f>
        <v>View People Online</v>
      </c>
    </row>
    <row r="10568">
      <c r="A10568" s="10" t="s">
        <v>64992</v>
      </c>
      <c r="B10568" s="10" t="s">
        <v>64993</v>
      </c>
      <c r="C10568" s="10" t="s">
        <v>1437</v>
      </c>
      <c r="D10568" s="10" t="s">
        <v>64994</v>
      </c>
      <c r="E10568" s="10" t="s">
        <v>64984</v>
      </c>
      <c r="F10568" s="10" t="s">
        <v>371</v>
      </c>
      <c r="G10568" s="10" t="s">
        <v>64995</v>
      </c>
      <c r="H10568" s="11" t="s">
        <v>31</v>
      </c>
      <c r="I10568" s="11">
        <v>1.0</v>
      </c>
      <c r="J10568" s="11">
        <v>1.0</v>
      </c>
      <c r="K10568" s="11" t="s">
        <v>31</v>
      </c>
      <c r="L10568" s="12" t="s">
        <v>37151</v>
      </c>
      <c r="M10568" s="10" t="s">
        <v>64996</v>
      </c>
      <c r="N10568" s="10" t="s">
        <v>24775</v>
      </c>
      <c r="O10568" s="12" t="s">
        <v>64987</v>
      </c>
      <c r="P10568" s="10" t="s">
        <v>64988</v>
      </c>
      <c r="Q10568" s="10" t="s">
        <v>31</v>
      </c>
      <c r="R10568" s="10" t="s">
        <v>1185</v>
      </c>
      <c r="S10568" s="12" t="s">
        <v>64989</v>
      </c>
      <c r="T10568" s="10" t="s">
        <v>66</v>
      </c>
      <c r="U10568" s="12" t="s">
        <v>64990</v>
      </c>
      <c r="V10568" s="10" t="s">
        <v>64997</v>
      </c>
      <c r="W10568" s="10" t="s">
        <v>64984</v>
      </c>
      <c r="X10568" s="13" t="str">
        <f>HYPERLINK("https://my.pitchbook.com?p=160259-32P","View People Online")</f>
        <v>View People Online</v>
      </c>
    </row>
    <row r="10569">
      <c r="A10569" s="6" t="s">
        <v>64998</v>
      </c>
      <c r="B10569" s="6" t="s">
        <v>64999</v>
      </c>
      <c r="C10569" s="6" t="s">
        <v>4911</v>
      </c>
      <c r="D10569" s="6" t="s">
        <v>22320</v>
      </c>
      <c r="E10569" s="6" t="s">
        <v>64984</v>
      </c>
      <c r="F10569" s="6" t="s">
        <v>371</v>
      </c>
      <c r="G10569" s="6" t="s">
        <v>65000</v>
      </c>
      <c r="H10569" s="7" t="s">
        <v>31</v>
      </c>
      <c r="I10569" s="7">
        <v>5.0</v>
      </c>
      <c r="J10569" s="7">
        <v>1.0</v>
      </c>
      <c r="K10569" s="7">
        <v>4.0</v>
      </c>
      <c r="L10569" s="8" t="s">
        <v>37151</v>
      </c>
      <c r="M10569" s="6" t="s">
        <v>65001</v>
      </c>
      <c r="N10569" s="6" t="s">
        <v>24775</v>
      </c>
      <c r="O10569" s="8" t="s">
        <v>64987</v>
      </c>
      <c r="P10569" s="6" t="s">
        <v>64988</v>
      </c>
      <c r="Q10569" s="6" t="s">
        <v>31</v>
      </c>
      <c r="R10569" s="6" t="s">
        <v>1185</v>
      </c>
      <c r="S10569" s="8" t="s">
        <v>64989</v>
      </c>
      <c r="T10569" s="6" t="s">
        <v>66</v>
      </c>
      <c r="U10569" s="8" t="s">
        <v>64990</v>
      </c>
      <c r="V10569" s="6" t="s">
        <v>27069</v>
      </c>
      <c r="W10569" s="6" t="s">
        <v>64984</v>
      </c>
      <c r="X10569" s="9" t="str">
        <f>HYPERLINK("https://my.pitchbook.com?p=51487-30P","View People Online")</f>
        <v>View People Online</v>
      </c>
    </row>
    <row r="10570">
      <c r="A10570" s="2" t="s">
        <v>65002</v>
      </c>
      <c r="B10570" s="2" t="s">
        <v>65003</v>
      </c>
      <c r="C10570" s="2" t="s">
        <v>2288</v>
      </c>
      <c r="D10570" s="2" t="s">
        <v>65004</v>
      </c>
      <c r="E10570" s="2" t="s">
        <v>64984</v>
      </c>
      <c r="F10570" s="2" t="s">
        <v>371</v>
      </c>
      <c r="G10570" s="2" t="s">
        <v>65005</v>
      </c>
      <c r="H10570" s="3" t="s">
        <v>31</v>
      </c>
      <c r="I10570" s="3">
        <v>1.0</v>
      </c>
      <c r="J10570" s="3">
        <v>1.0</v>
      </c>
      <c r="K10570" s="3" t="s">
        <v>31</v>
      </c>
      <c r="L10570" s="4" t="s">
        <v>37151</v>
      </c>
      <c r="M10570" s="2" t="s">
        <v>65006</v>
      </c>
      <c r="N10570" s="2" t="s">
        <v>24775</v>
      </c>
      <c r="O10570" s="4" t="s">
        <v>64987</v>
      </c>
      <c r="P10570" s="2" t="s">
        <v>64988</v>
      </c>
      <c r="Q10570" s="2" t="s">
        <v>31</v>
      </c>
      <c r="R10570" s="2" t="s">
        <v>1185</v>
      </c>
      <c r="S10570" s="4" t="s">
        <v>64989</v>
      </c>
      <c r="T10570" s="2" t="s">
        <v>66</v>
      </c>
      <c r="U10570" s="4" t="s">
        <v>64990</v>
      </c>
      <c r="V10570" s="2" t="s">
        <v>65007</v>
      </c>
      <c r="W10570" s="2" t="s">
        <v>64984</v>
      </c>
      <c r="X10570" s="5" t="str">
        <f>HYPERLINK("https://my.pitchbook.com?p=297393-31P","View People Online")</f>
        <v>View People Online</v>
      </c>
    </row>
    <row r="10571">
      <c r="A10571" s="14" t="s">
        <v>65008</v>
      </c>
      <c r="B10571" s="14" t="s">
        <v>65009</v>
      </c>
      <c r="C10571" s="14" t="s">
        <v>167</v>
      </c>
      <c r="D10571" s="14" t="s">
        <v>8726</v>
      </c>
      <c r="E10571" s="14" t="s">
        <v>64984</v>
      </c>
      <c r="F10571" s="14" t="s">
        <v>270</v>
      </c>
      <c r="G10571" s="14" t="s">
        <v>65010</v>
      </c>
      <c r="H10571" s="15" t="s">
        <v>31</v>
      </c>
      <c r="I10571" s="15">
        <v>2.0</v>
      </c>
      <c r="J10571" s="15">
        <v>1.0</v>
      </c>
      <c r="K10571" s="15">
        <v>1.0</v>
      </c>
      <c r="L10571" s="16" t="s">
        <v>37151</v>
      </c>
      <c r="M10571" s="14" t="s">
        <v>65011</v>
      </c>
      <c r="N10571" s="14" t="s">
        <v>24775</v>
      </c>
      <c r="O10571" s="16" t="s">
        <v>64987</v>
      </c>
      <c r="P10571" s="14" t="s">
        <v>64988</v>
      </c>
      <c r="Q10571" s="14" t="s">
        <v>31</v>
      </c>
      <c r="R10571" s="14" t="s">
        <v>1185</v>
      </c>
      <c r="S10571" s="16" t="s">
        <v>64989</v>
      </c>
      <c r="T10571" s="14" t="s">
        <v>66</v>
      </c>
      <c r="U10571" s="16" t="s">
        <v>64990</v>
      </c>
      <c r="V10571" s="14" t="s">
        <v>64991</v>
      </c>
      <c r="W10571" s="14" t="s">
        <v>64984</v>
      </c>
      <c r="X10571" s="17" t="str">
        <f>HYPERLINK("https://my.pitchbook.com?p=193728-70P","View People Online")</f>
        <v>View People Online</v>
      </c>
    </row>
    <row r="10572">
      <c r="A10572" s="2" t="s">
        <v>65012</v>
      </c>
      <c r="B10572" s="2" t="s">
        <v>65013</v>
      </c>
      <c r="C10572" s="2" t="s">
        <v>5219</v>
      </c>
      <c r="D10572" s="2" t="s">
        <v>65014</v>
      </c>
      <c r="E10572" s="2" t="s">
        <v>64984</v>
      </c>
      <c r="F10572" s="2" t="s">
        <v>1459</v>
      </c>
      <c r="G10572" s="2" t="s">
        <v>65015</v>
      </c>
      <c r="H10572" s="3" t="s">
        <v>31</v>
      </c>
      <c r="I10572" s="3">
        <v>2.0</v>
      </c>
      <c r="J10572" s="3">
        <v>1.0</v>
      </c>
      <c r="K10572" s="3">
        <v>1.0</v>
      </c>
      <c r="L10572" s="4" t="s">
        <v>37151</v>
      </c>
      <c r="M10572" s="2" t="s">
        <v>65016</v>
      </c>
      <c r="N10572" s="2" t="s">
        <v>24775</v>
      </c>
      <c r="O10572" s="4" t="s">
        <v>64987</v>
      </c>
      <c r="P10572" s="2" t="s">
        <v>64988</v>
      </c>
      <c r="Q10572" s="2" t="s">
        <v>31</v>
      </c>
      <c r="R10572" s="2" t="s">
        <v>1185</v>
      </c>
      <c r="S10572" s="4" t="s">
        <v>64989</v>
      </c>
      <c r="T10572" s="2" t="s">
        <v>66</v>
      </c>
      <c r="U10572" s="4" t="s">
        <v>64990</v>
      </c>
      <c r="V10572" s="2" t="s">
        <v>1612</v>
      </c>
      <c r="W10572" s="2" t="s">
        <v>64984</v>
      </c>
      <c r="X10572" s="5" t="str">
        <f>HYPERLINK("https://my.pitchbook.com?p=135428-77P","View People Online")</f>
        <v>View People Online</v>
      </c>
    </row>
    <row r="10573">
      <c r="A10573" s="6" t="s">
        <v>65017</v>
      </c>
      <c r="B10573" s="6" t="s">
        <v>65018</v>
      </c>
      <c r="C10573" s="6" t="s">
        <v>1388</v>
      </c>
      <c r="D10573" s="6" t="s">
        <v>65019</v>
      </c>
      <c r="E10573" s="6" t="s">
        <v>64984</v>
      </c>
      <c r="F10573" s="6" t="s">
        <v>270</v>
      </c>
      <c r="G10573" s="6" t="s">
        <v>65020</v>
      </c>
      <c r="H10573" s="7" t="s">
        <v>31</v>
      </c>
      <c r="I10573" s="7">
        <v>5.0</v>
      </c>
      <c r="J10573" s="7">
        <v>1.0</v>
      </c>
      <c r="K10573" s="7">
        <v>4.0</v>
      </c>
      <c r="L10573" s="8" t="s">
        <v>37151</v>
      </c>
      <c r="M10573" s="6" t="s">
        <v>31</v>
      </c>
      <c r="N10573" s="6" t="s">
        <v>24775</v>
      </c>
      <c r="O10573" s="8" t="s">
        <v>64987</v>
      </c>
      <c r="P10573" s="6" t="s">
        <v>64988</v>
      </c>
      <c r="Q10573" s="6" t="s">
        <v>31</v>
      </c>
      <c r="R10573" s="6" t="s">
        <v>1185</v>
      </c>
      <c r="S10573" s="8" t="s">
        <v>64989</v>
      </c>
      <c r="T10573" s="6" t="s">
        <v>66</v>
      </c>
      <c r="U10573" s="8" t="s">
        <v>64990</v>
      </c>
      <c r="V10573" s="6" t="s">
        <v>65021</v>
      </c>
      <c r="W10573" s="6" t="s">
        <v>64984</v>
      </c>
      <c r="X10573" s="9" t="str">
        <f>HYPERLINK("https://my.pitchbook.com?p=356607-46P","View People Online")</f>
        <v>View People Online</v>
      </c>
    </row>
    <row r="10574">
      <c r="A10574" s="2" t="s">
        <v>65022</v>
      </c>
      <c r="B10574" s="2" t="s">
        <v>65023</v>
      </c>
      <c r="C10574" s="2" t="s">
        <v>65024</v>
      </c>
      <c r="D10574" s="2" t="s">
        <v>65025</v>
      </c>
      <c r="E10574" s="2" t="s">
        <v>64984</v>
      </c>
      <c r="F10574" s="2" t="s">
        <v>548</v>
      </c>
      <c r="G10574" s="2" t="s">
        <v>65026</v>
      </c>
      <c r="H10574" s="3" t="s">
        <v>31</v>
      </c>
      <c r="I10574" s="3">
        <v>1.0</v>
      </c>
      <c r="J10574" s="3">
        <v>1.0</v>
      </c>
      <c r="K10574" s="3" t="s">
        <v>31</v>
      </c>
      <c r="L10574" s="4" t="s">
        <v>37151</v>
      </c>
      <c r="M10574" s="2" t="s">
        <v>31</v>
      </c>
      <c r="N10574" s="2" t="s">
        <v>24775</v>
      </c>
      <c r="O10574" s="4" t="s">
        <v>64987</v>
      </c>
      <c r="P10574" s="2" t="s">
        <v>64988</v>
      </c>
      <c r="Q10574" s="2" t="s">
        <v>31</v>
      </c>
      <c r="R10574" s="2" t="s">
        <v>1185</v>
      </c>
      <c r="S10574" s="4" t="s">
        <v>64989</v>
      </c>
      <c r="T10574" s="2" t="s">
        <v>66</v>
      </c>
      <c r="U10574" s="4" t="s">
        <v>64990</v>
      </c>
      <c r="V10574" s="2" t="s">
        <v>65027</v>
      </c>
      <c r="W10574" s="2" t="s">
        <v>64984</v>
      </c>
      <c r="X10574" s="5" t="str">
        <f>HYPERLINK("https://my.pitchbook.com?p=308848-87P","View People Online")</f>
        <v>View People Online</v>
      </c>
    </row>
    <row r="10575">
      <c r="A10575" s="6" t="s">
        <v>65028</v>
      </c>
      <c r="B10575" s="6" t="s">
        <v>65029</v>
      </c>
      <c r="C10575" s="6" t="s">
        <v>41033</v>
      </c>
      <c r="D10575" s="6" t="s">
        <v>65030</v>
      </c>
      <c r="E10575" s="6" t="s">
        <v>64984</v>
      </c>
      <c r="F10575" s="6" t="s">
        <v>548</v>
      </c>
      <c r="G10575" s="6" t="s">
        <v>65031</v>
      </c>
      <c r="H10575" s="7" t="s">
        <v>31</v>
      </c>
      <c r="I10575" s="7">
        <v>8.0</v>
      </c>
      <c r="J10575" s="7">
        <v>1.0</v>
      </c>
      <c r="K10575" s="7">
        <v>7.0</v>
      </c>
      <c r="L10575" s="8" t="s">
        <v>37151</v>
      </c>
      <c r="M10575" s="6" t="s">
        <v>31</v>
      </c>
      <c r="N10575" s="6" t="s">
        <v>24775</v>
      </c>
      <c r="O10575" s="8" t="s">
        <v>64987</v>
      </c>
      <c r="P10575" s="6" t="s">
        <v>64988</v>
      </c>
      <c r="Q10575" s="6" t="s">
        <v>31</v>
      </c>
      <c r="R10575" s="6" t="s">
        <v>1185</v>
      </c>
      <c r="S10575" s="8" t="s">
        <v>64989</v>
      </c>
      <c r="T10575" s="6" t="s">
        <v>66</v>
      </c>
      <c r="U10575" s="8" t="s">
        <v>64990</v>
      </c>
      <c r="V10575" s="6" t="s">
        <v>65032</v>
      </c>
      <c r="W10575" s="6" t="s">
        <v>64984</v>
      </c>
      <c r="X10575" s="9" t="str">
        <f>HYPERLINK("https://my.pitchbook.com?p=308818-00P","View People Online")</f>
        <v>View People Online</v>
      </c>
    </row>
    <row r="10576">
      <c r="A10576" s="10" t="s">
        <v>65033</v>
      </c>
      <c r="B10576" s="10" t="s">
        <v>42771</v>
      </c>
      <c r="C10576" s="10" t="s">
        <v>18701</v>
      </c>
      <c r="D10576" s="10" t="s">
        <v>42772</v>
      </c>
      <c r="E10576" s="10" t="s">
        <v>65034</v>
      </c>
      <c r="F10576" s="10" t="s">
        <v>57</v>
      </c>
      <c r="G10576" s="10" t="s">
        <v>65035</v>
      </c>
      <c r="H10576" s="11" t="s">
        <v>31</v>
      </c>
      <c r="I10576" s="11">
        <v>2.0</v>
      </c>
      <c r="J10576" s="11">
        <v>1.0</v>
      </c>
      <c r="K10576" s="11">
        <v>1.0</v>
      </c>
      <c r="L10576" s="12" t="s">
        <v>31</v>
      </c>
      <c r="M10576" s="10" t="s">
        <v>65036</v>
      </c>
      <c r="N10576" s="10" t="s">
        <v>1416</v>
      </c>
      <c r="O10576" s="12" t="s">
        <v>1417</v>
      </c>
      <c r="P10576" s="10" t="s">
        <v>65037</v>
      </c>
      <c r="Q10576" s="10" t="s">
        <v>720</v>
      </c>
      <c r="R10576" s="10" t="s">
        <v>1420</v>
      </c>
      <c r="S10576" s="12" t="s">
        <v>12674</v>
      </c>
      <c r="T10576" s="10" t="s">
        <v>66</v>
      </c>
      <c r="U10576" s="12" t="s">
        <v>31</v>
      </c>
      <c r="V10576" s="10" t="s">
        <v>57</v>
      </c>
      <c r="W10576" s="10" t="s">
        <v>65034</v>
      </c>
      <c r="X10576" s="13" t="str">
        <f>HYPERLINK("https://my.pitchbook.com?p=341423-83P","View People Online")</f>
        <v>View People Online</v>
      </c>
    </row>
    <row r="10577">
      <c r="A10577" s="6" t="s">
        <v>65038</v>
      </c>
      <c r="B10577" s="6" t="s">
        <v>65039</v>
      </c>
      <c r="C10577" s="6" t="s">
        <v>65040</v>
      </c>
      <c r="D10577" s="6" t="s">
        <v>25232</v>
      </c>
      <c r="E10577" s="6" t="s">
        <v>65034</v>
      </c>
      <c r="F10577" s="6" t="s">
        <v>57</v>
      </c>
      <c r="G10577" s="6" t="s">
        <v>65041</v>
      </c>
      <c r="H10577" s="7">
        <v>1.0</v>
      </c>
      <c r="I10577" s="7">
        <v>3.0</v>
      </c>
      <c r="J10577" s="7">
        <v>1.0</v>
      </c>
      <c r="K10577" s="7">
        <v>1.0</v>
      </c>
      <c r="L10577" s="8" t="s">
        <v>65042</v>
      </c>
      <c r="M10577" s="6" t="s">
        <v>65043</v>
      </c>
      <c r="N10577" s="6" t="s">
        <v>1416</v>
      </c>
      <c r="O10577" s="8" t="s">
        <v>1417</v>
      </c>
      <c r="P10577" s="6" t="s">
        <v>65037</v>
      </c>
      <c r="Q10577" s="6" t="s">
        <v>720</v>
      </c>
      <c r="R10577" s="6" t="s">
        <v>1420</v>
      </c>
      <c r="S10577" s="8" t="s">
        <v>12674</v>
      </c>
      <c r="T10577" s="6" t="s">
        <v>66</v>
      </c>
      <c r="U10577" s="8" t="s">
        <v>31</v>
      </c>
      <c r="V10577" s="6" t="s">
        <v>57</v>
      </c>
      <c r="W10577" s="6" t="s">
        <v>65034</v>
      </c>
      <c r="X10577" s="9" t="str">
        <f>HYPERLINK("https://my.pitchbook.com?p=81304-75P","View People Online")</f>
        <v>View People Online</v>
      </c>
    </row>
    <row r="10578">
      <c r="A10578" s="10" t="s">
        <v>65044</v>
      </c>
      <c r="B10578" s="10" t="s">
        <v>65045</v>
      </c>
      <c r="C10578" s="10" t="s">
        <v>65046</v>
      </c>
      <c r="D10578" s="10" t="s">
        <v>65047</v>
      </c>
      <c r="E10578" s="10" t="s">
        <v>65034</v>
      </c>
      <c r="F10578" s="10" t="s">
        <v>57</v>
      </c>
      <c r="G10578" s="10" t="s">
        <v>65048</v>
      </c>
      <c r="H10578" s="11">
        <v>1.0</v>
      </c>
      <c r="I10578" s="11">
        <v>9.0</v>
      </c>
      <c r="J10578" s="11">
        <v>1.0</v>
      </c>
      <c r="K10578" s="11">
        <v>7.0</v>
      </c>
      <c r="L10578" s="12" t="s">
        <v>31</v>
      </c>
      <c r="M10578" s="10" t="s">
        <v>65049</v>
      </c>
      <c r="N10578" s="10" t="s">
        <v>665</v>
      </c>
      <c r="O10578" s="12" t="s">
        <v>3857</v>
      </c>
      <c r="P10578" s="10" t="s">
        <v>65050</v>
      </c>
      <c r="Q10578" s="10" t="s">
        <v>65051</v>
      </c>
      <c r="R10578" s="10" t="s">
        <v>1420</v>
      </c>
      <c r="S10578" s="12" t="s">
        <v>65052</v>
      </c>
      <c r="T10578" s="10" t="s">
        <v>66</v>
      </c>
      <c r="U10578" s="12" t="s">
        <v>31</v>
      </c>
      <c r="V10578" s="10" t="s">
        <v>65053</v>
      </c>
      <c r="W10578" s="10" t="s">
        <v>65054</v>
      </c>
      <c r="X10578" s="13" t="str">
        <f>HYPERLINK("https://my.pitchbook.com?p=71696-98P","View People Online")</f>
        <v>View People Online</v>
      </c>
    </row>
    <row r="10579">
      <c r="A10579" s="6" t="s">
        <v>65055</v>
      </c>
      <c r="B10579" s="6" t="s">
        <v>65056</v>
      </c>
      <c r="C10579" s="6" t="s">
        <v>14410</v>
      </c>
      <c r="D10579" s="6" t="s">
        <v>65057</v>
      </c>
      <c r="E10579" s="6" t="s">
        <v>65058</v>
      </c>
      <c r="F10579" s="6" t="s">
        <v>29</v>
      </c>
      <c r="G10579" s="6" t="s">
        <v>65059</v>
      </c>
      <c r="H10579" s="7" t="s">
        <v>31</v>
      </c>
      <c r="I10579" s="7">
        <v>1.0</v>
      </c>
      <c r="J10579" s="7">
        <v>1.0</v>
      </c>
      <c r="K10579" s="7" t="s">
        <v>31</v>
      </c>
      <c r="L10579" s="8" t="s">
        <v>65060</v>
      </c>
      <c r="M10579" s="6" t="s">
        <v>65061</v>
      </c>
      <c r="N10579" s="6" t="s">
        <v>1416</v>
      </c>
      <c r="O10579" s="8" t="s">
        <v>1417</v>
      </c>
      <c r="P10579" s="6" t="s">
        <v>65062</v>
      </c>
      <c r="Q10579" s="6" t="s">
        <v>1280</v>
      </c>
      <c r="R10579" s="6" t="s">
        <v>1420</v>
      </c>
      <c r="S10579" s="8" t="s">
        <v>37621</v>
      </c>
      <c r="T10579" s="6" t="s">
        <v>66</v>
      </c>
      <c r="U10579" s="8" t="s">
        <v>31</v>
      </c>
      <c r="V10579" s="6" t="s">
        <v>29</v>
      </c>
      <c r="W10579" s="6" t="s">
        <v>65058</v>
      </c>
      <c r="X10579" s="9" t="str">
        <f>HYPERLINK("https://my.pitchbook.com?p=424255-60P","View People Online")</f>
        <v>View People Online</v>
      </c>
    </row>
    <row r="10580">
      <c r="A10580" s="2" t="s">
        <v>65063</v>
      </c>
      <c r="B10580" s="2" t="s">
        <v>65064</v>
      </c>
      <c r="C10580" s="2" t="s">
        <v>65065</v>
      </c>
      <c r="D10580" s="2" t="s">
        <v>2469</v>
      </c>
      <c r="E10580" s="2" t="s">
        <v>65058</v>
      </c>
      <c r="F10580" s="2" t="s">
        <v>548</v>
      </c>
      <c r="G10580" s="2" t="s">
        <v>65066</v>
      </c>
      <c r="H10580" s="3" t="s">
        <v>31</v>
      </c>
      <c r="I10580" s="3">
        <v>1.0</v>
      </c>
      <c r="J10580" s="3">
        <v>1.0</v>
      </c>
      <c r="K10580" s="3" t="s">
        <v>31</v>
      </c>
      <c r="L10580" s="4" t="s">
        <v>65067</v>
      </c>
      <c r="M10580" s="2" t="s">
        <v>65068</v>
      </c>
      <c r="N10580" s="2" t="s">
        <v>1416</v>
      </c>
      <c r="O10580" s="4" t="s">
        <v>1417</v>
      </c>
      <c r="P10580" s="2" t="s">
        <v>65062</v>
      </c>
      <c r="Q10580" s="2" t="s">
        <v>1280</v>
      </c>
      <c r="R10580" s="2" t="s">
        <v>1420</v>
      </c>
      <c r="S10580" s="4" t="s">
        <v>37621</v>
      </c>
      <c r="T10580" s="2" t="s">
        <v>66</v>
      </c>
      <c r="U10580" s="4" t="s">
        <v>31</v>
      </c>
      <c r="V10580" s="2" t="s">
        <v>548</v>
      </c>
      <c r="W10580" s="2" t="s">
        <v>65058</v>
      </c>
      <c r="X10580" s="5" t="str">
        <f>HYPERLINK("https://my.pitchbook.com?p=419006-17P","View People Online")</f>
        <v>View People Online</v>
      </c>
    </row>
    <row r="10581">
      <c r="A10581" s="14" t="s">
        <v>65069</v>
      </c>
      <c r="B10581" s="14" t="s">
        <v>65070</v>
      </c>
      <c r="C10581" s="14" t="s">
        <v>26</v>
      </c>
      <c r="D10581" s="14" t="s">
        <v>65071</v>
      </c>
      <c r="E10581" s="14" t="s">
        <v>65058</v>
      </c>
      <c r="F10581" s="14" t="s">
        <v>38794</v>
      </c>
      <c r="G10581" s="14" t="s">
        <v>65072</v>
      </c>
      <c r="H10581" s="15" t="s">
        <v>31</v>
      </c>
      <c r="I10581" s="15">
        <v>1.0</v>
      </c>
      <c r="J10581" s="15">
        <v>1.0</v>
      </c>
      <c r="K10581" s="15" t="s">
        <v>31</v>
      </c>
      <c r="L10581" s="16" t="s">
        <v>65073</v>
      </c>
      <c r="M10581" s="14" t="s">
        <v>65074</v>
      </c>
      <c r="N10581" s="14" t="s">
        <v>1416</v>
      </c>
      <c r="O10581" s="16" t="s">
        <v>1417</v>
      </c>
      <c r="P10581" s="14" t="s">
        <v>65062</v>
      </c>
      <c r="Q10581" s="14" t="s">
        <v>1280</v>
      </c>
      <c r="R10581" s="14" t="s">
        <v>1420</v>
      </c>
      <c r="S10581" s="16" t="s">
        <v>37621</v>
      </c>
      <c r="T10581" s="14" t="s">
        <v>66</v>
      </c>
      <c r="U10581" s="16" t="s">
        <v>31</v>
      </c>
      <c r="V10581" s="14" t="s">
        <v>65075</v>
      </c>
      <c r="W10581" s="14" t="s">
        <v>65058</v>
      </c>
      <c r="X10581" s="17" t="str">
        <f>HYPERLINK("https://my.pitchbook.com?p=76997-26P","View People Online")</f>
        <v>View People Online</v>
      </c>
    </row>
    <row r="10582">
      <c r="A10582" s="10" t="s">
        <v>65076</v>
      </c>
      <c r="B10582" s="10" t="s">
        <v>65077</v>
      </c>
      <c r="C10582" s="10" t="s">
        <v>40897</v>
      </c>
      <c r="D10582" s="10" t="s">
        <v>65078</v>
      </c>
      <c r="E10582" s="10" t="s">
        <v>65058</v>
      </c>
      <c r="F10582" s="10" t="s">
        <v>548</v>
      </c>
      <c r="G10582" s="10" t="s">
        <v>65079</v>
      </c>
      <c r="H10582" s="11" t="s">
        <v>31</v>
      </c>
      <c r="I10582" s="11">
        <v>1.0</v>
      </c>
      <c r="J10582" s="11">
        <v>1.0</v>
      </c>
      <c r="K10582" s="11" t="s">
        <v>31</v>
      </c>
      <c r="L10582" s="12" t="s">
        <v>65080</v>
      </c>
      <c r="M10582" s="10" t="s">
        <v>65081</v>
      </c>
      <c r="N10582" s="10" t="s">
        <v>1416</v>
      </c>
      <c r="O10582" s="12" t="s">
        <v>1417</v>
      </c>
      <c r="P10582" s="10" t="s">
        <v>65062</v>
      </c>
      <c r="Q10582" s="10" t="s">
        <v>1280</v>
      </c>
      <c r="R10582" s="10" t="s">
        <v>1420</v>
      </c>
      <c r="S10582" s="12" t="s">
        <v>37621</v>
      </c>
      <c r="T10582" s="10" t="s">
        <v>66</v>
      </c>
      <c r="U10582" s="12" t="s">
        <v>31</v>
      </c>
      <c r="V10582" s="10" t="s">
        <v>548</v>
      </c>
      <c r="W10582" s="10" t="s">
        <v>65058</v>
      </c>
      <c r="X10582" s="13" t="str">
        <f>HYPERLINK("https://my.pitchbook.com?p=372361-33P","View People Online")</f>
        <v>View People Online</v>
      </c>
    </row>
    <row r="10583">
      <c r="A10583" s="14" t="s">
        <v>65082</v>
      </c>
      <c r="B10583" s="14" t="s">
        <v>65083</v>
      </c>
      <c r="C10583" s="14" t="s">
        <v>62040</v>
      </c>
      <c r="D10583" s="14" t="s">
        <v>7117</v>
      </c>
      <c r="E10583" s="14" t="s">
        <v>65058</v>
      </c>
      <c r="F10583" s="14" t="s">
        <v>1167</v>
      </c>
      <c r="G10583" s="14" t="s">
        <v>65084</v>
      </c>
      <c r="H10583" s="15" t="s">
        <v>31</v>
      </c>
      <c r="I10583" s="15">
        <v>4.0</v>
      </c>
      <c r="J10583" s="15">
        <v>1.0</v>
      </c>
      <c r="K10583" s="15">
        <v>2.0</v>
      </c>
      <c r="L10583" s="16" t="s">
        <v>65060</v>
      </c>
      <c r="M10583" s="14" t="s">
        <v>65085</v>
      </c>
      <c r="N10583" s="14" t="s">
        <v>1416</v>
      </c>
      <c r="O10583" s="16" t="s">
        <v>1417</v>
      </c>
      <c r="P10583" s="14" t="s">
        <v>65062</v>
      </c>
      <c r="Q10583" s="14" t="s">
        <v>1280</v>
      </c>
      <c r="R10583" s="14" t="s">
        <v>1420</v>
      </c>
      <c r="S10583" s="16" t="s">
        <v>37621</v>
      </c>
      <c r="T10583" s="14" t="s">
        <v>66</v>
      </c>
      <c r="U10583" s="16" t="s">
        <v>31</v>
      </c>
      <c r="V10583" s="14" t="s">
        <v>991</v>
      </c>
      <c r="W10583" s="14" t="s">
        <v>65058</v>
      </c>
      <c r="X10583" s="17" t="str">
        <f>HYPERLINK("https://my.pitchbook.com?p=339208-84P","View People Online")</f>
        <v>View People Online</v>
      </c>
    </row>
    <row r="10584">
      <c r="A10584" s="2" t="s">
        <v>65086</v>
      </c>
      <c r="B10584" s="2" t="s">
        <v>65087</v>
      </c>
      <c r="C10584" s="2" t="s">
        <v>126</v>
      </c>
      <c r="D10584" s="2" t="s">
        <v>8535</v>
      </c>
      <c r="E10584" s="2" t="s">
        <v>65058</v>
      </c>
      <c r="F10584" s="2" t="s">
        <v>189</v>
      </c>
      <c r="G10584" s="2" t="s">
        <v>65088</v>
      </c>
      <c r="H10584" s="3" t="s">
        <v>31</v>
      </c>
      <c r="I10584" s="3">
        <v>1.0</v>
      </c>
      <c r="J10584" s="3">
        <v>1.0</v>
      </c>
      <c r="K10584" s="3" t="s">
        <v>31</v>
      </c>
      <c r="L10584" s="4" t="s">
        <v>65060</v>
      </c>
      <c r="M10584" s="2" t="s">
        <v>65089</v>
      </c>
      <c r="N10584" s="2" t="s">
        <v>1416</v>
      </c>
      <c r="O10584" s="4" t="s">
        <v>1417</v>
      </c>
      <c r="P10584" s="2" t="s">
        <v>65062</v>
      </c>
      <c r="Q10584" s="2" t="s">
        <v>1280</v>
      </c>
      <c r="R10584" s="2" t="s">
        <v>1420</v>
      </c>
      <c r="S10584" s="4" t="s">
        <v>37621</v>
      </c>
      <c r="T10584" s="2" t="s">
        <v>66</v>
      </c>
      <c r="U10584" s="4" t="s">
        <v>31</v>
      </c>
      <c r="V10584" s="2" t="s">
        <v>65090</v>
      </c>
      <c r="W10584" s="2" t="s">
        <v>65058</v>
      </c>
      <c r="X10584" s="5" t="str">
        <f>HYPERLINK("https://my.pitchbook.com?p=424253-35P","View People Online")</f>
        <v>View People Online</v>
      </c>
    </row>
    <row r="10585">
      <c r="A10585" s="6" t="s">
        <v>65091</v>
      </c>
      <c r="B10585" s="6" t="s">
        <v>65092</v>
      </c>
      <c r="C10585" s="6" t="s">
        <v>536</v>
      </c>
      <c r="D10585" s="6" t="s">
        <v>9146</v>
      </c>
      <c r="E10585" s="6" t="s">
        <v>65058</v>
      </c>
      <c r="F10585" s="6" t="s">
        <v>29</v>
      </c>
      <c r="G10585" s="6" t="s">
        <v>65093</v>
      </c>
      <c r="H10585" s="7" t="s">
        <v>31</v>
      </c>
      <c r="I10585" s="7">
        <v>1.0</v>
      </c>
      <c r="J10585" s="7">
        <v>1.0</v>
      </c>
      <c r="K10585" s="7" t="s">
        <v>31</v>
      </c>
      <c r="L10585" s="8" t="s">
        <v>65060</v>
      </c>
      <c r="M10585" s="6" t="s">
        <v>65094</v>
      </c>
      <c r="N10585" s="6" t="s">
        <v>1416</v>
      </c>
      <c r="O10585" s="8" t="s">
        <v>1417</v>
      </c>
      <c r="P10585" s="6" t="s">
        <v>65062</v>
      </c>
      <c r="Q10585" s="6" t="s">
        <v>1280</v>
      </c>
      <c r="R10585" s="6" t="s">
        <v>1420</v>
      </c>
      <c r="S10585" s="8" t="s">
        <v>37621</v>
      </c>
      <c r="T10585" s="6" t="s">
        <v>66</v>
      </c>
      <c r="U10585" s="8" t="s">
        <v>31</v>
      </c>
      <c r="V10585" s="6" t="s">
        <v>65095</v>
      </c>
      <c r="W10585" s="6" t="s">
        <v>65058</v>
      </c>
      <c r="X10585" s="9" t="str">
        <f>HYPERLINK("https://my.pitchbook.com?p=59229-28P","View People Online")</f>
        <v>View People Online</v>
      </c>
    </row>
    <row r="10586">
      <c r="A10586" s="2" t="s">
        <v>65096</v>
      </c>
      <c r="B10586" s="2" t="s">
        <v>65097</v>
      </c>
      <c r="C10586" s="2" t="s">
        <v>536</v>
      </c>
      <c r="D10586" s="2" t="s">
        <v>13115</v>
      </c>
      <c r="E10586" s="2" t="s">
        <v>65058</v>
      </c>
      <c r="F10586" s="2" t="s">
        <v>2731</v>
      </c>
      <c r="G10586" s="2" t="s">
        <v>65098</v>
      </c>
      <c r="H10586" s="3" t="s">
        <v>31</v>
      </c>
      <c r="I10586" s="3">
        <v>2.0</v>
      </c>
      <c r="J10586" s="3">
        <v>2.0</v>
      </c>
      <c r="K10586" s="3" t="s">
        <v>31</v>
      </c>
      <c r="L10586" s="4" t="s">
        <v>31</v>
      </c>
      <c r="M10586" s="2" t="s">
        <v>65099</v>
      </c>
      <c r="N10586" s="2" t="s">
        <v>665</v>
      </c>
      <c r="O10586" s="4" t="s">
        <v>3857</v>
      </c>
      <c r="P10586" s="2" t="s">
        <v>65100</v>
      </c>
      <c r="Q10586" s="2" t="s">
        <v>65101</v>
      </c>
      <c r="R10586" s="2" t="s">
        <v>1420</v>
      </c>
      <c r="S10586" s="4" t="s">
        <v>65102</v>
      </c>
      <c r="T10586" s="2" t="s">
        <v>66</v>
      </c>
      <c r="U10586" s="4" t="s">
        <v>31</v>
      </c>
      <c r="V10586" s="2" t="s">
        <v>65103</v>
      </c>
      <c r="W10586" s="2" t="s">
        <v>65104</v>
      </c>
      <c r="X10586" s="5" t="str">
        <f>HYPERLINK("https://my.pitchbook.com?p=340924-15P","View People Online")</f>
        <v>View People Online</v>
      </c>
    </row>
    <row r="10587">
      <c r="A10587" s="6" t="s">
        <v>65105</v>
      </c>
      <c r="B10587" s="6" t="s">
        <v>65106</v>
      </c>
      <c r="C10587" s="6" t="s">
        <v>65107</v>
      </c>
      <c r="D10587" s="6" t="s">
        <v>43180</v>
      </c>
      <c r="E10587" s="6" t="s">
        <v>65108</v>
      </c>
      <c r="F10587" s="6" t="s">
        <v>43</v>
      </c>
      <c r="G10587" s="6" t="s">
        <v>65109</v>
      </c>
      <c r="H10587" s="7">
        <v>4.0</v>
      </c>
      <c r="I10587" s="7">
        <v>43.0</v>
      </c>
      <c r="J10587" s="7">
        <v>1.0</v>
      </c>
      <c r="K10587" s="7">
        <v>32.0</v>
      </c>
      <c r="L10587" s="8" t="s">
        <v>65110</v>
      </c>
      <c r="M10587" s="6" t="s">
        <v>65111</v>
      </c>
      <c r="N10587" s="6" t="s">
        <v>775</v>
      </c>
      <c r="O10587" s="8" t="s">
        <v>776</v>
      </c>
      <c r="P10587" s="6" t="s">
        <v>65112</v>
      </c>
      <c r="Q10587" s="6" t="s">
        <v>31</v>
      </c>
      <c r="R10587" s="6" t="s">
        <v>64</v>
      </c>
      <c r="S10587" s="8" t="s">
        <v>5635</v>
      </c>
      <c r="T10587" s="6" t="s">
        <v>66</v>
      </c>
      <c r="U10587" s="8" t="s">
        <v>65113</v>
      </c>
      <c r="V10587" s="6" t="s">
        <v>43</v>
      </c>
      <c r="W10587" s="6" t="s">
        <v>65108</v>
      </c>
      <c r="X10587" s="9" t="str">
        <f>HYPERLINK("https://my.pitchbook.com?p=11771-38P","View People Online")</f>
        <v>View People Online</v>
      </c>
    </row>
    <row r="10588">
      <c r="A10588" s="2" t="s">
        <v>65114</v>
      </c>
      <c r="B10588" s="2" t="s">
        <v>65115</v>
      </c>
      <c r="C10588" s="2" t="s">
        <v>1356</v>
      </c>
      <c r="D10588" s="2" t="s">
        <v>65116</v>
      </c>
      <c r="E10588" s="2" t="s">
        <v>65108</v>
      </c>
      <c r="F10588" s="2" t="s">
        <v>86</v>
      </c>
      <c r="G10588" s="2" t="s">
        <v>65117</v>
      </c>
      <c r="H10588" s="3">
        <v>7.0</v>
      </c>
      <c r="I10588" s="3">
        <v>66.0</v>
      </c>
      <c r="J10588" s="3">
        <v>1.0</v>
      </c>
      <c r="K10588" s="3">
        <v>53.0</v>
      </c>
      <c r="L10588" s="4" t="s">
        <v>65110</v>
      </c>
      <c r="M10588" s="2" t="s">
        <v>65118</v>
      </c>
      <c r="N10588" s="2" t="s">
        <v>775</v>
      </c>
      <c r="O10588" s="4" t="s">
        <v>776</v>
      </c>
      <c r="P10588" s="2" t="s">
        <v>65112</v>
      </c>
      <c r="Q10588" s="2" t="s">
        <v>31</v>
      </c>
      <c r="R10588" s="2" t="s">
        <v>64</v>
      </c>
      <c r="S10588" s="4" t="s">
        <v>5635</v>
      </c>
      <c r="T10588" s="2" t="s">
        <v>66</v>
      </c>
      <c r="U10588" s="4" t="s">
        <v>65113</v>
      </c>
      <c r="V10588" s="2" t="s">
        <v>7135</v>
      </c>
      <c r="W10588" s="2" t="s">
        <v>65108</v>
      </c>
      <c r="X10588" s="5" t="str">
        <f>HYPERLINK("https://my.pitchbook.com?p=40874-14P","View People Online")</f>
        <v>View People Online</v>
      </c>
    </row>
    <row r="10589">
      <c r="A10589" s="6" t="s">
        <v>65119</v>
      </c>
      <c r="B10589" s="6" t="s">
        <v>65120</v>
      </c>
      <c r="C10589" s="6" t="s">
        <v>3852</v>
      </c>
      <c r="D10589" s="6" t="s">
        <v>5286</v>
      </c>
      <c r="E10589" s="6" t="s">
        <v>65108</v>
      </c>
      <c r="F10589" s="6" t="s">
        <v>318</v>
      </c>
      <c r="G10589" s="6" t="s">
        <v>65121</v>
      </c>
      <c r="H10589" s="7" t="s">
        <v>31</v>
      </c>
      <c r="I10589" s="7">
        <v>1.0</v>
      </c>
      <c r="J10589" s="7">
        <v>1.0</v>
      </c>
      <c r="K10589" s="7" t="s">
        <v>31</v>
      </c>
      <c r="L10589" s="8" t="s">
        <v>65110</v>
      </c>
      <c r="M10589" s="6" t="s">
        <v>65122</v>
      </c>
      <c r="N10589" s="6" t="s">
        <v>775</v>
      </c>
      <c r="O10589" s="8" t="s">
        <v>776</v>
      </c>
      <c r="P10589" s="6" t="s">
        <v>65112</v>
      </c>
      <c r="Q10589" s="6" t="s">
        <v>31</v>
      </c>
      <c r="R10589" s="6" t="s">
        <v>64</v>
      </c>
      <c r="S10589" s="8" t="s">
        <v>5635</v>
      </c>
      <c r="T10589" s="6" t="s">
        <v>66</v>
      </c>
      <c r="U10589" s="8" t="s">
        <v>65113</v>
      </c>
      <c r="V10589" s="6" t="s">
        <v>318</v>
      </c>
      <c r="W10589" s="6" t="s">
        <v>65108</v>
      </c>
      <c r="X10589" s="9" t="str">
        <f>HYPERLINK("https://my.pitchbook.com?p=229661-74P","View People Online")</f>
        <v>View People Online</v>
      </c>
    </row>
    <row r="10590">
      <c r="A10590" s="2" t="s">
        <v>65123</v>
      </c>
      <c r="B10590" s="2" t="s">
        <v>65124</v>
      </c>
      <c r="C10590" s="2" t="s">
        <v>12056</v>
      </c>
      <c r="D10590" s="2" t="s">
        <v>1306</v>
      </c>
      <c r="E10590" s="2" t="s">
        <v>65108</v>
      </c>
      <c r="F10590" s="2" t="s">
        <v>43</v>
      </c>
      <c r="G10590" s="2" t="s">
        <v>65125</v>
      </c>
      <c r="H10590" s="3">
        <v>1.0</v>
      </c>
      <c r="I10590" s="3">
        <v>10.0</v>
      </c>
      <c r="J10590" s="3">
        <v>2.0</v>
      </c>
      <c r="K10590" s="3">
        <v>5.0</v>
      </c>
      <c r="L10590" s="4" t="s">
        <v>65126</v>
      </c>
      <c r="M10590" s="2" t="s">
        <v>65127</v>
      </c>
      <c r="N10590" s="2" t="s">
        <v>775</v>
      </c>
      <c r="O10590" s="4" t="s">
        <v>776</v>
      </c>
      <c r="P10590" s="2" t="s">
        <v>65112</v>
      </c>
      <c r="Q10590" s="2" t="s">
        <v>31</v>
      </c>
      <c r="R10590" s="2" t="s">
        <v>64</v>
      </c>
      <c r="S10590" s="4" t="s">
        <v>5635</v>
      </c>
      <c r="T10590" s="2" t="s">
        <v>66</v>
      </c>
      <c r="U10590" s="4" t="s">
        <v>65113</v>
      </c>
      <c r="V10590" s="2" t="s">
        <v>43</v>
      </c>
      <c r="W10590" s="2" t="s">
        <v>65108</v>
      </c>
      <c r="X10590" s="5" t="str">
        <f>HYPERLINK("https://my.pitchbook.com?p=68337-55P","View People Online")</f>
        <v>View People Online</v>
      </c>
    </row>
    <row r="10591">
      <c r="A10591" s="14" t="s">
        <v>65128</v>
      </c>
      <c r="B10591" s="14" t="s">
        <v>65129</v>
      </c>
      <c r="C10591" s="14" t="s">
        <v>21525</v>
      </c>
      <c r="D10591" s="14" t="s">
        <v>65130</v>
      </c>
      <c r="E10591" s="14" t="s">
        <v>65108</v>
      </c>
      <c r="F10591" s="14" t="s">
        <v>43</v>
      </c>
      <c r="G10591" s="14" t="s">
        <v>65131</v>
      </c>
      <c r="H10591" s="15">
        <v>4.0</v>
      </c>
      <c r="I10591" s="15">
        <v>33.0</v>
      </c>
      <c r="J10591" s="15">
        <v>1.0</v>
      </c>
      <c r="K10591" s="15">
        <v>24.0</v>
      </c>
      <c r="L10591" s="16" t="s">
        <v>65110</v>
      </c>
      <c r="M10591" s="14" t="s">
        <v>65132</v>
      </c>
      <c r="N10591" s="14" t="s">
        <v>775</v>
      </c>
      <c r="O10591" s="16" t="s">
        <v>776</v>
      </c>
      <c r="P10591" s="14" t="s">
        <v>65112</v>
      </c>
      <c r="Q10591" s="14" t="s">
        <v>31</v>
      </c>
      <c r="R10591" s="14" t="s">
        <v>64</v>
      </c>
      <c r="S10591" s="16" t="s">
        <v>5635</v>
      </c>
      <c r="T10591" s="14" t="s">
        <v>66</v>
      </c>
      <c r="U10591" s="16" t="s">
        <v>65113</v>
      </c>
      <c r="V10591" s="14" t="s">
        <v>43</v>
      </c>
      <c r="W10591" s="14" t="s">
        <v>65108</v>
      </c>
      <c r="X10591" s="17" t="str">
        <f>HYPERLINK("https://my.pitchbook.com?p=78815-98P","View People Online")</f>
        <v>View People Online</v>
      </c>
    </row>
    <row r="10592">
      <c r="A10592" s="10" t="s">
        <v>65133</v>
      </c>
      <c r="B10592" s="10" t="s">
        <v>65134</v>
      </c>
      <c r="C10592" s="10" t="s">
        <v>1411</v>
      </c>
      <c r="D10592" s="10" t="s">
        <v>65135</v>
      </c>
      <c r="E10592" s="10" t="s">
        <v>65108</v>
      </c>
      <c r="F10592" s="10" t="s">
        <v>318</v>
      </c>
      <c r="G10592" s="10" t="s">
        <v>65136</v>
      </c>
      <c r="H10592" s="11" t="s">
        <v>31</v>
      </c>
      <c r="I10592" s="11">
        <v>1.0</v>
      </c>
      <c r="J10592" s="11">
        <v>1.0</v>
      </c>
      <c r="K10592" s="11" t="s">
        <v>31</v>
      </c>
      <c r="L10592" s="12" t="s">
        <v>65137</v>
      </c>
      <c r="M10592" s="10" t="s">
        <v>65138</v>
      </c>
      <c r="N10592" s="10" t="s">
        <v>775</v>
      </c>
      <c r="O10592" s="12" t="s">
        <v>776</v>
      </c>
      <c r="P10592" s="10" t="s">
        <v>65112</v>
      </c>
      <c r="Q10592" s="10" t="s">
        <v>31</v>
      </c>
      <c r="R10592" s="10" t="s">
        <v>64</v>
      </c>
      <c r="S10592" s="12" t="s">
        <v>5635</v>
      </c>
      <c r="T10592" s="10" t="s">
        <v>66</v>
      </c>
      <c r="U10592" s="12" t="s">
        <v>65113</v>
      </c>
      <c r="V10592" s="10" t="s">
        <v>318</v>
      </c>
      <c r="W10592" s="10" t="s">
        <v>65108</v>
      </c>
      <c r="X10592" s="13" t="str">
        <f>HYPERLINK("https://my.pitchbook.com?p=192946-42P","View People Online")</f>
        <v>View People Online</v>
      </c>
    </row>
    <row r="10593">
      <c r="A10593" s="6" t="s">
        <v>65139</v>
      </c>
      <c r="B10593" s="6" t="s">
        <v>65140</v>
      </c>
      <c r="C10593" s="6" t="s">
        <v>24719</v>
      </c>
      <c r="D10593" s="6" t="s">
        <v>65141</v>
      </c>
      <c r="E10593" s="6" t="s">
        <v>65142</v>
      </c>
      <c r="F10593" s="6" t="s">
        <v>674</v>
      </c>
      <c r="G10593" s="6" t="s">
        <v>65143</v>
      </c>
      <c r="H10593" s="7">
        <v>1.0</v>
      </c>
      <c r="I10593" s="7">
        <v>6.0</v>
      </c>
      <c r="J10593" s="7">
        <v>1.0</v>
      </c>
      <c r="K10593" s="7">
        <v>4.0</v>
      </c>
      <c r="L10593" s="8" t="s">
        <v>31</v>
      </c>
      <c r="M10593" s="6" t="s">
        <v>65144</v>
      </c>
      <c r="N10593" s="6" t="s">
        <v>65145</v>
      </c>
      <c r="O10593" s="8" t="s">
        <v>65146</v>
      </c>
      <c r="P10593" s="6" t="s">
        <v>65147</v>
      </c>
      <c r="Q10593" s="6" t="s">
        <v>31</v>
      </c>
      <c r="R10593" s="6" t="s">
        <v>31</v>
      </c>
      <c r="S10593" s="8" t="s">
        <v>31</v>
      </c>
      <c r="T10593" s="6" t="s">
        <v>2022</v>
      </c>
      <c r="U10593" s="8" t="s">
        <v>31</v>
      </c>
      <c r="V10593" s="6" t="s">
        <v>1172</v>
      </c>
      <c r="W10593" s="6" t="s">
        <v>65142</v>
      </c>
      <c r="X10593" s="9" t="str">
        <f>HYPERLINK("https://my.pitchbook.com?p=337353-49P","View People Online")</f>
        <v>View People Online</v>
      </c>
    </row>
    <row r="10594">
      <c r="A10594" s="2" t="s">
        <v>65148</v>
      </c>
      <c r="B10594" s="2" t="s">
        <v>65149</v>
      </c>
      <c r="C10594" s="2" t="s">
        <v>3202</v>
      </c>
      <c r="D10594" s="2" t="s">
        <v>65141</v>
      </c>
      <c r="E10594" s="2" t="s">
        <v>65142</v>
      </c>
      <c r="F10594" s="2" t="s">
        <v>65150</v>
      </c>
      <c r="G10594" s="2" t="s">
        <v>65151</v>
      </c>
      <c r="H10594" s="3">
        <v>1.0</v>
      </c>
      <c r="I10594" s="3">
        <v>1.0</v>
      </c>
      <c r="J10594" s="3">
        <v>1.0</v>
      </c>
      <c r="K10594" s="3" t="s">
        <v>31</v>
      </c>
      <c r="L10594" s="4" t="s">
        <v>31</v>
      </c>
      <c r="M10594" s="2" t="s">
        <v>65152</v>
      </c>
      <c r="N10594" s="2" t="s">
        <v>65145</v>
      </c>
      <c r="O10594" s="4" t="s">
        <v>65146</v>
      </c>
      <c r="P10594" s="2" t="s">
        <v>65147</v>
      </c>
      <c r="Q10594" s="2" t="s">
        <v>31</v>
      </c>
      <c r="R10594" s="2" t="s">
        <v>31</v>
      </c>
      <c r="S10594" s="4" t="s">
        <v>31</v>
      </c>
      <c r="T10594" s="2" t="s">
        <v>2022</v>
      </c>
      <c r="U10594" s="4" t="s">
        <v>31</v>
      </c>
      <c r="V10594" s="2" t="s">
        <v>65153</v>
      </c>
      <c r="W10594" s="2" t="s">
        <v>65142</v>
      </c>
      <c r="X10594" s="5" t="str">
        <f>HYPERLINK("https://my.pitchbook.com?p=423066-61P","View People Online")</f>
        <v>View People Online</v>
      </c>
    </row>
    <row r="10595">
      <c r="A10595" s="6" t="s">
        <v>65154</v>
      </c>
      <c r="B10595" s="6" t="s">
        <v>65155</v>
      </c>
      <c r="C10595" s="6" t="s">
        <v>65156</v>
      </c>
      <c r="D10595" s="6" t="s">
        <v>18163</v>
      </c>
      <c r="E10595" s="6" t="s">
        <v>65142</v>
      </c>
      <c r="F10595" s="6" t="s">
        <v>502</v>
      </c>
      <c r="G10595" s="6" t="s">
        <v>65157</v>
      </c>
      <c r="H10595" s="7" t="s">
        <v>31</v>
      </c>
      <c r="I10595" s="7">
        <v>1.0</v>
      </c>
      <c r="J10595" s="7">
        <v>1.0</v>
      </c>
      <c r="K10595" s="7" t="s">
        <v>31</v>
      </c>
      <c r="L10595" s="8" t="s">
        <v>31</v>
      </c>
      <c r="M10595" s="6" t="s">
        <v>65158</v>
      </c>
      <c r="N10595" s="6" t="s">
        <v>65145</v>
      </c>
      <c r="O10595" s="8" t="s">
        <v>65146</v>
      </c>
      <c r="P10595" s="6" t="s">
        <v>65147</v>
      </c>
      <c r="Q10595" s="6" t="s">
        <v>31</v>
      </c>
      <c r="R10595" s="6" t="s">
        <v>31</v>
      </c>
      <c r="S10595" s="8" t="s">
        <v>31</v>
      </c>
      <c r="T10595" s="6" t="s">
        <v>2022</v>
      </c>
      <c r="U10595" s="8" t="s">
        <v>31</v>
      </c>
      <c r="V10595" s="6" t="s">
        <v>502</v>
      </c>
      <c r="W10595" s="6" t="s">
        <v>65142</v>
      </c>
      <c r="X10595" s="9" t="str">
        <f>HYPERLINK("https://my.pitchbook.com?p=423065-80P","View People Online")</f>
        <v>View People Online</v>
      </c>
    </row>
    <row r="10596">
      <c r="A10596" s="10" t="s">
        <v>65159</v>
      </c>
      <c r="B10596" s="10" t="s">
        <v>65160</v>
      </c>
      <c r="C10596" s="10" t="s">
        <v>27591</v>
      </c>
      <c r="D10596" s="10" t="s">
        <v>1672</v>
      </c>
      <c r="E10596" s="10" t="s">
        <v>65161</v>
      </c>
      <c r="F10596" s="10" t="s">
        <v>1086</v>
      </c>
      <c r="G10596" s="10" t="s">
        <v>65162</v>
      </c>
      <c r="H10596" s="11" t="s">
        <v>31</v>
      </c>
      <c r="I10596" s="11">
        <v>1.0</v>
      </c>
      <c r="J10596" s="11">
        <v>1.0</v>
      </c>
      <c r="K10596" s="11" t="s">
        <v>31</v>
      </c>
      <c r="L10596" s="12" t="s">
        <v>65163</v>
      </c>
      <c r="M10596" s="10" t="s">
        <v>31</v>
      </c>
      <c r="N10596" s="10" t="s">
        <v>1109</v>
      </c>
      <c r="O10596" s="12" t="s">
        <v>1110</v>
      </c>
      <c r="P10596" s="10" t="s">
        <v>65164</v>
      </c>
      <c r="Q10596" s="10" t="s">
        <v>31</v>
      </c>
      <c r="R10596" s="10" t="s">
        <v>1112</v>
      </c>
      <c r="S10596" s="12" t="s">
        <v>65165</v>
      </c>
      <c r="T10596" s="10" t="s">
        <v>66</v>
      </c>
      <c r="U10596" s="12" t="s">
        <v>31</v>
      </c>
      <c r="V10596" s="10" t="s">
        <v>1086</v>
      </c>
      <c r="W10596" s="10" t="s">
        <v>65161</v>
      </c>
      <c r="X10596" s="13" t="str">
        <f>HYPERLINK("https://my.pitchbook.com?p=327862-00P","View People Online")</f>
        <v>View People Online</v>
      </c>
    </row>
    <row r="10597">
      <c r="A10597" s="6" t="s">
        <v>65166</v>
      </c>
      <c r="B10597" s="6" t="s">
        <v>65167</v>
      </c>
      <c r="C10597" s="6" t="s">
        <v>65168</v>
      </c>
      <c r="D10597" s="6" t="s">
        <v>65169</v>
      </c>
      <c r="E10597" s="6" t="s">
        <v>65161</v>
      </c>
      <c r="F10597" s="6" t="s">
        <v>65170</v>
      </c>
      <c r="G10597" s="6" t="s">
        <v>65171</v>
      </c>
      <c r="H10597" s="7" t="s">
        <v>31</v>
      </c>
      <c r="I10597" s="7">
        <v>1.0</v>
      </c>
      <c r="J10597" s="7">
        <v>1.0</v>
      </c>
      <c r="K10597" s="7" t="s">
        <v>31</v>
      </c>
      <c r="L10597" s="8" t="s">
        <v>65172</v>
      </c>
      <c r="M10597" s="6" t="s">
        <v>65173</v>
      </c>
      <c r="N10597" s="6" t="s">
        <v>1109</v>
      </c>
      <c r="O10597" s="8" t="s">
        <v>1110</v>
      </c>
      <c r="P10597" s="6" t="s">
        <v>65164</v>
      </c>
      <c r="Q10597" s="6" t="s">
        <v>31</v>
      </c>
      <c r="R10597" s="6" t="s">
        <v>1112</v>
      </c>
      <c r="S10597" s="8" t="s">
        <v>65165</v>
      </c>
      <c r="T10597" s="6" t="s">
        <v>66</v>
      </c>
      <c r="U10597" s="8" t="s">
        <v>31</v>
      </c>
      <c r="V10597" s="6" t="s">
        <v>65174</v>
      </c>
      <c r="W10597" s="6" t="s">
        <v>65161</v>
      </c>
      <c r="X10597" s="9" t="str">
        <f>HYPERLINK("https://my.pitchbook.com?p=193854-07P","View People Online")</f>
        <v>View People Online</v>
      </c>
    </row>
    <row r="10598">
      <c r="A10598" s="2" t="s">
        <v>65175</v>
      </c>
      <c r="B10598" s="2" t="s">
        <v>65176</v>
      </c>
      <c r="C10598" s="2" t="s">
        <v>4306</v>
      </c>
      <c r="D10598" s="2" t="s">
        <v>65177</v>
      </c>
      <c r="E10598" s="2" t="s">
        <v>65161</v>
      </c>
      <c r="F10598" s="2" t="s">
        <v>1283</v>
      </c>
      <c r="G10598" s="2" t="s">
        <v>65178</v>
      </c>
      <c r="H10598" s="3" t="s">
        <v>31</v>
      </c>
      <c r="I10598" s="3">
        <v>1.0</v>
      </c>
      <c r="J10598" s="3">
        <v>1.0</v>
      </c>
      <c r="K10598" s="3" t="s">
        <v>31</v>
      </c>
      <c r="L10598" s="4" t="s">
        <v>65163</v>
      </c>
      <c r="M10598" s="2" t="s">
        <v>65179</v>
      </c>
      <c r="N10598" s="2" t="s">
        <v>1109</v>
      </c>
      <c r="O10598" s="4" t="s">
        <v>1110</v>
      </c>
      <c r="P10598" s="2" t="s">
        <v>65164</v>
      </c>
      <c r="Q10598" s="2" t="s">
        <v>31</v>
      </c>
      <c r="R10598" s="2" t="s">
        <v>1112</v>
      </c>
      <c r="S10598" s="4" t="s">
        <v>65165</v>
      </c>
      <c r="T10598" s="2" t="s">
        <v>66</v>
      </c>
      <c r="U10598" s="4" t="s">
        <v>31</v>
      </c>
      <c r="V10598" s="2" t="s">
        <v>65180</v>
      </c>
      <c r="W10598" s="2" t="s">
        <v>65161</v>
      </c>
      <c r="X10598" s="5" t="str">
        <f>HYPERLINK("https://my.pitchbook.com?p=276304-69P","View People Online")</f>
        <v>View People Online</v>
      </c>
    </row>
    <row r="10599">
      <c r="A10599" s="6" t="s">
        <v>65181</v>
      </c>
      <c r="B10599" s="6" t="s">
        <v>65182</v>
      </c>
      <c r="C10599" s="6" t="s">
        <v>3040</v>
      </c>
      <c r="D10599" s="6" t="s">
        <v>25568</v>
      </c>
      <c r="E10599" s="6" t="s">
        <v>65161</v>
      </c>
      <c r="F10599" s="6" t="s">
        <v>65183</v>
      </c>
      <c r="G10599" s="6" t="s">
        <v>65184</v>
      </c>
      <c r="H10599" s="7">
        <v>1.0</v>
      </c>
      <c r="I10599" s="7">
        <v>1.0</v>
      </c>
      <c r="J10599" s="7">
        <v>1.0</v>
      </c>
      <c r="K10599" s="7" t="s">
        <v>31</v>
      </c>
      <c r="L10599" s="8" t="s">
        <v>65163</v>
      </c>
      <c r="M10599" s="6" t="s">
        <v>31</v>
      </c>
      <c r="N10599" s="6" t="s">
        <v>1109</v>
      </c>
      <c r="O10599" s="8" t="s">
        <v>1110</v>
      </c>
      <c r="P10599" s="6" t="s">
        <v>65164</v>
      </c>
      <c r="Q10599" s="6" t="s">
        <v>31</v>
      </c>
      <c r="R10599" s="6" t="s">
        <v>1112</v>
      </c>
      <c r="S10599" s="8" t="s">
        <v>65165</v>
      </c>
      <c r="T10599" s="6" t="s">
        <v>66</v>
      </c>
      <c r="U10599" s="8" t="s">
        <v>31</v>
      </c>
      <c r="V10599" s="6" t="s">
        <v>65185</v>
      </c>
      <c r="W10599" s="6" t="s">
        <v>65161</v>
      </c>
      <c r="X10599" s="9" t="str">
        <f>HYPERLINK("https://my.pitchbook.com?p=196048-81P","View People Online")</f>
        <v>View People Online</v>
      </c>
    </row>
    <row r="10600">
      <c r="A10600" s="10" t="s">
        <v>65186</v>
      </c>
      <c r="B10600" s="10" t="s">
        <v>65187</v>
      </c>
      <c r="C10600" s="10" t="s">
        <v>7538</v>
      </c>
      <c r="D10600" s="10" t="s">
        <v>12698</v>
      </c>
      <c r="E10600" s="10" t="s">
        <v>65161</v>
      </c>
      <c r="F10600" s="10" t="s">
        <v>548</v>
      </c>
      <c r="G10600" s="10" t="s">
        <v>65188</v>
      </c>
      <c r="H10600" s="11" t="s">
        <v>31</v>
      </c>
      <c r="I10600" s="11">
        <v>7.0</v>
      </c>
      <c r="J10600" s="11">
        <v>1.0</v>
      </c>
      <c r="K10600" s="11">
        <v>5.0</v>
      </c>
      <c r="L10600" s="12" t="s">
        <v>65189</v>
      </c>
      <c r="M10600" s="10" t="s">
        <v>65190</v>
      </c>
      <c r="N10600" s="10" t="s">
        <v>1109</v>
      </c>
      <c r="O10600" s="12" t="s">
        <v>1110</v>
      </c>
      <c r="P10600" s="10" t="s">
        <v>65164</v>
      </c>
      <c r="Q10600" s="10" t="s">
        <v>31</v>
      </c>
      <c r="R10600" s="10" t="s">
        <v>1112</v>
      </c>
      <c r="S10600" s="12" t="s">
        <v>65165</v>
      </c>
      <c r="T10600" s="10" t="s">
        <v>66</v>
      </c>
      <c r="U10600" s="12" t="s">
        <v>31</v>
      </c>
      <c r="V10600" s="10" t="s">
        <v>65191</v>
      </c>
      <c r="W10600" s="10" t="s">
        <v>65161</v>
      </c>
      <c r="X10600" s="13" t="str">
        <f>HYPERLINK("https://my.pitchbook.com?p=131005-18P","View People Online")</f>
        <v>View People Online</v>
      </c>
    </row>
    <row r="10601">
      <c r="A10601" s="6" t="s">
        <v>65192</v>
      </c>
      <c r="B10601" s="6" t="s">
        <v>65193</v>
      </c>
      <c r="C10601" s="6" t="s">
        <v>3040</v>
      </c>
      <c r="D10601" s="6" t="s">
        <v>65194</v>
      </c>
      <c r="E10601" s="6" t="s">
        <v>65195</v>
      </c>
      <c r="F10601" s="6" t="s">
        <v>41586</v>
      </c>
      <c r="G10601" s="6" t="s">
        <v>65196</v>
      </c>
      <c r="H10601" s="7">
        <v>1.0</v>
      </c>
      <c r="I10601" s="7">
        <v>3.0</v>
      </c>
      <c r="J10601" s="7">
        <v>1.0</v>
      </c>
      <c r="K10601" s="7">
        <v>1.0</v>
      </c>
      <c r="L10601" s="8" t="s">
        <v>65197</v>
      </c>
      <c r="M10601" s="6" t="s">
        <v>31</v>
      </c>
      <c r="N10601" s="6" t="s">
        <v>44898</v>
      </c>
      <c r="O10601" s="8" t="s">
        <v>44899</v>
      </c>
      <c r="P10601" s="6" t="s">
        <v>65198</v>
      </c>
      <c r="Q10601" s="6" t="s">
        <v>31</v>
      </c>
      <c r="R10601" s="6" t="s">
        <v>616</v>
      </c>
      <c r="S10601" s="8" t="s">
        <v>65199</v>
      </c>
      <c r="T10601" s="6" t="s">
        <v>66</v>
      </c>
      <c r="U10601" s="8" t="s">
        <v>65200</v>
      </c>
      <c r="V10601" s="6" t="s">
        <v>41586</v>
      </c>
      <c r="W10601" s="6" t="s">
        <v>65195</v>
      </c>
      <c r="X10601" s="9" t="str">
        <f>HYPERLINK("https://my.pitchbook.com?p=27537-58P","View People Online")</f>
        <v>View People Online</v>
      </c>
    </row>
    <row r="10602">
      <c r="A10602" s="10" t="s">
        <v>65201</v>
      </c>
      <c r="B10602" s="10" t="s">
        <v>65202</v>
      </c>
      <c r="C10602" s="10" t="s">
        <v>9239</v>
      </c>
      <c r="D10602" s="10" t="s">
        <v>3822</v>
      </c>
      <c r="E10602" s="10" t="s">
        <v>65195</v>
      </c>
      <c r="F10602" s="10" t="s">
        <v>3600</v>
      </c>
      <c r="G10602" s="10" t="s">
        <v>65203</v>
      </c>
      <c r="H10602" s="11" t="s">
        <v>31</v>
      </c>
      <c r="I10602" s="11">
        <v>1.0</v>
      </c>
      <c r="J10602" s="11">
        <v>1.0</v>
      </c>
      <c r="K10602" s="11" t="s">
        <v>31</v>
      </c>
      <c r="L10602" s="12" t="s">
        <v>65197</v>
      </c>
      <c r="M10602" s="10" t="s">
        <v>65204</v>
      </c>
      <c r="N10602" s="10" t="s">
        <v>44898</v>
      </c>
      <c r="O10602" s="12" t="s">
        <v>44899</v>
      </c>
      <c r="P10602" s="10" t="s">
        <v>65198</v>
      </c>
      <c r="Q10602" s="10" t="s">
        <v>31</v>
      </c>
      <c r="R10602" s="10" t="s">
        <v>616</v>
      </c>
      <c r="S10602" s="12" t="s">
        <v>65199</v>
      </c>
      <c r="T10602" s="10" t="s">
        <v>66</v>
      </c>
      <c r="U10602" s="12" t="s">
        <v>65200</v>
      </c>
      <c r="V10602" s="10" t="s">
        <v>51329</v>
      </c>
      <c r="W10602" s="10" t="s">
        <v>65195</v>
      </c>
      <c r="X10602" s="13" t="str">
        <f>HYPERLINK("https://my.pitchbook.com?p=322564-69P","View People Online")</f>
        <v>View People Online</v>
      </c>
    </row>
    <row r="10603">
      <c r="A10603" s="6" t="s">
        <v>65205</v>
      </c>
      <c r="B10603" s="6" t="s">
        <v>65206</v>
      </c>
      <c r="C10603" s="6" t="s">
        <v>562</v>
      </c>
      <c r="D10603" s="6" t="s">
        <v>28784</v>
      </c>
      <c r="E10603" s="6" t="s">
        <v>65195</v>
      </c>
      <c r="F10603" s="6" t="s">
        <v>667</v>
      </c>
      <c r="G10603" s="6" t="s">
        <v>65207</v>
      </c>
      <c r="H10603" s="7" t="s">
        <v>31</v>
      </c>
      <c r="I10603" s="7">
        <v>1.0</v>
      </c>
      <c r="J10603" s="7">
        <v>1.0</v>
      </c>
      <c r="K10603" s="7" t="s">
        <v>31</v>
      </c>
      <c r="L10603" s="8" t="s">
        <v>65197</v>
      </c>
      <c r="M10603" s="6" t="s">
        <v>65208</v>
      </c>
      <c r="N10603" s="6" t="s">
        <v>44898</v>
      </c>
      <c r="O10603" s="8" t="s">
        <v>44899</v>
      </c>
      <c r="P10603" s="6" t="s">
        <v>65198</v>
      </c>
      <c r="Q10603" s="6" t="s">
        <v>31</v>
      </c>
      <c r="R10603" s="6" t="s">
        <v>616</v>
      </c>
      <c r="S10603" s="8" t="s">
        <v>65199</v>
      </c>
      <c r="T10603" s="6" t="s">
        <v>66</v>
      </c>
      <c r="U10603" s="8" t="s">
        <v>65200</v>
      </c>
      <c r="V10603" s="6" t="s">
        <v>65209</v>
      </c>
      <c r="W10603" s="6" t="s">
        <v>65195</v>
      </c>
      <c r="X10603" s="9" t="str">
        <f>HYPERLINK("https://my.pitchbook.com?p=444157-39P","View People Online")</f>
        <v>View People Online</v>
      </c>
    </row>
    <row r="10604">
      <c r="A10604" s="10" t="s">
        <v>65210</v>
      </c>
      <c r="B10604" s="10" t="s">
        <v>65211</v>
      </c>
      <c r="C10604" s="10" t="s">
        <v>562</v>
      </c>
      <c r="D10604" s="10" t="s">
        <v>65212</v>
      </c>
      <c r="E10604" s="10" t="s">
        <v>65195</v>
      </c>
      <c r="F10604" s="10" t="s">
        <v>60297</v>
      </c>
      <c r="G10604" s="10" t="s">
        <v>65213</v>
      </c>
      <c r="H10604" s="11">
        <v>2.0</v>
      </c>
      <c r="I10604" s="11">
        <v>28.0</v>
      </c>
      <c r="J10604" s="11">
        <v>2.0</v>
      </c>
      <c r="K10604" s="11">
        <v>18.0</v>
      </c>
      <c r="L10604" s="12" t="s">
        <v>65214</v>
      </c>
      <c r="M10604" s="10" t="s">
        <v>65215</v>
      </c>
      <c r="N10604" s="10" t="s">
        <v>44898</v>
      </c>
      <c r="O10604" s="12" t="s">
        <v>44899</v>
      </c>
      <c r="P10604" s="10" t="s">
        <v>65198</v>
      </c>
      <c r="Q10604" s="10" t="s">
        <v>31</v>
      </c>
      <c r="R10604" s="10" t="s">
        <v>616</v>
      </c>
      <c r="S10604" s="12" t="s">
        <v>65199</v>
      </c>
      <c r="T10604" s="10" t="s">
        <v>66</v>
      </c>
      <c r="U10604" s="12" t="s">
        <v>65200</v>
      </c>
      <c r="V10604" s="10" t="s">
        <v>65216</v>
      </c>
      <c r="W10604" s="10" t="s">
        <v>65195</v>
      </c>
      <c r="X10604" s="13" t="str">
        <f>HYPERLINK("https://my.pitchbook.com?p=39125-44P","View People Online")</f>
        <v>View People Online</v>
      </c>
    </row>
    <row r="10605">
      <c r="A10605" s="14" t="s">
        <v>65217</v>
      </c>
      <c r="B10605" s="14" t="s">
        <v>65218</v>
      </c>
      <c r="C10605" s="14" t="s">
        <v>1982</v>
      </c>
      <c r="D10605" s="14" t="s">
        <v>65219</v>
      </c>
      <c r="E10605" s="14" t="s">
        <v>65220</v>
      </c>
      <c r="F10605" s="14" t="s">
        <v>318</v>
      </c>
      <c r="G10605" s="14" t="s">
        <v>65221</v>
      </c>
      <c r="H10605" s="15">
        <v>6.0</v>
      </c>
      <c r="I10605" s="15">
        <v>28.0</v>
      </c>
      <c r="J10605" s="15">
        <v>3.0</v>
      </c>
      <c r="K10605" s="15">
        <v>18.0</v>
      </c>
      <c r="L10605" s="16" t="s">
        <v>31</v>
      </c>
      <c r="M10605" s="14" t="s">
        <v>65222</v>
      </c>
      <c r="N10605" s="14" t="s">
        <v>28269</v>
      </c>
      <c r="O10605" s="16" t="s">
        <v>28270</v>
      </c>
      <c r="P10605" s="14" t="s">
        <v>65223</v>
      </c>
      <c r="Q10605" s="14" t="s">
        <v>65224</v>
      </c>
      <c r="R10605" s="14" t="s">
        <v>10326</v>
      </c>
      <c r="S10605" s="16" t="s">
        <v>41220</v>
      </c>
      <c r="T10605" s="14" t="s">
        <v>66</v>
      </c>
      <c r="U10605" s="16" t="s">
        <v>31</v>
      </c>
      <c r="V10605" s="14" t="s">
        <v>318</v>
      </c>
      <c r="W10605" s="14" t="s">
        <v>65220</v>
      </c>
      <c r="X10605" s="17" t="str">
        <f>HYPERLINK("https://my.pitchbook.com?p=39010-96P","View People Online")</f>
        <v>View People Online</v>
      </c>
    </row>
    <row r="10606">
      <c r="A10606" s="10" t="s">
        <v>65225</v>
      </c>
      <c r="B10606" s="10" t="s">
        <v>65226</v>
      </c>
      <c r="C10606" s="10" t="s">
        <v>20223</v>
      </c>
      <c r="D10606" s="10" t="s">
        <v>65227</v>
      </c>
      <c r="E10606" s="10" t="s">
        <v>65220</v>
      </c>
      <c r="F10606" s="10" t="s">
        <v>29</v>
      </c>
      <c r="G10606" s="10" t="s">
        <v>65228</v>
      </c>
      <c r="H10606" s="11">
        <v>1.0</v>
      </c>
      <c r="I10606" s="11">
        <v>12.0</v>
      </c>
      <c r="J10606" s="11">
        <v>2.0</v>
      </c>
      <c r="K10606" s="11">
        <v>9.0</v>
      </c>
      <c r="L10606" s="12" t="s">
        <v>65229</v>
      </c>
      <c r="M10606" s="10" t="s">
        <v>65230</v>
      </c>
      <c r="N10606" s="10" t="s">
        <v>11029</v>
      </c>
      <c r="O10606" s="12" t="s">
        <v>11030</v>
      </c>
      <c r="P10606" s="10" t="s">
        <v>31</v>
      </c>
      <c r="Q10606" s="10" t="s">
        <v>31</v>
      </c>
      <c r="R10606" s="10" t="s">
        <v>10017</v>
      </c>
      <c r="S10606" s="12" t="s">
        <v>31</v>
      </c>
      <c r="T10606" s="10" t="s">
        <v>66</v>
      </c>
      <c r="U10606" s="12" t="s">
        <v>31</v>
      </c>
      <c r="V10606" s="10" t="s">
        <v>29</v>
      </c>
      <c r="W10606" s="10" t="s">
        <v>65220</v>
      </c>
      <c r="X10606" s="13" t="str">
        <f>HYPERLINK("https://my.pitchbook.com?p=64364-32P","View People Online")</f>
        <v>View People Online</v>
      </c>
    </row>
    <row r="10607">
      <c r="A10607" s="6" t="s">
        <v>65231</v>
      </c>
      <c r="B10607" s="6" t="s">
        <v>65232</v>
      </c>
      <c r="C10607" s="6" t="s">
        <v>3222</v>
      </c>
      <c r="D10607" s="6" t="s">
        <v>44279</v>
      </c>
      <c r="E10607" s="6" t="s">
        <v>65220</v>
      </c>
      <c r="F10607" s="6" t="s">
        <v>318</v>
      </c>
      <c r="G10607" s="6" t="s">
        <v>65233</v>
      </c>
      <c r="H10607" s="7" t="s">
        <v>31</v>
      </c>
      <c r="I10607" s="7">
        <v>2.0</v>
      </c>
      <c r="J10607" s="7">
        <v>1.0</v>
      </c>
      <c r="K10607" s="7">
        <v>1.0</v>
      </c>
      <c r="L10607" s="8" t="s">
        <v>31</v>
      </c>
      <c r="M10607" s="6" t="s">
        <v>31</v>
      </c>
      <c r="N10607" s="6" t="s">
        <v>28269</v>
      </c>
      <c r="O10607" s="8" t="s">
        <v>28270</v>
      </c>
      <c r="P10607" s="6" t="s">
        <v>65223</v>
      </c>
      <c r="Q10607" s="6" t="s">
        <v>65224</v>
      </c>
      <c r="R10607" s="6" t="s">
        <v>10326</v>
      </c>
      <c r="S10607" s="8" t="s">
        <v>41220</v>
      </c>
      <c r="T10607" s="6" t="s">
        <v>66</v>
      </c>
      <c r="U10607" s="8" t="s">
        <v>31</v>
      </c>
      <c r="V10607" s="6" t="s">
        <v>318</v>
      </c>
      <c r="W10607" s="6" t="s">
        <v>65220</v>
      </c>
      <c r="X10607" s="9" t="str">
        <f>HYPERLINK("https://my.pitchbook.com?p=43418-80P","View People Online")</f>
        <v>View People Online</v>
      </c>
    </row>
    <row r="10608">
      <c r="A10608" s="2" t="s">
        <v>65234</v>
      </c>
      <c r="B10608" s="2" t="s">
        <v>65235</v>
      </c>
      <c r="C10608" s="2" t="s">
        <v>26193</v>
      </c>
      <c r="D10608" s="2" t="s">
        <v>6733</v>
      </c>
      <c r="E10608" s="2" t="s">
        <v>65236</v>
      </c>
      <c r="F10608" s="2" t="s">
        <v>318</v>
      </c>
      <c r="G10608" s="2" t="s">
        <v>65237</v>
      </c>
      <c r="H10608" s="3" t="s">
        <v>31</v>
      </c>
      <c r="I10608" s="3">
        <v>1.0</v>
      </c>
      <c r="J10608" s="3">
        <v>1.0</v>
      </c>
      <c r="K10608" s="3" t="s">
        <v>31</v>
      </c>
      <c r="L10608" s="4" t="s">
        <v>65238</v>
      </c>
      <c r="M10608" s="2" t="s">
        <v>65239</v>
      </c>
      <c r="N10608" s="2" t="s">
        <v>155</v>
      </c>
      <c r="O10608" s="4" t="s">
        <v>156</v>
      </c>
      <c r="P10608" s="2" t="s">
        <v>65240</v>
      </c>
      <c r="Q10608" s="2" t="s">
        <v>65241</v>
      </c>
      <c r="R10608" s="2" t="s">
        <v>64</v>
      </c>
      <c r="S10608" s="4" t="s">
        <v>24247</v>
      </c>
      <c r="T10608" s="2" t="s">
        <v>66</v>
      </c>
      <c r="U10608" s="4" t="s">
        <v>31</v>
      </c>
      <c r="V10608" s="2" t="s">
        <v>318</v>
      </c>
      <c r="W10608" s="2" t="s">
        <v>65236</v>
      </c>
      <c r="X10608" s="5" t="str">
        <f>HYPERLINK("https://my.pitchbook.com?p=368490-79P","View People Online")</f>
        <v>View People Online</v>
      </c>
    </row>
    <row r="10609">
      <c r="A10609" s="14" t="s">
        <v>65242</v>
      </c>
      <c r="B10609" s="14" t="s">
        <v>65243</v>
      </c>
      <c r="C10609" s="14" t="s">
        <v>24971</v>
      </c>
      <c r="D10609" s="14" t="s">
        <v>65244</v>
      </c>
      <c r="E10609" s="14" t="s">
        <v>65236</v>
      </c>
      <c r="F10609" s="14" t="s">
        <v>548</v>
      </c>
      <c r="G10609" s="14" t="s">
        <v>65245</v>
      </c>
      <c r="H10609" s="15" t="s">
        <v>31</v>
      </c>
      <c r="I10609" s="15">
        <v>4.0</v>
      </c>
      <c r="J10609" s="15">
        <v>2.0</v>
      </c>
      <c r="K10609" s="15">
        <v>2.0</v>
      </c>
      <c r="L10609" s="16" t="s">
        <v>65238</v>
      </c>
      <c r="M10609" s="14" t="s">
        <v>31</v>
      </c>
      <c r="N10609" s="14" t="s">
        <v>155</v>
      </c>
      <c r="O10609" s="16" t="s">
        <v>156</v>
      </c>
      <c r="P10609" s="14" t="s">
        <v>65240</v>
      </c>
      <c r="Q10609" s="14" t="s">
        <v>65241</v>
      </c>
      <c r="R10609" s="14" t="s">
        <v>64</v>
      </c>
      <c r="S10609" s="16" t="s">
        <v>24247</v>
      </c>
      <c r="T10609" s="14" t="s">
        <v>66</v>
      </c>
      <c r="U10609" s="16" t="s">
        <v>31</v>
      </c>
      <c r="V10609" s="14" t="s">
        <v>548</v>
      </c>
      <c r="W10609" s="14" t="s">
        <v>65236</v>
      </c>
      <c r="X10609" s="17" t="str">
        <f>HYPERLINK("https://my.pitchbook.com?p=327204-46P","View People Online")</f>
        <v>View People Online</v>
      </c>
    </row>
    <row r="10610">
      <c r="A10610" s="10" t="s">
        <v>65246</v>
      </c>
      <c r="B10610" s="10" t="s">
        <v>65247</v>
      </c>
      <c r="C10610" s="10" t="s">
        <v>160</v>
      </c>
      <c r="D10610" s="10" t="s">
        <v>15337</v>
      </c>
      <c r="E10610" s="10" t="s">
        <v>65236</v>
      </c>
      <c r="F10610" s="10" t="s">
        <v>270</v>
      </c>
      <c r="G10610" s="10" t="s">
        <v>65248</v>
      </c>
      <c r="H10610" s="11">
        <v>1.0</v>
      </c>
      <c r="I10610" s="11">
        <v>2.0</v>
      </c>
      <c r="J10610" s="11">
        <v>1.0</v>
      </c>
      <c r="K10610" s="11" t="s">
        <v>31</v>
      </c>
      <c r="L10610" s="12" t="s">
        <v>65238</v>
      </c>
      <c r="M10610" s="10" t="s">
        <v>31</v>
      </c>
      <c r="N10610" s="10" t="s">
        <v>155</v>
      </c>
      <c r="O10610" s="12" t="s">
        <v>156</v>
      </c>
      <c r="P10610" s="10" t="s">
        <v>65240</v>
      </c>
      <c r="Q10610" s="10" t="s">
        <v>65241</v>
      </c>
      <c r="R10610" s="10" t="s">
        <v>64</v>
      </c>
      <c r="S10610" s="12" t="s">
        <v>24247</v>
      </c>
      <c r="T10610" s="10" t="s">
        <v>66</v>
      </c>
      <c r="U10610" s="12" t="s">
        <v>31</v>
      </c>
      <c r="V10610" s="10" t="s">
        <v>440</v>
      </c>
      <c r="W10610" s="10" t="s">
        <v>65236</v>
      </c>
      <c r="X10610" s="13" t="str">
        <f>HYPERLINK("https://my.pitchbook.com?p=368489-89P","View People Online")</f>
        <v>View People Online</v>
      </c>
    </row>
    <row r="10611">
      <c r="A10611" s="6" t="s">
        <v>65249</v>
      </c>
      <c r="B10611" s="6" t="s">
        <v>65250</v>
      </c>
      <c r="C10611" s="6" t="s">
        <v>11929</v>
      </c>
      <c r="D10611" s="6" t="s">
        <v>65251</v>
      </c>
      <c r="E10611" s="6" t="s">
        <v>65236</v>
      </c>
      <c r="F10611" s="6" t="s">
        <v>8217</v>
      </c>
      <c r="G10611" s="6" t="s">
        <v>65252</v>
      </c>
      <c r="H10611" s="7" t="s">
        <v>31</v>
      </c>
      <c r="I10611" s="7">
        <v>1.0</v>
      </c>
      <c r="J10611" s="7">
        <v>1.0</v>
      </c>
      <c r="K10611" s="7" t="s">
        <v>31</v>
      </c>
      <c r="L10611" s="8" t="s">
        <v>65238</v>
      </c>
      <c r="M10611" s="6" t="s">
        <v>65253</v>
      </c>
      <c r="N10611" s="6" t="s">
        <v>155</v>
      </c>
      <c r="O10611" s="8" t="s">
        <v>156</v>
      </c>
      <c r="P10611" s="6" t="s">
        <v>65240</v>
      </c>
      <c r="Q10611" s="6" t="s">
        <v>65241</v>
      </c>
      <c r="R10611" s="6" t="s">
        <v>64</v>
      </c>
      <c r="S10611" s="8" t="s">
        <v>24247</v>
      </c>
      <c r="T10611" s="6" t="s">
        <v>66</v>
      </c>
      <c r="U10611" s="8" t="s">
        <v>31</v>
      </c>
      <c r="V10611" s="6" t="s">
        <v>8217</v>
      </c>
      <c r="W10611" s="6" t="s">
        <v>65236</v>
      </c>
      <c r="X10611" s="9" t="str">
        <f>HYPERLINK("https://my.pitchbook.com?p=386698-78P","View People Online")</f>
        <v>View People Online</v>
      </c>
    </row>
    <row r="10612">
      <c r="A10612" s="2" t="s">
        <v>65254</v>
      </c>
      <c r="B10612" s="2" t="s">
        <v>65255</v>
      </c>
      <c r="C10612" s="2" t="s">
        <v>65256</v>
      </c>
      <c r="D10612" s="2" t="s">
        <v>65257</v>
      </c>
      <c r="E10612" s="2" t="s">
        <v>65236</v>
      </c>
      <c r="F10612" s="2" t="s">
        <v>270</v>
      </c>
      <c r="G10612" s="2" t="s">
        <v>65258</v>
      </c>
      <c r="H10612" s="3" t="s">
        <v>31</v>
      </c>
      <c r="I10612" s="3">
        <v>1.0</v>
      </c>
      <c r="J10612" s="3">
        <v>1.0</v>
      </c>
      <c r="K10612" s="3" t="s">
        <v>31</v>
      </c>
      <c r="L10612" s="4" t="s">
        <v>65238</v>
      </c>
      <c r="M10612" s="2" t="s">
        <v>31</v>
      </c>
      <c r="N10612" s="2" t="s">
        <v>155</v>
      </c>
      <c r="O10612" s="4" t="s">
        <v>156</v>
      </c>
      <c r="P10612" s="2" t="s">
        <v>65240</v>
      </c>
      <c r="Q10612" s="2" t="s">
        <v>65241</v>
      </c>
      <c r="R10612" s="2" t="s">
        <v>64</v>
      </c>
      <c r="S10612" s="4" t="s">
        <v>24247</v>
      </c>
      <c r="T10612" s="2" t="s">
        <v>66</v>
      </c>
      <c r="U10612" s="4" t="s">
        <v>31</v>
      </c>
      <c r="V10612" s="2" t="s">
        <v>440</v>
      </c>
      <c r="W10612" s="2" t="s">
        <v>65236</v>
      </c>
      <c r="X10612" s="5" t="str">
        <f>HYPERLINK("https://my.pitchbook.com?p=386696-98P","View People Online")</f>
        <v>View People Online</v>
      </c>
    </row>
    <row r="10613">
      <c r="A10613" s="14" t="s">
        <v>65259</v>
      </c>
      <c r="B10613" s="14" t="s">
        <v>65260</v>
      </c>
      <c r="C10613" s="14" t="s">
        <v>1388</v>
      </c>
      <c r="D10613" s="14" t="s">
        <v>65261</v>
      </c>
      <c r="E10613" s="14" t="s">
        <v>65236</v>
      </c>
      <c r="F10613" s="14" t="s">
        <v>71</v>
      </c>
      <c r="G10613" s="14" t="s">
        <v>65262</v>
      </c>
      <c r="H10613" s="15">
        <v>6.0</v>
      </c>
      <c r="I10613" s="15">
        <v>15.0</v>
      </c>
      <c r="J10613" s="15">
        <v>2.0</v>
      </c>
      <c r="K10613" s="15">
        <v>6.0</v>
      </c>
      <c r="L10613" s="16" t="s">
        <v>65263</v>
      </c>
      <c r="M10613" s="14" t="s">
        <v>65264</v>
      </c>
      <c r="N10613" s="14" t="s">
        <v>1716</v>
      </c>
      <c r="O10613" s="16" t="s">
        <v>1717</v>
      </c>
      <c r="P10613" s="14" t="s">
        <v>65265</v>
      </c>
      <c r="Q10613" s="14" t="s">
        <v>3465</v>
      </c>
      <c r="R10613" s="14" t="s">
        <v>64</v>
      </c>
      <c r="S10613" s="16" t="s">
        <v>1720</v>
      </c>
      <c r="T10613" s="14" t="s">
        <v>66</v>
      </c>
      <c r="U10613" s="16" t="s">
        <v>31</v>
      </c>
      <c r="V10613" s="14" t="s">
        <v>2379</v>
      </c>
      <c r="W10613" s="14" t="s">
        <v>65266</v>
      </c>
      <c r="X10613" s="17" t="str">
        <f>HYPERLINK("https://my.pitchbook.com?p=63788-68P","View People Online")</f>
        <v>View People Online</v>
      </c>
    </row>
    <row r="10614">
      <c r="A10614" s="2" t="s">
        <v>65267</v>
      </c>
      <c r="B10614" s="2" t="s">
        <v>65268</v>
      </c>
      <c r="C10614" s="2" t="s">
        <v>12354</v>
      </c>
      <c r="D10614" s="2" t="s">
        <v>5155</v>
      </c>
      <c r="E10614" s="2" t="s">
        <v>65236</v>
      </c>
      <c r="F10614" s="2" t="s">
        <v>71</v>
      </c>
      <c r="G10614" s="2" t="s">
        <v>65269</v>
      </c>
      <c r="H10614" s="3">
        <v>4.0</v>
      </c>
      <c r="I10614" s="3">
        <v>17.0</v>
      </c>
      <c r="J10614" s="3">
        <v>2.0</v>
      </c>
      <c r="K10614" s="3">
        <v>8.0</v>
      </c>
      <c r="L10614" s="4" t="s">
        <v>65238</v>
      </c>
      <c r="M10614" s="2" t="s">
        <v>65270</v>
      </c>
      <c r="N10614" s="2" t="s">
        <v>155</v>
      </c>
      <c r="O10614" s="4" t="s">
        <v>156</v>
      </c>
      <c r="P10614" s="2" t="s">
        <v>65240</v>
      </c>
      <c r="Q10614" s="2" t="s">
        <v>65241</v>
      </c>
      <c r="R10614" s="2" t="s">
        <v>64</v>
      </c>
      <c r="S10614" s="4" t="s">
        <v>24247</v>
      </c>
      <c r="T10614" s="2" t="s">
        <v>66</v>
      </c>
      <c r="U10614" s="4" t="s">
        <v>31</v>
      </c>
      <c r="V10614" s="2" t="s">
        <v>71</v>
      </c>
      <c r="W10614" s="2" t="s">
        <v>65236</v>
      </c>
      <c r="X10614" s="5" t="str">
        <f>HYPERLINK("https://my.pitchbook.com?p=144600-94P","View People Online")</f>
        <v>View People Online</v>
      </c>
    </row>
    <row r="10615">
      <c r="A10615" s="6" t="s">
        <v>65271</v>
      </c>
      <c r="B10615" s="6" t="s">
        <v>65272</v>
      </c>
      <c r="C10615" s="6" t="s">
        <v>7252</v>
      </c>
      <c r="D10615" s="6" t="s">
        <v>62497</v>
      </c>
      <c r="E10615" s="6" t="s">
        <v>65273</v>
      </c>
      <c r="F10615" s="6" t="s">
        <v>674</v>
      </c>
      <c r="G10615" s="6" t="s">
        <v>65274</v>
      </c>
      <c r="H10615" s="7" t="s">
        <v>31</v>
      </c>
      <c r="I10615" s="7">
        <v>8.0</v>
      </c>
      <c r="J10615" s="7">
        <v>2.0</v>
      </c>
      <c r="K10615" s="7">
        <v>4.0</v>
      </c>
      <c r="L10615" s="8" t="s">
        <v>65275</v>
      </c>
      <c r="M10615" s="6" t="s">
        <v>65276</v>
      </c>
      <c r="N10615" s="6" t="s">
        <v>1348</v>
      </c>
      <c r="O10615" s="8" t="s">
        <v>1349</v>
      </c>
      <c r="P10615" s="6" t="s">
        <v>31</v>
      </c>
      <c r="Q10615" s="6" t="s">
        <v>31</v>
      </c>
      <c r="R10615" s="6" t="s">
        <v>1018</v>
      </c>
      <c r="S10615" s="8" t="s">
        <v>65277</v>
      </c>
      <c r="T10615" s="6" t="s">
        <v>1019</v>
      </c>
      <c r="U10615" s="8" t="s">
        <v>31</v>
      </c>
      <c r="V10615" s="6" t="s">
        <v>674</v>
      </c>
      <c r="W10615" s="6" t="s">
        <v>65273</v>
      </c>
      <c r="X10615" s="9" t="str">
        <f>HYPERLINK("https://my.pitchbook.com?p=42590-62P","View People Online")</f>
        <v>View People Online</v>
      </c>
    </row>
    <row r="10616">
      <c r="A10616" s="2" t="s">
        <v>65278</v>
      </c>
      <c r="B10616" s="2" t="s">
        <v>65279</v>
      </c>
      <c r="C10616" s="2" t="s">
        <v>65280</v>
      </c>
      <c r="D10616" s="2" t="s">
        <v>41755</v>
      </c>
      <c r="E10616" s="2" t="s">
        <v>65273</v>
      </c>
      <c r="F10616" s="2" t="s">
        <v>65281</v>
      </c>
      <c r="G10616" s="2" t="s">
        <v>65282</v>
      </c>
      <c r="H10616" s="3" t="s">
        <v>31</v>
      </c>
      <c r="I10616" s="3">
        <v>2.0</v>
      </c>
      <c r="J10616" s="3">
        <v>1.0</v>
      </c>
      <c r="K10616" s="3" t="s">
        <v>31</v>
      </c>
      <c r="L10616" s="4" t="s">
        <v>65283</v>
      </c>
      <c r="M10616" s="2" t="s">
        <v>65284</v>
      </c>
      <c r="N10616" s="2" t="s">
        <v>75</v>
      </c>
      <c r="O10616" s="4" t="s">
        <v>76</v>
      </c>
      <c r="P10616" s="2" t="s">
        <v>31</v>
      </c>
      <c r="Q10616" s="2" t="s">
        <v>31</v>
      </c>
      <c r="R10616" s="2" t="s">
        <v>75</v>
      </c>
      <c r="S10616" s="4" t="s">
        <v>31</v>
      </c>
      <c r="T10616" s="2" t="s">
        <v>66</v>
      </c>
      <c r="U10616" s="4" t="s">
        <v>31</v>
      </c>
      <c r="V10616" s="2" t="s">
        <v>65285</v>
      </c>
      <c r="W10616" s="2" t="s">
        <v>65273</v>
      </c>
      <c r="X10616" s="5" t="str">
        <f>HYPERLINK("https://my.pitchbook.com?p=354739-33P","View People Online")</f>
        <v>View People Online</v>
      </c>
    </row>
    <row r="10617">
      <c r="A10617" s="6" t="s">
        <v>65286</v>
      </c>
      <c r="B10617" s="6" t="s">
        <v>65287</v>
      </c>
      <c r="C10617" s="6" t="s">
        <v>10162</v>
      </c>
      <c r="D10617" s="6" t="s">
        <v>65288</v>
      </c>
      <c r="E10617" s="6" t="s">
        <v>65289</v>
      </c>
      <c r="F10617" s="6" t="s">
        <v>825</v>
      </c>
      <c r="G10617" s="6" t="s">
        <v>65290</v>
      </c>
      <c r="H10617" s="7" t="s">
        <v>31</v>
      </c>
      <c r="I10617" s="7">
        <v>1.0</v>
      </c>
      <c r="J10617" s="7">
        <v>1.0</v>
      </c>
      <c r="K10617" s="7" t="s">
        <v>31</v>
      </c>
      <c r="L10617" s="8" t="s">
        <v>31</v>
      </c>
      <c r="M10617" s="6" t="s">
        <v>65291</v>
      </c>
      <c r="N10617" s="6" t="s">
        <v>59053</v>
      </c>
      <c r="O10617" s="8" t="s">
        <v>59054</v>
      </c>
      <c r="P10617" s="6" t="s">
        <v>65292</v>
      </c>
      <c r="Q10617" s="6" t="s">
        <v>65293</v>
      </c>
      <c r="R10617" s="6" t="s">
        <v>64</v>
      </c>
      <c r="S10617" s="8" t="s">
        <v>65294</v>
      </c>
      <c r="T10617" s="6" t="s">
        <v>66</v>
      </c>
      <c r="U10617" s="8" t="s">
        <v>31</v>
      </c>
      <c r="V10617" s="6" t="s">
        <v>65295</v>
      </c>
      <c r="W10617" s="6" t="s">
        <v>65289</v>
      </c>
      <c r="X10617" s="9" t="str">
        <f>HYPERLINK("https://my.pitchbook.com?p=451311-49P","View People Online")</f>
        <v>View People Online</v>
      </c>
    </row>
    <row r="10618">
      <c r="A10618" s="2" t="s">
        <v>65296</v>
      </c>
      <c r="B10618" s="2" t="s">
        <v>65297</v>
      </c>
      <c r="C10618" s="2" t="s">
        <v>1929</v>
      </c>
      <c r="D10618" s="2" t="s">
        <v>65298</v>
      </c>
      <c r="E10618" s="2" t="s">
        <v>65289</v>
      </c>
      <c r="F10618" s="2" t="s">
        <v>548</v>
      </c>
      <c r="G10618" s="2" t="s">
        <v>65299</v>
      </c>
      <c r="H10618" s="3" t="s">
        <v>31</v>
      </c>
      <c r="I10618" s="3">
        <v>1.0</v>
      </c>
      <c r="J10618" s="3">
        <v>1.0</v>
      </c>
      <c r="K10618" s="3" t="s">
        <v>31</v>
      </c>
      <c r="L10618" s="4" t="s">
        <v>31</v>
      </c>
      <c r="M10618" s="2" t="s">
        <v>65300</v>
      </c>
      <c r="N10618" s="2" t="s">
        <v>59053</v>
      </c>
      <c r="O10618" s="4" t="s">
        <v>59054</v>
      </c>
      <c r="P10618" s="2" t="s">
        <v>65292</v>
      </c>
      <c r="Q10618" s="2" t="s">
        <v>65293</v>
      </c>
      <c r="R10618" s="2" t="s">
        <v>64</v>
      </c>
      <c r="S10618" s="4" t="s">
        <v>65294</v>
      </c>
      <c r="T10618" s="2" t="s">
        <v>66</v>
      </c>
      <c r="U10618" s="4" t="s">
        <v>31</v>
      </c>
      <c r="V10618" s="2" t="s">
        <v>65301</v>
      </c>
      <c r="W10618" s="2" t="s">
        <v>65289</v>
      </c>
      <c r="X10618" s="5" t="str">
        <f>HYPERLINK("https://my.pitchbook.com?p=281096-74P","View People Online")</f>
        <v>View People Online</v>
      </c>
    </row>
    <row r="10619">
      <c r="A10619" s="14" t="s">
        <v>65302</v>
      </c>
      <c r="B10619" s="14" t="s">
        <v>65303</v>
      </c>
      <c r="C10619" s="14" t="s">
        <v>323</v>
      </c>
      <c r="D10619" s="14" t="s">
        <v>52797</v>
      </c>
      <c r="E10619" s="14" t="s">
        <v>65289</v>
      </c>
      <c r="F10619" s="14" t="s">
        <v>114</v>
      </c>
      <c r="G10619" s="14" t="s">
        <v>65304</v>
      </c>
      <c r="H10619" s="15">
        <v>1.0</v>
      </c>
      <c r="I10619" s="15">
        <v>4.0</v>
      </c>
      <c r="J10619" s="15">
        <v>2.0</v>
      </c>
      <c r="K10619" s="15" t="s">
        <v>31</v>
      </c>
      <c r="L10619" s="16" t="s">
        <v>65305</v>
      </c>
      <c r="M10619" s="14" t="s">
        <v>65306</v>
      </c>
      <c r="N10619" s="14" t="s">
        <v>59053</v>
      </c>
      <c r="O10619" s="16" t="s">
        <v>59054</v>
      </c>
      <c r="P10619" s="14" t="s">
        <v>65307</v>
      </c>
      <c r="Q10619" s="14" t="s">
        <v>48499</v>
      </c>
      <c r="R10619" s="14" t="s">
        <v>64</v>
      </c>
      <c r="S10619" s="16" t="s">
        <v>59056</v>
      </c>
      <c r="T10619" s="14" t="s">
        <v>66</v>
      </c>
      <c r="U10619" s="16" t="s">
        <v>31</v>
      </c>
      <c r="V10619" s="14" t="s">
        <v>1283</v>
      </c>
      <c r="W10619" s="14" t="s">
        <v>65308</v>
      </c>
      <c r="X10619" s="17" t="str">
        <f>HYPERLINK("https://my.pitchbook.com?p=164038-60P","View People Online")</f>
        <v>View People Online</v>
      </c>
    </row>
    <row r="10620">
      <c r="A10620" s="2" t="s">
        <v>65309</v>
      </c>
      <c r="B10620" s="2" t="s">
        <v>65310</v>
      </c>
      <c r="C10620" s="2" t="s">
        <v>3977</v>
      </c>
      <c r="D10620" s="2" t="s">
        <v>65311</v>
      </c>
      <c r="E10620" s="2" t="s">
        <v>65289</v>
      </c>
      <c r="F10620" s="2" t="s">
        <v>43</v>
      </c>
      <c r="G10620" s="2" t="s">
        <v>65312</v>
      </c>
      <c r="H10620" s="3">
        <v>3.0</v>
      </c>
      <c r="I10620" s="3">
        <v>18.0</v>
      </c>
      <c r="J10620" s="3">
        <v>2.0</v>
      </c>
      <c r="K10620" s="3">
        <v>7.0</v>
      </c>
      <c r="L10620" s="4" t="s">
        <v>65313</v>
      </c>
      <c r="M10620" s="2" t="s">
        <v>65314</v>
      </c>
      <c r="N10620" s="2" t="s">
        <v>59053</v>
      </c>
      <c r="O10620" s="4" t="s">
        <v>59054</v>
      </c>
      <c r="P10620" s="2" t="s">
        <v>65292</v>
      </c>
      <c r="Q10620" s="2" t="s">
        <v>65293</v>
      </c>
      <c r="R10620" s="2" t="s">
        <v>64</v>
      </c>
      <c r="S10620" s="4" t="s">
        <v>65294</v>
      </c>
      <c r="T10620" s="2" t="s">
        <v>66</v>
      </c>
      <c r="U10620" s="4" t="s">
        <v>31</v>
      </c>
      <c r="V10620" s="2" t="s">
        <v>43</v>
      </c>
      <c r="W10620" s="2" t="s">
        <v>65289</v>
      </c>
      <c r="X10620" s="5" t="str">
        <f>HYPERLINK("https://my.pitchbook.com?p=63953-92P","View People Online")</f>
        <v>View People Online</v>
      </c>
    </row>
    <row r="10621">
      <c r="A10621" s="14" t="s">
        <v>65315</v>
      </c>
      <c r="B10621" s="14" t="s">
        <v>65316</v>
      </c>
      <c r="C10621" s="14" t="s">
        <v>6414</v>
      </c>
      <c r="D10621" s="14" t="s">
        <v>28784</v>
      </c>
      <c r="E10621" s="14" t="s">
        <v>65289</v>
      </c>
      <c r="F10621" s="14" t="s">
        <v>59154</v>
      </c>
      <c r="G10621" s="14" t="s">
        <v>65317</v>
      </c>
      <c r="H10621" s="15" t="s">
        <v>31</v>
      </c>
      <c r="I10621" s="15">
        <v>1.0</v>
      </c>
      <c r="J10621" s="15">
        <v>1.0</v>
      </c>
      <c r="K10621" s="15" t="s">
        <v>31</v>
      </c>
      <c r="L10621" s="16" t="s">
        <v>31</v>
      </c>
      <c r="M10621" s="14" t="s">
        <v>31</v>
      </c>
      <c r="N10621" s="14" t="s">
        <v>59053</v>
      </c>
      <c r="O10621" s="16" t="s">
        <v>59054</v>
      </c>
      <c r="P10621" s="14" t="s">
        <v>65292</v>
      </c>
      <c r="Q10621" s="14" t="s">
        <v>65293</v>
      </c>
      <c r="R10621" s="14" t="s">
        <v>64</v>
      </c>
      <c r="S10621" s="16" t="s">
        <v>65294</v>
      </c>
      <c r="T10621" s="14" t="s">
        <v>66</v>
      </c>
      <c r="U10621" s="16" t="s">
        <v>31</v>
      </c>
      <c r="V10621" s="14" t="s">
        <v>2004</v>
      </c>
      <c r="W10621" s="14" t="s">
        <v>65318</v>
      </c>
      <c r="X10621" s="17" t="str">
        <f>HYPERLINK("https://my.pitchbook.com?p=281101-15P","View People Online")</f>
        <v>View People Online</v>
      </c>
    </row>
    <row r="10622">
      <c r="A10622" s="2" t="s">
        <v>65319</v>
      </c>
      <c r="B10622" s="2" t="s">
        <v>65320</v>
      </c>
      <c r="C10622" s="2" t="s">
        <v>1343</v>
      </c>
      <c r="D10622" s="2" t="s">
        <v>65321</v>
      </c>
      <c r="E10622" s="2" t="s">
        <v>65289</v>
      </c>
      <c r="F10622" s="2" t="s">
        <v>86</v>
      </c>
      <c r="G10622" s="2" t="s">
        <v>65322</v>
      </c>
      <c r="H10622" s="3">
        <v>2.0</v>
      </c>
      <c r="I10622" s="3">
        <v>11.0</v>
      </c>
      <c r="J10622" s="3">
        <v>2.0</v>
      </c>
      <c r="K10622" s="3">
        <v>1.0</v>
      </c>
      <c r="L10622" s="4" t="s">
        <v>65323</v>
      </c>
      <c r="M10622" s="2" t="s">
        <v>65324</v>
      </c>
      <c r="N10622" s="2" t="s">
        <v>59053</v>
      </c>
      <c r="O10622" s="4" t="s">
        <v>59054</v>
      </c>
      <c r="P10622" s="2" t="s">
        <v>65292</v>
      </c>
      <c r="Q10622" s="2" t="s">
        <v>65293</v>
      </c>
      <c r="R10622" s="2" t="s">
        <v>64</v>
      </c>
      <c r="S10622" s="4" t="s">
        <v>65294</v>
      </c>
      <c r="T10622" s="2" t="s">
        <v>66</v>
      </c>
      <c r="U10622" s="4" t="s">
        <v>31</v>
      </c>
      <c r="V10622" s="2" t="s">
        <v>86</v>
      </c>
      <c r="W10622" s="2" t="s">
        <v>65289</v>
      </c>
      <c r="X10622" s="5" t="str">
        <f>HYPERLINK("https://my.pitchbook.com?p=44939-26P","View People Online")</f>
        <v>View People Online</v>
      </c>
    </row>
    <row r="10623">
      <c r="A10623" s="14" t="s">
        <v>65325</v>
      </c>
      <c r="B10623" s="14" t="s">
        <v>65326</v>
      </c>
      <c r="C10623" s="14" t="s">
        <v>65327</v>
      </c>
      <c r="D10623" s="14" t="s">
        <v>43809</v>
      </c>
      <c r="E10623" s="14" t="s">
        <v>65289</v>
      </c>
      <c r="F10623" s="14" t="s">
        <v>114</v>
      </c>
      <c r="G10623" s="14" t="s">
        <v>65328</v>
      </c>
      <c r="H10623" s="15">
        <v>3.0</v>
      </c>
      <c r="I10623" s="15">
        <v>9.0</v>
      </c>
      <c r="J10623" s="15">
        <v>3.0</v>
      </c>
      <c r="K10623" s="15">
        <v>2.0</v>
      </c>
      <c r="L10623" s="16" t="s">
        <v>65329</v>
      </c>
      <c r="M10623" s="14" t="s">
        <v>65330</v>
      </c>
      <c r="N10623" s="14" t="s">
        <v>6692</v>
      </c>
      <c r="O10623" s="16" t="s">
        <v>6693</v>
      </c>
      <c r="P10623" s="14" t="s">
        <v>65331</v>
      </c>
      <c r="Q10623" s="14" t="s">
        <v>65332</v>
      </c>
      <c r="R10623" s="14" t="s">
        <v>64</v>
      </c>
      <c r="S10623" s="16" t="s">
        <v>65333</v>
      </c>
      <c r="T10623" s="14" t="s">
        <v>66</v>
      </c>
      <c r="U10623" s="16" t="s">
        <v>31</v>
      </c>
      <c r="V10623" s="14" t="s">
        <v>65334</v>
      </c>
      <c r="W10623" s="14" t="s">
        <v>65335</v>
      </c>
      <c r="X10623" s="17" t="str">
        <f>HYPERLINK("https://my.pitchbook.com?p=202511-44P","View People Online")</f>
        <v>View People Online</v>
      </c>
    </row>
    <row r="10624">
      <c r="A10624" s="10" t="s">
        <v>65336</v>
      </c>
      <c r="B10624" s="10" t="s">
        <v>65337</v>
      </c>
      <c r="C10624" s="10" t="s">
        <v>65338</v>
      </c>
      <c r="D10624" s="10" t="s">
        <v>12077</v>
      </c>
      <c r="E10624" s="10" t="s">
        <v>65289</v>
      </c>
      <c r="F10624" s="10" t="s">
        <v>29</v>
      </c>
      <c r="G10624" s="10" t="s">
        <v>65339</v>
      </c>
      <c r="H10624" s="11" t="s">
        <v>31</v>
      </c>
      <c r="I10624" s="11">
        <v>2.0</v>
      </c>
      <c r="J10624" s="11">
        <v>1.0</v>
      </c>
      <c r="K10624" s="11" t="s">
        <v>31</v>
      </c>
      <c r="L10624" s="12" t="s">
        <v>31</v>
      </c>
      <c r="M10624" s="10" t="s">
        <v>65340</v>
      </c>
      <c r="N10624" s="10" t="s">
        <v>59053</v>
      </c>
      <c r="O10624" s="12" t="s">
        <v>59054</v>
      </c>
      <c r="P10624" s="10" t="s">
        <v>65292</v>
      </c>
      <c r="Q10624" s="10" t="s">
        <v>65293</v>
      </c>
      <c r="R10624" s="10" t="s">
        <v>64</v>
      </c>
      <c r="S10624" s="12" t="s">
        <v>65294</v>
      </c>
      <c r="T10624" s="10" t="s">
        <v>66</v>
      </c>
      <c r="U10624" s="12" t="s">
        <v>31</v>
      </c>
      <c r="V10624" s="10" t="s">
        <v>29</v>
      </c>
      <c r="W10624" s="10" t="s">
        <v>65289</v>
      </c>
      <c r="X10624" s="13" t="str">
        <f>HYPERLINK("https://my.pitchbook.com?p=188066-17P","View People Online")</f>
        <v>View People Online</v>
      </c>
    </row>
    <row r="10625">
      <c r="A10625" s="6" t="s">
        <v>65341</v>
      </c>
      <c r="B10625" s="6" t="s">
        <v>65342</v>
      </c>
      <c r="C10625" s="6" t="s">
        <v>20078</v>
      </c>
      <c r="D10625" s="6" t="s">
        <v>4586</v>
      </c>
      <c r="E10625" s="6" t="s">
        <v>65289</v>
      </c>
      <c r="F10625" s="6" t="s">
        <v>114</v>
      </c>
      <c r="G10625" s="6" t="s">
        <v>65343</v>
      </c>
      <c r="H10625" s="7">
        <v>2.0</v>
      </c>
      <c r="I10625" s="7">
        <v>3.0</v>
      </c>
      <c r="J10625" s="7">
        <v>1.0</v>
      </c>
      <c r="K10625" s="7" t="s">
        <v>31</v>
      </c>
      <c r="L10625" s="8" t="s">
        <v>31</v>
      </c>
      <c r="M10625" s="6" t="s">
        <v>31</v>
      </c>
      <c r="N10625" s="6" t="s">
        <v>59053</v>
      </c>
      <c r="O10625" s="8" t="s">
        <v>59054</v>
      </c>
      <c r="P10625" s="6" t="s">
        <v>65292</v>
      </c>
      <c r="Q10625" s="6" t="s">
        <v>65293</v>
      </c>
      <c r="R10625" s="6" t="s">
        <v>64</v>
      </c>
      <c r="S10625" s="8" t="s">
        <v>65294</v>
      </c>
      <c r="T10625" s="6" t="s">
        <v>66</v>
      </c>
      <c r="U10625" s="8" t="s">
        <v>31</v>
      </c>
      <c r="V10625" s="6" t="s">
        <v>114</v>
      </c>
      <c r="W10625" s="6" t="s">
        <v>65289</v>
      </c>
      <c r="X10625" s="9" t="str">
        <f>HYPERLINK("https://my.pitchbook.com?p=297737-74P","View People Online")</f>
        <v>View People Online</v>
      </c>
    </row>
    <row r="10626">
      <c r="A10626" s="2" t="s">
        <v>65344</v>
      </c>
      <c r="B10626" s="2" t="s">
        <v>65345</v>
      </c>
      <c r="C10626" s="2" t="s">
        <v>65346</v>
      </c>
      <c r="D10626" s="2" t="s">
        <v>65347</v>
      </c>
      <c r="E10626" s="2" t="s">
        <v>65289</v>
      </c>
      <c r="F10626" s="2" t="s">
        <v>667</v>
      </c>
      <c r="G10626" s="2" t="s">
        <v>65348</v>
      </c>
      <c r="H10626" s="3" t="s">
        <v>31</v>
      </c>
      <c r="I10626" s="3">
        <v>2.0</v>
      </c>
      <c r="J10626" s="3">
        <v>2.0</v>
      </c>
      <c r="K10626" s="3" t="s">
        <v>31</v>
      </c>
      <c r="L10626" s="4" t="s">
        <v>31</v>
      </c>
      <c r="M10626" s="2" t="s">
        <v>65349</v>
      </c>
      <c r="N10626" s="2" t="s">
        <v>1170</v>
      </c>
      <c r="O10626" s="4" t="s">
        <v>1171</v>
      </c>
      <c r="P10626" s="2" t="s">
        <v>31</v>
      </c>
      <c r="Q10626" s="2" t="s">
        <v>31</v>
      </c>
      <c r="R10626" s="2" t="s">
        <v>64</v>
      </c>
      <c r="S10626" s="4" t="s">
        <v>31</v>
      </c>
      <c r="T10626" s="2" t="s">
        <v>66</v>
      </c>
      <c r="U10626" s="4" t="s">
        <v>31</v>
      </c>
      <c r="V10626" s="2" t="s">
        <v>65350</v>
      </c>
      <c r="W10626" s="2" t="s">
        <v>65351</v>
      </c>
      <c r="X10626" s="5" t="str">
        <f>HYPERLINK("https://my.pitchbook.com?p=281102-86P","View People Online")</f>
        <v>View People Online</v>
      </c>
    </row>
    <row r="10627">
      <c r="A10627" s="14" t="s">
        <v>65352</v>
      </c>
      <c r="B10627" s="14" t="s">
        <v>65353</v>
      </c>
      <c r="C10627" s="14" t="s">
        <v>65354</v>
      </c>
      <c r="D10627" s="14" t="s">
        <v>5302</v>
      </c>
      <c r="E10627" s="14" t="s">
        <v>65289</v>
      </c>
      <c r="F10627" s="14" t="s">
        <v>59154</v>
      </c>
      <c r="G10627" s="14" t="s">
        <v>65355</v>
      </c>
      <c r="H10627" s="15" t="s">
        <v>31</v>
      </c>
      <c r="I10627" s="15">
        <v>2.0</v>
      </c>
      <c r="J10627" s="15">
        <v>2.0</v>
      </c>
      <c r="K10627" s="15" t="s">
        <v>31</v>
      </c>
      <c r="L10627" s="16" t="s">
        <v>31</v>
      </c>
      <c r="M10627" s="14" t="s">
        <v>65356</v>
      </c>
      <c r="N10627" s="14" t="s">
        <v>986</v>
      </c>
      <c r="O10627" s="16" t="s">
        <v>987</v>
      </c>
      <c r="P10627" s="14" t="s">
        <v>31</v>
      </c>
      <c r="Q10627" s="14" t="s">
        <v>31</v>
      </c>
      <c r="R10627" s="14" t="s">
        <v>64</v>
      </c>
      <c r="S10627" s="16" t="s">
        <v>31</v>
      </c>
      <c r="T10627" s="14" t="s">
        <v>66</v>
      </c>
      <c r="U10627" s="16" t="s">
        <v>31</v>
      </c>
      <c r="V10627" s="14" t="s">
        <v>57</v>
      </c>
      <c r="W10627" s="14" t="s">
        <v>65357</v>
      </c>
      <c r="X10627" s="17" t="str">
        <f>HYPERLINK("https://my.pitchbook.com?p=199587-79P","View People Online")</f>
        <v>View People Online</v>
      </c>
    </row>
    <row r="10628">
      <c r="A10628" s="10" t="s">
        <v>65358</v>
      </c>
      <c r="B10628" s="10" t="s">
        <v>65359</v>
      </c>
      <c r="C10628" s="10" t="s">
        <v>65360</v>
      </c>
      <c r="D10628" s="10" t="s">
        <v>65361</v>
      </c>
      <c r="E10628" s="10" t="s">
        <v>65289</v>
      </c>
      <c r="F10628" s="10" t="s">
        <v>896</v>
      </c>
      <c r="G10628" s="10" t="s">
        <v>65362</v>
      </c>
      <c r="H10628" s="11" t="s">
        <v>31</v>
      </c>
      <c r="I10628" s="11">
        <v>1.0</v>
      </c>
      <c r="J10628" s="11">
        <v>1.0</v>
      </c>
      <c r="K10628" s="11" t="s">
        <v>31</v>
      </c>
      <c r="L10628" s="12" t="s">
        <v>31</v>
      </c>
      <c r="M10628" s="10" t="s">
        <v>65363</v>
      </c>
      <c r="N10628" s="10" t="s">
        <v>59053</v>
      </c>
      <c r="O10628" s="12" t="s">
        <v>59054</v>
      </c>
      <c r="P10628" s="10" t="s">
        <v>65292</v>
      </c>
      <c r="Q10628" s="10" t="s">
        <v>65293</v>
      </c>
      <c r="R10628" s="10" t="s">
        <v>64</v>
      </c>
      <c r="S10628" s="12" t="s">
        <v>65294</v>
      </c>
      <c r="T10628" s="10" t="s">
        <v>66</v>
      </c>
      <c r="U10628" s="12" t="s">
        <v>31</v>
      </c>
      <c r="V10628" s="10" t="s">
        <v>65364</v>
      </c>
      <c r="W10628" s="10" t="s">
        <v>65289</v>
      </c>
      <c r="X10628" s="13" t="str">
        <f>HYPERLINK("https://my.pitchbook.com?p=269484-04P","View People Online")</f>
        <v>View People Online</v>
      </c>
    </row>
    <row r="10629">
      <c r="A10629" s="6" t="s">
        <v>65365</v>
      </c>
      <c r="B10629" s="6" t="s">
        <v>65366</v>
      </c>
      <c r="C10629" s="6" t="s">
        <v>562</v>
      </c>
      <c r="D10629" s="6" t="s">
        <v>65367</v>
      </c>
      <c r="E10629" s="6" t="s">
        <v>65289</v>
      </c>
      <c r="F10629" s="6" t="s">
        <v>270</v>
      </c>
      <c r="G10629" s="6" t="s">
        <v>65368</v>
      </c>
      <c r="H10629" s="7">
        <v>1.0</v>
      </c>
      <c r="I10629" s="7">
        <v>4.0</v>
      </c>
      <c r="J10629" s="7">
        <v>1.0</v>
      </c>
      <c r="K10629" s="7">
        <v>2.0</v>
      </c>
      <c r="L10629" s="8" t="s">
        <v>65369</v>
      </c>
      <c r="M10629" s="6" t="s">
        <v>65370</v>
      </c>
      <c r="N10629" s="6" t="s">
        <v>32123</v>
      </c>
      <c r="O10629" s="8" t="s">
        <v>32124</v>
      </c>
      <c r="P10629" s="6" t="s">
        <v>65371</v>
      </c>
      <c r="Q10629" s="6" t="s">
        <v>31</v>
      </c>
      <c r="R10629" s="6" t="s">
        <v>64</v>
      </c>
      <c r="S10629" s="8" t="s">
        <v>32126</v>
      </c>
      <c r="T10629" s="6" t="s">
        <v>66</v>
      </c>
      <c r="U10629" s="8" t="s">
        <v>65372</v>
      </c>
      <c r="V10629" s="6" t="s">
        <v>470</v>
      </c>
      <c r="W10629" s="6" t="s">
        <v>65373</v>
      </c>
      <c r="X10629" s="9" t="str">
        <f>HYPERLINK("https://my.pitchbook.com?p=64546-48P","View People Online")</f>
        <v>View People Online</v>
      </c>
    </row>
    <row r="10630">
      <c r="A10630" s="2" t="s">
        <v>65374</v>
      </c>
      <c r="B10630" s="2" t="s">
        <v>65375</v>
      </c>
      <c r="C10630" s="2" t="s">
        <v>2572</v>
      </c>
      <c r="D10630" s="2" t="s">
        <v>65376</v>
      </c>
      <c r="E10630" s="2" t="s">
        <v>65377</v>
      </c>
      <c r="F10630" s="2" t="s">
        <v>65378</v>
      </c>
      <c r="G10630" s="2" t="s">
        <v>65379</v>
      </c>
      <c r="H10630" s="3" t="s">
        <v>31</v>
      </c>
      <c r="I10630" s="3">
        <v>4.0</v>
      </c>
      <c r="J10630" s="3">
        <v>1.0</v>
      </c>
      <c r="K10630" s="3">
        <v>3.0</v>
      </c>
      <c r="L10630" s="4" t="s">
        <v>65380</v>
      </c>
      <c r="M10630" s="2" t="s">
        <v>65381</v>
      </c>
      <c r="N10630" s="2" t="s">
        <v>155</v>
      </c>
      <c r="O10630" s="4" t="s">
        <v>156</v>
      </c>
      <c r="P10630" s="2" t="s">
        <v>65382</v>
      </c>
      <c r="Q10630" s="2" t="s">
        <v>31</v>
      </c>
      <c r="R10630" s="2" t="s">
        <v>64</v>
      </c>
      <c r="S10630" s="4" t="s">
        <v>2463</v>
      </c>
      <c r="T10630" s="2" t="s">
        <v>66</v>
      </c>
      <c r="U10630" s="4" t="s">
        <v>31</v>
      </c>
      <c r="V10630" s="2" t="s">
        <v>65383</v>
      </c>
      <c r="W10630" s="2" t="s">
        <v>65377</v>
      </c>
      <c r="X10630" s="5" t="str">
        <f>HYPERLINK("https://my.pitchbook.com?p=199039-87P","View People Online")</f>
        <v>View People Online</v>
      </c>
    </row>
    <row r="10631">
      <c r="A10631" s="6" t="s">
        <v>65384</v>
      </c>
      <c r="B10631" s="6" t="s">
        <v>65385</v>
      </c>
      <c r="C10631" s="6" t="s">
        <v>568</v>
      </c>
      <c r="D10631" s="6" t="s">
        <v>65386</v>
      </c>
      <c r="E10631" s="6" t="s">
        <v>65377</v>
      </c>
      <c r="F10631" s="6" t="s">
        <v>825</v>
      </c>
      <c r="G10631" s="6" t="s">
        <v>65387</v>
      </c>
      <c r="H10631" s="7" t="s">
        <v>31</v>
      </c>
      <c r="I10631" s="7">
        <v>1.0</v>
      </c>
      <c r="J10631" s="7">
        <v>1.0</v>
      </c>
      <c r="K10631" s="7" t="s">
        <v>31</v>
      </c>
      <c r="L10631" s="8" t="s">
        <v>31</v>
      </c>
      <c r="M10631" s="6" t="s">
        <v>65388</v>
      </c>
      <c r="N10631" s="6" t="s">
        <v>155</v>
      </c>
      <c r="O10631" s="8" t="s">
        <v>156</v>
      </c>
      <c r="P10631" s="6" t="s">
        <v>65382</v>
      </c>
      <c r="Q10631" s="6" t="s">
        <v>31</v>
      </c>
      <c r="R10631" s="6" t="s">
        <v>64</v>
      </c>
      <c r="S10631" s="8" t="s">
        <v>2463</v>
      </c>
      <c r="T10631" s="6" t="s">
        <v>66</v>
      </c>
      <c r="U10631" s="8" t="s">
        <v>31</v>
      </c>
      <c r="V10631" s="6" t="s">
        <v>65389</v>
      </c>
      <c r="W10631" s="6" t="s">
        <v>65377</v>
      </c>
      <c r="X10631" s="9" t="str">
        <f>HYPERLINK("https://my.pitchbook.com?p=81255-34P","View People Online")</f>
        <v>View People Online</v>
      </c>
    </row>
    <row r="10632">
      <c r="A10632" s="10" t="s">
        <v>65390</v>
      </c>
      <c r="B10632" s="10" t="s">
        <v>65391</v>
      </c>
      <c r="C10632" s="10" t="s">
        <v>568</v>
      </c>
      <c r="D10632" s="10" t="s">
        <v>65392</v>
      </c>
      <c r="E10632" s="10" t="s">
        <v>65377</v>
      </c>
      <c r="F10632" s="10" t="s">
        <v>65393</v>
      </c>
      <c r="G10632" s="10" t="s">
        <v>65394</v>
      </c>
      <c r="H10632" s="11">
        <v>1.0</v>
      </c>
      <c r="I10632" s="11">
        <v>2.0</v>
      </c>
      <c r="J10632" s="11">
        <v>1.0</v>
      </c>
      <c r="K10632" s="11" t="s">
        <v>31</v>
      </c>
      <c r="L10632" s="12" t="s">
        <v>65395</v>
      </c>
      <c r="M10632" s="10" t="s">
        <v>65396</v>
      </c>
      <c r="N10632" s="10" t="s">
        <v>10983</v>
      </c>
      <c r="O10632" s="12" t="s">
        <v>37748</v>
      </c>
      <c r="P10632" s="10" t="s">
        <v>65397</v>
      </c>
      <c r="Q10632" s="10" t="s">
        <v>11360</v>
      </c>
      <c r="R10632" s="10" t="s">
        <v>37751</v>
      </c>
      <c r="S10632" s="12" t="s">
        <v>65398</v>
      </c>
      <c r="T10632" s="10" t="s">
        <v>66</v>
      </c>
      <c r="U10632" s="12" t="s">
        <v>31</v>
      </c>
      <c r="V10632" s="10" t="s">
        <v>65393</v>
      </c>
      <c r="W10632" s="10" t="s">
        <v>65377</v>
      </c>
      <c r="X10632" s="13" t="str">
        <f>HYPERLINK("https://my.pitchbook.com?p=196318-72P","View People Online")</f>
        <v>View People Online</v>
      </c>
    </row>
    <row r="10633">
      <c r="A10633" s="14" t="s">
        <v>65399</v>
      </c>
      <c r="B10633" s="14" t="s">
        <v>65400</v>
      </c>
      <c r="C10633" s="14" t="s">
        <v>1410</v>
      </c>
      <c r="D10633" s="14" t="s">
        <v>3941</v>
      </c>
      <c r="E10633" s="14" t="s">
        <v>65377</v>
      </c>
      <c r="F10633" s="14" t="s">
        <v>1283</v>
      </c>
      <c r="G10633" s="14" t="s">
        <v>65401</v>
      </c>
      <c r="H10633" s="15">
        <v>2.0</v>
      </c>
      <c r="I10633" s="15">
        <v>11.0</v>
      </c>
      <c r="J10633" s="15">
        <v>1.0</v>
      </c>
      <c r="K10633" s="15">
        <v>6.0</v>
      </c>
      <c r="L10633" s="16" t="s">
        <v>65402</v>
      </c>
      <c r="M10633" s="14" t="s">
        <v>65403</v>
      </c>
      <c r="N10633" s="14" t="s">
        <v>75</v>
      </c>
      <c r="O10633" s="16" t="s">
        <v>76</v>
      </c>
      <c r="P10633" s="14" t="s">
        <v>65404</v>
      </c>
      <c r="Q10633" s="14" t="s">
        <v>31</v>
      </c>
      <c r="R10633" s="14" t="s">
        <v>75</v>
      </c>
      <c r="S10633" s="16" t="s">
        <v>57992</v>
      </c>
      <c r="T10633" s="14" t="s">
        <v>66</v>
      </c>
      <c r="U10633" s="16" t="s">
        <v>31</v>
      </c>
      <c r="V10633" s="14" t="s">
        <v>65405</v>
      </c>
      <c r="W10633" s="14" t="s">
        <v>65377</v>
      </c>
      <c r="X10633" s="17" t="str">
        <f>HYPERLINK("https://my.pitchbook.com?p=29688-85P","View People Online")</f>
        <v>View People Online</v>
      </c>
    </row>
    <row r="10634">
      <c r="A10634" s="2" t="s">
        <v>65406</v>
      </c>
      <c r="B10634" s="2" t="s">
        <v>65407</v>
      </c>
      <c r="C10634" s="2" t="s">
        <v>186</v>
      </c>
      <c r="D10634" s="2" t="s">
        <v>65408</v>
      </c>
      <c r="E10634" s="2" t="s">
        <v>65377</v>
      </c>
      <c r="F10634" s="2" t="s">
        <v>713</v>
      </c>
      <c r="G10634" s="2" t="s">
        <v>65409</v>
      </c>
      <c r="H10634" s="3" t="s">
        <v>31</v>
      </c>
      <c r="I10634" s="3">
        <v>1.0</v>
      </c>
      <c r="J10634" s="3">
        <v>1.0</v>
      </c>
      <c r="K10634" s="3" t="s">
        <v>31</v>
      </c>
      <c r="L10634" s="4" t="s">
        <v>31</v>
      </c>
      <c r="M10634" s="2" t="s">
        <v>65410</v>
      </c>
      <c r="N10634" s="2" t="s">
        <v>155</v>
      </c>
      <c r="O10634" s="4" t="s">
        <v>156</v>
      </c>
      <c r="P10634" s="2" t="s">
        <v>65382</v>
      </c>
      <c r="Q10634" s="2" t="s">
        <v>31</v>
      </c>
      <c r="R10634" s="2" t="s">
        <v>64</v>
      </c>
      <c r="S10634" s="4" t="s">
        <v>2463</v>
      </c>
      <c r="T10634" s="2" t="s">
        <v>66</v>
      </c>
      <c r="U10634" s="4" t="s">
        <v>31</v>
      </c>
      <c r="V10634" s="2" t="s">
        <v>65411</v>
      </c>
      <c r="W10634" s="2" t="s">
        <v>65377</v>
      </c>
      <c r="X10634" s="5" t="str">
        <f>HYPERLINK("https://my.pitchbook.com?p=348903-55P","View People Online")</f>
        <v>View People Online</v>
      </c>
    </row>
    <row r="10635">
      <c r="A10635" s="6" t="s">
        <v>65412</v>
      </c>
      <c r="B10635" s="6" t="s">
        <v>65413</v>
      </c>
      <c r="C10635" s="6" t="s">
        <v>622</v>
      </c>
      <c r="D10635" s="6" t="s">
        <v>24350</v>
      </c>
      <c r="E10635" s="6" t="s">
        <v>65377</v>
      </c>
      <c r="F10635" s="6" t="s">
        <v>825</v>
      </c>
      <c r="G10635" s="6" t="s">
        <v>65414</v>
      </c>
      <c r="H10635" s="7" t="s">
        <v>31</v>
      </c>
      <c r="I10635" s="7">
        <v>1.0</v>
      </c>
      <c r="J10635" s="7">
        <v>1.0</v>
      </c>
      <c r="K10635" s="7" t="s">
        <v>31</v>
      </c>
      <c r="L10635" s="8" t="s">
        <v>65402</v>
      </c>
      <c r="M10635" s="6" t="s">
        <v>65415</v>
      </c>
      <c r="N10635" s="6" t="s">
        <v>75</v>
      </c>
      <c r="O10635" s="8" t="s">
        <v>76</v>
      </c>
      <c r="P10635" s="6" t="s">
        <v>65404</v>
      </c>
      <c r="Q10635" s="6" t="s">
        <v>31</v>
      </c>
      <c r="R10635" s="6" t="s">
        <v>75</v>
      </c>
      <c r="S10635" s="8" t="s">
        <v>57992</v>
      </c>
      <c r="T10635" s="6" t="s">
        <v>66</v>
      </c>
      <c r="U10635" s="8" t="s">
        <v>31</v>
      </c>
      <c r="V10635" s="6" t="s">
        <v>65416</v>
      </c>
      <c r="W10635" s="6" t="s">
        <v>65377</v>
      </c>
      <c r="X10635" s="9" t="str">
        <f>HYPERLINK("https://my.pitchbook.com?p=404246-98P","View People Online")</f>
        <v>View People Online</v>
      </c>
    </row>
    <row r="10636">
      <c r="A10636" s="2" t="s">
        <v>65417</v>
      </c>
      <c r="B10636" s="2" t="s">
        <v>59725</v>
      </c>
      <c r="C10636" s="2" t="s">
        <v>59726</v>
      </c>
      <c r="D10636" s="2" t="s">
        <v>14513</v>
      </c>
      <c r="E10636" s="2" t="s">
        <v>65377</v>
      </c>
      <c r="F10636" s="2" t="s">
        <v>2652</v>
      </c>
      <c r="G10636" s="2" t="s">
        <v>65418</v>
      </c>
      <c r="H10636" s="3" t="s">
        <v>31</v>
      </c>
      <c r="I10636" s="3">
        <v>4.0</v>
      </c>
      <c r="J10636" s="3">
        <v>1.0</v>
      </c>
      <c r="K10636" s="3">
        <v>3.0</v>
      </c>
      <c r="L10636" s="4" t="s">
        <v>31</v>
      </c>
      <c r="M10636" s="2" t="s">
        <v>65419</v>
      </c>
      <c r="N10636" s="2" t="s">
        <v>155</v>
      </c>
      <c r="O10636" s="4" t="s">
        <v>156</v>
      </c>
      <c r="P10636" s="2" t="s">
        <v>65382</v>
      </c>
      <c r="Q10636" s="2" t="s">
        <v>31</v>
      </c>
      <c r="R10636" s="2" t="s">
        <v>64</v>
      </c>
      <c r="S10636" s="4" t="s">
        <v>2463</v>
      </c>
      <c r="T10636" s="2" t="s">
        <v>66</v>
      </c>
      <c r="U10636" s="4" t="s">
        <v>31</v>
      </c>
      <c r="V10636" s="2" t="s">
        <v>65420</v>
      </c>
      <c r="W10636" s="2" t="s">
        <v>65377</v>
      </c>
      <c r="X10636" s="5" t="str">
        <f>HYPERLINK("https://my.pitchbook.com?p=325992-88P","View People Online")</f>
        <v>View People Online</v>
      </c>
    </row>
    <row r="10637">
      <c r="A10637" s="6" t="s">
        <v>65421</v>
      </c>
      <c r="B10637" s="6" t="s">
        <v>65422</v>
      </c>
      <c r="C10637" s="6" t="s">
        <v>1117</v>
      </c>
      <c r="D10637" s="6" t="s">
        <v>51607</v>
      </c>
      <c r="E10637" s="6" t="s">
        <v>65377</v>
      </c>
      <c r="F10637" s="6" t="s">
        <v>2652</v>
      </c>
      <c r="G10637" s="6" t="s">
        <v>65423</v>
      </c>
      <c r="H10637" s="7" t="s">
        <v>31</v>
      </c>
      <c r="I10637" s="7">
        <v>1.0</v>
      </c>
      <c r="J10637" s="7">
        <v>1.0</v>
      </c>
      <c r="K10637" s="7" t="s">
        <v>31</v>
      </c>
      <c r="L10637" s="8" t="s">
        <v>31</v>
      </c>
      <c r="M10637" s="6" t="s">
        <v>65424</v>
      </c>
      <c r="N10637" s="6" t="s">
        <v>155</v>
      </c>
      <c r="O10637" s="8" t="s">
        <v>156</v>
      </c>
      <c r="P10637" s="6" t="s">
        <v>65382</v>
      </c>
      <c r="Q10637" s="6" t="s">
        <v>31</v>
      </c>
      <c r="R10637" s="6" t="s">
        <v>64</v>
      </c>
      <c r="S10637" s="8" t="s">
        <v>2463</v>
      </c>
      <c r="T10637" s="6" t="s">
        <v>66</v>
      </c>
      <c r="U10637" s="8" t="s">
        <v>31</v>
      </c>
      <c r="V10637" s="6" t="s">
        <v>65425</v>
      </c>
      <c r="W10637" s="6" t="s">
        <v>65377</v>
      </c>
      <c r="X10637" s="9" t="str">
        <f>HYPERLINK("https://my.pitchbook.com?p=364166-65P","View People Online")</f>
        <v>View People Online</v>
      </c>
    </row>
    <row r="10638">
      <c r="A10638" s="2" t="s">
        <v>65426</v>
      </c>
      <c r="B10638" s="2" t="s">
        <v>65427</v>
      </c>
      <c r="C10638" s="2" t="s">
        <v>5721</v>
      </c>
      <c r="D10638" s="2" t="s">
        <v>801</v>
      </c>
      <c r="E10638" s="2" t="s">
        <v>65377</v>
      </c>
      <c r="F10638" s="2" t="s">
        <v>221</v>
      </c>
      <c r="G10638" s="2" t="s">
        <v>65428</v>
      </c>
      <c r="H10638" s="3" t="s">
        <v>31</v>
      </c>
      <c r="I10638" s="3">
        <v>1.0</v>
      </c>
      <c r="J10638" s="3">
        <v>1.0</v>
      </c>
      <c r="K10638" s="3" t="s">
        <v>31</v>
      </c>
      <c r="L10638" s="4" t="s">
        <v>31</v>
      </c>
      <c r="M10638" s="2" t="s">
        <v>65429</v>
      </c>
      <c r="N10638" s="2" t="s">
        <v>155</v>
      </c>
      <c r="O10638" s="4" t="s">
        <v>156</v>
      </c>
      <c r="P10638" s="2" t="s">
        <v>65382</v>
      </c>
      <c r="Q10638" s="2" t="s">
        <v>31</v>
      </c>
      <c r="R10638" s="2" t="s">
        <v>64</v>
      </c>
      <c r="S10638" s="4" t="s">
        <v>2463</v>
      </c>
      <c r="T10638" s="2" t="s">
        <v>66</v>
      </c>
      <c r="U10638" s="4" t="s">
        <v>31</v>
      </c>
      <c r="V10638" s="2" t="s">
        <v>55669</v>
      </c>
      <c r="W10638" s="2" t="s">
        <v>65377</v>
      </c>
      <c r="X10638" s="5" t="str">
        <f>HYPERLINK("https://my.pitchbook.com?p=387198-01P","View People Online")</f>
        <v>View People Online</v>
      </c>
    </row>
    <row r="10639">
      <c r="A10639" s="14" t="s">
        <v>65430</v>
      </c>
      <c r="B10639" s="14" t="s">
        <v>65431</v>
      </c>
      <c r="C10639" s="14" t="s">
        <v>65432</v>
      </c>
      <c r="D10639" s="14" t="s">
        <v>5425</v>
      </c>
      <c r="E10639" s="14" t="s">
        <v>65377</v>
      </c>
      <c r="F10639" s="14" t="s">
        <v>371</v>
      </c>
      <c r="G10639" s="14" t="s">
        <v>65433</v>
      </c>
      <c r="H10639" s="15" t="s">
        <v>31</v>
      </c>
      <c r="I10639" s="15">
        <v>1.0</v>
      </c>
      <c r="J10639" s="15">
        <v>1.0</v>
      </c>
      <c r="K10639" s="15" t="s">
        <v>31</v>
      </c>
      <c r="L10639" s="16" t="s">
        <v>31</v>
      </c>
      <c r="M10639" s="14" t="s">
        <v>65434</v>
      </c>
      <c r="N10639" s="14" t="s">
        <v>155</v>
      </c>
      <c r="O10639" s="16" t="s">
        <v>156</v>
      </c>
      <c r="P10639" s="14" t="s">
        <v>65382</v>
      </c>
      <c r="Q10639" s="14" t="s">
        <v>31</v>
      </c>
      <c r="R10639" s="14" t="s">
        <v>64</v>
      </c>
      <c r="S10639" s="16" t="s">
        <v>2463</v>
      </c>
      <c r="T10639" s="14" t="s">
        <v>66</v>
      </c>
      <c r="U10639" s="16" t="s">
        <v>31</v>
      </c>
      <c r="V10639" s="14" t="s">
        <v>2974</v>
      </c>
      <c r="W10639" s="14" t="s">
        <v>65377</v>
      </c>
      <c r="X10639" s="17" t="str">
        <f>HYPERLINK("https://my.pitchbook.com?p=280865-98P","View People Online")</f>
        <v>View People Online</v>
      </c>
    </row>
    <row r="10640">
      <c r="A10640" s="10" t="s">
        <v>65435</v>
      </c>
      <c r="B10640" s="10" t="s">
        <v>65436</v>
      </c>
      <c r="C10640" s="10" t="s">
        <v>65437</v>
      </c>
      <c r="D10640" s="10" t="s">
        <v>1267</v>
      </c>
      <c r="E10640" s="10" t="s">
        <v>65377</v>
      </c>
      <c r="F10640" s="10" t="s">
        <v>27433</v>
      </c>
      <c r="G10640" s="10" t="s">
        <v>65438</v>
      </c>
      <c r="H10640" s="11">
        <v>1.0</v>
      </c>
      <c r="I10640" s="11">
        <v>2.0</v>
      </c>
      <c r="J10640" s="11">
        <v>1.0</v>
      </c>
      <c r="K10640" s="11" t="s">
        <v>31</v>
      </c>
      <c r="L10640" s="12" t="s">
        <v>65402</v>
      </c>
      <c r="M10640" s="10" t="s">
        <v>65439</v>
      </c>
      <c r="N10640" s="10" t="s">
        <v>75</v>
      </c>
      <c r="O10640" s="12" t="s">
        <v>76</v>
      </c>
      <c r="P10640" s="10" t="s">
        <v>65404</v>
      </c>
      <c r="Q10640" s="10" t="s">
        <v>31</v>
      </c>
      <c r="R10640" s="10" t="s">
        <v>75</v>
      </c>
      <c r="S10640" s="12" t="s">
        <v>57992</v>
      </c>
      <c r="T10640" s="10" t="s">
        <v>66</v>
      </c>
      <c r="U10640" s="12" t="s">
        <v>31</v>
      </c>
      <c r="V10640" s="10" t="s">
        <v>65440</v>
      </c>
      <c r="W10640" s="10" t="s">
        <v>65377</v>
      </c>
      <c r="X10640" s="13" t="str">
        <f>HYPERLINK("https://my.pitchbook.com?p=254628-10P","View People Online")</f>
        <v>View People Online</v>
      </c>
    </row>
    <row r="10641">
      <c r="A10641" s="14" t="s">
        <v>65441</v>
      </c>
      <c r="B10641" s="14" t="s">
        <v>65442</v>
      </c>
      <c r="C10641" s="14" t="s">
        <v>665</v>
      </c>
      <c r="D10641" s="14" t="s">
        <v>7953</v>
      </c>
      <c r="E10641" s="14" t="s">
        <v>65377</v>
      </c>
      <c r="F10641" s="14" t="s">
        <v>65443</v>
      </c>
      <c r="G10641" s="14" t="s">
        <v>65444</v>
      </c>
      <c r="H10641" s="15" t="s">
        <v>31</v>
      </c>
      <c r="I10641" s="15">
        <v>2.0</v>
      </c>
      <c r="J10641" s="15">
        <v>2.0</v>
      </c>
      <c r="K10641" s="15" t="s">
        <v>31</v>
      </c>
      <c r="L10641" s="16" t="s">
        <v>31</v>
      </c>
      <c r="M10641" s="14" t="s">
        <v>65445</v>
      </c>
      <c r="N10641" s="14" t="s">
        <v>155</v>
      </c>
      <c r="O10641" s="16" t="s">
        <v>156</v>
      </c>
      <c r="P10641" s="14" t="s">
        <v>65382</v>
      </c>
      <c r="Q10641" s="14" t="s">
        <v>31</v>
      </c>
      <c r="R10641" s="14" t="s">
        <v>64</v>
      </c>
      <c r="S10641" s="16" t="s">
        <v>2463</v>
      </c>
      <c r="T10641" s="14" t="s">
        <v>66</v>
      </c>
      <c r="U10641" s="16" t="s">
        <v>31</v>
      </c>
      <c r="V10641" s="14" t="s">
        <v>65446</v>
      </c>
      <c r="W10641" s="14" t="s">
        <v>65377</v>
      </c>
      <c r="X10641" s="17" t="str">
        <f>HYPERLINK("https://my.pitchbook.com?p=155127-34P","View People Online")</f>
        <v>View People Online</v>
      </c>
    </row>
    <row r="10642">
      <c r="A10642" s="2" t="s">
        <v>65447</v>
      </c>
      <c r="B10642" s="2" t="s">
        <v>65448</v>
      </c>
      <c r="C10642" s="2" t="s">
        <v>27913</v>
      </c>
      <c r="D10642" s="2" t="s">
        <v>14243</v>
      </c>
      <c r="E10642" s="2" t="s">
        <v>65377</v>
      </c>
      <c r="F10642" s="2" t="s">
        <v>5365</v>
      </c>
      <c r="G10642" s="2" t="s">
        <v>65449</v>
      </c>
      <c r="H10642" s="3" t="s">
        <v>31</v>
      </c>
      <c r="I10642" s="3">
        <v>2.0</v>
      </c>
      <c r="J10642" s="3">
        <v>1.0</v>
      </c>
      <c r="K10642" s="3">
        <v>1.0</v>
      </c>
      <c r="L10642" s="4" t="s">
        <v>65450</v>
      </c>
      <c r="M10642" s="2" t="s">
        <v>65451</v>
      </c>
      <c r="N10642" s="2" t="s">
        <v>155</v>
      </c>
      <c r="O10642" s="4" t="s">
        <v>156</v>
      </c>
      <c r="P10642" s="2" t="s">
        <v>65382</v>
      </c>
      <c r="Q10642" s="2" t="s">
        <v>31</v>
      </c>
      <c r="R10642" s="2" t="s">
        <v>64</v>
      </c>
      <c r="S10642" s="4" t="s">
        <v>2463</v>
      </c>
      <c r="T10642" s="2" t="s">
        <v>66</v>
      </c>
      <c r="U10642" s="4" t="s">
        <v>31</v>
      </c>
      <c r="V10642" s="2" t="s">
        <v>65452</v>
      </c>
      <c r="W10642" s="2" t="s">
        <v>65377</v>
      </c>
      <c r="X10642" s="5" t="str">
        <f>HYPERLINK("https://my.pitchbook.com?p=34889-77P","View People Online")</f>
        <v>View People Online</v>
      </c>
    </row>
    <row r="10643">
      <c r="A10643" s="14" t="s">
        <v>65453</v>
      </c>
      <c r="B10643" s="14" t="s">
        <v>65454</v>
      </c>
      <c r="C10643" s="14" t="s">
        <v>31099</v>
      </c>
      <c r="D10643" s="14" t="s">
        <v>65455</v>
      </c>
      <c r="E10643" s="14" t="s">
        <v>65377</v>
      </c>
      <c r="F10643" s="14" t="s">
        <v>65456</v>
      </c>
      <c r="G10643" s="14" t="s">
        <v>65457</v>
      </c>
      <c r="H10643" s="15">
        <v>1.0</v>
      </c>
      <c r="I10643" s="15">
        <v>2.0</v>
      </c>
      <c r="J10643" s="15">
        <v>1.0</v>
      </c>
      <c r="K10643" s="15" t="s">
        <v>31</v>
      </c>
      <c r="L10643" s="16" t="s">
        <v>65458</v>
      </c>
      <c r="M10643" s="14" t="s">
        <v>65459</v>
      </c>
      <c r="N10643" s="14" t="s">
        <v>75</v>
      </c>
      <c r="O10643" s="16" t="s">
        <v>76</v>
      </c>
      <c r="P10643" s="14" t="s">
        <v>65404</v>
      </c>
      <c r="Q10643" s="14" t="s">
        <v>31</v>
      </c>
      <c r="R10643" s="14" t="s">
        <v>75</v>
      </c>
      <c r="S10643" s="16" t="s">
        <v>57992</v>
      </c>
      <c r="T10643" s="14" t="s">
        <v>66</v>
      </c>
      <c r="U10643" s="16" t="s">
        <v>31</v>
      </c>
      <c r="V10643" s="14" t="s">
        <v>65460</v>
      </c>
      <c r="W10643" s="14" t="s">
        <v>65377</v>
      </c>
      <c r="X10643" s="17" t="str">
        <f>HYPERLINK("https://my.pitchbook.com?p=39021-13P","View People Online")</f>
        <v>View People Online</v>
      </c>
    </row>
    <row r="10644">
      <c r="A10644" s="10" t="s">
        <v>65461</v>
      </c>
      <c r="B10644" s="10" t="s">
        <v>65462</v>
      </c>
      <c r="C10644" s="10" t="s">
        <v>2581</v>
      </c>
      <c r="D10644" s="10" t="s">
        <v>65463</v>
      </c>
      <c r="E10644" s="10" t="s">
        <v>65377</v>
      </c>
      <c r="F10644" s="10" t="s">
        <v>2652</v>
      </c>
      <c r="G10644" s="10" t="s">
        <v>65464</v>
      </c>
      <c r="H10644" s="11">
        <v>4.0</v>
      </c>
      <c r="I10644" s="11">
        <v>24.0</v>
      </c>
      <c r="J10644" s="11">
        <v>2.0</v>
      </c>
      <c r="K10644" s="11">
        <v>17.0</v>
      </c>
      <c r="L10644" s="12" t="s">
        <v>31</v>
      </c>
      <c r="M10644" s="10" t="s">
        <v>65465</v>
      </c>
      <c r="N10644" s="10" t="s">
        <v>155</v>
      </c>
      <c r="O10644" s="12" t="s">
        <v>156</v>
      </c>
      <c r="P10644" s="10" t="s">
        <v>65382</v>
      </c>
      <c r="Q10644" s="10" t="s">
        <v>31</v>
      </c>
      <c r="R10644" s="10" t="s">
        <v>64</v>
      </c>
      <c r="S10644" s="12" t="s">
        <v>2463</v>
      </c>
      <c r="T10644" s="10" t="s">
        <v>66</v>
      </c>
      <c r="U10644" s="12" t="s">
        <v>31</v>
      </c>
      <c r="V10644" s="10" t="s">
        <v>65466</v>
      </c>
      <c r="W10644" s="10" t="s">
        <v>65377</v>
      </c>
      <c r="X10644" s="13" t="str">
        <f>HYPERLINK("https://my.pitchbook.com?p=54722-62P","View People Online")</f>
        <v>View People Online</v>
      </c>
    </row>
    <row r="10645">
      <c r="A10645" s="6" t="s">
        <v>65467</v>
      </c>
      <c r="B10645" s="6" t="s">
        <v>65468</v>
      </c>
      <c r="C10645" s="6" t="s">
        <v>14676</v>
      </c>
      <c r="D10645" s="6" t="s">
        <v>1147</v>
      </c>
      <c r="E10645" s="6" t="s">
        <v>65377</v>
      </c>
      <c r="F10645" s="6" t="s">
        <v>10522</v>
      </c>
      <c r="G10645" s="6" t="s">
        <v>65469</v>
      </c>
      <c r="H10645" s="7" t="s">
        <v>31</v>
      </c>
      <c r="I10645" s="7">
        <v>1.0</v>
      </c>
      <c r="J10645" s="7">
        <v>1.0</v>
      </c>
      <c r="K10645" s="7" t="s">
        <v>31</v>
      </c>
      <c r="L10645" s="8" t="s">
        <v>65402</v>
      </c>
      <c r="M10645" s="6" t="s">
        <v>65470</v>
      </c>
      <c r="N10645" s="6" t="s">
        <v>4232</v>
      </c>
      <c r="O10645" s="8" t="s">
        <v>4233</v>
      </c>
      <c r="P10645" s="6" t="s">
        <v>65471</v>
      </c>
      <c r="Q10645" s="6" t="s">
        <v>45601</v>
      </c>
      <c r="R10645" s="6" t="s">
        <v>4236</v>
      </c>
      <c r="S10645" s="8" t="s">
        <v>11182</v>
      </c>
      <c r="T10645" s="6" t="s">
        <v>66</v>
      </c>
      <c r="U10645" s="8" t="s">
        <v>31</v>
      </c>
      <c r="V10645" s="6" t="s">
        <v>65472</v>
      </c>
      <c r="W10645" s="6" t="s">
        <v>65377</v>
      </c>
      <c r="X10645" s="9" t="str">
        <f>HYPERLINK("https://my.pitchbook.com?p=151952-95P","View People Online")</f>
        <v>View People Online</v>
      </c>
    </row>
    <row r="10646">
      <c r="A10646" s="2" t="s">
        <v>65473</v>
      </c>
      <c r="B10646" s="2" t="s">
        <v>65474</v>
      </c>
      <c r="C10646" s="2" t="s">
        <v>65475</v>
      </c>
      <c r="D10646" s="2" t="s">
        <v>36548</v>
      </c>
      <c r="E10646" s="2" t="s">
        <v>65377</v>
      </c>
      <c r="F10646" s="2" t="s">
        <v>27433</v>
      </c>
      <c r="G10646" s="2" t="s">
        <v>65476</v>
      </c>
      <c r="H10646" s="3" t="s">
        <v>31</v>
      </c>
      <c r="I10646" s="3">
        <v>1.0</v>
      </c>
      <c r="J10646" s="3">
        <v>1.0</v>
      </c>
      <c r="K10646" s="3" t="s">
        <v>31</v>
      </c>
      <c r="L10646" s="4" t="s">
        <v>65477</v>
      </c>
      <c r="M10646" s="2" t="s">
        <v>65478</v>
      </c>
      <c r="N10646" s="2" t="s">
        <v>1635</v>
      </c>
      <c r="O10646" s="4" t="s">
        <v>1636</v>
      </c>
      <c r="P10646" s="2" t="s">
        <v>65479</v>
      </c>
      <c r="Q10646" s="2" t="s">
        <v>31</v>
      </c>
      <c r="R10646" s="2" t="s">
        <v>1638</v>
      </c>
      <c r="S10646" s="4" t="s">
        <v>65480</v>
      </c>
      <c r="T10646" s="2" t="s">
        <v>66</v>
      </c>
      <c r="U10646" s="4" t="s">
        <v>31</v>
      </c>
      <c r="V10646" s="2" t="s">
        <v>27433</v>
      </c>
      <c r="W10646" s="2" t="s">
        <v>65377</v>
      </c>
      <c r="X10646" s="5" t="str">
        <f>HYPERLINK("https://my.pitchbook.com?p=293714-11P","View People Online")</f>
        <v>View People Online</v>
      </c>
    </row>
    <row r="10647">
      <c r="A10647" s="6" t="s">
        <v>65481</v>
      </c>
      <c r="B10647" s="6" t="s">
        <v>65482</v>
      </c>
      <c r="C10647" s="6" t="s">
        <v>57194</v>
      </c>
      <c r="D10647" s="6" t="s">
        <v>14461</v>
      </c>
      <c r="E10647" s="6" t="s">
        <v>65377</v>
      </c>
      <c r="F10647" s="6" t="s">
        <v>270</v>
      </c>
      <c r="G10647" s="6" t="s">
        <v>65483</v>
      </c>
      <c r="H10647" s="7" t="s">
        <v>31</v>
      </c>
      <c r="I10647" s="7">
        <v>1.0</v>
      </c>
      <c r="J10647" s="7">
        <v>1.0</v>
      </c>
      <c r="K10647" s="7" t="s">
        <v>31</v>
      </c>
      <c r="L10647" s="8" t="s">
        <v>31</v>
      </c>
      <c r="M10647" s="6" t="s">
        <v>65484</v>
      </c>
      <c r="N10647" s="6" t="s">
        <v>155</v>
      </c>
      <c r="O10647" s="8" t="s">
        <v>156</v>
      </c>
      <c r="P10647" s="6" t="s">
        <v>65382</v>
      </c>
      <c r="Q10647" s="6" t="s">
        <v>31</v>
      </c>
      <c r="R10647" s="6" t="s">
        <v>64</v>
      </c>
      <c r="S10647" s="8" t="s">
        <v>2463</v>
      </c>
      <c r="T10647" s="6" t="s">
        <v>66</v>
      </c>
      <c r="U10647" s="8" t="s">
        <v>31</v>
      </c>
      <c r="V10647" s="6" t="s">
        <v>65485</v>
      </c>
      <c r="W10647" s="6" t="s">
        <v>65377</v>
      </c>
      <c r="X10647" s="9" t="str">
        <f>HYPERLINK("https://my.pitchbook.com?p=350760-34P","View People Online")</f>
        <v>View People Online</v>
      </c>
    </row>
    <row r="10648">
      <c r="A10648" s="10" t="s">
        <v>65486</v>
      </c>
      <c r="B10648" s="10" t="s">
        <v>65487</v>
      </c>
      <c r="C10648" s="10" t="s">
        <v>7116</v>
      </c>
      <c r="D10648" s="10" t="s">
        <v>65488</v>
      </c>
      <c r="E10648" s="10" t="s">
        <v>65377</v>
      </c>
      <c r="F10648" s="10" t="s">
        <v>4600</v>
      </c>
      <c r="G10648" s="10" t="s">
        <v>65489</v>
      </c>
      <c r="H10648" s="11" t="s">
        <v>31</v>
      </c>
      <c r="I10648" s="11">
        <v>1.0</v>
      </c>
      <c r="J10648" s="11">
        <v>1.0</v>
      </c>
      <c r="K10648" s="11" t="s">
        <v>31</v>
      </c>
      <c r="L10648" s="12" t="s">
        <v>65402</v>
      </c>
      <c r="M10648" s="10" t="s">
        <v>65490</v>
      </c>
      <c r="N10648" s="10" t="s">
        <v>75</v>
      </c>
      <c r="O10648" s="12" t="s">
        <v>76</v>
      </c>
      <c r="P10648" s="10" t="s">
        <v>65404</v>
      </c>
      <c r="Q10648" s="10" t="s">
        <v>31</v>
      </c>
      <c r="R10648" s="10" t="s">
        <v>75</v>
      </c>
      <c r="S10648" s="12" t="s">
        <v>57992</v>
      </c>
      <c r="T10648" s="10" t="s">
        <v>66</v>
      </c>
      <c r="U10648" s="12" t="s">
        <v>31</v>
      </c>
      <c r="V10648" s="10" t="s">
        <v>65491</v>
      </c>
      <c r="W10648" s="10" t="s">
        <v>65377</v>
      </c>
      <c r="X10648" s="13" t="str">
        <f>HYPERLINK("https://my.pitchbook.com?p=243496-54P","View People Online")</f>
        <v>View People Online</v>
      </c>
    </row>
    <row r="10649">
      <c r="A10649" s="6" t="s">
        <v>65492</v>
      </c>
      <c r="B10649" s="6" t="s">
        <v>65493</v>
      </c>
      <c r="C10649" s="6" t="s">
        <v>7116</v>
      </c>
      <c r="D10649" s="6" t="s">
        <v>65494</v>
      </c>
      <c r="E10649" s="6" t="s">
        <v>65377</v>
      </c>
      <c r="F10649" s="6" t="s">
        <v>34800</v>
      </c>
      <c r="G10649" s="6" t="s">
        <v>65495</v>
      </c>
      <c r="H10649" s="7" t="s">
        <v>31</v>
      </c>
      <c r="I10649" s="7">
        <v>1.0</v>
      </c>
      <c r="J10649" s="7">
        <v>1.0</v>
      </c>
      <c r="K10649" s="7" t="s">
        <v>31</v>
      </c>
      <c r="L10649" s="8" t="s">
        <v>31</v>
      </c>
      <c r="M10649" s="6" t="s">
        <v>65496</v>
      </c>
      <c r="N10649" s="6" t="s">
        <v>155</v>
      </c>
      <c r="O10649" s="8" t="s">
        <v>156</v>
      </c>
      <c r="P10649" s="6" t="s">
        <v>65382</v>
      </c>
      <c r="Q10649" s="6" t="s">
        <v>31</v>
      </c>
      <c r="R10649" s="6" t="s">
        <v>64</v>
      </c>
      <c r="S10649" s="8" t="s">
        <v>2463</v>
      </c>
      <c r="T10649" s="6" t="s">
        <v>66</v>
      </c>
      <c r="U10649" s="8" t="s">
        <v>31</v>
      </c>
      <c r="V10649" s="6" t="s">
        <v>65497</v>
      </c>
      <c r="W10649" s="6" t="s">
        <v>65377</v>
      </c>
      <c r="X10649" s="9" t="str">
        <f>HYPERLINK("https://my.pitchbook.com?p=384473-35P","View People Online")</f>
        <v>View People Online</v>
      </c>
    </row>
    <row r="10650">
      <c r="A10650" s="2" t="s">
        <v>65498</v>
      </c>
      <c r="B10650" s="2" t="s">
        <v>65499</v>
      </c>
      <c r="C10650" s="2" t="s">
        <v>4169</v>
      </c>
      <c r="D10650" s="2" t="s">
        <v>65500</v>
      </c>
      <c r="E10650" s="2" t="s">
        <v>65377</v>
      </c>
      <c r="F10650" s="2" t="s">
        <v>1283</v>
      </c>
      <c r="G10650" s="2" t="s">
        <v>65501</v>
      </c>
      <c r="H10650" s="3" t="s">
        <v>31</v>
      </c>
      <c r="I10650" s="3">
        <v>1.0</v>
      </c>
      <c r="J10650" s="3">
        <v>1.0</v>
      </c>
      <c r="K10650" s="3" t="s">
        <v>31</v>
      </c>
      <c r="L10650" s="4" t="s">
        <v>65502</v>
      </c>
      <c r="M10650" s="2" t="s">
        <v>65503</v>
      </c>
      <c r="N10650" s="2" t="s">
        <v>75</v>
      </c>
      <c r="O10650" s="4" t="s">
        <v>76</v>
      </c>
      <c r="P10650" s="2" t="s">
        <v>65404</v>
      </c>
      <c r="Q10650" s="2" t="s">
        <v>31</v>
      </c>
      <c r="R10650" s="2" t="s">
        <v>75</v>
      </c>
      <c r="S10650" s="4" t="s">
        <v>57992</v>
      </c>
      <c r="T10650" s="2" t="s">
        <v>66</v>
      </c>
      <c r="U10650" s="4" t="s">
        <v>31</v>
      </c>
      <c r="V10650" s="2" t="s">
        <v>1283</v>
      </c>
      <c r="W10650" s="2" t="s">
        <v>65377</v>
      </c>
      <c r="X10650" s="5" t="str">
        <f>HYPERLINK("https://my.pitchbook.com?p=29880-64P","View People Online")</f>
        <v>View People Online</v>
      </c>
    </row>
    <row r="10651">
      <c r="A10651" s="14" t="s">
        <v>65504</v>
      </c>
      <c r="B10651" s="14" t="s">
        <v>65505</v>
      </c>
      <c r="C10651" s="14" t="s">
        <v>3779</v>
      </c>
      <c r="D10651" s="14" t="s">
        <v>65506</v>
      </c>
      <c r="E10651" s="14" t="s">
        <v>65377</v>
      </c>
      <c r="F10651" s="14" t="s">
        <v>221</v>
      </c>
      <c r="G10651" s="14" t="s">
        <v>65507</v>
      </c>
      <c r="H10651" s="15" t="s">
        <v>31</v>
      </c>
      <c r="I10651" s="15">
        <v>1.0</v>
      </c>
      <c r="J10651" s="15">
        <v>1.0</v>
      </c>
      <c r="K10651" s="15" t="s">
        <v>31</v>
      </c>
      <c r="L10651" s="16" t="s">
        <v>65508</v>
      </c>
      <c r="M10651" s="14" t="s">
        <v>65509</v>
      </c>
      <c r="N10651" s="14" t="s">
        <v>11530</v>
      </c>
      <c r="O10651" s="16" t="s">
        <v>11531</v>
      </c>
      <c r="P10651" s="14" t="s">
        <v>62479</v>
      </c>
      <c r="Q10651" s="14" t="s">
        <v>58966</v>
      </c>
      <c r="R10651" s="14" t="s">
        <v>64</v>
      </c>
      <c r="S10651" s="16" t="s">
        <v>26876</v>
      </c>
      <c r="T10651" s="14" t="s">
        <v>66</v>
      </c>
      <c r="U10651" s="16" t="s">
        <v>31</v>
      </c>
      <c r="V10651" s="14" t="s">
        <v>65510</v>
      </c>
      <c r="W10651" s="14" t="s">
        <v>65377</v>
      </c>
      <c r="X10651" s="17" t="str">
        <f>HYPERLINK("https://my.pitchbook.com?p=160120-09P","View People Online")</f>
        <v>View People Online</v>
      </c>
    </row>
    <row r="10652">
      <c r="A10652" s="2" t="s">
        <v>65511</v>
      </c>
      <c r="B10652" s="2" t="s">
        <v>65512</v>
      </c>
      <c r="C10652" s="2" t="s">
        <v>24222</v>
      </c>
      <c r="D10652" s="2" t="s">
        <v>65513</v>
      </c>
      <c r="E10652" s="2" t="s">
        <v>65377</v>
      </c>
      <c r="F10652" s="2" t="s">
        <v>5365</v>
      </c>
      <c r="G10652" s="2" t="s">
        <v>65514</v>
      </c>
      <c r="H10652" s="3" t="s">
        <v>31</v>
      </c>
      <c r="I10652" s="3">
        <v>1.0</v>
      </c>
      <c r="J10652" s="3">
        <v>1.0</v>
      </c>
      <c r="K10652" s="3" t="s">
        <v>31</v>
      </c>
      <c r="L10652" s="4" t="s">
        <v>65402</v>
      </c>
      <c r="M10652" s="2" t="s">
        <v>65515</v>
      </c>
      <c r="N10652" s="2" t="s">
        <v>18812</v>
      </c>
      <c r="O10652" s="4" t="s">
        <v>18813</v>
      </c>
      <c r="P10652" s="2" t="s">
        <v>65516</v>
      </c>
      <c r="Q10652" s="2" t="s">
        <v>31</v>
      </c>
      <c r="R10652" s="2" t="s">
        <v>18816</v>
      </c>
      <c r="S10652" s="4" t="s">
        <v>65517</v>
      </c>
      <c r="T10652" s="2" t="s">
        <v>66</v>
      </c>
      <c r="U10652" s="4" t="s">
        <v>31</v>
      </c>
      <c r="V10652" s="2" t="s">
        <v>65518</v>
      </c>
      <c r="W10652" s="2" t="s">
        <v>65377</v>
      </c>
      <c r="X10652" s="5" t="str">
        <f>HYPERLINK("https://my.pitchbook.com?p=32096-26P","View People Online")</f>
        <v>View People Online</v>
      </c>
    </row>
    <row r="10653">
      <c r="A10653" s="14" t="s">
        <v>65519</v>
      </c>
      <c r="B10653" s="14" t="s">
        <v>65520</v>
      </c>
      <c r="C10653" s="14" t="s">
        <v>24222</v>
      </c>
      <c r="D10653" s="14" t="s">
        <v>65521</v>
      </c>
      <c r="E10653" s="14" t="s">
        <v>65377</v>
      </c>
      <c r="F10653" s="14" t="s">
        <v>8581</v>
      </c>
      <c r="G10653" s="14" t="s">
        <v>65522</v>
      </c>
      <c r="H10653" s="15" t="s">
        <v>31</v>
      </c>
      <c r="I10653" s="15">
        <v>2.0</v>
      </c>
      <c r="J10653" s="15">
        <v>1.0</v>
      </c>
      <c r="K10653" s="15">
        <v>1.0</v>
      </c>
      <c r="L10653" s="16" t="s">
        <v>65523</v>
      </c>
      <c r="M10653" s="14" t="s">
        <v>31</v>
      </c>
      <c r="N10653" s="14" t="s">
        <v>155</v>
      </c>
      <c r="O10653" s="16" t="s">
        <v>156</v>
      </c>
      <c r="P10653" s="14" t="s">
        <v>65382</v>
      </c>
      <c r="Q10653" s="14" t="s">
        <v>31</v>
      </c>
      <c r="R10653" s="14" t="s">
        <v>64</v>
      </c>
      <c r="S10653" s="16" t="s">
        <v>2463</v>
      </c>
      <c r="T10653" s="14" t="s">
        <v>66</v>
      </c>
      <c r="U10653" s="16" t="s">
        <v>65524</v>
      </c>
      <c r="V10653" s="14" t="s">
        <v>65525</v>
      </c>
      <c r="W10653" s="14" t="s">
        <v>65377</v>
      </c>
      <c r="X10653" s="17" t="str">
        <f>HYPERLINK("https://my.pitchbook.com?p=32124-70P","View People Online")</f>
        <v>View People Online</v>
      </c>
    </row>
    <row r="10654">
      <c r="A10654" s="2" t="s">
        <v>65526</v>
      </c>
      <c r="B10654" s="2" t="s">
        <v>65527</v>
      </c>
      <c r="C10654" s="2" t="s">
        <v>1929</v>
      </c>
      <c r="D10654" s="2" t="s">
        <v>65528</v>
      </c>
      <c r="E10654" s="2" t="s">
        <v>65377</v>
      </c>
      <c r="F10654" s="2" t="s">
        <v>2652</v>
      </c>
      <c r="G10654" s="2" t="s">
        <v>65529</v>
      </c>
      <c r="H10654" s="3" t="s">
        <v>31</v>
      </c>
      <c r="I10654" s="3">
        <v>1.0</v>
      </c>
      <c r="J10654" s="3">
        <v>1.0</v>
      </c>
      <c r="K10654" s="3" t="s">
        <v>31</v>
      </c>
      <c r="L10654" s="4" t="s">
        <v>65402</v>
      </c>
      <c r="M10654" s="2" t="s">
        <v>65530</v>
      </c>
      <c r="N10654" s="2" t="s">
        <v>75</v>
      </c>
      <c r="O10654" s="4" t="s">
        <v>76</v>
      </c>
      <c r="P10654" s="2" t="s">
        <v>65404</v>
      </c>
      <c r="Q10654" s="2" t="s">
        <v>31</v>
      </c>
      <c r="R10654" s="2" t="s">
        <v>75</v>
      </c>
      <c r="S10654" s="4" t="s">
        <v>57992</v>
      </c>
      <c r="T10654" s="2" t="s">
        <v>66</v>
      </c>
      <c r="U10654" s="4" t="s">
        <v>31</v>
      </c>
      <c r="V10654" s="2" t="s">
        <v>65531</v>
      </c>
      <c r="W10654" s="2" t="s">
        <v>65377</v>
      </c>
      <c r="X10654" s="5" t="str">
        <f>HYPERLINK("https://my.pitchbook.com?p=30745-27P","View People Online")</f>
        <v>View People Online</v>
      </c>
    </row>
    <row r="10655">
      <c r="A10655" s="14" t="s">
        <v>65532</v>
      </c>
      <c r="B10655" s="14" t="s">
        <v>59349</v>
      </c>
      <c r="C10655" s="14" t="s">
        <v>1929</v>
      </c>
      <c r="D10655" s="14" t="s">
        <v>9457</v>
      </c>
      <c r="E10655" s="14" t="s">
        <v>65377</v>
      </c>
      <c r="F10655" s="14" t="s">
        <v>371</v>
      </c>
      <c r="G10655" s="14" t="s">
        <v>65533</v>
      </c>
      <c r="H10655" s="15" t="s">
        <v>31</v>
      </c>
      <c r="I10655" s="15">
        <v>1.0</v>
      </c>
      <c r="J10655" s="15">
        <v>1.0</v>
      </c>
      <c r="K10655" s="15" t="s">
        <v>31</v>
      </c>
      <c r="L10655" s="16" t="s">
        <v>65534</v>
      </c>
      <c r="M10655" s="14" t="s">
        <v>65535</v>
      </c>
      <c r="N10655" s="14" t="s">
        <v>59053</v>
      </c>
      <c r="O10655" s="16" t="s">
        <v>59054</v>
      </c>
      <c r="P10655" s="14" t="s">
        <v>65536</v>
      </c>
      <c r="Q10655" s="14" t="s">
        <v>31</v>
      </c>
      <c r="R10655" s="14" t="s">
        <v>64</v>
      </c>
      <c r="S10655" s="16" t="s">
        <v>59056</v>
      </c>
      <c r="T10655" s="14" t="s">
        <v>66</v>
      </c>
      <c r="U10655" s="16" t="s">
        <v>31</v>
      </c>
      <c r="V10655" s="14" t="s">
        <v>371</v>
      </c>
      <c r="W10655" s="14" t="s">
        <v>65377</v>
      </c>
      <c r="X10655" s="17" t="str">
        <f>HYPERLINK("https://my.pitchbook.com?p=33072-49P","View People Online")</f>
        <v>View People Online</v>
      </c>
    </row>
    <row r="10656">
      <c r="A10656" s="2" t="s">
        <v>65537</v>
      </c>
      <c r="B10656" s="2" t="s">
        <v>65538</v>
      </c>
      <c r="C10656" s="2" t="s">
        <v>53353</v>
      </c>
      <c r="D10656" s="2" t="s">
        <v>65539</v>
      </c>
      <c r="E10656" s="2" t="s">
        <v>65377</v>
      </c>
      <c r="F10656" s="2" t="s">
        <v>27433</v>
      </c>
      <c r="G10656" s="2" t="s">
        <v>65540</v>
      </c>
      <c r="H10656" s="3" t="s">
        <v>31</v>
      </c>
      <c r="I10656" s="3">
        <v>2.0</v>
      </c>
      <c r="J10656" s="3">
        <v>1.0</v>
      </c>
      <c r="K10656" s="3">
        <v>1.0</v>
      </c>
      <c r="L10656" s="4" t="s">
        <v>31</v>
      </c>
      <c r="M10656" s="2" t="s">
        <v>65541</v>
      </c>
      <c r="N10656" s="2" t="s">
        <v>155</v>
      </c>
      <c r="O10656" s="4" t="s">
        <v>156</v>
      </c>
      <c r="P10656" s="2" t="s">
        <v>65382</v>
      </c>
      <c r="Q10656" s="2" t="s">
        <v>31</v>
      </c>
      <c r="R10656" s="2" t="s">
        <v>64</v>
      </c>
      <c r="S10656" s="4" t="s">
        <v>2463</v>
      </c>
      <c r="T10656" s="2" t="s">
        <v>66</v>
      </c>
      <c r="U10656" s="4" t="s">
        <v>31</v>
      </c>
      <c r="V10656" s="2" t="s">
        <v>27433</v>
      </c>
      <c r="W10656" s="2" t="s">
        <v>65377</v>
      </c>
      <c r="X10656" s="5" t="str">
        <f>HYPERLINK("https://my.pitchbook.com?p=165096-82P","View People Online")</f>
        <v>View People Online</v>
      </c>
    </row>
    <row r="10657">
      <c r="A10657" s="6" t="s">
        <v>65542</v>
      </c>
      <c r="B10657" s="6" t="s">
        <v>65543</v>
      </c>
      <c r="C10657" s="6" t="s">
        <v>6606</v>
      </c>
      <c r="D10657" s="6" t="s">
        <v>65544</v>
      </c>
      <c r="E10657" s="6" t="s">
        <v>65377</v>
      </c>
      <c r="F10657" s="6" t="s">
        <v>312</v>
      </c>
      <c r="G10657" s="6" t="s">
        <v>65545</v>
      </c>
      <c r="H10657" s="7" t="s">
        <v>31</v>
      </c>
      <c r="I10657" s="7">
        <v>1.0</v>
      </c>
      <c r="J10657" s="7">
        <v>1.0</v>
      </c>
      <c r="K10657" s="7" t="s">
        <v>31</v>
      </c>
      <c r="L10657" s="8" t="s">
        <v>65546</v>
      </c>
      <c r="M10657" s="6" t="s">
        <v>65547</v>
      </c>
      <c r="N10657" s="6" t="s">
        <v>3988</v>
      </c>
      <c r="O10657" s="8" t="s">
        <v>3989</v>
      </c>
      <c r="P10657" s="6" t="s">
        <v>65548</v>
      </c>
      <c r="Q10657" s="6" t="s">
        <v>31</v>
      </c>
      <c r="R10657" s="6" t="s">
        <v>616</v>
      </c>
      <c r="S10657" s="8" t="s">
        <v>65549</v>
      </c>
      <c r="T10657" s="6" t="s">
        <v>66</v>
      </c>
      <c r="U10657" s="8" t="s">
        <v>31</v>
      </c>
      <c r="V10657" s="6" t="s">
        <v>65550</v>
      </c>
      <c r="W10657" s="6" t="s">
        <v>65377</v>
      </c>
      <c r="X10657" s="9" t="str">
        <f>HYPERLINK("https://my.pitchbook.com?p=160577-56P","View People Online")</f>
        <v>View People Online</v>
      </c>
    </row>
    <row r="10658">
      <c r="A10658" s="10" t="s">
        <v>65551</v>
      </c>
      <c r="B10658" s="10" t="s">
        <v>65552</v>
      </c>
      <c r="C10658" s="10" t="s">
        <v>436</v>
      </c>
      <c r="D10658" s="10" t="s">
        <v>65553</v>
      </c>
      <c r="E10658" s="10" t="s">
        <v>65377</v>
      </c>
      <c r="F10658" s="10" t="s">
        <v>371</v>
      </c>
      <c r="G10658" s="10" t="s">
        <v>65554</v>
      </c>
      <c r="H10658" s="11" t="s">
        <v>31</v>
      </c>
      <c r="I10658" s="11">
        <v>1.0</v>
      </c>
      <c r="J10658" s="11">
        <v>1.0</v>
      </c>
      <c r="K10658" s="11" t="s">
        <v>31</v>
      </c>
      <c r="L10658" s="12" t="s">
        <v>31</v>
      </c>
      <c r="M10658" s="10" t="s">
        <v>65555</v>
      </c>
      <c r="N10658" s="10" t="s">
        <v>155</v>
      </c>
      <c r="O10658" s="12" t="s">
        <v>156</v>
      </c>
      <c r="P10658" s="10" t="s">
        <v>65382</v>
      </c>
      <c r="Q10658" s="10" t="s">
        <v>31</v>
      </c>
      <c r="R10658" s="10" t="s">
        <v>64</v>
      </c>
      <c r="S10658" s="12" t="s">
        <v>2463</v>
      </c>
      <c r="T10658" s="10" t="s">
        <v>66</v>
      </c>
      <c r="U10658" s="12" t="s">
        <v>31</v>
      </c>
      <c r="V10658" s="10" t="s">
        <v>65556</v>
      </c>
      <c r="W10658" s="10" t="s">
        <v>65377</v>
      </c>
      <c r="X10658" s="13" t="str">
        <f>HYPERLINK("https://my.pitchbook.com?p=383692-78P","View People Online")</f>
        <v>View People Online</v>
      </c>
    </row>
    <row r="10659">
      <c r="A10659" s="6" t="s">
        <v>65557</v>
      </c>
      <c r="B10659" s="6" t="s">
        <v>65558</v>
      </c>
      <c r="C10659" s="6" t="s">
        <v>15082</v>
      </c>
      <c r="D10659" s="6" t="s">
        <v>5198</v>
      </c>
      <c r="E10659" s="6" t="s">
        <v>65377</v>
      </c>
      <c r="F10659" s="6" t="s">
        <v>825</v>
      </c>
      <c r="G10659" s="6" t="s">
        <v>65559</v>
      </c>
      <c r="H10659" s="7" t="s">
        <v>31</v>
      </c>
      <c r="I10659" s="7">
        <v>1.0</v>
      </c>
      <c r="J10659" s="7">
        <v>1.0</v>
      </c>
      <c r="K10659" s="7" t="s">
        <v>31</v>
      </c>
      <c r="L10659" s="8" t="s">
        <v>31</v>
      </c>
      <c r="M10659" s="6" t="s">
        <v>65560</v>
      </c>
      <c r="N10659" s="6" t="s">
        <v>155</v>
      </c>
      <c r="O10659" s="8" t="s">
        <v>156</v>
      </c>
      <c r="P10659" s="6" t="s">
        <v>65382</v>
      </c>
      <c r="Q10659" s="6" t="s">
        <v>31</v>
      </c>
      <c r="R10659" s="6" t="s">
        <v>64</v>
      </c>
      <c r="S10659" s="8" t="s">
        <v>2463</v>
      </c>
      <c r="T10659" s="6" t="s">
        <v>66</v>
      </c>
      <c r="U10659" s="8" t="s">
        <v>31</v>
      </c>
      <c r="V10659" s="6" t="s">
        <v>65561</v>
      </c>
      <c r="W10659" s="6" t="s">
        <v>65377</v>
      </c>
      <c r="X10659" s="9" t="str">
        <f>HYPERLINK("https://my.pitchbook.com?p=292626-73P","View People Online")</f>
        <v>View People Online</v>
      </c>
    </row>
    <row r="10660">
      <c r="A10660" s="2" t="s">
        <v>65562</v>
      </c>
      <c r="B10660" s="2" t="s">
        <v>65563</v>
      </c>
      <c r="C10660" s="2" t="s">
        <v>5602</v>
      </c>
      <c r="D10660" s="2" t="s">
        <v>15398</v>
      </c>
      <c r="E10660" s="2" t="s">
        <v>65377</v>
      </c>
      <c r="F10660" s="2" t="s">
        <v>1801</v>
      </c>
      <c r="G10660" s="2" t="s">
        <v>65564</v>
      </c>
      <c r="H10660" s="3" t="s">
        <v>31</v>
      </c>
      <c r="I10660" s="3">
        <v>1.0</v>
      </c>
      <c r="J10660" s="3">
        <v>1.0</v>
      </c>
      <c r="K10660" s="3" t="s">
        <v>31</v>
      </c>
      <c r="L10660" s="4" t="s">
        <v>65565</v>
      </c>
      <c r="M10660" s="2" t="s">
        <v>65566</v>
      </c>
      <c r="N10660" s="2" t="s">
        <v>65567</v>
      </c>
      <c r="O10660" s="4" t="s">
        <v>65568</v>
      </c>
      <c r="P10660" s="2" t="s">
        <v>65569</v>
      </c>
      <c r="Q10660" s="2" t="s">
        <v>31</v>
      </c>
      <c r="R10660" s="2" t="s">
        <v>396</v>
      </c>
      <c r="S10660" s="4" t="s">
        <v>65570</v>
      </c>
      <c r="T10660" s="2" t="s">
        <v>66</v>
      </c>
      <c r="U10660" s="4" t="s">
        <v>31</v>
      </c>
      <c r="V10660" s="2" t="s">
        <v>65571</v>
      </c>
      <c r="W10660" s="2" t="s">
        <v>65377</v>
      </c>
      <c r="X10660" s="5" t="str">
        <f>HYPERLINK("https://my.pitchbook.com?p=57186-28P","View People Online")</f>
        <v>View People Online</v>
      </c>
    </row>
    <row r="10661">
      <c r="A10661" s="14" t="s">
        <v>65572</v>
      </c>
      <c r="B10661" s="14" t="s">
        <v>65573</v>
      </c>
      <c r="C10661" s="14" t="s">
        <v>1426</v>
      </c>
      <c r="D10661" s="14" t="s">
        <v>65574</v>
      </c>
      <c r="E10661" s="14" t="s">
        <v>65377</v>
      </c>
      <c r="F10661" s="14" t="s">
        <v>312</v>
      </c>
      <c r="G10661" s="14" t="s">
        <v>65575</v>
      </c>
      <c r="H10661" s="15" t="s">
        <v>31</v>
      </c>
      <c r="I10661" s="15">
        <v>1.0</v>
      </c>
      <c r="J10661" s="15">
        <v>1.0</v>
      </c>
      <c r="K10661" s="15" t="s">
        <v>31</v>
      </c>
      <c r="L10661" s="16" t="s">
        <v>31</v>
      </c>
      <c r="M10661" s="14" t="s">
        <v>65576</v>
      </c>
      <c r="N10661" s="14" t="s">
        <v>155</v>
      </c>
      <c r="O10661" s="16" t="s">
        <v>156</v>
      </c>
      <c r="P10661" s="14" t="s">
        <v>65382</v>
      </c>
      <c r="Q10661" s="14" t="s">
        <v>31</v>
      </c>
      <c r="R10661" s="14" t="s">
        <v>64</v>
      </c>
      <c r="S10661" s="16" t="s">
        <v>2463</v>
      </c>
      <c r="T10661" s="14" t="s">
        <v>66</v>
      </c>
      <c r="U10661" s="16" t="s">
        <v>31</v>
      </c>
      <c r="V10661" s="14" t="s">
        <v>65577</v>
      </c>
      <c r="W10661" s="14" t="s">
        <v>65377</v>
      </c>
      <c r="X10661" s="17" t="str">
        <f>HYPERLINK("https://my.pitchbook.com?p=169452-37P","View People Online")</f>
        <v>View People Online</v>
      </c>
    </row>
    <row r="10662">
      <c r="A10662" s="2" t="s">
        <v>65578</v>
      </c>
      <c r="B10662" s="2" t="s">
        <v>65579</v>
      </c>
      <c r="C10662" s="2" t="s">
        <v>1426</v>
      </c>
      <c r="D10662" s="2" t="s">
        <v>65580</v>
      </c>
      <c r="E10662" s="2" t="s">
        <v>65377</v>
      </c>
      <c r="F10662" s="2" t="s">
        <v>1249</v>
      </c>
      <c r="G10662" s="2" t="s">
        <v>65581</v>
      </c>
      <c r="H10662" s="3">
        <v>2.0</v>
      </c>
      <c r="I10662" s="3">
        <v>6.0</v>
      </c>
      <c r="J10662" s="3">
        <v>1.0</v>
      </c>
      <c r="K10662" s="3">
        <v>4.0</v>
      </c>
      <c r="L10662" s="4" t="s">
        <v>31</v>
      </c>
      <c r="M10662" s="2" t="s">
        <v>65582</v>
      </c>
      <c r="N10662" s="2" t="s">
        <v>155</v>
      </c>
      <c r="O10662" s="4" t="s">
        <v>156</v>
      </c>
      <c r="P10662" s="2" t="s">
        <v>65382</v>
      </c>
      <c r="Q10662" s="2" t="s">
        <v>31</v>
      </c>
      <c r="R10662" s="2" t="s">
        <v>64</v>
      </c>
      <c r="S10662" s="4" t="s">
        <v>2463</v>
      </c>
      <c r="T10662" s="2" t="s">
        <v>66</v>
      </c>
      <c r="U10662" s="4" t="s">
        <v>31</v>
      </c>
      <c r="V10662" s="2" t="s">
        <v>4809</v>
      </c>
      <c r="W10662" s="2" t="s">
        <v>65377</v>
      </c>
      <c r="X10662" s="5" t="str">
        <f>HYPERLINK("https://my.pitchbook.com?p=44840-98P","View People Online")</f>
        <v>View People Online</v>
      </c>
    </row>
    <row r="10663">
      <c r="A10663" s="14" t="s">
        <v>65583</v>
      </c>
      <c r="B10663" s="14" t="s">
        <v>65584</v>
      </c>
      <c r="C10663" s="14" t="s">
        <v>8574</v>
      </c>
      <c r="D10663" s="14" t="s">
        <v>3458</v>
      </c>
      <c r="E10663" s="14" t="s">
        <v>65377</v>
      </c>
      <c r="F10663" s="14" t="s">
        <v>45372</v>
      </c>
      <c r="G10663" s="14" t="s">
        <v>65585</v>
      </c>
      <c r="H10663" s="15" t="s">
        <v>31</v>
      </c>
      <c r="I10663" s="15">
        <v>1.0</v>
      </c>
      <c r="J10663" s="15">
        <v>1.0</v>
      </c>
      <c r="K10663" s="15" t="s">
        <v>31</v>
      </c>
      <c r="L10663" s="16" t="s">
        <v>31</v>
      </c>
      <c r="M10663" s="14" t="s">
        <v>65586</v>
      </c>
      <c r="N10663" s="14" t="s">
        <v>155</v>
      </c>
      <c r="O10663" s="16" t="s">
        <v>156</v>
      </c>
      <c r="P10663" s="14" t="s">
        <v>65382</v>
      </c>
      <c r="Q10663" s="14" t="s">
        <v>31</v>
      </c>
      <c r="R10663" s="14" t="s">
        <v>64</v>
      </c>
      <c r="S10663" s="16" t="s">
        <v>2463</v>
      </c>
      <c r="T10663" s="14" t="s">
        <v>66</v>
      </c>
      <c r="U10663" s="16" t="s">
        <v>31</v>
      </c>
      <c r="V10663" s="14" t="s">
        <v>65587</v>
      </c>
      <c r="W10663" s="14" t="s">
        <v>65377</v>
      </c>
      <c r="X10663" s="17" t="str">
        <f>HYPERLINK("https://my.pitchbook.com?p=242028-10P","View People Online")</f>
        <v>View People Online</v>
      </c>
    </row>
    <row r="10664">
      <c r="A10664" s="10" t="s">
        <v>65588</v>
      </c>
      <c r="B10664" s="10" t="s">
        <v>65589</v>
      </c>
      <c r="C10664" s="10" t="s">
        <v>1437</v>
      </c>
      <c r="D10664" s="10" t="s">
        <v>65590</v>
      </c>
      <c r="E10664" s="10" t="s">
        <v>65377</v>
      </c>
      <c r="F10664" s="10" t="s">
        <v>3740</v>
      </c>
      <c r="G10664" s="10" t="s">
        <v>65591</v>
      </c>
      <c r="H10664" s="11" t="s">
        <v>31</v>
      </c>
      <c r="I10664" s="11">
        <v>7.0</v>
      </c>
      <c r="J10664" s="11">
        <v>1.0</v>
      </c>
      <c r="K10664" s="11">
        <v>6.0</v>
      </c>
      <c r="L10664" s="12" t="s">
        <v>65402</v>
      </c>
      <c r="M10664" s="10" t="s">
        <v>65592</v>
      </c>
      <c r="N10664" s="10" t="s">
        <v>4232</v>
      </c>
      <c r="O10664" s="12" t="s">
        <v>4233</v>
      </c>
      <c r="P10664" s="10" t="s">
        <v>65471</v>
      </c>
      <c r="Q10664" s="10" t="s">
        <v>45601</v>
      </c>
      <c r="R10664" s="10" t="s">
        <v>4236</v>
      </c>
      <c r="S10664" s="12" t="s">
        <v>11182</v>
      </c>
      <c r="T10664" s="10" t="s">
        <v>66</v>
      </c>
      <c r="U10664" s="12" t="s">
        <v>31</v>
      </c>
      <c r="V10664" s="10" t="s">
        <v>65593</v>
      </c>
      <c r="W10664" s="10" t="s">
        <v>65377</v>
      </c>
      <c r="X10664" s="13" t="str">
        <f>HYPERLINK("https://my.pitchbook.com?p=43965-82P","View People Online")</f>
        <v>View People Online</v>
      </c>
    </row>
    <row r="10665">
      <c r="A10665" s="6" t="s">
        <v>65594</v>
      </c>
      <c r="B10665" s="6" t="s">
        <v>65595</v>
      </c>
      <c r="C10665" s="6" t="s">
        <v>1437</v>
      </c>
      <c r="D10665" s="6" t="s">
        <v>65596</v>
      </c>
      <c r="E10665" s="6" t="s">
        <v>65377</v>
      </c>
      <c r="F10665" s="6" t="s">
        <v>1283</v>
      </c>
      <c r="G10665" s="6" t="s">
        <v>65597</v>
      </c>
      <c r="H10665" s="7" t="s">
        <v>31</v>
      </c>
      <c r="I10665" s="7">
        <v>2.0</v>
      </c>
      <c r="J10665" s="7">
        <v>1.0</v>
      </c>
      <c r="K10665" s="7">
        <v>1.0</v>
      </c>
      <c r="L10665" s="8" t="s">
        <v>65402</v>
      </c>
      <c r="M10665" s="6" t="s">
        <v>65598</v>
      </c>
      <c r="N10665" s="6" t="s">
        <v>75</v>
      </c>
      <c r="O10665" s="8" t="s">
        <v>76</v>
      </c>
      <c r="P10665" s="6" t="s">
        <v>65404</v>
      </c>
      <c r="Q10665" s="6" t="s">
        <v>31</v>
      </c>
      <c r="R10665" s="6" t="s">
        <v>75</v>
      </c>
      <c r="S10665" s="8" t="s">
        <v>57992</v>
      </c>
      <c r="T10665" s="6" t="s">
        <v>66</v>
      </c>
      <c r="U10665" s="8" t="s">
        <v>31</v>
      </c>
      <c r="V10665" s="6" t="s">
        <v>1283</v>
      </c>
      <c r="W10665" s="6" t="s">
        <v>65377</v>
      </c>
      <c r="X10665" s="9" t="str">
        <f>HYPERLINK("https://my.pitchbook.com?p=173846-80P","View People Online")</f>
        <v>View People Online</v>
      </c>
    </row>
    <row r="10666">
      <c r="A10666" s="10" t="s">
        <v>65599</v>
      </c>
      <c r="B10666" s="10" t="s">
        <v>65600</v>
      </c>
      <c r="C10666" s="10" t="s">
        <v>1437</v>
      </c>
      <c r="D10666" s="10" t="s">
        <v>56400</v>
      </c>
      <c r="E10666" s="10" t="s">
        <v>65377</v>
      </c>
      <c r="F10666" s="10" t="s">
        <v>371</v>
      </c>
      <c r="G10666" s="10" t="s">
        <v>65601</v>
      </c>
      <c r="H10666" s="11" t="s">
        <v>31</v>
      </c>
      <c r="I10666" s="11">
        <v>1.0</v>
      </c>
      <c r="J10666" s="11">
        <v>1.0</v>
      </c>
      <c r="K10666" s="11" t="s">
        <v>31</v>
      </c>
      <c r="L10666" s="12" t="s">
        <v>31</v>
      </c>
      <c r="M10666" s="10" t="s">
        <v>65602</v>
      </c>
      <c r="N10666" s="10" t="s">
        <v>155</v>
      </c>
      <c r="O10666" s="12" t="s">
        <v>156</v>
      </c>
      <c r="P10666" s="10" t="s">
        <v>65382</v>
      </c>
      <c r="Q10666" s="10" t="s">
        <v>31</v>
      </c>
      <c r="R10666" s="10" t="s">
        <v>64</v>
      </c>
      <c r="S10666" s="12" t="s">
        <v>2463</v>
      </c>
      <c r="T10666" s="10" t="s">
        <v>66</v>
      </c>
      <c r="U10666" s="12" t="s">
        <v>31</v>
      </c>
      <c r="V10666" s="10" t="s">
        <v>65603</v>
      </c>
      <c r="W10666" s="10" t="s">
        <v>65377</v>
      </c>
      <c r="X10666" s="13" t="str">
        <f>HYPERLINK("https://my.pitchbook.com?p=159440-05P","View People Online")</f>
        <v>View People Online</v>
      </c>
    </row>
    <row r="10667">
      <c r="A10667" s="14" t="s">
        <v>65604</v>
      </c>
      <c r="B10667" s="14" t="s">
        <v>65605</v>
      </c>
      <c r="C10667" s="14" t="s">
        <v>4911</v>
      </c>
      <c r="D10667" s="14" t="s">
        <v>65606</v>
      </c>
      <c r="E10667" s="14" t="s">
        <v>65377</v>
      </c>
      <c r="F10667" s="14" t="s">
        <v>2652</v>
      </c>
      <c r="G10667" s="14" t="s">
        <v>65607</v>
      </c>
      <c r="H10667" s="15" t="s">
        <v>31</v>
      </c>
      <c r="I10667" s="15">
        <v>1.0</v>
      </c>
      <c r="J10667" s="15">
        <v>1.0</v>
      </c>
      <c r="K10667" s="15" t="s">
        <v>31</v>
      </c>
      <c r="L10667" s="16" t="s">
        <v>65608</v>
      </c>
      <c r="M10667" s="14" t="s">
        <v>65609</v>
      </c>
      <c r="N10667" s="14" t="s">
        <v>75</v>
      </c>
      <c r="O10667" s="16" t="s">
        <v>76</v>
      </c>
      <c r="P10667" s="14" t="s">
        <v>65404</v>
      </c>
      <c r="Q10667" s="14" t="s">
        <v>31</v>
      </c>
      <c r="R10667" s="14" t="s">
        <v>75</v>
      </c>
      <c r="S10667" s="16" t="s">
        <v>57992</v>
      </c>
      <c r="T10667" s="14" t="s">
        <v>66</v>
      </c>
      <c r="U10667" s="16" t="s">
        <v>31</v>
      </c>
      <c r="V10667" s="14" t="s">
        <v>65610</v>
      </c>
      <c r="W10667" s="14" t="s">
        <v>65377</v>
      </c>
      <c r="X10667" s="17" t="str">
        <f>HYPERLINK("https://my.pitchbook.com?p=165093-13P","View People Online")</f>
        <v>View People Online</v>
      </c>
    </row>
    <row r="10668">
      <c r="A10668" s="10" t="s">
        <v>65611</v>
      </c>
      <c r="B10668" s="10" t="s">
        <v>65612</v>
      </c>
      <c r="C10668" s="10" t="s">
        <v>731</v>
      </c>
      <c r="D10668" s="10" t="s">
        <v>65613</v>
      </c>
      <c r="E10668" s="10" t="s">
        <v>65377</v>
      </c>
      <c r="F10668" s="10" t="s">
        <v>713</v>
      </c>
      <c r="G10668" s="10" t="s">
        <v>65614</v>
      </c>
      <c r="H10668" s="11" t="s">
        <v>31</v>
      </c>
      <c r="I10668" s="11">
        <v>1.0</v>
      </c>
      <c r="J10668" s="11">
        <v>1.0</v>
      </c>
      <c r="K10668" s="11" t="s">
        <v>31</v>
      </c>
      <c r="L10668" s="12" t="s">
        <v>31</v>
      </c>
      <c r="M10668" s="10" t="s">
        <v>65615</v>
      </c>
      <c r="N10668" s="10" t="s">
        <v>155</v>
      </c>
      <c r="O10668" s="12" t="s">
        <v>156</v>
      </c>
      <c r="P10668" s="10" t="s">
        <v>65382</v>
      </c>
      <c r="Q10668" s="10" t="s">
        <v>31</v>
      </c>
      <c r="R10668" s="10" t="s">
        <v>64</v>
      </c>
      <c r="S10668" s="12" t="s">
        <v>2463</v>
      </c>
      <c r="T10668" s="10" t="s">
        <v>66</v>
      </c>
      <c r="U10668" s="12" t="s">
        <v>31</v>
      </c>
      <c r="V10668" s="10" t="s">
        <v>65616</v>
      </c>
      <c r="W10668" s="10" t="s">
        <v>65377</v>
      </c>
      <c r="X10668" s="13" t="str">
        <f>HYPERLINK("https://my.pitchbook.com?p=50542-03P","View People Online")</f>
        <v>View People Online</v>
      </c>
    </row>
    <row r="10669">
      <c r="A10669" s="6" t="s">
        <v>65617</v>
      </c>
      <c r="B10669" s="6" t="s">
        <v>65618</v>
      </c>
      <c r="C10669" s="6" t="s">
        <v>285</v>
      </c>
      <c r="D10669" s="6" t="s">
        <v>4526</v>
      </c>
      <c r="E10669" s="6" t="s">
        <v>65377</v>
      </c>
      <c r="F10669" s="6" t="s">
        <v>1283</v>
      </c>
      <c r="G10669" s="6" t="s">
        <v>65619</v>
      </c>
      <c r="H10669" s="7" t="s">
        <v>31</v>
      </c>
      <c r="I10669" s="7">
        <v>2.0</v>
      </c>
      <c r="J10669" s="7">
        <v>1.0</v>
      </c>
      <c r="K10669" s="7">
        <v>1.0</v>
      </c>
      <c r="L10669" s="8" t="s">
        <v>31</v>
      </c>
      <c r="M10669" s="6" t="s">
        <v>65620</v>
      </c>
      <c r="N10669" s="6" t="s">
        <v>155</v>
      </c>
      <c r="O10669" s="8" t="s">
        <v>156</v>
      </c>
      <c r="P10669" s="6" t="s">
        <v>65382</v>
      </c>
      <c r="Q10669" s="6" t="s">
        <v>31</v>
      </c>
      <c r="R10669" s="6" t="s">
        <v>64</v>
      </c>
      <c r="S10669" s="8" t="s">
        <v>2463</v>
      </c>
      <c r="T10669" s="6" t="s">
        <v>66</v>
      </c>
      <c r="U10669" s="8" t="s">
        <v>31</v>
      </c>
      <c r="V10669" s="6" t="s">
        <v>65621</v>
      </c>
      <c r="W10669" s="6" t="s">
        <v>65377</v>
      </c>
      <c r="X10669" s="9" t="str">
        <f>HYPERLINK("https://my.pitchbook.com?p=72589-60P","View People Online")</f>
        <v>View People Online</v>
      </c>
    </row>
    <row r="10670">
      <c r="A10670" s="10" t="s">
        <v>65622</v>
      </c>
      <c r="B10670" s="10" t="s">
        <v>65623</v>
      </c>
      <c r="C10670" s="10" t="s">
        <v>285</v>
      </c>
      <c r="D10670" s="10" t="s">
        <v>65624</v>
      </c>
      <c r="E10670" s="10" t="s">
        <v>65377</v>
      </c>
      <c r="F10670" s="10" t="s">
        <v>81</v>
      </c>
      <c r="G10670" s="10" t="s">
        <v>65625</v>
      </c>
      <c r="H10670" s="11" t="s">
        <v>31</v>
      </c>
      <c r="I10670" s="11">
        <v>1.0</v>
      </c>
      <c r="J10670" s="11" t="s">
        <v>31</v>
      </c>
      <c r="K10670" s="11" t="s">
        <v>31</v>
      </c>
      <c r="L10670" s="12" t="s">
        <v>31</v>
      </c>
      <c r="M10670" s="10" t="s">
        <v>65626</v>
      </c>
      <c r="N10670" s="10" t="s">
        <v>155</v>
      </c>
      <c r="O10670" s="12" t="s">
        <v>156</v>
      </c>
      <c r="P10670" s="10" t="s">
        <v>65382</v>
      </c>
      <c r="Q10670" s="10" t="s">
        <v>31</v>
      </c>
      <c r="R10670" s="10" t="s">
        <v>64</v>
      </c>
      <c r="S10670" s="12" t="s">
        <v>2463</v>
      </c>
      <c r="T10670" s="10" t="s">
        <v>66</v>
      </c>
      <c r="U10670" s="12" t="s">
        <v>31</v>
      </c>
      <c r="V10670" s="10" t="s">
        <v>65627</v>
      </c>
      <c r="W10670" s="10" t="s">
        <v>65377</v>
      </c>
      <c r="X10670" s="13" t="str">
        <f>HYPERLINK("https://my.pitchbook.com?p=442522-18P","View People Online")</f>
        <v>View People Online</v>
      </c>
    </row>
    <row r="10671">
      <c r="A10671" s="6" t="s">
        <v>65628</v>
      </c>
      <c r="B10671" s="6" t="s">
        <v>65629</v>
      </c>
      <c r="C10671" s="6" t="s">
        <v>739</v>
      </c>
      <c r="D10671" s="6" t="s">
        <v>4506</v>
      </c>
      <c r="E10671" s="6" t="s">
        <v>65377</v>
      </c>
      <c r="F10671" s="6" t="s">
        <v>2652</v>
      </c>
      <c r="G10671" s="6" t="s">
        <v>65630</v>
      </c>
      <c r="H10671" s="7" t="s">
        <v>31</v>
      </c>
      <c r="I10671" s="7">
        <v>1.0</v>
      </c>
      <c r="J10671" s="7">
        <v>1.0</v>
      </c>
      <c r="K10671" s="7" t="s">
        <v>31</v>
      </c>
      <c r="L10671" s="8" t="s">
        <v>31</v>
      </c>
      <c r="M10671" s="6" t="s">
        <v>65631</v>
      </c>
      <c r="N10671" s="6" t="s">
        <v>155</v>
      </c>
      <c r="O10671" s="8" t="s">
        <v>156</v>
      </c>
      <c r="P10671" s="6" t="s">
        <v>65382</v>
      </c>
      <c r="Q10671" s="6" t="s">
        <v>31</v>
      </c>
      <c r="R10671" s="6" t="s">
        <v>64</v>
      </c>
      <c r="S10671" s="8" t="s">
        <v>2463</v>
      </c>
      <c r="T10671" s="6" t="s">
        <v>66</v>
      </c>
      <c r="U10671" s="8" t="s">
        <v>31</v>
      </c>
      <c r="V10671" s="6" t="s">
        <v>65632</v>
      </c>
      <c r="W10671" s="6" t="s">
        <v>65377</v>
      </c>
      <c r="X10671" s="9" t="str">
        <f>HYPERLINK("https://my.pitchbook.com?p=367682-50P","View People Online")</f>
        <v>View People Online</v>
      </c>
    </row>
    <row r="10672">
      <c r="A10672" s="10" t="s">
        <v>65633</v>
      </c>
      <c r="B10672" s="10" t="s">
        <v>65634</v>
      </c>
      <c r="C10672" s="10" t="s">
        <v>4248</v>
      </c>
      <c r="D10672" s="10" t="s">
        <v>10412</v>
      </c>
      <c r="E10672" s="10" t="s">
        <v>65377</v>
      </c>
      <c r="F10672" s="10" t="s">
        <v>548</v>
      </c>
      <c r="G10672" s="10" t="s">
        <v>65635</v>
      </c>
      <c r="H10672" s="11" t="s">
        <v>31</v>
      </c>
      <c r="I10672" s="11">
        <v>1.0</v>
      </c>
      <c r="J10672" s="11">
        <v>1.0</v>
      </c>
      <c r="K10672" s="11" t="s">
        <v>31</v>
      </c>
      <c r="L10672" s="12" t="s">
        <v>31</v>
      </c>
      <c r="M10672" s="10" t="s">
        <v>65636</v>
      </c>
      <c r="N10672" s="10" t="s">
        <v>155</v>
      </c>
      <c r="O10672" s="12" t="s">
        <v>156</v>
      </c>
      <c r="P10672" s="10" t="s">
        <v>65382</v>
      </c>
      <c r="Q10672" s="10" t="s">
        <v>31</v>
      </c>
      <c r="R10672" s="10" t="s">
        <v>64</v>
      </c>
      <c r="S10672" s="12" t="s">
        <v>2463</v>
      </c>
      <c r="T10672" s="10" t="s">
        <v>66</v>
      </c>
      <c r="U10672" s="12" t="s">
        <v>31</v>
      </c>
      <c r="V10672" s="10" t="s">
        <v>548</v>
      </c>
      <c r="W10672" s="10" t="s">
        <v>65377</v>
      </c>
      <c r="X10672" s="13" t="str">
        <f>HYPERLINK("https://my.pitchbook.com?p=384683-77P","View People Online")</f>
        <v>View People Online</v>
      </c>
    </row>
    <row r="10673">
      <c r="A10673" s="6" t="s">
        <v>65637</v>
      </c>
      <c r="B10673" s="6" t="s">
        <v>65638</v>
      </c>
      <c r="C10673" s="6" t="s">
        <v>37113</v>
      </c>
      <c r="D10673" s="6" t="s">
        <v>65639</v>
      </c>
      <c r="E10673" s="6" t="s">
        <v>65377</v>
      </c>
      <c r="F10673" s="6" t="s">
        <v>1801</v>
      </c>
      <c r="G10673" s="6" t="s">
        <v>65640</v>
      </c>
      <c r="H10673" s="7" t="s">
        <v>31</v>
      </c>
      <c r="I10673" s="7">
        <v>1.0</v>
      </c>
      <c r="J10673" s="7">
        <v>1.0</v>
      </c>
      <c r="K10673" s="7" t="s">
        <v>31</v>
      </c>
      <c r="L10673" s="8" t="s">
        <v>31</v>
      </c>
      <c r="M10673" s="6" t="s">
        <v>65641</v>
      </c>
      <c r="N10673" s="6" t="s">
        <v>155</v>
      </c>
      <c r="O10673" s="8" t="s">
        <v>156</v>
      </c>
      <c r="P10673" s="6" t="s">
        <v>65382</v>
      </c>
      <c r="Q10673" s="6" t="s">
        <v>31</v>
      </c>
      <c r="R10673" s="6" t="s">
        <v>64</v>
      </c>
      <c r="S10673" s="8" t="s">
        <v>2463</v>
      </c>
      <c r="T10673" s="6" t="s">
        <v>66</v>
      </c>
      <c r="U10673" s="8" t="s">
        <v>31</v>
      </c>
      <c r="V10673" s="6" t="s">
        <v>65642</v>
      </c>
      <c r="W10673" s="6" t="s">
        <v>65377</v>
      </c>
      <c r="X10673" s="9" t="str">
        <f>HYPERLINK("https://my.pitchbook.com?p=146382-40P","View People Online")</f>
        <v>View People Online</v>
      </c>
    </row>
    <row r="10674">
      <c r="A10674" s="10" t="s">
        <v>65643</v>
      </c>
      <c r="B10674" s="10" t="s">
        <v>65644</v>
      </c>
      <c r="C10674" s="10" t="s">
        <v>65645</v>
      </c>
      <c r="D10674" s="10" t="s">
        <v>65646</v>
      </c>
      <c r="E10674" s="10" t="s">
        <v>65377</v>
      </c>
      <c r="F10674" s="10" t="s">
        <v>34800</v>
      </c>
      <c r="G10674" s="10" t="s">
        <v>65647</v>
      </c>
      <c r="H10674" s="11" t="s">
        <v>31</v>
      </c>
      <c r="I10674" s="11">
        <v>2.0</v>
      </c>
      <c r="J10674" s="11">
        <v>1.0</v>
      </c>
      <c r="K10674" s="11">
        <v>1.0</v>
      </c>
      <c r="L10674" s="12" t="s">
        <v>31</v>
      </c>
      <c r="M10674" s="10" t="s">
        <v>65648</v>
      </c>
      <c r="N10674" s="10" t="s">
        <v>155</v>
      </c>
      <c r="O10674" s="12" t="s">
        <v>156</v>
      </c>
      <c r="P10674" s="10" t="s">
        <v>65382</v>
      </c>
      <c r="Q10674" s="10" t="s">
        <v>31</v>
      </c>
      <c r="R10674" s="10" t="s">
        <v>64</v>
      </c>
      <c r="S10674" s="12" t="s">
        <v>2463</v>
      </c>
      <c r="T10674" s="10" t="s">
        <v>66</v>
      </c>
      <c r="U10674" s="12" t="s">
        <v>31</v>
      </c>
      <c r="V10674" s="10" t="s">
        <v>65649</v>
      </c>
      <c r="W10674" s="10" t="s">
        <v>65377</v>
      </c>
      <c r="X10674" s="13" t="str">
        <f>HYPERLINK("https://my.pitchbook.com?p=184312-00P","View People Online")</f>
        <v>View People Online</v>
      </c>
    </row>
    <row r="10675">
      <c r="A10675" s="6" t="s">
        <v>65650</v>
      </c>
      <c r="B10675" s="6" t="s">
        <v>65651</v>
      </c>
      <c r="C10675" s="6" t="s">
        <v>4943</v>
      </c>
      <c r="D10675" s="6" t="s">
        <v>65652</v>
      </c>
      <c r="E10675" s="6" t="s">
        <v>65377</v>
      </c>
      <c r="F10675" s="6" t="s">
        <v>65443</v>
      </c>
      <c r="G10675" s="6" t="s">
        <v>65653</v>
      </c>
      <c r="H10675" s="7" t="s">
        <v>31</v>
      </c>
      <c r="I10675" s="7">
        <v>1.0</v>
      </c>
      <c r="J10675" s="7">
        <v>1.0</v>
      </c>
      <c r="K10675" s="7" t="s">
        <v>31</v>
      </c>
      <c r="L10675" s="8" t="s">
        <v>31</v>
      </c>
      <c r="M10675" s="6" t="s">
        <v>65654</v>
      </c>
      <c r="N10675" s="6" t="s">
        <v>155</v>
      </c>
      <c r="O10675" s="8" t="s">
        <v>156</v>
      </c>
      <c r="P10675" s="6" t="s">
        <v>65382</v>
      </c>
      <c r="Q10675" s="6" t="s">
        <v>31</v>
      </c>
      <c r="R10675" s="6" t="s">
        <v>64</v>
      </c>
      <c r="S10675" s="8" t="s">
        <v>2463</v>
      </c>
      <c r="T10675" s="6" t="s">
        <v>66</v>
      </c>
      <c r="U10675" s="8" t="s">
        <v>31</v>
      </c>
      <c r="V10675" s="6" t="s">
        <v>65446</v>
      </c>
      <c r="W10675" s="6" t="s">
        <v>65377</v>
      </c>
      <c r="X10675" s="9" t="str">
        <f>HYPERLINK("https://my.pitchbook.com?p=387189-91P","View People Online")</f>
        <v>View People Online</v>
      </c>
    </row>
    <row r="10676">
      <c r="A10676" s="10" t="s">
        <v>65655</v>
      </c>
      <c r="B10676" s="10" t="s">
        <v>65656</v>
      </c>
      <c r="C10676" s="10" t="s">
        <v>69</v>
      </c>
      <c r="D10676" s="10" t="s">
        <v>2457</v>
      </c>
      <c r="E10676" s="10" t="s">
        <v>65377</v>
      </c>
      <c r="F10676" s="10" t="s">
        <v>371</v>
      </c>
      <c r="G10676" s="10" t="s">
        <v>65657</v>
      </c>
      <c r="H10676" s="11" t="s">
        <v>31</v>
      </c>
      <c r="I10676" s="11">
        <v>1.0</v>
      </c>
      <c r="J10676" s="11">
        <v>1.0</v>
      </c>
      <c r="K10676" s="11" t="s">
        <v>31</v>
      </c>
      <c r="L10676" s="12" t="s">
        <v>65402</v>
      </c>
      <c r="M10676" s="10" t="s">
        <v>65658</v>
      </c>
      <c r="N10676" s="10" t="s">
        <v>75</v>
      </c>
      <c r="O10676" s="12" t="s">
        <v>76</v>
      </c>
      <c r="P10676" s="10" t="s">
        <v>65404</v>
      </c>
      <c r="Q10676" s="10" t="s">
        <v>31</v>
      </c>
      <c r="R10676" s="10" t="s">
        <v>75</v>
      </c>
      <c r="S10676" s="12" t="s">
        <v>57992</v>
      </c>
      <c r="T10676" s="10" t="s">
        <v>66</v>
      </c>
      <c r="U10676" s="12" t="s">
        <v>31</v>
      </c>
      <c r="V10676" s="10" t="s">
        <v>65659</v>
      </c>
      <c r="W10676" s="10" t="s">
        <v>65377</v>
      </c>
      <c r="X10676" s="13" t="str">
        <f>HYPERLINK("https://my.pitchbook.com?p=150311-71P","View People Online")</f>
        <v>View People Online</v>
      </c>
    </row>
    <row r="10677">
      <c r="A10677" s="14" t="s">
        <v>65660</v>
      </c>
      <c r="B10677" s="14" t="s">
        <v>65661</v>
      </c>
      <c r="C10677" s="14" t="s">
        <v>69</v>
      </c>
      <c r="D10677" s="14" t="s">
        <v>25506</v>
      </c>
      <c r="E10677" s="14" t="s">
        <v>65377</v>
      </c>
      <c r="F10677" s="14" t="s">
        <v>270</v>
      </c>
      <c r="G10677" s="14" t="s">
        <v>65662</v>
      </c>
      <c r="H10677" s="15" t="s">
        <v>31</v>
      </c>
      <c r="I10677" s="15">
        <v>1.0</v>
      </c>
      <c r="J10677" s="15">
        <v>1.0</v>
      </c>
      <c r="K10677" s="15" t="s">
        <v>31</v>
      </c>
      <c r="L10677" s="16" t="s">
        <v>31</v>
      </c>
      <c r="M10677" s="14" t="s">
        <v>65663</v>
      </c>
      <c r="N10677" s="14" t="s">
        <v>155</v>
      </c>
      <c r="O10677" s="16" t="s">
        <v>156</v>
      </c>
      <c r="P10677" s="14" t="s">
        <v>65382</v>
      </c>
      <c r="Q10677" s="14" t="s">
        <v>31</v>
      </c>
      <c r="R10677" s="14" t="s">
        <v>64</v>
      </c>
      <c r="S10677" s="16" t="s">
        <v>2463</v>
      </c>
      <c r="T10677" s="14" t="s">
        <v>66</v>
      </c>
      <c r="U10677" s="16" t="s">
        <v>31</v>
      </c>
      <c r="V10677" s="14" t="s">
        <v>4491</v>
      </c>
      <c r="W10677" s="14" t="s">
        <v>65377</v>
      </c>
      <c r="X10677" s="17" t="str">
        <f>HYPERLINK("https://my.pitchbook.com?p=263635-66P","View People Online")</f>
        <v>View People Online</v>
      </c>
    </row>
    <row r="10678">
      <c r="A10678" s="10" t="s">
        <v>65664</v>
      </c>
      <c r="B10678" s="10" t="s">
        <v>65665</v>
      </c>
      <c r="C10678" s="10" t="s">
        <v>69</v>
      </c>
      <c r="D10678" s="10" t="s">
        <v>65666</v>
      </c>
      <c r="E10678" s="10" t="s">
        <v>65377</v>
      </c>
      <c r="F10678" s="10" t="s">
        <v>4997</v>
      </c>
      <c r="G10678" s="10" t="s">
        <v>65667</v>
      </c>
      <c r="H10678" s="11" t="s">
        <v>31</v>
      </c>
      <c r="I10678" s="11">
        <v>1.0</v>
      </c>
      <c r="J10678" s="11">
        <v>1.0</v>
      </c>
      <c r="K10678" s="11" t="s">
        <v>31</v>
      </c>
      <c r="L10678" s="12" t="s">
        <v>31</v>
      </c>
      <c r="M10678" s="10" t="s">
        <v>65668</v>
      </c>
      <c r="N10678" s="10" t="s">
        <v>155</v>
      </c>
      <c r="O10678" s="12" t="s">
        <v>156</v>
      </c>
      <c r="P10678" s="10" t="s">
        <v>65382</v>
      </c>
      <c r="Q10678" s="10" t="s">
        <v>31</v>
      </c>
      <c r="R10678" s="10" t="s">
        <v>64</v>
      </c>
      <c r="S10678" s="12" t="s">
        <v>2463</v>
      </c>
      <c r="T10678" s="10" t="s">
        <v>66</v>
      </c>
      <c r="U10678" s="12" t="s">
        <v>31</v>
      </c>
      <c r="V10678" s="10" t="s">
        <v>65669</v>
      </c>
      <c r="W10678" s="10" t="s">
        <v>65377</v>
      </c>
      <c r="X10678" s="13" t="str">
        <f>HYPERLINK("https://my.pitchbook.com?p=32866-93P","View People Online")</f>
        <v>View People Online</v>
      </c>
    </row>
    <row r="10679">
      <c r="A10679" s="6" t="s">
        <v>65670</v>
      </c>
      <c r="B10679" s="6" t="s">
        <v>65671</v>
      </c>
      <c r="C10679" s="6" t="s">
        <v>69</v>
      </c>
      <c r="D10679" s="6" t="s">
        <v>4285</v>
      </c>
      <c r="E10679" s="6" t="s">
        <v>65377</v>
      </c>
      <c r="F10679" s="6" t="s">
        <v>270</v>
      </c>
      <c r="G10679" s="6" t="s">
        <v>65672</v>
      </c>
      <c r="H10679" s="7" t="s">
        <v>31</v>
      </c>
      <c r="I10679" s="7">
        <v>1.0</v>
      </c>
      <c r="J10679" s="7">
        <v>1.0</v>
      </c>
      <c r="K10679" s="7" t="s">
        <v>31</v>
      </c>
      <c r="L10679" s="8" t="s">
        <v>31</v>
      </c>
      <c r="M10679" s="6" t="s">
        <v>65673</v>
      </c>
      <c r="N10679" s="6" t="s">
        <v>155</v>
      </c>
      <c r="O10679" s="8" t="s">
        <v>156</v>
      </c>
      <c r="P10679" s="6" t="s">
        <v>65382</v>
      </c>
      <c r="Q10679" s="6" t="s">
        <v>31</v>
      </c>
      <c r="R10679" s="6" t="s">
        <v>64</v>
      </c>
      <c r="S10679" s="8" t="s">
        <v>2463</v>
      </c>
      <c r="T10679" s="6" t="s">
        <v>66</v>
      </c>
      <c r="U10679" s="8" t="s">
        <v>31</v>
      </c>
      <c r="V10679" s="6" t="s">
        <v>65674</v>
      </c>
      <c r="W10679" s="6" t="s">
        <v>65377</v>
      </c>
      <c r="X10679" s="9" t="str">
        <f>HYPERLINK("https://my.pitchbook.com?p=30916-72P","View People Online")</f>
        <v>View People Online</v>
      </c>
    </row>
    <row r="10680">
      <c r="A10680" s="2" t="s">
        <v>65675</v>
      </c>
      <c r="B10680" s="2" t="s">
        <v>65676</v>
      </c>
      <c r="C10680" s="2" t="s">
        <v>84</v>
      </c>
      <c r="D10680" s="2" t="s">
        <v>65677</v>
      </c>
      <c r="E10680" s="2" t="s">
        <v>65377</v>
      </c>
      <c r="F10680" s="2" t="s">
        <v>713</v>
      </c>
      <c r="G10680" s="2" t="s">
        <v>65678</v>
      </c>
      <c r="H10680" s="3" t="s">
        <v>31</v>
      </c>
      <c r="I10680" s="3">
        <v>1.0</v>
      </c>
      <c r="J10680" s="3">
        <v>1.0</v>
      </c>
      <c r="K10680" s="3" t="s">
        <v>31</v>
      </c>
      <c r="L10680" s="4" t="s">
        <v>31</v>
      </c>
      <c r="M10680" s="2" t="s">
        <v>65679</v>
      </c>
      <c r="N10680" s="2" t="s">
        <v>155</v>
      </c>
      <c r="O10680" s="4" t="s">
        <v>156</v>
      </c>
      <c r="P10680" s="2" t="s">
        <v>65382</v>
      </c>
      <c r="Q10680" s="2" t="s">
        <v>31</v>
      </c>
      <c r="R10680" s="2" t="s">
        <v>64</v>
      </c>
      <c r="S10680" s="4" t="s">
        <v>2463</v>
      </c>
      <c r="T10680" s="2" t="s">
        <v>66</v>
      </c>
      <c r="U10680" s="4" t="s">
        <v>31</v>
      </c>
      <c r="V10680" s="2" t="s">
        <v>65680</v>
      </c>
      <c r="W10680" s="2" t="s">
        <v>65377</v>
      </c>
      <c r="X10680" s="5" t="str">
        <f>HYPERLINK("https://my.pitchbook.com?p=384350-14P","View People Online")</f>
        <v>View People Online</v>
      </c>
    </row>
    <row r="10681">
      <c r="A10681" s="14" t="s">
        <v>65681</v>
      </c>
      <c r="B10681" s="14" t="s">
        <v>65682</v>
      </c>
      <c r="C10681" s="14" t="s">
        <v>44961</v>
      </c>
      <c r="D10681" s="14" t="s">
        <v>65683</v>
      </c>
      <c r="E10681" s="14" t="s">
        <v>65377</v>
      </c>
      <c r="F10681" s="14" t="s">
        <v>38213</v>
      </c>
      <c r="G10681" s="14" t="s">
        <v>65684</v>
      </c>
      <c r="H10681" s="15" t="s">
        <v>31</v>
      </c>
      <c r="I10681" s="15">
        <v>1.0</v>
      </c>
      <c r="J10681" s="15">
        <v>1.0</v>
      </c>
      <c r="K10681" s="15" t="s">
        <v>31</v>
      </c>
      <c r="L10681" s="16" t="s">
        <v>31</v>
      </c>
      <c r="M10681" s="14" t="s">
        <v>65685</v>
      </c>
      <c r="N10681" s="14" t="s">
        <v>155</v>
      </c>
      <c r="O10681" s="16" t="s">
        <v>156</v>
      </c>
      <c r="P10681" s="14" t="s">
        <v>65382</v>
      </c>
      <c r="Q10681" s="14" t="s">
        <v>31</v>
      </c>
      <c r="R10681" s="14" t="s">
        <v>64</v>
      </c>
      <c r="S10681" s="16" t="s">
        <v>2463</v>
      </c>
      <c r="T10681" s="14" t="s">
        <v>66</v>
      </c>
      <c r="U10681" s="16" t="s">
        <v>31</v>
      </c>
      <c r="V10681" s="14" t="s">
        <v>65686</v>
      </c>
      <c r="W10681" s="14" t="s">
        <v>65377</v>
      </c>
      <c r="X10681" s="17" t="str">
        <f>HYPERLINK("https://my.pitchbook.com?p=216245-08P","View People Online")</f>
        <v>View People Online</v>
      </c>
    </row>
    <row r="10682">
      <c r="A10682" s="2" t="s">
        <v>65687</v>
      </c>
      <c r="B10682" s="2" t="s">
        <v>65688</v>
      </c>
      <c r="C10682" s="2" t="s">
        <v>1449</v>
      </c>
      <c r="D10682" s="2" t="s">
        <v>65689</v>
      </c>
      <c r="E10682" s="2" t="s">
        <v>65377</v>
      </c>
      <c r="F10682" s="2" t="s">
        <v>825</v>
      </c>
      <c r="G10682" s="2" t="s">
        <v>65690</v>
      </c>
      <c r="H10682" s="3" t="s">
        <v>31</v>
      </c>
      <c r="I10682" s="3">
        <v>3.0</v>
      </c>
      <c r="J10682" s="3">
        <v>1.0</v>
      </c>
      <c r="K10682" s="3">
        <v>2.0</v>
      </c>
      <c r="L10682" s="4" t="s">
        <v>31</v>
      </c>
      <c r="M10682" s="2" t="s">
        <v>65691</v>
      </c>
      <c r="N10682" s="2" t="s">
        <v>155</v>
      </c>
      <c r="O10682" s="4" t="s">
        <v>156</v>
      </c>
      <c r="P10682" s="2" t="s">
        <v>65382</v>
      </c>
      <c r="Q10682" s="2" t="s">
        <v>31</v>
      </c>
      <c r="R10682" s="2" t="s">
        <v>64</v>
      </c>
      <c r="S10682" s="4" t="s">
        <v>2463</v>
      </c>
      <c r="T10682" s="2" t="s">
        <v>66</v>
      </c>
      <c r="U10682" s="4" t="s">
        <v>31</v>
      </c>
      <c r="V10682" s="2" t="s">
        <v>8463</v>
      </c>
      <c r="W10682" s="2" t="s">
        <v>65377</v>
      </c>
      <c r="X10682" s="5" t="str">
        <f>HYPERLINK("https://my.pitchbook.com?p=41452-93P","View People Online")</f>
        <v>View People Online</v>
      </c>
    </row>
    <row r="10683">
      <c r="A10683" s="14" t="s">
        <v>65692</v>
      </c>
      <c r="B10683" s="14" t="s">
        <v>65693</v>
      </c>
      <c r="C10683" s="14" t="s">
        <v>1449</v>
      </c>
      <c r="D10683" s="14" t="s">
        <v>65694</v>
      </c>
      <c r="E10683" s="14" t="s">
        <v>65377</v>
      </c>
      <c r="F10683" s="14" t="s">
        <v>825</v>
      </c>
      <c r="G10683" s="14" t="s">
        <v>65695</v>
      </c>
      <c r="H10683" s="15" t="s">
        <v>31</v>
      </c>
      <c r="I10683" s="15">
        <v>4.0</v>
      </c>
      <c r="J10683" s="15">
        <v>1.0</v>
      </c>
      <c r="K10683" s="15">
        <v>3.0</v>
      </c>
      <c r="L10683" s="16" t="s">
        <v>31</v>
      </c>
      <c r="M10683" s="14" t="s">
        <v>31</v>
      </c>
      <c r="N10683" s="14" t="s">
        <v>155</v>
      </c>
      <c r="O10683" s="16" t="s">
        <v>156</v>
      </c>
      <c r="P10683" s="14" t="s">
        <v>65382</v>
      </c>
      <c r="Q10683" s="14" t="s">
        <v>31</v>
      </c>
      <c r="R10683" s="14" t="s">
        <v>64</v>
      </c>
      <c r="S10683" s="16" t="s">
        <v>2463</v>
      </c>
      <c r="T10683" s="14" t="s">
        <v>66</v>
      </c>
      <c r="U10683" s="16" t="s">
        <v>31</v>
      </c>
      <c r="V10683" s="14" t="s">
        <v>65696</v>
      </c>
      <c r="W10683" s="14" t="s">
        <v>65377</v>
      </c>
      <c r="X10683" s="17" t="str">
        <f>HYPERLINK("https://my.pitchbook.com?p=229650-40P","View People Online")</f>
        <v>View People Online</v>
      </c>
    </row>
    <row r="10684">
      <c r="A10684" s="10" t="s">
        <v>65697</v>
      </c>
      <c r="B10684" s="10" t="s">
        <v>65698</v>
      </c>
      <c r="C10684" s="10" t="s">
        <v>1449</v>
      </c>
      <c r="D10684" s="10" t="s">
        <v>65699</v>
      </c>
      <c r="E10684" s="10" t="s">
        <v>65377</v>
      </c>
      <c r="F10684" s="10" t="s">
        <v>4800</v>
      </c>
      <c r="G10684" s="10" t="s">
        <v>65700</v>
      </c>
      <c r="H10684" s="11" t="s">
        <v>31</v>
      </c>
      <c r="I10684" s="11">
        <v>1.0</v>
      </c>
      <c r="J10684" s="11">
        <v>1.0</v>
      </c>
      <c r="K10684" s="11" t="s">
        <v>31</v>
      </c>
      <c r="L10684" s="12" t="s">
        <v>31</v>
      </c>
      <c r="M10684" s="10" t="s">
        <v>65701</v>
      </c>
      <c r="N10684" s="10" t="s">
        <v>155</v>
      </c>
      <c r="O10684" s="12" t="s">
        <v>156</v>
      </c>
      <c r="P10684" s="10" t="s">
        <v>65382</v>
      </c>
      <c r="Q10684" s="10" t="s">
        <v>31</v>
      </c>
      <c r="R10684" s="10" t="s">
        <v>64</v>
      </c>
      <c r="S10684" s="12" t="s">
        <v>2463</v>
      </c>
      <c r="T10684" s="10" t="s">
        <v>66</v>
      </c>
      <c r="U10684" s="12" t="s">
        <v>31</v>
      </c>
      <c r="V10684" s="10" t="s">
        <v>65702</v>
      </c>
      <c r="W10684" s="10" t="s">
        <v>65377</v>
      </c>
      <c r="X10684" s="13" t="str">
        <f>HYPERLINK("https://my.pitchbook.com?p=321973-48P","View People Online")</f>
        <v>View People Online</v>
      </c>
    </row>
    <row r="10685">
      <c r="A10685" s="14" t="s">
        <v>65703</v>
      </c>
      <c r="B10685" s="14" t="s">
        <v>65704</v>
      </c>
      <c r="C10685" s="14" t="s">
        <v>1449</v>
      </c>
      <c r="D10685" s="14" t="s">
        <v>3371</v>
      </c>
      <c r="E10685" s="14" t="s">
        <v>65377</v>
      </c>
      <c r="F10685" s="14" t="s">
        <v>312</v>
      </c>
      <c r="G10685" s="14" t="s">
        <v>65705</v>
      </c>
      <c r="H10685" s="15" t="s">
        <v>31</v>
      </c>
      <c r="I10685" s="15">
        <v>1.0</v>
      </c>
      <c r="J10685" s="15">
        <v>1.0</v>
      </c>
      <c r="K10685" s="15" t="s">
        <v>31</v>
      </c>
      <c r="L10685" s="16" t="s">
        <v>31</v>
      </c>
      <c r="M10685" s="14" t="s">
        <v>65706</v>
      </c>
      <c r="N10685" s="14" t="s">
        <v>155</v>
      </c>
      <c r="O10685" s="16" t="s">
        <v>156</v>
      </c>
      <c r="P10685" s="14" t="s">
        <v>65382</v>
      </c>
      <c r="Q10685" s="14" t="s">
        <v>31</v>
      </c>
      <c r="R10685" s="14" t="s">
        <v>64</v>
      </c>
      <c r="S10685" s="16" t="s">
        <v>2463</v>
      </c>
      <c r="T10685" s="14" t="s">
        <v>66</v>
      </c>
      <c r="U10685" s="16" t="s">
        <v>31</v>
      </c>
      <c r="V10685" s="14" t="s">
        <v>312</v>
      </c>
      <c r="W10685" s="14" t="s">
        <v>65377</v>
      </c>
      <c r="X10685" s="17" t="str">
        <f>HYPERLINK("https://my.pitchbook.com?p=33054-85P","View People Online")</f>
        <v>View People Online</v>
      </c>
    </row>
    <row r="10686">
      <c r="A10686" s="10" t="s">
        <v>65707</v>
      </c>
      <c r="B10686" s="10" t="s">
        <v>65708</v>
      </c>
      <c r="C10686" s="10" t="s">
        <v>32145</v>
      </c>
      <c r="D10686" s="10" t="s">
        <v>65709</v>
      </c>
      <c r="E10686" s="10" t="s">
        <v>65377</v>
      </c>
      <c r="F10686" s="10" t="s">
        <v>2652</v>
      </c>
      <c r="G10686" s="10" t="s">
        <v>65710</v>
      </c>
      <c r="H10686" s="11" t="s">
        <v>31</v>
      </c>
      <c r="I10686" s="11">
        <v>1.0</v>
      </c>
      <c r="J10686" s="11">
        <v>1.0</v>
      </c>
      <c r="K10686" s="11" t="s">
        <v>31</v>
      </c>
      <c r="L10686" s="12" t="s">
        <v>31</v>
      </c>
      <c r="M10686" s="10" t="s">
        <v>65711</v>
      </c>
      <c r="N10686" s="10" t="s">
        <v>155</v>
      </c>
      <c r="O10686" s="12" t="s">
        <v>156</v>
      </c>
      <c r="P10686" s="10" t="s">
        <v>65382</v>
      </c>
      <c r="Q10686" s="10" t="s">
        <v>31</v>
      </c>
      <c r="R10686" s="10" t="s">
        <v>64</v>
      </c>
      <c r="S10686" s="12" t="s">
        <v>2463</v>
      </c>
      <c r="T10686" s="10" t="s">
        <v>66</v>
      </c>
      <c r="U10686" s="12" t="s">
        <v>31</v>
      </c>
      <c r="V10686" s="10" t="s">
        <v>65712</v>
      </c>
      <c r="W10686" s="10" t="s">
        <v>65377</v>
      </c>
      <c r="X10686" s="13" t="str">
        <f>HYPERLINK("https://my.pitchbook.com?p=355172-05P","View People Online")</f>
        <v>View People Online</v>
      </c>
    </row>
    <row r="10687">
      <c r="A10687" s="6" t="s">
        <v>65713</v>
      </c>
      <c r="B10687" s="6" t="s">
        <v>65714</v>
      </c>
      <c r="C10687" s="6" t="s">
        <v>7286</v>
      </c>
      <c r="D10687" s="6" t="s">
        <v>65715</v>
      </c>
      <c r="E10687" s="6" t="s">
        <v>65377</v>
      </c>
      <c r="F10687" s="6" t="s">
        <v>583</v>
      </c>
      <c r="G10687" s="6" t="s">
        <v>65716</v>
      </c>
      <c r="H10687" s="7" t="s">
        <v>31</v>
      </c>
      <c r="I10687" s="7">
        <v>1.0</v>
      </c>
      <c r="J10687" s="7">
        <v>1.0</v>
      </c>
      <c r="K10687" s="7" t="s">
        <v>31</v>
      </c>
      <c r="L10687" s="8" t="s">
        <v>65717</v>
      </c>
      <c r="M10687" s="6" t="s">
        <v>65718</v>
      </c>
      <c r="N10687" s="6" t="s">
        <v>7957</v>
      </c>
      <c r="O10687" s="8" t="s">
        <v>7958</v>
      </c>
      <c r="P10687" s="6" t="s">
        <v>65719</v>
      </c>
      <c r="Q10687" s="6" t="s">
        <v>2003</v>
      </c>
      <c r="R10687" s="6" t="s">
        <v>7004</v>
      </c>
      <c r="S10687" s="8" t="s">
        <v>57071</v>
      </c>
      <c r="T10687" s="6" t="s">
        <v>66</v>
      </c>
      <c r="U10687" s="8" t="s">
        <v>31</v>
      </c>
      <c r="V10687" s="6" t="s">
        <v>44823</v>
      </c>
      <c r="W10687" s="6" t="s">
        <v>65377</v>
      </c>
      <c r="X10687" s="9" t="str">
        <f>HYPERLINK("https://my.pitchbook.com?p=164521-99P","View People Online")</f>
        <v>View People Online</v>
      </c>
    </row>
    <row r="10688">
      <c r="A10688" s="2" t="s">
        <v>65720</v>
      </c>
      <c r="B10688" s="2" t="s">
        <v>65721</v>
      </c>
      <c r="C10688" s="2" t="s">
        <v>316</v>
      </c>
      <c r="D10688" s="2" t="s">
        <v>65722</v>
      </c>
      <c r="E10688" s="2" t="s">
        <v>65377</v>
      </c>
      <c r="F10688" s="2" t="s">
        <v>65723</v>
      </c>
      <c r="G10688" s="2" t="s">
        <v>65724</v>
      </c>
      <c r="H10688" s="3" t="s">
        <v>31</v>
      </c>
      <c r="I10688" s="3">
        <v>1.0</v>
      </c>
      <c r="J10688" s="3">
        <v>1.0</v>
      </c>
      <c r="K10688" s="3" t="s">
        <v>31</v>
      </c>
      <c r="L10688" s="4" t="s">
        <v>31</v>
      </c>
      <c r="M10688" s="2" t="s">
        <v>65725</v>
      </c>
      <c r="N10688" s="2" t="s">
        <v>155</v>
      </c>
      <c r="O10688" s="4" t="s">
        <v>156</v>
      </c>
      <c r="P10688" s="2" t="s">
        <v>65382</v>
      </c>
      <c r="Q10688" s="2" t="s">
        <v>31</v>
      </c>
      <c r="R10688" s="2" t="s">
        <v>64</v>
      </c>
      <c r="S10688" s="4" t="s">
        <v>2463</v>
      </c>
      <c r="T10688" s="2" t="s">
        <v>66</v>
      </c>
      <c r="U10688" s="4" t="s">
        <v>31</v>
      </c>
      <c r="V10688" s="2" t="s">
        <v>65726</v>
      </c>
      <c r="W10688" s="2" t="s">
        <v>65377</v>
      </c>
      <c r="X10688" s="5" t="str">
        <f>HYPERLINK("https://my.pitchbook.com?p=250589-08P","View People Online")</f>
        <v>View People Online</v>
      </c>
    </row>
    <row r="10689">
      <c r="A10689" s="6" t="s">
        <v>65727</v>
      </c>
      <c r="B10689" s="6" t="s">
        <v>65728</v>
      </c>
      <c r="C10689" s="6" t="s">
        <v>316</v>
      </c>
      <c r="D10689" s="6" t="s">
        <v>55327</v>
      </c>
      <c r="E10689" s="6" t="s">
        <v>65377</v>
      </c>
      <c r="F10689" s="6" t="s">
        <v>65729</v>
      </c>
      <c r="G10689" s="6" t="s">
        <v>65730</v>
      </c>
      <c r="H10689" s="7" t="s">
        <v>31</v>
      </c>
      <c r="I10689" s="7">
        <v>1.0</v>
      </c>
      <c r="J10689" s="7">
        <v>1.0</v>
      </c>
      <c r="K10689" s="7" t="s">
        <v>31</v>
      </c>
      <c r="L10689" s="8" t="s">
        <v>65731</v>
      </c>
      <c r="M10689" s="6" t="s">
        <v>65732</v>
      </c>
      <c r="N10689" s="6" t="s">
        <v>155</v>
      </c>
      <c r="O10689" s="8" t="s">
        <v>156</v>
      </c>
      <c r="P10689" s="6" t="s">
        <v>65382</v>
      </c>
      <c r="Q10689" s="6" t="s">
        <v>31</v>
      </c>
      <c r="R10689" s="6" t="s">
        <v>64</v>
      </c>
      <c r="S10689" s="8" t="s">
        <v>2463</v>
      </c>
      <c r="T10689" s="6" t="s">
        <v>66</v>
      </c>
      <c r="U10689" s="8" t="s">
        <v>31</v>
      </c>
      <c r="V10689" s="6" t="s">
        <v>65733</v>
      </c>
      <c r="W10689" s="6" t="s">
        <v>65377</v>
      </c>
      <c r="X10689" s="9" t="str">
        <f>HYPERLINK("https://my.pitchbook.com?p=199531-27P","View People Online")</f>
        <v>View People Online</v>
      </c>
    </row>
    <row r="10690">
      <c r="A10690" s="2" t="s">
        <v>65734</v>
      </c>
      <c r="B10690" s="2" t="s">
        <v>65735</v>
      </c>
      <c r="C10690" s="2" t="s">
        <v>1993</v>
      </c>
      <c r="D10690" s="2" t="s">
        <v>1267</v>
      </c>
      <c r="E10690" s="2" t="s">
        <v>65377</v>
      </c>
      <c r="F10690" s="2" t="s">
        <v>312</v>
      </c>
      <c r="G10690" s="2" t="s">
        <v>65736</v>
      </c>
      <c r="H10690" s="3" t="s">
        <v>31</v>
      </c>
      <c r="I10690" s="3">
        <v>1.0</v>
      </c>
      <c r="J10690" s="3">
        <v>1.0</v>
      </c>
      <c r="K10690" s="3" t="s">
        <v>31</v>
      </c>
      <c r="L10690" s="4" t="s">
        <v>65402</v>
      </c>
      <c r="M10690" s="2" t="s">
        <v>65737</v>
      </c>
      <c r="N10690" s="2" t="s">
        <v>4232</v>
      </c>
      <c r="O10690" s="4" t="s">
        <v>4233</v>
      </c>
      <c r="P10690" s="2" t="s">
        <v>65471</v>
      </c>
      <c r="Q10690" s="2" t="s">
        <v>45601</v>
      </c>
      <c r="R10690" s="2" t="s">
        <v>4236</v>
      </c>
      <c r="S10690" s="4" t="s">
        <v>11182</v>
      </c>
      <c r="T10690" s="2" t="s">
        <v>66</v>
      </c>
      <c r="U10690" s="4" t="s">
        <v>31</v>
      </c>
      <c r="V10690" s="2" t="s">
        <v>65738</v>
      </c>
      <c r="W10690" s="2" t="s">
        <v>65377</v>
      </c>
      <c r="X10690" s="5" t="str">
        <f>HYPERLINK("https://my.pitchbook.com?p=173132-92P","View People Online")</f>
        <v>View People Online</v>
      </c>
    </row>
    <row r="10691">
      <c r="A10691" s="6" t="s">
        <v>65739</v>
      </c>
      <c r="B10691" s="6" t="s">
        <v>65740</v>
      </c>
      <c r="C10691" s="6" t="s">
        <v>11193</v>
      </c>
      <c r="D10691" s="6" t="s">
        <v>65741</v>
      </c>
      <c r="E10691" s="6" t="s">
        <v>65377</v>
      </c>
      <c r="F10691" s="6" t="s">
        <v>713</v>
      </c>
      <c r="G10691" s="6" t="s">
        <v>65742</v>
      </c>
      <c r="H10691" s="7" t="s">
        <v>31</v>
      </c>
      <c r="I10691" s="7">
        <v>1.0</v>
      </c>
      <c r="J10691" s="7">
        <v>1.0</v>
      </c>
      <c r="K10691" s="7" t="s">
        <v>31</v>
      </c>
      <c r="L10691" s="8" t="s">
        <v>31</v>
      </c>
      <c r="M10691" s="6" t="s">
        <v>65743</v>
      </c>
      <c r="N10691" s="6" t="s">
        <v>155</v>
      </c>
      <c r="O10691" s="8" t="s">
        <v>156</v>
      </c>
      <c r="P10691" s="6" t="s">
        <v>65382</v>
      </c>
      <c r="Q10691" s="6" t="s">
        <v>31</v>
      </c>
      <c r="R10691" s="6" t="s">
        <v>64</v>
      </c>
      <c r="S10691" s="8" t="s">
        <v>2463</v>
      </c>
      <c r="T10691" s="6" t="s">
        <v>66</v>
      </c>
      <c r="U10691" s="8" t="s">
        <v>31</v>
      </c>
      <c r="V10691" s="6" t="s">
        <v>713</v>
      </c>
      <c r="W10691" s="6" t="s">
        <v>65377</v>
      </c>
      <c r="X10691" s="9" t="str">
        <f>HYPERLINK("https://my.pitchbook.com?p=415420-66P","View People Online")</f>
        <v>View People Online</v>
      </c>
    </row>
    <row r="10692">
      <c r="A10692" s="10" t="s">
        <v>65744</v>
      </c>
      <c r="B10692" s="10" t="s">
        <v>65745</v>
      </c>
      <c r="C10692" s="10" t="s">
        <v>24140</v>
      </c>
      <c r="D10692" s="10" t="s">
        <v>65746</v>
      </c>
      <c r="E10692" s="10" t="s">
        <v>65377</v>
      </c>
      <c r="F10692" s="10" t="s">
        <v>371</v>
      </c>
      <c r="G10692" s="10" t="s">
        <v>65747</v>
      </c>
      <c r="H10692" s="11" t="s">
        <v>31</v>
      </c>
      <c r="I10692" s="11">
        <v>1.0</v>
      </c>
      <c r="J10692" s="11">
        <v>1.0</v>
      </c>
      <c r="K10692" s="11" t="s">
        <v>31</v>
      </c>
      <c r="L10692" s="12" t="s">
        <v>31</v>
      </c>
      <c r="M10692" s="10" t="s">
        <v>65748</v>
      </c>
      <c r="N10692" s="10" t="s">
        <v>155</v>
      </c>
      <c r="O10692" s="12" t="s">
        <v>156</v>
      </c>
      <c r="P10692" s="10" t="s">
        <v>65382</v>
      </c>
      <c r="Q10692" s="10" t="s">
        <v>31</v>
      </c>
      <c r="R10692" s="10" t="s">
        <v>64</v>
      </c>
      <c r="S10692" s="12" t="s">
        <v>2463</v>
      </c>
      <c r="T10692" s="10" t="s">
        <v>66</v>
      </c>
      <c r="U10692" s="12" t="s">
        <v>31</v>
      </c>
      <c r="V10692" s="10" t="s">
        <v>35813</v>
      </c>
      <c r="W10692" s="10" t="s">
        <v>65377</v>
      </c>
      <c r="X10692" s="13" t="str">
        <f>HYPERLINK("https://my.pitchbook.com?p=31970-35P","View People Online")</f>
        <v>View People Online</v>
      </c>
    </row>
    <row r="10693">
      <c r="A10693" s="14" t="s">
        <v>65749</v>
      </c>
      <c r="B10693" s="14" t="s">
        <v>65750</v>
      </c>
      <c r="C10693" s="14" t="s">
        <v>24684</v>
      </c>
      <c r="D10693" s="14" t="s">
        <v>65751</v>
      </c>
      <c r="E10693" s="14" t="s">
        <v>65377</v>
      </c>
      <c r="F10693" s="14" t="s">
        <v>825</v>
      </c>
      <c r="G10693" s="14" t="s">
        <v>65752</v>
      </c>
      <c r="H10693" s="15" t="s">
        <v>31</v>
      </c>
      <c r="I10693" s="15">
        <v>1.0</v>
      </c>
      <c r="J10693" s="15">
        <v>1.0</v>
      </c>
      <c r="K10693" s="15" t="s">
        <v>31</v>
      </c>
      <c r="L10693" s="16" t="s">
        <v>65753</v>
      </c>
      <c r="M10693" s="14" t="s">
        <v>65754</v>
      </c>
      <c r="N10693" s="14" t="s">
        <v>10983</v>
      </c>
      <c r="O10693" s="16" t="s">
        <v>37748</v>
      </c>
      <c r="P10693" s="14" t="s">
        <v>65397</v>
      </c>
      <c r="Q10693" s="14" t="s">
        <v>11360</v>
      </c>
      <c r="R10693" s="14" t="s">
        <v>37751</v>
      </c>
      <c r="S10693" s="16" t="s">
        <v>65398</v>
      </c>
      <c r="T10693" s="14" t="s">
        <v>66</v>
      </c>
      <c r="U10693" s="16" t="s">
        <v>31</v>
      </c>
      <c r="V10693" s="14" t="s">
        <v>65755</v>
      </c>
      <c r="W10693" s="14" t="s">
        <v>65377</v>
      </c>
      <c r="X10693" s="17" t="str">
        <f>HYPERLINK("https://my.pitchbook.com?p=146512-63P","View People Online")</f>
        <v>View People Online</v>
      </c>
    </row>
    <row r="10694">
      <c r="A10694" s="10" t="s">
        <v>65756</v>
      </c>
      <c r="B10694" s="10" t="s">
        <v>65757</v>
      </c>
      <c r="C10694" s="10" t="s">
        <v>48101</v>
      </c>
      <c r="D10694" s="10" t="s">
        <v>65758</v>
      </c>
      <c r="E10694" s="10" t="s">
        <v>65377</v>
      </c>
      <c r="F10694" s="10" t="s">
        <v>1283</v>
      </c>
      <c r="G10694" s="10" t="s">
        <v>65759</v>
      </c>
      <c r="H10694" s="11" t="s">
        <v>31</v>
      </c>
      <c r="I10694" s="11">
        <v>2.0</v>
      </c>
      <c r="J10694" s="11">
        <v>1.0</v>
      </c>
      <c r="K10694" s="11">
        <v>1.0</v>
      </c>
      <c r="L10694" s="12" t="s">
        <v>31</v>
      </c>
      <c r="M10694" s="10" t="s">
        <v>65760</v>
      </c>
      <c r="N10694" s="10" t="s">
        <v>155</v>
      </c>
      <c r="O10694" s="12" t="s">
        <v>156</v>
      </c>
      <c r="P10694" s="10" t="s">
        <v>65382</v>
      </c>
      <c r="Q10694" s="10" t="s">
        <v>31</v>
      </c>
      <c r="R10694" s="10" t="s">
        <v>64</v>
      </c>
      <c r="S10694" s="12" t="s">
        <v>2463</v>
      </c>
      <c r="T10694" s="10" t="s">
        <v>66</v>
      </c>
      <c r="U10694" s="12" t="s">
        <v>31</v>
      </c>
      <c r="V10694" s="10" t="s">
        <v>1283</v>
      </c>
      <c r="W10694" s="10" t="s">
        <v>65377</v>
      </c>
      <c r="X10694" s="13" t="str">
        <f>HYPERLINK("https://my.pitchbook.com?p=335872-09P","View People Online")</f>
        <v>View People Online</v>
      </c>
    </row>
    <row r="10695">
      <c r="A10695" s="6" t="s">
        <v>65761</v>
      </c>
      <c r="B10695" s="6" t="s">
        <v>65762</v>
      </c>
      <c r="C10695" s="6" t="s">
        <v>11210</v>
      </c>
      <c r="D10695" s="6" t="s">
        <v>65763</v>
      </c>
      <c r="E10695" s="6" t="s">
        <v>65377</v>
      </c>
      <c r="F10695" s="6" t="s">
        <v>825</v>
      </c>
      <c r="G10695" s="6" t="s">
        <v>65764</v>
      </c>
      <c r="H10695" s="7" t="s">
        <v>31</v>
      </c>
      <c r="I10695" s="7">
        <v>1.0</v>
      </c>
      <c r="J10695" s="7">
        <v>1.0</v>
      </c>
      <c r="K10695" s="7" t="s">
        <v>31</v>
      </c>
      <c r="L10695" s="8" t="s">
        <v>31</v>
      </c>
      <c r="M10695" s="6" t="s">
        <v>65765</v>
      </c>
      <c r="N10695" s="6" t="s">
        <v>155</v>
      </c>
      <c r="O10695" s="8" t="s">
        <v>156</v>
      </c>
      <c r="P10695" s="6" t="s">
        <v>65382</v>
      </c>
      <c r="Q10695" s="6" t="s">
        <v>31</v>
      </c>
      <c r="R10695" s="6" t="s">
        <v>64</v>
      </c>
      <c r="S10695" s="8" t="s">
        <v>2463</v>
      </c>
      <c r="T10695" s="6" t="s">
        <v>66</v>
      </c>
      <c r="U10695" s="8" t="s">
        <v>31</v>
      </c>
      <c r="V10695" s="6" t="s">
        <v>65766</v>
      </c>
      <c r="W10695" s="6" t="s">
        <v>65377</v>
      </c>
      <c r="X10695" s="9" t="str">
        <f>HYPERLINK("https://my.pitchbook.com?p=114683-86P","View People Online")</f>
        <v>View People Online</v>
      </c>
    </row>
    <row r="10696">
      <c r="A10696" s="2" t="s">
        <v>65767</v>
      </c>
      <c r="B10696" s="2" t="s">
        <v>65768</v>
      </c>
      <c r="C10696" s="2" t="s">
        <v>23747</v>
      </c>
      <c r="D10696" s="2" t="s">
        <v>65769</v>
      </c>
      <c r="E10696" s="2" t="s">
        <v>65377</v>
      </c>
      <c r="F10696" s="2" t="s">
        <v>65770</v>
      </c>
      <c r="G10696" s="2" t="s">
        <v>65771</v>
      </c>
      <c r="H10696" s="3" t="s">
        <v>31</v>
      </c>
      <c r="I10696" s="3">
        <v>2.0</v>
      </c>
      <c r="J10696" s="3">
        <v>1.0</v>
      </c>
      <c r="K10696" s="3">
        <v>1.0</v>
      </c>
      <c r="L10696" s="4" t="s">
        <v>31</v>
      </c>
      <c r="M10696" s="2" t="s">
        <v>65772</v>
      </c>
      <c r="N10696" s="2" t="s">
        <v>155</v>
      </c>
      <c r="O10696" s="4" t="s">
        <v>156</v>
      </c>
      <c r="P10696" s="2" t="s">
        <v>65382</v>
      </c>
      <c r="Q10696" s="2" t="s">
        <v>31</v>
      </c>
      <c r="R10696" s="2" t="s">
        <v>64</v>
      </c>
      <c r="S10696" s="4" t="s">
        <v>2463</v>
      </c>
      <c r="T10696" s="2" t="s">
        <v>66</v>
      </c>
      <c r="U10696" s="4" t="s">
        <v>31</v>
      </c>
      <c r="V10696" s="2" t="s">
        <v>65773</v>
      </c>
      <c r="W10696" s="2" t="s">
        <v>65774</v>
      </c>
      <c r="X10696" s="5" t="str">
        <f>HYPERLINK("https://my.pitchbook.com?p=180249-49P","View People Online")</f>
        <v>View People Online</v>
      </c>
    </row>
    <row r="10697">
      <c r="A10697" s="14" t="s">
        <v>65775</v>
      </c>
      <c r="B10697" s="14" t="s">
        <v>65776</v>
      </c>
      <c r="C10697" s="14" t="s">
        <v>23747</v>
      </c>
      <c r="D10697" s="14" t="s">
        <v>55</v>
      </c>
      <c r="E10697" s="14" t="s">
        <v>65377</v>
      </c>
      <c r="F10697" s="14" t="s">
        <v>65777</v>
      </c>
      <c r="G10697" s="14" t="s">
        <v>65778</v>
      </c>
      <c r="H10697" s="15" t="s">
        <v>31</v>
      </c>
      <c r="I10697" s="15">
        <v>1.0</v>
      </c>
      <c r="J10697" s="15">
        <v>1.0</v>
      </c>
      <c r="K10697" s="15" t="s">
        <v>31</v>
      </c>
      <c r="L10697" s="16" t="s">
        <v>31</v>
      </c>
      <c r="M10697" s="14" t="s">
        <v>65779</v>
      </c>
      <c r="N10697" s="14" t="s">
        <v>155</v>
      </c>
      <c r="O10697" s="16" t="s">
        <v>156</v>
      </c>
      <c r="P10697" s="14" t="s">
        <v>65382</v>
      </c>
      <c r="Q10697" s="14" t="s">
        <v>31</v>
      </c>
      <c r="R10697" s="14" t="s">
        <v>64</v>
      </c>
      <c r="S10697" s="16" t="s">
        <v>2463</v>
      </c>
      <c r="T10697" s="14" t="s">
        <v>66</v>
      </c>
      <c r="U10697" s="16" t="s">
        <v>31</v>
      </c>
      <c r="V10697" s="14" t="s">
        <v>65777</v>
      </c>
      <c r="W10697" s="14" t="s">
        <v>65377</v>
      </c>
      <c r="X10697" s="17" t="str">
        <f>HYPERLINK("https://my.pitchbook.com?p=184200-58P","View People Online")</f>
        <v>View People Online</v>
      </c>
    </row>
    <row r="10698">
      <c r="A10698" s="10" t="s">
        <v>65780</v>
      </c>
      <c r="B10698" s="10" t="s">
        <v>65781</v>
      </c>
      <c r="C10698" s="10" t="s">
        <v>65782</v>
      </c>
      <c r="D10698" s="10" t="s">
        <v>65783</v>
      </c>
      <c r="E10698" s="10" t="s">
        <v>65377</v>
      </c>
      <c r="F10698" s="10" t="s">
        <v>34800</v>
      </c>
      <c r="G10698" s="10" t="s">
        <v>65784</v>
      </c>
      <c r="H10698" s="11" t="s">
        <v>31</v>
      </c>
      <c r="I10698" s="11">
        <v>1.0</v>
      </c>
      <c r="J10698" s="11">
        <v>1.0</v>
      </c>
      <c r="K10698" s="11" t="s">
        <v>31</v>
      </c>
      <c r="L10698" s="12" t="s">
        <v>31</v>
      </c>
      <c r="M10698" s="10" t="s">
        <v>65785</v>
      </c>
      <c r="N10698" s="10" t="s">
        <v>155</v>
      </c>
      <c r="O10698" s="12" t="s">
        <v>156</v>
      </c>
      <c r="P10698" s="10" t="s">
        <v>65382</v>
      </c>
      <c r="Q10698" s="10" t="s">
        <v>31</v>
      </c>
      <c r="R10698" s="10" t="s">
        <v>64</v>
      </c>
      <c r="S10698" s="12" t="s">
        <v>2463</v>
      </c>
      <c r="T10698" s="10" t="s">
        <v>66</v>
      </c>
      <c r="U10698" s="12" t="s">
        <v>31</v>
      </c>
      <c r="V10698" s="10" t="s">
        <v>65786</v>
      </c>
      <c r="W10698" s="10" t="s">
        <v>65377</v>
      </c>
      <c r="X10698" s="13" t="str">
        <f>HYPERLINK("https://my.pitchbook.com?p=37949-05P","View People Online")</f>
        <v>View People Online</v>
      </c>
    </row>
    <row r="10699">
      <c r="A10699" s="14" t="s">
        <v>65787</v>
      </c>
      <c r="B10699" s="14" t="s">
        <v>65788</v>
      </c>
      <c r="C10699" s="14" t="s">
        <v>65789</v>
      </c>
      <c r="D10699" s="14" t="s">
        <v>65790</v>
      </c>
      <c r="E10699" s="14" t="s">
        <v>65377</v>
      </c>
      <c r="F10699" s="14" t="s">
        <v>1801</v>
      </c>
      <c r="G10699" s="14" t="s">
        <v>65791</v>
      </c>
      <c r="H10699" s="15" t="s">
        <v>31</v>
      </c>
      <c r="I10699" s="15">
        <v>1.0</v>
      </c>
      <c r="J10699" s="15">
        <v>1.0</v>
      </c>
      <c r="K10699" s="15" t="s">
        <v>31</v>
      </c>
      <c r="L10699" s="16" t="s">
        <v>65792</v>
      </c>
      <c r="M10699" s="14" t="s">
        <v>65793</v>
      </c>
      <c r="N10699" s="14" t="s">
        <v>1416</v>
      </c>
      <c r="O10699" s="16" t="s">
        <v>1417</v>
      </c>
      <c r="P10699" s="14" t="s">
        <v>65794</v>
      </c>
      <c r="Q10699" s="14" t="s">
        <v>65795</v>
      </c>
      <c r="R10699" s="14" t="s">
        <v>1420</v>
      </c>
      <c r="S10699" s="16" t="s">
        <v>6302</v>
      </c>
      <c r="T10699" s="14" t="s">
        <v>66</v>
      </c>
      <c r="U10699" s="16" t="s">
        <v>31</v>
      </c>
      <c r="V10699" s="14" t="s">
        <v>65796</v>
      </c>
      <c r="W10699" s="14" t="s">
        <v>65377</v>
      </c>
      <c r="X10699" s="17" t="str">
        <f>HYPERLINK("https://my.pitchbook.com?p=384752-08P","View People Online")</f>
        <v>View People Online</v>
      </c>
    </row>
    <row r="10700">
      <c r="A10700" s="2" t="s">
        <v>65797</v>
      </c>
      <c r="B10700" s="2" t="s">
        <v>65798</v>
      </c>
      <c r="C10700" s="2" t="s">
        <v>323</v>
      </c>
      <c r="D10700" s="2" t="s">
        <v>65799</v>
      </c>
      <c r="E10700" s="2" t="s">
        <v>65377</v>
      </c>
      <c r="F10700" s="2" t="s">
        <v>8622</v>
      </c>
      <c r="G10700" s="2" t="s">
        <v>65800</v>
      </c>
      <c r="H10700" s="3">
        <v>1.0</v>
      </c>
      <c r="I10700" s="3">
        <v>2.0</v>
      </c>
      <c r="J10700" s="3">
        <v>1.0</v>
      </c>
      <c r="K10700" s="3">
        <v>1.0</v>
      </c>
      <c r="L10700" s="4" t="s">
        <v>65402</v>
      </c>
      <c r="M10700" s="2" t="s">
        <v>65801</v>
      </c>
      <c r="N10700" s="2" t="s">
        <v>75</v>
      </c>
      <c r="O10700" s="4" t="s">
        <v>76</v>
      </c>
      <c r="P10700" s="2" t="s">
        <v>65404</v>
      </c>
      <c r="Q10700" s="2" t="s">
        <v>31</v>
      </c>
      <c r="R10700" s="2" t="s">
        <v>75</v>
      </c>
      <c r="S10700" s="4" t="s">
        <v>57992</v>
      </c>
      <c r="T10700" s="2" t="s">
        <v>66</v>
      </c>
      <c r="U10700" s="4" t="s">
        <v>31</v>
      </c>
      <c r="V10700" s="2" t="s">
        <v>65802</v>
      </c>
      <c r="W10700" s="2" t="s">
        <v>65377</v>
      </c>
      <c r="X10700" s="5" t="str">
        <f>HYPERLINK("https://my.pitchbook.com?p=40405-15P","View People Online")</f>
        <v>View People Online</v>
      </c>
    </row>
    <row r="10701">
      <c r="A10701" s="6" t="s">
        <v>65803</v>
      </c>
      <c r="B10701" s="6" t="s">
        <v>65804</v>
      </c>
      <c r="C10701" s="6" t="s">
        <v>323</v>
      </c>
      <c r="D10701" s="6" t="s">
        <v>43700</v>
      </c>
      <c r="E10701" s="6" t="s">
        <v>65377</v>
      </c>
      <c r="F10701" s="6" t="s">
        <v>312</v>
      </c>
      <c r="G10701" s="6" t="s">
        <v>65805</v>
      </c>
      <c r="H10701" s="7" t="s">
        <v>31</v>
      </c>
      <c r="I10701" s="7">
        <v>1.0</v>
      </c>
      <c r="J10701" s="7">
        <v>1.0</v>
      </c>
      <c r="K10701" s="7" t="s">
        <v>31</v>
      </c>
      <c r="L10701" s="8" t="s">
        <v>31</v>
      </c>
      <c r="M10701" s="6" t="s">
        <v>65806</v>
      </c>
      <c r="N10701" s="6" t="s">
        <v>155</v>
      </c>
      <c r="O10701" s="8" t="s">
        <v>156</v>
      </c>
      <c r="P10701" s="6" t="s">
        <v>65382</v>
      </c>
      <c r="Q10701" s="6" t="s">
        <v>31</v>
      </c>
      <c r="R10701" s="6" t="s">
        <v>64</v>
      </c>
      <c r="S10701" s="8" t="s">
        <v>2463</v>
      </c>
      <c r="T10701" s="6" t="s">
        <v>66</v>
      </c>
      <c r="U10701" s="8" t="s">
        <v>31</v>
      </c>
      <c r="V10701" s="6" t="s">
        <v>312</v>
      </c>
      <c r="W10701" s="6" t="s">
        <v>65377</v>
      </c>
      <c r="X10701" s="9" t="str">
        <f>HYPERLINK("https://my.pitchbook.com?p=384669-19P","View People Online")</f>
        <v>View People Online</v>
      </c>
    </row>
    <row r="10702">
      <c r="A10702" s="10" t="s">
        <v>65807</v>
      </c>
      <c r="B10702" s="10" t="s">
        <v>65808</v>
      </c>
      <c r="C10702" s="10" t="s">
        <v>323</v>
      </c>
      <c r="D10702" s="10" t="s">
        <v>65809</v>
      </c>
      <c r="E10702" s="10" t="s">
        <v>65377</v>
      </c>
      <c r="F10702" s="10" t="s">
        <v>10762</v>
      </c>
      <c r="G10702" s="10" t="s">
        <v>65810</v>
      </c>
      <c r="H10702" s="11" t="s">
        <v>31</v>
      </c>
      <c r="I10702" s="11">
        <v>1.0</v>
      </c>
      <c r="J10702" s="11">
        <v>1.0</v>
      </c>
      <c r="K10702" s="11" t="s">
        <v>31</v>
      </c>
      <c r="L10702" s="12" t="s">
        <v>31</v>
      </c>
      <c r="M10702" s="10" t="s">
        <v>65811</v>
      </c>
      <c r="N10702" s="10" t="s">
        <v>155</v>
      </c>
      <c r="O10702" s="12" t="s">
        <v>156</v>
      </c>
      <c r="P10702" s="10" t="s">
        <v>65382</v>
      </c>
      <c r="Q10702" s="10" t="s">
        <v>31</v>
      </c>
      <c r="R10702" s="10" t="s">
        <v>64</v>
      </c>
      <c r="S10702" s="12" t="s">
        <v>2463</v>
      </c>
      <c r="T10702" s="10" t="s">
        <v>66</v>
      </c>
      <c r="U10702" s="12" t="s">
        <v>31</v>
      </c>
      <c r="V10702" s="10" t="s">
        <v>65812</v>
      </c>
      <c r="W10702" s="10" t="s">
        <v>65377</v>
      </c>
      <c r="X10702" s="13" t="str">
        <f>HYPERLINK("https://my.pitchbook.com?p=387171-73P","View People Online")</f>
        <v>View People Online</v>
      </c>
    </row>
    <row r="10703">
      <c r="A10703" s="6" t="s">
        <v>65813</v>
      </c>
      <c r="B10703" s="6" t="s">
        <v>65814</v>
      </c>
      <c r="C10703" s="6" t="s">
        <v>8106</v>
      </c>
      <c r="D10703" s="6" t="s">
        <v>65815</v>
      </c>
      <c r="E10703" s="6" t="s">
        <v>65377</v>
      </c>
      <c r="F10703" s="6" t="s">
        <v>825</v>
      </c>
      <c r="G10703" s="6" t="s">
        <v>65816</v>
      </c>
      <c r="H10703" s="7" t="s">
        <v>31</v>
      </c>
      <c r="I10703" s="7">
        <v>1.0</v>
      </c>
      <c r="J10703" s="7">
        <v>1.0</v>
      </c>
      <c r="K10703" s="7" t="s">
        <v>31</v>
      </c>
      <c r="L10703" s="8" t="s">
        <v>31</v>
      </c>
      <c r="M10703" s="6" t="s">
        <v>65817</v>
      </c>
      <c r="N10703" s="6" t="s">
        <v>155</v>
      </c>
      <c r="O10703" s="8" t="s">
        <v>156</v>
      </c>
      <c r="P10703" s="6" t="s">
        <v>65382</v>
      </c>
      <c r="Q10703" s="6" t="s">
        <v>31</v>
      </c>
      <c r="R10703" s="6" t="s">
        <v>64</v>
      </c>
      <c r="S10703" s="8" t="s">
        <v>2463</v>
      </c>
      <c r="T10703" s="6" t="s">
        <v>66</v>
      </c>
      <c r="U10703" s="8" t="s">
        <v>31</v>
      </c>
      <c r="V10703" s="6" t="s">
        <v>65818</v>
      </c>
      <c r="W10703" s="6" t="s">
        <v>65377</v>
      </c>
      <c r="X10703" s="9" t="str">
        <f>HYPERLINK("https://my.pitchbook.com?p=434588-41P","View People Online")</f>
        <v>View People Online</v>
      </c>
    </row>
    <row r="10704">
      <c r="A10704" s="2" t="s">
        <v>65819</v>
      </c>
      <c r="B10704" s="2" t="s">
        <v>65820</v>
      </c>
      <c r="C10704" s="2" t="s">
        <v>98</v>
      </c>
      <c r="D10704" s="2" t="s">
        <v>65821</v>
      </c>
      <c r="E10704" s="2" t="s">
        <v>65377</v>
      </c>
      <c r="F10704" s="2" t="s">
        <v>470</v>
      </c>
      <c r="G10704" s="2" t="s">
        <v>65822</v>
      </c>
      <c r="H10704" s="3" t="s">
        <v>31</v>
      </c>
      <c r="I10704" s="3">
        <v>1.0</v>
      </c>
      <c r="J10704" s="3">
        <v>1.0</v>
      </c>
      <c r="K10704" s="3" t="s">
        <v>31</v>
      </c>
      <c r="L10704" s="4" t="s">
        <v>31</v>
      </c>
      <c r="M10704" s="2" t="s">
        <v>65823</v>
      </c>
      <c r="N10704" s="2" t="s">
        <v>155</v>
      </c>
      <c r="O10704" s="4" t="s">
        <v>156</v>
      </c>
      <c r="P10704" s="2" t="s">
        <v>65382</v>
      </c>
      <c r="Q10704" s="2" t="s">
        <v>31</v>
      </c>
      <c r="R10704" s="2" t="s">
        <v>64</v>
      </c>
      <c r="S10704" s="4" t="s">
        <v>2463</v>
      </c>
      <c r="T10704" s="2" t="s">
        <v>66</v>
      </c>
      <c r="U10704" s="4" t="s">
        <v>31</v>
      </c>
      <c r="V10704" s="2" t="s">
        <v>470</v>
      </c>
      <c r="W10704" s="2" t="s">
        <v>65377</v>
      </c>
      <c r="X10704" s="5" t="str">
        <f>HYPERLINK("https://my.pitchbook.com?p=81086-86P","View People Online")</f>
        <v>View People Online</v>
      </c>
    </row>
    <row r="10705">
      <c r="A10705" s="14" t="s">
        <v>65824</v>
      </c>
      <c r="B10705" s="14" t="s">
        <v>65825</v>
      </c>
      <c r="C10705" s="14" t="s">
        <v>8834</v>
      </c>
      <c r="D10705" s="14" t="s">
        <v>65826</v>
      </c>
      <c r="E10705" s="14" t="s">
        <v>65377</v>
      </c>
      <c r="F10705" s="14" t="s">
        <v>45312</v>
      </c>
      <c r="G10705" s="14" t="s">
        <v>65827</v>
      </c>
      <c r="H10705" s="15" t="s">
        <v>31</v>
      </c>
      <c r="I10705" s="15">
        <v>1.0</v>
      </c>
      <c r="J10705" s="15">
        <v>1.0</v>
      </c>
      <c r="K10705" s="15" t="s">
        <v>31</v>
      </c>
      <c r="L10705" s="16" t="s">
        <v>65828</v>
      </c>
      <c r="M10705" s="14" t="s">
        <v>65829</v>
      </c>
      <c r="N10705" s="14" t="s">
        <v>7690</v>
      </c>
      <c r="O10705" s="16" t="s">
        <v>7691</v>
      </c>
      <c r="P10705" s="14" t="s">
        <v>65830</v>
      </c>
      <c r="Q10705" s="14" t="s">
        <v>3928</v>
      </c>
      <c r="R10705" s="14" t="s">
        <v>7693</v>
      </c>
      <c r="S10705" s="16" t="s">
        <v>65831</v>
      </c>
      <c r="T10705" s="14" t="s">
        <v>66</v>
      </c>
      <c r="U10705" s="16" t="s">
        <v>31</v>
      </c>
      <c r="V10705" s="14" t="s">
        <v>65832</v>
      </c>
      <c r="W10705" s="14" t="s">
        <v>65377</v>
      </c>
      <c r="X10705" s="17" t="str">
        <f>HYPERLINK("https://my.pitchbook.com?p=187512-13P","View People Online")</f>
        <v>View People Online</v>
      </c>
    </row>
    <row r="10706">
      <c r="A10706" s="10" t="s">
        <v>65833</v>
      </c>
      <c r="B10706" s="10" t="s">
        <v>65834</v>
      </c>
      <c r="C10706" s="10" t="s">
        <v>8834</v>
      </c>
      <c r="D10706" s="10" t="s">
        <v>12799</v>
      </c>
      <c r="E10706" s="10" t="s">
        <v>65377</v>
      </c>
      <c r="F10706" s="10" t="s">
        <v>371</v>
      </c>
      <c r="G10706" s="10" t="s">
        <v>65835</v>
      </c>
      <c r="H10706" s="11" t="s">
        <v>31</v>
      </c>
      <c r="I10706" s="11">
        <v>1.0</v>
      </c>
      <c r="J10706" s="11">
        <v>1.0</v>
      </c>
      <c r="K10706" s="11" t="s">
        <v>31</v>
      </c>
      <c r="L10706" s="12" t="s">
        <v>65402</v>
      </c>
      <c r="M10706" s="10" t="s">
        <v>65836</v>
      </c>
      <c r="N10706" s="10" t="s">
        <v>18812</v>
      </c>
      <c r="O10706" s="12" t="s">
        <v>18813</v>
      </c>
      <c r="P10706" s="10" t="s">
        <v>65516</v>
      </c>
      <c r="Q10706" s="10" t="s">
        <v>31</v>
      </c>
      <c r="R10706" s="10" t="s">
        <v>18816</v>
      </c>
      <c r="S10706" s="12" t="s">
        <v>65517</v>
      </c>
      <c r="T10706" s="10" t="s">
        <v>66</v>
      </c>
      <c r="U10706" s="12" t="s">
        <v>31</v>
      </c>
      <c r="V10706" s="10" t="s">
        <v>2974</v>
      </c>
      <c r="W10706" s="10" t="s">
        <v>65377</v>
      </c>
      <c r="X10706" s="13" t="str">
        <f>HYPERLINK("https://my.pitchbook.com?p=31965-85P","View People Online")</f>
        <v>View People Online</v>
      </c>
    </row>
    <row r="10707">
      <c r="A10707" s="6" t="s">
        <v>65837</v>
      </c>
      <c r="B10707" s="6" t="s">
        <v>65838</v>
      </c>
      <c r="C10707" s="6" t="s">
        <v>65839</v>
      </c>
      <c r="D10707" s="6" t="s">
        <v>4937</v>
      </c>
      <c r="E10707" s="6" t="s">
        <v>65377</v>
      </c>
      <c r="F10707" s="6" t="s">
        <v>825</v>
      </c>
      <c r="G10707" s="6" t="s">
        <v>65840</v>
      </c>
      <c r="H10707" s="7" t="s">
        <v>31</v>
      </c>
      <c r="I10707" s="7">
        <v>1.0</v>
      </c>
      <c r="J10707" s="7">
        <v>1.0</v>
      </c>
      <c r="K10707" s="7" t="s">
        <v>31</v>
      </c>
      <c r="L10707" s="8" t="s">
        <v>31</v>
      </c>
      <c r="M10707" s="6" t="s">
        <v>65841</v>
      </c>
      <c r="N10707" s="6" t="s">
        <v>155</v>
      </c>
      <c r="O10707" s="8" t="s">
        <v>156</v>
      </c>
      <c r="P10707" s="6" t="s">
        <v>65382</v>
      </c>
      <c r="Q10707" s="6" t="s">
        <v>31</v>
      </c>
      <c r="R10707" s="6" t="s">
        <v>64</v>
      </c>
      <c r="S10707" s="8" t="s">
        <v>2463</v>
      </c>
      <c r="T10707" s="6" t="s">
        <v>66</v>
      </c>
      <c r="U10707" s="8" t="s">
        <v>31</v>
      </c>
      <c r="V10707" s="6" t="s">
        <v>65842</v>
      </c>
      <c r="W10707" s="6" t="s">
        <v>65377</v>
      </c>
      <c r="X10707" s="9" t="str">
        <f>HYPERLINK("https://my.pitchbook.com?p=243642-52P","View People Online")</f>
        <v>View People Online</v>
      </c>
    </row>
    <row r="10708">
      <c r="A10708" s="2" t="s">
        <v>65843</v>
      </c>
      <c r="B10708" s="2" t="s">
        <v>65844</v>
      </c>
      <c r="C10708" s="2" t="s">
        <v>16740</v>
      </c>
      <c r="D10708" s="2" t="s">
        <v>7941</v>
      </c>
      <c r="E10708" s="2" t="s">
        <v>65377</v>
      </c>
      <c r="F10708" s="2" t="s">
        <v>2652</v>
      </c>
      <c r="G10708" s="2" t="s">
        <v>65845</v>
      </c>
      <c r="H10708" s="3" t="s">
        <v>31</v>
      </c>
      <c r="I10708" s="3">
        <v>2.0</v>
      </c>
      <c r="J10708" s="3">
        <v>1.0</v>
      </c>
      <c r="K10708" s="3">
        <v>1.0</v>
      </c>
      <c r="L10708" s="4" t="s">
        <v>31</v>
      </c>
      <c r="M10708" s="2" t="s">
        <v>65846</v>
      </c>
      <c r="N10708" s="2" t="s">
        <v>155</v>
      </c>
      <c r="O10708" s="4" t="s">
        <v>156</v>
      </c>
      <c r="P10708" s="2" t="s">
        <v>65382</v>
      </c>
      <c r="Q10708" s="2" t="s">
        <v>31</v>
      </c>
      <c r="R10708" s="2" t="s">
        <v>64</v>
      </c>
      <c r="S10708" s="4" t="s">
        <v>2463</v>
      </c>
      <c r="T10708" s="2" t="s">
        <v>66</v>
      </c>
      <c r="U10708" s="4" t="s">
        <v>31</v>
      </c>
      <c r="V10708" s="2" t="s">
        <v>65847</v>
      </c>
      <c r="W10708" s="2" t="s">
        <v>65377</v>
      </c>
      <c r="X10708" s="5" t="str">
        <f>HYPERLINK("https://my.pitchbook.com?p=29199-79P","View People Online")</f>
        <v>View People Online</v>
      </c>
    </row>
    <row r="10709">
      <c r="A10709" s="6" t="s">
        <v>65848</v>
      </c>
      <c r="B10709" s="6" t="s">
        <v>65849</v>
      </c>
      <c r="C10709" s="6" t="s">
        <v>4332</v>
      </c>
      <c r="D10709" s="6" t="s">
        <v>65850</v>
      </c>
      <c r="E10709" s="6" t="s">
        <v>65377</v>
      </c>
      <c r="F10709" s="6" t="s">
        <v>1801</v>
      </c>
      <c r="G10709" s="6" t="s">
        <v>65851</v>
      </c>
      <c r="H10709" s="7" t="s">
        <v>31</v>
      </c>
      <c r="I10709" s="7">
        <v>1.0</v>
      </c>
      <c r="J10709" s="7">
        <v>1.0</v>
      </c>
      <c r="K10709" s="7" t="s">
        <v>31</v>
      </c>
      <c r="L10709" s="8" t="s">
        <v>31</v>
      </c>
      <c r="M10709" s="6" t="s">
        <v>65852</v>
      </c>
      <c r="N10709" s="6" t="s">
        <v>155</v>
      </c>
      <c r="O10709" s="8" t="s">
        <v>156</v>
      </c>
      <c r="P10709" s="6" t="s">
        <v>65382</v>
      </c>
      <c r="Q10709" s="6" t="s">
        <v>31</v>
      </c>
      <c r="R10709" s="6" t="s">
        <v>64</v>
      </c>
      <c r="S10709" s="8" t="s">
        <v>2463</v>
      </c>
      <c r="T10709" s="6" t="s">
        <v>66</v>
      </c>
      <c r="U10709" s="8" t="s">
        <v>31</v>
      </c>
      <c r="V10709" s="6" t="s">
        <v>65853</v>
      </c>
      <c r="W10709" s="6" t="s">
        <v>65377</v>
      </c>
      <c r="X10709" s="9" t="str">
        <f>HYPERLINK("https://my.pitchbook.com?p=383984-02P","View People Online")</f>
        <v>View People Online</v>
      </c>
    </row>
    <row r="10710">
      <c r="A10710" s="2" t="s">
        <v>65854</v>
      </c>
      <c r="B10710" s="2" t="s">
        <v>65855</v>
      </c>
      <c r="C10710" s="2" t="s">
        <v>3811</v>
      </c>
      <c r="D10710" s="2" t="s">
        <v>25402</v>
      </c>
      <c r="E10710" s="2" t="s">
        <v>65377</v>
      </c>
      <c r="F10710" s="2" t="s">
        <v>312</v>
      </c>
      <c r="G10710" s="2" t="s">
        <v>65856</v>
      </c>
      <c r="H10710" s="3" t="s">
        <v>31</v>
      </c>
      <c r="I10710" s="3">
        <v>2.0</v>
      </c>
      <c r="J10710" s="3">
        <v>2.0</v>
      </c>
      <c r="K10710" s="3" t="s">
        <v>31</v>
      </c>
      <c r="L10710" s="4" t="s">
        <v>65857</v>
      </c>
      <c r="M10710" s="2" t="s">
        <v>65858</v>
      </c>
      <c r="N10710" s="2" t="s">
        <v>986</v>
      </c>
      <c r="O10710" s="4" t="s">
        <v>987</v>
      </c>
      <c r="P10710" s="2" t="s">
        <v>65859</v>
      </c>
      <c r="Q10710" s="2" t="s">
        <v>989</v>
      </c>
      <c r="R10710" s="2" t="s">
        <v>64</v>
      </c>
      <c r="S10710" s="4" t="s">
        <v>58728</v>
      </c>
      <c r="T10710" s="2" t="s">
        <v>66</v>
      </c>
      <c r="U10710" s="4" t="s">
        <v>31</v>
      </c>
      <c r="V10710" s="2" t="s">
        <v>312</v>
      </c>
      <c r="W10710" s="2" t="s">
        <v>65377</v>
      </c>
      <c r="X10710" s="5" t="str">
        <f>HYPERLINK("https://my.pitchbook.com?p=82939-24P","View People Online")</f>
        <v>View People Online</v>
      </c>
    </row>
    <row r="10711">
      <c r="A10711" s="14" t="s">
        <v>65860</v>
      </c>
      <c r="B10711" s="14" t="s">
        <v>65861</v>
      </c>
      <c r="C10711" s="14" t="s">
        <v>1471</v>
      </c>
      <c r="D10711" s="14" t="s">
        <v>65862</v>
      </c>
      <c r="E10711" s="14" t="s">
        <v>65377</v>
      </c>
      <c r="F10711" s="14" t="s">
        <v>548</v>
      </c>
      <c r="G10711" s="14" t="s">
        <v>65863</v>
      </c>
      <c r="H10711" s="15" t="s">
        <v>31</v>
      </c>
      <c r="I10711" s="15">
        <v>1.0</v>
      </c>
      <c r="J10711" s="15">
        <v>1.0</v>
      </c>
      <c r="K10711" s="15" t="s">
        <v>31</v>
      </c>
      <c r="L10711" s="16" t="s">
        <v>65864</v>
      </c>
      <c r="M10711" s="14" t="s">
        <v>65865</v>
      </c>
      <c r="N10711" s="14" t="s">
        <v>1277</v>
      </c>
      <c r="O10711" s="16" t="s">
        <v>1278</v>
      </c>
      <c r="P10711" s="14" t="s">
        <v>65866</v>
      </c>
      <c r="Q10711" s="14" t="s">
        <v>31</v>
      </c>
      <c r="R10711" s="14" t="s">
        <v>1281</v>
      </c>
      <c r="S10711" s="16" t="s">
        <v>37039</v>
      </c>
      <c r="T10711" s="14" t="s">
        <v>66</v>
      </c>
      <c r="U10711" s="16" t="s">
        <v>31</v>
      </c>
      <c r="V10711" s="14" t="s">
        <v>65867</v>
      </c>
      <c r="W10711" s="14" t="s">
        <v>65377</v>
      </c>
      <c r="X10711" s="17" t="str">
        <f>HYPERLINK("https://my.pitchbook.com?p=131375-98P","View People Online")</f>
        <v>View People Online</v>
      </c>
    </row>
    <row r="10712">
      <c r="A10712" s="10" t="s">
        <v>65868</v>
      </c>
      <c r="B10712" s="10" t="s">
        <v>65869</v>
      </c>
      <c r="C10712" s="10" t="s">
        <v>1471</v>
      </c>
      <c r="D10712" s="10" t="s">
        <v>5555</v>
      </c>
      <c r="E10712" s="10" t="s">
        <v>65377</v>
      </c>
      <c r="F10712" s="10" t="s">
        <v>81</v>
      </c>
      <c r="G10712" s="10" t="s">
        <v>65870</v>
      </c>
      <c r="H10712" s="11" t="s">
        <v>31</v>
      </c>
      <c r="I10712" s="11">
        <v>1.0</v>
      </c>
      <c r="J10712" s="11">
        <v>1.0</v>
      </c>
      <c r="K10712" s="11" t="s">
        <v>31</v>
      </c>
      <c r="L10712" s="12" t="s">
        <v>31</v>
      </c>
      <c r="M10712" s="10" t="s">
        <v>65871</v>
      </c>
      <c r="N10712" s="10" t="s">
        <v>155</v>
      </c>
      <c r="O10712" s="12" t="s">
        <v>156</v>
      </c>
      <c r="P10712" s="10" t="s">
        <v>65382</v>
      </c>
      <c r="Q10712" s="10" t="s">
        <v>31</v>
      </c>
      <c r="R10712" s="10" t="s">
        <v>64</v>
      </c>
      <c r="S10712" s="12" t="s">
        <v>2463</v>
      </c>
      <c r="T10712" s="10" t="s">
        <v>66</v>
      </c>
      <c r="U10712" s="12" t="s">
        <v>31</v>
      </c>
      <c r="V10712" s="10" t="s">
        <v>65872</v>
      </c>
      <c r="W10712" s="10" t="s">
        <v>65377</v>
      </c>
      <c r="X10712" s="13" t="str">
        <f>HYPERLINK("https://my.pitchbook.com?p=276643-45P","View People Online")</f>
        <v>View People Online</v>
      </c>
    </row>
    <row r="10713">
      <c r="A10713" s="6" t="s">
        <v>65873</v>
      </c>
      <c r="B10713" s="6" t="s">
        <v>65874</v>
      </c>
      <c r="C10713" s="6" t="s">
        <v>4345</v>
      </c>
      <c r="D10713" s="6" t="s">
        <v>16220</v>
      </c>
      <c r="E10713" s="6" t="s">
        <v>65377</v>
      </c>
      <c r="F10713" s="6" t="s">
        <v>548</v>
      </c>
      <c r="G10713" s="6" t="s">
        <v>65875</v>
      </c>
      <c r="H10713" s="7" t="s">
        <v>31</v>
      </c>
      <c r="I10713" s="7">
        <v>1.0</v>
      </c>
      <c r="J10713" s="7">
        <v>1.0</v>
      </c>
      <c r="K10713" s="7" t="s">
        <v>31</v>
      </c>
      <c r="L10713" s="8" t="s">
        <v>31</v>
      </c>
      <c r="M10713" s="6" t="s">
        <v>65876</v>
      </c>
      <c r="N10713" s="6" t="s">
        <v>155</v>
      </c>
      <c r="O10713" s="8" t="s">
        <v>156</v>
      </c>
      <c r="P10713" s="6" t="s">
        <v>65382</v>
      </c>
      <c r="Q10713" s="6" t="s">
        <v>31</v>
      </c>
      <c r="R10713" s="6" t="s">
        <v>64</v>
      </c>
      <c r="S10713" s="8" t="s">
        <v>2463</v>
      </c>
      <c r="T10713" s="6" t="s">
        <v>66</v>
      </c>
      <c r="U10713" s="8" t="s">
        <v>31</v>
      </c>
      <c r="V10713" s="6" t="s">
        <v>65877</v>
      </c>
      <c r="W10713" s="6" t="s">
        <v>65377</v>
      </c>
      <c r="X10713" s="9" t="str">
        <f>HYPERLINK("https://my.pitchbook.com?p=184902-31P","View People Online")</f>
        <v>View People Online</v>
      </c>
    </row>
    <row r="10714">
      <c r="A10714" s="2" t="s">
        <v>65878</v>
      </c>
      <c r="B10714" s="2" t="s">
        <v>65879</v>
      </c>
      <c r="C10714" s="2" t="s">
        <v>8234</v>
      </c>
      <c r="D10714" s="2" t="s">
        <v>65880</v>
      </c>
      <c r="E10714" s="2" t="s">
        <v>65377</v>
      </c>
      <c r="F10714" s="2" t="s">
        <v>1283</v>
      </c>
      <c r="G10714" s="2" t="s">
        <v>65881</v>
      </c>
      <c r="H10714" s="3" t="s">
        <v>31</v>
      </c>
      <c r="I10714" s="3">
        <v>1.0</v>
      </c>
      <c r="J10714" s="3">
        <v>1.0</v>
      </c>
      <c r="K10714" s="3" t="s">
        <v>31</v>
      </c>
      <c r="L10714" s="4" t="s">
        <v>31</v>
      </c>
      <c r="M10714" s="2" t="s">
        <v>65882</v>
      </c>
      <c r="N10714" s="2" t="s">
        <v>155</v>
      </c>
      <c r="O10714" s="4" t="s">
        <v>156</v>
      </c>
      <c r="P10714" s="2" t="s">
        <v>65382</v>
      </c>
      <c r="Q10714" s="2" t="s">
        <v>31</v>
      </c>
      <c r="R10714" s="2" t="s">
        <v>64</v>
      </c>
      <c r="S10714" s="4" t="s">
        <v>2463</v>
      </c>
      <c r="T10714" s="2" t="s">
        <v>66</v>
      </c>
      <c r="U10714" s="4" t="s">
        <v>31</v>
      </c>
      <c r="V10714" s="2" t="s">
        <v>1283</v>
      </c>
      <c r="W10714" s="2" t="s">
        <v>65377</v>
      </c>
      <c r="X10714" s="5" t="str">
        <f>HYPERLINK("https://my.pitchbook.com?p=284073-04P","View People Online")</f>
        <v>View People Online</v>
      </c>
    </row>
    <row r="10715">
      <c r="A10715" s="6" t="s">
        <v>65883</v>
      </c>
      <c r="B10715" s="6" t="s">
        <v>65884</v>
      </c>
      <c r="C10715" s="6" t="s">
        <v>17251</v>
      </c>
      <c r="D10715" s="6" t="s">
        <v>65885</v>
      </c>
      <c r="E10715" s="6" t="s">
        <v>65377</v>
      </c>
      <c r="F10715" s="6" t="s">
        <v>1801</v>
      </c>
      <c r="G10715" s="6" t="s">
        <v>65886</v>
      </c>
      <c r="H10715" s="7" t="s">
        <v>31</v>
      </c>
      <c r="I10715" s="7">
        <v>2.0</v>
      </c>
      <c r="J10715" s="7">
        <v>1.0</v>
      </c>
      <c r="K10715" s="7">
        <v>1.0</v>
      </c>
      <c r="L10715" s="8" t="s">
        <v>31</v>
      </c>
      <c r="M10715" s="6" t="s">
        <v>65887</v>
      </c>
      <c r="N10715" s="6" t="s">
        <v>155</v>
      </c>
      <c r="O10715" s="8" t="s">
        <v>156</v>
      </c>
      <c r="P10715" s="6" t="s">
        <v>65382</v>
      </c>
      <c r="Q10715" s="6" t="s">
        <v>31</v>
      </c>
      <c r="R10715" s="6" t="s">
        <v>64</v>
      </c>
      <c r="S10715" s="8" t="s">
        <v>2463</v>
      </c>
      <c r="T10715" s="6" t="s">
        <v>66</v>
      </c>
      <c r="U10715" s="8" t="s">
        <v>31</v>
      </c>
      <c r="V10715" s="6" t="s">
        <v>65853</v>
      </c>
      <c r="W10715" s="6" t="s">
        <v>65377</v>
      </c>
      <c r="X10715" s="9" t="str">
        <f>HYPERLINK("https://my.pitchbook.com?p=345954-34P","View People Online")</f>
        <v>View People Online</v>
      </c>
    </row>
    <row r="10716">
      <c r="A10716" s="2" t="s">
        <v>65888</v>
      </c>
      <c r="B10716" s="2" t="s">
        <v>65889</v>
      </c>
      <c r="C10716" s="2" t="s">
        <v>823</v>
      </c>
      <c r="D10716" s="2" t="s">
        <v>65890</v>
      </c>
      <c r="E10716" s="2" t="s">
        <v>65377</v>
      </c>
      <c r="F10716" s="2" t="s">
        <v>7608</v>
      </c>
      <c r="G10716" s="2" t="s">
        <v>65891</v>
      </c>
      <c r="H10716" s="3" t="s">
        <v>31</v>
      </c>
      <c r="I10716" s="3">
        <v>1.0</v>
      </c>
      <c r="J10716" s="3">
        <v>1.0</v>
      </c>
      <c r="K10716" s="3" t="s">
        <v>31</v>
      </c>
      <c r="L10716" s="4" t="s">
        <v>65892</v>
      </c>
      <c r="M10716" s="2" t="s">
        <v>65893</v>
      </c>
      <c r="N10716" s="2" t="s">
        <v>155</v>
      </c>
      <c r="O10716" s="4" t="s">
        <v>156</v>
      </c>
      <c r="P10716" s="2" t="s">
        <v>65382</v>
      </c>
      <c r="Q10716" s="2" t="s">
        <v>31</v>
      </c>
      <c r="R10716" s="2" t="s">
        <v>64</v>
      </c>
      <c r="S10716" s="4" t="s">
        <v>2463</v>
      </c>
      <c r="T10716" s="2" t="s">
        <v>66</v>
      </c>
      <c r="U10716" s="4" t="s">
        <v>31</v>
      </c>
      <c r="V10716" s="2" t="s">
        <v>65894</v>
      </c>
      <c r="W10716" s="2" t="s">
        <v>65377</v>
      </c>
      <c r="X10716" s="5" t="str">
        <f>HYPERLINK("https://my.pitchbook.com?p=32022-73P","View People Online")</f>
        <v>View People Online</v>
      </c>
    </row>
    <row r="10717">
      <c r="A10717" s="14" t="s">
        <v>65895</v>
      </c>
      <c r="B10717" s="14" t="s">
        <v>65896</v>
      </c>
      <c r="C10717" s="14" t="s">
        <v>823</v>
      </c>
      <c r="D10717" s="14" t="s">
        <v>9588</v>
      </c>
      <c r="E10717" s="14" t="s">
        <v>65377</v>
      </c>
      <c r="F10717" s="14" t="s">
        <v>1283</v>
      </c>
      <c r="G10717" s="14" t="s">
        <v>65897</v>
      </c>
      <c r="H10717" s="15" t="s">
        <v>31</v>
      </c>
      <c r="I10717" s="15">
        <v>1.0</v>
      </c>
      <c r="J10717" s="15">
        <v>1.0</v>
      </c>
      <c r="K10717" s="15" t="s">
        <v>31</v>
      </c>
      <c r="L10717" s="16" t="s">
        <v>31</v>
      </c>
      <c r="M10717" s="14" t="s">
        <v>65898</v>
      </c>
      <c r="N10717" s="14" t="s">
        <v>155</v>
      </c>
      <c r="O10717" s="16" t="s">
        <v>156</v>
      </c>
      <c r="P10717" s="14" t="s">
        <v>65382</v>
      </c>
      <c r="Q10717" s="14" t="s">
        <v>31</v>
      </c>
      <c r="R10717" s="14" t="s">
        <v>64</v>
      </c>
      <c r="S10717" s="16" t="s">
        <v>2463</v>
      </c>
      <c r="T10717" s="14" t="s">
        <v>66</v>
      </c>
      <c r="U10717" s="16" t="s">
        <v>31</v>
      </c>
      <c r="V10717" s="14" t="s">
        <v>65899</v>
      </c>
      <c r="W10717" s="14" t="s">
        <v>65377</v>
      </c>
      <c r="X10717" s="17" t="str">
        <f>HYPERLINK("https://my.pitchbook.com?p=431732-08P","View People Online")</f>
        <v>View People Online</v>
      </c>
    </row>
    <row r="10718">
      <c r="A10718" s="2" t="s">
        <v>65900</v>
      </c>
      <c r="B10718" s="2" t="s">
        <v>65901</v>
      </c>
      <c r="C10718" s="2" t="s">
        <v>24317</v>
      </c>
      <c r="D10718" s="2" t="s">
        <v>49690</v>
      </c>
      <c r="E10718" s="2" t="s">
        <v>65377</v>
      </c>
      <c r="F10718" s="2" t="s">
        <v>371</v>
      </c>
      <c r="G10718" s="2" t="s">
        <v>65902</v>
      </c>
      <c r="H10718" s="3" t="s">
        <v>31</v>
      </c>
      <c r="I10718" s="3">
        <v>1.0</v>
      </c>
      <c r="J10718" s="3">
        <v>1.0</v>
      </c>
      <c r="K10718" s="3" t="s">
        <v>31</v>
      </c>
      <c r="L10718" s="4" t="s">
        <v>65903</v>
      </c>
      <c r="M10718" s="2" t="s">
        <v>65904</v>
      </c>
      <c r="N10718" s="2" t="s">
        <v>18812</v>
      </c>
      <c r="O10718" s="4" t="s">
        <v>18813</v>
      </c>
      <c r="P10718" s="2" t="s">
        <v>65516</v>
      </c>
      <c r="Q10718" s="2" t="s">
        <v>31</v>
      </c>
      <c r="R10718" s="2" t="s">
        <v>18816</v>
      </c>
      <c r="S10718" s="4" t="s">
        <v>65517</v>
      </c>
      <c r="T10718" s="2" t="s">
        <v>66</v>
      </c>
      <c r="U10718" s="4" t="s">
        <v>31</v>
      </c>
      <c r="V10718" s="2" t="s">
        <v>65905</v>
      </c>
      <c r="W10718" s="2" t="s">
        <v>65377</v>
      </c>
      <c r="X10718" s="5" t="str">
        <f>HYPERLINK("https://my.pitchbook.com?p=184725-64P","View People Online")</f>
        <v>View People Online</v>
      </c>
    </row>
    <row r="10719">
      <c r="A10719" s="6" t="s">
        <v>65906</v>
      </c>
      <c r="B10719" s="6" t="s">
        <v>65907</v>
      </c>
      <c r="C10719" s="6" t="s">
        <v>3529</v>
      </c>
      <c r="D10719" s="6" t="s">
        <v>42733</v>
      </c>
      <c r="E10719" s="6" t="s">
        <v>65377</v>
      </c>
      <c r="F10719" s="6" t="s">
        <v>548</v>
      </c>
      <c r="G10719" s="6" t="s">
        <v>65908</v>
      </c>
      <c r="H10719" s="7" t="s">
        <v>31</v>
      </c>
      <c r="I10719" s="7">
        <v>1.0</v>
      </c>
      <c r="J10719" s="7">
        <v>1.0</v>
      </c>
      <c r="K10719" s="7" t="s">
        <v>31</v>
      </c>
      <c r="L10719" s="8" t="s">
        <v>65402</v>
      </c>
      <c r="M10719" s="6" t="s">
        <v>65909</v>
      </c>
      <c r="N10719" s="6" t="s">
        <v>75</v>
      </c>
      <c r="O10719" s="8" t="s">
        <v>76</v>
      </c>
      <c r="P10719" s="6" t="s">
        <v>65404</v>
      </c>
      <c r="Q10719" s="6" t="s">
        <v>31</v>
      </c>
      <c r="R10719" s="6" t="s">
        <v>75</v>
      </c>
      <c r="S10719" s="8" t="s">
        <v>57992</v>
      </c>
      <c r="T10719" s="6" t="s">
        <v>66</v>
      </c>
      <c r="U10719" s="8" t="s">
        <v>31</v>
      </c>
      <c r="V10719" s="6" t="s">
        <v>65910</v>
      </c>
      <c r="W10719" s="6" t="s">
        <v>65377</v>
      </c>
      <c r="X10719" s="9" t="str">
        <f>HYPERLINK("https://my.pitchbook.com?p=79244-02P","View People Online")</f>
        <v>View People Online</v>
      </c>
    </row>
    <row r="10720">
      <c r="A10720" s="10" t="s">
        <v>65911</v>
      </c>
      <c r="B10720" s="10" t="s">
        <v>65912</v>
      </c>
      <c r="C10720" s="10" t="s">
        <v>3529</v>
      </c>
      <c r="D10720" s="10" t="s">
        <v>65913</v>
      </c>
      <c r="E10720" s="10" t="s">
        <v>65377</v>
      </c>
      <c r="F10720" s="10" t="s">
        <v>371</v>
      </c>
      <c r="G10720" s="10" t="s">
        <v>65914</v>
      </c>
      <c r="H10720" s="11" t="s">
        <v>31</v>
      </c>
      <c r="I10720" s="11">
        <v>1.0</v>
      </c>
      <c r="J10720" s="11">
        <v>1.0</v>
      </c>
      <c r="K10720" s="11" t="s">
        <v>31</v>
      </c>
      <c r="L10720" s="12" t="s">
        <v>65402</v>
      </c>
      <c r="M10720" s="10" t="s">
        <v>65915</v>
      </c>
      <c r="N10720" s="10" t="s">
        <v>75</v>
      </c>
      <c r="O10720" s="12" t="s">
        <v>76</v>
      </c>
      <c r="P10720" s="10" t="s">
        <v>65404</v>
      </c>
      <c r="Q10720" s="10" t="s">
        <v>31</v>
      </c>
      <c r="R10720" s="10" t="s">
        <v>75</v>
      </c>
      <c r="S10720" s="12" t="s">
        <v>57992</v>
      </c>
      <c r="T10720" s="10" t="s">
        <v>66</v>
      </c>
      <c r="U10720" s="12" t="s">
        <v>31</v>
      </c>
      <c r="V10720" s="10" t="s">
        <v>371</v>
      </c>
      <c r="W10720" s="10" t="s">
        <v>65377</v>
      </c>
      <c r="X10720" s="13" t="str">
        <f>HYPERLINK("https://my.pitchbook.com?p=85120-57P","View People Online")</f>
        <v>View People Online</v>
      </c>
    </row>
    <row r="10721">
      <c r="A10721" s="6" t="s">
        <v>65916</v>
      </c>
      <c r="B10721" s="6" t="s">
        <v>65917</v>
      </c>
      <c r="C10721" s="6" t="s">
        <v>3529</v>
      </c>
      <c r="D10721" s="6" t="s">
        <v>11563</v>
      </c>
      <c r="E10721" s="6" t="s">
        <v>65377</v>
      </c>
      <c r="F10721" s="6" t="s">
        <v>27433</v>
      </c>
      <c r="G10721" s="6" t="s">
        <v>65918</v>
      </c>
      <c r="H10721" s="7" t="s">
        <v>31</v>
      </c>
      <c r="I10721" s="7">
        <v>1.0</v>
      </c>
      <c r="J10721" s="7">
        <v>1.0</v>
      </c>
      <c r="K10721" s="7" t="s">
        <v>31</v>
      </c>
      <c r="L10721" s="8" t="s">
        <v>31</v>
      </c>
      <c r="M10721" s="6" t="s">
        <v>65919</v>
      </c>
      <c r="N10721" s="6" t="s">
        <v>155</v>
      </c>
      <c r="O10721" s="8" t="s">
        <v>156</v>
      </c>
      <c r="P10721" s="6" t="s">
        <v>65382</v>
      </c>
      <c r="Q10721" s="6" t="s">
        <v>31</v>
      </c>
      <c r="R10721" s="6" t="s">
        <v>64</v>
      </c>
      <c r="S10721" s="8" t="s">
        <v>2463</v>
      </c>
      <c r="T10721" s="6" t="s">
        <v>66</v>
      </c>
      <c r="U10721" s="8" t="s">
        <v>31</v>
      </c>
      <c r="V10721" s="6" t="s">
        <v>27433</v>
      </c>
      <c r="W10721" s="6" t="s">
        <v>65377</v>
      </c>
      <c r="X10721" s="9" t="str">
        <f>HYPERLINK("https://my.pitchbook.com?p=393006-79P","View People Online")</f>
        <v>View People Online</v>
      </c>
    </row>
    <row r="10722">
      <c r="A10722" s="2" t="s">
        <v>65920</v>
      </c>
      <c r="B10722" s="2" t="s">
        <v>65921</v>
      </c>
      <c r="C10722" s="2" t="s">
        <v>3977</v>
      </c>
      <c r="D10722" s="2" t="s">
        <v>65922</v>
      </c>
      <c r="E10722" s="2" t="s">
        <v>65377</v>
      </c>
      <c r="F10722" s="2" t="s">
        <v>312</v>
      </c>
      <c r="G10722" s="2" t="s">
        <v>65923</v>
      </c>
      <c r="H10722" s="3" t="s">
        <v>31</v>
      </c>
      <c r="I10722" s="3">
        <v>1.0</v>
      </c>
      <c r="J10722" s="3">
        <v>1.0</v>
      </c>
      <c r="K10722" s="3" t="s">
        <v>31</v>
      </c>
      <c r="L10722" s="4" t="s">
        <v>65924</v>
      </c>
      <c r="M10722" s="2" t="s">
        <v>65925</v>
      </c>
      <c r="N10722" s="2" t="s">
        <v>18812</v>
      </c>
      <c r="O10722" s="4" t="s">
        <v>18813</v>
      </c>
      <c r="P10722" s="2" t="s">
        <v>65516</v>
      </c>
      <c r="Q10722" s="2" t="s">
        <v>31</v>
      </c>
      <c r="R10722" s="2" t="s">
        <v>18816</v>
      </c>
      <c r="S10722" s="4" t="s">
        <v>65517</v>
      </c>
      <c r="T10722" s="2" t="s">
        <v>66</v>
      </c>
      <c r="U10722" s="4" t="s">
        <v>65926</v>
      </c>
      <c r="V10722" s="2" t="s">
        <v>65927</v>
      </c>
      <c r="W10722" s="2" t="s">
        <v>65377</v>
      </c>
      <c r="X10722" s="5" t="str">
        <f>HYPERLINK("https://my.pitchbook.com?p=81254-62P","View People Online")</f>
        <v>View People Online</v>
      </c>
    </row>
    <row r="10723">
      <c r="A10723" s="6" t="s">
        <v>65928</v>
      </c>
      <c r="B10723" s="6" t="s">
        <v>65929</v>
      </c>
      <c r="C10723" s="6" t="s">
        <v>3670</v>
      </c>
      <c r="D10723" s="6" t="s">
        <v>65930</v>
      </c>
      <c r="E10723" s="6" t="s">
        <v>65377</v>
      </c>
      <c r="F10723" s="6" t="s">
        <v>11212</v>
      </c>
      <c r="G10723" s="6" t="s">
        <v>65931</v>
      </c>
      <c r="H10723" s="7" t="s">
        <v>31</v>
      </c>
      <c r="I10723" s="7">
        <v>1.0</v>
      </c>
      <c r="J10723" s="7">
        <v>1.0</v>
      </c>
      <c r="K10723" s="7" t="s">
        <v>31</v>
      </c>
      <c r="L10723" s="8" t="s">
        <v>31</v>
      </c>
      <c r="M10723" s="6" t="s">
        <v>65932</v>
      </c>
      <c r="N10723" s="6" t="s">
        <v>155</v>
      </c>
      <c r="O10723" s="8" t="s">
        <v>156</v>
      </c>
      <c r="P10723" s="6" t="s">
        <v>65382</v>
      </c>
      <c r="Q10723" s="6" t="s">
        <v>31</v>
      </c>
      <c r="R10723" s="6" t="s">
        <v>64</v>
      </c>
      <c r="S10723" s="8" t="s">
        <v>2463</v>
      </c>
      <c r="T10723" s="6" t="s">
        <v>66</v>
      </c>
      <c r="U10723" s="8" t="s">
        <v>31</v>
      </c>
      <c r="V10723" s="6" t="s">
        <v>65933</v>
      </c>
      <c r="W10723" s="6" t="s">
        <v>65377</v>
      </c>
      <c r="X10723" s="9" t="str">
        <f>HYPERLINK("https://my.pitchbook.com?p=243529-12P","View People Online")</f>
        <v>View People Online</v>
      </c>
    </row>
    <row r="10724">
      <c r="A10724" s="10" t="s">
        <v>65934</v>
      </c>
      <c r="B10724" s="10" t="s">
        <v>65935</v>
      </c>
      <c r="C10724" s="10" t="s">
        <v>26</v>
      </c>
      <c r="D10724" s="10" t="s">
        <v>8466</v>
      </c>
      <c r="E10724" s="10" t="s">
        <v>65377</v>
      </c>
      <c r="F10724" s="10" t="s">
        <v>48340</v>
      </c>
      <c r="G10724" s="10" t="s">
        <v>65936</v>
      </c>
      <c r="H10724" s="11">
        <v>1.0</v>
      </c>
      <c r="I10724" s="11">
        <v>3.0</v>
      </c>
      <c r="J10724" s="11">
        <v>1.0</v>
      </c>
      <c r="K10724" s="11">
        <v>1.0</v>
      </c>
      <c r="L10724" s="12" t="s">
        <v>65753</v>
      </c>
      <c r="M10724" s="10" t="s">
        <v>65937</v>
      </c>
      <c r="N10724" s="10" t="s">
        <v>10983</v>
      </c>
      <c r="O10724" s="12" t="s">
        <v>37748</v>
      </c>
      <c r="P10724" s="10" t="s">
        <v>65397</v>
      </c>
      <c r="Q10724" s="10" t="s">
        <v>11360</v>
      </c>
      <c r="R10724" s="10" t="s">
        <v>37751</v>
      </c>
      <c r="S10724" s="12" t="s">
        <v>65398</v>
      </c>
      <c r="T10724" s="10" t="s">
        <v>66</v>
      </c>
      <c r="U10724" s="12" t="s">
        <v>31</v>
      </c>
      <c r="V10724" s="10" t="s">
        <v>65938</v>
      </c>
      <c r="W10724" s="10" t="s">
        <v>65377</v>
      </c>
      <c r="X10724" s="13" t="str">
        <f>HYPERLINK("https://my.pitchbook.com?p=271231-75P","View People Online")</f>
        <v>View People Online</v>
      </c>
    </row>
    <row r="10725">
      <c r="A10725" s="14" t="s">
        <v>65939</v>
      </c>
      <c r="B10725" s="14" t="s">
        <v>65940</v>
      </c>
      <c r="C10725" s="14" t="s">
        <v>26</v>
      </c>
      <c r="D10725" s="14" t="s">
        <v>10527</v>
      </c>
      <c r="E10725" s="14" t="s">
        <v>65377</v>
      </c>
      <c r="F10725" s="14" t="s">
        <v>2652</v>
      </c>
      <c r="G10725" s="14" t="s">
        <v>65941</v>
      </c>
      <c r="H10725" s="15" t="s">
        <v>31</v>
      </c>
      <c r="I10725" s="15">
        <v>3.0</v>
      </c>
      <c r="J10725" s="15">
        <v>1.0</v>
      </c>
      <c r="K10725" s="15">
        <v>2.0</v>
      </c>
      <c r="L10725" s="16" t="s">
        <v>31</v>
      </c>
      <c r="M10725" s="14" t="s">
        <v>65942</v>
      </c>
      <c r="N10725" s="14" t="s">
        <v>155</v>
      </c>
      <c r="O10725" s="16" t="s">
        <v>156</v>
      </c>
      <c r="P10725" s="14" t="s">
        <v>65382</v>
      </c>
      <c r="Q10725" s="14" t="s">
        <v>31</v>
      </c>
      <c r="R10725" s="14" t="s">
        <v>64</v>
      </c>
      <c r="S10725" s="16" t="s">
        <v>2463</v>
      </c>
      <c r="T10725" s="14" t="s">
        <v>66</v>
      </c>
      <c r="U10725" s="16" t="s">
        <v>31</v>
      </c>
      <c r="V10725" s="14" t="s">
        <v>65943</v>
      </c>
      <c r="W10725" s="14" t="s">
        <v>65377</v>
      </c>
      <c r="X10725" s="17" t="str">
        <f>HYPERLINK("https://my.pitchbook.com?p=140891-50P","View People Online")</f>
        <v>View People Online</v>
      </c>
    </row>
    <row r="10726">
      <c r="A10726" s="10" t="s">
        <v>65944</v>
      </c>
      <c r="B10726" s="10" t="s">
        <v>65945</v>
      </c>
      <c r="C10726" s="10" t="s">
        <v>26</v>
      </c>
      <c r="D10726" s="10" t="s">
        <v>23028</v>
      </c>
      <c r="E10726" s="10" t="s">
        <v>65377</v>
      </c>
      <c r="F10726" s="10" t="s">
        <v>81</v>
      </c>
      <c r="G10726" s="10" t="s">
        <v>65946</v>
      </c>
      <c r="H10726" s="11" t="s">
        <v>31</v>
      </c>
      <c r="I10726" s="11">
        <v>1.0</v>
      </c>
      <c r="J10726" s="11" t="s">
        <v>31</v>
      </c>
      <c r="K10726" s="11" t="s">
        <v>31</v>
      </c>
      <c r="L10726" s="12" t="s">
        <v>31</v>
      </c>
      <c r="M10726" s="10" t="s">
        <v>65947</v>
      </c>
      <c r="N10726" s="10" t="s">
        <v>155</v>
      </c>
      <c r="O10726" s="12" t="s">
        <v>156</v>
      </c>
      <c r="P10726" s="10" t="s">
        <v>65382</v>
      </c>
      <c r="Q10726" s="10" t="s">
        <v>31</v>
      </c>
      <c r="R10726" s="10" t="s">
        <v>64</v>
      </c>
      <c r="S10726" s="12" t="s">
        <v>2463</v>
      </c>
      <c r="T10726" s="10" t="s">
        <v>66</v>
      </c>
      <c r="U10726" s="12" t="s">
        <v>31</v>
      </c>
      <c r="V10726" s="10" t="s">
        <v>65627</v>
      </c>
      <c r="W10726" s="10" t="s">
        <v>65377</v>
      </c>
      <c r="X10726" s="13" t="str">
        <f>HYPERLINK("https://my.pitchbook.com?p=33067-99P","View People Online")</f>
        <v>View People Online</v>
      </c>
    </row>
    <row r="10727">
      <c r="A10727" s="14" t="s">
        <v>65948</v>
      </c>
      <c r="B10727" s="14" t="s">
        <v>65949</v>
      </c>
      <c r="C10727" s="14" t="s">
        <v>5071</v>
      </c>
      <c r="D10727" s="14" t="s">
        <v>65950</v>
      </c>
      <c r="E10727" s="14" t="s">
        <v>65377</v>
      </c>
      <c r="F10727" s="14" t="s">
        <v>825</v>
      </c>
      <c r="G10727" s="14" t="s">
        <v>65951</v>
      </c>
      <c r="H10727" s="15" t="s">
        <v>31</v>
      </c>
      <c r="I10727" s="15">
        <v>1.0</v>
      </c>
      <c r="J10727" s="15">
        <v>1.0</v>
      </c>
      <c r="K10727" s="15" t="s">
        <v>31</v>
      </c>
      <c r="L10727" s="16" t="s">
        <v>65402</v>
      </c>
      <c r="M10727" s="14" t="s">
        <v>65952</v>
      </c>
      <c r="N10727" s="14" t="s">
        <v>75</v>
      </c>
      <c r="O10727" s="16" t="s">
        <v>76</v>
      </c>
      <c r="P10727" s="14" t="s">
        <v>65404</v>
      </c>
      <c r="Q10727" s="14" t="s">
        <v>31</v>
      </c>
      <c r="R10727" s="14" t="s">
        <v>75</v>
      </c>
      <c r="S10727" s="16" t="s">
        <v>57992</v>
      </c>
      <c r="T10727" s="14" t="s">
        <v>66</v>
      </c>
      <c r="U10727" s="16" t="s">
        <v>31</v>
      </c>
      <c r="V10727" s="14" t="s">
        <v>65953</v>
      </c>
      <c r="W10727" s="14" t="s">
        <v>65377</v>
      </c>
      <c r="X10727" s="17" t="str">
        <f>HYPERLINK("https://my.pitchbook.com?p=203539-15P","View People Online")</f>
        <v>View People Online</v>
      </c>
    </row>
    <row r="10728">
      <c r="A10728" s="2" t="s">
        <v>65954</v>
      </c>
      <c r="B10728" s="2" t="s">
        <v>65955</v>
      </c>
      <c r="C10728" s="2" t="s">
        <v>1752</v>
      </c>
      <c r="D10728" s="2" t="s">
        <v>65956</v>
      </c>
      <c r="E10728" s="2" t="s">
        <v>65377</v>
      </c>
      <c r="F10728" s="2" t="s">
        <v>825</v>
      </c>
      <c r="G10728" s="2" t="s">
        <v>65957</v>
      </c>
      <c r="H10728" s="3" t="s">
        <v>31</v>
      </c>
      <c r="I10728" s="3">
        <v>1.0</v>
      </c>
      <c r="J10728" s="3">
        <v>1.0</v>
      </c>
      <c r="K10728" s="3" t="s">
        <v>31</v>
      </c>
      <c r="L10728" s="4" t="s">
        <v>31</v>
      </c>
      <c r="M10728" s="2" t="s">
        <v>65958</v>
      </c>
      <c r="N10728" s="2" t="s">
        <v>155</v>
      </c>
      <c r="O10728" s="4" t="s">
        <v>156</v>
      </c>
      <c r="P10728" s="2" t="s">
        <v>65382</v>
      </c>
      <c r="Q10728" s="2" t="s">
        <v>31</v>
      </c>
      <c r="R10728" s="2" t="s">
        <v>64</v>
      </c>
      <c r="S10728" s="4" t="s">
        <v>2463</v>
      </c>
      <c r="T10728" s="2" t="s">
        <v>66</v>
      </c>
      <c r="U10728" s="4" t="s">
        <v>31</v>
      </c>
      <c r="V10728" s="2" t="s">
        <v>65959</v>
      </c>
      <c r="W10728" s="2" t="s">
        <v>65377</v>
      </c>
      <c r="X10728" s="5" t="str">
        <f>HYPERLINK("https://my.pitchbook.com?p=349896-25P","View People Online")</f>
        <v>View People Online</v>
      </c>
    </row>
    <row r="10729">
      <c r="A10729" s="14" t="s">
        <v>65960</v>
      </c>
      <c r="B10729" s="14" t="s">
        <v>65961</v>
      </c>
      <c r="C10729" s="14" t="s">
        <v>6414</v>
      </c>
      <c r="D10729" s="14" t="s">
        <v>65962</v>
      </c>
      <c r="E10729" s="14" t="s">
        <v>65377</v>
      </c>
      <c r="F10729" s="14" t="s">
        <v>371</v>
      </c>
      <c r="G10729" s="14" t="s">
        <v>65963</v>
      </c>
      <c r="H10729" s="15" t="s">
        <v>31</v>
      </c>
      <c r="I10729" s="15">
        <v>1.0</v>
      </c>
      <c r="J10729" s="15">
        <v>1.0</v>
      </c>
      <c r="K10729" s="15" t="s">
        <v>31</v>
      </c>
      <c r="L10729" s="16" t="s">
        <v>65964</v>
      </c>
      <c r="M10729" s="14" t="s">
        <v>65965</v>
      </c>
      <c r="N10729" s="14" t="s">
        <v>53829</v>
      </c>
      <c r="O10729" s="16" t="s">
        <v>53830</v>
      </c>
      <c r="P10729" s="14" t="s">
        <v>65966</v>
      </c>
      <c r="Q10729" s="14" t="s">
        <v>65967</v>
      </c>
      <c r="R10729" s="14" t="s">
        <v>396</v>
      </c>
      <c r="S10729" s="16" t="s">
        <v>65968</v>
      </c>
      <c r="T10729" s="14" t="s">
        <v>66</v>
      </c>
      <c r="U10729" s="16" t="s">
        <v>31</v>
      </c>
      <c r="V10729" s="14" t="s">
        <v>35813</v>
      </c>
      <c r="W10729" s="14" t="s">
        <v>65377</v>
      </c>
      <c r="X10729" s="17" t="str">
        <f>HYPERLINK("https://my.pitchbook.com?p=82890-73P","View People Online")</f>
        <v>View People Online</v>
      </c>
    </row>
    <row r="10730">
      <c r="A10730" s="2" t="s">
        <v>65969</v>
      </c>
      <c r="B10730" s="2" t="s">
        <v>65970</v>
      </c>
      <c r="C10730" s="2" t="s">
        <v>1343</v>
      </c>
      <c r="D10730" s="2" t="s">
        <v>9571</v>
      </c>
      <c r="E10730" s="2" t="s">
        <v>65377</v>
      </c>
      <c r="F10730" s="2" t="s">
        <v>4997</v>
      </c>
      <c r="G10730" s="2" t="s">
        <v>65971</v>
      </c>
      <c r="H10730" s="3" t="s">
        <v>31</v>
      </c>
      <c r="I10730" s="3">
        <v>1.0</v>
      </c>
      <c r="J10730" s="3">
        <v>1.0</v>
      </c>
      <c r="K10730" s="3" t="s">
        <v>31</v>
      </c>
      <c r="L10730" s="4" t="s">
        <v>31</v>
      </c>
      <c r="M10730" s="2" t="s">
        <v>65972</v>
      </c>
      <c r="N10730" s="2" t="s">
        <v>155</v>
      </c>
      <c r="O10730" s="4" t="s">
        <v>156</v>
      </c>
      <c r="P10730" s="2" t="s">
        <v>65382</v>
      </c>
      <c r="Q10730" s="2" t="s">
        <v>31</v>
      </c>
      <c r="R10730" s="2" t="s">
        <v>64</v>
      </c>
      <c r="S10730" s="4" t="s">
        <v>2463</v>
      </c>
      <c r="T10730" s="2" t="s">
        <v>66</v>
      </c>
      <c r="U10730" s="4" t="s">
        <v>31</v>
      </c>
      <c r="V10730" s="2" t="s">
        <v>65973</v>
      </c>
      <c r="W10730" s="2" t="s">
        <v>65377</v>
      </c>
      <c r="X10730" s="5" t="str">
        <f>HYPERLINK("https://my.pitchbook.com?p=164520-19P","View People Online")</f>
        <v>View People Online</v>
      </c>
    </row>
    <row r="10731">
      <c r="A10731" s="6" t="s">
        <v>65974</v>
      </c>
      <c r="B10731" s="6" t="s">
        <v>65975</v>
      </c>
      <c r="C10731" s="6" t="s">
        <v>1343</v>
      </c>
      <c r="D10731" s="6" t="s">
        <v>65976</v>
      </c>
      <c r="E10731" s="6" t="s">
        <v>65377</v>
      </c>
      <c r="F10731" s="6" t="s">
        <v>34800</v>
      </c>
      <c r="G10731" s="6" t="s">
        <v>65977</v>
      </c>
      <c r="H10731" s="7" t="s">
        <v>31</v>
      </c>
      <c r="I10731" s="7">
        <v>1.0</v>
      </c>
      <c r="J10731" s="7">
        <v>1.0</v>
      </c>
      <c r="K10731" s="7" t="s">
        <v>31</v>
      </c>
      <c r="L10731" s="8" t="s">
        <v>65978</v>
      </c>
      <c r="M10731" s="6" t="s">
        <v>65979</v>
      </c>
      <c r="N10731" s="6" t="s">
        <v>155</v>
      </c>
      <c r="O10731" s="8" t="s">
        <v>156</v>
      </c>
      <c r="P10731" s="6" t="s">
        <v>65382</v>
      </c>
      <c r="Q10731" s="6" t="s">
        <v>31</v>
      </c>
      <c r="R10731" s="6" t="s">
        <v>64</v>
      </c>
      <c r="S10731" s="8" t="s">
        <v>2463</v>
      </c>
      <c r="T10731" s="6" t="s">
        <v>66</v>
      </c>
      <c r="U10731" s="8" t="s">
        <v>65980</v>
      </c>
      <c r="V10731" s="6" t="s">
        <v>65497</v>
      </c>
      <c r="W10731" s="6" t="s">
        <v>65377</v>
      </c>
      <c r="X10731" s="9" t="str">
        <f>HYPERLINK("https://my.pitchbook.com?p=31966-93P","View People Online")</f>
        <v>View People Online</v>
      </c>
    </row>
    <row r="10732">
      <c r="A10732" s="2" t="s">
        <v>65981</v>
      </c>
      <c r="B10732" s="2" t="s">
        <v>65982</v>
      </c>
      <c r="C10732" s="2" t="s">
        <v>1343</v>
      </c>
      <c r="D10732" s="2" t="s">
        <v>16064</v>
      </c>
      <c r="E10732" s="2" t="s">
        <v>65377</v>
      </c>
      <c r="F10732" s="2" t="s">
        <v>2652</v>
      </c>
      <c r="G10732" s="2" t="s">
        <v>65983</v>
      </c>
      <c r="H10732" s="3" t="s">
        <v>31</v>
      </c>
      <c r="I10732" s="3">
        <v>1.0</v>
      </c>
      <c r="J10732" s="3">
        <v>1.0</v>
      </c>
      <c r="K10732" s="3" t="s">
        <v>31</v>
      </c>
      <c r="L10732" s="4" t="s">
        <v>31</v>
      </c>
      <c r="M10732" s="2" t="s">
        <v>65984</v>
      </c>
      <c r="N10732" s="2" t="s">
        <v>155</v>
      </c>
      <c r="O10732" s="4" t="s">
        <v>156</v>
      </c>
      <c r="P10732" s="2" t="s">
        <v>65382</v>
      </c>
      <c r="Q10732" s="2" t="s">
        <v>31</v>
      </c>
      <c r="R10732" s="2" t="s">
        <v>64</v>
      </c>
      <c r="S10732" s="4" t="s">
        <v>2463</v>
      </c>
      <c r="T10732" s="2" t="s">
        <v>66</v>
      </c>
      <c r="U10732" s="4" t="s">
        <v>31</v>
      </c>
      <c r="V10732" s="2" t="s">
        <v>65985</v>
      </c>
      <c r="W10732" s="2" t="s">
        <v>65377</v>
      </c>
      <c r="X10732" s="5" t="str">
        <f>HYPERLINK("https://my.pitchbook.com?p=238931-92P","View People Online")</f>
        <v>View People Online</v>
      </c>
    </row>
    <row r="10733">
      <c r="A10733" s="14" t="s">
        <v>65986</v>
      </c>
      <c r="B10733" s="14" t="s">
        <v>65987</v>
      </c>
      <c r="C10733" s="14" t="s">
        <v>1343</v>
      </c>
      <c r="D10733" s="14" t="s">
        <v>57338</v>
      </c>
      <c r="E10733" s="14" t="s">
        <v>65377</v>
      </c>
      <c r="F10733" s="14" t="s">
        <v>3740</v>
      </c>
      <c r="G10733" s="14" t="s">
        <v>65988</v>
      </c>
      <c r="H10733" s="15" t="s">
        <v>31</v>
      </c>
      <c r="I10733" s="15">
        <v>1.0</v>
      </c>
      <c r="J10733" s="15">
        <v>1.0</v>
      </c>
      <c r="K10733" s="15" t="s">
        <v>31</v>
      </c>
      <c r="L10733" s="16" t="s">
        <v>31</v>
      </c>
      <c r="M10733" s="14" t="s">
        <v>65989</v>
      </c>
      <c r="N10733" s="14" t="s">
        <v>155</v>
      </c>
      <c r="O10733" s="16" t="s">
        <v>156</v>
      </c>
      <c r="P10733" s="14" t="s">
        <v>65382</v>
      </c>
      <c r="Q10733" s="14" t="s">
        <v>31</v>
      </c>
      <c r="R10733" s="14" t="s">
        <v>64</v>
      </c>
      <c r="S10733" s="16" t="s">
        <v>2463</v>
      </c>
      <c r="T10733" s="14" t="s">
        <v>66</v>
      </c>
      <c r="U10733" s="16" t="s">
        <v>31</v>
      </c>
      <c r="V10733" s="14" t="s">
        <v>3740</v>
      </c>
      <c r="W10733" s="14" t="s">
        <v>65377</v>
      </c>
      <c r="X10733" s="17" t="str">
        <f>HYPERLINK("https://my.pitchbook.com?p=99818-56P","View People Online")</f>
        <v>View People Online</v>
      </c>
    </row>
    <row r="10734">
      <c r="A10734" s="10" t="s">
        <v>65990</v>
      </c>
      <c r="B10734" s="10" t="s">
        <v>65991</v>
      </c>
      <c r="C10734" s="10" t="s">
        <v>1616</v>
      </c>
      <c r="D10734" s="10" t="s">
        <v>65992</v>
      </c>
      <c r="E10734" s="10" t="s">
        <v>65377</v>
      </c>
      <c r="F10734" s="10" t="s">
        <v>1283</v>
      </c>
      <c r="G10734" s="10" t="s">
        <v>65993</v>
      </c>
      <c r="H10734" s="11" t="s">
        <v>31</v>
      </c>
      <c r="I10734" s="11">
        <v>2.0</v>
      </c>
      <c r="J10734" s="11">
        <v>1.0</v>
      </c>
      <c r="K10734" s="11">
        <v>1.0</v>
      </c>
      <c r="L10734" s="12" t="s">
        <v>65402</v>
      </c>
      <c r="M10734" s="10" t="s">
        <v>65994</v>
      </c>
      <c r="N10734" s="10" t="s">
        <v>75</v>
      </c>
      <c r="O10734" s="12" t="s">
        <v>76</v>
      </c>
      <c r="P10734" s="10" t="s">
        <v>65404</v>
      </c>
      <c r="Q10734" s="10" t="s">
        <v>31</v>
      </c>
      <c r="R10734" s="10" t="s">
        <v>75</v>
      </c>
      <c r="S10734" s="12" t="s">
        <v>57992</v>
      </c>
      <c r="T10734" s="10" t="s">
        <v>66</v>
      </c>
      <c r="U10734" s="12" t="s">
        <v>31</v>
      </c>
      <c r="V10734" s="10" t="s">
        <v>1283</v>
      </c>
      <c r="W10734" s="10" t="s">
        <v>65377</v>
      </c>
      <c r="X10734" s="13" t="str">
        <f>HYPERLINK("https://my.pitchbook.com?p=33753-97P","View People Online")</f>
        <v>View People Online</v>
      </c>
    </row>
    <row r="10735">
      <c r="A10735" s="6" t="s">
        <v>65995</v>
      </c>
      <c r="B10735" s="6" t="s">
        <v>65996</v>
      </c>
      <c r="C10735" s="6" t="s">
        <v>1356</v>
      </c>
      <c r="D10735" s="6" t="s">
        <v>6806</v>
      </c>
      <c r="E10735" s="6" t="s">
        <v>65377</v>
      </c>
      <c r="F10735" s="6" t="s">
        <v>548</v>
      </c>
      <c r="G10735" s="6" t="s">
        <v>65997</v>
      </c>
      <c r="H10735" s="7" t="s">
        <v>31</v>
      </c>
      <c r="I10735" s="7">
        <v>1.0</v>
      </c>
      <c r="J10735" s="7">
        <v>1.0</v>
      </c>
      <c r="K10735" s="7" t="s">
        <v>31</v>
      </c>
      <c r="L10735" s="8" t="s">
        <v>31</v>
      </c>
      <c r="M10735" s="6" t="s">
        <v>65998</v>
      </c>
      <c r="N10735" s="6" t="s">
        <v>155</v>
      </c>
      <c r="O10735" s="8" t="s">
        <v>156</v>
      </c>
      <c r="P10735" s="6" t="s">
        <v>65382</v>
      </c>
      <c r="Q10735" s="6" t="s">
        <v>31</v>
      </c>
      <c r="R10735" s="6" t="s">
        <v>64</v>
      </c>
      <c r="S10735" s="8" t="s">
        <v>2463</v>
      </c>
      <c r="T10735" s="6" t="s">
        <v>66</v>
      </c>
      <c r="U10735" s="8" t="s">
        <v>31</v>
      </c>
      <c r="V10735" s="6" t="s">
        <v>713</v>
      </c>
      <c r="W10735" s="6" t="s">
        <v>65377</v>
      </c>
      <c r="X10735" s="9" t="str">
        <f>HYPERLINK("https://my.pitchbook.com?p=153499-78P","View People Online")</f>
        <v>View People Online</v>
      </c>
    </row>
    <row r="10736">
      <c r="A10736" s="10" t="s">
        <v>65999</v>
      </c>
      <c r="B10736" s="10" t="s">
        <v>66000</v>
      </c>
      <c r="C10736" s="10" t="s">
        <v>1356</v>
      </c>
      <c r="D10736" s="10" t="s">
        <v>66001</v>
      </c>
      <c r="E10736" s="10" t="s">
        <v>65377</v>
      </c>
      <c r="F10736" s="10" t="s">
        <v>3740</v>
      </c>
      <c r="G10736" s="10" t="s">
        <v>66002</v>
      </c>
      <c r="H10736" s="11">
        <v>1.0</v>
      </c>
      <c r="I10736" s="11">
        <v>2.0</v>
      </c>
      <c r="J10736" s="11">
        <v>1.0</v>
      </c>
      <c r="K10736" s="11" t="s">
        <v>31</v>
      </c>
      <c r="L10736" s="12" t="s">
        <v>65828</v>
      </c>
      <c r="M10736" s="10" t="s">
        <v>66003</v>
      </c>
      <c r="N10736" s="10" t="s">
        <v>7690</v>
      </c>
      <c r="O10736" s="12" t="s">
        <v>7691</v>
      </c>
      <c r="P10736" s="10" t="s">
        <v>65830</v>
      </c>
      <c r="Q10736" s="10" t="s">
        <v>3928</v>
      </c>
      <c r="R10736" s="10" t="s">
        <v>7693</v>
      </c>
      <c r="S10736" s="12" t="s">
        <v>65831</v>
      </c>
      <c r="T10736" s="10" t="s">
        <v>66</v>
      </c>
      <c r="U10736" s="12" t="s">
        <v>31</v>
      </c>
      <c r="V10736" s="10" t="s">
        <v>3740</v>
      </c>
      <c r="W10736" s="10" t="s">
        <v>65377</v>
      </c>
      <c r="X10736" s="13" t="str">
        <f>HYPERLINK("https://my.pitchbook.com?p=99119-44P","View People Online")</f>
        <v>View People Online</v>
      </c>
    </row>
    <row r="10737">
      <c r="A10737" s="14" t="s">
        <v>66004</v>
      </c>
      <c r="B10737" s="14" t="s">
        <v>66005</v>
      </c>
      <c r="C10737" s="14" t="s">
        <v>66006</v>
      </c>
      <c r="D10737" s="14" t="s">
        <v>66007</v>
      </c>
      <c r="E10737" s="14" t="s">
        <v>65377</v>
      </c>
      <c r="F10737" s="14" t="s">
        <v>312</v>
      </c>
      <c r="G10737" s="14" t="s">
        <v>66008</v>
      </c>
      <c r="H10737" s="15" t="s">
        <v>31</v>
      </c>
      <c r="I10737" s="15">
        <v>1.0</v>
      </c>
      <c r="J10737" s="15">
        <v>1.0</v>
      </c>
      <c r="K10737" s="15" t="s">
        <v>31</v>
      </c>
      <c r="L10737" s="16" t="s">
        <v>31</v>
      </c>
      <c r="M10737" s="14" t="s">
        <v>66009</v>
      </c>
      <c r="N10737" s="14" t="s">
        <v>155</v>
      </c>
      <c r="O10737" s="16" t="s">
        <v>156</v>
      </c>
      <c r="P10737" s="14" t="s">
        <v>65382</v>
      </c>
      <c r="Q10737" s="14" t="s">
        <v>31</v>
      </c>
      <c r="R10737" s="14" t="s">
        <v>64</v>
      </c>
      <c r="S10737" s="16" t="s">
        <v>2463</v>
      </c>
      <c r="T10737" s="14" t="s">
        <v>66</v>
      </c>
      <c r="U10737" s="16" t="s">
        <v>31</v>
      </c>
      <c r="V10737" s="14" t="s">
        <v>66010</v>
      </c>
      <c r="W10737" s="14" t="s">
        <v>65377</v>
      </c>
      <c r="X10737" s="17" t="str">
        <f>HYPERLINK("https://my.pitchbook.com?p=140273-56P","View People Online")</f>
        <v>View People Online</v>
      </c>
    </row>
    <row r="10738">
      <c r="A10738" s="2" t="s">
        <v>66011</v>
      </c>
      <c r="B10738" s="2" t="s">
        <v>66012</v>
      </c>
      <c r="C10738" s="2" t="s">
        <v>66013</v>
      </c>
      <c r="D10738" s="2" t="s">
        <v>360</v>
      </c>
      <c r="E10738" s="2" t="s">
        <v>65377</v>
      </c>
      <c r="F10738" s="2" t="s">
        <v>825</v>
      </c>
      <c r="G10738" s="2" t="s">
        <v>66014</v>
      </c>
      <c r="H10738" s="3" t="s">
        <v>31</v>
      </c>
      <c r="I10738" s="3">
        <v>1.0</v>
      </c>
      <c r="J10738" s="3">
        <v>1.0</v>
      </c>
      <c r="K10738" s="3" t="s">
        <v>31</v>
      </c>
      <c r="L10738" s="4" t="s">
        <v>65828</v>
      </c>
      <c r="M10738" s="2" t="s">
        <v>66015</v>
      </c>
      <c r="N10738" s="2" t="s">
        <v>7690</v>
      </c>
      <c r="O10738" s="4" t="s">
        <v>7691</v>
      </c>
      <c r="P10738" s="2" t="s">
        <v>65830</v>
      </c>
      <c r="Q10738" s="2" t="s">
        <v>3928</v>
      </c>
      <c r="R10738" s="2" t="s">
        <v>7693</v>
      </c>
      <c r="S10738" s="4" t="s">
        <v>65831</v>
      </c>
      <c r="T10738" s="2" t="s">
        <v>66</v>
      </c>
      <c r="U10738" s="4" t="s">
        <v>31</v>
      </c>
      <c r="V10738" s="2" t="s">
        <v>66016</v>
      </c>
      <c r="W10738" s="2" t="s">
        <v>65377</v>
      </c>
      <c r="X10738" s="5" t="str">
        <f>HYPERLINK("https://my.pitchbook.com?p=170063-92P","View People Online")</f>
        <v>View People Online</v>
      </c>
    </row>
    <row r="10739">
      <c r="A10739" s="6" t="s">
        <v>66017</v>
      </c>
      <c r="B10739" s="6" t="s">
        <v>66018</v>
      </c>
      <c r="C10739" s="6" t="s">
        <v>213</v>
      </c>
      <c r="D10739" s="6" t="s">
        <v>66019</v>
      </c>
      <c r="E10739" s="6" t="s">
        <v>65377</v>
      </c>
      <c r="F10739" s="6" t="s">
        <v>270</v>
      </c>
      <c r="G10739" s="6" t="s">
        <v>66020</v>
      </c>
      <c r="H10739" s="7" t="s">
        <v>31</v>
      </c>
      <c r="I10739" s="7">
        <v>1.0</v>
      </c>
      <c r="J10739" s="7">
        <v>1.0</v>
      </c>
      <c r="K10739" s="7" t="s">
        <v>31</v>
      </c>
      <c r="L10739" s="8" t="s">
        <v>31</v>
      </c>
      <c r="M10739" s="6" t="s">
        <v>66021</v>
      </c>
      <c r="N10739" s="6" t="s">
        <v>155</v>
      </c>
      <c r="O10739" s="8" t="s">
        <v>156</v>
      </c>
      <c r="P10739" s="6" t="s">
        <v>65382</v>
      </c>
      <c r="Q10739" s="6" t="s">
        <v>31</v>
      </c>
      <c r="R10739" s="6" t="s">
        <v>64</v>
      </c>
      <c r="S10739" s="8" t="s">
        <v>2463</v>
      </c>
      <c r="T10739" s="6" t="s">
        <v>66</v>
      </c>
      <c r="U10739" s="8" t="s">
        <v>31</v>
      </c>
      <c r="V10739" s="6" t="s">
        <v>66022</v>
      </c>
      <c r="W10739" s="6" t="s">
        <v>65377</v>
      </c>
      <c r="X10739" s="9" t="str">
        <f>HYPERLINK("https://my.pitchbook.com?p=384039-37P","View People Online")</f>
        <v>View People Online</v>
      </c>
    </row>
    <row r="10740">
      <c r="A10740" s="10" t="s">
        <v>66023</v>
      </c>
      <c r="B10740" s="10" t="s">
        <v>66024</v>
      </c>
      <c r="C10740" s="10" t="s">
        <v>18277</v>
      </c>
      <c r="D10740" s="10" t="s">
        <v>3354</v>
      </c>
      <c r="E10740" s="10" t="s">
        <v>65377</v>
      </c>
      <c r="F10740" s="10" t="s">
        <v>270</v>
      </c>
      <c r="G10740" s="10" t="s">
        <v>66025</v>
      </c>
      <c r="H10740" s="11" t="s">
        <v>31</v>
      </c>
      <c r="I10740" s="11">
        <v>1.0</v>
      </c>
      <c r="J10740" s="11">
        <v>1.0</v>
      </c>
      <c r="K10740" s="11" t="s">
        <v>31</v>
      </c>
      <c r="L10740" s="12" t="s">
        <v>66026</v>
      </c>
      <c r="M10740" s="10" t="s">
        <v>66027</v>
      </c>
      <c r="N10740" s="10" t="s">
        <v>1416</v>
      </c>
      <c r="O10740" s="12" t="s">
        <v>1417</v>
      </c>
      <c r="P10740" s="10" t="s">
        <v>65794</v>
      </c>
      <c r="Q10740" s="10" t="s">
        <v>65795</v>
      </c>
      <c r="R10740" s="10" t="s">
        <v>1420</v>
      </c>
      <c r="S10740" s="12" t="s">
        <v>6302</v>
      </c>
      <c r="T10740" s="10" t="s">
        <v>66</v>
      </c>
      <c r="U10740" s="12" t="s">
        <v>31</v>
      </c>
      <c r="V10740" s="10" t="s">
        <v>66028</v>
      </c>
      <c r="W10740" s="10" t="s">
        <v>65377</v>
      </c>
      <c r="X10740" s="13" t="str">
        <f>HYPERLINK("https://my.pitchbook.com?p=33069-43P","View People Online")</f>
        <v>View People Online</v>
      </c>
    </row>
    <row r="10741">
      <c r="A10741" s="14" t="s">
        <v>66029</v>
      </c>
      <c r="B10741" s="14" t="s">
        <v>66030</v>
      </c>
      <c r="C10741" s="14" t="s">
        <v>66031</v>
      </c>
      <c r="D10741" s="14" t="s">
        <v>39631</v>
      </c>
      <c r="E10741" s="14" t="s">
        <v>65377</v>
      </c>
      <c r="F10741" s="14" t="s">
        <v>34800</v>
      </c>
      <c r="G10741" s="14" t="s">
        <v>66032</v>
      </c>
      <c r="H10741" s="15" t="s">
        <v>31</v>
      </c>
      <c r="I10741" s="15">
        <v>1.0</v>
      </c>
      <c r="J10741" s="15">
        <v>1.0</v>
      </c>
      <c r="K10741" s="15" t="s">
        <v>31</v>
      </c>
      <c r="L10741" s="16" t="s">
        <v>31</v>
      </c>
      <c r="M10741" s="14" t="s">
        <v>66033</v>
      </c>
      <c r="N10741" s="14" t="s">
        <v>155</v>
      </c>
      <c r="O10741" s="16" t="s">
        <v>156</v>
      </c>
      <c r="P10741" s="14" t="s">
        <v>65382</v>
      </c>
      <c r="Q10741" s="14" t="s">
        <v>31</v>
      </c>
      <c r="R10741" s="14" t="s">
        <v>64</v>
      </c>
      <c r="S10741" s="16" t="s">
        <v>2463</v>
      </c>
      <c r="T10741" s="14" t="s">
        <v>66</v>
      </c>
      <c r="U10741" s="16" t="s">
        <v>31</v>
      </c>
      <c r="V10741" s="14" t="s">
        <v>66034</v>
      </c>
      <c r="W10741" s="14" t="s">
        <v>65377</v>
      </c>
      <c r="X10741" s="17" t="str">
        <f>HYPERLINK("https://my.pitchbook.com?p=241694-02P","View People Online")</f>
        <v>View People Online</v>
      </c>
    </row>
    <row r="10742">
      <c r="A10742" s="2" t="s">
        <v>66035</v>
      </c>
      <c r="B10742" s="2" t="s">
        <v>66036</v>
      </c>
      <c r="C10742" s="2" t="s">
        <v>18393</v>
      </c>
      <c r="D10742" s="2" t="s">
        <v>5978</v>
      </c>
      <c r="E10742" s="2" t="s">
        <v>65377</v>
      </c>
      <c r="F10742" s="2" t="s">
        <v>667</v>
      </c>
      <c r="G10742" s="2" t="s">
        <v>66037</v>
      </c>
      <c r="H10742" s="3" t="s">
        <v>31</v>
      </c>
      <c r="I10742" s="3">
        <v>1.0</v>
      </c>
      <c r="J10742" s="3">
        <v>1.0</v>
      </c>
      <c r="K10742" s="3" t="s">
        <v>31</v>
      </c>
      <c r="L10742" s="4" t="s">
        <v>31</v>
      </c>
      <c r="M10742" s="2" t="s">
        <v>66038</v>
      </c>
      <c r="N10742" s="2" t="s">
        <v>155</v>
      </c>
      <c r="O10742" s="4" t="s">
        <v>156</v>
      </c>
      <c r="P10742" s="2" t="s">
        <v>65382</v>
      </c>
      <c r="Q10742" s="2" t="s">
        <v>31</v>
      </c>
      <c r="R10742" s="2" t="s">
        <v>64</v>
      </c>
      <c r="S10742" s="4" t="s">
        <v>2463</v>
      </c>
      <c r="T10742" s="2" t="s">
        <v>66</v>
      </c>
      <c r="U10742" s="4" t="s">
        <v>31</v>
      </c>
      <c r="V10742" s="2" t="s">
        <v>66039</v>
      </c>
      <c r="W10742" s="2" t="s">
        <v>65377</v>
      </c>
      <c r="X10742" s="5" t="str">
        <f>HYPERLINK("https://my.pitchbook.com?p=338027-77P","View People Online")</f>
        <v>View People Online</v>
      </c>
    </row>
    <row r="10743">
      <c r="A10743" s="14" t="s">
        <v>66040</v>
      </c>
      <c r="B10743" s="14" t="s">
        <v>66041</v>
      </c>
      <c r="C10743" s="14" t="s">
        <v>1630</v>
      </c>
      <c r="D10743" s="14" t="s">
        <v>66042</v>
      </c>
      <c r="E10743" s="14" t="s">
        <v>65377</v>
      </c>
      <c r="F10743" s="14" t="s">
        <v>371</v>
      </c>
      <c r="G10743" s="14" t="s">
        <v>66043</v>
      </c>
      <c r="H10743" s="15" t="s">
        <v>31</v>
      </c>
      <c r="I10743" s="15">
        <v>1.0</v>
      </c>
      <c r="J10743" s="15">
        <v>1.0</v>
      </c>
      <c r="K10743" s="15" t="s">
        <v>31</v>
      </c>
      <c r="L10743" s="16" t="s">
        <v>66044</v>
      </c>
      <c r="M10743" s="14" t="s">
        <v>66045</v>
      </c>
      <c r="N10743" s="14" t="s">
        <v>10356</v>
      </c>
      <c r="O10743" s="16" t="s">
        <v>10357</v>
      </c>
      <c r="P10743" s="14" t="s">
        <v>66046</v>
      </c>
      <c r="Q10743" s="14" t="s">
        <v>31</v>
      </c>
      <c r="R10743" s="14" t="s">
        <v>10359</v>
      </c>
      <c r="S10743" s="16" t="s">
        <v>66047</v>
      </c>
      <c r="T10743" s="14" t="s">
        <v>66</v>
      </c>
      <c r="U10743" s="16" t="s">
        <v>31</v>
      </c>
      <c r="V10743" s="14" t="s">
        <v>371</v>
      </c>
      <c r="W10743" s="14" t="s">
        <v>65377</v>
      </c>
      <c r="X10743" s="17" t="str">
        <f>HYPERLINK("https://my.pitchbook.com?p=160286-41P","View People Online")</f>
        <v>View People Online</v>
      </c>
    </row>
    <row r="10744">
      <c r="A10744" s="2" t="s">
        <v>66048</v>
      </c>
      <c r="B10744" s="2" t="s">
        <v>66049</v>
      </c>
      <c r="C10744" s="2" t="s">
        <v>66050</v>
      </c>
      <c r="D10744" s="2" t="s">
        <v>66051</v>
      </c>
      <c r="E10744" s="2" t="s">
        <v>65377</v>
      </c>
      <c r="F10744" s="2" t="s">
        <v>66052</v>
      </c>
      <c r="G10744" s="2" t="s">
        <v>66053</v>
      </c>
      <c r="H10744" s="3" t="s">
        <v>31</v>
      </c>
      <c r="I10744" s="3">
        <v>1.0</v>
      </c>
      <c r="J10744" s="3">
        <v>1.0</v>
      </c>
      <c r="K10744" s="3" t="s">
        <v>31</v>
      </c>
      <c r="L10744" s="4" t="s">
        <v>66054</v>
      </c>
      <c r="M10744" s="2" t="s">
        <v>66055</v>
      </c>
      <c r="N10744" s="2" t="s">
        <v>11029</v>
      </c>
      <c r="O10744" s="4" t="s">
        <v>11030</v>
      </c>
      <c r="P10744" s="2" t="s">
        <v>66056</v>
      </c>
      <c r="Q10744" s="2" t="s">
        <v>31</v>
      </c>
      <c r="R10744" s="2" t="s">
        <v>10017</v>
      </c>
      <c r="S10744" s="4" t="s">
        <v>66057</v>
      </c>
      <c r="T10744" s="2" t="s">
        <v>66</v>
      </c>
      <c r="U10744" s="4" t="s">
        <v>66058</v>
      </c>
      <c r="V10744" s="2" t="s">
        <v>66059</v>
      </c>
      <c r="W10744" s="2" t="s">
        <v>65377</v>
      </c>
      <c r="X10744" s="5" t="str">
        <f>HYPERLINK("https://my.pitchbook.com?p=79974-64P","View People Online")</f>
        <v>View People Online</v>
      </c>
    </row>
    <row r="10745">
      <c r="A10745" s="6" t="s">
        <v>66060</v>
      </c>
      <c r="B10745" s="6" t="s">
        <v>66061</v>
      </c>
      <c r="C10745" s="6" t="s">
        <v>51829</v>
      </c>
      <c r="D10745" s="6" t="s">
        <v>66062</v>
      </c>
      <c r="E10745" s="6" t="s">
        <v>65377</v>
      </c>
      <c r="F10745" s="6" t="s">
        <v>371</v>
      </c>
      <c r="G10745" s="6" t="s">
        <v>66063</v>
      </c>
      <c r="H10745" s="7">
        <v>1.0</v>
      </c>
      <c r="I10745" s="7">
        <v>2.0</v>
      </c>
      <c r="J10745" s="7">
        <v>2.0</v>
      </c>
      <c r="K10745" s="7" t="s">
        <v>31</v>
      </c>
      <c r="L10745" s="8" t="s">
        <v>31</v>
      </c>
      <c r="M10745" s="6" t="s">
        <v>66064</v>
      </c>
      <c r="N10745" s="6" t="s">
        <v>155</v>
      </c>
      <c r="O10745" s="8" t="s">
        <v>156</v>
      </c>
      <c r="P10745" s="6" t="s">
        <v>65382</v>
      </c>
      <c r="Q10745" s="6" t="s">
        <v>31</v>
      </c>
      <c r="R10745" s="6" t="s">
        <v>64</v>
      </c>
      <c r="S10745" s="8" t="s">
        <v>2463</v>
      </c>
      <c r="T10745" s="6" t="s">
        <v>66</v>
      </c>
      <c r="U10745" s="8" t="s">
        <v>31</v>
      </c>
      <c r="V10745" s="6" t="s">
        <v>65603</v>
      </c>
      <c r="W10745" s="6" t="s">
        <v>65377</v>
      </c>
      <c r="X10745" s="9" t="str">
        <f>HYPERLINK("https://my.pitchbook.com?p=32918-68P","View People Online")</f>
        <v>View People Online</v>
      </c>
    </row>
    <row r="10746">
      <c r="A10746" s="2" t="s">
        <v>66065</v>
      </c>
      <c r="B10746" s="2" t="s">
        <v>66066</v>
      </c>
      <c r="C10746" s="2" t="s">
        <v>4009</v>
      </c>
      <c r="D10746" s="2" t="s">
        <v>66067</v>
      </c>
      <c r="E10746" s="2" t="s">
        <v>65377</v>
      </c>
      <c r="F10746" s="2" t="s">
        <v>371</v>
      </c>
      <c r="G10746" s="2" t="s">
        <v>66068</v>
      </c>
      <c r="H10746" s="3" t="s">
        <v>31</v>
      </c>
      <c r="I10746" s="3">
        <v>1.0</v>
      </c>
      <c r="J10746" s="3">
        <v>1.0</v>
      </c>
      <c r="K10746" s="3" t="s">
        <v>31</v>
      </c>
      <c r="L10746" s="4" t="s">
        <v>31</v>
      </c>
      <c r="M10746" s="2" t="s">
        <v>66069</v>
      </c>
      <c r="N10746" s="2" t="s">
        <v>155</v>
      </c>
      <c r="O10746" s="4" t="s">
        <v>156</v>
      </c>
      <c r="P10746" s="2" t="s">
        <v>65382</v>
      </c>
      <c r="Q10746" s="2" t="s">
        <v>31</v>
      </c>
      <c r="R10746" s="2" t="s">
        <v>64</v>
      </c>
      <c r="S10746" s="4" t="s">
        <v>2463</v>
      </c>
      <c r="T10746" s="2" t="s">
        <v>66</v>
      </c>
      <c r="U10746" s="4" t="s">
        <v>31</v>
      </c>
      <c r="V10746" s="2" t="s">
        <v>371</v>
      </c>
      <c r="W10746" s="2" t="s">
        <v>65377</v>
      </c>
      <c r="X10746" s="5" t="str">
        <f>HYPERLINK("https://my.pitchbook.com?p=13540-78P","View People Online")</f>
        <v>View People Online</v>
      </c>
    </row>
    <row r="10747">
      <c r="A10747" s="14" t="s">
        <v>66070</v>
      </c>
      <c r="B10747" s="14" t="s">
        <v>66071</v>
      </c>
      <c r="C10747" s="14" t="s">
        <v>1489</v>
      </c>
      <c r="D10747" s="14" t="s">
        <v>66072</v>
      </c>
      <c r="E10747" s="14" t="s">
        <v>65377</v>
      </c>
      <c r="F10747" s="14" t="s">
        <v>1801</v>
      </c>
      <c r="G10747" s="14" t="s">
        <v>66073</v>
      </c>
      <c r="H10747" s="15" t="s">
        <v>31</v>
      </c>
      <c r="I10747" s="15">
        <v>1.0</v>
      </c>
      <c r="J10747" s="15">
        <v>1.0</v>
      </c>
      <c r="K10747" s="15" t="s">
        <v>31</v>
      </c>
      <c r="L10747" s="16" t="s">
        <v>66074</v>
      </c>
      <c r="M10747" s="14" t="s">
        <v>66075</v>
      </c>
      <c r="N10747" s="14" t="s">
        <v>29414</v>
      </c>
      <c r="O10747" s="16" t="s">
        <v>29415</v>
      </c>
      <c r="P10747" s="14" t="s">
        <v>66076</v>
      </c>
      <c r="Q10747" s="14" t="s">
        <v>11360</v>
      </c>
      <c r="R10747" s="14" t="s">
        <v>24327</v>
      </c>
      <c r="S10747" s="16" t="s">
        <v>66077</v>
      </c>
      <c r="T10747" s="14" t="s">
        <v>66</v>
      </c>
      <c r="U10747" s="16" t="s">
        <v>31</v>
      </c>
      <c r="V10747" s="14" t="s">
        <v>65571</v>
      </c>
      <c r="W10747" s="14" t="s">
        <v>65377</v>
      </c>
      <c r="X10747" s="17" t="str">
        <f>HYPERLINK("https://my.pitchbook.com?p=162334-36P","View People Online")</f>
        <v>View People Online</v>
      </c>
    </row>
    <row r="10748">
      <c r="A10748" s="10" t="s">
        <v>66078</v>
      </c>
      <c r="B10748" s="10" t="s">
        <v>66079</v>
      </c>
      <c r="C10748" s="10" t="s">
        <v>1489</v>
      </c>
      <c r="D10748" s="10" t="s">
        <v>30845</v>
      </c>
      <c r="E10748" s="10" t="s">
        <v>65377</v>
      </c>
      <c r="F10748" s="10" t="s">
        <v>1283</v>
      </c>
      <c r="G10748" s="10" t="s">
        <v>66080</v>
      </c>
      <c r="H10748" s="11" t="s">
        <v>31</v>
      </c>
      <c r="I10748" s="11">
        <v>1.0</v>
      </c>
      <c r="J10748" s="11">
        <v>1.0</v>
      </c>
      <c r="K10748" s="11" t="s">
        <v>31</v>
      </c>
      <c r="L10748" s="12" t="s">
        <v>31</v>
      </c>
      <c r="M10748" s="10" t="s">
        <v>66081</v>
      </c>
      <c r="N10748" s="10" t="s">
        <v>155</v>
      </c>
      <c r="O10748" s="12" t="s">
        <v>156</v>
      </c>
      <c r="P10748" s="10" t="s">
        <v>65382</v>
      </c>
      <c r="Q10748" s="10" t="s">
        <v>31</v>
      </c>
      <c r="R10748" s="10" t="s">
        <v>64</v>
      </c>
      <c r="S10748" s="12" t="s">
        <v>2463</v>
      </c>
      <c r="T10748" s="10" t="s">
        <v>66</v>
      </c>
      <c r="U10748" s="12" t="s">
        <v>31</v>
      </c>
      <c r="V10748" s="10" t="s">
        <v>66082</v>
      </c>
      <c r="W10748" s="10" t="s">
        <v>65377</v>
      </c>
      <c r="X10748" s="13" t="str">
        <f>HYPERLINK("https://my.pitchbook.com?p=81396-64P","View People Online")</f>
        <v>View People Online</v>
      </c>
    </row>
    <row r="10749">
      <c r="A10749" s="14" t="s">
        <v>66083</v>
      </c>
      <c r="B10749" s="14" t="s">
        <v>66084</v>
      </c>
      <c r="C10749" s="14" t="s">
        <v>1489</v>
      </c>
      <c r="D10749" s="14" t="s">
        <v>66085</v>
      </c>
      <c r="E10749" s="14" t="s">
        <v>65377</v>
      </c>
      <c r="F10749" s="14" t="s">
        <v>470</v>
      </c>
      <c r="G10749" s="14" t="s">
        <v>66086</v>
      </c>
      <c r="H10749" s="15" t="s">
        <v>31</v>
      </c>
      <c r="I10749" s="15">
        <v>1.0</v>
      </c>
      <c r="J10749" s="15">
        <v>1.0</v>
      </c>
      <c r="K10749" s="15" t="s">
        <v>31</v>
      </c>
      <c r="L10749" s="16" t="s">
        <v>31</v>
      </c>
      <c r="M10749" s="14" t="s">
        <v>66087</v>
      </c>
      <c r="N10749" s="14" t="s">
        <v>155</v>
      </c>
      <c r="O10749" s="16" t="s">
        <v>156</v>
      </c>
      <c r="P10749" s="14" t="s">
        <v>65382</v>
      </c>
      <c r="Q10749" s="14" t="s">
        <v>31</v>
      </c>
      <c r="R10749" s="14" t="s">
        <v>64</v>
      </c>
      <c r="S10749" s="16" t="s">
        <v>2463</v>
      </c>
      <c r="T10749" s="14" t="s">
        <v>66</v>
      </c>
      <c r="U10749" s="16" t="s">
        <v>31</v>
      </c>
      <c r="V10749" s="14" t="s">
        <v>66088</v>
      </c>
      <c r="W10749" s="14" t="s">
        <v>65377</v>
      </c>
      <c r="X10749" s="17" t="str">
        <f>HYPERLINK("https://my.pitchbook.com?p=85136-23P","View People Online")</f>
        <v>View People Online</v>
      </c>
    </row>
    <row r="10750">
      <c r="A10750" s="10" t="s">
        <v>66089</v>
      </c>
      <c r="B10750" s="10" t="s">
        <v>66090</v>
      </c>
      <c r="C10750" s="10" t="s">
        <v>18624</v>
      </c>
      <c r="D10750" s="10" t="s">
        <v>66091</v>
      </c>
      <c r="E10750" s="10" t="s">
        <v>65377</v>
      </c>
      <c r="F10750" s="10" t="s">
        <v>371</v>
      </c>
      <c r="G10750" s="10" t="s">
        <v>66092</v>
      </c>
      <c r="H10750" s="11" t="s">
        <v>31</v>
      </c>
      <c r="I10750" s="11">
        <v>1.0</v>
      </c>
      <c r="J10750" s="11">
        <v>1.0</v>
      </c>
      <c r="K10750" s="11" t="s">
        <v>31</v>
      </c>
      <c r="L10750" s="12" t="s">
        <v>66093</v>
      </c>
      <c r="M10750" s="10" t="s">
        <v>66094</v>
      </c>
      <c r="N10750" s="10" t="s">
        <v>11029</v>
      </c>
      <c r="O10750" s="12" t="s">
        <v>11030</v>
      </c>
      <c r="P10750" s="10" t="s">
        <v>66056</v>
      </c>
      <c r="Q10750" s="10" t="s">
        <v>31</v>
      </c>
      <c r="R10750" s="10" t="s">
        <v>10017</v>
      </c>
      <c r="S10750" s="12" t="s">
        <v>66057</v>
      </c>
      <c r="T10750" s="10" t="s">
        <v>66</v>
      </c>
      <c r="U10750" s="12" t="s">
        <v>31</v>
      </c>
      <c r="V10750" s="10" t="s">
        <v>2974</v>
      </c>
      <c r="W10750" s="10" t="s">
        <v>65377</v>
      </c>
      <c r="X10750" s="13" t="str">
        <f>HYPERLINK("https://my.pitchbook.com?p=144509-95P","View People Online")</f>
        <v>View People Online</v>
      </c>
    </row>
    <row r="10751">
      <c r="A10751" s="14" t="s">
        <v>66095</v>
      </c>
      <c r="B10751" s="14" t="s">
        <v>66096</v>
      </c>
      <c r="C10751" s="14" t="s">
        <v>66097</v>
      </c>
      <c r="D10751" s="14" t="s">
        <v>66098</v>
      </c>
      <c r="E10751" s="14" t="s">
        <v>65377</v>
      </c>
      <c r="F10751" s="14" t="s">
        <v>65456</v>
      </c>
      <c r="G10751" s="14" t="s">
        <v>66099</v>
      </c>
      <c r="H10751" s="15" t="s">
        <v>31</v>
      </c>
      <c r="I10751" s="15">
        <v>1.0</v>
      </c>
      <c r="J10751" s="15">
        <v>1.0</v>
      </c>
      <c r="K10751" s="15" t="s">
        <v>31</v>
      </c>
      <c r="L10751" s="16" t="s">
        <v>31</v>
      </c>
      <c r="M10751" s="14" t="s">
        <v>66100</v>
      </c>
      <c r="N10751" s="14" t="s">
        <v>155</v>
      </c>
      <c r="O10751" s="16" t="s">
        <v>156</v>
      </c>
      <c r="P10751" s="14" t="s">
        <v>65382</v>
      </c>
      <c r="Q10751" s="14" t="s">
        <v>31</v>
      </c>
      <c r="R10751" s="14" t="s">
        <v>64</v>
      </c>
      <c r="S10751" s="16" t="s">
        <v>2463</v>
      </c>
      <c r="T10751" s="14" t="s">
        <v>66</v>
      </c>
      <c r="U10751" s="16" t="s">
        <v>31</v>
      </c>
      <c r="V10751" s="14" t="s">
        <v>66101</v>
      </c>
      <c r="W10751" s="14" t="s">
        <v>65377</v>
      </c>
      <c r="X10751" s="17" t="str">
        <f>HYPERLINK("https://my.pitchbook.com?p=198801-55P","View People Online")</f>
        <v>View People Online</v>
      </c>
    </row>
    <row r="10752">
      <c r="A10752" s="2" t="s">
        <v>66102</v>
      </c>
      <c r="B10752" s="2" t="s">
        <v>66103</v>
      </c>
      <c r="C10752" s="2" t="s">
        <v>18729</v>
      </c>
      <c r="D10752" s="2" t="s">
        <v>66104</v>
      </c>
      <c r="E10752" s="2" t="s">
        <v>65377</v>
      </c>
      <c r="F10752" s="2" t="s">
        <v>27433</v>
      </c>
      <c r="G10752" s="2" t="s">
        <v>66105</v>
      </c>
      <c r="H10752" s="3" t="s">
        <v>31</v>
      </c>
      <c r="I10752" s="3">
        <v>1.0</v>
      </c>
      <c r="J10752" s="3">
        <v>1.0</v>
      </c>
      <c r="K10752" s="3" t="s">
        <v>31</v>
      </c>
      <c r="L10752" s="4" t="s">
        <v>31</v>
      </c>
      <c r="M10752" s="2" t="s">
        <v>66106</v>
      </c>
      <c r="N10752" s="2" t="s">
        <v>155</v>
      </c>
      <c r="O10752" s="4" t="s">
        <v>156</v>
      </c>
      <c r="P10752" s="2" t="s">
        <v>65382</v>
      </c>
      <c r="Q10752" s="2" t="s">
        <v>31</v>
      </c>
      <c r="R10752" s="2" t="s">
        <v>64</v>
      </c>
      <c r="S10752" s="4" t="s">
        <v>2463</v>
      </c>
      <c r="T10752" s="2" t="s">
        <v>66</v>
      </c>
      <c r="U10752" s="4" t="s">
        <v>31</v>
      </c>
      <c r="V10752" s="2" t="s">
        <v>27433</v>
      </c>
      <c r="W10752" s="2" t="s">
        <v>65377</v>
      </c>
      <c r="X10752" s="5" t="str">
        <f>HYPERLINK("https://my.pitchbook.com?p=209593-36P","View People Online")</f>
        <v>View People Online</v>
      </c>
    </row>
    <row r="10753">
      <c r="A10753" s="14" t="s">
        <v>66107</v>
      </c>
      <c r="B10753" s="14" t="s">
        <v>66108</v>
      </c>
      <c r="C10753" s="14" t="s">
        <v>3096</v>
      </c>
      <c r="D10753" s="14" t="s">
        <v>66109</v>
      </c>
      <c r="E10753" s="14" t="s">
        <v>65377</v>
      </c>
      <c r="F10753" s="14" t="s">
        <v>312</v>
      </c>
      <c r="G10753" s="14" t="s">
        <v>66110</v>
      </c>
      <c r="H10753" s="15" t="s">
        <v>31</v>
      </c>
      <c r="I10753" s="15">
        <v>1.0</v>
      </c>
      <c r="J10753" s="15">
        <v>1.0</v>
      </c>
      <c r="K10753" s="15" t="s">
        <v>31</v>
      </c>
      <c r="L10753" s="16" t="s">
        <v>31</v>
      </c>
      <c r="M10753" s="14" t="s">
        <v>66111</v>
      </c>
      <c r="N10753" s="14" t="s">
        <v>155</v>
      </c>
      <c r="O10753" s="16" t="s">
        <v>156</v>
      </c>
      <c r="P10753" s="14" t="s">
        <v>65382</v>
      </c>
      <c r="Q10753" s="14" t="s">
        <v>31</v>
      </c>
      <c r="R10753" s="14" t="s">
        <v>64</v>
      </c>
      <c r="S10753" s="16" t="s">
        <v>2463</v>
      </c>
      <c r="T10753" s="14" t="s">
        <v>66</v>
      </c>
      <c r="U10753" s="16" t="s">
        <v>31</v>
      </c>
      <c r="V10753" s="14" t="s">
        <v>312</v>
      </c>
      <c r="W10753" s="14" t="s">
        <v>65377</v>
      </c>
      <c r="X10753" s="17" t="str">
        <f>HYPERLINK("https://my.pitchbook.com?p=73749-43P","View People Online")</f>
        <v>View People Online</v>
      </c>
    </row>
    <row r="10754">
      <c r="A10754" s="10" t="s">
        <v>66112</v>
      </c>
      <c r="B10754" s="10" t="s">
        <v>66113</v>
      </c>
      <c r="C10754" s="10" t="s">
        <v>2596</v>
      </c>
      <c r="D10754" s="10" t="s">
        <v>66114</v>
      </c>
      <c r="E10754" s="10" t="s">
        <v>65377</v>
      </c>
      <c r="F10754" s="10" t="s">
        <v>65456</v>
      </c>
      <c r="G10754" s="10" t="s">
        <v>66115</v>
      </c>
      <c r="H10754" s="11" t="s">
        <v>31</v>
      </c>
      <c r="I10754" s="11">
        <v>1.0</v>
      </c>
      <c r="J10754" s="11">
        <v>1.0</v>
      </c>
      <c r="K10754" s="11" t="s">
        <v>31</v>
      </c>
      <c r="L10754" s="12" t="s">
        <v>66116</v>
      </c>
      <c r="M10754" s="10" t="s">
        <v>66117</v>
      </c>
      <c r="N10754" s="10" t="s">
        <v>75</v>
      </c>
      <c r="O10754" s="12" t="s">
        <v>76</v>
      </c>
      <c r="P10754" s="10" t="s">
        <v>65404</v>
      </c>
      <c r="Q10754" s="10" t="s">
        <v>31</v>
      </c>
      <c r="R10754" s="10" t="s">
        <v>75</v>
      </c>
      <c r="S10754" s="12" t="s">
        <v>57992</v>
      </c>
      <c r="T10754" s="10" t="s">
        <v>66</v>
      </c>
      <c r="U10754" s="12" t="s">
        <v>31</v>
      </c>
      <c r="V10754" s="10" t="s">
        <v>66118</v>
      </c>
      <c r="W10754" s="10" t="s">
        <v>65377</v>
      </c>
      <c r="X10754" s="13" t="str">
        <f>HYPERLINK("https://my.pitchbook.com?p=99693-19P","View People Online")</f>
        <v>View People Online</v>
      </c>
    </row>
    <row r="10755">
      <c r="A10755" s="6" t="s">
        <v>66119</v>
      </c>
      <c r="B10755" s="6" t="s">
        <v>66120</v>
      </c>
      <c r="C10755" s="6" t="s">
        <v>2221</v>
      </c>
      <c r="D10755" s="6" t="s">
        <v>66121</v>
      </c>
      <c r="E10755" s="6" t="s">
        <v>65377</v>
      </c>
      <c r="F10755" s="6" t="s">
        <v>221</v>
      </c>
      <c r="G10755" s="6" t="s">
        <v>66122</v>
      </c>
      <c r="H10755" s="7" t="s">
        <v>31</v>
      </c>
      <c r="I10755" s="7">
        <v>1.0</v>
      </c>
      <c r="J10755" s="7">
        <v>1.0</v>
      </c>
      <c r="K10755" s="7" t="s">
        <v>31</v>
      </c>
      <c r="L10755" s="8" t="s">
        <v>31</v>
      </c>
      <c r="M10755" s="6" t="s">
        <v>66123</v>
      </c>
      <c r="N10755" s="6" t="s">
        <v>155</v>
      </c>
      <c r="O10755" s="8" t="s">
        <v>156</v>
      </c>
      <c r="P10755" s="6" t="s">
        <v>65382</v>
      </c>
      <c r="Q10755" s="6" t="s">
        <v>31</v>
      </c>
      <c r="R10755" s="6" t="s">
        <v>64</v>
      </c>
      <c r="S10755" s="8" t="s">
        <v>2463</v>
      </c>
      <c r="T10755" s="6" t="s">
        <v>66</v>
      </c>
      <c r="U10755" s="8" t="s">
        <v>31</v>
      </c>
      <c r="V10755" s="6" t="s">
        <v>66124</v>
      </c>
      <c r="W10755" s="6" t="s">
        <v>65377</v>
      </c>
      <c r="X10755" s="9" t="str">
        <f>HYPERLINK("https://my.pitchbook.com?p=258236-83P","View People Online")</f>
        <v>View People Online</v>
      </c>
    </row>
    <row r="10756">
      <c r="A10756" s="10" t="s">
        <v>66125</v>
      </c>
      <c r="B10756" s="10" t="s">
        <v>66126</v>
      </c>
      <c r="C10756" s="10" t="s">
        <v>46337</v>
      </c>
      <c r="D10756" s="10" t="s">
        <v>28011</v>
      </c>
      <c r="E10756" s="10" t="s">
        <v>65377</v>
      </c>
      <c r="F10756" s="10" t="s">
        <v>270</v>
      </c>
      <c r="G10756" s="10" t="s">
        <v>66127</v>
      </c>
      <c r="H10756" s="11" t="s">
        <v>31</v>
      </c>
      <c r="I10756" s="11">
        <v>2.0</v>
      </c>
      <c r="J10756" s="11">
        <v>1.0</v>
      </c>
      <c r="K10756" s="11">
        <v>1.0</v>
      </c>
      <c r="L10756" s="12" t="s">
        <v>31</v>
      </c>
      <c r="M10756" s="10" t="s">
        <v>66128</v>
      </c>
      <c r="N10756" s="10" t="s">
        <v>155</v>
      </c>
      <c r="O10756" s="12" t="s">
        <v>156</v>
      </c>
      <c r="P10756" s="10" t="s">
        <v>65382</v>
      </c>
      <c r="Q10756" s="10" t="s">
        <v>31</v>
      </c>
      <c r="R10756" s="10" t="s">
        <v>64</v>
      </c>
      <c r="S10756" s="12" t="s">
        <v>2463</v>
      </c>
      <c r="T10756" s="10" t="s">
        <v>66</v>
      </c>
      <c r="U10756" s="12" t="s">
        <v>31</v>
      </c>
      <c r="V10756" s="10" t="s">
        <v>66129</v>
      </c>
      <c r="W10756" s="10" t="s">
        <v>65377</v>
      </c>
      <c r="X10756" s="13" t="str">
        <f>HYPERLINK("https://my.pitchbook.com?p=425207-35P","View People Online")</f>
        <v>View People Online</v>
      </c>
    </row>
    <row r="10757">
      <c r="A10757" s="6" t="s">
        <v>66130</v>
      </c>
      <c r="B10757" s="6" t="s">
        <v>66131</v>
      </c>
      <c r="C10757" s="6" t="s">
        <v>1644</v>
      </c>
      <c r="D10757" s="6" t="s">
        <v>66132</v>
      </c>
      <c r="E10757" s="6" t="s">
        <v>65377</v>
      </c>
      <c r="F10757" s="6" t="s">
        <v>270</v>
      </c>
      <c r="G10757" s="6" t="s">
        <v>66133</v>
      </c>
      <c r="H10757" s="7" t="s">
        <v>31</v>
      </c>
      <c r="I10757" s="7">
        <v>1.0</v>
      </c>
      <c r="J10757" s="7">
        <v>1.0</v>
      </c>
      <c r="K10757" s="7" t="s">
        <v>31</v>
      </c>
      <c r="L10757" s="8" t="s">
        <v>65964</v>
      </c>
      <c r="M10757" s="6" t="s">
        <v>66134</v>
      </c>
      <c r="N10757" s="6" t="s">
        <v>53829</v>
      </c>
      <c r="O10757" s="8" t="s">
        <v>53830</v>
      </c>
      <c r="P10757" s="6" t="s">
        <v>65966</v>
      </c>
      <c r="Q10757" s="6" t="s">
        <v>65967</v>
      </c>
      <c r="R10757" s="6" t="s">
        <v>396</v>
      </c>
      <c r="S10757" s="8" t="s">
        <v>65968</v>
      </c>
      <c r="T10757" s="6" t="s">
        <v>66</v>
      </c>
      <c r="U10757" s="8" t="s">
        <v>31</v>
      </c>
      <c r="V10757" s="6" t="s">
        <v>66135</v>
      </c>
      <c r="W10757" s="6" t="s">
        <v>65377</v>
      </c>
      <c r="X10757" s="9" t="str">
        <f>HYPERLINK("https://my.pitchbook.com?p=82897-12P","View People Online")</f>
        <v>View People Online</v>
      </c>
    </row>
    <row r="10758">
      <c r="A10758" s="2" t="s">
        <v>66136</v>
      </c>
      <c r="B10758" s="2" t="s">
        <v>66137</v>
      </c>
      <c r="C10758" s="2" t="s">
        <v>66138</v>
      </c>
      <c r="D10758" s="2" t="s">
        <v>66139</v>
      </c>
      <c r="E10758" s="2" t="s">
        <v>65377</v>
      </c>
      <c r="F10758" s="2" t="s">
        <v>1801</v>
      </c>
      <c r="G10758" s="2" t="s">
        <v>66140</v>
      </c>
      <c r="H10758" s="3" t="s">
        <v>31</v>
      </c>
      <c r="I10758" s="3">
        <v>1.0</v>
      </c>
      <c r="J10758" s="3">
        <v>1.0</v>
      </c>
      <c r="K10758" s="3" t="s">
        <v>31</v>
      </c>
      <c r="L10758" s="4" t="s">
        <v>31</v>
      </c>
      <c r="M10758" s="2" t="s">
        <v>66141</v>
      </c>
      <c r="N10758" s="2" t="s">
        <v>155</v>
      </c>
      <c r="O10758" s="4" t="s">
        <v>156</v>
      </c>
      <c r="P10758" s="2" t="s">
        <v>65382</v>
      </c>
      <c r="Q10758" s="2" t="s">
        <v>31</v>
      </c>
      <c r="R10758" s="2" t="s">
        <v>64</v>
      </c>
      <c r="S10758" s="4" t="s">
        <v>2463</v>
      </c>
      <c r="T10758" s="2" t="s">
        <v>66</v>
      </c>
      <c r="U10758" s="4" t="s">
        <v>31</v>
      </c>
      <c r="V10758" s="2" t="s">
        <v>66142</v>
      </c>
      <c r="W10758" s="2" t="s">
        <v>65377</v>
      </c>
      <c r="X10758" s="5" t="str">
        <f>HYPERLINK("https://my.pitchbook.com?p=202097-08P","View People Online")</f>
        <v>View People Online</v>
      </c>
    </row>
    <row r="10759">
      <c r="A10759" s="14" t="s">
        <v>66143</v>
      </c>
      <c r="B10759" s="14" t="s">
        <v>66144</v>
      </c>
      <c r="C10759" s="14" t="s">
        <v>5113</v>
      </c>
      <c r="D10759" s="14" t="s">
        <v>21499</v>
      </c>
      <c r="E10759" s="14" t="s">
        <v>65377</v>
      </c>
      <c r="F10759" s="14" t="s">
        <v>65443</v>
      </c>
      <c r="G10759" s="14" t="s">
        <v>66145</v>
      </c>
      <c r="H10759" s="15" t="s">
        <v>31</v>
      </c>
      <c r="I10759" s="15">
        <v>1.0</v>
      </c>
      <c r="J10759" s="15">
        <v>1.0</v>
      </c>
      <c r="K10759" s="15" t="s">
        <v>31</v>
      </c>
      <c r="L10759" s="16" t="s">
        <v>66146</v>
      </c>
      <c r="M10759" s="14" t="s">
        <v>66147</v>
      </c>
      <c r="N10759" s="14" t="s">
        <v>51558</v>
      </c>
      <c r="O10759" s="16" t="s">
        <v>51559</v>
      </c>
      <c r="P10759" s="14" t="s">
        <v>66148</v>
      </c>
      <c r="Q10759" s="14" t="s">
        <v>65967</v>
      </c>
      <c r="R10759" s="14" t="s">
        <v>64</v>
      </c>
      <c r="S10759" s="16" t="s">
        <v>51561</v>
      </c>
      <c r="T10759" s="14" t="s">
        <v>66</v>
      </c>
      <c r="U10759" s="16" t="s">
        <v>31</v>
      </c>
      <c r="V10759" s="14" t="s">
        <v>66149</v>
      </c>
      <c r="W10759" s="14" t="s">
        <v>65377</v>
      </c>
      <c r="X10759" s="17" t="str">
        <f>HYPERLINK("https://my.pitchbook.com?p=387099-91P","View People Online")</f>
        <v>View People Online</v>
      </c>
    </row>
    <row r="10760">
      <c r="A10760" s="10" t="s">
        <v>66150</v>
      </c>
      <c r="B10760" s="10" t="s">
        <v>66151</v>
      </c>
      <c r="C10760" s="10" t="s">
        <v>4480</v>
      </c>
      <c r="D10760" s="10" t="s">
        <v>63655</v>
      </c>
      <c r="E10760" s="10" t="s">
        <v>65377</v>
      </c>
      <c r="F10760" s="10" t="s">
        <v>713</v>
      </c>
      <c r="G10760" s="10" t="s">
        <v>66152</v>
      </c>
      <c r="H10760" s="11" t="s">
        <v>31</v>
      </c>
      <c r="I10760" s="11">
        <v>1.0</v>
      </c>
      <c r="J10760" s="11">
        <v>1.0</v>
      </c>
      <c r="K10760" s="11" t="s">
        <v>31</v>
      </c>
      <c r="L10760" s="12" t="s">
        <v>31</v>
      </c>
      <c r="M10760" s="10" t="s">
        <v>66153</v>
      </c>
      <c r="N10760" s="10" t="s">
        <v>155</v>
      </c>
      <c r="O10760" s="12" t="s">
        <v>156</v>
      </c>
      <c r="P10760" s="10" t="s">
        <v>65382</v>
      </c>
      <c r="Q10760" s="10" t="s">
        <v>31</v>
      </c>
      <c r="R10760" s="10" t="s">
        <v>64</v>
      </c>
      <c r="S10760" s="12" t="s">
        <v>2463</v>
      </c>
      <c r="T10760" s="10" t="s">
        <v>66</v>
      </c>
      <c r="U10760" s="12" t="s">
        <v>31</v>
      </c>
      <c r="V10760" s="10" t="s">
        <v>66154</v>
      </c>
      <c r="W10760" s="10" t="s">
        <v>65377</v>
      </c>
      <c r="X10760" s="13" t="str">
        <f>HYPERLINK("https://my.pitchbook.com?p=288046-63P","View People Online")</f>
        <v>View People Online</v>
      </c>
    </row>
    <row r="10761">
      <c r="A10761" s="14" t="s">
        <v>66155</v>
      </c>
      <c r="B10761" s="14" t="s">
        <v>66156</v>
      </c>
      <c r="C10761" s="14" t="s">
        <v>66157</v>
      </c>
      <c r="D10761" s="14" t="s">
        <v>22811</v>
      </c>
      <c r="E10761" s="14" t="s">
        <v>65377</v>
      </c>
      <c r="F10761" s="14" t="s">
        <v>66158</v>
      </c>
      <c r="G10761" s="14" t="s">
        <v>66159</v>
      </c>
      <c r="H10761" s="15" t="s">
        <v>31</v>
      </c>
      <c r="I10761" s="15">
        <v>1.0</v>
      </c>
      <c r="J10761" s="15">
        <v>1.0</v>
      </c>
      <c r="K10761" s="15" t="s">
        <v>31</v>
      </c>
      <c r="L10761" s="16" t="s">
        <v>31</v>
      </c>
      <c r="M10761" s="14" t="s">
        <v>66160</v>
      </c>
      <c r="N10761" s="14" t="s">
        <v>155</v>
      </c>
      <c r="O10761" s="16" t="s">
        <v>156</v>
      </c>
      <c r="P10761" s="14" t="s">
        <v>65382</v>
      </c>
      <c r="Q10761" s="14" t="s">
        <v>31</v>
      </c>
      <c r="R10761" s="14" t="s">
        <v>64</v>
      </c>
      <c r="S10761" s="16" t="s">
        <v>2463</v>
      </c>
      <c r="T10761" s="14" t="s">
        <v>66</v>
      </c>
      <c r="U10761" s="16" t="s">
        <v>31</v>
      </c>
      <c r="V10761" s="14" t="s">
        <v>66161</v>
      </c>
      <c r="W10761" s="14" t="s">
        <v>65377</v>
      </c>
      <c r="X10761" s="17" t="str">
        <f>HYPERLINK("https://my.pitchbook.com?p=384923-44P","View People Online")</f>
        <v>View People Online</v>
      </c>
    </row>
    <row r="10762">
      <c r="A10762" s="2" t="s">
        <v>66162</v>
      </c>
      <c r="B10762" s="2" t="s">
        <v>66163</v>
      </c>
      <c r="C10762" s="2" t="s">
        <v>2254</v>
      </c>
      <c r="D10762" s="2" t="s">
        <v>10601</v>
      </c>
      <c r="E10762" s="2" t="s">
        <v>65377</v>
      </c>
      <c r="F10762" s="2" t="s">
        <v>270</v>
      </c>
      <c r="G10762" s="2" t="s">
        <v>66164</v>
      </c>
      <c r="H10762" s="3" t="s">
        <v>31</v>
      </c>
      <c r="I10762" s="3">
        <v>1.0</v>
      </c>
      <c r="J10762" s="3">
        <v>1.0</v>
      </c>
      <c r="K10762" s="3" t="s">
        <v>31</v>
      </c>
      <c r="L10762" s="4" t="s">
        <v>65753</v>
      </c>
      <c r="M10762" s="2" t="s">
        <v>66165</v>
      </c>
      <c r="N10762" s="2" t="s">
        <v>10983</v>
      </c>
      <c r="O10762" s="4" t="s">
        <v>37748</v>
      </c>
      <c r="P10762" s="2" t="s">
        <v>65397</v>
      </c>
      <c r="Q10762" s="2" t="s">
        <v>11360</v>
      </c>
      <c r="R10762" s="2" t="s">
        <v>37751</v>
      </c>
      <c r="S10762" s="4" t="s">
        <v>65398</v>
      </c>
      <c r="T10762" s="2" t="s">
        <v>66</v>
      </c>
      <c r="U10762" s="4" t="s">
        <v>31</v>
      </c>
      <c r="V10762" s="2" t="s">
        <v>66166</v>
      </c>
      <c r="W10762" s="2" t="s">
        <v>65377</v>
      </c>
      <c r="X10762" s="5" t="str">
        <f>HYPERLINK("https://my.pitchbook.com?p=144682-66P","View People Online")</f>
        <v>View People Online</v>
      </c>
    </row>
    <row r="10763">
      <c r="A10763" s="14" t="s">
        <v>66167</v>
      </c>
      <c r="B10763" s="14" t="s">
        <v>66168</v>
      </c>
      <c r="C10763" s="14" t="s">
        <v>40000</v>
      </c>
      <c r="D10763" s="14" t="s">
        <v>27841</v>
      </c>
      <c r="E10763" s="14" t="s">
        <v>65377</v>
      </c>
      <c r="F10763" s="14" t="s">
        <v>3710</v>
      </c>
      <c r="G10763" s="14" t="s">
        <v>66169</v>
      </c>
      <c r="H10763" s="15" t="s">
        <v>31</v>
      </c>
      <c r="I10763" s="15">
        <v>1.0</v>
      </c>
      <c r="J10763" s="15">
        <v>1.0</v>
      </c>
      <c r="K10763" s="15" t="s">
        <v>31</v>
      </c>
      <c r="L10763" s="16" t="s">
        <v>65753</v>
      </c>
      <c r="M10763" s="14" t="s">
        <v>66170</v>
      </c>
      <c r="N10763" s="14" t="s">
        <v>10983</v>
      </c>
      <c r="O10763" s="16" t="s">
        <v>37748</v>
      </c>
      <c r="P10763" s="14" t="s">
        <v>65397</v>
      </c>
      <c r="Q10763" s="14" t="s">
        <v>11360</v>
      </c>
      <c r="R10763" s="14" t="s">
        <v>37751</v>
      </c>
      <c r="S10763" s="16" t="s">
        <v>65398</v>
      </c>
      <c r="T10763" s="14" t="s">
        <v>66</v>
      </c>
      <c r="U10763" s="16" t="s">
        <v>31</v>
      </c>
      <c r="V10763" s="14" t="s">
        <v>66171</v>
      </c>
      <c r="W10763" s="14" t="s">
        <v>65377</v>
      </c>
      <c r="X10763" s="17" t="str">
        <f>HYPERLINK("https://my.pitchbook.com?p=371141-38P","View People Online")</f>
        <v>View People Online</v>
      </c>
    </row>
    <row r="10764">
      <c r="A10764" s="2" t="s">
        <v>66172</v>
      </c>
      <c r="B10764" s="2" t="s">
        <v>66173</v>
      </c>
      <c r="C10764" s="2" t="s">
        <v>6043</v>
      </c>
      <c r="D10764" s="2" t="s">
        <v>5555</v>
      </c>
      <c r="E10764" s="2" t="s">
        <v>65377</v>
      </c>
      <c r="F10764" s="2" t="s">
        <v>825</v>
      </c>
      <c r="G10764" s="2" t="s">
        <v>66174</v>
      </c>
      <c r="H10764" s="3" t="s">
        <v>31</v>
      </c>
      <c r="I10764" s="3">
        <v>2.0</v>
      </c>
      <c r="J10764" s="3">
        <v>1.0</v>
      </c>
      <c r="K10764" s="3">
        <v>1.0</v>
      </c>
      <c r="L10764" s="4" t="s">
        <v>31</v>
      </c>
      <c r="M10764" s="2" t="s">
        <v>66175</v>
      </c>
      <c r="N10764" s="2" t="s">
        <v>155</v>
      </c>
      <c r="O10764" s="4" t="s">
        <v>156</v>
      </c>
      <c r="P10764" s="2" t="s">
        <v>65382</v>
      </c>
      <c r="Q10764" s="2" t="s">
        <v>31</v>
      </c>
      <c r="R10764" s="2" t="s">
        <v>64</v>
      </c>
      <c r="S10764" s="4" t="s">
        <v>2463</v>
      </c>
      <c r="T10764" s="2" t="s">
        <v>66</v>
      </c>
      <c r="U10764" s="4" t="s">
        <v>31</v>
      </c>
      <c r="V10764" s="2" t="s">
        <v>66176</v>
      </c>
      <c r="W10764" s="2" t="s">
        <v>65377</v>
      </c>
      <c r="X10764" s="5" t="str">
        <f>HYPERLINK("https://my.pitchbook.com?p=41455-90P","View People Online")</f>
        <v>View People Online</v>
      </c>
    </row>
    <row r="10765">
      <c r="A10765" s="6" t="s">
        <v>66177</v>
      </c>
      <c r="B10765" s="6" t="s">
        <v>66178</v>
      </c>
      <c r="C10765" s="6" t="s">
        <v>19274</v>
      </c>
      <c r="D10765" s="6" t="s">
        <v>5692</v>
      </c>
      <c r="E10765" s="6" t="s">
        <v>65377</v>
      </c>
      <c r="F10765" s="6" t="s">
        <v>713</v>
      </c>
      <c r="G10765" s="6" t="s">
        <v>66179</v>
      </c>
      <c r="H10765" s="7" t="s">
        <v>31</v>
      </c>
      <c r="I10765" s="7">
        <v>1.0</v>
      </c>
      <c r="J10765" s="7">
        <v>1.0</v>
      </c>
      <c r="K10765" s="7" t="s">
        <v>31</v>
      </c>
      <c r="L10765" s="8" t="s">
        <v>31</v>
      </c>
      <c r="M10765" s="6" t="s">
        <v>66180</v>
      </c>
      <c r="N10765" s="6" t="s">
        <v>155</v>
      </c>
      <c r="O10765" s="8" t="s">
        <v>156</v>
      </c>
      <c r="P10765" s="6" t="s">
        <v>65382</v>
      </c>
      <c r="Q10765" s="6" t="s">
        <v>31</v>
      </c>
      <c r="R10765" s="6" t="s">
        <v>64</v>
      </c>
      <c r="S10765" s="8" t="s">
        <v>2463</v>
      </c>
      <c r="T10765" s="6" t="s">
        <v>66</v>
      </c>
      <c r="U10765" s="8" t="s">
        <v>31</v>
      </c>
      <c r="V10765" s="6" t="s">
        <v>66181</v>
      </c>
      <c r="W10765" s="6" t="s">
        <v>65377</v>
      </c>
      <c r="X10765" s="9" t="str">
        <f>HYPERLINK("https://my.pitchbook.com?p=81254-80P","View People Online")</f>
        <v>View People Online</v>
      </c>
    </row>
    <row r="10766">
      <c r="A10766" s="10" t="s">
        <v>66182</v>
      </c>
      <c r="B10766" s="10" t="s">
        <v>66183</v>
      </c>
      <c r="C10766" s="10" t="s">
        <v>2288</v>
      </c>
      <c r="D10766" s="10" t="s">
        <v>66184</v>
      </c>
      <c r="E10766" s="10" t="s">
        <v>65377</v>
      </c>
      <c r="F10766" s="10" t="s">
        <v>8021</v>
      </c>
      <c r="G10766" s="10" t="s">
        <v>66185</v>
      </c>
      <c r="H10766" s="11" t="s">
        <v>31</v>
      </c>
      <c r="I10766" s="11">
        <v>1.0</v>
      </c>
      <c r="J10766" s="11">
        <v>1.0</v>
      </c>
      <c r="K10766" s="11" t="s">
        <v>31</v>
      </c>
      <c r="L10766" s="12" t="s">
        <v>31</v>
      </c>
      <c r="M10766" s="10" t="s">
        <v>66186</v>
      </c>
      <c r="N10766" s="10" t="s">
        <v>155</v>
      </c>
      <c r="O10766" s="12" t="s">
        <v>156</v>
      </c>
      <c r="P10766" s="10" t="s">
        <v>65382</v>
      </c>
      <c r="Q10766" s="10" t="s">
        <v>31</v>
      </c>
      <c r="R10766" s="10" t="s">
        <v>64</v>
      </c>
      <c r="S10766" s="12" t="s">
        <v>2463</v>
      </c>
      <c r="T10766" s="10" t="s">
        <v>66</v>
      </c>
      <c r="U10766" s="12" t="s">
        <v>31</v>
      </c>
      <c r="V10766" s="10" t="s">
        <v>66187</v>
      </c>
      <c r="W10766" s="10" t="s">
        <v>65377</v>
      </c>
      <c r="X10766" s="13" t="str">
        <f>HYPERLINK("https://my.pitchbook.com?p=127905-85P","View People Online")</f>
        <v>View People Online</v>
      </c>
    </row>
    <row r="10767">
      <c r="A10767" s="14" t="s">
        <v>66188</v>
      </c>
      <c r="B10767" s="14" t="s">
        <v>66189</v>
      </c>
      <c r="C10767" s="14" t="s">
        <v>2288</v>
      </c>
      <c r="D10767" s="14" t="s">
        <v>66190</v>
      </c>
      <c r="E10767" s="14" t="s">
        <v>65377</v>
      </c>
      <c r="F10767" s="14" t="s">
        <v>1283</v>
      </c>
      <c r="G10767" s="14" t="s">
        <v>66191</v>
      </c>
      <c r="H10767" s="15" t="s">
        <v>31</v>
      </c>
      <c r="I10767" s="15">
        <v>2.0</v>
      </c>
      <c r="J10767" s="15">
        <v>1.0</v>
      </c>
      <c r="K10767" s="15">
        <v>1.0</v>
      </c>
      <c r="L10767" s="16" t="s">
        <v>65402</v>
      </c>
      <c r="M10767" s="14" t="s">
        <v>66192</v>
      </c>
      <c r="N10767" s="14" t="s">
        <v>75</v>
      </c>
      <c r="O10767" s="16" t="s">
        <v>76</v>
      </c>
      <c r="P10767" s="14" t="s">
        <v>65404</v>
      </c>
      <c r="Q10767" s="14" t="s">
        <v>31</v>
      </c>
      <c r="R10767" s="14" t="s">
        <v>75</v>
      </c>
      <c r="S10767" s="16" t="s">
        <v>57992</v>
      </c>
      <c r="T10767" s="14" t="s">
        <v>66</v>
      </c>
      <c r="U10767" s="16" t="s">
        <v>31</v>
      </c>
      <c r="V10767" s="14" t="s">
        <v>66193</v>
      </c>
      <c r="W10767" s="14" t="s">
        <v>65377</v>
      </c>
      <c r="X10767" s="17" t="str">
        <f>HYPERLINK("https://my.pitchbook.com?p=18171-91P","View People Online")</f>
        <v>View People Online</v>
      </c>
    </row>
    <row r="10768">
      <c r="A10768" s="10" t="s">
        <v>66194</v>
      </c>
      <c r="B10768" s="10" t="s">
        <v>66195</v>
      </c>
      <c r="C10768" s="10" t="s">
        <v>2288</v>
      </c>
      <c r="D10768" s="10" t="s">
        <v>66196</v>
      </c>
      <c r="E10768" s="10" t="s">
        <v>65377</v>
      </c>
      <c r="F10768" s="10" t="s">
        <v>1283</v>
      </c>
      <c r="G10768" s="10" t="s">
        <v>66197</v>
      </c>
      <c r="H10768" s="11" t="s">
        <v>31</v>
      </c>
      <c r="I10768" s="11">
        <v>1.0</v>
      </c>
      <c r="J10768" s="11">
        <v>1.0</v>
      </c>
      <c r="K10768" s="11" t="s">
        <v>31</v>
      </c>
      <c r="L10768" s="12" t="s">
        <v>31</v>
      </c>
      <c r="M10768" s="10" t="s">
        <v>66198</v>
      </c>
      <c r="N10768" s="10" t="s">
        <v>155</v>
      </c>
      <c r="O10768" s="12" t="s">
        <v>156</v>
      </c>
      <c r="P10768" s="10" t="s">
        <v>65382</v>
      </c>
      <c r="Q10768" s="10" t="s">
        <v>31</v>
      </c>
      <c r="R10768" s="10" t="s">
        <v>64</v>
      </c>
      <c r="S10768" s="12" t="s">
        <v>2463</v>
      </c>
      <c r="T10768" s="10" t="s">
        <v>66</v>
      </c>
      <c r="U10768" s="12" t="s">
        <v>31</v>
      </c>
      <c r="V10768" s="10" t="s">
        <v>1283</v>
      </c>
      <c r="W10768" s="10" t="s">
        <v>65377</v>
      </c>
      <c r="X10768" s="13" t="str">
        <f>HYPERLINK("https://my.pitchbook.com?p=31117-78P","View People Online")</f>
        <v>View People Online</v>
      </c>
    </row>
    <row r="10769">
      <c r="A10769" s="14" t="s">
        <v>66199</v>
      </c>
      <c r="B10769" s="14" t="s">
        <v>66200</v>
      </c>
      <c r="C10769" s="14" t="s">
        <v>2288</v>
      </c>
      <c r="D10769" s="14" t="s">
        <v>66201</v>
      </c>
      <c r="E10769" s="14" t="s">
        <v>65377</v>
      </c>
      <c r="F10769" s="14" t="s">
        <v>221</v>
      </c>
      <c r="G10769" s="14" t="s">
        <v>66202</v>
      </c>
      <c r="H10769" s="15" t="s">
        <v>31</v>
      </c>
      <c r="I10769" s="15">
        <v>1.0</v>
      </c>
      <c r="J10769" s="15">
        <v>1.0</v>
      </c>
      <c r="K10769" s="15" t="s">
        <v>31</v>
      </c>
      <c r="L10769" s="16" t="s">
        <v>31</v>
      </c>
      <c r="M10769" s="14" t="s">
        <v>66203</v>
      </c>
      <c r="N10769" s="14" t="s">
        <v>155</v>
      </c>
      <c r="O10769" s="16" t="s">
        <v>156</v>
      </c>
      <c r="P10769" s="14" t="s">
        <v>65382</v>
      </c>
      <c r="Q10769" s="14" t="s">
        <v>31</v>
      </c>
      <c r="R10769" s="14" t="s">
        <v>64</v>
      </c>
      <c r="S10769" s="16" t="s">
        <v>2463</v>
      </c>
      <c r="T10769" s="14" t="s">
        <v>66</v>
      </c>
      <c r="U10769" s="16" t="s">
        <v>31</v>
      </c>
      <c r="V10769" s="14" t="s">
        <v>221</v>
      </c>
      <c r="W10769" s="14" t="s">
        <v>65377</v>
      </c>
      <c r="X10769" s="17" t="str">
        <f>HYPERLINK("https://my.pitchbook.com?p=455973-67P","View People Online")</f>
        <v>View People Online</v>
      </c>
    </row>
    <row r="10770">
      <c r="A10770" s="2" t="s">
        <v>66204</v>
      </c>
      <c r="B10770" s="2" t="s">
        <v>66205</v>
      </c>
      <c r="C10770" s="2" t="s">
        <v>2288</v>
      </c>
      <c r="D10770" s="2" t="s">
        <v>4028</v>
      </c>
      <c r="E10770" s="2" t="s">
        <v>65377</v>
      </c>
      <c r="F10770" s="2" t="s">
        <v>312</v>
      </c>
      <c r="G10770" s="2" t="s">
        <v>66206</v>
      </c>
      <c r="H10770" s="3" t="s">
        <v>31</v>
      </c>
      <c r="I10770" s="3">
        <v>1.0</v>
      </c>
      <c r="J10770" s="3">
        <v>1.0</v>
      </c>
      <c r="K10770" s="3" t="s">
        <v>31</v>
      </c>
      <c r="L10770" s="4" t="s">
        <v>66207</v>
      </c>
      <c r="M10770" s="2" t="s">
        <v>66208</v>
      </c>
      <c r="N10770" s="2" t="s">
        <v>66209</v>
      </c>
      <c r="O10770" s="4" t="s">
        <v>66210</v>
      </c>
      <c r="P10770" s="2" t="s">
        <v>66211</v>
      </c>
      <c r="Q10770" s="2" t="s">
        <v>31</v>
      </c>
      <c r="R10770" s="2" t="s">
        <v>1420</v>
      </c>
      <c r="S10770" s="4" t="s">
        <v>66212</v>
      </c>
      <c r="T10770" s="2" t="s">
        <v>66</v>
      </c>
      <c r="U10770" s="4" t="s">
        <v>66213</v>
      </c>
      <c r="V10770" s="2" t="s">
        <v>66214</v>
      </c>
      <c r="W10770" s="2" t="s">
        <v>65377</v>
      </c>
      <c r="X10770" s="5" t="str">
        <f>HYPERLINK("https://my.pitchbook.com?p=31967-29P","View People Online")</f>
        <v>View People Online</v>
      </c>
    </row>
    <row r="10771">
      <c r="A10771" s="6" t="s">
        <v>66215</v>
      </c>
      <c r="B10771" s="6" t="s">
        <v>66216</v>
      </c>
      <c r="C10771" s="6" t="s">
        <v>2288</v>
      </c>
      <c r="D10771" s="6" t="s">
        <v>66217</v>
      </c>
      <c r="E10771" s="6" t="s">
        <v>65377</v>
      </c>
      <c r="F10771" s="6" t="s">
        <v>371</v>
      </c>
      <c r="G10771" s="6" t="s">
        <v>66218</v>
      </c>
      <c r="H10771" s="7" t="s">
        <v>31</v>
      </c>
      <c r="I10771" s="7">
        <v>1.0</v>
      </c>
      <c r="J10771" s="7">
        <v>1.0</v>
      </c>
      <c r="K10771" s="7" t="s">
        <v>31</v>
      </c>
      <c r="L10771" s="8" t="s">
        <v>31</v>
      </c>
      <c r="M10771" s="6" t="s">
        <v>66219</v>
      </c>
      <c r="N10771" s="6" t="s">
        <v>155</v>
      </c>
      <c r="O10771" s="8" t="s">
        <v>156</v>
      </c>
      <c r="P10771" s="6" t="s">
        <v>65382</v>
      </c>
      <c r="Q10771" s="6" t="s">
        <v>31</v>
      </c>
      <c r="R10771" s="6" t="s">
        <v>64</v>
      </c>
      <c r="S10771" s="8" t="s">
        <v>2463</v>
      </c>
      <c r="T10771" s="6" t="s">
        <v>66</v>
      </c>
      <c r="U10771" s="8" t="s">
        <v>31</v>
      </c>
      <c r="V10771" s="6" t="s">
        <v>371</v>
      </c>
      <c r="W10771" s="6" t="s">
        <v>65377</v>
      </c>
      <c r="X10771" s="9" t="str">
        <f>HYPERLINK("https://my.pitchbook.com?p=32023-36P","View People Online")</f>
        <v>View People Online</v>
      </c>
    </row>
    <row r="10772">
      <c r="A10772" s="10" t="s">
        <v>66220</v>
      </c>
      <c r="B10772" s="10" t="s">
        <v>66221</v>
      </c>
      <c r="C10772" s="10" t="s">
        <v>66222</v>
      </c>
      <c r="D10772" s="10" t="s">
        <v>66223</v>
      </c>
      <c r="E10772" s="10" t="s">
        <v>65377</v>
      </c>
      <c r="F10772" s="10" t="s">
        <v>4800</v>
      </c>
      <c r="G10772" s="10" t="s">
        <v>66224</v>
      </c>
      <c r="H10772" s="11" t="s">
        <v>31</v>
      </c>
      <c r="I10772" s="11">
        <v>1.0</v>
      </c>
      <c r="J10772" s="11">
        <v>1.0</v>
      </c>
      <c r="K10772" s="11" t="s">
        <v>31</v>
      </c>
      <c r="L10772" s="12" t="s">
        <v>31</v>
      </c>
      <c r="M10772" s="10" t="s">
        <v>66225</v>
      </c>
      <c r="N10772" s="10" t="s">
        <v>155</v>
      </c>
      <c r="O10772" s="12" t="s">
        <v>156</v>
      </c>
      <c r="P10772" s="10" t="s">
        <v>65382</v>
      </c>
      <c r="Q10772" s="10" t="s">
        <v>31</v>
      </c>
      <c r="R10772" s="10" t="s">
        <v>64</v>
      </c>
      <c r="S10772" s="12" t="s">
        <v>2463</v>
      </c>
      <c r="T10772" s="10" t="s">
        <v>66</v>
      </c>
      <c r="U10772" s="12" t="s">
        <v>31</v>
      </c>
      <c r="V10772" s="10" t="s">
        <v>66226</v>
      </c>
      <c r="W10772" s="10" t="s">
        <v>65377</v>
      </c>
      <c r="X10772" s="13" t="str">
        <f>HYPERLINK("https://my.pitchbook.com?p=261727-30P","View People Online")</f>
        <v>View People Online</v>
      </c>
    </row>
    <row r="10773">
      <c r="A10773" s="6" t="s">
        <v>66227</v>
      </c>
      <c r="B10773" s="6" t="s">
        <v>66228</v>
      </c>
      <c r="C10773" s="6" t="s">
        <v>3554</v>
      </c>
      <c r="D10773" s="6" t="s">
        <v>66229</v>
      </c>
      <c r="E10773" s="6" t="s">
        <v>65377</v>
      </c>
      <c r="F10773" s="6" t="s">
        <v>825</v>
      </c>
      <c r="G10773" s="6" t="s">
        <v>66230</v>
      </c>
      <c r="H10773" s="7" t="s">
        <v>31</v>
      </c>
      <c r="I10773" s="7">
        <v>2.0</v>
      </c>
      <c r="J10773" s="7">
        <v>2.0</v>
      </c>
      <c r="K10773" s="7" t="s">
        <v>31</v>
      </c>
      <c r="L10773" s="8" t="s">
        <v>66231</v>
      </c>
      <c r="M10773" s="6" t="s">
        <v>66232</v>
      </c>
      <c r="N10773" s="6" t="s">
        <v>66233</v>
      </c>
      <c r="O10773" s="8" t="s">
        <v>66234</v>
      </c>
      <c r="P10773" s="6" t="s">
        <v>66235</v>
      </c>
      <c r="Q10773" s="6" t="s">
        <v>31</v>
      </c>
      <c r="R10773" s="6" t="s">
        <v>3960</v>
      </c>
      <c r="S10773" s="8" t="s">
        <v>66236</v>
      </c>
      <c r="T10773" s="6" t="s">
        <v>66</v>
      </c>
      <c r="U10773" s="8" t="s">
        <v>31</v>
      </c>
      <c r="V10773" s="6" t="s">
        <v>66237</v>
      </c>
      <c r="W10773" s="6" t="s">
        <v>66238</v>
      </c>
      <c r="X10773" s="9" t="str">
        <f>HYPERLINK("https://my.pitchbook.com?p=72379-72P","View People Online")</f>
        <v>View People Online</v>
      </c>
    </row>
    <row r="10774">
      <c r="A10774" s="10" t="s">
        <v>66239</v>
      </c>
      <c r="B10774" s="10" t="s">
        <v>66240</v>
      </c>
      <c r="C10774" s="10" t="s">
        <v>3554</v>
      </c>
      <c r="D10774" s="10" t="s">
        <v>66241</v>
      </c>
      <c r="E10774" s="10" t="s">
        <v>65377</v>
      </c>
      <c r="F10774" s="10" t="s">
        <v>270</v>
      </c>
      <c r="G10774" s="10" t="s">
        <v>66242</v>
      </c>
      <c r="H10774" s="11" t="s">
        <v>31</v>
      </c>
      <c r="I10774" s="11">
        <v>2.0</v>
      </c>
      <c r="J10774" s="11">
        <v>1.0</v>
      </c>
      <c r="K10774" s="11">
        <v>1.0</v>
      </c>
      <c r="L10774" s="12" t="s">
        <v>66243</v>
      </c>
      <c r="M10774" s="10" t="s">
        <v>66244</v>
      </c>
      <c r="N10774" s="10" t="s">
        <v>1635</v>
      </c>
      <c r="O10774" s="12" t="s">
        <v>1636</v>
      </c>
      <c r="P10774" s="10" t="s">
        <v>65479</v>
      </c>
      <c r="Q10774" s="10" t="s">
        <v>31</v>
      </c>
      <c r="R10774" s="10" t="s">
        <v>1638</v>
      </c>
      <c r="S10774" s="12" t="s">
        <v>65480</v>
      </c>
      <c r="T10774" s="10" t="s">
        <v>66</v>
      </c>
      <c r="U10774" s="12" t="s">
        <v>31</v>
      </c>
      <c r="V10774" s="10" t="s">
        <v>66245</v>
      </c>
      <c r="W10774" s="10" t="s">
        <v>65377</v>
      </c>
      <c r="X10774" s="13" t="str">
        <f>HYPERLINK("https://my.pitchbook.com?p=429401-53P","View People Online")</f>
        <v>View People Online</v>
      </c>
    </row>
    <row r="10775">
      <c r="A10775" s="6" t="s">
        <v>66246</v>
      </c>
      <c r="B10775" s="6" t="s">
        <v>66247</v>
      </c>
      <c r="C10775" s="6" t="s">
        <v>160</v>
      </c>
      <c r="D10775" s="6" t="s">
        <v>66248</v>
      </c>
      <c r="E10775" s="6" t="s">
        <v>65377</v>
      </c>
      <c r="F10775" s="6" t="s">
        <v>548</v>
      </c>
      <c r="G10775" s="6" t="s">
        <v>66249</v>
      </c>
      <c r="H10775" s="7" t="s">
        <v>31</v>
      </c>
      <c r="I10775" s="7">
        <v>1.0</v>
      </c>
      <c r="J10775" s="7">
        <v>1.0</v>
      </c>
      <c r="K10775" s="7" t="s">
        <v>31</v>
      </c>
      <c r="L10775" s="8" t="s">
        <v>66250</v>
      </c>
      <c r="M10775" s="6" t="s">
        <v>66251</v>
      </c>
      <c r="N10775" s="6" t="s">
        <v>10983</v>
      </c>
      <c r="O10775" s="8" t="s">
        <v>37748</v>
      </c>
      <c r="P10775" s="6" t="s">
        <v>65397</v>
      </c>
      <c r="Q10775" s="6" t="s">
        <v>11360</v>
      </c>
      <c r="R10775" s="6" t="s">
        <v>37751</v>
      </c>
      <c r="S10775" s="8" t="s">
        <v>65398</v>
      </c>
      <c r="T10775" s="6" t="s">
        <v>66</v>
      </c>
      <c r="U10775" s="8" t="s">
        <v>31</v>
      </c>
      <c r="V10775" s="6" t="s">
        <v>66252</v>
      </c>
      <c r="W10775" s="6" t="s">
        <v>65377</v>
      </c>
      <c r="X10775" s="9" t="str">
        <f>HYPERLINK("https://my.pitchbook.com?p=135181-81P","View People Online")</f>
        <v>View People Online</v>
      </c>
    </row>
    <row r="10776">
      <c r="A10776" s="10" t="s">
        <v>66253</v>
      </c>
      <c r="B10776" s="10" t="s">
        <v>33421</v>
      </c>
      <c r="C10776" s="10" t="s">
        <v>160</v>
      </c>
      <c r="D10776" s="10" t="s">
        <v>1147</v>
      </c>
      <c r="E10776" s="10" t="s">
        <v>65377</v>
      </c>
      <c r="F10776" s="10" t="s">
        <v>371</v>
      </c>
      <c r="G10776" s="10" t="s">
        <v>66254</v>
      </c>
      <c r="H10776" s="11" t="s">
        <v>31</v>
      </c>
      <c r="I10776" s="11">
        <v>1.0</v>
      </c>
      <c r="J10776" s="11">
        <v>1.0</v>
      </c>
      <c r="K10776" s="11" t="s">
        <v>31</v>
      </c>
      <c r="L10776" s="12" t="s">
        <v>31</v>
      </c>
      <c r="M10776" s="10" t="s">
        <v>66255</v>
      </c>
      <c r="N10776" s="10" t="s">
        <v>155</v>
      </c>
      <c r="O10776" s="12" t="s">
        <v>156</v>
      </c>
      <c r="P10776" s="10" t="s">
        <v>65382</v>
      </c>
      <c r="Q10776" s="10" t="s">
        <v>31</v>
      </c>
      <c r="R10776" s="10" t="s">
        <v>64</v>
      </c>
      <c r="S10776" s="12" t="s">
        <v>2463</v>
      </c>
      <c r="T10776" s="10" t="s">
        <v>66</v>
      </c>
      <c r="U10776" s="12" t="s">
        <v>31</v>
      </c>
      <c r="V10776" s="10" t="s">
        <v>66256</v>
      </c>
      <c r="W10776" s="10" t="s">
        <v>65377</v>
      </c>
      <c r="X10776" s="13" t="str">
        <f>HYPERLINK("https://my.pitchbook.com?p=30745-09P","View People Online")</f>
        <v>View People Online</v>
      </c>
    </row>
    <row r="10777">
      <c r="A10777" s="6" t="s">
        <v>66257</v>
      </c>
      <c r="B10777" s="6" t="s">
        <v>66258</v>
      </c>
      <c r="C10777" s="6" t="s">
        <v>160</v>
      </c>
      <c r="D10777" s="6" t="s">
        <v>66259</v>
      </c>
      <c r="E10777" s="6" t="s">
        <v>65377</v>
      </c>
      <c r="F10777" s="6" t="s">
        <v>34800</v>
      </c>
      <c r="G10777" s="6" t="s">
        <v>66260</v>
      </c>
      <c r="H10777" s="7" t="s">
        <v>31</v>
      </c>
      <c r="I10777" s="7">
        <v>1.0</v>
      </c>
      <c r="J10777" s="7">
        <v>1.0</v>
      </c>
      <c r="K10777" s="7" t="s">
        <v>31</v>
      </c>
      <c r="L10777" s="8" t="s">
        <v>66261</v>
      </c>
      <c r="M10777" s="6" t="s">
        <v>66262</v>
      </c>
      <c r="N10777" s="6" t="s">
        <v>6692</v>
      </c>
      <c r="O10777" s="8" t="s">
        <v>6693</v>
      </c>
      <c r="P10777" s="6" t="s">
        <v>66263</v>
      </c>
      <c r="Q10777" s="6" t="s">
        <v>6591</v>
      </c>
      <c r="R10777" s="6" t="s">
        <v>64</v>
      </c>
      <c r="S10777" s="8" t="s">
        <v>47793</v>
      </c>
      <c r="T10777" s="6" t="s">
        <v>66</v>
      </c>
      <c r="U10777" s="8" t="s">
        <v>66264</v>
      </c>
      <c r="V10777" s="6" t="s">
        <v>66265</v>
      </c>
      <c r="W10777" s="6" t="s">
        <v>65377</v>
      </c>
      <c r="X10777" s="9" t="str">
        <f>HYPERLINK("https://my.pitchbook.com?p=186538-06P","View People Online")</f>
        <v>View People Online</v>
      </c>
    </row>
    <row r="10778">
      <c r="A10778" s="10" t="s">
        <v>66266</v>
      </c>
      <c r="B10778" s="10" t="s">
        <v>66267</v>
      </c>
      <c r="C10778" s="10" t="s">
        <v>62040</v>
      </c>
      <c r="D10778" s="10" t="s">
        <v>66268</v>
      </c>
      <c r="E10778" s="10" t="s">
        <v>65377</v>
      </c>
      <c r="F10778" s="10" t="s">
        <v>66269</v>
      </c>
      <c r="G10778" s="10" t="s">
        <v>66270</v>
      </c>
      <c r="H10778" s="11" t="s">
        <v>31</v>
      </c>
      <c r="I10778" s="11">
        <v>1.0</v>
      </c>
      <c r="J10778" s="11">
        <v>1.0</v>
      </c>
      <c r="K10778" s="11" t="s">
        <v>31</v>
      </c>
      <c r="L10778" s="12" t="s">
        <v>65792</v>
      </c>
      <c r="M10778" s="10" t="s">
        <v>66271</v>
      </c>
      <c r="N10778" s="10" t="s">
        <v>1416</v>
      </c>
      <c r="O10778" s="12" t="s">
        <v>1417</v>
      </c>
      <c r="P10778" s="10" t="s">
        <v>65794</v>
      </c>
      <c r="Q10778" s="10" t="s">
        <v>65795</v>
      </c>
      <c r="R10778" s="10" t="s">
        <v>1420</v>
      </c>
      <c r="S10778" s="12" t="s">
        <v>6302</v>
      </c>
      <c r="T10778" s="10" t="s">
        <v>66</v>
      </c>
      <c r="U10778" s="12" t="s">
        <v>31</v>
      </c>
      <c r="V10778" s="10" t="s">
        <v>66272</v>
      </c>
      <c r="W10778" s="10" t="s">
        <v>65377</v>
      </c>
      <c r="X10778" s="13" t="str">
        <f>HYPERLINK("https://my.pitchbook.com?p=360048-52P","View People Online")</f>
        <v>View People Online</v>
      </c>
    </row>
    <row r="10779">
      <c r="A10779" s="6" t="s">
        <v>66273</v>
      </c>
      <c r="B10779" s="6" t="s">
        <v>66274</v>
      </c>
      <c r="C10779" s="6" t="s">
        <v>11929</v>
      </c>
      <c r="D10779" s="6" t="s">
        <v>66275</v>
      </c>
      <c r="E10779" s="6" t="s">
        <v>65377</v>
      </c>
      <c r="F10779" s="6" t="s">
        <v>713</v>
      </c>
      <c r="G10779" s="6" t="s">
        <v>66276</v>
      </c>
      <c r="H10779" s="7" t="s">
        <v>31</v>
      </c>
      <c r="I10779" s="7">
        <v>1.0</v>
      </c>
      <c r="J10779" s="7">
        <v>1.0</v>
      </c>
      <c r="K10779" s="7" t="s">
        <v>31</v>
      </c>
      <c r="L10779" s="8" t="s">
        <v>66277</v>
      </c>
      <c r="M10779" s="6" t="s">
        <v>66278</v>
      </c>
      <c r="N10779" s="6" t="s">
        <v>66279</v>
      </c>
      <c r="O10779" s="8" t="s">
        <v>66280</v>
      </c>
      <c r="P10779" s="6" t="s">
        <v>66281</v>
      </c>
      <c r="Q10779" s="6" t="s">
        <v>989</v>
      </c>
      <c r="R10779" s="6" t="s">
        <v>396</v>
      </c>
      <c r="S10779" s="8" t="s">
        <v>66282</v>
      </c>
      <c r="T10779" s="6" t="s">
        <v>66</v>
      </c>
      <c r="U10779" s="8" t="s">
        <v>31</v>
      </c>
      <c r="V10779" s="6" t="s">
        <v>66283</v>
      </c>
      <c r="W10779" s="6" t="s">
        <v>65377</v>
      </c>
      <c r="X10779" s="9" t="str">
        <f>HYPERLINK("https://my.pitchbook.com?p=82752-04P","View People Online")</f>
        <v>View People Online</v>
      </c>
    </row>
    <row r="10780">
      <c r="A10780" s="10" t="s">
        <v>66284</v>
      </c>
      <c r="B10780" s="10" t="s">
        <v>66285</v>
      </c>
      <c r="C10780" s="10" t="s">
        <v>11929</v>
      </c>
      <c r="D10780" s="10" t="s">
        <v>66286</v>
      </c>
      <c r="E10780" s="10" t="s">
        <v>65377</v>
      </c>
      <c r="F10780" s="10" t="s">
        <v>1283</v>
      </c>
      <c r="G10780" s="10" t="s">
        <v>66287</v>
      </c>
      <c r="H10780" s="11" t="s">
        <v>31</v>
      </c>
      <c r="I10780" s="11">
        <v>2.0</v>
      </c>
      <c r="J10780" s="11">
        <v>1.0</v>
      </c>
      <c r="K10780" s="11">
        <v>1.0</v>
      </c>
      <c r="L10780" s="12" t="s">
        <v>31</v>
      </c>
      <c r="M10780" s="10" t="s">
        <v>31</v>
      </c>
      <c r="N10780" s="10" t="s">
        <v>155</v>
      </c>
      <c r="O10780" s="12" t="s">
        <v>156</v>
      </c>
      <c r="P10780" s="10" t="s">
        <v>65382</v>
      </c>
      <c r="Q10780" s="10" t="s">
        <v>31</v>
      </c>
      <c r="R10780" s="10" t="s">
        <v>64</v>
      </c>
      <c r="S10780" s="12" t="s">
        <v>2463</v>
      </c>
      <c r="T10780" s="10" t="s">
        <v>66</v>
      </c>
      <c r="U10780" s="12" t="s">
        <v>31</v>
      </c>
      <c r="V10780" s="10" t="s">
        <v>1283</v>
      </c>
      <c r="W10780" s="10" t="s">
        <v>65377</v>
      </c>
      <c r="X10780" s="13" t="str">
        <f>HYPERLINK("https://my.pitchbook.com?p=447721-75P","View People Online")</f>
        <v>View People Online</v>
      </c>
    </row>
    <row r="10781">
      <c r="A10781" s="14" t="s">
        <v>66288</v>
      </c>
      <c r="B10781" s="14" t="s">
        <v>66289</v>
      </c>
      <c r="C10781" s="14" t="s">
        <v>11929</v>
      </c>
      <c r="D10781" s="14" t="s">
        <v>66290</v>
      </c>
      <c r="E10781" s="14" t="s">
        <v>65377</v>
      </c>
      <c r="F10781" s="14" t="s">
        <v>34800</v>
      </c>
      <c r="G10781" s="14" t="s">
        <v>66291</v>
      </c>
      <c r="H10781" s="15" t="s">
        <v>31</v>
      </c>
      <c r="I10781" s="15">
        <v>1.0</v>
      </c>
      <c r="J10781" s="15">
        <v>1.0</v>
      </c>
      <c r="K10781" s="15" t="s">
        <v>31</v>
      </c>
      <c r="L10781" s="16" t="s">
        <v>31</v>
      </c>
      <c r="M10781" s="14" t="s">
        <v>66292</v>
      </c>
      <c r="N10781" s="14" t="s">
        <v>155</v>
      </c>
      <c r="O10781" s="16" t="s">
        <v>156</v>
      </c>
      <c r="P10781" s="14" t="s">
        <v>65382</v>
      </c>
      <c r="Q10781" s="14" t="s">
        <v>31</v>
      </c>
      <c r="R10781" s="14" t="s">
        <v>64</v>
      </c>
      <c r="S10781" s="16" t="s">
        <v>2463</v>
      </c>
      <c r="T10781" s="14" t="s">
        <v>66</v>
      </c>
      <c r="U10781" s="16" t="s">
        <v>31</v>
      </c>
      <c r="V10781" s="14" t="s">
        <v>66293</v>
      </c>
      <c r="W10781" s="14" t="s">
        <v>65377</v>
      </c>
      <c r="X10781" s="17" t="str">
        <f>HYPERLINK("https://my.pitchbook.com?p=383924-53P","View People Online")</f>
        <v>View People Online</v>
      </c>
    </row>
    <row r="10782">
      <c r="A10782" s="10" t="s">
        <v>66294</v>
      </c>
      <c r="B10782" s="10" t="s">
        <v>66295</v>
      </c>
      <c r="C10782" s="10" t="s">
        <v>66296</v>
      </c>
      <c r="D10782" s="10" t="s">
        <v>38431</v>
      </c>
      <c r="E10782" s="10" t="s">
        <v>65377</v>
      </c>
      <c r="F10782" s="10" t="s">
        <v>312</v>
      </c>
      <c r="G10782" s="10" t="s">
        <v>66297</v>
      </c>
      <c r="H10782" s="11" t="s">
        <v>31</v>
      </c>
      <c r="I10782" s="11">
        <v>1.0</v>
      </c>
      <c r="J10782" s="11">
        <v>1.0</v>
      </c>
      <c r="K10782" s="11" t="s">
        <v>31</v>
      </c>
      <c r="L10782" s="12" t="s">
        <v>65864</v>
      </c>
      <c r="M10782" s="10" t="s">
        <v>66298</v>
      </c>
      <c r="N10782" s="10" t="s">
        <v>1277</v>
      </c>
      <c r="O10782" s="12" t="s">
        <v>1278</v>
      </c>
      <c r="P10782" s="10" t="s">
        <v>65866</v>
      </c>
      <c r="Q10782" s="10" t="s">
        <v>31</v>
      </c>
      <c r="R10782" s="10" t="s">
        <v>1281</v>
      </c>
      <c r="S10782" s="12" t="s">
        <v>37039</v>
      </c>
      <c r="T10782" s="10" t="s">
        <v>66</v>
      </c>
      <c r="U10782" s="12" t="s">
        <v>31</v>
      </c>
      <c r="V10782" s="10" t="s">
        <v>312</v>
      </c>
      <c r="W10782" s="10" t="s">
        <v>65377</v>
      </c>
      <c r="X10782" s="13" t="str">
        <f>HYPERLINK("https://my.pitchbook.com?p=129354-40P","View People Online")</f>
        <v>View People Online</v>
      </c>
    </row>
    <row r="10783">
      <c r="A10783" s="6" t="s">
        <v>66299</v>
      </c>
      <c r="B10783" s="6" t="s">
        <v>66300</v>
      </c>
      <c r="C10783" s="6" t="s">
        <v>66301</v>
      </c>
      <c r="D10783" s="6" t="s">
        <v>66302</v>
      </c>
      <c r="E10783" s="6" t="s">
        <v>65377</v>
      </c>
      <c r="F10783" s="6" t="s">
        <v>4800</v>
      </c>
      <c r="G10783" s="6" t="s">
        <v>66303</v>
      </c>
      <c r="H10783" s="7" t="s">
        <v>31</v>
      </c>
      <c r="I10783" s="7">
        <v>1.0</v>
      </c>
      <c r="J10783" s="7">
        <v>1.0</v>
      </c>
      <c r="K10783" s="7" t="s">
        <v>31</v>
      </c>
      <c r="L10783" s="8" t="s">
        <v>31</v>
      </c>
      <c r="M10783" s="6" t="s">
        <v>66304</v>
      </c>
      <c r="N10783" s="6" t="s">
        <v>155</v>
      </c>
      <c r="O10783" s="8" t="s">
        <v>156</v>
      </c>
      <c r="P10783" s="6" t="s">
        <v>65382</v>
      </c>
      <c r="Q10783" s="6" t="s">
        <v>31</v>
      </c>
      <c r="R10783" s="6" t="s">
        <v>64</v>
      </c>
      <c r="S10783" s="8" t="s">
        <v>2463</v>
      </c>
      <c r="T10783" s="6" t="s">
        <v>66</v>
      </c>
      <c r="U10783" s="8" t="s">
        <v>31</v>
      </c>
      <c r="V10783" s="6" t="s">
        <v>66305</v>
      </c>
      <c r="W10783" s="6" t="s">
        <v>65377</v>
      </c>
      <c r="X10783" s="9" t="str">
        <f>HYPERLINK("https://my.pitchbook.com?p=38946-88P","View People Online")</f>
        <v>View People Online</v>
      </c>
    </row>
    <row r="10784">
      <c r="A10784" s="10" t="s">
        <v>66306</v>
      </c>
      <c r="B10784" s="10" t="s">
        <v>66307</v>
      </c>
      <c r="C10784" s="10" t="s">
        <v>126</v>
      </c>
      <c r="D10784" s="10" t="s">
        <v>66308</v>
      </c>
      <c r="E10784" s="10" t="s">
        <v>65377</v>
      </c>
      <c r="F10784" s="10" t="s">
        <v>7608</v>
      </c>
      <c r="G10784" s="10" t="s">
        <v>66309</v>
      </c>
      <c r="H10784" s="11" t="s">
        <v>31</v>
      </c>
      <c r="I10784" s="11">
        <v>1.0</v>
      </c>
      <c r="J10784" s="11">
        <v>1.0</v>
      </c>
      <c r="K10784" s="11" t="s">
        <v>31</v>
      </c>
      <c r="L10784" s="12" t="s">
        <v>65828</v>
      </c>
      <c r="M10784" s="10" t="s">
        <v>66310</v>
      </c>
      <c r="N10784" s="10" t="s">
        <v>7690</v>
      </c>
      <c r="O10784" s="12" t="s">
        <v>7691</v>
      </c>
      <c r="P10784" s="10" t="s">
        <v>65830</v>
      </c>
      <c r="Q10784" s="10" t="s">
        <v>3928</v>
      </c>
      <c r="R10784" s="10" t="s">
        <v>7693</v>
      </c>
      <c r="S10784" s="12" t="s">
        <v>65831</v>
      </c>
      <c r="T10784" s="10" t="s">
        <v>66</v>
      </c>
      <c r="U10784" s="12" t="s">
        <v>31</v>
      </c>
      <c r="V10784" s="10" t="s">
        <v>66311</v>
      </c>
      <c r="W10784" s="10" t="s">
        <v>65377</v>
      </c>
      <c r="X10784" s="13" t="str">
        <f>HYPERLINK("https://my.pitchbook.com?p=63063-10P","View People Online")</f>
        <v>View People Online</v>
      </c>
    </row>
    <row r="10785">
      <c r="A10785" s="6" t="s">
        <v>66312</v>
      </c>
      <c r="B10785" s="6" t="s">
        <v>66313</v>
      </c>
      <c r="C10785" s="6" t="s">
        <v>126</v>
      </c>
      <c r="D10785" s="6" t="s">
        <v>66314</v>
      </c>
      <c r="E10785" s="6" t="s">
        <v>65377</v>
      </c>
      <c r="F10785" s="6" t="s">
        <v>270</v>
      </c>
      <c r="G10785" s="6" t="s">
        <v>66315</v>
      </c>
      <c r="H10785" s="7" t="s">
        <v>31</v>
      </c>
      <c r="I10785" s="7">
        <v>2.0</v>
      </c>
      <c r="J10785" s="7">
        <v>1.0</v>
      </c>
      <c r="K10785" s="7">
        <v>1.0</v>
      </c>
      <c r="L10785" s="8" t="s">
        <v>31</v>
      </c>
      <c r="M10785" s="6" t="s">
        <v>66316</v>
      </c>
      <c r="N10785" s="6" t="s">
        <v>155</v>
      </c>
      <c r="O10785" s="8" t="s">
        <v>156</v>
      </c>
      <c r="P10785" s="6" t="s">
        <v>65382</v>
      </c>
      <c r="Q10785" s="6" t="s">
        <v>31</v>
      </c>
      <c r="R10785" s="6" t="s">
        <v>64</v>
      </c>
      <c r="S10785" s="8" t="s">
        <v>2463</v>
      </c>
      <c r="T10785" s="6" t="s">
        <v>66</v>
      </c>
      <c r="U10785" s="8" t="s">
        <v>31</v>
      </c>
      <c r="V10785" s="6" t="s">
        <v>66317</v>
      </c>
      <c r="W10785" s="6" t="s">
        <v>65377</v>
      </c>
      <c r="X10785" s="9" t="str">
        <f>HYPERLINK("https://my.pitchbook.com?p=87399-64P","View People Online")</f>
        <v>View People Online</v>
      </c>
    </row>
    <row r="10786">
      <c r="A10786" s="10" t="s">
        <v>66318</v>
      </c>
      <c r="B10786" s="10" t="s">
        <v>66319</v>
      </c>
      <c r="C10786" s="10" t="s">
        <v>126</v>
      </c>
      <c r="D10786" s="10" t="s">
        <v>66320</v>
      </c>
      <c r="E10786" s="10" t="s">
        <v>65377</v>
      </c>
      <c r="F10786" s="10" t="s">
        <v>270</v>
      </c>
      <c r="G10786" s="10" t="s">
        <v>66321</v>
      </c>
      <c r="H10786" s="11" t="s">
        <v>31</v>
      </c>
      <c r="I10786" s="11">
        <v>1.0</v>
      </c>
      <c r="J10786" s="11">
        <v>1.0</v>
      </c>
      <c r="K10786" s="11" t="s">
        <v>31</v>
      </c>
      <c r="L10786" s="12" t="s">
        <v>65402</v>
      </c>
      <c r="M10786" s="10" t="s">
        <v>66322</v>
      </c>
      <c r="N10786" s="10" t="s">
        <v>4232</v>
      </c>
      <c r="O10786" s="12" t="s">
        <v>4233</v>
      </c>
      <c r="P10786" s="10" t="s">
        <v>65471</v>
      </c>
      <c r="Q10786" s="10" t="s">
        <v>45601</v>
      </c>
      <c r="R10786" s="10" t="s">
        <v>4236</v>
      </c>
      <c r="S10786" s="12" t="s">
        <v>11182</v>
      </c>
      <c r="T10786" s="10" t="s">
        <v>66</v>
      </c>
      <c r="U10786" s="12" t="s">
        <v>31</v>
      </c>
      <c r="V10786" s="10" t="s">
        <v>66323</v>
      </c>
      <c r="W10786" s="10" t="s">
        <v>65377</v>
      </c>
      <c r="X10786" s="13" t="str">
        <f>HYPERLINK("https://my.pitchbook.com?p=173132-11P","View People Online")</f>
        <v>View People Online</v>
      </c>
    </row>
    <row r="10787">
      <c r="A10787" s="14" t="s">
        <v>66324</v>
      </c>
      <c r="B10787" s="14" t="s">
        <v>66325</v>
      </c>
      <c r="C10787" s="14" t="s">
        <v>126</v>
      </c>
      <c r="D10787" s="14" t="s">
        <v>56664</v>
      </c>
      <c r="E10787" s="14" t="s">
        <v>65377</v>
      </c>
      <c r="F10787" s="14" t="s">
        <v>81</v>
      </c>
      <c r="G10787" s="14" t="s">
        <v>66326</v>
      </c>
      <c r="H10787" s="15" t="s">
        <v>31</v>
      </c>
      <c r="I10787" s="15">
        <v>1.0</v>
      </c>
      <c r="J10787" s="15" t="s">
        <v>31</v>
      </c>
      <c r="K10787" s="15" t="s">
        <v>31</v>
      </c>
      <c r="L10787" s="16" t="s">
        <v>31</v>
      </c>
      <c r="M10787" s="14" t="s">
        <v>66327</v>
      </c>
      <c r="N10787" s="14" t="s">
        <v>155</v>
      </c>
      <c r="O10787" s="16" t="s">
        <v>156</v>
      </c>
      <c r="P10787" s="14" t="s">
        <v>65382</v>
      </c>
      <c r="Q10787" s="14" t="s">
        <v>31</v>
      </c>
      <c r="R10787" s="14" t="s">
        <v>64</v>
      </c>
      <c r="S10787" s="16" t="s">
        <v>2463</v>
      </c>
      <c r="T10787" s="14" t="s">
        <v>66</v>
      </c>
      <c r="U10787" s="16" t="s">
        <v>31</v>
      </c>
      <c r="V10787" s="14" t="s">
        <v>66328</v>
      </c>
      <c r="W10787" s="14" t="s">
        <v>65377</v>
      </c>
      <c r="X10787" s="17" t="str">
        <f>HYPERLINK("https://my.pitchbook.com?p=379590-67P","View People Online")</f>
        <v>View People Online</v>
      </c>
    </row>
    <row r="10788">
      <c r="A10788" s="10" t="s">
        <v>66329</v>
      </c>
      <c r="B10788" s="10" t="s">
        <v>66330</v>
      </c>
      <c r="C10788" s="10" t="s">
        <v>126</v>
      </c>
      <c r="D10788" s="10" t="s">
        <v>66331</v>
      </c>
      <c r="E10788" s="10" t="s">
        <v>65377</v>
      </c>
      <c r="F10788" s="10" t="s">
        <v>1283</v>
      </c>
      <c r="G10788" s="10" t="s">
        <v>66332</v>
      </c>
      <c r="H10788" s="11" t="s">
        <v>31</v>
      </c>
      <c r="I10788" s="11">
        <v>1.0</v>
      </c>
      <c r="J10788" s="11">
        <v>1.0</v>
      </c>
      <c r="K10788" s="11" t="s">
        <v>31</v>
      </c>
      <c r="L10788" s="12" t="s">
        <v>65402</v>
      </c>
      <c r="M10788" s="10" t="s">
        <v>66333</v>
      </c>
      <c r="N10788" s="10" t="s">
        <v>75</v>
      </c>
      <c r="O10788" s="12" t="s">
        <v>76</v>
      </c>
      <c r="P10788" s="10" t="s">
        <v>65404</v>
      </c>
      <c r="Q10788" s="10" t="s">
        <v>31</v>
      </c>
      <c r="R10788" s="10" t="s">
        <v>75</v>
      </c>
      <c r="S10788" s="12" t="s">
        <v>57992</v>
      </c>
      <c r="T10788" s="10" t="s">
        <v>66</v>
      </c>
      <c r="U10788" s="12" t="s">
        <v>31</v>
      </c>
      <c r="V10788" s="10" t="s">
        <v>1283</v>
      </c>
      <c r="W10788" s="10" t="s">
        <v>65377</v>
      </c>
      <c r="X10788" s="13" t="str">
        <f>HYPERLINK("https://my.pitchbook.com?p=16188-40P","View People Online")</f>
        <v>View People Online</v>
      </c>
    </row>
    <row r="10789">
      <c r="A10789" s="14" t="s">
        <v>66334</v>
      </c>
      <c r="B10789" s="14" t="s">
        <v>66335</v>
      </c>
      <c r="C10789" s="14" t="s">
        <v>126</v>
      </c>
      <c r="D10789" s="14" t="s">
        <v>66336</v>
      </c>
      <c r="E10789" s="14" t="s">
        <v>65377</v>
      </c>
      <c r="F10789" s="14" t="s">
        <v>825</v>
      </c>
      <c r="G10789" s="14" t="s">
        <v>66337</v>
      </c>
      <c r="H10789" s="15" t="s">
        <v>31</v>
      </c>
      <c r="I10789" s="15">
        <v>1.0</v>
      </c>
      <c r="J10789" s="15">
        <v>1.0</v>
      </c>
      <c r="K10789" s="15" t="s">
        <v>31</v>
      </c>
      <c r="L10789" s="16" t="s">
        <v>31</v>
      </c>
      <c r="M10789" s="14" t="s">
        <v>66338</v>
      </c>
      <c r="N10789" s="14" t="s">
        <v>155</v>
      </c>
      <c r="O10789" s="16" t="s">
        <v>156</v>
      </c>
      <c r="P10789" s="14" t="s">
        <v>65382</v>
      </c>
      <c r="Q10789" s="14" t="s">
        <v>31</v>
      </c>
      <c r="R10789" s="14" t="s">
        <v>64</v>
      </c>
      <c r="S10789" s="16" t="s">
        <v>2463</v>
      </c>
      <c r="T10789" s="14" t="s">
        <v>66</v>
      </c>
      <c r="U10789" s="16" t="s">
        <v>31</v>
      </c>
      <c r="V10789" s="14" t="s">
        <v>66339</v>
      </c>
      <c r="W10789" s="14" t="s">
        <v>65377</v>
      </c>
      <c r="X10789" s="17" t="str">
        <f>HYPERLINK("https://my.pitchbook.com?p=243030-25P","View People Online")</f>
        <v>View People Online</v>
      </c>
    </row>
    <row r="10790">
      <c r="A10790" s="2" t="s">
        <v>66340</v>
      </c>
      <c r="B10790" s="2" t="s">
        <v>66341</v>
      </c>
      <c r="C10790" s="2" t="s">
        <v>126</v>
      </c>
      <c r="D10790" s="2" t="s">
        <v>66342</v>
      </c>
      <c r="E10790" s="2" t="s">
        <v>65377</v>
      </c>
      <c r="F10790" s="2" t="s">
        <v>44972</v>
      </c>
      <c r="G10790" s="2" t="s">
        <v>66343</v>
      </c>
      <c r="H10790" s="3" t="s">
        <v>31</v>
      </c>
      <c r="I10790" s="3">
        <v>1.0</v>
      </c>
      <c r="J10790" s="3">
        <v>1.0</v>
      </c>
      <c r="K10790" s="3" t="s">
        <v>31</v>
      </c>
      <c r="L10790" s="4" t="s">
        <v>31</v>
      </c>
      <c r="M10790" s="2" t="s">
        <v>66344</v>
      </c>
      <c r="N10790" s="2" t="s">
        <v>155</v>
      </c>
      <c r="O10790" s="4" t="s">
        <v>156</v>
      </c>
      <c r="P10790" s="2" t="s">
        <v>65382</v>
      </c>
      <c r="Q10790" s="2" t="s">
        <v>31</v>
      </c>
      <c r="R10790" s="2" t="s">
        <v>64</v>
      </c>
      <c r="S10790" s="4" t="s">
        <v>2463</v>
      </c>
      <c r="T10790" s="2" t="s">
        <v>66</v>
      </c>
      <c r="U10790" s="4" t="s">
        <v>31</v>
      </c>
      <c r="V10790" s="2" t="s">
        <v>66345</v>
      </c>
      <c r="W10790" s="2" t="s">
        <v>65377</v>
      </c>
      <c r="X10790" s="5" t="str">
        <f>HYPERLINK("https://my.pitchbook.com?p=80292-52P","View People Online")</f>
        <v>View People Online</v>
      </c>
    </row>
    <row r="10791">
      <c r="A10791" s="6" t="s">
        <v>66346</v>
      </c>
      <c r="B10791" s="6" t="s">
        <v>66347</v>
      </c>
      <c r="C10791" s="6" t="s">
        <v>518</v>
      </c>
      <c r="D10791" s="6" t="s">
        <v>66348</v>
      </c>
      <c r="E10791" s="6" t="s">
        <v>65377</v>
      </c>
      <c r="F10791" s="6" t="s">
        <v>10023</v>
      </c>
      <c r="G10791" s="6" t="s">
        <v>66349</v>
      </c>
      <c r="H10791" s="7" t="s">
        <v>31</v>
      </c>
      <c r="I10791" s="7">
        <v>1.0</v>
      </c>
      <c r="J10791" s="7">
        <v>1.0</v>
      </c>
      <c r="K10791" s="7" t="s">
        <v>31</v>
      </c>
      <c r="L10791" s="8" t="s">
        <v>66350</v>
      </c>
      <c r="M10791" s="6" t="s">
        <v>66351</v>
      </c>
      <c r="N10791" s="6" t="s">
        <v>155</v>
      </c>
      <c r="O10791" s="8" t="s">
        <v>156</v>
      </c>
      <c r="P10791" s="6" t="s">
        <v>65382</v>
      </c>
      <c r="Q10791" s="6" t="s">
        <v>31</v>
      </c>
      <c r="R10791" s="6" t="s">
        <v>64</v>
      </c>
      <c r="S10791" s="8" t="s">
        <v>2463</v>
      </c>
      <c r="T10791" s="6" t="s">
        <v>66</v>
      </c>
      <c r="U10791" s="8" t="s">
        <v>31</v>
      </c>
      <c r="V10791" s="6" t="s">
        <v>66352</v>
      </c>
      <c r="W10791" s="6" t="s">
        <v>65377</v>
      </c>
      <c r="X10791" s="9" t="str">
        <f>HYPERLINK("https://my.pitchbook.com?p=171018-55P","View People Online")</f>
        <v>View People Online</v>
      </c>
    </row>
    <row r="10792">
      <c r="A10792" s="2" t="s">
        <v>66353</v>
      </c>
      <c r="B10792" s="2" t="s">
        <v>66354</v>
      </c>
      <c r="C10792" s="2" t="s">
        <v>518</v>
      </c>
      <c r="D10792" s="2" t="s">
        <v>66355</v>
      </c>
      <c r="E10792" s="2" t="s">
        <v>65377</v>
      </c>
      <c r="F10792" s="2" t="s">
        <v>1801</v>
      </c>
      <c r="G10792" s="2" t="s">
        <v>66356</v>
      </c>
      <c r="H10792" s="3" t="s">
        <v>31</v>
      </c>
      <c r="I10792" s="3">
        <v>1.0</v>
      </c>
      <c r="J10792" s="3">
        <v>1.0</v>
      </c>
      <c r="K10792" s="3" t="s">
        <v>31</v>
      </c>
      <c r="L10792" s="4" t="s">
        <v>66357</v>
      </c>
      <c r="M10792" s="2" t="s">
        <v>66358</v>
      </c>
      <c r="N10792" s="2" t="s">
        <v>155</v>
      </c>
      <c r="O10792" s="4" t="s">
        <v>156</v>
      </c>
      <c r="P10792" s="2" t="s">
        <v>65382</v>
      </c>
      <c r="Q10792" s="2" t="s">
        <v>31</v>
      </c>
      <c r="R10792" s="2" t="s">
        <v>64</v>
      </c>
      <c r="S10792" s="4" t="s">
        <v>2463</v>
      </c>
      <c r="T10792" s="2" t="s">
        <v>66</v>
      </c>
      <c r="U10792" s="4" t="s">
        <v>31</v>
      </c>
      <c r="V10792" s="2" t="s">
        <v>66359</v>
      </c>
      <c r="W10792" s="2" t="s">
        <v>65377</v>
      </c>
      <c r="X10792" s="5" t="str">
        <f>HYPERLINK("https://my.pitchbook.com?p=33067-63P","View People Online")</f>
        <v>View People Online</v>
      </c>
    </row>
    <row r="10793">
      <c r="A10793" s="6" t="s">
        <v>66360</v>
      </c>
      <c r="B10793" s="6" t="s">
        <v>66361</v>
      </c>
      <c r="C10793" s="6" t="s">
        <v>1807</v>
      </c>
      <c r="D10793" s="6" t="s">
        <v>28504</v>
      </c>
      <c r="E10793" s="6" t="s">
        <v>65377</v>
      </c>
      <c r="F10793" s="6" t="s">
        <v>3665</v>
      </c>
      <c r="G10793" s="6" t="s">
        <v>66362</v>
      </c>
      <c r="H10793" s="7" t="s">
        <v>31</v>
      </c>
      <c r="I10793" s="7">
        <v>2.0</v>
      </c>
      <c r="J10793" s="7">
        <v>1.0</v>
      </c>
      <c r="K10793" s="7">
        <v>1.0</v>
      </c>
      <c r="L10793" s="8" t="s">
        <v>66363</v>
      </c>
      <c r="M10793" s="6" t="s">
        <v>66364</v>
      </c>
      <c r="N10793" s="6" t="s">
        <v>155</v>
      </c>
      <c r="O10793" s="8" t="s">
        <v>156</v>
      </c>
      <c r="P10793" s="6" t="s">
        <v>65382</v>
      </c>
      <c r="Q10793" s="6" t="s">
        <v>31</v>
      </c>
      <c r="R10793" s="6" t="s">
        <v>64</v>
      </c>
      <c r="S10793" s="8" t="s">
        <v>2463</v>
      </c>
      <c r="T10793" s="6" t="s">
        <v>66</v>
      </c>
      <c r="U10793" s="8" t="s">
        <v>31</v>
      </c>
      <c r="V10793" s="6" t="s">
        <v>3665</v>
      </c>
      <c r="W10793" s="6" t="s">
        <v>65377</v>
      </c>
      <c r="X10793" s="9" t="str">
        <f>HYPERLINK("https://my.pitchbook.com?p=313191-46P","View People Online")</f>
        <v>View People Online</v>
      </c>
    </row>
    <row r="10794">
      <c r="A10794" s="2" t="s">
        <v>66365</v>
      </c>
      <c r="B10794" s="2" t="s">
        <v>66366</v>
      </c>
      <c r="C10794" s="2" t="s">
        <v>61951</v>
      </c>
      <c r="D10794" s="2" t="s">
        <v>28122</v>
      </c>
      <c r="E10794" s="2" t="s">
        <v>65377</v>
      </c>
      <c r="F10794" s="2" t="s">
        <v>221</v>
      </c>
      <c r="G10794" s="2" t="s">
        <v>66367</v>
      </c>
      <c r="H10794" s="3" t="s">
        <v>31</v>
      </c>
      <c r="I10794" s="3">
        <v>1.0</v>
      </c>
      <c r="J10794" s="3">
        <v>1.0</v>
      </c>
      <c r="K10794" s="3" t="s">
        <v>31</v>
      </c>
      <c r="L10794" s="4" t="s">
        <v>31</v>
      </c>
      <c r="M10794" s="2" t="s">
        <v>66368</v>
      </c>
      <c r="N10794" s="2" t="s">
        <v>155</v>
      </c>
      <c r="O10794" s="4" t="s">
        <v>156</v>
      </c>
      <c r="P10794" s="2" t="s">
        <v>65382</v>
      </c>
      <c r="Q10794" s="2" t="s">
        <v>31</v>
      </c>
      <c r="R10794" s="2" t="s">
        <v>64</v>
      </c>
      <c r="S10794" s="4" t="s">
        <v>2463</v>
      </c>
      <c r="T10794" s="2" t="s">
        <v>66</v>
      </c>
      <c r="U10794" s="4" t="s">
        <v>31</v>
      </c>
      <c r="V10794" s="2" t="s">
        <v>66369</v>
      </c>
      <c r="W10794" s="2" t="s">
        <v>65377</v>
      </c>
      <c r="X10794" s="5" t="str">
        <f>HYPERLINK("https://my.pitchbook.com?p=367672-51P","View People Online")</f>
        <v>View People Online</v>
      </c>
    </row>
    <row r="10795">
      <c r="A10795" s="6" t="s">
        <v>66370</v>
      </c>
      <c r="B10795" s="6" t="s">
        <v>66371</v>
      </c>
      <c r="C10795" s="6" t="s">
        <v>26641</v>
      </c>
      <c r="D10795" s="6" t="s">
        <v>66372</v>
      </c>
      <c r="E10795" s="6" t="s">
        <v>65377</v>
      </c>
      <c r="F10795" s="6" t="s">
        <v>713</v>
      </c>
      <c r="G10795" s="6" t="s">
        <v>66373</v>
      </c>
      <c r="H10795" s="7" t="s">
        <v>31</v>
      </c>
      <c r="I10795" s="7">
        <v>1.0</v>
      </c>
      <c r="J10795" s="7">
        <v>1.0</v>
      </c>
      <c r="K10795" s="7" t="s">
        <v>31</v>
      </c>
      <c r="L10795" s="8" t="s">
        <v>66374</v>
      </c>
      <c r="M10795" s="6" t="s">
        <v>66375</v>
      </c>
      <c r="N10795" s="6" t="s">
        <v>1442</v>
      </c>
      <c r="O10795" s="8" t="s">
        <v>1443</v>
      </c>
      <c r="P10795" s="6" t="s">
        <v>66376</v>
      </c>
      <c r="Q10795" s="6" t="s">
        <v>31</v>
      </c>
      <c r="R10795" s="6" t="s">
        <v>1277</v>
      </c>
      <c r="S10795" s="8" t="s">
        <v>30123</v>
      </c>
      <c r="T10795" s="6" t="s">
        <v>66</v>
      </c>
      <c r="U10795" s="8" t="s">
        <v>31</v>
      </c>
      <c r="V10795" s="6" t="s">
        <v>713</v>
      </c>
      <c r="W10795" s="6" t="s">
        <v>65377</v>
      </c>
      <c r="X10795" s="9" t="str">
        <f>HYPERLINK("https://my.pitchbook.com?p=108368-29P","View People Online")</f>
        <v>View People Online</v>
      </c>
    </row>
    <row r="10796">
      <c r="A10796" s="10" t="s">
        <v>66377</v>
      </c>
      <c r="B10796" s="10" t="s">
        <v>66378</v>
      </c>
      <c r="C10796" s="10" t="s">
        <v>66379</v>
      </c>
      <c r="D10796" s="10" t="s">
        <v>1306</v>
      </c>
      <c r="E10796" s="10" t="s">
        <v>65377</v>
      </c>
      <c r="F10796" s="10" t="s">
        <v>7930</v>
      </c>
      <c r="G10796" s="10" t="s">
        <v>66380</v>
      </c>
      <c r="H10796" s="11" t="s">
        <v>31</v>
      </c>
      <c r="I10796" s="11">
        <v>1.0</v>
      </c>
      <c r="J10796" s="11">
        <v>1.0</v>
      </c>
      <c r="K10796" s="11" t="s">
        <v>31</v>
      </c>
      <c r="L10796" s="12" t="s">
        <v>31</v>
      </c>
      <c r="M10796" s="10" t="s">
        <v>66381</v>
      </c>
      <c r="N10796" s="10" t="s">
        <v>155</v>
      </c>
      <c r="O10796" s="12" t="s">
        <v>156</v>
      </c>
      <c r="P10796" s="10" t="s">
        <v>65382</v>
      </c>
      <c r="Q10796" s="10" t="s">
        <v>31</v>
      </c>
      <c r="R10796" s="10" t="s">
        <v>64</v>
      </c>
      <c r="S10796" s="12" t="s">
        <v>2463</v>
      </c>
      <c r="T10796" s="10" t="s">
        <v>66</v>
      </c>
      <c r="U10796" s="12" t="s">
        <v>31</v>
      </c>
      <c r="V10796" s="10" t="s">
        <v>29074</v>
      </c>
      <c r="W10796" s="10" t="s">
        <v>65377</v>
      </c>
      <c r="X10796" s="13" t="str">
        <f>HYPERLINK("https://my.pitchbook.com?p=180405-55P","View People Online")</f>
        <v>View People Online</v>
      </c>
    </row>
    <row r="10797">
      <c r="A10797" s="6" t="s">
        <v>66382</v>
      </c>
      <c r="B10797" s="6" t="s">
        <v>66383</v>
      </c>
      <c r="C10797" s="6" t="s">
        <v>66384</v>
      </c>
      <c r="D10797" s="6" t="s">
        <v>6900</v>
      </c>
      <c r="E10797" s="6" t="s">
        <v>65377</v>
      </c>
      <c r="F10797" s="6" t="s">
        <v>3665</v>
      </c>
      <c r="G10797" s="6" t="s">
        <v>66385</v>
      </c>
      <c r="H10797" s="7" t="s">
        <v>31</v>
      </c>
      <c r="I10797" s="7">
        <v>1.0</v>
      </c>
      <c r="J10797" s="7">
        <v>1.0</v>
      </c>
      <c r="K10797" s="7" t="s">
        <v>31</v>
      </c>
      <c r="L10797" s="8" t="s">
        <v>31</v>
      </c>
      <c r="M10797" s="6" t="s">
        <v>66386</v>
      </c>
      <c r="N10797" s="6" t="s">
        <v>155</v>
      </c>
      <c r="O10797" s="8" t="s">
        <v>156</v>
      </c>
      <c r="P10797" s="6" t="s">
        <v>65382</v>
      </c>
      <c r="Q10797" s="6" t="s">
        <v>31</v>
      </c>
      <c r="R10797" s="6" t="s">
        <v>64</v>
      </c>
      <c r="S10797" s="8" t="s">
        <v>2463</v>
      </c>
      <c r="T10797" s="6" t="s">
        <v>66</v>
      </c>
      <c r="U10797" s="8" t="s">
        <v>31</v>
      </c>
      <c r="V10797" s="6" t="s">
        <v>66387</v>
      </c>
      <c r="W10797" s="6" t="s">
        <v>65377</v>
      </c>
      <c r="X10797" s="9" t="str">
        <f>HYPERLINK("https://my.pitchbook.com?p=231643-63P","View People Online")</f>
        <v>View People Online</v>
      </c>
    </row>
    <row r="10798">
      <c r="A10798" s="2" t="s">
        <v>66388</v>
      </c>
      <c r="B10798" s="2" t="s">
        <v>66389</v>
      </c>
      <c r="C10798" s="2" t="s">
        <v>7089</v>
      </c>
      <c r="D10798" s="2" t="s">
        <v>3275</v>
      </c>
      <c r="E10798" s="2" t="s">
        <v>65377</v>
      </c>
      <c r="F10798" s="2" t="s">
        <v>371</v>
      </c>
      <c r="G10798" s="2" t="s">
        <v>66390</v>
      </c>
      <c r="H10798" s="3" t="s">
        <v>31</v>
      </c>
      <c r="I10798" s="3">
        <v>1.0</v>
      </c>
      <c r="J10798" s="3">
        <v>1.0</v>
      </c>
      <c r="K10798" s="3" t="s">
        <v>31</v>
      </c>
      <c r="L10798" s="4" t="s">
        <v>31</v>
      </c>
      <c r="M10798" s="2" t="s">
        <v>66391</v>
      </c>
      <c r="N10798" s="2" t="s">
        <v>155</v>
      </c>
      <c r="O10798" s="4" t="s">
        <v>156</v>
      </c>
      <c r="P10798" s="2" t="s">
        <v>65382</v>
      </c>
      <c r="Q10798" s="2" t="s">
        <v>31</v>
      </c>
      <c r="R10798" s="2" t="s">
        <v>64</v>
      </c>
      <c r="S10798" s="4" t="s">
        <v>2463</v>
      </c>
      <c r="T10798" s="2" t="s">
        <v>66</v>
      </c>
      <c r="U10798" s="4" t="s">
        <v>31</v>
      </c>
      <c r="V10798" s="2" t="s">
        <v>371</v>
      </c>
      <c r="W10798" s="2" t="s">
        <v>65377</v>
      </c>
      <c r="X10798" s="5" t="str">
        <f>HYPERLINK("https://my.pitchbook.com?p=38140-66P","View People Online")</f>
        <v>View People Online</v>
      </c>
    </row>
    <row r="10799">
      <c r="A10799" s="14" t="s">
        <v>66392</v>
      </c>
      <c r="B10799" s="14" t="s">
        <v>66393</v>
      </c>
      <c r="C10799" s="14" t="s">
        <v>20189</v>
      </c>
      <c r="D10799" s="14" t="s">
        <v>66394</v>
      </c>
      <c r="E10799" s="14" t="s">
        <v>65377</v>
      </c>
      <c r="F10799" s="14" t="s">
        <v>583</v>
      </c>
      <c r="G10799" s="14" t="s">
        <v>66395</v>
      </c>
      <c r="H10799" s="15" t="s">
        <v>31</v>
      </c>
      <c r="I10799" s="15">
        <v>1.0</v>
      </c>
      <c r="J10799" s="15">
        <v>1.0</v>
      </c>
      <c r="K10799" s="15" t="s">
        <v>31</v>
      </c>
      <c r="L10799" s="16" t="s">
        <v>31</v>
      </c>
      <c r="M10799" s="14" t="s">
        <v>66396</v>
      </c>
      <c r="N10799" s="14" t="s">
        <v>155</v>
      </c>
      <c r="O10799" s="16" t="s">
        <v>156</v>
      </c>
      <c r="P10799" s="14" t="s">
        <v>65382</v>
      </c>
      <c r="Q10799" s="14" t="s">
        <v>31</v>
      </c>
      <c r="R10799" s="14" t="s">
        <v>64</v>
      </c>
      <c r="S10799" s="16" t="s">
        <v>2463</v>
      </c>
      <c r="T10799" s="14" t="s">
        <v>66</v>
      </c>
      <c r="U10799" s="16" t="s">
        <v>31</v>
      </c>
      <c r="V10799" s="14" t="s">
        <v>66397</v>
      </c>
      <c r="W10799" s="14" t="s">
        <v>65377</v>
      </c>
      <c r="X10799" s="17" t="str">
        <f>HYPERLINK("https://my.pitchbook.com?p=143207-83P","View People Online")</f>
        <v>View People Online</v>
      </c>
    </row>
    <row r="10800">
      <c r="A10800" s="10" t="s">
        <v>66398</v>
      </c>
      <c r="B10800" s="10" t="s">
        <v>66399</v>
      </c>
      <c r="C10800" s="10" t="s">
        <v>382</v>
      </c>
      <c r="D10800" s="10" t="s">
        <v>9664</v>
      </c>
      <c r="E10800" s="10" t="s">
        <v>65377</v>
      </c>
      <c r="F10800" s="10" t="s">
        <v>221</v>
      </c>
      <c r="G10800" s="10" t="s">
        <v>66400</v>
      </c>
      <c r="H10800" s="11" t="s">
        <v>31</v>
      </c>
      <c r="I10800" s="11">
        <v>1.0</v>
      </c>
      <c r="J10800" s="11">
        <v>1.0</v>
      </c>
      <c r="K10800" s="11" t="s">
        <v>31</v>
      </c>
      <c r="L10800" s="12" t="s">
        <v>66374</v>
      </c>
      <c r="M10800" s="10" t="s">
        <v>66401</v>
      </c>
      <c r="N10800" s="10" t="s">
        <v>1442</v>
      </c>
      <c r="O10800" s="12" t="s">
        <v>1443</v>
      </c>
      <c r="P10800" s="10" t="s">
        <v>66376</v>
      </c>
      <c r="Q10800" s="10" t="s">
        <v>31</v>
      </c>
      <c r="R10800" s="10" t="s">
        <v>1277</v>
      </c>
      <c r="S10800" s="12" t="s">
        <v>30123</v>
      </c>
      <c r="T10800" s="10" t="s">
        <v>66</v>
      </c>
      <c r="U10800" s="12" t="s">
        <v>31</v>
      </c>
      <c r="V10800" s="10" t="s">
        <v>66402</v>
      </c>
      <c r="W10800" s="10" t="s">
        <v>65377</v>
      </c>
      <c r="X10800" s="13" t="str">
        <f>HYPERLINK("https://my.pitchbook.com?p=185194-54P","View People Online")</f>
        <v>View People Online</v>
      </c>
    </row>
    <row r="10801">
      <c r="A10801" s="6" t="s">
        <v>66403</v>
      </c>
      <c r="B10801" s="6" t="s">
        <v>66404</v>
      </c>
      <c r="C10801" s="6" t="s">
        <v>66405</v>
      </c>
      <c r="D10801" s="6" t="s">
        <v>66406</v>
      </c>
      <c r="E10801" s="6" t="s">
        <v>65377</v>
      </c>
      <c r="F10801" s="6" t="s">
        <v>825</v>
      </c>
      <c r="G10801" s="6" t="s">
        <v>66407</v>
      </c>
      <c r="H10801" s="7" t="s">
        <v>31</v>
      </c>
      <c r="I10801" s="7">
        <v>1.0</v>
      </c>
      <c r="J10801" s="7">
        <v>1.0</v>
      </c>
      <c r="K10801" s="7" t="s">
        <v>31</v>
      </c>
      <c r="L10801" s="8" t="s">
        <v>31</v>
      </c>
      <c r="M10801" s="6" t="s">
        <v>66408</v>
      </c>
      <c r="N10801" s="6" t="s">
        <v>155</v>
      </c>
      <c r="O10801" s="8" t="s">
        <v>156</v>
      </c>
      <c r="P10801" s="6" t="s">
        <v>65382</v>
      </c>
      <c r="Q10801" s="6" t="s">
        <v>31</v>
      </c>
      <c r="R10801" s="6" t="s">
        <v>64</v>
      </c>
      <c r="S10801" s="8" t="s">
        <v>2463</v>
      </c>
      <c r="T10801" s="6" t="s">
        <v>66</v>
      </c>
      <c r="U10801" s="8" t="s">
        <v>31</v>
      </c>
      <c r="V10801" s="6" t="s">
        <v>66409</v>
      </c>
      <c r="W10801" s="6" t="s">
        <v>65377</v>
      </c>
      <c r="X10801" s="9" t="str">
        <f>HYPERLINK("https://my.pitchbook.com?p=81255-16P","View People Online")</f>
        <v>View People Online</v>
      </c>
    </row>
    <row r="10802">
      <c r="A10802" s="10" t="s">
        <v>66410</v>
      </c>
      <c r="B10802" s="10" t="s">
        <v>66411</v>
      </c>
      <c r="C10802" s="10" t="s">
        <v>12657</v>
      </c>
      <c r="D10802" s="10" t="s">
        <v>46796</v>
      </c>
      <c r="E10802" s="10" t="s">
        <v>65377</v>
      </c>
      <c r="F10802" s="10" t="s">
        <v>3877</v>
      </c>
      <c r="G10802" s="10" t="s">
        <v>66412</v>
      </c>
      <c r="H10802" s="11" t="s">
        <v>31</v>
      </c>
      <c r="I10802" s="11">
        <v>1.0</v>
      </c>
      <c r="J10802" s="11">
        <v>1.0</v>
      </c>
      <c r="K10802" s="11" t="s">
        <v>31</v>
      </c>
      <c r="L10802" s="12" t="s">
        <v>31</v>
      </c>
      <c r="M10802" s="10" t="s">
        <v>66413</v>
      </c>
      <c r="N10802" s="10" t="s">
        <v>155</v>
      </c>
      <c r="O10802" s="12" t="s">
        <v>156</v>
      </c>
      <c r="P10802" s="10" t="s">
        <v>65382</v>
      </c>
      <c r="Q10802" s="10" t="s">
        <v>31</v>
      </c>
      <c r="R10802" s="10" t="s">
        <v>64</v>
      </c>
      <c r="S10802" s="12" t="s">
        <v>2463</v>
      </c>
      <c r="T10802" s="10" t="s">
        <v>66</v>
      </c>
      <c r="U10802" s="12" t="s">
        <v>31</v>
      </c>
      <c r="V10802" s="10" t="s">
        <v>66414</v>
      </c>
      <c r="W10802" s="10" t="s">
        <v>65377</v>
      </c>
      <c r="X10802" s="13" t="str">
        <f>HYPERLINK("https://my.pitchbook.com?p=314607-25P","View People Online")</f>
        <v>View People Online</v>
      </c>
    </row>
    <row r="10803">
      <c r="A10803" s="6" t="s">
        <v>66415</v>
      </c>
      <c r="B10803" s="6" t="s">
        <v>66416</v>
      </c>
      <c r="C10803" s="6" t="s">
        <v>928</v>
      </c>
      <c r="D10803" s="6" t="s">
        <v>3908</v>
      </c>
      <c r="E10803" s="6" t="s">
        <v>65377</v>
      </c>
      <c r="F10803" s="6" t="s">
        <v>312</v>
      </c>
      <c r="G10803" s="6" t="s">
        <v>66417</v>
      </c>
      <c r="H10803" s="7" t="s">
        <v>31</v>
      </c>
      <c r="I10803" s="7">
        <v>1.0</v>
      </c>
      <c r="J10803" s="7">
        <v>1.0</v>
      </c>
      <c r="K10803" s="7" t="s">
        <v>31</v>
      </c>
      <c r="L10803" s="8" t="s">
        <v>66418</v>
      </c>
      <c r="M10803" s="6" t="s">
        <v>66419</v>
      </c>
      <c r="N10803" s="6" t="s">
        <v>59053</v>
      </c>
      <c r="O10803" s="8" t="s">
        <v>59054</v>
      </c>
      <c r="P10803" s="6" t="s">
        <v>65536</v>
      </c>
      <c r="Q10803" s="6" t="s">
        <v>31</v>
      </c>
      <c r="R10803" s="6" t="s">
        <v>64</v>
      </c>
      <c r="S10803" s="8" t="s">
        <v>59056</v>
      </c>
      <c r="T10803" s="6" t="s">
        <v>66</v>
      </c>
      <c r="U10803" s="8" t="s">
        <v>66420</v>
      </c>
      <c r="V10803" s="6" t="s">
        <v>312</v>
      </c>
      <c r="W10803" s="6" t="s">
        <v>65377</v>
      </c>
      <c r="X10803" s="9" t="str">
        <f>HYPERLINK("https://my.pitchbook.com?p=33074-02P","View People Online")</f>
        <v>View People Online</v>
      </c>
    </row>
    <row r="10804">
      <c r="A10804" s="10" t="s">
        <v>66421</v>
      </c>
      <c r="B10804" s="10" t="s">
        <v>66422</v>
      </c>
      <c r="C10804" s="10" t="s">
        <v>167</v>
      </c>
      <c r="D10804" s="10" t="s">
        <v>10412</v>
      </c>
      <c r="E10804" s="10" t="s">
        <v>65377</v>
      </c>
      <c r="F10804" s="10" t="s">
        <v>34800</v>
      </c>
      <c r="G10804" s="10" t="s">
        <v>66423</v>
      </c>
      <c r="H10804" s="11" t="s">
        <v>31</v>
      </c>
      <c r="I10804" s="11">
        <v>1.0</v>
      </c>
      <c r="J10804" s="11">
        <v>1.0</v>
      </c>
      <c r="K10804" s="11" t="s">
        <v>31</v>
      </c>
      <c r="L10804" s="12" t="s">
        <v>31</v>
      </c>
      <c r="M10804" s="10" t="s">
        <v>66424</v>
      </c>
      <c r="N10804" s="10" t="s">
        <v>155</v>
      </c>
      <c r="O10804" s="12" t="s">
        <v>156</v>
      </c>
      <c r="P10804" s="10" t="s">
        <v>65382</v>
      </c>
      <c r="Q10804" s="10" t="s">
        <v>31</v>
      </c>
      <c r="R10804" s="10" t="s">
        <v>64</v>
      </c>
      <c r="S10804" s="12" t="s">
        <v>2463</v>
      </c>
      <c r="T10804" s="10" t="s">
        <v>66</v>
      </c>
      <c r="U10804" s="12" t="s">
        <v>31</v>
      </c>
      <c r="V10804" s="10" t="s">
        <v>66425</v>
      </c>
      <c r="W10804" s="10" t="s">
        <v>65377</v>
      </c>
      <c r="X10804" s="13" t="str">
        <f>HYPERLINK("https://my.pitchbook.com?p=33075-55P","View People Online")</f>
        <v>View People Online</v>
      </c>
    </row>
    <row r="10805">
      <c r="A10805" s="14" t="s">
        <v>66426</v>
      </c>
      <c r="B10805" s="14" t="s">
        <v>66427</v>
      </c>
      <c r="C10805" s="14" t="s">
        <v>934</v>
      </c>
      <c r="D10805" s="14" t="s">
        <v>16924</v>
      </c>
      <c r="E10805" s="14" t="s">
        <v>65377</v>
      </c>
      <c r="F10805" s="14" t="s">
        <v>3740</v>
      </c>
      <c r="G10805" s="14" t="s">
        <v>66428</v>
      </c>
      <c r="H10805" s="15" t="s">
        <v>31</v>
      </c>
      <c r="I10805" s="15">
        <v>1.0</v>
      </c>
      <c r="J10805" s="15">
        <v>1.0</v>
      </c>
      <c r="K10805" s="15" t="s">
        <v>31</v>
      </c>
      <c r="L10805" s="16" t="s">
        <v>31</v>
      </c>
      <c r="M10805" s="14" t="s">
        <v>66429</v>
      </c>
      <c r="N10805" s="14" t="s">
        <v>155</v>
      </c>
      <c r="O10805" s="16" t="s">
        <v>156</v>
      </c>
      <c r="P10805" s="14" t="s">
        <v>65382</v>
      </c>
      <c r="Q10805" s="14" t="s">
        <v>31</v>
      </c>
      <c r="R10805" s="14" t="s">
        <v>64</v>
      </c>
      <c r="S10805" s="16" t="s">
        <v>2463</v>
      </c>
      <c r="T10805" s="14" t="s">
        <v>66</v>
      </c>
      <c r="U10805" s="16" t="s">
        <v>31</v>
      </c>
      <c r="V10805" s="14" t="s">
        <v>66430</v>
      </c>
      <c r="W10805" s="14" t="s">
        <v>65377</v>
      </c>
      <c r="X10805" s="17" t="str">
        <f>HYPERLINK("https://my.pitchbook.com?p=339305-50P","View People Online")</f>
        <v>View People Online</v>
      </c>
    </row>
    <row r="10806">
      <c r="A10806" s="2" t="s">
        <v>66431</v>
      </c>
      <c r="B10806" s="2" t="s">
        <v>66432</v>
      </c>
      <c r="C10806" s="2" t="s">
        <v>934</v>
      </c>
      <c r="D10806" s="2" t="s">
        <v>66433</v>
      </c>
      <c r="E10806" s="2" t="s">
        <v>65377</v>
      </c>
      <c r="F10806" s="2" t="s">
        <v>270</v>
      </c>
      <c r="G10806" s="2" t="s">
        <v>66434</v>
      </c>
      <c r="H10806" s="3" t="s">
        <v>31</v>
      </c>
      <c r="I10806" s="3">
        <v>1.0</v>
      </c>
      <c r="J10806" s="3">
        <v>1.0</v>
      </c>
      <c r="K10806" s="3" t="s">
        <v>31</v>
      </c>
      <c r="L10806" s="4" t="s">
        <v>31</v>
      </c>
      <c r="M10806" s="2" t="s">
        <v>66435</v>
      </c>
      <c r="N10806" s="2" t="s">
        <v>155</v>
      </c>
      <c r="O10806" s="4" t="s">
        <v>156</v>
      </c>
      <c r="P10806" s="2" t="s">
        <v>65382</v>
      </c>
      <c r="Q10806" s="2" t="s">
        <v>31</v>
      </c>
      <c r="R10806" s="2" t="s">
        <v>64</v>
      </c>
      <c r="S10806" s="4" t="s">
        <v>2463</v>
      </c>
      <c r="T10806" s="2" t="s">
        <v>66</v>
      </c>
      <c r="U10806" s="4" t="s">
        <v>31</v>
      </c>
      <c r="V10806" s="2" t="s">
        <v>44816</v>
      </c>
      <c r="W10806" s="2" t="s">
        <v>65377</v>
      </c>
      <c r="X10806" s="5" t="str">
        <f>HYPERLINK("https://my.pitchbook.com?p=156468-43P","View People Online")</f>
        <v>View People Online</v>
      </c>
    </row>
    <row r="10807">
      <c r="A10807" s="6" t="s">
        <v>66436</v>
      </c>
      <c r="B10807" s="6" t="s">
        <v>66437</v>
      </c>
      <c r="C10807" s="6" t="s">
        <v>2388</v>
      </c>
      <c r="D10807" s="6" t="s">
        <v>66438</v>
      </c>
      <c r="E10807" s="6" t="s">
        <v>65377</v>
      </c>
      <c r="F10807" s="6" t="s">
        <v>713</v>
      </c>
      <c r="G10807" s="6" t="s">
        <v>66439</v>
      </c>
      <c r="H10807" s="7" t="s">
        <v>31</v>
      </c>
      <c r="I10807" s="7">
        <v>1.0</v>
      </c>
      <c r="J10807" s="7">
        <v>1.0</v>
      </c>
      <c r="K10807" s="7" t="s">
        <v>31</v>
      </c>
      <c r="L10807" s="8" t="s">
        <v>66440</v>
      </c>
      <c r="M10807" s="6" t="s">
        <v>66441</v>
      </c>
      <c r="N10807" s="6" t="s">
        <v>7690</v>
      </c>
      <c r="O10807" s="8" t="s">
        <v>7691</v>
      </c>
      <c r="P10807" s="6" t="s">
        <v>65830</v>
      </c>
      <c r="Q10807" s="6" t="s">
        <v>3928</v>
      </c>
      <c r="R10807" s="6" t="s">
        <v>7693</v>
      </c>
      <c r="S10807" s="8" t="s">
        <v>65831</v>
      </c>
      <c r="T10807" s="6" t="s">
        <v>66</v>
      </c>
      <c r="U10807" s="8" t="s">
        <v>66442</v>
      </c>
      <c r="V10807" s="6" t="s">
        <v>66443</v>
      </c>
      <c r="W10807" s="6" t="s">
        <v>65377</v>
      </c>
      <c r="X10807" s="9" t="str">
        <f>HYPERLINK("https://my.pitchbook.com?p=46493-92P","View People Online")</f>
        <v>View People Online</v>
      </c>
    </row>
    <row r="10808">
      <c r="A10808" s="10" t="s">
        <v>66444</v>
      </c>
      <c r="B10808" s="10" t="s">
        <v>66445</v>
      </c>
      <c r="C10808" s="10" t="s">
        <v>2329</v>
      </c>
      <c r="D10808" s="10" t="s">
        <v>3275</v>
      </c>
      <c r="E10808" s="10" t="s">
        <v>65377</v>
      </c>
      <c r="F10808" s="10" t="s">
        <v>44873</v>
      </c>
      <c r="G10808" s="10" t="s">
        <v>66446</v>
      </c>
      <c r="H10808" s="11" t="s">
        <v>31</v>
      </c>
      <c r="I10808" s="11">
        <v>1.0</v>
      </c>
      <c r="J10808" s="11">
        <v>1.0</v>
      </c>
      <c r="K10808" s="11" t="s">
        <v>31</v>
      </c>
      <c r="L10808" s="12" t="s">
        <v>31</v>
      </c>
      <c r="M10808" s="10" t="s">
        <v>66447</v>
      </c>
      <c r="N10808" s="10" t="s">
        <v>155</v>
      </c>
      <c r="O10808" s="12" t="s">
        <v>156</v>
      </c>
      <c r="P10808" s="10" t="s">
        <v>65382</v>
      </c>
      <c r="Q10808" s="10" t="s">
        <v>31</v>
      </c>
      <c r="R10808" s="10" t="s">
        <v>64</v>
      </c>
      <c r="S10808" s="12" t="s">
        <v>2463</v>
      </c>
      <c r="T10808" s="10" t="s">
        <v>66</v>
      </c>
      <c r="U10808" s="12" t="s">
        <v>31</v>
      </c>
      <c r="V10808" s="10" t="s">
        <v>66448</v>
      </c>
      <c r="W10808" s="10" t="s">
        <v>65377</v>
      </c>
      <c r="X10808" s="13" t="str">
        <f>HYPERLINK("https://my.pitchbook.com?p=172894-06P","View People Online")</f>
        <v>View People Online</v>
      </c>
    </row>
    <row r="10809">
      <c r="A10809" s="14" t="s">
        <v>66449</v>
      </c>
      <c r="B10809" s="14" t="s">
        <v>66450</v>
      </c>
      <c r="C10809" s="14" t="s">
        <v>3875</v>
      </c>
      <c r="D10809" s="14" t="s">
        <v>66451</v>
      </c>
      <c r="E10809" s="14" t="s">
        <v>65377</v>
      </c>
      <c r="F10809" s="14" t="s">
        <v>2652</v>
      </c>
      <c r="G10809" s="14" t="s">
        <v>66452</v>
      </c>
      <c r="H10809" s="15" t="s">
        <v>31</v>
      </c>
      <c r="I10809" s="15">
        <v>1.0</v>
      </c>
      <c r="J10809" s="15">
        <v>1.0</v>
      </c>
      <c r="K10809" s="15" t="s">
        <v>31</v>
      </c>
      <c r="L10809" s="16" t="s">
        <v>31</v>
      </c>
      <c r="M10809" s="14" t="s">
        <v>66453</v>
      </c>
      <c r="N10809" s="14" t="s">
        <v>155</v>
      </c>
      <c r="O10809" s="16" t="s">
        <v>156</v>
      </c>
      <c r="P10809" s="14" t="s">
        <v>65382</v>
      </c>
      <c r="Q10809" s="14" t="s">
        <v>31</v>
      </c>
      <c r="R10809" s="14" t="s">
        <v>64</v>
      </c>
      <c r="S10809" s="16" t="s">
        <v>2463</v>
      </c>
      <c r="T10809" s="14" t="s">
        <v>66</v>
      </c>
      <c r="U10809" s="16" t="s">
        <v>31</v>
      </c>
      <c r="V10809" s="14" t="s">
        <v>66454</v>
      </c>
      <c r="W10809" s="14" t="s">
        <v>65377</v>
      </c>
      <c r="X10809" s="17" t="str">
        <f>HYPERLINK("https://my.pitchbook.com?p=342798-85P","View People Online")</f>
        <v>View People Online</v>
      </c>
    </row>
    <row r="10810">
      <c r="A10810" s="2" t="s">
        <v>66455</v>
      </c>
      <c r="B10810" s="2" t="s">
        <v>66456</v>
      </c>
      <c r="C10810" s="2" t="s">
        <v>388</v>
      </c>
      <c r="D10810" s="2" t="s">
        <v>1677</v>
      </c>
      <c r="E10810" s="2" t="s">
        <v>65377</v>
      </c>
      <c r="F10810" s="2" t="s">
        <v>825</v>
      </c>
      <c r="G10810" s="2" t="s">
        <v>66457</v>
      </c>
      <c r="H10810" s="3" t="s">
        <v>31</v>
      </c>
      <c r="I10810" s="3">
        <v>1.0</v>
      </c>
      <c r="J10810" s="3">
        <v>1.0</v>
      </c>
      <c r="K10810" s="3" t="s">
        <v>31</v>
      </c>
      <c r="L10810" s="4" t="s">
        <v>31</v>
      </c>
      <c r="M10810" s="2" t="s">
        <v>66458</v>
      </c>
      <c r="N10810" s="2" t="s">
        <v>155</v>
      </c>
      <c r="O10810" s="4" t="s">
        <v>156</v>
      </c>
      <c r="P10810" s="2" t="s">
        <v>65382</v>
      </c>
      <c r="Q10810" s="2" t="s">
        <v>31</v>
      </c>
      <c r="R10810" s="2" t="s">
        <v>64</v>
      </c>
      <c r="S10810" s="4" t="s">
        <v>2463</v>
      </c>
      <c r="T10810" s="2" t="s">
        <v>66</v>
      </c>
      <c r="U10810" s="4" t="s">
        <v>31</v>
      </c>
      <c r="V10810" s="2" t="s">
        <v>66459</v>
      </c>
      <c r="W10810" s="2" t="s">
        <v>65377</v>
      </c>
      <c r="X10810" s="5" t="str">
        <f>HYPERLINK("https://my.pitchbook.com?p=323593-12P","View People Online")</f>
        <v>View People Online</v>
      </c>
    </row>
    <row r="10811">
      <c r="A10811" s="14" t="s">
        <v>66460</v>
      </c>
      <c r="B10811" s="14" t="s">
        <v>66461</v>
      </c>
      <c r="C10811" s="14" t="s">
        <v>66462</v>
      </c>
      <c r="D10811" s="14" t="s">
        <v>5302</v>
      </c>
      <c r="E10811" s="14" t="s">
        <v>65377</v>
      </c>
      <c r="F10811" s="14" t="s">
        <v>5418</v>
      </c>
      <c r="G10811" s="14" t="s">
        <v>66463</v>
      </c>
      <c r="H10811" s="15" t="s">
        <v>31</v>
      </c>
      <c r="I10811" s="15">
        <v>1.0</v>
      </c>
      <c r="J10811" s="15">
        <v>1.0</v>
      </c>
      <c r="K10811" s="15" t="s">
        <v>31</v>
      </c>
      <c r="L10811" s="16" t="s">
        <v>31</v>
      </c>
      <c r="M10811" s="14" t="s">
        <v>66464</v>
      </c>
      <c r="N10811" s="14" t="s">
        <v>155</v>
      </c>
      <c r="O10811" s="16" t="s">
        <v>156</v>
      </c>
      <c r="P10811" s="14" t="s">
        <v>65382</v>
      </c>
      <c r="Q10811" s="14" t="s">
        <v>31</v>
      </c>
      <c r="R10811" s="14" t="s">
        <v>64</v>
      </c>
      <c r="S10811" s="16" t="s">
        <v>2463</v>
      </c>
      <c r="T10811" s="14" t="s">
        <v>66</v>
      </c>
      <c r="U10811" s="16" t="s">
        <v>31</v>
      </c>
      <c r="V10811" s="14" t="s">
        <v>66465</v>
      </c>
      <c r="W10811" s="14" t="s">
        <v>65377</v>
      </c>
      <c r="X10811" s="17" t="str">
        <f>HYPERLINK("https://my.pitchbook.com?p=140847-94P","View People Online")</f>
        <v>View People Online</v>
      </c>
    </row>
    <row r="10812">
      <c r="A10812" s="2" t="s">
        <v>66466</v>
      </c>
      <c r="B10812" s="2" t="s">
        <v>66467</v>
      </c>
      <c r="C10812" s="2" t="s">
        <v>61945</v>
      </c>
      <c r="D10812" s="2" t="s">
        <v>66468</v>
      </c>
      <c r="E10812" s="2" t="s">
        <v>65377</v>
      </c>
      <c r="F10812" s="2" t="s">
        <v>2731</v>
      </c>
      <c r="G10812" s="2" t="s">
        <v>66469</v>
      </c>
      <c r="H10812" s="3" t="s">
        <v>31</v>
      </c>
      <c r="I10812" s="3">
        <v>1.0</v>
      </c>
      <c r="J10812" s="3">
        <v>1.0</v>
      </c>
      <c r="K10812" s="3" t="s">
        <v>31</v>
      </c>
      <c r="L10812" s="4" t="s">
        <v>31</v>
      </c>
      <c r="M10812" s="2" t="s">
        <v>66470</v>
      </c>
      <c r="N10812" s="2" t="s">
        <v>155</v>
      </c>
      <c r="O10812" s="4" t="s">
        <v>156</v>
      </c>
      <c r="P10812" s="2" t="s">
        <v>65382</v>
      </c>
      <c r="Q10812" s="2" t="s">
        <v>31</v>
      </c>
      <c r="R10812" s="2" t="s">
        <v>64</v>
      </c>
      <c r="S10812" s="4" t="s">
        <v>2463</v>
      </c>
      <c r="T10812" s="2" t="s">
        <v>66</v>
      </c>
      <c r="U10812" s="4" t="s">
        <v>31</v>
      </c>
      <c r="V10812" s="2" t="s">
        <v>66471</v>
      </c>
      <c r="W10812" s="2" t="s">
        <v>65377</v>
      </c>
      <c r="X10812" s="5" t="str">
        <f>HYPERLINK("https://my.pitchbook.com?p=209773-00P","View People Online")</f>
        <v>View People Online</v>
      </c>
    </row>
    <row r="10813">
      <c r="A10813" s="6" t="s">
        <v>66472</v>
      </c>
      <c r="B10813" s="6" t="s">
        <v>66473</v>
      </c>
      <c r="C10813" s="6" t="s">
        <v>10538</v>
      </c>
      <c r="D10813" s="6" t="s">
        <v>6004</v>
      </c>
      <c r="E10813" s="6" t="s">
        <v>65377</v>
      </c>
      <c r="F10813" s="6" t="s">
        <v>1283</v>
      </c>
      <c r="G10813" s="6" t="s">
        <v>66474</v>
      </c>
      <c r="H10813" s="7" t="s">
        <v>31</v>
      </c>
      <c r="I10813" s="7">
        <v>1.0</v>
      </c>
      <c r="J10813" s="7">
        <v>1.0</v>
      </c>
      <c r="K10813" s="7" t="s">
        <v>31</v>
      </c>
      <c r="L10813" s="8" t="s">
        <v>31</v>
      </c>
      <c r="M10813" s="6" t="s">
        <v>66475</v>
      </c>
      <c r="N10813" s="6" t="s">
        <v>155</v>
      </c>
      <c r="O10813" s="8" t="s">
        <v>156</v>
      </c>
      <c r="P10813" s="6" t="s">
        <v>65382</v>
      </c>
      <c r="Q10813" s="6" t="s">
        <v>31</v>
      </c>
      <c r="R10813" s="6" t="s">
        <v>64</v>
      </c>
      <c r="S10813" s="8" t="s">
        <v>2463</v>
      </c>
      <c r="T10813" s="6" t="s">
        <v>66</v>
      </c>
      <c r="U10813" s="8" t="s">
        <v>31</v>
      </c>
      <c r="V10813" s="6" t="s">
        <v>1283</v>
      </c>
      <c r="W10813" s="6" t="s">
        <v>65377</v>
      </c>
      <c r="X10813" s="9" t="str">
        <f>HYPERLINK("https://my.pitchbook.com?p=220151-35P","View People Online")</f>
        <v>View People Online</v>
      </c>
    </row>
    <row r="10814">
      <c r="A10814" s="10" t="s">
        <v>66476</v>
      </c>
      <c r="B10814" s="10" t="s">
        <v>66477</v>
      </c>
      <c r="C10814" s="10" t="s">
        <v>66478</v>
      </c>
      <c r="D10814" s="10" t="s">
        <v>66479</v>
      </c>
      <c r="E10814" s="10" t="s">
        <v>65377</v>
      </c>
      <c r="F10814" s="10" t="s">
        <v>2652</v>
      </c>
      <c r="G10814" s="10" t="s">
        <v>66480</v>
      </c>
      <c r="H10814" s="11" t="s">
        <v>31</v>
      </c>
      <c r="I10814" s="11">
        <v>1.0</v>
      </c>
      <c r="J10814" s="11">
        <v>1.0</v>
      </c>
      <c r="K10814" s="11" t="s">
        <v>31</v>
      </c>
      <c r="L10814" s="12" t="s">
        <v>65402</v>
      </c>
      <c r="M10814" s="10" t="s">
        <v>66481</v>
      </c>
      <c r="N10814" s="10" t="s">
        <v>75</v>
      </c>
      <c r="O10814" s="12" t="s">
        <v>76</v>
      </c>
      <c r="P10814" s="10" t="s">
        <v>65404</v>
      </c>
      <c r="Q10814" s="10" t="s">
        <v>31</v>
      </c>
      <c r="R10814" s="10" t="s">
        <v>75</v>
      </c>
      <c r="S10814" s="12" t="s">
        <v>57992</v>
      </c>
      <c r="T10814" s="10" t="s">
        <v>66</v>
      </c>
      <c r="U10814" s="12" t="s">
        <v>31</v>
      </c>
      <c r="V10814" s="10" t="s">
        <v>66482</v>
      </c>
      <c r="W10814" s="10" t="s">
        <v>65377</v>
      </c>
      <c r="X10814" s="13" t="str">
        <f>HYPERLINK("https://my.pitchbook.com?p=275526-46P","View People Online")</f>
        <v>View People Online</v>
      </c>
    </row>
    <row r="10815">
      <c r="A10815" s="14" t="s">
        <v>66483</v>
      </c>
      <c r="B10815" s="14" t="s">
        <v>66484</v>
      </c>
      <c r="C10815" s="14" t="s">
        <v>6820</v>
      </c>
      <c r="D10815" s="14" t="s">
        <v>13914</v>
      </c>
      <c r="E10815" s="14" t="s">
        <v>65377</v>
      </c>
      <c r="F10815" s="14" t="s">
        <v>44873</v>
      </c>
      <c r="G10815" s="14" t="s">
        <v>66485</v>
      </c>
      <c r="H10815" s="15" t="s">
        <v>31</v>
      </c>
      <c r="I10815" s="15">
        <v>10.0</v>
      </c>
      <c r="J10815" s="15">
        <v>1.0</v>
      </c>
      <c r="K10815" s="15">
        <v>9.0</v>
      </c>
      <c r="L10815" s="16" t="s">
        <v>31</v>
      </c>
      <c r="M10815" s="14" t="s">
        <v>66486</v>
      </c>
      <c r="N10815" s="14" t="s">
        <v>155</v>
      </c>
      <c r="O10815" s="16" t="s">
        <v>156</v>
      </c>
      <c r="P10815" s="14" t="s">
        <v>65382</v>
      </c>
      <c r="Q10815" s="14" t="s">
        <v>31</v>
      </c>
      <c r="R10815" s="14" t="s">
        <v>64</v>
      </c>
      <c r="S10815" s="16" t="s">
        <v>2463</v>
      </c>
      <c r="T10815" s="14" t="s">
        <v>66</v>
      </c>
      <c r="U10815" s="16" t="s">
        <v>31</v>
      </c>
      <c r="V10815" s="14" t="s">
        <v>66487</v>
      </c>
      <c r="W10815" s="14" t="s">
        <v>65377</v>
      </c>
      <c r="X10815" s="17" t="str">
        <f>HYPERLINK("https://my.pitchbook.com?p=127725-31P","View People Online")</f>
        <v>View People Online</v>
      </c>
    </row>
    <row r="10816">
      <c r="A10816" s="10" t="s">
        <v>66488</v>
      </c>
      <c r="B10816" s="10" t="s">
        <v>66489</v>
      </c>
      <c r="C10816" s="10" t="s">
        <v>395</v>
      </c>
      <c r="D10816" s="10" t="s">
        <v>28980</v>
      </c>
      <c r="E10816" s="10" t="s">
        <v>65377</v>
      </c>
      <c r="F10816" s="10" t="s">
        <v>32657</v>
      </c>
      <c r="G10816" s="10" t="s">
        <v>66490</v>
      </c>
      <c r="H10816" s="11">
        <v>1.0</v>
      </c>
      <c r="I10816" s="11">
        <v>1.0</v>
      </c>
      <c r="J10816" s="11">
        <v>1.0</v>
      </c>
      <c r="K10816" s="11" t="s">
        <v>31</v>
      </c>
      <c r="L10816" s="12" t="s">
        <v>66491</v>
      </c>
      <c r="M10816" s="10" t="s">
        <v>66492</v>
      </c>
      <c r="N10816" s="10" t="s">
        <v>155</v>
      </c>
      <c r="O10816" s="12" t="s">
        <v>156</v>
      </c>
      <c r="P10816" s="10" t="s">
        <v>65382</v>
      </c>
      <c r="Q10816" s="10" t="s">
        <v>31</v>
      </c>
      <c r="R10816" s="10" t="s">
        <v>64</v>
      </c>
      <c r="S10816" s="12" t="s">
        <v>2463</v>
      </c>
      <c r="T10816" s="10" t="s">
        <v>66</v>
      </c>
      <c r="U10816" s="12" t="s">
        <v>66493</v>
      </c>
      <c r="V10816" s="10" t="s">
        <v>66494</v>
      </c>
      <c r="W10816" s="10" t="s">
        <v>65377</v>
      </c>
      <c r="X10816" s="13" t="str">
        <f>HYPERLINK("https://my.pitchbook.com?p=33498-46P","View People Online")</f>
        <v>View People Online</v>
      </c>
    </row>
    <row r="10817">
      <c r="A10817" s="14" t="s">
        <v>66495</v>
      </c>
      <c r="B10817" s="14" t="s">
        <v>66496</v>
      </c>
      <c r="C10817" s="14" t="s">
        <v>536</v>
      </c>
      <c r="D10817" s="14" t="s">
        <v>66497</v>
      </c>
      <c r="E10817" s="14" t="s">
        <v>65377</v>
      </c>
      <c r="F10817" s="14" t="s">
        <v>371</v>
      </c>
      <c r="G10817" s="14" t="s">
        <v>66498</v>
      </c>
      <c r="H10817" s="15" t="s">
        <v>31</v>
      </c>
      <c r="I10817" s="15">
        <v>1.0</v>
      </c>
      <c r="J10817" s="15">
        <v>1.0</v>
      </c>
      <c r="K10817" s="15" t="s">
        <v>31</v>
      </c>
      <c r="L10817" s="16" t="s">
        <v>66116</v>
      </c>
      <c r="M10817" s="14" t="s">
        <v>66499</v>
      </c>
      <c r="N10817" s="14" t="s">
        <v>75</v>
      </c>
      <c r="O10817" s="16" t="s">
        <v>76</v>
      </c>
      <c r="P10817" s="14" t="s">
        <v>65404</v>
      </c>
      <c r="Q10817" s="14" t="s">
        <v>31</v>
      </c>
      <c r="R10817" s="14" t="s">
        <v>75</v>
      </c>
      <c r="S10817" s="16" t="s">
        <v>57992</v>
      </c>
      <c r="T10817" s="14" t="s">
        <v>66</v>
      </c>
      <c r="U10817" s="16" t="s">
        <v>31</v>
      </c>
      <c r="V10817" s="14" t="s">
        <v>66500</v>
      </c>
      <c r="W10817" s="14" t="s">
        <v>65377</v>
      </c>
      <c r="X10817" s="17" t="str">
        <f>HYPERLINK("https://my.pitchbook.com?p=31969-81P","View People Online")</f>
        <v>View People Online</v>
      </c>
    </row>
    <row r="10818">
      <c r="A10818" s="10" t="s">
        <v>66501</v>
      </c>
      <c r="B10818" s="10" t="s">
        <v>66502</v>
      </c>
      <c r="C10818" s="10" t="s">
        <v>536</v>
      </c>
      <c r="D10818" s="10" t="s">
        <v>66503</v>
      </c>
      <c r="E10818" s="10" t="s">
        <v>65377</v>
      </c>
      <c r="F10818" s="10" t="s">
        <v>270</v>
      </c>
      <c r="G10818" s="10" t="s">
        <v>66504</v>
      </c>
      <c r="H10818" s="11" t="s">
        <v>31</v>
      </c>
      <c r="I10818" s="11">
        <v>1.0</v>
      </c>
      <c r="J10818" s="11">
        <v>1.0</v>
      </c>
      <c r="K10818" s="11" t="s">
        <v>31</v>
      </c>
      <c r="L10818" s="12" t="s">
        <v>66505</v>
      </c>
      <c r="M10818" s="10" t="s">
        <v>66506</v>
      </c>
      <c r="N10818" s="10" t="s">
        <v>2599</v>
      </c>
      <c r="O10818" s="12" t="s">
        <v>2600</v>
      </c>
      <c r="P10818" s="10" t="s">
        <v>66507</v>
      </c>
      <c r="Q10818" s="10" t="s">
        <v>31</v>
      </c>
      <c r="R10818" s="10" t="s">
        <v>396</v>
      </c>
      <c r="S10818" s="12" t="s">
        <v>13435</v>
      </c>
      <c r="T10818" s="10" t="s">
        <v>66</v>
      </c>
      <c r="U10818" s="12" t="s">
        <v>31</v>
      </c>
      <c r="V10818" s="10" t="s">
        <v>66508</v>
      </c>
      <c r="W10818" s="10" t="s">
        <v>65377</v>
      </c>
      <c r="X10818" s="13" t="str">
        <f>HYPERLINK("https://my.pitchbook.com?p=82785-07P","View People Online")</f>
        <v>View People Online</v>
      </c>
    </row>
    <row r="10819">
      <c r="A10819" s="14" t="s">
        <v>66509</v>
      </c>
      <c r="B10819" s="14" t="s">
        <v>66510</v>
      </c>
      <c r="C10819" s="14" t="s">
        <v>66511</v>
      </c>
      <c r="D10819" s="14" t="s">
        <v>66512</v>
      </c>
      <c r="E10819" s="14" t="s">
        <v>65377</v>
      </c>
      <c r="F10819" s="14" t="s">
        <v>270</v>
      </c>
      <c r="G10819" s="14" t="s">
        <v>66513</v>
      </c>
      <c r="H10819" s="15" t="s">
        <v>31</v>
      </c>
      <c r="I10819" s="15">
        <v>3.0</v>
      </c>
      <c r="J10819" s="15">
        <v>2.0</v>
      </c>
      <c r="K10819" s="15">
        <v>1.0</v>
      </c>
      <c r="L10819" s="16" t="s">
        <v>31</v>
      </c>
      <c r="M10819" s="14" t="s">
        <v>66514</v>
      </c>
      <c r="N10819" s="14" t="s">
        <v>155</v>
      </c>
      <c r="O10819" s="16" t="s">
        <v>156</v>
      </c>
      <c r="P10819" s="14" t="s">
        <v>65382</v>
      </c>
      <c r="Q10819" s="14" t="s">
        <v>31</v>
      </c>
      <c r="R10819" s="14" t="s">
        <v>64</v>
      </c>
      <c r="S10819" s="16" t="s">
        <v>2463</v>
      </c>
      <c r="T10819" s="14" t="s">
        <v>66</v>
      </c>
      <c r="U10819" s="16" t="s">
        <v>31</v>
      </c>
      <c r="V10819" s="14" t="s">
        <v>7535</v>
      </c>
      <c r="W10819" s="14" t="s">
        <v>65377</v>
      </c>
      <c r="X10819" s="17" t="str">
        <f>HYPERLINK("https://my.pitchbook.com?p=297351-91P","View People Online")</f>
        <v>View People Online</v>
      </c>
    </row>
    <row r="10820">
      <c r="A10820" s="10" t="s">
        <v>66515</v>
      </c>
      <c r="B10820" s="10" t="s">
        <v>66516</v>
      </c>
      <c r="C10820" s="10" t="s">
        <v>6148</v>
      </c>
      <c r="D10820" s="10" t="s">
        <v>66517</v>
      </c>
      <c r="E10820" s="10" t="s">
        <v>65377</v>
      </c>
      <c r="F10820" s="10" t="s">
        <v>713</v>
      </c>
      <c r="G10820" s="10" t="s">
        <v>66518</v>
      </c>
      <c r="H10820" s="11" t="s">
        <v>31</v>
      </c>
      <c r="I10820" s="11">
        <v>1.0</v>
      </c>
      <c r="J10820" s="11">
        <v>1.0</v>
      </c>
      <c r="K10820" s="11" t="s">
        <v>31</v>
      </c>
      <c r="L10820" s="12" t="s">
        <v>31</v>
      </c>
      <c r="M10820" s="10" t="s">
        <v>66519</v>
      </c>
      <c r="N10820" s="10" t="s">
        <v>155</v>
      </c>
      <c r="O10820" s="12" t="s">
        <v>156</v>
      </c>
      <c r="P10820" s="10" t="s">
        <v>65382</v>
      </c>
      <c r="Q10820" s="10" t="s">
        <v>31</v>
      </c>
      <c r="R10820" s="10" t="s">
        <v>64</v>
      </c>
      <c r="S10820" s="12" t="s">
        <v>2463</v>
      </c>
      <c r="T10820" s="10" t="s">
        <v>66</v>
      </c>
      <c r="U10820" s="12" t="s">
        <v>31</v>
      </c>
      <c r="V10820" s="10" t="s">
        <v>713</v>
      </c>
      <c r="W10820" s="10" t="s">
        <v>65377</v>
      </c>
      <c r="X10820" s="13" t="str">
        <f>HYPERLINK("https://my.pitchbook.com?p=383699-98P","View People Online")</f>
        <v>View People Online</v>
      </c>
    </row>
    <row r="10821">
      <c r="A10821" s="6" t="s">
        <v>66520</v>
      </c>
      <c r="B10821" s="6" t="s">
        <v>66521</v>
      </c>
      <c r="C10821" s="6" t="s">
        <v>66522</v>
      </c>
      <c r="D10821" s="6" t="s">
        <v>66523</v>
      </c>
      <c r="E10821" s="6" t="s">
        <v>65377</v>
      </c>
      <c r="F10821" s="6" t="s">
        <v>46509</v>
      </c>
      <c r="G10821" s="6" t="s">
        <v>66524</v>
      </c>
      <c r="H10821" s="7" t="s">
        <v>31</v>
      </c>
      <c r="I10821" s="7">
        <v>1.0</v>
      </c>
      <c r="J10821" s="7">
        <v>1.0</v>
      </c>
      <c r="K10821" s="7" t="s">
        <v>31</v>
      </c>
      <c r="L10821" s="8" t="s">
        <v>31</v>
      </c>
      <c r="M10821" s="6" t="s">
        <v>66525</v>
      </c>
      <c r="N10821" s="6" t="s">
        <v>155</v>
      </c>
      <c r="O10821" s="8" t="s">
        <v>156</v>
      </c>
      <c r="P10821" s="6" t="s">
        <v>65382</v>
      </c>
      <c r="Q10821" s="6" t="s">
        <v>31</v>
      </c>
      <c r="R10821" s="6" t="s">
        <v>64</v>
      </c>
      <c r="S10821" s="8" t="s">
        <v>2463</v>
      </c>
      <c r="T10821" s="6" t="s">
        <v>66</v>
      </c>
      <c r="U10821" s="8" t="s">
        <v>31</v>
      </c>
      <c r="V10821" s="6" t="s">
        <v>66526</v>
      </c>
      <c r="W10821" s="6" t="s">
        <v>65377</v>
      </c>
      <c r="X10821" s="9" t="str">
        <f>HYPERLINK("https://my.pitchbook.com?p=247225-42P","View People Online")</f>
        <v>View People Online</v>
      </c>
    </row>
    <row r="10822">
      <c r="A10822" s="10" t="s">
        <v>66527</v>
      </c>
      <c r="B10822" s="10" t="s">
        <v>66528</v>
      </c>
      <c r="C10822" s="10" t="s">
        <v>46294</v>
      </c>
      <c r="D10822" s="10" t="s">
        <v>1623</v>
      </c>
      <c r="E10822" s="10" t="s">
        <v>65377</v>
      </c>
      <c r="F10822" s="10" t="s">
        <v>270</v>
      </c>
      <c r="G10822" s="10" t="s">
        <v>66529</v>
      </c>
      <c r="H10822" s="11" t="s">
        <v>31</v>
      </c>
      <c r="I10822" s="11">
        <v>1.0</v>
      </c>
      <c r="J10822" s="11">
        <v>1.0</v>
      </c>
      <c r="K10822" s="11" t="s">
        <v>31</v>
      </c>
      <c r="L10822" s="12" t="s">
        <v>31</v>
      </c>
      <c r="M10822" s="10" t="s">
        <v>66530</v>
      </c>
      <c r="N10822" s="10" t="s">
        <v>155</v>
      </c>
      <c r="O10822" s="12" t="s">
        <v>156</v>
      </c>
      <c r="P10822" s="10" t="s">
        <v>65382</v>
      </c>
      <c r="Q10822" s="10" t="s">
        <v>31</v>
      </c>
      <c r="R10822" s="10" t="s">
        <v>64</v>
      </c>
      <c r="S10822" s="12" t="s">
        <v>2463</v>
      </c>
      <c r="T10822" s="10" t="s">
        <v>66</v>
      </c>
      <c r="U10822" s="12" t="s">
        <v>31</v>
      </c>
      <c r="V10822" s="10" t="s">
        <v>66531</v>
      </c>
      <c r="W10822" s="10" t="s">
        <v>65377</v>
      </c>
      <c r="X10822" s="13" t="str">
        <f>HYPERLINK("https://my.pitchbook.com?p=378723-25P","View People Online")</f>
        <v>View People Online</v>
      </c>
    </row>
    <row r="10823">
      <c r="A10823" s="6" t="s">
        <v>66532</v>
      </c>
      <c r="B10823" s="6" t="s">
        <v>66533</v>
      </c>
      <c r="C10823" s="6" t="s">
        <v>66534</v>
      </c>
      <c r="D10823" s="6" t="s">
        <v>17032</v>
      </c>
      <c r="E10823" s="6" t="s">
        <v>65377</v>
      </c>
      <c r="F10823" s="6" t="s">
        <v>270</v>
      </c>
      <c r="G10823" s="6" t="s">
        <v>66535</v>
      </c>
      <c r="H10823" s="7" t="s">
        <v>31</v>
      </c>
      <c r="I10823" s="7">
        <v>1.0</v>
      </c>
      <c r="J10823" s="7">
        <v>1.0</v>
      </c>
      <c r="K10823" s="7" t="s">
        <v>31</v>
      </c>
      <c r="L10823" s="8" t="s">
        <v>65402</v>
      </c>
      <c r="M10823" s="6" t="s">
        <v>66536</v>
      </c>
      <c r="N10823" s="6" t="s">
        <v>75</v>
      </c>
      <c r="O10823" s="8" t="s">
        <v>76</v>
      </c>
      <c r="P10823" s="6" t="s">
        <v>65404</v>
      </c>
      <c r="Q10823" s="6" t="s">
        <v>31</v>
      </c>
      <c r="R10823" s="6" t="s">
        <v>75</v>
      </c>
      <c r="S10823" s="8" t="s">
        <v>57992</v>
      </c>
      <c r="T10823" s="6" t="s">
        <v>66</v>
      </c>
      <c r="U10823" s="8" t="s">
        <v>31</v>
      </c>
      <c r="V10823" s="6" t="s">
        <v>66537</v>
      </c>
      <c r="W10823" s="6" t="s">
        <v>65377</v>
      </c>
      <c r="X10823" s="9" t="str">
        <f>HYPERLINK("https://my.pitchbook.com?p=143935-48P","View People Online")</f>
        <v>View People Online</v>
      </c>
    </row>
    <row r="10824">
      <c r="A10824" s="10" t="s">
        <v>66538</v>
      </c>
      <c r="B10824" s="10" t="s">
        <v>66539</v>
      </c>
      <c r="C10824" s="10" t="s">
        <v>4015</v>
      </c>
      <c r="D10824" s="10" t="s">
        <v>25078</v>
      </c>
      <c r="E10824" s="10" t="s">
        <v>65377</v>
      </c>
      <c r="F10824" s="10" t="s">
        <v>1283</v>
      </c>
      <c r="G10824" s="10" t="s">
        <v>66540</v>
      </c>
      <c r="H10824" s="11" t="s">
        <v>31</v>
      </c>
      <c r="I10824" s="11">
        <v>1.0</v>
      </c>
      <c r="J10824" s="11">
        <v>1.0</v>
      </c>
      <c r="K10824" s="11" t="s">
        <v>31</v>
      </c>
      <c r="L10824" s="12" t="s">
        <v>31</v>
      </c>
      <c r="M10824" s="10" t="s">
        <v>66541</v>
      </c>
      <c r="N10824" s="10" t="s">
        <v>155</v>
      </c>
      <c r="O10824" s="12" t="s">
        <v>156</v>
      </c>
      <c r="P10824" s="10" t="s">
        <v>65382</v>
      </c>
      <c r="Q10824" s="10" t="s">
        <v>31</v>
      </c>
      <c r="R10824" s="10" t="s">
        <v>64</v>
      </c>
      <c r="S10824" s="12" t="s">
        <v>2463</v>
      </c>
      <c r="T10824" s="10" t="s">
        <v>66</v>
      </c>
      <c r="U10824" s="12" t="s">
        <v>31</v>
      </c>
      <c r="V10824" s="10" t="s">
        <v>1283</v>
      </c>
      <c r="W10824" s="10" t="s">
        <v>65377</v>
      </c>
      <c r="X10824" s="13" t="str">
        <f>HYPERLINK("https://my.pitchbook.com?p=449935-39P","View People Online")</f>
        <v>View People Online</v>
      </c>
    </row>
    <row r="10825">
      <c r="A10825" s="6" t="s">
        <v>66542</v>
      </c>
      <c r="B10825" s="6" t="s">
        <v>66543</v>
      </c>
      <c r="C10825" s="6" t="s">
        <v>9366</v>
      </c>
      <c r="D10825" s="6" t="s">
        <v>51431</v>
      </c>
      <c r="E10825" s="6" t="s">
        <v>65377</v>
      </c>
      <c r="F10825" s="6" t="s">
        <v>65456</v>
      </c>
      <c r="G10825" s="6" t="s">
        <v>66544</v>
      </c>
      <c r="H10825" s="7" t="s">
        <v>31</v>
      </c>
      <c r="I10825" s="7">
        <v>1.0</v>
      </c>
      <c r="J10825" s="7">
        <v>1.0</v>
      </c>
      <c r="K10825" s="7" t="s">
        <v>31</v>
      </c>
      <c r="L10825" s="8" t="s">
        <v>65402</v>
      </c>
      <c r="M10825" s="6" t="s">
        <v>66545</v>
      </c>
      <c r="N10825" s="6" t="s">
        <v>75</v>
      </c>
      <c r="O10825" s="8" t="s">
        <v>76</v>
      </c>
      <c r="P10825" s="6" t="s">
        <v>65404</v>
      </c>
      <c r="Q10825" s="6" t="s">
        <v>31</v>
      </c>
      <c r="R10825" s="6" t="s">
        <v>75</v>
      </c>
      <c r="S10825" s="8" t="s">
        <v>57992</v>
      </c>
      <c r="T10825" s="6" t="s">
        <v>66</v>
      </c>
      <c r="U10825" s="8" t="s">
        <v>31</v>
      </c>
      <c r="V10825" s="6" t="s">
        <v>66546</v>
      </c>
      <c r="W10825" s="6" t="s">
        <v>65377</v>
      </c>
      <c r="X10825" s="9" t="str">
        <f>HYPERLINK("https://my.pitchbook.com?p=207880-03P","View People Online")</f>
        <v>View People Online</v>
      </c>
    </row>
    <row r="10826">
      <c r="A10826" s="10" t="s">
        <v>66547</v>
      </c>
      <c r="B10826" s="10" t="s">
        <v>66548</v>
      </c>
      <c r="C10826" s="10" t="s">
        <v>5364</v>
      </c>
      <c r="D10826" s="10" t="s">
        <v>66549</v>
      </c>
      <c r="E10826" s="10" t="s">
        <v>65377</v>
      </c>
      <c r="F10826" s="10" t="s">
        <v>371</v>
      </c>
      <c r="G10826" s="10" t="s">
        <v>66550</v>
      </c>
      <c r="H10826" s="11" t="s">
        <v>31</v>
      </c>
      <c r="I10826" s="11">
        <v>1.0</v>
      </c>
      <c r="J10826" s="11">
        <v>1.0</v>
      </c>
      <c r="K10826" s="11" t="s">
        <v>31</v>
      </c>
      <c r="L10826" s="12" t="s">
        <v>66551</v>
      </c>
      <c r="M10826" s="10" t="s">
        <v>66552</v>
      </c>
      <c r="N10826" s="10" t="s">
        <v>7121</v>
      </c>
      <c r="O10826" s="12" t="s">
        <v>7122</v>
      </c>
      <c r="P10826" s="10" t="s">
        <v>66553</v>
      </c>
      <c r="Q10826" s="10" t="s">
        <v>31</v>
      </c>
      <c r="R10826" s="10" t="s">
        <v>5348</v>
      </c>
      <c r="S10826" s="12" t="s">
        <v>66554</v>
      </c>
      <c r="T10826" s="10" t="s">
        <v>66</v>
      </c>
      <c r="U10826" s="12" t="s">
        <v>31</v>
      </c>
      <c r="V10826" s="10" t="s">
        <v>66555</v>
      </c>
      <c r="W10826" s="10" t="s">
        <v>65377</v>
      </c>
      <c r="X10826" s="13" t="str">
        <f>HYPERLINK("https://my.pitchbook.com?p=148882-51P","View People Online")</f>
        <v>View People Online</v>
      </c>
    </row>
    <row r="10827">
      <c r="A10827" s="6" t="s">
        <v>66556</v>
      </c>
      <c r="B10827" s="6" t="s">
        <v>66557</v>
      </c>
      <c r="C10827" s="6" t="s">
        <v>3716</v>
      </c>
      <c r="D10827" s="6" t="s">
        <v>747</v>
      </c>
      <c r="E10827" s="6" t="s">
        <v>65377</v>
      </c>
      <c r="F10827" s="6" t="s">
        <v>66558</v>
      </c>
      <c r="G10827" s="6" t="s">
        <v>66559</v>
      </c>
      <c r="H10827" s="7">
        <v>1.0</v>
      </c>
      <c r="I10827" s="7">
        <v>2.0</v>
      </c>
      <c r="J10827" s="7">
        <v>1.0</v>
      </c>
      <c r="K10827" s="7" t="s">
        <v>31</v>
      </c>
      <c r="L10827" s="8" t="s">
        <v>66116</v>
      </c>
      <c r="M10827" s="6" t="s">
        <v>66560</v>
      </c>
      <c r="N10827" s="6" t="s">
        <v>75</v>
      </c>
      <c r="O10827" s="8" t="s">
        <v>76</v>
      </c>
      <c r="P10827" s="6" t="s">
        <v>65404</v>
      </c>
      <c r="Q10827" s="6" t="s">
        <v>31</v>
      </c>
      <c r="R10827" s="6" t="s">
        <v>75</v>
      </c>
      <c r="S10827" s="8" t="s">
        <v>57992</v>
      </c>
      <c r="T10827" s="6" t="s">
        <v>66</v>
      </c>
      <c r="U10827" s="8" t="s">
        <v>31</v>
      </c>
      <c r="V10827" s="6" t="s">
        <v>66558</v>
      </c>
      <c r="W10827" s="6" t="s">
        <v>65377</v>
      </c>
      <c r="X10827" s="9" t="str">
        <f>HYPERLINK("https://my.pitchbook.com?p=39020-41P","View People Online")</f>
        <v>View People Online</v>
      </c>
    </row>
    <row r="10828">
      <c r="A10828" s="2" t="s">
        <v>66561</v>
      </c>
      <c r="B10828" s="2" t="s">
        <v>66562</v>
      </c>
      <c r="C10828" s="2" t="s">
        <v>3716</v>
      </c>
      <c r="D10828" s="2" t="s">
        <v>66563</v>
      </c>
      <c r="E10828" s="2" t="s">
        <v>65377</v>
      </c>
      <c r="F10828" s="2" t="s">
        <v>825</v>
      </c>
      <c r="G10828" s="2" t="s">
        <v>66564</v>
      </c>
      <c r="H10828" s="3" t="s">
        <v>31</v>
      </c>
      <c r="I10828" s="3">
        <v>1.0</v>
      </c>
      <c r="J10828" s="3">
        <v>1.0</v>
      </c>
      <c r="K10828" s="3" t="s">
        <v>31</v>
      </c>
      <c r="L10828" s="4" t="s">
        <v>31</v>
      </c>
      <c r="M10828" s="2" t="s">
        <v>66565</v>
      </c>
      <c r="N10828" s="2" t="s">
        <v>155</v>
      </c>
      <c r="O10828" s="4" t="s">
        <v>156</v>
      </c>
      <c r="P10828" s="2" t="s">
        <v>65382</v>
      </c>
      <c r="Q10828" s="2" t="s">
        <v>31</v>
      </c>
      <c r="R10828" s="2" t="s">
        <v>64</v>
      </c>
      <c r="S10828" s="4" t="s">
        <v>2463</v>
      </c>
      <c r="T10828" s="2" t="s">
        <v>66</v>
      </c>
      <c r="U10828" s="4" t="s">
        <v>31</v>
      </c>
      <c r="V10828" s="2" t="s">
        <v>825</v>
      </c>
      <c r="W10828" s="2" t="s">
        <v>65377</v>
      </c>
      <c r="X10828" s="5" t="str">
        <f>HYPERLINK("https://my.pitchbook.com?p=173417-23P","View People Online")</f>
        <v>View People Online</v>
      </c>
    </row>
    <row r="10829">
      <c r="A10829" s="6" t="s">
        <v>66566</v>
      </c>
      <c r="B10829" s="6" t="s">
        <v>66567</v>
      </c>
      <c r="C10829" s="6" t="s">
        <v>21698</v>
      </c>
      <c r="D10829" s="6" t="s">
        <v>13984</v>
      </c>
      <c r="E10829" s="6" t="s">
        <v>65377</v>
      </c>
      <c r="F10829" s="6" t="s">
        <v>1283</v>
      </c>
      <c r="G10829" s="6" t="s">
        <v>66568</v>
      </c>
      <c r="H10829" s="7" t="s">
        <v>31</v>
      </c>
      <c r="I10829" s="7">
        <v>1.0</v>
      </c>
      <c r="J10829" s="7">
        <v>1.0</v>
      </c>
      <c r="K10829" s="7" t="s">
        <v>31</v>
      </c>
      <c r="L10829" s="8" t="s">
        <v>31</v>
      </c>
      <c r="M10829" s="6" t="s">
        <v>66569</v>
      </c>
      <c r="N10829" s="6" t="s">
        <v>155</v>
      </c>
      <c r="O10829" s="8" t="s">
        <v>156</v>
      </c>
      <c r="P10829" s="6" t="s">
        <v>65382</v>
      </c>
      <c r="Q10829" s="6" t="s">
        <v>31</v>
      </c>
      <c r="R10829" s="6" t="s">
        <v>64</v>
      </c>
      <c r="S10829" s="8" t="s">
        <v>2463</v>
      </c>
      <c r="T10829" s="6" t="s">
        <v>66</v>
      </c>
      <c r="U10829" s="8" t="s">
        <v>31</v>
      </c>
      <c r="V10829" s="6" t="s">
        <v>66570</v>
      </c>
      <c r="W10829" s="6" t="s">
        <v>65377</v>
      </c>
      <c r="X10829" s="9" t="str">
        <f>HYPERLINK("https://my.pitchbook.com?p=114731-11P","View People Online")</f>
        <v>View People Online</v>
      </c>
    </row>
    <row r="10830">
      <c r="A10830" s="10" t="s">
        <v>66571</v>
      </c>
      <c r="B10830" s="10" t="s">
        <v>66572</v>
      </c>
      <c r="C10830" s="10" t="s">
        <v>21710</v>
      </c>
      <c r="D10830" s="10" t="s">
        <v>66573</v>
      </c>
      <c r="E10830" s="10" t="s">
        <v>65377</v>
      </c>
      <c r="F10830" s="10" t="s">
        <v>548</v>
      </c>
      <c r="G10830" s="10" t="s">
        <v>66574</v>
      </c>
      <c r="H10830" s="11" t="s">
        <v>31</v>
      </c>
      <c r="I10830" s="11">
        <v>2.0</v>
      </c>
      <c r="J10830" s="11">
        <v>1.0</v>
      </c>
      <c r="K10830" s="11">
        <v>1.0</v>
      </c>
      <c r="L10830" s="12" t="s">
        <v>31</v>
      </c>
      <c r="M10830" s="10" t="s">
        <v>66575</v>
      </c>
      <c r="N10830" s="10" t="s">
        <v>155</v>
      </c>
      <c r="O10830" s="12" t="s">
        <v>156</v>
      </c>
      <c r="P10830" s="10" t="s">
        <v>65382</v>
      </c>
      <c r="Q10830" s="10" t="s">
        <v>31</v>
      </c>
      <c r="R10830" s="10" t="s">
        <v>64</v>
      </c>
      <c r="S10830" s="12" t="s">
        <v>2463</v>
      </c>
      <c r="T10830" s="10" t="s">
        <v>66</v>
      </c>
      <c r="U10830" s="12" t="s">
        <v>31</v>
      </c>
      <c r="V10830" s="10" t="s">
        <v>66576</v>
      </c>
      <c r="W10830" s="10" t="s">
        <v>65377</v>
      </c>
      <c r="X10830" s="13" t="str">
        <f>HYPERLINK("https://my.pitchbook.com?p=332259-85P","View People Online")</f>
        <v>View People Online</v>
      </c>
    </row>
    <row r="10831">
      <c r="A10831" s="6" t="s">
        <v>66577</v>
      </c>
      <c r="B10831" s="6" t="s">
        <v>66578</v>
      </c>
      <c r="C10831" s="6" t="s">
        <v>1042</v>
      </c>
      <c r="D10831" s="6" t="s">
        <v>28259</v>
      </c>
      <c r="E10831" s="6" t="s">
        <v>65377</v>
      </c>
      <c r="F10831" s="6" t="s">
        <v>371</v>
      </c>
      <c r="G10831" s="6" t="s">
        <v>66579</v>
      </c>
      <c r="H10831" s="7" t="s">
        <v>31</v>
      </c>
      <c r="I10831" s="7">
        <v>1.0</v>
      </c>
      <c r="J10831" s="7">
        <v>1.0</v>
      </c>
      <c r="K10831" s="7" t="s">
        <v>31</v>
      </c>
      <c r="L10831" s="8" t="s">
        <v>65402</v>
      </c>
      <c r="M10831" s="6" t="s">
        <v>66580</v>
      </c>
      <c r="N10831" s="6" t="s">
        <v>1454</v>
      </c>
      <c r="O10831" s="8" t="s">
        <v>1455</v>
      </c>
      <c r="P10831" s="6" t="s">
        <v>66581</v>
      </c>
      <c r="Q10831" s="6" t="s">
        <v>31</v>
      </c>
      <c r="R10831" s="6" t="s">
        <v>93</v>
      </c>
      <c r="S10831" s="8" t="s">
        <v>7835</v>
      </c>
      <c r="T10831" s="6" t="s">
        <v>66</v>
      </c>
      <c r="U10831" s="8" t="s">
        <v>31</v>
      </c>
      <c r="V10831" s="6" t="s">
        <v>371</v>
      </c>
      <c r="W10831" s="6" t="s">
        <v>65377</v>
      </c>
      <c r="X10831" s="9" t="str">
        <f>HYPERLINK("https://my.pitchbook.com?p=166601-53P","View People Online")</f>
        <v>View People Online</v>
      </c>
    </row>
    <row r="10832">
      <c r="A10832" s="2" t="s">
        <v>66582</v>
      </c>
      <c r="B10832" s="2" t="s">
        <v>66583</v>
      </c>
      <c r="C10832" s="2" t="s">
        <v>4668</v>
      </c>
      <c r="D10832" s="2" t="s">
        <v>5166</v>
      </c>
      <c r="E10832" s="2" t="s">
        <v>65377</v>
      </c>
      <c r="F10832" s="2" t="s">
        <v>48340</v>
      </c>
      <c r="G10832" s="2" t="s">
        <v>66584</v>
      </c>
      <c r="H10832" s="3" t="s">
        <v>31</v>
      </c>
      <c r="I10832" s="3">
        <v>1.0</v>
      </c>
      <c r="J10832" s="3">
        <v>1.0</v>
      </c>
      <c r="K10832" s="3" t="s">
        <v>31</v>
      </c>
      <c r="L10832" s="4" t="s">
        <v>66585</v>
      </c>
      <c r="M10832" s="2" t="s">
        <v>66586</v>
      </c>
      <c r="N10832" s="2" t="s">
        <v>75</v>
      </c>
      <c r="O10832" s="4" t="s">
        <v>76</v>
      </c>
      <c r="P10832" s="2" t="s">
        <v>65404</v>
      </c>
      <c r="Q10832" s="2" t="s">
        <v>31</v>
      </c>
      <c r="R10832" s="2" t="s">
        <v>75</v>
      </c>
      <c r="S10832" s="4" t="s">
        <v>57992</v>
      </c>
      <c r="T10832" s="2" t="s">
        <v>66</v>
      </c>
      <c r="U10832" s="4" t="s">
        <v>31</v>
      </c>
      <c r="V10832" s="2" t="s">
        <v>66587</v>
      </c>
      <c r="W10832" s="2" t="s">
        <v>65377</v>
      </c>
      <c r="X10832" s="5" t="str">
        <f>HYPERLINK("https://my.pitchbook.com?p=160475-41P","View People Online")</f>
        <v>View People Online</v>
      </c>
    </row>
    <row r="10833">
      <c r="A10833" s="14" t="s">
        <v>66588</v>
      </c>
      <c r="B10833" s="14" t="s">
        <v>66589</v>
      </c>
      <c r="C10833" s="14" t="s">
        <v>6199</v>
      </c>
      <c r="D10833" s="14" t="s">
        <v>51607</v>
      </c>
      <c r="E10833" s="14" t="s">
        <v>65377</v>
      </c>
      <c r="F10833" s="14" t="s">
        <v>312</v>
      </c>
      <c r="G10833" s="14" t="s">
        <v>66590</v>
      </c>
      <c r="H10833" s="15" t="s">
        <v>31</v>
      </c>
      <c r="I10833" s="15">
        <v>1.0</v>
      </c>
      <c r="J10833" s="15">
        <v>1.0</v>
      </c>
      <c r="K10833" s="15" t="s">
        <v>31</v>
      </c>
      <c r="L10833" s="16" t="s">
        <v>66591</v>
      </c>
      <c r="M10833" s="14" t="s">
        <v>66592</v>
      </c>
      <c r="N10833" s="14" t="s">
        <v>7957</v>
      </c>
      <c r="O10833" s="16" t="s">
        <v>7958</v>
      </c>
      <c r="P10833" s="14" t="s">
        <v>65719</v>
      </c>
      <c r="Q10833" s="14" t="s">
        <v>2003</v>
      </c>
      <c r="R10833" s="14" t="s">
        <v>7004</v>
      </c>
      <c r="S10833" s="16" t="s">
        <v>57071</v>
      </c>
      <c r="T10833" s="14" t="s">
        <v>66</v>
      </c>
      <c r="U10833" s="16" t="s">
        <v>66593</v>
      </c>
      <c r="V10833" s="14" t="s">
        <v>312</v>
      </c>
      <c r="W10833" s="14" t="s">
        <v>65377</v>
      </c>
      <c r="X10833" s="17" t="str">
        <f>HYPERLINK("https://my.pitchbook.com?p=33067-36P","View People Online")</f>
        <v>View People Online</v>
      </c>
    </row>
    <row r="10834">
      <c r="A10834" s="2" t="s">
        <v>66594</v>
      </c>
      <c r="B10834" s="2" t="s">
        <v>66595</v>
      </c>
      <c r="C10834" s="2" t="s">
        <v>6199</v>
      </c>
      <c r="D10834" s="2" t="s">
        <v>66596</v>
      </c>
      <c r="E10834" s="2" t="s">
        <v>65377</v>
      </c>
      <c r="F10834" s="2" t="s">
        <v>48340</v>
      </c>
      <c r="G10834" s="2" t="s">
        <v>66597</v>
      </c>
      <c r="H10834" s="3" t="s">
        <v>31</v>
      </c>
      <c r="I10834" s="3">
        <v>1.0</v>
      </c>
      <c r="J10834" s="3">
        <v>1.0</v>
      </c>
      <c r="K10834" s="3" t="s">
        <v>31</v>
      </c>
      <c r="L10834" s="4" t="s">
        <v>66598</v>
      </c>
      <c r="M10834" s="2" t="s">
        <v>66599</v>
      </c>
      <c r="N10834" s="2" t="s">
        <v>155</v>
      </c>
      <c r="O10834" s="4" t="s">
        <v>156</v>
      </c>
      <c r="P10834" s="2" t="s">
        <v>65382</v>
      </c>
      <c r="Q10834" s="2" t="s">
        <v>31</v>
      </c>
      <c r="R10834" s="2" t="s">
        <v>64</v>
      </c>
      <c r="S10834" s="4" t="s">
        <v>2463</v>
      </c>
      <c r="T10834" s="2" t="s">
        <v>66</v>
      </c>
      <c r="U10834" s="4" t="s">
        <v>66600</v>
      </c>
      <c r="V10834" s="2" t="s">
        <v>66601</v>
      </c>
      <c r="W10834" s="2" t="s">
        <v>65377</v>
      </c>
      <c r="X10834" s="5" t="str">
        <f>HYPERLINK("https://my.pitchbook.com?p=169456-24P","View People Online")</f>
        <v>View People Online</v>
      </c>
    </row>
    <row r="10835">
      <c r="A10835" s="14" t="s">
        <v>66602</v>
      </c>
      <c r="B10835" s="14" t="s">
        <v>66603</v>
      </c>
      <c r="C10835" s="14" t="s">
        <v>4679</v>
      </c>
      <c r="D10835" s="14" t="s">
        <v>12799</v>
      </c>
      <c r="E10835" s="14" t="s">
        <v>65377</v>
      </c>
      <c r="F10835" s="14" t="s">
        <v>1283</v>
      </c>
      <c r="G10835" s="14" t="s">
        <v>66604</v>
      </c>
      <c r="H10835" s="15" t="s">
        <v>31</v>
      </c>
      <c r="I10835" s="15">
        <v>1.0</v>
      </c>
      <c r="J10835" s="15">
        <v>1.0</v>
      </c>
      <c r="K10835" s="15" t="s">
        <v>31</v>
      </c>
      <c r="L10835" s="16" t="s">
        <v>31</v>
      </c>
      <c r="M10835" s="14" t="s">
        <v>66605</v>
      </c>
      <c r="N10835" s="14" t="s">
        <v>155</v>
      </c>
      <c r="O10835" s="16" t="s">
        <v>156</v>
      </c>
      <c r="P10835" s="14" t="s">
        <v>65382</v>
      </c>
      <c r="Q10835" s="14" t="s">
        <v>31</v>
      </c>
      <c r="R10835" s="14" t="s">
        <v>64</v>
      </c>
      <c r="S10835" s="16" t="s">
        <v>2463</v>
      </c>
      <c r="T10835" s="14" t="s">
        <v>66</v>
      </c>
      <c r="U10835" s="16" t="s">
        <v>31</v>
      </c>
      <c r="V10835" s="14" t="s">
        <v>66606</v>
      </c>
      <c r="W10835" s="14" t="s">
        <v>65377</v>
      </c>
      <c r="X10835" s="17" t="str">
        <f>HYPERLINK("https://my.pitchbook.com?p=33077-80P","View People Online")</f>
        <v>View People Online</v>
      </c>
    </row>
    <row r="10836">
      <c r="A10836" s="10" t="s">
        <v>66607</v>
      </c>
      <c r="B10836" s="10" t="s">
        <v>66608</v>
      </c>
      <c r="C10836" s="10" t="s">
        <v>1683</v>
      </c>
      <c r="D10836" s="10" t="s">
        <v>66609</v>
      </c>
      <c r="E10836" s="10" t="s">
        <v>65377</v>
      </c>
      <c r="F10836" s="10" t="s">
        <v>371</v>
      </c>
      <c r="G10836" s="10" t="s">
        <v>66610</v>
      </c>
      <c r="H10836" s="11" t="s">
        <v>31</v>
      </c>
      <c r="I10836" s="11">
        <v>1.0</v>
      </c>
      <c r="J10836" s="11">
        <v>1.0</v>
      </c>
      <c r="K10836" s="11" t="s">
        <v>31</v>
      </c>
      <c r="L10836" s="12" t="s">
        <v>66611</v>
      </c>
      <c r="M10836" s="10" t="s">
        <v>66612</v>
      </c>
      <c r="N10836" s="10" t="s">
        <v>43897</v>
      </c>
      <c r="O10836" s="12" t="s">
        <v>43898</v>
      </c>
      <c r="P10836" s="10" t="s">
        <v>66613</v>
      </c>
      <c r="Q10836" s="10" t="s">
        <v>53491</v>
      </c>
      <c r="R10836" s="10" t="s">
        <v>396</v>
      </c>
      <c r="S10836" s="12" t="s">
        <v>66614</v>
      </c>
      <c r="T10836" s="10" t="s">
        <v>66</v>
      </c>
      <c r="U10836" s="12" t="s">
        <v>31</v>
      </c>
      <c r="V10836" s="10" t="s">
        <v>371</v>
      </c>
      <c r="W10836" s="10" t="s">
        <v>65377</v>
      </c>
      <c r="X10836" s="13" t="str">
        <f>HYPERLINK("https://my.pitchbook.com?p=32045-14P","View People Online")</f>
        <v>View People Online</v>
      </c>
    </row>
    <row r="10837">
      <c r="A10837" s="14" t="s">
        <v>66615</v>
      </c>
      <c r="B10837" s="14" t="s">
        <v>66616</v>
      </c>
      <c r="C10837" s="14" t="s">
        <v>25331</v>
      </c>
      <c r="D10837" s="14" t="s">
        <v>26641</v>
      </c>
      <c r="E10837" s="14" t="s">
        <v>65377</v>
      </c>
      <c r="F10837" s="14" t="s">
        <v>270</v>
      </c>
      <c r="G10837" s="14" t="s">
        <v>66617</v>
      </c>
      <c r="H10837" s="15" t="s">
        <v>31</v>
      </c>
      <c r="I10837" s="15">
        <v>1.0</v>
      </c>
      <c r="J10837" s="15">
        <v>1.0</v>
      </c>
      <c r="K10837" s="15" t="s">
        <v>31</v>
      </c>
      <c r="L10837" s="16" t="s">
        <v>31</v>
      </c>
      <c r="M10837" s="14" t="s">
        <v>66618</v>
      </c>
      <c r="N10837" s="14" t="s">
        <v>155</v>
      </c>
      <c r="O10837" s="16" t="s">
        <v>156</v>
      </c>
      <c r="P10837" s="14" t="s">
        <v>65382</v>
      </c>
      <c r="Q10837" s="14" t="s">
        <v>31</v>
      </c>
      <c r="R10837" s="14" t="s">
        <v>64</v>
      </c>
      <c r="S10837" s="16" t="s">
        <v>2463</v>
      </c>
      <c r="T10837" s="14" t="s">
        <v>66</v>
      </c>
      <c r="U10837" s="16" t="s">
        <v>31</v>
      </c>
      <c r="V10837" s="14" t="s">
        <v>33469</v>
      </c>
      <c r="W10837" s="14" t="s">
        <v>65377</v>
      </c>
      <c r="X10837" s="17" t="str">
        <f>HYPERLINK("https://my.pitchbook.com?p=393729-31P","View People Online")</f>
        <v>View People Online</v>
      </c>
    </row>
    <row r="10838">
      <c r="A10838" s="10" t="s">
        <v>66619</v>
      </c>
      <c r="B10838" s="10" t="s">
        <v>66620</v>
      </c>
      <c r="C10838" s="10" t="s">
        <v>25331</v>
      </c>
      <c r="D10838" s="10" t="s">
        <v>34691</v>
      </c>
      <c r="E10838" s="10" t="s">
        <v>65377</v>
      </c>
      <c r="F10838" s="10" t="s">
        <v>825</v>
      </c>
      <c r="G10838" s="10" t="s">
        <v>66621</v>
      </c>
      <c r="H10838" s="11" t="s">
        <v>31</v>
      </c>
      <c r="I10838" s="11">
        <v>1.0</v>
      </c>
      <c r="J10838" s="11">
        <v>1.0</v>
      </c>
      <c r="K10838" s="11" t="s">
        <v>31</v>
      </c>
      <c r="L10838" s="12" t="s">
        <v>65753</v>
      </c>
      <c r="M10838" s="10" t="s">
        <v>66622</v>
      </c>
      <c r="N10838" s="10" t="s">
        <v>10983</v>
      </c>
      <c r="O10838" s="12" t="s">
        <v>37748</v>
      </c>
      <c r="P10838" s="10" t="s">
        <v>65397</v>
      </c>
      <c r="Q10838" s="10" t="s">
        <v>11360</v>
      </c>
      <c r="R10838" s="10" t="s">
        <v>37751</v>
      </c>
      <c r="S10838" s="12" t="s">
        <v>65398</v>
      </c>
      <c r="T10838" s="10" t="s">
        <v>66</v>
      </c>
      <c r="U10838" s="12" t="s">
        <v>31</v>
      </c>
      <c r="V10838" s="10" t="s">
        <v>66623</v>
      </c>
      <c r="W10838" s="10" t="s">
        <v>65377</v>
      </c>
      <c r="X10838" s="13" t="str">
        <f>HYPERLINK("https://my.pitchbook.com?p=34076-44P","View People Online")</f>
        <v>View People Online</v>
      </c>
    </row>
    <row r="10839">
      <c r="A10839" s="14" t="s">
        <v>66624</v>
      </c>
      <c r="B10839" s="14" t="s">
        <v>66625</v>
      </c>
      <c r="C10839" s="14" t="s">
        <v>66626</v>
      </c>
      <c r="D10839" s="14" t="s">
        <v>1534</v>
      </c>
      <c r="E10839" s="14" t="s">
        <v>65377</v>
      </c>
      <c r="F10839" s="14" t="s">
        <v>270</v>
      </c>
      <c r="G10839" s="14" t="s">
        <v>66627</v>
      </c>
      <c r="H10839" s="15" t="s">
        <v>31</v>
      </c>
      <c r="I10839" s="15">
        <v>1.0</v>
      </c>
      <c r="J10839" s="15">
        <v>1.0</v>
      </c>
      <c r="K10839" s="15" t="s">
        <v>31</v>
      </c>
      <c r="L10839" s="16" t="s">
        <v>66628</v>
      </c>
      <c r="M10839" s="14" t="s">
        <v>66629</v>
      </c>
      <c r="N10839" s="14" t="s">
        <v>10356</v>
      </c>
      <c r="O10839" s="16" t="s">
        <v>10357</v>
      </c>
      <c r="P10839" s="14" t="s">
        <v>66046</v>
      </c>
      <c r="Q10839" s="14" t="s">
        <v>31</v>
      </c>
      <c r="R10839" s="14" t="s">
        <v>10359</v>
      </c>
      <c r="S10839" s="16" t="s">
        <v>66047</v>
      </c>
      <c r="T10839" s="14" t="s">
        <v>66</v>
      </c>
      <c r="U10839" s="16" t="s">
        <v>31</v>
      </c>
      <c r="V10839" s="14" t="s">
        <v>66630</v>
      </c>
      <c r="W10839" s="14" t="s">
        <v>65377</v>
      </c>
      <c r="X10839" s="17" t="str">
        <f>HYPERLINK("https://my.pitchbook.com?p=33067-90P","View People Online")</f>
        <v>View People Online</v>
      </c>
    </row>
    <row r="10840">
      <c r="A10840" s="10" t="s">
        <v>66631</v>
      </c>
      <c r="B10840" s="10" t="s">
        <v>66632</v>
      </c>
      <c r="C10840" s="10" t="s">
        <v>66633</v>
      </c>
      <c r="D10840" s="10" t="s">
        <v>66634</v>
      </c>
      <c r="E10840" s="10" t="s">
        <v>65377</v>
      </c>
      <c r="F10840" s="10" t="s">
        <v>312</v>
      </c>
      <c r="G10840" s="10" t="s">
        <v>66635</v>
      </c>
      <c r="H10840" s="11" t="s">
        <v>31</v>
      </c>
      <c r="I10840" s="11">
        <v>1.0</v>
      </c>
      <c r="J10840" s="11">
        <v>1.0</v>
      </c>
      <c r="K10840" s="11" t="s">
        <v>31</v>
      </c>
      <c r="L10840" s="12" t="s">
        <v>66628</v>
      </c>
      <c r="M10840" s="10" t="s">
        <v>66636</v>
      </c>
      <c r="N10840" s="10" t="s">
        <v>10356</v>
      </c>
      <c r="O10840" s="12" t="s">
        <v>10357</v>
      </c>
      <c r="P10840" s="10" t="s">
        <v>66046</v>
      </c>
      <c r="Q10840" s="10" t="s">
        <v>31</v>
      </c>
      <c r="R10840" s="10" t="s">
        <v>10359</v>
      </c>
      <c r="S10840" s="12" t="s">
        <v>66047</v>
      </c>
      <c r="T10840" s="10" t="s">
        <v>66</v>
      </c>
      <c r="U10840" s="12" t="s">
        <v>31</v>
      </c>
      <c r="V10840" s="10" t="s">
        <v>312</v>
      </c>
      <c r="W10840" s="10" t="s">
        <v>65377</v>
      </c>
      <c r="X10840" s="13" t="str">
        <f>HYPERLINK("https://my.pitchbook.com?p=384019-03P","View People Online")</f>
        <v>View People Online</v>
      </c>
    </row>
    <row r="10841">
      <c r="A10841" s="6" t="s">
        <v>66637</v>
      </c>
      <c r="B10841" s="6" t="s">
        <v>66638</v>
      </c>
      <c r="C10841" s="6" t="s">
        <v>562</v>
      </c>
      <c r="D10841" s="6" t="s">
        <v>66639</v>
      </c>
      <c r="E10841" s="6" t="s">
        <v>65377</v>
      </c>
      <c r="F10841" s="6" t="s">
        <v>66640</v>
      </c>
      <c r="G10841" s="6" t="s">
        <v>66641</v>
      </c>
      <c r="H10841" s="7" t="s">
        <v>31</v>
      </c>
      <c r="I10841" s="7">
        <v>1.0</v>
      </c>
      <c r="J10841" s="7">
        <v>1.0</v>
      </c>
      <c r="K10841" s="7" t="s">
        <v>31</v>
      </c>
      <c r="L10841" s="8" t="s">
        <v>31</v>
      </c>
      <c r="M10841" s="6" t="s">
        <v>66642</v>
      </c>
      <c r="N10841" s="6" t="s">
        <v>155</v>
      </c>
      <c r="O10841" s="8" t="s">
        <v>156</v>
      </c>
      <c r="P10841" s="6" t="s">
        <v>65382</v>
      </c>
      <c r="Q10841" s="6" t="s">
        <v>31</v>
      </c>
      <c r="R10841" s="6" t="s">
        <v>64</v>
      </c>
      <c r="S10841" s="8" t="s">
        <v>2463</v>
      </c>
      <c r="T10841" s="6" t="s">
        <v>66</v>
      </c>
      <c r="U10841" s="8" t="s">
        <v>31</v>
      </c>
      <c r="V10841" s="6" t="s">
        <v>66643</v>
      </c>
      <c r="W10841" s="6" t="s">
        <v>65377</v>
      </c>
      <c r="X10841" s="9" t="str">
        <f>HYPERLINK("https://my.pitchbook.com?p=245117-53P","View People Online")</f>
        <v>View People Online</v>
      </c>
    </row>
    <row r="10842">
      <c r="A10842" s="2" t="s">
        <v>66644</v>
      </c>
      <c r="B10842" s="2" t="s">
        <v>66645</v>
      </c>
      <c r="C10842" s="2" t="s">
        <v>562</v>
      </c>
      <c r="D10842" s="2" t="s">
        <v>6893</v>
      </c>
      <c r="E10842" s="2" t="s">
        <v>65377</v>
      </c>
      <c r="F10842" s="2" t="s">
        <v>2652</v>
      </c>
      <c r="G10842" s="2" t="s">
        <v>66646</v>
      </c>
      <c r="H10842" s="3" t="s">
        <v>31</v>
      </c>
      <c r="I10842" s="3">
        <v>1.0</v>
      </c>
      <c r="J10842" s="3">
        <v>1.0</v>
      </c>
      <c r="K10842" s="3" t="s">
        <v>31</v>
      </c>
      <c r="L10842" s="4" t="s">
        <v>31</v>
      </c>
      <c r="M10842" s="2" t="s">
        <v>66647</v>
      </c>
      <c r="N10842" s="2" t="s">
        <v>155</v>
      </c>
      <c r="O10842" s="4" t="s">
        <v>156</v>
      </c>
      <c r="P10842" s="2" t="s">
        <v>65382</v>
      </c>
      <c r="Q10842" s="2" t="s">
        <v>31</v>
      </c>
      <c r="R10842" s="2" t="s">
        <v>64</v>
      </c>
      <c r="S10842" s="4" t="s">
        <v>2463</v>
      </c>
      <c r="T10842" s="2" t="s">
        <v>66</v>
      </c>
      <c r="U10842" s="4" t="s">
        <v>31</v>
      </c>
      <c r="V10842" s="2" t="s">
        <v>66648</v>
      </c>
      <c r="W10842" s="2" t="s">
        <v>65377</v>
      </c>
      <c r="X10842" s="5" t="str">
        <f>HYPERLINK("https://my.pitchbook.com?p=407075-77P","View People Online")</f>
        <v>View People Online</v>
      </c>
    </row>
    <row r="10843">
      <c r="A10843" s="6" t="s">
        <v>66649</v>
      </c>
      <c r="B10843" s="6" t="s">
        <v>66650</v>
      </c>
      <c r="C10843" s="6" t="s">
        <v>562</v>
      </c>
      <c r="D10843" s="6" t="s">
        <v>29482</v>
      </c>
      <c r="E10843" s="6" t="s">
        <v>65377</v>
      </c>
      <c r="F10843" s="6" t="s">
        <v>66651</v>
      </c>
      <c r="G10843" s="6" t="s">
        <v>66652</v>
      </c>
      <c r="H10843" s="7" t="s">
        <v>31</v>
      </c>
      <c r="I10843" s="7">
        <v>1.0</v>
      </c>
      <c r="J10843" s="7">
        <v>1.0</v>
      </c>
      <c r="K10843" s="7" t="s">
        <v>31</v>
      </c>
      <c r="L10843" s="8" t="s">
        <v>65402</v>
      </c>
      <c r="M10843" s="6" t="s">
        <v>66653</v>
      </c>
      <c r="N10843" s="6" t="s">
        <v>75</v>
      </c>
      <c r="O10843" s="8" t="s">
        <v>76</v>
      </c>
      <c r="P10843" s="6" t="s">
        <v>65404</v>
      </c>
      <c r="Q10843" s="6" t="s">
        <v>31</v>
      </c>
      <c r="R10843" s="6" t="s">
        <v>75</v>
      </c>
      <c r="S10843" s="8" t="s">
        <v>57992</v>
      </c>
      <c r="T10843" s="6" t="s">
        <v>66</v>
      </c>
      <c r="U10843" s="8" t="s">
        <v>31</v>
      </c>
      <c r="V10843" s="6" t="s">
        <v>66654</v>
      </c>
      <c r="W10843" s="6" t="s">
        <v>65377</v>
      </c>
      <c r="X10843" s="9" t="str">
        <f>HYPERLINK("https://my.pitchbook.com?p=116892-91P","View People Online")</f>
        <v>View People Online</v>
      </c>
    </row>
    <row r="10844">
      <c r="A10844" s="2" t="s">
        <v>66655</v>
      </c>
      <c r="B10844" s="2" t="s">
        <v>66656</v>
      </c>
      <c r="C10844" s="2" t="s">
        <v>562</v>
      </c>
      <c r="D10844" s="2" t="s">
        <v>66657</v>
      </c>
      <c r="E10844" s="2" t="s">
        <v>65377</v>
      </c>
      <c r="F10844" s="2" t="s">
        <v>312</v>
      </c>
      <c r="G10844" s="2" t="s">
        <v>66658</v>
      </c>
      <c r="H10844" s="3" t="s">
        <v>31</v>
      </c>
      <c r="I10844" s="3">
        <v>1.0</v>
      </c>
      <c r="J10844" s="3">
        <v>1.0</v>
      </c>
      <c r="K10844" s="3" t="s">
        <v>31</v>
      </c>
      <c r="L10844" s="4" t="s">
        <v>66659</v>
      </c>
      <c r="M10844" s="2" t="s">
        <v>66660</v>
      </c>
      <c r="N10844" s="2" t="s">
        <v>4232</v>
      </c>
      <c r="O10844" s="4" t="s">
        <v>4233</v>
      </c>
      <c r="P10844" s="2" t="s">
        <v>65471</v>
      </c>
      <c r="Q10844" s="2" t="s">
        <v>45601</v>
      </c>
      <c r="R10844" s="2" t="s">
        <v>4236</v>
      </c>
      <c r="S10844" s="4" t="s">
        <v>11182</v>
      </c>
      <c r="T10844" s="2" t="s">
        <v>66</v>
      </c>
      <c r="U10844" s="4" t="s">
        <v>31</v>
      </c>
      <c r="V10844" s="2" t="s">
        <v>66661</v>
      </c>
      <c r="W10844" s="2" t="s">
        <v>65377</v>
      </c>
      <c r="X10844" s="5" t="str">
        <f>HYPERLINK("https://my.pitchbook.com?p=33073-03P","View People Online")</f>
        <v>View People Online</v>
      </c>
    </row>
    <row r="10845">
      <c r="A10845" s="14" t="s">
        <v>66662</v>
      </c>
      <c r="B10845" s="14" t="s">
        <v>66663</v>
      </c>
      <c r="C10845" s="14" t="s">
        <v>562</v>
      </c>
      <c r="D10845" s="14" t="s">
        <v>66664</v>
      </c>
      <c r="E10845" s="14" t="s">
        <v>65377</v>
      </c>
      <c r="F10845" s="14" t="s">
        <v>312</v>
      </c>
      <c r="G10845" s="14" t="s">
        <v>66665</v>
      </c>
      <c r="H10845" s="15" t="s">
        <v>31</v>
      </c>
      <c r="I10845" s="15">
        <v>1.0</v>
      </c>
      <c r="J10845" s="15">
        <v>1.0</v>
      </c>
      <c r="K10845" s="15" t="s">
        <v>31</v>
      </c>
      <c r="L10845" s="16" t="s">
        <v>66598</v>
      </c>
      <c r="M10845" s="14" t="s">
        <v>66666</v>
      </c>
      <c r="N10845" s="14" t="s">
        <v>155</v>
      </c>
      <c r="O10845" s="16" t="s">
        <v>156</v>
      </c>
      <c r="P10845" s="14" t="s">
        <v>65382</v>
      </c>
      <c r="Q10845" s="14" t="s">
        <v>31</v>
      </c>
      <c r="R10845" s="14" t="s">
        <v>64</v>
      </c>
      <c r="S10845" s="16" t="s">
        <v>2463</v>
      </c>
      <c r="T10845" s="14" t="s">
        <v>66</v>
      </c>
      <c r="U10845" s="16" t="s">
        <v>66600</v>
      </c>
      <c r="V10845" s="14" t="s">
        <v>312</v>
      </c>
      <c r="W10845" s="14" t="s">
        <v>65377</v>
      </c>
      <c r="X10845" s="17" t="str">
        <f>HYPERLINK("https://my.pitchbook.com?p=169456-06P","View People Online")</f>
        <v>View People Online</v>
      </c>
    </row>
    <row r="10846">
      <c r="A10846" s="2" t="s">
        <v>66667</v>
      </c>
      <c r="B10846" s="2" t="s">
        <v>66668</v>
      </c>
      <c r="C10846" s="2" t="s">
        <v>562</v>
      </c>
      <c r="D10846" s="2" t="s">
        <v>12150</v>
      </c>
      <c r="E10846" s="2" t="s">
        <v>65377</v>
      </c>
      <c r="F10846" s="2" t="s">
        <v>825</v>
      </c>
      <c r="G10846" s="2" t="s">
        <v>66669</v>
      </c>
      <c r="H10846" s="3" t="s">
        <v>31</v>
      </c>
      <c r="I10846" s="3">
        <v>1.0</v>
      </c>
      <c r="J10846" s="3">
        <v>1.0</v>
      </c>
      <c r="K10846" s="3" t="s">
        <v>31</v>
      </c>
      <c r="L10846" s="4" t="s">
        <v>31</v>
      </c>
      <c r="M10846" s="2" t="s">
        <v>66670</v>
      </c>
      <c r="N10846" s="2" t="s">
        <v>155</v>
      </c>
      <c r="O10846" s="4" t="s">
        <v>156</v>
      </c>
      <c r="P10846" s="2" t="s">
        <v>65382</v>
      </c>
      <c r="Q10846" s="2" t="s">
        <v>31</v>
      </c>
      <c r="R10846" s="2" t="s">
        <v>64</v>
      </c>
      <c r="S10846" s="4" t="s">
        <v>2463</v>
      </c>
      <c r="T10846" s="2" t="s">
        <v>66</v>
      </c>
      <c r="U10846" s="4" t="s">
        <v>31</v>
      </c>
      <c r="V10846" s="2" t="s">
        <v>66671</v>
      </c>
      <c r="W10846" s="2" t="s">
        <v>65377</v>
      </c>
      <c r="X10846" s="5" t="str">
        <f>HYPERLINK("https://my.pitchbook.com?p=81254-71P","View People Online")</f>
        <v>View People Online</v>
      </c>
    </row>
    <row r="10847">
      <c r="A10847" s="14" t="s">
        <v>66672</v>
      </c>
      <c r="B10847" s="14" t="s">
        <v>66673</v>
      </c>
      <c r="C10847" s="14" t="s">
        <v>562</v>
      </c>
      <c r="D10847" s="14" t="s">
        <v>3275</v>
      </c>
      <c r="E10847" s="14" t="s">
        <v>65377</v>
      </c>
      <c r="F10847" s="14" t="s">
        <v>1283</v>
      </c>
      <c r="G10847" s="14" t="s">
        <v>66674</v>
      </c>
      <c r="H10847" s="15" t="s">
        <v>31</v>
      </c>
      <c r="I10847" s="15">
        <v>1.0</v>
      </c>
      <c r="J10847" s="15">
        <v>1.0</v>
      </c>
      <c r="K10847" s="15" t="s">
        <v>31</v>
      </c>
      <c r="L10847" s="16" t="s">
        <v>31</v>
      </c>
      <c r="M10847" s="14" t="s">
        <v>66675</v>
      </c>
      <c r="N10847" s="14" t="s">
        <v>155</v>
      </c>
      <c r="O10847" s="16" t="s">
        <v>156</v>
      </c>
      <c r="P10847" s="14" t="s">
        <v>65382</v>
      </c>
      <c r="Q10847" s="14" t="s">
        <v>31</v>
      </c>
      <c r="R10847" s="14" t="s">
        <v>64</v>
      </c>
      <c r="S10847" s="16" t="s">
        <v>2463</v>
      </c>
      <c r="T10847" s="14" t="s">
        <v>66</v>
      </c>
      <c r="U10847" s="16" t="s">
        <v>31</v>
      </c>
      <c r="V10847" s="14" t="s">
        <v>65812</v>
      </c>
      <c r="W10847" s="14" t="s">
        <v>65377</v>
      </c>
      <c r="X10847" s="17" t="str">
        <f>HYPERLINK("https://my.pitchbook.com?p=384928-84P","View People Online")</f>
        <v>View People Online</v>
      </c>
    </row>
    <row r="10848">
      <c r="A10848" s="10" t="s">
        <v>66676</v>
      </c>
      <c r="B10848" s="10" t="s">
        <v>66677</v>
      </c>
      <c r="C10848" s="10" t="s">
        <v>6205</v>
      </c>
      <c r="D10848" s="10" t="s">
        <v>66678</v>
      </c>
      <c r="E10848" s="10" t="s">
        <v>65377</v>
      </c>
      <c r="F10848" s="10" t="s">
        <v>1283</v>
      </c>
      <c r="G10848" s="10" t="s">
        <v>66679</v>
      </c>
      <c r="H10848" s="11" t="s">
        <v>31</v>
      </c>
      <c r="I10848" s="11">
        <v>1.0</v>
      </c>
      <c r="J10848" s="11">
        <v>1.0</v>
      </c>
      <c r="K10848" s="11" t="s">
        <v>31</v>
      </c>
      <c r="L10848" s="12" t="s">
        <v>31</v>
      </c>
      <c r="M10848" s="10" t="s">
        <v>66680</v>
      </c>
      <c r="N10848" s="10" t="s">
        <v>155</v>
      </c>
      <c r="O10848" s="12" t="s">
        <v>156</v>
      </c>
      <c r="P10848" s="10" t="s">
        <v>65382</v>
      </c>
      <c r="Q10848" s="10" t="s">
        <v>31</v>
      </c>
      <c r="R10848" s="10" t="s">
        <v>64</v>
      </c>
      <c r="S10848" s="12" t="s">
        <v>2463</v>
      </c>
      <c r="T10848" s="10" t="s">
        <v>66</v>
      </c>
      <c r="U10848" s="12" t="s">
        <v>31</v>
      </c>
      <c r="V10848" s="10" t="s">
        <v>1283</v>
      </c>
      <c r="W10848" s="10" t="s">
        <v>65377</v>
      </c>
      <c r="X10848" s="13" t="str">
        <f>HYPERLINK("https://my.pitchbook.com?p=171690-67P","View People Online")</f>
        <v>View People Online</v>
      </c>
    </row>
    <row r="10849">
      <c r="A10849" s="6" t="s">
        <v>66681</v>
      </c>
      <c r="B10849" s="6" t="s">
        <v>66682</v>
      </c>
      <c r="C10849" s="6" t="s">
        <v>2483</v>
      </c>
      <c r="D10849" s="6" t="s">
        <v>66683</v>
      </c>
      <c r="E10849" s="6" t="s">
        <v>65377</v>
      </c>
      <c r="F10849" s="6" t="s">
        <v>3740</v>
      </c>
      <c r="G10849" s="6" t="s">
        <v>66684</v>
      </c>
      <c r="H10849" s="7" t="s">
        <v>31</v>
      </c>
      <c r="I10849" s="7">
        <v>1.0</v>
      </c>
      <c r="J10849" s="7">
        <v>1.0</v>
      </c>
      <c r="K10849" s="7" t="s">
        <v>31</v>
      </c>
      <c r="L10849" s="8" t="s">
        <v>31</v>
      </c>
      <c r="M10849" s="6" t="s">
        <v>66685</v>
      </c>
      <c r="N10849" s="6" t="s">
        <v>155</v>
      </c>
      <c r="O10849" s="8" t="s">
        <v>156</v>
      </c>
      <c r="P10849" s="6" t="s">
        <v>65382</v>
      </c>
      <c r="Q10849" s="6" t="s">
        <v>31</v>
      </c>
      <c r="R10849" s="6" t="s">
        <v>64</v>
      </c>
      <c r="S10849" s="8" t="s">
        <v>2463</v>
      </c>
      <c r="T10849" s="6" t="s">
        <v>66</v>
      </c>
      <c r="U10849" s="8" t="s">
        <v>31</v>
      </c>
      <c r="V10849" s="6" t="s">
        <v>3740</v>
      </c>
      <c r="W10849" s="6" t="s">
        <v>65377</v>
      </c>
      <c r="X10849" s="9" t="str">
        <f>HYPERLINK("https://my.pitchbook.com?p=164519-56P","View People Online")</f>
        <v>View People Online</v>
      </c>
    </row>
    <row r="10850">
      <c r="A10850" s="2" t="s">
        <v>66686</v>
      </c>
      <c r="B10850" s="2" t="s">
        <v>66687</v>
      </c>
      <c r="C10850" s="2" t="s">
        <v>2483</v>
      </c>
      <c r="D10850" s="2" t="s">
        <v>66688</v>
      </c>
      <c r="E10850" s="2" t="s">
        <v>65377</v>
      </c>
      <c r="F10850" s="2" t="s">
        <v>2652</v>
      </c>
      <c r="G10850" s="2" t="s">
        <v>66689</v>
      </c>
      <c r="H10850" s="3" t="s">
        <v>31</v>
      </c>
      <c r="I10850" s="3">
        <v>3.0</v>
      </c>
      <c r="J10850" s="3">
        <v>2.0</v>
      </c>
      <c r="K10850" s="3" t="s">
        <v>31</v>
      </c>
      <c r="L10850" s="4" t="s">
        <v>66690</v>
      </c>
      <c r="M10850" s="2" t="s">
        <v>66691</v>
      </c>
      <c r="N10850" s="2" t="s">
        <v>155</v>
      </c>
      <c r="O10850" s="4" t="s">
        <v>156</v>
      </c>
      <c r="P10850" s="2" t="s">
        <v>65382</v>
      </c>
      <c r="Q10850" s="2" t="s">
        <v>31</v>
      </c>
      <c r="R10850" s="2" t="s">
        <v>64</v>
      </c>
      <c r="S10850" s="4" t="s">
        <v>2463</v>
      </c>
      <c r="T10850" s="2" t="s">
        <v>66</v>
      </c>
      <c r="U10850" s="4" t="s">
        <v>66692</v>
      </c>
      <c r="V10850" s="2" t="s">
        <v>66693</v>
      </c>
      <c r="W10850" s="2" t="s">
        <v>66694</v>
      </c>
      <c r="X10850" s="5" t="str">
        <f>HYPERLINK("https://my.pitchbook.com?p=44940-79P","View People Online")</f>
        <v>View People Online</v>
      </c>
    </row>
    <row r="10851">
      <c r="A10851" s="6" t="s">
        <v>66695</v>
      </c>
      <c r="B10851" s="6" t="s">
        <v>66696</v>
      </c>
      <c r="C10851" s="6" t="s">
        <v>1066</v>
      </c>
      <c r="D10851" s="6" t="s">
        <v>45153</v>
      </c>
      <c r="E10851" s="6" t="s">
        <v>65377</v>
      </c>
      <c r="F10851" s="6" t="s">
        <v>825</v>
      </c>
      <c r="G10851" s="6" t="s">
        <v>66697</v>
      </c>
      <c r="H10851" s="7" t="s">
        <v>31</v>
      </c>
      <c r="I10851" s="7">
        <v>2.0</v>
      </c>
      <c r="J10851" s="7">
        <v>1.0</v>
      </c>
      <c r="K10851" s="7">
        <v>1.0</v>
      </c>
      <c r="L10851" s="8" t="s">
        <v>65402</v>
      </c>
      <c r="M10851" s="6" t="s">
        <v>66698</v>
      </c>
      <c r="N10851" s="6" t="s">
        <v>75</v>
      </c>
      <c r="O10851" s="8" t="s">
        <v>76</v>
      </c>
      <c r="P10851" s="6" t="s">
        <v>65404</v>
      </c>
      <c r="Q10851" s="6" t="s">
        <v>31</v>
      </c>
      <c r="R10851" s="6" t="s">
        <v>75</v>
      </c>
      <c r="S10851" s="8" t="s">
        <v>57992</v>
      </c>
      <c r="T10851" s="6" t="s">
        <v>66</v>
      </c>
      <c r="U10851" s="8" t="s">
        <v>31</v>
      </c>
      <c r="V10851" s="6" t="s">
        <v>66699</v>
      </c>
      <c r="W10851" s="6" t="s">
        <v>66700</v>
      </c>
      <c r="X10851" s="9" t="str">
        <f>HYPERLINK("https://my.pitchbook.com?p=17913-52P","View People Online")</f>
        <v>View People Online</v>
      </c>
    </row>
    <row r="10852">
      <c r="A10852" s="2" t="s">
        <v>66701</v>
      </c>
      <c r="B10852" s="2" t="s">
        <v>26808</v>
      </c>
      <c r="C10852" s="2" t="s">
        <v>1066</v>
      </c>
      <c r="D10852" s="2" t="s">
        <v>3275</v>
      </c>
      <c r="E10852" s="2" t="s">
        <v>65377</v>
      </c>
      <c r="F10852" s="2" t="s">
        <v>1801</v>
      </c>
      <c r="G10852" s="2" t="s">
        <v>66702</v>
      </c>
      <c r="H10852" s="3" t="s">
        <v>31</v>
      </c>
      <c r="I10852" s="3">
        <v>1.0</v>
      </c>
      <c r="J10852" s="3">
        <v>1.0</v>
      </c>
      <c r="K10852" s="3" t="s">
        <v>31</v>
      </c>
      <c r="L10852" s="4" t="s">
        <v>66703</v>
      </c>
      <c r="M10852" s="2" t="s">
        <v>66704</v>
      </c>
      <c r="N10852" s="2" t="s">
        <v>155</v>
      </c>
      <c r="O10852" s="4" t="s">
        <v>156</v>
      </c>
      <c r="P10852" s="2" t="s">
        <v>65382</v>
      </c>
      <c r="Q10852" s="2" t="s">
        <v>31</v>
      </c>
      <c r="R10852" s="2" t="s">
        <v>64</v>
      </c>
      <c r="S10852" s="4" t="s">
        <v>2463</v>
      </c>
      <c r="T10852" s="2" t="s">
        <v>66</v>
      </c>
      <c r="U10852" s="4" t="s">
        <v>66705</v>
      </c>
      <c r="V10852" s="2" t="s">
        <v>66706</v>
      </c>
      <c r="W10852" s="2" t="s">
        <v>65377</v>
      </c>
      <c r="X10852" s="5" t="str">
        <f>HYPERLINK("https://my.pitchbook.com?p=33071-14P","View People Online")</f>
        <v>View People Online</v>
      </c>
    </row>
    <row r="10853">
      <c r="A10853" s="6" t="s">
        <v>66707</v>
      </c>
      <c r="B10853" s="6" t="s">
        <v>66708</v>
      </c>
      <c r="C10853" s="6" t="s">
        <v>1830</v>
      </c>
      <c r="D10853" s="6" t="s">
        <v>10412</v>
      </c>
      <c r="E10853" s="6" t="s">
        <v>65377</v>
      </c>
      <c r="F10853" s="6" t="s">
        <v>2652</v>
      </c>
      <c r="G10853" s="6" t="s">
        <v>66709</v>
      </c>
      <c r="H10853" s="7" t="s">
        <v>31</v>
      </c>
      <c r="I10853" s="7">
        <v>3.0</v>
      </c>
      <c r="J10853" s="7">
        <v>1.0</v>
      </c>
      <c r="K10853" s="7">
        <v>2.0</v>
      </c>
      <c r="L10853" s="8" t="s">
        <v>31</v>
      </c>
      <c r="M10853" s="6" t="s">
        <v>66710</v>
      </c>
      <c r="N10853" s="6" t="s">
        <v>155</v>
      </c>
      <c r="O10853" s="8" t="s">
        <v>156</v>
      </c>
      <c r="P10853" s="6" t="s">
        <v>65382</v>
      </c>
      <c r="Q10853" s="6" t="s">
        <v>31</v>
      </c>
      <c r="R10853" s="6" t="s">
        <v>64</v>
      </c>
      <c r="S10853" s="8" t="s">
        <v>2463</v>
      </c>
      <c r="T10853" s="6" t="s">
        <v>66</v>
      </c>
      <c r="U10853" s="8" t="s">
        <v>31</v>
      </c>
      <c r="V10853" s="6" t="s">
        <v>66711</v>
      </c>
      <c r="W10853" s="6" t="s">
        <v>65377</v>
      </c>
      <c r="X10853" s="9" t="str">
        <f>HYPERLINK("https://my.pitchbook.com?p=117611-11P","View People Online")</f>
        <v>View People Online</v>
      </c>
    </row>
    <row r="10854">
      <c r="A10854" s="2" t="s">
        <v>66712</v>
      </c>
      <c r="B10854" s="2" t="s">
        <v>66713</v>
      </c>
      <c r="C10854" s="2" t="s">
        <v>51198</v>
      </c>
      <c r="D10854" s="2" t="s">
        <v>66714</v>
      </c>
      <c r="E10854" s="2" t="s">
        <v>65377</v>
      </c>
      <c r="F10854" s="2" t="s">
        <v>4600</v>
      </c>
      <c r="G10854" s="2" t="s">
        <v>66715</v>
      </c>
      <c r="H10854" s="3" t="s">
        <v>31</v>
      </c>
      <c r="I10854" s="3">
        <v>1.0</v>
      </c>
      <c r="J10854" s="3">
        <v>1.0</v>
      </c>
      <c r="K10854" s="3" t="s">
        <v>31</v>
      </c>
      <c r="L10854" s="4" t="s">
        <v>66716</v>
      </c>
      <c r="M10854" s="2" t="s">
        <v>66717</v>
      </c>
      <c r="N10854" s="2" t="s">
        <v>665</v>
      </c>
      <c r="O10854" s="4" t="s">
        <v>3857</v>
      </c>
      <c r="P10854" s="2" t="s">
        <v>66718</v>
      </c>
      <c r="Q10854" s="2" t="s">
        <v>2003</v>
      </c>
      <c r="R10854" s="2" t="s">
        <v>1420</v>
      </c>
      <c r="S10854" s="4" t="s">
        <v>8300</v>
      </c>
      <c r="T10854" s="2" t="s">
        <v>66</v>
      </c>
      <c r="U10854" s="4" t="s">
        <v>31</v>
      </c>
      <c r="V10854" s="2" t="s">
        <v>66719</v>
      </c>
      <c r="W10854" s="2" t="s">
        <v>65377</v>
      </c>
      <c r="X10854" s="5" t="str">
        <f>HYPERLINK("https://my.pitchbook.com?p=32044-78P","View People Online")</f>
        <v>View People Online</v>
      </c>
    </row>
    <row r="10855">
      <c r="A10855" s="14" t="s">
        <v>66720</v>
      </c>
      <c r="B10855" s="14" t="s">
        <v>66721</v>
      </c>
      <c r="C10855" s="14" t="s">
        <v>22754</v>
      </c>
      <c r="D10855" s="14" t="s">
        <v>66722</v>
      </c>
      <c r="E10855" s="14" t="s">
        <v>65377</v>
      </c>
      <c r="F10855" s="14" t="s">
        <v>34800</v>
      </c>
      <c r="G10855" s="14" t="s">
        <v>66723</v>
      </c>
      <c r="H10855" s="15" t="s">
        <v>31</v>
      </c>
      <c r="I10855" s="15">
        <v>1.0</v>
      </c>
      <c r="J10855" s="15">
        <v>1.0</v>
      </c>
      <c r="K10855" s="15" t="s">
        <v>31</v>
      </c>
      <c r="L10855" s="16" t="s">
        <v>66724</v>
      </c>
      <c r="M10855" s="14" t="s">
        <v>66725</v>
      </c>
      <c r="N10855" s="14" t="s">
        <v>155</v>
      </c>
      <c r="O10855" s="16" t="s">
        <v>156</v>
      </c>
      <c r="P10855" s="14" t="s">
        <v>65382</v>
      </c>
      <c r="Q10855" s="14" t="s">
        <v>31</v>
      </c>
      <c r="R10855" s="14" t="s">
        <v>64</v>
      </c>
      <c r="S10855" s="16" t="s">
        <v>2463</v>
      </c>
      <c r="T10855" s="14" t="s">
        <v>66</v>
      </c>
      <c r="U10855" s="16" t="s">
        <v>31</v>
      </c>
      <c r="V10855" s="14" t="s">
        <v>45180</v>
      </c>
      <c r="W10855" s="14" t="s">
        <v>65377</v>
      </c>
      <c r="X10855" s="17" t="str">
        <f>HYPERLINK("https://my.pitchbook.com?p=161153-38P","View People Online")</f>
        <v>View People Online</v>
      </c>
    </row>
    <row r="10856">
      <c r="A10856" s="10" t="s">
        <v>66726</v>
      </c>
      <c r="B10856" s="10" t="s">
        <v>66727</v>
      </c>
      <c r="C10856" s="10" t="s">
        <v>5574</v>
      </c>
      <c r="D10856" s="10" t="s">
        <v>66728</v>
      </c>
      <c r="E10856" s="10" t="s">
        <v>65377</v>
      </c>
      <c r="F10856" s="10" t="s">
        <v>312</v>
      </c>
      <c r="G10856" s="10" t="s">
        <v>66729</v>
      </c>
      <c r="H10856" s="11" t="s">
        <v>31</v>
      </c>
      <c r="I10856" s="11">
        <v>1.0</v>
      </c>
      <c r="J10856" s="11">
        <v>1.0</v>
      </c>
      <c r="K10856" s="11" t="s">
        <v>31</v>
      </c>
      <c r="L10856" s="12" t="s">
        <v>31</v>
      </c>
      <c r="M10856" s="10" t="s">
        <v>66730</v>
      </c>
      <c r="N10856" s="10" t="s">
        <v>155</v>
      </c>
      <c r="O10856" s="12" t="s">
        <v>156</v>
      </c>
      <c r="P10856" s="10" t="s">
        <v>65382</v>
      </c>
      <c r="Q10856" s="10" t="s">
        <v>31</v>
      </c>
      <c r="R10856" s="10" t="s">
        <v>64</v>
      </c>
      <c r="S10856" s="12" t="s">
        <v>2463</v>
      </c>
      <c r="T10856" s="10" t="s">
        <v>66</v>
      </c>
      <c r="U10856" s="12" t="s">
        <v>31</v>
      </c>
      <c r="V10856" s="10" t="s">
        <v>312</v>
      </c>
      <c r="W10856" s="10" t="s">
        <v>65377</v>
      </c>
      <c r="X10856" s="13" t="str">
        <f>HYPERLINK("https://my.pitchbook.com?p=245713-15P","View People Online")</f>
        <v>View People Online</v>
      </c>
    </row>
    <row r="10857">
      <c r="A10857" s="14" t="s">
        <v>66731</v>
      </c>
      <c r="B10857" s="14" t="s">
        <v>66732</v>
      </c>
      <c r="C10857" s="14" t="s">
        <v>5574</v>
      </c>
      <c r="D10857" s="14" t="s">
        <v>24471</v>
      </c>
      <c r="E10857" s="14" t="s">
        <v>65377</v>
      </c>
      <c r="F10857" s="14" t="s">
        <v>5365</v>
      </c>
      <c r="G10857" s="14" t="s">
        <v>66733</v>
      </c>
      <c r="H10857" s="15" t="s">
        <v>31</v>
      </c>
      <c r="I10857" s="15">
        <v>1.0</v>
      </c>
      <c r="J10857" s="15">
        <v>1.0</v>
      </c>
      <c r="K10857" s="15" t="s">
        <v>31</v>
      </c>
      <c r="L10857" s="16" t="s">
        <v>66734</v>
      </c>
      <c r="M10857" s="14" t="s">
        <v>66735</v>
      </c>
      <c r="N10857" s="14" t="s">
        <v>29414</v>
      </c>
      <c r="O10857" s="16" t="s">
        <v>29415</v>
      </c>
      <c r="P10857" s="14" t="s">
        <v>66076</v>
      </c>
      <c r="Q10857" s="14" t="s">
        <v>11360</v>
      </c>
      <c r="R10857" s="14" t="s">
        <v>24327</v>
      </c>
      <c r="S10857" s="16" t="s">
        <v>66077</v>
      </c>
      <c r="T10857" s="14" t="s">
        <v>66</v>
      </c>
      <c r="U10857" s="16" t="s">
        <v>66736</v>
      </c>
      <c r="V10857" s="14" t="s">
        <v>66737</v>
      </c>
      <c r="W10857" s="14" t="s">
        <v>65377</v>
      </c>
      <c r="X10857" s="17" t="str">
        <f>HYPERLINK("https://my.pitchbook.com?p=33068-35P","View People Online")</f>
        <v>View People Online</v>
      </c>
    </row>
    <row r="10858">
      <c r="A10858" s="10" t="s">
        <v>66738</v>
      </c>
      <c r="B10858" s="10" t="s">
        <v>66739</v>
      </c>
      <c r="C10858" s="10" t="s">
        <v>28241</v>
      </c>
      <c r="D10858" s="10" t="s">
        <v>4550</v>
      </c>
      <c r="E10858" s="10" t="s">
        <v>65377</v>
      </c>
      <c r="F10858" s="10" t="s">
        <v>221</v>
      </c>
      <c r="G10858" s="10" t="s">
        <v>66740</v>
      </c>
      <c r="H10858" s="11" t="s">
        <v>31</v>
      </c>
      <c r="I10858" s="11">
        <v>1.0</v>
      </c>
      <c r="J10858" s="11">
        <v>1.0</v>
      </c>
      <c r="K10858" s="11" t="s">
        <v>31</v>
      </c>
      <c r="L10858" s="12" t="s">
        <v>31</v>
      </c>
      <c r="M10858" s="10" t="s">
        <v>66741</v>
      </c>
      <c r="N10858" s="10" t="s">
        <v>155</v>
      </c>
      <c r="O10858" s="12" t="s">
        <v>156</v>
      </c>
      <c r="P10858" s="10" t="s">
        <v>65382</v>
      </c>
      <c r="Q10858" s="10" t="s">
        <v>31</v>
      </c>
      <c r="R10858" s="10" t="s">
        <v>64</v>
      </c>
      <c r="S10858" s="12" t="s">
        <v>2463</v>
      </c>
      <c r="T10858" s="10" t="s">
        <v>66</v>
      </c>
      <c r="U10858" s="12" t="s">
        <v>31</v>
      </c>
      <c r="V10858" s="10" t="s">
        <v>66022</v>
      </c>
      <c r="W10858" s="10" t="s">
        <v>65377</v>
      </c>
      <c r="X10858" s="13" t="str">
        <f>HYPERLINK("https://my.pitchbook.com?p=384960-16P","View People Online")</f>
        <v>View People Online</v>
      </c>
    </row>
    <row r="10859">
      <c r="A10859" s="14" t="s">
        <v>66742</v>
      </c>
      <c r="B10859" s="14" t="s">
        <v>66743</v>
      </c>
      <c r="C10859" s="14" t="s">
        <v>66744</v>
      </c>
      <c r="D10859" s="14" t="s">
        <v>66745</v>
      </c>
      <c r="E10859" s="14" t="s">
        <v>65377</v>
      </c>
      <c r="F10859" s="14" t="s">
        <v>2652</v>
      </c>
      <c r="G10859" s="14" t="s">
        <v>66746</v>
      </c>
      <c r="H10859" s="15" t="s">
        <v>31</v>
      </c>
      <c r="I10859" s="15">
        <v>1.0</v>
      </c>
      <c r="J10859" s="15">
        <v>1.0</v>
      </c>
      <c r="K10859" s="15" t="s">
        <v>31</v>
      </c>
      <c r="L10859" s="16" t="s">
        <v>31</v>
      </c>
      <c r="M10859" s="14" t="s">
        <v>66747</v>
      </c>
      <c r="N10859" s="14" t="s">
        <v>155</v>
      </c>
      <c r="O10859" s="16" t="s">
        <v>156</v>
      </c>
      <c r="P10859" s="14" t="s">
        <v>65382</v>
      </c>
      <c r="Q10859" s="14" t="s">
        <v>31</v>
      </c>
      <c r="R10859" s="14" t="s">
        <v>64</v>
      </c>
      <c r="S10859" s="16" t="s">
        <v>2463</v>
      </c>
      <c r="T10859" s="14" t="s">
        <v>66</v>
      </c>
      <c r="U10859" s="16" t="s">
        <v>31</v>
      </c>
      <c r="V10859" s="14" t="s">
        <v>66748</v>
      </c>
      <c r="W10859" s="14" t="s">
        <v>65377</v>
      </c>
      <c r="X10859" s="17" t="str">
        <f>HYPERLINK("https://my.pitchbook.com?p=372634-84P","View People Online")</f>
        <v>View People Online</v>
      </c>
    </row>
    <row r="10860">
      <c r="A10860" s="10" t="s">
        <v>66749</v>
      </c>
      <c r="B10860" s="10" t="s">
        <v>66750</v>
      </c>
      <c r="C10860" s="10" t="s">
        <v>5321</v>
      </c>
      <c r="D10860" s="10" t="s">
        <v>66751</v>
      </c>
      <c r="E10860" s="10" t="s">
        <v>65377</v>
      </c>
      <c r="F10860" s="10" t="s">
        <v>3710</v>
      </c>
      <c r="G10860" s="10" t="s">
        <v>66752</v>
      </c>
      <c r="H10860" s="11" t="s">
        <v>31</v>
      </c>
      <c r="I10860" s="11">
        <v>2.0</v>
      </c>
      <c r="J10860" s="11">
        <v>1.0</v>
      </c>
      <c r="K10860" s="11">
        <v>1.0</v>
      </c>
      <c r="L10860" s="12" t="s">
        <v>65402</v>
      </c>
      <c r="M10860" s="10" t="s">
        <v>66753</v>
      </c>
      <c r="N10860" s="10" t="s">
        <v>75</v>
      </c>
      <c r="O10860" s="12" t="s">
        <v>76</v>
      </c>
      <c r="P10860" s="10" t="s">
        <v>65404</v>
      </c>
      <c r="Q10860" s="10" t="s">
        <v>31</v>
      </c>
      <c r="R10860" s="10" t="s">
        <v>75</v>
      </c>
      <c r="S10860" s="12" t="s">
        <v>57992</v>
      </c>
      <c r="T10860" s="10" t="s">
        <v>66</v>
      </c>
      <c r="U10860" s="12" t="s">
        <v>31</v>
      </c>
      <c r="V10860" s="10" t="s">
        <v>66754</v>
      </c>
      <c r="W10860" s="10" t="s">
        <v>65377</v>
      </c>
      <c r="X10860" s="13" t="str">
        <f>HYPERLINK("https://my.pitchbook.com?p=183270-79P","View People Online")</f>
        <v>View People Online</v>
      </c>
    </row>
    <row r="10861">
      <c r="A10861" s="6" t="s">
        <v>66755</v>
      </c>
      <c r="B10861" s="6" t="s">
        <v>66756</v>
      </c>
      <c r="C10861" s="6" t="s">
        <v>3728</v>
      </c>
      <c r="D10861" s="6" t="s">
        <v>61638</v>
      </c>
      <c r="E10861" s="6" t="s">
        <v>65377</v>
      </c>
      <c r="F10861" s="6" t="s">
        <v>44280</v>
      </c>
      <c r="G10861" s="6" t="s">
        <v>66757</v>
      </c>
      <c r="H10861" s="7">
        <v>1.0</v>
      </c>
      <c r="I10861" s="7">
        <v>2.0</v>
      </c>
      <c r="J10861" s="7">
        <v>1.0</v>
      </c>
      <c r="K10861" s="7" t="s">
        <v>31</v>
      </c>
      <c r="L10861" s="8" t="s">
        <v>31</v>
      </c>
      <c r="M10861" s="6" t="s">
        <v>66758</v>
      </c>
      <c r="N10861" s="6" t="s">
        <v>155</v>
      </c>
      <c r="O10861" s="8" t="s">
        <v>156</v>
      </c>
      <c r="P10861" s="6" t="s">
        <v>65382</v>
      </c>
      <c r="Q10861" s="6" t="s">
        <v>31</v>
      </c>
      <c r="R10861" s="6" t="s">
        <v>64</v>
      </c>
      <c r="S10861" s="8" t="s">
        <v>2463</v>
      </c>
      <c r="T10861" s="6" t="s">
        <v>66</v>
      </c>
      <c r="U10861" s="8" t="s">
        <v>31</v>
      </c>
      <c r="V10861" s="6" t="s">
        <v>66759</v>
      </c>
      <c r="W10861" s="6" t="s">
        <v>65377</v>
      </c>
      <c r="X10861" s="9" t="str">
        <f>HYPERLINK("https://my.pitchbook.com?p=302587-03P","View People Online")</f>
        <v>View People Online</v>
      </c>
    </row>
    <row r="10862">
      <c r="A10862" s="2" t="s">
        <v>66760</v>
      </c>
      <c r="B10862" s="2" t="s">
        <v>66761</v>
      </c>
      <c r="C10862" s="2" t="s">
        <v>22976</v>
      </c>
      <c r="D10862" s="2" t="s">
        <v>4845</v>
      </c>
      <c r="E10862" s="2" t="s">
        <v>65377</v>
      </c>
      <c r="F10862" s="2" t="s">
        <v>221</v>
      </c>
      <c r="G10862" s="2" t="s">
        <v>66762</v>
      </c>
      <c r="H10862" s="3" t="s">
        <v>31</v>
      </c>
      <c r="I10862" s="3">
        <v>1.0</v>
      </c>
      <c r="J10862" s="3">
        <v>1.0</v>
      </c>
      <c r="K10862" s="3" t="s">
        <v>31</v>
      </c>
      <c r="L10862" s="4" t="s">
        <v>31</v>
      </c>
      <c r="M10862" s="2" t="s">
        <v>66763</v>
      </c>
      <c r="N10862" s="2" t="s">
        <v>155</v>
      </c>
      <c r="O10862" s="4" t="s">
        <v>156</v>
      </c>
      <c r="P10862" s="2" t="s">
        <v>65382</v>
      </c>
      <c r="Q10862" s="2" t="s">
        <v>31</v>
      </c>
      <c r="R10862" s="2" t="s">
        <v>64</v>
      </c>
      <c r="S10862" s="4" t="s">
        <v>2463</v>
      </c>
      <c r="T10862" s="2" t="s">
        <v>66</v>
      </c>
      <c r="U10862" s="4" t="s">
        <v>31</v>
      </c>
      <c r="V10862" s="2" t="s">
        <v>66764</v>
      </c>
      <c r="W10862" s="2" t="s">
        <v>65377</v>
      </c>
      <c r="X10862" s="5" t="str">
        <f>HYPERLINK("https://my.pitchbook.com?p=366799-51P","View People Online")</f>
        <v>View People Online</v>
      </c>
    </row>
    <row r="10863">
      <c r="A10863" s="14" t="s">
        <v>66765</v>
      </c>
      <c r="B10863" s="14" t="s">
        <v>66766</v>
      </c>
      <c r="C10863" s="14" t="s">
        <v>1191</v>
      </c>
      <c r="D10863" s="14" t="s">
        <v>7776</v>
      </c>
      <c r="E10863" s="14" t="s">
        <v>65377</v>
      </c>
      <c r="F10863" s="14" t="s">
        <v>312</v>
      </c>
      <c r="G10863" s="14" t="s">
        <v>66767</v>
      </c>
      <c r="H10863" s="15" t="s">
        <v>31</v>
      </c>
      <c r="I10863" s="15">
        <v>2.0</v>
      </c>
      <c r="J10863" s="15">
        <v>1.0</v>
      </c>
      <c r="K10863" s="15">
        <v>1.0</v>
      </c>
      <c r="L10863" s="16" t="s">
        <v>31</v>
      </c>
      <c r="M10863" s="14" t="s">
        <v>66768</v>
      </c>
      <c r="N10863" s="14" t="s">
        <v>155</v>
      </c>
      <c r="O10863" s="16" t="s">
        <v>156</v>
      </c>
      <c r="P10863" s="14" t="s">
        <v>65382</v>
      </c>
      <c r="Q10863" s="14" t="s">
        <v>31</v>
      </c>
      <c r="R10863" s="14" t="s">
        <v>64</v>
      </c>
      <c r="S10863" s="16" t="s">
        <v>2463</v>
      </c>
      <c r="T10863" s="14" t="s">
        <v>66</v>
      </c>
      <c r="U10863" s="16" t="s">
        <v>31</v>
      </c>
      <c r="V10863" s="14" t="s">
        <v>66769</v>
      </c>
      <c r="W10863" s="14" t="s">
        <v>65377</v>
      </c>
      <c r="X10863" s="17" t="str">
        <f>HYPERLINK("https://my.pitchbook.com?p=332719-21P","View People Online")</f>
        <v>View People Online</v>
      </c>
    </row>
    <row r="10864">
      <c r="A10864" s="2" t="s">
        <v>66770</v>
      </c>
      <c r="B10864" s="2" t="s">
        <v>66771</v>
      </c>
      <c r="C10864" s="2" t="s">
        <v>23041</v>
      </c>
      <c r="D10864" s="2" t="s">
        <v>23534</v>
      </c>
      <c r="E10864" s="2" t="s">
        <v>65377</v>
      </c>
      <c r="F10864" s="2" t="s">
        <v>270</v>
      </c>
      <c r="G10864" s="2" t="s">
        <v>66772</v>
      </c>
      <c r="H10864" s="3" t="s">
        <v>31</v>
      </c>
      <c r="I10864" s="3">
        <v>1.0</v>
      </c>
      <c r="J10864" s="3">
        <v>1.0</v>
      </c>
      <c r="K10864" s="3" t="s">
        <v>31</v>
      </c>
      <c r="L10864" s="4" t="s">
        <v>31</v>
      </c>
      <c r="M10864" s="2" t="s">
        <v>66773</v>
      </c>
      <c r="N10864" s="2" t="s">
        <v>155</v>
      </c>
      <c r="O10864" s="4" t="s">
        <v>156</v>
      </c>
      <c r="P10864" s="2" t="s">
        <v>65382</v>
      </c>
      <c r="Q10864" s="2" t="s">
        <v>31</v>
      </c>
      <c r="R10864" s="2" t="s">
        <v>64</v>
      </c>
      <c r="S10864" s="4" t="s">
        <v>2463</v>
      </c>
      <c r="T10864" s="2" t="s">
        <v>66</v>
      </c>
      <c r="U10864" s="4" t="s">
        <v>31</v>
      </c>
      <c r="V10864" s="2" t="s">
        <v>66245</v>
      </c>
      <c r="W10864" s="2" t="s">
        <v>65377</v>
      </c>
      <c r="X10864" s="5" t="str">
        <f>HYPERLINK("https://my.pitchbook.com?p=184911-13P","View People Online")</f>
        <v>View People Online</v>
      </c>
    </row>
    <row r="10865">
      <c r="A10865" s="6" t="s">
        <v>66774</v>
      </c>
      <c r="B10865" s="6" t="s">
        <v>66775</v>
      </c>
      <c r="C10865" s="6" t="s">
        <v>1697</v>
      </c>
      <c r="D10865" s="6" t="s">
        <v>66776</v>
      </c>
      <c r="E10865" s="6" t="s">
        <v>65377</v>
      </c>
      <c r="F10865" s="6" t="s">
        <v>667</v>
      </c>
      <c r="G10865" s="6" t="s">
        <v>66777</v>
      </c>
      <c r="H10865" s="7" t="s">
        <v>31</v>
      </c>
      <c r="I10865" s="7">
        <v>1.0</v>
      </c>
      <c r="J10865" s="7">
        <v>1.0</v>
      </c>
      <c r="K10865" s="7" t="s">
        <v>31</v>
      </c>
      <c r="L10865" s="8" t="s">
        <v>31</v>
      </c>
      <c r="M10865" s="6" t="s">
        <v>66778</v>
      </c>
      <c r="N10865" s="6" t="s">
        <v>155</v>
      </c>
      <c r="O10865" s="8" t="s">
        <v>156</v>
      </c>
      <c r="P10865" s="6" t="s">
        <v>65382</v>
      </c>
      <c r="Q10865" s="6" t="s">
        <v>31</v>
      </c>
      <c r="R10865" s="6" t="s">
        <v>64</v>
      </c>
      <c r="S10865" s="8" t="s">
        <v>2463</v>
      </c>
      <c r="T10865" s="6" t="s">
        <v>66</v>
      </c>
      <c r="U10865" s="8" t="s">
        <v>31</v>
      </c>
      <c r="V10865" s="6" t="s">
        <v>66779</v>
      </c>
      <c r="W10865" s="6" t="s">
        <v>65377</v>
      </c>
      <c r="X10865" s="9" t="str">
        <f>HYPERLINK("https://my.pitchbook.com?p=360066-25P","View People Online")</f>
        <v>View People Online</v>
      </c>
    </row>
    <row r="10866">
      <c r="A10866" s="10" t="s">
        <v>66780</v>
      </c>
      <c r="B10866" s="10" t="s">
        <v>66781</v>
      </c>
      <c r="C10866" s="10" t="s">
        <v>66782</v>
      </c>
      <c r="D10866" s="10" t="s">
        <v>66783</v>
      </c>
      <c r="E10866" s="10" t="s">
        <v>65377</v>
      </c>
      <c r="F10866" s="10" t="s">
        <v>34800</v>
      </c>
      <c r="G10866" s="10" t="s">
        <v>66784</v>
      </c>
      <c r="H10866" s="11" t="s">
        <v>31</v>
      </c>
      <c r="I10866" s="11">
        <v>1.0</v>
      </c>
      <c r="J10866" s="11">
        <v>1.0</v>
      </c>
      <c r="K10866" s="11" t="s">
        <v>31</v>
      </c>
      <c r="L10866" s="12" t="s">
        <v>31</v>
      </c>
      <c r="M10866" s="10" t="s">
        <v>66785</v>
      </c>
      <c r="N10866" s="10" t="s">
        <v>155</v>
      </c>
      <c r="O10866" s="12" t="s">
        <v>156</v>
      </c>
      <c r="P10866" s="10" t="s">
        <v>65382</v>
      </c>
      <c r="Q10866" s="10" t="s">
        <v>31</v>
      </c>
      <c r="R10866" s="10" t="s">
        <v>64</v>
      </c>
      <c r="S10866" s="12" t="s">
        <v>2463</v>
      </c>
      <c r="T10866" s="10" t="s">
        <v>66</v>
      </c>
      <c r="U10866" s="12" t="s">
        <v>31</v>
      </c>
      <c r="V10866" s="10" t="s">
        <v>66786</v>
      </c>
      <c r="W10866" s="10" t="s">
        <v>65377</v>
      </c>
      <c r="X10866" s="13" t="str">
        <f>HYPERLINK("https://my.pitchbook.com?p=385275-97P","View People Online")</f>
        <v>View People Online</v>
      </c>
    </row>
    <row r="10867">
      <c r="A10867" s="14" t="s">
        <v>66787</v>
      </c>
      <c r="B10867" s="14" t="s">
        <v>66788</v>
      </c>
      <c r="C10867" s="14" t="s">
        <v>66789</v>
      </c>
      <c r="D10867" s="14" t="s">
        <v>30902</v>
      </c>
      <c r="E10867" s="14" t="s">
        <v>65377</v>
      </c>
      <c r="F10867" s="14" t="s">
        <v>713</v>
      </c>
      <c r="G10867" s="14" t="s">
        <v>66790</v>
      </c>
      <c r="H10867" s="15" t="s">
        <v>31</v>
      </c>
      <c r="I10867" s="15">
        <v>1.0</v>
      </c>
      <c r="J10867" s="15">
        <v>1.0</v>
      </c>
      <c r="K10867" s="15" t="s">
        <v>31</v>
      </c>
      <c r="L10867" s="16" t="s">
        <v>65753</v>
      </c>
      <c r="M10867" s="14" t="s">
        <v>66791</v>
      </c>
      <c r="N10867" s="14" t="s">
        <v>10983</v>
      </c>
      <c r="O10867" s="16" t="s">
        <v>37748</v>
      </c>
      <c r="P10867" s="14" t="s">
        <v>65397</v>
      </c>
      <c r="Q10867" s="14" t="s">
        <v>11360</v>
      </c>
      <c r="R10867" s="14" t="s">
        <v>37751</v>
      </c>
      <c r="S10867" s="16" t="s">
        <v>65398</v>
      </c>
      <c r="T10867" s="14" t="s">
        <v>66</v>
      </c>
      <c r="U10867" s="16" t="s">
        <v>31</v>
      </c>
      <c r="V10867" s="14" t="s">
        <v>713</v>
      </c>
      <c r="W10867" s="14" t="s">
        <v>65377</v>
      </c>
      <c r="X10867" s="17" t="str">
        <f>HYPERLINK("https://my.pitchbook.com?p=371143-63P","View People Online")</f>
        <v>View People Online</v>
      </c>
    </row>
    <row r="10868">
      <c r="A10868" s="2" t="s">
        <v>66792</v>
      </c>
      <c r="B10868" s="2" t="s">
        <v>66793</v>
      </c>
      <c r="C10868" s="2" t="s">
        <v>10383</v>
      </c>
      <c r="D10868" s="2" t="s">
        <v>4299</v>
      </c>
      <c r="E10868" s="2" t="s">
        <v>66794</v>
      </c>
      <c r="F10868" s="2" t="s">
        <v>40884</v>
      </c>
      <c r="G10868" s="2" t="s">
        <v>66795</v>
      </c>
      <c r="H10868" s="3" t="s">
        <v>31</v>
      </c>
      <c r="I10868" s="3">
        <v>1.0</v>
      </c>
      <c r="J10868" s="3">
        <v>1.0</v>
      </c>
      <c r="K10868" s="3" t="s">
        <v>31</v>
      </c>
      <c r="L10868" s="4" t="s">
        <v>66796</v>
      </c>
      <c r="M10868" s="2" t="s">
        <v>66797</v>
      </c>
      <c r="N10868" s="2" t="s">
        <v>1109</v>
      </c>
      <c r="O10868" s="4" t="s">
        <v>13169</v>
      </c>
      <c r="P10868" s="2" t="s">
        <v>66798</v>
      </c>
      <c r="Q10868" s="2" t="s">
        <v>31</v>
      </c>
      <c r="R10868" s="2" t="s">
        <v>13171</v>
      </c>
      <c r="S10868" s="4" t="s">
        <v>13172</v>
      </c>
      <c r="T10868" s="2" t="s">
        <v>66</v>
      </c>
      <c r="U10868" s="4" t="s">
        <v>31</v>
      </c>
      <c r="V10868" s="2" t="s">
        <v>66799</v>
      </c>
      <c r="W10868" s="2" t="s">
        <v>66794</v>
      </c>
      <c r="X10868" s="5" t="str">
        <f>HYPERLINK("https://my.pitchbook.com?p=249965-11P","View People Online")</f>
        <v>View People Online</v>
      </c>
    </row>
    <row r="10869">
      <c r="A10869" s="14" t="s">
        <v>66800</v>
      </c>
      <c r="B10869" s="14" t="s">
        <v>66801</v>
      </c>
      <c r="C10869" s="14" t="s">
        <v>2713</v>
      </c>
      <c r="D10869" s="14" t="s">
        <v>66802</v>
      </c>
      <c r="E10869" s="14" t="s">
        <v>66794</v>
      </c>
      <c r="F10869" s="14" t="s">
        <v>78</v>
      </c>
      <c r="G10869" s="14" t="s">
        <v>66803</v>
      </c>
      <c r="H10869" s="15" t="s">
        <v>31</v>
      </c>
      <c r="I10869" s="15">
        <v>4.0</v>
      </c>
      <c r="J10869" s="15">
        <v>2.0</v>
      </c>
      <c r="K10869" s="15">
        <v>1.0</v>
      </c>
      <c r="L10869" s="16" t="s">
        <v>66796</v>
      </c>
      <c r="M10869" s="14" t="s">
        <v>66804</v>
      </c>
      <c r="N10869" s="14" t="s">
        <v>1109</v>
      </c>
      <c r="O10869" s="16" t="s">
        <v>13169</v>
      </c>
      <c r="P10869" s="14" t="s">
        <v>66798</v>
      </c>
      <c r="Q10869" s="14" t="s">
        <v>31</v>
      </c>
      <c r="R10869" s="14" t="s">
        <v>13171</v>
      </c>
      <c r="S10869" s="16" t="s">
        <v>13172</v>
      </c>
      <c r="T10869" s="14" t="s">
        <v>66</v>
      </c>
      <c r="U10869" s="16" t="s">
        <v>31</v>
      </c>
      <c r="V10869" s="14" t="s">
        <v>10197</v>
      </c>
      <c r="W10869" s="14" t="s">
        <v>66794</v>
      </c>
      <c r="X10869" s="17" t="str">
        <f>HYPERLINK("https://my.pitchbook.com?p=294706-45P","View People Online")</f>
        <v>View People Online</v>
      </c>
    </row>
    <row r="10870">
      <c r="A10870" s="10" t="s">
        <v>66805</v>
      </c>
      <c r="B10870" s="10" t="s">
        <v>66806</v>
      </c>
      <c r="C10870" s="10" t="s">
        <v>285</v>
      </c>
      <c r="D10870" s="10" t="s">
        <v>29791</v>
      </c>
      <c r="E10870" s="10" t="s">
        <v>66794</v>
      </c>
      <c r="F10870" s="10" t="s">
        <v>312</v>
      </c>
      <c r="G10870" s="10" t="s">
        <v>66807</v>
      </c>
      <c r="H10870" s="11" t="s">
        <v>31</v>
      </c>
      <c r="I10870" s="11">
        <v>1.0</v>
      </c>
      <c r="J10870" s="11">
        <v>1.0</v>
      </c>
      <c r="K10870" s="11" t="s">
        <v>31</v>
      </c>
      <c r="L10870" s="12" t="s">
        <v>66796</v>
      </c>
      <c r="M10870" s="10" t="s">
        <v>66808</v>
      </c>
      <c r="N10870" s="10" t="s">
        <v>1109</v>
      </c>
      <c r="O10870" s="12" t="s">
        <v>13169</v>
      </c>
      <c r="P10870" s="10" t="s">
        <v>66798</v>
      </c>
      <c r="Q10870" s="10" t="s">
        <v>31</v>
      </c>
      <c r="R10870" s="10" t="s">
        <v>13171</v>
      </c>
      <c r="S10870" s="12" t="s">
        <v>13172</v>
      </c>
      <c r="T10870" s="10" t="s">
        <v>66</v>
      </c>
      <c r="U10870" s="12" t="s">
        <v>31</v>
      </c>
      <c r="V10870" s="10" t="s">
        <v>65927</v>
      </c>
      <c r="W10870" s="10" t="s">
        <v>66794</v>
      </c>
      <c r="X10870" s="13" t="str">
        <f>HYPERLINK("https://my.pitchbook.com?p=377009-74P","View People Online")</f>
        <v>View People Online</v>
      </c>
    </row>
    <row r="10871">
      <c r="A10871" s="14" t="s">
        <v>66809</v>
      </c>
      <c r="B10871" s="14" t="s">
        <v>66810</v>
      </c>
      <c r="C10871" s="14" t="s">
        <v>66811</v>
      </c>
      <c r="D10871" s="14" t="s">
        <v>66812</v>
      </c>
      <c r="E10871" s="14" t="s">
        <v>66794</v>
      </c>
      <c r="F10871" s="14" t="s">
        <v>4997</v>
      </c>
      <c r="G10871" s="14" t="s">
        <v>66813</v>
      </c>
      <c r="H10871" s="15" t="s">
        <v>31</v>
      </c>
      <c r="I10871" s="15">
        <v>2.0</v>
      </c>
      <c r="J10871" s="15">
        <v>1.0</v>
      </c>
      <c r="K10871" s="15">
        <v>1.0</v>
      </c>
      <c r="L10871" s="16" t="s">
        <v>66796</v>
      </c>
      <c r="M10871" s="14" t="s">
        <v>66814</v>
      </c>
      <c r="N10871" s="14" t="s">
        <v>1109</v>
      </c>
      <c r="O10871" s="16" t="s">
        <v>13169</v>
      </c>
      <c r="P10871" s="14" t="s">
        <v>66798</v>
      </c>
      <c r="Q10871" s="14" t="s">
        <v>31</v>
      </c>
      <c r="R10871" s="14" t="s">
        <v>13171</v>
      </c>
      <c r="S10871" s="16" t="s">
        <v>13172</v>
      </c>
      <c r="T10871" s="14" t="s">
        <v>66</v>
      </c>
      <c r="U10871" s="16" t="s">
        <v>31</v>
      </c>
      <c r="V10871" s="14" t="s">
        <v>66815</v>
      </c>
      <c r="W10871" s="14" t="s">
        <v>66794</v>
      </c>
      <c r="X10871" s="17" t="str">
        <f>HYPERLINK("https://my.pitchbook.com?p=377110-00P","View People Online")</f>
        <v>View People Online</v>
      </c>
    </row>
    <row r="10872">
      <c r="A10872" s="10" t="s">
        <v>66816</v>
      </c>
      <c r="B10872" s="10" t="s">
        <v>66817</v>
      </c>
      <c r="C10872" s="10" t="s">
        <v>4351</v>
      </c>
      <c r="D10872" s="10" t="s">
        <v>66818</v>
      </c>
      <c r="E10872" s="10" t="s">
        <v>66794</v>
      </c>
      <c r="F10872" s="10" t="s">
        <v>29113</v>
      </c>
      <c r="G10872" s="10" t="s">
        <v>66819</v>
      </c>
      <c r="H10872" s="11" t="s">
        <v>31</v>
      </c>
      <c r="I10872" s="11">
        <v>1.0</v>
      </c>
      <c r="J10872" s="11">
        <v>1.0</v>
      </c>
      <c r="K10872" s="11" t="s">
        <v>31</v>
      </c>
      <c r="L10872" s="12" t="s">
        <v>66796</v>
      </c>
      <c r="M10872" s="10" t="s">
        <v>66820</v>
      </c>
      <c r="N10872" s="10" t="s">
        <v>1109</v>
      </c>
      <c r="O10872" s="12" t="s">
        <v>13169</v>
      </c>
      <c r="P10872" s="10" t="s">
        <v>66798</v>
      </c>
      <c r="Q10872" s="10" t="s">
        <v>31</v>
      </c>
      <c r="R10872" s="10" t="s">
        <v>13171</v>
      </c>
      <c r="S10872" s="12" t="s">
        <v>13172</v>
      </c>
      <c r="T10872" s="10" t="s">
        <v>66</v>
      </c>
      <c r="U10872" s="12" t="s">
        <v>31</v>
      </c>
      <c r="V10872" s="10" t="s">
        <v>61279</v>
      </c>
      <c r="W10872" s="10" t="s">
        <v>66794</v>
      </c>
      <c r="X10872" s="13" t="str">
        <f>HYPERLINK("https://my.pitchbook.com?p=43186-78P","View People Online")</f>
        <v>View People Online</v>
      </c>
    </row>
    <row r="10873">
      <c r="A10873" s="14" t="s">
        <v>66821</v>
      </c>
      <c r="B10873" s="14" t="s">
        <v>66822</v>
      </c>
      <c r="C10873" s="14" t="s">
        <v>66823</v>
      </c>
      <c r="D10873" s="14" t="s">
        <v>66824</v>
      </c>
      <c r="E10873" s="14" t="s">
        <v>66794</v>
      </c>
      <c r="F10873" s="14" t="s">
        <v>502</v>
      </c>
      <c r="G10873" s="14" t="s">
        <v>66825</v>
      </c>
      <c r="H10873" s="15" t="s">
        <v>31</v>
      </c>
      <c r="I10873" s="15">
        <v>1.0</v>
      </c>
      <c r="J10873" s="15">
        <v>1.0</v>
      </c>
      <c r="K10873" s="15" t="s">
        <v>31</v>
      </c>
      <c r="L10873" s="16" t="s">
        <v>66796</v>
      </c>
      <c r="M10873" s="14" t="s">
        <v>66826</v>
      </c>
      <c r="N10873" s="14" t="s">
        <v>1109</v>
      </c>
      <c r="O10873" s="16" t="s">
        <v>13169</v>
      </c>
      <c r="P10873" s="14" t="s">
        <v>66798</v>
      </c>
      <c r="Q10873" s="14" t="s">
        <v>31</v>
      </c>
      <c r="R10873" s="14" t="s">
        <v>13171</v>
      </c>
      <c r="S10873" s="16" t="s">
        <v>13172</v>
      </c>
      <c r="T10873" s="14" t="s">
        <v>66</v>
      </c>
      <c r="U10873" s="16" t="s">
        <v>31</v>
      </c>
      <c r="V10873" s="14" t="s">
        <v>25161</v>
      </c>
      <c r="W10873" s="14" t="s">
        <v>66794</v>
      </c>
      <c r="X10873" s="17" t="str">
        <f>HYPERLINK("https://my.pitchbook.com?p=13095-28P","View People Online")</f>
        <v>View People Online</v>
      </c>
    </row>
    <row r="10874">
      <c r="A10874" s="2" t="s">
        <v>66827</v>
      </c>
      <c r="B10874" s="2" t="s">
        <v>66828</v>
      </c>
      <c r="C10874" s="2" t="s">
        <v>3977</v>
      </c>
      <c r="D10874" s="2" t="s">
        <v>4526</v>
      </c>
      <c r="E10874" s="2" t="s">
        <v>66794</v>
      </c>
      <c r="F10874" s="2" t="s">
        <v>52620</v>
      </c>
      <c r="G10874" s="2" t="s">
        <v>66829</v>
      </c>
      <c r="H10874" s="3" t="s">
        <v>31</v>
      </c>
      <c r="I10874" s="3">
        <v>2.0</v>
      </c>
      <c r="J10874" s="3">
        <v>1.0</v>
      </c>
      <c r="K10874" s="3">
        <v>1.0</v>
      </c>
      <c r="L10874" s="4" t="s">
        <v>66796</v>
      </c>
      <c r="M10874" s="2" t="s">
        <v>66830</v>
      </c>
      <c r="N10874" s="2" t="s">
        <v>1109</v>
      </c>
      <c r="O10874" s="4" t="s">
        <v>13169</v>
      </c>
      <c r="P10874" s="2" t="s">
        <v>66798</v>
      </c>
      <c r="Q10874" s="2" t="s">
        <v>31</v>
      </c>
      <c r="R10874" s="2" t="s">
        <v>13171</v>
      </c>
      <c r="S10874" s="4" t="s">
        <v>13172</v>
      </c>
      <c r="T10874" s="2" t="s">
        <v>66</v>
      </c>
      <c r="U10874" s="4" t="s">
        <v>31</v>
      </c>
      <c r="V10874" s="2" t="s">
        <v>66831</v>
      </c>
      <c r="W10874" s="2" t="s">
        <v>66794</v>
      </c>
      <c r="X10874" s="5" t="str">
        <f>HYPERLINK("https://my.pitchbook.com?p=109013-95P","View People Online")</f>
        <v>View People Online</v>
      </c>
    </row>
    <row r="10875">
      <c r="A10875" s="6" t="s">
        <v>66832</v>
      </c>
      <c r="B10875" s="6" t="s">
        <v>66833</v>
      </c>
      <c r="C10875" s="6" t="s">
        <v>4404</v>
      </c>
      <c r="D10875" s="6" t="s">
        <v>66834</v>
      </c>
      <c r="E10875" s="6" t="s">
        <v>66794</v>
      </c>
      <c r="F10875" s="6" t="s">
        <v>7658</v>
      </c>
      <c r="G10875" s="6" t="s">
        <v>66835</v>
      </c>
      <c r="H10875" s="7" t="s">
        <v>31</v>
      </c>
      <c r="I10875" s="7">
        <v>1.0</v>
      </c>
      <c r="J10875" s="7">
        <v>1.0</v>
      </c>
      <c r="K10875" s="7" t="s">
        <v>31</v>
      </c>
      <c r="L10875" s="8" t="s">
        <v>66796</v>
      </c>
      <c r="M10875" s="6" t="s">
        <v>66836</v>
      </c>
      <c r="N10875" s="6" t="s">
        <v>1109</v>
      </c>
      <c r="O10875" s="8" t="s">
        <v>13169</v>
      </c>
      <c r="P10875" s="6" t="s">
        <v>66798</v>
      </c>
      <c r="Q10875" s="6" t="s">
        <v>31</v>
      </c>
      <c r="R10875" s="6" t="s">
        <v>13171</v>
      </c>
      <c r="S10875" s="8" t="s">
        <v>13172</v>
      </c>
      <c r="T10875" s="6" t="s">
        <v>66</v>
      </c>
      <c r="U10875" s="8" t="s">
        <v>31</v>
      </c>
      <c r="V10875" s="6" t="s">
        <v>66837</v>
      </c>
      <c r="W10875" s="6" t="s">
        <v>66794</v>
      </c>
      <c r="X10875" s="9" t="str">
        <f>HYPERLINK("https://my.pitchbook.com?p=286973-20P","View People Online")</f>
        <v>View People Online</v>
      </c>
    </row>
    <row r="10876">
      <c r="A10876" s="10" t="s">
        <v>66838</v>
      </c>
      <c r="B10876" s="10" t="s">
        <v>66839</v>
      </c>
      <c r="C10876" s="10" t="s">
        <v>2992</v>
      </c>
      <c r="D10876" s="10" t="s">
        <v>47640</v>
      </c>
      <c r="E10876" s="10" t="s">
        <v>66794</v>
      </c>
      <c r="F10876" s="10" t="s">
        <v>78</v>
      </c>
      <c r="G10876" s="10" t="s">
        <v>66840</v>
      </c>
      <c r="H10876" s="11" t="s">
        <v>31</v>
      </c>
      <c r="I10876" s="11">
        <v>2.0</v>
      </c>
      <c r="J10876" s="11">
        <v>2.0</v>
      </c>
      <c r="K10876" s="11" t="s">
        <v>31</v>
      </c>
      <c r="L10876" s="12" t="s">
        <v>66796</v>
      </c>
      <c r="M10876" s="10" t="s">
        <v>66841</v>
      </c>
      <c r="N10876" s="10" t="s">
        <v>1109</v>
      </c>
      <c r="O10876" s="12" t="s">
        <v>13169</v>
      </c>
      <c r="P10876" s="10" t="s">
        <v>66798</v>
      </c>
      <c r="Q10876" s="10" t="s">
        <v>31</v>
      </c>
      <c r="R10876" s="10" t="s">
        <v>13171</v>
      </c>
      <c r="S10876" s="12" t="s">
        <v>13172</v>
      </c>
      <c r="T10876" s="10" t="s">
        <v>66</v>
      </c>
      <c r="U10876" s="12" t="s">
        <v>31</v>
      </c>
      <c r="V10876" s="10" t="s">
        <v>10197</v>
      </c>
      <c r="W10876" s="10" t="s">
        <v>66794</v>
      </c>
      <c r="X10876" s="13" t="str">
        <f>HYPERLINK("https://my.pitchbook.com?p=217940-32P","View People Online")</f>
        <v>View People Online</v>
      </c>
    </row>
    <row r="10877">
      <c r="A10877" s="6" t="s">
        <v>66842</v>
      </c>
      <c r="B10877" s="6" t="s">
        <v>66843</v>
      </c>
      <c r="C10877" s="6" t="s">
        <v>18382</v>
      </c>
      <c r="D10877" s="6" t="s">
        <v>66844</v>
      </c>
      <c r="E10877" s="6" t="s">
        <v>66794</v>
      </c>
      <c r="F10877" s="6" t="s">
        <v>270</v>
      </c>
      <c r="G10877" s="6" t="s">
        <v>66845</v>
      </c>
      <c r="H10877" s="7">
        <v>1.0</v>
      </c>
      <c r="I10877" s="7">
        <v>2.0</v>
      </c>
      <c r="J10877" s="7">
        <v>1.0</v>
      </c>
      <c r="K10877" s="7" t="s">
        <v>31</v>
      </c>
      <c r="L10877" s="8" t="s">
        <v>66796</v>
      </c>
      <c r="M10877" s="6" t="s">
        <v>66846</v>
      </c>
      <c r="N10877" s="6" t="s">
        <v>1109</v>
      </c>
      <c r="O10877" s="8" t="s">
        <v>13169</v>
      </c>
      <c r="P10877" s="6" t="s">
        <v>66798</v>
      </c>
      <c r="Q10877" s="6" t="s">
        <v>31</v>
      </c>
      <c r="R10877" s="6" t="s">
        <v>13171</v>
      </c>
      <c r="S10877" s="8" t="s">
        <v>13172</v>
      </c>
      <c r="T10877" s="6" t="s">
        <v>66</v>
      </c>
      <c r="U10877" s="8" t="s">
        <v>31</v>
      </c>
      <c r="V10877" s="6" t="s">
        <v>270</v>
      </c>
      <c r="W10877" s="6" t="s">
        <v>66794</v>
      </c>
      <c r="X10877" s="9" t="str">
        <f>HYPERLINK("https://my.pitchbook.com?p=294705-37P","View People Online")</f>
        <v>View People Online</v>
      </c>
    </row>
    <row r="10878">
      <c r="A10878" s="10" t="s">
        <v>66847</v>
      </c>
      <c r="B10878" s="10" t="s">
        <v>66848</v>
      </c>
      <c r="C10878" s="10" t="s">
        <v>666</v>
      </c>
      <c r="D10878" s="10" t="s">
        <v>6333</v>
      </c>
      <c r="E10878" s="10" t="s">
        <v>66794</v>
      </c>
      <c r="F10878" s="10" t="s">
        <v>81</v>
      </c>
      <c r="G10878" s="10" t="s">
        <v>66849</v>
      </c>
      <c r="H10878" s="11" t="s">
        <v>31</v>
      </c>
      <c r="I10878" s="11">
        <v>4.0</v>
      </c>
      <c r="J10878" s="11" t="s">
        <v>31</v>
      </c>
      <c r="K10878" s="11">
        <v>2.0</v>
      </c>
      <c r="L10878" s="12" t="s">
        <v>66850</v>
      </c>
      <c r="M10878" s="10" t="s">
        <v>66851</v>
      </c>
      <c r="N10878" s="10" t="s">
        <v>1109</v>
      </c>
      <c r="O10878" s="12" t="s">
        <v>13169</v>
      </c>
      <c r="P10878" s="10" t="s">
        <v>66798</v>
      </c>
      <c r="Q10878" s="10" t="s">
        <v>31</v>
      </c>
      <c r="R10878" s="10" t="s">
        <v>13171</v>
      </c>
      <c r="S10878" s="12" t="s">
        <v>13172</v>
      </c>
      <c r="T10878" s="10" t="s">
        <v>66</v>
      </c>
      <c r="U10878" s="12" t="s">
        <v>31</v>
      </c>
      <c r="V10878" s="10" t="s">
        <v>440</v>
      </c>
      <c r="W10878" s="10" t="s">
        <v>66794</v>
      </c>
      <c r="X10878" s="13" t="str">
        <f>HYPERLINK("https://my.pitchbook.com?p=51487-93P","View People Online")</f>
        <v>View People Online</v>
      </c>
    </row>
    <row r="10879">
      <c r="A10879" s="14" t="s">
        <v>66852</v>
      </c>
      <c r="B10879" s="14" t="s">
        <v>63808</v>
      </c>
      <c r="C10879" s="14" t="s">
        <v>11929</v>
      </c>
      <c r="D10879" s="14" t="s">
        <v>3275</v>
      </c>
      <c r="E10879" s="14" t="s">
        <v>66794</v>
      </c>
      <c r="F10879" s="14" t="s">
        <v>4527</v>
      </c>
      <c r="G10879" s="14" t="s">
        <v>66853</v>
      </c>
      <c r="H10879" s="15">
        <v>2.0</v>
      </c>
      <c r="I10879" s="15">
        <v>15.0</v>
      </c>
      <c r="J10879" s="15">
        <v>1.0</v>
      </c>
      <c r="K10879" s="15">
        <v>12.0</v>
      </c>
      <c r="L10879" s="16" t="s">
        <v>66796</v>
      </c>
      <c r="M10879" s="14" t="s">
        <v>66854</v>
      </c>
      <c r="N10879" s="14" t="s">
        <v>1109</v>
      </c>
      <c r="O10879" s="16" t="s">
        <v>13169</v>
      </c>
      <c r="P10879" s="14" t="s">
        <v>66798</v>
      </c>
      <c r="Q10879" s="14" t="s">
        <v>31</v>
      </c>
      <c r="R10879" s="14" t="s">
        <v>13171</v>
      </c>
      <c r="S10879" s="16" t="s">
        <v>13172</v>
      </c>
      <c r="T10879" s="14" t="s">
        <v>66</v>
      </c>
      <c r="U10879" s="16" t="s">
        <v>31</v>
      </c>
      <c r="V10879" s="14" t="s">
        <v>66855</v>
      </c>
      <c r="W10879" s="14" t="s">
        <v>66794</v>
      </c>
      <c r="X10879" s="17" t="str">
        <f>HYPERLINK("https://my.pitchbook.com?p=69983-92P","View People Online")</f>
        <v>View People Online</v>
      </c>
    </row>
    <row r="10880">
      <c r="A10880" s="2" t="s">
        <v>66856</v>
      </c>
      <c r="B10880" s="2" t="s">
        <v>66857</v>
      </c>
      <c r="C10880" s="2" t="s">
        <v>536</v>
      </c>
      <c r="D10880" s="2" t="s">
        <v>66858</v>
      </c>
      <c r="E10880" s="2" t="s">
        <v>66794</v>
      </c>
      <c r="F10880" s="2" t="s">
        <v>78</v>
      </c>
      <c r="G10880" s="2" t="s">
        <v>66859</v>
      </c>
      <c r="H10880" s="3" t="s">
        <v>31</v>
      </c>
      <c r="I10880" s="3">
        <v>3.0</v>
      </c>
      <c r="J10880" s="3">
        <v>1.0</v>
      </c>
      <c r="K10880" s="3">
        <v>2.0</v>
      </c>
      <c r="L10880" s="4" t="s">
        <v>66796</v>
      </c>
      <c r="M10880" s="2" t="s">
        <v>66860</v>
      </c>
      <c r="N10880" s="2" t="s">
        <v>1109</v>
      </c>
      <c r="O10880" s="4" t="s">
        <v>13169</v>
      </c>
      <c r="P10880" s="2" t="s">
        <v>66798</v>
      </c>
      <c r="Q10880" s="2" t="s">
        <v>31</v>
      </c>
      <c r="R10880" s="2" t="s">
        <v>13171</v>
      </c>
      <c r="S10880" s="4" t="s">
        <v>13172</v>
      </c>
      <c r="T10880" s="2" t="s">
        <v>66</v>
      </c>
      <c r="U10880" s="4" t="s">
        <v>31</v>
      </c>
      <c r="V10880" s="2" t="s">
        <v>10197</v>
      </c>
      <c r="W10880" s="2" t="s">
        <v>66794</v>
      </c>
      <c r="X10880" s="5" t="str">
        <f>HYPERLINK("https://my.pitchbook.com?p=253387-36P","View People Online")</f>
        <v>View People Online</v>
      </c>
    </row>
    <row r="10881">
      <c r="A10881" s="14" t="s">
        <v>66861</v>
      </c>
      <c r="B10881" s="14" t="s">
        <v>66862</v>
      </c>
      <c r="C10881" s="14" t="s">
        <v>3370</v>
      </c>
      <c r="D10881" s="14" t="s">
        <v>43492</v>
      </c>
      <c r="E10881" s="14" t="s">
        <v>66794</v>
      </c>
      <c r="F10881" s="14" t="s">
        <v>318</v>
      </c>
      <c r="G10881" s="14" t="s">
        <v>66863</v>
      </c>
      <c r="H10881" s="15" t="s">
        <v>31</v>
      </c>
      <c r="I10881" s="15">
        <v>1.0</v>
      </c>
      <c r="J10881" s="15">
        <v>1.0</v>
      </c>
      <c r="K10881" s="15" t="s">
        <v>31</v>
      </c>
      <c r="L10881" s="16" t="s">
        <v>66796</v>
      </c>
      <c r="M10881" s="14" t="s">
        <v>66864</v>
      </c>
      <c r="N10881" s="14" t="s">
        <v>1109</v>
      </c>
      <c r="O10881" s="16" t="s">
        <v>13169</v>
      </c>
      <c r="P10881" s="14" t="s">
        <v>66798</v>
      </c>
      <c r="Q10881" s="14" t="s">
        <v>31</v>
      </c>
      <c r="R10881" s="14" t="s">
        <v>13171</v>
      </c>
      <c r="S10881" s="16" t="s">
        <v>13172</v>
      </c>
      <c r="T10881" s="14" t="s">
        <v>66</v>
      </c>
      <c r="U10881" s="16" t="s">
        <v>31</v>
      </c>
      <c r="V10881" s="14" t="s">
        <v>66865</v>
      </c>
      <c r="W10881" s="14" t="s">
        <v>66794</v>
      </c>
      <c r="X10881" s="17" t="str">
        <f>HYPERLINK("https://my.pitchbook.com?p=417212-38P","View People Online")</f>
        <v>View People Online</v>
      </c>
    </row>
    <row r="10882">
      <c r="A10882" s="2" t="s">
        <v>66866</v>
      </c>
      <c r="B10882" s="2" t="s">
        <v>66867</v>
      </c>
      <c r="C10882" s="2" t="s">
        <v>63114</v>
      </c>
      <c r="D10882" s="2" t="s">
        <v>66868</v>
      </c>
      <c r="E10882" s="2" t="s">
        <v>66794</v>
      </c>
      <c r="F10882" s="2" t="s">
        <v>3665</v>
      </c>
      <c r="G10882" s="2" t="s">
        <v>66869</v>
      </c>
      <c r="H10882" s="3" t="s">
        <v>31</v>
      </c>
      <c r="I10882" s="3">
        <v>1.0</v>
      </c>
      <c r="J10882" s="3">
        <v>1.0</v>
      </c>
      <c r="K10882" s="3" t="s">
        <v>31</v>
      </c>
      <c r="L10882" s="4" t="s">
        <v>66796</v>
      </c>
      <c r="M10882" s="2" t="s">
        <v>66870</v>
      </c>
      <c r="N10882" s="2" t="s">
        <v>1109</v>
      </c>
      <c r="O10882" s="4" t="s">
        <v>13169</v>
      </c>
      <c r="P10882" s="2" t="s">
        <v>66798</v>
      </c>
      <c r="Q10882" s="2" t="s">
        <v>31</v>
      </c>
      <c r="R10882" s="2" t="s">
        <v>13171</v>
      </c>
      <c r="S10882" s="4" t="s">
        <v>13172</v>
      </c>
      <c r="T10882" s="2" t="s">
        <v>66</v>
      </c>
      <c r="U10882" s="4" t="s">
        <v>31</v>
      </c>
      <c r="V10882" s="2" t="s">
        <v>28916</v>
      </c>
      <c r="W10882" s="2" t="s">
        <v>66794</v>
      </c>
      <c r="X10882" s="5" t="str">
        <f>HYPERLINK("https://my.pitchbook.com?p=289068-49P","View People Online")</f>
        <v>View People Online</v>
      </c>
    </row>
    <row r="10883">
      <c r="A10883" s="6" t="s">
        <v>66871</v>
      </c>
      <c r="B10883" s="6" t="s">
        <v>66872</v>
      </c>
      <c r="C10883" s="6" t="s">
        <v>25521</v>
      </c>
      <c r="D10883" s="6" t="s">
        <v>66873</v>
      </c>
      <c r="E10883" s="6" t="s">
        <v>66794</v>
      </c>
      <c r="F10883" s="6" t="s">
        <v>56638</v>
      </c>
      <c r="G10883" s="6" t="s">
        <v>66874</v>
      </c>
      <c r="H10883" s="7" t="s">
        <v>31</v>
      </c>
      <c r="I10883" s="7">
        <v>1.0</v>
      </c>
      <c r="J10883" s="7">
        <v>1.0</v>
      </c>
      <c r="K10883" s="7" t="s">
        <v>31</v>
      </c>
      <c r="L10883" s="8" t="s">
        <v>66796</v>
      </c>
      <c r="M10883" s="6" t="s">
        <v>66875</v>
      </c>
      <c r="N10883" s="6" t="s">
        <v>1109</v>
      </c>
      <c r="O10883" s="8" t="s">
        <v>13169</v>
      </c>
      <c r="P10883" s="6" t="s">
        <v>66798</v>
      </c>
      <c r="Q10883" s="6" t="s">
        <v>31</v>
      </c>
      <c r="R10883" s="6" t="s">
        <v>13171</v>
      </c>
      <c r="S10883" s="8" t="s">
        <v>13172</v>
      </c>
      <c r="T10883" s="6" t="s">
        <v>66</v>
      </c>
      <c r="U10883" s="8" t="s">
        <v>31</v>
      </c>
      <c r="V10883" s="6" t="s">
        <v>66876</v>
      </c>
      <c r="W10883" s="6" t="s">
        <v>66794</v>
      </c>
      <c r="X10883" s="9" t="str">
        <f>HYPERLINK("https://my.pitchbook.com?p=399993-40P","View People Online")</f>
        <v>View People Online</v>
      </c>
    </row>
    <row r="10884">
      <c r="A10884" s="10" t="s">
        <v>66877</v>
      </c>
      <c r="B10884" s="10" t="s">
        <v>66878</v>
      </c>
      <c r="C10884" s="10" t="s">
        <v>6199</v>
      </c>
      <c r="D10884" s="10" t="s">
        <v>7414</v>
      </c>
      <c r="E10884" s="10" t="s">
        <v>66794</v>
      </c>
      <c r="F10884" s="10" t="s">
        <v>312</v>
      </c>
      <c r="G10884" s="10" t="s">
        <v>66879</v>
      </c>
      <c r="H10884" s="11" t="s">
        <v>31</v>
      </c>
      <c r="I10884" s="11">
        <v>1.0</v>
      </c>
      <c r="J10884" s="11">
        <v>1.0</v>
      </c>
      <c r="K10884" s="11" t="s">
        <v>31</v>
      </c>
      <c r="L10884" s="12" t="s">
        <v>66880</v>
      </c>
      <c r="M10884" s="10" t="s">
        <v>66881</v>
      </c>
      <c r="N10884" s="10" t="s">
        <v>1109</v>
      </c>
      <c r="O10884" s="12" t="s">
        <v>13169</v>
      </c>
      <c r="P10884" s="10" t="s">
        <v>66798</v>
      </c>
      <c r="Q10884" s="10" t="s">
        <v>31</v>
      </c>
      <c r="R10884" s="10" t="s">
        <v>13171</v>
      </c>
      <c r="S10884" s="12" t="s">
        <v>13172</v>
      </c>
      <c r="T10884" s="10" t="s">
        <v>66</v>
      </c>
      <c r="U10884" s="12" t="s">
        <v>31</v>
      </c>
      <c r="V10884" s="10" t="s">
        <v>66882</v>
      </c>
      <c r="W10884" s="10" t="s">
        <v>66794</v>
      </c>
      <c r="X10884" s="13" t="str">
        <f>HYPERLINK("https://my.pitchbook.com?p=43186-42P","View People Online")</f>
        <v>View People Online</v>
      </c>
    </row>
    <row r="10885">
      <c r="A10885" s="6" t="s">
        <v>66883</v>
      </c>
      <c r="B10885" s="6" t="s">
        <v>66884</v>
      </c>
      <c r="C10885" s="6" t="s">
        <v>1437</v>
      </c>
      <c r="D10885" s="6" t="s">
        <v>66885</v>
      </c>
      <c r="E10885" s="6" t="s">
        <v>66886</v>
      </c>
      <c r="F10885" s="6" t="s">
        <v>189</v>
      </c>
      <c r="G10885" s="6" t="s">
        <v>66887</v>
      </c>
      <c r="H10885" s="7" t="s">
        <v>31</v>
      </c>
      <c r="I10885" s="7">
        <v>5.0</v>
      </c>
      <c r="J10885" s="7">
        <v>1.0</v>
      </c>
      <c r="K10885" s="7">
        <v>3.0</v>
      </c>
      <c r="L10885" s="8" t="s">
        <v>31</v>
      </c>
      <c r="M10885" s="6" t="s">
        <v>66888</v>
      </c>
      <c r="N10885" s="6" t="s">
        <v>155</v>
      </c>
      <c r="O10885" s="8" t="s">
        <v>156</v>
      </c>
      <c r="P10885" s="6" t="s">
        <v>31</v>
      </c>
      <c r="Q10885" s="6" t="s">
        <v>31</v>
      </c>
      <c r="R10885" s="6" t="s">
        <v>64</v>
      </c>
      <c r="S10885" s="8" t="s">
        <v>31</v>
      </c>
      <c r="T10885" s="6" t="s">
        <v>66</v>
      </c>
      <c r="U10885" s="8" t="s">
        <v>31</v>
      </c>
      <c r="V10885" s="6" t="s">
        <v>196</v>
      </c>
      <c r="W10885" s="6" t="s">
        <v>66886</v>
      </c>
      <c r="X10885" s="9" t="str">
        <f>HYPERLINK("https://my.pitchbook.com?p=161053-93P","View People Online")</f>
        <v>View People Online</v>
      </c>
    </row>
    <row r="10886">
      <c r="A10886" s="2" t="s">
        <v>66889</v>
      </c>
      <c r="B10886" s="2" t="s">
        <v>66890</v>
      </c>
      <c r="C10886" s="2" t="s">
        <v>47272</v>
      </c>
      <c r="D10886" s="2" t="s">
        <v>66891</v>
      </c>
      <c r="E10886" s="2" t="s">
        <v>66886</v>
      </c>
      <c r="F10886" s="2" t="s">
        <v>189</v>
      </c>
      <c r="G10886" s="2" t="s">
        <v>66892</v>
      </c>
      <c r="H10886" s="3" t="s">
        <v>31</v>
      </c>
      <c r="I10886" s="3">
        <v>1.0</v>
      </c>
      <c r="J10886" s="3">
        <v>1.0</v>
      </c>
      <c r="K10886" s="3" t="s">
        <v>31</v>
      </c>
      <c r="L10886" s="4" t="s">
        <v>31</v>
      </c>
      <c r="M10886" s="2" t="s">
        <v>66893</v>
      </c>
      <c r="N10886" s="2" t="s">
        <v>155</v>
      </c>
      <c r="O10886" s="4" t="s">
        <v>156</v>
      </c>
      <c r="P10886" s="2" t="s">
        <v>31</v>
      </c>
      <c r="Q10886" s="2" t="s">
        <v>31</v>
      </c>
      <c r="R10886" s="2" t="s">
        <v>64</v>
      </c>
      <c r="S10886" s="4" t="s">
        <v>31</v>
      </c>
      <c r="T10886" s="2" t="s">
        <v>66</v>
      </c>
      <c r="U10886" s="4" t="s">
        <v>31</v>
      </c>
      <c r="V10886" s="2" t="s">
        <v>196</v>
      </c>
      <c r="W10886" s="2" t="s">
        <v>66886</v>
      </c>
      <c r="X10886" s="5" t="str">
        <f>HYPERLINK("https://my.pitchbook.com?p=321676-39P","View People Online")</f>
        <v>View People Online</v>
      </c>
    </row>
    <row r="10887">
      <c r="A10887" s="14" t="s">
        <v>66894</v>
      </c>
      <c r="B10887" s="14" t="s">
        <v>66895</v>
      </c>
      <c r="C10887" s="14" t="s">
        <v>226</v>
      </c>
      <c r="D10887" s="14" t="s">
        <v>1266</v>
      </c>
      <c r="E10887" s="14" t="s">
        <v>66886</v>
      </c>
      <c r="F10887" s="14" t="s">
        <v>189</v>
      </c>
      <c r="G10887" s="14" t="s">
        <v>66896</v>
      </c>
      <c r="H10887" s="15" t="s">
        <v>31</v>
      </c>
      <c r="I10887" s="15">
        <v>2.0</v>
      </c>
      <c r="J10887" s="15">
        <v>2.0</v>
      </c>
      <c r="K10887" s="15" t="s">
        <v>31</v>
      </c>
      <c r="L10887" s="16" t="s">
        <v>31</v>
      </c>
      <c r="M10887" s="14" t="s">
        <v>66897</v>
      </c>
      <c r="N10887" s="14" t="s">
        <v>155</v>
      </c>
      <c r="O10887" s="16" t="s">
        <v>156</v>
      </c>
      <c r="P10887" s="14" t="s">
        <v>31</v>
      </c>
      <c r="Q10887" s="14" t="s">
        <v>31</v>
      </c>
      <c r="R10887" s="14" t="s">
        <v>64</v>
      </c>
      <c r="S10887" s="16" t="s">
        <v>31</v>
      </c>
      <c r="T10887" s="14" t="s">
        <v>66</v>
      </c>
      <c r="U10887" s="16" t="s">
        <v>31</v>
      </c>
      <c r="V10887" s="14" t="s">
        <v>196</v>
      </c>
      <c r="W10887" s="14" t="s">
        <v>66886</v>
      </c>
      <c r="X10887" s="17" t="str">
        <f>HYPERLINK("https://my.pitchbook.com?p=100194-94P","View People Online")</f>
        <v>View People Online</v>
      </c>
    </row>
    <row r="10888">
      <c r="A10888" s="2" t="s">
        <v>66898</v>
      </c>
      <c r="B10888" s="2" t="s">
        <v>66899</v>
      </c>
      <c r="C10888" s="2" t="s">
        <v>66900</v>
      </c>
      <c r="D10888" s="2" t="s">
        <v>56808</v>
      </c>
      <c r="E10888" s="2" t="s">
        <v>66901</v>
      </c>
      <c r="F10888" s="2" t="s">
        <v>114</v>
      </c>
      <c r="G10888" s="2" t="s">
        <v>66902</v>
      </c>
      <c r="H10888" s="3">
        <v>1.0</v>
      </c>
      <c r="I10888" s="3">
        <v>4.0</v>
      </c>
      <c r="J10888" s="3">
        <v>4.0</v>
      </c>
      <c r="K10888" s="3" t="s">
        <v>31</v>
      </c>
      <c r="L10888" s="4" t="s">
        <v>66903</v>
      </c>
      <c r="M10888" s="2" t="s">
        <v>66904</v>
      </c>
      <c r="N10888" s="2" t="s">
        <v>75</v>
      </c>
      <c r="O10888" s="4" t="s">
        <v>76</v>
      </c>
      <c r="P10888" s="2" t="s">
        <v>40061</v>
      </c>
      <c r="Q10888" s="2" t="s">
        <v>31</v>
      </c>
      <c r="R10888" s="2" t="s">
        <v>75</v>
      </c>
      <c r="S10888" s="4" t="s">
        <v>2167</v>
      </c>
      <c r="T10888" s="2" t="s">
        <v>66</v>
      </c>
      <c r="U10888" s="4" t="s">
        <v>31</v>
      </c>
      <c r="V10888" s="2" t="s">
        <v>66905</v>
      </c>
      <c r="W10888" s="2" t="s">
        <v>66906</v>
      </c>
      <c r="X10888" s="5" t="str">
        <f>HYPERLINK("https://my.pitchbook.com?p=230027-59P","View People Online")</f>
        <v>View People Online</v>
      </c>
    </row>
    <row r="10889">
      <c r="A10889" s="6" t="s">
        <v>66907</v>
      </c>
      <c r="B10889" s="6" t="s">
        <v>66908</v>
      </c>
      <c r="C10889" s="6" t="s">
        <v>1437</v>
      </c>
      <c r="D10889" s="6" t="s">
        <v>66909</v>
      </c>
      <c r="E10889" s="6" t="s">
        <v>66901</v>
      </c>
      <c r="F10889" s="6" t="s">
        <v>29</v>
      </c>
      <c r="G10889" s="6" t="s">
        <v>66910</v>
      </c>
      <c r="H10889" s="7" t="s">
        <v>31</v>
      </c>
      <c r="I10889" s="7">
        <v>8.0</v>
      </c>
      <c r="J10889" s="7">
        <v>1.0</v>
      </c>
      <c r="K10889" s="7">
        <v>5.0</v>
      </c>
      <c r="L10889" s="8" t="s">
        <v>66911</v>
      </c>
      <c r="M10889" s="6" t="s">
        <v>66912</v>
      </c>
      <c r="N10889" s="6" t="s">
        <v>775</v>
      </c>
      <c r="O10889" s="8" t="s">
        <v>776</v>
      </c>
      <c r="P10889" s="6" t="s">
        <v>66913</v>
      </c>
      <c r="Q10889" s="6" t="s">
        <v>31</v>
      </c>
      <c r="R10889" s="6" t="s">
        <v>64</v>
      </c>
      <c r="S10889" s="8" t="s">
        <v>779</v>
      </c>
      <c r="T10889" s="6" t="s">
        <v>66</v>
      </c>
      <c r="U10889" s="8" t="s">
        <v>31</v>
      </c>
      <c r="V10889" s="6" t="s">
        <v>29</v>
      </c>
      <c r="W10889" s="6" t="s">
        <v>66901</v>
      </c>
      <c r="X10889" s="9" t="str">
        <f>HYPERLINK("https://my.pitchbook.com?p=204872-77P","View People Online")</f>
        <v>View People Online</v>
      </c>
    </row>
    <row r="10890">
      <c r="A10890" s="10" t="s">
        <v>66914</v>
      </c>
      <c r="B10890" s="10" t="s">
        <v>66915</v>
      </c>
      <c r="C10890" s="10" t="s">
        <v>16686</v>
      </c>
      <c r="D10890" s="10" t="s">
        <v>14513</v>
      </c>
      <c r="E10890" s="10" t="s">
        <v>66901</v>
      </c>
      <c r="F10890" s="10" t="s">
        <v>189</v>
      </c>
      <c r="G10890" s="10" t="s">
        <v>66916</v>
      </c>
      <c r="H10890" s="11">
        <v>10.0</v>
      </c>
      <c r="I10890" s="11">
        <v>102.0</v>
      </c>
      <c r="J10890" s="11">
        <v>1.0</v>
      </c>
      <c r="K10890" s="11">
        <v>72.0</v>
      </c>
      <c r="L10890" s="12" t="s">
        <v>66911</v>
      </c>
      <c r="M10890" s="10" t="s">
        <v>66917</v>
      </c>
      <c r="N10890" s="10" t="s">
        <v>775</v>
      </c>
      <c r="O10890" s="12" t="s">
        <v>776</v>
      </c>
      <c r="P10890" s="10" t="s">
        <v>66913</v>
      </c>
      <c r="Q10890" s="10" t="s">
        <v>31</v>
      </c>
      <c r="R10890" s="10" t="s">
        <v>64</v>
      </c>
      <c r="S10890" s="12" t="s">
        <v>779</v>
      </c>
      <c r="T10890" s="10" t="s">
        <v>66</v>
      </c>
      <c r="U10890" s="12" t="s">
        <v>31</v>
      </c>
      <c r="V10890" s="10" t="s">
        <v>196</v>
      </c>
      <c r="W10890" s="10" t="s">
        <v>66901</v>
      </c>
      <c r="X10890" s="13" t="str">
        <f>HYPERLINK("https://my.pitchbook.com?p=13958-38P","View People Online")</f>
        <v>View People Online</v>
      </c>
    </row>
    <row r="10891">
      <c r="A10891" s="14" t="s">
        <v>66918</v>
      </c>
      <c r="B10891" s="14" t="s">
        <v>66919</v>
      </c>
      <c r="C10891" s="14" t="s">
        <v>4351</v>
      </c>
      <c r="D10891" s="14" t="s">
        <v>66920</v>
      </c>
      <c r="E10891" s="14" t="s">
        <v>66901</v>
      </c>
      <c r="F10891" s="14" t="s">
        <v>502</v>
      </c>
      <c r="G10891" s="14" t="s">
        <v>66921</v>
      </c>
      <c r="H10891" s="15" t="s">
        <v>31</v>
      </c>
      <c r="I10891" s="15">
        <v>1.0</v>
      </c>
      <c r="J10891" s="15">
        <v>1.0</v>
      </c>
      <c r="K10891" s="15" t="s">
        <v>31</v>
      </c>
      <c r="L10891" s="16" t="s">
        <v>66911</v>
      </c>
      <c r="M10891" s="14" t="s">
        <v>66922</v>
      </c>
      <c r="N10891" s="14" t="s">
        <v>775</v>
      </c>
      <c r="O10891" s="16" t="s">
        <v>776</v>
      </c>
      <c r="P10891" s="14" t="s">
        <v>66913</v>
      </c>
      <c r="Q10891" s="14" t="s">
        <v>31</v>
      </c>
      <c r="R10891" s="14" t="s">
        <v>64</v>
      </c>
      <c r="S10891" s="16" t="s">
        <v>779</v>
      </c>
      <c r="T10891" s="14" t="s">
        <v>66</v>
      </c>
      <c r="U10891" s="16" t="s">
        <v>31</v>
      </c>
      <c r="V10891" s="14" t="s">
        <v>502</v>
      </c>
      <c r="W10891" s="14" t="s">
        <v>66901</v>
      </c>
      <c r="X10891" s="17" t="str">
        <f>HYPERLINK("https://my.pitchbook.com?p=12818-53P","View People Online")</f>
        <v>View People Online</v>
      </c>
    </row>
    <row r="10892">
      <c r="A10892" s="10" t="s">
        <v>66923</v>
      </c>
      <c r="B10892" s="10" t="s">
        <v>66924</v>
      </c>
      <c r="C10892" s="10" t="s">
        <v>343</v>
      </c>
      <c r="D10892" s="10" t="s">
        <v>66925</v>
      </c>
      <c r="E10892" s="10" t="s">
        <v>66901</v>
      </c>
      <c r="F10892" s="10" t="s">
        <v>29</v>
      </c>
      <c r="G10892" s="10" t="s">
        <v>66926</v>
      </c>
      <c r="H10892" s="11">
        <v>3.0</v>
      </c>
      <c r="I10892" s="11">
        <v>39.0</v>
      </c>
      <c r="J10892" s="11">
        <v>1.0</v>
      </c>
      <c r="K10892" s="11">
        <v>24.0</v>
      </c>
      <c r="L10892" s="12" t="s">
        <v>66911</v>
      </c>
      <c r="M10892" s="10" t="s">
        <v>66927</v>
      </c>
      <c r="N10892" s="10" t="s">
        <v>775</v>
      </c>
      <c r="O10892" s="12" t="s">
        <v>776</v>
      </c>
      <c r="P10892" s="10" t="s">
        <v>66913</v>
      </c>
      <c r="Q10892" s="10" t="s">
        <v>31</v>
      </c>
      <c r="R10892" s="10" t="s">
        <v>64</v>
      </c>
      <c r="S10892" s="12" t="s">
        <v>779</v>
      </c>
      <c r="T10892" s="10" t="s">
        <v>66</v>
      </c>
      <c r="U10892" s="12" t="s">
        <v>31</v>
      </c>
      <c r="V10892" s="10" t="s">
        <v>29</v>
      </c>
      <c r="W10892" s="10" t="s">
        <v>66901</v>
      </c>
      <c r="X10892" s="13" t="str">
        <f>HYPERLINK("https://my.pitchbook.com?p=41320-00P","View People Online")</f>
        <v>View People Online</v>
      </c>
    </row>
    <row r="10893">
      <c r="A10893" s="14" t="s">
        <v>66928</v>
      </c>
      <c r="B10893" s="14" t="s">
        <v>66929</v>
      </c>
      <c r="C10893" s="14" t="s">
        <v>66930</v>
      </c>
      <c r="D10893" s="14" t="s">
        <v>66931</v>
      </c>
      <c r="E10893" s="14" t="s">
        <v>66901</v>
      </c>
      <c r="F10893" s="14" t="s">
        <v>1134</v>
      </c>
      <c r="G10893" s="14" t="s">
        <v>66932</v>
      </c>
      <c r="H10893" s="15" t="s">
        <v>31</v>
      </c>
      <c r="I10893" s="15">
        <v>1.0</v>
      </c>
      <c r="J10893" s="15">
        <v>1.0</v>
      </c>
      <c r="K10893" s="15" t="s">
        <v>31</v>
      </c>
      <c r="L10893" s="16" t="s">
        <v>66911</v>
      </c>
      <c r="M10893" s="14" t="s">
        <v>66933</v>
      </c>
      <c r="N10893" s="14" t="s">
        <v>775</v>
      </c>
      <c r="O10893" s="16" t="s">
        <v>776</v>
      </c>
      <c r="P10893" s="14" t="s">
        <v>66913</v>
      </c>
      <c r="Q10893" s="14" t="s">
        <v>31</v>
      </c>
      <c r="R10893" s="14" t="s">
        <v>64</v>
      </c>
      <c r="S10893" s="16" t="s">
        <v>779</v>
      </c>
      <c r="T10893" s="14" t="s">
        <v>66</v>
      </c>
      <c r="U10893" s="16" t="s">
        <v>31</v>
      </c>
      <c r="V10893" s="14" t="s">
        <v>66934</v>
      </c>
      <c r="W10893" s="14" t="s">
        <v>66901</v>
      </c>
      <c r="X10893" s="17" t="str">
        <f>HYPERLINK("https://my.pitchbook.com?p=343552-15P","View People Online")</f>
        <v>View People Online</v>
      </c>
    </row>
    <row r="10894">
      <c r="A10894" s="10" t="s">
        <v>66935</v>
      </c>
      <c r="B10894" s="10" t="s">
        <v>66936</v>
      </c>
      <c r="C10894" s="10" t="s">
        <v>2388</v>
      </c>
      <c r="D10894" s="10" t="s">
        <v>8594</v>
      </c>
      <c r="E10894" s="10" t="s">
        <v>66901</v>
      </c>
      <c r="F10894" s="10" t="s">
        <v>189</v>
      </c>
      <c r="G10894" s="10" t="s">
        <v>66937</v>
      </c>
      <c r="H10894" s="11">
        <v>15.0</v>
      </c>
      <c r="I10894" s="11">
        <v>81.0</v>
      </c>
      <c r="J10894" s="11">
        <v>1.0</v>
      </c>
      <c r="K10894" s="11">
        <v>54.0</v>
      </c>
      <c r="L10894" s="12" t="s">
        <v>66911</v>
      </c>
      <c r="M10894" s="10" t="s">
        <v>66938</v>
      </c>
      <c r="N10894" s="10" t="s">
        <v>775</v>
      </c>
      <c r="O10894" s="12" t="s">
        <v>776</v>
      </c>
      <c r="P10894" s="10" t="s">
        <v>66913</v>
      </c>
      <c r="Q10894" s="10" t="s">
        <v>31</v>
      </c>
      <c r="R10894" s="10" t="s">
        <v>64</v>
      </c>
      <c r="S10894" s="12" t="s">
        <v>779</v>
      </c>
      <c r="T10894" s="10" t="s">
        <v>66</v>
      </c>
      <c r="U10894" s="12" t="s">
        <v>31</v>
      </c>
      <c r="V10894" s="10" t="s">
        <v>196</v>
      </c>
      <c r="W10894" s="10" t="s">
        <v>66901</v>
      </c>
      <c r="X10894" s="13" t="str">
        <f>HYPERLINK("https://my.pitchbook.com?p=15332-32P","View People Online")</f>
        <v>View People Online</v>
      </c>
    </row>
    <row r="10895">
      <c r="A10895" s="6" t="s">
        <v>66939</v>
      </c>
      <c r="B10895" s="6" t="s">
        <v>66940</v>
      </c>
      <c r="C10895" s="6" t="s">
        <v>21011</v>
      </c>
      <c r="D10895" s="6" t="s">
        <v>66941</v>
      </c>
      <c r="E10895" s="6" t="s">
        <v>66901</v>
      </c>
      <c r="F10895" s="6" t="s">
        <v>1134</v>
      </c>
      <c r="G10895" s="6" t="s">
        <v>66942</v>
      </c>
      <c r="H10895" s="7" t="s">
        <v>31</v>
      </c>
      <c r="I10895" s="7">
        <v>1.0</v>
      </c>
      <c r="J10895" s="7">
        <v>1.0</v>
      </c>
      <c r="K10895" s="7" t="s">
        <v>31</v>
      </c>
      <c r="L10895" s="8" t="s">
        <v>66911</v>
      </c>
      <c r="M10895" s="6" t="s">
        <v>66943</v>
      </c>
      <c r="N10895" s="6" t="s">
        <v>775</v>
      </c>
      <c r="O10895" s="8" t="s">
        <v>776</v>
      </c>
      <c r="P10895" s="6" t="s">
        <v>66913</v>
      </c>
      <c r="Q10895" s="6" t="s">
        <v>31</v>
      </c>
      <c r="R10895" s="6" t="s">
        <v>64</v>
      </c>
      <c r="S10895" s="8" t="s">
        <v>779</v>
      </c>
      <c r="T10895" s="6" t="s">
        <v>66</v>
      </c>
      <c r="U10895" s="8" t="s">
        <v>31</v>
      </c>
      <c r="V10895" s="6" t="s">
        <v>66944</v>
      </c>
      <c r="W10895" s="6" t="s">
        <v>66901</v>
      </c>
      <c r="X10895" s="9" t="str">
        <f>HYPERLINK("https://my.pitchbook.com?p=79665-76P","View People Online")</f>
        <v>View People Online</v>
      </c>
    </row>
    <row r="10896">
      <c r="A10896" s="10" t="s">
        <v>66945</v>
      </c>
      <c r="B10896" s="10" t="s">
        <v>66946</v>
      </c>
      <c r="C10896" s="10" t="s">
        <v>25521</v>
      </c>
      <c r="D10896" s="10" t="s">
        <v>2155</v>
      </c>
      <c r="E10896" s="10" t="s">
        <v>66901</v>
      </c>
      <c r="F10896" s="10" t="s">
        <v>29</v>
      </c>
      <c r="G10896" s="10" t="s">
        <v>66947</v>
      </c>
      <c r="H10896" s="11">
        <v>3.0</v>
      </c>
      <c r="I10896" s="11">
        <v>16.0</v>
      </c>
      <c r="J10896" s="11">
        <v>2.0</v>
      </c>
      <c r="K10896" s="11">
        <v>9.0</v>
      </c>
      <c r="L10896" s="12" t="s">
        <v>66911</v>
      </c>
      <c r="M10896" s="10" t="s">
        <v>66948</v>
      </c>
      <c r="N10896" s="10" t="s">
        <v>775</v>
      </c>
      <c r="O10896" s="12" t="s">
        <v>776</v>
      </c>
      <c r="P10896" s="10" t="s">
        <v>66913</v>
      </c>
      <c r="Q10896" s="10" t="s">
        <v>31</v>
      </c>
      <c r="R10896" s="10" t="s">
        <v>64</v>
      </c>
      <c r="S10896" s="12" t="s">
        <v>779</v>
      </c>
      <c r="T10896" s="10" t="s">
        <v>66</v>
      </c>
      <c r="U10896" s="12" t="s">
        <v>31</v>
      </c>
      <c r="V10896" s="10" t="s">
        <v>29</v>
      </c>
      <c r="W10896" s="10" t="s">
        <v>66901</v>
      </c>
      <c r="X10896" s="13" t="str">
        <f>HYPERLINK("https://my.pitchbook.com?p=128998-09P","View People Online")</f>
        <v>View People Online</v>
      </c>
    </row>
    <row r="10897">
      <c r="A10897" s="14" t="s">
        <v>66949</v>
      </c>
      <c r="B10897" s="14" t="s">
        <v>66950</v>
      </c>
      <c r="C10897" s="14" t="s">
        <v>42624</v>
      </c>
      <c r="D10897" s="14" t="s">
        <v>66951</v>
      </c>
      <c r="E10897" s="14" t="s">
        <v>66901</v>
      </c>
      <c r="F10897" s="14" t="s">
        <v>29</v>
      </c>
      <c r="G10897" s="14" t="s">
        <v>66952</v>
      </c>
      <c r="H10897" s="15" t="s">
        <v>31</v>
      </c>
      <c r="I10897" s="15">
        <v>1.0</v>
      </c>
      <c r="J10897" s="15">
        <v>1.0</v>
      </c>
      <c r="K10897" s="15" t="s">
        <v>31</v>
      </c>
      <c r="L10897" s="16" t="s">
        <v>66953</v>
      </c>
      <c r="M10897" s="14" t="s">
        <v>66954</v>
      </c>
      <c r="N10897" s="14" t="s">
        <v>775</v>
      </c>
      <c r="O10897" s="16" t="s">
        <v>776</v>
      </c>
      <c r="P10897" s="14" t="s">
        <v>66913</v>
      </c>
      <c r="Q10897" s="14" t="s">
        <v>31</v>
      </c>
      <c r="R10897" s="14" t="s">
        <v>64</v>
      </c>
      <c r="S10897" s="16" t="s">
        <v>779</v>
      </c>
      <c r="T10897" s="14" t="s">
        <v>66</v>
      </c>
      <c r="U10897" s="16" t="s">
        <v>31</v>
      </c>
      <c r="V10897" s="14" t="s">
        <v>66955</v>
      </c>
      <c r="W10897" s="14" t="s">
        <v>66901</v>
      </c>
      <c r="X10897" s="17" t="str">
        <f>HYPERLINK("https://my.pitchbook.com?p=50672-89P","View People Online")</f>
        <v>View People Online</v>
      </c>
    </row>
    <row r="10898">
      <c r="A10898" s="10" t="s">
        <v>66956</v>
      </c>
      <c r="B10898" s="10" t="s">
        <v>66957</v>
      </c>
      <c r="C10898" s="10" t="s">
        <v>66958</v>
      </c>
      <c r="D10898" s="10" t="s">
        <v>66959</v>
      </c>
      <c r="E10898" s="10" t="s">
        <v>66901</v>
      </c>
      <c r="F10898" s="10" t="s">
        <v>29</v>
      </c>
      <c r="G10898" s="10" t="s">
        <v>66960</v>
      </c>
      <c r="H10898" s="11" t="s">
        <v>31</v>
      </c>
      <c r="I10898" s="11">
        <v>2.0</v>
      </c>
      <c r="J10898" s="11">
        <v>1.0</v>
      </c>
      <c r="K10898" s="11">
        <v>1.0</v>
      </c>
      <c r="L10898" s="12" t="s">
        <v>66911</v>
      </c>
      <c r="M10898" s="10" t="s">
        <v>66961</v>
      </c>
      <c r="N10898" s="10" t="s">
        <v>775</v>
      </c>
      <c r="O10898" s="12" t="s">
        <v>776</v>
      </c>
      <c r="P10898" s="10" t="s">
        <v>66913</v>
      </c>
      <c r="Q10898" s="10" t="s">
        <v>31</v>
      </c>
      <c r="R10898" s="10" t="s">
        <v>64</v>
      </c>
      <c r="S10898" s="12" t="s">
        <v>779</v>
      </c>
      <c r="T10898" s="10" t="s">
        <v>66</v>
      </c>
      <c r="U10898" s="12" t="s">
        <v>31</v>
      </c>
      <c r="V10898" s="10" t="s">
        <v>29</v>
      </c>
      <c r="W10898" s="10" t="s">
        <v>66901</v>
      </c>
      <c r="X10898" s="13" t="str">
        <f>HYPERLINK("https://my.pitchbook.com?p=320962-42P","View People Online")</f>
        <v>View People Online</v>
      </c>
    </row>
    <row r="10899">
      <c r="A10899" s="6" t="s">
        <v>66962</v>
      </c>
      <c r="B10899" s="6" t="s">
        <v>66963</v>
      </c>
      <c r="C10899" s="6" t="s">
        <v>12548</v>
      </c>
      <c r="D10899" s="6" t="s">
        <v>34220</v>
      </c>
      <c r="E10899" s="6" t="s">
        <v>66901</v>
      </c>
      <c r="F10899" s="6" t="s">
        <v>29</v>
      </c>
      <c r="G10899" s="6" t="s">
        <v>66964</v>
      </c>
      <c r="H10899" s="7">
        <v>4.0</v>
      </c>
      <c r="I10899" s="7">
        <v>19.0</v>
      </c>
      <c r="J10899" s="7">
        <v>1.0</v>
      </c>
      <c r="K10899" s="7">
        <v>12.0</v>
      </c>
      <c r="L10899" s="8" t="s">
        <v>66911</v>
      </c>
      <c r="M10899" s="6" t="s">
        <v>66965</v>
      </c>
      <c r="N10899" s="6" t="s">
        <v>775</v>
      </c>
      <c r="O10899" s="8" t="s">
        <v>776</v>
      </c>
      <c r="P10899" s="6" t="s">
        <v>66913</v>
      </c>
      <c r="Q10899" s="6" t="s">
        <v>31</v>
      </c>
      <c r="R10899" s="6" t="s">
        <v>64</v>
      </c>
      <c r="S10899" s="8" t="s">
        <v>779</v>
      </c>
      <c r="T10899" s="6" t="s">
        <v>66</v>
      </c>
      <c r="U10899" s="8" t="s">
        <v>31</v>
      </c>
      <c r="V10899" s="6" t="s">
        <v>29</v>
      </c>
      <c r="W10899" s="6" t="s">
        <v>66901</v>
      </c>
      <c r="X10899" s="9" t="str">
        <f>HYPERLINK("https://my.pitchbook.com?p=74828-17P","View People Online")</f>
        <v>View People Online</v>
      </c>
    </row>
    <row r="10900">
      <c r="A10900" s="10" t="s">
        <v>66966</v>
      </c>
      <c r="B10900" s="10" t="s">
        <v>66967</v>
      </c>
      <c r="C10900" s="10" t="s">
        <v>36309</v>
      </c>
      <c r="D10900" s="10" t="s">
        <v>5302</v>
      </c>
      <c r="E10900" s="10" t="s">
        <v>66968</v>
      </c>
      <c r="F10900" s="10" t="s">
        <v>1106</v>
      </c>
      <c r="G10900" s="10" t="s">
        <v>66969</v>
      </c>
      <c r="H10900" s="11">
        <v>2.0</v>
      </c>
      <c r="I10900" s="11">
        <v>12.0</v>
      </c>
      <c r="J10900" s="11">
        <v>1.0</v>
      </c>
      <c r="K10900" s="11">
        <v>6.0</v>
      </c>
      <c r="L10900" s="12" t="s">
        <v>31</v>
      </c>
      <c r="M10900" s="10" t="s">
        <v>66970</v>
      </c>
      <c r="N10900" s="10" t="s">
        <v>155</v>
      </c>
      <c r="O10900" s="12" t="s">
        <v>156</v>
      </c>
      <c r="P10900" s="10" t="s">
        <v>31</v>
      </c>
      <c r="Q10900" s="10" t="s">
        <v>31</v>
      </c>
      <c r="R10900" s="10" t="s">
        <v>64</v>
      </c>
      <c r="S10900" s="12" t="s">
        <v>31</v>
      </c>
      <c r="T10900" s="10" t="s">
        <v>66</v>
      </c>
      <c r="U10900" s="12" t="s">
        <v>31</v>
      </c>
      <c r="V10900" s="10" t="s">
        <v>1114</v>
      </c>
      <c r="W10900" s="10" t="s">
        <v>66968</v>
      </c>
      <c r="X10900" s="13" t="str">
        <f>HYPERLINK("https://my.pitchbook.com?p=41283-10P","View People Online")</f>
        <v>View People Online</v>
      </c>
    </row>
    <row r="10901">
      <c r="A10901" s="6" t="s">
        <v>66971</v>
      </c>
      <c r="B10901" s="6" t="s">
        <v>66972</v>
      </c>
      <c r="C10901" s="6" t="s">
        <v>58934</v>
      </c>
      <c r="D10901" s="6" t="s">
        <v>66973</v>
      </c>
      <c r="E10901" s="6" t="s">
        <v>66968</v>
      </c>
      <c r="F10901" s="6" t="s">
        <v>29</v>
      </c>
      <c r="G10901" s="6" t="s">
        <v>66974</v>
      </c>
      <c r="H10901" s="7">
        <v>1.0</v>
      </c>
      <c r="I10901" s="7">
        <v>2.0</v>
      </c>
      <c r="J10901" s="7">
        <v>1.0</v>
      </c>
      <c r="K10901" s="7" t="s">
        <v>31</v>
      </c>
      <c r="L10901" s="8" t="s">
        <v>31</v>
      </c>
      <c r="M10901" s="6" t="s">
        <v>66975</v>
      </c>
      <c r="N10901" s="6" t="s">
        <v>155</v>
      </c>
      <c r="O10901" s="8" t="s">
        <v>156</v>
      </c>
      <c r="P10901" s="6" t="s">
        <v>31</v>
      </c>
      <c r="Q10901" s="6" t="s">
        <v>31</v>
      </c>
      <c r="R10901" s="6" t="s">
        <v>64</v>
      </c>
      <c r="S10901" s="8" t="s">
        <v>31</v>
      </c>
      <c r="T10901" s="6" t="s">
        <v>66</v>
      </c>
      <c r="U10901" s="8" t="s">
        <v>31</v>
      </c>
      <c r="V10901" s="6" t="s">
        <v>29</v>
      </c>
      <c r="W10901" s="6" t="s">
        <v>66968</v>
      </c>
      <c r="X10901" s="9" t="str">
        <f>HYPERLINK("https://my.pitchbook.com?p=203610-79P","View People Online")</f>
        <v>View People Online</v>
      </c>
    </row>
    <row r="10902">
      <c r="A10902" s="2" t="s">
        <v>66976</v>
      </c>
      <c r="B10902" s="2" t="s">
        <v>66977</v>
      </c>
      <c r="C10902" s="2" t="s">
        <v>934</v>
      </c>
      <c r="D10902" s="2" t="s">
        <v>23503</v>
      </c>
      <c r="E10902" s="2" t="s">
        <v>66968</v>
      </c>
      <c r="F10902" s="2" t="s">
        <v>1106</v>
      </c>
      <c r="G10902" s="2" t="s">
        <v>66978</v>
      </c>
      <c r="H10902" s="3">
        <v>8.0</v>
      </c>
      <c r="I10902" s="3">
        <v>40.0</v>
      </c>
      <c r="J10902" s="3">
        <v>1.0</v>
      </c>
      <c r="K10902" s="3">
        <v>28.0</v>
      </c>
      <c r="L10902" s="4" t="s">
        <v>66979</v>
      </c>
      <c r="M10902" s="2" t="s">
        <v>66980</v>
      </c>
      <c r="N10902" s="2" t="s">
        <v>155</v>
      </c>
      <c r="O10902" s="4" t="s">
        <v>156</v>
      </c>
      <c r="P10902" s="2" t="s">
        <v>31</v>
      </c>
      <c r="Q10902" s="2" t="s">
        <v>31</v>
      </c>
      <c r="R10902" s="2" t="s">
        <v>64</v>
      </c>
      <c r="S10902" s="4" t="s">
        <v>31</v>
      </c>
      <c r="T10902" s="2" t="s">
        <v>66</v>
      </c>
      <c r="U10902" s="4" t="s">
        <v>31</v>
      </c>
      <c r="V10902" s="2" t="s">
        <v>1114</v>
      </c>
      <c r="W10902" s="2" t="s">
        <v>66968</v>
      </c>
      <c r="X10902" s="5" t="str">
        <f>HYPERLINK("https://my.pitchbook.com?p=13118-32P","View People Online")</f>
        <v>View People Online</v>
      </c>
    </row>
    <row r="10903">
      <c r="A10903" s="6" t="s">
        <v>66981</v>
      </c>
      <c r="B10903" s="6" t="s">
        <v>66982</v>
      </c>
      <c r="C10903" s="6" t="s">
        <v>8834</v>
      </c>
      <c r="D10903" s="6" t="s">
        <v>66983</v>
      </c>
      <c r="E10903" s="6" t="s">
        <v>66984</v>
      </c>
      <c r="F10903" s="6" t="s">
        <v>1106</v>
      </c>
      <c r="G10903" s="6" t="s">
        <v>66985</v>
      </c>
      <c r="H10903" s="7">
        <v>2.0</v>
      </c>
      <c r="I10903" s="7">
        <v>15.0</v>
      </c>
      <c r="J10903" s="7">
        <v>2.0</v>
      </c>
      <c r="K10903" s="7">
        <v>9.0</v>
      </c>
      <c r="L10903" s="8" t="s">
        <v>66986</v>
      </c>
      <c r="M10903" s="6" t="s">
        <v>66987</v>
      </c>
      <c r="N10903" s="6" t="s">
        <v>1181</v>
      </c>
      <c r="O10903" s="8" t="s">
        <v>1182</v>
      </c>
      <c r="P10903" s="6" t="s">
        <v>66988</v>
      </c>
      <c r="Q10903" s="6" t="s">
        <v>12561</v>
      </c>
      <c r="R10903" s="6" t="s">
        <v>1185</v>
      </c>
      <c r="S10903" s="8" t="s">
        <v>6739</v>
      </c>
      <c r="T10903" s="6" t="s">
        <v>66</v>
      </c>
      <c r="U10903" s="8" t="s">
        <v>31</v>
      </c>
      <c r="V10903" s="6" t="s">
        <v>1114</v>
      </c>
      <c r="W10903" s="6" t="s">
        <v>66984</v>
      </c>
      <c r="X10903" s="9" t="str">
        <f>HYPERLINK("https://my.pitchbook.com?p=39810-07P","View People Online")</f>
        <v>View People Online</v>
      </c>
    </row>
    <row r="10904">
      <c r="A10904" s="2" t="s">
        <v>66989</v>
      </c>
      <c r="B10904" s="2" t="s">
        <v>66990</v>
      </c>
      <c r="C10904" s="2" t="s">
        <v>928</v>
      </c>
      <c r="D10904" s="2" t="s">
        <v>66991</v>
      </c>
      <c r="E10904" s="2" t="s">
        <v>66984</v>
      </c>
      <c r="F10904" s="2" t="s">
        <v>152</v>
      </c>
      <c r="G10904" s="2" t="s">
        <v>66992</v>
      </c>
      <c r="H10904" s="3">
        <v>2.0</v>
      </c>
      <c r="I10904" s="3">
        <v>5.0</v>
      </c>
      <c r="J10904" s="3">
        <v>2.0</v>
      </c>
      <c r="K10904" s="3">
        <v>1.0</v>
      </c>
      <c r="L10904" s="4" t="s">
        <v>66986</v>
      </c>
      <c r="M10904" s="2" t="s">
        <v>66993</v>
      </c>
      <c r="N10904" s="2" t="s">
        <v>1181</v>
      </c>
      <c r="O10904" s="4" t="s">
        <v>1182</v>
      </c>
      <c r="P10904" s="2" t="s">
        <v>66988</v>
      </c>
      <c r="Q10904" s="2" t="s">
        <v>12561</v>
      </c>
      <c r="R10904" s="2" t="s">
        <v>1185</v>
      </c>
      <c r="S10904" s="4" t="s">
        <v>6739</v>
      </c>
      <c r="T10904" s="2" t="s">
        <v>66</v>
      </c>
      <c r="U10904" s="4" t="s">
        <v>31</v>
      </c>
      <c r="V10904" s="2" t="s">
        <v>157</v>
      </c>
      <c r="W10904" s="2" t="s">
        <v>66984</v>
      </c>
      <c r="X10904" s="5" t="str">
        <f>HYPERLINK("https://my.pitchbook.com?p=64728-91P","View People Online")</f>
        <v>View People Online</v>
      </c>
    </row>
    <row r="10905">
      <c r="A10905" s="6" t="s">
        <v>66994</v>
      </c>
      <c r="B10905" s="6" t="s">
        <v>66995</v>
      </c>
      <c r="C10905" s="6" t="s">
        <v>1697</v>
      </c>
      <c r="D10905" s="6" t="s">
        <v>66991</v>
      </c>
      <c r="E10905" s="6" t="s">
        <v>66984</v>
      </c>
      <c r="F10905" s="6" t="s">
        <v>152</v>
      </c>
      <c r="G10905" s="6" t="s">
        <v>66996</v>
      </c>
      <c r="H10905" s="7" t="s">
        <v>31</v>
      </c>
      <c r="I10905" s="7">
        <v>1.0</v>
      </c>
      <c r="J10905" s="7">
        <v>1.0</v>
      </c>
      <c r="K10905" s="7" t="s">
        <v>31</v>
      </c>
      <c r="L10905" s="8" t="s">
        <v>66986</v>
      </c>
      <c r="M10905" s="6" t="s">
        <v>66997</v>
      </c>
      <c r="N10905" s="6" t="s">
        <v>1181</v>
      </c>
      <c r="O10905" s="8" t="s">
        <v>1182</v>
      </c>
      <c r="P10905" s="6" t="s">
        <v>66988</v>
      </c>
      <c r="Q10905" s="6" t="s">
        <v>12561</v>
      </c>
      <c r="R10905" s="6" t="s">
        <v>1185</v>
      </c>
      <c r="S10905" s="8" t="s">
        <v>6739</v>
      </c>
      <c r="T10905" s="6" t="s">
        <v>66</v>
      </c>
      <c r="U10905" s="8" t="s">
        <v>31</v>
      </c>
      <c r="V10905" s="6" t="s">
        <v>157</v>
      </c>
      <c r="W10905" s="6" t="s">
        <v>66984</v>
      </c>
      <c r="X10905" s="9" t="str">
        <f>HYPERLINK("https://my.pitchbook.com?p=234899-92P","View People Online")</f>
        <v>View People Online</v>
      </c>
    </row>
    <row r="10906">
      <c r="A10906" s="2" t="s">
        <v>66998</v>
      </c>
      <c r="B10906" s="2" t="s">
        <v>66999</v>
      </c>
      <c r="C10906" s="2" t="s">
        <v>568</v>
      </c>
      <c r="D10906" s="2" t="s">
        <v>67000</v>
      </c>
      <c r="E10906" s="2" t="s">
        <v>26955</v>
      </c>
      <c r="F10906" s="2" t="s">
        <v>2731</v>
      </c>
      <c r="G10906" s="2" t="s">
        <v>67001</v>
      </c>
      <c r="H10906" s="3" t="s">
        <v>31</v>
      </c>
      <c r="I10906" s="3">
        <v>1.0</v>
      </c>
      <c r="J10906" s="3" t="s">
        <v>31</v>
      </c>
      <c r="K10906" s="3" t="s">
        <v>31</v>
      </c>
      <c r="L10906" s="4" t="s">
        <v>67002</v>
      </c>
      <c r="M10906" s="2" t="s">
        <v>31</v>
      </c>
      <c r="N10906" s="2" t="s">
        <v>2478</v>
      </c>
      <c r="O10906" s="4" t="s">
        <v>7332</v>
      </c>
      <c r="P10906" s="2" t="s">
        <v>67003</v>
      </c>
      <c r="Q10906" s="2" t="s">
        <v>31</v>
      </c>
      <c r="R10906" s="2" t="s">
        <v>7335</v>
      </c>
      <c r="S10906" s="4" t="s">
        <v>7336</v>
      </c>
      <c r="T10906" s="2" t="s">
        <v>5484</v>
      </c>
      <c r="U10906" s="4" t="s">
        <v>31</v>
      </c>
      <c r="V10906" s="2" t="s">
        <v>2731</v>
      </c>
      <c r="W10906" s="2" t="s">
        <v>26955</v>
      </c>
      <c r="X10906" s="5" t="str">
        <f>HYPERLINK("https://my.pitchbook.com?p=423132-22P","View People Online")</f>
        <v>View People Online</v>
      </c>
    </row>
    <row r="10907">
      <c r="A10907" s="6" t="s">
        <v>67004</v>
      </c>
      <c r="B10907" s="6" t="s">
        <v>67005</v>
      </c>
      <c r="C10907" s="6" t="s">
        <v>186</v>
      </c>
      <c r="D10907" s="6" t="s">
        <v>67006</v>
      </c>
      <c r="E10907" s="6" t="s">
        <v>26955</v>
      </c>
      <c r="F10907" s="6" t="s">
        <v>201</v>
      </c>
      <c r="G10907" s="6" t="s">
        <v>67007</v>
      </c>
      <c r="H10907" s="7" t="s">
        <v>31</v>
      </c>
      <c r="I10907" s="7">
        <v>1.0</v>
      </c>
      <c r="J10907" s="7">
        <v>1.0</v>
      </c>
      <c r="K10907" s="7" t="s">
        <v>31</v>
      </c>
      <c r="L10907" s="8" t="s">
        <v>31</v>
      </c>
      <c r="M10907" s="6" t="s">
        <v>31</v>
      </c>
      <c r="N10907" s="6" t="s">
        <v>1442</v>
      </c>
      <c r="O10907" s="8" t="s">
        <v>1443</v>
      </c>
      <c r="P10907" s="6" t="s">
        <v>67008</v>
      </c>
      <c r="Q10907" s="6" t="s">
        <v>31</v>
      </c>
      <c r="R10907" s="6" t="s">
        <v>1277</v>
      </c>
      <c r="S10907" s="8" t="s">
        <v>14618</v>
      </c>
      <c r="T10907" s="6" t="s">
        <v>66</v>
      </c>
      <c r="U10907" s="8" t="s">
        <v>31</v>
      </c>
      <c r="V10907" s="6" t="s">
        <v>41667</v>
      </c>
      <c r="W10907" s="6" t="s">
        <v>26955</v>
      </c>
      <c r="X10907" s="9" t="str">
        <f>HYPERLINK("https://my.pitchbook.com?p=383429-35P","View People Online")</f>
        <v>View People Online</v>
      </c>
    </row>
    <row r="10908">
      <c r="A10908" s="10" t="s">
        <v>67009</v>
      </c>
      <c r="B10908" s="10" t="s">
        <v>67010</v>
      </c>
      <c r="C10908" s="10" t="s">
        <v>8397</v>
      </c>
      <c r="D10908" s="10" t="s">
        <v>34663</v>
      </c>
      <c r="E10908" s="10" t="s">
        <v>26955</v>
      </c>
      <c r="F10908" s="10" t="s">
        <v>548</v>
      </c>
      <c r="G10908" s="10" t="s">
        <v>67011</v>
      </c>
      <c r="H10908" s="11" t="s">
        <v>31</v>
      </c>
      <c r="I10908" s="11">
        <v>1.0</v>
      </c>
      <c r="J10908" s="11">
        <v>1.0</v>
      </c>
      <c r="K10908" s="11" t="s">
        <v>31</v>
      </c>
      <c r="L10908" s="12" t="s">
        <v>67012</v>
      </c>
      <c r="M10908" s="10" t="s">
        <v>67013</v>
      </c>
      <c r="N10908" s="10" t="s">
        <v>2478</v>
      </c>
      <c r="O10908" s="12" t="s">
        <v>7332</v>
      </c>
      <c r="P10908" s="10" t="s">
        <v>67003</v>
      </c>
      <c r="Q10908" s="10" t="s">
        <v>31</v>
      </c>
      <c r="R10908" s="10" t="s">
        <v>7335</v>
      </c>
      <c r="S10908" s="12" t="s">
        <v>7336</v>
      </c>
      <c r="T10908" s="10" t="s">
        <v>5484</v>
      </c>
      <c r="U10908" s="12" t="s">
        <v>31</v>
      </c>
      <c r="V10908" s="10" t="s">
        <v>67014</v>
      </c>
      <c r="W10908" s="10" t="s">
        <v>26955</v>
      </c>
      <c r="X10908" s="13" t="str">
        <f>HYPERLINK("https://my.pitchbook.com?p=369105-31P","View People Online")</f>
        <v>View People Online</v>
      </c>
    </row>
    <row r="10909">
      <c r="A10909" s="14" t="s">
        <v>67015</v>
      </c>
      <c r="B10909" s="14" t="s">
        <v>67016</v>
      </c>
      <c r="C10909" s="14" t="s">
        <v>45545</v>
      </c>
      <c r="D10909" s="14" t="s">
        <v>67017</v>
      </c>
      <c r="E10909" s="14" t="s">
        <v>26955</v>
      </c>
      <c r="F10909" s="14" t="s">
        <v>548</v>
      </c>
      <c r="G10909" s="14" t="s">
        <v>67018</v>
      </c>
      <c r="H10909" s="15" t="s">
        <v>31</v>
      </c>
      <c r="I10909" s="15">
        <v>1.0</v>
      </c>
      <c r="J10909" s="15">
        <v>1.0</v>
      </c>
      <c r="K10909" s="15" t="s">
        <v>31</v>
      </c>
      <c r="L10909" s="16" t="s">
        <v>67002</v>
      </c>
      <c r="M10909" s="14" t="s">
        <v>67019</v>
      </c>
      <c r="N10909" s="14" t="s">
        <v>2478</v>
      </c>
      <c r="O10909" s="16" t="s">
        <v>7332</v>
      </c>
      <c r="P10909" s="14" t="s">
        <v>67003</v>
      </c>
      <c r="Q10909" s="14" t="s">
        <v>31</v>
      </c>
      <c r="R10909" s="14" t="s">
        <v>7335</v>
      </c>
      <c r="S10909" s="16" t="s">
        <v>7336</v>
      </c>
      <c r="T10909" s="14" t="s">
        <v>5484</v>
      </c>
      <c r="U10909" s="16" t="s">
        <v>31</v>
      </c>
      <c r="V10909" s="14" t="s">
        <v>67020</v>
      </c>
      <c r="W10909" s="14" t="s">
        <v>26955</v>
      </c>
      <c r="X10909" s="17" t="str">
        <f>HYPERLINK("https://my.pitchbook.com?p=369105-49P","View People Online")</f>
        <v>View People Online</v>
      </c>
    </row>
    <row r="10910">
      <c r="A10910" s="10" t="s">
        <v>67021</v>
      </c>
      <c r="B10910" s="10" t="s">
        <v>67022</v>
      </c>
      <c r="C10910" s="10" t="s">
        <v>67023</v>
      </c>
      <c r="D10910" s="10" t="s">
        <v>67024</v>
      </c>
      <c r="E10910" s="10" t="s">
        <v>26955</v>
      </c>
      <c r="F10910" s="10" t="s">
        <v>1922</v>
      </c>
      <c r="G10910" s="10" t="s">
        <v>67025</v>
      </c>
      <c r="H10910" s="11" t="s">
        <v>31</v>
      </c>
      <c r="I10910" s="11">
        <v>1.0</v>
      </c>
      <c r="J10910" s="11">
        <v>1.0</v>
      </c>
      <c r="K10910" s="11" t="s">
        <v>31</v>
      </c>
      <c r="L10910" s="12" t="s">
        <v>67002</v>
      </c>
      <c r="M10910" s="10" t="s">
        <v>67026</v>
      </c>
      <c r="N10910" s="10" t="s">
        <v>2478</v>
      </c>
      <c r="O10910" s="12" t="s">
        <v>7332</v>
      </c>
      <c r="P10910" s="10" t="s">
        <v>67003</v>
      </c>
      <c r="Q10910" s="10" t="s">
        <v>31</v>
      </c>
      <c r="R10910" s="10" t="s">
        <v>7335</v>
      </c>
      <c r="S10910" s="12" t="s">
        <v>7336</v>
      </c>
      <c r="T10910" s="10" t="s">
        <v>5484</v>
      </c>
      <c r="U10910" s="12" t="s">
        <v>31</v>
      </c>
      <c r="V10910" s="10" t="s">
        <v>67027</v>
      </c>
      <c r="W10910" s="10" t="s">
        <v>26955</v>
      </c>
      <c r="X10910" s="13" t="str">
        <f>HYPERLINK("https://my.pitchbook.com?p=114774-94P","View People Online")</f>
        <v>View People Online</v>
      </c>
    </row>
    <row r="10911">
      <c r="A10911" s="14" t="s">
        <v>67028</v>
      </c>
      <c r="B10911" s="14" t="s">
        <v>67029</v>
      </c>
      <c r="C10911" s="14" t="s">
        <v>12581</v>
      </c>
      <c r="D10911" s="14" t="s">
        <v>67030</v>
      </c>
      <c r="E10911" s="14" t="s">
        <v>26955</v>
      </c>
      <c r="F10911" s="14" t="s">
        <v>1801</v>
      </c>
      <c r="G10911" s="14" t="s">
        <v>67031</v>
      </c>
      <c r="H10911" s="15" t="s">
        <v>31</v>
      </c>
      <c r="I10911" s="15">
        <v>1.0</v>
      </c>
      <c r="J10911" s="15">
        <v>1.0</v>
      </c>
      <c r="K10911" s="15" t="s">
        <v>31</v>
      </c>
      <c r="L10911" s="16" t="s">
        <v>67002</v>
      </c>
      <c r="M10911" s="14" t="s">
        <v>67032</v>
      </c>
      <c r="N10911" s="14" t="s">
        <v>2478</v>
      </c>
      <c r="O10911" s="16" t="s">
        <v>7332</v>
      </c>
      <c r="P10911" s="14" t="s">
        <v>67003</v>
      </c>
      <c r="Q10911" s="14" t="s">
        <v>31</v>
      </c>
      <c r="R10911" s="14" t="s">
        <v>7335</v>
      </c>
      <c r="S10911" s="16" t="s">
        <v>7336</v>
      </c>
      <c r="T10911" s="14" t="s">
        <v>5484</v>
      </c>
      <c r="U10911" s="16" t="s">
        <v>31</v>
      </c>
      <c r="V10911" s="14" t="s">
        <v>67033</v>
      </c>
      <c r="W10911" s="14" t="s">
        <v>26955</v>
      </c>
      <c r="X10911" s="17" t="str">
        <f>HYPERLINK("https://my.pitchbook.com?p=383429-89P","View People Online")</f>
        <v>View People Online</v>
      </c>
    </row>
    <row r="10912">
      <c r="A10912" s="10" t="s">
        <v>67034</v>
      </c>
      <c r="B10912" s="10" t="s">
        <v>67035</v>
      </c>
      <c r="C10912" s="10" t="s">
        <v>3946</v>
      </c>
      <c r="D10912" s="10" t="s">
        <v>15790</v>
      </c>
      <c r="E10912" s="10" t="s">
        <v>26955</v>
      </c>
      <c r="F10912" s="10" t="s">
        <v>1544</v>
      </c>
      <c r="G10912" s="10" t="s">
        <v>67036</v>
      </c>
      <c r="H10912" s="11" t="s">
        <v>31</v>
      </c>
      <c r="I10912" s="11">
        <v>1.0</v>
      </c>
      <c r="J10912" s="11">
        <v>1.0</v>
      </c>
      <c r="K10912" s="11" t="s">
        <v>31</v>
      </c>
      <c r="L10912" s="12" t="s">
        <v>67002</v>
      </c>
      <c r="M10912" s="10" t="s">
        <v>31</v>
      </c>
      <c r="N10912" s="10" t="s">
        <v>2478</v>
      </c>
      <c r="O10912" s="12" t="s">
        <v>7332</v>
      </c>
      <c r="P10912" s="10" t="s">
        <v>67003</v>
      </c>
      <c r="Q10912" s="10" t="s">
        <v>31</v>
      </c>
      <c r="R10912" s="10" t="s">
        <v>7335</v>
      </c>
      <c r="S10912" s="12" t="s">
        <v>7336</v>
      </c>
      <c r="T10912" s="10" t="s">
        <v>5484</v>
      </c>
      <c r="U10912" s="12" t="s">
        <v>31</v>
      </c>
      <c r="V10912" s="10" t="s">
        <v>1544</v>
      </c>
      <c r="W10912" s="10" t="s">
        <v>26955</v>
      </c>
      <c r="X10912" s="13" t="str">
        <f>HYPERLINK("https://my.pitchbook.com?p=330021-46P","View People Online")</f>
        <v>View People Online</v>
      </c>
    </row>
    <row r="10913">
      <c r="A10913" s="14" t="s">
        <v>67037</v>
      </c>
      <c r="B10913" s="14" t="s">
        <v>67038</v>
      </c>
      <c r="C10913" s="14" t="s">
        <v>724</v>
      </c>
      <c r="D10913" s="14" t="s">
        <v>67039</v>
      </c>
      <c r="E10913" s="14" t="s">
        <v>26955</v>
      </c>
      <c r="F10913" s="14" t="s">
        <v>1922</v>
      </c>
      <c r="G10913" s="14" t="s">
        <v>67040</v>
      </c>
      <c r="H10913" s="15" t="s">
        <v>31</v>
      </c>
      <c r="I10913" s="15">
        <v>1.0</v>
      </c>
      <c r="J10913" s="15">
        <v>1.0</v>
      </c>
      <c r="K10913" s="15" t="s">
        <v>31</v>
      </c>
      <c r="L10913" s="16" t="s">
        <v>67002</v>
      </c>
      <c r="M10913" s="14" t="s">
        <v>31</v>
      </c>
      <c r="N10913" s="14" t="s">
        <v>2478</v>
      </c>
      <c r="O10913" s="16" t="s">
        <v>7332</v>
      </c>
      <c r="P10913" s="14" t="s">
        <v>67003</v>
      </c>
      <c r="Q10913" s="14" t="s">
        <v>31</v>
      </c>
      <c r="R10913" s="14" t="s">
        <v>7335</v>
      </c>
      <c r="S10913" s="16" t="s">
        <v>7336</v>
      </c>
      <c r="T10913" s="14" t="s">
        <v>5484</v>
      </c>
      <c r="U10913" s="16" t="s">
        <v>31</v>
      </c>
      <c r="V10913" s="14" t="s">
        <v>67027</v>
      </c>
      <c r="W10913" s="14" t="s">
        <v>26955</v>
      </c>
      <c r="X10913" s="17" t="str">
        <f>HYPERLINK("https://my.pitchbook.com?p=300470-14P","View People Online")</f>
        <v>View People Online</v>
      </c>
    </row>
    <row r="10914">
      <c r="A10914" s="2" t="s">
        <v>67041</v>
      </c>
      <c r="B10914" s="2" t="s">
        <v>67042</v>
      </c>
      <c r="C10914" s="2" t="s">
        <v>1437</v>
      </c>
      <c r="D10914" s="2" t="s">
        <v>562</v>
      </c>
      <c r="E10914" s="2" t="s">
        <v>26955</v>
      </c>
      <c r="F10914" s="2" t="s">
        <v>548</v>
      </c>
      <c r="G10914" s="2" t="s">
        <v>67043</v>
      </c>
      <c r="H10914" s="3" t="s">
        <v>31</v>
      </c>
      <c r="I10914" s="3">
        <v>1.0</v>
      </c>
      <c r="J10914" s="3">
        <v>1.0</v>
      </c>
      <c r="K10914" s="3" t="s">
        <v>31</v>
      </c>
      <c r="L10914" s="4" t="s">
        <v>67002</v>
      </c>
      <c r="M10914" s="2" t="s">
        <v>31</v>
      </c>
      <c r="N10914" s="2" t="s">
        <v>2478</v>
      </c>
      <c r="O10914" s="4" t="s">
        <v>7332</v>
      </c>
      <c r="P10914" s="2" t="s">
        <v>67003</v>
      </c>
      <c r="Q10914" s="2" t="s">
        <v>31</v>
      </c>
      <c r="R10914" s="2" t="s">
        <v>7335</v>
      </c>
      <c r="S10914" s="4" t="s">
        <v>7336</v>
      </c>
      <c r="T10914" s="2" t="s">
        <v>5484</v>
      </c>
      <c r="U10914" s="4" t="s">
        <v>31</v>
      </c>
      <c r="V10914" s="2" t="s">
        <v>8067</v>
      </c>
      <c r="W10914" s="2" t="s">
        <v>26955</v>
      </c>
      <c r="X10914" s="5" t="str">
        <f>HYPERLINK("https://my.pitchbook.com?p=324180-64P","View People Online")</f>
        <v>View People Online</v>
      </c>
    </row>
    <row r="10915">
      <c r="A10915" s="6" t="s">
        <v>67044</v>
      </c>
      <c r="B10915" s="6" t="s">
        <v>67045</v>
      </c>
      <c r="C10915" s="6" t="s">
        <v>7901</v>
      </c>
      <c r="D10915" s="6" t="s">
        <v>27781</v>
      </c>
      <c r="E10915" s="6" t="s">
        <v>26955</v>
      </c>
      <c r="F10915" s="6" t="s">
        <v>1922</v>
      </c>
      <c r="G10915" s="6" t="s">
        <v>67046</v>
      </c>
      <c r="H10915" s="7" t="s">
        <v>31</v>
      </c>
      <c r="I10915" s="7">
        <v>1.0</v>
      </c>
      <c r="J10915" s="7">
        <v>1.0</v>
      </c>
      <c r="K10915" s="7" t="s">
        <v>31</v>
      </c>
      <c r="L10915" s="8" t="s">
        <v>67002</v>
      </c>
      <c r="M10915" s="6" t="s">
        <v>31</v>
      </c>
      <c r="N10915" s="6" t="s">
        <v>2478</v>
      </c>
      <c r="O10915" s="8" t="s">
        <v>7332</v>
      </c>
      <c r="P10915" s="6" t="s">
        <v>67003</v>
      </c>
      <c r="Q10915" s="6" t="s">
        <v>31</v>
      </c>
      <c r="R10915" s="6" t="s">
        <v>7335</v>
      </c>
      <c r="S10915" s="8" t="s">
        <v>7336</v>
      </c>
      <c r="T10915" s="6" t="s">
        <v>5484</v>
      </c>
      <c r="U10915" s="8" t="s">
        <v>31</v>
      </c>
      <c r="V10915" s="6" t="s">
        <v>67027</v>
      </c>
      <c r="W10915" s="6" t="s">
        <v>26955</v>
      </c>
      <c r="X10915" s="9" t="str">
        <f>HYPERLINK("https://my.pitchbook.com?p=300470-86P","View People Online")</f>
        <v>View People Online</v>
      </c>
    </row>
    <row r="10916">
      <c r="A10916" s="10" t="s">
        <v>48926</v>
      </c>
      <c r="B10916" s="10" t="s">
        <v>48927</v>
      </c>
      <c r="C10916" s="10" t="s">
        <v>305</v>
      </c>
      <c r="D10916" s="10" t="s">
        <v>15869</v>
      </c>
      <c r="E10916" s="10" t="s">
        <v>26955</v>
      </c>
      <c r="F10916" s="10" t="s">
        <v>2731</v>
      </c>
      <c r="G10916" s="10" t="s">
        <v>48928</v>
      </c>
      <c r="H10916" s="11">
        <v>1.0</v>
      </c>
      <c r="I10916" s="11">
        <v>9.0</v>
      </c>
      <c r="J10916" s="11">
        <v>4.0</v>
      </c>
      <c r="K10916" s="11">
        <v>3.0</v>
      </c>
      <c r="L10916" s="12" t="s">
        <v>48929</v>
      </c>
      <c r="M10916" s="10" t="s">
        <v>31</v>
      </c>
      <c r="N10916" s="10" t="s">
        <v>48930</v>
      </c>
      <c r="O10916" s="12" t="s">
        <v>48931</v>
      </c>
      <c r="P10916" s="10" t="s">
        <v>48932</v>
      </c>
      <c r="Q10916" s="10" t="s">
        <v>48933</v>
      </c>
      <c r="R10916" s="10" t="s">
        <v>48934</v>
      </c>
      <c r="S10916" s="12" t="s">
        <v>48935</v>
      </c>
      <c r="T10916" s="10" t="s">
        <v>1209</v>
      </c>
      <c r="U10916" s="12" t="s">
        <v>31</v>
      </c>
      <c r="V10916" s="10" t="s">
        <v>13755</v>
      </c>
      <c r="W10916" s="10" t="s">
        <v>14808</v>
      </c>
      <c r="X10916" s="13" t="str">
        <f>HYPERLINK("https://my.pitchbook.com?p=36384-40P","View People Online")</f>
        <v>View People Online</v>
      </c>
    </row>
    <row r="10917">
      <c r="A10917" s="14" t="s">
        <v>67047</v>
      </c>
      <c r="B10917" s="14" t="s">
        <v>67048</v>
      </c>
      <c r="C10917" s="14" t="s">
        <v>1125</v>
      </c>
      <c r="D10917" s="14" t="s">
        <v>67049</v>
      </c>
      <c r="E10917" s="14" t="s">
        <v>26955</v>
      </c>
      <c r="F10917" s="14" t="s">
        <v>3877</v>
      </c>
      <c r="G10917" s="14" t="s">
        <v>67050</v>
      </c>
      <c r="H10917" s="15" t="s">
        <v>31</v>
      </c>
      <c r="I10917" s="15">
        <v>1.0</v>
      </c>
      <c r="J10917" s="15">
        <v>1.0</v>
      </c>
      <c r="K10917" s="15" t="s">
        <v>31</v>
      </c>
      <c r="L10917" s="16" t="s">
        <v>67002</v>
      </c>
      <c r="M10917" s="14" t="s">
        <v>67051</v>
      </c>
      <c r="N10917" s="14" t="s">
        <v>2478</v>
      </c>
      <c r="O10917" s="16" t="s">
        <v>7332</v>
      </c>
      <c r="P10917" s="14" t="s">
        <v>67003</v>
      </c>
      <c r="Q10917" s="14" t="s">
        <v>31</v>
      </c>
      <c r="R10917" s="14" t="s">
        <v>7335</v>
      </c>
      <c r="S10917" s="16" t="s">
        <v>7336</v>
      </c>
      <c r="T10917" s="14" t="s">
        <v>5484</v>
      </c>
      <c r="U10917" s="16" t="s">
        <v>31</v>
      </c>
      <c r="V10917" s="14" t="s">
        <v>67052</v>
      </c>
      <c r="W10917" s="14" t="s">
        <v>26955</v>
      </c>
      <c r="X10917" s="17" t="str">
        <f>HYPERLINK("https://my.pitchbook.com?p=369107-20P","View People Online")</f>
        <v>View People Online</v>
      </c>
    </row>
    <row r="10918">
      <c r="A10918" s="2" t="s">
        <v>67053</v>
      </c>
      <c r="B10918" s="2" t="s">
        <v>67054</v>
      </c>
      <c r="C10918" s="2" t="s">
        <v>16307</v>
      </c>
      <c r="D10918" s="2" t="s">
        <v>67055</v>
      </c>
      <c r="E10918" s="2" t="s">
        <v>26955</v>
      </c>
      <c r="F10918" s="2" t="s">
        <v>221</v>
      </c>
      <c r="G10918" s="2" t="s">
        <v>67056</v>
      </c>
      <c r="H10918" s="3" t="s">
        <v>31</v>
      </c>
      <c r="I10918" s="3">
        <v>1.0</v>
      </c>
      <c r="J10918" s="3">
        <v>1.0</v>
      </c>
      <c r="K10918" s="3" t="s">
        <v>31</v>
      </c>
      <c r="L10918" s="4" t="s">
        <v>31</v>
      </c>
      <c r="M10918" s="2" t="s">
        <v>67057</v>
      </c>
      <c r="N10918" s="2" t="s">
        <v>1442</v>
      </c>
      <c r="O10918" s="4" t="s">
        <v>1443</v>
      </c>
      <c r="P10918" s="2" t="s">
        <v>67008</v>
      </c>
      <c r="Q10918" s="2" t="s">
        <v>31</v>
      </c>
      <c r="R10918" s="2" t="s">
        <v>1277</v>
      </c>
      <c r="S10918" s="4" t="s">
        <v>14618</v>
      </c>
      <c r="T10918" s="2" t="s">
        <v>66</v>
      </c>
      <c r="U10918" s="4" t="s">
        <v>31</v>
      </c>
      <c r="V10918" s="2" t="s">
        <v>56241</v>
      </c>
      <c r="W10918" s="2" t="s">
        <v>26955</v>
      </c>
      <c r="X10918" s="5" t="str">
        <f>HYPERLINK("https://my.pitchbook.com?p=383430-79P","View People Online")</f>
        <v>View People Online</v>
      </c>
    </row>
    <row r="10919">
      <c r="A10919" s="14" t="s">
        <v>67058</v>
      </c>
      <c r="B10919" s="14" t="s">
        <v>67059</v>
      </c>
      <c r="C10919" s="14" t="s">
        <v>337</v>
      </c>
      <c r="D10919" s="14" t="s">
        <v>67060</v>
      </c>
      <c r="E10919" s="14" t="s">
        <v>26955</v>
      </c>
      <c r="F10919" s="14" t="s">
        <v>120</v>
      </c>
      <c r="G10919" s="14" t="s">
        <v>67061</v>
      </c>
      <c r="H10919" s="15" t="s">
        <v>31</v>
      </c>
      <c r="I10919" s="15">
        <v>1.0</v>
      </c>
      <c r="J10919" s="15">
        <v>1.0</v>
      </c>
      <c r="K10919" s="15" t="s">
        <v>31</v>
      </c>
      <c r="L10919" s="16" t="s">
        <v>67002</v>
      </c>
      <c r="M10919" s="14" t="s">
        <v>67062</v>
      </c>
      <c r="N10919" s="14" t="s">
        <v>2478</v>
      </c>
      <c r="O10919" s="16" t="s">
        <v>7332</v>
      </c>
      <c r="P10919" s="14" t="s">
        <v>67003</v>
      </c>
      <c r="Q10919" s="14" t="s">
        <v>31</v>
      </c>
      <c r="R10919" s="14" t="s">
        <v>7335</v>
      </c>
      <c r="S10919" s="16" t="s">
        <v>7336</v>
      </c>
      <c r="T10919" s="14" t="s">
        <v>5484</v>
      </c>
      <c r="U10919" s="16" t="s">
        <v>31</v>
      </c>
      <c r="V10919" s="14" t="s">
        <v>67063</v>
      </c>
      <c r="W10919" s="14" t="s">
        <v>26955</v>
      </c>
      <c r="X10919" s="17" t="str">
        <f>HYPERLINK("https://my.pitchbook.com?p=369107-47P","View People Online")</f>
        <v>View People Online</v>
      </c>
    </row>
    <row r="10920">
      <c r="A10920" s="2" t="s">
        <v>67064</v>
      </c>
      <c r="B10920" s="2" t="s">
        <v>67065</v>
      </c>
      <c r="C10920" s="2" t="s">
        <v>30748</v>
      </c>
      <c r="D10920" s="2" t="s">
        <v>67066</v>
      </c>
      <c r="E10920" s="2" t="s">
        <v>26955</v>
      </c>
      <c r="F10920" s="2" t="s">
        <v>2731</v>
      </c>
      <c r="G10920" s="2" t="s">
        <v>67067</v>
      </c>
      <c r="H10920" s="3" t="s">
        <v>31</v>
      </c>
      <c r="I10920" s="3">
        <v>1.0</v>
      </c>
      <c r="J10920" s="3" t="s">
        <v>31</v>
      </c>
      <c r="K10920" s="3" t="s">
        <v>31</v>
      </c>
      <c r="L10920" s="4" t="s">
        <v>67002</v>
      </c>
      <c r="M10920" s="2" t="s">
        <v>31</v>
      </c>
      <c r="N10920" s="2" t="s">
        <v>2478</v>
      </c>
      <c r="O10920" s="4" t="s">
        <v>7332</v>
      </c>
      <c r="P10920" s="2" t="s">
        <v>67003</v>
      </c>
      <c r="Q10920" s="2" t="s">
        <v>31</v>
      </c>
      <c r="R10920" s="2" t="s">
        <v>7335</v>
      </c>
      <c r="S10920" s="4" t="s">
        <v>7336</v>
      </c>
      <c r="T10920" s="2" t="s">
        <v>5484</v>
      </c>
      <c r="U10920" s="4" t="s">
        <v>31</v>
      </c>
      <c r="V10920" s="2" t="s">
        <v>2731</v>
      </c>
      <c r="W10920" s="2" t="s">
        <v>26955</v>
      </c>
      <c r="X10920" s="5" t="str">
        <f>HYPERLINK("https://my.pitchbook.com?p=423133-12P","View People Online")</f>
        <v>View People Online</v>
      </c>
    </row>
    <row r="10921">
      <c r="A10921" s="14" t="s">
        <v>67068</v>
      </c>
      <c r="B10921" s="14" t="s">
        <v>67069</v>
      </c>
      <c r="C10921" s="14" t="s">
        <v>18767</v>
      </c>
      <c r="D10921" s="14" t="s">
        <v>67070</v>
      </c>
      <c r="E10921" s="14" t="s">
        <v>26955</v>
      </c>
      <c r="F10921" s="14" t="s">
        <v>1922</v>
      </c>
      <c r="G10921" s="14" t="s">
        <v>67071</v>
      </c>
      <c r="H10921" s="15" t="s">
        <v>31</v>
      </c>
      <c r="I10921" s="15">
        <v>1.0</v>
      </c>
      <c r="J10921" s="15">
        <v>1.0</v>
      </c>
      <c r="K10921" s="15" t="s">
        <v>31</v>
      </c>
      <c r="L10921" s="16" t="s">
        <v>67002</v>
      </c>
      <c r="M10921" s="14" t="s">
        <v>67072</v>
      </c>
      <c r="N10921" s="14" t="s">
        <v>2478</v>
      </c>
      <c r="O10921" s="16" t="s">
        <v>7332</v>
      </c>
      <c r="P10921" s="14" t="s">
        <v>67003</v>
      </c>
      <c r="Q10921" s="14" t="s">
        <v>31</v>
      </c>
      <c r="R10921" s="14" t="s">
        <v>7335</v>
      </c>
      <c r="S10921" s="16" t="s">
        <v>7336</v>
      </c>
      <c r="T10921" s="14" t="s">
        <v>5484</v>
      </c>
      <c r="U10921" s="16" t="s">
        <v>31</v>
      </c>
      <c r="V10921" s="14" t="s">
        <v>67027</v>
      </c>
      <c r="W10921" s="14" t="s">
        <v>26955</v>
      </c>
      <c r="X10921" s="17" t="str">
        <f>HYPERLINK("https://my.pitchbook.com?p=369107-83P","View People Online")</f>
        <v>View People Online</v>
      </c>
    </row>
    <row r="10922">
      <c r="A10922" s="10" t="s">
        <v>67073</v>
      </c>
      <c r="B10922" s="10" t="s">
        <v>67074</v>
      </c>
      <c r="C10922" s="10" t="s">
        <v>67075</v>
      </c>
      <c r="D10922" s="10" t="s">
        <v>1073</v>
      </c>
      <c r="E10922" s="10" t="s">
        <v>26955</v>
      </c>
      <c r="F10922" s="10" t="s">
        <v>548</v>
      </c>
      <c r="G10922" s="10" t="s">
        <v>67076</v>
      </c>
      <c r="H10922" s="11" t="s">
        <v>31</v>
      </c>
      <c r="I10922" s="11">
        <v>1.0</v>
      </c>
      <c r="J10922" s="11">
        <v>1.0</v>
      </c>
      <c r="K10922" s="11" t="s">
        <v>31</v>
      </c>
      <c r="L10922" s="12" t="s">
        <v>67002</v>
      </c>
      <c r="M10922" s="10" t="s">
        <v>67077</v>
      </c>
      <c r="N10922" s="10" t="s">
        <v>2478</v>
      </c>
      <c r="O10922" s="12" t="s">
        <v>7332</v>
      </c>
      <c r="P10922" s="10" t="s">
        <v>67003</v>
      </c>
      <c r="Q10922" s="10" t="s">
        <v>31</v>
      </c>
      <c r="R10922" s="10" t="s">
        <v>7335</v>
      </c>
      <c r="S10922" s="12" t="s">
        <v>7336</v>
      </c>
      <c r="T10922" s="10" t="s">
        <v>5484</v>
      </c>
      <c r="U10922" s="12" t="s">
        <v>31</v>
      </c>
      <c r="V10922" s="10" t="s">
        <v>23349</v>
      </c>
      <c r="W10922" s="10" t="s">
        <v>26955</v>
      </c>
      <c r="X10922" s="13" t="str">
        <f>HYPERLINK("https://my.pitchbook.com?p=423113-95P","View People Online")</f>
        <v>View People Online</v>
      </c>
    </row>
    <row r="10923">
      <c r="A10923" s="6" t="s">
        <v>67078</v>
      </c>
      <c r="B10923" s="6" t="s">
        <v>67079</v>
      </c>
      <c r="C10923" s="6" t="s">
        <v>3554</v>
      </c>
      <c r="D10923" s="6" t="s">
        <v>67080</v>
      </c>
      <c r="E10923" s="6" t="s">
        <v>26955</v>
      </c>
      <c r="F10923" s="6" t="s">
        <v>548</v>
      </c>
      <c r="G10923" s="6" t="s">
        <v>67081</v>
      </c>
      <c r="H10923" s="7" t="s">
        <v>31</v>
      </c>
      <c r="I10923" s="7">
        <v>1.0</v>
      </c>
      <c r="J10923" s="7">
        <v>1.0</v>
      </c>
      <c r="K10923" s="7" t="s">
        <v>31</v>
      </c>
      <c r="L10923" s="8" t="s">
        <v>67082</v>
      </c>
      <c r="M10923" s="6" t="s">
        <v>67083</v>
      </c>
      <c r="N10923" s="6" t="s">
        <v>2478</v>
      </c>
      <c r="O10923" s="8" t="s">
        <v>7332</v>
      </c>
      <c r="P10923" s="6" t="s">
        <v>67003</v>
      </c>
      <c r="Q10923" s="6" t="s">
        <v>31</v>
      </c>
      <c r="R10923" s="6" t="s">
        <v>7335</v>
      </c>
      <c r="S10923" s="8" t="s">
        <v>7336</v>
      </c>
      <c r="T10923" s="6" t="s">
        <v>5484</v>
      </c>
      <c r="U10923" s="8" t="s">
        <v>31</v>
      </c>
      <c r="V10923" s="6" t="s">
        <v>67084</v>
      </c>
      <c r="W10923" s="6" t="s">
        <v>26955</v>
      </c>
      <c r="X10923" s="9" t="str">
        <f>HYPERLINK("https://my.pitchbook.com?p=327249-37P","View People Online")</f>
        <v>View People Online</v>
      </c>
    </row>
    <row r="10924">
      <c r="A10924" s="2" t="s">
        <v>67085</v>
      </c>
      <c r="B10924" s="2" t="s">
        <v>67086</v>
      </c>
      <c r="C10924" s="2" t="s">
        <v>126</v>
      </c>
      <c r="D10924" s="2" t="s">
        <v>67087</v>
      </c>
      <c r="E10924" s="2" t="s">
        <v>26955</v>
      </c>
      <c r="F10924" s="2" t="s">
        <v>548</v>
      </c>
      <c r="G10924" s="2" t="s">
        <v>67088</v>
      </c>
      <c r="H10924" s="3" t="s">
        <v>31</v>
      </c>
      <c r="I10924" s="3">
        <v>1.0</v>
      </c>
      <c r="J10924" s="3">
        <v>1.0</v>
      </c>
      <c r="K10924" s="3" t="s">
        <v>31</v>
      </c>
      <c r="L10924" s="4" t="s">
        <v>67002</v>
      </c>
      <c r="M10924" s="2" t="s">
        <v>67089</v>
      </c>
      <c r="N10924" s="2" t="s">
        <v>2478</v>
      </c>
      <c r="O10924" s="4" t="s">
        <v>7332</v>
      </c>
      <c r="P10924" s="2" t="s">
        <v>67003</v>
      </c>
      <c r="Q10924" s="2" t="s">
        <v>31</v>
      </c>
      <c r="R10924" s="2" t="s">
        <v>7335</v>
      </c>
      <c r="S10924" s="4" t="s">
        <v>7336</v>
      </c>
      <c r="T10924" s="2" t="s">
        <v>5484</v>
      </c>
      <c r="U10924" s="4" t="s">
        <v>31</v>
      </c>
      <c r="V10924" s="2" t="s">
        <v>8067</v>
      </c>
      <c r="W10924" s="2" t="s">
        <v>26955</v>
      </c>
      <c r="X10924" s="5" t="str">
        <f>HYPERLINK("https://my.pitchbook.com?p=369108-28P","View People Online")</f>
        <v>View People Online</v>
      </c>
    </row>
    <row r="10925">
      <c r="A10925" s="6" t="s">
        <v>26949</v>
      </c>
      <c r="B10925" s="6" t="s">
        <v>26950</v>
      </c>
      <c r="C10925" s="6" t="s">
        <v>5536</v>
      </c>
      <c r="D10925" s="6" t="s">
        <v>26951</v>
      </c>
      <c r="E10925" s="6" t="s">
        <v>26955</v>
      </c>
      <c r="F10925" s="6" t="s">
        <v>548</v>
      </c>
      <c r="G10925" s="6" t="s">
        <v>26952</v>
      </c>
      <c r="H10925" s="7" t="s">
        <v>31</v>
      </c>
      <c r="I10925" s="7">
        <v>3.0</v>
      </c>
      <c r="J10925" s="7">
        <v>1.0</v>
      </c>
      <c r="K10925" s="7">
        <v>1.0</v>
      </c>
      <c r="L10925" s="8" t="s">
        <v>26938</v>
      </c>
      <c r="M10925" s="6" t="s">
        <v>26953</v>
      </c>
      <c r="N10925" s="6" t="s">
        <v>155</v>
      </c>
      <c r="O10925" s="8" t="s">
        <v>156</v>
      </c>
      <c r="P10925" s="6" t="s">
        <v>26954</v>
      </c>
      <c r="Q10925" s="6" t="s">
        <v>31</v>
      </c>
      <c r="R10925" s="6" t="s">
        <v>64</v>
      </c>
      <c r="S10925" s="8" t="s">
        <v>1339</v>
      </c>
      <c r="T10925" s="6" t="s">
        <v>66</v>
      </c>
      <c r="U10925" s="8" t="s">
        <v>31</v>
      </c>
      <c r="V10925" s="6" t="s">
        <v>8067</v>
      </c>
      <c r="W10925" s="6" t="s">
        <v>26955</v>
      </c>
      <c r="X10925" s="9" t="str">
        <f>HYPERLINK("https://my.pitchbook.com?p=268684-57P","View People Online")</f>
        <v>View People Online</v>
      </c>
    </row>
    <row r="10926">
      <c r="A10926" s="2" t="s">
        <v>67090</v>
      </c>
      <c r="B10926" s="2" t="s">
        <v>67091</v>
      </c>
      <c r="C10926" s="2" t="s">
        <v>132</v>
      </c>
      <c r="D10926" s="2" t="s">
        <v>31009</v>
      </c>
      <c r="E10926" s="2" t="s">
        <v>26955</v>
      </c>
      <c r="F10926" s="2" t="s">
        <v>2731</v>
      </c>
      <c r="G10926" s="2" t="s">
        <v>67092</v>
      </c>
      <c r="H10926" s="3" t="s">
        <v>31</v>
      </c>
      <c r="I10926" s="3">
        <v>2.0</v>
      </c>
      <c r="J10926" s="3" t="s">
        <v>31</v>
      </c>
      <c r="K10926" s="3">
        <v>1.0</v>
      </c>
      <c r="L10926" s="4" t="s">
        <v>67002</v>
      </c>
      <c r="M10926" s="2" t="s">
        <v>31</v>
      </c>
      <c r="N10926" s="2" t="s">
        <v>2478</v>
      </c>
      <c r="O10926" s="4" t="s">
        <v>7332</v>
      </c>
      <c r="P10926" s="2" t="s">
        <v>67003</v>
      </c>
      <c r="Q10926" s="2" t="s">
        <v>31</v>
      </c>
      <c r="R10926" s="2" t="s">
        <v>7335</v>
      </c>
      <c r="S10926" s="4" t="s">
        <v>7336</v>
      </c>
      <c r="T10926" s="2" t="s">
        <v>5484</v>
      </c>
      <c r="U10926" s="4" t="s">
        <v>31</v>
      </c>
      <c r="V10926" s="2" t="s">
        <v>2731</v>
      </c>
      <c r="W10926" s="2" t="s">
        <v>26955</v>
      </c>
      <c r="X10926" s="5" t="str">
        <f>HYPERLINK("https://my.pitchbook.com?p=55881-82P","View People Online")</f>
        <v>View People Online</v>
      </c>
    </row>
    <row r="10927">
      <c r="A10927" s="6" t="s">
        <v>67093</v>
      </c>
      <c r="B10927" s="6" t="s">
        <v>67094</v>
      </c>
      <c r="C10927" s="6" t="s">
        <v>12056</v>
      </c>
      <c r="D10927" s="6" t="s">
        <v>15840</v>
      </c>
      <c r="E10927" s="6" t="s">
        <v>26955</v>
      </c>
      <c r="F10927" s="6" t="s">
        <v>548</v>
      </c>
      <c r="G10927" s="6" t="s">
        <v>67095</v>
      </c>
      <c r="H10927" s="7" t="s">
        <v>31</v>
      </c>
      <c r="I10927" s="7">
        <v>1.0</v>
      </c>
      <c r="J10927" s="7">
        <v>1.0</v>
      </c>
      <c r="K10927" s="7" t="s">
        <v>31</v>
      </c>
      <c r="L10927" s="8" t="s">
        <v>67002</v>
      </c>
      <c r="M10927" s="6" t="s">
        <v>31</v>
      </c>
      <c r="N10927" s="6" t="s">
        <v>2478</v>
      </c>
      <c r="O10927" s="8" t="s">
        <v>7332</v>
      </c>
      <c r="P10927" s="6" t="s">
        <v>67003</v>
      </c>
      <c r="Q10927" s="6" t="s">
        <v>31</v>
      </c>
      <c r="R10927" s="6" t="s">
        <v>7335</v>
      </c>
      <c r="S10927" s="8" t="s">
        <v>7336</v>
      </c>
      <c r="T10927" s="6" t="s">
        <v>5484</v>
      </c>
      <c r="U10927" s="8" t="s">
        <v>31</v>
      </c>
      <c r="V10927" s="6" t="s">
        <v>8067</v>
      </c>
      <c r="W10927" s="6" t="s">
        <v>26955</v>
      </c>
      <c r="X10927" s="9" t="str">
        <f>HYPERLINK("https://my.pitchbook.com?p=300469-33P","View People Online")</f>
        <v>View People Online</v>
      </c>
    </row>
    <row r="10928">
      <c r="A10928" s="10" t="s">
        <v>67096</v>
      </c>
      <c r="B10928" s="10" t="s">
        <v>67097</v>
      </c>
      <c r="C10928" s="10" t="s">
        <v>934</v>
      </c>
      <c r="D10928" s="10" t="s">
        <v>67098</v>
      </c>
      <c r="E10928" s="10" t="s">
        <v>26955</v>
      </c>
      <c r="F10928" s="10" t="s">
        <v>1167</v>
      </c>
      <c r="G10928" s="10" t="s">
        <v>67099</v>
      </c>
      <c r="H10928" s="11" t="s">
        <v>31</v>
      </c>
      <c r="I10928" s="11">
        <v>5.0</v>
      </c>
      <c r="J10928" s="11">
        <v>1.0</v>
      </c>
      <c r="K10928" s="11">
        <v>2.0</v>
      </c>
      <c r="L10928" s="12" t="s">
        <v>67002</v>
      </c>
      <c r="M10928" s="10" t="s">
        <v>31</v>
      </c>
      <c r="N10928" s="10" t="s">
        <v>2478</v>
      </c>
      <c r="O10928" s="12" t="s">
        <v>7332</v>
      </c>
      <c r="P10928" s="10" t="s">
        <v>67003</v>
      </c>
      <c r="Q10928" s="10" t="s">
        <v>31</v>
      </c>
      <c r="R10928" s="10" t="s">
        <v>7335</v>
      </c>
      <c r="S10928" s="12" t="s">
        <v>7336</v>
      </c>
      <c r="T10928" s="10" t="s">
        <v>5484</v>
      </c>
      <c r="U10928" s="12" t="s">
        <v>31</v>
      </c>
      <c r="V10928" s="10" t="s">
        <v>27899</v>
      </c>
      <c r="W10928" s="10" t="s">
        <v>26955</v>
      </c>
      <c r="X10928" s="13" t="str">
        <f>HYPERLINK("https://my.pitchbook.com?p=137139-40P","View People Online")</f>
        <v>View People Online</v>
      </c>
    </row>
    <row r="10929">
      <c r="A10929" s="6" t="s">
        <v>67100</v>
      </c>
      <c r="B10929" s="6" t="s">
        <v>67101</v>
      </c>
      <c r="C10929" s="6" t="s">
        <v>67102</v>
      </c>
      <c r="D10929" s="6" t="s">
        <v>1073</v>
      </c>
      <c r="E10929" s="6" t="s">
        <v>26955</v>
      </c>
      <c r="F10929" s="6" t="s">
        <v>548</v>
      </c>
      <c r="G10929" s="6" t="s">
        <v>67103</v>
      </c>
      <c r="H10929" s="7" t="s">
        <v>31</v>
      </c>
      <c r="I10929" s="7">
        <v>1.0</v>
      </c>
      <c r="J10929" s="7">
        <v>1.0</v>
      </c>
      <c r="K10929" s="7" t="s">
        <v>31</v>
      </c>
      <c r="L10929" s="8" t="s">
        <v>67002</v>
      </c>
      <c r="M10929" s="6" t="s">
        <v>67104</v>
      </c>
      <c r="N10929" s="6" t="s">
        <v>2478</v>
      </c>
      <c r="O10929" s="8" t="s">
        <v>7332</v>
      </c>
      <c r="P10929" s="6" t="s">
        <v>67003</v>
      </c>
      <c r="Q10929" s="6" t="s">
        <v>31</v>
      </c>
      <c r="R10929" s="6" t="s">
        <v>7335</v>
      </c>
      <c r="S10929" s="8" t="s">
        <v>7336</v>
      </c>
      <c r="T10929" s="6" t="s">
        <v>5484</v>
      </c>
      <c r="U10929" s="8" t="s">
        <v>31</v>
      </c>
      <c r="V10929" s="6" t="s">
        <v>8067</v>
      </c>
      <c r="W10929" s="6" t="s">
        <v>26955</v>
      </c>
      <c r="X10929" s="9" t="str">
        <f>HYPERLINK("https://my.pitchbook.com?p=403300-99P","View People Online")</f>
        <v>View People Online</v>
      </c>
    </row>
    <row r="10930">
      <c r="A10930" s="2" t="s">
        <v>67105</v>
      </c>
      <c r="B10930" s="2" t="s">
        <v>67106</v>
      </c>
      <c r="C10930" s="2" t="s">
        <v>67107</v>
      </c>
      <c r="D10930" s="2" t="s">
        <v>67108</v>
      </c>
      <c r="E10930" s="2" t="s">
        <v>26955</v>
      </c>
      <c r="F10930" s="2" t="s">
        <v>8217</v>
      </c>
      <c r="G10930" s="2" t="s">
        <v>67109</v>
      </c>
      <c r="H10930" s="3" t="s">
        <v>31</v>
      </c>
      <c r="I10930" s="3">
        <v>1.0</v>
      </c>
      <c r="J10930" s="3">
        <v>1.0</v>
      </c>
      <c r="K10930" s="3" t="s">
        <v>31</v>
      </c>
      <c r="L10930" s="4" t="s">
        <v>67002</v>
      </c>
      <c r="M10930" s="2" t="s">
        <v>67110</v>
      </c>
      <c r="N10930" s="2" t="s">
        <v>2478</v>
      </c>
      <c r="O10930" s="4" t="s">
        <v>7332</v>
      </c>
      <c r="P10930" s="2" t="s">
        <v>67003</v>
      </c>
      <c r="Q10930" s="2" t="s">
        <v>31</v>
      </c>
      <c r="R10930" s="2" t="s">
        <v>7335</v>
      </c>
      <c r="S10930" s="4" t="s">
        <v>7336</v>
      </c>
      <c r="T10930" s="2" t="s">
        <v>5484</v>
      </c>
      <c r="U10930" s="4" t="s">
        <v>31</v>
      </c>
      <c r="V10930" s="2" t="s">
        <v>8217</v>
      </c>
      <c r="W10930" s="2" t="s">
        <v>26955</v>
      </c>
      <c r="X10930" s="5" t="str">
        <f>HYPERLINK("https://my.pitchbook.com?p=403301-08P","View People Online")</f>
        <v>View People Online</v>
      </c>
    </row>
    <row r="10931">
      <c r="A10931" s="6" t="s">
        <v>67111</v>
      </c>
      <c r="B10931" s="6" t="s">
        <v>67112</v>
      </c>
      <c r="C10931" s="6" t="s">
        <v>2412</v>
      </c>
      <c r="D10931" s="6" t="s">
        <v>5333</v>
      </c>
      <c r="E10931" s="6" t="s">
        <v>26955</v>
      </c>
      <c r="F10931" s="6" t="s">
        <v>221</v>
      </c>
      <c r="G10931" s="6" t="s">
        <v>67113</v>
      </c>
      <c r="H10931" s="7" t="s">
        <v>31</v>
      </c>
      <c r="I10931" s="7">
        <v>1.0</v>
      </c>
      <c r="J10931" s="7">
        <v>1.0</v>
      </c>
      <c r="K10931" s="7" t="s">
        <v>31</v>
      </c>
      <c r="L10931" s="8" t="s">
        <v>67002</v>
      </c>
      <c r="M10931" s="6" t="s">
        <v>67114</v>
      </c>
      <c r="N10931" s="6" t="s">
        <v>2478</v>
      </c>
      <c r="O10931" s="8" t="s">
        <v>7332</v>
      </c>
      <c r="P10931" s="6" t="s">
        <v>67003</v>
      </c>
      <c r="Q10931" s="6" t="s">
        <v>31</v>
      </c>
      <c r="R10931" s="6" t="s">
        <v>7335</v>
      </c>
      <c r="S10931" s="8" t="s">
        <v>7336</v>
      </c>
      <c r="T10931" s="6" t="s">
        <v>5484</v>
      </c>
      <c r="U10931" s="8" t="s">
        <v>31</v>
      </c>
      <c r="V10931" s="6" t="s">
        <v>56241</v>
      </c>
      <c r="W10931" s="6" t="s">
        <v>26955</v>
      </c>
      <c r="X10931" s="9" t="str">
        <f>HYPERLINK("https://my.pitchbook.com?p=187366-06P","View People Online")</f>
        <v>View People Online</v>
      </c>
    </row>
    <row r="10932">
      <c r="A10932" s="10" t="s">
        <v>67115</v>
      </c>
      <c r="B10932" s="10" t="s">
        <v>67116</v>
      </c>
      <c r="C10932" s="10" t="s">
        <v>3307</v>
      </c>
      <c r="D10932" s="10" t="s">
        <v>4190</v>
      </c>
      <c r="E10932" s="10" t="s">
        <v>26955</v>
      </c>
      <c r="F10932" s="10" t="s">
        <v>8217</v>
      </c>
      <c r="G10932" s="10" t="s">
        <v>67117</v>
      </c>
      <c r="H10932" s="11" t="s">
        <v>31</v>
      </c>
      <c r="I10932" s="11">
        <v>1.0</v>
      </c>
      <c r="J10932" s="11">
        <v>1.0</v>
      </c>
      <c r="K10932" s="11" t="s">
        <v>31</v>
      </c>
      <c r="L10932" s="12" t="s">
        <v>67002</v>
      </c>
      <c r="M10932" s="10" t="s">
        <v>67118</v>
      </c>
      <c r="N10932" s="10" t="s">
        <v>2478</v>
      </c>
      <c r="O10932" s="12" t="s">
        <v>7332</v>
      </c>
      <c r="P10932" s="10" t="s">
        <v>67003</v>
      </c>
      <c r="Q10932" s="10" t="s">
        <v>31</v>
      </c>
      <c r="R10932" s="10" t="s">
        <v>7335</v>
      </c>
      <c r="S10932" s="12" t="s">
        <v>7336</v>
      </c>
      <c r="T10932" s="10" t="s">
        <v>5484</v>
      </c>
      <c r="U10932" s="12" t="s">
        <v>31</v>
      </c>
      <c r="V10932" s="10" t="s">
        <v>67119</v>
      </c>
      <c r="W10932" s="10" t="s">
        <v>26955</v>
      </c>
      <c r="X10932" s="13" t="str">
        <f>HYPERLINK("https://my.pitchbook.com?p=403301-26P","View People Online")</f>
        <v>View People Online</v>
      </c>
    </row>
    <row r="10933">
      <c r="A10933" s="6" t="s">
        <v>67120</v>
      </c>
      <c r="B10933" s="6" t="s">
        <v>67121</v>
      </c>
      <c r="C10933" s="6" t="s">
        <v>67122</v>
      </c>
      <c r="D10933" s="6" t="s">
        <v>67123</v>
      </c>
      <c r="E10933" s="6" t="s">
        <v>26955</v>
      </c>
      <c r="F10933" s="6" t="s">
        <v>667</v>
      </c>
      <c r="G10933" s="6" t="s">
        <v>67124</v>
      </c>
      <c r="H10933" s="7" t="s">
        <v>31</v>
      </c>
      <c r="I10933" s="7">
        <v>1.0</v>
      </c>
      <c r="J10933" s="7">
        <v>1.0</v>
      </c>
      <c r="K10933" s="7" t="s">
        <v>31</v>
      </c>
      <c r="L10933" s="8" t="s">
        <v>67002</v>
      </c>
      <c r="M10933" s="6" t="s">
        <v>67125</v>
      </c>
      <c r="N10933" s="6" t="s">
        <v>2478</v>
      </c>
      <c r="O10933" s="8" t="s">
        <v>7332</v>
      </c>
      <c r="P10933" s="6" t="s">
        <v>67003</v>
      </c>
      <c r="Q10933" s="6" t="s">
        <v>31</v>
      </c>
      <c r="R10933" s="6" t="s">
        <v>7335</v>
      </c>
      <c r="S10933" s="8" t="s">
        <v>7336</v>
      </c>
      <c r="T10933" s="6" t="s">
        <v>5484</v>
      </c>
      <c r="U10933" s="8" t="s">
        <v>31</v>
      </c>
      <c r="V10933" s="6" t="s">
        <v>67126</v>
      </c>
      <c r="W10933" s="6" t="s">
        <v>26955</v>
      </c>
      <c r="X10933" s="9" t="str">
        <f>HYPERLINK("https://my.pitchbook.com?p=383431-87P","View People Online")</f>
        <v>View People Online</v>
      </c>
    </row>
    <row r="10934">
      <c r="A10934" s="2" t="s">
        <v>67127</v>
      </c>
      <c r="B10934" s="2" t="s">
        <v>67128</v>
      </c>
      <c r="C10934" s="2" t="s">
        <v>6855</v>
      </c>
      <c r="D10934" s="2" t="s">
        <v>10527</v>
      </c>
      <c r="E10934" s="2" t="s">
        <v>26955</v>
      </c>
      <c r="F10934" s="2" t="s">
        <v>221</v>
      </c>
      <c r="G10934" s="2" t="s">
        <v>67129</v>
      </c>
      <c r="H10934" s="3" t="s">
        <v>31</v>
      </c>
      <c r="I10934" s="3">
        <v>1.0</v>
      </c>
      <c r="J10934" s="3">
        <v>1.0</v>
      </c>
      <c r="K10934" s="3" t="s">
        <v>31</v>
      </c>
      <c r="L10934" s="4" t="s">
        <v>67002</v>
      </c>
      <c r="M10934" s="2" t="s">
        <v>67130</v>
      </c>
      <c r="N10934" s="2" t="s">
        <v>2478</v>
      </c>
      <c r="O10934" s="4" t="s">
        <v>7332</v>
      </c>
      <c r="P10934" s="2" t="s">
        <v>67003</v>
      </c>
      <c r="Q10934" s="2" t="s">
        <v>31</v>
      </c>
      <c r="R10934" s="2" t="s">
        <v>7335</v>
      </c>
      <c r="S10934" s="4" t="s">
        <v>7336</v>
      </c>
      <c r="T10934" s="2" t="s">
        <v>5484</v>
      </c>
      <c r="U10934" s="4" t="s">
        <v>31</v>
      </c>
      <c r="V10934" s="2" t="s">
        <v>56241</v>
      </c>
      <c r="W10934" s="2" t="s">
        <v>26955</v>
      </c>
      <c r="X10934" s="5" t="str">
        <f>HYPERLINK("https://my.pitchbook.com?p=369108-82P","View People Online")</f>
        <v>View People Online</v>
      </c>
    </row>
    <row r="10935">
      <c r="A10935" s="6" t="s">
        <v>67131</v>
      </c>
      <c r="B10935" s="6" t="s">
        <v>67132</v>
      </c>
      <c r="C10935" s="6" t="s">
        <v>4679</v>
      </c>
      <c r="D10935" s="6" t="s">
        <v>3697</v>
      </c>
      <c r="E10935" s="6" t="s">
        <v>26955</v>
      </c>
      <c r="F10935" s="6" t="s">
        <v>1922</v>
      </c>
      <c r="G10935" s="6" t="s">
        <v>67133</v>
      </c>
      <c r="H10935" s="7" t="s">
        <v>31</v>
      </c>
      <c r="I10935" s="7">
        <v>1.0</v>
      </c>
      <c r="J10935" s="7">
        <v>1.0</v>
      </c>
      <c r="K10935" s="7" t="s">
        <v>31</v>
      </c>
      <c r="L10935" s="8" t="s">
        <v>67002</v>
      </c>
      <c r="M10935" s="6" t="s">
        <v>67134</v>
      </c>
      <c r="N10935" s="6" t="s">
        <v>2478</v>
      </c>
      <c r="O10935" s="8" t="s">
        <v>7332</v>
      </c>
      <c r="P10935" s="6" t="s">
        <v>67003</v>
      </c>
      <c r="Q10935" s="6" t="s">
        <v>31</v>
      </c>
      <c r="R10935" s="6" t="s">
        <v>7335</v>
      </c>
      <c r="S10935" s="8" t="s">
        <v>7336</v>
      </c>
      <c r="T10935" s="6" t="s">
        <v>5484</v>
      </c>
      <c r="U10935" s="8" t="s">
        <v>31</v>
      </c>
      <c r="V10935" s="6" t="s">
        <v>67027</v>
      </c>
      <c r="W10935" s="6" t="s">
        <v>26955</v>
      </c>
      <c r="X10935" s="9" t="str">
        <f>HYPERLINK("https://my.pitchbook.com?p=369109-27P","View People Online")</f>
        <v>View People Online</v>
      </c>
    </row>
    <row r="10936">
      <c r="A10936" s="2" t="s">
        <v>67135</v>
      </c>
      <c r="B10936" s="2" t="s">
        <v>67136</v>
      </c>
      <c r="C10936" s="2" t="s">
        <v>67137</v>
      </c>
      <c r="D10936" s="2" t="s">
        <v>40497</v>
      </c>
      <c r="E10936" s="2" t="s">
        <v>26955</v>
      </c>
      <c r="F10936" s="2" t="s">
        <v>221</v>
      </c>
      <c r="G10936" s="2" t="s">
        <v>67138</v>
      </c>
      <c r="H10936" s="3" t="s">
        <v>31</v>
      </c>
      <c r="I10936" s="3">
        <v>1.0</v>
      </c>
      <c r="J10936" s="3">
        <v>1.0</v>
      </c>
      <c r="K10936" s="3" t="s">
        <v>31</v>
      </c>
      <c r="L10936" s="4" t="s">
        <v>67002</v>
      </c>
      <c r="M10936" s="2" t="s">
        <v>67139</v>
      </c>
      <c r="N10936" s="2" t="s">
        <v>2478</v>
      </c>
      <c r="O10936" s="4" t="s">
        <v>7332</v>
      </c>
      <c r="P10936" s="2" t="s">
        <v>67003</v>
      </c>
      <c r="Q10936" s="2" t="s">
        <v>31</v>
      </c>
      <c r="R10936" s="2" t="s">
        <v>7335</v>
      </c>
      <c r="S10936" s="4" t="s">
        <v>7336</v>
      </c>
      <c r="T10936" s="2" t="s">
        <v>5484</v>
      </c>
      <c r="U10936" s="4" t="s">
        <v>31</v>
      </c>
      <c r="V10936" s="2" t="s">
        <v>56241</v>
      </c>
      <c r="W10936" s="2" t="s">
        <v>26955</v>
      </c>
      <c r="X10936" s="5" t="str">
        <f>HYPERLINK("https://my.pitchbook.com?p=369109-63P","View People Online")</f>
        <v>View People Online</v>
      </c>
    </row>
    <row r="10937">
      <c r="A10937" s="14" t="s">
        <v>67140</v>
      </c>
      <c r="B10937" s="14" t="s">
        <v>67141</v>
      </c>
      <c r="C10937" s="14" t="s">
        <v>4692</v>
      </c>
      <c r="D10937" s="14" t="s">
        <v>67142</v>
      </c>
      <c r="E10937" s="14" t="s">
        <v>26955</v>
      </c>
      <c r="F10937" s="14" t="s">
        <v>8217</v>
      </c>
      <c r="G10937" s="14" t="s">
        <v>67143</v>
      </c>
      <c r="H10937" s="15" t="s">
        <v>31</v>
      </c>
      <c r="I10937" s="15">
        <v>1.0</v>
      </c>
      <c r="J10937" s="15">
        <v>1.0</v>
      </c>
      <c r="K10937" s="15" t="s">
        <v>31</v>
      </c>
      <c r="L10937" s="16" t="s">
        <v>67002</v>
      </c>
      <c r="M10937" s="14" t="s">
        <v>67144</v>
      </c>
      <c r="N10937" s="14" t="s">
        <v>2478</v>
      </c>
      <c r="O10937" s="16" t="s">
        <v>7332</v>
      </c>
      <c r="P10937" s="14" t="s">
        <v>67003</v>
      </c>
      <c r="Q10937" s="14" t="s">
        <v>31</v>
      </c>
      <c r="R10937" s="14" t="s">
        <v>7335</v>
      </c>
      <c r="S10937" s="16" t="s">
        <v>7336</v>
      </c>
      <c r="T10937" s="14" t="s">
        <v>5484</v>
      </c>
      <c r="U10937" s="16" t="s">
        <v>31</v>
      </c>
      <c r="V10937" s="14" t="s">
        <v>8217</v>
      </c>
      <c r="W10937" s="14" t="s">
        <v>26955</v>
      </c>
      <c r="X10937" s="17" t="str">
        <f>HYPERLINK("https://my.pitchbook.com?p=439779-25P","View People Online")</f>
        <v>View People Online</v>
      </c>
    </row>
    <row r="10938">
      <c r="A10938" s="2" t="s">
        <v>67145</v>
      </c>
      <c r="B10938" s="2" t="s">
        <v>67146</v>
      </c>
      <c r="C10938" s="2" t="s">
        <v>2483</v>
      </c>
      <c r="D10938" s="2" t="s">
        <v>10680</v>
      </c>
      <c r="E10938" s="2" t="s">
        <v>26955</v>
      </c>
      <c r="F10938" s="2" t="s">
        <v>1167</v>
      </c>
      <c r="G10938" s="2" t="s">
        <v>67147</v>
      </c>
      <c r="H10938" s="3">
        <v>1.0</v>
      </c>
      <c r="I10938" s="3">
        <v>3.0</v>
      </c>
      <c r="J10938" s="3">
        <v>1.0</v>
      </c>
      <c r="K10938" s="3">
        <v>1.0</v>
      </c>
      <c r="L10938" s="4" t="s">
        <v>67002</v>
      </c>
      <c r="M10938" s="2" t="s">
        <v>31</v>
      </c>
      <c r="N10938" s="2" t="s">
        <v>2478</v>
      </c>
      <c r="O10938" s="4" t="s">
        <v>7332</v>
      </c>
      <c r="P10938" s="2" t="s">
        <v>67003</v>
      </c>
      <c r="Q10938" s="2" t="s">
        <v>31</v>
      </c>
      <c r="R10938" s="2" t="s">
        <v>7335</v>
      </c>
      <c r="S10938" s="4" t="s">
        <v>7336</v>
      </c>
      <c r="T10938" s="2" t="s">
        <v>5484</v>
      </c>
      <c r="U10938" s="4" t="s">
        <v>31</v>
      </c>
      <c r="V10938" s="2" t="s">
        <v>27899</v>
      </c>
      <c r="W10938" s="2" t="s">
        <v>26955</v>
      </c>
      <c r="X10938" s="5" t="str">
        <f>HYPERLINK("https://my.pitchbook.com?p=31574-26P","View People Online")</f>
        <v>View People Online</v>
      </c>
    </row>
    <row r="10939">
      <c r="A10939" s="6" t="s">
        <v>67148</v>
      </c>
      <c r="B10939" s="6" t="s">
        <v>67149</v>
      </c>
      <c r="C10939" s="6" t="s">
        <v>2483</v>
      </c>
      <c r="D10939" s="6" t="s">
        <v>67150</v>
      </c>
      <c r="E10939" s="6" t="s">
        <v>26955</v>
      </c>
      <c r="F10939" s="6" t="s">
        <v>1922</v>
      </c>
      <c r="G10939" s="6" t="s">
        <v>67151</v>
      </c>
      <c r="H10939" s="7" t="s">
        <v>31</v>
      </c>
      <c r="I10939" s="7">
        <v>1.0</v>
      </c>
      <c r="J10939" s="7">
        <v>1.0</v>
      </c>
      <c r="K10939" s="7" t="s">
        <v>31</v>
      </c>
      <c r="L10939" s="8" t="s">
        <v>67002</v>
      </c>
      <c r="M10939" s="6" t="s">
        <v>67152</v>
      </c>
      <c r="N10939" s="6" t="s">
        <v>2478</v>
      </c>
      <c r="O10939" s="8" t="s">
        <v>7332</v>
      </c>
      <c r="P10939" s="6" t="s">
        <v>67003</v>
      </c>
      <c r="Q10939" s="6" t="s">
        <v>31</v>
      </c>
      <c r="R10939" s="6" t="s">
        <v>7335</v>
      </c>
      <c r="S10939" s="8" t="s">
        <v>7336</v>
      </c>
      <c r="T10939" s="6" t="s">
        <v>5484</v>
      </c>
      <c r="U10939" s="8" t="s">
        <v>31</v>
      </c>
      <c r="V10939" s="6" t="s">
        <v>67027</v>
      </c>
      <c r="W10939" s="6" t="s">
        <v>26955</v>
      </c>
      <c r="X10939" s="9" t="str">
        <f>HYPERLINK("https://my.pitchbook.com?p=285881-86P","View People Online")</f>
        <v>View People Online</v>
      </c>
    </row>
    <row r="10940">
      <c r="A10940" s="2" t="s">
        <v>67153</v>
      </c>
      <c r="B10940" s="2" t="s">
        <v>67154</v>
      </c>
      <c r="C10940" s="2" t="s">
        <v>226</v>
      </c>
      <c r="D10940" s="2" t="s">
        <v>67155</v>
      </c>
      <c r="E10940" s="2" t="s">
        <v>26955</v>
      </c>
      <c r="F10940" s="2" t="s">
        <v>221</v>
      </c>
      <c r="G10940" s="2" t="s">
        <v>67156</v>
      </c>
      <c r="H10940" s="3" t="s">
        <v>31</v>
      </c>
      <c r="I10940" s="3">
        <v>1.0</v>
      </c>
      <c r="J10940" s="3">
        <v>1.0</v>
      </c>
      <c r="K10940" s="3" t="s">
        <v>31</v>
      </c>
      <c r="L10940" s="4" t="s">
        <v>31</v>
      </c>
      <c r="M10940" s="2" t="s">
        <v>31</v>
      </c>
      <c r="N10940" s="2" t="s">
        <v>1442</v>
      </c>
      <c r="O10940" s="4" t="s">
        <v>1443</v>
      </c>
      <c r="P10940" s="2" t="s">
        <v>67008</v>
      </c>
      <c r="Q10940" s="2" t="s">
        <v>31</v>
      </c>
      <c r="R10940" s="2" t="s">
        <v>1277</v>
      </c>
      <c r="S10940" s="4" t="s">
        <v>14618</v>
      </c>
      <c r="T10940" s="2" t="s">
        <v>66</v>
      </c>
      <c r="U10940" s="4" t="s">
        <v>31</v>
      </c>
      <c r="V10940" s="2" t="s">
        <v>56241</v>
      </c>
      <c r="W10940" s="2" t="s">
        <v>26955</v>
      </c>
      <c r="X10940" s="5" t="str">
        <f>HYPERLINK("https://my.pitchbook.com?p=383432-14P","View People Online")</f>
        <v>View People Online</v>
      </c>
    </row>
    <row r="10941">
      <c r="A10941" s="6" t="s">
        <v>67157</v>
      </c>
      <c r="B10941" s="6" t="s">
        <v>67158</v>
      </c>
      <c r="C10941" s="6" t="s">
        <v>5602</v>
      </c>
      <c r="D10941" s="6" t="s">
        <v>67159</v>
      </c>
      <c r="E10941" s="6" t="s">
        <v>67160</v>
      </c>
      <c r="F10941" s="6" t="s">
        <v>189</v>
      </c>
      <c r="G10941" s="6" t="s">
        <v>67161</v>
      </c>
      <c r="H10941" s="7" t="s">
        <v>31</v>
      </c>
      <c r="I10941" s="7">
        <v>5.0</v>
      </c>
      <c r="J10941" s="7">
        <v>1.0</v>
      </c>
      <c r="K10941" s="7">
        <v>1.0</v>
      </c>
      <c r="L10941" s="8" t="s">
        <v>31</v>
      </c>
      <c r="M10941" s="6" t="s">
        <v>67162</v>
      </c>
      <c r="N10941" s="6" t="s">
        <v>1181</v>
      </c>
      <c r="O10941" s="8" t="s">
        <v>1182</v>
      </c>
      <c r="P10941" s="6" t="s">
        <v>31</v>
      </c>
      <c r="Q10941" s="6" t="s">
        <v>31</v>
      </c>
      <c r="R10941" s="6" t="s">
        <v>1185</v>
      </c>
      <c r="S10941" s="8" t="s">
        <v>31</v>
      </c>
      <c r="T10941" s="6" t="s">
        <v>66</v>
      </c>
      <c r="U10941" s="8" t="s">
        <v>31</v>
      </c>
      <c r="V10941" s="6" t="s">
        <v>196</v>
      </c>
      <c r="W10941" s="6" t="s">
        <v>67160</v>
      </c>
      <c r="X10941" s="9" t="str">
        <f>HYPERLINK("https://my.pitchbook.com?p=313766-20P","View People Online")</f>
        <v>View People Online</v>
      </c>
    </row>
    <row r="10942">
      <c r="A10942" s="2" t="s">
        <v>67163</v>
      </c>
      <c r="B10942" s="2" t="s">
        <v>67158</v>
      </c>
      <c r="C10942" s="2" t="s">
        <v>5602</v>
      </c>
      <c r="D10942" s="2" t="s">
        <v>67159</v>
      </c>
      <c r="E10942" s="2" t="s">
        <v>67160</v>
      </c>
      <c r="F10942" s="2" t="s">
        <v>71</v>
      </c>
      <c r="G10942" s="2" t="s">
        <v>67164</v>
      </c>
      <c r="H10942" s="3">
        <v>1.0</v>
      </c>
      <c r="I10942" s="3">
        <v>5.0</v>
      </c>
      <c r="J10942" s="3">
        <v>2.0</v>
      </c>
      <c r="K10942" s="3">
        <v>2.0</v>
      </c>
      <c r="L10942" s="4" t="s">
        <v>67165</v>
      </c>
      <c r="M10942" s="2" t="s">
        <v>67166</v>
      </c>
      <c r="N10942" s="2" t="s">
        <v>1181</v>
      </c>
      <c r="O10942" s="4" t="s">
        <v>1182</v>
      </c>
      <c r="P10942" s="2" t="s">
        <v>67167</v>
      </c>
      <c r="Q10942" s="2" t="s">
        <v>2839</v>
      </c>
      <c r="R10942" s="2" t="s">
        <v>1185</v>
      </c>
      <c r="S10942" s="4" t="s">
        <v>29487</v>
      </c>
      <c r="T10942" s="2" t="s">
        <v>66</v>
      </c>
      <c r="U10942" s="4" t="s">
        <v>31</v>
      </c>
      <c r="V10942" s="2" t="s">
        <v>2168</v>
      </c>
      <c r="W10942" s="2" t="s">
        <v>67168</v>
      </c>
      <c r="X10942" s="5" t="str">
        <f>HYPERLINK("https://my.pitchbook.com?p=65628-19P","View People Online")</f>
        <v>View People Online</v>
      </c>
    </row>
    <row r="10943">
      <c r="A10943" s="14" t="s">
        <v>67169</v>
      </c>
      <c r="B10943" s="14" t="s">
        <v>67170</v>
      </c>
      <c r="C10943" s="14" t="s">
        <v>5800</v>
      </c>
      <c r="D10943" s="14" t="s">
        <v>67159</v>
      </c>
      <c r="E10943" s="14" t="s">
        <v>67160</v>
      </c>
      <c r="F10943" s="14" t="s">
        <v>189</v>
      </c>
      <c r="G10943" s="14" t="s">
        <v>67171</v>
      </c>
      <c r="H10943" s="15" t="s">
        <v>31</v>
      </c>
      <c r="I10943" s="15">
        <v>4.0</v>
      </c>
      <c r="J10943" s="15">
        <v>3.0</v>
      </c>
      <c r="K10943" s="15" t="s">
        <v>31</v>
      </c>
      <c r="L10943" s="16" t="s">
        <v>67172</v>
      </c>
      <c r="M10943" s="14" t="s">
        <v>67173</v>
      </c>
      <c r="N10943" s="14" t="s">
        <v>1181</v>
      </c>
      <c r="O10943" s="16" t="s">
        <v>1182</v>
      </c>
      <c r="P10943" s="14" t="s">
        <v>67167</v>
      </c>
      <c r="Q10943" s="14" t="s">
        <v>2839</v>
      </c>
      <c r="R10943" s="14" t="s">
        <v>1185</v>
      </c>
      <c r="S10943" s="16" t="s">
        <v>29487</v>
      </c>
      <c r="T10943" s="14" t="s">
        <v>66</v>
      </c>
      <c r="U10943" s="16" t="s">
        <v>31</v>
      </c>
      <c r="V10943" s="14" t="s">
        <v>157</v>
      </c>
      <c r="W10943" s="14" t="s">
        <v>67168</v>
      </c>
      <c r="X10943" s="17" t="str">
        <f>HYPERLINK("https://my.pitchbook.com?p=65629-18P","View People Online")</f>
        <v>View People Online</v>
      </c>
    </row>
    <row r="10944">
      <c r="A10944" s="10" t="s">
        <v>67174</v>
      </c>
      <c r="B10944" s="10" t="s">
        <v>67175</v>
      </c>
      <c r="C10944" s="10" t="s">
        <v>67176</v>
      </c>
      <c r="D10944" s="10" t="s">
        <v>67177</v>
      </c>
      <c r="E10944" s="10" t="s">
        <v>67178</v>
      </c>
      <c r="F10944" s="10" t="s">
        <v>221</v>
      </c>
      <c r="G10944" s="10" t="s">
        <v>67179</v>
      </c>
      <c r="H10944" s="11" t="s">
        <v>31</v>
      </c>
      <c r="I10944" s="11">
        <v>2.0</v>
      </c>
      <c r="J10944" s="11">
        <v>1.0</v>
      </c>
      <c r="K10944" s="11" t="s">
        <v>31</v>
      </c>
      <c r="L10944" s="12" t="s">
        <v>31</v>
      </c>
      <c r="M10944" s="10" t="s">
        <v>67180</v>
      </c>
      <c r="N10944" s="10" t="s">
        <v>1005</v>
      </c>
      <c r="O10944" s="12" t="s">
        <v>1006</v>
      </c>
      <c r="P10944" s="10" t="s">
        <v>67181</v>
      </c>
      <c r="Q10944" s="10" t="s">
        <v>67182</v>
      </c>
      <c r="R10944" s="10" t="s">
        <v>31</v>
      </c>
      <c r="S10944" s="12" t="s">
        <v>13268</v>
      </c>
      <c r="T10944" s="10" t="s">
        <v>1010</v>
      </c>
      <c r="U10944" s="12" t="s">
        <v>31</v>
      </c>
      <c r="V10944" s="10" t="s">
        <v>221</v>
      </c>
      <c r="W10944" s="10" t="s">
        <v>67178</v>
      </c>
      <c r="X10944" s="13" t="str">
        <f>HYPERLINK("https://my.pitchbook.com?p=182893-60P","View People Online")</f>
        <v>View People Online</v>
      </c>
    </row>
    <row r="10945">
      <c r="A10945" s="14" t="s">
        <v>67183</v>
      </c>
      <c r="B10945" s="14" t="s">
        <v>67184</v>
      </c>
      <c r="C10945" s="14" t="s">
        <v>23356</v>
      </c>
      <c r="D10945" s="14" t="s">
        <v>28819</v>
      </c>
      <c r="E10945" s="14" t="s">
        <v>67178</v>
      </c>
      <c r="F10945" s="14" t="s">
        <v>318</v>
      </c>
      <c r="G10945" s="14" t="s">
        <v>67185</v>
      </c>
      <c r="H10945" s="15" t="s">
        <v>31</v>
      </c>
      <c r="I10945" s="15">
        <v>5.0</v>
      </c>
      <c r="J10945" s="15">
        <v>1.0</v>
      </c>
      <c r="K10945" s="15">
        <v>2.0</v>
      </c>
      <c r="L10945" s="16" t="s">
        <v>31</v>
      </c>
      <c r="M10945" s="14" t="s">
        <v>67186</v>
      </c>
      <c r="N10945" s="14" t="s">
        <v>1005</v>
      </c>
      <c r="O10945" s="16" t="s">
        <v>1006</v>
      </c>
      <c r="P10945" s="14" t="s">
        <v>67181</v>
      </c>
      <c r="Q10945" s="14" t="s">
        <v>67182</v>
      </c>
      <c r="R10945" s="14" t="s">
        <v>31</v>
      </c>
      <c r="S10945" s="16" t="s">
        <v>13268</v>
      </c>
      <c r="T10945" s="14" t="s">
        <v>1010</v>
      </c>
      <c r="U10945" s="16" t="s">
        <v>31</v>
      </c>
      <c r="V10945" s="14" t="s">
        <v>318</v>
      </c>
      <c r="W10945" s="14" t="s">
        <v>67178</v>
      </c>
      <c r="X10945" s="17" t="str">
        <f>HYPERLINK("https://my.pitchbook.com?p=314816-77P","View People Online")</f>
        <v>View People Online</v>
      </c>
    </row>
    <row r="10946">
      <c r="A10946" s="2" t="s">
        <v>67187</v>
      </c>
      <c r="B10946" s="2" t="s">
        <v>67188</v>
      </c>
      <c r="C10946" s="2" t="s">
        <v>69</v>
      </c>
      <c r="D10946" s="2" t="s">
        <v>935</v>
      </c>
      <c r="E10946" s="2" t="s">
        <v>67178</v>
      </c>
      <c r="F10946" s="2" t="s">
        <v>29</v>
      </c>
      <c r="G10946" s="2" t="s">
        <v>67189</v>
      </c>
      <c r="H10946" s="3" t="s">
        <v>31</v>
      </c>
      <c r="I10946" s="3">
        <v>1.0</v>
      </c>
      <c r="J10946" s="3">
        <v>1.0</v>
      </c>
      <c r="K10946" s="3" t="s">
        <v>31</v>
      </c>
      <c r="L10946" s="4" t="s">
        <v>67190</v>
      </c>
      <c r="M10946" s="2" t="s">
        <v>67191</v>
      </c>
      <c r="N10946" s="2" t="s">
        <v>775</v>
      </c>
      <c r="O10946" s="4" t="s">
        <v>776</v>
      </c>
      <c r="P10946" s="2" t="s">
        <v>67192</v>
      </c>
      <c r="Q10946" s="2" t="s">
        <v>67193</v>
      </c>
      <c r="R10946" s="2" t="s">
        <v>64</v>
      </c>
      <c r="S10946" s="4" t="s">
        <v>40712</v>
      </c>
      <c r="T10946" s="2" t="s">
        <v>66</v>
      </c>
      <c r="U10946" s="4" t="s">
        <v>31</v>
      </c>
      <c r="V10946" s="2" t="s">
        <v>67194</v>
      </c>
      <c r="W10946" s="2" t="s">
        <v>67178</v>
      </c>
      <c r="X10946" s="5" t="str">
        <f>HYPERLINK("https://my.pitchbook.com?p=285270-04P","View People Online")</f>
        <v>View People Online</v>
      </c>
    </row>
    <row r="10947">
      <c r="A10947" s="6" t="s">
        <v>67195</v>
      </c>
      <c r="B10947" s="6" t="s">
        <v>67196</v>
      </c>
      <c r="C10947" s="6" t="s">
        <v>26010</v>
      </c>
      <c r="D10947" s="6" t="s">
        <v>1714</v>
      </c>
      <c r="E10947" s="6" t="s">
        <v>67178</v>
      </c>
      <c r="F10947" s="6" t="s">
        <v>825</v>
      </c>
      <c r="G10947" s="6" t="s">
        <v>67197</v>
      </c>
      <c r="H10947" s="7" t="s">
        <v>31</v>
      </c>
      <c r="I10947" s="7">
        <v>1.0</v>
      </c>
      <c r="J10947" s="7">
        <v>1.0</v>
      </c>
      <c r="K10947" s="7" t="s">
        <v>31</v>
      </c>
      <c r="L10947" s="8" t="s">
        <v>31</v>
      </c>
      <c r="M10947" s="6" t="s">
        <v>67198</v>
      </c>
      <c r="N10947" s="6" t="s">
        <v>1005</v>
      </c>
      <c r="O10947" s="8" t="s">
        <v>1006</v>
      </c>
      <c r="P10947" s="6" t="s">
        <v>67181</v>
      </c>
      <c r="Q10947" s="6" t="s">
        <v>67182</v>
      </c>
      <c r="R10947" s="6" t="s">
        <v>31</v>
      </c>
      <c r="S10947" s="8" t="s">
        <v>13268</v>
      </c>
      <c r="T10947" s="6" t="s">
        <v>1010</v>
      </c>
      <c r="U10947" s="8" t="s">
        <v>31</v>
      </c>
      <c r="V10947" s="6" t="s">
        <v>67199</v>
      </c>
      <c r="W10947" s="6" t="s">
        <v>67178</v>
      </c>
      <c r="X10947" s="9" t="str">
        <f>HYPERLINK("https://my.pitchbook.com?p=347439-07P","View People Online")</f>
        <v>View People Online</v>
      </c>
    </row>
    <row r="10948">
      <c r="A10948" s="10" t="s">
        <v>67200</v>
      </c>
      <c r="B10948" s="10" t="s">
        <v>67201</v>
      </c>
      <c r="C10948" s="10" t="s">
        <v>2871</v>
      </c>
      <c r="D10948" s="10" t="s">
        <v>67202</v>
      </c>
      <c r="E10948" s="10" t="s">
        <v>67178</v>
      </c>
      <c r="F10948" s="10" t="s">
        <v>1283</v>
      </c>
      <c r="G10948" s="10" t="s">
        <v>67203</v>
      </c>
      <c r="H10948" s="11">
        <v>1.0</v>
      </c>
      <c r="I10948" s="11">
        <v>19.0</v>
      </c>
      <c r="J10948" s="11">
        <v>1.0</v>
      </c>
      <c r="K10948" s="11">
        <v>11.0</v>
      </c>
      <c r="L10948" s="12" t="s">
        <v>67204</v>
      </c>
      <c r="M10948" s="10" t="s">
        <v>67205</v>
      </c>
      <c r="N10948" s="10" t="s">
        <v>1005</v>
      </c>
      <c r="O10948" s="12" t="s">
        <v>1006</v>
      </c>
      <c r="P10948" s="10" t="s">
        <v>67181</v>
      </c>
      <c r="Q10948" s="10" t="s">
        <v>67182</v>
      </c>
      <c r="R10948" s="10" t="s">
        <v>31</v>
      </c>
      <c r="S10948" s="12" t="s">
        <v>13268</v>
      </c>
      <c r="T10948" s="10" t="s">
        <v>1010</v>
      </c>
      <c r="U10948" s="12" t="s">
        <v>31</v>
      </c>
      <c r="V10948" s="10" t="s">
        <v>67206</v>
      </c>
      <c r="W10948" s="10" t="s">
        <v>67178</v>
      </c>
      <c r="X10948" s="13" t="str">
        <f>HYPERLINK("https://my.pitchbook.com?p=41447-62P","View People Online")</f>
        <v>View People Online</v>
      </c>
    </row>
    <row r="10949">
      <c r="A10949" s="6" t="s">
        <v>67207</v>
      </c>
      <c r="B10949" s="6" t="s">
        <v>67208</v>
      </c>
      <c r="C10949" s="6" t="s">
        <v>67209</v>
      </c>
      <c r="D10949" s="6" t="s">
        <v>67210</v>
      </c>
      <c r="E10949" s="6" t="s">
        <v>67178</v>
      </c>
      <c r="F10949" s="6" t="s">
        <v>201</v>
      </c>
      <c r="G10949" s="6" t="s">
        <v>67211</v>
      </c>
      <c r="H10949" s="7" t="s">
        <v>31</v>
      </c>
      <c r="I10949" s="7">
        <v>2.0</v>
      </c>
      <c r="J10949" s="7">
        <v>1.0</v>
      </c>
      <c r="K10949" s="7" t="s">
        <v>31</v>
      </c>
      <c r="L10949" s="8" t="s">
        <v>31</v>
      </c>
      <c r="M10949" s="6" t="s">
        <v>67212</v>
      </c>
      <c r="N10949" s="6" t="s">
        <v>1005</v>
      </c>
      <c r="O10949" s="8" t="s">
        <v>1006</v>
      </c>
      <c r="P10949" s="6" t="s">
        <v>67181</v>
      </c>
      <c r="Q10949" s="6" t="s">
        <v>67182</v>
      </c>
      <c r="R10949" s="6" t="s">
        <v>31</v>
      </c>
      <c r="S10949" s="8" t="s">
        <v>13268</v>
      </c>
      <c r="T10949" s="6" t="s">
        <v>1010</v>
      </c>
      <c r="U10949" s="8" t="s">
        <v>31</v>
      </c>
      <c r="V10949" s="6" t="s">
        <v>201</v>
      </c>
      <c r="W10949" s="6" t="s">
        <v>67178</v>
      </c>
      <c r="X10949" s="9" t="str">
        <f>HYPERLINK("https://my.pitchbook.com?p=314817-04P","View People Online")</f>
        <v>View People Online</v>
      </c>
    </row>
    <row r="10950">
      <c r="A10950" s="2" t="s">
        <v>67213</v>
      </c>
      <c r="B10950" s="2" t="s">
        <v>67214</v>
      </c>
      <c r="C10950" s="2" t="s">
        <v>67215</v>
      </c>
      <c r="D10950" s="2" t="s">
        <v>67216</v>
      </c>
      <c r="E10950" s="2" t="s">
        <v>67178</v>
      </c>
      <c r="F10950" s="2" t="s">
        <v>825</v>
      </c>
      <c r="G10950" s="2" t="s">
        <v>67217</v>
      </c>
      <c r="H10950" s="3" t="s">
        <v>31</v>
      </c>
      <c r="I10950" s="3">
        <v>1.0</v>
      </c>
      <c r="J10950" s="3">
        <v>1.0</v>
      </c>
      <c r="K10950" s="3" t="s">
        <v>31</v>
      </c>
      <c r="L10950" s="4" t="s">
        <v>31</v>
      </c>
      <c r="M10950" s="2" t="s">
        <v>67218</v>
      </c>
      <c r="N10950" s="2" t="s">
        <v>1005</v>
      </c>
      <c r="O10950" s="4" t="s">
        <v>1006</v>
      </c>
      <c r="P10950" s="2" t="s">
        <v>67181</v>
      </c>
      <c r="Q10950" s="2" t="s">
        <v>67182</v>
      </c>
      <c r="R10950" s="2" t="s">
        <v>31</v>
      </c>
      <c r="S10950" s="4" t="s">
        <v>13268</v>
      </c>
      <c r="T10950" s="2" t="s">
        <v>1010</v>
      </c>
      <c r="U10950" s="4" t="s">
        <v>31</v>
      </c>
      <c r="V10950" s="2" t="s">
        <v>8181</v>
      </c>
      <c r="W10950" s="2" t="s">
        <v>67178</v>
      </c>
      <c r="X10950" s="5" t="str">
        <f>HYPERLINK("https://my.pitchbook.com?p=396235-72P","View People Online")</f>
        <v>View People Online</v>
      </c>
    </row>
    <row r="10951">
      <c r="A10951" s="6" t="s">
        <v>67219</v>
      </c>
      <c r="B10951" s="6" t="s">
        <v>67220</v>
      </c>
      <c r="C10951" s="6" t="s">
        <v>67221</v>
      </c>
      <c r="D10951" s="6" t="s">
        <v>19531</v>
      </c>
      <c r="E10951" s="6" t="s">
        <v>67178</v>
      </c>
      <c r="F10951" s="6" t="s">
        <v>29</v>
      </c>
      <c r="G10951" s="6" t="s">
        <v>67222</v>
      </c>
      <c r="H10951" s="7">
        <v>6.0</v>
      </c>
      <c r="I10951" s="7">
        <v>13.0</v>
      </c>
      <c r="J10951" s="7">
        <v>1.0</v>
      </c>
      <c r="K10951" s="7">
        <v>5.0</v>
      </c>
      <c r="L10951" s="8" t="s">
        <v>31</v>
      </c>
      <c r="M10951" s="6" t="s">
        <v>67223</v>
      </c>
      <c r="N10951" s="6" t="s">
        <v>1005</v>
      </c>
      <c r="O10951" s="8" t="s">
        <v>1006</v>
      </c>
      <c r="P10951" s="6" t="s">
        <v>67181</v>
      </c>
      <c r="Q10951" s="6" t="s">
        <v>67182</v>
      </c>
      <c r="R10951" s="6" t="s">
        <v>31</v>
      </c>
      <c r="S10951" s="8" t="s">
        <v>13268</v>
      </c>
      <c r="T10951" s="6" t="s">
        <v>1010</v>
      </c>
      <c r="U10951" s="8" t="s">
        <v>31</v>
      </c>
      <c r="V10951" s="6" t="s">
        <v>29</v>
      </c>
      <c r="W10951" s="6" t="s">
        <v>67178</v>
      </c>
      <c r="X10951" s="9" t="str">
        <f>HYPERLINK("https://my.pitchbook.com?p=120392-38P","View People Online")</f>
        <v>View People Online</v>
      </c>
    </row>
    <row r="10952">
      <c r="A10952" s="2" t="s">
        <v>67224</v>
      </c>
      <c r="B10952" s="2" t="s">
        <v>67225</v>
      </c>
      <c r="C10952" s="2" t="s">
        <v>382</v>
      </c>
      <c r="D10952" s="2" t="s">
        <v>67226</v>
      </c>
      <c r="E10952" s="2" t="s">
        <v>67178</v>
      </c>
      <c r="F10952" s="2" t="s">
        <v>29</v>
      </c>
      <c r="G10952" s="2" t="s">
        <v>67227</v>
      </c>
      <c r="H10952" s="3">
        <v>2.0</v>
      </c>
      <c r="I10952" s="3">
        <v>9.0</v>
      </c>
      <c r="J10952" s="3">
        <v>1.0</v>
      </c>
      <c r="K10952" s="3">
        <v>3.0</v>
      </c>
      <c r="L10952" s="4" t="s">
        <v>67228</v>
      </c>
      <c r="M10952" s="2" t="s">
        <v>67229</v>
      </c>
      <c r="N10952" s="2" t="s">
        <v>1005</v>
      </c>
      <c r="O10952" s="4" t="s">
        <v>1006</v>
      </c>
      <c r="P10952" s="2" t="s">
        <v>67181</v>
      </c>
      <c r="Q10952" s="2" t="s">
        <v>67182</v>
      </c>
      <c r="R10952" s="2" t="s">
        <v>31</v>
      </c>
      <c r="S10952" s="4" t="s">
        <v>13268</v>
      </c>
      <c r="T10952" s="2" t="s">
        <v>1010</v>
      </c>
      <c r="U10952" s="4" t="s">
        <v>31</v>
      </c>
      <c r="V10952" s="2" t="s">
        <v>29</v>
      </c>
      <c r="W10952" s="2" t="s">
        <v>67178</v>
      </c>
      <c r="X10952" s="5" t="str">
        <f>HYPERLINK("https://my.pitchbook.com?p=89672-77P","View People Online")</f>
        <v>View People Online</v>
      </c>
    </row>
    <row r="10953">
      <c r="A10953" s="6" t="s">
        <v>67230</v>
      </c>
      <c r="B10953" s="6" t="s">
        <v>67231</v>
      </c>
      <c r="C10953" s="6" t="s">
        <v>20908</v>
      </c>
      <c r="D10953" s="6" t="s">
        <v>67232</v>
      </c>
      <c r="E10953" s="6" t="s">
        <v>67178</v>
      </c>
      <c r="F10953" s="6" t="s">
        <v>318</v>
      </c>
      <c r="G10953" s="6" t="s">
        <v>67233</v>
      </c>
      <c r="H10953" s="7">
        <v>2.0</v>
      </c>
      <c r="I10953" s="7">
        <v>6.0</v>
      </c>
      <c r="J10953" s="7">
        <v>1.0</v>
      </c>
      <c r="K10953" s="7">
        <v>2.0</v>
      </c>
      <c r="L10953" s="8" t="s">
        <v>31</v>
      </c>
      <c r="M10953" s="6" t="s">
        <v>67234</v>
      </c>
      <c r="N10953" s="6" t="s">
        <v>1005</v>
      </c>
      <c r="O10953" s="8" t="s">
        <v>1006</v>
      </c>
      <c r="P10953" s="6" t="s">
        <v>67181</v>
      </c>
      <c r="Q10953" s="6" t="s">
        <v>67182</v>
      </c>
      <c r="R10953" s="6" t="s">
        <v>31</v>
      </c>
      <c r="S10953" s="8" t="s">
        <v>13268</v>
      </c>
      <c r="T10953" s="6" t="s">
        <v>1010</v>
      </c>
      <c r="U10953" s="8" t="s">
        <v>31</v>
      </c>
      <c r="V10953" s="6" t="s">
        <v>318</v>
      </c>
      <c r="W10953" s="6" t="s">
        <v>67178</v>
      </c>
      <c r="X10953" s="9" t="str">
        <f>HYPERLINK("https://my.pitchbook.com?p=314817-58P","View People Online")</f>
        <v>View People Online</v>
      </c>
    </row>
    <row r="10954">
      <c r="A10954" s="2" t="s">
        <v>67235</v>
      </c>
      <c r="B10954" s="2" t="s">
        <v>67236</v>
      </c>
      <c r="C10954" s="2" t="s">
        <v>7372</v>
      </c>
      <c r="D10954" s="2" t="s">
        <v>4327</v>
      </c>
      <c r="E10954" s="2" t="s">
        <v>67178</v>
      </c>
      <c r="F10954" s="2" t="s">
        <v>318</v>
      </c>
      <c r="G10954" s="2" t="s">
        <v>67237</v>
      </c>
      <c r="H10954" s="3" t="s">
        <v>31</v>
      </c>
      <c r="I10954" s="3">
        <v>22.0</v>
      </c>
      <c r="J10954" s="3">
        <v>1.0</v>
      </c>
      <c r="K10954" s="3">
        <v>17.0</v>
      </c>
      <c r="L10954" s="4" t="s">
        <v>31</v>
      </c>
      <c r="M10954" s="2" t="s">
        <v>67238</v>
      </c>
      <c r="N10954" s="2" t="s">
        <v>1442</v>
      </c>
      <c r="O10954" s="4" t="s">
        <v>1443</v>
      </c>
      <c r="P10954" s="2" t="s">
        <v>67239</v>
      </c>
      <c r="Q10954" s="2" t="s">
        <v>41437</v>
      </c>
      <c r="R10954" s="2" t="s">
        <v>1277</v>
      </c>
      <c r="S10954" s="4" t="s">
        <v>59022</v>
      </c>
      <c r="T10954" s="2" t="s">
        <v>66</v>
      </c>
      <c r="U10954" s="4" t="s">
        <v>31</v>
      </c>
      <c r="V10954" s="2" t="s">
        <v>318</v>
      </c>
      <c r="W10954" s="2" t="s">
        <v>67178</v>
      </c>
      <c r="X10954" s="5" t="str">
        <f>HYPERLINK("https://my.pitchbook.com?p=175082-95P","View People Online")</f>
        <v>View People Online</v>
      </c>
    </row>
    <row r="10955">
      <c r="A10955" s="6" t="s">
        <v>67240</v>
      </c>
      <c r="B10955" s="6" t="s">
        <v>67241</v>
      </c>
      <c r="C10955" s="6" t="s">
        <v>8698</v>
      </c>
      <c r="D10955" s="6" t="s">
        <v>28011</v>
      </c>
      <c r="E10955" s="6" t="s">
        <v>5636</v>
      </c>
      <c r="F10955" s="6" t="s">
        <v>29</v>
      </c>
      <c r="G10955" s="6" t="s">
        <v>67242</v>
      </c>
      <c r="H10955" s="7" t="s">
        <v>31</v>
      </c>
      <c r="I10955" s="7">
        <v>1.0</v>
      </c>
      <c r="J10955" s="7">
        <v>1.0</v>
      </c>
      <c r="K10955" s="7" t="s">
        <v>31</v>
      </c>
      <c r="L10955" s="8" t="s">
        <v>67243</v>
      </c>
      <c r="M10955" s="6" t="s">
        <v>67244</v>
      </c>
      <c r="N10955" s="6" t="s">
        <v>775</v>
      </c>
      <c r="O10955" s="8" t="s">
        <v>776</v>
      </c>
      <c r="P10955" s="6" t="s">
        <v>5634</v>
      </c>
      <c r="Q10955" s="6" t="s">
        <v>2566</v>
      </c>
      <c r="R10955" s="6" t="s">
        <v>64</v>
      </c>
      <c r="S10955" s="8" t="s">
        <v>5635</v>
      </c>
      <c r="T10955" s="6" t="s">
        <v>66</v>
      </c>
      <c r="U10955" s="8" t="s">
        <v>31</v>
      </c>
      <c r="V10955" s="6" t="s">
        <v>29</v>
      </c>
      <c r="W10955" s="6" t="s">
        <v>5636</v>
      </c>
      <c r="X10955" s="9" t="str">
        <f>HYPERLINK("https://my.pitchbook.com?p=436184-74P","View People Online")</f>
        <v>View People Online</v>
      </c>
    </row>
    <row r="10956">
      <c r="A10956" s="10" t="s">
        <v>5628</v>
      </c>
      <c r="B10956" s="10" t="s">
        <v>5629</v>
      </c>
      <c r="C10956" s="10" t="s">
        <v>3658</v>
      </c>
      <c r="D10956" s="10" t="s">
        <v>5630</v>
      </c>
      <c r="E10956" s="10" t="s">
        <v>5636</v>
      </c>
      <c r="F10956" s="10" t="s">
        <v>674</v>
      </c>
      <c r="G10956" s="10" t="s">
        <v>5631</v>
      </c>
      <c r="H10956" s="11">
        <v>1.0</v>
      </c>
      <c r="I10956" s="11">
        <v>14.0</v>
      </c>
      <c r="J10956" s="11">
        <v>3.0</v>
      </c>
      <c r="K10956" s="11">
        <v>3.0</v>
      </c>
      <c r="L10956" s="12" t="s">
        <v>5632</v>
      </c>
      <c r="M10956" s="10" t="s">
        <v>5633</v>
      </c>
      <c r="N10956" s="10" t="s">
        <v>775</v>
      </c>
      <c r="O10956" s="12" t="s">
        <v>776</v>
      </c>
      <c r="P10956" s="10" t="s">
        <v>5634</v>
      </c>
      <c r="Q10956" s="10" t="s">
        <v>2566</v>
      </c>
      <c r="R10956" s="10" t="s">
        <v>64</v>
      </c>
      <c r="S10956" s="12" t="s">
        <v>5635</v>
      </c>
      <c r="T10956" s="10" t="s">
        <v>66</v>
      </c>
      <c r="U10956" s="12" t="s">
        <v>31</v>
      </c>
      <c r="V10956" s="10" t="s">
        <v>674</v>
      </c>
      <c r="W10956" s="10" t="s">
        <v>5636</v>
      </c>
      <c r="X10956" s="13" t="str">
        <f>HYPERLINK("https://my.pitchbook.com?p=280631-44P","View People Online")</f>
        <v>View People Online</v>
      </c>
    </row>
    <row r="10957">
      <c r="A10957" s="6" t="s">
        <v>67245</v>
      </c>
      <c r="B10957" s="6" t="s">
        <v>67246</v>
      </c>
      <c r="C10957" s="6" t="s">
        <v>67247</v>
      </c>
      <c r="D10957" s="6" t="s">
        <v>67248</v>
      </c>
      <c r="E10957" s="6" t="s">
        <v>5636</v>
      </c>
      <c r="F10957" s="6" t="s">
        <v>30133</v>
      </c>
      <c r="G10957" s="6" t="s">
        <v>67249</v>
      </c>
      <c r="H10957" s="7" t="s">
        <v>31</v>
      </c>
      <c r="I10957" s="7">
        <v>4.0</v>
      </c>
      <c r="J10957" s="7">
        <v>3.0</v>
      </c>
      <c r="K10957" s="7" t="s">
        <v>31</v>
      </c>
      <c r="L10957" s="8" t="s">
        <v>67243</v>
      </c>
      <c r="M10957" s="6" t="s">
        <v>67250</v>
      </c>
      <c r="N10957" s="6" t="s">
        <v>775</v>
      </c>
      <c r="O10957" s="8" t="s">
        <v>776</v>
      </c>
      <c r="P10957" s="6" t="s">
        <v>5634</v>
      </c>
      <c r="Q10957" s="6" t="s">
        <v>2566</v>
      </c>
      <c r="R10957" s="6" t="s">
        <v>64</v>
      </c>
      <c r="S10957" s="8" t="s">
        <v>5635</v>
      </c>
      <c r="T10957" s="6" t="s">
        <v>66</v>
      </c>
      <c r="U10957" s="8" t="s">
        <v>31</v>
      </c>
      <c r="V10957" s="6" t="s">
        <v>67251</v>
      </c>
      <c r="W10957" s="6" t="s">
        <v>5636</v>
      </c>
      <c r="X10957" s="9" t="str">
        <f>HYPERLINK("https://my.pitchbook.com?p=37659-07P","View People Online")</f>
        <v>View People Online</v>
      </c>
    </row>
    <row r="10958">
      <c r="A10958" s="10" t="s">
        <v>67252</v>
      </c>
      <c r="B10958" s="10" t="s">
        <v>67253</v>
      </c>
      <c r="C10958" s="10" t="s">
        <v>7252</v>
      </c>
      <c r="D10958" s="10" t="s">
        <v>2456</v>
      </c>
      <c r="E10958" s="10" t="s">
        <v>67254</v>
      </c>
      <c r="F10958" s="10" t="s">
        <v>67255</v>
      </c>
      <c r="G10958" s="10" t="s">
        <v>67256</v>
      </c>
      <c r="H10958" s="11" t="s">
        <v>31</v>
      </c>
      <c r="I10958" s="11">
        <v>1.0</v>
      </c>
      <c r="J10958" s="11">
        <v>1.0</v>
      </c>
      <c r="K10958" s="11" t="s">
        <v>31</v>
      </c>
      <c r="L10958" s="12" t="s">
        <v>67257</v>
      </c>
      <c r="M10958" s="10" t="s">
        <v>67258</v>
      </c>
      <c r="N10958" s="10" t="s">
        <v>75</v>
      </c>
      <c r="O10958" s="12" t="s">
        <v>76</v>
      </c>
      <c r="P10958" s="10" t="s">
        <v>67259</v>
      </c>
      <c r="Q10958" s="10" t="s">
        <v>67260</v>
      </c>
      <c r="R10958" s="10" t="s">
        <v>75</v>
      </c>
      <c r="S10958" s="12" t="s">
        <v>67261</v>
      </c>
      <c r="T10958" s="10" t="s">
        <v>66</v>
      </c>
      <c r="U10958" s="12" t="s">
        <v>31</v>
      </c>
      <c r="V10958" s="10" t="s">
        <v>67262</v>
      </c>
      <c r="W10958" s="10" t="s">
        <v>67254</v>
      </c>
      <c r="X10958" s="13" t="str">
        <f>HYPERLINK("https://my.pitchbook.com?p=222429-88P","View People Online")</f>
        <v>View People Online</v>
      </c>
    </row>
    <row r="10959">
      <c r="A10959" s="14" t="s">
        <v>67263</v>
      </c>
      <c r="B10959" s="14" t="s">
        <v>67264</v>
      </c>
      <c r="C10959" s="14" t="s">
        <v>7483</v>
      </c>
      <c r="D10959" s="14" t="s">
        <v>67265</v>
      </c>
      <c r="E10959" s="14" t="s">
        <v>67254</v>
      </c>
      <c r="F10959" s="14" t="s">
        <v>11212</v>
      </c>
      <c r="G10959" s="14" t="s">
        <v>67266</v>
      </c>
      <c r="H10959" s="15" t="s">
        <v>31</v>
      </c>
      <c r="I10959" s="15">
        <v>1.0</v>
      </c>
      <c r="J10959" s="15">
        <v>1.0</v>
      </c>
      <c r="K10959" s="15" t="s">
        <v>31</v>
      </c>
      <c r="L10959" s="16" t="s">
        <v>67257</v>
      </c>
      <c r="M10959" s="14" t="s">
        <v>67267</v>
      </c>
      <c r="N10959" s="14" t="s">
        <v>75</v>
      </c>
      <c r="O10959" s="16" t="s">
        <v>76</v>
      </c>
      <c r="P10959" s="14" t="s">
        <v>67259</v>
      </c>
      <c r="Q10959" s="14" t="s">
        <v>67260</v>
      </c>
      <c r="R10959" s="14" t="s">
        <v>75</v>
      </c>
      <c r="S10959" s="16" t="s">
        <v>67261</v>
      </c>
      <c r="T10959" s="14" t="s">
        <v>66</v>
      </c>
      <c r="U10959" s="16" t="s">
        <v>31</v>
      </c>
      <c r="V10959" s="14" t="s">
        <v>11212</v>
      </c>
      <c r="W10959" s="14" t="s">
        <v>67254</v>
      </c>
      <c r="X10959" s="17" t="str">
        <f>HYPERLINK("https://my.pitchbook.com?p=243122-14P","View People Online")</f>
        <v>View People Online</v>
      </c>
    </row>
    <row r="10960">
      <c r="A10960" s="2" t="s">
        <v>67268</v>
      </c>
      <c r="B10960" s="2" t="s">
        <v>67269</v>
      </c>
      <c r="C10960" s="2" t="s">
        <v>1323</v>
      </c>
      <c r="D10960" s="2" t="s">
        <v>67270</v>
      </c>
      <c r="E10960" s="2" t="s">
        <v>67254</v>
      </c>
      <c r="F10960" s="2" t="s">
        <v>502</v>
      </c>
      <c r="G10960" s="2" t="s">
        <v>67271</v>
      </c>
      <c r="H10960" s="3" t="s">
        <v>31</v>
      </c>
      <c r="I10960" s="3">
        <v>1.0</v>
      </c>
      <c r="J10960" s="3">
        <v>1.0</v>
      </c>
      <c r="K10960" s="3" t="s">
        <v>31</v>
      </c>
      <c r="L10960" s="4" t="s">
        <v>67257</v>
      </c>
      <c r="M10960" s="2" t="s">
        <v>67272</v>
      </c>
      <c r="N10960" s="2" t="s">
        <v>75</v>
      </c>
      <c r="O10960" s="4" t="s">
        <v>76</v>
      </c>
      <c r="P10960" s="2" t="s">
        <v>67259</v>
      </c>
      <c r="Q10960" s="2" t="s">
        <v>67260</v>
      </c>
      <c r="R10960" s="2" t="s">
        <v>75</v>
      </c>
      <c r="S10960" s="4" t="s">
        <v>67261</v>
      </c>
      <c r="T10960" s="2" t="s">
        <v>66</v>
      </c>
      <c r="U10960" s="4" t="s">
        <v>31</v>
      </c>
      <c r="V10960" s="2" t="s">
        <v>502</v>
      </c>
      <c r="W10960" s="2" t="s">
        <v>67254</v>
      </c>
      <c r="X10960" s="5" t="str">
        <f>HYPERLINK("https://my.pitchbook.com?p=188521-39P","View People Online")</f>
        <v>View People Online</v>
      </c>
    </row>
    <row r="10961">
      <c r="A10961" s="6" t="s">
        <v>67273</v>
      </c>
      <c r="B10961" s="6" t="s">
        <v>67274</v>
      </c>
      <c r="C10961" s="6" t="s">
        <v>49908</v>
      </c>
      <c r="D10961" s="6" t="s">
        <v>67275</v>
      </c>
      <c r="E10961" s="6" t="s">
        <v>67254</v>
      </c>
      <c r="F10961" s="6" t="s">
        <v>78</v>
      </c>
      <c r="G10961" s="6" t="s">
        <v>67276</v>
      </c>
      <c r="H10961" s="7" t="s">
        <v>31</v>
      </c>
      <c r="I10961" s="7">
        <v>1.0</v>
      </c>
      <c r="J10961" s="7">
        <v>1.0</v>
      </c>
      <c r="K10961" s="7" t="s">
        <v>31</v>
      </c>
      <c r="L10961" s="8" t="s">
        <v>67257</v>
      </c>
      <c r="M10961" s="6" t="s">
        <v>67277</v>
      </c>
      <c r="N10961" s="6" t="s">
        <v>75</v>
      </c>
      <c r="O10961" s="8" t="s">
        <v>76</v>
      </c>
      <c r="P10961" s="6" t="s">
        <v>67259</v>
      </c>
      <c r="Q10961" s="6" t="s">
        <v>67260</v>
      </c>
      <c r="R10961" s="6" t="s">
        <v>75</v>
      </c>
      <c r="S10961" s="8" t="s">
        <v>67261</v>
      </c>
      <c r="T10961" s="6" t="s">
        <v>66</v>
      </c>
      <c r="U10961" s="8" t="s">
        <v>31</v>
      </c>
      <c r="V10961" s="6" t="s">
        <v>6287</v>
      </c>
      <c r="W10961" s="6" t="s">
        <v>67254</v>
      </c>
      <c r="X10961" s="9" t="str">
        <f>HYPERLINK("https://my.pitchbook.com?p=398198-08P","View People Online")</f>
        <v>View People Online</v>
      </c>
    </row>
    <row r="10962">
      <c r="A10962" s="10" t="s">
        <v>67278</v>
      </c>
      <c r="B10962" s="10" t="s">
        <v>67279</v>
      </c>
      <c r="C10962" s="10" t="s">
        <v>17524</v>
      </c>
      <c r="D10962" s="10" t="s">
        <v>67280</v>
      </c>
      <c r="E10962" s="10" t="s">
        <v>67254</v>
      </c>
      <c r="F10962" s="10" t="s">
        <v>583</v>
      </c>
      <c r="G10962" s="10" t="s">
        <v>67281</v>
      </c>
      <c r="H10962" s="11" t="s">
        <v>31</v>
      </c>
      <c r="I10962" s="11">
        <v>2.0</v>
      </c>
      <c r="J10962" s="11">
        <v>1.0</v>
      </c>
      <c r="K10962" s="11">
        <v>1.0</v>
      </c>
      <c r="L10962" s="12" t="s">
        <v>67257</v>
      </c>
      <c r="M10962" s="10" t="s">
        <v>67282</v>
      </c>
      <c r="N10962" s="10" t="s">
        <v>75</v>
      </c>
      <c r="O10962" s="12" t="s">
        <v>76</v>
      </c>
      <c r="P10962" s="10" t="s">
        <v>67259</v>
      </c>
      <c r="Q10962" s="10" t="s">
        <v>67260</v>
      </c>
      <c r="R10962" s="10" t="s">
        <v>75</v>
      </c>
      <c r="S10962" s="12" t="s">
        <v>67261</v>
      </c>
      <c r="T10962" s="10" t="s">
        <v>66</v>
      </c>
      <c r="U10962" s="12" t="s">
        <v>31</v>
      </c>
      <c r="V10962" s="10" t="s">
        <v>583</v>
      </c>
      <c r="W10962" s="10" t="s">
        <v>67254</v>
      </c>
      <c r="X10962" s="13" t="str">
        <f>HYPERLINK("https://my.pitchbook.com?p=415609-30P","View People Online")</f>
        <v>View People Online</v>
      </c>
    </row>
    <row r="10963">
      <c r="A10963" s="6" t="s">
        <v>67283</v>
      </c>
      <c r="B10963" s="6" t="s">
        <v>67284</v>
      </c>
      <c r="C10963" s="6" t="s">
        <v>1343</v>
      </c>
      <c r="D10963" s="6" t="s">
        <v>67285</v>
      </c>
      <c r="E10963" s="6" t="s">
        <v>67254</v>
      </c>
      <c r="F10963" s="6" t="s">
        <v>67286</v>
      </c>
      <c r="G10963" s="6" t="s">
        <v>67287</v>
      </c>
      <c r="H10963" s="7">
        <v>5.0</v>
      </c>
      <c r="I10963" s="7">
        <v>26.0</v>
      </c>
      <c r="J10963" s="7">
        <v>2.0</v>
      </c>
      <c r="K10963" s="7">
        <v>15.0</v>
      </c>
      <c r="L10963" s="8" t="s">
        <v>67288</v>
      </c>
      <c r="M10963" s="6" t="s">
        <v>67289</v>
      </c>
      <c r="N10963" s="6" t="s">
        <v>1181</v>
      </c>
      <c r="O10963" s="8" t="s">
        <v>1182</v>
      </c>
      <c r="P10963" s="6" t="s">
        <v>67290</v>
      </c>
      <c r="Q10963" s="6" t="s">
        <v>10135</v>
      </c>
      <c r="R10963" s="6" t="s">
        <v>1185</v>
      </c>
      <c r="S10963" s="8" t="s">
        <v>6739</v>
      </c>
      <c r="T10963" s="6" t="s">
        <v>66</v>
      </c>
      <c r="U10963" s="8" t="s">
        <v>31</v>
      </c>
      <c r="V10963" s="6" t="s">
        <v>29</v>
      </c>
      <c r="W10963" s="6" t="s">
        <v>67291</v>
      </c>
      <c r="X10963" s="9" t="str">
        <f>HYPERLINK("https://my.pitchbook.com?p=51538-96P","View People Online")</f>
        <v>View People Online</v>
      </c>
    </row>
    <row r="10964">
      <c r="A10964" s="10" t="s">
        <v>67292</v>
      </c>
      <c r="B10964" s="10" t="s">
        <v>67293</v>
      </c>
      <c r="C10964" s="10" t="s">
        <v>1343</v>
      </c>
      <c r="D10964" s="10" t="s">
        <v>67294</v>
      </c>
      <c r="E10964" s="10" t="s">
        <v>67254</v>
      </c>
      <c r="F10964" s="10" t="s">
        <v>1249</v>
      </c>
      <c r="G10964" s="10" t="s">
        <v>67295</v>
      </c>
      <c r="H10964" s="11">
        <v>1.0</v>
      </c>
      <c r="I10964" s="11">
        <v>4.0</v>
      </c>
      <c r="J10964" s="11">
        <v>1.0</v>
      </c>
      <c r="K10964" s="11">
        <v>3.0</v>
      </c>
      <c r="L10964" s="12" t="s">
        <v>67257</v>
      </c>
      <c r="M10964" s="10" t="s">
        <v>67296</v>
      </c>
      <c r="N10964" s="10" t="s">
        <v>75</v>
      </c>
      <c r="O10964" s="12" t="s">
        <v>76</v>
      </c>
      <c r="P10964" s="10" t="s">
        <v>67259</v>
      </c>
      <c r="Q10964" s="10" t="s">
        <v>67260</v>
      </c>
      <c r="R10964" s="10" t="s">
        <v>75</v>
      </c>
      <c r="S10964" s="12" t="s">
        <v>67261</v>
      </c>
      <c r="T10964" s="10" t="s">
        <v>66</v>
      </c>
      <c r="U10964" s="12" t="s">
        <v>31</v>
      </c>
      <c r="V10964" s="10" t="s">
        <v>1252</v>
      </c>
      <c r="W10964" s="10" t="s">
        <v>67254</v>
      </c>
      <c r="X10964" s="13" t="str">
        <f>HYPERLINK("https://my.pitchbook.com?p=175245-22P","View People Online")</f>
        <v>View People Online</v>
      </c>
    </row>
    <row r="10965">
      <c r="A10965" s="14" t="s">
        <v>67297</v>
      </c>
      <c r="B10965" s="14" t="s">
        <v>67298</v>
      </c>
      <c r="C10965" s="14" t="s">
        <v>3040</v>
      </c>
      <c r="D10965" s="14" t="s">
        <v>18184</v>
      </c>
      <c r="E10965" s="14" t="s">
        <v>67254</v>
      </c>
      <c r="F10965" s="14" t="s">
        <v>12225</v>
      </c>
      <c r="G10965" s="14" t="s">
        <v>67299</v>
      </c>
      <c r="H10965" s="15">
        <v>2.0</v>
      </c>
      <c r="I10965" s="15">
        <v>3.0</v>
      </c>
      <c r="J10965" s="15">
        <v>2.0</v>
      </c>
      <c r="K10965" s="15">
        <v>1.0</v>
      </c>
      <c r="L10965" s="16" t="s">
        <v>67257</v>
      </c>
      <c r="M10965" s="14" t="s">
        <v>67300</v>
      </c>
      <c r="N10965" s="14" t="s">
        <v>75</v>
      </c>
      <c r="O10965" s="16" t="s">
        <v>76</v>
      </c>
      <c r="P10965" s="14" t="s">
        <v>67259</v>
      </c>
      <c r="Q10965" s="14" t="s">
        <v>67260</v>
      </c>
      <c r="R10965" s="14" t="s">
        <v>75</v>
      </c>
      <c r="S10965" s="16" t="s">
        <v>67261</v>
      </c>
      <c r="T10965" s="14" t="s">
        <v>66</v>
      </c>
      <c r="U10965" s="16" t="s">
        <v>31</v>
      </c>
      <c r="V10965" s="14" t="s">
        <v>3930</v>
      </c>
      <c r="W10965" s="14" t="s">
        <v>67254</v>
      </c>
      <c r="X10965" s="17" t="str">
        <f>HYPERLINK("https://my.pitchbook.com?p=61865-02P","View People Online")</f>
        <v>View People Online</v>
      </c>
    </row>
    <row r="10966">
      <c r="A10966" s="2" t="s">
        <v>67301</v>
      </c>
      <c r="B10966" s="2" t="s">
        <v>67302</v>
      </c>
      <c r="C10966" s="2" t="s">
        <v>18382</v>
      </c>
      <c r="D10966" s="2" t="s">
        <v>28011</v>
      </c>
      <c r="E10966" s="2" t="s">
        <v>67254</v>
      </c>
      <c r="F10966" s="2" t="s">
        <v>4406</v>
      </c>
      <c r="G10966" s="2" t="s">
        <v>67303</v>
      </c>
      <c r="H10966" s="3" t="s">
        <v>31</v>
      </c>
      <c r="I10966" s="3">
        <v>1.0</v>
      </c>
      <c r="J10966" s="3">
        <v>1.0</v>
      </c>
      <c r="K10966" s="3" t="s">
        <v>31</v>
      </c>
      <c r="L10966" s="4" t="s">
        <v>67257</v>
      </c>
      <c r="M10966" s="2" t="s">
        <v>67304</v>
      </c>
      <c r="N10966" s="2" t="s">
        <v>75</v>
      </c>
      <c r="O10966" s="4" t="s">
        <v>76</v>
      </c>
      <c r="P10966" s="2" t="s">
        <v>67259</v>
      </c>
      <c r="Q10966" s="2" t="s">
        <v>67260</v>
      </c>
      <c r="R10966" s="2" t="s">
        <v>75</v>
      </c>
      <c r="S10966" s="4" t="s">
        <v>67261</v>
      </c>
      <c r="T10966" s="2" t="s">
        <v>66</v>
      </c>
      <c r="U10966" s="4" t="s">
        <v>31</v>
      </c>
      <c r="V10966" s="2" t="s">
        <v>4406</v>
      </c>
      <c r="W10966" s="2" t="s">
        <v>67254</v>
      </c>
      <c r="X10966" s="5" t="str">
        <f>HYPERLINK("https://my.pitchbook.com?p=264335-86P","View People Online")</f>
        <v>View People Online</v>
      </c>
    </row>
    <row r="10967">
      <c r="A10967" s="14" t="s">
        <v>67305</v>
      </c>
      <c r="B10967" s="14" t="s">
        <v>67306</v>
      </c>
      <c r="C10967" s="14" t="s">
        <v>2469</v>
      </c>
      <c r="D10967" s="14" t="s">
        <v>67307</v>
      </c>
      <c r="E10967" s="14" t="s">
        <v>67254</v>
      </c>
      <c r="F10967" s="14" t="s">
        <v>81</v>
      </c>
      <c r="G10967" s="14" t="s">
        <v>67308</v>
      </c>
      <c r="H10967" s="15" t="s">
        <v>31</v>
      </c>
      <c r="I10967" s="15">
        <v>2.0</v>
      </c>
      <c r="J10967" s="15">
        <v>1.0</v>
      </c>
      <c r="K10967" s="15" t="s">
        <v>31</v>
      </c>
      <c r="L10967" s="16" t="s">
        <v>31</v>
      </c>
      <c r="M10967" s="14" t="s">
        <v>67309</v>
      </c>
      <c r="N10967" s="14" t="s">
        <v>1034</v>
      </c>
      <c r="O10967" s="16" t="s">
        <v>1035</v>
      </c>
      <c r="P10967" s="14" t="s">
        <v>67310</v>
      </c>
      <c r="Q10967" s="14" t="s">
        <v>67311</v>
      </c>
      <c r="R10967" s="14" t="s">
        <v>31</v>
      </c>
      <c r="S10967" s="16" t="s">
        <v>67312</v>
      </c>
      <c r="T10967" s="14" t="s">
        <v>1034</v>
      </c>
      <c r="U10967" s="16" t="s">
        <v>31</v>
      </c>
      <c r="V10967" s="14" t="s">
        <v>3665</v>
      </c>
      <c r="W10967" s="14" t="s">
        <v>67313</v>
      </c>
      <c r="X10967" s="17" t="str">
        <f>HYPERLINK("https://my.pitchbook.com?p=191197-45P","View People Online")</f>
        <v>View People Online</v>
      </c>
    </row>
    <row r="10968">
      <c r="A10968" s="2" t="s">
        <v>67314</v>
      </c>
      <c r="B10968" s="2" t="s">
        <v>67315</v>
      </c>
      <c r="C10968" s="2" t="s">
        <v>126</v>
      </c>
      <c r="D10968" s="2" t="s">
        <v>2561</v>
      </c>
      <c r="E10968" s="2" t="s">
        <v>67254</v>
      </c>
      <c r="F10968" s="2" t="s">
        <v>3710</v>
      </c>
      <c r="G10968" s="2" t="s">
        <v>67316</v>
      </c>
      <c r="H10968" s="3">
        <v>1.0</v>
      </c>
      <c r="I10968" s="3">
        <v>5.0</v>
      </c>
      <c r="J10968" s="3">
        <v>1.0</v>
      </c>
      <c r="K10968" s="3">
        <v>2.0</v>
      </c>
      <c r="L10968" s="4" t="s">
        <v>67317</v>
      </c>
      <c r="M10968" s="2" t="s">
        <v>67318</v>
      </c>
      <c r="N10968" s="2" t="s">
        <v>75</v>
      </c>
      <c r="O10968" s="4" t="s">
        <v>76</v>
      </c>
      <c r="P10968" s="2" t="s">
        <v>67259</v>
      </c>
      <c r="Q10968" s="2" t="s">
        <v>67260</v>
      </c>
      <c r="R10968" s="2" t="s">
        <v>75</v>
      </c>
      <c r="S10968" s="4" t="s">
        <v>67261</v>
      </c>
      <c r="T10968" s="2" t="s">
        <v>66</v>
      </c>
      <c r="U10968" s="4" t="s">
        <v>31</v>
      </c>
      <c r="V10968" s="2" t="s">
        <v>3710</v>
      </c>
      <c r="W10968" s="2" t="s">
        <v>67254</v>
      </c>
      <c r="X10968" s="5" t="str">
        <f>HYPERLINK("https://my.pitchbook.com?p=129977-65P","View People Online")</f>
        <v>View People Online</v>
      </c>
    </row>
    <row r="10969">
      <c r="A10969" s="14" t="s">
        <v>67319</v>
      </c>
      <c r="B10969" s="14" t="s">
        <v>67320</v>
      </c>
      <c r="C10969" s="14" t="s">
        <v>20212</v>
      </c>
      <c r="D10969" s="14" t="s">
        <v>67321</v>
      </c>
      <c r="E10969" s="14" t="s">
        <v>67254</v>
      </c>
      <c r="F10969" s="14" t="s">
        <v>67322</v>
      </c>
      <c r="G10969" s="14" t="s">
        <v>67323</v>
      </c>
      <c r="H10969" s="15" t="s">
        <v>31</v>
      </c>
      <c r="I10969" s="15">
        <v>4.0</v>
      </c>
      <c r="J10969" s="15">
        <v>1.0</v>
      </c>
      <c r="K10969" s="15">
        <v>3.0</v>
      </c>
      <c r="L10969" s="16" t="s">
        <v>67257</v>
      </c>
      <c r="M10969" s="14" t="s">
        <v>67324</v>
      </c>
      <c r="N10969" s="14" t="s">
        <v>75</v>
      </c>
      <c r="O10969" s="16" t="s">
        <v>76</v>
      </c>
      <c r="P10969" s="14" t="s">
        <v>67259</v>
      </c>
      <c r="Q10969" s="14" t="s">
        <v>67260</v>
      </c>
      <c r="R10969" s="14" t="s">
        <v>75</v>
      </c>
      <c r="S10969" s="16" t="s">
        <v>67261</v>
      </c>
      <c r="T10969" s="14" t="s">
        <v>66</v>
      </c>
      <c r="U10969" s="16" t="s">
        <v>31</v>
      </c>
      <c r="V10969" s="14" t="s">
        <v>36870</v>
      </c>
      <c r="W10969" s="14" t="s">
        <v>67254</v>
      </c>
      <c r="X10969" s="17" t="str">
        <f>HYPERLINK("https://my.pitchbook.com?p=222432-13P","View People Online")</f>
        <v>View People Online</v>
      </c>
    </row>
    <row r="10970">
      <c r="A10970" s="2" t="s">
        <v>67325</v>
      </c>
      <c r="B10970" s="2" t="s">
        <v>67326</v>
      </c>
      <c r="C10970" s="2" t="s">
        <v>934</v>
      </c>
      <c r="D10970" s="2" t="s">
        <v>67327</v>
      </c>
      <c r="E10970" s="2" t="s">
        <v>67254</v>
      </c>
      <c r="F10970" s="2" t="s">
        <v>67328</v>
      </c>
      <c r="G10970" s="2" t="s">
        <v>67329</v>
      </c>
      <c r="H10970" s="3" t="s">
        <v>31</v>
      </c>
      <c r="I10970" s="3">
        <v>5.0</v>
      </c>
      <c r="J10970" s="3">
        <v>1.0</v>
      </c>
      <c r="K10970" s="3">
        <v>3.0</v>
      </c>
      <c r="L10970" s="4" t="s">
        <v>67257</v>
      </c>
      <c r="M10970" s="2" t="s">
        <v>67330</v>
      </c>
      <c r="N10970" s="2" t="s">
        <v>75</v>
      </c>
      <c r="O10970" s="4" t="s">
        <v>76</v>
      </c>
      <c r="P10970" s="2" t="s">
        <v>67259</v>
      </c>
      <c r="Q10970" s="2" t="s">
        <v>67260</v>
      </c>
      <c r="R10970" s="2" t="s">
        <v>75</v>
      </c>
      <c r="S10970" s="4" t="s">
        <v>67261</v>
      </c>
      <c r="T10970" s="2" t="s">
        <v>66</v>
      </c>
      <c r="U10970" s="4" t="s">
        <v>31</v>
      </c>
      <c r="V10970" s="2" t="s">
        <v>67331</v>
      </c>
      <c r="W10970" s="2" t="s">
        <v>67254</v>
      </c>
      <c r="X10970" s="5" t="str">
        <f>HYPERLINK("https://my.pitchbook.com?p=44539-93P","View People Online")</f>
        <v>View People Online</v>
      </c>
    </row>
    <row r="10971">
      <c r="A10971" s="14" t="s">
        <v>67332</v>
      </c>
      <c r="B10971" s="14" t="s">
        <v>67333</v>
      </c>
      <c r="C10971" s="14" t="s">
        <v>9524</v>
      </c>
      <c r="D10971" s="14" t="s">
        <v>28011</v>
      </c>
      <c r="E10971" s="14" t="s">
        <v>67254</v>
      </c>
      <c r="F10971" s="14" t="s">
        <v>81</v>
      </c>
      <c r="G10971" s="14" t="s">
        <v>67334</v>
      </c>
      <c r="H10971" s="15">
        <v>1.0</v>
      </c>
      <c r="I10971" s="15">
        <v>14.0</v>
      </c>
      <c r="J10971" s="15">
        <v>2.0</v>
      </c>
      <c r="K10971" s="15">
        <v>5.0</v>
      </c>
      <c r="L10971" s="16" t="s">
        <v>67335</v>
      </c>
      <c r="M10971" s="14" t="s">
        <v>67336</v>
      </c>
      <c r="N10971" s="14" t="s">
        <v>775</v>
      </c>
      <c r="O10971" s="16" t="s">
        <v>776</v>
      </c>
      <c r="P10971" s="14" t="s">
        <v>67337</v>
      </c>
      <c r="Q10971" s="14" t="s">
        <v>31</v>
      </c>
      <c r="R10971" s="14" t="s">
        <v>64</v>
      </c>
      <c r="S10971" s="16" t="s">
        <v>779</v>
      </c>
      <c r="T10971" s="14" t="s">
        <v>66</v>
      </c>
      <c r="U10971" s="16" t="s">
        <v>31</v>
      </c>
      <c r="V10971" s="14" t="s">
        <v>28914</v>
      </c>
      <c r="W10971" s="14" t="s">
        <v>67338</v>
      </c>
      <c r="X10971" s="17" t="str">
        <f>HYPERLINK("https://my.pitchbook.com?p=48321-28P","View People Online")</f>
        <v>View People Online</v>
      </c>
    </row>
    <row r="10972">
      <c r="A10972" s="2" t="s">
        <v>67339</v>
      </c>
      <c r="B10972" s="2" t="s">
        <v>67340</v>
      </c>
      <c r="C10972" s="2" t="s">
        <v>20627</v>
      </c>
      <c r="D10972" s="2" t="s">
        <v>57389</v>
      </c>
      <c r="E10972" s="2" t="s">
        <v>67254</v>
      </c>
      <c r="F10972" s="2" t="s">
        <v>3665</v>
      </c>
      <c r="G10972" s="2" t="s">
        <v>67341</v>
      </c>
      <c r="H10972" s="3" t="s">
        <v>31</v>
      </c>
      <c r="I10972" s="3">
        <v>1.0</v>
      </c>
      <c r="J10972" s="3">
        <v>1.0</v>
      </c>
      <c r="K10972" s="3" t="s">
        <v>31</v>
      </c>
      <c r="L10972" s="4" t="s">
        <v>67257</v>
      </c>
      <c r="M10972" s="2" t="s">
        <v>67342</v>
      </c>
      <c r="N10972" s="2" t="s">
        <v>75</v>
      </c>
      <c r="O10972" s="4" t="s">
        <v>76</v>
      </c>
      <c r="P10972" s="2" t="s">
        <v>67259</v>
      </c>
      <c r="Q10972" s="2" t="s">
        <v>67260</v>
      </c>
      <c r="R10972" s="2" t="s">
        <v>75</v>
      </c>
      <c r="S10972" s="4" t="s">
        <v>67261</v>
      </c>
      <c r="T10972" s="2" t="s">
        <v>66</v>
      </c>
      <c r="U10972" s="4" t="s">
        <v>31</v>
      </c>
      <c r="V10972" s="2" t="s">
        <v>3665</v>
      </c>
      <c r="W10972" s="2" t="s">
        <v>67254</v>
      </c>
      <c r="X10972" s="5" t="str">
        <f>HYPERLINK("https://my.pitchbook.com?p=296217-55P","View People Online")</f>
        <v>View People Online</v>
      </c>
    </row>
    <row r="10973">
      <c r="A10973" s="6" t="s">
        <v>67343</v>
      </c>
      <c r="B10973" s="6" t="s">
        <v>67344</v>
      </c>
      <c r="C10973" s="6" t="s">
        <v>2572</v>
      </c>
      <c r="D10973" s="6" t="s">
        <v>67345</v>
      </c>
      <c r="E10973" s="6" t="s">
        <v>67346</v>
      </c>
      <c r="F10973" s="6" t="s">
        <v>29</v>
      </c>
      <c r="G10973" s="6" t="s">
        <v>67347</v>
      </c>
      <c r="H10973" s="7" t="s">
        <v>31</v>
      </c>
      <c r="I10973" s="7">
        <v>49.0</v>
      </c>
      <c r="J10973" s="7">
        <v>1.0</v>
      </c>
      <c r="K10973" s="7">
        <v>45.0</v>
      </c>
      <c r="L10973" s="8" t="s">
        <v>31</v>
      </c>
      <c r="M10973" s="6" t="s">
        <v>31</v>
      </c>
      <c r="N10973" s="6" t="s">
        <v>36778</v>
      </c>
      <c r="O10973" s="8" t="s">
        <v>36779</v>
      </c>
      <c r="P10973" s="6" t="s">
        <v>67348</v>
      </c>
      <c r="Q10973" s="6" t="s">
        <v>31</v>
      </c>
      <c r="R10973" s="6" t="s">
        <v>64</v>
      </c>
      <c r="S10973" s="8" t="s">
        <v>36781</v>
      </c>
      <c r="T10973" s="6" t="s">
        <v>66</v>
      </c>
      <c r="U10973" s="8" t="s">
        <v>67349</v>
      </c>
      <c r="V10973" s="6" t="s">
        <v>67350</v>
      </c>
      <c r="W10973" s="6" t="s">
        <v>67346</v>
      </c>
      <c r="X10973" s="9" t="str">
        <f>HYPERLINK("https://my.pitchbook.com?p=120577-78P","View People Online")</f>
        <v>View People Online</v>
      </c>
    </row>
    <row r="10974">
      <c r="A10974" s="2" t="s">
        <v>67351</v>
      </c>
      <c r="B10974" s="2" t="s">
        <v>67352</v>
      </c>
      <c r="C10974" s="2" t="s">
        <v>1117</v>
      </c>
      <c r="D10974" s="2" t="s">
        <v>67353</v>
      </c>
      <c r="E10974" s="2" t="s">
        <v>67346</v>
      </c>
      <c r="F10974" s="2" t="s">
        <v>270</v>
      </c>
      <c r="G10974" s="2" t="s">
        <v>67354</v>
      </c>
      <c r="H10974" s="3" t="s">
        <v>31</v>
      </c>
      <c r="I10974" s="3">
        <v>5.0</v>
      </c>
      <c r="J10974" s="3">
        <v>1.0</v>
      </c>
      <c r="K10974" s="3">
        <v>4.0</v>
      </c>
      <c r="L10974" s="4" t="s">
        <v>31</v>
      </c>
      <c r="M10974" s="2" t="s">
        <v>31</v>
      </c>
      <c r="N10974" s="2" t="s">
        <v>36778</v>
      </c>
      <c r="O10974" s="4" t="s">
        <v>36779</v>
      </c>
      <c r="P10974" s="2" t="s">
        <v>67348</v>
      </c>
      <c r="Q10974" s="2" t="s">
        <v>31</v>
      </c>
      <c r="R10974" s="2" t="s">
        <v>64</v>
      </c>
      <c r="S10974" s="4" t="s">
        <v>36781</v>
      </c>
      <c r="T10974" s="2" t="s">
        <v>66</v>
      </c>
      <c r="U10974" s="4" t="s">
        <v>67349</v>
      </c>
      <c r="V10974" s="2" t="s">
        <v>67355</v>
      </c>
      <c r="W10974" s="2" t="s">
        <v>67346</v>
      </c>
      <c r="X10974" s="5" t="str">
        <f>HYPERLINK("https://my.pitchbook.com?p=449595-64P","View People Online")</f>
        <v>View People Online</v>
      </c>
    </row>
    <row r="10975">
      <c r="A10975" s="6" t="s">
        <v>67356</v>
      </c>
      <c r="B10975" s="6" t="s">
        <v>67357</v>
      </c>
      <c r="C10975" s="6" t="s">
        <v>4851</v>
      </c>
      <c r="D10975" s="6" t="s">
        <v>67358</v>
      </c>
      <c r="E10975" s="6" t="s">
        <v>67346</v>
      </c>
      <c r="F10975" s="6" t="s">
        <v>29</v>
      </c>
      <c r="G10975" s="6" t="s">
        <v>67359</v>
      </c>
      <c r="H10975" s="7" t="s">
        <v>31</v>
      </c>
      <c r="I10975" s="7">
        <v>81.0</v>
      </c>
      <c r="J10975" s="7">
        <v>1.0</v>
      </c>
      <c r="K10975" s="7">
        <v>75.0</v>
      </c>
      <c r="L10975" s="8" t="s">
        <v>31</v>
      </c>
      <c r="M10975" s="6" t="s">
        <v>31</v>
      </c>
      <c r="N10975" s="6" t="s">
        <v>36778</v>
      </c>
      <c r="O10975" s="8" t="s">
        <v>36779</v>
      </c>
      <c r="P10975" s="6" t="s">
        <v>67348</v>
      </c>
      <c r="Q10975" s="6" t="s">
        <v>31</v>
      </c>
      <c r="R10975" s="6" t="s">
        <v>64</v>
      </c>
      <c r="S10975" s="8" t="s">
        <v>36781</v>
      </c>
      <c r="T10975" s="6" t="s">
        <v>66</v>
      </c>
      <c r="U10975" s="8" t="s">
        <v>67349</v>
      </c>
      <c r="V10975" s="6" t="s">
        <v>2312</v>
      </c>
      <c r="W10975" s="6" t="s">
        <v>67357</v>
      </c>
      <c r="X10975" s="9" t="str">
        <f>HYPERLINK("https://my.pitchbook.com?p=214688-35P","View People Online")</f>
        <v>View People Online</v>
      </c>
    </row>
    <row r="10976">
      <c r="A10976" s="10" t="s">
        <v>67360</v>
      </c>
      <c r="B10976" s="10" t="s">
        <v>67361</v>
      </c>
      <c r="C10976" s="10" t="s">
        <v>67362</v>
      </c>
      <c r="D10976" s="10" t="s">
        <v>60997</v>
      </c>
      <c r="E10976" s="10" t="s">
        <v>67346</v>
      </c>
      <c r="F10976" s="10" t="s">
        <v>1283</v>
      </c>
      <c r="G10976" s="10" t="s">
        <v>67363</v>
      </c>
      <c r="H10976" s="11">
        <v>1.0</v>
      </c>
      <c r="I10976" s="11">
        <v>7.0</v>
      </c>
      <c r="J10976" s="11">
        <v>2.0</v>
      </c>
      <c r="K10976" s="11">
        <v>2.0</v>
      </c>
      <c r="L10976" s="12" t="s">
        <v>67364</v>
      </c>
      <c r="M10976" s="10" t="s">
        <v>31</v>
      </c>
      <c r="N10976" s="10" t="s">
        <v>11029</v>
      </c>
      <c r="O10976" s="12" t="s">
        <v>11030</v>
      </c>
      <c r="P10976" s="10" t="s">
        <v>67365</v>
      </c>
      <c r="Q10976" s="10" t="s">
        <v>67366</v>
      </c>
      <c r="R10976" s="10" t="s">
        <v>10017</v>
      </c>
      <c r="S10976" s="12" t="s">
        <v>67367</v>
      </c>
      <c r="T10976" s="10" t="s">
        <v>66</v>
      </c>
      <c r="U10976" s="12" t="s">
        <v>31</v>
      </c>
      <c r="V10976" s="10" t="s">
        <v>67368</v>
      </c>
      <c r="W10976" s="10" t="s">
        <v>67369</v>
      </c>
      <c r="X10976" s="13" t="str">
        <f>HYPERLINK("https://my.pitchbook.com?p=47652-40P","View People Online")</f>
        <v>View People Online</v>
      </c>
    </row>
    <row r="10977">
      <c r="A10977" s="6" t="s">
        <v>67370</v>
      </c>
      <c r="B10977" s="6" t="s">
        <v>67371</v>
      </c>
      <c r="C10977" s="6" t="s">
        <v>28985</v>
      </c>
      <c r="D10977" s="6" t="s">
        <v>50659</v>
      </c>
      <c r="E10977" s="6" t="s">
        <v>67346</v>
      </c>
      <c r="F10977" s="6" t="s">
        <v>3523</v>
      </c>
      <c r="G10977" s="6" t="s">
        <v>67372</v>
      </c>
      <c r="H10977" s="7" t="s">
        <v>31</v>
      </c>
      <c r="I10977" s="7">
        <v>84.0</v>
      </c>
      <c r="J10977" s="7">
        <v>2.0</v>
      </c>
      <c r="K10977" s="7">
        <v>74.0</v>
      </c>
      <c r="L10977" s="8" t="s">
        <v>31</v>
      </c>
      <c r="M10977" s="6" t="s">
        <v>31</v>
      </c>
      <c r="N10977" s="6" t="s">
        <v>36778</v>
      </c>
      <c r="O10977" s="8" t="s">
        <v>36779</v>
      </c>
      <c r="P10977" s="6" t="s">
        <v>67348</v>
      </c>
      <c r="Q10977" s="6" t="s">
        <v>31</v>
      </c>
      <c r="R10977" s="6" t="s">
        <v>64</v>
      </c>
      <c r="S10977" s="8" t="s">
        <v>36781</v>
      </c>
      <c r="T10977" s="6" t="s">
        <v>66</v>
      </c>
      <c r="U10977" s="8" t="s">
        <v>67349</v>
      </c>
      <c r="V10977" s="6" t="s">
        <v>67373</v>
      </c>
      <c r="W10977" s="6" t="s">
        <v>67346</v>
      </c>
      <c r="X10977" s="9" t="str">
        <f>HYPERLINK("https://my.pitchbook.com?p=35780-95P","View People Online")</f>
        <v>View People Online</v>
      </c>
    </row>
    <row r="10978">
      <c r="A10978" s="10" t="s">
        <v>67374</v>
      </c>
      <c r="B10978" s="10" t="s">
        <v>67375</v>
      </c>
      <c r="C10978" s="10" t="s">
        <v>1449</v>
      </c>
      <c r="D10978" s="10" t="s">
        <v>67376</v>
      </c>
      <c r="E10978" s="10" t="s">
        <v>67346</v>
      </c>
      <c r="F10978" s="10" t="s">
        <v>29</v>
      </c>
      <c r="G10978" s="10" t="s">
        <v>67377</v>
      </c>
      <c r="H10978" s="11" t="s">
        <v>31</v>
      </c>
      <c r="I10978" s="11">
        <v>48.0</v>
      </c>
      <c r="J10978" s="11">
        <v>1.0</v>
      </c>
      <c r="K10978" s="11">
        <v>46.0</v>
      </c>
      <c r="L10978" s="12" t="s">
        <v>31</v>
      </c>
      <c r="M10978" s="10" t="s">
        <v>67378</v>
      </c>
      <c r="N10978" s="10" t="s">
        <v>36778</v>
      </c>
      <c r="O10978" s="12" t="s">
        <v>36779</v>
      </c>
      <c r="P10978" s="10" t="s">
        <v>67348</v>
      </c>
      <c r="Q10978" s="10" t="s">
        <v>31</v>
      </c>
      <c r="R10978" s="10" t="s">
        <v>64</v>
      </c>
      <c r="S10978" s="12" t="s">
        <v>36781</v>
      </c>
      <c r="T10978" s="10" t="s">
        <v>66</v>
      </c>
      <c r="U10978" s="12" t="s">
        <v>67349</v>
      </c>
      <c r="V10978" s="10" t="s">
        <v>29</v>
      </c>
      <c r="W10978" s="10" t="s">
        <v>67346</v>
      </c>
      <c r="X10978" s="13" t="str">
        <f>HYPERLINK("https://my.pitchbook.com?p=35754-94P","View People Online")</f>
        <v>View People Online</v>
      </c>
    </row>
    <row r="10979">
      <c r="A10979" s="6" t="s">
        <v>67379</v>
      </c>
      <c r="B10979" s="6" t="s">
        <v>67380</v>
      </c>
      <c r="C10979" s="6" t="s">
        <v>1993</v>
      </c>
      <c r="D10979" s="6" t="s">
        <v>19861</v>
      </c>
      <c r="E10979" s="6" t="s">
        <v>67346</v>
      </c>
      <c r="F10979" s="6" t="s">
        <v>29</v>
      </c>
      <c r="G10979" s="6" t="s">
        <v>67381</v>
      </c>
      <c r="H10979" s="7" t="s">
        <v>31</v>
      </c>
      <c r="I10979" s="7">
        <v>41.0</v>
      </c>
      <c r="J10979" s="7">
        <v>1.0</v>
      </c>
      <c r="K10979" s="7">
        <v>40.0</v>
      </c>
      <c r="L10979" s="8" t="s">
        <v>31</v>
      </c>
      <c r="M10979" s="6" t="s">
        <v>31</v>
      </c>
      <c r="N10979" s="6" t="s">
        <v>36778</v>
      </c>
      <c r="O10979" s="8" t="s">
        <v>36779</v>
      </c>
      <c r="P10979" s="6" t="s">
        <v>67348</v>
      </c>
      <c r="Q10979" s="6" t="s">
        <v>31</v>
      </c>
      <c r="R10979" s="6" t="s">
        <v>64</v>
      </c>
      <c r="S10979" s="8" t="s">
        <v>36781</v>
      </c>
      <c r="T10979" s="6" t="s">
        <v>66</v>
      </c>
      <c r="U10979" s="8" t="s">
        <v>67349</v>
      </c>
      <c r="V10979" s="6" t="s">
        <v>67350</v>
      </c>
      <c r="W10979" s="6" t="s">
        <v>67346</v>
      </c>
      <c r="X10979" s="9" t="str">
        <f>HYPERLINK("https://my.pitchbook.com?p=149157-46P","View People Online")</f>
        <v>View People Online</v>
      </c>
    </row>
    <row r="10980">
      <c r="A10980" s="10" t="s">
        <v>67382</v>
      </c>
      <c r="B10980" s="10" t="s">
        <v>67383</v>
      </c>
      <c r="C10980" s="10" t="s">
        <v>323</v>
      </c>
      <c r="D10980" s="10" t="s">
        <v>36867</v>
      </c>
      <c r="E10980" s="10" t="s">
        <v>67346</v>
      </c>
      <c r="F10980" s="10" t="s">
        <v>29</v>
      </c>
      <c r="G10980" s="10" t="s">
        <v>67384</v>
      </c>
      <c r="H10980" s="11" t="s">
        <v>31</v>
      </c>
      <c r="I10980" s="11">
        <v>5.0</v>
      </c>
      <c r="J10980" s="11">
        <v>1.0</v>
      </c>
      <c r="K10980" s="11">
        <v>4.0</v>
      </c>
      <c r="L10980" s="12" t="s">
        <v>31</v>
      </c>
      <c r="M10980" s="10" t="s">
        <v>31</v>
      </c>
      <c r="N10980" s="10" t="s">
        <v>36778</v>
      </c>
      <c r="O10980" s="12" t="s">
        <v>36779</v>
      </c>
      <c r="P10980" s="10" t="s">
        <v>67348</v>
      </c>
      <c r="Q10980" s="10" t="s">
        <v>31</v>
      </c>
      <c r="R10980" s="10" t="s">
        <v>64</v>
      </c>
      <c r="S10980" s="12" t="s">
        <v>36781</v>
      </c>
      <c r="T10980" s="10" t="s">
        <v>66</v>
      </c>
      <c r="U10980" s="12" t="s">
        <v>67349</v>
      </c>
      <c r="V10980" s="10" t="s">
        <v>29</v>
      </c>
      <c r="W10980" s="10" t="s">
        <v>67346</v>
      </c>
      <c r="X10980" s="13" t="str">
        <f>HYPERLINK("https://my.pitchbook.com?p=192122-56P","View People Online")</f>
        <v>View People Online</v>
      </c>
    </row>
    <row r="10981">
      <c r="A10981" s="6" t="s">
        <v>67385</v>
      </c>
      <c r="B10981" s="6" t="s">
        <v>67386</v>
      </c>
      <c r="C10981" s="6" t="s">
        <v>45722</v>
      </c>
      <c r="D10981" s="6" t="s">
        <v>1085</v>
      </c>
      <c r="E10981" s="6" t="s">
        <v>67346</v>
      </c>
      <c r="F10981" s="6" t="s">
        <v>1459</v>
      </c>
      <c r="G10981" s="6" t="s">
        <v>67387</v>
      </c>
      <c r="H10981" s="7">
        <v>9.0</v>
      </c>
      <c r="I10981" s="7">
        <v>260.0</v>
      </c>
      <c r="J10981" s="7">
        <v>2.0</v>
      </c>
      <c r="K10981" s="7">
        <v>235.0</v>
      </c>
      <c r="L10981" s="8" t="s">
        <v>31</v>
      </c>
      <c r="M10981" s="6" t="s">
        <v>67388</v>
      </c>
      <c r="N10981" s="6" t="s">
        <v>155</v>
      </c>
      <c r="O10981" s="8" t="s">
        <v>156</v>
      </c>
      <c r="P10981" s="6" t="s">
        <v>67389</v>
      </c>
      <c r="Q10981" s="6" t="s">
        <v>31</v>
      </c>
      <c r="R10981" s="6" t="s">
        <v>64</v>
      </c>
      <c r="S10981" s="8" t="s">
        <v>7780</v>
      </c>
      <c r="T10981" s="6" t="s">
        <v>66</v>
      </c>
      <c r="U10981" s="8" t="s">
        <v>31</v>
      </c>
      <c r="V10981" s="6" t="s">
        <v>67390</v>
      </c>
      <c r="W10981" s="6" t="s">
        <v>67391</v>
      </c>
      <c r="X10981" s="9" t="str">
        <f>HYPERLINK("https://my.pitchbook.com?p=35544-25P","View People Online")</f>
        <v>View People Online</v>
      </c>
    </row>
    <row r="10982">
      <c r="A10982" s="10" t="s">
        <v>67392</v>
      </c>
      <c r="B10982" s="10" t="s">
        <v>67393</v>
      </c>
      <c r="C10982" s="10" t="s">
        <v>67394</v>
      </c>
      <c r="D10982" s="10" t="s">
        <v>67395</v>
      </c>
      <c r="E10982" s="10" t="s">
        <v>67346</v>
      </c>
      <c r="F10982" s="10" t="s">
        <v>43</v>
      </c>
      <c r="G10982" s="10" t="s">
        <v>67396</v>
      </c>
      <c r="H10982" s="11">
        <v>1.0</v>
      </c>
      <c r="I10982" s="11">
        <v>49.0</v>
      </c>
      <c r="J10982" s="11">
        <v>1.0</v>
      </c>
      <c r="K10982" s="11">
        <v>43.0</v>
      </c>
      <c r="L10982" s="12" t="s">
        <v>67397</v>
      </c>
      <c r="M10982" s="10" t="s">
        <v>67398</v>
      </c>
      <c r="N10982" s="10" t="s">
        <v>36778</v>
      </c>
      <c r="O10982" s="12" t="s">
        <v>36779</v>
      </c>
      <c r="P10982" s="10" t="s">
        <v>67348</v>
      </c>
      <c r="Q10982" s="10" t="s">
        <v>31</v>
      </c>
      <c r="R10982" s="10" t="s">
        <v>64</v>
      </c>
      <c r="S10982" s="12" t="s">
        <v>36781</v>
      </c>
      <c r="T10982" s="10" t="s">
        <v>66</v>
      </c>
      <c r="U10982" s="12" t="s">
        <v>67349</v>
      </c>
      <c r="V10982" s="10" t="s">
        <v>43</v>
      </c>
      <c r="W10982" s="10" t="s">
        <v>67346</v>
      </c>
      <c r="X10982" s="13" t="str">
        <f>HYPERLINK("https://my.pitchbook.com?p=40784-32P","View People Online")</f>
        <v>View People Online</v>
      </c>
    </row>
    <row r="10983">
      <c r="A10983" s="14" t="s">
        <v>67399</v>
      </c>
      <c r="B10983" s="14" t="s">
        <v>67400</v>
      </c>
      <c r="C10983" s="14" t="s">
        <v>67401</v>
      </c>
      <c r="D10983" s="14" t="s">
        <v>67402</v>
      </c>
      <c r="E10983" s="14" t="s">
        <v>67346</v>
      </c>
      <c r="F10983" s="14" t="s">
        <v>57</v>
      </c>
      <c r="G10983" s="14" t="s">
        <v>67403</v>
      </c>
      <c r="H10983" s="15" t="s">
        <v>31</v>
      </c>
      <c r="I10983" s="15">
        <v>88.0</v>
      </c>
      <c r="J10983" s="15">
        <v>1.0</v>
      </c>
      <c r="K10983" s="15">
        <v>82.0</v>
      </c>
      <c r="L10983" s="16" t="s">
        <v>31</v>
      </c>
      <c r="M10983" s="14" t="s">
        <v>31</v>
      </c>
      <c r="N10983" s="14" t="s">
        <v>36778</v>
      </c>
      <c r="O10983" s="16" t="s">
        <v>36779</v>
      </c>
      <c r="P10983" s="14" t="s">
        <v>67348</v>
      </c>
      <c r="Q10983" s="14" t="s">
        <v>31</v>
      </c>
      <c r="R10983" s="14" t="s">
        <v>64</v>
      </c>
      <c r="S10983" s="16" t="s">
        <v>36781</v>
      </c>
      <c r="T10983" s="14" t="s">
        <v>66</v>
      </c>
      <c r="U10983" s="16" t="s">
        <v>67349</v>
      </c>
      <c r="V10983" s="14" t="s">
        <v>57</v>
      </c>
      <c r="W10983" s="14" t="s">
        <v>67346</v>
      </c>
      <c r="X10983" s="17" t="str">
        <f>HYPERLINK("https://my.pitchbook.com?p=35956-81P","View People Online")</f>
        <v>View People Online</v>
      </c>
    </row>
    <row r="10984">
      <c r="A10984" s="10" t="s">
        <v>67404</v>
      </c>
      <c r="B10984" s="10" t="s">
        <v>67405</v>
      </c>
      <c r="C10984" s="10" t="s">
        <v>24317</v>
      </c>
      <c r="D10984" s="10" t="s">
        <v>1589</v>
      </c>
      <c r="E10984" s="10" t="s">
        <v>67346</v>
      </c>
      <c r="F10984" s="10" t="s">
        <v>3523</v>
      </c>
      <c r="G10984" s="10" t="s">
        <v>67406</v>
      </c>
      <c r="H10984" s="11">
        <v>1.0</v>
      </c>
      <c r="I10984" s="11">
        <v>84.0</v>
      </c>
      <c r="J10984" s="11">
        <v>1.0</v>
      </c>
      <c r="K10984" s="11">
        <v>73.0</v>
      </c>
      <c r="L10984" s="12" t="s">
        <v>31</v>
      </c>
      <c r="M10984" s="10" t="s">
        <v>31</v>
      </c>
      <c r="N10984" s="10" t="s">
        <v>155</v>
      </c>
      <c r="O10984" s="12" t="s">
        <v>156</v>
      </c>
      <c r="P10984" s="10" t="s">
        <v>31</v>
      </c>
      <c r="Q10984" s="10" t="s">
        <v>31</v>
      </c>
      <c r="R10984" s="10" t="s">
        <v>64</v>
      </c>
      <c r="S10984" s="12" t="s">
        <v>31</v>
      </c>
      <c r="T10984" s="10" t="s">
        <v>66</v>
      </c>
      <c r="U10984" s="12" t="s">
        <v>67349</v>
      </c>
      <c r="V10984" s="10" t="s">
        <v>67407</v>
      </c>
      <c r="W10984" s="10" t="s">
        <v>67346</v>
      </c>
      <c r="X10984" s="13" t="str">
        <f>HYPERLINK("https://my.pitchbook.com?p=36390-34P","View People Online")</f>
        <v>View People Online</v>
      </c>
    </row>
    <row r="10985">
      <c r="A10985" s="6" t="s">
        <v>67408</v>
      </c>
      <c r="B10985" s="6" t="s">
        <v>67409</v>
      </c>
      <c r="C10985" s="6" t="s">
        <v>5071</v>
      </c>
      <c r="D10985" s="6" t="s">
        <v>67410</v>
      </c>
      <c r="E10985" s="6" t="s">
        <v>67346</v>
      </c>
      <c r="F10985" s="6" t="s">
        <v>152</v>
      </c>
      <c r="G10985" s="6" t="s">
        <v>67411</v>
      </c>
      <c r="H10985" s="7" t="s">
        <v>31</v>
      </c>
      <c r="I10985" s="7">
        <v>18.0</v>
      </c>
      <c r="J10985" s="7">
        <v>1.0</v>
      </c>
      <c r="K10985" s="7">
        <v>15.0</v>
      </c>
      <c r="L10985" s="8" t="s">
        <v>31</v>
      </c>
      <c r="M10985" s="6" t="s">
        <v>31</v>
      </c>
      <c r="N10985" s="6" t="s">
        <v>36778</v>
      </c>
      <c r="O10985" s="8" t="s">
        <v>36779</v>
      </c>
      <c r="P10985" s="6" t="s">
        <v>67348</v>
      </c>
      <c r="Q10985" s="6" t="s">
        <v>31</v>
      </c>
      <c r="R10985" s="6" t="s">
        <v>64</v>
      </c>
      <c r="S10985" s="8" t="s">
        <v>36781</v>
      </c>
      <c r="T10985" s="6" t="s">
        <v>66</v>
      </c>
      <c r="U10985" s="8" t="s">
        <v>67349</v>
      </c>
      <c r="V10985" s="6" t="s">
        <v>157</v>
      </c>
      <c r="W10985" s="6" t="s">
        <v>67346</v>
      </c>
      <c r="X10985" s="9" t="str">
        <f>HYPERLINK("https://my.pitchbook.com?p=33554-26P","View People Online")</f>
        <v>View People Online</v>
      </c>
    </row>
    <row r="10986">
      <c r="A10986" s="10" t="s">
        <v>67412</v>
      </c>
      <c r="B10986" s="10" t="s">
        <v>67413</v>
      </c>
      <c r="C10986" s="10" t="s">
        <v>1616</v>
      </c>
      <c r="D10986" s="10" t="s">
        <v>60997</v>
      </c>
      <c r="E10986" s="10" t="s">
        <v>67346</v>
      </c>
      <c r="F10986" s="10" t="s">
        <v>1283</v>
      </c>
      <c r="G10986" s="10" t="s">
        <v>67414</v>
      </c>
      <c r="H10986" s="11" t="s">
        <v>31</v>
      </c>
      <c r="I10986" s="11">
        <v>6.0</v>
      </c>
      <c r="J10986" s="11">
        <v>1.0</v>
      </c>
      <c r="K10986" s="11" t="s">
        <v>31</v>
      </c>
      <c r="L10986" s="12" t="s">
        <v>31</v>
      </c>
      <c r="M10986" s="10" t="s">
        <v>31</v>
      </c>
      <c r="N10986" s="10" t="s">
        <v>36778</v>
      </c>
      <c r="O10986" s="12" t="s">
        <v>36779</v>
      </c>
      <c r="P10986" s="10" t="s">
        <v>67348</v>
      </c>
      <c r="Q10986" s="10" t="s">
        <v>31</v>
      </c>
      <c r="R10986" s="10" t="s">
        <v>64</v>
      </c>
      <c r="S10986" s="12" t="s">
        <v>36781</v>
      </c>
      <c r="T10986" s="10" t="s">
        <v>66</v>
      </c>
      <c r="U10986" s="12" t="s">
        <v>67349</v>
      </c>
      <c r="V10986" s="10" t="s">
        <v>67415</v>
      </c>
      <c r="W10986" s="10" t="s">
        <v>67346</v>
      </c>
      <c r="X10986" s="13" t="str">
        <f>HYPERLINK("https://my.pitchbook.com?p=103381-03P","View People Online")</f>
        <v>View People Online</v>
      </c>
    </row>
    <row r="10987">
      <c r="A10987" s="14" t="s">
        <v>67416</v>
      </c>
      <c r="B10987" s="14" t="s">
        <v>67417</v>
      </c>
      <c r="C10987" s="14" t="s">
        <v>1616</v>
      </c>
      <c r="D10987" s="14" t="s">
        <v>3644</v>
      </c>
      <c r="E10987" s="14" t="s">
        <v>67346</v>
      </c>
      <c r="F10987" s="14" t="s">
        <v>270</v>
      </c>
      <c r="G10987" s="14" t="s">
        <v>67418</v>
      </c>
      <c r="H10987" s="15" t="s">
        <v>31</v>
      </c>
      <c r="I10987" s="15">
        <v>4.0</v>
      </c>
      <c r="J10987" s="15">
        <v>1.0</v>
      </c>
      <c r="K10987" s="15">
        <v>3.0</v>
      </c>
      <c r="L10987" s="16" t="s">
        <v>31</v>
      </c>
      <c r="M10987" s="14" t="s">
        <v>31</v>
      </c>
      <c r="N10987" s="14" t="s">
        <v>36778</v>
      </c>
      <c r="O10987" s="16" t="s">
        <v>36779</v>
      </c>
      <c r="P10987" s="14" t="s">
        <v>67348</v>
      </c>
      <c r="Q10987" s="14" t="s">
        <v>31</v>
      </c>
      <c r="R10987" s="14" t="s">
        <v>64</v>
      </c>
      <c r="S10987" s="16" t="s">
        <v>36781</v>
      </c>
      <c r="T10987" s="14" t="s">
        <v>66</v>
      </c>
      <c r="U10987" s="16" t="s">
        <v>67349</v>
      </c>
      <c r="V10987" s="14" t="s">
        <v>270</v>
      </c>
      <c r="W10987" s="14" t="s">
        <v>67346</v>
      </c>
      <c r="X10987" s="17" t="str">
        <f>HYPERLINK("https://my.pitchbook.com?p=452287-54P","View People Online")</f>
        <v>View People Online</v>
      </c>
    </row>
    <row r="10988">
      <c r="A10988" s="10" t="s">
        <v>67419</v>
      </c>
      <c r="B10988" s="10" t="s">
        <v>67420</v>
      </c>
      <c r="C10988" s="10" t="s">
        <v>33160</v>
      </c>
      <c r="D10988" s="10" t="s">
        <v>67421</v>
      </c>
      <c r="E10988" s="10" t="s">
        <v>67346</v>
      </c>
      <c r="F10988" s="10" t="s">
        <v>29</v>
      </c>
      <c r="G10988" s="10" t="s">
        <v>67422</v>
      </c>
      <c r="H10988" s="11" t="s">
        <v>31</v>
      </c>
      <c r="I10988" s="11">
        <v>9.0</v>
      </c>
      <c r="J10988" s="11">
        <v>1.0</v>
      </c>
      <c r="K10988" s="11">
        <v>7.0</v>
      </c>
      <c r="L10988" s="12" t="s">
        <v>67423</v>
      </c>
      <c r="M10988" s="10" t="s">
        <v>31</v>
      </c>
      <c r="N10988" s="10" t="s">
        <v>36778</v>
      </c>
      <c r="O10988" s="12" t="s">
        <v>36779</v>
      </c>
      <c r="P10988" s="10" t="s">
        <v>67348</v>
      </c>
      <c r="Q10988" s="10" t="s">
        <v>31</v>
      </c>
      <c r="R10988" s="10" t="s">
        <v>64</v>
      </c>
      <c r="S10988" s="12" t="s">
        <v>36781</v>
      </c>
      <c r="T10988" s="10" t="s">
        <v>66</v>
      </c>
      <c r="U10988" s="12" t="s">
        <v>67349</v>
      </c>
      <c r="V10988" s="10" t="s">
        <v>67424</v>
      </c>
      <c r="W10988" s="10" t="s">
        <v>67346</v>
      </c>
      <c r="X10988" s="13" t="str">
        <f>HYPERLINK("https://my.pitchbook.com?p=65057-23P","View People Online")</f>
        <v>View People Online</v>
      </c>
    </row>
    <row r="10989">
      <c r="A10989" s="6" t="s">
        <v>67425</v>
      </c>
      <c r="B10989" s="6" t="s">
        <v>67426</v>
      </c>
      <c r="C10989" s="6" t="s">
        <v>9165</v>
      </c>
      <c r="D10989" s="6" t="s">
        <v>67427</v>
      </c>
      <c r="E10989" s="6" t="s">
        <v>67346</v>
      </c>
      <c r="F10989" s="6" t="s">
        <v>29</v>
      </c>
      <c r="G10989" s="6" t="s">
        <v>67428</v>
      </c>
      <c r="H10989" s="7" t="s">
        <v>31</v>
      </c>
      <c r="I10989" s="7">
        <v>6.0</v>
      </c>
      <c r="J10989" s="7">
        <v>1.0</v>
      </c>
      <c r="K10989" s="7">
        <v>1.0</v>
      </c>
      <c r="L10989" s="8" t="s">
        <v>31</v>
      </c>
      <c r="M10989" s="6" t="s">
        <v>67429</v>
      </c>
      <c r="N10989" s="6" t="s">
        <v>155</v>
      </c>
      <c r="O10989" s="8" t="s">
        <v>156</v>
      </c>
      <c r="P10989" s="6" t="s">
        <v>31</v>
      </c>
      <c r="Q10989" s="6" t="s">
        <v>31</v>
      </c>
      <c r="R10989" s="6" t="s">
        <v>64</v>
      </c>
      <c r="S10989" s="8" t="s">
        <v>31</v>
      </c>
      <c r="T10989" s="6" t="s">
        <v>66</v>
      </c>
      <c r="U10989" s="8" t="s">
        <v>67349</v>
      </c>
      <c r="V10989" s="6" t="s">
        <v>67430</v>
      </c>
      <c r="W10989" s="6" t="s">
        <v>67346</v>
      </c>
      <c r="X10989" s="9" t="str">
        <f>HYPERLINK("https://my.pitchbook.com?p=47653-03P","View People Online")</f>
        <v>View People Online</v>
      </c>
    </row>
    <row r="10990">
      <c r="A10990" s="10" t="s">
        <v>67431</v>
      </c>
      <c r="B10990" s="10" t="s">
        <v>67432</v>
      </c>
      <c r="C10990" s="10" t="s">
        <v>3215</v>
      </c>
      <c r="D10990" s="10" t="s">
        <v>67433</v>
      </c>
      <c r="E10990" s="10" t="s">
        <v>67346</v>
      </c>
      <c r="F10990" s="10" t="s">
        <v>43</v>
      </c>
      <c r="G10990" s="10" t="s">
        <v>67434</v>
      </c>
      <c r="H10990" s="11" t="s">
        <v>31</v>
      </c>
      <c r="I10990" s="11">
        <v>54.0</v>
      </c>
      <c r="J10990" s="11">
        <v>1.0</v>
      </c>
      <c r="K10990" s="11">
        <v>50.0</v>
      </c>
      <c r="L10990" s="12" t="s">
        <v>31</v>
      </c>
      <c r="M10990" s="10" t="s">
        <v>31</v>
      </c>
      <c r="N10990" s="10" t="s">
        <v>36778</v>
      </c>
      <c r="O10990" s="12" t="s">
        <v>36779</v>
      </c>
      <c r="P10990" s="10" t="s">
        <v>67348</v>
      </c>
      <c r="Q10990" s="10" t="s">
        <v>31</v>
      </c>
      <c r="R10990" s="10" t="s">
        <v>64</v>
      </c>
      <c r="S10990" s="12" t="s">
        <v>36781</v>
      </c>
      <c r="T10990" s="10" t="s">
        <v>66</v>
      </c>
      <c r="U10990" s="12" t="s">
        <v>67349</v>
      </c>
      <c r="V10990" s="10" t="s">
        <v>43</v>
      </c>
      <c r="W10990" s="10" t="s">
        <v>67346</v>
      </c>
      <c r="X10990" s="13" t="str">
        <f>HYPERLINK("https://my.pitchbook.com?p=54477-46P","View People Online")</f>
        <v>View People Online</v>
      </c>
    </row>
    <row r="10991">
      <c r="A10991" s="14" t="s">
        <v>67435</v>
      </c>
      <c r="B10991" s="14" t="s">
        <v>67436</v>
      </c>
      <c r="C10991" s="14" t="s">
        <v>934</v>
      </c>
      <c r="D10991" s="14" t="s">
        <v>67437</v>
      </c>
      <c r="E10991" s="14" t="s">
        <v>67346</v>
      </c>
      <c r="F10991" s="14" t="s">
        <v>29</v>
      </c>
      <c r="G10991" s="14" t="s">
        <v>67438</v>
      </c>
      <c r="H10991" s="15">
        <v>1.0</v>
      </c>
      <c r="I10991" s="15">
        <v>262.0</v>
      </c>
      <c r="J10991" s="15">
        <v>2.0</v>
      </c>
      <c r="K10991" s="15">
        <v>253.0</v>
      </c>
      <c r="L10991" s="16" t="s">
        <v>31</v>
      </c>
      <c r="M10991" s="14" t="s">
        <v>31</v>
      </c>
      <c r="N10991" s="14" t="s">
        <v>36778</v>
      </c>
      <c r="O10991" s="16" t="s">
        <v>36779</v>
      </c>
      <c r="P10991" s="14" t="s">
        <v>67348</v>
      </c>
      <c r="Q10991" s="14" t="s">
        <v>31</v>
      </c>
      <c r="R10991" s="14" t="s">
        <v>64</v>
      </c>
      <c r="S10991" s="16" t="s">
        <v>36781</v>
      </c>
      <c r="T10991" s="14" t="s">
        <v>66</v>
      </c>
      <c r="U10991" s="16" t="s">
        <v>67349</v>
      </c>
      <c r="V10991" s="14" t="s">
        <v>67350</v>
      </c>
      <c r="W10991" s="14" t="s">
        <v>67346</v>
      </c>
      <c r="X10991" s="17" t="str">
        <f>HYPERLINK("https://my.pitchbook.com?p=35956-72P","View People Online")</f>
        <v>View People Online</v>
      </c>
    </row>
    <row r="10992">
      <c r="A10992" s="10" t="s">
        <v>67439</v>
      </c>
      <c r="B10992" s="10" t="s">
        <v>67440</v>
      </c>
      <c r="C10992" s="10" t="s">
        <v>4590</v>
      </c>
      <c r="D10992" s="10" t="s">
        <v>67441</v>
      </c>
      <c r="E10992" s="10" t="s">
        <v>67346</v>
      </c>
      <c r="F10992" s="10" t="s">
        <v>29</v>
      </c>
      <c r="G10992" s="10" t="s">
        <v>67442</v>
      </c>
      <c r="H10992" s="11" t="s">
        <v>31</v>
      </c>
      <c r="I10992" s="11">
        <v>25.0</v>
      </c>
      <c r="J10992" s="11">
        <v>1.0</v>
      </c>
      <c r="K10992" s="11">
        <v>24.0</v>
      </c>
      <c r="L10992" s="12" t="s">
        <v>31</v>
      </c>
      <c r="M10992" s="10" t="s">
        <v>67443</v>
      </c>
      <c r="N10992" s="10" t="s">
        <v>36778</v>
      </c>
      <c r="O10992" s="12" t="s">
        <v>36779</v>
      </c>
      <c r="P10992" s="10" t="s">
        <v>67348</v>
      </c>
      <c r="Q10992" s="10" t="s">
        <v>31</v>
      </c>
      <c r="R10992" s="10" t="s">
        <v>64</v>
      </c>
      <c r="S10992" s="12" t="s">
        <v>36781</v>
      </c>
      <c r="T10992" s="10" t="s">
        <v>66</v>
      </c>
      <c r="U10992" s="12" t="s">
        <v>67349</v>
      </c>
      <c r="V10992" s="10" t="s">
        <v>67350</v>
      </c>
      <c r="W10992" s="10" t="s">
        <v>67346</v>
      </c>
      <c r="X10992" s="13" t="str">
        <f>HYPERLINK("https://my.pitchbook.com?p=392587-21P","View People Online")</f>
        <v>View People Online</v>
      </c>
    </row>
    <row r="10993">
      <c r="A10993" s="6" t="s">
        <v>67444</v>
      </c>
      <c r="B10993" s="6" t="s">
        <v>67445</v>
      </c>
      <c r="C10993" s="6" t="s">
        <v>4679</v>
      </c>
      <c r="D10993" s="6" t="s">
        <v>9464</v>
      </c>
      <c r="E10993" s="6" t="s">
        <v>67346</v>
      </c>
      <c r="F10993" s="6" t="s">
        <v>825</v>
      </c>
      <c r="G10993" s="6" t="s">
        <v>67446</v>
      </c>
      <c r="H10993" s="7" t="s">
        <v>31</v>
      </c>
      <c r="I10993" s="7">
        <v>1.0</v>
      </c>
      <c r="J10993" s="7">
        <v>1.0</v>
      </c>
      <c r="K10993" s="7" t="s">
        <v>31</v>
      </c>
      <c r="L10993" s="8" t="s">
        <v>31</v>
      </c>
      <c r="M10993" s="6" t="s">
        <v>67447</v>
      </c>
      <c r="N10993" s="6" t="s">
        <v>36778</v>
      </c>
      <c r="O10993" s="8" t="s">
        <v>36779</v>
      </c>
      <c r="P10993" s="6" t="s">
        <v>67348</v>
      </c>
      <c r="Q10993" s="6" t="s">
        <v>31</v>
      </c>
      <c r="R10993" s="6" t="s">
        <v>64</v>
      </c>
      <c r="S10993" s="8" t="s">
        <v>36781</v>
      </c>
      <c r="T10993" s="6" t="s">
        <v>66</v>
      </c>
      <c r="U10993" s="8" t="s">
        <v>67349</v>
      </c>
      <c r="V10993" s="6" t="s">
        <v>35755</v>
      </c>
      <c r="W10993" s="6" t="s">
        <v>67346</v>
      </c>
      <c r="X10993" s="9" t="str">
        <f>HYPERLINK("https://my.pitchbook.com?p=206988-76P","View People Online")</f>
        <v>View People Online</v>
      </c>
    </row>
    <row r="10994">
      <c r="A10994" s="2" t="s">
        <v>67448</v>
      </c>
      <c r="B10994" s="2" t="s">
        <v>67449</v>
      </c>
      <c r="C10994" s="2" t="s">
        <v>67450</v>
      </c>
      <c r="D10994" s="2" t="s">
        <v>67451</v>
      </c>
      <c r="E10994" s="2" t="s">
        <v>67346</v>
      </c>
      <c r="F10994" s="2" t="s">
        <v>29</v>
      </c>
      <c r="G10994" s="2" t="s">
        <v>67452</v>
      </c>
      <c r="H10994" s="3">
        <v>5.0</v>
      </c>
      <c r="I10994" s="3">
        <v>23.0</v>
      </c>
      <c r="J10994" s="3">
        <v>1.0</v>
      </c>
      <c r="K10994" s="3">
        <v>15.0</v>
      </c>
      <c r="L10994" s="4" t="s">
        <v>67453</v>
      </c>
      <c r="M10994" s="2" t="s">
        <v>31</v>
      </c>
      <c r="N10994" s="2" t="s">
        <v>1608</v>
      </c>
      <c r="O10994" s="4" t="s">
        <v>1609</v>
      </c>
      <c r="P10994" s="2" t="s">
        <v>67454</v>
      </c>
      <c r="Q10994" s="2" t="s">
        <v>31</v>
      </c>
      <c r="R10994" s="2" t="s">
        <v>64</v>
      </c>
      <c r="S10994" s="4" t="s">
        <v>63237</v>
      </c>
      <c r="T10994" s="2" t="s">
        <v>66</v>
      </c>
      <c r="U10994" s="4" t="s">
        <v>67455</v>
      </c>
      <c r="V10994" s="2" t="s">
        <v>2379</v>
      </c>
      <c r="W10994" s="2" t="s">
        <v>67456</v>
      </c>
      <c r="X10994" s="5" t="str">
        <f>HYPERLINK("https://my.pitchbook.com?p=50218-30P","View People Online")</f>
        <v>View People Online</v>
      </c>
    </row>
    <row r="10995">
      <c r="A10995" s="6" t="s">
        <v>67457</v>
      </c>
      <c r="B10995" s="6" t="s">
        <v>67458</v>
      </c>
      <c r="C10995" s="6" t="s">
        <v>67459</v>
      </c>
      <c r="D10995" s="6" t="s">
        <v>67460</v>
      </c>
      <c r="E10995" s="6" t="s">
        <v>67346</v>
      </c>
      <c r="F10995" s="6" t="s">
        <v>548</v>
      </c>
      <c r="G10995" s="6" t="s">
        <v>67461</v>
      </c>
      <c r="H10995" s="7" t="s">
        <v>31</v>
      </c>
      <c r="I10995" s="7">
        <v>1.0</v>
      </c>
      <c r="J10995" s="7">
        <v>1.0</v>
      </c>
      <c r="K10995" s="7" t="s">
        <v>31</v>
      </c>
      <c r="L10995" s="8" t="s">
        <v>31</v>
      </c>
      <c r="M10995" s="6" t="s">
        <v>31</v>
      </c>
      <c r="N10995" s="6" t="s">
        <v>36778</v>
      </c>
      <c r="O10995" s="8" t="s">
        <v>36779</v>
      </c>
      <c r="P10995" s="6" t="s">
        <v>67348</v>
      </c>
      <c r="Q10995" s="6" t="s">
        <v>31</v>
      </c>
      <c r="R10995" s="6" t="s">
        <v>64</v>
      </c>
      <c r="S10995" s="8" t="s">
        <v>36781</v>
      </c>
      <c r="T10995" s="6" t="s">
        <v>66</v>
      </c>
      <c r="U10995" s="8" t="s">
        <v>67349</v>
      </c>
      <c r="V10995" s="6" t="s">
        <v>67462</v>
      </c>
      <c r="W10995" s="6" t="s">
        <v>67346</v>
      </c>
      <c r="X10995" s="9" t="str">
        <f>HYPERLINK("https://my.pitchbook.com?p=154258-66P","View People Online")</f>
        <v>View People Online</v>
      </c>
    </row>
    <row r="10996">
      <c r="A10996" s="2" t="s">
        <v>67463</v>
      </c>
      <c r="B10996" s="2" t="s">
        <v>67464</v>
      </c>
      <c r="C10996" s="2" t="s">
        <v>562</v>
      </c>
      <c r="D10996" s="2" t="s">
        <v>67465</v>
      </c>
      <c r="E10996" s="2" t="s">
        <v>67346</v>
      </c>
      <c r="F10996" s="2" t="s">
        <v>43</v>
      </c>
      <c r="G10996" s="2" t="s">
        <v>67466</v>
      </c>
      <c r="H10996" s="3">
        <v>2.0</v>
      </c>
      <c r="I10996" s="3">
        <v>95.0</v>
      </c>
      <c r="J10996" s="3">
        <v>2.0</v>
      </c>
      <c r="K10996" s="3">
        <v>90.0</v>
      </c>
      <c r="L10996" s="4" t="s">
        <v>67467</v>
      </c>
      <c r="M10996" s="2" t="s">
        <v>31</v>
      </c>
      <c r="N10996" s="2" t="s">
        <v>243</v>
      </c>
      <c r="O10996" s="4" t="s">
        <v>244</v>
      </c>
      <c r="P10996" s="2" t="s">
        <v>67468</v>
      </c>
      <c r="Q10996" s="2" t="s">
        <v>31</v>
      </c>
      <c r="R10996" s="2" t="s">
        <v>247</v>
      </c>
      <c r="S10996" s="4" t="s">
        <v>67469</v>
      </c>
      <c r="T10996" s="2" t="s">
        <v>249</v>
      </c>
      <c r="U10996" s="4" t="s">
        <v>31</v>
      </c>
      <c r="V10996" s="2" t="s">
        <v>440</v>
      </c>
      <c r="W10996" s="2" t="s">
        <v>67470</v>
      </c>
      <c r="X10996" s="5" t="str">
        <f>HYPERLINK("https://my.pitchbook.com?p=40107-52P","View People Online")</f>
        <v>View People Online</v>
      </c>
    </row>
    <row r="10997">
      <c r="A10997" s="6" t="s">
        <v>67471</v>
      </c>
      <c r="B10997" s="6" t="s">
        <v>67472</v>
      </c>
      <c r="C10997" s="6" t="s">
        <v>5574</v>
      </c>
      <c r="D10997" s="6" t="s">
        <v>67473</v>
      </c>
      <c r="E10997" s="6" t="s">
        <v>67346</v>
      </c>
      <c r="F10997" s="6" t="s">
        <v>59154</v>
      </c>
      <c r="G10997" s="6" t="s">
        <v>67474</v>
      </c>
      <c r="H10997" s="7" t="s">
        <v>31</v>
      </c>
      <c r="I10997" s="7">
        <v>4.0</v>
      </c>
      <c r="J10997" s="7">
        <v>1.0</v>
      </c>
      <c r="K10997" s="7">
        <v>3.0</v>
      </c>
      <c r="L10997" s="8" t="s">
        <v>31</v>
      </c>
      <c r="M10997" s="6" t="s">
        <v>31</v>
      </c>
      <c r="N10997" s="6" t="s">
        <v>36778</v>
      </c>
      <c r="O10997" s="8" t="s">
        <v>36779</v>
      </c>
      <c r="P10997" s="6" t="s">
        <v>67348</v>
      </c>
      <c r="Q10997" s="6" t="s">
        <v>31</v>
      </c>
      <c r="R10997" s="6" t="s">
        <v>64</v>
      </c>
      <c r="S10997" s="8" t="s">
        <v>36781</v>
      </c>
      <c r="T10997" s="6" t="s">
        <v>66</v>
      </c>
      <c r="U10997" s="8" t="s">
        <v>67349</v>
      </c>
      <c r="V10997" s="6" t="s">
        <v>59154</v>
      </c>
      <c r="W10997" s="6" t="s">
        <v>67346</v>
      </c>
      <c r="X10997" s="9" t="str">
        <f>HYPERLINK("https://my.pitchbook.com?p=452088-10P","View People Online")</f>
        <v>View People Online</v>
      </c>
    </row>
    <row r="10998">
      <c r="A10998" s="10" t="s">
        <v>67475</v>
      </c>
      <c r="B10998" s="10" t="s">
        <v>7053</v>
      </c>
      <c r="C10998" s="10" t="s">
        <v>7054</v>
      </c>
      <c r="D10998" s="10" t="s">
        <v>5302</v>
      </c>
      <c r="E10998" s="10" t="s">
        <v>67476</v>
      </c>
      <c r="F10998" s="10" t="s">
        <v>3144</v>
      </c>
      <c r="G10998" s="10" t="s">
        <v>67477</v>
      </c>
      <c r="H10998" s="11">
        <v>5.0</v>
      </c>
      <c r="I10998" s="11">
        <v>17.0</v>
      </c>
      <c r="J10998" s="11">
        <v>1.0</v>
      </c>
      <c r="K10998" s="11">
        <v>9.0</v>
      </c>
      <c r="L10998" s="12" t="s">
        <v>67478</v>
      </c>
      <c r="M10998" s="10" t="s">
        <v>31</v>
      </c>
      <c r="N10998" s="10" t="s">
        <v>775</v>
      </c>
      <c r="O10998" s="12" t="s">
        <v>776</v>
      </c>
      <c r="P10998" s="10" t="s">
        <v>67479</v>
      </c>
      <c r="Q10998" s="10" t="s">
        <v>31</v>
      </c>
      <c r="R10998" s="10" t="s">
        <v>64</v>
      </c>
      <c r="S10998" s="12" t="s">
        <v>5635</v>
      </c>
      <c r="T10998" s="10" t="s">
        <v>66</v>
      </c>
      <c r="U10998" s="12" t="s">
        <v>31</v>
      </c>
      <c r="V10998" s="10" t="s">
        <v>67480</v>
      </c>
      <c r="W10998" s="10" t="s">
        <v>67476</v>
      </c>
      <c r="X10998" s="13" t="str">
        <f>HYPERLINK("https://my.pitchbook.com?p=82802-89P","View People Online")</f>
        <v>View People Online</v>
      </c>
    </row>
    <row r="10999">
      <c r="A10999" s="14" t="s">
        <v>67481</v>
      </c>
      <c r="B10999" s="14" t="s">
        <v>67482</v>
      </c>
      <c r="C10999" s="14" t="s">
        <v>69</v>
      </c>
      <c r="D10999" s="14" t="s">
        <v>24350</v>
      </c>
      <c r="E10999" s="14" t="s">
        <v>67476</v>
      </c>
      <c r="F10999" s="14" t="s">
        <v>318</v>
      </c>
      <c r="G10999" s="14" t="s">
        <v>67483</v>
      </c>
      <c r="H10999" s="15" t="s">
        <v>31</v>
      </c>
      <c r="I10999" s="15">
        <v>2.0</v>
      </c>
      <c r="J10999" s="15">
        <v>1.0</v>
      </c>
      <c r="K10999" s="15">
        <v>1.0</v>
      </c>
      <c r="L10999" s="16" t="s">
        <v>67478</v>
      </c>
      <c r="M10999" s="14" t="s">
        <v>67484</v>
      </c>
      <c r="N10999" s="14" t="s">
        <v>775</v>
      </c>
      <c r="O10999" s="16" t="s">
        <v>776</v>
      </c>
      <c r="P10999" s="14" t="s">
        <v>67479</v>
      </c>
      <c r="Q10999" s="14" t="s">
        <v>31</v>
      </c>
      <c r="R10999" s="14" t="s">
        <v>64</v>
      </c>
      <c r="S10999" s="16" t="s">
        <v>5635</v>
      </c>
      <c r="T10999" s="14" t="s">
        <v>66</v>
      </c>
      <c r="U10999" s="16" t="s">
        <v>31</v>
      </c>
      <c r="V10999" s="14" t="s">
        <v>318</v>
      </c>
      <c r="W10999" s="14" t="s">
        <v>67476</v>
      </c>
      <c r="X10999" s="17" t="str">
        <f>HYPERLINK("https://my.pitchbook.com?p=128328-76P","View People Online")</f>
        <v>View People Online</v>
      </c>
    </row>
    <row r="11000">
      <c r="A11000" s="2" t="s">
        <v>67485</v>
      </c>
      <c r="B11000" s="2" t="s">
        <v>67486</v>
      </c>
      <c r="C11000" s="2" t="s">
        <v>67487</v>
      </c>
      <c r="D11000" s="2" t="s">
        <v>3222</v>
      </c>
      <c r="E11000" s="2" t="s">
        <v>67476</v>
      </c>
      <c r="F11000" s="2" t="s">
        <v>270</v>
      </c>
      <c r="G11000" s="2" t="s">
        <v>67488</v>
      </c>
      <c r="H11000" s="3" t="s">
        <v>31</v>
      </c>
      <c r="I11000" s="3">
        <v>1.0</v>
      </c>
      <c r="J11000" s="3">
        <v>1.0</v>
      </c>
      <c r="K11000" s="3" t="s">
        <v>31</v>
      </c>
      <c r="L11000" s="4" t="s">
        <v>67478</v>
      </c>
      <c r="M11000" s="2" t="s">
        <v>67489</v>
      </c>
      <c r="N11000" s="2" t="s">
        <v>775</v>
      </c>
      <c r="O11000" s="4" t="s">
        <v>776</v>
      </c>
      <c r="P11000" s="2" t="s">
        <v>67479</v>
      </c>
      <c r="Q11000" s="2" t="s">
        <v>31</v>
      </c>
      <c r="R11000" s="2" t="s">
        <v>64</v>
      </c>
      <c r="S11000" s="4" t="s">
        <v>5635</v>
      </c>
      <c r="T11000" s="2" t="s">
        <v>66</v>
      </c>
      <c r="U11000" s="4" t="s">
        <v>31</v>
      </c>
      <c r="V11000" s="2" t="s">
        <v>662</v>
      </c>
      <c r="W11000" s="2" t="s">
        <v>67476</v>
      </c>
      <c r="X11000" s="5" t="str">
        <f>HYPERLINK("https://my.pitchbook.com?p=326633-23P","View People Online")</f>
        <v>View People Online</v>
      </c>
    </row>
    <row r="11001">
      <c r="A11001" s="6" t="s">
        <v>67490</v>
      </c>
      <c r="B11001" s="6" t="s">
        <v>67491</v>
      </c>
      <c r="C11001" s="6" t="s">
        <v>18485</v>
      </c>
      <c r="D11001" s="6" t="s">
        <v>67492</v>
      </c>
      <c r="E11001" s="6" t="s">
        <v>67476</v>
      </c>
      <c r="F11001" s="6" t="s">
        <v>28914</v>
      </c>
      <c r="G11001" s="6" t="s">
        <v>67493</v>
      </c>
      <c r="H11001" s="7" t="s">
        <v>31</v>
      </c>
      <c r="I11001" s="7">
        <v>5.0</v>
      </c>
      <c r="J11001" s="7">
        <v>1.0</v>
      </c>
      <c r="K11001" s="7">
        <v>2.0</v>
      </c>
      <c r="L11001" s="8" t="s">
        <v>67478</v>
      </c>
      <c r="M11001" s="6" t="s">
        <v>67494</v>
      </c>
      <c r="N11001" s="6" t="s">
        <v>775</v>
      </c>
      <c r="O11001" s="8" t="s">
        <v>776</v>
      </c>
      <c r="P11001" s="6" t="s">
        <v>67479</v>
      </c>
      <c r="Q11001" s="6" t="s">
        <v>31</v>
      </c>
      <c r="R11001" s="6" t="s">
        <v>64</v>
      </c>
      <c r="S11001" s="8" t="s">
        <v>5635</v>
      </c>
      <c r="T11001" s="6" t="s">
        <v>66</v>
      </c>
      <c r="U11001" s="8" t="s">
        <v>31</v>
      </c>
      <c r="V11001" s="6" t="s">
        <v>28914</v>
      </c>
      <c r="W11001" s="6" t="s">
        <v>67476</v>
      </c>
      <c r="X11001" s="9" t="str">
        <f>HYPERLINK("https://my.pitchbook.com?p=302029-66P","View People Online")</f>
        <v>View People Online</v>
      </c>
    </row>
    <row r="11002">
      <c r="A11002" s="10" t="s">
        <v>67495</v>
      </c>
      <c r="B11002" s="10" t="s">
        <v>67496</v>
      </c>
      <c r="C11002" s="10" t="s">
        <v>8140</v>
      </c>
      <c r="D11002" s="10" t="s">
        <v>934</v>
      </c>
      <c r="E11002" s="10" t="s">
        <v>67476</v>
      </c>
      <c r="F11002" s="10" t="s">
        <v>29</v>
      </c>
      <c r="G11002" s="10" t="s">
        <v>67497</v>
      </c>
      <c r="H11002" s="11">
        <v>3.0</v>
      </c>
      <c r="I11002" s="11">
        <v>12.0</v>
      </c>
      <c r="J11002" s="11">
        <v>1.0</v>
      </c>
      <c r="K11002" s="11">
        <v>7.0</v>
      </c>
      <c r="L11002" s="12" t="s">
        <v>67498</v>
      </c>
      <c r="M11002" s="10" t="s">
        <v>67499</v>
      </c>
      <c r="N11002" s="10" t="s">
        <v>775</v>
      </c>
      <c r="O11002" s="12" t="s">
        <v>776</v>
      </c>
      <c r="P11002" s="10" t="s">
        <v>67479</v>
      </c>
      <c r="Q11002" s="10" t="s">
        <v>31</v>
      </c>
      <c r="R11002" s="10" t="s">
        <v>64</v>
      </c>
      <c r="S11002" s="12" t="s">
        <v>5635</v>
      </c>
      <c r="T11002" s="10" t="s">
        <v>66</v>
      </c>
      <c r="U11002" s="12" t="s">
        <v>31</v>
      </c>
      <c r="V11002" s="10" t="s">
        <v>67500</v>
      </c>
      <c r="W11002" s="10" t="s">
        <v>67476</v>
      </c>
      <c r="X11002" s="13" t="str">
        <f>HYPERLINK("https://my.pitchbook.com?p=159851-98P","View People Online")</f>
        <v>View People Online</v>
      </c>
    </row>
    <row r="11003">
      <c r="A11003" s="6" t="s">
        <v>67501</v>
      </c>
      <c r="B11003" s="6" t="s">
        <v>67502</v>
      </c>
      <c r="C11003" s="6" t="s">
        <v>4015</v>
      </c>
      <c r="D11003" s="6" t="s">
        <v>67503</v>
      </c>
      <c r="E11003" s="6" t="s">
        <v>67476</v>
      </c>
      <c r="F11003" s="6" t="s">
        <v>318</v>
      </c>
      <c r="G11003" s="6" t="s">
        <v>67504</v>
      </c>
      <c r="H11003" s="7" t="s">
        <v>31</v>
      </c>
      <c r="I11003" s="7">
        <v>1.0</v>
      </c>
      <c r="J11003" s="7">
        <v>1.0</v>
      </c>
      <c r="K11003" s="7" t="s">
        <v>31</v>
      </c>
      <c r="L11003" s="8" t="s">
        <v>67505</v>
      </c>
      <c r="M11003" s="6" t="s">
        <v>67506</v>
      </c>
      <c r="N11003" s="6" t="s">
        <v>775</v>
      </c>
      <c r="O11003" s="8" t="s">
        <v>776</v>
      </c>
      <c r="P11003" s="6" t="s">
        <v>67479</v>
      </c>
      <c r="Q11003" s="6" t="s">
        <v>31</v>
      </c>
      <c r="R11003" s="6" t="s">
        <v>64</v>
      </c>
      <c r="S11003" s="8" t="s">
        <v>5635</v>
      </c>
      <c r="T11003" s="6" t="s">
        <v>66</v>
      </c>
      <c r="U11003" s="8" t="s">
        <v>31</v>
      </c>
      <c r="V11003" s="6" t="s">
        <v>318</v>
      </c>
      <c r="W11003" s="6" t="s">
        <v>67476</v>
      </c>
      <c r="X11003" s="9" t="str">
        <f>HYPERLINK("https://my.pitchbook.com?p=79605-10P","View People Online")</f>
        <v>View People Online</v>
      </c>
    </row>
    <row r="11004">
      <c r="A11004" s="2" t="s">
        <v>67507</v>
      </c>
      <c r="B11004" s="2" t="s">
        <v>67508</v>
      </c>
      <c r="C11004" s="2" t="s">
        <v>4911</v>
      </c>
      <c r="D11004" s="2" t="s">
        <v>67509</v>
      </c>
      <c r="E11004" s="2" t="s">
        <v>67510</v>
      </c>
      <c r="F11004" s="2" t="s">
        <v>8217</v>
      </c>
      <c r="G11004" s="2" t="s">
        <v>67511</v>
      </c>
      <c r="H11004" s="3" t="s">
        <v>31</v>
      </c>
      <c r="I11004" s="3">
        <v>1.0</v>
      </c>
      <c r="J11004" s="3">
        <v>1.0</v>
      </c>
      <c r="K11004" s="3" t="s">
        <v>31</v>
      </c>
      <c r="L11004" s="4" t="s">
        <v>67512</v>
      </c>
      <c r="M11004" s="2" t="s">
        <v>67513</v>
      </c>
      <c r="N11004" s="2" t="s">
        <v>2599</v>
      </c>
      <c r="O11004" s="4" t="s">
        <v>2600</v>
      </c>
      <c r="P11004" s="2" t="s">
        <v>31</v>
      </c>
      <c r="Q11004" s="2" t="s">
        <v>31</v>
      </c>
      <c r="R11004" s="2" t="s">
        <v>396</v>
      </c>
      <c r="S11004" s="4" t="s">
        <v>403</v>
      </c>
      <c r="T11004" s="2" t="s">
        <v>66</v>
      </c>
      <c r="U11004" s="4" t="s">
        <v>67514</v>
      </c>
      <c r="V11004" s="2" t="s">
        <v>8217</v>
      </c>
      <c r="W11004" s="2" t="s">
        <v>67510</v>
      </c>
      <c r="X11004" s="5" t="str">
        <f>HYPERLINK("https://my.pitchbook.com?p=41007-43P","View People Online")</f>
        <v>View People Online</v>
      </c>
    </row>
    <row r="11005">
      <c r="A11005" s="6" t="s">
        <v>67515</v>
      </c>
      <c r="B11005" s="6" t="s">
        <v>67516</v>
      </c>
      <c r="C11005" s="6" t="s">
        <v>3529</v>
      </c>
      <c r="D11005" s="6" t="s">
        <v>60997</v>
      </c>
      <c r="E11005" s="6" t="s">
        <v>67510</v>
      </c>
      <c r="F11005" s="6" t="s">
        <v>674</v>
      </c>
      <c r="G11005" s="6" t="s">
        <v>67517</v>
      </c>
      <c r="H11005" s="7">
        <v>2.0</v>
      </c>
      <c r="I11005" s="7">
        <v>27.0</v>
      </c>
      <c r="J11005" s="7">
        <v>1.0</v>
      </c>
      <c r="K11005" s="7">
        <v>19.0</v>
      </c>
      <c r="L11005" s="8" t="s">
        <v>67512</v>
      </c>
      <c r="M11005" s="6" t="s">
        <v>67518</v>
      </c>
      <c r="N11005" s="6" t="s">
        <v>2599</v>
      </c>
      <c r="O11005" s="8" t="s">
        <v>2600</v>
      </c>
      <c r="P11005" s="6" t="s">
        <v>31</v>
      </c>
      <c r="Q11005" s="6" t="s">
        <v>31</v>
      </c>
      <c r="R11005" s="6" t="s">
        <v>396</v>
      </c>
      <c r="S11005" s="8" t="s">
        <v>403</v>
      </c>
      <c r="T11005" s="6" t="s">
        <v>66</v>
      </c>
      <c r="U11005" s="8" t="s">
        <v>67514</v>
      </c>
      <c r="V11005" s="6" t="s">
        <v>1172</v>
      </c>
      <c r="W11005" s="6" t="s">
        <v>67510</v>
      </c>
      <c r="X11005" s="9" t="str">
        <f>HYPERLINK("https://my.pitchbook.com?p=39379-96P","View People Online")</f>
        <v>View People Online</v>
      </c>
    </row>
    <row r="11006">
      <c r="A11006" s="2" t="s">
        <v>67519</v>
      </c>
      <c r="B11006" s="2" t="s">
        <v>67520</v>
      </c>
      <c r="C11006" s="2" t="s">
        <v>24951</v>
      </c>
      <c r="D11006" s="2" t="s">
        <v>67521</v>
      </c>
      <c r="E11006" s="2" t="s">
        <v>67510</v>
      </c>
      <c r="F11006" s="2" t="s">
        <v>189</v>
      </c>
      <c r="G11006" s="2" t="s">
        <v>67522</v>
      </c>
      <c r="H11006" s="3" t="s">
        <v>31</v>
      </c>
      <c r="I11006" s="3">
        <v>3.0</v>
      </c>
      <c r="J11006" s="3">
        <v>1.0</v>
      </c>
      <c r="K11006" s="3" t="s">
        <v>31</v>
      </c>
      <c r="L11006" s="4" t="s">
        <v>67512</v>
      </c>
      <c r="M11006" s="2" t="s">
        <v>67523</v>
      </c>
      <c r="N11006" s="2" t="s">
        <v>2599</v>
      </c>
      <c r="O11006" s="4" t="s">
        <v>2600</v>
      </c>
      <c r="P11006" s="2" t="s">
        <v>31</v>
      </c>
      <c r="Q11006" s="2" t="s">
        <v>31</v>
      </c>
      <c r="R11006" s="2" t="s">
        <v>396</v>
      </c>
      <c r="S11006" s="4" t="s">
        <v>403</v>
      </c>
      <c r="T11006" s="2" t="s">
        <v>66</v>
      </c>
      <c r="U11006" s="4" t="s">
        <v>67514</v>
      </c>
      <c r="V11006" s="2" t="s">
        <v>67524</v>
      </c>
      <c r="W11006" s="2" t="s">
        <v>67510</v>
      </c>
      <c r="X11006" s="5" t="str">
        <f>HYPERLINK("https://my.pitchbook.com?p=39380-05P","View People Online")</f>
        <v>View People Online</v>
      </c>
    </row>
    <row r="11007">
      <c r="A11007" s="14" t="s">
        <v>67525</v>
      </c>
      <c r="B11007" s="14" t="s">
        <v>67526</v>
      </c>
      <c r="C11007" s="14" t="s">
        <v>67527</v>
      </c>
      <c r="D11007" s="14" t="s">
        <v>67528</v>
      </c>
      <c r="E11007" s="14" t="s">
        <v>67529</v>
      </c>
      <c r="F11007" s="14" t="s">
        <v>81</v>
      </c>
      <c r="G11007" s="14" t="s">
        <v>67530</v>
      </c>
      <c r="H11007" s="15" t="s">
        <v>31</v>
      </c>
      <c r="I11007" s="15">
        <v>1.0</v>
      </c>
      <c r="J11007" s="15" t="s">
        <v>31</v>
      </c>
      <c r="K11007" s="15" t="s">
        <v>31</v>
      </c>
      <c r="L11007" s="16" t="s">
        <v>31</v>
      </c>
      <c r="M11007" s="14" t="s">
        <v>31</v>
      </c>
      <c r="N11007" s="14" t="s">
        <v>1716</v>
      </c>
      <c r="O11007" s="16" t="s">
        <v>1717</v>
      </c>
      <c r="P11007" s="14" t="s">
        <v>67531</v>
      </c>
      <c r="Q11007" s="14" t="s">
        <v>31</v>
      </c>
      <c r="R11007" s="14" t="s">
        <v>64</v>
      </c>
      <c r="S11007" s="16" t="s">
        <v>31</v>
      </c>
      <c r="T11007" s="14" t="s">
        <v>66</v>
      </c>
      <c r="U11007" s="16" t="s">
        <v>31</v>
      </c>
      <c r="V11007" s="14" t="s">
        <v>81</v>
      </c>
      <c r="W11007" s="14" t="s">
        <v>67529</v>
      </c>
      <c r="X11007" s="17" t="str">
        <f>HYPERLINK("https://my.pitchbook.com?p=293157-28P","View People Online")</f>
        <v>View People Online</v>
      </c>
    </row>
    <row r="11008">
      <c r="A11008" s="10" t="s">
        <v>67532</v>
      </c>
      <c r="B11008" s="10" t="s">
        <v>67533</v>
      </c>
      <c r="C11008" s="10" t="s">
        <v>67534</v>
      </c>
      <c r="D11008" s="10" t="s">
        <v>67535</v>
      </c>
      <c r="E11008" s="10" t="s">
        <v>67529</v>
      </c>
      <c r="F11008" s="10" t="s">
        <v>674</v>
      </c>
      <c r="G11008" s="10" t="s">
        <v>67536</v>
      </c>
      <c r="H11008" s="11">
        <v>3.0</v>
      </c>
      <c r="I11008" s="11">
        <v>26.0</v>
      </c>
      <c r="J11008" s="11">
        <v>1.0</v>
      </c>
      <c r="K11008" s="11">
        <v>19.0</v>
      </c>
      <c r="L11008" s="12" t="s">
        <v>31</v>
      </c>
      <c r="M11008" s="10" t="s">
        <v>67537</v>
      </c>
      <c r="N11008" s="10" t="s">
        <v>1716</v>
      </c>
      <c r="O11008" s="12" t="s">
        <v>1717</v>
      </c>
      <c r="P11008" s="10" t="s">
        <v>67531</v>
      </c>
      <c r="Q11008" s="10" t="s">
        <v>31</v>
      </c>
      <c r="R11008" s="10" t="s">
        <v>64</v>
      </c>
      <c r="S11008" s="12" t="s">
        <v>31</v>
      </c>
      <c r="T11008" s="10" t="s">
        <v>66</v>
      </c>
      <c r="U11008" s="12" t="s">
        <v>31</v>
      </c>
      <c r="V11008" s="10" t="s">
        <v>674</v>
      </c>
      <c r="W11008" s="10" t="s">
        <v>67529</v>
      </c>
      <c r="X11008" s="13" t="str">
        <f>HYPERLINK("https://my.pitchbook.com?p=28475-92P","View People Online")</f>
        <v>View People Online</v>
      </c>
    </row>
    <row r="11009"/>
    <row r="11010">
      <c r="A11010" s="18" t="s">
        <v>67538</v>
      </c>
    </row>
  </sheetData>
  <autoFilter ref="$A$1:$X$11008">
    <sortState ref="A1:X11008">
      <sortCondition ref="E1:E11008"/>
    </sortState>
  </autoFilter>
  <printOptions/>
  <pageMargins bottom="0.75" footer="0.0" header="0.0" left="0.7" right="0.7" top="0.75"/>
  <pageSetup orientation="landscape"/>
  <drawing r:id="rId1"/>
</worksheet>
</file>